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woodsj\OneDrive - City of Pittsburgh\Documents\"/>
    </mc:Choice>
  </mc:AlternateContent>
  <bookViews>
    <workbookView xWindow="0" yWindow="0" windowWidth="28740" windowHeight="12930"/>
  </bookViews>
  <sheets>
    <sheet name="Web Delinquent 01-30-2025" sheetId="1" r:id="rId1"/>
  </sheets>
  <calcPr calcId="0"/>
</workbook>
</file>

<file path=xl/calcChain.xml><?xml version="1.0" encoding="utf-8"?>
<calcChain xmlns="http://schemas.openxmlformats.org/spreadsheetml/2006/main">
  <c r="A2" i="1" l="1"/>
  <c r="P2" i="1"/>
  <c r="A3" i="1"/>
  <c r="P3" i="1"/>
  <c r="A4" i="1"/>
  <c r="P4" i="1"/>
  <c r="A5" i="1"/>
  <c r="P5" i="1"/>
  <c r="A6" i="1"/>
  <c r="P6" i="1"/>
  <c r="A7" i="1"/>
  <c r="P7" i="1"/>
  <c r="A8" i="1"/>
  <c r="P8" i="1"/>
  <c r="A9" i="1"/>
  <c r="P9" i="1"/>
  <c r="A10" i="1"/>
  <c r="P10" i="1"/>
  <c r="A11" i="1"/>
  <c r="P11" i="1"/>
  <c r="A12" i="1"/>
  <c r="P12" i="1"/>
  <c r="A13" i="1"/>
  <c r="P13" i="1"/>
  <c r="A14" i="1"/>
  <c r="P14" i="1"/>
  <c r="A15" i="1"/>
  <c r="P15" i="1"/>
  <c r="A16" i="1"/>
  <c r="P16" i="1"/>
  <c r="A17" i="1"/>
  <c r="P17" i="1"/>
  <c r="A18" i="1"/>
  <c r="P18" i="1"/>
  <c r="A19" i="1"/>
  <c r="P19" i="1"/>
  <c r="A20" i="1"/>
  <c r="P20" i="1"/>
  <c r="A21" i="1"/>
  <c r="P21" i="1"/>
  <c r="A22" i="1"/>
  <c r="P22" i="1"/>
  <c r="A23" i="1"/>
  <c r="P23" i="1"/>
  <c r="A24" i="1"/>
  <c r="P24" i="1"/>
  <c r="A25" i="1"/>
  <c r="P25" i="1"/>
  <c r="A26" i="1"/>
  <c r="P26" i="1"/>
  <c r="A27" i="1"/>
  <c r="P27" i="1"/>
  <c r="A28" i="1"/>
  <c r="P28" i="1"/>
  <c r="A29" i="1"/>
  <c r="P29" i="1"/>
  <c r="A30" i="1"/>
  <c r="P30" i="1"/>
  <c r="A31" i="1"/>
  <c r="P31" i="1"/>
  <c r="A32" i="1"/>
  <c r="P32" i="1"/>
  <c r="A33" i="1"/>
  <c r="P33" i="1"/>
  <c r="A34" i="1"/>
  <c r="P34" i="1"/>
  <c r="A35" i="1"/>
  <c r="P35" i="1"/>
  <c r="A36" i="1"/>
  <c r="P36" i="1"/>
  <c r="A37" i="1"/>
  <c r="P37" i="1"/>
  <c r="A38" i="1"/>
  <c r="P38" i="1"/>
  <c r="A39" i="1"/>
  <c r="P39" i="1"/>
  <c r="A40" i="1"/>
  <c r="P40" i="1"/>
  <c r="A41" i="1"/>
  <c r="P41" i="1"/>
  <c r="A42" i="1"/>
  <c r="P42" i="1"/>
  <c r="A43" i="1"/>
  <c r="P43" i="1"/>
  <c r="A44" i="1"/>
  <c r="P44" i="1"/>
  <c r="A45" i="1"/>
  <c r="P45" i="1"/>
  <c r="A46" i="1"/>
  <c r="P46" i="1"/>
  <c r="A47" i="1"/>
  <c r="P47" i="1"/>
  <c r="A48" i="1"/>
  <c r="P48" i="1"/>
  <c r="A49" i="1"/>
  <c r="P49" i="1"/>
  <c r="A50" i="1"/>
  <c r="P50" i="1"/>
  <c r="A51" i="1"/>
  <c r="P51" i="1"/>
  <c r="A52" i="1"/>
  <c r="P52" i="1"/>
  <c r="A53" i="1"/>
  <c r="P53" i="1"/>
  <c r="A54" i="1"/>
  <c r="P54" i="1"/>
  <c r="A55" i="1"/>
  <c r="P55" i="1"/>
  <c r="A56" i="1"/>
  <c r="P56" i="1"/>
  <c r="A57" i="1"/>
  <c r="P57" i="1"/>
  <c r="A58" i="1"/>
  <c r="P58" i="1"/>
  <c r="A59" i="1"/>
  <c r="P59" i="1"/>
  <c r="A60" i="1"/>
  <c r="P60" i="1"/>
  <c r="A61" i="1"/>
  <c r="P61" i="1"/>
  <c r="A62" i="1"/>
  <c r="P62" i="1"/>
  <c r="A63" i="1"/>
  <c r="P63" i="1"/>
  <c r="A64" i="1"/>
  <c r="P64" i="1"/>
  <c r="A65" i="1"/>
  <c r="P65" i="1"/>
  <c r="A66" i="1"/>
  <c r="P66" i="1"/>
  <c r="A67" i="1"/>
  <c r="P67" i="1"/>
  <c r="A68" i="1"/>
  <c r="P68" i="1"/>
  <c r="A69" i="1"/>
  <c r="P69" i="1"/>
  <c r="A70" i="1"/>
  <c r="P70" i="1"/>
  <c r="A71" i="1"/>
  <c r="P71" i="1"/>
  <c r="A72" i="1"/>
  <c r="P72" i="1"/>
  <c r="A73" i="1"/>
  <c r="P73" i="1"/>
  <c r="A74" i="1"/>
  <c r="P74" i="1"/>
  <c r="A75" i="1"/>
  <c r="P75" i="1"/>
  <c r="A76" i="1"/>
  <c r="P76" i="1"/>
  <c r="A77" i="1"/>
  <c r="P77" i="1"/>
  <c r="A78" i="1"/>
  <c r="P78" i="1"/>
  <c r="A79" i="1"/>
  <c r="P79" i="1"/>
  <c r="A80" i="1"/>
  <c r="P80" i="1"/>
  <c r="A81" i="1"/>
  <c r="P81" i="1"/>
  <c r="A82" i="1"/>
  <c r="P82" i="1"/>
  <c r="A83" i="1"/>
  <c r="P83" i="1"/>
  <c r="A84" i="1"/>
  <c r="P84" i="1"/>
  <c r="A85" i="1"/>
  <c r="P85" i="1"/>
  <c r="A86" i="1"/>
  <c r="P86" i="1"/>
  <c r="A87" i="1"/>
  <c r="P87" i="1"/>
  <c r="A88" i="1"/>
  <c r="P88" i="1"/>
  <c r="A89" i="1"/>
  <c r="P89" i="1"/>
  <c r="A90" i="1"/>
  <c r="P90" i="1"/>
  <c r="A91" i="1"/>
  <c r="P91" i="1"/>
  <c r="A92" i="1"/>
  <c r="P92" i="1"/>
  <c r="A93" i="1"/>
  <c r="P93" i="1"/>
  <c r="A94" i="1"/>
  <c r="P94" i="1"/>
  <c r="A95" i="1"/>
  <c r="P95" i="1"/>
  <c r="A96" i="1"/>
  <c r="P96" i="1"/>
  <c r="A97" i="1"/>
  <c r="P97" i="1"/>
  <c r="A98" i="1"/>
  <c r="P98" i="1"/>
  <c r="A99" i="1"/>
  <c r="P99" i="1"/>
  <c r="A100" i="1"/>
  <c r="P100" i="1"/>
  <c r="A101" i="1"/>
  <c r="P101" i="1"/>
  <c r="A102" i="1"/>
  <c r="P102" i="1"/>
  <c r="A103" i="1"/>
  <c r="P103" i="1"/>
  <c r="A104" i="1"/>
  <c r="P104" i="1"/>
  <c r="A105" i="1"/>
  <c r="P105" i="1"/>
  <c r="A106" i="1"/>
  <c r="P106" i="1"/>
  <c r="A107" i="1"/>
  <c r="P107" i="1"/>
  <c r="A108" i="1"/>
  <c r="P108" i="1"/>
  <c r="A109" i="1"/>
  <c r="P109" i="1"/>
  <c r="A110" i="1"/>
  <c r="P110" i="1"/>
  <c r="A111" i="1"/>
  <c r="P111" i="1"/>
  <c r="A112" i="1"/>
  <c r="P112" i="1"/>
  <c r="A113" i="1"/>
  <c r="P113" i="1"/>
  <c r="A114" i="1"/>
  <c r="P114" i="1"/>
  <c r="A115" i="1"/>
  <c r="P115" i="1"/>
  <c r="A116" i="1"/>
  <c r="P116" i="1"/>
  <c r="A117" i="1"/>
  <c r="P117" i="1"/>
  <c r="A118" i="1"/>
  <c r="P118" i="1"/>
  <c r="A119" i="1"/>
  <c r="P119" i="1"/>
  <c r="A120" i="1"/>
  <c r="P120" i="1"/>
  <c r="A121" i="1"/>
  <c r="P121" i="1"/>
  <c r="A122" i="1"/>
  <c r="P122" i="1"/>
  <c r="A123" i="1"/>
  <c r="P123" i="1"/>
  <c r="A124" i="1"/>
  <c r="P124" i="1"/>
  <c r="A125" i="1"/>
  <c r="P125" i="1"/>
  <c r="A126" i="1"/>
  <c r="P126" i="1"/>
  <c r="A127" i="1"/>
  <c r="P127" i="1"/>
  <c r="A128" i="1"/>
  <c r="P128" i="1"/>
  <c r="A129" i="1"/>
  <c r="P129" i="1"/>
  <c r="A130" i="1"/>
  <c r="P130" i="1"/>
  <c r="A131" i="1"/>
  <c r="P131" i="1"/>
  <c r="A132" i="1"/>
  <c r="P132" i="1"/>
  <c r="A133" i="1"/>
  <c r="P133" i="1"/>
  <c r="A134" i="1"/>
  <c r="P134" i="1"/>
  <c r="A135" i="1"/>
  <c r="P135" i="1"/>
  <c r="A136" i="1"/>
  <c r="P136" i="1"/>
  <c r="A137" i="1"/>
  <c r="P137" i="1"/>
  <c r="A138" i="1"/>
  <c r="P138" i="1"/>
  <c r="A139" i="1"/>
  <c r="P139" i="1"/>
  <c r="A140" i="1"/>
  <c r="P140" i="1"/>
  <c r="A141" i="1"/>
  <c r="P141" i="1"/>
  <c r="A142" i="1"/>
  <c r="P142" i="1"/>
  <c r="A143" i="1"/>
  <c r="P143" i="1"/>
  <c r="A144" i="1"/>
  <c r="P144" i="1"/>
  <c r="A145" i="1"/>
  <c r="P145" i="1"/>
  <c r="A146" i="1"/>
  <c r="P146" i="1"/>
  <c r="A147" i="1"/>
  <c r="P147" i="1"/>
  <c r="A148" i="1"/>
  <c r="P148" i="1"/>
  <c r="A149" i="1"/>
  <c r="P149" i="1"/>
  <c r="A150" i="1"/>
  <c r="P150" i="1"/>
  <c r="A151" i="1"/>
  <c r="P151" i="1"/>
  <c r="A152" i="1"/>
  <c r="P152" i="1"/>
  <c r="A153" i="1"/>
  <c r="P153" i="1"/>
  <c r="A154" i="1"/>
  <c r="P154" i="1"/>
  <c r="A155" i="1"/>
  <c r="P155" i="1"/>
  <c r="A156" i="1"/>
  <c r="P156" i="1"/>
  <c r="A157" i="1"/>
  <c r="P157" i="1"/>
  <c r="A158" i="1"/>
  <c r="P158" i="1"/>
  <c r="A159" i="1"/>
  <c r="P159" i="1"/>
  <c r="A160" i="1"/>
  <c r="P160" i="1"/>
  <c r="A161" i="1"/>
  <c r="P161" i="1"/>
  <c r="A162" i="1"/>
  <c r="P162" i="1"/>
  <c r="A163" i="1"/>
  <c r="P163" i="1"/>
  <c r="A164" i="1"/>
  <c r="P164" i="1"/>
  <c r="A165" i="1"/>
  <c r="P165" i="1"/>
  <c r="A166" i="1"/>
  <c r="P166" i="1"/>
  <c r="A167" i="1"/>
  <c r="P167" i="1"/>
  <c r="A168" i="1"/>
  <c r="P168" i="1"/>
  <c r="A169" i="1"/>
  <c r="P169" i="1"/>
  <c r="A170" i="1"/>
  <c r="P170" i="1"/>
  <c r="A171" i="1"/>
  <c r="P171" i="1"/>
  <c r="A172" i="1"/>
  <c r="P172" i="1"/>
  <c r="A173" i="1"/>
  <c r="P173" i="1"/>
  <c r="A174" i="1"/>
  <c r="P174" i="1"/>
  <c r="A175" i="1"/>
  <c r="P175" i="1"/>
  <c r="A176" i="1"/>
  <c r="P176" i="1"/>
  <c r="A177" i="1"/>
  <c r="P177" i="1"/>
  <c r="A178" i="1"/>
  <c r="P178" i="1"/>
  <c r="A179" i="1"/>
  <c r="P179" i="1"/>
  <c r="A180" i="1"/>
  <c r="P180" i="1"/>
  <c r="A181" i="1"/>
  <c r="P181" i="1"/>
  <c r="A182" i="1"/>
  <c r="P182" i="1"/>
  <c r="A183" i="1"/>
  <c r="P183" i="1"/>
  <c r="A184" i="1"/>
  <c r="P184" i="1"/>
  <c r="A185" i="1"/>
  <c r="P185" i="1"/>
  <c r="A186" i="1"/>
  <c r="P186" i="1"/>
  <c r="A187" i="1"/>
  <c r="P187" i="1"/>
  <c r="A188" i="1"/>
  <c r="P188" i="1"/>
  <c r="A189" i="1"/>
  <c r="P189" i="1"/>
  <c r="A190" i="1"/>
  <c r="P190" i="1"/>
  <c r="A191" i="1"/>
  <c r="P191" i="1"/>
  <c r="A192" i="1"/>
  <c r="P192" i="1"/>
  <c r="A193" i="1"/>
  <c r="P193" i="1"/>
  <c r="A194" i="1"/>
  <c r="P194" i="1"/>
  <c r="A195" i="1"/>
  <c r="P195" i="1"/>
  <c r="A196" i="1"/>
  <c r="P196" i="1"/>
  <c r="A197" i="1"/>
  <c r="P197" i="1"/>
  <c r="A198" i="1"/>
  <c r="P198" i="1"/>
  <c r="A199" i="1"/>
  <c r="P199" i="1"/>
  <c r="A200" i="1"/>
  <c r="P200" i="1"/>
  <c r="A201" i="1"/>
  <c r="P201" i="1"/>
  <c r="A202" i="1"/>
  <c r="P202" i="1"/>
  <c r="A203" i="1"/>
  <c r="P203" i="1"/>
  <c r="A204" i="1"/>
  <c r="P204" i="1"/>
  <c r="A205" i="1"/>
  <c r="P205" i="1"/>
  <c r="A206" i="1"/>
  <c r="P206" i="1"/>
  <c r="A207" i="1"/>
  <c r="P207" i="1"/>
  <c r="A208" i="1"/>
  <c r="P208" i="1"/>
  <c r="A209" i="1"/>
  <c r="P209" i="1"/>
  <c r="A210" i="1"/>
  <c r="P210" i="1"/>
  <c r="A211" i="1"/>
  <c r="P211" i="1"/>
  <c r="A212" i="1"/>
  <c r="P212" i="1"/>
  <c r="A213" i="1"/>
  <c r="P213" i="1"/>
  <c r="A214" i="1"/>
  <c r="P214" i="1"/>
  <c r="A215" i="1"/>
  <c r="P215" i="1"/>
  <c r="A216" i="1"/>
  <c r="P216" i="1"/>
  <c r="A217" i="1"/>
  <c r="P217" i="1"/>
  <c r="A218" i="1"/>
  <c r="P218" i="1"/>
  <c r="A219" i="1"/>
  <c r="P219" i="1"/>
  <c r="A220" i="1"/>
  <c r="P220" i="1"/>
  <c r="A221" i="1"/>
  <c r="P221" i="1"/>
  <c r="A222" i="1"/>
  <c r="P222" i="1"/>
  <c r="A223" i="1"/>
  <c r="P223" i="1"/>
  <c r="A224" i="1"/>
  <c r="P224" i="1"/>
  <c r="A225" i="1"/>
  <c r="P225" i="1"/>
  <c r="A226" i="1"/>
  <c r="P226" i="1"/>
  <c r="A227" i="1"/>
  <c r="P227" i="1"/>
  <c r="A228" i="1"/>
  <c r="P228" i="1"/>
  <c r="A229" i="1"/>
  <c r="P229" i="1"/>
  <c r="A230" i="1"/>
  <c r="P230" i="1"/>
  <c r="A231" i="1"/>
  <c r="P231" i="1"/>
  <c r="A232" i="1"/>
  <c r="P232" i="1"/>
  <c r="A233" i="1"/>
  <c r="P233" i="1"/>
  <c r="A234" i="1"/>
  <c r="P234" i="1"/>
  <c r="A235" i="1"/>
  <c r="P235" i="1"/>
  <c r="A236" i="1"/>
  <c r="P236" i="1"/>
  <c r="A237" i="1"/>
  <c r="P237" i="1"/>
  <c r="A238" i="1"/>
  <c r="P238" i="1"/>
  <c r="A239" i="1"/>
  <c r="P239" i="1"/>
  <c r="A240" i="1"/>
  <c r="P240" i="1"/>
  <c r="A241" i="1"/>
  <c r="P241" i="1"/>
  <c r="A242" i="1"/>
  <c r="P242" i="1"/>
  <c r="A243" i="1"/>
  <c r="P243" i="1"/>
  <c r="A244" i="1"/>
  <c r="P244" i="1"/>
  <c r="A245" i="1"/>
  <c r="P245" i="1"/>
  <c r="A246" i="1"/>
  <c r="P246" i="1"/>
  <c r="A247" i="1"/>
  <c r="P247" i="1"/>
  <c r="A248" i="1"/>
  <c r="P248" i="1"/>
  <c r="A249" i="1"/>
  <c r="P249" i="1"/>
  <c r="A250" i="1"/>
  <c r="P250" i="1"/>
  <c r="A251" i="1"/>
  <c r="P251" i="1"/>
  <c r="A252" i="1"/>
  <c r="P252" i="1"/>
  <c r="A253" i="1"/>
  <c r="P253" i="1"/>
  <c r="A254" i="1"/>
  <c r="P254" i="1"/>
  <c r="A255" i="1"/>
  <c r="P255" i="1"/>
  <c r="A256" i="1"/>
  <c r="P256" i="1"/>
  <c r="A257" i="1"/>
  <c r="P257" i="1"/>
  <c r="A258" i="1"/>
  <c r="P258" i="1"/>
  <c r="A259" i="1"/>
  <c r="P259" i="1"/>
  <c r="A260" i="1"/>
  <c r="P260" i="1"/>
  <c r="A261" i="1"/>
  <c r="P261" i="1"/>
  <c r="A262" i="1"/>
  <c r="P262" i="1"/>
  <c r="A263" i="1"/>
  <c r="P263" i="1"/>
  <c r="A264" i="1"/>
  <c r="P264" i="1"/>
  <c r="A265" i="1"/>
  <c r="P265" i="1"/>
  <c r="A266" i="1"/>
  <c r="P266" i="1"/>
  <c r="A267" i="1"/>
  <c r="P267" i="1"/>
  <c r="A268" i="1"/>
  <c r="P268" i="1"/>
  <c r="A269" i="1"/>
  <c r="P269" i="1"/>
  <c r="A270" i="1"/>
  <c r="P270" i="1"/>
  <c r="A271" i="1"/>
  <c r="P271" i="1"/>
  <c r="A272" i="1"/>
  <c r="P272" i="1"/>
  <c r="A273" i="1"/>
  <c r="P273" i="1"/>
  <c r="A274" i="1"/>
  <c r="P274" i="1"/>
  <c r="A275" i="1"/>
  <c r="P275" i="1"/>
  <c r="A276" i="1"/>
  <c r="P276" i="1"/>
  <c r="A277" i="1"/>
  <c r="P277" i="1"/>
  <c r="A278" i="1"/>
  <c r="P278" i="1"/>
  <c r="A279" i="1"/>
  <c r="P279" i="1"/>
  <c r="A280" i="1"/>
  <c r="P280" i="1"/>
  <c r="A281" i="1"/>
  <c r="P281" i="1"/>
  <c r="A282" i="1"/>
  <c r="P282" i="1"/>
  <c r="A283" i="1"/>
  <c r="P283" i="1"/>
  <c r="A284" i="1"/>
  <c r="P284" i="1"/>
  <c r="A285" i="1"/>
  <c r="P285" i="1"/>
  <c r="A286" i="1"/>
  <c r="P286" i="1"/>
  <c r="A287" i="1"/>
  <c r="P287" i="1"/>
  <c r="A288" i="1"/>
  <c r="P288" i="1"/>
  <c r="A289" i="1"/>
  <c r="P289" i="1"/>
  <c r="A290" i="1"/>
  <c r="P290" i="1"/>
  <c r="A291" i="1"/>
  <c r="P291" i="1"/>
  <c r="A292" i="1"/>
  <c r="P292" i="1"/>
  <c r="A293" i="1"/>
  <c r="P293" i="1"/>
  <c r="A294" i="1"/>
  <c r="P294" i="1"/>
  <c r="A295" i="1"/>
  <c r="P295" i="1"/>
  <c r="A296" i="1"/>
  <c r="P296" i="1"/>
  <c r="A297" i="1"/>
  <c r="P297" i="1"/>
  <c r="A298" i="1"/>
  <c r="P298" i="1"/>
  <c r="A299" i="1"/>
  <c r="P299" i="1"/>
  <c r="A300" i="1"/>
  <c r="P300" i="1"/>
  <c r="A301" i="1"/>
  <c r="P301" i="1"/>
  <c r="A302" i="1"/>
  <c r="P302" i="1"/>
  <c r="A303" i="1"/>
  <c r="P303" i="1"/>
  <c r="A304" i="1"/>
  <c r="P304" i="1"/>
  <c r="A305" i="1"/>
  <c r="P305" i="1"/>
  <c r="A306" i="1"/>
  <c r="P306" i="1"/>
  <c r="A307" i="1"/>
  <c r="P307" i="1"/>
  <c r="A308" i="1"/>
  <c r="P308" i="1"/>
  <c r="A309" i="1"/>
  <c r="P309" i="1"/>
  <c r="A310" i="1"/>
  <c r="P310" i="1"/>
  <c r="A311" i="1"/>
  <c r="P311" i="1"/>
  <c r="A312" i="1"/>
  <c r="P312" i="1"/>
  <c r="A313" i="1"/>
  <c r="P313" i="1"/>
  <c r="A314" i="1"/>
  <c r="P314" i="1"/>
  <c r="A315" i="1"/>
  <c r="P315" i="1"/>
  <c r="A316" i="1"/>
  <c r="P316" i="1"/>
  <c r="A317" i="1"/>
  <c r="P317" i="1"/>
  <c r="A318" i="1"/>
  <c r="P318" i="1"/>
  <c r="A319" i="1"/>
  <c r="P319" i="1"/>
  <c r="A320" i="1"/>
  <c r="P320" i="1"/>
  <c r="A321" i="1"/>
  <c r="P321" i="1"/>
  <c r="A322" i="1"/>
  <c r="P322" i="1"/>
  <c r="A323" i="1"/>
  <c r="P323" i="1"/>
  <c r="A324" i="1"/>
  <c r="P324" i="1"/>
  <c r="A325" i="1"/>
  <c r="P325" i="1"/>
  <c r="A326" i="1"/>
  <c r="P326" i="1"/>
  <c r="A327" i="1"/>
  <c r="P327" i="1"/>
  <c r="A328" i="1"/>
  <c r="P328" i="1"/>
  <c r="A329" i="1"/>
  <c r="P329" i="1"/>
  <c r="A330" i="1"/>
  <c r="P330" i="1"/>
  <c r="A331" i="1"/>
  <c r="P331" i="1"/>
  <c r="A332" i="1"/>
  <c r="P332" i="1"/>
  <c r="A333" i="1"/>
  <c r="P333" i="1"/>
  <c r="A334" i="1"/>
  <c r="P334" i="1"/>
  <c r="A335" i="1"/>
  <c r="P335" i="1"/>
  <c r="A336" i="1"/>
  <c r="P336" i="1"/>
  <c r="A337" i="1"/>
  <c r="P337" i="1"/>
  <c r="A338" i="1"/>
  <c r="P338" i="1"/>
  <c r="A339" i="1"/>
  <c r="P339" i="1"/>
  <c r="A340" i="1"/>
  <c r="P340" i="1"/>
  <c r="A341" i="1"/>
  <c r="P341" i="1"/>
  <c r="A342" i="1"/>
  <c r="P342" i="1"/>
  <c r="A343" i="1"/>
  <c r="P343" i="1"/>
  <c r="A344" i="1"/>
  <c r="P344" i="1"/>
  <c r="A345" i="1"/>
  <c r="P345" i="1"/>
  <c r="A346" i="1"/>
  <c r="P346" i="1"/>
  <c r="A347" i="1"/>
  <c r="P347" i="1"/>
  <c r="A348" i="1"/>
  <c r="P348" i="1"/>
  <c r="A349" i="1"/>
  <c r="P349" i="1"/>
  <c r="A350" i="1"/>
  <c r="P350" i="1"/>
  <c r="A351" i="1"/>
  <c r="P351" i="1"/>
  <c r="A352" i="1"/>
  <c r="P352" i="1"/>
  <c r="A353" i="1"/>
  <c r="P353" i="1"/>
  <c r="A354" i="1"/>
  <c r="P354" i="1"/>
  <c r="A355" i="1"/>
  <c r="P355" i="1"/>
  <c r="A356" i="1"/>
  <c r="P356" i="1"/>
  <c r="A357" i="1"/>
  <c r="P357" i="1"/>
  <c r="A358" i="1"/>
  <c r="P358" i="1"/>
  <c r="A359" i="1"/>
  <c r="P359" i="1"/>
  <c r="A360" i="1"/>
  <c r="P360" i="1"/>
  <c r="A361" i="1"/>
  <c r="P361" i="1"/>
  <c r="A362" i="1"/>
  <c r="P362" i="1"/>
  <c r="A363" i="1"/>
  <c r="P363" i="1"/>
  <c r="A364" i="1"/>
  <c r="P364" i="1"/>
  <c r="A365" i="1"/>
  <c r="P365" i="1"/>
  <c r="A366" i="1"/>
  <c r="P366" i="1"/>
  <c r="A367" i="1"/>
  <c r="P367" i="1"/>
  <c r="A368" i="1"/>
  <c r="P368" i="1"/>
  <c r="A369" i="1"/>
  <c r="P369" i="1"/>
  <c r="A370" i="1"/>
  <c r="P370" i="1"/>
  <c r="A371" i="1"/>
  <c r="P371" i="1"/>
  <c r="A372" i="1"/>
  <c r="P372" i="1"/>
  <c r="A373" i="1"/>
  <c r="P373" i="1"/>
  <c r="A374" i="1"/>
  <c r="P374" i="1"/>
  <c r="A375" i="1"/>
  <c r="P375" i="1"/>
  <c r="A376" i="1"/>
  <c r="P376" i="1"/>
  <c r="A377" i="1"/>
  <c r="P377" i="1"/>
  <c r="A378" i="1"/>
  <c r="P378" i="1"/>
  <c r="A379" i="1"/>
  <c r="P379" i="1"/>
  <c r="A380" i="1"/>
  <c r="P380" i="1"/>
  <c r="A381" i="1"/>
  <c r="P381" i="1"/>
  <c r="A382" i="1"/>
  <c r="P382" i="1"/>
  <c r="A383" i="1"/>
  <c r="P383" i="1"/>
  <c r="A384" i="1"/>
  <c r="P384" i="1"/>
  <c r="A385" i="1"/>
  <c r="P385" i="1"/>
  <c r="A386" i="1"/>
  <c r="P386" i="1"/>
  <c r="A387" i="1"/>
  <c r="P387" i="1"/>
  <c r="A388" i="1"/>
  <c r="P388" i="1"/>
  <c r="A389" i="1"/>
  <c r="P389" i="1"/>
  <c r="A390" i="1"/>
  <c r="P390" i="1"/>
  <c r="A391" i="1"/>
  <c r="P391" i="1"/>
  <c r="A392" i="1"/>
  <c r="P392" i="1"/>
  <c r="A393" i="1"/>
  <c r="P393" i="1"/>
  <c r="A394" i="1"/>
  <c r="P394" i="1"/>
  <c r="A395" i="1"/>
  <c r="P395" i="1"/>
  <c r="A396" i="1"/>
  <c r="P396" i="1"/>
  <c r="A397" i="1"/>
  <c r="P397" i="1"/>
  <c r="A398" i="1"/>
  <c r="P398" i="1"/>
  <c r="A399" i="1"/>
  <c r="P399" i="1"/>
  <c r="A400" i="1"/>
  <c r="P400" i="1"/>
  <c r="A401" i="1"/>
  <c r="P401" i="1"/>
  <c r="A402" i="1"/>
  <c r="P402" i="1"/>
  <c r="A403" i="1"/>
  <c r="P403" i="1"/>
  <c r="A404" i="1"/>
  <c r="P404" i="1"/>
  <c r="A405" i="1"/>
  <c r="P405" i="1"/>
  <c r="A406" i="1"/>
  <c r="P406" i="1"/>
  <c r="A407" i="1"/>
  <c r="P407" i="1"/>
  <c r="A408" i="1"/>
  <c r="P408" i="1"/>
  <c r="A409" i="1"/>
  <c r="P409" i="1"/>
  <c r="A410" i="1"/>
  <c r="P410" i="1"/>
  <c r="A411" i="1"/>
  <c r="P411" i="1"/>
  <c r="A412" i="1"/>
  <c r="P412" i="1"/>
  <c r="A413" i="1"/>
  <c r="P413" i="1"/>
  <c r="A414" i="1"/>
  <c r="P414" i="1"/>
  <c r="A415" i="1"/>
  <c r="P415" i="1"/>
  <c r="A416" i="1"/>
  <c r="P416" i="1"/>
  <c r="A417" i="1"/>
  <c r="P417" i="1"/>
  <c r="A418" i="1"/>
  <c r="P418" i="1"/>
  <c r="A419" i="1"/>
  <c r="P419" i="1"/>
  <c r="A420" i="1"/>
  <c r="P420" i="1"/>
  <c r="A421" i="1"/>
  <c r="P421" i="1"/>
  <c r="A422" i="1"/>
  <c r="P422" i="1"/>
  <c r="A423" i="1"/>
  <c r="P423" i="1"/>
  <c r="A424" i="1"/>
  <c r="P424" i="1"/>
  <c r="A425" i="1"/>
  <c r="P425" i="1"/>
  <c r="A426" i="1"/>
  <c r="P426" i="1"/>
  <c r="A427" i="1"/>
  <c r="P427" i="1"/>
  <c r="A428" i="1"/>
  <c r="P428" i="1"/>
  <c r="A429" i="1"/>
  <c r="P429" i="1"/>
  <c r="A430" i="1"/>
  <c r="P430" i="1"/>
  <c r="A431" i="1"/>
  <c r="P431" i="1"/>
  <c r="A432" i="1"/>
  <c r="P432" i="1"/>
  <c r="A433" i="1"/>
  <c r="P433" i="1"/>
  <c r="A434" i="1"/>
  <c r="P434" i="1"/>
  <c r="A435" i="1"/>
  <c r="P435" i="1"/>
  <c r="A436" i="1"/>
  <c r="P436" i="1"/>
  <c r="A437" i="1"/>
  <c r="P437" i="1"/>
  <c r="A438" i="1"/>
  <c r="P438" i="1"/>
  <c r="A439" i="1"/>
  <c r="P439" i="1"/>
  <c r="A440" i="1"/>
  <c r="P440" i="1"/>
  <c r="A441" i="1"/>
  <c r="P441" i="1"/>
  <c r="A442" i="1"/>
  <c r="P442" i="1"/>
  <c r="A443" i="1"/>
  <c r="P443" i="1"/>
  <c r="A444" i="1"/>
  <c r="P444" i="1"/>
  <c r="A445" i="1"/>
  <c r="P445" i="1"/>
  <c r="A446" i="1"/>
  <c r="P446" i="1"/>
  <c r="A447" i="1"/>
  <c r="P447" i="1"/>
  <c r="A448" i="1"/>
  <c r="P448" i="1"/>
  <c r="A449" i="1"/>
  <c r="P449" i="1"/>
  <c r="A450" i="1"/>
  <c r="P450" i="1"/>
  <c r="A451" i="1"/>
  <c r="P451" i="1"/>
  <c r="A452" i="1"/>
  <c r="P452" i="1"/>
  <c r="A453" i="1"/>
  <c r="P453" i="1"/>
  <c r="A454" i="1"/>
  <c r="P454" i="1"/>
  <c r="A455" i="1"/>
  <c r="P455" i="1"/>
  <c r="A456" i="1"/>
  <c r="P456" i="1"/>
  <c r="A457" i="1"/>
  <c r="P457" i="1"/>
  <c r="A458" i="1"/>
  <c r="P458" i="1"/>
  <c r="A459" i="1"/>
  <c r="P459" i="1"/>
  <c r="A460" i="1"/>
  <c r="P460" i="1"/>
  <c r="A461" i="1"/>
  <c r="P461" i="1"/>
  <c r="A462" i="1"/>
  <c r="P462" i="1"/>
  <c r="A463" i="1"/>
  <c r="P463" i="1"/>
  <c r="A464" i="1"/>
  <c r="P464" i="1"/>
  <c r="A465" i="1"/>
  <c r="P465" i="1"/>
  <c r="A466" i="1"/>
  <c r="P466" i="1"/>
  <c r="A467" i="1"/>
  <c r="P467" i="1"/>
  <c r="A468" i="1"/>
  <c r="P468" i="1"/>
  <c r="A469" i="1"/>
  <c r="P469" i="1"/>
  <c r="A470" i="1"/>
  <c r="P470" i="1"/>
  <c r="A471" i="1"/>
  <c r="P471" i="1"/>
  <c r="A472" i="1"/>
  <c r="P472" i="1"/>
  <c r="A473" i="1"/>
  <c r="P473" i="1"/>
  <c r="A474" i="1"/>
  <c r="P474" i="1"/>
  <c r="A475" i="1"/>
  <c r="P475" i="1"/>
  <c r="A476" i="1"/>
  <c r="P476" i="1"/>
  <c r="A477" i="1"/>
  <c r="P477" i="1"/>
  <c r="A478" i="1"/>
  <c r="P478" i="1"/>
  <c r="A479" i="1"/>
  <c r="P479" i="1"/>
  <c r="A480" i="1"/>
  <c r="P480" i="1"/>
  <c r="A481" i="1"/>
  <c r="P481" i="1"/>
  <c r="A482" i="1"/>
  <c r="P482" i="1"/>
  <c r="A483" i="1"/>
  <c r="P483" i="1"/>
  <c r="A484" i="1"/>
  <c r="P484" i="1"/>
  <c r="A485" i="1"/>
  <c r="P485" i="1"/>
  <c r="A486" i="1"/>
  <c r="P486" i="1"/>
  <c r="A487" i="1"/>
  <c r="P487" i="1"/>
  <c r="A488" i="1"/>
  <c r="P488" i="1"/>
  <c r="A489" i="1"/>
  <c r="P489" i="1"/>
  <c r="A490" i="1"/>
  <c r="P490" i="1"/>
  <c r="A491" i="1"/>
  <c r="P491" i="1"/>
  <c r="A492" i="1"/>
  <c r="P492" i="1"/>
  <c r="A493" i="1"/>
  <c r="P493" i="1"/>
  <c r="A494" i="1"/>
  <c r="P494" i="1"/>
  <c r="A495" i="1"/>
  <c r="P495" i="1"/>
  <c r="A496" i="1"/>
  <c r="P496" i="1"/>
  <c r="A497" i="1"/>
  <c r="P497" i="1"/>
  <c r="A498" i="1"/>
  <c r="P498" i="1"/>
  <c r="A499" i="1"/>
  <c r="P499" i="1"/>
  <c r="A500" i="1"/>
  <c r="P500" i="1"/>
  <c r="A501" i="1"/>
  <c r="P501" i="1"/>
  <c r="A502" i="1"/>
  <c r="P502" i="1"/>
  <c r="A503" i="1"/>
  <c r="P503" i="1"/>
  <c r="A504" i="1"/>
  <c r="P504" i="1"/>
  <c r="A505" i="1"/>
  <c r="P505" i="1"/>
  <c r="A506" i="1"/>
  <c r="P506" i="1"/>
  <c r="A507" i="1"/>
  <c r="P507" i="1"/>
  <c r="A508" i="1"/>
  <c r="P508" i="1"/>
  <c r="A509" i="1"/>
  <c r="P509" i="1"/>
  <c r="A510" i="1"/>
  <c r="P510" i="1"/>
  <c r="A511" i="1"/>
  <c r="P511" i="1"/>
  <c r="A512" i="1"/>
  <c r="P512" i="1"/>
  <c r="A513" i="1"/>
  <c r="P513" i="1"/>
  <c r="A514" i="1"/>
  <c r="P514" i="1"/>
  <c r="A515" i="1"/>
  <c r="P515" i="1"/>
  <c r="A516" i="1"/>
  <c r="P516" i="1"/>
  <c r="A517" i="1"/>
  <c r="P517" i="1"/>
  <c r="A518" i="1"/>
  <c r="P518" i="1"/>
  <c r="A519" i="1"/>
  <c r="P519" i="1"/>
  <c r="A520" i="1"/>
  <c r="P520" i="1"/>
  <c r="A521" i="1"/>
  <c r="P521" i="1"/>
  <c r="A522" i="1"/>
  <c r="P522" i="1"/>
  <c r="A523" i="1"/>
  <c r="P523" i="1"/>
  <c r="A524" i="1"/>
  <c r="P524" i="1"/>
  <c r="A525" i="1"/>
  <c r="P525" i="1"/>
  <c r="A526" i="1"/>
  <c r="P526" i="1"/>
  <c r="A527" i="1"/>
  <c r="P527" i="1"/>
  <c r="A528" i="1"/>
  <c r="P528" i="1"/>
  <c r="A529" i="1"/>
  <c r="P529" i="1"/>
  <c r="A530" i="1"/>
  <c r="P530" i="1"/>
  <c r="A531" i="1"/>
  <c r="P531" i="1"/>
  <c r="A532" i="1"/>
  <c r="P532" i="1"/>
  <c r="A533" i="1"/>
  <c r="P533" i="1"/>
  <c r="A534" i="1"/>
  <c r="P534" i="1"/>
  <c r="A535" i="1"/>
  <c r="P535" i="1"/>
  <c r="A536" i="1"/>
  <c r="P536" i="1"/>
  <c r="A537" i="1"/>
  <c r="P537" i="1"/>
  <c r="A538" i="1"/>
  <c r="P538" i="1"/>
  <c r="A539" i="1"/>
  <c r="P539" i="1"/>
  <c r="A540" i="1"/>
  <c r="P540" i="1"/>
  <c r="A541" i="1"/>
  <c r="P541" i="1"/>
  <c r="A542" i="1"/>
  <c r="P542" i="1"/>
  <c r="A543" i="1"/>
  <c r="P543" i="1"/>
  <c r="A544" i="1"/>
  <c r="P544" i="1"/>
  <c r="A545" i="1"/>
  <c r="P545" i="1"/>
  <c r="A546" i="1"/>
  <c r="P546" i="1"/>
  <c r="A547" i="1"/>
  <c r="P547" i="1"/>
  <c r="A548" i="1"/>
  <c r="P548" i="1"/>
  <c r="A549" i="1"/>
  <c r="P549" i="1"/>
  <c r="A550" i="1"/>
  <c r="P550" i="1"/>
  <c r="A551" i="1"/>
  <c r="P551" i="1"/>
  <c r="A552" i="1"/>
  <c r="P552" i="1"/>
  <c r="A553" i="1"/>
  <c r="P553" i="1"/>
  <c r="A554" i="1"/>
  <c r="P554" i="1"/>
  <c r="A555" i="1"/>
  <c r="P555" i="1"/>
  <c r="A556" i="1"/>
  <c r="P556" i="1"/>
  <c r="A557" i="1"/>
  <c r="P557" i="1"/>
  <c r="A558" i="1"/>
  <c r="P558" i="1"/>
  <c r="A559" i="1"/>
  <c r="P559" i="1"/>
  <c r="A560" i="1"/>
  <c r="P560" i="1"/>
  <c r="A561" i="1"/>
  <c r="P561" i="1"/>
  <c r="A562" i="1"/>
  <c r="P562" i="1"/>
  <c r="A563" i="1"/>
  <c r="P563" i="1"/>
  <c r="A564" i="1"/>
  <c r="P564" i="1"/>
  <c r="A565" i="1"/>
  <c r="P565" i="1"/>
  <c r="A566" i="1"/>
  <c r="P566" i="1"/>
  <c r="A567" i="1"/>
  <c r="P567" i="1"/>
  <c r="A568" i="1"/>
  <c r="P568" i="1"/>
  <c r="A569" i="1"/>
  <c r="P569" i="1"/>
  <c r="A570" i="1"/>
  <c r="P570" i="1"/>
  <c r="A571" i="1"/>
  <c r="P571" i="1"/>
  <c r="A572" i="1"/>
  <c r="P572" i="1"/>
  <c r="A573" i="1"/>
  <c r="P573" i="1"/>
  <c r="A574" i="1"/>
  <c r="P574" i="1"/>
  <c r="A575" i="1"/>
  <c r="P575" i="1"/>
  <c r="A576" i="1"/>
  <c r="P576" i="1"/>
  <c r="A577" i="1"/>
  <c r="P577" i="1"/>
  <c r="A578" i="1"/>
  <c r="P578" i="1"/>
  <c r="A579" i="1"/>
  <c r="P579" i="1"/>
  <c r="A580" i="1"/>
  <c r="P580" i="1"/>
  <c r="A581" i="1"/>
  <c r="P581" i="1"/>
  <c r="A582" i="1"/>
  <c r="P582" i="1"/>
  <c r="A583" i="1"/>
  <c r="P583" i="1"/>
  <c r="A584" i="1"/>
  <c r="P584" i="1"/>
  <c r="A585" i="1"/>
  <c r="P585" i="1"/>
  <c r="A586" i="1"/>
  <c r="P586" i="1"/>
  <c r="A587" i="1"/>
  <c r="P587" i="1"/>
  <c r="A588" i="1"/>
  <c r="P588" i="1"/>
  <c r="A589" i="1"/>
  <c r="P589" i="1"/>
  <c r="A590" i="1"/>
  <c r="P590" i="1"/>
  <c r="A591" i="1"/>
  <c r="P591" i="1"/>
  <c r="A592" i="1"/>
  <c r="P592" i="1"/>
  <c r="A593" i="1"/>
  <c r="P593" i="1"/>
  <c r="A594" i="1"/>
  <c r="P594" i="1"/>
  <c r="A595" i="1"/>
  <c r="P595" i="1"/>
  <c r="A596" i="1"/>
  <c r="P596" i="1"/>
  <c r="A597" i="1"/>
  <c r="P597" i="1"/>
  <c r="A598" i="1"/>
  <c r="P598" i="1"/>
  <c r="A599" i="1"/>
  <c r="P599" i="1"/>
  <c r="A600" i="1"/>
  <c r="P600" i="1"/>
  <c r="A601" i="1"/>
  <c r="P601" i="1"/>
  <c r="A602" i="1"/>
  <c r="P602" i="1"/>
  <c r="A603" i="1"/>
  <c r="P603" i="1"/>
  <c r="A604" i="1"/>
  <c r="P604" i="1"/>
  <c r="A605" i="1"/>
  <c r="P605" i="1"/>
  <c r="A606" i="1"/>
  <c r="P606" i="1"/>
  <c r="A607" i="1"/>
  <c r="P607" i="1"/>
  <c r="A608" i="1"/>
  <c r="P608" i="1"/>
  <c r="A609" i="1"/>
  <c r="P609" i="1"/>
  <c r="A610" i="1"/>
  <c r="P610" i="1"/>
  <c r="A611" i="1"/>
  <c r="P611" i="1"/>
  <c r="A612" i="1"/>
  <c r="P612" i="1"/>
  <c r="A613" i="1"/>
  <c r="P613" i="1"/>
  <c r="A614" i="1"/>
  <c r="P614" i="1"/>
  <c r="A615" i="1"/>
  <c r="P615" i="1"/>
  <c r="A616" i="1"/>
  <c r="P616" i="1"/>
  <c r="A617" i="1"/>
  <c r="P617" i="1"/>
  <c r="A618" i="1"/>
  <c r="P618" i="1"/>
  <c r="A619" i="1"/>
  <c r="P619" i="1"/>
  <c r="A620" i="1"/>
  <c r="P620" i="1"/>
  <c r="A621" i="1"/>
  <c r="P621" i="1"/>
  <c r="A622" i="1"/>
  <c r="P622" i="1"/>
  <c r="A623" i="1"/>
  <c r="P623" i="1"/>
  <c r="A624" i="1"/>
  <c r="P624" i="1"/>
  <c r="A625" i="1"/>
  <c r="P625" i="1"/>
  <c r="A626" i="1"/>
  <c r="P626" i="1"/>
  <c r="A627" i="1"/>
  <c r="P627" i="1"/>
  <c r="A628" i="1"/>
  <c r="P628" i="1"/>
  <c r="A629" i="1"/>
  <c r="P629" i="1"/>
  <c r="A630" i="1"/>
  <c r="P630" i="1"/>
  <c r="A631" i="1"/>
  <c r="P631" i="1"/>
  <c r="A632" i="1"/>
  <c r="P632" i="1"/>
  <c r="A633" i="1"/>
  <c r="P633" i="1"/>
  <c r="A634" i="1"/>
  <c r="P634" i="1"/>
  <c r="A635" i="1"/>
  <c r="P635" i="1"/>
  <c r="A636" i="1"/>
  <c r="P636" i="1"/>
  <c r="A637" i="1"/>
  <c r="P637" i="1"/>
  <c r="A638" i="1"/>
  <c r="P638" i="1"/>
  <c r="A639" i="1"/>
  <c r="P639" i="1"/>
  <c r="A640" i="1"/>
  <c r="P640" i="1"/>
  <c r="A641" i="1"/>
  <c r="P641" i="1"/>
  <c r="A642" i="1"/>
  <c r="P642" i="1"/>
  <c r="A643" i="1"/>
  <c r="P643" i="1"/>
  <c r="A644" i="1"/>
  <c r="P644" i="1"/>
  <c r="A645" i="1"/>
  <c r="P645" i="1"/>
  <c r="A646" i="1"/>
  <c r="P646" i="1"/>
  <c r="A647" i="1"/>
  <c r="P647" i="1"/>
  <c r="A648" i="1"/>
  <c r="P648" i="1"/>
  <c r="A649" i="1"/>
  <c r="P649" i="1"/>
  <c r="A650" i="1"/>
  <c r="P650" i="1"/>
  <c r="A651" i="1"/>
  <c r="P651" i="1"/>
  <c r="A652" i="1"/>
  <c r="P652" i="1"/>
  <c r="A653" i="1"/>
  <c r="P653" i="1"/>
  <c r="A654" i="1"/>
  <c r="P654" i="1"/>
  <c r="A655" i="1"/>
  <c r="P655" i="1"/>
  <c r="A656" i="1"/>
  <c r="P656" i="1"/>
  <c r="A657" i="1"/>
  <c r="P657" i="1"/>
  <c r="A658" i="1"/>
  <c r="P658" i="1"/>
  <c r="A659" i="1"/>
  <c r="P659" i="1"/>
  <c r="A660" i="1"/>
  <c r="P660" i="1"/>
  <c r="A661" i="1"/>
  <c r="P661" i="1"/>
  <c r="A662" i="1"/>
  <c r="P662" i="1"/>
  <c r="A663" i="1"/>
  <c r="P663" i="1"/>
  <c r="A664" i="1"/>
  <c r="P664" i="1"/>
  <c r="A665" i="1"/>
  <c r="P665" i="1"/>
  <c r="A666" i="1"/>
  <c r="P666" i="1"/>
  <c r="A667" i="1"/>
  <c r="P667" i="1"/>
  <c r="A668" i="1"/>
  <c r="P668" i="1"/>
  <c r="A669" i="1"/>
  <c r="P669" i="1"/>
  <c r="A670" i="1"/>
  <c r="P670" i="1"/>
  <c r="A671" i="1"/>
  <c r="P671" i="1"/>
  <c r="A672" i="1"/>
  <c r="P672" i="1"/>
  <c r="A673" i="1"/>
  <c r="P673" i="1"/>
  <c r="A674" i="1"/>
  <c r="P674" i="1"/>
  <c r="A675" i="1"/>
  <c r="P675" i="1"/>
  <c r="A676" i="1"/>
  <c r="P676" i="1"/>
  <c r="A677" i="1"/>
  <c r="P677" i="1"/>
  <c r="A678" i="1"/>
  <c r="P678" i="1"/>
  <c r="A679" i="1"/>
  <c r="P679" i="1"/>
  <c r="A680" i="1"/>
  <c r="P680" i="1"/>
  <c r="A681" i="1"/>
  <c r="P681" i="1"/>
  <c r="A682" i="1"/>
  <c r="P682" i="1"/>
  <c r="A683" i="1"/>
  <c r="P683" i="1"/>
  <c r="A684" i="1"/>
  <c r="P684" i="1"/>
  <c r="A685" i="1"/>
  <c r="P685" i="1"/>
  <c r="A686" i="1"/>
  <c r="P686" i="1"/>
  <c r="A687" i="1"/>
  <c r="P687" i="1"/>
  <c r="A688" i="1"/>
  <c r="P688" i="1"/>
  <c r="A689" i="1"/>
  <c r="P689" i="1"/>
  <c r="A690" i="1"/>
  <c r="P690" i="1"/>
  <c r="A691" i="1"/>
  <c r="P691" i="1"/>
  <c r="A692" i="1"/>
  <c r="P692" i="1"/>
  <c r="A693" i="1"/>
  <c r="P693" i="1"/>
  <c r="A694" i="1"/>
  <c r="P694" i="1"/>
  <c r="A695" i="1"/>
  <c r="P695" i="1"/>
  <c r="A696" i="1"/>
  <c r="P696" i="1"/>
  <c r="A697" i="1"/>
  <c r="P697" i="1"/>
  <c r="A698" i="1"/>
  <c r="P698" i="1"/>
  <c r="A699" i="1"/>
  <c r="P699" i="1"/>
  <c r="A700" i="1"/>
  <c r="P700" i="1"/>
  <c r="A701" i="1"/>
  <c r="P701" i="1"/>
  <c r="A702" i="1"/>
  <c r="P702" i="1"/>
  <c r="A703" i="1"/>
  <c r="P703" i="1"/>
  <c r="A704" i="1"/>
  <c r="P704" i="1"/>
  <c r="A705" i="1"/>
  <c r="P705" i="1"/>
  <c r="A706" i="1"/>
  <c r="P706" i="1"/>
  <c r="A707" i="1"/>
  <c r="P707" i="1"/>
  <c r="A708" i="1"/>
  <c r="P708" i="1"/>
  <c r="A709" i="1"/>
  <c r="P709" i="1"/>
  <c r="A710" i="1"/>
  <c r="P710" i="1"/>
  <c r="A711" i="1"/>
  <c r="P711" i="1"/>
  <c r="A712" i="1"/>
  <c r="P712" i="1"/>
  <c r="A713" i="1"/>
  <c r="P713" i="1"/>
  <c r="A714" i="1"/>
  <c r="P714" i="1"/>
  <c r="A715" i="1"/>
  <c r="P715" i="1"/>
  <c r="A716" i="1"/>
  <c r="P716" i="1"/>
  <c r="A717" i="1"/>
  <c r="P717" i="1"/>
  <c r="A718" i="1"/>
  <c r="P718" i="1"/>
  <c r="A719" i="1"/>
  <c r="P719" i="1"/>
  <c r="A720" i="1"/>
  <c r="P720" i="1"/>
  <c r="A721" i="1"/>
  <c r="P721" i="1"/>
  <c r="A722" i="1"/>
  <c r="P722" i="1"/>
  <c r="A723" i="1"/>
  <c r="P723" i="1"/>
  <c r="A724" i="1"/>
  <c r="P724" i="1"/>
  <c r="A725" i="1"/>
  <c r="P725" i="1"/>
  <c r="A726" i="1"/>
  <c r="P726" i="1"/>
  <c r="A727" i="1"/>
  <c r="P727" i="1"/>
  <c r="A728" i="1"/>
  <c r="P728" i="1"/>
  <c r="A729" i="1"/>
  <c r="P729" i="1"/>
  <c r="A730" i="1"/>
  <c r="P730" i="1"/>
  <c r="A731" i="1"/>
  <c r="P731" i="1"/>
  <c r="A732" i="1"/>
  <c r="P732" i="1"/>
  <c r="A733" i="1"/>
  <c r="P733" i="1"/>
  <c r="A734" i="1"/>
  <c r="P734" i="1"/>
  <c r="A735" i="1"/>
  <c r="P735" i="1"/>
  <c r="A736" i="1"/>
  <c r="P736" i="1"/>
  <c r="A737" i="1"/>
  <c r="P737" i="1"/>
  <c r="A738" i="1"/>
  <c r="P738" i="1"/>
  <c r="A739" i="1"/>
  <c r="P739" i="1"/>
  <c r="A740" i="1"/>
  <c r="P740" i="1"/>
  <c r="A741" i="1"/>
  <c r="P741" i="1"/>
  <c r="A742" i="1"/>
  <c r="P742" i="1"/>
  <c r="A743" i="1"/>
  <c r="P743" i="1"/>
  <c r="A744" i="1"/>
  <c r="P744" i="1"/>
  <c r="A745" i="1"/>
  <c r="P745" i="1"/>
  <c r="A746" i="1"/>
  <c r="P746" i="1"/>
  <c r="A747" i="1"/>
  <c r="P747" i="1"/>
  <c r="A748" i="1"/>
  <c r="P748" i="1"/>
  <c r="A749" i="1"/>
  <c r="P749" i="1"/>
  <c r="A750" i="1"/>
  <c r="P750" i="1"/>
  <c r="A751" i="1"/>
  <c r="P751" i="1"/>
  <c r="A752" i="1"/>
  <c r="P752" i="1"/>
  <c r="A753" i="1"/>
  <c r="P753" i="1"/>
  <c r="A754" i="1"/>
  <c r="P754" i="1"/>
  <c r="A755" i="1"/>
  <c r="P755" i="1"/>
  <c r="A756" i="1"/>
  <c r="P756" i="1"/>
  <c r="A757" i="1"/>
  <c r="P757" i="1"/>
  <c r="A758" i="1"/>
  <c r="P758" i="1"/>
  <c r="A759" i="1"/>
  <c r="P759" i="1"/>
  <c r="A760" i="1"/>
  <c r="P760" i="1"/>
  <c r="A761" i="1"/>
  <c r="P761" i="1"/>
  <c r="A762" i="1"/>
  <c r="P762" i="1"/>
  <c r="A763" i="1"/>
  <c r="P763" i="1"/>
  <c r="A764" i="1"/>
  <c r="P764" i="1"/>
  <c r="A765" i="1"/>
  <c r="P765" i="1"/>
  <c r="A766" i="1"/>
  <c r="P766" i="1"/>
  <c r="A767" i="1"/>
  <c r="P767" i="1"/>
  <c r="A768" i="1"/>
  <c r="P768" i="1"/>
  <c r="A769" i="1"/>
  <c r="P769" i="1"/>
  <c r="A770" i="1"/>
  <c r="P770" i="1"/>
  <c r="A771" i="1"/>
  <c r="P771" i="1"/>
  <c r="A772" i="1"/>
  <c r="P772" i="1"/>
  <c r="A773" i="1"/>
  <c r="P773" i="1"/>
  <c r="A774" i="1"/>
  <c r="P774" i="1"/>
  <c r="A775" i="1"/>
  <c r="P775" i="1"/>
  <c r="A776" i="1"/>
  <c r="P776" i="1"/>
  <c r="A777" i="1"/>
  <c r="P777" i="1"/>
  <c r="A778" i="1"/>
  <c r="P778" i="1"/>
  <c r="A779" i="1"/>
  <c r="P779" i="1"/>
  <c r="A780" i="1"/>
  <c r="P780" i="1"/>
  <c r="A781" i="1"/>
  <c r="P781" i="1"/>
  <c r="A782" i="1"/>
  <c r="P782" i="1"/>
  <c r="A783" i="1"/>
  <c r="P783" i="1"/>
  <c r="A784" i="1"/>
  <c r="P784" i="1"/>
  <c r="A785" i="1"/>
  <c r="P785" i="1"/>
  <c r="A786" i="1"/>
  <c r="P786" i="1"/>
  <c r="A787" i="1"/>
  <c r="P787" i="1"/>
  <c r="A788" i="1"/>
  <c r="P788" i="1"/>
  <c r="A789" i="1"/>
  <c r="P789" i="1"/>
  <c r="A790" i="1"/>
  <c r="P790" i="1"/>
  <c r="A791" i="1"/>
  <c r="P791" i="1"/>
  <c r="A792" i="1"/>
  <c r="P792" i="1"/>
  <c r="A793" i="1"/>
  <c r="P793" i="1"/>
  <c r="A794" i="1"/>
  <c r="P794" i="1"/>
  <c r="A795" i="1"/>
  <c r="P795" i="1"/>
  <c r="A796" i="1"/>
  <c r="P796" i="1"/>
  <c r="A797" i="1"/>
  <c r="P797" i="1"/>
  <c r="A798" i="1"/>
  <c r="P798" i="1"/>
  <c r="A799" i="1"/>
  <c r="P799" i="1"/>
  <c r="A800" i="1"/>
  <c r="P800" i="1"/>
  <c r="A801" i="1"/>
  <c r="P801" i="1"/>
  <c r="A802" i="1"/>
  <c r="P802" i="1"/>
  <c r="A803" i="1"/>
  <c r="P803" i="1"/>
  <c r="A804" i="1"/>
  <c r="P804" i="1"/>
  <c r="A805" i="1"/>
  <c r="P805" i="1"/>
  <c r="A806" i="1"/>
  <c r="P806" i="1"/>
  <c r="A807" i="1"/>
  <c r="P807" i="1"/>
  <c r="A808" i="1"/>
  <c r="P808" i="1"/>
  <c r="A809" i="1"/>
  <c r="P809" i="1"/>
  <c r="A810" i="1"/>
  <c r="P810" i="1"/>
  <c r="A811" i="1"/>
  <c r="P811" i="1"/>
  <c r="A812" i="1"/>
  <c r="P812" i="1"/>
  <c r="A813" i="1"/>
  <c r="P813" i="1"/>
  <c r="A814" i="1"/>
  <c r="P814" i="1"/>
  <c r="A815" i="1"/>
  <c r="P815" i="1"/>
  <c r="A816" i="1"/>
  <c r="P816" i="1"/>
  <c r="A817" i="1"/>
  <c r="P817" i="1"/>
  <c r="A818" i="1"/>
  <c r="P818" i="1"/>
  <c r="A819" i="1"/>
  <c r="P819" i="1"/>
  <c r="A820" i="1"/>
  <c r="P820" i="1"/>
  <c r="A821" i="1"/>
  <c r="P821" i="1"/>
  <c r="A822" i="1"/>
  <c r="P822" i="1"/>
  <c r="A823" i="1"/>
  <c r="P823" i="1"/>
  <c r="A824" i="1"/>
  <c r="P824" i="1"/>
  <c r="A825" i="1"/>
  <c r="P825" i="1"/>
  <c r="A826" i="1"/>
  <c r="P826" i="1"/>
  <c r="A827" i="1"/>
  <c r="P827" i="1"/>
  <c r="A828" i="1"/>
  <c r="P828" i="1"/>
  <c r="A829" i="1"/>
  <c r="P829" i="1"/>
  <c r="A830" i="1"/>
  <c r="P830" i="1"/>
  <c r="A831" i="1"/>
  <c r="P831" i="1"/>
  <c r="A832" i="1"/>
  <c r="P832" i="1"/>
  <c r="A833" i="1"/>
  <c r="P833" i="1"/>
  <c r="A834" i="1"/>
  <c r="P834" i="1"/>
  <c r="A835" i="1"/>
  <c r="P835" i="1"/>
  <c r="A836" i="1"/>
  <c r="P836" i="1"/>
  <c r="A837" i="1"/>
  <c r="P837" i="1"/>
  <c r="A838" i="1"/>
  <c r="P838" i="1"/>
  <c r="A839" i="1"/>
  <c r="P839" i="1"/>
  <c r="A840" i="1"/>
  <c r="P840" i="1"/>
  <c r="A841" i="1"/>
  <c r="P841" i="1"/>
  <c r="A842" i="1"/>
  <c r="P842" i="1"/>
  <c r="A843" i="1"/>
  <c r="P843" i="1"/>
  <c r="A844" i="1"/>
  <c r="P844" i="1"/>
  <c r="A845" i="1"/>
  <c r="P845" i="1"/>
  <c r="A846" i="1"/>
  <c r="P846" i="1"/>
  <c r="A847" i="1"/>
  <c r="P847" i="1"/>
  <c r="A848" i="1"/>
  <c r="P848" i="1"/>
  <c r="A849" i="1"/>
  <c r="P849" i="1"/>
  <c r="A850" i="1"/>
  <c r="P850" i="1"/>
  <c r="A851" i="1"/>
  <c r="P851" i="1"/>
  <c r="A852" i="1"/>
  <c r="P852" i="1"/>
  <c r="A853" i="1"/>
  <c r="P853" i="1"/>
  <c r="A854" i="1"/>
  <c r="P854" i="1"/>
  <c r="A855" i="1"/>
  <c r="P855" i="1"/>
  <c r="A856" i="1"/>
  <c r="P856" i="1"/>
  <c r="A857" i="1"/>
  <c r="P857" i="1"/>
  <c r="A858" i="1"/>
  <c r="P858" i="1"/>
  <c r="A859" i="1"/>
  <c r="P859" i="1"/>
  <c r="A860" i="1"/>
  <c r="P860" i="1"/>
  <c r="A861" i="1"/>
  <c r="P861" i="1"/>
  <c r="A862" i="1"/>
  <c r="P862" i="1"/>
  <c r="A863" i="1"/>
  <c r="P863" i="1"/>
  <c r="A864" i="1"/>
  <c r="P864" i="1"/>
  <c r="A865" i="1"/>
  <c r="P865" i="1"/>
  <c r="A866" i="1"/>
  <c r="P866" i="1"/>
  <c r="A867" i="1"/>
  <c r="P867" i="1"/>
  <c r="A868" i="1"/>
  <c r="P868" i="1"/>
  <c r="A869" i="1"/>
  <c r="P869" i="1"/>
  <c r="A870" i="1"/>
  <c r="P870" i="1"/>
  <c r="A871" i="1"/>
  <c r="P871" i="1"/>
  <c r="A872" i="1"/>
  <c r="P872" i="1"/>
  <c r="A873" i="1"/>
  <c r="P873" i="1"/>
  <c r="A874" i="1"/>
  <c r="P874" i="1"/>
  <c r="A875" i="1"/>
  <c r="P875" i="1"/>
  <c r="A876" i="1"/>
  <c r="P876" i="1"/>
  <c r="A877" i="1"/>
  <c r="P877" i="1"/>
  <c r="A878" i="1"/>
  <c r="P878" i="1"/>
  <c r="A879" i="1"/>
  <c r="P879" i="1"/>
  <c r="A880" i="1"/>
  <c r="P880" i="1"/>
  <c r="A881" i="1"/>
  <c r="P881" i="1"/>
  <c r="A882" i="1"/>
  <c r="P882" i="1"/>
  <c r="A883" i="1"/>
  <c r="P883" i="1"/>
  <c r="A884" i="1"/>
  <c r="P884" i="1"/>
  <c r="A885" i="1"/>
  <c r="P885" i="1"/>
  <c r="A886" i="1"/>
  <c r="P886" i="1"/>
  <c r="A887" i="1"/>
  <c r="P887" i="1"/>
  <c r="A888" i="1"/>
  <c r="P888" i="1"/>
  <c r="A889" i="1"/>
  <c r="P889" i="1"/>
  <c r="A890" i="1"/>
  <c r="P890" i="1"/>
  <c r="A891" i="1"/>
  <c r="P891" i="1"/>
  <c r="A892" i="1"/>
  <c r="P892" i="1"/>
  <c r="A893" i="1"/>
  <c r="P893" i="1"/>
  <c r="A894" i="1"/>
  <c r="P894" i="1"/>
  <c r="A895" i="1"/>
  <c r="P895" i="1"/>
  <c r="A896" i="1"/>
  <c r="P896" i="1"/>
  <c r="A897" i="1"/>
  <c r="P897" i="1"/>
  <c r="A898" i="1"/>
  <c r="P898" i="1"/>
  <c r="A899" i="1"/>
  <c r="P899" i="1"/>
  <c r="A900" i="1"/>
  <c r="P900" i="1"/>
  <c r="A901" i="1"/>
  <c r="P901" i="1"/>
  <c r="A902" i="1"/>
  <c r="P902" i="1"/>
  <c r="A903" i="1"/>
  <c r="P903" i="1"/>
  <c r="A904" i="1"/>
  <c r="P904" i="1"/>
  <c r="A905" i="1"/>
  <c r="P905" i="1"/>
  <c r="A906" i="1"/>
  <c r="P906" i="1"/>
  <c r="A907" i="1"/>
  <c r="P907" i="1"/>
  <c r="A908" i="1"/>
  <c r="P908" i="1"/>
  <c r="A909" i="1"/>
  <c r="P909" i="1"/>
  <c r="A910" i="1"/>
  <c r="P910" i="1"/>
  <c r="A911" i="1"/>
  <c r="P911" i="1"/>
  <c r="A912" i="1"/>
  <c r="P912" i="1"/>
  <c r="A913" i="1"/>
  <c r="P913" i="1"/>
  <c r="A914" i="1"/>
  <c r="P914" i="1"/>
  <c r="A915" i="1"/>
  <c r="P915" i="1"/>
  <c r="A916" i="1"/>
  <c r="P916" i="1"/>
  <c r="A917" i="1"/>
  <c r="P917" i="1"/>
  <c r="A918" i="1"/>
  <c r="P918" i="1"/>
  <c r="A919" i="1"/>
  <c r="P919" i="1"/>
  <c r="A920" i="1"/>
  <c r="P920" i="1"/>
  <c r="A921" i="1"/>
  <c r="P921" i="1"/>
  <c r="A922" i="1"/>
  <c r="P922" i="1"/>
  <c r="A923" i="1"/>
  <c r="P923" i="1"/>
  <c r="A924" i="1"/>
  <c r="P924" i="1"/>
  <c r="A925" i="1"/>
  <c r="P925" i="1"/>
  <c r="A926" i="1"/>
  <c r="P926" i="1"/>
  <c r="A927" i="1"/>
  <c r="P927" i="1"/>
  <c r="A928" i="1"/>
  <c r="P928" i="1"/>
  <c r="A929" i="1"/>
  <c r="P929" i="1"/>
  <c r="A930" i="1"/>
  <c r="P930" i="1"/>
  <c r="A931" i="1"/>
  <c r="P931" i="1"/>
  <c r="A932" i="1"/>
  <c r="P932" i="1"/>
  <c r="A933" i="1"/>
  <c r="P933" i="1"/>
  <c r="A934" i="1"/>
  <c r="P934" i="1"/>
  <c r="A935" i="1"/>
  <c r="P935" i="1"/>
  <c r="A936" i="1"/>
  <c r="P936" i="1"/>
  <c r="A937" i="1"/>
  <c r="P937" i="1"/>
  <c r="A938" i="1"/>
  <c r="P938" i="1"/>
  <c r="A939" i="1"/>
  <c r="P939" i="1"/>
  <c r="A940" i="1"/>
  <c r="P940" i="1"/>
  <c r="A941" i="1"/>
  <c r="P941" i="1"/>
  <c r="A942" i="1"/>
  <c r="P942" i="1"/>
  <c r="A943" i="1"/>
  <c r="P943" i="1"/>
  <c r="A944" i="1"/>
  <c r="P944" i="1"/>
  <c r="A945" i="1"/>
  <c r="P945" i="1"/>
  <c r="A946" i="1"/>
  <c r="P946" i="1"/>
  <c r="A947" i="1"/>
  <c r="P947" i="1"/>
  <c r="A948" i="1"/>
  <c r="P948" i="1"/>
  <c r="A949" i="1"/>
  <c r="P949" i="1"/>
  <c r="A950" i="1"/>
  <c r="P950" i="1"/>
  <c r="A951" i="1"/>
  <c r="P951" i="1"/>
  <c r="A952" i="1"/>
  <c r="P952" i="1"/>
  <c r="A953" i="1"/>
  <c r="P953" i="1"/>
  <c r="A954" i="1"/>
  <c r="P954" i="1"/>
  <c r="A955" i="1"/>
  <c r="P955" i="1"/>
  <c r="A956" i="1"/>
  <c r="P956" i="1"/>
  <c r="A957" i="1"/>
  <c r="P957" i="1"/>
  <c r="A958" i="1"/>
  <c r="P958" i="1"/>
  <c r="A959" i="1"/>
  <c r="P959" i="1"/>
  <c r="A960" i="1"/>
  <c r="P960" i="1"/>
  <c r="A961" i="1"/>
  <c r="P961" i="1"/>
  <c r="A962" i="1"/>
  <c r="P962" i="1"/>
  <c r="A963" i="1"/>
  <c r="P963" i="1"/>
  <c r="A964" i="1"/>
  <c r="P964" i="1"/>
  <c r="A965" i="1"/>
  <c r="P965" i="1"/>
  <c r="A966" i="1"/>
  <c r="P966" i="1"/>
  <c r="A967" i="1"/>
  <c r="P967" i="1"/>
  <c r="A968" i="1"/>
  <c r="P968" i="1"/>
  <c r="A969" i="1"/>
  <c r="P969" i="1"/>
  <c r="A970" i="1"/>
  <c r="P970" i="1"/>
  <c r="A971" i="1"/>
  <c r="P971" i="1"/>
  <c r="A972" i="1"/>
  <c r="P972" i="1"/>
  <c r="A973" i="1"/>
  <c r="P973" i="1"/>
  <c r="A974" i="1"/>
  <c r="P974" i="1"/>
  <c r="A975" i="1"/>
  <c r="P975" i="1"/>
  <c r="A976" i="1"/>
  <c r="P976" i="1"/>
  <c r="A977" i="1"/>
  <c r="P977" i="1"/>
  <c r="A978" i="1"/>
  <c r="P978" i="1"/>
  <c r="A979" i="1"/>
  <c r="P979" i="1"/>
  <c r="A980" i="1"/>
  <c r="P980" i="1"/>
  <c r="A981" i="1"/>
  <c r="P981" i="1"/>
  <c r="A982" i="1"/>
  <c r="P982" i="1"/>
  <c r="A983" i="1"/>
  <c r="P983" i="1"/>
  <c r="A984" i="1"/>
  <c r="P984" i="1"/>
  <c r="A985" i="1"/>
  <c r="P985" i="1"/>
  <c r="A986" i="1"/>
  <c r="P986" i="1"/>
  <c r="A987" i="1"/>
  <c r="P987" i="1"/>
  <c r="A988" i="1"/>
  <c r="P988" i="1"/>
  <c r="A989" i="1"/>
  <c r="P989" i="1"/>
  <c r="A990" i="1"/>
  <c r="P990" i="1"/>
  <c r="A991" i="1"/>
  <c r="P991" i="1"/>
  <c r="A992" i="1"/>
  <c r="P992" i="1"/>
  <c r="A993" i="1"/>
  <c r="P993" i="1"/>
  <c r="A994" i="1"/>
  <c r="P994" i="1"/>
  <c r="A995" i="1"/>
  <c r="P995" i="1"/>
  <c r="A996" i="1"/>
  <c r="P996" i="1"/>
  <c r="A997" i="1"/>
  <c r="P997" i="1"/>
  <c r="A998" i="1"/>
  <c r="P998" i="1"/>
  <c r="A999" i="1"/>
  <c r="P999" i="1"/>
  <c r="A1000" i="1"/>
  <c r="P1000" i="1"/>
  <c r="A1001" i="1"/>
  <c r="P1001" i="1"/>
  <c r="A1002" i="1"/>
  <c r="P1002" i="1"/>
  <c r="A1003" i="1"/>
  <c r="P1003" i="1"/>
  <c r="A1004" i="1"/>
  <c r="P1004" i="1"/>
  <c r="A1005" i="1"/>
  <c r="P1005" i="1"/>
  <c r="A1006" i="1"/>
  <c r="P1006" i="1"/>
  <c r="A1007" i="1"/>
  <c r="P1007" i="1"/>
  <c r="A1008" i="1"/>
  <c r="P1008" i="1"/>
  <c r="A1009" i="1"/>
  <c r="P1009" i="1"/>
  <c r="A1010" i="1"/>
  <c r="P1010" i="1"/>
  <c r="A1011" i="1"/>
  <c r="P1011" i="1"/>
  <c r="A1012" i="1"/>
  <c r="P1012" i="1"/>
  <c r="A1013" i="1"/>
  <c r="P1013" i="1"/>
  <c r="A1014" i="1"/>
  <c r="P1014" i="1"/>
  <c r="A1015" i="1"/>
  <c r="P1015" i="1"/>
  <c r="A1016" i="1"/>
  <c r="P1016" i="1"/>
  <c r="A1017" i="1"/>
  <c r="P1017" i="1"/>
  <c r="A1018" i="1"/>
  <c r="P1018" i="1"/>
  <c r="A1019" i="1"/>
  <c r="P1019" i="1"/>
  <c r="A1020" i="1"/>
  <c r="P1020" i="1"/>
  <c r="A1021" i="1"/>
  <c r="P1021" i="1"/>
  <c r="A1022" i="1"/>
  <c r="P1022" i="1"/>
  <c r="A1023" i="1"/>
  <c r="P1023" i="1"/>
  <c r="A1024" i="1"/>
  <c r="P1024" i="1"/>
  <c r="A1025" i="1"/>
  <c r="P1025" i="1"/>
  <c r="A1026" i="1"/>
  <c r="P1026" i="1"/>
  <c r="A1027" i="1"/>
  <c r="P1027" i="1"/>
  <c r="A1028" i="1"/>
  <c r="P1028" i="1"/>
  <c r="A1029" i="1"/>
  <c r="P1029" i="1"/>
  <c r="A1030" i="1"/>
  <c r="P1030" i="1"/>
  <c r="A1031" i="1"/>
  <c r="P1031" i="1"/>
  <c r="A1032" i="1"/>
  <c r="P1032" i="1"/>
  <c r="A1033" i="1"/>
  <c r="P1033" i="1"/>
  <c r="A1034" i="1"/>
  <c r="P1034" i="1"/>
  <c r="A1035" i="1"/>
  <c r="P1035" i="1"/>
  <c r="A1036" i="1"/>
  <c r="P1036" i="1"/>
  <c r="A1037" i="1"/>
  <c r="P1037" i="1"/>
  <c r="A1038" i="1"/>
  <c r="P1038" i="1"/>
  <c r="A1039" i="1"/>
  <c r="P1039" i="1"/>
  <c r="A1040" i="1"/>
  <c r="P1040" i="1"/>
  <c r="A1041" i="1"/>
  <c r="P1041" i="1"/>
  <c r="A1042" i="1"/>
  <c r="P1042" i="1"/>
  <c r="A1043" i="1"/>
  <c r="P1043" i="1"/>
  <c r="A1044" i="1"/>
  <c r="P1044" i="1"/>
  <c r="A1045" i="1"/>
  <c r="P1045" i="1"/>
  <c r="A1046" i="1"/>
  <c r="P1046" i="1"/>
  <c r="A1047" i="1"/>
  <c r="P1047" i="1"/>
  <c r="A1048" i="1"/>
  <c r="P1048" i="1"/>
  <c r="A1049" i="1"/>
  <c r="P1049" i="1"/>
  <c r="A1050" i="1"/>
  <c r="P1050" i="1"/>
  <c r="A1051" i="1"/>
  <c r="P1051" i="1"/>
  <c r="A1052" i="1"/>
  <c r="P1052" i="1"/>
  <c r="A1053" i="1"/>
  <c r="P1053" i="1"/>
  <c r="A1054" i="1"/>
  <c r="P1054" i="1"/>
  <c r="A1055" i="1"/>
  <c r="P1055" i="1"/>
  <c r="A1056" i="1"/>
  <c r="P1056" i="1"/>
  <c r="A1057" i="1"/>
  <c r="P1057" i="1"/>
  <c r="A1058" i="1"/>
  <c r="P1058" i="1"/>
  <c r="A1059" i="1"/>
  <c r="P1059" i="1"/>
  <c r="A1060" i="1"/>
  <c r="P1060" i="1"/>
  <c r="A1061" i="1"/>
  <c r="P1061" i="1"/>
  <c r="A1062" i="1"/>
  <c r="P1062" i="1"/>
  <c r="A1063" i="1"/>
  <c r="P1063" i="1"/>
  <c r="A1064" i="1"/>
  <c r="P1064" i="1"/>
  <c r="A1065" i="1"/>
  <c r="P1065" i="1"/>
  <c r="A1066" i="1"/>
  <c r="P1066" i="1"/>
  <c r="A1067" i="1"/>
  <c r="P1067" i="1"/>
  <c r="A1068" i="1"/>
  <c r="P1068" i="1"/>
  <c r="A1069" i="1"/>
  <c r="P1069" i="1"/>
  <c r="A1070" i="1"/>
  <c r="P1070" i="1"/>
  <c r="A1071" i="1"/>
  <c r="P1071" i="1"/>
  <c r="A1072" i="1"/>
  <c r="P1072" i="1"/>
  <c r="A1073" i="1"/>
  <c r="P1073" i="1"/>
  <c r="A1074" i="1"/>
  <c r="P1074" i="1"/>
  <c r="A1075" i="1"/>
  <c r="P1075" i="1"/>
  <c r="A1076" i="1"/>
  <c r="P1076" i="1"/>
  <c r="A1077" i="1"/>
  <c r="P1077" i="1"/>
  <c r="A1078" i="1"/>
  <c r="P1078" i="1"/>
  <c r="A1079" i="1"/>
  <c r="P1079" i="1"/>
  <c r="A1080" i="1"/>
  <c r="P1080" i="1"/>
  <c r="A1081" i="1"/>
  <c r="P1081" i="1"/>
  <c r="A1082" i="1"/>
  <c r="P1082" i="1"/>
  <c r="A1083" i="1"/>
  <c r="P1083" i="1"/>
  <c r="A1084" i="1"/>
  <c r="P1084" i="1"/>
  <c r="A1085" i="1"/>
  <c r="P1085" i="1"/>
  <c r="A1086" i="1"/>
  <c r="P1086" i="1"/>
  <c r="A1087" i="1"/>
  <c r="P1087" i="1"/>
  <c r="A1088" i="1"/>
  <c r="P1088" i="1"/>
  <c r="A1089" i="1"/>
  <c r="P1089" i="1"/>
  <c r="A1090" i="1"/>
  <c r="P1090" i="1"/>
  <c r="A1091" i="1"/>
  <c r="P1091" i="1"/>
  <c r="A1092" i="1"/>
  <c r="P1092" i="1"/>
  <c r="A1093" i="1"/>
  <c r="P1093" i="1"/>
  <c r="A1094" i="1"/>
  <c r="P1094" i="1"/>
  <c r="A1095" i="1"/>
  <c r="P1095" i="1"/>
  <c r="A1096" i="1"/>
  <c r="P1096" i="1"/>
  <c r="A1097" i="1"/>
  <c r="P1097" i="1"/>
  <c r="A1098" i="1"/>
  <c r="P1098" i="1"/>
  <c r="A1099" i="1"/>
  <c r="P1099" i="1"/>
  <c r="A1100" i="1"/>
  <c r="P1100" i="1"/>
  <c r="A1101" i="1"/>
  <c r="P1101" i="1"/>
  <c r="A1102" i="1"/>
  <c r="P1102" i="1"/>
  <c r="A1103" i="1"/>
  <c r="P1103" i="1"/>
  <c r="A1104" i="1"/>
  <c r="P1104" i="1"/>
  <c r="A1105" i="1"/>
  <c r="P1105" i="1"/>
  <c r="A1106" i="1"/>
  <c r="P1106" i="1"/>
  <c r="A1107" i="1"/>
  <c r="P1107" i="1"/>
  <c r="A1108" i="1"/>
  <c r="P1108" i="1"/>
  <c r="A1109" i="1"/>
  <c r="P1109" i="1"/>
  <c r="A1110" i="1"/>
  <c r="P1110" i="1"/>
  <c r="A1111" i="1"/>
  <c r="P1111" i="1"/>
  <c r="A1112" i="1"/>
  <c r="P1112" i="1"/>
  <c r="A1113" i="1"/>
  <c r="P1113" i="1"/>
  <c r="A1114" i="1"/>
  <c r="P1114" i="1"/>
  <c r="A1115" i="1"/>
  <c r="P1115" i="1"/>
  <c r="A1116" i="1"/>
  <c r="P1116" i="1"/>
  <c r="A1117" i="1"/>
  <c r="P1117" i="1"/>
  <c r="A1118" i="1"/>
  <c r="P1118" i="1"/>
  <c r="A1119" i="1"/>
  <c r="P1119" i="1"/>
  <c r="A1120" i="1"/>
  <c r="P1120" i="1"/>
  <c r="A1121" i="1"/>
  <c r="P1121" i="1"/>
  <c r="A1122" i="1"/>
  <c r="P1122" i="1"/>
  <c r="A1123" i="1"/>
  <c r="P1123" i="1"/>
  <c r="A1124" i="1"/>
  <c r="P1124" i="1"/>
  <c r="A1125" i="1"/>
  <c r="P1125" i="1"/>
  <c r="A1126" i="1"/>
  <c r="P1126" i="1"/>
  <c r="A1127" i="1"/>
  <c r="P1127" i="1"/>
  <c r="A1128" i="1"/>
  <c r="P1128" i="1"/>
  <c r="A1129" i="1"/>
  <c r="P1129" i="1"/>
  <c r="A1130" i="1"/>
  <c r="P1130" i="1"/>
  <c r="A1131" i="1"/>
  <c r="P1131" i="1"/>
  <c r="A1132" i="1"/>
  <c r="P1132" i="1"/>
  <c r="A1133" i="1"/>
  <c r="P1133" i="1"/>
  <c r="A1134" i="1"/>
  <c r="P1134" i="1"/>
  <c r="A1135" i="1"/>
  <c r="P1135" i="1"/>
  <c r="A1136" i="1"/>
  <c r="P1136" i="1"/>
  <c r="A1137" i="1"/>
  <c r="P1137" i="1"/>
  <c r="A1138" i="1"/>
  <c r="P1138" i="1"/>
  <c r="A1139" i="1"/>
  <c r="P1139" i="1"/>
  <c r="A1140" i="1"/>
  <c r="P1140" i="1"/>
  <c r="A1141" i="1"/>
  <c r="P1141" i="1"/>
  <c r="A1142" i="1"/>
  <c r="P1142" i="1"/>
  <c r="A1143" i="1"/>
  <c r="P1143" i="1"/>
  <c r="A1144" i="1"/>
  <c r="P1144" i="1"/>
  <c r="A1145" i="1"/>
  <c r="P1145" i="1"/>
  <c r="A1146" i="1"/>
  <c r="P1146" i="1"/>
  <c r="A1147" i="1"/>
  <c r="P1147" i="1"/>
  <c r="A1148" i="1"/>
  <c r="P1148" i="1"/>
  <c r="A1149" i="1"/>
  <c r="P1149" i="1"/>
  <c r="A1150" i="1"/>
  <c r="P1150" i="1"/>
  <c r="A1151" i="1"/>
  <c r="P1151" i="1"/>
  <c r="A1152" i="1"/>
  <c r="P1152" i="1"/>
  <c r="A1153" i="1"/>
  <c r="P1153" i="1"/>
  <c r="A1154" i="1"/>
  <c r="P1154" i="1"/>
  <c r="A1155" i="1"/>
  <c r="P1155" i="1"/>
  <c r="A1156" i="1"/>
  <c r="P1156" i="1"/>
  <c r="A1157" i="1"/>
  <c r="P1157" i="1"/>
  <c r="A1158" i="1"/>
  <c r="P1158" i="1"/>
  <c r="A1159" i="1"/>
  <c r="P1159" i="1"/>
  <c r="A1160" i="1"/>
  <c r="P1160" i="1"/>
  <c r="A1161" i="1"/>
  <c r="P1161" i="1"/>
  <c r="A1162" i="1"/>
  <c r="P1162" i="1"/>
  <c r="A1163" i="1"/>
  <c r="P1163" i="1"/>
  <c r="A1164" i="1"/>
  <c r="P1164" i="1"/>
  <c r="A1165" i="1"/>
  <c r="P1165" i="1"/>
  <c r="A1166" i="1"/>
  <c r="P1166" i="1"/>
  <c r="A1167" i="1"/>
  <c r="P1167" i="1"/>
  <c r="A1168" i="1"/>
  <c r="P1168" i="1"/>
  <c r="A1169" i="1"/>
  <c r="P1169" i="1"/>
  <c r="A1170" i="1"/>
  <c r="P1170" i="1"/>
  <c r="A1171" i="1"/>
  <c r="P1171" i="1"/>
  <c r="A1172" i="1"/>
  <c r="P1172" i="1"/>
  <c r="A1173" i="1"/>
  <c r="P1173" i="1"/>
  <c r="A1174" i="1"/>
  <c r="P1174" i="1"/>
  <c r="A1175" i="1"/>
  <c r="P1175" i="1"/>
  <c r="A1176" i="1"/>
  <c r="P1176" i="1"/>
  <c r="A1177" i="1"/>
  <c r="P1177" i="1"/>
  <c r="A1178" i="1"/>
  <c r="P1178" i="1"/>
  <c r="A1179" i="1"/>
  <c r="P1179" i="1"/>
  <c r="A1180" i="1"/>
  <c r="P1180" i="1"/>
  <c r="A1181" i="1"/>
  <c r="P1181" i="1"/>
  <c r="A1182" i="1"/>
  <c r="P1182" i="1"/>
  <c r="A1183" i="1"/>
  <c r="P1183" i="1"/>
  <c r="A1184" i="1"/>
  <c r="P1184" i="1"/>
  <c r="A1185" i="1"/>
  <c r="P1185" i="1"/>
  <c r="A1186" i="1"/>
  <c r="P1186" i="1"/>
  <c r="A1187" i="1"/>
  <c r="P1187" i="1"/>
  <c r="A1188" i="1"/>
  <c r="P1188" i="1"/>
  <c r="A1189" i="1"/>
  <c r="P1189" i="1"/>
  <c r="A1190" i="1"/>
  <c r="P1190" i="1"/>
  <c r="A1191" i="1"/>
  <c r="P1191" i="1"/>
  <c r="A1192" i="1"/>
  <c r="P1192" i="1"/>
  <c r="A1193" i="1"/>
  <c r="P1193" i="1"/>
  <c r="A1194" i="1"/>
  <c r="P1194" i="1"/>
  <c r="A1195" i="1"/>
  <c r="P1195" i="1"/>
  <c r="A1196" i="1"/>
  <c r="P1196" i="1"/>
  <c r="A1197" i="1"/>
  <c r="P1197" i="1"/>
  <c r="A1198" i="1"/>
  <c r="P1198" i="1"/>
  <c r="A1199" i="1"/>
  <c r="P1199" i="1"/>
  <c r="A1200" i="1"/>
  <c r="P1200" i="1"/>
  <c r="A1201" i="1"/>
  <c r="P1201" i="1"/>
  <c r="A1202" i="1"/>
  <c r="P1202" i="1"/>
  <c r="A1203" i="1"/>
  <c r="P1203" i="1"/>
  <c r="A1204" i="1"/>
  <c r="P1204" i="1"/>
  <c r="A1205" i="1"/>
  <c r="P1205" i="1"/>
  <c r="A1206" i="1"/>
  <c r="P1206" i="1"/>
  <c r="A1207" i="1"/>
  <c r="P1207" i="1"/>
  <c r="A1208" i="1"/>
  <c r="P1208" i="1"/>
  <c r="A1209" i="1"/>
  <c r="P1209" i="1"/>
  <c r="A1210" i="1"/>
  <c r="P1210" i="1"/>
  <c r="A1211" i="1"/>
  <c r="P1211" i="1"/>
  <c r="A1212" i="1"/>
  <c r="P1212" i="1"/>
  <c r="A1213" i="1"/>
  <c r="P1213" i="1"/>
  <c r="A1214" i="1"/>
  <c r="P1214" i="1"/>
  <c r="A1215" i="1"/>
  <c r="P1215" i="1"/>
  <c r="A1216" i="1"/>
  <c r="P1216" i="1"/>
  <c r="A1217" i="1"/>
  <c r="P1217" i="1"/>
  <c r="A1218" i="1"/>
  <c r="P1218" i="1"/>
  <c r="A1219" i="1"/>
  <c r="P1219" i="1"/>
  <c r="A1220" i="1"/>
  <c r="P1220" i="1"/>
  <c r="A1221" i="1"/>
  <c r="P1221" i="1"/>
  <c r="A1222" i="1"/>
  <c r="P1222" i="1"/>
  <c r="A1223" i="1"/>
  <c r="P1223" i="1"/>
  <c r="A1224" i="1"/>
  <c r="P1224" i="1"/>
  <c r="A1225" i="1"/>
  <c r="P1225" i="1"/>
  <c r="A1226" i="1"/>
  <c r="P1226" i="1"/>
  <c r="A1227" i="1"/>
  <c r="P1227" i="1"/>
  <c r="A1228" i="1"/>
  <c r="P1228" i="1"/>
  <c r="A1229" i="1"/>
  <c r="P1229" i="1"/>
  <c r="A1230" i="1"/>
  <c r="P1230" i="1"/>
  <c r="A1231" i="1"/>
  <c r="P1231" i="1"/>
  <c r="A1232" i="1"/>
  <c r="P1232" i="1"/>
  <c r="A1233" i="1"/>
  <c r="P1233" i="1"/>
  <c r="A1234" i="1"/>
  <c r="P1234" i="1"/>
  <c r="A1235" i="1"/>
  <c r="P1235" i="1"/>
  <c r="A1236" i="1"/>
  <c r="P1236" i="1"/>
  <c r="A1237" i="1"/>
  <c r="P1237" i="1"/>
  <c r="A1238" i="1"/>
  <c r="P1238" i="1"/>
  <c r="A1239" i="1"/>
  <c r="P1239" i="1"/>
  <c r="A1240" i="1"/>
  <c r="P1240" i="1"/>
  <c r="A1241" i="1"/>
  <c r="P1241" i="1"/>
  <c r="A1242" i="1"/>
  <c r="P1242" i="1"/>
  <c r="A1243" i="1"/>
  <c r="P1243" i="1"/>
  <c r="A1244" i="1"/>
  <c r="P1244" i="1"/>
  <c r="A1245" i="1"/>
  <c r="P1245" i="1"/>
  <c r="A1246" i="1"/>
  <c r="P1246" i="1"/>
  <c r="A1247" i="1"/>
  <c r="P1247" i="1"/>
  <c r="A1248" i="1"/>
  <c r="P1248" i="1"/>
  <c r="A1249" i="1"/>
  <c r="P1249" i="1"/>
  <c r="A1250" i="1"/>
  <c r="P1250" i="1"/>
  <c r="A1251" i="1"/>
  <c r="P1251" i="1"/>
  <c r="A1252" i="1"/>
  <c r="P1252" i="1"/>
  <c r="A1253" i="1"/>
  <c r="P1253" i="1"/>
  <c r="A1254" i="1"/>
  <c r="P1254" i="1"/>
  <c r="A1255" i="1"/>
  <c r="P1255" i="1"/>
  <c r="A1256" i="1"/>
  <c r="P1256" i="1"/>
  <c r="A1257" i="1"/>
  <c r="P1257" i="1"/>
  <c r="A1258" i="1"/>
  <c r="P1258" i="1"/>
  <c r="A1259" i="1"/>
  <c r="P1259" i="1"/>
  <c r="A1260" i="1"/>
  <c r="P1260" i="1"/>
  <c r="A1261" i="1"/>
  <c r="P1261" i="1"/>
  <c r="A1262" i="1"/>
  <c r="P1262" i="1"/>
  <c r="A1263" i="1"/>
  <c r="P1263" i="1"/>
  <c r="A1264" i="1"/>
  <c r="P1264" i="1"/>
  <c r="A1265" i="1"/>
  <c r="P1265" i="1"/>
  <c r="A1266" i="1"/>
  <c r="P1266" i="1"/>
  <c r="A1267" i="1"/>
  <c r="P1267" i="1"/>
  <c r="A1268" i="1"/>
  <c r="P1268" i="1"/>
  <c r="A1269" i="1"/>
  <c r="P1269" i="1"/>
  <c r="A1270" i="1"/>
  <c r="P1270" i="1"/>
  <c r="A1271" i="1"/>
  <c r="P1271" i="1"/>
  <c r="A1272" i="1"/>
  <c r="P1272" i="1"/>
  <c r="A1273" i="1"/>
  <c r="P1273" i="1"/>
  <c r="A1274" i="1"/>
  <c r="P1274" i="1"/>
  <c r="A1275" i="1"/>
  <c r="P1275" i="1"/>
  <c r="A1276" i="1"/>
  <c r="P1276" i="1"/>
  <c r="A1277" i="1"/>
  <c r="P1277" i="1"/>
  <c r="A1278" i="1"/>
  <c r="P1278" i="1"/>
  <c r="A1279" i="1"/>
  <c r="P1279" i="1"/>
  <c r="A1280" i="1"/>
  <c r="P1280" i="1"/>
  <c r="A1281" i="1"/>
  <c r="P1281" i="1"/>
  <c r="A1282" i="1"/>
  <c r="P1282" i="1"/>
  <c r="A1283" i="1"/>
  <c r="P1283" i="1"/>
  <c r="A1284" i="1"/>
  <c r="P1284" i="1"/>
  <c r="A1285" i="1"/>
  <c r="P1285" i="1"/>
  <c r="A1286" i="1"/>
  <c r="P1286" i="1"/>
  <c r="A1287" i="1"/>
  <c r="P1287" i="1"/>
  <c r="A1288" i="1"/>
  <c r="P1288" i="1"/>
  <c r="A1289" i="1"/>
  <c r="P1289" i="1"/>
  <c r="A1290" i="1"/>
  <c r="P1290" i="1"/>
  <c r="A1291" i="1"/>
  <c r="P1291" i="1"/>
  <c r="A1292" i="1"/>
  <c r="P1292" i="1"/>
  <c r="A1293" i="1"/>
  <c r="P1293" i="1"/>
  <c r="A1294" i="1"/>
  <c r="P1294" i="1"/>
  <c r="A1295" i="1"/>
  <c r="P1295" i="1"/>
  <c r="A1296" i="1"/>
  <c r="P1296" i="1"/>
  <c r="A1297" i="1"/>
  <c r="P1297" i="1"/>
  <c r="A1298" i="1"/>
  <c r="P1298" i="1"/>
  <c r="A1299" i="1"/>
  <c r="P1299" i="1"/>
  <c r="A1300" i="1"/>
  <c r="P1300" i="1"/>
  <c r="A1301" i="1"/>
  <c r="P1301" i="1"/>
  <c r="A1302" i="1"/>
  <c r="P1302" i="1"/>
  <c r="A1303" i="1"/>
  <c r="P1303" i="1"/>
  <c r="A1304" i="1"/>
  <c r="P1304" i="1"/>
  <c r="A1305" i="1"/>
  <c r="P1305" i="1"/>
  <c r="A1306" i="1"/>
  <c r="P1306" i="1"/>
  <c r="A1307" i="1"/>
  <c r="P1307" i="1"/>
  <c r="A1308" i="1"/>
  <c r="P1308" i="1"/>
  <c r="A1309" i="1"/>
  <c r="P1309" i="1"/>
  <c r="A1310" i="1"/>
  <c r="P1310" i="1"/>
  <c r="A1311" i="1"/>
  <c r="P1311" i="1"/>
  <c r="A1312" i="1"/>
  <c r="P1312" i="1"/>
  <c r="A1313" i="1"/>
  <c r="P1313" i="1"/>
  <c r="A1314" i="1"/>
  <c r="P1314" i="1"/>
  <c r="A1315" i="1"/>
  <c r="P1315" i="1"/>
  <c r="A1316" i="1"/>
  <c r="P1316" i="1"/>
  <c r="A1317" i="1"/>
  <c r="P1317" i="1"/>
  <c r="A1318" i="1"/>
  <c r="P1318" i="1"/>
  <c r="A1319" i="1"/>
  <c r="P1319" i="1"/>
  <c r="A1320" i="1"/>
  <c r="P1320" i="1"/>
  <c r="A1321" i="1"/>
  <c r="P1321" i="1"/>
  <c r="A1322" i="1"/>
  <c r="P1322" i="1"/>
  <c r="A1323" i="1"/>
  <c r="P1323" i="1"/>
  <c r="A1324" i="1"/>
  <c r="P1324" i="1"/>
  <c r="A1325" i="1"/>
  <c r="P1325" i="1"/>
  <c r="A1326" i="1"/>
  <c r="P1326" i="1"/>
  <c r="A1327" i="1"/>
  <c r="P1327" i="1"/>
  <c r="A1328" i="1"/>
  <c r="P1328" i="1"/>
  <c r="A1329" i="1"/>
  <c r="P1329" i="1"/>
  <c r="A1330" i="1"/>
  <c r="P1330" i="1"/>
  <c r="A1331" i="1"/>
  <c r="P1331" i="1"/>
  <c r="A1332" i="1"/>
  <c r="P1332" i="1"/>
  <c r="A1333" i="1"/>
  <c r="P1333" i="1"/>
  <c r="A1334" i="1"/>
  <c r="P1334" i="1"/>
  <c r="A1335" i="1"/>
  <c r="P1335" i="1"/>
  <c r="A1336" i="1"/>
  <c r="P1336" i="1"/>
  <c r="A1337" i="1"/>
  <c r="P1337" i="1"/>
  <c r="A1338" i="1"/>
  <c r="P1338" i="1"/>
  <c r="A1339" i="1"/>
  <c r="P1339" i="1"/>
  <c r="A1340" i="1"/>
  <c r="P1340" i="1"/>
  <c r="A1341" i="1"/>
  <c r="P1341" i="1"/>
  <c r="A1342" i="1"/>
  <c r="P1342" i="1"/>
  <c r="A1343" i="1"/>
  <c r="P1343" i="1"/>
  <c r="A1344" i="1"/>
  <c r="P1344" i="1"/>
  <c r="A1345" i="1"/>
  <c r="P1345" i="1"/>
  <c r="A1346" i="1"/>
  <c r="P1346" i="1"/>
  <c r="A1347" i="1"/>
  <c r="P1347" i="1"/>
  <c r="A1348" i="1"/>
  <c r="P1348" i="1"/>
  <c r="A1349" i="1"/>
  <c r="P1349" i="1"/>
  <c r="A1350" i="1"/>
  <c r="P1350" i="1"/>
  <c r="A1351" i="1"/>
  <c r="P1351" i="1"/>
  <c r="A1352" i="1"/>
  <c r="P1352" i="1"/>
  <c r="A1353" i="1"/>
  <c r="P1353" i="1"/>
  <c r="A1354" i="1"/>
  <c r="P1354" i="1"/>
  <c r="A1355" i="1"/>
  <c r="P1355" i="1"/>
  <c r="A1356" i="1"/>
  <c r="P1356" i="1"/>
  <c r="A1357" i="1"/>
  <c r="P1357" i="1"/>
  <c r="A1358" i="1"/>
  <c r="P1358" i="1"/>
  <c r="A1359" i="1"/>
  <c r="P1359" i="1"/>
  <c r="A1360" i="1"/>
  <c r="P1360" i="1"/>
  <c r="A1361" i="1"/>
  <c r="P1361" i="1"/>
  <c r="A1362" i="1"/>
  <c r="P1362" i="1"/>
  <c r="A1363" i="1"/>
  <c r="P1363" i="1"/>
  <c r="A1364" i="1"/>
  <c r="P1364" i="1"/>
  <c r="A1365" i="1"/>
  <c r="P1365" i="1"/>
  <c r="A1366" i="1"/>
  <c r="P1366" i="1"/>
  <c r="A1367" i="1"/>
  <c r="P1367" i="1"/>
  <c r="A1368" i="1"/>
  <c r="P1368" i="1"/>
  <c r="A1369" i="1"/>
  <c r="P1369" i="1"/>
  <c r="A1370" i="1"/>
  <c r="P1370" i="1"/>
  <c r="A1371" i="1"/>
  <c r="P1371" i="1"/>
  <c r="A1372" i="1"/>
  <c r="P1372" i="1"/>
  <c r="A1373" i="1"/>
  <c r="P1373" i="1"/>
  <c r="A1374" i="1"/>
  <c r="P1374" i="1"/>
  <c r="A1375" i="1"/>
  <c r="P1375" i="1"/>
  <c r="A1376" i="1"/>
  <c r="P1376" i="1"/>
  <c r="A1377" i="1"/>
  <c r="P1377" i="1"/>
  <c r="A1378" i="1"/>
  <c r="P1378" i="1"/>
  <c r="A1379" i="1"/>
  <c r="P1379" i="1"/>
  <c r="A1380" i="1"/>
  <c r="P1380" i="1"/>
  <c r="A1381" i="1"/>
  <c r="P1381" i="1"/>
  <c r="A1382" i="1"/>
  <c r="P1382" i="1"/>
  <c r="A1383" i="1"/>
  <c r="P1383" i="1"/>
  <c r="A1384" i="1"/>
  <c r="P1384" i="1"/>
  <c r="A1385" i="1"/>
  <c r="P1385" i="1"/>
  <c r="A1386" i="1"/>
  <c r="P1386" i="1"/>
  <c r="A1387" i="1"/>
  <c r="P1387" i="1"/>
  <c r="A1388" i="1"/>
  <c r="P1388" i="1"/>
  <c r="A1389" i="1"/>
  <c r="P1389" i="1"/>
  <c r="A1390" i="1"/>
  <c r="P1390" i="1"/>
  <c r="A1391" i="1"/>
  <c r="P1391" i="1"/>
  <c r="A1392" i="1"/>
  <c r="P1392" i="1"/>
  <c r="A1393" i="1"/>
  <c r="P1393" i="1"/>
  <c r="A1394" i="1"/>
  <c r="P1394" i="1"/>
  <c r="A1395" i="1"/>
  <c r="P1395" i="1"/>
  <c r="A1396" i="1"/>
  <c r="P1396" i="1"/>
  <c r="A1397" i="1"/>
  <c r="P1397" i="1"/>
  <c r="A1398" i="1"/>
  <c r="P1398" i="1"/>
  <c r="A1399" i="1"/>
  <c r="P1399" i="1"/>
  <c r="A1400" i="1"/>
  <c r="P1400" i="1"/>
  <c r="A1401" i="1"/>
  <c r="P1401" i="1"/>
  <c r="A1402" i="1"/>
  <c r="P1402" i="1"/>
  <c r="A1403" i="1"/>
  <c r="P1403" i="1"/>
  <c r="A1404" i="1"/>
  <c r="P1404" i="1"/>
  <c r="A1405" i="1"/>
  <c r="P1405" i="1"/>
  <c r="A1406" i="1"/>
  <c r="P1406" i="1"/>
  <c r="A1407" i="1"/>
  <c r="P1407" i="1"/>
  <c r="A1408" i="1"/>
  <c r="P1408" i="1"/>
  <c r="A1409" i="1"/>
  <c r="P1409" i="1"/>
  <c r="A1410" i="1"/>
  <c r="P1410" i="1"/>
  <c r="A1411" i="1"/>
  <c r="P1411" i="1"/>
  <c r="A1412" i="1"/>
  <c r="P1412" i="1"/>
  <c r="A1413" i="1"/>
  <c r="P1413" i="1"/>
  <c r="A1414" i="1"/>
  <c r="P1414" i="1"/>
  <c r="A1415" i="1"/>
  <c r="P1415" i="1"/>
  <c r="A1416" i="1"/>
  <c r="P1416" i="1"/>
  <c r="A1417" i="1"/>
  <c r="P1417" i="1"/>
  <c r="A1418" i="1"/>
  <c r="P1418" i="1"/>
  <c r="A1419" i="1"/>
  <c r="P1419" i="1"/>
  <c r="A1420" i="1"/>
  <c r="P1420" i="1"/>
  <c r="A1421" i="1"/>
  <c r="P1421" i="1"/>
  <c r="A1422" i="1"/>
  <c r="P1422" i="1"/>
  <c r="A1423" i="1"/>
  <c r="P1423" i="1"/>
  <c r="A1424" i="1"/>
  <c r="P1424" i="1"/>
  <c r="A1425" i="1"/>
  <c r="P1425" i="1"/>
  <c r="A1426" i="1"/>
  <c r="P1426" i="1"/>
  <c r="A1427" i="1"/>
  <c r="P1427" i="1"/>
  <c r="A1428" i="1"/>
  <c r="P1428" i="1"/>
  <c r="A1429" i="1"/>
  <c r="P1429" i="1"/>
  <c r="A1430" i="1"/>
  <c r="P1430" i="1"/>
  <c r="A1431" i="1"/>
  <c r="P1431" i="1"/>
  <c r="A1432" i="1"/>
  <c r="P1432" i="1"/>
  <c r="A1433" i="1"/>
  <c r="P1433" i="1"/>
  <c r="A1434" i="1"/>
  <c r="P1434" i="1"/>
  <c r="A1435" i="1"/>
  <c r="P1435" i="1"/>
  <c r="A1436" i="1"/>
  <c r="P1436" i="1"/>
  <c r="A1437" i="1"/>
  <c r="P1437" i="1"/>
  <c r="A1438" i="1"/>
  <c r="P1438" i="1"/>
  <c r="A1439" i="1"/>
  <c r="P1439" i="1"/>
  <c r="A1440" i="1"/>
  <c r="P1440" i="1"/>
  <c r="A1441" i="1"/>
  <c r="P1441" i="1"/>
  <c r="A1442" i="1"/>
  <c r="P1442" i="1"/>
  <c r="A1443" i="1"/>
  <c r="P1443" i="1"/>
  <c r="A1444" i="1"/>
  <c r="P1444" i="1"/>
  <c r="A1445" i="1"/>
  <c r="P1445" i="1"/>
  <c r="A1446" i="1"/>
  <c r="P1446" i="1"/>
  <c r="A1447" i="1"/>
  <c r="P1447" i="1"/>
  <c r="A1448" i="1"/>
  <c r="P1448" i="1"/>
  <c r="A1449" i="1"/>
  <c r="P1449" i="1"/>
  <c r="A1450" i="1"/>
  <c r="P1450" i="1"/>
  <c r="A1451" i="1"/>
  <c r="P1451" i="1"/>
  <c r="A1452" i="1"/>
  <c r="P1452" i="1"/>
  <c r="A1453" i="1"/>
  <c r="P1453" i="1"/>
  <c r="A1454" i="1"/>
  <c r="P1454" i="1"/>
  <c r="A1455" i="1"/>
  <c r="P1455" i="1"/>
  <c r="A1456" i="1"/>
  <c r="P1456" i="1"/>
  <c r="A1457" i="1"/>
  <c r="P1457" i="1"/>
  <c r="A1458" i="1"/>
  <c r="P1458" i="1"/>
  <c r="A1459" i="1"/>
  <c r="P1459" i="1"/>
  <c r="A1460" i="1"/>
  <c r="P1460" i="1"/>
  <c r="A1461" i="1"/>
  <c r="P1461" i="1"/>
  <c r="A1462" i="1"/>
  <c r="P1462" i="1"/>
  <c r="A1463" i="1"/>
  <c r="P1463" i="1"/>
  <c r="A1464" i="1"/>
  <c r="P1464" i="1"/>
  <c r="A1465" i="1"/>
  <c r="P1465" i="1"/>
  <c r="A1466" i="1"/>
  <c r="P1466" i="1"/>
  <c r="A1467" i="1"/>
  <c r="P1467" i="1"/>
  <c r="A1468" i="1"/>
  <c r="P1468" i="1"/>
  <c r="A1469" i="1"/>
  <c r="P1469" i="1"/>
  <c r="A1470" i="1"/>
  <c r="P1470" i="1"/>
  <c r="A1471" i="1"/>
  <c r="P1471" i="1"/>
  <c r="A1472" i="1"/>
  <c r="P1472" i="1"/>
  <c r="A1473" i="1"/>
  <c r="P1473" i="1"/>
  <c r="A1474" i="1"/>
  <c r="P1474" i="1"/>
  <c r="A1475" i="1"/>
  <c r="P1475" i="1"/>
  <c r="A1476" i="1"/>
  <c r="P1476" i="1"/>
  <c r="A1477" i="1"/>
  <c r="P1477" i="1"/>
  <c r="A1478" i="1"/>
  <c r="P1478" i="1"/>
  <c r="A1479" i="1"/>
  <c r="P1479" i="1"/>
  <c r="A1480" i="1"/>
  <c r="P1480" i="1"/>
  <c r="A1481" i="1"/>
  <c r="P1481" i="1"/>
  <c r="A1482" i="1"/>
  <c r="P1482" i="1"/>
  <c r="A1483" i="1"/>
  <c r="P1483" i="1"/>
  <c r="A1484" i="1"/>
  <c r="P1484" i="1"/>
  <c r="A1485" i="1"/>
  <c r="P1485" i="1"/>
  <c r="A1486" i="1"/>
  <c r="P1486" i="1"/>
  <c r="A1487" i="1"/>
  <c r="P1487" i="1"/>
  <c r="A1488" i="1"/>
  <c r="P1488" i="1"/>
  <c r="A1489" i="1"/>
  <c r="P1489" i="1"/>
  <c r="A1490" i="1"/>
  <c r="P1490" i="1"/>
  <c r="A1491" i="1"/>
  <c r="P1491" i="1"/>
  <c r="A1492" i="1"/>
  <c r="P1492" i="1"/>
  <c r="A1493" i="1"/>
  <c r="P1493" i="1"/>
  <c r="A1494" i="1"/>
  <c r="P1494" i="1"/>
  <c r="A1495" i="1"/>
  <c r="P1495" i="1"/>
  <c r="A1496" i="1"/>
  <c r="P1496" i="1"/>
  <c r="A1497" i="1"/>
  <c r="P1497" i="1"/>
  <c r="A1498" i="1"/>
  <c r="P1498" i="1"/>
  <c r="A1499" i="1"/>
  <c r="P1499" i="1"/>
  <c r="A1500" i="1"/>
  <c r="P1500" i="1"/>
  <c r="A1501" i="1"/>
  <c r="P1501" i="1"/>
  <c r="A1502" i="1"/>
  <c r="P1502" i="1"/>
  <c r="A1503" i="1"/>
  <c r="P1503" i="1"/>
  <c r="A1504" i="1"/>
  <c r="P1504" i="1"/>
  <c r="A1505" i="1"/>
  <c r="P1505" i="1"/>
  <c r="A1506" i="1"/>
  <c r="P1506" i="1"/>
  <c r="A1507" i="1"/>
  <c r="P1507" i="1"/>
  <c r="A1508" i="1"/>
  <c r="P1508" i="1"/>
  <c r="A1509" i="1"/>
  <c r="P1509" i="1"/>
  <c r="A1510" i="1"/>
  <c r="P1510" i="1"/>
  <c r="A1511" i="1"/>
  <c r="P1511" i="1"/>
  <c r="A1512" i="1"/>
  <c r="P1512" i="1"/>
  <c r="A1513" i="1"/>
  <c r="P1513" i="1"/>
  <c r="A1514" i="1"/>
  <c r="P1514" i="1"/>
  <c r="A1515" i="1"/>
  <c r="P1515" i="1"/>
  <c r="A1516" i="1"/>
  <c r="P1516" i="1"/>
  <c r="A1517" i="1"/>
  <c r="P1517" i="1"/>
  <c r="A1518" i="1"/>
  <c r="P1518" i="1"/>
  <c r="A1519" i="1"/>
  <c r="P1519" i="1"/>
  <c r="A1520" i="1"/>
  <c r="P1520" i="1"/>
  <c r="A1521" i="1"/>
  <c r="P1521" i="1"/>
  <c r="A1522" i="1"/>
  <c r="P1522" i="1"/>
  <c r="A1523" i="1"/>
  <c r="P1523" i="1"/>
  <c r="A1524" i="1"/>
  <c r="P1524" i="1"/>
  <c r="A1525" i="1"/>
  <c r="P1525" i="1"/>
  <c r="A1526" i="1"/>
  <c r="P1526" i="1"/>
  <c r="A1527" i="1"/>
  <c r="P1527" i="1"/>
  <c r="A1528" i="1"/>
  <c r="P1528" i="1"/>
  <c r="A1529" i="1"/>
  <c r="P1529" i="1"/>
  <c r="A1530" i="1"/>
  <c r="P1530" i="1"/>
  <c r="A1531" i="1"/>
  <c r="P1531" i="1"/>
  <c r="A1532" i="1"/>
  <c r="P1532" i="1"/>
  <c r="A1533" i="1"/>
  <c r="P1533" i="1"/>
  <c r="A1534" i="1"/>
  <c r="P1534" i="1"/>
  <c r="A1535" i="1"/>
  <c r="P1535" i="1"/>
  <c r="A1536" i="1"/>
  <c r="P1536" i="1"/>
  <c r="A1537" i="1"/>
  <c r="P1537" i="1"/>
  <c r="A1538" i="1"/>
  <c r="P1538" i="1"/>
  <c r="A1539" i="1"/>
  <c r="P1539" i="1"/>
  <c r="A1540" i="1"/>
  <c r="P1540" i="1"/>
  <c r="A1541" i="1"/>
  <c r="P1541" i="1"/>
  <c r="A1542" i="1"/>
  <c r="P1542" i="1"/>
  <c r="A1543" i="1"/>
  <c r="P1543" i="1"/>
  <c r="A1544" i="1"/>
  <c r="P1544" i="1"/>
  <c r="A1545" i="1"/>
  <c r="P1545" i="1"/>
  <c r="A1546" i="1"/>
  <c r="P1546" i="1"/>
  <c r="A1547" i="1"/>
  <c r="P1547" i="1"/>
  <c r="A1548" i="1"/>
  <c r="P1548" i="1"/>
  <c r="A1549" i="1"/>
  <c r="P1549" i="1"/>
  <c r="A1550" i="1"/>
  <c r="P1550" i="1"/>
  <c r="A1551" i="1"/>
  <c r="P1551" i="1"/>
  <c r="A1552" i="1"/>
  <c r="P1552" i="1"/>
  <c r="A1553" i="1"/>
  <c r="P1553" i="1"/>
  <c r="A1554" i="1"/>
  <c r="P1554" i="1"/>
  <c r="A1555" i="1"/>
  <c r="P1555" i="1"/>
  <c r="A1556" i="1"/>
  <c r="P1556" i="1"/>
  <c r="A1557" i="1"/>
  <c r="P1557" i="1"/>
  <c r="A1558" i="1"/>
  <c r="P1558" i="1"/>
  <c r="A1559" i="1"/>
  <c r="P1559" i="1"/>
  <c r="A1560" i="1"/>
  <c r="P1560" i="1"/>
  <c r="A1561" i="1"/>
  <c r="P1561" i="1"/>
  <c r="A1562" i="1"/>
  <c r="P1562" i="1"/>
  <c r="A1563" i="1"/>
  <c r="P1563" i="1"/>
  <c r="A1564" i="1"/>
  <c r="P1564" i="1"/>
  <c r="A1565" i="1"/>
  <c r="P1565" i="1"/>
  <c r="A1566" i="1"/>
  <c r="P1566" i="1"/>
  <c r="A1567" i="1"/>
  <c r="P1567" i="1"/>
  <c r="A1568" i="1"/>
  <c r="P1568" i="1"/>
  <c r="A1569" i="1"/>
  <c r="P1569" i="1"/>
  <c r="A1570" i="1"/>
  <c r="P1570" i="1"/>
  <c r="A1571" i="1"/>
  <c r="P1571" i="1"/>
  <c r="A1572" i="1"/>
  <c r="P1572" i="1"/>
  <c r="A1573" i="1"/>
  <c r="P1573" i="1"/>
  <c r="A1574" i="1"/>
  <c r="P1574" i="1"/>
  <c r="A1575" i="1"/>
  <c r="P1575" i="1"/>
  <c r="A1576" i="1"/>
  <c r="P1576" i="1"/>
  <c r="A1577" i="1"/>
  <c r="P1577" i="1"/>
  <c r="A1578" i="1"/>
  <c r="P1578" i="1"/>
  <c r="A1579" i="1"/>
  <c r="P1579" i="1"/>
  <c r="A1580" i="1"/>
  <c r="P1580" i="1"/>
  <c r="A1581" i="1"/>
  <c r="P1581" i="1"/>
  <c r="A1582" i="1"/>
  <c r="P1582" i="1"/>
  <c r="A1583" i="1"/>
  <c r="P1583" i="1"/>
  <c r="A1584" i="1"/>
  <c r="P1584" i="1"/>
  <c r="A1585" i="1"/>
  <c r="P1585" i="1"/>
  <c r="A1586" i="1"/>
  <c r="P1586" i="1"/>
  <c r="A1587" i="1"/>
  <c r="P1587" i="1"/>
  <c r="A1588" i="1"/>
  <c r="P1588" i="1"/>
  <c r="A1589" i="1"/>
  <c r="P1589" i="1"/>
  <c r="A1590" i="1"/>
  <c r="P1590" i="1"/>
  <c r="A1591" i="1"/>
  <c r="P1591" i="1"/>
  <c r="A1592" i="1"/>
  <c r="P1592" i="1"/>
  <c r="A1593" i="1"/>
  <c r="P1593" i="1"/>
  <c r="A1594" i="1"/>
  <c r="P1594" i="1"/>
  <c r="A1595" i="1"/>
  <c r="P1595" i="1"/>
  <c r="A1596" i="1"/>
  <c r="P1596" i="1"/>
  <c r="A1597" i="1"/>
  <c r="P1597" i="1"/>
  <c r="A1598" i="1"/>
  <c r="P1598" i="1"/>
  <c r="A1599" i="1"/>
  <c r="P1599" i="1"/>
  <c r="A1600" i="1"/>
  <c r="P1600" i="1"/>
  <c r="A1601" i="1"/>
  <c r="P1601" i="1"/>
  <c r="A1602" i="1"/>
  <c r="P1602" i="1"/>
  <c r="A1603" i="1"/>
  <c r="P1603" i="1"/>
  <c r="A1604" i="1"/>
  <c r="P1604" i="1"/>
  <c r="A1605" i="1"/>
  <c r="P1605" i="1"/>
  <c r="A1606" i="1"/>
  <c r="P1606" i="1"/>
  <c r="A1607" i="1"/>
  <c r="P1607" i="1"/>
  <c r="A1608" i="1"/>
  <c r="P1608" i="1"/>
  <c r="A1609" i="1"/>
  <c r="P1609" i="1"/>
  <c r="A1610" i="1"/>
  <c r="P1610" i="1"/>
  <c r="A1611" i="1"/>
  <c r="P1611" i="1"/>
  <c r="A1612" i="1"/>
  <c r="P1612" i="1"/>
  <c r="A1613" i="1"/>
  <c r="P1613" i="1"/>
  <c r="A1614" i="1"/>
  <c r="P1614" i="1"/>
  <c r="A1615" i="1"/>
  <c r="P1615" i="1"/>
  <c r="A1616" i="1"/>
  <c r="P1616" i="1"/>
  <c r="A1617" i="1"/>
  <c r="P1617" i="1"/>
  <c r="A1618" i="1"/>
  <c r="P1618" i="1"/>
  <c r="A1619" i="1"/>
  <c r="P1619" i="1"/>
  <c r="A1620" i="1"/>
  <c r="P1620" i="1"/>
  <c r="A1621" i="1"/>
  <c r="P1621" i="1"/>
  <c r="A1622" i="1"/>
  <c r="P1622" i="1"/>
  <c r="A1623" i="1"/>
  <c r="P1623" i="1"/>
  <c r="A1624" i="1"/>
  <c r="P1624" i="1"/>
  <c r="A1625" i="1"/>
  <c r="P1625" i="1"/>
  <c r="A1626" i="1"/>
  <c r="P1626" i="1"/>
  <c r="A1627" i="1"/>
  <c r="P1627" i="1"/>
  <c r="A1628" i="1"/>
  <c r="P1628" i="1"/>
  <c r="A1629" i="1"/>
  <c r="P1629" i="1"/>
  <c r="A1630" i="1"/>
  <c r="P1630" i="1"/>
  <c r="A1631" i="1"/>
  <c r="P1631" i="1"/>
  <c r="A1632" i="1"/>
  <c r="P1632" i="1"/>
  <c r="A1633" i="1"/>
  <c r="P1633" i="1"/>
  <c r="A1634" i="1"/>
  <c r="P1634" i="1"/>
  <c r="A1635" i="1"/>
  <c r="P1635" i="1"/>
  <c r="A1636" i="1"/>
  <c r="P1636" i="1"/>
  <c r="A1637" i="1"/>
  <c r="P1637" i="1"/>
  <c r="A1638" i="1"/>
  <c r="P1638" i="1"/>
  <c r="A1639" i="1"/>
  <c r="P1639" i="1"/>
  <c r="A1640" i="1"/>
  <c r="P1640" i="1"/>
  <c r="A1641" i="1"/>
  <c r="P1641" i="1"/>
  <c r="A1642" i="1"/>
  <c r="P1642" i="1"/>
  <c r="A1643" i="1"/>
  <c r="P1643" i="1"/>
  <c r="A1644" i="1"/>
  <c r="P1644" i="1"/>
  <c r="A1645" i="1"/>
  <c r="P1645" i="1"/>
  <c r="A1646" i="1"/>
  <c r="P1646" i="1"/>
  <c r="A1647" i="1"/>
  <c r="P1647" i="1"/>
  <c r="A1648" i="1"/>
  <c r="P1648" i="1"/>
  <c r="A1649" i="1"/>
  <c r="P1649" i="1"/>
  <c r="A1650" i="1"/>
  <c r="P1650" i="1"/>
  <c r="A1651" i="1"/>
  <c r="P1651" i="1"/>
  <c r="A1652" i="1"/>
  <c r="P1652" i="1"/>
  <c r="A1653" i="1"/>
  <c r="P1653" i="1"/>
  <c r="A1654" i="1"/>
  <c r="P1654" i="1"/>
  <c r="A1655" i="1"/>
  <c r="P1655" i="1"/>
  <c r="A1656" i="1"/>
  <c r="P1656" i="1"/>
  <c r="A1657" i="1"/>
  <c r="P1657" i="1"/>
  <c r="A1658" i="1"/>
  <c r="P1658" i="1"/>
  <c r="A1659" i="1"/>
  <c r="P1659" i="1"/>
  <c r="A1660" i="1"/>
  <c r="P1660" i="1"/>
  <c r="A1661" i="1"/>
  <c r="P1661" i="1"/>
  <c r="A1662" i="1"/>
  <c r="P1662" i="1"/>
  <c r="A1663" i="1"/>
  <c r="P1663" i="1"/>
  <c r="A1664" i="1"/>
  <c r="P1664" i="1"/>
  <c r="A1665" i="1"/>
  <c r="P1665" i="1"/>
  <c r="A1666" i="1"/>
  <c r="P1666" i="1"/>
  <c r="A1667" i="1"/>
  <c r="P1667" i="1"/>
  <c r="A1668" i="1"/>
  <c r="P1668" i="1"/>
  <c r="A1669" i="1"/>
  <c r="P1669" i="1"/>
  <c r="A1670" i="1"/>
  <c r="P1670" i="1"/>
  <c r="A1671" i="1"/>
  <c r="P1671" i="1"/>
  <c r="A1672" i="1"/>
  <c r="P1672" i="1"/>
  <c r="A1673" i="1"/>
  <c r="P1673" i="1"/>
  <c r="A1674" i="1"/>
  <c r="P1674" i="1"/>
  <c r="A1675" i="1"/>
  <c r="P1675" i="1"/>
  <c r="A1676" i="1"/>
  <c r="P1676" i="1"/>
  <c r="A1677" i="1"/>
  <c r="P1677" i="1"/>
  <c r="A1678" i="1"/>
  <c r="P1678" i="1"/>
  <c r="A1679" i="1"/>
  <c r="P1679" i="1"/>
  <c r="A1680" i="1"/>
  <c r="P1680" i="1"/>
  <c r="A1681" i="1"/>
  <c r="P1681" i="1"/>
  <c r="A1682" i="1"/>
  <c r="P1682" i="1"/>
  <c r="A1683" i="1"/>
  <c r="P1683" i="1"/>
  <c r="A1684" i="1"/>
  <c r="P1684" i="1"/>
  <c r="A1685" i="1"/>
  <c r="P1685" i="1"/>
  <c r="A1686" i="1"/>
  <c r="P1686" i="1"/>
  <c r="A1687" i="1"/>
  <c r="P1687" i="1"/>
  <c r="A1688" i="1"/>
  <c r="P1688" i="1"/>
  <c r="A1689" i="1"/>
  <c r="P1689" i="1"/>
  <c r="A1690" i="1"/>
  <c r="P1690" i="1"/>
  <c r="A1691" i="1"/>
  <c r="P1691" i="1"/>
  <c r="A1692" i="1"/>
  <c r="P1692" i="1"/>
  <c r="A1693" i="1"/>
  <c r="P1693" i="1"/>
  <c r="A1694" i="1"/>
  <c r="P1694" i="1"/>
  <c r="A1695" i="1"/>
  <c r="P1695" i="1"/>
  <c r="A1696" i="1"/>
  <c r="P1696" i="1"/>
  <c r="A1697" i="1"/>
  <c r="P1697" i="1"/>
  <c r="A1698" i="1"/>
  <c r="P1698" i="1"/>
  <c r="A1699" i="1"/>
  <c r="P1699" i="1"/>
  <c r="A1700" i="1"/>
  <c r="P1700" i="1"/>
  <c r="A1701" i="1"/>
  <c r="P1701" i="1"/>
  <c r="A1702" i="1"/>
  <c r="P1702" i="1"/>
  <c r="A1703" i="1"/>
  <c r="P1703" i="1"/>
  <c r="A1704" i="1"/>
  <c r="P1704" i="1"/>
  <c r="A1705" i="1"/>
  <c r="P1705" i="1"/>
  <c r="A1706" i="1"/>
  <c r="P1706" i="1"/>
  <c r="A1707" i="1"/>
  <c r="P1707" i="1"/>
  <c r="A1708" i="1"/>
  <c r="P1708" i="1"/>
  <c r="A1709" i="1"/>
  <c r="P1709" i="1"/>
  <c r="A1710" i="1"/>
  <c r="P1710" i="1"/>
  <c r="A1711" i="1"/>
  <c r="P1711" i="1"/>
  <c r="A1712" i="1"/>
  <c r="P1712" i="1"/>
  <c r="A1713" i="1"/>
  <c r="P1713" i="1"/>
  <c r="A1714" i="1"/>
  <c r="P1714" i="1"/>
  <c r="A1715" i="1"/>
  <c r="P1715" i="1"/>
  <c r="A1716" i="1"/>
  <c r="P1716" i="1"/>
  <c r="A1717" i="1"/>
  <c r="P1717" i="1"/>
  <c r="A1718" i="1"/>
  <c r="P1718" i="1"/>
  <c r="A1719" i="1"/>
  <c r="P1719" i="1"/>
  <c r="A1720" i="1"/>
  <c r="P1720" i="1"/>
  <c r="A1721" i="1"/>
  <c r="P1721" i="1"/>
  <c r="A1722" i="1"/>
  <c r="P1722" i="1"/>
  <c r="A1723" i="1"/>
  <c r="P1723" i="1"/>
  <c r="A1724" i="1"/>
  <c r="P1724" i="1"/>
  <c r="A1725" i="1"/>
  <c r="P1725" i="1"/>
  <c r="A1726" i="1"/>
  <c r="P1726" i="1"/>
  <c r="A1727" i="1"/>
  <c r="P1727" i="1"/>
  <c r="A1728" i="1"/>
  <c r="P1728" i="1"/>
  <c r="A1729" i="1"/>
  <c r="P1729" i="1"/>
  <c r="A1730" i="1"/>
  <c r="P1730" i="1"/>
  <c r="A1731" i="1"/>
  <c r="P1731" i="1"/>
  <c r="A1732" i="1"/>
  <c r="P1732" i="1"/>
  <c r="A1733" i="1"/>
  <c r="P1733" i="1"/>
  <c r="A1734" i="1"/>
  <c r="P1734" i="1"/>
  <c r="A1735" i="1"/>
  <c r="P1735" i="1"/>
  <c r="A1736" i="1"/>
  <c r="P1736" i="1"/>
  <c r="A1737" i="1"/>
  <c r="P1737" i="1"/>
  <c r="A1738" i="1"/>
  <c r="P1738" i="1"/>
  <c r="A1739" i="1"/>
  <c r="P1739" i="1"/>
  <c r="A1740" i="1"/>
  <c r="P1740" i="1"/>
  <c r="A1741" i="1"/>
  <c r="P1741" i="1"/>
  <c r="A1742" i="1"/>
  <c r="P1742" i="1"/>
  <c r="A1743" i="1"/>
  <c r="P1743" i="1"/>
  <c r="A1744" i="1"/>
  <c r="P1744" i="1"/>
  <c r="A1745" i="1"/>
  <c r="P1745" i="1"/>
  <c r="A1746" i="1"/>
  <c r="P1746" i="1"/>
  <c r="A1747" i="1"/>
  <c r="P1747" i="1"/>
  <c r="A1748" i="1"/>
  <c r="P1748" i="1"/>
  <c r="A1749" i="1"/>
  <c r="P1749" i="1"/>
  <c r="A1750" i="1"/>
  <c r="P1750" i="1"/>
  <c r="A1751" i="1"/>
  <c r="P1751" i="1"/>
  <c r="A1752" i="1"/>
  <c r="P1752" i="1"/>
  <c r="A1753" i="1"/>
  <c r="P1753" i="1"/>
  <c r="A1754" i="1"/>
  <c r="P1754" i="1"/>
  <c r="A1755" i="1"/>
  <c r="P1755" i="1"/>
  <c r="A1756" i="1"/>
  <c r="P1756" i="1"/>
  <c r="A1757" i="1"/>
  <c r="P1757" i="1"/>
  <c r="A1758" i="1"/>
  <c r="P1758" i="1"/>
  <c r="A1759" i="1"/>
  <c r="P1759" i="1"/>
  <c r="A1760" i="1"/>
  <c r="P1760" i="1"/>
  <c r="A1761" i="1"/>
  <c r="P1761" i="1"/>
  <c r="A1762" i="1"/>
  <c r="P1762" i="1"/>
  <c r="A1763" i="1"/>
  <c r="P1763" i="1"/>
  <c r="A1764" i="1"/>
  <c r="P1764" i="1"/>
  <c r="A1765" i="1"/>
  <c r="P1765" i="1"/>
  <c r="A1766" i="1"/>
  <c r="P1766" i="1"/>
  <c r="A1767" i="1"/>
  <c r="P1767" i="1"/>
  <c r="A1768" i="1"/>
  <c r="P1768" i="1"/>
  <c r="A1769" i="1"/>
  <c r="P1769" i="1"/>
  <c r="A1770" i="1"/>
  <c r="P1770" i="1"/>
  <c r="A1771" i="1"/>
  <c r="P1771" i="1"/>
  <c r="A1772" i="1"/>
  <c r="P1772" i="1"/>
  <c r="A1773" i="1"/>
  <c r="P1773" i="1"/>
  <c r="A1774" i="1"/>
  <c r="P1774" i="1"/>
  <c r="A1775" i="1"/>
  <c r="P1775" i="1"/>
  <c r="A1776" i="1"/>
  <c r="P1776" i="1"/>
  <c r="A1777" i="1"/>
  <c r="P1777" i="1"/>
  <c r="A1778" i="1"/>
  <c r="P1778" i="1"/>
  <c r="A1779" i="1"/>
  <c r="P1779" i="1"/>
  <c r="A1780" i="1"/>
  <c r="P1780" i="1"/>
  <c r="A1781" i="1"/>
  <c r="P1781" i="1"/>
  <c r="A1782" i="1"/>
  <c r="P1782" i="1"/>
  <c r="A1783" i="1"/>
  <c r="P1783" i="1"/>
  <c r="A1784" i="1"/>
  <c r="P1784" i="1"/>
  <c r="A1785" i="1"/>
  <c r="P1785" i="1"/>
  <c r="A1786" i="1"/>
  <c r="P1786" i="1"/>
  <c r="A1787" i="1"/>
  <c r="P1787" i="1"/>
  <c r="A1788" i="1"/>
  <c r="P1788" i="1"/>
  <c r="A1789" i="1"/>
  <c r="P1789" i="1"/>
  <c r="A1790" i="1"/>
  <c r="P1790" i="1"/>
  <c r="A1791" i="1"/>
  <c r="P1791" i="1"/>
  <c r="A1792" i="1"/>
  <c r="P1792" i="1"/>
  <c r="A1793" i="1"/>
  <c r="P1793" i="1"/>
  <c r="A1794" i="1"/>
  <c r="P1794" i="1"/>
  <c r="A1795" i="1"/>
  <c r="P1795" i="1"/>
  <c r="A1796" i="1"/>
  <c r="P1796" i="1"/>
  <c r="A1797" i="1"/>
  <c r="P1797" i="1"/>
  <c r="A1798" i="1"/>
  <c r="P1798" i="1"/>
  <c r="A1799" i="1"/>
  <c r="P1799" i="1"/>
  <c r="A1800" i="1"/>
  <c r="P1800" i="1"/>
  <c r="A1801" i="1"/>
  <c r="P1801" i="1"/>
  <c r="A1802" i="1"/>
  <c r="P1802" i="1"/>
  <c r="A1803" i="1"/>
  <c r="P1803" i="1"/>
  <c r="A1804" i="1"/>
  <c r="P1804" i="1"/>
  <c r="A1805" i="1"/>
  <c r="P1805" i="1"/>
  <c r="A1806" i="1"/>
  <c r="P1806" i="1"/>
  <c r="A1807" i="1"/>
  <c r="P1807" i="1"/>
  <c r="A1808" i="1"/>
  <c r="P1808" i="1"/>
  <c r="A1809" i="1"/>
  <c r="P1809" i="1"/>
  <c r="A1810" i="1"/>
  <c r="P1810" i="1"/>
  <c r="A1811" i="1"/>
  <c r="P1811" i="1"/>
  <c r="A1812" i="1"/>
  <c r="P1812" i="1"/>
  <c r="A1813" i="1"/>
  <c r="P1813" i="1"/>
  <c r="A1814" i="1"/>
  <c r="P1814" i="1"/>
  <c r="A1815" i="1"/>
  <c r="P1815" i="1"/>
  <c r="A1816" i="1"/>
  <c r="P1816" i="1"/>
  <c r="A1817" i="1"/>
  <c r="P1817" i="1"/>
  <c r="A1818" i="1"/>
  <c r="P1818" i="1"/>
  <c r="A1819" i="1"/>
  <c r="P1819" i="1"/>
  <c r="A1820" i="1"/>
  <c r="P1820" i="1"/>
  <c r="A1821" i="1"/>
  <c r="P1821" i="1"/>
  <c r="A1822" i="1"/>
  <c r="P1822" i="1"/>
  <c r="A1823" i="1"/>
  <c r="P1823" i="1"/>
  <c r="A1824" i="1"/>
  <c r="P1824" i="1"/>
  <c r="A1825" i="1"/>
  <c r="P1825" i="1"/>
  <c r="A1826" i="1"/>
  <c r="P1826" i="1"/>
  <c r="A1827" i="1"/>
  <c r="P1827" i="1"/>
  <c r="A1828" i="1"/>
  <c r="P1828" i="1"/>
  <c r="A1829" i="1"/>
  <c r="P1829" i="1"/>
  <c r="A1830" i="1"/>
  <c r="P1830" i="1"/>
  <c r="A1831" i="1"/>
  <c r="P1831" i="1"/>
  <c r="A1832" i="1"/>
  <c r="P1832" i="1"/>
  <c r="A1833" i="1"/>
  <c r="P1833" i="1"/>
  <c r="A1834" i="1"/>
  <c r="P1834" i="1"/>
  <c r="A1835" i="1"/>
  <c r="P1835" i="1"/>
  <c r="A1836" i="1"/>
  <c r="P1836" i="1"/>
  <c r="A1837" i="1"/>
  <c r="P1837" i="1"/>
  <c r="A1838" i="1"/>
  <c r="P1838" i="1"/>
  <c r="A1839" i="1"/>
  <c r="P1839" i="1"/>
  <c r="A1840" i="1"/>
  <c r="P1840" i="1"/>
  <c r="A1841" i="1"/>
  <c r="P1841" i="1"/>
  <c r="A1842" i="1"/>
  <c r="P1842" i="1"/>
  <c r="A1843" i="1"/>
  <c r="P1843" i="1"/>
  <c r="A1844" i="1"/>
  <c r="P1844" i="1"/>
  <c r="A1845" i="1"/>
  <c r="P1845" i="1"/>
  <c r="A1846" i="1"/>
  <c r="P1846" i="1"/>
  <c r="A1847" i="1"/>
  <c r="P1847" i="1"/>
  <c r="A1848" i="1"/>
  <c r="P1848" i="1"/>
  <c r="A1849" i="1"/>
  <c r="P1849" i="1"/>
  <c r="A1850" i="1"/>
  <c r="P1850" i="1"/>
  <c r="A1851" i="1"/>
  <c r="P1851" i="1"/>
  <c r="A1852" i="1"/>
  <c r="P1852" i="1"/>
  <c r="A1853" i="1"/>
  <c r="P1853" i="1"/>
  <c r="A1854" i="1"/>
  <c r="P1854" i="1"/>
  <c r="A1855" i="1"/>
  <c r="P1855" i="1"/>
  <c r="A1856" i="1"/>
  <c r="P1856" i="1"/>
  <c r="A1857" i="1"/>
  <c r="P1857" i="1"/>
  <c r="A1858" i="1"/>
  <c r="P1858" i="1"/>
  <c r="A1859" i="1"/>
  <c r="P1859" i="1"/>
  <c r="A1860" i="1"/>
  <c r="P1860" i="1"/>
  <c r="A1861" i="1"/>
  <c r="P1861" i="1"/>
  <c r="A1862" i="1"/>
  <c r="P1862" i="1"/>
  <c r="A1863" i="1"/>
  <c r="P1863" i="1"/>
  <c r="A1864" i="1"/>
  <c r="P1864" i="1"/>
  <c r="A1865" i="1"/>
  <c r="P1865" i="1"/>
  <c r="A1866" i="1"/>
  <c r="P1866" i="1"/>
  <c r="A1867" i="1"/>
  <c r="P1867" i="1"/>
  <c r="A1868" i="1"/>
  <c r="P1868" i="1"/>
  <c r="A1869" i="1"/>
  <c r="P1869" i="1"/>
  <c r="A1870" i="1"/>
  <c r="P1870" i="1"/>
  <c r="A1871" i="1"/>
  <c r="P1871" i="1"/>
  <c r="A1872" i="1"/>
  <c r="P1872" i="1"/>
  <c r="A1873" i="1"/>
  <c r="P1873" i="1"/>
  <c r="A1874" i="1"/>
  <c r="P1874" i="1"/>
  <c r="A1875" i="1"/>
  <c r="P1875" i="1"/>
  <c r="A1876" i="1"/>
  <c r="P1876" i="1"/>
  <c r="A1877" i="1"/>
  <c r="P1877" i="1"/>
  <c r="A1878" i="1"/>
  <c r="P1878" i="1"/>
  <c r="A1879" i="1"/>
  <c r="P1879" i="1"/>
  <c r="A1880" i="1"/>
  <c r="P1880" i="1"/>
  <c r="A1881" i="1"/>
  <c r="P1881" i="1"/>
  <c r="A1882" i="1"/>
  <c r="P1882" i="1"/>
  <c r="A1883" i="1"/>
  <c r="P1883" i="1"/>
  <c r="A1884" i="1"/>
  <c r="P1884" i="1"/>
  <c r="A1885" i="1"/>
  <c r="P1885" i="1"/>
  <c r="A1886" i="1"/>
  <c r="P1886" i="1"/>
  <c r="A1887" i="1"/>
  <c r="P1887" i="1"/>
  <c r="A1888" i="1"/>
  <c r="P1888" i="1"/>
  <c r="A1889" i="1"/>
  <c r="P1889" i="1"/>
  <c r="A1890" i="1"/>
  <c r="P1890" i="1"/>
  <c r="A1891" i="1"/>
  <c r="P1891" i="1"/>
  <c r="A1892" i="1"/>
  <c r="P1892" i="1"/>
  <c r="A1893" i="1"/>
  <c r="P1893" i="1"/>
  <c r="A1894" i="1"/>
  <c r="P1894" i="1"/>
  <c r="A1895" i="1"/>
  <c r="P1895" i="1"/>
  <c r="A1896" i="1"/>
  <c r="P1896" i="1"/>
  <c r="A1897" i="1"/>
  <c r="P1897" i="1"/>
  <c r="A1898" i="1"/>
  <c r="P1898" i="1"/>
  <c r="A1899" i="1"/>
  <c r="P1899" i="1"/>
  <c r="A1900" i="1"/>
  <c r="P1900" i="1"/>
  <c r="A1901" i="1"/>
  <c r="P1901" i="1"/>
  <c r="A1902" i="1"/>
  <c r="P1902" i="1"/>
  <c r="A1903" i="1"/>
  <c r="P1903" i="1"/>
  <c r="A1904" i="1"/>
  <c r="P1904" i="1"/>
  <c r="A1905" i="1"/>
  <c r="P1905" i="1"/>
  <c r="A1906" i="1"/>
  <c r="P1906" i="1"/>
  <c r="A1907" i="1"/>
  <c r="P1907" i="1"/>
  <c r="A1908" i="1"/>
  <c r="P1908" i="1"/>
  <c r="A1909" i="1"/>
  <c r="P1909" i="1"/>
  <c r="A1910" i="1"/>
  <c r="P1910" i="1"/>
  <c r="A1911" i="1"/>
  <c r="P1911" i="1"/>
  <c r="A1912" i="1"/>
  <c r="P1912" i="1"/>
  <c r="A1913" i="1"/>
  <c r="P1913" i="1"/>
  <c r="A1914" i="1"/>
  <c r="P1914" i="1"/>
  <c r="A1915" i="1"/>
  <c r="P1915" i="1"/>
  <c r="A1916" i="1"/>
  <c r="P1916" i="1"/>
  <c r="A1917" i="1"/>
  <c r="P1917" i="1"/>
  <c r="A1918" i="1"/>
  <c r="P1918" i="1"/>
  <c r="A1919" i="1"/>
  <c r="P1919" i="1"/>
  <c r="A1920" i="1"/>
  <c r="P1920" i="1"/>
  <c r="A1921" i="1"/>
  <c r="P1921" i="1"/>
  <c r="A1922" i="1"/>
  <c r="P1922" i="1"/>
  <c r="A1923" i="1"/>
  <c r="P1923" i="1"/>
  <c r="A1924" i="1"/>
  <c r="P1924" i="1"/>
  <c r="A1925" i="1"/>
  <c r="P1925" i="1"/>
  <c r="A1926" i="1"/>
  <c r="P1926" i="1"/>
  <c r="A1927" i="1"/>
  <c r="P1927" i="1"/>
  <c r="A1928" i="1"/>
  <c r="P1928" i="1"/>
  <c r="A1929" i="1"/>
  <c r="P1929" i="1"/>
  <c r="A1930" i="1"/>
  <c r="P1930" i="1"/>
  <c r="A1931" i="1"/>
  <c r="P1931" i="1"/>
  <c r="A1932" i="1"/>
  <c r="P1932" i="1"/>
  <c r="A1933" i="1"/>
  <c r="P1933" i="1"/>
  <c r="A1934" i="1"/>
  <c r="P1934" i="1"/>
  <c r="A1935" i="1"/>
  <c r="P1935" i="1"/>
  <c r="A1936" i="1"/>
  <c r="P1936" i="1"/>
  <c r="A1937" i="1"/>
  <c r="P1937" i="1"/>
  <c r="A1938" i="1"/>
  <c r="P1938" i="1"/>
  <c r="A1939" i="1"/>
  <c r="P1939" i="1"/>
  <c r="A1940" i="1"/>
  <c r="P1940" i="1"/>
  <c r="A1941" i="1"/>
  <c r="P1941" i="1"/>
  <c r="A1942" i="1"/>
  <c r="P1942" i="1"/>
  <c r="A1943" i="1"/>
  <c r="P1943" i="1"/>
  <c r="A1944" i="1"/>
  <c r="P1944" i="1"/>
  <c r="A1945" i="1"/>
  <c r="P1945" i="1"/>
  <c r="A1946" i="1"/>
  <c r="P1946" i="1"/>
  <c r="A1947" i="1"/>
  <c r="P1947" i="1"/>
  <c r="A1948" i="1"/>
  <c r="P1948" i="1"/>
  <c r="A1949" i="1"/>
  <c r="P1949" i="1"/>
  <c r="A1950" i="1"/>
  <c r="P1950" i="1"/>
  <c r="A1951" i="1"/>
  <c r="P1951" i="1"/>
  <c r="A1952" i="1"/>
  <c r="P1952" i="1"/>
  <c r="A1953" i="1"/>
  <c r="P1953" i="1"/>
  <c r="A1954" i="1"/>
  <c r="P1954" i="1"/>
  <c r="A1955" i="1"/>
  <c r="P1955" i="1"/>
  <c r="A1956" i="1"/>
  <c r="P1956" i="1"/>
  <c r="A1957" i="1"/>
  <c r="P1957" i="1"/>
  <c r="A1958" i="1"/>
  <c r="P1958" i="1"/>
  <c r="A1959" i="1"/>
  <c r="P1959" i="1"/>
  <c r="A1960" i="1"/>
  <c r="P1960" i="1"/>
  <c r="A1961" i="1"/>
  <c r="P1961" i="1"/>
  <c r="A1962" i="1"/>
  <c r="P1962" i="1"/>
  <c r="A1963" i="1"/>
  <c r="P1963" i="1"/>
  <c r="A1964" i="1"/>
  <c r="P1964" i="1"/>
  <c r="A1965" i="1"/>
  <c r="P1965" i="1"/>
  <c r="A1966" i="1"/>
  <c r="P1966" i="1"/>
  <c r="A1967" i="1"/>
  <c r="P1967" i="1"/>
  <c r="A1968" i="1"/>
  <c r="P1968" i="1"/>
  <c r="A1969" i="1"/>
  <c r="P1969" i="1"/>
  <c r="A1970" i="1"/>
  <c r="P1970" i="1"/>
  <c r="A1971" i="1"/>
  <c r="P1971" i="1"/>
  <c r="A1972" i="1"/>
  <c r="P1972" i="1"/>
  <c r="A1973" i="1"/>
  <c r="P1973" i="1"/>
  <c r="A1974" i="1"/>
  <c r="P1974" i="1"/>
  <c r="A1975" i="1"/>
  <c r="P1975" i="1"/>
  <c r="A1976" i="1"/>
  <c r="P1976" i="1"/>
  <c r="A1977" i="1"/>
  <c r="P1977" i="1"/>
  <c r="A1978" i="1"/>
  <c r="P1978" i="1"/>
  <c r="A1979" i="1"/>
  <c r="P1979" i="1"/>
  <c r="A1980" i="1"/>
  <c r="P1980" i="1"/>
  <c r="A1981" i="1"/>
  <c r="P1981" i="1"/>
  <c r="A1982" i="1"/>
  <c r="P1982" i="1"/>
  <c r="A1983" i="1"/>
  <c r="P1983" i="1"/>
  <c r="A1984" i="1"/>
  <c r="P1984" i="1"/>
  <c r="A1985" i="1"/>
  <c r="P1985" i="1"/>
  <c r="A1986" i="1"/>
  <c r="P1986" i="1"/>
  <c r="A1987" i="1"/>
  <c r="P1987" i="1"/>
  <c r="A1988" i="1"/>
  <c r="P1988" i="1"/>
  <c r="A1989" i="1"/>
  <c r="P1989" i="1"/>
  <c r="A1990" i="1"/>
  <c r="P1990" i="1"/>
  <c r="A1991" i="1"/>
  <c r="P1991" i="1"/>
  <c r="A1992" i="1"/>
  <c r="P1992" i="1"/>
  <c r="A1993" i="1"/>
  <c r="P1993" i="1"/>
  <c r="A1994" i="1"/>
  <c r="P1994" i="1"/>
  <c r="A1995" i="1"/>
  <c r="P1995" i="1"/>
  <c r="A1996" i="1"/>
  <c r="P1996" i="1"/>
  <c r="A1997" i="1"/>
  <c r="P1997" i="1"/>
  <c r="A1998" i="1"/>
  <c r="P1998" i="1"/>
  <c r="A1999" i="1"/>
  <c r="P1999" i="1"/>
  <c r="A2000" i="1"/>
  <c r="P2000" i="1"/>
  <c r="A2001" i="1"/>
  <c r="P2001" i="1"/>
  <c r="A2002" i="1"/>
  <c r="P2002" i="1"/>
  <c r="A2003" i="1"/>
  <c r="P2003" i="1"/>
  <c r="A2004" i="1"/>
  <c r="P2004" i="1"/>
  <c r="A2005" i="1"/>
  <c r="P2005" i="1"/>
  <c r="A2006" i="1"/>
  <c r="P2006" i="1"/>
  <c r="A2007" i="1"/>
  <c r="P2007" i="1"/>
  <c r="A2008" i="1"/>
  <c r="P2008" i="1"/>
  <c r="A2009" i="1"/>
  <c r="P2009" i="1"/>
  <c r="A2010" i="1"/>
  <c r="P2010" i="1"/>
  <c r="A2011" i="1"/>
  <c r="P2011" i="1"/>
  <c r="A2012" i="1"/>
  <c r="P2012" i="1"/>
  <c r="A2013" i="1"/>
  <c r="P2013" i="1"/>
  <c r="A2014" i="1"/>
  <c r="P2014" i="1"/>
  <c r="A2015" i="1"/>
  <c r="P2015" i="1"/>
  <c r="A2016" i="1"/>
  <c r="P2016" i="1"/>
  <c r="A2017" i="1"/>
  <c r="P2017" i="1"/>
  <c r="A2018" i="1"/>
  <c r="P2018" i="1"/>
  <c r="A2019" i="1"/>
  <c r="P2019" i="1"/>
  <c r="A2020" i="1"/>
  <c r="P2020" i="1"/>
  <c r="A2021" i="1"/>
  <c r="P2021" i="1"/>
  <c r="A2022" i="1"/>
  <c r="P2022" i="1"/>
  <c r="A2023" i="1"/>
  <c r="P2023" i="1"/>
  <c r="A2024" i="1"/>
  <c r="P2024" i="1"/>
  <c r="A2025" i="1"/>
  <c r="P2025" i="1"/>
  <c r="A2026" i="1"/>
  <c r="P2026" i="1"/>
  <c r="A2027" i="1"/>
  <c r="P2027" i="1"/>
  <c r="A2028" i="1"/>
  <c r="P2028" i="1"/>
  <c r="A2029" i="1"/>
  <c r="P2029" i="1"/>
  <c r="A2030" i="1"/>
  <c r="P2030" i="1"/>
  <c r="A2031" i="1"/>
  <c r="P2031" i="1"/>
  <c r="A2032" i="1"/>
  <c r="P2032" i="1"/>
  <c r="A2033" i="1"/>
  <c r="P2033" i="1"/>
  <c r="A2034" i="1"/>
  <c r="P2034" i="1"/>
  <c r="A2035" i="1"/>
  <c r="P2035" i="1"/>
  <c r="A2036" i="1"/>
  <c r="P2036" i="1"/>
  <c r="A2037" i="1"/>
  <c r="P2037" i="1"/>
  <c r="A2038" i="1"/>
  <c r="P2038" i="1"/>
  <c r="A2039" i="1"/>
  <c r="P2039" i="1"/>
  <c r="A2040" i="1"/>
  <c r="P2040" i="1"/>
  <c r="A2041" i="1"/>
  <c r="P2041" i="1"/>
  <c r="A2042" i="1"/>
  <c r="P2042" i="1"/>
  <c r="A2043" i="1"/>
  <c r="P2043" i="1"/>
  <c r="A2044" i="1"/>
  <c r="P2044" i="1"/>
  <c r="A2045" i="1"/>
  <c r="P2045" i="1"/>
  <c r="A2046" i="1"/>
  <c r="P2046" i="1"/>
  <c r="A2047" i="1"/>
  <c r="P2047" i="1"/>
  <c r="A2048" i="1"/>
  <c r="P2048" i="1"/>
  <c r="A2049" i="1"/>
  <c r="P2049" i="1"/>
  <c r="A2050" i="1"/>
  <c r="P2050" i="1"/>
  <c r="A2051" i="1"/>
  <c r="P2051" i="1"/>
  <c r="A2052" i="1"/>
  <c r="P2052" i="1"/>
  <c r="A2053" i="1"/>
  <c r="P2053" i="1"/>
  <c r="A2054" i="1"/>
  <c r="P2054" i="1"/>
  <c r="A2055" i="1"/>
  <c r="P2055" i="1"/>
  <c r="A2056" i="1"/>
  <c r="P2056" i="1"/>
  <c r="A2057" i="1"/>
  <c r="P2057" i="1"/>
  <c r="A2058" i="1"/>
  <c r="P2058" i="1"/>
  <c r="A2059" i="1"/>
  <c r="P2059" i="1"/>
  <c r="A2060" i="1"/>
  <c r="P2060" i="1"/>
  <c r="A2061" i="1"/>
  <c r="P2061" i="1"/>
  <c r="A2062" i="1"/>
  <c r="P2062" i="1"/>
  <c r="A2063" i="1"/>
  <c r="P2063" i="1"/>
  <c r="A2064" i="1"/>
  <c r="P2064" i="1"/>
  <c r="A2065" i="1"/>
  <c r="P2065" i="1"/>
  <c r="A2066" i="1"/>
  <c r="P2066" i="1"/>
  <c r="A2067" i="1"/>
  <c r="P2067" i="1"/>
  <c r="A2068" i="1"/>
  <c r="P2068" i="1"/>
  <c r="A2069" i="1"/>
  <c r="P2069" i="1"/>
  <c r="A2070" i="1"/>
  <c r="P2070" i="1"/>
  <c r="A2071" i="1"/>
  <c r="P2071" i="1"/>
  <c r="A2072" i="1"/>
  <c r="P2072" i="1"/>
  <c r="A2073" i="1"/>
  <c r="P2073" i="1"/>
  <c r="A2074" i="1"/>
  <c r="P2074" i="1"/>
  <c r="A2075" i="1"/>
  <c r="P2075" i="1"/>
  <c r="A2076" i="1"/>
  <c r="P2076" i="1"/>
  <c r="A2077" i="1"/>
  <c r="P2077" i="1"/>
  <c r="A2078" i="1"/>
  <c r="P2078" i="1"/>
  <c r="A2079" i="1"/>
  <c r="P2079" i="1"/>
  <c r="A2080" i="1"/>
  <c r="P2080" i="1"/>
  <c r="A2081" i="1"/>
  <c r="P2081" i="1"/>
  <c r="A2082" i="1"/>
  <c r="P2082" i="1"/>
  <c r="A2083" i="1"/>
  <c r="P2083" i="1"/>
  <c r="A2084" i="1"/>
  <c r="P2084" i="1"/>
  <c r="A2085" i="1"/>
  <c r="P2085" i="1"/>
  <c r="A2086" i="1"/>
  <c r="P2086" i="1"/>
  <c r="A2087" i="1"/>
  <c r="P2087" i="1"/>
  <c r="A2088" i="1"/>
  <c r="P2088" i="1"/>
  <c r="A2089" i="1"/>
  <c r="P2089" i="1"/>
  <c r="A2090" i="1"/>
  <c r="P2090" i="1"/>
  <c r="A2091" i="1"/>
  <c r="P2091" i="1"/>
  <c r="A2092" i="1"/>
  <c r="P2092" i="1"/>
  <c r="A2093" i="1"/>
  <c r="P2093" i="1"/>
  <c r="A2094" i="1"/>
  <c r="P2094" i="1"/>
  <c r="A2095" i="1"/>
  <c r="P2095" i="1"/>
  <c r="A2096" i="1"/>
  <c r="P2096" i="1"/>
  <c r="A2097" i="1"/>
  <c r="P2097" i="1"/>
  <c r="A2098" i="1"/>
  <c r="P2098" i="1"/>
  <c r="A2099" i="1"/>
  <c r="P2099" i="1"/>
  <c r="A2100" i="1"/>
  <c r="P2100" i="1"/>
  <c r="A2101" i="1"/>
  <c r="P2101" i="1"/>
  <c r="A2102" i="1"/>
  <c r="P2102" i="1"/>
  <c r="A2103" i="1"/>
  <c r="P2103" i="1"/>
  <c r="A2104" i="1"/>
  <c r="P2104" i="1"/>
  <c r="A2105" i="1"/>
  <c r="P2105" i="1"/>
  <c r="A2106" i="1"/>
  <c r="P2106" i="1"/>
  <c r="A2107" i="1"/>
  <c r="P2107" i="1"/>
  <c r="A2108" i="1"/>
  <c r="P2108" i="1"/>
  <c r="A2109" i="1"/>
  <c r="P2109" i="1"/>
  <c r="A2110" i="1"/>
  <c r="P2110" i="1"/>
  <c r="A2111" i="1"/>
  <c r="P2111" i="1"/>
  <c r="A2112" i="1"/>
  <c r="P2112" i="1"/>
  <c r="A2113" i="1"/>
  <c r="P2113" i="1"/>
  <c r="A2114" i="1"/>
  <c r="P2114" i="1"/>
  <c r="A2115" i="1"/>
  <c r="P2115" i="1"/>
  <c r="A2116" i="1"/>
  <c r="P2116" i="1"/>
  <c r="A2117" i="1"/>
  <c r="P2117" i="1"/>
  <c r="A2118" i="1"/>
  <c r="P2118" i="1"/>
  <c r="A2119" i="1"/>
  <c r="P2119" i="1"/>
  <c r="A2120" i="1"/>
  <c r="P2120" i="1"/>
  <c r="A2121" i="1"/>
  <c r="P2121" i="1"/>
  <c r="A2122" i="1"/>
  <c r="P2122" i="1"/>
  <c r="A2123" i="1"/>
  <c r="P2123" i="1"/>
  <c r="A2124" i="1"/>
  <c r="P2124" i="1"/>
  <c r="A2125" i="1"/>
  <c r="P2125" i="1"/>
  <c r="A2126" i="1"/>
  <c r="P2126" i="1"/>
  <c r="A2127" i="1"/>
  <c r="P2127" i="1"/>
  <c r="A2128" i="1"/>
  <c r="P2128" i="1"/>
  <c r="A2129" i="1"/>
  <c r="P2129" i="1"/>
  <c r="A2130" i="1"/>
  <c r="P2130" i="1"/>
  <c r="A2131" i="1"/>
  <c r="P2131" i="1"/>
  <c r="A2132" i="1"/>
  <c r="P2132" i="1"/>
  <c r="A2133" i="1"/>
  <c r="P2133" i="1"/>
  <c r="A2134" i="1"/>
  <c r="P2134" i="1"/>
  <c r="A2135" i="1"/>
  <c r="P2135" i="1"/>
  <c r="A2136" i="1"/>
  <c r="P2136" i="1"/>
  <c r="A2137" i="1"/>
  <c r="P2137" i="1"/>
  <c r="A2138" i="1"/>
  <c r="P2138" i="1"/>
  <c r="A2139" i="1"/>
  <c r="P2139" i="1"/>
  <c r="A2140" i="1"/>
  <c r="P2140" i="1"/>
  <c r="A2141" i="1"/>
  <c r="P2141" i="1"/>
  <c r="A2142" i="1"/>
  <c r="P2142" i="1"/>
  <c r="A2143" i="1"/>
  <c r="P2143" i="1"/>
  <c r="A2144" i="1"/>
  <c r="P2144" i="1"/>
  <c r="A2145" i="1"/>
  <c r="P2145" i="1"/>
  <c r="A2146" i="1"/>
  <c r="P2146" i="1"/>
  <c r="A2147" i="1"/>
  <c r="P2147" i="1"/>
  <c r="A2148" i="1"/>
  <c r="P2148" i="1"/>
  <c r="A2149" i="1"/>
  <c r="P2149" i="1"/>
  <c r="A2150" i="1"/>
  <c r="P2150" i="1"/>
  <c r="A2151" i="1"/>
  <c r="P2151" i="1"/>
  <c r="A2152" i="1"/>
  <c r="P2152" i="1"/>
  <c r="A2153" i="1"/>
  <c r="P2153" i="1"/>
  <c r="A2154" i="1"/>
  <c r="P2154" i="1"/>
  <c r="A2155" i="1"/>
  <c r="P2155" i="1"/>
  <c r="A2156" i="1"/>
  <c r="P2156" i="1"/>
  <c r="A2157" i="1"/>
  <c r="P2157" i="1"/>
  <c r="A2158" i="1"/>
  <c r="P2158" i="1"/>
  <c r="A2159" i="1"/>
  <c r="P2159" i="1"/>
  <c r="A2160" i="1"/>
  <c r="P2160" i="1"/>
  <c r="A2161" i="1"/>
  <c r="P2161" i="1"/>
  <c r="A2162" i="1"/>
  <c r="P2162" i="1"/>
  <c r="A2163" i="1"/>
  <c r="P2163" i="1"/>
  <c r="A2164" i="1"/>
  <c r="P2164" i="1"/>
  <c r="A2165" i="1"/>
  <c r="P2165" i="1"/>
  <c r="A2166" i="1"/>
  <c r="P2166" i="1"/>
  <c r="A2167" i="1"/>
  <c r="P2167" i="1"/>
  <c r="A2168" i="1"/>
  <c r="P2168" i="1"/>
  <c r="A2169" i="1"/>
  <c r="P2169" i="1"/>
  <c r="A2170" i="1"/>
  <c r="P2170" i="1"/>
  <c r="A2171" i="1"/>
  <c r="P2171" i="1"/>
  <c r="A2172" i="1"/>
  <c r="P2172" i="1"/>
  <c r="A2173" i="1"/>
  <c r="P2173" i="1"/>
  <c r="A2174" i="1"/>
  <c r="P2174" i="1"/>
  <c r="A2175" i="1"/>
  <c r="P2175" i="1"/>
  <c r="A2176" i="1"/>
  <c r="P2176" i="1"/>
  <c r="A2177" i="1"/>
  <c r="P2177" i="1"/>
  <c r="A2178" i="1"/>
  <c r="P2178" i="1"/>
  <c r="A2179" i="1"/>
  <c r="P2179" i="1"/>
  <c r="A2180" i="1"/>
  <c r="P2180" i="1"/>
  <c r="A2181" i="1"/>
  <c r="P2181" i="1"/>
  <c r="A2182" i="1"/>
  <c r="P2182" i="1"/>
  <c r="A2183" i="1"/>
  <c r="P2183" i="1"/>
  <c r="A2184" i="1"/>
  <c r="P2184" i="1"/>
  <c r="A2185" i="1"/>
  <c r="P2185" i="1"/>
  <c r="A2186" i="1"/>
  <c r="P2186" i="1"/>
  <c r="A2187" i="1"/>
  <c r="P2187" i="1"/>
  <c r="A2188" i="1"/>
  <c r="P2188" i="1"/>
  <c r="A2189" i="1"/>
  <c r="P2189" i="1"/>
  <c r="A2190" i="1"/>
  <c r="P2190" i="1"/>
  <c r="A2191" i="1"/>
  <c r="P2191" i="1"/>
  <c r="A2192" i="1"/>
  <c r="P2192" i="1"/>
  <c r="A2193" i="1"/>
  <c r="P2193" i="1"/>
  <c r="A2194" i="1"/>
  <c r="P2194" i="1"/>
  <c r="A2195" i="1"/>
  <c r="P2195" i="1"/>
  <c r="A2196" i="1"/>
  <c r="P2196" i="1"/>
  <c r="A2197" i="1"/>
  <c r="P2197" i="1"/>
  <c r="A2198" i="1"/>
  <c r="P2198" i="1"/>
  <c r="A2199" i="1"/>
  <c r="P2199" i="1"/>
  <c r="A2200" i="1"/>
  <c r="P2200" i="1"/>
  <c r="A2201" i="1"/>
  <c r="P2201" i="1"/>
  <c r="A2202" i="1"/>
  <c r="P2202" i="1"/>
  <c r="A2203" i="1"/>
  <c r="P2203" i="1"/>
  <c r="A2204" i="1"/>
  <c r="P2204" i="1"/>
  <c r="A2205" i="1"/>
  <c r="P2205" i="1"/>
  <c r="A2206" i="1"/>
  <c r="P2206" i="1"/>
  <c r="A2207" i="1"/>
  <c r="P2207" i="1"/>
  <c r="A2208" i="1"/>
  <c r="P2208" i="1"/>
  <c r="A2209" i="1"/>
  <c r="P2209" i="1"/>
  <c r="A2210" i="1"/>
  <c r="P2210" i="1"/>
  <c r="A2211" i="1"/>
  <c r="P2211" i="1"/>
  <c r="A2212" i="1"/>
  <c r="P2212" i="1"/>
  <c r="A2213" i="1"/>
  <c r="P2213" i="1"/>
  <c r="A2214" i="1"/>
  <c r="P2214" i="1"/>
  <c r="A2215" i="1"/>
  <c r="P2215" i="1"/>
  <c r="A2216" i="1"/>
  <c r="P2216" i="1"/>
  <c r="A2217" i="1"/>
  <c r="P2217" i="1"/>
  <c r="A2218" i="1"/>
  <c r="P2218" i="1"/>
  <c r="A2219" i="1"/>
  <c r="P2219" i="1"/>
  <c r="A2220" i="1"/>
  <c r="P2220" i="1"/>
  <c r="A2221" i="1"/>
  <c r="P2221" i="1"/>
  <c r="A2222" i="1"/>
  <c r="P2222" i="1"/>
  <c r="A2223" i="1"/>
  <c r="P2223" i="1"/>
  <c r="A2224" i="1"/>
  <c r="P2224" i="1"/>
  <c r="A2225" i="1"/>
  <c r="P2225" i="1"/>
  <c r="A2226" i="1"/>
  <c r="P2226" i="1"/>
  <c r="A2227" i="1"/>
  <c r="P2227" i="1"/>
  <c r="A2228" i="1"/>
  <c r="P2228" i="1"/>
  <c r="A2229" i="1"/>
  <c r="P2229" i="1"/>
  <c r="A2230" i="1"/>
  <c r="P2230" i="1"/>
  <c r="A2231" i="1"/>
  <c r="P2231" i="1"/>
  <c r="A2232" i="1"/>
  <c r="P2232" i="1"/>
  <c r="A2233" i="1"/>
  <c r="P2233" i="1"/>
  <c r="A2234" i="1"/>
  <c r="P2234" i="1"/>
  <c r="A2235" i="1"/>
  <c r="P2235" i="1"/>
  <c r="A2236" i="1"/>
  <c r="P2236" i="1"/>
  <c r="A2237" i="1"/>
  <c r="P2237" i="1"/>
  <c r="A2238" i="1"/>
  <c r="P2238" i="1"/>
  <c r="A2239" i="1"/>
  <c r="P2239" i="1"/>
  <c r="A2240" i="1"/>
  <c r="P2240" i="1"/>
  <c r="A2241" i="1"/>
  <c r="P2241" i="1"/>
  <c r="A2242" i="1"/>
  <c r="P2242" i="1"/>
  <c r="A2243" i="1"/>
  <c r="P2243" i="1"/>
  <c r="A2244" i="1"/>
  <c r="P2244" i="1"/>
  <c r="A2245" i="1"/>
  <c r="P2245" i="1"/>
  <c r="A2246" i="1"/>
  <c r="P2246" i="1"/>
  <c r="A2247" i="1"/>
  <c r="P2247" i="1"/>
  <c r="A2248" i="1"/>
  <c r="P2248" i="1"/>
  <c r="A2249" i="1"/>
  <c r="P2249" i="1"/>
  <c r="A2250" i="1"/>
  <c r="P2250" i="1"/>
  <c r="A2251" i="1"/>
  <c r="P2251" i="1"/>
  <c r="A2252" i="1"/>
  <c r="P2252" i="1"/>
  <c r="A2253" i="1"/>
  <c r="P2253" i="1"/>
  <c r="A2254" i="1"/>
  <c r="P2254" i="1"/>
  <c r="A2255" i="1"/>
  <c r="P2255" i="1"/>
  <c r="A2256" i="1"/>
  <c r="P2256" i="1"/>
  <c r="A2257" i="1"/>
  <c r="P2257" i="1"/>
  <c r="A2258" i="1"/>
  <c r="P2258" i="1"/>
  <c r="A2259" i="1"/>
  <c r="P2259" i="1"/>
  <c r="A2260" i="1"/>
  <c r="P2260" i="1"/>
  <c r="A2261" i="1"/>
  <c r="P2261" i="1"/>
  <c r="A2262" i="1"/>
  <c r="P2262" i="1"/>
  <c r="A2263" i="1"/>
  <c r="P2263" i="1"/>
  <c r="A2264" i="1"/>
  <c r="P2264" i="1"/>
  <c r="A2265" i="1"/>
  <c r="P2265" i="1"/>
  <c r="A2266" i="1"/>
  <c r="P2266" i="1"/>
  <c r="A2267" i="1"/>
  <c r="P2267" i="1"/>
  <c r="A2268" i="1"/>
  <c r="P2268" i="1"/>
  <c r="A2269" i="1"/>
  <c r="P2269" i="1"/>
  <c r="A2270" i="1"/>
  <c r="P2270" i="1"/>
  <c r="A2271" i="1"/>
  <c r="P2271" i="1"/>
  <c r="A2272" i="1"/>
  <c r="P2272" i="1"/>
  <c r="A2273" i="1"/>
  <c r="P2273" i="1"/>
  <c r="A2274" i="1"/>
  <c r="P2274" i="1"/>
  <c r="A2275" i="1"/>
  <c r="P2275" i="1"/>
  <c r="A2276" i="1"/>
  <c r="P2276" i="1"/>
  <c r="A2277" i="1"/>
  <c r="P2277" i="1"/>
  <c r="A2278" i="1"/>
  <c r="P2278" i="1"/>
  <c r="A2279" i="1"/>
  <c r="P2279" i="1"/>
  <c r="A2280" i="1"/>
  <c r="P2280" i="1"/>
  <c r="A2281" i="1"/>
  <c r="P2281" i="1"/>
  <c r="A2282" i="1"/>
  <c r="P2282" i="1"/>
  <c r="A2283" i="1"/>
  <c r="P2283" i="1"/>
  <c r="A2284" i="1"/>
  <c r="P2284" i="1"/>
  <c r="A2285" i="1"/>
  <c r="P2285" i="1"/>
  <c r="A2286" i="1"/>
  <c r="P2286" i="1"/>
  <c r="A2287" i="1"/>
  <c r="P2287" i="1"/>
  <c r="A2288" i="1"/>
  <c r="P2288" i="1"/>
  <c r="A2289" i="1"/>
  <c r="P2289" i="1"/>
  <c r="A2290" i="1"/>
  <c r="P2290" i="1"/>
  <c r="A2291" i="1"/>
  <c r="P2291" i="1"/>
  <c r="A2292" i="1"/>
  <c r="P2292" i="1"/>
  <c r="A2293" i="1"/>
  <c r="P2293" i="1"/>
  <c r="A2294" i="1"/>
  <c r="P2294" i="1"/>
  <c r="A2295" i="1"/>
  <c r="P2295" i="1"/>
  <c r="A2296" i="1"/>
  <c r="P2296" i="1"/>
  <c r="A2297" i="1"/>
  <c r="P2297" i="1"/>
  <c r="A2298" i="1"/>
  <c r="P2298" i="1"/>
  <c r="A2299" i="1"/>
  <c r="P2299" i="1"/>
  <c r="A2300" i="1"/>
  <c r="P2300" i="1"/>
  <c r="A2301" i="1"/>
  <c r="P2301" i="1"/>
  <c r="A2302" i="1"/>
  <c r="P2302" i="1"/>
  <c r="A2303" i="1"/>
  <c r="P2303" i="1"/>
  <c r="A2304" i="1"/>
  <c r="P2304" i="1"/>
  <c r="A2305" i="1"/>
  <c r="P2305" i="1"/>
  <c r="A2306" i="1"/>
  <c r="P2306" i="1"/>
  <c r="A2307" i="1"/>
  <c r="P2307" i="1"/>
  <c r="A2308" i="1"/>
  <c r="P2308" i="1"/>
  <c r="A2309" i="1"/>
  <c r="P2309" i="1"/>
  <c r="A2310" i="1"/>
  <c r="P2310" i="1"/>
  <c r="A2311" i="1"/>
  <c r="P2311" i="1"/>
  <c r="A2312" i="1"/>
  <c r="P2312" i="1"/>
  <c r="A2313" i="1"/>
  <c r="P2313" i="1"/>
  <c r="A2314" i="1"/>
  <c r="P2314" i="1"/>
  <c r="A2315" i="1"/>
  <c r="P2315" i="1"/>
  <c r="A2316" i="1"/>
  <c r="P2316" i="1"/>
  <c r="A2317" i="1"/>
  <c r="P2317" i="1"/>
  <c r="A2318" i="1"/>
  <c r="P2318" i="1"/>
  <c r="A2319" i="1"/>
  <c r="P2319" i="1"/>
  <c r="A2320" i="1"/>
  <c r="P2320" i="1"/>
  <c r="A2321" i="1"/>
  <c r="P2321" i="1"/>
  <c r="A2322" i="1"/>
  <c r="P2322" i="1"/>
  <c r="A2323" i="1"/>
  <c r="P2323" i="1"/>
  <c r="A2324" i="1"/>
  <c r="P2324" i="1"/>
  <c r="A2325" i="1"/>
  <c r="P2325" i="1"/>
  <c r="A2326" i="1"/>
  <c r="P2326" i="1"/>
  <c r="A2327" i="1"/>
  <c r="P2327" i="1"/>
  <c r="A2328" i="1"/>
  <c r="P2328" i="1"/>
  <c r="A2329" i="1"/>
  <c r="P2329" i="1"/>
  <c r="A2330" i="1"/>
  <c r="P2330" i="1"/>
  <c r="A2331" i="1"/>
  <c r="P2331" i="1"/>
  <c r="A2332" i="1"/>
  <c r="P2332" i="1"/>
  <c r="A2333" i="1"/>
  <c r="P2333" i="1"/>
  <c r="A2334" i="1"/>
  <c r="P2334" i="1"/>
  <c r="A2335" i="1"/>
  <c r="P2335" i="1"/>
  <c r="A2336" i="1"/>
  <c r="P2336" i="1"/>
  <c r="A2337" i="1"/>
  <c r="P2337" i="1"/>
  <c r="A2338" i="1"/>
  <c r="P2338" i="1"/>
  <c r="A2339" i="1"/>
  <c r="P2339" i="1"/>
  <c r="A2340" i="1"/>
  <c r="P2340" i="1"/>
  <c r="A2341" i="1"/>
  <c r="P2341" i="1"/>
  <c r="A2342" i="1"/>
  <c r="P2342" i="1"/>
  <c r="A2343" i="1"/>
  <c r="P2343" i="1"/>
  <c r="A2344" i="1"/>
  <c r="P2344" i="1"/>
  <c r="A2345" i="1"/>
  <c r="P2345" i="1"/>
  <c r="A2346" i="1"/>
  <c r="P2346" i="1"/>
  <c r="A2347" i="1"/>
  <c r="P2347" i="1"/>
  <c r="A2348" i="1"/>
  <c r="P2348" i="1"/>
  <c r="A2349" i="1"/>
  <c r="P2349" i="1"/>
  <c r="A2350" i="1"/>
  <c r="P2350" i="1"/>
  <c r="A2351" i="1"/>
  <c r="P2351" i="1"/>
  <c r="A2352" i="1"/>
  <c r="P2352" i="1"/>
  <c r="A2353" i="1"/>
  <c r="P2353" i="1"/>
  <c r="A2354" i="1"/>
  <c r="P2354" i="1"/>
  <c r="A2355" i="1"/>
  <c r="P2355" i="1"/>
  <c r="A2356" i="1"/>
  <c r="P2356" i="1"/>
  <c r="A2357" i="1"/>
  <c r="P2357" i="1"/>
  <c r="A2358" i="1"/>
  <c r="P2358" i="1"/>
  <c r="A2359" i="1"/>
  <c r="P2359" i="1"/>
  <c r="A2360" i="1"/>
  <c r="P2360" i="1"/>
  <c r="A2361" i="1"/>
  <c r="P2361" i="1"/>
  <c r="A2362" i="1"/>
  <c r="P2362" i="1"/>
  <c r="A2363" i="1"/>
  <c r="P2363" i="1"/>
  <c r="A2364" i="1"/>
  <c r="P2364" i="1"/>
  <c r="A2365" i="1"/>
  <c r="P2365" i="1"/>
  <c r="A2366" i="1"/>
  <c r="P2366" i="1"/>
  <c r="A2367" i="1"/>
  <c r="P2367" i="1"/>
  <c r="A2368" i="1"/>
  <c r="P2368" i="1"/>
  <c r="A2369" i="1"/>
  <c r="P2369" i="1"/>
  <c r="A2370" i="1"/>
  <c r="P2370" i="1"/>
  <c r="A2371" i="1"/>
  <c r="P2371" i="1"/>
  <c r="A2372" i="1"/>
  <c r="P2372" i="1"/>
  <c r="A2373" i="1"/>
  <c r="P2373" i="1"/>
  <c r="A2374" i="1"/>
  <c r="P2374" i="1"/>
  <c r="A2375" i="1"/>
  <c r="P2375" i="1"/>
  <c r="A2376" i="1"/>
  <c r="P2376" i="1"/>
  <c r="A2377" i="1"/>
  <c r="P2377" i="1"/>
  <c r="A2378" i="1"/>
  <c r="P2378" i="1"/>
  <c r="A2379" i="1"/>
  <c r="P2379" i="1"/>
  <c r="A2380" i="1"/>
  <c r="P2380" i="1"/>
  <c r="A2381" i="1"/>
  <c r="P2381" i="1"/>
  <c r="A2382" i="1"/>
  <c r="P2382" i="1"/>
  <c r="A2383" i="1"/>
  <c r="P2383" i="1"/>
  <c r="A2384" i="1"/>
  <c r="P2384" i="1"/>
  <c r="A2385" i="1"/>
  <c r="P2385" i="1"/>
  <c r="A2386" i="1"/>
  <c r="P2386" i="1"/>
  <c r="A2387" i="1"/>
  <c r="P2387" i="1"/>
  <c r="A2388" i="1"/>
  <c r="P2388" i="1"/>
  <c r="A2389" i="1"/>
  <c r="P2389" i="1"/>
  <c r="A2390" i="1"/>
  <c r="P2390" i="1"/>
  <c r="A2391" i="1"/>
  <c r="P2391" i="1"/>
  <c r="A2392" i="1"/>
  <c r="P2392" i="1"/>
  <c r="A2393" i="1"/>
  <c r="P2393" i="1"/>
  <c r="A2394" i="1"/>
  <c r="P2394" i="1"/>
  <c r="A2395" i="1"/>
  <c r="P2395" i="1"/>
  <c r="A2396" i="1"/>
  <c r="P2396" i="1"/>
  <c r="A2397" i="1"/>
  <c r="P2397" i="1"/>
  <c r="A2398" i="1"/>
  <c r="P2398" i="1"/>
  <c r="A2399" i="1"/>
  <c r="P2399" i="1"/>
  <c r="A2400" i="1"/>
  <c r="P2400" i="1"/>
  <c r="A2401" i="1"/>
  <c r="P2401" i="1"/>
  <c r="A2402" i="1"/>
  <c r="P2402" i="1"/>
  <c r="A2403" i="1"/>
  <c r="P2403" i="1"/>
  <c r="A2404" i="1"/>
  <c r="P2404" i="1"/>
  <c r="A2405" i="1"/>
  <c r="P2405" i="1"/>
  <c r="A2406" i="1"/>
  <c r="P2406" i="1"/>
  <c r="A2407" i="1"/>
  <c r="P2407" i="1"/>
  <c r="A2408" i="1"/>
  <c r="P2408" i="1"/>
  <c r="A2409" i="1"/>
  <c r="P2409" i="1"/>
  <c r="A2410" i="1"/>
  <c r="P2410" i="1"/>
  <c r="A2411" i="1"/>
  <c r="P2411" i="1"/>
  <c r="A2412" i="1"/>
  <c r="P2412" i="1"/>
  <c r="A2413" i="1"/>
  <c r="P2413" i="1"/>
  <c r="A2414" i="1"/>
  <c r="P2414" i="1"/>
  <c r="A2415" i="1"/>
  <c r="P2415" i="1"/>
  <c r="A2416" i="1"/>
  <c r="P2416" i="1"/>
  <c r="A2417" i="1"/>
  <c r="P2417" i="1"/>
  <c r="A2418" i="1"/>
  <c r="P2418" i="1"/>
  <c r="A2419" i="1"/>
  <c r="P2419" i="1"/>
  <c r="A2420" i="1"/>
  <c r="P2420" i="1"/>
  <c r="A2421" i="1"/>
  <c r="P2421" i="1"/>
  <c r="A2422" i="1"/>
  <c r="P2422" i="1"/>
  <c r="A2423" i="1"/>
  <c r="P2423" i="1"/>
  <c r="A2424" i="1"/>
  <c r="P2424" i="1"/>
  <c r="A2425" i="1"/>
  <c r="P2425" i="1"/>
  <c r="A2426" i="1"/>
  <c r="P2426" i="1"/>
  <c r="A2427" i="1"/>
  <c r="P2427" i="1"/>
  <c r="A2428" i="1"/>
  <c r="P2428" i="1"/>
  <c r="A2429" i="1"/>
  <c r="P2429" i="1"/>
  <c r="A2430" i="1"/>
  <c r="P2430" i="1"/>
  <c r="A2431" i="1"/>
  <c r="P2431" i="1"/>
  <c r="A2432" i="1"/>
  <c r="P2432" i="1"/>
  <c r="A2433" i="1"/>
  <c r="P2433" i="1"/>
  <c r="A2434" i="1"/>
  <c r="P2434" i="1"/>
  <c r="A2435" i="1"/>
  <c r="P2435" i="1"/>
  <c r="A2436" i="1"/>
  <c r="P2436" i="1"/>
  <c r="A2437" i="1"/>
  <c r="P2437" i="1"/>
  <c r="A2438" i="1"/>
  <c r="P2438" i="1"/>
  <c r="A2439" i="1"/>
  <c r="P2439" i="1"/>
  <c r="A2440" i="1"/>
  <c r="P2440" i="1"/>
  <c r="A2441" i="1"/>
  <c r="P2441" i="1"/>
  <c r="A2442" i="1"/>
  <c r="P2442" i="1"/>
  <c r="A2443" i="1"/>
  <c r="P2443" i="1"/>
  <c r="A2444" i="1"/>
  <c r="P2444" i="1"/>
  <c r="A2445" i="1"/>
  <c r="P2445" i="1"/>
  <c r="A2446" i="1"/>
  <c r="P2446" i="1"/>
  <c r="A2447" i="1"/>
  <c r="P2447" i="1"/>
  <c r="A2448" i="1"/>
  <c r="P2448" i="1"/>
  <c r="A2449" i="1"/>
  <c r="P2449" i="1"/>
  <c r="A2450" i="1"/>
  <c r="P2450" i="1"/>
  <c r="A2451" i="1"/>
  <c r="P2451" i="1"/>
  <c r="A2452" i="1"/>
  <c r="P2452" i="1"/>
  <c r="A2453" i="1"/>
  <c r="P2453" i="1"/>
  <c r="A2454" i="1"/>
  <c r="P2454" i="1"/>
  <c r="A2455" i="1"/>
  <c r="P2455" i="1"/>
  <c r="A2456" i="1"/>
  <c r="P2456" i="1"/>
  <c r="A2457" i="1"/>
  <c r="P2457" i="1"/>
  <c r="A2458" i="1"/>
  <c r="P2458" i="1"/>
  <c r="A2459" i="1"/>
  <c r="P2459" i="1"/>
  <c r="A2460" i="1"/>
  <c r="P2460" i="1"/>
  <c r="A2461" i="1"/>
  <c r="P2461" i="1"/>
  <c r="A2462" i="1"/>
  <c r="P2462" i="1"/>
  <c r="A2463" i="1"/>
  <c r="P2463" i="1"/>
  <c r="A2464" i="1"/>
  <c r="P2464" i="1"/>
  <c r="A2465" i="1"/>
  <c r="P2465" i="1"/>
  <c r="A2466" i="1"/>
  <c r="P2466" i="1"/>
  <c r="A2467" i="1"/>
  <c r="P2467" i="1"/>
  <c r="A2468" i="1"/>
  <c r="P2468" i="1"/>
  <c r="A2469" i="1"/>
  <c r="P2469" i="1"/>
  <c r="A2470" i="1"/>
  <c r="P2470" i="1"/>
  <c r="A2471" i="1"/>
  <c r="P2471" i="1"/>
  <c r="A2472" i="1"/>
  <c r="P2472" i="1"/>
  <c r="A2473" i="1"/>
  <c r="P2473" i="1"/>
  <c r="A2474" i="1"/>
  <c r="P2474" i="1"/>
  <c r="A2475" i="1"/>
  <c r="P2475" i="1"/>
  <c r="A2476" i="1"/>
  <c r="P2476" i="1"/>
  <c r="A2477" i="1"/>
  <c r="P2477" i="1"/>
  <c r="A2478" i="1"/>
  <c r="P2478" i="1"/>
  <c r="A2479" i="1"/>
  <c r="P2479" i="1"/>
  <c r="A2480" i="1"/>
  <c r="P2480" i="1"/>
  <c r="A2481" i="1"/>
  <c r="P2481" i="1"/>
  <c r="A2482" i="1"/>
  <c r="P2482" i="1"/>
  <c r="A2483" i="1"/>
  <c r="P2483" i="1"/>
  <c r="A2484" i="1"/>
  <c r="P2484" i="1"/>
  <c r="A2485" i="1"/>
  <c r="P2485" i="1"/>
  <c r="A2486" i="1"/>
  <c r="P2486" i="1"/>
  <c r="A2487" i="1"/>
  <c r="P2487" i="1"/>
  <c r="A2488" i="1"/>
  <c r="P2488" i="1"/>
  <c r="A2489" i="1"/>
  <c r="P2489" i="1"/>
  <c r="A2490" i="1"/>
  <c r="P2490" i="1"/>
  <c r="A2491" i="1"/>
  <c r="P2491" i="1"/>
  <c r="A2492" i="1"/>
  <c r="P2492" i="1"/>
  <c r="A2493" i="1"/>
  <c r="P2493" i="1"/>
  <c r="A2494" i="1"/>
  <c r="P2494" i="1"/>
  <c r="A2495" i="1"/>
  <c r="P2495" i="1"/>
  <c r="A2496" i="1"/>
  <c r="P2496" i="1"/>
  <c r="A2497" i="1"/>
  <c r="P2497" i="1"/>
  <c r="A2498" i="1"/>
  <c r="P2498" i="1"/>
  <c r="A2499" i="1"/>
  <c r="P2499" i="1"/>
  <c r="A2500" i="1"/>
  <c r="P2500" i="1"/>
  <c r="A2501" i="1"/>
  <c r="P2501" i="1"/>
  <c r="A2502" i="1"/>
  <c r="P2502" i="1"/>
  <c r="A2503" i="1"/>
  <c r="P2503" i="1"/>
  <c r="A2504" i="1"/>
  <c r="P2504" i="1"/>
  <c r="A2505" i="1"/>
  <c r="P2505" i="1"/>
  <c r="A2506" i="1"/>
  <c r="P2506" i="1"/>
  <c r="A2507" i="1"/>
  <c r="P2507" i="1"/>
  <c r="A2508" i="1"/>
  <c r="P2508" i="1"/>
  <c r="A2509" i="1"/>
  <c r="P2509" i="1"/>
  <c r="A2510" i="1"/>
  <c r="P2510" i="1"/>
  <c r="A2511" i="1"/>
  <c r="P2511" i="1"/>
  <c r="A2512" i="1"/>
  <c r="P2512" i="1"/>
  <c r="A2513" i="1"/>
  <c r="P2513" i="1"/>
  <c r="A2514" i="1"/>
  <c r="P2514" i="1"/>
  <c r="A2515" i="1"/>
  <c r="P2515" i="1"/>
  <c r="A2516" i="1"/>
  <c r="P2516" i="1"/>
  <c r="A2517" i="1"/>
  <c r="P2517" i="1"/>
  <c r="A2518" i="1"/>
  <c r="P2518" i="1"/>
  <c r="A2519" i="1"/>
  <c r="P2519" i="1"/>
  <c r="A2520" i="1"/>
  <c r="P2520" i="1"/>
  <c r="A2521" i="1"/>
  <c r="P2521" i="1"/>
  <c r="A2522" i="1"/>
  <c r="P2522" i="1"/>
  <c r="A2523" i="1"/>
  <c r="P2523" i="1"/>
  <c r="A2524" i="1"/>
  <c r="P2524" i="1"/>
  <c r="A2525" i="1"/>
  <c r="P2525" i="1"/>
  <c r="A2526" i="1"/>
  <c r="P2526" i="1"/>
  <c r="A2527" i="1"/>
  <c r="P2527" i="1"/>
  <c r="A2528" i="1"/>
  <c r="P2528" i="1"/>
  <c r="A2529" i="1"/>
  <c r="P2529" i="1"/>
  <c r="A2530" i="1"/>
  <c r="P2530" i="1"/>
  <c r="A2531" i="1"/>
  <c r="P2531" i="1"/>
  <c r="A2532" i="1"/>
  <c r="P2532" i="1"/>
  <c r="A2533" i="1"/>
  <c r="P2533" i="1"/>
  <c r="A2534" i="1"/>
  <c r="P2534" i="1"/>
  <c r="A2535" i="1"/>
  <c r="P2535" i="1"/>
  <c r="A2536" i="1"/>
  <c r="P2536" i="1"/>
  <c r="A2537" i="1"/>
  <c r="P2537" i="1"/>
  <c r="A2538" i="1"/>
  <c r="P2538" i="1"/>
  <c r="A2539" i="1"/>
  <c r="P2539" i="1"/>
  <c r="A2540" i="1"/>
  <c r="P2540" i="1"/>
  <c r="A2541" i="1"/>
  <c r="P2541" i="1"/>
  <c r="A2542" i="1"/>
  <c r="P2542" i="1"/>
  <c r="A2543" i="1"/>
  <c r="P2543" i="1"/>
  <c r="A2544" i="1"/>
  <c r="P2544" i="1"/>
  <c r="A2545" i="1"/>
  <c r="P2545" i="1"/>
  <c r="A2546" i="1"/>
  <c r="P2546" i="1"/>
  <c r="A2547" i="1"/>
  <c r="P2547" i="1"/>
  <c r="A2548" i="1"/>
  <c r="P2548" i="1"/>
  <c r="A2549" i="1"/>
  <c r="P2549" i="1"/>
  <c r="A2550" i="1"/>
  <c r="P2550" i="1"/>
  <c r="A2551" i="1"/>
  <c r="P2551" i="1"/>
  <c r="A2552" i="1"/>
  <c r="P2552" i="1"/>
  <c r="A2553" i="1"/>
  <c r="P2553" i="1"/>
  <c r="A2554" i="1"/>
  <c r="P2554" i="1"/>
  <c r="A2555" i="1"/>
  <c r="P2555" i="1"/>
  <c r="A2556" i="1"/>
  <c r="P2556" i="1"/>
  <c r="A2557" i="1"/>
  <c r="P2557" i="1"/>
  <c r="A2558" i="1"/>
  <c r="P2558" i="1"/>
  <c r="A2559" i="1"/>
  <c r="P2559" i="1"/>
  <c r="A2560" i="1"/>
  <c r="P2560" i="1"/>
  <c r="A2561" i="1"/>
  <c r="P2561" i="1"/>
  <c r="A2562" i="1"/>
  <c r="P2562" i="1"/>
  <c r="A2563" i="1"/>
  <c r="P2563" i="1"/>
  <c r="A2564" i="1"/>
  <c r="P2564" i="1"/>
  <c r="A2565" i="1"/>
  <c r="P2565" i="1"/>
  <c r="A2566" i="1"/>
  <c r="P2566" i="1"/>
  <c r="A2567" i="1"/>
  <c r="P2567" i="1"/>
  <c r="A2568" i="1"/>
  <c r="P2568" i="1"/>
  <c r="A2569" i="1"/>
  <c r="P2569" i="1"/>
  <c r="A2570" i="1"/>
  <c r="P2570" i="1"/>
  <c r="A2571" i="1"/>
  <c r="P2571" i="1"/>
  <c r="A2572" i="1"/>
  <c r="P2572" i="1"/>
  <c r="A2573" i="1"/>
  <c r="P2573" i="1"/>
  <c r="A2574" i="1"/>
  <c r="P2574" i="1"/>
  <c r="A2575" i="1"/>
  <c r="P2575" i="1"/>
  <c r="A2576" i="1"/>
  <c r="P2576" i="1"/>
  <c r="A2577" i="1"/>
  <c r="P2577" i="1"/>
  <c r="A2578" i="1"/>
  <c r="P2578" i="1"/>
  <c r="A2579" i="1"/>
  <c r="P2579" i="1"/>
  <c r="A2580" i="1"/>
  <c r="P2580" i="1"/>
  <c r="A2581" i="1"/>
  <c r="P2581" i="1"/>
  <c r="A2582" i="1"/>
  <c r="P2582" i="1"/>
  <c r="A2583" i="1"/>
  <c r="P2583" i="1"/>
  <c r="A2584" i="1"/>
  <c r="P2584" i="1"/>
  <c r="A2585" i="1"/>
  <c r="P2585" i="1"/>
  <c r="A2586" i="1"/>
  <c r="P2586" i="1"/>
  <c r="A2587" i="1"/>
  <c r="P2587" i="1"/>
  <c r="A2588" i="1"/>
  <c r="P2588" i="1"/>
  <c r="A2589" i="1"/>
  <c r="P2589" i="1"/>
  <c r="A2590" i="1"/>
  <c r="P2590" i="1"/>
  <c r="A2591" i="1"/>
  <c r="P2591" i="1"/>
  <c r="A2592" i="1"/>
  <c r="P2592" i="1"/>
  <c r="A2593" i="1"/>
  <c r="P2593" i="1"/>
  <c r="A2594" i="1"/>
  <c r="P2594" i="1"/>
  <c r="A2595" i="1"/>
  <c r="P2595" i="1"/>
  <c r="A2596" i="1"/>
  <c r="P2596" i="1"/>
  <c r="A2597" i="1"/>
  <c r="P2597" i="1"/>
  <c r="A2598" i="1"/>
  <c r="P2598" i="1"/>
  <c r="A2599" i="1"/>
  <c r="P2599" i="1"/>
  <c r="A2600" i="1"/>
  <c r="P2600" i="1"/>
  <c r="A2601" i="1"/>
  <c r="P2601" i="1"/>
  <c r="A2602" i="1"/>
  <c r="P2602" i="1"/>
  <c r="A2603" i="1"/>
  <c r="P2603" i="1"/>
  <c r="A2604" i="1"/>
  <c r="P2604" i="1"/>
  <c r="A2605" i="1"/>
  <c r="P2605" i="1"/>
  <c r="A2606" i="1"/>
  <c r="P2606" i="1"/>
  <c r="A2607" i="1"/>
  <c r="P2607" i="1"/>
  <c r="A2608" i="1"/>
  <c r="P2608" i="1"/>
  <c r="A2609" i="1"/>
  <c r="P2609" i="1"/>
  <c r="A2610" i="1"/>
  <c r="P2610" i="1"/>
  <c r="A2611" i="1"/>
  <c r="P2611" i="1"/>
  <c r="A2612" i="1"/>
  <c r="P2612" i="1"/>
  <c r="A2613" i="1"/>
  <c r="P2613" i="1"/>
  <c r="A2614" i="1"/>
  <c r="P2614" i="1"/>
  <c r="A2615" i="1"/>
  <c r="P2615" i="1"/>
  <c r="A2616" i="1"/>
  <c r="P2616" i="1"/>
  <c r="A2617" i="1"/>
  <c r="P2617" i="1"/>
  <c r="A2618" i="1"/>
  <c r="P2618" i="1"/>
  <c r="A2619" i="1"/>
  <c r="P2619" i="1"/>
  <c r="A2620" i="1"/>
  <c r="P2620" i="1"/>
  <c r="A2621" i="1"/>
  <c r="P2621" i="1"/>
  <c r="A2622" i="1"/>
  <c r="P2622" i="1"/>
  <c r="A2623" i="1"/>
  <c r="P2623" i="1"/>
  <c r="A2624" i="1"/>
  <c r="P2624" i="1"/>
  <c r="A2625" i="1"/>
  <c r="P2625" i="1"/>
  <c r="A2626" i="1"/>
  <c r="P2626" i="1"/>
  <c r="A2627" i="1"/>
  <c r="P2627" i="1"/>
  <c r="A2628" i="1"/>
  <c r="P2628" i="1"/>
  <c r="A2629" i="1"/>
  <c r="P2629" i="1"/>
  <c r="A2630" i="1"/>
  <c r="P2630" i="1"/>
  <c r="A2631" i="1"/>
  <c r="P2631" i="1"/>
  <c r="A2632" i="1"/>
  <c r="P2632" i="1"/>
  <c r="A2633" i="1"/>
  <c r="P2633" i="1"/>
  <c r="A2634" i="1"/>
  <c r="P2634" i="1"/>
  <c r="A2635" i="1"/>
  <c r="P2635" i="1"/>
  <c r="A2636" i="1"/>
  <c r="P2636" i="1"/>
  <c r="A2637" i="1"/>
  <c r="P2637" i="1"/>
  <c r="A2638" i="1"/>
  <c r="P2638" i="1"/>
  <c r="A2639" i="1"/>
  <c r="P2639" i="1"/>
  <c r="A2640" i="1"/>
  <c r="P2640" i="1"/>
  <c r="A2641" i="1"/>
  <c r="P2641" i="1"/>
  <c r="A2642" i="1"/>
  <c r="P2642" i="1"/>
  <c r="A2643" i="1"/>
  <c r="P2643" i="1"/>
  <c r="A2644" i="1"/>
  <c r="P2644" i="1"/>
  <c r="A2645" i="1"/>
  <c r="P2645" i="1"/>
  <c r="A2646" i="1"/>
  <c r="P2646" i="1"/>
  <c r="A2647" i="1"/>
  <c r="P2647" i="1"/>
  <c r="A2648" i="1"/>
  <c r="P2648" i="1"/>
  <c r="A2649" i="1"/>
  <c r="P2649" i="1"/>
  <c r="A2650" i="1"/>
  <c r="P2650" i="1"/>
  <c r="A2651" i="1"/>
  <c r="P2651" i="1"/>
  <c r="A2652" i="1"/>
  <c r="P2652" i="1"/>
  <c r="A2653" i="1"/>
  <c r="P2653" i="1"/>
  <c r="A2654" i="1"/>
  <c r="P2654" i="1"/>
  <c r="A2655" i="1"/>
  <c r="P2655" i="1"/>
  <c r="A2656" i="1"/>
  <c r="P2656" i="1"/>
  <c r="A2657" i="1"/>
  <c r="P2657" i="1"/>
  <c r="A2658" i="1"/>
  <c r="P2658" i="1"/>
  <c r="A2659" i="1"/>
  <c r="P2659" i="1"/>
  <c r="A2660" i="1"/>
  <c r="P2660" i="1"/>
  <c r="A2661" i="1"/>
  <c r="P2661" i="1"/>
  <c r="A2662" i="1"/>
  <c r="P2662" i="1"/>
  <c r="A2663" i="1"/>
  <c r="P2663" i="1"/>
  <c r="A2664" i="1"/>
  <c r="P2664" i="1"/>
  <c r="A2665" i="1"/>
  <c r="P2665" i="1"/>
  <c r="A2666" i="1"/>
  <c r="P2666" i="1"/>
  <c r="A2667" i="1"/>
  <c r="P2667" i="1"/>
  <c r="A2668" i="1"/>
  <c r="P2668" i="1"/>
  <c r="A2669" i="1"/>
  <c r="P2669" i="1"/>
  <c r="A2670" i="1"/>
  <c r="P2670" i="1"/>
  <c r="A2671" i="1"/>
  <c r="P2671" i="1"/>
  <c r="A2672" i="1"/>
  <c r="P2672" i="1"/>
  <c r="A2673" i="1"/>
  <c r="P2673" i="1"/>
  <c r="A2674" i="1"/>
  <c r="P2674" i="1"/>
  <c r="A2675" i="1"/>
  <c r="P2675" i="1"/>
  <c r="A2676" i="1"/>
  <c r="P2676" i="1"/>
  <c r="A2677" i="1"/>
  <c r="P2677" i="1"/>
  <c r="A2678" i="1"/>
  <c r="P2678" i="1"/>
  <c r="A2679" i="1"/>
  <c r="P2679" i="1"/>
  <c r="A2680" i="1"/>
  <c r="P2680" i="1"/>
  <c r="A2681" i="1"/>
  <c r="P2681" i="1"/>
  <c r="A2682" i="1"/>
  <c r="P2682" i="1"/>
  <c r="A2683" i="1"/>
  <c r="P2683" i="1"/>
  <c r="A2684" i="1"/>
  <c r="P2684" i="1"/>
  <c r="A2685" i="1"/>
  <c r="P2685" i="1"/>
  <c r="A2686" i="1"/>
  <c r="P2686" i="1"/>
  <c r="A2687" i="1"/>
  <c r="P2687" i="1"/>
  <c r="A2688" i="1"/>
  <c r="P2688" i="1"/>
  <c r="A2689" i="1"/>
  <c r="P2689" i="1"/>
  <c r="A2690" i="1"/>
  <c r="P2690" i="1"/>
  <c r="A2691" i="1"/>
  <c r="P2691" i="1"/>
  <c r="A2692" i="1"/>
  <c r="P2692" i="1"/>
  <c r="A2693" i="1"/>
  <c r="P2693" i="1"/>
  <c r="A2694" i="1"/>
  <c r="P2694" i="1"/>
  <c r="A2695" i="1"/>
  <c r="P2695" i="1"/>
  <c r="A2696" i="1"/>
  <c r="P2696" i="1"/>
  <c r="A2697" i="1"/>
  <c r="P2697" i="1"/>
  <c r="A2698" i="1"/>
  <c r="P2698" i="1"/>
  <c r="A2699" i="1"/>
  <c r="P2699" i="1"/>
  <c r="A2700" i="1"/>
  <c r="P2700" i="1"/>
  <c r="A2701" i="1"/>
  <c r="P2701" i="1"/>
  <c r="A2702" i="1"/>
  <c r="P2702" i="1"/>
  <c r="A2703" i="1"/>
  <c r="P2703" i="1"/>
  <c r="A2704" i="1"/>
  <c r="P2704" i="1"/>
  <c r="A2705" i="1"/>
  <c r="P2705" i="1"/>
  <c r="A2706" i="1"/>
  <c r="P2706" i="1"/>
  <c r="A2707" i="1"/>
  <c r="P2707" i="1"/>
  <c r="A2708" i="1"/>
  <c r="P2708" i="1"/>
  <c r="A2709" i="1"/>
  <c r="P2709" i="1"/>
  <c r="A2710" i="1"/>
  <c r="P2710" i="1"/>
  <c r="A2711" i="1"/>
  <c r="P2711" i="1"/>
  <c r="A2712" i="1"/>
  <c r="P2712" i="1"/>
  <c r="A2713" i="1"/>
  <c r="P2713" i="1"/>
  <c r="A2714" i="1"/>
  <c r="P2714" i="1"/>
  <c r="A2715" i="1"/>
  <c r="P2715" i="1"/>
  <c r="A2716" i="1"/>
  <c r="P2716" i="1"/>
  <c r="A2717" i="1"/>
  <c r="P2717" i="1"/>
  <c r="A2718" i="1"/>
  <c r="P2718" i="1"/>
  <c r="A2719" i="1"/>
  <c r="P2719" i="1"/>
  <c r="A2720" i="1"/>
  <c r="P2720" i="1"/>
  <c r="A2721" i="1"/>
  <c r="P2721" i="1"/>
  <c r="A2722" i="1"/>
  <c r="P2722" i="1"/>
  <c r="A2723" i="1"/>
  <c r="P2723" i="1"/>
  <c r="A2724" i="1"/>
  <c r="P2724" i="1"/>
  <c r="A2725" i="1"/>
  <c r="P2725" i="1"/>
  <c r="A2726" i="1"/>
  <c r="P2726" i="1"/>
  <c r="A2727" i="1"/>
  <c r="P2727" i="1"/>
  <c r="A2728" i="1"/>
  <c r="P2728" i="1"/>
  <c r="A2729" i="1"/>
  <c r="P2729" i="1"/>
  <c r="A2730" i="1"/>
  <c r="P2730" i="1"/>
  <c r="A2731" i="1"/>
  <c r="P2731" i="1"/>
  <c r="A2732" i="1"/>
  <c r="P2732" i="1"/>
  <c r="A2733" i="1"/>
  <c r="P2733" i="1"/>
  <c r="A2734" i="1"/>
  <c r="P2734" i="1"/>
  <c r="A2735" i="1"/>
  <c r="P2735" i="1"/>
  <c r="A2736" i="1"/>
  <c r="P2736" i="1"/>
  <c r="A2737" i="1"/>
  <c r="P2737" i="1"/>
  <c r="A2738" i="1"/>
  <c r="P2738" i="1"/>
  <c r="A2739" i="1"/>
  <c r="P2739" i="1"/>
  <c r="A2740" i="1"/>
  <c r="P2740" i="1"/>
  <c r="A2741" i="1"/>
  <c r="P2741" i="1"/>
  <c r="A2742" i="1"/>
  <c r="P2742" i="1"/>
  <c r="A2743" i="1"/>
  <c r="P2743" i="1"/>
  <c r="A2744" i="1"/>
  <c r="P2744" i="1"/>
  <c r="A2745" i="1"/>
  <c r="P2745" i="1"/>
  <c r="A2746" i="1"/>
  <c r="P2746" i="1"/>
  <c r="A2747" i="1"/>
  <c r="P2747" i="1"/>
  <c r="A2748" i="1"/>
  <c r="P2748" i="1"/>
  <c r="A2749" i="1"/>
  <c r="P2749" i="1"/>
  <c r="A2750" i="1"/>
  <c r="P2750" i="1"/>
  <c r="A2751" i="1"/>
  <c r="P2751" i="1"/>
  <c r="A2752" i="1"/>
  <c r="P2752" i="1"/>
  <c r="A2753" i="1"/>
  <c r="P2753" i="1"/>
  <c r="A2754" i="1"/>
  <c r="P2754" i="1"/>
  <c r="A2755" i="1"/>
  <c r="P2755" i="1"/>
  <c r="A2756" i="1"/>
  <c r="P2756" i="1"/>
  <c r="A2757" i="1"/>
  <c r="P2757" i="1"/>
  <c r="A2758" i="1"/>
  <c r="P2758" i="1"/>
  <c r="A2759" i="1"/>
  <c r="P2759" i="1"/>
  <c r="A2760" i="1"/>
  <c r="P2760" i="1"/>
  <c r="A2761" i="1"/>
  <c r="P2761" i="1"/>
  <c r="A2762" i="1"/>
  <c r="P2762" i="1"/>
  <c r="A2763" i="1"/>
  <c r="P2763" i="1"/>
  <c r="A2764" i="1"/>
  <c r="P2764" i="1"/>
  <c r="A2765" i="1"/>
  <c r="P2765" i="1"/>
  <c r="A2766" i="1"/>
  <c r="P2766" i="1"/>
  <c r="A2767" i="1"/>
  <c r="P2767" i="1"/>
  <c r="A2768" i="1"/>
  <c r="P2768" i="1"/>
  <c r="A2769" i="1"/>
  <c r="P2769" i="1"/>
  <c r="A2770" i="1"/>
  <c r="P2770" i="1"/>
  <c r="A2771" i="1"/>
  <c r="P2771" i="1"/>
  <c r="A2772" i="1"/>
  <c r="P2772" i="1"/>
  <c r="A2773" i="1"/>
  <c r="P2773" i="1"/>
  <c r="A2774" i="1"/>
  <c r="P2774" i="1"/>
  <c r="A2775" i="1"/>
  <c r="P2775" i="1"/>
  <c r="A2776" i="1"/>
  <c r="P2776" i="1"/>
  <c r="A2777" i="1"/>
  <c r="P2777" i="1"/>
  <c r="A2778" i="1"/>
  <c r="P2778" i="1"/>
  <c r="A2779" i="1"/>
  <c r="P2779" i="1"/>
  <c r="A2780" i="1"/>
  <c r="P2780" i="1"/>
  <c r="A2781" i="1"/>
  <c r="P2781" i="1"/>
  <c r="A2782" i="1"/>
  <c r="P2782" i="1"/>
  <c r="A2783" i="1"/>
  <c r="P2783" i="1"/>
  <c r="A2784" i="1"/>
  <c r="P2784" i="1"/>
  <c r="A2785" i="1"/>
  <c r="P2785" i="1"/>
  <c r="A2786" i="1"/>
  <c r="P2786" i="1"/>
  <c r="A2787" i="1"/>
  <c r="P2787" i="1"/>
  <c r="A2788" i="1"/>
  <c r="P2788" i="1"/>
  <c r="A2789" i="1"/>
  <c r="P2789" i="1"/>
  <c r="A2790" i="1"/>
  <c r="P2790" i="1"/>
  <c r="A2791" i="1"/>
  <c r="P2791" i="1"/>
  <c r="A2792" i="1"/>
  <c r="P2792" i="1"/>
  <c r="A2793" i="1"/>
  <c r="P2793" i="1"/>
  <c r="A2794" i="1"/>
  <c r="P2794" i="1"/>
  <c r="A2795" i="1"/>
  <c r="P2795" i="1"/>
  <c r="A2796" i="1"/>
  <c r="P2796" i="1"/>
  <c r="A2797" i="1"/>
  <c r="P2797" i="1"/>
  <c r="A2798" i="1"/>
  <c r="P2798" i="1"/>
  <c r="A2799" i="1"/>
  <c r="P2799" i="1"/>
  <c r="A2800" i="1"/>
  <c r="P2800" i="1"/>
  <c r="A2801" i="1"/>
  <c r="P2801" i="1"/>
  <c r="A2802" i="1"/>
  <c r="P2802" i="1"/>
  <c r="A2803" i="1"/>
  <c r="P2803" i="1"/>
  <c r="A2804" i="1"/>
  <c r="P2804" i="1"/>
  <c r="A2805" i="1"/>
  <c r="P2805" i="1"/>
  <c r="A2806" i="1"/>
  <c r="P2806" i="1"/>
  <c r="A2807" i="1"/>
  <c r="P2807" i="1"/>
  <c r="A2808" i="1"/>
  <c r="P2808" i="1"/>
  <c r="A2809" i="1"/>
  <c r="P2809" i="1"/>
  <c r="A2810" i="1"/>
  <c r="P2810" i="1"/>
  <c r="A2811" i="1"/>
  <c r="P2811" i="1"/>
  <c r="A2812" i="1"/>
  <c r="P2812" i="1"/>
  <c r="A2813" i="1"/>
  <c r="P2813" i="1"/>
  <c r="A2814" i="1"/>
  <c r="P2814" i="1"/>
  <c r="A2815" i="1"/>
  <c r="P2815" i="1"/>
  <c r="A2816" i="1"/>
  <c r="P2816" i="1"/>
  <c r="A2817" i="1"/>
  <c r="P2817" i="1"/>
  <c r="A2818" i="1"/>
  <c r="P2818" i="1"/>
  <c r="A2819" i="1"/>
  <c r="P2819" i="1"/>
  <c r="A2820" i="1"/>
  <c r="P2820" i="1"/>
  <c r="A2821" i="1"/>
  <c r="P2821" i="1"/>
  <c r="A2822" i="1"/>
  <c r="P2822" i="1"/>
  <c r="A2823" i="1"/>
  <c r="P2823" i="1"/>
  <c r="A2824" i="1"/>
  <c r="P2824" i="1"/>
  <c r="A2825" i="1"/>
  <c r="P2825" i="1"/>
  <c r="A2826" i="1"/>
  <c r="P2826" i="1"/>
  <c r="A2827" i="1"/>
  <c r="P2827" i="1"/>
  <c r="A2828" i="1"/>
  <c r="P2828" i="1"/>
  <c r="A2829" i="1"/>
  <c r="P2829" i="1"/>
  <c r="A2830" i="1"/>
  <c r="P2830" i="1"/>
  <c r="A2831" i="1"/>
  <c r="P2831" i="1"/>
  <c r="A2832" i="1"/>
  <c r="P2832" i="1"/>
  <c r="A2833" i="1"/>
  <c r="P2833" i="1"/>
  <c r="A2834" i="1"/>
  <c r="P2834" i="1"/>
  <c r="A2835" i="1"/>
  <c r="P2835" i="1"/>
  <c r="A2836" i="1"/>
  <c r="P2836" i="1"/>
  <c r="A2837" i="1"/>
  <c r="P2837" i="1"/>
  <c r="A2838" i="1"/>
  <c r="P2838" i="1"/>
  <c r="A2839" i="1"/>
  <c r="P2839" i="1"/>
  <c r="A2840" i="1"/>
  <c r="P2840" i="1"/>
  <c r="A2841" i="1"/>
  <c r="P2841" i="1"/>
  <c r="A2842" i="1"/>
  <c r="P2842" i="1"/>
  <c r="A2843" i="1"/>
  <c r="P2843" i="1"/>
  <c r="A2844" i="1"/>
  <c r="P2844" i="1"/>
  <c r="A2845" i="1"/>
  <c r="P2845" i="1"/>
  <c r="A2846" i="1"/>
  <c r="P2846" i="1"/>
  <c r="A2847" i="1"/>
  <c r="P2847" i="1"/>
  <c r="A2848" i="1"/>
  <c r="P2848" i="1"/>
  <c r="A2849" i="1"/>
  <c r="P2849" i="1"/>
  <c r="A2850" i="1"/>
  <c r="P2850" i="1"/>
  <c r="A2851" i="1"/>
  <c r="P2851" i="1"/>
  <c r="A2852" i="1"/>
  <c r="P2852" i="1"/>
  <c r="A2853" i="1"/>
  <c r="P2853" i="1"/>
  <c r="A2854" i="1"/>
  <c r="P2854" i="1"/>
  <c r="A2855" i="1"/>
  <c r="P2855" i="1"/>
  <c r="A2856" i="1"/>
  <c r="P2856" i="1"/>
  <c r="A2857" i="1"/>
  <c r="P2857" i="1"/>
  <c r="A2858" i="1"/>
  <c r="P2858" i="1"/>
  <c r="A2859" i="1"/>
  <c r="P2859" i="1"/>
  <c r="A2860" i="1"/>
  <c r="P2860" i="1"/>
  <c r="A2861" i="1"/>
  <c r="P2861" i="1"/>
  <c r="A2862" i="1"/>
  <c r="P2862" i="1"/>
  <c r="A2863" i="1"/>
  <c r="P2863" i="1"/>
  <c r="A2864" i="1"/>
  <c r="P2864" i="1"/>
  <c r="A2865" i="1"/>
  <c r="P2865" i="1"/>
  <c r="A2866" i="1"/>
  <c r="P2866" i="1"/>
  <c r="A2867" i="1"/>
  <c r="P2867" i="1"/>
  <c r="A2868" i="1"/>
  <c r="P2868" i="1"/>
  <c r="A2869" i="1"/>
  <c r="P2869" i="1"/>
  <c r="A2870" i="1"/>
  <c r="P2870" i="1"/>
  <c r="A2871" i="1"/>
  <c r="P2871" i="1"/>
  <c r="A2872" i="1"/>
  <c r="P2872" i="1"/>
  <c r="A2873" i="1"/>
  <c r="P2873" i="1"/>
  <c r="A2874" i="1"/>
  <c r="P2874" i="1"/>
  <c r="A2875" i="1"/>
  <c r="P2875" i="1"/>
  <c r="A2876" i="1"/>
  <c r="P2876" i="1"/>
  <c r="A2877" i="1"/>
  <c r="P2877" i="1"/>
  <c r="A2878" i="1"/>
  <c r="P2878" i="1"/>
  <c r="A2879" i="1"/>
  <c r="P2879" i="1"/>
  <c r="A2880" i="1"/>
  <c r="P2880" i="1"/>
  <c r="A2881" i="1"/>
  <c r="P2881" i="1"/>
  <c r="A2882" i="1"/>
  <c r="P2882" i="1"/>
  <c r="A2883" i="1"/>
  <c r="P2883" i="1"/>
  <c r="A2884" i="1"/>
  <c r="P2884" i="1"/>
  <c r="A2885" i="1"/>
  <c r="P2885" i="1"/>
  <c r="A2886" i="1"/>
  <c r="P2886" i="1"/>
  <c r="A2887" i="1"/>
  <c r="P2887" i="1"/>
  <c r="A2888" i="1"/>
  <c r="P2888" i="1"/>
  <c r="A2889" i="1"/>
  <c r="P2889" i="1"/>
  <c r="A2890" i="1"/>
  <c r="P2890" i="1"/>
  <c r="A2891" i="1"/>
  <c r="P2891" i="1"/>
  <c r="A2892" i="1"/>
  <c r="P2892" i="1"/>
  <c r="A2893" i="1"/>
  <c r="P2893" i="1"/>
  <c r="A2894" i="1"/>
  <c r="P2894" i="1"/>
  <c r="A2895" i="1"/>
  <c r="P2895" i="1"/>
  <c r="A2896" i="1"/>
  <c r="P2896" i="1"/>
  <c r="A2897" i="1"/>
  <c r="P2897" i="1"/>
  <c r="A2898" i="1"/>
  <c r="P2898" i="1"/>
  <c r="A2899" i="1"/>
  <c r="P2899" i="1"/>
  <c r="A2900" i="1"/>
  <c r="P2900" i="1"/>
  <c r="A2901" i="1"/>
  <c r="P2901" i="1"/>
  <c r="A2902" i="1"/>
  <c r="P2902" i="1"/>
  <c r="A2903" i="1"/>
  <c r="P2903" i="1"/>
  <c r="A2904" i="1"/>
  <c r="P2904" i="1"/>
  <c r="A2905" i="1"/>
  <c r="P2905" i="1"/>
  <c r="A2906" i="1"/>
  <c r="P2906" i="1"/>
  <c r="A2907" i="1"/>
  <c r="P2907" i="1"/>
  <c r="A2908" i="1"/>
  <c r="P2908" i="1"/>
  <c r="A2909" i="1"/>
  <c r="P2909" i="1"/>
  <c r="A2910" i="1"/>
  <c r="P2910" i="1"/>
  <c r="A2911" i="1"/>
  <c r="P2911" i="1"/>
  <c r="A2912" i="1"/>
  <c r="P2912" i="1"/>
  <c r="A2913" i="1"/>
  <c r="P2913" i="1"/>
  <c r="A2914" i="1"/>
  <c r="P2914" i="1"/>
  <c r="A2915" i="1"/>
  <c r="P2915" i="1"/>
  <c r="A2916" i="1"/>
  <c r="P2916" i="1"/>
  <c r="A2917" i="1"/>
  <c r="P2917" i="1"/>
  <c r="A2918" i="1"/>
  <c r="P2918" i="1"/>
  <c r="A2919" i="1"/>
  <c r="P2919" i="1"/>
  <c r="A2920" i="1"/>
  <c r="P2920" i="1"/>
  <c r="A2921" i="1"/>
  <c r="P2921" i="1"/>
  <c r="A2922" i="1"/>
  <c r="P2922" i="1"/>
  <c r="A2923" i="1"/>
  <c r="P2923" i="1"/>
  <c r="A2924" i="1"/>
  <c r="P2924" i="1"/>
  <c r="A2925" i="1"/>
  <c r="P2925" i="1"/>
  <c r="A2926" i="1"/>
  <c r="P2926" i="1"/>
  <c r="A2927" i="1"/>
  <c r="P2927" i="1"/>
  <c r="A2928" i="1"/>
  <c r="P2928" i="1"/>
  <c r="A2929" i="1"/>
  <c r="P2929" i="1"/>
  <c r="A2930" i="1"/>
  <c r="P2930" i="1"/>
  <c r="A2931" i="1"/>
  <c r="P2931" i="1"/>
  <c r="A2932" i="1"/>
  <c r="P2932" i="1"/>
  <c r="A2933" i="1"/>
  <c r="P2933" i="1"/>
  <c r="A2934" i="1"/>
  <c r="P2934" i="1"/>
  <c r="A2935" i="1"/>
  <c r="P2935" i="1"/>
  <c r="A2936" i="1"/>
  <c r="P2936" i="1"/>
  <c r="A2937" i="1"/>
  <c r="P2937" i="1"/>
  <c r="A2938" i="1"/>
  <c r="P2938" i="1"/>
  <c r="A2939" i="1"/>
  <c r="P2939" i="1"/>
  <c r="A2940" i="1"/>
  <c r="P2940" i="1"/>
  <c r="A2941" i="1"/>
  <c r="P2941" i="1"/>
  <c r="A2942" i="1"/>
  <c r="P2942" i="1"/>
  <c r="A2943" i="1"/>
  <c r="P2943" i="1"/>
  <c r="A2944" i="1"/>
  <c r="P2944" i="1"/>
  <c r="A2945" i="1"/>
  <c r="P2945" i="1"/>
  <c r="A2946" i="1"/>
  <c r="P2946" i="1"/>
  <c r="A2947" i="1"/>
  <c r="P2947" i="1"/>
  <c r="A2948" i="1"/>
  <c r="P2948" i="1"/>
  <c r="A2949" i="1"/>
  <c r="P2949" i="1"/>
  <c r="A2950" i="1"/>
  <c r="P2950" i="1"/>
  <c r="A2951" i="1"/>
  <c r="P2951" i="1"/>
  <c r="A2952" i="1"/>
  <c r="P2952" i="1"/>
  <c r="A2953" i="1"/>
  <c r="P2953" i="1"/>
  <c r="A2954" i="1"/>
  <c r="P2954" i="1"/>
  <c r="A2955" i="1"/>
  <c r="P2955" i="1"/>
  <c r="A2956" i="1"/>
  <c r="P2956" i="1"/>
  <c r="A2957" i="1"/>
  <c r="P2957" i="1"/>
  <c r="A2958" i="1"/>
  <c r="P2958" i="1"/>
  <c r="A2959" i="1"/>
  <c r="P2959" i="1"/>
  <c r="A2960" i="1"/>
  <c r="P2960" i="1"/>
  <c r="A2961" i="1"/>
  <c r="P2961" i="1"/>
  <c r="A2962" i="1"/>
  <c r="P2962" i="1"/>
  <c r="A2963" i="1"/>
  <c r="P2963" i="1"/>
  <c r="A2964" i="1"/>
  <c r="P2964" i="1"/>
  <c r="A2965" i="1"/>
  <c r="P2965" i="1"/>
  <c r="A2966" i="1"/>
  <c r="P2966" i="1"/>
  <c r="A2967" i="1"/>
  <c r="P2967" i="1"/>
  <c r="A2968" i="1"/>
  <c r="P2968" i="1"/>
  <c r="A2969" i="1"/>
  <c r="P2969" i="1"/>
  <c r="A2970" i="1"/>
  <c r="P2970" i="1"/>
  <c r="A2971" i="1"/>
  <c r="P2971" i="1"/>
  <c r="A2972" i="1"/>
  <c r="P2972" i="1"/>
  <c r="A2973" i="1"/>
  <c r="P2973" i="1"/>
  <c r="A2974" i="1"/>
  <c r="P2974" i="1"/>
  <c r="A2975" i="1"/>
  <c r="P2975" i="1"/>
  <c r="A2976" i="1"/>
  <c r="P2976" i="1"/>
  <c r="A2977" i="1"/>
  <c r="P2977" i="1"/>
  <c r="A2978" i="1"/>
  <c r="P2978" i="1"/>
  <c r="A2979" i="1"/>
  <c r="P2979" i="1"/>
  <c r="A2980" i="1"/>
  <c r="P2980" i="1"/>
  <c r="A2981" i="1"/>
  <c r="P2981" i="1"/>
  <c r="A2982" i="1"/>
  <c r="P2982" i="1"/>
  <c r="A2983" i="1"/>
  <c r="P2983" i="1"/>
  <c r="A2984" i="1"/>
  <c r="P2984" i="1"/>
  <c r="A2985" i="1"/>
  <c r="P2985" i="1"/>
  <c r="A2986" i="1"/>
  <c r="P2986" i="1"/>
  <c r="A2987" i="1"/>
  <c r="P2987" i="1"/>
  <c r="A2988" i="1"/>
  <c r="P2988" i="1"/>
  <c r="A2989" i="1"/>
  <c r="P2989" i="1"/>
  <c r="A2990" i="1"/>
  <c r="P2990" i="1"/>
  <c r="A2991" i="1"/>
  <c r="P2991" i="1"/>
  <c r="A2992" i="1"/>
  <c r="P2992" i="1"/>
  <c r="A2993" i="1"/>
  <c r="P2993" i="1"/>
  <c r="A2994" i="1"/>
  <c r="P2994" i="1"/>
  <c r="A2995" i="1"/>
  <c r="P2995" i="1"/>
  <c r="A2996" i="1"/>
  <c r="P2996" i="1"/>
  <c r="A2997" i="1"/>
  <c r="P2997" i="1"/>
  <c r="A2998" i="1"/>
  <c r="P2998" i="1"/>
  <c r="A2999" i="1"/>
  <c r="P2999" i="1"/>
  <c r="A3000" i="1"/>
  <c r="P3000" i="1"/>
  <c r="A3001" i="1"/>
  <c r="P3001" i="1"/>
  <c r="A3002" i="1"/>
  <c r="P3002" i="1"/>
  <c r="A3003" i="1"/>
  <c r="P3003" i="1"/>
  <c r="A3004" i="1"/>
  <c r="P3004" i="1"/>
  <c r="A3005" i="1"/>
  <c r="P3005" i="1"/>
  <c r="A3006" i="1"/>
  <c r="P3006" i="1"/>
  <c r="A3007" i="1"/>
  <c r="P3007" i="1"/>
  <c r="A3008" i="1"/>
  <c r="P3008" i="1"/>
  <c r="A3009" i="1"/>
  <c r="P3009" i="1"/>
  <c r="A3010" i="1"/>
  <c r="P3010" i="1"/>
  <c r="A3011" i="1"/>
  <c r="P3011" i="1"/>
  <c r="A3012" i="1"/>
  <c r="P3012" i="1"/>
  <c r="A3013" i="1"/>
  <c r="P3013" i="1"/>
  <c r="A3014" i="1"/>
  <c r="P3014" i="1"/>
  <c r="A3015" i="1"/>
  <c r="P3015" i="1"/>
  <c r="A3016" i="1"/>
  <c r="P3016" i="1"/>
  <c r="A3017" i="1"/>
  <c r="P3017" i="1"/>
  <c r="A3018" i="1"/>
  <c r="P3018" i="1"/>
  <c r="A3019" i="1"/>
  <c r="P3019" i="1"/>
  <c r="A3020" i="1"/>
  <c r="P3020" i="1"/>
  <c r="A3021" i="1"/>
  <c r="P3021" i="1"/>
  <c r="A3022" i="1"/>
  <c r="P3022" i="1"/>
  <c r="A3023" i="1"/>
  <c r="P3023" i="1"/>
  <c r="A3024" i="1"/>
  <c r="P3024" i="1"/>
  <c r="A3025" i="1"/>
  <c r="P3025" i="1"/>
  <c r="A3026" i="1"/>
  <c r="P3026" i="1"/>
  <c r="A3027" i="1"/>
  <c r="P3027" i="1"/>
  <c r="A3028" i="1"/>
  <c r="P3028" i="1"/>
  <c r="A3029" i="1"/>
  <c r="P3029" i="1"/>
  <c r="A3030" i="1"/>
  <c r="P3030" i="1"/>
  <c r="A3031" i="1"/>
  <c r="P3031" i="1"/>
  <c r="A3032" i="1"/>
  <c r="P3032" i="1"/>
  <c r="A3033" i="1"/>
  <c r="P3033" i="1"/>
  <c r="A3034" i="1"/>
  <c r="P3034" i="1"/>
  <c r="A3035" i="1"/>
  <c r="P3035" i="1"/>
  <c r="A3036" i="1"/>
  <c r="P3036" i="1"/>
  <c r="A3037" i="1"/>
  <c r="P3037" i="1"/>
  <c r="A3038" i="1"/>
  <c r="P3038" i="1"/>
  <c r="A3039" i="1"/>
  <c r="P3039" i="1"/>
  <c r="A3040" i="1"/>
  <c r="P3040" i="1"/>
  <c r="A3041" i="1"/>
  <c r="P3041" i="1"/>
  <c r="A3042" i="1"/>
  <c r="P3042" i="1"/>
  <c r="A3043" i="1"/>
  <c r="P3043" i="1"/>
  <c r="A3044" i="1"/>
  <c r="P3044" i="1"/>
  <c r="A3045" i="1"/>
  <c r="P3045" i="1"/>
  <c r="A3046" i="1"/>
  <c r="P3046" i="1"/>
  <c r="A3047" i="1"/>
  <c r="P3047" i="1"/>
  <c r="A3048" i="1"/>
  <c r="P3048" i="1"/>
  <c r="A3049" i="1"/>
  <c r="P3049" i="1"/>
  <c r="A3050" i="1"/>
  <c r="P3050" i="1"/>
  <c r="A3051" i="1"/>
  <c r="P3051" i="1"/>
  <c r="A3052" i="1"/>
  <c r="P3052" i="1"/>
  <c r="A3053" i="1"/>
  <c r="P3053" i="1"/>
  <c r="A3054" i="1"/>
  <c r="P3054" i="1"/>
  <c r="A3055" i="1"/>
  <c r="P3055" i="1"/>
  <c r="A3056" i="1"/>
  <c r="P3056" i="1"/>
  <c r="A3057" i="1"/>
  <c r="P3057" i="1"/>
  <c r="A3058" i="1"/>
  <c r="P3058" i="1"/>
  <c r="A3059" i="1"/>
  <c r="P3059" i="1"/>
  <c r="A3060" i="1"/>
  <c r="P3060" i="1"/>
  <c r="A3061" i="1"/>
  <c r="P3061" i="1"/>
  <c r="A3062" i="1"/>
  <c r="P3062" i="1"/>
  <c r="A3063" i="1"/>
  <c r="P3063" i="1"/>
  <c r="A3064" i="1"/>
  <c r="P3064" i="1"/>
  <c r="A3065" i="1"/>
  <c r="P3065" i="1"/>
  <c r="A3066" i="1"/>
  <c r="P3066" i="1"/>
  <c r="A3067" i="1"/>
  <c r="P3067" i="1"/>
  <c r="A3068" i="1"/>
  <c r="P3068" i="1"/>
  <c r="A3069" i="1"/>
  <c r="P3069" i="1"/>
  <c r="A3070" i="1"/>
  <c r="P3070" i="1"/>
  <c r="A3071" i="1"/>
  <c r="P3071" i="1"/>
  <c r="A3072" i="1"/>
  <c r="P3072" i="1"/>
  <c r="A3073" i="1"/>
  <c r="P3073" i="1"/>
  <c r="A3074" i="1"/>
  <c r="P3074" i="1"/>
  <c r="A3075" i="1"/>
  <c r="P3075" i="1"/>
  <c r="A3076" i="1"/>
  <c r="P3076" i="1"/>
  <c r="A3077" i="1"/>
  <c r="P3077" i="1"/>
  <c r="A3078" i="1"/>
  <c r="P3078" i="1"/>
  <c r="A3079" i="1"/>
  <c r="P3079" i="1"/>
  <c r="A3080" i="1"/>
  <c r="P3080" i="1"/>
  <c r="A3081" i="1"/>
  <c r="P3081" i="1"/>
  <c r="A3082" i="1"/>
  <c r="P3082" i="1"/>
  <c r="A3083" i="1"/>
  <c r="P3083" i="1"/>
  <c r="A3084" i="1"/>
  <c r="P3084" i="1"/>
  <c r="A3085" i="1"/>
  <c r="P3085" i="1"/>
  <c r="A3086" i="1"/>
  <c r="P3086" i="1"/>
  <c r="A3087" i="1"/>
  <c r="P3087" i="1"/>
  <c r="A3088" i="1"/>
  <c r="P3088" i="1"/>
  <c r="A3089" i="1"/>
  <c r="P3089" i="1"/>
  <c r="A3090" i="1"/>
  <c r="P3090" i="1"/>
  <c r="A3091" i="1"/>
  <c r="P3091" i="1"/>
  <c r="A3092" i="1"/>
  <c r="P3092" i="1"/>
  <c r="A3093" i="1"/>
  <c r="P3093" i="1"/>
  <c r="A3094" i="1"/>
  <c r="P3094" i="1"/>
  <c r="A3095" i="1"/>
  <c r="P3095" i="1"/>
  <c r="A3096" i="1"/>
  <c r="P3096" i="1"/>
  <c r="A3097" i="1"/>
  <c r="P3097" i="1"/>
  <c r="A3098" i="1"/>
  <c r="P3098" i="1"/>
  <c r="A3099" i="1"/>
  <c r="P3099" i="1"/>
  <c r="A3100" i="1"/>
  <c r="P3100" i="1"/>
  <c r="A3101" i="1"/>
  <c r="P3101" i="1"/>
  <c r="A3102" i="1"/>
  <c r="P3102" i="1"/>
  <c r="A3103" i="1"/>
  <c r="P3103" i="1"/>
  <c r="A3104" i="1"/>
  <c r="P3104" i="1"/>
  <c r="A3105" i="1"/>
  <c r="P3105" i="1"/>
  <c r="A3106" i="1"/>
  <c r="P3106" i="1"/>
  <c r="A3107" i="1"/>
  <c r="P3107" i="1"/>
  <c r="A3108" i="1"/>
  <c r="P3108" i="1"/>
  <c r="A3109" i="1"/>
  <c r="P3109" i="1"/>
  <c r="A3110" i="1"/>
  <c r="P3110" i="1"/>
  <c r="A3111" i="1"/>
  <c r="P3111" i="1"/>
  <c r="A3112" i="1"/>
  <c r="P3112" i="1"/>
  <c r="A3113" i="1"/>
  <c r="P3113" i="1"/>
  <c r="A3114" i="1"/>
  <c r="P3114" i="1"/>
  <c r="A3115" i="1"/>
  <c r="P3115" i="1"/>
  <c r="A3116" i="1"/>
  <c r="P3116" i="1"/>
  <c r="A3117" i="1"/>
  <c r="P3117" i="1"/>
  <c r="A3118" i="1"/>
  <c r="P3118" i="1"/>
  <c r="A3119" i="1"/>
  <c r="P3119" i="1"/>
  <c r="A3120" i="1"/>
  <c r="P3120" i="1"/>
  <c r="A3121" i="1"/>
  <c r="P3121" i="1"/>
  <c r="A3122" i="1"/>
  <c r="P3122" i="1"/>
  <c r="A3123" i="1"/>
  <c r="P3123" i="1"/>
  <c r="A3124" i="1"/>
  <c r="P3124" i="1"/>
  <c r="A3125" i="1"/>
  <c r="P3125" i="1"/>
  <c r="A3126" i="1"/>
  <c r="P3126" i="1"/>
  <c r="A3127" i="1"/>
  <c r="P3127" i="1"/>
  <c r="A3128" i="1"/>
  <c r="P3128" i="1"/>
  <c r="A3129" i="1"/>
  <c r="P3129" i="1"/>
  <c r="A3130" i="1"/>
  <c r="P3130" i="1"/>
  <c r="A3131" i="1"/>
  <c r="P3131" i="1"/>
  <c r="A3132" i="1"/>
  <c r="P3132" i="1"/>
  <c r="A3133" i="1"/>
  <c r="P3133" i="1"/>
  <c r="A3134" i="1"/>
  <c r="P3134" i="1"/>
  <c r="A3135" i="1"/>
  <c r="P3135" i="1"/>
  <c r="A3136" i="1"/>
  <c r="P3136" i="1"/>
  <c r="A3137" i="1"/>
  <c r="P3137" i="1"/>
  <c r="A3138" i="1"/>
  <c r="P3138" i="1"/>
  <c r="A3139" i="1"/>
  <c r="P3139" i="1"/>
  <c r="A3140" i="1"/>
  <c r="P3140" i="1"/>
  <c r="A3141" i="1"/>
  <c r="P3141" i="1"/>
  <c r="A3142" i="1"/>
  <c r="P3142" i="1"/>
  <c r="A3143" i="1"/>
  <c r="P3143" i="1"/>
  <c r="A3144" i="1"/>
  <c r="P3144" i="1"/>
  <c r="A3145" i="1"/>
  <c r="P3145" i="1"/>
  <c r="A3146" i="1"/>
  <c r="P3146" i="1"/>
  <c r="A3147" i="1"/>
  <c r="P3147" i="1"/>
  <c r="A3148" i="1"/>
  <c r="P3148" i="1"/>
  <c r="A3149" i="1"/>
  <c r="P3149" i="1"/>
  <c r="A3150" i="1"/>
  <c r="P3150" i="1"/>
  <c r="A3151" i="1"/>
  <c r="P3151" i="1"/>
  <c r="A3152" i="1"/>
  <c r="P3152" i="1"/>
  <c r="A3153" i="1"/>
  <c r="P3153" i="1"/>
  <c r="A3154" i="1"/>
  <c r="P3154" i="1"/>
  <c r="A3155" i="1"/>
  <c r="P3155" i="1"/>
  <c r="A3156" i="1"/>
  <c r="P3156" i="1"/>
  <c r="A3157" i="1"/>
  <c r="P3157" i="1"/>
  <c r="A3158" i="1"/>
  <c r="P3158" i="1"/>
  <c r="A3159" i="1"/>
  <c r="P3159" i="1"/>
  <c r="A3160" i="1"/>
  <c r="P3160" i="1"/>
  <c r="A3161" i="1"/>
  <c r="P3161" i="1"/>
  <c r="A3162" i="1"/>
  <c r="P3162" i="1"/>
  <c r="A3163" i="1"/>
  <c r="P3163" i="1"/>
  <c r="A3164" i="1"/>
  <c r="P3164" i="1"/>
  <c r="A3165" i="1"/>
  <c r="P3165" i="1"/>
  <c r="A3166" i="1"/>
  <c r="P3166" i="1"/>
  <c r="A3167" i="1"/>
  <c r="P3167" i="1"/>
  <c r="A3168" i="1"/>
  <c r="P3168" i="1"/>
  <c r="A3169" i="1"/>
  <c r="P3169" i="1"/>
  <c r="A3170" i="1"/>
  <c r="P3170" i="1"/>
  <c r="A3171" i="1"/>
  <c r="P3171" i="1"/>
  <c r="A3172" i="1"/>
  <c r="P3172" i="1"/>
  <c r="A3173" i="1"/>
  <c r="P3173" i="1"/>
  <c r="A3174" i="1"/>
  <c r="P3174" i="1"/>
  <c r="A3175" i="1"/>
  <c r="P3175" i="1"/>
  <c r="A3176" i="1"/>
  <c r="P3176" i="1"/>
  <c r="A3177" i="1"/>
  <c r="P3177" i="1"/>
  <c r="A3178" i="1"/>
  <c r="P3178" i="1"/>
  <c r="A3179" i="1"/>
  <c r="P3179" i="1"/>
  <c r="A3180" i="1"/>
  <c r="P3180" i="1"/>
  <c r="A3181" i="1"/>
  <c r="P3181" i="1"/>
  <c r="A3182" i="1"/>
  <c r="P3182" i="1"/>
  <c r="A3183" i="1"/>
  <c r="P3183" i="1"/>
  <c r="A3184" i="1"/>
  <c r="P3184" i="1"/>
  <c r="A3185" i="1"/>
  <c r="P3185" i="1"/>
  <c r="A3186" i="1"/>
  <c r="P3186" i="1"/>
  <c r="A3187" i="1"/>
  <c r="P3187" i="1"/>
  <c r="A3188" i="1"/>
  <c r="P3188" i="1"/>
  <c r="A3189" i="1"/>
  <c r="P3189" i="1"/>
  <c r="A3190" i="1"/>
  <c r="P3190" i="1"/>
  <c r="A3191" i="1"/>
  <c r="P3191" i="1"/>
  <c r="A3192" i="1"/>
  <c r="P3192" i="1"/>
  <c r="A3193" i="1"/>
  <c r="P3193" i="1"/>
  <c r="A3194" i="1"/>
  <c r="P3194" i="1"/>
  <c r="A3195" i="1"/>
  <c r="P3195" i="1"/>
  <c r="A3196" i="1"/>
  <c r="P3196" i="1"/>
  <c r="A3197" i="1"/>
  <c r="P3197" i="1"/>
  <c r="A3198" i="1"/>
  <c r="P3198" i="1"/>
  <c r="A3199" i="1"/>
  <c r="P3199" i="1"/>
  <c r="A3200" i="1"/>
  <c r="P3200" i="1"/>
  <c r="A3201" i="1"/>
  <c r="P3201" i="1"/>
  <c r="A3202" i="1"/>
  <c r="P3202" i="1"/>
  <c r="A3203" i="1"/>
  <c r="P3203" i="1"/>
  <c r="A3204" i="1"/>
  <c r="P3204" i="1"/>
  <c r="A3205" i="1"/>
  <c r="P3205" i="1"/>
  <c r="A3206" i="1"/>
  <c r="P3206" i="1"/>
  <c r="A3207" i="1"/>
  <c r="P3207" i="1"/>
  <c r="A3208" i="1"/>
  <c r="P3208" i="1"/>
  <c r="A3209" i="1"/>
  <c r="P3209" i="1"/>
  <c r="A3210" i="1"/>
  <c r="P3210" i="1"/>
  <c r="A3211" i="1"/>
  <c r="P3211" i="1"/>
  <c r="A3212" i="1"/>
  <c r="P3212" i="1"/>
  <c r="A3213" i="1"/>
  <c r="P3213" i="1"/>
  <c r="A3214" i="1"/>
  <c r="P3214" i="1"/>
  <c r="A3215" i="1"/>
  <c r="P3215" i="1"/>
  <c r="A3216" i="1"/>
  <c r="P3216" i="1"/>
  <c r="A3217" i="1"/>
  <c r="P3217" i="1"/>
  <c r="A3218" i="1"/>
  <c r="P3218" i="1"/>
  <c r="A3219" i="1"/>
  <c r="P3219" i="1"/>
  <c r="A3220" i="1"/>
  <c r="P3220" i="1"/>
  <c r="A3221" i="1"/>
  <c r="P3221" i="1"/>
  <c r="A3222" i="1"/>
  <c r="P3222" i="1"/>
  <c r="A3223" i="1"/>
  <c r="P3223" i="1"/>
  <c r="A3224" i="1"/>
  <c r="P3224" i="1"/>
  <c r="A3225" i="1"/>
  <c r="P3225" i="1"/>
  <c r="A3226" i="1"/>
  <c r="P3226" i="1"/>
  <c r="A3227" i="1"/>
  <c r="P3227" i="1"/>
  <c r="A3228" i="1"/>
  <c r="P3228" i="1"/>
  <c r="A3229" i="1"/>
  <c r="P3229" i="1"/>
  <c r="A3230" i="1"/>
  <c r="P3230" i="1"/>
  <c r="A3231" i="1"/>
  <c r="P3231" i="1"/>
  <c r="A3232" i="1"/>
  <c r="P3232" i="1"/>
  <c r="A3233" i="1"/>
  <c r="P3233" i="1"/>
  <c r="A3234" i="1"/>
  <c r="P3234" i="1"/>
  <c r="A3235" i="1"/>
  <c r="P3235" i="1"/>
  <c r="A3236" i="1"/>
  <c r="P3236" i="1"/>
  <c r="A3237" i="1"/>
  <c r="P3237" i="1"/>
  <c r="A3238" i="1"/>
  <c r="P3238" i="1"/>
  <c r="A3239" i="1"/>
  <c r="P3239" i="1"/>
  <c r="A3240" i="1"/>
  <c r="P3240" i="1"/>
  <c r="A3241" i="1"/>
  <c r="P3241" i="1"/>
  <c r="A3242" i="1"/>
  <c r="P3242" i="1"/>
  <c r="A3243" i="1"/>
  <c r="P3243" i="1"/>
  <c r="A3244" i="1"/>
  <c r="P3244" i="1"/>
  <c r="A3245" i="1"/>
  <c r="P3245" i="1"/>
  <c r="A3246" i="1"/>
  <c r="P3246" i="1"/>
  <c r="A3247" i="1"/>
  <c r="P3247" i="1"/>
  <c r="A3248" i="1"/>
  <c r="P3248" i="1"/>
  <c r="A3249" i="1"/>
  <c r="P3249" i="1"/>
  <c r="A3250" i="1"/>
  <c r="P3250" i="1"/>
  <c r="A3251" i="1"/>
  <c r="P3251" i="1"/>
  <c r="A3252" i="1"/>
  <c r="P3252" i="1"/>
  <c r="A3253" i="1"/>
  <c r="P3253" i="1"/>
  <c r="A3254" i="1"/>
  <c r="P3254" i="1"/>
  <c r="A3255" i="1"/>
  <c r="P3255" i="1"/>
  <c r="A3256" i="1"/>
  <c r="P3256" i="1"/>
  <c r="A3257" i="1"/>
  <c r="P3257" i="1"/>
  <c r="A3258" i="1"/>
  <c r="P3258" i="1"/>
  <c r="A3259" i="1"/>
  <c r="P3259" i="1"/>
  <c r="A3260" i="1"/>
  <c r="P3260" i="1"/>
  <c r="A3261" i="1"/>
  <c r="P3261" i="1"/>
  <c r="A3262" i="1"/>
  <c r="P3262" i="1"/>
  <c r="A3263" i="1"/>
  <c r="P3263" i="1"/>
  <c r="A3264" i="1"/>
  <c r="P3264" i="1"/>
  <c r="A3265" i="1"/>
  <c r="P3265" i="1"/>
  <c r="A3266" i="1"/>
  <c r="P3266" i="1"/>
  <c r="A3267" i="1"/>
  <c r="P3267" i="1"/>
  <c r="A3268" i="1"/>
  <c r="P3268" i="1"/>
  <c r="A3269" i="1"/>
  <c r="P3269" i="1"/>
  <c r="A3270" i="1"/>
  <c r="P3270" i="1"/>
  <c r="A3271" i="1"/>
  <c r="P3271" i="1"/>
  <c r="A3272" i="1"/>
  <c r="P3272" i="1"/>
  <c r="A3273" i="1"/>
  <c r="P3273" i="1"/>
  <c r="A3274" i="1"/>
  <c r="P3274" i="1"/>
  <c r="A3275" i="1"/>
  <c r="P3275" i="1"/>
  <c r="A3276" i="1"/>
  <c r="P3276" i="1"/>
  <c r="A3277" i="1"/>
  <c r="P3277" i="1"/>
  <c r="A3278" i="1"/>
  <c r="P3278" i="1"/>
  <c r="A3279" i="1"/>
  <c r="P3279" i="1"/>
  <c r="A3280" i="1"/>
  <c r="P3280" i="1"/>
  <c r="A3281" i="1"/>
  <c r="P3281" i="1"/>
  <c r="A3282" i="1"/>
  <c r="P3282" i="1"/>
  <c r="A3283" i="1"/>
  <c r="P3283" i="1"/>
  <c r="A3284" i="1"/>
  <c r="P3284" i="1"/>
  <c r="A3285" i="1"/>
  <c r="P3285" i="1"/>
  <c r="A3286" i="1"/>
  <c r="P3286" i="1"/>
  <c r="A3287" i="1"/>
  <c r="P3287" i="1"/>
  <c r="A3288" i="1"/>
  <c r="P3288" i="1"/>
  <c r="A3289" i="1"/>
  <c r="P3289" i="1"/>
  <c r="A3290" i="1"/>
  <c r="P3290" i="1"/>
  <c r="A3291" i="1"/>
  <c r="P3291" i="1"/>
  <c r="A3292" i="1"/>
  <c r="P3292" i="1"/>
  <c r="A3293" i="1"/>
  <c r="P3293" i="1"/>
  <c r="A3294" i="1"/>
  <c r="P3294" i="1"/>
  <c r="A3295" i="1"/>
  <c r="P3295" i="1"/>
  <c r="A3296" i="1"/>
  <c r="P3296" i="1"/>
  <c r="A3297" i="1"/>
  <c r="P3297" i="1"/>
  <c r="A3298" i="1"/>
  <c r="P3298" i="1"/>
  <c r="A3299" i="1"/>
  <c r="P3299" i="1"/>
  <c r="A3300" i="1"/>
  <c r="P3300" i="1"/>
  <c r="A3301" i="1"/>
  <c r="P3301" i="1"/>
  <c r="A3302" i="1"/>
  <c r="P3302" i="1"/>
  <c r="A3303" i="1"/>
  <c r="P3303" i="1"/>
  <c r="A3304" i="1"/>
  <c r="P3304" i="1"/>
  <c r="A3305" i="1"/>
  <c r="P3305" i="1"/>
  <c r="A3306" i="1"/>
  <c r="P3306" i="1"/>
  <c r="A3307" i="1"/>
  <c r="P3307" i="1"/>
  <c r="A3308" i="1"/>
  <c r="P3308" i="1"/>
  <c r="A3309" i="1"/>
  <c r="P3309" i="1"/>
  <c r="A3310" i="1"/>
  <c r="P3310" i="1"/>
  <c r="A3311" i="1"/>
  <c r="P3311" i="1"/>
  <c r="A3312" i="1"/>
  <c r="P3312" i="1"/>
  <c r="A3313" i="1"/>
  <c r="P3313" i="1"/>
  <c r="A3314" i="1"/>
  <c r="P3314" i="1"/>
  <c r="A3315" i="1"/>
  <c r="P3315" i="1"/>
  <c r="A3316" i="1"/>
  <c r="P3316" i="1"/>
  <c r="A3317" i="1"/>
  <c r="P3317" i="1"/>
  <c r="A3318" i="1"/>
  <c r="P3318" i="1"/>
  <c r="A3319" i="1"/>
  <c r="P3319" i="1"/>
  <c r="A3320" i="1"/>
  <c r="P3320" i="1"/>
  <c r="A3321" i="1"/>
  <c r="P3321" i="1"/>
  <c r="A3322" i="1"/>
  <c r="P3322" i="1"/>
  <c r="A3323" i="1"/>
  <c r="P3323" i="1"/>
  <c r="A3324" i="1"/>
  <c r="P3324" i="1"/>
  <c r="A3325" i="1"/>
  <c r="P3325" i="1"/>
  <c r="A3326" i="1"/>
  <c r="P3326" i="1"/>
  <c r="A3327" i="1"/>
  <c r="P3327" i="1"/>
  <c r="A3328" i="1"/>
  <c r="P3328" i="1"/>
  <c r="A3329" i="1"/>
  <c r="P3329" i="1"/>
  <c r="A3330" i="1"/>
  <c r="P3330" i="1"/>
  <c r="A3331" i="1"/>
  <c r="P3331" i="1"/>
  <c r="A3332" i="1"/>
  <c r="P3332" i="1"/>
  <c r="A3333" i="1"/>
  <c r="P3333" i="1"/>
  <c r="A3334" i="1"/>
  <c r="P3334" i="1"/>
  <c r="A3335" i="1"/>
  <c r="P3335" i="1"/>
  <c r="A3336" i="1"/>
  <c r="P3336" i="1"/>
  <c r="A3337" i="1"/>
  <c r="P3337" i="1"/>
  <c r="A3338" i="1"/>
  <c r="P3338" i="1"/>
  <c r="A3339" i="1"/>
  <c r="P3339" i="1"/>
  <c r="A3340" i="1"/>
  <c r="P3340" i="1"/>
  <c r="A3341" i="1"/>
  <c r="P3341" i="1"/>
  <c r="A3342" i="1"/>
  <c r="P3342" i="1"/>
  <c r="A3343" i="1"/>
  <c r="P3343" i="1"/>
  <c r="A3344" i="1"/>
  <c r="P3344" i="1"/>
  <c r="A3345" i="1"/>
  <c r="P3345" i="1"/>
  <c r="A3346" i="1"/>
  <c r="P3346" i="1"/>
  <c r="A3347" i="1"/>
  <c r="P3347" i="1"/>
  <c r="A3348" i="1"/>
  <c r="P3348" i="1"/>
  <c r="A3349" i="1"/>
  <c r="P3349" i="1"/>
  <c r="A3350" i="1"/>
  <c r="P3350" i="1"/>
  <c r="A3351" i="1"/>
  <c r="P3351" i="1"/>
  <c r="A3352" i="1"/>
  <c r="P3352" i="1"/>
  <c r="A3353" i="1"/>
  <c r="P3353" i="1"/>
  <c r="A3354" i="1"/>
  <c r="P3354" i="1"/>
  <c r="A3355" i="1"/>
  <c r="P3355" i="1"/>
  <c r="A3356" i="1"/>
  <c r="P3356" i="1"/>
  <c r="A3357" i="1"/>
  <c r="P3357" i="1"/>
  <c r="A3358" i="1"/>
  <c r="P3358" i="1"/>
  <c r="A3359" i="1"/>
  <c r="P3359" i="1"/>
  <c r="A3360" i="1"/>
  <c r="P3360" i="1"/>
  <c r="A3361" i="1"/>
  <c r="P3361" i="1"/>
  <c r="A3362" i="1"/>
  <c r="P3362" i="1"/>
  <c r="A3363" i="1"/>
  <c r="P3363" i="1"/>
  <c r="A3364" i="1"/>
  <c r="P3364" i="1"/>
  <c r="A3365" i="1"/>
  <c r="P3365" i="1"/>
  <c r="A3366" i="1"/>
  <c r="P3366" i="1"/>
  <c r="A3367" i="1"/>
  <c r="P3367" i="1"/>
  <c r="A3368" i="1"/>
  <c r="P3368" i="1"/>
  <c r="A3369" i="1"/>
  <c r="P3369" i="1"/>
  <c r="A3370" i="1"/>
  <c r="P3370" i="1"/>
  <c r="A3371" i="1"/>
  <c r="P3371" i="1"/>
  <c r="A3372" i="1"/>
  <c r="P3372" i="1"/>
  <c r="A3373" i="1"/>
  <c r="P3373" i="1"/>
  <c r="A3374" i="1"/>
  <c r="P3374" i="1"/>
  <c r="A3375" i="1"/>
  <c r="P3375" i="1"/>
  <c r="A3376" i="1"/>
  <c r="P3376" i="1"/>
  <c r="A3377" i="1"/>
  <c r="P3377" i="1"/>
  <c r="A3378" i="1"/>
  <c r="P3378" i="1"/>
  <c r="A3379" i="1"/>
  <c r="P3379" i="1"/>
  <c r="A3380" i="1"/>
  <c r="P3380" i="1"/>
  <c r="A3381" i="1"/>
  <c r="P3381" i="1"/>
  <c r="A3382" i="1"/>
  <c r="P3382" i="1"/>
  <c r="A3383" i="1"/>
  <c r="P3383" i="1"/>
  <c r="A3384" i="1"/>
  <c r="P3384" i="1"/>
  <c r="A3385" i="1"/>
  <c r="P3385" i="1"/>
  <c r="A3386" i="1"/>
  <c r="P3386" i="1"/>
  <c r="A3387" i="1"/>
  <c r="P3387" i="1"/>
  <c r="A3388" i="1"/>
  <c r="P3388" i="1"/>
  <c r="A3389" i="1"/>
  <c r="P3389" i="1"/>
  <c r="A3390" i="1"/>
  <c r="P3390" i="1"/>
  <c r="A3391" i="1"/>
  <c r="P3391" i="1"/>
  <c r="A3392" i="1"/>
  <c r="P3392" i="1"/>
  <c r="A3393" i="1"/>
  <c r="P3393" i="1"/>
  <c r="A3394" i="1"/>
  <c r="P3394" i="1"/>
  <c r="A3395" i="1"/>
  <c r="P3395" i="1"/>
  <c r="A3396" i="1"/>
  <c r="P3396" i="1"/>
  <c r="A3397" i="1"/>
  <c r="P3397" i="1"/>
  <c r="A3398" i="1"/>
  <c r="P3398" i="1"/>
  <c r="A3399" i="1"/>
  <c r="P3399" i="1"/>
  <c r="A3400" i="1"/>
  <c r="P3400" i="1"/>
  <c r="A3401" i="1"/>
  <c r="P3401" i="1"/>
  <c r="A3402" i="1"/>
  <c r="P3402" i="1"/>
  <c r="A3403" i="1"/>
  <c r="P3403" i="1"/>
  <c r="A3404" i="1"/>
  <c r="P3404" i="1"/>
  <c r="A3405" i="1"/>
  <c r="P3405" i="1"/>
  <c r="A3406" i="1"/>
  <c r="P3406" i="1"/>
  <c r="A3407" i="1"/>
  <c r="P3407" i="1"/>
  <c r="A3408" i="1"/>
  <c r="P3408" i="1"/>
  <c r="A3409" i="1"/>
  <c r="P3409" i="1"/>
  <c r="A3410" i="1"/>
  <c r="P3410" i="1"/>
  <c r="A3411" i="1"/>
  <c r="P3411" i="1"/>
  <c r="A3412" i="1"/>
  <c r="P3412" i="1"/>
  <c r="A3413" i="1"/>
  <c r="P3413" i="1"/>
  <c r="A3414" i="1"/>
  <c r="P3414" i="1"/>
  <c r="A3415" i="1"/>
  <c r="P3415" i="1"/>
  <c r="A3416" i="1"/>
  <c r="P3416" i="1"/>
  <c r="A3417" i="1"/>
  <c r="P3417" i="1"/>
  <c r="A3418" i="1"/>
  <c r="P3418" i="1"/>
  <c r="A3419" i="1"/>
  <c r="P3419" i="1"/>
  <c r="A3420" i="1"/>
  <c r="P3420" i="1"/>
  <c r="A3421" i="1"/>
  <c r="P3421" i="1"/>
  <c r="A3422" i="1"/>
  <c r="P3422" i="1"/>
  <c r="A3423" i="1"/>
  <c r="P3423" i="1"/>
  <c r="A3424" i="1"/>
  <c r="P3424" i="1"/>
  <c r="A3425" i="1"/>
  <c r="P3425" i="1"/>
  <c r="A3426" i="1"/>
  <c r="P3426" i="1"/>
  <c r="A3427" i="1"/>
  <c r="P3427" i="1"/>
  <c r="A3428" i="1"/>
  <c r="P3428" i="1"/>
  <c r="A3429" i="1"/>
  <c r="P3429" i="1"/>
  <c r="A3430" i="1"/>
  <c r="P3430" i="1"/>
  <c r="A3431" i="1"/>
  <c r="P3431" i="1"/>
  <c r="A3432" i="1"/>
  <c r="P3432" i="1"/>
  <c r="A3433" i="1"/>
  <c r="P3433" i="1"/>
  <c r="A3434" i="1"/>
  <c r="P3434" i="1"/>
  <c r="A3435" i="1"/>
  <c r="P3435" i="1"/>
  <c r="A3436" i="1"/>
  <c r="P3436" i="1"/>
  <c r="A3437" i="1"/>
  <c r="P3437" i="1"/>
  <c r="A3438" i="1"/>
  <c r="P3438" i="1"/>
  <c r="A3439" i="1"/>
  <c r="P3439" i="1"/>
  <c r="A3440" i="1"/>
  <c r="P3440" i="1"/>
  <c r="A3441" i="1"/>
  <c r="P3441" i="1"/>
  <c r="A3442" i="1"/>
  <c r="P3442" i="1"/>
  <c r="A3443" i="1"/>
  <c r="P3443" i="1"/>
  <c r="A3444" i="1"/>
  <c r="P3444" i="1"/>
  <c r="A3445" i="1"/>
  <c r="P3445" i="1"/>
  <c r="A3446" i="1"/>
  <c r="P3446" i="1"/>
  <c r="A3447" i="1"/>
  <c r="P3447" i="1"/>
  <c r="A3448" i="1"/>
  <c r="P3448" i="1"/>
  <c r="A3449" i="1"/>
  <c r="P3449" i="1"/>
  <c r="A3450" i="1"/>
  <c r="P3450" i="1"/>
  <c r="A3451" i="1"/>
  <c r="P3451" i="1"/>
  <c r="A3452" i="1"/>
  <c r="P3452" i="1"/>
  <c r="A3453" i="1"/>
  <c r="P3453" i="1"/>
  <c r="A3454" i="1"/>
  <c r="P3454" i="1"/>
  <c r="A3455" i="1"/>
  <c r="P3455" i="1"/>
  <c r="A3456" i="1"/>
  <c r="P3456" i="1"/>
  <c r="A3457" i="1"/>
  <c r="P3457" i="1"/>
  <c r="A3458" i="1"/>
  <c r="P3458" i="1"/>
  <c r="A3459" i="1"/>
  <c r="P3459" i="1"/>
  <c r="A3460" i="1"/>
  <c r="P3460" i="1"/>
  <c r="A3461" i="1"/>
  <c r="P3461" i="1"/>
  <c r="A3462" i="1"/>
  <c r="P3462" i="1"/>
  <c r="A3463" i="1"/>
  <c r="P3463" i="1"/>
  <c r="A3464" i="1"/>
  <c r="P3464" i="1"/>
  <c r="A3465" i="1"/>
  <c r="P3465" i="1"/>
  <c r="A3466" i="1"/>
  <c r="P3466" i="1"/>
  <c r="A3467" i="1"/>
  <c r="P3467" i="1"/>
  <c r="A3468" i="1"/>
  <c r="P3468" i="1"/>
  <c r="A3469" i="1"/>
  <c r="P3469" i="1"/>
  <c r="A3470" i="1"/>
  <c r="P3470" i="1"/>
  <c r="A3471" i="1"/>
  <c r="P3471" i="1"/>
  <c r="A3472" i="1"/>
  <c r="P3472" i="1"/>
  <c r="A3473" i="1"/>
  <c r="P3473" i="1"/>
  <c r="A3474" i="1"/>
  <c r="P3474" i="1"/>
  <c r="A3475" i="1"/>
  <c r="P3475" i="1"/>
  <c r="A3476" i="1"/>
  <c r="P3476" i="1"/>
  <c r="A3477" i="1"/>
  <c r="P3477" i="1"/>
  <c r="A3478" i="1"/>
  <c r="P3478" i="1"/>
  <c r="A3479" i="1"/>
  <c r="P3479" i="1"/>
  <c r="A3480" i="1"/>
  <c r="P3480" i="1"/>
  <c r="A3481" i="1"/>
  <c r="P3481" i="1"/>
  <c r="A3482" i="1"/>
  <c r="P3482" i="1"/>
  <c r="A3483" i="1"/>
  <c r="P3483" i="1"/>
  <c r="A3484" i="1"/>
  <c r="P3484" i="1"/>
  <c r="A3485" i="1"/>
  <c r="P3485" i="1"/>
  <c r="A3486" i="1"/>
  <c r="P3486" i="1"/>
  <c r="A3487" i="1"/>
  <c r="P3487" i="1"/>
  <c r="A3488" i="1"/>
  <c r="P3488" i="1"/>
  <c r="A3489" i="1"/>
  <c r="P3489" i="1"/>
  <c r="A3490" i="1"/>
  <c r="P3490" i="1"/>
  <c r="A3491" i="1"/>
  <c r="P3491" i="1"/>
  <c r="A3492" i="1"/>
  <c r="P3492" i="1"/>
  <c r="A3493" i="1"/>
  <c r="P3493" i="1"/>
  <c r="A3494" i="1"/>
  <c r="P3494" i="1"/>
  <c r="A3495" i="1"/>
  <c r="P3495" i="1"/>
  <c r="A3496" i="1"/>
  <c r="P3496" i="1"/>
  <c r="A3497" i="1"/>
  <c r="P3497" i="1"/>
  <c r="A3498" i="1"/>
  <c r="P3498" i="1"/>
  <c r="A3499" i="1"/>
  <c r="P3499" i="1"/>
  <c r="A3500" i="1"/>
  <c r="P3500" i="1"/>
  <c r="A3501" i="1"/>
  <c r="P3501" i="1"/>
  <c r="A3502" i="1"/>
  <c r="P3502" i="1"/>
  <c r="A3503" i="1"/>
  <c r="P3503" i="1"/>
  <c r="A3504" i="1"/>
  <c r="P3504" i="1"/>
  <c r="A3505" i="1"/>
  <c r="P3505" i="1"/>
  <c r="A3506" i="1"/>
  <c r="P3506" i="1"/>
  <c r="A3507" i="1"/>
  <c r="P3507" i="1"/>
  <c r="A3508" i="1"/>
  <c r="P3508" i="1"/>
  <c r="A3509" i="1"/>
  <c r="P3509" i="1"/>
  <c r="A3510" i="1"/>
  <c r="P3510" i="1"/>
  <c r="A3511" i="1"/>
  <c r="P3511" i="1"/>
  <c r="A3512" i="1"/>
  <c r="P3512" i="1"/>
  <c r="A3513" i="1"/>
  <c r="P3513" i="1"/>
  <c r="A3514" i="1"/>
  <c r="P3514" i="1"/>
  <c r="A3515" i="1"/>
  <c r="P3515" i="1"/>
  <c r="A3516" i="1"/>
  <c r="P3516" i="1"/>
  <c r="A3517" i="1"/>
  <c r="P3517" i="1"/>
  <c r="A3518" i="1"/>
  <c r="P3518" i="1"/>
  <c r="A3519" i="1"/>
  <c r="P3519" i="1"/>
  <c r="A3520" i="1"/>
  <c r="P3520" i="1"/>
  <c r="A3521" i="1"/>
  <c r="P3521" i="1"/>
  <c r="A3522" i="1"/>
  <c r="P3522" i="1"/>
  <c r="A3523" i="1"/>
  <c r="P3523" i="1"/>
  <c r="A3524" i="1"/>
  <c r="P3524" i="1"/>
  <c r="A3525" i="1"/>
  <c r="P3525" i="1"/>
  <c r="A3526" i="1"/>
  <c r="P3526" i="1"/>
  <c r="A3527" i="1"/>
  <c r="P3527" i="1"/>
  <c r="A3528" i="1"/>
  <c r="P3528" i="1"/>
  <c r="A3529" i="1"/>
  <c r="P3529" i="1"/>
  <c r="A3530" i="1"/>
  <c r="P3530" i="1"/>
  <c r="A3531" i="1"/>
  <c r="P3531" i="1"/>
  <c r="A3532" i="1"/>
  <c r="P3532" i="1"/>
  <c r="A3533" i="1"/>
  <c r="P3533" i="1"/>
  <c r="A3534" i="1"/>
  <c r="P3534" i="1"/>
  <c r="A3535" i="1"/>
  <c r="P3535" i="1"/>
  <c r="A3536" i="1"/>
  <c r="P3536" i="1"/>
  <c r="A3537" i="1"/>
  <c r="P3537" i="1"/>
  <c r="A3538" i="1"/>
  <c r="P3538" i="1"/>
  <c r="A3539" i="1"/>
  <c r="P3539" i="1"/>
  <c r="A3540" i="1"/>
  <c r="P3540" i="1"/>
  <c r="A3541" i="1"/>
  <c r="P3541" i="1"/>
  <c r="A3542" i="1"/>
  <c r="P3542" i="1"/>
  <c r="A3543" i="1"/>
  <c r="P3543" i="1"/>
  <c r="A3544" i="1"/>
  <c r="P3544" i="1"/>
  <c r="A3545" i="1"/>
  <c r="P3545" i="1"/>
  <c r="A3546" i="1"/>
  <c r="P3546" i="1"/>
  <c r="A3547" i="1"/>
  <c r="P3547" i="1"/>
  <c r="A3548" i="1"/>
  <c r="P3548" i="1"/>
  <c r="A3549" i="1"/>
  <c r="P3549" i="1"/>
  <c r="A3550" i="1"/>
  <c r="P3550" i="1"/>
  <c r="A3551" i="1"/>
  <c r="P3551" i="1"/>
  <c r="A3552" i="1"/>
  <c r="P3552" i="1"/>
  <c r="A3553" i="1"/>
  <c r="P3553" i="1"/>
  <c r="A3554" i="1"/>
  <c r="P3554" i="1"/>
  <c r="A3555" i="1"/>
  <c r="P3555" i="1"/>
  <c r="A3556" i="1"/>
  <c r="P3556" i="1"/>
  <c r="A3557" i="1"/>
  <c r="P3557" i="1"/>
  <c r="A3558" i="1"/>
  <c r="P3558" i="1"/>
  <c r="A3559" i="1"/>
  <c r="P3559" i="1"/>
  <c r="A3560" i="1"/>
  <c r="P3560" i="1"/>
  <c r="A3561" i="1"/>
  <c r="P3561" i="1"/>
  <c r="A3562" i="1"/>
  <c r="P3562" i="1"/>
  <c r="A3563" i="1"/>
  <c r="P3563" i="1"/>
  <c r="A3564" i="1"/>
  <c r="P3564" i="1"/>
  <c r="A3565" i="1"/>
  <c r="P3565" i="1"/>
  <c r="A3566" i="1"/>
  <c r="P3566" i="1"/>
  <c r="A3567" i="1"/>
  <c r="P3567" i="1"/>
  <c r="A3568" i="1"/>
  <c r="P3568" i="1"/>
  <c r="A3569" i="1"/>
  <c r="P3569" i="1"/>
  <c r="A3570" i="1"/>
  <c r="P3570" i="1"/>
  <c r="A3571" i="1"/>
  <c r="P3571" i="1"/>
  <c r="A3572" i="1"/>
  <c r="P3572" i="1"/>
  <c r="A3573" i="1"/>
  <c r="P3573" i="1"/>
  <c r="A3574" i="1"/>
  <c r="P3574" i="1"/>
  <c r="A3575" i="1"/>
  <c r="P3575" i="1"/>
  <c r="A3576" i="1"/>
  <c r="P3576" i="1"/>
  <c r="A3577" i="1"/>
  <c r="P3577" i="1"/>
  <c r="A3578" i="1"/>
  <c r="P3578" i="1"/>
  <c r="A3579" i="1"/>
  <c r="P3579" i="1"/>
  <c r="A3580" i="1"/>
  <c r="P3580" i="1"/>
  <c r="A3581" i="1"/>
  <c r="P3581" i="1"/>
  <c r="A3582" i="1"/>
  <c r="P3582" i="1"/>
  <c r="A3583" i="1"/>
  <c r="P3583" i="1"/>
  <c r="A3584" i="1"/>
  <c r="P3584" i="1"/>
  <c r="A3585" i="1"/>
  <c r="P3585" i="1"/>
  <c r="A3586" i="1"/>
  <c r="P3586" i="1"/>
  <c r="A3587" i="1"/>
  <c r="P3587" i="1"/>
  <c r="A3588" i="1"/>
  <c r="P3588" i="1"/>
  <c r="A3589" i="1"/>
  <c r="P3589" i="1"/>
  <c r="A3590" i="1"/>
  <c r="P3590" i="1"/>
  <c r="A3591" i="1"/>
  <c r="P3591" i="1"/>
  <c r="A3592" i="1"/>
  <c r="P3592" i="1"/>
  <c r="A3593" i="1"/>
  <c r="P3593" i="1"/>
  <c r="A3594" i="1"/>
  <c r="P3594" i="1"/>
  <c r="A3595" i="1"/>
  <c r="P3595" i="1"/>
  <c r="A3596" i="1"/>
  <c r="P3596" i="1"/>
  <c r="A3597" i="1"/>
  <c r="P3597" i="1"/>
  <c r="A3598" i="1"/>
  <c r="P3598" i="1"/>
  <c r="A3599" i="1"/>
  <c r="P3599" i="1"/>
  <c r="A3600" i="1"/>
  <c r="P3600" i="1"/>
  <c r="A3601" i="1"/>
  <c r="P3601" i="1"/>
  <c r="A3602" i="1"/>
  <c r="P3602" i="1"/>
  <c r="A3603" i="1"/>
  <c r="P3603" i="1"/>
  <c r="A3604" i="1"/>
  <c r="P3604" i="1"/>
  <c r="A3605" i="1"/>
  <c r="P3605" i="1"/>
  <c r="A3606" i="1"/>
  <c r="P3606" i="1"/>
  <c r="A3607" i="1"/>
  <c r="P3607" i="1"/>
  <c r="A3608" i="1"/>
  <c r="P3608" i="1"/>
  <c r="A3609" i="1"/>
  <c r="P3609" i="1"/>
  <c r="A3610" i="1"/>
  <c r="P3610" i="1"/>
  <c r="A3611" i="1"/>
  <c r="P3611" i="1"/>
  <c r="A3612" i="1"/>
  <c r="P3612" i="1"/>
  <c r="A3613" i="1"/>
  <c r="P3613" i="1"/>
  <c r="A3614" i="1"/>
  <c r="P3614" i="1"/>
  <c r="A3615" i="1"/>
  <c r="P3615" i="1"/>
  <c r="A3616" i="1"/>
  <c r="P3616" i="1"/>
  <c r="A3617" i="1"/>
  <c r="P3617" i="1"/>
  <c r="A3618" i="1"/>
  <c r="P3618" i="1"/>
  <c r="A3619" i="1"/>
  <c r="P3619" i="1"/>
  <c r="A3620" i="1"/>
  <c r="P3620" i="1"/>
  <c r="A3621" i="1"/>
  <c r="P3621" i="1"/>
  <c r="A3622" i="1"/>
  <c r="P3622" i="1"/>
  <c r="A3623" i="1"/>
  <c r="P3623" i="1"/>
  <c r="A3624" i="1"/>
  <c r="P3624" i="1"/>
  <c r="A3625" i="1"/>
  <c r="P3625" i="1"/>
  <c r="A3626" i="1"/>
  <c r="P3626" i="1"/>
  <c r="A3627" i="1"/>
  <c r="P3627" i="1"/>
  <c r="A3628" i="1"/>
  <c r="P3628" i="1"/>
  <c r="A3629" i="1"/>
  <c r="P3629" i="1"/>
  <c r="A3630" i="1"/>
  <c r="P3630" i="1"/>
  <c r="A3631" i="1"/>
  <c r="P3631" i="1"/>
  <c r="A3632" i="1"/>
  <c r="P3632" i="1"/>
  <c r="A3633" i="1"/>
  <c r="P3633" i="1"/>
  <c r="A3634" i="1"/>
  <c r="P3634" i="1"/>
  <c r="A3635" i="1"/>
  <c r="P3635" i="1"/>
  <c r="A3636" i="1"/>
  <c r="P3636" i="1"/>
  <c r="A3637" i="1"/>
  <c r="P3637" i="1"/>
  <c r="A3638" i="1"/>
  <c r="P3638" i="1"/>
  <c r="A3639" i="1"/>
  <c r="P3639" i="1"/>
  <c r="A3640" i="1"/>
  <c r="P3640" i="1"/>
  <c r="A3641" i="1"/>
  <c r="P3641" i="1"/>
  <c r="A3642" i="1"/>
  <c r="P3642" i="1"/>
  <c r="A3643" i="1"/>
  <c r="P3643" i="1"/>
  <c r="A3644" i="1"/>
  <c r="P3644" i="1"/>
  <c r="A3645" i="1"/>
  <c r="P3645" i="1"/>
  <c r="A3646" i="1"/>
  <c r="P3646" i="1"/>
  <c r="A3647" i="1"/>
  <c r="P3647" i="1"/>
  <c r="A3648" i="1"/>
  <c r="P3648" i="1"/>
  <c r="A3649" i="1"/>
  <c r="P3649" i="1"/>
  <c r="A3650" i="1"/>
  <c r="P3650" i="1"/>
  <c r="A3651" i="1"/>
  <c r="P3651" i="1"/>
  <c r="A3652" i="1"/>
  <c r="P3652" i="1"/>
  <c r="A3653" i="1"/>
  <c r="P3653" i="1"/>
  <c r="A3654" i="1"/>
  <c r="P3654" i="1"/>
  <c r="A3655" i="1"/>
  <c r="P3655" i="1"/>
  <c r="A3656" i="1"/>
  <c r="P3656" i="1"/>
  <c r="A3657" i="1"/>
  <c r="P3657" i="1"/>
  <c r="A3658" i="1"/>
  <c r="P3658" i="1"/>
  <c r="A3659" i="1"/>
  <c r="P3659" i="1"/>
  <c r="A3660" i="1"/>
  <c r="P3660" i="1"/>
  <c r="A3661" i="1"/>
  <c r="P3661" i="1"/>
  <c r="A3662" i="1"/>
  <c r="P3662" i="1"/>
  <c r="A3663" i="1"/>
  <c r="P3663" i="1"/>
  <c r="A3664" i="1"/>
  <c r="P3664" i="1"/>
  <c r="A3665" i="1"/>
  <c r="P3665" i="1"/>
  <c r="A3666" i="1"/>
  <c r="P3666" i="1"/>
  <c r="A3667" i="1"/>
  <c r="P3667" i="1"/>
  <c r="A3668" i="1"/>
  <c r="P3668" i="1"/>
  <c r="A3669" i="1"/>
  <c r="P3669" i="1"/>
  <c r="A3670" i="1"/>
  <c r="P3670" i="1"/>
  <c r="A3671" i="1"/>
  <c r="P3671" i="1"/>
  <c r="A3672" i="1"/>
  <c r="P3672" i="1"/>
  <c r="A3673" i="1"/>
  <c r="P3673" i="1"/>
  <c r="A3674" i="1"/>
  <c r="P3674" i="1"/>
  <c r="A3675" i="1"/>
  <c r="P3675" i="1"/>
  <c r="A3676" i="1"/>
  <c r="P3676" i="1"/>
  <c r="A3677" i="1"/>
  <c r="P3677" i="1"/>
  <c r="A3678" i="1"/>
  <c r="P3678" i="1"/>
  <c r="A3679" i="1"/>
  <c r="P3679" i="1"/>
  <c r="A3680" i="1"/>
  <c r="P3680" i="1"/>
  <c r="A3681" i="1"/>
  <c r="P3681" i="1"/>
  <c r="A3682" i="1"/>
  <c r="P3682" i="1"/>
  <c r="A3683" i="1"/>
  <c r="P3683" i="1"/>
  <c r="A3684" i="1"/>
  <c r="P3684" i="1"/>
  <c r="A3685" i="1"/>
  <c r="P3685" i="1"/>
  <c r="A3686" i="1"/>
  <c r="P3686" i="1"/>
  <c r="A3687" i="1"/>
  <c r="P3687" i="1"/>
  <c r="A3688" i="1"/>
  <c r="P3688" i="1"/>
  <c r="A3689" i="1"/>
  <c r="P3689" i="1"/>
  <c r="A3690" i="1"/>
  <c r="P3690" i="1"/>
  <c r="A3691" i="1"/>
  <c r="P3691" i="1"/>
  <c r="A3692" i="1"/>
  <c r="P3692" i="1"/>
  <c r="A3693" i="1"/>
  <c r="P3693" i="1"/>
  <c r="A3694" i="1"/>
  <c r="P3694" i="1"/>
  <c r="A3695" i="1"/>
  <c r="P3695" i="1"/>
  <c r="A3696" i="1"/>
  <c r="P3696" i="1"/>
  <c r="A3697" i="1"/>
  <c r="P3697" i="1"/>
  <c r="A3698" i="1"/>
  <c r="P3698" i="1"/>
  <c r="A3699" i="1"/>
  <c r="P3699" i="1"/>
  <c r="A3700" i="1"/>
  <c r="P3700" i="1"/>
  <c r="A3701" i="1"/>
  <c r="P3701" i="1"/>
  <c r="A3702" i="1"/>
  <c r="P3702" i="1"/>
  <c r="A3703" i="1"/>
  <c r="P3703" i="1"/>
  <c r="A3704" i="1"/>
  <c r="P3704" i="1"/>
  <c r="A3705" i="1"/>
  <c r="P3705" i="1"/>
  <c r="A3706" i="1"/>
  <c r="P3706" i="1"/>
  <c r="A3707" i="1"/>
  <c r="P3707" i="1"/>
  <c r="A3708" i="1"/>
  <c r="P3708" i="1"/>
  <c r="A3709" i="1"/>
  <c r="P3709" i="1"/>
  <c r="A3710" i="1"/>
  <c r="P3710" i="1"/>
  <c r="A3711" i="1"/>
  <c r="P3711" i="1"/>
  <c r="A3712" i="1"/>
  <c r="P3712" i="1"/>
  <c r="A3713" i="1"/>
  <c r="P3713" i="1"/>
  <c r="A3714" i="1"/>
  <c r="P3714" i="1"/>
  <c r="A3715" i="1"/>
  <c r="P3715" i="1"/>
  <c r="A3716" i="1"/>
  <c r="P3716" i="1"/>
  <c r="A3717" i="1"/>
  <c r="P3717" i="1"/>
  <c r="A3718" i="1"/>
  <c r="P3718" i="1"/>
  <c r="A3719" i="1"/>
  <c r="P3719" i="1"/>
  <c r="A3720" i="1"/>
  <c r="P3720" i="1"/>
  <c r="A3721" i="1"/>
  <c r="P3721" i="1"/>
  <c r="A3722" i="1"/>
  <c r="P3722" i="1"/>
  <c r="A3723" i="1"/>
  <c r="P3723" i="1"/>
  <c r="A3724" i="1"/>
  <c r="P3724" i="1"/>
  <c r="A3725" i="1"/>
  <c r="P3725" i="1"/>
  <c r="A3726" i="1"/>
  <c r="P3726" i="1"/>
  <c r="A3727" i="1"/>
  <c r="P3727" i="1"/>
  <c r="A3728" i="1"/>
  <c r="P3728" i="1"/>
  <c r="A3729" i="1"/>
  <c r="P3729" i="1"/>
  <c r="A3730" i="1"/>
  <c r="P3730" i="1"/>
  <c r="A3731" i="1"/>
  <c r="P3731" i="1"/>
  <c r="A3732" i="1"/>
  <c r="P3732" i="1"/>
  <c r="A3733" i="1"/>
  <c r="P3733" i="1"/>
  <c r="A3734" i="1"/>
  <c r="P3734" i="1"/>
  <c r="A3735" i="1"/>
  <c r="P3735" i="1"/>
  <c r="A3736" i="1"/>
  <c r="P3736" i="1"/>
  <c r="A3737" i="1"/>
  <c r="P3737" i="1"/>
  <c r="A3738" i="1"/>
  <c r="P3738" i="1"/>
  <c r="A3739" i="1"/>
  <c r="P3739" i="1"/>
  <c r="A3740" i="1"/>
  <c r="P3740" i="1"/>
  <c r="A3741" i="1"/>
  <c r="P3741" i="1"/>
  <c r="A3742" i="1"/>
  <c r="P3742" i="1"/>
  <c r="A3743" i="1"/>
  <c r="P3743" i="1"/>
  <c r="A3744" i="1"/>
  <c r="P3744" i="1"/>
  <c r="A3745" i="1"/>
  <c r="P3745" i="1"/>
  <c r="A3746" i="1"/>
  <c r="P3746" i="1"/>
  <c r="A3747" i="1"/>
  <c r="P3747" i="1"/>
  <c r="A3748" i="1"/>
  <c r="P3748" i="1"/>
  <c r="A3749" i="1"/>
  <c r="P3749" i="1"/>
  <c r="A3750" i="1"/>
  <c r="P3750" i="1"/>
  <c r="A3751" i="1"/>
  <c r="P3751" i="1"/>
  <c r="A3752" i="1"/>
  <c r="P3752" i="1"/>
  <c r="A3753" i="1"/>
  <c r="P3753" i="1"/>
  <c r="A3754" i="1"/>
  <c r="P3754" i="1"/>
  <c r="A3755" i="1"/>
  <c r="P3755" i="1"/>
  <c r="A3756" i="1"/>
  <c r="P3756" i="1"/>
  <c r="A3757" i="1"/>
  <c r="P3757" i="1"/>
  <c r="A3758" i="1"/>
  <c r="P3758" i="1"/>
  <c r="A3759" i="1"/>
  <c r="P3759" i="1"/>
  <c r="A3760" i="1"/>
  <c r="P3760" i="1"/>
  <c r="A3761" i="1"/>
  <c r="P3761" i="1"/>
  <c r="A3762" i="1"/>
  <c r="P3762" i="1"/>
  <c r="A3763" i="1"/>
  <c r="P3763" i="1"/>
  <c r="A3764" i="1"/>
  <c r="P3764" i="1"/>
  <c r="A3765" i="1"/>
  <c r="P3765" i="1"/>
  <c r="A3766" i="1"/>
  <c r="P3766" i="1"/>
  <c r="A3767" i="1"/>
  <c r="P3767" i="1"/>
  <c r="A3768" i="1"/>
  <c r="P3768" i="1"/>
  <c r="A3769" i="1"/>
  <c r="P3769" i="1"/>
  <c r="A3770" i="1"/>
  <c r="P3770" i="1"/>
  <c r="A3771" i="1"/>
  <c r="P3771" i="1"/>
  <c r="A3772" i="1"/>
  <c r="P3772" i="1"/>
  <c r="A3773" i="1"/>
  <c r="P3773" i="1"/>
  <c r="A3774" i="1"/>
  <c r="P3774" i="1"/>
  <c r="A3775" i="1"/>
  <c r="P3775" i="1"/>
  <c r="A3776" i="1"/>
  <c r="P3776" i="1"/>
  <c r="A3777" i="1"/>
  <c r="P3777" i="1"/>
  <c r="A3778" i="1"/>
  <c r="P3778" i="1"/>
  <c r="A3779" i="1"/>
  <c r="P3779" i="1"/>
  <c r="A3780" i="1"/>
  <c r="P3780" i="1"/>
  <c r="A3781" i="1"/>
  <c r="P3781" i="1"/>
  <c r="A3782" i="1"/>
  <c r="P3782" i="1"/>
  <c r="A3783" i="1"/>
  <c r="P3783" i="1"/>
  <c r="A3784" i="1"/>
  <c r="P3784" i="1"/>
  <c r="A3785" i="1"/>
  <c r="P3785" i="1"/>
  <c r="A3786" i="1"/>
  <c r="P3786" i="1"/>
  <c r="A3787" i="1"/>
  <c r="P3787" i="1"/>
  <c r="A3788" i="1"/>
  <c r="P3788" i="1"/>
  <c r="A3789" i="1"/>
  <c r="P3789" i="1"/>
  <c r="A3790" i="1"/>
  <c r="P3790" i="1"/>
  <c r="A3791" i="1"/>
  <c r="P3791" i="1"/>
  <c r="A3792" i="1"/>
  <c r="P3792" i="1"/>
  <c r="A3793" i="1"/>
  <c r="P3793" i="1"/>
  <c r="A3794" i="1"/>
  <c r="P3794" i="1"/>
  <c r="A3795" i="1"/>
  <c r="P3795" i="1"/>
  <c r="A3796" i="1"/>
  <c r="P3796" i="1"/>
  <c r="A3797" i="1"/>
  <c r="P3797" i="1"/>
  <c r="A3798" i="1"/>
  <c r="P3798" i="1"/>
  <c r="A3799" i="1"/>
  <c r="P3799" i="1"/>
  <c r="A3800" i="1"/>
  <c r="P3800" i="1"/>
  <c r="A3801" i="1"/>
  <c r="P3801" i="1"/>
  <c r="A3802" i="1"/>
  <c r="P3802" i="1"/>
  <c r="A3803" i="1"/>
  <c r="P3803" i="1"/>
  <c r="A3804" i="1"/>
  <c r="P3804" i="1"/>
  <c r="A3805" i="1"/>
  <c r="P3805" i="1"/>
  <c r="A3806" i="1"/>
  <c r="P3806" i="1"/>
  <c r="A3807" i="1"/>
  <c r="P3807" i="1"/>
  <c r="A3808" i="1"/>
  <c r="P3808" i="1"/>
  <c r="A3809" i="1"/>
  <c r="P3809" i="1"/>
  <c r="A3810" i="1"/>
  <c r="P3810" i="1"/>
  <c r="A3811" i="1"/>
  <c r="P3811" i="1"/>
  <c r="A3812" i="1"/>
  <c r="P3812" i="1"/>
  <c r="A3813" i="1"/>
  <c r="P3813" i="1"/>
  <c r="A3814" i="1"/>
  <c r="P3814" i="1"/>
  <c r="A3815" i="1"/>
  <c r="P3815" i="1"/>
  <c r="A3816" i="1"/>
  <c r="P3816" i="1"/>
  <c r="A3817" i="1"/>
  <c r="P3817" i="1"/>
  <c r="A3818" i="1"/>
  <c r="P3818" i="1"/>
  <c r="A3819" i="1"/>
  <c r="P3819" i="1"/>
  <c r="A3820" i="1"/>
  <c r="P3820" i="1"/>
  <c r="A3821" i="1"/>
  <c r="P3821" i="1"/>
  <c r="A3822" i="1"/>
  <c r="P3822" i="1"/>
  <c r="A3823" i="1"/>
  <c r="P3823" i="1"/>
  <c r="A3824" i="1"/>
  <c r="P3824" i="1"/>
  <c r="A3825" i="1"/>
  <c r="P3825" i="1"/>
  <c r="A3826" i="1"/>
  <c r="P3826" i="1"/>
  <c r="A3827" i="1"/>
  <c r="P3827" i="1"/>
  <c r="A3828" i="1"/>
  <c r="P3828" i="1"/>
  <c r="A3829" i="1"/>
  <c r="P3829" i="1"/>
  <c r="A3830" i="1"/>
  <c r="P3830" i="1"/>
  <c r="A3831" i="1"/>
  <c r="P3831" i="1"/>
  <c r="A3832" i="1"/>
  <c r="P3832" i="1"/>
  <c r="A3833" i="1"/>
  <c r="P3833" i="1"/>
  <c r="A3834" i="1"/>
  <c r="P3834" i="1"/>
  <c r="A3835" i="1"/>
  <c r="P3835" i="1"/>
  <c r="A3836" i="1"/>
  <c r="P3836" i="1"/>
  <c r="A3837" i="1"/>
  <c r="P3837" i="1"/>
  <c r="A3838" i="1"/>
  <c r="P3838" i="1"/>
  <c r="A3839" i="1"/>
  <c r="P3839" i="1"/>
  <c r="A3840" i="1"/>
  <c r="P3840" i="1"/>
  <c r="A3841" i="1"/>
  <c r="P3841" i="1"/>
  <c r="A3842" i="1"/>
  <c r="P3842" i="1"/>
  <c r="A3843" i="1"/>
  <c r="P3843" i="1"/>
  <c r="A3844" i="1"/>
  <c r="P3844" i="1"/>
  <c r="A3845" i="1"/>
  <c r="P3845" i="1"/>
  <c r="A3846" i="1"/>
  <c r="P3846" i="1"/>
  <c r="A3847" i="1"/>
  <c r="P3847" i="1"/>
  <c r="A3848" i="1"/>
  <c r="P3848" i="1"/>
  <c r="A3849" i="1"/>
  <c r="P3849" i="1"/>
  <c r="A3850" i="1"/>
  <c r="P3850" i="1"/>
  <c r="A3851" i="1"/>
  <c r="P3851" i="1"/>
  <c r="A3852" i="1"/>
  <c r="P3852" i="1"/>
  <c r="A3853" i="1"/>
  <c r="P3853" i="1"/>
  <c r="A3854" i="1"/>
  <c r="P3854" i="1"/>
  <c r="A3855" i="1"/>
  <c r="P3855" i="1"/>
  <c r="A3856" i="1"/>
  <c r="P3856" i="1"/>
  <c r="A3857" i="1"/>
  <c r="P3857" i="1"/>
  <c r="A3858" i="1"/>
  <c r="P3858" i="1"/>
  <c r="A3859" i="1"/>
  <c r="P3859" i="1"/>
  <c r="A3860" i="1"/>
  <c r="P3860" i="1"/>
  <c r="A3861" i="1"/>
  <c r="P3861" i="1"/>
  <c r="A3862" i="1"/>
  <c r="P3862" i="1"/>
  <c r="A3863" i="1"/>
  <c r="P3863" i="1"/>
  <c r="A3864" i="1"/>
  <c r="P3864" i="1"/>
  <c r="A3865" i="1"/>
  <c r="P3865" i="1"/>
  <c r="A3866" i="1"/>
  <c r="P3866" i="1"/>
  <c r="A3867" i="1"/>
  <c r="P3867" i="1"/>
  <c r="A3868" i="1"/>
  <c r="P3868" i="1"/>
  <c r="A3869" i="1"/>
  <c r="P3869" i="1"/>
  <c r="A3870" i="1"/>
  <c r="P3870" i="1"/>
  <c r="A3871" i="1"/>
  <c r="P3871" i="1"/>
  <c r="A3872" i="1"/>
  <c r="P3872" i="1"/>
  <c r="A3873" i="1"/>
  <c r="P3873" i="1"/>
  <c r="A3874" i="1"/>
  <c r="P3874" i="1"/>
  <c r="A3875" i="1"/>
  <c r="P3875" i="1"/>
  <c r="A3876" i="1"/>
  <c r="P3876" i="1"/>
  <c r="A3877" i="1"/>
  <c r="P3877" i="1"/>
  <c r="A3878" i="1"/>
  <c r="P3878" i="1"/>
  <c r="A3879" i="1"/>
  <c r="P3879" i="1"/>
  <c r="A3880" i="1"/>
  <c r="P3880" i="1"/>
  <c r="A3881" i="1"/>
  <c r="P3881" i="1"/>
  <c r="A3882" i="1"/>
  <c r="P3882" i="1"/>
  <c r="A3883" i="1"/>
  <c r="P3883" i="1"/>
  <c r="A3884" i="1"/>
  <c r="P3884" i="1"/>
  <c r="A3885" i="1"/>
  <c r="P3885" i="1"/>
  <c r="A3886" i="1"/>
  <c r="P3886" i="1"/>
  <c r="A3887" i="1"/>
  <c r="P3887" i="1"/>
  <c r="A3888" i="1"/>
  <c r="P3888" i="1"/>
  <c r="A3889" i="1"/>
  <c r="P3889" i="1"/>
  <c r="A3890" i="1"/>
  <c r="P3890" i="1"/>
  <c r="A3891" i="1"/>
  <c r="P3891" i="1"/>
  <c r="A3892" i="1"/>
  <c r="P3892" i="1"/>
  <c r="A3893" i="1"/>
  <c r="P3893" i="1"/>
  <c r="A3894" i="1"/>
  <c r="P3894" i="1"/>
  <c r="A3895" i="1"/>
  <c r="P3895" i="1"/>
  <c r="A3896" i="1"/>
  <c r="P3896" i="1"/>
  <c r="A3897" i="1"/>
  <c r="P3897" i="1"/>
  <c r="A3898" i="1"/>
  <c r="P3898" i="1"/>
  <c r="A3899" i="1"/>
  <c r="P3899" i="1"/>
  <c r="A3900" i="1"/>
  <c r="P3900" i="1"/>
  <c r="A3901" i="1"/>
  <c r="P3901" i="1"/>
  <c r="A3902" i="1"/>
  <c r="P3902" i="1"/>
  <c r="A3903" i="1"/>
  <c r="P3903" i="1"/>
  <c r="A3904" i="1"/>
  <c r="P3904" i="1"/>
  <c r="A3905" i="1"/>
  <c r="P3905" i="1"/>
  <c r="A3906" i="1"/>
  <c r="P3906" i="1"/>
  <c r="A3907" i="1"/>
  <c r="P3907" i="1"/>
  <c r="A3908" i="1"/>
  <c r="P3908" i="1"/>
  <c r="A3909" i="1"/>
  <c r="P3909" i="1"/>
  <c r="A3910" i="1"/>
  <c r="P3910" i="1"/>
  <c r="A3911" i="1"/>
  <c r="P3911" i="1"/>
  <c r="A3912" i="1"/>
  <c r="P3912" i="1"/>
  <c r="A3913" i="1"/>
  <c r="P3913" i="1"/>
  <c r="A3914" i="1"/>
  <c r="P3914" i="1"/>
  <c r="A3915" i="1"/>
  <c r="P3915" i="1"/>
  <c r="A3916" i="1"/>
  <c r="P3916" i="1"/>
  <c r="A3917" i="1"/>
  <c r="P3917" i="1"/>
  <c r="A3918" i="1"/>
  <c r="P3918" i="1"/>
  <c r="A3919" i="1"/>
  <c r="P3919" i="1"/>
  <c r="A3920" i="1"/>
  <c r="P3920" i="1"/>
  <c r="A3921" i="1"/>
  <c r="P3921" i="1"/>
  <c r="A3922" i="1"/>
  <c r="P3922" i="1"/>
  <c r="A3923" i="1"/>
  <c r="P3923" i="1"/>
  <c r="A3924" i="1"/>
  <c r="P3924" i="1"/>
  <c r="A3925" i="1"/>
  <c r="P3925" i="1"/>
  <c r="A3926" i="1"/>
  <c r="P3926" i="1"/>
  <c r="A3927" i="1"/>
  <c r="P3927" i="1"/>
  <c r="A3928" i="1"/>
  <c r="P3928" i="1"/>
  <c r="A3929" i="1"/>
  <c r="P3929" i="1"/>
  <c r="A3930" i="1"/>
  <c r="P3930" i="1"/>
  <c r="A3931" i="1"/>
  <c r="P3931" i="1"/>
  <c r="A3932" i="1"/>
  <c r="P3932" i="1"/>
  <c r="A3933" i="1"/>
  <c r="P3933" i="1"/>
  <c r="A3934" i="1"/>
  <c r="P3934" i="1"/>
  <c r="A3935" i="1"/>
  <c r="P3935" i="1"/>
  <c r="A3936" i="1"/>
  <c r="P3936" i="1"/>
  <c r="A3937" i="1"/>
  <c r="P3937" i="1"/>
  <c r="A3938" i="1"/>
  <c r="P3938" i="1"/>
  <c r="A3939" i="1"/>
  <c r="P3939" i="1"/>
  <c r="A3940" i="1"/>
  <c r="P3940" i="1"/>
  <c r="A3941" i="1"/>
  <c r="P3941" i="1"/>
  <c r="A3942" i="1"/>
  <c r="P3942" i="1"/>
  <c r="A3943" i="1"/>
  <c r="P3943" i="1"/>
  <c r="A3944" i="1"/>
  <c r="P3944" i="1"/>
  <c r="A3945" i="1"/>
  <c r="P3945" i="1"/>
  <c r="A3946" i="1"/>
  <c r="P3946" i="1"/>
  <c r="A3947" i="1"/>
  <c r="P3947" i="1"/>
  <c r="A3948" i="1"/>
  <c r="P3948" i="1"/>
  <c r="A3949" i="1"/>
  <c r="P3949" i="1"/>
  <c r="A3950" i="1"/>
  <c r="P3950" i="1"/>
  <c r="A3951" i="1"/>
  <c r="P3951" i="1"/>
  <c r="A3952" i="1"/>
  <c r="P3952" i="1"/>
  <c r="A3953" i="1"/>
  <c r="P3953" i="1"/>
  <c r="A3954" i="1"/>
  <c r="P3954" i="1"/>
  <c r="A3955" i="1"/>
  <c r="P3955" i="1"/>
  <c r="A3956" i="1"/>
  <c r="P3956" i="1"/>
  <c r="A3957" i="1"/>
  <c r="P3957" i="1"/>
  <c r="A3958" i="1"/>
  <c r="P3958" i="1"/>
  <c r="A3959" i="1"/>
  <c r="P3959" i="1"/>
  <c r="A3960" i="1"/>
  <c r="P3960" i="1"/>
  <c r="A3961" i="1"/>
  <c r="P3961" i="1"/>
  <c r="A3962" i="1"/>
  <c r="P3962" i="1"/>
  <c r="A3963" i="1"/>
  <c r="P3963" i="1"/>
  <c r="A3964" i="1"/>
  <c r="P3964" i="1"/>
  <c r="A3965" i="1"/>
  <c r="P3965" i="1"/>
  <c r="A3966" i="1"/>
  <c r="P3966" i="1"/>
  <c r="A3967" i="1"/>
  <c r="P3967" i="1"/>
  <c r="A3968" i="1"/>
  <c r="P3968" i="1"/>
  <c r="A3969" i="1"/>
  <c r="P3969" i="1"/>
  <c r="A3970" i="1"/>
  <c r="P3970" i="1"/>
  <c r="A3971" i="1"/>
  <c r="P3971" i="1"/>
  <c r="A3972" i="1"/>
  <c r="P3972" i="1"/>
  <c r="A3973" i="1"/>
  <c r="P3973" i="1"/>
  <c r="A3974" i="1"/>
  <c r="P3974" i="1"/>
  <c r="A3975" i="1"/>
  <c r="P3975" i="1"/>
  <c r="A3976" i="1"/>
  <c r="P3976" i="1"/>
  <c r="A3977" i="1"/>
  <c r="P3977" i="1"/>
  <c r="A3978" i="1"/>
  <c r="P3978" i="1"/>
  <c r="A3979" i="1"/>
  <c r="P3979" i="1"/>
  <c r="A3980" i="1"/>
  <c r="P3980" i="1"/>
  <c r="A3981" i="1"/>
  <c r="P3981" i="1"/>
  <c r="A3982" i="1"/>
  <c r="P3982" i="1"/>
  <c r="A3983" i="1"/>
  <c r="P3983" i="1"/>
  <c r="A3984" i="1"/>
  <c r="P3984" i="1"/>
  <c r="A3985" i="1"/>
  <c r="P3985" i="1"/>
  <c r="A3986" i="1"/>
  <c r="P3986" i="1"/>
  <c r="A3987" i="1"/>
  <c r="P3987" i="1"/>
  <c r="A3988" i="1"/>
  <c r="P3988" i="1"/>
  <c r="A3989" i="1"/>
  <c r="P3989" i="1"/>
  <c r="A3990" i="1"/>
  <c r="P3990" i="1"/>
  <c r="A3991" i="1"/>
  <c r="P3991" i="1"/>
  <c r="A3992" i="1"/>
  <c r="P3992" i="1"/>
  <c r="A3993" i="1"/>
  <c r="P3993" i="1"/>
  <c r="A3994" i="1"/>
  <c r="P3994" i="1"/>
  <c r="A3995" i="1"/>
  <c r="P3995" i="1"/>
  <c r="A3996" i="1"/>
  <c r="P3996" i="1"/>
  <c r="A3997" i="1"/>
  <c r="P3997" i="1"/>
  <c r="A3998" i="1"/>
  <c r="P3998" i="1"/>
  <c r="A3999" i="1"/>
  <c r="P3999" i="1"/>
  <c r="A4000" i="1"/>
  <c r="P4000" i="1"/>
  <c r="A4001" i="1"/>
  <c r="P4001" i="1"/>
  <c r="A4002" i="1"/>
  <c r="P4002" i="1"/>
  <c r="A4003" i="1"/>
  <c r="P4003" i="1"/>
  <c r="A4004" i="1"/>
  <c r="P4004" i="1"/>
  <c r="A4005" i="1"/>
  <c r="P4005" i="1"/>
  <c r="A4006" i="1"/>
  <c r="P4006" i="1"/>
  <c r="A4007" i="1"/>
  <c r="P4007" i="1"/>
  <c r="A4008" i="1"/>
  <c r="P4008" i="1"/>
  <c r="A4009" i="1"/>
  <c r="P4009" i="1"/>
  <c r="A4010" i="1"/>
  <c r="P4010" i="1"/>
  <c r="A4011" i="1"/>
  <c r="P4011" i="1"/>
  <c r="A4012" i="1"/>
  <c r="P4012" i="1"/>
  <c r="A4013" i="1"/>
  <c r="P4013" i="1"/>
  <c r="A4014" i="1"/>
  <c r="P4014" i="1"/>
  <c r="A4015" i="1"/>
  <c r="P4015" i="1"/>
  <c r="A4016" i="1"/>
  <c r="P4016" i="1"/>
  <c r="A4017" i="1"/>
  <c r="P4017" i="1"/>
  <c r="A4018" i="1"/>
  <c r="P4018" i="1"/>
  <c r="A4019" i="1"/>
  <c r="P4019" i="1"/>
  <c r="A4020" i="1"/>
  <c r="P4020" i="1"/>
  <c r="A4021" i="1"/>
  <c r="P4021" i="1"/>
  <c r="A4022" i="1"/>
  <c r="P4022" i="1"/>
  <c r="A4023" i="1"/>
  <c r="P4023" i="1"/>
  <c r="A4024" i="1"/>
  <c r="P4024" i="1"/>
  <c r="A4025" i="1"/>
  <c r="P4025" i="1"/>
  <c r="A4026" i="1"/>
  <c r="P4026" i="1"/>
  <c r="A4027" i="1"/>
  <c r="P4027" i="1"/>
  <c r="A4028" i="1"/>
  <c r="P4028" i="1"/>
  <c r="A4029" i="1"/>
  <c r="P4029" i="1"/>
  <c r="A4030" i="1"/>
  <c r="P4030" i="1"/>
  <c r="A4031" i="1"/>
  <c r="P4031" i="1"/>
  <c r="A4032" i="1"/>
  <c r="P4032" i="1"/>
  <c r="A4033" i="1"/>
  <c r="P4033" i="1"/>
  <c r="A4034" i="1"/>
  <c r="P4034" i="1"/>
  <c r="A4035" i="1"/>
  <c r="P4035" i="1"/>
  <c r="A4036" i="1"/>
  <c r="P4036" i="1"/>
  <c r="A4037" i="1"/>
  <c r="P4037" i="1"/>
  <c r="A4038" i="1"/>
  <c r="P4038" i="1"/>
  <c r="A4039" i="1"/>
  <c r="P4039" i="1"/>
  <c r="A4040" i="1"/>
  <c r="P4040" i="1"/>
  <c r="A4041" i="1"/>
  <c r="P4041" i="1"/>
  <c r="A4042" i="1"/>
  <c r="P4042" i="1"/>
  <c r="A4043" i="1"/>
  <c r="P4043" i="1"/>
  <c r="A4044" i="1"/>
  <c r="P4044" i="1"/>
  <c r="A4045" i="1"/>
  <c r="P4045" i="1"/>
  <c r="A4046" i="1"/>
  <c r="P4046" i="1"/>
  <c r="A4047" i="1"/>
  <c r="P4047" i="1"/>
  <c r="A4048" i="1"/>
  <c r="P4048" i="1"/>
  <c r="A4049" i="1"/>
  <c r="P4049" i="1"/>
  <c r="A4050" i="1"/>
  <c r="P4050" i="1"/>
  <c r="A4051" i="1"/>
  <c r="P4051" i="1"/>
  <c r="A4052" i="1"/>
  <c r="P4052" i="1"/>
  <c r="A4053" i="1"/>
  <c r="P4053" i="1"/>
  <c r="A4054" i="1"/>
  <c r="P4054" i="1"/>
  <c r="A4055" i="1"/>
  <c r="P4055" i="1"/>
  <c r="A4056" i="1"/>
  <c r="P4056" i="1"/>
  <c r="A4057" i="1"/>
  <c r="P4057" i="1"/>
  <c r="A4058" i="1"/>
  <c r="P4058" i="1"/>
  <c r="A4059" i="1"/>
  <c r="P4059" i="1"/>
  <c r="A4060" i="1"/>
  <c r="P4060" i="1"/>
  <c r="A4061" i="1"/>
  <c r="P4061" i="1"/>
  <c r="A4062" i="1"/>
  <c r="P4062" i="1"/>
  <c r="A4063" i="1"/>
  <c r="P4063" i="1"/>
  <c r="A4064" i="1"/>
  <c r="P4064" i="1"/>
  <c r="A4065" i="1"/>
  <c r="P4065" i="1"/>
  <c r="A4066" i="1"/>
  <c r="P4066" i="1"/>
  <c r="A4067" i="1"/>
  <c r="P4067" i="1"/>
  <c r="A4068" i="1"/>
  <c r="P4068" i="1"/>
  <c r="A4069" i="1"/>
  <c r="P4069" i="1"/>
  <c r="A4070" i="1"/>
  <c r="P4070" i="1"/>
  <c r="A4071" i="1"/>
  <c r="P4071" i="1"/>
  <c r="A4072" i="1"/>
  <c r="P4072" i="1"/>
  <c r="A4073" i="1"/>
  <c r="P4073" i="1"/>
  <c r="A4074" i="1"/>
  <c r="P4074" i="1"/>
  <c r="A4075" i="1"/>
  <c r="P4075" i="1"/>
  <c r="A4076" i="1"/>
  <c r="P4076" i="1"/>
  <c r="A4077" i="1"/>
  <c r="P4077" i="1"/>
  <c r="A4078" i="1"/>
  <c r="P4078" i="1"/>
  <c r="A4079" i="1"/>
  <c r="P4079" i="1"/>
  <c r="A4080" i="1"/>
  <c r="P4080" i="1"/>
  <c r="A4081" i="1"/>
  <c r="P4081" i="1"/>
  <c r="A4082" i="1"/>
  <c r="P4082" i="1"/>
  <c r="A4083" i="1"/>
  <c r="P4083" i="1"/>
  <c r="A4084" i="1"/>
  <c r="P4084" i="1"/>
  <c r="A4085" i="1"/>
  <c r="P4085" i="1"/>
  <c r="A4086" i="1"/>
  <c r="P4086" i="1"/>
  <c r="A4087" i="1"/>
  <c r="P4087" i="1"/>
  <c r="A4088" i="1"/>
  <c r="P4088" i="1"/>
  <c r="A4089" i="1"/>
  <c r="P4089" i="1"/>
  <c r="A4090" i="1"/>
  <c r="P4090" i="1"/>
  <c r="A4091" i="1"/>
  <c r="P4091" i="1"/>
  <c r="A4092" i="1"/>
  <c r="P4092" i="1"/>
  <c r="A4093" i="1"/>
  <c r="P4093" i="1"/>
  <c r="A4094" i="1"/>
  <c r="P4094" i="1"/>
  <c r="A4095" i="1"/>
  <c r="P4095" i="1"/>
  <c r="A4096" i="1"/>
  <c r="P4096" i="1"/>
  <c r="A4097" i="1"/>
  <c r="P4097" i="1"/>
  <c r="A4098" i="1"/>
  <c r="P4098" i="1"/>
  <c r="A4099" i="1"/>
  <c r="P4099" i="1"/>
  <c r="A4100" i="1"/>
  <c r="P4100" i="1"/>
  <c r="A4101" i="1"/>
  <c r="P4101" i="1"/>
  <c r="A4102" i="1"/>
  <c r="P4102" i="1"/>
  <c r="A4103" i="1"/>
  <c r="P4103" i="1"/>
  <c r="A4104" i="1"/>
  <c r="P4104" i="1"/>
  <c r="A4105" i="1"/>
  <c r="P4105" i="1"/>
  <c r="A4106" i="1"/>
  <c r="P4106" i="1"/>
  <c r="A4107" i="1"/>
  <c r="P4107" i="1"/>
  <c r="A4108" i="1"/>
  <c r="P4108" i="1"/>
  <c r="A4109" i="1"/>
  <c r="P4109" i="1"/>
  <c r="A4110" i="1"/>
  <c r="P4110" i="1"/>
  <c r="A4111" i="1"/>
  <c r="P4111" i="1"/>
  <c r="A4112" i="1"/>
  <c r="P4112" i="1"/>
  <c r="A4113" i="1"/>
  <c r="P4113" i="1"/>
  <c r="A4114" i="1"/>
  <c r="P4114" i="1"/>
  <c r="A4115" i="1"/>
  <c r="P4115" i="1"/>
  <c r="A4116" i="1"/>
  <c r="P4116" i="1"/>
  <c r="A4117" i="1"/>
  <c r="P4117" i="1"/>
  <c r="A4118" i="1"/>
  <c r="P4118" i="1"/>
  <c r="A4119" i="1"/>
  <c r="P4119" i="1"/>
  <c r="A4120" i="1"/>
  <c r="P4120" i="1"/>
  <c r="A4121" i="1"/>
  <c r="P4121" i="1"/>
  <c r="A4122" i="1"/>
  <c r="P4122" i="1"/>
  <c r="A4123" i="1"/>
  <c r="P4123" i="1"/>
  <c r="A4124" i="1"/>
  <c r="P4124" i="1"/>
  <c r="A4125" i="1"/>
  <c r="P4125" i="1"/>
  <c r="A4126" i="1"/>
  <c r="P4126" i="1"/>
  <c r="A4127" i="1"/>
  <c r="P4127" i="1"/>
  <c r="A4128" i="1"/>
  <c r="P4128" i="1"/>
  <c r="A4129" i="1"/>
  <c r="P4129" i="1"/>
  <c r="A4130" i="1"/>
  <c r="P4130" i="1"/>
  <c r="A4131" i="1"/>
  <c r="P4131" i="1"/>
  <c r="A4132" i="1"/>
  <c r="P4132" i="1"/>
  <c r="A4133" i="1"/>
  <c r="P4133" i="1"/>
  <c r="A4134" i="1"/>
  <c r="P4134" i="1"/>
  <c r="A4135" i="1"/>
  <c r="P4135" i="1"/>
  <c r="A4136" i="1"/>
  <c r="P4136" i="1"/>
  <c r="A4137" i="1"/>
  <c r="P4137" i="1"/>
  <c r="A4138" i="1"/>
  <c r="P4138" i="1"/>
  <c r="A4139" i="1"/>
  <c r="P4139" i="1"/>
  <c r="A4140" i="1"/>
  <c r="P4140" i="1"/>
  <c r="A4141" i="1"/>
  <c r="P4141" i="1"/>
  <c r="A4142" i="1"/>
  <c r="P4142" i="1"/>
  <c r="A4143" i="1"/>
  <c r="P4143" i="1"/>
  <c r="A4144" i="1"/>
  <c r="P4144" i="1"/>
  <c r="A4145" i="1"/>
  <c r="P4145" i="1"/>
  <c r="A4146" i="1"/>
  <c r="P4146" i="1"/>
  <c r="A4147" i="1"/>
  <c r="P4147" i="1"/>
  <c r="A4148" i="1"/>
  <c r="P4148" i="1"/>
  <c r="A4149" i="1"/>
  <c r="P4149" i="1"/>
  <c r="A4150" i="1"/>
  <c r="P4150" i="1"/>
  <c r="A4151" i="1"/>
  <c r="P4151" i="1"/>
  <c r="A4152" i="1"/>
  <c r="P4152" i="1"/>
  <c r="A4153" i="1"/>
  <c r="P4153" i="1"/>
  <c r="A4154" i="1"/>
  <c r="P4154" i="1"/>
  <c r="A4155" i="1"/>
  <c r="P4155" i="1"/>
  <c r="A4156" i="1"/>
  <c r="P4156" i="1"/>
  <c r="A4157" i="1"/>
  <c r="P4157" i="1"/>
  <c r="A4158" i="1"/>
  <c r="P4158" i="1"/>
  <c r="A4159" i="1"/>
  <c r="P4159" i="1"/>
  <c r="A4160" i="1"/>
  <c r="P4160" i="1"/>
  <c r="A4161" i="1"/>
  <c r="P4161" i="1"/>
  <c r="A4162" i="1"/>
  <c r="P4162" i="1"/>
  <c r="A4163" i="1"/>
  <c r="P4163" i="1"/>
  <c r="A4164" i="1"/>
  <c r="P4164" i="1"/>
  <c r="A4165" i="1"/>
  <c r="P4165" i="1"/>
  <c r="A4166" i="1"/>
  <c r="P4166" i="1"/>
  <c r="A4167" i="1"/>
  <c r="P4167" i="1"/>
  <c r="A4168" i="1"/>
  <c r="P4168" i="1"/>
  <c r="A4169" i="1"/>
  <c r="P4169" i="1"/>
  <c r="A4170" i="1"/>
  <c r="P4170" i="1"/>
  <c r="A4171" i="1"/>
  <c r="P4171" i="1"/>
  <c r="A4172" i="1"/>
  <c r="P4172" i="1"/>
  <c r="A4173" i="1"/>
  <c r="P4173" i="1"/>
  <c r="A4174" i="1"/>
  <c r="P4174" i="1"/>
  <c r="A4175" i="1"/>
  <c r="P4175" i="1"/>
  <c r="A4176" i="1"/>
  <c r="P4176" i="1"/>
  <c r="A4177" i="1"/>
  <c r="P4177" i="1"/>
  <c r="A4178" i="1"/>
  <c r="P4178" i="1"/>
  <c r="A4179" i="1"/>
  <c r="P4179" i="1"/>
  <c r="A4180" i="1"/>
  <c r="P4180" i="1"/>
  <c r="A4181" i="1"/>
  <c r="P4181" i="1"/>
  <c r="A4182" i="1"/>
  <c r="P4182" i="1"/>
  <c r="A4183" i="1"/>
  <c r="P4183" i="1"/>
  <c r="A4184" i="1"/>
  <c r="P4184" i="1"/>
  <c r="A4185" i="1"/>
  <c r="P4185" i="1"/>
  <c r="A4186" i="1"/>
  <c r="P4186" i="1"/>
  <c r="A4187" i="1"/>
  <c r="P4187" i="1"/>
  <c r="A4188" i="1"/>
  <c r="P4188" i="1"/>
  <c r="A4189" i="1"/>
  <c r="P4189" i="1"/>
  <c r="A4190" i="1"/>
  <c r="P4190" i="1"/>
  <c r="A4191" i="1"/>
  <c r="P4191" i="1"/>
  <c r="A4192" i="1"/>
  <c r="P4192" i="1"/>
  <c r="A4193" i="1"/>
  <c r="P4193" i="1"/>
  <c r="A4194" i="1"/>
  <c r="P4194" i="1"/>
  <c r="A4195" i="1"/>
  <c r="P4195" i="1"/>
  <c r="A4196" i="1"/>
  <c r="P4196" i="1"/>
  <c r="A4197" i="1"/>
  <c r="P4197" i="1"/>
  <c r="A4198" i="1"/>
  <c r="P4198" i="1"/>
  <c r="A4199" i="1"/>
  <c r="P4199" i="1"/>
  <c r="A4200" i="1"/>
  <c r="P4200" i="1"/>
  <c r="A4201" i="1"/>
  <c r="P4201" i="1"/>
  <c r="A4202" i="1"/>
  <c r="P4202" i="1"/>
  <c r="A4203" i="1"/>
  <c r="P4203" i="1"/>
  <c r="A4204" i="1"/>
  <c r="P4204" i="1"/>
  <c r="A4205" i="1"/>
  <c r="P4205" i="1"/>
  <c r="A4206" i="1"/>
  <c r="P4206" i="1"/>
  <c r="A4207" i="1"/>
  <c r="P4207" i="1"/>
  <c r="A4208" i="1"/>
  <c r="P4208" i="1"/>
  <c r="A4209" i="1"/>
  <c r="P4209" i="1"/>
  <c r="A4210" i="1"/>
  <c r="P4210" i="1"/>
  <c r="A4211" i="1"/>
  <c r="P4211" i="1"/>
  <c r="A4212" i="1"/>
  <c r="P4212" i="1"/>
  <c r="A4213" i="1"/>
  <c r="P4213" i="1"/>
  <c r="A4214" i="1"/>
  <c r="P4214" i="1"/>
  <c r="A4215" i="1"/>
  <c r="P4215" i="1"/>
  <c r="A4216" i="1"/>
  <c r="P4216" i="1"/>
  <c r="A4217" i="1"/>
  <c r="P4217" i="1"/>
  <c r="A4218" i="1"/>
  <c r="P4218" i="1"/>
  <c r="A4219" i="1"/>
  <c r="P4219" i="1"/>
  <c r="A4220" i="1"/>
  <c r="P4220" i="1"/>
  <c r="A4221" i="1"/>
  <c r="P4221" i="1"/>
  <c r="A4222" i="1"/>
  <c r="P4222" i="1"/>
  <c r="A4223" i="1"/>
  <c r="P4223" i="1"/>
  <c r="A4224" i="1"/>
  <c r="P4224" i="1"/>
  <c r="A4225" i="1"/>
  <c r="P4225" i="1"/>
  <c r="A4226" i="1"/>
  <c r="P4226" i="1"/>
  <c r="A4227" i="1"/>
  <c r="P4227" i="1"/>
  <c r="A4228" i="1"/>
  <c r="P4228" i="1"/>
  <c r="A4229" i="1"/>
  <c r="P4229" i="1"/>
  <c r="A4230" i="1"/>
  <c r="P4230" i="1"/>
  <c r="A4231" i="1"/>
  <c r="P4231" i="1"/>
  <c r="A4232" i="1"/>
  <c r="P4232" i="1"/>
  <c r="A4233" i="1"/>
  <c r="P4233" i="1"/>
  <c r="A4234" i="1"/>
  <c r="P4234" i="1"/>
  <c r="A4235" i="1"/>
  <c r="P4235" i="1"/>
  <c r="A4236" i="1"/>
  <c r="P4236" i="1"/>
  <c r="A4237" i="1"/>
  <c r="P4237" i="1"/>
  <c r="A4238" i="1"/>
  <c r="P4238" i="1"/>
  <c r="A4239" i="1"/>
  <c r="P4239" i="1"/>
  <c r="A4240" i="1"/>
  <c r="P4240" i="1"/>
  <c r="A4241" i="1"/>
  <c r="P4241" i="1"/>
  <c r="A4242" i="1"/>
  <c r="P4242" i="1"/>
  <c r="A4243" i="1"/>
  <c r="P4243" i="1"/>
  <c r="A4244" i="1"/>
  <c r="P4244" i="1"/>
  <c r="A4245" i="1"/>
  <c r="P4245" i="1"/>
  <c r="A4246" i="1"/>
  <c r="P4246" i="1"/>
  <c r="A4247" i="1"/>
  <c r="P4247" i="1"/>
  <c r="A4248" i="1"/>
  <c r="P4248" i="1"/>
  <c r="A4249" i="1"/>
  <c r="P4249" i="1"/>
  <c r="A4250" i="1"/>
  <c r="P4250" i="1"/>
  <c r="A4251" i="1"/>
  <c r="P4251" i="1"/>
  <c r="A4252" i="1"/>
  <c r="P4252" i="1"/>
  <c r="A4253" i="1"/>
  <c r="P4253" i="1"/>
  <c r="A4254" i="1"/>
  <c r="P4254" i="1"/>
  <c r="A4255" i="1"/>
  <c r="P4255" i="1"/>
  <c r="A4256" i="1"/>
  <c r="P4256" i="1"/>
  <c r="A4257" i="1"/>
  <c r="P4257" i="1"/>
  <c r="A4258" i="1"/>
  <c r="P4258" i="1"/>
  <c r="A4259" i="1"/>
  <c r="P4259" i="1"/>
  <c r="A4260" i="1"/>
  <c r="P4260" i="1"/>
  <c r="A4261" i="1"/>
  <c r="P4261" i="1"/>
  <c r="A4262" i="1"/>
  <c r="P4262" i="1"/>
  <c r="A4263" i="1"/>
  <c r="P4263" i="1"/>
  <c r="A4264" i="1"/>
  <c r="P4264" i="1"/>
  <c r="A4265" i="1"/>
  <c r="P4265" i="1"/>
  <c r="A4266" i="1"/>
  <c r="P4266" i="1"/>
  <c r="A4267" i="1"/>
  <c r="P4267" i="1"/>
  <c r="A4268" i="1"/>
  <c r="P4268" i="1"/>
  <c r="A4269" i="1"/>
  <c r="P4269" i="1"/>
  <c r="A4270" i="1"/>
  <c r="P4270" i="1"/>
  <c r="A4271" i="1"/>
  <c r="P4271" i="1"/>
  <c r="A4272" i="1"/>
  <c r="P4272" i="1"/>
  <c r="A4273" i="1"/>
  <c r="P4273" i="1"/>
  <c r="A4274" i="1"/>
  <c r="P4274" i="1"/>
  <c r="A4275" i="1"/>
  <c r="P4275" i="1"/>
  <c r="A4276" i="1"/>
  <c r="P4276" i="1"/>
  <c r="A4277" i="1"/>
  <c r="P4277" i="1"/>
  <c r="A4278" i="1"/>
  <c r="P4278" i="1"/>
  <c r="A4279" i="1"/>
  <c r="P4279" i="1"/>
  <c r="A4280" i="1"/>
  <c r="P4280" i="1"/>
  <c r="A4281" i="1"/>
  <c r="P4281" i="1"/>
  <c r="A4282" i="1"/>
  <c r="P4282" i="1"/>
  <c r="A4283" i="1"/>
  <c r="P4283" i="1"/>
  <c r="A4284" i="1"/>
  <c r="P4284" i="1"/>
  <c r="A4285" i="1"/>
  <c r="P4285" i="1"/>
  <c r="A4286" i="1"/>
  <c r="P4286" i="1"/>
  <c r="A4287" i="1"/>
  <c r="P4287" i="1"/>
  <c r="A4288" i="1"/>
  <c r="P4288" i="1"/>
  <c r="A4289" i="1"/>
  <c r="P4289" i="1"/>
  <c r="A4290" i="1"/>
  <c r="P4290" i="1"/>
  <c r="A4291" i="1"/>
  <c r="P4291" i="1"/>
  <c r="A4292" i="1"/>
  <c r="P4292" i="1"/>
  <c r="A4293" i="1"/>
  <c r="P4293" i="1"/>
  <c r="A4294" i="1"/>
  <c r="P4294" i="1"/>
  <c r="A4295" i="1"/>
  <c r="P4295" i="1"/>
  <c r="A4296" i="1"/>
  <c r="P4296" i="1"/>
  <c r="A4297" i="1"/>
  <c r="P4297" i="1"/>
  <c r="A4298" i="1"/>
  <c r="P4298" i="1"/>
  <c r="A4299" i="1"/>
  <c r="P4299" i="1"/>
  <c r="A4300" i="1"/>
  <c r="P4300" i="1"/>
  <c r="A4301" i="1"/>
  <c r="P4301" i="1"/>
  <c r="A4302" i="1"/>
  <c r="P4302" i="1"/>
  <c r="A4303" i="1"/>
  <c r="P4303" i="1"/>
  <c r="A4304" i="1"/>
  <c r="P4304" i="1"/>
  <c r="A4305" i="1"/>
  <c r="P4305" i="1"/>
  <c r="A4306" i="1"/>
  <c r="P4306" i="1"/>
  <c r="A4307" i="1"/>
  <c r="P4307" i="1"/>
  <c r="A4308" i="1"/>
  <c r="P4308" i="1"/>
  <c r="A4309" i="1"/>
  <c r="P4309" i="1"/>
  <c r="A4310" i="1"/>
  <c r="P4310" i="1"/>
  <c r="A4311" i="1"/>
  <c r="P4311" i="1"/>
  <c r="A4312" i="1"/>
  <c r="P4312" i="1"/>
  <c r="A4313" i="1"/>
  <c r="P4313" i="1"/>
  <c r="A4314" i="1"/>
  <c r="P4314" i="1"/>
  <c r="A4315" i="1"/>
  <c r="P4315" i="1"/>
  <c r="A4316" i="1"/>
  <c r="P4316" i="1"/>
  <c r="A4317" i="1"/>
  <c r="P4317" i="1"/>
  <c r="A4318" i="1"/>
  <c r="P4318" i="1"/>
  <c r="A4319" i="1"/>
  <c r="P4319" i="1"/>
  <c r="A4320" i="1"/>
  <c r="P4320" i="1"/>
  <c r="A4321" i="1"/>
  <c r="P4321" i="1"/>
  <c r="A4322" i="1"/>
  <c r="P4322" i="1"/>
  <c r="A4323" i="1"/>
  <c r="P4323" i="1"/>
  <c r="A4324" i="1"/>
  <c r="P4324" i="1"/>
  <c r="A4325" i="1"/>
  <c r="P4325" i="1"/>
  <c r="A4326" i="1"/>
  <c r="P4326" i="1"/>
  <c r="A4327" i="1"/>
  <c r="P4327" i="1"/>
  <c r="A4328" i="1"/>
  <c r="P4328" i="1"/>
  <c r="A4329" i="1"/>
  <c r="P4329" i="1"/>
  <c r="A4330" i="1"/>
  <c r="P4330" i="1"/>
  <c r="A4331" i="1"/>
  <c r="P4331" i="1"/>
  <c r="A4332" i="1"/>
  <c r="P4332" i="1"/>
  <c r="A4333" i="1"/>
  <c r="P4333" i="1"/>
  <c r="A4334" i="1"/>
  <c r="P4334" i="1"/>
  <c r="A4335" i="1"/>
  <c r="P4335" i="1"/>
  <c r="A4336" i="1"/>
  <c r="P4336" i="1"/>
  <c r="A4337" i="1"/>
  <c r="P4337" i="1"/>
  <c r="A4338" i="1"/>
  <c r="P4338" i="1"/>
  <c r="A4339" i="1"/>
  <c r="P4339" i="1"/>
  <c r="A4340" i="1"/>
  <c r="P4340" i="1"/>
  <c r="A4341" i="1"/>
  <c r="P4341" i="1"/>
  <c r="A4342" i="1"/>
  <c r="P4342" i="1"/>
  <c r="A4343" i="1"/>
  <c r="P4343" i="1"/>
  <c r="A4344" i="1"/>
  <c r="P4344" i="1"/>
  <c r="A4345" i="1"/>
  <c r="P4345" i="1"/>
  <c r="A4346" i="1"/>
  <c r="P4346" i="1"/>
  <c r="A4347" i="1"/>
  <c r="P4347" i="1"/>
  <c r="A4348" i="1"/>
  <c r="P4348" i="1"/>
  <c r="A4349" i="1"/>
  <c r="P4349" i="1"/>
  <c r="A4350" i="1"/>
  <c r="P4350" i="1"/>
  <c r="A4351" i="1"/>
  <c r="P4351" i="1"/>
  <c r="A4352" i="1"/>
  <c r="P4352" i="1"/>
  <c r="A4353" i="1"/>
  <c r="P4353" i="1"/>
  <c r="A4354" i="1"/>
  <c r="P4354" i="1"/>
  <c r="A4355" i="1"/>
  <c r="P4355" i="1"/>
  <c r="A4356" i="1"/>
  <c r="P4356" i="1"/>
  <c r="A4357" i="1"/>
  <c r="P4357" i="1"/>
  <c r="A4358" i="1"/>
  <c r="P4358" i="1"/>
  <c r="A4359" i="1"/>
  <c r="P4359" i="1"/>
  <c r="A4360" i="1"/>
  <c r="P4360" i="1"/>
  <c r="A4361" i="1"/>
  <c r="P4361" i="1"/>
  <c r="A4362" i="1"/>
  <c r="P4362" i="1"/>
  <c r="A4363" i="1"/>
  <c r="P4363" i="1"/>
  <c r="A4364" i="1"/>
  <c r="P4364" i="1"/>
  <c r="A4365" i="1"/>
  <c r="P4365" i="1"/>
  <c r="A4366" i="1"/>
  <c r="P4366" i="1"/>
  <c r="A4367" i="1"/>
  <c r="P4367" i="1"/>
  <c r="A4368" i="1"/>
  <c r="P4368" i="1"/>
  <c r="A4369" i="1"/>
  <c r="P4369" i="1"/>
  <c r="A4370" i="1"/>
  <c r="P4370" i="1"/>
  <c r="A4371" i="1"/>
  <c r="P4371" i="1"/>
  <c r="A4372" i="1"/>
  <c r="P4372" i="1"/>
  <c r="A4373" i="1"/>
  <c r="P4373" i="1"/>
  <c r="A4374" i="1"/>
  <c r="P4374" i="1"/>
  <c r="A4375" i="1"/>
  <c r="P4375" i="1"/>
  <c r="A4376" i="1"/>
  <c r="P4376" i="1"/>
  <c r="A4377" i="1"/>
  <c r="P4377" i="1"/>
  <c r="A4378" i="1"/>
  <c r="P4378" i="1"/>
  <c r="A4379" i="1"/>
  <c r="P4379" i="1"/>
  <c r="A4380" i="1"/>
  <c r="P4380" i="1"/>
  <c r="A4381" i="1"/>
  <c r="P4381" i="1"/>
  <c r="A4382" i="1"/>
  <c r="P4382" i="1"/>
  <c r="A4383" i="1"/>
  <c r="P4383" i="1"/>
  <c r="A4384" i="1"/>
  <c r="P4384" i="1"/>
  <c r="A4385" i="1"/>
  <c r="P4385" i="1"/>
  <c r="A4386" i="1"/>
  <c r="P4386" i="1"/>
  <c r="A4387" i="1"/>
  <c r="P4387" i="1"/>
  <c r="A4388" i="1"/>
  <c r="P4388" i="1"/>
  <c r="A4389" i="1"/>
  <c r="P4389" i="1"/>
  <c r="A4390" i="1"/>
  <c r="P4390" i="1"/>
  <c r="A4391" i="1"/>
  <c r="P4391" i="1"/>
  <c r="A4392" i="1"/>
  <c r="P4392" i="1"/>
  <c r="A4393" i="1"/>
  <c r="P4393" i="1"/>
  <c r="A4394" i="1"/>
  <c r="P4394" i="1"/>
  <c r="A4395" i="1"/>
  <c r="P4395" i="1"/>
  <c r="A4396" i="1"/>
  <c r="P4396" i="1"/>
  <c r="A4397" i="1"/>
  <c r="P4397" i="1"/>
  <c r="A4398" i="1"/>
  <c r="P4398" i="1"/>
  <c r="A4399" i="1"/>
  <c r="P4399" i="1"/>
  <c r="A4400" i="1"/>
  <c r="P4400" i="1"/>
  <c r="A4401" i="1"/>
  <c r="P4401" i="1"/>
  <c r="A4402" i="1"/>
  <c r="P4402" i="1"/>
  <c r="A4403" i="1"/>
  <c r="P4403" i="1"/>
  <c r="A4404" i="1"/>
  <c r="P4404" i="1"/>
  <c r="A4405" i="1"/>
  <c r="P4405" i="1"/>
  <c r="A4406" i="1"/>
  <c r="P4406" i="1"/>
  <c r="A4407" i="1"/>
  <c r="P4407" i="1"/>
  <c r="A4408" i="1"/>
  <c r="P4408" i="1"/>
  <c r="A4409" i="1"/>
  <c r="P4409" i="1"/>
  <c r="A4410" i="1"/>
  <c r="P4410" i="1"/>
  <c r="A4411" i="1"/>
  <c r="P4411" i="1"/>
  <c r="A4412" i="1"/>
  <c r="P4412" i="1"/>
  <c r="A4413" i="1"/>
  <c r="P4413" i="1"/>
  <c r="A4414" i="1"/>
  <c r="P4414" i="1"/>
  <c r="A4415" i="1"/>
  <c r="P4415" i="1"/>
  <c r="A4416" i="1"/>
  <c r="P4416" i="1"/>
  <c r="A4417" i="1"/>
  <c r="P4417" i="1"/>
  <c r="A4418" i="1"/>
  <c r="P4418" i="1"/>
  <c r="A4419" i="1"/>
  <c r="P4419" i="1"/>
  <c r="A4420" i="1"/>
  <c r="P4420" i="1"/>
  <c r="A4421" i="1"/>
  <c r="P4421" i="1"/>
  <c r="A4422" i="1"/>
  <c r="P4422" i="1"/>
  <c r="A4423" i="1"/>
  <c r="P4423" i="1"/>
  <c r="A4424" i="1"/>
  <c r="P4424" i="1"/>
  <c r="A4425" i="1"/>
  <c r="P4425" i="1"/>
  <c r="A4426" i="1"/>
  <c r="P4426" i="1"/>
  <c r="A4427" i="1"/>
  <c r="P4427" i="1"/>
  <c r="A4428" i="1"/>
  <c r="P4428" i="1"/>
  <c r="A4429" i="1"/>
  <c r="P4429" i="1"/>
  <c r="A4430" i="1"/>
  <c r="P4430" i="1"/>
  <c r="A4431" i="1"/>
  <c r="P4431" i="1"/>
  <c r="A4432" i="1"/>
  <c r="P4432" i="1"/>
  <c r="A4433" i="1"/>
  <c r="P4433" i="1"/>
  <c r="A4434" i="1"/>
  <c r="P4434" i="1"/>
  <c r="A4435" i="1"/>
  <c r="P4435" i="1"/>
  <c r="A4436" i="1"/>
  <c r="P4436" i="1"/>
  <c r="A4437" i="1"/>
  <c r="P4437" i="1"/>
  <c r="A4438" i="1"/>
  <c r="P4438" i="1"/>
  <c r="A4439" i="1"/>
  <c r="P4439" i="1"/>
  <c r="A4440" i="1"/>
  <c r="P4440" i="1"/>
  <c r="A4441" i="1"/>
  <c r="P4441" i="1"/>
  <c r="A4442" i="1"/>
  <c r="P4442" i="1"/>
  <c r="A4443" i="1"/>
  <c r="P4443" i="1"/>
  <c r="A4444" i="1"/>
  <c r="P4444" i="1"/>
  <c r="A4445" i="1"/>
  <c r="P4445" i="1"/>
  <c r="A4446" i="1"/>
  <c r="P4446" i="1"/>
  <c r="A4447" i="1"/>
  <c r="P4447" i="1"/>
  <c r="A4448" i="1"/>
  <c r="P4448" i="1"/>
  <c r="A4449" i="1"/>
  <c r="P4449" i="1"/>
  <c r="A4450" i="1"/>
  <c r="P4450" i="1"/>
  <c r="A4451" i="1"/>
  <c r="P4451" i="1"/>
  <c r="A4452" i="1"/>
  <c r="P4452" i="1"/>
  <c r="A4453" i="1"/>
  <c r="P4453" i="1"/>
  <c r="A4454" i="1"/>
  <c r="P4454" i="1"/>
  <c r="A4455" i="1"/>
  <c r="P4455" i="1"/>
  <c r="A4456" i="1"/>
  <c r="P4456" i="1"/>
  <c r="A4457" i="1"/>
  <c r="P4457" i="1"/>
  <c r="A4458" i="1"/>
  <c r="P4458" i="1"/>
  <c r="A4459" i="1"/>
  <c r="P4459" i="1"/>
  <c r="A4460" i="1"/>
  <c r="P4460" i="1"/>
  <c r="A4461" i="1"/>
  <c r="P4461" i="1"/>
  <c r="A4462" i="1"/>
  <c r="P4462" i="1"/>
  <c r="A4463" i="1"/>
  <c r="P4463" i="1"/>
  <c r="A4464" i="1"/>
  <c r="P4464" i="1"/>
  <c r="A4465" i="1"/>
  <c r="P4465" i="1"/>
  <c r="A4466" i="1"/>
  <c r="P4466" i="1"/>
  <c r="A4467" i="1"/>
  <c r="P4467" i="1"/>
  <c r="A4468" i="1"/>
  <c r="P4468" i="1"/>
  <c r="A4469" i="1"/>
  <c r="P4469" i="1"/>
  <c r="A4470" i="1"/>
  <c r="P4470" i="1"/>
  <c r="A4471" i="1"/>
  <c r="P4471" i="1"/>
  <c r="A4472" i="1"/>
  <c r="P4472" i="1"/>
  <c r="A4473" i="1"/>
  <c r="P4473" i="1"/>
  <c r="A4474" i="1"/>
  <c r="P4474" i="1"/>
  <c r="A4475" i="1"/>
  <c r="P4475" i="1"/>
  <c r="A4476" i="1"/>
  <c r="P4476" i="1"/>
  <c r="A4477" i="1"/>
  <c r="P4477" i="1"/>
  <c r="A4478" i="1"/>
  <c r="P4478" i="1"/>
  <c r="A4479" i="1"/>
  <c r="P4479" i="1"/>
  <c r="A4480" i="1"/>
  <c r="P4480" i="1"/>
  <c r="A4481" i="1"/>
  <c r="P4481" i="1"/>
  <c r="A4482" i="1"/>
  <c r="P4482" i="1"/>
  <c r="A4483" i="1"/>
  <c r="P4483" i="1"/>
  <c r="A4484" i="1"/>
  <c r="P4484" i="1"/>
  <c r="A4485" i="1"/>
  <c r="P4485" i="1"/>
  <c r="A4486" i="1"/>
  <c r="P4486" i="1"/>
  <c r="A4487" i="1"/>
  <c r="P4487" i="1"/>
  <c r="A4488" i="1"/>
  <c r="P4488" i="1"/>
  <c r="A4489" i="1"/>
  <c r="P4489" i="1"/>
  <c r="A4490" i="1"/>
  <c r="P4490" i="1"/>
  <c r="A4491" i="1"/>
  <c r="P4491" i="1"/>
  <c r="A4492" i="1"/>
  <c r="P4492" i="1"/>
  <c r="A4493" i="1"/>
  <c r="P4493" i="1"/>
  <c r="A4494" i="1"/>
  <c r="P4494" i="1"/>
  <c r="A4495" i="1"/>
  <c r="P4495" i="1"/>
  <c r="A4496" i="1"/>
  <c r="P4496" i="1"/>
  <c r="A4497" i="1"/>
  <c r="P4497" i="1"/>
  <c r="A4498" i="1"/>
  <c r="P4498" i="1"/>
  <c r="A4499" i="1"/>
  <c r="P4499" i="1"/>
  <c r="A4500" i="1"/>
  <c r="P4500" i="1"/>
  <c r="A4501" i="1"/>
  <c r="P4501" i="1"/>
  <c r="A4502" i="1"/>
  <c r="P4502" i="1"/>
  <c r="A4503" i="1"/>
  <c r="P4503" i="1"/>
  <c r="A4504" i="1"/>
  <c r="P4504" i="1"/>
  <c r="A4505" i="1"/>
  <c r="P4505" i="1"/>
  <c r="A4506" i="1"/>
  <c r="P4506" i="1"/>
  <c r="A4507" i="1"/>
  <c r="P4507" i="1"/>
  <c r="A4508" i="1"/>
  <c r="P4508" i="1"/>
  <c r="A4509" i="1"/>
  <c r="P4509" i="1"/>
  <c r="A4510" i="1"/>
  <c r="P4510" i="1"/>
  <c r="A4511" i="1"/>
  <c r="P4511" i="1"/>
  <c r="A4512" i="1"/>
  <c r="P4512" i="1"/>
  <c r="A4513" i="1"/>
  <c r="P4513" i="1"/>
  <c r="A4514" i="1"/>
  <c r="P4514" i="1"/>
  <c r="A4515" i="1"/>
  <c r="P4515" i="1"/>
  <c r="A4516" i="1"/>
  <c r="P4516" i="1"/>
  <c r="A4517" i="1"/>
  <c r="P4517" i="1"/>
  <c r="A4518" i="1"/>
  <c r="P4518" i="1"/>
  <c r="A4519" i="1"/>
  <c r="P4519" i="1"/>
  <c r="A4520" i="1"/>
  <c r="P4520" i="1"/>
  <c r="A4521" i="1"/>
  <c r="P4521" i="1"/>
  <c r="A4522" i="1"/>
  <c r="P4522" i="1"/>
  <c r="A4523" i="1"/>
  <c r="P4523" i="1"/>
  <c r="A4524" i="1"/>
  <c r="P4524" i="1"/>
  <c r="A4525" i="1"/>
  <c r="P4525" i="1"/>
  <c r="A4526" i="1"/>
  <c r="P4526" i="1"/>
  <c r="A4527" i="1"/>
  <c r="P4527" i="1"/>
  <c r="A4528" i="1"/>
  <c r="P4528" i="1"/>
  <c r="A4529" i="1"/>
  <c r="P4529" i="1"/>
  <c r="A4530" i="1"/>
  <c r="P4530" i="1"/>
  <c r="A4531" i="1"/>
  <c r="P4531" i="1"/>
  <c r="A4532" i="1"/>
  <c r="P4532" i="1"/>
  <c r="A4533" i="1"/>
  <c r="P4533" i="1"/>
  <c r="A4534" i="1"/>
  <c r="P4534" i="1"/>
  <c r="A4535" i="1"/>
  <c r="P4535" i="1"/>
  <c r="A4536" i="1"/>
  <c r="P4536" i="1"/>
  <c r="A4537" i="1"/>
  <c r="P4537" i="1"/>
  <c r="A4538" i="1"/>
  <c r="P4538" i="1"/>
  <c r="A4539" i="1"/>
  <c r="P4539" i="1"/>
  <c r="A4540" i="1"/>
  <c r="P4540" i="1"/>
  <c r="A4541" i="1"/>
  <c r="P4541" i="1"/>
  <c r="A4542" i="1"/>
  <c r="P4542" i="1"/>
  <c r="A4543" i="1"/>
  <c r="P4543" i="1"/>
  <c r="A4544" i="1"/>
  <c r="P4544" i="1"/>
  <c r="A4545" i="1"/>
  <c r="P4545" i="1"/>
  <c r="A4546" i="1"/>
  <c r="P4546" i="1"/>
  <c r="A4547" i="1"/>
  <c r="P4547" i="1"/>
  <c r="A4548" i="1"/>
  <c r="P4548" i="1"/>
  <c r="A4549" i="1"/>
  <c r="P4549" i="1"/>
  <c r="A4550" i="1"/>
  <c r="P4550" i="1"/>
  <c r="A4551" i="1"/>
  <c r="P4551" i="1"/>
  <c r="A4552" i="1"/>
  <c r="P4552" i="1"/>
  <c r="A4553" i="1"/>
  <c r="P4553" i="1"/>
  <c r="A4554" i="1"/>
  <c r="P4554" i="1"/>
  <c r="A4555" i="1"/>
  <c r="P4555" i="1"/>
  <c r="A4556" i="1"/>
  <c r="P4556" i="1"/>
  <c r="A4557" i="1"/>
  <c r="P4557" i="1"/>
  <c r="A4558" i="1"/>
  <c r="P4558" i="1"/>
  <c r="A4559" i="1"/>
  <c r="P4559" i="1"/>
  <c r="A4560" i="1"/>
  <c r="P4560" i="1"/>
  <c r="A4561" i="1"/>
  <c r="P4561" i="1"/>
  <c r="A4562" i="1"/>
  <c r="P4562" i="1"/>
  <c r="A4563" i="1"/>
  <c r="P4563" i="1"/>
  <c r="A4564" i="1"/>
  <c r="P4564" i="1"/>
  <c r="A4565" i="1"/>
  <c r="P4565" i="1"/>
  <c r="A4566" i="1"/>
  <c r="P4566" i="1"/>
  <c r="A4567" i="1"/>
  <c r="P4567" i="1"/>
  <c r="A4568" i="1"/>
  <c r="P4568" i="1"/>
  <c r="A4569" i="1"/>
  <c r="P4569" i="1"/>
  <c r="A4570" i="1"/>
  <c r="P4570" i="1"/>
  <c r="A4571" i="1"/>
  <c r="P4571" i="1"/>
  <c r="A4572" i="1"/>
  <c r="P4572" i="1"/>
  <c r="A4573" i="1"/>
  <c r="P4573" i="1"/>
  <c r="A4574" i="1"/>
  <c r="P4574" i="1"/>
  <c r="A4575" i="1"/>
  <c r="P4575" i="1"/>
  <c r="A4576" i="1"/>
  <c r="P4576" i="1"/>
  <c r="A4577" i="1"/>
  <c r="P4577" i="1"/>
  <c r="A4578" i="1"/>
  <c r="P4578" i="1"/>
  <c r="A4579" i="1"/>
  <c r="P4579" i="1"/>
  <c r="A4580" i="1"/>
  <c r="P4580" i="1"/>
  <c r="A4581" i="1"/>
  <c r="P4581" i="1"/>
  <c r="A4582" i="1"/>
  <c r="P4582" i="1"/>
  <c r="A4583" i="1"/>
  <c r="P4583" i="1"/>
  <c r="A4584" i="1"/>
  <c r="P4584" i="1"/>
  <c r="A4585" i="1"/>
  <c r="P4585" i="1"/>
  <c r="A4586" i="1"/>
  <c r="P4586" i="1"/>
  <c r="A4587" i="1"/>
  <c r="P4587" i="1"/>
  <c r="A4588" i="1"/>
  <c r="P4588" i="1"/>
  <c r="A4589" i="1"/>
  <c r="P4589" i="1"/>
  <c r="A4590" i="1"/>
  <c r="P4590" i="1"/>
  <c r="A4591" i="1"/>
  <c r="P4591" i="1"/>
  <c r="A4592" i="1"/>
  <c r="P4592" i="1"/>
  <c r="A4593" i="1"/>
  <c r="P4593" i="1"/>
  <c r="A4594" i="1"/>
  <c r="P4594" i="1"/>
  <c r="A4595" i="1"/>
  <c r="P4595" i="1"/>
  <c r="A4596" i="1"/>
  <c r="P4596" i="1"/>
  <c r="A4597" i="1"/>
  <c r="P4597" i="1"/>
  <c r="A4598" i="1"/>
  <c r="P4598" i="1"/>
  <c r="A4599" i="1"/>
  <c r="P4599" i="1"/>
  <c r="A4600" i="1"/>
  <c r="P4600" i="1"/>
  <c r="A4601" i="1"/>
  <c r="P4601" i="1"/>
  <c r="A4602" i="1"/>
  <c r="P4602" i="1"/>
  <c r="A4603" i="1"/>
  <c r="P4603" i="1"/>
  <c r="A4604" i="1"/>
  <c r="P4604" i="1"/>
  <c r="A4605" i="1"/>
  <c r="P4605" i="1"/>
  <c r="A4606" i="1"/>
  <c r="P4606" i="1"/>
  <c r="A4607" i="1"/>
  <c r="P4607" i="1"/>
  <c r="A4608" i="1"/>
  <c r="P4608" i="1"/>
  <c r="A4609" i="1"/>
  <c r="P4609" i="1"/>
  <c r="A4610" i="1"/>
  <c r="P4610" i="1"/>
  <c r="A4611" i="1"/>
  <c r="P4611" i="1"/>
  <c r="A4612" i="1"/>
  <c r="P4612" i="1"/>
  <c r="A4613" i="1"/>
  <c r="P4613" i="1"/>
  <c r="A4614" i="1"/>
  <c r="P4614" i="1"/>
  <c r="A4615" i="1"/>
  <c r="P4615" i="1"/>
  <c r="A4616" i="1"/>
  <c r="P4616" i="1"/>
  <c r="A4617" i="1"/>
  <c r="P4617" i="1"/>
  <c r="A4618" i="1"/>
  <c r="P4618" i="1"/>
  <c r="A4619" i="1"/>
  <c r="P4619" i="1"/>
  <c r="A4620" i="1"/>
  <c r="P4620" i="1"/>
  <c r="A4621" i="1"/>
  <c r="P4621" i="1"/>
  <c r="A4622" i="1"/>
  <c r="P4622" i="1"/>
  <c r="A4623" i="1"/>
  <c r="P4623" i="1"/>
  <c r="A4624" i="1"/>
  <c r="P4624" i="1"/>
  <c r="A4625" i="1"/>
  <c r="P4625" i="1"/>
  <c r="A4626" i="1"/>
  <c r="P4626" i="1"/>
  <c r="A4627" i="1"/>
  <c r="P4627" i="1"/>
  <c r="A4628" i="1"/>
  <c r="P4628" i="1"/>
  <c r="A4629" i="1"/>
  <c r="P4629" i="1"/>
  <c r="A4630" i="1"/>
  <c r="P4630" i="1"/>
  <c r="A4631" i="1"/>
  <c r="P4631" i="1"/>
  <c r="A4632" i="1"/>
  <c r="P4632" i="1"/>
  <c r="A4633" i="1"/>
  <c r="P4633" i="1"/>
  <c r="A4634" i="1"/>
  <c r="P4634" i="1"/>
  <c r="A4635" i="1"/>
  <c r="P4635" i="1"/>
  <c r="A4636" i="1"/>
  <c r="P4636" i="1"/>
  <c r="A4637" i="1"/>
  <c r="P4637" i="1"/>
  <c r="A4638" i="1"/>
  <c r="P4638" i="1"/>
  <c r="A4639" i="1"/>
  <c r="P4639" i="1"/>
  <c r="A4640" i="1"/>
  <c r="P4640" i="1"/>
  <c r="A4641" i="1"/>
  <c r="P4641" i="1"/>
  <c r="A4642" i="1"/>
  <c r="P4642" i="1"/>
  <c r="A4643" i="1"/>
  <c r="P4643" i="1"/>
  <c r="A4644" i="1"/>
  <c r="P4644" i="1"/>
  <c r="A4645" i="1"/>
  <c r="P4645" i="1"/>
  <c r="A4646" i="1"/>
  <c r="P4646" i="1"/>
  <c r="A4647" i="1"/>
  <c r="P4647" i="1"/>
  <c r="A4648" i="1"/>
  <c r="P4648" i="1"/>
  <c r="A4649" i="1"/>
  <c r="P4649" i="1"/>
  <c r="A4650" i="1"/>
  <c r="P4650" i="1"/>
  <c r="A4651" i="1"/>
  <c r="P4651" i="1"/>
  <c r="A4652" i="1"/>
  <c r="P4652" i="1"/>
  <c r="A4653" i="1"/>
  <c r="P4653" i="1"/>
  <c r="A4654" i="1"/>
  <c r="P4654" i="1"/>
  <c r="A4655" i="1"/>
  <c r="P4655" i="1"/>
  <c r="A4656" i="1"/>
  <c r="P4656" i="1"/>
  <c r="A4657" i="1"/>
  <c r="P4657" i="1"/>
  <c r="A4658" i="1"/>
  <c r="P4658" i="1"/>
  <c r="A4659" i="1"/>
  <c r="P4659" i="1"/>
  <c r="A4660" i="1"/>
  <c r="P4660" i="1"/>
  <c r="A4661" i="1"/>
  <c r="P4661" i="1"/>
  <c r="A4662" i="1"/>
  <c r="P4662" i="1"/>
  <c r="A4663" i="1"/>
  <c r="P4663" i="1"/>
  <c r="A4664" i="1"/>
  <c r="P4664" i="1"/>
  <c r="A4665" i="1"/>
  <c r="P4665" i="1"/>
  <c r="A4666" i="1"/>
  <c r="P4666" i="1"/>
  <c r="A4667" i="1"/>
  <c r="P4667" i="1"/>
  <c r="A4668" i="1"/>
  <c r="P4668" i="1"/>
  <c r="A4669" i="1"/>
  <c r="P4669" i="1"/>
  <c r="A4670" i="1"/>
  <c r="P4670" i="1"/>
  <c r="A4671" i="1"/>
  <c r="P4671" i="1"/>
  <c r="A4672" i="1"/>
  <c r="P4672" i="1"/>
  <c r="A4673" i="1"/>
  <c r="P4673" i="1"/>
  <c r="A4674" i="1"/>
  <c r="P4674" i="1"/>
  <c r="A4675" i="1"/>
  <c r="P4675" i="1"/>
  <c r="A4676" i="1"/>
  <c r="P4676" i="1"/>
  <c r="A4677" i="1"/>
  <c r="P4677" i="1"/>
  <c r="A4678" i="1"/>
  <c r="P4678" i="1"/>
  <c r="A4679" i="1"/>
  <c r="P4679" i="1"/>
  <c r="A4680" i="1"/>
  <c r="P4680" i="1"/>
  <c r="A4681" i="1"/>
  <c r="P4681" i="1"/>
  <c r="A4682" i="1"/>
  <c r="P4682" i="1"/>
  <c r="A4683" i="1"/>
  <c r="P4683" i="1"/>
  <c r="A4684" i="1"/>
  <c r="P4684" i="1"/>
  <c r="A4685" i="1"/>
  <c r="P4685" i="1"/>
  <c r="A4686" i="1"/>
  <c r="P4686" i="1"/>
  <c r="A4687" i="1"/>
  <c r="P4687" i="1"/>
  <c r="A4688" i="1"/>
  <c r="P4688" i="1"/>
  <c r="A4689" i="1"/>
  <c r="P4689" i="1"/>
  <c r="A4690" i="1"/>
  <c r="P4690" i="1"/>
  <c r="A4691" i="1"/>
  <c r="P4691" i="1"/>
  <c r="A4692" i="1"/>
  <c r="P4692" i="1"/>
  <c r="A4693" i="1"/>
  <c r="P4693" i="1"/>
  <c r="A4694" i="1"/>
  <c r="P4694" i="1"/>
  <c r="A4695" i="1"/>
  <c r="P4695" i="1"/>
  <c r="A4696" i="1"/>
  <c r="P4696" i="1"/>
  <c r="A4697" i="1"/>
  <c r="P4697" i="1"/>
  <c r="A4698" i="1"/>
  <c r="P4698" i="1"/>
  <c r="A4699" i="1"/>
  <c r="P4699" i="1"/>
  <c r="A4700" i="1"/>
  <c r="P4700" i="1"/>
  <c r="A4701" i="1"/>
  <c r="P4701" i="1"/>
  <c r="A4702" i="1"/>
  <c r="P4702" i="1"/>
  <c r="A4703" i="1"/>
  <c r="P4703" i="1"/>
  <c r="A4704" i="1"/>
  <c r="P4704" i="1"/>
  <c r="A4705" i="1"/>
  <c r="P4705" i="1"/>
  <c r="A4706" i="1"/>
  <c r="P4706" i="1"/>
  <c r="A4707" i="1"/>
  <c r="P4707" i="1"/>
  <c r="A4708" i="1"/>
  <c r="P4708" i="1"/>
  <c r="A4709" i="1"/>
  <c r="P4709" i="1"/>
  <c r="A4710" i="1"/>
  <c r="P4710" i="1"/>
  <c r="A4711" i="1"/>
  <c r="P4711" i="1"/>
  <c r="A4712" i="1"/>
  <c r="P4712" i="1"/>
  <c r="A4713" i="1"/>
  <c r="P4713" i="1"/>
  <c r="A4714" i="1"/>
  <c r="P4714" i="1"/>
  <c r="A4715" i="1"/>
  <c r="P4715" i="1"/>
  <c r="A4716" i="1"/>
  <c r="P4716" i="1"/>
  <c r="A4717" i="1"/>
  <c r="P4717" i="1"/>
  <c r="A4718" i="1"/>
  <c r="P4718" i="1"/>
  <c r="A4719" i="1"/>
  <c r="P4719" i="1"/>
  <c r="A4720" i="1"/>
  <c r="P4720" i="1"/>
  <c r="A4721" i="1"/>
  <c r="P4721" i="1"/>
  <c r="A4722" i="1"/>
  <c r="P4722" i="1"/>
  <c r="A4723" i="1"/>
  <c r="P4723" i="1"/>
  <c r="A4724" i="1"/>
  <c r="P4724" i="1"/>
  <c r="A4725" i="1"/>
  <c r="P4725" i="1"/>
  <c r="A4726" i="1"/>
  <c r="P4726" i="1"/>
  <c r="A4727" i="1"/>
  <c r="P4727" i="1"/>
  <c r="A4728" i="1"/>
  <c r="P4728" i="1"/>
  <c r="A4729" i="1"/>
  <c r="P4729" i="1"/>
  <c r="A4730" i="1"/>
  <c r="P4730" i="1"/>
  <c r="A4731" i="1"/>
  <c r="P4731" i="1"/>
  <c r="A4732" i="1"/>
  <c r="P4732" i="1"/>
  <c r="A4733" i="1"/>
  <c r="P4733" i="1"/>
  <c r="A4734" i="1"/>
  <c r="P4734" i="1"/>
  <c r="A4735" i="1"/>
  <c r="P4735" i="1"/>
  <c r="A4736" i="1"/>
  <c r="P4736" i="1"/>
  <c r="A4737" i="1"/>
  <c r="P4737" i="1"/>
  <c r="A4738" i="1"/>
  <c r="P4738" i="1"/>
  <c r="A4739" i="1"/>
  <c r="P4739" i="1"/>
  <c r="A4740" i="1"/>
  <c r="P4740" i="1"/>
  <c r="A4741" i="1"/>
  <c r="P4741" i="1"/>
  <c r="A4742" i="1"/>
  <c r="P4742" i="1"/>
  <c r="A4743" i="1"/>
  <c r="P4743" i="1"/>
  <c r="A4744" i="1"/>
  <c r="P4744" i="1"/>
  <c r="A4745" i="1"/>
  <c r="P4745" i="1"/>
  <c r="A4746" i="1"/>
  <c r="P4746" i="1"/>
  <c r="A4747" i="1"/>
  <c r="P4747" i="1"/>
  <c r="A4748" i="1"/>
  <c r="P4748" i="1"/>
  <c r="A4749" i="1"/>
  <c r="P4749" i="1"/>
  <c r="A4750" i="1"/>
  <c r="P4750" i="1"/>
  <c r="A4751" i="1"/>
  <c r="P4751" i="1"/>
  <c r="A4752" i="1"/>
  <c r="P4752" i="1"/>
  <c r="A4753" i="1"/>
  <c r="P4753" i="1"/>
  <c r="A4754" i="1"/>
  <c r="P4754" i="1"/>
  <c r="A4755" i="1"/>
  <c r="P4755" i="1"/>
  <c r="A4756" i="1"/>
  <c r="P4756" i="1"/>
  <c r="A4757" i="1"/>
  <c r="P4757" i="1"/>
  <c r="A4758" i="1"/>
  <c r="P4758" i="1"/>
  <c r="A4759" i="1"/>
  <c r="P4759" i="1"/>
  <c r="A4760" i="1"/>
  <c r="P4760" i="1"/>
  <c r="A4761" i="1"/>
  <c r="P4761" i="1"/>
  <c r="A4762" i="1"/>
  <c r="P4762" i="1"/>
  <c r="A4763" i="1"/>
  <c r="P4763" i="1"/>
  <c r="A4764" i="1"/>
  <c r="P4764" i="1"/>
  <c r="A4765" i="1"/>
  <c r="P4765" i="1"/>
  <c r="A4766" i="1"/>
  <c r="P4766" i="1"/>
  <c r="A4767" i="1"/>
  <c r="P4767" i="1"/>
  <c r="A4768" i="1"/>
  <c r="P4768" i="1"/>
  <c r="A4769" i="1"/>
  <c r="P4769" i="1"/>
  <c r="A4770" i="1"/>
  <c r="P4770" i="1"/>
  <c r="A4771" i="1"/>
  <c r="P4771" i="1"/>
  <c r="A4772" i="1"/>
  <c r="P4772" i="1"/>
  <c r="A4773" i="1"/>
  <c r="P4773" i="1"/>
  <c r="A4774" i="1"/>
  <c r="P4774" i="1"/>
  <c r="A4775" i="1"/>
  <c r="P4775" i="1"/>
  <c r="A4776" i="1"/>
  <c r="P4776" i="1"/>
  <c r="A4777" i="1"/>
  <c r="P4777" i="1"/>
  <c r="A4778" i="1"/>
  <c r="P4778" i="1"/>
  <c r="A4779" i="1"/>
  <c r="P4779" i="1"/>
  <c r="A4780" i="1"/>
  <c r="P4780" i="1"/>
  <c r="A4781" i="1"/>
  <c r="P4781" i="1"/>
  <c r="A4782" i="1"/>
  <c r="P4782" i="1"/>
  <c r="A4783" i="1"/>
  <c r="P4783" i="1"/>
  <c r="A4784" i="1"/>
  <c r="P4784" i="1"/>
  <c r="A4785" i="1"/>
  <c r="P4785" i="1"/>
  <c r="A4786" i="1"/>
  <c r="P4786" i="1"/>
  <c r="A4787" i="1"/>
  <c r="P4787" i="1"/>
  <c r="A4788" i="1"/>
  <c r="P4788" i="1"/>
  <c r="A4789" i="1"/>
  <c r="P4789" i="1"/>
  <c r="A4790" i="1"/>
  <c r="P4790" i="1"/>
  <c r="A4791" i="1"/>
  <c r="P4791" i="1"/>
  <c r="A4792" i="1"/>
  <c r="P4792" i="1"/>
  <c r="A4793" i="1"/>
  <c r="P4793" i="1"/>
  <c r="A4794" i="1"/>
  <c r="P4794" i="1"/>
  <c r="A4795" i="1"/>
  <c r="P4795" i="1"/>
  <c r="A4796" i="1"/>
  <c r="P4796" i="1"/>
  <c r="A4797" i="1"/>
  <c r="P4797" i="1"/>
  <c r="A4798" i="1"/>
  <c r="P4798" i="1"/>
  <c r="A4799" i="1"/>
  <c r="P4799" i="1"/>
  <c r="A4800" i="1"/>
  <c r="P4800" i="1"/>
  <c r="A4801" i="1"/>
  <c r="P4801" i="1"/>
  <c r="A4802" i="1"/>
  <c r="P4802" i="1"/>
  <c r="A4803" i="1"/>
  <c r="P4803" i="1"/>
  <c r="A4804" i="1"/>
  <c r="P4804" i="1"/>
  <c r="A4805" i="1"/>
  <c r="P4805" i="1"/>
  <c r="A4806" i="1"/>
  <c r="P4806" i="1"/>
  <c r="A4807" i="1"/>
  <c r="P4807" i="1"/>
  <c r="A4808" i="1"/>
  <c r="P4808" i="1"/>
  <c r="A4809" i="1"/>
  <c r="P4809" i="1"/>
  <c r="A4810" i="1"/>
  <c r="P4810" i="1"/>
  <c r="A4811" i="1"/>
  <c r="P4811" i="1"/>
  <c r="A4812" i="1"/>
  <c r="P4812" i="1"/>
  <c r="A4813" i="1"/>
  <c r="P4813" i="1"/>
  <c r="A4814" i="1"/>
  <c r="P4814" i="1"/>
  <c r="A4815" i="1"/>
  <c r="P4815" i="1"/>
  <c r="A4816" i="1"/>
  <c r="P4816" i="1"/>
  <c r="A4817" i="1"/>
  <c r="P4817" i="1"/>
  <c r="A4818" i="1"/>
  <c r="P4818" i="1"/>
  <c r="A4819" i="1"/>
  <c r="P4819" i="1"/>
  <c r="A4820" i="1"/>
  <c r="P4820" i="1"/>
  <c r="A4821" i="1"/>
  <c r="P4821" i="1"/>
  <c r="A4822" i="1"/>
  <c r="P4822" i="1"/>
  <c r="A4823" i="1"/>
  <c r="P4823" i="1"/>
  <c r="A4824" i="1"/>
  <c r="P4824" i="1"/>
  <c r="A4825" i="1"/>
  <c r="P4825" i="1"/>
  <c r="A4826" i="1"/>
  <c r="P4826" i="1"/>
  <c r="A4827" i="1"/>
  <c r="P4827" i="1"/>
  <c r="A4828" i="1"/>
  <c r="P4828" i="1"/>
  <c r="A4829" i="1"/>
  <c r="P4829" i="1"/>
  <c r="A4830" i="1"/>
  <c r="P4830" i="1"/>
  <c r="A4831" i="1"/>
  <c r="P4831" i="1"/>
  <c r="A4832" i="1"/>
  <c r="P4832" i="1"/>
  <c r="A4833" i="1"/>
  <c r="P4833" i="1"/>
  <c r="A4834" i="1"/>
  <c r="P4834" i="1"/>
  <c r="A4835" i="1"/>
  <c r="P4835" i="1"/>
  <c r="A4836" i="1"/>
  <c r="P4836" i="1"/>
  <c r="A4837" i="1"/>
  <c r="P4837" i="1"/>
  <c r="A4838" i="1"/>
  <c r="P4838" i="1"/>
  <c r="A4839" i="1"/>
  <c r="P4839" i="1"/>
  <c r="A4840" i="1"/>
  <c r="P4840" i="1"/>
  <c r="A4841" i="1"/>
  <c r="P4841" i="1"/>
  <c r="A4842" i="1"/>
  <c r="P4842" i="1"/>
  <c r="A4843" i="1"/>
  <c r="P4843" i="1"/>
  <c r="A4844" i="1"/>
  <c r="P4844" i="1"/>
  <c r="A4845" i="1"/>
  <c r="P4845" i="1"/>
  <c r="A4846" i="1"/>
  <c r="P4846" i="1"/>
  <c r="A4847" i="1"/>
  <c r="P4847" i="1"/>
  <c r="A4848" i="1"/>
  <c r="P4848" i="1"/>
  <c r="A4849" i="1"/>
  <c r="P4849" i="1"/>
  <c r="A4850" i="1"/>
  <c r="P4850" i="1"/>
  <c r="A4851" i="1"/>
  <c r="P4851" i="1"/>
  <c r="A4852" i="1"/>
  <c r="P4852" i="1"/>
  <c r="A4853" i="1"/>
  <c r="P4853" i="1"/>
  <c r="A4854" i="1"/>
  <c r="P4854" i="1"/>
  <c r="A4855" i="1"/>
  <c r="P4855" i="1"/>
  <c r="A4856" i="1"/>
  <c r="P4856" i="1"/>
  <c r="A4857" i="1"/>
  <c r="P4857" i="1"/>
  <c r="A4858" i="1"/>
  <c r="P4858" i="1"/>
  <c r="A4859" i="1"/>
  <c r="P4859" i="1"/>
  <c r="A4860" i="1"/>
  <c r="P4860" i="1"/>
  <c r="A4861" i="1"/>
  <c r="P4861" i="1"/>
  <c r="A4862" i="1"/>
  <c r="P4862" i="1"/>
  <c r="A4863" i="1"/>
  <c r="P4863" i="1"/>
  <c r="A4864" i="1"/>
  <c r="P4864" i="1"/>
  <c r="A4865" i="1"/>
  <c r="P4865" i="1"/>
  <c r="A4866" i="1"/>
  <c r="P4866" i="1"/>
  <c r="A4867" i="1"/>
  <c r="P4867" i="1"/>
  <c r="A4868" i="1"/>
  <c r="P4868" i="1"/>
  <c r="A4869" i="1"/>
  <c r="P4869" i="1"/>
  <c r="A4870" i="1"/>
  <c r="P4870" i="1"/>
  <c r="A4871" i="1"/>
  <c r="P4871" i="1"/>
  <c r="A4872" i="1"/>
  <c r="P4872" i="1"/>
  <c r="A4873" i="1"/>
  <c r="P4873" i="1"/>
  <c r="A4874" i="1"/>
  <c r="P4874" i="1"/>
  <c r="A4875" i="1"/>
  <c r="P4875" i="1"/>
  <c r="A4876" i="1"/>
  <c r="P4876" i="1"/>
  <c r="A4877" i="1"/>
  <c r="P4877" i="1"/>
  <c r="A4878" i="1"/>
  <c r="P4878" i="1"/>
  <c r="A4879" i="1"/>
  <c r="P4879" i="1"/>
  <c r="A4880" i="1"/>
  <c r="P4880" i="1"/>
  <c r="A4881" i="1"/>
  <c r="P4881" i="1"/>
  <c r="A4882" i="1"/>
  <c r="P4882" i="1"/>
  <c r="A4883" i="1"/>
  <c r="P4883" i="1"/>
  <c r="A4884" i="1"/>
  <c r="P4884" i="1"/>
  <c r="A4885" i="1"/>
  <c r="P4885" i="1"/>
  <c r="A4886" i="1"/>
  <c r="P4886" i="1"/>
  <c r="A4887" i="1"/>
  <c r="P4887" i="1"/>
  <c r="A4888" i="1"/>
  <c r="P4888" i="1"/>
  <c r="A4889" i="1"/>
  <c r="P4889" i="1"/>
  <c r="A4890" i="1"/>
  <c r="P4890" i="1"/>
  <c r="A4891" i="1"/>
  <c r="P4891" i="1"/>
  <c r="A4892" i="1"/>
  <c r="P4892" i="1"/>
  <c r="A4893" i="1"/>
  <c r="P4893" i="1"/>
  <c r="A4894" i="1"/>
  <c r="P4894" i="1"/>
  <c r="A4895" i="1"/>
  <c r="P4895" i="1"/>
  <c r="A4896" i="1"/>
  <c r="P4896" i="1"/>
  <c r="A4897" i="1"/>
  <c r="P4897" i="1"/>
  <c r="A4898" i="1"/>
  <c r="P4898" i="1"/>
  <c r="A4899" i="1"/>
  <c r="P4899" i="1"/>
  <c r="A4900" i="1"/>
  <c r="P4900" i="1"/>
  <c r="A4901" i="1"/>
  <c r="P4901" i="1"/>
  <c r="A4902" i="1"/>
  <c r="P4902" i="1"/>
  <c r="A4903" i="1"/>
  <c r="P4903" i="1"/>
  <c r="A4904" i="1"/>
  <c r="P4904" i="1"/>
  <c r="A4905" i="1"/>
  <c r="P4905" i="1"/>
  <c r="A4906" i="1"/>
  <c r="P4906" i="1"/>
  <c r="A4907" i="1"/>
  <c r="P4907" i="1"/>
  <c r="A4908" i="1"/>
  <c r="P4908" i="1"/>
  <c r="A4909" i="1"/>
  <c r="P4909" i="1"/>
  <c r="A4910" i="1"/>
  <c r="P4910" i="1"/>
  <c r="A4911" i="1"/>
  <c r="P4911" i="1"/>
  <c r="A4912" i="1"/>
  <c r="P4912" i="1"/>
  <c r="A4913" i="1"/>
  <c r="P4913" i="1"/>
  <c r="A4914" i="1"/>
  <c r="P4914" i="1"/>
  <c r="A4915" i="1"/>
  <c r="P4915" i="1"/>
  <c r="A4916" i="1"/>
  <c r="P4916" i="1"/>
  <c r="A4917" i="1"/>
  <c r="P4917" i="1"/>
  <c r="A4918" i="1"/>
  <c r="P4918" i="1"/>
  <c r="A4919" i="1"/>
  <c r="P4919" i="1"/>
  <c r="A4920" i="1"/>
  <c r="P4920" i="1"/>
  <c r="A4921" i="1"/>
  <c r="P4921" i="1"/>
  <c r="A4922" i="1"/>
  <c r="P4922" i="1"/>
  <c r="A4923" i="1"/>
  <c r="P4923" i="1"/>
  <c r="A4924" i="1"/>
  <c r="P4924" i="1"/>
  <c r="A4925" i="1"/>
  <c r="P4925" i="1"/>
  <c r="A4926" i="1"/>
  <c r="P4926" i="1"/>
  <c r="A4927" i="1"/>
  <c r="P4927" i="1"/>
  <c r="A4928" i="1"/>
  <c r="P4928" i="1"/>
  <c r="A4929" i="1"/>
  <c r="P4929" i="1"/>
  <c r="A4930" i="1"/>
  <c r="P4930" i="1"/>
  <c r="A4931" i="1"/>
  <c r="P4931" i="1"/>
  <c r="A4932" i="1"/>
  <c r="P4932" i="1"/>
  <c r="A4933" i="1"/>
  <c r="P4933" i="1"/>
  <c r="A4934" i="1"/>
  <c r="P4934" i="1"/>
  <c r="A4935" i="1"/>
  <c r="P4935" i="1"/>
  <c r="A4936" i="1"/>
  <c r="P4936" i="1"/>
  <c r="A4937" i="1"/>
  <c r="P4937" i="1"/>
  <c r="A4938" i="1"/>
  <c r="P4938" i="1"/>
  <c r="A4939" i="1"/>
  <c r="P4939" i="1"/>
  <c r="A4940" i="1"/>
  <c r="P4940" i="1"/>
  <c r="A4941" i="1"/>
  <c r="P4941" i="1"/>
  <c r="A4942" i="1"/>
  <c r="P4942" i="1"/>
  <c r="A4943" i="1"/>
  <c r="P4943" i="1"/>
  <c r="A4944" i="1"/>
  <c r="P4944" i="1"/>
  <c r="A4945" i="1"/>
  <c r="P4945" i="1"/>
  <c r="A4946" i="1"/>
  <c r="P4946" i="1"/>
  <c r="A4947" i="1"/>
  <c r="P4947" i="1"/>
  <c r="A4948" i="1"/>
  <c r="P4948" i="1"/>
  <c r="A4949" i="1"/>
  <c r="P4949" i="1"/>
  <c r="A4950" i="1"/>
  <c r="P4950" i="1"/>
  <c r="A4951" i="1"/>
  <c r="P4951" i="1"/>
  <c r="A4952" i="1"/>
  <c r="P4952" i="1"/>
  <c r="A4953" i="1"/>
  <c r="P4953" i="1"/>
  <c r="A4954" i="1"/>
  <c r="P4954" i="1"/>
  <c r="A4955" i="1"/>
  <c r="P4955" i="1"/>
  <c r="A4956" i="1"/>
  <c r="P4956" i="1"/>
  <c r="A4957" i="1"/>
  <c r="P4957" i="1"/>
  <c r="A4958" i="1"/>
  <c r="P4958" i="1"/>
  <c r="A4959" i="1"/>
  <c r="P4959" i="1"/>
  <c r="A4960" i="1"/>
  <c r="P4960" i="1"/>
  <c r="A4961" i="1"/>
  <c r="P4961" i="1"/>
  <c r="A4962" i="1"/>
  <c r="P4962" i="1"/>
  <c r="A4963" i="1"/>
  <c r="P4963" i="1"/>
  <c r="A4964" i="1"/>
  <c r="P4964" i="1"/>
  <c r="A4965" i="1"/>
  <c r="P4965" i="1"/>
  <c r="A4966" i="1"/>
  <c r="P4966" i="1"/>
  <c r="A4967" i="1"/>
  <c r="P4967" i="1"/>
  <c r="A4968" i="1"/>
  <c r="P4968" i="1"/>
  <c r="A4969" i="1"/>
  <c r="P4969" i="1"/>
  <c r="A4970" i="1"/>
  <c r="P4970" i="1"/>
  <c r="A4971" i="1"/>
  <c r="P4971" i="1"/>
  <c r="A4972" i="1"/>
  <c r="P4972" i="1"/>
  <c r="A4973" i="1"/>
  <c r="P4973" i="1"/>
  <c r="A4974" i="1"/>
  <c r="P4974" i="1"/>
  <c r="A4975" i="1"/>
  <c r="P4975" i="1"/>
  <c r="A4976" i="1"/>
  <c r="P4976" i="1"/>
  <c r="A4977" i="1"/>
  <c r="P4977" i="1"/>
  <c r="A4978" i="1"/>
  <c r="P4978" i="1"/>
  <c r="A4979" i="1"/>
  <c r="P4979" i="1"/>
  <c r="A4980" i="1"/>
  <c r="P4980" i="1"/>
  <c r="A4981" i="1"/>
  <c r="P4981" i="1"/>
  <c r="A4982" i="1"/>
  <c r="P4982" i="1"/>
  <c r="A4983" i="1"/>
  <c r="P4983" i="1"/>
  <c r="A4984" i="1"/>
  <c r="P4984" i="1"/>
  <c r="A4985" i="1"/>
  <c r="P4985" i="1"/>
  <c r="A4986" i="1"/>
  <c r="P4986" i="1"/>
  <c r="A4987" i="1"/>
  <c r="P4987" i="1"/>
  <c r="A4988" i="1"/>
  <c r="P4988" i="1"/>
  <c r="A4989" i="1"/>
  <c r="P4989" i="1"/>
  <c r="A4990" i="1"/>
  <c r="P4990" i="1"/>
  <c r="A4991" i="1"/>
  <c r="P4991" i="1"/>
  <c r="A4992" i="1"/>
  <c r="P4992" i="1"/>
  <c r="A4993" i="1"/>
  <c r="P4993" i="1"/>
  <c r="A4994" i="1"/>
  <c r="P4994" i="1"/>
  <c r="A4995" i="1"/>
  <c r="P4995" i="1"/>
  <c r="A4996" i="1"/>
  <c r="P4996" i="1"/>
  <c r="A4997" i="1"/>
  <c r="P4997" i="1"/>
  <c r="A4998" i="1"/>
  <c r="P4998" i="1"/>
  <c r="A4999" i="1"/>
  <c r="P4999" i="1"/>
  <c r="A5000" i="1"/>
  <c r="P5000" i="1"/>
  <c r="A5001" i="1"/>
  <c r="P5001" i="1"/>
  <c r="A5002" i="1"/>
  <c r="P5002" i="1"/>
  <c r="A5003" i="1"/>
  <c r="P5003" i="1"/>
  <c r="A5004" i="1"/>
  <c r="P5004" i="1"/>
  <c r="A5005" i="1"/>
  <c r="P5005" i="1"/>
  <c r="A5006" i="1"/>
  <c r="P5006" i="1"/>
  <c r="A5007" i="1"/>
  <c r="P5007" i="1"/>
  <c r="A5008" i="1"/>
  <c r="P5008" i="1"/>
  <c r="A5009" i="1"/>
  <c r="P5009" i="1"/>
  <c r="A5010" i="1"/>
  <c r="P5010" i="1"/>
  <c r="A5011" i="1"/>
  <c r="P5011" i="1"/>
  <c r="A5012" i="1"/>
  <c r="P5012" i="1"/>
  <c r="A5013" i="1"/>
  <c r="P5013" i="1"/>
  <c r="A5014" i="1"/>
  <c r="P5014" i="1"/>
  <c r="A5015" i="1"/>
  <c r="P5015" i="1"/>
  <c r="A5016" i="1"/>
  <c r="P5016" i="1"/>
  <c r="A5017" i="1"/>
  <c r="P5017" i="1"/>
  <c r="A5018" i="1"/>
  <c r="P5018" i="1"/>
  <c r="A5019" i="1"/>
  <c r="P5019" i="1"/>
  <c r="A5020" i="1"/>
  <c r="P5020" i="1"/>
  <c r="A5021" i="1"/>
  <c r="P5021" i="1"/>
  <c r="A5022" i="1"/>
  <c r="P5022" i="1"/>
  <c r="A5023" i="1"/>
  <c r="P5023" i="1"/>
  <c r="A5024" i="1"/>
  <c r="P5024" i="1"/>
  <c r="A5025" i="1"/>
  <c r="P5025" i="1"/>
  <c r="A5026" i="1"/>
  <c r="P5026" i="1"/>
  <c r="A5027" i="1"/>
  <c r="P5027" i="1"/>
  <c r="A5028" i="1"/>
  <c r="P5028" i="1"/>
  <c r="A5029" i="1"/>
  <c r="P5029" i="1"/>
  <c r="A5030" i="1"/>
  <c r="P5030" i="1"/>
  <c r="A5031" i="1"/>
  <c r="P5031" i="1"/>
  <c r="A5032" i="1"/>
  <c r="P5032" i="1"/>
  <c r="A5033" i="1"/>
  <c r="P5033" i="1"/>
  <c r="A5034" i="1"/>
  <c r="P5034" i="1"/>
  <c r="A5035" i="1"/>
  <c r="P5035" i="1"/>
  <c r="A5036" i="1"/>
  <c r="P5036" i="1"/>
  <c r="A5037" i="1"/>
  <c r="P5037" i="1"/>
  <c r="A5038" i="1"/>
  <c r="P5038" i="1"/>
  <c r="A5039" i="1"/>
  <c r="P5039" i="1"/>
  <c r="A5040" i="1"/>
  <c r="P5040" i="1"/>
  <c r="A5041" i="1"/>
  <c r="P5041" i="1"/>
  <c r="A5042" i="1"/>
  <c r="P5042" i="1"/>
  <c r="A5043" i="1"/>
  <c r="P5043" i="1"/>
  <c r="A5044" i="1"/>
  <c r="P5044" i="1"/>
  <c r="A5045" i="1"/>
  <c r="P5045" i="1"/>
  <c r="A5046" i="1"/>
  <c r="P5046" i="1"/>
  <c r="A5047" i="1"/>
  <c r="P5047" i="1"/>
  <c r="A5048" i="1"/>
  <c r="P5048" i="1"/>
  <c r="A5049" i="1"/>
  <c r="P5049" i="1"/>
  <c r="A5050" i="1"/>
  <c r="P5050" i="1"/>
  <c r="A5051" i="1"/>
  <c r="P5051" i="1"/>
  <c r="A5052" i="1"/>
  <c r="P5052" i="1"/>
  <c r="A5053" i="1"/>
  <c r="P5053" i="1"/>
  <c r="A5054" i="1"/>
  <c r="P5054" i="1"/>
  <c r="A5055" i="1"/>
  <c r="P5055" i="1"/>
  <c r="A5056" i="1"/>
  <c r="P5056" i="1"/>
  <c r="A5057" i="1"/>
  <c r="P5057" i="1"/>
  <c r="A5058" i="1"/>
  <c r="P5058" i="1"/>
  <c r="A5059" i="1"/>
  <c r="P5059" i="1"/>
  <c r="A5060" i="1"/>
  <c r="P5060" i="1"/>
  <c r="A5061" i="1"/>
  <c r="P5061" i="1"/>
  <c r="A5062" i="1"/>
  <c r="P5062" i="1"/>
  <c r="A5063" i="1"/>
  <c r="P5063" i="1"/>
  <c r="A5064" i="1"/>
  <c r="P5064" i="1"/>
  <c r="A5065" i="1"/>
  <c r="P5065" i="1"/>
  <c r="A5066" i="1"/>
  <c r="P5066" i="1"/>
  <c r="A5067" i="1"/>
  <c r="P5067" i="1"/>
  <c r="A5068" i="1"/>
  <c r="P5068" i="1"/>
  <c r="A5069" i="1"/>
  <c r="P5069" i="1"/>
  <c r="A5070" i="1"/>
  <c r="P5070" i="1"/>
  <c r="A5071" i="1"/>
  <c r="P5071" i="1"/>
  <c r="A5072" i="1"/>
  <c r="P5072" i="1"/>
  <c r="A5073" i="1"/>
  <c r="P5073" i="1"/>
  <c r="A5074" i="1"/>
  <c r="P5074" i="1"/>
  <c r="A5075" i="1"/>
  <c r="P5075" i="1"/>
  <c r="A5076" i="1"/>
  <c r="P5076" i="1"/>
  <c r="A5077" i="1"/>
  <c r="P5077" i="1"/>
  <c r="A5078" i="1"/>
  <c r="P5078" i="1"/>
  <c r="A5079" i="1"/>
  <c r="P5079" i="1"/>
  <c r="A5080" i="1"/>
  <c r="P5080" i="1"/>
  <c r="A5081" i="1"/>
  <c r="P5081" i="1"/>
  <c r="A5082" i="1"/>
  <c r="P5082" i="1"/>
  <c r="A5083" i="1"/>
  <c r="P5083" i="1"/>
  <c r="A5084" i="1"/>
  <c r="P5084" i="1"/>
  <c r="A5085" i="1"/>
  <c r="P5085" i="1"/>
  <c r="A5086" i="1"/>
  <c r="P5086" i="1"/>
  <c r="A5087" i="1"/>
  <c r="P5087" i="1"/>
  <c r="A5088" i="1"/>
  <c r="P5088" i="1"/>
  <c r="A5089" i="1"/>
  <c r="P5089" i="1"/>
  <c r="A5090" i="1"/>
  <c r="P5090" i="1"/>
  <c r="A5091" i="1"/>
  <c r="P5091" i="1"/>
  <c r="A5092" i="1"/>
  <c r="P5092" i="1"/>
  <c r="A5093" i="1"/>
  <c r="P5093" i="1"/>
  <c r="A5094" i="1"/>
  <c r="P5094" i="1"/>
  <c r="A5095" i="1"/>
  <c r="P5095" i="1"/>
  <c r="A5096" i="1"/>
  <c r="P5096" i="1"/>
  <c r="A5097" i="1"/>
  <c r="P5097" i="1"/>
  <c r="A5098" i="1"/>
  <c r="P5098" i="1"/>
  <c r="A5099" i="1"/>
  <c r="P5099" i="1"/>
  <c r="A5100" i="1"/>
  <c r="P5100" i="1"/>
  <c r="A5101" i="1"/>
  <c r="P5101" i="1"/>
  <c r="A5102" i="1"/>
  <c r="P5102" i="1"/>
  <c r="A5103" i="1"/>
  <c r="P5103" i="1"/>
  <c r="A5104" i="1"/>
  <c r="P5104" i="1"/>
  <c r="A5105" i="1"/>
  <c r="P5105" i="1"/>
  <c r="A5106" i="1"/>
  <c r="P5106" i="1"/>
  <c r="A5107" i="1"/>
  <c r="P5107" i="1"/>
  <c r="A5108" i="1"/>
  <c r="P5108" i="1"/>
  <c r="A5109" i="1"/>
  <c r="P5109" i="1"/>
  <c r="A5110" i="1"/>
  <c r="P5110" i="1"/>
  <c r="A5111" i="1"/>
  <c r="P5111" i="1"/>
  <c r="A5112" i="1"/>
  <c r="P5112" i="1"/>
  <c r="A5113" i="1"/>
  <c r="P5113" i="1"/>
  <c r="A5114" i="1"/>
  <c r="P5114" i="1"/>
  <c r="A5115" i="1"/>
  <c r="P5115" i="1"/>
  <c r="A5116" i="1"/>
  <c r="P5116" i="1"/>
  <c r="A5117" i="1"/>
  <c r="P5117" i="1"/>
  <c r="A5118" i="1"/>
  <c r="P5118" i="1"/>
  <c r="A5119" i="1"/>
  <c r="P5119" i="1"/>
  <c r="A5120" i="1"/>
  <c r="P5120" i="1"/>
  <c r="A5121" i="1"/>
  <c r="P5121" i="1"/>
  <c r="A5122" i="1"/>
  <c r="P5122" i="1"/>
  <c r="A5123" i="1"/>
  <c r="P5123" i="1"/>
  <c r="A5124" i="1"/>
  <c r="P5124" i="1"/>
  <c r="A5125" i="1"/>
  <c r="P5125" i="1"/>
  <c r="A5126" i="1"/>
  <c r="P5126" i="1"/>
  <c r="A5127" i="1"/>
  <c r="P5127" i="1"/>
  <c r="A5128" i="1"/>
  <c r="P5128" i="1"/>
  <c r="A5129" i="1"/>
  <c r="P5129" i="1"/>
  <c r="A5130" i="1"/>
  <c r="P5130" i="1"/>
  <c r="A5131" i="1"/>
  <c r="P5131" i="1"/>
  <c r="A5132" i="1"/>
  <c r="P5132" i="1"/>
  <c r="A5133" i="1"/>
  <c r="P5133" i="1"/>
  <c r="A5134" i="1"/>
  <c r="P5134" i="1"/>
  <c r="A5135" i="1"/>
  <c r="P5135" i="1"/>
  <c r="A5136" i="1"/>
  <c r="P5136" i="1"/>
  <c r="A5137" i="1"/>
  <c r="P5137" i="1"/>
  <c r="A5138" i="1"/>
  <c r="P5138" i="1"/>
  <c r="A5139" i="1"/>
  <c r="P5139" i="1"/>
  <c r="A5140" i="1"/>
  <c r="P5140" i="1"/>
  <c r="A5141" i="1"/>
  <c r="P5141" i="1"/>
  <c r="A5142" i="1"/>
  <c r="P5142" i="1"/>
  <c r="A5143" i="1"/>
  <c r="P5143" i="1"/>
  <c r="A5144" i="1"/>
  <c r="P5144" i="1"/>
  <c r="A5145" i="1"/>
  <c r="P5145" i="1"/>
  <c r="A5146" i="1"/>
  <c r="P5146" i="1"/>
  <c r="A5147" i="1"/>
  <c r="P5147" i="1"/>
  <c r="A5148" i="1"/>
  <c r="P5148" i="1"/>
  <c r="A5149" i="1"/>
  <c r="P5149" i="1"/>
  <c r="A5150" i="1"/>
  <c r="P5150" i="1"/>
  <c r="A5151" i="1"/>
  <c r="P5151" i="1"/>
  <c r="A5152" i="1"/>
  <c r="P5152" i="1"/>
  <c r="A5153" i="1"/>
  <c r="P5153" i="1"/>
  <c r="A5154" i="1"/>
  <c r="P5154" i="1"/>
  <c r="A5155" i="1"/>
  <c r="P5155" i="1"/>
  <c r="A5156" i="1"/>
  <c r="P5156" i="1"/>
  <c r="A5157" i="1"/>
  <c r="P5157" i="1"/>
  <c r="A5158" i="1"/>
  <c r="P5158" i="1"/>
  <c r="A5159" i="1"/>
  <c r="P5159" i="1"/>
  <c r="A5160" i="1"/>
  <c r="P5160" i="1"/>
  <c r="A5161" i="1"/>
  <c r="P5161" i="1"/>
  <c r="A5162" i="1"/>
  <c r="P5162" i="1"/>
  <c r="A5163" i="1"/>
  <c r="P5163" i="1"/>
  <c r="A5164" i="1"/>
  <c r="P5164" i="1"/>
  <c r="A5165" i="1"/>
  <c r="P5165" i="1"/>
  <c r="A5166" i="1"/>
  <c r="P5166" i="1"/>
  <c r="A5167" i="1"/>
  <c r="P5167" i="1"/>
  <c r="A5168" i="1"/>
  <c r="P5168" i="1"/>
  <c r="A5169" i="1"/>
  <c r="P5169" i="1"/>
  <c r="A5170" i="1"/>
  <c r="P5170" i="1"/>
  <c r="A5171" i="1"/>
  <c r="P5171" i="1"/>
  <c r="A5172" i="1"/>
  <c r="P5172" i="1"/>
  <c r="A5173" i="1"/>
  <c r="P5173" i="1"/>
  <c r="A5174" i="1"/>
  <c r="P5174" i="1"/>
  <c r="A5175" i="1"/>
  <c r="P5175" i="1"/>
  <c r="A5176" i="1"/>
  <c r="P5176" i="1"/>
  <c r="A5177" i="1"/>
  <c r="P5177" i="1"/>
  <c r="A5178" i="1"/>
  <c r="P5178" i="1"/>
  <c r="A5179" i="1"/>
  <c r="P5179" i="1"/>
  <c r="A5180" i="1"/>
  <c r="P5180" i="1"/>
  <c r="A5181" i="1"/>
  <c r="P5181" i="1"/>
  <c r="A5182" i="1"/>
  <c r="P5182" i="1"/>
  <c r="A5183" i="1"/>
  <c r="P5183" i="1"/>
  <c r="A5184" i="1"/>
  <c r="P5184" i="1"/>
  <c r="A5185" i="1"/>
  <c r="P5185" i="1"/>
  <c r="A5186" i="1"/>
  <c r="P5186" i="1"/>
  <c r="A5187" i="1"/>
  <c r="P5187" i="1"/>
  <c r="A5188" i="1"/>
  <c r="P5188" i="1"/>
  <c r="A5189" i="1"/>
  <c r="P5189" i="1"/>
  <c r="A5190" i="1"/>
  <c r="P5190" i="1"/>
  <c r="A5191" i="1"/>
  <c r="P5191" i="1"/>
  <c r="A5192" i="1"/>
  <c r="P5192" i="1"/>
  <c r="A5193" i="1"/>
  <c r="P5193" i="1"/>
  <c r="A5194" i="1"/>
  <c r="P5194" i="1"/>
  <c r="A5195" i="1"/>
  <c r="P5195" i="1"/>
  <c r="A5196" i="1"/>
  <c r="P5196" i="1"/>
  <c r="A5197" i="1"/>
  <c r="P5197" i="1"/>
  <c r="A5198" i="1"/>
  <c r="P5198" i="1"/>
  <c r="A5199" i="1"/>
  <c r="P5199" i="1"/>
  <c r="A5200" i="1"/>
  <c r="P5200" i="1"/>
  <c r="A5201" i="1"/>
  <c r="P5201" i="1"/>
  <c r="A5202" i="1"/>
  <c r="P5202" i="1"/>
  <c r="A5203" i="1"/>
  <c r="P5203" i="1"/>
  <c r="A5204" i="1"/>
  <c r="P5204" i="1"/>
  <c r="A5205" i="1"/>
  <c r="P5205" i="1"/>
  <c r="A5206" i="1"/>
  <c r="P5206" i="1"/>
  <c r="A5207" i="1"/>
  <c r="P5207" i="1"/>
  <c r="A5208" i="1"/>
  <c r="P5208" i="1"/>
  <c r="A5209" i="1"/>
  <c r="P5209" i="1"/>
  <c r="A5210" i="1"/>
  <c r="P5210" i="1"/>
  <c r="A5211" i="1"/>
  <c r="P5211" i="1"/>
  <c r="A5212" i="1"/>
  <c r="P5212" i="1"/>
  <c r="A5213" i="1"/>
  <c r="P5213" i="1"/>
  <c r="A5214" i="1"/>
  <c r="P5214" i="1"/>
  <c r="A5215" i="1"/>
  <c r="P5215" i="1"/>
  <c r="A5216" i="1"/>
  <c r="P5216" i="1"/>
  <c r="A5217" i="1"/>
  <c r="P5217" i="1"/>
  <c r="A5218" i="1"/>
  <c r="P5218" i="1"/>
  <c r="A5219" i="1"/>
  <c r="P5219" i="1"/>
  <c r="A5220" i="1"/>
  <c r="P5220" i="1"/>
  <c r="A5221" i="1"/>
  <c r="P5221" i="1"/>
  <c r="A5222" i="1"/>
  <c r="P5222" i="1"/>
  <c r="A5223" i="1"/>
  <c r="P5223" i="1"/>
  <c r="A5224" i="1"/>
  <c r="P5224" i="1"/>
  <c r="A5225" i="1"/>
  <c r="P5225" i="1"/>
  <c r="A5226" i="1"/>
  <c r="P5226" i="1"/>
  <c r="A5227" i="1"/>
  <c r="P5227" i="1"/>
  <c r="A5228" i="1"/>
  <c r="P5228" i="1"/>
  <c r="A5229" i="1"/>
  <c r="P5229" i="1"/>
  <c r="A5230" i="1"/>
  <c r="P5230" i="1"/>
  <c r="A5231" i="1"/>
  <c r="P5231" i="1"/>
  <c r="A5232" i="1"/>
  <c r="P5232" i="1"/>
  <c r="A5233" i="1"/>
  <c r="P5233" i="1"/>
  <c r="A5234" i="1"/>
  <c r="P5234" i="1"/>
  <c r="A5235" i="1"/>
  <c r="P5235" i="1"/>
  <c r="A5236" i="1"/>
  <c r="P5236" i="1"/>
  <c r="A5237" i="1"/>
  <c r="P5237" i="1"/>
  <c r="A5238" i="1"/>
  <c r="P5238" i="1"/>
  <c r="A5239" i="1"/>
  <c r="P5239" i="1"/>
  <c r="A5240" i="1"/>
  <c r="P5240" i="1"/>
  <c r="A5241" i="1"/>
  <c r="P5241" i="1"/>
  <c r="A5242" i="1"/>
  <c r="P5242" i="1"/>
  <c r="A5243" i="1"/>
  <c r="P5243" i="1"/>
  <c r="A5244" i="1"/>
  <c r="P5244" i="1"/>
  <c r="A5245" i="1"/>
  <c r="P5245" i="1"/>
  <c r="A5246" i="1"/>
  <c r="P5246" i="1"/>
  <c r="A5247" i="1"/>
  <c r="P5247" i="1"/>
  <c r="A5248" i="1"/>
  <c r="P5248" i="1"/>
  <c r="A5249" i="1"/>
  <c r="P5249" i="1"/>
  <c r="A5250" i="1"/>
  <c r="P5250" i="1"/>
  <c r="A5251" i="1"/>
  <c r="P5251" i="1"/>
  <c r="A5252" i="1"/>
  <c r="P5252" i="1"/>
  <c r="A5253" i="1"/>
  <c r="P5253" i="1"/>
  <c r="A5254" i="1"/>
  <c r="P5254" i="1"/>
  <c r="A5255" i="1"/>
  <c r="P5255" i="1"/>
  <c r="A5256" i="1"/>
  <c r="P5256" i="1"/>
  <c r="A5257" i="1"/>
  <c r="P5257" i="1"/>
  <c r="A5258" i="1"/>
  <c r="P5258" i="1"/>
  <c r="A5259" i="1"/>
  <c r="P5259" i="1"/>
  <c r="A5260" i="1"/>
  <c r="P5260" i="1"/>
  <c r="A5261" i="1"/>
  <c r="P5261" i="1"/>
  <c r="A5262" i="1"/>
  <c r="P5262" i="1"/>
  <c r="A5263" i="1"/>
  <c r="P5263" i="1"/>
  <c r="A5264" i="1"/>
  <c r="P5264" i="1"/>
  <c r="A5265" i="1"/>
  <c r="P5265" i="1"/>
  <c r="A5266" i="1"/>
  <c r="P5266" i="1"/>
  <c r="A5267" i="1"/>
  <c r="P5267" i="1"/>
  <c r="A5268" i="1"/>
  <c r="P5268" i="1"/>
  <c r="A5269" i="1"/>
  <c r="P5269" i="1"/>
  <c r="A5270" i="1"/>
  <c r="P5270" i="1"/>
  <c r="A5271" i="1"/>
  <c r="P5271" i="1"/>
  <c r="A5272" i="1"/>
  <c r="P5272" i="1"/>
  <c r="A5273" i="1"/>
  <c r="P5273" i="1"/>
  <c r="A5274" i="1"/>
  <c r="P5274" i="1"/>
  <c r="A5275" i="1"/>
  <c r="P5275" i="1"/>
  <c r="A5276" i="1"/>
  <c r="P5276" i="1"/>
  <c r="A5277" i="1"/>
  <c r="P5277" i="1"/>
  <c r="A5278" i="1"/>
  <c r="P5278" i="1"/>
  <c r="A5279" i="1"/>
  <c r="P5279" i="1"/>
  <c r="A5280" i="1"/>
  <c r="P5280" i="1"/>
  <c r="A5281" i="1"/>
  <c r="P5281" i="1"/>
  <c r="A5282" i="1"/>
  <c r="P5282" i="1"/>
  <c r="A5283" i="1"/>
  <c r="P5283" i="1"/>
  <c r="A5284" i="1"/>
  <c r="P5284" i="1"/>
  <c r="A5285" i="1"/>
  <c r="P5285" i="1"/>
  <c r="A5286" i="1"/>
  <c r="P5286" i="1"/>
  <c r="A5287" i="1"/>
  <c r="P5287" i="1"/>
  <c r="A5288" i="1"/>
  <c r="P5288" i="1"/>
  <c r="A5289" i="1"/>
  <c r="P5289" i="1"/>
  <c r="A5290" i="1"/>
  <c r="P5290" i="1"/>
  <c r="A5291" i="1"/>
  <c r="P5291" i="1"/>
  <c r="A5292" i="1"/>
  <c r="P5292" i="1"/>
  <c r="A5293" i="1"/>
  <c r="P5293" i="1"/>
  <c r="A5294" i="1"/>
  <c r="P5294" i="1"/>
  <c r="A5295" i="1"/>
  <c r="P5295" i="1"/>
  <c r="A5296" i="1"/>
  <c r="P5296" i="1"/>
  <c r="A5297" i="1"/>
  <c r="P5297" i="1"/>
  <c r="A5298" i="1"/>
  <c r="P5298" i="1"/>
  <c r="A5299" i="1"/>
  <c r="P5299" i="1"/>
  <c r="A5300" i="1"/>
  <c r="P5300" i="1"/>
  <c r="A5301" i="1"/>
  <c r="P5301" i="1"/>
  <c r="A5302" i="1"/>
  <c r="P5302" i="1"/>
  <c r="A5303" i="1"/>
  <c r="P5303" i="1"/>
  <c r="A5304" i="1"/>
  <c r="P5304" i="1"/>
  <c r="A5305" i="1"/>
  <c r="P5305" i="1"/>
  <c r="A5306" i="1"/>
  <c r="P5306" i="1"/>
  <c r="A5307" i="1"/>
  <c r="P5307" i="1"/>
  <c r="A5308" i="1"/>
  <c r="P5308" i="1"/>
  <c r="A5309" i="1"/>
  <c r="P5309" i="1"/>
  <c r="A5310" i="1"/>
  <c r="P5310" i="1"/>
  <c r="A5311" i="1"/>
  <c r="P5311" i="1"/>
  <c r="A5312" i="1"/>
  <c r="P5312" i="1"/>
  <c r="A5313" i="1"/>
  <c r="P5313" i="1"/>
  <c r="A5314" i="1"/>
  <c r="P5314" i="1"/>
  <c r="A5315" i="1"/>
  <c r="P5315" i="1"/>
  <c r="A5316" i="1"/>
  <c r="P5316" i="1"/>
  <c r="A5317" i="1"/>
  <c r="P5317" i="1"/>
  <c r="A5318" i="1"/>
  <c r="P5318" i="1"/>
  <c r="A5319" i="1"/>
  <c r="P5319" i="1"/>
  <c r="A5320" i="1"/>
  <c r="P5320" i="1"/>
  <c r="A5321" i="1"/>
  <c r="P5321" i="1"/>
  <c r="A5322" i="1"/>
  <c r="P5322" i="1"/>
  <c r="A5323" i="1"/>
  <c r="P5323" i="1"/>
  <c r="A5324" i="1"/>
  <c r="P5324" i="1"/>
  <c r="A5325" i="1"/>
  <c r="P5325" i="1"/>
  <c r="A5326" i="1"/>
  <c r="P5326" i="1"/>
  <c r="A5327" i="1"/>
  <c r="P5327" i="1"/>
  <c r="A5328" i="1"/>
  <c r="P5328" i="1"/>
  <c r="A5329" i="1"/>
  <c r="P5329" i="1"/>
  <c r="A5330" i="1"/>
  <c r="P5330" i="1"/>
  <c r="A5331" i="1"/>
  <c r="P5331" i="1"/>
  <c r="A5332" i="1"/>
  <c r="P5332" i="1"/>
  <c r="A5333" i="1"/>
  <c r="P5333" i="1"/>
  <c r="A5334" i="1"/>
  <c r="P5334" i="1"/>
  <c r="A5335" i="1"/>
  <c r="P5335" i="1"/>
  <c r="A5336" i="1"/>
  <c r="P5336" i="1"/>
  <c r="A5337" i="1"/>
  <c r="P5337" i="1"/>
  <c r="A5338" i="1"/>
  <c r="P5338" i="1"/>
  <c r="A5339" i="1"/>
  <c r="P5339" i="1"/>
  <c r="A5340" i="1"/>
  <c r="P5340" i="1"/>
  <c r="A5341" i="1"/>
  <c r="P5341" i="1"/>
  <c r="A5342" i="1"/>
  <c r="P5342" i="1"/>
  <c r="A5343" i="1"/>
  <c r="P5343" i="1"/>
  <c r="A5344" i="1"/>
  <c r="P5344" i="1"/>
  <c r="A5345" i="1"/>
  <c r="P5345" i="1"/>
  <c r="A5346" i="1"/>
  <c r="P5346" i="1"/>
  <c r="A5347" i="1"/>
  <c r="P5347" i="1"/>
  <c r="A5348" i="1"/>
  <c r="P5348" i="1"/>
  <c r="A5349" i="1"/>
  <c r="P5349" i="1"/>
  <c r="A5350" i="1"/>
  <c r="P5350" i="1"/>
  <c r="A5351" i="1"/>
  <c r="P5351" i="1"/>
  <c r="A5352" i="1"/>
  <c r="P5352" i="1"/>
  <c r="A5353" i="1"/>
  <c r="P5353" i="1"/>
  <c r="A5354" i="1"/>
  <c r="P5354" i="1"/>
  <c r="A5355" i="1"/>
  <c r="P5355" i="1"/>
  <c r="A5356" i="1"/>
  <c r="P5356" i="1"/>
  <c r="A5357" i="1"/>
  <c r="P5357" i="1"/>
  <c r="A5358" i="1"/>
  <c r="P5358" i="1"/>
  <c r="A5359" i="1"/>
  <c r="P5359" i="1"/>
  <c r="A5360" i="1"/>
  <c r="P5360" i="1"/>
  <c r="A5361" i="1"/>
  <c r="P5361" i="1"/>
  <c r="A5362" i="1"/>
  <c r="P5362" i="1"/>
  <c r="A5363" i="1"/>
  <c r="P5363" i="1"/>
  <c r="A5364" i="1"/>
  <c r="P5364" i="1"/>
  <c r="A5365" i="1"/>
  <c r="P5365" i="1"/>
  <c r="A5366" i="1"/>
  <c r="P5366" i="1"/>
  <c r="A5367" i="1"/>
  <c r="P5367" i="1"/>
  <c r="A5368" i="1"/>
  <c r="P5368" i="1"/>
  <c r="A5369" i="1"/>
  <c r="P5369" i="1"/>
  <c r="A5370" i="1"/>
  <c r="P5370" i="1"/>
  <c r="A5371" i="1"/>
  <c r="P5371" i="1"/>
  <c r="A5372" i="1"/>
  <c r="P5372" i="1"/>
  <c r="A5373" i="1"/>
  <c r="P5373" i="1"/>
  <c r="A5374" i="1"/>
  <c r="P5374" i="1"/>
  <c r="A5375" i="1"/>
  <c r="P5375" i="1"/>
  <c r="A5376" i="1"/>
  <c r="P5376" i="1"/>
  <c r="A5377" i="1"/>
  <c r="P5377" i="1"/>
  <c r="A5378" i="1"/>
  <c r="P5378" i="1"/>
  <c r="A5379" i="1"/>
  <c r="P5379" i="1"/>
  <c r="A5380" i="1"/>
  <c r="P5380" i="1"/>
  <c r="A5381" i="1"/>
  <c r="P5381" i="1"/>
  <c r="A5382" i="1"/>
  <c r="P5382" i="1"/>
  <c r="A5383" i="1"/>
  <c r="P5383" i="1"/>
  <c r="A5384" i="1"/>
  <c r="P5384" i="1"/>
  <c r="A5385" i="1"/>
  <c r="P5385" i="1"/>
  <c r="A5386" i="1"/>
  <c r="P5386" i="1"/>
  <c r="A5387" i="1"/>
  <c r="P5387" i="1"/>
  <c r="A5388" i="1"/>
  <c r="P5388" i="1"/>
  <c r="A5389" i="1"/>
  <c r="P5389" i="1"/>
  <c r="A5390" i="1"/>
  <c r="P5390" i="1"/>
  <c r="A5391" i="1"/>
  <c r="P5391" i="1"/>
  <c r="A5392" i="1"/>
  <c r="P5392" i="1"/>
  <c r="A5393" i="1"/>
  <c r="P5393" i="1"/>
  <c r="A5394" i="1"/>
  <c r="P5394" i="1"/>
  <c r="A5395" i="1"/>
  <c r="P5395" i="1"/>
  <c r="A5396" i="1"/>
  <c r="P5396" i="1"/>
  <c r="A5397" i="1"/>
  <c r="P5397" i="1"/>
  <c r="A5398" i="1"/>
  <c r="P5398" i="1"/>
  <c r="A5399" i="1"/>
  <c r="P5399" i="1"/>
  <c r="A5400" i="1"/>
  <c r="P5400" i="1"/>
  <c r="A5401" i="1"/>
  <c r="P5401" i="1"/>
  <c r="A5402" i="1"/>
  <c r="P5402" i="1"/>
  <c r="A5403" i="1"/>
  <c r="P5403" i="1"/>
  <c r="A5404" i="1"/>
  <c r="P5404" i="1"/>
  <c r="A5405" i="1"/>
  <c r="P5405" i="1"/>
  <c r="A5406" i="1"/>
  <c r="P5406" i="1"/>
  <c r="A5407" i="1"/>
  <c r="P5407" i="1"/>
  <c r="A5408" i="1"/>
  <c r="P5408" i="1"/>
  <c r="A5409" i="1"/>
  <c r="P5409" i="1"/>
  <c r="A5410" i="1"/>
  <c r="P5410" i="1"/>
  <c r="A5411" i="1"/>
  <c r="P5411" i="1"/>
  <c r="A5412" i="1"/>
  <c r="P5412" i="1"/>
  <c r="A5413" i="1"/>
  <c r="P5413" i="1"/>
  <c r="A5414" i="1"/>
  <c r="P5414" i="1"/>
  <c r="A5415" i="1"/>
  <c r="P5415" i="1"/>
  <c r="A5416" i="1"/>
  <c r="P5416" i="1"/>
  <c r="A5417" i="1"/>
  <c r="P5417" i="1"/>
  <c r="A5418" i="1"/>
  <c r="P5418" i="1"/>
  <c r="A5419" i="1"/>
  <c r="P5419" i="1"/>
  <c r="A5420" i="1"/>
  <c r="P5420" i="1"/>
  <c r="A5421" i="1"/>
  <c r="P5421" i="1"/>
  <c r="A5422" i="1"/>
  <c r="P5422" i="1"/>
  <c r="A5423" i="1"/>
  <c r="P5423" i="1"/>
  <c r="A5424" i="1"/>
  <c r="P5424" i="1"/>
  <c r="A5425" i="1"/>
  <c r="P5425" i="1"/>
  <c r="A5426" i="1"/>
  <c r="P5426" i="1"/>
  <c r="A5427" i="1"/>
  <c r="P5427" i="1"/>
  <c r="A5428" i="1"/>
  <c r="P5428" i="1"/>
  <c r="A5429" i="1"/>
  <c r="P5429" i="1"/>
  <c r="A5430" i="1"/>
  <c r="P5430" i="1"/>
  <c r="A5431" i="1"/>
  <c r="P5431" i="1"/>
  <c r="A5432" i="1"/>
  <c r="P5432" i="1"/>
  <c r="A5433" i="1"/>
  <c r="P5433" i="1"/>
  <c r="A5434" i="1"/>
  <c r="P5434" i="1"/>
  <c r="A5435" i="1"/>
  <c r="P5435" i="1"/>
  <c r="A5436" i="1"/>
  <c r="P5436" i="1"/>
  <c r="A5437" i="1"/>
  <c r="P5437" i="1"/>
  <c r="A5438" i="1"/>
  <c r="P5438" i="1"/>
  <c r="A5439" i="1"/>
  <c r="P5439" i="1"/>
  <c r="A5440" i="1"/>
  <c r="P5440" i="1"/>
  <c r="A5441" i="1"/>
  <c r="P5441" i="1"/>
  <c r="A5442" i="1"/>
  <c r="P5442" i="1"/>
  <c r="A5443" i="1"/>
  <c r="P5443" i="1"/>
  <c r="A5444" i="1"/>
  <c r="P5444" i="1"/>
  <c r="A5445" i="1"/>
  <c r="P5445" i="1"/>
  <c r="A5446" i="1"/>
  <c r="P5446" i="1"/>
  <c r="A5447" i="1"/>
  <c r="P5447" i="1"/>
  <c r="A5448" i="1"/>
  <c r="P5448" i="1"/>
  <c r="A5449" i="1"/>
  <c r="P5449" i="1"/>
  <c r="A5450" i="1"/>
  <c r="P5450" i="1"/>
  <c r="A5451" i="1"/>
  <c r="P5451" i="1"/>
  <c r="A5452" i="1"/>
  <c r="P5452" i="1"/>
  <c r="A5453" i="1"/>
  <c r="P5453" i="1"/>
  <c r="A5454" i="1"/>
  <c r="P5454" i="1"/>
  <c r="A5455" i="1"/>
  <c r="P5455" i="1"/>
  <c r="A5456" i="1"/>
  <c r="P5456" i="1"/>
  <c r="A5457" i="1"/>
  <c r="P5457" i="1"/>
  <c r="A5458" i="1"/>
  <c r="P5458" i="1"/>
  <c r="A5459" i="1"/>
  <c r="P5459" i="1"/>
  <c r="A5460" i="1"/>
  <c r="P5460" i="1"/>
  <c r="A5461" i="1"/>
  <c r="P5461" i="1"/>
  <c r="A5462" i="1"/>
  <c r="P5462" i="1"/>
  <c r="A5463" i="1"/>
  <c r="P5463" i="1"/>
  <c r="A5464" i="1"/>
  <c r="P5464" i="1"/>
  <c r="A5465" i="1"/>
  <c r="P5465" i="1"/>
  <c r="A5466" i="1"/>
  <c r="P5466" i="1"/>
  <c r="A5467" i="1"/>
  <c r="P5467" i="1"/>
  <c r="A5468" i="1"/>
  <c r="P5468" i="1"/>
  <c r="A5469" i="1"/>
  <c r="P5469" i="1"/>
  <c r="A5470" i="1"/>
  <c r="P5470" i="1"/>
  <c r="A5471" i="1"/>
  <c r="P5471" i="1"/>
  <c r="A5472" i="1"/>
  <c r="P5472" i="1"/>
  <c r="A5473" i="1"/>
  <c r="P5473" i="1"/>
  <c r="A5474" i="1"/>
  <c r="P5474" i="1"/>
  <c r="A5475" i="1"/>
  <c r="P5475" i="1"/>
  <c r="A5476" i="1"/>
  <c r="P5476" i="1"/>
  <c r="A5477" i="1"/>
  <c r="P5477" i="1"/>
  <c r="A5478" i="1"/>
  <c r="P5478" i="1"/>
  <c r="A5479" i="1"/>
  <c r="P5479" i="1"/>
  <c r="A5480" i="1"/>
  <c r="P5480" i="1"/>
  <c r="A5481" i="1"/>
  <c r="P5481" i="1"/>
  <c r="A5482" i="1"/>
  <c r="P5482" i="1"/>
  <c r="A5483" i="1"/>
  <c r="P5483" i="1"/>
  <c r="A5484" i="1"/>
  <c r="P5484" i="1"/>
  <c r="A5485" i="1"/>
  <c r="P5485" i="1"/>
  <c r="A5486" i="1"/>
  <c r="P5486" i="1"/>
  <c r="A5487" i="1"/>
  <c r="P5487" i="1"/>
  <c r="A5488" i="1"/>
  <c r="P5488" i="1"/>
  <c r="A5489" i="1"/>
  <c r="P5489" i="1"/>
  <c r="A5490" i="1"/>
  <c r="P5490" i="1"/>
  <c r="A5491" i="1"/>
  <c r="P5491" i="1"/>
  <c r="A5492" i="1"/>
  <c r="P5492" i="1"/>
  <c r="A5493" i="1"/>
  <c r="P5493" i="1"/>
  <c r="A5494" i="1"/>
  <c r="P5494" i="1"/>
  <c r="A5495" i="1"/>
  <c r="P5495" i="1"/>
  <c r="A5496" i="1"/>
  <c r="P5496" i="1"/>
  <c r="A5497" i="1"/>
  <c r="P5497" i="1"/>
  <c r="A5498" i="1"/>
  <c r="P5498" i="1"/>
  <c r="A5499" i="1"/>
  <c r="P5499" i="1"/>
  <c r="A5500" i="1"/>
  <c r="P5500" i="1"/>
  <c r="A5501" i="1"/>
  <c r="P5501" i="1"/>
  <c r="A5502" i="1"/>
  <c r="P5502" i="1"/>
  <c r="A5503" i="1"/>
  <c r="P5503" i="1"/>
  <c r="A5504" i="1"/>
  <c r="P5504" i="1"/>
  <c r="A5505" i="1"/>
  <c r="P5505" i="1"/>
  <c r="A5506" i="1"/>
  <c r="P5506" i="1"/>
  <c r="A5507" i="1"/>
  <c r="P5507" i="1"/>
  <c r="A5508" i="1"/>
  <c r="P5508" i="1"/>
  <c r="A5509" i="1"/>
  <c r="P5509" i="1"/>
  <c r="A5510" i="1"/>
  <c r="P5510" i="1"/>
  <c r="A5511" i="1"/>
  <c r="P5511" i="1"/>
  <c r="A5512" i="1"/>
  <c r="P5512" i="1"/>
  <c r="A5513" i="1"/>
  <c r="P5513" i="1"/>
  <c r="A5514" i="1"/>
  <c r="P5514" i="1"/>
  <c r="A5515" i="1"/>
  <c r="P5515" i="1"/>
  <c r="A5516" i="1"/>
  <c r="P5516" i="1"/>
  <c r="A5517" i="1"/>
  <c r="P5517" i="1"/>
  <c r="A5518" i="1"/>
  <c r="P5518" i="1"/>
  <c r="A5519" i="1"/>
  <c r="P5519" i="1"/>
  <c r="A5520" i="1"/>
  <c r="P5520" i="1"/>
  <c r="A5521" i="1"/>
  <c r="P5521" i="1"/>
  <c r="A5522" i="1"/>
  <c r="P5522" i="1"/>
  <c r="A5523" i="1"/>
  <c r="P5523" i="1"/>
  <c r="A5524" i="1"/>
  <c r="P5524" i="1"/>
  <c r="A5525" i="1"/>
  <c r="P5525" i="1"/>
  <c r="A5526" i="1"/>
  <c r="P5526" i="1"/>
  <c r="A5527" i="1"/>
  <c r="P5527" i="1"/>
  <c r="A5528" i="1"/>
  <c r="P5528" i="1"/>
  <c r="A5529" i="1"/>
  <c r="P5529" i="1"/>
  <c r="A5530" i="1"/>
  <c r="P5530" i="1"/>
  <c r="A5531" i="1"/>
  <c r="P5531" i="1"/>
  <c r="A5532" i="1"/>
  <c r="P5532" i="1"/>
  <c r="A5533" i="1"/>
  <c r="P5533" i="1"/>
  <c r="A5534" i="1"/>
  <c r="P5534" i="1"/>
  <c r="A5535" i="1"/>
  <c r="P5535" i="1"/>
  <c r="A5536" i="1"/>
  <c r="P5536" i="1"/>
  <c r="A5537" i="1"/>
  <c r="P5537" i="1"/>
  <c r="A5538" i="1"/>
  <c r="P5538" i="1"/>
  <c r="A5539" i="1"/>
  <c r="P5539" i="1"/>
  <c r="A5540" i="1"/>
  <c r="P5540" i="1"/>
  <c r="A5541" i="1"/>
  <c r="P5541" i="1"/>
  <c r="A5542" i="1"/>
  <c r="P5542" i="1"/>
  <c r="A5543" i="1"/>
  <c r="P5543" i="1"/>
  <c r="A5544" i="1"/>
  <c r="P5544" i="1"/>
  <c r="A5545" i="1"/>
  <c r="P5545" i="1"/>
  <c r="A5546" i="1"/>
  <c r="P5546" i="1"/>
  <c r="A5547" i="1"/>
  <c r="P5547" i="1"/>
  <c r="A5548" i="1"/>
  <c r="P5548" i="1"/>
  <c r="A5549" i="1"/>
  <c r="P5549" i="1"/>
  <c r="A5550" i="1"/>
  <c r="P5550" i="1"/>
  <c r="A5551" i="1"/>
  <c r="P5551" i="1"/>
  <c r="A5552" i="1"/>
  <c r="P5552" i="1"/>
  <c r="A5553" i="1"/>
  <c r="P5553" i="1"/>
  <c r="A5554" i="1"/>
  <c r="P5554" i="1"/>
  <c r="A5555" i="1"/>
  <c r="P5555" i="1"/>
  <c r="A5556" i="1"/>
  <c r="P5556" i="1"/>
  <c r="A5557" i="1"/>
  <c r="P5557" i="1"/>
  <c r="A5558" i="1"/>
  <c r="P5558" i="1"/>
  <c r="A5559" i="1"/>
  <c r="P5559" i="1"/>
  <c r="A5560" i="1"/>
  <c r="P5560" i="1"/>
  <c r="A5561" i="1"/>
  <c r="P5561" i="1"/>
  <c r="A5562" i="1"/>
  <c r="P5562" i="1"/>
  <c r="A5563" i="1"/>
  <c r="P5563" i="1"/>
  <c r="A5564" i="1"/>
  <c r="P5564" i="1"/>
  <c r="A5565" i="1"/>
  <c r="P5565" i="1"/>
  <c r="A5566" i="1"/>
  <c r="P5566" i="1"/>
  <c r="A5567" i="1"/>
  <c r="P5567" i="1"/>
  <c r="A5568" i="1"/>
  <c r="P5568" i="1"/>
  <c r="A5569" i="1"/>
  <c r="P5569" i="1"/>
  <c r="A5570" i="1"/>
  <c r="P5570" i="1"/>
  <c r="A5571" i="1"/>
  <c r="P5571" i="1"/>
  <c r="A5572" i="1"/>
  <c r="P5572" i="1"/>
  <c r="A5573" i="1"/>
  <c r="P5573" i="1"/>
  <c r="A5574" i="1"/>
  <c r="P5574" i="1"/>
  <c r="A5575" i="1"/>
  <c r="P5575" i="1"/>
  <c r="A5576" i="1"/>
  <c r="P5576" i="1"/>
  <c r="A5577" i="1"/>
  <c r="P5577" i="1"/>
  <c r="A5578" i="1"/>
  <c r="P5578" i="1"/>
  <c r="A5579" i="1"/>
  <c r="P5579" i="1"/>
  <c r="A5580" i="1"/>
  <c r="P5580" i="1"/>
  <c r="A5581" i="1"/>
  <c r="P5581" i="1"/>
  <c r="A5582" i="1"/>
  <c r="P5582" i="1"/>
  <c r="A5583" i="1"/>
  <c r="P5583" i="1"/>
  <c r="A5584" i="1"/>
  <c r="P5584" i="1"/>
  <c r="A5585" i="1"/>
  <c r="P5585" i="1"/>
  <c r="A5586" i="1"/>
  <c r="P5586" i="1"/>
  <c r="A5587" i="1"/>
  <c r="P5587" i="1"/>
  <c r="A5588" i="1"/>
  <c r="P5588" i="1"/>
  <c r="A5589" i="1"/>
  <c r="P5589" i="1"/>
  <c r="A5590" i="1"/>
  <c r="P5590" i="1"/>
  <c r="A5591" i="1"/>
  <c r="P5591" i="1"/>
  <c r="A5592" i="1"/>
  <c r="P5592" i="1"/>
  <c r="A5593" i="1"/>
  <c r="P5593" i="1"/>
  <c r="A5594" i="1"/>
  <c r="P5594" i="1"/>
  <c r="A5595" i="1"/>
  <c r="P5595" i="1"/>
  <c r="A5596" i="1"/>
  <c r="P5596" i="1"/>
  <c r="A5597" i="1"/>
  <c r="P5597" i="1"/>
  <c r="A5598" i="1"/>
  <c r="P5598" i="1"/>
  <c r="A5599" i="1"/>
  <c r="P5599" i="1"/>
  <c r="A5600" i="1"/>
  <c r="P5600" i="1"/>
  <c r="A5601" i="1"/>
  <c r="P5601" i="1"/>
  <c r="A5602" i="1"/>
  <c r="P5602" i="1"/>
  <c r="A5603" i="1"/>
  <c r="P5603" i="1"/>
  <c r="A5604" i="1"/>
  <c r="P5604" i="1"/>
  <c r="A5605" i="1"/>
  <c r="P5605" i="1"/>
  <c r="A5606" i="1"/>
  <c r="P5606" i="1"/>
  <c r="A5607" i="1"/>
  <c r="P5607" i="1"/>
  <c r="A5608" i="1"/>
  <c r="P5608" i="1"/>
  <c r="A5609" i="1"/>
  <c r="P5609" i="1"/>
  <c r="A5610" i="1"/>
  <c r="P5610" i="1"/>
  <c r="A5611" i="1"/>
  <c r="P5611" i="1"/>
  <c r="A5612" i="1"/>
  <c r="P5612" i="1"/>
  <c r="A5613" i="1"/>
  <c r="P5613" i="1"/>
  <c r="A5614" i="1"/>
  <c r="P5614" i="1"/>
  <c r="A5615" i="1"/>
  <c r="P5615" i="1"/>
  <c r="A5616" i="1"/>
  <c r="P5616" i="1"/>
  <c r="A5617" i="1"/>
  <c r="P5617" i="1"/>
  <c r="A5618" i="1"/>
  <c r="P5618" i="1"/>
  <c r="A5619" i="1"/>
  <c r="P5619" i="1"/>
  <c r="A5620" i="1"/>
  <c r="P5620" i="1"/>
  <c r="A5621" i="1"/>
  <c r="P5621" i="1"/>
  <c r="A5622" i="1"/>
  <c r="P5622" i="1"/>
  <c r="A5623" i="1"/>
  <c r="P5623" i="1"/>
  <c r="A5624" i="1"/>
  <c r="P5624" i="1"/>
  <c r="A5625" i="1"/>
  <c r="P5625" i="1"/>
  <c r="A5626" i="1"/>
  <c r="P5626" i="1"/>
  <c r="A5627" i="1"/>
  <c r="P5627" i="1"/>
  <c r="A5628" i="1"/>
  <c r="P5628" i="1"/>
  <c r="A5629" i="1"/>
  <c r="P5629" i="1"/>
  <c r="A5630" i="1"/>
  <c r="P5630" i="1"/>
  <c r="A5631" i="1"/>
  <c r="P5631" i="1"/>
  <c r="A5632" i="1"/>
  <c r="P5632" i="1"/>
  <c r="A5633" i="1"/>
  <c r="P5633" i="1"/>
  <c r="A5634" i="1"/>
  <c r="P5634" i="1"/>
  <c r="A5635" i="1"/>
  <c r="P5635" i="1"/>
  <c r="A5636" i="1"/>
  <c r="P5636" i="1"/>
  <c r="A5637" i="1"/>
  <c r="P5637" i="1"/>
  <c r="A5638" i="1"/>
  <c r="P5638" i="1"/>
  <c r="A5639" i="1"/>
  <c r="P5639" i="1"/>
  <c r="A5640" i="1"/>
  <c r="P5640" i="1"/>
  <c r="A5641" i="1"/>
  <c r="P5641" i="1"/>
  <c r="A5642" i="1"/>
  <c r="P5642" i="1"/>
  <c r="A5643" i="1"/>
  <c r="P5643" i="1"/>
  <c r="A5644" i="1"/>
  <c r="P5644" i="1"/>
  <c r="A5645" i="1"/>
  <c r="P5645" i="1"/>
  <c r="A5646" i="1"/>
  <c r="P5646" i="1"/>
  <c r="A5647" i="1"/>
  <c r="P5647" i="1"/>
  <c r="A5648" i="1"/>
  <c r="P5648" i="1"/>
  <c r="A5649" i="1"/>
  <c r="P5649" i="1"/>
  <c r="A5650" i="1"/>
  <c r="P5650" i="1"/>
  <c r="A5651" i="1"/>
  <c r="P5651" i="1"/>
  <c r="A5652" i="1"/>
  <c r="P5652" i="1"/>
  <c r="A5653" i="1"/>
  <c r="P5653" i="1"/>
  <c r="A5654" i="1"/>
  <c r="P5654" i="1"/>
  <c r="A5655" i="1"/>
  <c r="P5655" i="1"/>
  <c r="A5656" i="1"/>
  <c r="P5656" i="1"/>
  <c r="A5657" i="1"/>
  <c r="P5657" i="1"/>
  <c r="A5658" i="1"/>
  <c r="P5658" i="1"/>
  <c r="A5659" i="1"/>
  <c r="P5659" i="1"/>
  <c r="A5660" i="1"/>
  <c r="P5660" i="1"/>
  <c r="A5661" i="1"/>
  <c r="P5661" i="1"/>
  <c r="A5662" i="1"/>
  <c r="P5662" i="1"/>
  <c r="A5663" i="1"/>
  <c r="P5663" i="1"/>
  <c r="A5664" i="1"/>
  <c r="P5664" i="1"/>
  <c r="A5665" i="1"/>
  <c r="P5665" i="1"/>
  <c r="A5666" i="1"/>
  <c r="P5666" i="1"/>
  <c r="A5667" i="1"/>
  <c r="P5667" i="1"/>
  <c r="A5668" i="1"/>
  <c r="P5668" i="1"/>
  <c r="A5669" i="1"/>
  <c r="P5669" i="1"/>
  <c r="A5670" i="1"/>
  <c r="P5670" i="1"/>
  <c r="A5671" i="1"/>
  <c r="P5671" i="1"/>
  <c r="A5672" i="1"/>
  <c r="P5672" i="1"/>
  <c r="A5673" i="1"/>
  <c r="P5673" i="1"/>
  <c r="A5674" i="1"/>
  <c r="P5674" i="1"/>
  <c r="A5675" i="1"/>
  <c r="P5675" i="1"/>
  <c r="A5676" i="1"/>
  <c r="P5676" i="1"/>
  <c r="A5677" i="1"/>
  <c r="P5677" i="1"/>
  <c r="A5678" i="1"/>
  <c r="P5678" i="1"/>
  <c r="A5679" i="1"/>
  <c r="P5679" i="1"/>
  <c r="A5680" i="1"/>
  <c r="P5680" i="1"/>
  <c r="A5681" i="1"/>
  <c r="P5681" i="1"/>
  <c r="A5682" i="1"/>
  <c r="P5682" i="1"/>
  <c r="A5683" i="1"/>
  <c r="P5683" i="1"/>
  <c r="A5684" i="1"/>
  <c r="P5684" i="1"/>
  <c r="A5685" i="1"/>
  <c r="P5685" i="1"/>
  <c r="A5686" i="1"/>
  <c r="P5686" i="1"/>
  <c r="A5687" i="1"/>
  <c r="P5687" i="1"/>
  <c r="A5688" i="1"/>
  <c r="P5688" i="1"/>
  <c r="A5689" i="1"/>
  <c r="P5689" i="1"/>
  <c r="A5690" i="1"/>
  <c r="P5690" i="1"/>
  <c r="A5691" i="1"/>
  <c r="P5691" i="1"/>
  <c r="A5692" i="1"/>
  <c r="P5692" i="1"/>
  <c r="A5693" i="1"/>
  <c r="P5693" i="1"/>
  <c r="A5694" i="1"/>
  <c r="P5694" i="1"/>
  <c r="A5695" i="1"/>
  <c r="P5695" i="1"/>
  <c r="A5696" i="1"/>
  <c r="P5696" i="1"/>
  <c r="A5697" i="1"/>
  <c r="P5697" i="1"/>
  <c r="A5698" i="1"/>
  <c r="P5698" i="1"/>
  <c r="A5699" i="1"/>
  <c r="P5699" i="1"/>
  <c r="A5700" i="1"/>
  <c r="P5700" i="1"/>
  <c r="A5701" i="1"/>
  <c r="P5701" i="1"/>
  <c r="A5702" i="1"/>
  <c r="P5702" i="1"/>
  <c r="A5703" i="1"/>
  <c r="P5703" i="1"/>
  <c r="A5704" i="1"/>
  <c r="P5704" i="1"/>
  <c r="A5705" i="1"/>
  <c r="P5705" i="1"/>
  <c r="A5706" i="1"/>
  <c r="P5706" i="1"/>
  <c r="A5707" i="1"/>
  <c r="P5707" i="1"/>
  <c r="A5708" i="1"/>
  <c r="P5708" i="1"/>
  <c r="A5709" i="1"/>
  <c r="P5709" i="1"/>
  <c r="A5710" i="1"/>
  <c r="P5710" i="1"/>
  <c r="A5711" i="1"/>
  <c r="P5711" i="1"/>
  <c r="A5712" i="1"/>
  <c r="P5712" i="1"/>
  <c r="A5713" i="1"/>
  <c r="P5713" i="1"/>
  <c r="A5714" i="1"/>
  <c r="P5714" i="1"/>
  <c r="A5715" i="1"/>
  <c r="P5715" i="1"/>
  <c r="A5716" i="1"/>
  <c r="P5716" i="1"/>
  <c r="A5717" i="1"/>
  <c r="P5717" i="1"/>
  <c r="A5718" i="1"/>
  <c r="P5718" i="1"/>
  <c r="A5719" i="1"/>
  <c r="P5719" i="1"/>
  <c r="A5720" i="1"/>
  <c r="P5720" i="1"/>
  <c r="A5721" i="1"/>
  <c r="P5721" i="1"/>
  <c r="A5722" i="1"/>
  <c r="P5722" i="1"/>
  <c r="A5723" i="1"/>
  <c r="P5723" i="1"/>
  <c r="A5724" i="1"/>
  <c r="P5724" i="1"/>
  <c r="A5725" i="1"/>
  <c r="P5725" i="1"/>
  <c r="A5726" i="1"/>
  <c r="P5726" i="1"/>
  <c r="A5727" i="1"/>
  <c r="P5727" i="1"/>
  <c r="A5728" i="1"/>
  <c r="P5728" i="1"/>
  <c r="A5729" i="1"/>
  <c r="P5729" i="1"/>
  <c r="A5730" i="1"/>
  <c r="P5730" i="1"/>
  <c r="A5731" i="1"/>
  <c r="P5731" i="1"/>
  <c r="A5732" i="1"/>
  <c r="P5732" i="1"/>
  <c r="A5733" i="1"/>
  <c r="P5733" i="1"/>
  <c r="A5734" i="1"/>
  <c r="P5734" i="1"/>
  <c r="A5735" i="1"/>
  <c r="P5735" i="1"/>
  <c r="A5736" i="1"/>
  <c r="P5736" i="1"/>
  <c r="A5737" i="1"/>
  <c r="P5737" i="1"/>
  <c r="A5738" i="1"/>
  <c r="P5738" i="1"/>
  <c r="A5739" i="1"/>
  <c r="P5739" i="1"/>
  <c r="A5740" i="1"/>
  <c r="P5740" i="1"/>
  <c r="A5741" i="1"/>
  <c r="P5741" i="1"/>
  <c r="A5742" i="1"/>
  <c r="P5742" i="1"/>
  <c r="A5743" i="1"/>
  <c r="P5743" i="1"/>
  <c r="A5744" i="1"/>
  <c r="P5744" i="1"/>
  <c r="A5745" i="1"/>
  <c r="P5745" i="1"/>
  <c r="A5746" i="1"/>
  <c r="P5746" i="1"/>
  <c r="A5747" i="1"/>
  <c r="P5747" i="1"/>
  <c r="A5748" i="1"/>
  <c r="P5748" i="1"/>
  <c r="A5749" i="1"/>
  <c r="P5749" i="1"/>
  <c r="A5750" i="1"/>
  <c r="P5750" i="1"/>
  <c r="A5751" i="1"/>
  <c r="P5751" i="1"/>
  <c r="A5752" i="1"/>
  <c r="P5752" i="1"/>
  <c r="A5753" i="1"/>
  <c r="P5753" i="1"/>
  <c r="A5754" i="1"/>
  <c r="P5754" i="1"/>
  <c r="A5755" i="1"/>
  <c r="P5755" i="1"/>
  <c r="A5756" i="1"/>
  <c r="P5756" i="1"/>
  <c r="A5757" i="1"/>
  <c r="P5757" i="1"/>
  <c r="A5758" i="1"/>
  <c r="P5758" i="1"/>
  <c r="A5759" i="1"/>
  <c r="P5759" i="1"/>
  <c r="A5760" i="1"/>
  <c r="P5760" i="1"/>
  <c r="A5761" i="1"/>
  <c r="P5761" i="1"/>
  <c r="A5762" i="1"/>
  <c r="P5762" i="1"/>
  <c r="A5763" i="1"/>
  <c r="P5763" i="1"/>
  <c r="A5764" i="1"/>
  <c r="P5764" i="1"/>
  <c r="A5765" i="1"/>
  <c r="P5765" i="1"/>
  <c r="A5766" i="1"/>
  <c r="P5766" i="1"/>
  <c r="A5767" i="1"/>
  <c r="P5767" i="1"/>
  <c r="A5768" i="1"/>
  <c r="P5768" i="1"/>
  <c r="A5769" i="1"/>
  <c r="P5769" i="1"/>
  <c r="A5770" i="1"/>
  <c r="P5770" i="1"/>
  <c r="A5771" i="1"/>
  <c r="P5771" i="1"/>
  <c r="A5772" i="1"/>
  <c r="P5772" i="1"/>
  <c r="A5773" i="1"/>
  <c r="P5773" i="1"/>
  <c r="A5774" i="1"/>
  <c r="P5774" i="1"/>
  <c r="A5775" i="1"/>
  <c r="P5775" i="1"/>
  <c r="A5776" i="1"/>
  <c r="P5776" i="1"/>
  <c r="A5777" i="1"/>
  <c r="P5777" i="1"/>
  <c r="A5778" i="1"/>
  <c r="P5778" i="1"/>
  <c r="A5779" i="1"/>
  <c r="P5779" i="1"/>
  <c r="A5780" i="1"/>
  <c r="P5780" i="1"/>
  <c r="A5781" i="1"/>
  <c r="P5781" i="1"/>
  <c r="A5782" i="1"/>
  <c r="P5782" i="1"/>
  <c r="A5783" i="1"/>
  <c r="P5783" i="1"/>
  <c r="A5784" i="1"/>
  <c r="P5784" i="1"/>
  <c r="A5785" i="1"/>
  <c r="P5785" i="1"/>
  <c r="A5786" i="1"/>
  <c r="P5786" i="1"/>
  <c r="A5787" i="1"/>
  <c r="P5787" i="1"/>
  <c r="A5788" i="1"/>
  <c r="P5788" i="1"/>
  <c r="A5789" i="1"/>
  <c r="P5789" i="1"/>
  <c r="A5790" i="1"/>
  <c r="P5790" i="1"/>
  <c r="A5791" i="1"/>
  <c r="P5791" i="1"/>
  <c r="A5792" i="1"/>
  <c r="P5792" i="1"/>
  <c r="A5793" i="1"/>
  <c r="P5793" i="1"/>
  <c r="A5794" i="1"/>
  <c r="P5794" i="1"/>
  <c r="A5795" i="1"/>
  <c r="P5795" i="1"/>
  <c r="A5796" i="1"/>
  <c r="P5796" i="1"/>
  <c r="A5797" i="1"/>
  <c r="P5797" i="1"/>
  <c r="A5798" i="1"/>
  <c r="P5798" i="1"/>
  <c r="A5799" i="1"/>
  <c r="P5799" i="1"/>
  <c r="A5800" i="1"/>
  <c r="P5800" i="1"/>
  <c r="A5801" i="1"/>
  <c r="P5801" i="1"/>
  <c r="A5802" i="1"/>
  <c r="P5802" i="1"/>
  <c r="A5803" i="1"/>
  <c r="P5803" i="1"/>
  <c r="A5804" i="1"/>
  <c r="P5804" i="1"/>
  <c r="A5805" i="1"/>
  <c r="P5805" i="1"/>
  <c r="A5806" i="1"/>
  <c r="P5806" i="1"/>
  <c r="A5807" i="1"/>
  <c r="P5807" i="1"/>
  <c r="A5808" i="1"/>
  <c r="P5808" i="1"/>
  <c r="A5809" i="1"/>
  <c r="P5809" i="1"/>
  <c r="A5810" i="1"/>
  <c r="P5810" i="1"/>
  <c r="A5811" i="1"/>
  <c r="P5811" i="1"/>
  <c r="A5812" i="1"/>
  <c r="P5812" i="1"/>
  <c r="A5813" i="1"/>
  <c r="P5813" i="1"/>
  <c r="A5814" i="1"/>
  <c r="P5814" i="1"/>
  <c r="A5815" i="1"/>
  <c r="P5815" i="1"/>
  <c r="A5816" i="1"/>
  <c r="P5816" i="1"/>
  <c r="A5817" i="1"/>
  <c r="P5817" i="1"/>
  <c r="A5818" i="1"/>
  <c r="P5818" i="1"/>
  <c r="A5819" i="1"/>
  <c r="P5819" i="1"/>
  <c r="A5820" i="1"/>
  <c r="P5820" i="1"/>
  <c r="A5821" i="1"/>
  <c r="P5821" i="1"/>
  <c r="A5822" i="1"/>
  <c r="P5822" i="1"/>
  <c r="A5823" i="1"/>
  <c r="P5823" i="1"/>
  <c r="A5824" i="1"/>
  <c r="P5824" i="1"/>
  <c r="A5825" i="1"/>
  <c r="P5825" i="1"/>
  <c r="A5826" i="1"/>
  <c r="P5826" i="1"/>
  <c r="A5827" i="1"/>
  <c r="P5827" i="1"/>
  <c r="A5828" i="1"/>
  <c r="P5828" i="1"/>
  <c r="A5829" i="1"/>
  <c r="P5829" i="1"/>
  <c r="A5830" i="1"/>
  <c r="P5830" i="1"/>
  <c r="A5831" i="1"/>
  <c r="P5831" i="1"/>
  <c r="A5832" i="1"/>
  <c r="P5832" i="1"/>
  <c r="A5833" i="1"/>
  <c r="P5833" i="1"/>
  <c r="A5834" i="1"/>
  <c r="P5834" i="1"/>
  <c r="A5835" i="1"/>
  <c r="P5835" i="1"/>
  <c r="A5836" i="1"/>
  <c r="P5836" i="1"/>
  <c r="A5837" i="1"/>
  <c r="P5837" i="1"/>
  <c r="A5838" i="1"/>
  <c r="P5838" i="1"/>
  <c r="A5839" i="1"/>
  <c r="P5839" i="1"/>
  <c r="A5840" i="1"/>
  <c r="P5840" i="1"/>
  <c r="A5841" i="1"/>
  <c r="P5841" i="1"/>
  <c r="A5842" i="1"/>
  <c r="P5842" i="1"/>
  <c r="A5843" i="1"/>
  <c r="P5843" i="1"/>
  <c r="A5844" i="1"/>
  <c r="P5844" i="1"/>
  <c r="A5845" i="1"/>
  <c r="P5845" i="1"/>
  <c r="A5846" i="1"/>
  <c r="P5846" i="1"/>
  <c r="A5847" i="1"/>
  <c r="P5847" i="1"/>
  <c r="A5848" i="1"/>
  <c r="P5848" i="1"/>
  <c r="A5849" i="1"/>
  <c r="P5849" i="1"/>
  <c r="A5850" i="1"/>
  <c r="P5850" i="1"/>
  <c r="A5851" i="1"/>
  <c r="P5851" i="1"/>
  <c r="A5852" i="1"/>
  <c r="P5852" i="1"/>
  <c r="A5853" i="1"/>
  <c r="P5853" i="1"/>
  <c r="A5854" i="1"/>
  <c r="P5854" i="1"/>
  <c r="A5855" i="1"/>
  <c r="P5855" i="1"/>
  <c r="A5856" i="1"/>
  <c r="P5856" i="1"/>
  <c r="A5857" i="1"/>
  <c r="P5857" i="1"/>
  <c r="A5858" i="1"/>
  <c r="P5858" i="1"/>
  <c r="A5859" i="1"/>
  <c r="P5859" i="1"/>
  <c r="A5860" i="1"/>
  <c r="P5860" i="1"/>
  <c r="A5861" i="1"/>
  <c r="P5861" i="1"/>
  <c r="A5862" i="1"/>
  <c r="P5862" i="1"/>
  <c r="A5863" i="1"/>
  <c r="P5863" i="1"/>
  <c r="A5864" i="1"/>
  <c r="P5864" i="1"/>
  <c r="A5865" i="1"/>
  <c r="P5865" i="1"/>
  <c r="A5866" i="1"/>
  <c r="P5866" i="1"/>
  <c r="A5867" i="1"/>
  <c r="P5867" i="1"/>
  <c r="A5868" i="1"/>
  <c r="P5868" i="1"/>
  <c r="A5869" i="1"/>
  <c r="P5869" i="1"/>
  <c r="A5870" i="1"/>
  <c r="P5870" i="1"/>
  <c r="A5871" i="1"/>
  <c r="P5871" i="1"/>
  <c r="A5872" i="1"/>
  <c r="P5872" i="1"/>
  <c r="A5873" i="1"/>
  <c r="P5873" i="1"/>
  <c r="A5874" i="1"/>
  <c r="P5874" i="1"/>
  <c r="A5875" i="1"/>
  <c r="P5875" i="1"/>
  <c r="A5876" i="1"/>
  <c r="P5876" i="1"/>
  <c r="A5877" i="1"/>
  <c r="P5877" i="1"/>
  <c r="A5878" i="1"/>
  <c r="P5878" i="1"/>
  <c r="A5879" i="1"/>
  <c r="P5879" i="1"/>
  <c r="A5880" i="1"/>
  <c r="P5880" i="1"/>
  <c r="A5881" i="1"/>
  <c r="P5881" i="1"/>
  <c r="A5882" i="1"/>
  <c r="P5882" i="1"/>
  <c r="A5883" i="1"/>
  <c r="P5883" i="1"/>
  <c r="A5884" i="1"/>
  <c r="P5884" i="1"/>
  <c r="A5885" i="1"/>
  <c r="P5885" i="1"/>
  <c r="A5886" i="1"/>
  <c r="P5886" i="1"/>
  <c r="A5887" i="1"/>
  <c r="P5887" i="1"/>
  <c r="A5888" i="1"/>
  <c r="P5888" i="1"/>
  <c r="A5889" i="1"/>
  <c r="P5889" i="1"/>
  <c r="A5890" i="1"/>
  <c r="P5890" i="1"/>
  <c r="A5891" i="1"/>
  <c r="P5891" i="1"/>
  <c r="A5892" i="1"/>
  <c r="P5892" i="1"/>
  <c r="A5893" i="1"/>
  <c r="P5893" i="1"/>
  <c r="A5894" i="1"/>
  <c r="P5894" i="1"/>
  <c r="A5895" i="1"/>
  <c r="P5895" i="1"/>
  <c r="A5896" i="1"/>
  <c r="P5896" i="1"/>
  <c r="A5897" i="1"/>
  <c r="P5897" i="1"/>
  <c r="A5898" i="1"/>
  <c r="P5898" i="1"/>
  <c r="A5899" i="1"/>
  <c r="P5899" i="1"/>
  <c r="A5900" i="1"/>
  <c r="P5900" i="1"/>
  <c r="A5901" i="1"/>
  <c r="P5901" i="1"/>
  <c r="A5902" i="1"/>
  <c r="P5902" i="1"/>
  <c r="A5903" i="1"/>
  <c r="P5903" i="1"/>
  <c r="A5904" i="1"/>
  <c r="P5904" i="1"/>
  <c r="A5905" i="1"/>
  <c r="P5905" i="1"/>
  <c r="A5906" i="1"/>
  <c r="P5906" i="1"/>
  <c r="A5907" i="1"/>
  <c r="P5907" i="1"/>
  <c r="A5908" i="1"/>
  <c r="P5908" i="1"/>
  <c r="A5909" i="1"/>
  <c r="P5909" i="1"/>
  <c r="A5910" i="1"/>
  <c r="P5910" i="1"/>
  <c r="A5911" i="1"/>
  <c r="P5911" i="1"/>
  <c r="A5912" i="1"/>
  <c r="P5912" i="1"/>
  <c r="A5913" i="1"/>
  <c r="P5913" i="1"/>
  <c r="A5914" i="1"/>
  <c r="P5914" i="1"/>
  <c r="A5915" i="1"/>
  <c r="P5915" i="1"/>
  <c r="A5916" i="1"/>
  <c r="P5916" i="1"/>
  <c r="A5917" i="1"/>
  <c r="P5917" i="1"/>
  <c r="A5918" i="1"/>
  <c r="P5918" i="1"/>
  <c r="A5919" i="1"/>
  <c r="P5919" i="1"/>
  <c r="A5920" i="1"/>
  <c r="P5920" i="1"/>
  <c r="A5921" i="1"/>
  <c r="P5921" i="1"/>
  <c r="A5922" i="1"/>
  <c r="P5922" i="1"/>
  <c r="A5923" i="1"/>
  <c r="P5923" i="1"/>
  <c r="A5924" i="1"/>
  <c r="P5924" i="1"/>
  <c r="A5925" i="1"/>
  <c r="P5925" i="1"/>
  <c r="A5926" i="1"/>
  <c r="P5926" i="1"/>
  <c r="A5927" i="1"/>
  <c r="P5927" i="1"/>
  <c r="A5928" i="1"/>
  <c r="P5928" i="1"/>
  <c r="A5929" i="1"/>
  <c r="P5929" i="1"/>
  <c r="A5930" i="1"/>
  <c r="P5930" i="1"/>
  <c r="A5931" i="1"/>
  <c r="P5931" i="1"/>
  <c r="A5932" i="1"/>
  <c r="P5932" i="1"/>
  <c r="A5933" i="1"/>
  <c r="P5933" i="1"/>
  <c r="A5934" i="1"/>
  <c r="P5934" i="1"/>
  <c r="A5935" i="1"/>
  <c r="P5935" i="1"/>
  <c r="A5936" i="1"/>
  <c r="P5936" i="1"/>
  <c r="A5937" i="1"/>
  <c r="P5937" i="1"/>
  <c r="A5938" i="1"/>
  <c r="P5938" i="1"/>
  <c r="A5939" i="1"/>
  <c r="P5939" i="1"/>
  <c r="A5940" i="1"/>
  <c r="P5940" i="1"/>
  <c r="A5941" i="1"/>
  <c r="P5941" i="1"/>
  <c r="A5942" i="1"/>
  <c r="P5942" i="1"/>
  <c r="A5943" i="1"/>
  <c r="P5943" i="1"/>
  <c r="A5944" i="1"/>
  <c r="P5944" i="1"/>
  <c r="A5945" i="1"/>
  <c r="P5945" i="1"/>
  <c r="A5946" i="1"/>
  <c r="P5946" i="1"/>
  <c r="A5947" i="1"/>
  <c r="P5947" i="1"/>
  <c r="A5948" i="1"/>
  <c r="P5948" i="1"/>
  <c r="A5949" i="1"/>
  <c r="P5949" i="1"/>
  <c r="A5950" i="1"/>
  <c r="P5950" i="1"/>
  <c r="A5951" i="1"/>
  <c r="P5951" i="1"/>
  <c r="A5952" i="1"/>
  <c r="P5952" i="1"/>
  <c r="A5953" i="1"/>
  <c r="P5953" i="1"/>
  <c r="A5954" i="1"/>
  <c r="P5954" i="1"/>
  <c r="A5955" i="1"/>
  <c r="P5955" i="1"/>
  <c r="A5956" i="1"/>
  <c r="P5956" i="1"/>
  <c r="A5957" i="1"/>
  <c r="P5957" i="1"/>
  <c r="A5958" i="1"/>
  <c r="P5958" i="1"/>
  <c r="A5959" i="1"/>
  <c r="P5959" i="1"/>
  <c r="A5960" i="1"/>
  <c r="P5960" i="1"/>
  <c r="A5961" i="1"/>
  <c r="P5961" i="1"/>
  <c r="A5962" i="1"/>
  <c r="P5962" i="1"/>
  <c r="A5963" i="1"/>
  <c r="P5963" i="1"/>
  <c r="A5964" i="1"/>
  <c r="P5964" i="1"/>
  <c r="A5965" i="1"/>
  <c r="P5965" i="1"/>
  <c r="A5966" i="1"/>
  <c r="P5966" i="1"/>
  <c r="A5967" i="1"/>
  <c r="P5967" i="1"/>
  <c r="A5968" i="1"/>
  <c r="P5968" i="1"/>
  <c r="A5969" i="1"/>
  <c r="P5969" i="1"/>
  <c r="A5970" i="1"/>
  <c r="P5970" i="1"/>
  <c r="A5971" i="1"/>
  <c r="P5971" i="1"/>
  <c r="A5972" i="1"/>
  <c r="P5972" i="1"/>
  <c r="A5973" i="1"/>
  <c r="P5973" i="1"/>
  <c r="A5974" i="1"/>
  <c r="P5974" i="1"/>
  <c r="A5975" i="1"/>
  <c r="P5975" i="1"/>
  <c r="A5976" i="1"/>
  <c r="P5976" i="1"/>
  <c r="A5977" i="1"/>
  <c r="P5977" i="1"/>
  <c r="A5978" i="1"/>
  <c r="P5978" i="1"/>
  <c r="A5979" i="1"/>
  <c r="P5979" i="1"/>
  <c r="A5980" i="1"/>
  <c r="P5980" i="1"/>
  <c r="A5981" i="1"/>
  <c r="P5981" i="1"/>
  <c r="A5982" i="1"/>
  <c r="P5982" i="1"/>
  <c r="A5983" i="1"/>
  <c r="P5983" i="1"/>
  <c r="A5984" i="1"/>
  <c r="P5984" i="1"/>
  <c r="A5985" i="1"/>
  <c r="P5985" i="1"/>
  <c r="A5986" i="1"/>
  <c r="P5986" i="1"/>
  <c r="A5987" i="1"/>
  <c r="P5987" i="1"/>
  <c r="A5988" i="1"/>
  <c r="P5988" i="1"/>
  <c r="A5989" i="1"/>
  <c r="P5989" i="1"/>
  <c r="A5990" i="1"/>
  <c r="P5990" i="1"/>
  <c r="A5991" i="1"/>
  <c r="P5991" i="1"/>
  <c r="A5992" i="1"/>
  <c r="P5992" i="1"/>
  <c r="A5993" i="1"/>
  <c r="P5993" i="1"/>
  <c r="A5994" i="1"/>
  <c r="P5994" i="1"/>
  <c r="A5995" i="1"/>
  <c r="P5995" i="1"/>
  <c r="A5996" i="1"/>
  <c r="P5996" i="1"/>
  <c r="A5997" i="1"/>
  <c r="P5997" i="1"/>
  <c r="A5998" i="1"/>
  <c r="P5998" i="1"/>
  <c r="A5999" i="1"/>
  <c r="P5999" i="1"/>
  <c r="A6000" i="1"/>
  <c r="P6000" i="1"/>
  <c r="A6001" i="1"/>
  <c r="P6001" i="1"/>
  <c r="A6002" i="1"/>
  <c r="P6002" i="1"/>
  <c r="A6003" i="1"/>
  <c r="P6003" i="1"/>
  <c r="A6004" i="1"/>
  <c r="P6004" i="1"/>
  <c r="A6005" i="1"/>
  <c r="P6005" i="1"/>
  <c r="A6006" i="1"/>
  <c r="P6006" i="1"/>
  <c r="A6007" i="1"/>
  <c r="P6007" i="1"/>
  <c r="A6008" i="1"/>
  <c r="P6008" i="1"/>
  <c r="A6009" i="1"/>
  <c r="P6009" i="1"/>
  <c r="A6010" i="1"/>
  <c r="P6010" i="1"/>
  <c r="A6011" i="1"/>
  <c r="P6011" i="1"/>
  <c r="A6012" i="1"/>
  <c r="P6012" i="1"/>
  <c r="A6013" i="1"/>
  <c r="P6013" i="1"/>
  <c r="A6014" i="1"/>
  <c r="P6014" i="1"/>
  <c r="A6015" i="1"/>
  <c r="P6015" i="1"/>
  <c r="A6016" i="1"/>
  <c r="P6016" i="1"/>
  <c r="A6017" i="1"/>
  <c r="P6017" i="1"/>
  <c r="A6018" i="1"/>
  <c r="P6018" i="1"/>
  <c r="A6019" i="1"/>
  <c r="P6019" i="1"/>
  <c r="A6020" i="1"/>
  <c r="P6020" i="1"/>
  <c r="A6021" i="1"/>
  <c r="P6021" i="1"/>
  <c r="A6022" i="1"/>
  <c r="P6022" i="1"/>
  <c r="A6023" i="1"/>
  <c r="P6023" i="1"/>
  <c r="A6024" i="1"/>
  <c r="P6024" i="1"/>
  <c r="A6025" i="1"/>
  <c r="P6025" i="1"/>
  <c r="A6026" i="1"/>
  <c r="P6026" i="1"/>
  <c r="A6027" i="1"/>
  <c r="P6027" i="1"/>
  <c r="A6028" i="1"/>
  <c r="P6028" i="1"/>
  <c r="A6029" i="1"/>
  <c r="P6029" i="1"/>
  <c r="A6030" i="1"/>
  <c r="P6030" i="1"/>
  <c r="A6031" i="1"/>
  <c r="P6031" i="1"/>
  <c r="A6032" i="1"/>
  <c r="P6032" i="1"/>
  <c r="A6033" i="1"/>
  <c r="P6033" i="1"/>
  <c r="A6034" i="1"/>
  <c r="P6034" i="1"/>
  <c r="A6035" i="1"/>
  <c r="P6035" i="1"/>
  <c r="A6036" i="1"/>
  <c r="P6036" i="1"/>
  <c r="A6037" i="1"/>
  <c r="P6037" i="1"/>
  <c r="A6038" i="1"/>
  <c r="P6038" i="1"/>
  <c r="A6039" i="1"/>
  <c r="P6039" i="1"/>
  <c r="A6040" i="1"/>
  <c r="P6040" i="1"/>
  <c r="A6041" i="1"/>
  <c r="P6041" i="1"/>
  <c r="A6042" i="1"/>
  <c r="P6042" i="1"/>
  <c r="A6043" i="1"/>
  <c r="P6043" i="1"/>
  <c r="A6044" i="1"/>
  <c r="P6044" i="1"/>
  <c r="A6045" i="1"/>
  <c r="P6045" i="1"/>
  <c r="A6046" i="1"/>
  <c r="P6046" i="1"/>
  <c r="A6047" i="1"/>
  <c r="P6047" i="1"/>
  <c r="A6048" i="1"/>
  <c r="P6048" i="1"/>
  <c r="A6049" i="1"/>
  <c r="P6049" i="1"/>
  <c r="A6050" i="1"/>
  <c r="P6050" i="1"/>
  <c r="A6051" i="1"/>
  <c r="P6051" i="1"/>
  <c r="A6052" i="1"/>
  <c r="P6052" i="1"/>
  <c r="A6053" i="1"/>
  <c r="P6053" i="1"/>
  <c r="A6054" i="1"/>
  <c r="P6054" i="1"/>
  <c r="A6055" i="1"/>
  <c r="P6055" i="1"/>
  <c r="A6056" i="1"/>
  <c r="P6056" i="1"/>
  <c r="A6057" i="1"/>
  <c r="P6057" i="1"/>
  <c r="A6058" i="1"/>
  <c r="P6058" i="1"/>
  <c r="A6059" i="1"/>
  <c r="P6059" i="1"/>
  <c r="A6060" i="1"/>
  <c r="P6060" i="1"/>
  <c r="A6061" i="1"/>
  <c r="P6061" i="1"/>
  <c r="A6062" i="1"/>
  <c r="P6062" i="1"/>
  <c r="A6063" i="1"/>
  <c r="P6063" i="1"/>
  <c r="A6064" i="1"/>
  <c r="P6064" i="1"/>
  <c r="A6065" i="1"/>
  <c r="P6065" i="1"/>
  <c r="A6066" i="1"/>
  <c r="P6066" i="1"/>
  <c r="A6067" i="1"/>
  <c r="P6067" i="1"/>
  <c r="A6068" i="1"/>
  <c r="P6068" i="1"/>
  <c r="A6069" i="1"/>
  <c r="P6069" i="1"/>
  <c r="A6070" i="1"/>
  <c r="P6070" i="1"/>
  <c r="A6071" i="1"/>
  <c r="P6071" i="1"/>
  <c r="A6072" i="1"/>
  <c r="P6072" i="1"/>
  <c r="A6073" i="1"/>
  <c r="P6073" i="1"/>
  <c r="A6074" i="1"/>
  <c r="P6074" i="1"/>
  <c r="A6075" i="1"/>
  <c r="P6075" i="1"/>
  <c r="A6076" i="1"/>
  <c r="P6076" i="1"/>
  <c r="A6077" i="1"/>
  <c r="P6077" i="1"/>
  <c r="A6078" i="1"/>
  <c r="P6078" i="1"/>
  <c r="A6079" i="1"/>
  <c r="P6079" i="1"/>
  <c r="A6080" i="1"/>
  <c r="P6080" i="1"/>
  <c r="A6081" i="1"/>
  <c r="P6081" i="1"/>
  <c r="A6082" i="1"/>
  <c r="P6082" i="1"/>
  <c r="A6083" i="1"/>
  <c r="P6083" i="1"/>
  <c r="A6084" i="1"/>
  <c r="P6084" i="1"/>
  <c r="A6085" i="1"/>
  <c r="P6085" i="1"/>
  <c r="A6086" i="1"/>
  <c r="P6086" i="1"/>
  <c r="A6087" i="1"/>
  <c r="P6087" i="1"/>
  <c r="A6088" i="1"/>
  <c r="P6088" i="1"/>
  <c r="A6089" i="1"/>
  <c r="P6089" i="1"/>
  <c r="A6090" i="1"/>
  <c r="P6090" i="1"/>
  <c r="A6091" i="1"/>
  <c r="P6091" i="1"/>
  <c r="A6092" i="1"/>
  <c r="P6092" i="1"/>
  <c r="A6093" i="1"/>
  <c r="P6093" i="1"/>
  <c r="A6094" i="1"/>
  <c r="P6094" i="1"/>
  <c r="A6095" i="1"/>
  <c r="P6095" i="1"/>
  <c r="A6096" i="1"/>
  <c r="P6096" i="1"/>
  <c r="A6097" i="1"/>
  <c r="P6097" i="1"/>
  <c r="A6098" i="1"/>
  <c r="P6098" i="1"/>
  <c r="A6099" i="1"/>
  <c r="P6099" i="1"/>
  <c r="A6100" i="1"/>
  <c r="P6100" i="1"/>
  <c r="A6101" i="1"/>
  <c r="P6101" i="1"/>
  <c r="A6102" i="1"/>
  <c r="P6102" i="1"/>
  <c r="A6103" i="1"/>
  <c r="P6103" i="1"/>
  <c r="A6104" i="1"/>
  <c r="P6104" i="1"/>
  <c r="A6105" i="1"/>
  <c r="P6105" i="1"/>
  <c r="A6106" i="1"/>
  <c r="P6106" i="1"/>
  <c r="A6107" i="1"/>
  <c r="P6107" i="1"/>
  <c r="A6108" i="1"/>
  <c r="P6108" i="1"/>
  <c r="A6109" i="1"/>
  <c r="P6109" i="1"/>
  <c r="A6110" i="1"/>
  <c r="P6110" i="1"/>
  <c r="A6111" i="1"/>
  <c r="P6111" i="1"/>
  <c r="A6112" i="1"/>
  <c r="P6112" i="1"/>
  <c r="A6113" i="1"/>
  <c r="P6113" i="1"/>
  <c r="A6114" i="1"/>
  <c r="P6114" i="1"/>
  <c r="A6115" i="1"/>
  <c r="P6115" i="1"/>
  <c r="A6116" i="1"/>
  <c r="P6116" i="1"/>
  <c r="A6117" i="1"/>
  <c r="P6117" i="1"/>
  <c r="A6118" i="1"/>
  <c r="P6118" i="1"/>
  <c r="A6119" i="1"/>
  <c r="P6119" i="1"/>
  <c r="A6120" i="1"/>
  <c r="P6120" i="1"/>
  <c r="A6121" i="1"/>
  <c r="P6121" i="1"/>
  <c r="A6122" i="1"/>
  <c r="P6122" i="1"/>
  <c r="A6123" i="1"/>
  <c r="P6123" i="1"/>
  <c r="A6124" i="1"/>
  <c r="P6124" i="1"/>
  <c r="A6125" i="1"/>
  <c r="P6125" i="1"/>
  <c r="A6126" i="1"/>
  <c r="P6126" i="1"/>
  <c r="A6127" i="1"/>
  <c r="P6127" i="1"/>
  <c r="A6128" i="1"/>
  <c r="P6128" i="1"/>
  <c r="A6129" i="1"/>
  <c r="P6129" i="1"/>
  <c r="A6130" i="1"/>
  <c r="P6130" i="1"/>
  <c r="A6131" i="1"/>
  <c r="P6131" i="1"/>
  <c r="A6132" i="1"/>
  <c r="P6132" i="1"/>
  <c r="A6133" i="1"/>
  <c r="P6133" i="1"/>
  <c r="A6134" i="1"/>
  <c r="P6134" i="1"/>
  <c r="A6135" i="1"/>
  <c r="P6135" i="1"/>
  <c r="A6136" i="1"/>
  <c r="P6136" i="1"/>
  <c r="A6137" i="1"/>
  <c r="P6137" i="1"/>
  <c r="A6138" i="1"/>
  <c r="P6138" i="1"/>
  <c r="A6139" i="1"/>
  <c r="P6139" i="1"/>
  <c r="A6140" i="1"/>
  <c r="P6140" i="1"/>
  <c r="A6141" i="1"/>
  <c r="P6141" i="1"/>
  <c r="A6142" i="1"/>
  <c r="P6142" i="1"/>
  <c r="A6143" i="1"/>
  <c r="P6143" i="1"/>
  <c r="A6144" i="1"/>
  <c r="P6144" i="1"/>
  <c r="A6145" i="1"/>
  <c r="P6145" i="1"/>
  <c r="A6146" i="1"/>
  <c r="P6146" i="1"/>
  <c r="A6147" i="1"/>
  <c r="P6147" i="1"/>
  <c r="A6148" i="1"/>
  <c r="P6148" i="1"/>
  <c r="A6149" i="1"/>
  <c r="P6149" i="1"/>
  <c r="A6150" i="1"/>
  <c r="P6150" i="1"/>
  <c r="A6151" i="1"/>
  <c r="P6151" i="1"/>
  <c r="A6152" i="1"/>
  <c r="P6152" i="1"/>
  <c r="A6153" i="1"/>
  <c r="P6153" i="1"/>
  <c r="A6154" i="1"/>
  <c r="P6154" i="1"/>
  <c r="A6155" i="1"/>
  <c r="P6155" i="1"/>
  <c r="A6156" i="1"/>
  <c r="P6156" i="1"/>
  <c r="A6157" i="1"/>
  <c r="P6157" i="1"/>
  <c r="A6158" i="1"/>
  <c r="P6158" i="1"/>
  <c r="A6159" i="1"/>
  <c r="P6159" i="1"/>
  <c r="A6160" i="1"/>
  <c r="P6160" i="1"/>
  <c r="A6161" i="1"/>
  <c r="P6161" i="1"/>
  <c r="A6162" i="1"/>
  <c r="P6162" i="1"/>
  <c r="A6163" i="1"/>
  <c r="P6163" i="1"/>
  <c r="A6164" i="1"/>
  <c r="P6164" i="1"/>
  <c r="A6165" i="1"/>
  <c r="P6165" i="1"/>
  <c r="A6166" i="1"/>
  <c r="P6166" i="1"/>
  <c r="A6167" i="1"/>
  <c r="P6167" i="1"/>
  <c r="A6168" i="1"/>
  <c r="P6168" i="1"/>
  <c r="A6169" i="1"/>
  <c r="P6169" i="1"/>
  <c r="A6170" i="1"/>
  <c r="P6170" i="1"/>
  <c r="A6171" i="1"/>
  <c r="P6171" i="1"/>
  <c r="A6172" i="1"/>
  <c r="P6172" i="1"/>
  <c r="A6173" i="1"/>
  <c r="P6173" i="1"/>
  <c r="A6174" i="1"/>
  <c r="P6174" i="1"/>
  <c r="A6175" i="1"/>
  <c r="P6175" i="1"/>
  <c r="A6176" i="1"/>
  <c r="P6176" i="1"/>
  <c r="A6177" i="1"/>
  <c r="P6177" i="1"/>
  <c r="A6178" i="1"/>
  <c r="P6178" i="1"/>
  <c r="A6179" i="1"/>
  <c r="P6179" i="1"/>
  <c r="A6180" i="1"/>
  <c r="P6180" i="1"/>
  <c r="A6181" i="1"/>
  <c r="P6181" i="1"/>
  <c r="A6182" i="1"/>
  <c r="P6182" i="1"/>
  <c r="A6183" i="1"/>
  <c r="P6183" i="1"/>
  <c r="A6184" i="1"/>
  <c r="P6184" i="1"/>
  <c r="A6185" i="1"/>
  <c r="P6185" i="1"/>
  <c r="A6186" i="1"/>
  <c r="P6186" i="1"/>
  <c r="A6187" i="1"/>
  <c r="P6187" i="1"/>
  <c r="A6188" i="1"/>
  <c r="P6188" i="1"/>
  <c r="A6189" i="1"/>
  <c r="P6189" i="1"/>
  <c r="A6190" i="1"/>
  <c r="P6190" i="1"/>
  <c r="A6191" i="1"/>
  <c r="P6191" i="1"/>
  <c r="A6192" i="1"/>
  <c r="P6192" i="1"/>
  <c r="A6193" i="1"/>
  <c r="P6193" i="1"/>
  <c r="A6194" i="1"/>
  <c r="P6194" i="1"/>
  <c r="A6195" i="1"/>
  <c r="P6195" i="1"/>
  <c r="A6196" i="1"/>
  <c r="P6196" i="1"/>
  <c r="A6197" i="1"/>
  <c r="P6197" i="1"/>
  <c r="A6198" i="1"/>
  <c r="P6198" i="1"/>
  <c r="A6199" i="1"/>
  <c r="P6199" i="1"/>
  <c r="A6200" i="1"/>
  <c r="P6200" i="1"/>
  <c r="A6201" i="1"/>
  <c r="P6201" i="1"/>
  <c r="A6202" i="1"/>
  <c r="P6202" i="1"/>
  <c r="A6203" i="1"/>
  <c r="P6203" i="1"/>
  <c r="A6204" i="1"/>
  <c r="P6204" i="1"/>
  <c r="A6205" i="1"/>
  <c r="P6205" i="1"/>
  <c r="A6206" i="1"/>
  <c r="P6206" i="1"/>
  <c r="A6207" i="1"/>
  <c r="P6207" i="1"/>
  <c r="A6208" i="1"/>
  <c r="P6208" i="1"/>
  <c r="A6209" i="1"/>
  <c r="P6209" i="1"/>
  <c r="A6210" i="1"/>
  <c r="P6210" i="1"/>
  <c r="A6211" i="1"/>
  <c r="P6211" i="1"/>
  <c r="A6212" i="1"/>
  <c r="P6212" i="1"/>
  <c r="A6213" i="1"/>
  <c r="P6213" i="1"/>
  <c r="A6214" i="1"/>
  <c r="P6214" i="1"/>
  <c r="A6215" i="1"/>
  <c r="P6215" i="1"/>
  <c r="A6216" i="1"/>
  <c r="P6216" i="1"/>
  <c r="A6217" i="1"/>
  <c r="P6217" i="1"/>
  <c r="A6218" i="1"/>
  <c r="P6218" i="1"/>
  <c r="A6219" i="1"/>
  <c r="P6219" i="1"/>
  <c r="A6220" i="1"/>
  <c r="P6220" i="1"/>
  <c r="A6221" i="1"/>
  <c r="P6221" i="1"/>
  <c r="A6222" i="1"/>
  <c r="P6222" i="1"/>
  <c r="A6223" i="1"/>
  <c r="P6223" i="1"/>
  <c r="A6224" i="1"/>
  <c r="P6224" i="1"/>
  <c r="A6225" i="1"/>
  <c r="P6225" i="1"/>
  <c r="A6226" i="1"/>
  <c r="P6226" i="1"/>
  <c r="A6227" i="1"/>
  <c r="P6227" i="1"/>
  <c r="A6228" i="1"/>
  <c r="P6228" i="1"/>
  <c r="A6229" i="1"/>
  <c r="P6229" i="1"/>
  <c r="A6230" i="1"/>
  <c r="P6230" i="1"/>
  <c r="A6231" i="1"/>
  <c r="P6231" i="1"/>
  <c r="A6232" i="1"/>
  <c r="P6232" i="1"/>
  <c r="A6233" i="1"/>
  <c r="P6233" i="1"/>
  <c r="A6234" i="1"/>
  <c r="P6234" i="1"/>
  <c r="A6235" i="1"/>
  <c r="P6235" i="1"/>
  <c r="A6236" i="1"/>
  <c r="P6236" i="1"/>
  <c r="A6237" i="1"/>
  <c r="P6237" i="1"/>
  <c r="A6238" i="1"/>
  <c r="P6238" i="1"/>
  <c r="A6239" i="1"/>
  <c r="P6239" i="1"/>
  <c r="A6240" i="1"/>
  <c r="P6240" i="1"/>
  <c r="A6241" i="1"/>
  <c r="P6241" i="1"/>
  <c r="A6242" i="1"/>
  <c r="P6242" i="1"/>
  <c r="A6243" i="1"/>
  <c r="P6243" i="1"/>
  <c r="A6244" i="1"/>
  <c r="P6244" i="1"/>
  <c r="A6245" i="1"/>
  <c r="P6245" i="1"/>
  <c r="A6246" i="1"/>
  <c r="P6246" i="1"/>
  <c r="A6247" i="1"/>
  <c r="P6247" i="1"/>
  <c r="A6248" i="1"/>
  <c r="P6248" i="1"/>
  <c r="A6249" i="1"/>
  <c r="P6249" i="1"/>
  <c r="A6250" i="1"/>
  <c r="P6250" i="1"/>
  <c r="A6251" i="1"/>
  <c r="P6251" i="1"/>
  <c r="A6252" i="1"/>
  <c r="P6252" i="1"/>
  <c r="A6253" i="1"/>
  <c r="P6253" i="1"/>
  <c r="A6254" i="1"/>
  <c r="P6254" i="1"/>
  <c r="A6255" i="1"/>
  <c r="P6255" i="1"/>
  <c r="A6256" i="1"/>
  <c r="P6256" i="1"/>
  <c r="A6257" i="1"/>
  <c r="P6257" i="1"/>
  <c r="A6258" i="1"/>
  <c r="P6258" i="1"/>
  <c r="A6259" i="1"/>
  <c r="P6259" i="1"/>
  <c r="A6260" i="1"/>
  <c r="P6260" i="1"/>
  <c r="A6261" i="1"/>
  <c r="P6261" i="1"/>
  <c r="A6262" i="1"/>
  <c r="P6262" i="1"/>
  <c r="A6263" i="1"/>
  <c r="P6263" i="1"/>
  <c r="A6264" i="1"/>
  <c r="P6264" i="1"/>
  <c r="A6265" i="1"/>
  <c r="P6265" i="1"/>
  <c r="A6266" i="1"/>
  <c r="P6266" i="1"/>
  <c r="A6267" i="1"/>
  <c r="P6267" i="1"/>
  <c r="A6268" i="1"/>
  <c r="P6268" i="1"/>
  <c r="A6269" i="1"/>
  <c r="P6269" i="1"/>
  <c r="A6270" i="1"/>
  <c r="P6270" i="1"/>
  <c r="A6271" i="1"/>
  <c r="P6271" i="1"/>
  <c r="A6272" i="1"/>
  <c r="P6272" i="1"/>
  <c r="A6273" i="1"/>
  <c r="P6273" i="1"/>
  <c r="A6274" i="1"/>
  <c r="P6274" i="1"/>
  <c r="A6275" i="1"/>
  <c r="P6275" i="1"/>
  <c r="A6276" i="1"/>
  <c r="P6276" i="1"/>
  <c r="A6277" i="1"/>
  <c r="P6277" i="1"/>
  <c r="A6278" i="1"/>
  <c r="P6278" i="1"/>
  <c r="A6279" i="1"/>
  <c r="P6279" i="1"/>
  <c r="A6280" i="1"/>
  <c r="P6280" i="1"/>
  <c r="A6281" i="1"/>
  <c r="P6281" i="1"/>
  <c r="A6282" i="1"/>
  <c r="P6282" i="1"/>
  <c r="A6283" i="1"/>
  <c r="P6283" i="1"/>
  <c r="A6284" i="1"/>
  <c r="P6284" i="1"/>
  <c r="A6285" i="1"/>
  <c r="P6285" i="1"/>
  <c r="A6286" i="1"/>
  <c r="P6286" i="1"/>
  <c r="A6287" i="1"/>
  <c r="P6287" i="1"/>
  <c r="A6288" i="1"/>
  <c r="P6288" i="1"/>
  <c r="A6289" i="1"/>
  <c r="P6289" i="1"/>
  <c r="A6290" i="1"/>
  <c r="P6290" i="1"/>
  <c r="A6291" i="1"/>
  <c r="P6291" i="1"/>
  <c r="A6292" i="1"/>
  <c r="P6292" i="1"/>
  <c r="A6293" i="1"/>
  <c r="P6293" i="1"/>
  <c r="A6294" i="1"/>
  <c r="P6294" i="1"/>
  <c r="A6295" i="1"/>
  <c r="P6295" i="1"/>
  <c r="A6296" i="1"/>
  <c r="P6296" i="1"/>
  <c r="A6297" i="1"/>
  <c r="P6297" i="1"/>
  <c r="A6298" i="1"/>
  <c r="P6298" i="1"/>
  <c r="A6299" i="1"/>
  <c r="P6299" i="1"/>
  <c r="A6300" i="1"/>
  <c r="P6300" i="1"/>
  <c r="A6301" i="1"/>
  <c r="P6301" i="1"/>
  <c r="A6302" i="1"/>
  <c r="P6302" i="1"/>
  <c r="A6303" i="1"/>
  <c r="P6303" i="1"/>
  <c r="A6304" i="1"/>
  <c r="P6304" i="1"/>
  <c r="A6305" i="1"/>
  <c r="P6305" i="1"/>
  <c r="A6306" i="1"/>
  <c r="P6306" i="1"/>
  <c r="A6307" i="1"/>
  <c r="P6307" i="1"/>
  <c r="A6308" i="1"/>
  <c r="P6308" i="1"/>
  <c r="A6309" i="1"/>
  <c r="P6309" i="1"/>
  <c r="A6310" i="1"/>
  <c r="P6310" i="1"/>
  <c r="A6311" i="1"/>
  <c r="P6311" i="1"/>
  <c r="A6312" i="1"/>
  <c r="P6312" i="1"/>
  <c r="A6313" i="1"/>
  <c r="P6313" i="1"/>
  <c r="A6314" i="1"/>
  <c r="P6314" i="1"/>
  <c r="A6315" i="1"/>
  <c r="P6315" i="1"/>
  <c r="A6316" i="1"/>
  <c r="P6316" i="1"/>
  <c r="A6317" i="1"/>
  <c r="P6317" i="1"/>
  <c r="A6318" i="1"/>
  <c r="P6318" i="1"/>
  <c r="A6319" i="1"/>
  <c r="P6319" i="1"/>
  <c r="A6320" i="1"/>
  <c r="P6320" i="1"/>
  <c r="A6321" i="1"/>
  <c r="P6321" i="1"/>
  <c r="A6322" i="1"/>
  <c r="P6322" i="1"/>
  <c r="A6323" i="1"/>
  <c r="P6323" i="1"/>
  <c r="A6324" i="1"/>
  <c r="P6324" i="1"/>
  <c r="A6325" i="1"/>
  <c r="P6325" i="1"/>
  <c r="A6326" i="1"/>
  <c r="P6326" i="1"/>
  <c r="A6327" i="1"/>
  <c r="P6327" i="1"/>
  <c r="A6328" i="1"/>
  <c r="P6328" i="1"/>
  <c r="A6329" i="1"/>
  <c r="P6329" i="1"/>
  <c r="A6330" i="1"/>
  <c r="P6330" i="1"/>
  <c r="A6331" i="1"/>
  <c r="P6331" i="1"/>
  <c r="A6332" i="1"/>
  <c r="P6332" i="1"/>
  <c r="A6333" i="1"/>
  <c r="P6333" i="1"/>
  <c r="A6334" i="1"/>
  <c r="P6334" i="1"/>
  <c r="A6335" i="1"/>
  <c r="P6335" i="1"/>
  <c r="A6336" i="1"/>
  <c r="P6336" i="1"/>
  <c r="A6337" i="1"/>
  <c r="P6337" i="1"/>
  <c r="A6338" i="1"/>
  <c r="P6338" i="1"/>
  <c r="A6339" i="1"/>
  <c r="P6339" i="1"/>
  <c r="A6340" i="1"/>
  <c r="P6340" i="1"/>
  <c r="A6341" i="1"/>
  <c r="P6341" i="1"/>
  <c r="A6342" i="1"/>
  <c r="P6342" i="1"/>
  <c r="A6343" i="1"/>
  <c r="P6343" i="1"/>
  <c r="A6344" i="1"/>
  <c r="P6344" i="1"/>
  <c r="A6345" i="1"/>
  <c r="P6345" i="1"/>
  <c r="A6346" i="1"/>
  <c r="P6346" i="1"/>
  <c r="A6347" i="1"/>
  <c r="P6347" i="1"/>
  <c r="A6348" i="1"/>
  <c r="P6348" i="1"/>
  <c r="A6349" i="1"/>
  <c r="P6349" i="1"/>
  <c r="A6350" i="1"/>
  <c r="P6350" i="1"/>
  <c r="A6351" i="1"/>
  <c r="P6351" i="1"/>
  <c r="A6352" i="1"/>
  <c r="P6352" i="1"/>
  <c r="A6353" i="1"/>
  <c r="P6353" i="1"/>
  <c r="A6354" i="1"/>
  <c r="P6354" i="1"/>
  <c r="A6355" i="1"/>
  <c r="P6355" i="1"/>
  <c r="A6356" i="1"/>
  <c r="P6356" i="1"/>
  <c r="A6357" i="1"/>
  <c r="P6357" i="1"/>
  <c r="A6358" i="1"/>
  <c r="P6358" i="1"/>
  <c r="A6359" i="1"/>
  <c r="P6359" i="1"/>
  <c r="A6360" i="1"/>
  <c r="P6360" i="1"/>
  <c r="A6361" i="1"/>
  <c r="P6361" i="1"/>
  <c r="A6362" i="1"/>
  <c r="P6362" i="1"/>
  <c r="A6363" i="1"/>
  <c r="P6363" i="1"/>
  <c r="A6364" i="1"/>
  <c r="P6364" i="1"/>
  <c r="A6365" i="1"/>
  <c r="P6365" i="1"/>
  <c r="A6366" i="1"/>
  <c r="P6366" i="1"/>
  <c r="A6367" i="1"/>
  <c r="P6367" i="1"/>
  <c r="A6368" i="1"/>
  <c r="P6368" i="1"/>
  <c r="A6369" i="1"/>
  <c r="P6369" i="1"/>
  <c r="A6370" i="1"/>
  <c r="P6370" i="1"/>
  <c r="A6371" i="1"/>
  <c r="P6371" i="1"/>
  <c r="A6372" i="1"/>
  <c r="P6372" i="1"/>
  <c r="A6373" i="1"/>
  <c r="P6373" i="1"/>
  <c r="A6374" i="1"/>
  <c r="P6374" i="1"/>
  <c r="A6375" i="1"/>
  <c r="P6375" i="1"/>
  <c r="A6376" i="1"/>
  <c r="P6376" i="1"/>
  <c r="A6377" i="1"/>
  <c r="P6377" i="1"/>
  <c r="A6378" i="1"/>
  <c r="P6378" i="1"/>
  <c r="A6379" i="1"/>
  <c r="P6379" i="1"/>
  <c r="A6380" i="1"/>
  <c r="P6380" i="1"/>
  <c r="A6381" i="1"/>
  <c r="P6381" i="1"/>
  <c r="A6382" i="1"/>
  <c r="P6382" i="1"/>
  <c r="A6383" i="1"/>
  <c r="P6383" i="1"/>
  <c r="A6384" i="1"/>
  <c r="P6384" i="1"/>
  <c r="A6385" i="1"/>
  <c r="P6385" i="1"/>
  <c r="A6386" i="1"/>
  <c r="P6386" i="1"/>
  <c r="A6387" i="1"/>
  <c r="P6387" i="1"/>
  <c r="A6388" i="1"/>
  <c r="M6388" i="1"/>
  <c r="P6388" i="1"/>
  <c r="A6389" i="1"/>
  <c r="P6389" i="1"/>
  <c r="A6390" i="1"/>
  <c r="P6390" i="1"/>
  <c r="A6391" i="1"/>
  <c r="P6391" i="1"/>
  <c r="A6392" i="1"/>
  <c r="P6392" i="1"/>
  <c r="A6393" i="1"/>
  <c r="P6393" i="1"/>
  <c r="A6394" i="1"/>
  <c r="P6394" i="1"/>
  <c r="A6395" i="1"/>
  <c r="P6395" i="1"/>
  <c r="A6396" i="1"/>
  <c r="P6396" i="1"/>
  <c r="A6397" i="1"/>
  <c r="P6397" i="1"/>
  <c r="A6398" i="1"/>
  <c r="P6398" i="1"/>
  <c r="A6399" i="1"/>
  <c r="P6399" i="1"/>
  <c r="A6400" i="1"/>
  <c r="P6400" i="1"/>
  <c r="A6401" i="1"/>
  <c r="P6401" i="1"/>
  <c r="A6402" i="1"/>
  <c r="P6402" i="1"/>
  <c r="A6403" i="1"/>
  <c r="P6403" i="1"/>
  <c r="A6404" i="1"/>
  <c r="P6404" i="1"/>
  <c r="A6405" i="1"/>
  <c r="P6405" i="1"/>
  <c r="A6406" i="1"/>
  <c r="P6406" i="1"/>
  <c r="A6407" i="1"/>
  <c r="P6407" i="1"/>
  <c r="A6408" i="1"/>
  <c r="P6408" i="1"/>
  <c r="A6409" i="1"/>
  <c r="P6409" i="1"/>
  <c r="A6410" i="1"/>
  <c r="P6410" i="1"/>
  <c r="A6411" i="1"/>
  <c r="P6411" i="1"/>
  <c r="A6412" i="1"/>
  <c r="P6412" i="1"/>
  <c r="A6413" i="1"/>
  <c r="P6413" i="1"/>
  <c r="A6414" i="1"/>
  <c r="P6414" i="1"/>
  <c r="A6415" i="1"/>
  <c r="P6415" i="1"/>
  <c r="A6416" i="1"/>
  <c r="P6416" i="1"/>
  <c r="A6417" i="1"/>
  <c r="P6417" i="1"/>
  <c r="A6418" i="1"/>
  <c r="P6418" i="1"/>
  <c r="A6419" i="1"/>
  <c r="P6419" i="1"/>
  <c r="A6420" i="1"/>
  <c r="P6420" i="1"/>
  <c r="A6421" i="1"/>
  <c r="P6421" i="1"/>
  <c r="A6422" i="1"/>
  <c r="P6422" i="1"/>
  <c r="A6423" i="1"/>
  <c r="P6423" i="1"/>
  <c r="A6424" i="1"/>
  <c r="P6424" i="1"/>
  <c r="A6425" i="1"/>
  <c r="P6425" i="1"/>
  <c r="A6426" i="1"/>
  <c r="P6426" i="1"/>
  <c r="A6427" i="1"/>
  <c r="P6427" i="1"/>
  <c r="A6428" i="1"/>
  <c r="P6428" i="1"/>
  <c r="A6429" i="1"/>
  <c r="P6429" i="1"/>
  <c r="A6430" i="1"/>
  <c r="P6430" i="1"/>
  <c r="A6431" i="1"/>
  <c r="P6431" i="1"/>
  <c r="A6432" i="1"/>
  <c r="P6432" i="1"/>
  <c r="A6433" i="1"/>
  <c r="P6433" i="1"/>
  <c r="A6434" i="1"/>
  <c r="P6434" i="1"/>
  <c r="A6435" i="1"/>
  <c r="P6435" i="1"/>
  <c r="A6436" i="1"/>
  <c r="P6436" i="1"/>
  <c r="A6437" i="1"/>
  <c r="P6437" i="1"/>
  <c r="A6438" i="1"/>
  <c r="P6438" i="1"/>
  <c r="A6439" i="1"/>
  <c r="P6439" i="1"/>
  <c r="A6440" i="1"/>
  <c r="P6440" i="1"/>
  <c r="A6441" i="1"/>
  <c r="P6441" i="1"/>
  <c r="A6442" i="1"/>
  <c r="P6442" i="1"/>
  <c r="A6443" i="1"/>
  <c r="P6443" i="1"/>
  <c r="A6444" i="1"/>
  <c r="P6444" i="1"/>
  <c r="A6445" i="1"/>
  <c r="P6445" i="1"/>
  <c r="A6446" i="1"/>
  <c r="P6446" i="1"/>
  <c r="A6447" i="1"/>
  <c r="P6447" i="1"/>
  <c r="A6448" i="1"/>
  <c r="P6448" i="1"/>
  <c r="A6449" i="1"/>
  <c r="P6449" i="1"/>
  <c r="A6450" i="1"/>
  <c r="P6450" i="1"/>
  <c r="A6451" i="1"/>
  <c r="P6451" i="1"/>
  <c r="A6452" i="1"/>
  <c r="P6452" i="1"/>
  <c r="A6453" i="1"/>
  <c r="P6453" i="1"/>
  <c r="A6454" i="1"/>
  <c r="P6454" i="1"/>
  <c r="A6455" i="1"/>
  <c r="P6455" i="1"/>
  <c r="A6456" i="1"/>
  <c r="P6456" i="1"/>
  <c r="A6457" i="1"/>
  <c r="P6457" i="1"/>
  <c r="A6458" i="1"/>
  <c r="P6458" i="1"/>
  <c r="A6459" i="1"/>
  <c r="P6459" i="1"/>
  <c r="A6460" i="1"/>
  <c r="P6460" i="1"/>
  <c r="A6461" i="1"/>
  <c r="P6461" i="1"/>
  <c r="A6462" i="1"/>
  <c r="P6462" i="1"/>
  <c r="A6463" i="1"/>
  <c r="P6463" i="1"/>
  <c r="A6464" i="1"/>
  <c r="P6464" i="1"/>
  <c r="A6465" i="1"/>
  <c r="P6465" i="1"/>
  <c r="A6466" i="1"/>
  <c r="P6466" i="1"/>
  <c r="A6467" i="1"/>
  <c r="P6467" i="1"/>
  <c r="A6468" i="1"/>
  <c r="P6468" i="1"/>
  <c r="A6469" i="1"/>
  <c r="P6469" i="1"/>
  <c r="A6470" i="1"/>
  <c r="P6470" i="1"/>
  <c r="A6471" i="1"/>
  <c r="P6471" i="1"/>
  <c r="A6472" i="1"/>
  <c r="P6472" i="1"/>
  <c r="A6473" i="1"/>
  <c r="P6473" i="1"/>
  <c r="A6474" i="1"/>
  <c r="P6474" i="1"/>
  <c r="A6475" i="1"/>
  <c r="P6475" i="1"/>
  <c r="A6476" i="1"/>
  <c r="P6476" i="1"/>
  <c r="A6477" i="1"/>
  <c r="P6477" i="1"/>
  <c r="A6478" i="1"/>
  <c r="P6478" i="1"/>
  <c r="A6479" i="1"/>
  <c r="P6479" i="1"/>
  <c r="A6480" i="1"/>
  <c r="P6480" i="1"/>
  <c r="A6481" i="1"/>
  <c r="P6481" i="1"/>
  <c r="A6482" i="1"/>
  <c r="P6482" i="1"/>
  <c r="A6483" i="1"/>
  <c r="P6483" i="1"/>
  <c r="A6484" i="1"/>
  <c r="P6484" i="1"/>
  <c r="A6485" i="1"/>
  <c r="P6485" i="1"/>
  <c r="A6486" i="1"/>
  <c r="P6486" i="1"/>
  <c r="A6487" i="1"/>
  <c r="P6487" i="1"/>
  <c r="A6488" i="1"/>
  <c r="P6488" i="1"/>
  <c r="A6489" i="1"/>
  <c r="P6489" i="1"/>
  <c r="A6490" i="1"/>
  <c r="P6490" i="1"/>
  <c r="A6491" i="1"/>
  <c r="P6491" i="1"/>
  <c r="A6492" i="1"/>
  <c r="P6492" i="1"/>
  <c r="A6493" i="1"/>
  <c r="P6493" i="1"/>
  <c r="A6494" i="1"/>
  <c r="P6494" i="1"/>
  <c r="A6495" i="1"/>
  <c r="P6495" i="1"/>
  <c r="A6496" i="1"/>
  <c r="P6496" i="1"/>
  <c r="A6497" i="1"/>
  <c r="P6497" i="1"/>
  <c r="A6498" i="1"/>
  <c r="P6498" i="1"/>
  <c r="A6499" i="1"/>
  <c r="P6499" i="1"/>
  <c r="A6500" i="1"/>
  <c r="P6500" i="1"/>
  <c r="A6501" i="1"/>
  <c r="P6501" i="1"/>
  <c r="A6502" i="1"/>
  <c r="P6502" i="1"/>
  <c r="A6503" i="1"/>
  <c r="P6503" i="1"/>
  <c r="A6504" i="1"/>
  <c r="P6504" i="1"/>
  <c r="A6505" i="1"/>
  <c r="P6505" i="1"/>
  <c r="A6506" i="1"/>
  <c r="P6506" i="1"/>
  <c r="A6507" i="1"/>
  <c r="P6507" i="1"/>
  <c r="A6508" i="1"/>
  <c r="P6508" i="1"/>
  <c r="A6509" i="1"/>
  <c r="P6509" i="1"/>
  <c r="A6510" i="1"/>
  <c r="P6510" i="1"/>
  <c r="A6511" i="1"/>
  <c r="P6511" i="1"/>
  <c r="A6512" i="1"/>
  <c r="P6512" i="1"/>
  <c r="A6513" i="1"/>
  <c r="P6513" i="1"/>
  <c r="A6514" i="1"/>
  <c r="P6514" i="1"/>
  <c r="A6515" i="1"/>
  <c r="P6515" i="1"/>
  <c r="A6516" i="1"/>
  <c r="P6516" i="1"/>
  <c r="A6517" i="1"/>
  <c r="P6517" i="1"/>
  <c r="A6518" i="1"/>
  <c r="P6518" i="1"/>
  <c r="A6519" i="1"/>
  <c r="P6519" i="1"/>
  <c r="A6520" i="1"/>
  <c r="P6520" i="1"/>
  <c r="A6521" i="1"/>
  <c r="P6521" i="1"/>
  <c r="A6522" i="1"/>
  <c r="P6522" i="1"/>
  <c r="A6523" i="1"/>
  <c r="P6523" i="1"/>
  <c r="A6524" i="1"/>
  <c r="P6524" i="1"/>
  <c r="A6525" i="1"/>
  <c r="P6525" i="1"/>
  <c r="A6526" i="1"/>
  <c r="P6526" i="1"/>
  <c r="A6527" i="1"/>
  <c r="P6527" i="1"/>
  <c r="A6528" i="1"/>
  <c r="P6528" i="1"/>
  <c r="A6529" i="1"/>
  <c r="P6529" i="1"/>
  <c r="A6530" i="1"/>
  <c r="P6530" i="1"/>
  <c r="A6531" i="1"/>
  <c r="P6531" i="1"/>
  <c r="A6532" i="1"/>
  <c r="P6532" i="1"/>
  <c r="A6533" i="1"/>
  <c r="P6533" i="1"/>
  <c r="A6534" i="1"/>
  <c r="P6534" i="1"/>
  <c r="A6535" i="1"/>
  <c r="P6535" i="1"/>
  <c r="A6536" i="1"/>
  <c r="P6536" i="1"/>
  <c r="A6537" i="1"/>
  <c r="P6537" i="1"/>
  <c r="A6538" i="1"/>
  <c r="P6538" i="1"/>
  <c r="A6539" i="1"/>
  <c r="P6539" i="1"/>
  <c r="A6540" i="1"/>
  <c r="P6540" i="1"/>
  <c r="A6541" i="1"/>
  <c r="P6541" i="1"/>
  <c r="A6542" i="1"/>
  <c r="P6542" i="1"/>
  <c r="A6543" i="1"/>
  <c r="P6543" i="1"/>
  <c r="A6544" i="1"/>
  <c r="P6544" i="1"/>
  <c r="A6545" i="1"/>
  <c r="P6545" i="1"/>
  <c r="A6546" i="1"/>
  <c r="P6546" i="1"/>
  <c r="A6547" i="1"/>
  <c r="P6547" i="1"/>
  <c r="A6548" i="1"/>
  <c r="P6548" i="1"/>
  <c r="A6549" i="1"/>
  <c r="P6549" i="1"/>
  <c r="A6550" i="1"/>
  <c r="P6550" i="1"/>
  <c r="A6551" i="1"/>
  <c r="P6551" i="1"/>
  <c r="A6552" i="1"/>
  <c r="P6552" i="1"/>
  <c r="A6553" i="1"/>
  <c r="P6553" i="1"/>
  <c r="A6554" i="1"/>
  <c r="P6554" i="1"/>
  <c r="A6555" i="1"/>
  <c r="P6555" i="1"/>
  <c r="A6556" i="1"/>
  <c r="P6556" i="1"/>
  <c r="A6557" i="1"/>
  <c r="P6557" i="1"/>
  <c r="A6558" i="1"/>
  <c r="P6558" i="1"/>
  <c r="A6559" i="1"/>
  <c r="P6559" i="1"/>
  <c r="A6560" i="1"/>
  <c r="P6560" i="1"/>
  <c r="A6561" i="1"/>
  <c r="P6561" i="1"/>
  <c r="A6562" i="1"/>
  <c r="P6562" i="1"/>
  <c r="A6563" i="1"/>
  <c r="P6563" i="1"/>
  <c r="A6564" i="1"/>
  <c r="P6564" i="1"/>
  <c r="A6565" i="1"/>
  <c r="P6565" i="1"/>
  <c r="A6566" i="1"/>
  <c r="P6566" i="1"/>
  <c r="A6567" i="1"/>
  <c r="P6567" i="1"/>
  <c r="A6568" i="1"/>
  <c r="P6568" i="1"/>
  <c r="A6569" i="1"/>
  <c r="P6569" i="1"/>
  <c r="A6570" i="1"/>
  <c r="P6570" i="1"/>
  <c r="A6571" i="1"/>
  <c r="P6571" i="1"/>
  <c r="A6572" i="1"/>
  <c r="P6572" i="1"/>
  <c r="A6573" i="1"/>
  <c r="P6573" i="1"/>
  <c r="A6574" i="1"/>
  <c r="P6574" i="1"/>
  <c r="A6575" i="1"/>
  <c r="P6575" i="1"/>
  <c r="A6576" i="1"/>
  <c r="P6576" i="1"/>
  <c r="A6577" i="1"/>
  <c r="P6577" i="1"/>
  <c r="A6578" i="1"/>
  <c r="P6578" i="1"/>
  <c r="A6579" i="1"/>
  <c r="P6579" i="1"/>
  <c r="A6580" i="1"/>
  <c r="P6580" i="1"/>
  <c r="A6581" i="1"/>
  <c r="P6581" i="1"/>
  <c r="A6582" i="1"/>
  <c r="P6582" i="1"/>
  <c r="A6583" i="1"/>
  <c r="P6583" i="1"/>
  <c r="A6584" i="1"/>
  <c r="P6584" i="1"/>
  <c r="A6585" i="1"/>
  <c r="P6585" i="1"/>
  <c r="A6586" i="1"/>
  <c r="P6586" i="1"/>
  <c r="A6587" i="1"/>
  <c r="P6587" i="1"/>
  <c r="A6588" i="1"/>
  <c r="P6588" i="1"/>
  <c r="A6589" i="1"/>
  <c r="P6589" i="1"/>
  <c r="A6590" i="1"/>
  <c r="P6590" i="1"/>
  <c r="A6591" i="1"/>
  <c r="P6591" i="1"/>
  <c r="A6592" i="1"/>
  <c r="P6592" i="1"/>
  <c r="A6593" i="1"/>
  <c r="P6593" i="1"/>
  <c r="A6594" i="1"/>
  <c r="P6594" i="1"/>
  <c r="A6595" i="1"/>
  <c r="P6595" i="1"/>
  <c r="A6596" i="1"/>
  <c r="P6596" i="1"/>
  <c r="A6597" i="1"/>
  <c r="P6597" i="1"/>
  <c r="A6598" i="1"/>
  <c r="P6598" i="1"/>
  <c r="A6599" i="1"/>
  <c r="P6599" i="1"/>
  <c r="A6600" i="1"/>
  <c r="P6600" i="1"/>
  <c r="A6601" i="1"/>
  <c r="P6601" i="1"/>
  <c r="A6602" i="1"/>
  <c r="P6602" i="1"/>
  <c r="A6603" i="1"/>
  <c r="P6603" i="1"/>
  <c r="A6604" i="1"/>
  <c r="P6604" i="1"/>
  <c r="A6605" i="1"/>
  <c r="P6605" i="1"/>
  <c r="A6606" i="1"/>
  <c r="P6606" i="1"/>
  <c r="A6607" i="1"/>
  <c r="P6607" i="1"/>
  <c r="A6608" i="1"/>
  <c r="P6608" i="1"/>
  <c r="A6609" i="1"/>
  <c r="P6609" i="1"/>
  <c r="A6610" i="1"/>
  <c r="P6610" i="1"/>
  <c r="A6611" i="1"/>
  <c r="P6611" i="1"/>
  <c r="A6612" i="1"/>
  <c r="P6612" i="1"/>
  <c r="A6613" i="1"/>
  <c r="P6613" i="1"/>
  <c r="A6614" i="1"/>
  <c r="P6614" i="1"/>
  <c r="A6615" i="1"/>
  <c r="P6615" i="1"/>
  <c r="A6616" i="1"/>
  <c r="P6616" i="1"/>
  <c r="A6617" i="1"/>
  <c r="P6617" i="1"/>
  <c r="A6618" i="1"/>
  <c r="P6618" i="1"/>
  <c r="A6619" i="1"/>
  <c r="P6619" i="1"/>
  <c r="A6620" i="1"/>
  <c r="P6620" i="1"/>
  <c r="A6621" i="1"/>
  <c r="P6621" i="1"/>
  <c r="A6622" i="1"/>
  <c r="P6622" i="1"/>
  <c r="A6623" i="1"/>
  <c r="P6623" i="1"/>
  <c r="A6624" i="1"/>
  <c r="P6624" i="1"/>
  <c r="A6625" i="1"/>
  <c r="P6625" i="1"/>
  <c r="A6626" i="1"/>
  <c r="P6626" i="1"/>
  <c r="A6627" i="1"/>
  <c r="P6627" i="1"/>
  <c r="A6628" i="1"/>
  <c r="P6628" i="1"/>
  <c r="A6629" i="1"/>
  <c r="P6629" i="1"/>
  <c r="A6630" i="1"/>
  <c r="P6630" i="1"/>
  <c r="A6631" i="1"/>
  <c r="P6631" i="1"/>
  <c r="A6632" i="1"/>
  <c r="P6632" i="1"/>
  <c r="A6633" i="1"/>
  <c r="P6633" i="1"/>
  <c r="A6634" i="1"/>
  <c r="P6634" i="1"/>
  <c r="A6635" i="1"/>
  <c r="P6635" i="1"/>
  <c r="A6636" i="1"/>
  <c r="P6636" i="1"/>
  <c r="A6637" i="1"/>
  <c r="P6637" i="1"/>
  <c r="A6638" i="1"/>
  <c r="P6638" i="1"/>
  <c r="A6639" i="1"/>
  <c r="P6639" i="1"/>
  <c r="A6640" i="1"/>
  <c r="P6640" i="1"/>
  <c r="A6641" i="1"/>
  <c r="P6641" i="1"/>
  <c r="A6642" i="1"/>
  <c r="P6642" i="1"/>
  <c r="A6643" i="1"/>
  <c r="P6643" i="1"/>
  <c r="A6644" i="1"/>
  <c r="P6644" i="1"/>
  <c r="A6645" i="1"/>
  <c r="P6645" i="1"/>
  <c r="A6646" i="1"/>
  <c r="P6646" i="1"/>
  <c r="A6647" i="1"/>
  <c r="P6647" i="1"/>
  <c r="A6648" i="1"/>
  <c r="P6648" i="1"/>
  <c r="A6649" i="1"/>
  <c r="P6649" i="1"/>
  <c r="A6650" i="1"/>
  <c r="P6650" i="1"/>
  <c r="A6651" i="1"/>
  <c r="P6651" i="1"/>
  <c r="A6652" i="1"/>
  <c r="P6652" i="1"/>
  <c r="A6653" i="1"/>
  <c r="P6653" i="1"/>
  <c r="A6654" i="1"/>
  <c r="P6654" i="1"/>
  <c r="A6655" i="1"/>
  <c r="P6655" i="1"/>
  <c r="A6656" i="1"/>
  <c r="P6656" i="1"/>
  <c r="A6657" i="1"/>
  <c r="P6657" i="1"/>
  <c r="A6658" i="1"/>
  <c r="P6658" i="1"/>
  <c r="A6659" i="1"/>
  <c r="P6659" i="1"/>
  <c r="A6660" i="1"/>
  <c r="P6660" i="1"/>
  <c r="A6661" i="1"/>
  <c r="P6661" i="1"/>
  <c r="A6662" i="1"/>
  <c r="P6662" i="1"/>
  <c r="A6663" i="1"/>
  <c r="P6663" i="1"/>
  <c r="A6664" i="1"/>
  <c r="P6664" i="1"/>
  <c r="A6665" i="1"/>
  <c r="P6665" i="1"/>
  <c r="A6666" i="1"/>
  <c r="P6666" i="1"/>
  <c r="A6667" i="1"/>
  <c r="P6667" i="1"/>
  <c r="A6668" i="1"/>
  <c r="P6668" i="1"/>
  <c r="A6669" i="1"/>
  <c r="P6669" i="1"/>
  <c r="A6670" i="1"/>
  <c r="P6670" i="1"/>
  <c r="A6671" i="1"/>
  <c r="P6671" i="1"/>
  <c r="A6672" i="1"/>
  <c r="P6672" i="1"/>
  <c r="A6673" i="1"/>
  <c r="P6673" i="1"/>
  <c r="A6674" i="1"/>
  <c r="P6674" i="1"/>
  <c r="A6675" i="1"/>
  <c r="P6675" i="1"/>
  <c r="A6676" i="1"/>
  <c r="P6676" i="1"/>
  <c r="A6677" i="1"/>
  <c r="P6677" i="1"/>
  <c r="A6678" i="1"/>
  <c r="P6678" i="1"/>
  <c r="A6679" i="1"/>
  <c r="P6679" i="1"/>
  <c r="A6680" i="1"/>
  <c r="P6680" i="1"/>
  <c r="A6681" i="1"/>
  <c r="P6681" i="1"/>
  <c r="A6682" i="1"/>
  <c r="P6682" i="1"/>
  <c r="A6683" i="1"/>
  <c r="P6683" i="1"/>
  <c r="A6684" i="1"/>
  <c r="P6684" i="1"/>
  <c r="A6685" i="1"/>
  <c r="P6685" i="1"/>
  <c r="A6686" i="1"/>
  <c r="P6686" i="1"/>
  <c r="A6687" i="1"/>
  <c r="P6687" i="1"/>
  <c r="A6688" i="1"/>
  <c r="P6688" i="1"/>
  <c r="A6689" i="1"/>
  <c r="P6689" i="1"/>
  <c r="A6690" i="1"/>
  <c r="P6690" i="1"/>
  <c r="A6691" i="1"/>
  <c r="P6691" i="1"/>
  <c r="A6692" i="1"/>
  <c r="P6692" i="1"/>
  <c r="A6693" i="1"/>
  <c r="P6693" i="1"/>
  <c r="A6694" i="1"/>
  <c r="P6694" i="1"/>
  <c r="A6695" i="1"/>
  <c r="P6695" i="1"/>
  <c r="A6696" i="1"/>
  <c r="P6696" i="1"/>
  <c r="A6697" i="1"/>
  <c r="P6697" i="1"/>
  <c r="A6698" i="1"/>
  <c r="P6698" i="1"/>
  <c r="A6699" i="1"/>
  <c r="P6699" i="1"/>
  <c r="A6700" i="1"/>
  <c r="P6700" i="1"/>
  <c r="A6701" i="1"/>
  <c r="P6701" i="1"/>
  <c r="A6702" i="1"/>
  <c r="P6702" i="1"/>
  <c r="A6703" i="1"/>
  <c r="P6703" i="1"/>
  <c r="A6704" i="1"/>
  <c r="P6704" i="1"/>
  <c r="A6705" i="1"/>
  <c r="P6705" i="1"/>
  <c r="A6706" i="1"/>
  <c r="P6706" i="1"/>
  <c r="A6707" i="1"/>
  <c r="P6707" i="1"/>
  <c r="A6708" i="1"/>
  <c r="P6708" i="1"/>
  <c r="A6709" i="1"/>
  <c r="P6709" i="1"/>
  <c r="A6710" i="1"/>
  <c r="P6710" i="1"/>
  <c r="A6711" i="1"/>
  <c r="P6711" i="1"/>
  <c r="A6712" i="1"/>
  <c r="P6712" i="1"/>
  <c r="A6713" i="1"/>
  <c r="P6713" i="1"/>
  <c r="A6714" i="1"/>
  <c r="P6714" i="1"/>
  <c r="A6715" i="1"/>
  <c r="P6715" i="1"/>
  <c r="A6716" i="1"/>
  <c r="P6716" i="1"/>
  <c r="A6717" i="1"/>
  <c r="P6717" i="1"/>
  <c r="A6718" i="1"/>
  <c r="P6718" i="1"/>
  <c r="A6719" i="1"/>
  <c r="P6719" i="1"/>
  <c r="A6720" i="1"/>
  <c r="P6720" i="1"/>
  <c r="A6721" i="1"/>
  <c r="P6721" i="1"/>
  <c r="A6722" i="1"/>
  <c r="P6722" i="1"/>
  <c r="A6723" i="1"/>
  <c r="P6723" i="1"/>
  <c r="A6724" i="1"/>
  <c r="P6724" i="1"/>
  <c r="A6725" i="1"/>
  <c r="P6725" i="1"/>
  <c r="A6726" i="1"/>
  <c r="P6726" i="1"/>
  <c r="A6727" i="1"/>
  <c r="P6727" i="1"/>
  <c r="A6728" i="1"/>
  <c r="P6728" i="1"/>
  <c r="A6729" i="1"/>
  <c r="P6729" i="1"/>
  <c r="A6730" i="1"/>
  <c r="P6730" i="1"/>
  <c r="A6731" i="1"/>
  <c r="P6731" i="1"/>
  <c r="A6732" i="1"/>
  <c r="P6732" i="1"/>
  <c r="A6733" i="1"/>
  <c r="P6733" i="1"/>
  <c r="A6734" i="1"/>
  <c r="P6734" i="1"/>
  <c r="A6735" i="1"/>
  <c r="P6735" i="1"/>
  <c r="A6736" i="1"/>
  <c r="P6736" i="1"/>
  <c r="A6737" i="1"/>
  <c r="P6737" i="1"/>
  <c r="A6738" i="1"/>
  <c r="P6738" i="1"/>
  <c r="A6739" i="1"/>
  <c r="P6739" i="1"/>
  <c r="A6740" i="1"/>
  <c r="P6740" i="1"/>
  <c r="A6741" i="1"/>
  <c r="P6741" i="1"/>
  <c r="A6742" i="1"/>
  <c r="P6742" i="1"/>
  <c r="A6743" i="1"/>
  <c r="P6743" i="1"/>
  <c r="A6744" i="1"/>
  <c r="P6744" i="1"/>
  <c r="A6745" i="1"/>
  <c r="P6745" i="1"/>
  <c r="A6746" i="1"/>
  <c r="P6746" i="1"/>
  <c r="A6747" i="1"/>
  <c r="P6747" i="1"/>
  <c r="A6748" i="1"/>
  <c r="P6748" i="1"/>
  <c r="A6749" i="1"/>
  <c r="P6749" i="1"/>
  <c r="A6750" i="1"/>
  <c r="P6750" i="1"/>
  <c r="A6751" i="1"/>
  <c r="P6751" i="1"/>
  <c r="A6752" i="1"/>
  <c r="P6752" i="1"/>
  <c r="A6753" i="1"/>
  <c r="P6753" i="1"/>
  <c r="A6754" i="1"/>
  <c r="P6754" i="1"/>
  <c r="A6755" i="1"/>
  <c r="P6755" i="1"/>
  <c r="A6756" i="1"/>
  <c r="P6756" i="1"/>
  <c r="A6757" i="1"/>
  <c r="P6757" i="1"/>
  <c r="A6758" i="1"/>
  <c r="P6758" i="1"/>
  <c r="A6759" i="1"/>
  <c r="P6759" i="1"/>
  <c r="A6760" i="1"/>
  <c r="P6760" i="1"/>
  <c r="A6761" i="1"/>
  <c r="P6761" i="1"/>
  <c r="A6762" i="1"/>
  <c r="P6762" i="1"/>
  <c r="A6763" i="1"/>
  <c r="P6763" i="1"/>
  <c r="A6764" i="1"/>
  <c r="P6764" i="1"/>
  <c r="A6765" i="1"/>
  <c r="P6765" i="1"/>
  <c r="A6766" i="1"/>
  <c r="P6766" i="1"/>
  <c r="A6767" i="1"/>
  <c r="P6767" i="1"/>
  <c r="A6768" i="1"/>
  <c r="P6768" i="1"/>
  <c r="A6769" i="1"/>
  <c r="P6769" i="1"/>
  <c r="A6770" i="1"/>
  <c r="P6770" i="1"/>
  <c r="A6771" i="1"/>
  <c r="P6771" i="1"/>
  <c r="A6772" i="1"/>
  <c r="P6772" i="1"/>
  <c r="A6773" i="1"/>
  <c r="P6773" i="1"/>
  <c r="A6774" i="1"/>
  <c r="P6774" i="1"/>
  <c r="A6775" i="1"/>
  <c r="P6775" i="1"/>
  <c r="A6776" i="1"/>
  <c r="P6776" i="1"/>
  <c r="A6777" i="1"/>
  <c r="P6777" i="1"/>
  <c r="A6778" i="1"/>
  <c r="P6778" i="1"/>
  <c r="A6779" i="1"/>
  <c r="P6779" i="1"/>
  <c r="A6780" i="1"/>
  <c r="P6780" i="1"/>
  <c r="A6781" i="1"/>
  <c r="P6781" i="1"/>
  <c r="A6782" i="1"/>
  <c r="P6782" i="1"/>
  <c r="A6783" i="1"/>
  <c r="P6783" i="1"/>
  <c r="A6784" i="1"/>
  <c r="P6784" i="1"/>
  <c r="A6785" i="1"/>
  <c r="P6785" i="1"/>
  <c r="A6786" i="1"/>
  <c r="P6786" i="1"/>
  <c r="A6787" i="1"/>
  <c r="P6787" i="1"/>
  <c r="A6788" i="1"/>
  <c r="P6788" i="1"/>
  <c r="A6789" i="1"/>
  <c r="P6789" i="1"/>
  <c r="A6790" i="1"/>
  <c r="P6790" i="1"/>
  <c r="A6791" i="1"/>
  <c r="P6791" i="1"/>
  <c r="A6792" i="1"/>
  <c r="P6792" i="1"/>
  <c r="A6793" i="1"/>
  <c r="P6793" i="1"/>
  <c r="A6794" i="1"/>
  <c r="P6794" i="1"/>
  <c r="A6795" i="1"/>
  <c r="P6795" i="1"/>
  <c r="A6796" i="1"/>
  <c r="P6796" i="1"/>
  <c r="A6797" i="1"/>
  <c r="P6797" i="1"/>
  <c r="A6798" i="1"/>
  <c r="P6798" i="1"/>
  <c r="A6799" i="1"/>
  <c r="P6799" i="1"/>
  <c r="A6800" i="1"/>
  <c r="P6800" i="1"/>
  <c r="A6801" i="1"/>
  <c r="P6801" i="1"/>
  <c r="A6802" i="1"/>
  <c r="P6802" i="1"/>
  <c r="A6803" i="1"/>
  <c r="P6803" i="1"/>
  <c r="A6804" i="1"/>
  <c r="P6804" i="1"/>
  <c r="A6805" i="1"/>
  <c r="P6805" i="1"/>
  <c r="A6806" i="1"/>
  <c r="P6806" i="1"/>
  <c r="A6807" i="1"/>
  <c r="P6807" i="1"/>
  <c r="A6808" i="1"/>
  <c r="P6808" i="1"/>
  <c r="A6809" i="1"/>
  <c r="P6809" i="1"/>
  <c r="A6810" i="1"/>
  <c r="P6810" i="1"/>
  <c r="A6811" i="1"/>
  <c r="P6811" i="1"/>
  <c r="A6812" i="1"/>
  <c r="P6812" i="1"/>
  <c r="A6813" i="1"/>
  <c r="P6813" i="1"/>
  <c r="A6814" i="1"/>
  <c r="P6814" i="1"/>
  <c r="A6815" i="1"/>
  <c r="P6815" i="1"/>
  <c r="A6816" i="1"/>
  <c r="P6816" i="1"/>
  <c r="A6817" i="1"/>
  <c r="P6817" i="1"/>
  <c r="A6818" i="1"/>
  <c r="P6818" i="1"/>
  <c r="A6819" i="1"/>
  <c r="P6819" i="1"/>
  <c r="A6820" i="1"/>
  <c r="P6820" i="1"/>
  <c r="A6821" i="1"/>
  <c r="P6821" i="1"/>
  <c r="A6822" i="1"/>
  <c r="P6822" i="1"/>
  <c r="A6823" i="1"/>
  <c r="P6823" i="1"/>
  <c r="A6824" i="1"/>
  <c r="P6824" i="1"/>
  <c r="A6825" i="1"/>
  <c r="P6825" i="1"/>
  <c r="A6826" i="1"/>
  <c r="P6826" i="1"/>
  <c r="A6827" i="1"/>
  <c r="P6827" i="1"/>
  <c r="A6828" i="1"/>
  <c r="P6828" i="1"/>
  <c r="A6829" i="1"/>
  <c r="P6829" i="1"/>
  <c r="A6830" i="1"/>
  <c r="P6830" i="1"/>
  <c r="A6831" i="1"/>
  <c r="P6831" i="1"/>
  <c r="A6832" i="1"/>
  <c r="P6832" i="1"/>
  <c r="A6833" i="1"/>
  <c r="P6833" i="1"/>
  <c r="A6834" i="1"/>
  <c r="P6834" i="1"/>
  <c r="A6835" i="1"/>
  <c r="P6835" i="1"/>
  <c r="A6836" i="1"/>
  <c r="P6836" i="1"/>
  <c r="A6837" i="1"/>
  <c r="P6837" i="1"/>
  <c r="A6838" i="1"/>
  <c r="P6838" i="1"/>
  <c r="A6839" i="1"/>
  <c r="P6839" i="1"/>
  <c r="A6840" i="1"/>
  <c r="P6840" i="1"/>
  <c r="A6841" i="1"/>
  <c r="P6841" i="1"/>
  <c r="A6842" i="1"/>
  <c r="P6842" i="1"/>
  <c r="A6843" i="1"/>
  <c r="P6843" i="1"/>
  <c r="A6844" i="1"/>
  <c r="P6844" i="1"/>
  <c r="A6845" i="1"/>
  <c r="P6845" i="1"/>
  <c r="A6846" i="1"/>
  <c r="P6846" i="1"/>
  <c r="A6847" i="1"/>
  <c r="P6847" i="1"/>
  <c r="A6848" i="1"/>
  <c r="P6848" i="1"/>
  <c r="A6849" i="1"/>
  <c r="P6849" i="1"/>
  <c r="A6850" i="1"/>
  <c r="P6850" i="1"/>
  <c r="A6851" i="1"/>
  <c r="P6851" i="1"/>
  <c r="A6852" i="1"/>
  <c r="P6852" i="1"/>
  <c r="A6853" i="1"/>
  <c r="P6853" i="1"/>
  <c r="A6854" i="1"/>
  <c r="P6854" i="1"/>
  <c r="A6855" i="1"/>
  <c r="P6855" i="1"/>
  <c r="A6856" i="1"/>
  <c r="P6856" i="1"/>
  <c r="A6857" i="1"/>
  <c r="P6857" i="1"/>
  <c r="A6858" i="1"/>
  <c r="P6858" i="1"/>
  <c r="A6859" i="1"/>
  <c r="P6859" i="1"/>
  <c r="A6860" i="1"/>
  <c r="P6860" i="1"/>
  <c r="A6861" i="1"/>
  <c r="P6861" i="1"/>
  <c r="A6862" i="1"/>
  <c r="P6862" i="1"/>
  <c r="A6863" i="1"/>
  <c r="P6863" i="1"/>
  <c r="A6864" i="1"/>
  <c r="P6864" i="1"/>
  <c r="A6865" i="1"/>
  <c r="P6865" i="1"/>
  <c r="A6866" i="1"/>
  <c r="P6866" i="1"/>
  <c r="A6867" i="1"/>
  <c r="P6867" i="1"/>
  <c r="A6868" i="1"/>
  <c r="P6868" i="1"/>
  <c r="A6869" i="1"/>
  <c r="P6869" i="1"/>
  <c r="A6870" i="1"/>
  <c r="P6870" i="1"/>
  <c r="A6871" i="1"/>
  <c r="P6871" i="1"/>
  <c r="A6872" i="1"/>
  <c r="P6872" i="1"/>
  <c r="A6873" i="1"/>
  <c r="P6873" i="1"/>
  <c r="A6874" i="1"/>
  <c r="P6874" i="1"/>
  <c r="A6875" i="1"/>
  <c r="P6875" i="1"/>
  <c r="A6876" i="1"/>
  <c r="P6876" i="1"/>
  <c r="A6877" i="1"/>
  <c r="P6877" i="1"/>
  <c r="A6878" i="1"/>
  <c r="P6878" i="1"/>
  <c r="A6879" i="1"/>
  <c r="P6879" i="1"/>
  <c r="A6880" i="1"/>
  <c r="P6880" i="1"/>
  <c r="A6881" i="1"/>
  <c r="P6881" i="1"/>
  <c r="A6882" i="1"/>
  <c r="P6882" i="1"/>
  <c r="A6883" i="1"/>
  <c r="P6883" i="1"/>
  <c r="A6884" i="1"/>
  <c r="P6884" i="1"/>
  <c r="A6885" i="1"/>
  <c r="P6885" i="1"/>
  <c r="A6886" i="1"/>
  <c r="P6886" i="1"/>
  <c r="A6887" i="1"/>
  <c r="P6887" i="1"/>
  <c r="A6888" i="1"/>
  <c r="P6888" i="1"/>
  <c r="A6889" i="1"/>
  <c r="P6889" i="1"/>
  <c r="A6890" i="1"/>
  <c r="P6890" i="1"/>
  <c r="A6891" i="1"/>
  <c r="P6891" i="1"/>
  <c r="A6892" i="1"/>
  <c r="P6892" i="1"/>
  <c r="A6893" i="1"/>
  <c r="P6893" i="1"/>
  <c r="A6894" i="1"/>
  <c r="P6894" i="1"/>
  <c r="A6895" i="1"/>
  <c r="P6895" i="1"/>
  <c r="A6896" i="1"/>
  <c r="P6896" i="1"/>
  <c r="A6897" i="1"/>
  <c r="P6897" i="1"/>
  <c r="A6898" i="1"/>
  <c r="P6898" i="1"/>
  <c r="A6899" i="1"/>
  <c r="P6899" i="1"/>
  <c r="A6900" i="1"/>
  <c r="P6900" i="1"/>
  <c r="A6901" i="1"/>
  <c r="P6901" i="1"/>
  <c r="A6902" i="1"/>
  <c r="P6902" i="1"/>
  <c r="A6903" i="1"/>
  <c r="P6903" i="1"/>
  <c r="A6904" i="1"/>
  <c r="P6904" i="1"/>
  <c r="A6905" i="1"/>
  <c r="P6905" i="1"/>
  <c r="A6906" i="1"/>
  <c r="P6906" i="1"/>
  <c r="A6907" i="1"/>
  <c r="P6907" i="1"/>
  <c r="A6908" i="1"/>
  <c r="P6908" i="1"/>
  <c r="A6909" i="1"/>
  <c r="P6909" i="1"/>
  <c r="A6910" i="1"/>
  <c r="P6910" i="1"/>
  <c r="A6911" i="1"/>
  <c r="P6911" i="1"/>
  <c r="A6912" i="1"/>
  <c r="P6912" i="1"/>
  <c r="A6913" i="1"/>
  <c r="P6913" i="1"/>
  <c r="A6914" i="1"/>
  <c r="P6914" i="1"/>
  <c r="A6915" i="1"/>
  <c r="P6915" i="1"/>
  <c r="A6916" i="1"/>
  <c r="P6916" i="1"/>
  <c r="A6917" i="1"/>
  <c r="P6917" i="1"/>
  <c r="A6918" i="1"/>
  <c r="P6918" i="1"/>
  <c r="A6919" i="1"/>
  <c r="P6919" i="1"/>
  <c r="A6920" i="1"/>
  <c r="P6920" i="1"/>
  <c r="A6921" i="1"/>
  <c r="P6921" i="1"/>
  <c r="A6922" i="1"/>
  <c r="P6922" i="1"/>
  <c r="A6923" i="1"/>
  <c r="P6923" i="1"/>
  <c r="A6924" i="1"/>
  <c r="P6924" i="1"/>
  <c r="A6925" i="1"/>
  <c r="P6925" i="1"/>
  <c r="A6926" i="1"/>
  <c r="P6926" i="1"/>
  <c r="A6927" i="1"/>
  <c r="P6927" i="1"/>
  <c r="A6928" i="1"/>
  <c r="P6928" i="1"/>
  <c r="A6929" i="1"/>
  <c r="P6929" i="1"/>
  <c r="A6930" i="1"/>
  <c r="P6930" i="1"/>
  <c r="A6931" i="1"/>
  <c r="P6931" i="1"/>
  <c r="A6932" i="1"/>
  <c r="P6932" i="1"/>
  <c r="A6933" i="1"/>
  <c r="P6933" i="1"/>
  <c r="A6934" i="1"/>
  <c r="P6934" i="1"/>
  <c r="A6935" i="1"/>
  <c r="P6935" i="1"/>
  <c r="A6936" i="1"/>
  <c r="P6936" i="1"/>
  <c r="A6937" i="1"/>
  <c r="P6937" i="1"/>
  <c r="A6938" i="1"/>
  <c r="P6938" i="1"/>
  <c r="A6939" i="1"/>
  <c r="P6939" i="1"/>
  <c r="A6940" i="1"/>
  <c r="P6940" i="1"/>
  <c r="A6941" i="1"/>
  <c r="P6941" i="1"/>
  <c r="A6942" i="1"/>
  <c r="P6942" i="1"/>
  <c r="A6943" i="1"/>
  <c r="P6943" i="1"/>
  <c r="A6944" i="1"/>
  <c r="P6944" i="1"/>
  <c r="A6945" i="1"/>
  <c r="P6945" i="1"/>
  <c r="A6946" i="1"/>
  <c r="P6946" i="1"/>
  <c r="A6947" i="1"/>
  <c r="P6947" i="1"/>
  <c r="A6948" i="1"/>
  <c r="P6948" i="1"/>
  <c r="A6949" i="1"/>
  <c r="P6949" i="1"/>
  <c r="A6950" i="1"/>
  <c r="P6950" i="1"/>
  <c r="A6951" i="1"/>
  <c r="P6951" i="1"/>
  <c r="A6952" i="1"/>
  <c r="P6952" i="1"/>
  <c r="A6953" i="1"/>
  <c r="P6953" i="1"/>
  <c r="A6954" i="1"/>
  <c r="P6954" i="1"/>
  <c r="A6955" i="1"/>
  <c r="P6955" i="1"/>
  <c r="A6956" i="1"/>
  <c r="P6956" i="1"/>
  <c r="A6957" i="1"/>
  <c r="P6957" i="1"/>
  <c r="A6958" i="1"/>
  <c r="P6958" i="1"/>
  <c r="A6959" i="1"/>
  <c r="P6959" i="1"/>
  <c r="A6960" i="1"/>
  <c r="P6960" i="1"/>
  <c r="A6961" i="1"/>
  <c r="P6961" i="1"/>
  <c r="A6962" i="1"/>
  <c r="P6962" i="1"/>
  <c r="A6963" i="1"/>
  <c r="P6963" i="1"/>
  <c r="A6964" i="1"/>
  <c r="P6964" i="1"/>
  <c r="A6965" i="1"/>
  <c r="P6965" i="1"/>
  <c r="A6966" i="1"/>
  <c r="P6966" i="1"/>
  <c r="A6967" i="1"/>
  <c r="P6967" i="1"/>
  <c r="A6968" i="1"/>
  <c r="P6968" i="1"/>
  <c r="A6969" i="1"/>
  <c r="P6969" i="1"/>
  <c r="A6970" i="1"/>
  <c r="P6970" i="1"/>
  <c r="A6971" i="1"/>
  <c r="P6971" i="1"/>
  <c r="A6972" i="1"/>
  <c r="P6972" i="1"/>
  <c r="A6973" i="1"/>
  <c r="P6973" i="1"/>
  <c r="A6974" i="1"/>
  <c r="P6974" i="1"/>
  <c r="A6975" i="1"/>
  <c r="P6975" i="1"/>
  <c r="A6976" i="1"/>
  <c r="P6976" i="1"/>
  <c r="A6977" i="1"/>
  <c r="P6977" i="1"/>
  <c r="A6978" i="1"/>
  <c r="P6978" i="1"/>
  <c r="A6979" i="1"/>
  <c r="P6979" i="1"/>
  <c r="A6980" i="1"/>
  <c r="P6980" i="1"/>
  <c r="A6981" i="1"/>
  <c r="P6981" i="1"/>
  <c r="A6982" i="1"/>
  <c r="P6982" i="1"/>
  <c r="A6983" i="1"/>
  <c r="P6983" i="1"/>
  <c r="A6984" i="1"/>
  <c r="P6984" i="1"/>
  <c r="A6985" i="1"/>
  <c r="P6985" i="1"/>
  <c r="A6986" i="1"/>
  <c r="P6986" i="1"/>
  <c r="A6987" i="1"/>
  <c r="P6987" i="1"/>
  <c r="A6988" i="1"/>
  <c r="P6988" i="1"/>
  <c r="A6989" i="1"/>
  <c r="P6989" i="1"/>
  <c r="A6990" i="1"/>
  <c r="P6990" i="1"/>
  <c r="A6991" i="1"/>
  <c r="P6991" i="1"/>
  <c r="A6992" i="1"/>
  <c r="P6992" i="1"/>
  <c r="A6993" i="1"/>
  <c r="P6993" i="1"/>
  <c r="A6994" i="1"/>
  <c r="P6994" i="1"/>
  <c r="A6995" i="1"/>
  <c r="P6995" i="1"/>
  <c r="A6996" i="1"/>
  <c r="P6996" i="1"/>
  <c r="A6997" i="1"/>
  <c r="P6997" i="1"/>
  <c r="A6998" i="1"/>
  <c r="P6998" i="1"/>
  <c r="A6999" i="1"/>
  <c r="P6999" i="1"/>
  <c r="A7000" i="1"/>
  <c r="P7000" i="1"/>
  <c r="A7001" i="1"/>
  <c r="P7001" i="1"/>
  <c r="A7002" i="1"/>
  <c r="P7002" i="1"/>
  <c r="A7003" i="1"/>
  <c r="P7003" i="1"/>
  <c r="A7004" i="1"/>
  <c r="P7004" i="1"/>
  <c r="A7005" i="1"/>
  <c r="P7005" i="1"/>
  <c r="A7006" i="1"/>
  <c r="P7006" i="1"/>
  <c r="A7007" i="1"/>
  <c r="P7007" i="1"/>
  <c r="A7008" i="1"/>
  <c r="P7008" i="1"/>
  <c r="A7009" i="1"/>
  <c r="P7009" i="1"/>
  <c r="A7010" i="1"/>
  <c r="P7010" i="1"/>
  <c r="A7011" i="1"/>
  <c r="P7011" i="1"/>
  <c r="A7012" i="1"/>
  <c r="P7012" i="1"/>
  <c r="A7013" i="1"/>
  <c r="P7013" i="1"/>
  <c r="A7014" i="1"/>
  <c r="P7014" i="1"/>
  <c r="A7015" i="1"/>
  <c r="P7015" i="1"/>
  <c r="A7016" i="1"/>
  <c r="P7016" i="1"/>
  <c r="A7017" i="1"/>
  <c r="P7017" i="1"/>
  <c r="A7018" i="1"/>
  <c r="P7018" i="1"/>
  <c r="A7019" i="1"/>
  <c r="P7019" i="1"/>
  <c r="A7020" i="1"/>
  <c r="P7020" i="1"/>
  <c r="A7021" i="1"/>
  <c r="P7021" i="1"/>
  <c r="A7022" i="1"/>
  <c r="P7022" i="1"/>
  <c r="A7023" i="1"/>
  <c r="P7023" i="1"/>
  <c r="A7024" i="1"/>
  <c r="P7024" i="1"/>
  <c r="A7025" i="1"/>
  <c r="P7025" i="1"/>
  <c r="A7026" i="1"/>
  <c r="P7026" i="1"/>
  <c r="A7027" i="1"/>
  <c r="P7027" i="1"/>
  <c r="A7028" i="1"/>
  <c r="P7028" i="1"/>
  <c r="A7029" i="1"/>
  <c r="P7029" i="1"/>
  <c r="A7030" i="1"/>
  <c r="P7030" i="1"/>
  <c r="A7031" i="1"/>
  <c r="P7031" i="1"/>
  <c r="A7032" i="1"/>
  <c r="P7032" i="1"/>
  <c r="A7033" i="1"/>
  <c r="P7033" i="1"/>
  <c r="A7034" i="1"/>
  <c r="P7034" i="1"/>
  <c r="A7035" i="1"/>
  <c r="P7035" i="1"/>
  <c r="A7036" i="1"/>
  <c r="P7036" i="1"/>
  <c r="A7037" i="1"/>
  <c r="P7037" i="1"/>
  <c r="A7038" i="1"/>
  <c r="P7038" i="1"/>
  <c r="A7039" i="1"/>
  <c r="P7039" i="1"/>
  <c r="A7040" i="1"/>
  <c r="P7040" i="1"/>
  <c r="A7041" i="1"/>
  <c r="P7041" i="1"/>
  <c r="A7042" i="1"/>
  <c r="P7042" i="1"/>
  <c r="A7043" i="1"/>
  <c r="P7043" i="1"/>
  <c r="A7044" i="1"/>
  <c r="P7044" i="1"/>
  <c r="A7045" i="1"/>
  <c r="P7045" i="1"/>
  <c r="A7046" i="1"/>
  <c r="P7046" i="1"/>
  <c r="A7047" i="1"/>
  <c r="P7047" i="1"/>
  <c r="A7048" i="1"/>
  <c r="P7048" i="1"/>
  <c r="A7049" i="1"/>
  <c r="P7049" i="1"/>
  <c r="A7050" i="1"/>
  <c r="P7050" i="1"/>
  <c r="A7051" i="1"/>
  <c r="P7051" i="1"/>
  <c r="A7052" i="1"/>
  <c r="P7052" i="1"/>
  <c r="A7053" i="1"/>
  <c r="P7053" i="1"/>
  <c r="A7054" i="1"/>
  <c r="P7054" i="1"/>
  <c r="A7055" i="1"/>
  <c r="P7055" i="1"/>
  <c r="A7056" i="1"/>
  <c r="P7056" i="1"/>
  <c r="A7057" i="1"/>
  <c r="P7057" i="1"/>
  <c r="A7058" i="1"/>
  <c r="P7058" i="1"/>
  <c r="A7059" i="1"/>
  <c r="P7059" i="1"/>
  <c r="A7060" i="1"/>
  <c r="P7060" i="1"/>
  <c r="A7061" i="1"/>
  <c r="P7061" i="1"/>
  <c r="A7062" i="1"/>
  <c r="P7062" i="1"/>
  <c r="A7063" i="1"/>
  <c r="P7063" i="1"/>
  <c r="A7064" i="1"/>
  <c r="P7064" i="1"/>
  <c r="A7065" i="1"/>
  <c r="P7065" i="1"/>
  <c r="A7066" i="1"/>
  <c r="P7066" i="1"/>
  <c r="A7067" i="1"/>
  <c r="P7067" i="1"/>
  <c r="A7068" i="1"/>
  <c r="P7068" i="1"/>
  <c r="A7069" i="1"/>
  <c r="P7069" i="1"/>
  <c r="A7070" i="1"/>
  <c r="P7070" i="1"/>
  <c r="A7071" i="1"/>
  <c r="P7071" i="1"/>
  <c r="A7072" i="1"/>
  <c r="P7072" i="1"/>
  <c r="A7073" i="1"/>
  <c r="P7073" i="1"/>
  <c r="A7074" i="1"/>
  <c r="P7074" i="1"/>
  <c r="A7075" i="1"/>
  <c r="P7075" i="1"/>
  <c r="A7076" i="1"/>
  <c r="P7076" i="1"/>
  <c r="A7077" i="1"/>
  <c r="P7077" i="1"/>
  <c r="A7078" i="1"/>
  <c r="P7078" i="1"/>
  <c r="A7079" i="1"/>
  <c r="P7079" i="1"/>
  <c r="A7080" i="1"/>
  <c r="P7080" i="1"/>
  <c r="A7081" i="1"/>
  <c r="P7081" i="1"/>
  <c r="A7082" i="1"/>
  <c r="P7082" i="1"/>
  <c r="A7083" i="1"/>
  <c r="P7083" i="1"/>
  <c r="A7084" i="1"/>
  <c r="P7084" i="1"/>
  <c r="A7085" i="1"/>
  <c r="P7085" i="1"/>
  <c r="A7086" i="1"/>
  <c r="P7086" i="1"/>
  <c r="A7087" i="1"/>
  <c r="P7087" i="1"/>
  <c r="A7088" i="1"/>
  <c r="P7088" i="1"/>
  <c r="A7089" i="1"/>
  <c r="P7089" i="1"/>
  <c r="A7090" i="1"/>
  <c r="P7090" i="1"/>
  <c r="A7091" i="1"/>
  <c r="P7091" i="1"/>
  <c r="A7092" i="1"/>
  <c r="P7092" i="1"/>
  <c r="A7093" i="1"/>
  <c r="P7093" i="1"/>
  <c r="A7094" i="1"/>
  <c r="P7094" i="1"/>
  <c r="A7095" i="1"/>
  <c r="P7095" i="1"/>
  <c r="A7096" i="1"/>
  <c r="P7096" i="1"/>
  <c r="A7097" i="1"/>
  <c r="P7097" i="1"/>
  <c r="A7098" i="1"/>
  <c r="P7098" i="1"/>
  <c r="A7099" i="1"/>
  <c r="P7099" i="1"/>
  <c r="A7100" i="1"/>
  <c r="P7100" i="1"/>
  <c r="A7101" i="1"/>
  <c r="P7101" i="1"/>
  <c r="A7102" i="1"/>
  <c r="P7102" i="1"/>
  <c r="A7103" i="1"/>
  <c r="P7103" i="1"/>
  <c r="A7104" i="1"/>
  <c r="P7104" i="1"/>
  <c r="A7105" i="1"/>
  <c r="P7105" i="1"/>
  <c r="A7106" i="1"/>
  <c r="P7106" i="1"/>
  <c r="A7107" i="1"/>
  <c r="P7107" i="1"/>
  <c r="A7108" i="1"/>
  <c r="P7108" i="1"/>
  <c r="A7109" i="1"/>
  <c r="P7109" i="1"/>
  <c r="A7110" i="1"/>
  <c r="P7110" i="1"/>
  <c r="A7111" i="1"/>
  <c r="P7111" i="1"/>
  <c r="A7112" i="1"/>
  <c r="P7112" i="1"/>
  <c r="A7113" i="1"/>
  <c r="P7113" i="1"/>
  <c r="A7114" i="1"/>
  <c r="P7114" i="1"/>
  <c r="A7115" i="1"/>
  <c r="P7115" i="1"/>
  <c r="A7116" i="1"/>
  <c r="P7116" i="1"/>
  <c r="A7117" i="1"/>
  <c r="P7117" i="1"/>
  <c r="A7118" i="1"/>
  <c r="P7118" i="1"/>
  <c r="A7119" i="1"/>
  <c r="P7119" i="1"/>
  <c r="A7120" i="1"/>
  <c r="P7120" i="1"/>
  <c r="A7121" i="1"/>
  <c r="P7121" i="1"/>
  <c r="A7122" i="1"/>
  <c r="P7122" i="1"/>
  <c r="A7123" i="1"/>
  <c r="P7123" i="1"/>
  <c r="A7124" i="1"/>
  <c r="P7124" i="1"/>
  <c r="A7125" i="1"/>
  <c r="P7125" i="1"/>
  <c r="A7126" i="1"/>
  <c r="P7126" i="1"/>
  <c r="A7127" i="1"/>
  <c r="P7127" i="1"/>
  <c r="A7128" i="1"/>
  <c r="P7128" i="1"/>
  <c r="A7129" i="1"/>
  <c r="P7129" i="1"/>
  <c r="A7130" i="1"/>
  <c r="P7130" i="1"/>
  <c r="A7131" i="1"/>
  <c r="P7131" i="1"/>
  <c r="A7132" i="1"/>
  <c r="P7132" i="1"/>
  <c r="A7133" i="1"/>
  <c r="P7133" i="1"/>
  <c r="A7134" i="1"/>
  <c r="P7134" i="1"/>
  <c r="A7135" i="1"/>
  <c r="P7135" i="1"/>
  <c r="A7136" i="1"/>
  <c r="P7136" i="1"/>
  <c r="A7137" i="1"/>
  <c r="P7137" i="1"/>
  <c r="A7138" i="1"/>
  <c r="P7138" i="1"/>
  <c r="A7139" i="1"/>
  <c r="P7139" i="1"/>
  <c r="A7140" i="1"/>
  <c r="P7140" i="1"/>
  <c r="A7141" i="1"/>
  <c r="P7141" i="1"/>
  <c r="A7142" i="1"/>
  <c r="P7142" i="1"/>
  <c r="A7143" i="1"/>
  <c r="P7143" i="1"/>
  <c r="A7144" i="1"/>
  <c r="P7144" i="1"/>
  <c r="A7145" i="1"/>
  <c r="P7145" i="1"/>
  <c r="A7146" i="1"/>
  <c r="P7146" i="1"/>
  <c r="A7147" i="1"/>
  <c r="P7147" i="1"/>
  <c r="A7148" i="1"/>
  <c r="P7148" i="1"/>
  <c r="A7149" i="1"/>
  <c r="P7149" i="1"/>
  <c r="A7150" i="1"/>
  <c r="P7150" i="1"/>
  <c r="A7151" i="1"/>
  <c r="P7151" i="1"/>
  <c r="A7152" i="1"/>
  <c r="P7152" i="1"/>
  <c r="A7153" i="1"/>
  <c r="P7153" i="1"/>
  <c r="A7154" i="1"/>
  <c r="P7154" i="1"/>
  <c r="A7155" i="1"/>
  <c r="P7155" i="1"/>
  <c r="A7156" i="1"/>
  <c r="P7156" i="1"/>
  <c r="A7157" i="1"/>
  <c r="P7157" i="1"/>
  <c r="A7158" i="1"/>
  <c r="P7158" i="1"/>
  <c r="A7159" i="1"/>
  <c r="P7159" i="1"/>
  <c r="A7160" i="1"/>
  <c r="P7160" i="1"/>
  <c r="A7161" i="1"/>
  <c r="P7161" i="1"/>
  <c r="A7162" i="1"/>
  <c r="P7162" i="1"/>
  <c r="A7163" i="1"/>
  <c r="P7163" i="1"/>
  <c r="A7164" i="1"/>
  <c r="P7164" i="1"/>
  <c r="A7165" i="1"/>
  <c r="P7165" i="1"/>
  <c r="A7166" i="1"/>
  <c r="P7166" i="1"/>
  <c r="A7167" i="1"/>
  <c r="P7167" i="1"/>
  <c r="A7168" i="1"/>
  <c r="P7168" i="1"/>
  <c r="A7169" i="1"/>
  <c r="P7169" i="1"/>
  <c r="A7170" i="1"/>
  <c r="P7170" i="1"/>
  <c r="A7171" i="1"/>
  <c r="P7171" i="1"/>
  <c r="A7172" i="1"/>
  <c r="P7172" i="1"/>
  <c r="A7173" i="1"/>
  <c r="P7173" i="1"/>
  <c r="A7174" i="1"/>
  <c r="P7174" i="1"/>
  <c r="A7175" i="1"/>
  <c r="P7175" i="1"/>
  <c r="A7176" i="1"/>
  <c r="P7176" i="1"/>
  <c r="A7177" i="1"/>
  <c r="P7177" i="1"/>
  <c r="A7178" i="1"/>
  <c r="P7178" i="1"/>
  <c r="A7179" i="1"/>
  <c r="P7179" i="1"/>
  <c r="A7180" i="1"/>
  <c r="P7180" i="1"/>
  <c r="A7181" i="1"/>
  <c r="P7181" i="1"/>
  <c r="A7182" i="1"/>
  <c r="P7182" i="1"/>
  <c r="A7183" i="1"/>
  <c r="P7183" i="1"/>
  <c r="A7184" i="1"/>
  <c r="P7184" i="1"/>
  <c r="A7185" i="1"/>
  <c r="P7185" i="1"/>
  <c r="A7186" i="1"/>
  <c r="P7186" i="1"/>
  <c r="A7187" i="1"/>
  <c r="P7187" i="1"/>
  <c r="A7188" i="1"/>
  <c r="P7188" i="1"/>
  <c r="A7189" i="1"/>
  <c r="P7189" i="1"/>
  <c r="A7190" i="1"/>
  <c r="P7190" i="1"/>
  <c r="A7191" i="1"/>
  <c r="P7191" i="1"/>
  <c r="A7192" i="1"/>
  <c r="P7192" i="1"/>
  <c r="A7193" i="1"/>
  <c r="P7193" i="1"/>
  <c r="A7194" i="1"/>
  <c r="P7194" i="1"/>
  <c r="A7195" i="1"/>
  <c r="P7195" i="1"/>
  <c r="A7196" i="1"/>
  <c r="P7196" i="1"/>
  <c r="A7197" i="1"/>
  <c r="P7197" i="1"/>
  <c r="A7198" i="1"/>
  <c r="P7198" i="1"/>
  <c r="A7199" i="1"/>
  <c r="P7199" i="1"/>
  <c r="A7200" i="1"/>
  <c r="P7200" i="1"/>
  <c r="A7201" i="1"/>
  <c r="P7201" i="1"/>
  <c r="A7202" i="1"/>
  <c r="P7202" i="1"/>
  <c r="A7203" i="1"/>
  <c r="P7203" i="1"/>
  <c r="A7204" i="1"/>
  <c r="P7204" i="1"/>
  <c r="A7205" i="1"/>
  <c r="P7205" i="1"/>
  <c r="A7206" i="1"/>
  <c r="P7206" i="1"/>
  <c r="A7207" i="1"/>
  <c r="P7207" i="1"/>
  <c r="A7208" i="1"/>
  <c r="P7208" i="1"/>
  <c r="A7209" i="1"/>
  <c r="P7209" i="1"/>
  <c r="A7210" i="1"/>
  <c r="P7210" i="1"/>
  <c r="A7211" i="1"/>
  <c r="P7211" i="1"/>
  <c r="A7212" i="1"/>
  <c r="P7212" i="1"/>
  <c r="A7213" i="1"/>
  <c r="P7213" i="1"/>
  <c r="A7214" i="1"/>
  <c r="P7214" i="1"/>
  <c r="A7215" i="1"/>
  <c r="P7215" i="1"/>
  <c r="A7216" i="1"/>
  <c r="P7216" i="1"/>
  <c r="A7217" i="1"/>
  <c r="P7217" i="1"/>
  <c r="A7218" i="1"/>
  <c r="P7218" i="1"/>
  <c r="A7219" i="1"/>
  <c r="P7219" i="1"/>
  <c r="A7220" i="1"/>
  <c r="P7220" i="1"/>
  <c r="A7221" i="1"/>
  <c r="P7221" i="1"/>
  <c r="A7222" i="1"/>
  <c r="P7222" i="1"/>
  <c r="A7223" i="1"/>
  <c r="P7223" i="1"/>
  <c r="A7224" i="1"/>
  <c r="P7224" i="1"/>
  <c r="A7225" i="1"/>
  <c r="P7225" i="1"/>
  <c r="A7226" i="1"/>
  <c r="P7226" i="1"/>
  <c r="A7227" i="1"/>
  <c r="P7227" i="1"/>
  <c r="A7228" i="1"/>
  <c r="P7228" i="1"/>
  <c r="A7229" i="1"/>
  <c r="P7229" i="1"/>
  <c r="A7230" i="1"/>
  <c r="P7230" i="1"/>
  <c r="A7231" i="1"/>
  <c r="P7231" i="1"/>
  <c r="A7232" i="1"/>
  <c r="P7232" i="1"/>
  <c r="A7233" i="1"/>
  <c r="P7233" i="1"/>
  <c r="A7234" i="1"/>
  <c r="P7234" i="1"/>
  <c r="A7235" i="1"/>
  <c r="P7235" i="1"/>
  <c r="A7236" i="1"/>
  <c r="P7236" i="1"/>
  <c r="A7237" i="1"/>
  <c r="P7237" i="1"/>
  <c r="A7238" i="1"/>
  <c r="P7238" i="1"/>
  <c r="A7239" i="1"/>
  <c r="P7239" i="1"/>
  <c r="A7240" i="1"/>
  <c r="P7240" i="1"/>
  <c r="A7241" i="1"/>
  <c r="P7241" i="1"/>
  <c r="A7242" i="1"/>
  <c r="P7242" i="1"/>
  <c r="A7243" i="1"/>
  <c r="P7243" i="1"/>
  <c r="A7244" i="1"/>
  <c r="P7244" i="1"/>
  <c r="A7245" i="1"/>
  <c r="P7245" i="1"/>
  <c r="A7246" i="1"/>
  <c r="P7246" i="1"/>
  <c r="A7247" i="1"/>
  <c r="P7247" i="1"/>
  <c r="A7248" i="1"/>
  <c r="P7248" i="1"/>
  <c r="A7249" i="1"/>
  <c r="P7249" i="1"/>
  <c r="A7250" i="1"/>
  <c r="P7250" i="1"/>
  <c r="A7251" i="1"/>
  <c r="P7251" i="1"/>
  <c r="A7252" i="1"/>
  <c r="P7252" i="1"/>
  <c r="A7253" i="1"/>
  <c r="P7253" i="1"/>
  <c r="A7254" i="1"/>
  <c r="P7254" i="1"/>
  <c r="A7255" i="1"/>
  <c r="P7255" i="1"/>
  <c r="A7256" i="1"/>
  <c r="P7256" i="1"/>
  <c r="A7257" i="1"/>
  <c r="P7257" i="1"/>
  <c r="A7258" i="1"/>
  <c r="P7258" i="1"/>
  <c r="A7259" i="1"/>
  <c r="P7259" i="1"/>
  <c r="A7260" i="1"/>
  <c r="P7260" i="1"/>
  <c r="A7261" i="1"/>
  <c r="P7261" i="1"/>
  <c r="A7262" i="1"/>
  <c r="P7262" i="1"/>
  <c r="A7263" i="1"/>
  <c r="P7263" i="1"/>
  <c r="A7264" i="1"/>
  <c r="P7264" i="1"/>
  <c r="A7265" i="1"/>
  <c r="P7265" i="1"/>
  <c r="A7266" i="1"/>
  <c r="P7266" i="1"/>
  <c r="A7267" i="1"/>
  <c r="P7267" i="1"/>
  <c r="A7268" i="1"/>
  <c r="P7268" i="1"/>
  <c r="A7269" i="1"/>
  <c r="P7269" i="1"/>
  <c r="A7270" i="1"/>
  <c r="P7270" i="1"/>
  <c r="A7271" i="1"/>
  <c r="P7271" i="1"/>
  <c r="A7272" i="1"/>
  <c r="P7272" i="1"/>
  <c r="A7273" i="1"/>
  <c r="P7273" i="1"/>
  <c r="A7274" i="1"/>
  <c r="P7274" i="1"/>
  <c r="A7275" i="1"/>
  <c r="P7275" i="1"/>
  <c r="A7276" i="1"/>
  <c r="P7276" i="1"/>
  <c r="A7277" i="1"/>
  <c r="P7277" i="1"/>
  <c r="A7278" i="1"/>
  <c r="P7278" i="1"/>
  <c r="A7279" i="1"/>
  <c r="P7279" i="1"/>
  <c r="A7280" i="1"/>
  <c r="P7280" i="1"/>
  <c r="A7281" i="1"/>
  <c r="P7281" i="1"/>
  <c r="A7282" i="1"/>
  <c r="P7282" i="1"/>
  <c r="A7283" i="1"/>
  <c r="P7283" i="1"/>
  <c r="A7284" i="1"/>
  <c r="P7284" i="1"/>
  <c r="A7285" i="1"/>
  <c r="P7285" i="1"/>
  <c r="A7286" i="1"/>
  <c r="P7286" i="1"/>
  <c r="A7287" i="1"/>
  <c r="P7287" i="1"/>
  <c r="A7288" i="1"/>
  <c r="P7288" i="1"/>
  <c r="A7289" i="1"/>
  <c r="P7289" i="1"/>
  <c r="A7290" i="1"/>
  <c r="P7290" i="1"/>
  <c r="A7291" i="1"/>
  <c r="P7291" i="1"/>
  <c r="A7292" i="1"/>
  <c r="P7292" i="1"/>
  <c r="A7293" i="1"/>
  <c r="P7293" i="1"/>
  <c r="A7294" i="1"/>
  <c r="P7294" i="1"/>
  <c r="A7295" i="1"/>
  <c r="P7295" i="1"/>
  <c r="A7296" i="1"/>
  <c r="P7296" i="1"/>
  <c r="A7297" i="1"/>
  <c r="P7297" i="1"/>
  <c r="A7298" i="1"/>
  <c r="P7298" i="1"/>
  <c r="A7299" i="1"/>
  <c r="P7299" i="1"/>
  <c r="A7300" i="1"/>
  <c r="P7300" i="1"/>
  <c r="A7301" i="1"/>
  <c r="P7301" i="1"/>
  <c r="A7302" i="1"/>
  <c r="P7302" i="1"/>
  <c r="A7303" i="1"/>
  <c r="P7303" i="1"/>
  <c r="A7304" i="1"/>
  <c r="P7304" i="1"/>
  <c r="A7305" i="1"/>
  <c r="P7305" i="1"/>
  <c r="A7306" i="1"/>
  <c r="P7306" i="1"/>
  <c r="A7307" i="1"/>
  <c r="P7307" i="1"/>
  <c r="A7308" i="1"/>
  <c r="P7308" i="1"/>
  <c r="A7309" i="1"/>
  <c r="P7309" i="1"/>
  <c r="A7310" i="1"/>
  <c r="P7310" i="1"/>
  <c r="A7311" i="1"/>
  <c r="P7311" i="1"/>
  <c r="A7312" i="1"/>
  <c r="P7312" i="1"/>
  <c r="A7313" i="1"/>
  <c r="P7313" i="1"/>
  <c r="A7314" i="1"/>
  <c r="P7314" i="1"/>
  <c r="A7315" i="1"/>
  <c r="P7315" i="1"/>
  <c r="A7316" i="1"/>
  <c r="P7316" i="1"/>
  <c r="A7317" i="1"/>
  <c r="P7317" i="1"/>
  <c r="A7318" i="1"/>
  <c r="P7318" i="1"/>
  <c r="A7319" i="1"/>
  <c r="P7319" i="1"/>
  <c r="A7320" i="1"/>
  <c r="P7320" i="1"/>
  <c r="A7321" i="1"/>
  <c r="P7321" i="1"/>
  <c r="A7322" i="1"/>
  <c r="P7322" i="1"/>
  <c r="A7323" i="1"/>
  <c r="P7323" i="1"/>
  <c r="A7324" i="1"/>
  <c r="P7324" i="1"/>
  <c r="A7325" i="1"/>
  <c r="P7325" i="1"/>
  <c r="A7326" i="1"/>
  <c r="P7326" i="1"/>
  <c r="A7327" i="1"/>
  <c r="P7327" i="1"/>
  <c r="A7328" i="1"/>
  <c r="P7328" i="1"/>
  <c r="A7329" i="1"/>
  <c r="P7329" i="1"/>
  <c r="A7330" i="1"/>
  <c r="P7330" i="1"/>
  <c r="A7331" i="1"/>
  <c r="P7331" i="1"/>
  <c r="A7332" i="1"/>
  <c r="P7332" i="1"/>
  <c r="A7333" i="1"/>
  <c r="P7333" i="1"/>
  <c r="A7334" i="1"/>
  <c r="P7334" i="1"/>
  <c r="A7335" i="1"/>
  <c r="P7335" i="1"/>
  <c r="A7336" i="1"/>
  <c r="P7336" i="1"/>
  <c r="A7337" i="1"/>
  <c r="P7337" i="1"/>
  <c r="A7338" i="1"/>
  <c r="P7338" i="1"/>
  <c r="A7339" i="1"/>
  <c r="P7339" i="1"/>
  <c r="A7340" i="1"/>
  <c r="P7340" i="1"/>
  <c r="A7341" i="1"/>
  <c r="P7341" i="1"/>
  <c r="A7342" i="1"/>
  <c r="P7342" i="1"/>
  <c r="A7343" i="1"/>
  <c r="P7343" i="1"/>
  <c r="A7344" i="1"/>
  <c r="P7344" i="1"/>
  <c r="A7345" i="1"/>
  <c r="P7345" i="1"/>
  <c r="A7346" i="1"/>
  <c r="P7346" i="1"/>
  <c r="A7347" i="1"/>
  <c r="P7347" i="1"/>
  <c r="A7348" i="1"/>
  <c r="P7348" i="1"/>
  <c r="A7349" i="1"/>
  <c r="P7349" i="1"/>
  <c r="A7350" i="1"/>
  <c r="P7350" i="1"/>
  <c r="A7351" i="1"/>
  <c r="P7351" i="1"/>
  <c r="A7352" i="1"/>
  <c r="P7352" i="1"/>
  <c r="A7353" i="1"/>
  <c r="P7353" i="1"/>
  <c r="A7354" i="1"/>
  <c r="P7354" i="1"/>
  <c r="A7355" i="1"/>
  <c r="P7355" i="1"/>
  <c r="A7356" i="1"/>
  <c r="P7356" i="1"/>
  <c r="A7357" i="1"/>
  <c r="P7357" i="1"/>
  <c r="A7358" i="1"/>
  <c r="P7358" i="1"/>
  <c r="A7359" i="1"/>
  <c r="P7359" i="1"/>
  <c r="A7360" i="1"/>
  <c r="P7360" i="1"/>
  <c r="A7361" i="1"/>
  <c r="P7361" i="1"/>
  <c r="A7362" i="1"/>
  <c r="P7362" i="1"/>
  <c r="A7363" i="1"/>
  <c r="P7363" i="1"/>
  <c r="A7364" i="1"/>
  <c r="P7364" i="1"/>
  <c r="A7365" i="1"/>
  <c r="P7365" i="1"/>
  <c r="A7366" i="1"/>
  <c r="P7366" i="1"/>
  <c r="A7367" i="1"/>
  <c r="P7367" i="1"/>
  <c r="A7368" i="1"/>
  <c r="P7368" i="1"/>
  <c r="A7369" i="1"/>
  <c r="P7369" i="1"/>
  <c r="A7370" i="1"/>
  <c r="P7370" i="1"/>
  <c r="A7371" i="1"/>
  <c r="P7371" i="1"/>
  <c r="A7372" i="1"/>
  <c r="P7372" i="1"/>
  <c r="A7373" i="1"/>
  <c r="P7373" i="1"/>
  <c r="A7374" i="1"/>
  <c r="P7374" i="1"/>
  <c r="A7375" i="1"/>
  <c r="P7375" i="1"/>
  <c r="A7376" i="1"/>
  <c r="P7376" i="1"/>
  <c r="A7377" i="1"/>
  <c r="P7377" i="1"/>
  <c r="A7378" i="1"/>
  <c r="P7378" i="1"/>
  <c r="A7379" i="1"/>
  <c r="P7379" i="1"/>
  <c r="A7380" i="1"/>
  <c r="P7380" i="1"/>
  <c r="A7381" i="1"/>
  <c r="P7381" i="1"/>
  <c r="A7382" i="1"/>
  <c r="P7382" i="1"/>
  <c r="A7383" i="1"/>
  <c r="P7383" i="1"/>
  <c r="A7384" i="1"/>
  <c r="P7384" i="1"/>
  <c r="A7385" i="1"/>
  <c r="P7385" i="1"/>
  <c r="A7386" i="1"/>
  <c r="P7386" i="1"/>
  <c r="A7387" i="1"/>
  <c r="P7387" i="1"/>
  <c r="A7388" i="1"/>
  <c r="P7388" i="1"/>
  <c r="A7389" i="1"/>
  <c r="P7389" i="1"/>
  <c r="A7390" i="1"/>
  <c r="P7390" i="1"/>
  <c r="A7391" i="1"/>
  <c r="P7391" i="1"/>
  <c r="A7392" i="1"/>
  <c r="P7392" i="1"/>
  <c r="A7393" i="1"/>
  <c r="P7393" i="1"/>
  <c r="A7394" i="1"/>
  <c r="P7394" i="1"/>
  <c r="A7395" i="1"/>
  <c r="P7395" i="1"/>
  <c r="A7396" i="1"/>
  <c r="P7396" i="1"/>
  <c r="A7397" i="1"/>
  <c r="P7397" i="1"/>
  <c r="A7398" i="1"/>
  <c r="P7398" i="1"/>
  <c r="A7399" i="1"/>
  <c r="P7399" i="1"/>
  <c r="A7400" i="1"/>
  <c r="P7400" i="1"/>
  <c r="A7401" i="1"/>
  <c r="P7401" i="1"/>
  <c r="A7402" i="1"/>
  <c r="P7402" i="1"/>
  <c r="A7403" i="1"/>
  <c r="P7403" i="1"/>
  <c r="A7404" i="1"/>
  <c r="P7404" i="1"/>
  <c r="A7405" i="1"/>
  <c r="P7405" i="1"/>
  <c r="A7406" i="1"/>
  <c r="P7406" i="1"/>
  <c r="A7407" i="1"/>
  <c r="P7407" i="1"/>
  <c r="A7408" i="1"/>
  <c r="P7408" i="1"/>
  <c r="A7409" i="1"/>
  <c r="P7409" i="1"/>
  <c r="A7410" i="1"/>
  <c r="P7410" i="1"/>
  <c r="A7411" i="1"/>
  <c r="P7411" i="1"/>
  <c r="A7412" i="1"/>
  <c r="P7412" i="1"/>
  <c r="A7413" i="1"/>
  <c r="P7413" i="1"/>
  <c r="A7414" i="1"/>
  <c r="P7414" i="1"/>
  <c r="A7415" i="1"/>
  <c r="P7415" i="1"/>
  <c r="A7416" i="1"/>
  <c r="P7416" i="1"/>
  <c r="A7417" i="1"/>
  <c r="P7417" i="1"/>
  <c r="A7418" i="1"/>
  <c r="P7418" i="1"/>
  <c r="A7419" i="1"/>
  <c r="P7419" i="1"/>
  <c r="A7420" i="1"/>
  <c r="P7420" i="1"/>
  <c r="A7421" i="1"/>
  <c r="P7421" i="1"/>
  <c r="A7422" i="1"/>
  <c r="P7422" i="1"/>
  <c r="A7423" i="1"/>
  <c r="P7423" i="1"/>
  <c r="A7424" i="1"/>
  <c r="P7424" i="1"/>
  <c r="A7425" i="1"/>
  <c r="P7425" i="1"/>
  <c r="A7426" i="1"/>
  <c r="P7426" i="1"/>
  <c r="A7427" i="1"/>
  <c r="P7427" i="1"/>
  <c r="A7428" i="1"/>
  <c r="P7428" i="1"/>
  <c r="A7429" i="1"/>
  <c r="P7429" i="1"/>
  <c r="A7430" i="1"/>
  <c r="P7430" i="1"/>
  <c r="A7431" i="1"/>
  <c r="P7431" i="1"/>
  <c r="A7432" i="1"/>
  <c r="P7432" i="1"/>
  <c r="A7433" i="1"/>
  <c r="P7433" i="1"/>
  <c r="A7434" i="1"/>
  <c r="P7434" i="1"/>
  <c r="A7435" i="1"/>
  <c r="P7435" i="1"/>
  <c r="A7436" i="1"/>
  <c r="P7436" i="1"/>
  <c r="A7437" i="1"/>
  <c r="P7437" i="1"/>
  <c r="A7438" i="1"/>
  <c r="P7438" i="1"/>
  <c r="A7439" i="1"/>
  <c r="P7439" i="1"/>
  <c r="A7440" i="1"/>
  <c r="P7440" i="1"/>
  <c r="A7441" i="1"/>
  <c r="P7441" i="1"/>
  <c r="A7442" i="1"/>
  <c r="P7442" i="1"/>
  <c r="A7443" i="1"/>
  <c r="P7443" i="1"/>
  <c r="A7444" i="1"/>
  <c r="P7444" i="1"/>
  <c r="A7445" i="1"/>
  <c r="P7445" i="1"/>
  <c r="A7446" i="1"/>
  <c r="P7446" i="1"/>
  <c r="A7447" i="1"/>
  <c r="P7447" i="1"/>
  <c r="A7448" i="1"/>
  <c r="P7448" i="1"/>
  <c r="A7449" i="1"/>
  <c r="P7449" i="1"/>
  <c r="A7450" i="1"/>
  <c r="P7450" i="1"/>
  <c r="A7451" i="1"/>
  <c r="P7451" i="1"/>
  <c r="A7452" i="1"/>
  <c r="P7452" i="1"/>
  <c r="A7453" i="1"/>
  <c r="P7453" i="1"/>
  <c r="A7454" i="1"/>
  <c r="P7454" i="1"/>
  <c r="A7455" i="1"/>
  <c r="P7455" i="1"/>
  <c r="A7456" i="1"/>
  <c r="P7456" i="1"/>
  <c r="A7457" i="1"/>
  <c r="P7457" i="1"/>
  <c r="A7458" i="1"/>
  <c r="P7458" i="1"/>
  <c r="A7459" i="1"/>
  <c r="P7459" i="1"/>
  <c r="A7460" i="1"/>
  <c r="P7460" i="1"/>
  <c r="A7461" i="1"/>
  <c r="P7461" i="1"/>
  <c r="A7462" i="1"/>
  <c r="P7462" i="1"/>
  <c r="A7463" i="1"/>
  <c r="P7463" i="1"/>
  <c r="A7464" i="1"/>
  <c r="P7464" i="1"/>
  <c r="A7465" i="1"/>
  <c r="P7465" i="1"/>
  <c r="A7466" i="1"/>
  <c r="P7466" i="1"/>
  <c r="A7467" i="1"/>
  <c r="P7467" i="1"/>
  <c r="A7468" i="1"/>
  <c r="P7468" i="1"/>
  <c r="A7469" i="1"/>
  <c r="P7469" i="1"/>
  <c r="A7470" i="1"/>
  <c r="P7470" i="1"/>
  <c r="A7471" i="1"/>
  <c r="P7471" i="1"/>
  <c r="A7472" i="1"/>
  <c r="P7472" i="1"/>
  <c r="A7473" i="1"/>
  <c r="P7473" i="1"/>
  <c r="A7474" i="1"/>
  <c r="P7474" i="1"/>
  <c r="A7475" i="1"/>
  <c r="P7475" i="1"/>
  <c r="A7476" i="1"/>
  <c r="P7476" i="1"/>
  <c r="A7477" i="1"/>
  <c r="P7477" i="1"/>
  <c r="A7478" i="1"/>
  <c r="P7478" i="1"/>
  <c r="A7479" i="1"/>
  <c r="P7479" i="1"/>
  <c r="A7480" i="1"/>
  <c r="P7480" i="1"/>
  <c r="A7481" i="1"/>
  <c r="P7481" i="1"/>
  <c r="A7482" i="1"/>
  <c r="P7482" i="1"/>
  <c r="A7483" i="1"/>
  <c r="P7483" i="1"/>
  <c r="A7484" i="1"/>
  <c r="P7484" i="1"/>
  <c r="A7485" i="1"/>
  <c r="P7485" i="1"/>
  <c r="A7486" i="1"/>
  <c r="P7486" i="1"/>
  <c r="A7487" i="1"/>
  <c r="P7487" i="1"/>
  <c r="A7488" i="1"/>
  <c r="P7488" i="1"/>
  <c r="A7489" i="1"/>
  <c r="P7489" i="1"/>
  <c r="A7490" i="1"/>
  <c r="P7490" i="1"/>
  <c r="A7491" i="1"/>
  <c r="P7491" i="1"/>
  <c r="A7492" i="1"/>
  <c r="P7492" i="1"/>
  <c r="A7493" i="1"/>
  <c r="P7493" i="1"/>
  <c r="A7494" i="1"/>
  <c r="P7494" i="1"/>
  <c r="A7495" i="1"/>
  <c r="P7495" i="1"/>
  <c r="A7496" i="1"/>
  <c r="P7496" i="1"/>
  <c r="A7497" i="1"/>
  <c r="P7497" i="1"/>
  <c r="A7498" i="1"/>
  <c r="P7498" i="1"/>
  <c r="A7499" i="1"/>
  <c r="P7499" i="1"/>
  <c r="A7500" i="1"/>
  <c r="P7500" i="1"/>
  <c r="A7501" i="1"/>
  <c r="P7501" i="1"/>
  <c r="A7502" i="1"/>
  <c r="P7502" i="1"/>
  <c r="A7503" i="1"/>
  <c r="P7503" i="1"/>
  <c r="A7504" i="1"/>
  <c r="P7504" i="1"/>
  <c r="A7505" i="1"/>
  <c r="P7505" i="1"/>
  <c r="A7506" i="1"/>
  <c r="P7506" i="1"/>
  <c r="A7507" i="1"/>
  <c r="P7507" i="1"/>
  <c r="A7508" i="1"/>
  <c r="P7508" i="1"/>
  <c r="A7509" i="1"/>
  <c r="P7509" i="1"/>
  <c r="A7510" i="1"/>
  <c r="P7510" i="1"/>
  <c r="A7511" i="1"/>
  <c r="P7511" i="1"/>
  <c r="A7512" i="1"/>
  <c r="P7512" i="1"/>
  <c r="A7513" i="1"/>
  <c r="P7513" i="1"/>
  <c r="A7514" i="1"/>
  <c r="P7514" i="1"/>
  <c r="A7515" i="1"/>
  <c r="P7515" i="1"/>
  <c r="A7516" i="1"/>
  <c r="P7516" i="1"/>
  <c r="A7517" i="1"/>
  <c r="P7517" i="1"/>
  <c r="A7518" i="1"/>
  <c r="P7518" i="1"/>
  <c r="A7519" i="1"/>
  <c r="P7519" i="1"/>
  <c r="A7520" i="1"/>
  <c r="P7520" i="1"/>
  <c r="A7521" i="1"/>
  <c r="P7521" i="1"/>
  <c r="A7522" i="1"/>
  <c r="P7522" i="1"/>
  <c r="A7523" i="1"/>
  <c r="P7523" i="1"/>
  <c r="A7524" i="1"/>
  <c r="P7524" i="1"/>
  <c r="A7525" i="1"/>
  <c r="P7525" i="1"/>
  <c r="A7526" i="1"/>
  <c r="P7526" i="1"/>
  <c r="A7527" i="1"/>
  <c r="P7527" i="1"/>
  <c r="A7528" i="1"/>
  <c r="P7528" i="1"/>
  <c r="A7529" i="1"/>
  <c r="P7529" i="1"/>
  <c r="A7530" i="1"/>
  <c r="P7530" i="1"/>
  <c r="A7531" i="1"/>
  <c r="P7531" i="1"/>
  <c r="A7532" i="1"/>
  <c r="P7532" i="1"/>
  <c r="A7533" i="1"/>
  <c r="P7533" i="1"/>
  <c r="A7534" i="1"/>
  <c r="P7534" i="1"/>
  <c r="A7535" i="1"/>
  <c r="P7535" i="1"/>
  <c r="A7536" i="1"/>
  <c r="P7536" i="1"/>
  <c r="A7537" i="1"/>
  <c r="P7537" i="1"/>
  <c r="A7538" i="1"/>
  <c r="P7538" i="1"/>
  <c r="A7539" i="1"/>
  <c r="P7539" i="1"/>
  <c r="A7540" i="1"/>
  <c r="P7540" i="1"/>
  <c r="A7541" i="1"/>
  <c r="P7541" i="1"/>
  <c r="A7542" i="1"/>
  <c r="P7542" i="1"/>
  <c r="A7543" i="1"/>
  <c r="P7543" i="1"/>
  <c r="A7544" i="1"/>
  <c r="P7544" i="1"/>
  <c r="A7545" i="1"/>
  <c r="P7545" i="1"/>
  <c r="A7546" i="1"/>
  <c r="P7546" i="1"/>
  <c r="A7547" i="1"/>
  <c r="P7547" i="1"/>
  <c r="A7548" i="1"/>
  <c r="P7548" i="1"/>
  <c r="A7549" i="1"/>
  <c r="P7549" i="1"/>
  <c r="A7550" i="1"/>
  <c r="P7550" i="1"/>
  <c r="A7551" i="1"/>
  <c r="P7551" i="1"/>
  <c r="A7552" i="1"/>
  <c r="P7552" i="1"/>
  <c r="A7553" i="1"/>
  <c r="P7553" i="1"/>
  <c r="A7554" i="1"/>
  <c r="P7554" i="1"/>
  <c r="A7555" i="1"/>
  <c r="P7555" i="1"/>
  <c r="A7556" i="1"/>
  <c r="P7556" i="1"/>
  <c r="A7557" i="1"/>
  <c r="P7557" i="1"/>
  <c r="A7558" i="1"/>
  <c r="P7558" i="1"/>
  <c r="A7559" i="1"/>
  <c r="P7559" i="1"/>
  <c r="A7560" i="1"/>
  <c r="P7560" i="1"/>
  <c r="A7561" i="1"/>
  <c r="P7561" i="1"/>
  <c r="A7562" i="1"/>
  <c r="P7562" i="1"/>
  <c r="A7563" i="1"/>
  <c r="P7563" i="1"/>
  <c r="A7564" i="1"/>
  <c r="P7564" i="1"/>
  <c r="A7565" i="1"/>
  <c r="P7565" i="1"/>
  <c r="A7566" i="1"/>
  <c r="P7566" i="1"/>
  <c r="A7567" i="1"/>
  <c r="P7567" i="1"/>
  <c r="A7568" i="1"/>
  <c r="P7568" i="1"/>
  <c r="A7569" i="1"/>
  <c r="P7569" i="1"/>
  <c r="A7570" i="1"/>
  <c r="P7570" i="1"/>
  <c r="A7571" i="1"/>
  <c r="P7571" i="1"/>
  <c r="A7572" i="1"/>
  <c r="P7572" i="1"/>
  <c r="A7573" i="1"/>
  <c r="P7573" i="1"/>
  <c r="A7574" i="1"/>
  <c r="P7574" i="1"/>
  <c r="A7575" i="1"/>
  <c r="P7575" i="1"/>
  <c r="A7576" i="1"/>
  <c r="P7576" i="1"/>
  <c r="A7577" i="1"/>
  <c r="P7577" i="1"/>
  <c r="A7578" i="1"/>
  <c r="P7578" i="1"/>
  <c r="A7579" i="1"/>
  <c r="P7579" i="1"/>
  <c r="A7580" i="1"/>
  <c r="P7580" i="1"/>
  <c r="A7581" i="1"/>
  <c r="P7581" i="1"/>
  <c r="A7582" i="1"/>
  <c r="P7582" i="1"/>
  <c r="A7583" i="1"/>
  <c r="P7583" i="1"/>
  <c r="A7584" i="1"/>
  <c r="P7584" i="1"/>
  <c r="A7585" i="1"/>
  <c r="P7585" i="1"/>
  <c r="A7586" i="1"/>
  <c r="P7586" i="1"/>
  <c r="A7587" i="1"/>
  <c r="P7587" i="1"/>
  <c r="A7588" i="1"/>
  <c r="P7588" i="1"/>
  <c r="A7589" i="1"/>
  <c r="P7589" i="1"/>
  <c r="A7590" i="1"/>
  <c r="P7590" i="1"/>
  <c r="A7591" i="1"/>
  <c r="P7591" i="1"/>
  <c r="A7592" i="1"/>
  <c r="P7592" i="1"/>
  <c r="A7593" i="1"/>
  <c r="P7593" i="1"/>
  <c r="A7594" i="1"/>
  <c r="P7594" i="1"/>
  <c r="A7595" i="1"/>
  <c r="P7595" i="1"/>
  <c r="A7596" i="1"/>
  <c r="P7596" i="1"/>
  <c r="A7597" i="1"/>
  <c r="P7597" i="1"/>
  <c r="A7598" i="1"/>
  <c r="P7598" i="1"/>
  <c r="A7599" i="1"/>
  <c r="P7599" i="1"/>
  <c r="A7600" i="1"/>
  <c r="P7600" i="1"/>
  <c r="A7601" i="1"/>
  <c r="P7601" i="1"/>
  <c r="A7602" i="1"/>
  <c r="P7602" i="1"/>
  <c r="A7603" i="1"/>
  <c r="P7603" i="1"/>
  <c r="A7604" i="1"/>
  <c r="P7604" i="1"/>
  <c r="A7605" i="1"/>
  <c r="P7605" i="1"/>
  <c r="A7606" i="1"/>
  <c r="P7606" i="1"/>
  <c r="A7607" i="1"/>
  <c r="P7607" i="1"/>
  <c r="A7608" i="1"/>
  <c r="P7608" i="1"/>
  <c r="A7609" i="1"/>
  <c r="P7609" i="1"/>
  <c r="A7610" i="1"/>
  <c r="P7610" i="1"/>
  <c r="A7611" i="1"/>
  <c r="P7611" i="1"/>
  <c r="A7612" i="1"/>
  <c r="P7612" i="1"/>
  <c r="A7613" i="1"/>
  <c r="P7613" i="1"/>
  <c r="A7614" i="1"/>
  <c r="P7614" i="1"/>
  <c r="A7615" i="1"/>
  <c r="P7615" i="1"/>
  <c r="A7616" i="1"/>
  <c r="P7616" i="1"/>
  <c r="A7617" i="1"/>
  <c r="P7617" i="1"/>
  <c r="A7618" i="1"/>
  <c r="P7618" i="1"/>
  <c r="A7619" i="1"/>
  <c r="P7619" i="1"/>
  <c r="A7620" i="1"/>
  <c r="P7620" i="1"/>
  <c r="A7621" i="1"/>
  <c r="P7621" i="1"/>
  <c r="A7622" i="1"/>
  <c r="P7622" i="1"/>
  <c r="A7623" i="1"/>
  <c r="P7623" i="1"/>
  <c r="A7624" i="1"/>
  <c r="P7624" i="1"/>
  <c r="A7625" i="1"/>
  <c r="P7625" i="1"/>
  <c r="A7626" i="1"/>
  <c r="P7626" i="1"/>
  <c r="A7627" i="1"/>
  <c r="P7627" i="1"/>
  <c r="A7628" i="1"/>
  <c r="P7628" i="1"/>
  <c r="A7629" i="1"/>
  <c r="P7629" i="1"/>
  <c r="A7630" i="1"/>
  <c r="P7630" i="1"/>
  <c r="A7631" i="1"/>
  <c r="P7631" i="1"/>
  <c r="A7632" i="1"/>
  <c r="P7632" i="1"/>
  <c r="A7633" i="1"/>
  <c r="P7633" i="1"/>
  <c r="A7634" i="1"/>
  <c r="P7634" i="1"/>
  <c r="A7635" i="1"/>
  <c r="P7635" i="1"/>
  <c r="A7636" i="1"/>
  <c r="P7636" i="1"/>
  <c r="A7637" i="1"/>
  <c r="P7637" i="1"/>
  <c r="A7638" i="1"/>
  <c r="P7638" i="1"/>
  <c r="A7639" i="1"/>
  <c r="P7639" i="1"/>
  <c r="A7640" i="1"/>
  <c r="P7640" i="1"/>
  <c r="A7641" i="1"/>
  <c r="P7641" i="1"/>
  <c r="A7642" i="1"/>
  <c r="P7642" i="1"/>
  <c r="A7643" i="1"/>
  <c r="P7643" i="1"/>
  <c r="A7644" i="1"/>
  <c r="P7644" i="1"/>
  <c r="A7645" i="1"/>
  <c r="P7645" i="1"/>
  <c r="A7646" i="1"/>
  <c r="P7646" i="1"/>
  <c r="A7647" i="1"/>
  <c r="P7647" i="1"/>
  <c r="A7648" i="1"/>
  <c r="P7648" i="1"/>
  <c r="A7649" i="1"/>
  <c r="P7649" i="1"/>
  <c r="A7650" i="1"/>
  <c r="P7650" i="1"/>
  <c r="A7651" i="1"/>
  <c r="P7651" i="1"/>
  <c r="A7652" i="1"/>
  <c r="P7652" i="1"/>
  <c r="A7653" i="1"/>
  <c r="P7653" i="1"/>
  <c r="A7654" i="1"/>
  <c r="P7654" i="1"/>
  <c r="A7655" i="1"/>
  <c r="P7655" i="1"/>
  <c r="A7656" i="1"/>
  <c r="P7656" i="1"/>
  <c r="A7657" i="1"/>
  <c r="P7657" i="1"/>
  <c r="A7658" i="1"/>
  <c r="P7658" i="1"/>
  <c r="A7659" i="1"/>
  <c r="P7659" i="1"/>
  <c r="A7660" i="1"/>
  <c r="P7660" i="1"/>
  <c r="A7661" i="1"/>
  <c r="P7661" i="1"/>
  <c r="A7662" i="1"/>
  <c r="P7662" i="1"/>
  <c r="A7663" i="1"/>
  <c r="P7663" i="1"/>
  <c r="A7664" i="1"/>
  <c r="P7664" i="1"/>
  <c r="A7665" i="1"/>
  <c r="P7665" i="1"/>
  <c r="A7666" i="1"/>
  <c r="P7666" i="1"/>
  <c r="A7667" i="1"/>
  <c r="P7667" i="1"/>
  <c r="A7668" i="1"/>
  <c r="P7668" i="1"/>
  <c r="A7669" i="1"/>
  <c r="P7669" i="1"/>
  <c r="A7670" i="1"/>
  <c r="P7670" i="1"/>
  <c r="A7671" i="1"/>
  <c r="P7671" i="1"/>
  <c r="A7672" i="1"/>
  <c r="P7672" i="1"/>
  <c r="A7673" i="1"/>
  <c r="P7673" i="1"/>
  <c r="A7674" i="1"/>
  <c r="P7674" i="1"/>
  <c r="A7675" i="1"/>
  <c r="P7675" i="1"/>
  <c r="A7676" i="1"/>
  <c r="P7676" i="1"/>
  <c r="A7677" i="1"/>
  <c r="P7677" i="1"/>
  <c r="A7678" i="1"/>
  <c r="P7678" i="1"/>
  <c r="A7679" i="1"/>
  <c r="P7679" i="1"/>
  <c r="A7680" i="1"/>
  <c r="P7680" i="1"/>
  <c r="A7681" i="1"/>
  <c r="P7681" i="1"/>
  <c r="A7682" i="1"/>
  <c r="P7682" i="1"/>
  <c r="A7683" i="1"/>
  <c r="P7683" i="1"/>
  <c r="A7684" i="1"/>
  <c r="P7684" i="1"/>
  <c r="A7685" i="1"/>
  <c r="P7685" i="1"/>
  <c r="A7686" i="1"/>
  <c r="P7686" i="1"/>
  <c r="A7687" i="1"/>
  <c r="P7687" i="1"/>
  <c r="A7688" i="1"/>
  <c r="P7688" i="1"/>
  <c r="A7689" i="1"/>
  <c r="P7689" i="1"/>
  <c r="A7690" i="1"/>
  <c r="P7690" i="1"/>
  <c r="A7691" i="1"/>
  <c r="P7691" i="1"/>
  <c r="A7692" i="1"/>
  <c r="P7692" i="1"/>
  <c r="A7693" i="1"/>
  <c r="P7693" i="1"/>
  <c r="A7694" i="1"/>
  <c r="P7694" i="1"/>
  <c r="A7695" i="1"/>
  <c r="P7695" i="1"/>
  <c r="A7696" i="1"/>
  <c r="P7696" i="1"/>
  <c r="A7697" i="1"/>
  <c r="P7697" i="1"/>
  <c r="A7698" i="1"/>
  <c r="P7698" i="1"/>
  <c r="A7699" i="1"/>
  <c r="P7699" i="1"/>
  <c r="A7700" i="1"/>
  <c r="P7700" i="1"/>
  <c r="A7701" i="1"/>
  <c r="P7701" i="1"/>
  <c r="A7702" i="1"/>
  <c r="P7702" i="1"/>
  <c r="A7703" i="1"/>
  <c r="P7703" i="1"/>
  <c r="A7704" i="1"/>
  <c r="P7704" i="1"/>
  <c r="A7705" i="1"/>
  <c r="P7705" i="1"/>
  <c r="A7706" i="1"/>
  <c r="P7706" i="1"/>
  <c r="A7707" i="1"/>
  <c r="P7707" i="1"/>
  <c r="A7708" i="1"/>
  <c r="P7708" i="1"/>
  <c r="A7709" i="1"/>
  <c r="P7709" i="1"/>
  <c r="A7710" i="1"/>
  <c r="P7710" i="1"/>
  <c r="A7711" i="1"/>
  <c r="P7711" i="1"/>
  <c r="A7712" i="1"/>
  <c r="P7712" i="1"/>
  <c r="A7713" i="1"/>
  <c r="P7713" i="1"/>
  <c r="A7714" i="1"/>
  <c r="P7714" i="1"/>
  <c r="A7715" i="1"/>
  <c r="P7715" i="1"/>
  <c r="A7716" i="1"/>
  <c r="P7716" i="1"/>
  <c r="A7717" i="1"/>
  <c r="P7717" i="1"/>
  <c r="A7718" i="1"/>
  <c r="P7718" i="1"/>
  <c r="A7719" i="1"/>
  <c r="P7719" i="1"/>
  <c r="A7720" i="1"/>
  <c r="P7720" i="1"/>
  <c r="A7721" i="1"/>
  <c r="P7721" i="1"/>
  <c r="A7722" i="1"/>
  <c r="P7722" i="1"/>
  <c r="A7723" i="1"/>
  <c r="P7723" i="1"/>
  <c r="A7724" i="1"/>
  <c r="P7724" i="1"/>
  <c r="A7725" i="1"/>
  <c r="P7725" i="1"/>
  <c r="A7726" i="1"/>
  <c r="P7726" i="1"/>
  <c r="A7727" i="1"/>
  <c r="P7727" i="1"/>
  <c r="A7728" i="1"/>
  <c r="P7728" i="1"/>
  <c r="A7729" i="1"/>
  <c r="P7729" i="1"/>
  <c r="A7730" i="1"/>
  <c r="P7730" i="1"/>
  <c r="A7731" i="1"/>
  <c r="P7731" i="1"/>
  <c r="A7732" i="1"/>
  <c r="P7732" i="1"/>
  <c r="A7733" i="1"/>
  <c r="P7733" i="1"/>
  <c r="A7734" i="1"/>
  <c r="P7734" i="1"/>
  <c r="A7735" i="1"/>
  <c r="P7735" i="1"/>
  <c r="A7736" i="1"/>
  <c r="P7736" i="1"/>
  <c r="A7737" i="1"/>
  <c r="P7737" i="1"/>
  <c r="A7738" i="1"/>
  <c r="P7738" i="1"/>
  <c r="A7739" i="1"/>
  <c r="P7739" i="1"/>
  <c r="A7740" i="1"/>
  <c r="P7740" i="1"/>
  <c r="A7741" i="1"/>
  <c r="P7741" i="1"/>
  <c r="A7742" i="1"/>
  <c r="P7742" i="1"/>
  <c r="A7743" i="1"/>
  <c r="P7743" i="1"/>
  <c r="A7744" i="1"/>
  <c r="P7744" i="1"/>
  <c r="A7745" i="1"/>
  <c r="P7745" i="1"/>
  <c r="A7746" i="1"/>
  <c r="P7746" i="1"/>
  <c r="A7747" i="1"/>
  <c r="P7747" i="1"/>
  <c r="A7748" i="1"/>
  <c r="P7748" i="1"/>
  <c r="A7749" i="1"/>
  <c r="P7749" i="1"/>
  <c r="A7750" i="1"/>
  <c r="P7750" i="1"/>
  <c r="A7751" i="1"/>
  <c r="P7751" i="1"/>
  <c r="A7752" i="1"/>
  <c r="P7752" i="1"/>
  <c r="A7753" i="1"/>
  <c r="P7753" i="1"/>
  <c r="A7754" i="1"/>
  <c r="P7754" i="1"/>
  <c r="A7755" i="1"/>
  <c r="P7755" i="1"/>
  <c r="A7756" i="1"/>
  <c r="P7756" i="1"/>
  <c r="A7757" i="1"/>
  <c r="P7757" i="1"/>
  <c r="A7758" i="1"/>
  <c r="P7758" i="1"/>
  <c r="A7759" i="1"/>
  <c r="P7759" i="1"/>
  <c r="A7760" i="1"/>
  <c r="P7760" i="1"/>
  <c r="A7761" i="1"/>
  <c r="P7761" i="1"/>
  <c r="A7762" i="1"/>
  <c r="P7762" i="1"/>
  <c r="A7763" i="1"/>
  <c r="P7763" i="1"/>
  <c r="A7764" i="1"/>
  <c r="P7764" i="1"/>
  <c r="A7765" i="1"/>
  <c r="P7765" i="1"/>
  <c r="A7766" i="1"/>
  <c r="P7766" i="1"/>
  <c r="A7767" i="1"/>
  <c r="P7767" i="1"/>
  <c r="A7768" i="1"/>
  <c r="P7768" i="1"/>
  <c r="A7769" i="1"/>
  <c r="P7769" i="1"/>
  <c r="A7770" i="1"/>
  <c r="P7770" i="1"/>
  <c r="A7771" i="1"/>
  <c r="P7771" i="1"/>
  <c r="A7772" i="1"/>
  <c r="P7772" i="1"/>
  <c r="A7773" i="1"/>
  <c r="P7773" i="1"/>
  <c r="A7774" i="1"/>
  <c r="P7774" i="1"/>
  <c r="A7775" i="1"/>
  <c r="P7775" i="1"/>
  <c r="A7776" i="1"/>
  <c r="P7776" i="1"/>
  <c r="A7777" i="1"/>
  <c r="P7777" i="1"/>
  <c r="A7778" i="1"/>
  <c r="P7778" i="1"/>
  <c r="A7779" i="1"/>
  <c r="P7779" i="1"/>
  <c r="A7780" i="1"/>
  <c r="P7780" i="1"/>
  <c r="A7781" i="1"/>
  <c r="P7781" i="1"/>
  <c r="A7782" i="1"/>
  <c r="P7782" i="1"/>
  <c r="A7783" i="1"/>
  <c r="P7783" i="1"/>
  <c r="A7784" i="1"/>
  <c r="P7784" i="1"/>
  <c r="A7785" i="1"/>
  <c r="P7785" i="1"/>
  <c r="A7786" i="1"/>
  <c r="P7786" i="1"/>
  <c r="A7787" i="1"/>
  <c r="P7787" i="1"/>
  <c r="A7788" i="1"/>
  <c r="P7788" i="1"/>
  <c r="A7789" i="1"/>
  <c r="P7789" i="1"/>
  <c r="A7790" i="1"/>
  <c r="P7790" i="1"/>
  <c r="A7791" i="1"/>
  <c r="P7791" i="1"/>
  <c r="A7792" i="1"/>
  <c r="P7792" i="1"/>
  <c r="A7793" i="1"/>
  <c r="P7793" i="1"/>
  <c r="A7794" i="1"/>
  <c r="P7794" i="1"/>
  <c r="A7795" i="1"/>
  <c r="P7795" i="1"/>
  <c r="A7796" i="1"/>
  <c r="P7796" i="1"/>
  <c r="A7797" i="1"/>
  <c r="P7797" i="1"/>
  <c r="A7798" i="1"/>
  <c r="P7798" i="1"/>
  <c r="A7799" i="1"/>
  <c r="P7799" i="1"/>
  <c r="A7800" i="1"/>
  <c r="P7800" i="1"/>
  <c r="A7801" i="1"/>
  <c r="P7801" i="1"/>
  <c r="A7802" i="1"/>
  <c r="P7802" i="1"/>
  <c r="A7803" i="1"/>
  <c r="P7803" i="1"/>
  <c r="A7804" i="1"/>
  <c r="P7804" i="1"/>
  <c r="A7805" i="1"/>
  <c r="P7805" i="1"/>
  <c r="A7806" i="1"/>
  <c r="P7806" i="1"/>
  <c r="A7807" i="1"/>
  <c r="P7807" i="1"/>
  <c r="A7808" i="1"/>
  <c r="P7808" i="1"/>
  <c r="A7809" i="1"/>
  <c r="P7809" i="1"/>
  <c r="A7810" i="1"/>
  <c r="P7810" i="1"/>
  <c r="A7811" i="1"/>
  <c r="P7811" i="1"/>
  <c r="A7812" i="1"/>
  <c r="P7812" i="1"/>
  <c r="A7813" i="1"/>
  <c r="P7813" i="1"/>
  <c r="A7814" i="1"/>
  <c r="P7814" i="1"/>
  <c r="A7815" i="1"/>
  <c r="P7815" i="1"/>
  <c r="A7816" i="1"/>
  <c r="P7816" i="1"/>
  <c r="A7817" i="1"/>
  <c r="P7817" i="1"/>
  <c r="A7818" i="1"/>
  <c r="P7818" i="1"/>
  <c r="A7819" i="1"/>
  <c r="P7819" i="1"/>
  <c r="A7820" i="1"/>
  <c r="P7820" i="1"/>
  <c r="A7821" i="1"/>
  <c r="P7821" i="1"/>
  <c r="A7822" i="1"/>
  <c r="P7822" i="1"/>
  <c r="A7823" i="1"/>
  <c r="P7823" i="1"/>
  <c r="A7824" i="1"/>
  <c r="P7824" i="1"/>
  <c r="A7825" i="1"/>
  <c r="P7825" i="1"/>
  <c r="A7826" i="1"/>
  <c r="P7826" i="1"/>
  <c r="A7827" i="1"/>
  <c r="P7827" i="1"/>
  <c r="A7828" i="1"/>
  <c r="P7828" i="1"/>
  <c r="A7829" i="1"/>
  <c r="P7829" i="1"/>
  <c r="A7830" i="1"/>
  <c r="P7830" i="1"/>
  <c r="A7831" i="1"/>
  <c r="P7831" i="1"/>
  <c r="A7832" i="1"/>
  <c r="P7832" i="1"/>
  <c r="A7833" i="1"/>
  <c r="P7833" i="1"/>
  <c r="A7834" i="1"/>
  <c r="P7834" i="1"/>
  <c r="A7835" i="1"/>
  <c r="P7835" i="1"/>
  <c r="A7836" i="1"/>
  <c r="P7836" i="1"/>
  <c r="A7837" i="1"/>
  <c r="P7837" i="1"/>
  <c r="A7838" i="1"/>
  <c r="P7838" i="1"/>
  <c r="A7839" i="1"/>
  <c r="P7839" i="1"/>
  <c r="A7840" i="1"/>
  <c r="P7840" i="1"/>
  <c r="A7841" i="1"/>
  <c r="P7841" i="1"/>
  <c r="A7842" i="1"/>
  <c r="P7842" i="1"/>
  <c r="A7843" i="1"/>
  <c r="P7843" i="1"/>
  <c r="A7844" i="1"/>
  <c r="P7844" i="1"/>
  <c r="A7845" i="1"/>
  <c r="P7845" i="1"/>
  <c r="A7846" i="1"/>
  <c r="P7846" i="1"/>
  <c r="A7847" i="1"/>
  <c r="P7847" i="1"/>
  <c r="A7848" i="1"/>
  <c r="P7848" i="1"/>
  <c r="A7849" i="1"/>
  <c r="P7849" i="1"/>
  <c r="A7850" i="1"/>
  <c r="P7850" i="1"/>
  <c r="A7851" i="1"/>
  <c r="P7851" i="1"/>
  <c r="A7852" i="1"/>
  <c r="P7852" i="1"/>
  <c r="A7853" i="1"/>
  <c r="P7853" i="1"/>
  <c r="A7854" i="1"/>
  <c r="P7854" i="1"/>
  <c r="A7855" i="1"/>
  <c r="P7855" i="1"/>
  <c r="A7856" i="1"/>
  <c r="P7856" i="1"/>
  <c r="A7857" i="1"/>
  <c r="P7857" i="1"/>
  <c r="A7858" i="1"/>
  <c r="P7858" i="1"/>
  <c r="A7859" i="1"/>
  <c r="P7859" i="1"/>
  <c r="A7860" i="1"/>
  <c r="P7860" i="1"/>
  <c r="A7861" i="1"/>
  <c r="P7861" i="1"/>
  <c r="A7862" i="1"/>
  <c r="P7862" i="1"/>
  <c r="A7863" i="1"/>
  <c r="P7863" i="1"/>
  <c r="A7864" i="1"/>
  <c r="P7864" i="1"/>
  <c r="A7865" i="1"/>
  <c r="P7865" i="1"/>
  <c r="A7866" i="1"/>
  <c r="P7866" i="1"/>
  <c r="A7867" i="1"/>
  <c r="P7867" i="1"/>
  <c r="A7868" i="1"/>
  <c r="P7868" i="1"/>
  <c r="A7869" i="1"/>
  <c r="P7869" i="1"/>
  <c r="A7870" i="1"/>
  <c r="P7870" i="1"/>
  <c r="A7871" i="1"/>
  <c r="P7871" i="1"/>
  <c r="A7872" i="1"/>
  <c r="P7872" i="1"/>
  <c r="A7873" i="1"/>
  <c r="P7873" i="1"/>
  <c r="A7874" i="1"/>
  <c r="P7874" i="1"/>
  <c r="A7875" i="1"/>
  <c r="P7875" i="1"/>
  <c r="A7876" i="1"/>
  <c r="P7876" i="1"/>
  <c r="A7877" i="1"/>
  <c r="P7877" i="1"/>
  <c r="A7878" i="1"/>
  <c r="P7878" i="1"/>
  <c r="A7879" i="1"/>
  <c r="P7879" i="1"/>
  <c r="A7880" i="1"/>
  <c r="P7880" i="1"/>
  <c r="A7881" i="1"/>
  <c r="P7881" i="1"/>
  <c r="A7882" i="1"/>
  <c r="P7882" i="1"/>
  <c r="A7883" i="1"/>
  <c r="P7883" i="1"/>
  <c r="A7884" i="1"/>
  <c r="P7884" i="1"/>
  <c r="A7885" i="1"/>
  <c r="P7885" i="1"/>
  <c r="A7886" i="1"/>
  <c r="P7886" i="1"/>
  <c r="A7887" i="1"/>
  <c r="P7887" i="1"/>
  <c r="A7888" i="1"/>
  <c r="P7888" i="1"/>
  <c r="A7889" i="1"/>
  <c r="P7889" i="1"/>
  <c r="A7890" i="1"/>
  <c r="P7890" i="1"/>
  <c r="A7891" i="1"/>
  <c r="P7891" i="1"/>
  <c r="A7892" i="1"/>
  <c r="P7892" i="1"/>
  <c r="A7893" i="1"/>
  <c r="P7893" i="1"/>
  <c r="A7894" i="1"/>
  <c r="P7894" i="1"/>
  <c r="A7895" i="1"/>
  <c r="P7895" i="1"/>
  <c r="A7896" i="1"/>
  <c r="P7896" i="1"/>
  <c r="A7897" i="1"/>
  <c r="P7897" i="1"/>
  <c r="A7898" i="1"/>
  <c r="P7898" i="1"/>
  <c r="A7899" i="1"/>
  <c r="P7899" i="1"/>
  <c r="A7900" i="1"/>
  <c r="P7900" i="1"/>
  <c r="A7901" i="1"/>
  <c r="P7901" i="1"/>
  <c r="A7902" i="1"/>
  <c r="P7902" i="1"/>
  <c r="A7903" i="1"/>
  <c r="P7903" i="1"/>
  <c r="A7904" i="1"/>
  <c r="P7904" i="1"/>
  <c r="A7905" i="1"/>
  <c r="P7905" i="1"/>
  <c r="A7906" i="1"/>
  <c r="P7906" i="1"/>
  <c r="A7907" i="1"/>
  <c r="P7907" i="1"/>
  <c r="A7908" i="1"/>
  <c r="P7908" i="1"/>
  <c r="A7909" i="1"/>
  <c r="P7909" i="1"/>
  <c r="A7910" i="1"/>
  <c r="P7910" i="1"/>
  <c r="A7911" i="1"/>
  <c r="P7911" i="1"/>
  <c r="A7912" i="1"/>
  <c r="P7912" i="1"/>
  <c r="A7913" i="1"/>
  <c r="P7913" i="1"/>
  <c r="A7914" i="1"/>
  <c r="P7914" i="1"/>
  <c r="A7915" i="1"/>
  <c r="P7915" i="1"/>
  <c r="A7916" i="1"/>
  <c r="P7916" i="1"/>
  <c r="A7917" i="1"/>
  <c r="P7917" i="1"/>
  <c r="A7918" i="1"/>
  <c r="P7918" i="1"/>
  <c r="A7919" i="1"/>
  <c r="P7919" i="1"/>
  <c r="A7920" i="1"/>
  <c r="P7920" i="1"/>
  <c r="A7921" i="1"/>
  <c r="P7921" i="1"/>
  <c r="A7922" i="1"/>
  <c r="P7922" i="1"/>
  <c r="A7923" i="1"/>
  <c r="P7923" i="1"/>
  <c r="A7924" i="1"/>
  <c r="P7924" i="1"/>
  <c r="A7925" i="1"/>
  <c r="P7925" i="1"/>
  <c r="A7926" i="1"/>
  <c r="P7926" i="1"/>
  <c r="A7927" i="1"/>
  <c r="P7927" i="1"/>
  <c r="A7928" i="1"/>
  <c r="P7928" i="1"/>
  <c r="A7929" i="1"/>
  <c r="P7929" i="1"/>
  <c r="A7930" i="1"/>
  <c r="P7930" i="1"/>
  <c r="A7931" i="1"/>
  <c r="P7931" i="1"/>
  <c r="A7932" i="1"/>
  <c r="P7932" i="1"/>
  <c r="A7933" i="1"/>
  <c r="P7933" i="1"/>
  <c r="A7934" i="1"/>
  <c r="P7934" i="1"/>
  <c r="A7935" i="1"/>
  <c r="P7935" i="1"/>
  <c r="A7936" i="1"/>
  <c r="P7936" i="1"/>
  <c r="A7937" i="1"/>
  <c r="P7937" i="1"/>
  <c r="A7938" i="1"/>
  <c r="P7938" i="1"/>
  <c r="A7939" i="1"/>
  <c r="P7939" i="1"/>
  <c r="A7940" i="1"/>
  <c r="P7940" i="1"/>
  <c r="A7941" i="1"/>
  <c r="P7941" i="1"/>
  <c r="A7942" i="1"/>
  <c r="P7942" i="1"/>
  <c r="A7943" i="1"/>
  <c r="P7943" i="1"/>
  <c r="A7944" i="1"/>
  <c r="P7944" i="1"/>
  <c r="A7945" i="1"/>
  <c r="P7945" i="1"/>
  <c r="A7946" i="1"/>
  <c r="P7946" i="1"/>
  <c r="A7947" i="1"/>
  <c r="P7947" i="1"/>
  <c r="A7948" i="1"/>
  <c r="P7948" i="1"/>
  <c r="A7949" i="1"/>
  <c r="P7949" i="1"/>
  <c r="A7950" i="1"/>
  <c r="P7950" i="1"/>
  <c r="A7951" i="1"/>
  <c r="P7951" i="1"/>
  <c r="A7952" i="1"/>
  <c r="P7952" i="1"/>
  <c r="A7953" i="1"/>
  <c r="P7953" i="1"/>
  <c r="A7954" i="1"/>
  <c r="P7954" i="1"/>
  <c r="A7955" i="1"/>
  <c r="P7955" i="1"/>
  <c r="A7956" i="1"/>
  <c r="P7956" i="1"/>
  <c r="A7957" i="1"/>
  <c r="P7957" i="1"/>
  <c r="A7958" i="1"/>
  <c r="P7958" i="1"/>
  <c r="A7959" i="1"/>
  <c r="P7959" i="1"/>
  <c r="A7960" i="1"/>
  <c r="P7960" i="1"/>
  <c r="A7961" i="1"/>
  <c r="P7961" i="1"/>
  <c r="A7962" i="1"/>
  <c r="P7962" i="1"/>
  <c r="A7963" i="1"/>
  <c r="P7963" i="1"/>
  <c r="A7964" i="1"/>
  <c r="P7964" i="1"/>
  <c r="A7965" i="1"/>
  <c r="P7965" i="1"/>
  <c r="A7966" i="1"/>
  <c r="P7966" i="1"/>
  <c r="A7967" i="1"/>
  <c r="P7967" i="1"/>
  <c r="A7968" i="1"/>
  <c r="P7968" i="1"/>
  <c r="A7969" i="1"/>
  <c r="P7969" i="1"/>
  <c r="A7970" i="1"/>
  <c r="P7970" i="1"/>
  <c r="A7971" i="1"/>
  <c r="P7971" i="1"/>
  <c r="A7972" i="1"/>
  <c r="P7972" i="1"/>
  <c r="A7973" i="1"/>
  <c r="P7973" i="1"/>
  <c r="A7974" i="1"/>
  <c r="P7974" i="1"/>
  <c r="A7975" i="1"/>
  <c r="P7975" i="1"/>
  <c r="A7976" i="1"/>
  <c r="P7976" i="1"/>
  <c r="A7977" i="1"/>
  <c r="P7977" i="1"/>
  <c r="A7978" i="1"/>
  <c r="P7978" i="1"/>
  <c r="A7979" i="1"/>
  <c r="P7979" i="1"/>
  <c r="A7980" i="1"/>
  <c r="P7980" i="1"/>
  <c r="A7981" i="1"/>
  <c r="P7981" i="1"/>
  <c r="A7982" i="1"/>
  <c r="P7982" i="1"/>
  <c r="A7983" i="1"/>
  <c r="P7983" i="1"/>
  <c r="A7984" i="1"/>
  <c r="P7984" i="1"/>
  <c r="A7985" i="1"/>
  <c r="P7985" i="1"/>
  <c r="A7986" i="1"/>
  <c r="P7986" i="1"/>
  <c r="A7987" i="1"/>
  <c r="P7987" i="1"/>
  <c r="A7988" i="1"/>
  <c r="P7988" i="1"/>
  <c r="A7989" i="1"/>
  <c r="P7989" i="1"/>
  <c r="A7990" i="1"/>
  <c r="P7990" i="1"/>
  <c r="A7991" i="1"/>
  <c r="P7991" i="1"/>
  <c r="A7992" i="1"/>
  <c r="P7992" i="1"/>
  <c r="A7993" i="1"/>
  <c r="P7993" i="1"/>
  <c r="A7994" i="1"/>
  <c r="P7994" i="1"/>
  <c r="A7995" i="1"/>
  <c r="P7995" i="1"/>
  <c r="A7996" i="1"/>
  <c r="P7996" i="1"/>
  <c r="A7997" i="1"/>
  <c r="P7997" i="1"/>
  <c r="A7998" i="1"/>
  <c r="P7998" i="1"/>
  <c r="A7999" i="1"/>
  <c r="P7999" i="1"/>
  <c r="A8000" i="1"/>
  <c r="P8000" i="1"/>
  <c r="A8001" i="1"/>
  <c r="P8001" i="1"/>
  <c r="A8002" i="1"/>
  <c r="P8002" i="1"/>
  <c r="A8003" i="1"/>
  <c r="P8003" i="1"/>
  <c r="A8004" i="1"/>
  <c r="P8004" i="1"/>
  <c r="A8005" i="1"/>
  <c r="P8005" i="1"/>
  <c r="A8006" i="1"/>
  <c r="P8006" i="1"/>
  <c r="A8007" i="1"/>
  <c r="P8007" i="1"/>
  <c r="A8008" i="1"/>
  <c r="P8008" i="1"/>
  <c r="A8009" i="1"/>
  <c r="P8009" i="1"/>
  <c r="A8010" i="1"/>
  <c r="P8010" i="1"/>
  <c r="A8011" i="1"/>
  <c r="P8011" i="1"/>
  <c r="A8012" i="1"/>
  <c r="P8012" i="1"/>
  <c r="A8013" i="1"/>
  <c r="P8013" i="1"/>
  <c r="A8014" i="1"/>
  <c r="P8014" i="1"/>
  <c r="A8015" i="1"/>
  <c r="P8015" i="1"/>
  <c r="A8016" i="1"/>
  <c r="P8016" i="1"/>
  <c r="A8017" i="1"/>
  <c r="P8017" i="1"/>
  <c r="A8018" i="1"/>
  <c r="P8018" i="1"/>
  <c r="A8019" i="1"/>
  <c r="P8019" i="1"/>
  <c r="A8020" i="1"/>
  <c r="P8020" i="1"/>
  <c r="A8021" i="1"/>
  <c r="P8021" i="1"/>
  <c r="A8022" i="1"/>
  <c r="P8022" i="1"/>
  <c r="A8023" i="1"/>
  <c r="P8023" i="1"/>
  <c r="A8024" i="1"/>
  <c r="P8024" i="1"/>
  <c r="A8025" i="1"/>
  <c r="P8025" i="1"/>
  <c r="A8026" i="1"/>
  <c r="P8026" i="1"/>
  <c r="A8027" i="1"/>
  <c r="P8027" i="1"/>
  <c r="A8028" i="1"/>
  <c r="P8028" i="1"/>
  <c r="A8029" i="1"/>
  <c r="P8029" i="1"/>
  <c r="A8030" i="1"/>
  <c r="P8030" i="1"/>
  <c r="A8031" i="1"/>
  <c r="P8031" i="1"/>
  <c r="A8032" i="1"/>
  <c r="P8032" i="1"/>
  <c r="A8033" i="1"/>
  <c r="P8033" i="1"/>
  <c r="A8034" i="1"/>
  <c r="P8034" i="1"/>
  <c r="A8035" i="1"/>
  <c r="P8035" i="1"/>
  <c r="A8036" i="1"/>
  <c r="P8036" i="1"/>
  <c r="A8037" i="1"/>
  <c r="P8037" i="1"/>
  <c r="A8038" i="1"/>
  <c r="P8038" i="1"/>
  <c r="A8039" i="1"/>
  <c r="P8039" i="1"/>
  <c r="A8040" i="1"/>
  <c r="P8040" i="1"/>
  <c r="A8041" i="1"/>
  <c r="P8041" i="1"/>
  <c r="A8042" i="1"/>
  <c r="P8042" i="1"/>
  <c r="A8043" i="1"/>
  <c r="P8043" i="1"/>
  <c r="A8044" i="1"/>
  <c r="P8044" i="1"/>
  <c r="A8045" i="1"/>
  <c r="P8045" i="1"/>
  <c r="A8046" i="1"/>
  <c r="P8046" i="1"/>
  <c r="A8047" i="1"/>
  <c r="P8047" i="1"/>
  <c r="A8048" i="1"/>
  <c r="P8048" i="1"/>
  <c r="A8049" i="1"/>
  <c r="P8049" i="1"/>
  <c r="A8050" i="1"/>
  <c r="P8050" i="1"/>
  <c r="A8051" i="1"/>
  <c r="P8051" i="1"/>
  <c r="A8052" i="1"/>
  <c r="P8052" i="1"/>
  <c r="A8053" i="1"/>
  <c r="P8053" i="1"/>
  <c r="A8054" i="1"/>
  <c r="P8054" i="1"/>
  <c r="A8055" i="1"/>
  <c r="P8055" i="1"/>
  <c r="A8056" i="1"/>
  <c r="P8056" i="1"/>
  <c r="A8057" i="1"/>
  <c r="P8057" i="1"/>
  <c r="A8058" i="1"/>
  <c r="P8058" i="1"/>
  <c r="A8059" i="1"/>
  <c r="P8059" i="1"/>
  <c r="A8060" i="1"/>
  <c r="P8060" i="1"/>
  <c r="A8061" i="1"/>
  <c r="P8061" i="1"/>
  <c r="A8062" i="1"/>
  <c r="P8062" i="1"/>
  <c r="A8063" i="1"/>
  <c r="P8063" i="1"/>
  <c r="A8064" i="1"/>
  <c r="P8064" i="1"/>
  <c r="A8065" i="1"/>
  <c r="P8065" i="1"/>
  <c r="A8066" i="1"/>
  <c r="P8066" i="1"/>
  <c r="A8067" i="1"/>
  <c r="P8067" i="1"/>
  <c r="A8068" i="1"/>
  <c r="P8068" i="1"/>
  <c r="A8069" i="1"/>
  <c r="P8069" i="1"/>
  <c r="A8070" i="1"/>
  <c r="P8070" i="1"/>
  <c r="A8071" i="1"/>
  <c r="P8071" i="1"/>
  <c r="A8072" i="1"/>
  <c r="P8072" i="1"/>
  <c r="A8073" i="1"/>
  <c r="P8073" i="1"/>
  <c r="A8074" i="1"/>
  <c r="P8074" i="1"/>
  <c r="A8075" i="1"/>
  <c r="P8075" i="1"/>
  <c r="A8076" i="1"/>
  <c r="P8076" i="1"/>
  <c r="A8077" i="1"/>
  <c r="P8077" i="1"/>
  <c r="A8078" i="1"/>
  <c r="P8078" i="1"/>
  <c r="A8079" i="1"/>
  <c r="P8079" i="1"/>
  <c r="A8080" i="1"/>
  <c r="P8080" i="1"/>
  <c r="A8081" i="1"/>
  <c r="P8081" i="1"/>
  <c r="A8082" i="1"/>
  <c r="P8082" i="1"/>
  <c r="A8083" i="1"/>
  <c r="P8083" i="1"/>
  <c r="A8084" i="1"/>
  <c r="P8084" i="1"/>
  <c r="A8085" i="1"/>
  <c r="P8085" i="1"/>
  <c r="A8086" i="1"/>
  <c r="P8086" i="1"/>
  <c r="A8087" i="1"/>
  <c r="P8087" i="1"/>
  <c r="A8088" i="1"/>
  <c r="P8088" i="1"/>
  <c r="A8089" i="1"/>
  <c r="P8089" i="1"/>
  <c r="A8090" i="1"/>
  <c r="P8090" i="1"/>
  <c r="A8091" i="1"/>
  <c r="P8091" i="1"/>
  <c r="A8092" i="1"/>
  <c r="P8092" i="1"/>
  <c r="A8093" i="1"/>
  <c r="P8093" i="1"/>
  <c r="A8094" i="1"/>
  <c r="P8094" i="1"/>
  <c r="A8095" i="1"/>
  <c r="P8095" i="1"/>
  <c r="A8096" i="1"/>
  <c r="P8096" i="1"/>
  <c r="A8097" i="1"/>
  <c r="P8097" i="1"/>
  <c r="A8098" i="1"/>
  <c r="P8098" i="1"/>
  <c r="A8099" i="1"/>
  <c r="P8099" i="1"/>
  <c r="A8100" i="1"/>
  <c r="P8100" i="1"/>
  <c r="A8101" i="1"/>
  <c r="P8101" i="1"/>
  <c r="A8102" i="1"/>
  <c r="P8102" i="1"/>
  <c r="A8103" i="1"/>
  <c r="P8103" i="1"/>
  <c r="A8104" i="1"/>
  <c r="P8104" i="1"/>
  <c r="A8105" i="1"/>
  <c r="P8105" i="1"/>
  <c r="A8106" i="1"/>
  <c r="P8106" i="1"/>
  <c r="A8107" i="1"/>
  <c r="P8107" i="1"/>
  <c r="A8108" i="1"/>
  <c r="P8108" i="1"/>
  <c r="A8109" i="1"/>
  <c r="P8109" i="1"/>
  <c r="A8110" i="1"/>
  <c r="P8110" i="1"/>
  <c r="A8111" i="1"/>
  <c r="P8111" i="1"/>
  <c r="A8112" i="1"/>
  <c r="P8112" i="1"/>
  <c r="A8113" i="1"/>
  <c r="P8113" i="1"/>
  <c r="A8114" i="1"/>
  <c r="P8114" i="1"/>
  <c r="A8115" i="1"/>
  <c r="P8115" i="1"/>
  <c r="A8116" i="1"/>
  <c r="P8116" i="1"/>
  <c r="A8117" i="1"/>
  <c r="P8117" i="1"/>
  <c r="A8118" i="1"/>
  <c r="P8118" i="1"/>
  <c r="A8119" i="1"/>
  <c r="P8119" i="1"/>
  <c r="A8120" i="1"/>
  <c r="P8120" i="1"/>
  <c r="A8121" i="1"/>
  <c r="P8121" i="1"/>
  <c r="A8122" i="1"/>
  <c r="P8122" i="1"/>
  <c r="A8123" i="1"/>
  <c r="P8123" i="1"/>
  <c r="A8124" i="1"/>
  <c r="P8124" i="1"/>
  <c r="A8125" i="1"/>
  <c r="P8125" i="1"/>
  <c r="A8126" i="1"/>
  <c r="P8126" i="1"/>
  <c r="A8127" i="1"/>
  <c r="P8127" i="1"/>
  <c r="A8128" i="1"/>
  <c r="P8128" i="1"/>
  <c r="A8129" i="1"/>
  <c r="P8129" i="1"/>
  <c r="A8130" i="1"/>
  <c r="P8130" i="1"/>
  <c r="A8131" i="1"/>
  <c r="P8131" i="1"/>
  <c r="A8132" i="1"/>
  <c r="P8132" i="1"/>
  <c r="A8133" i="1"/>
  <c r="P8133" i="1"/>
  <c r="A8134" i="1"/>
  <c r="P8134" i="1"/>
  <c r="A8135" i="1"/>
  <c r="P8135" i="1"/>
  <c r="A8136" i="1"/>
  <c r="P8136" i="1"/>
  <c r="A8137" i="1"/>
  <c r="P8137" i="1"/>
  <c r="A8138" i="1"/>
  <c r="P8138" i="1"/>
  <c r="A8139" i="1"/>
  <c r="P8139" i="1"/>
  <c r="A8140" i="1"/>
  <c r="P8140" i="1"/>
  <c r="A8141" i="1"/>
  <c r="P8141" i="1"/>
  <c r="A8142" i="1"/>
  <c r="P8142" i="1"/>
  <c r="A8143" i="1"/>
  <c r="P8143" i="1"/>
  <c r="A8144" i="1"/>
  <c r="P8144" i="1"/>
  <c r="A8145" i="1"/>
  <c r="P8145" i="1"/>
  <c r="A8146" i="1"/>
  <c r="P8146" i="1"/>
  <c r="A8147" i="1"/>
  <c r="P8147" i="1"/>
  <c r="A8148" i="1"/>
  <c r="P8148" i="1"/>
  <c r="A8149" i="1"/>
  <c r="P8149" i="1"/>
  <c r="A8150" i="1"/>
  <c r="P8150" i="1"/>
  <c r="A8151" i="1"/>
  <c r="P8151" i="1"/>
  <c r="A8152" i="1"/>
  <c r="P8152" i="1"/>
  <c r="A8153" i="1"/>
  <c r="P8153" i="1"/>
  <c r="A8154" i="1"/>
  <c r="P8154" i="1"/>
  <c r="A8155" i="1"/>
  <c r="P8155" i="1"/>
  <c r="A8156" i="1"/>
  <c r="P8156" i="1"/>
  <c r="A8157" i="1"/>
  <c r="P8157" i="1"/>
  <c r="A8158" i="1"/>
  <c r="P8158" i="1"/>
  <c r="A8159" i="1"/>
  <c r="P8159" i="1"/>
  <c r="A8160" i="1"/>
  <c r="P8160" i="1"/>
  <c r="A8161" i="1"/>
  <c r="P8161" i="1"/>
  <c r="A8162" i="1"/>
  <c r="P8162" i="1"/>
  <c r="A8163" i="1"/>
  <c r="P8163" i="1"/>
  <c r="A8164" i="1"/>
  <c r="P8164" i="1"/>
  <c r="A8165" i="1"/>
  <c r="P8165" i="1"/>
  <c r="A8166" i="1"/>
  <c r="P8166" i="1"/>
  <c r="A8167" i="1"/>
  <c r="P8167" i="1"/>
  <c r="A8168" i="1"/>
  <c r="P8168" i="1"/>
  <c r="A8169" i="1"/>
  <c r="P8169" i="1"/>
  <c r="A8170" i="1"/>
  <c r="P8170" i="1"/>
  <c r="A8171" i="1"/>
  <c r="P8171" i="1"/>
  <c r="A8172" i="1"/>
  <c r="P8172" i="1"/>
  <c r="A8173" i="1"/>
  <c r="P8173" i="1"/>
  <c r="A8174" i="1"/>
  <c r="P8174" i="1"/>
  <c r="A8175" i="1"/>
  <c r="P8175" i="1"/>
  <c r="A8176" i="1"/>
  <c r="P8176" i="1"/>
  <c r="A8177" i="1"/>
  <c r="P8177" i="1"/>
  <c r="A8178" i="1"/>
  <c r="P8178" i="1"/>
  <c r="A8179" i="1"/>
  <c r="P8179" i="1"/>
  <c r="A8180" i="1"/>
  <c r="P8180" i="1"/>
  <c r="A8181" i="1"/>
  <c r="P8181" i="1"/>
  <c r="A8182" i="1"/>
  <c r="P8182" i="1"/>
  <c r="A8183" i="1"/>
  <c r="P8183" i="1"/>
  <c r="A8184" i="1"/>
  <c r="P8184" i="1"/>
  <c r="A8185" i="1"/>
  <c r="P8185" i="1"/>
  <c r="A8186" i="1"/>
  <c r="P8186" i="1"/>
  <c r="A8187" i="1"/>
  <c r="P8187" i="1"/>
  <c r="A8188" i="1"/>
  <c r="P8188" i="1"/>
  <c r="A8189" i="1"/>
  <c r="P8189" i="1"/>
  <c r="A8190" i="1"/>
  <c r="P8190" i="1"/>
  <c r="A8191" i="1"/>
  <c r="P8191" i="1"/>
  <c r="A8192" i="1"/>
  <c r="P8192" i="1"/>
  <c r="A8193" i="1"/>
  <c r="P8193" i="1"/>
  <c r="A8194" i="1"/>
  <c r="P8194" i="1"/>
  <c r="A8195" i="1"/>
  <c r="P8195" i="1"/>
  <c r="A8196" i="1"/>
  <c r="P8196" i="1"/>
  <c r="A8197" i="1"/>
  <c r="P8197" i="1"/>
  <c r="A8198" i="1"/>
  <c r="P8198" i="1"/>
  <c r="A8199" i="1"/>
  <c r="P8199" i="1"/>
  <c r="A8200" i="1"/>
  <c r="P8200" i="1"/>
  <c r="A8201" i="1"/>
  <c r="P8201" i="1"/>
  <c r="A8202" i="1"/>
  <c r="P8202" i="1"/>
  <c r="A8203" i="1"/>
  <c r="P8203" i="1"/>
  <c r="A8204" i="1"/>
  <c r="P8204" i="1"/>
  <c r="A8205" i="1"/>
  <c r="P8205" i="1"/>
  <c r="A8206" i="1"/>
  <c r="P8206" i="1"/>
  <c r="A8207" i="1"/>
  <c r="P8207" i="1"/>
  <c r="A8208" i="1"/>
  <c r="P8208" i="1"/>
  <c r="A8209" i="1"/>
  <c r="P8209" i="1"/>
  <c r="A8210" i="1"/>
  <c r="P8210" i="1"/>
  <c r="A8211" i="1"/>
  <c r="P8211" i="1"/>
  <c r="A8212" i="1"/>
  <c r="P8212" i="1"/>
  <c r="A8213" i="1"/>
  <c r="P8213" i="1"/>
  <c r="A8214" i="1"/>
  <c r="P8214" i="1"/>
  <c r="A8215" i="1"/>
  <c r="P8215" i="1"/>
  <c r="A8216" i="1"/>
  <c r="P8216" i="1"/>
  <c r="A8217" i="1"/>
  <c r="P8217" i="1"/>
  <c r="A8218" i="1"/>
  <c r="P8218" i="1"/>
  <c r="A8219" i="1"/>
  <c r="P8219" i="1"/>
  <c r="A8220" i="1"/>
  <c r="P8220" i="1"/>
  <c r="A8221" i="1"/>
  <c r="P8221" i="1"/>
  <c r="A8222" i="1"/>
  <c r="P8222" i="1"/>
  <c r="A8223" i="1"/>
  <c r="P8223" i="1"/>
  <c r="A8224" i="1"/>
  <c r="P8224" i="1"/>
  <c r="A8225" i="1"/>
  <c r="P8225" i="1"/>
  <c r="A8226" i="1"/>
  <c r="P8226" i="1"/>
  <c r="A8227" i="1"/>
  <c r="P8227" i="1"/>
  <c r="A8228" i="1"/>
  <c r="P8228" i="1"/>
  <c r="A8229" i="1"/>
  <c r="P8229" i="1"/>
  <c r="A8230" i="1"/>
  <c r="P8230" i="1"/>
  <c r="A8231" i="1"/>
  <c r="P8231" i="1"/>
  <c r="A8232" i="1"/>
  <c r="P8232" i="1"/>
  <c r="A8233" i="1"/>
  <c r="P8233" i="1"/>
  <c r="A8234" i="1"/>
  <c r="P8234" i="1"/>
  <c r="A8235" i="1"/>
  <c r="P8235" i="1"/>
  <c r="A8236" i="1"/>
  <c r="P8236" i="1"/>
  <c r="A8237" i="1"/>
  <c r="P8237" i="1"/>
  <c r="A8238" i="1"/>
  <c r="P8238" i="1"/>
  <c r="A8239" i="1"/>
  <c r="P8239" i="1"/>
  <c r="A8240" i="1"/>
  <c r="P8240" i="1"/>
  <c r="A8241" i="1"/>
  <c r="P8241" i="1"/>
  <c r="A8242" i="1"/>
  <c r="P8242" i="1"/>
  <c r="A8243" i="1"/>
  <c r="P8243" i="1"/>
  <c r="A8244" i="1"/>
  <c r="P8244" i="1"/>
  <c r="A8245" i="1"/>
  <c r="P8245" i="1"/>
  <c r="A8246" i="1"/>
  <c r="P8246" i="1"/>
  <c r="A8247" i="1"/>
  <c r="P8247" i="1"/>
  <c r="A8248" i="1"/>
  <c r="P8248" i="1"/>
  <c r="A8249" i="1"/>
  <c r="P8249" i="1"/>
  <c r="A8250" i="1"/>
  <c r="P8250" i="1"/>
  <c r="A8251" i="1"/>
  <c r="P8251" i="1"/>
  <c r="A8252" i="1"/>
  <c r="P8252" i="1"/>
  <c r="A8253" i="1"/>
  <c r="P8253" i="1"/>
  <c r="A8254" i="1"/>
  <c r="P8254" i="1"/>
  <c r="A8255" i="1"/>
  <c r="P8255" i="1"/>
  <c r="A8256" i="1"/>
  <c r="P8256" i="1"/>
  <c r="A8257" i="1"/>
  <c r="P8257" i="1"/>
  <c r="A8258" i="1"/>
  <c r="P8258" i="1"/>
  <c r="A8259" i="1"/>
  <c r="P8259" i="1"/>
  <c r="A8260" i="1"/>
  <c r="P8260" i="1"/>
  <c r="A8261" i="1"/>
  <c r="P8261" i="1"/>
  <c r="A8262" i="1"/>
  <c r="P8262" i="1"/>
  <c r="A8263" i="1"/>
  <c r="P8263" i="1"/>
  <c r="A8264" i="1"/>
  <c r="P8264" i="1"/>
  <c r="A8265" i="1"/>
  <c r="P8265" i="1"/>
  <c r="A8266" i="1"/>
  <c r="P8266" i="1"/>
  <c r="A8267" i="1"/>
  <c r="P8267" i="1"/>
  <c r="A8268" i="1"/>
  <c r="P8268" i="1"/>
  <c r="A8269" i="1"/>
  <c r="P8269" i="1"/>
  <c r="A8270" i="1"/>
  <c r="P8270" i="1"/>
  <c r="A8271" i="1"/>
  <c r="P8271" i="1"/>
  <c r="A8272" i="1"/>
  <c r="P8272" i="1"/>
  <c r="A8273" i="1"/>
  <c r="P8273" i="1"/>
  <c r="A8274" i="1"/>
  <c r="P8274" i="1"/>
  <c r="A8275" i="1"/>
  <c r="P8275" i="1"/>
  <c r="A8276" i="1"/>
  <c r="P8276" i="1"/>
  <c r="A8277" i="1"/>
  <c r="P8277" i="1"/>
  <c r="A8278" i="1"/>
  <c r="P8278" i="1"/>
  <c r="A8279" i="1"/>
  <c r="P8279" i="1"/>
  <c r="A8280" i="1"/>
  <c r="P8280" i="1"/>
  <c r="A8281" i="1"/>
  <c r="P8281" i="1"/>
  <c r="A8282" i="1"/>
  <c r="P8282" i="1"/>
  <c r="A8283" i="1"/>
  <c r="P8283" i="1"/>
  <c r="A8284" i="1"/>
  <c r="P8284" i="1"/>
  <c r="A8285" i="1"/>
  <c r="P8285" i="1"/>
  <c r="A8286" i="1"/>
  <c r="P8286" i="1"/>
  <c r="A8287" i="1"/>
  <c r="P8287" i="1"/>
  <c r="A8288" i="1"/>
  <c r="P8288" i="1"/>
  <c r="A8289" i="1"/>
  <c r="P8289" i="1"/>
  <c r="A8290" i="1"/>
  <c r="P8290" i="1"/>
  <c r="A8291" i="1"/>
  <c r="P8291" i="1"/>
  <c r="A8292" i="1"/>
  <c r="P8292" i="1"/>
  <c r="A8293" i="1"/>
  <c r="P8293" i="1"/>
  <c r="A8294" i="1"/>
  <c r="P8294" i="1"/>
  <c r="A8295" i="1"/>
  <c r="P8295" i="1"/>
  <c r="A8296" i="1"/>
  <c r="P8296" i="1"/>
  <c r="A8297" i="1"/>
  <c r="P8297" i="1"/>
  <c r="A8298" i="1"/>
  <c r="P8298" i="1"/>
  <c r="A8299" i="1"/>
  <c r="P8299" i="1"/>
  <c r="A8300" i="1"/>
  <c r="P8300" i="1"/>
  <c r="A8301" i="1"/>
  <c r="P8301" i="1"/>
  <c r="A8302" i="1"/>
  <c r="P8302" i="1"/>
  <c r="A8303" i="1"/>
  <c r="P8303" i="1"/>
  <c r="A8304" i="1"/>
  <c r="P8304" i="1"/>
  <c r="A8305" i="1"/>
  <c r="P8305" i="1"/>
  <c r="A8306" i="1"/>
  <c r="P8306" i="1"/>
  <c r="A8307" i="1"/>
  <c r="P8307" i="1"/>
  <c r="A8308" i="1"/>
  <c r="P8308" i="1"/>
  <c r="A8309" i="1"/>
  <c r="P8309" i="1"/>
  <c r="A8310" i="1"/>
  <c r="P8310" i="1"/>
  <c r="A8311" i="1"/>
  <c r="P8311" i="1"/>
  <c r="A8312" i="1"/>
  <c r="P8312" i="1"/>
  <c r="A8313" i="1"/>
  <c r="P8313" i="1"/>
  <c r="A8314" i="1"/>
  <c r="P8314" i="1"/>
  <c r="A8315" i="1"/>
  <c r="P8315" i="1"/>
  <c r="A8316" i="1"/>
  <c r="P8316" i="1"/>
  <c r="A8317" i="1"/>
  <c r="P8317" i="1"/>
  <c r="A8318" i="1"/>
  <c r="P8318" i="1"/>
  <c r="A8319" i="1"/>
  <c r="P8319" i="1"/>
  <c r="A8320" i="1"/>
  <c r="P8320" i="1"/>
  <c r="A8321" i="1"/>
  <c r="P8321" i="1"/>
  <c r="A8322" i="1"/>
  <c r="P8322" i="1"/>
  <c r="A8323" i="1"/>
  <c r="P8323" i="1"/>
  <c r="A8324" i="1"/>
  <c r="P8324" i="1"/>
  <c r="A8325" i="1"/>
  <c r="P8325" i="1"/>
  <c r="A8326" i="1"/>
  <c r="P8326" i="1"/>
  <c r="A8327" i="1"/>
  <c r="P8327" i="1"/>
  <c r="A8328" i="1"/>
  <c r="P8328" i="1"/>
  <c r="A8329" i="1"/>
  <c r="P8329" i="1"/>
  <c r="A8330" i="1"/>
  <c r="P8330" i="1"/>
  <c r="A8331" i="1"/>
  <c r="P8331" i="1"/>
  <c r="A8332" i="1"/>
  <c r="P8332" i="1"/>
  <c r="A8333" i="1"/>
  <c r="P8333" i="1"/>
  <c r="A8334" i="1"/>
  <c r="P8334" i="1"/>
  <c r="A8335" i="1"/>
  <c r="P8335" i="1"/>
  <c r="A8336" i="1"/>
  <c r="P8336" i="1"/>
  <c r="A8337" i="1"/>
  <c r="P8337" i="1"/>
  <c r="A8338" i="1"/>
  <c r="P8338" i="1"/>
  <c r="A8339" i="1"/>
  <c r="P8339" i="1"/>
  <c r="A8340" i="1"/>
  <c r="P8340" i="1"/>
  <c r="A8341" i="1"/>
  <c r="P8341" i="1"/>
  <c r="A8342" i="1"/>
  <c r="P8342" i="1"/>
  <c r="A8343" i="1"/>
  <c r="P8343" i="1"/>
  <c r="A8344" i="1"/>
  <c r="P8344" i="1"/>
  <c r="A8345" i="1"/>
  <c r="P8345" i="1"/>
  <c r="A8346" i="1"/>
  <c r="P8346" i="1"/>
  <c r="A8347" i="1"/>
  <c r="P8347" i="1"/>
  <c r="A8348" i="1"/>
  <c r="P8348" i="1"/>
  <c r="A8349" i="1"/>
  <c r="P8349" i="1"/>
  <c r="A8350" i="1"/>
  <c r="P8350" i="1"/>
  <c r="A8351" i="1"/>
  <c r="P8351" i="1"/>
  <c r="A8352" i="1"/>
  <c r="P8352" i="1"/>
  <c r="A8353" i="1"/>
  <c r="P8353" i="1"/>
  <c r="A8354" i="1"/>
  <c r="P8354" i="1"/>
  <c r="A8355" i="1"/>
  <c r="P8355" i="1"/>
  <c r="A8356" i="1"/>
  <c r="P8356" i="1"/>
  <c r="A8357" i="1"/>
  <c r="P8357" i="1"/>
  <c r="A8358" i="1"/>
  <c r="P8358" i="1"/>
  <c r="A8359" i="1"/>
  <c r="P8359" i="1"/>
  <c r="A8360" i="1"/>
  <c r="P8360" i="1"/>
  <c r="A8361" i="1"/>
  <c r="P8361" i="1"/>
  <c r="A8362" i="1"/>
  <c r="P8362" i="1"/>
  <c r="A8363" i="1"/>
  <c r="P8363" i="1"/>
  <c r="A8364" i="1"/>
  <c r="P8364" i="1"/>
  <c r="A8365" i="1"/>
  <c r="P8365" i="1"/>
  <c r="A8366" i="1"/>
  <c r="P8366" i="1"/>
  <c r="A8367" i="1"/>
  <c r="P8367" i="1"/>
  <c r="A8368" i="1"/>
  <c r="P8368" i="1"/>
  <c r="A8369" i="1"/>
  <c r="P8369" i="1"/>
  <c r="A8370" i="1"/>
  <c r="P8370" i="1"/>
  <c r="A8371" i="1"/>
  <c r="P8371" i="1"/>
  <c r="A8372" i="1"/>
  <c r="P8372" i="1"/>
  <c r="A8373" i="1"/>
  <c r="P8373" i="1"/>
  <c r="A8374" i="1"/>
  <c r="P8374" i="1"/>
  <c r="A8375" i="1"/>
  <c r="P8375" i="1"/>
  <c r="A8376" i="1"/>
  <c r="P8376" i="1"/>
  <c r="A8377" i="1"/>
  <c r="P8377" i="1"/>
  <c r="A8378" i="1"/>
  <c r="P8378" i="1"/>
  <c r="A8379" i="1"/>
  <c r="P8379" i="1"/>
  <c r="A8380" i="1"/>
  <c r="P8380" i="1"/>
  <c r="A8381" i="1"/>
  <c r="P8381" i="1"/>
  <c r="A8382" i="1"/>
  <c r="P8382" i="1"/>
  <c r="A8383" i="1"/>
  <c r="P8383" i="1"/>
  <c r="A8384" i="1"/>
  <c r="P8384" i="1"/>
  <c r="A8385" i="1"/>
  <c r="P8385" i="1"/>
  <c r="A8386" i="1"/>
  <c r="P8386" i="1"/>
  <c r="A8387" i="1"/>
  <c r="P8387" i="1"/>
  <c r="A8388" i="1"/>
  <c r="P8388" i="1"/>
  <c r="A8389" i="1"/>
  <c r="P8389" i="1"/>
  <c r="A8390" i="1"/>
  <c r="P8390" i="1"/>
  <c r="A8391" i="1"/>
  <c r="P8391" i="1"/>
  <c r="A8392" i="1"/>
  <c r="P8392" i="1"/>
  <c r="A8393" i="1"/>
  <c r="P8393" i="1"/>
  <c r="A8394" i="1"/>
  <c r="P8394" i="1"/>
  <c r="A8395" i="1"/>
  <c r="P8395" i="1"/>
  <c r="A8396" i="1"/>
  <c r="P8396" i="1"/>
  <c r="A8397" i="1"/>
  <c r="P8397" i="1"/>
  <c r="A8398" i="1"/>
  <c r="P8398" i="1"/>
  <c r="A8399" i="1"/>
  <c r="P8399" i="1"/>
  <c r="A8400" i="1"/>
  <c r="P8400" i="1"/>
  <c r="A8401" i="1"/>
  <c r="P8401" i="1"/>
  <c r="A8402" i="1"/>
  <c r="P8402" i="1"/>
  <c r="A8403" i="1"/>
  <c r="P8403" i="1"/>
  <c r="A8404" i="1"/>
  <c r="P8404" i="1"/>
  <c r="A8405" i="1"/>
  <c r="P8405" i="1"/>
  <c r="A8406" i="1"/>
  <c r="P8406" i="1"/>
  <c r="A8407" i="1"/>
  <c r="P8407" i="1"/>
  <c r="A8408" i="1"/>
  <c r="P8408" i="1"/>
  <c r="A8409" i="1"/>
  <c r="P8409" i="1"/>
  <c r="A8410" i="1"/>
  <c r="P8410" i="1"/>
  <c r="A8411" i="1"/>
  <c r="P8411" i="1"/>
  <c r="A8412" i="1"/>
  <c r="P8412" i="1"/>
  <c r="A8413" i="1"/>
  <c r="P8413" i="1"/>
  <c r="A8414" i="1"/>
  <c r="P8414" i="1"/>
  <c r="A8415" i="1"/>
  <c r="P8415" i="1"/>
  <c r="A8416" i="1"/>
  <c r="P8416" i="1"/>
  <c r="A8417" i="1"/>
  <c r="P8417" i="1"/>
  <c r="A8418" i="1"/>
  <c r="P8418" i="1"/>
  <c r="A8419" i="1"/>
  <c r="P8419" i="1"/>
  <c r="A8420" i="1"/>
  <c r="P8420" i="1"/>
  <c r="A8421" i="1"/>
  <c r="P8421" i="1"/>
  <c r="A8422" i="1"/>
  <c r="P8422" i="1"/>
  <c r="A8423" i="1"/>
  <c r="P8423" i="1"/>
  <c r="A8424" i="1"/>
  <c r="P8424" i="1"/>
  <c r="A8425" i="1"/>
  <c r="P8425" i="1"/>
  <c r="A8426" i="1"/>
  <c r="P8426" i="1"/>
  <c r="A8427" i="1"/>
  <c r="P8427" i="1"/>
  <c r="A8428" i="1"/>
  <c r="P8428" i="1"/>
  <c r="A8429" i="1"/>
  <c r="P8429" i="1"/>
  <c r="A8430" i="1"/>
  <c r="P8430" i="1"/>
  <c r="A8431" i="1"/>
  <c r="P8431" i="1"/>
  <c r="A8432" i="1"/>
  <c r="P8432" i="1"/>
  <c r="A8433" i="1"/>
  <c r="P8433" i="1"/>
  <c r="A8434" i="1"/>
  <c r="P8434" i="1"/>
  <c r="A8435" i="1"/>
  <c r="P8435" i="1"/>
  <c r="A8436" i="1"/>
  <c r="P8436" i="1"/>
  <c r="A8437" i="1"/>
  <c r="P8437" i="1"/>
  <c r="A8438" i="1"/>
  <c r="P8438" i="1"/>
  <c r="A8439" i="1"/>
  <c r="P8439" i="1"/>
  <c r="A8440" i="1"/>
  <c r="P8440" i="1"/>
  <c r="A8441" i="1"/>
  <c r="P8441" i="1"/>
  <c r="A8442" i="1"/>
  <c r="P8442" i="1"/>
  <c r="A8443" i="1"/>
  <c r="P8443" i="1"/>
  <c r="A8444" i="1"/>
  <c r="P8444" i="1"/>
  <c r="A8445" i="1"/>
  <c r="P8445" i="1"/>
  <c r="A8446" i="1"/>
  <c r="P8446" i="1"/>
  <c r="A8447" i="1"/>
  <c r="P8447" i="1"/>
  <c r="A8448" i="1"/>
  <c r="P8448" i="1"/>
  <c r="A8449" i="1"/>
  <c r="P8449" i="1"/>
  <c r="A8450" i="1"/>
  <c r="P8450" i="1"/>
  <c r="A8451" i="1"/>
  <c r="P8451" i="1"/>
  <c r="A8452" i="1"/>
  <c r="P8452" i="1"/>
  <c r="A8453" i="1"/>
  <c r="P8453" i="1"/>
  <c r="A8454" i="1"/>
  <c r="P8454" i="1"/>
  <c r="A8455" i="1"/>
  <c r="P8455" i="1"/>
  <c r="A8456" i="1"/>
  <c r="P8456" i="1"/>
  <c r="A8457" i="1"/>
  <c r="P8457" i="1"/>
  <c r="A8458" i="1"/>
  <c r="P8458" i="1"/>
  <c r="A8459" i="1"/>
  <c r="P8459" i="1"/>
  <c r="A8460" i="1"/>
  <c r="P8460" i="1"/>
  <c r="A8461" i="1"/>
  <c r="P8461" i="1"/>
  <c r="A8462" i="1"/>
  <c r="P8462" i="1"/>
  <c r="A8463" i="1"/>
  <c r="P8463" i="1"/>
  <c r="A8464" i="1"/>
  <c r="P8464" i="1"/>
  <c r="A8465" i="1"/>
  <c r="P8465" i="1"/>
  <c r="A8466" i="1"/>
  <c r="P8466" i="1"/>
  <c r="A8467" i="1"/>
  <c r="P8467" i="1"/>
  <c r="A8468" i="1"/>
  <c r="P8468" i="1"/>
  <c r="A8469" i="1"/>
  <c r="P8469" i="1"/>
  <c r="A8470" i="1"/>
  <c r="P8470" i="1"/>
  <c r="A8471" i="1"/>
  <c r="P8471" i="1"/>
  <c r="A8472" i="1"/>
  <c r="P8472" i="1"/>
  <c r="A8473" i="1"/>
  <c r="P8473" i="1"/>
  <c r="A8474" i="1"/>
  <c r="P8474" i="1"/>
  <c r="A8475" i="1"/>
  <c r="P8475" i="1"/>
  <c r="A8476" i="1"/>
  <c r="P8476" i="1"/>
  <c r="A8477" i="1"/>
  <c r="P8477" i="1"/>
  <c r="A8478" i="1"/>
  <c r="P8478" i="1"/>
  <c r="A8479" i="1"/>
  <c r="P8479" i="1"/>
  <c r="A8480" i="1"/>
  <c r="P8480" i="1"/>
  <c r="A8481" i="1"/>
  <c r="P8481" i="1"/>
  <c r="A8482" i="1"/>
  <c r="P8482" i="1"/>
  <c r="A8483" i="1"/>
  <c r="P8483" i="1"/>
  <c r="A8484" i="1"/>
  <c r="P8484" i="1"/>
  <c r="A8485" i="1"/>
  <c r="P8485" i="1"/>
  <c r="A8486" i="1"/>
  <c r="P8486" i="1"/>
  <c r="A8487" i="1"/>
  <c r="P8487" i="1"/>
  <c r="A8488" i="1"/>
  <c r="P8488" i="1"/>
  <c r="A8489" i="1"/>
  <c r="P8489" i="1"/>
  <c r="A8490" i="1"/>
  <c r="P8490" i="1"/>
  <c r="A8491" i="1"/>
  <c r="P8491" i="1"/>
  <c r="A8492" i="1"/>
  <c r="P8492" i="1"/>
  <c r="A8493" i="1"/>
  <c r="P8493" i="1"/>
  <c r="A8494" i="1"/>
  <c r="P8494" i="1"/>
  <c r="A8495" i="1"/>
  <c r="P8495" i="1"/>
  <c r="A8496" i="1"/>
  <c r="P8496" i="1"/>
  <c r="A8497" i="1"/>
  <c r="P8497" i="1"/>
  <c r="A8498" i="1"/>
  <c r="P8498" i="1"/>
  <c r="A8499" i="1"/>
  <c r="P8499" i="1"/>
  <c r="A8500" i="1"/>
  <c r="P8500" i="1"/>
  <c r="A8501" i="1"/>
  <c r="P8501" i="1"/>
  <c r="A8502" i="1"/>
  <c r="P8502" i="1"/>
  <c r="A8503" i="1"/>
  <c r="P8503" i="1"/>
  <c r="A8504" i="1"/>
  <c r="P8504" i="1"/>
  <c r="A8505" i="1"/>
  <c r="P8505" i="1"/>
  <c r="A8506" i="1"/>
  <c r="P8506" i="1"/>
  <c r="A8507" i="1"/>
  <c r="P8507" i="1"/>
  <c r="A8508" i="1"/>
  <c r="P8508" i="1"/>
  <c r="A8509" i="1"/>
  <c r="P8509" i="1"/>
  <c r="A8510" i="1"/>
  <c r="P8510" i="1"/>
  <c r="A8511" i="1"/>
  <c r="P8511" i="1"/>
  <c r="A8512" i="1"/>
  <c r="P8512" i="1"/>
  <c r="A8513" i="1"/>
  <c r="P8513" i="1"/>
  <c r="A8514" i="1"/>
  <c r="P8514" i="1"/>
  <c r="A8515" i="1"/>
  <c r="P8515" i="1"/>
  <c r="A8516" i="1"/>
  <c r="P8516" i="1"/>
  <c r="A8517" i="1"/>
  <c r="P8517" i="1"/>
  <c r="A8518" i="1"/>
  <c r="P8518" i="1"/>
  <c r="A8519" i="1"/>
  <c r="P8519" i="1"/>
  <c r="A8520" i="1"/>
  <c r="P8520" i="1"/>
  <c r="A8521" i="1"/>
  <c r="P8521" i="1"/>
  <c r="A8522" i="1"/>
  <c r="P8522" i="1"/>
  <c r="A8523" i="1"/>
  <c r="P8523" i="1"/>
  <c r="A8524" i="1"/>
  <c r="P8524" i="1"/>
  <c r="A8525" i="1"/>
  <c r="P8525" i="1"/>
  <c r="A8526" i="1"/>
  <c r="P8526" i="1"/>
  <c r="A8527" i="1"/>
  <c r="P8527" i="1"/>
  <c r="A8528" i="1"/>
  <c r="P8528" i="1"/>
  <c r="A8529" i="1"/>
  <c r="P8529" i="1"/>
  <c r="A8530" i="1"/>
  <c r="P8530" i="1"/>
  <c r="A8531" i="1"/>
  <c r="P8531" i="1"/>
  <c r="A8532" i="1"/>
  <c r="P8532" i="1"/>
  <c r="A8533" i="1"/>
  <c r="P8533" i="1"/>
  <c r="A8534" i="1"/>
  <c r="P8534" i="1"/>
  <c r="A8535" i="1"/>
  <c r="P8535" i="1"/>
  <c r="A8536" i="1"/>
  <c r="P8536" i="1"/>
  <c r="A8537" i="1"/>
  <c r="P8537" i="1"/>
  <c r="A8538" i="1"/>
  <c r="P8538" i="1"/>
  <c r="A8539" i="1"/>
  <c r="P8539" i="1"/>
  <c r="A8540" i="1"/>
  <c r="P8540" i="1"/>
  <c r="A8541" i="1"/>
  <c r="P8541" i="1"/>
  <c r="A8542" i="1"/>
  <c r="P8542" i="1"/>
  <c r="A8543" i="1"/>
  <c r="P8543" i="1"/>
  <c r="A8544" i="1"/>
  <c r="P8544" i="1"/>
  <c r="A8545" i="1"/>
  <c r="P8545" i="1"/>
  <c r="A8546" i="1"/>
  <c r="P8546" i="1"/>
  <c r="A8547" i="1"/>
  <c r="P8547" i="1"/>
  <c r="A8548" i="1"/>
  <c r="P8548" i="1"/>
  <c r="A8549" i="1"/>
  <c r="P8549" i="1"/>
  <c r="A8550" i="1"/>
  <c r="P8550" i="1"/>
  <c r="A8551" i="1"/>
  <c r="P8551" i="1"/>
  <c r="A8552" i="1"/>
  <c r="P8552" i="1"/>
  <c r="A8553" i="1"/>
  <c r="P8553" i="1"/>
  <c r="A8554" i="1"/>
  <c r="P8554" i="1"/>
  <c r="A8555" i="1"/>
  <c r="P8555" i="1"/>
  <c r="A8556" i="1"/>
  <c r="P8556" i="1"/>
  <c r="A8557" i="1"/>
  <c r="P8557" i="1"/>
  <c r="A8558" i="1"/>
  <c r="P8558" i="1"/>
  <c r="A8559" i="1"/>
  <c r="P8559" i="1"/>
  <c r="A8560" i="1"/>
  <c r="P8560" i="1"/>
  <c r="A8561" i="1"/>
  <c r="P8561" i="1"/>
  <c r="A8562" i="1"/>
  <c r="P8562" i="1"/>
  <c r="A8563" i="1"/>
  <c r="P8563" i="1"/>
  <c r="A8564" i="1"/>
  <c r="P8564" i="1"/>
  <c r="A8565" i="1"/>
  <c r="P8565" i="1"/>
  <c r="A8566" i="1"/>
  <c r="P8566" i="1"/>
  <c r="A8567" i="1"/>
  <c r="P8567" i="1"/>
  <c r="A8568" i="1"/>
  <c r="P8568" i="1"/>
  <c r="A8569" i="1"/>
  <c r="P8569" i="1"/>
  <c r="A8570" i="1"/>
  <c r="P8570" i="1"/>
  <c r="A8571" i="1"/>
  <c r="P8571" i="1"/>
  <c r="A8572" i="1"/>
  <c r="P8572" i="1"/>
  <c r="A8573" i="1"/>
  <c r="P8573" i="1"/>
  <c r="A8574" i="1"/>
  <c r="P8574" i="1"/>
  <c r="A8575" i="1"/>
  <c r="P8575" i="1"/>
  <c r="A8576" i="1"/>
  <c r="P8576" i="1"/>
  <c r="A8577" i="1"/>
  <c r="P8577" i="1"/>
  <c r="A8578" i="1"/>
  <c r="P8578" i="1"/>
  <c r="A8579" i="1"/>
  <c r="P8579" i="1"/>
  <c r="A8580" i="1"/>
  <c r="P8580" i="1"/>
  <c r="A8581" i="1"/>
  <c r="P8581" i="1"/>
  <c r="A8582" i="1"/>
  <c r="P8582" i="1"/>
  <c r="A8583" i="1"/>
  <c r="P8583" i="1"/>
  <c r="A8584" i="1"/>
  <c r="P8584" i="1"/>
  <c r="A8585" i="1"/>
  <c r="P8585" i="1"/>
  <c r="A8586" i="1"/>
  <c r="P8586" i="1"/>
  <c r="A8587" i="1"/>
  <c r="P8587" i="1"/>
  <c r="A8588" i="1"/>
  <c r="P8588" i="1"/>
  <c r="A8589" i="1"/>
  <c r="P8589" i="1"/>
  <c r="A8590" i="1"/>
  <c r="P8590" i="1"/>
  <c r="A8591" i="1"/>
  <c r="P8591" i="1"/>
  <c r="A8592" i="1"/>
  <c r="P8592" i="1"/>
  <c r="A8593" i="1"/>
  <c r="P8593" i="1"/>
  <c r="A8594" i="1"/>
  <c r="P8594" i="1"/>
  <c r="A8595" i="1"/>
  <c r="P8595" i="1"/>
  <c r="A8596" i="1"/>
  <c r="P8596" i="1"/>
  <c r="A8597" i="1"/>
  <c r="P8597" i="1"/>
  <c r="A8598" i="1"/>
  <c r="P8598" i="1"/>
  <c r="A8599" i="1"/>
  <c r="P8599" i="1"/>
  <c r="A8600" i="1"/>
  <c r="P8600" i="1"/>
  <c r="A8601" i="1"/>
  <c r="P8601" i="1"/>
  <c r="A8602" i="1"/>
  <c r="P8602" i="1"/>
  <c r="A8603" i="1"/>
  <c r="P8603" i="1"/>
  <c r="A8604" i="1"/>
  <c r="P8604" i="1"/>
  <c r="A8605" i="1"/>
  <c r="P8605" i="1"/>
  <c r="A8606" i="1"/>
  <c r="P8606" i="1"/>
  <c r="A8607" i="1"/>
  <c r="P8607" i="1"/>
  <c r="A8608" i="1"/>
  <c r="P8608" i="1"/>
  <c r="A8609" i="1"/>
  <c r="P8609" i="1"/>
  <c r="A8610" i="1"/>
  <c r="P8610" i="1"/>
  <c r="A8611" i="1"/>
  <c r="P8611" i="1"/>
  <c r="A8612" i="1"/>
  <c r="P8612" i="1"/>
  <c r="A8613" i="1"/>
  <c r="P8613" i="1"/>
  <c r="A8614" i="1"/>
  <c r="P8614" i="1"/>
  <c r="A8615" i="1"/>
  <c r="P8615" i="1"/>
  <c r="A8616" i="1"/>
  <c r="P8616" i="1"/>
  <c r="A8617" i="1"/>
  <c r="P8617" i="1"/>
  <c r="A8618" i="1"/>
  <c r="P8618" i="1"/>
  <c r="A8619" i="1"/>
  <c r="P8619" i="1"/>
  <c r="A8620" i="1"/>
  <c r="P8620" i="1"/>
  <c r="A8621" i="1"/>
  <c r="P8621" i="1"/>
  <c r="A8622" i="1"/>
  <c r="P8622" i="1"/>
  <c r="A8623" i="1"/>
  <c r="P8623" i="1"/>
  <c r="A8624" i="1"/>
  <c r="P8624" i="1"/>
  <c r="A8625" i="1"/>
  <c r="P8625" i="1"/>
  <c r="A8626" i="1"/>
  <c r="P8626" i="1"/>
  <c r="A8627" i="1"/>
  <c r="P8627" i="1"/>
  <c r="A8628" i="1"/>
  <c r="P8628" i="1"/>
  <c r="A8629" i="1"/>
  <c r="P8629" i="1"/>
  <c r="A8630" i="1"/>
  <c r="P8630" i="1"/>
  <c r="A8631" i="1"/>
  <c r="P8631" i="1"/>
  <c r="A8632" i="1"/>
  <c r="P8632" i="1"/>
  <c r="A8633" i="1"/>
  <c r="P8633" i="1"/>
  <c r="A8634" i="1"/>
  <c r="P8634" i="1"/>
  <c r="A8635" i="1"/>
  <c r="P8635" i="1"/>
  <c r="A8636" i="1"/>
  <c r="P8636" i="1"/>
  <c r="A8637" i="1"/>
  <c r="P8637" i="1"/>
  <c r="A8638" i="1"/>
  <c r="P8638" i="1"/>
  <c r="A8639" i="1"/>
  <c r="P8639" i="1"/>
  <c r="A8640" i="1"/>
  <c r="P8640" i="1"/>
  <c r="A8641" i="1"/>
  <c r="P8641" i="1"/>
  <c r="A8642" i="1"/>
  <c r="P8642" i="1"/>
  <c r="A8643" i="1"/>
  <c r="P8643" i="1"/>
  <c r="A8644" i="1"/>
  <c r="P8644" i="1"/>
  <c r="A8645" i="1"/>
  <c r="P8645" i="1"/>
  <c r="A8646" i="1"/>
  <c r="P8646" i="1"/>
  <c r="A8647" i="1"/>
  <c r="P8647" i="1"/>
  <c r="A8648" i="1"/>
  <c r="P8648" i="1"/>
  <c r="A8649" i="1"/>
  <c r="P8649" i="1"/>
  <c r="A8650" i="1"/>
  <c r="P8650" i="1"/>
  <c r="A8651" i="1"/>
  <c r="P8651" i="1"/>
  <c r="A8652" i="1"/>
  <c r="P8652" i="1"/>
  <c r="A8653" i="1"/>
  <c r="P8653" i="1"/>
  <c r="A8654" i="1"/>
  <c r="P8654" i="1"/>
  <c r="A8655" i="1"/>
  <c r="P8655" i="1"/>
  <c r="A8656" i="1"/>
  <c r="P8656" i="1"/>
  <c r="A8657" i="1"/>
  <c r="P8657" i="1"/>
  <c r="A8658" i="1"/>
  <c r="P8658" i="1"/>
  <c r="A8659" i="1"/>
  <c r="P8659" i="1"/>
  <c r="A8660" i="1"/>
  <c r="P8660" i="1"/>
  <c r="A8661" i="1"/>
  <c r="P8661" i="1"/>
  <c r="A8662" i="1"/>
  <c r="P8662" i="1"/>
  <c r="A8663" i="1"/>
  <c r="P8663" i="1"/>
  <c r="A8664" i="1"/>
  <c r="P8664" i="1"/>
  <c r="A8665" i="1"/>
  <c r="P8665" i="1"/>
  <c r="A8666" i="1"/>
  <c r="P8666" i="1"/>
  <c r="A8667" i="1"/>
  <c r="P8667" i="1"/>
  <c r="A8668" i="1"/>
  <c r="P8668" i="1"/>
  <c r="A8669" i="1"/>
  <c r="P8669" i="1"/>
  <c r="A8670" i="1"/>
  <c r="P8670" i="1"/>
  <c r="A8671" i="1"/>
  <c r="P8671" i="1"/>
  <c r="A8672" i="1"/>
  <c r="P8672" i="1"/>
  <c r="A8673" i="1"/>
  <c r="P8673" i="1"/>
  <c r="A8674" i="1"/>
  <c r="P8674" i="1"/>
  <c r="A8675" i="1"/>
  <c r="P8675" i="1"/>
  <c r="A8676" i="1"/>
  <c r="P8676" i="1"/>
  <c r="A8677" i="1"/>
  <c r="P8677" i="1"/>
  <c r="A8678" i="1"/>
  <c r="P8678" i="1"/>
  <c r="A8679" i="1"/>
  <c r="P8679" i="1"/>
  <c r="A8680" i="1"/>
  <c r="P8680" i="1"/>
  <c r="A8681" i="1"/>
  <c r="P8681" i="1"/>
  <c r="A8682" i="1"/>
  <c r="P8682" i="1"/>
  <c r="A8683" i="1"/>
  <c r="P8683" i="1"/>
  <c r="A8684" i="1"/>
  <c r="P8684" i="1"/>
  <c r="A8685" i="1"/>
  <c r="P8685" i="1"/>
  <c r="A8686" i="1"/>
  <c r="P8686" i="1"/>
  <c r="A8687" i="1"/>
  <c r="P8687" i="1"/>
  <c r="A8688" i="1"/>
  <c r="P8688" i="1"/>
  <c r="A8689" i="1"/>
  <c r="P8689" i="1"/>
  <c r="A8690" i="1"/>
  <c r="P8690" i="1"/>
  <c r="A8691" i="1"/>
  <c r="P8691" i="1"/>
  <c r="A8692" i="1"/>
  <c r="P8692" i="1"/>
  <c r="A8693" i="1"/>
  <c r="P8693" i="1"/>
  <c r="A8694" i="1"/>
  <c r="P8694" i="1"/>
  <c r="A8695" i="1"/>
  <c r="P8695" i="1"/>
  <c r="A8696" i="1"/>
  <c r="P8696" i="1"/>
  <c r="A8697" i="1"/>
  <c r="P8697" i="1"/>
  <c r="A8698" i="1"/>
  <c r="P8698" i="1"/>
  <c r="A8699" i="1"/>
  <c r="P8699" i="1"/>
  <c r="A8700" i="1"/>
  <c r="P8700" i="1"/>
  <c r="A8701" i="1"/>
  <c r="P8701" i="1"/>
  <c r="A8702" i="1"/>
  <c r="P8702" i="1"/>
  <c r="A8703" i="1"/>
  <c r="P8703" i="1"/>
  <c r="A8704" i="1"/>
  <c r="P8704" i="1"/>
  <c r="A8705" i="1"/>
  <c r="P8705" i="1"/>
  <c r="A8706" i="1"/>
  <c r="P8706" i="1"/>
  <c r="A8707" i="1"/>
  <c r="P8707" i="1"/>
  <c r="A8708" i="1"/>
  <c r="P8708" i="1"/>
  <c r="A8709" i="1"/>
  <c r="P8709" i="1"/>
  <c r="A8710" i="1"/>
  <c r="P8710" i="1"/>
  <c r="A8711" i="1"/>
  <c r="P8711" i="1"/>
  <c r="A8712" i="1"/>
  <c r="P8712" i="1"/>
  <c r="A8713" i="1"/>
  <c r="P8713" i="1"/>
  <c r="A8714" i="1"/>
  <c r="P8714" i="1"/>
  <c r="A8715" i="1"/>
  <c r="P8715" i="1"/>
  <c r="A8716" i="1"/>
  <c r="P8716" i="1"/>
  <c r="A8717" i="1"/>
  <c r="P8717" i="1"/>
  <c r="A8718" i="1"/>
  <c r="P8718" i="1"/>
  <c r="A8719" i="1"/>
  <c r="P8719" i="1"/>
  <c r="A8720" i="1"/>
  <c r="P8720" i="1"/>
  <c r="A8721" i="1"/>
  <c r="P8721" i="1"/>
  <c r="A8722" i="1"/>
  <c r="P8722" i="1"/>
  <c r="A8723" i="1"/>
  <c r="P8723" i="1"/>
  <c r="A8724" i="1"/>
  <c r="P8724" i="1"/>
  <c r="A8725" i="1"/>
  <c r="P8725" i="1"/>
  <c r="A8726" i="1"/>
  <c r="P8726" i="1"/>
  <c r="A8727" i="1"/>
  <c r="P8727" i="1"/>
  <c r="A8728" i="1"/>
  <c r="P8728" i="1"/>
  <c r="A8729" i="1"/>
  <c r="P8729" i="1"/>
  <c r="A8730" i="1"/>
  <c r="P8730" i="1"/>
  <c r="A8731" i="1"/>
  <c r="P8731" i="1"/>
  <c r="A8732" i="1"/>
  <c r="P8732" i="1"/>
  <c r="A8733" i="1"/>
  <c r="P8733" i="1"/>
  <c r="A8734" i="1"/>
  <c r="P8734" i="1"/>
  <c r="A8735" i="1"/>
  <c r="P8735" i="1"/>
  <c r="A8736" i="1"/>
  <c r="P8736" i="1"/>
  <c r="A8737" i="1"/>
  <c r="P8737" i="1"/>
  <c r="A8738" i="1"/>
  <c r="P8738" i="1"/>
  <c r="A8739" i="1"/>
  <c r="P8739" i="1"/>
  <c r="A8740" i="1"/>
  <c r="P8740" i="1"/>
  <c r="A8741" i="1"/>
  <c r="P8741" i="1"/>
  <c r="A8742" i="1"/>
  <c r="P8742" i="1"/>
  <c r="A8743" i="1"/>
  <c r="P8743" i="1"/>
  <c r="A8744" i="1"/>
  <c r="P8744" i="1"/>
  <c r="A8745" i="1"/>
  <c r="P8745" i="1"/>
  <c r="A8746" i="1"/>
  <c r="P8746" i="1"/>
  <c r="A8747" i="1"/>
  <c r="P8747" i="1"/>
  <c r="A8748" i="1"/>
  <c r="P8748" i="1"/>
  <c r="A8749" i="1"/>
  <c r="P8749" i="1"/>
  <c r="A8750" i="1"/>
  <c r="P8750" i="1"/>
  <c r="A8751" i="1"/>
  <c r="P8751" i="1"/>
  <c r="A8752" i="1"/>
  <c r="P8752" i="1"/>
  <c r="A8753" i="1"/>
  <c r="P8753" i="1"/>
  <c r="A8754" i="1"/>
  <c r="P8754" i="1"/>
  <c r="A8755" i="1"/>
  <c r="P8755" i="1"/>
  <c r="A8756" i="1"/>
  <c r="P8756" i="1"/>
  <c r="A8757" i="1"/>
  <c r="P8757" i="1"/>
  <c r="A8758" i="1"/>
  <c r="P8758" i="1"/>
  <c r="A8759" i="1"/>
  <c r="P8759" i="1"/>
  <c r="A8760" i="1"/>
  <c r="P8760" i="1"/>
  <c r="A8761" i="1"/>
  <c r="P8761" i="1"/>
  <c r="A8762" i="1"/>
  <c r="P8762" i="1"/>
  <c r="A8763" i="1"/>
  <c r="P8763" i="1"/>
  <c r="A8764" i="1"/>
  <c r="P8764" i="1"/>
  <c r="A8765" i="1"/>
  <c r="P8765" i="1"/>
  <c r="A8766" i="1"/>
  <c r="P8766" i="1"/>
  <c r="A8767" i="1"/>
  <c r="P8767" i="1"/>
  <c r="A8768" i="1"/>
  <c r="P8768" i="1"/>
  <c r="A8769" i="1"/>
  <c r="P8769" i="1"/>
  <c r="A8770" i="1"/>
  <c r="P8770" i="1"/>
  <c r="A8771" i="1"/>
  <c r="P8771" i="1"/>
  <c r="A8772" i="1"/>
  <c r="P8772" i="1"/>
  <c r="A8773" i="1"/>
  <c r="P8773" i="1"/>
  <c r="A8774" i="1"/>
  <c r="P8774" i="1"/>
  <c r="A8775" i="1"/>
  <c r="P8775" i="1"/>
  <c r="A8776" i="1"/>
  <c r="P8776" i="1"/>
  <c r="A8777" i="1"/>
  <c r="P8777" i="1"/>
  <c r="A8778" i="1"/>
  <c r="P8778" i="1"/>
  <c r="A8779" i="1"/>
  <c r="P8779" i="1"/>
  <c r="A8780" i="1"/>
  <c r="P8780" i="1"/>
  <c r="A8781" i="1"/>
  <c r="P8781" i="1"/>
  <c r="A8782" i="1"/>
  <c r="P8782" i="1"/>
  <c r="A8783" i="1"/>
  <c r="P8783" i="1"/>
  <c r="A8784" i="1"/>
  <c r="P8784" i="1"/>
  <c r="A8785" i="1"/>
  <c r="P8785" i="1"/>
  <c r="A8786" i="1"/>
  <c r="P8786" i="1"/>
  <c r="A8787" i="1"/>
  <c r="P8787" i="1"/>
  <c r="A8788" i="1"/>
  <c r="P8788" i="1"/>
  <c r="A8789" i="1"/>
  <c r="P8789" i="1"/>
  <c r="A8790" i="1"/>
  <c r="P8790" i="1"/>
  <c r="A8791" i="1"/>
  <c r="P8791" i="1"/>
  <c r="A8792" i="1"/>
  <c r="P8792" i="1"/>
  <c r="A8793" i="1"/>
  <c r="P8793" i="1"/>
  <c r="A8794" i="1"/>
  <c r="P8794" i="1"/>
  <c r="A8795" i="1"/>
  <c r="P8795" i="1"/>
  <c r="A8796" i="1"/>
  <c r="P8796" i="1"/>
  <c r="A8797" i="1"/>
  <c r="P8797" i="1"/>
  <c r="A8798" i="1"/>
  <c r="P8798" i="1"/>
  <c r="A8799" i="1"/>
  <c r="P8799" i="1"/>
  <c r="A8800" i="1"/>
  <c r="P8800" i="1"/>
  <c r="A8801" i="1"/>
  <c r="P8801" i="1"/>
  <c r="A8802" i="1"/>
  <c r="P8802" i="1"/>
  <c r="A8803" i="1"/>
  <c r="P8803" i="1"/>
  <c r="A8804" i="1"/>
  <c r="P8804" i="1"/>
  <c r="A8805" i="1"/>
  <c r="P8805" i="1"/>
  <c r="A8806" i="1"/>
  <c r="P8806" i="1"/>
  <c r="A8807" i="1"/>
  <c r="P8807" i="1"/>
  <c r="A8808" i="1"/>
  <c r="P8808" i="1"/>
  <c r="A8809" i="1"/>
  <c r="P8809" i="1"/>
  <c r="A8810" i="1"/>
  <c r="P8810" i="1"/>
  <c r="A8811" i="1"/>
  <c r="P8811" i="1"/>
  <c r="A8812" i="1"/>
  <c r="P8812" i="1"/>
  <c r="A8813" i="1"/>
  <c r="P8813" i="1"/>
  <c r="A8814" i="1"/>
  <c r="P8814" i="1"/>
  <c r="A8815" i="1"/>
  <c r="P8815" i="1"/>
  <c r="A8816" i="1"/>
  <c r="P8816" i="1"/>
  <c r="A8817" i="1"/>
  <c r="P8817" i="1"/>
  <c r="A8818" i="1"/>
  <c r="P8818" i="1"/>
  <c r="A8819" i="1"/>
  <c r="P8819" i="1"/>
  <c r="A8820" i="1"/>
  <c r="P8820" i="1"/>
  <c r="A8821" i="1"/>
  <c r="P8821" i="1"/>
  <c r="A8822" i="1"/>
  <c r="P8822" i="1"/>
  <c r="A8823" i="1"/>
  <c r="P8823" i="1"/>
  <c r="A8824" i="1"/>
  <c r="P8824" i="1"/>
  <c r="A8825" i="1"/>
  <c r="P8825" i="1"/>
  <c r="A8826" i="1"/>
  <c r="P8826" i="1"/>
  <c r="A8827" i="1"/>
  <c r="P8827" i="1"/>
  <c r="A8828" i="1"/>
  <c r="P8828" i="1"/>
  <c r="A8829" i="1"/>
  <c r="P8829" i="1"/>
  <c r="A8830" i="1"/>
  <c r="P8830" i="1"/>
  <c r="A8831" i="1"/>
  <c r="P8831" i="1"/>
  <c r="A8832" i="1"/>
  <c r="P8832" i="1"/>
  <c r="A8833" i="1"/>
  <c r="P8833" i="1"/>
  <c r="A8834" i="1"/>
  <c r="P8834" i="1"/>
  <c r="A8835" i="1"/>
  <c r="P8835" i="1"/>
  <c r="A8836" i="1"/>
  <c r="P8836" i="1"/>
  <c r="A8837" i="1"/>
  <c r="P8837" i="1"/>
  <c r="A8838" i="1"/>
  <c r="P8838" i="1"/>
  <c r="A8839" i="1"/>
  <c r="P8839" i="1"/>
  <c r="A8840" i="1"/>
  <c r="P8840" i="1"/>
  <c r="A8841" i="1"/>
  <c r="P8841" i="1"/>
  <c r="A8842" i="1"/>
  <c r="P8842" i="1"/>
  <c r="A8843" i="1"/>
  <c r="P8843" i="1"/>
  <c r="A8844" i="1"/>
  <c r="P8844" i="1"/>
  <c r="A8845" i="1"/>
  <c r="P8845" i="1"/>
  <c r="A8846" i="1"/>
  <c r="P8846" i="1"/>
  <c r="A8847" i="1"/>
  <c r="P8847" i="1"/>
  <c r="A8848" i="1"/>
  <c r="P8848" i="1"/>
  <c r="A8849" i="1"/>
  <c r="P8849" i="1"/>
  <c r="A8850" i="1"/>
  <c r="P8850" i="1"/>
  <c r="A8851" i="1"/>
  <c r="P8851" i="1"/>
  <c r="A8852" i="1"/>
  <c r="P8852" i="1"/>
  <c r="A8853" i="1"/>
  <c r="P8853" i="1"/>
  <c r="A8854" i="1"/>
  <c r="P8854" i="1"/>
  <c r="A8855" i="1"/>
  <c r="P8855" i="1"/>
  <c r="A8856" i="1"/>
  <c r="P8856" i="1"/>
  <c r="A8857" i="1"/>
  <c r="P8857" i="1"/>
  <c r="A8858" i="1"/>
  <c r="P8858" i="1"/>
  <c r="A8859" i="1"/>
  <c r="P8859" i="1"/>
  <c r="A8860" i="1"/>
  <c r="P8860" i="1"/>
  <c r="A8861" i="1"/>
  <c r="P8861" i="1"/>
  <c r="A8862" i="1"/>
  <c r="P8862" i="1"/>
  <c r="A8863" i="1"/>
  <c r="P8863" i="1"/>
  <c r="A8864" i="1"/>
  <c r="P8864" i="1"/>
  <c r="A8865" i="1"/>
  <c r="P8865" i="1"/>
  <c r="A8866" i="1"/>
  <c r="P8866" i="1"/>
  <c r="A8867" i="1"/>
  <c r="P8867" i="1"/>
  <c r="A8868" i="1"/>
  <c r="P8868" i="1"/>
  <c r="A8869" i="1"/>
  <c r="P8869" i="1"/>
  <c r="A8870" i="1"/>
  <c r="P8870" i="1"/>
  <c r="A8871" i="1"/>
  <c r="P8871" i="1"/>
  <c r="A8872" i="1"/>
  <c r="P8872" i="1"/>
  <c r="A8873" i="1"/>
  <c r="P8873" i="1"/>
  <c r="A8874" i="1"/>
  <c r="P8874" i="1"/>
  <c r="A8875" i="1"/>
  <c r="P8875" i="1"/>
  <c r="A8876" i="1"/>
  <c r="P8876" i="1"/>
  <c r="A8877" i="1"/>
  <c r="P8877" i="1"/>
  <c r="A8878" i="1"/>
  <c r="P8878" i="1"/>
  <c r="A8879" i="1"/>
  <c r="P8879" i="1"/>
  <c r="A8880" i="1"/>
  <c r="P8880" i="1"/>
  <c r="A8881" i="1"/>
  <c r="P8881" i="1"/>
  <c r="A8882" i="1"/>
  <c r="P8882" i="1"/>
  <c r="A8883" i="1"/>
  <c r="P8883" i="1"/>
  <c r="A8884" i="1"/>
  <c r="P8884" i="1"/>
  <c r="A8885" i="1"/>
  <c r="P8885" i="1"/>
  <c r="A8886" i="1"/>
  <c r="P8886" i="1"/>
  <c r="A8887" i="1"/>
  <c r="P8887" i="1"/>
  <c r="A8888" i="1"/>
  <c r="P8888" i="1"/>
  <c r="A8889" i="1"/>
  <c r="P8889" i="1"/>
  <c r="A8890" i="1"/>
  <c r="P8890" i="1"/>
  <c r="A8891" i="1"/>
  <c r="P8891" i="1"/>
  <c r="A8892" i="1"/>
  <c r="P8892" i="1"/>
  <c r="A8893" i="1"/>
  <c r="P8893" i="1"/>
  <c r="A8894" i="1"/>
  <c r="P8894" i="1"/>
  <c r="A8895" i="1"/>
  <c r="P8895" i="1"/>
  <c r="A8896" i="1"/>
  <c r="P8896" i="1"/>
  <c r="A8897" i="1"/>
  <c r="P8897" i="1"/>
  <c r="A8898" i="1"/>
  <c r="P8898" i="1"/>
  <c r="A8899" i="1"/>
  <c r="P8899" i="1"/>
  <c r="A8900" i="1"/>
  <c r="P8900" i="1"/>
  <c r="A8901" i="1"/>
  <c r="P8901" i="1"/>
  <c r="A8902" i="1"/>
  <c r="P8902" i="1"/>
  <c r="A8903" i="1"/>
  <c r="P8903" i="1"/>
  <c r="A8904" i="1"/>
  <c r="P8904" i="1"/>
  <c r="A8905" i="1"/>
  <c r="P8905" i="1"/>
  <c r="A8906" i="1"/>
  <c r="P8906" i="1"/>
  <c r="A8907" i="1"/>
  <c r="P8907" i="1"/>
  <c r="A8908" i="1"/>
  <c r="P8908" i="1"/>
  <c r="A8909" i="1"/>
  <c r="P8909" i="1"/>
  <c r="A8910" i="1"/>
  <c r="P8910" i="1"/>
  <c r="A8911" i="1"/>
  <c r="P8911" i="1"/>
  <c r="A8912" i="1"/>
  <c r="P8912" i="1"/>
  <c r="A8913" i="1"/>
  <c r="P8913" i="1"/>
  <c r="A8914" i="1"/>
  <c r="P8914" i="1"/>
  <c r="A8915" i="1"/>
  <c r="P8915" i="1"/>
  <c r="A8916" i="1"/>
  <c r="P8916" i="1"/>
  <c r="A8917" i="1"/>
  <c r="P8917" i="1"/>
  <c r="A8918" i="1"/>
  <c r="P8918" i="1"/>
  <c r="A8919" i="1"/>
  <c r="P8919" i="1"/>
  <c r="A8920" i="1"/>
  <c r="P8920" i="1"/>
  <c r="A8921" i="1"/>
  <c r="P8921" i="1"/>
  <c r="A8922" i="1"/>
  <c r="P8922" i="1"/>
  <c r="A8923" i="1"/>
  <c r="P8923" i="1"/>
  <c r="A8924" i="1"/>
  <c r="P8924" i="1"/>
  <c r="A8925" i="1"/>
  <c r="P8925" i="1"/>
  <c r="A8926" i="1"/>
  <c r="P8926" i="1"/>
  <c r="A8927" i="1"/>
  <c r="P8927" i="1"/>
  <c r="A8928" i="1"/>
  <c r="P8928" i="1"/>
  <c r="A8929" i="1"/>
  <c r="P8929" i="1"/>
  <c r="A8930" i="1"/>
  <c r="P8930" i="1"/>
  <c r="A8931" i="1"/>
  <c r="P8931" i="1"/>
  <c r="A8932" i="1"/>
  <c r="P8932" i="1"/>
  <c r="A8933" i="1"/>
  <c r="P8933" i="1"/>
  <c r="A8934" i="1"/>
  <c r="P8934" i="1"/>
  <c r="A8935" i="1"/>
  <c r="P8935" i="1"/>
  <c r="A8936" i="1"/>
  <c r="P8936" i="1"/>
  <c r="A8937" i="1"/>
  <c r="P8937" i="1"/>
  <c r="A8938" i="1"/>
  <c r="P8938" i="1"/>
  <c r="A8939" i="1"/>
  <c r="P8939" i="1"/>
  <c r="A8940" i="1"/>
  <c r="P8940" i="1"/>
  <c r="A8941" i="1"/>
  <c r="P8941" i="1"/>
  <c r="A8942" i="1"/>
  <c r="P8942" i="1"/>
  <c r="A8943" i="1"/>
  <c r="P8943" i="1"/>
  <c r="A8944" i="1"/>
  <c r="P8944" i="1"/>
  <c r="A8945" i="1"/>
  <c r="P8945" i="1"/>
  <c r="A8946" i="1"/>
  <c r="P8946" i="1"/>
  <c r="A8947" i="1"/>
  <c r="P8947" i="1"/>
  <c r="A8948" i="1"/>
  <c r="P8948" i="1"/>
  <c r="A8949" i="1"/>
  <c r="P8949" i="1"/>
  <c r="A8950" i="1"/>
  <c r="P8950" i="1"/>
  <c r="A8951" i="1"/>
  <c r="P8951" i="1"/>
  <c r="A8952" i="1"/>
  <c r="P8952" i="1"/>
  <c r="A8953" i="1"/>
  <c r="P8953" i="1"/>
  <c r="A8954" i="1"/>
  <c r="P8954" i="1"/>
  <c r="A8955" i="1"/>
  <c r="P8955" i="1"/>
  <c r="A8956" i="1"/>
  <c r="P8956" i="1"/>
  <c r="A8957" i="1"/>
  <c r="P8957" i="1"/>
  <c r="A8958" i="1"/>
  <c r="P8958" i="1"/>
  <c r="A8959" i="1"/>
  <c r="P8959" i="1"/>
  <c r="A8960" i="1"/>
  <c r="P8960" i="1"/>
  <c r="A8961" i="1"/>
  <c r="P8961" i="1"/>
  <c r="A8962" i="1"/>
  <c r="P8962" i="1"/>
  <c r="A8963" i="1"/>
  <c r="P8963" i="1"/>
  <c r="A8964" i="1"/>
  <c r="P8964" i="1"/>
  <c r="A8965" i="1"/>
  <c r="P8965" i="1"/>
  <c r="A8966" i="1"/>
  <c r="P8966" i="1"/>
  <c r="A8967" i="1"/>
  <c r="P8967" i="1"/>
  <c r="A8968" i="1"/>
  <c r="P8968" i="1"/>
  <c r="A8969" i="1"/>
  <c r="P8969" i="1"/>
  <c r="A8970" i="1"/>
  <c r="P8970" i="1"/>
  <c r="A8971" i="1"/>
  <c r="P8971" i="1"/>
  <c r="A8972" i="1"/>
  <c r="P8972" i="1"/>
  <c r="A8973" i="1"/>
  <c r="P8973" i="1"/>
  <c r="A8974" i="1"/>
  <c r="P8974" i="1"/>
  <c r="A8975" i="1"/>
  <c r="P8975" i="1"/>
  <c r="A8976" i="1"/>
  <c r="P8976" i="1"/>
  <c r="A8977" i="1"/>
  <c r="P8977" i="1"/>
  <c r="A8978" i="1"/>
  <c r="P8978" i="1"/>
  <c r="A8979" i="1"/>
  <c r="P8979" i="1"/>
  <c r="A8980" i="1"/>
  <c r="P8980" i="1"/>
  <c r="A8981" i="1"/>
  <c r="P8981" i="1"/>
  <c r="A8982" i="1"/>
  <c r="P8982" i="1"/>
  <c r="A8983" i="1"/>
  <c r="P8983" i="1"/>
  <c r="A8984" i="1"/>
  <c r="P8984" i="1"/>
  <c r="A8985" i="1"/>
  <c r="P8985" i="1"/>
  <c r="A8986" i="1"/>
  <c r="P8986" i="1"/>
  <c r="A8987" i="1"/>
  <c r="P8987" i="1"/>
  <c r="A8988" i="1"/>
  <c r="P8988" i="1"/>
  <c r="A8989" i="1"/>
  <c r="P8989" i="1"/>
  <c r="A8990" i="1"/>
  <c r="P8990" i="1"/>
  <c r="A8991" i="1"/>
  <c r="P8991" i="1"/>
  <c r="A8992" i="1"/>
  <c r="P8992" i="1"/>
  <c r="A8993" i="1"/>
  <c r="P8993" i="1"/>
  <c r="A8994" i="1"/>
  <c r="P8994" i="1"/>
  <c r="A8995" i="1"/>
  <c r="P8995" i="1"/>
  <c r="A8996" i="1"/>
  <c r="P8996" i="1"/>
  <c r="A8997" i="1"/>
  <c r="P8997" i="1"/>
  <c r="A8998" i="1"/>
  <c r="P8998" i="1"/>
  <c r="A8999" i="1"/>
  <c r="P8999" i="1"/>
  <c r="A9000" i="1"/>
  <c r="P9000" i="1"/>
  <c r="A9001" i="1"/>
  <c r="P9001" i="1"/>
  <c r="A9002" i="1"/>
  <c r="P9002" i="1"/>
  <c r="A9003" i="1"/>
  <c r="P9003" i="1"/>
  <c r="A9004" i="1"/>
  <c r="P9004" i="1"/>
  <c r="A9005" i="1"/>
  <c r="P9005" i="1"/>
  <c r="A9006" i="1"/>
  <c r="P9006" i="1"/>
  <c r="A9007" i="1"/>
  <c r="P9007" i="1"/>
  <c r="A9008" i="1"/>
  <c r="P9008" i="1"/>
  <c r="A9009" i="1"/>
  <c r="P9009" i="1"/>
  <c r="A9010" i="1"/>
  <c r="P9010" i="1"/>
  <c r="A9011" i="1"/>
  <c r="P9011" i="1"/>
  <c r="A9012" i="1"/>
  <c r="P9012" i="1"/>
  <c r="A9013" i="1"/>
  <c r="P9013" i="1"/>
  <c r="A9014" i="1"/>
  <c r="P9014" i="1"/>
  <c r="A9015" i="1"/>
  <c r="P9015" i="1"/>
  <c r="A9016" i="1"/>
  <c r="P9016" i="1"/>
  <c r="A9017" i="1"/>
  <c r="P9017" i="1"/>
  <c r="A9018" i="1"/>
  <c r="P9018" i="1"/>
  <c r="A9019" i="1"/>
  <c r="P9019" i="1"/>
  <c r="A9020" i="1"/>
  <c r="P9020" i="1"/>
  <c r="A9021" i="1"/>
  <c r="P9021" i="1"/>
  <c r="A9022" i="1"/>
  <c r="P9022" i="1"/>
  <c r="A9023" i="1"/>
  <c r="P9023" i="1"/>
  <c r="A9024" i="1"/>
  <c r="P9024" i="1"/>
  <c r="A9025" i="1"/>
  <c r="P9025" i="1"/>
  <c r="A9026" i="1"/>
  <c r="P9026" i="1"/>
  <c r="A9027" i="1"/>
  <c r="P9027" i="1"/>
  <c r="A9028" i="1"/>
  <c r="P9028" i="1"/>
  <c r="A9029" i="1"/>
  <c r="P9029" i="1"/>
  <c r="A9030" i="1"/>
  <c r="P9030" i="1"/>
  <c r="A9031" i="1"/>
  <c r="P9031" i="1"/>
  <c r="A9032" i="1"/>
  <c r="P9032" i="1"/>
  <c r="A9033" i="1"/>
  <c r="P9033" i="1"/>
  <c r="A9034" i="1"/>
  <c r="P9034" i="1"/>
  <c r="A9035" i="1"/>
  <c r="P9035" i="1"/>
  <c r="A9036" i="1"/>
  <c r="P9036" i="1"/>
  <c r="A9037" i="1"/>
  <c r="P9037" i="1"/>
  <c r="A9038" i="1"/>
  <c r="P9038" i="1"/>
  <c r="A9039" i="1"/>
  <c r="P9039" i="1"/>
  <c r="A9040" i="1"/>
  <c r="P9040" i="1"/>
  <c r="A9041" i="1"/>
  <c r="P9041" i="1"/>
  <c r="A9042" i="1"/>
  <c r="P9042" i="1"/>
  <c r="A9043" i="1"/>
  <c r="P9043" i="1"/>
  <c r="A9044" i="1"/>
  <c r="P9044" i="1"/>
  <c r="A9045" i="1"/>
  <c r="P9045" i="1"/>
  <c r="A9046" i="1"/>
  <c r="P9046" i="1"/>
  <c r="A9047" i="1"/>
  <c r="P9047" i="1"/>
  <c r="A9048" i="1"/>
  <c r="P9048" i="1"/>
  <c r="A9049" i="1"/>
  <c r="P9049" i="1"/>
  <c r="A9050" i="1"/>
  <c r="P9050" i="1"/>
  <c r="A9051" i="1"/>
  <c r="P9051" i="1"/>
  <c r="A9052" i="1"/>
  <c r="P9052" i="1"/>
  <c r="A9053" i="1"/>
  <c r="P9053" i="1"/>
  <c r="A9054" i="1"/>
  <c r="P9054" i="1"/>
  <c r="A9055" i="1"/>
  <c r="P9055" i="1"/>
  <c r="A9056" i="1"/>
  <c r="P9056" i="1"/>
  <c r="A9057" i="1"/>
  <c r="P9057" i="1"/>
  <c r="A9058" i="1"/>
  <c r="P9058" i="1"/>
  <c r="A9059" i="1"/>
  <c r="P9059" i="1"/>
  <c r="A9060" i="1"/>
  <c r="P9060" i="1"/>
  <c r="A9061" i="1"/>
  <c r="P9061" i="1"/>
  <c r="A9062" i="1"/>
  <c r="P9062" i="1"/>
  <c r="A9063" i="1"/>
  <c r="P9063" i="1"/>
  <c r="A9064" i="1"/>
  <c r="P9064" i="1"/>
  <c r="A9065" i="1"/>
  <c r="P9065" i="1"/>
  <c r="A9066" i="1"/>
  <c r="P9066" i="1"/>
  <c r="A9067" i="1"/>
  <c r="P9067" i="1"/>
  <c r="A9068" i="1"/>
  <c r="P9068" i="1"/>
  <c r="A9069" i="1"/>
  <c r="P9069" i="1"/>
  <c r="A9070" i="1"/>
  <c r="P9070" i="1"/>
  <c r="A9071" i="1"/>
  <c r="P9071" i="1"/>
  <c r="A9072" i="1"/>
  <c r="P9072" i="1"/>
  <c r="A9073" i="1"/>
  <c r="P9073" i="1"/>
  <c r="A9074" i="1"/>
  <c r="P9074" i="1"/>
  <c r="A9075" i="1"/>
  <c r="P9075" i="1"/>
  <c r="A9076" i="1"/>
  <c r="P9076" i="1"/>
  <c r="A9077" i="1"/>
  <c r="P9077" i="1"/>
  <c r="A9078" i="1"/>
  <c r="P9078" i="1"/>
  <c r="A9079" i="1"/>
  <c r="P9079" i="1"/>
  <c r="A9080" i="1"/>
  <c r="P9080" i="1"/>
  <c r="A9081" i="1"/>
  <c r="P9081" i="1"/>
  <c r="A9082" i="1"/>
  <c r="P9082" i="1"/>
  <c r="A9083" i="1"/>
  <c r="P9083" i="1"/>
  <c r="A9084" i="1"/>
  <c r="P9084" i="1"/>
  <c r="A9085" i="1"/>
  <c r="P9085" i="1"/>
  <c r="A9086" i="1"/>
  <c r="P9086" i="1"/>
  <c r="A9087" i="1"/>
  <c r="P9087" i="1"/>
  <c r="A9088" i="1"/>
  <c r="P9088" i="1"/>
  <c r="A9089" i="1"/>
  <c r="P9089" i="1"/>
  <c r="A9090" i="1"/>
  <c r="P9090" i="1"/>
  <c r="A9091" i="1"/>
  <c r="P9091" i="1"/>
  <c r="A9092" i="1"/>
  <c r="P9092" i="1"/>
  <c r="A9093" i="1"/>
  <c r="P9093" i="1"/>
  <c r="A9094" i="1"/>
  <c r="P9094" i="1"/>
  <c r="A9095" i="1"/>
  <c r="P9095" i="1"/>
  <c r="A9096" i="1"/>
  <c r="P9096" i="1"/>
  <c r="A9097" i="1"/>
  <c r="P9097" i="1"/>
  <c r="A9098" i="1"/>
  <c r="P9098" i="1"/>
  <c r="A9099" i="1"/>
  <c r="P9099" i="1"/>
  <c r="A9100" i="1"/>
  <c r="P9100" i="1"/>
  <c r="A9101" i="1"/>
  <c r="P9101" i="1"/>
  <c r="A9102" i="1"/>
  <c r="P9102" i="1"/>
  <c r="A9103" i="1"/>
  <c r="P9103" i="1"/>
  <c r="A9104" i="1"/>
  <c r="P9104" i="1"/>
  <c r="A9105" i="1"/>
  <c r="P9105" i="1"/>
  <c r="A9106" i="1"/>
  <c r="P9106" i="1"/>
  <c r="A9107" i="1"/>
  <c r="P9107" i="1"/>
  <c r="A9108" i="1"/>
  <c r="P9108" i="1"/>
  <c r="A9109" i="1"/>
  <c r="P9109" i="1"/>
  <c r="A9110" i="1"/>
  <c r="P9110" i="1"/>
  <c r="A9111" i="1"/>
  <c r="P9111" i="1"/>
  <c r="A9112" i="1"/>
  <c r="P9112" i="1"/>
  <c r="A9113" i="1"/>
  <c r="P9113" i="1"/>
  <c r="A9114" i="1"/>
  <c r="P9114" i="1"/>
  <c r="A9115" i="1"/>
  <c r="P9115" i="1"/>
  <c r="A9116" i="1"/>
  <c r="P9116" i="1"/>
  <c r="A9117" i="1"/>
  <c r="P9117" i="1"/>
  <c r="A9118" i="1"/>
  <c r="P9118" i="1"/>
  <c r="A9119" i="1"/>
  <c r="P9119" i="1"/>
  <c r="A9120" i="1"/>
  <c r="P9120" i="1"/>
  <c r="A9121" i="1"/>
  <c r="P9121" i="1"/>
  <c r="A9122" i="1"/>
  <c r="P9122" i="1"/>
  <c r="A9123" i="1"/>
  <c r="P9123" i="1"/>
  <c r="A9124" i="1"/>
  <c r="P9124" i="1"/>
  <c r="A9125" i="1"/>
  <c r="P9125" i="1"/>
  <c r="A9126" i="1"/>
  <c r="P9126" i="1"/>
  <c r="A9127" i="1"/>
  <c r="P9127" i="1"/>
  <c r="A9128" i="1"/>
  <c r="P9128" i="1"/>
  <c r="A9129" i="1"/>
  <c r="P9129" i="1"/>
  <c r="A9130" i="1"/>
  <c r="P9130" i="1"/>
  <c r="A9131" i="1"/>
  <c r="P9131" i="1"/>
  <c r="A9132" i="1"/>
  <c r="P9132" i="1"/>
  <c r="A9133" i="1"/>
  <c r="P9133" i="1"/>
  <c r="A9134" i="1"/>
  <c r="P9134" i="1"/>
  <c r="A9135" i="1"/>
  <c r="P9135" i="1"/>
  <c r="A9136" i="1"/>
  <c r="P9136" i="1"/>
  <c r="A9137" i="1"/>
  <c r="P9137" i="1"/>
  <c r="A9138" i="1"/>
  <c r="P9138" i="1"/>
  <c r="A9139" i="1"/>
  <c r="P9139" i="1"/>
  <c r="A9140" i="1"/>
  <c r="P9140" i="1"/>
  <c r="A9141" i="1"/>
  <c r="P9141" i="1"/>
  <c r="A9142" i="1"/>
  <c r="P9142" i="1"/>
  <c r="A9143" i="1"/>
  <c r="P9143" i="1"/>
  <c r="A9144" i="1"/>
  <c r="P9144" i="1"/>
  <c r="A9145" i="1"/>
  <c r="P9145" i="1"/>
  <c r="A9146" i="1"/>
  <c r="P9146" i="1"/>
  <c r="A9147" i="1"/>
  <c r="P9147" i="1"/>
  <c r="A9148" i="1"/>
  <c r="P9148" i="1"/>
  <c r="A9149" i="1"/>
  <c r="P9149" i="1"/>
  <c r="A9150" i="1"/>
  <c r="P9150" i="1"/>
  <c r="A9151" i="1"/>
  <c r="P9151" i="1"/>
  <c r="A9152" i="1"/>
  <c r="P9152" i="1"/>
  <c r="A9153" i="1"/>
  <c r="P9153" i="1"/>
  <c r="A9154" i="1"/>
  <c r="P9154" i="1"/>
  <c r="A9155" i="1"/>
  <c r="P9155" i="1"/>
  <c r="A9156" i="1"/>
  <c r="P9156" i="1"/>
  <c r="A9157" i="1"/>
  <c r="P9157" i="1"/>
  <c r="A9158" i="1"/>
  <c r="P9158" i="1"/>
  <c r="A9159" i="1"/>
  <c r="P9159" i="1"/>
  <c r="A9160" i="1"/>
  <c r="P9160" i="1"/>
  <c r="A9161" i="1"/>
  <c r="P9161" i="1"/>
  <c r="A9162" i="1"/>
  <c r="P9162" i="1"/>
  <c r="A9163" i="1"/>
  <c r="P9163" i="1"/>
  <c r="A9164" i="1"/>
  <c r="P9164" i="1"/>
  <c r="A9165" i="1"/>
  <c r="P9165" i="1"/>
  <c r="A9166" i="1"/>
  <c r="P9166" i="1"/>
  <c r="A9167" i="1"/>
  <c r="P9167" i="1"/>
  <c r="A9168" i="1"/>
  <c r="P9168" i="1"/>
  <c r="A9169" i="1"/>
  <c r="P9169" i="1"/>
  <c r="A9170" i="1"/>
  <c r="P9170" i="1"/>
  <c r="A9171" i="1"/>
  <c r="P9171" i="1"/>
  <c r="A9172" i="1"/>
  <c r="P9172" i="1"/>
  <c r="A9173" i="1"/>
  <c r="P9173" i="1"/>
  <c r="A9174" i="1"/>
  <c r="P9174" i="1"/>
  <c r="A9175" i="1"/>
  <c r="P9175" i="1"/>
  <c r="A9176" i="1"/>
  <c r="P9176" i="1"/>
  <c r="A9177" i="1"/>
  <c r="P9177" i="1"/>
  <c r="A9178" i="1"/>
  <c r="P9178" i="1"/>
  <c r="A9179" i="1"/>
  <c r="P9179" i="1"/>
  <c r="A9180" i="1"/>
  <c r="P9180" i="1"/>
  <c r="A9181" i="1"/>
  <c r="P9181" i="1"/>
  <c r="A9182" i="1"/>
  <c r="P9182" i="1"/>
  <c r="A9183" i="1"/>
  <c r="P9183" i="1"/>
  <c r="A9184" i="1"/>
  <c r="P9184" i="1"/>
  <c r="A9185" i="1"/>
  <c r="P9185" i="1"/>
  <c r="A9186" i="1"/>
  <c r="P9186" i="1"/>
  <c r="A9187" i="1"/>
  <c r="P9187" i="1"/>
  <c r="A9188" i="1"/>
  <c r="P9188" i="1"/>
  <c r="A9189" i="1"/>
  <c r="P9189" i="1"/>
  <c r="A9190" i="1"/>
  <c r="P9190" i="1"/>
  <c r="A9191" i="1"/>
  <c r="P9191" i="1"/>
  <c r="A9192" i="1"/>
  <c r="P9192" i="1"/>
  <c r="A9193" i="1"/>
  <c r="P9193" i="1"/>
  <c r="A9194" i="1"/>
  <c r="P9194" i="1"/>
  <c r="A9195" i="1"/>
  <c r="P9195" i="1"/>
  <c r="A9196" i="1"/>
  <c r="P9196" i="1"/>
  <c r="A9197" i="1"/>
  <c r="P9197" i="1"/>
  <c r="A9198" i="1"/>
  <c r="P9198" i="1"/>
  <c r="A9199" i="1"/>
  <c r="P9199" i="1"/>
  <c r="A9200" i="1"/>
  <c r="P9200" i="1"/>
  <c r="A9201" i="1"/>
  <c r="P9201" i="1"/>
  <c r="A9202" i="1"/>
  <c r="P9202" i="1"/>
  <c r="A9203" i="1"/>
  <c r="P9203" i="1"/>
  <c r="A9204" i="1"/>
  <c r="P9204" i="1"/>
  <c r="A9205" i="1"/>
  <c r="P9205" i="1"/>
  <c r="A9206" i="1"/>
  <c r="P9206" i="1"/>
  <c r="A9207" i="1"/>
  <c r="P9207" i="1"/>
  <c r="A9208" i="1"/>
  <c r="P9208" i="1"/>
  <c r="A9209" i="1"/>
  <c r="P9209" i="1"/>
  <c r="A9210" i="1"/>
  <c r="P9210" i="1"/>
  <c r="A9211" i="1"/>
  <c r="P9211" i="1"/>
  <c r="A9212" i="1"/>
  <c r="P9212" i="1"/>
  <c r="A9213" i="1"/>
  <c r="P9213" i="1"/>
  <c r="A9214" i="1"/>
  <c r="P9214" i="1"/>
  <c r="A9215" i="1"/>
  <c r="P9215" i="1"/>
  <c r="A9216" i="1"/>
  <c r="P9216" i="1"/>
  <c r="A9217" i="1"/>
  <c r="P9217" i="1"/>
  <c r="A9218" i="1"/>
  <c r="P9218" i="1"/>
  <c r="A9219" i="1"/>
  <c r="P9219" i="1"/>
  <c r="A9220" i="1"/>
  <c r="P9220" i="1"/>
  <c r="A9221" i="1"/>
  <c r="P9221" i="1"/>
  <c r="A9222" i="1"/>
  <c r="P9222" i="1"/>
  <c r="A9223" i="1"/>
  <c r="P9223" i="1"/>
  <c r="A9224" i="1"/>
  <c r="P9224" i="1"/>
  <c r="A9225" i="1"/>
  <c r="P9225" i="1"/>
  <c r="A9226" i="1"/>
  <c r="P9226" i="1"/>
  <c r="A9227" i="1"/>
  <c r="P9227" i="1"/>
  <c r="A9228" i="1"/>
  <c r="P9228" i="1"/>
  <c r="A9229" i="1"/>
  <c r="P9229" i="1"/>
  <c r="A9230" i="1"/>
  <c r="P9230" i="1"/>
  <c r="A9231" i="1"/>
  <c r="P9231" i="1"/>
  <c r="A9232" i="1"/>
  <c r="P9232" i="1"/>
  <c r="A9233" i="1"/>
  <c r="P9233" i="1"/>
  <c r="A9234" i="1"/>
  <c r="P9234" i="1"/>
  <c r="A9235" i="1"/>
  <c r="P9235" i="1"/>
  <c r="A9236" i="1"/>
  <c r="P9236" i="1"/>
  <c r="A9237" i="1"/>
  <c r="P9237" i="1"/>
  <c r="A9238" i="1"/>
  <c r="P9238" i="1"/>
  <c r="A9239" i="1"/>
  <c r="P9239" i="1"/>
  <c r="A9240" i="1"/>
  <c r="P9240" i="1"/>
  <c r="A9241" i="1"/>
  <c r="P9241" i="1"/>
  <c r="A9242" i="1"/>
  <c r="P9242" i="1"/>
  <c r="A9243" i="1"/>
  <c r="P9243" i="1"/>
  <c r="A9244" i="1"/>
  <c r="P9244" i="1"/>
  <c r="A9245" i="1"/>
  <c r="P9245" i="1"/>
  <c r="A9246" i="1"/>
  <c r="P9246" i="1"/>
  <c r="A9247" i="1"/>
  <c r="P9247" i="1"/>
  <c r="A9248" i="1"/>
  <c r="P9248" i="1"/>
  <c r="A9249" i="1"/>
  <c r="P9249" i="1"/>
  <c r="A9250" i="1"/>
  <c r="P9250" i="1"/>
  <c r="A9251" i="1"/>
  <c r="P9251" i="1"/>
  <c r="A9252" i="1"/>
  <c r="P9252" i="1"/>
  <c r="A9253" i="1"/>
  <c r="P9253" i="1"/>
  <c r="A9254" i="1"/>
  <c r="P9254" i="1"/>
  <c r="A9255" i="1"/>
  <c r="P9255" i="1"/>
  <c r="A9256" i="1"/>
  <c r="P9256" i="1"/>
  <c r="A9257" i="1"/>
  <c r="P9257" i="1"/>
  <c r="A9258" i="1"/>
  <c r="P9258" i="1"/>
  <c r="A9259" i="1"/>
  <c r="P9259" i="1"/>
  <c r="A9260" i="1"/>
  <c r="P9260" i="1"/>
  <c r="A9261" i="1"/>
  <c r="P9261" i="1"/>
  <c r="A9262" i="1"/>
  <c r="P9262" i="1"/>
  <c r="A9263" i="1"/>
  <c r="P9263" i="1"/>
  <c r="A9264" i="1"/>
  <c r="P9264" i="1"/>
  <c r="A9265" i="1"/>
  <c r="P9265" i="1"/>
  <c r="A9266" i="1"/>
  <c r="P9266" i="1"/>
  <c r="A9267" i="1"/>
  <c r="P9267" i="1"/>
  <c r="A9268" i="1"/>
  <c r="P9268" i="1"/>
  <c r="A9269" i="1"/>
  <c r="P9269" i="1"/>
  <c r="A9270" i="1"/>
  <c r="P9270" i="1"/>
  <c r="A9271" i="1"/>
  <c r="P9271" i="1"/>
  <c r="A9272" i="1"/>
  <c r="P9272" i="1"/>
  <c r="A9273" i="1"/>
  <c r="P9273" i="1"/>
  <c r="A9274" i="1"/>
  <c r="P9274" i="1"/>
  <c r="A9275" i="1"/>
  <c r="P9275" i="1"/>
  <c r="A9276" i="1"/>
  <c r="P9276" i="1"/>
  <c r="A9277" i="1"/>
  <c r="P9277" i="1"/>
  <c r="A9278" i="1"/>
  <c r="P9278" i="1"/>
  <c r="A9279" i="1"/>
  <c r="P9279" i="1"/>
  <c r="A9280" i="1"/>
  <c r="P9280" i="1"/>
  <c r="A9281" i="1"/>
  <c r="P9281" i="1"/>
  <c r="A9282" i="1"/>
  <c r="P9282" i="1"/>
  <c r="A9283" i="1"/>
  <c r="P9283" i="1"/>
  <c r="A9284" i="1"/>
  <c r="P9284" i="1"/>
  <c r="A9285" i="1"/>
  <c r="P9285" i="1"/>
  <c r="A9286" i="1"/>
  <c r="P9286" i="1"/>
  <c r="A9287" i="1"/>
  <c r="P9287" i="1"/>
  <c r="A9288" i="1"/>
  <c r="P9288" i="1"/>
  <c r="A9289" i="1"/>
  <c r="P9289" i="1"/>
  <c r="A9290" i="1"/>
  <c r="P9290" i="1"/>
  <c r="A9291" i="1"/>
  <c r="P9291" i="1"/>
  <c r="A9292" i="1"/>
  <c r="P9292" i="1"/>
  <c r="A9293" i="1"/>
  <c r="P9293" i="1"/>
  <c r="A9294" i="1"/>
  <c r="P9294" i="1"/>
  <c r="A9295" i="1"/>
  <c r="P9295" i="1"/>
  <c r="A9296" i="1"/>
  <c r="P9296" i="1"/>
  <c r="A9297" i="1"/>
  <c r="P9297" i="1"/>
  <c r="A9298" i="1"/>
  <c r="P9298" i="1"/>
  <c r="A9299" i="1"/>
  <c r="P9299" i="1"/>
  <c r="A9300" i="1"/>
  <c r="P9300" i="1"/>
  <c r="A9301" i="1"/>
  <c r="P9301" i="1"/>
  <c r="A9302" i="1"/>
  <c r="P9302" i="1"/>
  <c r="A9303" i="1"/>
  <c r="P9303" i="1"/>
  <c r="A9304" i="1"/>
  <c r="P9304" i="1"/>
  <c r="A9305" i="1"/>
  <c r="P9305" i="1"/>
  <c r="A9306" i="1"/>
  <c r="P9306" i="1"/>
  <c r="A9307" i="1"/>
  <c r="P9307" i="1"/>
  <c r="A9308" i="1"/>
  <c r="P9308" i="1"/>
  <c r="A9309" i="1"/>
  <c r="P9309" i="1"/>
  <c r="A9310" i="1"/>
  <c r="P9310" i="1"/>
  <c r="A9311" i="1"/>
  <c r="P9311" i="1"/>
  <c r="A9312" i="1"/>
  <c r="P9312" i="1"/>
  <c r="A9313" i="1"/>
  <c r="P9313" i="1"/>
  <c r="A9314" i="1"/>
  <c r="P9314" i="1"/>
  <c r="A9315" i="1"/>
  <c r="P9315" i="1"/>
  <c r="A9316" i="1"/>
  <c r="P9316" i="1"/>
  <c r="A9317" i="1"/>
  <c r="P9317" i="1"/>
  <c r="A9318" i="1"/>
  <c r="P9318" i="1"/>
  <c r="A9319" i="1"/>
  <c r="P9319" i="1"/>
  <c r="A9320" i="1"/>
  <c r="P9320" i="1"/>
  <c r="A9321" i="1"/>
  <c r="P9321" i="1"/>
  <c r="A9322" i="1"/>
  <c r="P9322" i="1"/>
  <c r="A9323" i="1"/>
  <c r="P9323" i="1"/>
  <c r="A9324" i="1"/>
  <c r="P9324" i="1"/>
  <c r="A9325" i="1"/>
  <c r="P9325" i="1"/>
  <c r="A9326" i="1"/>
  <c r="P9326" i="1"/>
  <c r="A9327" i="1"/>
  <c r="P9327" i="1"/>
  <c r="A9328" i="1"/>
  <c r="P9328" i="1"/>
  <c r="A9329" i="1"/>
  <c r="P9329" i="1"/>
  <c r="A9330" i="1"/>
  <c r="P9330" i="1"/>
  <c r="A9331" i="1"/>
  <c r="P9331" i="1"/>
  <c r="A9332" i="1"/>
  <c r="P9332" i="1"/>
  <c r="A9333" i="1"/>
  <c r="P9333" i="1"/>
  <c r="A9334" i="1"/>
  <c r="P9334" i="1"/>
  <c r="A9335" i="1"/>
  <c r="P9335" i="1"/>
  <c r="A9336" i="1"/>
  <c r="P9336" i="1"/>
  <c r="A9337" i="1"/>
  <c r="P9337" i="1"/>
  <c r="A9338" i="1"/>
  <c r="P9338" i="1"/>
  <c r="A9339" i="1"/>
  <c r="P9339" i="1"/>
  <c r="A9340" i="1"/>
  <c r="P9340" i="1"/>
  <c r="A9341" i="1"/>
  <c r="P9341" i="1"/>
  <c r="A9342" i="1"/>
  <c r="P9342" i="1"/>
  <c r="A9343" i="1"/>
  <c r="P9343" i="1"/>
  <c r="A9344" i="1"/>
  <c r="P9344" i="1"/>
  <c r="A9345" i="1"/>
  <c r="P9345" i="1"/>
  <c r="A9346" i="1"/>
  <c r="P9346" i="1"/>
  <c r="A9347" i="1"/>
  <c r="P9347" i="1"/>
  <c r="A9348" i="1"/>
  <c r="P9348" i="1"/>
  <c r="A9349" i="1"/>
  <c r="P9349" i="1"/>
  <c r="A9350" i="1"/>
  <c r="P9350" i="1"/>
  <c r="A9351" i="1"/>
  <c r="P9351" i="1"/>
  <c r="A9352" i="1"/>
  <c r="P9352" i="1"/>
  <c r="A9353" i="1"/>
  <c r="P9353" i="1"/>
  <c r="A9354" i="1"/>
  <c r="P9354" i="1"/>
  <c r="A9355" i="1"/>
  <c r="P9355" i="1"/>
  <c r="A9356" i="1"/>
  <c r="P9356" i="1"/>
  <c r="A9357" i="1"/>
  <c r="P9357" i="1"/>
  <c r="A9358" i="1"/>
  <c r="P9358" i="1"/>
  <c r="A9359" i="1"/>
  <c r="P9359" i="1"/>
  <c r="A9360" i="1"/>
  <c r="P9360" i="1"/>
  <c r="A9361" i="1"/>
  <c r="P9361" i="1"/>
  <c r="A9362" i="1"/>
  <c r="P9362" i="1"/>
  <c r="A9363" i="1"/>
  <c r="P9363" i="1"/>
  <c r="A9364" i="1"/>
  <c r="P9364" i="1"/>
  <c r="A9365" i="1"/>
  <c r="P9365" i="1"/>
  <c r="A9366" i="1"/>
  <c r="P9366" i="1"/>
  <c r="A9367" i="1"/>
  <c r="P9367" i="1"/>
  <c r="A9368" i="1"/>
  <c r="P9368" i="1"/>
  <c r="A9369" i="1"/>
  <c r="P9369" i="1"/>
  <c r="A9370" i="1"/>
  <c r="P9370" i="1"/>
  <c r="A9371" i="1"/>
  <c r="P9371" i="1"/>
  <c r="A9372" i="1"/>
  <c r="P9372" i="1"/>
  <c r="A9373" i="1"/>
  <c r="P9373" i="1"/>
  <c r="A9374" i="1"/>
  <c r="P9374" i="1"/>
  <c r="A9375" i="1"/>
  <c r="P9375" i="1"/>
  <c r="A9376" i="1"/>
  <c r="P9376" i="1"/>
  <c r="A9377" i="1"/>
  <c r="P9377" i="1"/>
  <c r="A9378" i="1"/>
  <c r="P9378" i="1"/>
  <c r="A9379" i="1"/>
  <c r="P9379" i="1"/>
  <c r="A9380" i="1"/>
  <c r="P9380" i="1"/>
  <c r="A9381" i="1"/>
  <c r="P9381" i="1"/>
  <c r="A9382" i="1"/>
  <c r="P9382" i="1"/>
  <c r="A9383" i="1"/>
  <c r="P9383" i="1"/>
  <c r="A9384" i="1"/>
  <c r="P9384" i="1"/>
  <c r="A9385" i="1"/>
  <c r="P9385" i="1"/>
  <c r="A9386" i="1"/>
  <c r="P9386" i="1"/>
  <c r="A9387" i="1"/>
  <c r="P9387" i="1"/>
  <c r="A9388" i="1"/>
  <c r="P9388" i="1"/>
  <c r="A9389" i="1"/>
  <c r="P9389" i="1"/>
  <c r="A9390" i="1"/>
  <c r="P9390" i="1"/>
  <c r="A9391" i="1"/>
  <c r="P9391" i="1"/>
  <c r="A9392" i="1"/>
  <c r="P9392" i="1"/>
  <c r="A9393" i="1"/>
  <c r="P9393" i="1"/>
  <c r="A9394" i="1"/>
  <c r="P9394" i="1"/>
  <c r="A9395" i="1"/>
  <c r="P9395" i="1"/>
  <c r="A9396" i="1"/>
  <c r="P9396" i="1"/>
  <c r="A9397" i="1"/>
  <c r="P9397" i="1"/>
  <c r="A9398" i="1"/>
  <c r="P9398" i="1"/>
  <c r="A9399" i="1"/>
  <c r="P9399" i="1"/>
  <c r="A9400" i="1"/>
  <c r="P9400" i="1"/>
  <c r="A9401" i="1"/>
  <c r="P9401" i="1"/>
  <c r="A9402" i="1"/>
  <c r="P9402" i="1"/>
  <c r="A9403" i="1"/>
  <c r="P9403" i="1"/>
  <c r="A9404" i="1"/>
  <c r="P9404" i="1"/>
  <c r="A9405" i="1"/>
  <c r="P9405" i="1"/>
  <c r="A9406" i="1"/>
  <c r="P9406" i="1"/>
  <c r="A9407" i="1"/>
  <c r="P9407" i="1"/>
  <c r="A9408" i="1"/>
  <c r="P9408" i="1"/>
  <c r="A9409" i="1"/>
  <c r="P9409" i="1"/>
  <c r="A9410" i="1"/>
  <c r="P9410" i="1"/>
  <c r="A9411" i="1"/>
  <c r="P9411" i="1"/>
  <c r="A9412" i="1"/>
  <c r="P9412" i="1"/>
  <c r="A9413" i="1"/>
  <c r="P9413" i="1"/>
  <c r="A9414" i="1"/>
  <c r="P9414" i="1"/>
  <c r="A9415" i="1"/>
  <c r="P9415" i="1"/>
  <c r="A9416" i="1"/>
  <c r="P9416" i="1"/>
  <c r="A9417" i="1"/>
  <c r="P9417" i="1"/>
  <c r="A9418" i="1"/>
  <c r="P9418" i="1"/>
  <c r="A9419" i="1"/>
  <c r="P9419" i="1"/>
  <c r="A9420" i="1"/>
  <c r="P9420" i="1"/>
  <c r="A9421" i="1"/>
  <c r="P9421" i="1"/>
  <c r="A9422" i="1"/>
  <c r="P9422" i="1"/>
  <c r="A9423" i="1"/>
  <c r="P9423" i="1"/>
  <c r="A9424" i="1"/>
  <c r="P9424" i="1"/>
  <c r="A9425" i="1"/>
  <c r="P9425" i="1"/>
  <c r="A9426" i="1"/>
  <c r="P9426" i="1"/>
  <c r="A9427" i="1"/>
  <c r="P9427" i="1"/>
  <c r="A9428" i="1"/>
  <c r="P9428" i="1"/>
  <c r="A9429" i="1"/>
  <c r="P9429" i="1"/>
  <c r="A9430" i="1"/>
  <c r="P9430" i="1"/>
  <c r="A9431" i="1"/>
  <c r="P9431" i="1"/>
  <c r="A9432" i="1"/>
  <c r="P9432" i="1"/>
  <c r="A9433" i="1"/>
  <c r="P9433" i="1"/>
  <c r="A9434" i="1"/>
  <c r="P9434" i="1"/>
  <c r="A9435" i="1"/>
  <c r="P9435" i="1"/>
  <c r="A9436" i="1"/>
  <c r="P9436" i="1"/>
  <c r="A9437" i="1"/>
  <c r="P9437" i="1"/>
  <c r="A9438" i="1"/>
  <c r="P9438" i="1"/>
  <c r="A9439" i="1"/>
  <c r="P9439" i="1"/>
  <c r="A9440" i="1"/>
  <c r="P9440" i="1"/>
  <c r="A9441" i="1"/>
  <c r="P9441" i="1"/>
  <c r="A9442" i="1"/>
  <c r="P9442" i="1"/>
  <c r="A9443" i="1"/>
  <c r="P9443" i="1"/>
  <c r="A9444" i="1"/>
  <c r="P9444" i="1"/>
  <c r="A9445" i="1"/>
  <c r="P9445" i="1"/>
  <c r="A9446" i="1"/>
  <c r="P9446" i="1"/>
  <c r="A9447" i="1"/>
  <c r="P9447" i="1"/>
  <c r="A9448" i="1"/>
  <c r="P9448" i="1"/>
  <c r="A9449" i="1"/>
  <c r="P9449" i="1"/>
  <c r="A9450" i="1"/>
  <c r="P9450" i="1"/>
  <c r="A9451" i="1"/>
  <c r="P9451" i="1"/>
  <c r="A9452" i="1"/>
  <c r="P9452" i="1"/>
  <c r="A9453" i="1"/>
  <c r="P9453" i="1"/>
  <c r="A9454" i="1"/>
  <c r="P9454" i="1"/>
  <c r="A9455" i="1"/>
  <c r="P9455" i="1"/>
  <c r="A9456" i="1"/>
  <c r="P9456" i="1"/>
  <c r="A9457" i="1"/>
  <c r="P9457" i="1"/>
  <c r="A9458" i="1"/>
  <c r="P9458" i="1"/>
  <c r="A9459" i="1"/>
  <c r="P9459" i="1"/>
  <c r="A9460" i="1"/>
  <c r="P9460" i="1"/>
  <c r="A9461" i="1"/>
  <c r="P9461" i="1"/>
  <c r="A9462" i="1"/>
  <c r="P9462" i="1"/>
  <c r="A9463" i="1"/>
  <c r="P9463" i="1"/>
  <c r="A9464" i="1"/>
  <c r="P9464" i="1"/>
  <c r="A9465" i="1"/>
  <c r="P9465" i="1"/>
  <c r="A9466" i="1"/>
  <c r="P9466" i="1"/>
  <c r="A9467" i="1"/>
  <c r="P9467" i="1"/>
  <c r="A9468" i="1"/>
  <c r="P9468" i="1"/>
  <c r="A9469" i="1"/>
  <c r="P9469" i="1"/>
  <c r="A9470" i="1"/>
  <c r="P9470" i="1"/>
  <c r="A9471" i="1"/>
  <c r="P9471" i="1"/>
  <c r="A9472" i="1"/>
  <c r="P9472" i="1"/>
  <c r="A9473" i="1"/>
  <c r="P9473" i="1"/>
  <c r="A9474" i="1"/>
  <c r="P9474" i="1"/>
  <c r="A9475" i="1"/>
  <c r="P9475" i="1"/>
  <c r="A9476" i="1"/>
  <c r="P9476" i="1"/>
  <c r="A9477" i="1"/>
  <c r="P9477" i="1"/>
  <c r="A9478" i="1"/>
  <c r="P9478" i="1"/>
  <c r="A9479" i="1"/>
  <c r="P9479" i="1"/>
  <c r="A9480" i="1"/>
  <c r="P9480" i="1"/>
  <c r="A9481" i="1"/>
  <c r="P9481" i="1"/>
  <c r="A9482" i="1"/>
  <c r="P9482" i="1"/>
  <c r="A9483" i="1"/>
  <c r="P9483" i="1"/>
  <c r="A9484" i="1"/>
  <c r="P9484" i="1"/>
  <c r="A9485" i="1"/>
  <c r="P9485" i="1"/>
  <c r="A9486" i="1"/>
  <c r="P9486" i="1"/>
  <c r="A9487" i="1"/>
  <c r="P9487" i="1"/>
  <c r="A9488" i="1"/>
  <c r="P9488" i="1"/>
  <c r="A9489" i="1"/>
  <c r="P9489" i="1"/>
  <c r="A9490" i="1"/>
  <c r="P9490" i="1"/>
  <c r="A9491" i="1"/>
  <c r="P9491" i="1"/>
  <c r="A9492" i="1"/>
  <c r="P9492" i="1"/>
  <c r="A9493" i="1"/>
  <c r="P9493" i="1"/>
  <c r="A9494" i="1"/>
  <c r="P9494" i="1"/>
  <c r="A9495" i="1"/>
  <c r="P9495" i="1"/>
  <c r="A9496" i="1"/>
  <c r="P9496" i="1"/>
  <c r="A9497" i="1"/>
  <c r="P9497" i="1"/>
  <c r="A9498" i="1"/>
  <c r="P9498" i="1"/>
  <c r="A9499" i="1"/>
  <c r="P9499" i="1"/>
  <c r="A9500" i="1"/>
  <c r="P9500" i="1"/>
  <c r="A9501" i="1"/>
  <c r="P9501" i="1"/>
  <c r="A9502" i="1"/>
  <c r="P9502" i="1"/>
  <c r="A9503" i="1"/>
  <c r="P9503" i="1"/>
  <c r="A9504" i="1"/>
  <c r="P9504" i="1"/>
  <c r="A9505" i="1"/>
  <c r="P9505" i="1"/>
  <c r="A9506" i="1"/>
  <c r="P9506" i="1"/>
  <c r="A9507" i="1"/>
  <c r="P9507" i="1"/>
  <c r="A9508" i="1"/>
  <c r="P9508" i="1"/>
  <c r="A9509" i="1"/>
  <c r="P9509" i="1"/>
  <c r="A9510" i="1"/>
  <c r="P9510" i="1"/>
  <c r="A9511" i="1"/>
  <c r="P9511" i="1"/>
  <c r="A9512" i="1"/>
  <c r="P9512" i="1"/>
  <c r="A9513" i="1"/>
  <c r="P9513" i="1"/>
  <c r="A9514" i="1"/>
  <c r="P9514" i="1"/>
  <c r="A9515" i="1"/>
  <c r="P9515" i="1"/>
  <c r="A9516" i="1"/>
  <c r="P9516" i="1"/>
  <c r="A9517" i="1"/>
  <c r="P9517" i="1"/>
  <c r="A9518" i="1"/>
  <c r="P9518" i="1"/>
  <c r="A9519" i="1"/>
  <c r="P9519" i="1"/>
  <c r="A9520" i="1"/>
  <c r="P9520" i="1"/>
  <c r="A9521" i="1"/>
  <c r="P9521" i="1"/>
  <c r="A9522" i="1"/>
  <c r="P9522" i="1"/>
  <c r="A9523" i="1"/>
  <c r="P9523" i="1"/>
  <c r="A9524" i="1"/>
  <c r="P9524" i="1"/>
  <c r="A9525" i="1"/>
  <c r="P9525" i="1"/>
  <c r="A9526" i="1"/>
  <c r="P9526" i="1"/>
  <c r="A9527" i="1"/>
  <c r="P9527" i="1"/>
  <c r="A9528" i="1"/>
  <c r="P9528" i="1"/>
  <c r="A9529" i="1"/>
  <c r="P9529" i="1"/>
  <c r="A9530" i="1"/>
  <c r="P9530" i="1"/>
  <c r="A9531" i="1"/>
  <c r="P9531" i="1"/>
  <c r="A9532" i="1"/>
  <c r="P9532" i="1"/>
  <c r="A9533" i="1"/>
  <c r="P9533" i="1"/>
  <c r="A9534" i="1"/>
  <c r="P9534" i="1"/>
  <c r="A9535" i="1"/>
  <c r="P9535" i="1"/>
  <c r="A9536" i="1"/>
  <c r="P9536" i="1"/>
  <c r="A9537" i="1"/>
  <c r="P9537" i="1"/>
  <c r="A9538" i="1"/>
  <c r="P9538" i="1"/>
  <c r="A9539" i="1"/>
  <c r="P9539" i="1"/>
  <c r="A9540" i="1"/>
  <c r="P9540" i="1"/>
  <c r="A9541" i="1"/>
  <c r="P9541" i="1"/>
  <c r="A9542" i="1"/>
  <c r="P9542" i="1"/>
  <c r="A9543" i="1"/>
  <c r="P9543" i="1"/>
  <c r="A9544" i="1"/>
  <c r="P9544" i="1"/>
  <c r="A9545" i="1"/>
  <c r="P9545" i="1"/>
  <c r="A9546" i="1"/>
  <c r="P9546" i="1"/>
  <c r="A9547" i="1"/>
  <c r="P9547" i="1"/>
  <c r="A9548" i="1"/>
  <c r="P9548" i="1"/>
  <c r="A9549" i="1"/>
  <c r="P9549" i="1"/>
  <c r="A9550" i="1"/>
  <c r="P9550" i="1"/>
  <c r="A9551" i="1"/>
  <c r="P9551" i="1"/>
  <c r="A9552" i="1"/>
  <c r="P9552" i="1"/>
  <c r="A9553" i="1"/>
  <c r="P9553" i="1"/>
  <c r="A9554" i="1"/>
  <c r="P9554" i="1"/>
  <c r="A9555" i="1"/>
  <c r="P9555" i="1"/>
  <c r="A9556" i="1"/>
  <c r="P9556" i="1"/>
  <c r="A9557" i="1"/>
  <c r="P9557" i="1"/>
  <c r="A9558" i="1"/>
  <c r="P9558" i="1"/>
  <c r="A9559" i="1"/>
  <c r="P9559" i="1"/>
  <c r="A9560" i="1"/>
  <c r="P9560" i="1"/>
  <c r="A9561" i="1"/>
  <c r="P9561" i="1"/>
  <c r="A9562" i="1"/>
  <c r="P9562" i="1"/>
  <c r="A9563" i="1"/>
  <c r="P9563" i="1"/>
  <c r="A9564" i="1"/>
  <c r="P9564" i="1"/>
  <c r="A9565" i="1"/>
  <c r="P9565" i="1"/>
  <c r="A9566" i="1"/>
  <c r="P9566" i="1"/>
  <c r="A9567" i="1"/>
  <c r="P9567" i="1"/>
  <c r="A9568" i="1"/>
  <c r="P9568" i="1"/>
  <c r="A9569" i="1"/>
  <c r="P9569" i="1"/>
  <c r="A9570" i="1"/>
  <c r="P9570" i="1"/>
  <c r="A9571" i="1"/>
  <c r="P9571" i="1"/>
  <c r="A9572" i="1"/>
  <c r="P9572" i="1"/>
  <c r="A9573" i="1"/>
  <c r="P9573" i="1"/>
  <c r="A9574" i="1"/>
  <c r="P9574" i="1"/>
  <c r="A9575" i="1"/>
  <c r="P9575" i="1"/>
  <c r="A9576" i="1"/>
  <c r="P9576" i="1"/>
  <c r="A9577" i="1"/>
  <c r="P9577" i="1"/>
  <c r="A9578" i="1"/>
  <c r="P9578" i="1"/>
  <c r="A9579" i="1"/>
  <c r="P9579" i="1"/>
  <c r="A9580" i="1"/>
  <c r="P9580" i="1"/>
  <c r="A9581" i="1"/>
  <c r="P9581" i="1"/>
  <c r="A9582" i="1"/>
  <c r="P9582" i="1"/>
  <c r="A9583" i="1"/>
  <c r="P9583" i="1"/>
  <c r="A9584" i="1"/>
  <c r="P9584" i="1"/>
  <c r="A9585" i="1"/>
  <c r="P9585" i="1"/>
  <c r="A9586" i="1"/>
  <c r="P9586" i="1"/>
  <c r="A9587" i="1"/>
  <c r="P9587" i="1"/>
  <c r="A9588" i="1"/>
  <c r="P9588" i="1"/>
  <c r="A9589" i="1"/>
  <c r="P9589" i="1"/>
  <c r="A9590" i="1"/>
  <c r="P9590" i="1"/>
  <c r="A9591" i="1"/>
  <c r="P9591" i="1"/>
  <c r="A9592" i="1"/>
  <c r="P9592" i="1"/>
  <c r="A9593" i="1"/>
  <c r="P9593" i="1"/>
  <c r="A9594" i="1"/>
  <c r="P9594" i="1"/>
  <c r="A9595" i="1"/>
  <c r="P9595" i="1"/>
  <c r="A9596" i="1"/>
  <c r="P9596" i="1"/>
  <c r="A9597" i="1"/>
  <c r="P9597" i="1"/>
  <c r="A9598" i="1"/>
  <c r="P9598" i="1"/>
  <c r="A9599" i="1"/>
  <c r="P9599" i="1"/>
  <c r="A9600" i="1"/>
  <c r="P9600" i="1"/>
  <c r="A9601" i="1"/>
  <c r="P9601" i="1"/>
  <c r="A9602" i="1"/>
  <c r="P9602" i="1"/>
  <c r="A9603" i="1"/>
  <c r="P9603" i="1"/>
  <c r="A9604" i="1"/>
  <c r="P9604" i="1"/>
  <c r="A9605" i="1"/>
  <c r="P9605" i="1"/>
  <c r="A9606" i="1"/>
  <c r="P9606" i="1"/>
  <c r="A9607" i="1"/>
  <c r="P9607" i="1"/>
  <c r="A9608" i="1"/>
  <c r="P9608" i="1"/>
  <c r="A9609" i="1"/>
  <c r="P9609" i="1"/>
  <c r="A9610" i="1"/>
  <c r="P9610" i="1"/>
  <c r="A9611" i="1"/>
  <c r="P9611" i="1"/>
  <c r="A9612" i="1"/>
  <c r="P9612" i="1"/>
  <c r="A9613" i="1"/>
  <c r="P9613" i="1"/>
  <c r="A9614" i="1"/>
  <c r="P9614" i="1"/>
  <c r="A9615" i="1"/>
  <c r="P9615" i="1"/>
  <c r="A9616" i="1"/>
  <c r="P9616" i="1"/>
  <c r="A9617" i="1"/>
  <c r="P9617" i="1"/>
  <c r="A9618" i="1"/>
  <c r="P9618" i="1"/>
  <c r="A9619" i="1"/>
  <c r="P9619" i="1"/>
  <c r="A9620" i="1"/>
  <c r="P9620" i="1"/>
  <c r="A9621" i="1"/>
  <c r="P9621" i="1"/>
  <c r="A9622" i="1"/>
  <c r="P9622" i="1"/>
  <c r="A9623" i="1"/>
  <c r="P9623" i="1"/>
  <c r="A9624" i="1"/>
  <c r="P9624" i="1"/>
  <c r="A9625" i="1"/>
  <c r="P9625" i="1"/>
  <c r="A9626" i="1"/>
  <c r="P9626" i="1"/>
  <c r="A9627" i="1"/>
  <c r="P9627" i="1"/>
  <c r="A9628" i="1"/>
  <c r="P9628" i="1"/>
  <c r="A9629" i="1"/>
  <c r="P9629" i="1"/>
  <c r="A9630" i="1"/>
  <c r="P9630" i="1"/>
  <c r="A9631" i="1"/>
  <c r="P9631" i="1"/>
  <c r="A9632" i="1"/>
  <c r="P9632" i="1"/>
  <c r="A9633" i="1"/>
  <c r="P9633" i="1"/>
  <c r="A9634" i="1"/>
  <c r="P9634" i="1"/>
  <c r="A9635" i="1"/>
  <c r="P9635" i="1"/>
  <c r="A9636" i="1"/>
  <c r="P9636" i="1"/>
  <c r="A9637" i="1"/>
  <c r="P9637" i="1"/>
  <c r="A9638" i="1"/>
  <c r="P9638" i="1"/>
  <c r="A9639" i="1"/>
  <c r="P9639" i="1"/>
  <c r="A9640" i="1"/>
  <c r="P9640" i="1"/>
  <c r="A9641" i="1"/>
  <c r="P9641" i="1"/>
  <c r="A9642" i="1"/>
  <c r="P9642" i="1"/>
  <c r="A9643" i="1"/>
  <c r="P9643" i="1"/>
  <c r="A9644" i="1"/>
  <c r="P9644" i="1"/>
  <c r="A9645" i="1"/>
  <c r="P9645" i="1"/>
  <c r="A9646" i="1"/>
  <c r="P9646" i="1"/>
  <c r="A9647" i="1"/>
  <c r="P9647" i="1"/>
  <c r="A9648" i="1"/>
  <c r="P9648" i="1"/>
  <c r="A9649" i="1"/>
  <c r="P9649" i="1"/>
  <c r="A9650" i="1"/>
  <c r="P9650" i="1"/>
  <c r="A9651" i="1"/>
  <c r="P9651" i="1"/>
  <c r="A9652" i="1"/>
  <c r="P9652" i="1"/>
  <c r="A9653" i="1"/>
  <c r="P9653" i="1"/>
  <c r="A9654" i="1"/>
  <c r="P9654" i="1"/>
  <c r="A9655" i="1"/>
  <c r="P9655" i="1"/>
  <c r="A9656" i="1"/>
  <c r="P9656" i="1"/>
  <c r="A9657" i="1"/>
  <c r="P9657" i="1"/>
  <c r="A9658" i="1"/>
  <c r="P9658" i="1"/>
  <c r="A9659" i="1"/>
  <c r="P9659" i="1"/>
  <c r="A9660" i="1"/>
  <c r="P9660" i="1"/>
  <c r="A9661" i="1"/>
  <c r="P9661" i="1"/>
  <c r="A9662" i="1"/>
  <c r="P9662" i="1"/>
  <c r="A9663" i="1"/>
  <c r="P9663" i="1"/>
  <c r="A9664" i="1"/>
  <c r="P9664" i="1"/>
  <c r="A9665" i="1"/>
  <c r="P9665" i="1"/>
  <c r="A9666" i="1"/>
  <c r="P9666" i="1"/>
  <c r="A9667" i="1"/>
  <c r="P9667" i="1"/>
  <c r="A9668" i="1"/>
  <c r="P9668" i="1"/>
  <c r="A9669" i="1"/>
  <c r="P9669" i="1"/>
  <c r="A9670" i="1"/>
  <c r="P9670" i="1"/>
  <c r="A9671" i="1"/>
  <c r="P9671" i="1"/>
  <c r="A9672" i="1"/>
  <c r="P9672" i="1"/>
  <c r="A9673" i="1"/>
  <c r="P9673" i="1"/>
  <c r="A9674" i="1"/>
  <c r="P9674" i="1"/>
  <c r="A9675" i="1"/>
  <c r="P9675" i="1"/>
  <c r="A9676" i="1"/>
  <c r="P9676" i="1"/>
  <c r="A9677" i="1"/>
  <c r="P9677" i="1"/>
  <c r="A9678" i="1"/>
  <c r="P9678" i="1"/>
  <c r="A9679" i="1"/>
  <c r="P9679" i="1"/>
  <c r="A9680" i="1"/>
  <c r="P9680" i="1"/>
  <c r="A9681" i="1"/>
  <c r="P9681" i="1"/>
  <c r="A9682" i="1"/>
  <c r="P9682" i="1"/>
  <c r="A9683" i="1"/>
  <c r="P9683" i="1"/>
  <c r="A9684" i="1"/>
  <c r="P9684" i="1"/>
  <c r="A9685" i="1"/>
  <c r="P9685" i="1"/>
  <c r="A9686" i="1"/>
  <c r="P9686" i="1"/>
  <c r="A9687" i="1"/>
  <c r="P9687" i="1"/>
  <c r="A9688" i="1"/>
  <c r="P9688" i="1"/>
  <c r="A9689" i="1"/>
  <c r="P9689" i="1"/>
  <c r="A9690" i="1"/>
  <c r="P9690" i="1"/>
  <c r="A9691" i="1"/>
  <c r="P9691" i="1"/>
  <c r="A9692" i="1"/>
  <c r="P9692" i="1"/>
  <c r="A9693" i="1"/>
  <c r="P9693" i="1"/>
  <c r="A9694" i="1"/>
  <c r="P9694" i="1"/>
  <c r="A9695" i="1"/>
  <c r="P9695" i="1"/>
  <c r="A9696" i="1"/>
  <c r="P9696" i="1"/>
  <c r="A9697" i="1"/>
  <c r="P9697" i="1"/>
  <c r="A9698" i="1"/>
  <c r="P9698" i="1"/>
  <c r="A9699" i="1"/>
  <c r="P9699" i="1"/>
  <c r="A9700" i="1"/>
  <c r="P9700" i="1"/>
  <c r="A9701" i="1"/>
  <c r="P9701" i="1"/>
  <c r="A9702" i="1"/>
  <c r="P9702" i="1"/>
  <c r="A9703" i="1"/>
  <c r="P9703" i="1"/>
  <c r="A9704" i="1"/>
  <c r="P9704" i="1"/>
  <c r="A9705" i="1"/>
  <c r="P9705" i="1"/>
  <c r="A9706" i="1"/>
  <c r="P9706" i="1"/>
  <c r="A9707" i="1"/>
  <c r="P9707" i="1"/>
  <c r="A9708" i="1"/>
  <c r="P9708" i="1"/>
  <c r="A9709" i="1"/>
  <c r="P9709" i="1"/>
  <c r="A9710" i="1"/>
  <c r="P9710" i="1"/>
  <c r="A9711" i="1"/>
  <c r="P9711" i="1"/>
  <c r="A9712" i="1"/>
  <c r="P9712" i="1"/>
  <c r="A9713" i="1"/>
  <c r="P9713" i="1"/>
  <c r="A9714" i="1"/>
  <c r="P9714" i="1"/>
  <c r="A9715" i="1"/>
  <c r="P9715" i="1"/>
  <c r="A9716" i="1"/>
  <c r="P9716" i="1"/>
  <c r="A9717" i="1"/>
  <c r="P9717" i="1"/>
  <c r="A9718" i="1"/>
  <c r="P9718" i="1"/>
  <c r="A9719" i="1"/>
  <c r="P9719" i="1"/>
  <c r="A9720" i="1"/>
  <c r="P9720" i="1"/>
  <c r="A9721" i="1"/>
  <c r="P9721" i="1"/>
  <c r="A9722" i="1"/>
  <c r="P9722" i="1"/>
  <c r="A9723" i="1"/>
  <c r="P9723" i="1"/>
  <c r="A9724" i="1"/>
  <c r="P9724" i="1"/>
  <c r="A9725" i="1"/>
  <c r="P9725" i="1"/>
  <c r="A9726" i="1"/>
  <c r="P9726" i="1"/>
  <c r="A9727" i="1"/>
  <c r="P9727" i="1"/>
  <c r="A9728" i="1"/>
  <c r="P9728" i="1"/>
  <c r="A9729" i="1"/>
  <c r="P9729" i="1"/>
  <c r="A9730" i="1"/>
  <c r="P9730" i="1"/>
  <c r="A9731" i="1"/>
  <c r="P9731" i="1"/>
  <c r="A9732" i="1"/>
  <c r="P9732" i="1"/>
  <c r="A9733" i="1"/>
  <c r="P9733" i="1"/>
  <c r="A9734" i="1"/>
  <c r="P9734" i="1"/>
  <c r="A9735" i="1"/>
  <c r="P9735" i="1"/>
  <c r="A9736" i="1"/>
  <c r="P9736" i="1"/>
  <c r="A9737" i="1"/>
  <c r="P9737" i="1"/>
  <c r="A9738" i="1"/>
  <c r="P9738" i="1"/>
  <c r="A9739" i="1"/>
  <c r="P9739" i="1"/>
  <c r="A9740" i="1"/>
  <c r="P9740" i="1"/>
  <c r="A9741" i="1"/>
  <c r="P9741" i="1"/>
  <c r="A9742" i="1"/>
  <c r="P9742" i="1"/>
  <c r="A9743" i="1"/>
  <c r="P9743" i="1"/>
  <c r="A9744" i="1"/>
  <c r="P9744" i="1"/>
  <c r="A9745" i="1"/>
  <c r="P9745" i="1"/>
  <c r="A9746" i="1"/>
  <c r="P9746" i="1"/>
  <c r="A9747" i="1"/>
  <c r="P9747" i="1"/>
  <c r="A9748" i="1"/>
  <c r="P9748" i="1"/>
  <c r="A9749" i="1"/>
  <c r="P9749" i="1"/>
  <c r="A9750" i="1"/>
  <c r="P9750" i="1"/>
  <c r="A9751" i="1"/>
  <c r="P9751" i="1"/>
  <c r="A9752" i="1"/>
  <c r="P9752" i="1"/>
  <c r="A9753" i="1"/>
  <c r="P9753" i="1"/>
  <c r="A9754" i="1"/>
  <c r="P9754" i="1"/>
  <c r="A9755" i="1"/>
  <c r="P9755" i="1"/>
  <c r="A9756" i="1"/>
  <c r="P9756" i="1"/>
  <c r="A9757" i="1"/>
  <c r="P9757" i="1"/>
  <c r="A9758" i="1"/>
  <c r="P9758" i="1"/>
  <c r="A9759" i="1"/>
  <c r="P9759" i="1"/>
  <c r="A9760" i="1"/>
  <c r="P9760" i="1"/>
  <c r="A9761" i="1"/>
  <c r="P9761" i="1"/>
  <c r="A9762" i="1"/>
  <c r="P9762" i="1"/>
  <c r="A9763" i="1"/>
  <c r="P9763" i="1"/>
  <c r="A9764" i="1"/>
  <c r="P9764" i="1"/>
  <c r="A9765" i="1"/>
  <c r="P9765" i="1"/>
  <c r="A9766" i="1"/>
  <c r="P9766" i="1"/>
  <c r="A9767" i="1"/>
  <c r="P9767" i="1"/>
  <c r="A9768" i="1"/>
  <c r="P9768" i="1"/>
  <c r="A9769" i="1"/>
  <c r="P9769" i="1"/>
  <c r="A9770" i="1"/>
  <c r="P9770" i="1"/>
  <c r="A9771" i="1"/>
  <c r="P9771" i="1"/>
  <c r="A9772" i="1"/>
  <c r="P9772" i="1"/>
  <c r="A9773" i="1"/>
  <c r="P9773" i="1"/>
  <c r="A9774" i="1"/>
  <c r="P9774" i="1"/>
  <c r="A9775" i="1"/>
  <c r="P9775" i="1"/>
  <c r="A9776" i="1"/>
  <c r="P9776" i="1"/>
  <c r="A9777" i="1"/>
  <c r="P9777" i="1"/>
  <c r="A9778" i="1"/>
  <c r="P9778" i="1"/>
  <c r="A9779" i="1"/>
  <c r="P9779" i="1"/>
  <c r="A9780" i="1"/>
  <c r="P9780" i="1"/>
  <c r="A9781" i="1"/>
  <c r="P9781" i="1"/>
  <c r="A9782" i="1"/>
  <c r="P9782" i="1"/>
  <c r="A9783" i="1"/>
  <c r="P9783" i="1"/>
  <c r="A9784" i="1"/>
  <c r="P9784" i="1"/>
  <c r="A9785" i="1"/>
  <c r="P9785" i="1"/>
  <c r="A9786" i="1"/>
  <c r="P9786" i="1"/>
  <c r="A9787" i="1"/>
  <c r="P9787" i="1"/>
  <c r="A9788" i="1"/>
  <c r="P9788" i="1"/>
  <c r="A9789" i="1"/>
  <c r="P9789" i="1"/>
  <c r="A9790" i="1"/>
  <c r="P9790" i="1"/>
  <c r="A9791" i="1"/>
  <c r="P9791" i="1"/>
  <c r="A9792" i="1"/>
  <c r="P9792" i="1"/>
  <c r="A9793" i="1"/>
  <c r="P9793" i="1"/>
  <c r="A9794" i="1"/>
  <c r="P9794" i="1"/>
  <c r="A9795" i="1"/>
  <c r="P9795" i="1"/>
  <c r="A9796" i="1"/>
  <c r="P9796" i="1"/>
  <c r="A9797" i="1"/>
  <c r="P9797" i="1"/>
  <c r="A9798" i="1"/>
  <c r="P9798" i="1"/>
  <c r="A9799" i="1"/>
  <c r="P9799" i="1"/>
  <c r="A9800" i="1"/>
  <c r="P9800" i="1"/>
  <c r="A9801" i="1"/>
  <c r="P9801" i="1"/>
  <c r="A9802" i="1"/>
  <c r="P9802" i="1"/>
  <c r="A9803" i="1"/>
  <c r="P9803" i="1"/>
  <c r="A9804" i="1"/>
  <c r="P9804" i="1"/>
  <c r="A9805" i="1"/>
  <c r="P9805" i="1"/>
  <c r="A9806" i="1"/>
  <c r="P9806" i="1"/>
  <c r="A9807" i="1"/>
  <c r="P9807" i="1"/>
  <c r="A9808" i="1"/>
  <c r="P9808" i="1"/>
  <c r="A9809" i="1"/>
  <c r="P9809" i="1"/>
  <c r="A9810" i="1"/>
  <c r="P9810" i="1"/>
  <c r="A9811" i="1"/>
  <c r="P9811" i="1"/>
  <c r="A9812" i="1"/>
  <c r="P9812" i="1"/>
  <c r="A9813" i="1"/>
  <c r="P9813" i="1"/>
  <c r="A9814" i="1"/>
  <c r="P9814" i="1"/>
  <c r="A9815" i="1"/>
  <c r="P9815" i="1"/>
  <c r="A9816" i="1"/>
  <c r="P9816" i="1"/>
  <c r="A9817" i="1"/>
  <c r="P9817" i="1"/>
  <c r="A9818" i="1"/>
  <c r="P9818" i="1"/>
  <c r="A9819" i="1"/>
  <c r="P9819" i="1"/>
  <c r="A9820" i="1"/>
  <c r="P9820" i="1"/>
  <c r="A9821" i="1"/>
  <c r="P9821" i="1"/>
  <c r="A9822" i="1"/>
  <c r="P9822" i="1"/>
  <c r="A9823" i="1"/>
  <c r="P9823" i="1"/>
  <c r="A9824" i="1"/>
  <c r="P9824" i="1"/>
  <c r="A9825" i="1"/>
  <c r="P9825" i="1"/>
  <c r="A9826" i="1"/>
  <c r="P9826" i="1"/>
  <c r="A9827" i="1"/>
  <c r="P9827" i="1"/>
  <c r="A9828" i="1"/>
  <c r="P9828" i="1"/>
  <c r="A9829" i="1"/>
  <c r="P9829" i="1"/>
  <c r="A9830" i="1"/>
  <c r="P9830" i="1"/>
  <c r="A9831" i="1"/>
  <c r="P9831" i="1"/>
  <c r="A9832" i="1"/>
  <c r="P9832" i="1"/>
  <c r="A9833" i="1"/>
  <c r="P9833" i="1"/>
  <c r="A9834" i="1"/>
  <c r="P9834" i="1"/>
  <c r="A9835" i="1"/>
  <c r="P9835" i="1"/>
  <c r="A9836" i="1"/>
  <c r="P9836" i="1"/>
  <c r="A9837" i="1"/>
  <c r="P9837" i="1"/>
  <c r="A9838" i="1"/>
  <c r="P9838" i="1"/>
  <c r="A9839" i="1"/>
  <c r="P9839" i="1"/>
  <c r="A9840" i="1"/>
  <c r="P9840" i="1"/>
  <c r="A9841" i="1"/>
  <c r="P9841" i="1"/>
  <c r="A9842" i="1"/>
  <c r="P9842" i="1"/>
  <c r="A9843" i="1"/>
  <c r="P9843" i="1"/>
  <c r="A9844" i="1"/>
  <c r="P9844" i="1"/>
  <c r="A9845" i="1"/>
  <c r="P9845" i="1"/>
  <c r="A9846" i="1"/>
  <c r="P9846" i="1"/>
  <c r="A9847" i="1"/>
  <c r="P9847" i="1"/>
  <c r="A9848" i="1"/>
  <c r="P9848" i="1"/>
  <c r="A9849" i="1"/>
  <c r="P9849" i="1"/>
  <c r="A9850" i="1"/>
  <c r="P9850" i="1"/>
  <c r="A9851" i="1"/>
  <c r="P9851" i="1"/>
  <c r="A9852" i="1"/>
  <c r="P9852" i="1"/>
  <c r="A9853" i="1"/>
  <c r="P9853" i="1"/>
  <c r="A9854" i="1"/>
  <c r="P9854" i="1"/>
  <c r="A9855" i="1"/>
  <c r="P9855" i="1"/>
  <c r="A9856" i="1"/>
  <c r="P9856" i="1"/>
  <c r="A9857" i="1"/>
  <c r="P9857" i="1"/>
  <c r="A9858" i="1"/>
  <c r="P9858" i="1"/>
  <c r="A9859" i="1"/>
  <c r="P9859" i="1"/>
  <c r="A9860" i="1"/>
  <c r="P9860" i="1"/>
  <c r="A9861" i="1"/>
  <c r="P9861" i="1"/>
  <c r="A9862" i="1"/>
  <c r="P9862" i="1"/>
  <c r="A9863" i="1"/>
  <c r="P9863" i="1"/>
  <c r="A9864" i="1"/>
  <c r="P9864" i="1"/>
  <c r="A9865" i="1"/>
  <c r="P9865" i="1"/>
  <c r="A9866" i="1"/>
  <c r="P9866" i="1"/>
  <c r="A9867" i="1"/>
  <c r="P9867" i="1"/>
  <c r="A9868" i="1"/>
  <c r="P9868" i="1"/>
  <c r="A9869" i="1"/>
  <c r="P9869" i="1"/>
  <c r="A9870" i="1"/>
  <c r="P9870" i="1"/>
  <c r="A9871" i="1"/>
  <c r="P9871" i="1"/>
  <c r="A9872" i="1"/>
  <c r="P9872" i="1"/>
  <c r="A9873" i="1"/>
  <c r="P9873" i="1"/>
  <c r="A9874" i="1"/>
  <c r="P9874" i="1"/>
  <c r="A9875" i="1"/>
  <c r="P9875" i="1"/>
  <c r="A9876" i="1"/>
  <c r="P9876" i="1"/>
  <c r="A9877" i="1"/>
  <c r="P9877" i="1"/>
  <c r="A9878" i="1"/>
  <c r="P9878" i="1"/>
  <c r="A9879" i="1"/>
  <c r="P9879" i="1"/>
  <c r="A9880" i="1"/>
  <c r="P9880" i="1"/>
  <c r="A9881" i="1"/>
  <c r="P9881" i="1"/>
  <c r="A9882" i="1"/>
  <c r="P9882" i="1"/>
  <c r="A9883" i="1"/>
  <c r="P9883" i="1"/>
  <c r="A9884" i="1"/>
  <c r="P9884" i="1"/>
  <c r="A9885" i="1"/>
  <c r="P9885" i="1"/>
  <c r="A9886" i="1"/>
  <c r="P9886" i="1"/>
  <c r="A9887" i="1"/>
  <c r="P9887" i="1"/>
  <c r="A9888" i="1"/>
  <c r="P9888" i="1"/>
  <c r="A9889" i="1"/>
  <c r="P9889" i="1"/>
  <c r="A9890" i="1"/>
  <c r="P9890" i="1"/>
  <c r="A9891" i="1"/>
  <c r="P9891" i="1"/>
  <c r="A9892" i="1"/>
  <c r="P9892" i="1"/>
  <c r="A9893" i="1"/>
  <c r="P9893" i="1"/>
  <c r="A9894" i="1"/>
  <c r="P9894" i="1"/>
  <c r="A9895" i="1"/>
  <c r="P9895" i="1"/>
  <c r="A9896" i="1"/>
  <c r="P9896" i="1"/>
  <c r="A9897" i="1"/>
  <c r="P9897" i="1"/>
  <c r="A9898" i="1"/>
  <c r="P9898" i="1"/>
  <c r="A9899" i="1"/>
  <c r="P9899" i="1"/>
  <c r="A9900" i="1"/>
  <c r="P9900" i="1"/>
  <c r="A9901" i="1"/>
  <c r="P9901" i="1"/>
  <c r="A9902" i="1"/>
  <c r="P9902" i="1"/>
  <c r="A9903" i="1"/>
  <c r="P9903" i="1"/>
  <c r="A9904" i="1"/>
  <c r="P9904" i="1"/>
  <c r="A9905" i="1"/>
  <c r="P9905" i="1"/>
  <c r="A9906" i="1"/>
  <c r="P9906" i="1"/>
  <c r="A9907" i="1"/>
  <c r="P9907" i="1"/>
  <c r="A9908" i="1"/>
  <c r="P9908" i="1"/>
  <c r="A9909" i="1"/>
  <c r="P9909" i="1"/>
  <c r="A9910" i="1"/>
  <c r="P9910" i="1"/>
  <c r="A9911" i="1"/>
  <c r="P9911" i="1"/>
  <c r="A9912" i="1"/>
  <c r="P9912" i="1"/>
  <c r="A9913" i="1"/>
  <c r="P9913" i="1"/>
  <c r="A9914" i="1"/>
  <c r="P9914" i="1"/>
  <c r="A9915" i="1"/>
  <c r="P9915" i="1"/>
  <c r="A9916" i="1"/>
  <c r="P9916" i="1"/>
  <c r="A9917" i="1"/>
  <c r="P9917" i="1"/>
  <c r="A9918" i="1"/>
  <c r="P9918" i="1"/>
  <c r="A9919" i="1"/>
  <c r="P9919" i="1"/>
  <c r="A9920" i="1"/>
  <c r="P9920" i="1"/>
  <c r="A9921" i="1"/>
  <c r="P9921" i="1"/>
  <c r="A9922" i="1"/>
  <c r="P9922" i="1"/>
  <c r="A9923" i="1"/>
  <c r="P9923" i="1"/>
  <c r="A9924" i="1"/>
  <c r="P9924" i="1"/>
  <c r="A9925" i="1"/>
  <c r="P9925" i="1"/>
  <c r="A9926" i="1"/>
  <c r="P9926" i="1"/>
  <c r="A9927" i="1"/>
  <c r="P9927" i="1"/>
  <c r="A9928" i="1"/>
  <c r="P9928" i="1"/>
  <c r="A9929" i="1"/>
  <c r="P9929" i="1"/>
  <c r="A9930" i="1"/>
  <c r="P9930" i="1"/>
  <c r="A9931" i="1"/>
  <c r="P9931" i="1"/>
  <c r="A9932" i="1"/>
  <c r="P9932" i="1"/>
  <c r="A9933" i="1"/>
  <c r="P9933" i="1"/>
  <c r="A9934" i="1"/>
  <c r="P9934" i="1"/>
  <c r="A9935" i="1"/>
  <c r="P9935" i="1"/>
  <c r="A9936" i="1"/>
  <c r="P9936" i="1"/>
  <c r="A9937" i="1"/>
  <c r="P9937" i="1"/>
  <c r="A9938" i="1"/>
  <c r="P9938" i="1"/>
  <c r="A9939" i="1"/>
  <c r="P9939" i="1"/>
  <c r="A9940" i="1"/>
  <c r="P9940" i="1"/>
  <c r="A9941" i="1"/>
  <c r="P9941" i="1"/>
  <c r="A9942" i="1"/>
  <c r="P9942" i="1"/>
  <c r="A9943" i="1"/>
  <c r="P9943" i="1"/>
  <c r="A9944" i="1"/>
  <c r="P9944" i="1"/>
  <c r="A9945" i="1"/>
  <c r="P9945" i="1"/>
  <c r="A9946" i="1"/>
  <c r="P9946" i="1"/>
  <c r="A9947" i="1"/>
  <c r="P9947" i="1"/>
  <c r="A9948" i="1"/>
  <c r="P9948" i="1"/>
  <c r="A9949" i="1"/>
  <c r="P9949" i="1"/>
  <c r="A9950" i="1"/>
  <c r="P9950" i="1"/>
  <c r="A9951" i="1"/>
  <c r="P9951" i="1"/>
  <c r="A9952" i="1"/>
  <c r="P9952" i="1"/>
  <c r="A9953" i="1"/>
  <c r="P9953" i="1"/>
  <c r="A9954" i="1"/>
  <c r="P9954" i="1"/>
  <c r="A9955" i="1"/>
  <c r="P9955" i="1"/>
  <c r="A9956" i="1"/>
  <c r="P9956" i="1"/>
  <c r="A9957" i="1"/>
  <c r="P9957" i="1"/>
  <c r="A9958" i="1"/>
  <c r="P9958" i="1"/>
  <c r="A9959" i="1"/>
  <c r="P9959" i="1"/>
  <c r="A9960" i="1"/>
  <c r="P9960" i="1"/>
  <c r="A9961" i="1"/>
  <c r="P9961" i="1"/>
  <c r="A9962" i="1"/>
  <c r="P9962" i="1"/>
  <c r="A9963" i="1"/>
  <c r="P9963" i="1"/>
  <c r="A9964" i="1"/>
  <c r="P9964" i="1"/>
  <c r="A9965" i="1"/>
  <c r="P9965" i="1"/>
  <c r="A9966" i="1"/>
  <c r="P9966" i="1"/>
  <c r="A9967" i="1"/>
  <c r="P9967" i="1"/>
  <c r="A9968" i="1"/>
  <c r="P9968" i="1"/>
  <c r="A9969" i="1"/>
  <c r="P9969" i="1"/>
  <c r="A9970" i="1"/>
  <c r="P9970" i="1"/>
  <c r="A9971" i="1"/>
  <c r="P9971" i="1"/>
  <c r="A9972" i="1"/>
  <c r="P9972" i="1"/>
  <c r="A9973" i="1"/>
  <c r="P9973" i="1"/>
  <c r="A9974" i="1"/>
  <c r="P9974" i="1"/>
  <c r="A9975" i="1"/>
  <c r="P9975" i="1"/>
  <c r="A9976" i="1"/>
  <c r="P9976" i="1"/>
  <c r="A9977" i="1"/>
  <c r="P9977" i="1"/>
  <c r="A9978" i="1"/>
  <c r="P9978" i="1"/>
  <c r="A9979" i="1"/>
  <c r="P9979" i="1"/>
  <c r="A9980" i="1"/>
  <c r="P9980" i="1"/>
  <c r="A9981" i="1"/>
  <c r="P9981" i="1"/>
  <c r="A9982" i="1"/>
  <c r="P9982" i="1"/>
  <c r="A9983" i="1"/>
  <c r="P9983" i="1"/>
  <c r="A9984" i="1"/>
  <c r="P9984" i="1"/>
  <c r="A9985" i="1"/>
  <c r="P9985" i="1"/>
  <c r="A9986" i="1"/>
  <c r="P9986" i="1"/>
  <c r="A9987" i="1"/>
  <c r="P9987" i="1"/>
  <c r="A9988" i="1"/>
  <c r="P9988" i="1"/>
  <c r="A9989" i="1"/>
  <c r="P9989" i="1"/>
  <c r="A9990" i="1"/>
  <c r="P9990" i="1"/>
  <c r="A9991" i="1"/>
  <c r="P9991" i="1"/>
  <c r="A9992" i="1"/>
  <c r="P9992" i="1"/>
  <c r="A9993" i="1"/>
  <c r="P9993" i="1"/>
  <c r="A9994" i="1"/>
  <c r="P9994" i="1"/>
  <c r="A9995" i="1"/>
  <c r="P9995" i="1"/>
  <c r="A9996" i="1"/>
  <c r="P9996" i="1"/>
  <c r="A9997" i="1"/>
  <c r="P9997" i="1"/>
  <c r="A9998" i="1"/>
  <c r="P9998" i="1"/>
  <c r="A9999" i="1"/>
  <c r="P9999" i="1"/>
  <c r="A10000" i="1"/>
  <c r="P10000" i="1"/>
  <c r="A10001" i="1"/>
  <c r="P10001" i="1"/>
  <c r="A10002" i="1"/>
  <c r="P10002" i="1"/>
  <c r="A10003" i="1"/>
  <c r="P10003" i="1"/>
  <c r="A10004" i="1"/>
  <c r="P10004" i="1"/>
  <c r="A10005" i="1"/>
  <c r="P10005" i="1"/>
  <c r="A10006" i="1"/>
  <c r="P10006" i="1"/>
  <c r="A10007" i="1"/>
  <c r="P10007" i="1"/>
  <c r="A10008" i="1"/>
  <c r="P10008" i="1"/>
  <c r="A10009" i="1"/>
  <c r="P10009" i="1"/>
  <c r="A10010" i="1"/>
  <c r="P10010" i="1"/>
  <c r="A10011" i="1"/>
  <c r="P10011" i="1"/>
  <c r="A10012" i="1"/>
  <c r="P10012" i="1"/>
  <c r="A10013" i="1"/>
  <c r="P10013" i="1"/>
  <c r="A10014" i="1"/>
  <c r="P10014" i="1"/>
  <c r="A10015" i="1"/>
  <c r="P10015" i="1"/>
  <c r="A10016" i="1"/>
  <c r="P10016" i="1"/>
  <c r="A10017" i="1"/>
  <c r="P10017" i="1"/>
  <c r="A10018" i="1"/>
  <c r="P10018" i="1"/>
  <c r="A10019" i="1"/>
  <c r="P10019" i="1"/>
  <c r="A10020" i="1"/>
  <c r="P10020" i="1"/>
  <c r="A10021" i="1"/>
  <c r="P10021" i="1"/>
  <c r="A10022" i="1"/>
  <c r="P10022" i="1"/>
  <c r="A10023" i="1"/>
  <c r="P10023" i="1"/>
  <c r="A10024" i="1"/>
  <c r="P10024" i="1"/>
  <c r="A10025" i="1"/>
  <c r="P10025" i="1"/>
  <c r="A10026" i="1"/>
  <c r="P10026" i="1"/>
  <c r="A10027" i="1"/>
  <c r="P10027" i="1"/>
  <c r="A10028" i="1"/>
  <c r="P10028" i="1"/>
  <c r="A10029" i="1"/>
  <c r="P10029" i="1"/>
  <c r="A10030" i="1"/>
  <c r="P10030" i="1"/>
  <c r="A10031" i="1"/>
  <c r="P10031" i="1"/>
  <c r="A10032" i="1"/>
  <c r="P10032" i="1"/>
  <c r="A10033" i="1"/>
  <c r="P10033" i="1"/>
  <c r="A10034" i="1"/>
  <c r="P10034" i="1"/>
  <c r="A10035" i="1"/>
  <c r="P10035" i="1"/>
  <c r="A10036" i="1"/>
  <c r="P10036" i="1"/>
  <c r="A10037" i="1"/>
  <c r="P10037" i="1"/>
  <c r="A10038" i="1"/>
  <c r="P10038" i="1"/>
  <c r="A10039" i="1"/>
  <c r="P10039" i="1"/>
  <c r="A10040" i="1"/>
  <c r="P10040" i="1"/>
  <c r="A10041" i="1"/>
  <c r="P10041" i="1"/>
  <c r="A10042" i="1"/>
  <c r="P10042" i="1"/>
  <c r="A10043" i="1"/>
  <c r="P10043" i="1"/>
  <c r="A10044" i="1"/>
  <c r="P10044" i="1"/>
  <c r="A10045" i="1"/>
  <c r="P10045" i="1"/>
  <c r="A10046" i="1"/>
  <c r="P10046" i="1"/>
  <c r="A10047" i="1"/>
  <c r="P10047" i="1"/>
  <c r="A10048" i="1"/>
  <c r="P10048" i="1"/>
  <c r="A10049" i="1"/>
  <c r="P10049" i="1"/>
  <c r="A10050" i="1"/>
  <c r="P10050" i="1"/>
  <c r="A10051" i="1"/>
  <c r="P10051" i="1"/>
  <c r="A10052" i="1"/>
  <c r="P10052" i="1"/>
  <c r="A10053" i="1"/>
  <c r="P10053" i="1"/>
  <c r="A10054" i="1"/>
  <c r="P10054" i="1"/>
  <c r="A10055" i="1"/>
  <c r="P10055" i="1"/>
  <c r="A10056" i="1"/>
  <c r="P10056" i="1"/>
  <c r="A10057" i="1"/>
  <c r="P10057" i="1"/>
  <c r="A10058" i="1"/>
  <c r="P10058" i="1"/>
  <c r="A10059" i="1"/>
  <c r="P10059" i="1"/>
  <c r="A10060" i="1"/>
  <c r="P10060" i="1"/>
  <c r="A10061" i="1"/>
  <c r="P10061" i="1"/>
  <c r="A10062" i="1"/>
  <c r="P10062" i="1"/>
  <c r="A10063" i="1"/>
  <c r="P10063" i="1"/>
  <c r="A10064" i="1"/>
  <c r="P10064" i="1"/>
  <c r="A10065" i="1"/>
  <c r="P10065" i="1"/>
  <c r="A10066" i="1"/>
  <c r="P10066" i="1"/>
  <c r="A10067" i="1"/>
  <c r="P10067" i="1"/>
  <c r="A10068" i="1"/>
  <c r="P10068" i="1"/>
  <c r="A10069" i="1"/>
  <c r="P10069" i="1"/>
  <c r="A10070" i="1"/>
  <c r="P10070" i="1"/>
  <c r="A10071" i="1"/>
  <c r="P10071" i="1"/>
  <c r="A10072" i="1"/>
  <c r="P10072" i="1"/>
  <c r="A10073" i="1"/>
  <c r="P10073" i="1"/>
  <c r="A10074" i="1"/>
  <c r="P10074" i="1"/>
  <c r="A10075" i="1"/>
  <c r="P10075" i="1"/>
  <c r="A10076" i="1"/>
  <c r="P10076" i="1"/>
  <c r="A10077" i="1"/>
  <c r="P10077" i="1"/>
  <c r="A10078" i="1"/>
  <c r="P10078" i="1"/>
  <c r="A10079" i="1"/>
  <c r="P10079" i="1"/>
  <c r="A10080" i="1"/>
  <c r="P10080" i="1"/>
  <c r="A10081" i="1"/>
  <c r="P10081" i="1"/>
  <c r="A10082" i="1"/>
  <c r="P10082" i="1"/>
  <c r="A10083" i="1"/>
  <c r="P10083" i="1"/>
  <c r="A10084" i="1"/>
  <c r="P10084" i="1"/>
  <c r="A10085" i="1"/>
  <c r="P10085" i="1"/>
  <c r="A10086" i="1"/>
  <c r="P10086" i="1"/>
  <c r="A10087" i="1"/>
  <c r="P10087" i="1"/>
  <c r="A10088" i="1"/>
  <c r="P10088" i="1"/>
  <c r="A10089" i="1"/>
  <c r="P10089" i="1"/>
  <c r="A10090" i="1"/>
  <c r="P10090" i="1"/>
  <c r="A10091" i="1"/>
  <c r="P10091" i="1"/>
  <c r="A10092" i="1"/>
  <c r="P10092" i="1"/>
  <c r="A10093" i="1"/>
  <c r="P10093" i="1"/>
  <c r="A10094" i="1"/>
  <c r="P10094" i="1"/>
  <c r="A10095" i="1"/>
  <c r="P10095" i="1"/>
  <c r="A10096" i="1"/>
  <c r="P10096" i="1"/>
  <c r="A10097" i="1"/>
  <c r="P10097" i="1"/>
  <c r="A10098" i="1"/>
  <c r="P10098" i="1"/>
  <c r="A10099" i="1"/>
  <c r="P10099" i="1"/>
  <c r="A10100" i="1"/>
  <c r="P10100" i="1"/>
  <c r="A10101" i="1"/>
  <c r="P10101" i="1"/>
  <c r="A10102" i="1"/>
  <c r="P10102" i="1"/>
  <c r="A10103" i="1"/>
  <c r="P10103" i="1"/>
  <c r="A10104" i="1"/>
  <c r="P10104" i="1"/>
  <c r="A10105" i="1"/>
  <c r="P10105" i="1"/>
  <c r="A10106" i="1"/>
  <c r="P10106" i="1"/>
  <c r="A10107" i="1"/>
  <c r="P10107" i="1"/>
  <c r="A10108" i="1"/>
  <c r="P10108" i="1"/>
  <c r="A10109" i="1"/>
  <c r="P10109" i="1"/>
  <c r="A10110" i="1"/>
  <c r="P10110" i="1"/>
  <c r="A10111" i="1"/>
  <c r="P10111" i="1"/>
  <c r="A10112" i="1"/>
  <c r="P10112" i="1"/>
  <c r="A10113" i="1"/>
  <c r="P10113" i="1"/>
  <c r="A10114" i="1"/>
  <c r="P10114" i="1"/>
  <c r="A10115" i="1"/>
  <c r="P10115" i="1"/>
  <c r="A10116" i="1"/>
  <c r="P10116" i="1"/>
  <c r="A10117" i="1"/>
  <c r="P10117" i="1"/>
  <c r="A10118" i="1"/>
  <c r="P10118" i="1"/>
  <c r="A10119" i="1"/>
  <c r="P10119" i="1"/>
  <c r="A10120" i="1"/>
  <c r="P10120" i="1"/>
  <c r="A10121" i="1"/>
  <c r="P10121" i="1"/>
  <c r="A10122" i="1"/>
  <c r="P10122" i="1"/>
  <c r="A10123" i="1"/>
  <c r="P10123" i="1"/>
  <c r="A10124" i="1"/>
  <c r="P10124" i="1"/>
  <c r="A10125" i="1"/>
  <c r="P10125" i="1"/>
  <c r="A10126" i="1"/>
  <c r="P10126" i="1"/>
  <c r="A10127" i="1"/>
  <c r="P10127" i="1"/>
  <c r="A10128" i="1"/>
  <c r="P10128" i="1"/>
  <c r="A10129" i="1"/>
  <c r="P10129" i="1"/>
  <c r="A10130" i="1"/>
  <c r="P10130" i="1"/>
  <c r="A10131" i="1"/>
  <c r="P10131" i="1"/>
  <c r="A10132" i="1"/>
  <c r="P10132" i="1"/>
  <c r="A10133" i="1"/>
  <c r="P10133" i="1"/>
  <c r="A10134" i="1"/>
  <c r="P10134" i="1"/>
  <c r="A10135" i="1"/>
  <c r="P10135" i="1"/>
  <c r="A10136" i="1"/>
  <c r="P10136" i="1"/>
  <c r="A10137" i="1"/>
  <c r="P10137" i="1"/>
  <c r="A10138" i="1"/>
  <c r="P10138" i="1"/>
  <c r="A10139" i="1"/>
  <c r="P10139" i="1"/>
  <c r="A10140" i="1"/>
  <c r="P10140" i="1"/>
  <c r="A10141" i="1"/>
  <c r="P10141" i="1"/>
  <c r="A10142" i="1"/>
  <c r="P10142" i="1"/>
  <c r="A10143" i="1"/>
  <c r="P10143" i="1"/>
  <c r="A10144" i="1"/>
  <c r="P10144" i="1"/>
  <c r="A10145" i="1"/>
  <c r="P10145" i="1"/>
  <c r="A10146" i="1"/>
  <c r="P10146" i="1"/>
  <c r="A10147" i="1"/>
  <c r="P10147" i="1"/>
  <c r="A10148" i="1"/>
  <c r="P10148" i="1"/>
  <c r="A10149" i="1"/>
  <c r="P10149" i="1"/>
  <c r="A10150" i="1"/>
  <c r="P10150" i="1"/>
  <c r="A10151" i="1"/>
  <c r="P10151" i="1"/>
  <c r="A10152" i="1"/>
  <c r="P10152" i="1"/>
  <c r="A10153" i="1"/>
  <c r="P10153" i="1"/>
  <c r="A10154" i="1"/>
  <c r="P10154" i="1"/>
  <c r="A10155" i="1"/>
  <c r="P10155" i="1"/>
  <c r="A10156" i="1"/>
  <c r="P10156" i="1"/>
  <c r="A10157" i="1"/>
  <c r="P10157" i="1"/>
  <c r="A10158" i="1"/>
  <c r="P10158" i="1"/>
  <c r="A10159" i="1"/>
  <c r="P10159" i="1"/>
  <c r="A10160" i="1"/>
  <c r="P10160" i="1"/>
  <c r="A10161" i="1"/>
  <c r="P10161" i="1"/>
  <c r="A10162" i="1"/>
  <c r="P10162" i="1"/>
  <c r="A10163" i="1"/>
  <c r="P10163" i="1"/>
  <c r="A10164" i="1"/>
  <c r="P10164" i="1"/>
  <c r="A10165" i="1"/>
  <c r="P10165" i="1"/>
  <c r="A10166" i="1"/>
  <c r="P10166" i="1"/>
  <c r="A10167" i="1"/>
  <c r="P10167" i="1"/>
  <c r="A10168" i="1"/>
  <c r="P10168" i="1"/>
  <c r="A10169" i="1"/>
  <c r="P10169" i="1"/>
  <c r="A10170" i="1"/>
  <c r="P10170" i="1"/>
  <c r="A10171" i="1"/>
  <c r="P10171" i="1"/>
  <c r="A10172" i="1"/>
  <c r="P10172" i="1"/>
  <c r="A10173" i="1"/>
  <c r="P10173" i="1"/>
  <c r="A10174" i="1"/>
  <c r="P10174" i="1"/>
  <c r="A10175" i="1"/>
  <c r="P10175" i="1"/>
  <c r="A10176" i="1"/>
  <c r="P10176" i="1"/>
  <c r="A10177" i="1"/>
  <c r="P10177" i="1"/>
  <c r="A10178" i="1"/>
  <c r="P10178" i="1"/>
  <c r="A10179" i="1"/>
  <c r="P10179" i="1"/>
  <c r="A10180" i="1"/>
  <c r="P10180" i="1"/>
  <c r="A10181" i="1"/>
  <c r="P10181" i="1"/>
  <c r="A10182" i="1"/>
  <c r="P10182" i="1"/>
  <c r="A10183" i="1"/>
  <c r="P10183" i="1"/>
  <c r="A10184" i="1"/>
  <c r="P10184" i="1"/>
  <c r="A10185" i="1"/>
  <c r="P10185" i="1"/>
  <c r="A10186" i="1"/>
  <c r="P10186" i="1"/>
  <c r="A10187" i="1"/>
  <c r="P10187" i="1"/>
  <c r="A10188" i="1"/>
  <c r="P10188" i="1"/>
  <c r="A10189" i="1"/>
  <c r="P10189" i="1"/>
  <c r="A10190" i="1"/>
  <c r="P10190" i="1"/>
  <c r="A10191" i="1"/>
  <c r="P10191" i="1"/>
  <c r="A10192" i="1"/>
  <c r="P10192" i="1"/>
  <c r="A10193" i="1"/>
  <c r="P10193" i="1"/>
  <c r="A10194" i="1"/>
  <c r="P10194" i="1"/>
  <c r="A10195" i="1"/>
  <c r="P10195" i="1"/>
  <c r="A10196" i="1"/>
  <c r="P10196" i="1"/>
  <c r="A10197" i="1"/>
  <c r="P10197" i="1"/>
  <c r="A10198" i="1"/>
  <c r="P10198" i="1"/>
  <c r="A10199" i="1"/>
  <c r="P10199" i="1"/>
  <c r="A10200" i="1"/>
  <c r="P10200" i="1"/>
  <c r="A10201" i="1"/>
  <c r="P10201" i="1"/>
  <c r="A10202" i="1"/>
  <c r="P10202" i="1"/>
  <c r="A10203" i="1"/>
  <c r="P10203" i="1"/>
  <c r="A10204" i="1"/>
  <c r="P10204" i="1"/>
  <c r="A10205" i="1"/>
  <c r="P10205" i="1"/>
  <c r="A10206" i="1"/>
  <c r="P10206" i="1"/>
  <c r="A10207" i="1"/>
  <c r="P10207" i="1"/>
  <c r="A10208" i="1"/>
  <c r="P10208" i="1"/>
  <c r="A10209" i="1"/>
  <c r="P10209" i="1"/>
  <c r="A10210" i="1"/>
  <c r="P10210" i="1"/>
  <c r="A10211" i="1"/>
  <c r="P10211" i="1"/>
  <c r="A10212" i="1"/>
  <c r="P10212" i="1"/>
  <c r="A10213" i="1"/>
  <c r="P10213" i="1"/>
  <c r="A10214" i="1"/>
  <c r="P10214" i="1"/>
  <c r="A10215" i="1"/>
  <c r="P10215" i="1"/>
  <c r="A10216" i="1"/>
  <c r="P10216" i="1"/>
  <c r="A10217" i="1"/>
  <c r="P10217" i="1"/>
  <c r="A10218" i="1"/>
  <c r="P10218" i="1"/>
  <c r="A10219" i="1"/>
  <c r="P10219" i="1"/>
  <c r="A10220" i="1"/>
  <c r="P10220" i="1"/>
  <c r="A10221" i="1"/>
  <c r="P10221" i="1"/>
  <c r="A10222" i="1"/>
  <c r="P10222" i="1"/>
  <c r="A10223" i="1"/>
  <c r="P10223" i="1"/>
  <c r="A10224" i="1"/>
  <c r="P10224" i="1"/>
  <c r="A10225" i="1"/>
  <c r="P10225" i="1"/>
  <c r="A10226" i="1"/>
  <c r="P10226" i="1"/>
  <c r="A10227" i="1"/>
  <c r="P10227" i="1"/>
  <c r="A10228" i="1"/>
  <c r="P10228" i="1"/>
  <c r="A10229" i="1"/>
  <c r="P10229" i="1"/>
  <c r="A10230" i="1"/>
  <c r="P10230" i="1"/>
  <c r="A10231" i="1"/>
  <c r="P10231" i="1"/>
  <c r="A10232" i="1"/>
  <c r="P10232" i="1"/>
  <c r="A10233" i="1"/>
  <c r="P10233" i="1"/>
  <c r="A10234" i="1"/>
  <c r="P10234" i="1"/>
  <c r="A10235" i="1"/>
  <c r="P10235" i="1"/>
  <c r="A10236" i="1"/>
  <c r="P10236" i="1"/>
  <c r="A10237" i="1"/>
  <c r="P10237" i="1"/>
  <c r="A10238" i="1"/>
  <c r="P10238" i="1"/>
  <c r="A10239" i="1"/>
  <c r="P10239" i="1"/>
  <c r="A10240" i="1"/>
  <c r="P10240" i="1"/>
  <c r="A10241" i="1"/>
  <c r="P10241" i="1"/>
  <c r="A10242" i="1"/>
  <c r="P10242" i="1"/>
  <c r="A10243" i="1"/>
  <c r="P10243" i="1"/>
  <c r="A10244" i="1"/>
  <c r="P10244" i="1"/>
  <c r="A10245" i="1"/>
  <c r="P10245" i="1"/>
  <c r="A10246" i="1"/>
  <c r="P10246" i="1"/>
  <c r="A10247" i="1"/>
  <c r="P10247" i="1"/>
  <c r="A10248" i="1"/>
  <c r="P10248" i="1"/>
  <c r="A10249" i="1"/>
  <c r="P10249" i="1"/>
  <c r="A10250" i="1"/>
  <c r="P10250" i="1"/>
  <c r="A10251" i="1"/>
  <c r="P10251" i="1"/>
  <c r="A10252" i="1"/>
  <c r="P10252" i="1"/>
  <c r="A10253" i="1"/>
  <c r="P10253" i="1"/>
  <c r="A10254" i="1"/>
  <c r="P10254" i="1"/>
  <c r="A10255" i="1"/>
  <c r="P10255" i="1"/>
  <c r="A10256" i="1"/>
  <c r="P10256" i="1"/>
  <c r="A10257" i="1"/>
  <c r="P10257" i="1"/>
  <c r="A10258" i="1"/>
  <c r="P10258" i="1"/>
  <c r="A10259" i="1"/>
  <c r="P10259" i="1"/>
  <c r="A10260" i="1"/>
  <c r="P10260" i="1"/>
  <c r="A10261" i="1"/>
  <c r="P10261" i="1"/>
  <c r="A10262" i="1"/>
  <c r="P10262" i="1"/>
  <c r="A10263" i="1"/>
  <c r="P10263" i="1"/>
  <c r="A10264" i="1"/>
  <c r="P10264" i="1"/>
  <c r="A10265" i="1"/>
  <c r="P10265" i="1"/>
  <c r="A10266" i="1"/>
  <c r="P10266" i="1"/>
  <c r="A10267" i="1"/>
  <c r="P10267" i="1"/>
  <c r="A10268" i="1"/>
  <c r="P10268" i="1"/>
  <c r="A10269" i="1"/>
  <c r="P10269" i="1"/>
  <c r="A10270" i="1"/>
  <c r="P10270" i="1"/>
  <c r="A10271" i="1"/>
  <c r="P10271" i="1"/>
  <c r="A10272" i="1"/>
  <c r="P10272" i="1"/>
  <c r="A10273" i="1"/>
  <c r="P10273" i="1"/>
  <c r="A10274" i="1"/>
  <c r="P10274" i="1"/>
  <c r="A10275" i="1"/>
  <c r="P10275" i="1"/>
  <c r="A10276" i="1"/>
  <c r="P10276" i="1"/>
  <c r="A10277" i="1"/>
  <c r="P10277" i="1"/>
  <c r="A10278" i="1"/>
  <c r="P10278" i="1"/>
  <c r="A10279" i="1"/>
  <c r="P10279" i="1"/>
  <c r="A10280" i="1"/>
  <c r="P10280" i="1"/>
  <c r="A10281" i="1"/>
  <c r="P10281" i="1"/>
  <c r="A10282" i="1"/>
  <c r="P10282" i="1"/>
  <c r="A10283" i="1"/>
  <c r="P10283" i="1"/>
  <c r="A10284" i="1"/>
  <c r="P10284" i="1"/>
  <c r="A10285" i="1"/>
  <c r="P10285" i="1"/>
  <c r="A10286" i="1"/>
  <c r="P10286" i="1"/>
  <c r="A10287" i="1"/>
  <c r="P10287" i="1"/>
  <c r="A10288" i="1"/>
  <c r="P10288" i="1"/>
  <c r="A10289" i="1"/>
  <c r="P10289" i="1"/>
  <c r="A10290" i="1"/>
  <c r="P10290" i="1"/>
  <c r="A10291" i="1"/>
  <c r="P10291" i="1"/>
  <c r="A10292" i="1"/>
  <c r="P10292" i="1"/>
  <c r="A10293" i="1"/>
  <c r="P10293" i="1"/>
  <c r="A10294" i="1"/>
  <c r="P10294" i="1"/>
  <c r="A10295" i="1"/>
  <c r="P10295" i="1"/>
  <c r="A10296" i="1"/>
  <c r="P10296" i="1"/>
  <c r="A10297" i="1"/>
  <c r="P10297" i="1"/>
  <c r="A10298" i="1"/>
  <c r="P10298" i="1"/>
  <c r="A10299" i="1"/>
  <c r="P10299" i="1"/>
  <c r="A10300" i="1"/>
  <c r="P10300" i="1"/>
  <c r="A10301" i="1"/>
  <c r="P10301" i="1"/>
  <c r="A10302" i="1"/>
  <c r="P10302" i="1"/>
  <c r="A10303" i="1"/>
  <c r="P10303" i="1"/>
  <c r="A10304" i="1"/>
  <c r="P10304" i="1"/>
  <c r="A10305" i="1"/>
  <c r="P10305" i="1"/>
  <c r="A10306" i="1"/>
  <c r="P10306" i="1"/>
  <c r="A10307" i="1"/>
  <c r="P10307" i="1"/>
  <c r="A10308" i="1"/>
  <c r="P10308" i="1"/>
  <c r="A10309" i="1"/>
  <c r="P10309" i="1"/>
  <c r="A10310" i="1"/>
  <c r="P10310" i="1"/>
  <c r="A10311" i="1"/>
  <c r="P10311" i="1"/>
  <c r="A10312" i="1"/>
  <c r="P10312" i="1"/>
  <c r="A10313" i="1"/>
  <c r="P10313" i="1"/>
  <c r="A10314" i="1"/>
  <c r="P10314" i="1"/>
  <c r="A10315" i="1"/>
  <c r="P10315" i="1"/>
  <c r="A10316" i="1"/>
  <c r="P10316" i="1"/>
  <c r="A10317" i="1"/>
  <c r="P10317" i="1"/>
  <c r="A10318" i="1"/>
  <c r="P10318" i="1"/>
  <c r="A10319" i="1"/>
  <c r="P10319" i="1"/>
  <c r="A10320" i="1"/>
  <c r="P10320" i="1"/>
  <c r="A10321" i="1"/>
  <c r="P10321" i="1"/>
  <c r="A10322" i="1"/>
  <c r="P10322" i="1"/>
  <c r="A10323" i="1"/>
  <c r="P10323" i="1"/>
  <c r="A10324" i="1"/>
  <c r="P10324" i="1"/>
  <c r="A10325" i="1"/>
  <c r="P10325" i="1"/>
  <c r="A10326" i="1"/>
  <c r="P10326" i="1"/>
  <c r="A10327" i="1"/>
  <c r="P10327" i="1"/>
  <c r="A10328" i="1"/>
  <c r="P10328" i="1"/>
  <c r="A10329" i="1"/>
  <c r="P10329" i="1"/>
  <c r="A10330" i="1"/>
  <c r="P10330" i="1"/>
  <c r="A10331" i="1"/>
  <c r="P10331" i="1"/>
  <c r="A10332" i="1"/>
  <c r="P10332" i="1"/>
  <c r="A10333" i="1"/>
  <c r="P10333" i="1"/>
  <c r="A10334" i="1"/>
  <c r="P10334" i="1"/>
  <c r="A10335" i="1"/>
  <c r="P10335" i="1"/>
  <c r="A10336" i="1"/>
  <c r="P10336" i="1"/>
  <c r="A10337" i="1"/>
  <c r="P10337" i="1"/>
  <c r="A10338" i="1"/>
  <c r="P10338" i="1"/>
  <c r="A10339" i="1"/>
  <c r="P10339" i="1"/>
  <c r="A10340" i="1"/>
  <c r="P10340" i="1"/>
  <c r="A10341" i="1"/>
  <c r="P10341" i="1"/>
  <c r="A10342" i="1"/>
  <c r="P10342" i="1"/>
  <c r="A10343" i="1"/>
  <c r="P10343" i="1"/>
  <c r="A10344" i="1"/>
  <c r="P10344" i="1"/>
  <c r="A10345" i="1"/>
  <c r="P10345" i="1"/>
  <c r="A10346" i="1"/>
  <c r="P10346" i="1"/>
  <c r="A10347" i="1"/>
  <c r="P10347" i="1"/>
  <c r="A10348" i="1"/>
  <c r="P10348" i="1"/>
  <c r="A10349" i="1"/>
  <c r="P10349" i="1"/>
  <c r="A10350" i="1"/>
  <c r="P10350" i="1"/>
  <c r="A10351" i="1"/>
  <c r="P10351" i="1"/>
  <c r="A10352" i="1"/>
  <c r="P10352" i="1"/>
  <c r="A10353" i="1"/>
  <c r="P10353" i="1"/>
  <c r="A10354" i="1"/>
  <c r="P10354" i="1"/>
  <c r="A10355" i="1"/>
  <c r="P10355" i="1"/>
  <c r="A10356" i="1"/>
  <c r="P10356" i="1"/>
  <c r="A10357" i="1"/>
  <c r="P10357" i="1"/>
  <c r="A10358" i="1"/>
  <c r="P10358" i="1"/>
  <c r="A10359" i="1"/>
  <c r="P10359" i="1"/>
  <c r="A10360" i="1"/>
  <c r="P10360" i="1"/>
  <c r="A10361" i="1"/>
  <c r="P10361" i="1"/>
  <c r="A10362" i="1"/>
  <c r="P10362" i="1"/>
  <c r="A10363" i="1"/>
  <c r="P10363" i="1"/>
  <c r="A10364" i="1"/>
  <c r="P10364" i="1"/>
  <c r="A10365" i="1"/>
  <c r="P10365" i="1"/>
  <c r="A10366" i="1"/>
  <c r="P10366" i="1"/>
  <c r="A10367" i="1"/>
  <c r="P10367" i="1"/>
  <c r="A10368" i="1"/>
  <c r="P10368" i="1"/>
  <c r="A10369" i="1"/>
  <c r="P10369" i="1"/>
  <c r="A10370" i="1"/>
  <c r="P10370" i="1"/>
  <c r="A10371" i="1"/>
  <c r="P10371" i="1"/>
  <c r="A10372" i="1"/>
  <c r="P10372" i="1"/>
  <c r="A10373" i="1"/>
  <c r="P10373" i="1"/>
  <c r="A10374" i="1"/>
  <c r="P10374" i="1"/>
  <c r="A10375" i="1"/>
  <c r="P10375" i="1"/>
  <c r="A10376" i="1"/>
  <c r="P10376" i="1"/>
  <c r="A10377" i="1"/>
  <c r="P10377" i="1"/>
  <c r="A10378" i="1"/>
  <c r="P10378" i="1"/>
  <c r="A10379" i="1"/>
  <c r="P10379" i="1"/>
  <c r="A10380" i="1"/>
  <c r="P10380" i="1"/>
  <c r="A10381" i="1"/>
  <c r="P10381" i="1"/>
  <c r="A10382" i="1"/>
  <c r="P10382" i="1"/>
  <c r="A10383" i="1"/>
  <c r="P10383" i="1"/>
  <c r="A10384" i="1"/>
  <c r="P10384" i="1"/>
  <c r="A10385" i="1"/>
  <c r="P10385" i="1"/>
  <c r="A10386" i="1"/>
  <c r="P10386" i="1"/>
  <c r="A10387" i="1"/>
  <c r="P10387" i="1"/>
  <c r="A10388" i="1"/>
  <c r="P10388" i="1"/>
  <c r="A10389" i="1"/>
  <c r="P10389" i="1"/>
  <c r="A10390" i="1"/>
  <c r="P10390" i="1"/>
  <c r="A10391" i="1"/>
  <c r="P10391" i="1"/>
  <c r="A10392" i="1"/>
  <c r="P10392" i="1"/>
  <c r="A10393" i="1"/>
  <c r="P10393" i="1"/>
  <c r="A10394" i="1"/>
  <c r="P10394" i="1"/>
  <c r="A10395" i="1"/>
  <c r="P10395" i="1"/>
  <c r="A10396" i="1"/>
  <c r="P10396" i="1"/>
  <c r="A10397" i="1"/>
  <c r="P10397" i="1"/>
  <c r="A10398" i="1"/>
  <c r="P10398" i="1"/>
  <c r="A10399" i="1"/>
  <c r="P10399" i="1"/>
  <c r="A10400" i="1"/>
  <c r="P10400" i="1"/>
  <c r="A10401" i="1"/>
  <c r="P10401" i="1"/>
  <c r="A10402" i="1"/>
  <c r="P10402" i="1"/>
  <c r="A10403" i="1"/>
  <c r="P10403" i="1"/>
  <c r="A10404" i="1"/>
  <c r="P10404" i="1"/>
  <c r="A10405" i="1"/>
  <c r="P10405" i="1"/>
  <c r="A10406" i="1"/>
  <c r="P10406" i="1"/>
  <c r="A10407" i="1"/>
  <c r="P10407" i="1"/>
  <c r="A10408" i="1"/>
  <c r="P10408" i="1"/>
  <c r="A10409" i="1"/>
  <c r="P10409" i="1"/>
  <c r="A10410" i="1"/>
  <c r="P10410" i="1"/>
  <c r="A10411" i="1"/>
  <c r="P10411" i="1"/>
  <c r="A10412" i="1"/>
  <c r="P10412" i="1"/>
  <c r="A10413" i="1"/>
  <c r="P10413" i="1"/>
  <c r="A10414" i="1"/>
  <c r="P10414" i="1"/>
  <c r="A10415" i="1"/>
  <c r="P10415" i="1"/>
  <c r="A10416" i="1"/>
  <c r="P10416" i="1"/>
  <c r="A10417" i="1"/>
  <c r="P10417" i="1"/>
  <c r="A10418" i="1"/>
  <c r="P10418" i="1"/>
  <c r="A10419" i="1"/>
  <c r="P10419" i="1"/>
  <c r="A10420" i="1"/>
  <c r="P10420" i="1"/>
  <c r="A10421" i="1"/>
  <c r="P10421" i="1"/>
  <c r="A10422" i="1"/>
  <c r="P10422" i="1"/>
  <c r="A10423" i="1"/>
  <c r="P10423" i="1"/>
  <c r="A10424" i="1"/>
  <c r="P10424" i="1"/>
  <c r="A10425" i="1"/>
  <c r="P10425" i="1"/>
  <c r="A10426" i="1"/>
  <c r="P10426" i="1"/>
  <c r="A10427" i="1"/>
  <c r="P10427" i="1"/>
  <c r="A10428" i="1"/>
  <c r="P10428" i="1"/>
  <c r="A10429" i="1"/>
  <c r="P10429" i="1"/>
  <c r="A10430" i="1"/>
  <c r="P10430" i="1"/>
  <c r="A10431" i="1"/>
  <c r="P10431" i="1"/>
  <c r="A10432" i="1"/>
  <c r="P10432" i="1"/>
  <c r="A10433" i="1"/>
  <c r="P10433" i="1"/>
  <c r="A10434" i="1"/>
  <c r="P10434" i="1"/>
  <c r="A10435" i="1"/>
  <c r="P10435" i="1"/>
  <c r="A10436" i="1"/>
  <c r="P10436" i="1"/>
  <c r="A10437" i="1"/>
  <c r="P10437" i="1"/>
  <c r="A10438" i="1"/>
  <c r="P10438" i="1"/>
  <c r="A10439" i="1"/>
  <c r="P10439" i="1"/>
  <c r="A10440" i="1"/>
  <c r="P10440" i="1"/>
  <c r="A10441" i="1"/>
  <c r="P10441" i="1"/>
  <c r="A10442" i="1"/>
  <c r="P10442" i="1"/>
  <c r="A10443" i="1"/>
  <c r="P10443" i="1"/>
  <c r="A10444" i="1"/>
  <c r="P10444" i="1"/>
  <c r="A10445" i="1"/>
  <c r="P10445" i="1"/>
  <c r="A10446" i="1"/>
  <c r="P10446" i="1"/>
  <c r="A10447" i="1"/>
  <c r="P10447" i="1"/>
  <c r="A10448" i="1"/>
  <c r="P10448" i="1"/>
  <c r="A10449" i="1"/>
  <c r="P10449" i="1"/>
  <c r="A10450" i="1"/>
  <c r="P10450" i="1"/>
  <c r="A10451" i="1"/>
  <c r="P10451" i="1"/>
  <c r="A10452" i="1"/>
  <c r="P10452" i="1"/>
  <c r="A10453" i="1"/>
  <c r="P10453" i="1"/>
  <c r="A10454" i="1"/>
  <c r="P10454" i="1"/>
  <c r="A10455" i="1"/>
  <c r="P10455" i="1"/>
  <c r="A10456" i="1"/>
  <c r="P10456" i="1"/>
  <c r="A10457" i="1"/>
  <c r="P10457" i="1"/>
  <c r="A10458" i="1"/>
  <c r="P10458" i="1"/>
  <c r="A10459" i="1"/>
  <c r="P10459" i="1"/>
  <c r="A10460" i="1"/>
  <c r="P10460" i="1"/>
  <c r="A10461" i="1"/>
  <c r="P10461" i="1"/>
  <c r="A10462" i="1"/>
  <c r="P10462" i="1"/>
  <c r="A10463" i="1"/>
  <c r="P10463" i="1"/>
  <c r="A10464" i="1"/>
  <c r="P10464" i="1"/>
  <c r="A10465" i="1"/>
  <c r="P10465" i="1"/>
  <c r="A10466" i="1"/>
  <c r="P10466" i="1"/>
  <c r="A10467" i="1"/>
  <c r="P10467" i="1"/>
  <c r="A10468" i="1"/>
  <c r="P10468" i="1"/>
  <c r="A10469" i="1"/>
  <c r="P10469" i="1"/>
  <c r="A10470" i="1"/>
  <c r="P10470" i="1"/>
  <c r="A10471" i="1"/>
  <c r="P10471" i="1"/>
  <c r="A10472" i="1"/>
  <c r="P10472" i="1"/>
  <c r="A10473" i="1"/>
  <c r="P10473" i="1"/>
  <c r="A10474" i="1"/>
  <c r="P10474" i="1"/>
  <c r="A10475" i="1"/>
  <c r="P10475" i="1"/>
  <c r="A10476" i="1"/>
  <c r="P10476" i="1"/>
  <c r="A10477" i="1"/>
  <c r="P10477" i="1"/>
  <c r="A10478" i="1"/>
  <c r="P10478" i="1"/>
  <c r="A10479" i="1"/>
  <c r="P10479" i="1"/>
  <c r="A10480" i="1"/>
  <c r="P10480" i="1"/>
  <c r="A10481" i="1"/>
  <c r="P10481" i="1"/>
  <c r="A10482" i="1"/>
  <c r="P10482" i="1"/>
  <c r="A10483" i="1"/>
  <c r="P10483" i="1"/>
  <c r="A10484" i="1"/>
  <c r="P10484" i="1"/>
  <c r="A10485" i="1"/>
  <c r="P10485" i="1"/>
  <c r="A10486" i="1"/>
  <c r="P10486" i="1"/>
  <c r="A10487" i="1"/>
  <c r="P10487" i="1"/>
  <c r="A10488" i="1"/>
  <c r="P10488" i="1"/>
  <c r="A10489" i="1"/>
  <c r="P10489" i="1"/>
  <c r="A10490" i="1"/>
  <c r="P10490" i="1"/>
  <c r="A10491" i="1"/>
  <c r="P10491" i="1"/>
  <c r="A10492" i="1"/>
  <c r="P10492" i="1"/>
  <c r="A10493" i="1"/>
  <c r="P10493" i="1"/>
  <c r="A10494" i="1"/>
  <c r="P10494" i="1"/>
  <c r="A10495" i="1"/>
  <c r="P10495" i="1"/>
  <c r="A10496" i="1"/>
  <c r="P10496" i="1"/>
  <c r="A10497" i="1"/>
  <c r="P10497" i="1"/>
  <c r="A10498" i="1"/>
  <c r="P10498" i="1"/>
  <c r="A10499" i="1"/>
  <c r="P10499" i="1"/>
  <c r="A10500" i="1"/>
  <c r="P10500" i="1"/>
  <c r="A10501" i="1"/>
  <c r="P10501" i="1"/>
  <c r="A10502" i="1"/>
  <c r="P10502" i="1"/>
  <c r="A10503" i="1"/>
  <c r="P10503" i="1"/>
  <c r="A10504" i="1"/>
  <c r="P10504" i="1"/>
  <c r="A10505" i="1"/>
  <c r="P10505" i="1"/>
  <c r="A10506" i="1"/>
  <c r="P10506" i="1"/>
  <c r="A10507" i="1"/>
  <c r="P10507" i="1"/>
  <c r="A10508" i="1"/>
  <c r="P10508" i="1"/>
  <c r="A10509" i="1"/>
  <c r="P10509" i="1"/>
  <c r="A10510" i="1"/>
  <c r="P10510" i="1"/>
  <c r="A10511" i="1"/>
  <c r="P10511" i="1"/>
  <c r="A10512" i="1"/>
  <c r="P10512" i="1"/>
  <c r="A10513" i="1"/>
  <c r="P10513" i="1"/>
  <c r="A10514" i="1"/>
  <c r="P10514" i="1"/>
  <c r="A10515" i="1"/>
  <c r="P10515" i="1"/>
  <c r="A10516" i="1"/>
  <c r="P10516" i="1"/>
  <c r="A10517" i="1"/>
  <c r="P10517" i="1"/>
  <c r="A10518" i="1"/>
  <c r="P10518" i="1"/>
  <c r="A10519" i="1"/>
  <c r="P10519" i="1"/>
  <c r="A10520" i="1"/>
  <c r="P10520" i="1"/>
  <c r="A10521" i="1"/>
  <c r="P10521" i="1"/>
  <c r="A10522" i="1"/>
  <c r="P10522" i="1"/>
  <c r="A10523" i="1"/>
  <c r="P10523" i="1"/>
  <c r="A10524" i="1"/>
  <c r="P10524" i="1"/>
  <c r="A10525" i="1"/>
  <c r="P10525" i="1"/>
  <c r="A10526" i="1"/>
  <c r="P10526" i="1"/>
  <c r="A10527" i="1"/>
  <c r="P10527" i="1"/>
  <c r="A10528" i="1"/>
  <c r="P10528" i="1"/>
  <c r="A10529" i="1"/>
  <c r="P10529" i="1"/>
  <c r="A10530" i="1"/>
  <c r="P10530" i="1"/>
  <c r="A10531" i="1"/>
  <c r="P10531" i="1"/>
  <c r="A10532" i="1"/>
  <c r="P10532" i="1"/>
  <c r="A10533" i="1"/>
  <c r="P10533" i="1"/>
  <c r="A10534" i="1"/>
  <c r="P10534" i="1"/>
  <c r="A10535" i="1"/>
  <c r="P10535" i="1"/>
  <c r="A10536" i="1"/>
  <c r="P10536" i="1"/>
  <c r="A10537" i="1"/>
  <c r="P10537" i="1"/>
  <c r="A10538" i="1"/>
  <c r="P10538" i="1"/>
  <c r="A10539" i="1"/>
  <c r="P10539" i="1"/>
  <c r="A10540" i="1"/>
  <c r="P10540" i="1"/>
  <c r="A10541" i="1"/>
  <c r="P10541" i="1"/>
  <c r="A10542" i="1"/>
  <c r="P10542" i="1"/>
  <c r="A10543" i="1"/>
  <c r="P10543" i="1"/>
  <c r="A10544" i="1"/>
  <c r="P10544" i="1"/>
  <c r="A10545" i="1"/>
  <c r="P10545" i="1"/>
  <c r="A10546" i="1"/>
  <c r="P10546" i="1"/>
  <c r="A10547" i="1"/>
  <c r="P10547" i="1"/>
  <c r="A10548" i="1"/>
  <c r="P10548" i="1"/>
  <c r="A10549" i="1"/>
  <c r="P10549" i="1"/>
  <c r="A10550" i="1"/>
  <c r="P10550" i="1"/>
  <c r="A10551" i="1"/>
  <c r="P10551" i="1"/>
  <c r="A10552" i="1"/>
  <c r="P10552" i="1"/>
  <c r="A10553" i="1"/>
  <c r="P10553" i="1"/>
  <c r="A10554" i="1"/>
  <c r="P10554" i="1"/>
  <c r="A10555" i="1"/>
  <c r="P10555" i="1"/>
  <c r="A10556" i="1"/>
  <c r="P10556" i="1"/>
  <c r="A10557" i="1"/>
  <c r="P10557" i="1"/>
  <c r="A10558" i="1"/>
  <c r="P10558" i="1"/>
  <c r="A10559" i="1"/>
  <c r="P10559" i="1"/>
  <c r="A10560" i="1"/>
  <c r="P10560" i="1"/>
  <c r="A10561" i="1"/>
  <c r="P10561" i="1"/>
  <c r="A10562" i="1"/>
  <c r="P10562" i="1"/>
  <c r="A10563" i="1"/>
  <c r="P10563" i="1"/>
  <c r="A10564" i="1"/>
  <c r="P10564" i="1"/>
  <c r="A10565" i="1"/>
  <c r="P10565" i="1"/>
  <c r="A10566" i="1"/>
  <c r="P10566" i="1"/>
  <c r="A10567" i="1"/>
  <c r="P10567" i="1"/>
  <c r="A10568" i="1"/>
  <c r="P10568" i="1"/>
  <c r="A10569" i="1"/>
  <c r="P10569" i="1"/>
  <c r="A10570" i="1"/>
  <c r="P10570" i="1"/>
  <c r="A10571" i="1"/>
  <c r="P10571" i="1"/>
  <c r="A10572" i="1"/>
  <c r="P10572" i="1"/>
  <c r="A10573" i="1"/>
  <c r="P10573" i="1"/>
  <c r="A10574" i="1"/>
  <c r="P10574" i="1"/>
  <c r="A10575" i="1"/>
  <c r="P10575" i="1"/>
  <c r="A10576" i="1"/>
  <c r="P10576" i="1"/>
  <c r="A10577" i="1"/>
  <c r="P10577" i="1"/>
  <c r="A10578" i="1"/>
  <c r="P10578" i="1"/>
  <c r="A10579" i="1"/>
  <c r="P10579" i="1"/>
  <c r="A10580" i="1"/>
  <c r="P10580" i="1"/>
  <c r="A10581" i="1"/>
  <c r="P10581" i="1"/>
  <c r="A10582" i="1"/>
  <c r="P10582" i="1"/>
  <c r="A10583" i="1"/>
  <c r="P10583" i="1"/>
  <c r="A10584" i="1"/>
  <c r="P10584" i="1"/>
  <c r="A10585" i="1"/>
  <c r="P10585" i="1"/>
  <c r="A10586" i="1"/>
  <c r="P10586" i="1"/>
  <c r="A10587" i="1"/>
  <c r="P10587" i="1"/>
  <c r="A10588" i="1"/>
  <c r="P10588" i="1"/>
  <c r="A10589" i="1"/>
  <c r="P10589" i="1"/>
  <c r="A10590" i="1"/>
  <c r="P10590" i="1"/>
  <c r="A10591" i="1"/>
  <c r="P10591" i="1"/>
  <c r="A10592" i="1"/>
  <c r="P10592" i="1"/>
  <c r="A10593" i="1"/>
  <c r="P10593" i="1"/>
  <c r="A10594" i="1"/>
  <c r="P10594" i="1"/>
  <c r="A10595" i="1"/>
  <c r="P10595" i="1"/>
  <c r="A10596" i="1"/>
  <c r="P10596" i="1"/>
  <c r="A10597" i="1"/>
  <c r="P10597" i="1"/>
  <c r="A10598" i="1"/>
  <c r="P10598" i="1"/>
  <c r="A10599" i="1"/>
  <c r="P10599" i="1"/>
  <c r="A10600" i="1"/>
  <c r="P10600" i="1"/>
  <c r="A10601" i="1"/>
  <c r="P10601" i="1"/>
  <c r="A10602" i="1"/>
  <c r="P10602" i="1"/>
  <c r="A10603" i="1"/>
  <c r="P10603" i="1"/>
  <c r="A10604" i="1"/>
  <c r="P10604" i="1"/>
  <c r="A10605" i="1"/>
  <c r="P10605" i="1"/>
  <c r="A10606" i="1"/>
  <c r="P10606" i="1"/>
  <c r="A10607" i="1"/>
  <c r="P10607" i="1"/>
  <c r="A10608" i="1"/>
  <c r="P10608" i="1"/>
  <c r="A10609" i="1"/>
  <c r="P10609" i="1"/>
  <c r="A10610" i="1"/>
  <c r="P10610" i="1"/>
  <c r="A10611" i="1"/>
  <c r="P10611" i="1"/>
  <c r="A10612" i="1"/>
  <c r="P10612" i="1"/>
  <c r="A10613" i="1"/>
  <c r="P10613" i="1"/>
  <c r="A10614" i="1"/>
  <c r="P10614" i="1"/>
  <c r="A10615" i="1"/>
  <c r="P10615" i="1"/>
  <c r="A10616" i="1"/>
  <c r="P10616" i="1"/>
  <c r="A10617" i="1"/>
  <c r="P10617" i="1"/>
  <c r="A10618" i="1"/>
  <c r="P10618" i="1"/>
  <c r="A10619" i="1"/>
  <c r="P10619" i="1"/>
  <c r="A10620" i="1"/>
  <c r="P10620" i="1"/>
  <c r="A10621" i="1"/>
  <c r="P10621" i="1"/>
  <c r="A10622" i="1"/>
  <c r="P10622" i="1"/>
  <c r="A10623" i="1"/>
  <c r="P10623" i="1"/>
  <c r="A10624" i="1"/>
  <c r="P10624" i="1"/>
  <c r="A10625" i="1"/>
  <c r="P10625" i="1"/>
  <c r="A10626" i="1"/>
  <c r="P10626" i="1"/>
  <c r="A10627" i="1"/>
  <c r="P10627" i="1"/>
  <c r="A10628" i="1"/>
  <c r="P10628" i="1"/>
  <c r="A10629" i="1"/>
  <c r="P10629" i="1"/>
  <c r="A10630" i="1"/>
  <c r="P10630" i="1"/>
  <c r="A10631" i="1"/>
  <c r="P10631" i="1"/>
  <c r="A10632" i="1"/>
  <c r="P10632" i="1"/>
  <c r="A10633" i="1"/>
  <c r="P10633" i="1"/>
  <c r="A10634" i="1"/>
  <c r="P10634" i="1"/>
  <c r="A10635" i="1"/>
  <c r="P10635" i="1"/>
  <c r="A10636" i="1"/>
  <c r="P10636" i="1"/>
  <c r="A10637" i="1"/>
  <c r="P10637" i="1"/>
  <c r="A10638" i="1"/>
  <c r="P10638" i="1"/>
  <c r="A10639" i="1"/>
  <c r="P10639" i="1"/>
  <c r="A10640" i="1"/>
  <c r="P10640" i="1"/>
  <c r="A10641" i="1"/>
  <c r="P10641" i="1"/>
  <c r="A10642" i="1"/>
  <c r="P10642" i="1"/>
  <c r="A10643" i="1"/>
  <c r="P10643" i="1"/>
  <c r="A10644" i="1"/>
  <c r="P10644" i="1"/>
  <c r="A10645" i="1"/>
  <c r="P10645" i="1"/>
  <c r="A10646" i="1"/>
  <c r="P10646" i="1"/>
  <c r="A10647" i="1"/>
  <c r="P10647" i="1"/>
  <c r="A10648" i="1"/>
  <c r="P10648" i="1"/>
  <c r="A10649" i="1"/>
  <c r="P10649" i="1"/>
  <c r="A10650" i="1"/>
  <c r="P10650" i="1"/>
  <c r="A10651" i="1"/>
  <c r="P10651" i="1"/>
  <c r="A10652" i="1"/>
  <c r="P10652" i="1"/>
  <c r="A10653" i="1"/>
  <c r="P10653" i="1"/>
  <c r="A10654" i="1"/>
  <c r="P10654" i="1"/>
  <c r="A10655" i="1"/>
  <c r="P10655" i="1"/>
  <c r="A10656" i="1"/>
  <c r="P10656" i="1"/>
  <c r="A10657" i="1"/>
  <c r="P10657" i="1"/>
  <c r="A10658" i="1"/>
  <c r="P10658" i="1"/>
  <c r="A10659" i="1"/>
  <c r="P10659" i="1"/>
  <c r="A10660" i="1"/>
  <c r="P10660" i="1"/>
  <c r="A10661" i="1"/>
  <c r="P10661" i="1"/>
  <c r="A10662" i="1"/>
  <c r="P10662" i="1"/>
  <c r="A10663" i="1"/>
  <c r="P10663" i="1"/>
  <c r="A10664" i="1"/>
  <c r="P10664" i="1"/>
  <c r="A10665" i="1"/>
  <c r="P10665" i="1"/>
  <c r="A10666" i="1"/>
  <c r="P10666" i="1"/>
  <c r="A10667" i="1"/>
  <c r="P10667" i="1"/>
  <c r="A10668" i="1"/>
  <c r="P10668" i="1"/>
  <c r="A10669" i="1"/>
  <c r="P10669" i="1"/>
  <c r="A10670" i="1"/>
  <c r="P10670" i="1"/>
  <c r="A10671" i="1"/>
  <c r="P10671" i="1"/>
  <c r="A10672" i="1"/>
  <c r="P10672" i="1"/>
  <c r="A10673" i="1"/>
  <c r="P10673" i="1"/>
  <c r="A10674" i="1"/>
  <c r="P10674" i="1"/>
  <c r="A10675" i="1"/>
  <c r="P10675" i="1"/>
  <c r="A10676" i="1"/>
  <c r="P10676" i="1"/>
  <c r="A10677" i="1"/>
  <c r="P10677" i="1"/>
  <c r="A10678" i="1"/>
  <c r="P10678" i="1"/>
  <c r="A10679" i="1"/>
  <c r="P10679" i="1"/>
  <c r="A10680" i="1"/>
  <c r="P10680" i="1"/>
  <c r="A10681" i="1"/>
  <c r="P10681" i="1"/>
  <c r="A10682" i="1"/>
  <c r="P10682" i="1"/>
  <c r="A10683" i="1"/>
  <c r="P10683" i="1"/>
  <c r="A10684" i="1"/>
  <c r="P10684" i="1"/>
  <c r="A10685" i="1"/>
  <c r="P10685" i="1"/>
  <c r="A10686" i="1"/>
  <c r="P10686" i="1"/>
  <c r="A10687" i="1"/>
  <c r="P10687" i="1"/>
  <c r="A10688" i="1"/>
  <c r="P10688" i="1"/>
  <c r="A10689" i="1"/>
  <c r="P10689" i="1"/>
  <c r="A10690" i="1"/>
  <c r="P10690" i="1"/>
  <c r="A10691" i="1"/>
  <c r="P10691" i="1"/>
  <c r="A10692" i="1"/>
  <c r="P10692" i="1"/>
  <c r="A10693" i="1"/>
  <c r="P10693" i="1"/>
  <c r="A10694" i="1"/>
  <c r="P10694" i="1"/>
  <c r="A10695" i="1"/>
  <c r="P10695" i="1"/>
  <c r="A10696" i="1"/>
  <c r="P10696" i="1"/>
  <c r="A10697" i="1"/>
  <c r="P10697" i="1"/>
  <c r="A10698" i="1"/>
  <c r="P10698" i="1"/>
  <c r="A10699" i="1"/>
  <c r="P10699" i="1"/>
  <c r="A10700" i="1"/>
  <c r="P10700" i="1"/>
  <c r="A10701" i="1"/>
  <c r="P10701" i="1"/>
  <c r="A10702" i="1"/>
  <c r="P10702" i="1"/>
  <c r="A10703" i="1"/>
  <c r="P10703" i="1"/>
  <c r="A10704" i="1"/>
  <c r="P10704" i="1"/>
  <c r="A10705" i="1"/>
  <c r="P10705" i="1"/>
  <c r="A10706" i="1"/>
  <c r="P10706" i="1"/>
  <c r="A10707" i="1"/>
  <c r="P10707" i="1"/>
  <c r="A10708" i="1"/>
  <c r="P10708" i="1"/>
  <c r="A10709" i="1"/>
  <c r="P10709" i="1"/>
  <c r="A10710" i="1"/>
  <c r="P10710" i="1"/>
  <c r="A10711" i="1"/>
  <c r="P10711" i="1"/>
  <c r="A10712" i="1"/>
  <c r="P10712" i="1"/>
  <c r="A10713" i="1"/>
  <c r="P10713" i="1"/>
  <c r="A10714" i="1"/>
  <c r="P10714" i="1"/>
  <c r="A10715" i="1"/>
  <c r="P10715" i="1"/>
  <c r="A10716" i="1"/>
  <c r="P10716" i="1"/>
  <c r="A10717" i="1"/>
  <c r="P10717" i="1"/>
  <c r="A10718" i="1"/>
  <c r="P10718" i="1"/>
  <c r="A10719" i="1"/>
  <c r="P10719" i="1"/>
  <c r="A10720" i="1"/>
  <c r="P10720" i="1"/>
  <c r="A10721" i="1"/>
  <c r="P10721" i="1"/>
  <c r="A10722" i="1"/>
  <c r="P10722" i="1"/>
  <c r="A10723" i="1"/>
  <c r="P10723" i="1"/>
  <c r="A10724" i="1"/>
  <c r="P10724" i="1"/>
  <c r="A10725" i="1"/>
  <c r="P10725" i="1"/>
  <c r="A10726" i="1"/>
  <c r="P10726" i="1"/>
  <c r="A10727" i="1"/>
  <c r="P10727" i="1"/>
  <c r="A10728" i="1"/>
  <c r="P10728" i="1"/>
  <c r="A10729" i="1"/>
  <c r="P10729" i="1"/>
  <c r="A10730" i="1"/>
  <c r="P10730" i="1"/>
  <c r="A10731" i="1"/>
  <c r="P10731" i="1"/>
  <c r="A10732" i="1"/>
  <c r="P10732" i="1"/>
  <c r="A10733" i="1"/>
  <c r="P10733" i="1"/>
  <c r="A10734" i="1"/>
  <c r="P10734" i="1"/>
  <c r="A10735" i="1"/>
  <c r="P10735" i="1"/>
  <c r="A10736" i="1"/>
  <c r="P10736" i="1"/>
  <c r="A10737" i="1"/>
  <c r="P10737" i="1"/>
  <c r="A10738" i="1"/>
  <c r="P10738" i="1"/>
  <c r="A10739" i="1"/>
  <c r="P10739" i="1"/>
  <c r="A10740" i="1"/>
  <c r="P10740" i="1"/>
  <c r="A10741" i="1"/>
  <c r="P10741" i="1"/>
  <c r="A10742" i="1"/>
  <c r="P10742" i="1"/>
  <c r="A10743" i="1"/>
  <c r="P10743" i="1"/>
  <c r="A10744" i="1"/>
  <c r="P10744" i="1"/>
  <c r="A10745" i="1"/>
  <c r="P10745" i="1"/>
  <c r="A10746" i="1"/>
  <c r="P10746" i="1"/>
  <c r="A10747" i="1"/>
  <c r="P10747" i="1"/>
  <c r="A10748" i="1"/>
  <c r="P10748" i="1"/>
  <c r="A10749" i="1"/>
  <c r="P10749" i="1"/>
  <c r="A10750" i="1"/>
  <c r="P10750" i="1"/>
  <c r="A10751" i="1"/>
  <c r="P10751" i="1"/>
  <c r="A10752" i="1"/>
  <c r="P10752" i="1"/>
  <c r="A10753" i="1"/>
  <c r="P10753" i="1"/>
  <c r="A10754" i="1"/>
  <c r="P10754" i="1"/>
  <c r="A10755" i="1"/>
  <c r="P10755" i="1"/>
  <c r="A10756" i="1"/>
  <c r="P10756" i="1"/>
  <c r="A10757" i="1"/>
  <c r="P10757" i="1"/>
  <c r="A10758" i="1"/>
  <c r="P10758" i="1"/>
  <c r="A10759" i="1"/>
  <c r="P10759" i="1"/>
  <c r="A10760" i="1"/>
  <c r="P10760" i="1"/>
  <c r="A10761" i="1"/>
  <c r="P10761" i="1"/>
  <c r="A10762" i="1"/>
  <c r="P10762" i="1"/>
  <c r="A10763" i="1"/>
  <c r="P10763" i="1"/>
  <c r="A10764" i="1"/>
  <c r="P10764" i="1"/>
  <c r="A10765" i="1"/>
  <c r="P10765" i="1"/>
  <c r="A10766" i="1"/>
  <c r="P10766" i="1"/>
  <c r="A10767" i="1"/>
  <c r="P10767" i="1"/>
  <c r="A10768" i="1"/>
  <c r="P10768" i="1"/>
  <c r="A10769" i="1"/>
  <c r="P10769" i="1"/>
  <c r="A10770" i="1"/>
  <c r="P10770" i="1"/>
  <c r="A10771" i="1"/>
  <c r="P10771" i="1"/>
  <c r="A10772" i="1"/>
  <c r="P10772" i="1"/>
  <c r="A10773" i="1"/>
  <c r="P10773" i="1"/>
  <c r="A10774" i="1"/>
  <c r="P10774" i="1"/>
  <c r="A10775" i="1"/>
  <c r="P10775" i="1"/>
  <c r="A10776" i="1"/>
  <c r="P10776" i="1"/>
  <c r="A10777" i="1"/>
  <c r="P10777" i="1"/>
  <c r="A10778" i="1"/>
  <c r="P10778" i="1"/>
  <c r="A10779" i="1"/>
  <c r="P10779" i="1"/>
  <c r="A10780" i="1"/>
  <c r="P10780" i="1"/>
  <c r="A10781" i="1"/>
  <c r="P10781" i="1"/>
  <c r="A10782" i="1"/>
  <c r="P10782" i="1"/>
  <c r="A10783" i="1"/>
  <c r="P10783" i="1"/>
  <c r="A10784" i="1"/>
  <c r="P10784" i="1"/>
  <c r="A10785" i="1"/>
  <c r="P10785" i="1"/>
  <c r="A10786" i="1"/>
  <c r="P10786" i="1"/>
  <c r="A10787" i="1"/>
  <c r="P10787" i="1"/>
  <c r="A10788" i="1"/>
  <c r="P10788" i="1"/>
  <c r="A10789" i="1"/>
  <c r="P10789" i="1"/>
  <c r="A10790" i="1"/>
  <c r="P10790" i="1"/>
  <c r="A10791" i="1"/>
  <c r="P10791" i="1"/>
  <c r="A10792" i="1"/>
  <c r="P10792" i="1"/>
  <c r="A10793" i="1"/>
  <c r="P10793" i="1"/>
  <c r="A10794" i="1"/>
  <c r="P10794" i="1"/>
  <c r="A10795" i="1"/>
  <c r="P10795" i="1"/>
  <c r="A10796" i="1"/>
  <c r="P10796" i="1"/>
  <c r="A10797" i="1"/>
  <c r="P10797" i="1"/>
  <c r="A10798" i="1"/>
  <c r="P10798" i="1"/>
  <c r="A10799" i="1"/>
  <c r="P10799" i="1"/>
  <c r="A10800" i="1"/>
  <c r="P10800" i="1"/>
  <c r="A10801" i="1"/>
  <c r="P10801" i="1"/>
  <c r="A10802" i="1"/>
  <c r="P10802" i="1"/>
  <c r="A10803" i="1"/>
  <c r="P10803" i="1"/>
  <c r="A10804" i="1"/>
  <c r="P10804" i="1"/>
  <c r="A10805" i="1"/>
  <c r="P10805" i="1"/>
  <c r="A10806" i="1"/>
  <c r="P10806" i="1"/>
  <c r="A10807" i="1"/>
  <c r="P10807" i="1"/>
  <c r="A10808" i="1"/>
  <c r="P10808" i="1"/>
  <c r="A10809" i="1"/>
  <c r="P10809" i="1"/>
  <c r="A10810" i="1"/>
  <c r="P10810" i="1"/>
  <c r="A10811" i="1"/>
  <c r="P10811" i="1"/>
  <c r="A10812" i="1"/>
  <c r="P10812" i="1"/>
  <c r="A10813" i="1"/>
  <c r="P10813" i="1"/>
  <c r="A10814" i="1"/>
  <c r="P10814" i="1"/>
  <c r="A10815" i="1"/>
  <c r="P10815" i="1"/>
  <c r="A10816" i="1"/>
  <c r="P10816" i="1"/>
  <c r="A10817" i="1"/>
  <c r="P10817" i="1"/>
  <c r="A10818" i="1"/>
  <c r="P10818" i="1"/>
  <c r="A10819" i="1"/>
  <c r="P10819" i="1"/>
  <c r="A10820" i="1"/>
  <c r="P10820" i="1"/>
  <c r="A10821" i="1"/>
  <c r="P10821" i="1"/>
  <c r="A10822" i="1"/>
  <c r="P10822" i="1"/>
  <c r="A10823" i="1"/>
  <c r="P10823" i="1"/>
  <c r="A10824" i="1"/>
  <c r="P10824" i="1"/>
  <c r="A10825" i="1"/>
  <c r="P10825" i="1"/>
  <c r="A10826" i="1"/>
  <c r="P10826" i="1"/>
  <c r="A10827" i="1"/>
  <c r="P10827" i="1"/>
  <c r="A10828" i="1"/>
  <c r="P10828" i="1"/>
  <c r="A10829" i="1"/>
  <c r="P10829" i="1"/>
  <c r="A10830" i="1"/>
  <c r="P10830" i="1"/>
  <c r="A10831" i="1"/>
  <c r="P10831" i="1"/>
  <c r="A10832" i="1"/>
  <c r="P10832" i="1"/>
  <c r="A10833" i="1"/>
  <c r="P10833" i="1"/>
  <c r="A10834" i="1"/>
  <c r="P10834" i="1"/>
  <c r="A10835" i="1"/>
  <c r="P10835" i="1"/>
  <c r="A10836" i="1"/>
  <c r="P10836" i="1"/>
  <c r="A10837" i="1"/>
  <c r="P10837" i="1"/>
  <c r="A10838" i="1"/>
  <c r="P10838" i="1"/>
  <c r="A10839" i="1"/>
  <c r="P10839" i="1"/>
  <c r="A10840" i="1"/>
  <c r="P10840" i="1"/>
  <c r="A10841" i="1"/>
  <c r="P10841" i="1"/>
  <c r="A10842" i="1"/>
  <c r="P10842" i="1"/>
  <c r="A10843" i="1"/>
  <c r="P10843" i="1"/>
  <c r="A10844" i="1"/>
  <c r="P10844" i="1"/>
  <c r="A10845" i="1"/>
  <c r="P10845" i="1"/>
  <c r="A10846" i="1"/>
  <c r="P10846" i="1"/>
  <c r="A10847" i="1"/>
  <c r="P10847" i="1"/>
  <c r="A10848" i="1"/>
  <c r="P10848" i="1"/>
  <c r="A10849" i="1"/>
  <c r="P10849" i="1"/>
  <c r="A10850" i="1"/>
  <c r="P10850" i="1"/>
  <c r="A10851" i="1"/>
  <c r="P10851" i="1"/>
  <c r="A10852" i="1"/>
  <c r="P10852" i="1"/>
  <c r="A10853" i="1"/>
  <c r="P10853" i="1"/>
  <c r="A10854" i="1"/>
  <c r="P10854" i="1"/>
  <c r="A10855" i="1"/>
  <c r="P10855" i="1"/>
  <c r="A10856" i="1"/>
  <c r="P10856" i="1"/>
  <c r="A10857" i="1"/>
  <c r="P10857" i="1"/>
  <c r="A10858" i="1"/>
  <c r="P10858" i="1"/>
  <c r="A10859" i="1"/>
  <c r="P10859" i="1"/>
  <c r="A10860" i="1"/>
  <c r="P10860" i="1"/>
  <c r="A10861" i="1"/>
  <c r="P10861" i="1"/>
  <c r="A10862" i="1"/>
  <c r="P10862" i="1"/>
  <c r="A10863" i="1"/>
  <c r="P10863" i="1"/>
  <c r="A10864" i="1"/>
  <c r="P10864" i="1"/>
  <c r="A10865" i="1"/>
  <c r="P10865" i="1"/>
  <c r="A10866" i="1"/>
  <c r="P10866" i="1"/>
  <c r="A10867" i="1"/>
  <c r="P10867" i="1"/>
  <c r="A10868" i="1"/>
  <c r="P10868" i="1"/>
  <c r="A10869" i="1"/>
  <c r="P10869" i="1"/>
  <c r="A10870" i="1"/>
  <c r="P10870" i="1"/>
  <c r="A10871" i="1"/>
  <c r="P10871" i="1"/>
  <c r="A10872" i="1"/>
  <c r="P10872" i="1"/>
  <c r="A10873" i="1"/>
  <c r="P10873" i="1"/>
  <c r="A10874" i="1"/>
  <c r="P10874" i="1"/>
  <c r="A10875" i="1"/>
  <c r="P10875" i="1"/>
  <c r="A10876" i="1"/>
  <c r="P10876" i="1"/>
  <c r="A10877" i="1"/>
  <c r="P10877" i="1"/>
  <c r="A10878" i="1"/>
  <c r="P10878" i="1"/>
  <c r="A10879" i="1"/>
  <c r="P10879" i="1"/>
  <c r="A10880" i="1"/>
  <c r="P10880" i="1"/>
  <c r="A10881" i="1"/>
  <c r="P10881" i="1"/>
  <c r="A10882" i="1"/>
  <c r="P10882" i="1"/>
  <c r="A10883" i="1"/>
  <c r="P10883" i="1"/>
  <c r="A10884" i="1"/>
  <c r="P10884" i="1"/>
  <c r="A10885" i="1"/>
  <c r="P10885" i="1"/>
  <c r="A10886" i="1"/>
  <c r="P10886" i="1"/>
  <c r="A10887" i="1"/>
  <c r="P10887" i="1"/>
  <c r="A10888" i="1"/>
  <c r="P10888" i="1"/>
  <c r="A10889" i="1"/>
  <c r="P10889" i="1"/>
  <c r="A10890" i="1"/>
  <c r="P10890" i="1"/>
  <c r="A10891" i="1"/>
  <c r="P10891" i="1"/>
  <c r="A10892" i="1"/>
  <c r="P10892" i="1"/>
  <c r="A10893" i="1"/>
  <c r="P10893" i="1"/>
  <c r="A10894" i="1"/>
  <c r="P10894" i="1"/>
  <c r="A10895" i="1"/>
  <c r="P10895" i="1"/>
  <c r="A10896" i="1"/>
  <c r="P10896" i="1"/>
  <c r="A10897" i="1"/>
  <c r="P10897" i="1"/>
  <c r="A10898" i="1"/>
  <c r="P10898" i="1"/>
  <c r="A10899" i="1"/>
  <c r="P10899" i="1"/>
  <c r="A10900" i="1"/>
  <c r="P10900" i="1"/>
  <c r="A10901" i="1"/>
  <c r="P10901" i="1"/>
  <c r="A10902" i="1"/>
  <c r="P10902" i="1"/>
  <c r="A10903" i="1"/>
  <c r="P10903" i="1"/>
  <c r="A10904" i="1"/>
  <c r="P10904" i="1"/>
  <c r="A10905" i="1"/>
  <c r="P10905" i="1"/>
  <c r="A10906" i="1"/>
  <c r="P10906" i="1"/>
  <c r="A10907" i="1"/>
  <c r="P10907" i="1"/>
  <c r="A10908" i="1"/>
  <c r="P10908" i="1"/>
  <c r="A10909" i="1"/>
  <c r="P10909" i="1"/>
  <c r="A10910" i="1"/>
  <c r="P10910" i="1"/>
  <c r="A10911" i="1"/>
  <c r="P10911" i="1"/>
  <c r="A10912" i="1"/>
  <c r="P10912" i="1"/>
  <c r="A10913" i="1"/>
  <c r="P10913" i="1"/>
  <c r="A10914" i="1"/>
  <c r="P10914" i="1"/>
  <c r="A10915" i="1"/>
  <c r="P10915" i="1"/>
  <c r="A10916" i="1"/>
  <c r="P10916" i="1"/>
  <c r="A10917" i="1"/>
  <c r="P10917" i="1"/>
  <c r="A10918" i="1"/>
  <c r="P10918" i="1"/>
  <c r="A10919" i="1"/>
  <c r="P10919" i="1"/>
  <c r="A10920" i="1"/>
  <c r="P10920" i="1"/>
  <c r="A10921" i="1"/>
  <c r="P10921" i="1"/>
  <c r="A10922" i="1"/>
  <c r="P10922" i="1"/>
  <c r="A10923" i="1"/>
  <c r="P10923" i="1"/>
  <c r="A10924" i="1"/>
  <c r="P10924" i="1"/>
  <c r="A10925" i="1"/>
  <c r="P10925" i="1"/>
  <c r="A10926" i="1"/>
  <c r="P10926" i="1"/>
  <c r="A10927" i="1"/>
  <c r="P10927" i="1"/>
  <c r="A10928" i="1"/>
  <c r="P10928" i="1"/>
  <c r="A10929" i="1"/>
  <c r="P10929" i="1"/>
  <c r="A10930" i="1"/>
  <c r="P10930" i="1"/>
  <c r="A10931" i="1"/>
  <c r="P10931" i="1"/>
  <c r="A10932" i="1"/>
  <c r="P10932" i="1"/>
  <c r="A10933" i="1"/>
  <c r="P10933" i="1"/>
  <c r="A10934" i="1"/>
  <c r="P10934" i="1"/>
  <c r="A10935" i="1"/>
  <c r="P10935" i="1"/>
  <c r="A10936" i="1"/>
  <c r="P10936" i="1"/>
  <c r="A10937" i="1"/>
  <c r="P10937" i="1"/>
  <c r="A10938" i="1"/>
  <c r="P10938" i="1"/>
  <c r="A10939" i="1"/>
  <c r="P10939" i="1"/>
  <c r="A10940" i="1"/>
  <c r="P10940" i="1"/>
  <c r="A10941" i="1"/>
  <c r="P10941" i="1"/>
  <c r="A10942" i="1"/>
  <c r="P10942" i="1"/>
  <c r="A10943" i="1"/>
  <c r="P10943" i="1"/>
  <c r="A10944" i="1"/>
  <c r="P10944" i="1"/>
  <c r="A10945" i="1"/>
  <c r="P10945" i="1"/>
  <c r="A10946" i="1"/>
  <c r="P10946" i="1"/>
  <c r="A10947" i="1"/>
  <c r="P10947" i="1"/>
  <c r="A10948" i="1"/>
  <c r="P10948" i="1"/>
  <c r="A10949" i="1"/>
  <c r="P10949" i="1"/>
  <c r="A10950" i="1"/>
  <c r="P10950" i="1"/>
  <c r="A10951" i="1"/>
  <c r="P10951" i="1"/>
  <c r="A10952" i="1"/>
  <c r="P10952" i="1"/>
  <c r="A10953" i="1"/>
  <c r="P10953" i="1"/>
  <c r="A10954" i="1"/>
  <c r="P10954" i="1"/>
  <c r="A10955" i="1"/>
  <c r="P10955" i="1"/>
  <c r="A10956" i="1"/>
  <c r="P10956" i="1"/>
  <c r="A10957" i="1"/>
  <c r="P10957" i="1"/>
  <c r="A10958" i="1"/>
  <c r="P10958" i="1"/>
  <c r="A10959" i="1"/>
  <c r="P10959" i="1"/>
  <c r="A10960" i="1"/>
  <c r="P10960" i="1"/>
  <c r="A10961" i="1"/>
  <c r="P10961" i="1"/>
  <c r="A10962" i="1"/>
  <c r="P10962" i="1"/>
  <c r="A10963" i="1"/>
  <c r="P10963" i="1"/>
  <c r="A10964" i="1"/>
  <c r="P10964" i="1"/>
  <c r="A10965" i="1"/>
  <c r="P10965" i="1"/>
  <c r="A10966" i="1"/>
  <c r="P10966" i="1"/>
  <c r="A10967" i="1"/>
  <c r="P10967" i="1"/>
  <c r="A10968" i="1"/>
  <c r="P10968" i="1"/>
  <c r="A10969" i="1"/>
  <c r="P10969" i="1"/>
  <c r="A10970" i="1"/>
  <c r="P10970" i="1"/>
  <c r="A10971" i="1"/>
  <c r="P10971" i="1"/>
  <c r="A10972" i="1"/>
  <c r="P10972" i="1"/>
  <c r="A10973" i="1"/>
  <c r="P10973" i="1"/>
  <c r="A10974" i="1"/>
  <c r="P10974" i="1"/>
  <c r="A10975" i="1"/>
  <c r="P10975" i="1"/>
  <c r="A10976" i="1"/>
  <c r="P10976" i="1"/>
  <c r="A10977" i="1"/>
  <c r="P10977" i="1"/>
  <c r="A10978" i="1"/>
  <c r="P10978" i="1"/>
  <c r="A10979" i="1"/>
  <c r="P10979" i="1"/>
  <c r="A10980" i="1"/>
  <c r="P10980" i="1"/>
  <c r="A10981" i="1"/>
  <c r="P10981" i="1"/>
  <c r="A10982" i="1"/>
  <c r="P10982" i="1"/>
  <c r="A10983" i="1"/>
  <c r="P10983" i="1"/>
  <c r="A10984" i="1"/>
  <c r="P10984" i="1"/>
  <c r="A10985" i="1"/>
  <c r="P10985" i="1"/>
  <c r="A10986" i="1"/>
  <c r="P10986" i="1"/>
  <c r="A10987" i="1"/>
  <c r="P10987" i="1"/>
  <c r="A10988" i="1"/>
  <c r="P10988" i="1"/>
  <c r="A10989" i="1"/>
  <c r="P10989" i="1"/>
  <c r="A10990" i="1"/>
  <c r="P10990" i="1"/>
  <c r="A10991" i="1"/>
  <c r="P10991" i="1"/>
  <c r="A10992" i="1"/>
  <c r="P10992" i="1"/>
  <c r="A10993" i="1"/>
  <c r="P10993" i="1"/>
  <c r="A10994" i="1"/>
  <c r="P10994" i="1"/>
  <c r="A10995" i="1"/>
  <c r="P10995" i="1"/>
  <c r="A10996" i="1"/>
  <c r="P10996" i="1"/>
  <c r="A10997" i="1"/>
  <c r="P10997" i="1"/>
  <c r="A10998" i="1"/>
  <c r="P10998" i="1"/>
  <c r="A10999" i="1"/>
  <c r="P10999" i="1"/>
  <c r="A11000" i="1"/>
  <c r="P11000" i="1"/>
  <c r="A11001" i="1"/>
  <c r="P11001" i="1"/>
  <c r="A11002" i="1"/>
  <c r="P11002" i="1"/>
  <c r="A11003" i="1"/>
  <c r="P11003" i="1"/>
  <c r="A11004" i="1"/>
  <c r="P11004" i="1"/>
  <c r="A11005" i="1"/>
  <c r="P11005" i="1"/>
  <c r="A11006" i="1"/>
  <c r="P11006" i="1"/>
  <c r="A11007" i="1"/>
  <c r="P11007" i="1"/>
  <c r="A11008" i="1"/>
  <c r="P11008" i="1"/>
  <c r="A11009" i="1"/>
  <c r="P11009" i="1"/>
  <c r="A11010" i="1"/>
  <c r="P11010" i="1"/>
  <c r="A11011" i="1"/>
  <c r="P11011" i="1"/>
  <c r="A11012" i="1"/>
  <c r="P11012" i="1"/>
  <c r="A11013" i="1"/>
  <c r="P11013" i="1"/>
  <c r="A11014" i="1"/>
  <c r="P11014" i="1"/>
  <c r="A11015" i="1"/>
  <c r="P11015" i="1"/>
  <c r="A11016" i="1"/>
  <c r="P11016" i="1"/>
  <c r="A11017" i="1"/>
  <c r="P11017" i="1"/>
  <c r="A11018" i="1"/>
  <c r="P11018" i="1"/>
  <c r="A11019" i="1"/>
  <c r="P11019" i="1"/>
  <c r="A11020" i="1"/>
  <c r="P11020" i="1"/>
  <c r="A11021" i="1"/>
  <c r="P11021" i="1"/>
  <c r="A11022" i="1"/>
  <c r="P11022" i="1"/>
  <c r="A11023" i="1"/>
  <c r="P11023" i="1"/>
  <c r="A11024" i="1"/>
  <c r="P11024" i="1"/>
  <c r="A11025" i="1"/>
  <c r="P11025" i="1"/>
  <c r="A11026" i="1"/>
  <c r="P11026" i="1"/>
  <c r="A11027" i="1"/>
  <c r="P11027" i="1"/>
  <c r="A11028" i="1"/>
  <c r="P11028" i="1"/>
  <c r="A11029" i="1"/>
  <c r="P11029" i="1"/>
  <c r="A11030" i="1"/>
  <c r="P11030" i="1"/>
  <c r="A11031" i="1"/>
  <c r="P11031" i="1"/>
  <c r="A11032" i="1"/>
  <c r="P11032" i="1"/>
  <c r="A11033" i="1"/>
  <c r="P11033" i="1"/>
  <c r="A11034" i="1"/>
  <c r="P11034" i="1"/>
  <c r="A11035" i="1"/>
  <c r="P11035" i="1"/>
  <c r="A11036" i="1"/>
  <c r="P11036" i="1"/>
  <c r="A11037" i="1"/>
  <c r="P11037" i="1"/>
  <c r="A11038" i="1"/>
  <c r="P11038" i="1"/>
  <c r="A11039" i="1"/>
  <c r="P11039" i="1"/>
  <c r="A11040" i="1"/>
  <c r="P11040" i="1"/>
  <c r="A11041" i="1"/>
  <c r="P11041" i="1"/>
  <c r="A11042" i="1"/>
  <c r="P11042" i="1"/>
  <c r="A11043" i="1"/>
  <c r="P11043" i="1"/>
  <c r="A11044" i="1"/>
  <c r="P11044" i="1"/>
  <c r="A11045" i="1"/>
  <c r="P11045" i="1"/>
  <c r="A11046" i="1"/>
  <c r="P11046" i="1"/>
  <c r="A11047" i="1"/>
  <c r="P11047" i="1"/>
  <c r="A11048" i="1"/>
  <c r="P11048" i="1"/>
  <c r="A11049" i="1"/>
  <c r="P11049" i="1"/>
  <c r="A11050" i="1"/>
  <c r="P11050" i="1"/>
  <c r="A11051" i="1"/>
  <c r="P11051" i="1"/>
  <c r="A11052" i="1"/>
  <c r="P11052" i="1"/>
  <c r="A11053" i="1"/>
  <c r="P11053" i="1"/>
  <c r="A11054" i="1"/>
  <c r="P11054" i="1"/>
  <c r="A11055" i="1"/>
  <c r="P11055" i="1"/>
  <c r="A11056" i="1"/>
  <c r="P11056" i="1"/>
  <c r="A11057" i="1"/>
  <c r="P11057" i="1"/>
  <c r="A11058" i="1"/>
  <c r="P11058" i="1"/>
  <c r="A11059" i="1"/>
  <c r="P11059" i="1"/>
  <c r="A11060" i="1"/>
  <c r="P11060" i="1"/>
  <c r="A11061" i="1"/>
  <c r="P11061" i="1"/>
  <c r="A11062" i="1"/>
  <c r="P11062" i="1"/>
  <c r="A11063" i="1"/>
  <c r="P11063" i="1"/>
  <c r="A11064" i="1"/>
  <c r="P11064" i="1"/>
  <c r="A11065" i="1"/>
  <c r="P11065" i="1"/>
  <c r="A11066" i="1"/>
  <c r="P11066" i="1"/>
  <c r="A11067" i="1"/>
  <c r="P11067" i="1"/>
  <c r="A11068" i="1"/>
  <c r="P11068" i="1"/>
  <c r="A11069" i="1"/>
  <c r="P11069" i="1"/>
  <c r="A11070" i="1"/>
  <c r="P11070" i="1"/>
  <c r="A11071" i="1"/>
  <c r="P11071" i="1"/>
  <c r="A11072" i="1"/>
  <c r="P11072" i="1"/>
  <c r="A11073" i="1"/>
  <c r="P11073" i="1"/>
  <c r="A11074" i="1"/>
  <c r="P11074" i="1"/>
  <c r="A11075" i="1"/>
  <c r="P11075" i="1"/>
  <c r="A11076" i="1"/>
  <c r="P11076" i="1"/>
  <c r="A11077" i="1"/>
  <c r="P11077" i="1"/>
  <c r="A11078" i="1"/>
  <c r="P11078" i="1"/>
  <c r="A11079" i="1"/>
  <c r="P11079" i="1"/>
  <c r="A11080" i="1"/>
  <c r="P11080" i="1"/>
  <c r="A11081" i="1"/>
  <c r="P11081" i="1"/>
  <c r="A11082" i="1"/>
  <c r="P11082" i="1"/>
  <c r="A11083" i="1"/>
  <c r="P11083" i="1"/>
  <c r="A11084" i="1"/>
  <c r="P11084" i="1"/>
  <c r="A11085" i="1"/>
  <c r="P11085" i="1"/>
  <c r="A11086" i="1"/>
  <c r="P11086" i="1"/>
  <c r="A11087" i="1"/>
  <c r="P11087" i="1"/>
  <c r="A11088" i="1"/>
  <c r="P11088" i="1"/>
  <c r="A11089" i="1"/>
  <c r="P11089" i="1"/>
  <c r="A11090" i="1"/>
  <c r="P11090" i="1"/>
  <c r="A11091" i="1"/>
  <c r="P11091" i="1"/>
  <c r="A11092" i="1"/>
  <c r="P11092" i="1"/>
  <c r="A11093" i="1"/>
  <c r="P11093" i="1"/>
  <c r="A11094" i="1"/>
  <c r="P11094" i="1"/>
  <c r="A11095" i="1"/>
  <c r="P11095" i="1"/>
  <c r="A11096" i="1"/>
  <c r="P11096" i="1"/>
  <c r="A11097" i="1"/>
  <c r="P11097" i="1"/>
  <c r="A11098" i="1"/>
  <c r="P11098" i="1"/>
  <c r="A11099" i="1"/>
  <c r="P11099" i="1"/>
  <c r="A11100" i="1"/>
  <c r="P11100" i="1"/>
  <c r="A11101" i="1"/>
  <c r="P11101" i="1"/>
  <c r="A11102" i="1"/>
  <c r="P11102" i="1"/>
  <c r="A11103" i="1"/>
  <c r="P11103" i="1"/>
  <c r="A11104" i="1"/>
  <c r="P11104" i="1"/>
  <c r="A11105" i="1"/>
  <c r="P11105" i="1"/>
  <c r="A11106" i="1"/>
  <c r="P11106" i="1"/>
  <c r="A11107" i="1"/>
  <c r="P11107" i="1"/>
  <c r="A11108" i="1"/>
  <c r="P11108" i="1"/>
  <c r="A11109" i="1"/>
  <c r="P11109" i="1"/>
  <c r="A11110" i="1"/>
  <c r="P11110" i="1"/>
  <c r="A11111" i="1"/>
  <c r="P11111" i="1"/>
  <c r="A11112" i="1"/>
  <c r="P11112" i="1"/>
  <c r="A11113" i="1"/>
  <c r="P11113" i="1"/>
  <c r="A11114" i="1"/>
  <c r="P11114" i="1"/>
  <c r="A11115" i="1"/>
  <c r="P11115" i="1"/>
  <c r="A11116" i="1"/>
  <c r="P11116" i="1"/>
  <c r="A11117" i="1"/>
  <c r="P11117" i="1"/>
  <c r="A11118" i="1"/>
  <c r="P11118" i="1"/>
  <c r="A11119" i="1"/>
  <c r="P11119" i="1"/>
  <c r="A11120" i="1"/>
  <c r="P11120" i="1"/>
  <c r="A11121" i="1"/>
  <c r="P11121" i="1"/>
  <c r="A11122" i="1"/>
  <c r="P11122" i="1"/>
  <c r="A11123" i="1"/>
  <c r="P11123" i="1"/>
  <c r="A11124" i="1"/>
  <c r="P11124" i="1"/>
  <c r="A11125" i="1"/>
  <c r="P11125" i="1"/>
  <c r="A11126" i="1"/>
  <c r="P11126" i="1"/>
  <c r="A11127" i="1"/>
  <c r="P11127" i="1"/>
  <c r="A11128" i="1"/>
  <c r="P11128" i="1"/>
  <c r="A11129" i="1"/>
  <c r="P11129" i="1"/>
  <c r="A11130" i="1"/>
  <c r="P11130" i="1"/>
  <c r="A11131" i="1"/>
  <c r="P11131" i="1"/>
  <c r="A11132" i="1"/>
  <c r="P11132" i="1"/>
  <c r="A11133" i="1"/>
  <c r="P11133" i="1"/>
  <c r="A11134" i="1"/>
  <c r="P11134" i="1"/>
  <c r="A11135" i="1"/>
  <c r="P11135" i="1"/>
  <c r="A11136" i="1"/>
  <c r="P11136" i="1"/>
  <c r="A11137" i="1"/>
  <c r="P11137" i="1"/>
  <c r="A11138" i="1"/>
  <c r="P11138" i="1"/>
  <c r="A11139" i="1"/>
  <c r="P11139" i="1"/>
  <c r="A11140" i="1"/>
  <c r="P11140" i="1"/>
  <c r="A11141" i="1"/>
  <c r="P11141" i="1"/>
  <c r="A11142" i="1"/>
  <c r="P11142" i="1"/>
  <c r="A11143" i="1"/>
  <c r="P11143" i="1"/>
  <c r="A11144" i="1"/>
  <c r="P11144" i="1"/>
  <c r="A11145" i="1"/>
  <c r="P11145" i="1"/>
  <c r="A11146" i="1"/>
  <c r="P11146" i="1"/>
  <c r="A11147" i="1"/>
  <c r="P11147" i="1"/>
  <c r="A11148" i="1"/>
  <c r="P11148" i="1"/>
  <c r="A11149" i="1"/>
  <c r="P11149" i="1"/>
  <c r="A11150" i="1"/>
  <c r="P11150" i="1"/>
  <c r="A11151" i="1"/>
  <c r="P11151" i="1"/>
  <c r="A11152" i="1"/>
  <c r="P11152" i="1"/>
  <c r="A11153" i="1"/>
  <c r="P11153" i="1"/>
  <c r="A11154" i="1"/>
  <c r="P11154" i="1"/>
  <c r="A11155" i="1"/>
  <c r="P11155" i="1"/>
  <c r="A11156" i="1"/>
  <c r="P11156" i="1"/>
  <c r="A11157" i="1"/>
  <c r="P11157" i="1"/>
  <c r="A11158" i="1"/>
  <c r="P11158" i="1"/>
  <c r="A11159" i="1"/>
  <c r="P11159" i="1"/>
  <c r="A11160" i="1"/>
  <c r="P11160" i="1"/>
  <c r="A11161" i="1"/>
  <c r="P11161" i="1"/>
  <c r="A11162" i="1"/>
  <c r="P11162" i="1"/>
  <c r="A11163" i="1"/>
  <c r="P11163" i="1"/>
  <c r="A11164" i="1"/>
  <c r="P11164" i="1"/>
  <c r="A11165" i="1"/>
  <c r="P11165" i="1"/>
  <c r="A11166" i="1"/>
  <c r="P11166" i="1"/>
  <c r="A11167" i="1"/>
  <c r="P11167" i="1"/>
  <c r="A11168" i="1"/>
  <c r="P11168" i="1"/>
  <c r="A11169" i="1"/>
  <c r="P11169" i="1"/>
  <c r="A11170" i="1"/>
  <c r="P11170" i="1"/>
  <c r="A11171" i="1"/>
  <c r="P11171" i="1"/>
  <c r="A11172" i="1"/>
  <c r="P11172" i="1"/>
  <c r="A11173" i="1"/>
  <c r="P11173" i="1"/>
  <c r="A11174" i="1"/>
  <c r="P11174" i="1"/>
  <c r="A11175" i="1"/>
  <c r="P11175" i="1"/>
  <c r="A11176" i="1"/>
  <c r="P11176" i="1"/>
  <c r="A11177" i="1"/>
  <c r="P11177" i="1"/>
  <c r="A11178" i="1"/>
  <c r="P11178" i="1"/>
  <c r="A11179" i="1"/>
  <c r="P11179" i="1"/>
  <c r="A11180" i="1"/>
  <c r="P11180" i="1"/>
  <c r="A11181" i="1"/>
  <c r="P11181" i="1"/>
  <c r="A11182" i="1"/>
  <c r="P11182" i="1"/>
  <c r="A11183" i="1"/>
  <c r="P11183" i="1"/>
  <c r="A11184" i="1"/>
  <c r="P11184" i="1"/>
  <c r="A11185" i="1"/>
  <c r="P11185" i="1"/>
  <c r="A11186" i="1"/>
  <c r="P11186" i="1"/>
  <c r="A11187" i="1"/>
  <c r="P11187" i="1"/>
  <c r="A11188" i="1"/>
  <c r="P11188" i="1"/>
  <c r="A11189" i="1"/>
  <c r="P11189" i="1"/>
  <c r="A11190" i="1"/>
  <c r="P11190" i="1"/>
  <c r="A11191" i="1"/>
  <c r="P11191" i="1"/>
  <c r="A11192" i="1"/>
  <c r="P11192" i="1"/>
  <c r="A11193" i="1"/>
  <c r="P11193" i="1"/>
  <c r="A11194" i="1"/>
  <c r="P11194" i="1"/>
  <c r="A11195" i="1"/>
  <c r="P11195" i="1"/>
  <c r="A11196" i="1"/>
  <c r="P11196" i="1"/>
  <c r="A11197" i="1"/>
  <c r="P11197" i="1"/>
  <c r="A11198" i="1"/>
  <c r="P11198" i="1"/>
  <c r="A11199" i="1"/>
  <c r="P11199" i="1"/>
  <c r="A11200" i="1"/>
  <c r="P11200" i="1"/>
  <c r="A11201" i="1"/>
  <c r="P11201" i="1"/>
  <c r="A11202" i="1"/>
  <c r="P11202" i="1"/>
  <c r="A11203" i="1"/>
  <c r="P11203" i="1"/>
  <c r="A11204" i="1"/>
  <c r="P11204" i="1"/>
  <c r="A11205" i="1"/>
  <c r="P11205" i="1"/>
  <c r="A11206" i="1"/>
  <c r="P11206" i="1"/>
  <c r="A11207" i="1"/>
  <c r="P11207" i="1"/>
  <c r="A11208" i="1"/>
  <c r="P11208" i="1"/>
  <c r="A11209" i="1"/>
  <c r="P11209" i="1"/>
  <c r="A11210" i="1"/>
  <c r="P11210" i="1"/>
  <c r="A11211" i="1"/>
  <c r="P11211" i="1"/>
  <c r="A11212" i="1"/>
  <c r="P11212" i="1"/>
  <c r="A11213" i="1"/>
  <c r="P11213" i="1"/>
  <c r="A11214" i="1"/>
  <c r="P11214" i="1"/>
  <c r="A11215" i="1"/>
  <c r="P11215" i="1"/>
  <c r="A11216" i="1"/>
  <c r="P11216" i="1"/>
  <c r="A11217" i="1"/>
  <c r="P11217" i="1"/>
  <c r="A11218" i="1"/>
  <c r="P11218" i="1"/>
  <c r="A11219" i="1"/>
  <c r="P11219" i="1"/>
  <c r="A11220" i="1"/>
  <c r="P11220" i="1"/>
  <c r="A11221" i="1"/>
  <c r="P11221" i="1"/>
  <c r="A11222" i="1"/>
  <c r="P11222" i="1"/>
  <c r="A11223" i="1"/>
  <c r="P11223" i="1"/>
  <c r="A11224" i="1"/>
  <c r="P11224" i="1"/>
  <c r="A11225" i="1"/>
  <c r="P11225" i="1"/>
  <c r="A11226" i="1"/>
  <c r="P11226" i="1"/>
  <c r="A11227" i="1"/>
  <c r="P11227" i="1"/>
  <c r="A11228" i="1"/>
  <c r="P11228" i="1"/>
  <c r="A11229" i="1"/>
  <c r="P11229" i="1"/>
  <c r="A11230" i="1"/>
  <c r="P11230" i="1"/>
  <c r="A11231" i="1"/>
  <c r="P11231" i="1"/>
  <c r="A11232" i="1"/>
  <c r="P11232" i="1"/>
  <c r="A11233" i="1"/>
  <c r="P11233" i="1"/>
  <c r="A11234" i="1"/>
  <c r="P11234" i="1"/>
  <c r="A11235" i="1"/>
  <c r="P11235" i="1"/>
  <c r="A11236" i="1"/>
  <c r="P11236" i="1"/>
  <c r="A11237" i="1"/>
  <c r="P11237" i="1"/>
  <c r="A11238" i="1"/>
  <c r="P11238" i="1"/>
  <c r="A11239" i="1"/>
  <c r="P11239" i="1"/>
  <c r="A11240" i="1"/>
  <c r="P11240" i="1"/>
  <c r="A11241" i="1"/>
  <c r="P11241" i="1"/>
  <c r="A11242" i="1"/>
  <c r="P11242" i="1"/>
  <c r="A11243" i="1"/>
  <c r="P11243" i="1"/>
  <c r="A11244" i="1"/>
  <c r="P11244" i="1"/>
  <c r="A11245" i="1"/>
  <c r="P11245" i="1"/>
  <c r="A11246" i="1"/>
  <c r="P11246" i="1"/>
  <c r="A11247" i="1"/>
  <c r="P11247" i="1"/>
  <c r="A11248" i="1"/>
  <c r="P11248" i="1"/>
  <c r="A11249" i="1"/>
  <c r="P11249" i="1"/>
  <c r="A11250" i="1"/>
  <c r="P11250" i="1"/>
  <c r="A11251" i="1"/>
  <c r="P11251" i="1"/>
  <c r="A11252" i="1"/>
  <c r="P11252" i="1"/>
  <c r="A11253" i="1"/>
  <c r="P11253" i="1"/>
  <c r="A11254" i="1"/>
  <c r="P11254" i="1"/>
  <c r="A11255" i="1"/>
  <c r="P11255" i="1"/>
  <c r="A11256" i="1"/>
  <c r="P11256" i="1"/>
  <c r="A11257" i="1"/>
  <c r="P11257" i="1"/>
  <c r="A11258" i="1"/>
  <c r="P11258" i="1"/>
  <c r="A11259" i="1"/>
  <c r="P11259" i="1"/>
  <c r="A11260" i="1"/>
  <c r="P11260" i="1"/>
  <c r="A11261" i="1"/>
  <c r="P11261" i="1"/>
  <c r="A11262" i="1"/>
  <c r="P11262" i="1"/>
  <c r="A11263" i="1"/>
  <c r="P11263" i="1"/>
  <c r="A11264" i="1"/>
  <c r="P11264" i="1"/>
  <c r="A11265" i="1"/>
  <c r="P11265" i="1"/>
  <c r="A11266" i="1"/>
  <c r="P11266" i="1"/>
  <c r="A11267" i="1"/>
  <c r="P11267" i="1"/>
  <c r="A11268" i="1"/>
  <c r="P11268" i="1"/>
  <c r="A11269" i="1"/>
  <c r="P11269" i="1"/>
  <c r="A11270" i="1"/>
  <c r="P11270" i="1"/>
  <c r="A11271" i="1"/>
  <c r="P11271" i="1"/>
  <c r="A11272" i="1"/>
  <c r="P11272" i="1"/>
  <c r="A11273" i="1"/>
  <c r="P11273" i="1"/>
  <c r="A11274" i="1"/>
  <c r="P11274" i="1"/>
  <c r="A11275" i="1"/>
  <c r="P11275" i="1"/>
  <c r="A11276" i="1"/>
  <c r="P11276" i="1"/>
  <c r="A11277" i="1"/>
  <c r="P11277" i="1"/>
  <c r="A11278" i="1"/>
  <c r="P11278" i="1"/>
  <c r="A11279" i="1"/>
  <c r="P11279" i="1"/>
  <c r="A11280" i="1"/>
  <c r="P11280" i="1"/>
  <c r="A11281" i="1"/>
  <c r="P11281" i="1"/>
  <c r="A11282" i="1"/>
  <c r="P11282" i="1"/>
  <c r="A11283" i="1"/>
  <c r="P11283" i="1"/>
  <c r="A11284" i="1"/>
  <c r="P11284" i="1"/>
  <c r="A11285" i="1"/>
  <c r="P11285" i="1"/>
  <c r="A11286" i="1"/>
  <c r="P11286" i="1"/>
  <c r="A11287" i="1"/>
  <c r="P11287" i="1"/>
  <c r="A11288" i="1"/>
  <c r="P11288" i="1"/>
  <c r="A11289" i="1"/>
  <c r="P11289" i="1"/>
  <c r="A11290" i="1"/>
  <c r="P11290" i="1"/>
  <c r="A11291" i="1"/>
  <c r="P11291" i="1"/>
  <c r="A11292" i="1"/>
  <c r="P11292" i="1"/>
  <c r="A11293" i="1"/>
  <c r="P11293" i="1"/>
  <c r="A11294" i="1"/>
  <c r="P11294" i="1"/>
  <c r="A11295" i="1"/>
  <c r="P11295" i="1"/>
  <c r="A11296" i="1"/>
  <c r="P11296" i="1"/>
  <c r="A11297" i="1"/>
  <c r="P11297" i="1"/>
  <c r="A11298" i="1"/>
  <c r="P11298" i="1"/>
  <c r="A11299" i="1"/>
  <c r="P11299" i="1"/>
  <c r="A11300" i="1"/>
  <c r="P11300" i="1"/>
  <c r="A11301" i="1"/>
  <c r="P11301" i="1"/>
  <c r="A11302" i="1"/>
  <c r="P11302" i="1"/>
  <c r="A11303" i="1"/>
  <c r="P11303" i="1"/>
  <c r="A11304" i="1"/>
  <c r="P11304" i="1"/>
  <c r="A11305" i="1"/>
  <c r="P11305" i="1"/>
  <c r="A11306" i="1"/>
  <c r="P11306" i="1"/>
  <c r="A11307" i="1"/>
  <c r="P11307" i="1"/>
  <c r="A11308" i="1"/>
  <c r="P11308" i="1"/>
  <c r="A11309" i="1"/>
  <c r="P11309" i="1"/>
  <c r="A11310" i="1"/>
  <c r="P11310" i="1"/>
  <c r="A11311" i="1"/>
  <c r="P11311" i="1"/>
  <c r="A11312" i="1"/>
  <c r="P11312" i="1"/>
  <c r="A11313" i="1"/>
  <c r="P11313" i="1"/>
  <c r="A11314" i="1"/>
  <c r="P11314" i="1"/>
  <c r="A11315" i="1"/>
  <c r="P11315" i="1"/>
  <c r="A11316" i="1"/>
  <c r="P11316" i="1"/>
  <c r="A11317" i="1"/>
  <c r="P11317" i="1"/>
  <c r="A11318" i="1"/>
  <c r="P11318" i="1"/>
  <c r="A11319" i="1"/>
  <c r="P11319" i="1"/>
  <c r="A11320" i="1"/>
  <c r="P11320" i="1"/>
  <c r="A11321" i="1"/>
  <c r="P11321" i="1"/>
  <c r="A11322" i="1"/>
  <c r="P11322" i="1"/>
  <c r="A11323" i="1"/>
  <c r="P11323" i="1"/>
  <c r="A11324" i="1"/>
  <c r="P11324" i="1"/>
  <c r="A11325" i="1"/>
  <c r="P11325" i="1"/>
  <c r="A11326" i="1"/>
  <c r="P11326" i="1"/>
  <c r="A11327" i="1"/>
  <c r="P11327" i="1"/>
  <c r="A11328" i="1"/>
  <c r="P11328" i="1"/>
  <c r="A11329" i="1"/>
  <c r="P11329" i="1"/>
  <c r="A11330" i="1"/>
  <c r="P11330" i="1"/>
  <c r="A11331" i="1"/>
  <c r="P11331" i="1"/>
  <c r="A11332" i="1"/>
  <c r="P11332" i="1"/>
  <c r="A11333" i="1"/>
  <c r="P11333" i="1"/>
  <c r="A11334" i="1"/>
  <c r="P11334" i="1"/>
  <c r="A11335" i="1"/>
  <c r="P11335" i="1"/>
  <c r="A11336" i="1"/>
  <c r="P11336" i="1"/>
  <c r="A11337" i="1"/>
  <c r="P11337" i="1"/>
  <c r="A11338" i="1"/>
  <c r="P11338" i="1"/>
  <c r="A11339" i="1"/>
  <c r="P11339" i="1"/>
  <c r="A11340" i="1"/>
  <c r="P11340" i="1"/>
  <c r="A11341" i="1"/>
  <c r="P11341" i="1"/>
  <c r="A11342" i="1"/>
  <c r="P11342" i="1"/>
  <c r="A11343" i="1"/>
  <c r="P11343" i="1"/>
  <c r="A11344" i="1"/>
  <c r="P11344" i="1"/>
  <c r="A11345" i="1"/>
  <c r="P11345" i="1"/>
  <c r="A11346" i="1"/>
  <c r="P11346" i="1"/>
  <c r="A11347" i="1"/>
  <c r="P11347" i="1"/>
  <c r="A11348" i="1"/>
  <c r="P11348" i="1"/>
  <c r="A11349" i="1"/>
  <c r="P11349" i="1"/>
  <c r="A11350" i="1"/>
  <c r="P11350" i="1"/>
  <c r="A11351" i="1"/>
  <c r="P11351" i="1"/>
  <c r="A11352" i="1"/>
  <c r="P11352" i="1"/>
  <c r="A11353" i="1"/>
  <c r="P11353" i="1"/>
  <c r="A11354" i="1"/>
  <c r="P11354" i="1"/>
  <c r="A11355" i="1"/>
  <c r="P11355" i="1"/>
  <c r="A11356" i="1"/>
  <c r="P11356" i="1"/>
  <c r="A11357" i="1"/>
  <c r="P11357" i="1"/>
  <c r="A11358" i="1"/>
  <c r="P11358" i="1"/>
  <c r="A11359" i="1"/>
  <c r="P11359" i="1"/>
  <c r="A11360" i="1"/>
  <c r="P11360" i="1"/>
  <c r="A11361" i="1"/>
  <c r="P11361" i="1"/>
  <c r="A11362" i="1"/>
  <c r="P11362" i="1"/>
  <c r="A11363" i="1"/>
  <c r="P11363" i="1"/>
  <c r="A11364" i="1"/>
  <c r="P11364" i="1"/>
  <c r="A11365" i="1"/>
  <c r="P11365" i="1"/>
  <c r="A11366" i="1"/>
  <c r="P11366" i="1"/>
  <c r="A11367" i="1"/>
  <c r="P11367" i="1"/>
  <c r="A11368" i="1"/>
  <c r="P11368" i="1"/>
  <c r="A11369" i="1"/>
  <c r="P11369" i="1"/>
  <c r="A11370" i="1"/>
  <c r="P11370" i="1"/>
  <c r="A11371" i="1"/>
  <c r="P11371" i="1"/>
  <c r="A11372" i="1"/>
  <c r="P11372" i="1"/>
  <c r="A11373" i="1"/>
  <c r="P11373" i="1"/>
  <c r="A11374" i="1"/>
  <c r="P11374" i="1"/>
  <c r="A11375" i="1"/>
  <c r="P11375" i="1"/>
  <c r="A11376" i="1"/>
  <c r="P11376" i="1"/>
  <c r="A11377" i="1"/>
  <c r="P11377" i="1"/>
  <c r="A11378" i="1"/>
  <c r="P11378" i="1"/>
  <c r="A11379" i="1"/>
  <c r="P11379" i="1"/>
  <c r="A11380" i="1"/>
  <c r="P11380" i="1"/>
  <c r="A11381" i="1"/>
  <c r="P11381" i="1"/>
  <c r="A11382" i="1"/>
  <c r="P11382" i="1"/>
  <c r="A11383" i="1"/>
  <c r="P11383" i="1"/>
  <c r="A11384" i="1"/>
  <c r="P11384" i="1"/>
  <c r="A11385" i="1"/>
  <c r="P11385" i="1"/>
  <c r="A11386" i="1"/>
  <c r="P11386" i="1"/>
  <c r="A11387" i="1"/>
  <c r="P11387" i="1"/>
  <c r="A11388" i="1"/>
  <c r="P11388" i="1"/>
  <c r="A11389" i="1"/>
  <c r="P11389" i="1"/>
  <c r="A11390" i="1"/>
  <c r="P11390" i="1"/>
  <c r="A11391" i="1"/>
  <c r="P11391" i="1"/>
  <c r="A11392" i="1"/>
  <c r="P11392" i="1"/>
  <c r="A11393" i="1"/>
  <c r="P11393" i="1"/>
  <c r="A11394" i="1"/>
  <c r="P11394" i="1"/>
  <c r="A11395" i="1"/>
  <c r="P11395" i="1"/>
  <c r="A11396" i="1"/>
  <c r="P11396" i="1"/>
  <c r="A11397" i="1"/>
  <c r="P11397" i="1"/>
  <c r="A11398" i="1"/>
  <c r="P11398" i="1"/>
  <c r="A11399" i="1"/>
  <c r="P11399" i="1"/>
  <c r="A11400" i="1"/>
  <c r="P11400" i="1"/>
  <c r="A11401" i="1"/>
  <c r="P11401" i="1"/>
  <c r="A11402" i="1"/>
  <c r="P11402" i="1"/>
  <c r="A11403" i="1"/>
  <c r="P11403" i="1"/>
  <c r="A11404" i="1"/>
  <c r="P11404" i="1"/>
  <c r="A11405" i="1"/>
  <c r="P11405" i="1"/>
  <c r="A11406" i="1"/>
  <c r="P11406" i="1"/>
  <c r="A11407" i="1"/>
  <c r="P11407" i="1"/>
  <c r="A11408" i="1"/>
  <c r="P11408" i="1"/>
  <c r="A11409" i="1"/>
  <c r="P11409" i="1"/>
  <c r="A11410" i="1"/>
  <c r="P11410" i="1"/>
  <c r="A11411" i="1"/>
  <c r="P11411" i="1"/>
  <c r="A11412" i="1"/>
  <c r="P11412" i="1"/>
  <c r="A11413" i="1"/>
  <c r="P11413" i="1"/>
  <c r="A11414" i="1"/>
  <c r="P11414" i="1"/>
  <c r="A11415" i="1"/>
  <c r="P11415" i="1"/>
  <c r="A11416" i="1"/>
  <c r="P11416" i="1"/>
  <c r="A11417" i="1"/>
  <c r="P11417" i="1"/>
  <c r="A11418" i="1"/>
  <c r="P11418" i="1"/>
  <c r="A11419" i="1"/>
  <c r="P11419" i="1"/>
  <c r="A11420" i="1"/>
  <c r="P11420" i="1"/>
  <c r="A11421" i="1"/>
  <c r="P11421" i="1"/>
  <c r="A11422" i="1"/>
  <c r="P11422" i="1"/>
  <c r="A11423" i="1"/>
  <c r="P11423" i="1"/>
  <c r="A11424" i="1"/>
  <c r="P11424" i="1"/>
  <c r="A11425" i="1"/>
  <c r="P11425" i="1"/>
  <c r="A11426" i="1"/>
  <c r="P11426" i="1"/>
  <c r="A11427" i="1"/>
  <c r="P11427" i="1"/>
  <c r="A11428" i="1"/>
  <c r="P11428" i="1"/>
  <c r="A11429" i="1"/>
  <c r="P11429" i="1"/>
  <c r="A11430" i="1"/>
  <c r="P11430" i="1"/>
  <c r="A11431" i="1"/>
  <c r="P11431" i="1"/>
  <c r="A11432" i="1"/>
  <c r="P11432" i="1"/>
  <c r="A11433" i="1"/>
  <c r="P11433" i="1"/>
  <c r="A11434" i="1"/>
  <c r="P11434" i="1"/>
  <c r="A11435" i="1"/>
  <c r="P11435" i="1"/>
  <c r="A11436" i="1"/>
  <c r="P11436" i="1"/>
  <c r="A11437" i="1"/>
  <c r="P11437" i="1"/>
  <c r="A11438" i="1"/>
  <c r="P11438" i="1"/>
  <c r="A11439" i="1"/>
  <c r="P11439" i="1"/>
  <c r="A11440" i="1"/>
  <c r="P11440" i="1"/>
  <c r="A11441" i="1"/>
  <c r="P11441" i="1"/>
  <c r="A11442" i="1"/>
  <c r="P11442" i="1"/>
  <c r="A11443" i="1"/>
  <c r="P11443" i="1"/>
  <c r="A11444" i="1"/>
  <c r="P11444" i="1"/>
  <c r="A11445" i="1"/>
  <c r="P11445" i="1"/>
  <c r="A11446" i="1"/>
  <c r="P11446" i="1"/>
  <c r="A11447" i="1"/>
  <c r="P11447" i="1"/>
  <c r="A11448" i="1"/>
  <c r="P11448" i="1"/>
  <c r="A11449" i="1"/>
  <c r="P11449" i="1"/>
  <c r="A11450" i="1"/>
  <c r="P11450" i="1"/>
  <c r="A11451" i="1"/>
  <c r="P11451" i="1"/>
  <c r="A11452" i="1"/>
  <c r="P11452" i="1"/>
  <c r="A11453" i="1"/>
  <c r="P11453" i="1"/>
  <c r="A11454" i="1"/>
  <c r="P11454" i="1"/>
  <c r="A11455" i="1"/>
  <c r="P11455" i="1"/>
  <c r="A11456" i="1"/>
  <c r="P11456" i="1"/>
  <c r="A11457" i="1"/>
  <c r="P11457" i="1"/>
  <c r="A11458" i="1"/>
  <c r="P11458" i="1"/>
  <c r="A11459" i="1"/>
  <c r="P11459" i="1"/>
  <c r="A11460" i="1"/>
  <c r="P11460" i="1"/>
  <c r="A11461" i="1"/>
  <c r="P11461" i="1"/>
  <c r="A11462" i="1"/>
  <c r="P11462" i="1"/>
  <c r="A11463" i="1"/>
  <c r="P11463" i="1"/>
  <c r="A11464" i="1"/>
  <c r="P11464" i="1"/>
  <c r="A11465" i="1"/>
  <c r="P11465" i="1"/>
  <c r="A11466" i="1"/>
  <c r="P11466" i="1"/>
  <c r="A11467" i="1"/>
  <c r="P11467" i="1"/>
  <c r="A11468" i="1"/>
  <c r="P11468" i="1"/>
  <c r="A11469" i="1"/>
  <c r="P11469" i="1"/>
  <c r="A11470" i="1"/>
  <c r="P11470" i="1"/>
  <c r="A11471" i="1"/>
  <c r="P11471" i="1"/>
  <c r="A11472" i="1"/>
  <c r="P11472" i="1"/>
  <c r="A11473" i="1"/>
  <c r="P11473" i="1"/>
  <c r="A11474" i="1"/>
  <c r="P11474" i="1"/>
  <c r="A11475" i="1"/>
  <c r="P11475" i="1"/>
  <c r="A11476" i="1"/>
  <c r="P11476" i="1"/>
  <c r="A11477" i="1"/>
  <c r="P11477" i="1"/>
  <c r="A11478" i="1"/>
  <c r="P11478" i="1"/>
  <c r="A11479" i="1"/>
  <c r="P11479" i="1"/>
  <c r="A11480" i="1"/>
  <c r="P11480" i="1"/>
  <c r="A11481" i="1"/>
  <c r="P11481" i="1"/>
  <c r="A11482" i="1"/>
  <c r="P11482" i="1"/>
  <c r="A11483" i="1"/>
  <c r="P11483" i="1"/>
  <c r="A11484" i="1"/>
  <c r="P11484" i="1"/>
  <c r="A11485" i="1"/>
  <c r="P11485" i="1"/>
  <c r="A11486" i="1"/>
  <c r="P11486" i="1"/>
  <c r="A11487" i="1"/>
  <c r="P11487" i="1"/>
  <c r="A11488" i="1"/>
  <c r="P11488" i="1"/>
  <c r="A11489" i="1"/>
  <c r="P11489" i="1"/>
  <c r="A11490" i="1"/>
  <c r="P11490" i="1"/>
  <c r="A11491" i="1"/>
  <c r="P11491" i="1"/>
  <c r="A11492" i="1"/>
  <c r="P11492" i="1"/>
  <c r="A11493" i="1"/>
  <c r="P11493" i="1"/>
  <c r="A11494" i="1"/>
  <c r="P11494" i="1"/>
  <c r="A11495" i="1"/>
  <c r="P11495" i="1"/>
  <c r="A11496" i="1"/>
  <c r="P11496" i="1"/>
  <c r="A11497" i="1"/>
  <c r="P11497" i="1"/>
  <c r="A11498" i="1"/>
  <c r="P11498" i="1"/>
  <c r="A11499" i="1"/>
  <c r="P11499" i="1"/>
  <c r="A11500" i="1"/>
  <c r="P11500" i="1"/>
  <c r="A11501" i="1"/>
  <c r="P11501" i="1"/>
  <c r="A11502" i="1"/>
  <c r="P11502" i="1"/>
  <c r="A11503" i="1"/>
  <c r="P11503" i="1"/>
  <c r="A11504" i="1"/>
  <c r="P11504" i="1"/>
  <c r="A11505" i="1"/>
  <c r="P11505" i="1"/>
  <c r="A11506" i="1"/>
  <c r="P11506" i="1"/>
  <c r="A11507" i="1"/>
  <c r="P11507" i="1"/>
  <c r="A11508" i="1"/>
  <c r="P11508" i="1"/>
  <c r="A11509" i="1"/>
  <c r="P11509" i="1"/>
  <c r="A11510" i="1"/>
  <c r="P11510" i="1"/>
  <c r="A11511" i="1"/>
  <c r="P11511" i="1"/>
  <c r="A11512" i="1"/>
  <c r="P11512" i="1"/>
  <c r="A11513" i="1"/>
  <c r="P11513" i="1"/>
  <c r="A11514" i="1"/>
  <c r="P11514" i="1"/>
  <c r="A11515" i="1"/>
  <c r="P11515" i="1"/>
  <c r="A11516" i="1"/>
  <c r="P11516" i="1"/>
  <c r="A11517" i="1"/>
  <c r="P11517" i="1"/>
  <c r="A11518" i="1"/>
  <c r="P11518" i="1"/>
  <c r="A11519" i="1"/>
  <c r="P11519" i="1"/>
  <c r="A11520" i="1"/>
  <c r="P11520" i="1"/>
  <c r="A11521" i="1"/>
  <c r="P11521" i="1"/>
  <c r="A11522" i="1"/>
  <c r="P11522" i="1"/>
  <c r="A11523" i="1"/>
  <c r="P11523" i="1"/>
  <c r="A11524" i="1"/>
  <c r="P11524" i="1"/>
  <c r="A11525" i="1"/>
  <c r="P11525" i="1"/>
  <c r="A11526" i="1"/>
  <c r="P11526" i="1"/>
  <c r="A11527" i="1"/>
  <c r="P11527" i="1"/>
  <c r="A11528" i="1"/>
  <c r="P11528" i="1"/>
  <c r="A11529" i="1"/>
  <c r="P11529" i="1"/>
  <c r="A11530" i="1"/>
  <c r="P11530" i="1"/>
  <c r="A11531" i="1"/>
  <c r="P11531" i="1"/>
  <c r="A11532" i="1"/>
  <c r="P11532" i="1"/>
  <c r="A11533" i="1"/>
  <c r="P11533" i="1"/>
  <c r="A11534" i="1"/>
  <c r="P11534" i="1"/>
  <c r="A11535" i="1"/>
  <c r="P11535" i="1"/>
  <c r="A11536" i="1"/>
  <c r="P11536" i="1"/>
  <c r="A11537" i="1"/>
  <c r="P11537" i="1"/>
  <c r="A11538" i="1"/>
  <c r="P11538" i="1"/>
  <c r="A11539" i="1"/>
  <c r="P11539" i="1"/>
  <c r="A11540" i="1"/>
  <c r="P11540" i="1"/>
  <c r="A11541" i="1"/>
  <c r="P11541" i="1"/>
  <c r="A11542" i="1"/>
  <c r="P11542" i="1"/>
  <c r="A11543" i="1"/>
  <c r="P11543" i="1"/>
  <c r="A11544" i="1"/>
  <c r="P11544" i="1"/>
  <c r="A11545" i="1"/>
  <c r="P11545" i="1"/>
  <c r="A11546" i="1"/>
  <c r="P11546" i="1"/>
  <c r="A11547" i="1"/>
  <c r="P11547" i="1"/>
  <c r="A11548" i="1"/>
  <c r="P11548" i="1"/>
  <c r="A11549" i="1"/>
  <c r="P11549" i="1"/>
  <c r="A11550" i="1"/>
  <c r="P11550" i="1"/>
  <c r="A11551" i="1"/>
  <c r="P11551" i="1"/>
  <c r="A11552" i="1"/>
  <c r="P11552" i="1"/>
  <c r="A11553" i="1"/>
  <c r="P11553" i="1"/>
  <c r="A11554" i="1"/>
  <c r="P11554" i="1"/>
  <c r="A11555" i="1"/>
  <c r="P11555" i="1"/>
  <c r="A11556" i="1"/>
  <c r="P11556" i="1"/>
  <c r="A11557" i="1"/>
  <c r="P11557" i="1"/>
  <c r="A11558" i="1"/>
  <c r="P11558" i="1"/>
  <c r="A11559" i="1"/>
  <c r="P11559" i="1"/>
  <c r="A11560" i="1"/>
  <c r="P11560" i="1"/>
  <c r="A11561" i="1"/>
  <c r="P11561" i="1"/>
  <c r="A11562" i="1"/>
  <c r="P11562" i="1"/>
  <c r="A11563" i="1"/>
  <c r="P11563" i="1"/>
  <c r="A11564" i="1"/>
  <c r="P11564" i="1"/>
  <c r="A11565" i="1"/>
  <c r="P11565" i="1"/>
  <c r="A11566" i="1"/>
  <c r="P11566" i="1"/>
  <c r="A11567" i="1"/>
  <c r="P11567" i="1"/>
  <c r="A11568" i="1"/>
  <c r="P11568" i="1"/>
  <c r="A11569" i="1"/>
  <c r="P11569" i="1"/>
  <c r="A11570" i="1"/>
  <c r="P11570" i="1"/>
  <c r="A11571" i="1"/>
  <c r="P11571" i="1"/>
  <c r="A11572" i="1"/>
  <c r="P11572" i="1"/>
  <c r="A11573" i="1"/>
  <c r="P11573" i="1"/>
  <c r="A11574" i="1"/>
  <c r="P11574" i="1"/>
  <c r="A11575" i="1"/>
  <c r="P11575" i="1"/>
  <c r="A11576" i="1"/>
  <c r="P11576" i="1"/>
  <c r="A11577" i="1"/>
  <c r="P11577" i="1"/>
  <c r="A11578" i="1"/>
  <c r="P11578" i="1"/>
  <c r="A11579" i="1"/>
  <c r="P11579" i="1"/>
  <c r="A11580" i="1"/>
  <c r="P11580" i="1"/>
  <c r="A11581" i="1"/>
  <c r="P11581" i="1"/>
  <c r="A11582" i="1"/>
  <c r="P11582" i="1"/>
  <c r="A11583" i="1"/>
  <c r="P11583" i="1"/>
  <c r="A11584" i="1"/>
  <c r="P11584" i="1"/>
  <c r="A11585" i="1"/>
  <c r="P11585" i="1"/>
  <c r="A11586" i="1"/>
  <c r="P11586" i="1"/>
  <c r="A11587" i="1"/>
  <c r="P11587" i="1"/>
  <c r="A11588" i="1"/>
  <c r="P11588" i="1"/>
  <c r="A11589" i="1"/>
  <c r="P11589" i="1"/>
  <c r="A11590" i="1"/>
  <c r="P11590" i="1"/>
  <c r="A11591" i="1"/>
  <c r="P11591" i="1"/>
  <c r="A11592" i="1"/>
  <c r="P11592" i="1"/>
  <c r="A11593" i="1"/>
  <c r="P11593" i="1"/>
  <c r="A11594" i="1"/>
  <c r="P11594" i="1"/>
  <c r="A11595" i="1"/>
  <c r="P11595" i="1"/>
  <c r="A11596" i="1"/>
  <c r="P11596" i="1"/>
  <c r="A11597" i="1"/>
  <c r="P11597" i="1"/>
  <c r="A11598" i="1"/>
  <c r="P11598" i="1"/>
  <c r="A11599" i="1"/>
  <c r="P11599" i="1"/>
  <c r="A11600" i="1"/>
  <c r="P11600" i="1"/>
  <c r="A11601" i="1"/>
  <c r="P11601" i="1"/>
  <c r="A11602" i="1"/>
  <c r="P11602" i="1"/>
  <c r="A11603" i="1"/>
  <c r="P11603" i="1"/>
  <c r="A11604" i="1"/>
  <c r="P11604" i="1"/>
  <c r="A11605" i="1"/>
  <c r="P11605" i="1"/>
  <c r="A11606" i="1"/>
  <c r="P11606" i="1"/>
  <c r="A11607" i="1"/>
  <c r="P11607" i="1"/>
  <c r="A11608" i="1"/>
  <c r="P11608" i="1"/>
  <c r="A11609" i="1"/>
  <c r="P11609" i="1"/>
  <c r="A11610" i="1"/>
  <c r="P11610" i="1"/>
  <c r="A11611" i="1"/>
  <c r="P11611" i="1"/>
  <c r="A11612" i="1"/>
  <c r="P11612" i="1"/>
  <c r="A11613" i="1"/>
  <c r="P11613" i="1"/>
  <c r="A11614" i="1"/>
  <c r="P11614" i="1"/>
  <c r="A11615" i="1"/>
  <c r="P11615" i="1"/>
  <c r="A11616" i="1"/>
  <c r="P11616" i="1"/>
  <c r="A11617" i="1"/>
  <c r="P11617" i="1"/>
  <c r="A11618" i="1"/>
  <c r="P11618" i="1"/>
  <c r="A11619" i="1"/>
  <c r="P11619" i="1"/>
  <c r="A11620" i="1"/>
  <c r="P11620" i="1"/>
  <c r="A11621" i="1"/>
  <c r="P11621" i="1"/>
  <c r="A11622" i="1"/>
  <c r="P11622" i="1"/>
  <c r="A11623" i="1"/>
  <c r="P11623" i="1"/>
  <c r="A11624" i="1"/>
  <c r="P11624" i="1"/>
  <c r="A11625" i="1"/>
  <c r="P11625" i="1"/>
  <c r="A11626" i="1"/>
  <c r="P11626" i="1"/>
  <c r="A11627" i="1"/>
  <c r="P11627" i="1"/>
  <c r="A11628" i="1"/>
  <c r="P11628" i="1"/>
  <c r="A11629" i="1"/>
  <c r="P11629" i="1"/>
  <c r="A11630" i="1"/>
  <c r="P11630" i="1"/>
  <c r="A11631" i="1"/>
  <c r="P11631" i="1"/>
  <c r="A11632" i="1"/>
  <c r="P11632" i="1"/>
  <c r="A11633" i="1"/>
  <c r="P11633" i="1"/>
  <c r="A11634" i="1"/>
  <c r="P11634" i="1"/>
  <c r="A11635" i="1"/>
  <c r="P11635" i="1"/>
  <c r="A11636" i="1"/>
  <c r="P11636" i="1"/>
  <c r="A11637" i="1"/>
  <c r="P11637" i="1"/>
  <c r="A11638" i="1"/>
  <c r="P11638" i="1"/>
  <c r="A11639" i="1"/>
  <c r="P11639" i="1"/>
  <c r="A11640" i="1"/>
  <c r="P11640" i="1"/>
  <c r="A11641" i="1"/>
  <c r="P11641" i="1"/>
  <c r="A11642" i="1"/>
  <c r="P11642" i="1"/>
  <c r="A11643" i="1"/>
  <c r="P11643" i="1"/>
  <c r="A11644" i="1"/>
  <c r="P11644" i="1"/>
  <c r="A11645" i="1"/>
  <c r="P11645" i="1"/>
  <c r="A11646" i="1"/>
  <c r="P11646" i="1"/>
  <c r="A11647" i="1"/>
  <c r="P11647" i="1"/>
  <c r="A11648" i="1"/>
  <c r="P11648" i="1"/>
  <c r="A11649" i="1"/>
  <c r="P11649" i="1"/>
  <c r="A11650" i="1"/>
  <c r="P11650" i="1"/>
  <c r="A11651" i="1"/>
  <c r="P11651" i="1"/>
  <c r="A11652" i="1"/>
  <c r="P11652" i="1"/>
  <c r="A11653" i="1"/>
  <c r="P11653" i="1"/>
  <c r="A11654" i="1"/>
  <c r="P11654" i="1"/>
  <c r="A11655" i="1"/>
  <c r="P11655" i="1"/>
  <c r="A11656" i="1"/>
  <c r="P11656" i="1"/>
  <c r="A11657" i="1"/>
  <c r="P11657" i="1"/>
  <c r="A11658" i="1"/>
  <c r="P11658" i="1"/>
  <c r="A11659" i="1"/>
  <c r="P11659" i="1"/>
  <c r="A11660" i="1"/>
  <c r="P11660" i="1"/>
  <c r="A11661" i="1"/>
  <c r="P11661" i="1"/>
  <c r="A11662" i="1"/>
  <c r="P11662" i="1"/>
  <c r="A11663" i="1"/>
  <c r="P11663" i="1"/>
  <c r="A11664" i="1"/>
  <c r="P11664" i="1"/>
  <c r="A11665" i="1"/>
  <c r="P11665" i="1"/>
  <c r="A11666" i="1"/>
  <c r="P11666" i="1"/>
  <c r="A11667" i="1"/>
  <c r="P11667" i="1"/>
  <c r="A11668" i="1"/>
  <c r="P11668" i="1"/>
  <c r="A11669" i="1"/>
  <c r="P11669" i="1"/>
  <c r="A11670" i="1"/>
  <c r="P11670" i="1"/>
  <c r="A11671" i="1"/>
  <c r="P11671" i="1"/>
  <c r="A11672" i="1"/>
  <c r="P11672" i="1"/>
  <c r="A11673" i="1"/>
  <c r="P11673" i="1"/>
  <c r="A11674" i="1"/>
  <c r="P11674" i="1"/>
  <c r="A11675" i="1"/>
  <c r="P11675" i="1"/>
  <c r="A11676" i="1"/>
  <c r="P11676" i="1"/>
  <c r="A11677" i="1"/>
  <c r="P11677" i="1"/>
  <c r="A11678" i="1"/>
  <c r="P11678" i="1"/>
  <c r="A11679" i="1"/>
  <c r="P11679" i="1"/>
  <c r="A11680" i="1"/>
  <c r="P11680" i="1"/>
  <c r="A11681" i="1"/>
  <c r="P11681" i="1"/>
  <c r="A11682" i="1"/>
  <c r="P11682" i="1"/>
  <c r="A11683" i="1"/>
  <c r="P11683" i="1"/>
  <c r="A11684" i="1"/>
  <c r="P11684" i="1"/>
  <c r="A11685" i="1"/>
  <c r="P11685" i="1"/>
  <c r="A11686" i="1"/>
  <c r="P11686" i="1"/>
  <c r="A11687" i="1"/>
  <c r="P11687" i="1"/>
  <c r="A11688" i="1"/>
  <c r="P11688" i="1"/>
  <c r="A11689" i="1"/>
  <c r="P11689" i="1"/>
  <c r="A11690" i="1"/>
  <c r="P11690" i="1"/>
  <c r="A11691" i="1"/>
  <c r="P11691" i="1"/>
  <c r="A11692" i="1"/>
  <c r="P11692" i="1"/>
  <c r="A11693" i="1"/>
  <c r="P11693" i="1"/>
  <c r="A11694" i="1"/>
  <c r="P11694" i="1"/>
  <c r="A11695" i="1"/>
  <c r="P11695" i="1"/>
  <c r="A11696" i="1"/>
  <c r="P11696" i="1"/>
  <c r="A11697" i="1"/>
  <c r="P11697" i="1"/>
  <c r="A11698" i="1"/>
  <c r="P11698" i="1"/>
  <c r="A11699" i="1"/>
  <c r="P11699" i="1"/>
  <c r="A11700" i="1"/>
  <c r="P11700" i="1"/>
  <c r="A11701" i="1"/>
  <c r="P11701" i="1"/>
  <c r="A11702" i="1"/>
  <c r="P11702" i="1"/>
  <c r="A11703" i="1"/>
  <c r="P11703" i="1"/>
  <c r="A11704" i="1"/>
  <c r="P11704" i="1"/>
  <c r="A11705" i="1"/>
  <c r="P11705" i="1"/>
  <c r="A11706" i="1"/>
  <c r="P11706" i="1"/>
  <c r="A11707" i="1"/>
  <c r="P11707" i="1"/>
  <c r="A11708" i="1"/>
  <c r="P11708" i="1"/>
  <c r="A11709" i="1"/>
  <c r="P11709" i="1"/>
  <c r="A11710" i="1"/>
  <c r="P11710" i="1"/>
  <c r="A11711" i="1"/>
  <c r="P11711" i="1"/>
  <c r="A11712" i="1"/>
  <c r="P11712" i="1"/>
  <c r="A11713" i="1"/>
  <c r="P11713" i="1"/>
  <c r="A11714" i="1"/>
  <c r="P11714" i="1"/>
  <c r="A11715" i="1"/>
  <c r="P11715" i="1"/>
  <c r="A11716" i="1"/>
  <c r="P11716" i="1"/>
  <c r="A11717" i="1"/>
  <c r="P11717" i="1"/>
  <c r="A11718" i="1"/>
  <c r="P11718" i="1"/>
  <c r="A11719" i="1"/>
  <c r="P11719" i="1"/>
  <c r="A11720" i="1"/>
  <c r="P11720" i="1"/>
  <c r="A11721" i="1"/>
  <c r="P11721" i="1"/>
  <c r="A11722" i="1"/>
  <c r="P11722" i="1"/>
  <c r="A11723" i="1"/>
  <c r="P11723" i="1"/>
  <c r="A11724" i="1"/>
  <c r="P11724" i="1"/>
  <c r="A11725" i="1"/>
  <c r="P11725" i="1"/>
  <c r="A11726" i="1"/>
  <c r="P11726" i="1"/>
  <c r="A11727" i="1"/>
  <c r="P11727" i="1"/>
  <c r="A11728" i="1"/>
  <c r="P11728" i="1"/>
  <c r="A11729" i="1"/>
  <c r="P11729" i="1"/>
  <c r="A11730" i="1"/>
  <c r="P11730" i="1"/>
  <c r="A11731" i="1"/>
  <c r="P11731" i="1"/>
  <c r="A11732" i="1"/>
  <c r="P11732" i="1"/>
  <c r="A11733" i="1"/>
  <c r="P11733" i="1"/>
  <c r="A11734" i="1"/>
  <c r="P11734" i="1"/>
  <c r="A11735" i="1"/>
  <c r="P11735" i="1"/>
  <c r="A11736" i="1"/>
  <c r="P11736" i="1"/>
  <c r="A11737" i="1"/>
  <c r="P11737" i="1"/>
  <c r="A11738" i="1"/>
  <c r="P11738" i="1"/>
  <c r="A11739" i="1"/>
  <c r="P11739" i="1"/>
  <c r="A11740" i="1"/>
  <c r="P11740" i="1"/>
  <c r="A11741" i="1"/>
  <c r="P11741" i="1"/>
  <c r="A11742" i="1"/>
  <c r="P11742" i="1"/>
  <c r="A11743" i="1"/>
  <c r="P11743" i="1"/>
  <c r="A11744" i="1"/>
  <c r="P11744" i="1"/>
  <c r="A11745" i="1"/>
  <c r="P11745" i="1"/>
  <c r="A11746" i="1"/>
  <c r="P11746" i="1"/>
  <c r="A11747" i="1"/>
  <c r="P11747" i="1"/>
  <c r="A11748" i="1"/>
  <c r="P11748" i="1"/>
  <c r="A11749" i="1"/>
  <c r="P11749" i="1"/>
  <c r="A11750" i="1"/>
  <c r="P11750" i="1"/>
  <c r="A11751" i="1"/>
  <c r="P11751" i="1"/>
  <c r="A11752" i="1"/>
  <c r="P11752" i="1"/>
  <c r="A11753" i="1"/>
  <c r="P11753" i="1"/>
  <c r="A11754" i="1"/>
  <c r="P11754" i="1"/>
  <c r="A11755" i="1"/>
  <c r="P11755" i="1"/>
  <c r="A11756" i="1"/>
  <c r="P11756" i="1"/>
  <c r="A11757" i="1"/>
  <c r="P11757" i="1"/>
  <c r="A11758" i="1"/>
  <c r="P11758" i="1"/>
  <c r="A11759" i="1"/>
  <c r="P11759" i="1"/>
  <c r="A11760" i="1"/>
  <c r="P11760" i="1"/>
  <c r="A11761" i="1"/>
  <c r="P11761" i="1"/>
  <c r="A11762" i="1"/>
  <c r="P11762" i="1"/>
  <c r="A11763" i="1"/>
  <c r="P11763" i="1"/>
  <c r="A11764" i="1"/>
  <c r="P11764" i="1"/>
  <c r="A11765" i="1"/>
  <c r="P11765" i="1"/>
  <c r="A11766" i="1"/>
  <c r="P11766" i="1"/>
  <c r="A11767" i="1"/>
  <c r="P11767" i="1"/>
  <c r="A11768" i="1"/>
  <c r="P11768" i="1"/>
  <c r="A11769" i="1"/>
  <c r="P11769" i="1"/>
  <c r="A11770" i="1"/>
  <c r="P11770" i="1"/>
  <c r="A11771" i="1"/>
  <c r="P11771" i="1"/>
  <c r="A11772" i="1"/>
  <c r="P11772" i="1"/>
  <c r="A11773" i="1"/>
  <c r="P11773" i="1"/>
  <c r="A11774" i="1"/>
  <c r="P11774" i="1"/>
  <c r="A11775" i="1"/>
  <c r="P11775" i="1"/>
  <c r="A11776" i="1"/>
  <c r="P11776" i="1"/>
  <c r="A11777" i="1"/>
  <c r="P11777" i="1"/>
  <c r="A11778" i="1"/>
  <c r="P11778" i="1"/>
  <c r="A11779" i="1"/>
  <c r="P11779" i="1"/>
  <c r="A11780" i="1"/>
  <c r="P11780" i="1"/>
  <c r="A11781" i="1"/>
  <c r="P11781" i="1"/>
  <c r="A11782" i="1"/>
  <c r="P11782" i="1"/>
  <c r="A11783" i="1"/>
  <c r="P11783" i="1"/>
  <c r="A11784" i="1"/>
  <c r="P11784" i="1"/>
  <c r="A11785" i="1"/>
  <c r="P11785" i="1"/>
  <c r="A11786" i="1"/>
  <c r="P11786" i="1"/>
  <c r="A11787" i="1"/>
  <c r="P11787" i="1"/>
  <c r="A11788" i="1"/>
  <c r="P11788" i="1"/>
  <c r="A11789" i="1"/>
  <c r="P11789" i="1"/>
  <c r="A11790" i="1"/>
  <c r="P11790" i="1"/>
  <c r="A11791" i="1"/>
  <c r="P11791" i="1"/>
  <c r="A11792" i="1"/>
  <c r="P11792" i="1"/>
  <c r="A11793" i="1"/>
  <c r="P11793" i="1"/>
  <c r="A11794" i="1"/>
  <c r="P11794" i="1"/>
  <c r="A11795" i="1"/>
  <c r="P11795" i="1"/>
  <c r="A11796" i="1"/>
  <c r="P11796" i="1"/>
  <c r="A11797" i="1"/>
  <c r="P11797" i="1"/>
  <c r="A11798" i="1"/>
  <c r="P11798" i="1"/>
  <c r="A11799" i="1"/>
  <c r="P11799" i="1"/>
  <c r="A11800" i="1"/>
  <c r="P11800" i="1"/>
  <c r="A11801" i="1"/>
  <c r="P11801" i="1"/>
  <c r="A11802" i="1"/>
  <c r="P11802" i="1"/>
  <c r="A11803" i="1"/>
  <c r="P11803" i="1"/>
  <c r="A11804" i="1"/>
  <c r="P11804" i="1"/>
  <c r="A11805" i="1"/>
  <c r="P11805" i="1"/>
  <c r="A11806" i="1"/>
  <c r="P11806" i="1"/>
  <c r="A11807" i="1"/>
  <c r="P11807" i="1"/>
  <c r="A11808" i="1"/>
  <c r="P11808" i="1"/>
  <c r="A11809" i="1"/>
  <c r="P11809" i="1"/>
  <c r="A11810" i="1"/>
  <c r="P11810" i="1"/>
  <c r="A11811" i="1"/>
  <c r="P11811" i="1"/>
  <c r="A11812" i="1"/>
  <c r="P11812" i="1"/>
  <c r="A11813" i="1"/>
  <c r="P11813" i="1"/>
  <c r="A11814" i="1"/>
  <c r="P11814" i="1"/>
  <c r="A11815" i="1"/>
  <c r="P11815" i="1"/>
  <c r="A11816" i="1"/>
  <c r="P11816" i="1"/>
  <c r="A11817" i="1"/>
  <c r="P11817" i="1"/>
  <c r="A11818" i="1"/>
  <c r="P11818" i="1"/>
  <c r="A11819" i="1"/>
  <c r="P11819" i="1"/>
  <c r="A11820" i="1"/>
  <c r="P11820" i="1"/>
  <c r="A11821" i="1"/>
  <c r="P11821" i="1"/>
  <c r="A11822" i="1"/>
  <c r="P11822" i="1"/>
  <c r="A11823" i="1"/>
  <c r="P11823" i="1"/>
  <c r="A11824" i="1"/>
  <c r="P11824" i="1"/>
  <c r="A11825" i="1"/>
  <c r="P11825" i="1"/>
  <c r="A11826" i="1"/>
  <c r="P11826" i="1"/>
  <c r="A11827" i="1"/>
  <c r="P11827" i="1"/>
  <c r="A11828" i="1"/>
  <c r="P11828" i="1"/>
  <c r="A11829" i="1"/>
  <c r="P11829" i="1"/>
  <c r="A11830" i="1"/>
  <c r="P11830" i="1"/>
  <c r="A11831" i="1"/>
  <c r="P11831" i="1"/>
  <c r="A11832" i="1"/>
  <c r="P11832" i="1"/>
  <c r="A11833" i="1"/>
  <c r="P11833" i="1"/>
  <c r="A11834" i="1"/>
  <c r="P11834" i="1"/>
  <c r="A11835" i="1"/>
  <c r="P11835" i="1"/>
  <c r="A11836" i="1"/>
  <c r="P11836" i="1"/>
  <c r="A11837" i="1"/>
  <c r="P11837" i="1"/>
  <c r="A11838" i="1"/>
  <c r="P11838" i="1"/>
  <c r="A11839" i="1"/>
  <c r="P11839" i="1"/>
  <c r="A11840" i="1"/>
  <c r="P11840" i="1"/>
  <c r="A11841" i="1"/>
  <c r="P11841" i="1"/>
  <c r="A11842" i="1"/>
  <c r="P11842" i="1"/>
  <c r="A11843" i="1"/>
  <c r="P11843" i="1"/>
  <c r="A11844" i="1"/>
  <c r="P11844" i="1"/>
  <c r="A11845" i="1"/>
  <c r="P11845" i="1"/>
  <c r="A11846" i="1"/>
  <c r="P11846" i="1"/>
  <c r="A11847" i="1"/>
  <c r="P11847" i="1"/>
  <c r="A11848" i="1"/>
  <c r="P11848" i="1"/>
  <c r="A11849" i="1"/>
  <c r="P11849" i="1"/>
  <c r="A11850" i="1"/>
  <c r="P11850" i="1"/>
  <c r="A11851" i="1"/>
  <c r="P11851" i="1"/>
  <c r="A11852" i="1"/>
  <c r="P11852" i="1"/>
  <c r="A11853" i="1"/>
  <c r="P11853" i="1"/>
  <c r="A11854" i="1"/>
  <c r="P11854" i="1"/>
  <c r="A11855" i="1"/>
  <c r="P11855" i="1"/>
  <c r="A11856" i="1"/>
  <c r="P11856" i="1"/>
  <c r="A11857" i="1"/>
  <c r="P11857" i="1"/>
  <c r="A11858" i="1"/>
  <c r="P11858" i="1"/>
  <c r="A11859" i="1"/>
  <c r="P11859" i="1"/>
  <c r="A11860" i="1"/>
  <c r="P11860" i="1"/>
  <c r="A11861" i="1"/>
  <c r="P11861" i="1"/>
  <c r="A11862" i="1"/>
  <c r="P11862" i="1"/>
  <c r="A11863" i="1"/>
  <c r="P11863" i="1"/>
  <c r="A11864" i="1"/>
  <c r="P11864" i="1"/>
  <c r="A11865" i="1"/>
  <c r="P11865" i="1"/>
  <c r="A11866" i="1"/>
  <c r="P11866" i="1"/>
  <c r="A11867" i="1"/>
  <c r="P11867" i="1"/>
  <c r="A11868" i="1"/>
  <c r="P11868" i="1"/>
  <c r="A11869" i="1"/>
  <c r="P11869" i="1"/>
  <c r="A11870" i="1"/>
  <c r="P11870" i="1"/>
  <c r="A11871" i="1"/>
  <c r="P11871" i="1"/>
  <c r="A11872" i="1"/>
  <c r="P11872" i="1"/>
  <c r="A11873" i="1"/>
  <c r="P11873" i="1"/>
  <c r="A11874" i="1"/>
  <c r="P11874" i="1"/>
  <c r="A11875" i="1"/>
  <c r="P11875" i="1"/>
  <c r="A11876" i="1"/>
  <c r="P11876" i="1"/>
  <c r="A11877" i="1"/>
  <c r="P11877" i="1"/>
  <c r="A11878" i="1"/>
  <c r="P11878" i="1"/>
  <c r="A11879" i="1"/>
  <c r="P11879" i="1"/>
  <c r="A11880" i="1"/>
  <c r="P11880" i="1"/>
  <c r="A11881" i="1"/>
  <c r="P11881" i="1"/>
  <c r="A11882" i="1"/>
  <c r="P11882" i="1"/>
  <c r="A11883" i="1"/>
  <c r="P11883" i="1"/>
  <c r="A11884" i="1"/>
  <c r="P11884" i="1"/>
  <c r="A11885" i="1"/>
  <c r="P11885" i="1"/>
  <c r="A11886" i="1"/>
  <c r="P11886" i="1"/>
  <c r="A11887" i="1"/>
  <c r="P11887" i="1"/>
  <c r="A11888" i="1"/>
  <c r="P11888" i="1"/>
  <c r="A11889" i="1"/>
  <c r="P11889" i="1"/>
  <c r="A11890" i="1"/>
  <c r="P11890" i="1"/>
  <c r="A11891" i="1"/>
  <c r="P11891" i="1"/>
  <c r="A11892" i="1"/>
  <c r="P11892" i="1"/>
  <c r="A11893" i="1"/>
  <c r="P11893" i="1"/>
  <c r="A11894" i="1"/>
  <c r="P11894" i="1"/>
  <c r="A11895" i="1"/>
  <c r="P11895" i="1"/>
  <c r="A11896" i="1"/>
  <c r="P11896" i="1"/>
  <c r="A11897" i="1"/>
  <c r="P11897" i="1"/>
  <c r="A11898" i="1"/>
  <c r="P11898" i="1"/>
  <c r="A11899" i="1"/>
  <c r="P11899" i="1"/>
  <c r="A11900" i="1"/>
  <c r="P11900" i="1"/>
  <c r="A11901" i="1"/>
  <c r="P11901" i="1"/>
  <c r="A11902" i="1"/>
  <c r="P11902" i="1"/>
  <c r="A11903" i="1"/>
  <c r="P11903" i="1"/>
  <c r="A11904" i="1"/>
  <c r="P11904" i="1"/>
  <c r="A11905" i="1"/>
  <c r="P11905" i="1"/>
  <c r="A11906" i="1"/>
  <c r="P11906" i="1"/>
  <c r="A11907" i="1"/>
  <c r="P11907" i="1"/>
  <c r="A11908" i="1"/>
  <c r="P11908" i="1"/>
  <c r="A11909" i="1"/>
  <c r="P11909" i="1"/>
  <c r="A11910" i="1"/>
  <c r="P11910" i="1"/>
  <c r="A11911" i="1"/>
  <c r="P11911" i="1"/>
  <c r="A11912" i="1"/>
  <c r="P11912" i="1"/>
  <c r="A11913" i="1"/>
  <c r="P11913" i="1"/>
  <c r="A11914" i="1"/>
  <c r="P11914" i="1"/>
  <c r="A11915" i="1"/>
  <c r="P11915" i="1"/>
  <c r="A11916" i="1"/>
  <c r="P11916" i="1"/>
  <c r="A11917" i="1"/>
  <c r="P11917" i="1"/>
  <c r="A11918" i="1"/>
  <c r="P11918" i="1"/>
  <c r="A11919" i="1"/>
  <c r="P11919" i="1"/>
  <c r="A11920" i="1"/>
  <c r="P11920" i="1"/>
  <c r="A11921" i="1"/>
  <c r="P11921" i="1"/>
  <c r="A11922" i="1"/>
  <c r="P11922" i="1"/>
  <c r="A11923" i="1"/>
  <c r="P11923" i="1"/>
  <c r="A11924" i="1"/>
  <c r="P11924" i="1"/>
  <c r="A11925" i="1"/>
  <c r="P11925" i="1"/>
  <c r="A11926" i="1"/>
  <c r="P11926" i="1"/>
  <c r="A11927" i="1"/>
  <c r="P11927" i="1"/>
  <c r="A11928" i="1"/>
  <c r="P11928" i="1"/>
  <c r="A11929" i="1"/>
  <c r="P11929" i="1"/>
  <c r="A11930" i="1"/>
  <c r="P11930" i="1"/>
  <c r="A11931" i="1"/>
  <c r="P11931" i="1"/>
  <c r="A11932" i="1"/>
  <c r="P11932" i="1"/>
  <c r="A11933" i="1"/>
  <c r="P11933" i="1"/>
  <c r="A11934" i="1"/>
  <c r="P11934" i="1"/>
  <c r="A11935" i="1"/>
  <c r="P11935" i="1"/>
  <c r="A11936" i="1"/>
  <c r="P11936" i="1"/>
  <c r="A11937" i="1"/>
  <c r="P11937" i="1"/>
  <c r="A11938" i="1"/>
  <c r="P11938" i="1"/>
  <c r="A11939" i="1"/>
  <c r="P11939" i="1"/>
  <c r="A11940" i="1"/>
  <c r="P11940" i="1"/>
  <c r="A11941" i="1"/>
  <c r="P11941" i="1"/>
  <c r="A11942" i="1"/>
  <c r="P11942" i="1"/>
  <c r="A11943" i="1"/>
  <c r="P11943" i="1"/>
  <c r="A11944" i="1"/>
  <c r="P11944" i="1"/>
  <c r="A11945" i="1"/>
  <c r="P11945" i="1"/>
  <c r="A11946" i="1"/>
  <c r="P11946" i="1"/>
  <c r="A11947" i="1"/>
  <c r="P11947" i="1"/>
  <c r="A11948" i="1"/>
  <c r="P11948" i="1"/>
  <c r="A11949" i="1"/>
  <c r="P11949" i="1"/>
  <c r="A11950" i="1"/>
  <c r="P11950" i="1"/>
  <c r="A11951" i="1"/>
  <c r="P11951" i="1"/>
  <c r="A11952" i="1"/>
  <c r="P11952" i="1"/>
  <c r="A11953" i="1"/>
  <c r="P11953" i="1"/>
  <c r="A11954" i="1"/>
  <c r="P11954" i="1"/>
  <c r="A11955" i="1"/>
  <c r="P11955" i="1"/>
  <c r="A11956" i="1"/>
  <c r="P11956" i="1"/>
  <c r="A11957" i="1"/>
  <c r="P11957" i="1"/>
  <c r="A11958" i="1"/>
  <c r="P11958" i="1"/>
  <c r="A11959" i="1"/>
  <c r="P11959" i="1"/>
  <c r="A11960" i="1"/>
  <c r="P11960" i="1"/>
  <c r="A11961" i="1"/>
  <c r="P11961" i="1"/>
  <c r="A11962" i="1"/>
  <c r="P11962" i="1"/>
  <c r="A11963" i="1"/>
  <c r="P11963" i="1"/>
  <c r="A11964" i="1"/>
  <c r="P11964" i="1"/>
  <c r="A11965" i="1"/>
  <c r="P11965" i="1"/>
  <c r="A11966" i="1"/>
  <c r="P11966" i="1"/>
  <c r="A11967" i="1"/>
  <c r="P11967" i="1"/>
  <c r="A11968" i="1"/>
  <c r="P11968" i="1"/>
  <c r="A11969" i="1"/>
  <c r="P11969" i="1"/>
  <c r="A11970" i="1"/>
  <c r="P11970" i="1"/>
  <c r="A11971" i="1"/>
  <c r="P11971" i="1"/>
  <c r="A11972" i="1"/>
  <c r="P11972" i="1"/>
  <c r="A11973" i="1"/>
  <c r="P11973" i="1"/>
  <c r="A11974" i="1"/>
  <c r="P11974" i="1"/>
  <c r="A11975" i="1"/>
  <c r="P11975" i="1"/>
  <c r="A11976" i="1"/>
  <c r="P11976" i="1"/>
  <c r="A11977" i="1"/>
  <c r="P11977" i="1"/>
  <c r="A11978" i="1"/>
  <c r="P11978" i="1"/>
  <c r="A11979" i="1"/>
  <c r="P11979" i="1"/>
  <c r="A11980" i="1"/>
  <c r="P11980" i="1"/>
  <c r="A11981" i="1"/>
  <c r="P11981" i="1"/>
  <c r="A11982" i="1"/>
  <c r="P11982" i="1"/>
  <c r="A11983" i="1"/>
  <c r="P11983" i="1"/>
  <c r="A11984" i="1"/>
  <c r="P11984" i="1"/>
  <c r="A11985" i="1"/>
  <c r="P11985" i="1"/>
  <c r="A11986" i="1"/>
  <c r="P11986" i="1"/>
  <c r="A11987" i="1"/>
  <c r="P11987" i="1"/>
  <c r="A11988" i="1"/>
  <c r="P11988" i="1"/>
  <c r="A11989" i="1"/>
  <c r="P11989" i="1"/>
  <c r="A11990" i="1"/>
  <c r="P11990" i="1"/>
  <c r="A11991" i="1"/>
  <c r="P11991" i="1"/>
  <c r="A11992" i="1"/>
  <c r="P11992" i="1"/>
  <c r="A11993" i="1"/>
  <c r="P11993" i="1"/>
  <c r="A11994" i="1"/>
  <c r="P11994" i="1"/>
  <c r="A11995" i="1"/>
  <c r="P11995" i="1"/>
  <c r="A11996" i="1"/>
  <c r="P11996" i="1"/>
  <c r="A11997" i="1"/>
  <c r="P11997" i="1"/>
  <c r="A11998" i="1"/>
  <c r="P11998" i="1"/>
  <c r="A11999" i="1"/>
  <c r="P11999" i="1"/>
  <c r="A12000" i="1"/>
  <c r="P12000" i="1"/>
  <c r="A12001" i="1"/>
  <c r="P12001" i="1"/>
  <c r="A12002" i="1"/>
  <c r="P12002" i="1"/>
  <c r="A12003" i="1"/>
  <c r="P12003" i="1"/>
  <c r="A12004" i="1"/>
  <c r="P12004" i="1"/>
  <c r="A12005" i="1"/>
  <c r="P12005" i="1"/>
  <c r="A12006" i="1"/>
  <c r="P12006" i="1"/>
  <c r="A12007" i="1"/>
  <c r="P12007" i="1"/>
  <c r="A12008" i="1"/>
  <c r="P12008" i="1"/>
  <c r="A12009" i="1"/>
  <c r="P12009" i="1"/>
  <c r="A12010" i="1"/>
  <c r="P12010" i="1"/>
  <c r="A12011" i="1"/>
  <c r="P12011" i="1"/>
  <c r="A12012" i="1"/>
  <c r="P12012" i="1"/>
  <c r="A12013" i="1"/>
  <c r="P12013" i="1"/>
  <c r="A12014" i="1"/>
  <c r="P12014" i="1"/>
  <c r="A12015" i="1"/>
  <c r="P12015" i="1"/>
  <c r="A12016" i="1"/>
  <c r="P12016" i="1"/>
  <c r="A12017" i="1"/>
  <c r="P12017" i="1"/>
  <c r="A12018" i="1"/>
  <c r="P12018" i="1"/>
  <c r="A12019" i="1"/>
  <c r="P12019" i="1"/>
  <c r="A12020" i="1"/>
  <c r="P12020" i="1"/>
  <c r="A12021" i="1"/>
  <c r="P12021" i="1"/>
  <c r="A12022" i="1"/>
  <c r="P12022" i="1"/>
  <c r="A12023" i="1"/>
  <c r="P12023" i="1"/>
  <c r="A12024" i="1"/>
  <c r="P12024" i="1"/>
  <c r="A12025" i="1"/>
  <c r="P12025" i="1"/>
  <c r="A12026" i="1"/>
  <c r="P12026" i="1"/>
  <c r="A12027" i="1"/>
  <c r="P12027" i="1"/>
  <c r="A12028" i="1"/>
  <c r="P12028" i="1"/>
  <c r="A12029" i="1"/>
  <c r="P12029" i="1"/>
  <c r="A12030" i="1"/>
  <c r="P12030" i="1"/>
  <c r="A12031" i="1"/>
  <c r="P12031" i="1"/>
  <c r="A12032" i="1"/>
  <c r="P12032" i="1"/>
  <c r="A12033" i="1"/>
  <c r="P12033" i="1"/>
  <c r="A12034" i="1"/>
  <c r="P12034" i="1"/>
  <c r="A12035" i="1"/>
  <c r="P12035" i="1"/>
  <c r="A12036" i="1"/>
  <c r="P12036" i="1"/>
  <c r="A12037" i="1"/>
  <c r="P12037" i="1"/>
  <c r="A12038" i="1"/>
  <c r="P12038" i="1"/>
  <c r="A12039" i="1"/>
  <c r="P12039" i="1"/>
  <c r="A12040" i="1"/>
  <c r="P12040" i="1"/>
  <c r="A12041" i="1"/>
  <c r="P12041" i="1"/>
  <c r="A12042" i="1"/>
  <c r="P12042" i="1"/>
  <c r="A12043" i="1"/>
  <c r="P12043" i="1"/>
  <c r="A12044" i="1"/>
  <c r="P12044" i="1"/>
  <c r="A12045" i="1"/>
  <c r="P12045" i="1"/>
  <c r="A12046" i="1"/>
  <c r="P12046" i="1"/>
  <c r="A12047" i="1"/>
  <c r="P12047" i="1"/>
  <c r="A12048" i="1"/>
  <c r="P12048" i="1"/>
  <c r="A12049" i="1"/>
  <c r="P12049" i="1"/>
  <c r="A12050" i="1"/>
  <c r="P12050" i="1"/>
  <c r="A12051" i="1"/>
  <c r="P12051" i="1"/>
  <c r="A12052" i="1"/>
  <c r="P12052" i="1"/>
  <c r="A12053" i="1"/>
  <c r="P12053" i="1"/>
  <c r="A12054" i="1"/>
  <c r="P12054" i="1"/>
  <c r="A12055" i="1"/>
  <c r="P12055" i="1"/>
  <c r="A12056" i="1"/>
  <c r="P12056" i="1"/>
  <c r="A12057" i="1"/>
  <c r="P12057" i="1"/>
  <c r="A12058" i="1"/>
  <c r="P12058" i="1"/>
  <c r="A12059" i="1"/>
  <c r="P12059" i="1"/>
  <c r="A12060" i="1"/>
  <c r="P12060" i="1"/>
  <c r="A12061" i="1"/>
  <c r="P12061" i="1"/>
  <c r="A12062" i="1"/>
  <c r="P12062" i="1"/>
  <c r="A12063" i="1"/>
  <c r="P12063" i="1"/>
  <c r="A12064" i="1"/>
  <c r="P12064" i="1"/>
  <c r="A12065" i="1"/>
  <c r="P12065" i="1"/>
  <c r="A12066" i="1"/>
  <c r="P12066" i="1"/>
  <c r="A12067" i="1"/>
  <c r="P12067" i="1"/>
  <c r="A12068" i="1"/>
  <c r="P12068" i="1"/>
  <c r="A12069" i="1"/>
  <c r="P12069" i="1"/>
  <c r="A12070" i="1"/>
  <c r="P12070" i="1"/>
  <c r="A12071" i="1"/>
  <c r="P12071" i="1"/>
  <c r="A12072" i="1"/>
  <c r="P12072" i="1"/>
  <c r="A12073" i="1"/>
  <c r="P12073" i="1"/>
  <c r="A12074" i="1"/>
  <c r="P12074" i="1"/>
  <c r="A12075" i="1"/>
  <c r="P12075" i="1"/>
  <c r="A12076" i="1"/>
  <c r="P12076" i="1"/>
  <c r="A12077" i="1"/>
  <c r="P12077" i="1"/>
  <c r="A12078" i="1"/>
  <c r="P12078" i="1"/>
  <c r="A12079" i="1"/>
  <c r="P12079" i="1"/>
  <c r="A12080" i="1"/>
  <c r="P12080" i="1"/>
  <c r="A12081" i="1"/>
  <c r="P12081" i="1"/>
  <c r="A12082" i="1"/>
  <c r="P12082" i="1"/>
  <c r="A12083" i="1"/>
  <c r="P12083" i="1"/>
  <c r="A12084" i="1"/>
  <c r="P12084" i="1"/>
  <c r="A12085" i="1"/>
  <c r="P12085" i="1"/>
  <c r="A12086" i="1"/>
  <c r="P12086" i="1"/>
  <c r="A12087" i="1"/>
  <c r="P12087" i="1"/>
  <c r="A12088" i="1"/>
  <c r="P12088" i="1"/>
  <c r="A12089" i="1"/>
  <c r="P12089" i="1"/>
  <c r="A12090" i="1"/>
  <c r="P12090" i="1"/>
  <c r="A12091" i="1"/>
  <c r="P12091" i="1"/>
  <c r="A12092" i="1"/>
  <c r="P12092" i="1"/>
  <c r="A12093" i="1"/>
  <c r="P12093" i="1"/>
  <c r="A12094" i="1"/>
  <c r="P12094" i="1"/>
  <c r="A12095" i="1"/>
  <c r="P12095" i="1"/>
  <c r="A12096" i="1"/>
  <c r="P12096" i="1"/>
  <c r="A12097" i="1"/>
  <c r="P12097" i="1"/>
  <c r="A12098" i="1"/>
  <c r="P12098" i="1"/>
  <c r="A12099" i="1"/>
  <c r="P12099" i="1"/>
  <c r="A12100" i="1"/>
  <c r="P12100" i="1"/>
  <c r="A12101" i="1"/>
  <c r="P12101" i="1"/>
  <c r="A12102" i="1"/>
  <c r="P12102" i="1"/>
  <c r="A12103" i="1"/>
  <c r="P12103" i="1"/>
  <c r="A12104" i="1"/>
  <c r="P12104" i="1"/>
  <c r="A12105" i="1"/>
  <c r="P12105" i="1"/>
  <c r="A12106" i="1"/>
  <c r="P12106" i="1"/>
  <c r="A12107" i="1"/>
  <c r="P12107" i="1"/>
  <c r="A12108" i="1"/>
  <c r="P12108" i="1"/>
  <c r="A12109" i="1"/>
  <c r="P12109" i="1"/>
  <c r="A12110" i="1"/>
  <c r="P12110" i="1"/>
  <c r="A12111" i="1"/>
  <c r="P12111" i="1"/>
  <c r="A12112" i="1"/>
  <c r="P12112" i="1"/>
  <c r="A12113" i="1"/>
  <c r="P12113" i="1"/>
  <c r="A12114" i="1"/>
  <c r="P12114" i="1"/>
  <c r="A12115" i="1"/>
  <c r="P12115" i="1"/>
  <c r="A12116" i="1"/>
  <c r="P12116" i="1"/>
  <c r="A12117" i="1"/>
  <c r="P12117" i="1"/>
  <c r="A12118" i="1"/>
  <c r="P12118" i="1"/>
  <c r="A12119" i="1"/>
  <c r="P12119" i="1"/>
  <c r="A12120" i="1"/>
  <c r="P12120" i="1"/>
  <c r="A12121" i="1"/>
  <c r="P12121" i="1"/>
  <c r="A12122" i="1"/>
  <c r="P12122" i="1"/>
  <c r="A12123" i="1"/>
  <c r="P12123" i="1"/>
  <c r="A12124" i="1"/>
  <c r="P12124" i="1"/>
  <c r="A12125" i="1"/>
  <c r="P12125" i="1"/>
  <c r="A12126" i="1"/>
  <c r="P12126" i="1"/>
  <c r="A12127" i="1"/>
  <c r="P12127" i="1"/>
  <c r="A12128" i="1"/>
  <c r="P12128" i="1"/>
  <c r="A12129" i="1"/>
  <c r="P12129" i="1"/>
  <c r="A12130" i="1"/>
  <c r="P12130" i="1"/>
  <c r="A12131" i="1"/>
  <c r="P12131" i="1"/>
  <c r="A12132" i="1"/>
  <c r="P12132" i="1"/>
  <c r="A12133" i="1"/>
  <c r="P12133" i="1"/>
  <c r="A12134" i="1"/>
  <c r="P12134" i="1"/>
  <c r="A12135" i="1"/>
  <c r="P12135" i="1"/>
  <c r="A12136" i="1"/>
  <c r="P12136" i="1"/>
  <c r="A12137" i="1"/>
  <c r="P12137" i="1"/>
  <c r="A12138" i="1"/>
  <c r="P12138" i="1"/>
  <c r="A12139" i="1"/>
  <c r="P12139" i="1"/>
  <c r="A12140" i="1"/>
  <c r="P12140" i="1"/>
  <c r="A12141" i="1"/>
  <c r="P12141" i="1"/>
  <c r="A12142" i="1"/>
  <c r="P12142" i="1"/>
  <c r="A12143" i="1"/>
  <c r="P12143" i="1"/>
  <c r="A12144" i="1"/>
  <c r="P12144" i="1"/>
  <c r="A12145" i="1"/>
  <c r="P12145" i="1"/>
  <c r="A12146" i="1"/>
  <c r="P12146" i="1"/>
  <c r="A12147" i="1"/>
  <c r="P12147" i="1"/>
  <c r="A12148" i="1"/>
  <c r="P12148" i="1"/>
  <c r="A12149" i="1"/>
  <c r="P12149" i="1"/>
  <c r="A12150" i="1"/>
  <c r="P12150" i="1"/>
  <c r="A12151" i="1"/>
  <c r="P12151" i="1"/>
  <c r="A12152" i="1"/>
  <c r="P12152" i="1"/>
  <c r="A12153" i="1"/>
  <c r="P12153" i="1"/>
  <c r="A12154" i="1"/>
  <c r="P12154" i="1"/>
  <c r="A12155" i="1"/>
  <c r="P12155" i="1"/>
  <c r="A12156" i="1"/>
  <c r="P12156" i="1"/>
  <c r="A12157" i="1"/>
  <c r="P12157" i="1"/>
  <c r="A12158" i="1"/>
  <c r="P12158" i="1"/>
  <c r="A12159" i="1"/>
  <c r="P12159" i="1"/>
  <c r="A12160" i="1"/>
  <c r="P12160" i="1"/>
  <c r="A12161" i="1"/>
  <c r="P12161" i="1"/>
  <c r="A12162" i="1"/>
  <c r="P12162" i="1"/>
  <c r="A12163" i="1"/>
  <c r="P12163" i="1"/>
  <c r="A12164" i="1"/>
  <c r="P12164" i="1"/>
  <c r="A12165" i="1"/>
  <c r="P12165" i="1"/>
  <c r="A12166" i="1"/>
  <c r="P12166" i="1"/>
  <c r="A12167" i="1"/>
  <c r="P12167" i="1"/>
  <c r="A12168" i="1"/>
  <c r="P12168" i="1"/>
  <c r="A12169" i="1"/>
  <c r="P12169" i="1"/>
  <c r="A12170" i="1"/>
  <c r="P12170" i="1"/>
  <c r="A12171" i="1"/>
  <c r="P12171" i="1"/>
  <c r="A12172" i="1"/>
  <c r="P12172" i="1"/>
  <c r="A12173" i="1"/>
  <c r="P12173" i="1"/>
  <c r="A12174" i="1"/>
  <c r="P12174" i="1"/>
  <c r="A12175" i="1"/>
  <c r="P12175" i="1"/>
  <c r="A12176" i="1"/>
  <c r="P12176" i="1"/>
  <c r="A12177" i="1"/>
  <c r="P12177" i="1"/>
  <c r="A12178" i="1"/>
  <c r="P12178" i="1"/>
  <c r="A12179" i="1"/>
  <c r="P12179" i="1"/>
  <c r="A12180" i="1"/>
  <c r="P12180" i="1"/>
  <c r="A12181" i="1"/>
  <c r="P12181" i="1"/>
  <c r="A12182" i="1"/>
  <c r="P12182" i="1"/>
  <c r="A12183" i="1"/>
  <c r="P12183" i="1"/>
  <c r="A12184" i="1"/>
  <c r="P12184" i="1"/>
  <c r="A12185" i="1"/>
  <c r="P12185" i="1"/>
  <c r="A12186" i="1"/>
  <c r="P12186" i="1"/>
  <c r="A12187" i="1"/>
  <c r="P12187" i="1"/>
  <c r="A12188" i="1"/>
  <c r="P12188" i="1"/>
  <c r="A12189" i="1"/>
  <c r="P12189" i="1"/>
  <c r="A12190" i="1"/>
  <c r="P12190" i="1"/>
  <c r="A12191" i="1"/>
  <c r="P12191" i="1"/>
  <c r="A12192" i="1"/>
  <c r="P12192" i="1"/>
  <c r="A12193" i="1"/>
  <c r="P12193" i="1"/>
  <c r="A12194" i="1"/>
  <c r="P12194" i="1"/>
  <c r="A12195" i="1"/>
  <c r="P12195" i="1"/>
  <c r="A12196" i="1"/>
  <c r="P12196" i="1"/>
  <c r="A12197" i="1"/>
  <c r="P12197" i="1"/>
  <c r="A12198" i="1"/>
  <c r="P12198" i="1"/>
  <c r="A12199" i="1"/>
  <c r="P12199" i="1"/>
  <c r="A12200" i="1"/>
  <c r="P12200" i="1"/>
  <c r="A12201" i="1"/>
  <c r="P12201" i="1"/>
  <c r="A12202" i="1"/>
  <c r="P12202" i="1"/>
  <c r="A12203" i="1"/>
  <c r="P12203" i="1"/>
  <c r="A12204" i="1"/>
  <c r="P12204" i="1"/>
  <c r="A12205" i="1"/>
  <c r="P12205" i="1"/>
  <c r="A12206" i="1"/>
  <c r="P12206" i="1"/>
  <c r="A12207" i="1"/>
  <c r="P12207" i="1"/>
  <c r="A12208" i="1"/>
  <c r="P12208" i="1"/>
  <c r="A12209" i="1"/>
  <c r="P12209" i="1"/>
  <c r="A12210" i="1"/>
  <c r="P12210" i="1"/>
  <c r="A12211" i="1"/>
  <c r="P12211" i="1"/>
  <c r="A12212" i="1"/>
  <c r="P12212" i="1"/>
  <c r="A12213" i="1"/>
  <c r="P12213" i="1"/>
  <c r="A12214" i="1"/>
  <c r="P12214" i="1"/>
  <c r="A12215" i="1"/>
  <c r="P12215" i="1"/>
  <c r="A12216" i="1"/>
  <c r="P12216" i="1"/>
  <c r="A12217" i="1"/>
  <c r="P12217" i="1"/>
  <c r="A12218" i="1"/>
  <c r="P12218" i="1"/>
  <c r="A12219" i="1"/>
  <c r="P12219" i="1"/>
  <c r="A12220" i="1"/>
  <c r="P12220" i="1"/>
  <c r="A12221" i="1"/>
  <c r="P12221" i="1"/>
  <c r="A12222" i="1"/>
  <c r="P12222" i="1"/>
  <c r="A12223" i="1"/>
  <c r="P12223" i="1"/>
  <c r="A12224" i="1"/>
  <c r="P12224" i="1"/>
  <c r="A12225" i="1"/>
  <c r="P12225" i="1"/>
  <c r="A12226" i="1"/>
  <c r="P12226" i="1"/>
  <c r="A12227" i="1"/>
  <c r="P12227" i="1"/>
  <c r="A12228" i="1"/>
  <c r="P12228" i="1"/>
  <c r="A12229" i="1"/>
  <c r="P12229" i="1"/>
  <c r="A12230" i="1"/>
  <c r="P12230" i="1"/>
  <c r="A12231" i="1"/>
  <c r="P12231" i="1"/>
  <c r="A12232" i="1"/>
  <c r="P12232" i="1"/>
  <c r="A12233" i="1"/>
  <c r="P12233" i="1"/>
  <c r="A12234" i="1"/>
  <c r="P12234" i="1"/>
  <c r="A12235" i="1"/>
  <c r="P12235" i="1"/>
  <c r="A12236" i="1"/>
  <c r="P12236" i="1"/>
  <c r="A12237" i="1"/>
  <c r="P12237" i="1"/>
  <c r="A12238" i="1"/>
  <c r="P12238" i="1"/>
  <c r="A12239" i="1"/>
  <c r="P12239" i="1"/>
  <c r="A12240" i="1"/>
  <c r="P12240" i="1"/>
  <c r="A12241" i="1"/>
  <c r="P12241" i="1"/>
  <c r="A12242" i="1"/>
  <c r="P12242" i="1"/>
  <c r="A12243" i="1"/>
  <c r="P12243" i="1"/>
  <c r="A12244" i="1"/>
  <c r="P12244" i="1"/>
  <c r="A12245" i="1"/>
  <c r="P12245" i="1"/>
  <c r="A12246" i="1"/>
  <c r="P12246" i="1"/>
  <c r="A12247" i="1"/>
  <c r="P12247" i="1"/>
  <c r="A12248" i="1"/>
  <c r="P12248" i="1"/>
  <c r="A12249" i="1"/>
  <c r="P12249" i="1"/>
  <c r="A12250" i="1"/>
  <c r="P12250" i="1"/>
  <c r="A12251" i="1"/>
  <c r="P12251" i="1"/>
  <c r="A12252" i="1"/>
  <c r="P12252" i="1"/>
  <c r="A12253" i="1"/>
  <c r="P12253" i="1"/>
  <c r="A12254" i="1"/>
  <c r="P12254" i="1"/>
  <c r="A12255" i="1"/>
  <c r="P12255" i="1"/>
  <c r="A12256" i="1"/>
  <c r="P12256" i="1"/>
  <c r="A12257" i="1"/>
  <c r="P12257" i="1"/>
  <c r="A12258" i="1"/>
  <c r="P12258" i="1"/>
  <c r="A12259" i="1"/>
  <c r="P12259" i="1"/>
  <c r="A12260" i="1"/>
  <c r="P12260" i="1"/>
  <c r="A12261" i="1"/>
  <c r="P12261" i="1"/>
  <c r="A12262" i="1"/>
  <c r="P12262" i="1"/>
  <c r="A12263" i="1"/>
  <c r="P12263" i="1"/>
  <c r="A12264" i="1"/>
  <c r="P12264" i="1"/>
  <c r="A12265" i="1"/>
  <c r="P12265" i="1"/>
  <c r="A12266" i="1"/>
  <c r="P12266" i="1"/>
  <c r="A12267" i="1"/>
  <c r="P12267" i="1"/>
  <c r="A12268" i="1"/>
  <c r="P12268" i="1"/>
  <c r="A12269" i="1"/>
  <c r="P12269" i="1"/>
  <c r="A12270" i="1"/>
  <c r="P12270" i="1"/>
  <c r="A12271" i="1"/>
  <c r="P12271" i="1"/>
  <c r="A12272" i="1"/>
  <c r="P12272" i="1"/>
  <c r="A12273" i="1"/>
  <c r="P12273" i="1"/>
  <c r="A12274" i="1"/>
  <c r="P12274" i="1"/>
  <c r="A12275" i="1"/>
  <c r="P12275" i="1"/>
  <c r="A12276" i="1"/>
  <c r="P12276" i="1"/>
  <c r="A12277" i="1"/>
  <c r="P12277" i="1"/>
  <c r="A12278" i="1"/>
  <c r="P12278" i="1"/>
  <c r="A12279" i="1"/>
  <c r="P12279" i="1"/>
  <c r="A12280" i="1"/>
  <c r="P12280" i="1"/>
  <c r="A12281" i="1"/>
  <c r="P12281" i="1"/>
  <c r="A12282" i="1"/>
  <c r="P12282" i="1"/>
  <c r="A12283" i="1"/>
  <c r="P12283" i="1"/>
  <c r="A12284" i="1"/>
  <c r="P12284" i="1"/>
  <c r="A12285" i="1"/>
  <c r="P12285" i="1"/>
  <c r="A12286" i="1"/>
  <c r="P12286" i="1"/>
  <c r="A12287" i="1"/>
  <c r="P12287" i="1"/>
  <c r="A12288" i="1"/>
  <c r="P12288" i="1"/>
  <c r="A12289" i="1"/>
  <c r="P12289" i="1"/>
  <c r="A12290" i="1"/>
  <c r="P12290" i="1"/>
  <c r="A12291" i="1"/>
  <c r="P12291" i="1"/>
  <c r="A12292" i="1"/>
  <c r="P12292" i="1"/>
  <c r="A12293" i="1"/>
  <c r="P12293" i="1"/>
  <c r="A12294" i="1"/>
  <c r="P12294" i="1"/>
  <c r="A12295" i="1"/>
  <c r="P12295" i="1"/>
  <c r="A12296" i="1"/>
  <c r="P12296" i="1"/>
  <c r="A12297" i="1"/>
  <c r="P12297" i="1"/>
  <c r="A12298" i="1"/>
  <c r="P12298" i="1"/>
  <c r="A12299" i="1"/>
  <c r="P12299" i="1"/>
  <c r="A12300" i="1"/>
  <c r="P12300" i="1"/>
  <c r="A12301" i="1"/>
  <c r="P12301" i="1"/>
  <c r="A12302" i="1"/>
  <c r="P12302" i="1"/>
  <c r="A12303" i="1"/>
  <c r="P12303" i="1"/>
  <c r="A12304" i="1"/>
  <c r="P12304" i="1"/>
  <c r="A12305" i="1"/>
  <c r="P12305" i="1"/>
  <c r="A12306" i="1"/>
  <c r="P12306" i="1"/>
  <c r="A12307" i="1"/>
  <c r="P12307" i="1"/>
  <c r="A12308" i="1"/>
  <c r="P12308" i="1"/>
  <c r="A12309" i="1"/>
  <c r="P12309" i="1"/>
  <c r="A12310" i="1"/>
  <c r="P12310" i="1"/>
  <c r="A12311" i="1"/>
  <c r="P12311" i="1"/>
  <c r="A12312" i="1"/>
  <c r="P12312" i="1"/>
  <c r="A12313" i="1"/>
  <c r="P12313" i="1"/>
  <c r="A12314" i="1"/>
  <c r="P12314" i="1"/>
  <c r="A12315" i="1"/>
  <c r="P12315" i="1"/>
  <c r="A12316" i="1"/>
  <c r="P12316" i="1"/>
  <c r="A12317" i="1"/>
  <c r="P12317" i="1"/>
  <c r="A12318" i="1"/>
  <c r="P12318" i="1"/>
  <c r="A12319" i="1"/>
  <c r="P12319" i="1"/>
  <c r="A12320" i="1"/>
  <c r="P12320" i="1"/>
  <c r="A12321" i="1"/>
  <c r="P12321" i="1"/>
  <c r="A12322" i="1"/>
  <c r="P12322" i="1"/>
  <c r="A12323" i="1"/>
  <c r="P12323" i="1"/>
  <c r="A12324" i="1"/>
  <c r="P12324" i="1"/>
  <c r="A12325" i="1"/>
  <c r="P12325" i="1"/>
  <c r="A12326" i="1"/>
  <c r="P12326" i="1"/>
  <c r="A12327" i="1"/>
  <c r="P12327" i="1"/>
  <c r="A12328" i="1"/>
  <c r="P12328" i="1"/>
  <c r="A12329" i="1"/>
  <c r="P12329" i="1"/>
  <c r="A12330" i="1"/>
  <c r="P12330" i="1"/>
  <c r="A12331" i="1"/>
  <c r="P12331" i="1"/>
  <c r="A12332" i="1"/>
  <c r="P12332" i="1"/>
  <c r="A12333" i="1"/>
  <c r="P12333" i="1"/>
  <c r="A12334" i="1"/>
  <c r="P12334" i="1"/>
  <c r="A12335" i="1"/>
  <c r="P12335" i="1"/>
  <c r="A12336" i="1"/>
  <c r="P12336" i="1"/>
  <c r="A12337" i="1"/>
  <c r="P12337" i="1"/>
  <c r="A12338" i="1"/>
  <c r="P12338" i="1"/>
  <c r="A12339" i="1"/>
  <c r="P12339" i="1"/>
  <c r="A12340" i="1"/>
  <c r="P12340" i="1"/>
  <c r="A12341" i="1"/>
  <c r="P12341" i="1"/>
  <c r="A12342" i="1"/>
  <c r="P12342" i="1"/>
  <c r="A12343" i="1"/>
  <c r="P12343" i="1"/>
  <c r="A12344" i="1"/>
  <c r="P12344" i="1"/>
  <c r="A12345" i="1"/>
  <c r="P12345" i="1"/>
  <c r="A12346" i="1"/>
  <c r="P12346" i="1"/>
  <c r="A12347" i="1"/>
  <c r="P12347" i="1"/>
  <c r="A12348" i="1"/>
  <c r="P12348" i="1"/>
  <c r="A12349" i="1"/>
  <c r="P12349" i="1"/>
  <c r="A12350" i="1"/>
  <c r="P12350" i="1"/>
  <c r="A12351" i="1"/>
  <c r="P12351" i="1"/>
  <c r="A12352" i="1"/>
  <c r="P12352" i="1"/>
  <c r="A12353" i="1"/>
  <c r="P12353" i="1"/>
  <c r="A12354" i="1"/>
  <c r="P12354" i="1"/>
  <c r="A12355" i="1"/>
  <c r="P12355" i="1"/>
  <c r="A12356" i="1"/>
  <c r="P12356" i="1"/>
  <c r="A12357" i="1"/>
  <c r="P12357" i="1"/>
  <c r="A12358" i="1"/>
  <c r="P12358" i="1"/>
  <c r="A12359" i="1"/>
  <c r="P12359" i="1"/>
  <c r="A12360" i="1"/>
  <c r="P12360" i="1"/>
  <c r="A12361" i="1"/>
  <c r="P12361" i="1"/>
  <c r="A12362" i="1"/>
  <c r="P12362" i="1"/>
  <c r="A12363" i="1"/>
  <c r="P12363" i="1"/>
  <c r="A12364" i="1"/>
  <c r="P12364" i="1"/>
  <c r="A12365" i="1"/>
  <c r="P12365" i="1"/>
  <c r="A12366" i="1"/>
  <c r="P12366" i="1"/>
  <c r="A12367" i="1"/>
  <c r="P12367" i="1"/>
  <c r="A12368" i="1"/>
  <c r="P12368" i="1"/>
  <c r="A12369" i="1"/>
  <c r="P12369" i="1"/>
  <c r="A12370" i="1"/>
  <c r="P12370" i="1"/>
  <c r="A12371" i="1"/>
  <c r="P12371" i="1"/>
  <c r="A12372" i="1"/>
  <c r="P12372" i="1"/>
  <c r="A12373" i="1"/>
  <c r="P12373" i="1"/>
  <c r="A12374" i="1"/>
  <c r="P12374" i="1"/>
  <c r="A12375" i="1"/>
  <c r="P12375" i="1"/>
  <c r="A12376" i="1"/>
  <c r="P12376" i="1"/>
  <c r="A12377" i="1"/>
  <c r="P12377" i="1"/>
  <c r="A12378" i="1"/>
  <c r="P12378" i="1"/>
  <c r="A12379" i="1"/>
  <c r="P12379" i="1"/>
  <c r="A12380" i="1"/>
  <c r="P12380" i="1"/>
  <c r="A12381" i="1"/>
  <c r="P12381" i="1"/>
  <c r="A12382" i="1"/>
  <c r="P12382" i="1"/>
  <c r="A12383" i="1"/>
  <c r="P12383" i="1"/>
  <c r="A12384" i="1"/>
  <c r="P12384" i="1"/>
  <c r="A12385" i="1"/>
  <c r="P12385" i="1"/>
  <c r="A12386" i="1"/>
  <c r="P12386" i="1"/>
  <c r="A12387" i="1"/>
  <c r="P12387" i="1"/>
  <c r="A12388" i="1"/>
  <c r="P12388" i="1"/>
  <c r="A12389" i="1"/>
  <c r="P12389" i="1"/>
  <c r="A12390" i="1"/>
  <c r="P12390" i="1"/>
  <c r="A12391" i="1"/>
  <c r="P12391" i="1"/>
  <c r="A12392" i="1"/>
  <c r="P12392" i="1"/>
  <c r="A12393" i="1"/>
  <c r="P12393" i="1"/>
  <c r="A12394" i="1"/>
  <c r="P12394" i="1"/>
  <c r="A12395" i="1"/>
  <c r="P12395" i="1"/>
  <c r="A12396" i="1"/>
  <c r="P12396" i="1"/>
  <c r="A12397" i="1"/>
  <c r="P12397" i="1"/>
  <c r="A12398" i="1"/>
  <c r="P12398" i="1"/>
  <c r="A12399" i="1"/>
  <c r="P12399" i="1"/>
  <c r="A12400" i="1"/>
  <c r="P12400" i="1"/>
  <c r="A12401" i="1"/>
  <c r="P12401" i="1"/>
  <c r="A12402" i="1"/>
  <c r="P12402" i="1"/>
  <c r="A12403" i="1"/>
  <c r="P12403" i="1"/>
  <c r="A12404" i="1"/>
  <c r="P12404" i="1"/>
  <c r="A12405" i="1"/>
  <c r="P12405" i="1"/>
  <c r="A12406" i="1"/>
  <c r="P12406" i="1"/>
  <c r="A12407" i="1"/>
  <c r="P12407" i="1"/>
  <c r="A12408" i="1"/>
  <c r="P12408" i="1"/>
  <c r="A12409" i="1"/>
  <c r="P12409" i="1"/>
  <c r="A12410" i="1"/>
  <c r="P12410" i="1"/>
  <c r="A12411" i="1"/>
  <c r="P12411" i="1"/>
  <c r="A12412" i="1"/>
  <c r="P12412" i="1"/>
  <c r="A12413" i="1"/>
  <c r="P12413" i="1"/>
  <c r="A12414" i="1"/>
  <c r="P12414" i="1"/>
  <c r="A12415" i="1"/>
  <c r="P12415" i="1"/>
  <c r="A12416" i="1"/>
  <c r="P12416" i="1"/>
  <c r="A12417" i="1"/>
  <c r="P12417" i="1"/>
  <c r="A12418" i="1"/>
  <c r="P12418" i="1"/>
  <c r="A12419" i="1"/>
  <c r="P12419" i="1"/>
  <c r="A12420" i="1"/>
  <c r="P12420" i="1"/>
  <c r="A12421" i="1"/>
  <c r="P12421" i="1"/>
  <c r="A12422" i="1"/>
  <c r="P12422" i="1"/>
  <c r="A12423" i="1"/>
  <c r="P12423" i="1"/>
  <c r="A12424" i="1"/>
  <c r="P12424" i="1"/>
  <c r="A12425" i="1"/>
  <c r="P12425" i="1"/>
  <c r="A12426" i="1"/>
  <c r="P12426" i="1"/>
  <c r="A12427" i="1"/>
  <c r="P12427" i="1"/>
  <c r="A12428" i="1"/>
  <c r="P12428" i="1"/>
  <c r="A12429" i="1"/>
  <c r="P12429" i="1"/>
  <c r="A12430" i="1"/>
  <c r="P12430" i="1"/>
  <c r="A12431" i="1"/>
  <c r="P12431" i="1"/>
  <c r="A12432" i="1"/>
  <c r="P12432" i="1"/>
  <c r="A12433" i="1"/>
  <c r="P12433" i="1"/>
  <c r="A12434" i="1"/>
  <c r="P12434" i="1"/>
  <c r="A12435" i="1"/>
  <c r="P12435" i="1"/>
  <c r="A12436" i="1"/>
  <c r="P12436" i="1"/>
  <c r="A12437" i="1"/>
  <c r="P12437" i="1"/>
  <c r="A12438" i="1"/>
  <c r="P12438" i="1"/>
  <c r="A12439" i="1"/>
  <c r="P12439" i="1"/>
  <c r="A12440" i="1"/>
  <c r="P12440" i="1"/>
  <c r="A12441" i="1"/>
  <c r="P12441" i="1"/>
  <c r="A12442" i="1"/>
  <c r="P12442" i="1"/>
  <c r="A12443" i="1"/>
  <c r="P12443" i="1"/>
  <c r="A12444" i="1"/>
  <c r="P12444" i="1"/>
  <c r="A12445" i="1"/>
  <c r="P12445" i="1"/>
  <c r="A12446" i="1"/>
  <c r="P12446" i="1"/>
  <c r="A12447" i="1"/>
  <c r="P12447" i="1"/>
  <c r="A12448" i="1"/>
  <c r="P12448" i="1"/>
  <c r="A12449" i="1"/>
  <c r="P12449" i="1"/>
  <c r="A12450" i="1"/>
  <c r="P12450" i="1"/>
  <c r="A12451" i="1"/>
  <c r="P12451" i="1"/>
  <c r="A12452" i="1"/>
  <c r="P12452" i="1"/>
  <c r="A12453" i="1"/>
  <c r="P12453" i="1"/>
  <c r="A12454" i="1"/>
  <c r="P12454" i="1"/>
  <c r="A12455" i="1"/>
  <c r="P12455" i="1"/>
  <c r="A12456" i="1"/>
  <c r="P12456" i="1"/>
  <c r="A12457" i="1"/>
  <c r="P12457" i="1"/>
  <c r="A12458" i="1"/>
  <c r="P12458" i="1"/>
  <c r="A12459" i="1"/>
  <c r="P12459" i="1"/>
  <c r="A12460" i="1"/>
  <c r="P12460" i="1"/>
  <c r="A12461" i="1"/>
  <c r="P12461" i="1"/>
  <c r="A12462" i="1"/>
  <c r="P12462" i="1"/>
  <c r="A12463" i="1"/>
  <c r="P12463" i="1"/>
  <c r="A12464" i="1"/>
  <c r="P12464" i="1"/>
  <c r="A12465" i="1"/>
  <c r="P12465" i="1"/>
  <c r="A12466" i="1"/>
  <c r="P12466" i="1"/>
  <c r="A12467" i="1"/>
  <c r="P12467" i="1"/>
  <c r="A12468" i="1"/>
  <c r="P12468" i="1"/>
  <c r="A12469" i="1"/>
  <c r="P12469" i="1"/>
  <c r="A12470" i="1"/>
  <c r="P12470" i="1"/>
  <c r="A12471" i="1"/>
  <c r="P12471" i="1"/>
  <c r="A12472" i="1"/>
  <c r="P12472" i="1"/>
  <c r="A12473" i="1"/>
  <c r="P12473" i="1"/>
  <c r="A12474" i="1"/>
  <c r="P12474" i="1"/>
  <c r="A12475" i="1"/>
  <c r="P12475" i="1"/>
  <c r="A12476" i="1"/>
  <c r="P12476" i="1"/>
  <c r="A12477" i="1"/>
  <c r="P12477" i="1"/>
  <c r="A12478" i="1"/>
  <c r="P12478" i="1"/>
  <c r="A12479" i="1"/>
  <c r="P12479" i="1"/>
  <c r="A12480" i="1"/>
  <c r="P12480" i="1"/>
  <c r="A12481" i="1"/>
  <c r="P12481" i="1"/>
  <c r="A12482" i="1"/>
  <c r="P12482" i="1"/>
  <c r="A12483" i="1"/>
  <c r="P12483" i="1"/>
  <c r="A12484" i="1"/>
  <c r="P12484" i="1"/>
  <c r="A12485" i="1"/>
  <c r="P12485" i="1"/>
  <c r="A12486" i="1"/>
  <c r="P12486" i="1"/>
  <c r="A12487" i="1"/>
  <c r="P12487" i="1"/>
  <c r="A12488" i="1"/>
  <c r="P12488" i="1"/>
  <c r="A12489" i="1"/>
  <c r="P12489" i="1"/>
  <c r="A12490" i="1"/>
  <c r="P12490" i="1"/>
  <c r="A12491" i="1"/>
  <c r="P12491" i="1"/>
  <c r="A12492" i="1"/>
  <c r="P12492" i="1"/>
  <c r="A12493" i="1"/>
  <c r="P12493" i="1"/>
  <c r="A12494" i="1"/>
  <c r="P12494" i="1"/>
  <c r="A12495" i="1"/>
  <c r="P12495" i="1"/>
  <c r="A12496" i="1"/>
  <c r="P12496" i="1"/>
  <c r="A12497" i="1"/>
  <c r="P12497" i="1"/>
  <c r="A12498" i="1"/>
  <c r="P12498" i="1"/>
  <c r="A12499" i="1"/>
  <c r="P12499" i="1"/>
  <c r="A12500" i="1"/>
  <c r="P12500" i="1"/>
  <c r="A12501" i="1"/>
  <c r="P12501" i="1"/>
  <c r="A12502" i="1"/>
  <c r="P12502" i="1"/>
  <c r="A12503" i="1"/>
  <c r="P12503" i="1"/>
  <c r="A12504" i="1"/>
  <c r="P12504" i="1"/>
  <c r="A12505" i="1"/>
  <c r="P12505" i="1"/>
  <c r="A12506" i="1"/>
  <c r="P12506" i="1"/>
  <c r="A12507" i="1"/>
  <c r="P12507" i="1"/>
  <c r="A12508" i="1"/>
  <c r="P12508" i="1"/>
  <c r="A12509" i="1"/>
  <c r="P12509" i="1"/>
  <c r="A12510" i="1"/>
  <c r="P12510" i="1"/>
  <c r="A12511" i="1"/>
  <c r="P12511" i="1"/>
  <c r="A12512" i="1"/>
  <c r="P12512" i="1"/>
  <c r="A12513" i="1"/>
  <c r="P12513" i="1"/>
  <c r="A12514" i="1"/>
  <c r="P12514" i="1"/>
  <c r="A12515" i="1"/>
  <c r="P12515" i="1"/>
  <c r="A12516" i="1"/>
  <c r="P12516" i="1"/>
  <c r="A12517" i="1"/>
  <c r="P12517" i="1"/>
  <c r="A12518" i="1"/>
  <c r="P12518" i="1"/>
  <c r="A12519" i="1"/>
  <c r="P12519" i="1"/>
  <c r="A12520" i="1"/>
  <c r="P12520" i="1"/>
  <c r="A12521" i="1"/>
  <c r="P12521" i="1"/>
  <c r="A12522" i="1"/>
  <c r="P12522" i="1"/>
  <c r="A12523" i="1"/>
  <c r="P12523" i="1"/>
  <c r="A12524" i="1"/>
  <c r="P12524" i="1"/>
  <c r="A12525" i="1"/>
  <c r="P12525" i="1"/>
  <c r="A12526" i="1"/>
  <c r="P12526" i="1"/>
  <c r="A12527" i="1"/>
  <c r="P12527" i="1"/>
  <c r="A12528" i="1"/>
  <c r="P12528" i="1"/>
  <c r="A12529" i="1"/>
  <c r="P12529" i="1"/>
  <c r="A12530" i="1"/>
  <c r="P12530" i="1"/>
  <c r="A12531" i="1"/>
  <c r="P12531" i="1"/>
  <c r="A12532" i="1"/>
  <c r="P12532" i="1"/>
  <c r="A12533" i="1"/>
  <c r="P12533" i="1"/>
  <c r="A12534" i="1"/>
  <c r="P12534" i="1"/>
  <c r="A12535" i="1"/>
  <c r="P12535" i="1"/>
  <c r="A12536" i="1"/>
  <c r="P12536" i="1"/>
  <c r="A12537" i="1"/>
  <c r="P12537" i="1"/>
  <c r="A12538" i="1"/>
  <c r="P12538" i="1"/>
  <c r="A12539" i="1"/>
  <c r="P12539" i="1"/>
  <c r="A12540" i="1"/>
  <c r="P12540" i="1"/>
  <c r="A12541" i="1"/>
  <c r="P12541" i="1"/>
  <c r="A12542" i="1"/>
  <c r="P12542" i="1"/>
  <c r="A12543" i="1"/>
  <c r="P12543" i="1"/>
  <c r="A12544" i="1"/>
  <c r="P12544" i="1"/>
  <c r="A12545" i="1"/>
  <c r="P12545" i="1"/>
  <c r="A12546" i="1"/>
  <c r="P12546" i="1"/>
  <c r="A12547" i="1"/>
  <c r="P12547" i="1"/>
  <c r="A12548" i="1"/>
  <c r="P12548" i="1"/>
  <c r="A12549" i="1"/>
  <c r="P12549" i="1"/>
  <c r="A12550" i="1"/>
  <c r="P12550" i="1"/>
  <c r="A12551" i="1"/>
  <c r="P12551" i="1"/>
  <c r="A12552" i="1"/>
  <c r="P12552" i="1"/>
  <c r="A12553" i="1"/>
  <c r="P12553" i="1"/>
  <c r="A12554" i="1"/>
  <c r="P12554" i="1"/>
  <c r="A12555" i="1"/>
  <c r="P12555" i="1"/>
  <c r="A12556" i="1"/>
  <c r="P12556" i="1"/>
  <c r="A12557" i="1"/>
  <c r="P12557" i="1"/>
  <c r="A12558" i="1"/>
  <c r="P12558" i="1"/>
  <c r="A12559" i="1"/>
  <c r="P12559" i="1"/>
  <c r="A12560" i="1"/>
  <c r="P12560" i="1"/>
  <c r="A12561" i="1"/>
  <c r="P12561" i="1"/>
  <c r="A12562" i="1"/>
  <c r="P12562" i="1"/>
  <c r="A12563" i="1"/>
  <c r="P12563" i="1"/>
  <c r="A12564" i="1"/>
  <c r="P12564" i="1"/>
  <c r="A12565" i="1"/>
  <c r="P12565" i="1"/>
  <c r="A12566" i="1"/>
  <c r="P12566" i="1"/>
  <c r="A12567" i="1"/>
  <c r="P12567" i="1"/>
  <c r="A12568" i="1"/>
  <c r="P12568" i="1"/>
  <c r="A12569" i="1"/>
  <c r="P12569" i="1"/>
  <c r="A12570" i="1"/>
  <c r="P12570" i="1"/>
  <c r="A12571" i="1"/>
  <c r="P12571" i="1"/>
  <c r="A12572" i="1"/>
  <c r="P12572" i="1"/>
  <c r="A12573" i="1"/>
  <c r="P12573" i="1"/>
  <c r="A12574" i="1"/>
  <c r="P12574" i="1"/>
  <c r="A12575" i="1"/>
  <c r="P12575" i="1"/>
  <c r="A12576" i="1"/>
  <c r="P12576" i="1"/>
  <c r="A12577" i="1"/>
  <c r="P12577" i="1"/>
  <c r="A12578" i="1"/>
  <c r="P12578" i="1"/>
  <c r="A12579" i="1"/>
  <c r="P12579" i="1"/>
  <c r="A12580" i="1"/>
  <c r="P12580" i="1"/>
  <c r="A12581" i="1"/>
  <c r="P12581" i="1"/>
  <c r="A12582" i="1"/>
  <c r="P12582" i="1"/>
  <c r="A12583" i="1"/>
  <c r="P12583" i="1"/>
  <c r="A12584" i="1"/>
  <c r="P12584" i="1"/>
  <c r="A12585" i="1"/>
  <c r="P12585" i="1"/>
  <c r="A12586" i="1"/>
  <c r="P12586" i="1"/>
  <c r="A12587" i="1"/>
  <c r="P12587" i="1"/>
  <c r="A12588" i="1"/>
  <c r="P12588" i="1"/>
  <c r="A12589" i="1"/>
  <c r="P12589" i="1"/>
  <c r="A12590" i="1"/>
  <c r="P12590" i="1"/>
  <c r="A12591" i="1"/>
  <c r="P12591" i="1"/>
  <c r="A12592" i="1"/>
  <c r="P12592" i="1"/>
  <c r="A12593" i="1"/>
  <c r="P12593" i="1"/>
  <c r="A12594" i="1"/>
  <c r="P12594" i="1"/>
  <c r="A12595" i="1"/>
  <c r="P12595" i="1"/>
  <c r="A12596" i="1"/>
  <c r="P12596" i="1"/>
  <c r="A12597" i="1"/>
  <c r="P12597" i="1"/>
  <c r="A12598" i="1"/>
  <c r="P12598" i="1"/>
  <c r="A12599" i="1"/>
  <c r="P12599" i="1"/>
  <c r="A12600" i="1"/>
  <c r="P12600" i="1"/>
  <c r="A12601" i="1"/>
  <c r="P12601" i="1"/>
  <c r="A12602" i="1"/>
  <c r="P12602" i="1"/>
  <c r="A12603" i="1"/>
  <c r="P12603" i="1"/>
  <c r="A12604" i="1"/>
  <c r="P12604" i="1"/>
  <c r="A12605" i="1"/>
  <c r="P12605" i="1"/>
  <c r="A12606" i="1"/>
  <c r="P12606" i="1"/>
  <c r="A12607" i="1"/>
  <c r="P12607" i="1"/>
  <c r="A12608" i="1"/>
  <c r="P12608" i="1"/>
  <c r="A12609" i="1"/>
  <c r="P12609" i="1"/>
  <c r="A12610" i="1"/>
  <c r="P12610" i="1"/>
  <c r="A12611" i="1"/>
  <c r="P12611" i="1"/>
  <c r="A12612" i="1"/>
  <c r="P12612" i="1"/>
  <c r="A12613" i="1"/>
  <c r="P12613" i="1"/>
  <c r="A12614" i="1"/>
  <c r="P12614" i="1"/>
  <c r="A12615" i="1"/>
  <c r="P12615" i="1"/>
  <c r="A12616" i="1"/>
  <c r="P12616" i="1"/>
  <c r="A12617" i="1"/>
  <c r="P12617" i="1"/>
  <c r="A12618" i="1"/>
  <c r="P12618" i="1"/>
  <c r="A12619" i="1"/>
  <c r="P12619" i="1"/>
  <c r="A12620" i="1"/>
  <c r="P12620" i="1"/>
  <c r="A12621" i="1"/>
  <c r="P12621" i="1"/>
  <c r="A12622" i="1"/>
  <c r="P12622" i="1"/>
  <c r="A12623" i="1"/>
  <c r="P12623" i="1"/>
  <c r="A12624" i="1"/>
  <c r="P12624" i="1"/>
  <c r="A12625" i="1"/>
  <c r="P12625" i="1"/>
  <c r="A12626" i="1"/>
  <c r="P12626" i="1"/>
  <c r="A12627" i="1"/>
  <c r="P12627" i="1"/>
  <c r="A12628" i="1"/>
  <c r="P12628" i="1"/>
  <c r="A12629" i="1"/>
  <c r="P12629" i="1"/>
  <c r="A12630" i="1"/>
  <c r="P12630" i="1"/>
  <c r="A12631" i="1"/>
  <c r="P12631" i="1"/>
  <c r="A12632" i="1"/>
  <c r="P12632" i="1"/>
  <c r="A12633" i="1"/>
  <c r="P12633" i="1"/>
  <c r="A12634" i="1"/>
  <c r="P12634" i="1"/>
  <c r="A12635" i="1"/>
  <c r="P12635" i="1"/>
  <c r="A12636" i="1"/>
  <c r="P12636" i="1"/>
  <c r="A12637" i="1"/>
  <c r="P12637" i="1"/>
  <c r="A12638" i="1"/>
  <c r="P12638" i="1"/>
  <c r="A12639" i="1"/>
  <c r="P12639" i="1"/>
  <c r="A12640" i="1"/>
  <c r="P12640" i="1"/>
  <c r="A12641" i="1"/>
  <c r="P12641" i="1"/>
  <c r="A12642" i="1"/>
  <c r="P12642" i="1"/>
  <c r="A12643" i="1"/>
  <c r="P12643" i="1"/>
  <c r="A12644" i="1"/>
  <c r="P12644" i="1"/>
  <c r="A12645" i="1"/>
  <c r="P12645" i="1"/>
  <c r="A12646" i="1"/>
  <c r="P12646" i="1"/>
  <c r="A12647" i="1"/>
  <c r="P12647" i="1"/>
  <c r="A12648" i="1"/>
  <c r="P12648" i="1"/>
  <c r="A12649" i="1"/>
  <c r="P12649" i="1"/>
  <c r="A12650" i="1"/>
  <c r="P12650" i="1"/>
  <c r="A12651" i="1"/>
  <c r="P12651" i="1"/>
  <c r="A12652" i="1"/>
  <c r="P12652" i="1"/>
  <c r="A12653" i="1"/>
  <c r="P12653" i="1"/>
  <c r="A12654" i="1"/>
  <c r="P12654" i="1"/>
  <c r="A12655" i="1"/>
  <c r="P12655" i="1"/>
  <c r="A12656" i="1"/>
  <c r="P12656" i="1"/>
  <c r="A12657" i="1"/>
  <c r="P12657" i="1"/>
  <c r="A12658" i="1"/>
  <c r="P12658" i="1"/>
  <c r="A12659" i="1"/>
  <c r="P12659" i="1"/>
  <c r="A12660" i="1"/>
  <c r="P12660" i="1"/>
  <c r="A12661" i="1"/>
  <c r="P12661" i="1"/>
  <c r="A12662" i="1"/>
  <c r="P12662" i="1"/>
  <c r="A12663" i="1"/>
  <c r="P12663" i="1"/>
  <c r="A12664" i="1"/>
  <c r="P12664" i="1"/>
  <c r="A12665" i="1"/>
  <c r="P12665" i="1"/>
  <c r="A12666" i="1"/>
  <c r="P12666" i="1"/>
  <c r="A12667" i="1"/>
  <c r="P12667" i="1"/>
  <c r="A12668" i="1"/>
  <c r="P12668" i="1"/>
  <c r="A12669" i="1"/>
  <c r="P12669" i="1"/>
  <c r="A12670" i="1"/>
  <c r="P12670" i="1"/>
  <c r="A12671" i="1"/>
  <c r="P12671" i="1"/>
  <c r="A12672" i="1"/>
  <c r="P12672" i="1"/>
  <c r="A12673" i="1"/>
  <c r="P12673" i="1"/>
  <c r="A12674" i="1"/>
  <c r="P12674" i="1"/>
  <c r="A12675" i="1"/>
  <c r="P12675" i="1"/>
  <c r="A12676" i="1"/>
  <c r="P12676" i="1"/>
  <c r="A12677" i="1"/>
  <c r="P12677" i="1"/>
  <c r="A12678" i="1"/>
  <c r="P12678" i="1"/>
  <c r="A12679" i="1"/>
  <c r="P12679" i="1"/>
  <c r="A12680" i="1"/>
  <c r="P12680" i="1"/>
  <c r="A12681" i="1"/>
  <c r="P12681" i="1"/>
  <c r="A12682" i="1"/>
  <c r="P12682" i="1"/>
  <c r="A12683" i="1"/>
  <c r="P12683" i="1"/>
  <c r="A12684" i="1"/>
  <c r="P12684" i="1"/>
  <c r="A12685" i="1"/>
  <c r="P12685" i="1"/>
  <c r="A12686" i="1"/>
  <c r="P12686" i="1"/>
  <c r="A12687" i="1"/>
  <c r="P12687" i="1"/>
  <c r="A12688" i="1"/>
  <c r="P12688" i="1"/>
  <c r="A12689" i="1"/>
  <c r="P12689" i="1"/>
  <c r="A12690" i="1"/>
  <c r="P12690" i="1"/>
  <c r="A12691" i="1"/>
  <c r="P12691" i="1"/>
  <c r="A12692" i="1"/>
  <c r="P12692" i="1"/>
  <c r="A12693" i="1"/>
  <c r="P12693" i="1"/>
  <c r="A12694" i="1"/>
  <c r="P12694" i="1"/>
  <c r="A12695" i="1"/>
  <c r="P12695" i="1"/>
  <c r="A12696" i="1"/>
  <c r="P12696" i="1"/>
  <c r="A12697" i="1"/>
  <c r="P12697" i="1"/>
  <c r="A12698" i="1"/>
  <c r="P12698" i="1"/>
  <c r="A12699" i="1"/>
  <c r="P12699" i="1"/>
  <c r="A12700" i="1"/>
  <c r="P12700" i="1"/>
  <c r="A12701" i="1"/>
  <c r="P12701" i="1"/>
  <c r="A12702" i="1"/>
  <c r="P12702" i="1"/>
  <c r="A12703" i="1"/>
  <c r="P12703" i="1"/>
  <c r="A12704" i="1"/>
  <c r="P12704" i="1"/>
  <c r="A12705" i="1"/>
  <c r="P12705" i="1"/>
  <c r="A12706" i="1"/>
  <c r="P12706" i="1"/>
  <c r="A12707" i="1"/>
  <c r="P12707" i="1"/>
  <c r="A12708" i="1"/>
  <c r="P12708" i="1"/>
  <c r="A12709" i="1"/>
  <c r="P12709" i="1"/>
  <c r="A12710" i="1"/>
  <c r="P12710" i="1"/>
  <c r="A12711" i="1"/>
  <c r="P12711" i="1"/>
  <c r="A12712" i="1"/>
  <c r="P12712" i="1"/>
  <c r="A12713" i="1"/>
  <c r="P12713" i="1"/>
  <c r="A12714" i="1"/>
  <c r="P12714" i="1"/>
  <c r="A12715" i="1"/>
  <c r="P12715" i="1"/>
  <c r="A12716" i="1"/>
  <c r="P12716" i="1"/>
  <c r="A12717" i="1"/>
  <c r="P12717" i="1"/>
  <c r="A12718" i="1"/>
  <c r="P12718" i="1"/>
  <c r="A12719" i="1"/>
  <c r="P12719" i="1"/>
  <c r="A12720" i="1"/>
  <c r="P12720" i="1"/>
  <c r="A12721" i="1"/>
  <c r="P12721" i="1"/>
  <c r="A12722" i="1"/>
  <c r="P12722" i="1"/>
  <c r="A12723" i="1"/>
  <c r="P12723" i="1"/>
  <c r="A12724" i="1"/>
  <c r="P12724" i="1"/>
  <c r="A12725" i="1"/>
  <c r="P12725" i="1"/>
  <c r="A12726" i="1"/>
  <c r="P12726" i="1"/>
  <c r="A12727" i="1"/>
  <c r="P12727" i="1"/>
  <c r="A12728" i="1"/>
  <c r="P12728" i="1"/>
  <c r="A12729" i="1"/>
  <c r="P12729" i="1"/>
  <c r="A12730" i="1"/>
  <c r="P12730" i="1"/>
  <c r="A12731" i="1"/>
  <c r="P12731" i="1"/>
  <c r="A12732" i="1"/>
  <c r="P12732" i="1"/>
  <c r="A12733" i="1"/>
  <c r="P12733" i="1"/>
  <c r="A12734" i="1"/>
  <c r="P12734" i="1"/>
  <c r="A12735" i="1"/>
  <c r="P12735" i="1"/>
  <c r="A12736" i="1"/>
  <c r="P12736" i="1"/>
  <c r="A12737" i="1"/>
  <c r="P12737" i="1"/>
  <c r="A12738" i="1"/>
  <c r="P12738" i="1"/>
  <c r="A12739" i="1"/>
  <c r="P12739" i="1"/>
  <c r="A12740" i="1"/>
  <c r="P12740" i="1"/>
  <c r="A12741" i="1"/>
  <c r="P12741" i="1"/>
  <c r="A12742" i="1"/>
  <c r="P12742" i="1"/>
  <c r="A12743" i="1"/>
  <c r="P12743" i="1"/>
  <c r="A12744" i="1"/>
  <c r="P12744" i="1"/>
  <c r="A12745" i="1"/>
  <c r="P12745" i="1"/>
  <c r="A12746" i="1"/>
  <c r="P12746" i="1"/>
  <c r="A12747" i="1"/>
  <c r="P12747" i="1"/>
  <c r="A12748" i="1"/>
  <c r="P12748" i="1"/>
  <c r="A12749" i="1"/>
  <c r="P12749" i="1"/>
  <c r="A12750" i="1"/>
  <c r="P12750" i="1"/>
  <c r="A12751" i="1"/>
  <c r="P12751" i="1"/>
  <c r="A12752" i="1"/>
  <c r="P12752" i="1"/>
  <c r="A12753" i="1"/>
  <c r="P12753" i="1"/>
  <c r="A12754" i="1"/>
  <c r="P12754" i="1"/>
  <c r="A12755" i="1"/>
  <c r="P12755" i="1"/>
  <c r="A12756" i="1"/>
  <c r="P12756" i="1"/>
  <c r="A12757" i="1"/>
  <c r="P12757" i="1"/>
  <c r="A12758" i="1"/>
  <c r="P12758" i="1"/>
  <c r="A12759" i="1"/>
  <c r="P12759" i="1"/>
  <c r="A12760" i="1"/>
  <c r="P12760" i="1"/>
  <c r="A12761" i="1"/>
  <c r="P12761" i="1"/>
  <c r="A12762" i="1"/>
  <c r="P12762" i="1"/>
  <c r="A12763" i="1"/>
  <c r="P12763" i="1"/>
  <c r="A12764" i="1"/>
  <c r="P12764" i="1"/>
  <c r="A12765" i="1"/>
  <c r="P12765" i="1"/>
  <c r="A12766" i="1"/>
  <c r="P12766" i="1"/>
  <c r="A12767" i="1"/>
  <c r="P12767" i="1"/>
  <c r="A12768" i="1"/>
  <c r="P12768" i="1"/>
  <c r="A12769" i="1"/>
  <c r="P12769" i="1"/>
  <c r="A12770" i="1"/>
  <c r="P12770" i="1"/>
  <c r="A12771" i="1"/>
  <c r="P12771" i="1"/>
  <c r="A12772" i="1"/>
  <c r="P12772" i="1"/>
  <c r="A12773" i="1"/>
  <c r="P12773" i="1"/>
  <c r="A12774" i="1"/>
  <c r="P12774" i="1"/>
  <c r="A12775" i="1"/>
  <c r="P12775" i="1"/>
  <c r="A12776" i="1"/>
  <c r="P12776" i="1"/>
  <c r="A12777" i="1"/>
  <c r="P12777" i="1"/>
  <c r="A12778" i="1"/>
  <c r="P12778" i="1"/>
  <c r="A12779" i="1"/>
  <c r="P12779" i="1"/>
  <c r="A12780" i="1"/>
  <c r="P12780" i="1"/>
  <c r="A12781" i="1"/>
  <c r="P12781" i="1"/>
  <c r="A12782" i="1"/>
  <c r="P12782" i="1"/>
  <c r="A12783" i="1"/>
  <c r="P12783" i="1"/>
  <c r="A12784" i="1"/>
  <c r="P12784" i="1"/>
  <c r="A12785" i="1"/>
  <c r="P12785" i="1"/>
  <c r="A12786" i="1"/>
  <c r="P12786" i="1"/>
  <c r="A12787" i="1"/>
  <c r="P12787" i="1"/>
  <c r="A12788" i="1"/>
  <c r="P12788" i="1"/>
  <c r="A12789" i="1"/>
  <c r="P12789" i="1"/>
  <c r="A12790" i="1"/>
  <c r="P12790" i="1"/>
  <c r="A12791" i="1"/>
  <c r="P12791" i="1"/>
  <c r="A12792" i="1"/>
  <c r="P12792" i="1"/>
  <c r="A12793" i="1"/>
  <c r="P12793" i="1"/>
  <c r="A12794" i="1"/>
  <c r="P12794" i="1"/>
  <c r="A12795" i="1"/>
  <c r="P12795" i="1"/>
  <c r="A12796" i="1"/>
  <c r="P12796" i="1"/>
  <c r="A12797" i="1"/>
  <c r="P12797" i="1"/>
  <c r="A12798" i="1"/>
  <c r="P12798" i="1"/>
  <c r="A12799" i="1"/>
  <c r="P12799" i="1"/>
  <c r="A12800" i="1"/>
  <c r="P12800" i="1"/>
  <c r="A12801" i="1"/>
  <c r="P12801" i="1"/>
  <c r="A12802" i="1"/>
  <c r="P12802" i="1"/>
  <c r="A12803" i="1"/>
  <c r="P12803" i="1"/>
  <c r="A12804" i="1"/>
  <c r="P12804" i="1"/>
  <c r="A12805" i="1"/>
  <c r="P12805" i="1"/>
  <c r="A12806" i="1"/>
  <c r="P12806" i="1"/>
  <c r="A12807" i="1"/>
  <c r="P12807" i="1"/>
  <c r="A12808" i="1"/>
  <c r="P12808" i="1"/>
  <c r="A12809" i="1"/>
  <c r="P12809" i="1"/>
  <c r="A12810" i="1"/>
  <c r="P12810" i="1"/>
  <c r="A12811" i="1"/>
  <c r="P12811" i="1"/>
  <c r="A12812" i="1"/>
  <c r="P12812" i="1"/>
  <c r="A12813" i="1"/>
  <c r="P12813" i="1"/>
  <c r="A12814" i="1"/>
  <c r="P12814" i="1"/>
  <c r="A12815" i="1"/>
  <c r="P12815" i="1"/>
  <c r="A12816" i="1"/>
  <c r="P12816" i="1"/>
  <c r="A12817" i="1"/>
  <c r="P12817" i="1"/>
  <c r="A12818" i="1"/>
  <c r="P12818" i="1"/>
  <c r="A12819" i="1"/>
  <c r="P12819" i="1"/>
  <c r="A12820" i="1"/>
  <c r="P12820" i="1"/>
  <c r="A12821" i="1"/>
  <c r="P12821" i="1"/>
  <c r="A12822" i="1"/>
  <c r="P12822" i="1"/>
  <c r="A12823" i="1"/>
  <c r="P12823" i="1"/>
  <c r="A12824" i="1"/>
  <c r="P12824" i="1"/>
  <c r="A12825" i="1"/>
  <c r="P12825" i="1"/>
  <c r="A12826" i="1"/>
  <c r="P12826" i="1"/>
  <c r="A12827" i="1"/>
  <c r="P12827" i="1"/>
  <c r="A12828" i="1"/>
  <c r="P12828" i="1"/>
  <c r="A12829" i="1"/>
  <c r="P12829" i="1"/>
  <c r="A12830" i="1"/>
  <c r="P12830" i="1"/>
  <c r="A12831" i="1"/>
  <c r="P12831" i="1"/>
  <c r="A12832" i="1"/>
  <c r="P12832" i="1"/>
  <c r="A12833" i="1"/>
  <c r="P12833" i="1"/>
  <c r="A12834" i="1"/>
  <c r="P12834" i="1"/>
  <c r="A12835" i="1"/>
  <c r="P12835" i="1"/>
  <c r="A12836" i="1"/>
  <c r="P12836" i="1"/>
  <c r="A12837" i="1"/>
  <c r="P12837" i="1"/>
  <c r="A12838" i="1"/>
  <c r="P12838" i="1"/>
  <c r="A12839" i="1"/>
  <c r="P12839" i="1"/>
  <c r="A12840" i="1"/>
  <c r="P12840" i="1"/>
  <c r="A12841" i="1"/>
  <c r="P12841" i="1"/>
  <c r="A12842" i="1"/>
  <c r="P12842" i="1"/>
  <c r="A12843" i="1"/>
  <c r="P12843" i="1"/>
  <c r="A12844" i="1"/>
  <c r="P12844" i="1"/>
  <c r="A12845" i="1"/>
  <c r="P12845" i="1"/>
  <c r="A12846" i="1"/>
  <c r="P12846" i="1"/>
  <c r="A12847" i="1"/>
  <c r="P12847" i="1"/>
  <c r="A12848" i="1"/>
  <c r="P12848" i="1"/>
  <c r="A12849" i="1"/>
  <c r="P12849" i="1"/>
  <c r="A12850" i="1"/>
  <c r="P12850" i="1"/>
  <c r="A12851" i="1"/>
  <c r="P12851" i="1"/>
  <c r="A12852" i="1"/>
  <c r="P12852" i="1"/>
  <c r="A12853" i="1"/>
  <c r="P12853" i="1"/>
  <c r="A12854" i="1"/>
  <c r="P12854" i="1"/>
  <c r="A12855" i="1"/>
  <c r="P12855" i="1"/>
  <c r="A12856" i="1"/>
  <c r="P12856" i="1"/>
  <c r="A12857" i="1"/>
  <c r="P12857" i="1"/>
  <c r="A12858" i="1"/>
  <c r="P12858" i="1"/>
  <c r="A12859" i="1"/>
  <c r="P12859" i="1"/>
  <c r="A12860" i="1"/>
  <c r="P12860" i="1"/>
  <c r="A12861" i="1"/>
  <c r="P12861" i="1"/>
  <c r="A12862" i="1"/>
  <c r="P12862" i="1"/>
  <c r="A12863" i="1"/>
  <c r="P12863" i="1"/>
  <c r="A12864" i="1"/>
  <c r="P12864" i="1"/>
  <c r="A12865" i="1"/>
  <c r="P12865" i="1"/>
  <c r="A12866" i="1"/>
  <c r="P12866" i="1"/>
  <c r="A12867" i="1"/>
  <c r="P12867" i="1"/>
  <c r="A12868" i="1"/>
  <c r="P12868" i="1"/>
  <c r="A12869" i="1"/>
  <c r="P12869" i="1"/>
  <c r="A12870" i="1"/>
  <c r="P12870" i="1"/>
  <c r="A12871" i="1"/>
  <c r="P12871" i="1"/>
  <c r="A12872" i="1"/>
  <c r="P12872" i="1"/>
  <c r="A12873" i="1"/>
  <c r="P12873" i="1"/>
  <c r="A12874" i="1"/>
  <c r="P12874" i="1"/>
  <c r="A12875" i="1"/>
  <c r="P12875" i="1"/>
  <c r="A12876" i="1"/>
  <c r="P12876" i="1"/>
  <c r="A12877" i="1"/>
  <c r="P12877" i="1"/>
  <c r="A12878" i="1"/>
  <c r="P12878" i="1"/>
  <c r="A12879" i="1"/>
  <c r="P12879" i="1"/>
  <c r="A12880" i="1"/>
  <c r="P12880" i="1"/>
  <c r="A12881" i="1"/>
  <c r="P12881" i="1"/>
  <c r="A12882" i="1"/>
  <c r="P12882" i="1"/>
  <c r="A12883" i="1"/>
  <c r="P12883" i="1"/>
  <c r="A12884" i="1"/>
  <c r="P12884" i="1"/>
  <c r="A12885" i="1"/>
  <c r="P12885" i="1"/>
  <c r="A12886" i="1"/>
  <c r="P12886" i="1"/>
  <c r="A12887" i="1"/>
  <c r="P12887" i="1"/>
  <c r="A12888" i="1"/>
  <c r="P12888" i="1"/>
  <c r="A12889" i="1"/>
  <c r="P12889" i="1"/>
  <c r="A12890" i="1"/>
  <c r="P12890" i="1"/>
  <c r="A12891" i="1"/>
  <c r="P12891" i="1"/>
  <c r="A12892" i="1"/>
  <c r="P12892" i="1"/>
  <c r="A12893" i="1"/>
  <c r="P12893" i="1"/>
  <c r="A12894" i="1"/>
  <c r="P12894" i="1"/>
  <c r="A12895" i="1"/>
  <c r="P12895" i="1"/>
  <c r="A12896" i="1"/>
  <c r="P12896" i="1"/>
  <c r="A12897" i="1"/>
  <c r="P12897" i="1"/>
  <c r="A12898" i="1"/>
  <c r="P12898" i="1"/>
  <c r="A12899" i="1"/>
  <c r="P12899" i="1"/>
  <c r="A12900" i="1"/>
  <c r="P12900" i="1"/>
  <c r="A12901" i="1"/>
  <c r="P12901" i="1"/>
  <c r="A12902" i="1"/>
  <c r="P12902" i="1"/>
  <c r="A12903" i="1"/>
  <c r="P12903" i="1"/>
  <c r="A12904" i="1"/>
  <c r="P12904" i="1"/>
  <c r="A12905" i="1"/>
  <c r="P12905" i="1"/>
  <c r="A12906" i="1"/>
  <c r="P12906" i="1"/>
  <c r="A12907" i="1"/>
  <c r="P12907" i="1"/>
  <c r="A12908" i="1"/>
  <c r="P12908" i="1"/>
  <c r="A12909" i="1"/>
  <c r="P12909" i="1"/>
  <c r="A12910" i="1"/>
  <c r="P12910" i="1"/>
  <c r="A12911" i="1"/>
  <c r="P12911" i="1"/>
  <c r="A12912" i="1"/>
  <c r="P12912" i="1"/>
  <c r="A12913" i="1"/>
  <c r="P12913" i="1"/>
  <c r="A12914" i="1"/>
  <c r="P12914" i="1"/>
  <c r="A12915" i="1"/>
  <c r="P12915" i="1"/>
  <c r="A12916" i="1"/>
  <c r="P12916" i="1"/>
  <c r="A12917" i="1"/>
  <c r="P12917" i="1"/>
  <c r="A12918" i="1"/>
  <c r="P12918" i="1"/>
  <c r="A12919" i="1"/>
  <c r="P12919" i="1"/>
  <c r="A12920" i="1"/>
  <c r="P12920" i="1"/>
  <c r="A12921" i="1"/>
  <c r="P12921" i="1"/>
  <c r="A12922" i="1"/>
  <c r="P12922" i="1"/>
  <c r="A12923" i="1"/>
  <c r="P12923" i="1"/>
  <c r="A12924" i="1"/>
  <c r="P12924" i="1"/>
  <c r="A12925" i="1"/>
  <c r="P12925" i="1"/>
  <c r="A12926" i="1"/>
  <c r="P12926" i="1"/>
  <c r="A12927" i="1"/>
  <c r="P12927" i="1"/>
  <c r="A12928" i="1"/>
  <c r="P12928" i="1"/>
  <c r="A12929" i="1"/>
  <c r="P12929" i="1"/>
  <c r="A12930" i="1"/>
  <c r="P12930" i="1"/>
  <c r="A12931" i="1"/>
  <c r="P12931" i="1"/>
  <c r="A12932" i="1"/>
  <c r="P12932" i="1"/>
  <c r="A12933" i="1"/>
  <c r="P12933" i="1"/>
  <c r="A12934" i="1"/>
  <c r="P12934" i="1"/>
  <c r="A12935" i="1"/>
  <c r="P12935" i="1"/>
  <c r="A12936" i="1"/>
  <c r="P12936" i="1"/>
  <c r="A12937" i="1"/>
  <c r="P12937" i="1"/>
  <c r="A12938" i="1"/>
  <c r="P12938" i="1"/>
  <c r="A12939" i="1"/>
  <c r="P12939" i="1"/>
  <c r="A12940" i="1"/>
  <c r="P12940" i="1"/>
  <c r="A12941" i="1"/>
  <c r="P12941" i="1"/>
  <c r="A12942" i="1"/>
  <c r="P12942" i="1"/>
  <c r="A12943" i="1"/>
  <c r="P12943" i="1"/>
  <c r="A12944" i="1"/>
  <c r="P12944" i="1"/>
  <c r="A12945" i="1"/>
  <c r="P12945" i="1"/>
  <c r="A12946" i="1"/>
  <c r="P12946" i="1"/>
  <c r="A12947" i="1"/>
  <c r="P12947" i="1"/>
  <c r="A12948" i="1"/>
  <c r="P12948" i="1"/>
  <c r="A12949" i="1"/>
  <c r="P12949" i="1"/>
  <c r="A12950" i="1"/>
  <c r="P12950" i="1"/>
  <c r="A12951" i="1"/>
  <c r="P12951" i="1"/>
  <c r="A12952" i="1"/>
  <c r="P12952" i="1"/>
  <c r="A12953" i="1"/>
  <c r="P12953" i="1"/>
  <c r="A12954" i="1"/>
  <c r="P12954" i="1"/>
  <c r="A12955" i="1"/>
  <c r="P12955" i="1"/>
  <c r="A12956" i="1"/>
  <c r="P12956" i="1"/>
  <c r="A12957" i="1"/>
  <c r="P12957" i="1"/>
  <c r="A12958" i="1"/>
  <c r="P12958" i="1"/>
  <c r="A12959" i="1"/>
  <c r="P12959" i="1"/>
  <c r="A12960" i="1"/>
  <c r="P12960" i="1"/>
  <c r="A12961" i="1"/>
  <c r="P12961" i="1"/>
  <c r="A12962" i="1"/>
  <c r="P12962" i="1"/>
  <c r="A12963" i="1"/>
  <c r="P12963" i="1"/>
  <c r="A12964" i="1"/>
  <c r="P12964" i="1"/>
  <c r="A12965" i="1"/>
  <c r="P12965" i="1"/>
  <c r="A12966" i="1"/>
  <c r="P12966" i="1"/>
  <c r="A12967" i="1"/>
  <c r="P12967" i="1"/>
  <c r="A12968" i="1"/>
  <c r="P12968" i="1"/>
  <c r="A12969" i="1"/>
  <c r="P12969" i="1"/>
  <c r="A12970" i="1"/>
  <c r="P12970" i="1"/>
  <c r="A12971" i="1"/>
  <c r="P12971" i="1"/>
  <c r="A12972" i="1"/>
  <c r="P12972" i="1"/>
  <c r="A12973" i="1"/>
  <c r="P12973" i="1"/>
  <c r="A12974" i="1"/>
  <c r="P12974" i="1"/>
  <c r="A12975" i="1"/>
  <c r="P12975" i="1"/>
  <c r="A12976" i="1"/>
  <c r="P12976" i="1"/>
  <c r="A12977" i="1"/>
  <c r="P12977" i="1"/>
  <c r="A12978" i="1"/>
  <c r="P12978" i="1"/>
  <c r="A12979" i="1"/>
  <c r="P12979" i="1"/>
  <c r="A12980" i="1"/>
  <c r="P12980" i="1"/>
  <c r="A12981" i="1"/>
  <c r="P12981" i="1"/>
  <c r="A12982" i="1"/>
  <c r="P12982" i="1"/>
  <c r="A12983" i="1"/>
  <c r="P12983" i="1"/>
  <c r="A12984" i="1"/>
  <c r="P12984" i="1"/>
  <c r="A12985" i="1"/>
  <c r="P12985" i="1"/>
  <c r="A12986" i="1"/>
  <c r="P12986" i="1"/>
  <c r="A12987" i="1"/>
  <c r="P12987" i="1"/>
  <c r="A12988" i="1"/>
  <c r="P12988" i="1"/>
  <c r="A12989" i="1"/>
  <c r="P12989" i="1"/>
  <c r="A12990" i="1"/>
  <c r="P12990" i="1"/>
  <c r="A12991" i="1"/>
  <c r="P12991" i="1"/>
  <c r="A12992" i="1"/>
  <c r="P12992" i="1"/>
  <c r="A12993" i="1"/>
  <c r="P12993" i="1"/>
  <c r="A12994" i="1"/>
  <c r="P12994" i="1"/>
  <c r="A12995" i="1"/>
  <c r="P12995" i="1"/>
  <c r="A12996" i="1"/>
  <c r="P12996" i="1"/>
  <c r="A12997" i="1"/>
  <c r="P12997" i="1"/>
  <c r="A12998" i="1"/>
  <c r="P12998" i="1"/>
  <c r="A12999" i="1"/>
  <c r="P12999" i="1"/>
  <c r="A13000" i="1"/>
  <c r="P13000" i="1"/>
  <c r="A13001" i="1"/>
  <c r="P13001" i="1"/>
  <c r="A13002" i="1"/>
  <c r="P13002" i="1"/>
  <c r="A13003" i="1"/>
  <c r="P13003" i="1"/>
  <c r="A13004" i="1"/>
  <c r="P13004" i="1"/>
  <c r="A13005" i="1"/>
  <c r="P13005" i="1"/>
  <c r="A13006" i="1"/>
  <c r="P13006" i="1"/>
  <c r="A13007" i="1"/>
  <c r="P13007" i="1"/>
  <c r="A13008" i="1"/>
  <c r="P13008" i="1"/>
  <c r="A13009" i="1"/>
  <c r="P13009" i="1"/>
  <c r="A13010" i="1"/>
  <c r="P13010" i="1"/>
  <c r="A13011" i="1"/>
  <c r="P13011" i="1"/>
  <c r="A13012" i="1"/>
  <c r="P13012" i="1"/>
  <c r="A13013" i="1"/>
  <c r="P13013" i="1"/>
  <c r="A13014" i="1"/>
  <c r="P13014" i="1"/>
  <c r="A13015" i="1"/>
  <c r="P13015" i="1"/>
  <c r="A13016" i="1"/>
  <c r="P13016" i="1"/>
  <c r="A13017" i="1"/>
  <c r="P13017" i="1"/>
  <c r="A13018" i="1"/>
  <c r="P13018" i="1"/>
  <c r="A13019" i="1"/>
  <c r="P13019" i="1"/>
  <c r="A13020" i="1"/>
  <c r="P13020" i="1"/>
  <c r="A13021" i="1"/>
  <c r="P13021" i="1"/>
  <c r="A13022" i="1"/>
  <c r="P13022" i="1"/>
  <c r="A13023" i="1"/>
  <c r="P13023" i="1"/>
  <c r="A13024" i="1"/>
  <c r="P13024" i="1"/>
  <c r="A13025" i="1"/>
  <c r="P13025" i="1"/>
  <c r="A13026" i="1"/>
  <c r="P13026" i="1"/>
  <c r="A13027" i="1"/>
  <c r="P13027" i="1"/>
  <c r="A13028" i="1"/>
  <c r="P13028" i="1"/>
  <c r="A13029" i="1"/>
  <c r="P13029" i="1"/>
  <c r="A13030" i="1"/>
  <c r="P13030" i="1"/>
  <c r="A13031" i="1"/>
  <c r="P13031" i="1"/>
  <c r="A13032" i="1"/>
  <c r="P13032" i="1"/>
  <c r="A13033" i="1"/>
  <c r="P13033" i="1"/>
  <c r="A13034" i="1"/>
  <c r="P13034" i="1"/>
  <c r="A13035" i="1"/>
  <c r="P13035" i="1"/>
  <c r="A13036" i="1"/>
  <c r="P13036" i="1"/>
  <c r="A13037" i="1"/>
  <c r="P13037" i="1"/>
  <c r="A13038" i="1"/>
  <c r="P13038" i="1"/>
  <c r="A13039" i="1"/>
  <c r="P13039" i="1"/>
  <c r="A13040" i="1"/>
  <c r="P13040" i="1"/>
  <c r="A13041" i="1"/>
  <c r="P13041" i="1"/>
  <c r="A13042" i="1"/>
  <c r="P13042" i="1"/>
  <c r="A13043" i="1"/>
  <c r="P13043" i="1"/>
  <c r="A13044" i="1"/>
  <c r="P13044" i="1"/>
  <c r="A13045" i="1"/>
  <c r="P13045" i="1"/>
  <c r="A13046" i="1"/>
  <c r="P13046" i="1"/>
  <c r="A13047" i="1"/>
  <c r="P13047" i="1"/>
  <c r="A13048" i="1"/>
  <c r="P13048" i="1"/>
  <c r="A13049" i="1"/>
  <c r="P13049" i="1"/>
  <c r="A13050" i="1"/>
  <c r="P13050" i="1"/>
  <c r="A13051" i="1"/>
  <c r="P13051" i="1"/>
  <c r="A13052" i="1"/>
  <c r="P13052" i="1"/>
  <c r="A13053" i="1"/>
  <c r="P13053" i="1"/>
  <c r="A13054" i="1"/>
  <c r="P13054" i="1"/>
  <c r="A13055" i="1"/>
  <c r="P13055" i="1"/>
  <c r="A13056" i="1"/>
  <c r="P13056" i="1"/>
  <c r="A13057" i="1"/>
  <c r="P13057" i="1"/>
  <c r="A13058" i="1"/>
  <c r="P13058" i="1"/>
  <c r="A13059" i="1"/>
  <c r="P13059" i="1"/>
  <c r="A13060" i="1"/>
  <c r="P13060" i="1"/>
  <c r="A13061" i="1"/>
  <c r="P13061" i="1"/>
  <c r="A13062" i="1"/>
  <c r="P13062" i="1"/>
  <c r="A13063" i="1"/>
  <c r="P13063" i="1"/>
  <c r="A13064" i="1"/>
  <c r="P13064" i="1"/>
  <c r="A13065" i="1"/>
  <c r="P13065" i="1"/>
  <c r="A13066" i="1"/>
  <c r="P13066" i="1"/>
  <c r="A13067" i="1"/>
  <c r="P13067" i="1"/>
  <c r="A13068" i="1"/>
  <c r="P13068" i="1"/>
  <c r="A13069" i="1"/>
  <c r="P13069" i="1"/>
  <c r="A13070" i="1"/>
  <c r="P13070" i="1"/>
  <c r="A13071" i="1"/>
  <c r="P13071" i="1"/>
  <c r="A13072" i="1"/>
  <c r="P13072" i="1"/>
  <c r="A13073" i="1"/>
  <c r="P13073" i="1"/>
  <c r="A13074" i="1"/>
  <c r="P13074" i="1"/>
  <c r="A13075" i="1"/>
  <c r="P13075" i="1"/>
  <c r="A13076" i="1"/>
  <c r="P13076" i="1"/>
  <c r="A13077" i="1"/>
  <c r="P13077" i="1"/>
  <c r="A13078" i="1"/>
  <c r="P13078" i="1"/>
  <c r="A13079" i="1"/>
  <c r="P13079" i="1"/>
  <c r="A13080" i="1"/>
  <c r="P13080" i="1"/>
  <c r="A13081" i="1"/>
  <c r="P13081" i="1"/>
  <c r="A13082" i="1"/>
  <c r="P13082" i="1"/>
  <c r="A13083" i="1"/>
  <c r="P13083" i="1"/>
  <c r="A13084" i="1"/>
  <c r="P13084" i="1"/>
  <c r="A13085" i="1"/>
  <c r="P13085" i="1"/>
  <c r="A13086" i="1"/>
  <c r="P13086" i="1"/>
  <c r="A13087" i="1"/>
  <c r="P13087" i="1"/>
  <c r="A13088" i="1"/>
  <c r="P13088" i="1"/>
  <c r="A13089" i="1"/>
  <c r="P13089" i="1"/>
  <c r="A13090" i="1"/>
  <c r="P13090" i="1"/>
  <c r="A13091" i="1"/>
  <c r="P13091" i="1"/>
  <c r="A13092" i="1"/>
  <c r="P13092" i="1"/>
  <c r="A13093" i="1"/>
  <c r="P13093" i="1"/>
  <c r="A13094" i="1"/>
  <c r="P13094" i="1"/>
  <c r="A13095" i="1"/>
  <c r="P13095" i="1"/>
  <c r="A13096" i="1"/>
  <c r="P13096" i="1"/>
  <c r="A13097" i="1"/>
  <c r="P13097" i="1"/>
  <c r="A13098" i="1"/>
  <c r="P13098" i="1"/>
  <c r="A13099" i="1"/>
  <c r="P13099" i="1"/>
  <c r="A13100" i="1"/>
  <c r="P13100" i="1"/>
  <c r="A13101" i="1"/>
  <c r="P13101" i="1"/>
  <c r="A13102" i="1"/>
  <c r="P13102" i="1"/>
  <c r="A13103" i="1"/>
  <c r="P13103" i="1"/>
  <c r="A13104" i="1"/>
  <c r="P13104" i="1"/>
  <c r="A13105" i="1"/>
  <c r="P13105" i="1"/>
  <c r="A13106" i="1"/>
  <c r="P13106" i="1"/>
  <c r="A13107" i="1"/>
  <c r="P13107" i="1"/>
  <c r="A13108" i="1"/>
  <c r="P13108" i="1"/>
  <c r="A13109" i="1"/>
  <c r="P13109" i="1"/>
  <c r="A13110" i="1"/>
  <c r="P13110" i="1"/>
  <c r="A13111" i="1"/>
  <c r="P13111" i="1"/>
  <c r="A13112" i="1"/>
  <c r="P13112" i="1"/>
  <c r="A13113" i="1"/>
  <c r="P13113" i="1"/>
  <c r="A13114" i="1"/>
  <c r="P13114" i="1"/>
  <c r="A13115" i="1"/>
  <c r="P13115" i="1"/>
  <c r="A13116" i="1"/>
  <c r="P13116" i="1"/>
  <c r="A13117" i="1"/>
  <c r="P13117" i="1"/>
  <c r="A13118" i="1"/>
  <c r="P13118" i="1"/>
  <c r="A13119" i="1"/>
  <c r="P13119" i="1"/>
  <c r="A13120" i="1"/>
  <c r="P13120" i="1"/>
  <c r="A13121" i="1"/>
  <c r="P13121" i="1"/>
  <c r="A13122" i="1"/>
  <c r="P13122" i="1"/>
  <c r="A13123" i="1"/>
  <c r="P13123" i="1"/>
  <c r="A13124" i="1"/>
  <c r="P13124" i="1"/>
  <c r="A13125" i="1"/>
  <c r="P13125" i="1"/>
  <c r="A13126" i="1"/>
  <c r="P13126" i="1"/>
  <c r="A13127" i="1"/>
  <c r="P13127" i="1"/>
  <c r="A13128" i="1"/>
  <c r="P13128" i="1"/>
  <c r="A13129" i="1"/>
  <c r="P13129" i="1"/>
  <c r="A13130" i="1"/>
  <c r="P13130" i="1"/>
  <c r="A13131" i="1"/>
  <c r="P13131" i="1"/>
  <c r="A13132" i="1"/>
  <c r="P13132" i="1"/>
  <c r="A13133" i="1"/>
  <c r="P13133" i="1"/>
  <c r="A13134" i="1"/>
  <c r="P13134" i="1"/>
  <c r="A13135" i="1"/>
  <c r="P13135" i="1"/>
  <c r="A13136" i="1"/>
  <c r="P13136" i="1"/>
  <c r="A13137" i="1"/>
  <c r="P13137" i="1"/>
  <c r="A13138" i="1"/>
  <c r="P13138" i="1"/>
  <c r="A13139" i="1"/>
  <c r="P13139" i="1"/>
  <c r="A13140" i="1"/>
  <c r="P13140" i="1"/>
  <c r="A13141" i="1"/>
  <c r="P13141" i="1"/>
  <c r="A13142" i="1"/>
  <c r="P13142" i="1"/>
  <c r="A13143" i="1"/>
  <c r="P13143" i="1"/>
  <c r="A13144" i="1"/>
  <c r="P13144" i="1"/>
  <c r="A13145" i="1"/>
  <c r="P13145" i="1"/>
  <c r="A13146" i="1"/>
  <c r="P13146" i="1"/>
  <c r="A13147" i="1"/>
  <c r="P13147" i="1"/>
  <c r="A13148" i="1"/>
  <c r="P13148" i="1"/>
  <c r="A13149" i="1"/>
  <c r="P13149" i="1"/>
  <c r="A13150" i="1"/>
  <c r="P13150" i="1"/>
  <c r="A13151" i="1"/>
  <c r="P13151" i="1"/>
  <c r="A13152" i="1"/>
  <c r="P13152" i="1"/>
  <c r="A13153" i="1"/>
  <c r="P13153" i="1"/>
  <c r="A13154" i="1"/>
  <c r="P13154" i="1"/>
  <c r="A13155" i="1"/>
  <c r="P13155" i="1"/>
  <c r="A13156" i="1"/>
  <c r="P13156" i="1"/>
  <c r="A13157" i="1"/>
  <c r="P13157" i="1"/>
  <c r="A13158" i="1"/>
  <c r="P13158" i="1"/>
  <c r="A13159" i="1"/>
  <c r="P13159" i="1"/>
  <c r="A13160" i="1"/>
  <c r="P13160" i="1"/>
  <c r="A13161" i="1"/>
  <c r="P13161" i="1"/>
  <c r="A13162" i="1"/>
  <c r="P13162" i="1"/>
  <c r="A13163" i="1"/>
  <c r="P13163" i="1"/>
  <c r="A13164" i="1"/>
  <c r="P13164" i="1"/>
  <c r="A13165" i="1"/>
  <c r="P13165" i="1"/>
  <c r="A13166" i="1"/>
  <c r="P13166" i="1"/>
  <c r="A13167" i="1"/>
  <c r="P13167" i="1"/>
  <c r="A13168" i="1"/>
  <c r="P13168" i="1"/>
  <c r="A13169" i="1"/>
  <c r="P13169" i="1"/>
  <c r="A13170" i="1"/>
  <c r="P13170" i="1"/>
  <c r="A13171" i="1"/>
  <c r="P13171" i="1"/>
  <c r="A13172" i="1"/>
  <c r="P13172" i="1"/>
  <c r="A13173" i="1"/>
  <c r="P13173" i="1"/>
  <c r="A13174" i="1"/>
  <c r="P13174" i="1"/>
  <c r="A13175" i="1"/>
  <c r="P13175" i="1"/>
  <c r="A13176" i="1"/>
  <c r="P13176" i="1"/>
  <c r="A13177" i="1"/>
  <c r="P13177" i="1"/>
  <c r="A13178" i="1"/>
  <c r="P13178" i="1"/>
  <c r="A13179" i="1"/>
  <c r="P13179" i="1"/>
  <c r="A13180" i="1"/>
  <c r="P13180" i="1"/>
  <c r="A13181" i="1"/>
  <c r="P13181" i="1"/>
  <c r="A13182" i="1"/>
  <c r="P13182" i="1"/>
  <c r="A13183" i="1"/>
  <c r="P13183" i="1"/>
  <c r="A13184" i="1"/>
  <c r="P13184" i="1"/>
  <c r="A13185" i="1"/>
  <c r="P13185" i="1"/>
  <c r="A13186" i="1"/>
  <c r="P13186" i="1"/>
  <c r="A13187" i="1"/>
  <c r="P13187" i="1"/>
  <c r="A13188" i="1"/>
  <c r="P13188" i="1"/>
  <c r="A13189" i="1"/>
  <c r="P13189" i="1"/>
  <c r="A13190" i="1"/>
  <c r="P13190" i="1"/>
  <c r="A13191" i="1"/>
  <c r="P13191" i="1"/>
  <c r="A13192" i="1"/>
  <c r="P13192" i="1"/>
  <c r="A13193" i="1"/>
  <c r="P13193" i="1"/>
  <c r="A13194" i="1"/>
  <c r="P13194" i="1"/>
  <c r="A13195" i="1"/>
  <c r="P13195" i="1"/>
  <c r="A13196" i="1"/>
  <c r="P13196" i="1"/>
  <c r="A13197" i="1"/>
  <c r="P13197" i="1"/>
  <c r="A13198" i="1"/>
  <c r="P13198" i="1"/>
  <c r="A13199" i="1"/>
  <c r="P13199" i="1"/>
  <c r="A13200" i="1"/>
  <c r="P13200" i="1"/>
  <c r="A13201" i="1"/>
  <c r="P13201" i="1"/>
  <c r="A13202" i="1"/>
  <c r="P13202" i="1"/>
  <c r="A13203" i="1"/>
  <c r="P13203" i="1"/>
  <c r="A13204" i="1"/>
  <c r="P13204" i="1"/>
  <c r="A13205" i="1"/>
  <c r="P13205" i="1"/>
  <c r="A13206" i="1"/>
  <c r="P13206" i="1"/>
  <c r="A13207" i="1"/>
  <c r="P13207" i="1"/>
  <c r="A13208" i="1"/>
  <c r="P13208" i="1"/>
  <c r="A13209" i="1"/>
  <c r="P13209" i="1"/>
  <c r="A13210" i="1"/>
  <c r="P13210" i="1"/>
  <c r="A13211" i="1"/>
  <c r="P13211" i="1"/>
  <c r="A13212" i="1"/>
  <c r="P13212" i="1"/>
  <c r="A13213" i="1"/>
  <c r="P13213" i="1"/>
  <c r="A13214" i="1"/>
  <c r="P13214" i="1"/>
  <c r="A13215" i="1"/>
  <c r="P13215" i="1"/>
  <c r="A13216" i="1"/>
  <c r="P13216" i="1"/>
  <c r="A13217" i="1"/>
  <c r="P13217" i="1"/>
  <c r="A13218" i="1"/>
  <c r="P13218" i="1"/>
  <c r="A13219" i="1"/>
  <c r="P13219" i="1"/>
  <c r="A13220" i="1"/>
  <c r="P13220" i="1"/>
  <c r="A13221" i="1"/>
  <c r="P13221" i="1"/>
  <c r="A13222" i="1"/>
  <c r="P13222" i="1"/>
  <c r="A13223" i="1"/>
  <c r="P13223" i="1"/>
  <c r="A13224" i="1"/>
  <c r="P13224" i="1"/>
  <c r="A13225" i="1"/>
  <c r="P13225" i="1"/>
  <c r="A13226" i="1"/>
  <c r="P13226" i="1"/>
  <c r="A13227" i="1"/>
  <c r="P13227" i="1"/>
  <c r="A13228" i="1"/>
  <c r="P13228" i="1"/>
  <c r="A13229" i="1"/>
  <c r="P13229" i="1"/>
  <c r="A13230" i="1"/>
  <c r="P13230" i="1"/>
  <c r="A13231" i="1"/>
  <c r="P13231" i="1"/>
  <c r="A13232" i="1"/>
  <c r="P13232" i="1"/>
  <c r="A13233" i="1"/>
  <c r="P13233" i="1"/>
  <c r="A13234" i="1"/>
  <c r="P13234" i="1"/>
  <c r="A13235" i="1"/>
  <c r="P13235" i="1"/>
  <c r="A13236" i="1"/>
  <c r="P13236" i="1"/>
  <c r="A13237" i="1"/>
  <c r="P13237" i="1"/>
  <c r="A13238" i="1"/>
  <c r="P13238" i="1"/>
  <c r="A13239" i="1"/>
  <c r="P13239" i="1"/>
  <c r="A13240" i="1"/>
  <c r="P13240" i="1"/>
  <c r="A13241" i="1"/>
  <c r="P13241" i="1"/>
  <c r="A13242" i="1"/>
  <c r="P13242" i="1"/>
  <c r="A13243" i="1"/>
  <c r="P13243" i="1"/>
  <c r="A13244" i="1"/>
  <c r="P13244" i="1"/>
  <c r="A13245" i="1"/>
  <c r="P13245" i="1"/>
  <c r="A13246" i="1"/>
  <c r="P13246" i="1"/>
  <c r="A13247" i="1"/>
  <c r="P13247" i="1"/>
  <c r="A13248" i="1"/>
  <c r="P13248" i="1"/>
  <c r="A13249" i="1"/>
  <c r="P13249" i="1"/>
  <c r="A13250" i="1"/>
  <c r="P13250" i="1"/>
  <c r="A13251" i="1"/>
  <c r="P13251" i="1"/>
  <c r="A13252" i="1"/>
  <c r="P13252" i="1"/>
  <c r="A13253" i="1"/>
  <c r="P13253" i="1"/>
  <c r="A13254" i="1"/>
  <c r="P13254" i="1"/>
  <c r="A13255" i="1"/>
  <c r="P13255" i="1"/>
  <c r="A13256" i="1"/>
  <c r="P13256" i="1"/>
  <c r="A13257" i="1"/>
  <c r="P13257" i="1"/>
  <c r="A13258" i="1"/>
  <c r="P13258" i="1"/>
  <c r="A13259" i="1"/>
  <c r="P13259" i="1"/>
  <c r="A13260" i="1"/>
  <c r="P13260" i="1"/>
  <c r="A13261" i="1"/>
  <c r="P13261" i="1"/>
  <c r="A13262" i="1"/>
  <c r="P13262" i="1"/>
  <c r="A13263" i="1"/>
  <c r="P13263" i="1"/>
  <c r="A13264" i="1"/>
  <c r="P13264" i="1"/>
  <c r="A13265" i="1"/>
  <c r="P13265" i="1"/>
  <c r="A13266" i="1"/>
  <c r="P13266" i="1"/>
  <c r="A13267" i="1"/>
  <c r="P13267" i="1"/>
  <c r="A13268" i="1"/>
  <c r="P13268" i="1"/>
  <c r="A13269" i="1"/>
  <c r="P13269" i="1"/>
  <c r="A13270" i="1"/>
  <c r="P13270" i="1"/>
  <c r="A13271" i="1"/>
  <c r="P13271" i="1"/>
  <c r="A13272" i="1"/>
  <c r="P13272" i="1"/>
  <c r="A13273" i="1"/>
  <c r="P13273" i="1"/>
  <c r="A13274" i="1"/>
  <c r="P13274" i="1"/>
  <c r="A13275" i="1"/>
  <c r="P13275" i="1"/>
  <c r="A13276" i="1"/>
  <c r="P13276" i="1"/>
  <c r="A13277" i="1"/>
  <c r="P13277" i="1"/>
  <c r="A13278" i="1"/>
  <c r="P13278" i="1"/>
  <c r="A13279" i="1"/>
  <c r="P13279" i="1"/>
  <c r="A13280" i="1"/>
  <c r="P13280" i="1"/>
  <c r="A13281" i="1"/>
  <c r="P13281" i="1"/>
  <c r="A13282" i="1"/>
  <c r="P13282" i="1"/>
  <c r="A13283" i="1"/>
  <c r="P13283" i="1"/>
  <c r="A13284" i="1"/>
  <c r="P13284" i="1"/>
  <c r="A13285" i="1"/>
  <c r="P13285" i="1"/>
  <c r="A13286" i="1"/>
  <c r="P13286" i="1"/>
  <c r="A13287" i="1"/>
  <c r="P13287" i="1"/>
  <c r="A13288" i="1"/>
  <c r="P13288" i="1"/>
  <c r="A13289" i="1"/>
  <c r="P13289" i="1"/>
  <c r="A13290" i="1"/>
  <c r="P13290" i="1"/>
  <c r="A13291" i="1"/>
  <c r="P13291" i="1"/>
  <c r="A13292" i="1"/>
  <c r="P13292" i="1"/>
  <c r="A13293" i="1"/>
  <c r="P13293" i="1"/>
  <c r="A13294" i="1"/>
  <c r="P13294" i="1"/>
  <c r="A13295" i="1"/>
  <c r="P13295" i="1"/>
  <c r="A13296" i="1"/>
  <c r="P13296" i="1"/>
  <c r="A13297" i="1"/>
  <c r="P13297" i="1"/>
  <c r="A13298" i="1"/>
  <c r="P13298" i="1"/>
  <c r="A13299" i="1"/>
  <c r="P13299" i="1"/>
  <c r="A13300" i="1"/>
  <c r="P13300" i="1"/>
  <c r="A13301" i="1"/>
  <c r="P13301" i="1"/>
  <c r="A13302" i="1"/>
  <c r="P13302" i="1"/>
  <c r="A13303" i="1"/>
  <c r="P13303" i="1"/>
  <c r="A13304" i="1"/>
  <c r="P13304" i="1"/>
  <c r="A13305" i="1"/>
  <c r="P13305" i="1"/>
  <c r="A13306" i="1"/>
  <c r="P13306" i="1"/>
  <c r="A13307" i="1"/>
  <c r="P13307" i="1"/>
  <c r="A13308" i="1"/>
  <c r="P13308" i="1"/>
  <c r="A13309" i="1"/>
  <c r="P13309" i="1"/>
  <c r="A13310" i="1"/>
  <c r="P13310" i="1"/>
  <c r="A13311" i="1"/>
  <c r="P13311" i="1"/>
  <c r="A13312" i="1"/>
  <c r="P13312" i="1"/>
  <c r="A13313" i="1"/>
  <c r="P13313" i="1"/>
  <c r="A13314" i="1"/>
  <c r="P13314" i="1"/>
  <c r="A13315" i="1"/>
  <c r="P13315" i="1"/>
  <c r="A13316" i="1"/>
  <c r="P13316" i="1"/>
  <c r="A13317" i="1"/>
  <c r="P13317" i="1"/>
  <c r="A13318" i="1"/>
  <c r="P13318" i="1"/>
  <c r="A13319" i="1"/>
  <c r="P13319" i="1"/>
  <c r="A13320" i="1"/>
  <c r="P13320" i="1"/>
  <c r="A13321" i="1"/>
  <c r="P13321" i="1"/>
  <c r="A13322" i="1"/>
  <c r="P13322" i="1"/>
  <c r="A13323" i="1"/>
  <c r="P13323" i="1"/>
  <c r="A13324" i="1"/>
  <c r="P13324" i="1"/>
  <c r="A13325" i="1"/>
  <c r="P13325" i="1"/>
  <c r="A13326" i="1"/>
  <c r="P13326" i="1"/>
  <c r="A13327" i="1"/>
  <c r="P13327" i="1"/>
  <c r="A13328" i="1"/>
  <c r="P13328" i="1"/>
  <c r="A13329" i="1"/>
  <c r="P13329" i="1"/>
  <c r="A13330" i="1"/>
  <c r="P13330" i="1"/>
  <c r="A13331" i="1"/>
  <c r="P13331" i="1"/>
  <c r="A13332" i="1"/>
  <c r="P13332" i="1"/>
  <c r="A13333" i="1"/>
  <c r="P13333" i="1"/>
  <c r="A13334" i="1"/>
  <c r="P13334" i="1"/>
  <c r="A13335" i="1"/>
  <c r="P13335" i="1"/>
  <c r="A13336" i="1"/>
  <c r="P13336" i="1"/>
  <c r="A13337" i="1"/>
  <c r="P13337" i="1"/>
  <c r="A13338" i="1"/>
  <c r="P13338" i="1"/>
  <c r="A13339" i="1"/>
  <c r="P13339" i="1"/>
  <c r="A13340" i="1"/>
  <c r="P13340" i="1"/>
  <c r="A13341" i="1"/>
  <c r="P13341" i="1"/>
  <c r="A13342" i="1"/>
  <c r="P13342" i="1"/>
  <c r="A13343" i="1"/>
  <c r="P13343" i="1"/>
  <c r="A13344" i="1"/>
  <c r="P13344" i="1"/>
  <c r="A13345" i="1"/>
  <c r="P13345" i="1"/>
  <c r="A13346" i="1"/>
  <c r="P13346" i="1"/>
  <c r="A13347" i="1"/>
  <c r="P13347" i="1"/>
  <c r="A13348" i="1"/>
  <c r="P13348" i="1"/>
  <c r="A13349" i="1"/>
  <c r="P13349" i="1"/>
  <c r="A13350" i="1"/>
  <c r="P13350" i="1"/>
  <c r="A13351" i="1"/>
  <c r="P13351" i="1"/>
  <c r="A13352" i="1"/>
  <c r="P13352" i="1"/>
  <c r="A13353" i="1"/>
  <c r="P13353" i="1"/>
  <c r="A13354" i="1"/>
  <c r="P13354" i="1"/>
  <c r="A13355" i="1"/>
  <c r="P13355" i="1"/>
  <c r="A13356" i="1"/>
  <c r="P13356" i="1"/>
  <c r="A13357" i="1"/>
  <c r="P13357" i="1"/>
  <c r="A13358" i="1"/>
  <c r="P13358" i="1"/>
  <c r="A13359" i="1"/>
  <c r="P13359" i="1"/>
  <c r="A13360" i="1"/>
  <c r="P13360" i="1"/>
  <c r="A13361" i="1"/>
  <c r="P13361" i="1"/>
  <c r="A13362" i="1"/>
  <c r="P13362" i="1"/>
  <c r="A13363" i="1"/>
  <c r="P13363" i="1"/>
  <c r="A13364" i="1"/>
  <c r="P13364" i="1"/>
  <c r="A13365" i="1"/>
  <c r="P13365" i="1"/>
  <c r="A13366" i="1"/>
  <c r="P13366" i="1"/>
  <c r="A13367" i="1"/>
  <c r="P13367" i="1"/>
  <c r="A13368" i="1"/>
  <c r="P13368" i="1"/>
  <c r="A13369" i="1"/>
  <c r="P13369" i="1"/>
  <c r="A13370" i="1"/>
  <c r="P13370" i="1"/>
  <c r="A13371" i="1"/>
  <c r="P13371" i="1"/>
  <c r="A13372" i="1"/>
  <c r="P13372" i="1"/>
  <c r="A13373" i="1"/>
  <c r="P13373" i="1"/>
  <c r="A13374" i="1"/>
  <c r="P13374" i="1"/>
  <c r="A13375" i="1"/>
  <c r="P13375" i="1"/>
  <c r="A13376" i="1"/>
  <c r="P13376" i="1"/>
  <c r="A13377" i="1"/>
  <c r="P13377" i="1"/>
  <c r="A13378" i="1"/>
  <c r="P13378" i="1"/>
  <c r="A13379" i="1"/>
  <c r="P13379" i="1"/>
  <c r="A13380" i="1"/>
  <c r="P13380" i="1"/>
  <c r="A13381" i="1"/>
  <c r="P13381" i="1"/>
  <c r="A13382" i="1"/>
  <c r="P13382" i="1"/>
  <c r="A13383" i="1"/>
  <c r="P13383" i="1"/>
  <c r="A13384" i="1"/>
  <c r="P13384" i="1"/>
  <c r="A13385" i="1"/>
  <c r="P13385" i="1"/>
  <c r="A13386" i="1"/>
  <c r="P13386" i="1"/>
  <c r="A13387" i="1"/>
  <c r="P13387" i="1"/>
  <c r="A13388" i="1"/>
  <c r="P13388" i="1"/>
  <c r="A13389" i="1"/>
  <c r="P13389" i="1"/>
  <c r="A13390" i="1"/>
  <c r="P13390" i="1"/>
  <c r="A13391" i="1"/>
  <c r="P13391" i="1"/>
  <c r="A13392" i="1"/>
  <c r="P13392" i="1"/>
  <c r="A13393" i="1"/>
  <c r="P13393" i="1"/>
  <c r="A13394" i="1"/>
  <c r="P13394" i="1"/>
  <c r="A13395" i="1"/>
  <c r="P13395" i="1"/>
  <c r="A13396" i="1"/>
  <c r="P13396" i="1"/>
  <c r="A13397" i="1"/>
  <c r="P13397" i="1"/>
  <c r="A13398" i="1"/>
  <c r="P13398" i="1"/>
  <c r="A13399" i="1"/>
  <c r="P13399" i="1"/>
  <c r="A13400" i="1"/>
  <c r="P13400" i="1"/>
  <c r="A13401" i="1"/>
  <c r="P13401" i="1"/>
  <c r="A13402" i="1"/>
  <c r="P13402" i="1"/>
  <c r="A13403" i="1"/>
  <c r="P13403" i="1"/>
  <c r="A13404" i="1"/>
  <c r="P13404" i="1"/>
  <c r="A13405" i="1"/>
  <c r="P13405" i="1"/>
  <c r="A13406" i="1"/>
  <c r="P13406" i="1"/>
  <c r="A13407" i="1"/>
  <c r="P13407" i="1"/>
  <c r="A13408" i="1"/>
  <c r="P13408" i="1"/>
  <c r="A13409" i="1"/>
  <c r="P13409" i="1"/>
  <c r="A13410" i="1"/>
  <c r="P13410" i="1"/>
  <c r="A13411" i="1"/>
  <c r="P13411" i="1"/>
  <c r="A13412" i="1"/>
  <c r="P13412" i="1"/>
  <c r="A13413" i="1"/>
  <c r="P13413" i="1"/>
  <c r="A13414" i="1"/>
  <c r="P13414" i="1"/>
  <c r="A13415" i="1"/>
  <c r="P13415" i="1"/>
  <c r="A13416" i="1"/>
  <c r="P13416" i="1"/>
  <c r="A13417" i="1"/>
  <c r="P13417" i="1"/>
  <c r="A13418" i="1"/>
  <c r="P13418" i="1"/>
  <c r="A13419" i="1"/>
  <c r="P13419" i="1"/>
  <c r="A13420" i="1"/>
  <c r="P13420" i="1"/>
  <c r="A13421" i="1"/>
  <c r="P13421" i="1"/>
  <c r="A13422" i="1"/>
  <c r="P13422" i="1"/>
  <c r="A13423" i="1"/>
  <c r="P13423" i="1"/>
  <c r="A13424" i="1"/>
  <c r="P13424" i="1"/>
  <c r="A13425" i="1"/>
  <c r="P13425" i="1"/>
  <c r="A13426" i="1"/>
  <c r="P13426" i="1"/>
  <c r="A13427" i="1"/>
  <c r="P13427" i="1"/>
  <c r="A13428" i="1"/>
  <c r="P13428" i="1"/>
  <c r="A13429" i="1"/>
  <c r="P13429" i="1"/>
  <c r="A13430" i="1"/>
  <c r="P13430" i="1"/>
  <c r="A13431" i="1"/>
  <c r="P13431" i="1"/>
  <c r="A13432" i="1"/>
  <c r="P13432" i="1"/>
  <c r="A13433" i="1"/>
  <c r="P13433" i="1"/>
  <c r="A13434" i="1"/>
  <c r="P13434" i="1"/>
  <c r="A13435" i="1"/>
  <c r="P13435" i="1"/>
  <c r="A13436" i="1"/>
  <c r="P13436" i="1"/>
  <c r="A13437" i="1"/>
  <c r="P13437" i="1"/>
  <c r="A13438" i="1"/>
  <c r="P13438" i="1"/>
  <c r="A13439" i="1"/>
  <c r="P13439" i="1"/>
  <c r="A13440" i="1"/>
  <c r="P13440" i="1"/>
  <c r="A13441" i="1"/>
  <c r="P13441" i="1"/>
  <c r="A13442" i="1"/>
  <c r="P13442" i="1"/>
  <c r="A13443" i="1"/>
  <c r="P13443" i="1"/>
  <c r="A13444" i="1"/>
  <c r="P13444" i="1"/>
  <c r="A13445" i="1"/>
  <c r="P13445" i="1"/>
  <c r="A13446" i="1"/>
  <c r="P13446" i="1"/>
  <c r="A13447" i="1"/>
  <c r="P13447" i="1"/>
  <c r="A13448" i="1"/>
  <c r="P13448" i="1"/>
  <c r="A13449" i="1"/>
  <c r="P13449" i="1"/>
  <c r="A13450" i="1"/>
  <c r="P13450" i="1"/>
  <c r="A13451" i="1"/>
  <c r="P13451" i="1"/>
  <c r="A13452" i="1"/>
  <c r="P13452" i="1"/>
  <c r="A13453" i="1"/>
  <c r="P13453" i="1"/>
  <c r="A13454" i="1"/>
  <c r="P13454" i="1"/>
  <c r="A13455" i="1"/>
  <c r="P13455" i="1"/>
  <c r="A13456" i="1"/>
  <c r="P13456" i="1"/>
  <c r="A13457" i="1"/>
  <c r="P13457" i="1"/>
  <c r="A13458" i="1"/>
  <c r="P13458" i="1"/>
  <c r="A13459" i="1"/>
  <c r="P13459" i="1"/>
  <c r="A13460" i="1"/>
  <c r="P13460" i="1"/>
  <c r="A13461" i="1"/>
  <c r="P13461" i="1"/>
  <c r="A13462" i="1"/>
  <c r="P13462" i="1"/>
  <c r="A13463" i="1"/>
  <c r="P13463" i="1"/>
  <c r="A13464" i="1"/>
  <c r="P13464" i="1"/>
  <c r="A13465" i="1"/>
  <c r="P13465" i="1"/>
  <c r="A13466" i="1"/>
  <c r="P13466" i="1"/>
  <c r="A13467" i="1"/>
  <c r="P13467" i="1"/>
  <c r="A13468" i="1"/>
  <c r="P13468" i="1"/>
  <c r="A13469" i="1"/>
  <c r="P13469" i="1"/>
  <c r="A13470" i="1"/>
  <c r="P13470" i="1"/>
  <c r="A13471" i="1"/>
  <c r="P13471" i="1"/>
  <c r="A13472" i="1"/>
  <c r="P13472" i="1"/>
  <c r="A13473" i="1"/>
  <c r="P13473" i="1"/>
  <c r="A13474" i="1"/>
  <c r="P13474" i="1"/>
  <c r="A13475" i="1"/>
  <c r="P13475" i="1"/>
  <c r="A13476" i="1"/>
  <c r="P13476" i="1"/>
  <c r="A13477" i="1"/>
  <c r="P13477" i="1"/>
  <c r="A13478" i="1"/>
  <c r="P13478" i="1"/>
  <c r="A13479" i="1"/>
  <c r="P13479" i="1"/>
  <c r="A13480" i="1"/>
  <c r="P13480" i="1"/>
  <c r="A13481" i="1"/>
  <c r="P13481" i="1"/>
  <c r="A13482" i="1"/>
  <c r="P13482" i="1"/>
  <c r="A13483" i="1"/>
  <c r="P13483" i="1"/>
  <c r="A13484" i="1"/>
  <c r="P13484" i="1"/>
  <c r="A13485" i="1"/>
  <c r="P13485" i="1"/>
  <c r="A13486" i="1"/>
  <c r="P13486" i="1"/>
  <c r="A13487" i="1"/>
  <c r="P13487" i="1"/>
  <c r="A13488" i="1"/>
  <c r="P13488" i="1"/>
  <c r="A13489" i="1"/>
  <c r="P13489" i="1"/>
  <c r="A13490" i="1"/>
  <c r="P13490" i="1"/>
  <c r="A13491" i="1"/>
  <c r="P13491" i="1"/>
  <c r="A13492" i="1"/>
  <c r="P13492" i="1"/>
  <c r="A13493" i="1"/>
  <c r="P13493" i="1"/>
  <c r="A13494" i="1"/>
  <c r="P13494" i="1"/>
  <c r="A13495" i="1"/>
  <c r="P13495" i="1"/>
  <c r="A13496" i="1"/>
  <c r="P13496" i="1"/>
  <c r="A13497" i="1"/>
  <c r="P13497" i="1"/>
  <c r="A13498" i="1"/>
  <c r="P13498" i="1"/>
  <c r="A13499" i="1"/>
  <c r="P13499" i="1"/>
  <c r="A13500" i="1"/>
  <c r="P13500" i="1"/>
  <c r="A13501" i="1"/>
  <c r="P13501" i="1"/>
  <c r="A13502" i="1"/>
  <c r="P13502" i="1"/>
  <c r="A13503" i="1"/>
  <c r="P13503" i="1"/>
  <c r="A13504" i="1"/>
  <c r="P13504" i="1"/>
  <c r="A13505" i="1"/>
  <c r="P13505" i="1"/>
  <c r="A13506" i="1"/>
  <c r="P13506" i="1"/>
  <c r="A13507" i="1"/>
  <c r="P13507" i="1"/>
  <c r="A13508" i="1"/>
  <c r="P13508" i="1"/>
  <c r="A13509" i="1"/>
  <c r="P13509" i="1"/>
  <c r="A13510" i="1"/>
  <c r="P13510" i="1"/>
  <c r="A13511" i="1"/>
  <c r="P13511" i="1"/>
  <c r="A13512" i="1"/>
  <c r="P13512" i="1"/>
  <c r="A13513" i="1"/>
  <c r="P13513" i="1"/>
  <c r="A13514" i="1"/>
  <c r="P13514" i="1"/>
  <c r="A13515" i="1"/>
  <c r="P13515" i="1"/>
  <c r="A13516" i="1"/>
  <c r="P13516" i="1"/>
  <c r="A13517" i="1"/>
  <c r="P13517" i="1"/>
  <c r="A13518" i="1"/>
  <c r="P13518" i="1"/>
  <c r="A13519" i="1"/>
  <c r="P13519" i="1"/>
  <c r="A13520" i="1"/>
  <c r="P13520" i="1"/>
  <c r="A13521" i="1"/>
  <c r="P13521" i="1"/>
  <c r="A13522" i="1"/>
  <c r="P13522" i="1"/>
  <c r="A13523" i="1"/>
  <c r="P13523" i="1"/>
  <c r="A13524" i="1"/>
  <c r="P13524" i="1"/>
  <c r="A13525" i="1"/>
  <c r="P13525" i="1"/>
  <c r="A13526" i="1"/>
  <c r="P13526" i="1"/>
  <c r="A13527" i="1"/>
  <c r="P13527" i="1"/>
  <c r="A13528" i="1"/>
  <c r="P13528" i="1"/>
  <c r="A13529" i="1"/>
  <c r="P13529" i="1"/>
  <c r="A13530" i="1"/>
  <c r="P13530" i="1"/>
  <c r="A13531" i="1"/>
  <c r="P13531" i="1"/>
  <c r="A13532" i="1"/>
  <c r="P13532" i="1"/>
  <c r="A13533" i="1"/>
  <c r="P13533" i="1"/>
  <c r="A13534" i="1"/>
  <c r="P13534" i="1"/>
  <c r="A13535" i="1"/>
  <c r="P13535" i="1"/>
  <c r="A13536" i="1"/>
  <c r="P13536" i="1"/>
  <c r="A13537" i="1"/>
  <c r="P13537" i="1"/>
  <c r="A13538" i="1"/>
  <c r="P13538" i="1"/>
  <c r="A13539" i="1"/>
  <c r="P13539" i="1"/>
  <c r="A13540" i="1"/>
  <c r="P13540" i="1"/>
  <c r="A13541" i="1"/>
  <c r="P13541" i="1"/>
  <c r="A13542" i="1"/>
  <c r="P13542" i="1"/>
  <c r="A13543" i="1"/>
  <c r="P13543" i="1"/>
  <c r="A13544" i="1"/>
  <c r="P13544" i="1"/>
  <c r="A13545" i="1"/>
  <c r="P13545" i="1"/>
  <c r="A13546" i="1"/>
  <c r="P13546" i="1"/>
  <c r="A13547" i="1"/>
  <c r="P13547" i="1"/>
  <c r="A13548" i="1"/>
  <c r="P13548" i="1"/>
  <c r="A13549" i="1"/>
  <c r="P13549" i="1"/>
  <c r="A13550" i="1"/>
  <c r="P13550" i="1"/>
  <c r="A13551" i="1"/>
  <c r="P13551" i="1"/>
  <c r="A13552" i="1"/>
  <c r="P13552" i="1"/>
  <c r="A13553" i="1"/>
  <c r="P13553" i="1"/>
  <c r="A13554" i="1"/>
  <c r="P13554" i="1"/>
  <c r="A13555" i="1"/>
  <c r="P13555" i="1"/>
  <c r="A13556" i="1"/>
  <c r="P13556" i="1"/>
  <c r="A13557" i="1"/>
  <c r="P13557" i="1"/>
  <c r="A13558" i="1"/>
  <c r="P13558" i="1"/>
  <c r="A13559" i="1"/>
  <c r="P13559" i="1"/>
  <c r="A13560" i="1"/>
  <c r="P13560" i="1"/>
  <c r="A13561" i="1"/>
  <c r="P13561" i="1"/>
  <c r="A13562" i="1"/>
  <c r="P13562" i="1"/>
  <c r="A13563" i="1"/>
  <c r="P13563" i="1"/>
  <c r="A13564" i="1"/>
  <c r="P13564" i="1"/>
  <c r="A13565" i="1"/>
  <c r="P13565" i="1"/>
  <c r="A13566" i="1"/>
  <c r="P13566" i="1"/>
  <c r="A13567" i="1"/>
  <c r="P13567" i="1"/>
  <c r="A13568" i="1"/>
  <c r="P13568" i="1"/>
  <c r="A13569" i="1"/>
  <c r="P13569" i="1"/>
  <c r="A13570" i="1"/>
  <c r="P13570" i="1"/>
  <c r="A13571" i="1"/>
  <c r="P13571" i="1"/>
  <c r="A13572" i="1"/>
  <c r="P13572" i="1"/>
  <c r="A13573" i="1"/>
  <c r="P13573" i="1"/>
  <c r="A13574" i="1"/>
  <c r="P13574" i="1"/>
  <c r="A13575" i="1"/>
  <c r="P13575" i="1"/>
  <c r="A13576" i="1"/>
  <c r="P13576" i="1"/>
  <c r="A13577" i="1"/>
  <c r="P13577" i="1"/>
  <c r="A13578" i="1"/>
  <c r="P13578" i="1"/>
  <c r="A13579" i="1"/>
  <c r="P13579" i="1"/>
  <c r="A13580" i="1"/>
  <c r="P13580" i="1"/>
  <c r="A13581" i="1"/>
  <c r="P13581" i="1"/>
  <c r="A13582" i="1"/>
  <c r="P13582" i="1"/>
  <c r="A13583" i="1"/>
  <c r="P13583" i="1"/>
  <c r="A13584" i="1"/>
  <c r="P13584" i="1"/>
  <c r="A13585" i="1"/>
  <c r="P13585" i="1"/>
  <c r="A13586" i="1"/>
  <c r="P13586" i="1"/>
  <c r="A13587" i="1"/>
  <c r="P13587" i="1"/>
  <c r="A13588" i="1"/>
  <c r="P13588" i="1"/>
  <c r="A13589" i="1"/>
  <c r="P13589" i="1"/>
  <c r="A13590" i="1"/>
  <c r="P13590" i="1"/>
  <c r="A13591" i="1"/>
  <c r="P13591" i="1"/>
  <c r="A13592" i="1"/>
  <c r="P13592" i="1"/>
  <c r="A13593" i="1"/>
  <c r="P13593" i="1"/>
  <c r="A13594" i="1"/>
  <c r="P13594" i="1"/>
  <c r="A13595" i="1"/>
  <c r="P13595" i="1"/>
  <c r="A13596" i="1"/>
  <c r="P13596" i="1"/>
  <c r="A13597" i="1"/>
  <c r="P13597" i="1"/>
  <c r="A13598" i="1"/>
  <c r="P13598" i="1"/>
  <c r="A13599" i="1"/>
  <c r="P13599" i="1"/>
  <c r="A13600" i="1"/>
  <c r="P13600" i="1"/>
  <c r="A13601" i="1"/>
  <c r="P13601" i="1"/>
  <c r="A13602" i="1"/>
  <c r="P13602" i="1"/>
  <c r="A13603" i="1"/>
  <c r="P13603" i="1"/>
  <c r="A13604" i="1"/>
  <c r="P13604" i="1"/>
  <c r="A13605" i="1"/>
  <c r="P13605" i="1"/>
  <c r="A13606" i="1"/>
  <c r="P13606" i="1"/>
  <c r="A13607" i="1"/>
  <c r="P13607" i="1"/>
  <c r="A13608" i="1"/>
  <c r="P13608" i="1"/>
  <c r="A13609" i="1"/>
  <c r="P13609" i="1"/>
  <c r="A13610" i="1"/>
  <c r="P13610" i="1"/>
  <c r="A13611" i="1"/>
  <c r="P13611" i="1"/>
  <c r="A13612" i="1"/>
  <c r="P13612" i="1"/>
  <c r="A13613" i="1"/>
  <c r="P13613" i="1"/>
  <c r="A13614" i="1"/>
  <c r="P13614" i="1"/>
  <c r="A13615" i="1"/>
  <c r="P13615" i="1"/>
  <c r="A13616" i="1"/>
  <c r="P13616" i="1"/>
  <c r="A13617" i="1"/>
  <c r="P13617" i="1"/>
  <c r="A13618" i="1"/>
  <c r="P13618" i="1"/>
  <c r="A13619" i="1"/>
  <c r="P13619" i="1"/>
  <c r="A13620" i="1"/>
  <c r="P13620" i="1"/>
  <c r="A13621" i="1"/>
  <c r="P13621" i="1"/>
  <c r="A13622" i="1"/>
  <c r="P13622" i="1"/>
  <c r="A13623" i="1"/>
  <c r="P13623" i="1"/>
  <c r="A13624" i="1"/>
  <c r="P13624" i="1"/>
  <c r="A13625" i="1"/>
  <c r="P13625" i="1"/>
  <c r="A13626" i="1"/>
  <c r="P13626" i="1"/>
  <c r="A13627" i="1"/>
  <c r="P13627" i="1"/>
  <c r="A13628" i="1"/>
  <c r="P13628" i="1"/>
  <c r="A13629" i="1"/>
  <c r="P13629" i="1"/>
  <c r="A13630" i="1"/>
  <c r="P13630" i="1"/>
  <c r="A13631" i="1"/>
  <c r="P13631" i="1"/>
  <c r="A13632" i="1"/>
  <c r="P13632" i="1"/>
  <c r="A13633" i="1"/>
  <c r="P13633" i="1"/>
  <c r="A13634" i="1"/>
  <c r="P13634" i="1"/>
  <c r="A13635" i="1"/>
  <c r="P13635" i="1"/>
  <c r="A13636" i="1"/>
  <c r="P13636" i="1"/>
  <c r="A13637" i="1"/>
  <c r="P13637" i="1"/>
  <c r="A13638" i="1"/>
  <c r="P13638" i="1"/>
  <c r="A13639" i="1"/>
  <c r="P13639" i="1"/>
  <c r="A13640" i="1"/>
  <c r="P13640" i="1"/>
  <c r="A13641" i="1"/>
  <c r="P13641" i="1"/>
  <c r="A13642" i="1"/>
  <c r="P13642" i="1"/>
  <c r="A13643" i="1"/>
  <c r="P13643" i="1"/>
  <c r="A13644" i="1"/>
  <c r="P13644" i="1"/>
  <c r="A13645" i="1"/>
  <c r="P13645" i="1"/>
  <c r="A13646" i="1"/>
  <c r="P13646" i="1"/>
  <c r="A13647" i="1"/>
  <c r="P13647" i="1"/>
  <c r="A13648" i="1"/>
  <c r="P13648" i="1"/>
  <c r="A13649" i="1"/>
  <c r="P13649" i="1"/>
  <c r="A13650" i="1"/>
  <c r="P13650" i="1"/>
  <c r="A13651" i="1"/>
  <c r="P13651" i="1"/>
  <c r="A13652" i="1"/>
  <c r="P13652" i="1"/>
  <c r="A13653" i="1"/>
  <c r="P13653" i="1"/>
  <c r="A13654" i="1"/>
  <c r="P13654" i="1"/>
  <c r="A13655" i="1"/>
  <c r="P13655" i="1"/>
  <c r="A13656" i="1"/>
  <c r="P13656" i="1"/>
  <c r="A13657" i="1"/>
  <c r="P13657" i="1"/>
  <c r="A13658" i="1"/>
  <c r="P13658" i="1"/>
  <c r="A13659" i="1"/>
  <c r="P13659" i="1"/>
  <c r="A13660" i="1"/>
  <c r="P13660" i="1"/>
  <c r="A13661" i="1"/>
  <c r="P13661" i="1"/>
  <c r="A13662" i="1"/>
  <c r="P13662" i="1"/>
  <c r="A13663" i="1"/>
  <c r="P13663" i="1"/>
  <c r="A13664" i="1"/>
  <c r="P13664" i="1"/>
  <c r="A13665" i="1"/>
  <c r="P13665" i="1"/>
  <c r="A13666" i="1"/>
  <c r="P13666" i="1"/>
  <c r="A13667" i="1"/>
  <c r="P13667" i="1"/>
  <c r="A13668" i="1"/>
  <c r="P13668" i="1"/>
  <c r="A13669" i="1"/>
  <c r="P13669" i="1"/>
  <c r="A13670" i="1"/>
  <c r="P13670" i="1"/>
  <c r="A13671" i="1"/>
  <c r="P13671" i="1"/>
  <c r="A13672" i="1"/>
  <c r="P13672" i="1"/>
  <c r="A13673" i="1"/>
  <c r="P13673" i="1"/>
  <c r="A13674" i="1"/>
  <c r="P13674" i="1"/>
  <c r="A13675" i="1"/>
  <c r="P13675" i="1"/>
  <c r="A13676" i="1"/>
  <c r="P13676" i="1"/>
  <c r="A13677" i="1"/>
  <c r="P13677" i="1"/>
  <c r="A13678" i="1"/>
  <c r="P13678" i="1"/>
  <c r="A13679" i="1"/>
  <c r="P13679" i="1"/>
  <c r="A13680" i="1"/>
  <c r="P13680" i="1"/>
  <c r="A13681" i="1"/>
  <c r="P13681" i="1"/>
  <c r="A13682" i="1"/>
  <c r="P13682" i="1"/>
  <c r="A13683" i="1"/>
  <c r="P13683" i="1"/>
  <c r="A13684" i="1"/>
  <c r="P13684" i="1"/>
  <c r="A13685" i="1"/>
  <c r="P13685" i="1"/>
  <c r="A13686" i="1"/>
  <c r="P13686" i="1"/>
  <c r="A13687" i="1"/>
  <c r="P13687" i="1"/>
  <c r="A13688" i="1"/>
  <c r="P13688" i="1"/>
  <c r="A13689" i="1"/>
  <c r="P13689" i="1"/>
  <c r="A13690" i="1"/>
  <c r="P13690" i="1"/>
  <c r="A13691" i="1"/>
  <c r="P13691" i="1"/>
  <c r="A13692" i="1"/>
  <c r="P13692" i="1"/>
  <c r="A13693" i="1"/>
  <c r="P13693" i="1"/>
  <c r="A13694" i="1"/>
  <c r="P13694" i="1"/>
  <c r="A13695" i="1"/>
  <c r="P13695" i="1"/>
  <c r="A13696" i="1"/>
  <c r="P13696" i="1"/>
  <c r="A13697" i="1"/>
  <c r="P13697" i="1"/>
  <c r="A13698" i="1"/>
  <c r="P13698" i="1"/>
  <c r="A13699" i="1"/>
  <c r="P13699" i="1"/>
  <c r="A13700" i="1"/>
  <c r="P13700" i="1"/>
  <c r="A13701" i="1"/>
  <c r="P13701" i="1"/>
  <c r="A13702" i="1"/>
  <c r="P13702" i="1"/>
  <c r="A13703" i="1"/>
  <c r="P13703" i="1"/>
  <c r="A13704" i="1"/>
  <c r="P13704" i="1"/>
  <c r="A13705" i="1"/>
  <c r="P13705" i="1"/>
  <c r="A13706" i="1"/>
  <c r="P13706" i="1"/>
  <c r="A13707" i="1"/>
  <c r="P13707" i="1"/>
  <c r="A13708" i="1"/>
  <c r="P13708" i="1"/>
  <c r="A13709" i="1"/>
  <c r="P13709" i="1"/>
  <c r="A13710" i="1"/>
  <c r="P13710" i="1"/>
  <c r="A13711" i="1"/>
  <c r="P13711" i="1"/>
  <c r="A13712" i="1"/>
  <c r="P13712" i="1"/>
  <c r="A13713" i="1"/>
  <c r="P13713" i="1"/>
  <c r="A13714" i="1"/>
  <c r="P13714" i="1"/>
  <c r="A13715" i="1"/>
  <c r="P13715" i="1"/>
  <c r="A13716" i="1"/>
  <c r="P13716" i="1"/>
  <c r="A13717" i="1"/>
  <c r="P13717" i="1"/>
  <c r="A13718" i="1"/>
  <c r="P13718" i="1"/>
  <c r="A13719" i="1"/>
  <c r="P13719" i="1"/>
  <c r="A13720" i="1"/>
  <c r="P13720" i="1"/>
  <c r="A13721" i="1"/>
  <c r="P13721" i="1"/>
  <c r="A13722" i="1"/>
  <c r="P13722" i="1"/>
  <c r="A13723" i="1"/>
  <c r="P13723" i="1"/>
  <c r="A13724" i="1"/>
  <c r="P13724" i="1"/>
  <c r="A13725" i="1"/>
  <c r="P13725" i="1"/>
  <c r="A13726" i="1"/>
  <c r="P13726" i="1"/>
  <c r="A13727" i="1"/>
  <c r="P13727" i="1"/>
  <c r="A13728" i="1"/>
  <c r="P13728" i="1"/>
  <c r="A13729" i="1"/>
  <c r="P13729" i="1"/>
  <c r="A13730" i="1"/>
  <c r="P13730" i="1"/>
  <c r="A13731" i="1"/>
  <c r="P13731" i="1"/>
  <c r="A13732" i="1"/>
  <c r="P13732" i="1"/>
  <c r="A13733" i="1"/>
  <c r="P13733" i="1"/>
  <c r="A13734" i="1"/>
  <c r="P13734" i="1"/>
  <c r="A13735" i="1"/>
  <c r="P13735" i="1"/>
  <c r="A13736" i="1"/>
  <c r="P13736" i="1"/>
  <c r="A13737" i="1"/>
  <c r="P13737" i="1"/>
  <c r="A13738" i="1"/>
  <c r="P13738" i="1"/>
  <c r="A13739" i="1"/>
  <c r="P13739" i="1"/>
  <c r="A13740" i="1"/>
  <c r="P13740" i="1"/>
  <c r="A13741" i="1"/>
  <c r="P13741" i="1"/>
  <c r="A13742" i="1"/>
  <c r="P13742" i="1"/>
  <c r="A13743" i="1"/>
  <c r="P13743" i="1"/>
  <c r="A13744" i="1"/>
  <c r="P13744" i="1"/>
  <c r="A13745" i="1"/>
  <c r="P13745" i="1"/>
  <c r="A13746" i="1"/>
  <c r="P13746" i="1"/>
  <c r="A13747" i="1"/>
  <c r="P13747" i="1"/>
  <c r="A13748" i="1"/>
  <c r="P13748" i="1"/>
  <c r="A13749" i="1"/>
  <c r="P13749" i="1"/>
  <c r="A13750" i="1"/>
  <c r="P13750" i="1"/>
  <c r="A13751" i="1"/>
  <c r="P13751" i="1"/>
  <c r="A13752" i="1"/>
  <c r="P13752" i="1"/>
  <c r="A13753" i="1"/>
  <c r="P13753" i="1"/>
  <c r="A13754" i="1"/>
  <c r="P13754" i="1"/>
  <c r="A13755" i="1"/>
  <c r="P13755" i="1"/>
  <c r="A13756" i="1"/>
  <c r="P13756" i="1"/>
  <c r="A13757" i="1"/>
  <c r="P13757" i="1"/>
  <c r="A13758" i="1"/>
  <c r="P13758" i="1"/>
  <c r="A13759" i="1"/>
  <c r="P13759" i="1"/>
  <c r="A13760" i="1"/>
  <c r="P13760" i="1"/>
  <c r="A13761" i="1"/>
  <c r="P13761" i="1"/>
  <c r="A13762" i="1"/>
  <c r="P13762" i="1"/>
  <c r="A13763" i="1"/>
  <c r="P13763" i="1"/>
  <c r="A13764" i="1"/>
  <c r="P13764" i="1"/>
  <c r="A13765" i="1"/>
  <c r="P13765" i="1"/>
  <c r="A13766" i="1"/>
  <c r="P13766" i="1"/>
  <c r="A13767" i="1"/>
  <c r="P13767" i="1"/>
  <c r="A13768" i="1"/>
  <c r="P13768" i="1"/>
  <c r="A13769" i="1"/>
  <c r="P13769" i="1"/>
  <c r="A13770" i="1"/>
  <c r="P13770" i="1"/>
  <c r="A13771" i="1"/>
  <c r="P13771" i="1"/>
  <c r="A13772" i="1"/>
  <c r="P13772" i="1"/>
  <c r="A13773" i="1"/>
  <c r="P13773" i="1"/>
  <c r="A13774" i="1"/>
  <c r="P13774" i="1"/>
  <c r="A13775" i="1"/>
  <c r="P13775" i="1"/>
  <c r="A13776" i="1"/>
  <c r="P13776" i="1"/>
  <c r="A13777" i="1"/>
  <c r="P13777" i="1"/>
  <c r="A13778" i="1"/>
  <c r="P13778" i="1"/>
  <c r="A13779" i="1"/>
  <c r="P13779" i="1"/>
  <c r="A13780" i="1"/>
  <c r="P13780" i="1"/>
  <c r="A13781" i="1"/>
  <c r="P13781" i="1"/>
  <c r="A13782" i="1"/>
  <c r="P13782" i="1"/>
  <c r="A13783" i="1"/>
  <c r="P13783" i="1"/>
  <c r="A13784" i="1"/>
  <c r="P13784" i="1"/>
  <c r="A13785" i="1"/>
  <c r="P13785" i="1"/>
  <c r="A13786" i="1"/>
  <c r="P13786" i="1"/>
  <c r="A13787" i="1"/>
  <c r="P13787" i="1"/>
  <c r="A13788" i="1"/>
  <c r="P13788" i="1"/>
  <c r="A13789" i="1"/>
  <c r="P13789" i="1"/>
  <c r="A13790" i="1"/>
  <c r="P13790" i="1"/>
  <c r="A13791" i="1"/>
  <c r="P13791" i="1"/>
  <c r="A13792" i="1"/>
  <c r="P13792" i="1"/>
  <c r="A13793" i="1"/>
  <c r="P13793" i="1"/>
  <c r="A13794" i="1"/>
  <c r="P13794" i="1"/>
  <c r="A13795" i="1"/>
  <c r="P13795" i="1"/>
  <c r="A13796" i="1"/>
  <c r="P13796" i="1"/>
  <c r="A13797" i="1"/>
  <c r="P13797" i="1"/>
  <c r="A13798" i="1"/>
  <c r="P13798" i="1"/>
  <c r="A13799" i="1"/>
  <c r="P13799" i="1"/>
  <c r="A13800" i="1"/>
  <c r="P13800" i="1"/>
  <c r="A13801" i="1"/>
  <c r="P13801" i="1"/>
  <c r="A13802" i="1"/>
  <c r="P13802" i="1"/>
  <c r="A13803" i="1"/>
  <c r="P13803" i="1"/>
  <c r="A13804" i="1"/>
  <c r="P13804" i="1"/>
  <c r="A13805" i="1"/>
  <c r="P13805" i="1"/>
  <c r="A13806" i="1"/>
  <c r="P13806" i="1"/>
  <c r="A13807" i="1"/>
  <c r="P13807" i="1"/>
  <c r="A13808" i="1"/>
  <c r="P13808" i="1"/>
  <c r="A13809" i="1"/>
  <c r="P13809" i="1"/>
  <c r="A13810" i="1"/>
  <c r="P13810" i="1"/>
  <c r="A13811" i="1"/>
  <c r="P13811" i="1"/>
  <c r="A13812" i="1"/>
  <c r="P13812" i="1"/>
  <c r="A13813" i="1"/>
  <c r="P13813" i="1"/>
  <c r="A13814" i="1"/>
  <c r="P13814" i="1"/>
  <c r="A13815" i="1"/>
  <c r="P13815" i="1"/>
  <c r="A13816" i="1"/>
  <c r="P13816" i="1"/>
  <c r="A13817" i="1"/>
  <c r="P13817" i="1"/>
  <c r="A13818" i="1"/>
  <c r="P13818" i="1"/>
  <c r="A13819" i="1"/>
  <c r="P13819" i="1"/>
  <c r="A13820" i="1"/>
  <c r="P13820" i="1"/>
  <c r="A13821" i="1"/>
  <c r="P13821" i="1"/>
  <c r="A13822" i="1"/>
  <c r="P13822" i="1"/>
  <c r="A13823" i="1"/>
  <c r="P13823" i="1"/>
  <c r="A13824" i="1"/>
  <c r="P13824" i="1"/>
  <c r="A13825" i="1"/>
  <c r="P13825" i="1"/>
  <c r="A13826" i="1"/>
  <c r="P13826" i="1"/>
  <c r="A13827" i="1"/>
  <c r="P13827" i="1"/>
  <c r="A13828" i="1"/>
  <c r="P13828" i="1"/>
  <c r="A13829" i="1"/>
  <c r="P13829" i="1"/>
  <c r="A13830" i="1"/>
  <c r="P13830" i="1"/>
  <c r="A13831" i="1"/>
  <c r="P13831" i="1"/>
  <c r="A13832" i="1"/>
  <c r="P13832" i="1"/>
  <c r="A13833" i="1"/>
  <c r="P13833" i="1"/>
  <c r="A13834" i="1"/>
  <c r="P13834" i="1"/>
  <c r="A13835" i="1"/>
  <c r="P13835" i="1"/>
  <c r="A13836" i="1"/>
  <c r="P13836" i="1"/>
  <c r="A13837" i="1"/>
  <c r="P13837" i="1"/>
  <c r="A13838" i="1"/>
  <c r="P13838" i="1"/>
  <c r="A13839" i="1"/>
  <c r="P13839" i="1"/>
  <c r="A13840" i="1"/>
  <c r="P13840" i="1"/>
  <c r="A13841" i="1"/>
  <c r="P13841" i="1"/>
  <c r="A13842" i="1"/>
  <c r="P13842" i="1"/>
  <c r="A13843" i="1"/>
  <c r="P13843" i="1"/>
  <c r="A13844" i="1"/>
  <c r="P13844" i="1"/>
  <c r="A13845" i="1"/>
  <c r="P13845" i="1"/>
  <c r="A13846" i="1"/>
  <c r="P13846" i="1"/>
  <c r="A13847" i="1"/>
  <c r="P13847" i="1"/>
  <c r="A13848" i="1"/>
  <c r="P13848" i="1"/>
  <c r="A13849" i="1"/>
  <c r="P13849" i="1"/>
  <c r="A13850" i="1"/>
  <c r="P13850" i="1"/>
  <c r="A13851" i="1"/>
  <c r="P13851" i="1"/>
  <c r="A13852" i="1"/>
  <c r="P13852" i="1"/>
  <c r="A13853" i="1"/>
  <c r="P13853" i="1"/>
  <c r="A13854" i="1"/>
  <c r="P13854" i="1"/>
  <c r="A13855" i="1"/>
  <c r="P13855" i="1"/>
  <c r="A13856" i="1"/>
  <c r="P13856" i="1"/>
  <c r="A13857" i="1"/>
  <c r="P13857" i="1"/>
  <c r="A13858" i="1"/>
  <c r="P13858" i="1"/>
  <c r="A13859" i="1"/>
  <c r="P13859" i="1"/>
  <c r="A13860" i="1"/>
  <c r="P13860" i="1"/>
  <c r="A13861" i="1"/>
  <c r="P13861" i="1"/>
  <c r="A13862" i="1"/>
  <c r="P13862" i="1"/>
  <c r="A13863" i="1"/>
  <c r="P13863" i="1"/>
  <c r="A13864" i="1"/>
  <c r="P13864" i="1"/>
  <c r="A13865" i="1"/>
  <c r="P13865" i="1"/>
  <c r="A13866" i="1"/>
  <c r="P13866" i="1"/>
  <c r="A13867" i="1"/>
  <c r="P13867" i="1"/>
  <c r="A13868" i="1"/>
  <c r="P13868" i="1"/>
  <c r="A13869" i="1"/>
  <c r="P13869" i="1"/>
  <c r="A13870" i="1"/>
  <c r="P13870" i="1"/>
  <c r="A13871" i="1"/>
  <c r="P13871" i="1"/>
  <c r="A13872" i="1"/>
  <c r="P13872" i="1"/>
  <c r="A13873" i="1"/>
  <c r="P13873" i="1"/>
  <c r="A13874" i="1"/>
  <c r="P13874" i="1"/>
  <c r="A13875" i="1"/>
  <c r="P13875" i="1"/>
  <c r="A13876" i="1"/>
  <c r="P13876" i="1"/>
  <c r="A13877" i="1"/>
  <c r="P13877" i="1"/>
  <c r="A13878" i="1"/>
  <c r="P13878" i="1"/>
  <c r="A13879" i="1"/>
  <c r="P13879" i="1"/>
  <c r="A13880" i="1"/>
  <c r="P13880" i="1"/>
  <c r="A13881" i="1"/>
  <c r="P13881" i="1"/>
  <c r="A13882" i="1"/>
  <c r="P13882" i="1"/>
  <c r="A13883" i="1"/>
  <c r="P13883" i="1"/>
  <c r="A13884" i="1"/>
  <c r="P13884" i="1"/>
  <c r="A13885" i="1"/>
  <c r="P13885" i="1"/>
  <c r="A13886" i="1"/>
  <c r="P13886" i="1"/>
  <c r="A13887" i="1"/>
  <c r="P13887" i="1"/>
  <c r="A13888" i="1"/>
  <c r="P13888" i="1"/>
  <c r="A13889" i="1"/>
  <c r="P13889" i="1"/>
  <c r="A13890" i="1"/>
  <c r="P13890" i="1"/>
  <c r="A13891" i="1"/>
  <c r="P13891" i="1"/>
  <c r="A13892" i="1"/>
  <c r="P13892" i="1"/>
  <c r="A13893" i="1"/>
  <c r="P13893" i="1"/>
  <c r="A13894" i="1"/>
  <c r="P13894" i="1"/>
  <c r="A13895" i="1"/>
  <c r="P13895" i="1"/>
  <c r="A13896" i="1"/>
  <c r="P13896" i="1"/>
  <c r="A13897" i="1"/>
  <c r="P13897" i="1"/>
  <c r="A13898" i="1"/>
  <c r="P13898" i="1"/>
  <c r="A13899" i="1"/>
  <c r="P13899" i="1"/>
  <c r="A13900" i="1"/>
  <c r="P13900" i="1"/>
  <c r="A13901" i="1"/>
  <c r="P13901" i="1"/>
  <c r="A13902" i="1"/>
  <c r="P13902" i="1"/>
  <c r="A13903" i="1"/>
  <c r="P13903" i="1"/>
  <c r="A13904" i="1"/>
  <c r="P13904" i="1"/>
  <c r="A13905" i="1"/>
  <c r="P13905" i="1"/>
  <c r="A13906" i="1"/>
  <c r="P13906" i="1"/>
  <c r="A13907" i="1"/>
  <c r="P13907" i="1"/>
  <c r="A13908" i="1"/>
  <c r="P13908" i="1"/>
  <c r="A13909" i="1"/>
  <c r="P13909" i="1"/>
  <c r="A13910" i="1"/>
  <c r="P13910" i="1"/>
  <c r="A13911" i="1"/>
  <c r="P13911" i="1"/>
  <c r="A13912" i="1"/>
  <c r="P13912" i="1"/>
  <c r="A13913" i="1"/>
  <c r="P13913" i="1"/>
  <c r="A13914" i="1"/>
  <c r="P13914" i="1"/>
  <c r="A13915" i="1"/>
  <c r="P13915" i="1"/>
  <c r="A13916" i="1"/>
  <c r="P13916" i="1"/>
  <c r="A13917" i="1"/>
  <c r="P13917" i="1"/>
  <c r="A13918" i="1"/>
  <c r="P13918" i="1"/>
  <c r="A13919" i="1"/>
  <c r="P13919" i="1"/>
  <c r="A13920" i="1"/>
  <c r="P13920" i="1"/>
  <c r="A13921" i="1"/>
  <c r="P13921" i="1"/>
  <c r="A13922" i="1"/>
  <c r="P13922" i="1"/>
  <c r="A13923" i="1"/>
  <c r="P13923" i="1"/>
  <c r="A13924" i="1"/>
  <c r="P13924" i="1"/>
  <c r="A13925" i="1"/>
  <c r="P13925" i="1"/>
  <c r="A13926" i="1"/>
  <c r="P13926" i="1"/>
  <c r="A13927" i="1"/>
  <c r="P13927" i="1"/>
  <c r="A13928" i="1"/>
  <c r="P13928" i="1"/>
  <c r="A13929" i="1"/>
  <c r="P13929" i="1"/>
  <c r="A13930" i="1"/>
  <c r="P13930" i="1"/>
  <c r="A13931" i="1"/>
  <c r="P13931" i="1"/>
  <c r="A13932" i="1"/>
  <c r="P13932" i="1"/>
  <c r="A13933" i="1"/>
  <c r="P13933" i="1"/>
  <c r="A13934" i="1"/>
  <c r="P13934" i="1"/>
  <c r="A13935" i="1"/>
  <c r="P13935" i="1"/>
  <c r="A13936" i="1"/>
  <c r="P13936" i="1"/>
  <c r="A13937" i="1"/>
  <c r="P13937" i="1"/>
  <c r="A13938" i="1"/>
  <c r="P13938" i="1"/>
  <c r="A13939" i="1"/>
  <c r="P13939" i="1"/>
  <c r="A13940" i="1"/>
  <c r="P13940" i="1"/>
  <c r="A13941" i="1"/>
  <c r="P13941" i="1"/>
  <c r="A13942" i="1"/>
  <c r="P13942" i="1"/>
  <c r="A13943" i="1"/>
  <c r="P13943" i="1"/>
  <c r="A13944" i="1"/>
  <c r="P13944" i="1"/>
  <c r="A13945" i="1"/>
  <c r="P13945" i="1"/>
  <c r="A13946" i="1"/>
  <c r="P13946" i="1"/>
  <c r="A13947" i="1"/>
  <c r="P13947" i="1"/>
  <c r="A13948" i="1"/>
  <c r="P13948" i="1"/>
  <c r="A13949" i="1"/>
  <c r="P13949" i="1"/>
  <c r="A13950" i="1"/>
  <c r="P13950" i="1"/>
  <c r="A13951" i="1"/>
  <c r="P13951" i="1"/>
  <c r="A13952" i="1"/>
  <c r="P13952" i="1"/>
  <c r="A13953" i="1"/>
  <c r="P13953" i="1"/>
  <c r="A13954" i="1"/>
  <c r="P13954" i="1"/>
  <c r="A13955" i="1"/>
  <c r="P13955" i="1"/>
  <c r="A13956" i="1"/>
  <c r="P13956" i="1"/>
  <c r="A13957" i="1"/>
  <c r="P13957" i="1"/>
  <c r="A13958" i="1"/>
  <c r="P13958" i="1"/>
  <c r="A13959" i="1"/>
  <c r="P13959" i="1"/>
  <c r="A13960" i="1"/>
  <c r="P13960" i="1"/>
  <c r="A13961" i="1"/>
  <c r="P13961" i="1"/>
  <c r="A13962" i="1"/>
  <c r="P13962" i="1"/>
  <c r="A13963" i="1"/>
  <c r="P13963" i="1"/>
  <c r="A13964" i="1"/>
  <c r="P13964" i="1"/>
  <c r="A13965" i="1"/>
  <c r="P13965" i="1"/>
  <c r="A13966" i="1"/>
  <c r="P13966" i="1"/>
  <c r="A13967" i="1"/>
  <c r="P13967" i="1"/>
  <c r="A13968" i="1"/>
  <c r="P13968" i="1"/>
  <c r="A13969" i="1"/>
  <c r="P13969" i="1"/>
  <c r="A13970" i="1"/>
  <c r="P13970" i="1"/>
  <c r="A13971" i="1"/>
  <c r="P13971" i="1"/>
  <c r="A13972" i="1"/>
  <c r="P13972" i="1"/>
  <c r="A13973" i="1"/>
  <c r="P13973" i="1"/>
  <c r="A13974" i="1"/>
  <c r="P13974" i="1"/>
  <c r="A13975" i="1"/>
  <c r="P13975" i="1"/>
  <c r="A13976" i="1"/>
  <c r="P13976" i="1"/>
  <c r="A13977" i="1"/>
  <c r="P13977" i="1"/>
  <c r="A13978" i="1"/>
  <c r="P13978" i="1"/>
  <c r="A13979" i="1"/>
  <c r="P13979" i="1"/>
  <c r="A13980" i="1"/>
  <c r="P13980" i="1"/>
  <c r="A13981" i="1"/>
  <c r="P13981" i="1"/>
  <c r="A13982" i="1"/>
  <c r="P13982" i="1"/>
  <c r="A13983" i="1"/>
  <c r="P13983" i="1"/>
  <c r="A13984" i="1"/>
  <c r="P13984" i="1"/>
  <c r="A13985" i="1"/>
  <c r="P13985" i="1"/>
  <c r="A13986" i="1"/>
  <c r="P13986" i="1"/>
  <c r="A13987" i="1"/>
  <c r="P13987" i="1"/>
  <c r="A13988" i="1"/>
  <c r="P13988" i="1"/>
  <c r="A13989" i="1"/>
  <c r="P13989" i="1"/>
  <c r="A13990" i="1"/>
  <c r="P13990" i="1"/>
  <c r="A13991" i="1"/>
  <c r="P13991" i="1"/>
  <c r="A13992" i="1"/>
  <c r="P13992" i="1"/>
  <c r="A13993" i="1"/>
  <c r="P13993" i="1"/>
  <c r="A13994" i="1"/>
  <c r="P13994" i="1"/>
  <c r="A13995" i="1"/>
  <c r="P13995" i="1"/>
  <c r="A13996" i="1"/>
  <c r="P13996" i="1"/>
  <c r="A13997" i="1"/>
  <c r="P13997" i="1"/>
  <c r="A13998" i="1"/>
  <c r="P13998" i="1"/>
  <c r="A13999" i="1"/>
  <c r="P13999" i="1"/>
  <c r="A14000" i="1"/>
  <c r="P14000" i="1"/>
  <c r="A14001" i="1"/>
  <c r="P14001" i="1"/>
  <c r="A14002" i="1"/>
  <c r="P14002" i="1"/>
  <c r="A14003" i="1"/>
  <c r="P14003" i="1"/>
  <c r="A14004" i="1"/>
  <c r="P14004" i="1"/>
  <c r="A14005" i="1"/>
  <c r="P14005" i="1"/>
  <c r="A14006" i="1"/>
  <c r="P14006" i="1"/>
  <c r="A14007" i="1"/>
  <c r="P14007" i="1"/>
  <c r="A14008" i="1"/>
  <c r="P14008" i="1"/>
  <c r="A14009" i="1"/>
  <c r="P14009" i="1"/>
  <c r="A14010" i="1"/>
  <c r="P14010" i="1"/>
  <c r="A14011" i="1"/>
  <c r="P14011" i="1"/>
  <c r="A14012" i="1"/>
  <c r="P14012" i="1"/>
  <c r="A14013" i="1"/>
  <c r="P14013" i="1"/>
  <c r="A14014" i="1"/>
  <c r="P14014" i="1"/>
  <c r="A14015" i="1"/>
  <c r="P14015" i="1"/>
  <c r="A14016" i="1"/>
  <c r="P14016" i="1"/>
  <c r="A14017" i="1"/>
  <c r="P14017" i="1"/>
  <c r="A14018" i="1"/>
  <c r="P14018" i="1"/>
  <c r="A14019" i="1"/>
  <c r="P14019" i="1"/>
  <c r="A14020" i="1"/>
  <c r="P14020" i="1"/>
  <c r="A14021" i="1"/>
  <c r="P14021" i="1"/>
  <c r="A14022" i="1"/>
  <c r="P14022" i="1"/>
  <c r="A14023" i="1"/>
  <c r="P14023" i="1"/>
  <c r="A14024" i="1"/>
  <c r="P14024" i="1"/>
  <c r="A14025" i="1"/>
  <c r="P14025" i="1"/>
  <c r="A14026" i="1"/>
  <c r="P14026" i="1"/>
  <c r="A14027" i="1"/>
  <c r="P14027" i="1"/>
  <c r="A14028" i="1"/>
  <c r="P14028" i="1"/>
  <c r="A14029" i="1"/>
  <c r="P14029" i="1"/>
  <c r="A14030" i="1"/>
  <c r="P14030" i="1"/>
  <c r="A14031" i="1"/>
  <c r="P14031" i="1"/>
  <c r="A14032" i="1"/>
  <c r="P14032" i="1"/>
  <c r="A14033" i="1"/>
  <c r="P14033" i="1"/>
  <c r="A14034" i="1"/>
  <c r="P14034" i="1"/>
  <c r="A14035" i="1"/>
  <c r="P14035" i="1"/>
  <c r="A14036" i="1"/>
  <c r="P14036" i="1"/>
  <c r="A14037" i="1"/>
  <c r="P14037" i="1"/>
  <c r="A14038" i="1"/>
  <c r="P14038" i="1"/>
  <c r="A14039" i="1"/>
  <c r="P14039" i="1"/>
  <c r="A14040" i="1"/>
  <c r="P14040" i="1"/>
  <c r="A14041" i="1"/>
  <c r="P14041" i="1"/>
  <c r="A14042" i="1"/>
  <c r="P14042" i="1"/>
  <c r="A14043" i="1"/>
  <c r="P14043" i="1"/>
  <c r="A14044" i="1"/>
  <c r="P14044" i="1"/>
  <c r="A14045" i="1"/>
  <c r="P14045" i="1"/>
  <c r="A14046" i="1"/>
  <c r="P14046" i="1"/>
  <c r="A14047" i="1"/>
  <c r="P14047" i="1"/>
  <c r="A14048" i="1"/>
  <c r="P14048" i="1"/>
  <c r="A14049" i="1"/>
  <c r="P14049" i="1"/>
  <c r="A14050" i="1"/>
  <c r="P14050" i="1"/>
  <c r="A14051" i="1"/>
  <c r="P14051" i="1"/>
  <c r="A14052" i="1"/>
  <c r="P14052" i="1"/>
  <c r="A14053" i="1"/>
  <c r="P14053" i="1"/>
  <c r="A14054" i="1"/>
  <c r="P14054" i="1"/>
  <c r="A14055" i="1"/>
  <c r="P14055" i="1"/>
  <c r="A14056" i="1"/>
  <c r="P14056" i="1"/>
  <c r="A14057" i="1"/>
  <c r="P14057" i="1"/>
  <c r="A14058" i="1"/>
  <c r="P14058" i="1"/>
  <c r="A14059" i="1"/>
  <c r="P14059" i="1"/>
  <c r="A14060" i="1"/>
  <c r="P14060" i="1"/>
  <c r="A14061" i="1"/>
  <c r="P14061" i="1"/>
  <c r="A14062" i="1"/>
  <c r="P14062" i="1"/>
  <c r="A14063" i="1"/>
  <c r="P14063" i="1"/>
  <c r="A14064" i="1"/>
  <c r="P14064" i="1"/>
  <c r="A14065" i="1"/>
  <c r="P14065" i="1"/>
  <c r="A14066" i="1"/>
  <c r="P14066" i="1"/>
  <c r="A14067" i="1"/>
  <c r="P14067" i="1"/>
  <c r="A14068" i="1"/>
  <c r="P14068" i="1"/>
  <c r="A14069" i="1"/>
  <c r="P14069" i="1"/>
  <c r="A14070" i="1"/>
  <c r="P14070" i="1"/>
  <c r="A14071" i="1"/>
  <c r="P14071" i="1"/>
  <c r="A14072" i="1"/>
  <c r="P14072" i="1"/>
  <c r="A14073" i="1"/>
  <c r="P14073" i="1"/>
  <c r="A14074" i="1"/>
  <c r="P14074" i="1"/>
  <c r="A14075" i="1"/>
  <c r="P14075" i="1"/>
  <c r="A14076" i="1"/>
  <c r="P14076" i="1"/>
  <c r="A14077" i="1"/>
  <c r="P14077" i="1"/>
  <c r="A14078" i="1"/>
  <c r="P14078" i="1"/>
  <c r="A14079" i="1"/>
  <c r="P14079" i="1"/>
  <c r="A14080" i="1"/>
  <c r="P14080" i="1"/>
  <c r="A14081" i="1"/>
  <c r="P14081" i="1"/>
  <c r="A14082" i="1"/>
  <c r="P14082" i="1"/>
  <c r="A14083" i="1"/>
  <c r="P14083" i="1"/>
  <c r="A14084" i="1"/>
  <c r="P14084" i="1"/>
  <c r="A14085" i="1"/>
  <c r="P14085" i="1"/>
  <c r="A14086" i="1"/>
  <c r="P14086" i="1"/>
  <c r="A14087" i="1"/>
  <c r="P14087" i="1"/>
  <c r="A14088" i="1"/>
  <c r="P14088" i="1"/>
  <c r="A14089" i="1"/>
  <c r="P14089" i="1"/>
  <c r="A14090" i="1"/>
  <c r="P14090" i="1"/>
  <c r="A14091" i="1"/>
  <c r="P14091" i="1"/>
  <c r="A14092" i="1"/>
  <c r="P14092" i="1"/>
  <c r="A14093" i="1"/>
  <c r="P14093" i="1"/>
  <c r="A14094" i="1"/>
  <c r="P14094" i="1"/>
  <c r="A14095" i="1"/>
  <c r="P14095" i="1"/>
  <c r="A14096" i="1"/>
  <c r="P14096" i="1"/>
  <c r="A14097" i="1"/>
  <c r="P14097" i="1"/>
  <c r="A14098" i="1"/>
  <c r="P14098" i="1"/>
  <c r="A14099" i="1"/>
  <c r="P14099" i="1"/>
  <c r="A14100" i="1"/>
  <c r="P14100" i="1"/>
  <c r="A14101" i="1"/>
  <c r="P14101" i="1"/>
  <c r="A14102" i="1"/>
  <c r="P14102" i="1"/>
  <c r="A14103" i="1"/>
  <c r="P14103" i="1"/>
  <c r="A14104" i="1"/>
  <c r="P14104" i="1"/>
  <c r="A14105" i="1"/>
  <c r="P14105" i="1"/>
  <c r="A14106" i="1"/>
  <c r="P14106" i="1"/>
  <c r="A14107" i="1"/>
  <c r="P14107" i="1"/>
  <c r="A14108" i="1"/>
  <c r="P14108" i="1"/>
  <c r="A14109" i="1"/>
  <c r="P14109" i="1"/>
  <c r="A14110" i="1"/>
  <c r="P14110" i="1"/>
  <c r="A14111" i="1"/>
  <c r="P14111" i="1"/>
  <c r="A14112" i="1"/>
  <c r="P14112" i="1"/>
  <c r="A14113" i="1"/>
  <c r="P14113" i="1"/>
  <c r="A14114" i="1"/>
  <c r="P14114" i="1"/>
  <c r="A14115" i="1"/>
  <c r="P14115" i="1"/>
  <c r="A14116" i="1"/>
  <c r="P14116" i="1"/>
  <c r="A14117" i="1"/>
  <c r="P14117" i="1"/>
  <c r="A14118" i="1"/>
  <c r="P14118" i="1"/>
  <c r="A14119" i="1"/>
  <c r="P14119" i="1"/>
  <c r="A14120" i="1"/>
  <c r="P14120" i="1"/>
  <c r="A14121" i="1"/>
  <c r="P14121" i="1"/>
  <c r="A14122" i="1"/>
  <c r="P14122" i="1"/>
  <c r="A14123" i="1"/>
  <c r="P14123" i="1"/>
  <c r="A14124" i="1"/>
  <c r="P14124" i="1"/>
  <c r="A14125" i="1"/>
  <c r="P14125" i="1"/>
  <c r="A14126" i="1"/>
  <c r="P14126" i="1"/>
  <c r="A14127" i="1"/>
  <c r="P14127" i="1"/>
  <c r="A14128" i="1"/>
  <c r="P14128" i="1"/>
  <c r="A14129" i="1"/>
  <c r="P14129" i="1"/>
  <c r="A14130" i="1"/>
  <c r="P14130" i="1"/>
  <c r="A14131" i="1"/>
  <c r="P14131" i="1"/>
  <c r="A14132" i="1"/>
  <c r="P14132" i="1"/>
  <c r="A14133" i="1"/>
  <c r="P14133" i="1"/>
  <c r="A14134" i="1"/>
  <c r="P14134" i="1"/>
  <c r="A14135" i="1"/>
  <c r="P14135" i="1"/>
  <c r="A14136" i="1"/>
  <c r="P14136" i="1"/>
  <c r="A14137" i="1"/>
  <c r="P14137" i="1"/>
  <c r="A14138" i="1"/>
  <c r="P14138" i="1"/>
  <c r="A14139" i="1"/>
  <c r="P14139" i="1"/>
  <c r="A14140" i="1"/>
  <c r="P14140" i="1"/>
  <c r="A14141" i="1"/>
  <c r="P14141" i="1"/>
  <c r="A14142" i="1"/>
  <c r="P14142" i="1"/>
  <c r="A14143" i="1"/>
  <c r="P14143" i="1"/>
  <c r="A14144" i="1"/>
  <c r="P14144" i="1"/>
  <c r="A14145" i="1"/>
  <c r="P14145" i="1"/>
  <c r="A14146" i="1"/>
  <c r="P14146" i="1"/>
  <c r="A14147" i="1"/>
  <c r="P14147" i="1"/>
  <c r="A14148" i="1"/>
  <c r="P14148" i="1"/>
  <c r="A14149" i="1"/>
  <c r="P14149" i="1"/>
  <c r="A14150" i="1"/>
  <c r="P14150" i="1"/>
  <c r="A14151" i="1"/>
  <c r="P14151" i="1"/>
  <c r="A14152" i="1"/>
  <c r="P14152" i="1"/>
  <c r="A14153" i="1"/>
  <c r="P14153" i="1"/>
  <c r="A14154" i="1"/>
  <c r="P14154" i="1"/>
  <c r="A14155" i="1"/>
  <c r="P14155" i="1"/>
  <c r="A14156" i="1"/>
  <c r="P14156" i="1"/>
  <c r="A14157" i="1"/>
  <c r="P14157" i="1"/>
  <c r="A14158" i="1"/>
  <c r="P14158" i="1"/>
  <c r="A14159" i="1"/>
  <c r="P14159" i="1"/>
  <c r="A14160" i="1"/>
  <c r="P14160" i="1"/>
  <c r="A14161" i="1"/>
  <c r="P14161" i="1"/>
  <c r="A14162" i="1"/>
  <c r="P14162" i="1"/>
  <c r="A14163" i="1"/>
  <c r="P14163" i="1"/>
  <c r="A14164" i="1"/>
  <c r="P14164" i="1"/>
  <c r="A14165" i="1"/>
  <c r="P14165" i="1"/>
  <c r="A14166" i="1"/>
  <c r="P14166" i="1"/>
  <c r="A14167" i="1"/>
  <c r="P14167" i="1"/>
  <c r="A14168" i="1"/>
  <c r="P14168" i="1"/>
  <c r="A14169" i="1"/>
  <c r="P14169" i="1"/>
  <c r="A14170" i="1"/>
  <c r="P14170" i="1"/>
  <c r="A14171" i="1"/>
  <c r="P14171" i="1"/>
  <c r="A14172" i="1"/>
  <c r="P14172" i="1"/>
  <c r="A14173" i="1"/>
  <c r="P14173" i="1"/>
  <c r="A14174" i="1"/>
  <c r="P14174" i="1"/>
  <c r="A14175" i="1"/>
  <c r="P14175" i="1"/>
  <c r="A14176" i="1"/>
  <c r="P14176" i="1"/>
  <c r="A14177" i="1"/>
  <c r="P14177" i="1"/>
  <c r="A14178" i="1"/>
  <c r="P14178" i="1"/>
  <c r="A14179" i="1"/>
  <c r="P14179" i="1"/>
  <c r="A14180" i="1"/>
  <c r="P14180" i="1"/>
  <c r="A14181" i="1"/>
  <c r="P14181" i="1"/>
  <c r="A14182" i="1"/>
  <c r="P14182" i="1"/>
  <c r="A14183" i="1"/>
  <c r="P14183" i="1"/>
  <c r="A14184" i="1"/>
  <c r="P14184" i="1"/>
  <c r="A14185" i="1"/>
  <c r="P14185" i="1"/>
  <c r="A14186" i="1"/>
  <c r="P14186" i="1"/>
  <c r="A14187" i="1"/>
  <c r="P14187" i="1"/>
  <c r="A14188" i="1"/>
  <c r="P14188" i="1"/>
  <c r="A14189" i="1"/>
  <c r="P14189" i="1"/>
  <c r="A14190" i="1"/>
  <c r="P14190" i="1"/>
  <c r="A14191" i="1"/>
  <c r="P14191" i="1"/>
  <c r="A14192" i="1"/>
  <c r="P14192" i="1"/>
  <c r="A14193" i="1"/>
  <c r="P14193" i="1"/>
  <c r="A14194" i="1"/>
  <c r="P14194" i="1"/>
  <c r="A14195" i="1"/>
  <c r="P14195" i="1"/>
  <c r="A14196" i="1"/>
  <c r="P14196" i="1"/>
  <c r="A14197" i="1"/>
  <c r="P14197" i="1"/>
  <c r="A14198" i="1"/>
  <c r="P14198" i="1"/>
  <c r="A14199" i="1"/>
  <c r="P14199" i="1"/>
  <c r="A14200" i="1"/>
  <c r="P14200" i="1"/>
  <c r="A14201" i="1"/>
  <c r="P14201" i="1"/>
  <c r="A14202" i="1"/>
  <c r="P14202" i="1"/>
  <c r="A14203" i="1"/>
  <c r="P14203" i="1"/>
  <c r="A14204" i="1"/>
  <c r="P14204" i="1"/>
  <c r="A14205" i="1"/>
  <c r="P14205" i="1"/>
  <c r="A14206" i="1"/>
  <c r="P14206" i="1"/>
  <c r="A14207" i="1"/>
  <c r="P14207" i="1"/>
  <c r="A14208" i="1"/>
  <c r="P14208" i="1"/>
  <c r="A14209" i="1"/>
  <c r="P14209" i="1"/>
  <c r="A14210" i="1"/>
  <c r="P14210" i="1"/>
  <c r="A14211" i="1"/>
  <c r="P14211" i="1"/>
  <c r="A14212" i="1"/>
  <c r="P14212" i="1"/>
  <c r="A14213" i="1"/>
  <c r="P14213" i="1"/>
  <c r="A14214" i="1"/>
  <c r="P14214" i="1"/>
  <c r="A14215" i="1"/>
  <c r="P14215" i="1"/>
  <c r="A14216" i="1"/>
  <c r="P14216" i="1"/>
  <c r="A14217" i="1"/>
  <c r="P14217" i="1"/>
  <c r="A14218" i="1"/>
  <c r="P14218" i="1"/>
  <c r="A14219" i="1"/>
  <c r="P14219" i="1"/>
  <c r="A14220" i="1"/>
  <c r="P14220" i="1"/>
  <c r="A14221" i="1"/>
  <c r="P14221" i="1"/>
  <c r="A14222" i="1"/>
  <c r="P14222" i="1"/>
  <c r="A14223" i="1"/>
  <c r="P14223" i="1"/>
  <c r="A14224" i="1"/>
  <c r="P14224" i="1"/>
  <c r="A14225" i="1"/>
  <c r="P14225" i="1"/>
  <c r="A14226" i="1"/>
  <c r="P14226" i="1"/>
  <c r="A14227" i="1"/>
  <c r="P14227" i="1"/>
  <c r="A14228" i="1"/>
  <c r="P14228" i="1"/>
  <c r="A14229" i="1"/>
  <c r="P14229" i="1"/>
  <c r="A14230" i="1"/>
  <c r="P14230" i="1"/>
  <c r="A14231" i="1"/>
  <c r="P14231" i="1"/>
  <c r="A14232" i="1"/>
  <c r="P14232" i="1"/>
  <c r="A14233" i="1"/>
  <c r="P14233" i="1"/>
  <c r="A14234" i="1"/>
  <c r="P14234" i="1"/>
  <c r="A14235" i="1"/>
  <c r="P14235" i="1"/>
  <c r="A14236" i="1"/>
  <c r="P14236" i="1"/>
  <c r="A14237" i="1"/>
  <c r="P14237" i="1"/>
  <c r="A14238" i="1"/>
  <c r="P14238" i="1"/>
  <c r="A14239" i="1"/>
  <c r="P14239" i="1"/>
  <c r="A14240" i="1"/>
  <c r="P14240" i="1"/>
  <c r="A14241" i="1"/>
  <c r="P14241" i="1"/>
  <c r="A14242" i="1"/>
  <c r="P14242" i="1"/>
  <c r="A14243" i="1"/>
  <c r="P14243" i="1"/>
  <c r="A14244" i="1"/>
  <c r="P14244" i="1"/>
  <c r="A14245" i="1"/>
  <c r="P14245" i="1"/>
  <c r="A14246" i="1"/>
  <c r="P14246" i="1"/>
  <c r="A14247" i="1"/>
  <c r="P14247" i="1"/>
  <c r="A14248" i="1"/>
  <c r="P14248" i="1"/>
  <c r="A14249" i="1"/>
  <c r="P14249" i="1"/>
  <c r="A14250" i="1"/>
  <c r="P14250" i="1"/>
  <c r="A14251" i="1"/>
  <c r="P14251" i="1"/>
  <c r="A14252" i="1"/>
  <c r="P14252" i="1"/>
  <c r="A14253" i="1"/>
  <c r="P14253" i="1"/>
  <c r="A14254" i="1"/>
  <c r="P14254" i="1"/>
  <c r="A14255" i="1"/>
  <c r="P14255" i="1"/>
  <c r="A14256" i="1"/>
  <c r="P14256" i="1"/>
  <c r="A14257" i="1"/>
  <c r="P14257" i="1"/>
  <c r="A14258" i="1"/>
  <c r="P14258" i="1"/>
  <c r="A14259" i="1"/>
  <c r="P14259" i="1"/>
  <c r="A14260" i="1"/>
  <c r="P14260" i="1"/>
  <c r="A14261" i="1"/>
  <c r="P14261" i="1"/>
  <c r="A14262" i="1"/>
  <c r="P14262" i="1"/>
  <c r="A14263" i="1"/>
  <c r="P14263" i="1"/>
  <c r="A14264" i="1"/>
  <c r="P14264" i="1"/>
  <c r="A14265" i="1"/>
  <c r="P14265" i="1"/>
  <c r="A14266" i="1"/>
  <c r="P14266" i="1"/>
  <c r="A14267" i="1"/>
  <c r="P14267" i="1"/>
  <c r="A14268" i="1"/>
  <c r="P14268" i="1"/>
  <c r="A14269" i="1"/>
  <c r="P14269" i="1"/>
  <c r="A14270" i="1"/>
  <c r="P14270" i="1"/>
  <c r="A14271" i="1"/>
  <c r="P14271" i="1"/>
  <c r="A14272" i="1"/>
  <c r="P14272" i="1"/>
  <c r="A14273" i="1"/>
  <c r="P14273" i="1"/>
  <c r="A14274" i="1"/>
  <c r="P14274" i="1"/>
  <c r="A14275" i="1"/>
  <c r="P14275" i="1"/>
  <c r="A14276" i="1"/>
  <c r="P14276" i="1"/>
  <c r="A14277" i="1"/>
  <c r="P14277" i="1"/>
  <c r="A14278" i="1"/>
  <c r="P14278" i="1"/>
  <c r="A14279" i="1"/>
  <c r="P14279" i="1"/>
  <c r="A14280" i="1"/>
  <c r="P14280" i="1"/>
  <c r="A14281" i="1"/>
  <c r="P14281" i="1"/>
  <c r="A14282" i="1"/>
  <c r="P14282" i="1"/>
  <c r="A14283" i="1"/>
  <c r="P14283" i="1"/>
  <c r="A14284" i="1"/>
  <c r="P14284" i="1"/>
  <c r="A14285" i="1"/>
  <c r="P14285" i="1"/>
  <c r="A14286" i="1"/>
  <c r="P14286" i="1"/>
  <c r="A14287" i="1"/>
  <c r="P14287" i="1"/>
  <c r="A14288" i="1"/>
  <c r="P14288" i="1"/>
  <c r="A14289" i="1"/>
  <c r="P14289" i="1"/>
  <c r="A14290" i="1"/>
  <c r="P14290" i="1"/>
  <c r="A14291" i="1"/>
  <c r="P14291" i="1"/>
  <c r="A14292" i="1"/>
  <c r="P14292" i="1"/>
  <c r="A14293" i="1"/>
  <c r="P14293" i="1"/>
  <c r="A14294" i="1"/>
  <c r="P14294" i="1"/>
  <c r="A14295" i="1"/>
  <c r="P14295" i="1"/>
  <c r="A14296" i="1"/>
  <c r="P14296" i="1"/>
  <c r="A14297" i="1"/>
  <c r="P14297" i="1"/>
  <c r="A14298" i="1"/>
  <c r="P14298" i="1"/>
  <c r="A14299" i="1"/>
  <c r="P14299" i="1"/>
  <c r="A14300" i="1"/>
  <c r="P14300" i="1"/>
  <c r="A14301" i="1"/>
  <c r="P14301" i="1"/>
  <c r="A14302" i="1"/>
  <c r="P14302" i="1"/>
  <c r="A14303" i="1"/>
  <c r="P14303" i="1"/>
  <c r="A14304" i="1"/>
  <c r="P14304" i="1"/>
  <c r="A14305" i="1"/>
  <c r="P14305" i="1"/>
  <c r="A14306" i="1"/>
  <c r="P14306" i="1"/>
  <c r="A14307" i="1"/>
  <c r="P14307" i="1"/>
  <c r="A14308" i="1"/>
  <c r="P14308" i="1"/>
  <c r="A14309" i="1"/>
  <c r="P14309" i="1"/>
  <c r="A14310" i="1"/>
  <c r="P14310" i="1"/>
  <c r="A14311" i="1"/>
  <c r="P14311" i="1"/>
  <c r="A14312" i="1"/>
  <c r="P14312" i="1"/>
  <c r="A14313" i="1"/>
  <c r="P14313" i="1"/>
  <c r="A14314" i="1"/>
  <c r="P14314" i="1"/>
  <c r="A14315" i="1"/>
  <c r="P14315" i="1"/>
  <c r="A14316" i="1"/>
  <c r="P14316" i="1"/>
  <c r="A14317" i="1"/>
  <c r="P14317" i="1"/>
  <c r="A14318" i="1"/>
  <c r="P14318" i="1"/>
  <c r="A14319" i="1"/>
  <c r="P14319" i="1"/>
  <c r="A14320" i="1"/>
  <c r="P14320" i="1"/>
  <c r="A14321" i="1"/>
  <c r="P14321" i="1"/>
  <c r="A14322" i="1"/>
  <c r="P14322" i="1"/>
  <c r="A14323" i="1"/>
  <c r="P14323" i="1"/>
  <c r="A14324" i="1"/>
  <c r="P14324" i="1"/>
  <c r="A14325" i="1"/>
  <c r="P14325" i="1"/>
  <c r="A14326" i="1"/>
  <c r="P14326" i="1"/>
  <c r="A14327" i="1"/>
  <c r="P14327" i="1"/>
  <c r="A14328" i="1"/>
  <c r="P14328" i="1"/>
  <c r="A14329" i="1"/>
  <c r="P14329" i="1"/>
  <c r="A14330" i="1"/>
  <c r="P14330" i="1"/>
  <c r="A14331" i="1"/>
  <c r="P14331" i="1"/>
  <c r="A14332" i="1"/>
  <c r="P14332" i="1"/>
  <c r="A14333" i="1"/>
  <c r="P14333" i="1"/>
  <c r="A14334" i="1"/>
  <c r="P14334" i="1"/>
  <c r="A14335" i="1"/>
  <c r="P14335" i="1"/>
  <c r="A14336" i="1"/>
  <c r="P14336" i="1"/>
  <c r="A14337" i="1"/>
  <c r="P14337" i="1"/>
  <c r="A14338" i="1"/>
  <c r="P14338" i="1"/>
  <c r="A14339" i="1"/>
  <c r="P14339" i="1"/>
  <c r="A14340" i="1"/>
  <c r="P14340" i="1"/>
  <c r="A14341" i="1"/>
  <c r="P14341" i="1"/>
  <c r="A14342" i="1"/>
  <c r="P14342" i="1"/>
  <c r="A14343" i="1"/>
  <c r="P14343" i="1"/>
  <c r="A14344" i="1"/>
  <c r="P14344" i="1"/>
  <c r="A14345" i="1"/>
  <c r="P14345" i="1"/>
  <c r="A14346" i="1"/>
  <c r="P14346" i="1"/>
  <c r="A14347" i="1"/>
  <c r="P14347" i="1"/>
  <c r="A14348" i="1"/>
  <c r="P14348" i="1"/>
  <c r="A14349" i="1"/>
  <c r="P14349" i="1"/>
  <c r="A14350" i="1"/>
  <c r="P14350" i="1"/>
  <c r="A14351" i="1"/>
  <c r="P14351" i="1"/>
  <c r="A14352" i="1"/>
  <c r="P14352" i="1"/>
  <c r="A14353" i="1"/>
  <c r="P14353" i="1"/>
  <c r="A14354" i="1"/>
  <c r="P14354" i="1"/>
  <c r="A14355" i="1"/>
  <c r="P14355" i="1"/>
  <c r="A14356" i="1"/>
  <c r="P14356" i="1"/>
  <c r="A14357" i="1"/>
  <c r="P14357" i="1"/>
  <c r="A14358" i="1"/>
  <c r="P14358" i="1"/>
  <c r="A14359" i="1"/>
  <c r="P14359" i="1"/>
  <c r="A14360" i="1"/>
  <c r="P14360" i="1"/>
  <c r="A14361" i="1"/>
  <c r="P14361" i="1"/>
  <c r="A14362" i="1"/>
  <c r="P14362" i="1"/>
  <c r="A14363" i="1"/>
  <c r="P14363" i="1"/>
  <c r="A14364" i="1"/>
  <c r="P14364" i="1"/>
  <c r="A14365" i="1"/>
  <c r="P14365" i="1"/>
  <c r="A14366" i="1"/>
  <c r="P14366" i="1"/>
  <c r="A14367" i="1"/>
  <c r="P14367" i="1"/>
  <c r="A14368" i="1"/>
  <c r="P14368" i="1"/>
  <c r="A14369" i="1"/>
  <c r="P14369" i="1"/>
  <c r="A14370" i="1"/>
  <c r="P14370" i="1"/>
  <c r="A14371" i="1"/>
  <c r="P14371" i="1"/>
  <c r="A14372" i="1"/>
  <c r="P14372" i="1"/>
  <c r="A14373" i="1"/>
  <c r="P14373" i="1"/>
  <c r="A14374" i="1"/>
  <c r="P14374" i="1"/>
  <c r="A14375" i="1"/>
  <c r="P14375" i="1"/>
  <c r="A14376" i="1"/>
  <c r="P14376" i="1"/>
  <c r="A14377" i="1"/>
  <c r="P14377" i="1"/>
  <c r="A14378" i="1"/>
  <c r="P14378" i="1"/>
  <c r="A14379" i="1"/>
  <c r="P14379" i="1"/>
  <c r="A14380" i="1"/>
  <c r="P14380" i="1"/>
  <c r="A14381" i="1"/>
  <c r="P14381" i="1"/>
  <c r="A14382" i="1"/>
  <c r="P14382" i="1"/>
  <c r="A14383" i="1"/>
  <c r="P14383" i="1"/>
  <c r="A14384" i="1"/>
  <c r="P14384" i="1"/>
  <c r="A14385" i="1"/>
  <c r="P14385" i="1"/>
  <c r="A14386" i="1"/>
  <c r="P14386" i="1"/>
  <c r="A14387" i="1"/>
  <c r="P14387" i="1"/>
  <c r="A14388" i="1"/>
  <c r="P14388" i="1"/>
  <c r="A14389" i="1"/>
  <c r="P14389" i="1"/>
  <c r="A14390" i="1"/>
  <c r="P14390" i="1"/>
  <c r="A14391" i="1"/>
  <c r="P14391" i="1"/>
  <c r="A14392" i="1"/>
  <c r="P14392" i="1"/>
  <c r="A14393" i="1"/>
  <c r="P14393" i="1"/>
  <c r="A14394" i="1"/>
  <c r="P14394" i="1"/>
  <c r="A14395" i="1"/>
  <c r="P14395" i="1"/>
  <c r="A14396" i="1"/>
  <c r="P14396" i="1"/>
  <c r="A14397" i="1"/>
  <c r="P14397" i="1"/>
  <c r="A14398" i="1"/>
  <c r="P14398" i="1"/>
  <c r="A14399" i="1"/>
  <c r="P14399" i="1"/>
  <c r="A14400" i="1"/>
  <c r="P14400" i="1"/>
  <c r="A14401" i="1"/>
  <c r="P14401" i="1"/>
  <c r="A14402" i="1"/>
  <c r="P14402" i="1"/>
  <c r="A14403" i="1"/>
  <c r="P14403" i="1"/>
  <c r="A14404" i="1"/>
  <c r="P14404" i="1"/>
  <c r="A14405" i="1"/>
  <c r="P14405" i="1"/>
  <c r="A14406" i="1"/>
  <c r="P14406" i="1"/>
  <c r="A14407" i="1"/>
  <c r="P14407" i="1"/>
  <c r="A14408" i="1"/>
  <c r="P14408" i="1"/>
  <c r="A14409" i="1"/>
  <c r="P14409" i="1"/>
  <c r="A14410" i="1"/>
  <c r="P14410" i="1"/>
  <c r="A14411" i="1"/>
  <c r="P14411" i="1"/>
  <c r="A14412" i="1"/>
  <c r="P14412" i="1"/>
  <c r="A14413" i="1"/>
  <c r="P14413" i="1"/>
  <c r="A14414" i="1"/>
  <c r="P14414" i="1"/>
  <c r="A14415" i="1"/>
  <c r="P14415" i="1"/>
  <c r="A14416" i="1"/>
  <c r="P14416" i="1"/>
  <c r="A14417" i="1"/>
  <c r="P14417" i="1"/>
  <c r="A14418" i="1"/>
  <c r="P14418" i="1"/>
  <c r="A14419" i="1"/>
  <c r="P14419" i="1"/>
  <c r="A14420" i="1"/>
  <c r="P14420" i="1"/>
  <c r="A14421" i="1"/>
  <c r="P14421" i="1"/>
  <c r="A14422" i="1"/>
  <c r="P14422" i="1"/>
  <c r="A14423" i="1"/>
  <c r="P14423" i="1"/>
  <c r="A14424" i="1"/>
  <c r="P14424" i="1"/>
  <c r="A14425" i="1"/>
  <c r="P14425" i="1"/>
  <c r="A14426" i="1"/>
  <c r="P14426" i="1"/>
  <c r="A14427" i="1"/>
  <c r="P14427" i="1"/>
  <c r="A14428" i="1"/>
  <c r="P14428" i="1"/>
  <c r="A14429" i="1"/>
  <c r="P14429" i="1"/>
  <c r="A14430" i="1"/>
  <c r="P14430" i="1"/>
  <c r="A14431" i="1"/>
  <c r="P14431" i="1"/>
  <c r="A14432" i="1"/>
  <c r="P14432" i="1"/>
  <c r="A14433" i="1"/>
  <c r="P14433" i="1"/>
  <c r="A14434" i="1"/>
  <c r="P14434" i="1"/>
  <c r="A14435" i="1"/>
  <c r="P14435" i="1"/>
  <c r="A14436" i="1"/>
  <c r="P14436" i="1"/>
  <c r="A14437" i="1"/>
  <c r="P14437" i="1"/>
  <c r="A14438" i="1"/>
  <c r="P14438" i="1"/>
  <c r="A14439" i="1"/>
  <c r="P14439" i="1"/>
  <c r="A14440" i="1"/>
  <c r="P14440" i="1"/>
  <c r="A14441" i="1"/>
  <c r="P14441" i="1"/>
  <c r="A14442" i="1"/>
  <c r="P14442" i="1"/>
  <c r="A14443" i="1"/>
  <c r="P14443" i="1"/>
  <c r="A14444" i="1"/>
  <c r="P14444" i="1"/>
  <c r="A14445" i="1"/>
  <c r="P14445" i="1"/>
  <c r="A14446" i="1"/>
  <c r="P14446" i="1"/>
  <c r="A14447" i="1"/>
  <c r="P14447" i="1"/>
  <c r="A14448" i="1"/>
  <c r="P14448" i="1"/>
  <c r="A14449" i="1"/>
  <c r="P14449" i="1"/>
  <c r="A14450" i="1"/>
  <c r="P14450" i="1"/>
  <c r="A14451" i="1"/>
  <c r="P14451" i="1"/>
  <c r="A14452" i="1"/>
  <c r="P14452" i="1"/>
  <c r="A14453" i="1"/>
  <c r="P14453" i="1"/>
  <c r="A14454" i="1"/>
  <c r="P14454" i="1"/>
  <c r="A14455" i="1"/>
  <c r="P14455" i="1"/>
  <c r="A14456" i="1"/>
  <c r="P14456" i="1"/>
  <c r="A14457" i="1"/>
  <c r="P14457" i="1"/>
  <c r="A14458" i="1"/>
  <c r="P14458" i="1"/>
  <c r="A14459" i="1"/>
  <c r="P14459" i="1"/>
  <c r="A14460" i="1"/>
  <c r="P14460" i="1"/>
  <c r="A14461" i="1"/>
  <c r="P14461" i="1"/>
  <c r="A14462" i="1"/>
  <c r="P14462" i="1"/>
  <c r="A14463" i="1"/>
  <c r="P14463" i="1"/>
  <c r="A14464" i="1"/>
  <c r="P14464" i="1"/>
  <c r="A14465" i="1"/>
  <c r="P14465" i="1"/>
  <c r="A14466" i="1"/>
  <c r="P14466" i="1"/>
  <c r="A14467" i="1"/>
  <c r="P14467" i="1"/>
  <c r="A14468" i="1"/>
  <c r="P14468" i="1"/>
  <c r="A14469" i="1"/>
  <c r="P14469" i="1"/>
  <c r="A14470" i="1"/>
  <c r="P14470" i="1"/>
  <c r="A14471" i="1"/>
  <c r="P14471" i="1"/>
  <c r="A14472" i="1"/>
  <c r="P14472" i="1"/>
  <c r="A14473" i="1"/>
  <c r="P14473" i="1"/>
  <c r="A14474" i="1"/>
  <c r="P14474" i="1"/>
  <c r="A14475" i="1"/>
  <c r="P14475" i="1"/>
  <c r="A14476" i="1"/>
  <c r="P14476" i="1"/>
  <c r="A14477" i="1"/>
  <c r="P14477" i="1"/>
  <c r="A14478" i="1"/>
  <c r="P14478" i="1"/>
  <c r="A14479" i="1"/>
  <c r="P14479" i="1"/>
  <c r="A14480" i="1"/>
  <c r="P14480" i="1"/>
  <c r="A14481" i="1"/>
  <c r="P14481" i="1"/>
  <c r="A14482" i="1"/>
  <c r="P14482" i="1"/>
  <c r="A14483" i="1"/>
  <c r="P14483" i="1"/>
  <c r="A14484" i="1"/>
  <c r="P14484" i="1"/>
  <c r="A14485" i="1"/>
  <c r="P14485" i="1"/>
  <c r="A14486" i="1"/>
  <c r="P14486" i="1"/>
  <c r="A14487" i="1"/>
  <c r="P14487" i="1"/>
  <c r="A14488" i="1"/>
  <c r="P14488" i="1"/>
  <c r="A14489" i="1"/>
  <c r="P14489" i="1"/>
  <c r="A14490" i="1"/>
  <c r="P14490" i="1"/>
  <c r="A14491" i="1"/>
  <c r="P14491" i="1"/>
  <c r="A14492" i="1"/>
  <c r="P14492" i="1"/>
  <c r="A14493" i="1"/>
  <c r="P14493" i="1"/>
  <c r="A14494" i="1"/>
  <c r="P14494" i="1"/>
  <c r="A14495" i="1"/>
  <c r="P14495" i="1"/>
  <c r="A14496" i="1"/>
  <c r="P14496" i="1"/>
  <c r="A14497" i="1"/>
  <c r="P14497" i="1"/>
  <c r="A14498" i="1"/>
  <c r="P14498" i="1"/>
  <c r="A14499" i="1"/>
  <c r="P14499" i="1"/>
  <c r="A14500" i="1"/>
  <c r="P14500" i="1"/>
  <c r="A14501" i="1"/>
  <c r="P14501" i="1"/>
  <c r="A14502" i="1"/>
  <c r="P14502" i="1"/>
  <c r="A14503" i="1"/>
  <c r="P14503" i="1"/>
  <c r="A14504" i="1"/>
  <c r="P14504" i="1"/>
  <c r="A14505" i="1"/>
  <c r="P14505" i="1"/>
  <c r="A14506" i="1"/>
  <c r="P14506" i="1"/>
  <c r="A14507" i="1"/>
  <c r="P14507" i="1"/>
  <c r="A14508" i="1"/>
  <c r="P14508" i="1"/>
  <c r="A14509" i="1"/>
  <c r="P14509" i="1"/>
  <c r="A14510" i="1"/>
  <c r="P14510" i="1"/>
  <c r="A14511" i="1"/>
  <c r="P14511" i="1"/>
  <c r="A14512" i="1"/>
  <c r="P14512" i="1"/>
  <c r="A14513" i="1"/>
  <c r="P14513" i="1"/>
  <c r="A14514" i="1"/>
  <c r="P14514" i="1"/>
  <c r="A14515" i="1"/>
  <c r="P14515" i="1"/>
  <c r="A14516" i="1"/>
  <c r="P14516" i="1"/>
  <c r="A14517" i="1"/>
  <c r="P14517" i="1"/>
  <c r="A14518" i="1"/>
  <c r="P14518" i="1"/>
  <c r="A14519" i="1"/>
  <c r="P14519" i="1"/>
  <c r="A14520" i="1"/>
  <c r="P14520" i="1"/>
  <c r="A14521" i="1"/>
  <c r="P14521" i="1"/>
  <c r="A14522" i="1"/>
  <c r="P14522" i="1"/>
  <c r="A14523" i="1"/>
  <c r="P14523" i="1"/>
  <c r="A14524" i="1"/>
  <c r="P14524" i="1"/>
  <c r="A14525" i="1"/>
  <c r="P14525" i="1"/>
  <c r="A14526" i="1"/>
  <c r="P14526" i="1"/>
  <c r="A14527" i="1"/>
  <c r="P14527" i="1"/>
  <c r="A14528" i="1"/>
  <c r="P14528" i="1"/>
  <c r="A14529" i="1"/>
  <c r="P14529" i="1"/>
  <c r="A14530" i="1"/>
  <c r="P14530" i="1"/>
  <c r="A14531" i="1"/>
  <c r="P14531" i="1"/>
  <c r="A14532" i="1"/>
  <c r="P14532" i="1"/>
  <c r="A14533" i="1"/>
  <c r="P14533" i="1"/>
  <c r="A14534" i="1"/>
  <c r="P14534" i="1"/>
  <c r="A14535" i="1"/>
  <c r="P14535" i="1"/>
  <c r="A14536" i="1"/>
  <c r="P14536" i="1"/>
  <c r="A14537" i="1"/>
  <c r="P14537" i="1"/>
  <c r="A14538" i="1"/>
  <c r="P14538" i="1"/>
  <c r="A14539" i="1"/>
  <c r="P14539" i="1"/>
  <c r="A14540" i="1"/>
  <c r="P14540" i="1"/>
  <c r="A14541" i="1"/>
  <c r="P14541" i="1"/>
  <c r="A14542" i="1"/>
  <c r="P14542" i="1"/>
  <c r="A14543" i="1"/>
  <c r="P14543" i="1"/>
  <c r="A14544" i="1"/>
  <c r="P14544" i="1"/>
  <c r="A14545" i="1"/>
  <c r="P14545" i="1"/>
  <c r="A14546" i="1"/>
  <c r="P14546" i="1"/>
  <c r="A14547" i="1"/>
  <c r="P14547" i="1"/>
  <c r="A14548" i="1"/>
  <c r="P14548" i="1"/>
  <c r="A14549" i="1"/>
  <c r="P14549" i="1"/>
  <c r="A14550" i="1"/>
  <c r="P14550" i="1"/>
  <c r="A14551" i="1"/>
  <c r="P14551" i="1"/>
  <c r="A14552" i="1"/>
  <c r="P14552" i="1"/>
  <c r="A14553" i="1"/>
  <c r="P14553" i="1"/>
  <c r="A14554" i="1"/>
  <c r="P14554" i="1"/>
  <c r="A14555" i="1"/>
  <c r="P14555" i="1"/>
  <c r="A14556" i="1"/>
  <c r="P14556" i="1"/>
  <c r="A14557" i="1"/>
  <c r="P14557" i="1"/>
  <c r="A14558" i="1"/>
  <c r="P14558" i="1"/>
  <c r="A14559" i="1"/>
  <c r="P14559" i="1"/>
  <c r="A14560" i="1"/>
  <c r="P14560" i="1"/>
  <c r="A14561" i="1"/>
  <c r="P14561" i="1"/>
  <c r="A14562" i="1"/>
  <c r="P14562" i="1"/>
  <c r="A14563" i="1"/>
  <c r="P14563" i="1"/>
  <c r="A14564" i="1"/>
  <c r="P14564" i="1"/>
  <c r="A14565" i="1"/>
  <c r="P14565" i="1"/>
  <c r="A14566" i="1"/>
  <c r="P14566" i="1"/>
  <c r="A14567" i="1"/>
  <c r="P14567" i="1"/>
  <c r="A14568" i="1"/>
  <c r="P14568" i="1"/>
  <c r="A14569" i="1"/>
  <c r="P14569" i="1"/>
  <c r="A14570" i="1"/>
  <c r="P14570" i="1"/>
  <c r="A14571" i="1"/>
  <c r="P14571" i="1"/>
  <c r="A14572" i="1"/>
  <c r="P14572" i="1"/>
  <c r="A14573" i="1"/>
  <c r="P14573" i="1"/>
  <c r="A14574" i="1"/>
  <c r="P14574" i="1"/>
  <c r="A14575" i="1"/>
  <c r="P14575" i="1"/>
  <c r="A14576" i="1"/>
  <c r="P14576" i="1"/>
  <c r="A14577" i="1"/>
  <c r="P14577" i="1"/>
  <c r="A14578" i="1"/>
  <c r="P14578" i="1"/>
  <c r="A14579" i="1"/>
  <c r="P14579" i="1"/>
  <c r="A14580" i="1"/>
  <c r="P14580" i="1"/>
  <c r="A14581" i="1"/>
  <c r="P14581" i="1"/>
  <c r="A14582" i="1"/>
  <c r="P14582" i="1"/>
  <c r="A14583" i="1"/>
  <c r="P14583" i="1"/>
  <c r="A14584" i="1"/>
  <c r="P14584" i="1"/>
  <c r="A14585" i="1"/>
  <c r="P14585" i="1"/>
  <c r="A14586" i="1"/>
  <c r="P14586" i="1"/>
  <c r="A14587" i="1"/>
  <c r="P14587" i="1"/>
  <c r="A14588" i="1"/>
  <c r="P14588" i="1"/>
  <c r="A14589" i="1"/>
  <c r="P14589" i="1"/>
  <c r="A14590" i="1"/>
  <c r="P14590" i="1"/>
  <c r="A14591" i="1"/>
  <c r="P14591" i="1"/>
  <c r="A14592" i="1"/>
  <c r="P14592" i="1"/>
  <c r="A14593" i="1"/>
  <c r="P14593" i="1"/>
  <c r="A14594" i="1"/>
  <c r="P14594" i="1"/>
  <c r="A14595" i="1"/>
  <c r="P14595" i="1"/>
  <c r="A14596" i="1"/>
  <c r="P14596" i="1"/>
  <c r="A14597" i="1"/>
  <c r="P14597" i="1"/>
  <c r="A14598" i="1"/>
  <c r="P14598" i="1"/>
  <c r="A14599" i="1"/>
  <c r="P14599" i="1"/>
  <c r="A14600" i="1"/>
  <c r="P14600" i="1"/>
  <c r="A14601" i="1"/>
  <c r="P14601" i="1"/>
  <c r="A14602" i="1"/>
  <c r="P14602" i="1"/>
  <c r="A14603" i="1"/>
  <c r="P14603" i="1"/>
  <c r="A14604" i="1"/>
  <c r="P14604" i="1"/>
  <c r="A14605" i="1"/>
  <c r="P14605" i="1"/>
  <c r="A14606" i="1"/>
  <c r="P14606" i="1"/>
  <c r="A14607" i="1"/>
  <c r="P14607" i="1"/>
  <c r="A14608" i="1"/>
  <c r="P14608" i="1"/>
  <c r="A14609" i="1"/>
  <c r="P14609" i="1"/>
  <c r="A14610" i="1"/>
  <c r="P14610" i="1"/>
  <c r="A14611" i="1"/>
  <c r="P14611" i="1"/>
  <c r="A14612" i="1"/>
  <c r="P14612" i="1"/>
  <c r="A14613" i="1"/>
  <c r="P14613" i="1"/>
  <c r="A14614" i="1"/>
  <c r="P14614" i="1"/>
  <c r="A14615" i="1"/>
  <c r="P14615" i="1"/>
  <c r="A14616" i="1"/>
  <c r="P14616" i="1"/>
  <c r="A14617" i="1"/>
  <c r="P14617" i="1"/>
  <c r="A14618" i="1"/>
  <c r="P14618" i="1"/>
  <c r="A14619" i="1"/>
  <c r="P14619" i="1"/>
  <c r="A14620" i="1"/>
  <c r="P14620" i="1"/>
  <c r="A14621" i="1"/>
  <c r="P14621" i="1"/>
  <c r="A14622" i="1"/>
  <c r="P14622" i="1"/>
  <c r="A14623" i="1"/>
  <c r="P14623" i="1"/>
  <c r="A14624" i="1"/>
  <c r="P14624" i="1"/>
  <c r="A14625" i="1"/>
  <c r="P14625" i="1"/>
  <c r="A14626" i="1"/>
  <c r="P14626" i="1"/>
  <c r="A14627" i="1"/>
  <c r="P14627" i="1"/>
  <c r="A14628" i="1"/>
  <c r="P14628" i="1"/>
  <c r="A14629" i="1"/>
  <c r="P14629" i="1"/>
  <c r="A14630" i="1"/>
  <c r="P14630" i="1"/>
  <c r="A14631" i="1"/>
  <c r="P14631" i="1"/>
  <c r="A14632" i="1"/>
  <c r="P14632" i="1"/>
  <c r="A14633" i="1"/>
  <c r="P14633" i="1"/>
  <c r="A14634" i="1"/>
  <c r="P14634" i="1"/>
  <c r="A14635" i="1"/>
  <c r="P14635" i="1"/>
  <c r="A14636" i="1"/>
  <c r="P14636" i="1"/>
  <c r="A14637" i="1"/>
  <c r="P14637" i="1"/>
  <c r="A14638" i="1"/>
  <c r="P14638" i="1"/>
  <c r="A14639" i="1"/>
  <c r="P14639" i="1"/>
  <c r="A14640" i="1"/>
  <c r="P14640" i="1"/>
  <c r="A14641" i="1"/>
  <c r="P14641" i="1"/>
  <c r="A14642" i="1"/>
  <c r="P14642" i="1"/>
  <c r="A14643" i="1"/>
  <c r="P14643" i="1"/>
  <c r="A14644" i="1"/>
  <c r="P14644" i="1"/>
  <c r="A14645" i="1"/>
  <c r="P14645" i="1"/>
  <c r="A14646" i="1"/>
  <c r="P14646" i="1"/>
  <c r="A14647" i="1"/>
  <c r="P14647" i="1"/>
  <c r="A14648" i="1"/>
  <c r="P14648" i="1"/>
  <c r="A14649" i="1"/>
  <c r="P14649" i="1"/>
  <c r="A14650" i="1"/>
  <c r="P14650" i="1"/>
  <c r="A14651" i="1"/>
  <c r="P14651" i="1"/>
  <c r="A14652" i="1"/>
  <c r="P14652" i="1"/>
  <c r="A14653" i="1"/>
  <c r="P14653" i="1"/>
  <c r="A14654" i="1"/>
  <c r="P14654" i="1"/>
  <c r="A14655" i="1"/>
  <c r="P14655" i="1"/>
  <c r="A14656" i="1"/>
  <c r="P14656" i="1"/>
  <c r="A14657" i="1"/>
  <c r="P14657" i="1"/>
  <c r="A14658" i="1"/>
  <c r="P14658" i="1"/>
  <c r="A14659" i="1"/>
  <c r="P14659" i="1"/>
  <c r="A14660" i="1"/>
  <c r="P14660" i="1"/>
  <c r="A14661" i="1"/>
  <c r="P14661" i="1"/>
  <c r="A14662" i="1"/>
  <c r="P14662" i="1"/>
  <c r="A14663" i="1"/>
  <c r="P14663" i="1"/>
  <c r="A14664" i="1"/>
  <c r="P14664" i="1"/>
  <c r="A14665" i="1"/>
  <c r="P14665" i="1"/>
  <c r="A14666" i="1"/>
  <c r="P14666" i="1"/>
  <c r="A14667" i="1"/>
  <c r="P14667" i="1"/>
  <c r="A14668" i="1"/>
  <c r="P14668" i="1"/>
  <c r="A14669" i="1"/>
  <c r="P14669" i="1"/>
  <c r="A14670" i="1"/>
  <c r="P14670" i="1"/>
  <c r="A14671" i="1"/>
  <c r="P14671" i="1"/>
  <c r="A14672" i="1"/>
  <c r="P14672" i="1"/>
  <c r="A14673" i="1"/>
  <c r="P14673" i="1"/>
  <c r="A14674" i="1"/>
  <c r="P14674" i="1"/>
  <c r="A14675" i="1"/>
  <c r="P14675" i="1"/>
  <c r="A14676" i="1"/>
  <c r="P14676" i="1"/>
  <c r="A14677" i="1"/>
  <c r="P14677" i="1"/>
  <c r="A14678" i="1"/>
  <c r="P14678" i="1"/>
  <c r="A14679" i="1"/>
  <c r="P14679" i="1"/>
  <c r="A14680" i="1"/>
  <c r="P14680" i="1"/>
  <c r="A14681" i="1"/>
  <c r="P14681" i="1"/>
  <c r="A14682" i="1"/>
  <c r="P14682" i="1"/>
  <c r="A14683" i="1"/>
  <c r="P14683" i="1"/>
  <c r="A14684" i="1"/>
  <c r="P14684" i="1"/>
  <c r="A14685" i="1"/>
  <c r="P14685" i="1"/>
  <c r="A14686" i="1"/>
  <c r="P14686" i="1"/>
  <c r="A14687" i="1"/>
  <c r="P14687" i="1"/>
  <c r="A14688" i="1"/>
  <c r="P14688" i="1"/>
  <c r="A14689" i="1"/>
  <c r="P14689" i="1"/>
  <c r="A14690" i="1"/>
  <c r="P14690" i="1"/>
  <c r="A14691" i="1"/>
  <c r="P14691" i="1"/>
  <c r="A14692" i="1"/>
  <c r="P14692" i="1"/>
  <c r="A14693" i="1"/>
  <c r="P14693" i="1"/>
  <c r="A14694" i="1"/>
  <c r="P14694" i="1"/>
  <c r="A14695" i="1"/>
  <c r="P14695" i="1"/>
  <c r="A14696" i="1"/>
  <c r="P14696" i="1"/>
  <c r="A14697" i="1"/>
  <c r="P14697" i="1"/>
  <c r="A14698" i="1"/>
  <c r="P14698" i="1"/>
  <c r="A14699" i="1"/>
  <c r="P14699" i="1"/>
  <c r="A14700" i="1"/>
  <c r="P14700" i="1"/>
  <c r="A14701" i="1"/>
  <c r="P14701" i="1"/>
  <c r="A14702" i="1"/>
  <c r="P14702" i="1"/>
  <c r="A14703" i="1"/>
  <c r="P14703" i="1"/>
  <c r="A14704" i="1"/>
  <c r="P14704" i="1"/>
  <c r="A14705" i="1"/>
  <c r="P14705" i="1"/>
  <c r="A14706" i="1"/>
  <c r="P14706" i="1"/>
  <c r="A14707" i="1"/>
  <c r="P14707" i="1"/>
  <c r="A14708" i="1"/>
  <c r="P14708" i="1"/>
  <c r="A14709" i="1"/>
  <c r="P14709" i="1"/>
  <c r="A14710" i="1"/>
  <c r="P14710" i="1"/>
  <c r="A14711" i="1"/>
  <c r="P14711" i="1"/>
  <c r="A14712" i="1"/>
  <c r="P14712" i="1"/>
  <c r="A14713" i="1"/>
  <c r="P14713" i="1"/>
  <c r="A14714" i="1"/>
  <c r="P14714" i="1"/>
  <c r="A14715" i="1"/>
  <c r="P14715" i="1"/>
  <c r="A14716" i="1"/>
  <c r="P14716" i="1"/>
  <c r="A14717" i="1"/>
  <c r="P14717" i="1"/>
  <c r="A14718" i="1"/>
  <c r="P14718" i="1"/>
  <c r="A14719" i="1"/>
  <c r="P14719" i="1"/>
  <c r="A14720" i="1"/>
  <c r="P14720" i="1"/>
  <c r="A14721" i="1"/>
  <c r="P14721" i="1"/>
  <c r="A14722" i="1"/>
  <c r="P14722" i="1"/>
  <c r="A14723" i="1"/>
  <c r="P14723" i="1"/>
  <c r="A14724" i="1"/>
  <c r="P14724" i="1"/>
  <c r="A14725" i="1"/>
  <c r="P14725" i="1"/>
  <c r="A14726" i="1"/>
  <c r="P14726" i="1"/>
  <c r="A14727" i="1"/>
  <c r="P14727" i="1"/>
  <c r="A14728" i="1"/>
  <c r="P14728" i="1"/>
  <c r="A14729" i="1"/>
  <c r="P14729" i="1"/>
  <c r="A14730" i="1"/>
  <c r="P14730" i="1"/>
  <c r="A14731" i="1"/>
  <c r="P14731" i="1"/>
  <c r="A14732" i="1"/>
  <c r="P14732" i="1"/>
  <c r="A14733" i="1"/>
  <c r="P14733" i="1"/>
  <c r="A14734" i="1"/>
  <c r="P14734" i="1"/>
  <c r="A14735" i="1"/>
  <c r="P14735" i="1"/>
  <c r="A14736" i="1"/>
  <c r="P14736" i="1"/>
  <c r="A14737" i="1"/>
  <c r="P14737" i="1"/>
  <c r="A14738" i="1"/>
  <c r="P14738" i="1"/>
  <c r="A14739" i="1"/>
  <c r="P14739" i="1"/>
  <c r="A14740" i="1"/>
  <c r="P14740" i="1"/>
  <c r="A14741" i="1"/>
  <c r="P14741" i="1"/>
  <c r="A14742" i="1"/>
  <c r="P14742" i="1"/>
  <c r="A14743" i="1"/>
  <c r="P14743" i="1"/>
  <c r="A14744" i="1"/>
  <c r="P14744" i="1"/>
  <c r="A14745" i="1"/>
  <c r="P14745" i="1"/>
  <c r="A14746" i="1"/>
  <c r="P14746" i="1"/>
  <c r="A14747" i="1"/>
  <c r="P14747" i="1"/>
  <c r="A14748" i="1"/>
  <c r="P14748" i="1"/>
  <c r="A14749" i="1"/>
  <c r="P14749" i="1"/>
  <c r="A14750" i="1"/>
  <c r="P14750" i="1"/>
  <c r="A14751" i="1"/>
  <c r="P14751" i="1"/>
  <c r="A14752" i="1"/>
  <c r="P14752" i="1"/>
  <c r="A14753" i="1"/>
  <c r="P14753" i="1"/>
  <c r="A14754" i="1"/>
  <c r="P14754" i="1"/>
  <c r="A14755" i="1"/>
  <c r="P14755" i="1"/>
  <c r="A14756" i="1"/>
  <c r="P14756" i="1"/>
  <c r="A14757" i="1"/>
  <c r="P14757" i="1"/>
  <c r="A14758" i="1"/>
  <c r="P14758" i="1"/>
  <c r="A14759" i="1"/>
  <c r="P14759" i="1"/>
  <c r="A14760" i="1"/>
  <c r="P14760" i="1"/>
  <c r="A14761" i="1"/>
  <c r="P14761" i="1"/>
  <c r="A14762" i="1"/>
  <c r="P14762" i="1"/>
  <c r="A14763" i="1"/>
  <c r="P14763" i="1"/>
  <c r="A14764" i="1"/>
  <c r="P14764" i="1"/>
  <c r="A14765" i="1"/>
  <c r="P14765" i="1"/>
  <c r="A14766" i="1"/>
  <c r="P14766" i="1"/>
  <c r="A14767" i="1"/>
  <c r="P14767" i="1"/>
  <c r="A14768" i="1"/>
  <c r="P14768" i="1"/>
  <c r="A14769" i="1"/>
  <c r="P14769" i="1"/>
  <c r="A14770" i="1"/>
  <c r="P14770" i="1"/>
  <c r="A14771" i="1"/>
  <c r="P14771" i="1"/>
  <c r="A14772" i="1"/>
  <c r="P14772" i="1"/>
  <c r="A14773" i="1"/>
  <c r="P14773" i="1"/>
  <c r="A14774" i="1"/>
  <c r="P14774" i="1"/>
  <c r="A14775" i="1"/>
  <c r="P14775" i="1"/>
  <c r="A14776" i="1"/>
  <c r="P14776" i="1"/>
  <c r="A14777" i="1"/>
  <c r="P14777" i="1"/>
  <c r="A14778" i="1"/>
  <c r="P14778" i="1"/>
  <c r="A14779" i="1"/>
  <c r="P14779" i="1"/>
  <c r="A14780" i="1"/>
  <c r="P14780" i="1"/>
  <c r="A14781" i="1"/>
  <c r="P14781" i="1"/>
  <c r="A14782" i="1"/>
  <c r="P14782" i="1"/>
  <c r="A14783" i="1"/>
  <c r="P14783" i="1"/>
  <c r="A14784" i="1"/>
  <c r="P14784" i="1"/>
  <c r="A14785" i="1"/>
  <c r="P14785" i="1"/>
  <c r="A14786" i="1"/>
  <c r="P14786" i="1"/>
  <c r="A14787" i="1"/>
  <c r="P14787" i="1"/>
  <c r="A14788" i="1"/>
  <c r="P14788" i="1"/>
  <c r="A14789" i="1"/>
  <c r="P14789" i="1"/>
  <c r="A14790" i="1"/>
  <c r="P14790" i="1"/>
  <c r="A14791" i="1"/>
  <c r="P14791" i="1"/>
  <c r="A14792" i="1"/>
  <c r="P14792" i="1"/>
  <c r="A14793" i="1"/>
  <c r="P14793" i="1"/>
  <c r="A14794" i="1"/>
  <c r="P14794" i="1"/>
  <c r="A14795" i="1"/>
  <c r="P14795" i="1"/>
  <c r="A14796" i="1"/>
  <c r="P14796" i="1"/>
  <c r="A14797" i="1"/>
  <c r="P14797" i="1"/>
  <c r="A14798" i="1"/>
  <c r="P14798" i="1"/>
  <c r="A14799" i="1"/>
  <c r="P14799" i="1"/>
  <c r="A14800" i="1"/>
  <c r="P14800" i="1"/>
  <c r="A14801" i="1"/>
  <c r="P14801" i="1"/>
  <c r="A14802" i="1"/>
  <c r="P14802" i="1"/>
  <c r="A14803" i="1"/>
  <c r="P14803" i="1"/>
  <c r="A14804" i="1"/>
  <c r="P14804" i="1"/>
  <c r="A14805" i="1"/>
  <c r="P14805" i="1"/>
  <c r="A14806" i="1"/>
  <c r="P14806" i="1"/>
  <c r="A14807" i="1"/>
  <c r="P14807" i="1"/>
  <c r="A14808" i="1"/>
  <c r="P14808" i="1"/>
  <c r="A14809" i="1"/>
  <c r="P14809" i="1"/>
  <c r="A14810" i="1"/>
  <c r="P14810" i="1"/>
  <c r="A14811" i="1"/>
  <c r="P14811" i="1"/>
  <c r="A14812" i="1"/>
  <c r="P14812" i="1"/>
  <c r="A14813" i="1"/>
  <c r="P14813" i="1"/>
  <c r="A14814" i="1"/>
  <c r="P14814" i="1"/>
  <c r="A14815" i="1"/>
  <c r="P14815" i="1"/>
  <c r="A14816" i="1"/>
  <c r="P14816" i="1"/>
  <c r="A14817" i="1"/>
  <c r="P14817" i="1"/>
  <c r="A14818" i="1"/>
  <c r="P14818" i="1"/>
  <c r="A14819" i="1"/>
  <c r="P14819" i="1"/>
  <c r="A14820" i="1"/>
  <c r="P14820" i="1"/>
  <c r="A14821" i="1"/>
  <c r="P14821" i="1"/>
  <c r="A14822" i="1"/>
  <c r="P14822" i="1"/>
  <c r="A14823" i="1"/>
  <c r="P14823" i="1"/>
  <c r="A14824" i="1"/>
  <c r="P14824" i="1"/>
  <c r="A14825" i="1"/>
  <c r="P14825" i="1"/>
  <c r="A14826" i="1"/>
  <c r="P14826" i="1"/>
  <c r="A14827" i="1"/>
  <c r="P14827" i="1"/>
  <c r="A14828" i="1"/>
  <c r="P14828" i="1"/>
  <c r="A14829" i="1"/>
  <c r="P14829" i="1"/>
  <c r="A14830" i="1"/>
  <c r="P14830" i="1"/>
  <c r="A14831" i="1"/>
  <c r="P14831" i="1"/>
  <c r="A14832" i="1"/>
  <c r="P14832" i="1"/>
  <c r="A14833" i="1"/>
  <c r="P14833" i="1"/>
  <c r="A14834" i="1"/>
  <c r="P14834" i="1"/>
  <c r="A14835" i="1"/>
  <c r="P14835" i="1"/>
  <c r="A14836" i="1"/>
  <c r="P14836" i="1"/>
  <c r="A14837" i="1"/>
  <c r="P14837" i="1"/>
  <c r="A14838" i="1"/>
  <c r="P14838" i="1"/>
  <c r="A14839" i="1"/>
  <c r="P14839" i="1"/>
  <c r="A14840" i="1"/>
  <c r="P14840" i="1"/>
  <c r="A14841" i="1"/>
  <c r="P14841" i="1"/>
  <c r="A14842" i="1"/>
  <c r="P14842" i="1"/>
  <c r="A14843" i="1"/>
  <c r="P14843" i="1"/>
  <c r="A14844" i="1"/>
  <c r="P14844" i="1"/>
  <c r="A14845" i="1"/>
  <c r="P14845" i="1"/>
  <c r="A14846" i="1"/>
  <c r="P14846" i="1"/>
  <c r="A14847" i="1"/>
  <c r="P14847" i="1"/>
  <c r="A14848" i="1"/>
  <c r="P14848" i="1"/>
  <c r="A14849" i="1"/>
  <c r="P14849" i="1"/>
  <c r="A14850" i="1"/>
  <c r="P14850" i="1"/>
  <c r="A14851" i="1"/>
  <c r="P14851" i="1"/>
  <c r="A14852" i="1"/>
  <c r="P14852" i="1"/>
  <c r="A14853" i="1"/>
  <c r="P14853" i="1"/>
  <c r="A14854" i="1"/>
  <c r="P14854" i="1"/>
  <c r="A14855" i="1"/>
  <c r="P14855" i="1"/>
  <c r="A14856" i="1"/>
  <c r="P14856" i="1"/>
  <c r="A14857" i="1"/>
  <c r="P14857" i="1"/>
  <c r="A14858" i="1"/>
  <c r="P14858" i="1"/>
  <c r="A14859" i="1"/>
  <c r="P14859" i="1"/>
  <c r="A14860" i="1"/>
  <c r="P14860" i="1"/>
  <c r="A14861" i="1"/>
  <c r="P14861" i="1"/>
  <c r="A14862" i="1"/>
  <c r="P14862" i="1"/>
  <c r="A14863" i="1"/>
  <c r="P14863" i="1"/>
  <c r="A14864" i="1"/>
  <c r="P14864" i="1"/>
  <c r="A14865" i="1"/>
  <c r="P14865" i="1"/>
  <c r="A14866" i="1"/>
  <c r="P14866" i="1"/>
  <c r="A14867" i="1"/>
  <c r="P14867" i="1"/>
  <c r="A14868" i="1"/>
  <c r="P14868" i="1"/>
  <c r="A14869" i="1"/>
  <c r="P14869" i="1"/>
  <c r="A14870" i="1"/>
  <c r="P14870" i="1"/>
  <c r="A14871" i="1"/>
  <c r="P14871" i="1"/>
  <c r="A14872" i="1"/>
  <c r="P14872" i="1"/>
  <c r="A14873" i="1"/>
  <c r="P14873" i="1"/>
  <c r="A14874" i="1"/>
  <c r="P14874" i="1"/>
  <c r="A14875" i="1"/>
  <c r="P14875" i="1"/>
  <c r="A14876" i="1"/>
  <c r="P14876" i="1"/>
  <c r="A14877" i="1"/>
  <c r="P14877" i="1"/>
  <c r="A14878" i="1"/>
  <c r="P14878" i="1"/>
  <c r="A14879" i="1"/>
  <c r="P14879" i="1"/>
  <c r="A14880" i="1"/>
  <c r="P14880" i="1"/>
  <c r="A14881" i="1"/>
  <c r="P14881" i="1"/>
  <c r="A14882" i="1"/>
  <c r="P14882" i="1"/>
  <c r="A14883" i="1"/>
  <c r="P14883" i="1"/>
  <c r="A14884" i="1"/>
  <c r="P14884" i="1"/>
  <c r="A14885" i="1"/>
  <c r="P14885" i="1"/>
  <c r="A14886" i="1"/>
  <c r="P14886" i="1"/>
  <c r="A14887" i="1"/>
  <c r="P14887" i="1"/>
  <c r="A14888" i="1"/>
  <c r="P14888" i="1"/>
  <c r="A14889" i="1"/>
  <c r="P14889" i="1"/>
  <c r="A14890" i="1"/>
  <c r="P14890" i="1"/>
  <c r="A14891" i="1"/>
  <c r="P14891" i="1"/>
  <c r="A14892" i="1"/>
  <c r="P14892" i="1"/>
  <c r="A14893" i="1"/>
  <c r="P14893" i="1"/>
  <c r="A14894" i="1"/>
  <c r="P14894" i="1"/>
  <c r="A14895" i="1"/>
  <c r="P14895" i="1"/>
  <c r="A14896" i="1"/>
  <c r="P14896" i="1"/>
  <c r="A14897" i="1"/>
  <c r="P14897" i="1"/>
  <c r="A14898" i="1"/>
  <c r="P14898" i="1"/>
  <c r="A14899" i="1"/>
  <c r="P14899" i="1"/>
  <c r="A14900" i="1"/>
  <c r="P14900" i="1"/>
  <c r="A14901" i="1"/>
  <c r="P14901" i="1"/>
  <c r="A14902" i="1"/>
  <c r="P14902" i="1"/>
  <c r="A14903" i="1"/>
  <c r="P14903" i="1"/>
  <c r="A14904" i="1"/>
  <c r="P14904" i="1"/>
  <c r="A14905" i="1"/>
  <c r="P14905" i="1"/>
  <c r="A14906" i="1"/>
  <c r="P14906" i="1"/>
  <c r="A14907" i="1"/>
  <c r="P14907" i="1"/>
  <c r="A14908" i="1"/>
  <c r="P14908" i="1"/>
  <c r="A14909" i="1"/>
  <c r="P14909" i="1"/>
  <c r="A14910" i="1"/>
  <c r="P14910" i="1"/>
  <c r="A14911" i="1"/>
  <c r="P14911" i="1"/>
  <c r="A14912" i="1"/>
  <c r="P14912" i="1"/>
  <c r="A14913" i="1"/>
  <c r="P14913" i="1"/>
  <c r="A14914" i="1"/>
  <c r="P14914" i="1"/>
  <c r="A14915" i="1"/>
  <c r="P14915" i="1"/>
  <c r="A14916" i="1"/>
  <c r="P14916" i="1"/>
  <c r="A14917" i="1"/>
  <c r="P14917" i="1"/>
  <c r="A14918" i="1"/>
  <c r="P14918" i="1"/>
  <c r="A14919" i="1"/>
  <c r="P14919" i="1"/>
  <c r="A14920" i="1"/>
  <c r="P14920" i="1"/>
  <c r="A14921" i="1"/>
  <c r="P14921" i="1"/>
  <c r="A14922" i="1"/>
  <c r="P14922" i="1"/>
  <c r="A14923" i="1"/>
  <c r="P14923" i="1"/>
  <c r="A14924" i="1"/>
  <c r="P14924" i="1"/>
  <c r="A14925" i="1"/>
  <c r="P14925" i="1"/>
  <c r="A14926" i="1"/>
  <c r="P14926" i="1"/>
  <c r="A14927" i="1"/>
  <c r="P14927" i="1"/>
  <c r="A14928" i="1"/>
  <c r="P14928" i="1"/>
  <c r="A14929" i="1"/>
  <c r="P14929" i="1"/>
  <c r="A14930" i="1"/>
  <c r="P14930" i="1"/>
  <c r="A14931" i="1"/>
  <c r="P14931" i="1"/>
  <c r="A14932" i="1"/>
  <c r="P14932" i="1"/>
  <c r="A14933" i="1"/>
  <c r="P14933" i="1"/>
  <c r="A14934" i="1"/>
  <c r="P14934" i="1"/>
  <c r="A14935" i="1"/>
  <c r="P14935" i="1"/>
  <c r="A14936" i="1"/>
  <c r="P14936" i="1"/>
  <c r="A14937" i="1"/>
  <c r="P14937" i="1"/>
  <c r="A14938" i="1"/>
  <c r="P14938" i="1"/>
  <c r="A14939" i="1"/>
  <c r="P14939" i="1"/>
  <c r="A14940" i="1"/>
  <c r="P14940" i="1"/>
  <c r="A14941" i="1"/>
  <c r="P14941" i="1"/>
  <c r="A14942" i="1"/>
  <c r="P14942" i="1"/>
  <c r="A14943" i="1"/>
  <c r="P14943" i="1"/>
  <c r="A14944" i="1"/>
  <c r="P14944" i="1"/>
  <c r="A14945" i="1"/>
  <c r="P14945" i="1"/>
  <c r="A14946" i="1"/>
  <c r="P14946" i="1"/>
  <c r="A14947" i="1"/>
  <c r="P14947" i="1"/>
  <c r="A14948" i="1"/>
  <c r="P14948" i="1"/>
  <c r="A14949" i="1"/>
  <c r="P14949" i="1"/>
  <c r="A14950" i="1"/>
  <c r="P14950" i="1"/>
  <c r="A14951" i="1"/>
  <c r="P14951" i="1"/>
  <c r="A14952" i="1"/>
  <c r="P14952" i="1"/>
  <c r="A14953" i="1"/>
  <c r="P14953" i="1"/>
  <c r="A14954" i="1"/>
  <c r="P14954" i="1"/>
  <c r="A14955" i="1"/>
  <c r="P14955" i="1"/>
  <c r="A14956" i="1"/>
  <c r="P14956" i="1"/>
  <c r="A14957" i="1"/>
  <c r="P14957" i="1"/>
  <c r="A14958" i="1"/>
  <c r="P14958" i="1"/>
  <c r="A14959" i="1"/>
  <c r="P14959" i="1"/>
  <c r="A14960" i="1"/>
  <c r="P14960" i="1"/>
  <c r="A14961" i="1"/>
  <c r="P14961" i="1"/>
  <c r="A14962" i="1"/>
  <c r="P14962" i="1"/>
  <c r="A14963" i="1"/>
  <c r="P14963" i="1"/>
  <c r="A14964" i="1"/>
  <c r="P14964" i="1"/>
  <c r="A14965" i="1"/>
  <c r="P14965" i="1"/>
  <c r="A14966" i="1"/>
  <c r="P14966" i="1"/>
  <c r="A14967" i="1"/>
  <c r="P14967" i="1"/>
  <c r="A14968" i="1"/>
  <c r="P14968" i="1"/>
  <c r="A14969" i="1"/>
  <c r="P14969" i="1"/>
  <c r="A14970" i="1"/>
  <c r="P14970" i="1"/>
  <c r="A14971" i="1"/>
  <c r="P14971" i="1"/>
  <c r="A14972" i="1"/>
  <c r="P14972" i="1"/>
  <c r="A14973" i="1"/>
  <c r="P14973" i="1"/>
  <c r="A14974" i="1"/>
  <c r="P14974" i="1"/>
  <c r="A14975" i="1"/>
  <c r="P14975" i="1"/>
  <c r="A14976" i="1"/>
  <c r="P14976" i="1"/>
  <c r="A14977" i="1"/>
  <c r="P14977" i="1"/>
  <c r="A14978" i="1"/>
  <c r="P14978" i="1"/>
  <c r="A14979" i="1"/>
  <c r="P14979" i="1"/>
  <c r="A14980" i="1"/>
  <c r="P14980" i="1"/>
  <c r="A14981" i="1"/>
  <c r="P14981" i="1"/>
  <c r="A14982" i="1"/>
  <c r="P14982" i="1"/>
  <c r="A14983" i="1"/>
  <c r="P14983" i="1"/>
  <c r="A14984" i="1"/>
  <c r="P14984" i="1"/>
  <c r="A14985" i="1"/>
  <c r="P14985" i="1"/>
  <c r="A14986" i="1"/>
  <c r="P14986" i="1"/>
  <c r="A14987" i="1"/>
  <c r="P14987" i="1"/>
  <c r="A14988" i="1"/>
  <c r="P14988" i="1"/>
  <c r="A14989" i="1"/>
  <c r="P14989" i="1"/>
  <c r="A14990" i="1"/>
  <c r="P14990" i="1"/>
  <c r="A14991" i="1"/>
  <c r="P14991" i="1"/>
  <c r="A14992" i="1"/>
  <c r="P14992" i="1"/>
  <c r="A14993" i="1"/>
  <c r="P14993" i="1"/>
  <c r="A14994" i="1"/>
  <c r="P14994" i="1"/>
  <c r="A14995" i="1"/>
  <c r="P14995" i="1"/>
  <c r="A14996" i="1"/>
  <c r="P14996" i="1"/>
  <c r="A14997" i="1"/>
  <c r="P14997" i="1"/>
  <c r="A14998" i="1"/>
  <c r="P14998" i="1"/>
  <c r="A14999" i="1"/>
  <c r="P14999" i="1"/>
  <c r="A15000" i="1"/>
  <c r="P15000" i="1"/>
  <c r="A15001" i="1"/>
  <c r="P15001" i="1"/>
  <c r="A15002" i="1"/>
  <c r="P15002" i="1"/>
  <c r="A15003" i="1"/>
  <c r="P15003" i="1"/>
  <c r="A15004" i="1"/>
  <c r="P15004" i="1"/>
  <c r="A15005" i="1"/>
  <c r="P15005" i="1"/>
  <c r="A15006" i="1"/>
  <c r="P15006" i="1"/>
  <c r="A15007" i="1"/>
  <c r="P15007" i="1"/>
  <c r="A15008" i="1"/>
  <c r="P15008" i="1"/>
  <c r="A15009" i="1"/>
  <c r="P15009" i="1"/>
  <c r="A15010" i="1"/>
  <c r="P15010" i="1"/>
  <c r="A15011" i="1"/>
  <c r="P15011" i="1"/>
  <c r="A15012" i="1"/>
  <c r="P15012" i="1"/>
  <c r="A15013" i="1"/>
  <c r="P15013" i="1"/>
  <c r="A15014" i="1"/>
  <c r="P15014" i="1"/>
  <c r="A15015" i="1"/>
  <c r="P15015" i="1"/>
  <c r="A15016" i="1"/>
  <c r="P15016" i="1"/>
  <c r="A15017" i="1"/>
  <c r="P15017" i="1"/>
  <c r="A15018" i="1"/>
  <c r="P15018" i="1"/>
  <c r="A15019" i="1"/>
  <c r="P15019" i="1"/>
  <c r="A15020" i="1"/>
  <c r="P15020" i="1"/>
  <c r="A15021" i="1"/>
  <c r="P15021" i="1"/>
  <c r="A15022" i="1"/>
  <c r="P15022" i="1"/>
  <c r="A15023" i="1"/>
  <c r="P15023" i="1"/>
  <c r="A15024" i="1"/>
  <c r="P15024" i="1"/>
  <c r="A15025" i="1"/>
  <c r="P15025" i="1"/>
  <c r="A15026" i="1"/>
  <c r="P15026" i="1"/>
  <c r="A15027" i="1"/>
  <c r="P15027" i="1"/>
  <c r="A15028" i="1"/>
  <c r="P15028" i="1"/>
  <c r="A15029" i="1"/>
  <c r="P15029" i="1"/>
  <c r="A15030" i="1"/>
  <c r="P15030" i="1"/>
  <c r="A15031" i="1"/>
  <c r="P15031" i="1"/>
  <c r="A15032" i="1"/>
  <c r="P15032" i="1"/>
  <c r="A15033" i="1"/>
  <c r="P15033" i="1"/>
  <c r="A15034" i="1"/>
  <c r="P15034" i="1"/>
  <c r="A15035" i="1"/>
  <c r="P15035" i="1"/>
  <c r="A15036" i="1"/>
  <c r="P15036" i="1"/>
  <c r="A15037" i="1"/>
  <c r="P15037" i="1"/>
  <c r="A15038" i="1"/>
  <c r="P15038" i="1"/>
  <c r="A15039" i="1"/>
  <c r="P15039" i="1"/>
  <c r="A15040" i="1"/>
  <c r="P15040" i="1"/>
  <c r="A15041" i="1"/>
  <c r="P15041" i="1"/>
  <c r="A15042" i="1"/>
  <c r="P15042" i="1"/>
  <c r="A15043" i="1"/>
  <c r="P15043" i="1"/>
  <c r="A15044" i="1"/>
  <c r="P15044" i="1"/>
  <c r="A15045" i="1"/>
  <c r="P15045" i="1"/>
  <c r="A15046" i="1"/>
  <c r="P15046" i="1"/>
  <c r="A15047" i="1"/>
  <c r="P15047" i="1"/>
  <c r="A15048" i="1"/>
  <c r="P15048" i="1"/>
  <c r="A15049" i="1"/>
  <c r="P15049" i="1"/>
  <c r="A15050" i="1"/>
  <c r="P15050" i="1"/>
  <c r="A15051" i="1"/>
  <c r="P15051" i="1"/>
  <c r="A15052" i="1"/>
  <c r="P15052" i="1"/>
  <c r="A15053" i="1"/>
  <c r="P15053" i="1"/>
  <c r="A15054" i="1"/>
  <c r="P15054" i="1"/>
  <c r="A15055" i="1"/>
  <c r="P15055" i="1"/>
  <c r="A15056" i="1"/>
  <c r="P15056" i="1"/>
  <c r="A15057" i="1"/>
  <c r="P15057" i="1"/>
  <c r="A15058" i="1"/>
  <c r="P15058" i="1"/>
  <c r="A15059" i="1"/>
  <c r="P15059" i="1"/>
  <c r="A15060" i="1"/>
  <c r="P15060" i="1"/>
  <c r="A15061" i="1"/>
  <c r="P15061" i="1"/>
  <c r="A15062" i="1"/>
  <c r="P15062" i="1"/>
  <c r="A15063" i="1"/>
  <c r="P15063" i="1"/>
  <c r="A15064" i="1"/>
  <c r="P15064" i="1"/>
  <c r="A15065" i="1"/>
  <c r="P15065" i="1"/>
  <c r="A15066" i="1"/>
  <c r="P15066" i="1"/>
  <c r="A15067" i="1"/>
  <c r="P15067" i="1"/>
  <c r="A15068" i="1"/>
  <c r="P15068" i="1"/>
  <c r="A15069" i="1"/>
  <c r="P15069" i="1"/>
  <c r="A15070" i="1"/>
  <c r="P15070" i="1"/>
  <c r="A15071" i="1"/>
  <c r="P15071" i="1"/>
  <c r="A15072" i="1"/>
  <c r="P15072" i="1"/>
  <c r="A15073" i="1"/>
  <c r="P15073" i="1"/>
  <c r="A15074" i="1"/>
  <c r="P15074" i="1"/>
  <c r="A15075" i="1"/>
  <c r="P15075" i="1"/>
  <c r="A15076" i="1"/>
  <c r="P15076" i="1"/>
  <c r="A15077" i="1"/>
  <c r="P15077" i="1"/>
  <c r="A15078" i="1"/>
  <c r="P15078" i="1"/>
  <c r="A15079" i="1"/>
  <c r="P15079" i="1"/>
  <c r="A15080" i="1"/>
  <c r="P15080" i="1"/>
  <c r="A15081" i="1"/>
  <c r="P15081" i="1"/>
  <c r="A15082" i="1"/>
  <c r="P15082" i="1"/>
  <c r="A15083" i="1"/>
  <c r="P15083" i="1"/>
  <c r="A15084" i="1"/>
  <c r="P15084" i="1"/>
  <c r="A15085" i="1"/>
  <c r="P15085" i="1"/>
  <c r="A15086" i="1"/>
  <c r="P15086" i="1"/>
  <c r="A15087" i="1"/>
  <c r="P15087" i="1"/>
  <c r="A15088" i="1"/>
  <c r="P15088" i="1"/>
  <c r="A15089" i="1"/>
  <c r="P15089" i="1"/>
  <c r="A15090" i="1"/>
  <c r="P15090" i="1"/>
  <c r="A15091" i="1"/>
  <c r="P15091" i="1"/>
  <c r="A15092" i="1"/>
  <c r="P15092" i="1"/>
  <c r="A15093" i="1"/>
  <c r="P15093" i="1"/>
  <c r="A15094" i="1"/>
  <c r="P15094" i="1"/>
  <c r="A15095" i="1"/>
  <c r="P15095" i="1"/>
  <c r="A15096" i="1"/>
  <c r="P15096" i="1"/>
  <c r="A15097" i="1"/>
  <c r="P15097" i="1"/>
  <c r="A15098" i="1"/>
  <c r="P15098" i="1"/>
  <c r="A15099" i="1"/>
  <c r="P15099" i="1"/>
  <c r="A15100" i="1"/>
  <c r="P15100" i="1"/>
  <c r="A15101" i="1"/>
  <c r="P15101" i="1"/>
  <c r="A15102" i="1"/>
  <c r="P15102" i="1"/>
  <c r="A15103" i="1"/>
  <c r="P15103" i="1"/>
  <c r="A15104" i="1"/>
  <c r="P15104" i="1"/>
  <c r="A15105" i="1"/>
  <c r="P15105" i="1"/>
  <c r="A15106" i="1"/>
  <c r="P15106" i="1"/>
  <c r="A15107" i="1"/>
  <c r="P15107" i="1"/>
  <c r="A15108" i="1"/>
  <c r="P15108" i="1"/>
  <c r="A15109" i="1"/>
  <c r="P15109" i="1"/>
  <c r="A15110" i="1"/>
  <c r="P15110" i="1"/>
  <c r="A15111" i="1"/>
  <c r="P15111" i="1"/>
  <c r="A15112" i="1"/>
  <c r="P15112" i="1"/>
  <c r="A15113" i="1"/>
  <c r="P15113" i="1"/>
  <c r="A15114" i="1"/>
  <c r="P15114" i="1"/>
  <c r="A15115" i="1"/>
  <c r="P15115" i="1"/>
  <c r="A15116" i="1"/>
  <c r="P15116" i="1"/>
  <c r="A15117" i="1"/>
  <c r="P15117" i="1"/>
  <c r="A15118" i="1"/>
  <c r="P15118" i="1"/>
  <c r="A15119" i="1"/>
  <c r="P15119" i="1"/>
  <c r="A15120" i="1"/>
  <c r="P15120" i="1"/>
  <c r="A15121" i="1"/>
  <c r="P15121" i="1"/>
  <c r="A15122" i="1"/>
  <c r="P15122" i="1"/>
  <c r="A15123" i="1"/>
  <c r="P15123" i="1"/>
  <c r="A15124" i="1"/>
  <c r="P15124" i="1"/>
  <c r="A15125" i="1"/>
  <c r="P15125" i="1"/>
  <c r="A15126" i="1"/>
  <c r="P15126" i="1"/>
  <c r="A15127" i="1"/>
  <c r="P15127" i="1"/>
  <c r="A15128" i="1"/>
  <c r="P15128" i="1"/>
  <c r="A15129" i="1"/>
  <c r="P15129" i="1"/>
  <c r="A15130" i="1"/>
  <c r="P15130" i="1"/>
  <c r="A15131" i="1"/>
  <c r="P15131" i="1"/>
  <c r="A15132" i="1"/>
  <c r="P15132" i="1"/>
  <c r="A15133" i="1"/>
  <c r="P15133" i="1"/>
  <c r="A15134" i="1"/>
  <c r="P15134" i="1"/>
  <c r="A15135" i="1"/>
  <c r="P15135" i="1"/>
  <c r="A15136" i="1"/>
  <c r="P15136" i="1"/>
  <c r="A15137" i="1"/>
  <c r="P15137" i="1"/>
  <c r="A15138" i="1"/>
  <c r="P15138" i="1"/>
  <c r="A15139" i="1"/>
  <c r="P15139" i="1"/>
  <c r="A15140" i="1"/>
  <c r="P15140" i="1"/>
  <c r="A15141" i="1"/>
  <c r="P15141" i="1"/>
  <c r="A15142" i="1"/>
  <c r="P15142" i="1"/>
  <c r="A15143" i="1"/>
  <c r="P15143" i="1"/>
  <c r="A15144" i="1"/>
  <c r="P15144" i="1"/>
  <c r="A15145" i="1"/>
  <c r="P15145" i="1"/>
  <c r="A15146" i="1"/>
  <c r="P15146" i="1"/>
  <c r="A15147" i="1"/>
  <c r="P15147" i="1"/>
  <c r="A15148" i="1"/>
  <c r="P15148" i="1"/>
  <c r="A15149" i="1"/>
  <c r="P15149" i="1"/>
  <c r="A15150" i="1"/>
  <c r="P15150" i="1"/>
  <c r="A15151" i="1"/>
  <c r="P15151" i="1"/>
  <c r="A15152" i="1"/>
  <c r="P15152" i="1"/>
  <c r="A15153" i="1"/>
  <c r="P15153" i="1"/>
  <c r="A15154" i="1"/>
  <c r="P15154" i="1"/>
  <c r="A15155" i="1"/>
  <c r="P15155" i="1"/>
  <c r="A15156" i="1"/>
  <c r="P15156" i="1"/>
  <c r="A15157" i="1"/>
  <c r="P15157" i="1"/>
  <c r="A15158" i="1"/>
  <c r="P15158" i="1"/>
  <c r="A15159" i="1"/>
  <c r="P15159" i="1"/>
  <c r="A15160" i="1"/>
  <c r="P15160" i="1"/>
  <c r="A15161" i="1"/>
  <c r="P15161" i="1"/>
  <c r="A15162" i="1"/>
  <c r="P15162" i="1"/>
  <c r="A15163" i="1"/>
  <c r="P15163" i="1"/>
  <c r="A15164" i="1"/>
  <c r="P15164" i="1"/>
  <c r="A15165" i="1"/>
  <c r="P15165" i="1"/>
  <c r="A15166" i="1"/>
  <c r="P15166" i="1"/>
  <c r="A15167" i="1"/>
  <c r="P15167" i="1"/>
  <c r="A15168" i="1"/>
  <c r="P15168" i="1"/>
  <c r="A15169" i="1"/>
  <c r="P15169" i="1"/>
  <c r="A15170" i="1"/>
  <c r="P15170" i="1"/>
  <c r="A15171" i="1"/>
  <c r="P15171" i="1"/>
  <c r="A15172" i="1"/>
  <c r="P15172" i="1"/>
  <c r="A15173" i="1"/>
  <c r="P15173" i="1"/>
  <c r="A15174" i="1"/>
  <c r="P15174" i="1"/>
  <c r="A15175" i="1"/>
  <c r="P15175" i="1"/>
  <c r="A15176" i="1"/>
  <c r="P15176" i="1"/>
  <c r="A15177" i="1"/>
  <c r="P15177" i="1"/>
  <c r="A15178" i="1"/>
  <c r="P15178" i="1"/>
  <c r="A15179" i="1"/>
  <c r="P15179" i="1"/>
  <c r="A15180" i="1"/>
  <c r="P15180" i="1"/>
  <c r="A15181" i="1"/>
  <c r="P15181" i="1"/>
  <c r="A15182" i="1"/>
  <c r="P15182" i="1"/>
  <c r="A15183" i="1"/>
  <c r="P15183" i="1"/>
  <c r="A15184" i="1"/>
  <c r="P15184" i="1"/>
  <c r="A15185" i="1"/>
  <c r="P15185" i="1"/>
  <c r="A15186" i="1"/>
  <c r="P15186" i="1"/>
  <c r="A15187" i="1"/>
  <c r="P15187" i="1"/>
  <c r="A15188" i="1"/>
  <c r="P15188" i="1"/>
  <c r="A15189" i="1"/>
  <c r="P15189" i="1"/>
  <c r="A15190" i="1"/>
  <c r="P15190" i="1"/>
  <c r="A15191" i="1"/>
  <c r="P15191" i="1"/>
  <c r="A15192" i="1"/>
  <c r="P15192" i="1"/>
  <c r="A15193" i="1"/>
  <c r="P15193" i="1"/>
  <c r="A15194" i="1"/>
  <c r="P15194" i="1"/>
  <c r="A15195" i="1"/>
  <c r="P15195" i="1"/>
  <c r="A15196" i="1"/>
  <c r="P15196" i="1"/>
  <c r="A15197" i="1"/>
  <c r="P15197" i="1"/>
  <c r="A15198" i="1"/>
  <c r="P15198" i="1"/>
  <c r="A15199" i="1"/>
  <c r="P15199" i="1"/>
  <c r="A15200" i="1"/>
  <c r="P15200" i="1"/>
  <c r="A15201" i="1"/>
  <c r="P15201" i="1"/>
  <c r="A15202" i="1"/>
  <c r="P15202" i="1"/>
  <c r="A15203" i="1"/>
  <c r="P15203" i="1"/>
  <c r="A15204" i="1"/>
  <c r="P15204" i="1"/>
  <c r="A15205" i="1"/>
  <c r="P15205" i="1"/>
  <c r="A15206" i="1"/>
  <c r="P15206" i="1"/>
  <c r="A15207" i="1"/>
  <c r="P15207" i="1"/>
  <c r="A15208" i="1"/>
  <c r="P15208" i="1"/>
  <c r="A15209" i="1"/>
  <c r="P15209" i="1"/>
  <c r="A15210" i="1"/>
  <c r="P15210" i="1"/>
  <c r="A15211" i="1"/>
  <c r="P15211" i="1"/>
  <c r="A15212" i="1"/>
  <c r="P15212" i="1"/>
  <c r="A15213" i="1"/>
  <c r="P15213" i="1"/>
  <c r="A15214" i="1"/>
  <c r="P15214" i="1"/>
  <c r="A15215" i="1"/>
  <c r="P15215" i="1"/>
  <c r="A15216" i="1"/>
  <c r="P15216" i="1"/>
  <c r="A15217" i="1"/>
  <c r="P15217" i="1"/>
  <c r="A15218" i="1"/>
  <c r="P15218" i="1"/>
  <c r="A15219" i="1"/>
  <c r="P15219" i="1"/>
  <c r="A15220" i="1"/>
  <c r="P15220" i="1"/>
  <c r="A15221" i="1"/>
  <c r="P15221" i="1"/>
  <c r="A15222" i="1"/>
  <c r="P15222" i="1"/>
  <c r="A15223" i="1"/>
  <c r="P15223" i="1"/>
  <c r="A15224" i="1"/>
  <c r="P15224" i="1"/>
  <c r="A15225" i="1"/>
  <c r="P15225" i="1"/>
  <c r="A15226" i="1"/>
  <c r="P15226" i="1"/>
  <c r="A15227" i="1"/>
  <c r="P15227" i="1"/>
  <c r="A15228" i="1"/>
  <c r="P15228" i="1"/>
  <c r="A15229" i="1"/>
  <c r="P15229" i="1"/>
  <c r="A15230" i="1"/>
  <c r="P15230" i="1"/>
  <c r="A15231" i="1"/>
  <c r="P15231" i="1"/>
  <c r="A15232" i="1"/>
  <c r="P15232" i="1"/>
  <c r="A15233" i="1"/>
  <c r="P15233" i="1"/>
  <c r="A15234" i="1"/>
  <c r="P15234" i="1"/>
  <c r="A15235" i="1"/>
  <c r="P15235" i="1"/>
  <c r="A15236" i="1"/>
  <c r="P15236" i="1"/>
  <c r="A15237" i="1"/>
  <c r="P15237" i="1"/>
  <c r="A15238" i="1"/>
  <c r="P15238" i="1"/>
  <c r="A15239" i="1"/>
  <c r="P15239" i="1"/>
  <c r="A15240" i="1"/>
  <c r="P15240" i="1"/>
  <c r="A15241" i="1"/>
  <c r="P15241" i="1"/>
  <c r="A15242" i="1"/>
  <c r="P15242" i="1"/>
  <c r="A15243" i="1"/>
  <c r="P15243" i="1"/>
  <c r="A15244" i="1"/>
  <c r="P15244" i="1"/>
  <c r="A15245" i="1"/>
  <c r="P15245" i="1"/>
  <c r="A15246" i="1"/>
  <c r="P15246" i="1"/>
  <c r="A15247" i="1"/>
  <c r="P15247" i="1"/>
  <c r="A15248" i="1"/>
  <c r="P15248" i="1"/>
  <c r="A15249" i="1"/>
  <c r="P15249" i="1"/>
  <c r="A15250" i="1"/>
  <c r="P15250" i="1"/>
  <c r="A15251" i="1"/>
  <c r="P15251" i="1"/>
  <c r="A15252" i="1"/>
  <c r="P15252" i="1"/>
  <c r="A15253" i="1"/>
  <c r="P15253" i="1"/>
  <c r="A15254" i="1"/>
  <c r="P15254" i="1"/>
  <c r="A15255" i="1"/>
  <c r="P15255" i="1"/>
  <c r="A15256" i="1"/>
  <c r="P15256" i="1"/>
  <c r="A15257" i="1"/>
  <c r="P15257" i="1"/>
  <c r="A15258" i="1"/>
  <c r="P15258" i="1"/>
  <c r="A15259" i="1"/>
  <c r="P15259" i="1"/>
  <c r="A15260" i="1"/>
  <c r="P15260" i="1"/>
  <c r="A15261" i="1"/>
  <c r="P15261" i="1"/>
  <c r="A15262" i="1"/>
  <c r="P15262" i="1"/>
  <c r="A15263" i="1"/>
  <c r="P15263" i="1"/>
  <c r="A15264" i="1"/>
  <c r="P15264" i="1"/>
  <c r="A15265" i="1"/>
  <c r="P15265" i="1"/>
  <c r="A15266" i="1"/>
  <c r="P15266" i="1"/>
  <c r="A15267" i="1"/>
  <c r="P15267" i="1"/>
  <c r="A15268" i="1"/>
  <c r="P15268" i="1"/>
  <c r="A15269" i="1"/>
  <c r="P15269" i="1"/>
  <c r="A15270" i="1"/>
  <c r="P15270" i="1"/>
  <c r="A15271" i="1"/>
  <c r="P15271" i="1"/>
  <c r="A15272" i="1"/>
  <c r="P15272" i="1"/>
  <c r="A15273" i="1"/>
  <c r="P15273" i="1"/>
  <c r="A15274" i="1"/>
  <c r="P15274" i="1"/>
  <c r="A15275" i="1"/>
  <c r="P15275" i="1"/>
  <c r="A15276" i="1"/>
  <c r="P15276" i="1"/>
  <c r="A15277" i="1"/>
  <c r="P15277" i="1"/>
  <c r="A15278" i="1"/>
  <c r="P15278" i="1"/>
  <c r="A15279" i="1"/>
  <c r="P15279" i="1"/>
  <c r="A15280" i="1"/>
  <c r="P15280" i="1"/>
  <c r="A15281" i="1"/>
  <c r="P15281" i="1"/>
  <c r="A15282" i="1"/>
  <c r="P15282" i="1"/>
  <c r="A15283" i="1"/>
  <c r="P15283" i="1"/>
  <c r="A15284" i="1"/>
  <c r="P15284" i="1"/>
  <c r="A15285" i="1"/>
  <c r="P15285" i="1"/>
  <c r="A15286" i="1"/>
  <c r="P15286" i="1"/>
  <c r="A15287" i="1"/>
  <c r="P15287" i="1"/>
  <c r="A15288" i="1"/>
  <c r="P15288" i="1"/>
  <c r="A15289" i="1"/>
  <c r="P15289" i="1"/>
  <c r="A15290" i="1"/>
  <c r="P15290" i="1"/>
  <c r="A15291" i="1"/>
  <c r="P15291" i="1"/>
  <c r="A15292" i="1"/>
  <c r="P15292" i="1"/>
  <c r="A15293" i="1"/>
  <c r="P15293" i="1"/>
  <c r="A15294" i="1"/>
  <c r="P15294" i="1"/>
  <c r="A15295" i="1"/>
  <c r="P15295" i="1"/>
  <c r="A15296" i="1"/>
  <c r="P15296" i="1"/>
  <c r="A15297" i="1"/>
  <c r="P15297" i="1"/>
  <c r="A15298" i="1"/>
  <c r="P15298" i="1"/>
  <c r="A15299" i="1"/>
  <c r="P15299" i="1"/>
  <c r="A15300" i="1"/>
  <c r="P15300" i="1"/>
  <c r="A15301" i="1"/>
  <c r="P15301" i="1"/>
  <c r="A15302" i="1"/>
  <c r="P15302" i="1"/>
  <c r="A15303" i="1"/>
  <c r="P15303" i="1"/>
  <c r="A15304" i="1"/>
  <c r="P15304" i="1"/>
  <c r="A15305" i="1"/>
  <c r="P15305" i="1"/>
  <c r="A15306" i="1"/>
  <c r="P15306" i="1"/>
  <c r="A15307" i="1"/>
  <c r="P15307" i="1"/>
  <c r="A15308" i="1"/>
  <c r="P15308" i="1"/>
  <c r="A15309" i="1"/>
  <c r="P15309" i="1"/>
  <c r="A15310" i="1"/>
  <c r="P15310" i="1"/>
  <c r="A15311" i="1"/>
  <c r="P15311" i="1"/>
  <c r="A15312" i="1"/>
  <c r="P15312" i="1"/>
  <c r="A15313" i="1"/>
  <c r="P15313" i="1"/>
  <c r="A15314" i="1"/>
  <c r="P15314" i="1"/>
  <c r="A15315" i="1"/>
  <c r="P15315" i="1"/>
  <c r="A15316" i="1"/>
  <c r="P15316" i="1"/>
  <c r="A15317" i="1"/>
  <c r="P15317" i="1"/>
  <c r="A15318" i="1"/>
  <c r="P15318" i="1"/>
  <c r="A15319" i="1"/>
  <c r="P15319" i="1"/>
  <c r="A15320" i="1"/>
  <c r="P15320" i="1"/>
  <c r="A15321" i="1"/>
  <c r="P15321" i="1"/>
  <c r="A15322" i="1"/>
  <c r="P15322" i="1"/>
  <c r="A15323" i="1"/>
  <c r="P15323" i="1"/>
  <c r="A15324" i="1"/>
  <c r="P15324" i="1"/>
  <c r="A15325" i="1"/>
  <c r="P15325" i="1"/>
  <c r="A15326" i="1"/>
  <c r="P15326" i="1"/>
  <c r="A15327" i="1"/>
  <c r="P15327" i="1"/>
  <c r="A15328" i="1"/>
  <c r="P15328" i="1"/>
  <c r="A15329" i="1"/>
  <c r="P15329" i="1"/>
  <c r="A15330" i="1"/>
  <c r="P15330" i="1"/>
  <c r="A15331" i="1"/>
  <c r="P15331" i="1"/>
  <c r="A15332" i="1"/>
  <c r="P15332" i="1"/>
  <c r="A15333" i="1"/>
  <c r="P15333" i="1"/>
  <c r="A15334" i="1"/>
  <c r="P15334" i="1"/>
  <c r="A15335" i="1"/>
  <c r="P15335" i="1"/>
  <c r="A15336" i="1"/>
  <c r="P15336" i="1"/>
  <c r="A15337" i="1"/>
  <c r="P15337" i="1"/>
  <c r="A15338" i="1"/>
  <c r="P15338" i="1"/>
  <c r="A15339" i="1"/>
  <c r="P15339" i="1"/>
  <c r="A15340" i="1"/>
  <c r="P15340" i="1"/>
  <c r="A15341" i="1"/>
  <c r="P15341" i="1"/>
  <c r="A15342" i="1"/>
  <c r="P15342" i="1"/>
  <c r="A15343" i="1"/>
  <c r="P15343" i="1"/>
  <c r="A15344" i="1"/>
  <c r="P15344" i="1"/>
  <c r="A15345" i="1"/>
  <c r="P15345" i="1"/>
  <c r="A15346" i="1"/>
  <c r="P15346" i="1"/>
  <c r="A15347" i="1"/>
  <c r="P15347" i="1"/>
  <c r="A15348" i="1"/>
  <c r="P15348" i="1"/>
  <c r="A15349" i="1"/>
  <c r="P15349" i="1"/>
  <c r="A15350" i="1"/>
  <c r="P15350" i="1"/>
  <c r="A15351" i="1"/>
  <c r="P15351" i="1"/>
  <c r="A15352" i="1"/>
  <c r="P15352" i="1"/>
  <c r="A15353" i="1"/>
  <c r="P15353" i="1"/>
  <c r="A15354" i="1"/>
  <c r="P15354" i="1"/>
  <c r="A15355" i="1"/>
  <c r="P15355" i="1"/>
  <c r="A15356" i="1"/>
  <c r="P15356" i="1"/>
  <c r="A15357" i="1"/>
  <c r="P15357" i="1"/>
  <c r="A15358" i="1"/>
  <c r="P15358" i="1"/>
  <c r="A15359" i="1"/>
  <c r="P15359" i="1"/>
  <c r="A15360" i="1"/>
  <c r="P15360" i="1"/>
  <c r="A15361" i="1"/>
  <c r="P15361" i="1"/>
  <c r="A15362" i="1"/>
  <c r="P15362" i="1"/>
  <c r="A15363" i="1"/>
  <c r="P15363" i="1"/>
  <c r="A15364" i="1"/>
  <c r="P15364" i="1"/>
  <c r="A15365" i="1"/>
  <c r="P15365" i="1"/>
  <c r="A15366" i="1"/>
  <c r="P15366" i="1"/>
  <c r="A15367" i="1"/>
  <c r="P15367" i="1"/>
  <c r="A15368" i="1"/>
  <c r="P15368" i="1"/>
  <c r="A15369" i="1"/>
  <c r="P15369" i="1"/>
  <c r="A15370" i="1"/>
  <c r="P15370" i="1"/>
  <c r="A15371" i="1"/>
  <c r="P15371" i="1"/>
  <c r="A15372" i="1"/>
  <c r="P15372" i="1"/>
  <c r="A15373" i="1"/>
  <c r="P15373" i="1"/>
  <c r="A15374" i="1"/>
  <c r="P15374" i="1"/>
  <c r="A15375" i="1"/>
  <c r="P15375" i="1"/>
  <c r="A15376" i="1"/>
  <c r="P15376" i="1"/>
  <c r="A15377" i="1"/>
  <c r="P15377" i="1"/>
  <c r="A15378" i="1"/>
  <c r="P15378" i="1"/>
  <c r="A15379" i="1"/>
  <c r="P15379" i="1"/>
  <c r="A15380" i="1"/>
  <c r="P15380" i="1"/>
  <c r="A15381" i="1"/>
  <c r="P15381" i="1"/>
  <c r="A15382" i="1"/>
  <c r="P15382" i="1"/>
  <c r="A15383" i="1"/>
  <c r="P15383" i="1"/>
  <c r="A15384" i="1"/>
  <c r="P15384" i="1"/>
  <c r="A15385" i="1"/>
  <c r="P15385" i="1"/>
  <c r="A15386" i="1"/>
  <c r="P15386" i="1"/>
  <c r="A15387" i="1"/>
  <c r="P15387" i="1"/>
  <c r="A15388" i="1"/>
  <c r="P15388" i="1"/>
  <c r="A15389" i="1"/>
  <c r="P15389" i="1"/>
  <c r="A15390" i="1"/>
  <c r="P15390" i="1"/>
  <c r="A15391" i="1"/>
  <c r="P15391" i="1"/>
  <c r="A15392" i="1"/>
  <c r="P15392" i="1"/>
  <c r="A15393" i="1"/>
  <c r="P15393" i="1"/>
  <c r="A15394" i="1"/>
  <c r="P15394" i="1"/>
  <c r="A15395" i="1"/>
  <c r="P15395" i="1"/>
  <c r="A15396" i="1"/>
  <c r="P15396" i="1"/>
  <c r="A15397" i="1"/>
  <c r="P15397" i="1"/>
  <c r="A15398" i="1"/>
  <c r="P15398" i="1"/>
  <c r="A15399" i="1"/>
  <c r="P15399" i="1"/>
  <c r="A15400" i="1"/>
  <c r="P15400" i="1"/>
  <c r="A15401" i="1"/>
  <c r="P15401" i="1"/>
  <c r="A15402" i="1"/>
  <c r="P15402" i="1"/>
  <c r="A15403" i="1"/>
  <c r="P15403" i="1"/>
  <c r="A15404" i="1"/>
  <c r="P15404" i="1"/>
  <c r="A15405" i="1"/>
  <c r="P15405" i="1"/>
  <c r="A15406" i="1"/>
  <c r="P15406" i="1"/>
  <c r="A15407" i="1"/>
  <c r="P15407" i="1"/>
  <c r="A15408" i="1"/>
  <c r="P15408" i="1"/>
  <c r="A15409" i="1"/>
  <c r="P15409" i="1"/>
  <c r="A15410" i="1"/>
  <c r="P15410" i="1"/>
  <c r="A15411" i="1"/>
  <c r="P15411" i="1"/>
  <c r="A15412" i="1"/>
  <c r="P15412" i="1"/>
  <c r="A15413" i="1"/>
  <c r="P15413" i="1"/>
  <c r="A15414" i="1"/>
  <c r="P15414" i="1"/>
  <c r="A15415" i="1"/>
  <c r="P15415" i="1"/>
  <c r="A15416" i="1"/>
  <c r="P15416" i="1"/>
  <c r="A15417" i="1"/>
  <c r="P15417" i="1"/>
  <c r="A15418" i="1"/>
  <c r="P15418" i="1"/>
  <c r="A15419" i="1"/>
  <c r="P15419" i="1"/>
  <c r="A15420" i="1"/>
  <c r="P15420" i="1"/>
  <c r="A15421" i="1"/>
  <c r="P15421" i="1"/>
  <c r="A15422" i="1"/>
  <c r="P15422" i="1"/>
  <c r="A15423" i="1"/>
  <c r="P15423" i="1"/>
  <c r="A15424" i="1"/>
  <c r="P15424" i="1"/>
  <c r="A15425" i="1"/>
  <c r="P15425" i="1"/>
  <c r="A15426" i="1"/>
  <c r="P15426" i="1"/>
  <c r="A15427" i="1"/>
  <c r="P15427" i="1"/>
  <c r="A15428" i="1"/>
  <c r="P15428" i="1"/>
  <c r="A15429" i="1"/>
  <c r="P15429" i="1"/>
  <c r="A15430" i="1"/>
  <c r="P15430" i="1"/>
  <c r="A15431" i="1"/>
  <c r="P15431" i="1"/>
  <c r="A15432" i="1"/>
  <c r="P15432" i="1"/>
  <c r="A15433" i="1"/>
  <c r="P15433" i="1"/>
  <c r="A15434" i="1"/>
  <c r="P15434" i="1"/>
  <c r="A15435" i="1"/>
  <c r="P15435" i="1"/>
  <c r="A15436" i="1"/>
  <c r="P15436" i="1"/>
  <c r="A15437" i="1"/>
  <c r="P15437" i="1"/>
  <c r="A15438" i="1"/>
  <c r="P15438" i="1"/>
  <c r="A15439" i="1"/>
  <c r="P15439" i="1"/>
  <c r="A15440" i="1"/>
  <c r="P15440" i="1"/>
  <c r="A15441" i="1"/>
  <c r="P15441" i="1"/>
  <c r="A15442" i="1"/>
  <c r="P15442" i="1"/>
  <c r="A15443" i="1"/>
  <c r="P15443" i="1"/>
  <c r="A15444" i="1"/>
  <c r="P15444" i="1"/>
  <c r="A15445" i="1"/>
  <c r="P15445" i="1"/>
  <c r="A15446" i="1"/>
  <c r="P15446" i="1"/>
  <c r="A15447" i="1"/>
  <c r="P15447" i="1"/>
  <c r="A15448" i="1"/>
  <c r="P15448" i="1"/>
  <c r="A15449" i="1"/>
  <c r="P15449" i="1"/>
  <c r="A15450" i="1"/>
  <c r="P15450" i="1"/>
  <c r="A15451" i="1"/>
  <c r="P15451" i="1"/>
  <c r="A15452" i="1"/>
  <c r="P15452" i="1"/>
  <c r="A15453" i="1"/>
  <c r="P15453" i="1"/>
  <c r="A15454" i="1"/>
  <c r="P15454" i="1"/>
  <c r="A15455" i="1"/>
  <c r="P15455" i="1"/>
  <c r="A15456" i="1"/>
  <c r="P15456" i="1"/>
  <c r="A15457" i="1"/>
  <c r="P15457" i="1"/>
  <c r="A15458" i="1"/>
  <c r="P15458" i="1"/>
  <c r="A15459" i="1"/>
  <c r="P15459" i="1"/>
  <c r="A15460" i="1"/>
  <c r="P15460" i="1"/>
  <c r="A15461" i="1"/>
  <c r="P15461" i="1"/>
  <c r="A15462" i="1"/>
  <c r="P15462" i="1"/>
  <c r="A15463" i="1"/>
  <c r="P15463" i="1"/>
  <c r="A15464" i="1"/>
  <c r="P15464" i="1"/>
  <c r="A15465" i="1"/>
  <c r="P15465" i="1"/>
  <c r="A15466" i="1"/>
  <c r="P15466" i="1"/>
  <c r="A15467" i="1"/>
  <c r="P15467" i="1"/>
  <c r="A15468" i="1"/>
  <c r="P15468" i="1"/>
  <c r="A15469" i="1"/>
  <c r="P15469" i="1"/>
  <c r="A15470" i="1"/>
  <c r="P15470" i="1"/>
  <c r="A15471" i="1"/>
  <c r="P15471" i="1"/>
  <c r="A15472" i="1"/>
  <c r="P15472" i="1"/>
  <c r="A15473" i="1"/>
  <c r="P15473" i="1"/>
  <c r="A15474" i="1"/>
  <c r="P15474" i="1"/>
  <c r="A15475" i="1"/>
  <c r="P15475" i="1"/>
  <c r="A15476" i="1"/>
  <c r="P15476" i="1"/>
  <c r="A15477" i="1"/>
  <c r="P15477" i="1"/>
  <c r="A15478" i="1"/>
  <c r="P15478" i="1"/>
  <c r="A15479" i="1"/>
  <c r="P15479" i="1"/>
  <c r="A15480" i="1"/>
  <c r="P15480" i="1"/>
  <c r="A15481" i="1"/>
  <c r="P15481" i="1"/>
  <c r="A15482" i="1"/>
  <c r="P15482" i="1"/>
  <c r="A15483" i="1"/>
  <c r="P15483" i="1"/>
  <c r="A15484" i="1"/>
  <c r="P15484" i="1"/>
  <c r="A15485" i="1"/>
  <c r="P15485" i="1"/>
  <c r="A15486" i="1"/>
  <c r="P15486" i="1"/>
  <c r="A15487" i="1"/>
  <c r="P15487" i="1"/>
  <c r="A15488" i="1"/>
  <c r="P15488" i="1"/>
  <c r="A15489" i="1"/>
  <c r="P15489" i="1"/>
  <c r="A15490" i="1"/>
  <c r="P15490" i="1"/>
  <c r="A15491" i="1"/>
  <c r="P15491" i="1"/>
  <c r="A15492" i="1"/>
  <c r="P15492" i="1"/>
  <c r="A15493" i="1"/>
  <c r="P15493" i="1"/>
  <c r="A15494" i="1"/>
  <c r="P15494" i="1"/>
  <c r="A15495" i="1"/>
  <c r="P15495" i="1"/>
  <c r="A15496" i="1"/>
  <c r="P15496" i="1"/>
  <c r="A15497" i="1"/>
  <c r="P15497" i="1"/>
  <c r="A15498" i="1"/>
  <c r="P15498" i="1"/>
  <c r="A15499" i="1"/>
  <c r="P15499" i="1"/>
  <c r="A15500" i="1"/>
  <c r="P15500" i="1"/>
  <c r="A15501" i="1"/>
  <c r="P15501" i="1"/>
  <c r="A15502" i="1"/>
  <c r="P15502" i="1"/>
  <c r="A15503" i="1"/>
  <c r="P15503" i="1"/>
  <c r="A15504" i="1"/>
  <c r="P15504" i="1"/>
  <c r="A15505" i="1"/>
  <c r="P15505" i="1"/>
  <c r="A15506" i="1"/>
  <c r="P15506" i="1"/>
  <c r="A15507" i="1"/>
  <c r="P15507" i="1"/>
  <c r="A15508" i="1"/>
  <c r="P15508" i="1"/>
  <c r="A15509" i="1"/>
  <c r="P15509" i="1"/>
  <c r="A15510" i="1"/>
  <c r="P15510" i="1"/>
  <c r="A15511" i="1"/>
  <c r="P15511" i="1"/>
  <c r="A15512" i="1"/>
  <c r="P15512" i="1"/>
  <c r="A15513" i="1"/>
  <c r="P15513" i="1"/>
  <c r="A15514" i="1"/>
  <c r="P15514" i="1"/>
  <c r="A15515" i="1"/>
  <c r="P15515" i="1"/>
  <c r="A15516" i="1"/>
  <c r="P15516" i="1"/>
  <c r="A15517" i="1"/>
  <c r="P15517" i="1"/>
  <c r="A15518" i="1"/>
  <c r="P15518" i="1"/>
  <c r="A15519" i="1"/>
  <c r="P15519" i="1"/>
  <c r="A15520" i="1"/>
  <c r="P15520" i="1"/>
  <c r="A15521" i="1"/>
  <c r="P15521" i="1"/>
  <c r="A15522" i="1"/>
  <c r="P15522" i="1"/>
  <c r="A15523" i="1"/>
  <c r="P15523" i="1"/>
  <c r="A15524" i="1"/>
  <c r="P15524" i="1"/>
  <c r="A15525" i="1"/>
  <c r="P15525" i="1"/>
  <c r="A15526" i="1"/>
  <c r="P15526" i="1"/>
  <c r="A15527" i="1"/>
  <c r="P15527" i="1"/>
  <c r="A15528" i="1"/>
  <c r="P15528" i="1"/>
  <c r="A15529" i="1"/>
  <c r="P15529" i="1"/>
  <c r="A15530" i="1"/>
  <c r="P15530" i="1"/>
  <c r="A15531" i="1"/>
  <c r="P15531" i="1"/>
  <c r="A15532" i="1"/>
  <c r="P15532" i="1"/>
  <c r="A15533" i="1"/>
  <c r="P15533" i="1"/>
  <c r="A15534" i="1"/>
  <c r="P15534" i="1"/>
  <c r="A15535" i="1"/>
  <c r="P15535" i="1"/>
  <c r="A15536" i="1"/>
  <c r="P15536" i="1"/>
  <c r="A15537" i="1"/>
  <c r="P15537" i="1"/>
  <c r="A15538" i="1"/>
  <c r="P15538" i="1"/>
  <c r="A15539" i="1"/>
  <c r="P15539" i="1"/>
  <c r="A15540" i="1"/>
  <c r="P15540" i="1"/>
  <c r="A15541" i="1"/>
  <c r="P15541" i="1"/>
  <c r="A15542" i="1"/>
  <c r="P15542" i="1"/>
  <c r="A15543" i="1"/>
  <c r="P15543" i="1"/>
  <c r="A15544" i="1"/>
  <c r="P15544" i="1"/>
  <c r="A15545" i="1"/>
  <c r="P15545" i="1"/>
  <c r="A15546" i="1"/>
  <c r="P15546" i="1"/>
  <c r="A15547" i="1"/>
  <c r="P15547" i="1"/>
  <c r="A15548" i="1"/>
  <c r="P15548" i="1"/>
  <c r="A15549" i="1"/>
  <c r="P15549" i="1"/>
  <c r="A15550" i="1"/>
  <c r="P15550" i="1"/>
  <c r="A15551" i="1"/>
  <c r="P15551" i="1"/>
  <c r="A15552" i="1"/>
  <c r="P15552" i="1"/>
  <c r="A15553" i="1"/>
  <c r="P15553" i="1"/>
  <c r="A15554" i="1"/>
  <c r="P15554" i="1"/>
  <c r="A15555" i="1"/>
  <c r="P15555" i="1"/>
  <c r="A15556" i="1"/>
  <c r="P15556" i="1"/>
  <c r="A15557" i="1"/>
  <c r="P15557" i="1"/>
  <c r="A15558" i="1"/>
  <c r="P15558" i="1"/>
  <c r="A15559" i="1"/>
  <c r="P15559" i="1"/>
  <c r="A15560" i="1"/>
  <c r="P15560" i="1"/>
  <c r="A15561" i="1"/>
  <c r="P15561" i="1"/>
  <c r="A15562" i="1"/>
  <c r="P15562" i="1"/>
  <c r="A15563" i="1"/>
  <c r="P15563" i="1"/>
  <c r="A15564" i="1"/>
  <c r="P15564" i="1"/>
  <c r="A15565" i="1"/>
  <c r="P15565" i="1"/>
  <c r="A15566" i="1"/>
  <c r="P15566" i="1"/>
  <c r="A15567" i="1"/>
  <c r="P15567" i="1"/>
  <c r="A15568" i="1"/>
  <c r="P15568" i="1"/>
  <c r="A15569" i="1"/>
  <c r="P15569" i="1"/>
  <c r="A15570" i="1"/>
  <c r="P15570" i="1"/>
  <c r="A15571" i="1"/>
  <c r="P15571" i="1"/>
  <c r="A15572" i="1"/>
  <c r="P15572" i="1"/>
  <c r="A15573" i="1"/>
  <c r="P15573" i="1"/>
  <c r="A15574" i="1"/>
  <c r="P15574" i="1"/>
  <c r="A15575" i="1"/>
  <c r="P15575" i="1"/>
  <c r="A15576" i="1"/>
  <c r="P15576" i="1"/>
  <c r="A15577" i="1"/>
  <c r="P15577" i="1"/>
  <c r="A15578" i="1"/>
  <c r="P15578" i="1"/>
  <c r="A15579" i="1"/>
  <c r="P15579" i="1"/>
  <c r="A15580" i="1"/>
  <c r="P15580" i="1"/>
  <c r="A15581" i="1"/>
  <c r="P15581" i="1"/>
  <c r="A15582" i="1"/>
  <c r="P15582" i="1"/>
  <c r="A15583" i="1"/>
  <c r="P15583" i="1"/>
  <c r="A15584" i="1"/>
  <c r="P15584" i="1"/>
  <c r="A15585" i="1"/>
  <c r="P15585" i="1"/>
  <c r="A15586" i="1"/>
  <c r="P15586" i="1"/>
  <c r="A15587" i="1"/>
  <c r="P15587" i="1"/>
  <c r="A15588" i="1"/>
  <c r="P15588" i="1"/>
  <c r="A15589" i="1"/>
  <c r="P15589" i="1"/>
  <c r="A15590" i="1"/>
  <c r="P15590" i="1"/>
  <c r="A15591" i="1"/>
  <c r="P15591" i="1"/>
  <c r="A15592" i="1"/>
  <c r="P15592" i="1"/>
  <c r="A15593" i="1"/>
  <c r="P15593" i="1"/>
  <c r="A15594" i="1"/>
  <c r="P15594" i="1"/>
  <c r="A15595" i="1"/>
  <c r="P15595" i="1"/>
  <c r="A15596" i="1"/>
  <c r="P15596" i="1"/>
  <c r="A15597" i="1"/>
  <c r="P15597" i="1"/>
  <c r="A15598" i="1"/>
  <c r="P15598" i="1"/>
  <c r="A15599" i="1"/>
  <c r="P15599" i="1"/>
  <c r="A15600" i="1"/>
  <c r="P15600" i="1"/>
  <c r="A15601" i="1"/>
  <c r="P15601" i="1"/>
  <c r="A15602" i="1"/>
  <c r="P15602" i="1"/>
  <c r="A15603" i="1"/>
  <c r="P15603" i="1"/>
  <c r="A15604" i="1"/>
  <c r="P15604" i="1"/>
  <c r="A15605" i="1"/>
  <c r="P15605" i="1"/>
  <c r="A15606" i="1"/>
  <c r="P15606" i="1"/>
  <c r="A15607" i="1"/>
  <c r="P15607" i="1"/>
  <c r="A15608" i="1"/>
  <c r="P15608" i="1"/>
  <c r="A15609" i="1"/>
  <c r="P15609" i="1"/>
  <c r="A15610" i="1"/>
  <c r="P15610" i="1"/>
  <c r="A15611" i="1"/>
  <c r="P15611" i="1"/>
  <c r="A15612" i="1"/>
  <c r="P15612" i="1"/>
  <c r="A15613" i="1"/>
  <c r="P15613" i="1"/>
  <c r="A15614" i="1"/>
  <c r="P15614" i="1"/>
  <c r="A15615" i="1"/>
  <c r="P15615" i="1"/>
  <c r="A15616" i="1"/>
  <c r="P15616" i="1"/>
  <c r="A15617" i="1"/>
  <c r="P15617" i="1"/>
  <c r="A15618" i="1"/>
  <c r="P15618" i="1"/>
  <c r="A15619" i="1"/>
  <c r="P15619" i="1"/>
  <c r="A15620" i="1"/>
  <c r="P15620" i="1"/>
  <c r="A15621" i="1"/>
  <c r="P15621" i="1"/>
  <c r="A15622" i="1"/>
  <c r="P15622" i="1"/>
  <c r="A15623" i="1"/>
  <c r="P15623" i="1"/>
  <c r="A15624" i="1"/>
  <c r="P15624" i="1"/>
  <c r="A15625" i="1"/>
  <c r="P15625" i="1"/>
  <c r="A15626" i="1"/>
  <c r="P15626" i="1"/>
  <c r="A15627" i="1"/>
  <c r="P15627" i="1"/>
  <c r="A15628" i="1"/>
  <c r="P15628" i="1"/>
  <c r="A15629" i="1"/>
  <c r="P15629" i="1"/>
  <c r="A15630" i="1"/>
  <c r="P15630" i="1"/>
  <c r="A15631" i="1"/>
  <c r="P15631" i="1"/>
  <c r="A15632" i="1"/>
  <c r="P15632" i="1"/>
  <c r="A15633" i="1"/>
  <c r="P15633" i="1"/>
  <c r="A15634" i="1"/>
  <c r="P15634" i="1"/>
  <c r="A15635" i="1"/>
  <c r="P15635" i="1"/>
  <c r="A15636" i="1"/>
  <c r="P15636" i="1"/>
  <c r="A15637" i="1"/>
  <c r="P15637" i="1"/>
  <c r="A15638" i="1"/>
  <c r="P15638" i="1"/>
  <c r="A15639" i="1"/>
  <c r="P15639" i="1"/>
  <c r="A15640" i="1"/>
  <c r="P15640" i="1"/>
  <c r="A15641" i="1"/>
  <c r="P15641" i="1"/>
  <c r="A15642" i="1"/>
  <c r="P15642" i="1"/>
  <c r="A15643" i="1"/>
  <c r="P15643" i="1"/>
  <c r="A15644" i="1"/>
  <c r="P15644" i="1"/>
  <c r="A15645" i="1"/>
  <c r="P15645" i="1"/>
  <c r="A15646" i="1"/>
  <c r="P15646" i="1"/>
  <c r="A15647" i="1"/>
  <c r="P15647" i="1"/>
  <c r="A15648" i="1"/>
  <c r="P15648" i="1"/>
  <c r="A15649" i="1"/>
  <c r="P15649" i="1"/>
  <c r="A15650" i="1"/>
  <c r="P15650" i="1"/>
  <c r="A15651" i="1"/>
  <c r="P15651" i="1"/>
  <c r="A15652" i="1"/>
  <c r="P15652" i="1"/>
  <c r="A15653" i="1"/>
  <c r="P15653" i="1"/>
  <c r="A15654" i="1"/>
  <c r="P15654" i="1"/>
  <c r="A15655" i="1"/>
  <c r="P15655" i="1"/>
  <c r="A15656" i="1"/>
  <c r="P15656" i="1"/>
  <c r="A15657" i="1"/>
  <c r="P15657" i="1"/>
  <c r="A15658" i="1"/>
  <c r="P15658" i="1"/>
  <c r="A15659" i="1"/>
  <c r="P15659" i="1"/>
  <c r="A15660" i="1"/>
  <c r="P15660" i="1"/>
  <c r="A15661" i="1"/>
  <c r="P15661" i="1"/>
  <c r="A15662" i="1"/>
  <c r="P15662" i="1"/>
  <c r="A15663" i="1"/>
  <c r="P15663" i="1"/>
  <c r="A15664" i="1"/>
  <c r="P15664" i="1"/>
  <c r="A15665" i="1"/>
  <c r="P15665" i="1"/>
  <c r="A15666" i="1"/>
  <c r="P15666" i="1"/>
  <c r="A15667" i="1"/>
  <c r="P15667" i="1"/>
  <c r="A15668" i="1"/>
  <c r="P15668" i="1"/>
  <c r="A15669" i="1"/>
  <c r="P15669" i="1"/>
  <c r="A15670" i="1"/>
  <c r="P15670" i="1"/>
  <c r="A15671" i="1"/>
  <c r="P15671" i="1"/>
  <c r="A15672" i="1"/>
  <c r="P15672" i="1"/>
  <c r="A15673" i="1"/>
  <c r="P15673" i="1"/>
  <c r="A15674" i="1"/>
  <c r="P15674" i="1"/>
  <c r="A15675" i="1"/>
  <c r="P15675" i="1"/>
  <c r="A15676" i="1"/>
  <c r="P15676" i="1"/>
  <c r="A15677" i="1"/>
  <c r="P15677" i="1"/>
  <c r="A15678" i="1"/>
  <c r="P15678" i="1"/>
  <c r="A15679" i="1"/>
  <c r="P15679" i="1"/>
  <c r="A15680" i="1"/>
  <c r="P15680" i="1"/>
  <c r="A15681" i="1"/>
  <c r="P15681" i="1"/>
  <c r="A15682" i="1"/>
  <c r="P15682" i="1"/>
  <c r="A15683" i="1"/>
  <c r="P15683" i="1"/>
  <c r="A15684" i="1"/>
  <c r="P15684" i="1"/>
  <c r="A15685" i="1"/>
  <c r="P15685" i="1"/>
  <c r="A15686" i="1"/>
  <c r="P15686" i="1"/>
  <c r="A15687" i="1"/>
  <c r="P15687" i="1"/>
  <c r="A15688" i="1"/>
  <c r="P15688" i="1"/>
  <c r="A15689" i="1"/>
  <c r="P15689" i="1"/>
  <c r="A15690" i="1"/>
  <c r="P15690" i="1"/>
  <c r="A15691" i="1"/>
  <c r="P15691" i="1"/>
  <c r="A15692" i="1"/>
  <c r="P15692" i="1"/>
  <c r="A15693" i="1"/>
  <c r="P15693" i="1"/>
  <c r="A15694" i="1"/>
  <c r="P15694" i="1"/>
  <c r="A15695" i="1"/>
  <c r="P15695" i="1"/>
  <c r="A15696" i="1"/>
  <c r="P15696" i="1"/>
  <c r="A15697" i="1"/>
  <c r="P15697" i="1"/>
  <c r="A15698" i="1"/>
  <c r="P15698" i="1"/>
  <c r="A15699" i="1"/>
  <c r="P15699" i="1"/>
  <c r="A15700" i="1"/>
  <c r="P15700" i="1"/>
  <c r="A15701" i="1"/>
  <c r="P15701" i="1"/>
  <c r="A15702" i="1"/>
  <c r="P15702" i="1"/>
  <c r="A15703" i="1"/>
  <c r="P15703" i="1"/>
  <c r="A15704" i="1"/>
  <c r="P15704" i="1"/>
  <c r="A15705" i="1"/>
  <c r="P15705" i="1"/>
  <c r="A15706" i="1"/>
  <c r="P15706" i="1"/>
  <c r="A15707" i="1"/>
  <c r="P15707" i="1"/>
  <c r="A15708" i="1"/>
  <c r="P15708" i="1"/>
  <c r="A15709" i="1"/>
  <c r="P15709" i="1"/>
  <c r="A15710" i="1"/>
  <c r="P15710" i="1"/>
  <c r="A15711" i="1"/>
  <c r="P15711" i="1"/>
  <c r="A15712" i="1"/>
  <c r="P15712" i="1"/>
  <c r="A15713" i="1"/>
  <c r="P15713" i="1"/>
  <c r="A15714" i="1"/>
  <c r="P15714" i="1"/>
  <c r="A15715" i="1"/>
  <c r="P15715" i="1"/>
  <c r="A15716" i="1"/>
  <c r="P15716" i="1"/>
  <c r="A15717" i="1"/>
  <c r="P15717" i="1"/>
  <c r="A15718" i="1"/>
  <c r="P15718" i="1"/>
  <c r="A15719" i="1"/>
  <c r="P15719" i="1"/>
  <c r="A15720" i="1"/>
  <c r="P15720" i="1"/>
  <c r="A15721" i="1"/>
  <c r="P15721" i="1"/>
  <c r="A15722" i="1"/>
  <c r="P15722" i="1"/>
  <c r="A15723" i="1"/>
  <c r="P15723" i="1"/>
  <c r="A15724" i="1"/>
  <c r="P15724" i="1"/>
  <c r="A15725" i="1"/>
  <c r="P15725" i="1"/>
  <c r="A15726" i="1"/>
  <c r="P15726" i="1"/>
  <c r="A15727" i="1"/>
  <c r="P15727" i="1"/>
  <c r="A15728" i="1"/>
  <c r="P15728" i="1"/>
  <c r="A15729" i="1"/>
  <c r="P15729" i="1"/>
  <c r="A15730" i="1"/>
  <c r="P15730" i="1"/>
  <c r="A15731" i="1"/>
  <c r="P15731" i="1"/>
  <c r="A15732" i="1"/>
  <c r="P15732" i="1"/>
  <c r="A15733" i="1"/>
  <c r="P15733" i="1"/>
  <c r="A15734" i="1"/>
  <c r="P15734" i="1"/>
  <c r="A15735" i="1"/>
  <c r="P15735" i="1"/>
  <c r="A15736" i="1"/>
  <c r="P15736" i="1"/>
  <c r="A15737" i="1"/>
  <c r="P15737" i="1"/>
  <c r="A15738" i="1"/>
  <c r="P15738" i="1"/>
  <c r="A15739" i="1"/>
  <c r="P15739" i="1"/>
  <c r="A15740" i="1"/>
  <c r="P15740" i="1"/>
  <c r="A15741" i="1"/>
  <c r="P15741" i="1"/>
  <c r="A15742" i="1"/>
  <c r="P15742" i="1"/>
  <c r="A15743" i="1"/>
  <c r="P15743" i="1"/>
  <c r="A15744" i="1"/>
  <c r="P15744" i="1"/>
  <c r="A15745" i="1"/>
  <c r="P15745" i="1"/>
  <c r="A15746" i="1"/>
  <c r="P15746" i="1"/>
  <c r="A15747" i="1"/>
  <c r="P15747" i="1"/>
  <c r="A15748" i="1"/>
  <c r="P15748" i="1"/>
  <c r="A15749" i="1"/>
  <c r="P15749" i="1"/>
  <c r="A15750" i="1"/>
  <c r="P15750" i="1"/>
  <c r="A15751" i="1"/>
  <c r="P15751" i="1"/>
  <c r="A15752" i="1"/>
  <c r="P15752" i="1"/>
  <c r="A15753" i="1"/>
  <c r="P15753" i="1"/>
  <c r="A15754" i="1"/>
  <c r="P15754" i="1"/>
  <c r="A15755" i="1"/>
  <c r="P15755" i="1"/>
  <c r="A15756" i="1"/>
  <c r="P15756" i="1"/>
  <c r="A15757" i="1"/>
  <c r="P15757" i="1"/>
  <c r="A15758" i="1"/>
  <c r="P15758" i="1"/>
  <c r="A15759" i="1"/>
  <c r="P15759" i="1"/>
  <c r="A15760" i="1"/>
  <c r="P15760" i="1"/>
  <c r="A15761" i="1"/>
  <c r="P15761" i="1"/>
  <c r="A15762" i="1"/>
  <c r="P15762" i="1"/>
  <c r="A15763" i="1"/>
  <c r="P15763" i="1"/>
  <c r="A15764" i="1"/>
  <c r="P15764" i="1"/>
  <c r="A15765" i="1"/>
  <c r="P15765" i="1"/>
  <c r="A15766" i="1"/>
  <c r="P15766" i="1"/>
  <c r="A15767" i="1"/>
  <c r="P15767" i="1"/>
  <c r="A15768" i="1"/>
  <c r="P15768" i="1"/>
  <c r="A15769" i="1"/>
  <c r="P15769" i="1"/>
  <c r="A15770" i="1"/>
  <c r="P15770" i="1"/>
  <c r="A15771" i="1"/>
  <c r="P15771" i="1"/>
  <c r="A15772" i="1"/>
  <c r="P15772" i="1"/>
  <c r="A15773" i="1"/>
  <c r="P15773" i="1"/>
  <c r="A15774" i="1"/>
  <c r="P15774" i="1"/>
  <c r="A15775" i="1"/>
  <c r="P15775" i="1"/>
  <c r="A15776" i="1"/>
  <c r="P15776" i="1"/>
  <c r="A15777" i="1"/>
  <c r="P15777" i="1"/>
  <c r="A15778" i="1"/>
  <c r="P15778" i="1"/>
  <c r="A15779" i="1"/>
  <c r="P15779" i="1"/>
  <c r="A15780" i="1"/>
  <c r="P15780" i="1"/>
  <c r="A15781" i="1"/>
  <c r="P15781" i="1"/>
  <c r="A15782" i="1"/>
  <c r="P15782" i="1"/>
  <c r="A15783" i="1"/>
  <c r="P15783" i="1"/>
  <c r="A15784" i="1"/>
  <c r="P15784" i="1"/>
  <c r="A15785" i="1"/>
  <c r="P15785" i="1"/>
  <c r="A15786" i="1"/>
  <c r="P15786" i="1"/>
  <c r="A15787" i="1"/>
  <c r="P15787" i="1"/>
  <c r="A15788" i="1"/>
  <c r="P15788" i="1"/>
  <c r="A15789" i="1"/>
  <c r="P15789" i="1"/>
  <c r="A15790" i="1"/>
  <c r="P15790" i="1"/>
  <c r="A15791" i="1"/>
  <c r="P15791" i="1"/>
  <c r="A15792" i="1"/>
  <c r="P15792" i="1"/>
  <c r="A15793" i="1"/>
  <c r="P15793" i="1"/>
  <c r="A15794" i="1"/>
  <c r="P15794" i="1"/>
  <c r="A15795" i="1"/>
  <c r="P15795" i="1"/>
  <c r="A15796" i="1"/>
  <c r="P15796" i="1"/>
  <c r="A15797" i="1"/>
  <c r="P15797" i="1"/>
  <c r="A15798" i="1"/>
  <c r="P15798" i="1"/>
  <c r="A15799" i="1"/>
  <c r="P15799" i="1"/>
  <c r="A15800" i="1"/>
  <c r="P15800" i="1"/>
  <c r="A15801" i="1"/>
  <c r="P15801" i="1"/>
  <c r="A15802" i="1"/>
  <c r="P15802" i="1"/>
  <c r="A15803" i="1"/>
  <c r="P15803" i="1"/>
  <c r="A15804" i="1"/>
  <c r="P15804" i="1"/>
  <c r="A15805" i="1"/>
  <c r="P15805" i="1"/>
  <c r="A15806" i="1"/>
  <c r="P15806" i="1"/>
  <c r="A15807" i="1"/>
  <c r="P15807" i="1"/>
  <c r="A15808" i="1"/>
  <c r="P15808" i="1"/>
  <c r="A15809" i="1"/>
  <c r="P15809" i="1"/>
  <c r="A15810" i="1"/>
  <c r="P15810" i="1"/>
  <c r="A15811" i="1"/>
  <c r="P15811" i="1"/>
  <c r="A15812" i="1"/>
  <c r="P15812" i="1"/>
  <c r="A15813" i="1"/>
  <c r="P15813" i="1"/>
  <c r="A15814" i="1"/>
  <c r="P15814" i="1"/>
  <c r="A15815" i="1"/>
  <c r="P15815" i="1"/>
  <c r="A15816" i="1"/>
  <c r="P15816" i="1"/>
  <c r="A15817" i="1"/>
  <c r="P15817" i="1"/>
  <c r="A15818" i="1"/>
  <c r="P15818" i="1"/>
  <c r="A15819" i="1"/>
  <c r="P15819" i="1"/>
  <c r="A15820" i="1"/>
  <c r="P15820" i="1"/>
  <c r="A15821" i="1"/>
  <c r="P15821" i="1"/>
  <c r="A15822" i="1"/>
  <c r="P15822" i="1"/>
  <c r="A15823" i="1"/>
  <c r="P15823" i="1"/>
  <c r="A15824" i="1"/>
  <c r="P15824" i="1"/>
  <c r="A15825" i="1"/>
  <c r="P15825" i="1"/>
  <c r="A15826" i="1"/>
  <c r="P15826" i="1"/>
  <c r="A15827" i="1"/>
  <c r="P15827" i="1"/>
  <c r="A15828" i="1"/>
  <c r="P15828" i="1"/>
  <c r="A15829" i="1"/>
  <c r="P15829" i="1"/>
  <c r="A15830" i="1"/>
  <c r="P15830" i="1"/>
  <c r="A15831" i="1"/>
  <c r="P15831" i="1"/>
  <c r="A15832" i="1"/>
  <c r="P15832" i="1"/>
  <c r="A15833" i="1"/>
  <c r="P15833" i="1"/>
  <c r="A15834" i="1"/>
  <c r="P15834" i="1"/>
  <c r="A15835" i="1"/>
  <c r="P15835" i="1"/>
  <c r="A15836" i="1"/>
  <c r="P15836" i="1"/>
  <c r="A15837" i="1"/>
  <c r="P15837" i="1"/>
  <c r="A15838" i="1"/>
  <c r="P15838" i="1"/>
  <c r="A15839" i="1"/>
  <c r="P15839" i="1"/>
  <c r="A15840" i="1"/>
  <c r="P15840" i="1"/>
  <c r="A15841" i="1"/>
  <c r="P15841" i="1"/>
  <c r="A15842" i="1"/>
  <c r="P15842" i="1"/>
  <c r="A15843" i="1"/>
  <c r="P15843" i="1"/>
  <c r="A15844" i="1"/>
  <c r="P15844" i="1"/>
  <c r="A15845" i="1"/>
  <c r="P15845" i="1"/>
  <c r="A15846" i="1"/>
  <c r="P15846" i="1"/>
  <c r="A15847" i="1"/>
  <c r="P15847" i="1"/>
  <c r="A15848" i="1"/>
  <c r="P15848" i="1"/>
  <c r="A15849" i="1"/>
  <c r="P15849" i="1"/>
  <c r="A15850" i="1"/>
  <c r="P15850" i="1"/>
  <c r="A15851" i="1"/>
  <c r="P15851" i="1"/>
  <c r="A15852" i="1"/>
  <c r="P15852" i="1"/>
  <c r="A15853" i="1"/>
  <c r="P15853" i="1"/>
  <c r="A15854" i="1"/>
  <c r="P15854" i="1"/>
  <c r="A15855" i="1"/>
  <c r="P15855" i="1"/>
  <c r="A15856" i="1"/>
  <c r="P15856" i="1"/>
  <c r="A15857" i="1"/>
  <c r="P15857" i="1"/>
  <c r="A15858" i="1"/>
  <c r="P15858" i="1"/>
  <c r="A15859" i="1"/>
  <c r="P15859" i="1"/>
  <c r="A15860" i="1"/>
  <c r="P15860" i="1"/>
  <c r="A15861" i="1"/>
  <c r="P15861" i="1"/>
  <c r="A15862" i="1"/>
  <c r="P15862" i="1"/>
  <c r="A15863" i="1"/>
  <c r="P15863" i="1"/>
  <c r="A15864" i="1"/>
  <c r="P15864" i="1"/>
  <c r="A15865" i="1"/>
  <c r="P15865" i="1"/>
  <c r="A15866" i="1"/>
  <c r="P15866" i="1"/>
  <c r="A15867" i="1"/>
  <c r="P15867" i="1"/>
  <c r="A15868" i="1"/>
  <c r="P15868" i="1"/>
  <c r="A15869" i="1"/>
  <c r="P15869" i="1"/>
  <c r="A15870" i="1"/>
  <c r="P15870" i="1"/>
  <c r="A15871" i="1"/>
  <c r="P15871" i="1"/>
  <c r="A15872" i="1"/>
  <c r="P15872" i="1"/>
  <c r="A15873" i="1"/>
  <c r="P15873" i="1"/>
  <c r="A15874" i="1"/>
  <c r="P15874" i="1"/>
  <c r="A15875" i="1"/>
  <c r="P15875" i="1"/>
  <c r="A15876" i="1"/>
  <c r="P15876" i="1"/>
  <c r="A15877" i="1"/>
  <c r="P15877" i="1"/>
  <c r="A15878" i="1"/>
  <c r="P15878" i="1"/>
  <c r="A15879" i="1"/>
  <c r="P15879" i="1"/>
  <c r="A15880" i="1"/>
  <c r="P15880" i="1"/>
  <c r="A15881" i="1"/>
  <c r="P15881" i="1"/>
  <c r="A15882" i="1"/>
  <c r="P15882" i="1"/>
  <c r="A15883" i="1"/>
  <c r="P15883" i="1"/>
  <c r="A15884" i="1"/>
  <c r="P15884" i="1"/>
  <c r="A15885" i="1"/>
  <c r="P15885" i="1"/>
  <c r="A15886" i="1"/>
  <c r="P15886" i="1"/>
  <c r="A15887" i="1"/>
  <c r="P15887" i="1"/>
  <c r="A15888" i="1"/>
  <c r="P15888" i="1"/>
  <c r="A15889" i="1"/>
  <c r="P15889" i="1"/>
  <c r="A15890" i="1"/>
  <c r="P15890" i="1"/>
  <c r="A15891" i="1"/>
  <c r="P15891" i="1"/>
  <c r="A15892" i="1"/>
  <c r="P15892" i="1"/>
  <c r="A15893" i="1"/>
  <c r="P15893" i="1"/>
  <c r="A15894" i="1"/>
  <c r="P15894" i="1"/>
  <c r="A15895" i="1"/>
  <c r="P15895" i="1"/>
  <c r="A15896" i="1"/>
  <c r="P15896" i="1"/>
  <c r="A15897" i="1"/>
  <c r="P15897" i="1"/>
  <c r="A15898" i="1"/>
  <c r="P15898" i="1"/>
  <c r="A15899" i="1"/>
  <c r="P15899" i="1"/>
  <c r="A15900" i="1"/>
  <c r="P15900" i="1"/>
  <c r="A15901" i="1"/>
  <c r="P15901" i="1"/>
  <c r="A15902" i="1"/>
  <c r="P15902" i="1"/>
  <c r="A15903" i="1"/>
  <c r="P15903" i="1"/>
  <c r="A15904" i="1"/>
  <c r="P15904" i="1"/>
  <c r="A15905" i="1"/>
  <c r="P15905" i="1"/>
  <c r="A15906" i="1"/>
  <c r="P15906" i="1"/>
  <c r="A15907" i="1"/>
  <c r="P15907" i="1"/>
  <c r="A15908" i="1"/>
  <c r="P15908" i="1"/>
  <c r="A15909" i="1"/>
  <c r="P15909" i="1"/>
  <c r="A15910" i="1"/>
  <c r="P15910" i="1"/>
  <c r="A15911" i="1"/>
  <c r="P15911" i="1"/>
  <c r="A15912" i="1"/>
  <c r="P15912" i="1"/>
  <c r="A15913" i="1"/>
  <c r="P15913" i="1"/>
  <c r="A15914" i="1"/>
  <c r="P15914" i="1"/>
  <c r="A15915" i="1"/>
  <c r="P15915" i="1"/>
  <c r="A15916" i="1"/>
  <c r="P15916" i="1"/>
  <c r="A15917" i="1"/>
  <c r="P15917" i="1"/>
  <c r="A15918" i="1"/>
  <c r="P15918" i="1"/>
  <c r="A15919" i="1"/>
  <c r="P15919" i="1"/>
  <c r="A15920" i="1"/>
  <c r="P15920" i="1"/>
  <c r="A15921" i="1"/>
  <c r="P15921" i="1"/>
  <c r="A15922" i="1"/>
  <c r="P15922" i="1"/>
  <c r="A15923" i="1"/>
  <c r="P15923" i="1"/>
  <c r="A15924" i="1"/>
  <c r="P15924" i="1"/>
  <c r="A15925" i="1"/>
  <c r="P15925" i="1"/>
  <c r="A15926" i="1"/>
  <c r="P15926" i="1"/>
  <c r="A15927" i="1"/>
  <c r="P15927" i="1"/>
  <c r="A15928" i="1"/>
  <c r="P15928" i="1"/>
  <c r="A15929" i="1"/>
  <c r="P15929" i="1"/>
  <c r="A15930" i="1"/>
  <c r="P15930" i="1"/>
  <c r="A15931" i="1"/>
  <c r="P15931" i="1"/>
  <c r="A15932" i="1"/>
  <c r="P15932" i="1"/>
  <c r="A15933" i="1"/>
  <c r="P15933" i="1"/>
  <c r="A15934" i="1"/>
  <c r="P15934" i="1"/>
  <c r="A15935" i="1"/>
  <c r="P15935" i="1"/>
  <c r="A15936" i="1"/>
  <c r="P15936" i="1"/>
  <c r="A15937" i="1"/>
  <c r="P15937" i="1"/>
  <c r="A15938" i="1"/>
  <c r="P15938" i="1"/>
  <c r="A15939" i="1"/>
  <c r="P15939" i="1"/>
  <c r="A15940" i="1"/>
  <c r="P15940" i="1"/>
  <c r="A15941" i="1"/>
  <c r="P15941" i="1"/>
  <c r="A15942" i="1"/>
  <c r="P15942" i="1"/>
  <c r="A15943" i="1"/>
  <c r="P15943" i="1"/>
  <c r="A15944" i="1"/>
  <c r="P15944" i="1"/>
  <c r="A15945" i="1"/>
  <c r="P15945" i="1"/>
  <c r="A15946" i="1"/>
  <c r="P15946" i="1"/>
  <c r="A15947" i="1"/>
  <c r="P15947" i="1"/>
  <c r="A15948" i="1"/>
  <c r="P15948" i="1"/>
  <c r="A15949" i="1"/>
  <c r="P15949" i="1"/>
  <c r="A15950" i="1"/>
  <c r="P15950" i="1"/>
  <c r="A15951" i="1"/>
  <c r="P15951" i="1"/>
  <c r="A15952" i="1"/>
  <c r="P15952" i="1"/>
  <c r="A15953" i="1"/>
  <c r="P15953" i="1"/>
  <c r="A15954" i="1"/>
  <c r="P15954" i="1"/>
  <c r="A15955" i="1"/>
  <c r="P15955" i="1"/>
  <c r="A15956" i="1"/>
  <c r="P15956" i="1"/>
  <c r="A15957" i="1"/>
  <c r="P15957" i="1"/>
  <c r="A15958" i="1"/>
  <c r="P15958" i="1"/>
  <c r="A15959" i="1"/>
  <c r="P15959" i="1"/>
  <c r="A15960" i="1"/>
  <c r="P15960" i="1"/>
  <c r="A15961" i="1"/>
  <c r="P15961" i="1"/>
  <c r="A15962" i="1"/>
  <c r="P15962" i="1"/>
  <c r="A15963" i="1"/>
  <c r="P15963" i="1"/>
  <c r="A15964" i="1"/>
  <c r="P15964" i="1"/>
  <c r="A15965" i="1"/>
  <c r="P15965" i="1"/>
  <c r="A15966" i="1"/>
  <c r="P15966" i="1"/>
  <c r="A15967" i="1"/>
  <c r="P15967" i="1"/>
  <c r="A15968" i="1"/>
  <c r="P15968" i="1"/>
  <c r="A15969" i="1"/>
  <c r="P15969" i="1"/>
  <c r="A15970" i="1"/>
  <c r="P15970" i="1"/>
  <c r="A15971" i="1"/>
  <c r="P15971" i="1"/>
  <c r="A15972" i="1"/>
  <c r="P15972" i="1"/>
  <c r="A15973" i="1"/>
  <c r="P15973" i="1"/>
  <c r="A15974" i="1"/>
  <c r="P15974" i="1"/>
  <c r="A15975" i="1"/>
  <c r="P15975" i="1"/>
  <c r="A15976" i="1"/>
  <c r="P15976" i="1"/>
  <c r="A15977" i="1"/>
  <c r="P15977" i="1"/>
  <c r="A15978" i="1"/>
  <c r="P15978" i="1"/>
  <c r="A15979" i="1"/>
  <c r="P15979" i="1"/>
  <c r="A15980" i="1"/>
  <c r="P15980" i="1"/>
  <c r="A15981" i="1"/>
  <c r="P15981" i="1"/>
  <c r="A15982" i="1"/>
  <c r="P15982" i="1"/>
  <c r="A15983" i="1"/>
  <c r="P15983" i="1"/>
  <c r="A15984" i="1"/>
  <c r="P15984" i="1"/>
  <c r="A15985" i="1"/>
  <c r="P15985" i="1"/>
  <c r="A15986" i="1"/>
  <c r="P15986" i="1"/>
  <c r="A15987" i="1"/>
  <c r="P15987" i="1"/>
  <c r="A15988" i="1"/>
  <c r="P15988" i="1"/>
  <c r="A15989" i="1"/>
  <c r="P15989" i="1"/>
  <c r="A15990" i="1"/>
  <c r="P15990" i="1"/>
  <c r="A15991" i="1"/>
  <c r="P15991" i="1"/>
  <c r="A15992" i="1"/>
  <c r="P15992" i="1"/>
  <c r="A15993" i="1"/>
  <c r="P15993" i="1"/>
  <c r="A15994" i="1"/>
  <c r="P15994" i="1"/>
  <c r="A15995" i="1"/>
  <c r="P15995" i="1"/>
  <c r="A15996" i="1"/>
  <c r="P15996" i="1"/>
  <c r="A15997" i="1"/>
  <c r="P15997" i="1"/>
  <c r="A15998" i="1"/>
  <c r="P15998" i="1"/>
  <c r="A15999" i="1"/>
  <c r="P15999" i="1"/>
  <c r="A16000" i="1"/>
  <c r="P16000" i="1"/>
  <c r="A16001" i="1"/>
  <c r="P16001" i="1"/>
  <c r="A16002" i="1"/>
  <c r="P16002" i="1"/>
  <c r="A16003" i="1"/>
  <c r="P16003" i="1"/>
  <c r="A16004" i="1"/>
  <c r="P16004" i="1"/>
  <c r="A16005" i="1"/>
  <c r="P16005" i="1"/>
  <c r="A16006" i="1"/>
  <c r="P16006" i="1"/>
  <c r="A16007" i="1"/>
  <c r="P16007" i="1"/>
  <c r="A16008" i="1"/>
  <c r="P16008" i="1"/>
  <c r="A16009" i="1"/>
  <c r="P16009" i="1"/>
  <c r="A16010" i="1"/>
  <c r="P16010" i="1"/>
  <c r="A16011" i="1"/>
  <c r="P16011" i="1"/>
  <c r="A16012" i="1"/>
  <c r="P16012" i="1"/>
  <c r="A16013" i="1"/>
  <c r="P16013" i="1"/>
  <c r="A16014" i="1"/>
  <c r="P16014" i="1"/>
  <c r="A16015" i="1"/>
  <c r="P16015" i="1"/>
  <c r="A16016" i="1"/>
  <c r="P16016" i="1"/>
  <c r="A16017" i="1"/>
  <c r="P16017" i="1"/>
  <c r="A16018" i="1"/>
  <c r="P16018" i="1"/>
  <c r="A16019" i="1"/>
  <c r="P16019" i="1"/>
  <c r="A16020" i="1"/>
  <c r="P16020" i="1"/>
  <c r="A16021" i="1"/>
  <c r="P16021" i="1"/>
  <c r="A16022" i="1"/>
  <c r="P16022" i="1"/>
  <c r="A16023" i="1"/>
  <c r="P16023" i="1"/>
  <c r="A16024" i="1"/>
  <c r="P16024" i="1"/>
  <c r="A16025" i="1"/>
  <c r="P16025" i="1"/>
  <c r="A16026" i="1"/>
  <c r="P16026" i="1"/>
  <c r="A16027" i="1"/>
  <c r="P16027" i="1"/>
  <c r="A16028" i="1"/>
  <c r="P16028" i="1"/>
  <c r="A16029" i="1"/>
  <c r="P16029" i="1"/>
  <c r="A16030" i="1"/>
  <c r="P16030" i="1"/>
  <c r="A16031" i="1"/>
  <c r="P16031" i="1"/>
  <c r="A16032" i="1"/>
  <c r="P16032" i="1"/>
  <c r="A16033" i="1"/>
  <c r="P16033" i="1"/>
  <c r="A16034" i="1"/>
  <c r="P16034" i="1"/>
  <c r="A16035" i="1"/>
  <c r="P16035" i="1"/>
  <c r="A16036" i="1"/>
  <c r="P16036" i="1"/>
  <c r="A16037" i="1"/>
  <c r="P16037" i="1"/>
  <c r="A16038" i="1"/>
  <c r="P16038" i="1"/>
  <c r="A16039" i="1"/>
  <c r="P16039" i="1"/>
  <c r="A16040" i="1"/>
  <c r="P16040" i="1"/>
  <c r="A16041" i="1"/>
  <c r="P16041" i="1"/>
  <c r="A16042" i="1"/>
  <c r="P16042" i="1"/>
  <c r="A16043" i="1"/>
  <c r="P16043" i="1"/>
  <c r="A16044" i="1"/>
  <c r="P16044" i="1"/>
  <c r="A16045" i="1"/>
  <c r="P16045" i="1"/>
  <c r="A16046" i="1"/>
  <c r="P16046" i="1"/>
  <c r="A16047" i="1"/>
  <c r="P16047" i="1"/>
  <c r="A16048" i="1"/>
  <c r="P16048" i="1"/>
  <c r="A16049" i="1"/>
  <c r="P16049" i="1"/>
  <c r="A16050" i="1"/>
  <c r="P16050" i="1"/>
  <c r="A16051" i="1"/>
  <c r="P16051" i="1"/>
  <c r="A16052" i="1"/>
  <c r="P16052" i="1"/>
  <c r="A16053" i="1"/>
  <c r="P16053" i="1"/>
  <c r="A16054" i="1"/>
  <c r="P16054" i="1"/>
  <c r="A16055" i="1"/>
  <c r="P16055" i="1"/>
  <c r="A16056" i="1"/>
  <c r="P16056" i="1"/>
  <c r="A16057" i="1"/>
  <c r="P16057" i="1"/>
  <c r="A16058" i="1"/>
  <c r="P16058" i="1"/>
  <c r="A16059" i="1"/>
  <c r="P16059" i="1"/>
  <c r="A16060" i="1"/>
  <c r="P16060" i="1"/>
  <c r="A16061" i="1"/>
  <c r="P16061" i="1"/>
  <c r="A16062" i="1"/>
  <c r="P16062" i="1"/>
  <c r="A16063" i="1"/>
  <c r="P16063" i="1"/>
  <c r="A16064" i="1"/>
  <c r="P16064" i="1"/>
  <c r="A16065" i="1"/>
  <c r="P16065" i="1"/>
  <c r="A16066" i="1"/>
  <c r="P16066" i="1"/>
  <c r="A16067" i="1"/>
  <c r="P16067" i="1"/>
  <c r="A16068" i="1"/>
  <c r="P16068" i="1"/>
  <c r="A16069" i="1"/>
  <c r="P16069" i="1"/>
  <c r="A16070" i="1"/>
  <c r="P16070" i="1"/>
  <c r="A16071" i="1"/>
  <c r="P16071" i="1"/>
  <c r="A16072" i="1"/>
  <c r="P16072" i="1"/>
  <c r="A16073" i="1"/>
  <c r="P16073" i="1"/>
  <c r="A16074" i="1"/>
  <c r="P16074" i="1"/>
  <c r="A16075" i="1"/>
  <c r="P16075" i="1"/>
  <c r="A16076" i="1"/>
  <c r="P16076" i="1"/>
  <c r="A16077" i="1"/>
  <c r="P16077" i="1"/>
  <c r="A16078" i="1"/>
  <c r="P16078" i="1"/>
  <c r="A16079" i="1"/>
  <c r="P16079" i="1"/>
  <c r="A16080" i="1"/>
  <c r="P16080" i="1"/>
  <c r="A16081" i="1"/>
  <c r="P16081" i="1"/>
  <c r="A16082" i="1"/>
  <c r="P16082" i="1"/>
  <c r="A16083" i="1"/>
  <c r="P16083" i="1"/>
  <c r="A16084" i="1"/>
  <c r="P16084" i="1"/>
  <c r="A16085" i="1"/>
  <c r="P16085" i="1"/>
  <c r="A16086" i="1"/>
  <c r="P16086" i="1"/>
  <c r="A16087" i="1"/>
  <c r="P16087" i="1"/>
  <c r="A16088" i="1"/>
  <c r="P16088" i="1"/>
  <c r="A16089" i="1"/>
  <c r="P16089" i="1"/>
  <c r="A16090" i="1"/>
  <c r="P16090" i="1"/>
  <c r="A16091" i="1"/>
  <c r="P16091" i="1"/>
  <c r="A16092" i="1"/>
  <c r="P16092" i="1"/>
  <c r="A16093" i="1"/>
  <c r="P16093" i="1"/>
  <c r="A16094" i="1"/>
  <c r="P16094" i="1"/>
  <c r="A16095" i="1"/>
  <c r="P16095" i="1"/>
  <c r="A16096" i="1"/>
  <c r="P16096" i="1"/>
  <c r="A16097" i="1"/>
  <c r="P16097" i="1"/>
  <c r="A16098" i="1"/>
  <c r="P16098" i="1"/>
  <c r="A16099" i="1"/>
  <c r="P16099" i="1"/>
  <c r="A16100" i="1"/>
  <c r="P16100" i="1"/>
  <c r="A16101" i="1"/>
  <c r="P16101" i="1"/>
  <c r="A16102" i="1"/>
  <c r="P16102" i="1"/>
  <c r="A16103" i="1"/>
  <c r="P16103" i="1"/>
  <c r="A16104" i="1"/>
  <c r="P16104" i="1"/>
  <c r="A16105" i="1"/>
  <c r="P16105" i="1"/>
  <c r="A16106" i="1"/>
  <c r="P16106" i="1"/>
  <c r="A16107" i="1"/>
  <c r="P16107" i="1"/>
  <c r="A16108" i="1"/>
  <c r="P16108" i="1"/>
  <c r="A16109" i="1"/>
  <c r="P16109" i="1"/>
  <c r="A16110" i="1"/>
  <c r="P16110" i="1"/>
  <c r="A16111" i="1"/>
  <c r="P16111" i="1"/>
  <c r="A16112" i="1"/>
  <c r="P16112" i="1"/>
  <c r="A16113" i="1"/>
  <c r="P16113" i="1"/>
  <c r="A16114" i="1"/>
  <c r="P16114" i="1"/>
  <c r="A16115" i="1"/>
  <c r="P16115" i="1"/>
  <c r="A16116" i="1"/>
  <c r="P16116" i="1"/>
  <c r="A16117" i="1"/>
  <c r="P16117" i="1"/>
  <c r="A16118" i="1"/>
  <c r="P16118" i="1"/>
  <c r="A16119" i="1"/>
  <c r="P16119" i="1"/>
  <c r="A16120" i="1"/>
  <c r="P16120" i="1"/>
  <c r="A16121" i="1"/>
  <c r="P16121" i="1"/>
  <c r="A16122" i="1"/>
  <c r="P16122" i="1"/>
  <c r="A16123" i="1"/>
  <c r="P16123" i="1"/>
  <c r="A16124" i="1"/>
  <c r="P16124" i="1"/>
  <c r="A16125" i="1"/>
  <c r="P16125" i="1"/>
  <c r="A16126" i="1"/>
  <c r="P16126" i="1"/>
  <c r="A16127" i="1"/>
  <c r="P16127" i="1"/>
  <c r="A16128" i="1"/>
  <c r="P16128" i="1"/>
  <c r="A16129" i="1"/>
  <c r="P16129" i="1"/>
  <c r="A16130" i="1"/>
  <c r="P16130" i="1"/>
  <c r="A16131" i="1"/>
  <c r="P16131" i="1"/>
  <c r="A16132" i="1"/>
  <c r="P16132" i="1"/>
  <c r="A16133" i="1"/>
  <c r="P16133" i="1"/>
  <c r="A16134" i="1"/>
  <c r="P16134" i="1"/>
  <c r="A16135" i="1"/>
  <c r="P16135" i="1"/>
  <c r="A16136" i="1"/>
  <c r="P16136" i="1"/>
  <c r="A16137" i="1"/>
  <c r="P16137" i="1"/>
  <c r="A16138" i="1"/>
  <c r="P16138" i="1"/>
  <c r="A16139" i="1"/>
  <c r="P16139" i="1"/>
  <c r="A16140" i="1"/>
  <c r="P16140" i="1"/>
  <c r="A16141" i="1"/>
  <c r="P16141" i="1"/>
  <c r="A16142" i="1"/>
  <c r="P16142" i="1"/>
  <c r="A16143" i="1"/>
  <c r="P16143" i="1"/>
  <c r="A16144" i="1"/>
  <c r="P16144" i="1"/>
  <c r="A16145" i="1"/>
  <c r="P16145" i="1"/>
  <c r="A16146" i="1"/>
  <c r="P16146" i="1"/>
  <c r="A16147" i="1"/>
  <c r="P16147" i="1"/>
  <c r="A16148" i="1"/>
  <c r="P16148" i="1"/>
  <c r="A16149" i="1"/>
  <c r="P16149" i="1"/>
  <c r="A16150" i="1"/>
  <c r="P16150" i="1"/>
  <c r="A16151" i="1"/>
  <c r="P16151" i="1"/>
  <c r="A16152" i="1"/>
  <c r="P16152" i="1"/>
  <c r="A16153" i="1"/>
  <c r="P16153" i="1"/>
  <c r="A16154" i="1"/>
  <c r="P16154" i="1"/>
  <c r="A16155" i="1"/>
  <c r="P16155" i="1"/>
  <c r="A16156" i="1"/>
  <c r="P16156" i="1"/>
  <c r="A16157" i="1"/>
  <c r="P16157" i="1"/>
  <c r="A16158" i="1"/>
  <c r="P16158" i="1"/>
  <c r="A16159" i="1"/>
  <c r="P16159" i="1"/>
  <c r="A16160" i="1"/>
  <c r="P16160" i="1"/>
  <c r="A16161" i="1"/>
  <c r="P16161" i="1"/>
  <c r="A16162" i="1"/>
  <c r="P16162" i="1"/>
  <c r="A16163" i="1"/>
  <c r="P16163" i="1"/>
  <c r="A16164" i="1"/>
  <c r="P16164" i="1"/>
  <c r="A16165" i="1"/>
  <c r="P16165" i="1"/>
  <c r="A16166" i="1"/>
  <c r="P16166" i="1"/>
  <c r="A16167" i="1"/>
  <c r="P16167" i="1"/>
  <c r="A16168" i="1"/>
  <c r="P16168" i="1"/>
  <c r="A16169" i="1"/>
  <c r="P16169" i="1"/>
  <c r="A16170" i="1"/>
  <c r="P16170" i="1"/>
  <c r="A16171" i="1"/>
  <c r="P16171" i="1"/>
  <c r="A16172" i="1"/>
  <c r="P16172" i="1"/>
  <c r="A16173" i="1"/>
  <c r="P16173" i="1"/>
  <c r="A16174" i="1"/>
  <c r="P16174" i="1"/>
  <c r="A16175" i="1"/>
  <c r="P16175" i="1"/>
  <c r="A16176" i="1"/>
  <c r="P16176" i="1"/>
  <c r="A16177" i="1"/>
  <c r="P16177" i="1"/>
  <c r="A16178" i="1"/>
  <c r="P16178" i="1"/>
  <c r="A16179" i="1"/>
  <c r="P16179" i="1"/>
  <c r="A16180" i="1"/>
  <c r="P16180" i="1"/>
  <c r="A16181" i="1"/>
  <c r="P16181" i="1"/>
  <c r="A16182" i="1"/>
  <c r="P16182" i="1"/>
  <c r="A16183" i="1"/>
  <c r="P16183" i="1"/>
  <c r="A16184" i="1"/>
  <c r="P16184" i="1"/>
  <c r="A16185" i="1"/>
  <c r="P16185" i="1"/>
  <c r="A16186" i="1"/>
  <c r="P16186" i="1"/>
  <c r="A16187" i="1"/>
  <c r="P16187" i="1"/>
  <c r="A16188" i="1"/>
  <c r="P16188" i="1"/>
  <c r="A16189" i="1"/>
  <c r="P16189" i="1"/>
  <c r="A16190" i="1"/>
  <c r="P16190" i="1"/>
  <c r="A16191" i="1"/>
  <c r="P16191" i="1"/>
  <c r="A16192" i="1"/>
  <c r="P16192" i="1"/>
  <c r="A16193" i="1"/>
  <c r="P16193" i="1"/>
  <c r="A16194" i="1"/>
  <c r="P16194" i="1"/>
  <c r="A16195" i="1"/>
  <c r="P16195" i="1"/>
  <c r="A16196" i="1"/>
  <c r="P16196" i="1"/>
  <c r="A16197" i="1"/>
  <c r="P16197" i="1"/>
  <c r="A16198" i="1"/>
  <c r="P16198" i="1"/>
  <c r="A16199" i="1"/>
  <c r="P16199" i="1"/>
  <c r="A16200" i="1"/>
  <c r="P16200" i="1"/>
  <c r="A16201" i="1"/>
  <c r="P16201" i="1"/>
  <c r="A16202" i="1"/>
  <c r="P16202" i="1"/>
  <c r="A16203" i="1"/>
  <c r="P16203" i="1"/>
  <c r="A16204" i="1"/>
  <c r="P16204" i="1"/>
  <c r="A16205" i="1"/>
  <c r="P16205" i="1"/>
  <c r="A16206" i="1"/>
  <c r="P16206" i="1"/>
  <c r="A16207" i="1"/>
  <c r="P16207" i="1"/>
  <c r="A16208" i="1"/>
  <c r="P16208" i="1"/>
  <c r="A16209" i="1"/>
  <c r="P16209" i="1"/>
  <c r="A16210" i="1"/>
  <c r="P16210" i="1"/>
  <c r="A16211" i="1"/>
  <c r="P16211" i="1"/>
  <c r="A16212" i="1"/>
  <c r="P16212" i="1"/>
  <c r="A16213" i="1"/>
  <c r="P16213" i="1"/>
  <c r="A16214" i="1"/>
  <c r="P16214" i="1"/>
  <c r="A16215" i="1"/>
  <c r="P16215" i="1"/>
  <c r="A16216" i="1"/>
  <c r="P16216" i="1"/>
  <c r="A16217" i="1"/>
  <c r="P16217" i="1"/>
  <c r="A16218" i="1"/>
  <c r="P16218" i="1"/>
  <c r="A16219" i="1"/>
  <c r="P16219" i="1"/>
  <c r="A16220" i="1"/>
  <c r="P16220" i="1"/>
  <c r="A16221" i="1"/>
  <c r="P16221" i="1"/>
  <c r="A16222" i="1"/>
  <c r="P16222" i="1"/>
  <c r="A16223" i="1"/>
  <c r="P16223" i="1"/>
  <c r="A16224" i="1"/>
  <c r="P16224" i="1"/>
  <c r="A16225" i="1"/>
  <c r="P16225" i="1"/>
  <c r="A16226" i="1"/>
  <c r="P16226" i="1"/>
  <c r="A16227" i="1"/>
  <c r="P16227" i="1"/>
  <c r="A16228" i="1"/>
  <c r="P16228" i="1"/>
  <c r="A16229" i="1"/>
  <c r="P16229" i="1"/>
  <c r="A16230" i="1"/>
  <c r="P16230" i="1"/>
  <c r="A16231" i="1"/>
  <c r="P16231" i="1"/>
  <c r="A16232" i="1"/>
  <c r="P16232" i="1"/>
  <c r="A16233" i="1"/>
  <c r="P16233" i="1"/>
  <c r="A16234" i="1"/>
  <c r="P16234" i="1"/>
  <c r="A16235" i="1"/>
  <c r="P16235" i="1"/>
  <c r="A16236" i="1"/>
  <c r="P16236" i="1"/>
  <c r="A16237" i="1"/>
  <c r="P16237" i="1"/>
  <c r="A16238" i="1"/>
  <c r="P16238" i="1"/>
  <c r="A16239" i="1"/>
  <c r="P16239" i="1"/>
  <c r="A16240" i="1"/>
  <c r="P16240" i="1"/>
  <c r="A16241" i="1"/>
  <c r="P16241" i="1"/>
  <c r="A16242" i="1"/>
  <c r="P16242" i="1"/>
  <c r="A16243" i="1"/>
  <c r="P16243" i="1"/>
  <c r="A16244" i="1"/>
  <c r="P16244" i="1"/>
  <c r="A16245" i="1"/>
  <c r="P16245" i="1"/>
  <c r="A16246" i="1"/>
  <c r="P16246" i="1"/>
  <c r="A16247" i="1"/>
  <c r="P16247" i="1"/>
  <c r="A16248" i="1"/>
  <c r="P16248" i="1"/>
  <c r="A16249" i="1"/>
  <c r="P16249" i="1"/>
  <c r="A16250" i="1"/>
  <c r="P16250" i="1"/>
  <c r="A16251" i="1"/>
  <c r="P16251" i="1"/>
  <c r="A16252" i="1"/>
  <c r="P16252" i="1"/>
  <c r="A16253" i="1"/>
  <c r="P16253" i="1"/>
  <c r="A16254" i="1"/>
  <c r="P16254" i="1"/>
  <c r="A16255" i="1"/>
  <c r="P16255" i="1"/>
  <c r="A16256" i="1"/>
  <c r="P16256" i="1"/>
  <c r="A16257" i="1"/>
  <c r="P16257" i="1"/>
  <c r="A16258" i="1"/>
  <c r="P16258" i="1"/>
  <c r="A16259" i="1"/>
  <c r="P16259" i="1"/>
  <c r="A16260" i="1"/>
  <c r="P16260" i="1"/>
  <c r="A16261" i="1"/>
  <c r="P16261" i="1"/>
  <c r="A16262" i="1"/>
  <c r="P16262" i="1"/>
  <c r="A16263" i="1"/>
  <c r="P16263" i="1"/>
  <c r="A16264" i="1"/>
  <c r="P16264" i="1"/>
  <c r="A16265" i="1"/>
  <c r="P16265" i="1"/>
  <c r="A16266" i="1"/>
  <c r="P16266" i="1"/>
  <c r="A16267" i="1"/>
  <c r="P16267" i="1"/>
  <c r="A16268" i="1"/>
  <c r="P16268" i="1"/>
  <c r="A16269" i="1"/>
  <c r="P16269" i="1"/>
  <c r="A16270" i="1"/>
  <c r="P16270" i="1"/>
  <c r="A16271" i="1"/>
  <c r="P16271" i="1"/>
  <c r="A16272" i="1"/>
  <c r="P16272" i="1"/>
  <c r="A16273" i="1"/>
  <c r="P16273" i="1"/>
  <c r="A16274" i="1"/>
  <c r="P16274" i="1"/>
  <c r="A16275" i="1"/>
  <c r="P16275" i="1"/>
  <c r="A16276" i="1"/>
  <c r="P16276" i="1"/>
  <c r="A16277" i="1"/>
  <c r="P16277" i="1"/>
  <c r="A16278" i="1"/>
  <c r="P16278" i="1"/>
  <c r="A16279" i="1"/>
  <c r="P16279" i="1"/>
  <c r="A16280" i="1"/>
  <c r="P16280" i="1"/>
  <c r="A16281" i="1"/>
  <c r="P16281" i="1"/>
  <c r="A16282" i="1"/>
  <c r="P16282" i="1"/>
  <c r="A16283" i="1"/>
  <c r="P16283" i="1"/>
  <c r="A16284" i="1"/>
  <c r="P16284" i="1"/>
  <c r="A16285" i="1"/>
  <c r="P16285" i="1"/>
  <c r="A16286" i="1"/>
  <c r="P16286" i="1"/>
  <c r="A16287" i="1"/>
  <c r="P16287" i="1"/>
  <c r="A16288" i="1"/>
  <c r="P16288" i="1"/>
  <c r="A16289" i="1"/>
  <c r="P16289" i="1"/>
  <c r="A16290" i="1"/>
  <c r="P16290" i="1"/>
  <c r="A16291" i="1"/>
  <c r="P16291" i="1"/>
  <c r="A16292" i="1"/>
  <c r="P16292" i="1"/>
  <c r="A16293" i="1"/>
  <c r="P16293" i="1"/>
  <c r="A16294" i="1"/>
  <c r="P16294" i="1"/>
  <c r="A16295" i="1"/>
  <c r="P16295" i="1"/>
  <c r="A16296" i="1"/>
  <c r="P16296" i="1"/>
  <c r="A16297" i="1"/>
  <c r="P16297" i="1"/>
  <c r="A16298" i="1"/>
  <c r="P16298" i="1"/>
  <c r="A16299" i="1"/>
  <c r="P16299" i="1"/>
  <c r="A16300" i="1"/>
  <c r="P16300" i="1"/>
  <c r="A16301" i="1"/>
  <c r="P16301" i="1"/>
  <c r="A16302" i="1"/>
  <c r="P16302" i="1"/>
  <c r="A16303" i="1"/>
  <c r="P16303" i="1"/>
  <c r="A16304" i="1"/>
  <c r="P16304" i="1"/>
  <c r="A16305" i="1"/>
  <c r="P16305" i="1"/>
  <c r="A16306" i="1"/>
  <c r="P16306" i="1"/>
  <c r="A16307" i="1"/>
  <c r="P16307" i="1"/>
  <c r="A16308" i="1"/>
  <c r="P16308" i="1"/>
  <c r="A16309" i="1"/>
  <c r="P16309" i="1"/>
  <c r="A16310" i="1"/>
  <c r="P16310" i="1"/>
  <c r="A16311" i="1"/>
  <c r="P16311" i="1"/>
  <c r="A16312" i="1"/>
  <c r="P16312" i="1"/>
  <c r="A16313" i="1"/>
  <c r="P16313" i="1"/>
  <c r="A16314" i="1"/>
  <c r="P16314" i="1"/>
  <c r="A16315" i="1"/>
  <c r="P16315" i="1"/>
  <c r="A16316" i="1"/>
  <c r="P16316" i="1"/>
  <c r="A16317" i="1"/>
  <c r="P16317" i="1"/>
  <c r="A16318" i="1"/>
  <c r="P16318" i="1"/>
  <c r="A16319" i="1"/>
  <c r="P16319" i="1"/>
  <c r="A16320" i="1"/>
  <c r="P16320" i="1"/>
  <c r="A16321" i="1"/>
  <c r="P16321" i="1"/>
  <c r="A16322" i="1"/>
  <c r="P16322" i="1"/>
  <c r="A16323" i="1"/>
  <c r="P16323" i="1"/>
  <c r="A16324" i="1"/>
  <c r="P16324" i="1"/>
  <c r="A16325" i="1"/>
  <c r="P16325" i="1"/>
  <c r="A16326" i="1"/>
  <c r="P16326" i="1"/>
  <c r="A16327" i="1"/>
  <c r="P16327" i="1"/>
  <c r="A16328" i="1"/>
  <c r="P16328" i="1"/>
  <c r="A16329" i="1"/>
  <c r="P16329" i="1"/>
  <c r="A16330" i="1"/>
  <c r="P16330" i="1"/>
  <c r="A16331" i="1"/>
  <c r="P16331" i="1"/>
  <c r="A16332" i="1"/>
  <c r="P16332" i="1"/>
  <c r="A16333" i="1"/>
  <c r="P16333" i="1"/>
  <c r="A16334" i="1"/>
  <c r="P16334" i="1"/>
  <c r="A16335" i="1"/>
  <c r="P16335" i="1"/>
  <c r="A16336" i="1"/>
  <c r="P16336" i="1"/>
  <c r="A16337" i="1"/>
  <c r="P16337" i="1"/>
  <c r="A16338" i="1"/>
  <c r="P16338" i="1"/>
  <c r="A16339" i="1"/>
  <c r="P16339" i="1"/>
  <c r="A16340" i="1"/>
  <c r="P16340" i="1"/>
  <c r="A16341" i="1"/>
  <c r="P16341" i="1"/>
  <c r="A16342" i="1"/>
  <c r="P16342" i="1"/>
  <c r="A16343" i="1"/>
  <c r="P16343" i="1"/>
  <c r="A16344" i="1"/>
  <c r="P16344" i="1"/>
  <c r="A16345" i="1"/>
  <c r="P16345" i="1"/>
  <c r="A16346" i="1"/>
  <c r="P16346" i="1"/>
  <c r="A16347" i="1"/>
  <c r="P16347" i="1"/>
  <c r="A16348" i="1"/>
  <c r="P16348" i="1"/>
  <c r="A16349" i="1"/>
  <c r="P16349" i="1"/>
  <c r="A16350" i="1"/>
  <c r="P16350" i="1"/>
  <c r="A16351" i="1"/>
  <c r="P16351" i="1"/>
  <c r="A16352" i="1"/>
  <c r="P16352" i="1"/>
  <c r="A16353" i="1"/>
  <c r="P16353" i="1"/>
  <c r="A16354" i="1"/>
  <c r="P16354" i="1"/>
  <c r="A16355" i="1"/>
  <c r="P16355" i="1"/>
  <c r="A16356" i="1"/>
  <c r="P16356" i="1"/>
  <c r="A16357" i="1"/>
  <c r="P16357" i="1"/>
  <c r="A16358" i="1"/>
  <c r="P16358" i="1"/>
  <c r="A16359" i="1"/>
  <c r="P16359" i="1"/>
  <c r="A16360" i="1"/>
  <c r="P16360" i="1"/>
  <c r="A16361" i="1"/>
  <c r="P16361" i="1"/>
  <c r="A16362" i="1"/>
  <c r="P16362" i="1"/>
  <c r="A16363" i="1"/>
  <c r="P16363" i="1"/>
  <c r="A16364" i="1"/>
  <c r="P16364" i="1"/>
  <c r="A16365" i="1"/>
  <c r="P16365" i="1"/>
  <c r="A16366" i="1"/>
  <c r="P16366" i="1"/>
  <c r="A16367" i="1"/>
  <c r="P16367" i="1"/>
  <c r="A16368" i="1"/>
  <c r="P16368" i="1"/>
  <c r="A16369" i="1"/>
  <c r="P16369" i="1"/>
  <c r="A16370" i="1"/>
  <c r="P16370" i="1"/>
  <c r="A16371" i="1"/>
  <c r="P16371" i="1"/>
  <c r="A16372" i="1"/>
  <c r="P16372" i="1"/>
  <c r="A16373" i="1"/>
  <c r="P16373" i="1"/>
  <c r="A16374" i="1"/>
  <c r="P16374" i="1"/>
  <c r="A16375" i="1"/>
  <c r="P16375" i="1"/>
  <c r="A16376" i="1"/>
  <c r="P16376" i="1"/>
  <c r="A16377" i="1"/>
  <c r="P16377" i="1"/>
  <c r="A16378" i="1"/>
  <c r="P16378" i="1"/>
  <c r="A16379" i="1"/>
  <c r="P16379" i="1"/>
  <c r="A16380" i="1"/>
  <c r="P16380" i="1"/>
  <c r="A16381" i="1"/>
  <c r="P16381" i="1"/>
  <c r="A16382" i="1"/>
  <c r="P16382" i="1"/>
  <c r="A16383" i="1"/>
  <c r="P16383" i="1"/>
  <c r="A16384" i="1"/>
  <c r="P16384" i="1"/>
  <c r="A16385" i="1"/>
  <c r="P16385" i="1"/>
  <c r="A16386" i="1"/>
  <c r="P16386" i="1"/>
  <c r="A16387" i="1"/>
  <c r="P16387" i="1"/>
  <c r="A16388" i="1"/>
  <c r="P16388" i="1"/>
  <c r="A16389" i="1"/>
  <c r="P16389" i="1"/>
  <c r="A16390" i="1"/>
  <c r="P16390" i="1"/>
  <c r="A16391" i="1"/>
  <c r="P16391" i="1"/>
  <c r="A16392" i="1"/>
  <c r="P16392" i="1"/>
  <c r="A16393" i="1"/>
  <c r="P16393" i="1"/>
  <c r="A16394" i="1"/>
  <c r="P16394" i="1"/>
  <c r="A16395" i="1"/>
  <c r="P16395" i="1"/>
  <c r="A16396" i="1"/>
  <c r="P16396" i="1"/>
  <c r="A16397" i="1"/>
  <c r="P16397" i="1"/>
  <c r="A16398" i="1"/>
  <c r="P16398" i="1"/>
  <c r="A16399" i="1"/>
  <c r="P16399" i="1"/>
  <c r="A16400" i="1"/>
  <c r="P16400" i="1"/>
  <c r="A16401" i="1"/>
  <c r="P16401" i="1"/>
  <c r="A16402" i="1"/>
  <c r="P16402" i="1"/>
  <c r="A16403" i="1"/>
  <c r="P16403" i="1"/>
  <c r="A16404" i="1"/>
  <c r="P16404" i="1"/>
  <c r="A16405" i="1"/>
  <c r="P16405" i="1"/>
  <c r="A16406" i="1"/>
  <c r="P16406" i="1"/>
  <c r="A16407" i="1"/>
  <c r="P16407" i="1"/>
  <c r="A16408" i="1"/>
  <c r="P16408" i="1"/>
  <c r="A16409" i="1"/>
  <c r="P16409" i="1"/>
  <c r="A16410" i="1"/>
  <c r="P16410" i="1"/>
  <c r="A16411" i="1"/>
  <c r="P16411" i="1"/>
  <c r="A16412" i="1"/>
  <c r="P16412" i="1"/>
  <c r="A16413" i="1"/>
  <c r="P16413" i="1"/>
  <c r="A16414" i="1"/>
  <c r="P16414" i="1"/>
  <c r="A16415" i="1"/>
  <c r="P16415" i="1"/>
  <c r="A16416" i="1"/>
  <c r="P16416" i="1"/>
  <c r="A16417" i="1"/>
  <c r="P16417" i="1"/>
  <c r="A16418" i="1"/>
  <c r="P16418" i="1"/>
  <c r="A16419" i="1"/>
  <c r="P16419" i="1"/>
  <c r="A16420" i="1"/>
  <c r="P16420" i="1"/>
  <c r="A16421" i="1"/>
  <c r="P16421" i="1"/>
  <c r="A16422" i="1"/>
  <c r="P16422" i="1"/>
  <c r="A16423" i="1"/>
  <c r="P16423" i="1"/>
  <c r="A16424" i="1"/>
  <c r="P16424" i="1"/>
  <c r="A16425" i="1"/>
  <c r="P16425" i="1"/>
  <c r="A16426" i="1"/>
  <c r="P16426" i="1"/>
  <c r="A16427" i="1"/>
  <c r="P16427" i="1"/>
  <c r="A16428" i="1"/>
  <c r="P16428" i="1"/>
  <c r="A16429" i="1"/>
  <c r="P16429" i="1"/>
  <c r="A16430" i="1"/>
  <c r="P16430" i="1"/>
  <c r="A16431" i="1"/>
  <c r="P16431" i="1"/>
  <c r="A16432" i="1"/>
  <c r="P16432" i="1"/>
  <c r="A16433" i="1"/>
  <c r="P16433" i="1"/>
  <c r="A16434" i="1"/>
  <c r="P16434" i="1"/>
  <c r="A16435" i="1"/>
  <c r="P16435" i="1"/>
  <c r="A16436" i="1"/>
  <c r="P16436" i="1"/>
  <c r="A16437" i="1"/>
  <c r="P16437" i="1"/>
  <c r="A16438" i="1"/>
  <c r="P16438" i="1"/>
  <c r="A16439" i="1"/>
  <c r="P16439" i="1"/>
  <c r="A16440" i="1"/>
  <c r="P16440" i="1"/>
  <c r="A16441" i="1"/>
  <c r="P16441" i="1"/>
  <c r="A16442" i="1"/>
  <c r="P16442" i="1"/>
  <c r="A16443" i="1"/>
  <c r="P16443" i="1"/>
  <c r="A16444" i="1"/>
  <c r="P16444" i="1"/>
  <c r="A16445" i="1"/>
  <c r="P16445" i="1"/>
  <c r="A16446" i="1"/>
  <c r="P16446" i="1"/>
  <c r="A16447" i="1"/>
  <c r="P16447" i="1"/>
  <c r="A16448" i="1"/>
  <c r="P16448" i="1"/>
  <c r="A16449" i="1"/>
  <c r="P16449" i="1"/>
  <c r="A16450" i="1"/>
  <c r="P16450" i="1"/>
  <c r="A16451" i="1"/>
  <c r="P16451" i="1"/>
  <c r="A16452" i="1"/>
  <c r="P16452" i="1"/>
  <c r="A16453" i="1"/>
  <c r="P16453" i="1"/>
  <c r="A16454" i="1"/>
  <c r="P16454" i="1"/>
  <c r="A16455" i="1"/>
  <c r="P16455" i="1"/>
  <c r="A16456" i="1"/>
  <c r="P16456" i="1"/>
  <c r="A16457" i="1"/>
  <c r="P16457" i="1"/>
  <c r="A16458" i="1"/>
  <c r="P16458" i="1"/>
  <c r="A16459" i="1"/>
  <c r="P16459" i="1"/>
  <c r="A16460" i="1"/>
  <c r="P16460" i="1"/>
  <c r="A16461" i="1"/>
  <c r="P16461" i="1"/>
  <c r="A16462" i="1"/>
  <c r="P16462" i="1"/>
  <c r="A16463" i="1"/>
  <c r="P16463" i="1"/>
  <c r="A16464" i="1"/>
  <c r="P16464" i="1"/>
  <c r="A16465" i="1"/>
  <c r="P16465" i="1"/>
  <c r="A16466" i="1"/>
  <c r="P16466" i="1"/>
  <c r="A16467" i="1"/>
  <c r="P16467" i="1"/>
  <c r="A16468" i="1"/>
  <c r="P16468" i="1"/>
  <c r="A16469" i="1"/>
  <c r="P16469" i="1"/>
  <c r="A16470" i="1"/>
  <c r="P16470" i="1"/>
  <c r="A16471" i="1"/>
  <c r="P16471" i="1"/>
  <c r="A16472" i="1"/>
  <c r="P16472" i="1"/>
  <c r="A16473" i="1"/>
  <c r="P16473" i="1"/>
  <c r="A16474" i="1"/>
  <c r="P16474" i="1"/>
  <c r="A16475" i="1"/>
  <c r="P16475" i="1"/>
  <c r="A16476" i="1"/>
  <c r="P16476" i="1"/>
  <c r="A16477" i="1"/>
  <c r="P16477" i="1"/>
  <c r="A16478" i="1"/>
  <c r="P16478" i="1"/>
  <c r="A16479" i="1"/>
  <c r="P16479" i="1"/>
  <c r="A16480" i="1"/>
  <c r="P16480" i="1"/>
  <c r="A16481" i="1"/>
  <c r="P16481" i="1"/>
  <c r="A16482" i="1"/>
  <c r="P16482" i="1"/>
  <c r="A16483" i="1"/>
  <c r="P16483" i="1"/>
  <c r="A16484" i="1"/>
  <c r="P16484" i="1"/>
  <c r="A16485" i="1"/>
  <c r="P16485" i="1"/>
  <c r="A16486" i="1"/>
  <c r="P16486" i="1"/>
  <c r="A16487" i="1"/>
  <c r="P16487" i="1"/>
  <c r="A16488" i="1"/>
  <c r="P16488" i="1"/>
  <c r="A16489" i="1"/>
  <c r="P16489" i="1"/>
  <c r="A16490" i="1"/>
  <c r="P16490" i="1"/>
  <c r="A16491" i="1"/>
  <c r="P16491" i="1"/>
  <c r="A16492" i="1"/>
  <c r="P16492" i="1"/>
  <c r="A16493" i="1"/>
  <c r="P16493" i="1"/>
  <c r="A16494" i="1"/>
  <c r="P16494" i="1"/>
  <c r="A16495" i="1"/>
  <c r="P16495" i="1"/>
  <c r="A16496" i="1"/>
  <c r="P16496" i="1"/>
  <c r="A16497" i="1"/>
  <c r="P16497" i="1"/>
  <c r="A16498" i="1"/>
  <c r="P16498" i="1"/>
  <c r="A16499" i="1"/>
  <c r="P16499" i="1"/>
  <c r="A16500" i="1"/>
  <c r="P16500" i="1"/>
  <c r="A16501" i="1"/>
  <c r="P16501" i="1"/>
  <c r="A16502" i="1"/>
  <c r="P16502" i="1"/>
  <c r="A16503" i="1"/>
  <c r="P16503" i="1"/>
  <c r="A16504" i="1"/>
  <c r="P16504" i="1"/>
  <c r="A16505" i="1"/>
  <c r="P16505" i="1"/>
  <c r="A16506" i="1"/>
  <c r="P16506" i="1"/>
  <c r="A16507" i="1"/>
  <c r="P16507" i="1"/>
  <c r="A16508" i="1"/>
  <c r="P16508" i="1"/>
  <c r="A16509" i="1"/>
  <c r="P16509" i="1"/>
  <c r="A16510" i="1"/>
  <c r="P16510" i="1"/>
  <c r="A16511" i="1"/>
  <c r="P16511" i="1"/>
  <c r="A16512" i="1"/>
  <c r="P16512" i="1"/>
  <c r="A16513" i="1"/>
  <c r="P16513" i="1"/>
  <c r="A16514" i="1"/>
  <c r="P16514" i="1"/>
  <c r="A16515" i="1"/>
  <c r="P16515" i="1"/>
  <c r="A16516" i="1"/>
  <c r="P16516" i="1"/>
  <c r="A16517" i="1"/>
  <c r="P16517" i="1"/>
  <c r="A16518" i="1"/>
  <c r="P16518" i="1"/>
  <c r="A16519" i="1"/>
  <c r="P16519" i="1"/>
  <c r="A16520" i="1"/>
  <c r="P16520" i="1"/>
  <c r="A16521" i="1"/>
  <c r="P16521" i="1"/>
  <c r="A16522" i="1"/>
  <c r="P16522" i="1"/>
  <c r="A16523" i="1"/>
  <c r="P16523" i="1"/>
  <c r="A16524" i="1"/>
  <c r="P16524" i="1"/>
  <c r="A16525" i="1"/>
  <c r="P16525" i="1"/>
  <c r="A16526" i="1"/>
  <c r="P16526" i="1"/>
  <c r="A16527" i="1"/>
  <c r="P16527" i="1"/>
  <c r="A16528" i="1"/>
  <c r="P16528" i="1"/>
  <c r="A16529" i="1"/>
  <c r="P16529" i="1"/>
  <c r="A16530" i="1"/>
  <c r="P16530" i="1"/>
  <c r="A16531" i="1"/>
  <c r="P16531" i="1"/>
  <c r="A16532" i="1"/>
  <c r="P16532" i="1"/>
  <c r="A16533" i="1"/>
  <c r="P16533" i="1"/>
  <c r="A16534" i="1"/>
  <c r="P16534" i="1"/>
  <c r="A16535" i="1"/>
  <c r="P16535" i="1"/>
  <c r="A16536" i="1"/>
  <c r="P16536" i="1"/>
  <c r="A16537" i="1"/>
  <c r="P16537" i="1"/>
  <c r="A16538" i="1"/>
  <c r="P16538" i="1"/>
  <c r="A16539" i="1"/>
  <c r="P16539" i="1"/>
  <c r="A16540" i="1"/>
  <c r="P16540" i="1"/>
  <c r="A16541" i="1"/>
  <c r="P16541" i="1"/>
  <c r="A16542" i="1"/>
  <c r="P16542" i="1"/>
  <c r="A16543" i="1"/>
  <c r="P16543" i="1"/>
  <c r="A16544" i="1"/>
  <c r="P16544" i="1"/>
  <c r="A16545" i="1"/>
  <c r="P16545" i="1"/>
  <c r="A16546" i="1"/>
  <c r="P16546" i="1"/>
  <c r="A16547" i="1"/>
  <c r="P16547" i="1"/>
  <c r="A16548" i="1"/>
  <c r="P16548" i="1"/>
  <c r="A16549" i="1"/>
  <c r="P16549" i="1"/>
  <c r="A16550" i="1"/>
  <c r="P16550" i="1"/>
  <c r="A16551" i="1"/>
  <c r="P16551" i="1"/>
  <c r="A16552" i="1"/>
  <c r="P16552" i="1"/>
  <c r="A16553" i="1"/>
  <c r="P16553" i="1"/>
  <c r="A16554" i="1"/>
  <c r="P16554" i="1"/>
  <c r="A16555" i="1"/>
  <c r="P16555" i="1"/>
  <c r="A16556" i="1"/>
  <c r="P16556" i="1"/>
  <c r="A16557" i="1"/>
  <c r="P16557" i="1"/>
  <c r="A16558" i="1"/>
  <c r="P16558" i="1"/>
  <c r="A16559" i="1"/>
  <c r="P16559" i="1"/>
  <c r="A16560" i="1"/>
  <c r="P16560" i="1"/>
  <c r="A16561" i="1"/>
  <c r="P16561" i="1"/>
  <c r="A16562" i="1"/>
  <c r="P16562" i="1"/>
  <c r="A16563" i="1"/>
  <c r="P16563" i="1"/>
  <c r="A16564" i="1"/>
  <c r="P16564" i="1"/>
  <c r="A16565" i="1"/>
  <c r="P16565" i="1"/>
  <c r="A16566" i="1"/>
  <c r="P16566" i="1"/>
  <c r="A16567" i="1"/>
  <c r="P16567" i="1"/>
  <c r="A16568" i="1"/>
  <c r="P16568" i="1"/>
  <c r="A16569" i="1"/>
  <c r="P16569" i="1"/>
  <c r="A16570" i="1"/>
  <c r="P16570" i="1"/>
  <c r="A16571" i="1"/>
  <c r="P16571" i="1"/>
  <c r="A16572" i="1"/>
  <c r="P16572" i="1"/>
  <c r="A16573" i="1"/>
  <c r="P16573" i="1"/>
  <c r="A16574" i="1"/>
  <c r="P16574" i="1"/>
  <c r="A16575" i="1"/>
  <c r="P16575" i="1"/>
  <c r="A16576" i="1"/>
  <c r="P16576" i="1"/>
  <c r="A16577" i="1"/>
  <c r="P16577" i="1"/>
  <c r="A16578" i="1"/>
  <c r="P16578" i="1"/>
  <c r="A16579" i="1"/>
  <c r="P16579" i="1"/>
  <c r="A16580" i="1"/>
  <c r="P16580" i="1"/>
  <c r="A16581" i="1"/>
  <c r="P16581" i="1"/>
  <c r="A16582" i="1"/>
  <c r="P16582" i="1"/>
  <c r="A16583" i="1"/>
  <c r="P16583" i="1"/>
  <c r="A16584" i="1"/>
  <c r="P16584" i="1"/>
  <c r="A16585" i="1"/>
  <c r="P16585" i="1"/>
  <c r="A16586" i="1"/>
  <c r="P16586" i="1"/>
  <c r="A16587" i="1"/>
  <c r="P16587" i="1"/>
  <c r="A16588" i="1"/>
  <c r="P16588" i="1"/>
  <c r="A16589" i="1"/>
  <c r="P16589" i="1"/>
  <c r="A16590" i="1"/>
  <c r="P16590" i="1"/>
  <c r="A16591" i="1"/>
  <c r="P16591" i="1"/>
  <c r="A16592" i="1"/>
  <c r="P16592" i="1"/>
  <c r="A16593" i="1"/>
  <c r="P16593" i="1"/>
  <c r="A16594" i="1"/>
  <c r="P16594" i="1"/>
  <c r="A16595" i="1"/>
  <c r="P16595" i="1"/>
  <c r="A16596" i="1"/>
  <c r="P16596" i="1"/>
  <c r="A16597" i="1"/>
  <c r="P16597" i="1"/>
  <c r="A16598" i="1"/>
  <c r="P16598" i="1"/>
  <c r="A16599" i="1"/>
  <c r="P16599" i="1"/>
  <c r="A16600" i="1"/>
  <c r="P16600" i="1"/>
  <c r="A16601" i="1"/>
  <c r="P16601" i="1"/>
  <c r="A16602" i="1"/>
  <c r="P16602" i="1"/>
  <c r="A16603" i="1"/>
  <c r="P16603" i="1"/>
  <c r="A16604" i="1"/>
  <c r="P16604" i="1"/>
  <c r="A16605" i="1"/>
  <c r="P16605" i="1"/>
  <c r="A16606" i="1"/>
  <c r="P16606" i="1"/>
  <c r="A16607" i="1"/>
  <c r="P16607" i="1"/>
  <c r="A16608" i="1"/>
  <c r="P16608" i="1"/>
  <c r="A16609" i="1"/>
  <c r="P16609" i="1"/>
  <c r="A16610" i="1"/>
  <c r="P16610" i="1"/>
  <c r="A16611" i="1"/>
  <c r="P16611" i="1"/>
  <c r="A16612" i="1"/>
  <c r="P16612" i="1"/>
  <c r="A16613" i="1"/>
  <c r="P16613" i="1"/>
  <c r="A16614" i="1"/>
  <c r="P16614" i="1"/>
  <c r="A16615" i="1"/>
  <c r="P16615" i="1"/>
  <c r="A16616" i="1"/>
  <c r="P16616" i="1"/>
  <c r="A16617" i="1"/>
  <c r="P16617" i="1"/>
  <c r="A16618" i="1"/>
  <c r="P16618" i="1"/>
  <c r="A16619" i="1"/>
  <c r="P16619" i="1"/>
  <c r="A16620" i="1"/>
  <c r="P16620" i="1"/>
  <c r="A16621" i="1"/>
  <c r="P16621" i="1"/>
  <c r="A16622" i="1"/>
  <c r="P16622" i="1"/>
  <c r="A16623" i="1"/>
  <c r="P16623" i="1"/>
  <c r="A16624" i="1"/>
  <c r="P16624" i="1"/>
  <c r="A16625" i="1"/>
  <c r="P16625" i="1"/>
  <c r="A16626" i="1"/>
  <c r="P16626" i="1"/>
  <c r="A16627" i="1"/>
  <c r="P16627" i="1"/>
  <c r="A16628" i="1"/>
  <c r="P16628" i="1"/>
  <c r="A16629" i="1"/>
  <c r="P16629" i="1"/>
  <c r="A16630" i="1"/>
  <c r="P16630" i="1"/>
  <c r="A16631" i="1"/>
  <c r="P16631" i="1"/>
  <c r="A16632" i="1"/>
  <c r="P16632" i="1"/>
  <c r="A16633" i="1"/>
  <c r="P16633" i="1"/>
  <c r="A16634" i="1"/>
  <c r="P16634" i="1"/>
  <c r="A16635" i="1"/>
  <c r="P16635" i="1"/>
  <c r="A16636" i="1"/>
  <c r="P16636" i="1"/>
  <c r="A16637" i="1"/>
  <c r="P16637" i="1"/>
  <c r="A16638" i="1"/>
  <c r="P16638" i="1"/>
  <c r="A16639" i="1"/>
  <c r="P16639" i="1"/>
  <c r="A16640" i="1"/>
  <c r="P16640" i="1"/>
  <c r="A16641" i="1"/>
  <c r="P16641" i="1"/>
  <c r="A16642" i="1"/>
  <c r="P16642" i="1"/>
  <c r="A16643" i="1"/>
  <c r="P16643" i="1"/>
  <c r="A16644" i="1"/>
  <c r="P16644" i="1"/>
  <c r="A16645" i="1"/>
  <c r="P16645" i="1"/>
  <c r="A16646" i="1"/>
  <c r="P16646" i="1"/>
  <c r="A16647" i="1"/>
  <c r="P16647" i="1"/>
  <c r="A16648" i="1"/>
  <c r="P16648" i="1"/>
  <c r="A16649" i="1"/>
  <c r="P16649" i="1"/>
  <c r="A16650" i="1"/>
  <c r="P16650" i="1"/>
  <c r="A16651" i="1"/>
  <c r="P16651" i="1"/>
  <c r="A16652" i="1"/>
  <c r="P16652" i="1"/>
  <c r="A16653" i="1"/>
  <c r="P16653" i="1"/>
  <c r="A16654" i="1"/>
  <c r="P16654" i="1"/>
  <c r="A16655" i="1"/>
  <c r="P16655" i="1"/>
  <c r="A16656" i="1"/>
  <c r="P16656" i="1"/>
  <c r="A16657" i="1"/>
  <c r="P16657" i="1"/>
  <c r="A16658" i="1"/>
  <c r="P16658" i="1"/>
  <c r="A16659" i="1"/>
  <c r="P16659" i="1"/>
  <c r="A16660" i="1"/>
  <c r="P16660" i="1"/>
  <c r="A16661" i="1"/>
  <c r="P16661" i="1"/>
  <c r="A16662" i="1"/>
  <c r="P16662" i="1"/>
  <c r="A16663" i="1"/>
  <c r="P16663" i="1"/>
  <c r="A16664" i="1"/>
  <c r="P16664" i="1"/>
  <c r="A16665" i="1"/>
  <c r="P16665" i="1"/>
  <c r="A16666" i="1"/>
  <c r="P16666" i="1"/>
  <c r="A16667" i="1"/>
  <c r="P16667" i="1"/>
  <c r="A16668" i="1"/>
  <c r="P16668" i="1"/>
  <c r="A16669" i="1"/>
  <c r="P16669" i="1"/>
  <c r="A16670" i="1"/>
  <c r="P16670" i="1"/>
  <c r="A16671" i="1"/>
  <c r="P16671" i="1"/>
  <c r="A16672" i="1"/>
  <c r="P16672" i="1"/>
  <c r="A16673" i="1"/>
  <c r="P16673" i="1"/>
  <c r="A16674" i="1"/>
  <c r="P16674" i="1"/>
  <c r="A16675" i="1"/>
  <c r="P16675" i="1"/>
  <c r="A16676" i="1"/>
  <c r="P16676" i="1"/>
  <c r="A16677" i="1"/>
  <c r="P16677" i="1"/>
  <c r="A16678" i="1"/>
  <c r="P16678" i="1"/>
  <c r="A16679" i="1"/>
  <c r="P16679" i="1"/>
  <c r="A16680" i="1"/>
  <c r="P16680" i="1"/>
  <c r="A16681" i="1"/>
  <c r="P16681" i="1"/>
  <c r="A16682" i="1"/>
  <c r="P16682" i="1"/>
  <c r="A16683" i="1"/>
  <c r="P16683" i="1"/>
  <c r="A16684" i="1"/>
  <c r="P16684" i="1"/>
  <c r="A16685" i="1"/>
  <c r="P16685" i="1"/>
  <c r="A16686" i="1"/>
  <c r="P16686" i="1"/>
  <c r="A16687" i="1"/>
  <c r="P16687" i="1"/>
  <c r="A16688" i="1"/>
  <c r="P16688" i="1"/>
  <c r="A16689" i="1"/>
  <c r="P16689" i="1"/>
  <c r="A16690" i="1"/>
  <c r="P16690" i="1"/>
  <c r="A16691" i="1"/>
  <c r="P16691" i="1"/>
  <c r="A16692" i="1"/>
  <c r="P16692" i="1"/>
  <c r="A16693" i="1"/>
  <c r="P16693" i="1"/>
  <c r="A16694" i="1"/>
  <c r="P16694" i="1"/>
  <c r="A16695" i="1"/>
  <c r="P16695" i="1"/>
  <c r="A16696" i="1"/>
  <c r="P16696" i="1"/>
  <c r="A16697" i="1"/>
  <c r="P16697" i="1"/>
  <c r="A16698" i="1"/>
  <c r="P16698" i="1"/>
  <c r="A16699" i="1"/>
  <c r="P16699" i="1"/>
  <c r="A16700" i="1"/>
  <c r="P16700" i="1"/>
  <c r="A16701" i="1"/>
  <c r="P16701" i="1"/>
  <c r="A16702" i="1"/>
  <c r="P16702" i="1"/>
  <c r="A16703" i="1"/>
  <c r="P16703" i="1"/>
  <c r="A16704" i="1"/>
  <c r="P16704" i="1"/>
  <c r="A16705" i="1"/>
  <c r="P16705" i="1"/>
  <c r="A16706" i="1"/>
  <c r="P16706" i="1"/>
  <c r="A16707" i="1"/>
  <c r="P16707" i="1"/>
  <c r="A16708" i="1"/>
  <c r="P16708" i="1"/>
  <c r="A16709" i="1"/>
  <c r="P16709" i="1"/>
  <c r="A16710" i="1"/>
  <c r="P16710" i="1"/>
  <c r="A16711" i="1"/>
  <c r="P16711" i="1"/>
  <c r="A16712" i="1"/>
  <c r="P16712" i="1"/>
  <c r="A16713" i="1"/>
  <c r="P16713" i="1"/>
  <c r="A16714" i="1"/>
  <c r="P16714" i="1"/>
  <c r="A16715" i="1"/>
  <c r="P16715" i="1"/>
  <c r="A16716" i="1"/>
  <c r="P16716" i="1"/>
  <c r="A16717" i="1"/>
  <c r="P16717" i="1"/>
  <c r="A16718" i="1"/>
  <c r="P16718" i="1"/>
  <c r="A16719" i="1"/>
  <c r="P16719" i="1"/>
  <c r="A16720" i="1"/>
  <c r="P16720" i="1"/>
  <c r="A16721" i="1"/>
  <c r="P16721" i="1"/>
  <c r="A16722" i="1"/>
  <c r="P16722" i="1"/>
  <c r="A16723" i="1"/>
  <c r="P16723" i="1"/>
  <c r="A16724" i="1"/>
  <c r="P16724" i="1"/>
  <c r="A16725" i="1"/>
  <c r="P16725" i="1"/>
  <c r="A16726" i="1"/>
  <c r="P16726" i="1"/>
  <c r="A16727" i="1"/>
  <c r="P16727" i="1"/>
  <c r="A16728" i="1"/>
  <c r="P16728" i="1"/>
  <c r="A16729" i="1"/>
  <c r="P16729" i="1"/>
  <c r="A16730" i="1"/>
  <c r="P16730" i="1"/>
  <c r="A16731" i="1"/>
  <c r="P16731" i="1"/>
  <c r="A16732" i="1"/>
  <c r="P16732" i="1"/>
  <c r="A16733" i="1"/>
  <c r="P16733" i="1"/>
  <c r="A16734" i="1"/>
  <c r="P16734" i="1"/>
  <c r="A16735" i="1"/>
  <c r="P16735" i="1"/>
  <c r="A16736" i="1"/>
  <c r="P16736" i="1"/>
  <c r="A16737" i="1"/>
  <c r="P16737" i="1"/>
  <c r="A16738" i="1"/>
  <c r="P16738" i="1"/>
  <c r="A16739" i="1"/>
  <c r="P16739" i="1"/>
  <c r="A16740" i="1"/>
  <c r="P16740" i="1"/>
  <c r="A16741" i="1"/>
  <c r="P16741" i="1"/>
  <c r="A16742" i="1"/>
  <c r="P16742" i="1"/>
  <c r="A16743" i="1"/>
  <c r="P16743" i="1"/>
  <c r="A16744" i="1"/>
  <c r="P16744" i="1"/>
  <c r="A16745" i="1"/>
  <c r="P16745" i="1"/>
  <c r="A16746" i="1"/>
  <c r="P16746" i="1"/>
  <c r="A16747" i="1"/>
  <c r="P16747" i="1"/>
  <c r="A16748" i="1"/>
  <c r="P16748" i="1"/>
  <c r="A16749" i="1"/>
  <c r="P16749" i="1"/>
  <c r="A16750" i="1"/>
  <c r="P16750" i="1"/>
  <c r="A16751" i="1"/>
  <c r="P16751" i="1"/>
  <c r="A16752" i="1"/>
  <c r="P16752" i="1"/>
  <c r="A16753" i="1"/>
  <c r="P16753" i="1"/>
  <c r="A16754" i="1"/>
  <c r="P16754" i="1"/>
  <c r="A16755" i="1"/>
  <c r="P16755" i="1"/>
  <c r="A16756" i="1"/>
  <c r="P16756" i="1"/>
  <c r="A16757" i="1"/>
  <c r="P16757" i="1"/>
  <c r="A16758" i="1"/>
  <c r="P16758" i="1"/>
  <c r="A16759" i="1"/>
  <c r="P16759" i="1"/>
  <c r="A16760" i="1"/>
  <c r="P16760" i="1"/>
  <c r="A16761" i="1"/>
  <c r="P16761" i="1"/>
  <c r="A16762" i="1"/>
  <c r="P16762" i="1"/>
  <c r="A16763" i="1"/>
  <c r="P16763" i="1"/>
  <c r="A16764" i="1"/>
  <c r="P16764" i="1"/>
  <c r="A16765" i="1"/>
  <c r="P16765" i="1"/>
  <c r="A16766" i="1"/>
  <c r="P16766" i="1"/>
  <c r="A16767" i="1"/>
  <c r="P16767" i="1"/>
  <c r="A16768" i="1"/>
  <c r="P16768" i="1"/>
  <c r="A16769" i="1"/>
  <c r="P16769" i="1"/>
  <c r="A16770" i="1"/>
  <c r="P16770" i="1"/>
  <c r="A16771" i="1"/>
  <c r="P16771" i="1"/>
  <c r="A16772" i="1"/>
  <c r="P16772" i="1"/>
  <c r="A16773" i="1"/>
  <c r="P16773" i="1"/>
  <c r="A16774" i="1"/>
  <c r="P16774" i="1"/>
  <c r="A16775" i="1"/>
  <c r="P16775" i="1"/>
  <c r="A16776" i="1"/>
  <c r="P16776" i="1"/>
  <c r="A16777" i="1"/>
  <c r="P16777" i="1"/>
  <c r="A16778" i="1"/>
  <c r="P16778" i="1"/>
  <c r="A16779" i="1"/>
  <c r="P16779" i="1"/>
  <c r="A16780" i="1"/>
  <c r="P16780" i="1"/>
  <c r="A16781" i="1"/>
  <c r="P16781" i="1"/>
  <c r="A16782" i="1"/>
  <c r="P16782" i="1"/>
  <c r="A16783" i="1"/>
  <c r="P16783" i="1"/>
  <c r="A16784" i="1"/>
  <c r="P16784" i="1"/>
  <c r="A16785" i="1"/>
  <c r="P16785" i="1"/>
  <c r="A16786" i="1"/>
  <c r="P16786" i="1"/>
  <c r="A16787" i="1"/>
  <c r="P16787" i="1"/>
  <c r="A16788" i="1"/>
  <c r="P16788" i="1"/>
  <c r="A16789" i="1"/>
  <c r="P16789" i="1"/>
  <c r="A16790" i="1"/>
  <c r="P16790" i="1"/>
  <c r="A16791" i="1"/>
  <c r="P16791" i="1"/>
  <c r="A16792" i="1"/>
  <c r="P16792" i="1"/>
  <c r="A16793" i="1"/>
  <c r="P16793" i="1"/>
  <c r="A16794" i="1"/>
  <c r="P16794" i="1"/>
  <c r="A16795" i="1"/>
  <c r="P16795" i="1"/>
  <c r="A16796" i="1"/>
  <c r="P16796" i="1"/>
  <c r="A16797" i="1"/>
  <c r="P16797" i="1"/>
  <c r="A16798" i="1"/>
  <c r="P16798" i="1"/>
  <c r="A16799" i="1"/>
  <c r="P16799" i="1"/>
  <c r="A16800" i="1"/>
  <c r="P16800" i="1"/>
  <c r="A16801" i="1"/>
  <c r="P16801" i="1"/>
  <c r="A16802" i="1"/>
  <c r="P16802" i="1"/>
  <c r="A16803" i="1"/>
  <c r="P16803" i="1"/>
  <c r="A16804" i="1"/>
  <c r="P16804" i="1"/>
  <c r="A16805" i="1"/>
  <c r="P16805" i="1"/>
  <c r="A16806" i="1"/>
  <c r="P16806" i="1"/>
  <c r="A16807" i="1"/>
  <c r="P16807" i="1"/>
  <c r="A16808" i="1"/>
  <c r="P16808" i="1"/>
  <c r="A16809" i="1"/>
  <c r="P16809" i="1"/>
  <c r="A16810" i="1"/>
  <c r="P16810" i="1"/>
  <c r="A16811" i="1"/>
  <c r="P16811" i="1"/>
  <c r="A16812" i="1"/>
  <c r="P16812" i="1"/>
  <c r="A16813" i="1"/>
  <c r="P16813" i="1"/>
  <c r="A16814" i="1"/>
  <c r="P16814" i="1"/>
  <c r="A16815" i="1"/>
  <c r="P16815" i="1"/>
  <c r="A16816" i="1"/>
  <c r="P16816" i="1"/>
  <c r="A16817" i="1"/>
  <c r="P16817" i="1"/>
  <c r="A16818" i="1"/>
  <c r="P16818" i="1"/>
  <c r="A16819" i="1"/>
  <c r="P16819" i="1"/>
  <c r="A16820" i="1"/>
  <c r="P16820" i="1"/>
  <c r="A16821" i="1"/>
  <c r="P16821" i="1"/>
  <c r="A16822" i="1"/>
  <c r="P16822" i="1"/>
  <c r="A16823" i="1"/>
  <c r="P16823" i="1"/>
  <c r="A16824" i="1"/>
  <c r="P16824" i="1"/>
  <c r="A16825" i="1"/>
  <c r="P16825" i="1"/>
  <c r="A16826" i="1"/>
  <c r="P16826" i="1"/>
  <c r="A16827" i="1"/>
  <c r="P16827" i="1"/>
  <c r="A16828" i="1"/>
  <c r="P16828" i="1"/>
  <c r="A16829" i="1"/>
  <c r="P16829" i="1"/>
  <c r="A16830" i="1"/>
  <c r="P16830" i="1"/>
  <c r="A16831" i="1"/>
  <c r="P16831" i="1"/>
  <c r="A16832" i="1"/>
  <c r="P16832" i="1"/>
  <c r="A16833" i="1"/>
  <c r="P16833" i="1"/>
  <c r="A16834" i="1"/>
  <c r="P16834" i="1"/>
  <c r="A16835" i="1"/>
  <c r="P16835" i="1"/>
  <c r="A16836" i="1"/>
  <c r="P16836" i="1"/>
  <c r="A16837" i="1"/>
  <c r="P16837" i="1"/>
  <c r="A16838" i="1"/>
  <c r="P16838" i="1"/>
  <c r="A16839" i="1"/>
  <c r="P16839" i="1"/>
  <c r="A16840" i="1"/>
  <c r="P16840" i="1"/>
  <c r="A16841" i="1"/>
  <c r="P16841" i="1"/>
  <c r="A16842" i="1"/>
  <c r="P16842" i="1"/>
  <c r="A16843" i="1"/>
  <c r="P16843" i="1"/>
  <c r="A16844" i="1"/>
  <c r="P16844" i="1"/>
  <c r="A16845" i="1"/>
  <c r="P16845" i="1"/>
  <c r="A16846" i="1"/>
  <c r="P16846" i="1"/>
  <c r="A16847" i="1"/>
  <c r="P16847" i="1"/>
  <c r="A16848" i="1"/>
  <c r="P16848" i="1"/>
  <c r="A16849" i="1"/>
  <c r="P16849" i="1"/>
  <c r="A16850" i="1"/>
  <c r="P16850" i="1"/>
  <c r="A16851" i="1"/>
  <c r="P16851" i="1"/>
  <c r="A16852" i="1"/>
  <c r="P16852" i="1"/>
  <c r="A16853" i="1"/>
  <c r="P16853" i="1"/>
  <c r="A16854" i="1"/>
  <c r="P16854" i="1"/>
  <c r="A16855" i="1"/>
  <c r="P16855" i="1"/>
  <c r="A16856" i="1"/>
  <c r="P16856" i="1"/>
  <c r="A16857" i="1"/>
  <c r="P16857" i="1"/>
  <c r="A16858" i="1"/>
  <c r="P16858" i="1"/>
  <c r="A16859" i="1"/>
  <c r="P16859" i="1"/>
  <c r="A16860" i="1"/>
  <c r="P16860" i="1"/>
  <c r="A16861" i="1"/>
  <c r="P16861" i="1"/>
  <c r="A16862" i="1"/>
  <c r="P16862" i="1"/>
  <c r="A16863" i="1"/>
  <c r="P16863" i="1"/>
  <c r="A16864" i="1"/>
  <c r="P16864" i="1"/>
  <c r="A16865" i="1"/>
  <c r="P16865" i="1"/>
  <c r="A16866" i="1"/>
  <c r="P16866" i="1"/>
  <c r="A16867" i="1"/>
  <c r="P16867" i="1"/>
  <c r="A16868" i="1"/>
  <c r="P16868" i="1"/>
  <c r="A16869" i="1"/>
  <c r="P16869" i="1"/>
  <c r="A16870" i="1"/>
  <c r="P16870" i="1"/>
  <c r="A16871" i="1"/>
  <c r="P16871" i="1"/>
  <c r="A16872" i="1"/>
  <c r="P16872" i="1"/>
  <c r="A16873" i="1"/>
  <c r="P16873" i="1"/>
  <c r="A16874" i="1"/>
  <c r="P16874" i="1"/>
  <c r="A16875" i="1"/>
  <c r="P16875" i="1"/>
  <c r="A16876" i="1"/>
  <c r="P16876" i="1"/>
  <c r="A16877" i="1"/>
  <c r="P16877" i="1"/>
  <c r="A16878" i="1"/>
  <c r="P16878" i="1"/>
  <c r="A16879" i="1"/>
  <c r="P16879" i="1"/>
  <c r="A16880" i="1"/>
  <c r="P16880" i="1"/>
  <c r="A16881" i="1"/>
  <c r="P16881" i="1"/>
  <c r="A16882" i="1"/>
  <c r="P16882" i="1"/>
  <c r="A16883" i="1"/>
  <c r="P16883" i="1"/>
  <c r="A16884" i="1"/>
  <c r="P16884" i="1"/>
  <c r="A16885" i="1"/>
  <c r="P16885" i="1"/>
  <c r="A16886" i="1"/>
  <c r="P16886" i="1"/>
  <c r="A16887" i="1"/>
  <c r="P16887" i="1"/>
  <c r="A16888" i="1"/>
  <c r="P16888" i="1"/>
  <c r="A16889" i="1"/>
  <c r="P16889" i="1"/>
  <c r="A16890" i="1"/>
  <c r="P16890" i="1"/>
  <c r="A16891" i="1"/>
  <c r="P16891" i="1"/>
  <c r="A16892" i="1"/>
  <c r="P16892" i="1"/>
  <c r="A16893" i="1"/>
  <c r="P16893" i="1"/>
  <c r="A16894" i="1"/>
  <c r="P16894" i="1"/>
  <c r="A16895" i="1"/>
  <c r="P16895" i="1"/>
  <c r="A16896" i="1"/>
  <c r="P16896" i="1"/>
  <c r="A16897" i="1"/>
  <c r="P16897" i="1"/>
  <c r="A16898" i="1"/>
  <c r="P16898" i="1"/>
  <c r="A16899" i="1"/>
  <c r="P16899" i="1"/>
  <c r="A16900" i="1"/>
  <c r="P16900" i="1"/>
  <c r="A16901" i="1"/>
  <c r="P16901" i="1"/>
  <c r="A16902" i="1"/>
  <c r="P16902" i="1"/>
  <c r="A16903" i="1"/>
  <c r="P16903" i="1"/>
  <c r="A16904" i="1"/>
  <c r="P16904" i="1"/>
  <c r="A16905" i="1"/>
  <c r="P16905" i="1"/>
  <c r="A16906" i="1"/>
  <c r="P16906" i="1"/>
  <c r="A16907" i="1"/>
  <c r="P16907" i="1"/>
  <c r="A16908" i="1"/>
  <c r="P16908" i="1"/>
  <c r="A16909" i="1"/>
  <c r="P16909" i="1"/>
  <c r="A16910" i="1"/>
  <c r="P16910" i="1"/>
  <c r="A16911" i="1"/>
  <c r="P16911" i="1"/>
  <c r="A16912" i="1"/>
  <c r="P16912" i="1"/>
  <c r="A16913" i="1"/>
  <c r="P16913" i="1"/>
  <c r="A16914" i="1"/>
  <c r="P16914" i="1"/>
  <c r="A16915" i="1"/>
  <c r="P16915" i="1"/>
  <c r="A16916" i="1"/>
  <c r="P16916" i="1"/>
  <c r="A16917" i="1"/>
  <c r="P16917" i="1"/>
  <c r="A16918" i="1"/>
  <c r="P16918" i="1"/>
  <c r="A16919" i="1"/>
  <c r="P16919" i="1"/>
  <c r="A16920" i="1"/>
  <c r="P16920" i="1"/>
  <c r="A16921" i="1"/>
  <c r="P16921" i="1"/>
  <c r="A16922" i="1"/>
  <c r="P16922" i="1"/>
  <c r="A16923" i="1"/>
  <c r="P16923" i="1"/>
  <c r="A16924" i="1"/>
  <c r="P16924" i="1"/>
  <c r="A16925" i="1"/>
  <c r="P16925" i="1"/>
  <c r="A16926" i="1"/>
  <c r="P16926" i="1"/>
  <c r="A16927" i="1"/>
  <c r="P16927" i="1"/>
  <c r="A16928" i="1"/>
  <c r="P16928" i="1"/>
  <c r="A16929" i="1"/>
  <c r="P16929" i="1"/>
  <c r="A16930" i="1"/>
  <c r="P16930" i="1"/>
  <c r="A16931" i="1"/>
  <c r="P16931" i="1"/>
  <c r="A16932" i="1"/>
  <c r="P16932" i="1"/>
  <c r="A16933" i="1"/>
  <c r="P16933" i="1"/>
  <c r="A16934" i="1"/>
  <c r="P16934" i="1"/>
  <c r="A16935" i="1"/>
  <c r="P16935" i="1"/>
  <c r="A16936" i="1"/>
  <c r="P16936" i="1"/>
  <c r="A16937" i="1"/>
  <c r="P16937" i="1"/>
  <c r="A16938" i="1"/>
  <c r="P16938" i="1"/>
  <c r="A16939" i="1"/>
  <c r="P16939" i="1"/>
  <c r="A16940" i="1"/>
  <c r="P16940" i="1"/>
  <c r="A16941" i="1"/>
  <c r="P16941" i="1"/>
  <c r="A16942" i="1"/>
  <c r="P16942" i="1"/>
  <c r="A16943" i="1"/>
  <c r="P16943" i="1"/>
  <c r="A16944" i="1"/>
  <c r="P16944" i="1"/>
  <c r="A16945" i="1"/>
  <c r="P16945" i="1"/>
  <c r="A16946" i="1"/>
  <c r="P16946" i="1"/>
  <c r="A16947" i="1"/>
  <c r="P16947" i="1"/>
  <c r="A16948" i="1"/>
  <c r="P16948" i="1"/>
  <c r="A16949" i="1"/>
  <c r="P16949" i="1"/>
  <c r="A16950" i="1"/>
  <c r="P16950" i="1"/>
  <c r="A16951" i="1"/>
  <c r="P16951" i="1"/>
  <c r="A16952" i="1"/>
  <c r="P16952" i="1"/>
  <c r="A16953" i="1"/>
  <c r="P16953" i="1"/>
  <c r="A16954" i="1"/>
  <c r="P16954" i="1"/>
  <c r="A16955" i="1"/>
  <c r="P16955" i="1"/>
  <c r="A16956" i="1"/>
  <c r="P16956" i="1"/>
  <c r="A16957" i="1"/>
  <c r="P16957" i="1"/>
  <c r="A16958" i="1"/>
  <c r="P16958" i="1"/>
  <c r="A16959" i="1"/>
  <c r="P16959" i="1"/>
  <c r="A16960" i="1"/>
  <c r="P16960" i="1"/>
  <c r="A16961" i="1"/>
  <c r="P16961" i="1"/>
  <c r="A16962" i="1"/>
  <c r="P16962" i="1"/>
  <c r="A16963" i="1"/>
  <c r="P16963" i="1"/>
  <c r="A16964" i="1"/>
  <c r="P16964" i="1"/>
  <c r="A16965" i="1"/>
  <c r="P16965" i="1"/>
  <c r="A16966" i="1"/>
  <c r="P16966" i="1"/>
  <c r="A16967" i="1"/>
  <c r="P16967" i="1"/>
  <c r="A16968" i="1"/>
  <c r="P16968" i="1"/>
  <c r="A16969" i="1"/>
  <c r="P16969" i="1"/>
  <c r="A16970" i="1"/>
  <c r="P16970" i="1"/>
  <c r="A16971" i="1"/>
  <c r="P16971" i="1"/>
  <c r="A16972" i="1"/>
  <c r="P16972" i="1"/>
  <c r="A16973" i="1"/>
  <c r="P16973" i="1"/>
  <c r="A16974" i="1"/>
  <c r="P16974" i="1"/>
  <c r="A16975" i="1"/>
  <c r="P16975" i="1"/>
  <c r="A16976" i="1"/>
  <c r="P16976" i="1"/>
  <c r="A16977" i="1"/>
  <c r="P16977" i="1"/>
  <c r="A16978" i="1"/>
  <c r="P16978" i="1"/>
  <c r="A16979" i="1"/>
  <c r="P16979" i="1"/>
  <c r="A16980" i="1"/>
  <c r="P16980" i="1"/>
  <c r="A16981" i="1"/>
  <c r="P16981" i="1"/>
  <c r="A16982" i="1"/>
  <c r="P16982" i="1"/>
  <c r="A16983" i="1"/>
  <c r="P16983" i="1"/>
  <c r="A16984" i="1"/>
  <c r="P16984" i="1"/>
  <c r="A16985" i="1"/>
  <c r="P16985" i="1"/>
  <c r="A16986" i="1"/>
  <c r="P16986" i="1"/>
  <c r="A16987" i="1"/>
  <c r="P16987" i="1"/>
  <c r="A16988" i="1"/>
  <c r="P16988" i="1"/>
  <c r="A16989" i="1"/>
  <c r="P16989" i="1"/>
  <c r="A16990" i="1"/>
  <c r="P16990" i="1"/>
  <c r="A16991" i="1"/>
  <c r="P16991" i="1"/>
  <c r="A16992" i="1"/>
  <c r="P16992" i="1"/>
  <c r="A16993" i="1"/>
  <c r="P16993" i="1"/>
  <c r="A16994" i="1"/>
  <c r="P16994" i="1"/>
  <c r="A16995" i="1"/>
  <c r="P16995" i="1"/>
  <c r="A16996" i="1"/>
  <c r="P16996" i="1"/>
  <c r="A16997" i="1"/>
  <c r="P16997" i="1"/>
  <c r="A16998" i="1"/>
  <c r="P16998" i="1"/>
  <c r="A16999" i="1"/>
  <c r="P16999" i="1"/>
  <c r="A17000" i="1"/>
  <c r="P17000" i="1"/>
  <c r="A17001" i="1"/>
  <c r="P17001" i="1"/>
  <c r="A17002" i="1"/>
  <c r="P17002" i="1"/>
  <c r="A17003" i="1"/>
  <c r="P17003" i="1"/>
  <c r="A17004" i="1"/>
  <c r="P17004" i="1"/>
  <c r="A17005" i="1"/>
  <c r="P17005" i="1"/>
  <c r="A17006" i="1"/>
  <c r="P17006" i="1"/>
  <c r="A17007" i="1"/>
  <c r="P17007" i="1"/>
  <c r="A17008" i="1"/>
  <c r="P17008" i="1"/>
  <c r="A17009" i="1"/>
  <c r="P17009" i="1"/>
  <c r="A17010" i="1"/>
  <c r="P17010" i="1"/>
  <c r="A17011" i="1"/>
  <c r="P17011" i="1"/>
  <c r="A17012" i="1"/>
  <c r="P17012" i="1"/>
  <c r="A17013" i="1"/>
  <c r="P17013" i="1"/>
  <c r="A17014" i="1"/>
  <c r="P17014" i="1"/>
  <c r="A17015" i="1"/>
  <c r="P17015" i="1"/>
  <c r="A17016" i="1"/>
  <c r="P17016" i="1"/>
  <c r="A17017" i="1"/>
  <c r="P17017" i="1"/>
  <c r="A17018" i="1"/>
  <c r="P17018" i="1"/>
  <c r="A17019" i="1"/>
  <c r="P17019" i="1"/>
  <c r="A17020" i="1"/>
  <c r="P17020" i="1"/>
  <c r="A17021" i="1"/>
  <c r="P17021" i="1"/>
  <c r="A17022" i="1"/>
  <c r="P17022" i="1"/>
  <c r="A17023" i="1"/>
  <c r="P17023" i="1"/>
  <c r="A17024" i="1"/>
  <c r="P17024" i="1"/>
  <c r="A17025" i="1"/>
  <c r="P17025" i="1"/>
  <c r="A17026" i="1"/>
  <c r="P17026" i="1"/>
  <c r="A17027" i="1"/>
  <c r="P17027" i="1"/>
  <c r="A17028" i="1"/>
  <c r="P17028" i="1"/>
  <c r="A17029" i="1"/>
  <c r="P17029" i="1"/>
  <c r="A17030" i="1"/>
  <c r="P17030" i="1"/>
  <c r="A17031" i="1"/>
  <c r="P17031" i="1"/>
  <c r="A17032" i="1"/>
  <c r="P17032" i="1"/>
  <c r="A17033" i="1"/>
  <c r="P17033" i="1"/>
  <c r="A17034" i="1"/>
  <c r="P17034" i="1"/>
  <c r="A17035" i="1"/>
  <c r="P17035" i="1"/>
  <c r="A17036" i="1"/>
  <c r="P17036" i="1"/>
  <c r="A17037" i="1"/>
  <c r="P17037" i="1"/>
  <c r="A17038" i="1"/>
  <c r="P17038" i="1"/>
  <c r="A17039" i="1"/>
  <c r="P17039" i="1"/>
  <c r="A17040" i="1"/>
  <c r="P17040" i="1"/>
  <c r="A17041" i="1"/>
  <c r="P17041" i="1"/>
  <c r="A17042" i="1"/>
  <c r="P17042" i="1"/>
  <c r="A17043" i="1"/>
  <c r="P17043" i="1"/>
  <c r="A17044" i="1"/>
  <c r="P17044" i="1"/>
  <c r="A17045" i="1"/>
  <c r="P17045" i="1"/>
  <c r="A17046" i="1"/>
  <c r="P17046" i="1"/>
  <c r="A17047" i="1"/>
  <c r="P17047" i="1"/>
  <c r="A17048" i="1"/>
  <c r="P17048" i="1"/>
  <c r="A17049" i="1"/>
  <c r="P17049" i="1"/>
  <c r="A17050" i="1"/>
  <c r="P17050" i="1"/>
  <c r="A17051" i="1"/>
  <c r="P17051" i="1"/>
  <c r="A17052" i="1"/>
  <c r="P17052" i="1"/>
  <c r="A17053" i="1"/>
  <c r="P17053" i="1"/>
  <c r="A17054" i="1"/>
  <c r="P17054" i="1"/>
  <c r="A17055" i="1"/>
  <c r="P17055" i="1"/>
  <c r="A17056" i="1"/>
  <c r="P17056" i="1"/>
  <c r="A17057" i="1"/>
  <c r="P17057" i="1"/>
  <c r="A17058" i="1"/>
  <c r="P17058" i="1"/>
  <c r="A17059" i="1"/>
  <c r="P17059" i="1"/>
  <c r="A17060" i="1"/>
  <c r="P17060" i="1"/>
  <c r="A17061" i="1"/>
  <c r="P17061" i="1"/>
  <c r="A17062" i="1"/>
  <c r="P17062" i="1"/>
  <c r="A17063" i="1"/>
  <c r="P17063" i="1"/>
  <c r="A17064" i="1"/>
  <c r="P17064" i="1"/>
  <c r="A17065" i="1"/>
  <c r="P17065" i="1"/>
  <c r="A17066" i="1"/>
  <c r="P17066" i="1"/>
  <c r="A17067" i="1"/>
  <c r="P17067" i="1"/>
  <c r="A17068" i="1"/>
  <c r="P17068" i="1"/>
  <c r="A17069" i="1"/>
  <c r="P17069" i="1"/>
  <c r="A17070" i="1"/>
  <c r="P17070" i="1"/>
  <c r="A17071" i="1"/>
  <c r="P17071" i="1"/>
  <c r="A17072" i="1"/>
  <c r="P17072" i="1"/>
  <c r="A17073" i="1"/>
  <c r="P17073" i="1"/>
  <c r="A17074" i="1"/>
  <c r="P17074" i="1"/>
  <c r="A17075" i="1"/>
  <c r="P17075" i="1"/>
  <c r="A17076" i="1"/>
  <c r="P17076" i="1"/>
  <c r="A17077" i="1"/>
  <c r="P17077" i="1"/>
  <c r="A17078" i="1"/>
  <c r="P17078" i="1"/>
  <c r="A17079" i="1"/>
  <c r="P17079" i="1"/>
  <c r="A17080" i="1"/>
  <c r="P17080" i="1"/>
  <c r="A17081" i="1"/>
  <c r="P17081" i="1"/>
  <c r="A17082" i="1"/>
  <c r="P17082" i="1"/>
  <c r="A17083" i="1"/>
  <c r="P17083" i="1"/>
  <c r="A17084" i="1"/>
  <c r="P17084" i="1"/>
  <c r="A17085" i="1"/>
  <c r="P17085" i="1"/>
  <c r="A17086" i="1"/>
  <c r="P17086" i="1"/>
  <c r="A17087" i="1"/>
  <c r="P17087" i="1"/>
  <c r="A17088" i="1"/>
  <c r="P17088" i="1"/>
  <c r="A17089" i="1"/>
  <c r="P17089" i="1"/>
  <c r="A17090" i="1"/>
  <c r="P17090" i="1"/>
  <c r="A17091" i="1"/>
  <c r="P17091" i="1"/>
  <c r="A17092" i="1"/>
  <c r="P17092" i="1"/>
  <c r="A17093" i="1"/>
  <c r="P17093" i="1"/>
  <c r="A17094" i="1"/>
  <c r="P17094" i="1"/>
  <c r="A17095" i="1"/>
  <c r="P17095" i="1"/>
  <c r="A17096" i="1"/>
  <c r="P17096" i="1"/>
  <c r="A17097" i="1"/>
  <c r="P17097" i="1"/>
  <c r="A17098" i="1"/>
  <c r="P17098" i="1"/>
  <c r="A17099" i="1"/>
  <c r="P17099" i="1"/>
  <c r="A17100" i="1"/>
  <c r="P17100" i="1"/>
  <c r="A17101" i="1"/>
  <c r="P17101" i="1"/>
  <c r="A17102" i="1"/>
  <c r="P17102" i="1"/>
  <c r="A17103" i="1"/>
  <c r="P17103" i="1"/>
  <c r="A17104" i="1"/>
  <c r="P17104" i="1"/>
  <c r="A17105" i="1"/>
  <c r="P17105" i="1"/>
  <c r="A17106" i="1"/>
  <c r="P17106" i="1"/>
  <c r="A17107" i="1"/>
  <c r="P17107" i="1"/>
  <c r="A17108" i="1"/>
  <c r="P17108" i="1"/>
  <c r="A17109" i="1"/>
  <c r="P17109" i="1"/>
  <c r="A17110" i="1"/>
  <c r="P17110" i="1"/>
  <c r="A17111" i="1"/>
  <c r="P17111" i="1"/>
  <c r="A17112" i="1"/>
  <c r="P17112" i="1"/>
  <c r="A17113" i="1"/>
  <c r="P17113" i="1"/>
  <c r="A17114" i="1"/>
  <c r="P17114" i="1"/>
  <c r="A17115" i="1"/>
  <c r="P17115" i="1"/>
  <c r="A17116" i="1"/>
  <c r="P17116" i="1"/>
  <c r="A17117" i="1"/>
  <c r="P17117" i="1"/>
  <c r="A17118" i="1"/>
  <c r="P17118" i="1"/>
  <c r="A17119" i="1"/>
  <c r="P17119" i="1"/>
  <c r="A17120" i="1"/>
  <c r="P17120" i="1"/>
  <c r="A17121" i="1"/>
  <c r="P17121" i="1"/>
  <c r="A17122" i="1"/>
  <c r="P17122" i="1"/>
  <c r="A17123" i="1"/>
  <c r="P17123" i="1"/>
  <c r="A17124" i="1"/>
  <c r="P17124" i="1"/>
  <c r="A17125" i="1"/>
  <c r="P17125" i="1"/>
  <c r="A17126" i="1"/>
  <c r="P17126" i="1"/>
  <c r="A17127" i="1"/>
  <c r="P17127" i="1"/>
  <c r="A17128" i="1"/>
  <c r="P17128" i="1"/>
  <c r="A17129" i="1"/>
  <c r="P17129" i="1"/>
  <c r="A17130" i="1"/>
  <c r="P17130" i="1"/>
  <c r="A17131" i="1"/>
  <c r="P17131" i="1"/>
  <c r="A17132" i="1"/>
  <c r="P17132" i="1"/>
  <c r="A17133" i="1"/>
  <c r="P17133" i="1"/>
  <c r="A17134" i="1"/>
  <c r="P17134" i="1"/>
  <c r="A17135" i="1"/>
  <c r="P17135" i="1"/>
  <c r="A17136" i="1"/>
  <c r="P17136" i="1"/>
  <c r="A17137" i="1"/>
  <c r="P17137" i="1"/>
  <c r="A17138" i="1"/>
  <c r="P17138" i="1"/>
  <c r="A17139" i="1"/>
  <c r="P17139" i="1"/>
  <c r="A17140" i="1"/>
  <c r="P17140" i="1"/>
  <c r="A17141" i="1"/>
  <c r="P17141" i="1"/>
  <c r="A17142" i="1"/>
  <c r="P17142" i="1"/>
  <c r="A17143" i="1"/>
  <c r="P17143" i="1"/>
  <c r="A17144" i="1"/>
  <c r="P17144" i="1"/>
  <c r="A17145" i="1"/>
  <c r="P17145" i="1"/>
  <c r="A17146" i="1"/>
  <c r="P17146" i="1"/>
  <c r="A17147" i="1"/>
  <c r="P17147" i="1"/>
  <c r="A17148" i="1"/>
  <c r="P17148" i="1"/>
  <c r="A17149" i="1"/>
  <c r="P17149" i="1"/>
  <c r="A17150" i="1"/>
  <c r="P17150" i="1"/>
  <c r="A17151" i="1"/>
  <c r="P17151" i="1"/>
  <c r="A17152" i="1"/>
  <c r="P17152" i="1"/>
  <c r="A17153" i="1"/>
  <c r="P17153" i="1"/>
  <c r="A17154" i="1"/>
  <c r="P17154" i="1"/>
  <c r="A17155" i="1"/>
  <c r="P17155" i="1"/>
  <c r="A17156" i="1"/>
  <c r="P17156" i="1"/>
  <c r="A17157" i="1"/>
  <c r="P17157" i="1"/>
  <c r="A17158" i="1"/>
  <c r="P17158" i="1"/>
  <c r="A17159" i="1"/>
  <c r="P17159" i="1"/>
  <c r="A17160" i="1"/>
  <c r="P17160" i="1"/>
  <c r="A17161" i="1"/>
  <c r="P17161" i="1"/>
  <c r="A17162" i="1"/>
  <c r="P17162" i="1"/>
  <c r="A17163" i="1"/>
  <c r="P17163" i="1"/>
  <c r="A17164" i="1"/>
  <c r="P17164" i="1"/>
  <c r="A17165" i="1"/>
  <c r="P17165" i="1"/>
  <c r="A17166" i="1"/>
  <c r="P17166" i="1"/>
  <c r="A17167" i="1"/>
  <c r="P17167" i="1"/>
  <c r="A17168" i="1"/>
  <c r="P17168" i="1"/>
  <c r="A17169" i="1"/>
  <c r="P17169" i="1"/>
  <c r="A17170" i="1"/>
  <c r="P17170" i="1"/>
  <c r="A17171" i="1"/>
  <c r="P17171" i="1"/>
  <c r="A17172" i="1"/>
  <c r="P17172" i="1"/>
  <c r="A17173" i="1"/>
  <c r="P17173" i="1"/>
  <c r="A17174" i="1"/>
  <c r="P17174" i="1"/>
  <c r="A17175" i="1"/>
  <c r="P17175" i="1"/>
  <c r="A17176" i="1"/>
  <c r="P17176" i="1"/>
  <c r="A17177" i="1"/>
  <c r="P17177" i="1"/>
  <c r="A17178" i="1"/>
  <c r="P17178" i="1"/>
  <c r="A17179" i="1"/>
  <c r="P17179" i="1"/>
  <c r="A17180" i="1"/>
  <c r="P17180" i="1"/>
  <c r="A17181" i="1"/>
  <c r="P17181" i="1"/>
  <c r="A17182" i="1"/>
  <c r="P17182" i="1"/>
  <c r="A17183" i="1"/>
  <c r="P17183" i="1"/>
  <c r="A17184" i="1"/>
  <c r="P17184" i="1"/>
  <c r="A17185" i="1"/>
  <c r="P17185" i="1"/>
  <c r="A17186" i="1"/>
  <c r="P17186" i="1"/>
  <c r="A17187" i="1"/>
  <c r="P17187" i="1"/>
  <c r="A17188" i="1"/>
  <c r="P17188" i="1"/>
  <c r="A17189" i="1"/>
  <c r="P17189" i="1"/>
  <c r="A17190" i="1"/>
  <c r="P17190" i="1"/>
  <c r="A17191" i="1"/>
  <c r="P17191" i="1"/>
  <c r="A17192" i="1"/>
  <c r="P17192" i="1"/>
  <c r="A17193" i="1"/>
  <c r="P17193" i="1"/>
  <c r="A17194" i="1"/>
  <c r="P17194" i="1"/>
  <c r="A17195" i="1"/>
  <c r="P17195" i="1"/>
  <c r="A17196" i="1"/>
  <c r="P17196" i="1"/>
  <c r="A17197" i="1"/>
  <c r="P17197" i="1"/>
  <c r="A17198" i="1"/>
  <c r="P17198" i="1"/>
  <c r="A17199" i="1"/>
  <c r="P17199" i="1"/>
  <c r="A17200" i="1"/>
  <c r="P17200" i="1"/>
  <c r="A17201" i="1"/>
  <c r="P17201" i="1"/>
  <c r="A17202" i="1"/>
  <c r="P17202" i="1"/>
  <c r="A17203" i="1"/>
  <c r="P17203" i="1"/>
  <c r="A17204" i="1"/>
  <c r="P17204" i="1"/>
  <c r="A17205" i="1"/>
  <c r="P17205" i="1"/>
  <c r="A17206" i="1"/>
  <c r="P17206" i="1"/>
  <c r="A17207" i="1"/>
  <c r="P17207" i="1"/>
  <c r="A17208" i="1"/>
  <c r="P17208" i="1"/>
  <c r="A17209" i="1"/>
  <c r="P17209" i="1"/>
  <c r="A17210" i="1"/>
  <c r="P17210" i="1"/>
  <c r="A17211" i="1"/>
  <c r="P17211" i="1"/>
  <c r="A17212" i="1"/>
  <c r="P17212" i="1"/>
  <c r="A17213" i="1"/>
  <c r="P17213" i="1"/>
  <c r="A17214" i="1"/>
  <c r="P17214" i="1"/>
  <c r="A17215" i="1"/>
  <c r="P17215" i="1"/>
  <c r="A17216" i="1"/>
  <c r="P17216" i="1"/>
  <c r="A17217" i="1"/>
  <c r="P17217" i="1"/>
  <c r="A17218" i="1"/>
  <c r="P17218" i="1"/>
  <c r="A17219" i="1"/>
  <c r="P17219" i="1"/>
  <c r="A17220" i="1"/>
  <c r="P17220" i="1"/>
  <c r="A17221" i="1"/>
  <c r="P17221" i="1"/>
  <c r="A17222" i="1"/>
  <c r="P17222" i="1"/>
  <c r="A17223" i="1"/>
  <c r="P17223" i="1"/>
  <c r="A17224" i="1"/>
  <c r="P17224" i="1"/>
  <c r="A17225" i="1"/>
  <c r="P17225" i="1"/>
  <c r="A17226" i="1"/>
  <c r="P17226" i="1"/>
  <c r="A17227" i="1"/>
  <c r="P17227" i="1"/>
  <c r="A17228" i="1"/>
  <c r="P17228" i="1"/>
  <c r="A17229" i="1"/>
  <c r="P17229" i="1"/>
  <c r="A17230" i="1"/>
  <c r="P17230" i="1"/>
  <c r="A17231" i="1"/>
  <c r="P17231" i="1"/>
  <c r="A17232" i="1"/>
  <c r="P17232" i="1"/>
  <c r="A17233" i="1"/>
  <c r="P17233" i="1"/>
  <c r="A17234" i="1"/>
  <c r="P17234" i="1"/>
  <c r="A17235" i="1"/>
  <c r="P17235" i="1"/>
  <c r="A17236" i="1"/>
  <c r="P17236" i="1"/>
  <c r="A17237" i="1"/>
  <c r="P17237" i="1"/>
  <c r="A17238" i="1"/>
  <c r="P17238" i="1"/>
  <c r="A17239" i="1"/>
  <c r="P17239" i="1"/>
  <c r="A17240" i="1"/>
  <c r="P17240" i="1"/>
  <c r="A17241" i="1"/>
  <c r="P17241" i="1"/>
  <c r="A17242" i="1"/>
  <c r="P17242" i="1"/>
  <c r="A17243" i="1"/>
  <c r="P17243" i="1"/>
  <c r="A17244" i="1"/>
  <c r="P17244" i="1"/>
  <c r="A17245" i="1"/>
  <c r="P17245" i="1"/>
  <c r="A17246" i="1"/>
  <c r="P17246" i="1"/>
  <c r="A17247" i="1"/>
  <c r="P17247" i="1"/>
  <c r="A17248" i="1"/>
  <c r="P17248" i="1"/>
  <c r="A17249" i="1"/>
  <c r="P17249" i="1"/>
  <c r="A17250" i="1"/>
  <c r="P17250" i="1"/>
  <c r="A17251" i="1"/>
  <c r="P17251" i="1"/>
  <c r="A17252" i="1"/>
  <c r="P17252" i="1"/>
  <c r="A17253" i="1"/>
  <c r="P17253" i="1"/>
  <c r="A17254" i="1"/>
  <c r="P17254" i="1"/>
  <c r="A17255" i="1"/>
  <c r="P17255" i="1"/>
  <c r="A17256" i="1"/>
  <c r="P17256" i="1"/>
  <c r="A17257" i="1"/>
  <c r="P17257" i="1"/>
  <c r="A17258" i="1"/>
  <c r="P17258" i="1"/>
  <c r="A17259" i="1"/>
  <c r="P17259" i="1"/>
  <c r="A17260" i="1"/>
  <c r="P17260" i="1"/>
  <c r="A17261" i="1"/>
  <c r="P17261" i="1"/>
  <c r="A17262" i="1"/>
  <c r="P17262" i="1"/>
  <c r="A17263" i="1"/>
  <c r="P17263" i="1"/>
  <c r="A17264" i="1"/>
  <c r="P17264" i="1"/>
  <c r="A17265" i="1"/>
  <c r="P17265" i="1"/>
  <c r="A17266" i="1"/>
  <c r="P17266" i="1"/>
  <c r="A17267" i="1"/>
  <c r="P17267" i="1"/>
  <c r="A17268" i="1"/>
  <c r="P17268" i="1"/>
  <c r="A17269" i="1"/>
  <c r="P17269" i="1"/>
  <c r="A17270" i="1"/>
  <c r="P17270" i="1"/>
  <c r="A17271" i="1"/>
  <c r="P17271" i="1"/>
  <c r="A17272" i="1"/>
  <c r="P17272" i="1"/>
  <c r="A17273" i="1"/>
  <c r="P17273" i="1"/>
  <c r="A17274" i="1"/>
  <c r="P17274" i="1"/>
  <c r="A17275" i="1"/>
  <c r="P17275" i="1"/>
  <c r="A17276" i="1"/>
  <c r="P17276" i="1"/>
  <c r="A17277" i="1"/>
  <c r="P17277" i="1"/>
  <c r="A17278" i="1"/>
  <c r="P17278" i="1"/>
  <c r="A17279" i="1"/>
  <c r="P17279" i="1"/>
  <c r="A17280" i="1"/>
  <c r="P17280" i="1"/>
  <c r="A17281" i="1"/>
  <c r="P17281" i="1"/>
  <c r="A17282" i="1"/>
  <c r="P17282" i="1"/>
  <c r="A17283" i="1"/>
  <c r="P17283" i="1"/>
  <c r="A17284" i="1"/>
  <c r="P17284" i="1"/>
  <c r="A17285" i="1"/>
  <c r="P17285" i="1"/>
  <c r="A17286" i="1"/>
  <c r="P17286" i="1"/>
  <c r="A17287" i="1"/>
  <c r="P17287" i="1"/>
  <c r="A17288" i="1"/>
  <c r="P17288" i="1"/>
  <c r="A17289" i="1"/>
  <c r="P17289" i="1"/>
  <c r="A17290" i="1"/>
  <c r="P17290" i="1"/>
  <c r="A17291" i="1"/>
  <c r="P17291" i="1"/>
  <c r="A17292" i="1"/>
  <c r="P17292" i="1"/>
  <c r="A17293" i="1"/>
  <c r="P17293" i="1"/>
  <c r="A17294" i="1"/>
  <c r="P17294" i="1"/>
  <c r="A17295" i="1"/>
  <c r="P17295" i="1"/>
  <c r="A17296" i="1"/>
  <c r="P17296" i="1"/>
  <c r="A17297" i="1"/>
  <c r="P17297" i="1"/>
  <c r="A17298" i="1"/>
  <c r="P17298" i="1"/>
  <c r="A17299" i="1"/>
  <c r="P17299" i="1"/>
  <c r="A17300" i="1"/>
  <c r="P17300" i="1"/>
  <c r="A17301" i="1"/>
  <c r="P17301" i="1"/>
  <c r="A17302" i="1"/>
  <c r="P17302" i="1"/>
  <c r="A17303" i="1"/>
  <c r="P17303" i="1"/>
  <c r="A17304" i="1"/>
  <c r="P17304" i="1"/>
  <c r="A17305" i="1"/>
  <c r="P17305" i="1"/>
  <c r="A17306" i="1"/>
  <c r="P17306" i="1"/>
  <c r="A17307" i="1"/>
  <c r="P17307" i="1"/>
  <c r="A17308" i="1"/>
  <c r="P17308" i="1"/>
  <c r="A17309" i="1"/>
  <c r="P17309" i="1"/>
  <c r="A17310" i="1"/>
  <c r="P17310" i="1"/>
  <c r="A17311" i="1"/>
  <c r="P17311" i="1"/>
  <c r="A17312" i="1"/>
  <c r="P17312" i="1"/>
  <c r="A17313" i="1"/>
  <c r="P17313" i="1"/>
  <c r="A17314" i="1"/>
  <c r="P17314" i="1"/>
  <c r="A17315" i="1"/>
  <c r="P17315" i="1"/>
  <c r="A17316" i="1"/>
  <c r="P17316" i="1"/>
  <c r="A17317" i="1"/>
  <c r="P17317" i="1"/>
  <c r="A17318" i="1"/>
  <c r="P17318" i="1"/>
  <c r="A17319" i="1"/>
  <c r="P17319" i="1"/>
  <c r="A17320" i="1"/>
  <c r="P17320" i="1"/>
  <c r="A17321" i="1"/>
  <c r="P17321" i="1"/>
  <c r="A17322" i="1"/>
  <c r="P17322" i="1"/>
  <c r="A17323" i="1"/>
  <c r="P17323" i="1"/>
  <c r="A17324" i="1"/>
  <c r="P17324" i="1"/>
  <c r="A17325" i="1"/>
  <c r="P17325" i="1"/>
  <c r="A17326" i="1"/>
  <c r="P17326" i="1"/>
  <c r="A17327" i="1"/>
  <c r="P17327" i="1"/>
  <c r="A17328" i="1"/>
  <c r="P17328" i="1"/>
  <c r="A17329" i="1"/>
  <c r="P17329" i="1"/>
  <c r="A17330" i="1"/>
  <c r="P17330" i="1"/>
  <c r="A17331" i="1"/>
  <c r="P17331" i="1"/>
  <c r="A17332" i="1"/>
  <c r="P17332" i="1"/>
  <c r="A17333" i="1"/>
  <c r="P17333" i="1"/>
  <c r="A17334" i="1"/>
  <c r="P17334" i="1"/>
  <c r="A17335" i="1"/>
  <c r="P17335" i="1"/>
  <c r="A17336" i="1"/>
  <c r="P17336" i="1"/>
  <c r="A17337" i="1"/>
  <c r="P17337" i="1"/>
  <c r="A17338" i="1"/>
  <c r="P17338" i="1"/>
  <c r="A17339" i="1"/>
  <c r="P17339" i="1"/>
  <c r="A17340" i="1"/>
  <c r="P17340" i="1"/>
  <c r="A17341" i="1"/>
  <c r="P17341" i="1"/>
  <c r="A17342" i="1"/>
  <c r="P17342" i="1"/>
  <c r="A17343" i="1"/>
  <c r="P17343" i="1"/>
  <c r="A17344" i="1"/>
  <c r="P17344" i="1"/>
  <c r="A17345" i="1"/>
  <c r="P17345" i="1"/>
  <c r="A17346" i="1"/>
  <c r="P17346" i="1"/>
  <c r="A17347" i="1"/>
  <c r="P17347" i="1"/>
  <c r="A17348" i="1"/>
  <c r="P17348" i="1"/>
  <c r="A17349" i="1"/>
  <c r="P17349" i="1"/>
  <c r="A17350" i="1"/>
  <c r="P17350" i="1"/>
  <c r="A17351" i="1"/>
  <c r="P17351" i="1"/>
  <c r="A17352" i="1"/>
  <c r="P17352" i="1"/>
  <c r="A17353" i="1"/>
  <c r="P17353" i="1"/>
  <c r="A17354" i="1"/>
  <c r="P17354" i="1"/>
  <c r="A17355" i="1"/>
  <c r="P17355" i="1"/>
  <c r="A17356" i="1"/>
  <c r="P17356" i="1"/>
  <c r="A17357" i="1"/>
  <c r="P17357" i="1"/>
  <c r="A17358" i="1"/>
  <c r="P17358" i="1"/>
  <c r="A17359" i="1"/>
  <c r="P17359" i="1"/>
  <c r="A17360" i="1"/>
  <c r="P17360" i="1"/>
  <c r="A17361" i="1"/>
  <c r="P17361" i="1"/>
  <c r="A17362" i="1"/>
  <c r="P17362" i="1"/>
  <c r="A17363" i="1"/>
  <c r="P17363" i="1"/>
  <c r="A17364" i="1"/>
  <c r="P17364" i="1"/>
  <c r="A17365" i="1"/>
  <c r="P17365" i="1"/>
  <c r="A17366" i="1"/>
  <c r="P17366" i="1"/>
  <c r="A17367" i="1"/>
  <c r="P17367" i="1"/>
  <c r="A17368" i="1"/>
  <c r="P17368" i="1"/>
  <c r="A17369" i="1"/>
  <c r="P17369" i="1"/>
  <c r="A17370" i="1"/>
  <c r="P17370" i="1"/>
  <c r="A17371" i="1"/>
  <c r="P17371" i="1"/>
  <c r="A17372" i="1"/>
  <c r="P17372" i="1"/>
  <c r="A17373" i="1"/>
  <c r="P17373" i="1"/>
  <c r="A17374" i="1"/>
  <c r="P17374" i="1"/>
  <c r="A17375" i="1"/>
  <c r="P17375" i="1"/>
  <c r="A17376" i="1"/>
  <c r="P17376" i="1"/>
  <c r="A17377" i="1"/>
  <c r="P17377" i="1"/>
  <c r="A17378" i="1"/>
  <c r="P17378" i="1"/>
  <c r="A17379" i="1"/>
  <c r="P17379" i="1"/>
  <c r="A17380" i="1"/>
  <c r="P17380" i="1"/>
  <c r="A17381" i="1"/>
  <c r="P17381" i="1"/>
  <c r="A17382" i="1"/>
  <c r="P17382" i="1"/>
  <c r="A17383" i="1"/>
  <c r="P17383" i="1"/>
  <c r="A17384" i="1"/>
  <c r="P17384" i="1"/>
  <c r="A17385" i="1"/>
  <c r="P17385" i="1"/>
  <c r="A17386" i="1"/>
  <c r="P17386" i="1"/>
  <c r="A17387" i="1"/>
  <c r="P17387" i="1"/>
  <c r="A17388" i="1"/>
  <c r="P17388" i="1"/>
  <c r="A17389" i="1"/>
  <c r="P17389" i="1"/>
  <c r="A17390" i="1"/>
  <c r="P17390" i="1"/>
  <c r="A17391" i="1"/>
  <c r="P17391" i="1"/>
  <c r="A17392" i="1"/>
  <c r="P17392" i="1"/>
  <c r="A17393" i="1"/>
  <c r="P17393" i="1"/>
  <c r="A17394" i="1"/>
  <c r="P17394" i="1"/>
  <c r="A17395" i="1"/>
  <c r="P17395" i="1"/>
  <c r="A17396" i="1"/>
  <c r="P17396" i="1"/>
  <c r="A17397" i="1"/>
  <c r="P17397" i="1"/>
  <c r="A17398" i="1"/>
  <c r="P17398" i="1"/>
  <c r="A17399" i="1"/>
  <c r="P17399" i="1"/>
  <c r="A17400" i="1"/>
  <c r="P17400" i="1"/>
  <c r="A17401" i="1"/>
  <c r="P17401" i="1"/>
  <c r="A17402" i="1"/>
  <c r="P17402" i="1"/>
  <c r="A17403" i="1"/>
  <c r="P17403" i="1"/>
  <c r="A17404" i="1"/>
  <c r="P17404" i="1"/>
  <c r="A17405" i="1"/>
  <c r="P17405" i="1"/>
  <c r="A17406" i="1"/>
  <c r="P17406" i="1"/>
  <c r="A17407" i="1"/>
  <c r="P17407" i="1"/>
  <c r="A17408" i="1"/>
  <c r="P17408" i="1"/>
  <c r="A17409" i="1"/>
  <c r="P17409" i="1"/>
  <c r="A17410" i="1"/>
  <c r="P17410" i="1"/>
  <c r="A17411" i="1"/>
  <c r="P17411" i="1"/>
  <c r="A17412" i="1"/>
  <c r="P17412" i="1"/>
  <c r="A17413" i="1"/>
  <c r="P17413" i="1"/>
  <c r="A17414" i="1"/>
  <c r="P17414" i="1"/>
  <c r="A17415" i="1"/>
  <c r="P17415" i="1"/>
  <c r="A17416" i="1"/>
  <c r="P17416" i="1"/>
  <c r="A17417" i="1"/>
  <c r="P17417" i="1"/>
  <c r="A17418" i="1"/>
  <c r="P17418" i="1"/>
  <c r="A17419" i="1"/>
  <c r="P17419" i="1"/>
  <c r="A17420" i="1"/>
  <c r="P17420" i="1"/>
  <c r="A17421" i="1"/>
  <c r="P17421" i="1"/>
  <c r="A17422" i="1"/>
  <c r="P17422" i="1"/>
  <c r="A17423" i="1"/>
  <c r="P17423" i="1"/>
  <c r="A17424" i="1"/>
  <c r="P17424" i="1"/>
  <c r="A17425" i="1"/>
  <c r="P17425" i="1"/>
  <c r="A17426" i="1"/>
  <c r="P17426" i="1"/>
  <c r="A17427" i="1"/>
  <c r="P17427" i="1"/>
  <c r="A17428" i="1"/>
  <c r="P17428" i="1"/>
  <c r="A17429" i="1"/>
  <c r="P17429" i="1"/>
  <c r="A17430" i="1"/>
  <c r="P17430" i="1"/>
  <c r="A17431" i="1"/>
  <c r="P17431" i="1"/>
  <c r="A17432" i="1"/>
  <c r="P17432" i="1"/>
  <c r="A17433" i="1"/>
  <c r="P17433" i="1"/>
  <c r="A17434" i="1"/>
  <c r="P17434" i="1"/>
  <c r="A17435" i="1"/>
  <c r="P17435" i="1"/>
  <c r="A17436" i="1"/>
  <c r="P17436" i="1"/>
  <c r="A17437" i="1"/>
  <c r="P17437" i="1"/>
  <c r="A17438" i="1"/>
  <c r="P17438" i="1"/>
  <c r="A17439" i="1"/>
  <c r="P17439" i="1"/>
  <c r="A17440" i="1"/>
  <c r="P17440" i="1"/>
  <c r="A17441" i="1"/>
  <c r="P17441" i="1"/>
  <c r="A17442" i="1"/>
  <c r="P17442" i="1"/>
  <c r="A17443" i="1"/>
  <c r="P17443" i="1"/>
  <c r="A17444" i="1"/>
  <c r="P17444" i="1"/>
  <c r="A17445" i="1"/>
  <c r="P17445" i="1"/>
  <c r="A17446" i="1"/>
  <c r="P17446" i="1"/>
  <c r="A17447" i="1"/>
  <c r="P17447" i="1"/>
  <c r="A17448" i="1"/>
  <c r="P17448" i="1"/>
  <c r="A17449" i="1"/>
  <c r="P17449" i="1"/>
  <c r="A17450" i="1"/>
  <c r="P17450" i="1"/>
  <c r="A17451" i="1"/>
  <c r="P17451" i="1"/>
  <c r="A17452" i="1"/>
  <c r="P17452" i="1"/>
  <c r="A17453" i="1"/>
  <c r="P17453" i="1"/>
  <c r="A17454" i="1"/>
  <c r="P17454" i="1"/>
  <c r="A17455" i="1"/>
  <c r="P17455" i="1"/>
  <c r="A17456" i="1"/>
  <c r="P17456" i="1"/>
  <c r="A17457" i="1"/>
  <c r="P17457" i="1"/>
  <c r="A17458" i="1"/>
  <c r="P17458" i="1"/>
  <c r="A17459" i="1"/>
  <c r="P17459" i="1"/>
  <c r="A17460" i="1"/>
  <c r="P17460" i="1"/>
  <c r="A17461" i="1"/>
  <c r="P17461" i="1"/>
  <c r="A17462" i="1"/>
  <c r="P17462" i="1"/>
  <c r="A17463" i="1"/>
  <c r="P17463" i="1"/>
  <c r="A17464" i="1"/>
  <c r="P17464" i="1"/>
  <c r="A17465" i="1"/>
  <c r="P17465" i="1"/>
  <c r="A17466" i="1"/>
  <c r="P17466" i="1"/>
  <c r="A17467" i="1"/>
  <c r="P17467" i="1"/>
  <c r="A17468" i="1"/>
  <c r="P17468" i="1"/>
  <c r="A17469" i="1"/>
  <c r="P17469" i="1"/>
  <c r="A17470" i="1"/>
  <c r="P17470" i="1"/>
  <c r="A17471" i="1"/>
  <c r="P17471" i="1"/>
  <c r="A17472" i="1"/>
  <c r="P17472" i="1"/>
  <c r="A17473" i="1"/>
  <c r="P17473" i="1"/>
  <c r="A17474" i="1"/>
  <c r="P17474" i="1"/>
  <c r="A17475" i="1"/>
  <c r="P17475" i="1"/>
  <c r="A17476" i="1"/>
  <c r="P17476" i="1"/>
  <c r="A17477" i="1"/>
  <c r="P17477" i="1"/>
  <c r="A17478" i="1"/>
  <c r="P17478" i="1"/>
  <c r="A17479" i="1"/>
  <c r="P17479" i="1"/>
  <c r="A17480" i="1"/>
  <c r="P17480" i="1"/>
  <c r="A17481" i="1"/>
  <c r="P17481" i="1"/>
  <c r="A17482" i="1"/>
  <c r="P17482" i="1"/>
  <c r="A17483" i="1"/>
  <c r="P17483" i="1"/>
  <c r="A17484" i="1"/>
  <c r="P17484" i="1"/>
  <c r="A17485" i="1"/>
  <c r="P17485" i="1"/>
  <c r="A17486" i="1"/>
  <c r="P17486" i="1"/>
  <c r="A17487" i="1"/>
  <c r="P17487" i="1"/>
  <c r="A17488" i="1"/>
  <c r="P17488" i="1"/>
  <c r="A17489" i="1"/>
  <c r="P17489" i="1"/>
  <c r="A17490" i="1"/>
  <c r="P17490" i="1"/>
  <c r="A17491" i="1"/>
  <c r="P17491" i="1"/>
  <c r="A17492" i="1"/>
  <c r="P17492" i="1"/>
  <c r="A17493" i="1"/>
  <c r="P17493" i="1"/>
  <c r="A17494" i="1"/>
  <c r="P17494" i="1"/>
  <c r="A17495" i="1"/>
  <c r="P17495" i="1"/>
  <c r="A17496" i="1"/>
  <c r="P17496" i="1"/>
  <c r="A17497" i="1"/>
  <c r="P17497" i="1"/>
  <c r="A17498" i="1"/>
  <c r="P17498" i="1"/>
  <c r="A17499" i="1"/>
  <c r="P17499" i="1"/>
  <c r="A17500" i="1"/>
  <c r="P17500" i="1"/>
  <c r="A17501" i="1"/>
  <c r="P17501" i="1"/>
  <c r="A17502" i="1"/>
  <c r="P17502" i="1"/>
  <c r="A17503" i="1"/>
  <c r="P17503" i="1"/>
  <c r="A17504" i="1"/>
  <c r="P17504" i="1"/>
  <c r="A17505" i="1"/>
  <c r="P17505" i="1"/>
  <c r="A17506" i="1"/>
  <c r="P17506" i="1"/>
  <c r="A17507" i="1"/>
  <c r="P17507" i="1"/>
  <c r="A17508" i="1"/>
  <c r="P17508" i="1"/>
  <c r="A17509" i="1"/>
  <c r="P17509" i="1"/>
  <c r="A17510" i="1"/>
  <c r="P17510" i="1"/>
  <c r="A17511" i="1"/>
  <c r="P17511" i="1"/>
  <c r="A17512" i="1"/>
  <c r="P17512" i="1"/>
  <c r="A17513" i="1"/>
  <c r="P17513" i="1"/>
  <c r="A17514" i="1"/>
  <c r="P17514" i="1"/>
  <c r="A17515" i="1"/>
  <c r="P17515" i="1"/>
  <c r="A17516" i="1"/>
  <c r="P17516" i="1"/>
  <c r="A17517" i="1"/>
  <c r="P17517" i="1"/>
  <c r="A17518" i="1"/>
  <c r="P17518" i="1"/>
  <c r="A17519" i="1"/>
  <c r="P17519" i="1"/>
  <c r="A17520" i="1"/>
  <c r="P17520" i="1"/>
  <c r="A17521" i="1"/>
  <c r="P17521" i="1"/>
  <c r="A17522" i="1"/>
  <c r="P17522" i="1"/>
  <c r="A17523" i="1"/>
  <c r="P17523" i="1"/>
  <c r="A17524" i="1"/>
  <c r="P17524" i="1"/>
  <c r="A17525" i="1"/>
  <c r="P17525" i="1"/>
  <c r="A17526" i="1"/>
  <c r="P17526" i="1"/>
  <c r="A17527" i="1"/>
  <c r="P17527" i="1"/>
  <c r="A17528" i="1"/>
  <c r="P17528" i="1"/>
  <c r="A17529" i="1"/>
  <c r="P17529" i="1"/>
  <c r="A17530" i="1"/>
  <c r="P17530" i="1"/>
  <c r="A17531" i="1"/>
  <c r="P17531" i="1"/>
  <c r="A17532" i="1"/>
  <c r="P17532" i="1"/>
  <c r="A17533" i="1"/>
  <c r="P17533" i="1"/>
  <c r="A17534" i="1"/>
  <c r="P17534" i="1"/>
  <c r="A17535" i="1"/>
  <c r="P17535" i="1"/>
  <c r="A17536" i="1"/>
  <c r="P17536" i="1"/>
  <c r="A17537" i="1"/>
  <c r="P17537" i="1"/>
  <c r="A17538" i="1"/>
  <c r="P17538" i="1"/>
  <c r="A17539" i="1"/>
  <c r="P17539" i="1"/>
  <c r="A17540" i="1"/>
  <c r="P17540" i="1"/>
  <c r="A17541" i="1"/>
  <c r="P17541" i="1"/>
  <c r="A17542" i="1"/>
  <c r="P17542" i="1"/>
  <c r="A17543" i="1"/>
  <c r="P17543" i="1"/>
  <c r="A17544" i="1"/>
  <c r="P17544" i="1"/>
  <c r="A17545" i="1"/>
  <c r="P17545" i="1"/>
  <c r="A17546" i="1"/>
  <c r="P17546" i="1"/>
  <c r="A17547" i="1"/>
  <c r="P17547" i="1"/>
  <c r="A17548" i="1"/>
  <c r="P17548" i="1"/>
  <c r="A17549" i="1"/>
  <c r="P17549" i="1"/>
  <c r="A17550" i="1"/>
  <c r="P17550" i="1"/>
  <c r="A17551" i="1"/>
  <c r="P17551" i="1"/>
  <c r="A17552" i="1"/>
  <c r="P17552" i="1"/>
  <c r="A17553" i="1"/>
  <c r="P17553" i="1"/>
  <c r="A17554" i="1"/>
  <c r="P17554" i="1"/>
  <c r="A17555" i="1"/>
  <c r="P17555" i="1"/>
  <c r="A17556" i="1"/>
  <c r="P17556" i="1"/>
  <c r="A17557" i="1"/>
  <c r="P17557" i="1"/>
  <c r="A17558" i="1"/>
  <c r="P17558" i="1"/>
  <c r="A17559" i="1"/>
  <c r="P17559" i="1"/>
  <c r="A17560" i="1"/>
  <c r="P17560" i="1"/>
  <c r="A17561" i="1"/>
  <c r="P17561" i="1"/>
  <c r="A17562" i="1"/>
  <c r="P17562" i="1"/>
  <c r="A17563" i="1"/>
  <c r="P17563" i="1"/>
  <c r="A17564" i="1"/>
  <c r="P17564" i="1"/>
  <c r="A17565" i="1"/>
  <c r="P17565" i="1"/>
  <c r="A17566" i="1"/>
  <c r="P17566" i="1"/>
  <c r="A17567" i="1"/>
  <c r="P17567" i="1"/>
  <c r="A17568" i="1"/>
  <c r="P17568" i="1"/>
  <c r="A17569" i="1"/>
  <c r="P17569" i="1"/>
  <c r="A17570" i="1"/>
  <c r="P17570" i="1"/>
  <c r="A17571" i="1"/>
  <c r="P17571" i="1"/>
  <c r="A17572" i="1"/>
  <c r="P17572" i="1"/>
  <c r="A17573" i="1"/>
  <c r="P17573" i="1"/>
  <c r="A17574" i="1"/>
  <c r="P17574" i="1"/>
  <c r="A17575" i="1"/>
  <c r="P17575" i="1"/>
  <c r="A17576" i="1"/>
  <c r="P17576" i="1"/>
  <c r="A17577" i="1"/>
  <c r="P17577" i="1"/>
  <c r="A17578" i="1"/>
  <c r="P17578" i="1"/>
  <c r="A17579" i="1"/>
  <c r="P17579" i="1"/>
  <c r="A17580" i="1"/>
  <c r="P17580" i="1"/>
  <c r="A17581" i="1"/>
  <c r="P17581" i="1"/>
  <c r="A17582" i="1"/>
  <c r="P17582" i="1"/>
  <c r="A17583" i="1"/>
  <c r="P17583" i="1"/>
  <c r="A17584" i="1"/>
  <c r="P17584" i="1"/>
  <c r="A17585" i="1"/>
  <c r="P17585" i="1"/>
  <c r="A17586" i="1"/>
  <c r="P17586" i="1"/>
  <c r="A17587" i="1"/>
  <c r="P17587" i="1"/>
  <c r="A17588" i="1"/>
  <c r="P17588" i="1"/>
  <c r="A17589" i="1"/>
  <c r="P17589" i="1"/>
  <c r="A17590" i="1"/>
  <c r="P17590" i="1"/>
  <c r="A17591" i="1"/>
  <c r="P17591" i="1"/>
  <c r="A17592" i="1"/>
  <c r="P17592" i="1"/>
  <c r="A17593" i="1"/>
  <c r="P17593" i="1"/>
  <c r="A17594" i="1"/>
  <c r="P17594" i="1"/>
  <c r="A17595" i="1"/>
  <c r="P17595" i="1"/>
  <c r="A17596" i="1"/>
  <c r="P17596" i="1"/>
  <c r="A17597" i="1"/>
  <c r="P17597" i="1"/>
  <c r="A17598" i="1"/>
  <c r="P17598" i="1"/>
  <c r="A17599" i="1"/>
  <c r="P17599" i="1"/>
  <c r="A17600" i="1"/>
  <c r="P17600" i="1"/>
  <c r="A17601" i="1"/>
  <c r="P17601" i="1"/>
  <c r="A17602" i="1"/>
  <c r="P17602" i="1"/>
  <c r="A17603" i="1"/>
  <c r="P17603" i="1"/>
  <c r="A17604" i="1"/>
  <c r="P17604" i="1"/>
  <c r="A17605" i="1"/>
  <c r="P17605" i="1"/>
  <c r="A17606" i="1"/>
  <c r="P17606" i="1"/>
  <c r="A17607" i="1"/>
  <c r="P17607" i="1"/>
  <c r="A17608" i="1"/>
  <c r="P17608" i="1"/>
  <c r="A17609" i="1"/>
  <c r="P17609" i="1"/>
  <c r="A17610" i="1"/>
  <c r="P17610" i="1"/>
  <c r="A17611" i="1"/>
  <c r="P17611" i="1"/>
  <c r="A17612" i="1"/>
  <c r="P17612" i="1"/>
  <c r="A17613" i="1"/>
  <c r="P17613" i="1"/>
  <c r="A17614" i="1"/>
  <c r="P17614" i="1"/>
  <c r="A17615" i="1"/>
  <c r="P17615" i="1"/>
  <c r="A17616" i="1"/>
  <c r="P17616" i="1"/>
  <c r="A17617" i="1"/>
  <c r="P17617" i="1"/>
  <c r="A17618" i="1"/>
  <c r="P17618" i="1"/>
  <c r="A17619" i="1"/>
  <c r="P17619" i="1"/>
  <c r="A17620" i="1"/>
  <c r="P17620" i="1"/>
  <c r="A17621" i="1"/>
  <c r="P17621" i="1"/>
  <c r="A17622" i="1"/>
  <c r="P17622" i="1"/>
  <c r="A17623" i="1"/>
  <c r="P17623" i="1"/>
  <c r="A17624" i="1"/>
  <c r="P17624" i="1"/>
  <c r="A17625" i="1"/>
  <c r="P17625" i="1"/>
  <c r="A17626" i="1"/>
  <c r="P17626" i="1"/>
  <c r="A17627" i="1"/>
  <c r="P17627" i="1"/>
  <c r="A17628" i="1"/>
  <c r="P17628" i="1"/>
  <c r="A17629" i="1"/>
  <c r="P17629" i="1"/>
  <c r="A17630" i="1"/>
  <c r="P17630" i="1"/>
  <c r="A17631" i="1"/>
  <c r="P17631" i="1"/>
  <c r="A17632" i="1"/>
  <c r="P17632" i="1"/>
  <c r="A17633" i="1"/>
  <c r="P17633" i="1"/>
  <c r="A17634" i="1"/>
  <c r="P17634" i="1"/>
  <c r="A17635" i="1"/>
  <c r="P17635" i="1"/>
  <c r="A17636" i="1"/>
  <c r="P17636" i="1"/>
  <c r="A17637" i="1"/>
  <c r="P17637" i="1"/>
  <c r="A17638" i="1"/>
  <c r="P17638" i="1"/>
  <c r="A17639" i="1"/>
  <c r="P17639" i="1"/>
  <c r="A17640" i="1"/>
  <c r="P17640" i="1"/>
  <c r="A17641" i="1"/>
  <c r="P17641" i="1"/>
  <c r="A17642" i="1"/>
  <c r="P17642" i="1"/>
  <c r="A17643" i="1"/>
  <c r="P17643" i="1"/>
  <c r="A17644" i="1"/>
  <c r="P17644" i="1"/>
  <c r="A17645" i="1"/>
  <c r="P17645" i="1"/>
  <c r="A17646" i="1"/>
  <c r="P17646" i="1"/>
  <c r="A17647" i="1"/>
  <c r="P17647" i="1"/>
  <c r="A17648" i="1"/>
  <c r="P17648" i="1"/>
  <c r="A17649" i="1"/>
  <c r="P17649" i="1"/>
  <c r="A17650" i="1"/>
  <c r="P17650" i="1"/>
  <c r="A17651" i="1"/>
  <c r="P17651" i="1"/>
  <c r="A17652" i="1"/>
  <c r="P17652" i="1"/>
  <c r="A17653" i="1"/>
  <c r="P17653" i="1"/>
  <c r="A17654" i="1"/>
  <c r="P17654" i="1"/>
  <c r="A17655" i="1"/>
  <c r="P17655" i="1"/>
  <c r="A17656" i="1"/>
  <c r="P17656" i="1"/>
  <c r="A17657" i="1"/>
  <c r="P17657" i="1"/>
  <c r="A17658" i="1"/>
  <c r="P17658" i="1"/>
  <c r="A17659" i="1"/>
  <c r="P17659" i="1"/>
  <c r="A17660" i="1"/>
  <c r="P17660" i="1"/>
  <c r="A17661" i="1"/>
  <c r="P17661" i="1"/>
  <c r="A17662" i="1"/>
  <c r="P17662" i="1"/>
  <c r="A17663" i="1"/>
  <c r="P17663" i="1"/>
  <c r="A17664" i="1"/>
  <c r="P17664" i="1"/>
  <c r="A17665" i="1"/>
  <c r="P17665" i="1"/>
  <c r="A17666" i="1"/>
  <c r="P17666" i="1"/>
  <c r="A17667" i="1"/>
  <c r="P17667" i="1"/>
  <c r="A17668" i="1"/>
  <c r="P17668" i="1"/>
  <c r="A17669" i="1"/>
  <c r="P17669" i="1"/>
  <c r="A17670" i="1"/>
  <c r="P17670" i="1"/>
  <c r="A17671" i="1"/>
  <c r="P17671" i="1"/>
  <c r="A17672" i="1"/>
  <c r="P17672" i="1"/>
  <c r="A17673" i="1"/>
  <c r="P17673" i="1"/>
  <c r="A17674" i="1"/>
  <c r="P17674" i="1"/>
  <c r="A17675" i="1"/>
  <c r="P17675" i="1"/>
  <c r="A17676" i="1"/>
  <c r="P17676" i="1"/>
  <c r="A17677" i="1"/>
  <c r="P17677" i="1"/>
  <c r="A17678" i="1"/>
  <c r="P17678" i="1"/>
  <c r="A17679" i="1"/>
  <c r="P17679" i="1"/>
  <c r="A17680" i="1"/>
  <c r="P17680" i="1"/>
  <c r="A17681" i="1"/>
  <c r="P17681" i="1"/>
  <c r="A17682" i="1"/>
  <c r="P17682" i="1"/>
  <c r="A17683" i="1"/>
  <c r="P17683" i="1"/>
  <c r="A17684" i="1"/>
  <c r="P17684" i="1"/>
  <c r="A17685" i="1"/>
  <c r="P17685" i="1"/>
  <c r="A17686" i="1"/>
  <c r="P17686" i="1"/>
  <c r="A17687" i="1"/>
  <c r="P17687" i="1"/>
  <c r="A17688" i="1"/>
  <c r="P17688" i="1"/>
  <c r="A17689" i="1"/>
  <c r="P17689" i="1"/>
  <c r="A17690" i="1"/>
  <c r="P17690" i="1"/>
  <c r="A17691" i="1"/>
  <c r="P17691" i="1"/>
  <c r="A17692" i="1"/>
  <c r="P17692" i="1"/>
  <c r="A17693" i="1"/>
  <c r="P17693" i="1"/>
  <c r="A17694" i="1"/>
  <c r="P17694" i="1"/>
  <c r="A17695" i="1"/>
  <c r="P17695" i="1"/>
  <c r="A17696" i="1"/>
  <c r="P17696" i="1"/>
  <c r="A17697" i="1"/>
  <c r="P17697" i="1"/>
  <c r="A17698" i="1"/>
  <c r="P17698" i="1"/>
  <c r="A17699" i="1"/>
  <c r="P17699" i="1"/>
  <c r="A17700" i="1"/>
  <c r="P17700" i="1"/>
  <c r="A17701" i="1"/>
  <c r="P17701" i="1"/>
  <c r="A17702" i="1"/>
  <c r="P17702" i="1"/>
  <c r="A17703" i="1"/>
  <c r="P17703" i="1"/>
  <c r="A17704" i="1"/>
  <c r="P17704" i="1"/>
  <c r="A17705" i="1"/>
  <c r="P17705" i="1"/>
  <c r="A17706" i="1"/>
  <c r="P17706" i="1"/>
  <c r="A17707" i="1"/>
  <c r="P17707" i="1"/>
  <c r="A17708" i="1"/>
  <c r="P17708" i="1"/>
  <c r="A17709" i="1"/>
  <c r="P17709" i="1"/>
  <c r="A17710" i="1"/>
  <c r="P17710" i="1"/>
  <c r="A17711" i="1"/>
  <c r="P17711" i="1"/>
  <c r="A17712" i="1"/>
  <c r="P17712" i="1"/>
  <c r="A17713" i="1"/>
  <c r="P17713" i="1"/>
  <c r="A17714" i="1"/>
  <c r="P17714" i="1"/>
  <c r="A17715" i="1"/>
  <c r="P17715" i="1"/>
  <c r="A17716" i="1"/>
  <c r="P17716" i="1"/>
  <c r="A17717" i="1"/>
  <c r="P17717" i="1"/>
  <c r="A17718" i="1"/>
  <c r="P17718" i="1"/>
  <c r="A17719" i="1"/>
  <c r="P17719" i="1"/>
  <c r="A17720" i="1"/>
  <c r="P17720" i="1"/>
  <c r="A17721" i="1"/>
  <c r="P17721" i="1"/>
  <c r="A17722" i="1"/>
  <c r="P17722" i="1"/>
  <c r="A17723" i="1"/>
  <c r="P17723" i="1"/>
  <c r="A17724" i="1"/>
  <c r="P17724" i="1"/>
  <c r="A17725" i="1"/>
  <c r="P17725" i="1"/>
  <c r="A17726" i="1"/>
  <c r="P17726" i="1"/>
  <c r="A17727" i="1"/>
  <c r="P17727" i="1"/>
  <c r="A17728" i="1"/>
  <c r="P17728" i="1"/>
  <c r="A17729" i="1"/>
  <c r="P17729" i="1"/>
  <c r="A17730" i="1"/>
  <c r="P17730" i="1"/>
  <c r="A17731" i="1"/>
  <c r="P17731" i="1"/>
  <c r="A17732" i="1"/>
  <c r="P17732" i="1"/>
  <c r="A17733" i="1"/>
  <c r="P17733" i="1"/>
  <c r="A17734" i="1"/>
  <c r="P17734" i="1"/>
  <c r="A17735" i="1"/>
  <c r="P17735" i="1"/>
  <c r="A17736" i="1"/>
  <c r="P17736" i="1"/>
  <c r="A17737" i="1"/>
  <c r="P17737" i="1"/>
  <c r="A17738" i="1"/>
  <c r="P17738" i="1"/>
  <c r="A17739" i="1"/>
  <c r="P17739" i="1"/>
  <c r="A17740" i="1"/>
  <c r="P17740" i="1"/>
  <c r="A17741" i="1"/>
  <c r="P17741" i="1"/>
  <c r="A17742" i="1"/>
  <c r="P17742" i="1"/>
  <c r="A17743" i="1"/>
  <c r="P17743" i="1"/>
  <c r="A17744" i="1"/>
  <c r="P17744" i="1"/>
  <c r="A17745" i="1"/>
  <c r="P17745" i="1"/>
  <c r="A17746" i="1"/>
  <c r="P17746" i="1"/>
  <c r="A17747" i="1"/>
  <c r="P17747" i="1"/>
  <c r="A17748" i="1"/>
  <c r="P17748" i="1"/>
  <c r="A17749" i="1"/>
  <c r="P17749" i="1"/>
  <c r="A17750" i="1"/>
  <c r="P17750" i="1"/>
  <c r="A17751" i="1"/>
  <c r="P17751" i="1"/>
  <c r="A17752" i="1"/>
  <c r="P17752" i="1"/>
  <c r="A17753" i="1"/>
  <c r="P17753" i="1"/>
  <c r="A17754" i="1"/>
  <c r="P17754" i="1"/>
  <c r="A17755" i="1"/>
  <c r="P17755" i="1"/>
  <c r="A17756" i="1"/>
  <c r="P17756" i="1"/>
  <c r="A17757" i="1"/>
  <c r="P17757" i="1"/>
  <c r="A17758" i="1"/>
  <c r="P17758" i="1"/>
  <c r="A17759" i="1"/>
  <c r="P17759" i="1"/>
  <c r="A17760" i="1"/>
  <c r="P17760" i="1"/>
  <c r="A17761" i="1"/>
  <c r="P17761" i="1"/>
  <c r="A17762" i="1"/>
  <c r="P17762" i="1"/>
  <c r="A17763" i="1"/>
  <c r="P17763" i="1"/>
  <c r="A17764" i="1"/>
  <c r="P17764" i="1"/>
  <c r="A17765" i="1"/>
  <c r="P17765" i="1"/>
  <c r="A17766" i="1"/>
  <c r="P17766" i="1"/>
  <c r="A17767" i="1"/>
  <c r="P17767" i="1"/>
  <c r="A17768" i="1"/>
  <c r="P17768" i="1"/>
  <c r="A17769" i="1"/>
  <c r="P17769" i="1"/>
  <c r="A17770" i="1"/>
  <c r="P17770" i="1"/>
  <c r="A17771" i="1"/>
  <c r="P17771" i="1"/>
  <c r="A17772" i="1"/>
  <c r="P17772" i="1"/>
  <c r="A17773" i="1"/>
  <c r="P17773" i="1"/>
  <c r="A17774" i="1"/>
  <c r="P17774" i="1"/>
  <c r="A17775" i="1"/>
  <c r="P17775" i="1"/>
  <c r="A17776" i="1"/>
  <c r="P17776" i="1"/>
  <c r="A17777" i="1"/>
  <c r="P17777" i="1"/>
  <c r="A17778" i="1"/>
  <c r="P17778" i="1"/>
  <c r="A17779" i="1"/>
  <c r="P17779" i="1"/>
  <c r="A17780" i="1"/>
  <c r="P17780" i="1"/>
  <c r="A17781" i="1"/>
  <c r="P17781" i="1"/>
  <c r="A17782" i="1"/>
  <c r="P17782" i="1"/>
  <c r="A17783" i="1"/>
  <c r="P17783" i="1"/>
  <c r="A17784" i="1"/>
  <c r="P17784" i="1"/>
  <c r="A17785" i="1"/>
  <c r="P17785" i="1"/>
  <c r="A17786" i="1"/>
  <c r="P17786" i="1"/>
  <c r="A17787" i="1"/>
  <c r="P17787" i="1"/>
  <c r="A17788" i="1"/>
  <c r="P17788" i="1"/>
  <c r="A17789" i="1"/>
  <c r="P17789" i="1"/>
  <c r="A17790" i="1"/>
  <c r="P17790" i="1"/>
  <c r="A17791" i="1"/>
  <c r="P17791" i="1"/>
  <c r="A17792" i="1"/>
  <c r="P17792" i="1"/>
  <c r="A17793" i="1"/>
  <c r="P17793" i="1"/>
  <c r="A17794" i="1"/>
  <c r="P17794" i="1"/>
  <c r="A17795" i="1"/>
  <c r="P17795" i="1"/>
  <c r="A17796" i="1"/>
  <c r="P17796" i="1"/>
  <c r="A17797" i="1"/>
  <c r="P17797" i="1"/>
  <c r="A17798" i="1"/>
  <c r="P17798" i="1"/>
  <c r="A17799" i="1"/>
  <c r="P17799" i="1"/>
  <c r="A17800" i="1"/>
  <c r="P17800" i="1"/>
  <c r="A17801" i="1"/>
  <c r="P17801" i="1"/>
  <c r="A17802" i="1"/>
  <c r="P17802" i="1"/>
  <c r="A17803" i="1"/>
  <c r="P17803" i="1"/>
  <c r="A17804" i="1"/>
  <c r="P17804" i="1"/>
  <c r="A17805" i="1"/>
  <c r="P17805" i="1"/>
  <c r="A17806" i="1"/>
  <c r="P17806" i="1"/>
  <c r="A17807" i="1"/>
  <c r="P17807" i="1"/>
  <c r="A17808" i="1"/>
  <c r="P17808" i="1"/>
  <c r="A17809" i="1"/>
  <c r="P17809" i="1"/>
  <c r="A17810" i="1"/>
  <c r="P17810" i="1"/>
  <c r="A17811" i="1"/>
  <c r="P17811" i="1"/>
  <c r="A17812" i="1"/>
  <c r="P17812" i="1"/>
  <c r="A17813" i="1"/>
  <c r="P17813" i="1"/>
  <c r="A17814" i="1"/>
  <c r="P17814" i="1"/>
  <c r="A17815" i="1"/>
  <c r="P17815" i="1"/>
  <c r="A17816" i="1"/>
  <c r="P17816" i="1"/>
  <c r="A17817" i="1"/>
  <c r="P17817" i="1"/>
  <c r="A17818" i="1"/>
  <c r="P17818" i="1"/>
  <c r="A17819" i="1"/>
  <c r="P17819" i="1"/>
  <c r="A17820" i="1"/>
  <c r="P17820" i="1"/>
  <c r="A17821" i="1"/>
  <c r="P17821" i="1"/>
  <c r="A17822" i="1"/>
  <c r="P17822" i="1"/>
  <c r="A17823" i="1"/>
  <c r="P17823" i="1"/>
  <c r="A17824" i="1"/>
  <c r="P17824" i="1"/>
  <c r="A17825" i="1"/>
  <c r="P17825" i="1"/>
  <c r="A17826" i="1"/>
  <c r="P17826" i="1"/>
  <c r="A17827" i="1"/>
  <c r="P17827" i="1"/>
  <c r="A17828" i="1"/>
  <c r="P17828" i="1"/>
  <c r="A17829" i="1"/>
  <c r="P17829" i="1"/>
  <c r="A17830" i="1"/>
  <c r="P17830" i="1"/>
  <c r="A17831" i="1"/>
  <c r="P17831" i="1"/>
  <c r="A17832" i="1"/>
  <c r="P17832" i="1"/>
  <c r="A17833" i="1"/>
  <c r="P17833" i="1"/>
  <c r="A17834" i="1"/>
  <c r="P17834" i="1"/>
  <c r="A17835" i="1"/>
  <c r="P17835" i="1"/>
  <c r="A17836" i="1"/>
  <c r="P17836" i="1"/>
  <c r="A17837" i="1"/>
  <c r="P17837" i="1"/>
  <c r="A17838" i="1"/>
  <c r="P17838" i="1"/>
  <c r="A17839" i="1"/>
  <c r="P17839" i="1"/>
  <c r="A17840" i="1"/>
  <c r="P17840" i="1"/>
  <c r="A17841" i="1"/>
  <c r="P17841" i="1"/>
  <c r="A17842" i="1"/>
  <c r="P17842" i="1"/>
  <c r="A17843" i="1"/>
  <c r="P17843" i="1"/>
  <c r="A17844" i="1"/>
  <c r="P17844" i="1"/>
  <c r="A17845" i="1"/>
  <c r="P17845" i="1"/>
  <c r="A17846" i="1"/>
  <c r="P17846" i="1"/>
  <c r="A17847" i="1"/>
  <c r="P17847" i="1"/>
  <c r="A17848" i="1"/>
  <c r="P17848" i="1"/>
  <c r="A17849" i="1"/>
  <c r="P17849" i="1"/>
  <c r="A17850" i="1"/>
  <c r="P17850" i="1"/>
  <c r="A17851" i="1"/>
  <c r="P17851" i="1"/>
  <c r="A17852" i="1"/>
  <c r="P17852" i="1"/>
  <c r="A17853" i="1"/>
  <c r="P17853" i="1"/>
  <c r="A17854" i="1"/>
  <c r="P17854" i="1"/>
  <c r="A17855" i="1"/>
  <c r="P17855" i="1"/>
  <c r="A17856" i="1"/>
  <c r="P17856" i="1"/>
  <c r="A17857" i="1"/>
  <c r="P17857" i="1"/>
  <c r="A17858" i="1"/>
  <c r="P17858" i="1"/>
  <c r="A17859" i="1"/>
  <c r="P17859" i="1"/>
  <c r="A17860" i="1"/>
  <c r="P17860" i="1"/>
  <c r="A17861" i="1"/>
  <c r="P17861" i="1"/>
  <c r="A17862" i="1"/>
  <c r="P17862" i="1"/>
  <c r="A17863" i="1"/>
  <c r="P17863" i="1"/>
  <c r="A17864" i="1"/>
  <c r="P17864" i="1"/>
  <c r="A17865" i="1"/>
  <c r="P17865" i="1"/>
  <c r="A17866" i="1"/>
  <c r="P17866" i="1"/>
  <c r="A17867" i="1"/>
  <c r="P17867" i="1"/>
  <c r="A17868" i="1"/>
  <c r="P17868" i="1"/>
  <c r="A17869" i="1"/>
  <c r="P17869" i="1"/>
  <c r="A17870" i="1"/>
  <c r="P17870" i="1"/>
  <c r="A17871" i="1"/>
  <c r="P17871" i="1"/>
  <c r="A17872" i="1"/>
  <c r="P17872" i="1"/>
  <c r="A17873" i="1"/>
  <c r="P17873" i="1"/>
  <c r="A17874" i="1"/>
  <c r="P17874" i="1"/>
  <c r="A17875" i="1"/>
  <c r="P17875" i="1"/>
  <c r="A17876" i="1"/>
  <c r="P17876" i="1"/>
  <c r="A17877" i="1"/>
  <c r="P17877" i="1"/>
  <c r="A17878" i="1"/>
  <c r="P17878" i="1"/>
  <c r="A17879" i="1"/>
  <c r="P17879" i="1"/>
  <c r="A17880" i="1"/>
  <c r="P17880" i="1"/>
  <c r="A17881" i="1"/>
  <c r="P17881" i="1"/>
  <c r="A17882" i="1"/>
  <c r="P17882" i="1"/>
  <c r="A17883" i="1"/>
  <c r="P17883" i="1"/>
  <c r="A17884" i="1"/>
  <c r="P17884" i="1"/>
  <c r="A17885" i="1"/>
  <c r="P17885" i="1"/>
  <c r="A17886" i="1"/>
  <c r="P17886" i="1"/>
  <c r="A17887" i="1"/>
  <c r="P17887" i="1"/>
  <c r="A17888" i="1"/>
  <c r="P17888" i="1"/>
  <c r="A17889" i="1"/>
  <c r="P17889" i="1"/>
  <c r="A17890" i="1"/>
  <c r="P17890" i="1"/>
  <c r="A17891" i="1"/>
  <c r="P17891" i="1"/>
  <c r="A17892" i="1"/>
  <c r="P17892" i="1"/>
  <c r="A17893" i="1"/>
  <c r="P17893" i="1"/>
  <c r="A17894" i="1"/>
  <c r="P17894" i="1"/>
  <c r="A17895" i="1"/>
  <c r="P17895" i="1"/>
  <c r="A17896" i="1"/>
  <c r="P17896" i="1"/>
  <c r="A17897" i="1"/>
  <c r="P17897" i="1"/>
  <c r="A17898" i="1"/>
  <c r="P17898" i="1"/>
  <c r="A17899" i="1"/>
  <c r="P17899" i="1"/>
  <c r="A17900" i="1"/>
  <c r="P17900" i="1"/>
  <c r="A17901" i="1"/>
  <c r="P17901" i="1"/>
  <c r="A17902" i="1"/>
  <c r="P17902" i="1"/>
  <c r="A17903" i="1"/>
  <c r="P17903" i="1"/>
  <c r="A17904" i="1"/>
  <c r="P17904" i="1"/>
  <c r="A17905" i="1"/>
  <c r="P17905" i="1"/>
  <c r="A17906" i="1"/>
  <c r="P17906" i="1"/>
  <c r="A17907" i="1"/>
  <c r="P17907" i="1"/>
  <c r="A17908" i="1"/>
  <c r="P17908" i="1"/>
  <c r="A17909" i="1"/>
  <c r="P17909" i="1"/>
  <c r="A17910" i="1"/>
  <c r="P17910" i="1"/>
  <c r="A17911" i="1"/>
  <c r="P17911" i="1"/>
  <c r="A17912" i="1"/>
  <c r="P17912" i="1"/>
  <c r="A17913" i="1"/>
  <c r="P17913" i="1"/>
  <c r="A17914" i="1"/>
  <c r="P17914" i="1"/>
  <c r="A17915" i="1"/>
  <c r="P17915" i="1"/>
  <c r="A17916" i="1"/>
  <c r="P17916" i="1"/>
  <c r="A17917" i="1"/>
  <c r="P17917" i="1"/>
  <c r="A17918" i="1"/>
  <c r="P17918" i="1"/>
  <c r="A17919" i="1"/>
  <c r="P17919" i="1"/>
  <c r="A17920" i="1"/>
  <c r="P17920" i="1"/>
  <c r="A17921" i="1"/>
  <c r="P17921" i="1"/>
  <c r="A17922" i="1"/>
  <c r="P17922" i="1"/>
  <c r="A17923" i="1"/>
  <c r="P17923" i="1"/>
  <c r="A17924" i="1"/>
  <c r="P17924" i="1"/>
  <c r="A17925" i="1"/>
  <c r="P17925" i="1"/>
  <c r="A17926" i="1"/>
  <c r="P17926" i="1"/>
  <c r="A17927" i="1"/>
  <c r="P17927" i="1"/>
  <c r="A17928" i="1"/>
  <c r="P17928" i="1"/>
  <c r="A17929" i="1"/>
  <c r="P17929" i="1"/>
  <c r="A17930" i="1"/>
  <c r="P17930" i="1"/>
  <c r="A17931" i="1"/>
  <c r="P17931" i="1"/>
  <c r="A17932" i="1"/>
  <c r="P17932" i="1"/>
  <c r="A17933" i="1"/>
  <c r="P17933" i="1"/>
  <c r="A17934" i="1"/>
  <c r="P17934" i="1"/>
  <c r="A17935" i="1"/>
  <c r="P17935" i="1"/>
  <c r="A17936" i="1"/>
  <c r="P17936" i="1"/>
  <c r="A17937" i="1"/>
  <c r="P17937" i="1"/>
  <c r="A17938" i="1"/>
  <c r="P17938" i="1"/>
  <c r="A17939" i="1"/>
  <c r="P17939" i="1"/>
  <c r="A17940" i="1"/>
  <c r="P17940" i="1"/>
  <c r="A17941" i="1"/>
  <c r="P17941" i="1"/>
  <c r="A17942" i="1"/>
  <c r="P17942" i="1"/>
  <c r="A17943" i="1"/>
  <c r="P17943" i="1"/>
  <c r="A17944" i="1"/>
  <c r="P17944" i="1"/>
  <c r="A17945" i="1"/>
  <c r="P17945" i="1"/>
  <c r="A17946" i="1"/>
  <c r="P17946" i="1"/>
  <c r="A17947" i="1"/>
  <c r="P17947" i="1"/>
  <c r="A17948" i="1"/>
  <c r="P17948" i="1"/>
  <c r="A17949" i="1"/>
  <c r="P17949" i="1"/>
  <c r="A17950" i="1"/>
  <c r="P17950" i="1"/>
  <c r="A17951" i="1"/>
  <c r="P17951" i="1"/>
  <c r="A17952" i="1"/>
  <c r="P17952" i="1"/>
  <c r="A17953" i="1"/>
  <c r="P17953" i="1"/>
  <c r="A17954" i="1"/>
  <c r="P17954" i="1"/>
  <c r="A17955" i="1"/>
  <c r="P17955" i="1"/>
  <c r="A17956" i="1"/>
  <c r="P17956" i="1"/>
  <c r="A17957" i="1"/>
  <c r="P17957" i="1"/>
  <c r="A17958" i="1"/>
  <c r="P17958" i="1"/>
  <c r="A17959" i="1"/>
  <c r="P17959" i="1"/>
  <c r="A17960" i="1"/>
  <c r="P17960" i="1"/>
  <c r="A17961" i="1"/>
  <c r="P17961" i="1"/>
  <c r="A17962" i="1"/>
  <c r="P17962" i="1"/>
  <c r="A17963" i="1"/>
  <c r="P17963" i="1"/>
  <c r="A17964" i="1"/>
  <c r="P17964" i="1"/>
  <c r="A17965" i="1"/>
  <c r="P17965" i="1"/>
  <c r="A17966" i="1"/>
  <c r="P17966" i="1"/>
  <c r="A17967" i="1"/>
  <c r="P17967" i="1"/>
  <c r="A17968" i="1"/>
  <c r="P17968" i="1"/>
  <c r="A17969" i="1"/>
  <c r="P17969" i="1"/>
  <c r="A17970" i="1"/>
  <c r="P17970" i="1"/>
  <c r="A17971" i="1"/>
  <c r="P17971" i="1"/>
  <c r="A17972" i="1"/>
  <c r="P17972" i="1"/>
  <c r="A17973" i="1"/>
  <c r="P17973" i="1"/>
  <c r="A17974" i="1"/>
  <c r="P17974" i="1"/>
  <c r="A17975" i="1"/>
  <c r="P17975" i="1"/>
  <c r="A17976" i="1"/>
  <c r="P17976" i="1"/>
  <c r="A17977" i="1"/>
  <c r="P17977" i="1"/>
  <c r="A17978" i="1"/>
  <c r="P17978" i="1"/>
  <c r="A17979" i="1"/>
  <c r="P17979" i="1"/>
  <c r="A17980" i="1"/>
  <c r="P17980" i="1"/>
  <c r="A17981" i="1"/>
  <c r="P17981" i="1"/>
  <c r="A17982" i="1"/>
  <c r="P17982" i="1"/>
  <c r="A17983" i="1"/>
  <c r="P17983" i="1"/>
  <c r="A17984" i="1"/>
  <c r="P17984" i="1"/>
  <c r="A17985" i="1"/>
  <c r="P17985" i="1"/>
  <c r="A17986" i="1"/>
  <c r="P17986" i="1"/>
  <c r="A17987" i="1"/>
  <c r="P17987" i="1"/>
  <c r="A17988" i="1"/>
  <c r="P17988" i="1"/>
  <c r="A17989" i="1"/>
  <c r="P17989" i="1"/>
  <c r="A17990" i="1"/>
  <c r="P17990" i="1"/>
  <c r="A17991" i="1"/>
  <c r="P17991" i="1"/>
  <c r="A17992" i="1"/>
  <c r="P17992" i="1"/>
  <c r="A17993" i="1"/>
  <c r="P17993" i="1"/>
  <c r="A17994" i="1"/>
  <c r="P17994" i="1"/>
  <c r="A17995" i="1"/>
  <c r="P17995" i="1"/>
  <c r="A17996" i="1"/>
  <c r="P17996" i="1"/>
  <c r="A17997" i="1"/>
  <c r="P17997" i="1"/>
  <c r="A17998" i="1"/>
  <c r="P17998" i="1"/>
  <c r="A17999" i="1"/>
  <c r="P17999" i="1"/>
  <c r="A18000" i="1"/>
  <c r="P18000" i="1"/>
  <c r="A18001" i="1"/>
  <c r="P18001" i="1"/>
  <c r="A18002" i="1"/>
  <c r="P18002" i="1"/>
  <c r="A18003" i="1"/>
  <c r="P18003" i="1"/>
  <c r="A18004" i="1"/>
  <c r="P18004" i="1"/>
  <c r="A18005" i="1"/>
  <c r="P18005" i="1"/>
  <c r="A18006" i="1"/>
  <c r="P18006" i="1"/>
  <c r="A18007" i="1"/>
  <c r="P18007" i="1"/>
  <c r="A18008" i="1"/>
  <c r="P18008" i="1"/>
  <c r="A18009" i="1"/>
  <c r="P18009" i="1"/>
  <c r="A18010" i="1"/>
  <c r="P18010" i="1"/>
  <c r="A18011" i="1"/>
  <c r="P18011" i="1"/>
  <c r="A18012" i="1"/>
  <c r="P18012" i="1"/>
  <c r="A18013" i="1"/>
  <c r="P18013" i="1"/>
  <c r="A18014" i="1"/>
  <c r="P18014" i="1"/>
  <c r="A18015" i="1"/>
  <c r="P18015" i="1"/>
  <c r="A18016" i="1"/>
  <c r="P18016" i="1"/>
  <c r="A18017" i="1"/>
  <c r="P18017" i="1"/>
  <c r="A18018" i="1"/>
  <c r="P18018" i="1"/>
  <c r="A18019" i="1"/>
  <c r="P18019" i="1"/>
  <c r="A18020" i="1"/>
  <c r="P18020" i="1"/>
  <c r="A18021" i="1"/>
  <c r="P18021" i="1"/>
  <c r="A18022" i="1"/>
  <c r="P18022" i="1"/>
  <c r="A18023" i="1"/>
  <c r="P18023" i="1"/>
  <c r="A18024" i="1"/>
  <c r="P18024" i="1"/>
  <c r="A18025" i="1"/>
  <c r="P18025" i="1"/>
  <c r="A18026" i="1"/>
  <c r="P18026" i="1"/>
  <c r="A18027" i="1"/>
  <c r="P18027" i="1"/>
  <c r="A18028" i="1"/>
  <c r="P18028" i="1"/>
  <c r="A18029" i="1"/>
  <c r="P18029" i="1"/>
  <c r="A18030" i="1"/>
  <c r="P18030" i="1"/>
  <c r="A18031" i="1"/>
  <c r="P18031" i="1"/>
  <c r="A18032" i="1"/>
  <c r="P18032" i="1"/>
  <c r="A18033" i="1"/>
  <c r="P18033" i="1"/>
  <c r="A18034" i="1"/>
  <c r="P18034" i="1"/>
  <c r="A18035" i="1"/>
  <c r="P18035" i="1"/>
  <c r="A18036" i="1"/>
  <c r="P18036" i="1"/>
  <c r="A18037" i="1"/>
  <c r="P18037" i="1"/>
  <c r="A18038" i="1"/>
  <c r="P18038" i="1"/>
  <c r="A18039" i="1"/>
  <c r="P18039" i="1"/>
  <c r="A18040" i="1"/>
  <c r="P18040" i="1"/>
  <c r="A18041" i="1"/>
  <c r="P18041" i="1"/>
  <c r="A18042" i="1"/>
  <c r="P18042" i="1"/>
  <c r="A18043" i="1"/>
  <c r="P18043" i="1"/>
  <c r="A18044" i="1"/>
  <c r="P18044" i="1"/>
  <c r="A18045" i="1"/>
  <c r="P18045" i="1"/>
  <c r="A18046" i="1"/>
  <c r="P18046" i="1"/>
  <c r="A18047" i="1"/>
  <c r="P18047" i="1"/>
  <c r="A18048" i="1"/>
  <c r="P18048" i="1"/>
  <c r="A18049" i="1"/>
  <c r="P18049" i="1"/>
  <c r="A18050" i="1"/>
  <c r="P18050" i="1"/>
  <c r="A18051" i="1"/>
  <c r="P18051" i="1"/>
  <c r="A18052" i="1"/>
  <c r="P18052" i="1"/>
  <c r="A18053" i="1"/>
  <c r="P18053" i="1"/>
  <c r="A18054" i="1"/>
  <c r="P18054" i="1"/>
  <c r="A18055" i="1"/>
  <c r="P18055" i="1"/>
  <c r="A18056" i="1"/>
  <c r="P18056" i="1"/>
  <c r="A18057" i="1"/>
  <c r="P18057" i="1"/>
  <c r="A18058" i="1"/>
  <c r="P18058" i="1"/>
  <c r="A18059" i="1"/>
  <c r="P18059" i="1"/>
  <c r="A18060" i="1"/>
  <c r="P18060" i="1"/>
  <c r="A18061" i="1"/>
  <c r="P18061" i="1"/>
  <c r="A18062" i="1"/>
  <c r="P18062" i="1"/>
  <c r="A18063" i="1"/>
  <c r="P18063" i="1"/>
  <c r="A18064" i="1"/>
  <c r="P18064" i="1"/>
  <c r="A18065" i="1"/>
  <c r="P18065" i="1"/>
  <c r="A18066" i="1"/>
  <c r="P18066" i="1"/>
  <c r="A18067" i="1"/>
  <c r="P18067" i="1"/>
  <c r="A18068" i="1"/>
  <c r="P18068" i="1"/>
  <c r="A18069" i="1"/>
  <c r="P18069" i="1"/>
  <c r="A18070" i="1"/>
  <c r="P18070" i="1"/>
  <c r="A18071" i="1"/>
  <c r="P18071" i="1"/>
  <c r="A18072" i="1"/>
  <c r="P18072" i="1"/>
  <c r="A18073" i="1"/>
  <c r="P18073" i="1"/>
  <c r="A18074" i="1"/>
  <c r="P18074" i="1"/>
  <c r="A18075" i="1"/>
  <c r="P18075" i="1"/>
  <c r="A18076" i="1"/>
  <c r="P18076" i="1"/>
  <c r="A18077" i="1"/>
  <c r="P18077" i="1"/>
  <c r="A18078" i="1"/>
  <c r="P18078" i="1"/>
  <c r="A18079" i="1"/>
  <c r="P18079" i="1"/>
  <c r="A18080" i="1"/>
  <c r="P18080" i="1"/>
  <c r="A18081" i="1"/>
  <c r="P18081" i="1"/>
  <c r="A18082" i="1"/>
  <c r="P18082" i="1"/>
  <c r="A18083" i="1"/>
  <c r="P18083" i="1"/>
  <c r="A18084" i="1"/>
  <c r="P18084" i="1"/>
  <c r="A18085" i="1"/>
  <c r="P18085" i="1"/>
  <c r="A18086" i="1"/>
  <c r="P18086" i="1"/>
  <c r="A18087" i="1"/>
  <c r="P18087" i="1"/>
  <c r="A18088" i="1"/>
  <c r="P18088" i="1"/>
  <c r="A18089" i="1"/>
  <c r="P18089" i="1"/>
  <c r="A18090" i="1"/>
  <c r="P18090" i="1"/>
  <c r="A18091" i="1"/>
  <c r="P18091" i="1"/>
  <c r="A18092" i="1"/>
  <c r="P18092" i="1"/>
  <c r="A18093" i="1"/>
  <c r="P18093" i="1"/>
  <c r="A18094" i="1"/>
  <c r="P18094" i="1"/>
  <c r="A18095" i="1"/>
  <c r="P18095" i="1"/>
  <c r="A18096" i="1"/>
  <c r="P18096" i="1"/>
  <c r="A18097" i="1"/>
  <c r="P18097" i="1"/>
  <c r="A18098" i="1"/>
  <c r="P18098" i="1"/>
  <c r="A18099" i="1"/>
  <c r="P18099" i="1"/>
  <c r="A18100" i="1"/>
  <c r="P18100" i="1"/>
  <c r="A18101" i="1"/>
  <c r="P18101" i="1"/>
  <c r="A18102" i="1"/>
  <c r="P18102" i="1"/>
  <c r="A18103" i="1"/>
  <c r="P18103" i="1"/>
  <c r="A18104" i="1"/>
  <c r="P18104" i="1"/>
  <c r="A18105" i="1"/>
  <c r="P18105" i="1"/>
  <c r="A18106" i="1"/>
  <c r="P18106" i="1"/>
  <c r="A18107" i="1"/>
  <c r="P18107" i="1"/>
  <c r="A18108" i="1"/>
  <c r="P18108" i="1"/>
  <c r="A18109" i="1"/>
  <c r="P18109" i="1"/>
  <c r="A18110" i="1"/>
  <c r="P18110" i="1"/>
  <c r="A18111" i="1"/>
  <c r="P18111" i="1"/>
  <c r="A18112" i="1"/>
  <c r="P18112" i="1"/>
  <c r="A18113" i="1"/>
  <c r="P18113" i="1"/>
  <c r="A18114" i="1"/>
  <c r="P18114" i="1"/>
  <c r="A18115" i="1"/>
  <c r="P18115" i="1"/>
  <c r="A18116" i="1"/>
  <c r="P18116" i="1"/>
  <c r="A18117" i="1"/>
  <c r="P18117" i="1"/>
  <c r="A18118" i="1"/>
  <c r="P18118" i="1"/>
  <c r="A18119" i="1"/>
  <c r="P18119" i="1"/>
  <c r="A18120" i="1"/>
  <c r="P18120" i="1"/>
  <c r="A18121" i="1"/>
  <c r="P18121" i="1"/>
  <c r="A18122" i="1"/>
  <c r="P18122" i="1"/>
  <c r="A18123" i="1"/>
  <c r="P18123" i="1"/>
  <c r="A18124" i="1"/>
  <c r="P18124" i="1"/>
  <c r="A18125" i="1"/>
  <c r="P18125" i="1"/>
  <c r="A18126" i="1"/>
  <c r="P18126" i="1"/>
  <c r="A18127" i="1"/>
  <c r="P18127" i="1"/>
  <c r="A18128" i="1"/>
  <c r="P18128" i="1"/>
  <c r="A18129" i="1"/>
  <c r="P18129" i="1"/>
  <c r="A18130" i="1"/>
  <c r="P18130" i="1"/>
  <c r="A18131" i="1"/>
  <c r="P18131" i="1"/>
  <c r="A18132" i="1"/>
  <c r="P18132" i="1"/>
  <c r="A18133" i="1"/>
  <c r="P18133" i="1"/>
  <c r="A18134" i="1"/>
  <c r="P18134" i="1"/>
  <c r="A18135" i="1"/>
  <c r="P18135" i="1"/>
  <c r="A18136" i="1"/>
  <c r="P18136" i="1"/>
  <c r="A18137" i="1"/>
  <c r="P18137" i="1"/>
  <c r="A18138" i="1"/>
  <c r="P18138" i="1"/>
  <c r="A18139" i="1"/>
  <c r="P18139" i="1"/>
  <c r="A18140" i="1"/>
  <c r="P18140" i="1"/>
  <c r="A18141" i="1"/>
  <c r="P18141" i="1"/>
  <c r="A18142" i="1"/>
  <c r="P18142" i="1"/>
  <c r="A18143" i="1"/>
  <c r="P18143" i="1"/>
  <c r="A18144" i="1"/>
  <c r="P18144" i="1"/>
  <c r="A18145" i="1"/>
  <c r="P18145" i="1"/>
  <c r="A18146" i="1"/>
  <c r="P18146" i="1"/>
  <c r="A18147" i="1"/>
  <c r="P18147" i="1"/>
  <c r="A18148" i="1"/>
  <c r="P18148" i="1"/>
  <c r="A18149" i="1"/>
  <c r="P18149" i="1"/>
  <c r="A18150" i="1"/>
  <c r="P18150" i="1"/>
  <c r="A18151" i="1"/>
  <c r="P18151" i="1"/>
  <c r="A18152" i="1"/>
  <c r="P18152" i="1"/>
  <c r="A18153" i="1"/>
  <c r="P18153" i="1"/>
  <c r="A18154" i="1"/>
  <c r="P18154" i="1"/>
  <c r="A18155" i="1"/>
  <c r="P18155" i="1"/>
  <c r="A18156" i="1"/>
  <c r="P18156" i="1"/>
  <c r="A18157" i="1"/>
  <c r="P18157" i="1"/>
  <c r="A18158" i="1"/>
  <c r="P18158" i="1"/>
  <c r="A18159" i="1"/>
  <c r="P18159" i="1"/>
  <c r="A18160" i="1"/>
  <c r="P18160" i="1"/>
  <c r="A18161" i="1"/>
  <c r="P18161" i="1"/>
  <c r="A18162" i="1"/>
  <c r="P18162" i="1"/>
  <c r="A18163" i="1"/>
  <c r="P18163" i="1"/>
  <c r="A18164" i="1"/>
  <c r="P18164" i="1"/>
  <c r="A18165" i="1"/>
  <c r="P18165" i="1"/>
  <c r="A18166" i="1"/>
  <c r="P18166" i="1"/>
  <c r="A18167" i="1"/>
  <c r="P18167" i="1"/>
  <c r="A18168" i="1"/>
  <c r="P18168" i="1"/>
  <c r="A18169" i="1"/>
  <c r="P18169" i="1"/>
  <c r="A18170" i="1"/>
  <c r="P18170" i="1"/>
  <c r="A18171" i="1"/>
  <c r="P18171" i="1"/>
  <c r="A18172" i="1"/>
  <c r="P18172" i="1"/>
  <c r="A18173" i="1"/>
  <c r="P18173" i="1"/>
  <c r="A18174" i="1"/>
  <c r="P18174" i="1"/>
  <c r="A18175" i="1"/>
  <c r="P18175" i="1"/>
  <c r="A18176" i="1"/>
  <c r="P18176" i="1"/>
  <c r="A18177" i="1"/>
  <c r="P18177" i="1"/>
  <c r="A18178" i="1"/>
  <c r="P18178" i="1"/>
  <c r="A18179" i="1"/>
  <c r="P18179" i="1"/>
  <c r="A18180" i="1"/>
  <c r="P18180" i="1"/>
  <c r="A18181" i="1"/>
  <c r="P18181" i="1"/>
  <c r="A18182" i="1"/>
  <c r="P18182" i="1"/>
  <c r="A18183" i="1"/>
  <c r="P18183" i="1"/>
  <c r="A18184" i="1"/>
  <c r="P18184" i="1"/>
  <c r="A18185" i="1"/>
  <c r="P18185" i="1"/>
  <c r="A18186" i="1"/>
  <c r="P18186" i="1"/>
  <c r="A18187" i="1"/>
  <c r="P18187" i="1"/>
  <c r="A18188" i="1"/>
  <c r="P18188" i="1"/>
  <c r="A18189" i="1"/>
  <c r="P18189" i="1"/>
  <c r="A18190" i="1"/>
  <c r="P18190" i="1"/>
  <c r="A18191" i="1"/>
  <c r="P18191" i="1"/>
  <c r="A18192" i="1"/>
  <c r="P18192" i="1"/>
  <c r="A18193" i="1"/>
  <c r="P18193" i="1"/>
  <c r="A18194" i="1"/>
  <c r="P18194" i="1"/>
  <c r="A18195" i="1"/>
  <c r="P18195" i="1"/>
  <c r="A18196" i="1"/>
  <c r="P18196" i="1"/>
  <c r="A18197" i="1"/>
  <c r="P18197" i="1"/>
  <c r="A18198" i="1"/>
  <c r="P18198" i="1"/>
  <c r="A18199" i="1"/>
  <c r="P18199" i="1"/>
  <c r="A18200" i="1"/>
  <c r="P18200" i="1"/>
  <c r="A18201" i="1"/>
  <c r="P18201" i="1"/>
  <c r="A18202" i="1"/>
  <c r="P18202" i="1"/>
  <c r="A18203" i="1"/>
  <c r="P18203" i="1"/>
  <c r="A18204" i="1"/>
  <c r="P18204" i="1"/>
  <c r="A18205" i="1"/>
  <c r="P18205" i="1"/>
  <c r="A18206" i="1"/>
  <c r="P18206" i="1"/>
  <c r="A18207" i="1"/>
  <c r="P18207" i="1"/>
  <c r="A18208" i="1"/>
  <c r="P18208" i="1"/>
  <c r="A18209" i="1"/>
  <c r="P18209" i="1"/>
  <c r="A18210" i="1"/>
  <c r="P18210" i="1"/>
  <c r="A18211" i="1"/>
  <c r="P18211" i="1"/>
  <c r="A18212" i="1"/>
  <c r="P18212" i="1"/>
  <c r="A18213" i="1"/>
  <c r="P18213" i="1"/>
  <c r="A18214" i="1"/>
  <c r="P18214" i="1"/>
  <c r="A18215" i="1"/>
  <c r="P18215" i="1"/>
  <c r="A18216" i="1"/>
  <c r="P18216" i="1"/>
  <c r="A18217" i="1"/>
  <c r="P18217" i="1"/>
  <c r="A18218" i="1"/>
  <c r="P18218" i="1"/>
  <c r="A18219" i="1"/>
  <c r="P18219" i="1"/>
  <c r="A18220" i="1"/>
  <c r="P18220" i="1"/>
  <c r="A18221" i="1"/>
  <c r="P18221" i="1"/>
  <c r="A18222" i="1"/>
  <c r="P18222" i="1"/>
  <c r="A18223" i="1"/>
  <c r="P18223" i="1"/>
  <c r="A18224" i="1"/>
  <c r="P18224" i="1"/>
  <c r="A18225" i="1"/>
  <c r="P18225" i="1"/>
  <c r="A18226" i="1"/>
  <c r="P18226" i="1"/>
  <c r="A18227" i="1"/>
  <c r="P18227" i="1"/>
  <c r="A18228" i="1"/>
  <c r="P18228" i="1"/>
  <c r="A18229" i="1"/>
  <c r="P18229" i="1"/>
  <c r="A18230" i="1"/>
  <c r="P18230" i="1"/>
  <c r="A18231" i="1"/>
  <c r="P18231" i="1"/>
  <c r="A18232" i="1"/>
  <c r="P18232" i="1"/>
  <c r="A18233" i="1"/>
  <c r="P18233" i="1"/>
  <c r="A18234" i="1"/>
  <c r="P18234" i="1"/>
  <c r="A18235" i="1"/>
  <c r="P18235" i="1"/>
  <c r="A18236" i="1"/>
  <c r="P18236" i="1"/>
  <c r="A18237" i="1"/>
  <c r="P18237" i="1"/>
  <c r="A18238" i="1"/>
  <c r="P18238" i="1"/>
  <c r="A18239" i="1"/>
  <c r="P18239" i="1"/>
  <c r="A18240" i="1"/>
  <c r="P18240" i="1"/>
  <c r="A18241" i="1"/>
  <c r="P18241" i="1"/>
  <c r="A18242" i="1"/>
  <c r="P18242" i="1"/>
  <c r="A18243" i="1"/>
  <c r="P18243" i="1"/>
  <c r="A18244" i="1"/>
  <c r="P18244" i="1"/>
  <c r="A18245" i="1"/>
  <c r="P18245" i="1"/>
  <c r="A18246" i="1"/>
  <c r="P18246" i="1"/>
  <c r="A18247" i="1"/>
  <c r="P18247" i="1"/>
  <c r="A18248" i="1"/>
  <c r="P18248" i="1"/>
  <c r="A18249" i="1"/>
  <c r="P18249" i="1"/>
  <c r="A18250" i="1"/>
  <c r="P18250" i="1"/>
  <c r="A18251" i="1"/>
  <c r="P18251" i="1"/>
  <c r="A18252" i="1"/>
  <c r="P18252" i="1"/>
  <c r="A18253" i="1"/>
  <c r="P18253" i="1"/>
  <c r="A18254" i="1"/>
  <c r="P18254" i="1"/>
  <c r="A18255" i="1"/>
  <c r="P18255" i="1"/>
  <c r="A18256" i="1"/>
  <c r="P18256" i="1"/>
  <c r="A18257" i="1"/>
  <c r="P18257" i="1"/>
  <c r="A18258" i="1"/>
  <c r="P18258" i="1"/>
  <c r="A18259" i="1"/>
  <c r="P18259" i="1"/>
  <c r="A18260" i="1"/>
  <c r="P18260" i="1"/>
  <c r="A18261" i="1"/>
  <c r="P18261" i="1"/>
  <c r="A18262" i="1"/>
  <c r="P18262" i="1"/>
  <c r="A18263" i="1"/>
  <c r="P18263" i="1"/>
  <c r="A18264" i="1"/>
  <c r="P18264" i="1"/>
  <c r="A18265" i="1"/>
  <c r="P18265" i="1"/>
  <c r="A18266" i="1"/>
  <c r="P18266" i="1"/>
  <c r="A18267" i="1"/>
  <c r="P18267" i="1"/>
  <c r="A18268" i="1"/>
  <c r="P18268" i="1"/>
  <c r="A18269" i="1"/>
  <c r="P18269" i="1"/>
  <c r="A18270" i="1"/>
  <c r="P18270" i="1"/>
  <c r="A18271" i="1"/>
  <c r="P18271" i="1"/>
  <c r="A18272" i="1"/>
  <c r="P18272" i="1"/>
  <c r="A18273" i="1"/>
  <c r="P18273" i="1"/>
  <c r="A18274" i="1"/>
  <c r="P18274" i="1"/>
  <c r="A18275" i="1"/>
  <c r="P18275" i="1"/>
  <c r="A18276" i="1"/>
  <c r="P18276" i="1"/>
  <c r="A18277" i="1"/>
  <c r="P18277" i="1"/>
  <c r="A18278" i="1"/>
  <c r="P18278" i="1"/>
  <c r="A18279" i="1"/>
  <c r="P18279" i="1"/>
  <c r="A18280" i="1"/>
  <c r="P18280" i="1"/>
  <c r="A18281" i="1"/>
  <c r="P18281" i="1"/>
  <c r="A18282" i="1"/>
  <c r="P18282" i="1"/>
  <c r="A18283" i="1"/>
  <c r="P18283" i="1"/>
  <c r="A18284" i="1"/>
  <c r="P18284" i="1"/>
  <c r="A18285" i="1"/>
  <c r="P18285" i="1"/>
  <c r="A18286" i="1"/>
  <c r="P18286" i="1"/>
  <c r="A18287" i="1"/>
  <c r="P18287" i="1"/>
  <c r="A18288" i="1"/>
  <c r="P18288" i="1"/>
  <c r="A18289" i="1"/>
  <c r="P18289" i="1"/>
  <c r="A18290" i="1"/>
  <c r="P18290" i="1"/>
  <c r="A18291" i="1"/>
  <c r="P18291" i="1"/>
  <c r="A18292" i="1"/>
  <c r="P18292" i="1"/>
  <c r="A18293" i="1"/>
  <c r="P18293" i="1"/>
  <c r="A18294" i="1"/>
  <c r="P18294" i="1"/>
  <c r="A18295" i="1"/>
  <c r="P18295" i="1"/>
  <c r="A18296" i="1"/>
  <c r="P18296" i="1"/>
  <c r="A18297" i="1"/>
  <c r="P18297" i="1"/>
  <c r="A18298" i="1"/>
  <c r="P18298" i="1"/>
  <c r="A18299" i="1"/>
  <c r="P18299" i="1"/>
  <c r="A18300" i="1"/>
  <c r="P18300" i="1"/>
  <c r="A18301" i="1"/>
  <c r="P18301" i="1"/>
  <c r="A18302" i="1"/>
  <c r="P18302" i="1"/>
  <c r="A18303" i="1"/>
  <c r="P18303" i="1"/>
  <c r="A18304" i="1"/>
  <c r="P18304" i="1"/>
  <c r="A18305" i="1"/>
  <c r="P18305" i="1"/>
  <c r="A18306" i="1"/>
  <c r="P18306" i="1"/>
  <c r="A18307" i="1"/>
  <c r="P18307" i="1"/>
  <c r="A18308" i="1"/>
  <c r="P18308" i="1"/>
  <c r="A18309" i="1"/>
  <c r="P18309" i="1"/>
  <c r="A18310" i="1"/>
  <c r="P18310" i="1"/>
  <c r="A18311" i="1"/>
  <c r="P18311" i="1"/>
  <c r="A18312" i="1"/>
  <c r="P18312" i="1"/>
  <c r="A18313" i="1"/>
  <c r="P18313" i="1"/>
  <c r="A18314" i="1"/>
  <c r="P18314" i="1"/>
  <c r="A18315" i="1"/>
  <c r="P18315" i="1"/>
  <c r="A18316" i="1"/>
  <c r="P18316" i="1"/>
  <c r="A18317" i="1"/>
  <c r="P18317" i="1"/>
  <c r="A18318" i="1"/>
  <c r="P18318" i="1"/>
  <c r="A18319" i="1"/>
  <c r="P18319" i="1"/>
  <c r="A18320" i="1"/>
  <c r="P18320" i="1"/>
  <c r="A18321" i="1"/>
  <c r="P18321" i="1"/>
  <c r="A18322" i="1"/>
  <c r="P18322" i="1"/>
  <c r="A18323" i="1"/>
  <c r="P18323" i="1"/>
  <c r="A18324" i="1"/>
  <c r="P18324" i="1"/>
  <c r="A18325" i="1"/>
  <c r="P18325" i="1"/>
  <c r="A18326" i="1"/>
  <c r="P18326" i="1"/>
  <c r="A18327" i="1"/>
  <c r="P18327" i="1"/>
  <c r="A18328" i="1"/>
  <c r="P18328" i="1"/>
  <c r="A18329" i="1"/>
  <c r="P18329" i="1"/>
  <c r="A18330" i="1"/>
  <c r="P18330" i="1"/>
  <c r="A18331" i="1"/>
  <c r="P18331" i="1"/>
  <c r="A18332" i="1"/>
  <c r="P18332" i="1"/>
  <c r="A18333" i="1"/>
  <c r="P18333" i="1"/>
  <c r="A18334" i="1"/>
  <c r="P18334" i="1"/>
  <c r="A18335" i="1"/>
  <c r="P18335" i="1"/>
  <c r="A18336" i="1"/>
  <c r="P18336" i="1"/>
  <c r="A18337" i="1"/>
  <c r="P18337" i="1"/>
  <c r="A18338" i="1"/>
  <c r="P18338" i="1"/>
  <c r="A18339" i="1"/>
  <c r="P18339" i="1"/>
  <c r="A18340" i="1"/>
  <c r="P18340" i="1"/>
  <c r="A18341" i="1"/>
  <c r="P18341" i="1"/>
  <c r="A18342" i="1"/>
  <c r="P18342" i="1"/>
  <c r="A18343" i="1"/>
  <c r="P18343" i="1"/>
  <c r="A18344" i="1"/>
  <c r="P18344" i="1"/>
  <c r="A18345" i="1"/>
  <c r="P18345" i="1"/>
  <c r="A18346" i="1"/>
  <c r="P18346" i="1"/>
  <c r="A18347" i="1"/>
  <c r="P18347" i="1"/>
  <c r="A18348" i="1"/>
  <c r="P18348" i="1"/>
  <c r="A18349" i="1"/>
  <c r="P18349" i="1"/>
  <c r="A18350" i="1"/>
  <c r="P18350" i="1"/>
  <c r="A18351" i="1"/>
  <c r="P18351" i="1"/>
  <c r="A18352" i="1"/>
  <c r="P18352" i="1"/>
  <c r="A18353" i="1"/>
  <c r="P18353" i="1"/>
  <c r="A18354" i="1"/>
  <c r="P18354" i="1"/>
  <c r="A18355" i="1"/>
  <c r="P18355" i="1"/>
  <c r="A18356" i="1"/>
  <c r="P18356" i="1"/>
  <c r="A18357" i="1"/>
  <c r="P18357" i="1"/>
  <c r="A18358" i="1"/>
  <c r="P18358" i="1"/>
  <c r="A18359" i="1"/>
  <c r="P18359" i="1"/>
  <c r="A18360" i="1"/>
  <c r="P18360" i="1"/>
  <c r="A18361" i="1"/>
  <c r="P18361" i="1"/>
  <c r="A18362" i="1"/>
  <c r="P18362" i="1"/>
  <c r="A18363" i="1"/>
  <c r="P18363" i="1"/>
  <c r="A18364" i="1"/>
  <c r="P18364" i="1"/>
  <c r="A18365" i="1"/>
  <c r="P18365" i="1"/>
  <c r="A18366" i="1"/>
  <c r="P18366" i="1"/>
  <c r="A18367" i="1"/>
  <c r="P18367" i="1"/>
  <c r="A18368" i="1"/>
  <c r="P18368" i="1"/>
  <c r="A18369" i="1"/>
  <c r="P18369" i="1"/>
  <c r="A18370" i="1"/>
  <c r="P18370" i="1"/>
  <c r="A18371" i="1"/>
  <c r="P18371" i="1"/>
  <c r="A18372" i="1"/>
  <c r="P18372" i="1"/>
  <c r="A18373" i="1"/>
  <c r="P18373" i="1"/>
  <c r="A18374" i="1"/>
  <c r="P18374" i="1"/>
  <c r="A18375" i="1"/>
  <c r="P18375" i="1"/>
  <c r="A18376" i="1"/>
  <c r="P18376" i="1"/>
  <c r="A18377" i="1"/>
  <c r="P18377" i="1"/>
  <c r="A18378" i="1"/>
  <c r="P18378" i="1"/>
  <c r="A18379" i="1"/>
  <c r="P18379" i="1"/>
  <c r="A18380" i="1"/>
  <c r="P18380" i="1"/>
  <c r="A18381" i="1"/>
  <c r="P18381" i="1"/>
  <c r="A18382" i="1"/>
  <c r="P18382" i="1"/>
  <c r="A18383" i="1"/>
  <c r="P18383" i="1"/>
  <c r="A18384" i="1"/>
  <c r="P18384" i="1"/>
  <c r="A18385" i="1"/>
  <c r="P18385" i="1"/>
  <c r="A18386" i="1"/>
  <c r="P18386" i="1"/>
  <c r="A18387" i="1"/>
  <c r="P18387" i="1"/>
  <c r="A18388" i="1"/>
  <c r="P18388" i="1"/>
  <c r="A18389" i="1"/>
  <c r="P18389" i="1"/>
  <c r="A18390" i="1"/>
  <c r="P18390" i="1"/>
  <c r="A18391" i="1"/>
  <c r="P18391" i="1"/>
  <c r="A18392" i="1"/>
  <c r="P18392" i="1"/>
  <c r="A18393" i="1"/>
  <c r="P18393" i="1"/>
  <c r="A18394" i="1"/>
  <c r="P18394" i="1"/>
  <c r="A18395" i="1"/>
  <c r="P18395" i="1"/>
  <c r="A18396" i="1"/>
  <c r="P18396" i="1"/>
  <c r="A18397" i="1"/>
  <c r="P18397" i="1"/>
  <c r="A18398" i="1"/>
  <c r="P18398" i="1"/>
  <c r="A18399" i="1"/>
  <c r="P18399" i="1"/>
  <c r="A18400" i="1"/>
  <c r="P18400" i="1"/>
  <c r="A18401" i="1"/>
  <c r="P18401" i="1"/>
  <c r="A18402" i="1"/>
  <c r="P18402" i="1"/>
  <c r="A18403" i="1"/>
  <c r="P18403" i="1"/>
  <c r="A18404" i="1"/>
  <c r="P18404" i="1"/>
  <c r="A18405" i="1"/>
  <c r="P18405" i="1"/>
  <c r="A18406" i="1"/>
  <c r="P18406" i="1"/>
  <c r="A18407" i="1"/>
  <c r="P18407" i="1"/>
  <c r="A18408" i="1"/>
  <c r="P18408" i="1"/>
  <c r="A18409" i="1"/>
  <c r="P18409" i="1"/>
  <c r="A18410" i="1"/>
  <c r="P18410" i="1"/>
  <c r="A18411" i="1"/>
  <c r="P18411" i="1"/>
  <c r="A18412" i="1"/>
  <c r="P18412" i="1"/>
  <c r="A18413" i="1"/>
  <c r="P18413" i="1"/>
  <c r="A18414" i="1"/>
  <c r="P18414" i="1"/>
  <c r="A18415" i="1"/>
  <c r="P18415" i="1"/>
  <c r="A18416" i="1"/>
  <c r="P18416" i="1"/>
  <c r="A18417" i="1"/>
  <c r="P18417" i="1"/>
  <c r="A18418" i="1"/>
  <c r="P18418" i="1"/>
  <c r="A18419" i="1"/>
  <c r="P18419" i="1"/>
  <c r="A18420" i="1"/>
  <c r="P18420" i="1"/>
  <c r="A18421" i="1"/>
  <c r="P18421" i="1"/>
  <c r="A18422" i="1"/>
  <c r="P18422" i="1"/>
  <c r="A18423" i="1"/>
  <c r="P18423" i="1"/>
  <c r="A18424" i="1"/>
  <c r="P18424" i="1"/>
  <c r="A18425" i="1"/>
  <c r="P18425" i="1"/>
  <c r="A18426" i="1"/>
  <c r="P18426" i="1"/>
  <c r="A18427" i="1"/>
  <c r="P18427" i="1"/>
  <c r="A18428" i="1"/>
  <c r="P18428" i="1"/>
  <c r="A18429" i="1"/>
  <c r="P18429" i="1"/>
  <c r="A18430" i="1"/>
  <c r="P18430" i="1"/>
  <c r="A18431" i="1"/>
  <c r="P18431" i="1"/>
  <c r="A18432" i="1"/>
  <c r="P18432" i="1"/>
  <c r="A18433" i="1"/>
  <c r="P18433" i="1"/>
  <c r="A18434" i="1"/>
  <c r="P18434" i="1"/>
  <c r="A18435" i="1"/>
  <c r="P18435" i="1"/>
  <c r="A18436" i="1"/>
  <c r="P18436" i="1"/>
  <c r="A18437" i="1"/>
  <c r="P18437" i="1"/>
  <c r="A18438" i="1"/>
  <c r="P18438" i="1"/>
  <c r="A18439" i="1"/>
  <c r="P18439" i="1"/>
  <c r="A18440" i="1"/>
  <c r="P18440" i="1"/>
  <c r="A18441" i="1"/>
  <c r="P18441" i="1"/>
  <c r="A18442" i="1"/>
  <c r="P18442" i="1"/>
  <c r="A18443" i="1"/>
  <c r="P18443" i="1"/>
  <c r="A18444" i="1"/>
  <c r="P18444" i="1"/>
  <c r="A18445" i="1"/>
  <c r="P18445" i="1"/>
  <c r="A18446" i="1"/>
  <c r="P18446" i="1"/>
  <c r="A18447" i="1"/>
  <c r="P18447" i="1"/>
  <c r="A18448" i="1"/>
  <c r="P18448" i="1"/>
  <c r="A18449" i="1"/>
  <c r="P18449" i="1"/>
  <c r="A18450" i="1"/>
  <c r="P18450" i="1"/>
  <c r="A18451" i="1"/>
  <c r="P18451" i="1"/>
  <c r="A18452" i="1"/>
  <c r="P18452" i="1"/>
  <c r="A18453" i="1"/>
  <c r="P18453" i="1"/>
  <c r="A18454" i="1"/>
  <c r="P18454" i="1"/>
  <c r="A18455" i="1"/>
  <c r="P18455" i="1"/>
  <c r="A18456" i="1"/>
  <c r="P18456" i="1"/>
  <c r="A18457" i="1"/>
  <c r="P18457" i="1"/>
  <c r="A18458" i="1"/>
  <c r="P18458" i="1"/>
  <c r="A18459" i="1"/>
  <c r="P18459" i="1"/>
  <c r="A18460" i="1"/>
  <c r="P18460" i="1"/>
  <c r="A18461" i="1"/>
  <c r="P18461" i="1"/>
  <c r="A18462" i="1"/>
  <c r="P18462" i="1"/>
  <c r="A18463" i="1"/>
  <c r="P18463" i="1"/>
  <c r="A18464" i="1"/>
  <c r="P18464" i="1"/>
  <c r="A18465" i="1"/>
  <c r="P18465" i="1"/>
  <c r="A18466" i="1"/>
  <c r="P18466" i="1"/>
  <c r="A18467" i="1"/>
  <c r="P18467" i="1"/>
  <c r="A18468" i="1"/>
  <c r="P18468" i="1"/>
  <c r="A18469" i="1"/>
  <c r="P18469" i="1"/>
  <c r="A18470" i="1"/>
  <c r="P18470" i="1"/>
  <c r="A18471" i="1"/>
  <c r="P18471" i="1"/>
  <c r="A18472" i="1"/>
  <c r="P18472" i="1"/>
  <c r="A18473" i="1"/>
  <c r="P18473" i="1"/>
  <c r="A18474" i="1"/>
  <c r="P18474" i="1"/>
  <c r="A18475" i="1"/>
  <c r="P18475" i="1"/>
  <c r="A18476" i="1"/>
  <c r="P18476" i="1"/>
  <c r="A18477" i="1"/>
  <c r="P18477" i="1"/>
  <c r="A18478" i="1"/>
  <c r="P18478" i="1"/>
  <c r="A18479" i="1"/>
  <c r="P18479" i="1"/>
  <c r="A18480" i="1"/>
  <c r="P18480" i="1"/>
  <c r="A18481" i="1"/>
  <c r="P18481" i="1"/>
  <c r="A18482" i="1"/>
  <c r="P18482" i="1"/>
  <c r="A18483" i="1"/>
  <c r="P18483" i="1"/>
  <c r="A18484" i="1"/>
  <c r="P18484" i="1"/>
  <c r="A18485" i="1"/>
  <c r="P18485" i="1"/>
  <c r="A18486" i="1"/>
  <c r="P18486" i="1"/>
  <c r="A18487" i="1"/>
  <c r="P18487" i="1"/>
  <c r="A18488" i="1"/>
  <c r="P18488" i="1"/>
  <c r="A18489" i="1"/>
  <c r="P18489" i="1"/>
  <c r="A18490" i="1"/>
  <c r="P18490" i="1"/>
  <c r="A18491" i="1"/>
  <c r="P18491" i="1"/>
  <c r="A18492" i="1"/>
  <c r="P18492" i="1"/>
  <c r="A18493" i="1"/>
  <c r="P18493" i="1"/>
  <c r="A18494" i="1"/>
  <c r="P18494" i="1"/>
  <c r="A18495" i="1"/>
  <c r="P18495" i="1"/>
  <c r="A18496" i="1"/>
  <c r="P18496" i="1"/>
  <c r="A18497" i="1"/>
  <c r="P18497" i="1"/>
  <c r="A18498" i="1"/>
  <c r="P18498" i="1"/>
  <c r="A18499" i="1"/>
  <c r="P18499" i="1"/>
  <c r="A18500" i="1"/>
  <c r="P18500" i="1"/>
  <c r="A18501" i="1"/>
  <c r="P18501" i="1"/>
  <c r="A18502" i="1"/>
  <c r="P18502" i="1"/>
  <c r="A18503" i="1"/>
  <c r="P18503" i="1"/>
  <c r="A18504" i="1"/>
  <c r="P18504" i="1"/>
  <c r="A18505" i="1"/>
  <c r="P18505" i="1"/>
  <c r="A18506" i="1"/>
  <c r="P18506" i="1"/>
  <c r="A18507" i="1"/>
  <c r="P18507" i="1"/>
  <c r="A18508" i="1"/>
  <c r="P18508" i="1"/>
  <c r="A18509" i="1"/>
  <c r="P18509" i="1"/>
  <c r="A18510" i="1"/>
  <c r="P18510" i="1"/>
  <c r="A18511" i="1"/>
  <c r="P18511" i="1"/>
  <c r="A18512" i="1"/>
  <c r="P18512" i="1"/>
  <c r="A18513" i="1"/>
  <c r="P18513" i="1"/>
  <c r="A18514" i="1"/>
  <c r="P18514" i="1"/>
  <c r="A18515" i="1"/>
  <c r="P18515" i="1"/>
  <c r="A18516" i="1"/>
  <c r="P18516" i="1"/>
  <c r="A18517" i="1"/>
  <c r="P18517" i="1"/>
  <c r="A18518" i="1"/>
  <c r="P18518" i="1"/>
  <c r="A18519" i="1"/>
  <c r="P18519" i="1"/>
  <c r="A18520" i="1"/>
  <c r="P18520" i="1"/>
  <c r="A18521" i="1"/>
  <c r="P18521" i="1"/>
  <c r="A18522" i="1"/>
  <c r="P18522" i="1"/>
  <c r="A18523" i="1"/>
  <c r="P18523" i="1"/>
  <c r="A18524" i="1"/>
  <c r="P18524" i="1"/>
  <c r="A18525" i="1"/>
  <c r="P18525" i="1"/>
  <c r="A18526" i="1"/>
  <c r="P18526" i="1"/>
  <c r="A18527" i="1"/>
  <c r="P18527" i="1"/>
  <c r="A18528" i="1"/>
  <c r="P18528" i="1"/>
  <c r="A18529" i="1"/>
  <c r="P18529" i="1"/>
  <c r="A18530" i="1"/>
  <c r="P18530" i="1"/>
  <c r="A18531" i="1"/>
  <c r="P18531" i="1"/>
  <c r="A18532" i="1"/>
  <c r="P18532" i="1"/>
  <c r="A18533" i="1"/>
  <c r="P18533" i="1"/>
  <c r="A18534" i="1"/>
  <c r="P18534" i="1"/>
  <c r="A18535" i="1"/>
  <c r="P18535" i="1"/>
  <c r="A18536" i="1"/>
  <c r="P18536" i="1"/>
  <c r="A18537" i="1"/>
  <c r="P18537" i="1"/>
  <c r="A18538" i="1"/>
  <c r="P18538" i="1"/>
  <c r="A18539" i="1"/>
  <c r="P18539" i="1"/>
  <c r="A18540" i="1"/>
  <c r="P18540" i="1"/>
  <c r="A18541" i="1"/>
  <c r="P18541" i="1"/>
  <c r="A18542" i="1"/>
  <c r="P18542" i="1"/>
  <c r="A18543" i="1"/>
  <c r="P18543" i="1"/>
  <c r="A18544" i="1"/>
  <c r="P18544" i="1"/>
  <c r="A18545" i="1"/>
  <c r="P18545" i="1"/>
  <c r="A18546" i="1"/>
  <c r="P18546" i="1"/>
  <c r="A18547" i="1"/>
  <c r="P18547" i="1"/>
  <c r="A18548" i="1"/>
  <c r="P18548" i="1"/>
  <c r="A18549" i="1"/>
  <c r="P18549" i="1"/>
  <c r="A18550" i="1"/>
  <c r="P18550" i="1"/>
  <c r="A18551" i="1"/>
  <c r="P18551" i="1"/>
  <c r="A18552" i="1"/>
  <c r="P18552" i="1"/>
  <c r="A18553" i="1"/>
  <c r="P18553" i="1"/>
  <c r="A18554" i="1"/>
  <c r="P18554" i="1"/>
  <c r="A18555" i="1"/>
  <c r="P18555" i="1"/>
  <c r="A18556" i="1"/>
  <c r="P18556" i="1"/>
  <c r="A18557" i="1"/>
  <c r="P18557" i="1"/>
  <c r="A18558" i="1"/>
  <c r="P18558" i="1"/>
  <c r="A18559" i="1"/>
  <c r="P18559" i="1"/>
  <c r="A18560" i="1"/>
  <c r="P18560" i="1"/>
  <c r="A18561" i="1"/>
  <c r="P18561" i="1"/>
  <c r="A18562" i="1"/>
  <c r="P18562" i="1"/>
  <c r="A18563" i="1"/>
  <c r="P18563" i="1"/>
  <c r="A18564" i="1"/>
  <c r="P18564" i="1"/>
  <c r="A18565" i="1"/>
  <c r="P18565" i="1"/>
  <c r="A18566" i="1"/>
  <c r="P18566" i="1"/>
  <c r="A18567" i="1"/>
  <c r="P18567" i="1"/>
  <c r="A18568" i="1"/>
  <c r="P18568" i="1"/>
  <c r="A18569" i="1"/>
  <c r="P18569" i="1"/>
  <c r="A18570" i="1"/>
  <c r="P18570" i="1"/>
  <c r="A18571" i="1"/>
  <c r="P18571" i="1"/>
  <c r="A18572" i="1"/>
  <c r="P18572" i="1"/>
  <c r="A18573" i="1"/>
  <c r="P18573" i="1"/>
  <c r="A18574" i="1"/>
  <c r="P18574" i="1"/>
  <c r="A18575" i="1"/>
  <c r="P18575" i="1"/>
  <c r="A18576" i="1"/>
  <c r="P18576" i="1"/>
  <c r="A18577" i="1"/>
  <c r="P18577" i="1"/>
  <c r="A18578" i="1"/>
  <c r="P18578" i="1"/>
  <c r="A18579" i="1"/>
  <c r="P18579" i="1"/>
  <c r="A18580" i="1"/>
  <c r="P18580" i="1"/>
  <c r="A18581" i="1"/>
  <c r="P18581" i="1"/>
  <c r="A18582" i="1"/>
  <c r="P18582" i="1"/>
  <c r="A18583" i="1"/>
  <c r="P18583" i="1"/>
  <c r="A18584" i="1"/>
  <c r="P18584" i="1"/>
  <c r="A18585" i="1"/>
  <c r="P18585" i="1"/>
  <c r="A18586" i="1"/>
  <c r="P18586" i="1"/>
  <c r="A18587" i="1"/>
  <c r="P18587" i="1"/>
  <c r="A18588" i="1"/>
  <c r="P18588" i="1"/>
  <c r="A18589" i="1"/>
  <c r="P18589" i="1"/>
  <c r="A18590" i="1"/>
  <c r="P18590" i="1"/>
  <c r="A18591" i="1"/>
  <c r="P18591" i="1"/>
  <c r="A18592" i="1"/>
  <c r="P18592" i="1"/>
  <c r="A18593" i="1"/>
  <c r="P18593" i="1"/>
  <c r="A18594" i="1"/>
  <c r="P18594" i="1"/>
  <c r="A18595" i="1"/>
  <c r="P18595" i="1"/>
  <c r="A18596" i="1"/>
  <c r="P18596" i="1"/>
  <c r="A18597" i="1"/>
  <c r="P18597" i="1"/>
  <c r="A18598" i="1"/>
  <c r="P18598" i="1"/>
  <c r="A18599" i="1"/>
  <c r="P18599" i="1"/>
  <c r="A18600" i="1"/>
  <c r="P18600" i="1"/>
  <c r="A18601" i="1"/>
  <c r="P18601" i="1"/>
  <c r="A18602" i="1"/>
  <c r="P18602" i="1"/>
  <c r="A18603" i="1"/>
  <c r="P18603" i="1"/>
  <c r="A18604" i="1"/>
  <c r="P18604" i="1"/>
  <c r="A18605" i="1"/>
  <c r="P18605" i="1"/>
  <c r="A18606" i="1"/>
  <c r="P18606" i="1"/>
  <c r="A18607" i="1"/>
  <c r="P18607" i="1"/>
  <c r="A18608" i="1"/>
  <c r="P18608" i="1"/>
  <c r="A18609" i="1"/>
  <c r="P18609" i="1"/>
  <c r="A18610" i="1"/>
  <c r="P18610" i="1"/>
  <c r="A18611" i="1"/>
  <c r="P18611" i="1"/>
  <c r="A18612" i="1"/>
  <c r="P18612" i="1"/>
  <c r="A18613" i="1"/>
  <c r="P18613" i="1"/>
  <c r="A18614" i="1"/>
  <c r="P18614" i="1"/>
  <c r="A18615" i="1"/>
  <c r="P18615" i="1"/>
  <c r="A18616" i="1"/>
  <c r="P18616" i="1"/>
  <c r="A18617" i="1"/>
  <c r="P18617" i="1"/>
  <c r="A18618" i="1"/>
  <c r="P18618" i="1"/>
  <c r="A18619" i="1"/>
  <c r="P18619" i="1"/>
  <c r="A18620" i="1"/>
  <c r="P18620" i="1"/>
  <c r="A18621" i="1"/>
  <c r="P18621" i="1"/>
  <c r="A18622" i="1"/>
  <c r="P18622" i="1"/>
  <c r="A18623" i="1"/>
  <c r="P18623" i="1"/>
  <c r="A18624" i="1"/>
  <c r="P18624" i="1"/>
  <c r="A18625" i="1"/>
  <c r="P18625" i="1"/>
  <c r="A18626" i="1"/>
  <c r="P18626" i="1"/>
  <c r="A18627" i="1"/>
  <c r="P18627" i="1"/>
  <c r="A18628" i="1"/>
  <c r="P18628" i="1"/>
  <c r="A18629" i="1"/>
  <c r="P18629" i="1"/>
  <c r="A18630" i="1"/>
  <c r="P18630" i="1"/>
  <c r="A18631" i="1"/>
  <c r="P18631" i="1"/>
  <c r="A18632" i="1"/>
  <c r="P18632" i="1"/>
  <c r="A18633" i="1"/>
  <c r="P18633" i="1"/>
  <c r="A18634" i="1"/>
  <c r="P18634" i="1"/>
  <c r="A18635" i="1"/>
  <c r="P18635" i="1"/>
  <c r="A18636" i="1"/>
  <c r="P18636" i="1"/>
  <c r="A18637" i="1"/>
  <c r="P18637" i="1"/>
  <c r="A18638" i="1"/>
  <c r="P18638" i="1"/>
  <c r="A18639" i="1"/>
  <c r="P18639" i="1"/>
  <c r="A18640" i="1"/>
  <c r="P18640" i="1"/>
  <c r="A18641" i="1"/>
  <c r="P18641" i="1"/>
  <c r="A18642" i="1"/>
  <c r="P18642" i="1"/>
  <c r="A18643" i="1"/>
  <c r="P18643" i="1"/>
  <c r="A18644" i="1"/>
  <c r="P18644" i="1"/>
  <c r="A18645" i="1"/>
  <c r="P18645" i="1"/>
  <c r="A18646" i="1"/>
  <c r="P18646" i="1"/>
  <c r="A18647" i="1"/>
  <c r="P18647" i="1"/>
  <c r="A18648" i="1"/>
  <c r="P18648" i="1"/>
  <c r="A18649" i="1"/>
  <c r="P18649" i="1"/>
  <c r="A18650" i="1"/>
  <c r="P18650" i="1"/>
  <c r="A18651" i="1"/>
  <c r="P18651" i="1"/>
  <c r="A18652" i="1"/>
  <c r="P18652" i="1"/>
  <c r="A18653" i="1"/>
  <c r="P18653" i="1"/>
  <c r="A18654" i="1"/>
  <c r="P18654" i="1"/>
  <c r="A18655" i="1"/>
  <c r="P18655" i="1"/>
  <c r="A18656" i="1"/>
  <c r="P18656" i="1"/>
  <c r="A18657" i="1"/>
  <c r="P18657" i="1"/>
  <c r="A18658" i="1"/>
  <c r="P18658" i="1"/>
  <c r="A18659" i="1"/>
  <c r="P18659" i="1"/>
  <c r="A18660" i="1"/>
  <c r="P18660" i="1"/>
  <c r="A18661" i="1"/>
  <c r="P18661" i="1"/>
  <c r="A18662" i="1"/>
  <c r="P18662" i="1"/>
  <c r="A18663" i="1"/>
  <c r="P18663" i="1"/>
  <c r="A18664" i="1"/>
  <c r="P18664" i="1"/>
  <c r="A18665" i="1"/>
  <c r="P18665" i="1"/>
  <c r="A18666" i="1"/>
  <c r="P18666" i="1"/>
  <c r="A18667" i="1"/>
  <c r="P18667" i="1"/>
  <c r="A18668" i="1"/>
  <c r="P18668" i="1"/>
  <c r="A18669" i="1"/>
  <c r="P18669" i="1"/>
  <c r="A18670" i="1"/>
  <c r="P18670" i="1"/>
  <c r="A18671" i="1"/>
  <c r="P18671" i="1"/>
  <c r="A18672" i="1"/>
  <c r="P18672" i="1"/>
  <c r="A18673" i="1"/>
  <c r="P18673" i="1"/>
  <c r="A18674" i="1"/>
  <c r="P18674" i="1"/>
  <c r="A18675" i="1"/>
  <c r="P18675" i="1"/>
  <c r="A18676" i="1"/>
  <c r="P18676" i="1"/>
  <c r="A18677" i="1"/>
  <c r="P18677" i="1"/>
  <c r="A18678" i="1"/>
  <c r="P18678" i="1"/>
  <c r="A18679" i="1"/>
  <c r="P18679" i="1"/>
  <c r="A18680" i="1"/>
  <c r="P18680" i="1"/>
  <c r="A18681" i="1"/>
  <c r="P18681" i="1"/>
  <c r="A18682" i="1"/>
  <c r="P18682" i="1"/>
  <c r="A18683" i="1"/>
  <c r="P18683" i="1"/>
  <c r="A18684" i="1"/>
  <c r="P18684" i="1"/>
  <c r="A18685" i="1"/>
  <c r="P18685" i="1"/>
  <c r="A18686" i="1"/>
  <c r="P18686" i="1"/>
  <c r="A18687" i="1"/>
  <c r="P18687" i="1"/>
  <c r="A18688" i="1"/>
  <c r="P18688" i="1"/>
  <c r="A18689" i="1"/>
  <c r="P18689" i="1"/>
  <c r="A18690" i="1"/>
  <c r="P18690" i="1"/>
  <c r="A18691" i="1"/>
  <c r="P18691" i="1"/>
  <c r="A18692" i="1"/>
  <c r="P18692" i="1"/>
  <c r="A18693" i="1"/>
  <c r="P18693" i="1"/>
  <c r="A18694" i="1"/>
  <c r="P18694" i="1"/>
  <c r="A18695" i="1"/>
  <c r="P18695" i="1"/>
  <c r="A18696" i="1"/>
  <c r="P18696" i="1"/>
  <c r="A18697" i="1"/>
  <c r="P18697" i="1"/>
  <c r="A18698" i="1"/>
  <c r="P18698" i="1"/>
  <c r="A18699" i="1"/>
  <c r="P18699" i="1"/>
  <c r="A18700" i="1"/>
  <c r="P18700" i="1"/>
  <c r="A18701" i="1"/>
  <c r="P18701" i="1"/>
  <c r="A18702" i="1"/>
  <c r="P18702" i="1"/>
  <c r="A18703" i="1"/>
  <c r="P18703" i="1"/>
  <c r="A18704" i="1"/>
  <c r="P18704" i="1"/>
  <c r="A18705" i="1"/>
  <c r="P18705" i="1"/>
  <c r="A18706" i="1"/>
  <c r="P18706" i="1"/>
  <c r="A18707" i="1"/>
  <c r="P18707" i="1"/>
  <c r="A18708" i="1"/>
  <c r="P18708" i="1"/>
  <c r="A18709" i="1"/>
  <c r="P18709" i="1"/>
  <c r="A18710" i="1"/>
  <c r="P18710" i="1"/>
  <c r="A18711" i="1"/>
  <c r="P18711" i="1"/>
  <c r="A18712" i="1"/>
  <c r="P18712" i="1"/>
  <c r="A18713" i="1"/>
  <c r="P18713" i="1"/>
  <c r="A18714" i="1"/>
  <c r="P18714" i="1"/>
  <c r="A18715" i="1"/>
  <c r="P18715" i="1"/>
  <c r="A18716" i="1"/>
  <c r="P18716" i="1"/>
  <c r="A18717" i="1"/>
  <c r="P18717" i="1"/>
  <c r="A18718" i="1"/>
  <c r="P18718" i="1"/>
  <c r="A18719" i="1"/>
  <c r="P18719" i="1"/>
  <c r="A18720" i="1"/>
  <c r="P18720" i="1"/>
  <c r="A18721" i="1"/>
  <c r="P18721" i="1"/>
  <c r="A18722" i="1"/>
  <c r="P18722" i="1"/>
  <c r="A18723" i="1"/>
  <c r="P18723" i="1"/>
  <c r="A18724" i="1"/>
  <c r="P18724" i="1"/>
  <c r="A18725" i="1"/>
  <c r="P18725" i="1"/>
  <c r="A18726" i="1"/>
  <c r="P18726" i="1"/>
  <c r="A18727" i="1"/>
  <c r="P18727" i="1"/>
  <c r="A18728" i="1"/>
  <c r="P18728" i="1"/>
  <c r="A18729" i="1"/>
  <c r="P18729" i="1"/>
  <c r="A18730" i="1"/>
  <c r="P18730" i="1"/>
  <c r="A18731" i="1"/>
  <c r="P18731" i="1"/>
  <c r="A18732" i="1"/>
  <c r="P18732" i="1"/>
  <c r="A18733" i="1"/>
  <c r="P18733" i="1"/>
  <c r="A18734" i="1"/>
  <c r="P18734" i="1"/>
  <c r="A18735" i="1"/>
  <c r="P18735" i="1"/>
  <c r="A18736" i="1"/>
  <c r="P18736" i="1"/>
  <c r="A18737" i="1"/>
  <c r="P18737" i="1"/>
  <c r="A18738" i="1"/>
  <c r="P18738" i="1"/>
  <c r="A18739" i="1"/>
  <c r="P18739" i="1"/>
  <c r="A18740" i="1"/>
  <c r="P18740" i="1"/>
  <c r="A18741" i="1"/>
  <c r="P18741" i="1"/>
  <c r="A18742" i="1"/>
  <c r="P18742" i="1"/>
  <c r="A18743" i="1"/>
  <c r="P18743" i="1"/>
  <c r="A18744" i="1"/>
  <c r="P18744" i="1"/>
  <c r="A18745" i="1"/>
  <c r="P18745" i="1"/>
  <c r="A18746" i="1"/>
  <c r="P18746" i="1"/>
  <c r="A18747" i="1"/>
  <c r="P18747" i="1"/>
  <c r="A18748" i="1"/>
  <c r="P18748" i="1"/>
  <c r="A18749" i="1"/>
  <c r="P18749" i="1"/>
  <c r="A18750" i="1"/>
  <c r="P18750" i="1"/>
  <c r="A18751" i="1"/>
  <c r="P18751" i="1"/>
  <c r="A18752" i="1"/>
  <c r="P18752" i="1"/>
  <c r="A18753" i="1"/>
  <c r="P18753" i="1"/>
  <c r="A18754" i="1"/>
  <c r="P18754" i="1"/>
  <c r="A18755" i="1"/>
  <c r="P18755" i="1"/>
  <c r="A18756" i="1"/>
  <c r="P18756" i="1"/>
  <c r="A18757" i="1"/>
  <c r="P18757" i="1"/>
  <c r="A18758" i="1"/>
  <c r="P18758" i="1"/>
  <c r="A18759" i="1"/>
  <c r="P18759" i="1"/>
  <c r="A18760" i="1"/>
  <c r="P18760" i="1"/>
  <c r="A18761" i="1"/>
  <c r="P18761" i="1"/>
  <c r="A18762" i="1"/>
  <c r="P18762" i="1"/>
  <c r="A18763" i="1"/>
  <c r="P18763" i="1"/>
  <c r="A18764" i="1"/>
  <c r="P18764" i="1"/>
  <c r="A18765" i="1"/>
  <c r="P18765" i="1"/>
  <c r="A18766" i="1"/>
  <c r="P18766" i="1"/>
  <c r="A18767" i="1"/>
  <c r="P18767" i="1"/>
  <c r="A18768" i="1"/>
  <c r="P18768" i="1"/>
  <c r="A18769" i="1"/>
  <c r="P18769" i="1"/>
  <c r="A18770" i="1"/>
  <c r="P18770" i="1"/>
  <c r="A18771" i="1"/>
  <c r="P18771" i="1"/>
  <c r="A18772" i="1"/>
  <c r="P18772" i="1"/>
  <c r="A18773" i="1"/>
  <c r="P18773" i="1"/>
  <c r="A18774" i="1"/>
  <c r="P18774" i="1"/>
  <c r="A18775" i="1"/>
  <c r="P18775" i="1"/>
  <c r="A18776" i="1"/>
  <c r="P18776" i="1"/>
  <c r="A18777" i="1"/>
  <c r="P18777" i="1"/>
  <c r="A18778" i="1"/>
  <c r="P18778" i="1"/>
  <c r="A18779" i="1"/>
  <c r="P18779" i="1"/>
  <c r="A18780" i="1"/>
  <c r="P18780" i="1"/>
  <c r="A18781" i="1"/>
  <c r="P18781" i="1"/>
  <c r="A18782" i="1"/>
  <c r="P18782" i="1"/>
  <c r="A18783" i="1"/>
  <c r="P18783" i="1"/>
  <c r="A18784" i="1"/>
  <c r="P18784" i="1"/>
  <c r="A18785" i="1"/>
  <c r="P18785" i="1"/>
  <c r="A18786" i="1"/>
  <c r="P18786" i="1"/>
  <c r="A18787" i="1"/>
  <c r="P18787" i="1"/>
  <c r="A18788" i="1"/>
  <c r="P18788" i="1"/>
  <c r="A18789" i="1"/>
  <c r="P18789" i="1"/>
  <c r="A18790" i="1"/>
  <c r="P18790" i="1"/>
  <c r="A18791" i="1"/>
  <c r="P18791" i="1"/>
  <c r="A18792" i="1"/>
  <c r="P18792" i="1"/>
  <c r="A18793" i="1"/>
  <c r="P18793" i="1"/>
  <c r="A18794" i="1"/>
  <c r="P18794" i="1"/>
  <c r="A18795" i="1"/>
  <c r="P18795" i="1"/>
  <c r="A18796" i="1"/>
  <c r="P18796" i="1"/>
  <c r="A18797" i="1"/>
  <c r="P18797" i="1"/>
  <c r="A18798" i="1"/>
  <c r="P18798" i="1"/>
  <c r="A18799" i="1"/>
  <c r="P18799" i="1"/>
  <c r="A18800" i="1"/>
  <c r="P18800" i="1"/>
  <c r="A18801" i="1"/>
  <c r="P18801" i="1"/>
  <c r="A18802" i="1"/>
  <c r="P18802" i="1"/>
  <c r="A18803" i="1"/>
  <c r="P18803" i="1"/>
  <c r="A18804" i="1"/>
  <c r="P18804" i="1"/>
  <c r="A18805" i="1"/>
  <c r="P18805" i="1"/>
  <c r="A18806" i="1"/>
  <c r="P18806" i="1"/>
  <c r="A18807" i="1"/>
  <c r="P18807" i="1"/>
  <c r="A18808" i="1"/>
  <c r="P18808" i="1"/>
  <c r="A18809" i="1"/>
  <c r="P18809" i="1"/>
  <c r="A18810" i="1"/>
  <c r="P18810" i="1"/>
  <c r="A18811" i="1"/>
  <c r="P18811" i="1"/>
  <c r="A18812" i="1"/>
  <c r="P18812" i="1"/>
  <c r="A18813" i="1"/>
  <c r="P18813" i="1"/>
  <c r="A18814" i="1"/>
  <c r="P18814" i="1"/>
  <c r="A18815" i="1"/>
  <c r="P18815" i="1"/>
  <c r="A18816" i="1"/>
  <c r="P18816" i="1"/>
  <c r="A18817" i="1"/>
  <c r="P18817" i="1"/>
  <c r="A18818" i="1"/>
  <c r="P18818" i="1"/>
  <c r="A18819" i="1"/>
  <c r="P18819" i="1"/>
  <c r="A18820" i="1"/>
  <c r="P18820" i="1"/>
  <c r="A18821" i="1"/>
  <c r="P18821" i="1"/>
  <c r="A18822" i="1"/>
  <c r="P18822" i="1"/>
  <c r="A18823" i="1"/>
  <c r="P18823" i="1"/>
  <c r="A18824" i="1"/>
  <c r="P18824" i="1"/>
  <c r="A18825" i="1"/>
  <c r="P18825" i="1"/>
  <c r="A18826" i="1"/>
  <c r="P18826" i="1"/>
  <c r="A18827" i="1"/>
  <c r="P18827" i="1"/>
  <c r="A18828" i="1"/>
  <c r="P18828" i="1"/>
  <c r="A18829" i="1"/>
  <c r="P18829" i="1"/>
  <c r="A18830" i="1"/>
  <c r="P18830" i="1"/>
  <c r="A18831" i="1"/>
  <c r="P18831" i="1"/>
  <c r="A18832" i="1"/>
  <c r="P18832" i="1"/>
  <c r="A18833" i="1"/>
  <c r="P18833" i="1"/>
  <c r="A18834" i="1"/>
  <c r="P18834" i="1"/>
  <c r="A18835" i="1"/>
  <c r="P18835" i="1"/>
  <c r="A18836" i="1"/>
  <c r="P18836" i="1"/>
  <c r="A18837" i="1"/>
  <c r="P18837" i="1"/>
  <c r="A18838" i="1"/>
  <c r="P18838" i="1"/>
  <c r="A18839" i="1"/>
  <c r="P18839" i="1"/>
  <c r="A18840" i="1"/>
  <c r="P18840" i="1"/>
  <c r="A18841" i="1"/>
  <c r="P18841" i="1"/>
  <c r="A18842" i="1"/>
  <c r="P18842" i="1"/>
  <c r="A18843" i="1"/>
  <c r="P18843" i="1"/>
  <c r="A18844" i="1"/>
  <c r="P18844" i="1"/>
  <c r="A18845" i="1"/>
  <c r="P18845" i="1"/>
  <c r="A18846" i="1"/>
  <c r="P18846" i="1"/>
  <c r="A18847" i="1"/>
  <c r="P18847" i="1"/>
  <c r="A18848" i="1"/>
  <c r="P18848" i="1"/>
  <c r="A18849" i="1"/>
  <c r="P18849" i="1"/>
  <c r="A18850" i="1"/>
  <c r="P18850" i="1"/>
  <c r="A18851" i="1"/>
  <c r="P18851" i="1"/>
  <c r="A18852" i="1"/>
  <c r="P18852" i="1"/>
  <c r="A18853" i="1"/>
  <c r="P18853" i="1"/>
  <c r="A18854" i="1"/>
  <c r="P18854" i="1"/>
  <c r="A18855" i="1"/>
  <c r="P18855" i="1"/>
  <c r="A18856" i="1"/>
  <c r="P18856" i="1"/>
  <c r="A18857" i="1"/>
  <c r="P18857" i="1"/>
  <c r="A18858" i="1"/>
  <c r="P18858" i="1"/>
  <c r="A18859" i="1"/>
  <c r="P18859" i="1"/>
  <c r="A18860" i="1"/>
  <c r="P18860" i="1"/>
  <c r="A18861" i="1"/>
  <c r="P18861" i="1"/>
  <c r="A18862" i="1"/>
  <c r="P18862" i="1"/>
  <c r="A18863" i="1"/>
  <c r="P18863" i="1"/>
  <c r="A18864" i="1"/>
  <c r="P18864" i="1"/>
  <c r="A18865" i="1"/>
  <c r="P18865" i="1"/>
  <c r="A18866" i="1"/>
  <c r="P18866" i="1"/>
  <c r="A18867" i="1"/>
  <c r="P18867" i="1"/>
  <c r="A18868" i="1"/>
  <c r="P18868" i="1"/>
  <c r="A18869" i="1"/>
  <c r="P18869" i="1"/>
  <c r="A18870" i="1"/>
  <c r="P18870" i="1"/>
  <c r="A18871" i="1"/>
  <c r="P18871" i="1"/>
  <c r="A18872" i="1"/>
  <c r="P18872" i="1"/>
  <c r="A18873" i="1"/>
  <c r="P18873" i="1"/>
  <c r="A18874" i="1"/>
  <c r="P18874" i="1"/>
  <c r="A18875" i="1"/>
  <c r="P18875" i="1"/>
  <c r="A18876" i="1"/>
  <c r="P18876" i="1"/>
  <c r="A18877" i="1"/>
  <c r="P18877" i="1"/>
  <c r="A18878" i="1"/>
  <c r="P18878" i="1"/>
  <c r="A18879" i="1"/>
  <c r="P18879" i="1"/>
  <c r="A18880" i="1"/>
  <c r="P18880" i="1"/>
  <c r="A18881" i="1"/>
  <c r="P18881" i="1"/>
  <c r="A18882" i="1"/>
  <c r="P18882" i="1"/>
  <c r="A18883" i="1"/>
  <c r="P18883" i="1"/>
  <c r="A18884" i="1"/>
  <c r="P18884" i="1"/>
  <c r="A18885" i="1"/>
  <c r="P18885" i="1"/>
  <c r="A18886" i="1"/>
  <c r="P18886" i="1"/>
  <c r="A18887" i="1"/>
  <c r="P18887" i="1"/>
  <c r="A18888" i="1"/>
  <c r="P18888" i="1"/>
  <c r="A18889" i="1"/>
  <c r="P18889" i="1"/>
  <c r="A18890" i="1"/>
  <c r="P18890" i="1"/>
  <c r="A18891" i="1"/>
  <c r="P18891" i="1"/>
  <c r="A18892" i="1"/>
  <c r="P18892" i="1"/>
  <c r="A18893" i="1"/>
  <c r="P18893" i="1"/>
  <c r="A18894" i="1"/>
  <c r="P18894" i="1"/>
  <c r="A18895" i="1"/>
  <c r="P18895" i="1"/>
  <c r="A18896" i="1"/>
  <c r="P18896" i="1"/>
  <c r="A18897" i="1"/>
  <c r="P18897" i="1"/>
  <c r="A18898" i="1"/>
  <c r="P18898" i="1"/>
  <c r="A18899" i="1"/>
  <c r="P18899" i="1"/>
  <c r="A18900" i="1"/>
  <c r="P18900" i="1"/>
  <c r="A18901" i="1"/>
  <c r="P18901" i="1"/>
  <c r="A18902" i="1"/>
  <c r="P18902" i="1"/>
  <c r="A18903" i="1"/>
  <c r="P18903" i="1"/>
  <c r="A18904" i="1"/>
  <c r="P18904" i="1"/>
  <c r="A18905" i="1"/>
  <c r="P18905" i="1"/>
  <c r="A18906" i="1"/>
  <c r="P18906" i="1"/>
  <c r="A18907" i="1"/>
  <c r="P18907" i="1"/>
  <c r="A18908" i="1"/>
  <c r="P18908" i="1"/>
  <c r="A18909" i="1"/>
  <c r="P18909" i="1"/>
  <c r="A18910" i="1"/>
  <c r="P18910" i="1"/>
  <c r="A18911" i="1"/>
  <c r="P18911" i="1"/>
  <c r="A18912" i="1"/>
  <c r="P18912" i="1"/>
  <c r="A18913" i="1"/>
  <c r="P18913" i="1"/>
  <c r="A18914" i="1"/>
  <c r="P18914" i="1"/>
  <c r="A18915" i="1"/>
  <c r="P18915" i="1"/>
  <c r="A18916" i="1"/>
  <c r="P18916" i="1"/>
  <c r="A18917" i="1"/>
  <c r="P18917" i="1"/>
  <c r="A18918" i="1"/>
  <c r="P18918" i="1"/>
  <c r="A18919" i="1"/>
  <c r="P18919" i="1"/>
  <c r="A18920" i="1"/>
  <c r="P18920" i="1"/>
  <c r="A18921" i="1"/>
  <c r="P18921" i="1"/>
  <c r="A18922" i="1"/>
  <c r="P18922" i="1"/>
  <c r="A18923" i="1"/>
  <c r="P18923" i="1"/>
  <c r="A18924" i="1"/>
  <c r="P18924" i="1"/>
  <c r="A18925" i="1"/>
  <c r="P18925" i="1"/>
  <c r="A18926" i="1"/>
  <c r="P18926" i="1"/>
  <c r="A18927" i="1"/>
  <c r="P18927" i="1"/>
  <c r="A18928" i="1"/>
  <c r="P18928" i="1"/>
  <c r="A18929" i="1"/>
  <c r="P18929" i="1"/>
  <c r="A18930" i="1"/>
  <c r="P18930" i="1"/>
  <c r="A18931" i="1"/>
  <c r="P18931" i="1"/>
  <c r="A18932" i="1"/>
  <c r="P18932" i="1"/>
  <c r="A18933" i="1"/>
  <c r="P18933" i="1"/>
  <c r="A18934" i="1"/>
  <c r="P18934" i="1"/>
  <c r="A18935" i="1"/>
  <c r="P18935" i="1"/>
  <c r="A18936" i="1"/>
  <c r="P18936" i="1"/>
  <c r="A18937" i="1"/>
  <c r="P18937" i="1"/>
  <c r="A18938" i="1"/>
  <c r="P18938" i="1"/>
  <c r="A18939" i="1"/>
  <c r="P18939" i="1"/>
  <c r="A18940" i="1"/>
  <c r="P18940" i="1"/>
  <c r="A18941" i="1"/>
  <c r="P18941" i="1"/>
  <c r="A18942" i="1"/>
  <c r="P18942" i="1"/>
  <c r="A18943" i="1"/>
  <c r="P18943" i="1"/>
  <c r="A18944" i="1"/>
  <c r="P18944" i="1"/>
  <c r="A18945" i="1"/>
  <c r="P18945" i="1"/>
  <c r="A18946" i="1"/>
  <c r="P18946" i="1"/>
  <c r="A18947" i="1"/>
  <c r="P18947" i="1"/>
  <c r="A18948" i="1"/>
  <c r="P18948" i="1"/>
  <c r="A18949" i="1"/>
  <c r="P18949" i="1"/>
  <c r="A18950" i="1"/>
  <c r="P18950" i="1"/>
  <c r="A18951" i="1"/>
  <c r="P18951" i="1"/>
  <c r="A18952" i="1"/>
  <c r="P18952" i="1"/>
  <c r="A18953" i="1"/>
  <c r="P18953" i="1"/>
  <c r="A18954" i="1"/>
  <c r="P18954" i="1"/>
  <c r="A18955" i="1"/>
  <c r="P18955" i="1"/>
  <c r="A18956" i="1"/>
  <c r="P18956" i="1"/>
  <c r="A18957" i="1"/>
  <c r="P18957" i="1"/>
  <c r="A18958" i="1"/>
  <c r="P18958" i="1"/>
  <c r="A18959" i="1"/>
  <c r="P18959" i="1"/>
  <c r="A18960" i="1"/>
  <c r="P18960" i="1"/>
  <c r="A18961" i="1"/>
  <c r="P18961" i="1"/>
  <c r="A18962" i="1"/>
  <c r="P18962" i="1"/>
  <c r="A18963" i="1"/>
  <c r="P18963" i="1"/>
  <c r="A18964" i="1"/>
  <c r="P18964" i="1"/>
  <c r="A18965" i="1"/>
  <c r="P18965" i="1"/>
  <c r="A18966" i="1"/>
  <c r="P18966" i="1"/>
  <c r="A18967" i="1"/>
  <c r="P18967" i="1"/>
  <c r="A18968" i="1"/>
  <c r="P18968" i="1"/>
  <c r="A18969" i="1"/>
  <c r="P18969" i="1"/>
  <c r="A18970" i="1"/>
  <c r="P18970" i="1"/>
  <c r="A18971" i="1"/>
  <c r="P18971" i="1"/>
  <c r="A18972" i="1"/>
  <c r="P18972" i="1"/>
  <c r="A18973" i="1"/>
  <c r="P18973" i="1"/>
  <c r="A18974" i="1"/>
  <c r="P18974" i="1"/>
  <c r="A18975" i="1"/>
  <c r="P18975" i="1"/>
  <c r="A18976" i="1"/>
  <c r="P18976" i="1"/>
  <c r="A18977" i="1"/>
  <c r="P18977" i="1"/>
  <c r="A18978" i="1"/>
  <c r="P18978" i="1"/>
  <c r="A18979" i="1"/>
  <c r="P18979" i="1"/>
  <c r="A18980" i="1"/>
  <c r="P18980" i="1"/>
  <c r="A18981" i="1"/>
  <c r="P18981" i="1"/>
  <c r="A18982" i="1"/>
  <c r="P18982" i="1"/>
  <c r="A18983" i="1"/>
  <c r="P18983" i="1"/>
  <c r="A18984" i="1"/>
  <c r="P18984" i="1"/>
  <c r="A18985" i="1"/>
  <c r="P18985" i="1"/>
  <c r="A18986" i="1"/>
  <c r="P18986" i="1"/>
  <c r="A18987" i="1"/>
  <c r="P18987" i="1"/>
  <c r="A18988" i="1"/>
  <c r="P18988" i="1"/>
  <c r="A18989" i="1"/>
  <c r="P18989" i="1"/>
  <c r="A18990" i="1"/>
  <c r="P18990" i="1"/>
  <c r="A18991" i="1"/>
  <c r="P18991" i="1"/>
  <c r="A18992" i="1"/>
  <c r="P18992" i="1"/>
  <c r="A18993" i="1"/>
  <c r="P18993" i="1"/>
  <c r="A18994" i="1"/>
  <c r="P18994" i="1"/>
  <c r="A18995" i="1"/>
  <c r="P18995" i="1"/>
  <c r="A18996" i="1"/>
  <c r="P18996" i="1"/>
  <c r="A18997" i="1"/>
  <c r="P18997" i="1"/>
  <c r="A18998" i="1"/>
  <c r="P18998" i="1"/>
  <c r="A18999" i="1"/>
  <c r="P18999" i="1"/>
  <c r="A19000" i="1"/>
  <c r="P19000" i="1"/>
  <c r="A19001" i="1"/>
  <c r="P19001" i="1"/>
  <c r="A19002" i="1"/>
  <c r="P19002" i="1"/>
  <c r="A19003" i="1"/>
  <c r="P19003" i="1"/>
  <c r="A19004" i="1"/>
  <c r="P19004" i="1"/>
  <c r="A19005" i="1"/>
  <c r="P19005" i="1"/>
  <c r="A19006" i="1"/>
  <c r="P19006" i="1"/>
  <c r="A19007" i="1"/>
  <c r="P19007" i="1"/>
  <c r="A19008" i="1"/>
  <c r="P19008" i="1"/>
  <c r="A19009" i="1"/>
  <c r="P19009" i="1"/>
  <c r="A19010" i="1"/>
  <c r="P19010" i="1"/>
  <c r="A19011" i="1"/>
  <c r="P19011" i="1"/>
  <c r="A19012" i="1"/>
  <c r="P19012" i="1"/>
  <c r="A19013" i="1"/>
  <c r="P19013" i="1"/>
  <c r="A19014" i="1"/>
  <c r="P19014" i="1"/>
  <c r="A19015" i="1"/>
  <c r="P19015" i="1"/>
  <c r="A19016" i="1"/>
  <c r="P19016" i="1"/>
  <c r="A19017" i="1"/>
  <c r="P19017" i="1"/>
  <c r="A19018" i="1"/>
  <c r="P19018" i="1"/>
  <c r="A19019" i="1"/>
  <c r="P19019" i="1"/>
  <c r="A19020" i="1"/>
  <c r="P19020" i="1"/>
  <c r="A19021" i="1"/>
  <c r="P19021" i="1"/>
  <c r="A19022" i="1"/>
  <c r="P19022" i="1"/>
  <c r="A19023" i="1"/>
  <c r="P19023" i="1"/>
  <c r="A19024" i="1"/>
  <c r="P19024" i="1"/>
  <c r="A19025" i="1"/>
  <c r="P19025" i="1"/>
  <c r="A19026" i="1"/>
  <c r="P19026" i="1"/>
  <c r="A19027" i="1"/>
  <c r="P19027" i="1"/>
  <c r="A19028" i="1"/>
  <c r="P19028" i="1"/>
  <c r="A19029" i="1"/>
  <c r="P19029" i="1"/>
  <c r="A19030" i="1"/>
  <c r="P19030" i="1"/>
  <c r="A19031" i="1"/>
  <c r="P19031" i="1"/>
  <c r="A19032" i="1"/>
  <c r="P19032" i="1"/>
  <c r="A19033" i="1"/>
  <c r="P19033" i="1"/>
  <c r="A19034" i="1"/>
  <c r="P19034" i="1"/>
  <c r="A19035" i="1"/>
  <c r="P19035" i="1"/>
  <c r="A19036" i="1"/>
  <c r="P19036" i="1"/>
  <c r="A19037" i="1"/>
  <c r="P19037" i="1"/>
  <c r="A19038" i="1"/>
  <c r="P19038" i="1"/>
  <c r="A19039" i="1"/>
  <c r="P19039" i="1"/>
  <c r="A19040" i="1"/>
  <c r="P19040" i="1"/>
  <c r="A19041" i="1"/>
  <c r="P19041" i="1"/>
  <c r="A19042" i="1"/>
  <c r="P19042" i="1"/>
  <c r="A19043" i="1"/>
  <c r="P19043" i="1"/>
  <c r="A19044" i="1"/>
  <c r="P19044" i="1"/>
  <c r="A19045" i="1"/>
  <c r="P19045" i="1"/>
  <c r="A19046" i="1"/>
  <c r="P19046" i="1"/>
  <c r="A19047" i="1"/>
  <c r="P19047" i="1"/>
  <c r="A19048" i="1"/>
  <c r="P19048" i="1"/>
  <c r="A19049" i="1"/>
  <c r="P19049" i="1"/>
  <c r="A19050" i="1"/>
  <c r="P19050" i="1"/>
  <c r="A19051" i="1"/>
  <c r="P19051" i="1"/>
  <c r="A19052" i="1"/>
  <c r="P19052" i="1"/>
  <c r="A19053" i="1"/>
  <c r="P19053" i="1"/>
  <c r="A19054" i="1"/>
  <c r="P19054" i="1"/>
  <c r="A19055" i="1"/>
  <c r="P19055" i="1"/>
  <c r="A19056" i="1"/>
  <c r="P19056" i="1"/>
  <c r="A19057" i="1"/>
  <c r="P19057" i="1"/>
  <c r="A19058" i="1"/>
  <c r="P19058" i="1"/>
  <c r="A19059" i="1"/>
  <c r="P19059" i="1"/>
  <c r="A19060" i="1"/>
  <c r="P19060" i="1"/>
  <c r="A19061" i="1"/>
  <c r="P19061" i="1"/>
  <c r="A19062" i="1"/>
  <c r="P19062" i="1"/>
  <c r="A19063" i="1"/>
  <c r="P19063" i="1"/>
  <c r="A19064" i="1"/>
  <c r="P19064" i="1"/>
  <c r="A19065" i="1"/>
  <c r="P19065" i="1"/>
  <c r="A19066" i="1"/>
  <c r="P19066" i="1"/>
  <c r="A19067" i="1"/>
  <c r="P19067" i="1"/>
  <c r="A19068" i="1"/>
  <c r="P19068" i="1"/>
  <c r="A19069" i="1"/>
  <c r="P19069" i="1"/>
  <c r="A19070" i="1"/>
  <c r="P19070" i="1"/>
  <c r="A19071" i="1"/>
  <c r="P19071" i="1"/>
  <c r="A19072" i="1"/>
  <c r="P19072" i="1"/>
  <c r="A19073" i="1"/>
  <c r="P19073" i="1"/>
  <c r="A19074" i="1"/>
  <c r="P19074" i="1"/>
  <c r="A19075" i="1"/>
  <c r="P19075" i="1"/>
  <c r="A19076" i="1"/>
  <c r="P19076" i="1"/>
  <c r="A19077" i="1"/>
  <c r="P19077" i="1"/>
  <c r="A19078" i="1"/>
  <c r="P19078" i="1"/>
  <c r="A19079" i="1"/>
  <c r="P19079" i="1"/>
  <c r="A19080" i="1"/>
  <c r="P19080" i="1"/>
  <c r="A19081" i="1"/>
  <c r="P19081" i="1"/>
  <c r="A19082" i="1"/>
  <c r="P19082" i="1"/>
  <c r="A19083" i="1"/>
  <c r="P19083" i="1"/>
  <c r="A19084" i="1"/>
  <c r="P19084" i="1"/>
  <c r="A19085" i="1"/>
  <c r="P19085" i="1"/>
  <c r="A19086" i="1"/>
  <c r="P19086" i="1"/>
  <c r="A19087" i="1"/>
  <c r="P19087" i="1"/>
  <c r="A19088" i="1"/>
  <c r="P19088" i="1"/>
  <c r="A19089" i="1"/>
  <c r="P19089" i="1"/>
  <c r="A19090" i="1"/>
  <c r="P19090" i="1"/>
  <c r="A19091" i="1"/>
  <c r="P19091" i="1"/>
  <c r="A19092" i="1"/>
  <c r="P19092" i="1"/>
  <c r="A19093" i="1"/>
  <c r="P19093" i="1"/>
  <c r="A19094" i="1"/>
  <c r="P19094" i="1"/>
  <c r="A19095" i="1"/>
  <c r="P19095" i="1"/>
  <c r="A19096" i="1"/>
  <c r="P19096" i="1"/>
  <c r="A19097" i="1"/>
  <c r="P19097" i="1"/>
  <c r="A19098" i="1"/>
  <c r="P19098" i="1"/>
  <c r="A19099" i="1"/>
  <c r="P19099" i="1"/>
  <c r="A19100" i="1"/>
  <c r="P19100" i="1"/>
  <c r="A19101" i="1"/>
  <c r="P19101" i="1"/>
  <c r="A19102" i="1"/>
  <c r="P19102" i="1"/>
  <c r="A19103" i="1"/>
  <c r="P19103" i="1"/>
  <c r="A19104" i="1"/>
  <c r="P19104" i="1"/>
  <c r="A19105" i="1"/>
  <c r="P19105" i="1"/>
  <c r="A19106" i="1"/>
  <c r="P19106" i="1"/>
  <c r="A19107" i="1"/>
  <c r="P19107" i="1"/>
  <c r="A19108" i="1"/>
  <c r="P19108" i="1"/>
  <c r="A19109" i="1"/>
  <c r="P19109" i="1"/>
  <c r="A19110" i="1"/>
  <c r="P19110" i="1"/>
  <c r="A19111" i="1"/>
  <c r="P19111" i="1"/>
  <c r="A19112" i="1"/>
  <c r="P19112" i="1"/>
  <c r="A19113" i="1"/>
  <c r="P19113" i="1"/>
  <c r="A19114" i="1"/>
  <c r="P19114" i="1"/>
  <c r="A19115" i="1"/>
  <c r="P19115" i="1"/>
  <c r="A19116" i="1"/>
  <c r="P19116" i="1"/>
  <c r="A19117" i="1"/>
  <c r="P19117" i="1"/>
  <c r="A19118" i="1"/>
  <c r="P19118" i="1"/>
  <c r="A19119" i="1"/>
  <c r="P19119" i="1"/>
  <c r="A19120" i="1"/>
  <c r="P19120" i="1"/>
  <c r="A19121" i="1"/>
  <c r="P19121" i="1"/>
  <c r="A19122" i="1"/>
  <c r="P19122" i="1"/>
  <c r="A19123" i="1"/>
  <c r="P19123" i="1"/>
  <c r="A19124" i="1"/>
  <c r="P19124" i="1"/>
  <c r="A19125" i="1"/>
  <c r="P19125" i="1"/>
  <c r="A19126" i="1"/>
  <c r="P19126" i="1"/>
  <c r="A19127" i="1"/>
  <c r="P19127" i="1"/>
  <c r="A19128" i="1"/>
  <c r="P19128" i="1"/>
  <c r="A19129" i="1"/>
  <c r="P19129" i="1"/>
  <c r="A19130" i="1"/>
  <c r="P19130" i="1"/>
  <c r="A19131" i="1"/>
  <c r="P19131" i="1"/>
  <c r="A19132" i="1"/>
  <c r="P19132" i="1"/>
  <c r="A19133" i="1"/>
  <c r="P19133" i="1"/>
  <c r="A19134" i="1"/>
  <c r="P19134" i="1"/>
  <c r="A19135" i="1"/>
  <c r="P19135" i="1"/>
  <c r="A19136" i="1"/>
  <c r="P19136" i="1"/>
  <c r="A19137" i="1"/>
  <c r="P19137" i="1"/>
  <c r="A19138" i="1"/>
  <c r="P19138" i="1"/>
  <c r="A19139" i="1"/>
  <c r="P19139" i="1"/>
  <c r="A19140" i="1"/>
  <c r="P19140" i="1"/>
  <c r="A19141" i="1"/>
  <c r="P19141" i="1"/>
  <c r="A19142" i="1"/>
  <c r="P19142" i="1"/>
  <c r="A19143" i="1"/>
  <c r="P19143" i="1"/>
  <c r="A19144" i="1"/>
  <c r="P19144" i="1"/>
  <c r="A19145" i="1"/>
  <c r="P19145" i="1"/>
  <c r="A19146" i="1"/>
  <c r="P19146" i="1"/>
  <c r="A19147" i="1"/>
  <c r="P19147" i="1"/>
  <c r="A19148" i="1"/>
  <c r="P19148" i="1"/>
  <c r="A19149" i="1"/>
  <c r="P19149" i="1"/>
  <c r="A19150" i="1"/>
  <c r="P19150" i="1"/>
  <c r="A19151" i="1"/>
  <c r="P19151" i="1"/>
  <c r="A19152" i="1"/>
  <c r="P19152" i="1"/>
  <c r="A19153" i="1"/>
  <c r="P19153" i="1"/>
  <c r="A19154" i="1"/>
  <c r="P19154" i="1"/>
  <c r="A19155" i="1"/>
  <c r="P19155" i="1"/>
  <c r="A19156" i="1"/>
  <c r="P19156" i="1"/>
  <c r="A19157" i="1"/>
  <c r="P19157" i="1"/>
  <c r="A19158" i="1"/>
  <c r="P19158" i="1"/>
  <c r="A19159" i="1"/>
  <c r="P19159" i="1"/>
  <c r="A19160" i="1"/>
  <c r="P19160" i="1"/>
  <c r="A19161" i="1"/>
  <c r="P19161" i="1"/>
  <c r="A19162" i="1"/>
  <c r="P19162" i="1"/>
  <c r="A19163" i="1"/>
  <c r="P19163" i="1"/>
  <c r="A19164" i="1"/>
  <c r="P19164" i="1"/>
  <c r="A19165" i="1"/>
  <c r="P19165" i="1"/>
  <c r="A19166" i="1"/>
  <c r="P19166" i="1"/>
  <c r="A19167" i="1"/>
  <c r="P19167" i="1"/>
  <c r="A19168" i="1"/>
  <c r="P19168" i="1"/>
  <c r="A19169" i="1"/>
  <c r="P19169" i="1"/>
  <c r="A19170" i="1"/>
  <c r="P19170" i="1"/>
  <c r="A19171" i="1"/>
  <c r="P19171" i="1"/>
  <c r="A19172" i="1"/>
  <c r="P19172" i="1"/>
  <c r="A19173" i="1"/>
  <c r="P19173" i="1"/>
  <c r="A19174" i="1"/>
  <c r="P19174" i="1"/>
  <c r="A19175" i="1"/>
  <c r="P19175" i="1"/>
  <c r="A19176" i="1"/>
  <c r="P19176" i="1"/>
  <c r="A19177" i="1"/>
  <c r="P19177" i="1"/>
  <c r="A19178" i="1"/>
  <c r="P19178" i="1"/>
  <c r="A19179" i="1"/>
  <c r="P19179" i="1"/>
  <c r="A19180" i="1"/>
  <c r="P19180" i="1"/>
  <c r="A19181" i="1"/>
  <c r="P19181" i="1"/>
  <c r="A19182" i="1"/>
  <c r="P19182" i="1"/>
  <c r="A19183" i="1"/>
  <c r="P19183" i="1"/>
  <c r="A19184" i="1"/>
  <c r="P19184" i="1"/>
  <c r="A19185" i="1"/>
  <c r="P19185" i="1"/>
  <c r="A19186" i="1"/>
  <c r="P19186" i="1"/>
  <c r="A19187" i="1"/>
  <c r="P19187" i="1"/>
  <c r="A19188" i="1"/>
  <c r="P19188" i="1"/>
  <c r="A19189" i="1"/>
  <c r="P19189" i="1"/>
  <c r="A19190" i="1"/>
  <c r="P19190" i="1"/>
  <c r="A19191" i="1"/>
  <c r="P19191" i="1"/>
  <c r="A19192" i="1"/>
  <c r="P19192" i="1"/>
  <c r="A19193" i="1"/>
  <c r="P19193" i="1"/>
  <c r="A19194" i="1"/>
  <c r="P19194" i="1"/>
  <c r="A19195" i="1"/>
  <c r="P19195" i="1"/>
  <c r="A19196" i="1"/>
  <c r="P19196" i="1"/>
  <c r="A19197" i="1"/>
  <c r="P19197" i="1"/>
  <c r="A19198" i="1"/>
  <c r="P19198" i="1"/>
  <c r="A19199" i="1"/>
  <c r="P19199" i="1"/>
  <c r="A19200" i="1"/>
  <c r="P19200" i="1"/>
  <c r="A19201" i="1"/>
  <c r="P19201" i="1"/>
  <c r="A19202" i="1"/>
  <c r="P19202" i="1"/>
  <c r="A19203" i="1"/>
  <c r="P19203" i="1"/>
  <c r="A19204" i="1"/>
  <c r="P19204" i="1"/>
  <c r="A19205" i="1"/>
  <c r="P19205" i="1"/>
  <c r="A19206" i="1"/>
  <c r="P19206" i="1"/>
  <c r="A19207" i="1"/>
  <c r="P19207" i="1"/>
  <c r="A19208" i="1"/>
  <c r="P19208" i="1"/>
  <c r="A19209" i="1"/>
  <c r="P19209" i="1"/>
  <c r="A19210" i="1"/>
  <c r="P19210" i="1"/>
  <c r="A19211" i="1"/>
  <c r="P19211" i="1"/>
  <c r="A19212" i="1"/>
  <c r="P19212" i="1"/>
  <c r="A19213" i="1"/>
  <c r="P19213" i="1"/>
  <c r="A19214" i="1"/>
  <c r="P19214" i="1"/>
  <c r="A19215" i="1"/>
  <c r="P19215" i="1"/>
  <c r="A19216" i="1"/>
  <c r="P19216" i="1"/>
  <c r="A19217" i="1"/>
  <c r="P19217" i="1"/>
  <c r="A19218" i="1"/>
  <c r="P19218" i="1"/>
  <c r="A19219" i="1"/>
  <c r="P19219" i="1"/>
  <c r="A19220" i="1"/>
  <c r="P19220" i="1"/>
  <c r="A19221" i="1"/>
  <c r="P19221" i="1"/>
  <c r="A19222" i="1"/>
  <c r="P19222" i="1"/>
  <c r="A19223" i="1"/>
  <c r="P19223" i="1"/>
  <c r="A19224" i="1"/>
  <c r="P19224" i="1"/>
  <c r="A19225" i="1"/>
  <c r="P19225" i="1"/>
  <c r="A19226" i="1"/>
  <c r="P19226" i="1"/>
  <c r="A19227" i="1"/>
  <c r="P19227" i="1"/>
  <c r="A19228" i="1"/>
  <c r="P19228" i="1"/>
  <c r="A19229" i="1"/>
  <c r="P19229" i="1"/>
  <c r="A19230" i="1"/>
  <c r="P19230" i="1"/>
  <c r="A19231" i="1"/>
  <c r="P19231" i="1"/>
  <c r="A19232" i="1"/>
  <c r="P19232" i="1"/>
  <c r="A19233" i="1"/>
  <c r="P19233" i="1"/>
  <c r="A19234" i="1"/>
  <c r="P19234" i="1"/>
  <c r="A19235" i="1"/>
  <c r="P19235" i="1"/>
  <c r="A19236" i="1"/>
  <c r="P19236" i="1"/>
  <c r="A19237" i="1"/>
  <c r="P19237" i="1"/>
  <c r="A19238" i="1"/>
  <c r="P19238" i="1"/>
  <c r="A19239" i="1"/>
  <c r="P19239" i="1"/>
  <c r="A19240" i="1"/>
  <c r="P19240" i="1"/>
  <c r="A19241" i="1"/>
  <c r="P19241" i="1"/>
  <c r="A19242" i="1"/>
  <c r="P19242" i="1"/>
  <c r="A19243" i="1"/>
  <c r="P19243" i="1"/>
  <c r="A19244" i="1"/>
  <c r="P19244" i="1"/>
  <c r="A19245" i="1"/>
  <c r="P19245" i="1"/>
  <c r="A19246" i="1"/>
  <c r="P19246" i="1"/>
  <c r="A19247" i="1"/>
  <c r="P19247" i="1"/>
  <c r="A19248" i="1"/>
  <c r="P19248" i="1"/>
  <c r="A19249" i="1"/>
  <c r="P19249" i="1"/>
  <c r="A19250" i="1"/>
  <c r="P19250" i="1"/>
  <c r="A19251" i="1"/>
  <c r="P19251" i="1"/>
  <c r="A19252" i="1"/>
  <c r="P19252" i="1"/>
  <c r="A19253" i="1"/>
  <c r="P19253" i="1"/>
  <c r="A19254" i="1"/>
  <c r="P19254" i="1"/>
  <c r="A19255" i="1"/>
  <c r="P19255" i="1"/>
  <c r="A19256" i="1"/>
  <c r="P19256" i="1"/>
  <c r="A19257" i="1"/>
  <c r="P19257" i="1"/>
  <c r="A19258" i="1"/>
  <c r="P19258" i="1"/>
  <c r="A19259" i="1"/>
  <c r="P19259" i="1"/>
  <c r="A19260" i="1"/>
  <c r="P19260" i="1"/>
  <c r="A19261" i="1"/>
  <c r="P19261" i="1"/>
  <c r="A19262" i="1"/>
  <c r="P19262" i="1"/>
  <c r="A19263" i="1"/>
  <c r="P19263" i="1"/>
  <c r="A19264" i="1"/>
  <c r="P19264" i="1"/>
  <c r="A19265" i="1"/>
  <c r="P19265" i="1"/>
  <c r="A19266" i="1"/>
  <c r="P19266" i="1"/>
  <c r="A19267" i="1"/>
  <c r="P19267" i="1"/>
  <c r="A19268" i="1"/>
  <c r="P19268" i="1"/>
  <c r="A19269" i="1"/>
  <c r="P19269" i="1"/>
  <c r="A19270" i="1"/>
  <c r="P19270" i="1"/>
  <c r="A19271" i="1"/>
  <c r="P19271" i="1"/>
  <c r="A19272" i="1"/>
  <c r="P19272" i="1"/>
  <c r="A19273" i="1"/>
  <c r="P19273" i="1"/>
  <c r="A19274" i="1"/>
  <c r="P19274" i="1"/>
  <c r="A19275" i="1"/>
  <c r="P19275" i="1"/>
  <c r="A19276" i="1"/>
  <c r="P19276" i="1"/>
  <c r="A19277" i="1"/>
  <c r="P19277" i="1"/>
  <c r="A19278" i="1"/>
  <c r="P19278" i="1"/>
  <c r="A19279" i="1"/>
  <c r="P19279" i="1"/>
  <c r="A19280" i="1"/>
  <c r="P19280" i="1"/>
  <c r="A19281" i="1"/>
  <c r="P19281" i="1"/>
  <c r="A19282" i="1"/>
  <c r="P19282" i="1"/>
  <c r="A19283" i="1"/>
  <c r="P19283" i="1"/>
  <c r="A19284" i="1"/>
  <c r="P19284" i="1"/>
  <c r="A19285" i="1"/>
  <c r="P19285" i="1"/>
  <c r="A19286" i="1"/>
  <c r="P19286" i="1"/>
  <c r="A19287" i="1"/>
  <c r="P19287" i="1"/>
  <c r="A19288" i="1"/>
  <c r="P19288" i="1"/>
  <c r="A19289" i="1"/>
  <c r="P19289" i="1"/>
  <c r="A19290" i="1"/>
  <c r="P19290" i="1"/>
  <c r="A19291" i="1"/>
  <c r="P19291" i="1"/>
  <c r="A19292" i="1"/>
  <c r="P19292" i="1"/>
  <c r="A19293" i="1"/>
  <c r="P19293" i="1"/>
  <c r="A19294" i="1"/>
  <c r="P19294" i="1"/>
  <c r="A19295" i="1"/>
  <c r="P19295" i="1"/>
  <c r="A19296" i="1"/>
  <c r="P19296" i="1"/>
  <c r="A19297" i="1"/>
  <c r="P19297" i="1"/>
  <c r="A19298" i="1"/>
  <c r="P19298" i="1"/>
  <c r="A19299" i="1"/>
  <c r="P19299" i="1"/>
  <c r="A19300" i="1"/>
  <c r="P19300" i="1"/>
  <c r="A19301" i="1"/>
  <c r="P19301" i="1"/>
  <c r="A19302" i="1"/>
  <c r="P19302" i="1"/>
  <c r="A19303" i="1"/>
  <c r="P19303" i="1"/>
  <c r="A19304" i="1"/>
  <c r="P19304" i="1"/>
  <c r="A19305" i="1"/>
  <c r="P19305" i="1"/>
  <c r="A19306" i="1"/>
  <c r="P19306" i="1"/>
  <c r="A19307" i="1"/>
  <c r="P19307" i="1"/>
  <c r="A19308" i="1"/>
  <c r="P19308" i="1"/>
  <c r="A19309" i="1"/>
  <c r="P19309" i="1"/>
  <c r="A19310" i="1"/>
  <c r="P19310" i="1"/>
  <c r="A19311" i="1"/>
  <c r="P19311" i="1"/>
  <c r="A19312" i="1"/>
  <c r="P19312" i="1"/>
  <c r="A19313" i="1"/>
  <c r="P19313" i="1"/>
  <c r="A19314" i="1"/>
  <c r="P19314" i="1"/>
  <c r="A19315" i="1"/>
  <c r="P19315" i="1"/>
  <c r="A19316" i="1"/>
  <c r="P19316" i="1"/>
  <c r="A19317" i="1"/>
  <c r="P19317" i="1"/>
  <c r="A19318" i="1"/>
  <c r="P19318" i="1"/>
  <c r="A19319" i="1"/>
  <c r="P19319" i="1"/>
  <c r="A19320" i="1"/>
  <c r="P19320" i="1"/>
  <c r="A19321" i="1"/>
  <c r="P19321" i="1"/>
  <c r="A19322" i="1"/>
  <c r="P19322" i="1"/>
  <c r="A19323" i="1"/>
  <c r="P19323" i="1"/>
  <c r="A19324" i="1"/>
  <c r="P19324" i="1"/>
  <c r="A19325" i="1"/>
  <c r="P19325" i="1"/>
  <c r="A19326" i="1"/>
  <c r="P19326" i="1"/>
  <c r="A19327" i="1"/>
  <c r="P19327" i="1"/>
  <c r="A19328" i="1"/>
  <c r="P19328" i="1"/>
  <c r="A19329" i="1"/>
  <c r="P19329" i="1"/>
  <c r="A19330" i="1"/>
  <c r="P19330" i="1"/>
  <c r="A19331" i="1"/>
  <c r="P19331" i="1"/>
  <c r="A19332" i="1"/>
  <c r="P19332" i="1"/>
  <c r="A19333" i="1"/>
  <c r="P19333" i="1"/>
  <c r="A19334" i="1"/>
  <c r="P19334" i="1"/>
  <c r="A19335" i="1"/>
  <c r="P19335" i="1"/>
  <c r="A19336" i="1"/>
  <c r="P19336" i="1"/>
  <c r="A19337" i="1"/>
  <c r="P19337" i="1"/>
  <c r="A19338" i="1"/>
  <c r="P19338" i="1"/>
  <c r="A19339" i="1"/>
  <c r="P19339" i="1"/>
  <c r="A19340" i="1"/>
  <c r="P19340" i="1"/>
  <c r="A19341" i="1"/>
  <c r="P19341" i="1"/>
  <c r="A19342" i="1"/>
  <c r="P19342" i="1"/>
  <c r="A19343" i="1"/>
  <c r="P19343" i="1"/>
  <c r="A19344" i="1"/>
  <c r="P19344" i="1"/>
  <c r="A19345" i="1"/>
  <c r="P19345" i="1"/>
  <c r="A19346" i="1"/>
  <c r="P19346" i="1"/>
  <c r="A19347" i="1"/>
  <c r="P19347" i="1"/>
  <c r="A19348" i="1"/>
  <c r="P19348" i="1"/>
  <c r="A19349" i="1"/>
  <c r="P19349" i="1"/>
  <c r="A19350" i="1"/>
  <c r="P19350" i="1"/>
  <c r="A19351" i="1"/>
  <c r="P19351" i="1"/>
  <c r="A19352" i="1"/>
  <c r="P19352" i="1"/>
  <c r="A19353" i="1"/>
  <c r="P19353" i="1"/>
  <c r="A19354" i="1"/>
  <c r="P19354" i="1"/>
  <c r="A19355" i="1"/>
  <c r="P19355" i="1"/>
  <c r="A19356" i="1"/>
  <c r="P19356" i="1"/>
  <c r="A19357" i="1"/>
  <c r="P19357" i="1"/>
  <c r="A19358" i="1"/>
  <c r="P19358" i="1"/>
  <c r="A19359" i="1"/>
  <c r="P19359" i="1"/>
  <c r="A19360" i="1"/>
  <c r="P19360" i="1"/>
  <c r="A19361" i="1"/>
  <c r="P19361" i="1"/>
  <c r="A19362" i="1"/>
  <c r="P19362" i="1"/>
  <c r="A19363" i="1"/>
  <c r="P19363" i="1"/>
  <c r="A19364" i="1"/>
  <c r="P19364" i="1"/>
  <c r="A19365" i="1"/>
  <c r="P19365" i="1"/>
  <c r="A19366" i="1"/>
  <c r="P19366" i="1"/>
  <c r="A19367" i="1"/>
  <c r="P19367" i="1"/>
  <c r="A19368" i="1"/>
  <c r="P19368" i="1"/>
  <c r="A19369" i="1"/>
  <c r="P19369" i="1"/>
  <c r="A19370" i="1"/>
  <c r="P19370" i="1"/>
  <c r="A19371" i="1"/>
  <c r="P19371" i="1"/>
  <c r="A19372" i="1"/>
  <c r="P19372" i="1"/>
  <c r="A19373" i="1"/>
  <c r="P19373" i="1"/>
  <c r="A19374" i="1"/>
  <c r="P19374" i="1"/>
  <c r="A19375" i="1"/>
  <c r="P19375" i="1"/>
  <c r="A19376" i="1"/>
  <c r="P19376" i="1"/>
  <c r="A19377" i="1"/>
  <c r="P19377" i="1"/>
  <c r="A19378" i="1"/>
  <c r="P19378" i="1"/>
  <c r="A19379" i="1"/>
  <c r="P19379" i="1"/>
  <c r="A19380" i="1"/>
  <c r="P19380" i="1"/>
  <c r="A19381" i="1"/>
  <c r="P19381" i="1"/>
  <c r="A19382" i="1"/>
  <c r="P19382" i="1"/>
  <c r="A19383" i="1"/>
  <c r="P19383" i="1"/>
  <c r="A19384" i="1"/>
  <c r="P19384" i="1"/>
  <c r="A19385" i="1"/>
  <c r="P19385" i="1"/>
  <c r="A19386" i="1"/>
  <c r="P19386" i="1"/>
  <c r="A19387" i="1"/>
  <c r="P19387" i="1"/>
  <c r="A19388" i="1"/>
  <c r="P19388" i="1"/>
  <c r="A19389" i="1"/>
  <c r="P19389" i="1"/>
  <c r="A19390" i="1"/>
  <c r="P19390" i="1"/>
  <c r="A19391" i="1"/>
  <c r="P19391" i="1"/>
  <c r="A19392" i="1"/>
  <c r="P19392" i="1"/>
  <c r="A19393" i="1"/>
  <c r="P19393" i="1"/>
  <c r="A19394" i="1"/>
  <c r="P19394" i="1"/>
  <c r="A19395" i="1"/>
  <c r="P19395" i="1"/>
  <c r="A19396" i="1"/>
  <c r="P19396" i="1"/>
  <c r="A19397" i="1"/>
  <c r="P19397" i="1"/>
  <c r="A19398" i="1"/>
  <c r="P19398" i="1"/>
  <c r="A19399" i="1"/>
  <c r="P19399" i="1"/>
  <c r="A19400" i="1"/>
  <c r="P19400" i="1"/>
  <c r="A19401" i="1"/>
  <c r="P19401" i="1"/>
  <c r="A19402" i="1"/>
  <c r="P19402" i="1"/>
  <c r="A19403" i="1"/>
  <c r="P19403" i="1"/>
  <c r="A19404" i="1"/>
  <c r="P19404" i="1"/>
  <c r="A19405" i="1"/>
  <c r="P19405" i="1"/>
  <c r="A19406" i="1"/>
  <c r="P19406" i="1"/>
  <c r="A19407" i="1"/>
  <c r="P19407" i="1"/>
  <c r="A19408" i="1"/>
  <c r="P19408" i="1"/>
  <c r="A19409" i="1"/>
  <c r="P19409" i="1"/>
  <c r="A19410" i="1"/>
  <c r="P19410" i="1"/>
  <c r="A19411" i="1"/>
  <c r="P19411" i="1"/>
  <c r="A19412" i="1"/>
  <c r="P19412" i="1"/>
  <c r="A19413" i="1"/>
  <c r="P19413" i="1"/>
  <c r="A19414" i="1"/>
  <c r="P19414" i="1"/>
  <c r="A19415" i="1"/>
  <c r="P19415" i="1"/>
  <c r="A19416" i="1"/>
  <c r="P19416" i="1"/>
  <c r="A19417" i="1"/>
  <c r="P19417" i="1"/>
  <c r="A19418" i="1"/>
  <c r="P19418" i="1"/>
  <c r="A19419" i="1"/>
  <c r="P19419" i="1"/>
  <c r="A19420" i="1"/>
  <c r="P19420" i="1"/>
  <c r="A19421" i="1"/>
  <c r="P19421" i="1"/>
  <c r="A19422" i="1"/>
  <c r="P19422" i="1"/>
  <c r="A19423" i="1"/>
  <c r="P19423" i="1"/>
  <c r="A19424" i="1"/>
  <c r="P19424" i="1"/>
  <c r="A19425" i="1"/>
  <c r="P19425" i="1"/>
  <c r="A19426" i="1"/>
  <c r="P19426" i="1"/>
  <c r="A19427" i="1"/>
  <c r="P19427" i="1"/>
  <c r="A19428" i="1"/>
  <c r="P19428" i="1"/>
  <c r="A19429" i="1"/>
  <c r="P19429" i="1"/>
  <c r="A19430" i="1"/>
  <c r="P19430" i="1"/>
  <c r="A19431" i="1"/>
  <c r="P19431" i="1"/>
  <c r="A19432" i="1"/>
  <c r="P19432" i="1"/>
  <c r="A19433" i="1"/>
  <c r="P19433" i="1"/>
  <c r="A19434" i="1"/>
  <c r="P19434" i="1"/>
  <c r="A19435" i="1"/>
  <c r="P19435" i="1"/>
  <c r="A19436" i="1"/>
  <c r="P19436" i="1"/>
  <c r="A19437" i="1"/>
  <c r="P19437" i="1"/>
  <c r="A19438" i="1"/>
  <c r="P19438" i="1"/>
  <c r="A19439" i="1"/>
  <c r="P19439" i="1"/>
  <c r="A19440" i="1"/>
  <c r="P19440" i="1"/>
  <c r="A19441" i="1"/>
  <c r="P19441" i="1"/>
  <c r="A19442" i="1"/>
  <c r="P19442" i="1"/>
  <c r="A19443" i="1"/>
  <c r="P19443" i="1"/>
  <c r="A19444" i="1"/>
  <c r="P19444" i="1"/>
  <c r="A19445" i="1"/>
  <c r="P19445" i="1"/>
  <c r="A19446" i="1"/>
  <c r="P19446" i="1"/>
  <c r="A19447" i="1"/>
  <c r="P19447" i="1"/>
  <c r="A19448" i="1"/>
  <c r="P19448" i="1"/>
  <c r="A19449" i="1"/>
  <c r="P19449" i="1"/>
  <c r="A19450" i="1"/>
  <c r="P19450" i="1"/>
  <c r="A19451" i="1"/>
  <c r="P19451" i="1"/>
  <c r="A19452" i="1"/>
  <c r="P19452" i="1"/>
  <c r="A19453" i="1"/>
  <c r="P19453" i="1"/>
  <c r="A19454" i="1"/>
  <c r="P19454" i="1"/>
  <c r="A19455" i="1"/>
  <c r="P19455" i="1"/>
  <c r="A19456" i="1"/>
  <c r="P19456" i="1"/>
  <c r="A19457" i="1"/>
  <c r="P19457" i="1"/>
  <c r="A19458" i="1"/>
  <c r="P19458" i="1"/>
  <c r="A19459" i="1"/>
  <c r="P19459" i="1"/>
  <c r="A19460" i="1"/>
  <c r="P19460" i="1"/>
  <c r="A19461" i="1"/>
  <c r="P19461" i="1"/>
  <c r="A19462" i="1"/>
  <c r="P19462" i="1"/>
  <c r="A19463" i="1"/>
  <c r="P19463" i="1"/>
  <c r="A19464" i="1"/>
  <c r="P19464" i="1"/>
  <c r="A19465" i="1"/>
  <c r="P19465" i="1"/>
  <c r="A19466" i="1"/>
  <c r="P19466" i="1"/>
  <c r="A19467" i="1"/>
  <c r="P19467" i="1"/>
  <c r="A19468" i="1"/>
  <c r="P19468" i="1"/>
  <c r="A19469" i="1"/>
  <c r="P19469" i="1"/>
  <c r="A19470" i="1"/>
  <c r="P19470" i="1"/>
  <c r="A19471" i="1"/>
  <c r="P19471" i="1"/>
  <c r="A19472" i="1"/>
  <c r="P19472" i="1"/>
  <c r="A19473" i="1"/>
  <c r="P19473" i="1"/>
  <c r="A19474" i="1"/>
  <c r="P19474" i="1"/>
  <c r="A19475" i="1"/>
  <c r="P19475" i="1"/>
  <c r="A19476" i="1"/>
  <c r="P19476" i="1"/>
  <c r="A19477" i="1"/>
  <c r="P19477" i="1"/>
  <c r="A19478" i="1"/>
  <c r="P19478" i="1"/>
  <c r="A19479" i="1"/>
  <c r="P19479" i="1"/>
  <c r="A19480" i="1"/>
  <c r="P19480" i="1"/>
  <c r="A19481" i="1"/>
  <c r="P19481" i="1"/>
  <c r="A19482" i="1"/>
  <c r="P19482" i="1"/>
  <c r="A19483" i="1"/>
  <c r="P19483" i="1"/>
  <c r="A19484" i="1"/>
  <c r="P19484" i="1"/>
  <c r="A19485" i="1"/>
  <c r="P19485" i="1"/>
  <c r="A19486" i="1"/>
  <c r="P19486" i="1"/>
  <c r="A19487" i="1"/>
  <c r="P19487" i="1"/>
  <c r="A19488" i="1"/>
  <c r="P19488" i="1"/>
  <c r="A19489" i="1"/>
  <c r="P19489" i="1"/>
  <c r="A19490" i="1"/>
  <c r="P19490" i="1"/>
  <c r="A19491" i="1"/>
  <c r="P19491" i="1"/>
  <c r="A19492" i="1"/>
  <c r="P19492" i="1"/>
  <c r="A19493" i="1"/>
  <c r="P19493" i="1"/>
  <c r="A19494" i="1"/>
  <c r="P19494" i="1"/>
  <c r="A19495" i="1"/>
  <c r="P19495" i="1"/>
  <c r="A19496" i="1"/>
  <c r="P19496" i="1"/>
  <c r="A19497" i="1"/>
  <c r="P19497" i="1"/>
  <c r="A19498" i="1"/>
  <c r="P19498" i="1"/>
  <c r="A19499" i="1"/>
  <c r="P19499" i="1"/>
  <c r="A19500" i="1"/>
  <c r="P19500" i="1"/>
  <c r="A19501" i="1"/>
  <c r="P19501" i="1"/>
  <c r="A19502" i="1"/>
  <c r="P19502" i="1"/>
  <c r="A19503" i="1"/>
  <c r="P19503" i="1"/>
  <c r="A19504" i="1"/>
  <c r="P19504" i="1"/>
  <c r="A19505" i="1"/>
  <c r="P19505" i="1"/>
  <c r="A19506" i="1"/>
  <c r="P19506" i="1"/>
  <c r="A19507" i="1"/>
  <c r="P19507" i="1"/>
  <c r="A19508" i="1"/>
  <c r="P19508" i="1"/>
  <c r="A19509" i="1"/>
  <c r="P19509" i="1"/>
  <c r="A19510" i="1"/>
  <c r="P19510" i="1"/>
  <c r="A19511" i="1"/>
  <c r="P19511" i="1"/>
  <c r="A19512" i="1"/>
  <c r="P19512" i="1"/>
  <c r="A19513" i="1"/>
  <c r="P19513" i="1"/>
  <c r="A19514" i="1"/>
  <c r="P19514" i="1"/>
  <c r="A19515" i="1"/>
  <c r="P19515" i="1"/>
  <c r="A19516" i="1"/>
  <c r="P19516" i="1"/>
  <c r="A19517" i="1"/>
  <c r="P19517" i="1"/>
  <c r="A19518" i="1"/>
  <c r="P19518" i="1"/>
  <c r="A19519" i="1"/>
  <c r="P19519" i="1"/>
  <c r="A19520" i="1"/>
  <c r="P19520" i="1"/>
  <c r="A19521" i="1"/>
  <c r="P19521" i="1"/>
  <c r="A19522" i="1"/>
  <c r="P19522" i="1"/>
  <c r="A19523" i="1"/>
  <c r="P19523" i="1"/>
  <c r="A19524" i="1"/>
  <c r="P19524" i="1"/>
  <c r="A19525" i="1"/>
  <c r="P19525" i="1"/>
  <c r="A19526" i="1"/>
  <c r="P19526" i="1"/>
  <c r="A19527" i="1"/>
  <c r="P19527" i="1"/>
  <c r="A19528" i="1"/>
  <c r="P19528" i="1"/>
  <c r="A19529" i="1"/>
  <c r="P19529" i="1"/>
  <c r="A19530" i="1"/>
  <c r="P19530" i="1"/>
  <c r="A19531" i="1"/>
  <c r="P19531" i="1"/>
  <c r="A19532" i="1"/>
  <c r="P19532" i="1"/>
  <c r="A19533" i="1"/>
  <c r="P19533" i="1"/>
  <c r="A19534" i="1"/>
  <c r="P19534" i="1"/>
  <c r="A19535" i="1"/>
  <c r="P19535" i="1"/>
  <c r="A19536" i="1"/>
  <c r="P19536" i="1"/>
  <c r="A19537" i="1"/>
  <c r="P19537" i="1"/>
  <c r="A19538" i="1"/>
  <c r="P19538" i="1"/>
  <c r="A19539" i="1"/>
  <c r="P19539" i="1"/>
  <c r="A19540" i="1"/>
  <c r="P19540" i="1"/>
  <c r="A19541" i="1"/>
  <c r="P19541" i="1"/>
  <c r="A19542" i="1"/>
  <c r="P19542" i="1"/>
  <c r="A19543" i="1"/>
  <c r="P19543" i="1"/>
  <c r="A19544" i="1"/>
  <c r="P19544" i="1"/>
  <c r="A19545" i="1"/>
  <c r="P19545" i="1"/>
  <c r="A19546" i="1"/>
  <c r="P19546" i="1"/>
  <c r="A19547" i="1"/>
  <c r="P19547" i="1"/>
  <c r="A19548" i="1"/>
  <c r="P19548" i="1"/>
  <c r="A19549" i="1"/>
  <c r="P19549" i="1"/>
  <c r="A19550" i="1"/>
  <c r="P19550" i="1"/>
  <c r="A19551" i="1"/>
  <c r="P19551" i="1"/>
  <c r="A19552" i="1"/>
  <c r="P19552" i="1"/>
  <c r="A19553" i="1"/>
  <c r="P19553" i="1"/>
  <c r="A19554" i="1"/>
  <c r="P19554" i="1"/>
  <c r="A19555" i="1"/>
  <c r="P19555" i="1"/>
  <c r="A19556" i="1"/>
  <c r="P19556" i="1"/>
  <c r="A19557" i="1"/>
  <c r="P19557" i="1"/>
  <c r="A19558" i="1"/>
  <c r="P19558" i="1"/>
  <c r="A19559" i="1"/>
  <c r="P19559" i="1"/>
  <c r="A19560" i="1"/>
  <c r="P19560" i="1"/>
  <c r="A19561" i="1"/>
  <c r="P19561" i="1"/>
  <c r="A19562" i="1"/>
  <c r="P19562" i="1"/>
  <c r="A19563" i="1"/>
  <c r="P19563" i="1"/>
  <c r="A19564" i="1"/>
  <c r="P19564" i="1"/>
  <c r="A19565" i="1"/>
  <c r="P19565" i="1"/>
  <c r="A19566" i="1"/>
  <c r="P19566" i="1"/>
  <c r="A19567" i="1"/>
  <c r="P19567" i="1"/>
  <c r="A19568" i="1"/>
  <c r="P19568" i="1"/>
  <c r="A19569" i="1"/>
  <c r="P19569" i="1"/>
  <c r="A19570" i="1"/>
  <c r="P19570" i="1"/>
  <c r="A19571" i="1"/>
  <c r="P19571" i="1"/>
  <c r="A19572" i="1"/>
  <c r="P19572" i="1"/>
  <c r="A19573" i="1"/>
  <c r="P19573" i="1"/>
  <c r="A19574" i="1"/>
  <c r="P19574" i="1"/>
  <c r="A19575" i="1"/>
  <c r="P19575" i="1"/>
  <c r="A19576" i="1"/>
  <c r="P19576" i="1"/>
  <c r="A19577" i="1"/>
  <c r="P19577" i="1"/>
  <c r="A19578" i="1"/>
  <c r="P19578" i="1"/>
  <c r="A19579" i="1"/>
  <c r="P19579" i="1"/>
  <c r="A19580" i="1"/>
  <c r="P19580" i="1"/>
  <c r="A19581" i="1"/>
  <c r="P19581" i="1"/>
  <c r="A19582" i="1"/>
  <c r="P19582" i="1"/>
  <c r="A19583" i="1"/>
  <c r="P19583" i="1"/>
  <c r="A19584" i="1"/>
  <c r="P19584" i="1"/>
  <c r="A19585" i="1"/>
  <c r="P19585" i="1"/>
  <c r="A19586" i="1"/>
  <c r="P19586" i="1"/>
  <c r="A19587" i="1"/>
  <c r="P19587" i="1"/>
  <c r="A19588" i="1"/>
  <c r="P19588" i="1"/>
  <c r="A19589" i="1"/>
  <c r="P19589" i="1"/>
  <c r="A19590" i="1"/>
  <c r="P19590" i="1"/>
  <c r="A19591" i="1"/>
  <c r="P19591" i="1"/>
  <c r="A19592" i="1"/>
  <c r="P19592" i="1"/>
  <c r="A19593" i="1"/>
  <c r="P19593" i="1"/>
  <c r="A19594" i="1"/>
  <c r="P19594" i="1"/>
  <c r="A19595" i="1"/>
  <c r="P19595" i="1"/>
  <c r="A19596" i="1"/>
  <c r="P19596" i="1"/>
  <c r="A19597" i="1"/>
  <c r="P19597" i="1"/>
  <c r="A19598" i="1"/>
  <c r="P19598" i="1"/>
  <c r="A19599" i="1"/>
  <c r="P19599" i="1"/>
  <c r="A19600" i="1"/>
  <c r="P19600" i="1"/>
  <c r="A19601" i="1"/>
  <c r="P19601" i="1"/>
  <c r="A19602" i="1"/>
  <c r="P19602" i="1"/>
  <c r="A19603" i="1"/>
  <c r="P19603" i="1"/>
  <c r="A19604" i="1"/>
  <c r="P19604" i="1"/>
  <c r="A19605" i="1"/>
  <c r="P19605" i="1"/>
  <c r="A19606" i="1"/>
  <c r="P19606" i="1"/>
  <c r="A19607" i="1"/>
  <c r="P19607" i="1"/>
  <c r="A19608" i="1"/>
  <c r="P19608" i="1"/>
  <c r="A19609" i="1"/>
  <c r="P19609" i="1"/>
  <c r="A19610" i="1"/>
  <c r="P19610" i="1"/>
  <c r="A19611" i="1"/>
  <c r="P19611" i="1"/>
  <c r="A19612" i="1"/>
  <c r="P19612" i="1"/>
  <c r="A19613" i="1"/>
  <c r="P19613" i="1"/>
  <c r="A19614" i="1"/>
  <c r="P19614" i="1"/>
  <c r="A19615" i="1"/>
  <c r="P19615" i="1"/>
  <c r="A19616" i="1"/>
  <c r="P19616" i="1"/>
  <c r="A19617" i="1"/>
  <c r="P19617" i="1"/>
  <c r="A19618" i="1"/>
  <c r="P19618" i="1"/>
  <c r="A19619" i="1"/>
  <c r="P19619" i="1"/>
  <c r="A19620" i="1"/>
  <c r="P19620" i="1"/>
  <c r="A19621" i="1"/>
  <c r="P19621" i="1"/>
  <c r="A19622" i="1"/>
  <c r="P19622" i="1"/>
  <c r="A19623" i="1"/>
  <c r="P19623" i="1"/>
  <c r="A19624" i="1"/>
  <c r="P19624" i="1"/>
  <c r="A19625" i="1"/>
  <c r="P19625" i="1"/>
  <c r="A19626" i="1"/>
  <c r="P19626" i="1"/>
  <c r="A19627" i="1"/>
  <c r="P19627" i="1"/>
  <c r="A19628" i="1"/>
  <c r="P19628" i="1"/>
  <c r="A19629" i="1"/>
  <c r="P19629" i="1"/>
  <c r="A19630" i="1"/>
  <c r="P19630" i="1"/>
  <c r="A19631" i="1"/>
  <c r="P19631" i="1"/>
  <c r="A19632" i="1"/>
  <c r="P19632" i="1"/>
  <c r="A19633" i="1"/>
  <c r="P19633" i="1"/>
  <c r="A19634" i="1"/>
  <c r="P19634" i="1"/>
  <c r="A19635" i="1"/>
  <c r="P19635" i="1"/>
  <c r="A19636" i="1"/>
  <c r="P19636" i="1"/>
  <c r="A19637" i="1"/>
  <c r="P19637" i="1"/>
  <c r="A19638" i="1"/>
  <c r="P19638" i="1"/>
  <c r="A19639" i="1"/>
  <c r="P19639" i="1"/>
  <c r="A19640" i="1"/>
  <c r="P19640" i="1"/>
  <c r="A19641" i="1"/>
  <c r="P19641" i="1"/>
  <c r="A19642" i="1"/>
  <c r="P19642" i="1"/>
  <c r="A19643" i="1"/>
  <c r="P19643" i="1"/>
  <c r="A19644" i="1"/>
  <c r="P19644" i="1"/>
  <c r="A19645" i="1"/>
  <c r="P19645" i="1"/>
  <c r="A19646" i="1"/>
  <c r="P19646" i="1"/>
  <c r="A19647" i="1"/>
  <c r="P19647" i="1"/>
  <c r="A19648" i="1"/>
  <c r="P19648" i="1"/>
  <c r="A19649" i="1"/>
  <c r="P19649" i="1"/>
  <c r="A19650" i="1"/>
  <c r="P19650" i="1"/>
  <c r="A19651" i="1"/>
  <c r="P19651" i="1"/>
  <c r="A19652" i="1"/>
  <c r="P19652" i="1"/>
  <c r="A19653" i="1"/>
  <c r="P19653" i="1"/>
  <c r="A19654" i="1"/>
  <c r="P19654" i="1"/>
  <c r="A19655" i="1"/>
  <c r="P19655" i="1"/>
  <c r="A19656" i="1"/>
  <c r="P19656" i="1"/>
  <c r="A19657" i="1"/>
  <c r="P19657" i="1"/>
  <c r="A19658" i="1"/>
  <c r="P19658" i="1"/>
  <c r="A19659" i="1"/>
  <c r="P19659" i="1"/>
  <c r="A19660" i="1"/>
  <c r="P19660" i="1"/>
  <c r="A19661" i="1"/>
  <c r="P19661" i="1"/>
  <c r="A19662" i="1"/>
  <c r="P19662" i="1"/>
  <c r="A19663" i="1"/>
  <c r="P19663" i="1"/>
  <c r="A19664" i="1"/>
  <c r="P19664" i="1"/>
  <c r="A19665" i="1"/>
  <c r="P19665" i="1"/>
  <c r="A19666" i="1"/>
  <c r="P19666" i="1"/>
  <c r="A19667" i="1"/>
  <c r="P19667" i="1"/>
  <c r="A19668" i="1"/>
  <c r="P19668" i="1"/>
  <c r="A19669" i="1"/>
  <c r="P19669" i="1"/>
  <c r="A19670" i="1"/>
  <c r="P19670" i="1"/>
  <c r="A19671" i="1"/>
  <c r="P19671" i="1"/>
  <c r="A19672" i="1"/>
  <c r="P19672" i="1"/>
  <c r="A19673" i="1"/>
  <c r="P19673" i="1"/>
  <c r="A19674" i="1"/>
  <c r="P19674" i="1"/>
  <c r="A19675" i="1"/>
  <c r="P19675" i="1"/>
  <c r="A19676" i="1"/>
  <c r="P19676" i="1"/>
  <c r="A19677" i="1"/>
  <c r="P19677" i="1"/>
  <c r="A19678" i="1"/>
  <c r="P19678" i="1"/>
  <c r="A19679" i="1"/>
  <c r="P19679" i="1"/>
  <c r="A19680" i="1"/>
  <c r="P19680" i="1"/>
  <c r="A19681" i="1"/>
  <c r="P19681" i="1"/>
  <c r="A19682" i="1"/>
  <c r="P19682" i="1"/>
  <c r="A19683" i="1"/>
  <c r="P19683" i="1"/>
  <c r="A19684" i="1"/>
  <c r="P19684" i="1"/>
  <c r="A19685" i="1"/>
  <c r="P19685" i="1"/>
  <c r="A19686" i="1"/>
  <c r="P19686" i="1"/>
  <c r="A19687" i="1"/>
  <c r="P19687" i="1"/>
  <c r="A19688" i="1"/>
  <c r="P19688" i="1"/>
  <c r="A19689" i="1"/>
  <c r="P19689" i="1"/>
  <c r="A19690" i="1"/>
  <c r="P19690" i="1"/>
  <c r="A19691" i="1"/>
  <c r="P19691" i="1"/>
  <c r="A19692" i="1"/>
  <c r="P19692" i="1"/>
  <c r="A19693" i="1"/>
  <c r="P19693" i="1"/>
  <c r="A19694" i="1"/>
  <c r="P19694" i="1"/>
  <c r="A19695" i="1"/>
  <c r="P19695" i="1"/>
  <c r="A19696" i="1"/>
  <c r="P19696" i="1"/>
  <c r="A19697" i="1"/>
  <c r="P19697" i="1"/>
  <c r="A19698" i="1"/>
  <c r="P19698" i="1"/>
  <c r="A19699" i="1"/>
  <c r="P19699" i="1"/>
  <c r="A19700" i="1"/>
  <c r="P19700" i="1"/>
  <c r="A19701" i="1"/>
  <c r="P19701" i="1"/>
  <c r="A19702" i="1"/>
  <c r="P19702" i="1"/>
  <c r="A19703" i="1"/>
  <c r="P19703" i="1"/>
  <c r="A19704" i="1"/>
  <c r="P19704" i="1"/>
  <c r="A19705" i="1"/>
  <c r="P19705" i="1"/>
  <c r="A19706" i="1"/>
  <c r="P19706" i="1"/>
  <c r="A19707" i="1"/>
  <c r="P19707" i="1"/>
  <c r="A19708" i="1"/>
  <c r="P19708" i="1"/>
  <c r="A19709" i="1"/>
  <c r="P19709" i="1"/>
  <c r="A19710" i="1"/>
  <c r="P19710" i="1"/>
  <c r="A19711" i="1"/>
  <c r="P19711" i="1"/>
  <c r="A19712" i="1"/>
  <c r="P19712" i="1"/>
  <c r="A19713" i="1"/>
  <c r="P19713" i="1"/>
  <c r="A19714" i="1"/>
  <c r="P19714" i="1"/>
  <c r="A19715" i="1"/>
  <c r="P19715" i="1"/>
  <c r="A19716" i="1"/>
  <c r="P19716" i="1"/>
  <c r="A19717" i="1"/>
  <c r="P19717" i="1"/>
  <c r="A19718" i="1"/>
  <c r="P19718" i="1"/>
  <c r="A19719" i="1"/>
  <c r="P19719" i="1"/>
  <c r="A19720" i="1"/>
  <c r="P19720" i="1"/>
  <c r="A19721" i="1"/>
  <c r="P19721" i="1"/>
  <c r="A19722" i="1"/>
  <c r="P19722" i="1"/>
  <c r="A19723" i="1"/>
  <c r="P19723" i="1"/>
  <c r="A19724" i="1"/>
  <c r="P19724" i="1"/>
  <c r="A19725" i="1"/>
  <c r="P19725" i="1"/>
  <c r="A19726" i="1"/>
  <c r="P19726" i="1"/>
  <c r="A19727" i="1"/>
  <c r="P19727" i="1"/>
  <c r="A19728" i="1"/>
  <c r="P19728" i="1"/>
  <c r="A19729" i="1"/>
  <c r="P19729" i="1"/>
  <c r="A19730" i="1"/>
  <c r="P19730" i="1"/>
  <c r="A19731" i="1"/>
  <c r="P19731" i="1"/>
  <c r="A19732" i="1"/>
  <c r="P19732" i="1"/>
  <c r="A19733" i="1"/>
  <c r="P19733" i="1"/>
  <c r="A19734" i="1"/>
  <c r="P19734" i="1"/>
  <c r="A19735" i="1"/>
  <c r="P19735" i="1"/>
  <c r="A19736" i="1"/>
  <c r="P19736" i="1"/>
  <c r="A19737" i="1"/>
  <c r="P19737" i="1"/>
  <c r="A19738" i="1"/>
  <c r="P19738" i="1"/>
  <c r="A19739" i="1"/>
  <c r="P19739" i="1"/>
  <c r="A19740" i="1"/>
  <c r="P19740" i="1"/>
  <c r="A19741" i="1"/>
  <c r="P19741" i="1"/>
  <c r="A19742" i="1"/>
  <c r="P19742" i="1"/>
  <c r="A19743" i="1"/>
  <c r="P19743" i="1"/>
  <c r="A19744" i="1"/>
  <c r="P19744" i="1"/>
  <c r="A19745" i="1"/>
  <c r="P19745" i="1"/>
  <c r="A19746" i="1"/>
  <c r="P19746" i="1"/>
  <c r="A19747" i="1"/>
  <c r="P19747" i="1"/>
  <c r="A19748" i="1"/>
  <c r="P19748" i="1"/>
  <c r="A19749" i="1"/>
  <c r="P19749" i="1"/>
  <c r="A19750" i="1"/>
  <c r="P19750" i="1"/>
  <c r="A19751" i="1"/>
  <c r="P19751" i="1"/>
  <c r="A19752" i="1"/>
  <c r="P19752" i="1"/>
  <c r="A19753" i="1"/>
  <c r="P19753" i="1"/>
  <c r="A19754" i="1"/>
  <c r="P19754" i="1"/>
  <c r="A19755" i="1"/>
  <c r="P19755" i="1"/>
  <c r="A19756" i="1"/>
  <c r="P19756" i="1"/>
  <c r="A19757" i="1"/>
  <c r="P19757" i="1"/>
  <c r="A19758" i="1"/>
  <c r="P19758" i="1"/>
  <c r="A19759" i="1"/>
  <c r="P19759" i="1"/>
  <c r="A19760" i="1"/>
  <c r="P19760" i="1"/>
  <c r="A19761" i="1"/>
  <c r="P19761" i="1"/>
  <c r="A19762" i="1"/>
  <c r="P19762" i="1"/>
  <c r="A19763" i="1"/>
  <c r="P19763" i="1"/>
  <c r="A19764" i="1"/>
  <c r="P19764" i="1"/>
  <c r="A19765" i="1"/>
  <c r="P19765" i="1"/>
  <c r="A19766" i="1"/>
  <c r="P19766" i="1"/>
  <c r="A19767" i="1"/>
  <c r="P19767" i="1"/>
  <c r="A19768" i="1"/>
  <c r="P19768" i="1"/>
  <c r="A19769" i="1"/>
  <c r="P19769" i="1"/>
  <c r="A19770" i="1"/>
  <c r="P19770" i="1"/>
  <c r="A19771" i="1"/>
  <c r="P19771" i="1"/>
  <c r="A19772" i="1"/>
  <c r="P19772" i="1"/>
  <c r="A19773" i="1"/>
  <c r="P19773" i="1"/>
  <c r="A19774" i="1"/>
  <c r="P19774" i="1"/>
  <c r="A19775" i="1"/>
  <c r="P19775" i="1"/>
  <c r="A19776" i="1"/>
  <c r="P19776" i="1"/>
  <c r="A19777" i="1"/>
  <c r="P19777" i="1"/>
  <c r="A19778" i="1"/>
  <c r="P19778" i="1"/>
  <c r="A19779" i="1"/>
  <c r="P19779" i="1"/>
  <c r="A19780" i="1"/>
  <c r="P19780" i="1"/>
  <c r="A19781" i="1"/>
  <c r="P19781" i="1"/>
  <c r="A19782" i="1"/>
  <c r="P19782" i="1"/>
  <c r="A19783" i="1"/>
  <c r="P19783" i="1"/>
  <c r="A19784" i="1"/>
  <c r="P19784" i="1"/>
  <c r="A19785" i="1"/>
  <c r="P19785" i="1"/>
  <c r="A19786" i="1"/>
  <c r="P19786" i="1"/>
  <c r="A19787" i="1"/>
  <c r="P19787" i="1"/>
  <c r="A19788" i="1"/>
  <c r="P19788" i="1"/>
  <c r="A19789" i="1"/>
  <c r="P19789" i="1"/>
  <c r="A19790" i="1"/>
  <c r="P19790" i="1"/>
  <c r="A19791" i="1"/>
  <c r="P19791" i="1"/>
  <c r="A19792" i="1"/>
  <c r="P19792" i="1"/>
  <c r="A19793" i="1"/>
  <c r="P19793" i="1"/>
  <c r="A19794" i="1"/>
  <c r="P19794" i="1"/>
  <c r="A19795" i="1"/>
  <c r="P19795" i="1"/>
  <c r="A19796" i="1"/>
  <c r="P19796" i="1"/>
  <c r="A19797" i="1"/>
  <c r="P19797" i="1"/>
  <c r="A19798" i="1"/>
  <c r="P19798" i="1"/>
  <c r="A19799" i="1"/>
  <c r="P19799" i="1"/>
  <c r="A19800" i="1"/>
  <c r="P19800" i="1"/>
  <c r="A19801" i="1"/>
  <c r="P19801" i="1"/>
  <c r="A19802" i="1"/>
  <c r="P19802" i="1"/>
  <c r="A19803" i="1"/>
  <c r="P19803" i="1"/>
  <c r="A19804" i="1"/>
  <c r="P19804" i="1"/>
  <c r="A19805" i="1"/>
  <c r="P19805" i="1"/>
  <c r="A19806" i="1"/>
  <c r="P19806" i="1"/>
  <c r="A19807" i="1"/>
  <c r="P19807" i="1"/>
  <c r="A19808" i="1"/>
  <c r="P19808" i="1"/>
  <c r="A19809" i="1"/>
  <c r="P19809" i="1"/>
  <c r="A19810" i="1"/>
  <c r="P19810" i="1"/>
  <c r="A19811" i="1"/>
  <c r="P19811" i="1"/>
  <c r="A19812" i="1"/>
  <c r="P19812" i="1"/>
  <c r="A19813" i="1"/>
  <c r="P19813" i="1"/>
  <c r="A19814" i="1"/>
  <c r="P19814" i="1"/>
  <c r="A19815" i="1"/>
  <c r="P19815" i="1"/>
  <c r="A19816" i="1"/>
  <c r="P19816" i="1"/>
  <c r="A19817" i="1"/>
  <c r="P19817" i="1"/>
  <c r="A19818" i="1"/>
  <c r="P19818" i="1"/>
  <c r="A19819" i="1"/>
  <c r="P19819" i="1"/>
  <c r="A19820" i="1"/>
  <c r="P19820" i="1"/>
  <c r="A19821" i="1"/>
  <c r="P19821" i="1"/>
  <c r="A19822" i="1"/>
  <c r="P19822" i="1"/>
  <c r="A19823" i="1"/>
  <c r="P19823" i="1"/>
  <c r="A19824" i="1"/>
  <c r="P19824" i="1"/>
  <c r="A19825" i="1"/>
  <c r="P19825" i="1"/>
  <c r="A19826" i="1"/>
  <c r="P19826" i="1"/>
  <c r="A19827" i="1"/>
  <c r="P19827" i="1"/>
  <c r="A19828" i="1"/>
  <c r="P19828" i="1"/>
  <c r="A19829" i="1"/>
  <c r="P19829" i="1"/>
  <c r="A19830" i="1"/>
  <c r="P19830" i="1"/>
  <c r="A19831" i="1"/>
  <c r="P19831" i="1"/>
  <c r="A19832" i="1"/>
  <c r="P19832" i="1"/>
  <c r="A19833" i="1"/>
  <c r="P19833" i="1"/>
  <c r="A19834" i="1"/>
  <c r="P19834" i="1"/>
  <c r="A19835" i="1"/>
  <c r="P19835" i="1"/>
  <c r="A19836" i="1"/>
  <c r="P19836" i="1"/>
  <c r="A19837" i="1"/>
  <c r="P19837" i="1"/>
  <c r="A19838" i="1"/>
  <c r="P19838" i="1"/>
  <c r="A19839" i="1"/>
  <c r="P19839" i="1"/>
  <c r="A19840" i="1"/>
  <c r="P19840" i="1"/>
  <c r="A19841" i="1"/>
  <c r="P19841" i="1"/>
  <c r="A19842" i="1"/>
  <c r="P19842" i="1"/>
  <c r="A19843" i="1"/>
  <c r="P19843" i="1"/>
  <c r="A19844" i="1"/>
  <c r="P19844" i="1"/>
  <c r="A19845" i="1"/>
  <c r="P19845" i="1"/>
  <c r="A19846" i="1"/>
  <c r="P19846" i="1"/>
  <c r="A19847" i="1"/>
  <c r="P19847" i="1"/>
  <c r="A19848" i="1"/>
  <c r="P19848" i="1"/>
  <c r="A19849" i="1"/>
  <c r="P19849" i="1"/>
  <c r="A19850" i="1"/>
  <c r="P19850" i="1"/>
  <c r="A19851" i="1"/>
  <c r="P19851" i="1"/>
  <c r="A19852" i="1"/>
  <c r="P19852" i="1"/>
  <c r="A19853" i="1"/>
  <c r="P19853" i="1"/>
  <c r="A19854" i="1"/>
  <c r="P19854" i="1"/>
  <c r="A19855" i="1"/>
  <c r="P19855" i="1"/>
  <c r="A19856" i="1"/>
  <c r="P19856" i="1"/>
  <c r="A19857" i="1"/>
  <c r="P19857" i="1"/>
  <c r="A19858" i="1"/>
  <c r="P19858" i="1"/>
  <c r="A19859" i="1"/>
  <c r="P19859" i="1"/>
  <c r="A19860" i="1"/>
  <c r="P19860" i="1"/>
  <c r="A19861" i="1"/>
  <c r="P19861" i="1"/>
  <c r="A19862" i="1"/>
  <c r="P19862" i="1"/>
  <c r="A19863" i="1"/>
  <c r="P19863" i="1"/>
  <c r="A19864" i="1"/>
  <c r="P19864" i="1"/>
  <c r="A19865" i="1"/>
  <c r="P19865" i="1"/>
  <c r="A19866" i="1"/>
  <c r="P19866" i="1"/>
  <c r="A19867" i="1"/>
  <c r="P19867" i="1"/>
  <c r="A19868" i="1"/>
  <c r="P19868" i="1"/>
  <c r="A19869" i="1"/>
  <c r="P19869" i="1"/>
  <c r="A19870" i="1"/>
  <c r="P19870" i="1"/>
  <c r="A19871" i="1"/>
  <c r="P19871" i="1"/>
  <c r="A19872" i="1"/>
  <c r="P19872" i="1"/>
  <c r="A19873" i="1"/>
  <c r="P19873" i="1"/>
  <c r="A19874" i="1"/>
  <c r="P19874" i="1"/>
  <c r="A19875" i="1"/>
  <c r="P19875" i="1"/>
  <c r="A19876" i="1"/>
  <c r="P19876" i="1"/>
  <c r="A19877" i="1"/>
  <c r="P19877" i="1"/>
  <c r="A19878" i="1"/>
  <c r="P19878" i="1"/>
  <c r="A19879" i="1"/>
  <c r="P19879" i="1"/>
  <c r="A19880" i="1"/>
  <c r="P19880" i="1"/>
  <c r="A19881" i="1"/>
  <c r="P19881" i="1"/>
  <c r="A19882" i="1"/>
  <c r="P19882" i="1"/>
  <c r="A19883" i="1"/>
  <c r="P19883" i="1"/>
  <c r="A19884" i="1"/>
  <c r="P19884" i="1"/>
  <c r="A19885" i="1"/>
  <c r="P19885" i="1"/>
  <c r="A19886" i="1"/>
  <c r="P19886" i="1"/>
  <c r="A19887" i="1"/>
  <c r="P19887" i="1"/>
  <c r="A19888" i="1"/>
  <c r="P19888" i="1"/>
  <c r="A19889" i="1"/>
  <c r="P19889" i="1"/>
  <c r="A19890" i="1"/>
  <c r="P19890" i="1"/>
  <c r="A19891" i="1"/>
  <c r="P19891" i="1"/>
  <c r="A19892" i="1"/>
  <c r="P19892" i="1"/>
  <c r="A19893" i="1"/>
  <c r="P19893" i="1"/>
  <c r="A19894" i="1"/>
  <c r="P19894" i="1"/>
  <c r="A19895" i="1"/>
  <c r="P19895" i="1"/>
  <c r="A19896" i="1"/>
  <c r="P19896" i="1"/>
  <c r="A19897" i="1"/>
  <c r="P19897" i="1"/>
  <c r="A19898" i="1"/>
  <c r="P19898" i="1"/>
  <c r="A19899" i="1"/>
  <c r="P19899" i="1"/>
  <c r="A19900" i="1"/>
  <c r="P19900" i="1"/>
  <c r="A19901" i="1"/>
  <c r="P19901" i="1"/>
  <c r="A19902" i="1"/>
  <c r="P19902" i="1"/>
  <c r="A19903" i="1"/>
  <c r="P19903" i="1"/>
  <c r="A19904" i="1"/>
  <c r="P19904" i="1"/>
  <c r="A19905" i="1"/>
  <c r="P19905" i="1"/>
  <c r="A19906" i="1"/>
  <c r="P19906" i="1"/>
  <c r="A19907" i="1"/>
  <c r="P19907" i="1"/>
  <c r="A19908" i="1"/>
  <c r="P19908" i="1"/>
  <c r="A19909" i="1"/>
  <c r="P19909" i="1"/>
  <c r="A19910" i="1"/>
  <c r="P19910" i="1"/>
  <c r="A19911" i="1"/>
  <c r="P19911" i="1"/>
  <c r="A19912" i="1"/>
  <c r="P19912" i="1"/>
  <c r="A19913" i="1"/>
  <c r="P19913" i="1"/>
  <c r="A19914" i="1"/>
  <c r="P19914" i="1"/>
  <c r="A19915" i="1"/>
  <c r="P19915" i="1"/>
  <c r="A19916" i="1"/>
  <c r="P19916" i="1"/>
  <c r="A19917" i="1"/>
  <c r="P19917" i="1"/>
  <c r="A19918" i="1"/>
  <c r="P19918" i="1"/>
  <c r="A19919" i="1"/>
  <c r="P19919" i="1"/>
  <c r="A19920" i="1"/>
  <c r="P19920" i="1"/>
  <c r="A19921" i="1"/>
  <c r="P19921" i="1"/>
  <c r="A19922" i="1"/>
  <c r="P19922" i="1"/>
  <c r="A19923" i="1"/>
  <c r="P19923" i="1"/>
  <c r="A19924" i="1"/>
  <c r="P19924" i="1"/>
  <c r="A19925" i="1"/>
  <c r="P19925" i="1"/>
  <c r="A19926" i="1"/>
  <c r="P19926" i="1"/>
  <c r="A19927" i="1"/>
  <c r="P19927" i="1"/>
  <c r="A19928" i="1"/>
  <c r="P19928" i="1"/>
  <c r="A19929" i="1"/>
  <c r="P19929" i="1"/>
  <c r="A19930" i="1"/>
  <c r="P19930" i="1"/>
  <c r="A19931" i="1"/>
  <c r="P19931" i="1"/>
  <c r="A19932" i="1"/>
  <c r="P19932" i="1"/>
  <c r="A19933" i="1"/>
  <c r="P19933" i="1"/>
  <c r="A19934" i="1"/>
  <c r="P19934" i="1"/>
  <c r="A19935" i="1"/>
  <c r="P19935" i="1"/>
  <c r="A19936" i="1"/>
  <c r="P19936" i="1"/>
  <c r="A19937" i="1"/>
  <c r="P19937" i="1"/>
  <c r="A19938" i="1"/>
  <c r="P19938" i="1"/>
  <c r="A19939" i="1"/>
  <c r="P19939" i="1"/>
  <c r="A19940" i="1"/>
  <c r="P19940" i="1"/>
  <c r="A19941" i="1"/>
  <c r="P19941" i="1"/>
  <c r="A19942" i="1"/>
  <c r="P19942" i="1"/>
  <c r="A19943" i="1"/>
  <c r="P19943" i="1"/>
  <c r="A19944" i="1"/>
  <c r="P19944" i="1"/>
  <c r="A19945" i="1"/>
  <c r="P19945" i="1"/>
  <c r="A19946" i="1"/>
  <c r="P19946" i="1"/>
  <c r="A19947" i="1"/>
  <c r="P19947" i="1"/>
  <c r="A19948" i="1"/>
  <c r="P19948" i="1"/>
  <c r="A19949" i="1"/>
  <c r="P19949" i="1"/>
  <c r="A19950" i="1"/>
  <c r="P19950" i="1"/>
  <c r="A19951" i="1"/>
  <c r="P19951" i="1"/>
  <c r="A19952" i="1"/>
  <c r="P19952" i="1"/>
  <c r="A19953" i="1"/>
  <c r="P19953" i="1"/>
  <c r="A19954" i="1"/>
  <c r="P19954" i="1"/>
  <c r="A19955" i="1"/>
  <c r="P19955" i="1"/>
  <c r="A19956" i="1"/>
  <c r="P19956" i="1"/>
  <c r="A19957" i="1"/>
  <c r="P19957" i="1"/>
  <c r="A19958" i="1"/>
  <c r="P19958" i="1"/>
  <c r="A19959" i="1"/>
  <c r="P19959" i="1"/>
  <c r="A19960" i="1"/>
  <c r="P19960" i="1"/>
  <c r="A19961" i="1"/>
  <c r="P19961" i="1"/>
  <c r="A19962" i="1"/>
  <c r="P19962" i="1"/>
  <c r="A19963" i="1"/>
  <c r="P19963" i="1"/>
  <c r="A19964" i="1"/>
  <c r="P19964" i="1"/>
  <c r="A19965" i="1"/>
  <c r="P19965" i="1"/>
  <c r="A19966" i="1"/>
  <c r="P19966" i="1"/>
  <c r="A19967" i="1"/>
  <c r="P19967" i="1"/>
  <c r="A19968" i="1"/>
  <c r="P19968" i="1"/>
  <c r="A19969" i="1"/>
  <c r="P19969" i="1"/>
  <c r="A19970" i="1"/>
  <c r="P19970" i="1"/>
  <c r="A19971" i="1"/>
  <c r="P19971" i="1"/>
  <c r="A19972" i="1"/>
  <c r="P19972" i="1"/>
  <c r="A19973" i="1"/>
  <c r="P19973" i="1"/>
  <c r="A19974" i="1"/>
  <c r="P19974" i="1"/>
  <c r="A19975" i="1"/>
  <c r="P19975" i="1"/>
  <c r="A19976" i="1"/>
  <c r="P19976" i="1"/>
  <c r="A19977" i="1"/>
  <c r="P19977" i="1"/>
  <c r="A19978" i="1"/>
  <c r="P19978" i="1"/>
  <c r="A19979" i="1"/>
  <c r="P19979" i="1"/>
  <c r="A19980" i="1"/>
  <c r="P19980" i="1"/>
  <c r="A19981" i="1"/>
  <c r="P19981" i="1"/>
  <c r="A19982" i="1"/>
  <c r="P19982" i="1"/>
  <c r="A19983" i="1"/>
  <c r="P19983" i="1"/>
  <c r="A19984" i="1"/>
  <c r="P19984" i="1"/>
  <c r="A19985" i="1"/>
  <c r="P19985" i="1"/>
  <c r="A19986" i="1"/>
  <c r="P19986" i="1"/>
  <c r="A19987" i="1"/>
  <c r="P19987" i="1"/>
  <c r="A19988" i="1"/>
  <c r="P19988" i="1"/>
  <c r="A19989" i="1"/>
  <c r="P19989" i="1"/>
  <c r="A19990" i="1"/>
  <c r="P19990" i="1"/>
  <c r="A19991" i="1"/>
  <c r="P19991" i="1"/>
  <c r="A19992" i="1"/>
  <c r="P19992" i="1"/>
  <c r="A19993" i="1"/>
  <c r="P19993" i="1"/>
  <c r="A19994" i="1"/>
  <c r="P19994" i="1"/>
  <c r="A19995" i="1"/>
  <c r="P19995" i="1"/>
  <c r="A19996" i="1"/>
  <c r="P19996" i="1"/>
  <c r="A19997" i="1"/>
  <c r="P19997" i="1"/>
  <c r="A19998" i="1"/>
  <c r="P19998" i="1"/>
  <c r="A19999" i="1"/>
  <c r="P19999" i="1"/>
  <c r="A20000" i="1"/>
  <c r="P20000" i="1"/>
  <c r="A20001" i="1"/>
  <c r="P20001" i="1"/>
  <c r="A20002" i="1"/>
  <c r="P20002" i="1"/>
  <c r="A20003" i="1"/>
  <c r="P20003" i="1"/>
  <c r="A20004" i="1"/>
  <c r="P20004" i="1"/>
  <c r="A20005" i="1"/>
  <c r="P20005" i="1"/>
  <c r="A20006" i="1"/>
  <c r="P20006" i="1"/>
  <c r="A20007" i="1"/>
  <c r="P20007" i="1"/>
  <c r="A20008" i="1"/>
  <c r="P20008" i="1"/>
  <c r="A20009" i="1"/>
  <c r="P20009" i="1"/>
  <c r="A20010" i="1"/>
  <c r="P20010" i="1"/>
  <c r="A20011" i="1"/>
  <c r="P20011" i="1"/>
  <c r="A20012" i="1"/>
  <c r="P20012" i="1"/>
  <c r="A20013" i="1"/>
  <c r="P20013" i="1"/>
  <c r="A20014" i="1"/>
  <c r="P20014" i="1"/>
  <c r="A20015" i="1"/>
  <c r="P20015" i="1"/>
  <c r="A20016" i="1"/>
  <c r="P20016" i="1"/>
  <c r="A20017" i="1"/>
  <c r="P20017" i="1"/>
  <c r="A20018" i="1"/>
  <c r="P20018" i="1"/>
  <c r="A20019" i="1"/>
  <c r="P20019" i="1"/>
  <c r="A20020" i="1"/>
  <c r="P20020" i="1"/>
  <c r="A20021" i="1"/>
  <c r="P20021" i="1"/>
  <c r="A20022" i="1"/>
  <c r="P20022" i="1"/>
  <c r="A20023" i="1"/>
  <c r="P20023" i="1"/>
  <c r="A20024" i="1"/>
  <c r="P20024" i="1"/>
  <c r="A20025" i="1"/>
  <c r="P20025" i="1"/>
  <c r="A20026" i="1"/>
  <c r="P20026" i="1"/>
  <c r="A20027" i="1"/>
  <c r="P20027" i="1"/>
  <c r="A20028" i="1"/>
  <c r="P20028" i="1"/>
  <c r="A20029" i="1"/>
  <c r="P20029" i="1"/>
  <c r="A20030" i="1"/>
  <c r="P20030" i="1"/>
  <c r="A20031" i="1"/>
  <c r="P20031" i="1"/>
  <c r="A20032" i="1"/>
  <c r="P20032" i="1"/>
  <c r="A20033" i="1"/>
  <c r="P20033" i="1"/>
  <c r="A20034" i="1"/>
  <c r="P20034" i="1"/>
  <c r="A20035" i="1"/>
  <c r="P20035" i="1"/>
  <c r="A20036" i="1"/>
  <c r="P20036" i="1"/>
  <c r="A20037" i="1"/>
  <c r="P20037" i="1"/>
  <c r="A20038" i="1"/>
  <c r="P20038" i="1"/>
  <c r="A20039" i="1"/>
  <c r="P20039" i="1"/>
  <c r="A20040" i="1"/>
  <c r="P20040" i="1"/>
  <c r="A20041" i="1"/>
  <c r="P20041" i="1"/>
  <c r="A20042" i="1"/>
  <c r="P20042" i="1"/>
  <c r="A20043" i="1"/>
  <c r="P20043" i="1"/>
  <c r="A20044" i="1"/>
  <c r="P20044" i="1"/>
  <c r="A20045" i="1"/>
  <c r="P20045" i="1"/>
  <c r="A20046" i="1"/>
  <c r="P20046" i="1"/>
  <c r="A20047" i="1"/>
  <c r="P20047" i="1"/>
  <c r="A20048" i="1"/>
  <c r="P20048" i="1"/>
  <c r="A20049" i="1"/>
  <c r="P20049" i="1"/>
  <c r="A20050" i="1"/>
  <c r="P20050" i="1"/>
  <c r="A20051" i="1"/>
  <c r="P20051" i="1"/>
  <c r="A20052" i="1"/>
  <c r="P20052" i="1"/>
  <c r="A20053" i="1"/>
  <c r="P20053" i="1"/>
  <c r="A20054" i="1"/>
  <c r="P20054" i="1"/>
  <c r="A20055" i="1"/>
  <c r="P20055" i="1"/>
  <c r="A20056" i="1"/>
  <c r="P20056" i="1"/>
  <c r="A20057" i="1"/>
  <c r="P20057" i="1"/>
  <c r="A20058" i="1"/>
  <c r="P20058" i="1"/>
  <c r="A20059" i="1"/>
  <c r="P20059" i="1"/>
  <c r="A20060" i="1"/>
  <c r="P20060" i="1"/>
  <c r="A20061" i="1"/>
  <c r="P20061" i="1"/>
  <c r="A20062" i="1"/>
  <c r="P20062" i="1"/>
  <c r="A20063" i="1"/>
  <c r="P20063" i="1"/>
  <c r="A20064" i="1"/>
  <c r="P20064" i="1"/>
  <c r="A20065" i="1"/>
  <c r="P20065" i="1"/>
  <c r="A20066" i="1"/>
  <c r="P20066" i="1"/>
  <c r="A20067" i="1"/>
  <c r="P20067" i="1"/>
  <c r="A20068" i="1"/>
  <c r="P20068" i="1"/>
  <c r="A20069" i="1"/>
  <c r="P20069" i="1"/>
  <c r="A20070" i="1"/>
  <c r="P20070" i="1"/>
  <c r="A20071" i="1"/>
  <c r="P20071" i="1"/>
  <c r="A20072" i="1"/>
  <c r="P20072" i="1"/>
  <c r="A20073" i="1"/>
  <c r="P20073" i="1"/>
  <c r="A20074" i="1"/>
  <c r="P20074" i="1"/>
  <c r="A20075" i="1"/>
  <c r="P20075" i="1"/>
  <c r="A20076" i="1"/>
  <c r="P20076" i="1"/>
  <c r="A20077" i="1"/>
  <c r="P20077" i="1"/>
  <c r="A20078" i="1"/>
  <c r="P20078" i="1"/>
  <c r="A20079" i="1"/>
  <c r="P20079" i="1"/>
  <c r="A20080" i="1"/>
  <c r="P20080" i="1"/>
  <c r="A20081" i="1"/>
  <c r="P20081" i="1"/>
  <c r="A20082" i="1"/>
  <c r="P20082" i="1"/>
  <c r="A20083" i="1"/>
  <c r="P20083" i="1"/>
  <c r="A20084" i="1"/>
  <c r="P20084" i="1"/>
  <c r="A20085" i="1"/>
  <c r="P20085" i="1"/>
  <c r="A20086" i="1"/>
  <c r="P20086" i="1"/>
  <c r="A20087" i="1"/>
  <c r="P20087" i="1"/>
  <c r="A20088" i="1"/>
  <c r="P20088" i="1"/>
  <c r="A20089" i="1"/>
  <c r="P20089" i="1"/>
  <c r="A20090" i="1"/>
  <c r="P20090" i="1"/>
  <c r="A20091" i="1"/>
  <c r="P20091" i="1"/>
  <c r="A20092" i="1"/>
  <c r="P20092" i="1"/>
  <c r="A20093" i="1"/>
  <c r="P20093" i="1"/>
  <c r="A20094" i="1"/>
  <c r="P20094" i="1"/>
  <c r="A20095" i="1"/>
  <c r="P20095" i="1"/>
  <c r="A20096" i="1"/>
  <c r="P20096" i="1"/>
  <c r="A20097" i="1"/>
  <c r="P20097" i="1"/>
  <c r="A20098" i="1"/>
  <c r="P20098" i="1"/>
  <c r="A20099" i="1"/>
  <c r="P20099" i="1"/>
  <c r="A20100" i="1"/>
  <c r="P20100" i="1"/>
  <c r="A20101" i="1"/>
  <c r="P20101" i="1"/>
  <c r="A20102" i="1"/>
  <c r="P20102" i="1"/>
  <c r="A20103" i="1"/>
  <c r="P20103" i="1"/>
  <c r="A20104" i="1"/>
  <c r="P20104" i="1"/>
  <c r="A20105" i="1"/>
  <c r="P20105" i="1"/>
  <c r="A20106" i="1"/>
  <c r="P20106" i="1"/>
  <c r="A20107" i="1"/>
  <c r="P20107" i="1"/>
  <c r="A20108" i="1"/>
  <c r="P20108" i="1"/>
  <c r="A20109" i="1"/>
  <c r="P20109" i="1"/>
  <c r="A20110" i="1"/>
  <c r="P20110" i="1"/>
  <c r="A20111" i="1"/>
  <c r="P20111" i="1"/>
  <c r="A20112" i="1"/>
  <c r="P20112" i="1"/>
  <c r="A20113" i="1"/>
  <c r="P20113" i="1"/>
  <c r="A20114" i="1"/>
  <c r="P20114" i="1"/>
  <c r="A20115" i="1"/>
  <c r="P20115" i="1"/>
  <c r="A20116" i="1"/>
  <c r="P20116" i="1"/>
  <c r="A20117" i="1"/>
  <c r="P20117" i="1"/>
  <c r="A20118" i="1"/>
  <c r="P20118" i="1"/>
  <c r="A20119" i="1"/>
  <c r="P20119" i="1"/>
  <c r="A20120" i="1"/>
  <c r="P20120" i="1"/>
  <c r="A20121" i="1"/>
  <c r="P20121" i="1"/>
  <c r="A20122" i="1"/>
  <c r="P20122" i="1"/>
  <c r="A20123" i="1"/>
  <c r="P20123" i="1"/>
  <c r="A20124" i="1"/>
  <c r="P20124" i="1"/>
  <c r="A20125" i="1"/>
  <c r="P20125" i="1"/>
  <c r="A20126" i="1"/>
  <c r="P20126" i="1"/>
  <c r="A20127" i="1"/>
  <c r="P20127" i="1"/>
  <c r="A20128" i="1"/>
  <c r="P20128" i="1"/>
  <c r="A20129" i="1"/>
  <c r="P20129" i="1"/>
  <c r="A20130" i="1"/>
  <c r="P20130" i="1"/>
  <c r="A20131" i="1"/>
  <c r="P20131" i="1"/>
  <c r="A20132" i="1"/>
  <c r="P20132" i="1"/>
  <c r="A20133" i="1"/>
  <c r="P20133" i="1"/>
  <c r="A20134" i="1"/>
  <c r="P20134" i="1"/>
  <c r="A20135" i="1"/>
  <c r="P20135" i="1"/>
  <c r="A20136" i="1"/>
  <c r="P20136" i="1"/>
  <c r="A20137" i="1"/>
  <c r="P20137" i="1"/>
  <c r="A20138" i="1"/>
  <c r="P20138" i="1"/>
  <c r="A20139" i="1"/>
  <c r="P20139" i="1"/>
  <c r="A20140" i="1"/>
  <c r="P20140" i="1"/>
  <c r="A20141" i="1"/>
  <c r="P20141" i="1"/>
  <c r="A20142" i="1"/>
  <c r="P20142" i="1"/>
  <c r="A20143" i="1"/>
  <c r="P20143" i="1"/>
  <c r="A20144" i="1"/>
  <c r="P20144" i="1"/>
  <c r="A20145" i="1"/>
  <c r="P20145" i="1"/>
  <c r="A20146" i="1"/>
  <c r="P20146" i="1"/>
  <c r="A20147" i="1"/>
  <c r="P20147" i="1"/>
  <c r="A20148" i="1"/>
  <c r="P20148" i="1"/>
  <c r="A20149" i="1"/>
  <c r="P20149" i="1"/>
  <c r="A20150" i="1"/>
  <c r="P20150" i="1"/>
  <c r="A20151" i="1"/>
  <c r="P20151" i="1"/>
  <c r="A20152" i="1"/>
  <c r="P20152" i="1"/>
  <c r="A20153" i="1"/>
  <c r="P20153" i="1"/>
  <c r="A20154" i="1"/>
  <c r="P20154" i="1"/>
  <c r="A20155" i="1"/>
  <c r="P20155" i="1"/>
  <c r="A20156" i="1"/>
  <c r="P20156" i="1"/>
  <c r="A20157" i="1"/>
  <c r="P20157" i="1"/>
  <c r="A20158" i="1"/>
  <c r="P20158" i="1"/>
  <c r="A20159" i="1"/>
  <c r="P20159" i="1"/>
  <c r="A20160" i="1"/>
  <c r="P20160" i="1"/>
  <c r="A20161" i="1"/>
  <c r="P20161" i="1"/>
  <c r="A20162" i="1"/>
  <c r="P20162" i="1"/>
  <c r="A20163" i="1"/>
  <c r="P20163" i="1"/>
  <c r="A20164" i="1"/>
  <c r="P20164" i="1"/>
  <c r="A20165" i="1"/>
  <c r="P20165" i="1"/>
  <c r="A20166" i="1"/>
  <c r="P20166" i="1"/>
  <c r="A20167" i="1"/>
  <c r="P20167" i="1"/>
  <c r="A20168" i="1"/>
  <c r="P20168" i="1"/>
  <c r="A20169" i="1"/>
  <c r="P20169" i="1"/>
  <c r="A20170" i="1"/>
  <c r="P20170" i="1"/>
  <c r="A20171" i="1"/>
  <c r="P20171" i="1"/>
  <c r="A20172" i="1"/>
  <c r="P20172" i="1"/>
  <c r="A20173" i="1"/>
  <c r="P20173" i="1"/>
  <c r="A20174" i="1"/>
  <c r="P20174" i="1"/>
  <c r="A20175" i="1"/>
  <c r="P20175" i="1"/>
  <c r="A20176" i="1"/>
  <c r="P20176" i="1"/>
  <c r="A20177" i="1"/>
  <c r="P20177" i="1"/>
  <c r="A20178" i="1"/>
  <c r="P20178" i="1"/>
  <c r="A20179" i="1"/>
  <c r="P20179" i="1"/>
  <c r="A20180" i="1"/>
  <c r="P20180" i="1"/>
  <c r="A20181" i="1"/>
  <c r="P20181" i="1"/>
  <c r="A20182" i="1"/>
  <c r="P20182" i="1"/>
  <c r="A20183" i="1"/>
  <c r="P20183" i="1"/>
  <c r="A20184" i="1"/>
  <c r="P20184" i="1"/>
  <c r="A20185" i="1"/>
  <c r="P20185" i="1"/>
  <c r="A20186" i="1"/>
  <c r="P20186" i="1"/>
  <c r="A20187" i="1"/>
  <c r="P20187" i="1"/>
  <c r="A20188" i="1"/>
  <c r="P20188" i="1"/>
  <c r="A20189" i="1"/>
  <c r="P20189" i="1"/>
  <c r="A20190" i="1"/>
  <c r="P20190" i="1"/>
  <c r="A20191" i="1"/>
  <c r="P20191" i="1"/>
  <c r="A20192" i="1"/>
  <c r="P20192" i="1"/>
  <c r="A20193" i="1"/>
  <c r="P20193" i="1"/>
  <c r="A20194" i="1"/>
  <c r="P20194" i="1"/>
  <c r="A20195" i="1"/>
  <c r="P20195" i="1"/>
  <c r="A20196" i="1"/>
  <c r="P20196" i="1"/>
  <c r="A20197" i="1"/>
  <c r="P20197" i="1"/>
  <c r="A20198" i="1"/>
  <c r="P20198" i="1"/>
  <c r="A20199" i="1"/>
  <c r="P20199" i="1"/>
  <c r="A20200" i="1"/>
  <c r="P20200" i="1"/>
  <c r="A20201" i="1"/>
  <c r="P20201" i="1"/>
  <c r="A20202" i="1"/>
  <c r="P20202" i="1"/>
  <c r="A20203" i="1"/>
  <c r="P20203" i="1"/>
  <c r="A20204" i="1"/>
  <c r="P20204" i="1"/>
  <c r="A20205" i="1"/>
  <c r="P20205" i="1"/>
  <c r="A20206" i="1"/>
  <c r="P20206" i="1"/>
  <c r="A20207" i="1"/>
  <c r="P20207" i="1"/>
  <c r="A20208" i="1"/>
  <c r="P20208" i="1"/>
  <c r="A20209" i="1"/>
  <c r="P20209" i="1"/>
  <c r="A20210" i="1"/>
  <c r="P20210" i="1"/>
  <c r="A20211" i="1"/>
  <c r="P20211" i="1"/>
  <c r="A20212" i="1"/>
  <c r="P20212" i="1"/>
  <c r="A20213" i="1"/>
  <c r="P20213" i="1"/>
  <c r="A20214" i="1"/>
  <c r="P20214" i="1"/>
  <c r="A20215" i="1"/>
  <c r="P20215" i="1"/>
  <c r="A20216" i="1"/>
  <c r="P20216" i="1"/>
  <c r="A20217" i="1"/>
  <c r="P20217" i="1"/>
  <c r="A20218" i="1"/>
  <c r="P20218" i="1"/>
  <c r="A20219" i="1"/>
  <c r="P20219" i="1"/>
  <c r="A20220" i="1"/>
  <c r="P20220" i="1"/>
  <c r="A20221" i="1"/>
  <c r="P20221" i="1"/>
  <c r="A20222" i="1"/>
  <c r="P20222" i="1"/>
  <c r="A20223" i="1"/>
  <c r="P20223" i="1"/>
  <c r="A20224" i="1"/>
  <c r="P20224" i="1"/>
  <c r="A20225" i="1"/>
  <c r="P20225" i="1"/>
  <c r="A20226" i="1"/>
  <c r="P20226" i="1"/>
  <c r="A20227" i="1"/>
  <c r="P20227" i="1"/>
  <c r="A20228" i="1"/>
  <c r="P20228" i="1"/>
  <c r="A20229" i="1"/>
  <c r="P20229" i="1"/>
  <c r="A20230" i="1"/>
  <c r="P20230" i="1"/>
  <c r="A20231" i="1"/>
  <c r="P20231" i="1"/>
  <c r="A20232" i="1"/>
  <c r="P20232" i="1"/>
  <c r="A20233" i="1"/>
  <c r="P20233" i="1"/>
  <c r="A20234" i="1"/>
  <c r="P20234" i="1"/>
  <c r="A20235" i="1"/>
  <c r="P20235" i="1"/>
  <c r="A20236" i="1"/>
  <c r="P20236" i="1"/>
  <c r="A20237" i="1"/>
  <c r="P20237" i="1"/>
  <c r="A20238" i="1"/>
  <c r="P20238" i="1"/>
  <c r="A20239" i="1"/>
  <c r="P20239" i="1"/>
  <c r="A20240" i="1"/>
  <c r="P20240" i="1"/>
  <c r="A20241" i="1"/>
  <c r="P20241" i="1"/>
  <c r="A20242" i="1"/>
  <c r="P20242" i="1"/>
  <c r="A20243" i="1"/>
  <c r="P20243" i="1"/>
  <c r="A20244" i="1"/>
  <c r="P20244" i="1"/>
  <c r="A20245" i="1"/>
  <c r="P20245" i="1"/>
  <c r="A20246" i="1"/>
  <c r="P20246" i="1"/>
  <c r="A20247" i="1"/>
  <c r="P20247" i="1"/>
  <c r="A20248" i="1"/>
  <c r="P20248" i="1"/>
  <c r="A20249" i="1"/>
  <c r="P20249" i="1"/>
  <c r="A20250" i="1"/>
  <c r="P20250" i="1"/>
  <c r="A20251" i="1"/>
  <c r="P20251" i="1"/>
  <c r="A20252" i="1"/>
  <c r="P20252" i="1"/>
  <c r="A20253" i="1"/>
  <c r="P20253" i="1"/>
  <c r="A20254" i="1"/>
  <c r="P20254" i="1"/>
  <c r="A20255" i="1"/>
  <c r="P20255" i="1"/>
  <c r="A20256" i="1"/>
  <c r="P20256" i="1"/>
  <c r="A20257" i="1"/>
  <c r="P20257" i="1"/>
  <c r="A20258" i="1"/>
  <c r="P20258" i="1"/>
  <c r="A20259" i="1"/>
  <c r="P20259" i="1"/>
  <c r="A20260" i="1"/>
  <c r="P20260" i="1"/>
  <c r="A20261" i="1"/>
  <c r="P20261" i="1"/>
  <c r="A20262" i="1"/>
  <c r="P20262" i="1"/>
  <c r="A20263" i="1"/>
  <c r="P20263" i="1"/>
  <c r="A20264" i="1"/>
  <c r="P20264" i="1"/>
  <c r="A20265" i="1"/>
  <c r="P20265" i="1"/>
  <c r="A20266" i="1"/>
  <c r="P20266" i="1"/>
  <c r="A20267" i="1"/>
  <c r="P20267" i="1"/>
  <c r="A20268" i="1"/>
  <c r="P20268" i="1"/>
  <c r="A20269" i="1"/>
  <c r="P20269" i="1"/>
  <c r="A20270" i="1"/>
  <c r="P20270" i="1"/>
  <c r="A20271" i="1"/>
  <c r="P20271" i="1"/>
  <c r="A20272" i="1"/>
  <c r="P20272" i="1"/>
  <c r="A20273" i="1"/>
  <c r="P20273" i="1"/>
  <c r="A20274" i="1"/>
  <c r="P20274" i="1"/>
  <c r="A20275" i="1"/>
  <c r="P20275" i="1"/>
  <c r="A20276" i="1"/>
  <c r="P20276" i="1"/>
  <c r="A20277" i="1"/>
  <c r="P20277" i="1"/>
  <c r="A20278" i="1"/>
  <c r="P20278" i="1"/>
  <c r="A20279" i="1"/>
  <c r="P20279" i="1"/>
  <c r="A20280" i="1"/>
  <c r="P20280" i="1"/>
  <c r="A20281" i="1"/>
  <c r="P20281" i="1"/>
  <c r="A20282" i="1"/>
  <c r="P20282" i="1"/>
  <c r="A20283" i="1"/>
  <c r="P20283" i="1"/>
  <c r="A20284" i="1"/>
  <c r="P20284" i="1"/>
  <c r="A20285" i="1"/>
  <c r="P20285" i="1"/>
  <c r="A20286" i="1"/>
  <c r="P20286" i="1"/>
  <c r="A20287" i="1"/>
  <c r="P20287" i="1"/>
  <c r="A20288" i="1"/>
  <c r="P20288" i="1"/>
  <c r="A20289" i="1"/>
  <c r="P20289" i="1"/>
  <c r="A20290" i="1"/>
  <c r="P20290" i="1"/>
  <c r="A20291" i="1"/>
  <c r="P20291" i="1"/>
  <c r="A20292" i="1"/>
  <c r="P20292" i="1"/>
  <c r="A20293" i="1"/>
  <c r="P20293" i="1"/>
  <c r="A20294" i="1"/>
  <c r="P20294" i="1"/>
  <c r="A20295" i="1"/>
  <c r="P20295" i="1"/>
  <c r="A20296" i="1"/>
  <c r="P20296" i="1"/>
  <c r="A20297" i="1"/>
  <c r="P20297" i="1"/>
  <c r="A20298" i="1"/>
  <c r="P20298" i="1"/>
  <c r="A20299" i="1"/>
  <c r="P20299" i="1"/>
  <c r="A20300" i="1"/>
  <c r="P20300" i="1"/>
  <c r="A20301" i="1"/>
  <c r="P20301" i="1"/>
  <c r="A20302" i="1"/>
  <c r="P20302" i="1"/>
  <c r="A20303" i="1"/>
  <c r="P20303" i="1"/>
  <c r="A20304" i="1"/>
  <c r="P20304" i="1"/>
  <c r="A20305" i="1"/>
  <c r="P20305" i="1"/>
  <c r="A20306" i="1"/>
  <c r="P20306" i="1"/>
  <c r="A20307" i="1"/>
  <c r="P20307" i="1"/>
  <c r="A20308" i="1"/>
  <c r="P20308" i="1"/>
  <c r="A20309" i="1"/>
  <c r="P20309" i="1"/>
  <c r="A20310" i="1"/>
  <c r="P20310" i="1"/>
  <c r="A20311" i="1"/>
  <c r="P20311" i="1"/>
  <c r="A20312" i="1"/>
  <c r="P20312" i="1"/>
  <c r="A20313" i="1"/>
  <c r="P20313" i="1"/>
  <c r="A20314" i="1"/>
  <c r="P20314" i="1"/>
  <c r="A20315" i="1"/>
  <c r="P20315" i="1"/>
  <c r="A20316" i="1"/>
  <c r="P20316" i="1"/>
  <c r="A20317" i="1"/>
  <c r="P20317" i="1"/>
  <c r="A20318" i="1"/>
  <c r="P20318" i="1"/>
  <c r="A20319" i="1"/>
  <c r="P20319" i="1"/>
  <c r="A20320" i="1"/>
  <c r="P20320" i="1"/>
  <c r="A20321" i="1"/>
  <c r="P20321" i="1"/>
  <c r="A20322" i="1"/>
  <c r="P20322" i="1"/>
  <c r="A20323" i="1"/>
  <c r="P20323" i="1"/>
  <c r="A20324" i="1"/>
  <c r="P20324" i="1"/>
  <c r="A20325" i="1"/>
  <c r="P20325" i="1"/>
  <c r="A20326" i="1"/>
  <c r="P20326" i="1"/>
  <c r="A20327" i="1"/>
  <c r="P20327" i="1"/>
  <c r="A20328" i="1"/>
  <c r="P20328" i="1"/>
  <c r="A20329" i="1"/>
  <c r="P20329" i="1"/>
  <c r="A20330" i="1"/>
  <c r="P20330" i="1"/>
  <c r="A20331" i="1"/>
  <c r="P20331" i="1"/>
  <c r="A20332" i="1"/>
  <c r="P20332" i="1"/>
  <c r="A20333" i="1"/>
  <c r="P20333" i="1"/>
  <c r="A20334" i="1"/>
  <c r="P20334" i="1"/>
  <c r="A20335" i="1"/>
  <c r="P20335" i="1"/>
  <c r="A20336" i="1"/>
  <c r="P20336" i="1"/>
  <c r="A20337" i="1"/>
  <c r="P20337" i="1"/>
  <c r="A20338" i="1"/>
  <c r="P20338" i="1"/>
  <c r="A20339" i="1"/>
  <c r="P20339" i="1"/>
  <c r="A20340" i="1"/>
  <c r="P20340" i="1"/>
  <c r="A20341" i="1"/>
  <c r="P20341" i="1"/>
  <c r="A20342" i="1"/>
  <c r="P20342" i="1"/>
  <c r="A20343" i="1"/>
  <c r="P20343" i="1"/>
  <c r="A20344" i="1"/>
  <c r="P20344" i="1"/>
  <c r="A20345" i="1"/>
  <c r="P20345" i="1"/>
  <c r="A20346" i="1"/>
  <c r="P20346" i="1"/>
  <c r="A20347" i="1"/>
  <c r="P20347" i="1"/>
  <c r="A20348" i="1"/>
  <c r="P20348" i="1"/>
  <c r="A20349" i="1"/>
  <c r="P20349" i="1"/>
  <c r="A20350" i="1"/>
  <c r="P20350" i="1"/>
  <c r="A20351" i="1"/>
  <c r="P20351" i="1"/>
  <c r="A20352" i="1"/>
  <c r="P20352" i="1"/>
  <c r="A20353" i="1"/>
  <c r="P20353" i="1"/>
  <c r="A20354" i="1"/>
  <c r="P20354" i="1"/>
  <c r="A20355" i="1"/>
  <c r="P20355" i="1"/>
  <c r="A20356" i="1"/>
  <c r="P20356" i="1"/>
  <c r="A20357" i="1"/>
  <c r="P20357" i="1"/>
  <c r="A20358" i="1"/>
  <c r="P20358" i="1"/>
  <c r="A20359" i="1"/>
  <c r="P20359" i="1"/>
  <c r="A20360" i="1"/>
  <c r="P20360" i="1"/>
  <c r="A20361" i="1"/>
  <c r="P20361" i="1"/>
  <c r="A20362" i="1"/>
  <c r="P20362" i="1"/>
  <c r="A20363" i="1"/>
  <c r="P20363" i="1"/>
  <c r="A20364" i="1"/>
  <c r="P20364" i="1"/>
  <c r="A20365" i="1"/>
  <c r="P20365" i="1"/>
  <c r="A20366" i="1"/>
  <c r="P20366" i="1"/>
  <c r="A20367" i="1"/>
  <c r="P20367" i="1"/>
  <c r="A20368" i="1"/>
  <c r="P20368" i="1"/>
  <c r="A20369" i="1"/>
  <c r="P20369" i="1"/>
  <c r="A20370" i="1"/>
  <c r="P20370" i="1"/>
  <c r="A20371" i="1"/>
  <c r="P20371" i="1"/>
  <c r="A20372" i="1"/>
  <c r="P20372" i="1"/>
  <c r="A20373" i="1"/>
  <c r="P20373" i="1"/>
  <c r="A20374" i="1"/>
  <c r="P20374" i="1"/>
  <c r="A20375" i="1"/>
  <c r="P20375" i="1"/>
  <c r="A20376" i="1"/>
  <c r="P20376" i="1"/>
  <c r="A20377" i="1"/>
  <c r="P20377" i="1"/>
  <c r="A20378" i="1"/>
  <c r="P20378" i="1"/>
  <c r="A20379" i="1"/>
  <c r="P20379" i="1"/>
  <c r="A20380" i="1"/>
  <c r="P20380" i="1"/>
  <c r="A20381" i="1"/>
  <c r="P20381" i="1"/>
  <c r="A20382" i="1"/>
  <c r="P20382" i="1"/>
  <c r="A20383" i="1"/>
  <c r="P20383" i="1"/>
  <c r="A20384" i="1"/>
  <c r="P20384" i="1"/>
  <c r="A20385" i="1"/>
  <c r="P20385" i="1"/>
  <c r="A20386" i="1"/>
  <c r="P20386" i="1"/>
  <c r="A20387" i="1"/>
  <c r="P20387" i="1"/>
  <c r="A20388" i="1"/>
  <c r="P20388" i="1"/>
  <c r="A20389" i="1"/>
  <c r="P20389" i="1"/>
  <c r="A20390" i="1"/>
  <c r="P20390" i="1"/>
  <c r="A20391" i="1"/>
  <c r="P20391" i="1"/>
  <c r="A20392" i="1"/>
  <c r="P20392" i="1"/>
  <c r="A20393" i="1"/>
  <c r="P20393" i="1"/>
  <c r="A20394" i="1"/>
  <c r="P20394" i="1"/>
  <c r="A20395" i="1"/>
  <c r="P20395" i="1"/>
  <c r="A20396" i="1"/>
  <c r="P20396" i="1"/>
  <c r="A20397" i="1"/>
  <c r="P20397" i="1"/>
  <c r="A20398" i="1"/>
  <c r="P20398" i="1"/>
  <c r="A20399" i="1"/>
  <c r="P20399" i="1"/>
  <c r="A20400" i="1"/>
  <c r="P20400" i="1"/>
  <c r="A20401" i="1"/>
  <c r="P20401" i="1"/>
  <c r="A20402" i="1"/>
  <c r="P20402" i="1"/>
  <c r="A20403" i="1"/>
  <c r="P20403" i="1"/>
  <c r="A20404" i="1"/>
  <c r="P20404" i="1"/>
  <c r="A20405" i="1"/>
  <c r="P20405" i="1"/>
  <c r="A20406" i="1"/>
  <c r="P20406" i="1"/>
  <c r="A20407" i="1"/>
  <c r="P20407" i="1"/>
  <c r="A20408" i="1"/>
  <c r="P20408" i="1"/>
  <c r="A20409" i="1"/>
  <c r="P20409" i="1"/>
  <c r="A20410" i="1"/>
  <c r="P20410" i="1"/>
  <c r="A20411" i="1"/>
  <c r="P20411" i="1"/>
  <c r="A20412" i="1"/>
  <c r="P20412" i="1"/>
  <c r="A20413" i="1"/>
  <c r="P20413" i="1"/>
  <c r="A20414" i="1"/>
  <c r="P20414" i="1"/>
  <c r="A20415" i="1"/>
  <c r="P20415" i="1"/>
  <c r="A20416" i="1"/>
  <c r="P20416" i="1"/>
  <c r="A20417" i="1"/>
  <c r="P20417" i="1"/>
  <c r="A20418" i="1"/>
  <c r="P20418" i="1"/>
  <c r="A20419" i="1"/>
  <c r="P20419" i="1"/>
  <c r="A20420" i="1"/>
  <c r="P20420" i="1"/>
  <c r="A20421" i="1"/>
  <c r="P20421" i="1"/>
  <c r="A20422" i="1"/>
  <c r="P20422" i="1"/>
  <c r="A20423" i="1"/>
  <c r="P20423" i="1"/>
  <c r="A20424" i="1"/>
  <c r="P20424" i="1"/>
  <c r="A20425" i="1"/>
  <c r="P20425" i="1"/>
  <c r="A20426" i="1"/>
  <c r="P20426" i="1"/>
  <c r="A20427" i="1"/>
  <c r="P20427" i="1"/>
  <c r="A20428" i="1"/>
  <c r="P20428" i="1"/>
  <c r="A20429" i="1"/>
  <c r="P20429" i="1"/>
  <c r="A20430" i="1"/>
  <c r="P20430" i="1"/>
  <c r="A20431" i="1"/>
  <c r="P20431" i="1"/>
  <c r="A20432" i="1"/>
  <c r="P20432" i="1"/>
  <c r="A20433" i="1"/>
  <c r="P20433" i="1"/>
  <c r="A20434" i="1"/>
  <c r="P20434" i="1"/>
  <c r="A20435" i="1"/>
  <c r="P20435" i="1"/>
  <c r="A20436" i="1"/>
  <c r="P20436" i="1"/>
  <c r="A20437" i="1"/>
  <c r="P20437" i="1"/>
  <c r="A20438" i="1"/>
  <c r="P20438" i="1"/>
  <c r="A20439" i="1"/>
  <c r="P20439" i="1"/>
  <c r="A20440" i="1"/>
  <c r="P20440" i="1"/>
  <c r="A20441" i="1"/>
  <c r="P20441" i="1"/>
  <c r="A20442" i="1"/>
  <c r="P20442" i="1"/>
  <c r="A20443" i="1"/>
  <c r="P20443" i="1"/>
  <c r="A20444" i="1"/>
  <c r="P20444" i="1"/>
  <c r="A20445" i="1"/>
  <c r="P20445" i="1"/>
  <c r="A20446" i="1"/>
  <c r="P20446" i="1"/>
  <c r="A20447" i="1"/>
  <c r="P20447" i="1"/>
  <c r="A20448" i="1"/>
  <c r="P20448" i="1"/>
  <c r="A20449" i="1"/>
  <c r="P20449" i="1"/>
  <c r="A20450" i="1"/>
  <c r="P20450" i="1"/>
  <c r="A20451" i="1"/>
  <c r="P20451" i="1"/>
  <c r="A20452" i="1"/>
  <c r="P20452" i="1"/>
  <c r="A20453" i="1"/>
  <c r="P20453" i="1"/>
  <c r="A20454" i="1"/>
  <c r="P20454" i="1"/>
  <c r="A20455" i="1"/>
  <c r="P20455" i="1"/>
  <c r="A20456" i="1"/>
  <c r="P20456" i="1"/>
  <c r="A20457" i="1"/>
  <c r="P20457" i="1"/>
  <c r="A20458" i="1"/>
  <c r="P20458" i="1"/>
  <c r="A20459" i="1"/>
  <c r="P20459" i="1"/>
  <c r="A20460" i="1"/>
  <c r="P20460" i="1"/>
  <c r="A20461" i="1"/>
  <c r="P20461" i="1"/>
  <c r="A20462" i="1"/>
  <c r="P20462" i="1"/>
  <c r="A20463" i="1"/>
  <c r="P20463" i="1"/>
  <c r="A20464" i="1"/>
  <c r="P20464" i="1"/>
  <c r="A20465" i="1"/>
  <c r="P20465" i="1"/>
  <c r="A20466" i="1"/>
  <c r="P20466" i="1"/>
  <c r="A20467" i="1"/>
  <c r="P20467" i="1"/>
  <c r="A20468" i="1"/>
  <c r="P20468" i="1"/>
  <c r="A20469" i="1"/>
  <c r="P20469" i="1"/>
  <c r="A20470" i="1"/>
  <c r="P20470" i="1"/>
  <c r="A20471" i="1"/>
  <c r="P20471" i="1"/>
  <c r="A20472" i="1"/>
  <c r="P20472" i="1"/>
  <c r="A20473" i="1"/>
  <c r="P20473" i="1"/>
  <c r="A20474" i="1"/>
  <c r="P20474" i="1"/>
  <c r="A20475" i="1"/>
  <c r="P20475" i="1"/>
  <c r="A20476" i="1"/>
  <c r="P20476" i="1"/>
  <c r="A20477" i="1"/>
  <c r="P20477" i="1"/>
  <c r="A20478" i="1"/>
  <c r="P20478" i="1"/>
  <c r="A20479" i="1"/>
  <c r="P20479" i="1"/>
  <c r="A20480" i="1"/>
  <c r="P20480" i="1"/>
  <c r="A20481" i="1"/>
  <c r="P20481" i="1"/>
  <c r="A20482" i="1"/>
  <c r="P20482" i="1"/>
  <c r="A20483" i="1"/>
  <c r="P20483" i="1"/>
  <c r="A20484" i="1"/>
  <c r="P20484" i="1"/>
  <c r="A20485" i="1"/>
  <c r="P20485" i="1"/>
  <c r="A20486" i="1"/>
  <c r="P20486" i="1"/>
  <c r="A20487" i="1"/>
  <c r="P20487" i="1"/>
  <c r="A20488" i="1"/>
  <c r="P20488" i="1"/>
  <c r="A20489" i="1"/>
  <c r="P20489" i="1"/>
  <c r="A20490" i="1"/>
  <c r="P20490" i="1"/>
  <c r="A20491" i="1"/>
  <c r="P20491" i="1"/>
  <c r="A20492" i="1"/>
  <c r="P20492" i="1"/>
  <c r="A20493" i="1"/>
  <c r="P20493" i="1"/>
  <c r="A20494" i="1"/>
  <c r="P20494" i="1"/>
  <c r="A20495" i="1"/>
  <c r="P20495" i="1"/>
  <c r="A20496" i="1"/>
  <c r="P20496" i="1"/>
  <c r="A20497" i="1"/>
  <c r="P20497" i="1"/>
  <c r="A20498" i="1"/>
  <c r="P20498" i="1"/>
  <c r="A20499" i="1"/>
  <c r="P20499" i="1"/>
  <c r="A20500" i="1"/>
  <c r="P20500" i="1"/>
  <c r="A20501" i="1"/>
  <c r="P20501" i="1"/>
  <c r="A20502" i="1"/>
  <c r="P20502" i="1"/>
  <c r="A20503" i="1"/>
  <c r="P20503" i="1"/>
  <c r="A20504" i="1"/>
  <c r="P20504" i="1"/>
  <c r="A20505" i="1"/>
  <c r="P20505" i="1"/>
  <c r="A20506" i="1"/>
  <c r="P20506" i="1"/>
  <c r="A20507" i="1"/>
  <c r="P20507" i="1"/>
  <c r="A20508" i="1"/>
  <c r="P20508" i="1"/>
  <c r="A20509" i="1"/>
  <c r="P20509" i="1"/>
  <c r="A20510" i="1"/>
  <c r="P20510" i="1"/>
  <c r="A20511" i="1"/>
  <c r="P20511" i="1"/>
  <c r="A20512" i="1"/>
  <c r="P20512" i="1"/>
  <c r="A20513" i="1"/>
  <c r="P20513" i="1"/>
  <c r="A20514" i="1"/>
  <c r="P20514" i="1"/>
  <c r="A20515" i="1"/>
  <c r="P20515" i="1"/>
  <c r="A20516" i="1"/>
  <c r="P20516" i="1"/>
  <c r="A20517" i="1"/>
  <c r="P20517" i="1"/>
  <c r="A20518" i="1"/>
  <c r="P20518" i="1"/>
  <c r="A20519" i="1"/>
  <c r="P20519" i="1"/>
  <c r="A20520" i="1"/>
  <c r="P20520" i="1"/>
  <c r="A20521" i="1"/>
  <c r="P20521" i="1"/>
  <c r="A20522" i="1"/>
  <c r="P20522" i="1"/>
  <c r="A20523" i="1"/>
  <c r="P20523" i="1"/>
  <c r="A20524" i="1"/>
  <c r="P20524" i="1"/>
  <c r="A20525" i="1"/>
  <c r="P20525" i="1"/>
  <c r="A20526" i="1"/>
  <c r="P20526" i="1"/>
  <c r="A20527" i="1"/>
  <c r="P20527" i="1"/>
  <c r="A20528" i="1"/>
  <c r="P20528" i="1"/>
  <c r="A20529" i="1"/>
  <c r="P20529" i="1"/>
  <c r="A20530" i="1"/>
  <c r="P20530" i="1"/>
  <c r="A20531" i="1"/>
  <c r="P20531" i="1"/>
  <c r="A20532" i="1"/>
  <c r="P20532" i="1"/>
  <c r="A20533" i="1"/>
  <c r="P20533" i="1"/>
  <c r="A20534" i="1"/>
  <c r="P20534" i="1"/>
  <c r="A20535" i="1"/>
  <c r="P20535" i="1"/>
  <c r="A20536" i="1"/>
  <c r="P20536" i="1"/>
  <c r="A20537" i="1"/>
  <c r="P20537" i="1"/>
  <c r="A20538" i="1"/>
  <c r="P20538" i="1"/>
  <c r="A20539" i="1"/>
  <c r="P20539" i="1"/>
  <c r="A20540" i="1"/>
  <c r="P20540" i="1"/>
  <c r="A20541" i="1"/>
  <c r="P20541" i="1"/>
  <c r="A20542" i="1"/>
  <c r="P20542" i="1"/>
  <c r="A20543" i="1"/>
  <c r="P20543" i="1"/>
  <c r="A20544" i="1"/>
  <c r="P20544" i="1"/>
  <c r="A20545" i="1"/>
  <c r="P20545" i="1"/>
  <c r="A20546" i="1"/>
  <c r="P20546" i="1"/>
  <c r="A20547" i="1"/>
  <c r="P20547" i="1"/>
  <c r="A20548" i="1"/>
  <c r="P20548" i="1"/>
  <c r="A20549" i="1"/>
  <c r="P20549" i="1"/>
  <c r="A20550" i="1"/>
  <c r="P20550" i="1"/>
  <c r="A20551" i="1"/>
  <c r="P20551" i="1"/>
  <c r="A20552" i="1"/>
  <c r="P20552" i="1"/>
  <c r="A20553" i="1"/>
  <c r="P20553" i="1"/>
  <c r="A20554" i="1"/>
  <c r="P20554" i="1"/>
  <c r="A20555" i="1"/>
  <c r="P20555" i="1"/>
  <c r="A20556" i="1"/>
  <c r="P20556" i="1"/>
  <c r="A20557" i="1"/>
  <c r="P20557" i="1"/>
  <c r="A20558" i="1"/>
  <c r="P20558" i="1"/>
  <c r="A20559" i="1"/>
  <c r="P20559" i="1"/>
  <c r="A20560" i="1"/>
  <c r="P20560" i="1"/>
  <c r="A20561" i="1"/>
  <c r="P20561" i="1"/>
  <c r="A20562" i="1"/>
  <c r="P20562" i="1"/>
  <c r="A20563" i="1"/>
  <c r="P20563" i="1"/>
  <c r="A20564" i="1"/>
  <c r="P20564" i="1"/>
  <c r="A20565" i="1"/>
  <c r="P20565" i="1"/>
  <c r="A20566" i="1"/>
  <c r="P20566" i="1"/>
  <c r="A20567" i="1"/>
  <c r="P20567" i="1"/>
  <c r="A20568" i="1"/>
  <c r="P20568" i="1"/>
  <c r="A20569" i="1"/>
  <c r="P20569" i="1"/>
  <c r="A20570" i="1"/>
  <c r="P20570" i="1"/>
  <c r="A20571" i="1"/>
  <c r="P20571" i="1"/>
  <c r="A20572" i="1"/>
  <c r="P20572" i="1"/>
  <c r="A20573" i="1"/>
  <c r="P20573" i="1"/>
  <c r="A20574" i="1"/>
  <c r="P20574" i="1"/>
  <c r="A20575" i="1"/>
  <c r="P20575" i="1"/>
  <c r="A20576" i="1"/>
  <c r="P20576" i="1"/>
  <c r="A20577" i="1"/>
  <c r="P20577" i="1"/>
  <c r="A20578" i="1"/>
  <c r="P20578" i="1"/>
  <c r="A20579" i="1"/>
  <c r="P20579" i="1"/>
  <c r="A20580" i="1"/>
  <c r="P20580" i="1"/>
  <c r="A20581" i="1"/>
  <c r="P20581" i="1"/>
  <c r="A20582" i="1"/>
  <c r="P20582" i="1"/>
  <c r="A20583" i="1"/>
  <c r="P20583" i="1"/>
  <c r="A20584" i="1"/>
  <c r="P20584" i="1"/>
  <c r="A20585" i="1"/>
  <c r="P20585" i="1"/>
  <c r="A20586" i="1"/>
  <c r="P20586" i="1"/>
  <c r="A20587" i="1"/>
  <c r="P20587" i="1"/>
  <c r="A20588" i="1"/>
  <c r="P20588" i="1"/>
  <c r="A20589" i="1"/>
  <c r="P20589" i="1"/>
  <c r="A20590" i="1"/>
  <c r="P20590" i="1"/>
  <c r="A20591" i="1"/>
  <c r="P20591" i="1"/>
  <c r="A20592" i="1"/>
  <c r="P20592" i="1"/>
  <c r="A20593" i="1"/>
  <c r="P20593" i="1"/>
  <c r="A20594" i="1"/>
  <c r="P20594" i="1"/>
  <c r="A20595" i="1"/>
  <c r="P20595" i="1"/>
  <c r="A20596" i="1"/>
  <c r="P20596" i="1"/>
  <c r="A20597" i="1"/>
  <c r="P20597" i="1"/>
  <c r="A20598" i="1"/>
  <c r="P20598" i="1"/>
  <c r="A20599" i="1"/>
  <c r="P20599" i="1"/>
  <c r="A20600" i="1"/>
  <c r="P20600" i="1"/>
  <c r="A20601" i="1"/>
  <c r="P20601" i="1"/>
  <c r="A20602" i="1"/>
  <c r="P20602" i="1"/>
  <c r="A20603" i="1"/>
  <c r="P20603" i="1"/>
  <c r="A20604" i="1"/>
  <c r="P20604" i="1"/>
  <c r="A20605" i="1"/>
  <c r="P20605" i="1"/>
  <c r="A20606" i="1"/>
  <c r="P20606" i="1"/>
  <c r="A20607" i="1"/>
  <c r="P20607" i="1"/>
  <c r="A20608" i="1"/>
  <c r="P20608" i="1"/>
  <c r="A20609" i="1"/>
  <c r="P20609" i="1"/>
  <c r="A20610" i="1"/>
  <c r="P20610" i="1"/>
  <c r="A20611" i="1"/>
  <c r="P20611" i="1"/>
  <c r="A20612" i="1"/>
  <c r="P20612" i="1"/>
  <c r="A20613" i="1"/>
  <c r="P20613" i="1"/>
  <c r="A20614" i="1"/>
  <c r="P20614" i="1"/>
  <c r="A20615" i="1"/>
  <c r="P20615" i="1"/>
  <c r="A20616" i="1"/>
  <c r="P20616" i="1"/>
  <c r="A20617" i="1"/>
  <c r="P20617" i="1"/>
  <c r="A20618" i="1"/>
  <c r="P20618" i="1"/>
  <c r="A20619" i="1"/>
  <c r="P20619" i="1"/>
  <c r="A20620" i="1"/>
  <c r="P20620" i="1"/>
  <c r="A20621" i="1"/>
  <c r="P20621" i="1"/>
  <c r="A20622" i="1"/>
  <c r="P20622" i="1"/>
  <c r="A20623" i="1"/>
  <c r="P20623" i="1"/>
  <c r="A20624" i="1"/>
  <c r="P20624" i="1"/>
  <c r="A20625" i="1"/>
  <c r="P20625" i="1"/>
  <c r="A20626" i="1"/>
  <c r="P20626" i="1"/>
  <c r="A20627" i="1"/>
  <c r="P20627" i="1"/>
  <c r="A20628" i="1"/>
  <c r="P20628" i="1"/>
  <c r="A20629" i="1"/>
  <c r="P20629" i="1"/>
  <c r="A20630" i="1"/>
  <c r="P20630" i="1"/>
  <c r="A20631" i="1"/>
  <c r="P20631" i="1"/>
  <c r="A20632" i="1"/>
  <c r="P20632" i="1"/>
  <c r="A20633" i="1"/>
  <c r="P20633" i="1"/>
  <c r="A20634" i="1"/>
  <c r="P20634" i="1"/>
  <c r="A20635" i="1"/>
  <c r="P20635" i="1"/>
  <c r="A20636" i="1"/>
  <c r="P20636" i="1"/>
  <c r="A20637" i="1"/>
  <c r="P20637" i="1"/>
  <c r="A20638" i="1"/>
  <c r="P20638" i="1"/>
  <c r="A20639" i="1"/>
  <c r="P20639" i="1"/>
  <c r="A20640" i="1"/>
  <c r="P20640" i="1"/>
  <c r="A20641" i="1"/>
  <c r="P20641" i="1"/>
  <c r="A20642" i="1"/>
  <c r="P20642" i="1"/>
  <c r="A20643" i="1"/>
  <c r="P20643" i="1"/>
  <c r="A20644" i="1"/>
  <c r="P20644" i="1"/>
  <c r="A20645" i="1"/>
  <c r="P20645" i="1"/>
  <c r="A20646" i="1"/>
  <c r="P20646" i="1"/>
  <c r="A20647" i="1"/>
  <c r="P20647" i="1"/>
  <c r="A20648" i="1"/>
  <c r="P20648" i="1"/>
  <c r="A20649" i="1"/>
  <c r="P20649" i="1"/>
  <c r="A20650" i="1"/>
  <c r="P20650" i="1"/>
  <c r="A20651" i="1"/>
  <c r="P20651" i="1"/>
  <c r="A20652" i="1"/>
  <c r="P20652" i="1"/>
  <c r="A20653" i="1"/>
  <c r="P20653" i="1"/>
  <c r="A20654" i="1"/>
  <c r="P20654" i="1"/>
  <c r="A20655" i="1"/>
  <c r="P20655" i="1"/>
  <c r="A20656" i="1"/>
  <c r="P20656" i="1"/>
  <c r="A20657" i="1"/>
  <c r="P20657" i="1"/>
  <c r="A20658" i="1"/>
  <c r="P20658" i="1"/>
  <c r="A20659" i="1"/>
  <c r="P20659" i="1"/>
  <c r="A20660" i="1"/>
  <c r="P20660" i="1"/>
  <c r="A20661" i="1"/>
  <c r="P20661" i="1"/>
  <c r="A20662" i="1"/>
  <c r="P20662" i="1"/>
  <c r="A20663" i="1"/>
  <c r="P20663" i="1"/>
  <c r="A20664" i="1"/>
  <c r="P20664" i="1"/>
  <c r="A20665" i="1"/>
  <c r="P20665" i="1"/>
  <c r="A20666" i="1"/>
  <c r="P20666" i="1"/>
  <c r="A20667" i="1"/>
  <c r="P20667" i="1"/>
  <c r="A20668" i="1"/>
  <c r="P20668" i="1"/>
  <c r="A20669" i="1"/>
  <c r="P20669" i="1"/>
  <c r="A20670" i="1"/>
  <c r="P20670" i="1"/>
  <c r="A20671" i="1"/>
  <c r="P20671" i="1"/>
  <c r="A20672" i="1"/>
  <c r="P20672" i="1"/>
  <c r="A20673" i="1"/>
  <c r="P20673" i="1"/>
  <c r="A20674" i="1"/>
  <c r="P20674" i="1"/>
  <c r="A20675" i="1"/>
  <c r="P20675" i="1"/>
  <c r="A20676" i="1"/>
  <c r="P20676" i="1"/>
  <c r="A20677" i="1"/>
  <c r="P20677" i="1"/>
  <c r="A20678" i="1"/>
  <c r="P20678" i="1"/>
  <c r="A20679" i="1"/>
  <c r="P20679" i="1"/>
  <c r="A20680" i="1"/>
  <c r="P20680" i="1"/>
  <c r="A20681" i="1"/>
  <c r="P20681" i="1"/>
  <c r="A20682" i="1"/>
  <c r="P20682" i="1"/>
  <c r="A20683" i="1"/>
  <c r="P20683" i="1"/>
  <c r="A20684" i="1"/>
  <c r="P20684" i="1"/>
  <c r="A20685" i="1"/>
  <c r="P20685" i="1"/>
  <c r="A20686" i="1"/>
  <c r="P20686" i="1"/>
  <c r="A20687" i="1"/>
  <c r="P20687" i="1"/>
  <c r="A20688" i="1"/>
  <c r="P20688" i="1"/>
  <c r="A20689" i="1"/>
  <c r="P20689" i="1"/>
  <c r="A20690" i="1"/>
  <c r="P20690" i="1"/>
  <c r="A20691" i="1"/>
  <c r="P20691" i="1"/>
  <c r="A20692" i="1"/>
  <c r="P20692" i="1"/>
  <c r="A20693" i="1"/>
  <c r="P20693" i="1"/>
  <c r="A20694" i="1"/>
  <c r="P20694" i="1"/>
  <c r="A20695" i="1"/>
  <c r="P20695" i="1"/>
  <c r="A20696" i="1"/>
  <c r="P20696" i="1"/>
  <c r="A20697" i="1"/>
  <c r="P20697" i="1"/>
  <c r="A20698" i="1"/>
  <c r="P20698" i="1"/>
  <c r="A20699" i="1"/>
  <c r="P20699" i="1"/>
  <c r="A20700" i="1"/>
  <c r="P20700" i="1"/>
  <c r="A20701" i="1"/>
  <c r="P20701" i="1"/>
  <c r="A20702" i="1"/>
  <c r="P20702" i="1"/>
  <c r="A20703" i="1"/>
  <c r="P20703" i="1"/>
  <c r="A20704" i="1"/>
  <c r="P20704" i="1"/>
  <c r="A20705" i="1"/>
  <c r="P20705" i="1"/>
  <c r="A20706" i="1"/>
  <c r="P20706" i="1"/>
  <c r="A20707" i="1"/>
  <c r="P20707" i="1"/>
  <c r="A20708" i="1"/>
  <c r="P20708" i="1"/>
  <c r="A20709" i="1"/>
  <c r="P20709" i="1"/>
  <c r="A20710" i="1"/>
  <c r="P20710" i="1"/>
  <c r="A20711" i="1"/>
  <c r="P20711" i="1"/>
  <c r="A20712" i="1"/>
  <c r="P20712" i="1"/>
  <c r="A20713" i="1"/>
  <c r="P20713" i="1"/>
  <c r="A20714" i="1"/>
  <c r="P20714" i="1"/>
  <c r="A20715" i="1"/>
  <c r="P20715" i="1"/>
  <c r="A20716" i="1"/>
  <c r="P20716" i="1"/>
  <c r="A20717" i="1"/>
  <c r="P20717" i="1"/>
  <c r="A20718" i="1"/>
  <c r="P20718" i="1"/>
  <c r="A20719" i="1"/>
  <c r="P20719" i="1"/>
  <c r="A20720" i="1"/>
  <c r="P20720" i="1"/>
  <c r="A20721" i="1"/>
  <c r="P20721" i="1"/>
  <c r="A20722" i="1"/>
  <c r="P20722" i="1"/>
  <c r="A20723" i="1"/>
  <c r="P20723" i="1"/>
  <c r="A20724" i="1"/>
  <c r="P20724" i="1"/>
  <c r="A20725" i="1"/>
  <c r="P20725" i="1"/>
  <c r="A20726" i="1"/>
  <c r="P20726" i="1"/>
  <c r="A20727" i="1"/>
  <c r="P20727" i="1"/>
  <c r="A20728" i="1"/>
  <c r="P20728" i="1"/>
  <c r="A20729" i="1"/>
  <c r="P20729" i="1"/>
  <c r="A20730" i="1"/>
  <c r="P20730" i="1"/>
  <c r="A20731" i="1"/>
  <c r="P20731" i="1"/>
  <c r="A20732" i="1"/>
  <c r="P20732" i="1"/>
  <c r="A20733" i="1"/>
  <c r="P20733" i="1"/>
  <c r="A20734" i="1"/>
  <c r="P20734" i="1"/>
  <c r="A20735" i="1"/>
  <c r="P20735" i="1"/>
  <c r="A20736" i="1"/>
  <c r="P20736" i="1"/>
  <c r="A20737" i="1"/>
  <c r="P20737" i="1"/>
  <c r="A20738" i="1"/>
  <c r="P20738" i="1"/>
  <c r="A20739" i="1"/>
  <c r="P20739" i="1"/>
  <c r="A20740" i="1"/>
  <c r="P20740" i="1"/>
  <c r="A20741" i="1"/>
  <c r="P20741" i="1"/>
  <c r="A20742" i="1"/>
  <c r="P20742" i="1"/>
  <c r="A20743" i="1"/>
  <c r="P20743" i="1"/>
  <c r="A20744" i="1"/>
  <c r="P20744" i="1"/>
  <c r="A20745" i="1"/>
  <c r="P20745" i="1"/>
  <c r="A20746" i="1"/>
  <c r="P20746" i="1"/>
  <c r="A20747" i="1"/>
  <c r="P20747" i="1"/>
  <c r="A20748" i="1"/>
  <c r="P20748" i="1"/>
  <c r="A20749" i="1"/>
  <c r="P20749" i="1"/>
  <c r="A20750" i="1"/>
  <c r="P20750" i="1"/>
  <c r="A20751" i="1"/>
  <c r="P20751" i="1"/>
  <c r="A20752" i="1"/>
  <c r="P20752" i="1"/>
  <c r="A20753" i="1"/>
  <c r="P20753" i="1"/>
  <c r="A20754" i="1"/>
  <c r="P20754" i="1"/>
  <c r="A20755" i="1"/>
  <c r="P20755" i="1"/>
  <c r="A20756" i="1"/>
  <c r="P20756" i="1"/>
  <c r="A20757" i="1"/>
  <c r="P20757" i="1"/>
  <c r="A20758" i="1"/>
  <c r="P20758" i="1"/>
  <c r="A20759" i="1"/>
  <c r="P20759" i="1"/>
  <c r="A20760" i="1"/>
  <c r="P20760" i="1"/>
  <c r="A20761" i="1"/>
  <c r="P20761" i="1"/>
  <c r="A20762" i="1"/>
  <c r="P20762" i="1"/>
  <c r="A20763" i="1"/>
  <c r="P20763" i="1"/>
  <c r="A20764" i="1"/>
  <c r="P20764" i="1"/>
  <c r="A20765" i="1"/>
  <c r="P20765" i="1"/>
  <c r="A20766" i="1"/>
  <c r="P20766" i="1"/>
  <c r="A20767" i="1"/>
  <c r="P20767" i="1"/>
  <c r="A20768" i="1"/>
  <c r="P20768" i="1"/>
  <c r="A20769" i="1"/>
  <c r="P20769" i="1"/>
  <c r="A20770" i="1"/>
  <c r="P20770" i="1"/>
  <c r="A20771" i="1"/>
  <c r="P20771" i="1"/>
  <c r="A20772" i="1"/>
  <c r="P20772" i="1"/>
  <c r="A20773" i="1"/>
  <c r="P20773" i="1"/>
  <c r="A20774" i="1"/>
  <c r="P20774" i="1"/>
  <c r="A20775" i="1"/>
  <c r="P20775" i="1"/>
  <c r="A20776" i="1"/>
  <c r="P20776" i="1"/>
  <c r="A20777" i="1"/>
  <c r="P20777" i="1"/>
  <c r="A20778" i="1"/>
  <c r="P20778" i="1"/>
  <c r="A20779" i="1"/>
  <c r="P20779" i="1"/>
  <c r="A20780" i="1"/>
  <c r="P20780" i="1"/>
  <c r="A20781" i="1"/>
  <c r="P20781" i="1"/>
  <c r="A20782" i="1"/>
  <c r="P20782" i="1"/>
  <c r="A20783" i="1"/>
  <c r="P20783" i="1"/>
  <c r="A20784" i="1"/>
  <c r="P20784" i="1"/>
  <c r="A20785" i="1"/>
  <c r="P20785" i="1"/>
  <c r="A20786" i="1"/>
  <c r="P20786" i="1"/>
  <c r="A20787" i="1"/>
  <c r="P20787" i="1"/>
  <c r="A20788" i="1"/>
  <c r="P20788" i="1"/>
  <c r="A20789" i="1"/>
  <c r="P20789" i="1"/>
  <c r="A20790" i="1"/>
  <c r="P20790" i="1"/>
  <c r="A20791" i="1"/>
  <c r="P20791" i="1"/>
  <c r="A20792" i="1"/>
  <c r="P20792" i="1"/>
  <c r="A20793" i="1"/>
  <c r="P20793" i="1"/>
  <c r="A20794" i="1"/>
  <c r="P20794" i="1"/>
  <c r="A20795" i="1"/>
  <c r="P20795" i="1"/>
  <c r="A20796" i="1"/>
  <c r="P20796" i="1"/>
  <c r="A20797" i="1"/>
  <c r="P20797" i="1"/>
  <c r="A20798" i="1"/>
  <c r="P20798" i="1"/>
  <c r="A20799" i="1"/>
  <c r="P20799" i="1"/>
  <c r="A20800" i="1"/>
  <c r="P20800" i="1"/>
  <c r="A20801" i="1"/>
  <c r="P20801" i="1"/>
  <c r="A20802" i="1"/>
  <c r="P20802" i="1"/>
  <c r="A20803" i="1"/>
  <c r="P20803" i="1"/>
  <c r="A20804" i="1"/>
  <c r="P20804" i="1"/>
  <c r="A20805" i="1"/>
  <c r="P20805" i="1"/>
  <c r="A20806" i="1"/>
  <c r="P20806" i="1"/>
  <c r="A20807" i="1"/>
  <c r="P20807" i="1"/>
  <c r="A20808" i="1"/>
  <c r="P20808" i="1"/>
  <c r="A20809" i="1"/>
  <c r="P20809" i="1"/>
  <c r="A20810" i="1"/>
  <c r="P20810" i="1"/>
  <c r="A20811" i="1"/>
  <c r="P20811" i="1"/>
  <c r="A20812" i="1"/>
  <c r="P20812" i="1"/>
  <c r="A20813" i="1"/>
  <c r="P20813" i="1"/>
  <c r="A20814" i="1"/>
  <c r="P20814" i="1"/>
  <c r="A20815" i="1"/>
  <c r="P20815" i="1"/>
  <c r="A20816" i="1"/>
  <c r="P20816" i="1"/>
  <c r="A20817" i="1"/>
  <c r="P20817" i="1"/>
  <c r="A20818" i="1"/>
  <c r="P20818" i="1"/>
  <c r="A20819" i="1"/>
  <c r="P20819" i="1"/>
  <c r="A20820" i="1"/>
  <c r="P20820" i="1"/>
  <c r="A20821" i="1"/>
  <c r="P20821" i="1"/>
  <c r="A20822" i="1"/>
  <c r="P20822" i="1"/>
  <c r="A20823" i="1"/>
  <c r="P20823" i="1"/>
  <c r="A20824" i="1"/>
  <c r="P20824" i="1"/>
  <c r="A20825" i="1"/>
  <c r="P20825" i="1"/>
  <c r="A20826" i="1"/>
  <c r="P20826" i="1"/>
  <c r="A20827" i="1"/>
  <c r="P20827" i="1"/>
  <c r="A20828" i="1"/>
  <c r="P20828" i="1"/>
  <c r="A20829" i="1"/>
  <c r="P20829" i="1"/>
  <c r="A20830" i="1"/>
  <c r="P20830" i="1"/>
  <c r="A20831" i="1"/>
  <c r="P20831" i="1"/>
  <c r="A20832" i="1"/>
  <c r="P20832" i="1"/>
  <c r="A20833" i="1"/>
  <c r="P20833" i="1"/>
  <c r="A20834" i="1"/>
  <c r="P20834" i="1"/>
  <c r="A20835" i="1"/>
  <c r="P20835" i="1"/>
  <c r="A20836" i="1"/>
  <c r="P20836" i="1"/>
  <c r="A20837" i="1"/>
  <c r="P20837" i="1"/>
  <c r="A20838" i="1"/>
  <c r="P20838" i="1"/>
  <c r="A20839" i="1"/>
  <c r="P20839" i="1"/>
  <c r="A20840" i="1"/>
  <c r="P20840" i="1"/>
  <c r="A20841" i="1"/>
  <c r="P20841" i="1"/>
  <c r="A20842" i="1"/>
  <c r="P20842" i="1"/>
  <c r="A20843" i="1"/>
  <c r="P20843" i="1"/>
  <c r="A20844" i="1"/>
  <c r="P20844" i="1"/>
  <c r="A20845" i="1"/>
  <c r="P20845" i="1"/>
  <c r="A20846" i="1"/>
  <c r="P20846" i="1"/>
  <c r="A20847" i="1"/>
  <c r="P20847" i="1"/>
  <c r="A20848" i="1"/>
  <c r="P20848" i="1"/>
  <c r="A20849" i="1"/>
  <c r="P20849" i="1"/>
  <c r="A20850" i="1"/>
  <c r="P20850" i="1"/>
  <c r="A20851" i="1"/>
  <c r="P20851" i="1"/>
  <c r="A20852" i="1"/>
  <c r="P20852" i="1"/>
  <c r="A20853" i="1"/>
  <c r="P20853" i="1"/>
  <c r="A20854" i="1"/>
  <c r="P20854" i="1"/>
  <c r="A20855" i="1"/>
  <c r="P20855" i="1"/>
  <c r="A20856" i="1"/>
  <c r="P20856" i="1"/>
  <c r="A20857" i="1"/>
  <c r="P20857" i="1"/>
  <c r="A20858" i="1"/>
  <c r="P20858" i="1"/>
  <c r="A20859" i="1"/>
  <c r="P20859" i="1"/>
  <c r="A20860" i="1"/>
  <c r="P20860" i="1"/>
  <c r="A20861" i="1"/>
  <c r="P20861" i="1"/>
  <c r="A20862" i="1"/>
  <c r="P20862" i="1"/>
  <c r="A20863" i="1"/>
  <c r="P20863" i="1"/>
  <c r="A20864" i="1"/>
  <c r="P20864" i="1"/>
  <c r="A20865" i="1"/>
  <c r="P20865" i="1"/>
  <c r="A20866" i="1"/>
  <c r="P20866" i="1"/>
  <c r="A20867" i="1"/>
  <c r="P20867" i="1"/>
  <c r="A20868" i="1"/>
  <c r="P20868" i="1"/>
  <c r="A20869" i="1"/>
  <c r="P20869" i="1"/>
  <c r="A20870" i="1"/>
  <c r="P20870" i="1"/>
  <c r="A20871" i="1"/>
  <c r="P20871" i="1"/>
  <c r="A20872" i="1"/>
  <c r="P20872" i="1"/>
  <c r="A20873" i="1"/>
  <c r="P20873" i="1"/>
  <c r="A20874" i="1"/>
  <c r="P20874" i="1"/>
  <c r="A20875" i="1"/>
  <c r="P20875" i="1"/>
  <c r="A20876" i="1"/>
  <c r="P20876" i="1"/>
  <c r="A20877" i="1"/>
  <c r="P20877" i="1"/>
  <c r="A20878" i="1"/>
  <c r="P20878" i="1"/>
  <c r="A20879" i="1"/>
  <c r="P20879" i="1"/>
  <c r="A20880" i="1"/>
  <c r="P20880" i="1"/>
  <c r="A20881" i="1"/>
  <c r="P20881" i="1"/>
  <c r="A20882" i="1"/>
  <c r="P20882" i="1"/>
  <c r="A20883" i="1"/>
  <c r="P20883" i="1"/>
  <c r="A20884" i="1"/>
  <c r="P20884" i="1"/>
  <c r="A20885" i="1"/>
  <c r="P20885" i="1"/>
  <c r="A20886" i="1"/>
  <c r="P20886" i="1"/>
  <c r="A20887" i="1"/>
  <c r="P20887" i="1"/>
  <c r="A20888" i="1"/>
  <c r="P20888" i="1"/>
  <c r="A20889" i="1"/>
  <c r="P20889" i="1"/>
  <c r="A20890" i="1"/>
  <c r="P20890" i="1"/>
  <c r="A20891" i="1"/>
  <c r="P20891" i="1"/>
  <c r="A20892" i="1"/>
  <c r="P20892" i="1"/>
  <c r="A20893" i="1"/>
  <c r="P20893" i="1"/>
  <c r="A20894" i="1"/>
  <c r="P20894" i="1"/>
  <c r="A20895" i="1"/>
  <c r="P20895" i="1"/>
  <c r="A20896" i="1"/>
  <c r="P20896" i="1"/>
  <c r="A20897" i="1"/>
  <c r="P20897" i="1"/>
  <c r="A20898" i="1"/>
  <c r="P20898" i="1"/>
  <c r="A20899" i="1"/>
  <c r="P20899" i="1"/>
  <c r="A20900" i="1"/>
  <c r="P20900" i="1"/>
  <c r="A20901" i="1"/>
  <c r="P20901" i="1"/>
  <c r="A20902" i="1"/>
  <c r="P20902" i="1"/>
  <c r="A20903" i="1"/>
  <c r="P20903" i="1"/>
  <c r="A20904" i="1"/>
  <c r="P20904" i="1"/>
  <c r="A20905" i="1"/>
  <c r="P20905" i="1"/>
  <c r="A20906" i="1"/>
  <c r="P20906" i="1"/>
  <c r="A20907" i="1"/>
  <c r="P20907" i="1"/>
  <c r="A20908" i="1"/>
  <c r="P20908" i="1"/>
  <c r="A20909" i="1"/>
  <c r="P20909" i="1"/>
  <c r="A20910" i="1"/>
  <c r="P20910" i="1"/>
  <c r="A20911" i="1"/>
  <c r="P20911" i="1"/>
  <c r="A20912" i="1"/>
  <c r="P20912" i="1"/>
  <c r="A20913" i="1"/>
  <c r="P20913" i="1"/>
  <c r="A20914" i="1"/>
  <c r="M20914" i="1"/>
  <c r="P20914" i="1"/>
  <c r="A20915" i="1"/>
  <c r="P20915" i="1"/>
  <c r="A20916" i="1"/>
  <c r="P20916" i="1"/>
  <c r="A20917" i="1"/>
  <c r="P20917" i="1"/>
  <c r="A20918" i="1"/>
  <c r="P20918" i="1"/>
  <c r="A20919" i="1"/>
  <c r="P20919" i="1"/>
  <c r="A20920" i="1"/>
  <c r="P20920" i="1"/>
  <c r="A20921" i="1"/>
  <c r="P20921" i="1"/>
  <c r="A20922" i="1"/>
  <c r="P20922" i="1"/>
  <c r="A20923" i="1"/>
  <c r="P20923" i="1"/>
  <c r="A20924" i="1"/>
  <c r="P20924" i="1"/>
  <c r="A20925" i="1"/>
  <c r="P20925" i="1"/>
  <c r="A20926" i="1"/>
  <c r="P20926" i="1"/>
  <c r="A20927" i="1"/>
  <c r="P20927" i="1"/>
  <c r="A20928" i="1"/>
  <c r="P20928" i="1"/>
  <c r="A20929" i="1"/>
  <c r="P20929" i="1"/>
  <c r="A20930" i="1"/>
  <c r="P20930" i="1"/>
  <c r="A20931" i="1"/>
  <c r="P20931" i="1"/>
  <c r="A20932" i="1"/>
  <c r="P20932" i="1"/>
  <c r="A20933" i="1"/>
  <c r="P20933" i="1"/>
  <c r="A20934" i="1"/>
  <c r="P20934" i="1"/>
  <c r="A20935" i="1"/>
  <c r="P20935" i="1"/>
  <c r="A20936" i="1"/>
  <c r="P20936" i="1"/>
  <c r="A20937" i="1"/>
  <c r="P20937" i="1"/>
  <c r="A20938" i="1"/>
  <c r="P20938" i="1"/>
  <c r="A20939" i="1"/>
  <c r="P20939" i="1"/>
  <c r="A20940" i="1"/>
  <c r="P20940" i="1"/>
  <c r="A20941" i="1"/>
  <c r="P20941" i="1"/>
  <c r="A20942" i="1"/>
  <c r="P20942" i="1"/>
  <c r="A20943" i="1"/>
  <c r="P20943" i="1"/>
  <c r="A20944" i="1"/>
  <c r="P20944" i="1"/>
  <c r="A20945" i="1"/>
  <c r="P20945" i="1"/>
  <c r="A20946" i="1"/>
  <c r="P20946" i="1"/>
  <c r="A20947" i="1"/>
  <c r="P20947" i="1"/>
  <c r="A20948" i="1"/>
  <c r="P20948" i="1"/>
  <c r="A20949" i="1"/>
  <c r="P20949" i="1"/>
  <c r="A20950" i="1"/>
  <c r="P20950" i="1"/>
  <c r="A20951" i="1"/>
  <c r="P20951" i="1"/>
  <c r="A20952" i="1"/>
  <c r="P20952" i="1"/>
  <c r="A20953" i="1"/>
  <c r="P20953" i="1"/>
  <c r="A20954" i="1"/>
  <c r="P20954" i="1"/>
  <c r="A20955" i="1"/>
  <c r="P20955" i="1"/>
  <c r="A20956" i="1"/>
  <c r="P20956" i="1"/>
  <c r="A20957" i="1"/>
  <c r="P20957" i="1"/>
  <c r="A20958" i="1"/>
  <c r="P20958" i="1"/>
  <c r="A20959" i="1"/>
  <c r="P20959" i="1"/>
  <c r="A20960" i="1"/>
  <c r="P20960" i="1"/>
  <c r="A20961" i="1"/>
  <c r="P20961" i="1"/>
  <c r="A20962" i="1"/>
  <c r="P20962" i="1"/>
  <c r="A20963" i="1"/>
  <c r="P20963" i="1"/>
  <c r="A20964" i="1"/>
  <c r="P20964" i="1"/>
  <c r="A20965" i="1"/>
  <c r="P20965" i="1"/>
  <c r="A20966" i="1"/>
  <c r="P20966" i="1"/>
  <c r="A20967" i="1"/>
  <c r="P20967" i="1"/>
  <c r="A20968" i="1"/>
  <c r="P20968" i="1"/>
  <c r="A20969" i="1"/>
  <c r="P20969" i="1"/>
  <c r="A20970" i="1"/>
  <c r="P20970" i="1"/>
  <c r="A20971" i="1"/>
  <c r="P20971" i="1"/>
  <c r="A20972" i="1"/>
  <c r="P20972" i="1"/>
  <c r="A20973" i="1"/>
  <c r="P20973" i="1"/>
  <c r="A20974" i="1"/>
  <c r="P20974" i="1"/>
  <c r="A20975" i="1"/>
  <c r="P20975" i="1"/>
  <c r="A20976" i="1"/>
  <c r="P20976" i="1"/>
  <c r="A20977" i="1"/>
  <c r="P20977" i="1"/>
  <c r="A20978" i="1"/>
  <c r="P20978" i="1"/>
  <c r="A20979" i="1"/>
  <c r="P20979" i="1"/>
  <c r="A20980" i="1"/>
  <c r="P20980" i="1"/>
  <c r="A20981" i="1"/>
  <c r="P20981" i="1"/>
  <c r="A20982" i="1"/>
  <c r="P20982" i="1"/>
  <c r="A20983" i="1"/>
  <c r="P20983" i="1"/>
  <c r="A20984" i="1"/>
  <c r="P20984" i="1"/>
  <c r="A20985" i="1"/>
  <c r="P20985" i="1"/>
  <c r="A20986" i="1"/>
  <c r="P20986" i="1"/>
  <c r="A20987" i="1"/>
  <c r="P20987" i="1"/>
  <c r="A20988" i="1"/>
  <c r="P20988" i="1"/>
  <c r="A20989" i="1"/>
  <c r="P20989" i="1"/>
  <c r="A20990" i="1"/>
  <c r="P20990" i="1"/>
  <c r="A20991" i="1"/>
  <c r="P20991" i="1"/>
  <c r="A20992" i="1"/>
  <c r="P20992" i="1"/>
  <c r="A20993" i="1"/>
  <c r="P20993" i="1"/>
  <c r="A20994" i="1"/>
  <c r="P20994" i="1"/>
  <c r="A20995" i="1"/>
  <c r="P20995" i="1"/>
  <c r="A20996" i="1"/>
  <c r="P20996" i="1"/>
  <c r="A20997" i="1"/>
  <c r="P20997" i="1"/>
  <c r="A20998" i="1"/>
  <c r="P20998" i="1"/>
  <c r="A20999" i="1"/>
  <c r="P20999" i="1"/>
  <c r="A21000" i="1"/>
  <c r="P21000" i="1"/>
  <c r="A21001" i="1"/>
  <c r="P21001" i="1"/>
  <c r="A21002" i="1"/>
  <c r="P21002" i="1"/>
  <c r="A21003" i="1"/>
  <c r="P21003" i="1"/>
  <c r="A21004" i="1"/>
  <c r="P21004" i="1"/>
  <c r="A21005" i="1"/>
  <c r="P21005" i="1"/>
  <c r="A21006" i="1"/>
  <c r="P21006" i="1"/>
  <c r="A21007" i="1"/>
  <c r="P21007" i="1"/>
  <c r="A21008" i="1"/>
  <c r="P21008" i="1"/>
  <c r="A21009" i="1"/>
  <c r="P21009" i="1"/>
  <c r="A21010" i="1"/>
  <c r="P21010" i="1"/>
  <c r="A21011" i="1"/>
  <c r="P21011" i="1"/>
  <c r="A21012" i="1"/>
  <c r="P21012" i="1"/>
  <c r="A21013" i="1"/>
  <c r="P21013" i="1"/>
  <c r="A21014" i="1"/>
  <c r="P21014" i="1"/>
  <c r="A21015" i="1"/>
  <c r="P21015" i="1"/>
  <c r="A21016" i="1"/>
  <c r="P21016" i="1"/>
  <c r="A21017" i="1"/>
  <c r="P21017" i="1"/>
  <c r="A21018" i="1"/>
  <c r="P21018" i="1"/>
  <c r="A21019" i="1"/>
  <c r="P21019" i="1"/>
  <c r="A21020" i="1"/>
  <c r="P21020" i="1"/>
  <c r="A21021" i="1"/>
  <c r="P21021" i="1"/>
  <c r="A21022" i="1"/>
  <c r="P21022" i="1"/>
  <c r="A21023" i="1"/>
  <c r="P21023" i="1"/>
  <c r="A21024" i="1"/>
  <c r="P21024" i="1"/>
  <c r="A21025" i="1"/>
  <c r="P21025" i="1"/>
  <c r="A21026" i="1"/>
  <c r="P21026" i="1"/>
  <c r="A21027" i="1"/>
  <c r="P21027" i="1"/>
  <c r="A21028" i="1"/>
  <c r="P21028" i="1"/>
  <c r="A21029" i="1"/>
  <c r="P21029" i="1"/>
  <c r="A21030" i="1"/>
  <c r="P21030" i="1"/>
  <c r="A21031" i="1"/>
  <c r="P21031" i="1"/>
  <c r="A21032" i="1"/>
  <c r="P21032" i="1"/>
  <c r="A21033" i="1"/>
  <c r="P21033" i="1"/>
  <c r="A21034" i="1"/>
  <c r="P21034" i="1"/>
  <c r="A21035" i="1"/>
  <c r="P21035" i="1"/>
  <c r="A21036" i="1"/>
  <c r="P21036" i="1"/>
  <c r="A21037" i="1"/>
  <c r="P21037" i="1"/>
  <c r="A21038" i="1"/>
  <c r="P21038" i="1"/>
  <c r="A21039" i="1"/>
  <c r="P21039" i="1"/>
  <c r="A21040" i="1"/>
  <c r="P21040" i="1"/>
  <c r="A21041" i="1"/>
  <c r="P21041" i="1"/>
  <c r="A21042" i="1"/>
  <c r="P21042" i="1"/>
  <c r="A21043" i="1"/>
  <c r="P21043" i="1"/>
  <c r="A21044" i="1"/>
  <c r="P21044" i="1"/>
  <c r="A21045" i="1"/>
  <c r="P21045" i="1"/>
  <c r="A21046" i="1"/>
  <c r="P21046" i="1"/>
  <c r="A21047" i="1"/>
  <c r="P21047" i="1"/>
  <c r="A21048" i="1"/>
  <c r="P21048" i="1"/>
  <c r="A21049" i="1"/>
  <c r="P21049" i="1"/>
  <c r="A21050" i="1"/>
  <c r="P21050" i="1"/>
  <c r="A21051" i="1"/>
  <c r="P21051" i="1"/>
  <c r="A21052" i="1"/>
  <c r="P21052" i="1"/>
  <c r="A21053" i="1"/>
  <c r="P21053" i="1"/>
  <c r="A21054" i="1"/>
  <c r="P21054" i="1"/>
  <c r="A21055" i="1"/>
  <c r="P21055" i="1"/>
  <c r="A21056" i="1"/>
  <c r="P21056" i="1"/>
  <c r="A21057" i="1"/>
  <c r="P21057" i="1"/>
  <c r="A21058" i="1"/>
  <c r="P21058" i="1"/>
  <c r="A21059" i="1"/>
  <c r="P21059" i="1"/>
  <c r="A21060" i="1"/>
  <c r="P21060" i="1"/>
  <c r="A21061" i="1"/>
  <c r="P21061" i="1"/>
  <c r="A21062" i="1"/>
  <c r="P21062" i="1"/>
  <c r="A21063" i="1"/>
  <c r="P21063" i="1"/>
  <c r="A21064" i="1"/>
  <c r="P21064" i="1"/>
  <c r="A21065" i="1"/>
  <c r="P21065" i="1"/>
  <c r="A21066" i="1"/>
  <c r="P21066" i="1"/>
  <c r="A21067" i="1"/>
  <c r="P21067" i="1"/>
  <c r="A21068" i="1"/>
  <c r="P21068" i="1"/>
  <c r="A21069" i="1"/>
  <c r="P21069" i="1"/>
  <c r="A21070" i="1"/>
  <c r="P21070" i="1"/>
  <c r="A21071" i="1"/>
  <c r="P21071" i="1"/>
  <c r="A21072" i="1"/>
  <c r="P21072" i="1"/>
  <c r="A21073" i="1"/>
  <c r="P21073" i="1"/>
  <c r="A21074" i="1"/>
  <c r="P21074" i="1"/>
  <c r="A21075" i="1"/>
  <c r="P21075" i="1"/>
  <c r="A21076" i="1"/>
  <c r="P21076" i="1"/>
  <c r="A21077" i="1"/>
  <c r="P21077" i="1"/>
  <c r="A21078" i="1"/>
  <c r="P21078" i="1"/>
  <c r="A21079" i="1"/>
  <c r="P21079" i="1"/>
  <c r="A21080" i="1"/>
  <c r="P21080" i="1"/>
  <c r="A21081" i="1"/>
  <c r="P21081" i="1"/>
  <c r="A21082" i="1"/>
  <c r="P21082" i="1"/>
  <c r="A21083" i="1"/>
  <c r="P21083" i="1"/>
  <c r="A21084" i="1"/>
  <c r="P21084" i="1"/>
  <c r="A21085" i="1"/>
  <c r="P21085" i="1"/>
  <c r="A21086" i="1"/>
  <c r="P21086" i="1"/>
  <c r="A21087" i="1"/>
  <c r="P21087" i="1"/>
  <c r="A21088" i="1"/>
  <c r="P21088" i="1"/>
  <c r="A21089" i="1"/>
  <c r="P21089" i="1"/>
  <c r="A21090" i="1"/>
  <c r="P21090" i="1"/>
  <c r="A21091" i="1"/>
  <c r="P21091" i="1"/>
  <c r="A21092" i="1"/>
  <c r="P21092" i="1"/>
  <c r="A21093" i="1"/>
  <c r="P21093" i="1"/>
  <c r="A21094" i="1"/>
  <c r="P21094" i="1"/>
  <c r="A21095" i="1"/>
  <c r="P21095" i="1"/>
  <c r="A21096" i="1"/>
  <c r="P21096" i="1"/>
  <c r="A21097" i="1"/>
  <c r="P21097" i="1"/>
  <c r="A21098" i="1"/>
  <c r="P21098" i="1"/>
  <c r="A21099" i="1"/>
  <c r="P21099" i="1"/>
  <c r="A21100" i="1"/>
  <c r="P21100" i="1"/>
  <c r="A21101" i="1"/>
  <c r="P21101" i="1"/>
  <c r="A21102" i="1"/>
  <c r="P21102" i="1"/>
  <c r="A21103" i="1"/>
  <c r="P21103" i="1"/>
  <c r="A21104" i="1"/>
  <c r="P21104" i="1"/>
  <c r="A21105" i="1"/>
  <c r="P21105" i="1"/>
  <c r="A21106" i="1"/>
  <c r="P21106" i="1"/>
  <c r="A21107" i="1"/>
  <c r="P21107" i="1"/>
  <c r="A21108" i="1"/>
  <c r="P21108" i="1"/>
  <c r="A21109" i="1"/>
  <c r="P21109" i="1"/>
  <c r="A21110" i="1"/>
  <c r="P21110" i="1"/>
  <c r="A21111" i="1"/>
  <c r="P21111" i="1"/>
  <c r="A21112" i="1"/>
  <c r="P21112" i="1"/>
  <c r="A21113" i="1"/>
  <c r="P21113" i="1"/>
  <c r="A21114" i="1"/>
  <c r="P21114" i="1"/>
  <c r="A21115" i="1"/>
  <c r="P21115" i="1"/>
  <c r="A21116" i="1"/>
  <c r="P21116" i="1"/>
  <c r="A21117" i="1"/>
  <c r="P21117" i="1"/>
  <c r="A21118" i="1"/>
  <c r="P21118" i="1"/>
  <c r="A21119" i="1"/>
  <c r="P21119" i="1"/>
  <c r="A21120" i="1"/>
  <c r="P21120" i="1"/>
  <c r="A21121" i="1"/>
  <c r="P21121" i="1"/>
  <c r="A21122" i="1"/>
  <c r="P21122" i="1"/>
  <c r="A21123" i="1"/>
  <c r="P21123" i="1"/>
  <c r="A21124" i="1"/>
  <c r="P21124" i="1"/>
  <c r="A21125" i="1"/>
  <c r="P21125" i="1"/>
  <c r="A21126" i="1"/>
  <c r="P21126" i="1"/>
  <c r="A21127" i="1"/>
  <c r="P21127" i="1"/>
  <c r="A21128" i="1"/>
  <c r="P21128" i="1"/>
  <c r="A21129" i="1"/>
  <c r="P21129" i="1"/>
  <c r="A21130" i="1"/>
  <c r="P21130" i="1"/>
  <c r="A21131" i="1"/>
  <c r="P21131" i="1"/>
  <c r="A21132" i="1"/>
  <c r="P21132" i="1"/>
  <c r="A21133" i="1"/>
  <c r="P21133" i="1"/>
  <c r="A21134" i="1"/>
  <c r="P21134" i="1"/>
  <c r="A21135" i="1"/>
  <c r="P21135" i="1"/>
  <c r="A21136" i="1"/>
  <c r="P21136" i="1"/>
  <c r="A21137" i="1"/>
  <c r="P21137" i="1"/>
  <c r="A21138" i="1"/>
  <c r="P21138" i="1"/>
  <c r="A21139" i="1"/>
  <c r="P21139" i="1"/>
  <c r="A21140" i="1"/>
  <c r="P21140" i="1"/>
  <c r="A21141" i="1"/>
  <c r="P21141" i="1"/>
  <c r="A21142" i="1"/>
  <c r="P21142" i="1"/>
  <c r="A21143" i="1"/>
  <c r="P21143" i="1"/>
  <c r="A21144" i="1"/>
  <c r="P21144" i="1"/>
  <c r="A21145" i="1"/>
  <c r="P21145" i="1"/>
  <c r="A21146" i="1"/>
  <c r="P21146" i="1"/>
  <c r="A21147" i="1"/>
  <c r="P21147" i="1"/>
  <c r="A21148" i="1"/>
  <c r="P21148" i="1"/>
  <c r="A21149" i="1"/>
  <c r="P21149" i="1"/>
  <c r="A21150" i="1"/>
  <c r="P21150" i="1"/>
  <c r="A21151" i="1"/>
  <c r="P21151" i="1"/>
  <c r="A21152" i="1"/>
  <c r="P21152" i="1"/>
  <c r="A21153" i="1"/>
  <c r="P21153" i="1"/>
  <c r="A21154" i="1"/>
  <c r="P21154" i="1"/>
  <c r="A21155" i="1"/>
  <c r="P21155" i="1"/>
  <c r="A21156" i="1"/>
  <c r="P21156" i="1"/>
  <c r="A21157" i="1"/>
  <c r="P21157" i="1"/>
  <c r="A21158" i="1"/>
  <c r="P21158" i="1"/>
  <c r="A21159" i="1"/>
  <c r="P21159" i="1"/>
  <c r="A21160" i="1"/>
  <c r="P21160" i="1"/>
  <c r="A21161" i="1"/>
  <c r="P21161" i="1"/>
  <c r="A21162" i="1"/>
  <c r="P21162" i="1"/>
  <c r="A21163" i="1"/>
  <c r="P21163" i="1"/>
  <c r="A21164" i="1"/>
  <c r="P21164" i="1"/>
  <c r="A21165" i="1"/>
  <c r="P21165" i="1"/>
  <c r="A21166" i="1"/>
  <c r="P21166" i="1"/>
  <c r="A21167" i="1"/>
  <c r="P21167" i="1"/>
  <c r="A21168" i="1"/>
  <c r="P21168" i="1"/>
  <c r="A21169" i="1"/>
  <c r="P21169" i="1"/>
  <c r="A21170" i="1"/>
  <c r="P21170" i="1"/>
  <c r="A21171" i="1"/>
  <c r="P21171" i="1"/>
  <c r="A21172" i="1"/>
  <c r="P21172" i="1"/>
  <c r="A21173" i="1"/>
  <c r="P21173" i="1"/>
  <c r="A21174" i="1"/>
  <c r="P21174" i="1"/>
  <c r="A21175" i="1"/>
  <c r="P21175" i="1"/>
  <c r="A21176" i="1"/>
  <c r="P21176" i="1"/>
  <c r="A21177" i="1"/>
  <c r="P21177" i="1"/>
  <c r="A21178" i="1"/>
  <c r="P21178" i="1"/>
  <c r="A21179" i="1"/>
  <c r="P21179" i="1"/>
  <c r="A21180" i="1"/>
  <c r="P21180" i="1"/>
  <c r="A21181" i="1"/>
  <c r="P21181" i="1"/>
  <c r="A21182" i="1"/>
  <c r="P21182" i="1"/>
  <c r="A21183" i="1"/>
  <c r="P21183" i="1"/>
  <c r="A21184" i="1"/>
  <c r="P21184" i="1"/>
  <c r="A21185" i="1"/>
  <c r="P21185" i="1"/>
  <c r="A21186" i="1"/>
  <c r="P21186" i="1"/>
  <c r="A21187" i="1"/>
  <c r="P21187" i="1"/>
  <c r="A21188" i="1"/>
  <c r="P21188" i="1"/>
  <c r="A21189" i="1"/>
  <c r="P21189" i="1"/>
  <c r="A21190" i="1"/>
  <c r="P21190" i="1"/>
  <c r="A21191" i="1"/>
  <c r="P21191" i="1"/>
  <c r="A21192" i="1"/>
  <c r="P21192" i="1"/>
  <c r="A21193" i="1"/>
  <c r="P21193" i="1"/>
  <c r="A21194" i="1"/>
  <c r="P21194" i="1"/>
  <c r="A21195" i="1"/>
  <c r="P21195" i="1"/>
  <c r="A21196" i="1"/>
  <c r="P21196" i="1"/>
  <c r="A21197" i="1"/>
  <c r="P21197" i="1"/>
  <c r="A21198" i="1"/>
  <c r="P21198" i="1"/>
  <c r="A21199" i="1"/>
  <c r="P21199" i="1"/>
  <c r="A21200" i="1"/>
  <c r="P21200" i="1"/>
  <c r="A21201" i="1"/>
  <c r="P21201" i="1"/>
  <c r="A21202" i="1"/>
  <c r="P21202" i="1"/>
  <c r="A21203" i="1"/>
  <c r="P21203" i="1"/>
  <c r="A21204" i="1"/>
  <c r="P21204" i="1"/>
  <c r="A21205" i="1"/>
  <c r="P21205" i="1"/>
  <c r="A21206" i="1"/>
  <c r="P21206" i="1"/>
  <c r="A21207" i="1"/>
  <c r="P21207" i="1"/>
  <c r="A21208" i="1"/>
  <c r="P21208" i="1"/>
  <c r="A21209" i="1"/>
  <c r="P21209" i="1"/>
  <c r="A21210" i="1"/>
  <c r="P21210" i="1"/>
  <c r="A21211" i="1"/>
  <c r="P21211" i="1"/>
  <c r="A21212" i="1"/>
  <c r="P21212" i="1"/>
  <c r="A21213" i="1"/>
  <c r="P21213" i="1"/>
  <c r="A21214" i="1"/>
  <c r="P21214" i="1"/>
  <c r="A21215" i="1"/>
  <c r="P21215" i="1"/>
  <c r="A21216" i="1"/>
  <c r="P21216" i="1"/>
  <c r="A21217" i="1"/>
  <c r="P21217" i="1"/>
  <c r="A21218" i="1"/>
  <c r="P21218" i="1"/>
  <c r="A21219" i="1"/>
  <c r="P21219" i="1"/>
  <c r="A21220" i="1"/>
  <c r="P21220" i="1"/>
  <c r="A21221" i="1"/>
  <c r="P21221" i="1"/>
  <c r="A21222" i="1"/>
  <c r="P21222" i="1"/>
  <c r="A21223" i="1"/>
  <c r="P21223" i="1"/>
  <c r="A21224" i="1"/>
  <c r="P21224" i="1"/>
  <c r="A21225" i="1"/>
  <c r="P21225" i="1"/>
  <c r="A21226" i="1"/>
  <c r="P21226" i="1"/>
  <c r="A21227" i="1"/>
  <c r="P21227" i="1"/>
  <c r="A21228" i="1"/>
  <c r="P21228" i="1"/>
  <c r="A21229" i="1"/>
  <c r="P21229" i="1"/>
  <c r="A21230" i="1"/>
  <c r="P21230" i="1"/>
  <c r="A21231" i="1"/>
  <c r="P21231" i="1"/>
  <c r="A21232" i="1"/>
  <c r="P21232" i="1"/>
  <c r="A21233" i="1"/>
  <c r="P21233" i="1"/>
  <c r="A21234" i="1"/>
  <c r="P21234" i="1"/>
  <c r="A21235" i="1"/>
  <c r="P21235" i="1"/>
  <c r="A21236" i="1"/>
  <c r="P21236" i="1"/>
  <c r="A21237" i="1"/>
  <c r="P21237" i="1"/>
  <c r="A21238" i="1"/>
  <c r="P21238" i="1"/>
  <c r="A21239" i="1"/>
  <c r="P21239" i="1"/>
  <c r="A21240" i="1"/>
  <c r="P21240" i="1"/>
  <c r="A21241" i="1"/>
  <c r="P21241" i="1"/>
  <c r="A21242" i="1"/>
  <c r="P21242" i="1"/>
  <c r="A21243" i="1"/>
  <c r="P21243" i="1"/>
  <c r="A21244" i="1"/>
  <c r="P21244" i="1"/>
  <c r="A21245" i="1"/>
  <c r="P21245" i="1"/>
  <c r="A21246" i="1"/>
  <c r="P21246" i="1"/>
  <c r="A21247" i="1"/>
  <c r="P21247" i="1"/>
  <c r="A21248" i="1"/>
  <c r="P21248" i="1"/>
  <c r="A21249" i="1"/>
  <c r="P21249" i="1"/>
  <c r="A21250" i="1"/>
  <c r="P21250" i="1"/>
  <c r="A21251" i="1"/>
  <c r="P21251" i="1"/>
  <c r="A21252" i="1"/>
  <c r="P21252" i="1"/>
  <c r="A21253" i="1"/>
  <c r="P21253" i="1"/>
  <c r="A21254" i="1"/>
  <c r="P21254" i="1"/>
  <c r="A21255" i="1"/>
  <c r="P21255" i="1"/>
  <c r="A21256" i="1"/>
  <c r="P21256" i="1"/>
  <c r="A21257" i="1"/>
  <c r="P21257" i="1"/>
  <c r="A21258" i="1"/>
  <c r="P21258" i="1"/>
  <c r="A21259" i="1"/>
  <c r="P21259" i="1"/>
  <c r="A21260" i="1"/>
  <c r="P21260" i="1"/>
  <c r="A21261" i="1"/>
  <c r="P21261" i="1"/>
  <c r="A21262" i="1"/>
  <c r="P21262" i="1"/>
  <c r="A21263" i="1"/>
  <c r="P21263" i="1"/>
  <c r="A21264" i="1"/>
  <c r="P21264" i="1"/>
  <c r="A21265" i="1"/>
  <c r="P21265" i="1"/>
  <c r="A21266" i="1"/>
  <c r="P21266" i="1"/>
  <c r="A21267" i="1"/>
  <c r="P21267" i="1"/>
  <c r="A21268" i="1"/>
  <c r="P21268" i="1"/>
  <c r="A21269" i="1"/>
  <c r="P21269" i="1"/>
  <c r="A21270" i="1"/>
  <c r="P21270" i="1"/>
  <c r="A21271" i="1"/>
  <c r="P21271" i="1"/>
  <c r="A21272" i="1"/>
  <c r="P21272" i="1"/>
  <c r="A21273" i="1"/>
  <c r="P21273" i="1"/>
  <c r="A21274" i="1"/>
  <c r="P21274" i="1"/>
  <c r="A21275" i="1"/>
  <c r="P21275" i="1"/>
  <c r="A21276" i="1"/>
  <c r="P21276" i="1"/>
  <c r="A21277" i="1"/>
  <c r="P21277" i="1"/>
  <c r="A21278" i="1"/>
  <c r="P21278" i="1"/>
  <c r="A21279" i="1"/>
  <c r="P21279" i="1"/>
  <c r="A21280" i="1"/>
  <c r="P21280" i="1"/>
  <c r="A21281" i="1"/>
  <c r="P21281" i="1"/>
  <c r="A21282" i="1"/>
  <c r="P21282" i="1"/>
  <c r="A21283" i="1"/>
  <c r="P21283" i="1"/>
  <c r="A21284" i="1"/>
  <c r="P21284" i="1"/>
  <c r="A21285" i="1"/>
  <c r="P21285" i="1"/>
  <c r="A21286" i="1"/>
  <c r="P21286" i="1"/>
  <c r="A21287" i="1"/>
  <c r="P21287" i="1"/>
  <c r="A21288" i="1"/>
  <c r="P21288" i="1"/>
  <c r="A21289" i="1"/>
  <c r="P21289" i="1"/>
  <c r="A21290" i="1"/>
  <c r="P21290" i="1"/>
  <c r="A21291" i="1"/>
  <c r="P21291" i="1"/>
  <c r="A21292" i="1"/>
  <c r="P21292" i="1"/>
  <c r="A21293" i="1"/>
  <c r="P21293" i="1"/>
  <c r="A21294" i="1"/>
  <c r="P21294" i="1"/>
  <c r="A21295" i="1"/>
  <c r="P21295" i="1"/>
  <c r="A21296" i="1"/>
  <c r="P21296" i="1"/>
  <c r="A21297" i="1"/>
  <c r="P21297" i="1"/>
  <c r="A21298" i="1"/>
  <c r="P21298" i="1"/>
  <c r="A21299" i="1"/>
  <c r="P21299" i="1"/>
  <c r="A21300" i="1"/>
  <c r="P21300" i="1"/>
  <c r="A21301" i="1"/>
  <c r="P21301" i="1"/>
  <c r="A21302" i="1"/>
  <c r="P21302" i="1"/>
  <c r="A21303" i="1"/>
  <c r="P21303" i="1"/>
  <c r="A21304" i="1"/>
  <c r="P21304" i="1"/>
  <c r="A21305" i="1"/>
  <c r="P21305" i="1"/>
  <c r="A21306" i="1"/>
  <c r="P21306" i="1"/>
  <c r="A21307" i="1"/>
  <c r="P21307" i="1"/>
  <c r="A21308" i="1"/>
  <c r="P21308" i="1"/>
  <c r="A21309" i="1"/>
  <c r="P21309" i="1"/>
  <c r="A21310" i="1"/>
  <c r="P21310" i="1"/>
  <c r="A21311" i="1"/>
  <c r="P21311" i="1"/>
  <c r="A21312" i="1"/>
  <c r="P21312" i="1"/>
  <c r="A21313" i="1"/>
  <c r="P21313" i="1"/>
  <c r="A21314" i="1"/>
  <c r="P21314" i="1"/>
  <c r="A21315" i="1"/>
  <c r="P21315" i="1"/>
  <c r="A21316" i="1"/>
  <c r="P21316" i="1"/>
  <c r="A21317" i="1"/>
  <c r="P21317" i="1"/>
  <c r="A21318" i="1"/>
  <c r="P21318" i="1"/>
  <c r="A21319" i="1"/>
  <c r="P21319" i="1"/>
  <c r="A21320" i="1"/>
  <c r="P21320" i="1"/>
  <c r="A21321" i="1"/>
  <c r="P21321" i="1"/>
  <c r="A21322" i="1"/>
  <c r="P21322" i="1"/>
  <c r="A21323" i="1"/>
  <c r="P21323" i="1"/>
  <c r="A21324" i="1"/>
  <c r="P21324" i="1"/>
  <c r="A21325" i="1"/>
  <c r="P21325" i="1"/>
  <c r="A21326" i="1"/>
  <c r="P21326" i="1"/>
  <c r="A21327" i="1"/>
  <c r="P21327" i="1"/>
  <c r="A21328" i="1"/>
  <c r="P21328" i="1"/>
  <c r="A21329" i="1"/>
  <c r="P21329" i="1"/>
  <c r="A21330" i="1"/>
  <c r="P21330" i="1"/>
  <c r="A21331" i="1"/>
  <c r="P21331" i="1"/>
  <c r="A21332" i="1"/>
  <c r="P21332" i="1"/>
  <c r="A21333" i="1"/>
  <c r="P21333" i="1"/>
  <c r="A21334" i="1"/>
  <c r="P21334" i="1"/>
  <c r="A21335" i="1"/>
  <c r="P21335" i="1"/>
  <c r="A21336" i="1"/>
  <c r="P21336" i="1"/>
  <c r="A21337" i="1"/>
  <c r="P21337" i="1"/>
  <c r="A21338" i="1"/>
  <c r="P21338" i="1"/>
  <c r="A21339" i="1"/>
  <c r="P21339" i="1"/>
  <c r="A21340" i="1"/>
  <c r="P21340" i="1"/>
  <c r="A21341" i="1"/>
  <c r="P21341" i="1"/>
  <c r="A21342" i="1"/>
  <c r="P21342" i="1"/>
  <c r="A21343" i="1"/>
  <c r="P21343" i="1"/>
  <c r="A21344" i="1"/>
  <c r="P21344" i="1"/>
  <c r="A21345" i="1"/>
  <c r="P21345" i="1"/>
  <c r="A21346" i="1"/>
  <c r="P21346" i="1"/>
  <c r="A21347" i="1"/>
  <c r="P21347" i="1"/>
  <c r="A21348" i="1"/>
  <c r="P21348" i="1"/>
  <c r="A21349" i="1"/>
  <c r="P21349" i="1"/>
  <c r="A21350" i="1"/>
  <c r="P21350" i="1"/>
  <c r="A21351" i="1"/>
  <c r="P21351" i="1"/>
  <c r="A21352" i="1"/>
  <c r="P21352" i="1"/>
  <c r="A21353" i="1"/>
  <c r="P21353" i="1"/>
  <c r="A21354" i="1"/>
  <c r="P21354" i="1"/>
  <c r="A21355" i="1"/>
  <c r="P21355" i="1"/>
  <c r="A21356" i="1"/>
  <c r="P21356" i="1"/>
  <c r="A21357" i="1"/>
  <c r="P21357" i="1"/>
  <c r="A21358" i="1"/>
  <c r="P21358" i="1"/>
  <c r="A21359" i="1"/>
  <c r="P21359" i="1"/>
  <c r="A21360" i="1"/>
  <c r="P21360" i="1"/>
  <c r="A21361" i="1"/>
  <c r="P21361" i="1"/>
  <c r="A21362" i="1"/>
  <c r="P21362" i="1"/>
  <c r="A21363" i="1"/>
  <c r="P21363" i="1"/>
  <c r="A21364" i="1"/>
  <c r="P21364" i="1"/>
  <c r="A21365" i="1"/>
  <c r="P21365" i="1"/>
  <c r="A21366" i="1"/>
  <c r="P21366" i="1"/>
  <c r="A21367" i="1"/>
  <c r="P21367" i="1"/>
  <c r="A21368" i="1"/>
  <c r="P21368" i="1"/>
  <c r="A21369" i="1"/>
  <c r="P21369" i="1"/>
  <c r="A21370" i="1"/>
  <c r="P21370" i="1"/>
  <c r="A21371" i="1"/>
  <c r="P21371" i="1"/>
  <c r="A21372" i="1"/>
  <c r="P21372" i="1"/>
  <c r="A21373" i="1"/>
  <c r="P21373" i="1"/>
  <c r="A21374" i="1"/>
  <c r="P21374" i="1"/>
  <c r="A21375" i="1"/>
  <c r="P21375" i="1"/>
  <c r="A21376" i="1"/>
  <c r="P21376" i="1"/>
  <c r="A21377" i="1"/>
  <c r="P21377" i="1"/>
  <c r="A21378" i="1"/>
  <c r="P21378" i="1"/>
  <c r="A21379" i="1"/>
  <c r="P21379" i="1"/>
  <c r="A21380" i="1"/>
  <c r="P21380" i="1"/>
  <c r="A21381" i="1"/>
  <c r="P21381" i="1"/>
  <c r="A21382" i="1"/>
  <c r="P21382" i="1"/>
  <c r="A21383" i="1"/>
  <c r="P21383" i="1"/>
  <c r="A21384" i="1"/>
  <c r="P21384" i="1"/>
  <c r="A21385" i="1"/>
  <c r="P21385" i="1"/>
  <c r="A21386" i="1"/>
  <c r="P21386" i="1"/>
  <c r="A21387" i="1"/>
  <c r="P21387" i="1"/>
  <c r="A21388" i="1"/>
  <c r="P21388" i="1"/>
  <c r="A21389" i="1"/>
  <c r="P21389" i="1"/>
  <c r="A21390" i="1"/>
  <c r="P21390" i="1"/>
  <c r="A21391" i="1"/>
  <c r="P21391" i="1"/>
  <c r="A21392" i="1"/>
  <c r="P21392" i="1"/>
  <c r="A21393" i="1"/>
  <c r="P21393" i="1"/>
  <c r="A21394" i="1"/>
  <c r="P21394" i="1"/>
  <c r="A21395" i="1"/>
  <c r="P21395" i="1"/>
  <c r="A21396" i="1"/>
  <c r="P21396" i="1"/>
  <c r="A21397" i="1"/>
  <c r="P21397" i="1"/>
  <c r="A21398" i="1"/>
  <c r="P21398" i="1"/>
  <c r="A21399" i="1"/>
  <c r="P21399" i="1"/>
  <c r="A21400" i="1"/>
  <c r="P21400" i="1"/>
  <c r="A21401" i="1"/>
  <c r="P21401" i="1"/>
  <c r="A21402" i="1"/>
  <c r="P21402" i="1"/>
  <c r="A21403" i="1"/>
  <c r="P21403" i="1"/>
  <c r="A21404" i="1"/>
  <c r="P21404" i="1"/>
  <c r="A21405" i="1"/>
  <c r="P21405" i="1"/>
  <c r="A21406" i="1"/>
  <c r="P21406" i="1"/>
  <c r="A21407" i="1"/>
  <c r="P21407" i="1"/>
  <c r="A21408" i="1"/>
  <c r="P21408" i="1"/>
  <c r="A21409" i="1"/>
  <c r="P21409" i="1"/>
  <c r="A21410" i="1"/>
  <c r="P21410" i="1"/>
  <c r="A21411" i="1"/>
  <c r="P21411" i="1"/>
  <c r="A21412" i="1"/>
  <c r="P21412" i="1"/>
  <c r="A21413" i="1"/>
  <c r="P21413" i="1"/>
  <c r="A21414" i="1"/>
  <c r="P21414" i="1"/>
  <c r="A21415" i="1"/>
  <c r="P21415" i="1"/>
  <c r="A21416" i="1"/>
  <c r="P21416" i="1"/>
  <c r="A21417" i="1"/>
  <c r="P21417" i="1"/>
  <c r="A21418" i="1"/>
  <c r="P21418" i="1"/>
  <c r="A21419" i="1"/>
  <c r="P21419" i="1"/>
  <c r="A21420" i="1"/>
  <c r="P21420" i="1"/>
  <c r="A21421" i="1"/>
  <c r="P21421" i="1"/>
  <c r="A21422" i="1"/>
  <c r="P21422" i="1"/>
  <c r="A21423" i="1"/>
  <c r="P21423" i="1"/>
  <c r="A21424" i="1"/>
  <c r="P21424" i="1"/>
  <c r="A21425" i="1"/>
  <c r="P21425" i="1"/>
  <c r="A21426" i="1"/>
  <c r="P21426" i="1"/>
  <c r="A21427" i="1"/>
  <c r="P21427" i="1"/>
  <c r="A21428" i="1"/>
  <c r="P21428" i="1"/>
  <c r="A21429" i="1"/>
  <c r="P21429" i="1"/>
  <c r="A21430" i="1"/>
  <c r="P21430" i="1"/>
  <c r="A21431" i="1"/>
  <c r="P21431" i="1"/>
  <c r="A21432" i="1"/>
  <c r="P21432" i="1"/>
  <c r="A21433" i="1"/>
  <c r="P21433" i="1"/>
  <c r="A21434" i="1"/>
  <c r="P21434" i="1"/>
  <c r="A21435" i="1"/>
  <c r="P21435" i="1"/>
  <c r="A21436" i="1"/>
  <c r="P21436" i="1"/>
  <c r="A21437" i="1"/>
  <c r="P21437" i="1"/>
  <c r="A21438" i="1"/>
  <c r="P21438" i="1"/>
  <c r="A21439" i="1"/>
  <c r="P21439" i="1"/>
  <c r="A21440" i="1"/>
  <c r="P21440" i="1"/>
  <c r="A21441" i="1"/>
  <c r="P21441" i="1"/>
  <c r="A21442" i="1"/>
  <c r="P21442" i="1"/>
  <c r="A21443" i="1"/>
  <c r="P21443" i="1"/>
  <c r="A21444" i="1"/>
  <c r="P21444" i="1"/>
  <c r="A21445" i="1"/>
  <c r="P21445" i="1"/>
  <c r="A21446" i="1"/>
  <c r="P21446" i="1"/>
  <c r="A21447" i="1"/>
  <c r="P21447" i="1"/>
  <c r="A21448" i="1"/>
  <c r="P21448" i="1"/>
  <c r="A21449" i="1"/>
  <c r="P21449" i="1"/>
  <c r="A21450" i="1"/>
  <c r="P21450" i="1"/>
  <c r="A21451" i="1"/>
  <c r="P21451" i="1"/>
  <c r="A21452" i="1"/>
  <c r="P21452" i="1"/>
  <c r="A21453" i="1"/>
  <c r="P21453" i="1"/>
  <c r="A21454" i="1"/>
  <c r="P21454" i="1"/>
  <c r="A21455" i="1"/>
  <c r="P21455" i="1"/>
  <c r="A21456" i="1"/>
  <c r="P21456" i="1"/>
  <c r="A21457" i="1"/>
  <c r="P21457" i="1"/>
  <c r="A21458" i="1"/>
  <c r="P21458" i="1"/>
  <c r="A21459" i="1"/>
  <c r="P21459" i="1"/>
  <c r="A21460" i="1"/>
  <c r="P21460" i="1"/>
  <c r="A21461" i="1"/>
  <c r="P21461" i="1"/>
  <c r="A21462" i="1"/>
  <c r="P21462" i="1"/>
  <c r="A21463" i="1"/>
  <c r="P21463" i="1"/>
  <c r="A21464" i="1"/>
  <c r="P21464" i="1"/>
  <c r="A21465" i="1"/>
  <c r="P21465" i="1"/>
  <c r="A21466" i="1"/>
  <c r="P21466" i="1"/>
  <c r="A21467" i="1"/>
  <c r="P21467" i="1"/>
  <c r="A21468" i="1"/>
  <c r="P21468" i="1"/>
  <c r="A21469" i="1"/>
  <c r="P21469" i="1"/>
  <c r="A21470" i="1"/>
  <c r="P21470" i="1"/>
  <c r="A21471" i="1"/>
  <c r="P21471" i="1"/>
  <c r="A21472" i="1"/>
  <c r="P21472" i="1"/>
  <c r="A21473" i="1"/>
  <c r="P21473" i="1"/>
  <c r="A21474" i="1"/>
  <c r="P21474" i="1"/>
  <c r="A21475" i="1"/>
  <c r="P21475" i="1"/>
  <c r="A21476" i="1"/>
  <c r="P21476" i="1"/>
  <c r="A21477" i="1"/>
  <c r="P21477" i="1"/>
  <c r="A21478" i="1"/>
  <c r="P21478" i="1"/>
  <c r="A21479" i="1"/>
  <c r="P21479" i="1"/>
  <c r="A21480" i="1"/>
  <c r="P21480" i="1"/>
  <c r="A21481" i="1"/>
  <c r="P21481" i="1"/>
  <c r="A21482" i="1"/>
  <c r="P21482" i="1"/>
  <c r="A21483" i="1"/>
  <c r="P21483" i="1"/>
  <c r="A21484" i="1"/>
  <c r="P21484" i="1"/>
  <c r="A21485" i="1"/>
  <c r="P21485" i="1"/>
  <c r="A21486" i="1"/>
  <c r="P21486" i="1"/>
  <c r="A21487" i="1"/>
  <c r="P21487" i="1"/>
  <c r="A21488" i="1"/>
  <c r="P21488" i="1"/>
  <c r="A21489" i="1"/>
  <c r="P21489" i="1"/>
  <c r="A21490" i="1"/>
  <c r="P21490" i="1"/>
  <c r="A21491" i="1"/>
  <c r="P21491" i="1"/>
  <c r="A21492" i="1"/>
  <c r="P21492" i="1"/>
  <c r="A21493" i="1"/>
  <c r="P21493" i="1"/>
  <c r="A21494" i="1"/>
  <c r="P21494" i="1"/>
  <c r="A21495" i="1"/>
  <c r="P21495" i="1"/>
  <c r="A21496" i="1"/>
  <c r="P21496" i="1"/>
  <c r="A21497" i="1"/>
  <c r="P21497" i="1"/>
  <c r="A21498" i="1"/>
  <c r="P21498" i="1"/>
  <c r="A21499" i="1"/>
  <c r="P21499" i="1"/>
  <c r="A21500" i="1"/>
  <c r="P21500" i="1"/>
  <c r="A21501" i="1"/>
  <c r="P21501" i="1"/>
  <c r="A21502" i="1"/>
  <c r="P21502" i="1"/>
  <c r="A21503" i="1"/>
  <c r="P21503" i="1"/>
  <c r="A21504" i="1"/>
  <c r="P21504" i="1"/>
  <c r="A21505" i="1"/>
  <c r="P21505" i="1"/>
  <c r="A21506" i="1"/>
  <c r="P21506" i="1"/>
  <c r="A21507" i="1"/>
  <c r="P21507" i="1"/>
  <c r="A21508" i="1"/>
  <c r="P21508" i="1"/>
  <c r="A21509" i="1"/>
  <c r="P21509" i="1"/>
  <c r="A21510" i="1"/>
  <c r="P21510" i="1"/>
  <c r="A21511" i="1"/>
  <c r="P21511" i="1"/>
  <c r="A21512" i="1"/>
  <c r="P21512" i="1"/>
  <c r="A21513" i="1"/>
  <c r="P21513" i="1"/>
  <c r="A21514" i="1"/>
  <c r="P21514" i="1"/>
  <c r="A21515" i="1"/>
  <c r="P21515" i="1"/>
  <c r="A21516" i="1"/>
  <c r="P21516" i="1"/>
  <c r="A21517" i="1"/>
  <c r="P21517" i="1"/>
  <c r="A21518" i="1"/>
  <c r="P21518" i="1"/>
  <c r="A21519" i="1"/>
  <c r="P21519" i="1"/>
  <c r="A21520" i="1"/>
  <c r="P21520" i="1"/>
  <c r="A21521" i="1"/>
  <c r="P21521" i="1"/>
  <c r="A21522" i="1"/>
  <c r="P21522" i="1"/>
  <c r="A21523" i="1"/>
  <c r="P21523" i="1"/>
  <c r="A21524" i="1"/>
  <c r="P21524" i="1"/>
  <c r="A21525" i="1"/>
  <c r="P21525" i="1"/>
  <c r="A21526" i="1"/>
  <c r="P21526" i="1"/>
  <c r="A21527" i="1"/>
  <c r="P21527" i="1"/>
  <c r="A21528" i="1"/>
  <c r="P21528" i="1"/>
  <c r="A21529" i="1"/>
  <c r="P21529" i="1"/>
  <c r="A21530" i="1"/>
  <c r="P21530" i="1"/>
  <c r="A21531" i="1"/>
  <c r="P21531" i="1"/>
  <c r="A21532" i="1"/>
  <c r="P21532" i="1"/>
  <c r="A21533" i="1"/>
  <c r="P21533" i="1"/>
  <c r="A21534" i="1"/>
  <c r="P21534" i="1"/>
  <c r="A21535" i="1"/>
  <c r="P21535" i="1"/>
  <c r="A21536" i="1"/>
  <c r="P21536" i="1"/>
  <c r="A21537" i="1"/>
  <c r="P21537" i="1"/>
  <c r="A21538" i="1"/>
  <c r="P21538" i="1"/>
  <c r="A21539" i="1"/>
  <c r="P21539" i="1"/>
  <c r="A21540" i="1"/>
  <c r="P21540" i="1"/>
  <c r="A21541" i="1"/>
  <c r="P21541" i="1"/>
  <c r="A21542" i="1"/>
  <c r="P21542" i="1"/>
  <c r="A21543" i="1"/>
  <c r="P21543" i="1"/>
  <c r="A21544" i="1"/>
  <c r="P21544" i="1"/>
  <c r="A21545" i="1"/>
  <c r="P21545" i="1"/>
  <c r="A21546" i="1"/>
  <c r="P21546" i="1"/>
  <c r="A21547" i="1"/>
  <c r="P21547" i="1"/>
  <c r="A21548" i="1"/>
  <c r="P21548" i="1"/>
  <c r="A21549" i="1"/>
  <c r="P21549" i="1"/>
  <c r="A21550" i="1"/>
  <c r="P21550" i="1"/>
  <c r="A21551" i="1"/>
  <c r="P21551" i="1"/>
  <c r="A21552" i="1"/>
  <c r="P21552" i="1"/>
  <c r="A21553" i="1"/>
  <c r="P21553" i="1"/>
  <c r="A21554" i="1"/>
  <c r="P21554" i="1"/>
  <c r="A21555" i="1"/>
  <c r="P21555" i="1"/>
  <c r="A21556" i="1"/>
  <c r="P21556" i="1"/>
  <c r="A21557" i="1"/>
  <c r="P21557" i="1"/>
  <c r="A21558" i="1"/>
  <c r="P21558" i="1"/>
  <c r="A21559" i="1"/>
  <c r="P21559" i="1"/>
  <c r="A21560" i="1"/>
  <c r="P21560" i="1"/>
  <c r="A21561" i="1"/>
  <c r="P21561" i="1"/>
  <c r="A21562" i="1"/>
  <c r="P21562" i="1"/>
  <c r="A21563" i="1"/>
  <c r="P21563" i="1"/>
  <c r="A21564" i="1"/>
  <c r="P21564" i="1"/>
  <c r="A21565" i="1"/>
  <c r="P21565" i="1"/>
  <c r="A21566" i="1"/>
  <c r="P21566" i="1"/>
  <c r="A21567" i="1"/>
  <c r="P21567" i="1"/>
  <c r="A21568" i="1"/>
  <c r="P21568" i="1"/>
  <c r="A21569" i="1"/>
  <c r="P21569" i="1"/>
  <c r="A21570" i="1"/>
  <c r="P21570" i="1"/>
  <c r="A21571" i="1"/>
  <c r="P21571" i="1"/>
  <c r="A21572" i="1"/>
  <c r="P21572" i="1"/>
  <c r="A21573" i="1"/>
  <c r="P21573" i="1"/>
  <c r="A21574" i="1"/>
  <c r="P21574" i="1"/>
  <c r="A21575" i="1"/>
  <c r="P21575" i="1"/>
  <c r="A21576" i="1"/>
  <c r="P21576" i="1"/>
  <c r="A21577" i="1"/>
  <c r="P21577" i="1"/>
  <c r="A21578" i="1"/>
  <c r="P21578" i="1"/>
  <c r="A21579" i="1"/>
  <c r="P21579" i="1"/>
  <c r="A21580" i="1"/>
  <c r="P21580" i="1"/>
  <c r="A21581" i="1"/>
  <c r="P21581" i="1"/>
  <c r="A21582" i="1"/>
  <c r="P21582" i="1"/>
  <c r="A21583" i="1"/>
  <c r="P21583" i="1"/>
  <c r="A21584" i="1"/>
  <c r="P21584" i="1"/>
  <c r="A21585" i="1"/>
  <c r="P21585" i="1"/>
  <c r="A21586" i="1"/>
  <c r="P21586" i="1"/>
  <c r="A21587" i="1"/>
  <c r="P21587" i="1"/>
  <c r="A21588" i="1"/>
  <c r="P21588" i="1"/>
  <c r="A21589" i="1"/>
  <c r="P21589" i="1"/>
  <c r="A21590" i="1"/>
  <c r="P21590" i="1"/>
  <c r="A21591" i="1"/>
  <c r="P21591" i="1"/>
  <c r="A21592" i="1"/>
  <c r="P21592" i="1"/>
  <c r="A21593" i="1"/>
  <c r="P21593" i="1"/>
  <c r="A21594" i="1"/>
  <c r="P21594" i="1"/>
  <c r="A21595" i="1"/>
  <c r="P21595" i="1"/>
  <c r="A21596" i="1"/>
  <c r="P21596" i="1"/>
  <c r="A21597" i="1"/>
  <c r="P21597" i="1"/>
  <c r="A21598" i="1"/>
  <c r="P21598" i="1"/>
  <c r="A21599" i="1"/>
  <c r="P21599" i="1"/>
  <c r="A21600" i="1"/>
  <c r="P21600" i="1"/>
  <c r="A21601" i="1"/>
  <c r="P21601" i="1"/>
  <c r="A21602" i="1"/>
  <c r="P21602" i="1"/>
  <c r="A21603" i="1"/>
  <c r="P21603" i="1"/>
  <c r="A21604" i="1"/>
  <c r="P21604" i="1"/>
  <c r="A21605" i="1"/>
  <c r="P21605" i="1"/>
  <c r="A21606" i="1"/>
  <c r="P21606" i="1"/>
  <c r="A21607" i="1"/>
  <c r="P21607" i="1"/>
  <c r="A21608" i="1"/>
  <c r="P21608" i="1"/>
  <c r="A21609" i="1"/>
  <c r="P21609" i="1"/>
  <c r="A21610" i="1"/>
  <c r="P21610" i="1"/>
  <c r="A21611" i="1"/>
  <c r="P21611" i="1"/>
  <c r="A21612" i="1"/>
  <c r="P21612" i="1"/>
  <c r="A21613" i="1"/>
  <c r="P21613" i="1"/>
  <c r="A21614" i="1"/>
  <c r="P21614" i="1"/>
  <c r="A21615" i="1"/>
  <c r="P21615" i="1"/>
  <c r="A21616" i="1"/>
  <c r="P21616" i="1"/>
  <c r="A21617" i="1"/>
  <c r="P21617" i="1"/>
  <c r="A21618" i="1"/>
  <c r="P21618" i="1"/>
  <c r="A21619" i="1"/>
  <c r="P21619" i="1"/>
  <c r="A21620" i="1"/>
  <c r="P21620" i="1"/>
  <c r="A21621" i="1"/>
  <c r="P21621" i="1"/>
  <c r="A21622" i="1"/>
  <c r="P21622" i="1"/>
  <c r="A21623" i="1"/>
  <c r="P21623" i="1"/>
  <c r="A21624" i="1"/>
  <c r="P21624" i="1"/>
  <c r="A21625" i="1"/>
  <c r="P21625" i="1"/>
  <c r="A21626" i="1"/>
  <c r="P21626" i="1"/>
  <c r="A21627" i="1"/>
  <c r="P21627" i="1"/>
  <c r="A21628" i="1"/>
  <c r="P21628" i="1"/>
  <c r="A21629" i="1"/>
  <c r="P21629" i="1"/>
  <c r="A21630" i="1"/>
  <c r="P21630" i="1"/>
  <c r="A21631" i="1"/>
  <c r="P21631" i="1"/>
  <c r="A21632" i="1"/>
  <c r="P21632" i="1"/>
  <c r="A21633" i="1"/>
  <c r="P21633" i="1"/>
  <c r="A21634" i="1"/>
  <c r="P21634" i="1"/>
  <c r="A21635" i="1"/>
  <c r="P21635" i="1"/>
  <c r="A21636" i="1"/>
  <c r="P21636" i="1"/>
  <c r="A21637" i="1"/>
  <c r="P21637" i="1"/>
  <c r="A21638" i="1"/>
  <c r="P21638" i="1"/>
  <c r="A21639" i="1"/>
  <c r="P21639" i="1"/>
  <c r="A21640" i="1"/>
  <c r="P21640" i="1"/>
  <c r="A21641" i="1"/>
  <c r="P21641" i="1"/>
  <c r="A21642" i="1"/>
  <c r="P21642" i="1"/>
  <c r="A21643" i="1"/>
  <c r="P21643" i="1"/>
  <c r="A21644" i="1"/>
  <c r="P21644" i="1"/>
  <c r="A21645" i="1"/>
  <c r="P21645" i="1"/>
  <c r="A21646" i="1"/>
  <c r="P21646" i="1"/>
  <c r="A21647" i="1"/>
  <c r="P21647" i="1"/>
  <c r="A21648" i="1"/>
  <c r="P21648" i="1"/>
  <c r="A21649" i="1"/>
  <c r="P21649" i="1"/>
  <c r="A21650" i="1"/>
  <c r="P21650" i="1"/>
  <c r="A21651" i="1"/>
  <c r="P21651" i="1"/>
  <c r="A21652" i="1"/>
  <c r="P21652" i="1"/>
  <c r="A21653" i="1"/>
  <c r="P21653" i="1"/>
  <c r="A21654" i="1"/>
  <c r="P21654" i="1"/>
  <c r="A21655" i="1"/>
  <c r="P21655" i="1"/>
  <c r="A21656" i="1"/>
  <c r="P21656" i="1"/>
  <c r="A21657" i="1"/>
  <c r="P21657" i="1"/>
  <c r="A21658" i="1"/>
  <c r="P21658" i="1"/>
  <c r="A21659" i="1"/>
  <c r="P21659" i="1"/>
  <c r="A21660" i="1"/>
  <c r="P21660" i="1"/>
  <c r="A21661" i="1"/>
  <c r="P21661" i="1"/>
  <c r="A21662" i="1"/>
  <c r="P21662" i="1"/>
  <c r="A21663" i="1"/>
  <c r="P21663" i="1"/>
  <c r="A21664" i="1"/>
  <c r="P21664" i="1"/>
  <c r="A21665" i="1"/>
  <c r="P21665" i="1"/>
  <c r="A21666" i="1"/>
  <c r="P21666" i="1"/>
  <c r="A21667" i="1"/>
  <c r="P21667" i="1"/>
  <c r="A21668" i="1"/>
  <c r="P21668" i="1"/>
  <c r="A21669" i="1"/>
  <c r="P21669" i="1"/>
  <c r="A21670" i="1"/>
  <c r="P21670" i="1"/>
  <c r="A21671" i="1"/>
  <c r="P21671" i="1"/>
  <c r="A21672" i="1"/>
  <c r="P21672" i="1"/>
  <c r="A21673" i="1"/>
  <c r="P21673" i="1"/>
  <c r="A21674" i="1"/>
  <c r="P21674" i="1"/>
  <c r="A21675" i="1"/>
  <c r="P21675" i="1"/>
  <c r="A21676" i="1"/>
  <c r="P21676" i="1"/>
  <c r="A21677" i="1"/>
  <c r="P21677" i="1"/>
  <c r="A21678" i="1"/>
  <c r="P21678" i="1"/>
  <c r="A21679" i="1"/>
  <c r="P21679" i="1"/>
  <c r="A21680" i="1"/>
  <c r="P21680" i="1"/>
  <c r="A21681" i="1"/>
  <c r="P21681" i="1"/>
  <c r="A21682" i="1"/>
  <c r="P21682" i="1"/>
  <c r="A21683" i="1"/>
  <c r="P21683" i="1"/>
  <c r="A21684" i="1"/>
  <c r="P21684" i="1"/>
  <c r="A21685" i="1"/>
  <c r="P21685" i="1"/>
  <c r="A21686" i="1"/>
  <c r="P21686" i="1"/>
  <c r="A21687" i="1"/>
  <c r="P21687" i="1"/>
  <c r="A21688" i="1"/>
  <c r="P21688" i="1"/>
  <c r="A21689" i="1"/>
  <c r="P21689" i="1"/>
  <c r="A21690" i="1"/>
  <c r="P21690" i="1"/>
  <c r="A21691" i="1"/>
  <c r="P21691" i="1"/>
  <c r="A21692" i="1"/>
  <c r="P21692" i="1"/>
  <c r="A21693" i="1"/>
  <c r="P21693" i="1"/>
  <c r="A21694" i="1"/>
  <c r="P21694" i="1"/>
  <c r="A21695" i="1"/>
  <c r="P21695" i="1"/>
  <c r="A21696" i="1"/>
  <c r="P21696" i="1"/>
  <c r="A21697" i="1"/>
  <c r="P21697" i="1"/>
  <c r="A21698" i="1"/>
  <c r="P21698" i="1"/>
  <c r="A21699" i="1"/>
  <c r="P21699" i="1"/>
  <c r="A21700" i="1"/>
  <c r="P21700" i="1"/>
  <c r="A21701" i="1"/>
  <c r="P21701" i="1"/>
  <c r="A21702" i="1"/>
  <c r="P21702" i="1"/>
  <c r="A21703" i="1"/>
  <c r="P21703" i="1"/>
  <c r="A21704" i="1"/>
  <c r="P21704" i="1"/>
  <c r="A21705" i="1"/>
  <c r="P21705" i="1"/>
  <c r="A21706" i="1"/>
  <c r="P21706" i="1"/>
  <c r="A21707" i="1"/>
  <c r="P21707" i="1"/>
  <c r="A21708" i="1"/>
  <c r="P21708" i="1"/>
  <c r="A21709" i="1"/>
  <c r="P21709" i="1"/>
  <c r="A21710" i="1"/>
  <c r="P21710" i="1"/>
  <c r="A21711" i="1"/>
  <c r="P21711" i="1"/>
  <c r="A21712" i="1"/>
  <c r="P21712" i="1"/>
  <c r="A21713" i="1"/>
  <c r="P21713" i="1"/>
  <c r="A21714" i="1"/>
  <c r="P21714" i="1"/>
  <c r="A21715" i="1"/>
  <c r="P21715" i="1"/>
  <c r="A21716" i="1"/>
  <c r="P21716" i="1"/>
  <c r="A21717" i="1"/>
  <c r="P21717" i="1"/>
  <c r="A21718" i="1"/>
  <c r="P21718" i="1"/>
  <c r="A21719" i="1"/>
  <c r="P21719" i="1"/>
  <c r="A21720" i="1"/>
  <c r="P21720" i="1"/>
  <c r="A21721" i="1"/>
  <c r="P21721" i="1"/>
  <c r="A21722" i="1"/>
  <c r="P21722" i="1"/>
  <c r="A21723" i="1"/>
  <c r="P21723" i="1"/>
  <c r="A21724" i="1"/>
  <c r="P21724" i="1"/>
  <c r="A21725" i="1"/>
  <c r="P21725" i="1"/>
  <c r="A21726" i="1"/>
  <c r="P21726" i="1"/>
  <c r="A21727" i="1"/>
  <c r="P21727" i="1"/>
  <c r="A21728" i="1"/>
  <c r="P21728" i="1"/>
  <c r="A21729" i="1"/>
  <c r="P21729" i="1"/>
  <c r="A21730" i="1"/>
  <c r="P21730" i="1"/>
  <c r="A21731" i="1"/>
  <c r="P21731" i="1"/>
  <c r="A21732" i="1"/>
  <c r="P21732" i="1"/>
  <c r="A21733" i="1"/>
  <c r="P21733" i="1"/>
  <c r="A21734" i="1"/>
  <c r="P21734" i="1"/>
  <c r="A21735" i="1"/>
  <c r="P21735" i="1"/>
  <c r="A21736" i="1"/>
  <c r="P21736" i="1"/>
  <c r="A21737" i="1"/>
  <c r="P21737" i="1"/>
  <c r="A21738" i="1"/>
  <c r="P21738" i="1"/>
  <c r="A21739" i="1"/>
  <c r="P21739" i="1"/>
  <c r="A21740" i="1"/>
  <c r="P21740" i="1"/>
  <c r="A21741" i="1"/>
  <c r="P21741" i="1"/>
  <c r="A21742" i="1"/>
  <c r="P21742" i="1"/>
  <c r="A21743" i="1"/>
  <c r="P21743" i="1"/>
  <c r="A21744" i="1"/>
  <c r="P21744" i="1"/>
  <c r="A21745" i="1"/>
  <c r="P21745" i="1"/>
  <c r="A21746" i="1"/>
  <c r="P21746" i="1"/>
  <c r="A21747" i="1"/>
  <c r="P21747" i="1"/>
  <c r="A21748" i="1"/>
  <c r="P21748" i="1"/>
  <c r="A21749" i="1"/>
  <c r="P21749" i="1"/>
  <c r="A21750" i="1"/>
  <c r="P21750" i="1"/>
  <c r="A21751" i="1"/>
  <c r="P21751" i="1"/>
  <c r="A21752" i="1"/>
  <c r="P21752" i="1"/>
  <c r="A21753" i="1"/>
  <c r="P21753" i="1"/>
  <c r="A21754" i="1"/>
  <c r="P21754" i="1"/>
  <c r="A21755" i="1"/>
  <c r="P21755" i="1"/>
  <c r="A21756" i="1"/>
  <c r="P21756" i="1"/>
  <c r="A21757" i="1"/>
  <c r="P21757" i="1"/>
  <c r="A21758" i="1"/>
  <c r="P21758" i="1"/>
  <c r="A21759" i="1"/>
  <c r="P21759" i="1"/>
  <c r="A21760" i="1"/>
  <c r="P21760" i="1"/>
  <c r="A21761" i="1"/>
  <c r="P21761" i="1"/>
  <c r="A21762" i="1"/>
  <c r="P21762" i="1"/>
  <c r="A21763" i="1"/>
  <c r="P21763" i="1"/>
  <c r="A21764" i="1"/>
  <c r="P21764" i="1"/>
  <c r="A21765" i="1"/>
  <c r="P21765" i="1"/>
  <c r="A21766" i="1"/>
  <c r="P21766" i="1"/>
  <c r="A21767" i="1"/>
  <c r="P21767" i="1"/>
  <c r="A21768" i="1"/>
  <c r="P21768" i="1"/>
  <c r="A21769" i="1"/>
  <c r="P21769" i="1"/>
  <c r="A21770" i="1"/>
  <c r="P21770" i="1"/>
  <c r="A21771" i="1"/>
  <c r="P21771" i="1"/>
  <c r="A21772" i="1"/>
  <c r="P21772" i="1"/>
  <c r="A21773" i="1"/>
  <c r="P21773" i="1"/>
  <c r="A21774" i="1"/>
  <c r="P21774" i="1"/>
  <c r="A21775" i="1"/>
  <c r="P21775" i="1"/>
  <c r="A21776" i="1"/>
  <c r="P21776" i="1"/>
  <c r="A21777" i="1"/>
  <c r="P21777" i="1"/>
  <c r="A21778" i="1"/>
  <c r="P21778" i="1"/>
  <c r="A21779" i="1"/>
  <c r="P21779" i="1"/>
  <c r="A21780" i="1"/>
  <c r="P21780" i="1"/>
  <c r="A21781" i="1"/>
  <c r="P21781" i="1"/>
  <c r="A21782" i="1"/>
  <c r="P21782" i="1"/>
  <c r="A21783" i="1"/>
  <c r="P21783" i="1"/>
  <c r="A21784" i="1"/>
  <c r="P21784" i="1"/>
  <c r="A21785" i="1"/>
  <c r="P21785" i="1"/>
  <c r="A21786" i="1"/>
  <c r="P21786" i="1"/>
  <c r="A21787" i="1"/>
  <c r="P21787" i="1"/>
  <c r="A21788" i="1"/>
  <c r="P21788" i="1"/>
  <c r="A21789" i="1"/>
  <c r="P21789" i="1"/>
  <c r="A21790" i="1"/>
  <c r="P21790" i="1"/>
  <c r="A21791" i="1"/>
  <c r="P21791" i="1"/>
  <c r="A21792" i="1"/>
  <c r="P21792" i="1"/>
  <c r="A21793" i="1"/>
  <c r="P21793" i="1"/>
  <c r="A21794" i="1"/>
  <c r="P21794" i="1"/>
  <c r="A21795" i="1"/>
  <c r="P21795" i="1"/>
  <c r="A21796" i="1"/>
  <c r="P21796" i="1"/>
  <c r="A21797" i="1"/>
  <c r="P21797" i="1"/>
  <c r="A21798" i="1"/>
  <c r="P21798" i="1"/>
  <c r="A21799" i="1"/>
  <c r="P21799" i="1"/>
  <c r="A21800" i="1"/>
  <c r="P21800" i="1"/>
  <c r="A21801" i="1"/>
  <c r="P21801" i="1"/>
  <c r="A21802" i="1"/>
  <c r="P21802" i="1"/>
  <c r="A21803" i="1"/>
  <c r="P21803" i="1"/>
  <c r="A21804" i="1"/>
  <c r="P21804" i="1"/>
  <c r="A21805" i="1"/>
  <c r="P21805" i="1"/>
  <c r="A21806" i="1"/>
  <c r="P21806" i="1"/>
  <c r="A21807" i="1"/>
  <c r="P21807" i="1"/>
  <c r="A21808" i="1"/>
  <c r="P21808" i="1"/>
  <c r="A21809" i="1"/>
  <c r="P21809" i="1"/>
  <c r="A21810" i="1"/>
  <c r="P21810" i="1"/>
  <c r="A21811" i="1"/>
  <c r="P21811" i="1"/>
  <c r="A21812" i="1"/>
  <c r="P21812" i="1"/>
  <c r="A21813" i="1"/>
  <c r="P21813" i="1"/>
  <c r="A21814" i="1"/>
  <c r="P21814" i="1"/>
  <c r="A21815" i="1"/>
  <c r="P21815" i="1"/>
  <c r="A21816" i="1"/>
  <c r="P21816" i="1"/>
  <c r="A21817" i="1"/>
  <c r="P21817" i="1"/>
  <c r="A21818" i="1"/>
  <c r="P21818" i="1"/>
  <c r="A21819" i="1"/>
  <c r="P21819" i="1"/>
  <c r="A21820" i="1"/>
  <c r="P21820" i="1"/>
  <c r="A21821" i="1"/>
  <c r="P21821" i="1"/>
  <c r="A21822" i="1"/>
  <c r="P21822" i="1"/>
  <c r="A21823" i="1"/>
  <c r="P21823" i="1"/>
  <c r="A21824" i="1"/>
  <c r="P21824" i="1"/>
  <c r="A21825" i="1"/>
  <c r="P21825" i="1"/>
  <c r="A21826" i="1"/>
  <c r="P21826" i="1"/>
  <c r="A21827" i="1"/>
  <c r="P21827" i="1"/>
  <c r="A21828" i="1"/>
  <c r="P21828" i="1"/>
  <c r="A21829" i="1"/>
  <c r="P21829" i="1"/>
  <c r="A21830" i="1"/>
  <c r="P21830" i="1"/>
  <c r="A21831" i="1"/>
  <c r="P21831" i="1"/>
  <c r="A21832" i="1"/>
  <c r="P21832" i="1"/>
  <c r="A21833" i="1"/>
  <c r="P21833" i="1"/>
  <c r="A21834" i="1"/>
  <c r="P21834" i="1"/>
  <c r="A21835" i="1"/>
  <c r="P21835" i="1"/>
  <c r="A21836" i="1"/>
  <c r="P21836" i="1"/>
  <c r="A21837" i="1"/>
  <c r="P21837" i="1"/>
  <c r="A21838" i="1"/>
  <c r="P21838" i="1"/>
  <c r="A21839" i="1"/>
  <c r="P21839" i="1"/>
  <c r="A21840" i="1"/>
  <c r="P21840" i="1"/>
  <c r="A21841" i="1"/>
  <c r="P21841" i="1"/>
  <c r="A21842" i="1"/>
  <c r="P21842" i="1"/>
  <c r="A21843" i="1"/>
  <c r="P21843" i="1"/>
  <c r="A21844" i="1"/>
  <c r="P21844" i="1"/>
  <c r="A21845" i="1"/>
  <c r="P21845" i="1"/>
  <c r="A21846" i="1"/>
  <c r="P21846" i="1"/>
  <c r="A21847" i="1"/>
  <c r="P21847" i="1"/>
  <c r="A21848" i="1"/>
  <c r="P21848" i="1"/>
  <c r="A21849" i="1"/>
  <c r="P21849" i="1"/>
  <c r="A21850" i="1"/>
  <c r="P21850" i="1"/>
  <c r="A21851" i="1"/>
  <c r="P21851" i="1"/>
  <c r="A21852" i="1"/>
  <c r="P21852" i="1"/>
  <c r="A21853" i="1"/>
  <c r="P21853" i="1"/>
  <c r="A21854" i="1"/>
  <c r="P21854" i="1"/>
  <c r="A21855" i="1"/>
  <c r="P21855" i="1"/>
  <c r="A21856" i="1"/>
  <c r="P21856" i="1"/>
  <c r="A21857" i="1"/>
  <c r="P21857" i="1"/>
  <c r="A21858" i="1"/>
  <c r="P21858" i="1"/>
  <c r="A21859" i="1"/>
  <c r="P21859" i="1"/>
  <c r="A21860" i="1"/>
  <c r="P21860" i="1"/>
  <c r="A21861" i="1"/>
  <c r="P21861" i="1"/>
  <c r="A21862" i="1"/>
  <c r="P21862" i="1"/>
  <c r="A21863" i="1"/>
  <c r="P21863" i="1"/>
  <c r="A21864" i="1"/>
  <c r="P21864" i="1"/>
  <c r="A21865" i="1"/>
  <c r="P21865" i="1"/>
  <c r="A21866" i="1"/>
  <c r="P21866" i="1"/>
  <c r="A21867" i="1"/>
  <c r="P21867" i="1"/>
  <c r="A21868" i="1"/>
  <c r="P21868" i="1"/>
  <c r="A21869" i="1"/>
  <c r="P21869" i="1"/>
  <c r="A21870" i="1"/>
  <c r="P21870" i="1"/>
  <c r="A21871" i="1"/>
  <c r="P21871" i="1"/>
  <c r="A21872" i="1"/>
  <c r="P21872" i="1"/>
  <c r="A21873" i="1"/>
  <c r="P21873" i="1"/>
  <c r="A21874" i="1"/>
  <c r="P21874" i="1"/>
  <c r="A21875" i="1"/>
  <c r="P21875" i="1"/>
  <c r="A21876" i="1"/>
  <c r="P21876" i="1"/>
  <c r="A21877" i="1"/>
  <c r="P21877" i="1"/>
  <c r="A21878" i="1"/>
  <c r="P21878" i="1"/>
  <c r="A21879" i="1"/>
  <c r="P21879" i="1"/>
  <c r="A21880" i="1"/>
  <c r="P21880" i="1"/>
  <c r="A21881" i="1"/>
  <c r="P21881" i="1"/>
  <c r="A21882" i="1"/>
  <c r="P21882" i="1"/>
  <c r="A21883" i="1"/>
  <c r="P21883" i="1"/>
  <c r="A21884" i="1"/>
  <c r="P21884" i="1"/>
  <c r="A21885" i="1"/>
  <c r="P21885" i="1"/>
  <c r="A21886" i="1"/>
  <c r="P21886" i="1"/>
  <c r="A21887" i="1"/>
  <c r="P21887" i="1"/>
  <c r="A21888" i="1"/>
  <c r="P21888" i="1"/>
  <c r="A21889" i="1"/>
  <c r="P21889" i="1"/>
  <c r="A21890" i="1"/>
  <c r="P21890" i="1"/>
  <c r="A21891" i="1"/>
  <c r="P21891" i="1"/>
  <c r="A21892" i="1"/>
  <c r="P21892" i="1"/>
  <c r="A21893" i="1"/>
  <c r="P21893" i="1"/>
  <c r="A21894" i="1"/>
  <c r="P21894" i="1"/>
  <c r="A21895" i="1"/>
  <c r="P21895" i="1"/>
  <c r="A21896" i="1"/>
  <c r="P21896" i="1"/>
  <c r="A21897" i="1"/>
  <c r="P21897" i="1"/>
  <c r="A21898" i="1"/>
  <c r="P21898" i="1"/>
  <c r="A21899" i="1"/>
  <c r="P21899" i="1"/>
  <c r="A21900" i="1"/>
  <c r="P21900" i="1"/>
  <c r="A21901" i="1"/>
  <c r="P21901" i="1"/>
  <c r="A21902" i="1"/>
  <c r="P21902" i="1"/>
  <c r="A21903" i="1"/>
  <c r="P21903" i="1"/>
  <c r="A21904" i="1"/>
  <c r="P21904" i="1"/>
  <c r="A21905" i="1"/>
  <c r="P21905" i="1"/>
  <c r="A21906" i="1"/>
  <c r="P21906" i="1"/>
  <c r="A21907" i="1"/>
  <c r="P21907" i="1"/>
  <c r="A21908" i="1"/>
  <c r="P21908" i="1"/>
  <c r="A21909" i="1"/>
  <c r="P21909" i="1"/>
  <c r="A21910" i="1"/>
  <c r="P21910" i="1"/>
  <c r="A21911" i="1"/>
  <c r="P21911" i="1"/>
  <c r="A21912" i="1"/>
  <c r="P21912" i="1"/>
  <c r="A21913" i="1"/>
  <c r="P21913" i="1"/>
  <c r="A21914" i="1"/>
  <c r="P21914" i="1"/>
  <c r="A21915" i="1"/>
  <c r="P21915" i="1"/>
  <c r="A21916" i="1"/>
  <c r="P21916" i="1"/>
  <c r="A21917" i="1"/>
  <c r="P21917" i="1"/>
  <c r="A21918" i="1"/>
  <c r="P21918" i="1"/>
  <c r="A21919" i="1"/>
  <c r="P21919" i="1"/>
  <c r="A21920" i="1"/>
  <c r="P21920" i="1"/>
  <c r="A21921" i="1"/>
  <c r="P21921" i="1"/>
  <c r="A21922" i="1"/>
  <c r="P21922" i="1"/>
  <c r="A21923" i="1"/>
  <c r="P21923" i="1"/>
  <c r="A21924" i="1"/>
  <c r="P21924" i="1"/>
  <c r="A21925" i="1"/>
  <c r="P21925" i="1"/>
  <c r="A21926" i="1"/>
  <c r="P21926" i="1"/>
  <c r="A21927" i="1"/>
  <c r="P21927" i="1"/>
  <c r="A21928" i="1"/>
  <c r="P21928" i="1"/>
  <c r="A21929" i="1"/>
  <c r="P21929" i="1"/>
  <c r="A21930" i="1"/>
  <c r="P21930" i="1"/>
  <c r="A21931" i="1"/>
  <c r="P21931" i="1"/>
  <c r="A21932" i="1"/>
  <c r="P21932" i="1"/>
  <c r="A21933" i="1"/>
  <c r="P21933" i="1"/>
  <c r="A21934" i="1"/>
  <c r="P21934" i="1"/>
  <c r="A21935" i="1"/>
  <c r="P21935" i="1"/>
  <c r="A21936" i="1"/>
  <c r="P21936" i="1"/>
  <c r="A21937" i="1"/>
  <c r="P21937" i="1"/>
  <c r="A21938" i="1"/>
  <c r="P21938" i="1"/>
  <c r="A21939" i="1"/>
  <c r="P21939" i="1"/>
  <c r="A21940" i="1"/>
  <c r="P21940" i="1"/>
  <c r="A21941" i="1"/>
  <c r="P21941" i="1"/>
  <c r="A21942" i="1"/>
  <c r="P21942" i="1"/>
  <c r="A21943" i="1"/>
  <c r="P21943" i="1"/>
  <c r="A21944" i="1"/>
  <c r="P21944" i="1"/>
  <c r="A21945" i="1"/>
  <c r="P21945" i="1"/>
  <c r="A21946" i="1"/>
  <c r="P21946" i="1"/>
  <c r="A21947" i="1"/>
  <c r="P21947" i="1"/>
  <c r="A21948" i="1"/>
  <c r="P21948" i="1"/>
  <c r="A21949" i="1"/>
  <c r="P21949" i="1"/>
  <c r="A21950" i="1"/>
  <c r="P21950" i="1"/>
  <c r="A21951" i="1"/>
  <c r="P21951" i="1"/>
  <c r="A21952" i="1"/>
  <c r="P21952" i="1"/>
  <c r="A21953" i="1"/>
  <c r="P21953" i="1"/>
  <c r="A21954" i="1"/>
  <c r="P21954" i="1"/>
  <c r="A21955" i="1"/>
  <c r="P21955" i="1"/>
  <c r="A21956" i="1"/>
  <c r="P21956" i="1"/>
  <c r="A21957" i="1"/>
  <c r="P21957" i="1"/>
  <c r="A21958" i="1"/>
  <c r="P21958" i="1"/>
  <c r="A21959" i="1"/>
  <c r="P21959" i="1"/>
  <c r="A21960" i="1"/>
  <c r="P21960" i="1"/>
  <c r="A21961" i="1"/>
  <c r="P21961" i="1"/>
  <c r="A21962" i="1"/>
  <c r="P21962" i="1"/>
  <c r="A21963" i="1"/>
  <c r="P21963" i="1"/>
  <c r="A21964" i="1"/>
  <c r="P21964" i="1"/>
  <c r="A21965" i="1"/>
  <c r="P21965" i="1"/>
  <c r="A21966" i="1"/>
  <c r="P21966" i="1"/>
  <c r="A21967" i="1"/>
  <c r="P21967" i="1"/>
  <c r="A21968" i="1"/>
  <c r="P21968" i="1"/>
  <c r="A21969" i="1"/>
  <c r="P21969" i="1"/>
  <c r="A21970" i="1"/>
  <c r="P21970" i="1"/>
  <c r="A21971" i="1"/>
  <c r="P21971" i="1"/>
  <c r="A21972" i="1"/>
  <c r="P21972" i="1"/>
  <c r="A21973" i="1"/>
  <c r="P21973" i="1"/>
  <c r="A21974" i="1"/>
  <c r="P21974" i="1"/>
  <c r="A21975" i="1"/>
  <c r="P21975" i="1"/>
  <c r="A21976" i="1"/>
  <c r="P21976" i="1"/>
  <c r="A21977" i="1"/>
  <c r="P21977" i="1"/>
  <c r="A21978" i="1"/>
  <c r="P21978" i="1"/>
  <c r="A21979" i="1"/>
  <c r="P21979" i="1"/>
  <c r="A21980" i="1"/>
  <c r="P21980" i="1"/>
  <c r="A21981" i="1"/>
  <c r="P21981" i="1"/>
  <c r="A21982" i="1"/>
  <c r="P21982" i="1"/>
  <c r="A21983" i="1"/>
  <c r="P21983" i="1"/>
  <c r="A21984" i="1"/>
  <c r="P21984" i="1"/>
  <c r="A21985" i="1"/>
  <c r="P21985" i="1"/>
  <c r="A21986" i="1"/>
  <c r="P21986" i="1"/>
  <c r="A21987" i="1"/>
  <c r="P21987" i="1"/>
  <c r="A21988" i="1"/>
  <c r="P21988" i="1"/>
  <c r="A21989" i="1"/>
  <c r="P21989" i="1"/>
  <c r="A21990" i="1"/>
  <c r="P21990" i="1"/>
  <c r="A21991" i="1"/>
  <c r="P21991" i="1"/>
  <c r="A21992" i="1"/>
  <c r="P21992" i="1"/>
  <c r="A21993" i="1"/>
  <c r="P21993" i="1"/>
  <c r="A21994" i="1"/>
  <c r="P21994" i="1"/>
  <c r="A21995" i="1"/>
  <c r="P21995" i="1"/>
  <c r="A21996" i="1"/>
  <c r="P21996" i="1"/>
  <c r="A21997" i="1"/>
  <c r="P21997" i="1"/>
  <c r="A21998" i="1"/>
  <c r="P21998" i="1"/>
  <c r="A21999" i="1"/>
  <c r="P21999" i="1"/>
  <c r="A22000" i="1"/>
  <c r="P22000" i="1"/>
  <c r="A22001" i="1"/>
  <c r="P22001" i="1"/>
  <c r="A22002" i="1"/>
  <c r="P22002" i="1"/>
  <c r="A22003" i="1"/>
  <c r="P22003" i="1"/>
  <c r="A22004" i="1"/>
  <c r="P22004" i="1"/>
  <c r="A22005" i="1"/>
  <c r="P22005" i="1"/>
  <c r="A22006" i="1"/>
  <c r="P22006" i="1"/>
  <c r="A22007" i="1"/>
  <c r="P22007" i="1"/>
  <c r="A22008" i="1"/>
  <c r="P22008" i="1"/>
  <c r="A22009" i="1"/>
  <c r="P22009" i="1"/>
  <c r="A22010" i="1"/>
  <c r="P22010" i="1"/>
  <c r="A22011" i="1"/>
  <c r="P22011" i="1"/>
  <c r="A22012" i="1"/>
  <c r="P22012" i="1"/>
  <c r="A22013" i="1"/>
  <c r="P22013" i="1"/>
  <c r="A22014" i="1"/>
  <c r="P22014" i="1"/>
  <c r="A22015" i="1"/>
  <c r="P22015" i="1"/>
  <c r="A22016" i="1"/>
  <c r="P22016" i="1"/>
  <c r="A22017" i="1"/>
  <c r="P22017" i="1"/>
  <c r="A22018" i="1"/>
  <c r="P22018" i="1"/>
  <c r="A22019" i="1"/>
  <c r="P22019" i="1"/>
  <c r="A22020" i="1"/>
  <c r="P22020" i="1"/>
  <c r="A22021" i="1"/>
  <c r="P22021" i="1"/>
  <c r="A22022" i="1"/>
  <c r="P22022" i="1"/>
  <c r="A22023" i="1"/>
  <c r="P22023" i="1"/>
  <c r="A22024" i="1"/>
  <c r="P22024" i="1"/>
  <c r="A22025" i="1"/>
  <c r="P22025" i="1"/>
  <c r="A22026" i="1"/>
  <c r="P22026" i="1"/>
  <c r="A22027" i="1"/>
  <c r="P22027" i="1"/>
  <c r="A22028" i="1"/>
  <c r="P22028" i="1"/>
  <c r="A22029" i="1"/>
  <c r="P22029" i="1"/>
  <c r="A22030" i="1"/>
  <c r="P22030" i="1"/>
  <c r="A22031" i="1"/>
  <c r="P22031" i="1"/>
  <c r="A22032" i="1"/>
  <c r="P22032" i="1"/>
  <c r="A22033" i="1"/>
  <c r="P22033" i="1"/>
  <c r="A22034" i="1"/>
  <c r="P22034" i="1"/>
  <c r="A22035" i="1"/>
  <c r="P22035" i="1"/>
  <c r="A22036" i="1"/>
  <c r="P22036" i="1"/>
  <c r="A22037" i="1"/>
  <c r="P22037" i="1"/>
  <c r="A22038" i="1"/>
  <c r="P22038" i="1"/>
  <c r="A22039" i="1"/>
  <c r="P22039" i="1"/>
  <c r="A22040" i="1"/>
  <c r="P22040" i="1"/>
  <c r="A22041" i="1"/>
  <c r="P22041" i="1"/>
  <c r="A22042" i="1"/>
  <c r="P22042" i="1"/>
  <c r="A22043" i="1"/>
  <c r="P22043" i="1"/>
  <c r="A22044" i="1"/>
  <c r="P22044" i="1"/>
  <c r="A22045" i="1"/>
  <c r="P22045" i="1"/>
  <c r="A22046" i="1"/>
  <c r="P22046" i="1"/>
  <c r="A22047" i="1"/>
  <c r="P22047" i="1"/>
  <c r="A22048" i="1"/>
  <c r="P22048" i="1"/>
  <c r="A22049" i="1"/>
  <c r="P22049" i="1"/>
  <c r="A22050" i="1"/>
  <c r="P22050" i="1"/>
  <c r="A22051" i="1"/>
  <c r="P22051" i="1"/>
  <c r="A22052" i="1"/>
  <c r="P22052" i="1"/>
  <c r="A22053" i="1"/>
  <c r="P22053" i="1"/>
  <c r="A22054" i="1"/>
  <c r="P22054" i="1"/>
  <c r="A22055" i="1"/>
  <c r="P22055" i="1"/>
  <c r="A22056" i="1"/>
  <c r="P22056" i="1"/>
  <c r="A22057" i="1"/>
  <c r="P22057" i="1"/>
  <c r="A22058" i="1"/>
  <c r="P22058" i="1"/>
  <c r="A22059" i="1"/>
  <c r="P22059" i="1"/>
  <c r="A22060" i="1"/>
  <c r="P22060" i="1"/>
  <c r="A22061" i="1"/>
  <c r="P22061" i="1"/>
  <c r="A22062" i="1"/>
  <c r="P22062" i="1"/>
  <c r="A22063" i="1"/>
  <c r="P22063" i="1"/>
  <c r="A22064" i="1"/>
  <c r="P22064" i="1"/>
  <c r="A22065" i="1"/>
  <c r="P22065" i="1"/>
  <c r="A22066" i="1"/>
  <c r="P22066" i="1"/>
  <c r="A22067" i="1"/>
  <c r="P22067" i="1"/>
  <c r="A22068" i="1"/>
  <c r="P22068" i="1"/>
  <c r="A22069" i="1"/>
  <c r="P22069" i="1"/>
  <c r="A22070" i="1"/>
  <c r="P22070" i="1"/>
  <c r="A22071" i="1"/>
  <c r="P22071" i="1"/>
  <c r="A22072" i="1"/>
  <c r="P22072" i="1"/>
  <c r="A22073" i="1"/>
  <c r="P22073" i="1"/>
  <c r="A22074" i="1"/>
  <c r="P22074" i="1"/>
  <c r="A22075" i="1"/>
  <c r="P22075" i="1"/>
  <c r="A22076" i="1"/>
  <c r="P22076" i="1"/>
  <c r="A22077" i="1"/>
  <c r="P22077" i="1"/>
  <c r="A22078" i="1"/>
  <c r="P22078" i="1"/>
  <c r="A22079" i="1"/>
  <c r="P22079" i="1"/>
  <c r="A22080" i="1"/>
  <c r="P22080" i="1"/>
  <c r="A22081" i="1"/>
  <c r="P22081" i="1"/>
  <c r="A22082" i="1"/>
  <c r="P22082" i="1"/>
  <c r="A22083" i="1"/>
  <c r="P22083" i="1"/>
  <c r="A22084" i="1"/>
  <c r="P22084" i="1"/>
  <c r="A22085" i="1"/>
  <c r="P22085" i="1"/>
  <c r="A22086" i="1"/>
  <c r="P22086" i="1"/>
  <c r="A22087" i="1"/>
  <c r="P22087" i="1"/>
  <c r="A22088" i="1"/>
  <c r="P22088" i="1"/>
  <c r="A22089" i="1"/>
  <c r="P22089" i="1"/>
  <c r="A22090" i="1"/>
  <c r="P22090" i="1"/>
  <c r="A22091" i="1"/>
  <c r="P22091" i="1"/>
  <c r="A22092" i="1"/>
  <c r="P22092" i="1"/>
  <c r="A22093" i="1"/>
  <c r="P22093" i="1"/>
  <c r="A22094" i="1"/>
  <c r="P22094" i="1"/>
  <c r="A22095" i="1"/>
  <c r="P22095" i="1"/>
  <c r="A22096" i="1"/>
  <c r="P22096" i="1"/>
  <c r="A22097" i="1"/>
  <c r="P22097" i="1"/>
  <c r="A22098" i="1"/>
  <c r="P22098" i="1"/>
  <c r="A22099" i="1"/>
  <c r="P22099" i="1"/>
  <c r="A22100" i="1"/>
  <c r="P22100" i="1"/>
  <c r="A22101" i="1"/>
  <c r="P22101" i="1"/>
  <c r="A22102" i="1"/>
  <c r="P22102" i="1"/>
  <c r="A22103" i="1"/>
  <c r="P22103" i="1"/>
  <c r="A22104" i="1"/>
  <c r="P22104" i="1"/>
  <c r="A22105" i="1"/>
  <c r="P22105" i="1"/>
  <c r="A22106" i="1"/>
  <c r="P22106" i="1"/>
  <c r="A22107" i="1"/>
  <c r="P22107" i="1"/>
  <c r="A22108" i="1"/>
  <c r="P22108" i="1"/>
  <c r="A22109" i="1"/>
  <c r="P22109" i="1"/>
  <c r="A22110" i="1"/>
  <c r="P22110" i="1"/>
  <c r="A22111" i="1"/>
  <c r="P22111" i="1"/>
  <c r="A22112" i="1"/>
  <c r="P22112" i="1"/>
  <c r="A22113" i="1"/>
  <c r="P22113" i="1"/>
  <c r="A22114" i="1"/>
  <c r="P22114" i="1"/>
  <c r="A22115" i="1"/>
  <c r="P22115" i="1"/>
  <c r="A22116" i="1"/>
  <c r="P22116" i="1"/>
  <c r="A22117" i="1"/>
  <c r="P22117" i="1"/>
  <c r="A22118" i="1"/>
  <c r="P22118" i="1"/>
  <c r="A22119" i="1"/>
  <c r="P22119" i="1"/>
  <c r="A22120" i="1"/>
  <c r="P22120" i="1"/>
  <c r="A22121" i="1"/>
  <c r="P22121" i="1"/>
  <c r="A22122" i="1"/>
  <c r="P22122" i="1"/>
  <c r="A22123" i="1"/>
  <c r="P22123" i="1"/>
  <c r="A22124" i="1"/>
  <c r="P22124" i="1"/>
  <c r="A22125" i="1"/>
  <c r="P22125" i="1"/>
  <c r="A22126" i="1"/>
  <c r="P22126" i="1"/>
  <c r="A22127" i="1"/>
  <c r="P22127" i="1"/>
  <c r="A22128" i="1"/>
  <c r="P22128" i="1"/>
  <c r="A22129" i="1"/>
  <c r="P22129" i="1"/>
  <c r="A22130" i="1"/>
  <c r="P22130" i="1"/>
  <c r="A22131" i="1"/>
  <c r="P22131" i="1"/>
  <c r="A22132" i="1"/>
  <c r="P22132" i="1"/>
  <c r="A22133" i="1"/>
  <c r="P22133" i="1"/>
  <c r="A22134" i="1"/>
  <c r="P22134" i="1"/>
  <c r="A22135" i="1"/>
  <c r="P22135" i="1"/>
  <c r="A22136" i="1"/>
  <c r="P22136" i="1"/>
  <c r="A22137" i="1"/>
  <c r="P22137" i="1"/>
  <c r="A22138" i="1"/>
  <c r="P22138" i="1"/>
  <c r="A22139" i="1"/>
  <c r="P22139" i="1"/>
  <c r="A22140" i="1"/>
  <c r="P22140" i="1"/>
  <c r="A22141" i="1"/>
  <c r="P22141" i="1"/>
  <c r="A22142" i="1"/>
  <c r="P22142" i="1"/>
  <c r="A22143" i="1"/>
  <c r="P22143" i="1"/>
  <c r="A22144" i="1"/>
  <c r="P22144" i="1"/>
  <c r="A22145" i="1"/>
  <c r="P22145" i="1"/>
  <c r="A22146" i="1"/>
  <c r="P22146" i="1"/>
  <c r="A22147" i="1"/>
  <c r="P22147" i="1"/>
  <c r="A22148" i="1"/>
  <c r="P22148" i="1"/>
  <c r="A22149" i="1"/>
  <c r="P22149" i="1"/>
  <c r="A22150" i="1"/>
  <c r="P22150" i="1"/>
  <c r="A22151" i="1"/>
  <c r="P22151" i="1"/>
  <c r="A22152" i="1"/>
  <c r="P22152" i="1"/>
  <c r="A22153" i="1"/>
  <c r="P22153" i="1"/>
  <c r="A22154" i="1"/>
  <c r="P22154" i="1"/>
  <c r="A22155" i="1"/>
  <c r="P22155" i="1"/>
  <c r="A22156" i="1"/>
  <c r="P22156" i="1"/>
  <c r="A22157" i="1"/>
  <c r="P22157" i="1"/>
  <c r="A22158" i="1"/>
  <c r="P22158" i="1"/>
  <c r="A22159" i="1"/>
  <c r="P22159" i="1"/>
  <c r="A22160" i="1"/>
  <c r="P22160" i="1"/>
  <c r="A22161" i="1"/>
  <c r="P22161" i="1"/>
  <c r="A22162" i="1"/>
  <c r="P22162" i="1"/>
  <c r="A22163" i="1"/>
  <c r="P22163" i="1"/>
  <c r="A22164" i="1"/>
  <c r="P22164" i="1"/>
  <c r="A22165" i="1"/>
  <c r="P22165" i="1"/>
  <c r="A22166" i="1"/>
  <c r="P22166" i="1"/>
  <c r="A22167" i="1"/>
  <c r="P22167" i="1"/>
  <c r="A22168" i="1"/>
  <c r="P22168" i="1"/>
  <c r="A22169" i="1"/>
  <c r="P22169" i="1"/>
  <c r="A22170" i="1"/>
  <c r="P22170" i="1"/>
  <c r="A22171" i="1"/>
  <c r="P22171" i="1"/>
  <c r="A22172" i="1"/>
  <c r="P22172" i="1"/>
  <c r="A22173" i="1"/>
  <c r="P22173" i="1"/>
  <c r="A22174" i="1"/>
  <c r="P22174" i="1"/>
  <c r="A22175" i="1"/>
  <c r="P22175" i="1"/>
  <c r="A22176" i="1"/>
  <c r="P22176" i="1"/>
  <c r="A22177" i="1"/>
  <c r="P22177" i="1"/>
  <c r="A22178" i="1"/>
  <c r="P22178" i="1"/>
  <c r="A22179" i="1"/>
  <c r="P22179" i="1"/>
  <c r="A22180" i="1"/>
  <c r="P22180" i="1"/>
  <c r="A22181" i="1"/>
  <c r="P22181" i="1"/>
  <c r="A22182" i="1"/>
  <c r="P22182" i="1"/>
  <c r="A22183" i="1"/>
  <c r="P22183" i="1"/>
  <c r="A22184" i="1"/>
  <c r="P22184" i="1"/>
  <c r="A22185" i="1"/>
  <c r="P22185" i="1"/>
  <c r="A22186" i="1"/>
  <c r="P22186" i="1"/>
  <c r="A22187" i="1"/>
  <c r="P22187" i="1"/>
  <c r="A22188" i="1"/>
  <c r="P22188" i="1"/>
  <c r="A22189" i="1"/>
  <c r="P22189" i="1"/>
  <c r="A22190" i="1"/>
  <c r="P22190" i="1"/>
  <c r="A22191" i="1"/>
  <c r="P22191" i="1"/>
  <c r="A22192" i="1"/>
  <c r="P22192" i="1"/>
  <c r="A22193" i="1"/>
  <c r="P22193" i="1"/>
  <c r="A22194" i="1"/>
  <c r="P22194" i="1"/>
  <c r="A22195" i="1"/>
  <c r="P22195" i="1"/>
  <c r="A22196" i="1"/>
  <c r="P22196" i="1"/>
  <c r="A22197" i="1"/>
  <c r="P22197" i="1"/>
  <c r="A22198" i="1"/>
  <c r="P22198" i="1"/>
  <c r="A22199" i="1"/>
  <c r="P22199" i="1"/>
  <c r="A22200" i="1"/>
  <c r="P22200" i="1"/>
  <c r="A22201" i="1"/>
  <c r="P22201" i="1"/>
  <c r="A22202" i="1"/>
  <c r="P22202" i="1"/>
  <c r="A22203" i="1"/>
  <c r="P22203" i="1"/>
  <c r="A22204" i="1"/>
  <c r="P22204" i="1"/>
  <c r="A22205" i="1"/>
  <c r="P22205" i="1"/>
  <c r="A22206" i="1"/>
  <c r="P22206" i="1"/>
  <c r="A22207" i="1"/>
  <c r="P22207" i="1"/>
  <c r="A22208" i="1"/>
  <c r="P22208" i="1"/>
  <c r="A22209" i="1"/>
  <c r="P22209" i="1"/>
  <c r="A22210" i="1"/>
  <c r="P22210" i="1"/>
  <c r="A22211" i="1"/>
  <c r="P22211" i="1"/>
  <c r="A22212" i="1"/>
  <c r="P22212" i="1"/>
  <c r="A22213" i="1"/>
  <c r="P22213" i="1"/>
  <c r="A22214" i="1"/>
  <c r="P22214" i="1"/>
  <c r="A22215" i="1"/>
  <c r="P22215" i="1"/>
  <c r="A22216" i="1"/>
  <c r="P22216" i="1"/>
  <c r="A22217" i="1"/>
  <c r="P22217" i="1"/>
  <c r="A22218" i="1"/>
  <c r="P22218" i="1"/>
  <c r="A22219" i="1"/>
  <c r="P22219" i="1"/>
  <c r="A22220" i="1"/>
  <c r="P22220" i="1"/>
  <c r="A22221" i="1"/>
  <c r="P22221" i="1"/>
  <c r="A22222" i="1"/>
  <c r="P22222" i="1"/>
  <c r="A22223" i="1"/>
  <c r="P22223" i="1"/>
  <c r="A22224" i="1"/>
  <c r="P22224" i="1"/>
  <c r="A22225" i="1"/>
  <c r="P22225" i="1"/>
  <c r="A22226" i="1"/>
  <c r="P22226" i="1"/>
  <c r="A22227" i="1"/>
  <c r="P22227" i="1"/>
  <c r="A22228" i="1"/>
  <c r="P22228" i="1"/>
  <c r="A22229" i="1"/>
  <c r="P22229" i="1"/>
  <c r="A22230" i="1"/>
  <c r="P22230" i="1"/>
  <c r="A22231" i="1"/>
  <c r="P22231" i="1"/>
  <c r="A22232" i="1"/>
  <c r="P22232" i="1"/>
  <c r="A22233" i="1"/>
  <c r="P22233" i="1"/>
  <c r="A22234" i="1"/>
  <c r="P22234" i="1"/>
  <c r="A22235" i="1"/>
  <c r="P22235" i="1"/>
  <c r="A22236" i="1"/>
  <c r="P22236" i="1"/>
  <c r="A22237" i="1"/>
  <c r="P22237" i="1"/>
  <c r="A22238" i="1"/>
  <c r="P22238" i="1"/>
  <c r="A22239" i="1"/>
  <c r="P22239" i="1"/>
  <c r="A22240" i="1"/>
  <c r="P22240" i="1"/>
  <c r="A22241" i="1"/>
  <c r="P22241" i="1"/>
  <c r="A22242" i="1"/>
  <c r="P22242" i="1"/>
  <c r="A22243" i="1"/>
  <c r="P22243" i="1"/>
  <c r="A22244" i="1"/>
  <c r="P22244" i="1"/>
  <c r="A22245" i="1"/>
  <c r="P22245" i="1"/>
  <c r="A22246" i="1"/>
  <c r="P22246" i="1"/>
  <c r="A22247" i="1"/>
  <c r="P22247" i="1"/>
  <c r="A22248" i="1"/>
  <c r="P22248" i="1"/>
  <c r="A22249" i="1"/>
  <c r="P22249" i="1"/>
  <c r="A22250" i="1"/>
  <c r="P22250" i="1"/>
  <c r="A22251" i="1"/>
  <c r="P22251" i="1"/>
  <c r="A22252" i="1"/>
  <c r="P22252" i="1"/>
  <c r="A22253" i="1"/>
  <c r="P22253" i="1"/>
  <c r="A22254" i="1"/>
  <c r="P22254" i="1"/>
  <c r="A22255" i="1"/>
  <c r="P22255" i="1"/>
  <c r="A22256" i="1"/>
  <c r="P22256" i="1"/>
  <c r="A22257" i="1"/>
  <c r="P22257" i="1"/>
  <c r="A22258" i="1"/>
  <c r="P22258" i="1"/>
  <c r="A22259" i="1"/>
  <c r="P22259" i="1"/>
  <c r="A22260" i="1"/>
  <c r="P22260" i="1"/>
  <c r="A22261" i="1"/>
  <c r="P22261" i="1"/>
  <c r="A22262" i="1"/>
  <c r="P22262" i="1"/>
  <c r="A22263" i="1"/>
  <c r="P22263" i="1"/>
  <c r="A22264" i="1"/>
  <c r="P22264" i="1"/>
  <c r="A22265" i="1"/>
  <c r="P22265" i="1"/>
  <c r="A22266" i="1"/>
  <c r="P22266" i="1"/>
  <c r="A22267" i="1"/>
  <c r="P22267" i="1"/>
  <c r="A22268" i="1"/>
  <c r="P22268" i="1"/>
  <c r="A22269" i="1"/>
  <c r="P22269" i="1"/>
  <c r="A22270" i="1"/>
  <c r="P22270" i="1"/>
  <c r="A22271" i="1"/>
  <c r="P22271" i="1"/>
  <c r="A22272" i="1"/>
  <c r="P22272" i="1"/>
  <c r="A22273" i="1"/>
  <c r="P22273" i="1"/>
  <c r="A22274" i="1"/>
  <c r="P22274" i="1"/>
  <c r="A22275" i="1"/>
  <c r="P22275" i="1"/>
  <c r="A22276" i="1"/>
  <c r="P22276" i="1"/>
  <c r="A22277" i="1"/>
  <c r="P22277" i="1"/>
  <c r="A22278" i="1"/>
  <c r="P22278" i="1"/>
  <c r="A22279" i="1"/>
  <c r="P22279" i="1"/>
  <c r="A22280" i="1"/>
  <c r="P22280" i="1"/>
  <c r="A22281" i="1"/>
  <c r="P22281" i="1"/>
  <c r="A22282" i="1"/>
  <c r="P22282" i="1"/>
  <c r="A22283" i="1"/>
  <c r="P22283" i="1"/>
</calcChain>
</file>

<file path=xl/sharedStrings.xml><?xml version="1.0" encoding="utf-8"?>
<sst xmlns="http://schemas.openxmlformats.org/spreadsheetml/2006/main" count="157229" uniqueCount="48229">
  <si>
    <t>ACCT_NO</t>
  </si>
  <si>
    <t>NAMES</t>
  </si>
  <si>
    <t>PROP_LOCATION</t>
  </si>
  <si>
    <t>BILL_FLAG</t>
  </si>
  <si>
    <t>STATE_DESCRIPTION</t>
  </si>
  <si>
    <t>CURRENT_DELQ_TAX</t>
  </si>
  <si>
    <t>CURRENT_DELQ_PI</t>
  </si>
  <si>
    <t>PRIOR_YEARS</t>
  </si>
  <si>
    <t>PRIOR_DELQ_TAX</t>
  </si>
  <si>
    <t>PRIOR_DELQ_PI</t>
  </si>
  <si>
    <t>IN_CARE_OF_NAME</t>
  </si>
  <si>
    <t>BILL_HOUSE_NO</t>
  </si>
  <si>
    <t>BILL_STREET</t>
  </si>
  <si>
    <t>BILL_CITY</t>
  </si>
  <si>
    <t>BILL_STATE</t>
  </si>
  <si>
    <t>BILL_ZIP</t>
  </si>
  <si>
    <t>BANKRUPT_FLAG</t>
  </si>
  <si>
    <t>BANKRUPT_DATE</t>
  </si>
  <si>
    <t xml:space="preserve">500 LIBERTY AVENUE LLC </t>
  </si>
  <si>
    <t>500 LIBERTY AVE</t>
  </si>
  <si>
    <t>C</t>
  </si>
  <si>
    <t>Commercial</t>
  </si>
  <si>
    <t>MCDONALDS CORP</t>
  </si>
  <si>
    <t>PO BOX 182571</t>
  </si>
  <si>
    <t>COLUMBUS</t>
  </si>
  <si>
    <t>OH</t>
  </si>
  <si>
    <t xml:space="preserve">TOWN DEVELOPMENT INC                            </t>
  </si>
  <si>
    <t>100 FORBES AVE</t>
  </si>
  <si>
    <t xml:space="preserve">KOSSMANN DEVELOPMENT </t>
  </si>
  <si>
    <t>PARKWAY CTR STE 300</t>
  </si>
  <si>
    <t>PITTSBURGH</t>
  </si>
  <si>
    <t>PA</t>
  </si>
  <si>
    <t>424 STANWIX ST</t>
  </si>
  <si>
    <t>A</t>
  </si>
  <si>
    <t>CATHOLIC CHARITIES OF  THE DOICESE OF PITTSBURG</t>
  </si>
  <si>
    <t>111 BOULEVARD OF THE ALLIES</t>
  </si>
  <si>
    <t>BOULEVARD OF THE ALLIES</t>
  </si>
  <si>
    <t xml:space="preserve">ROSEN NEIL R </t>
  </si>
  <si>
    <t>101 MARKET ST</t>
  </si>
  <si>
    <t>Residential</t>
  </si>
  <si>
    <t>ROSEN NEIL R</t>
  </si>
  <si>
    <t>MARKET ST</t>
  </si>
  <si>
    <t xml:space="preserve">MALKY BRETT A </t>
  </si>
  <si>
    <t>151 FORT PITT BLVD UNIT 403</t>
  </si>
  <si>
    <t>FORT PITT BLVD 403</t>
  </si>
  <si>
    <t xml:space="preserve">ZEGARELLI RONDA A </t>
  </si>
  <si>
    <t>151 FORT PITT BLVD UNIT 405</t>
  </si>
  <si>
    <t>FT PITT BLVD UNIT 405</t>
  </si>
  <si>
    <t>151 FORTPITTBLVD 406   LIMITED CORPORATIO N</t>
  </si>
  <si>
    <t>151 FORT PITT BLVD UNIT 406</t>
  </si>
  <si>
    <t>FORT PITT BLVD UNIT 405</t>
  </si>
  <si>
    <t xml:space="preserve">ELASH MARY </t>
  </si>
  <si>
    <t>151 FORT PITT BLVD UNIT 1001</t>
  </si>
  <si>
    <t>FORT PITT BLVD UNIT 1001</t>
  </si>
  <si>
    <t>151 FORT PITT BLVD UNIT 1002</t>
  </si>
  <si>
    <t xml:space="preserve">MARY DENISE KOCH LIVING  TRUST                   </t>
  </si>
  <si>
    <t>151 FORT PITT BLVD UNIT 1501</t>
  </si>
  <si>
    <t>N</t>
  </si>
  <si>
    <t>MARY DENISE KOCH LIVI</t>
  </si>
  <si>
    <t>FORT PITT BLVD UNIT #1501</t>
  </si>
  <si>
    <t>GUISER GARY &amp; CARRIE LEVITT (W)</t>
  </si>
  <si>
    <t>151 FORT PITT BLVD UNIT 1505</t>
  </si>
  <si>
    <t xml:space="preserve">GUISER GARY &amp; CARRIE </t>
  </si>
  <si>
    <t>FORT PITT BLVD 1505</t>
  </si>
  <si>
    <t>CCA CBD OF GREATER  PITTSBURGH</t>
  </si>
  <si>
    <t>305 WOOD ST</t>
  </si>
  <si>
    <t>Other</t>
  </si>
  <si>
    <t>CCA CBD OF GREATER PI</t>
  </si>
  <si>
    <t>MIDDLEBELT RD STE 140</t>
  </si>
  <si>
    <t>FARMINGTON</t>
  </si>
  <si>
    <t>MI</t>
  </si>
  <si>
    <t xml:space="preserve">MUTO DANIEL </t>
  </si>
  <si>
    <t>4 MARKET SQ</t>
  </si>
  <si>
    <t>MUTO DANIEL</t>
  </si>
  <si>
    <t>GREENRIDGE LN</t>
  </si>
  <si>
    <t xml:space="preserve">YASEEN BUSHRA </t>
  </si>
  <si>
    <t>409 SMITHFIELD ST</t>
  </si>
  <si>
    <t>YASEEN BUSHRA</t>
  </si>
  <si>
    <t>ARDEN DR</t>
  </si>
  <si>
    <t>MURRYSVILLE</t>
  </si>
  <si>
    <t>WHITE DANIEL J &amp; CARRIE A (W)</t>
  </si>
  <si>
    <t>306 4TH AVE UNIT 202</t>
  </si>
  <si>
    <t>WHITE DANIEL J &amp; CARR</t>
  </si>
  <si>
    <t>4TH AVE UNIT 202</t>
  </si>
  <si>
    <t xml:space="preserve">KUMAR AMRENDRA </t>
  </si>
  <si>
    <t>306 4TH AVE UNIT 704</t>
  </si>
  <si>
    <t>4TH AVE APT 704</t>
  </si>
  <si>
    <t xml:space="preserve">CROKER WILLIS </t>
  </si>
  <si>
    <t>306 4TH AVE UNIT 901</t>
  </si>
  <si>
    <t>CROKER WILLIS</t>
  </si>
  <si>
    <t>4TH AVE UNIT 901</t>
  </si>
  <si>
    <t>HOLVERSON HARRY E &amp; CARRIE BEAUCHAMP (W)</t>
  </si>
  <si>
    <t>306 4TH AVE UNIT 903</t>
  </si>
  <si>
    <t>HOLVERSON HARRY E &amp; C</t>
  </si>
  <si>
    <t>4TH AVE UNIT 903</t>
  </si>
  <si>
    <t>SADOWSKY MICHAEL E &amp; BARBARA L (W)</t>
  </si>
  <si>
    <t>306 4TH AVE UNIT 1002</t>
  </si>
  <si>
    <t>4TH AVE UNIT 1002</t>
  </si>
  <si>
    <t xml:space="preserve">BT PITT THIRD LLC </t>
  </si>
  <si>
    <t>319 3RD AVE</t>
  </si>
  <si>
    <t>BET INVESTMENTS INC</t>
  </si>
  <si>
    <t>DRYDEN RD STE 200</t>
  </si>
  <si>
    <t>DRESHER</t>
  </si>
  <si>
    <t>PITT COMMONWEALTH OWNER  LLC</t>
  </si>
  <si>
    <t>313 3RD AVE</t>
  </si>
  <si>
    <t>COFORGE BPS</t>
  </si>
  <si>
    <t>LBJ FRWY SUITE 806</t>
  </si>
  <si>
    <t>DALLAS</t>
  </si>
  <si>
    <t>TX</t>
  </si>
  <si>
    <t xml:space="preserve">WOOD STREET COMMONS  COMMERCIAL LLC          </t>
  </si>
  <si>
    <t>304 WOOD ST</t>
  </si>
  <si>
    <t>WOOD STREET COMMONS C</t>
  </si>
  <si>
    <t>6TH AVE STE 950</t>
  </si>
  <si>
    <t xml:space="preserve">1306 FTELEY  LLC </t>
  </si>
  <si>
    <t>200 1ST AVE</t>
  </si>
  <si>
    <t>BAKER YOUNG CORP</t>
  </si>
  <si>
    <t>MCKNIGHT RD STE 202</t>
  </si>
  <si>
    <t xml:space="preserve">1306 FTELEY LLC </t>
  </si>
  <si>
    <t>217 FORT PITT BLVD</t>
  </si>
  <si>
    <t xml:space="preserve">FIRSTSIDE BUILDING LLC </t>
  </si>
  <si>
    <t>231 FORT PITT BLVD UNIT 1</t>
  </si>
  <si>
    <t>FIRSTSIDE BUILDING LL</t>
  </si>
  <si>
    <t>E 5TH AVE</t>
  </si>
  <si>
    <t>231 FORT PITT BLVD UNIT 2</t>
  </si>
  <si>
    <t>231 FORT PITT BLVD UNIT 3</t>
  </si>
  <si>
    <t>231 FORT PITT BLVD UNIT 4</t>
  </si>
  <si>
    <t xml:space="preserve">KEITH B KEY ENTERPRISES  LLC                     </t>
  </si>
  <si>
    <t>239 FORT PITT BLVD</t>
  </si>
  <si>
    <t>KEITH B KEY ENTERPRIS</t>
  </si>
  <si>
    <t>EASTON WAY STE 220</t>
  </si>
  <si>
    <t>7 CONESTOGA ASSOCIATES  LLC</t>
  </si>
  <si>
    <t>7 WOOD ST</t>
  </si>
  <si>
    <t>7 CONESTOGA ASSOCIATE</t>
  </si>
  <si>
    <t>PAYDAYS DR</t>
  </si>
  <si>
    <t>ELIZABETH</t>
  </si>
  <si>
    <t>OAKLAND PROPERTY  COMPANY LLC</t>
  </si>
  <si>
    <t>411 FORT PITT BLVD</t>
  </si>
  <si>
    <t>OAKLAND PROPERTY COMP</t>
  </si>
  <si>
    <t>BRADFORD RD STE 300</t>
  </si>
  <si>
    <t>WEXFORD</t>
  </si>
  <si>
    <t>419 FORT PITT BLVD</t>
  </si>
  <si>
    <t>422 FIRST AVE LP ETAL</t>
  </si>
  <si>
    <t>432 1ST AVE</t>
  </si>
  <si>
    <t>TODD PALCIC</t>
  </si>
  <si>
    <t>ARCH ST</t>
  </si>
  <si>
    <t>414 1ST AVE</t>
  </si>
  <si>
    <t xml:space="preserve">KJRS PROPERTIES LLC </t>
  </si>
  <si>
    <t>111 SMITHFIELD ST</t>
  </si>
  <si>
    <t>BOQUET ST FL 1</t>
  </si>
  <si>
    <t>CARNEGIE</t>
  </si>
  <si>
    <t xml:space="preserve">GREENWOOD SMITHFIELD  LLC                     </t>
  </si>
  <si>
    <t>205 SMITHFIELD ST</t>
  </si>
  <si>
    <t>C/O KHAMIL BAILEY</t>
  </si>
  <si>
    <t>SMITHFIELD ST FL 2ND</t>
  </si>
  <si>
    <t xml:space="preserve">GST REALTY PARTNERS LLC </t>
  </si>
  <si>
    <t>710 DIAMOND ST UNIT 3</t>
  </si>
  <si>
    <t>GST REALTY PARTNERS L</t>
  </si>
  <si>
    <t>W STREET RD STE 2</t>
  </si>
  <si>
    <t>WARMINSTER</t>
  </si>
  <si>
    <t>MVHP-BUFORD5TH AVE LLC   ETAL</t>
  </si>
  <si>
    <t>1008 5TH AVE</t>
  </si>
  <si>
    <t>RYAN LLC</t>
  </si>
  <si>
    <t>CONTINENTAL DR STE 550</t>
  </si>
  <si>
    <t>KING OF PRUSSI</t>
  </si>
  <si>
    <t xml:space="preserve">HELEN V NOBEL LIPSITZ  FAMILY TRUST            </t>
  </si>
  <si>
    <t>1100 5TH AVE</t>
  </si>
  <si>
    <t>MURRAY AVE STE 203</t>
  </si>
  <si>
    <t>1102 5TH AVE</t>
  </si>
  <si>
    <t xml:space="preserve">3G &amp; ALOT LLC </t>
  </si>
  <si>
    <t>1108 5TH AVE</t>
  </si>
  <si>
    <t>KELSO RD</t>
  </si>
  <si>
    <t>MC DONALD</t>
  </si>
  <si>
    <t xml:space="preserve">1334 5TH AVENUE LLC </t>
  </si>
  <si>
    <t>1334 5TH AVE</t>
  </si>
  <si>
    <t>5TH AVE</t>
  </si>
  <si>
    <t xml:space="preserve">BEIZAEI PROPERTIES LLC </t>
  </si>
  <si>
    <t>1516 5TH AVE</t>
  </si>
  <si>
    <t>BEIZAEI PROPERTIES LL</t>
  </si>
  <si>
    <t>E MAPLEWOOD AVE</t>
  </si>
  <si>
    <t>ENGLEWOOD</t>
  </si>
  <si>
    <t>CO</t>
  </si>
  <si>
    <t>1522 5TH AVE</t>
  </si>
  <si>
    <t xml:space="preserve">MERANTE PASQUALE </t>
  </si>
  <si>
    <t>6 MARION ST</t>
  </si>
  <si>
    <t>SALEM DR</t>
  </si>
  <si>
    <t>MITCHELL FAMILY LIMITED PARTNERSHIP</t>
  </si>
  <si>
    <t>304 ROSS ST</t>
  </si>
  <si>
    <t>MFLP IC SVN  REAL ESTATE</t>
  </si>
  <si>
    <t>PO BOX 19741</t>
  </si>
  <si>
    <t xml:space="preserve">453 ALLIES BOULEVARD  HOTEL LENDER LLC        </t>
  </si>
  <si>
    <t>453 BLVD OF THE ALLIES</t>
  </si>
  <si>
    <t>JOINERY HOTEL PITTSBU</t>
  </si>
  <si>
    <t xml:space="preserve">MARTINEZ MEEHAN LP </t>
  </si>
  <si>
    <t>430 BLVD OF THE ALLIES</t>
  </si>
  <si>
    <t>ALLISON AVE</t>
  </si>
  <si>
    <t>ALLISON PARK</t>
  </si>
  <si>
    <t xml:space="preserve">AP TERMINAL 21 LLC </t>
  </si>
  <si>
    <t>615 2ND AVE</t>
  </si>
  <si>
    <t>E 44TH ST STE 1000</t>
  </si>
  <si>
    <t>NEW YORK</t>
  </si>
  <si>
    <t>NY</t>
  </si>
  <si>
    <t>FORT PITT COMMONS  ASSOCIATES C/O SCOTT &amp; M</t>
  </si>
  <si>
    <t>445 FORT PITT BLVD</t>
  </si>
  <si>
    <t>FORT PITT COMMONS ASS</t>
  </si>
  <si>
    <t>FORT PITT BLVD</t>
  </si>
  <si>
    <t>DUQUESNE UNIVERSITY OF  THE HOLY SPIRIT</t>
  </si>
  <si>
    <t>1009 FORBES AVE</t>
  </si>
  <si>
    <t>Gov't Owned</t>
  </si>
  <si>
    <t>FORBES AVE</t>
  </si>
  <si>
    <t xml:space="preserve">WILLIAMS LANCE R </t>
  </si>
  <si>
    <t>1 MARION ST</t>
  </si>
  <si>
    <t>AETNA RD</t>
  </si>
  <si>
    <t>CLEVELAND</t>
  </si>
  <si>
    <t>3 MARION ST</t>
  </si>
  <si>
    <t xml:space="preserve">BOULEVARD BUILDING INC </t>
  </si>
  <si>
    <t>114 VAN BRAAM ST</t>
  </si>
  <si>
    <t>BOULEVARD BUILDING IN</t>
  </si>
  <si>
    <t>FORBES AVE STE 308</t>
  </si>
  <si>
    <t>URBAN REDEVELOPMENT  AUTHORITY OF PITTSBURGH</t>
  </si>
  <si>
    <t>0 MUNICIPAL COURTS DR</t>
  </si>
  <si>
    <t>URBAN REDEVELOPMENT A</t>
  </si>
  <si>
    <t>BOULEVARD OF THE ALLIES STE 90</t>
  </si>
  <si>
    <t>URBAN REDEVELOPMENT AUTHORITY OF PGH</t>
  </si>
  <si>
    <t>628 2ND AVE</t>
  </si>
  <si>
    <t>2P110 CARES INC          ETAL</t>
  </si>
  <si>
    <t>700 2ND AVE</t>
  </si>
  <si>
    <t>2P110 CARES INC</t>
  </si>
  <si>
    <t>WILLIAM PENN PL STE 800</t>
  </si>
  <si>
    <t xml:space="preserve">LMS FIFTH LP </t>
  </si>
  <si>
    <t>1800 5TH AVE</t>
  </si>
  <si>
    <t>EDGEWOOD AVE</t>
  </si>
  <si>
    <t xml:space="preserve">ABOVITZ LIBBIE </t>
  </si>
  <si>
    <t>0 WATSON ST</t>
  </si>
  <si>
    <t>UNKNOWN OWNER</t>
  </si>
  <si>
    <t xml:space="preserve">CIBIK LISA M                                    </t>
  </si>
  <si>
    <t>0 FORBES AVE</t>
  </si>
  <si>
    <t>CIBIK LISA M</t>
  </si>
  <si>
    <t>WOODLAND RD</t>
  </si>
  <si>
    <t>MC KEESPORT</t>
  </si>
  <si>
    <t xml:space="preserve">SHANAHAN HOUSING  ASSOCIATES LP           </t>
  </si>
  <si>
    <t>1819 FORBES AVE</t>
  </si>
  <si>
    <t>SUPPORTING HOUSING MG</t>
  </si>
  <si>
    <t>FORWARD AVE</t>
  </si>
  <si>
    <t xml:space="preserve">JIANG REALTY LLC </t>
  </si>
  <si>
    <t>209 VAN BRAAM ST</t>
  </si>
  <si>
    <t>JIANG REALTY LLC</t>
  </si>
  <si>
    <t>DARLINGTON RD</t>
  </si>
  <si>
    <t xml:space="preserve">GULLI UMBERTO </t>
  </si>
  <si>
    <t>1721 TUSTIN ST</t>
  </si>
  <si>
    <t>TUSTIN ST</t>
  </si>
  <si>
    <t xml:space="preserve">NANAGUO CAPITAL LLC </t>
  </si>
  <si>
    <t>32 MILTENBERGER ST</t>
  </si>
  <si>
    <t>LAKE RIDGE DR</t>
  </si>
  <si>
    <t>30 MILTENBERGER ST</t>
  </si>
  <si>
    <t xml:space="preserve">FRANCIS MARY </t>
  </si>
  <si>
    <t>49 VAN BRAAM ST</t>
  </si>
  <si>
    <t>VAN BRAAM ST</t>
  </si>
  <si>
    <t xml:space="preserve">DESTRO ANTHONY O </t>
  </si>
  <si>
    <t>1706 TUSTIN ST</t>
  </si>
  <si>
    <t>KENNEBEC ST</t>
  </si>
  <si>
    <t xml:space="preserve">AVULA CHANDU  DWARAKANATH             </t>
  </si>
  <si>
    <t>1707 LOCUST ST</t>
  </si>
  <si>
    <t>UNION SAVINGS BANK</t>
  </si>
  <si>
    <t>GOVERNORS HILL DR</t>
  </si>
  <si>
    <t>CINCINNATI</t>
  </si>
  <si>
    <t>1709 LOCUST ST</t>
  </si>
  <si>
    <t>AVULA CHANDU DWARAKAN</t>
  </si>
  <si>
    <t>LOCUST ST</t>
  </si>
  <si>
    <t xml:space="preserve">CARTER JANA M </t>
  </si>
  <si>
    <t>1835 LOCUST ST</t>
  </si>
  <si>
    <t>SHELLPOINT MORTGAGE S</t>
  </si>
  <si>
    <t>PO BOX 10826</t>
  </si>
  <si>
    <t>GREENVILLE</t>
  </si>
  <si>
    <t>SC</t>
  </si>
  <si>
    <t xml:space="preserve">PINTADO BRETT A </t>
  </si>
  <si>
    <t>1837 LOCUST ST</t>
  </si>
  <si>
    <t>CHAPMAN JOHN C &amp; KATHLEEN (W)</t>
  </si>
  <si>
    <t>1839 LOCUST ST</t>
  </si>
  <si>
    <t xml:space="preserve">CHAPMAN CHRISTINA MARIE </t>
  </si>
  <si>
    <t>1843 LOCUST ST</t>
  </si>
  <si>
    <t>CHAPMAN CHRISTINA MAR</t>
  </si>
  <si>
    <t>WEDDELL RD</t>
  </si>
  <si>
    <t xml:space="preserve">RENNER RENEE </t>
  </si>
  <si>
    <t>1830 LOCUST ST</t>
  </si>
  <si>
    <t>P O BOX 781</t>
  </si>
  <si>
    <t>HOMESTEAD</t>
  </si>
  <si>
    <t>MCNUTT DALE K &amp; JEANNE C (W)</t>
  </si>
  <si>
    <t>0 5TH AVE</t>
  </si>
  <si>
    <t xml:space="preserve">LEY THEODORE C III </t>
  </si>
  <si>
    <t>2028 WATSON ST</t>
  </si>
  <si>
    <t>Industrial</t>
  </si>
  <si>
    <t>1 1/2 BOUNDARY ST</t>
  </si>
  <si>
    <t xml:space="preserve">JONES LANNETTE </t>
  </si>
  <si>
    <t>2013 FORBES AVE</t>
  </si>
  <si>
    <t>OLD WILLIAM PENN HWY</t>
  </si>
  <si>
    <t>MONROEVILLE</t>
  </si>
  <si>
    <t>JUMONVILLE STREET  HOLDINGS II LLC</t>
  </si>
  <si>
    <t>1931 FORBES AVE</t>
  </si>
  <si>
    <t>JUMONVILLE STREET HOL</t>
  </si>
  <si>
    <t>FORBES AVE UNIT 301</t>
  </si>
  <si>
    <t>RIVER CITY RESTORATIONS  LLC</t>
  </si>
  <si>
    <t>1919 FORBES AVE</t>
  </si>
  <si>
    <t>RIVER CITY RESTORATIO</t>
  </si>
  <si>
    <t xml:space="preserve">LARE REALTY LLC </t>
  </si>
  <si>
    <t>2005 TUSTIN ST</t>
  </si>
  <si>
    <t>PO BOX 13444</t>
  </si>
  <si>
    <t>HABITAT FOR HUMANITY OF  GREATER PITTSBURGH</t>
  </si>
  <si>
    <t>2002 FORBES AVE</t>
  </si>
  <si>
    <t xml:space="preserve">HABITAT FOR HUMANITY </t>
  </si>
  <si>
    <t>FRANKSTOWN AVE STE 100</t>
  </si>
  <si>
    <t xml:space="preserve">BACON EUGENE DWAYNE                             </t>
  </si>
  <si>
    <t>2012 FORBES AVE</t>
  </si>
  <si>
    <t xml:space="preserve">MINSKEY DANIEL </t>
  </si>
  <si>
    <t>2017 TUSTIN ST</t>
  </si>
  <si>
    <t>2019 TUSTIN ST</t>
  </si>
  <si>
    <t xml:space="preserve">CLARK LAKE LTD </t>
  </si>
  <si>
    <t>2018 FORBES AVE</t>
  </si>
  <si>
    <t xml:space="preserve">MILLIGAN FAMILY LLC </t>
  </si>
  <si>
    <t>212 SENECA ST</t>
  </si>
  <si>
    <t>MILLIGAN FAMILY LLC</t>
  </si>
  <si>
    <t>GOLFWAY DR</t>
  </si>
  <si>
    <t>ALIQUIPPA</t>
  </si>
  <si>
    <t xml:space="preserve">MCMILLER DEBRA I </t>
  </si>
  <si>
    <t>313 JUMONVILLE ST</t>
  </si>
  <si>
    <t>BETTY JANE CT</t>
  </si>
  <si>
    <t>JUMONVILLE STREET  HOLDINGS I LLC</t>
  </si>
  <si>
    <t>304 JUMONVILLE ST</t>
  </si>
  <si>
    <t xml:space="preserve">MCALLISTER ABAIGEAL  MAIRE                   </t>
  </si>
  <si>
    <t>2016 WATSON ST</t>
  </si>
  <si>
    <t>PLANET HOME LENDING L</t>
  </si>
  <si>
    <t>HACKBERRY RD</t>
  </si>
  <si>
    <t>IRVING</t>
  </si>
  <si>
    <t>MOULTON TIMOTHY C &amp; BRENDA M (W)</t>
  </si>
  <si>
    <t>320 FORT DUQUESNE BLVD STE 300</t>
  </si>
  <si>
    <t>JOHNSON BRANDON B &amp; S</t>
  </si>
  <si>
    <t>FORT DUQUESNE BLVD UNIT 8E</t>
  </si>
  <si>
    <t xml:space="preserve">KARMIC PROPERTIES LLC </t>
  </si>
  <si>
    <t>320 FORT DUQUESNE BLVD</t>
  </si>
  <si>
    <t>KARMIC PROPERTIES LLC</t>
  </si>
  <si>
    <t>BROWNSVILLE RD STE 200</t>
  </si>
  <si>
    <t>FREEDOM NOW HOME CARE  LLC</t>
  </si>
  <si>
    <t>320 FORT DUQUESNE BLVD STE 120</t>
  </si>
  <si>
    <t>FORT DUQUESNE BLVD UNIT 120</t>
  </si>
  <si>
    <t>320 FORT DUQUESNE BLVD STE 325</t>
  </si>
  <si>
    <t xml:space="preserve">DINUCCI DAVID </t>
  </si>
  <si>
    <t>320 FORT DUQUESNE BLVD UNIT 6A</t>
  </si>
  <si>
    <t>FORT DUQUESNE BLVD UNIT 6A</t>
  </si>
  <si>
    <t xml:space="preserve">COHEN FREDRICK M </t>
  </si>
  <si>
    <t>320 FORT DUQUESNE BLVD UNIT 19E</t>
  </si>
  <si>
    <t>GRANT ST STE 825</t>
  </si>
  <si>
    <t>SEIFFER DENISE &amp; JOHN C (H)</t>
  </si>
  <si>
    <t>320 FORT DUQUESNE BLVD UNIT 21C</t>
  </si>
  <si>
    <t>SEIFFER DENISE &amp; JOHN</t>
  </si>
  <si>
    <t>FORT DUQUESNE BLVD UNIT 21C</t>
  </si>
  <si>
    <t xml:space="preserve">SHILOBOD MARGARET </t>
  </si>
  <si>
    <t>320 FORT DUQUESNE BLVD UNIT 21H</t>
  </si>
  <si>
    <t>FT DUQUESNE BLVD APT 21H</t>
  </si>
  <si>
    <t>DORMER ESTHER &amp; BRIAN (H)</t>
  </si>
  <si>
    <t>320 FORT DUQUESNE BLVD UNIT 22B</t>
  </si>
  <si>
    <t>DORMER ESTHER &amp; BRIAN</t>
  </si>
  <si>
    <t>FORT DUQUESNE BLVD UNIT 22B</t>
  </si>
  <si>
    <t>STARCK STEVEN R &amp; LINDY C (W)</t>
  </si>
  <si>
    <t>320 FORT DUQUESNE BLVD UNIT 22C</t>
  </si>
  <si>
    <t>STARCK STEVEN R &amp; LIN</t>
  </si>
  <si>
    <t>FORT DUQUESNE BLVD UNIT 22 C/D</t>
  </si>
  <si>
    <t>320 FORT DUQUESNE BLVD UNIT 22D</t>
  </si>
  <si>
    <t xml:space="preserve">THOMPSON KIMBERLEE                              </t>
  </si>
  <si>
    <t>320 FORT DUQUESNE BLVD UNIT 23D</t>
  </si>
  <si>
    <t>FRONT ST</t>
  </si>
  <si>
    <t>KEY WEST</t>
  </si>
  <si>
    <t>FL</t>
  </si>
  <si>
    <t xml:space="preserve">FELDMAN JOAN                                    </t>
  </si>
  <si>
    <t>320 FORT DUQUESNE BLVD UNIT 8K</t>
  </si>
  <si>
    <t>JOAN FELDMAN &amp; WILLIA</t>
  </si>
  <si>
    <t>FORT DUQUESNE BLVD UNIT 8K</t>
  </si>
  <si>
    <t xml:space="preserve">GREALISH DANIEL </t>
  </si>
  <si>
    <t>320 FORT DUQUESNE BLVD UNIT 10K</t>
  </si>
  <si>
    <t>FORT DUQUESNE BLVD #</t>
  </si>
  <si>
    <t xml:space="preserve">CAMINITE DENISE </t>
  </si>
  <si>
    <t>320 FORT DUQUESNE BLVD UNIT 10N</t>
  </si>
  <si>
    <t>N WASHINGTON ST</t>
  </si>
  <si>
    <t>TARRYTOWN</t>
  </si>
  <si>
    <t>MERCIER PATRICK M &amp; CHARLENE A COLLINS ( W)</t>
  </si>
  <si>
    <t>320 FORT DUQUESNE BLVD UNIT 20K</t>
  </si>
  <si>
    <t>MERCIER PATRICK M &amp; C</t>
  </si>
  <si>
    <t>FORT DUQUESNE BLVD UNIT 20-K</t>
  </si>
  <si>
    <t xml:space="preserve">PICCOLI LOUIS A                                 </t>
  </si>
  <si>
    <t>320 FORT DUQUESNE BLVD UNIT 19A</t>
  </si>
  <si>
    <t>FT DUQUESNE BLVD UNIT 19AB</t>
  </si>
  <si>
    <t>WILLIAMS TRENT &amp; MAURA (W)</t>
  </si>
  <si>
    <t>320 FORT DUQUESNE  BLVD UNIT 20A</t>
  </si>
  <si>
    <t>WELLS FARGO R E TAX S</t>
  </si>
  <si>
    <t>HOME CAMPUS</t>
  </si>
  <si>
    <t>DES MOINES</t>
  </si>
  <si>
    <t>IA</t>
  </si>
  <si>
    <t xml:space="preserve">CRUZ CHARLES DELA </t>
  </si>
  <si>
    <t>320 FORT DUQUESNE BLVD UNIT 23A</t>
  </si>
  <si>
    <t>FORT DUQUESNE BLVD UNIT 23-AB</t>
  </si>
  <si>
    <t xml:space="preserve">ELSAYED SAMI </t>
  </si>
  <si>
    <t>320 FORT DUQUESNE  BLVD UNIT 26A</t>
  </si>
  <si>
    <t>CITIZENS BANK</t>
  </si>
  <si>
    <t xml:space="preserve">VECELLIO MARTIN J </t>
  </si>
  <si>
    <t>320 FORT DUQUESNE BLVD UNIT 7A</t>
  </si>
  <si>
    <t>MR. COPPER/NATIONSTAR</t>
  </si>
  <si>
    <t>HACKBERRY DR</t>
  </si>
  <si>
    <t>320 FORT DUQUESNE BLVD UNIT 26B</t>
  </si>
  <si>
    <t xml:space="preserve">SAPOTICHNE SEAN M                               </t>
  </si>
  <si>
    <t>320 FORT DUQUESNE BLVD UNIT 19D</t>
  </si>
  <si>
    <t>FIRST COMMONWEALTH BA</t>
  </si>
  <si>
    <t>PO BOX 400</t>
  </si>
  <si>
    <t>INDIANA</t>
  </si>
  <si>
    <t xml:space="preserve">BETANCOURT CARLOS </t>
  </si>
  <si>
    <t>320 FORT DUQUESNE BLVD UNIT 19F</t>
  </si>
  <si>
    <t>BETANCOURT CARLOS</t>
  </si>
  <si>
    <t>FORT DUQUESNE BLVD UNIT 19F</t>
  </si>
  <si>
    <t xml:space="preserve">OBRIEN TIMOTHY </t>
  </si>
  <si>
    <t>320 FORT DUQUESNE BLVD UNIT 5J</t>
  </si>
  <si>
    <t>WASHINGTON MUTUAL</t>
  </si>
  <si>
    <t xml:space="preserve">PAONE ANTHONY J SR                              </t>
  </si>
  <si>
    <t>320 FORT DUQUESNE BLVD UNIT 7J</t>
  </si>
  <si>
    <t>EMM LOANS LLC</t>
  </si>
  <si>
    <t>EXECUTIVE CAMPUS STE 520</t>
  </si>
  <si>
    <t>CHERRY HILL</t>
  </si>
  <si>
    <t>NJ</t>
  </si>
  <si>
    <t xml:space="preserve">LEBOKI MICHAEL B JR </t>
  </si>
  <si>
    <t>320 FORT DUQUESNE BLVD UNIT 9J</t>
  </si>
  <si>
    <t>VICTORIAN FINANCE LLC</t>
  </si>
  <si>
    <t>BOYCE PLAZA RD STE 160</t>
  </si>
  <si>
    <t xml:space="preserve">TESSARO KATHLEEN &amp;                         </t>
  </si>
  <si>
    <t>320 FORT DUQUESNE BLVD UNIT 25L</t>
  </si>
  <si>
    <t>TESSARO KATHLEEN &amp; LI</t>
  </si>
  <si>
    <t>FORT DUQUESNE BLVD APT 25-L</t>
  </si>
  <si>
    <t xml:space="preserve">VISSAT LIVIA M </t>
  </si>
  <si>
    <t>320 FORT DUQUESNE BLVD UNIT 9M</t>
  </si>
  <si>
    <t>FORT DUQUESNE BLVD UNIT 9M</t>
  </si>
  <si>
    <t xml:space="preserve">DIAMOND DEIDRE </t>
  </si>
  <si>
    <t>320 FORT DUQUESNE BLVD UNIT 12N</t>
  </si>
  <si>
    <t>DIAMOND DEIDRE</t>
  </si>
  <si>
    <t>PO BOX 222</t>
  </si>
  <si>
    <t>NORTH BROOKFIE</t>
  </si>
  <si>
    <t>MA</t>
  </si>
  <si>
    <t xml:space="preserve">KIFER KARI </t>
  </si>
  <si>
    <t>11 5TH AVE UNIT 201</t>
  </si>
  <si>
    <t xml:space="preserve">DURAI KANNAN                                    </t>
  </si>
  <si>
    <t>11 5TH AVE UNIT 402</t>
  </si>
  <si>
    <t>CHASE HOME FINANCE</t>
  </si>
  <si>
    <t xml:space="preserve">VANVELUW MARTY                                  </t>
  </si>
  <si>
    <t>301 5TH AVE UNIT 703</t>
  </si>
  <si>
    <t>5TH AVE UNIT 703</t>
  </si>
  <si>
    <t xml:space="preserve">MCCARL KEVIN A </t>
  </si>
  <si>
    <t>301 5TH AVE UNIT 713</t>
  </si>
  <si>
    <t>MCCARL KEVIN A</t>
  </si>
  <si>
    <t>NORTHUMBERLAND AVE</t>
  </si>
  <si>
    <t xml:space="preserve">MCCARL KEVIN A                                  </t>
  </si>
  <si>
    <t>301 5TH AVE UNIT 714</t>
  </si>
  <si>
    <t>NORTHUMBERLAND ST</t>
  </si>
  <si>
    <t>301 5TH AVE UNIT 715</t>
  </si>
  <si>
    <t xml:space="preserve">PNC BANK NATIONAL  ASSOCIATION             </t>
  </si>
  <si>
    <t>439 WOOD ST</t>
  </si>
  <si>
    <t>*EBILL*INVOKE TAX PAR</t>
  </si>
  <si>
    <t>PO BOX 850</t>
  </si>
  <si>
    <t>AURORA</t>
  </si>
  <si>
    <t>604 WOOD STREET  ACQUISITION LLC</t>
  </si>
  <si>
    <t>604 WOOD ST</t>
  </si>
  <si>
    <t>604 WOOD STREET ACQUI</t>
  </si>
  <si>
    <t>LIBERTY AVE UNIT 401</t>
  </si>
  <si>
    <t>820 LIBERTY AVENUE  PARTNERSHIP LP</t>
  </si>
  <si>
    <t>820 LIBERTY AVE</t>
  </si>
  <si>
    <t>GV REALTY</t>
  </si>
  <si>
    <t>PO BOX 5075</t>
  </si>
  <si>
    <t xml:space="preserve">635 SMITHFIELD LLC </t>
  </si>
  <si>
    <t>635 SMITHFIELD ST</t>
  </si>
  <si>
    <t>BROADWAY STE 1805</t>
  </si>
  <si>
    <t xml:space="preserve">633 SMITHFIELD LLC </t>
  </si>
  <si>
    <t>633 SMITHFIELD ST</t>
  </si>
  <si>
    <t>WASHINGTON RD</t>
  </si>
  <si>
    <t xml:space="preserve">KESLAR MICHAEL </t>
  </si>
  <si>
    <t>350 OLIVER AVE UNIT 804</t>
  </si>
  <si>
    <t>KESLAR MICHAEL</t>
  </si>
  <si>
    <t>OLIVER AVE UNIT 804</t>
  </si>
  <si>
    <t xml:space="preserve">KOVACEVIC DALIBORKA                             </t>
  </si>
  <si>
    <t>350 OLIVER AVE UNIT 1109</t>
  </si>
  <si>
    <t xml:space="preserve">WINOTO KEVIN </t>
  </si>
  <si>
    <t>350 OLIVER AVE UNIT 1202</t>
  </si>
  <si>
    <t>UNITED WHOLESALE MORT</t>
  </si>
  <si>
    <t>REILLY MARK ANDREW II &amp; CAROLYN (W)</t>
  </si>
  <si>
    <t>350 OLIVER AVE UNIT 1207</t>
  </si>
  <si>
    <t>REILLY MARK ANDREW II</t>
  </si>
  <si>
    <t>STONE ARCH DR</t>
  </si>
  <si>
    <t>MARYSVILLE</t>
  </si>
  <si>
    <t xml:space="preserve">BEITLER QUENTIN J </t>
  </si>
  <si>
    <t>350 OLIVER AVE UNIT 1604</t>
  </si>
  <si>
    <t>PREMIER BANK</t>
  </si>
  <si>
    <t>CORPORATE CENTER ST</t>
  </si>
  <si>
    <t>POMONA</t>
  </si>
  <si>
    <t>CA</t>
  </si>
  <si>
    <t xml:space="preserve">PROTIVA STEVEN T </t>
  </si>
  <si>
    <t>350 OLIVER AVE UNIT 805</t>
  </si>
  <si>
    <t xml:space="preserve">MBEK LLC </t>
  </si>
  <si>
    <t>628 SMITHFIELD ST</t>
  </si>
  <si>
    <t>SMITHFIELD ST</t>
  </si>
  <si>
    <t xml:space="preserve">421 SEVENTH AVENUE  PARTNERS LP             </t>
  </si>
  <si>
    <t>421 7TH AVE</t>
  </si>
  <si>
    <t>MASSARO PROP</t>
  </si>
  <si>
    <t>CLIFFMINE RD STE 220</t>
  </si>
  <si>
    <t xml:space="preserve">PMC 425 SIXTH AVENUE  ASSOCIATES UNIT A L P   </t>
  </si>
  <si>
    <t>601 WILLIAM PENN PL</t>
  </si>
  <si>
    <t>PMC PROPERTY GROUP</t>
  </si>
  <si>
    <t>WALNUT ST STE 1400</t>
  </si>
  <si>
    <t>PHILADELPHIA</t>
  </si>
  <si>
    <t>PMC 425 SIXTH AVENUE  ASSOCIATES LP</t>
  </si>
  <si>
    <t>PORT AUTHORITY OF ALLEGHENY COUNTY</t>
  </si>
  <si>
    <t>0 BIGELOW BLVD</t>
  </si>
  <si>
    <t>Utilities</t>
  </si>
  <si>
    <t>6TH AVE</t>
  </si>
  <si>
    <t>441 SMITHFIELD STREET LLC</t>
  </si>
  <si>
    <t>431 SMITHFIELD ST</t>
  </si>
  <si>
    <t>EUCLID AVE #1300</t>
  </si>
  <si>
    <t xml:space="preserve">MELLON BANK N A </t>
  </si>
  <si>
    <t>500 ROSS ST</t>
  </si>
  <si>
    <t>MELLON BANK N A</t>
  </si>
  <si>
    <t>ROSS ST FL 2</t>
  </si>
  <si>
    <t xml:space="preserve">642 DUQUESNE OWNER LLC                          </t>
  </si>
  <si>
    <t>642 FORT DUQUESNE BLVD</t>
  </si>
  <si>
    <t>642 DUQUESNE OWNER LL</t>
  </si>
  <si>
    <t>NEW YORK AVE STE 830</t>
  </si>
  <si>
    <t>WASHINGTON</t>
  </si>
  <si>
    <t>DC</t>
  </si>
  <si>
    <t xml:space="preserve">125 7TH STREET LP </t>
  </si>
  <si>
    <t>125 7TH ST</t>
  </si>
  <si>
    <t xml:space="preserve">COSENTINO CONSULTING </t>
  </si>
  <si>
    <t>BROOKTREE RD STE 222</t>
  </si>
  <si>
    <t>PENNSYLVANIA BUILDING  LLC</t>
  </si>
  <si>
    <t>47 18TH ST</t>
  </si>
  <si>
    <t>FIRST AVE # 23247</t>
  </si>
  <si>
    <t>49 18TH ST</t>
  </si>
  <si>
    <t>114 19TH ST</t>
  </si>
  <si>
    <t xml:space="preserve">COLLIER DEVELOPMENT LP </t>
  </si>
  <si>
    <t>1907 PENN AVE</t>
  </si>
  <si>
    <t>COLLIER DEVELOPMENT L</t>
  </si>
  <si>
    <t>THOMAS RUN RD</t>
  </si>
  <si>
    <t>OAKDALE</t>
  </si>
  <si>
    <t>1812 PENN LP ETAL</t>
  </si>
  <si>
    <t>1812 PENN AVE</t>
  </si>
  <si>
    <t>STEPHEN STANEK</t>
  </si>
  <si>
    <t>CLEARVIEW RD</t>
  </si>
  <si>
    <t>GIBSONIA</t>
  </si>
  <si>
    <t>BUNCHER COMPANY          ETAL</t>
  </si>
  <si>
    <t>1909 WATERFRONT PL</t>
  </si>
  <si>
    <t xml:space="preserve">DANMAC LLC </t>
  </si>
  <si>
    <t>2042 WATERFRONT PL</t>
  </si>
  <si>
    <t>DANMAC LLC</t>
  </si>
  <si>
    <t>CLUBVIEW DR</t>
  </si>
  <si>
    <t>BRIDGEPORT</t>
  </si>
  <si>
    <t>WV</t>
  </si>
  <si>
    <t xml:space="preserve">DENA J TSAMITIS LIVING  TRUST                   </t>
  </si>
  <si>
    <t>2016 WATERFRONT PL</t>
  </si>
  <si>
    <t>PENNYMAC LOAN SERVICE</t>
  </si>
  <si>
    <t xml:space="preserve">LAUER ROBERT K </t>
  </si>
  <si>
    <t>1914 WATERFRONT PL</t>
  </si>
  <si>
    <t>WATERFRONT PL</t>
  </si>
  <si>
    <t>CHILESKI ROBIN LYNN  CHIMILE &amp; BRIAN ANDREW (</t>
  </si>
  <si>
    <t>1808 WATERFRONT PL</t>
  </si>
  <si>
    <t xml:space="preserve">JP MORGAN CHASE BANK </t>
  </si>
  <si>
    <t xml:space="preserve">FAHIMI MOHAMMAD MAHDI &amp;                         </t>
  </si>
  <si>
    <t>1750 WATERFRONT PL</t>
  </si>
  <si>
    <t>FAHIMI MOHAMMAD MAHDI</t>
  </si>
  <si>
    <t xml:space="preserve">OLEINICK LEE &amp; LISA (W) </t>
  </si>
  <si>
    <t>1730 WATERFRONT PL</t>
  </si>
  <si>
    <t>UBS BANK</t>
  </si>
  <si>
    <t>PO BOX 11733</t>
  </si>
  <si>
    <t>NEWARK</t>
  </si>
  <si>
    <t>LIU LIZHONG &amp; JIANG DONGXIA</t>
  </si>
  <si>
    <t>1726 WATERFRONT PL</t>
  </si>
  <si>
    <t>DANIELLE ST</t>
  </si>
  <si>
    <t>CRAIGE NELSON SCOTT &amp; CAROL WATSON (W)</t>
  </si>
  <si>
    <t>1720 WATERFRONT PL</t>
  </si>
  <si>
    <t>CRAIGE NELSON SCOTT &amp;</t>
  </si>
  <si>
    <t>SPRING COVE WAY</t>
  </si>
  <si>
    <t>SIX MILE</t>
  </si>
  <si>
    <t xml:space="preserve">LOFTUS SHARON M                                 </t>
  </si>
  <si>
    <t>1712 WATERFRONT PL</t>
  </si>
  <si>
    <t>LOFTUS SHARON M</t>
  </si>
  <si>
    <t xml:space="preserve">ZHUANG ZHONG                                    </t>
  </si>
  <si>
    <t>1649 PENN AVE</t>
  </si>
  <si>
    <t>PENN AVE</t>
  </si>
  <si>
    <t>COEN REAL ESTATE  HOLDINGS LLC</t>
  </si>
  <si>
    <t>1736 PENN AVE</t>
  </si>
  <si>
    <t>COEN REAL ESTATE HOLD</t>
  </si>
  <si>
    <t xml:space="preserve">AE DEV LLC </t>
  </si>
  <si>
    <t>1719 LIBERTY AVE</t>
  </si>
  <si>
    <t>ENTERPRISE BANK</t>
  </si>
  <si>
    <t>MT ROYAL BLVD</t>
  </si>
  <si>
    <t>MT ROYAL RD</t>
  </si>
  <si>
    <t xml:space="preserve">GOLDSTEIN PROPERTIES LLC </t>
  </si>
  <si>
    <t>1125 PENN AVE</t>
  </si>
  <si>
    <t xml:space="preserve">GOLDSTEIN PROPERTIES </t>
  </si>
  <si>
    <t>PENN AVE FL 3</t>
  </si>
  <si>
    <t xml:space="preserve">MULBERRY WAY PARTNERS LP </t>
  </si>
  <si>
    <t>1135 PENN AVE</t>
  </si>
  <si>
    <t>MULBERRY WAY PARTNERS</t>
  </si>
  <si>
    <t>SMALLMAN ST</t>
  </si>
  <si>
    <t xml:space="preserve">PENNSYLVANIA RAILROAD  COMPANY                 </t>
  </si>
  <si>
    <t>NORFOLK SOUTHERN CORP</t>
  </si>
  <si>
    <t>W PEACHTREE ST NW</t>
  </si>
  <si>
    <t>ATLANTA</t>
  </si>
  <si>
    <t>GA</t>
  </si>
  <si>
    <t xml:space="preserve">MAP CONSULTANTS LLC </t>
  </si>
  <si>
    <t>0 ARCENA ST</t>
  </si>
  <si>
    <t>MAP CONSULTANTS LLC</t>
  </si>
  <si>
    <t>MANORDALE RD</t>
  </si>
  <si>
    <t>DHALIWAL CONSTRUCTION &amp; REALTORS LLC</t>
  </si>
  <si>
    <t>967 LIBERTY AVE</t>
  </si>
  <si>
    <t>DHALIWAL CONSTRUCTION</t>
  </si>
  <si>
    <t>LIBERTY AVE</t>
  </si>
  <si>
    <t xml:space="preserve">LAI HOLDING LLC </t>
  </si>
  <si>
    <t>951 LIBERTY AVE UNIT 1B</t>
  </si>
  <si>
    <t>LAI HOLDING LLC</t>
  </si>
  <si>
    <t>HIGHVIEW DR</t>
  </si>
  <si>
    <t xml:space="preserve">949 LIBERTY PARTNERS </t>
  </si>
  <si>
    <t>949 LIBERTY AVE</t>
  </si>
  <si>
    <t>BEER LIME &amp; SUNSHINE DOWNTOWN LLC</t>
  </si>
  <si>
    <t>909 LIBERTY AVE</t>
  </si>
  <si>
    <t xml:space="preserve">BEER LIME &amp; SUNSHINE </t>
  </si>
  <si>
    <t>ABERDEEN CT</t>
  </si>
  <si>
    <t>CORAOPOLIS</t>
  </si>
  <si>
    <t xml:space="preserve">BEKMAN YURIY </t>
  </si>
  <si>
    <t>819 LIBERTY AVE</t>
  </si>
  <si>
    <t xml:space="preserve">800 -209 LLC                                    </t>
  </si>
  <si>
    <t>800 PENN AVE</t>
  </si>
  <si>
    <t>800 -209 LLC GV PROPE</t>
  </si>
  <si>
    <t>N PENN ST UNIT FC1</t>
  </si>
  <si>
    <t xml:space="preserve">TALLAASEN ONE LLC </t>
  </si>
  <si>
    <t>804 PENN AVE</t>
  </si>
  <si>
    <t>TALLAASEN ONE LLC</t>
  </si>
  <si>
    <t>BRADDOCK AVE</t>
  </si>
  <si>
    <t>BRADDOCK</t>
  </si>
  <si>
    <t>LENFANT LOFTS AT 806  PENN UNIT OWNERS WITH PE</t>
  </si>
  <si>
    <t>806 PENN AVE</t>
  </si>
  <si>
    <t>ALEKSANDAR IVETIC</t>
  </si>
  <si>
    <t xml:space="preserve">800-209 LLC                                     </t>
  </si>
  <si>
    <t>209 9TH ST</t>
  </si>
  <si>
    <t>800-209 LLC DAVID J D</t>
  </si>
  <si>
    <t>PENN ST UNIT FC1</t>
  </si>
  <si>
    <t xml:space="preserve">N&amp;P 950 LLC </t>
  </si>
  <si>
    <t>950 PENN AVE</t>
  </si>
  <si>
    <t>N&amp;P 950 LLC</t>
  </si>
  <si>
    <t>5TH AVE STE 404</t>
  </si>
  <si>
    <t xml:space="preserve">960 COSTA LLC </t>
  </si>
  <si>
    <t>960 PENN AVE</t>
  </si>
  <si>
    <t>CBRE LOAN SERVICES</t>
  </si>
  <si>
    <t>GESSNER RD STE 1700</t>
  </si>
  <si>
    <t>HOUSTON</t>
  </si>
  <si>
    <t>SUMMIT HOSPITALITY 139  LLC</t>
  </si>
  <si>
    <t>951 PENN AVE</t>
  </si>
  <si>
    <t>SUMMIT HOSPITALITY 13</t>
  </si>
  <si>
    <t>HILL COUNTRY BLVD STE R-100</t>
  </si>
  <si>
    <t>GARBER</t>
  </si>
  <si>
    <t>OK</t>
  </si>
  <si>
    <t>QUATRINI VINCENT J JR &amp; PATRICIA C (W)</t>
  </si>
  <si>
    <t>941 PENN AVE UNIT 301</t>
  </si>
  <si>
    <t>QUATRINI VINCENT J JR</t>
  </si>
  <si>
    <t>WATERFRONT PLACE</t>
  </si>
  <si>
    <t xml:space="preserve">STAPLETON DAVID J </t>
  </si>
  <si>
    <t>941 PENN AVE UNIT 801</t>
  </si>
  <si>
    <t>BLACKTHORN DR</t>
  </si>
  <si>
    <t>BUTLER</t>
  </si>
  <si>
    <t>REGIONAL DEVELOPMENT  PARTNERS-PENN AVENUE LLC</t>
  </si>
  <si>
    <t>931 PENN AVE</t>
  </si>
  <si>
    <t xml:space="preserve">REGIONAL DEVELOPMENT </t>
  </si>
  <si>
    <t xml:space="preserve">SAMPSON JOHN </t>
  </si>
  <si>
    <t>923 PENN AVE</t>
  </si>
  <si>
    <t>PENN AVE RENAISSANCE  III LP</t>
  </si>
  <si>
    <t>907 PENN AVE</t>
  </si>
  <si>
    <t>FORT DUQUESNE BLVD LP    ETAL</t>
  </si>
  <si>
    <t>912 FORT DUQUESNE BLVD</t>
  </si>
  <si>
    <t>*EBILL* ELMHURST GROU</t>
  </si>
  <si>
    <t>BIGELOW SQ SUITE 630</t>
  </si>
  <si>
    <t>KOLOD GLENN G &amp; ERIKA L (W)</t>
  </si>
  <si>
    <t>121 9TH ST</t>
  </si>
  <si>
    <t>KOLOD GLENN G &amp; ERIKA</t>
  </si>
  <si>
    <t>MOHAVE TRL</t>
  </si>
  <si>
    <t>MERCER</t>
  </si>
  <si>
    <t>IX LIBERTY  CENTER  OWNER LP</t>
  </si>
  <si>
    <t>1000 PENN AVE</t>
  </si>
  <si>
    <t>DORVIL GAINA</t>
  </si>
  <si>
    <t>GALLERIA PKWY STE 1450</t>
  </si>
  <si>
    <t xml:space="preserve">CONRAIL                                         </t>
  </si>
  <si>
    <t>0 27TH ST</t>
  </si>
  <si>
    <t>PENNSYLVANIA RAILROAD  COMPANY ETAL</t>
  </si>
  <si>
    <t>COMMERCIAL PLACE BOX 209</t>
  </si>
  <si>
    <t>NORFOLK</t>
  </si>
  <si>
    <t>VA</t>
  </si>
  <si>
    <t xml:space="preserve">CHEN BILL &amp; ANNE (W) </t>
  </si>
  <si>
    <t>2208 PENN AVE</t>
  </si>
  <si>
    <t>BILL CHEN</t>
  </si>
  <si>
    <t>BROOKSIDE LN</t>
  </si>
  <si>
    <t>FIFTY 26TH LLC           ETAL</t>
  </si>
  <si>
    <t>2554 RAILROAD ST</t>
  </si>
  <si>
    <t>FIFTY 26TH LLC</t>
  </si>
  <si>
    <t>WORTH ST STE 3F</t>
  </si>
  <si>
    <t xml:space="preserve">WILSSON1 LLC </t>
  </si>
  <si>
    <t>2613 SMALLMAN ST</t>
  </si>
  <si>
    <t>PIUS ST UNIT A5</t>
  </si>
  <si>
    <t>FEINSTEIN WENDY WEST &amp; STEVEN J (H)</t>
  </si>
  <si>
    <t>2635 PENN AVE UNIT 201</t>
  </si>
  <si>
    <t xml:space="preserve">FEINSTEIN WENDY WEST </t>
  </si>
  <si>
    <t>PENN AVE UNIT 201</t>
  </si>
  <si>
    <t xml:space="preserve">DATTILO ERICA L </t>
  </si>
  <si>
    <t>2635 PENN AVE UNIT 203</t>
  </si>
  <si>
    <t>FIRST NATIONAL BANK O</t>
  </si>
  <si>
    <t>E STATE ST</t>
  </si>
  <si>
    <t>HERMITAGE</t>
  </si>
  <si>
    <t xml:space="preserve">GLONINGER LISA C </t>
  </si>
  <si>
    <t>2635 PENN AVE UNIT 212</t>
  </si>
  <si>
    <t>GLONINGER LISA C</t>
  </si>
  <si>
    <t>PENN AVE UNIT 212</t>
  </si>
  <si>
    <t xml:space="preserve">BROADBENT ZACHARY </t>
  </si>
  <si>
    <t>2635 PENN AVE UNIT 315</t>
  </si>
  <si>
    <t>PENN AVE UNIT 315</t>
  </si>
  <si>
    <t xml:space="preserve">CICIRELLO EVAN </t>
  </si>
  <si>
    <t>2635 PENN AVE UNIT 404</t>
  </si>
  <si>
    <t>GRANDVIEW AVE STE 100</t>
  </si>
  <si>
    <t xml:space="preserve">KRIVAK THOMAS C                                 </t>
  </si>
  <si>
    <t>2635 PENN AVE UNIT 410</t>
  </si>
  <si>
    <t>FEDERATED MORTGAGE CO</t>
  </si>
  <si>
    <t xml:space="preserve">KOULIANOS ANTHONY P                             </t>
  </si>
  <si>
    <t>2635 PENN AVE UNIT 415</t>
  </si>
  <si>
    <t>CITIZENS BANK ONE HOM</t>
  </si>
  <si>
    <t>SABO GARY E &amp; JACLYN S (W)</t>
  </si>
  <si>
    <t>2635 PENN AVE UNIT 502</t>
  </si>
  <si>
    <t xml:space="preserve">SABO GARY E &amp; JACLYN </t>
  </si>
  <si>
    <t>PENN AVE UNIT 502</t>
  </si>
  <si>
    <t xml:space="preserve">MERICH JEREMY E                                 </t>
  </si>
  <si>
    <t>2635 PENN AVE UNIT 214</t>
  </si>
  <si>
    <t>MERICH JEREMY E</t>
  </si>
  <si>
    <t>PENN AVE UNIT 214</t>
  </si>
  <si>
    <t xml:space="preserve">NEW CITY MARKETING LLC </t>
  </si>
  <si>
    <t>2643 PENN AVE</t>
  </si>
  <si>
    <t>WESTERN AVE</t>
  </si>
  <si>
    <t xml:space="preserve">NOFTZ WAYNE R                                   </t>
  </si>
  <si>
    <t>2640 PENN AVE</t>
  </si>
  <si>
    <t>NOFTZ WAYNE R</t>
  </si>
  <si>
    <t>2638 PENN AVE</t>
  </si>
  <si>
    <t>CARDOSI ELISA &amp; JOSEPH THOMAS (H)</t>
  </si>
  <si>
    <t>2419 SMALLMAN ST UNIT 101</t>
  </si>
  <si>
    <t>SMALLMAN ST UNIT 1</t>
  </si>
  <si>
    <t xml:space="preserve">CHILDRESS CARRIE L </t>
  </si>
  <si>
    <t>2419 SMALLMAN ST UNIT 202</t>
  </si>
  <si>
    <t>RATAY ROBERT S &amp; JO ANNE (W)</t>
  </si>
  <si>
    <t>2419 SMALLMAN ST UNIT 302</t>
  </si>
  <si>
    <t xml:space="preserve">MMEJM PROPERTIES LLC </t>
  </si>
  <si>
    <t>2401 SMALLMAN ST</t>
  </si>
  <si>
    <t>FAIRSTEAD LN</t>
  </si>
  <si>
    <t xml:space="preserve">MIHALAKIS VIVIAN                                </t>
  </si>
  <si>
    <t>2434 SMALLMAN ST UNIT 211</t>
  </si>
  <si>
    <t>TRUIST BANK</t>
  </si>
  <si>
    <t>PICKENS DOUGLAS E&amp; SHIRLEY J (W)</t>
  </si>
  <si>
    <t>2434 SMALLMAN ST UNIT 217</t>
  </si>
  <si>
    <t>PHH MORTGAGE CORP/CEN</t>
  </si>
  <si>
    <t xml:space="preserve">FOSBENNER LEA D </t>
  </si>
  <si>
    <t>2434 SMALLMAN ST UNIT 222</t>
  </si>
  <si>
    <t>CROSSCOUNTRY MORTGAGE</t>
  </si>
  <si>
    <t>MILLER RD</t>
  </si>
  <si>
    <t>BRECKSVILLE</t>
  </si>
  <si>
    <t xml:space="preserve">EMOND CHRISTOPHER E                             </t>
  </si>
  <si>
    <t>2434 SMALLMAN ST UNIT 612</t>
  </si>
  <si>
    <t>FIRST AMERICAN R E TA</t>
  </si>
  <si>
    <t xml:space="preserve">HARKINS KEVIN C </t>
  </si>
  <si>
    <t>2434 SMALLMAN ST UNIT 519</t>
  </si>
  <si>
    <t>HARKINS KEVIN C</t>
  </si>
  <si>
    <t>SMALLMAN ST UNIT 519</t>
  </si>
  <si>
    <t xml:space="preserve">ZORETICH ALEXANDER S </t>
  </si>
  <si>
    <t>2434 SMALLMAN ST UNIT 522</t>
  </si>
  <si>
    <t>ALEXANDER S ZORETICH</t>
  </si>
  <si>
    <t>SMALLMAN ST UNIT 522</t>
  </si>
  <si>
    <t>BRUNO JOHN &amp; ROSEMARY (W)</t>
  </si>
  <si>
    <t>215 25TH ST UNIT 9</t>
  </si>
  <si>
    <t>BRUNO JOHN &amp; ROSEMARY</t>
  </si>
  <si>
    <t>25TH ST UNIT 9</t>
  </si>
  <si>
    <t xml:space="preserve">CHEN LAN-FONG </t>
  </si>
  <si>
    <t>2554 SMALLMAN ST UNIT 204</t>
  </si>
  <si>
    <t>SMALMAN ST UNIT 204</t>
  </si>
  <si>
    <t xml:space="preserve">SCHULTZ CRYSTAL </t>
  </si>
  <si>
    <t>2554 SMALLMAN ST UNIT 402</t>
  </si>
  <si>
    <t xml:space="preserve">BELL NICHOLAS JAMES </t>
  </si>
  <si>
    <t>2554 SMALLMAN ST UNIT 406</t>
  </si>
  <si>
    <t xml:space="preserve">LEONELLO FRANK </t>
  </si>
  <si>
    <t>2554 SMALLMAN ST UNIT 501</t>
  </si>
  <si>
    <t>FRANK LEONELLO</t>
  </si>
  <si>
    <t>E 7TH AVE</t>
  </si>
  <si>
    <t xml:space="preserve">BLANTON ANGELA M </t>
  </si>
  <si>
    <t>2554 SMALLMAN ST UNIT 506</t>
  </si>
  <si>
    <t>SMALLMAN ST UNIT 506</t>
  </si>
  <si>
    <t xml:space="preserve">HULLETT  PROPERTIES LLC </t>
  </si>
  <si>
    <t>2552 SMALLMAN ST</t>
  </si>
  <si>
    <t>HULLETT  PROPERTIES L</t>
  </si>
  <si>
    <t>FORBES AVE # 426</t>
  </si>
  <si>
    <t>2550 SMALLMAN ST</t>
  </si>
  <si>
    <t>OEM SUB F LLC            ETAL</t>
  </si>
  <si>
    <t>244 25TH ST</t>
  </si>
  <si>
    <t>LATITUDE AI LLC</t>
  </si>
  <si>
    <t>RAILROAD ST STE 400</t>
  </si>
  <si>
    <t xml:space="preserve">PORCO ROBERTA </t>
  </si>
  <si>
    <t>2545 PENN AVE UNIT 205</t>
  </si>
  <si>
    <t>ROCKET MORTGAGE</t>
  </si>
  <si>
    <t>2545 PENN AVE UNIT 301</t>
  </si>
  <si>
    <t>CHEN LAN-FONG</t>
  </si>
  <si>
    <t>PENN AVE UNIT 301</t>
  </si>
  <si>
    <t xml:space="preserve">VAUGHAN THOMAS </t>
  </si>
  <si>
    <t>2545 PENN AVE UNIT 303</t>
  </si>
  <si>
    <t>PENN AVE UNIT 303</t>
  </si>
  <si>
    <t>LIAO JACQUELINE LIAO JULIA</t>
  </si>
  <si>
    <t>2545 PENN AVE UNIT 304</t>
  </si>
  <si>
    <t>PENN AVE UNIT 304</t>
  </si>
  <si>
    <t xml:space="preserve">KWIATKOSKI NICHOLAS </t>
  </si>
  <si>
    <t>2545 PENN AVE UNIT 401</t>
  </si>
  <si>
    <t>TAYLOR M HARDY LEGACY  TRUST DATED JUNE 9  2016</t>
  </si>
  <si>
    <t>2545 PENN AVE UNIT 601</t>
  </si>
  <si>
    <t>SR 2044</t>
  </si>
  <si>
    <t>BENTLEYVILLE</t>
  </si>
  <si>
    <t xml:space="preserve">STEVENSON JAMES A </t>
  </si>
  <si>
    <t>2545 PENN AVE UNIT 603</t>
  </si>
  <si>
    <t xml:space="preserve">PHO QUOC </t>
  </si>
  <si>
    <t>2538 PENN AVE</t>
  </si>
  <si>
    <t>STONEHAVEN DR</t>
  </si>
  <si>
    <t>GREENSBURG</t>
  </si>
  <si>
    <t>HULLETT DEVELOPMENT  2614 PENN LP</t>
  </si>
  <si>
    <t>2614 PENN AVE</t>
  </si>
  <si>
    <t>HULLETT DEVELOPMENT 2</t>
  </si>
  <si>
    <t>FORBES AVE 426</t>
  </si>
  <si>
    <t xml:space="preserve">XAVIER FAVIAN </t>
  </si>
  <si>
    <t>286 BRERETON ST</t>
  </si>
  <si>
    <t>BRERETON ST</t>
  </si>
  <si>
    <t xml:space="preserve">LEMPICKI MARTHA P </t>
  </si>
  <si>
    <t>0 BRERETON ST</t>
  </si>
  <si>
    <t xml:space="preserve">BUNCHER COMPANY </t>
  </si>
  <si>
    <t>2700 LIBERTY AVE</t>
  </si>
  <si>
    <t>PO BOX 768</t>
  </si>
  <si>
    <t xml:space="preserve">WYLIE HOLDINGS LP </t>
  </si>
  <si>
    <t>3434 BETHOVEN ST</t>
  </si>
  <si>
    <t>BUTLER ST</t>
  </si>
  <si>
    <t xml:space="preserve">BOWLES JAMES M </t>
  </si>
  <si>
    <t>515 HELDMAN ST</t>
  </si>
  <si>
    <t xml:space="preserve">JOY SANDRA G </t>
  </si>
  <si>
    <t>517 ROBERTS ST</t>
  </si>
  <si>
    <t>ROBERTS ST</t>
  </si>
  <si>
    <t>MONTGOMERY MELVIN C &amp; KIM M (W)</t>
  </si>
  <si>
    <t>522 ARTHUR ST</t>
  </si>
  <si>
    <t>ARTHUR ST</t>
  </si>
  <si>
    <t xml:space="preserve">TILLMAN DERRICK </t>
  </si>
  <si>
    <t>515 ARTHUR ST</t>
  </si>
  <si>
    <t>THE MILLER RESIDENCES  LLC</t>
  </si>
  <si>
    <t>335 MILLER ST</t>
  </si>
  <si>
    <t>BEDFORD AVE</t>
  </si>
  <si>
    <t xml:space="preserve">MILLER STREET  LP </t>
  </si>
  <si>
    <t>328 MILLER ST</t>
  </si>
  <si>
    <t>MILLER STREET  LP</t>
  </si>
  <si>
    <t>MILLER ST</t>
  </si>
  <si>
    <t xml:space="preserve">JACKSON RUTH </t>
  </si>
  <si>
    <t>516 ROBERTS ST</t>
  </si>
  <si>
    <t>WILLIAMS DANA K &amp; ROBERT J RUSSELL</t>
  </si>
  <si>
    <t>112 WASHINGTON PL UNIT 2E</t>
  </si>
  <si>
    <t>WILLIAMS DANA K &amp; ROB</t>
  </si>
  <si>
    <t>WASHINGTON PL</t>
  </si>
  <si>
    <t xml:space="preserve">ANTOON JENNIFER NICOLE </t>
  </si>
  <si>
    <t>112 WASHINGTON PL UNIT 4E</t>
  </si>
  <si>
    <t>ANTOON JENNIFER NICOL</t>
  </si>
  <si>
    <t>WASHINGTON PL UNIT 4E</t>
  </si>
  <si>
    <t xml:space="preserve">WRIGHT LARRY O'NEIL </t>
  </si>
  <si>
    <t>112 WASHINGTON PL UNIT 7F</t>
  </si>
  <si>
    <t>WRIGHT LARRY O'NEIL</t>
  </si>
  <si>
    <t>MEADE ST</t>
  </si>
  <si>
    <t xml:space="preserve">CONTI FILOMENA </t>
  </si>
  <si>
    <t>112 WASHINGTON PL UNIT 9H</t>
  </si>
  <si>
    <t>WASHINGTON PL APT 9-H</t>
  </si>
  <si>
    <t xml:space="preserve">BHAMBWHANI NAVIN </t>
  </si>
  <si>
    <t>112 WASHINGTON PL UNIT 10E</t>
  </si>
  <si>
    <t>WASHINGTON PL APT 10E</t>
  </si>
  <si>
    <t xml:space="preserve">HILL DEBRA M </t>
  </si>
  <si>
    <t>112 WASHINGTON PL UNIT 16E</t>
  </si>
  <si>
    <t>GUARANTEED AFFINITY R</t>
  </si>
  <si>
    <t xml:space="preserve">REITER THOMAS M                                 </t>
  </si>
  <si>
    <t>112 WASHINGTON PL UNIT 20H</t>
  </si>
  <si>
    <t>THOMAS M REITER STEPH</t>
  </si>
  <si>
    <t>WASHINGTON PL UNIT 20H</t>
  </si>
  <si>
    <t xml:space="preserve">STOKES TIMOTHY J JR </t>
  </si>
  <si>
    <t>112 WASHINGTON PL UNIT 7J</t>
  </si>
  <si>
    <t>W SYCAMORE ST</t>
  </si>
  <si>
    <t xml:space="preserve">Z-BEST BARBEQUE CHICKEN  &amp; RIBS LLC              </t>
  </si>
  <si>
    <t>1315 5TH AVE</t>
  </si>
  <si>
    <t>Z-BEST BARBEQUE CHICK</t>
  </si>
  <si>
    <t>EPIPHANY PARISH  CHARITABLE TRUST (THE)</t>
  </si>
  <si>
    <t>164 WASHINGTON PL</t>
  </si>
  <si>
    <t>BOULEVARD OF ALLIES</t>
  </si>
  <si>
    <t xml:space="preserve">ZHAO YING </t>
  </si>
  <si>
    <t>1507 5TH AVE</t>
  </si>
  <si>
    <t xml:space="preserve">ROMA LOFTS CONDOMINIUM </t>
  </si>
  <si>
    <t>0 COLWELL ST</t>
  </si>
  <si>
    <t>COLWELL ST</t>
  </si>
  <si>
    <t xml:space="preserve">CEKUS MELISSA A </t>
  </si>
  <si>
    <t>1536 COLWELL ST UNIT 2</t>
  </si>
  <si>
    <t>WATERFORD DR</t>
  </si>
  <si>
    <t>MC KEES ROCKS</t>
  </si>
  <si>
    <t xml:space="preserve">GOLEMBIEWSKI JONATHAN </t>
  </si>
  <si>
    <t>1536 COLWELL ST UNIT 3</t>
  </si>
  <si>
    <t>COLWELL ST UNIT 3</t>
  </si>
  <si>
    <t xml:space="preserve">SCHREIBER TIMOTHY J </t>
  </si>
  <si>
    <t>1536 COLWELL ST UNIT 7</t>
  </si>
  <si>
    <t>PLAZA HOME MORTGAGE I</t>
  </si>
  <si>
    <t xml:space="preserve">BEDCLIFF APTS LLC                               </t>
  </si>
  <si>
    <t>10 REED ST</t>
  </si>
  <si>
    <t>BEDCLIFF APTS LLC C/O</t>
  </si>
  <si>
    <t>MAIN ST STE 339</t>
  </si>
  <si>
    <t>MONSEY</t>
  </si>
  <si>
    <t xml:space="preserve">JCWS LLC </t>
  </si>
  <si>
    <t>1515 COLWELL ST</t>
  </si>
  <si>
    <t>JCWS LLC</t>
  </si>
  <si>
    <t xml:space="preserve">HILL COM I APTS LLC                             </t>
  </si>
  <si>
    <t>1517 COLWELL ST</t>
  </si>
  <si>
    <t>HILL COM I APTS LLC J</t>
  </si>
  <si>
    <t xml:space="preserve">CENTRAL HILL APTS LLC                           </t>
  </si>
  <si>
    <t>1519 COLWELL ST</t>
  </si>
  <si>
    <t xml:space="preserve">LONG DAVID </t>
  </si>
  <si>
    <t>23 VINE ST</t>
  </si>
  <si>
    <t>LONG DAVID</t>
  </si>
  <si>
    <t>0 VINE ST</t>
  </si>
  <si>
    <t>VINE ST</t>
  </si>
  <si>
    <t>48 REED ST</t>
  </si>
  <si>
    <t>16 VINE ST</t>
  </si>
  <si>
    <t>0 COVINGTON ST</t>
  </si>
  <si>
    <t>251 MILLER ST</t>
  </si>
  <si>
    <t xml:space="preserve">CREWS DEVELOPMENT LLC </t>
  </si>
  <si>
    <t>1709 CLIFF ST</t>
  </si>
  <si>
    <t>CREWS DEVELOPMENT LLC</t>
  </si>
  <si>
    <t>SELBY WAY</t>
  </si>
  <si>
    <t xml:space="preserve">VITALI JOANN </t>
  </si>
  <si>
    <t>0 CLIFF ST</t>
  </si>
  <si>
    <t>23RD AVE</t>
  </si>
  <si>
    <t>ASTORIA</t>
  </si>
  <si>
    <t>JACKSON EDWARD W &amp; LERETTA P (W)</t>
  </si>
  <si>
    <t>1733 CLIFF ST</t>
  </si>
  <si>
    <t>CLIFF ST</t>
  </si>
  <si>
    <t>1809 CLIFF ST</t>
  </si>
  <si>
    <t>HOUSING AUTHORITY CITY  OF PITTSBURGH</t>
  </si>
  <si>
    <t>1811 CLIFF ST</t>
  </si>
  <si>
    <t>ROSS ST</t>
  </si>
  <si>
    <t>1815 CLIFF ST</t>
  </si>
  <si>
    <t>1829 CLIFF ST</t>
  </si>
  <si>
    <t xml:space="preserve">MCCLAIN EZRA  &amp; LEONA </t>
  </si>
  <si>
    <t>1833 CLIFF ST</t>
  </si>
  <si>
    <t>GAULT BERNADINE</t>
  </si>
  <si>
    <t>1835 CLIFF ST</t>
  </si>
  <si>
    <t>1839 CLIFF ST</t>
  </si>
  <si>
    <t>1836 ARCENA ST</t>
  </si>
  <si>
    <t>MORRIS TYRONE K &amp; HARRIET (W)</t>
  </si>
  <si>
    <t>1848 ARCENA ST</t>
  </si>
  <si>
    <t>ARCENA ST</t>
  </si>
  <si>
    <t xml:space="preserve">GRAYSON SHINORA D </t>
  </si>
  <si>
    <t>1852 ARCENA ST</t>
  </si>
  <si>
    <t xml:space="preserve">MINNIEFIELD TYRONE </t>
  </si>
  <si>
    <t>705 LEDLIE ST</t>
  </si>
  <si>
    <t>LEDLIE ST</t>
  </si>
  <si>
    <t>GRANT RONALD P &amp; PATRICIA A (W)</t>
  </si>
  <si>
    <t>707 LEDLIE ST</t>
  </si>
  <si>
    <t>GRANT RONALD P &amp; PATR</t>
  </si>
  <si>
    <t>0 LEDLIE ST</t>
  </si>
  <si>
    <t>AMANI CHRISTIAN  COMMUNITY DEVELOPMENT CO</t>
  </si>
  <si>
    <t>841 LEDLIE ST</t>
  </si>
  <si>
    <t>AMANI CHRISTIAN COMMU</t>
  </si>
  <si>
    <t>CLARISSA ST</t>
  </si>
  <si>
    <t>10 LEDLIE ST</t>
  </si>
  <si>
    <t>1858 CLIFF ST</t>
  </si>
  <si>
    <t>1850 CLIFF ST</t>
  </si>
  <si>
    <t>0 MONACA PL</t>
  </si>
  <si>
    <t>1848 CLIFF ST</t>
  </si>
  <si>
    <t>1841 MONACA PL</t>
  </si>
  <si>
    <t xml:space="preserve">WESTBROOK MICHELLE </t>
  </si>
  <si>
    <t>1842 CLIFF ST</t>
  </si>
  <si>
    <t>MICHELLE WESTBROOK</t>
  </si>
  <si>
    <t xml:space="preserve">BURNS LORETTA </t>
  </si>
  <si>
    <t>1844 CLIFF ST</t>
  </si>
  <si>
    <t>1846 CLIFF ST</t>
  </si>
  <si>
    <t>33 CLIFF ST</t>
  </si>
  <si>
    <t>ROSS ST FL 9</t>
  </si>
  <si>
    <t xml:space="preserve">JOHNSON STEPHANIE </t>
  </si>
  <si>
    <t>KENNEDY AVE</t>
  </si>
  <si>
    <t>2 MONACA PL</t>
  </si>
  <si>
    <t>1 MONACA PL</t>
  </si>
  <si>
    <t>816 CASSATT ST</t>
  </si>
  <si>
    <t>1734 CLIFF ST</t>
  </si>
  <si>
    <t xml:space="preserve">CHRISTIAN RHODA E </t>
  </si>
  <si>
    <t>1730 CLIFF ST</t>
  </si>
  <si>
    <t xml:space="preserve">PARKER MARLANA </t>
  </si>
  <si>
    <t>1724 CLIFF ST</t>
  </si>
  <si>
    <t>PARKER MARLANA</t>
  </si>
  <si>
    <t>SMITH DON L JR &amp; CYNTHIA J (W)</t>
  </si>
  <si>
    <t>1716 CLIFF ST</t>
  </si>
  <si>
    <t>817 CASSATT ST</t>
  </si>
  <si>
    <t>815 CASSATT ST</t>
  </si>
  <si>
    <t xml:space="preserve">ALTAEE  DHOHA-RAGHDA-SAAD       </t>
  </si>
  <si>
    <t>709 CASSATT ST</t>
  </si>
  <si>
    <t>ALTAEE DHOHA-RAGHDA-S</t>
  </si>
  <si>
    <t>N 19TH DR</t>
  </si>
  <si>
    <t>PHOENIX</t>
  </si>
  <si>
    <t>AZ</t>
  </si>
  <si>
    <t>NEALOUS BENNIE  &amp; LAURA LEE</t>
  </si>
  <si>
    <t>713 CASSATT ST</t>
  </si>
  <si>
    <t>UNDELIVERABLE / NO KN</t>
  </si>
  <si>
    <t>707 CASSATT ST</t>
  </si>
  <si>
    <t xml:space="preserve">DAISY WILSON ARTIST  COMMUNITY INC           </t>
  </si>
  <si>
    <t>1809 BEDFORD AVE</t>
  </si>
  <si>
    <t>DAISY WILSON ARTIST C</t>
  </si>
  <si>
    <t>810 CASSATT ST</t>
  </si>
  <si>
    <t>1815 BEDFORD AVE</t>
  </si>
  <si>
    <t>802 CASSATT ST</t>
  </si>
  <si>
    <t>1821 BEDFORD AVE</t>
  </si>
  <si>
    <t>1823 BEDFORD AVE</t>
  </si>
  <si>
    <t xml:space="preserve">MACK ANTHONY L </t>
  </si>
  <si>
    <t>0 BEDFORD AVE</t>
  </si>
  <si>
    <t>E ELIZABETH ST</t>
  </si>
  <si>
    <t>TURK DEBORAH RANDY TURK</t>
  </si>
  <si>
    <t>14 MONACA PL</t>
  </si>
  <si>
    <t>MONACA PL</t>
  </si>
  <si>
    <t xml:space="preserve">WILSON SHEREE K </t>
  </si>
  <si>
    <t>1829 BEDFORD AVE</t>
  </si>
  <si>
    <t>STROTHERS DAVID E &amp; DONNA (W)</t>
  </si>
  <si>
    <t>1841 BEDFORD AVE</t>
  </si>
  <si>
    <t xml:space="preserve">MULDROW RICHARD                                 </t>
  </si>
  <si>
    <t>1845 BEDFORD AVE</t>
  </si>
  <si>
    <t>DOLLAR BANK SERVICING</t>
  </si>
  <si>
    <t>PO BOX 8469</t>
  </si>
  <si>
    <t>CANTON</t>
  </si>
  <si>
    <t xml:space="preserve">MAYS HAROLD W </t>
  </si>
  <si>
    <t>1835 BEDFORD AVE</t>
  </si>
  <si>
    <t>58 MONACA PL</t>
  </si>
  <si>
    <t>KEYSTONE INTER STATE DEV CORP</t>
  </si>
  <si>
    <t>RF</t>
  </si>
  <si>
    <t>CARLTON HSE</t>
  </si>
  <si>
    <t>809 LEDLIE ST</t>
  </si>
  <si>
    <t>PEOPLES ALVIN  &amp; JESSIE MAE PEOPLES</t>
  </si>
  <si>
    <t>1908 BEDFORD AVE</t>
  </si>
  <si>
    <t>1844 BEDFORD AVE</t>
  </si>
  <si>
    <t>TURNER JEROME  &amp; CHERYL (W)</t>
  </si>
  <si>
    <t>0 ROWLEY ST</t>
  </si>
  <si>
    <t>LANDSDOWNE DR</t>
  </si>
  <si>
    <t>VERONA</t>
  </si>
  <si>
    <t>246 HILLSIDE DR</t>
  </si>
  <si>
    <t>1611 BEDFORD AVE</t>
  </si>
  <si>
    <t>1609 BEDFORD AVE</t>
  </si>
  <si>
    <t xml:space="preserve">PARTY MCPICNIC INC </t>
  </si>
  <si>
    <t>1539 BEDFORD AVE</t>
  </si>
  <si>
    <t>1525 BEDFORD AVE</t>
  </si>
  <si>
    <t>1523 BEDFORD AVE</t>
  </si>
  <si>
    <t>1521 BEDFORD AVE</t>
  </si>
  <si>
    <t>0 CRAWFORD ST</t>
  </si>
  <si>
    <t>820 CRAWFORD ST</t>
  </si>
  <si>
    <t>822 CRAWFORD ST</t>
  </si>
  <si>
    <t xml:space="preserve">XU HONGAN </t>
  </si>
  <si>
    <t>1619 BEDFORD AVE</t>
  </si>
  <si>
    <t>PELHAM AVE</t>
  </si>
  <si>
    <t>LOS ANGELES</t>
  </si>
  <si>
    <t>714 MANILLA ST</t>
  </si>
  <si>
    <t>15 MANILLA ST</t>
  </si>
  <si>
    <t xml:space="preserve">SHONDOR REALTY LLC </t>
  </si>
  <si>
    <t>1711 BEDFORD AVE</t>
  </si>
  <si>
    <t>REDGATE RD</t>
  </si>
  <si>
    <t>SEWICKLEY</t>
  </si>
  <si>
    <t xml:space="preserve">RICHARDS MICHAEL H </t>
  </si>
  <si>
    <t>1719 BEDFORD AVE</t>
  </si>
  <si>
    <t>ANAHEIM ST</t>
  </si>
  <si>
    <t>DAISY WILSON ARTIST  COMMUNITY INC</t>
  </si>
  <si>
    <t>1725 BEDFORD AVE</t>
  </si>
  <si>
    <t>1727 BEDFORD AVE</t>
  </si>
  <si>
    <t>1720 BEDFORD AVE</t>
  </si>
  <si>
    <t>1718 BEDFORD AVE</t>
  </si>
  <si>
    <t xml:space="preserve">HAWKINS BRITTANY </t>
  </si>
  <si>
    <t>COUNTRY WOOD DR</t>
  </si>
  <si>
    <t>1712 BEDFORD AVE</t>
  </si>
  <si>
    <t>2 ROBERTS ST</t>
  </si>
  <si>
    <t xml:space="preserve">BERCIK P WILLIAM </t>
  </si>
  <si>
    <t>707 ROBERTS ST</t>
  </si>
  <si>
    <t>1700 BEDFORD AVE</t>
  </si>
  <si>
    <t>1634 BEDFORD AVE</t>
  </si>
  <si>
    <t>ABRAHAM MIKE  &amp; HOFFEEZA (W)</t>
  </si>
  <si>
    <t>1618 BEDFORD AVE</t>
  </si>
  <si>
    <t xml:space="preserve">LEWIS JAMES M </t>
  </si>
  <si>
    <t>712 ROBERTS ST</t>
  </si>
  <si>
    <t xml:space="preserve">WATKINS LORI A </t>
  </si>
  <si>
    <t>1811 WEBSTER AVE</t>
  </si>
  <si>
    <t>WEBSTER AVE</t>
  </si>
  <si>
    <t>0 WEBSTER AVE</t>
  </si>
  <si>
    <t>PITTSBURGH HOUSING  DEVELOPMENTCORPORATION</t>
  </si>
  <si>
    <t>212 HILLSIDE DR</t>
  </si>
  <si>
    <t>PITTSBURGH HOUSING DE</t>
  </si>
  <si>
    <t xml:space="preserve">RIVERS MICHAEL </t>
  </si>
  <si>
    <t>1845 WEBSTER AVE</t>
  </si>
  <si>
    <t xml:space="preserve">JOHNSON EILEEN M </t>
  </si>
  <si>
    <t>1851 WEBSTER AVE</t>
  </si>
  <si>
    <t>CLANSY ISIAH  &amp; PRISCILLA M</t>
  </si>
  <si>
    <t>CLANSY ISIAH  &amp; PRISC</t>
  </si>
  <si>
    <t>ABER RD</t>
  </si>
  <si>
    <t>SECURITY PACIFIC NATIONAL BANK (TRUSTEE)</t>
  </si>
  <si>
    <t xml:space="preserve">DANIELS RAYMOND E &amp; DARLENE (W)             </t>
  </si>
  <si>
    <t>1838 WEBSTER AVE</t>
  </si>
  <si>
    <t>DANIELS RAYMOND E &amp; D</t>
  </si>
  <si>
    <t xml:space="preserve">BROWN ADAM R                                    </t>
  </si>
  <si>
    <t>1836 WEBSTER AVE</t>
  </si>
  <si>
    <t>UNION NATIONAL MTGE</t>
  </si>
  <si>
    <t>DOW CIR</t>
  </si>
  <si>
    <t>STRONGSVILLE</t>
  </si>
  <si>
    <t xml:space="preserve">ONA ELLEN </t>
  </si>
  <si>
    <t>CENTER ST</t>
  </si>
  <si>
    <t>PATTERSON JOHNNY M &amp; KRYSTAL (W)</t>
  </si>
  <si>
    <t>1816 WEBSTER AVE</t>
  </si>
  <si>
    <t>0 ROBERTS ST</t>
  </si>
  <si>
    <t xml:space="preserve">EBONY DEVELOPMENT LLC </t>
  </si>
  <si>
    <t>CENTRE AVE</t>
  </si>
  <si>
    <t xml:space="preserve">CENTER THAT CARES </t>
  </si>
  <si>
    <t>1812 ENOCH ST</t>
  </si>
  <si>
    <t>ENOCH ST</t>
  </si>
  <si>
    <t xml:space="preserve">STROTHERS MARIE </t>
  </si>
  <si>
    <t>0 ENOCH ST</t>
  </si>
  <si>
    <t>JERON XAVIER GRAYSON  FOUNDATION</t>
  </si>
  <si>
    <t>1816 ENOCH ST</t>
  </si>
  <si>
    <t xml:space="preserve">ROBERSON WILLIAM H JR </t>
  </si>
  <si>
    <t>1809 WYLIE AVE</t>
  </si>
  <si>
    <t>CITIMORTGAGE INC</t>
  </si>
  <si>
    <t>PO BOX 961252</t>
  </si>
  <si>
    <t>FORT WORTH</t>
  </si>
  <si>
    <t xml:space="preserve">ELLIS CORNELL SR                                </t>
  </si>
  <si>
    <t>1817 WYLIE AVE</t>
  </si>
  <si>
    <t>WYLIE AVE</t>
  </si>
  <si>
    <t xml:space="preserve">COLECCHI NEAL </t>
  </si>
  <si>
    <t>1618 WEBSTER AVE</t>
  </si>
  <si>
    <t>MOVEMENT MORTGAGE LLC</t>
  </si>
  <si>
    <t xml:space="preserve">LUTTRELL MELODIE B </t>
  </si>
  <si>
    <t>1626 WEBSTER AVE</t>
  </si>
  <si>
    <t xml:space="preserve">DYER JOSEPH F &amp; FLORENTINE (W)          </t>
  </si>
  <si>
    <t>609 ROBERTS ST</t>
  </si>
  <si>
    <t>DYER JOSEPH F &amp; FLORE</t>
  </si>
  <si>
    <t xml:space="preserve">ROBERTS CLIFFORD                                </t>
  </si>
  <si>
    <t>1823 LINTON ST</t>
  </si>
  <si>
    <t>ROBERTS CLIFFORD</t>
  </si>
  <si>
    <t>LINTON ST</t>
  </si>
  <si>
    <t xml:space="preserve">JOHNSON NORMA JEAN </t>
  </si>
  <si>
    <t>543 ROBERTS ST</t>
  </si>
  <si>
    <t xml:space="preserve">STRONG KELLIN </t>
  </si>
  <si>
    <t>1913 WEBSTER AVE</t>
  </si>
  <si>
    <t xml:space="preserve">MATLOCK NORMAN GREGORY </t>
  </si>
  <si>
    <t>MATLOCK NORMAN GREGOR</t>
  </si>
  <si>
    <t>WADSWORTH AVE</t>
  </si>
  <si>
    <t xml:space="preserve">PRATT NORMA JEAN                                </t>
  </si>
  <si>
    <t>0 DEVILLIERS ST</t>
  </si>
  <si>
    <t>DEVILLIERS ST</t>
  </si>
  <si>
    <t xml:space="preserve">KING PATRICIA A </t>
  </si>
  <si>
    <t xml:space="preserve">REO ACCEPTANCE CORP LTD </t>
  </si>
  <si>
    <t>N AUSTRALIAN AVE STE 101</t>
  </si>
  <si>
    <t>WEST PALM BEAC</t>
  </si>
  <si>
    <t>1930 BEDFORD AVE</t>
  </si>
  <si>
    <t>1920 BEDFORD AVE</t>
  </si>
  <si>
    <t>233 DEVILLIERS ST</t>
  </si>
  <si>
    <t xml:space="preserve">CORELOGIC COMMERCIAL </t>
  </si>
  <si>
    <t>CORELOGIC DR</t>
  </si>
  <si>
    <t>WESTLAKE</t>
  </si>
  <si>
    <t>CHRISTIAN CLIFFORD &amp; CONNIE D (W)</t>
  </si>
  <si>
    <t>1926 WEBSTER AVE</t>
  </si>
  <si>
    <t xml:space="preserve">THOMPSON RANDER J                               </t>
  </si>
  <si>
    <t>0 SWEENEY WAY</t>
  </si>
  <si>
    <t>W CAMPBELL AVE</t>
  </si>
  <si>
    <t>LITCHFIELD PAR</t>
  </si>
  <si>
    <t>TIPPETT JOSEPH &amp; LOIS (W)</t>
  </si>
  <si>
    <t>161 DEVILLIERS ST</t>
  </si>
  <si>
    <t>TIPPETT JOSEPH &amp; LOIS</t>
  </si>
  <si>
    <t xml:space="preserve">COLEMAN JOE C &amp; PEARLEAN </t>
  </si>
  <si>
    <t>174 SWEENEY WAY</t>
  </si>
  <si>
    <t>SWEENEY WAY</t>
  </si>
  <si>
    <t xml:space="preserve">HARRIS MELVIN                                   </t>
  </si>
  <si>
    <t>178 SWEENEY WAY</t>
  </si>
  <si>
    <t>HARRIS MELVIN</t>
  </si>
  <si>
    <t xml:space="preserve">HOWELL MARLON                                   </t>
  </si>
  <si>
    <t>158 GRANVILLE ST</t>
  </si>
  <si>
    <t>LYNNVILLE TER</t>
  </si>
  <si>
    <t>UPPER MARLBORO</t>
  </si>
  <si>
    <t>MD</t>
  </si>
  <si>
    <t>0 GRANVILLE ST</t>
  </si>
  <si>
    <t>CENTER THAT CARES</t>
  </si>
  <si>
    <t>MOUNT ROSE BAPTIST  CHURCH</t>
  </si>
  <si>
    <t>0 WYLIE AVE</t>
  </si>
  <si>
    <t>MOUNT ROSE BAPTIST CH</t>
  </si>
  <si>
    <t xml:space="preserve">KANE-COLE EVETTE L </t>
  </si>
  <si>
    <t>1851 LINTON ST</t>
  </si>
  <si>
    <t xml:space="preserve">HH MAIN LLC </t>
  </si>
  <si>
    <t>1835 CENTRE AVE</t>
  </si>
  <si>
    <t xml:space="preserve">ONE HOPE LLC </t>
  </si>
  <si>
    <t>1901 CENTRE AVE</t>
  </si>
  <si>
    <t>HILL HOUSE ECONOMIC D</t>
  </si>
  <si>
    <t xml:space="preserve">FD HD LLC </t>
  </si>
  <si>
    <t>1917 CENTRE AVE</t>
  </si>
  <si>
    <t xml:space="preserve">BLAKEY CENTER LLC </t>
  </si>
  <si>
    <t>1908 WYLIE AVE</t>
  </si>
  <si>
    <t>319 ROBERTS ST</t>
  </si>
  <si>
    <t>317 ROBERTS ST</t>
  </si>
  <si>
    <t>315 ROBERTS ST</t>
  </si>
  <si>
    <t>313 ROBERTS ST</t>
  </si>
  <si>
    <t>311 ROBERTS ST</t>
  </si>
  <si>
    <t>344 ROBERTS ST</t>
  </si>
  <si>
    <t>75 ROBERTS ST</t>
  </si>
  <si>
    <t xml:space="preserve">SLAYDEN EDWARD </t>
  </si>
  <si>
    <t>UTAH ST</t>
  </si>
  <si>
    <t>SAN FRANCISCO</t>
  </si>
  <si>
    <t>COLEMAN VALLEY RD</t>
  </si>
  <si>
    <t>OCCIDENTAL</t>
  </si>
  <si>
    <t xml:space="preserve">WILBURN FREDERICK THOMAS </t>
  </si>
  <si>
    <t>79 REED ST</t>
  </si>
  <si>
    <t>BEDCLIFF APTS LLC JON</t>
  </si>
  <si>
    <t xml:space="preserve">WILLIAMS IRWIN O </t>
  </si>
  <si>
    <t>0 HELDMAN ST</t>
  </si>
  <si>
    <t>ALLEGHENY UNION PGH PROJECT INC</t>
  </si>
  <si>
    <t>411 DINWIDDIE ST</t>
  </si>
  <si>
    <t>ARMSTRONG PL</t>
  </si>
  <si>
    <t>SALEMS MARKET CENTRE  AVE LLC</t>
  </si>
  <si>
    <t>1850 CENTRE AVE</t>
  </si>
  <si>
    <t>FIDELIS COMMUNITY  INVESTMENT LLC</t>
  </si>
  <si>
    <t>327 DINWIDDIE ST</t>
  </si>
  <si>
    <t>LIMA ONE CAPITAL LLC</t>
  </si>
  <si>
    <t>E MCBEE AVE STE 300</t>
  </si>
  <si>
    <t xml:space="preserve">DINWIDDIE HOUSING LP IV </t>
  </si>
  <si>
    <t>321 DINWIDDIE ST</t>
  </si>
  <si>
    <t>7TH ST STE 300</t>
  </si>
  <si>
    <t>LOWE CARLENE  &amp; CONSTANCE R LOWE</t>
  </si>
  <si>
    <t>271 DINWIDDIE ST</t>
  </si>
  <si>
    <t>DINWIDDIE ST</t>
  </si>
  <si>
    <t>0 DINWIDDIE ST</t>
  </si>
  <si>
    <t xml:space="preserve">TURNER CHARLA A </t>
  </si>
  <si>
    <t>267 DINWIDDIE ST</t>
  </si>
  <si>
    <t>256 DINWIDDIE ST</t>
  </si>
  <si>
    <t>262 DINWIDDIE ST</t>
  </si>
  <si>
    <t xml:space="preserve">PALAU ALEX </t>
  </si>
  <si>
    <t>276 LOMBARD ST</t>
  </si>
  <si>
    <t>LOMBARD ST</t>
  </si>
  <si>
    <t xml:space="preserve">SHELTON MARGARET </t>
  </si>
  <si>
    <t>0 LOMBARD ST</t>
  </si>
  <si>
    <t xml:space="preserve">BLAIR WILLIAM HOWARD </t>
  </si>
  <si>
    <t xml:space="preserve">DINWIDDIE HOUSING  LIMITED PARTNERSHIP IV  </t>
  </si>
  <si>
    <t>310 DINWIDDIE ST</t>
  </si>
  <si>
    <t>DINWIDDIE HOUSING LIM</t>
  </si>
  <si>
    <t>7TH ST</t>
  </si>
  <si>
    <t>322 DINWIDDIE ST</t>
  </si>
  <si>
    <t xml:space="preserve">DINWIDDLE HOUSING  LIMITED PARTNERSHIP IV  </t>
  </si>
  <si>
    <t>326 DINWIDDIE ST</t>
  </si>
  <si>
    <t>DINWIDDLE HOUSING LIM</t>
  </si>
  <si>
    <t>330 DINWIDDIE ST</t>
  </si>
  <si>
    <t>DINWIDDIE HOUSING  ETAL</t>
  </si>
  <si>
    <t>318 DINWIDDIE ST</t>
  </si>
  <si>
    <t>1749 5TH AVE</t>
  </si>
  <si>
    <t>1747 5TH AVE</t>
  </si>
  <si>
    <t>1743 5TH AVE</t>
  </si>
  <si>
    <t>1739 5TH AVE</t>
  </si>
  <si>
    <t>PITTSBURGH URBAN REDE</t>
  </si>
  <si>
    <t>1729 5TH AVE</t>
  </si>
  <si>
    <t>1723 5TH AVE</t>
  </si>
  <si>
    <t>1721 5TH AVE</t>
  </si>
  <si>
    <t>1719 5TH AVE</t>
  </si>
  <si>
    <t xml:space="preserve">1717 FIFTH LLC </t>
  </si>
  <si>
    <t>1709 5TH AVE</t>
  </si>
  <si>
    <t>1717 FIFTH LLC</t>
  </si>
  <si>
    <t>STONYBROOK RD</t>
  </si>
  <si>
    <t>WESTPORT</t>
  </si>
  <si>
    <t>CT</t>
  </si>
  <si>
    <t>1638 COLWELL ST</t>
  </si>
  <si>
    <t xml:space="preserve">THOMPSON CRAIG M </t>
  </si>
  <si>
    <t>1640 COLWELL ST</t>
  </si>
  <si>
    <t>OUR WAY</t>
  </si>
  <si>
    <t>1711 OUR WAY</t>
  </si>
  <si>
    <t xml:space="preserve">THOMPSON CRAIG </t>
  </si>
  <si>
    <t>1652 COLWELL ST</t>
  </si>
  <si>
    <t>112 DINWIDDIE ST</t>
  </si>
  <si>
    <t xml:space="preserve">MCGUIRE JAMES A </t>
  </si>
  <si>
    <t>1817 5TH AVE</t>
  </si>
  <si>
    <t>MCGUIRE JAMES A</t>
  </si>
  <si>
    <t>WILTON PARK CT</t>
  </si>
  <si>
    <t>SPRING</t>
  </si>
  <si>
    <t xml:space="preserve">MARSHALL JERRY PETE </t>
  </si>
  <si>
    <t>228 LOMBARD ST</t>
  </si>
  <si>
    <t>SHELTON JOHN L &amp; EMMA L (W)</t>
  </si>
  <si>
    <t>232 LOMBARD ST</t>
  </si>
  <si>
    <t>FARRIS JOHN  &amp; RUTH M (W)</t>
  </si>
  <si>
    <t>FARRIS JOHN  &amp; RUTH M</t>
  </si>
  <si>
    <t>MURTLAND AVE</t>
  </si>
  <si>
    <t xml:space="preserve">MITCHELL CLARENCE L </t>
  </si>
  <si>
    <t>ALEQUIPPA ST UNIT 309</t>
  </si>
  <si>
    <t xml:space="preserve">MCKINNEY SARAH L </t>
  </si>
  <si>
    <t>E</t>
  </si>
  <si>
    <t xml:space="preserve">OKOBI RAPHAEL I </t>
  </si>
  <si>
    <t>N.VERSAILLES</t>
  </si>
  <si>
    <t xml:space="preserve">XMITCHELL CLARENCE L </t>
  </si>
  <si>
    <t>HAGLER RUTH E &amp; ELEANOR K CYRUS</t>
  </si>
  <si>
    <t xml:space="preserve">HOOPER ANDREA </t>
  </si>
  <si>
    <t>241 LOMBARD ST</t>
  </si>
  <si>
    <t xml:space="preserve">RAINEY MAJOR </t>
  </si>
  <si>
    <t>227 LOMBARD ST</t>
  </si>
  <si>
    <t>ALLEQUIPPA ST APT 110</t>
  </si>
  <si>
    <t xml:space="preserve">W BEST PROPERTIES </t>
  </si>
  <si>
    <t>223 LOMBARD ST</t>
  </si>
  <si>
    <t>CASTLE LN</t>
  </si>
  <si>
    <t xml:space="preserve">LOTT ODIES  &amp; VAUDIE (W) </t>
  </si>
  <si>
    <t>214 WICK ST</t>
  </si>
  <si>
    <t>IN CARE OF LOTT  VAUD</t>
  </si>
  <si>
    <t>S JOSLYN ST</t>
  </si>
  <si>
    <t xml:space="preserve">MCDODNALD TODD </t>
  </si>
  <si>
    <t>234 WICK ST</t>
  </si>
  <si>
    <t>WICK ST</t>
  </si>
  <si>
    <t xml:space="preserve">MUSGROVE CHARLA </t>
  </si>
  <si>
    <t>228 WICK ST</t>
  </si>
  <si>
    <t>CHISLETT ST</t>
  </si>
  <si>
    <t xml:space="preserve">MORGAN DENNIS </t>
  </si>
  <si>
    <t xml:space="preserve">ROBINSON STEVEN T </t>
  </si>
  <si>
    <t>0 WICK ST</t>
  </si>
  <si>
    <t>TUXPAN ST</t>
  </si>
  <si>
    <t>LAS VEGAS</t>
  </si>
  <si>
    <t>NV</t>
  </si>
  <si>
    <t xml:space="preserve">RAY HAROLD M </t>
  </si>
  <si>
    <t>BROWN WILLIE MAY &amp; MAXINE CARR</t>
  </si>
  <si>
    <t xml:space="preserve">TINKER RENE </t>
  </si>
  <si>
    <t>E 20TH AVE</t>
  </si>
  <si>
    <t>NAPPER WILLIAM  &amp; SONDRA BOYER</t>
  </si>
  <si>
    <t>DENHAM ALBERT  &amp; AMANDA (W)</t>
  </si>
  <si>
    <t>AUBURN TOWERS APT 322</t>
  </si>
  <si>
    <t xml:space="preserve">BOARD OF PUBLIC  EDUCATION OF THE SCHOOL </t>
  </si>
  <si>
    <t>S BELLEFIELD AVE</t>
  </si>
  <si>
    <t xml:space="preserve">BALDWIN THOMAS </t>
  </si>
  <si>
    <t>237 WICK ST</t>
  </si>
  <si>
    <t xml:space="preserve">MANGHAM ROSCOE </t>
  </si>
  <si>
    <t xml:space="preserve">SIMPSON SERENA THEA </t>
  </si>
  <si>
    <t>215 WICK ST</t>
  </si>
  <si>
    <t>PO BOX 8167</t>
  </si>
  <si>
    <t xml:space="preserve">GADSEN ROBERT </t>
  </si>
  <si>
    <t>204 DINWIDDIE ST</t>
  </si>
  <si>
    <t>216 DINWIDDIE ST</t>
  </si>
  <si>
    <t>244 DINWIDDIE ST</t>
  </si>
  <si>
    <t>213 DINWIDDIE ST</t>
  </si>
  <si>
    <t xml:space="preserve">JACKSON DEBORAH L </t>
  </si>
  <si>
    <t xml:space="preserve">REED ROBERTS HOUSING LP </t>
  </si>
  <si>
    <t>0 MILLER ST</t>
  </si>
  <si>
    <t xml:space="preserve">REED ROBERTS HOUSING </t>
  </si>
  <si>
    <t>7TH ST # 300</t>
  </si>
  <si>
    <t>NEW PILGRIM BAPTIST  CHURCH (THE)</t>
  </si>
  <si>
    <t>1929 5TH AVE</t>
  </si>
  <si>
    <t xml:space="preserve">COMMUNITY REINVESTMENT  PARTNERS LLC            </t>
  </si>
  <si>
    <t>3108 ELLERS ST</t>
  </si>
  <si>
    <t>COMMUNITY REINVESTMEN</t>
  </si>
  <si>
    <t>CAVITT AVE</t>
  </si>
  <si>
    <t>TRAFFORD</t>
  </si>
  <si>
    <t xml:space="preserve">T S PITT LLC </t>
  </si>
  <si>
    <t>0 ELLERS ST</t>
  </si>
  <si>
    <t>T S PITT LLC</t>
  </si>
  <si>
    <t>P.O. BOX 1123</t>
  </si>
  <si>
    <t>CYPRESS</t>
  </si>
  <si>
    <t>YANG HONGLIANG &amp; FANG (W)</t>
  </si>
  <si>
    <t>2510 ALLEQUIPPA ST</t>
  </si>
  <si>
    <t>YANG HONGLIANG &amp; FANG</t>
  </si>
  <si>
    <t>PARKWAY DR</t>
  </si>
  <si>
    <t xml:space="preserve">HILL COM II APTS LLC                            </t>
  </si>
  <si>
    <t>2006 DERUAD ST</t>
  </si>
  <si>
    <t>2029 5TH AVE</t>
  </si>
  <si>
    <t>2031 5TH AVE</t>
  </si>
  <si>
    <t>2035 5TH AVE</t>
  </si>
  <si>
    <t>2014 DERUAD ST</t>
  </si>
  <si>
    <t>2016 DERUAD ST</t>
  </si>
  <si>
    <t>2041 5TH AVE</t>
  </si>
  <si>
    <t xml:space="preserve">SMILEY BESSIE </t>
  </si>
  <si>
    <t>126 OLD KIRKPATRICK ST</t>
  </si>
  <si>
    <t>SMILEY BESSIE</t>
  </si>
  <si>
    <t>MERCER ST APT 615</t>
  </si>
  <si>
    <t xml:space="preserve">KUDRAV REGINA </t>
  </si>
  <si>
    <t>128 OLD KIRKPATRICK ST</t>
  </si>
  <si>
    <t>SPRUCEWOOD ST</t>
  </si>
  <si>
    <t xml:space="preserve">DANIELS BERNIE </t>
  </si>
  <si>
    <t>0 DERUAD ST</t>
  </si>
  <si>
    <t>LARIMER AVE APT 20</t>
  </si>
  <si>
    <t xml:space="preserve">BUTLER ALBERT M JR </t>
  </si>
  <si>
    <t>127 MOULTRIE ST</t>
  </si>
  <si>
    <t>MOULTRIE ST</t>
  </si>
  <si>
    <t xml:space="preserve">HARRIS LISA </t>
  </si>
  <si>
    <t>123 MOULTRIE ST</t>
  </si>
  <si>
    <t>0 MOULTRIE ST</t>
  </si>
  <si>
    <t xml:space="preserve">WHITNER RUTH </t>
  </si>
  <si>
    <t>136 MOULTRIE ST</t>
  </si>
  <si>
    <t xml:space="preserve">FIELDS JERRE </t>
  </si>
  <si>
    <t>134 MOULTRIE ST</t>
  </si>
  <si>
    <t xml:space="preserve">COLBERT TIMOTHY </t>
  </si>
  <si>
    <t>132 MOULTRIE ST</t>
  </si>
  <si>
    <t>MITCHELL DONALD I JR &amp; EDITH T (W)</t>
  </si>
  <si>
    <t>MIDDLETOWN RD</t>
  </si>
  <si>
    <t xml:space="preserve">MEYERS MARY L                                   </t>
  </si>
  <si>
    <t>114 MOULTRIE ST</t>
  </si>
  <si>
    <t>MEYERS MARY L</t>
  </si>
  <si>
    <t xml:space="preserve">2211 FIFTH AVENUE  DEVELOPMENT LLC         </t>
  </si>
  <si>
    <t>2205 5TH AVE</t>
  </si>
  <si>
    <t>2211 5TH AVE</t>
  </si>
  <si>
    <t>0 ORR ST</t>
  </si>
  <si>
    <t xml:space="preserve">STEWART WILLIAM E </t>
  </si>
  <si>
    <t>28 GAZZAM ST</t>
  </si>
  <si>
    <t>GAZZAM ST</t>
  </si>
  <si>
    <t xml:space="preserve">MILLER BRADLEY S </t>
  </si>
  <si>
    <t>0 ALLEQUIPPA ST</t>
  </si>
  <si>
    <t>AMANDA AVE</t>
  </si>
  <si>
    <t>GRAMMER PHENOBIA         ETAL</t>
  </si>
  <si>
    <t>18 ALLEQUIPPA ST</t>
  </si>
  <si>
    <t xml:space="preserve">GRAMMER PHENOBIA C/O </t>
  </si>
  <si>
    <t>SMOKEY MOUNTAINS ALY</t>
  </si>
  <si>
    <t>CHARLOTTE</t>
  </si>
  <si>
    <t>NC</t>
  </si>
  <si>
    <t xml:space="preserve">KHOURY RULA                                     </t>
  </si>
  <si>
    <t>3114 TERRACE ST</t>
  </si>
  <si>
    <t xml:space="preserve">BURROWS STREET  TOWNHOUSES LLC          </t>
  </si>
  <si>
    <t>118 BURROWS ST</t>
  </si>
  <si>
    <t>BURROWS STREET TOWNHO</t>
  </si>
  <si>
    <t>OAKLAND PLANNING &amp; DEVELOPMENT CORPORATION</t>
  </si>
  <si>
    <t>0 BURROWS ST</t>
  </si>
  <si>
    <t>OAKLAND PLANNING &amp; DE</t>
  </si>
  <si>
    <t>SEMPLE ST</t>
  </si>
  <si>
    <t xml:space="preserve">YOON JOO HEUNG                                  </t>
  </si>
  <si>
    <t>122 BURROWS ST</t>
  </si>
  <si>
    <t xml:space="preserve">RUAN JIATONG </t>
  </si>
  <si>
    <t>124 BURROWS ST</t>
  </si>
  <si>
    <t>BANK OF AMERICA</t>
  </si>
  <si>
    <t xml:space="preserve">STARESINIC NEVENA </t>
  </si>
  <si>
    <t>126 BURROWS ST</t>
  </si>
  <si>
    <t xml:space="preserve">LIU YIYI </t>
  </si>
  <si>
    <t>128 BURROWS ST</t>
  </si>
  <si>
    <t>BURROWS ST</t>
  </si>
  <si>
    <t xml:space="preserve">COOK SARA D                                     </t>
  </si>
  <si>
    <t>132 BURROWS ST</t>
  </si>
  <si>
    <t>NEWREZ</t>
  </si>
  <si>
    <t xml:space="preserve">DONG ZISU </t>
  </si>
  <si>
    <t>136 BURROWS ST</t>
  </si>
  <si>
    <t>CENTRAL TRUST BANK</t>
  </si>
  <si>
    <t>PO BOX 2026</t>
  </si>
  <si>
    <t>FLINT</t>
  </si>
  <si>
    <t xml:space="preserve">CDN LLC </t>
  </si>
  <si>
    <t>138 BURROWS ST</t>
  </si>
  <si>
    <t xml:space="preserve">GRAHAM ERIC                                     </t>
  </si>
  <si>
    <t>2114 5TH AVE</t>
  </si>
  <si>
    <t>2133 FORBES AVE</t>
  </si>
  <si>
    <t>WHITLETOOTH WORLDWIDE  LLC</t>
  </si>
  <si>
    <t>2123 FORBES AVE</t>
  </si>
  <si>
    <t>WHITLETOOTH WORLDWIDE</t>
  </si>
  <si>
    <t>PAVOWNA ST</t>
  </si>
  <si>
    <t>2219 FORBES AVE</t>
  </si>
  <si>
    <t>MAIN ST</t>
  </si>
  <si>
    <t>MERANTE PASQUALE  &amp; CYNTHIA (W)</t>
  </si>
  <si>
    <t>2106 FORBES AVE</t>
  </si>
  <si>
    <t>MERANTE PASQUALE &amp; CYNTHIA MERANTE</t>
  </si>
  <si>
    <t>MERANTE PASQUALE  &amp; C</t>
  </si>
  <si>
    <t>0 TUSTIN ST</t>
  </si>
  <si>
    <t xml:space="preserve">SCHOYER CLAIRE </t>
  </si>
  <si>
    <t>0 BEELEN ST</t>
  </si>
  <si>
    <t>RICHLAND PL</t>
  </si>
  <si>
    <t xml:space="preserve">GAINES JAISON </t>
  </si>
  <si>
    <t>2312 BEELEN ST</t>
  </si>
  <si>
    <t>BEELEN ST</t>
  </si>
  <si>
    <t>THE CARTER FAMILY HOMES  LLC</t>
  </si>
  <si>
    <t>112 KIRKPATRICK ST</t>
  </si>
  <si>
    <t>THE CARTER FAMILY HOM</t>
  </si>
  <si>
    <t>KIRKPATRICK ST</t>
  </si>
  <si>
    <t>110 KIRKPATRICK ST</t>
  </si>
  <si>
    <t xml:space="preserve">RAMBARAN ROHAN </t>
  </si>
  <si>
    <t>PO BOX 282</t>
  </si>
  <si>
    <t>ELMSFORD</t>
  </si>
  <si>
    <t xml:space="preserve">MARTIN MEDIA </t>
  </si>
  <si>
    <t>PENNDOT DIST 11</t>
  </si>
  <si>
    <t>THOMS RUN RD</t>
  </si>
  <si>
    <t>BRIDGEVILLE</t>
  </si>
  <si>
    <t xml:space="preserve">KING LUTHER  &amp; MARIE (W) </t>
  </si>
  <si>
    <t>2432 5TH AVE</t>
  </si>
  <si>
    <t>FALEDER STANLEY IRWIN &amp; NATALIE MITZIE (W)</t>
  </si>
  <si>
    <t>ACQUIRE CAPITAL &amp; HOLDINGS LLC</t>
  </si>
  <si>
    <t>286 N BELLEFIELD AVE</t>
  </si>
  <si>
    <t>ACQUIRE CAPITAL &amp; HOL</t>
  </si>
  <si>
    <t>MCKEE PL</t>
  </si>
  <si>
    <t>275 N DITHRIDGE ST</t>
  </si>
  <si>
    <t>*EBILL* BRANMOR PROPE</t>
  </si>
  <si>
    <t>E CARSON ST</t>
  </si>
  <si>
    <t xml:space="preserve">101 KAPPA DRIVE  ASSOCIATES #1           </t>
  </si>
  <si>
    <t>4610 CENTRE AVE</t>
  </si>
  <si>
    <t>101 KAPPA DRIVE ASSOC</t>
  </si>
  <si>
    <t>PO BOX 1610</t>
  </si>
  <si>
    <t>COCKEYSVILLE</t>
  </si>
  <si>
    <t>KILIC ERTUGRUL &amp; NESLIHAN (W)</t>
  </si>
  <si>
    <t>4632 CENTRE AVE</t>
  </si>
  <si>
    <t>KILIC ERTUGRUL &amp; NESL</t>
  </si>
  <si>
    <t>SLEEPY HOLLOW RD</t>
  </si>
  <si>
    <t xml:space="preserve">FARR JEFFREY &amp; LISA (W) </t>
  </si>
  <si>
    <t>4216 CENTRE AVE</t>
  </si>
  <si>
    <t>FARR JEFFREY &amp; LISA</t>
  </si>
  <si>
    <t xml:space="preserve">NOURBAKHSH  ILLAH  REZA </t>
  </si>
  <si>
    <t>4300 CENTRE AVE</t>
  </si>
  <si>
    <t>NOURBAKHSH  ILLAH  RE</t>
  </si>
  <si>
    <t>FENNEMA LEAH R &amp; TODD (H)</t>
  </si>
  <si>
    <t>4233 PARKMAN AVE</t>
  </si>
  <si>
    <t>NORTHWEST SAVINGS BAN</t>
  </si>
  <si>
    <t>CORPORATE CENTER DR</t>
  </si>
  <si>
    <t xml:space="preserve">MACKLIN RUTH </t>
  </si>
  <si>
    <t>220 N BELLEFIELD AVE UNIT 304</t>
  </si>
  <si>
    <t>N BELLFIELD AVE # 304</t>
  </si>
  <si>
    <t>ARNOLD GEORGE LOUIS &amp; LAURA JEAN (W)</t>
  </si>
  <si>
    <t>220 N BELLEFIELD AVE UNIT 501</t>
  </si>
  <si>
    <t>ARNOLD GEORGE LOUIS &amp;</t>
  </si>
  <si>
    <t>N BELLEFIELD AVE APT 501</t>
  </si>
  <si>
    <t>SPRINGER CECILE M &amp; ERIC W (H)</t>
  </si>
  <si>
    <t>220 N BELLEFIELD AVE UNIT 903</t>
  </si>
  <si>
    <t>N BELLEFIELD AVE APT 903</t>
  </si>
  <si>
    <t>COSLOV R JOEL &amp; LYNDA (W)</t>
  </si>
  <si>
    <t>220 N BELLEFIELD AVE UNIT 1204</t>
  </si>
  <si>
    <t>R JOEL &amp; LYNDA COSLOV</t>
  </si>
  <si>
    <t>N BELLEFIELD AVE UNIT 1204</t>
  </si>
  <si>
    <t>GORDON PETER J &amp; ROBIN (W)</t>
  </si>
  <si>
    <t>146 N BELLEFIELD AVE UNIT 301</t>
  </si>
  <si>
    <t>GORDON PETER J &amp; ROBI</t>
  </si>
  <si>
    <t>N BELLEFIELD AVE APT 301</t>
  </si>
  <si>
    <t>SHUMAN BARBARA K &amp; LARRY J (H)</t>
  </si>
  <si>
    <t>146 N BELLEFIELD AVE UNIT 501</t>
  </si>
  <si>
    <t>SHUMAN BARBARA K &amp; LA</t>
  </si>
  <si>
    <t>N BELLEFIELD AVE UNIT 501</t>
  </si>
  <si>
    <t>TURNER JOSEHP &amp; MARILYN (W)</t>
  </si>
  <si>
    <t>146 N BELLEFIELD AVE UNIT 603</t>
  </si>
  <si>
    <t>TURNER JOSEHP &amp; MARIL</t>
  </si>
  <si>
    <t>N BELLEFIELD AVE UNIT 603</t>
  </si>
  <si>
    <t>MOSER DONALD V &amp; LAURA L (W)</t>
  </si>
  <si>
    <t>146 N BELLEFIELD AVE UNIT 701</t>
  </si>
  <si>
    <t>DONALD V &amp; LAURA L MO</t>
  </si>
  <si>
    <t>N BELLEFIELD AVE UNIT 701</t>
  </si>
  <si>
    <t xml:space="preserve">ZHAO YANJUN &amp; XIAYUN (W) </t>
  </si>
  <si>
    <t>146 N BELLEFIELD AVE UNIT 1203</t>
  </si>
  <si>
    <t xml:space="preserve">ZHAO YANJUN &amp; XIAYUN </t>
  </si>
  <si>
    <t>BELLEFIELD AVE # 1203</t>
  </si>
  <si>
    <t>CHILDS NORMAN D &amp; GAIL D (W)</t>
  </si>
  <si>
    <t>146 N BELLEFIELD AVE UNIT P2</t>
  </si>
  <si>
    <t>CHILDS NORMAN D</t>
  </si>
  <si>
    <t>WASHINGTON BLVD</t>
  </si>
  <si>
    <t>BARONE LORETTA &amp; ROBERT (H)</t>
  </si>
  <si>
    <t>146 N BELLEFIELD AVE UNIT P3</t>
  </si>
  <si>
    <t>BARONE LORETTA &amp; ROBE</t>
  </si>
  <si>
    <t>N BELLEFIELD AVE</t>
  </si>
  <si>
    <t>SPECTER GEORGE R &amp; MARIANNA E (W)</t>
  </si>
  <si>
    <t>220 N DITHRIDGE ST UNIT 300</t>
  </si>
  <si>
    <t>N DITHRIDGE 300</t>
  </si>
  <si>
    <t xml:space="preserve">CASON ALAN </t>
  </si>
  <si>
    <t>220 N DITHRIDGE ST UNIT 305</t>
  </si>
  <si>
    <t>CASON ALAN</t>
  </si>
  <si>
    <t>N DITHRIDGE ST UNIT 305</t>
  </si>
  <si>
    <t xml:space="preserve">LEVENSON DAVID J </t>
  </si>
  <si>
    <t>220 N DITHRIDGE ST UNIT 307</t>
  </si>
  <si>
    <t>MAYNARD ST</t>
  </si>
  <si>
    <t xml:space="preserve">MILLER JANE                                     </t>
  </si>
  <si>
    <t>220 N DITHRIDGE ST UNIT 801</t>
  </si>
  <si>
    <t>N DITHRIDGE ST 801</t>
  </si>
  <si>
    <t xml:space="preserve">GOU JIA BAO </t>
  </si>
  <si>
    <t>220 N DITHRIDGE ST UNIT 807</t>
  </si>
  <si>
    <t>N DITHRIDGE ST APT 807</t>
  </si>
  <si>
    <t xml:space="preserve">FINGERET JAY &amp; ILENE (W) </t>
  </si>
  <si>
    <t>220 N DITHRIDGE ST UNIT 1100</t>
  </si>
  <si>
    <t>JAY &amp; ILENE FINGERET</t>
  </si>
  <si>
    <t>N DITHRIDGE ST UNIT 1100</t>
  </si>
  <si>
    <t>YIN YUMING GUO HUILIN</t>
  </si>
  <si>
    <t>166 N DITHRIDGE ST UNIT 2-A</t>
  </si>
  <si>
    <t>N DITHRIDGE ST APT 2-A</t>
  </si>
  <si>
    <t xml:space="preserve">CAPLAN FRANCES J                                </t>
  </si>
  <si>
    <t>166 N DITHRIDGE ST UNIT 5-A</t>
  </si>
  <si>
    <t>CAPLAN FRANCES J LAGO</t>
  </si>
  <si>
    <t>N DITHRIDGE ST UNIT 5A</t>
  </si>
  <si>
    <t xml:space="preserve">HORNE D STUART </t>
  </si>
  <si>
    <t>166 N DITHRIDGE ST UNIT 2-K</t>
  </si>
  <si>
    <t>COPELAND ST</t>
  </si>
  <si>
    <t xml:space="preserve">DANIEL L MARKEY  REVOCABLE TRUST         </t>
  </si>
  <si>
    <t>166 N DITHRIDGE ST UNIT 5-L</t>
  </si>
  <si>
    <t>DANIEL L MARKEY REVOC</t>
  </si>
  <si>
    <t>DELAWARE TRL</t>
  </si>
  <si>
    <t>LOS GATOS</t>
  </si>
  <si>
    <t xml:space="preserve">WANG JINLIAN                                    </t>
  </si>
  <si>
    <t>144 N DITHRIDGE ST UNIT 215</t>
  </si>
  <si>
    <t xml:space="preserve">GIBSON LILLIAN C </t>
  </si>
  <si>
    <t>144 N DITHRIDGE ST UNIT 207</t>
  </si>
  <si>
    <t>N DITHRIDGE ST APT 207</t>
  </si>
  <si>
    <t xml:space="preserve">ROEDERER CHARLOTTE </t>
  </si>
  <si>
    <t>144 N DITHRIDGE ST UNIT 307</t>
  </si>
  <si>
    <t>ROEDERER CHARLOTTE</t>
  </si>
  <si>
    <t>ALDREN AVE APT 305</t>
  </si>
  <si>
    <t>JAMESTOWN</t>
  </si>
  <si>
    <t xml:space="preserve">HART VERNA </t>
  </si>
  <si>
    <t>144 N DITHRIDGE ST UNIT 502</t>
  </si>
  <si>
    <t>N DITHRIDGE ST</t>
  </si>
  <si>
    <t xml:space="preserve">UM SE-UNG                                       </t>
  </si>
  <si>
    <t>144 N DITHRIDGE ST UNIT 606</t>
  </si>
  <si>
    <t xml:space="preserve">REIFER JED </t>
  </si>
  <si>
    <t>144 N DITHRIDGE ST UNIT 607</t>
  </si>
  <si>
    <t>N DITHRIDGE ST UNIT 607</t>
  </si>
  <si>
    <t>7-ELEVEN INC             ETAL</t>
  </si>
  <si>
    <t>195 N CRAIG ST</t>
  </si>
  <si>
    <t>7-ELEVEN INC</t>
  </si>
  <si>
    <t>N CRAIG ST</t>
  </si>
  <si>
    <t>MARTIN PATRICK R &amp; HEATHER A (W)</t>
  </si>
  <si>
    <t>222 LYTTON AVE</t>
  </si>
  <si>
    <t>REIS STEVEN &amp; EVELYN COHEN (W)</t>
  </si>
  <si>
    <t>232 LYTTON AVE</t>
  </si>
  <si>
    <t>LERETA LLC</t>
  </si>
  <si>
    <t xml:space="preserve">LOKEY BASYA </t>
  </si>
  <si>
    <t>215 LYTTON AVE</t>
  </si>
  <si>
    <t>SOLWAY ST</t>
  </si>
  <si>
    <t xml:space="preserve">JANICE M WENDER  REVOCABLE TRUST         </t>
  </si>
  <si>
    <t>211 LYTTON AVE</t>
  </si>
  <si>
    <t>JANICE M WENDER REVOC</t>
  </si>
  <si>
    <t>DAKOTA  DUNES BLVD APT 318</t>
  </si>
  <si>
    <t>NORTH SIOUX CI</t>
  </si>
  <si>
    <t>SD</t>
  </si>
  <si>
    <t>FANELLI CLINTON STUART &amp; SAMANTHA JANE (W)</t>
  </si>
  <si>
    <t>222 PARKMAN AVE</t>
  </si>
  <si>
    <t xml:space="preserve">SINGH DIDAR </t>
  </si>
  <si>
    <t>252 PARKMAN AVE</t>
  </si>
  <si>
    <t>PARKMAN AVE</t>
  </si>
  <si>
    <t>SKOLNICK M LEON &amp; IRENE R (W)</t>
  </si>
  <si>
    <t>307 S DITHRIDGE ST UNIT 302</t>
  </si>
  <si>
    <t>SKOLNICK M LEON &amp; IRE</t>
  </si>
  <si>
    <t>MIDDLE GOLF DR UNIT 211</t>
  </si>
  <si>
    <t>SANIBEL</t>
  </si>
  <si>
    <t xml:space="preserve">COMAY DEBORAH E </t>
  </si>
  <si>
    <t>307 S DITHRIDGE ST UNIT 604</t>
  </si>
  <si>
    <t>S DITHRIDGE ST UNIT 604</t>
  </si>
  <si>
    <t xml:space="preserve">MURRELL AUDREY J </t>
  </si>
  <si>
    <t>307 S DITHRIDGE ST UNIT 611</t>
  </si>
  <si>
    <t>PNC MORTGAGE</t>
  </si>
  <si>
    <t>PO BOX 1820</t>
  </si>
  <si>
    <t>DAYTON</t>
  </si>
  <si>
    <t xml:space="preserve">JOHNSON YINGFEN                                 </t>
  </si>
  <si>
    <t>307 S DITHRIDGE ST UNIT 714</t>
  </si>
  <si>
    <t>S DITHRIDGE ST UNIT 714</t>
  </si>
  <si>
    <t xml:space="preserve">SHIMM JUDITH WILLINGHAM </t>
  </si>
  <si>
    <t>307 S DITHRIDGE ST UNIT 814</t>
  </si>
  <si>
    <t>SHIMM JUDITH WILLINGH</t>
  </si>
  <si>
    <t>S DITHRIDGE ST UNIT 814</t>
  </si>
  <si>
    <t xml:space="preserve">COOK MONICA L </t>
  </si>
  <si>
    <t>215 ROBINSON ST</t>
  </si>
  <si>
    <t>ROBINSON ST</t>
  </si>
  <si>
    <t>GATEWOOD EDWARD SR &amp; ROSE M</t>
  </si>
  <si>
    <t>217 ROBINSON ST</t>
  </si>
  <si>
    <t xml:space="preserve">TAN XIN </t>
  </si>
  <si>
    <t>273 ROBINSON ST</t>
  </si>
  <si>
    <t>PARKVIEW BLVD</t>
  </si>
  <si>
    <t>275 ROBINSON ST</t>
  </si>
  <si>
    <t>KEEFE AVE</t>
  </si>
  <si>
    <t>NEWTON</t>
  </si>
  <si>
    <t xml:space="preserve">BROWN ALFRED </t>
  </si>
  <si>
    <t>242 ROBINSON ST</t>
  </si>
  <si>
    <t xml:space="preserve">COMANS CAROL                                    </t>
  </si>
  <si>
    <t>240 ROBINSON ST</t>
  </si>
  <si>
    <t>COMANS CAROL</t>
  </si>
  <si>
    <t xml:space="preserve">BLACKMAN MAYA J </t>
  </si>
  <si>
    <t>234 ROBINSON ST</t>
  </si>
  <si>
    <t>BLACKMAN MAYA J</t>
  </si>
  <si>
    <t>BENNETT ELIZABETH  &amp; DE VALLE L BENNETT</t>
  </si>
  <si>
    <t>212 ROBINSON ST</t>
  </si>
  <si>
    <t xml:space="preserve">ZHAO JIAN </t>
  </si>
  <si>
    <t>210 ROBINSON ST</t>
  </si>
  <si>
    <t>GROVELAND ST</t>
  </si>
  <si>
    <t xml:space="preserve">ROBINSON MONTIA E </t>
  </si>
  <si>
    <t>249 DUNSEITH ST</t>
  </si>
  <si>
    <t>DUNSEITH ST</t>
  </si>
  <si>
    <t xml:space="preserve">JOHNSON HELEN </t>
  </si>
  <si>
    <t>255 DUNSEITH ST</t>
  </si>
  <si>
    <t>BENNETT HORACE G &amp; SYLVIA M</t>
  </si>
  <si>
    <t>274 DUNSEITH ST</t>
  </si>
  <si>
    <t>CARMEN BENNETT</t>
  </si>
  <si>
    <t>CARTLIDGE ROOSEVELT  &amp; DELOIS (W)</t>
  </si>
  <si>
    <t>252 DUNSEITH ST</t>
  </si>
  <si>
    <t xml:space="preserve">CARTLIDGE DELOIS &amp; ROOSEVELT (H)           </t>
  </si>
  <si>
    <t>CARTLIDGE ROOSEVELT SR &amp; DELOIS (W)</t>
  </si>
  <si>
    <t>OAKLAND PLANNING &amp; DEVELOPMET CORP</t>
  </si>
  <si>
    <t>246 DUNSEITH ST</t>
  </si>
  <si>
    <t xml:space="preserve">CHANG CUIZHI </t>
  </si>
  <si>
    <t>244 DUNSEITH ST</t>
  </si>
  <si>
    <t xml:space="preserve">LEWIS ANNE M                                    </t>
  </si>
  <si>
    <t>226 DUNSEITH ST</t>
  </si>
  <si>
    <t>ANNE M LEWIS</t>
  </si>
  <si>
    <t>QUINN JAMES &amp; XIAOFEI (W)</t>
  </si>
  <si>
    <t>228 CHESTERFIELD RD</t>
  </si>
  <si>
    <t>QUINN JAMES &amp; XIAOFEI</t>
  </si>
  <si>
    <t>NORTH VILLA CT</t>
  </si>
  <si>
    <t xml:space="preserve">MAGDA CONSTANTIN </t>
  </si>
  <si>
    <t>246 CHESTERFIELD RD</t>
  </si>
  <si>
    <t>CLOVER RD</t>
  </si>
  <si>
    <t>BADEN</t>
  </si>
  <si>
    <t>LEVENTIS PETER  &amp; GEORGEANN (W)</t>
  </si>
  <si>
    <t>115 OAKLAND AVE</t>
  </si>
  <si>
    <t>BEECHWOOD BLVD</t>
  </si>
  <si>
    <t>MCDONALD'S USA LLC       ETAL</t>
  </si>
  <si>
    <t>3708 FORBES AVE</t>
  </si>
  <si>
    <t xml:space="preserve">LIANGLIN PROPERTIES LLC </t>
  </si>
  <si>
    <t>206 CHESTERFIELD RD</t>
  </si>
  <si>
    <t>LIANGLIN PROPERTIES L</t>
  </si>
  <si>
    <t>HEMLOCK LN</t>
  </si>
  <si>
    <t>BLUEMONT</t>
  </si>
  <si>
    <t xml:space="preserve">YE PROPERTIES LLC </t>
  </si>
  <si>
    <t>219 CHESTERFIELD RD</t>
  </si>
  <si>
    <t>DEEPHAVEN MORTGAGE LL</t>
  </si>
  <si>
    <t>TORINGDON WAY STE 300</t>
  </si>
  <si>
    <t xml:space="preserve">BOTTA MOE PROPERTIES LP </t>
  </si>
  <si>
    <t>201 CHESTERFIELD RD</t>
  </si>
  <si>
    <t xml:space="preserve">THOMSON DEVIN R                                 </t>
  </si>
  <si>
    <t>137 CHESTERFIELD RD</t>
  </si>
  <si>
    <t>BOXFIELD RD</t>
  </si>
  <si>
    <t xml:space="preserve">CARLOW UNIVERSITY </t>
  </si>
  <si>
    <t>0 ROBINSON ST</t>
  </si>
  <si>
    <t>134 ROBINSON ST</t>
  </si>
  <si>
    <t>FIFTH AVE</t>
  </si>
  <si>
    <t xml:space="preserve">WANG YIBO                                       </t>
  </si>
  <si>
    <t>148 ROBINSON ST</t>
  </si>
  <si>
    <t xml:space="preserve">SIJUWADE KUNLE </t>
  </si>
  <si>
    <t>158 ROBINSON ST</t>
  </si>
  <si>
    <t xml:space="preserve">WHOLESALE PROPERTIES LLC </t>
  </si>
  <si>
    <t>201 ROBINSON ST</t>
  </si>
  <si>
    <t>S &amp; T BANK</t>
  </si>
  <si>
    <t>PO BOX 190</t>
  </si>
  <si>
    <t>CHANDIRAMANI PROPERTIES  INC</t>
  </si>
  <si>
    <t>3347 FORBES AVE</t>
  </si>
  <si>
    <t>TROTWOOD DR</t>
  </si>
  <si>
    <t>TMK FAMILY LIMITED  PARTNERSHIP</t>
  </si>
  <si>
    <t>316 SEMPLE ST</t>
  </si>
  <si>
    <t>TMK FAMILY LIMITED PA</t>
  </si>
  <si>
    <t>PO BOX 18727</t>
  </si>
  <si>
    <t xml:space="preserve">FORBES-MEYRAN BLDG INC </t>
  </si>
  <si>
    <t>0 SEMPLE ST</t>
  </si>
  <si>
    <t>FORBES-MEYRAN BLDG IN</t>
  </si>
  <si>
    <t>MEYRAN AVE</t>
  </si>
  <si>
    <t>KELLIHER JAMES F &amp; YEKATERINA (W)</t>
  </si>
  <si>
    <t>303 SEMPLE ST</t>
  </si>
  <si>
    <t xml:space="preserve">NESBY LLC </t>
  </si>
  <si>
    <t>309 SEMPLE ST</t>
  </si>
  <si>
    <t>NESBY LLC</t>
  </si>
  <si>
    <t>ELLSWORTH AVE</t>
  </si>
  <si>
    <t xml:space="preserve">QUINN JAMES </t>
  </si>
  <si>
    <t>301 MEYRAN AVE</t>
  </si>
  <si>
    <t>HOME MORTGAGE ALLIANC</t>
  </si>
  <si>
    <t>HUTTON CENTRE DR STE 500</t>
  </si>
  <si>
    <t>SANTA ANA</t>
  </si>
  <si>
    <t xml:space="preserve">QUINN JAMES M </t>
  </si>
  <si>
    <t>313 MEYRAN AVE APT 1-2</t>
  </si>
  <si>
    <t>PLEASANT DR</t>
  </si>
  <si>
    <t xml:space="preserve">SCIULLI BRUNO A </t>
  </si>
  <si>
    <t>360 ATWOOD ST</t>
  </si>
  <si>
    <t>ATWOOD ST</t>
  </si>
  <si>
    <t>SCIULLI AMALIA SCIULLI BRUNO</t>
  </si>
  <si>
    <t>358 ATWOOD ST</t>
  </si>
  <si>
    <t>306 ATWOOD ST</t>
  </si>
  <si>
    <t xml:space="preserve">BELLISARIO JOSEPH T </t>
  </si>
  <si>
    <t>302 ATWOOD ST</t>
  </si>
  <si>
    <t>BELLISARIO JOSEPH T</t>
  </si>
  <si>
    <t>CHILDS ST</t>
  </si>
  <si>
    <t xml:space="preserve">BOMB PROPERTIES LP </t>
  </si>
  <si>
    <t>349 ATWOOD ST</t>
  </si>
  <si>
    <t>351 ATWOOD ST</t>
  </si>
  <si>
    <t xml:space="preserve">TERIS ATWOOD LLC </t>
  </si>
  <si>
    <t>363 ATWOOD ST</t>
  </si>
  <si>
    <t>TERIS ATWOOD LLC</t>
  </si>
  <si>
    <t>FOX RUN DR</t>
  </si>
  <si>
    <t>VENETIA</t>
  </si>
  <si>
    <t>358 OAKLAND AVE</t>
  </si>
  <si>
    <t xml:space="preserve">YANG CHARLOTTE S.W. </t>
  </si>
  <si>
    <t>350 OAKLAND AVE</t>
  </si>
  <si>
    <t>CHARLOTTE S.W. YANG</t>
  </si>
  <si>
    <t>PO BOX 2985</t>
  </si>
  <si>
    <t>SARATOGA</t>
  </si>
  <si>
    <t xml:space="preserve">UNIVERSITY OF  PITTSBURGH              </t>
  </si>
  <si>
    <t>326 OAKLAND AVE</t>
  </si>
  <si>
    <t>UNIVERSITY OF PITTSBU</t>
  </si>
  <si>
    <t>CATHEDRAL OF LEARNING</t>
  </si>
  <si>
    <t>324 OAKLAND AVE</t>
  </si>
  <si>
    <t>257 OAKLAND AVE</t>
  </si>
  <si>
    <t xml:space="preserve">CHENG PHILIP Y </t>
  </si>
  <si>
    <t>313 OAKLAND AVE</t>
  </si>
  <si>
    <t xml:space="preserve">ZHU QIN &amp;                         </t>
  </si>
  <si>
    <t>335 OAKLAND AVE</t>
  </si>
  <si>
    <t>ZHU QIN &amp; YOU WEIXIAN</t>
  </si>
  <si>
    <t>NORMAN DR</t>
  </si>
  <si>
    <t xml:space="preserve">REAM KIRSTEN L </t>
  </si>
  <si>
    <t>3816 PIER ST</t>
  </si>
  <si>
    <t>PIER ST</t>
  </si>
  <si>
    <t>359 OAKLAND AVE</t>
  </si>
  <si>
    <t xml:space="preserve">GIAMPOLO CARLINO </t>
  </si>
  <si>
    <t>49 BOUNDARY ST</t>
  </si>
  <si>
    <t>BOUNDARY ST</t>
  </si>
  <si>
    <t>PANTHER HOLLOW  PROPERTIES LLC</t>
  </si>
  <si>
    <t>41 BOUNDARY ST</t>
  </si>
  <si>
    <t>PANTHER HOLLOW PROPER</t>
  </si>
  <si>
    <t xml:space="preserve">MELKO DENNIS J </t>
  </si>
  <si>
    <t>41 BOUNDARY ST REAR</t>
  </si>
  <si>
    <t>40 BOUNDARY ST</t>
  </si>
  <si>
    <t>17 BOUNDARY ST</t>
  </si>
  <si>
    <t>IRVIN ST</t>
  </si>
  <si>
    <t xml:space="preserve">BRGS LLC </t>
  </si>
  <si>
    <t>375 S BOUQUET ST</t>
  </si>
  <si>
    <t>NEXTIER BANK</t>
  </si>
  <si>
    <t>3901 DIULUS WAY</t>
  </si>
  <si>
    <t>371 S BOUQUET ST</t>
  </si>
  <si>
    <t>SALLY ANNE PROPERTIES LLC</t>
  </si>
  <si>
    <t>334 JONCAIRE ST</t>
  </si>
  <si>
    <t>SALLY ANNE PROPERTIES</t>
  </si>
  <si>
    <t>TUSCARAWAS RD</t>
  </si>
  <si>
    <t>BEAVER</t>
  </si>
  <si>
    <t xml:space="preserve">PASQUARELLI NEIL </t>
  </si>
  <si>
    <t>418 YARROW WAY</t>
  </si>
  <si>
    <t>YARROW WAY</t>
  </si>
  <si>
    <t xml:space="preserve">SPOLTORE HENRIETTA </t>
  </si>
  <si>
    <t>524 BOUNDARY ST</t>
  </si>
  <si>
    <t>1 BOUNDARY ST</t>
  </si>
  <si>
    <t>1/2 BOUNDARY ST</t>
  </si>
  <si>
    <t>9 BOUNDARY ST</t>
  </si>
  <si>
    <t>IRVINE ST</t>
  </si>
  <si>
    <t xml:space="preserve">MRL ASSOCIATES LLC </t>
  </si>
  <si>
    <t>0 MAURICE ST</t>
  </si>
  <si>
    <t>3109 FORBES AVE</t>
  </si>
  <si>
    <t>GUYS RUN RD</t>
  </si>
  <si>
    <t>CHESWICK</t>
  </si>
  <si>
    <t>APPLE NINE PENNSYLVANIA  BUSINESS TRUST</t>
  </si>
  <si>
    <t>3315 HAMLET ST</t>
  </si>
  <si>
    <t>E MAIN ST</t>
  </si>
  <si>
    <t>RICHMOND</t>
  </si>
  <si>
    <t>220 COLTART AVE</t>
  </si>
  <si>
    <t>TORINGTON WAY STE 300</t>
  </si>
  <si>
    <t>222 COLTART AVE</t>
  </si>
  <si>
    <t>316 COLTART AVE</t>
  </si>
  <si>
    <t>COLLINS PETER &amp; JESSICA (W)</t>
  </si>
  <si>
    <t>334 COLTART AVE</t>
  </si>
  <si>
    <t>COLLINS PETER &amp; JESSI</t>
  </si>
  <si>
    <t>COLTART AVE</t>
  </si>
  <si>
    <t>SORTINO STEPHEN V &amp; ROXANNE G (W)</t>
  </si>
  <si>
    <t>253 HALKET PL</t>
  </si>
  <si>
    <t>HALKET PL</t>
  </si>
  <si>
    <t xml:space="preserve">SLUTSKY BEATRICE </t>
  </si>
  <si>
    <t>3334 NIAGARA ST</t>
  </si>
  <si>
    <t>NIAGARA ST</t>
  </si>
  <si>
    <t xml:space="preserve">BATES STREET LENDER LLC </t>
  </si>
  <si>
    <t>392 COLTART AVE</t>
  </si>
  <si>
    <t>BATES STREET LENDER L</t>
  </si>
  <si>
    <t>WALNUT ST STE 200</t>
  </si>
  <si>
    <t xml:space="preserve">DEFELICE PATRIZIA                               </t>
  </si>
  <si>
    <t>340 COLTART AVE</t>
  </si>
  <si>
    <t>DEFELICE PATRIZIA</t>
  </si>
  <si>
    <t>CEDARVILLE ST</t>
  </si>
  <si>
    <t>SCIULLI GERARDO &amp; KIMBERLY A (W)</t>
  </si>
  <si>
    <t>336 COLTART AVE</t>
  </si>
  <si>
    <t>ROSATO FRANCESCO &amp; NICOLE (W)</t>
  </si>
  <si>
    <t>3439 BATES ST</t>
  </si>
  <si>
    <t>ROSATO FRANCESCO &amp; NI</t>
  </si>
  <si>
    <t>BATES ST</t>
  </si>
  <si>
    <t xml:space="preserve">NG CHANG JUAN </t>
  </si>
  <si>
    <t>361 MCKEE PL</t>
  </si>
  <si>
    <t xml:space="preserve">ABRAHAM MICHAEL </t>
  </si>
  <si>
    <t>345 MCKEE PL</t>
  </si>
  <si>
    <t xml:space="preserve">SCIULLI DOMINICK C JR </t>
  </si>
  <si>
    <t>325 MCKEE PL</t>
  </si>
  <si>
    <t>359 MEYRAN AVE</t>
  </si>
  <si>
    <t>QUINN JAMES M</t>
  </si>
  <si>
    <t>15 MELBA PL</t>
  </si>
  <si>
    <t>PO BOX 608</t>
  </si>
  <si>
    <t xml:space="preserve">KHALIL DALEL B </t>
  </si>
  <si>
    <t>3616 BATES ST</t>
  </si>
  <si>
    <t>BIGELOW BLVD</t>
  </si>
  <si>
    <t>ABOUD NAJIB K &amp; NASRA J (W)</t>
  </si>
  <si>
    <t>417 SEMPLE ST</t>
  </si>
  <si>
    <t>ABOUD NAJIB K &amp; NASRA K (W)</t>
  </si>
  <si>
    <t>415 SEMPLE ST</t>
  </si>
  <si>
    <t xml:space="preserve">ABOUD NAJIB  &amp; NASRA (W) </t>
  </si>
  <si>
    <t>416 SEMPLE ST</t>
  </si>
  <si>
    <t>MORGAN DEVELOPMENT  COMPANY L P</t>
  </si>
  <si>
    <t>413 MCKEE PL</t>
  </si>
  <si>
    <t xml:space="preserve">ECKENRODE CHARLES E  SELF DECLARED REVOCABLE </t>
  </si>
  <si>
    <t>3453 WARD ST</t>
  </si>
  <si>
    <t>MORGAN FIUME  DEVELOPMENT COMPANY LP</t>
  </si>
  <si>
    <t>415 MCKEE PL</t>
  </si>
  <si>
    <t>MORGAN DEVELOPMENT  COMPANY LP</t>
  </si>
  <si>
    <t>411 MCKEE PL</t>
  </si>
  <si>
    <t>403 MCKEE PL</t>
  </si>
  <si>
    <t>SCIULLI CAMILLO F &amp; CATHERINE (W)</t>
  </si>
  <si>
    <t>3464 BATES ST</t>
  </si>
  <si>
    <t>SCIULLI CAMILLO F &amp; C</t>
  </si>
  <si>
    <t>GREENFIELD AVE</t>
  </si>
  <si>
    <t xml:space="preserve">MITCHELL KEITH J </t>
  </si>
  <si>
    <t>35 WELSFORD ST</t>
  </si>
  <si>
    <t>WALNUT DR</t>
  </si>
  <si>
    <t xml:space="preserve">ATWOOD  VENTURES  LLC </t>
  </si>
  <si>
    <t>422 ATWOOD ST</t>
  </si>
  <si>
    <t>KEYSTONE ST # 3</t>
  </si>
  <si>
    <t xml:space="preserve">ATWOOD VENTURES  LLC </t>
  </si>
  <si>
    <t>424 ATWOOD ST</t>
  </si>
  <si>
    <t>POLLICE MICHAEL G &amp; ANDREA (W)</t>
  </si>
  <si>
    <t>0 DAWSON ST</t>
  </si>
  <si>
    <t>AU SABLE DR</t>
  </si>
  <si>
    <t xml:space="preserve">MADDY 3 LLC </t>
  </si>
  <si>
    <t>11 OAKLAND SQ</t>
  </si>
  <si>
    <t>3607 PARKVIEW AVE</t>
  </si>
  <si>
    <t>MYRIANTHOPOULOS  CHRISTOS &amp; CHATZIANASTAS</t>
  </si>
  <si>
    <t>3606 PARKVIEW AVE</t>
  </si>
  <si>
    <t>MYRIANTHOPOULOS CHRIS</t>
  </si>
  <si>
    <t>PARKVIEW AVE</t>
  </si>
  <si>
    <t>MYRIANTHOPOULOS  CHRISTOS P</t>
  </si>
  <si>
    <t>3608 PARKVIEW AVE</t>
  </si>
  <si>
    <t>3718 DAWSON ST</t>
  </si>
  <si>
    <t xml:space="preserve">BRANMOR PROPERTIES LP </t>
  </si>
  <si>
    <t>332 OPHELIA ST</t>
  </si>
  <si>
    <t xml:space="preserve">DIULUS JOHN </t>
  </si>
  <si>
    <t>3109 HAMLET ST</t>
  </si>
  <si>
    <t>DIULUS JOHN</t>
  </si>
  <si>
    <t>HAMLET ST</t>
  </si>
  <si>
    <t xml:space="preserve">OAKLAND PLANNING AND  DEVELOPMENT CORP        </t>
  </si>
  <si>
    <t xml:space="preserve">PENG YE                                         </t>
  </si>
  <si>
    <t>242 OPHELIA ST</t>
  </si>
  <si>
    <t>PENG YE</t>
  </si>
  <si>
    <t>RIVERWATCH DR</t>
  </si>
  <si>
    <t xml:space="preserve">210 OPHELIA STREET LLC </t>
  </si>
  <si>
    <t>210 OPHELIA ST</t>
  </si>
  <si>
    <t>210 OPHELIA STREET LL</t>
  </si>
  <si>
    <t>COBBLESTONE DR</t>
  </si>
  <si>
    <t>ECKENRODE CHARLES E  TRUST</t>
  </si>
  <si>
    <t>59 LAWN ST</t>
  </si>
  <si>
    <t>ECKENRODE CHARLES E T</t>
  </si>
  <si>
    <t>MAJESTIC DR</t>
  </si>
  <si>
    <t>CANONSBURG</t>
  </si>
  <si>
    <t xml:space="preserve">KOU ZHAOHUI </t>
  </si>
  <si>
    <t>307 LAWN ST</t>
  </si>
  <si>
    <t>BALMORAL DR</t>
  </si>
  <si>
    <t xml:space="preserve">HRYNDA WILLIAM </t>
  </si>
  <si>
    <t>313 LAWN ST</t>
  </si>
  <si>
    <t>PO BOX 9136</t>
  </si>
  <si>
    <t>RAFFAELE MICHAEL &amp; MARIA SHIRLEY (W)</t>
  </si>
  <si>
    <t>325 LAWN ST</t>
  </si>
  <si>
    <t>RAFFAELE MICHAEL &amp; MA</t>
  </si>
  <si>
    <t>MAYTIDE ST</t>
  </si>
  <si>
    <t xml:space="preserve">BRANMOR PROPERPTIES LP </t>
  </si>
  <si>
    <t>339 LAWN ST</t>
  </si>
  <si>
    <t>SHETH SHOBHAN MANUBHAI &amp; HEENA SHOBHAN (W)</t>
  </si>
  <si>
    <t>3250 BLVD OF THE ALLIES</t>
  </si>
  <si>
    <t>SHETH SHOBHAN MANUBHA</t>
  </si>
  <si>
    <t>VANDERBILT DR</t>
  </si>
  <si>
    <t xml:space="preserve">JARDINI RONALD                                  </t>
  </si>
  <si>
    <t>3217 KENNETT SQ</t>
  </si>
  <si>
    <t>JARDINI RONALD</t>
  </si>
  <si>
    <t>PO BOX 42400</t>
  </si>
  <si>
    <t xml:space="preserve">TAUBE ENTERPRISES LLC </t>
  </si>
  <si>
    <t>3203 KENNETT SQ</t>
  </si>
  <si>
    <t>WALLINGFORD ST</t>
  </si>
  <si>
    <t>3201 KENNETT SQ</t>
  </si>
  <si>
    <t xml:space="preserve">BONAR JOSEPH VINCENT II </t>
  </si>
  <si>
    <t>3105 KENNETT SQ</t>
  </si>
  <si>
    <t xml:space="preserve">BONAR JOSEPH VINCENT </t>
  </si>
  <si>
    <t>KENNETT SQ</t>
  </si>
  <si>
    <t xml:space="preserve">SLOMNICKI JOSEPH M </t>
  </si>
  <si>
    <t>3101 NIAGARA ST</t>
  </si>
  <si>
    <t>TECHVIEW TER</t>
  </si>
  <si>
    <t xml:space="preserve">ZHUANG ZHONG </t>
  </si>
  <si>
    <t>3206 KENNETT SQ</t>
  </si>
  <si>
    <t xml:space="preserve">JOHNSON ERNESTINE </t>
  </si>
  <si>
    <t>3254 KENNETT SQ</t>
  </si>
  <si>
    <t>CAMVIC TER APT 2</t>
  </si>
  <si>
    <t xml:space="preserve">OKOYE CLEMENT </t>
  </si>
  <si>
    <t>3261 KENNETT SQ</t>
  </si>
  <si>
    <t>BEECHVIEW AVE UNIT 3</t>
  </si>
  <si>
    <t xml:space="preserve">SCHWIMMER MICHAEL B </t>
  </si>
  <si>
    <t>3265 KENNETT SQ</t>
  </si>
  <si>
    <t>SCHWIMMER MICHAEL B</t>
  </si>
  <si>
    <t>GARETTA ST APT 603A</t>
  </si>
  <si>
    <t xml:space="preserve">NEELAM REAL ESTATE LLC </t>
  </si>
  <si>
    <t>3299 KENNETT SQ</t>
  </si>
  <si>
    <t>NEELAM REAL ESTATE LL</t>
  </si>
  <si>
    <t xml:space="preserve">DININNO DOMINIC M </t>
  </si>
  <si>
    <t>3218 KENNETT SQ</t>
  </si>
  <si>
    <t>LIBERTY SAVINGS BANK</t>
  </si>
  <si>
    <t>3266 NIAGARA SQ</t>
  </si>
  <si>
    <t xml:space="preserve">PISAROV LIUBOMIR ANDREI </t>
  </si>
  <si>
    <t>3259 NIAGARA SQ</t>
  </si>
  <si>
    <t>IYER PRABHAKAR  SIVAKUMAR &amp; NITYA PABHAK</t>
  </si>
  <si>
    <t>3232 NIAGARA SQ</t>
  </si>
  <si>
    <t>IYER PRABHAKAR SIVAKU</t>
  </si>
  <si>
    <t>SYRACUSE CT</t>
  </si>
  <si>
    <t>3202 NIAGARA ST</t>
  </si>
  <si>
    <t xml:space="preserve">LUKAC JURAJ </t>
  </si>
  <si>
    <t>21 MACKEY ST</t>
  </si>
  <si>
    <t xml:space="preserve">KHALIL ATALLAH </t>
  </si>
  <si>
    <t>67 BATES ST</t>
  </si>
  <si>
    <t>BROOKLINE BLVD</t>
  </si>
  <si>
    <t xml:space="preserve">BAKER REGIS S                                   </t>
  </si>
  <si>
    <t>8 HALKET ST</t>
  </si>
  <si>
    <t>HALKET ST</t>
  </si>
  <si>
    <t xml:space="preserve">SMITH WILLIAM A </t>
  </si>
  <si>
    <t>3332 NIAGARA ST</t>
  </si>
  <si>
    <t>SAUNDERS STATION RD</t>
  </si>
  <si>
    <t xml:space="preserve">PITTSBURGH LAND BANK </t>
  </si>
  <si>
    <t>3319 NIAGARA ST</t>
  </si>
  <si>
    <t xml:space="preserve">SGII REALTY-KRAFT LLC </t>
  </si>
  <si>
    <t>301 CRAFT AVE</t>
  </si>
  <si>
    <t>SG II REALTY  LLC</t>
  </si>
  <si>
    <t>BILMAR DR</t>
  </si>
  <si>
    <t xml:space="preserve">SHI ZHICONG </t>
  </si>
  <si>
    <t>3611 BLVD OF THE ALLIES</t>
  </si>
  <si>
    <t xml:space="preserve">KHOURY STARS L L C </t>
  </si>
  <si>
    <t>520 BELGREEN PL</t>
  </si>
  <si>
    <t>SOUTHRIDGE DR</t>
  </si>
  <si>
    <t>CRANBERRY TWP</t>
  </si>
  <si>
    <t>DAVIS GEORGE F &amp; GEORGE F DAVIS JR</t>
  </si>
  <si>
    <t>3316 WARD ST</t>
  </si>
  <si>
    <t>WARD ST</t>
  </si>
  <si>
    <t xml:space="preserve">DAVIS GEORGE F JR </t>
  </si>
  <si>
    <t>3319 WARD ST</t>
  </si>
  <si>
    <t>COWEY KEVIN M &amp; EMILY (W)</t>
  </si>
  <si>
    <t>513 CATO ST</t>
  </si>
  <si>
    <t>COWEY KEVIN M &amp; EMILY</t>
  </si>
  <si>
    <t>IROQUOIS DR</t>
  </si>
  <si>
    <t xml:space="preserve">JORDAN LAURA M </t>
  </si>
  <si>
    <t>3310 JULIET ST</t>
  </si>
  <si>
    <t>JULIET ST</t>
  </si>
  <si>
    <t xml:space="preserve">YHQ LLC </t>
  </si>
  <si>
    <t>3407 WARD ST</t>
  </si>
  <si>
    <t>ABOUD NAJEEB  &amp; NASRA (W)</t>
  </si>
  <si>
    <t>4 WELSFORD ST</t>
  </si>
  <si>
    <t>ABOUD NAJEEB  &amp; NASRA</t>
  </si>
  <si>
    <t>SPRINGMEADOW DR</t>
  </si>
  <si>
    <t>8 WELSFORD ST</t>
  </si>
  <si>
    <t>27 WELSFORD ST</t>
  </si>
  <si>
    <t>3418 BATES ST</t>
  </si>
  <si>
    <t>3430 DAWSON ST</t>
  </si>
  <si>
    <t>NEXERA HOLDING LLC D/</t>
  </si>
  <si>
    <t>POWELL ST STE 340</t>
  </si>
  <si>
    <t>EMERYVILLE</t>
  </si>
  <si>
    <t>3428 DAWSON ST</t>
  </si>
  <si>
    <t>POWELL ST STE 730</t>
  </si>
  <si>
    <t xml:space="preserve">LIU BING </t>
  </si>
  <si>
    <t>3332 DAWSON ST</t>
  </si>
  <si>
    <t>BOXFIELD ST</t>
  </si>
  <si>
    <t>YOUNG DARRELL &amp; LESLIE R (W)</t>
  </si>
  <si>
    <t>3361 PARKVIEW AVE</t>
  </si>
  <si>
    <t>YOUNG DARRELL &amp; LESLI</t>
  </si>
  <si>
    <t>TECH RD</t>
  </si>
  <si>
    <t xml:space="preserve">PGH CITYINZ LLC </t>
  </si>
  <si>
    <t>3375 PARKVIEW AVE</t>
  </si>
  <si>
    <t>0 PARKVIEW AVE</t>
  </si>
  <si>
    <t>HIXENBAUGH M STEWART &amp; BARBARA I DEMARCO</t>
  </si>
  <si>
    <t>3415 PARKVIEW AVE</t>
  </si>
  <si>
    <t xml:space="preserve">3370 PARKVIEW LLC </t>
  </si>
  <si>
    <t>3370 PARKVIEW AVE</t>
  </si>
  <si>
    <t>3370 PARKVIEW LLC</t>
  </si>
  <si>
    <t xml:space="preserve">WEBER COLLEEN </t>
  </si>
  <si>
    <t>408 LAWN ST</t>
  </si>
  <si>
    <t>LAWN ST</t>
  </si>
  <si>
    <t xml:space="preserve">WEBER COLLEN </t>
  </si>
  <si>
    <t xml:space="preserve">RN REAL ESTATE LLC </t>
  </si>
  <si>
    <t>1 AYERS ST</t>
  </si>
  <si>
    <t>RN REAL ESTATE LLC</t>
  </si>
  <si>
    <t>OAK ST</t>
  </si>
  <si>
    <t>IRWIN</t>
  </si>
  <si>
    <t>WYNN VINCENT M &amp; DIANE E (W)</t>
  </si>
  <si>
    <t>0 AYERS ST</t>
  </si>
  <si>
    <t>WYNN VINCENT M &amp; DIAN</t>
  </si>
  <si>
    <t>AYERS ST</t>
  </si>
  <si>
    <t xml:space="preserve">CUTRUZZULA ROBERT J </t>
  </si>
  <si>
    <t>0 MACKEY ST</t>
  </si>
  <si>
    <t>WABASH ST</t>
  </si>
  <si>
    <t xml:space="preserve">HODGE STREET COMPANY  INC                     </t>
  </si>
  <si>
    <t>3135 BATES ST</t>
  </si>
  <si>
    <t>BLVD OF THE ALLIES</t>
  </si>
  <si>
    <t xml:space="preserve">JIANG HONG ZHI                                  </t>
  </si>
  <si>
    <t>3500 FRAZIER ST</t>
  </si>
  <si>
    <t>JMAC LENDING INC</t>
  </si>
  <si>
    <t>RED HILL AVE</t>
  </si>
  <si>
    <t>3456 FRAZIER ST</t>
  </si>
  <si>
    <t>3454 FRAZIER ST</t>
  </si>
  <si>
    <t xml:space="preserve">BENMAGHINA ABDELKRIM </t>
  </si>
  <si>
    <t>0 FRAZIER ST</t>
  </si>
  <si>
    <t>ABDELKRIM BENMAGHINA</t>
  </si>
  <si>
    <t>MARSDEN ST</t>
  </si>
  <si>
    <t xml:space="preserve">GOVOSTES VALERY </t>
  </si>
  <si>
    <t>0 ROMEO ST</t>
  </si>
  <si>
    <t>GORMAN WAY</t>
  </si>
  <si>
    <t>3231 GORMAN WAY</t>
  </si>
  <si>
    <t xml:space="preserve">MOYE FANIBELLE </t>
  </si>
  <si>
    <t>MOYE FANIBELLE</t>
  </si>
  <si>
    <t>FORWARD AVE APT 3</t>
  </si>
  <si>
    <t xml:space="preserve">DIAZ CHRISTIAN JACOB </t>
  </si>
  <si>
    <t>3211 JULIET ST</t>
  </si>
  <si>
    <t xml:space="preserve">RICHMOND SHIRLEY MAY </t>
  </si>
  <si>
    <t>3517 FRAZIER ST</t>
  </si>
  <si>
    <t>FRAZIER ST</t>
  </si>
  <si>
    <t xml:space="preserve">SINGH APOORV </t>
  </si>
  <si>
    <t>3220 JULIET ST</t>
  </si>
  <si>
    <t xml:space="preserve">INSURANCE PROPERTIES INC </t>
  </si>
  <si>
    <t>BK OF KNOXVILLE BLDG</t>
  </si>
  <si>
    <t>KNOXVILLE</t>
  </si>
  <si>
    <t>TN</t>
  </si>
  <si>
    <t xml:space="preserve">GRATE ALFRED L &amp; EDNA B </t>
  </si>
  <si>
    <t>3243 WARD ST</t>
  </si>
  <si>
    <t>GRATE ALFRED L &amp; EDNA</t>
  </si>
  <si>
    <t>RICHARD J HARDTS  IRREVOCABLE TRUST</t>
  </si>
  <si>
    <t>0 WARD ST</t>
  </si>
  <si>
    <t>HARDIE WAY</t>
  </si>
  <si>
    <t xml:space="preserve">ZHANG ZHENJIE </t>
  </si>
  <si>
    <t>3219 WARD ST</t>
  </si>
  <si>
    <t>US BANCORP SERV PROVI</t>
  </si>
  <si>
    <t>S FASHION SQUARE DR</t>
  </si>
  <si>
    <t>MURRAY</t>
  </si>
  <si>
    <t>UT</t>
  </si>
  <si>
    <t>JOHNSON RICARDO &amp; VIRGINIA (W)</t>
  </si>
  <si>
    <t>3205 WARD ST</t>
  </si>
  <si>
    <t>JOHNSON RICARDO &amp; VIR</t>
  </si>
  <si>
    <t xml:space="preserve">MUNDELL GERGORY F &amp; ELLEN P (W)             </t>
  </si>
  <si>
    <t>107 OAKLAND CT</t>
  </si>
  <si>
    <t>GERGORY F &amp; ELLEN P M</t>
  </si>
  <si>
    <t>OAKLAND CT</t>
  </si>
  <si>
    <t xml:space="preserve">WOODS VIVIAN D </t>
  </si>
  <si>
    <t>0 OAKLAND CT</t>
  </si>
  <si>
    <t>GLEN CALADH ST</t>
  </si>
  <si>
    <t>111 OAKLAND CT</t>
  </si>
  <si>
    <t xml:space="preserve">THORPE CURTIS E </t>
  </si>
  <si>
    <t>117 OAKLAND CT</t>
  </si>
  <si>
    <t>THORPE CURTIS E</t>
  </si>
  <si>
    <t xml:space="preserve">ARTHUR ELIZABETH T </t>
  </si>
  <si>
    <t>LOGAN DR</t>
  </si>
  <si>
    <t>JONESBORO</t>
  </si>
  <si>
    <t xml:space="preserve">FIELDS LOIS J </t>
  </si>
  <si>
    <t>3266 WARD ST UNIT 7</t>
  </si>
  <si>
    <t>WARD ST UNIT 7</t>
  </si>
  <si>
    <t xml:space="preserve">ZHU WEI MIN </t>
  </si>
  <si>
    <t>3272 WARD ST</t>
  </si>
  <si>
    <t>YAP SIN MIN</t>
  </si>
  <si>
    <t>CARMELL DR</t>
  </si>
  <si>
    <t xml:space="preserve">KAVOULAKIS THESPINE </t>
  </si>
  <si>
    <t>2 EDITH PL</t>
  </si>
  <si>
    <t>MAIN ENTRANCE DR</t>
  </si>
  <si>
    <t xml:space="preserve">CHRISTIANSEN GRACE </t>
  </si>
  <si>
    <t>1 EDITH PL</t>
  </si>
  <si>
    <t>P O BOX 13</t>
  </si>
  <si>
    <t xml:space="preserve">DEVINE GABRIELLE </t>
  </si>
  <si>
    <t>21 EDITH PL</t>
  </si>
  <si>
    <t xml:space="preserve">XU TIAN </t>
  </si>
  <si>
    <t>3305 DAWSON ST</t>
  </si>
  <si>
    <t>SHAW AVE</t>
  </si>
  <si>
    <t>KHOSLA PRADEEP K &amp; THESPINE A K (W)</t>
  </si>
  <si>
    <t>3295 DAWSON ST</t>
  </si>
  <si>
    <t>KHOSLA PRADEEP K &amp; TH</t>
  </si>
  <si>
    <t xml:space="preserve">STOTTS CARLOTTA </t>
  </si>
  <si>
    <t>16 DAWSON CT</t>
  </si>
  <si>
    <t>DAWSON CT</t>
  </si>
  <si>
    <t>3237 DAWSON ST</t>
  </si>
  <si>
    <t>LINDSAY JACK  &amp; JOYCE (W)</t>
  </si>
  <si>
    <t>3233 DAWSON ST</t>
  </si>
  <si>
    <t>DAWSON ST</t>
  </si>
  <si>
    <t>CARTER PHILIP W JR &amp; BEVERLY C</t>
  </si>
  <si>
    <t>3240 DAWSON ST</t>
  </si>
  <si>
    <t>FORBES AVE APT 1348</t>
  </si>
  <si>
    <t xml:space="preserve">GLM PERMIER HOLDINGS LLC </t>
  </si>
  <si>
    <t>3317 PARKVIEW AVE</t>
  </si>
  <si>
    <t xml:space="preserve">GLM PERMIER HOLDINGS </t>
  </si>
  <si>
    <t>MARLBOROUGH RD</t>
  </si>
  <si>
    <t xml:space="preserve">HOLIDAY VIOLA D                                 </t>
  </si>
  <si>
    <t>3321 PARKVIEW AVE</t>
  </si>
  <si>
    <t>HOLIDAY VIOLA D</t>
  </si>
  <si>
    <t xml:space="preserve">BARNANZA PROPERTIES LLC </t>
  </si>
  <si>
    <t>3335 PARKVIEW AVE</t>
  </si>
  <si>
    <t xml:space="preserve">SILER-EVANS KYLE </t>
  </si>
  <si>
    <t>3621 CHILDS ST</t>
  </si>
  <si>
    <t>VALLE CHAMISO LN</t>
  </si>
  <si>
    <t>SANTA FE</t>
  </si>
  <si>
    <t>NM</t>
  </si>
  <si>
    <t xml:space="preserve">NEWELL MICHELLE </t>
  </si>
  <si>
    <t>3376 SWINBURNE ST</t>
  </si>
  <si>
    <t>NEWELL MICHELLE</t>
  </si>
  <si>
    <t>CLEARWATER DR APT E</t>
  </si>
  <si>
    <t>MYRTLE BEACH</t>
  </si>
  <si>
    <t>JEFFERSON PAUL MICHAEL JR</t>
  </si>
  <si>
    <t>0 BOHEM ST</t>
  </si>
  <si>
    <t>TODD ST</t>
  </si>
  <si>
    <t xml:space="preserve">WIMER LOUIS  &amp; MARIE </t>
  </si>
  <si>
    <t>3131 BOHEM ST</t>
  </si>
  <si>
    <t>BOHEM ST</t>
  </si>
  <si>
    <t xml:space="preserve">SCHULTISE BARBARA A </t>
  </si>
  <si>
    <t>3133 BOHEM ST</t>
  </si>
  <si>
    <t>WIMER MARIE C &amp; PHYLLIS NOVAK</t>
  </si>
  <si>
    <t>PORTSMOUTH DR</t>
  </si>
  <si>
    <t>MCKEESPORT</t>
  </si>
  <si>
    <t>GANDY CLIFFORD L &amp; DOROTHY JEAN (W)</t>
  </si>
  <si>
    <t>CARLISA GANDY</t>
  </si>
  <si>
    <t>GANDY CLIFFORD L &amp; DOROTHY J</t>
  </si>
  <si>
    <t>3153 BOHEM ST</t>
  </si>
  <si>
    <t>COMMUNITY REINVESTMENT  PARTNERS LLC</t>
  </si>
  <si>
    <t>3726 FRAZIER ST</t>
  </si>
  <si>
    <t xml:space="preserve">APPLEBY RAYMUND </t>
  </si>
  <si>
    <t>0 WAKEFIELD ST</t>
  </si>
  <si>
    <t>APPLEBY RAYMOND</t>
  </si>
  <si>
    <t xml:space="preserve">ABEL GRIFFIN </t>
  </si>
  <si>
    <t>0 WHITNEY ST</t>
  </si>
  <si>
    <t>UPTEGRAF ST</t>
  </si>
  <si>
    <t>3618 WHITNEY ST</t>
  </si>
  <si>
    <t xml:space="preserve">BUNDRIGE QUEEN </t>
  </si>
  <si>
    <t>JEFFERSON PAUL &amp; LIZZ</t>
  </si>
  <si>
    <t xml:space="preserve">GANDY DOROTHY </t>
  </si>
  <si>
    <t>WAKEFIELD DEVELOPMENT  GROUP LLC</t>
  </si>
  <si>
    <t>3139 WARD ST</t>
  </si>
  <si>
    <t>ALDEN DR</t>
  </si>
  <si>
    <t>ANDRAWES-KHALIL FAMILY TRUST</t>
  </si>
  <si>
    <t>3600 FRAZIER ST</t>
  </si>
  <si>
    <t>ANDRAWES-KHALIL FAMIL</t>
  </si>
  <si>
    <t xml:space="preserve">SCRUGGS FRANK  &amp; MARY </t>
  </si>
  <si>
    <t>3611 FRAZIER ST</t>
  </si>
  <si>
    <t>PO BOX 71254</t>
  </si>
  <si>
    <t xml:space="preserve">BONATO MICHAEL D </t>
  </si>
  <si>
    <t>3217 DAWSON ST</t>
  </si>
  <si>
    <t>BONATO MICHAEL D</t>
  </si>
  <si>
    <t xml:space="preserve">PURDOM DARVELLA </t>
  </si>
  <si>
    <t>3200 DAWSON ST</t>
  </si>
  <si>
    <t xml:space="preserve">LP GROUP LLC </t>
  </si>
  <si>
    <t>3201 PARKVIEW AVE</t>
  </si>
  <si>
    <t>DANIEL K BEAVEN</t>
  </si>
  <si>
    <t>CENTERVUE RD</t>
  </si>
  <si>
    <t>BRADFORDWOODS</t>
  </si>
  <si>
    <t xml:space="preserve">GANDY CARLISA T </t>
  </si>
  <si>
    <t>3154 BOHEM ST</t>
  </si>
  <si>
    <t>GANDY CLIFFORD L &amp; DOROTHY J (W)</t>
  </si>
  <si>
    <t>3156 BOHEM ST</t>
  </si>
  <si>
    <t xml:space="preserve">RICHARDSON CHARLOTTE </t>
  </si>
  <si>
    <t>3746 FRAZIER ST</t>
  </si>
  <si>
    <t>LAM CHUN-WING &amp; AMANDA (W)</t>
  </si>
  <si>
    <t>3748 FRAZIER ST</t>
  </si>
  <si>
    <t>TOWERS TER</t>
  </si>
  <si>
    <t xml:space="preserve">RICHARDSON CHARLOTTE I </t>
  </si>
  <si>
    <t>0 LEDGEWAY</t>
  </si>
  <si>
    <t>ANDRAWES KHALIL FAMILY TRUST</t>
  </si>
  <si>
    <t>3723 FRAZIER ST</t>
  </si>
  <si>
    <t>ANDRAWES KHALIL FAMIL</t>
  </si>
  <si>
    <t>JEFFERSON ANTHONY B &amp; KARMYN N JEFFERSON</t>
  </si>
  <si>
    <t>ORPWOOD ST</t>
  </si>
  <si>
    <t xml:space="preserve">GANDY DARLENE                                   </t>
  </si>
  <si>
    <t>3743 FRAZIER ST</t>
  </si>
  <si>
    <t xml:space="preserve">BROWNE DONNA VOITKA </t>
  </si>
  <si>
    <t>3768 ORPWOOD ST</t>
  </si>
  <si>
    <t>SAMS CARMEN N &amp; ANTHONY B JEFFERSON</t>
  </si>
  <si>
    <t>3712 ORPWOOD ST</t>
  </si>
  <si>
    <t>SAMS CARMEN N &amp; ANTHO</t>
  </si>
  <si>
    <t>PANTHER PROPERTIES PA  LLC</t>
  </si>
  <si>
    <t>0 ORPWOOD ST</t>
  </si>
  <si>
    <t>PANTHER PROPERTIES PA</t>
  </si>
  <si>
    <t>P. O. BOX 101314</t>
  </si>
  <si>
    <t>PANTHER PROPERTIES OF  PA LLC</t>
  </si>
  <si>
    <t>3704 ORPWOOD ST</t>
  </si>
  <si>
    <t>PANTHER PROPERTIES OF</t>
  </si>
  <si>
    <t>3702 ORPWOOD ST</t>
  </si>
  <si>
    <t xml:space="preserve">PANNELL VERNA JEAN </t>
  </si>
  <si>
    <t>3219 PARKVIEW AVE</t>
  </si>
  <si>
    <t xml:space="preserve">WILLIAMS MI'CHAEL                               </t>
  </si>
  <si>
    <t>3231 PARKVIEW AVE</t>
  </si>
  <si>
    <t>WILLIAMS MI'CHAEL WIL</t>
  </si>
  <si>
    <t xml:space="preserve">OAKLAND PLANNING &amp; DEVELOPMENT CORP        </t>
  </si>
  <si>
    <t>MI'CHAEL &amp; TEIREIK WI</t>
  </si>
  <si>
    <t>PRAEFCKE LORENZ &amp; TANJA M (W)</t>
  </si>
  <si>
    <t>3235 PARKVIEW AVE</t>
  </si>
  <si>
    <t>HOWARD HANNA MORTGAGE</t>
  </si>
  <si>
    <t>PARKLAND BLVD</t>
  </si>
  <si>
    <t xml:space="preserve">ELLISON RENNIQUE E </t>
  </si>
  <si>
    <t>3729 ORPWOOD ST</t>
  </si>
  <si>
    <t>JAWORSKI RICHARD  &amp; ANNA (W)</t>
  </si>
  <si>
    <t>3731 ORPWOOD ST</t>
  </si>
  <si>
    <t xml:space="preserve">CASCIATO DOMENICO                               </t>
  </si>
  <si>
    <t>0 CHILDS ST</t>
  </si>
  <si>
    <t>PITTSBURGH JUNCTION RAILROAD B&amp;O</t>
  </si>
  <si>
    <t>0 SYLVAN AVE</t>
  </si>
  <si>
    <t>CSX TRANSPORTATION</t>
  </si>
  <si>
    <t>GRANT STREET</t>
  </si>
  <si>
    <t xml:space="preserve">PAGE SALLY </t>
  </si>
  <si>
    <t>0 GRIFFITHS ST</t>
  </si>
  <si>
    <t>OLD BABCOCK TRL</t>
  </si>
  <si>
    <t xml:space="preserve">PACELLI NICK S </t>
  </si>
  <si>
    <t xml:space="preserve">BUNDRIGE HENRY  &amp; QUEEN </t>
  </si>
  <si>
    <t xml:space="preserve">CLARK CAROLYN </t>
  </si>
  <si>
    <t>3776 ORPWOOD ST</t>
  </si>
  <si>
    <t>FOX WAY APT 2</t>
  </si>
  <si>
    <t xml:space="preserve">GROSS SOL                                       </t>
  </si>
  <si>
    <t>0 SWINBURNE ST</t>
  </si>
  <si>
    <t>AYLESBORO AVE</t>
  </si>
  <si>
    <t xml:space="preserve">LY JAMIE MAY </t>
  </si>
  <si>
    <t>4677 BAYARD ST UNIT 305</t>
  </si>
  <si>
    <t>BAYARD ST UNIT 305</t>
  </si>
  <si>
    <t>CUBAN MARTIN  &amp; NATALIE (W)</t>
  </si>
  <si>
    <t>128 N CRAIG ST UNIT 305</t>
  </si>
  <si>
    <t>CUBAN MARTIN  &amp; NATAL</t>
  </si>
  <si>
    <t>N CRAIG ST UNIT 305</t>
  </si>
  <si>
    <t xml:space="preserve">ESPER STEPHEN A </t>
  </si>
  <si>
    <t>128 N CRAIG ST UNIT 507</t>
  </si>
  <si>
    <t>KENNEDY NORMAN &amp; ANGELA (W)</t>
  </si>
  <si>
    <t>128 N CRAIG ST UNIT 608</t>
  </si>
  <si>
    <t>KENNEDY NORMAN</t>
  </si>
  <si>
    <t>LOCUST DRIVE</t>
  </si>
  <si>
    <t>LANSDALE</t>
  </si>
  <si>
    <t xml:space="preserve">MARTIN MONIFA GREER </t>
  </si>
  <si>
    <t>552 N NEVILLE ST UNIT 56</t>
  </si>
  <si>
    <t>QUICKEN LOANS</t>
  </si>
  <si>
    <t>MERYL P BENNETT  REVOCABLE TRUST</t>
  </si>
  <si>
    <t>552 N NEVILLE ST UNIT 76</t>
  </si>
  <si>
    <t>MERYL P BENNETT REVOC</t>
  </si>
  <si>
    <t>N NEVILLE ST UNIT 76</t>
  </si>
  <si>
    <t>MEYERS JACK A &amp; BERNICE E (W)</t>
  </si>
  <si>
    <t>540 N NEVILLE ST UNIT 601</t>
  </si>
  <si>
    <t>N NEVILLE ST APT 601</t>
  </si>
  <si>
    <t>LERDSUWANRUT JENNIFER WU YA FEN</t>
  </si>
  <si>
    <t>4527 WINTHROP ST</t>
  </si>
  <si>
    <t>BIRCHWOOD AVE</t>
  </si>
  <si>
    <t xml:space="preserve">CARNEGIE MELLON  UNIVERSITY              </t>
  </si>
  <si>
    <t>203 S CRAIG ST</t>
  </si>
  <si>
    <t>*EBILLS*CARNEGIE MELL</t>
  </si>
  <si>
    <t>4631 FILMORE ST</t>
  </si>
  <si>
    <t xml:space="preserve">MARY P ROTUNDA  IRREVOCABLE REAL ESTATE </t>
  </si>
  <si>
    <t>413 S CRAIG ST</t>
  </si>
  <si>
    <t>MARY P ROTUNDA IRREVO</t>
  </si>
  <si>
    <t>DALE AVE</t>
  </si>
  <si>
    <t>CARNEGIE MELLON  UNIVERSITY</t>
  </si>
  <si>
    <t>319 S CRAIG ST</t>
  </si>
  <si>
    <t>317 S CRAIG ST</t>
  </si>
  <si>
    <t>4612 FILMORE ST</t>
  </si>
  <si>
    <t xml:space="preserve">ROBINSON ALVIN T </t>
  </si>
  <si>
    <t>CANAAN ST</t>
  </si>
  <si>
    <t>HARTFORD</t>
  </si>
  <si>
    <t xml:space="preserve">GALES VIRGINIA </t>
  </si>
  <si>
    <t>2512 BEDFORD AVE</t>
  </si>
  <si>
    <t xml:space="preserve">ANDERSON LOUISE S                               </t>
  </si>
  <si>
    <t>713 WATT LN</t>
  </si>
  <si>
    <t>ANDERSON AUDREY L</t>
  </si>
  <si>
    <t>WATT LN</t>
  </si>
  <si>
    <t xml:space="preserve">HARDEMAN DERICK A </t>
  </si>
  <si>
    <t>712 WATT LN</t>
  </si>
  <si>
    <t>714 WATT LN</t>
  </si>
  <si>
    <t>WILLIAMS JANICEE A &amp; IRVIN (H)</t>
  </si>
  <si>
    <t>2520 BEDFORD AVE</t>
  </si>
  <si>
    <t>RANDLEMAN DOROTHY B &amp; TERESA RENEE RANDL EMAN</t>
  </si>
  <si>
    <t>2528 BEDFORD AVE</t>
  </si>
  <si>
    <t xml:space="preserve">WRIGHT JACQUELYN </t>
  </si>
  <si>
    <t>2621 WEBSTER AVE</t>
  </si>
  <si>
    <t xml:space="preserve">WRIGHT JACQUELYN K </t>
  </si>
  <si>
    <t>2629 WEBSTER AVE</t>
  </si>
  <si>
    <t xml:space="preserve">LITTLE STEPHEN </t>
  </si>
  <si>
    <t>2606 BEDFORD AVE</t>
  </si>
  <si>
    <t xml:space="preserve">LITTLE STEPHEN A </t>
  </si>
  <si>
    <t>2614 BEDFORD AVE</t>
  </si>
  <si>
    <t xml:space="preserve">MORPHIS JOHNNIE MAE </t>
  </si>
  <si>
    <t>MCPHERSON BLVD</t>
  </si>
  <si>
    <t>WILSON DOUGLAS W &amp; RUBY (W)</t>
  </si>
  <si>
    <t>0 FRANCIS ST</t>
  </si>
  <si>
    <t xml:space="preserve">WILLIAMS LOUISE </t>
  </si>
  <si>
    <t>HOLLY CENTER DR APT 203</t>
  </si>
  <si>
    <t>HUNTERSVILLE</t>
  </si>
  <si>
    <t xml:space="preserve">DAVIS CHARLES W </t>
  </si>
  <si>
    <t>MCNARY BLVD</t>
  </si>
  <si>
    <t>YOUNG LOUIS A &amp; LAURA LOIS SWOPE</t>
  </si>
  <si>
    <t>FRANCIS ST</t>
  </si>
  <si>
    <t>2702 BEDFORD AVE</t>
  </si>
  <si>
    <t>PITTSBURGH LAND BANK</t>
  </si>
  <si>
    <t xml:space="preserve">RICHBOURG MARSHALL K </t>
  </si>
  <si>
    <t>2704 BEDFORD AVE</t>
  </si>
  <si>
    <t>2706 BEDFORD AVE</t>
  </si>
  <si>
    <t xml:space="preserve">DANIELS CHARLES JR </t>
  </si>
  <si>
    <t>2718 BEDFORD AVE</t>
  </si>
  <si>
    <t>2705 BARNETT WAY</t>
  </si>
  <si>
    <t>MCCUTCHEN RALPH &amp; JACQUELYN K (W)</t>
  </si>
  <si>
    <t>0 MORGAN ST</t>
  </si>
  <si>
    <t>MCCUTCHEN RALPH &amp; JAC</t>
  </si>
  <si>
    <t>MORGAN ST</t>
  </si>
  <si>
    <t xml:space="preserve">THOMAS KEVIN </t>
  </si>
  <si>
    <t>CLAIRTONICA ST</t>
  </si>
  <si>
    <t xml:space="preserve">HOLMES TYWANNA FAYE </t>
  </si>
  <si>
    <t xml:space="preserve">KELLEY WILLIAM F </t>
  </si>
  <si>
    <t>CENTRE AVE #4</t>
  </si>
  <si>
    <t xml:space="preserve">EASTERWOOD NORREESE </t>
  </si>
  <si>
    <t xml:space="preserve">AVEGA LLC </t>
  </si>
  <si>
    <t>2900 BEDFORD AVE</t>
  </si>
  <si>
    <t>AVEGA LLC</t>
  </si>
  <si>
    <t>BEDFORD AVE FL 2</t>
  </si>
  <si>
    <t xml:space="preserve">CALLAWAY CHARLES E </t>
  </si>
  <si>
    <t>2921 BEDFORD AVE</t>
  </si>
  <si>
    <t>W 92ND ST APT 11E</t>
  </si>
  <si>
    <t xml:space="preserve">E F HORD &amp; ASSOCIATES </t>
  </si>
  <si>
    <t>2919 WEBSTER AVE</t>
  </si>
  <si>
    <t>HERRON AVE</t>
  </si>
  <si>
    <t>TRIUMVIRATE INVESTMENTS  CORP</t>
  </si>
  <si>
    <t>DESERT WILLOW TRL</t>
  </si>
  <si>
    <t>LITTLETON</t>
  </si>
  <si>
    <t xml:space="preserve">BRAXTON BEVERLY </t>
  </si>
  <si>
    <t xml:space="preserve">MACONDO LLC </t>
  </si>
  <si>
    <t>704 WEBSTER TER</t>
  </si>
  <si>
    <t>MANILLA ST</t>
  </si>
  <si>
    <t>706 WEBSTER TER</t>
  </si>
  <si>
    <t xml:space="preserve">TURNER JEROME A </t>
  </si>
  <si>
    <t>710 WEBSTER TER</t>
  </si>
  <si>
    <t>MARK DR</t>
  </si>
  <si>
    <t>711 WEBSTER TER</t>
  </si>
  <si>
    <t xml:space="preserve">CHEATHAM DEWAYNE </t>
  </si>
  <si>
    <t>709 WEBSTER TER</t>
  </si>
  <si>
    <t>CHEATHAM DEWAYNE</t>
  </si>
  <si>
    <t>705 WEBSTER TER</t>
  </si>
  <si>
    <t xml:space="preserve">CHARLES GLORIA D </t>
  </si>
  <si>
    <t>S WINEBIDDLE ST # 2B</t>
  </si>
  <si>
    <t xml:space="preserve">COUNCIL JACK R </t>
  </si>
  <si>
    <t>2823 WEBSTER AVE</t>
  </si>
  <si>
    <t>BRYN MAWR RD</t>
  </si>
  <si>
    <t>HENDERSON MILTON J &amp; JULIA B HENDERSON</t>
  </si>
  <si>
    <t>2815 WEBSTER AVE</t>
  </si>
  <si>
    <t>ROBINSON SARAH C &amp; CHASE PONTI</t>
  </si>
  <si>
    <t>ROBINSON SARAH C &amp; CH</t>
  </si>
  <si>
    <t>ROWAN ST</t>
  </si>
  <si>
    <t xml:space="preserve">MILLARD ROLAND V </t>
  </si>
  <si>
    <t>PO BOX 2647</t>
  </si>
  <si>
    <t>WILDWOOD</t>
  </si>
  <si>
    <t xml:space="preserve">OGBURN CORETTA </t>
  </si>
  <si>
    <t xml:space="preserve">OGBURN CORETTA M </t>
  </si>
  <si>
    <t xml:space="preserve">VAUGHN HAMPTON  &amp; VIOLA </t>
  </si>
  <si>
    <t>EWART DR</t>
  </si>
  <si>
    <t xml:space="preserve">WOOD HOWARD </t>
  </si>
  <si>
    <t>WILSON CHARLES E &amp; THELMA (W)</t>
  </si>
  <si>
    <t>WILSON CHARLES E &amp; TH</t>
  </si>
  <si>
    <t>MCCRAY MARTIN  &amp; KATHRYN (W)</t>
  </si>
  <si>
    <t>2713 WEBSTER AVE</t>
  </si>
  <si>
    <t>MCCRAY MARTIN  &amp; KATH</t>
  </si>
  <si>
    <t>AIKEN AVE N</t>
  </si>
  <si>
    <t xml:space="preserve">SLOAN AGNES </t>
  </si>
  <si>
    <t>PERCHMENT ST</t>
  </si>
  <si>
    <t xml:space="preserve">LEWIS BESSIE </t>
  </si>
  <si>
    <t>NORTH AVE</t>
  </si>
  <si>
    <t>PAINESVILLE</t>
  </si>
  <si>
    <t xml:space="preserve">BOLES ROSE </t>
  </si>
  <si>
    <t>CECIL ST</t>
  </si>
  <si>
    <t>WHITE JERREL  &amp; LAURA (W)</t>
  </si>
  <si>
    <t xml:space="preserve">DAVIS FAITH S </t>
  </si>
  <si>
    <t xml:space="preserve">PREMIUM LAND CO LLC </t>
  </si>
  <si>
    <t>PREMIUM LAND CO LLC</t>
  </si>
  <si>
    <t>FILLMORE ST 1390</t>
  </si>
  <si>
    <t>MILLS HENRY  &amp; ELEANOR MARIE BURDEN</t>
  </si>
  <si>
    <t>ELEANOR M BURDEN</t>
  </si>
  <si>
    <t>N WHEELER ST</t>
  </si>
  <si>
    <t xml:space="preserve">FOSTER MOLLIE </t>
  </si>
  <si>
    <t>CARNEGIE ST</t>
  </si>
  <si>
    <t xml:space="preserve">MORRISON SARAH </t>
  </si>
  <si>
    <t>703 FRANCIS ST</t>
  </si>
  <si>
    <t xml:space="preserve">YOUNG ELMA L </t>
  </si>
  <si>
    <t>626 MORGAN ST</t>
  </si>
  <si>
    <t xml:space="preserve">JONES THEODORE P &amp; ELLA </t>
  </si>
  <si>
    <t>JONES THEODORE P &amp; EL</t>
  </si>
  <si>
    <t>CHURCH ST</t>
  </si>
  <si>
    <t xml:space="preserve">BURNETT EUGENE JR </t>
  </si>
  <si>
    <t>634 MORGAN ST</t>
  </si>
  <si>
    <t>COUNCIL JARRETT R &amp; JACK R</t>
  </si>
  <si>
    <t>COUNCIL JARRETT R &amp; J</t>
  </si>
  <si>
    <t>TURNER RALPH W &amp; RALPH G TURNER</t>
  </si>
  <si>
    <t xml:space="preserve">SIMMONS BRICE </t>
  </si>
  <si>
    <t>642 MORGAN ST</t>
  </si>
  <si>
    <t>SAUNDERS WILLIAM L JR &amp; RONETTE L (W)</t>
  </si>
  <si>
    <t>2800 WEBSTER AVE</t>
  </si>
  <si>
    <t>SAUNDERS WILLIAM L JR</t>
  </si>
  <si>
    <t>MOUNT PLEASANT RD</t>
  </si>
  <si>
    <t xml:space="preserve">VAUGHN BERNICE </t>
  </si>
  <si>
    <t>CLAYBROOKS RONNIE &amp; JACQUELINE (W)</t>
  </si>
  <si>
    <t>647 HOLLACE ST</t>
  </si>
  <si>
    <t>CLAYBROOKS RONNIE &amp; J</t>
  </si>
  <si>
    <t>HOLLACE ST</t>
  </si>
  <si>
    <t xml:space="preserve">ROEBUCK SABRINA </t>
  </si>
  <si>
    <t>0 HOLLACE ST</t>
  </si>
  <si>
    <t>HERONWOOD CIR</t>
  </si>
  <si>
    <t>DELTONA</t>
  </si>
  <si>
    <t xml:space="preserve">SMITH DARNELL </t>
  </si>
  <si>
    <t>643 HOLLACE ST</t>
  </si>
  <si>
    <t>SMITH DARNELL</t>
  </si>
  <si>
    <t>INDUSTRY ST</t>
  </si>
  <si>
    <t xml:space="preserve">COUNCIL JACK  &amp; JARRETT COUNCIL         </t>
  </si>
  <si>
    <t>641 HOLLACE ST</t>
  </si>
  <si>
    <t>COUNCIL JACK  &amp; JARRE</t>
  </si>
  <si>
    <t>SMITH JAMES C &amp; JO-ANN J RUMPH-SMITH (W)</t>
  </si>
  <si>
    <t>639 HOLLACE ST</t>
  </si>
  <si>
    <t>SMITH JAMES C &amp; JO-AN</t>
  </si>
  <si>
    <t>FLETCHER JOHN  &amp; GOERGE KANE</t>
  </si>
  <si>
    <t xml:space="preserve">DAVIS CATHERINE R </t>
  </si>
  <si>
    <t>635 HOLLACE ST</t>
  </si>
  <si>
    <t xml:space="preserve">RYAN HERBERT  &amp; DELLA </t>
  </si>
  <si>
    <t xml:space="preserve">RODGERS CLOYD R </t>
  </si>
  <si>
    <t>SYDNEY ST</t>
  </si>
  <si>
    <t xml:space="preserve">CASTLEBERRY RAYMOND </t>
  </si>
  <si>
    <t>625 HOLLACE ST</t>
  </si>
  <si>
    <t>RUTH ST APT 328</t>
  </si>
  <si>
    <t xml:space="preserve">NICHOLAS GERTRUDE  FLORENCE BROWN          </t>
  </si>
  <si>
    <t>619 HOLLACE ST</t>
  </si>
  <si>
    <t xml:space="preserve">WILSON R HENRY &amp; LOUISA </t>
  </si>
  <si>
    <t xml:space="preserve">BOSWELL ROBERT W &amp; VIOLA </t>
  </si>
  <si>
    <t>615 HOLLACE ST</t>
  </si>
  <si>
    <t xml:space="preserve">HUNTER HELEN </t>
  </si>
  <si>
    <t xml:space="preserve">MCKAY DELSEY </t>
  </si>
  <si>
    <t>CHATHAM PARK DR APT D</t>
  </si>
  <si>
    <t xml:space="preserve">KINNEY NICOLE </t>
  </si>
  <si>
    <t>2839 WYLIE AVE</t>
  </si>
  <si>
    <t>EVANS AUGUSTUS  &amp; BESSIE LEE</t>
  </si>
  <si>
    <t>EVANS AUGUSTUS  &amp; BES</t>
  </si>
  <si>
    <t xml:space="preserve">SHERRELL GERALD A </t>
  </si>
  <si>
    <t>610 HOLLACE ST</t>
  </si>
  <si>
    <t>HILLSBORO ST</t>
  </si>
  <si>
    <t xml:space="preserve">JOINER PIERCE W JR </t>
  </si>
  <si>
    <t>LEMINGTON AVE</t>
  </si>
  <si>
    <t xml:space="preserve">JACKSON  MICHELLE L </t>
  </si>
  <si>
    <t>624 HOLLACE ST</t>
  </si>
  <si>
    <t>LAWLER SAMUEL W II &amp; WILLIAM H LAWLER</t>
  </si>
  <si>
    <t>628 HOLLACE ST</t>
  </si>
  <si>
    <t>EDWARD ST APT 103</t>
  </si>
  <si>
    <t xml:space="preserve">HARDEN LASEAN R </t>
  </si>
  <si>
    <t>630 HOLLACE ST</t>
  </si>
  <si>
    <t>WOODSTOCK AVE</t>
  </si>
  <si>
    <t xml:space="preserve">COUNCIL LORETTA L </t>
  </si>
  <si>
    <t>COUNCIL LORETTA L</t>
  </si>
  <si>
    <t>MOTHERSHIP REAL ESTATE  LLC</t>
  </si>
  <si>
    <t>640 HOLLACE ST</t>
  </si>
  <si>
    <t>MOTHERSHIP REAL ESTAT</t>
  </si>
  <si>
    <t>ARMANDALE ST APT 2</t>
  </si>
  <si>
    <t>638 HOLLACE ST</t>
  </si>
  <si>
    <t>ARMENDALE ST # 2</t>
  </si>
  <si>
    <t>DEVINER ANTHONY D &amp; MARY (W)</t>
  </si>
  <si>
    <t>642 HOLLACE ST</t>
  </si>
  <si>
    <t>DEVINER ANTHONY D &amp; M</t>
  </si>
  <si>
    <t xml:space="preserve">ELLISON PATRICIA </t>
  </si>
  <si>
    <t>646 HOLLACE ST</t>
  </si>
  <si>
    <t>GRIFFIN WILLIAM  &amp; MAXINE (W)</t>
  </si>
  <si>
    <t>648 HOLLACE ST</t>
  </si>
  <si>
    <t xml:space="preserve">LAWSON MARK E </t>
  </si>
  <si>
    <t>2820 WEBSTER AVE</t>
  </si>
  <si>
    <t>REAL PRINCESS LN</t>
  </si>
  <si>
    <t>BALTIMORE</t>
  </si>
  <si>
    <t>2822 WEBSTER AVE</t>
  </si>
  <si>
    <t xml:space="preserve">LATIMORE LASAINE </t>
  </si>
  <si>
    <t>2826 WEBSTER AVE</t>
  </si>
  <si>
    <t>2828 WEBSTER AVE</t>
  </si>
  <si>
    <t xml:space="preserve">CRUMPTON AGGIE </t>
  </si>
  <si>
    <t xml:space="preserve">GRIFFIN TERRI </t>
  </si>
  <si>
    <t>SPROTT WAY</t>
  </si>
  <si>
    <t>2834 WEBSTER AVE</t>
  </si>
  <si>
    <t>2850 WEBSTER AVE</t>
  </si>
  <si>
    <t xml:space="preserve">MCGHEE JOSIE </t>
  </si>
  <si>
    <t>603 WANDLESS ST</t>
  </si>
  <si>
    <t>JACKSON SILAS JR &amp; EARLINE TIBBS (W)</t>
  </si>
  <si>
    <t>0 ORBIN ST</t>
  </si>
  <si>
    <t>ORBIN ST</t>
  </si>
  <si>
    <t xml:space="preserve">BROWN RICHARD E </t>
  </si>
  <si>
    <t>2917 ORBIN ST</t>
  </si>
  <si>
    <t>PARKS JEFFRY L &amp; CHERYL A (W)</t>
  </si>
  <si>
    <t>PARKS JEFFRY L &amp; CHER</t>
  </si>
  <si>
    <t xml:space="preserve">LEWIS THERESA </t>
  </si>
  <si>
    <t>2910 WEBSTER AVE</t>
  </si>
  <si>
    <t xml:space="preserve">MEIGHAN JOHN A </t>
  </si>
  <si>
    <t>0 SOMERS ST</t>
  </si>
  <si>
    <t>BRADFORD AVE</t>
  </si>
  <si>
    <t xml:space="preserve">MORELAND JOSEPHINE </t>
  </si>
  <si>
    <t xml:space="preserve">WOOD FRED D &amp; EDNA </t>
  </si>
  <si>
    <t>SOMERS ST</t>
  </si>
  <si>
    <t xml:space="preserve">WOOD FRED D </t>
  </si>
  <si>
    <t>OLIVER CORNELIUS  &amp; ELEASE</t>
  </si>
  <si>
    <t>624 SOMERS ST</t>
  </si>
  <si>
    <t xml:space="preserve">BROWN DELLA MARIE </t>
  </si>
  <si>
    <t>N RIDGE ST UNIT 6746</t>
  </si>
  <si>
    <t>BRIDGEWATER</t>
  </si>
  <si>
    <t>BROWN DELLA MARIE</t>
  </si>
  <si>
    <t xml:space="preserve">GARRETT JESSE L </t>
  </si>
  <si>
    <t>2316 WEBSTER AVE</t>
  </si>
  <si>
    <t xml:space="preserve">OCWEN LOAN SERVICING </t>
  </si>
  <si>
    <t xml:space="preserve">GARRETT JESSE </t>
  </si>
  <si>
    <t>2312 WEBSTER AVE</t>
  </si>
  <si>
    <t xml:space="preserve">ELLISON FREDERICK W                             </t>
  </si>
  <si>
    <t>2308 WEBSTER AVE</t>
  </si>
  <si>
    <t>HARPER OLIVER J &amp; MARGARET E (W)</t>
  </si>
  <si>
    <t>2298 WEBSTER AVE</t>
  </si>
  <si>
    <t>2254 WEBSTER AVE</t>
  </si>
  <si>
    <t xml:space="preserve">KERSHAW PAUL </t>
  </si>
  <si>
    <t xml:space="preserve">HOWARD EDITH MAE </t>
  </si>
  <si>
    <t>CRISS ST</t>
  </si>
  <si>
    <t>BOSWELL WILL A &amp; ANNE HILL BOSWELL</t>
  </si>
  <si>
    <t>2248 WEBSTER AVE</t>
  </si>
  <si>
    <t>BOSWELL WILL A &amp; ANNE</t>
  </si>
  <si>
    <t xml:space="preserve">ELLIS PAUL A JR </t>
  </si>
  <si>
    <t>2309 WEBSTER AVE</t>
  </si>
  <si>
    <t>2311 WEBSTER AVE</t>
  </si>
  <si>
    <t xml:space="preserve">PERRY JEWEL  &amp; JULIA A GREENE          </t>
  </si>
  <si>
    <t>2315 WEBSTER AVE</t>
  </si>
  <si>
    <t>SUPPLES JOSEPH E &amp; SUSANNA RESSA</t>
  </si>
  <si>
    <t xml:space="preserve">PORTER FLOYD H JR </t>
  </si>
  <si>
    <t>0 BLOOMER WAY</t>
  </si>
  <si>
    <t>ROLFE ST</t>
  </si>
  <si>
    <t xml:space="preserve">PORTER ALICE O </t>
  </si>
  <si>
    <t xml:space="preserve">BOYD DARCELL </t>
  </si>
  <si>
    <t>2335 WEBSTER AVE</t>
  </si>
  <si>
    <t>GREENHOUSE PROPERTIES  INC</t>
  </si>
  <si>
    <t>PO BOX 3457</t>
  </si>
  <si>
    <t xml:space="preserve">ALLEN AVIE MELVYN JR &amp; JOAN B (W)              </t>
  </si>
  <si>
    <t xml:space="preserve">ALLEN AVIE MELVYN JR </t>
  </si>
  <si>
    <t>WILLOW LN</t>
  </si>
  <si>
    <t>COCOA</t>
  </si>
  <si>
    <t>1ST AVE</t>
  </si>
  <si>
    <t>CHRISTIAN MISSIONARY ALLIANCE BRANCH #2</t>
  </si>
  <si>
    <t>0 CHAUNCEY ST</t>
  </si>
  <si>
    <t xml:space="preserve">MONTGOMERY BEVERLY </t>
  </si>
  <si>
    <t>711 CHAUNCEY ST</t>
  </si>
  <si>
    <t>CHAUNCEY ST</t>
  </si>
  <si>
    <t xml:space="preserve">GANAWAY BRUCE </t>
  </si>
  <si>
    <t>713 CHAUNCEY ST</t>
  </si>
  <si>
    <t>AVE</t>
  </si>
  <si>
    <t>THOMAS POSTON  &amp; MABEL (W)</t>
  </si>
  <si>
    <t>THOMAS WILLIAM J &amp; ROBERT THOMAS</t>
  </si>
  <si>
    <t>2356 BEDFORD AVE</t>
  </si>
  <si>
    <t>AJAX ST</t>
  </si>
  <si>
    <t xml:space="preserve">MATHEWS LULA D </t>
  </si>
  <si>
    <t>DAVENPORT ST</t>
  </si>
  <si>
    <t>MATHEWS LULA  &amp; CHANIE SANDERS</t>
  </si>
  <si>
    <t>2348 BEDFORD AVE</t>
  </si>
  <si>
    <t>LINDA MASSEY</t>
  </si>
  <si>
    <t xml:space="preserve">DAVIDSON SARAH </t>
  </si>
  <si>
    <t>RIVERMONT CT</t>
  </si>
  <si>
    <t xml:space="preserve">YOUNG BELINDA                                   </t>
  </si>
  <si>
    <t>2344 BEDFORD AVE</t>
  </si>
  <si>
    <t>YOUNG BELINDA &amp; YOUNG</t>
  </si>
  <si>
    <t xml:space="preserve">BENJAMIN KIRK </t>
  </si>
  <si>
    <t>WATSON ST</t>
  </si>
  <si>
    <t>2288 BEDFORD AVE</t>
  </si>
  <si>
    <t>PO BOX 7342</t>
  </si>
  <si>
    <t xml:space="preserve">RAINEY MAJOR R </t>
  </si>
  <si>
    <t>2286 BEDFORD AVE</t>
  </si>
  <si>
    <t xml:space="preserve">GRIFFIN YVONNE </t>
  </si>
  <si>
    <t>2284 BEDFORD AVE</t>
  </si>
  <si>
    <t>CALISTOGA PL</t>
  </si>
  <si>
    <t xml:space="preserve">WILSON ROBERT JOSEPH </t>
  </si>
  <si>
    <t>2260 BEDFORD AVE</t>
  </si>
  <si>
    <t>WALKER MABEL  &amp; THOMAS W (H)</t>
  </si>
  <si>
    <t>WALKER MABEL  &amp; THOMA</t>
  </si>
  <si>
    <t>PO BOX 424</t>
  </si>
  <si>
    <t xml:space="preserve">SIMONS TAMARA S </t>
  </si>
  <si>
    <t>2248 BEDFORD AVE</t>
  </si>
  <si>
    <t xml:space="preserve">SLOFER TERRANCE </t>
  </si>
  <si>
    <t>2242 BEDFORD AVE</t>
  </si>
  <si>
    <t>W NORTHVIEW AVE</t>
  </si>
  <si>
    <t>GLENDALE</t>
  </si>
  <si>
    <t>WILLIAMS FRANK J &amp; JELEELA</t>
  </si>
  <si>
    <t>2241 BLOOMER WAY</t>
  </si>
  <si>
    <t>DELAWARE ST</t>
  </si>
  <si>
    <t xml:space="preserve">ROBINSON LOUISE                                 </t>
  </si>
  <si>
    <t>2239 BLOOMER WAY</t>
  </si>
  <si>
    <t>FRANCES M JONES</t>
  </si>
  <si>
    <t>JILES RD BOX 2</t>
  </si>
  <si>
    <t>KENNESAW</t>
  </si>
  <si>
    <t>ASBERRY MARSHALL         ETAL</t>
  </si>
  <si>
    <t>AMERISERV TRUST COMPA</t>
  </si>
  <si>
    <t>PO BOX 520</t>
  </si>
  <si>
    <t>JOHNSTOWN</t>
  </si>
  <si>
    <t>MACEDONIA BAPTIST CHURCH</t>
  </si>
  <si>
    <t>722 KIRKPATRICK ST</t>
  </si>
  <si>
    <t>BEDFORD AVENUE</t>
  </si>
  <si>
    <t>MEANS THOMAS  &amp; PATRICIA WALLACE</t>
  </si>
  <si>
    <t>2218 BEDFORD AVE</t>
  </si>
  <si>
    <t xml:space="preserve">THOMPSON CONSTANCE </t>
  </si>
  <si>
    <t>2216 BEDFORD AVE</t>
  </si>
  <si>
    <t xml:space="preserve">BEATTY ANTHONY </t>
  </si>
  <si>
    <t>2519 MAHON ST</t>
  </si>
  <si>
    <t>MAHON ST</t>
  </si>
  <si>
    <t xml:space="preserve">JONES MARCELLA F                                </t>
  </si>
  <si>
    <t>2521 MAHON ST</t>
  </si>
  <si>
    <t>GLEN MAWR AVE</t>
  </si>
  <si>
    <t>HENDERSON RONALD L &amp; ANGIE HENDERSON</t>
  </si>
  <si>
    <t>0 MAHON ST</t>
  </si>
  <si>
    <t>CRAIGHEAD ST</t>
  </si>
  <si>
    <t>OWENS MILTON  &amp; GLENDA Y (W)</t>
  </si>
  <si>
    <t>2533 MAHON ST</t>
  </si>
  <si>
    <t xml:space="preserve">GRIFFIN BLANCHE E </t>
  </si>
  <si>
    <t xml:space="preserve">LESLIE PROPERTIES LLC </t>
  </si>
  <si>
    <t>2443 WYLIE AVE</t>
  </si>
  <si>
    <t>JAMES ST</t>
  </si>
  <si>
    <t>A &amp; M REAL ESTATE OF PITTSBU</t>
  </si>
  <si>
    <t>609 JUNILLA ST</t>
  </si>
  <si>
    <t xml:space="preserve">WHARTON JANET </t>
  </si>
  <si>
    <t>FRANCIS CT</t>
  </si>
  <si>
    <t>BREEN JOSEPH P &amp; ROSEMARY K</t>
  </si>
  <si>
    <t>BREEN JOSEPH P &amp; ROSE</t>
  </si>
  <si>
    <t>CIRCLE DR</t>
  </si>
  <si>
    <t>PUEBLO</t>
  </si>
  <si>
    <t>2612 WEBSTER AVE</t>
  </si>
  <si>
    <t>JOHNSON GROVER L &amp; MARGUERITE L JOHNSON</t>
  </si>
  <si>
    <t>WILLIAMSON STANLEY L &amp; ROSEMARY (W)</t>
  </si>
  <si>
    <t>PO BOX 4777</t>
  </si>
  <si>
    <t xml:space="preserve">LEE ROBERT E </t>
  </si>
  <si>
    <t>634 WATT ST</t>
  </si>
  <si>
    <t>KEY DR SW</t>
  </si>
  <si>
    <t>620 WATT ST</t>
  </si>
  <si>
    <t>612 WATT ST</t>
  </si>
  <si>
    <t xml:space="preserve">JOSEPH GEORGE  &amp; ANNA </t>
  </si>
  <si>
    <t xml:space="preserve">WORTHAM-SMITH TREVIN </t>
  </si>
  <si>
    <t>2510 WEBSTER AVE</t>
  </si>
  <si>
    <t>BEDFORD AVE APT 2</t>
  </si>
  <si>
    <t xml:space="preserve">WILLIAMS ROOSEVELT </t>
  </si>
  <si>
    <t>0 UPTON ST</t>
  </si>
  <si>
    <t>UPTON ST</t>
  </si>
  <si>
    <t xml:space="preserve">SMITH JOHN  &amp; DOROTHY </t>
  </si>
  <si>
    <t>ALVIN SMITH</t>
  </si>
  <si>
    <t>CHALFANT ST</t>
  </si>
  <si>
    <t xml:space="preserve">MITCHELL RICHARD </t>
  </si>
  <si>
    <t xml:space="preserve">KEIFER CARL </t>
  </si>
  <si>
    <t>2426 WEBSTER AVE</t>
  </si>
  <si>
    <t>KEIFER CARL III</t>
  </si>
  <si>
    <t xml:space="preserve">TURNER ALTON </t>
  </si>
  <si>
    <t>608 DUFF ST</t>
  </si>
  <si>
    <t>ALTON TURNER</t>
  </si>
  <si>
    <t>STONE DR</t>
  </si>
  <si>
    <t>HUNTINGTOWN</t>
  </si>
  <si>
    <t xml:space="preserve">TURNER SAUNTEE                                  </t>
  </si>
  <si>
    <t xml:space="preserve">SAUNTEE TURNER RYANN </t>
  </si>
  <si>
    <t>DUFF ST</t>
  </si>
  <si>
    <t xml:space="preserve">LE INVESTMENTS LLC </t>
  </si>
  <si>
    <t>0 DUFF ST</t>
  </si>
  <si>
    <t>BAUM BLVD</t>
  </si>
  <si>
    <t>MOSLEY CHARLES L &amp; ALBERTA J (W)</t>
  </si>
  <si>
    <t>629 DUFF ST</t>
  </si>
  <si>
    <t>MOSLEY CHARLES L &amp; ALBERTA J</t>
  </si>
  <si>
    <t>631 DUFF ST</t>
  </si>
  <si>
    <t xml:space="preserve">HAYES JOHN W </t>
  </si>
  <si>
    <t>637 DUFF ST</t>
  </si>
  <si>
    <t xml:space="preserve">RAINEY MALAYSIA </t>
  </si>
  <si>
    <t>2416 WEBSTER AVE</t>
  </si>
  <si>
    <t xml:space="preserve">YOUNG JACKIE                                    </t>
  </si>
  <si>
    <t>2404 WEBSTER AVE</t>
  </si>
  <si>
    <t>JACKIE YOUNG</t>
  </si>
  <si>
    <t>MILWAUKEE ST</t>
  </si>
  <si>
    <t xml:space="preserve">COX ROBERT </t>
  </si>
  <si>
    <t>2400 WEBSTER AVE</t>
  </si>
  <si>
    <t xml:space="preserve">BYRD RHONDA </t>
  </si>
  <si>
    <t>BYRD RHONDA</t>
  </si>
  <si>
    <t>EXCELSIOR ST</t>
  </si>
  <si>
    <t xml:space="preserve">WILLEY LINDSAY </t>
  </si>
  <si>
    <t>634 CHAUNCEY ST</t>
  </si>
  <si>
    <t>COUNTRY ROUTE 24</t>
  </si>
  <si>
    <t>EAST CHATHAM</t>
  </si>
  <si>
    <t xml:space="preserve">LOGAN JAMES  &amp; REBECCA </t>
  </si>
  <si>
    <t>LOGAN JAMES  &amp; REBECC</t>
  </si>
  <si>
    <t xml:space="preserve">SPENCER WILLIAM M </t>
  </si>
  <si>
    <t>ROBINSON NORA  &amp; BRENDA ROBINSON DANIEL</t>
  </si>
  <si>
    <t>ROBINSON NORA  &amp; BREN</t>
  </si>
  <si>
    <t>MAPLE AVE</t>
  </si>
  <si>
    <t>NEWPORT NEWS</t>
  </si>
  <si>
    <t>DAVIS OLIVER  &amp; EXXIE (W)</t>
  </si>
  <si>
    <t>DAVIS OLIVER  &amp; EXXIE</t>
  </si>
  <si>
    <t>DERSAM ST</t>
  </si>
  <si>
    <t>SANCHEZ ADA &amp; RICARDO (H)</t>
  </si>
  <si>
    <t>SANCHEZ ADA &amp; RICARDO</t>
  </si>
  <si>
    <t xml:space="preserve">GAINES LEROY </t>
  </si>
  <si>
    <t>BOYDEN RONALD EST OF JOHN O WHITE JR</t>
  </si>
  <si>
    <t>18TH ST</t>
  </si>
  <si>
    <t>VANDERGRIFT</t>
  </si>
  <si>
    <t xml:space="preserve">GRAYSON SHINORA D                               </t>
  </si>
  <si>
    <t>641 CHAUNCEY ST</t>
  </si>
  <si>
    <t>GRAYSON GLENN G</t>
  </si>
  <si>
    <t>WASHINGTON PL UNIT 18A</t>
  </si>
  <si>
    <t xml:space="preserve">MORRISON MELISSA E </t>
  </si>
  <si>
    <t>2342 WEBSTER AVE</t>
  </si>
  <si>
    <t>MORRISON - ELLIS MELI</t>
  </si>
  <si>
    <t>TOON RD</t>
  </si>
  <si>
    <t>HARVEST</t>
  </si>
  <si>
    <t>AL</t>
  </si>
  <si>
    <t xml:space="preserve">MATHEWS SADIE                                   </t>
  </si>
  <si>
    <t>2535 WEBSTER AVE</t>
  </si>
  <si>
    <t xml:space="preserve">CLARK STEPHANIE </t>
  </si>
  <si>
    <t>711 WATT LN</t>
  </si>
  <si>
    <t xml:space="preserve">SCOTT ELIZABETH </t>
  </si>
  <si>
    <t>709 WATT LN</t>
  </si>
  <si>
    <t>REBECCA AVE APT A</t>
  </si>
  <si>
    <t>TAYLOR WILLA M &amp; SHAWNEE WRIGHT</t>
  </si>
  <si>
    <t>705 WATT LN</t>
  </si>
  <si>
    <t>GUYLYN DR</t>
  </si>
  <si>
    <t>HUNTER WALLACE  &amp; NOVELLA HUNTER</t>
  </si>
  <si>
    <t>703 WATT LN</t>
  </si>
  <si>
    <t xml:space="preserve">WOODS SHEILA </t>
  </si>
  <si>
    <t>2513 WEBSTER AVE</t>
  </si>
  <si>
    <t>2500 BEDFORD AVE</t>
  </si>
  <si>
    <t xml:space="preserve">LANE SAMUEL N </t>
  </si>
  <si>
    <t>2448 BEDFORD AVE</t>
  </si>
  <si>
    <t>MITCHELL ANGIE (ESTATE  OF)</t>
  </si>
  <si>
    <t xml:space="preserve">SULIMAN SALAHELDIN </t>
  </si>
  <si>
    <t>2471 WEBSTER AVE</t>
  </si>
  <si>
    <t>SULIMAN SALAHELDIN</t>
  </si>
  <si>
    <t>LINCOLN AVE</t>
  </si>
  <si>
    <t xml:space="preserve">COUNCIL CLEVON </t>
  </si>
  <si>
    <t>2435 WEBSTER AVE</t>
  </si>
  <si>
    <t>COUNCIL CLEVON</t>
  </si>
  <si>
    <t>GLENBURN LN</t>
  </si>
  <si>
    <t xml:space="preserve">TOOKS ISAIAH  &amp; MINNIE </t>
  </si>
  <si>
    <t>TOOKS ISAIAH  &amp; MINNI</t>
  </si>
  <si>
    <t>ROBINSON VIRGINIA P &amp; NANNIE WILLIAMS</t>
  </si>
  <si>
    <t>DUNSON GUST LENELL &amp; ARLENE</t>
  </si>
  <si>
    <t>GERMANY GARL IV          ETAL</t>
  </si>
  <si>
    <t>713 DUFF ST</t>
  </si>
  <si>
    <t>ELBA ST</t>
  </si>
  <si>
    <t xml:space="preserve">FITTS RICHARD L </t>
  </si>
  <si>
    <t>OAKWOOD ST</t>
  </si>
  <si>
    <t xml:space="preserve">GARRETT BRYANT </t>
  </si>
  <si>
    <t>MCCLAREN ST</t>
  </si>
  <si>
    <t>HENDERSON ROBERT  &amp; CARRIE</t>
  </si>
  <si>
    <t>SUTTON JAMES  &amp; GERALDINE</t>
  </si>
  <si>
    <t>SUTTON JAMES  &amp; GERAL</t>
  </si>
  <si>
    <t xml:space="preserve">FINDLEY BEATRICE </t>
  </si>
  <si>
    <t>2345 WEBSTER AVE</t>
  </si>
  <si>
    <t xml:space="preserve">MERRITT WILLIE </t>
  </si>
  <si>
    <t xml:space="preserve">LOWER HILL LAND TRUST                           </t>
  </si>
  <si>
    <t>2611 WYLIE AVE</t>
  </si>
  <si>
    <t>PARK MANOR BLVD STE 299</t>
  </si>
  <si>
    <t>HOUSTON CARAWAY  &amp; LILLIE WF</t>
  </si>
  <si>
    <t>HOUSTON CARAWAY  &amp; LI</t>
  </si>
  <si>
    <t xml:space="preserve">KEMP DERUYTER H </t>
  </si>
  <si>
    <t xml:space="preserve">BROOKS GINA M </t>
  </si>
  <si>
    <t>563 FRANCIS ST</t>
  </si>
  <si>
    <t>WALKER ARZETTA  &amp; KAMYA LYNN WALKER</t>
  </si>
  <si>
    <t>2537 MAHON ST</t>
  </si>
  <si>
    <t>WALKER ARZETTA  &amp; KAM</t>
  </si>
  <si>
    <t>HALLETT ST</t>
  </si>
  <si>
    <t xml:space="preserve">BURGESS RAYMOND L SR </t>
  </si>
  <si>
    <t>2535 MAHON ST</t>
  </si>
  <si>
    <t xml:space="preserve">COLEMAN LORI A </t>
  </si>
  <si>
    <t>559 MONTAGUE ST</t>
  </si>
  <si>
    <t>COLEMAN LORI A</t>
  </si>
  <si>
    <t>MONTAGUE ST</t>
  </si>
  <si>
    <t xml:space="preserve">BAKER EVAN P JR </t>
  </si>
  <si>
    <t>555 MONTAGUE ST</t>
  </si>
  <si>
    <t xml:space="preserve">GERMANY GARL IV </t>
  </si>
  <si>
    <t>537 FRANCIS ST</t>
  </si>
  <si>
    <t>FRANCIS ST APT 2</t>
  </si>
  <si>
    <t xml:space="preserve">WALKER ROGER E &amp; MABEL L </t>
  </si>
  <si>
    <t xml:space="preserve">WEI'S PROPERTY LLC </t>
  </si>
  <si>
    <t>553 FRANCIS ST</t>
  </si>
  <si>
    <t>PIONEER AVE</t>
  </si>
  <si>
    <t xml:space="preserve">CROOM MARY LOU </t>
  </si>
  <si>
    <t>526 FRANCIS ST</t>
  </si>
  <si>
    <t>CROOM MARY LOU MARY L</t>
  </si>
  <si>
    <t xml:space="preserve">DEAN ROBERT P </t>
  </si>
  <si>
    <t>SHORT ST</t>
  </si>
  <si>
    <t>FRANCIS LX LLC           ETAL</t>
  </si>
  <si>
    <t>532 FRANCIS ST</t>
  </si>
  <si>
    <t>FRANCIS LX LLC</t>
  </si>
  <si>
    <t>FREEMONT DR</t>
  </si>
  <si>
    <t>TROY</t>
  </si>
  <si>
    <t>HARRIS WILLIE  &amp; EUGENIA (W)</t>
  </si>
  <si>
    <t>556 FRANCIS ST</t>
  </si>
  <si>
    <t xml:space="preserve">PATTERSON NICOLE </t>
  </si>
  <si>
    <t>566 FRANCIS ST</t>
  </si>
  <si>
    <t>N 12TH APT 804</t>
  </si>
  <si>
    <t xml:space="preserve">JOHNSON DONNA </t>
  </si>
  <si>
    <t>559 MORGAN ST</t>
  </si>
  <si>
    <t xml:space="preserve">JOHNSON RUTH </t>
  </si>
  <si>
    <t>557 MORGAN ST</t>
  </si>
  <si>
    <t>COOPER JESSE LEE &amp; RUTH (W)</t>
  </si>
  <si>
    <t>555 MORGAN ST</t>
  </si>
  <si>
    <t>COOPER JESSE LEE &amp; RU</t>
  </si>
  <si>
    <t>JOHNSON DONNA  &amp; JAMES A GANDY</t>
  </si>
  <si>
    <t>553 MORGAN ST</t>
  </si>
  <si>
    <t>TWIN OAK DR</t>
  </si>
  <si>
    <t xml:space="preserve">KING DEREK A &amp; FAITH (W) </t>
  </si>
  <si>
    <t xml:space="preserve">KING DEREK A &amp; FAITH </t>
  </si>
  <si>
    <t>CLAY ALMA K &amp; ESTHER O WILLIAMS</t>
  </si>
  <si>
    <t xml:space="preserve">CLAY ALMA K &amp; ESTHER </t>
  </si>
  <si>
    <t xml:space="preserve">GARDNER DON ANDRE </t>
  </si>
  <si>
    <t>543 MORGAN ST</t>
  </si>
  <si>
    <t xml:space="preserve">LEGRANDE RICHARD </t>
  </si>
  <si>
    <t>541 MORGAN ST</t>
  </si>
  <si>
    <t xml:space="preserve">JOHNSON ETHEL                                   </t>
  </si>
  <si>
    <t>535 MORGAN ST</t>
  </si>
  <si>
    <t>JOHNSON ETHEL C\O J B</t>
  </si>
  <si>
    <t>REMINGTON DR</t>
  </si>
  <si>
    <t xml:space="preserve">WIGGINS CHARLES C </t>
  </si>
  <si>
    <t xml:space="preserve">POTTER ERIKA                                    </t>
  </si>
  <si>
    <t>523 MORGAN ST</t>
  </si>
  <si>
    <t>POTTER ERIKA</t>
  </si>
  <si>
    <t>PO BOX 585</t>
  </si>
  <si>
    <t>513 MORGAN ST</t>
  </si>
  <si>
    <t xml:space="preserve">HARVEY DANIEL M </t>
  </si>
  <si>
    <t>613 HOLLACE ST</t>
  </si>
  <si>
    <t xml:space="preserve">WASHINGTON ROBERT C </t>
  </si>
  <si>
    <t xml:space="preserve">SMITH EDWARD </t>
  </si>
  <si>
    <t>BOSWELL WILL COLEMAN CHRISTINE</t>
  </si>
  <si>
    <t>614 MORGAN ST</t>
  </si>
  <si>
    <t xml:space="preserve">ROWE ALTON </t>
  </si>
  <si>
    <t>2803 WYLIE AVE</t>
  </si>
  <si>
    <t xml:space="preserve">JONES PAUL LANIER </t>
  </si>
  <si>
    <t>2815 WYLIE AVE</t>
  </si>
  <si>
    <t>PAUL LANIER JONES</t>
  </si>
  <si>
    <t>JEANETTE DR</t>
  </si>
  <si>
    <t xml:space="preserve">JOHNSON RHONDA </t>
  </si>
  <si>
    <t>MCNEIL PL</t>
  </si>
  <si>
    <t xml:space="preserve">MONCRIEF ABE  &amp; MAMIE </t>
  </si>
  <si>
    <t>MONCRIEF ABRAHAM  &amp; MAMIE</t>
  </si>
  <si>
    <t>MONCRIEF ABRAHAM  &amp; M</t>
  </si>
  <si>
    <t>MITCHELL MARTHA  &amp; IRENE JOHNSON</t>
  </si>
  <si>
    <t>548 MORGAN ST</t>
  </si>
  <si>
    <t>MITCHELL MARTHA  &amp; IR</t>
  </si>
  <si>
    <t>BROAD ST</t>
  </si>
  <si>
    <t xml:space="preserve">ADAMS EDWARD JR                                 </t>
  </si>
  <si>
    <t>546 MORGAN ST</t>
  </si>
  <si>
    <t>ADAMS EDWARD JR BURKS</t>
  </si>
  <si>
    <t>NOTTIINGHAM DR</t>
  </si>
  <si>
    <t>HAWKINS ELMER &amp; ETHEL (W)</t>
  </si>
  <si>
    <t>540 MORGAN ST</t>
  </si>
  <si>
    <t>&amp; HAWKINS MONIKA MCGILL</t>
  </si>
  <si>
    <t xml:space="preserve">BURGH PORT 2 LLC </t>
  </si>
  <si>
    <t>BURGH PORT 2 LLC</t>
  </si>
  <si>
    <t>BEDFORD SQ</t>
  </si>
  <si>
    <t>536 MORGAN ST</t>
  </si>
  <si>
    <t xml:space="preserve">MADDOX JOAN J </t>
  </si>
  <si>
    <t xml:space="preserve">COLEMAN JOE C                                   </t>
  </si>
  <si>
    <t>528 MORGAN ST</t>
  </si>
  <si>
    <t xml:space="preserve">WIGGINS CHARLES G </t>
  </si>
  <si>
    <t>520 MORGAN ST</t>
  </si>
  <si>
    <t xml:space="preserve">HAIRSTON MADELYN M                              </t>
  </si>
  <si>
    <t>514 MORGAN ST</t>
  </si>
  <si>
    <t>BRISCOE WILLIAM F &amp; GERALDINE</t>
  </si>
  <si>
    <t>2807 CENTRE AVE</t>
  </si>
  <si>
    <t>BRISCOE WILLIAM F &amp; G</t>
  </si>
  <si>
    <t>TURKMAR DR</t>
  </si>
  <si>
    <t xml:space="preserve">SANTOSA RONNY </t>
  </si>
  <si>
    <t>0 CENTRE AVE</t>
  </si>
  <si>
    <t>MESA DR APT 5</t>
  </si>
  <si>
    <t>DOUGLAS</t>
  </si>
  <si>
    <t>WY</t>
  </si>
  <si>
    <t xml:space="preserve">PENNINGTON ALFRED G </t>
  </si>
  <si>
    <t>0 WANDLESS ST</t>
  </si>
  <si>
    <t>WANDLESS ST</t>
  </si>
  <si>
    <t xml:space="preserve">SHODIPO ADEYEMI </t>
  </si>
  <si>
    <t>2836 WYLIE AVE</t>
  </si>
  <si>
    <t xml:space="preserve">BAKER EVAN JR </t>
  </si>
  <si>
    <t>2827 WYLIE AVE</t>
  </si>
  <si>
    <t>WRIGHT LARRY O &amp; LORE E (W)</t>
  </si>
  <si>
    <t>2823 WYLIE AVE</t>
  </si>
  <si>
    <t xml:space="preserve">DABBS ROBERT </t>
  </si>
  <si>
    <t xml:space="preserve">KENDRICK KATHERINE </t>
  </si>
  <si>
    <t>2829 WYLIE AVE</t>
  </si>
  <si>
    <t>REYNOLDS DAMON</t>
  </si>
  <si>
    <t>OHIO AVE</t>
  </si>
  <si>
    <t>CLAIRTON</t>
  </si>
  <si>
    <t xml:space="preserve">COOPER NICOLE J </t>
  </si>
  <si>
    <t>614 FRANCIS CT</t>
  </si>
  <si>
    <t xml:space="preserve">MCLAUGHLIN STEPHANIE I </t>
  </si>
  <si>
    <t>627 FRANCIS CT</t>
  </si>
  <si>
    <t xml:space="preserve">HALL TIMOTHY R </t>
  </si>
  <si>
    <t>619 FRANCIS CT</t>
  </si>
  <si>
    <t xml:space="preserve">ROBINSON JOSEPHINE </t>
  </si>
  <si>
    <t>139 ERIN ST</t>
  </si>
  <si>
    <t>STRIBLING TOMMIE L &amp; THELMA A (W)</t>
  </si>
  <si>
    <t>129 TRENT ST</t>
  </si>
  <si>
    <t xml:space="preserve">STRIBLING TOMMIE L &amp; </t>
  </si>
  <si>
    <t>WILKINS AVE</t>
  </si>
  <si>
    <t>KEATON MORRIS E &amp; CHRISTINE WINN KEATON</t>
  </si>
  <si>
    <t>0 TRENT ST</t>
  </si>
  <si>
    <t>CHRISTINE WINN KEATON</t>
  </si>
  <si>
    <t xml:space="preserve">CHURCH OF THE LIVING GOD </t>
  </si>
  <si>
    <t xml:space="preserve">CHURCH OF THE LIVING </t>
  </si>
  <si>
    <t>TRENT ST</t>
  </si>
  <si>
    <t>HOUSING AUTHORITY CIT</t>
  </si>
  <si>
    <t>21 TRENT ST</t>
  </si>
  <si>
    <t xml:space="preserve">LINCOLN DAVID </t>
  </si>
  <si>
    <t>18 TRENT ST</t>
  </si>
  <si>
    <t>PLAINVIEW AVE</t>
  </si>
  <si>
    <t>204 DEVILLIERS ST</t>
  </si>
  <si>
    <t xml:space="preserve">EATON ALBERTA </t>
  </si>
  <si>
    <t>2017 WEBSTER AVE</t>
  </si>
  <si>
    <t>PO BOX 1774</t>
  </si>
  <si>
    <t xml:space="preserve">PARS ENTERPRISES LLC </t>
  </si>
  <si>
    <t>2043 WEBSTER AVE</t>
  </si>
  <si>
    <t>PARS ENTERPRISES LLC</t>
  </si>
  <si>
    <t>BANSVILLE RD</t>
  </si>
  <si>
    <t>URBAN REDEVELOPMENT AUTH OF PITTSBURGH</t>
  </si>
  <si>
    <t>2206 MAHON ST</t>
  </si>
  <si>
    <t>80 MAHON ST</t>
  </si>
  <si>
    <t>WILLIAMS HARRY &amp; CLAUDETTE (W)</t>
  </si>
  <si>
    <t>2162 WYLIE AVE</t>
  </si>
  <si>
    <t>E 14TH AVE</t>
  </si>
  <si>
    <t>644 ELMORE ST</t>
  </si>
  <si>
    <t>GRAHAM VIRGINIA  &amp; ROBERT (H)</t>
  </si>
  <si>
    <t>634 ELMORE ST</t>
  </si>
  <si>
    <t>BLACKWELL MELVIE  &amp; MELVIN KILGORE</t>
  </si>
  <si>
    <t>0 PERRY ST</t>
  </si>
  <si>
    <t>BLACKWELL MELVIE  &amp; M</t>
  </si>
  <si>
    <t>PERRY ST</t>
  </si>
  <si>
    <t>630 PERRY ST</t>
  </si>
  <si>
    <t xml:space="preserve">HARPER KEVIN SR </t>
  </si>
  <si>
    <t>MEADOW ST</t>
  </si>
  <si>
    <t xml:space="preserve">BOYLEN CATHERINE </t>
  </si>
  <si>
    <t>615 PERRY ST</t>
  </si>
  <si>
    <t>BETHESDA HOLINESS CHU</t>
  </si>
  <si>
    <t>608 ELMORE ST</t>
  </si>
  <si>
    <t xml:space="preserve">ADAMS SHAWN                                     </t>
  </si>
  <si>
    <t>2155 WYLIE AVE</t>
  </si>
  <si>
    <t>MYLES TIMOTHY &amp; ADAMS</t>
  </si>
  <si>
    <t>616 PERRY ST</t>
  </si>
  <si>
    <t xml:space="preserve">WILLIS NELLIE L </t>
  </si>
  <si>
    <t>0 KIRKPATRICK ST</t>
  </si>
  <si>
    <t>W 83RD ST</t>
  </si>
  <si>
    <t>INGLEWOOD</t>
  </si>
  <si>
    <t>JOHNSON SYLVIA  &amp; JAMES JOHNSON JR (H)</t>
  </si>
  <si>
    <t>19 PERRY ST</t>
  </si>
  <si>
    <t>JOHNSON SYLVIA  &amp; JAM</t>
  </si>
  <si>
    <t xml:space="preserve">THOMAS WAYNE L </t>
  </si>
  <si>
    <t>CHURCHILL AVE</t>
  </si>
  <si>
    <t xml:space="preserve">MURRAY ADRIENNE </t>
  </si>
  <si>
    <t>637 KIRKPATRICK ST</t>
  </si>
  <si>
    <t>OAKS BENJAMIN F JR &amp; JUNE M</t>
  </si>
  <si>
    <t>WEBSTER AVE APT 103</t>
  </si>
  <si>
    <t>BRYANT MICHAEL L &amp; SONJA L (W)</t>
  </si>
  <si>
    <t>2208 WEBSTER AVE</t>
  </si>
  <si>
    <t>BRYANT MICHAEL L &amp; SO</t>
  </si>
  <si>
    <t>WYNOKA ST</t>
  </si>
  <si>
    <t xml:space="preserve">MT ZION TEMPLE ETAL                             </t>
  </si>
  <si>
    <t xml:space="preserve">ADAM ADAM IDRISS ABDALLA </t>
  </si>
  <si>
    <t>2222 WEBSTER AVE</t>
  </si>
  <si>
    <t>ADAM ADAM IDRISS ABDA</t>
  </si>
  <si>
    <t xml:space="preserve">A PAR RESOURCE CENTER </t>
  </si>
  <si>
    <t>643 LAWSON ST</t>
  </si>
  <si>
    <t>N FRANKLIN AVE</t>
  </si>
  <si>
    <t>MORRIS DONALD  &amp; SARAH (W)</t>
  </si>
  <si>
    <t>636 BELINDA ST</t>
  </si>
  <si>
    <t>BELINDA ST</t>
  </si>
  <si>
    <t>POWERHOUSE CHURCH OF  GOD IN CHRIST</t>
  </si>
  <si>
    <t>0 LAWSON ST</t>
  </si>
  <si>
    <t xml:space="preserve">HOLDEN MALTARHEA </t>
  </si>
  <si>
    <t>HOLDEN MALTARHEA</t>
  </si>
  <si>
    <t>PO BOX 8345</t>
  </si>
  <si>
    <t>RICH CHICKZ MUSIC GROUP LLC</t>
  </si>
  <si>
    <t>615 LAWSON ST</t>
  </si>
  <si>
    <t>RICH CHICKZ MUSIC GROUP  LLC</t>
  </si>
  <si>
    <t>RICH CHICKZ MUSIC GRO</t>
  </si>
  <si>
    <t>2165 WEBSTER AVE</t>
  </si>
  <si>
    <t>2163 WEBSTER AVE</t>
  </si>
  <si>
    <t xml:space="preserve">STATEN IRENE </t>
  </si>
  <si>
    <t>2224 WEBSTER AVE</t>
  </si>
  <si>
    <t>JACOB H WILLIAMS</t>
  </si>
  <si>
    <t>2230 WEBSTER AVE</t>
  </si>
  <si>
    <t xml:space="preserve">GARRETT BRYANT SR </t>
  </si>
  <si>
    <t>2234 WEBSTER AVE</t>
  </si>
  <si>
    <t xml:space="preserve">WEBB EDWARD J </t>
  </si>
  <si>
    <t>POINTVIEW AVE</t>
  </si>
  <si>
    <t>BOSWELL WILL &amp; TAWANA NEWTON</t>
  </si>
  <si>
    <t>2238 WEBSTER AVE</t>
  </si>
  <si>
    <t>2242 WEBSTER AVE</t>
  </si>
  <si>
    <t>SCOTT ALEXANDER JR  REVOCABLE TRUST</t>
  </si>
  <si>
    <t>2243 MIDTOWN SQ</t>
  </si>
  <si>
    <t>MIDTOWN SQ</t>
  </si>
  <si>
    <t xml:space="preserve">VETERANS AFFAIRS </t>
  </si>
  <si>
    <t>2247 MIDTOWN SQ</t>
  </si>
  <si>
    <t>ARNIE PANNELL (ADMINI</t>
  </si>
  <si>
    <t xml:space="preserve">SCOTT PAULA                                     </t>
  </si>
  <si>
    <t>2240 MIDTOWN SQ</t>
  </si>
  <si>
    <t>WEBB JOHNETTA W &amp; ARLENE LAVERNE WEBB HI C</t>
  </si>
  <si>
    <t>626 MIDTOWN SQ</t>
  </si>
  <si>
    <t xml:space="preserve">DESTINY VENTURES LLC </t>
  </si>
  <si>
    <t>11 MCCLARREN ST</t>
  </si>
  <si>
    <t>ENRIGHT CT</t>
  </si>
  <si>
    <t>7 MCCLARREN ST</t>
  </si>
  <si>
    <t xml:space="preserve">PETERSON VIOLA M </t>
  </si>
  <si>
    <t>WOODBINE CIR</t>
  </si>
  <si>
    <t>2146 WEBSTER AVE</t>
  </si>
  <si>
    <t>168 WOOSTER ST</t>
  </si>
  <si>
    <t>143 WOOSTER ST</t>
  </si>
  <si>
    <t xml:space="preserve">SG II REALTY LLC </t>
  </si>
  <si>
    <t>2350 CENTRE AVE</t>
  </si>
  <si>
    <t xml:space="preserve">KEIFER CARL III </t>
  </si>
  <si>
    <t>2306 WYLIE AVE</t>
  </si>
  <si>
    <t xml:space="preserve">CROSSCOUNTRY MORTAGE </t>
  </si>
  <si>
    <t>FRESHLEY JEANETTE        ETAL</t>
  </si>
  <si>
    <t>FRESHLEY JEANETTE ATT</t>
  </si>
  <si>
    <t>WASHINGTON PL APT 16-C</t>
  </si>
  <si>
    <t xml:space="preserve">GERMANY NATHANIEL C </t>
  </si>
  <si>
    <t xml:space="preserve">MOORE HOWARD </t>
  </si>
  <si>
    <t>2310 WYLIE AVE</t>
  </si>
  <si>
    <t>CLARK FAMILY (KEITH C  CLARK GENERAL PARTNER)</t>
  </si>
  <si>
    <t>I B P ORDER OF ELKS N S  LODGE #124</t>
  </si>
  <si>
    <t>NORTHSIDE ELKS</t>
  </si>
  <si>
    <t>NORTH SIDE LODGE NO 124 ETAL</t>
  </si>
  <si>
    <t>2315 WYLIE AVE</t>
  </si>
  <si>
    <t xml:space="preserve">SIMONTON VIVIAN L &amp; WILLIAM JAMES SIMONT ON </t>
  </si>
  <si>
    <t>622 SOMERS ST</t>
  </si>
  <si>
    <t>SIMONTON VIVIAN L &amp; W</t>
  </si>
  <si>
    <t>APONTE ST APT 103</t>
  </si>
  <si>
    <t>MOORE CLIFFORD  &amp; PATSY ANN</t>
  </si>
  <si>
    <t>MOORE CLIFFORD  &amp; PAT</t>
  </si>
  <si>
    <t>DEARY ST</t>
  </si>
  <si>
    <t xml:space="preserve">NORWOOD GLEN ETWARD </t>
  </si>
  <si>
    <t>28 CARAMEL WAY</t>
  </si>
  <si>
    <t>CARAMEL WAY</t>
  </si>
  <si>
    <t>DANIELS RAYMOND  &amp; &amp; KEITH C CLARK</t>
  </si>
  <si>
    <t>2403 WYLIE AVE</t>
  </si>
  <si>
    <t>LONGBOW DR</t>
  </si>
  <si>
    <t xml:space="preserve">CLARK KEITH C </t>
  </si>
  <si>
    <t>2401 WYLIE AVE</t>
  </si>
  <si>
    <t>CLARK KEITH C</t>
  </si>
  <si>
    <t>CARRIAGE GATE TRL SW</t>
  </si>
  <si>
    <t xml:space="preserve">BUFORD GROVER C                                 </t>
  </si>
  <si>
    <t>2405 WYLIE AVE</t>
  </si>
  <si>
    <t>JAMES C BUFORD</t>
  </si>
  <si>
    <t>W FRIER DR</t>
  </si>
  <si>
    <t xml:space="preserve">B&amp;B'S F A I T H REALTY </t>
  </si>
  <si>
    <t>2446 WYLIE AVE</t>
  </si>
  <si>
    <t>B&amp;B'S F A I T H REALT</t>
  </si>
  <si>
    <t>VIDETTE ST</t>
  </si>
  <si>
    <t>GRANDMA ROSE'S  PROPERTIES LLC</t>
  </si>
  <si>
    <t>2438 WYLIE AVE</t>
  </si>
  <si>
    <t>GRANDMA ROSES PROPERT</t>
  </si>
  <si>
    <t>2434 WYLIE AVE</t>
  </si>
  <si>
    <t>WOODBINE ST</t>
  </si>
  <si>
    <t>2430 WYLIE AVE</t>
  </si>
  <si>
    <t>SHINORA D GRAYSON  MANAGING MEMBER OF ON TH</t>
  </si>
  <si>
    <t>2424 WYLIE AVE</t>
  </si>
  <si>
    <t>SHINORA D GRAYSON MAN</t>
  </si>
  <si>
    <t>MOUNT ZION FIRE  BAPTISED HOLINESS CHURCH</t>
  </si>
  <si>
    <t>VANCROFT ST</t>
  </si>
  <si>
    <t>2413 CENTRE AVE</t>
  </si>
  <si>
    <t xml:space="preserve">JENNAH GATES REAL  ESTATE LLC              </t>
  </si>
  <si>
    <t>2503 CENTRE AVE</t>
  </si>
  <si>
    <t>JENNAH GATES REAL EST</t>
  </si>
  <si>
    <t>OVERBROOK BLVD</t>
  </si>
  <si>
    <t xml:space="preserve">LEWIS JAMES D                                   </t>
  </si>
  <si>
    <t>511 JUNILLA ST</t>
  </si>
  <si>
    <t>JUNILLA ST</t>
  </si>
  <si>
    <t xml:space="preserve">RICE DANIEL D </t>
  </si>
  <si>
    <t>0 JUNILLA ST</t>
  </si>
  <si>
    <t>HOBER AVE</t>
  </si>
  <si>
    <t xml:space="preserve">BOWLES DENNIS </t>
  </si>
  <si>
    <t>510 JUNILLA ST</t>
  </si>
  <si>
    <t>JUNILLA DR</t>
  </si>
  <si>
    <t>PENNY ANN  &amp; BETTY JEAN PENNY TUCKER</t>
  </si>
  <si>
    <t>512 JUNILLA ST</t>
  </si>
  <si>
    <t>PENNY ANN  &amp; BETTY JE</t>
  </si>
  <si>
    <t>514 JUNILLA ST</t>
  </si>
  <si>
    <t>GRANDMA ROSE'S PROPER</t>
  </si>
  <si>
    <t xml:space="preserve">TRAMMELL SCOTTIE </t>
  </si>
  <si>
    <t>518 JUNILLA ST</t>
  </si>
  <si>
    <t xml:space="preserve">COCHRAN RONALD E JR </t>
  </si>
  <si>
    <t>BRANCHWOOD DR</t>
  </si>
  <si>
    <t>COVINGTON</t>
  </si>
  <si>
    <t>STRIBLING WILLIAM JR &amp; ELIZABETH (W)</t>
  </si>
  <si>
    <t xml:space="preserve">STRIBLING WILLIAM JR </t>
  </si>
  <si>
    <t>MERCER ST APT 701</t>
  </si>
  <si>
    <t xml:space="preserve">RIMMEL WILLIAM A </t>
  </si>
  <si>
    <t>2522 MAHON ST</t>
  </si>
  <si>
    <t xml:space="preserve">HANNER CAROLYN </t>
  </si>
  <si>
    <t>2518 MAHON ST</t>
  </si>
  <si>
    <t xml:space="preserve">WALKER MARK PAUL </t>
  </si>
  <si>
    <t>2503 HALLETT ST</t>
  </si>
  <si>
    <t xml:space="preserve">WALKER GARY JR </t>
  </si>
  <si>
    <t>2509 HALLETT ST</t>
  </si>
  <si>
    <t>HOLMES CARROLL XAVIER &amp; MARIAN B</t>
  </si>
  <si>
    <t>0 HALLETT ST</t>
  </si>
  <si>
    <t>HOLMES CARROLL XAVIER</t>
  </si>
  <si>
    <t>PENN AVE APT V712</t>
  </si>
  <si>
    <t xml:space="preserve">THOMPSON MARLON ODELL                           </t>
  </si>
  <si>
    <t>2515 HALLETT ST</t>
  </si>
  <si>
    <t>POINDEXTER ANDREW L &amp; GRACE</t>
  </si>
  <si>
    <t>POINDEXTER ANDREW L &amp; GRACE (W)</t>
  </si>
  <si>
    <t xml:space="preserve">STEELE ALBERT </t>
  </si>
  <si>
    <t>2522 HALLETT ST</t>
  </si>
  <si>
    <t xml:space="preserve">PAYNE JIM  &amp; MARIE (W) </t>
  </si>
  <si>
    <t>PAYNE JIM  &amp; MARIE (W</t>
  </si>
  <si>
    <t xml:space="preserve">WALKER NIKITA </t>
  </si>
  <si>
    <t>2516 HALLETT ST</t>
  </si>
  <si>
    <t>WALKER NIKITA</t>
  </si>
  <si>
    <t>LANGHORN ST</t>
  </si>
  <si>
    <t xml:space="preserve">TURNER CYNTHIA </t>
  </si>
  <si>
    <t>HALLET ST</t>
  </si>
  <si>
    <t xml:space="preserve">SHELTON JOHN JR &amp; ANNA E </t>
  </si>
  <si>
    <t>SHELTON JOHN JR &amp; ANN</t>
  </si>
  <si>
    <t>DINWIDDIE ST APT 901</t>
  </si>
  <si>
    <t xml:space="preserve">WILLIAMS MARGUERITE </t>
  </si>
  <si>
    <t>0 ELBA ST</t>
  </si>
  <si>
    <t xml:space="preserve">ROBINSON TONYE  &amp; MATTIE </t>
  </si>
  <si>
    <t>CLISBY DONALD A &amp; JUDITH M (W)</t>
  </si>
  <si>
    <t>CLISBY DONALD A &amp; JUD</t>
  </si>
  <si>
    <t>DELMONT AVE</t>
  </si>
  <si>
    <t xml:space="preserve">FERRELL BUDDIE  &amp; ALICE </t>
  </si>
  <si>
    <t>FERRELL BUDDIE  &amp; ALI</t>
  </si>
  <si>
    <t>WALKER THOMAS W &amp; MABLE (W)</t>
  </si>
  <si>
    <t>WALKER THOMAS W &amp; MAB</t>
  </si>
  <si>
    <t>GREENE GREGORY J &amp; STEPHANEY A (W)</t>
  </si>
  <si>
    <t>GREENE GREGORY J &amp; ST</t>
  </si>
  <si>
    <t>BITTERSWEET RD</t>
  </si>
  <si>
    <t xml:space="preserve">EPPS LISA C </t>
  </si>
  <si>
    <t>LYZELL ST</t>
  </si>
  <si>
    <t xml:space="preserve">EDGE MARLANA D </t>
  </si>
  <si>
    <t xml:space="preserve">WRIGHT RUTH </t>
  </si>
  <si>
    <t>N MILLVALE AVE</t>
  </si>
  <si>
    <t xml:space="preserve">PLOWDEN LOIS MAE </t>
  </si>
  <si>
    <t>2535 ELBA ST</t>
  </si>
  <si>
    <t xml:space="preserve">BROWN JACQUELINE C </t>
  </si>
  <si>
    <t>2537 ELBA ST</t>
  </si>
  <si>
    <t>BROWN JACQUELINE C</t>
  </si>
  <si>
    <t xml:space="preserve">HANNER GLORIA M </t>
  </si>
  <si>
    <t>2539 ELBA ST</t>
  </si>
  <si>
    <t>MERCER ST APT 1015</t>
  </si>
  <si>
    <t xml:space="preserve">SMITH LOUISE M </t>
  </si>
  <si>
    <t xml:space="preserve">GOODMAN EUGENE  &amp; BESSIE </t>
  </si>
  <si>
    <t xml:space="preserve">BROWN GLENN I </t>
  </si>
  <si>
    <t>0 WATT ST</t>
  </si>
  <si>
    <t>HARWICH CENTER RD</t>
  </si>
  <si>
    <t>539 WATT ST</t>
  </si>
  <si>
    <t>522 FRANCIS ST</t>
  </si>
  <si>
    <t>PIPER WILLIAM H &amp; JOSEPHINE H (W)</t>
  </si>
  <si>
    <t>2522 ELBA ST</t>
  </si>
  <si>
    <t>Y E PROPERTY MANAGEMENT LLC</t>
  </si>
  <si>
    <t>PAMPLIN FREEMAN D &amp; RAINELL F (W)</t>
  </si>
  <si>
    <t>539 MONTAGUE ST</t>
  </si>
  <si>
    <t xml:space="preserve">SIMPSON MARILYN D                               </t>
  </si>
  <si>
    <t>2531 CENTRE AVE</t>
  </si>
  <si>
    <t xml:space="preserve">CROOK MAGDALENE </t>
  </si>
  <si>
    <t>PO BOX 10143</t>
  </si>
  <si>
    <t>CENTRE AVENUE HOUSING ASSOCIATES LP</t>
  </si>
  <si>
    <t>2621 CENTRE AVE</t>
  </si>
  <si>
    <t>WESLEY CENTER A M E ZION CHURCH OF PGH</t>
  </si>
  <si>
    <t>WESLEY CENTER A M E ZION CHURCH</t>
  </si>
  <si>
    <t xml:space="preserve">COX BENNY J </t>
  </si>
  <si>
    <t>2727 CENTRE AVE</t>
  </si>
  <si>
    <t>WESLEY CENTER AFRICAN  METHODIST EPISCOPA L ZIO</t>
  </si>
  <si>
    <t>2800 CENTRE AVE</t>
  </si>
  <si>
    <t xml:space="preserve">POWELL MYRA I </t>
  </si>
  <si>
    <t>2715 BRACKENRIDGE ST</t>
  </si>
  <si>
    <t xml:space="preserve">DAVIS JOSEPH E </t>
  </si>
  <si>
    <t>2713 BRACKENRIDGE ST</t>
  </si>
  <si>
    <t>BRACKENRIDGE ST</t>
  </si>
  <si>
    <t xml:space="preserve">GODFREY OLLIE                                   </t>
  </si>
  <si>
    <t>2711 BRACKENRIDGE ST</t>
  </si>
  <si>
    <t>ANGELO GODFREY</t>
  </si>
  <si>
    <t xml:space="preserve">MUNDY SHARON D </t>
  </si>
  <si>
    <t>2705 BRACKENRIDGE ST</t>
  </si>
  <si>
    <t xml:space="preserve">BROWN YVONNE F </t>
  </si>
  <si>
    <t>2633 BRACKENRIDGE ST</t>
  </si>
  <si>
    <t>MERCER ST APT 316</t>
  </si>
  <si>
    <t xml:space="preserve">RENS TOBY </t>
  </si>
  <si>
    <t>2534 CENTRE AVE</t>
  </si>
  <si>
    <t>PMB 16781</t>
  </si>
  <si>
    <t>AMERICAS WAY</t>
  </si>
  <si>
    <t>BOX ELDER</t>
  </si>
  <si>
    <t xml:space="preserve">ROBERTSON IRMA E </t>
  </si>
  <si>
    <t>2560 BRACKENRIDGE ST</t>
  </si>
  <si>
    <t>LEWIS DONNA TODD LEWIS</t>
  </si>
  <si>
    <t>2568 BRACKENRIDGE ST</t>
  </si>
  <si>
    <t xml:space="preserve">GODSON SIMONE L </t>
  </si>
  <si>
    <t>2574 BRACKENRIDGE ST</t>
  </si>
  <si>
    <t>OLIVANT ST</t>
  </si>
  <si>
    <t xml:space="preserve">CLARK EILEEN </t>
  </si>
  <si>
    <t>0 BRACKENRIDGE ST</t>
  </si>
  <si>
    <t>WHITNEY TER</t>
  </si>
  <si>
    <t xml:space="preserve">COLEMAN ROSALEE </t>
  </si>
  <si>
    <t>0 WHITNEY TER</t>
  </si>
  <si>
    <t xml:space="preserve">HILL RHONDA L </t>
  </si>
  <si>
    <t>119 ERIN ST</t>
  </si>
  <si>
    <t>ERIN ST</t>
  </si>
  <si>
    <t xml:space="preserve">BROWN MELANIE A </t>
  </si>
  <si>
    <t>165 DAVENPORT ST</t>
  </si>
  <si>
    <t>GREGORY FUNDING LLC</t>
  </si>
  <si>
    <t>PO BOX 230579</t>
  </si>
  <si>
    <t>PORTLAND</t>
  </si>
  <si>
    <t>OR</t>
  </si>
  <si>
    <t xml:space="preserve">LOKER ROSEMARIE </t>
  </si>
  <si>
    <t>129 DAVENPORT ST</t>
  </si>
  <si>
    <t>2107 CENTRE AVE</t>
  </si>
  <si>
    <t>2105 CENTRE AVE</t>
  </si>
  <si>
    <t>3D HOMES PROPERTIES  RENTALS LLC</t>
  </si>
  <si>
    <t>3D HOMES PROPERTIES R</t>
  </si>
  <si>
    <t>MELLON ST</t>
  </si>
  <si>
    <t>408 GROVE ST</t>
  </si>
  <si>
    <t>0 GROVE ST</t>
  </si>
  <si>
    <t>CENTRE AVE STE 313</t>
  </si>
  <si>
    <t>403 GROVE ST</t>
  </si>
  <si>
    <t>HILL COMMUNITY  DEVELOPMENT CORPORATION</t>
  </si>
  <si>
    <t>HILL COMMUNITY DEVELO</t>
  </si>
  <si>
    <t>2017 CENTRE AVE</t>
  </si>
  <si>
    <t>2163 CENTRE AVE</t>
  </si>
  <si>
    <t>CLARISSA ST STE 901</t>
  </si>
  <si>
    <t xml:space="preserve">MOST WORSHIPFUL HIRAM  GRAND LODGE OF ANC IENT </t>
  </si>
  <si>
    <t>2155 CENTRE AVE</t>
  </si>
  <si>
    <t>2054 ROSE ST</t>
  </si>
  <si>
    <t>URBAN REDEVELOPMENT  AUTH OF PITTSBURGH</t>
  </si>
  <si>
    <t>2110 CENTRE AVE</t>
  </si>
  <si>
    <t>URBAN REDEV AUTH</t>
  </si>
  <si>
    <t xml:space="preserve">E J PURPOSE LLC </t>
  </si>
  <si>
    <t>2164 CENTRE AVE</t>
  </si>
  <si>
    <t xml:space="preserve">TOMTOM24 DEVELOPMENT LLC </t>
  </si>
  <si>
    <t>2178 CENTRE AVE</t>
  </si>
  <si>
    <t xml:space="preserve">TOMTOM24 DEVELOPMENT </t>
  </si>
  <si>
    <t>BENTLEY DR APT 402</t>
  </si>
  <si>
    <t>2173 HEMANS ST</t>
  </si>
  <si>
    <t xml:space="preserve">BEY ORNE </t>
  </si>
  <si>
    <t>2205 CENTRE AVE</t>
  </si>
  <si>
    <t>CHARLES ST</t>
  </si>
  <si>
    <t xml:space="preserve">SCOTT RONALD </t>
  </si>
  <si>
    <t>RIDGELAND DR</t>
  </si>
  <si>
    <t>MOREHEAD CURTIS  &amp; DEBORAH M (W)</t>
  </si>
  <si>
    <t>GARDEN CITY DR</t>
  </si>
  <si>
    <t xml:space="preserve">MOREHEAD CURTIS </t>
  </si>
  <si>
    <t>0 LAPLACE ST</t>
  </si>
  <si>
    <t xml:space="preserve">HILLIARD ANDRE </t>
  </si>
  <si>
    <t>2166 HEMANS ST</t>
  </si>
  <si>
    <t>HEMANS ST</t>
  </si>
  <si>
    <t xml:space="preserve">REYNOLDS LEON U SR &amp; CLARICE                 </t>
  </si>
  <si>
    <t>2112 HEMANS ST</t>
  </si>
  <si>
    <t>PATTON ST</t>
  </si>
  <si>
    <t xml:space="preserve">UPSHER ONDRAY                                   </t>
  </si>
  <si>
    <t>2106 HEMANS ST</t>
  </si>
  <si>
    <t xml:space="preserve">WILLIAMS KAMAR </t>
  </si>
  <si>
    <t>2101 ROSE ST</t>
  </si>
  <si>
    <t>MARVEL HOMES  LLC</t>
  </si>
  <si>
    <t>P.O. BOX 83</t>
  </si>
  <si>
    <t>FULLER SAMUEL M &amp; DOROTHY O</t>
  </si>
  <si>
    <t>0 ELMORE ST</t>
  </si>
  <si>
    <t>COURTIS FULLER</t>
  </si>
  <si>
    <t>CREEKHILL DR</t>
  </si>
  <si>
    <t xml:space="preserve">DIGGS LOVLYNNE R </t>
  </si>
  <si>
    <t>2143 ROSE ST</t>
  </si>
  <si>
    <t>ROSE ST</t>
  </si>
  <si>
    <t xml:space="preserve">YANCEY GARNET FRANKLIN </t>
  </si>
  <si>
    <t>0 REED ST</t>
  </si>
  <si>
    <t>JANE ST</t>
  </si>
  <si>
    <t>GOOSE CREEK</t>
  </si>
  <si>
    <t>JONES EMMA L ETAL</t>
  </si>
  <si>
    <t>2424 REED ST</t>
  </si>
  <si>
    <t>REED ST</t>
  </si>
  <si>
    <t xml:space="preserve">FOSTER LORRAINE                                 </t>
  </si>
  <si>
    <t>2422 REED ST</t>
  </si>
  <si>
    <t>FIRST CHURCH OF GOD IN  CHRIST</t>
  </si>
  <si>
    <t>FIRST CHURCH OF GOD I</t>
  </si>
  <si>
    <t xml:space="preserve">OWENS JOSEPH </t>
  </si>
  <si>
    <t xml:space="preserve">RK LACROSSE LLC </t>
  </si>
  <si>
    <t>NW MCBRIDE CEMETERY RD</t>
  </si>
  <si>
    <t>CARLTON</t>
  </si>
  <si>
    <t>WILLIAMS IRVIN  &amp; MILDRED (W)</t>
  </si>
  <si>
    <t>ELLISON GEORGE  &amp; MARY ELLISON</t>
  </si>
  <si>
    <t>ELLISON GEORGE  &amp; MAR</t>
  </si>
  <si>
    <t xml:space="preserve">CAMPBELL MAURICE SR </t>
  </si>
  <si>
    <t>2401 REED ST</t>
  </si>
  <si>
    <t>OSSIPPEE ST</t>
  </si>
  <si>
    <t xml:space="preserve">ELLISON FREDERICK </t>
  </si>
  <si>
    <t>2400 CENTRE AVE</t>
  </si>
  <si>
    <t>THOMPSON JOHN  &amp; SCHRRYL R ROBINSON</t>
  </si>
  <si>
    <t>JHAUNINE REED</t>
  </si>
  <si>
    <t>LAPLAC LAPLACE ST</t>
  </si>
  <si>
    <t>NAPPER WILLIAM  &amp; SON</t>
  </si>
  <si>
    <t>QUAIL DR APT 3</t>
  </si>
  <si>
    <t xml:space="preserve">WILSON ODESSA </t>
  </si>
  <si>
    <t>2322 CENTRE AVE</t>
  </si>
  <si>
    <t>OLIVET BAPTIST CHURCH  OF PGH</t>
  </si>
  <si>
    <t>2312 CENTRE AVE</t>
  </si>
  <si>
    <t>BLVD OF THE ALLIES # 901</t>
  </si>
  <si>
    <t xml:space="preserve">ROBINSON DIANA </t>
  </si>
  <si>
    <t>2514 CENTRE AVE</t>
  </si>
  <si>
    <t>MCKNIGHT HELEN L &amp; ALMA MC KNIGHT</t>
  </si>
  <si>
    <t>2516 CENTRE AVE</t>
  </si>
  <si>
    <t>0 OAK HILL DR</t>
  </si>
  <si>
    <t xml:space="preserve">WATSON ANDREA </t>
  </si>
  <si>
    <t>2541 ALLEQUIPPA ST</t>
  </si>
  <si>
    <t>ALLEQUIPPA ST</t>
  </si>
  <si>
    <t>BROWN GEORGE P &amp; ROSA J (W)</t>
  </si>
  <si>
    <t>2539 ALLEQUIPPA ST</t>
  </si>
  <si>
    <t xml:space="preserve">RIVERS STREAM PROPERTIES </t>
  </si>
  <si>
    <t>2502 WYANDOTTE ST</t>
  </si>
  <si>
    <t>RIVERS STREAM PROPERT</t>
  </si>
  <si>
    <t>WALKERS GLEN LN</t>
  </si>
  <si>
    <t>BUFORD</t>
  </si>
  <si>
    <t xml:space="preserve">TURNER MARTHA </t>
  </si>
  <si>
    <t>28 SEINE WAY</t>
  </si>
  <si>
    <t>SEINE WAY</t>
  </si>
  <si>
    <t>COLEY JOHN G &amp; WILLIE ANNA</t>
  </si>
  <si>
    <t>0 WYANDOTTE ST</t>
  </si>
  <si>
    <t>EMMA ST</t>
  </si>
  <si>
    <t xml:space="preserve">2506 WYANDOTTE ST LLC </t>
  </si>
  <si>
    <t>2506 WYANDOTTE ST</t>
  </si>
  <si>
    <t>2506 WYANDOTTE ST LLC</t>
  </si>
  <si>
    <t>FREEPORT RD</t>
  </si>
  <si>
    <t xml:space="preserve">LOTT JOHN H &amp; LIZZIE MAI </t>
  </si>
  <si>
    <t>2514 WYANDOTTE ST</t>
  </si>
  <si>
    <t xml:space="preserve">LOTT JOHN H &amp; LIZZIE </t>
  </si>
  <si>
    <t>WYANDOTTE ST</t>
  </si>
  <si>
    <t>LOTT JOHN H &amp; LIZZIE MAI (W)</t>
  </si>
  <si>
    <t xml:space="preserve">JOHNSON DONALD J </t>
  </si>
  <si>
    <t>STANTON AVE</t>
  </si>
  <si>
    <t xml:space="preserve">THOMPKINS TAYLOR                                </t>
  </si>
  <si>
    <t>2527 WYANDOTTE ST</t>
  </si>
  <si>
    <t xml:space="preserve">HIGGINBOTHAM ELIZABETH  STARR                   </t>
  </si>
  <si>
    <t>HIGGINBOTHAM ELIZABET</t>
  </si>
  <si>
    <t>AVENUE OF THE ARTS ST 401</t>
  </si>
  <si>
    <t>WILMINGTON</t>
  </si>
  <si>
    <t>DE</t>
  </si>
  <si>
    <t>AVENUE OF THE ARTS 401</t>
  </si>
  <si>
    <t>AVENUE OF THE ARTS UNIT 401</t>
  </si>
  <si>
    <t>HAEUPLER HEIDI LILLIAN  ISLAS</t>
  </si>
  <si>
    <t>213 WHITRIDGE ST</t>
  </si>
  <si>
    <t>HAEUPLER HEIDI LILLIA</t>
  </si>
  <si>
    <t>WHITRIDGE ST</t>
  </si>
  <si>
    <t xml:space="preserve">PATEL RAJIT </t>
  </si>
  <si>
    <t>203 WHITRIDGE ST</t>
  </si>
  <si>
    <t xml:space="preserve">CASSIDY TERRANCE L SR </t>
  </si>
  <si>
    <t>CHARTIERS TER</t>
  </si>
  <si>
    <t xml:space="preserve">GHAFARI SARAVI SAM </t>
  </si>
  <si>
    <t>2043 WYANDOTTE ST</t>
  </si>
  <si>
    <t xml:space="preserve">BEASLEY HENRY </t>
  </si>
  <si>
    <t>0 WHITE ST</t>
  </si>
  <si>
    <t xml:space="preserve">LANELIVING MANGEMENT LLC </t>
  </si>
  <si>
    <t>2904 WHITE ST</t>
  </si>
  <si>
    <t xml:space="preserve">LANELIVING MANGEMENT </t>
  </si>
  <si>
    <t>GREENSBURG ST</t>
  </si>
  <si>
    <t>DELMONT</t>
  </si>
  <si>
    <t xml:space="preserve">LOCKETT RHONDA                                  </t>
  </si>
  <si>
    <t>2908 WHITE ST</t>
  </si>
  <si>
    <t>WHITE ST</t>
  </si>
  <si>
    <t xml:space="preserve">BOSWELL WILL </t>
  </si>
  <si>
    <t>2912 WHITE ST</t>
  </si>
  <si>
    <t xml:space="preserve">ONE GOAL ENTERPRISES LLC </t>
  </si>
  <si>
    <t>2931 BEDFORD AVE</t>
  </si>
  <si>
    <t xml:space="preserve">ONE GOAL ENTERPRISES </t>
  </si>
  <si>
    <t>ARDMORE BLVD</t>
  </si>
  <si>
    <t>2929 BEDFORD AVE</t>
  </si>
  <si>
    <t xml:space="preserve">KING OF THE HILL LLC </t>
  </si>
  <si>
    <t>2927 BEDFORD AVE</t>
  </si>
  <si>
    <t>PO BOX 772</t>
  </si>
  <si>
    <t>WARREN</t>
  </si>
  <si>
    <t xml:space="preserve">SAUNDERS DANA D </t>
  </si>
  <si>
    <t>2923 BEDFORD AVE</t>
  </si>
  <si>
    <t xml:space="preserve">BONNER JAMES JR </t>
  </si>
  <si>
    <t>2903 BEDFORD AVE</t>
  </si>
  <si>
    <t>WESTERN MANOR INC        ETAL</t>
  </si>
  <si>
    <t>2851 BEDFORD AVE</t>
  </si>
  <si>
    <t>CENTRE AVE FL 2</t>
  </si>
  <si>
    <t xml:space="preserve">WHITE ANDREW </t>
  </si>
  <si>
    <t>MILLER AVE</t>
  </si>
  <si>
    <t>RANKIN</t>
  </si>
  <si>
    <t xml:space="preserve">ASHBY ANTHONY J </t>
  </si>
  <si>
    <t>BURKETT ROBERT G &amp; MARY E</t>
  </si>
  <si>
    <t>BURKETT ROBERT G &amp; MA</t>
  </si>
  <si>
    <t xml:space="preserve">HORTON MILLIE </t>
  </si>
  <si>
    <t>PO BOX 824</t>
  </si>
  <si>
    <t>GRIFFIN</t>
  </si>
  <si>
    <t xml:space="preserve">KIELAR JOANN R </t>
  </si>
  <si>
    <t>0 RIDGWAY ST</t>
  </si>
  <si>
    <t>RIDGEWAY ST</t>
  </si>
  <si>
    <t>BLUEPRINT INVESTMENT  GROUP LLC</t>
  </si>
  <si>
    <t>3510 RIDGWAY ST</t>
  </si>
  <si>
    <t>VILLAGE RUN RD UNIT 103-221</t>
  </si>
  <si>
    <t>0 LISBON ST</t>
  </si>
  <si>
    <t xml:space="preserve">PENN PROPERTIES CO INC </t>
  </si>
  <si>
    <t>UNDELIVERABLE</t>
  </si>
  <si>
    <t xml:space="preserve">RICHARD C HVIZDAK 2002  IRREVOCABLE TRUST       </t>
  </si>
  <si>
    <t>RICHARD C HVIZDAK 200</t>
  </si>
  <si>
    <t>E MAIN ST STE 201</t>
  </si>
  <si>
    <t>3606 RIDGWAY ST</t>
  </si>
  <si>
    <t>SMITH CHARLES ALLEN &amp; LEAH M</t>
  </si>
  <si>
    <t>635 MELWOOD AVE</t>
  </si>
  <si>
    <t>MELWOOD AVE</t>
  </si>
  <si>
    <t xml:space="preserve">CARR AMBY DUNCAN </t>
  </si>
  <si>
    <t>631 MELWOOD AVE</t>
  </si>
  <si>
    <t>GRILL JOHN D             ETAL</t>
  </si>
  <si>
    <t>0 MELWOOD AVE</t>
  </si>
  <si>
    <t>GRILL JOHN D % FRANCI</t>
  </si>
  <si>
    <t>BLVD OF THE  ALLIES</t>
  </si>
  <si>
    <t xml:space="preserve">PARKS JUANITA </t>
  </si>
  <si>
    <t>3382 RIDGWAY ST</t>
  </si>
  <si>
    <t xml:space="preserve">HD PROPERTIES LLC </t>
  </si>
  <si>
    <t>ISLAND AVE</t>
  </si>
  <si>
    <t>SOMMERER RONALD F &amp; FLORENCE (W)</t>
  </si>
  <si>
    <t>MINTWOOD ST</t>
  </si>
  <si>
    <t xml:space="preserve">MCCLAIN RICHARD E </t>
  </si>
  <si>
    <t>3362 RIDGWAY ST</t>
  </si>
  <si>
    <t xml:space="preserve">DOWNEY KIERAN </t>
  </si>
  <si>
    <t>3356 RIDGWAY ST</t>
  </si>
  <si>
    <t xml:space="preserve">HOLLIDAY KEANNA </t>
  </si>
  <si>
    <t>3352 RIDGWAY ST</t>
  </si>
  <si>
    <t>RIDGWAY ST</t>
  </si>
  <si>
    <t xml:space="preserve">JAMES JACQUELINE </t>
  </si>
  <si>
    <t>3348 RIDGWAY ST</t>
  </si>
  <si>
    <t>JACQUELINE JAMES</t>
  </si>
  <si>
    <t xml:space="preserve">MINT SODA CORPORATION </t>
  </si>
  <si>
    <t>GRANT ST STE 301</t>
  </si>
  <si>
    <t>OPTIMUM REALTY  CORPORATION</t>
  </si>
  <si>
    <t>OPTIMUM REALTY CORPOR</t>
  </si>
  <si>
    <t>N YORK ST STE 205</t>
  </si>
  <si>
    <t>ELMHURST</t>
  </si>
  <si>
    <t>IL</t>
  </si>
  <si>
    <t xml:space="preserve">BAZNER DOROTHY ANN </t>
  </si>
  <si>
    <t xml:space="preserve">LAITY DANIEL T </t>
  </si>
  <si>
    <t>3340 AJAX ST</t>
  </si>
  <si>
    <t>0 VESPER ST</t>
  </si>
  <si>
    <t>SWEENEY MICHAEL C &amp; CAROL J (W)</t>
  </si>
  <si>
    <t>3349 AJAX ST</t>
  </si>
  <si>
    <t xml:space="preserve">DAVIS LEWIS  &amp; MARLENE Y </t>
  </si>
  <si>
    <t>3351 AJAX ST</t>
  </si>
  <si>
    <t>DAVIS LEWIS  &amp; MARLEN</t>
  </si>
  <si>
    <t xml:space="preserve">YANKOSCHUK MONA </t>
  </si>
  <si>
    <t>0 AJAX ST</t>
  </si>
  <si>
    <t>HOLLY LN</t>
  </si>
  <si>
    <t>ROCKWOOD</t>
  </si>
  <si>
    <t>PAYNE JAMES M &amp; FRANCES M (W)</t>
  </si>
  <si>
    <t>3346 AJAX ST</t>
  </si>
  <si>
    <t xml:space="preserve">NGUYEN THANG VAN </t>
  </si>
  <si>
    <t>BETHOVEN ST</t>
  </si>
  <si>
    <t xml:space="preserve">BROWN MARK </t>
  </si>
  <si>
    <t>THOMAS ROBERT  &amp; CYNTHIA (W)</t>
  </si>
  <si>
    <t>3366 AJAX ST</t>
  </si>
  <si>
    <t>0 MONROE ST</t>
  </si>
  <si>
    <t xml:space="preserve">MANUEL JAMES CHARLES III </t>
  </si>
  <si>
    <t>3391 MONROE ST</t>
  </si>
  <si>
    <t>MONROE ST</t>
  </si>
  <si>
    <t xml:space="preserve">GAZA JOHN </t>
  </si>
  <si>
    <t>3389 MONROE ST</t>
  </si>
  <si>
    <t xml:space="preserve">SOUTHERS MARK CLAYTON </t>
  </si>
  <si>
    <t>3401 WEBSTER AVE</t>
  </si>
  <si>
    <t>IOWA ST</t>
  </si>
  <si>
    <t xml:space="preserve">HARP ROSA MAE </t>
  </si>
  <si>
    <t>RICHARDSON CLIFFORD J &amp; MARY E (W)</t>
  </si>
  <si>
    <t>3426 MONROE ST</t>
  </si>
  <si>
    <t xml:space="preserve">WHITE PARRIS D </t>
  </si>
  <si>
    <t>3436 MONROE ST</t>
  </si>
  <si>
    <t xml:space="preserve">LANESE MICHAEL </t>
  </si>
  <si>
    <t>WOODWARD AVE</t>
  </si>
  <si>
    <t xml:space="preserve">JONES MARY W </t>
  </si>
  <si>
    <t>PO BOX 4968</t>
  </si>
  <si>
    <t>ARLINGTON AVE</t>
  </si>
  <si>
    <t xml:space="preserve">LAMPENFIELD ROBERT S JR </t>
  </si>
  <si>
    <t>3518 BALBOA ST</t>
  </si>
  <si>
    <t>BALBOA ST</t>
  </si>
  <si>
    <t xml:space="preserve">JEFFREY ARTHUR                                  </t>
  </si>
  <si>
    <t>3431 WEBSTER AVE</t>
  </si>
  <si>
    <t xml:space="preserve">LYLE DAVID </t>
  </si>
  <si>
    <t>DOBSON ST</t>
  </si>
  <si>
    <t xml:space="preserve">NWADIARO CHIOMA L </t>
  </si>
  <si>
    <t>3413 WEBSTER AVE</t>
  </si>
  <si>
    <t xml:space="preserve">WILSON ROBERT </t>
  </si>
  <si>
    <t>3452 WEBSTER AVE</t>
  </si>
  <si>
    <t xml:space="preserve">POLLARD BARBARA A </t>
  </si>
  <si>
    <t>3456 WEBSTER AVE</t>
  </si>
  <si>
    <t>JOHNSON ROBERT D &amp; PRISCILLA (W)</t>
  </si>
  <si>
    <t>3460 WEBSTER AVE</t>
  </si>
  <si>
    <t>JOHNSON ROBERT D &amp; PR</t>
  </si>
  <si>
    <t>RAINEV ADRIENNE MURRAY &amp; MAJOR</t>
  </si>
  <si>
    <t>RAINEV ADRIENNE MURRA</t>
  </si>
  <si>
    <t>CHATMAN THOMAS C &amp; DOLORES (W)</t>
  </si>
  <si>
    <t>3478 WEBSTER AVE</t>
  </si>
  <si>
    <t>3484 WEBSTER AVE</t>
  </si>
  <si>
    <t xml:space="preserve">MC EWEN RUTH L                                  </t>
  </si>
  <si>
    <t>3504 WEBSTER AVE</t>
  </si>
  <si>
    <t>WILLIAMS EMBRY &amp; APRIL (W)</t>
  </si>
  <si>
    <t>3528 WEBSTER AVE</t>
  </si>
  <si>
    <t>WILLIAMS EMBRY &amp; APRI</t>
  </si>
  <si>
    <t xml:space="preserve">BEU WILLIAM J </t>
  </si>
  <si>
    <t>3548 WEBSTER AVE</t>
  </si>
  <si>
    <t>ESB BANK</t>
  </si>
  <si>
    <t>LAWRENCE AVE</t>
  </si>
  <si>
    <t>ELLWOOD CITY</t>
  </si>
  <si>
    <t>PONDER STENCIL J &amp; BARBARA A (W)</t>
  </si>
  <si>
    <t>703 FINLAND ST</t>
  </si>
  <si>
    <t>FINLAND ST</t>
  </si>
  <si>
    <t>MC EWEN RUTH L COSTANGO D THOMAS</t>
  </si>
  <si>
    <t>0 FINLAND ST</t>
  </si>
  <si>
    <t xml:space="preserve">FORD SYBIL S </t>
  </si>
  <si>
    <t>3487 MILWAUKEE ST</t>
  </si>
  <si>
    <t xml:space="preserve">MASSARO LINDA </t>
  </si>
  <si>
    <t>0 MILWAUKEE ST</t>
  </si>
  <si>
    <t>MASSARO LINDA</t>
  </si>
  <si>
    <t>DUKE OF GLOUCESTER DR</t>
  </si>
  <si>
    <t>MANHASSET</t>
  </si>
  <si>
    <t>DUKE OF GLOUCESTER</t>
  </si>
  <si>
    <t xml:space="preserve">GARNER PEREZ MELISSA A                          </t>
  </si>
  <si>
    <t>3449 MILWAUKEE ST</t>
  </si>
  <si>
    <t xml:space="preserve">GARNER PEREZ MELISSA </t>
  </si>
  <si>
    <t xml:space="preserve">BICHIBA NAWFEL </t>
  </si>
  <si>
    <t>OAK HILL DR</t>
  </si>
  <si>
    <t>UNITED STATES PRODUCTS CO</t>
  </si>
  <si>
    <t>520 MELWOOD AVE</t>
  </si>
  <si>
    <t>516 MELWOOD AVE</t>
  </si>
  <si>
    <t xml:space="preserve">DUE VIOLINI ONE LLC </t>
  </si>
  <si>
    <t>501 MELWOOD AVE</t>
  </si>
  <si>
    <t>SHADY AVE</t>
  </si>
  <si>
    <t>519 MELWOOD AVE</t>
  </si>
  <si>
    <t xml:space="preserve">WINTER JUDITH V </t>
  </si>
  <si>
    <t xml:space="preserve">MCDONALD IAN N </t>
  </si>
  <si>
    <t>MCDONALD IAN N</t>
  </si>
  <si>
    <t>COLONIAL DR</t>
  </si>
  <si>
    <t>STRONG GABRIELLE J &amp; AKBAR M ORMES</t>
  </si>
  <si>
    <t>586 BLESSING ST</t>
  </si>
  <si>
    <t>SOMERVILLE ST</t>
  </si>
  <si>
    <t xml:space="preserve">LEWIS RAINA M </t>
  </si>
  <si>
    <t>803 FINLAND ST</t>
  </si>
  <si>
    <t xml:space="preserve">SMITH WALTER JR </t>
  </si>
  <si>
    <t>729 FINLAND ST</t>
  </si>
  <si>
    <t>CARDINAL LN</t>
  </si>
  <si>
    <t>CLARKS SUMMIT</t>
  </si>
  <si>
    <t xml:space="preserve">MACGREGOR JOHN B                                </t>
  </si>
  <si>
    <t>0 BLESSING ST</t>
  </si>
  <si>
    <t>PO BOX 531</t>
  </si>
  <si>
    <t>ANDOVER</t>
  </si>
  <si>
    <t xml:space="preserve">MACGREGOR JOHN B </t>
  </si>
  <si>
    <t>HILL AVE</t>
  </si>
  <si>
    <t xml:space="preserve">RASHIDD AMIR                                    </t>
  </si>
  <si>
    <t>518 BLESSING ST</t>
  </si>
  <si>
    <t>BLESSING ST</t>
  </si>
  <si>
    <t xml:space="preserve">BENDTSEN JOHN W </t>
  </si>
  <si>
    <t xml:space="preserve">FRIZZI CARLA L </t>
  </si>
  <si>
    <t>589 BLESSING ST</t>
  </si>
  <si>
    <t xml:space="preserve">FILIPIAK MARY STEIN                             </t>
  </si>
  <si>
    <t>0 BERNHARDT WAY</t>
  </si>
  <si>
    <t>ROBERT W RUDZKI</t>
  </si>
  <si>
    <t>MARISMAL CIR</t>
  </si>
  <si>
    <t>SANTA ROSA BEA</t>
  </si>
  <si>
    <t xml:space="preserve">VERTULLO JAMES WILLIAM </t>
  </si>
  <si>
    <t>COLMAR ST</t>
  </si>
  <si>
    <t xml:space="preserve">DANIHER THERESA </t>
  </si>
  <si>
    <t>0 HARRY ST</t>
  </si>
  <si>
    <t>HARRY ST</t>
  </si>
  <si>
    <t xml:space="preserve">RAMZEL BRIAN </t>
  </si>
  <si>
    <t>3926 HARRY ST</t>
  </si>
  <si>
    <t xml:space="preserve">KOSGEI JACQUELEEN </t>
  </si>
  <si>
    <t>3924 HARRY ST</t>
  </si>
  <si>
    <t xml:space="preserve">PENNSYLVANIA HOUSING </t>
  </si>
  <si>
    <t>N FRONT ST BOX 8029</t>
  </si>
  <si>
    <t>HARRISBURG</t>
  </si>
  <si>
    <t>3925 HARRY ST</t>
  </si>
  <si>
    <t xml:space="preserve">ANTONUCCI ALEXANDER M &amp; NATALIE M (W)           </t>
  </si>
  <si>
    <t>0 COLMAR ST</t>
  </si>
  <si>
    <t>ANTONUCCI ALEXANDER M</t>
  </si>
  <si>
    <t>LISBON ST</t>
  </si>
  <si>
    <t>632 LISBON ST</t>
  </si>
  <si>
    <t xml:space="preserve">MELWOOD PROPERTIES INC </t>
  </si>
  <si>
    <t>461 MELWOOD AVE</t>
  </si>
  <si>
    <t>MELWOOD PROPERTIES IN</t>
  </si>
  <si>
    <t xml:space="preserve">MUSKELLY EDNA </t>
  </si>
  <si>
    <t>MONTEZUMA ST</t>
  </si>
  <si>
    <t xml:space="preserve">SMITH DONALD T JR </t>
  </si>
  <si>
    <t>3364 MILWAUKEE ST</t>
  </si>
  <si>
    <t>LERETA  LLC</t>
  </si>
  <si>
    <t>SMITH DONALD T &amp; EVELYN J (W)</t>
  </si>
  <si>
    <t>SMITH DONALD T &amp; EVEL</t>
  </si>
  <si>
    <t>GRAYHURST DR</t>
  </si>
  <si>
    <t xml:space="preserve">AMANI CHRISTIAN CDC </t>
  </si>
  <si>
    <t>3331 MILWAUKEE ST</t>
  </si>
  <si>
    <t xml:space="preserve">BLACK MISHAYA D </t>
  </si>
  <si>
    <t>3323 MILWAUKEE ST</t>
  </si>
  <si>
    <t>3313 MILWAUKEE ST</t>
  </si>
  <si>
    <t xml:space="preserve">BLACK MARGARET CANNON </t>
  </si>
  <si>
    <t>3311 MILWAUKEE ST</t>
  </si>
  <si>
    <t>BLACK MARGARET CANNON</t>
  </si>
  <si>
    <t>SMOKEYWOOD DR</t>
  </si>
  <si>
    <t xml:space="preserve">SUMLIN NELLIE M </t>
  </si>
  <si>
    <t xml:space="preserve">ANDERSON WALTER D </t>
  </si>
  <si>
    <t>3310 WEBSTER AVE</t>
  </si>
  <si>
    <t xml:space="preserve">WASHINGTON MICHAEL </t>
  </si>
  <si>
    <t xml:space="preserve">UC REALTY II LLC </t>
  </si>
  <si>
    <t>3318 WEBSTER AVE</t>
  </si>
  <si>
    <t>UC MARINA LLC</t>
  </si>
  <si>
    <t>RIVER RD STE 5</t>
  </si>
  <si>
    <t>BETHEL JAMES M &amp; ELIZABETH</t>
  </si>
  <si>
    <t>3324 WEBSTER AVE</t>
  </si>
  <si>
    <t xml:space="preserve">BARRANTE ANTHONY A </t>
  </si>
  <si>
    <t>LANSDALE DR</t>
  </si>
  <si>
    <t xml:space="preserve">GARY LISA </t>
  </si>
  <si>
    <t>3338 WEBSTER AVE</t>
  </si>
  <si>
    <t xml:space="preserve">DAVIS RAMELE </t>
  </si>
  <si>
    <t>3340 WEBSTER AVE</t>
  </si>
  <si>
    <t>DAVIS RAMELE</t>
  </si>
  <si>
    <t xml:space="preserve">BRANCH KIMBERLY </t>
  </si>
  <si>
    <t>3348 WEBSTER AVE</t>
  </si>
  <si>
    <t xml:space="preserve">MUSGROVE CHARLA A </t>
  </si>
  <si>
    <t>3364 WEBSTER AVE</t>
  </si>
  <si>
    <t>MARTIN JAMES L &amp; BARBARA J MARTIN</t>
  </si>
  <si>
    <t>3368 WEBSTER AVE</t>
  </si>
  <si>
    <t xml:space="preserve">BROWN CARMEN ARLIN                              </t>
  </si>
  <si>
    <t>3370 WEBSTER AVE</t>
  </si>
  <si>
    <t xml:space="preserve">SOUTHERS MARK C </t>
  </si>
  <si>
    <t>3383 WEBSTER AVE</t>
  </si>
  <si>
    <t xml:space="preserve">CLARK ERIC LEON </t>
  </si>
  <si>
    <t>3377 WEBSTER AVE</t>
  </si>
  <si>
    <t>CLARK ERIC LEON</t>
  </si>
  <si>
    <t>HIGH BEAM CT</t>
  </si>
  <si>
    <t>COLUMBIA</t>
  </si>
  <si>
    <t xml:space="preserve">PRATT TRUDY                                     </t>
  </si>
  <si>
    <t>3373 WEBSTER AVE</t>
  </si>
  <si>
    <t>PO BOX 672146</t>
  </si>
  <si>
    <t xml:space="preserve">SMITH EVELYN M </t>
  </si>
  <si>
    <t>3369 WEBSTER AVE</t>
  </si>
  <si>
    <t xml:space="preserve">WHEAT HERMAN  &amp; ANNE </t>
  </si>
  <si>
    <t>718 MCNEIL PL</t>
  </si>
  <si>
    <t>MC NEIL PL</t>
  </si>
  <si>
    <t xml:space="preserve">ELY ALIENE                                      </t>
  </si>
  <si>
    <t>720 MCNEIL PL</t>
  </si>
  <si>
    <t xml:space="preserve">LEE JOSEPH W &amp; LELIA E </t>
  </si>
  <si>
    <t>5 OLNEY ST</t>
  </si>
  <si>
    <t xml:space="preserve">WALLACE PATRICIA </t>
  </si>
  <si>
    <t>4 OLNEY ST</t>
  </si>
  <si>
    <t xml:space="preserve">ROBINSON THOMAS &amp; AGNES M (W)             </t>
  </si>
  <si>
    <t>1 OLNEY ST</t>
  </si>
  <si>
    <t>ROBINSON THOMAS &amp; AGN</t>
  </si>
  <si>
    <t>HOUGH JAMES H &amp; ODESSA HOUGH</t>
  </si>
  <si>
    <t>3341 WEBSTER AVE</t>
  </si>
  <si>
    <t>JAMES HOUGH</t>
  </si>
  <si>
    <t>TILDEN ST</t>
  </si>
  <si>
    <t>BANKSTON ARBIE  &amp; ANNABELLE</t>
  </si>
  <si>
    <t>3337 WEBSTER AVE</t>
  </si>
  <si>
    <t xml:space="preserve">MORRIS JOSEPHINE </t>
  </si>
  <si>
    <t>3335 WEBSTER AVE</t>
  </si>
  <si>
    <t xml:space="preserve">ANEESA MUBARAK </t>
  </si>
  <si>
    <t>3328 MCNEIL PL</t>
  </si>
  <si>
    <t>ANESSA MUBARAK</t>
  </si>
  <si>
    <t xml:space="preserve">JOHNSON LAVINIA </t>
  </si>
  <si>
    <t>3338 MCNEIL PL</t>
  </si>
  <si>
    <t xml:space="preserve">CRAWFORD CASSIE </t>
  </si>
  <si>
    <t>3356 MCNEIL PL</t>
  </si>
  <si>
    <t xml:space="preserve">BHATT UTSHAV </t>
  </si>
  <si>
    <t>3333 MCNEIL PL</t>
  </si>
  <si>
    <t>BHATT UTSHAV</t>
  </si>
  <si>
    <t>BEACON ST</t>
  </si>
  <si>
    <t xml:space="preserve">GARY LISA L                                     </t>
  </si>
  <si>
    <t>3335 MCNEIL PL</t>
  </si>
  <si>
    <t>GARY LISA L</t>
  </si>
  <si>
    <t>COMMERCIAL ACQUISITIONS  LLC</t>
  </si>
  <si>
    <t>3341 MCNEIL PL</t>
  </si>
  <si>
    <t>CBRE  INC</t>
  </si>
  <si>
    <t>SHILOH RD STE A</t>
  </si>
  <si>
    <t>ALPHARETTA</t>
  </si>
  <si>
    <t xml:space="preserve">DAVID STANFORD </t>
  </si>
  <si>
    <t>11 OLNEY ST</t>
  </si>
  <si>
    <t>GILMORE ST</t>
  </si>
  <si>
    <t>3 OLNEY ST</t>
  </si>
  <si>
    <t>DENNIS MORGAN</t>
  </si>
  <si>
    <t xml:space="preserve">THOMPSON SOLOMON  &amp; MARY </t>
  </si>
  <si>
    <t>13 OLNEY ST</t>
  </si>
  <si>
    <t>THOMPSON SOLOMON  &amp; M</t>
  </si>
  <si>
    <t>ROBINSON THOMAS X &amp; AGNES F</t>
  </si>
  <si>
    <t>730 MCNEIL PL</t>
  </si>
  <si>
    <t xml:space="preserve">TAYLOR COLLETTE </t>
  </si>
  <si>
    <t>17 OLNEY ST</t>
  </si>
  <si>
    <t>ROSECREST PL</t>
  </si>
  <si>
    <t>15 OLNEY ST</t>
  </si>
  <si>
    <t xml:space="preserve">DAVID STANFORD SR </t>
  </si>
  <si>
    <t>14 OLNEY ST</t>
  </si>
  <si>
    <t>BELL CHARLES  &amp; LUCY MAE (W)</t>
  </si>
  <si>
    <t>12 OLNEY ST</t>
  </si>
  <si>
    <t>CHURCH OF JESUS CHRIST  JERRY TAYLOR JAMES TEMPL</t>
  </si>
  <si>
    <t>0 HANCOCK ST</t>
  </si>
  <si>
    <t>JERRY TAYLOR</t>
  </si>
  <si>
    <t>WARDS CHAPLE RD</t>
  </si>
  <si>
    <t>MARRIOTTSVILLE</t>
  </si>
  <si>
    <t xml:space="preserve">SMITH ELLEN </t>
  </si>
  <si>
    <t xml:space="preserve">JOHNSON SERENA </t>
  </si>
  <si>
    <t>3327 MCNEIL PL</t>
  </si>
  <si>
    <t>MCNEILL PL</t>
  </si>
  <si>
    <t>LORD BROWNE &amp; RICHARDS DEVELOPMENT LLC</t>
  </si>
  <si>
    <t>721 DANUBE ST</t>
  </si>
  <si>
    <t>LORD BROWNE &amp; RICHARD</t>
  </si>
  <si>
    <t xml:space="preserve">MOSLEY CHARLENE B </t>
  </si>
  <si>
    <t>711 DANUBE ST</t>
  </si>
  <si>
    <t>DANUBE ST</t>
  </si>
  <si>
    <t>709 DANUBE ST</t>
  </si>
  <si>
    <t>COLEMAN WILLIAM T &amp; COLEMAN LAWRENCE E</t>
  </si>
  <si>
    <t>0 HERRON AVE</t>
  </si>
  <si>
    <t>HEBRON AVE</t>
  </si>
  <si>
    <t>HORD E F &amp; ASSOCIATES INC</t>
  </si>
  <si>
    <t>806 HERRON AVE</t>
  </si>
  <si>
    <t>814 HERRON AVE</t>
  </si>
  <si>
    <t xml:space="preserve">BRADBERRY ARLENE WEST </t>
  </si>
  <si>
    <t>816 HERRON AVE</t>
  </si>
  <si>
    <t xml:space="preserve">OKINS MELISSA                                   </t>
  </si>
  <si>
    <t>MELISSA OKINS &amp; COREY</t>
  </si>
  <si>
    <t>GRIFFIN BRUCE L II &amp; BRITTANY (W)</t>
  </si>
  <si>
    <t>740 BRYN MAWR RD</t>
  </si>
  <si>
    <t>CRESCENT GARDEN DR</t>
  </si>
  <si>
    <t>0 BRYN MAWR RD</t>
  </si>
  <si>
    <t>DREAMS OF HOUSING AMERICA</t>
  </si>
  <si>
    <t>769 BRYN MAWR RD</t>
  </si>
  <si>
    <t>ANITA PERKINS</t>
  </si>
  <si>
    <t>GRANDVIEW AVE</t>
  </si>
  <si>
    <t xml:space="preserve">DEVAUGHN NATASHA L </t>
  </si>
  <si>
    <t>765 BRYN MAWR RD</t>
  </si>
  <si>
    <t xml:space="preserve">OWENS ADRIAN </t>
  </si>
  <si>
    <t>739 BRYN MAWR RD</t>
  </si>
  <si>
    <t xml:space="preserve">HARPER GIBSON </t>
  </si>
  <si>
    <t>3372 MILWAUKEE ST</t>
  </si>
  <si>
    <t>HARPER ERNEST G &amp; GERALDINE M HARPER</t>
  </si>
  <si>
    <t>MCMILLAN MATTHEW &amp; GINA (W)</t>
  </si>
  <si>
    <t>732 CLARISSA ST</t>
  </si>
  <si>
    <t>MCMILLAN MATTHEW &amp; GI</t>
  </si>
  <si>
    <t>SCHATZMAN VIRGIL ARTHUR  JR</t>
  </si>
  <si>
    <t>730 CLARISSA ST</t>
  </si>
  <si>
    <t>SCHATZMAN VIRGIL ARTH</t>
  </si>
  <si>
    <t xml:space="preserve">MCMILLAN MATTHEW </t>
  </si>
  <si>
    <t>MCMILLAN MATTHEW</t>
  </si>
  <si>
    <t xml:space="preserve">BENSON SHERIFF K                                </t>
  </si>
  <si>
    <t>0 CLARISSA ST</t>
  </si>
  <si>
    <t>BENSON SHERIFF K</t>
  </si>
  <si>
    <t>E 15TH AVE</t>
  </si>
  <si>
    <t xml:space="preserve">COLON HERMINIO JR </t>
  </si>
  <si>
    <t>744 CLARISSA ST</t>
  </si>
  <si>
    <t>ROCHESTER RD</t>
  </si>
  <si>
    <t xml:space="preserve">GOODE RONALD L </t>
  </si>
  <si>
    <t>748 CLARISSA ST</t>
  </si>
  <si>
    <t xml:space="preserve">SSOM INC                                        </t>
  </si>
  <si>
    <t>752 CLARISSA ST</t>
  </si>
  <si>
    <t>SSOM INC C/O EUPM</t>
  </si>
  <si>
    <t>810 CLARISSA ST</t>
  </si>
  <si>
    <t>RAINEY MAJOR R</t>
  </si>
  <si>
    <t xml:space="preserve">KELLY MARIE </t>
  </si>
  <si>
    <t>812 CLARISSA ST</t>
  </si>
  <si>
    <t xml:space="preserve">DELOUVPRE KLANCI R </t>
  </si>
  <si>
    <t>833 CLARISSA ST</t>
  </si>
  <si>
    <t xml:space="preserve">ESTATE OF WILLIAM R  ROBINSON                </t>
  </si>
  <si>
    <t>825 CLARISSA ST</t>
  </si>
  <si>
    <t>NYOTA N ROBINSON ADMI</t>
  </si>
  <si>
    <t xml:space="preserve">JONES STACEY N JENKINS                          </t>
  </si>
  <si>
    <t>769 CLARISSA ST</t>
  </si>
  <si>
    <t>JONES STACEY N JENKIN</t>
  </si>
  <si>
    <t xml:space="preserve">WALLS JAMES LEROY </t>
  </si>
  <si>
    <t>733 CLARISSA ST</t>
  </si>
  <si>
    <t xml:space="preserve">ABRAMSON JESSE </t>
  </si>
  <si>
    <t>727 CLARISSA ST</t>
  </si>
  <si>
    <t>MARBURY MAJOR  &amp; CARL MARBURY</t>
  </si>
  <si>
    <t>3412 MILWAUKEE ST</t>
  </si>
  <si>
    <t>MARBURY MAJOR  &amp; CARL</t>
  </si>
  <si>
    <t>JACKSON GERALDINE JEANNETTE HAWTHORNE</t>
  </si>
  <si>
    <t>3416 MILWAUKEE ST</t>
  </si>
  <si>
    <t>STANSBURY ST</t>
  </si>
  <si>
    <t>DETROIT</t>
  </si>
  <si>
    <t xml:space="preserve">A&amp; A REALTY AND ASSOCIATES </t>
  </si>
  <si>
    <t>3422 MILWAUKEE ST</t>
  </si>
  <si>
    <t>A&amp;A REALTY AND ASSOCI</t>
  </si>
  <si>
    <t xml:space="preserve">EVANS MARVIN A </t>
  </si>
  <si>
    <t>0 ADELAIDE ST</t>
  </si>
  <si>
    <t>ADELAIDE ST</t>
  </si>
  <si>
    <t xml:space="preserve">MYERS DONALD JR </t>
  </si>
  <si>
    <t>718 ADELAIDE ST</t>
  </si>
  <si>
    <t xml:space="preserve">WILDS-BROWN ERNEST </t>
  </si>
  <si>
    <t>734 ADELAIDE ST</t>
  </si>
  <si>
    <t>ERNEST WILDS-BROWN</t>
  </si>
  <si>
    <t>JAMISON THOMAS A &amp; ROBERTA I (W)</t>
  </si>
  <si>
    <t>744 ADELAIDE ST</t>
  </si>
  <si>
    <t xml:space="preserve">KINNEY ALICE                                    </t>
  </si>
  <si>
    <t>748 ADELAIDE ST</t>
  </si>
  <si>
    <t xml:space="preserve">TELESTO INC </t>
  </si>
  <si>
    <t>FRANKLIN AVE</t>
  </si>
  <si>
    <t>GARDEN CITY</t>
  </si>
  <si>
    <t xml:space="preserve">FOSSETT ROSA W </t>
  </si>
  <si>
    <t>MCHARRIS LAWRENCE  &amp; LAVERNE</t>
  </si>
  <si>
    <t>818 ADELAIDE ST</t>
  </si>
  <si>
    <t>LONG WILLIAM  &amp; BETTY (W)</t>
  </si>
  <si>
    <t>820 ADELAIDE ST</t>
  </si>
  <si>
    <t>LONG WILLIAM  &amp; BETTY</t>
  </si>
  <si>
    <t>ADELAUDE ST</t>
  </si>
  <si>
    <t xml:space="preserve">MOSS JOSEPH G JR                                </t>
  </si>
  <si>
    <t>824 ADELAIDE ST</t>
  </si>
  <si>
    <t>EUPM</t>
  </si>
  <si>
    <t xml:space="preserve">CARTER CALVIN  &amp; HAZEL </t>
  </si>
  <si>
    <t>826 ADELAIDE ST</t>
  </si>
  <si>
    <t xml:space="preserve">YEUNG DENNIS </t>
  </si>
  <si>
    <t>828 ADELAIDE ST</t>
  </si>
  <si>
    <t>DENNIS YEUNG</t>
  </si>
  <si>
    <t xml:space="preserve">WRIGHT SYLVESTER                                </t>
  </si>
  <si>
    <t>0 CAMP ST</t>
  </si>
  <si>
    <t>CAMP ST</t>
  </si>
  <si>
    <t>WRIGHT SYLVESTER  &amp; ROBIN R (W)</t>
  </si>
  <si>
    <t>3408 CAMP ST</t>
  </si>
  <si>
    <t xml:space="preserve">RIGNEY TRACEY L </t>
  </si>
  <si>
    <t>901 ADELAIDE ST</t>
  </si>
  <si>
    <t xml:space="preserve">MCLAYS LLC </t>
  </si>
  <si>
    <t>3401 MILWAUKEE ST</t>
  </si>
  <si>
    <t>MCLAYS LLC</t>
  </si>
  <si>
    <t xml:space="preserve">EDWARDS JESSE </t>
  </si>
  <si>
    <t>3406 WEBSTER AVE</t>
  </si>
  <si>
    <t xml:space="preserve">RANSOM RHONDA NICOLE </t>
  </si>
  <si>
    <t>3410 WEBSTER AVE</t>
  </si>
  <si>
    <t>908 ADELAIDE ST</t>
  </si>
  <si>
    <t xml:space="preserve">SHEN YONGGANG </t>
  </si>
  <si>
    <t>912 ADELAIDE ST</t>
  </si>
  <si>
    <t>SHEN YONGGANG</t>
  </si>
  <si>
    <t>MONTEREY DR</t>
  </si>
  <si>
    <t xml:space="preserve">BANKSTON ARBIE </t>
  </si>
  <si>
    <t>916 ADELAIDE ST</t>
  </si>
  <si>
    <t>THOMPSON PAUL E &amp; ELOISE B</t>
  </si>
  <si>
    <t>921 ADELAIDE ST</t>
  </si>
  <si>
    <t xml:space="preserve">DORIS HARVEY IN CARE </t>
  </si>
  <si>
    <t>PO BOX 42682</t>
  </si>
  <si>
    <t>917 ADELAIDE ST</t>
  </si>
  <si>
    <t>CHARLES LAMONT  &amp; LYDIA A (W)</t>
  </si>
  <si>
    <t>905 ADELAIDE ST</t>
  </si>
  <si>
    <t xml:space="preserve">MAHAFFEY BEATRICE M                             </t>
  </si>
  <si>
    <t>3534 CAMP ST</t>
  </si>
  <si>
    <t xml:space="preserve">SOUTHERS MARK CLAYTON &amp;                         </t>
  </si>
  <si>
    <t>3515 IOWA ST</t>
  </si>
  <si>
    <t>SOUTHERS MARK CLAYTON</t>
  </si>
  <si>
    <t>E.F. HORD &amp; ASSOCIATES INC</t>
  </si>
  <si>
    <t>3544 CAMP ST</t>
  </si>
  <si>
    <t>E.F. HORD &amp; ASSOCIATE</t>
  </si>
  <si>
    <t xml:space="preserve">MORGAN-LEE AYISHA &amp;                         </t>
  </si>
  <si>
    <t>912 FINLAND ST</t>
  </si>
  <si>
    <t>MORGAN-LEE AYISHA &amp; S</t>
  </si>
  <si>
    <t xml:space="preserve">WILLIAMS IRIS S </t>
  </si>
  <si>
    <t>0 ALPENA ST</t>
  </si>
  <si>
    <t xml:space="preserve">PITT WIDOW LLC </t>
  </si>
  <si>
    <t>340 N CRAIG ST</t>
  </si>
  <si>
    <t>WOOLLEY AVE</t>
  </si>
  <si>
    <t>LONG BRANCH</t>
  </si>
  <si>
    <t xml:space="preserve">XELA 88 THREE LLC </t>
  </si>
  <si>
    <t>420 N CRAIG ST</t>
  </si>
  <si>
    <t xml:space="preserve">LUX AETERNA LLC </t>
  </si>
  <si>
    <t xml:space="preserve">424 GOLDWAY PARTNERS LLC </t>
  </si>
  <si>
    <t>424 GOLD WAY</t>
  </si>
  <si>
    <t xml:space="preserve">424 GOLDWAY PARTNERS </t>
  </si>
  <si>
    <t>0 GOLD WAY</t>
  </si>
  <si>
    <t xml:space="preserve">HUDSON MELWOOD LP </t>
  </si>
  <si>
    <t>419 MELWOOD AVE</t>
  </si>
  <si>
    <t>SHENANGO VALLEY FRWY</t>
  </si>
  <si>
    <t xml:space="preserve">H2 PITTSBURGH LLC                               </t>
  </si>
  <si>
    <t>4627 BAUM BLVD</t>
  </si>
  <si>
    <t>BLANDING BLVD</t>
  </si>
  <si>
    <t>JACKSONVILLE</t>
  </si>
  <si>
    <t xml:space="preserve">EASTCO INVESTMENTS  MANAGEMENT LLC          </t>
  </si>
  <si>
    <t>357 MELWOOD AVE</t>
  </si>
  <si>
    <t>EASTCO INVESTMENTS MA</t>
  </si>
  <si>
    <t>353 MELWOOD AVE</t>
  </si>
  <si>
    <t>4643 BAUM BLVD</t>
  </si>
  <si>
    <t>2937 WEBSTER AVE</t>
  </si>
  <si>
    <t>2936 WEBSTER AVE</t>
  </si>
  <si>
    <t xml:space="preserve">GERMANY GEORGE H </t>
  </si>
  <si>
    <t>2938 WEBSTER AVE</t>
  </si>
  <si>
    <t>SCHENLEY FARMS TER</t>
  </si>
  <si>
    <t xml:space="preserve">DAVIS EMMA LEE </t>
  </si>
  <si>
    <t xml:space="preserve">IKENNA SARAH B </t>
  </si>
  <si>
    <t>2944 WEBSTER AVE</t>
  </si>
  <si>
    <t>FORESTVIEW DR</t>
  </si>
  <si>
    <t>BETHEL PARK</t>
  </si>
  <si>
    <t>DOUGLAS FREDERICK &amp; HOLLY (W)</t>
  </si>
  <si>
    <t>2946 WEBSTER AVE</t>
  </si>
  <si>
    <t>DOUGLAS FREDERICK &amp; H</t>
  </si>
  <si>
    <t>BUENA VISTA ST</t>
  </si>
  <si>
    <t xml:space="preserve">PITTS ROOSEVELT H </t>
  </si>
  <si>
    <t>2948 WEBSTER AVE</t>
  </si>
  <si>
    <t xml:space="preserve">WORTHAM TOSI PALMER </t>
  </si>
  <si>
    <t>FRAM ST</t>
  </si>
  <si>
    <t xml:space="preserve">JONES MARSHA </t>
  </si>
  <si>
    <t>MAPLE ST</t>
  </si>
  <si>
    <t xml:space="preserve">BLACK JHERIA DAVLON </t>
  </si>
  <si>
    <t>653 HERRON AVE</t>
  </si>
  <si>
    <t xml:space="preserve">MORGAN NELSON R &amp; HILDA                   </t>
  </si>
  <si>
    <t>647 HERRON AVE</t>
  </si>
  <si>
    <t>MORGAN NELSON R &amp; HIL</t>
  </si>
  <si>
    <t>N 11TH ST</t>
  </si>
  <si>
    <t>TAMPA</t>
  </si>
  <si>
    <t>MOSBY GEORGE K &amp; MARGUERITE C</t>
  </si>
  <si>
    <t>MACK JAMES L &amp; LUCILLE (W)</t>
  </si>
  <si>
    <t>2923 ORBIN ST</t>
  </si>
  <si>
    <t xml:space="preserve">TURNER JAMES  &amp; MEDA </t>
  </si>
  <si>
    <t>0 CROCKETT ST</t>
  </si>
  <si>
    <t>GRANT AVE</t>
  </si>
  <si>
    <t xml:space="preserve">WILSON GEORGE </t>
  </si>
  <si>
    <t>SWISSVALE AVE</t>
  </si>
  <si>
    <t>2930 ORBIN ST</t>
  </si>
  <si>
    <t xml:space="preserve">DAVID LORETTA B </t>
  </si>
  <si>
    <t xml:space="preserve">DORSEY LOLA </t>
  </si>
  <si>
    <t xml:space="preserve">DOLLAR WILLA MAE </t>
  </si>
  <si>
    <t xml:space="preserve">BROWN EDWARD </t>
  </si>
  <si>
    <t>2950 ORBIN ST</t>
  </si>
  <si>
    <t>BROWN EDWARD</t>
  </si>
  <si>
    <t xml:space="preserve">ECTOR DAVID </t>
  </si>
  <si>
    <t>3RD AVE</t>
  </si>
  <si>
    <t xml:space="preserve">PROJECT LOVE COALITION </t>
  </si>
  <si>
    <t>559 HERRON AVE</t>
  </si>
  <si>
    <t>PROJECT LOVE COALITIO</t>
  </si>
  <si>
    <t>557 HERRON AVE</t>
  </si>
  <si>
    <t>EATMAN JOHN  &amp; LULU LYERLY (W)</t>
  </si>
  <si>
    <t>3026 VANCROFT ST</t>
  </si>
  <si>
    <t>EATMAN JOHN  &amp; LULU L</t>
  </si>
  <si>
    <t xml:space="preserve">CHARITIES WESLEY AME </t>
  </si>
  <si>
    <t>ASHDALE ST</t>
  </si>
  <si>
    <t>BEY A HUNT &amp; KATHLEEN (W)</t>
  </si>
  <si>
    <t>0 SHAWNEE ST</t>
  </si>
  <si>
    <t>KEDRON ST</t>
  </si>
  <si>
    <t xml:space="preserve">CAMPBELL BARBARA                                </t>
  </si>
  <si>
    <t>626 OSSIPEE ST</t>
  </si>
  <si>
    <t>OSSIPEE ST</t>
  </si>
  <si>
    <t xml:space="preserve">CAMBELL BARBARA H </t>
  </si>
  <si>
    <t>630 OSSIPEE ST</t>
  </si>
  <si>
    <t xml:space="preserve">BROUGHTON BEVERLY E                             </t>
  </si>
  <si>
    <t>700 CHEROKEE ST</t>
  </si>
  <si>
    <t>CHEROKEE ST</t>
  </si>
  <si>
    <t xml:space="preserve">WILLIAMS THOMAS &amp; PHYLLIS (W)             </t>
  </si>
  <si>
    <t>720 CHEROKEE ST</t>
  </si>
  <si>
    <t xml:space="preserve">ALLEN CALVIN </t>
  </si>
  <si>
    <t>722 CHEROKEE ST</t>
  </si>
  <si>
    <t>LAKETON RD</t>
  </si>
  <si>
    <t xml:space="preserve">BULLOCK JAMES LANGFORD </t>
  </si>
  <si>
    <t>0 CHEROKEE ST</t>
  </si>
  <si>
    <t xml:space="preserve">FREEMAN ROSALYN R </t>
  </si>
  <si>
    <t>RESIDENT CIR</t>
  </si>
  <si>
    <t>CARY</t>
  </si>
  <si>
    <t>PORTER WILLIAM  &amp; ARTIE MAE &amp; IDA OGDEN</t>
  </si>
  <si>
    <t>710 ANAHEIM ST</t>
  </si>
  <si>
    <t xml:space="preserve">HAYNES MARIE </t>
  </si>
  <si>
    <t>726 ANAHEIM ST</t>
  </si>
  <si>
    <t>728 ANAHEIM ST</t>
  </si>
  <si>
    <t xml:space="preserve">GOREE LORNE A </t>
  </si>
  <si>
    <t>717 ANAHEIM ST</t>
  </si>
  <si>
    <t>GOLDEN HILL DR</t>
  </si>
  <si>
    <t>BOWIE</t>
  </si>
  <si>
    <t>FIRST EMANUEL  TABERNACLE CHURCH</t>
  </si>
  <si>
    <t>0 ANAHEIM ST</t>
  </si>
  <si>
    <t xml:space="preserve">HERRON VILLAGE LLC </t>
  </si>
  <si>
    <t>650 HERRON AVE</t>
  </si>
  <si>
    <t>GRAMAC LN</t>
  </si>
  <si>
    <t xml:space="preserve">ACH CLEAR PATHWAYS </t>
  </si>
  <si>
    <t>HELDMAN ST</t>
  </si>
  <si>
    <t xml:space="preserve">GRAVELY JAMES W </t>
  </si>
  <si>
    <t xml:space="preserve">YOUNG JACKIE JR </t>
  </si>
  <si>
    <t>820 CLARISSA ST</t>
  </si>
  <si>
    <t xml:space="preserve">BOSSETT BARBARA </t>
  </si>
  <si>
    <t>822 CLARISSA ST</t>
  </si>
  <si>
    <t>DANIELS DENNAR M &amp; FELECIA D (W)</t>
  </si>
  <si>
    <t>824 CLARISSA ST</t>
  </si>
  <si>
    <t>WOODS CHARLES LEROY &amp; JONNIE MAE</t>
  </si>
  <si>
    <t>PITTSBURGH HOUSING  DEVELOPMENT CORP</t>
  </si>
  <si>
    <t xml:space="preserve">GIVNER ERICA  L </t>
  </si>
  <si>
    <t>3308 CAMP ST</t>
  </si>
  <si>
    <t>SOMERSET ST</t>
  </si>
  <si>
    <t>SCHENLEY HEIGHTS  COLLABORATIVE</t>
  </si>
  <si>
    <t>3310 CAMP ST</t>
  </si>
  <si>
    <t>SCHENLEY HEIGHTS COLL</t>
  </si>
  <si>
    <t>3312 CAMP ST</t>
  </si>
  <si>
    <t xml:space="preserve">MOSLEY AMANDA A </t>
  </si>
  <si>
    <t>912 CLARISSA ST</t>
  </si>
  <si>
    <t xml:space="preserve">BROWN LESLIE A </t>
  </si>
  <si>
    <t>918 CLARISSA ST</t>
  </si>
  <si>
    <t xml:space="preserve">JONES SYLVIA </t>
  </si>
  <si>
    <t xml:space="preserve">WEBB LAURAN </t>
  </si>
  <si>
    <t>913 BRYN MAWR RD</t>
  </si>
  <si>
    <t xml:space="preserve">POTTER TANYA L </t>
  </si>
  <si>
    <t>911 BRYN MAWR RD</t>
  </si>
  <si>
    <t>WILLIAMS IRIS S &amp; WAYNE WILLIAMS</t>
  </si>
  <si>
    <t>907 BRYN MAWR RD</t>
  </si>
  <si>
    <t xml:space="preserve">LEGRANDE TONI RENE                              </t>
  </si>
  <si>
    <t>GLADE CT</t>
  </si>
  <si>
    <t>MANASSAS</t>
  </si>
  <si>
    <t>HOWELL CHERYL C &amp; PAUL (H)</t>
  </si>
  <si>
    <t>817 BRYN MAWR RD</t>
  </si>
  <si>
    <t>PITTSBURGH HOUSING  DEVELOPMENT CORPORATION</t>
  </si>
  <si>
    <t>811 BRYN MAWR RD</t>
  </si>
  <si>
    <t xml:space="preserve">FORD VICTOR G </t>
  </si>
  <si>
    <t>806 BRYN MAWR RD</t>
  </si>
  <si>
    <t xml:space="preserve">RAWLINGS RHONDA EMMA </t>
  </si>
  <si>
    <t>808 BRYN MAWR RD</t>
  </si>
  <si>
    <t>ORANMORE ST</t>
  </si>
  <si>
    <t>A&amp; R ACQUISITIONS GROUP CO</t>
  </si>
  <si>
    <t>820 BRYN MAWR RD</t>
  </si>
  <si>
    <t>A&amp;R ACQUISITIONS GROU</t>
  </si>
  <si>
    <t xml:space="preserve">WILLIAMS DELORES </t>
  </si>
  <si>
    <t>3210 CAMP ST</t>
  </si>
  <si>
    <t>MINTON ST</t>
  </si>
  <si>
    <t>3216 CAMP ST</t>
  </si>
  <si>
    <t>900 BRYN MAWR RD</t>
  </si>
  <si>
    <t xml:space="preserve">CAMPISANO ARTILIO F </t>
  </si>
  <si>
    <t>908 BRYN MAWR RD</t>
  </si>
  <si>
    <t>CAMPISANO ARTILIO F</t>
  </si>
  <si>
    <t>COLEMAN LARAINE I &amp; RONALD W (H)</t>
  </si>
  <si>
    <t>930 BRYN MAWR RD</t>
  </si>
  <si>
    <t xml:space="preserve">NYVT INVESTMENT INC </t>
  </si>
  <si>
    <t>3208 CAMP ST</t>
  </si>
  <si>
    <t>N BRADDOCK AVE</t>
  </si>
  <si>
    <t xml:space="preserve">HILL MARIE </t>
  </si>
  <si>
    <t>3206 CAMP ST</t>
  </si>
  <si>
    <t>809 ANAHEIM ST</t>
  </si>
  <si>
    <t xml:space="preserve">EPPS DORIS E </t>
  </si>
  <si>
    <t>HENDERSON EDWARD         ETAL</t>
  </si>
  <si>
    <t>753 ANAHEIM ST</t>
  </si>
  <si>
    <t>STAFFORD AVE</t>
  </si>
  <si>
    <t>SPARTANBURG</t>
  </si>
  <si>
    <t xml:space="preserve">ALLEN JOEANN </t>
  </si>
  <si>
    <t>745 ANAHEIM ST</t>
  </si>
  <si>
    <t xml:space="preserve">YOUR HOUSE IS MY HOUSE </t>
  </si>
  <si>
    <t>733 ANAHEIM ST</t>
  </si>
  <si>
    <t>YOUR HOUSE IS MY HOUS</t>
  </si>
  <si>
    <t>PO BOX 90196</t>
  </si>
  <si>
    <t xml:space="preserve">JAMES ROBERT </t>
  </si>
  <si>
    <t>721 ANAHEIM ST</t>
  </si>
  <si>
    <t xml:space="preserve">MICHAEL JULIA </t>
  </si>
  <si>
    <t>738 ANAHEIM ST</t>
  </si>
  <si>
    <t xml:space="preserve">SPENCER GAIL L </t>
  </si>
  <si>
    <t>740 ANAHEIM ST</t>
  </si>
  <si>
    <t>PITTSBURGH HOUSING &amp; DEVELOPMENT CORPORATION</t>
  </si>
  <si>
    <t>748 ANAHEIM ST</t>
  </si>
  <si>
    <t xml:space="preserve">PITTSBURGH HOUSING &amp; </t>
  </si>
  <si>
    <t>758 ANAHEIM ST</t>
  </si>
  <si>
    <t>ELLA HENDERSON</t>
  </si>
  <si>
    <t xml:space="preserve">ALLEN COY W JR </t>
  </si>
  <si>
    <t xml:space="preserve">ASBURY MILDRED B </t>
  </si>
  <si>
    <t>766 ANAHEIM ST</t>
  </si>
  <si>
    <t xml:space="preserve">802 ANAHEIM LLC </t>
  </si>
  <si>
    <t>802 ANAHEIM ST</t>
  </si>
  <si>
    <t>PO BOX 894</t>
  </si>
  <si>
    <t>MCKENZIE CLIFTON  &amp; LUNELLE B</t>
  </si>
  <si>
    <t>816 ANAHEIM ST</t>
  </si>
  <si>
    <t>MCKENZIE CLIFTON  &amp; L</t>
  </si>
  <si>
    <t>COKER JAMES LEE &amp; BRAD-LEIGH T (W)</t>
  </si>
  <si>
    <t>820 ANAHEIM ST</t>
  </si>
  <si>
    <t xml:space="preserve">RICHBOURG LISA </t>
  </si>
  <si>
    <t>824 ANAHEIM ST</t>
  </si>
  <si>
    <t xml:space="preserve">LOUIS CARTER LLC </t>
  </si>
  <si>
    <t>908 ANAHEIM ST</t>
  </si>
  <si>
    <t>GAINES CHARLES M &amp; DOLORES S</t>
  </si>
  <si>
    <t>914 ANAHEIM ST</t>
  </si>
  <si>
    <t xml:space="preserve">WILLIAMS EMANUEL                                </t>
  </si>
  <si>
    <t>916 ANAHEIM ST</t>
  </si>
  <si>
    <t>N AIKEN AVE</t>
  </si>
  <si>
    <t>RICHARDS MICHAEL         ETAL</t>
  </si>
  <si>
    <t>920 ANAHEIM ST</t>
  </si>
  <si>
    <t>MHR HOLDINGS LLC</t>
  </si>
  <si>
    <t>PENN AVE STE B-1139</t>
  </si>
  <si>
    <t xml:space="preserve">SCOTT MARCIA D                                  </t>
  </si>
  <si>
    <t>932 ANAHEIM ST</t>
  </si>
  <si>
    <t>ANDAHEIM ST</t>
  </si>
  <si>
    <t>MALEK SIAMAK &amp; CONNIEL (W)</t>
  </si>
  <si>
    <t>917 CHEROKEE ST</t>
  </si>
  <si>
    <t>MALEK SIAMAK &amp; CONNIE</t>
  </si>
  <si>
    <t>VERNDALE ST UNIT 2</t>
  </si>
  <si>
    <t>BROOKLINE</t>
  </si>
  <si>
    <t>BYRD LAWRENCE  &amp; BETTY JEAN (W)</t>
  </si>
  <si>
    <t>LEXINGTON ST</t>
  </si>
  <si>
    <t xml:space="preserve">WHITLEY ROBIN </t>
  </si>
  <si>
    <t>819 CHEROKEE ST</t>
  </si>
  <si>
    <t>MEANS RICHARD WAYNE  WASHINGTON</t>
  </si>
  <si>
    <t>817 CHEROKEE ST</t>
  </si>
  <si>
    <t>MEANS RICHARD WAYNE W</t>
  </si>
  <si>
    <t xml:space="preserve">BEY CANAAN </t>
  </si>
  <si>
    <t>3104 LYON ST</t>
  </si>
  <si>
    <t>LYON ST</t>
  </si>
  <si>
    <t>743 CHEROKEE ST</t>
  </si>
  <si>
    <t>742 CHEROKEE ST</t>
  </si>
  <si>
    <t xml:space="preserve">MCDANIELS JELESTER JR </t>
  </si>
  <si>
    <t>BLUFF SPRINGS RD APT 1108</t>
  </si>
  <si>
    <t>AUSTIN</t>
  </si>
  <si>
    <t xml:space="preserve">AGNEW LILLE </t>
  </si>
  <si>
    <t>758 CHEROKEE ST</t>
  </si>
  <si>
    <t>811 SHAWNEE ST</t>
  </si>
  <si>
    <t xml:space="preserve">BURGH ENTERPRISE LIMITED </t>
  </si>
  <si>
    <t>820 CHEROKEE ST</t>
  </si>
  <si>
    <t>BURGH ENTERPRISE LIMI</t>
  </si>
  <si>
    <t>HOWE DAVID E &amp; JOAN F (W)</t>
  </si>
  <si>
    <t>MOREWOOD RD</t>
  </si>
  <si>
    <t>GLENSHAW</t>
  </si>
  <si>
    <t xml:space="preserve">SMITH WILLIAM </t>
  </si>
  <si>
    <t>824 CHEROKEE ST</t>
  </si>
  <si>
    <t>HOLLAND AVE APT B4</t>
  </si>
  <si>
    <t xml:space="preserve">FELDER HATTIE                                   </t>
  </si>
  <si>
    <t>826 CHEROKEE ST</t>
  </si>
  <si>
    <t xml:space="preserve">FELDER HATTIE SAMUEL </t>
  </si>
  <si>
    <t>PITTSBURGH MCKEESPORT BLVD</t>
  </si>
  <si>
    <t>DRAVOSBURG</t>
  </si>
  <si>
    <t xml:space="preserve">TRENT BRENDA J </t>
  </si>
  <si>
    <t>828 CHEROKEE ST</t>
  </si>
  <si>
    <t xml:space="preserve">SCOTT TRACY </t>
  </si>
  <si>
    <t>904 CHEROKEE ST</t>
  </si>
  <si>
    <t xml:space="preserve">MORGAN SHELLY </t>
  </si>
  <si>
    <t>910 CHEROKEE ST</t>
  </si>
  <si>
    <t xml:space="preserve">SHELTON-LAMOT DARLENE </t>
  </si>
  <si>
    <t>918 CHEROKEE ST</t>
  </si>
  <si>
    <t>MARSHALL AVE</t>
  </si>
  <si>
    <t xml:space="preserve">BRYANT LOUISE RHODES                            </t>
  </si>
  <si>
    <t>920 CHEROKEE ST</t>
  </si>
  <si>
    <t xml:space="preserve">GULLY NICOLE </t>
  </si>
  <si>
    <t>DIAMOND ST STE 210</t>
  </si>
  <si>
    <t xml:space="preserve">THOMAS WILLIAM </t>
  </si>
  <si>
    <t>833 SHAWNEE ST</t>
  </si>
  <si>
    <t>SHAWNEE ST</t>
  </si>
  <si>
    <t xml:space="preserve">HARRIS ARLENE L                                 </t>
  </si>
  <si>
    <t>825 SHAWNEE ST</t>
  </si>
  <si>
    <t xml:space="preserve">MITCHELL JACQUELINE </t>
  </si>
  <si>
    <t>803 SHAWNEE ST</t>
  </si>
  <si>
    <t>826 SHAWNEE ST</t>
  </si>
  <si>
    <t>828 SHAWNEE ST</t>
  </si>
  <si>
    <t xml:space="preserve">NDG PROPERTIES LLC </t>
  </si>
  <si>
    <t>3217 CAMP ST</t>
  </si>
  <si>
    <t>NDG PROPERTIES LLC</t>
  </si>
  <si>
    <t xml:space="preserve">SHELTON NORMA </t>
  </si>
  <si>
    <t>3409 IOWA ST</t>
  </si>
  <si>
    <t>SHELTON NORMA</t>
  </si>
  <si>
    <t>IWOA ST</t>
  </si>
  <si>
    <t xml:space="preserve">EVANS NORMA M                                   </t>
  </si>
  <si>
    <t>931 CLARISSA ST</t>
  </si>
  <si>
    <t>JULIAN DR</t>
  </si>
  <si>
    <t xml:space="preserve">LIGHTFOOT LUCRETIA </t>
  </si>
  <si>
    <t>925 CLARISSA ST</t>
  </si>
  <si>
    <t>PETTIGREW HEASIL  &amp; NORMA PAIVA (CO-TRUS TEE</t>
  </si>
  <si>
    <t>919 CLARISSA ST</t>
  </si>
  <si>
    <t xml:space="preserve">MURPHY BRENDA </t>
  </si>
  <si>
    <t>928 CLARISSA ST</t>
  </si>
  <si>
    <t>GRACE MEMORIAL  PRESBYTERIAN CHURCH</t>
  </si>
  <si>
    <t>3205 IOWA ST</t>
  </si>
  <si>
    <t>LOWDEN JAMES JR &amp; MABLE (W)</t>
  </si>
  <si>
    <t>3108 IOWA ST</t>
  </si>
  <si>
    <t xml:space="preserve">CHARLES VIRGINIA </t>
  </si>
  <si>
    <t>3118 IOWA ST</t>
  </si>
  <si>
    <t xml:space="preserve">WALKER BEVERLY J </t>
  </si>
  <si>
    <t>3122 IOWA ST</t>
  </si>
  <si>
    <t>1000 BRYN MAWR RD</t>
  </si>
  <si>
    <t xml:space="preserve">MOSS JOSEPH G JR </t>
  </si>
  <si>
    <t>3302 IOWA ST</t>
  </si>
  <si>
    <t xml:space="preserve">RHODEN LAUREN O </t>
  </si>
  <si>
    <t>4281 DAKOTA ST</t>
  </si>
  <si>
    <t>DAKOTA ST</t>
  </si>
  <si>
    <t xml:space="preserve">ROBERSON KENNETH </t>
  </si>
  <si>
    <t>4333 DAKOTA ST</t>
  </si>
  <si>
    <t>KENNETH ROBERSON</t>
  </si>
  <si>
    <t>PITTSBURGH HOUSING  DEVELOPMENT CORPORATI ON</t>
  </si>
  <si>
    <t>4325 DAKOTA ST</t>
  </si>
  <si>
    <t xml:space="preserve">WILKINSON ANDREW EDWARD                         </t>
  </si>
  <si>
    <t>0 ANDOVER TER</t>
  </si>
  <si>
    <t>WILKINSON ANDREW EDWA</t>
  </si>
  <si>
    <t>S AIKEN AVE</t>
  </si>
  <si>
    <t>4283 ANDOVER TER</t>
  </si>
  <si>
    <t>ANDOVER TER</t>
  </si>
  <si>
    <t xml:space="preserve">SHAH KETUR &amp; SWETA </t>
  </si>
  <si>
    <t>4335 ANDOVER TER</t>
  </si>
  <si>
    <t>SHAH KETUR &amp; SWETA</t>
  </si>
  <si>
    <t xml:space="preserve">WATERS NATHAN C &amp; ANNA C </t>
  </si>
  <si>
    <t xml:space="preserve">BRYAN LESLIE SHAUN </t>
  </si>
  <si>
    <t xml:space="preserve">SCHWERDT HELEN NORA </t>
  </si>
  <si>
    <t>4435 SCHENLEY FARMS TER</t>
  </si>
  <si>
    <t>SCHWERDT HELEN NORA</t>
  </si>
  <si>
    <t>4521 CENTRE AVE</t>
  </si>
  <si>
    <t>4523 CENTRE AVE</t>
  </si>
  <si>
    <t xml:space="preserve">BCC HOLDINGS LLC </t>
  </si>
  <si>
    <t>301 N CRAIG ST</t>
  </si>
  <si>
    <t>BCC HOLDINGS LLC</t>
  </si>
  <si>
    <t>EDWARDS WAY</t>
  </si>
  <si>
    <t>303 N CRAIG ST</t>
  </si>
  <si>
    <t xml:space="preserve">PROVENZANO BENNY J </t>
  </si>
  <si>
    <t>305 N CRAIG ST</t>
  </si>
  <si>
    <t xml:space="preserve">CRAIG 10 LLC </t>
  </si>
  <si>
    <t>310 N CRAIG ST</t>
  </si>
  <si>
    <t>CRAIG 10 LLC</t>
  </si>
  <si>
    <t>SINGH DIDAR &amp; MANJIT KAUR (W)</t>
  </si>
  <si>
    <t>4605 CENTRE AVE</t>
  </si>
  <si>
    <t xml:space="preserve">SINGH DIDAR &amp; MANJIT </t>
  </si>
  <si>
    <t>4613 CENTRE AVE</t>
  </si>
  <si>
    <t xml:space="preserve">PARHAM MICHAEL DURANT </t>
  </si>
  <si>
    <t>2827 CENTRE AVE</t>
  </si>
  <si>
    <t xml:space="preserve">GREENBERGER DAVID </t>
  </si>
  <si>
    <t>BAYBERRY AVE</t>
  </si>
  <si>
    <t>MERRICK</t>
  </si>
  <si>
    <t>2833 CENTRE AVE</t>
  </si>
  <si>
    <t>BANKSTON ARBIE  &amp; ANNABELLE (W)</t>
  </si>
  <si>
    <t xml:space="preserve">STUCKEYQOZ FUND LLC </t>
  </si>
  <si>
    <t>2841 CENTRE AVE</t>
  </si>
  <si>
    <t>STUCKEY QOZFUND LLC</t>
  </si>
  <si>
    <t>PO BOX 10271</t>
  </si>
  <si>
    <t>2847 CENTRE AVE</t>
  </si>
  <si>
    <t xml:space="preserve">CRUMPTON FRED </t>
  </si>
  <si>
    <t>S EUCLID AVE</t>
  </si>
  <si>
    <t xml:space="preserve">DAVIS JAMAAL </t>
  </si>
  <si>
    <t>WILLIAM ST</t>
  </si>
  <si>
    <t xml:space="preserve">JIANG YONG &amp; TONG (W) </t>
  </si>
  <si>
    <t>525 LANDLEISS PL</t>
  </si>
  <si>
    <t>NORTHBROOK LN APT 211</t>
  </si>
  <si>
    <t>STATE COLLEGE</t>
  </si>
  <si>
    <t xml:space="preserve">DANIELS CHARLES </t>
  </si>
  <si>
    <t>526 LANDLEISS PL</t>
  </si>
  <si>
    <t xml:space="preserve">R N REAL ESTATE LLC </t>
  </si>
  <si>
    <t>524 LANDLEISS PL</t>
  </si>
  <si>
    <t xml:space="preserve">JBJE LLC </t>
  </si>
  <si>
    <t>518 LANDLEISS PL</t>
  </si>
  <si>
    <t>MONTGOMERY AVE</t>
  </si>
  <si>
    <t>ELKINS PARK</t>
  </si>
  <si>
    <t xml:space="preserve">BADAH INVESTMENTS LLC </t>
  </si>
  <si>
    <t>3047 CENTRE AVE</t>
  </si>
  <si>
    <t>PRATT EMERY &amp; MYLIA STEVENSON (W)</t>
  </si>
  <si>
    <t>3106 AVALON ST</t>
  </si>
  <si>
    <t>AVALON ST</t>
  </si>
  <si>
    <t xml:space="preserve">WILLIAMS DAR </t>
  </si>
  <si>
    <t>3113 BRACKENRIDGE ST</t>
  </si>
  <si>
    <t>WILLIAMS DAR</t>
  </si>
  <si>
    <t>ARISTON AVE</t>
  </si>
  <si>
    <t>3127 BRACKENRIDGE ST</t>
  </si>
  <si>
    <t xml:space="preserve">BOLLING CATHERINE </t>
  </si>
  <si>
    <t>3129 BRACKENRIDGE ST</t>
  </si>
  <si>
    <t>3150 AVALON ST</t>
  </si>
  <si>
    <t xml:space="preserve">BLEDSOE-BROWN VIVIAN </t>
  </si>
  <si>
    <t>3136 AVALON ST</t>
  </si>
  <si>
    <t xml:space="preserve">RAINEY LINDA C </t>
  </si>
  <si>
    <t>3130 AVALON ST</t>
  </si>
  <si>
    <t xml:space="preserve">LCT MANAGEMENT INC </t>
  </si>
  <si>
    <t>3120 AVALON ST</t>
  </si>
  <si>
    <t>BRENTWOOD SAVINGS BAN</t>
  </si>
  <si>
    <t>MCMURRAY RD STE 200</t>
  </si>
  <si>
    <t xml:space="preserve">ZYT MANAGEMENT INC </t>
  </si>
  <si>
    <t>3118 AVALON ST</t>
  </si>
  <si>
    <t xml:space="preserve">MANISON LILLIAN </t>
  </si>
  <si>
    <t>3116 AVALON ST</t>
  </si>
  <si>
    <t>MERCER ST APT 911</t>
  </si>
  <si>
    <t>3110 AVALON ST</t>
  </si>
  <si>
    <t xml:space="preserve">DURRAH JUDITH                                   </t>
  </si>
  <si>
    <t>3040 IOWA ST</t>
  </si>
  <si>
    <t xml:space="preserve">UMRANI TYRONE S                                 </t>
  </si>
  <si>
    <t>3034 IOWA ST</t>
  </si>
  <si>
    <t>GATEWAY MORTGAGE GROU</t>
  </si>
  <si>
    <t>TAYLOR STACEY  &amp; KHALIL R (H)</t>
  </si>
  <si>
    <t>3129 EWART DR</t>
  </si>
  <si>
    <t>TAYLOR STACEY  &amp; KHAL</t>
  </si>
  <si>
    <t>WESLEY CENTER A M E  ZION CHURCH</t>
  </si>
  <si>
    <t>3131 EWART DR</t>
  </si>
  <si>
    <t xml:space="preserve">SCHENLEY HEIGHTS  COMMUNITY DEVELOPMENT P </t>
  </si>
  <si>
    <t>3171 EWART DR</t>
  </si>
  <si>
    <t>SCHENLEY HEIGHTS COMM</t>
  </si>
  <si>
    <t>KURTZ BARBARA H &amp; COLE H (H)</t>
  </si>
  <si>
    <t>3102 IOWA ST</t>
  </si>
  <si>
    <t>KURTZ BARBARA H &amp; COL</t>
  </si>
  <si>
    <t>WHITE WATER DR</t>
  </si>
  <si>
    <t>MARS</t>
  </si>
  <si>
    <t>HILL LORENZO A &amp; ESTELLA M (W)</t>
  </si>
  <si>
    <t xml:space="preserve">ROLLS FRANCIS C </t>
  </si>
  <si>
    <t>3157 BRACKENRIDGE ST</t>
  </si>
  <si>
    <t xml:space="preserve">LEWIS SHARON L </t>
  </si>
  <si>
    <t>3155 BRACKENRIDGE ST</t>
  </si>
  <si>
    <t>MERLE ST</t>
  </si>
  <si>
    <t xml:space="preserve">LEWIS LADONNA R </t>
  </si>
  <si>
    <t>3151 BRACKENRIDGE ST</t>
  </si>
  <si>
    <t>HARLOW ST</t>
  </si>
  <si>
    <t xml:space="preserve">STEEL TOWN HOLDINGS LP </t>
  </si>
  <si>
    <t>3147 BRACKENRIDGE ST</t>
  </si>
  <si>
    <t>ACCUMATCH</t>
  </si>
  <si>
    <t>N STATE HIGHWAY 161 STE 650</t>
  </si>
  <si>
    <t>POLLARD EDWARD G III &amp; JANET (W)</t>
  </si>
  <si>
    <t>3135 BRACKENRIDGE ST</t>
  </si>
  <si>
    <t xml:space="preserve">WRIGHT EQUITIES </t>
  </si>
  <si>
    <t>3201 SMALLMAN ST</t>
  </si>
  <si>
    <t xml:space="preserve">SMALLMAN STREET  HOLDINGS LLC            </t>
  </si>
  <si>
    <t>3150 SMALLMAN ST</t>
  </si>
  <si>
    <t>SMALLMAN STREET HOLDI</t>
  </si>
  <si>
    <t>SMALLMAN ST STE 300</t>
  </si>
  <si>
    <t>3120 SMALLMAN ST</t>
  </si>
  <si>
    <t>3112 SMALLMAN ST</t>
  </si>
  <si>
    <t>3102 SMALLMAN ST</t>
  </si>
  <si>
    <t>CENTRAL REAL ESTATE  HOLDINGS LLC</t>
  </si>
  <si>
    <t>3323 PENN AVE</t>
  </si>
  <si>
    <t>PO BOX 6666</t>
  </si>
  <si>
    <t xml:space="preserve">GOERK CAROL A </t>
  </si>
  <si>
    <t>3315 LIBERTY AVE</t>
  </si>
  <si>
    <t>CHAUCER CT</t>
  </si>
  <si>
    <t xml:space="preserve">PHC THREE LLC </t>
  </si>
  <si>
    <t>3329 LIBERTY AVE</t>
  </si>
  <si>
    <t>PO BOX 40243</t>
  </si>
  <si>
    <t xml:space="preserve">HUDSON RAILROAD LP </t>
  </si>
  <si>
    <t>102 30TH ST</t>
  </si>
  <si>
    <t>SHENAGO VALLEY FRWY</t>
  </si>
  <si>
    <t xml:space="preserve">29 RAILROAD LLC </t>
  </si>
  <si>
    <t>2917 SPRUCE WAY</t>
  </si>
  <si>
    <t>29 RAILROAD LLC</t>
  </si>
  <si>
    <t xml:space="preserve">STACKS PARKING LP </t>
  </si>
  <si>
    <t>115 28TH ST</t>
  </si>
  <si>
    <t>OXFORD DEVELOPMENT CO</t>
  </si>
  <si>
    <t>RAILROAD ST STE 300</t>
  </si>
  <si>
    <t xml:space="preserve">HUDSON SMALLMAN LP </t>
  </si>
  <si>
    <t>2939 SMALLMAN ST</t>
  </si>
  <si>
    <t>HUDSON SMALLMAN LP</t>
  </si>
  <si>
    <t>2929 SMALLMAN ST</t>
  </si>
  <si>
    <t>RD REAL ESTATE DEBT  FUND II REO LLC</t>
  </si>
  <si>
    <t>2949 SMALLMAN ST</t>
  </si>
  <si>
    <t>RD REAL ESTATE DEBT F</t>
  </si>
  <si>
    <t>W 38TH ST FL 15</t>
  </si>
  <si>
    <t xml:space="preserve">SMALLMAN RED LLC </t>
  </si>
  <si>
    <t>2951 SMALLMAN ST</t>
  </si>
  <si>
    <t>2926 SMALLMAN STREET  ASSOCIATES LP</t>
  </si>
  <si>
    <t>2930 SMALLMAN ST</t>
  </si>
  <si>
    <t>N NARBETH AVE STE 200</t>
  </si>
  <si>
    <t>NARBERTH</t>
  </si>
  <si>
    <t xml:space="preserve">2908 ASSOCIATES LLC </t>
  </si>
  <si>
    <t>2908 SMALLMAN ST</t>
  </si>
  <si>
    <t>GRANT ST STE 1802</t>
  </si>
  <si>
    <t xml:space="preserve">SALEM'S PROPERTIES LLC </t>
  </si>
  <si>
    <t>2901 PENN AVE</t>
  </si>
  <si>
    <t>SALEM'S PROPERTIES LL</t>
  </si>
  <si>
    <t xml:space="preserve">KEY WEST HOLDINGS LLC </t>
  </si>
  <si>
    <t>2941 PENN AVE</t>
  </si>
  <si>
    <t>CHADBORNE CT</t>
  </si>
  <si>
    <t>2950 PENN AVE</t>
  </si>
  <si>
    <t>3015 LIBERTY AVE</t>
  </si>
  <si>
    <t xml:space="preserve">RICHIE THOMAS </t>
  </si>
  <si>
    <t>334 DOWNING ST</t>
  </si>
  <si>
    <t>DOWNING ST</t>
  </si>
  <si>
    <t xml:space="preserve">DOWNING ST LLC </t>
  </si>
  <si>
    <t>329 DOWNING ST</t>
  </si>
  <si>
    <t>KOWALECKI VICKIE  &amp; JOSEPH (H)</t>
  </si>
  <si>
    <t>34 REVERE WAY</t>
  </si>
  <si>
    <t>REVERE WAY</t>
  </si>
  <si>
    <t xml:space="preserve">ECKEN ETHAN C                                   </t>
  </si>
  <si>
    <t>320 HANCOCK ST</t>
  </si>
  <si>
    <t>ROCKET MORTGAGE LLC</t>
  </si>
  <si>
    <t xml:space="preserve">CRUSE THERESA M </t>
  </si>
  <si>
    <t>326 HANCOCK ST</t>
  </si>
  <si>
    <t>HANCOCK ST</t>
  </si>
  <si>
    <t xml:space="preserve">FISCH ELIZABETH A </t>
  </si>
  <si>
    <t>317 HANCOCK ST REAR</t>
  </si>
  <si>
    <t>BAZORE ST</t>
  </si>
  <si>
    <t xml:space="preserve">TEODORI ENTERPRISES </t>
  </si>
  <si>
    <t>2701 SMALLMAN ST</t>
  </si>
  <si>
    <t>PO BOX 917</t>
  </si>
  <si>
    <t>MCMURRAY</t>
  </si>
  <si>
    <t xml:space="preserve">PENNOCK S S COMPANY </t>
  </si>
  <si>
    <t>2711 PENN AVE</t>
  </si>
  <si>
    <t>PENNOCK S S COMPANY</t>
  </si>
  <si>
    <t>NW 89TH PL</t>
  </si>
  <si>
    <t>DORAL</t>
  </si>
  <si>
    <t xml:space="preserve">NOFTZ SUSAN A                                   </t>
  </si>
  <si>
    <t>2737 PENN AVE</t>
  </si>
  <si>
    <t>HIGH KNOLL DEVELOPMENT CORPORATION</t>
  </si>
  <si>
    <t>2801 PENN AVE</t>
  </si>
  <si>
    <t>WEDGEWOOD LN</t>
  </si>
  <si>
    <t>AMERICAN NATIONAL RED CROSS</t>
  </si>
  <si>
    <t>0 PENN AVE</t>
  </si>
  <si>
    <t>ATTN: REAL ESTATE MGMT</t>
  </si>
  <si>
    <t>A FOREST POINT CIR</t>
  </si>
  <si>
    <t xml:space="preserve">LIBERTY ESTATE PIT LLC </t>
  </si>
  <si>
    <t>2736 PENN AVE</t>
  </si>
  <si>
    <t>HUNTINGTON MORTGAGE C</t>
  </si>
  <si>
    <t xml:space="preserve">PENNOCK COMPANY </t>
  </si>
  <si>
    <t>2732 PENN AVE</t>
  </si>
  <si>
    <t xml:space="preserve">SEMPERVIVUM LLC </t>
  </si>
  <si>
    <t>2726 PENN AVE</t>
  </si>
  <si>
    <t>SEMPERVIVUM LLC</t>
  </si>
  <si>
    <t xml:space="preserve">Z-DOG INC </t>
  </si>
  <si>
    <t>2724 PENN AVE</t>
  </si>
  <si>
    <t>Z-DOG INC</t>
  </si>
  <si>
    <t>SPAIN ST</t>
  </si>
  <si>
    <t>NEW ORLEANS</t>
  </si>
  <si>
    <t>LA</t>
  </si>
  <si>
    <t>2713 LIBERTY AVE</t>
  </si>
  <si>
    <t>LIBERTY ESTATE PIT LL</t>
  </si>
  <si>
    <t xml:space="preserve">RHOADES JOHN Y P </t>
  </si>
  <si>
    <t>3030 WIGGINS ST</t>
  </si>
  <si>
    <t>WIGGINS ST</t>
  </si>
  <si>
    <t xml:space="preserve">KEMP PAUL GREGORY </t>
  </si>
  <si>
    <t>3031 PULAWSKI WAY</t>
  </si>
  <si>
    <t>KEMP PAUL GREGORY</t>
  </si>
  <si>
    <t>PULAWSKI WAY</t>
  </si>
  <si>
    <t xml:space="preserve">TENGOWSKI ADRIAN P </t>
  </si>
  <si>
    <t>336 HARMAR ST</t>
  </si>
  <si>
    <t>1ST ST 1</t>
  </si>
  <si>
    <t xml:space="preserve">WHELAN JACKSON JENNINGS                         </t>
  </si>
  <si>
    <t>342 HARMAR ST</t>
  </si>
  <si>
    <t xml:space="preserve">SHAW-WIL PROPERTIES INC </t>
  </si>
  <si>
    <t>344 HARMAR ST</t>
  </si>
  <si>
    <t>BENNETT ST</t>
  </si>
  <si>
    <t xml:space="preserve">FILIPIAK JAMES </t>
  </si>
  <si>
    <t>344 DOWNING ST REAR</t>
  </si>
  <si>
    <t>DOWNING ST REAR</t>
  </si>
  <si>
    <t xml:space="preserve">RICHIE TOM </t>
  </si>
  <si>
    <t>336 DOWNING ST</t>
  </si>
  <si>
    <t xml:space="preserve">NGUYEN KATHERINE TIEN </t>
  </si>
  <si>
    <t>3113 BRERETON ST</t>
  </si>
  <si>
    <t>THIRD FEDERAL SAVINGS</t>
  </si>
  <si>
    <t>PATINA REAL ESTATE &amp; DEVELOPMENT LLC</t>
  </si>
  <si>
    <t>3101 BRERETON ST</t>
  </si>
  <si>
    <t>KENMONT AVE</t>
  </si>
  <si>
    <t xml:space="preserve">ECKERT CONRAD J N JR                            </t>
  </si>
  <si>
    <t>3015 BRERETON ST</t>
  </si>
  <si>
    <t>PHELAN WAY</t>
  </si>
  <si>
    <t xml:space="preserve">HES PROPERTIES LLC </t>
  </si>
  <si>
    <t>3005 BRERETON ST</t>
  </si>
  <si>
    <t xml:space="preserve">BOSPHORUS PROPERTIES LLC </t>
  </si>
  <si>
    <t>3200 BRERETON ST</t>
  </si>
  <si>
    <t xml:space="preserve">BOSPHORUS PROPERTIES </t>
  </si>
  <si>
    <t>RIGHT REVEREND REAL  ESTATE &amp; DEVELOPMENT LLC</t>
  </si>
  <si>
    <t>3052 PHELAN WAY</t>
  </si>
  <si>
    <t>QUENTIN CARBONE</t>
  </si>
  <si>
    <t xml:space="preserve">PTSM INC </t>
  </si>
  <si>
    <t>3029 PAULOWNA ST</t>
  </si>
  <si>
    <t xml:space="preserve">SANFORD MICHAEL LUKE </t>
  </si>
  <si>
    <t>3027 PAULOWNA ST</t>
  </si>
  <si>
    <t>PAULOWNA ST</t>
  </si>
  <si>
    <t xml:space="preserve">PAVO PARTNERS CORP </t>
  </si>
  <si>
    <t>3021 PAULOWNA ST</t>
  </si>
  <si>
    <t>PAVO PARTNERS CORP</t>
  </si>
  <si>
    <t>BRYANT AVE</t>
  </si>
  <si>
    <t>ROSLYN</t>
  </si>
  <si>
    <t>BERNICK MICHAEL  &amp; AMELIA (W)</t>
  </si>
  <si>
    <t>3046 PHELAN WAY</t>
  </si>
  <si>
    <t>SHOREHAM DR</t>
  </si>
  <si>
    <t xml:space="preserve">SYMANSKI KATHLEEN A                             </t>
  </si>
  <si>
    <t>463 30TH ST</t>
  </si>
  <si>
    <t>30TH ST</t>
  </si>
  <si>
    <t xml:space="preserve">SANDERS CONSTANCE ANN </t>
  </si>
  <si>
    <t>3016 PAULOWNA ST</t>
  </si>
  <si>
    <t>VALORA ST</t>
  </si>
  <si>
    <t>HARPER/CLARK DEVELOPMENT LLC</t>
  </si>
  <si>
    <t>3040 BIGELOW BLVD</t>
  </si>
  <si>
    <t>HARPER/CLARK DEVELOPM</t>
  </si>
  <si>
    <t>875 HERRON AVE</t>
  </si>
  <si>
    <t xml:space="preserve">SCHWEBER ADAM B                                 </t>
  </si>
  <si>
    <t>3011 PAULOWNA ST</t>
  </si>
  <si>
    <t>EQUITY RESOURCES INC</t>
  </si>
  <si>
    <t>CONRAIL                  ETAL</t>
  </si>
  <si>
    <t>0 R OF W</t>
  </si>
  <si>
    <t xml:space="preserve">CONRAIL </t>
  </si>
  <si>
    <t>FRANKLIN RD SE</t>
  </si>
  <si>
    <t>ROANOKE</t>
  </si>
  <si>
    <t xml:space="preserve">XAVIER FAVIAN D </t>
  </si>
  <si>
    <t>253 BRERETON ST</t>
  </si>
  <si>
    <t xml:space="preserve">ZIELMANSKI RICHARD </t>
  </si>
  <si>
    <t>0 RIDGEWAY ST</t>
  </si>
  <si>
    <t>LEANDER ST</t>
  </si>
  <si>
    <t xml:space="preserve">GRAPE AND GRAIN  ENTERPRISES LLC         </t>
  </si>
  <si>
    <t>3401 LIBERTY AVE</t>
  </si>
  <si>
    <t>GRAPE AND GRAIN ENTER</t>
  </si>
  <si>
    <t>OSGOOD ST</t>
  </si>
  <si>
    <t xml:space="preserve">EDGOS HARRY T </t>
  </si>
  <si>
    <t>3640 LIBERTY AVE</t>
  </si>
  <si>
    <t>EDGOS HARRY &amp; SOPHIA EDGOS</t>
  </si>
  <si>
    <t>3638 LIBERTY AVE</t>
  </si>
  <si>
    <t xml:space="preserve">EDGOS SOPHIA </t>
  </si>
  <si>
    <t xml:space="preserve">OLSON RICHARD S </t>
  </si>
  <si>
    <t>3636 LIBERTY AVE</t>
  </si>
  <si>
    <t xml:space="preserve">EDGOS PENNY D </t>
  </si>
  <si>
    <t>3628 LIBERTY AVE</t>
  </si>
  <si>
    <t xml:space="preserve">MORI EMANUEL ROCCO </t>
  </si>
  <si>
    <t>3718 LIBERTY AVE</t>
  </si>
  <si>
    <t>MORI EMANUEL ROCCO</t>
  </si>
  <si>
    <t xml:space="preserve">CITY OF BRIDGES CLT </t>
  </si>
  <si>
    <t>3734 LIBERTY AVE</t>
  </si>
  <si>
    <t>BERNETTA JONES</t>
  </si>
  <si>
    <t>ROGUE OPERATION REAL  ESTATE ONE LIMITED LLC</t>
  </si>
  <si>
    <t>3820 LIBERTY AVE</t>
  </si>
  <si>
    <t>HOWE ST</t>
  </si>
  <si>
    <t xml:space="preserve">CHEN XIU FENG </t>
  </si>
  <si>
    <t>3902 LIBERTY AVE</t>
  </si>
  <si>
    <t xml:space="preserve">REYNOLDS MICHAEL C </t>
  </si>
  <si>
    <t>3904 LIBERTY AVE</t>
  </si>
  <si>
    <t>HILLCREST AVE</t>
  </si>
  <si>
    <t xml:space="preserve">QUARTUCCIO BRADLEY J </t>
  </si>
  <si>
    <t>3906 LIBERTY AVE</t>
  </si>
  <si>
    <t xml:space="preserve">SHAREEF HADI M </t>
  </si>
  <si>
    <t>3908 LIBERTY AVE</t>
  </si>
  <si>
    <t xml:space="preserve">STANTON ALEXANDER  BORRELL                 </t>
  </si>
  <si>
    <t>3711 MELWOOD AVE</t>
  </si>
  <si>
    <t xml:space="preserve">ZELLERS THEODORE A </t>
  </si>
  <si>
    <t>0 NEVILLE ST</t>
  </si>
  <si>
    <t>HAZEL AVE APT 1</t>
  </si>
  <si>
    <t>DEPASQUALE FRED &amp; CONNIE (W)</t>
  </si>
  <si>
    <t>3945 NEVILLE ST</t>
  </si>
  <si>
    <t>DEPASQUALE FRED &amp; CON</t>
  </si>
  <si>
    <t>3945 N NEVILLE ST</t>
  </si>
  <si>
    <t>HARTLIN DR</t>
  </si>
  <si>
    <t>LEVIN ANDREW D           ETAL</t>
  </si>
  <si>
    <t>3207 DOBSON ST</t>
  </si>
  <si>
    <t>LEVIN ANDREW D</t>
  </si>
  <si>
    <t>LEWIN LN</t>
  </si>
  <si>
    <t xml:space="preserve">3207 DOBSON LLC </t>
  </si>
  <si>
    <t>3211 DOBSON ST</t>
  </si>
  <si>
    <t xml:space="preserve">JAZZY RENTALS LLC </t>
  </si>
  <si>
    <t>3213 DOBSON ST</t>
  </si>
  <si>
    <t>MCJUNKIN RD</t>
  </si>
  <si>
    <t xml:space="preserve">THINNES DONALD R </t>
  </si>
  <si>
    <t>DONALD THINNES</t>
  </si>
  <si>
    <t xml:space="preserve">OBRIEN ELAINA L                                 </t>
  </si>
  <si>
    <t>CHILDERS DENNIS J &amp; BEATRIZ LUNA CHILDER S (</t>
  </si>
  <si>
    <t>3237 DOBSON ST</t>
  </si>
  <si>
    <t>CHILDERS DENNIS J &amp; B</t>
  </si>
  <si>
    <t>HAMPTON ST</t>
  </si>
  <si>
    <t xml:space="preserve">ORGAL ANNA  &amp; ADAM J                  </t>
  </si>
  <si>
    <t>3235 DOBSON ST</t>
  </si>
  <si>
    <t>JUDITH VERTULLO</t>
  </si>
  <si>
    <t xml:space="preserve">CHERRY ELIZABETH A </t>
  </si>
  <si>
    <t>0 JOAN WAY</t>
  </si>
  <si>
    <t xml:space="preserve">LYLE DAVID J </t>
  </si>
  <si>
    <t>3225 DOBSON ST</t>
  </si>
  <si>
    <t xml:space="preserve">PACE SAMUEL </t>
  </si>
  <si>
    <t>1027 HERRON AVE</t>
  </si>
  <si>
    <t xml:space="preserve">STACK EDWARD J </t>
  </si>
  <si>
    <t>1100 HERRON AVE</t>
  </si>
  <si>
    <t>LAVINA AVE</t>
  </si>
  <si>
    <t xml:space="preserve">SIMONETTI FRANK </t>
  </si>
  <si>
    <t>1102 HERRON AVE</t>
  </si>
  <si>
    <t xml:space="preserve">THINNES DONALD </t>
  </si>
  <si>
    <t>0 LINOLEUM WAY</t>
  </si>
  <si>
    <t xml:space="preserve">THINES DONALD </t>
  </si>
  <si>
    <t>0 RUTHVEN ST</t>
  </si>
  <si>
    <t>RUTHVEN ST</t>
  </si>
  <si>
    <t>1154 HERRON AVE</t>
  </si>
  <si>
    <t xml:space="preserve">THINNES DONALD T </t>
  </si>
  <si>
    <t>1210 HERRON AVE</t>
  </si>
  <si>
    <t>DONSON WAY</t>
  </si>
  <si>
    <t>1226 HERRON AVE</t>
  </si>
  <si>
    <t>1228 HERRON AVE</t>
  </si>
  <si>
    <t>3310 RUTHVEN ST</t>
  </si>
  <si>
    <t>RANSAW BETTY JEAN  SHAUNISE</t>
  </si>
  <si>
    <t>3326 RUTHVEN ST</t>
  </si>
  <si>
    <t>RANSAW BETTY JEAN SHA</t>
  </si>
  <si>
    <t>WHITEMAN AVE</t>
  </si>
  <si>
    <t>UNIONTOWN</t>
  </si>
  <si>
    <t>GREGG GILLIS LIVING  TRUST</t>
  </si>
  <si>
    <t>3359 MELWOOD AVE</t>
  </si>
  <si>
    <t>GREGG GILLIS LIVING T</t>
  </si>
  <si>
    <t xml:space="preserve">BUCK JEREMY </t>
  </si>
  <si>
    <t>3446 FLAVIAN ST</t>
  </si>
  <si>
    <t>FLAVIAN ST</t>
  </si>
  <si>
    <t xml:space="preserve">BROWN EDWARD MILES </t>
  </si>
  <si>
    <t>3439 MELWOOD AVE</t>
  </si>
  <si>
    <t xml:space="preserve">WELLS JENNIFER </t>
  </si>
  <si>
    <t>3507 MELWOOD AVE</t>
  </si>
  <si>
    <t>VIEIRA ANTHONY  &amp; LEONTINE (W)</t>
  </si>
  <si>
    <t>3548 MELWOOD AVE</t>
  </si>
  <si>
    <t xml:space="preserve">COLONNA CLAY M </t>
  </si>
  <si>
    <t>3522 MELWOOD AVE</t>
  </si>
  <si>
    <t xml:space="preserve">PIERCE KALIE D </t>
  </si>
  <si>
    <t>3508 MELWOOD AVE</t>
  </si>
  <si>
    <t xml:space="preserve">DOLNEY DANA L </t>
  </si>
  <si>
    <t>3425 BETHOVEN ST</t>
  </si>
  <si>
    <t xml:space="preserve">HANNAN JULIA E </t>
  </si>
  <si>
    <t>3612 BETHOVEN ST</t>
  </si>
  <si>
    <t xml:space="preserve">141 BBREALTY LLC </t>
  </si>
  <si>
    <t>3569 BIGELOW BLVD</t>
  </si>
  <si>
    <t xml:space="preserve">FRENCH RYAN </t>
  </si>
  <si>
    <t xml:space="preserve">EHRLICHMAN COURTNEY </t>
  </si>
  <si>
    <t>3432 BETHOVEN ST</t>
  </si>
  <si>
    <t xml:space="preserve">MURRAY BRUCE R                                  </t>
  </si>
  <si>
    <t>3469 RIDGEWAY ST</t>
  </si>
  <si>
    <t xml:space="preserve">POLISH HILL HOLDINGS LLC </t>
  </si>
  <si>
    <t>3130 DOBSON ST REAR</t>
  </si>
  <si>
    <t xml:space="preserve">POLISH HILL HOLDINGS </t>
  </si>
  <si>
    <t>FORT PITT BLVD STE 110</t>
  </si>
  <si>
    <t xml:space="preserve">KILLI TRYM </t>
  </si>
  <si>
    <t>3209 BRERETON ST</t>
  </si>
  <si>
    <t xml:space="preserve">SANDERS RONALD D JR </t>
  </si>
  <si>
    <t>406 HANCOCK ST</t>
  </si>
  <si>
    <t xml:space="preserve">PARRISH EDWARD W JR </t>
  </si>
  <si>
    <t>400 HANCOCK ST</t>
  </si>
  <si>
    <t>IMMACULATE HEART OF MARY CHURCH INC</t>
  </si>
  <si>
    <t>1005 HERRON AVE</t>
  </si>
  <si>
    <t xml:space="preserve">JURECKO TODD </t>
  </si>
  <si>
    <t>HAWTHORN CT</t>
  </si>
  <si>
    <t xml:space="preserve">JURECKO TODD J                                  </t>
  </si>
  <si>
    <t>949 HERRON AVE</t>
  </si>
  <si>
    <t>OLD KUMMER RD</t>
  </si>
  <si>
    <t xml:space="preserve">LAMP RANDOLPH J </t>
  </si>
  <si>
    <t>3214 BRERETON ST</t>
  </si>
  <si>
    <t xml:space="preserve">GREENSLOPE CAPITAL LLC </t>
  </si>
  <si>
    <t>938 HERRON AVE</t>
  </si>
  <si>
    <t>GREENSLOPE CAPITAL LL</t>
  </si>
  <si>
    <t>LIBRARY RD STE 220</t>
  </si>
  <si>
    <t xml:space="preserve">1014 HERRON LLC </t>
  </si>
  <si>
    <t>1014 HERRON AVE</t>
  </si>
  <si>
    <t>NE 125TH ST # 301</t>
  </si>
  <si>
    <t>MIAMI</t>
  </si>
  <si>
    <t>SISCO LIVING TRUST  UNDER REVOCABLE AGREEMEN</t>
  </si>
  <si>
    <t>1020 HERRON AVE</t>
  </si>
  <si>
    <t>SISCO LIVING TRUST UN</t>
  </si>
  <si>
    <t xml:space="preserve">GRZEGORCZYK ERIC SCOTT </t>
  </si>
  <si>
    <t>3300 CARGILL ST</t>
  </si>
  <si>
    <t>CARGILL ST</t>
  </si>
  <si>
    <t>BASTOCKI SZYMON &amp; DOROTA (W)</t>
  </si>
  <si>
    <t>3393 BIGELOW BLVD</t>
  </si>
  <si>
    <t>DALZELL PL</t>
  </si>
  <si>
    <t xml:space="preserve">EB2 INC                                         </t>
  </si>
  <si>
    <t>3317 RIDGWAY ST</t>
  </si>
  <si>
    <t>JAMES S MARSONEK</t>
  </si>
  <si>
    <t xml:space="preserve">JAITLEY VIJAI NARAIN </t>
  </si>
  <si>
    <t>CENTRE AVE # 16</t>
  </si>
  <si>
    <t>3345 RIDGWAY ST</t>
  </si>
  <si>
    <t xml:space="preserve">HALL MARTIE M </t>
  </si>
  <si>
    <t>3347 RIDGWAY ST</t>
  </si>
  <si>
    <t>C/O JONATHAN WEISS</t>
  </si>
  <si>
    <t>3351 RIDGWAY ST</t>
  </si>
  <si>
    <t>3353 RIDGWAY ST</t>
  </si>
  <si>
    <t>PITTSBURGH HIPPODROME  LLC</t>
  </si>
  <si>
    <t>3367 RIDGWAY ST</t>
  </si>
  <si>
    <t>PENN AVE APT 902</t>
  </si>
  <si>
    <t xml:space="preserve">HORD PROPERTY LLC </t>
  </si>
  <si>
    <t>HORD PROPERTY LLC</t>
  </si>
  <si>
    <t>BRUNSTEIN JOERG &amp; ANGELA (W)</t>
  </si>
  <si>
    <t>3401 RIDGWAY ST</t>
  </si>
  <si>
    <t>BRUNSTEIN JOERG &amp; ANG</t>
  </si>
  <si>
    <t xml:space="preserve">CARTER JAMES L </t>
  </si>
  <si>
    <t>BISMARK ST</t>
  </si>
  <si>
    <t>3448 BISMARK ST</t>
  </si>
  <si>
    <t xml:space="preserve">CEBERIO MARY JANE </t>
  </si>
  <si>
    <t>3443 RIDGWAY ST</t>
  </si>
  <si>
    <t xml:space="preserve">WALKER ERIC </t>
  </si>
  <si>
    <t>BAPTIST RD</t>
  </si>
  <si>
    <t>SZYMOFELNIK EDWARD  &amp; ISABELLE</t>
  </si>
  <si>
    <t>3431 RIDGWAY ST</t>
  </si>
  <si>
    <t xml:space="preserve">LANESE BRADLEY R </t>
  </si>
  <si>
    <t xml:space="preserve">BURIAK MAX T </t>
  </si>
  <si>
    <t>3403 RIDGWAY ST</t>
  </si>
  <si>
    <t>LOCARNA WAY</t>
  </si>
  <si>
    <t>ALLEGHENY VALLEY  RAILROAD COMPANY</t>
  </si>
  <si>
    <t>0 39TH ST</t>
  </si>
  <si>
    <t>ALLEGHENY VALLEY RAIL</t>
  </si>
  <si>
    <t>S BROADWAY ST</t>
  </si>
  <si>
    <t>SCOTTDALE</t>
  </si>
  <si>
    <t>BELLIN ELAINE M          ETAL</t>
  </si>
  <si>
    <t>55 36TH ST</t>
  </si>
  <si>
    <t>PARAGON MONTEVERDE FO</t>
  </si>
  <si>
    <t>33RD ST</t>
  </si>
  <si>
    <t xml:space="preserve">PITTSBURGH &amp; WESTERN RR CO           </t>
  </si>
  <si>
    <t>0 36TH ST</t>
  </si>
  <si>
    <t>WATER ST J180</t>
  </si>
  <si>
    <t xml:space="preserve">HEINLE ALEXANDRA </t>
  </si>
  <si>
    <t>164 37TH ST</t>
  </si>
  <si>
    <t xml:space="preserve">PRIBIK RODD J </t>
  </si>
  <si>
    <t>3624 SMALLMAN ST</t>
  </si>
  <si>
    <t>ALLIED MORTGAGE GROUP</t>
  </si>
  <si>
    <t>BALA AVE STE 108</t>
  </si>
  <si>
    <t>BALA CYNWYD</t>
  </si>
  <si>
    <t xml:space="preserve">ZGOLINSKI ALEXANDER   (H)                     </t>
  </si>
  <si>
    <t>3622 SMALLMAN ST</t>
  </si>
  <si>
    <t xml:space="preserve">PLUS RELOCATION MTG  </t>
  </si>
  <si>
    <t>US HWY 169 SOUTH PLZ</t>
  </si>
  <si>
    <t>MINNEAPOLIS</t>
  </si>
  <si>
    <t>MN</t>
  </si>
  <si>
    <t xml:space="preserve">SEBAK JASON                                     </t>
  </si>
  <si>
    <t>3608 SMALLMAN ST</t>
  </si>
  <si>
    <t xml:space="preserve">RLLR PROPERTIES LTD </t>
  </si>
  <si>
    <t>50 32ND ST</t>
  </si>
  <si>
    <t>NORTHWEST LAKE DR</t>
  </si>
  <si>
    <t>SALONIKA REALTY COMPANY  LLC</t>
  </si>
  <si>
    <t>3509 SMALLMAN ST</t>
  </si>
  <si>
    <t>SALONIKA REALTY COMPA</t>
  </si>
  <si>
    <t xml:space="preserve">HILLTOP STRUCTURES INC </t>
  </si>
  <si>
    <t>188 34TH ST</t>
  </si>
  <si>
    <t>HILLTOP STRUCTURES IN</t>
  </si>
  <si>
    <t>4TH AVE STE 1401</t>
  </si>
  <si>
    <t>3400 SMALLMAN ST</t>
  </si>
  <si>
    <t xml:space="preserve">SCOZIO JOHN D </t>
  </si>
  <si>
    <t>0 MULBERRY WAY</t>
  </si>
  <si>
    <t>S 12TH ST</t>
  </si>
  <si>
    <t xml:space="preserve">3501 BUTLER HOLDINGS  LLC                     </t>
  </si>
  <si>
    <t xml:space="preserve">RAYMER JEREMY M </t>
  </si>
  <si>
    <t>183 35TH ST</t>
  </si>
  <si>
    <t xml:space="preserve">MNG REAL ESTATE LLC </t>
  </si>
  <si>
    <t>3408 CHARLOTTE ST</t>
  </si>
  <si>
    <t xml:space="preserve">SHOPS AT DOUGHBOY LLC </t>
  </si>
  <si>
    <t>3345 PENN AVE</t>
  </si>
  <si>
    <t xml:space="preserve">SQUARE VIEW APARTMENTS </t>
  </si>
  <si>
    <t>3427 BUTLER ST</t>
  </si>
  <si>
    <t>3429 BUTLER ST</t>
  </si>
  <si>
    <t>3433 BUTLER ST UNIT 201</t>
  </si>
  <si>
    <t>3433 BUTLER ST UNIT 202</t>
  </si>
  <si>
    <t>3433 BUTLER ST UNIT 301</t>
  </si>
  <si>
    <t>3433 BUTLER ST UNIT 302</t>
  </si>
  <si>
    <t>3433 BUTLER ST UNIT 303</t>
  </si>
  <si>
    <t>3433 BUTLER ST UNIT 304</t>
  </si>
  <si>
    <t>3433 BUTLER ST UNIT 401</t>
  </si>
  <si>
    <t>3433 BUTLER ST UNIT 402</t>
  </si>
  <si>
    <t>3433 BUTLER ST UNIT 403</t>
  </si>
  <si>
    <t>3433 BUTLER ST UNIT 404</t>
  </si>
  <si>
    <t>3501 BUTLER ST UNIT 2B</t>
  </si>
  <si>
    <t>BUTLER ST UNIT 2B</t>
  </si>
  <si>
    <t>3501 BUTLER ST UNIT 3B</t>
  </si>
  <si>
    <t>GRANT ST</t>
  </si>
  <si>
    <t>UPADHYAY SHRESHTH R &amp; RAKHI S (W)</t>
  </si>
  <si>
    <t>3513 BUTLER ST</t>
  </si>
  <si>
    <t>PROVIDENCE DR</t>
  </si>
  <si>
    <t>3513 BUTLER ST APT 2</t>
  </si>
  <si>
    <t>CHILLIWACK LN</t>
  </si>
  <si>
    <t>24 KATZ CREW LP          ETAL</t>
  </si>
  <si>
    <t>3517 BUTLER ST</t>
  </si>
  <si>
    <t>24 KATZ CREW LP</t>
  </si>
  <si>
    <t>LINCOLN HWY</t>
  </si>
  <si>
    <t>NORTH VERSAILL</t>
  </si>
  <si>
    <t xml:space="preserve">MELVIN BRIDGET ELLEN </t>
  </si>
  <si>
    <t>3406 CHARLOTTE ST</t>
  </si>
  <si>
    <t>CHARLOTTE ST</t>
  </si>
  <si>
    <t xml:space="preserve">SIXTH WARD FLATS LP                             </t>
  </si>
  <si>
    <t>3404 PENN AVE</t>
  </si>
  <si>
    <t xml:space="preserve">CRAIG WILLIAM C </t>
  </si>
  <si>
    <t>3406 PENN AVE</t>
  </si>
  <si>
    <t>GRAND AVE</t>
  </si>
  <si>
    <t xml:space="preserve">3600 PENN ASSOCIATES LLC </t>
  </si>
  <si>
    <t>154 38TH ST</t>
  </si>
  <si>
    <t xml:space="preserve">KIRK DALLAS J                                   </t>
  </si>
  <si>
    <t>166 38TH ST</t>
  </si>
  <si>
    <t>GOLDEN OAK LENDING</t>
  </si>
  <si>
    <t>WESTPORT PLZ STE 1150</t>
  </si>
  <si>
    <t>SAINT LOUIS</t>
  </si>
  <si>
    <t>MO</t>
  </si>
  <si>
    <t xml:space="preserve">BLANKS PATRICK </t>
  </si>
  <si>
    <t>172 38TH ST</t>
  </si>
  <si>
    <t>SIRVA MORTGAGE INC</t>
  </si>
  <si>
    <t>OAK TREE BLVD STE 300</t>
  </si>
  <si>
    <t xml:space="preserve">STETOR MICHAEL                                  </t>
  </si>
  <si>
    <t>166 LODI WAY</t>
  </si>
  <si>
    <t>HUNTINGTON EASY EQUIT</t>
  </si>
  <si>
    <t xml:space="preserve">NAGAI MAZAKO </t>
  </si>
  <si>
    <t>167 38TH ST</t>
  </si>
  <si>
    <t xml:space="preserve">179-183 LODI WAY LLC </t>
  </si>
  <si>
    <t>179 LODI WAY</t>
  </si>
  <si>
    <t>179 183 LODI WAY LLC</t>
  </si>
  <si>
    <t>HEATHER DR</t>
  </si>
  <si>
    <t>183 LODI WAY</t>
  </si>
  <si>
    <t xml:space="preserve">LEDET DAVID </t>
  </si>
  <si>
    <t>193 38TH ST</t>
  </si>
  <si>
    <t>WESBANCO BANK  INC</t>
  </si>
  <si>
    <t>BANK PLZ</t>
  </si>
  <si>
    <t>WHEELING</t>
  </si>
  <si>
    <t xml:space="preserve">THOMAS WILLIAM E </t>
  </si>
  <si>
    <t>195 38TH ST</t>
  </si>
  <si>
    <t>38TH ST</t>
  </si>
  <si>
    <t>197 38TH ST</t>
  </si>
  <si>
    <t xml:space="preserve">STAY 412 </t>
  </si>
  <si>
    <t>181 39TH ST</t>
  </si>
  <si>
    <t>BENT OAKS DR UNIT 312</t>
  </si>
  <si>
    <t>EARLYSVILLE</t>
  </si>
  <si>
    <t xml:space="preserve">INTEGRAL GARAGE LLC </t>
  </si>
  <si>
    <t>166 39TH ST</t>
  </si>
  <si>
    <t>INTEGRAL GARAGE LLC</t>
  </si>
  <si>
    <t>39TH ST</t>
  </si>
  <si>
    <t>JSJC REAL ESTATE  HOLDINGS LLC</t>
  </si>
  <si>
    <t>3701 CHARLOTTE ST</t>
  </si>
  <si>
    <t xml:space="preserve">DESAI SNEHAL &amp; STACY (W) </t>
  </si>
  <si>
    <t>3722 CHARLOTTE ST</t>
  </si>
  <si>
    <t xml:space="preserve">DESAI SNEHAL &amp; STACY </t>
  </si>
  <si>
    <t xml:space="preserve">LAWRENCEVILLE LOFTS LLC </t>
  </si>
  <si>
    <t>3733 BUTLER ST</t>
  </si>
  <si>
    <t>LAWRENCEVILLE LOFTS L</t>
  </si>
  <si>
    <t xml:space="preserve">SMITH IAN J                                     </t>
  </si>
  <si>
    <t>3725 BUTLER ST UNIT 209</t>
  </si>
  <si>
    <t>IAN J SMITH ANDREW SM</t>
  </si>
  <si>
    <t>BUTLER ST UNIT 209</t>
  </si>
  <si>
    <t xml:space="preserve">LEE STEPHANIE M </t>
  </si>
  <si>
    <t>3725 BUTLER ST UNIT 302</t>
  </si>
  <si>
    <t>PHILIP YASTROW  REVOCABLE TRUST</t>
  </si>
  <si>
    <t>3725 BUTLER ST UNIT 503</t>
  </si>
  <si>
    <t>PHILIP YASTROW REVOCA</t>
  </si>
  <si>
    <t>BUTLER ST UNIT 503</t>
  </si>
  <si>
    <t>3725 BUTLER ST</t>
  </si>
  <si>
    <t>JOHANSEN STEPHAN  BERGMANN</t>
  </si>
  <si>
    <t>3725 BUTLER ST UNIT 406</t>
  </si>
  <si>
    <t xml:space="preserve">P J BUTLER STREET LLC </t>
  </si>
  <si>
    <t>3705 BUTLER ST</t>
  </si>
  <si>
    <t>MARKET SQ</t>
  </si>
  <si>
    <t xml:space="preserve">24 KATZ CREW LP                                 </t>
  </si>
  <si>
    <t>3613 BUTLER ST</t>
  </si>
  <si>
    <t>24 KATZ CREW LP BRAND</t>
  </si>
  <si>
    <t xml:space="preserve">CARSON CHRISTOPHER B </t>
  </si>
  <si>
    <t>196 36TH ST UNIT 3B</t>
  </si>
  <si>
    <t>36TH ST UNIT 3B</t>
  </si>
  <si>
    <t xml:space="preserve">BOULD PATRICK W </t>
  </si>
  <si>
    <t>248 37TH ST</t>
  </si>
  <si>
    <t>PATRICE  BOULD</t>
  </si>
  <si>
    <t>FORBES AVE STE 1312</t>
  </si>
  <si>
    <t xml:space="preserve">MACHI JR FRANK </t>
  </si>
  <si>
    <t>249 COBALT WAY</t>
  </si>
  <si>
    <t xml:space="preserve">LEWISBROTHERS0412 LLC </t>
  </si>
  <si>
    <t>246 ATER WAY</t>
  </si>
  <si>
    <t>LEWISBROTHERS0412 LLC</t>
  </si>
  <si>
    <t>ARTHURS WAY</t>
  </si>
  <si>
    <t>SPRING VALLEY</t>
  </si>
  <si>
    <t>3700 BUTLER ASSOCIATES  L L C</t>
  </si>
  <si>
    <t>3704 BUTLER ST</t>
  </si>
  <si>
    <t>3700 BUTLER ASSOCIATE</t>
  </si>
  <si>
    <t>W NORTH AVE</t>
  </si>
  <si>
    <t>BURNELL DEREK E &amp; JESSICA Z (W)</t>
  </si>
  <si>
    <t>3718 BUTLER ST</t>
  </si>
  <si>
    <t>BURNELL DEREK E &amp; JES</t>
  </si>
  <si>
    <t>41ST ST</t>
  </si>
  <si>
    <t>ALDEWERELD ZACHARY &amp; LAUREN (W)</t>
  </si>
  <si>
    <t>220 38TH ST</t>
  </si>
  <si>
    <t>NEE MATTHEW D &amp; LAUREN S (W)</t>
  </si>
  <si>
    <t>238 38TH ST</t>
  </si>
  <si>
    <t>PORCO DANIEL D &amp; MARGARET M (W)</t>
  </si>
  <si>
    <t>252 38TH ST</t>
  </si>
  <si>
    <t>PORCO DANIEL D &amp; MARG</t>
  </si>
  <si>
    <t xml:space="preserve">MARC5 H4 LLC </t>
  </si>
  <si>
    <t>258 38TH ST</t>
  </si>
  <si>
    <t>PO BOX 1</t>
  </si>
  <si>
    <t xml:space="preserve">FERNANDEZ LUIS DE JESUS </t>
  </si>
  <si>
    <t>276 38TH ST</t>
  </si>
  <si>
    <t>FINANCE AMERICA MTG L</t>
  </si>
  <si>
    <t>W ELM ST STE 100</t>
  </si>
  <si>
    <t>CONSHOHOCKEN</t>
  </si>
  <si>
    <t>LUCOT KYLE ADAM &amp; FELICIA PAIGE (W)</t>
  </si>
  <si>
    <t>275 38TH ST</t>
  </si>
  <si>
    <t>LUCOT KYLE ADAM &amp; FEL</t>
  </si>
  <si>
    <t xml:space="preserve">MISIASZEK JERRY ROMAN </t>
  </si>
  <si>
    <t>0 38TH ST</t>
  </si>
  <si>
    <t xml:space="preserve">HARINDER SINGH LIVING  TRUST                   </t>
  </si>
  <si>
    <t>219 38TH ST</t>
  </si>
  <si>
    <t>215 38TH ST</t>
  </si>
  <si>
    <t xml:space="preserve">BOZORG SHAHRZAD </t>
  </si>
  <si>
    <t>213 38TH ST</t>
  </si>
  <si>
    <t>3810 BUTLER ST</t>
  </si>
  <si>
    <t xml:space="preserve">MALKIN ROBERT G </t>
  </si>
  <si>
    <t>211 38TH ST</t>
  </si>
  <si>
    <t>FLAGSTAR BANK FSB</t>
  </si>
  <si>
    <t>3818 BUTLER ST</t>
  </si>
  <si>
    <t xml:space="preserve">ISAACSON GABRIEL P </t>
  </si>
  <si>
    <t>208 39TH ST</t>
  </si>
  <si>
    <t xml:space="preserve">RUSSELL JOHN F </t>
  </si>
  <si>
    <t>222 39TH ST</t>
  </si>
  <si>
    <t xml:space="preserve">WILLOW FORTUNE LLC </t>
  </si>
  <si>
    <t>3508 BUTLER ST</t>
  </si>
  <si>
    <t>FIRST SENTINEL BANK</t>
  </si>
  <si>
    <t>PO BOX 1040</t>
  </si>
  <si>
    <t>RICHLANDS</t>
  </si>
  <si>
    <t>LOLA 1 LLC ETAL</t>
  </si>
  <si>
    <t>3501 LEECH ST</t>
  </si>
  <si>
    <t>ERIC KUKURA</t>
  </si>
  <si>
    <t>LOLA 1 LLC               ETAL</t>
  </si>
  <si>
    <t>3520 BUTLER ST</t>
  </si>
  <si>
    <t>LOLA 1 LLC ERIC KUKUR</t>
  </si>
  <si>
    <t>P.O. BOX #4921</t>
  </si>
  <si>
    <t xml:space="preserve">MERLINA BARBARA </t>
  </si>
  <si>
    <t>3518 LEECH ST</t>
  </si>
  <si>
    <t>LEECH ST</t>
  </si>
  <si>
    <t xml:space="preserve">TIM PATRICK F </t>
  </si>
  <si>
    <t>BISHOP ST</t>
  </si>
  <si>
    <t xml:space="preserve">DEPASQUALE JOSEPHINE </t>
  </si>
  <si>
    <t>3607 PENN AVE</t>
  </si>
  <si>
    <t xml:space="preserve">TM REAL ESTATE GROUP LLC </t>
  </si>
  <si>
    <t>3519 PENN AVE</t>
  </si>
  <si>
    <t xml:space="preserve">TM REAL ESTATE GROUP </t>
  </si>
  <si>
    <t>W 43RD ST APT 1A</t>
  </si>
  <si>
    <t>SUFAK DANIEL J &amp; SUSAN M (W)</t>
  </si>
  <si>
    <t>3511 SARDIS WAY</t>
  </si>
  <si>
    <t>SARDIS WAY</t>
  </si>
  <si>
    <t>SUFAK DANIEL J SR &amp; SUSAN M (W)</t>
  </si>
  <si>
    <t>3505 PENN AVE</t>
  </si>
  <si>
    <t xml:space="preserve">ZHAO JEAN XIN </t>
  </si>
  <si>
    <t>3430 PENN AVE</t>
  </si>
  <si>
    <t xml:space="preserve">YUE QIU </t>
  </si>
  <si>
    <t>3502 PENN AVE</t>
  </si>
  <si>
    <t xml:space="preserve">PLUBELL ANDREA M </t>
  </si>
  <si>
    <t>3504 PENN AVE</t>
  </si>
  <si>
    <t>AMERIHOME MORTGAGE CO</t>
  </si>
  <si>
    <t xml:space="preserve">SANDERS ALISON P </t>
  </si>
  <si>
    <t>3516 PENN AVE</t>
  </si>
  <si>
    <t xml:space="preserve">FLYNN JEFFREY J </t>
  </si>
  <si>
    <t>3469 LIGONIER ST</t>
  </si>
  <si>
    <t>LIGONIER ST # 71</t>
  </si>
  <si>
    <t xml:space="preserve">GST EXEMPT TRUST F/B/O  WILLIAM W WESTBERG      </t>
  </si>
  <si>
    <t>3463 SPRING WAY</t>
  </si>
  <si>
    <t>WILLIAM W WESTBERG</t>
  </si>
  <si>
    <t>SPRING WAY</t>
  </si>
  <si>
    <t xml:space="preserve">HINES ABIGAIL </t>
  </si>
  <si>
    <t>3455 LIGONIER ST</t>
  </si>
  <si>
    <t xml:space="preserve">MCQUOWN JOHN M                                  </t>
  </si>
  <si>
    <t>3451 LIGONIER ST</t>
  </si>
  <si>
    <t>FREEDOM MORTGAGE</t>
  </si>
  <si>
    <t xml:space="preserve">MCLAFFERTY WILLIAM R </t>
  </si>
  <si>
    <t>3447 LIGONIER ST</t>
  </si>
  <si>
    <t>EARLWOOD RD</t>
  </si>
  <si>
    <t xml:space="preserve">STUDENY ROBERT P </t>
  </si>
  <si>
    <t>3424 LIGONIER ST</t>
  </si>
  <si>
    <t>LIGONIER ST</t>
  </si>
  <si>
    <t xml:space="preserve">REED JESSE J </t>
  </si>
  <si>
    <t>3436 LIGONIER ST</t>
  </si>
  <si>
    <t>SUNNYLEDGE DEVELOPMENT  CORP</t>
  </si>
  <si>
    <t>3467 DENNY ST</t>
  </si>
  <si>
    <t>SUNNYLEDGE DEVELOPMEN</t>
  </si>
  <si>
    <t>LIGONIER</t>
  </si>
  <si>
    <t xml:space="preserve">NILO MICHAEL P                                  </t>
  </si>
  <si>
    <t>3491 DENNY ST</t>
  </si>
  <si>
    <t xml:space="preserve">PEREZ CHRISTOPHER  MICHAEL                 </t>
  </si>
  <si>
    <t>305 37TH ST</t>
  </si>
  <si>
    <t>LAKEVIEW LOAN SERVICI</t>
  </si>
  <si>
    <t>P.O. BOX 43070</t>
  </si>
  <si>
    <t>ROSEWOOD</t>
  </si>
  <si>
    <t xml:space="preserve">HARRIS DANIEL E                                 </t>
  </si>
  <si>
    <t>327 37TH ST</t>
  </si>
  <si>
    <t xml:space="preserve">ARMBRUSTER WILLIAM                              </t>
  </si>
  <si>
    <t>326 37TH ST</t>
  </si>
  <si>
    <t>AMERISAVE MORTGAGE CO</t>
  </si>
  <si>
    <t>PEACHTREE RD</t>
  </si>
  <si>
    <t xml:space="preserve">ROUNDED TRIANGLE LLC </t>
  </si>
  <si>
    <t>3601 MINTWOOD ST</t>
  </si>
  <si>
    <t xml:space="preserve">SINCLAIR RAINY </t>
  </si>
  <si>
    <t>3612 MINTWOOD ST</t>
  </si>
  <si>
    <t xml:space="preserve">WALLACE JILLIAN </t>
  </si>
  <si>
    <t>3616 MINTWOOD ST</t>
  </si>
  <si>
    <t>PARAMOUNT RESIDENTIAL</t>
  </si>
  <si>
    <t>CORONA POINTE CT STE 301</t>
  </si>
  <si>
    <t>CORONA</t>
  </si>
  <si>
    <t xml:space="preserve">STEWART BENJAMIN JEROME                         </t>
  </si>
  <si>
    <t>3624 MINTWOOD ST</t>
  </si>
  <si>
    <t>NAVY FEDERAL CREDIT U</t>
  </si>
  <si>
    <t>SAVAGE DANIEL &amp; ANGELINA (W)</t>
  </si>
  <si>
    <t>3638 MINTWOOD ST</t>
  </si>
  <si>
    <t xml:space="preserve">HEIDEN MATTHEW W </t>
  </si>
  <si>
    <t>3642 MINTWOOD ST</t>
  </si>
  <si>
    <t>PRINCETON FINANCIAL L</t>
  </si>
  <si>
    <t xml:space="preserve">KANG HEEJAE                                     </t>
  </si>
  <si>
    <t>3646 MINTWOOD ST</t>
  </si>
  <si>
    <t>PRIME LENDING</t>
  </si>
  <si>
    <t>PRESTON RD</t>
  </si>
  <si>
    <t xml:space="preserve">POSNER IDA </t>
  </si>
  <si>
    <t>3648 MINTWOOD ST</t>
  </si>
  <si>
    <t xml:space="preserve">MCILWAIN SUSANNA </t>
  </si>
  <si>
    <t>3650 MINTWOOD ST</t>
  </si>
  <si>
    <t xml:space="preserve">HASSAN ALGHURAIRI </t>
  </si>
  <si>
    <t>3652 MINTWOOD ST</t>
  </si>
  <si>
    <t>GIBSON MATTHEW &amp; MONIKA (W)</t>
  </si>
  <si>
    <t>3944 PENN AVE</t>
  </si>
  <si>
    <t xml:space="preserve">HUTCHISON CASIDHE GRAY </t>
  </si>
  <si>
    <t>3931 WOOLSLAYER WAY</t>
  </si>
  <si>
    <t>PNC BANK NATIONAL ACC</t>
  </si>
  <si>
    <t xml:space="preserve">KGTG LLC </t>
  </si>
  <si>
    <t>3927 WOOLSLAYER WAY</t>
  </si>
  <si>
    <t>KGTG LLC</t>
  </si>
  <si>
    <t>WOOLSLAYER WAY</t>
  </si>
  <si>
    <t>PDK TRUST KIMBERY A  PITTS &amp; THOMAS M CASTELL</t>
  </si>
  <si>
    <t>3908 PENN AVE</t>
  </si>
  <si>
    <t>PDK TRUST KIMBERY A P</t>
  </si>
  <si>
    <t>ASHBURY LN</t>
  </si>
  <si>
    <t xml:space="preserve">COSTELLO PAUL D </t>
  </si>
  <si>
    <t>3828 PENN AVE</t>
  </si>
  <si>
    <t>MERS</t>
  </si>
  <si>
    <t>E VOORHEES ST STE C</t>
  </si>
  <si>
    <t>DANVILLE</t>
  </si>
  <si>
    <t xml:space="preserve">MILLER SANDRA LEE </t>
  </si>
  <si>
    <t>3923 MINTWOOD ST</t>
  </si>
  <si>
    <t xml:space="preserve">MONTELLA MANAGEMENT LLC </t>
  </si>
  <si>
    <t>3908 WOOLSLAYER WAY</t>
  </si>
  <si>
    <t>AGUILAR CARSON &amp; VICTOR (H)</t>
  </si>
  <si>
    <t>328 39TH ST</t>
  </si>
  <si>
    <t>VILLAGE DR</t>
  </si>
  <si>
    <t>ROCKWALL</t>
  </si>
  <si>
    <t xml:space="preserve">EKO DEVELOPMENT LLC </t>
  </si>
  <si>
    <t>3827 MINTWOOD ST</t>
  </si>
  <si>
    <t xml:space="preserve">MAGNOLIA GROWTH LLC </t>
  </si>
  <si>
    <t>3823 MINTWOOD ST</t>
  </si>
  <si>
    <t>BAY EQUITY LLC</t>
  </si>
  <si>
    <t>P.O. BOX 100077</t>
  </si>
  <si>
    <t>DULUTH</t>
  </si>
  <si>
    <t xml:space="preserve">MARTIN JEFFREY A                                </t>
  </si>
  <si>
    <t>3730 WOOLSLAYER WAY</t>
  </si>
  <si>
    <t>DOUGLAS MARCINIAK</t>
  </si>
  <si>
    <t>PO BOX 15531</t>
  </si>
  <si>
    <t xml:space="preserve">STRONG BARBARA </t>
  </si>
  <si>
    <t>304 38TH ST</t>
  </si>
  <si>
    <t>AMAX CAPITAL INVESTMENT  LLC</t>
  </si>
  <si>
    <t>3710 MINTWOOD ST</t>
  </si>
  <si>
    <t>AMAX CAPITAL INVESTME</t>
  </si>
  <si>
    <t>SAW MILLRUN BLVD</t>
  </si>
  <si>
    <t xml:space="preserve">REGEV NATAN                                     </t>
  </si>
  <si>
    <t>3815 CABINET WAY</t>
  </si>
  <si>
    <t>PO BOX 90280</t>
  </si>
  <si>
    <t xml:space="preserve">BELTRAN ANTONIO                                 </t>
  </si>
  <si>
    <t>3822 MINTWOOD ST</t>
  </si>
  <si>
    <t>SCOTT HAZEL R &amp; MAUREEN D OVERTON</t>
  </si>
  <si>
    <t>3903 CABINET WAY</t>
  </si>
  <si>
    <t>SCOTT HAZEL R &amp; MAURE</t>
  </si>
  <si>
    <t>CABINET WAY</t>
  </si>
  <si>
    <t xml:space="preserve">HELLMAN ABIGAIL                                 </t>
  </si>
  <si>
    <t>3918 MINTWOOD ST</t>
  </si>
  <si>
    <t>TD BANK NA</t>
  </si>
  <si>
    <t>MILL ST</t>
  </si>
  <si>
    <t>LEWISTON</t>
  </si>
  <si>
    <t>ME</t>
  </si>
  <si>
    <t>PERSETIC RICHARD E &amp; IRENE M (W)</t>
  </si>
  <si>
    <t>3924 MINTWOOD ST</t>
  </si>
  <si>
    <t xml:space="preserve">ZORN RICHARD J </t>
  </si>
  <si>
    <t>3933 CABINET WAY</t>
  </si>
  <si>
    <t xml:space="preserve">JZ LUKE </t>
  </si>
  <si>
    <t>3943 HOWLEY ST</t>
  </si>
  <si>
    <t>HOWLEY ST</t>
  </si>
  <si>
    <t xml:space="preserve">FIGURE 8 VENTURES LLC </t>
  </si>
  <si>
    <t>3920 CABINET WAY</t>
  </si>
  <si>
    <t>N DETROIT AVE</t>
  </si>
  <si>
    <t>TOLEDO</t>
  </si>
  <si>
    <t xml:space="preserve">WATT OWEN C                                     </t>
  </si>
  <si>
    <t>335 39TH ST</t>
  </si>
  <si>
    <t xml:space="preserve">CABANERO JUAN ARGOTE </t>
  </si>
  <si>
    <t>3825 HOWLEY ST</t>
  </si>
  <si>
    <t>DOVENMUEHLE MTGE INC</t>
  </si>
  <si>
    <t xml:space="preserve">HECK LEE ANN </t>
  </si>
  <si>
    <t>324 38TH ST</t>
  </si>
  <si>
    <t>PA REAL ESTATE HOLDINGS  L L C</t>
  </si>
  <si>
    <t>326 38TH ST</t>
  </si>
  <si>
    <t>JASON ABEL</t>
  </si>
  <si>
    <t>EDISON ST</t>
  </si>
  <si>
    <t>LOUISVILLE</t>
  </si>
  <si>
    <t xml:space="preserve">RISH DANIEL                                     </t>
  </si>
  <si>
    <t>3820 HOWLEY ST</t>
  </si>
  <si>
    <t xml:space="preserve">WILLIAMS LARRY J </t>
  </si>
  <si>
    <t>3824 HOWLEY ST</t>
  </si>
  <si>
    <t>KROFCHECK STEPHEN E III  &amp; GORDON YAGLE J R</t>
  </si>
  <si>
    <t>3940 HOWLEY ST</t>
  </si>
  <si>
    <t>KROFCHECK STEPHEN E I</t>
  </si>
  <si>
    <t>HENDERSON AVE</t>
  </si>
  <si>
    <t xml:space="preserve">MOORE ANDREW                                    </t>
  </si>
  <si>
    <t>3935 LIBERTY AVE</t>
  </si>
  <si>
    <t xml:space="preserve">DUEWEKE JEFFREY                                 </t>
  </si>
  <si>
    <t>3933 LIBERTY AVE</t>
  </si>
  <si>
    <t xml:space="preserve">PLACONE CONCETTA L                              </t>
  </si>
  <si>
    <t>3929 LIBERTY AVE</t>
  </si>
  <si>
    <t xml:space="preserve">ROBINSON PIERCE </t>
  </si>
  <si>
    <t>353 MANION WAY</t>
  </si>
  <si>
    <t>WINDGAP AVE</t>
  </si>
  <si>
    <t xml:space="preserve">FIREMAN NAOMI L </t>
  </si>
  <si>
    <t>3821 LIBERTY AVE</t>
  </si>
  <si>
    <t xml:space="preserve">INDUSTRIAL COMMONS LTD </t>
  </si>
  <si>
    <t>3809 LIBERTY AVE</t>
  </si>
  <si>
    <t>INDUSTRIAL COMMONS LI</t>
  </si>
  <si>
    <t>PINK HOUSE LN</t>
  </si>
  <si>
    <t>3809 LIBERTY AVE UNIT 206</t>
  </si>
  <si>
    <t>3809 LIBERTY AVE UNIT 207</t>
  </si>
  <si>
    <t>3809 LIBERTY AVE UNIT 208</t>
  </si>
  <si>
    <t>3809 LIBERTY AVE UNIT 301</t>
  </si>
  <si>
    <t>3809 LIBERTY AVE UNIT 302</t>
  </si>
  <si>
    <t>3809 LIBERTY AVE UNIT 306</t>
  </si>
  <si>
    <t>3809 LIBERTY AVE UNIT 307</t>
  </si>
  <si>
    <t>3809 LIBERTY AVE UNIT 308</t>
  </si>
  <si>
    <t>3809 LIBERTY AVE UNIT 401</t>
  </si>
  <si>
    <t>3809 LIBERTY AVE UNIT 402</t>
  </si>
  <si>
    <t>3809 LIBERTY AVE UNIT 403</t>
  </si>
  <si>
    <t>3809 LIBERTY AVE UNIT 404</t>
  </si>
  <si>
    <t>3807 LIBERTY AVE</t>
  </si>
  <si>
    <t xml:space="preserve">SIMONSON MICHAEL </t>
  </si>
  <si>
    <t>3932 WOOLSLAYER WAY</t>
  </si>
  <si>
    <t xml:space="preserve">MARSHALL ROBERT E                               </t>
  </si>
  <si>
    <t>3951 HOWLEY ST</t>
  </si>
  <si>
    <t xml:space="preserve">MILNE WILLIAM V </t>
  </si>
  <si>
    <t>3953 HOWLEY ST</t>
  </si>
  <si>
    <t>BETTER MORTGAGE</t>
  </si>
  <si>
    <t>GREENWICH ST FL 59</t>
  </si>
  <si>
    <t xml:space="preserve">ANSOE JOHN </t>
  </si>
  <si>
    <t>3954 CABINET WAY</t>
  </si>
  <si>
    <t>FRANKWOOD RD</t>
  </si>
  <si>
    <t xml:space="preserve">COLBERT BRIAN T </t>
  </si>
  <si>
    <t>3947 LIBERTY AVE</t>
  </si>
  <si>
    <t xml:space="preserve">WHELESS JOSHUA D </t>
  </si>
  <si>
    <t>3949 LIBERTY AVE</t>
  </si>
  <si>
    <t>SUTTON JAMES F JR &amp; SHIRLEY A (W)</t>
  </si>
  <si>
    <t>5427 CLAYBOURNE ST</t>
  </si>
  <si>
    <t>CLAYBOURNE ST</t>
  </si>
  <si>
    <t xml:space="preserve">SANSPEUR ROHAN YURI                             </t>
  </si>
  <si>
    <t>5425 CLAYBOURNE ST</t>
  </si>
  <si>
    <t>FARMERS NATIONAL BANK</t>
  </si>
  <si>
    <t>EMLENTON</t>
  </si>
  <si>
    <t xml:space="preserve">ADAMS BRIAN                                     </t>
  </si>
  <si>
    <t>5423 CLAYBOURNE ST</t>
  </si>
  <si>
    <t>PENNSYLVANIA EQUITY R</t>
  </si>
  <si>
    <t>S CORPORATE DR STE 360</t>
  </si>
  <si>
    <t>LAKE ZURICH</t>
  </si>
  <si>
    <t xml:space="preserve">SOUTH NEGLEY ASSOCIATES </t>
  </si>
  <si>
    <t>5550 CENTRE AVE</t>
  </si>
  <si>
    <t>GIANT EAGLE INC</t>
  </si>
  <si>
    <t>CRANBERRY WOODS DR</t>
  </si>
  <si>
    <t xml:space="preserve">SHAW AIMEE                                      </t>
  </si>
  <si>
    <t>5570 CENTRE AVE UNIT 101</t>
  </si>
  <si>
    <t xml:space="preserve">RUDZKI REVOCABLE LIVING  TRUST                   </t>
  </si>
  <si>
    <t>5570 CENTRE AVE UNIT 103</t>
  </si>
  <si>
    <t>RUDZKI REVOCABLE LIVI</t>
  </si>
  <si>
    <t>PO BOX 62306</t>
  </si>
  <si>
    <t xml:space="preserve">LU YUHAN </t>
  </si>
  <si>
    <t>5570 CENTRE AVE UNIT 104</t>
  </si>
  <si>
    <t xml:space="preserve">WANG QISHUAI </t>
  </si>
  <si>
    <t>5570 CENTRE AVE UNIT 105</t>
  </si>
  <si>
    <t xml:space="preserve">JOE-WONG CARLEE </t>
  </si>
  <si>
    <t>5570 CENTRE AVE UNIT 106</t>
  </si>
  <si>
    <t>PENTAGON FCU</t>
  </si>
  <si>
    <t>E CAMPBELL RD # 108</t>
  </si>
  <si>
    <t>RICHARDSON</t>
  </si>
  <si>
    <t xml:space="preserve">RAVAL SUMAN V </t>
  </si>
  <si>
    <t>5570 CENTRE AVE UNIT 107</t>
  </si>
  <si>
    <t>POINTER DR APT 101</t>
  </si>
  <si>
    <t>RALEIGH</t>
  </si>
  <si>
    <t>QUADER KHANDKER &amp; MUBINA (W)</t>
  </si>
  <si>
    <t>5570 CENTRE AVE UNIT 109</t>
  </si>
  <si>
    <t>DENNISTON AVE APT 40</t>
  </si>
  <si>
    <t xml:space="preserve">SMITH ANDREW J </t>
  </si>
  <si>
    <t>5570 CENTRE AVE UNIT 111</t>
  </si>
  <si>
    <t>PRINCETON MORTGAGE CO</t>
  </si>
  <si>
    <t>TRENTON</t>
  </si>
  <si>
    <t>BAHL VIJAY &amp; CHRISTINE (W)</t>
  </si>
  <si>
    <t>5570 CENTRE AVE UNIT 200</t>
  </si>
  <si>
    <t>WISE HILL RD</t>
  </si>
  <si>
    <t xml:space="preserve">WANG YIMING </t>
  </si>
  <si>
    <t>5570 CENTRE AVE UNIT 201</t>
  </si>
  <si>
    <t xml:space="preserve">CHEN JIESHI </t>
  </si>
  <si>
    <t>5570 CENTRE AVE UNIT 202</t>
  </si>
  <si>
    <t xml:space="preserve">VO HAI </t>
  </si>
  <si>
    <t>5570 CENTRE AVE UNIT 203</t>
  </si>
  <si>
    <t>WEST VIEW SAVINGS BAN</t>
  </si>
  <si>
    <t>BRANDT SCHOOL RD</t>
  </si>
  <si>
    <t xml:space="preserve">KONUK ELIF </t>
  </si>
  <si>
    <t>5570 CENTRE AVE UNIT 204</t>
  </si>
  <si>
    <t>CENTRE AVE UNIT 204</t>
  </si>
  <si>
    <t xml:space="preserve">DECKER LILA </t>
  </si>
  <si>
    <t>5570 CENTRE AVE UNIT 206</t>
  </si>
  <si>
    <t>CENTRE AVE UNIT 206</t>
  </si>
  <si>
    <t xml:space="preserve">DICKEY ELIZABETH C </t>
  </si>
  <si>
    <t>5570 CENTRE AVE UNIT 207</t>
  </si>
  <si>
    <t xml:space="preserve">DELISO JEFFREY </t>
  </si>
  <si>
    <t>5570 CENTRE AVE UNIT 209</t>
  </si>
  <si>
    <t>DELISO JEFFREY</t>
  </si>
  <si>
    <t>CHESTNUT CT</t>
  </si>
  <si>
    <t>LANGHORNE</t>
  </si>
  <si>
    <t xml:space="preserve">XU LANYUN                                       </t>
  </si>
  <si>
    <t>5570 CENTRE AVE UNIT 211</t>
  </si>
  <si>
    <t>CENTRE AVE UNIT 211</t>
  </si>
  <si>
    <t xml:space="preserve">PFIRRMANN KARL V &amp; MICHAELINE C (W)        </t>
  </si>
  <si>
    <t>5570 CENTRE AVE UNIT 213</t>
  </si>
  <si>
    <t xml:space="preserve">KUMATA CAROL </t>
  </si>
  <si>
    <t>5570 CENTRE AVE UNIT 300</t>
  </si>
  <si>
    <t>CENTRE AVE UNIT 300</t>
  </si>
  <si>
    <t xml:space="preserve">HUMAR PRIYA                                     </t>
  </si>
  <si>
    <t>5570 CENTRE AVE UNIT 303</t>
  </si>
  <si>
    <t>PRIYA HUMAR</t>
  </si>
  <si>
    <t>CHAPEL HELL CT</t>
  </si>
  <si>
    <t xml:space="preserve">WIENER SETH                                     </t>
  </si>
  <si>
    <t>5570 CENTRE AVE UNIT 304</t>
  </si>
  <si>
    <t>WIENER SETH WIENER RI</t>
  </si>
  <si>
    <t>CENTRE AVE UNIT 304</t>
  </si>
  <si>
    <t xml:space="preserve">SCHNEIDER JEFF </t>
  </si>
  <si>
    <t>5570 CENTRE AVE UNIT 306</t>
  </si>
  <si>
    <t>CENTRE AVE UNIT 306</t>
  </si>
  <si>
    <t>GOODNIGHT DEBRA J &amp; DAVID A (H)</t>
  </si>
  <si>
    <t>5570 CENTRE AVE UNIT 307</t>
  </si>
  <si>
    <t>GOODNIGHT DEBRA J &amp; D</t>
  </si>
  <si>
    <t>CENTRE AVE UNIT 307</t>
  </si>
  <si>
    <t xml:space="preserve">RAJGARHIA ANANYA                                </t>
  </si>
  <si>
    <t>5570 CENTRE AVE UNIT 308</t>
  </si>
  <si>
    <t>MLD MORTGAGE INC</t>
  </si>
  <si>
    <t>VREELAND RD</t>
  </si>
  <si>
    <t>FLORHAM PARK</t>
  </si>
  <si>
    <t xml:space="preserve">BIDKHORI HODA </t>
  </si>
  <si>
    <t>5570 CENTRE AVE UNIT 309</t>
  </si>
  <si>
    <t>PATRIOT LENDING SERVI</t>
  </si>
  <si>
    <t xml:space="preserve">DING FAN </t>
  </si>
  <si>
    <t>5570 CENTRE AVE UNIT 311</t>
  </si>
  <si>
    <t>W VAN BUREN ST APT 3513</t>
  </si>
  <si>
    <t>CHICAGO</t>
  </si>
  <si>
    <t xml:space="preserve">PROKOPYEV OLEG A </t>
  </si>
  <si>
    <t>5570 CENTRE AVE UNIT 313</t>
  </si>
  <si>
    <t xml:space="preserve">POLSINELLI ANNA M </t>
  </si>
  <si>
    <t>5570 CENTRE AVE UNIT 400</t>
  </si>
  <si>
    <t>CENTRE AVE UNIT 400</t>
  </si>
  <si>
    <t xml:space="preserve">HERBST KATHLEEN </t>
  </si>
  <si>
    <t>5570 CENTRE AVE UNIT 401</t>
  </si>
  <si>
    <t>CENTRE AVE UNIT 401</t>
  </si>
  <si>
    <t xml:space="preserve">PAN LINGLING </t>
  </si>
  <si>
    <t>5570 CENTRE AVE UNIT 403</t>
  </si>
  <si>
    <t>DEWAR JAMES C JR &amp; STEPHANIE B (W)</t>
  </si>
  <si>
    <t>5570 CENTRE AVE UNIT 404</t>
  </si>
  <si>
    <t xml:space="preserve">KAESTNER CHRISTIAN </t>
  </si>
  <si>
    <t>5570 CENTRE AVE UNIT 405</t>
  </si>
  <si>
    <t>KAESTNER CHRISTIAN</t>
  </si>
  <si>
    <t>CENTRE AVE UNIT 405</t>
  </si>
  <si>
    <t xml:space="preserve">HINDS CYNTHIA M </t>
  </si>
  <si>
    <t>5570 CENTRE AVE UNIT 406</t>
  </si>
  <si>
    <t>HERSTIG MIKE MIRCEA &amp; MIHAELA CATALINA (W)</t>
  </si>
  <si>
    <t>5570 CENTRE AVE UNIT 407</t>
  </si>
  <si>
    <t>EMILY DR</t>
  </si>
  <si>
    <t xml:space="preserve">KIM HYONG SOK </t>
  </si>
  <si>
    <t>5570 CENTRE AVE UNIT 408</t>
  </si>
  <si>
    <t>COLQUITT DR</t>
  </si>
  <si>
    <t xml:space="preserve">DOSHI NANDINI </t>
  </si>
  <si>
    <t>5570 CENTRE AVE UNIT 500</t>
  </si>
  <si>
    <t>CENTRE AVE UNIT 500</t>
  </si>
  <si>
    <t xml:space="preserve">RAFIDI NICOLE                                   </t>
  </si>
  <si>
    <t>5570 CENTRE AVE UNIT 501</t>
  </si>
  <si>
    <t xml:space="preserve">MAGOO SHILPEE </t>
  </si>
  <si>
    <t>5570 CENTRE AVE UNIT 502</t>
  </si>
  <si>
    <t>CENTRE AVE UNIT 502</t>
  </si>
  <si>
    <t>BALDWIN THEODORE SUTTER  &amp; DIANE HINKLE (W)</t>
  </si>
  <si>
    <t>5570 CENTRE AVE UNIT 504</t>
  </si>
  <si>
    <t>TED BALDWIN DIANE HIN</t>
  </si>
  <si>
    <t>SEMINOLE LN #301</t>
  </si>
  <si>
    <t>COCOA BEACH</t>
  </si>
  <si>
    <t xml:space="preserve">KATHERINE M TOMARES  LIVING TRUST            </t>
  </si>
  <si>
    <t>5570 CENTRE AVE UNIT 505</t>
  </si>
  <si>
    <t>KATHERINE M TOMARES L</t>
  </si>
  <si>
    <t>BARNESVILLE RD</t>
  </si>
  <si>
    <t>DICKERSON</t>
  </si>
  <si>
    <t xml:space="preserve">TAJIMA NAOKO </t>
  </si>
  <si>
    <t>5570 CENTRE AVE UNIT 506</t>
  </si>
  <si>
    <t>CENTRE AVE UNIT 506</t>
  </si>
  <si>
    <t xml:space="preserve">HOLUPKA GARY                                    </t>
  </si>
  <si>
    <t>5570 CENTRE AVE UNIT 507</t>
  </si>
  <si>
    <t>HOLUPKA GARY</t>
  </si>
  <si>
    <t xml:space="preserve">SCHNUR ALFRED C </t>
  </si>
  <si>
    <t>5570 CENTRE AVE UNIT 508</t>
  </si>
  <si>
    <t xml:space="preserve">CASTRO PEDRO                                    </t>
  </si>
  <si>
    <t>5570 CENTRE AVE UNIT 509</t>
  </si>
  <si>
    <t>CENTRE AVE UNIT 509</t>
  </si>
  <si>
    <t xml:space="preserve">M3 PARTNERS LP </t>
  </si>
  <si>
    <t>5526 CENTRE AVE</t>
  </si>
  <si>
    <t xml:space="preserve">FITZGERALD MADELINE M </t>
  </si>
  <si>
    <t>5514 CENTRE AVE UNIT 5</t>
  </si>
  <si>
    <t>FITZGERALD MADELINE M</t>
  </si>
  <si>
    <t>CENTRE AVE UNIT 5</t>
  </si>
  <si>
    <t xml:space="preserve">BUPP MICHAEL C </t>
  </si>
  <si>
    <t>515 S GRAHAM ST</t>
  </si>
  <si>
    <t>MICHAEL BUPP</t>
  </si>
  <si>
    <t>FAIR OAKS ST</t>
  </si>
  <si>
    <t xml:space="preserve">MONSOUR WILLIAM JAMES II </t>
  </si>
  <si>
    <t>5521 CLAYBOURNE ST</t>
  </si>
  <si>
    <t>MONSOUR WILLIAM JAMES</t>
  </si>
  <si>
    <t xml:space="preserve">CLARK DAVID JOSEPH </t>
  </si>
  <si>
    <t>5519 CLAYBOURNE ST</t>
  </si>
  <si>
    <t>BETTER MORTGAGE CORPO</t>
  </si>
  <si>
    <t>BROADWAY FL 5TH</t>
  </si>
  <si>
    <t xml:space="preserve">TRAURIG JUSTIN </t>
  </si>
  <si>
    <t>523 S GRAHAM ST</t>
  </si>
  <si>
    <t>TRAURIG JUSTIN</t>
  </si>
  <si>
    <t>S GRAHAM ST</t>
  </si>
  <si>
    <t xml:space="preserve">5436 CENTRE HOLDINGS  LLC MOZART MANAGEMENT   </t>
  </si>
  <si>
    <t>5436 CENTRE AVE</t>
  </si>
  <si>
    <t>S AIKEN AVE STE 100</t>
  </si>
  <si>
    <t xml:space="preserve">HYDRA ASSOCIATES </t>
  </si>
  <si>
    <t>0 S GRAHAM ST</t>
  </si>
  <si>
    <t xml:space="preserve">GRAF RONALD J JR                                </t>
  </si>
  <si>
    <t>5516 CLAYBOURNE ST</t>
  </si>
  <si>
    <t>BETTER MORTAGE CORP</t>
  </si>
  <si>
    <t>E VOORHEES ST</t>
  </si>
  <si>
    <t xml:space="preserve">WAHEED UZMA </t>
  </si>
  <si>
    <t>5514 CLAYBOURNE ST</t>
  </si>
  <si>
    <t xml:space="preserve">CHATHA SARAH I </t>
  </si>
  <si>
    <t>7 GRAHAM PL</t>
  </si>
  <si>
    <t xml:space="preserve">SHOUSHTARI ALI HAKIM                            </t>
  </si>
  <si>
    <t>4947 WALLINGFORD ST</t>
  </si>
  <si>
    <t>SIMONSON NATALIE &amp; ANDREW (W)</t>
  </si>
  <si>
    <t>405 MOREWOOD AVE</t>
  </si>
  <si>
    <t>CROSS COUNTRY MORTGAG</t>
  </si>
  <si>
    <t xml:space="preserve">5020 CENTRE LLC </t>
  </si>
  <si>
    <t>5020 CENTRE AVE</t>
  </si>
  <si>
    <t>BENYOMIN DEREN</t>
  </si>
  <si>
    <t>WILKINS AVE # 212</t>
  </si>
  <si>
    <t>KUHNS E LINDLEY &amp; MARGARET H</t>
  </si>
  <si>
    <t>0 SAINT JAMES PL</t>
  </si>
  <si>
    <t>SAINT JAMES PL</t>
  </si>
  <si>
    <t xml:space="preserve">MULHOLLAND PETER </t>
  </si>
  <si>
    <t>408 NOBLE ST</t>
  </si>
  <si>
    <t>US BANK NATIONAL ASSO</t>
  </si>
  <si>
    <t>HEMPERLY HOPE &amp; JANE C STANTON</t>
  </si>
  <si>
    <t>535 S AIKEN AVE</t>
  </si>
  <si>
    <t xml:space="preserve">HEMPERLY HOPE &amp; JANE </t>
  </si>
  <si>
    <t>PO BOX 5</t>
  </si>
  <si>
    <t>TARENTUM</t>
  </si>
  <si>
    <t xml:space="preserve">ZHANG JIE </t>
  </si>
  <si>
    <t>543 S AIKEN AVE UNIT 3</t>
  </si>
  <si>
    <t xml:space="preserve">TEAMANN SCOTT </t>
  </si>
  <si>
    <t>414 NOBLE ST</t>
  </si>
  <si>
    <t>NOBLE ST</t>
  </si>
  <si>
    <t>RYAN KEVIN J &amp; KIMBERLY A (W)</t>
  </si>
  <si>
    <t>5436 CLAYBOURNE ST</t>
  </si>
  <si>
    <t>RYAN KEVIN J &amp; KIMBER</t>
  </si>
  <si>
    <t>MCCLEARY KYLE &amp; EMILY (W)</t>
  </si>
  <si>
    <t>546 S GRAHAM ST</t>
  </si>
  <si>
    <t>ROBERGE ANDREW JAMES &amp; RACHEL MERRY (W)</t>
  </si>
  <si>
    <t>18 BROWNELL ST</t>
  </si>
  <si>
    <t>US BANK HOME MORTGAGE</t>
  </si>
  <si>
    <t>COLKER GREGORY T &amp; RACHEL A (W)</t>
  </si>
  <si>
    <t>514 ROSLYN PL</t>
  </si>
  <si>
    <t xml:space="preserve">HOME POINT FINANCIAL </t>
  </si>
  <si>
    <t xml:space="preserve">CRUSE HOWARD L </t>
  </si>
  <si>
    <t>5523 ELLSWORTH AVE UNIT 1A</t>
  </si>
  <si>
    <t>ELLSWORTH AVE APT 1A</t>
  </si>
  <si>
    <t xml:space="preserve">TRONGSA PROPERTIES LLC </t>
  </si>
  <si>
    <t>5523 ELLSWORTH AVE UNIT 2C</t>
  </si>
  <si>
    <t xml:space="preserve">BACKNER JOSEPH NATHAN </t>
  </si>
  <si>
    <t>5523 ELLSWORTH AVE UNIT 8B</t>
  </si>
  <si>
    <t>MCMICHAEL RD</t>
  </si>
  <si>
    <t xml:space="preserve">DRISCOLL HENRY C </t>
  </si>
  <si>
    <t>5523 ELLSWORTH AVE UNIT 10C</t>
  </si>
  <si>
    <t>DRISCOLL HENRY C</t>
  </si>
  <si>
    <t>S HIGHLAND AVE APT 103</t>
  </si>
  <si>
    <t xml:space="preserve">L SEVEN PARTNERS LLC </t>
  </si>
  <si>
    <t>700 IVY ST</t>
  </si>
  <si>
    <t>SERVAN-SCHREIBER OLGA  TERESHKO</t>
  </si>
  <si>
    <t>614 BELLEFONTE ST</t>
  </si>
  <si>
    <t>SERVAN-SCHREIBER OLGA</t>
  </si>
  <si>
    <t>WURTENBURG RD</t>
  </si>
  <si>
    <t>RHINEBECK</t>
  </si>
  <si>
    <t xml:space="preserve">HUDSON ELLSWORTH LP </t>
  </si>
  <si>
    <t>5420 ELLSWORTH AVE</t>
  </si>
  <si>
    <t xml:space="preserve">LYNCH KATHERINE </t>
  </si>
  <si>
    <t>5407 ELLSWORTH AVE</t>
  </si>
  <si>
    <t xml:space="preserve">BAJAJ NIKHIL                                    </t>
  </si>
  <si>
    <t>5403 ELLSWORTH AVE</t>
  </si>
  <si>
    <t>BAJAJ NIKHIL</t>
  </si>
  <si>
    <t xml:space="preserve">OCZYPOK ELIZABETH </t>
  </si>
  <si>
    <t>5406 AIKEN PL</t>
  </si>
  <si>
    <t xml:space="preserve">KELLY MARGARET A                                </t>
  </si>
  <si>
    <t>5401 AIKEN PL</t>
  </si>
  <si>
    <t>AIKEN PL</t>
  </si>
  <si>
    <t xml:space="preserve">VIVANT PROPERTIES LLC </t>
  </si>
  <si>
    <t>325 N NEVILLE ST</t>
  </si>
  <si>
    <t>PACIFIC DR</t>
  </si>
  <si>
    <t>NAPLES</t>
  </si>
  <si>
    <t xml:space="preserve">CHUNG CHENG SHIU                                </t>
  </si>
  <si>
    <t>4707 WALLINGFORD ST</t>
  </si>
  <si>
    <t xml:space="preserve">CHUNG CHENG SHIU KUO </t>
  </si>
  <si>
    <t>SCHULER GREGORY C &amp; WENDY D (W)</t>
  </si>
  <si>
    <t>4749 WALLINGFORD ST</t>
  </si>
  <si>
    <t>PROVIDENT FUNDING</t>
  </si>
  <si>
    <t xml:space="preserve">DAY ROBIN </t>
  </si>
  <si>
    <t>4737 WALLINGFORD ST</t>
  </si>
  <si>
    <t xml:space="preserve">TAMBELLINI ALEXANDER                            </t>
  </si>
  <si>
    <t>4738 WALLINGFORD ST</t>
  </si>
  <si>
    <t>ALT 19 N</t>
  </si>
  <si>
    <t>PALM HARBOR</t>
  </si>
  <si>
    <t>CARNES MICHELLE D &amp; JOHNATHAN G (H)</t>
  </si>
  <si>
    <t>4724 WALLINGFORD ST</t>
  </si>
  <si>
    <t>WELLS FARGO BANK N A</t>
  </si>
  <si>
    <t>PO BOX 100515</t>
  </si>
  <si>
    <t>FLORENCE</t>
  </si>
  <si>
    <t>LOBL ANDREW B &amp; STACY C (W)</t>
  </si>
  <si>
    <t>401 N NEVILLE ST</t>
  </si>
  <si>
    <t>BARRINGTON WILLIAM W &amp; JANICE R (W)</t>
  </si>
  <si>
    <t>425 N NEVILLE ST UNIT 101</t>
  </si>
  <si>
    <t xml:space="preserve">LANIGAN BARBARA </t>
  </si>
  <si>
    <t>425 N NEVILLE ST UNIT 104</t>
  </si>
  <si>
    <t>LANIGAN BARBARA</t>
  </si>
  <si>
    <t>N NEVILLE ST UNIT 104</t>
  </si>
  <si>
    <t xml:space="preserve">KAPLOE BRANDON SCOTT                            </t>
  </si>
  <si>
    <t>4711 BAYARD ST</t>
  </si>
  <si>
    <t xml:space="preserve">BRANDON SCOTT KAPLOE </t>
  </si>
  <si>
    <t>BAYARD ST</t>
  </si>
  <si>
    <t>NATIONAL APARTMENT  LEASING COMPANY</t>
  </si>
  <si>
    <t>4745 BAYARD ST</t>
  </si>
  <si>
    <t>NATIONAL APARTMENT LE</t>
  </si>
  <si>
    <t>SCHULTZ LAUREN L  FISCHER &amp; PETER (H)</t>
  </si>
  <si>
    <t>4747 BAYARD ST</t>
  </si>
  <si>
    <t>ELLSWORTH SUSANNAH G &amp; JOSHUA T (H)</t>
  </si>
  <si>
    <t>4752 BAYARD ST</t>
  </si>
  <si>
    <t xml:space="preserve">CHATHA OMAR &amp; NORA (W) </t>
  </si>
  <si>
    <t>4922 WALLINGFORD ST</t>
  </si>
  <si>
    <t>CHATHA OMAR &amp; NORA (W</t>
  </si>
  <si>
    <t xml:space="preserve">VATER GREGORY THOMAS                            </t>
  </si>
  <si>
    <t>4912 WALLINGFORD ST</t>
  </si>
  <si>
    <t>HUNTINGTON NATIONAL B</t>
  </si>
  <si>
    <t>MCCUNE GREY &amp; CAROLINE (W)</t>
  </si>
  <si>
    <t>4939 BAYARD ST</t>
  </si>
  <si>
    <t xml:space="preserve">LANG SARAH &amp; MICHAEL (H) </t>
  </si>
  <si>
    <t>432 MOREWOOD AVE</t>
  </si>
  <si>
    <t xml:space="preserve">LANG SARAH &amp; MICHAEL </t>
  </si>
  <si>
    <t>MOREWOOD AVE</t>
  </si>
  <si>
    <t xml:space="preserve">GUO YIMING </t>
  </si>
  <si>
    <t>5 BAYARD RD UNIT 103</t>
  </si>
  <si>
    <t>BAYARD RD UNIT 103</t>
  </si>
  <si>
    <t xml:space="preserve">GUI LIANGKE </t>
  </si>
  <si>
    <t>5 BAYARD RD UNIT 305</t>
  </si>
  <si>
    <t>BAYARD RD APT 305</t>
  </si>
  <si>
    <t>GANAPATHIRAJU  SARASWATHI KUMAR &amp; KOWSA</t>
  </si>
  <si>
    <t>5 BAYARD RD UNIT 312</t>
  </si>
  <si>
    <t>GANAPATHIRAJU SARASWA</t>
  </si>
  <si>
    <t>BAYARD RD UNIT 312</t>
  </si>
  <si>
    <t xml:space="preserve">WEARDEN ANDREW P </t>
  </si>
  <si>
    <t>5 BAYARD RD UNIT 318</t>
  </si>
  <si>
    <t xml:space="preserve">JANSEN PETER J </t>
  </si>
  <si>
    <t>5 BAYARD RD UNIT 407</t>
  </si>
  <si>
    <t>BAYARD RD UNIT 407</t>
  </si>
  <si>
    <t xml:space="preserve">NOVICK LAUREN </t>
  </si>
  <si>
    <t>5 BAYARD RD UNIT 413</t>
  </si>
  <si>
    <t xml:space="preserve">SCHEPLER ANDREW P </t>
  </si>
  <si>
    <t>5 BAYARD ST UNIT 801</t>
  </si>
  <si>
    <t>CLARK MARGARET D &amp; DANIEL (H)</t>
  </si>
  <si>
    <t>5 BAYARD RD UNIT 911</t>
  </si>
  <si>
    <t>CLARK MARGARET D &amp; DA</t>
  </si>
  <si>
    <t>BAYARD RD APT 911</t>
  </si>
  <si>
    <t>GLICKMAN COREY M &amp; DENISE L (W)</t>
  </si>
  <si>
    <t>520 MOREWOOD AVE</t>
  </si>
  <si>
    <t>FELDSTEIN DAVID I &amp; JAMIE B (W)</t>
  </si>
  <si>
    <t>525 DEVONSHIRE ST</t>
  </si>
  <si>
    <t>DEVONSHIRE ST</t>
  </si>
  <si>
    <t>SACOLICK EVAN &amp; JENNIFER (W)</t>
  </si>
  <si>
    <t>2 SHADYSIDE LN</t>
  </si>
  <si>
    <t xml:space="preserve">GRIFFITH TIMOTHY                                </t>
  </si>
  <si>
    <t>5121 BAYARD ST</t>
  </si>
  <si>
    <t xml:space="preserve">HO JACQUELINE                                   </t>
  </si>
  <si>
    <t>5112 BAYARD ST</t>
  </si>
  <si>
    <t>FELLMAN DANIEL J &amp; MELISSA E (W)</t>
  </si>
  <si>
    <t>5121 ELLSWORTH AVE</t>
  </si>
  <si>
    <t>STOCKMAN PAUL KEIDEL &amp; CAROL KRASER (W)</t>
  </si>
  <si>
    <t>5131 ELLSWORTH AVE</t>
  </si>
  <si>
    <t xml:space="preserve">SINGH AVINDER                                   </t>
  </si>
  <si>
    <t>5225 ELLSWORTH AVE</t>
  </si>
  <si>
    <t xml:space="preserve">AYAZI SHAHIN </t>
  </si>
  <si>
    <t>576 MOORHEAD PL</t>
  </si>
  <si>
    <t>PRIEBE ERIC D &amp; JACOBS-PRIEBE LYNETTE  R</t>
  </si>
  <si>
    <t>5301 ELLSWORTH AVE</t>
  </si>
  <si>
    <t>PRIEBE ERIC D &amp; JACOB</t>
  </si>
  <si>
    <t xml:space="preserve">MESIWALA ALEFIYAH                               </t>
  </si>
  <si>
    <t>5312 ELLSWORTH AVE</t>
  </si>
  <si>
    <t>MARIANI ORESTE P JR &amp; ROBIN M LIPSCOMB</t>
  </si>
  <si>
    <t>5308 ELLSWORTH AVE</t>
  </si>
  <si>
    <t xml:space="preserve">TOWHEED ATIF                                    </t>
  </si>
  <si>
    <t>703 SAINT JAMES ST</t>
  </si>
  <si>
    <t>TOWHEED ATIF</t>
  </si>
  <si>
    <t>SAINT JAMES ST</t>
  </si>
  <si>
    <t xml:space="preserve">WALTON MICHAEL                                  </t>
  </si>
  <si>
    <t>3 VONLENT PL</t>
  </si>
  <si>
    <t xml:space="preserve">STUYVESANT NATHANIEL P </t>
  </si>
  <si>
    <t>716 SAINT JAMES ST</t>
  </si>
  <si>
    <t>STUYVESANT NATHANIEL</t>
  </si>
  <si>
    <t>OST MICHAEL C &amp; SACHDEV ULKA (W)</t>
  </si>
  <si>
    <t>700 SAINT JAMES ST</t>
  </si>
  <si>
    <t xml:space="preserve">POGOZELSKI ANDREW R                             </t>
  </si>
  <si>
    <t>622 SAINT JAMES ST</t>
  </si>
  <si>
    <t xml:space="preserve">MAI KENNETH W                                   </t>
  </si>
  <si>
    <t>607 PITCAIRN PL</t>
  </si>
  <si>
    <t>PITCAIRN PL</t>
  </si>
  <si>
    <t xml:space="preserve">PIETRAGALLO HELANA C                            </t>
  </si>
  <si>
    <t>625 PITCAIRN PL</t>
  </si>
  <si>
    <t xml:space="preserve">LEVINSON DAVID J                                </t>
  </si>
  <si>
    <t>610 PITCAIRN PL</t>
  </si>
  <si>
    <t>DAVID J LEVINSON &amp; EL</t>
  </si>
  <si>
    <t>ELLSWORTH TER</t>
  </si>
  <si>
    <t xml:space="preserve">BOBBETT CAMERON M                               </t>
  </si>
  <si>
    <t>609 AMBERSON AVE</t>
  </si>
  <si>
    <t>KNABLE JOHN P II &amp; CYNTHIA B (W)</t>
  </si>
  <si>
    <t>615 AMBERSON AVE</t>
  </si>
  <si>
    <t>CHERBOURG DR</t>
  </si>
  <si>
    <t>POTOMAC</t>
  </si>
  <si>
    <t xml:space="preserve">SHAH MONEAL B                                   </t>
  </si>
  <si>
    <t>621 AMBERSON AVE</t>
  </si>
  <si>
    <t>AMBERSON AVE</t>
  </si>
  <si>
    <t xml:space="preserve">NASR JOHN Y                                     </t>
  </si>
  <si>
    <t>705 AMBERSON AVE</t>
  </si>
  <si>
    <t>NEWREZ LLC</t>
  </si>
  <si>
    <t>PO BOX 740039</t>
  </si>
  <si>
    <t>OPPENHEIM ROBERT L &amp; ALISA WEIN (W)</t>
  </si>
  <si>
    <t>807 SAINT JAMES ST</t>
  </si>
  <si>
    <t>PLACETAS AVE</t>
  </si>
  <si>
    <t xml:space="preserve">SHEIKH YASER &amp;                         </t>
  </si>
  <si>
    <t>5311 PEMBROKE PL</t>
  </si>
  <si>
    <t>SHEIKH YASER &amp; KHAN E</t>
  </si>
  <si>
    <t>NANTUCKETT DR</t>
  </si>
  <si>
    <t xml:space="preserve">RABIN ANDREW &amp; RITA (W) </t>
  </si>
  <si>
    <t>5307 PEMBROKE PL</t>
  </si>
  <si>
    <t>RABIN ANDREW &amp; RITA (</t>
  </si>
  <si>
    <t>OCEAN BLVD</t>
  </si>
  <si>
    <t>WILHITE TYLER J &amp; MELISSA (W)</t>
  </si>
  <si>
    <t>713 SAINT JAMES ST</t>
  </si>
  <si>
    <t xml:space="preserve">YU ASHLEY                                       </t>
  </si>
  <si>
    <t>815 S AIKEN AVE</t>
  </si>
  <si>
    <t>YU ASHLEY</t>
  </si>
  <si>
    <t>SIMONDS MATTHEW &amp; MARSHA (W)</t>
  </si>
  <si>
    <t>729 S AIKEN AVE</t>
  </si>
  <si>
    <t>SIMONDS MATTHEW &amp; MAR</t>
  </si>
  <si>
    <t>PINEHURST DR</t>
  </si>
  <si>
    <t xml:space="preserve">RAHIMI JAWAD                                    </t>
  </si>
  <si>
    <t>715 S AIKEN AVE</t>
  </si>
  <si>
    <t>CASANOVA EUGENE G &amp; JUDIE L (W)</t>
  </si>
  <si>
    <t>0 S AIKEN AVE</t>
  </si>
  <si>
    <t xml:space="preserve">HUTH STEVEN K                                   </t>
  </si>
  <si>
    <t>628 COPELAND ST</t>
  </si>
  <si>
    <t xml:space="preserve">RED ELEPHANT LLC </t>
  </si>
  <si>
    <t>728 COPELAND ST</t>
  </si>
  <si>
    <t xml:space="preserve">CRDV WALNUT STREET LLC </t>
  </si>
  <si>
    <t>5428 WALNUT ST</t>
  </si>
  <si>
    <t>CRDV WALNUT STREET LL</t>
  </si>
  <si>
    <t>W LANE AVE</t>
  </si>
  <si>
    <t>JOSEPH T BELLISARIO  FAMILY LIMITED PARTN ERS</t>
  </si>
  <si>
    <t>733 COPELAND ST</t>
  </si>
  <si>
    <t>JOSEPH T BELLISARIO F</t>
  </si>
  <si>
    <t xml:space="preserve">OROS JAMES ANDREW </t>
  </si>
  <si>
    <t>725 COPELAND ST</t>
  </si>
  <si>
    <t>HORNE D STUART &amp; KTHY M (W)</t>
  </si>
  <si>
    <t>629 COPELAND ST</t>
  </si>
  <si>
    <t xml:space="preserve">BLACK DAVID K </t>
  </si>
  <si>
    <t>700 BELLEFONTE ST</t>
  </si>
  <si>
    <t>BELLEFONTE ST</t>
  </si>
  <si>
    <t>DEPETRILLO MATTEO &amp; MARGARET E (W)</t>
  </si>
  <si>
    <t>717 BELLEFONTE ST UNIT 3</t>
  </si>
  <si>
    <t>ALLY BANK CORP</t>
  </si>
  <si>
    <t xml:space="preserve">PENTO LLP </t>
  </si>
  <si>
    <t>5525 WALNUT ST</t>
  </si>
  <si>
    <t>WHISTLE DR</t>
  </si>
  <si>
    <t>HARRISON CITY</t>
  </si>
  <si>
    <t xml:space="preserve">COHN SAMUEL                                     </t>
  </si>
  <si>
    <t>709 FILBERT ST</t>
  </si>
  <si>
    <t xml:space="preserve">ANDERSON THERESA                                </t>
  </si>
  <si>
    <t>707 FILBERT ST</t>
  </si>
  <si>
    <t xml:space="preserve">GLIKES LAUREN </t>
  </si>
  <si>
    <t>710 IVY ST</t>
  </si>
  <si>
    <t>IVY ST</t>
  </si>
  <si>
    <t>GABRIN MICHAEL &amp; DIANNE (W)</t>
  </si>
  <si>
    <t>712 IVY ST</t>
  </si>
  <si>
    <t>GABRIN MICHAEL &amp; DIAN</t>
  </si>
  <si>
    <t xml:space="preserve">MORGAN AMY B </t>
  </si>
  <si>
    <t>537 N NEVILLE ST UNIT 4G</t>
  </si>
  <si>
    <t>MORGAN AMY B</t>
  </si>
  <si>
    <t>N NEVILLE ST UNIT 4G</t>
  </si>
  <si>
    <t xml:space="preserve">MCKINNEY STEPHANIE  POPIVCHAK               </t>
  </si>
  <si>
    <t>537 N NEVILLE ST UNIT 1D</t>
  </si>
  <si>
    <t>MCKINNEY STEPHANIE PO</t>
  </si>
  <si>
    <t>537 N NEVILLE ST UNIT 1E</t>
  </si>
  <si>
    <t xml:space="preserve">GREEN DEBRA LEVY </t>
  </si>
  <si>
    <t>537 N NEVILLE ST UNIT 2E</t>
  </si>
  <si>
    <t>N NEVILLE ST UNIT 2E</t>
  </si>
  <si>
    <t xml:space="preserve">PANAKEIA LTD </t>
  </si>
  <si>
    <t>2 ELLSWORTH TER</t>
  </si>
  <si>
    <t>PANAKEIA LTD</t>
  </si>
  <si>
    <t>REFORMA RD</t>
  </si>
  <si>
    <t>WOODLAND HILLS</t>
  </si>
  <si>
    <t>0 ELLSWORTH TER</t>
  </si>
  <si>
    <t xml:space="preserve">CHING YIH GWO &amp; </t>
  </si>
  <si>
    <t>4700 ELLSWORTH AVE UNIT 6</t>
  </si>
  <si>
    <t>CHING YIH GWO &amp; YANG</t>
  </si>
  <si>
    <t>BURGUNDY RD</t>
  </si>
  <si>
    <t xml:space="preserve">MINEO GIOVANNI JR                               </t>
  </si>
  <si>
    <t>820 DEVONSHIRE ST</t>
  </si>
  <si>
    <t xml:space="preserve">ISGANITIS TIMOTHY                               </t>
  </si>
  <si>
    <t>808 DEVONSHIRE ST</t>
  </si>
  <si>
    <t>US BANK HOME MTGE</t>
  </si>
  <si>
    <t xml:space="preserve">GANTT MELANIE LYNN </t>
  </si>
  <si>
    <t>704 DEVONSHIRE ST</t>
  </si>
  <si>
    <t>FOREST BEND DR</t>
  </si>
  <si>
    <t xml:space="preserve">CHAKRAVARTHY MITHUN                             </t>
  </si>
  <si>
    <t>5049 AMBERSON PL</t>
  </si>
  <si>
    <t xml:space="preserve">QUATRINI ADAM N &amp;                         </t>
  </si>
  <si>
    <t>5025 CASTLEMAN ST</t>
  </si>
  <si>
    <t>ADAM N QUATRUNI &amp; CAR</t>
  </si>
  <si>
    <t>CASTLEMAN ST</t>
  </si>
  <si>
    <t xml:space="preserve">EDWARDS LUKE &amp; TRACY (W) </t>
  </si>
  <si>
    <t>5024 CASTLEMAN ST</t>
  </si>
  <si>
    <t>RYE RD</t>
  </si>
  <si>
    <t>RYE</t>
  </si>
  <si>
    <t xml:space="preserve">MITRY ANDREW S                                  </t>
  </si>
  <si>
    <t>5016 CASTLEMAN ST</t>
  </si>
  <si>
    <t>CARRINGTON SCHACH  FAMILY TRUST</t>
  </si>
  <si>
    <t>5025 5TH AVE APT 3E</t>
  </si>
  <si>
    <t>CARRINGTON SCHACH FAM</t>
  </si>
  <si>
    <t>PO BOX 295</t>
  </si>
  <si>
    <t>LAUGHLINTOWN</t>
  </si>
  <si>
    <t xml:space="preserve">LIN DAVID </t>
  </si>
  <si>
    <t>5025 5TH AVE APT 3F</t>
  </si>
  <si>
    <t>5TH AVE UNIT 3F</t>
  </si>
  <si>
    <t xml:space="preserve">MULCAHY CHRISTOPHER G                           </t>
  </si>
  <si>
    <t>825 MOREWOOD AVE UNIT D</t>
  </si>
  <si>
    <t>MIAMI ST STE 100</t>
  </si>
  <si>
    <t>OMAHA</t>
  </si>
  <si>
    <t>NE</t>
  </si>
  <si>
    <t>RICHMAN RAYMOND L &amp; WILMA T C (W)</t>
  </si>
  <si>
    <t>825 MOREWOOD AVE UNIT J</t>
  </si>
  <si>
    <t>MOREWOOD AVE APT J</t>
  </si>
  <si>
    <t>SHEEHAN THOMAS E &amp; MARY ANDERSON SHEEHAN</t>
  </si>
  <si>
    <t>825 MOREWOOD AVE UNIT G2</t>
  </si>
  <si>
    <t>MOREWOOD AVE APT G2</t>
  </si>
  <si>
    <t xml:space="preserve">REDDY PUSHPAMALA                                </t>
  </si>
  <si>
    <t>825 MOREWOOD AVE UNIT G6</t>
  </si>
  <si>
    <t>REDDY PUSHPAMALA</t>
  </si>
  <si>
    <t>MOREWOOD AVE UNIT G6</t>
  </si>
  <si>
    <t xml:space="preserve">COURTNEY ALICE KAAREN </t>
  </si>
  <si>
    <t>825 MOREWOOD AVE UNIT H3</t>
  </si>
  <si>
    <t>COURTNEY ALICE KAAREN</t>
  </si>
  <si>
    <t>MOREWOOD AVE APT H3</t>
  </si>
  <si>
    <t xml:space="preserve">XIONG CHENYAN                                   </t>
  </si>
  <si>
    <t>856 CANTERBURY LN</t>
  </si>
  <si>
    <t>KEYBANK NATIONAL ASSO</t>
  </si>
  <si>
    <t xml:space="preserve">CRIVELLA ARTHUR R </t>
  </si>
  <si>
    <t>704 AMBERSON AVE</t>
  </si>
  <si>
    <t>BALCAN DORU CRISTIAN &amp; MARIA FLORINA (W)</t>
  </si>
  <si>
    <t>851 CANTERBURY LN</t>
  </si>
  <si>
    <t>KELLEY BRENDAN R &amp; NATALIE R (W)</t>
  </si>
  <si>
    <t>5045 5TH AVE APT 101</t>
  </si>
  <si>
    <t xml:space="preserve">STANDARD BANK/DOLLAR </t>
  </si>
  <si>
    <t>LIGNELLI GREGORY L &amp; SIMONE OLIVEIRA (W)</t>
  </si>
  <si>
    <t>832 AMBERSON AVE</t>
  </si>
  <si>
    <t xml:space="preserve">INVESTOR'S DEAL LLC </t>
  </si>
  <si>
    <t>5129 5TH AVE</t>
  </si>
  <si>
    <t>INVESTOR'S DEAL LLC</t>
  </si>
  <si>
    <t>S BRADDOCK AVE</t>
  </si>
  <si>
    <t xml:space="preserve">HUANG XUN                                       </t>
  </si>
  <si>
    <t>5131 5TH AVE</t>
  </si>
  <si>
    <t>HARRIS FRANCO  DOKMANOVICH</t>
  </si>
  <si>
    <t>5508 HOWE ST</t>
  </si>
  <si>
    <t>HARRIS FRANCO DOKMANO</t>
  </si>
  <si>
    <t xml:space="preserve">BAKER GRETCHEN E                                </t>
  </si>
  <si>
    <t>5428 HOWE ST</t>
  </si>
  <si>
    <t>SAINI HARVINDER SINGH &amp; SUNDIP KAUR</t>
  </si>
  <si>
    <t>5422 HOWE ST</t>
  </si>
  <si>
    <t xml:space="preserve">LUND JEFFREY &amp; KELLI (W) </t>
  </si>
  <si>
    <t>5419 KENTUCKY AVE</t>
  </si>
  <si>
    <t xml:space="preserve">SUDAN RANJAN </t>
  </si>
  <si>
    <t>5423 KENTUCKY AVE</t>
  </si>
  <si>
    <t xml:space="preserve">RAJASHEKAR MEGHANA                              </t>
  </si>
  <si>
    <t>910 BELLEFONTE ST</t>
  </si>
  <si>
    <t xml:space="preserve">ELLIS EMILY D </t>
  </si>
  <si>
    <t>928 BELLEFONTE ST</t>
  </si>
  <si>
    <t>ELLIS EMILY D</t>
  </si>
  <si>
    <t xml:space="preserve">MCVAY JOHN T JR </t>
  </si>
  <si>
    <t>932 BELLEFONTE ST</t>
  </si>
  <si>
    <t>STEIN ROGER A &amp; DOROTHY A (W)</t>
  </si>
  <si>
    <t>5237 5TH AVE UNIT A3</t>
  </si>
  <si>
    <t xml:space="preserve">AWAD NOEL &amp; RAYMOND (H) </t>
  </si>
  <si>
    <t>5237 5TH AVE UNIT C1</t>
  </si>
  <si>
    <t xml:space="preserve">AUTERMAN STEVEN L                               </t>
  </si>
  <si>
    <t>928 SAINT JAMES ST</t>
  </si>
  <si>
    <t>CITIZENS ONE HOME LOA</t>
  </si>
  <si>
    <t xml:space="preserve">GUO JIA BAO                                     </t>
  </si>
  <si>
    <t>5236 WESTMINSTER PL</t>
  </si>
  <si>
    <t>WESTMINSTER PL</t>
  </si>
  <si>
    <t xml:space="preserve">SATHER JACK </t>
  </si>
  <si>
    <t>935 SAINT JAMES ST</t>
  </si>
  <si>
    <t>J</t>
  </si>
  <si>
    <t xml:space="preserve">GRANDE ELVIDIO </t>
  </si>
  <si>
    <t>5301 5TH AVE</t>
  </si>
  <si>
    <t>WINDY HILL DR</t>
  </si>
  <si>
    <t xml:space="preserve">MILHOLLAN NICOLE </t>
  </si>
  <si>
    <t>5321 5TH AVE UNIT 4</t>
  </si>
  <si>
    <t>5TH AVE UNIT 4</t>
  </si>
  <si>
    <t xml:space="preserve">HOLCOMB JESSICA </t>
  </si>
  <si>
    <t>926 S AIKEN AVE</t>
  </si>
  <si>
    <t xml:space="preserve">SMITH CHRISTOPHER TYLER                         </t>
  </si>
  <si>
    <t>914 S AIKEN AVE</t>
  </si>
  <si>
    <t xml:space="preserve">NAGEL JOSEPH                                    </t>
  </si>
  <si>
    <t>5309 WESTMINSTER PL</t>
  </si>
  <si>
    <t>BUFFIE TYLER &amp; ALEXANDRA  (W)</t>
  </si>
  <si>
    <t>5301 WESTMINSTER PL</t>
  </si>
  <si>
    <t>BUFFIE TYLER &amp; ALEXAN</t>
  </si>
  <si>
    <t xml:space="preserve">CAMERON ALYSSA B </t>
  </si>
  <si>
    <t>5850 CENTRE AVE UNIT 213</t>
  </si>
  <si>
    <t xml:space="preserve">PATY JEAN ALPHONSUS                             </t>
  </si>
  <si>
    <t>5850 CENTRE AVE UNIT 412</t>
  </si>
  <si>
    <t>LOANDEPOT COM LLC</t>
  </si>
  <si>
    <t>TOWNE CENTRE DR</t>
  </si>
  <si>
    <t>EL TORO</t>
  </si>
  <si>
    <t xml:space="preserve">XIE LIUYUE </t>
  </si>
  <si>
    <t>5850 CENTRE AVE UNIT 605</t>
  </si>
  <si>
    <t xml:space="preserve">POTETZ DANIEL R </t>
  </si>
  <si>
    <t>5850 CENTRE AVE UNIT 612</t>
  </si>
  <si>
    <t xml:space="preserve">MARIARNI CHRISTINA J </t>
  </si>
  <si>
    <t>5850 CENTRE AVE UNIT 613</t>
  </si>
  <si>
    <t>SCIOTA ST</t>
  </si>
  <si>
    <t xml:space="preserve">ELKO BETH ANNE </t>
  </si>
  <si>
    <t>228 S HIGHLAND AVE</t>
  </si>
  <si>
    <t>SHADY LAKE DR</t>
  </si>
  <si>
    <t>SEWICKLY</t>
  </si>
  <si>
    <t>KELLY JOHN MICHAEL JR &amp; ANN MARIE (W)</t>
  </si>
  <si>
    <t>203 LEHIGH AVE</t>
  </si>
  <si>
    <t>DENNISTON AVE</t>
  </si>
  <si>
    <t>WAGNER ERIK CLAUDE &amp; PAMELA FISHER (W)</t>
  </si>
  <si>
    <t>242 LEHIGH AVE</t>
  </si>
  <si>
    <t>UNGER LN</t>
  </si>
  <si>
    <t xml:space="preserve">BROURMAN HOLDINGS LP </t>
  </si>
  <si>
    <t>210 LEHIGH AVE</t>
  </si>
  <si>
    <t>BROURMAN HOLDINGS LP</t>
  </si>
  <si>
    <t>SPAHR ST</t>
  </si>
  <si>
    <t xml:space="preserve">MENDELSON ERIC C </t>
  </si>
  <si>
    <t>5884 ELLSWORTH AVE</t>
  </si>
  <si>
    <t xml:space="preserve">YARDLEY LIMITED </t>
  </si>
  <si>
    <t>229 YARDLEY WAY</t>
  </si>
  <si>
    <t>EMERSON ST</t>
  </si>
  <si>
    <t xml:space="preserve">XU ZHECHENG </t>
  </si>
  <si>
    <t>212 EMERSON ST</t>
  </si>
  <si>
    <t>MONEY SOURCE INC</t>
  </si>
  <si>
    <t>PO BOX 650094</t>
  </si>
  <si>
    <t>BURNS CAITLIN &amp; AARON (H)</t>
  </si>
  <si>
    <t>228 EMERSON ST</t>
  </si>
  <si>
    <t>BURNS CAITLIN &amp; AARON</t>
  </si>
  <si>
    <t>MCDERMOTT BRIAN PATRICK  &amp; DANIELLE (W)</t>
  </si>
  <si>
    <t>242 EMERSON ST</t>
  </si>
  <si>
    <t xml:space="preserve">POPOWICZ MATTHEW D </t>
  </si>
  <si>
    <t>239 EMERSON ST</t>
  </si>
  <si>
    <t xml:space="preserve">YTTRI EMILY A </t>
  </si>
  <si>
    <t>215 EMERSON ST</t>
  </si>
  <si>
    <t xml:space="preserve">SHADY AVENUE CAPITAL LLC </t>
  </si>
  <si>
    <t>234 SWOPE ST</t>
  </si>
  <si>
    <t xml:space="preserve">SHADY AVENUE CAPITAL </t>
  </si>
  <si>
    <t>ROBINHOOD LN</t>
  </si>
  <si>
    <t>236 SHADY AVE</t>
  </si>
  <si>
    <t>SHAKESPEARE STREET ASSOCIATES</t>
  </si>
  <si>
    <t>103 SHADY AVE</t>
  </si>
  <si>
    <t>EPSILON DR</t>
  </si>
  <si>
    <t xml:space="preserve">ANALO HELEN </t>
  </si>
  <si>
    <t>100 DENNISTON ST</t>
  </si>
  <si>
    <t>GLENGARY ST</t>
  </si>
  <si>
    <t xml:space="preserve">BLAKE BRIAN &amp; LENNIE (W) </t>
  </si>
  <si>
    <t>100 DENNISTON ST UNIT 46</t>
  </si>
  <si>
    <t xml:space="preserve">BEIRO II JOSEPH L </t>
  </si>
  <si>
    <t>100 DENNISTON ST UNIT 52</t>
  </si>
  <si>
    <t xml:space="preserve">BRADY MATTHEW D </t>
  </si>
  <si>
    <t>100 DENNISTON ST UNIT 61</t>
  </si>
  <si>
    <t>BRADY MATTHEW D</t>
  </si>
  <si>
    <t>DENNISTON ST UNIT 61</t>
  </si>
  <si>
    <t>ROBERGE RAYMOND J &amp; MARY C (W)</t>
  </si>
  <si>
    <t>100 DENNISTON ST UNIT 60</t>
  </si>
  <si>
    <t>ROBERGE RAYMOND J &amp; M</t>
  </si>
  <si>
    <t>DENNISTON ST # 60</t>
  </si>
  <si>
    <t xml:space="preserve">SEXTON CLINT D                                  </t>
  </si>
  <si>
    <t>100 DENNISTON ST UNIT 55</t>
  </si>
  <si>
    <t>VILLAGE OF SHADYSIDE  COMMUNITY ASSOCIATION</t>
  </si>
  <si>
    <t>THE VILLAGE OF SHADYS</t>
  </si>
  <si>
    <t xml:space="preserve">ALSAIDI  ESAM </t>
  </si>
  <si>
    <t>100 DENNISTON ST UNIT 96</t>
  </si>
  <si>
    <t>DENNISTON ST UNIT 96</t>
  </si>
  <si>
    <t>WOLFE TIMOTHY W &amp; JACQUELYNE K (W)</t>
  </si>
  <si>
    <t>100 DENNISTON ST UNIT 433</t>
  </si>
  <si>
    <t>WOLFE TIMOTHY W &amp; JAC</t>
  </si>
  <si>
    <t>DENNISTON ST APT 433</t>
  </si>
  <si>
    <t xml:space="preserve">HINOJOSA VIVIAN </t>
  </si>
  <si>
    <t>100 DENNISTON ST UNIT 434</t>
  </si>
  <si>
    <t>MARCY AVE APT 4-B</t>
  </si>
  <si>
    <t>BROOKLYN</t>
  </si>
  <si>
    <t xml:space="preserve">CENTRE AVE PITTSBURGH  LLC                     </t>
  </si>
  <si>
    <t>WASHINGTON ST STE 270</t>
  </si>
  <si>
    <t xml:space="preserve">GUTTILLA ELLISON M </t>
  </si>
  <si>
    <t>555 S NEGLEY AVE</t>
  </si>
  <si>
    <t>S NEGLEY AVE UNIT 17</t>
  </si>
  <si>
    <t>555 S NEGLEY AVE UNIT 17</t>
  </si>
  <si>
    <t>STIFEL BANK &amp; TRUST</t>
  </si>
  <si>
    <t>RR REAL ESTATE HOLDINGS  LP</t>
  </si>
  <si>
    <t>0 ELLSWORTH AVE</t>
  </si>
  <si>
    <t>RR REAL ESTATE HOLDIN</t>
  </si>
  <si>
    <t>COLLEGE ST</t>
  </si>
  <si>
    <t>REIZENSTEIN WAY</t>
  </si>
  <si>
    <t>COMMERCIAL NET LEASE REALTY TRUST</t>
  </si>
  <si>
    <t>5724 ELLSWORTH AVE</t>
  </si>
  <si>
    <t xml:space="preserve">FINK STEVEN M </t>
  </si>
  <si>
    <t>517 SUMMERLEA ST</t>
  </si>
  <si>
    <t>FINK STEVEN M</t>
  </si>
  <si>
    <t>STEUBENVILLE PIKE</t>
  </si>
  <si>
    <t xml:space="preserve">ALI SHEILA </t>
  </si>
  <si>
    <t>5859 PIERCE ST</t>
  </si>
  <si>
    <t>PIERCE ST</t>
  </si>
  <si>
    <t xml:space="preserve">MASON GARDENS LLC </t>
  </si>
  <si>
    <t>5828 PIERCE ST</t>
  </si>
  <si>
    <t>PO BOX 170</t>
  </si>
  <si>
    <t>SHANKSVILLE</t>
  </si>
  <si>
    <t xml:space="preserve">CHEN'S REALTY LLC </t>
  </si>
  <si>
    <t>5811 ELLSWORTH AVE</t>
  </si>
  <si>
    <t xml:space="preserve">MIAMI PARTNERS LLC </t>
  </si>
  <si>
    <t>5815 ELLSWORTH AVE</t>
  </si>
  <si>
    <t xml:space="preserve">SCHULTZ SARAH E </t>
  </si>
  <si>
    <t>5862 A ELLSWORTH AVE</t>
  </si>
  <si>
    <t>ELLSWORTH AVE UNIT A</t>
  </si>
  <si>
    <t xml:space="preserve">PENG XIMEI </t>
  </si>
  <si>
    <t>628 COLLEGE ST</t>
  </si>
  <si>
    <t>HAYS ST</t>
  </si>
  <si>
    <t xml:space="preserve">UNKNOWN OWNER </t>
  </si>
  <si>
    <t>0 MARYLAND AVE</t>
  </si>
  <si>
    <t xml:space="preserve">LEVENTIS JOHN C </t>
  </si>
  <si>
    <t>5866 A ELLSWORTH AVE</t>
  </si>
  <si>
    <t>N SHERIDAN AVE</t>
  </si>
  <si>
    <t xml:space="preserve">113 CAPITAL LLC </t>
  </si>
  <si>
    <t>5878 ELLSWORTH AVE</t>
  </si>
  <si>
    <t xml:space="preserve">INDOVINA JOSEPH P                               </t>
  </si>
  <si>
    <t>5876 ELLSWORTH AVE</t>
  </si>
  <si>
    <t>ELLSWORTH AVE APT 2</t>
  </si>
  <si>
    <t xml:space="preserve">WYRICK DIANNA CALABOYIAS </t>
  </si>
  <si>
    <t>5927 ALDER ST</t>
  </si>
  <si>
    <t>WYRICK DIANNA CALABOY</t>
  </si>
  <si>
    <t>WADE LN</t>
  </si>
  <si>
    <t>OAKMONT</t>
  </si>
  <si>
    <t>DONOVAN SAMUEL S &amp; HEIDI A S (W)</t>
  </si>
  <si>
    <t>5917 ALDER ST</t>
  </si>
  <si>
    <t xml:space="preserve">SUKLA RAKESH                                    </t>
  </si>
  <si>
    <t>354 SPAHR ST</t>
  </si>
  <si>
    <t>SAUNDERS HOWARD S &amp; JOYCE (W)</t>
  </si>
  <si>
    <t>629 COLLEGE ST</t>
  </si>
  <si>
    <t>COLLEGE AVE</t>
  </si>
  <si>
    <t xml:space="preserve">TANG KEVIN </t>
  </si>
  <si>
    <t>627 COLLEGE ST</t>
  </si>
  <si>
    <t xml:space="preserve">GIGNAC CATHERINE A </t>
  </si>
  <si>
    <t>351 SPAHR ST</t>
  </si>
  <si>
    <t xml:space="preserve">CRANE KEENAN                                    </t>
  </si>
  <si>
    <t>321 SPAHR ST</t>
  </si>
  <si>
    <t>CORELOGIC</t>
  </si>
  <si>
    <t xml:space="preserve">MARCOTT HILLARY                                 </t>
  </si>
  <si>
    <t>5949 ALDER ST</t>
  </si>
  <si>
    <t xml:space="preserve">LU WENDY                                        </t>
  </si>
  <si>
    <t>342 LAMONT PL</t>
  </si>
  <si>
    <t>LAMONT PL</t>
  </si>
  <si>
    <t xml:space="preserve">ELES MARGARET KATHLEEN </t>
  </si>
  <si>
    <t>348 LAMONT PL</t>
  </si>
  <si>
    <t>MARGARET KATHLEEN ELE</t>
  </si>
  <si>
    <t xml:space="preserve">CAMPOY JOAN </t>
  </si>
  <si>
    <t>366 LAMONT PL</t>
  </si>
  <si>
    <t>MEDLER STEPHEN MARSHALL  &amp; MEENAKSHI (W)</t>
  </si>
  <si>
    <t>354 LEHIGH AVE</t>
  </si>
  <si>
    <t xml:space="preserve">ESTROFF ESTHER ELENA                            </t>
  </si>
  <si>
    <t>318 LEHIGH AVE</t>
  </si>
  <si>
    <t>LEHIGH AVE</t>
  </si>
  <si>
    <t xml:space="preserve">BROWN IAN                                       </t>
  </si>
  <si>
    <t>321 LEHIGH AVE</t>
  </si>
  <si>
    <t xml:space="preserve">CONNELLY IAN PATRICK                            </t>
  </si>
  <si>
    <t>361 LEHIGH AVE</t>
  </si>
  <si>
    <t xml:space="preserve">COSTELLO PROPERTIES LLC </t>
  </si>
  <si>
    <t>0 S HIGHLAND AVE</t>
  </si>
  <si>
    <t>COSTELLO PROPERTIES L</t>
  </si>
  <si>
    <t>PO BOX 27046</t>
  </si>
  <si>
    <t>NATIONAL BUILDERS &amp; ACCEPTANCE CORP</t>
  </si>
  <si>
    <t>325 S HIGHLAND AVE</t>
  </si>
  <si>
    <t>NATIONAL BUILDERS AND</t>
  </si>
  <si>
    <t>W 8TH AVE</t>
  </si>
  <si>
    <t xml:space="preserve">SERRATO ELLA M </t>
  </si>
  <si>
    <t>CHAPEL HARBOR DR</t>
  </si>
  <si>
    <t xml:space="preserve">CASEY LAURA L </t>
  </si>
  <si>
    <t>325 S HIGHLAND AVE UNIT 103</t>
  </si>
  <si>
    <t>325 S HIGHLAND AVE UNIT 202</t>
  </si>
  <si>
    <t xml:space="preserve">GUTTMAN MICHAEL </t>
  </si>
  <si>
    <t>333 S HIGHLAND AVE UNIT 401</t>
  </si>
  <si>
    <t>S HIGHLAND AVE UNIT 401</t>
  </si>
  <si>
    <t xml:space="preserve">PEARL HERMAN </t>
  </si>
  <si>
    <t>363 S HIGHLAND AVE UNIT 201</t>
  </si>
  <si>
    <t>S HIGHLAND AVE UNIT 201</t>
  </si>
  <si>
    <t>MCDOWELL JOHN H &amp; BARBARA G JACOB (W)</t>
  </si>
  <si>
    <t>363 S HIGHLAND AVE UNIT 503</t>
  </si>
  <si>
    <t>MCDOWELL JOHN H &amp; BAR</t>
  </si>
  <si>
    <t>S HIGHLAND AVE UNIT 503</t>
  </si>
  <si>
    <t>NORDQUIST CHARLES R &amp; RITA G (W)</t>
  </si>
  <si>
    <t>6344 AURELIA ST</t>
  </si>
  <si>
    <t>AURELIA ST</t>
  </si>
  <si>
    <t xml:space="preserve">WRIGHT JORDAN L                                 </t>
  </si>
  <si>
    <t>6348 AURELIA ST</t>
  </si>
  <si>
    <t>CFS - CHARLEROI  FEDE</t>
  </si>
  <si>
    <t>TECHNOLOGY DR</t>
  </si>
  <si>
    <t xml:space="preserve">WILSON MIKAYLA                                  </t>
  </si>
  <si>
    <t>6354 AURELIA ST</t>
  </si>
  <si>
    <t xml:space="preserve">SHADYSIDE PROPERTIES INC </t>
  </si>
  <si>
    <t>6356 AURELIA ST</t>
  </si>
  <si>
    <t xml:space="preserve">FRANKLIN WEST AGENCY </t>
  </si>
  <si>
    <t>PO BOX 5377</t>
  </si>
  <si>
    <t xml:space="preserve">6315 HOLDINGS LLC </t>
  </si>
  <si>
    <t>6315 MARCHAND ST UNIT 1</t>
  </si>
  <si>
    <t>PO BOX 4940</t>
  </si>
  <si>
    <t>EDWARDS</t>
  </si>
  <si>
    <t xml:space="preserve">HAME SHADYSIDE LLC </t>
  </si>
  <si>
    <t>6326 MARCHAND ST</t>
  </si>
  <si>
    <t>RYAN GURRENTZ</t>
  </si>
  <si>
    <t>ARDMORE BLVD STE 400</t>
  </si>
  <si>
    <t>GROSSMAN JEFFREY S &amp; MARYLYN L (W)</t>
  </si>
  <si>
    <t>6337 WALNUT ST</t>
  </si>
  <si>
    <t>WALNUT ST</t>
  </si>
  <si>
    <t>WADE PHATTARAWADEE &amp; GARY J</t>
  </si>
  <si>
    <t>6341 WALNUT ST</t>
  </si>
  <si>
    <t xml:space="preserve">RICK ANNE MARIE                                 </t>
  </si>
  <si>
    <t>6350 WALNUT ST</t>
  </si>
  <si>
    <t>BISCEGLIA MICHAEL &amp; MICHELLE (W)</t>
  </si>
  <si>
    <t>6360 AURELIA ST</t>
  </si>
  <si>
    <t>BISCEGLIA MICHAEL &amp; M</t>
  </si>
  <si>
    <t xml:space="preserve">MEKA SUSHMITA                                   </t>
  </si>
  <si>
    <t>100 DENNISTON ST UNIT 23</t>
  </si>
  <si>
    <t xml:space="preserve">JOHNSTON JENNIFER </t>
  </si>
  <si>
    <t>100 DENNISTON ST UNIT 74</t>
  </si>
  <si>
    <t>DENNISTON ST UNIT 74</t>
  </si>
  <si>
    <t xml:space="preserve">PASULA VICTORIA </t>
  </si>
  <si>
    <t>DENNISTON ST</t>
  </si>
  <si>
    <t xml:space="preserve">BAROT NIRAVKUMAR V </t>
  </si>
  <si>
    <t>100 DENNISTON ST UNIT 76</t>
  </si>
  <si>
    <t>BROADWAY FL 5</t>
  </si>
  <si>
    <t xml:space="preserve">NEFT RHODA SHEAR </t>
  </si>
  <si>
    <t>329 DENNISTON ST</t>
  </si>
  <si>
    <t xml:space="preserve">HUH SEUNGIL                                     </t>
  </si>
  <si>
    <t>6427 MELISSA ST</t>
  </si>
  <si>
    <t>SEUNGIL HUB</t>
  </si>
  <si>
    <t>MELISSA ST</t>
  </si>
  <si>
    <t xml:space="preserve">JAO GEM E                                       </t>
  </si>
  <si>
    <t>6431 MELISSA ST</t>
  </si>
  <si>
    <t>GEM E JAO</t>
  </si>
  <si>
    <t>TONI LN</t>
  </si>
  <si>
    <t>SAINT CLAIRSVI</t>
  </si>
  <si>
    <t xml:space="preserve">ZLOTNIK BRYAN E </t>
  </si>
  <si>
    <t>6433 MELISSA ST</t>
  </si>
  <si>
    <t xml:space="preserve">BANSAL AMAR D </t>
  </si>
  <si>
    <t>6453 MELISSA ST</t>
  </si>
  <si>
    <t>WILLIAM P DELANEY &amp; PAMELA A DELANEY REVOCAB</t>
  </si>
  <si>
    <t>6457 MELISSA ST</t>
  </si>
  <si>
    <t>WILLIAM P DELANEY &amp; P</t>
  </si>
  <si>
    <t>KHALOUF FRED K &amp; SUSAN P (W)</t>
  </si>
  <si>
    <t>6459 MELISSA ST</t>
  </si>
  <si>
    <t>KHALOUF FRED K &amp; SUSA</t>
  </si>
  <si>
    <t>RR FAMILY TRUST 1 ETAL</t>
  </si>
  <si>
    <t>174 REIZENSTEIN WAY</t>
  </si>
  <si>
    <t xml:space="preserve">KLEINMAN MARCUS                                 </t>
  </si>
  <si>
    <t>154 REIZENSTEIN WAY</t>
  </si>
  <si>
    <t xml:space="preserve">GHODADRA ANISH                                  </t>
  </si>
  <si>
    <t>128 REIZENSTEIN WAY</t>
  </si>
  <si>
    <t xml:space="preserve">BAEK ILJOO </t>
  </si>
  <si>
    <t>122 REIZENSTEIN WAY</t>
  </si>
  <si>
    <t>LIMA MICHAEL T &amp; SHANNON (W)</t>
  </si>
  <si>
    <t>114 REIZENSTEIN WAY</t>
  </si>
  <si>
    <t>ANTOL KENNETH J &amp; MARY C (W)</t>
  </si>
  <si>
    <t>6420 MELISSA ST</t>
  </si>
  <si>
    <t>ANTOL KENNETH J &amp; MAR</t>
  </si>
  <si>
    <t>MELISSA ST UNIT 201C</t>
  </si>
  <si>
    <t>RISPOLI DAMIAN M &amp; VICTORIA A (W)</t>
  </si>
  <si>
    <t>6406 MELISSA ST</t>
  </si>
  <si>
    <t>RISPOLI DAMIAN M &amp; VI</t>
  </si>
  <si>
    <t>JORDAN STEPHEN H &amp; SUSAN FOREMAN (W)</t>
  </si>
  <si>
    <t>6409 MELISSA ST</t>
  </si>
  <si>
    <t>WILSON PETER &amp; BEIBEI LI (W)</t>
  </si>
  <si>
    <t>6411 MELISSA ST</t>
  </si>
  <si>
    <t>SETCAVAGE STUART J &amp; ASHLEY (W)</t>
  </si>
  <si>
    <t>6430 DANIELLE ST</t>
  </si>
  <si>
    <t xml:space="preserve">COVIELLO LORENZO                                </t>
  </si>
  <si>
    <t>6434 DANIELLE ST</t>
  </si>
  <si>
    <t>GUSTAV R &amp; SUSAN S ELES ASSET PROTE</t>
  </si>
  <si>
    <t>701 IVY ST</t>
  </si>
  <si>
    <t>GUSTAV R &amp; SUSAN S EL</t>
  </si>
  <si>
    <t xml:space="preserve">LAKHAVANI SACHAL </t>
  </si>
  <si>
    <t>620 S NEGLEY AVE</t>
  </si>
  <si>
    <t xml:space="preserve">JAMORA MATHIAS                                  </t>
  </si>
  <si>
    <t>628 S NEGLEY AVE</t>
  </si>
  <si>
    <t>JAMORA MATHIAS</t>
  </si>
  <si>
    <t>S NEGLEY AVE</t>
  </si>
  <si>
    <t>ELLSWORTH LAND &amp; MINERALS LP</t>
  </si>
  <si>
    <t>632 S NEGLEY AVE</t>
  </si>
  <si>
    <t>ELLSWORTH LAND &amp; MINE</t>
  </si>
  <si>
    <t>PO BOX 73</t>
  </si>
  <si>
    <t>LEMONT FURNACE</t>
  </si>
  <si>
    <t>CIANFICHI PHILIP K &amp; LISA J (W)</t>
  </si>
  <si>
    <t>5709 ELMER ST UNIT 101</t>
  </si>
  <si>
    <t>PHILIP K &amp; LISA J CIA</t>
  </si>
  <si>
    <t>ALPINE RD</t>
  </si>
  <si>
    <t>PORTOLA VALLEY</t>
  </si>
  <si>
    <t xml:space="preserve">BISCHOF BRYAN E                                 </t>
  </si>
  <si>
    <t>631 S NEGLEY AVE</t>
  </si>
  <si>
    <t>KIND LENDING LLC</t>
  </si>
  <si>
    <t>HUTTON CENTRE DR STE 1000</t>
  </si>
  <si>
    <t>SATTERWHITE NANCY RAE  MOTEN</t>
  </si>
  <si>
    <t>612 SUMMERLEA ST</t>
  </si>
  <si>
    <t>SATTERWHITE NANCY RAE</t>
  </si>
  <si>
    <t>SUMMERLEA ST</t>
  </si>
  <si>
    <t xml:space="preserve">ZITELLI OLIVIA A </t>
  </si>
  <si>
    <t>726 SUMMERLEA ST</t>
  </si>
  <si>
    <t xml:space="preserve">RVD PROPERTIES LLC </t>
  </si>
  <si>
    <t>5740 ELMER ST</t>
  </si>
  <si>
    <t>JANCEY ST</t>
  </si>
  <si>
    <t xml:space="preserve">SCHILLER-RISCH MAX W                            </t>
  </si>
  <si>
    <t>644 MARYLAND AVE</t>
  </si>
  <si>
    <t>ATIANAND MANINJAY K &amp; SUPRIYA K (W)</t>
  </si>
  <si>
    <t>5805 ELWOOD ST</t>
  </si>
  <si>
    <t>LISA LISANTI LIVING TRUST ETAL</t>
  </si>
  <si>
    <t>701 MARYLAND AVE</t>
  </si>
  <si>
    <t>LISA LISANTI LIVING T</t>
  </si>
  <si>
    <t>MARYLAND AVE</t>
  </si>
  <si>
    <t>DAVIS R GRANDCHAMP &amp; JEFFREY T (H)</t>
  </si>
  <si>
    <t>5819 ELMER ST</t>
  </si>
  <si>
    <t>ELMER ST</t>
  </si>
  <si>
    <t xml:space="preserve">PANE PARTNERS LLC </t>
  </si>
  <si>
    <t>659 MARYLAND AVE</t>
  </si>
  <si>
    <t xml:space="preserve">JTG-PGH LLC </t>
  </si>
  <si>
    <t>655 MARYLAND AVE</t>
  </si>
  <si>
    <t>JTG-PGH LLC</t>
  </si>
  <si>
    <t xml:space="preserve">CORBETT JOHN </t>
  </si>
  <si>
    <t>5822 HOLDEN ST</t>
  </si>
  <si>
    <t>ALBANY RD</t>
  </si>
  <si>
    <t>NEPTUNE</t>
  </si>
  <si>
    <t>REID JENNIFER C &amp; MATTHEW E (W)</t>
  </si>
  <si>
    <t>5826 HOLDEN ST</t>
  </si>
  <si>
    <t>CALOYER MARK T &amp; MIRIAM F L (W)</t>
  </si>
  <si>
    <t>645 MARYLAND AVE</t>
  </si>
  <si>
    <t>MARKOVITZ DIANE &amp; CRAIG (H)</t>
  </si>
  <si>
    <t>702 COLLEGE ST</t>
  </si>
  <si>
    <t xml:space="preserve">FINKEL JONATHAN M                               </t>
  </si>
  <si>
    <t>5809 WALNUT ST</t>
  </si>
  <si>
    <t xml:space="preserve">CAPLAN ERIN ANNE </t>
  </si>
  <si>
    <t>400 S HIGHLAND AVE UNIT 9</t>
  </si>
  <si>
    <t>S HIGHLAND AVE UNIT 9</t>
  </si>
  <si>
    <t xml:space="preserve">ZELI RYAN A                                     </t>
  </si>
  <si>
    <t>400 S HIGHLAND AVE UNIT B1</t>
  </si>
  <si>
    <t xml:space="preserve">LAPIN JACOB E                                   </t>
  </si>
  <si>
    <t>5927 HOWE ST UNIT B1</t>
  </si>
  <si>
    <t>LAPIN JACOB E</t>
  </si>
  <si>
    <t>HOWE ST UNIT B1</t>
  </si>
  <si>
    <t xml:space="preserve">KERIOTIS JAMES F </t>
  </si>
  <si>
    <t>5931 HOWE ST</t>
  </si>
  <si>
    <t>RITCHIE ST</t>
  </si>
  <si>
    <t xml:space="preserve">5925 WALNUT LLC </t>
  </si>
  <si>
    <t>5925 WALNUT ST</t>
  </si>
  <si>
    <t>BENNINGTON WOODS DR</t>
  </si>
  <si>
    <t xml:space="preserve">LACIVITA MARYANN E                              </t>
  </si>
  <si>
    <t>384 S HIGHLAND AVE UNIT 2</t>
  </si>
  <si>
    <t>S HIGHLAND AVE UNIT #2</t>
  </si>
  <si>
    <t xml:space="preserve">BAKER PAULA JEAN </t>
  </si>
  <si>
    <t>372 S HIGHLAND AVE UNIT 107</t>
  </si>
  <si>
    <t>THORN ST</t>
  </si>
  <si>
    <t xml:space="preserve">SIMPSON SARA KEALLY </t>
  </si>
  <si>
    <t>5918 ELWOOD ST</t>
  </si>
  <si>
    <t>SIMPSON SARA KEALLY</t>
  </si>
  <si>
    <t>BUCKINGHAM RD</t>
  </si>
  <si>
    <t xml:space="preserve">OFT HELENA CLARA MARIA </t>
  </si>
  <si>
    <t>377 SPAHR ST</t>
  </si>
  <si>
    <t>OFT HELENA CLARA MARI</t>
  </si>
  <si>
    <t xml:space="preserve">HARTMAN KING FAMILY  TRUST                   </t>
  </si>
  <si>
    <t>374 LEHIGH AVE</t>
  </si>
  <si>
    <t xml:space="preserve">MR GABRIEL HARTMAN &amp; </t>
  </si>
  <si>
    <t xml:space="preserve">GLEASON WILLIAM F III                           </t>
  </si>
  <si>
    <t>418 EMERSON ST</t>
  </si>
  <si>
    <t xml:space="preserve">WECHSLER THOMAS &amp;                         </t>
  </si>
  <si>
    <t>428 STRATTON LN</t>
  </si>
  <si>
    <t>WECHSLER THOMAS &amp; JAC</t>
  </si>
  <si>
    <t>STRATTON LN</t>
  </si>
  <si>
    <t xml:space="preserve">WHOLEY MATTHEW J </t>
  </si>
  <si>
    <t>6014 HOWE ST</t>
  </si>
  <si>
    <t xml:space="preserve">LYDA JULIE A </t>
  </si>
  <si>
    <t>518 EMERSON ST</t>
  </si>
  <si>
    <t xml:space="preserve">HUNT JUSTIN </t>
  </si>
  <si>
    <t>6104 KENTUCKY AVE</t>
  </si>
  <si>
    <t>KENTUCKY AVE</t>
  </si>
  <si>
    <t xml:space="preserve">DELGOFFE GREG M                                 </t>
  </si>
  <si>
    <t>465 EMERSON ST</t>
  </si>
  <si>
    <t>CONLEY KAREN D &amp; SEAN (H)</t>
  </si>
  <si>
    <t>6205 HOWE ST</t>
  </si>
  <si>
    <t>FARRELL KARSTEN P &amp; KAITLIN E (W)</t>
  </si>
  <si>
    <t>6330 HOWE ST</t>
  </si>
  <si>
    <t>FARRELL KARSTEN P &amp; K</t>
  </si>
  <si>
    <t>EWING FRANK &amp; SHANNON (W)</t>
  </si>
  <si>
    <t>525 SHADY AVE</t>
  </si>
  <si>
    <t>EWING FRANK &amp; SHANNON</t>
  </si>
  <si>
    <t>PANAHANDEH ELLEN  REVOCABLE TRUST OF</t>
  </si>
  <si>
    <t>605 SHADY AVE UNIT 5B</t>
  </si>
  <si>
    <t>CLEARVUE RD</t>
  </si>
  <si>
    <t xml:space="preserve">BECK ALEXANDRA                                  </t>
  </si>
  <si>
    <t>325 HAILMAN ST</t>
  </si>
  <si>
    <t>HAILMAN ST</t>
  </si>
  <si>
    <t>KELLY JOHN MICHAEL &amp; ANN MARIE (W)</t>
  </si>
  <si>
    <t>340 DENNISTON ST</t>
  </si>
  <si>
    <t xml:space="preserve">CHARLSON JOEL M                                 </t>
  </si>
  <si>
    <t>420 DENNISTON ST</t>
  </si>
  <si>
    <t>CALDWELL D BLAIR JR &amp; PATRICIA W (W)</t>
  </si>
  <si>
    <t>407 DENNISTON ST</t>
  </si>
  <si>
    <t>CHARLES J GREVE &amp; CO</t>
  </si>
  <si>
    <t xml:space="preserve">SEGALL ARIE </t>
  </si>
  <si>
    <t>401 DENNISTON ST</t>
  </si>
  <si>
    <t xml:space="preserve">MUGLER ANDREW JACOB                             </t>
  </si>
  <si>
    <t>6416 HOWE ST</t>
  </si>
  <si>
    <t>GALLI ROBERT D &amp; SHIRLEY GALLI</t>
  </si>
  <si>
    <t>6418 HOWE ST</t>
  </si>
  <si>
    <t>ROBERT GALLI</t>
  </si>
  <si>
    <t>RICHMOND CIR</t>
  </si>
  <si>
    <t xml:space="preserve">UNGERMAN MARK ALEXANDER  &amp;                       </t>
  </si>
  <si>
    <t>433 DENNISTON ST</t>
  </si>
  <si>
    <t>THE HUNTINGTON NATION</t>
  </si>
  <si>
    <t>PO BOX 182661</t>
  </si>
  <si>
    <t xml:space="preserve">MORROW RALPH </t>
  </si>
  <si>
    <t>5532 HOWE ST</t>
  </si>
  <si>
    <t>MORROW RALPH</t>
  </si>
  <si>
    <t xml:space="preserve">WANG KEVIN                                      </t>
  </si>
  <si>
    <t>5528 HOWE ST</t>
  </si>
  <si>
    <t>PEMBROKE PL</t>
  </si>
  <si>
    <t>5531 HOWE ST</t>
  </si>
  <si>
    <t xml:space="preserve">VINWOOD DEVELOPMENT LLC </t>
  </si>
  <si>
    <t>5531 WALNUT ST</t>
  </si>
  <si>
    <t xml:space="preserve">FRIEDMAN MAX                                    </t>
  </si>
  <si>
    <t>718 IVY ST</t>
  </si>
  <si>
    <t xml:space="preserve">IRVINE JAMES JR                                 </t>
  </si>
  <si>
    <t>711 IVY ST</t>
  </si>
  <si>
    <t>FULTON BANK N A</t>
  </si>
  <si>
    <t xml:space="preserve">MODESITT DYLAN C </t>
  </si>
  <si>
    <t>727 IVY ST</t>
  </si>
  <si>
    <t xml:space="preserve">BROADHURST MARK </t>
  </si>
  <si>
    <t>5614 HOWE ST</t>
  </si>
  <si>
    <t xml:space="preserve">KROMAN ERIC                                     </t>
  </si>
  <si>
    <t>5619 KENTUCKY AVE UNIT 102</t>
  </si>
  <si>
    <t>KENTUKY AVE STE 102</t>
  </si>
  <si>
    <t xml:space="preserve">WEITZ CATHY </t>
  </si>
  <si>
    <t>735 S NEGLEY AVE</t>
  </si>
  <si>
    <t>BENNINGTON AVE</t>
  </si>
  <si>
    <t xml:space="preserve">5707 WALNUT LLC </t>
  </si>
  <si>
    <t>5705 WALNUT ST</t>
  </si>
  <si>
    <t>FORBES AVE STE 208</t>
  </si>
  <si>
    <t xml:space="preserve">KOENIG FELIX N                                  </t>
  </si>
  <si>
    <t>820 MARYLAND AVE</t>
  </si>
  <si>
    <t xml:space="preserve">MASH PETER ANDREW </t>
  </si>
  <si>
    <t>5708 WALNUT ST APT G2</t>
  </si>
  <si>
    <t>MASH PETER ANDREW</t>
  </si>
  <si>
    <t>WALNUT ST UNIT G2</t>
  </si>
  <si>
    <t xml:space="preserve">MOLINARO MILES </t>
  </si>
  <si>
    <t>5708 WALNUT ST APT G1</t>
  </si>
  <si>
    <t xml:space="preserve">JONES DEBORAH A </t>
  </si>
  <si>
    <t>5708 WALNUT ST APT H2</t>
  </si>
  <si>
    <t>WALNUT ST APT H2</t>
  </si>
  <si>
    <t xml:space="preserve">HUA WIN REALTY LLC </t>
  </si>
  <si>
    <t>5743 HOWE ST</t>
  </si>
  <si>
    <t>N NEVILLE ST APT 52</t>
  </si>
  <si>
    <t>MAOLA MADELYN  &amp; CONSTANTINO (H)</t>
  </si>
  <si>
    <t>5732 KENTUCKY AVE</t>
  </si>
  <si>
    <t>BRYANT CT</t>
  </si>
  <si>
    <t xml:space="preserve">ZHANG QIAN                                      </t>
  </si>
  <si>
    <t>5825 5TH AVE UNIT 109</t>
  </si>
  <si>
    <t>QIAN ZHANG YANG YANG</t>
  </si>
  <si>
    <t>5TH AVE UNIT 109</t>
  </si>
  <si>
    <t xml:space="preserve">KUKLA KATHRYN A </t>
  </si>
  <si>
    <t>5747 5TH AVE</t>
  </si>
  <si>
    <t xml:space="preserve">LI DAVID                                        </t>
  </si>
  <si>
    <t>5926 KENTUCKY AVE</t>
  </si>
  <si>
    <t xml:space="preserve">ACHESON AMY </t>
  </si>
  <si>
    <t>5921 KENTUCKY AVE</t>
  </si>
  <si>
    <t>BAC TAX SERVICES CORP</t>
  </si>
  <si>
    <t xml:space="preserve">WASH THOMAS </t>
  </si>
  <si>
    <t>5922 HOWE ST UNIT 102</t>
  </si>
  <si>
    <t>BB&amp;T MORTGAGE</t>
  </si>
  <si>
    <t>S STRATFORD RD STE 400</t>
  </si>
  <si>
    <t>WINSTON SALEM</t>
  </si>
  <si>
    <t xml:space="preserve">YANG KAI                                        </t>
  </si>
  <si>
    <t>5930 HOWE ST UNIT 203</t>
  </si>
  <si>
    <t>HOWE ST UNIT 203</t>
  </si>
  <si>
    <t>HURKMANS THOMAS &amp; DIANE (W)</t>
  </si>
  <si>
    <t>5906 HOWE ST</t>
  </si>
  <si>
    <t>DEAKTOR SCOTT I &amp; MARSHA A (W)</t>
  </si>
  <si>
    <t>920 COLLEGE ST</t>
  </si>
  <si>
    <t>DEAKTOR SCOTT I &amp; MAR</t>
  </si>
  <si>
    <t>PO BOX 90160</t>
  </si>
  <si>
    <t xml:space="preserve">CHONG HEY J                                     </t>
  </si>
  <si>
    <t>5819 KENTUCKY AVE</t>
  </si>
  <si>
    <t>HACKBERRY</t>
  </si>
  <si>
    <t xml:space="preserve">SCHIENEMAN OLGA </t>
  </si>
  <si>
    <t>5817 KENTUCKY AVE</t>
  </si>
  <si>
    <t>SCHIENEMAN OLGA</t>
  </si>
  <si>
    <t xml:space="preserve">BUCHANAN STEPHANIE                              </t>
  </si>
  <si>
    <t>5820 HOWE ST</t>
  </si>
  <si>
    <t>BUCHANAN STEPHANIE</t>
  </si>
  <si>
    <t>WIGHTMAN ST</t>
  </si>
  <si>
    <t xml:space="preserve">IANNONE MICHAEL A </t>
  </si>
  <si>
    <t>920 MARYLAND AVE</t>
  </si>
  <si>
    <t xml:space="preserve">HEALEY MARTIN J </t>
  </si>
  <si>
    <t>5814 WALNUT ST</t>
  </si>
  <si>
    <t xml:space="preserve">DOLAN MICHAEL A II </t>
  </si>
  <si>
    <t>5804 WALNUT ST</t>
  </si>
  <si>
    <t>QUAIL RUN RD</t>
  </si>
  <si>
    <t>BOZEMAN</t>
  </si>
  <si>
    <t>MT</t>
  </si>
  <si>
    <t xml:space="preserve">REA BRYAN A                                     </t>
  </si>
  <si>
    <t>819 MARYLAND AVE</t>
  </si>
  <si>
    <t xml:space="preserve">ROSENFELD TODD S </t>
  </si>
  <si>
    <t>0 HOWE ST</t>
  </si>
  <si>
    <t xml:space="preserve">MAGUIRE BENJAMIN R                              </t>
  </si>
  <si>
    <t>852 COLLEGE ST</t>
  </si>
  <si>
    <t>ROMERO PROPERTIES ONE  LLC</t>
  </si>
  <si>
    <t>6109 5TH AVE UNIT 3</t>
  </si>
  <si>
    <t>ROMERO PROPERTIES ONE</t>
  </si>
  <si>
    <t>N NEGLEY AVE</t>
  </si>
  <si>
    <t xml:space="preserve">MONTJOY DOUGLAS G                               </t>
  </si>
  <si>
    <t>5518 KENTUCKY AVE</t>
  </si>
  <si>
    <t>WEICHERT FINANCIAL SE</t>
  </si>
  <si>
    <t>LITTLETON RD</t>
  </si>
  <si>
    <t>MORRIS PLAINS</t>
  </si>
  <si>
    <t xml:space="preserve">GALLI ROBERT D &amp; SHIRLEY GALLI REVOCABLE </t>
  </si>
  <si>
    <t>5534 KENTUCKY AVE</t>
  </si>
  <si>
    <t>GALLI ROBERT D &amp; SHIR</t>
  </si>
  <si>
    <t>RED ROSE INTERCULTURAL &amp; EDUCATIONAL FOUNDATION</t>
  </si>
  <si>
    <t>5618 KENTUCKY AVE</t>
  </si>
  <si>
    <t>RED ROSE INTERCULTURA</t>
  </si>
  <si>
    <t>PO BOX 7341</t>
  </si>
  <si>
    <t>LANCASTER</t>
  </si>
  <si>
    <t xml:space="preserve">DALEY DESMOND MILES                             </t>
  </si>
  <si>
    <t>5639 5TH AVE</t>
  </si>
  <si>
    <t xml:space="preserve">KRAUSMERE GEORGE </t>
  </si>
  <si>
    <t>0 LORIGAN ST</t>
  </si>
  <si>
    <t>NEVILLE RD</t>
  </si>
  <si>
    <t xml:space="preserve">PORRO KATHLEEN                                  </t>
  </si>
  <si>
    <t>438 ELLA ST</t>
  </si>
  <si>
    <t>VILLAGE GREEN BLVD E</t>
  </si>
  <si>
    <t xml:space="preserve">SWEENEY DANIEL R </t>
  </si>
  <si>
    <t>420 ELLA ST</t>
  </si>
  <si>
    <t>ELLA ST</t>
  </si>
  <si>
    <t xml:space="preserve">TIERNO FRANK J </t>
  </si>
  <si>
    <t>418 ELLA ST</t>
  </si>
  <si>
    <t>TIERNO FRANK J</t>
  </si>
  <si>
    <t xml:space="preserve">TIERNO GEORGEANN </t>
  </si>
  <si>
    <t>416 ELLA ST</t>
  </si>
  <si>
    <t xml:space="preserve">TIERNO FRANK </t>
  </si>
  <si>
    <t>HARDT RD</t>
  </si>
  <si>
    <t xml:space="preserve">WEINBERGER JONATHAN </t>
  </si>
  <si>
    <t>334 ELLA ST</t>
  </si>
  <si>
    <t>BAUER SFR LLC            ETAL</t>
  </si>
  <si>
    <t>410 ORWELL WAY</t>
  </si>
  <si>
    <t>RIVA RIDGE REAL ESTAT</t>
  </si>
  <si>
    <t>BINGHAM ST</t>
  </si>
  <si>
    <t>PANTHER PROPERTIES PA L  L C</t>
  </si>
  <si>
    <t>4524 MINERVA ST</t>
  </si>
  <si>
    <t>THORNTON THOMAS  &amp; TAMMY COLICCHIO</t>
  </si>
  <si>
    <t>452 TAYLOR ST</t>
  </si>
  <si>
    <t>PEARL ST</t>
  </si>
  <si>
    <t xml:space="preserve">SILLA ELIZABETH                                 </t>
  </si>
  <si>
    <t>430 TAYLOR ST</t>
  </si>
  <si>
    <t>TAYLOR ST</t>
  </si>
  <si>
    <t xml:space="preserve">DIULUS DOROTHY </t>
  </si>
  <si>
    <t>326 TAYLOR ST</t>
  </si>
  <si>
    <t>TAYLOR 309 LLC           ETAL</t>
  </si>
  <si>
    <t>309 TAYLOR ST</t>
  </si>
  <si>
    <t>TAYLOR 309 LLC C/O RI</t>
  </si>
  <si>
    <t xml:space="preserve">CHILDERS SANDRA </t>
  </si>
  <si>
    <t>309 SAPPHIRE WAY</t>
  </si>
  <si>
    <t>SAPPHIRE WAY</t>
  </si>
  <si>
    <t>TAYOR 317 LLC            ETAL</t>
  </si>
  <si>
    <t>317 TAYLOR ST</t>
  </si>
  <si>
    <t>TAYOR 317 LLC C/O RIV</t>
  </si>
  <si>
    <t xml:space="preserve">POSTERARO JOSEPH </t>
  </si>
  <si>
    <t>423 TAYLOR ST</t>
  </si>
  <si>
    <t>ROSANNA DR</t>
  </si>
  <si>
    <t xml:space="preserve">MARIANI CHRISTINA </t>
  </si>
  <si>
    <t>430 SAPPHIRE WAY</t>
  </si>
  <si>
    <t>MARIANI CHRISTINA</t>
  </si>
  <si>
    <t xml:space="preserve">PALANZOS RE LLC </t>
  </si>
  <si>
    <t>4614 LIBERTY AVE</t>
  </si>
  <si>
    <t>PALANZOS RE LLC</t>
  </si>
  <si>
    <t xml:space="preserve">HERMANOWSKI ALEITA L </t>
  </si>
  <si>
    <t>4622 LIBERTY AVE</t>
  </si>
  <si>
    <t xml:space="preserve">MCGUIRK BRIANNE </t>
  </si>
  <si>
    <t>405 PEARL ST</t>
  </si>
  <si>
    <t>AIRPORT RDG</t>
  </si>
  <si>
    <t>BELLE VERNON</t>
  </si>
  <si>
    <t xml:space="preserve">PALMIERE FRANK A JR </t>
  </si>
  <si>
    <t>423 GARNET WAY</t>
  </si>
  <si>
    <t xml:space="preserve">SANGLI SWATHI </t>
  </si>
  <si>
    <t>423 PEARL ST</t>
  </si>
  <si>
    <t xml:space="preserve">WELCOME HOME FINANCE </t>
  </si>
  <si>
    <t>ROWAN RD STE 503</t>
  </si>
  <si>
    <t xml:space="preserve">MR CEDARVILLE LLC </t>
  </si>
  <si>
    <t>346 CEDARVILLE ST</t>
  </si>
  <si>
    <t xml:space="preserve">BRENNAN CAPITAL LLC </t>
  </si>
  <si>
    <t>326 CEDARVILLE ST</t>
  </si>
  <si>
    <t>LORIGAN ST</t>
  </si>
  <si>
    <t xml:space="preserve">KNAPP MOLLY E </t>
  </si>
  <si>
    <t>320 CEDARVILLE ST</t>
  </si>
  <si>
    <t>KNAPP AMY</t>
  </si>
  <si>
    <t>345 CEDARVILLE ST</t>
  </si>
  <si>
    <t>LE INVESTMENTS LLC</t>
  </si>
  <si>
    <t xml:space="preserve">GUO KAI </t>
  </si>
  <si>
    <t>4736 JUNIPER ST</t>
  </si>
  <si>
    <t>GUO KAI</t>
  </si>
  <si>
    <t>JUNIPER ST</t>
  </si>
  <si>
    <t xml:space="preserve">FRITZ THADDEUS </t>
  </si>
  <si>
    <t>4732 JUNIPER ST</t>
  </si>
  <si>
    <t>BROUGHTON RD</t>
  </si>
  <si>
    <t xml:space="preserve">COLICCHIO TAMMY </t>
  </si>
  <si>
    <t>4728 JUNIPER ST</t>
  </si>
  <si>
    <t xml:space="preserve">PICKUR ANNA MARIE </t>
  </si>
  <si>
    <t>4726 JUNIPER ST</t>
  </si>
  <si>
    <t>0 JUNIPER ST</t>
  </si>
  <si>
    <t xml:space="preserve">MACK CLAUDIA                                    </t>
  </si>
  <si>
    <t xml:space="preserve">PEGNATO ISABEL </t>
  </si>
  <si>
    <t>4716 LORIGAN ST</t>
  </si>
  <si>
    <t>MARZE CARMEN D &amp; DEBORAH C (W)</t>
  </si>
  <si>
    <t>4722 LORIGAN ST</t>
  </si>
  <si>
    <t xml:space="preserve">614 EDMOND STREET LLC </t>
  </si>
  <si>
    <t>614 EDMOND ST</t>
  </si>
  <si>
    <t>N 28TH ST UNIT A</t>
  </si>
  <si>
    <t>630 EDMOND ST</t>
  </si>
  <si>
    <t>BAUM DR</t>
  </si>
  <si>
    <t>DONATELLI RICHARD J &amp; VIRGINIA L (W)</t>
  </si>
  <si>
    <t>706 EDMOND ST</t>
  </si>
  <si>
    <t>EDMOND ST</t>
  </si>
  <si>
    <t xml:space="preserve">NICKEL RACHEL R </t>
  </si>
  <si>
    <t>720 EDMOND ST</t>
  </si>
  <si>
    <t xml:space="preserve">GIANCOLA ANTHONY J </t>
  </si>
  <si>
    <t>4739 LORIGAN ST</t>
  </si>
  <si>
    <t>GIANCOLA ANTHONY J</t>
  </si>
  <si>
    <t xml:space="preserve">DEFELICE MAURO </t>
  </si>
  <si>
    <t>439 CEDARVILLE ST</t>
  </si>
  <si>
    <t>DUCHAK RYAN P &amp; ELIZABETH S (W)</t>
  </si>
  <si>
    <t>431 CEDARVILLE ST</t>
  </si>
  <si>
    <t>DUCHAK RYAN P &amp; ELIZA</t>
  </si>
  <si>
    <t>SHELDON RD</t>
  </si>
  <si>
    <t>VALENCIA</t>
  </si>
  <si>
    <t xml:space="preserve">MARIANI JEAN                                    </t>
  </si>
  <si>
    <t>417 STATE WAY</t>
  </si>
  <si>
    <t>STATE WAY</t>
  </si>
  <si>
    <t>GELLER NATHAN W &amp; CHRISTINE M (W)</t>
  </si>
  <si>
    <t>440 CEDARVILLE ST</t>
  </si>
  <si>
    <t xml:space="preserve">ROSENBLOOM JOSEPH </t>
  </si>
  <si>
    <t>444 CEDARVILLE ST</t>
  </si>
  <si>
    <t>S MURTLAND ST</t>
  </si>
  <si>
    <t>SINICKI MATTHEW POELCHER COURTNEY</t>
  </si>
  <si>
    <t>0 CEDARVILLE ST</t>
  </si>
  <si>
    <t>DEPROSPO JOSEPH  &amp; GERALDINE (W)</t>
  </si>
  <si>
    <t>4723 LORIGAN ST</t>
  </si>
  <si>
    <t>DEPROSPO JOSEPH A &amp; GERALDINE</t>
  </si>
  <si>
    <t>4717 LORIGAN ST</t>
  </si>
  <si>
    <t xml:space="preserve">LIPPELLO JOHN S                                 </t>
  </si>
  <si>
    <t>4715 LORIGAN ST</t>
  </si>
  <si>
    <t>LIPPELLO JENNIFER N</t>
  </si>
  <si>
    <t xml:space="preserve">RICHTER SAMETTA </t>
  </si>
  <si>
    <t>0 PEARL ST</t>
  </si>
  <si>
    <t>BAKER HERBERT C &amp; ADELAIDE C</t>
  </si>
  <si>
    <t>4701 LORIGAN ST</t>
  </si>
  <si>
    <t xml:space="preserve">GRESH RENEE S </t>
  </si>
  <si>
    <t>458 PEARL ST</t>
  </si>
  <si>
    <t xml:space="preserve">PICCOLA PHYLLIS </t>
  </si>
  <si>
    <t>452 SAPPHIRE WAY</t>
  </si>
  <si>
    <t>457 SAPPHIRE WAY</t>
  </si>
  <si>
    <t>465 TAYLOR ST</t>
  </si>
  <si>
    <t>JOSEPH ROSENBLOOM</t>
  </si>
  <si>
    <t xml:space="preserve">MADDEN VIOLA MOSCO </t>
  </si>
  <si>
    <t>435 CEDARVILLE ST</t>
  </si>
  <si>
    <t xml:space="preserve">KHALIL JOHN </t>
  </si>
  <si>
    <t>107 MOREWOOD AVE</t>
  </si>
  <si>
    <t>JUNE DR</t>
  </si>
  <si>
    <t xml:space="preserve">HAO SUISUI </t>
  </si>
  <si>
    <t>16 HEMINGWAY ST</t>
  </si>
  <si>
    <t>RARAAS PROPERTIES LLC  NEW YORK LIMITED LIABILI</t>
  </si>
  <si>
    <t>5 HEMINGWAY ST</t>
  </si>
  <si>
    <t>BROMSGROVE HL</t>
  </si>
  <si>
    <t>PITTSFORD</t>
  </si>
  <si>
    <t>4520 LIBERTY AVE</t>
  </si>
  <si>
    <t>4522 LIBERTY AVE</t>
  </si>
  <si>
    <t xml:space="preserve">LEDONNE JOSEPH A </t>
  </si>
  <si>
    <t>331 DARSIE ST</t>
  </si>
  <si>
    <t>LEDONNE JOSEPH A</t>
  </si>
  <si>
    <t>S MILLVALE AVE</t>
  </si>
  <si>
    <t>4850 PENN AVE</t>
  </si>
  <si>
    <t>MARIANI ORESTE P JR    MARIAN&amp; ASSOCIATES</t>
  </si>
  <si>
    <t>4704 PENN AVE</t>
  </si>
  <si>
    <t xml:space="preserve">BLAIR R MICHELE                                 </t>
  </si>
  <si>
    <t>4707 CARROLL ST</t>
  </si>
  <si>
    <t>BLAIR JUSTIN</t>
  </si>
  <si>
    <t>CARROLL ST</t>
  </si>
  <si>
    <t xml:space="preserve">NGUYEN KEVIN TU </t>
  </si>
  <si>
    <t>201 EDMOND ST REAR</t>
  </si>
  <si>
    <t>NGUYEN KEVIN TU</t>
  </si>
  <si>
    <t>JOSEPHINE ST</t>
  </si>
  <si>
    <t xml:space="preserve">LEDONNE KEITH E </t>
  </si>
  <si>
    <t>215 PEARL ST</t>
  </si>
  <si>
    <t xml:space="preserve">830 HARBOR DRIVE LLC </t>
  </si>
  <si>
    <t>205 PEARL ST</t>
  </si>
  <si>
    <t>GOLFVIEW DR</t>
  </si>
  <si>
    <t>CHERICO NICHOLAS  &amp; DIANA</t>
  </si>
  <si>
    <t>161 PEARL ST</t>
  </si>
  <si>
    <t xml:space="preserve">SCALISE MICHAEL                                 </t>
  </si>
  <si>
    <t>127 PEARL ST</t>
  </si>
  <si>
    <t>MILLER LAWRENCE D  GUTMANN FAMILY REVOCABLE</t>
  </si>
  <si>
    <t>4710 CARROLL ST</t>
  </si>
  <si>
    <t>MILLER LAWRENCE D GUT</t>
  </si>
  <si>
    <t xml:space="preserve">GONZALES MAX E </t>
  </si>
  <si>
    <t>212 EDMOND ST</t>
  </si>
  <si>
    <t>FIRST AMERICAN BANK</t>
  </si>
  <si>
    <t>PO BOX 7983</t>
  </si>
  <si>
    <t>ELK GROVE VILL</t>
  </si>
  <si>
    <t>ALBERT BRIAN M &amp; DONNA G (W)</t>
  </si>
  <si>
    <t>240 EDMOND ST</t>
  </si>
  <si>
    <t>ALBERT BRIAN M &amp; DONN</t>
  </si>
  <si>
    <t>E SMITHFIELD ST</t>
  </si>
  <si>
    <t xml:space="preserve">CHERICO FRANK </t>
  </si>
  <si>
    <t>252 EDMOND ST</t>
  </si>
  <si>
    <t>WOLFF ALBERT J JR &amp; IMELDA E</t>
  </si>
  <si>
    <t>220 S MATHILDA ST</t>
  </si>
  <si>
    <t>S MATHILDA ST</t>
  </si>
  <si>
    <t>MALONE JAMES MATTHEW &amp; ELIZABETH BLEIL (W)</t>
  </si>
  <si>
    <t>224 S MATHILDA ST</t>
  </si>
  <si>
    <t>CITIZENS PLZ</t>
  </si>
  <si>
    <t xml:space="preserve">LOELL KEITH &amp; JANISE (W) </t>
  </si>
  <si>
    <t>232 S MATHILDA ST</t>
  </si>
  <si>
    <t xml:space="preserve">LIU FENGXIAN </t>
  </si>
  <si>
    <t>240 S MATHILDA ST</t>
  </si>
  <si>
    <t xml:space="preserve">HAUFLER ERIC W </t>
  </si>
  <si>
    <t>248 S MATHILDA ST</t>
  </si>
  <si>
    <t xml:space="preserve">COSENZA PROPERTIES L L C </t>
  </si>
  <si>
    <t>254 S MATHILDA ST</t>
  </si>
  <si>
    <t xml:space="preserve">COSENZA PROPERTIES L </t>
  </si>
  <si>
    <t>LYNCH SEAN &amp; ELIZABETTA (W)</t>
  </si>
  <si>
    <t>245 S MATHILDA ST</t>
  </si>
  <si>
    <t>LYNCH SEAN &amp; ELIZABET</t>
  </si>
  <si>
    <t>VERRET DAVID A &amp; ABIGAIL R G (W)</t>
  </si>
  <si>
    <t>224 S MILLVALE AVE</t>
  </si>
  <si>
    <t>RITSCH COLTER C &amp; NICOLA J (W)</t>
  </si>
  <si>
    <t>222 S MILLVALE AVE</t>
  </si>
  <si>
    <t xml:space="preserve">COUTANCHE MARC NIGEL </t>
  </si>
  <si>
    <t>220 S MILLVALE AVE</t>
  </si>
  <si>
    <t xml:space="preserve">TEMPLER SUZANNE </t>
  </si>
  <si>
    <t>212 S MILLVALE AVE</t>
  </si>
  <si>
    <t xml:space="preserve">PAXTON CHRISTOPHER J                            </t>
  </si>
  <si>
    <t>208 S MILLVALE AVE</t>
  </si>
  <si>
    <t>HUDSON MERRIL H MIHALCIN DARLA L</t>
  </si>
  <si>
    <t>200 S MILLVALE AVE UNIT 301</t>
  </si>
  <si>
    <t>S MILLVALE AVE APT 301</t>
  </si>
  <si>
    <t>4901 FRIENDSHIP AVE</t>
  </si>
  <si>
    <t>MALONEY JAMES F &amp; CHRISTOPHER YAU CHOY Y O</t>
  </si>
  <si>
    <t>233 S MILLVALE AVE</t>
  </si>
  <si>
    <t xml:space="preserve">ROSATO MICHAEL                                  </t>
  </si>
  <si>
    <t>4907 FRIENDSHIP AVE</t>
  </si>
  <si>
    <t>ROSATO MICHAEL</t>
  </si>
  <si>
    <t>PO BOX 90227</t>
  </si>
  <si>
    <t xml:space="preserve">4917 FRIENDSHIP LLC </t>
  </si>
  <si>
    <t>4917 FRIENDSHIP AVE</t>
  </si>
  <si>
    <t xml:space="preserve">WICKHAM RAMON </t>
  </si>
  <si>
    <t>261 GROSS ST</t>
  </si>
  <si>
    <t xml:space="preserve">ELG (ELIZABETH L  GREENOUGH) TRUST        </t>
  </si>
  <si>
    <t>5020 PENN AVE</t>
  </si>
  <si>
    <t>ELG (ELIZABETH L GREE</t>
  </si>
  <si>
    <t>WILMAR DR</t>
  </si>
  <si>
    <t xml:space="preserve">WINEBIDDLE HOLDINGS LP </t>
  </si>
  <si>
    <t>210 S WINEBIDDLE ST</t>
  </si>
  <si>
    <t>WINEBIDDLE HOLDINGS L</t>
  </si>
  <si>
    <t>FULTON ST</t>
  </si>
  <si>
    <t>HOFFSTETTER CHAD A &amp; MICHELLE (W)</t>
  </si>
  <si>
    <t>248 S WINEBIDDLE ST</t>
  </si>
  <si>
    <t>HOLLAND MORTGAGE ADVI</t>
  </si>
  <si>
    <t xml:space="preserve">PGH2 REALTY LLC </t>
  </si>
  <si>
    <t>256 S EVALINE ST</t>
  </si>
  <si>
    <t>PGH2 REALTY LLC</t>
  </si>
  <si>
    <t>HIGH OAKS CT</t>
  </si>
  <si>
    <t xml:space="preserve">DUNAMIS VALUE FUND LLC </t>
  </si>
  <si>
    <t>215 S AIKEN AVE</t>
  </si>
  <si>
    <t>DUNAMIS VALUE FUND LL</t>
  </si>
  <si>
    <t>ROYAL SAINT GEORGE DR</t>
  </si>
  <si>
    <t>NAPERVILLE</t>
  </si>
  <si>
    <t>KENNEY CECIL G &amp; LOUISE (W)</t>
  </si>
  <si>
    <t>217 S AIKEN AVE</t>
  </si>
  <si>
    <t>KENNEY CECIL G &amp; LOUI</t>
  </si>
  <si>
    <t xml:space="preserve">PLUMB JENNIFER M </t>
  </si>
  <si>
    <t>219 S AIKEN AVE</t>
  </si>
  <si>
    <t xml:space="preserve">BUTT ABID &amp; JANE (W) </t>
  </si>
  <si>
    <t>230 S ATLANTIC AVE</t>
  </si>
  <si>
    <t>MCCROSSIN LN</t>
  </si>
  <si>
    <t xml:space="preserve">WEBER MICHAEL S                                 </t>
  </si>
  <si>
    <t>220 S ATLANTIC AVE</t>
  </si>
  <si>
    <t xml:space="preserve">MASTRANGELO DILLA R </t>
  </si>
  <si>
    <t>204 S ATLANTIC AVE</t>
  </si>
  <si>
    <t>MASTRANGELO DILLA R</t>
  </si>
  <si>
    <t>S ATLANTIC AVE</t>
  </si>
  <si>
    <t xml:space="preserve">STUCKEY BROTHERS LLC </t>
  </si>
  <si>
    <t>200 S ATLANTIC AVE</t>
  </si>
  <si>
    <t>COHEN RICHARD &amp; NANCY (W)</t>
  </si>
  <si>
    <t>211 S PACIFIC AVE</t>
  </si>
  <si>
    <t>MORGAN STANLEY PRIVAT</t>
  </si>
  <si>
    <t xml:space="preserve">PALOMO FELIPE                                   </t>
  </si>
  <si>
    <t>235 S PACIFIC AVE</t>
  </si>
  <si>
    <t>HERCHUCK DOUGLAS G &amp; DIANA MACQUARRIE (W )</t>
  </si>
  <si>
    <t>232 S PACIFIC AVE</t>
  </si>
  <si>
    <t>S PACIFIC AVE</t>
  </si>
  <si>
    <t xml:space="preserve">CIRO 1975 LLC </t>
  </si>
  <si>
    <t>224 S PACIFIC AVE</t>
  </si>
  <si>
    <t>CIRO 1975 LLC</t>
  </si>
  <si>
    <t>E ELFINWILD RD</t>
  </si>
  <si>
    <t xml:space="preserve">GARCIA MICHAEL R                                </t>
  </si>
  <si>
    <t>213 S EVALINE ST</t>
  </si>
  <si>
    <t xml:space="preserve">REIMMER LUDWIG QUINCY </t>
  </si>
  <si>
    <t>113 S EVALINE ST</t>
  </si>
  <si>
    <t xml:space="preserve">PEDANTIC LLC </t>
  </si>
  <si>
    <t>5228 PENN AVE</t>
  </si>
  <si>
    <t>GRANT ST STE 1900</t>
  </si>
  <si>
    <t xml:space="preserve">PATTYCAKES LLC </t>
  </si>
  <si>
    <t>5150 PENN AVE</t>
  </si>
  <si>
    <t>N NEGLEY AVE UNIT 901</t>
  </si>
  <si>
    <t>COTTINGTON MORGAN &amp; KEVIN (H)</t>
  </si>
  <si>
    <t>108 S FAIRMOUNT ST</t>
  </si>
  <si>
    <t xml:space="preserve">ALBRIGHT JULIE E </t>
  </si>
  <si>
    <t>153 S FAIRMOUNT ST</t>
  </si>
  <si>
    <t>S FAIRMOUNT ST</t>
  </si>
  <si>
    <t>140 S FAIRMOUNT ST</t>
  </si>
  <si>
    <t xml:space="preserve">STEIN EVAN H                                    </t>
  </si>
  <si>
    <t>5465 UPSAL PL</t>
  </si>
  <si>
    <t>PHILADELPHIA ST</t>
  </si>
  <si>
    <t>ROBINSON JAMES  &amp; WILLIE P (W)</t>
  </si>
  <si>
    <t>5460 CLARENDON PL</t>
  </si>
  <si>
    <t>CLARENDON PL</t>
  </si>
  <si>
    <t>WATERS JUSTIN J &amp; PRAISE D (W)</t>
  </si>
  <si>
    <t>5432 PENN AVE</t>
  </si>
  <si>
    <t>EMM LOANS</t>
  </si>
  <si>
    <t>PO BOX 3033</t>
  </si>
  <si>
    <t>CLEMM DARNELL &amp; JULIA (W)</t>
  </si>
  <si>
    <t>CLEMM DARNELL L &amp; JULIA V (W)</t>
  </si>
  <si>
    <t>125 LATHAM ST</t>
  </si>
  <si>
    <t>117 LATHAM ST</t>
  </si>
  <si>
    <t xml:space="preserve">NEGLEY HOLDINGS LLC </t>
  </si>
  <si>
    <t>5405 CORAL ST</t>
  </si>
  <si>
    <t>NEGLEY HOLDINGS LLC</t>
  </si>
  <si>
    <t xml:space="preserve">BLOOMFIELD HEIGHTS LLC </t>
  </si>
  <si>
    <t>214 S GRAHAM ST</t>
  </si>
  <si>
    <t>PO BOX 40336</t>
  </si>
  <si>
    <t>PALMIERE ALBERT V JR &amp; JULIANNE T (W)</t>
  </si>
  <si>
    <t>514 EDMOND ST</t>
  </si>
  <si>
    <t xml:space="preserve">PALMIERE ALBERT V JR </t>
  </si>
  <si>
    <t xml:space="preserve">4765 LIBERTY AVENUE LLC </t>
  </si>
  <si>
    <t>4765 LIBERTY AVE</t>
  </si>
  <si>
    <t>4765 LIBERTY AVENUE L</t>
  </si>
  <si>
    <t>PLAZA THEATER  APARTMENTS LLC</t>
  </si>
  <si>
    <t>4761 LIBERTY AVE</t>
  </si>
  <si>
    <t>PLAZA THEATER APARTME</t>
  </si>
  <si>
    <t xml:space="preserve">MACHI FRANK M JR </t>
  </si>
  <si>
    <t>4735 LIBERTY AVE</t>
  </si>
  <si>
    <t>LIBERTY AVE REAR</t>
  </si>
  <si>
    <t xml:space="preserve">DANENBERG ALEX </t>
  </si>
  <si>
    <t>4725 LIBERTY AVE</t>
  </si>
  <si>
    <t>JOAN DR</t>
  </si>
  <si>
    <t>PALMIERI MARIO &amp; MARIA T (W)</t>
  </si>
  <si>
    <t>4723 LIBERTY AVE</t>
  </si>
  <si>
    <t xml:space="preserve">WALSH THOMAS E </t>
  </si>
  <si>
    <t>4705 CORDAY WAY</t>
  </si>
  <si>
    <t>WIBLE RUN RD</t>
  </si>
  <si>
    <t>4711 LIBERTY AVENUE LLC  ETAL</t>
  </si>
  <si>
    <t>4713 LIBERTY AVE</t>
  </si>
  <si>
    <t>4711 LIBERTY AVE</t>
  </si>
  <si>
    <t xml:space="preserve">BLOBNER THOMAS J </t>
  </si>
  <si>
    <t>333 GROSS ST</t>
  </si>
  <si>
    <t>GROSS ST</t>
  </si>
  <si>
    <t xml:space="preserve">SAND HOLDINGS ONE LLC </t>
  </si>
  <si>
    <t>321 GROSS ST</t>
  </si>
  <si>
    <t>SAND HOLDINGS ONE LLC</t>
  </si>
  <si>
    <t xml:space="preserve">JONES ADA SANTUCCI                              </t>
  </si>
  <si>
    <t>356 S WINEBIDDLE ST</t>
  </si>
  <si>
    <t>S WINEBIDDLE AVE</t>
  </si>
  <si>
    <t xml:space="preserve">WINEBIDDLE RENTAL LLC </t>
  </si>
  <si>
    <t>301 S WINEBIDDLE ST</t>
  </si>
  <si>
    <t>S WINEBIDDLE ST</t>
  </si>
  <si>
    <t>ROBINS ELEANORE B &amp; CARL D (H)</t>
  </si>
  <si>
    <t>310 S EVALINE ST</t>
  </si>
  <si>
    <t>ROBINS ELEANORE B &amp; C</t>
  </si>
  <si>
    <t>S EVALINE ST</t>
  </si>
  <si>
    <t xml:space="preserve">FOXHOLE PROPERTIES LLC </t>
  </si>
  <si>
    <t>5125 WEST PENN PL</t>
  </si>
  <si>
    <t>FOXHOLE PROPERTIES LL</t>
  </si>
  <si>
    <t xml:space="preserve">SCHAMING STEFAN J                               </t>
  </si>
  <si>
    <t>320 S EVALINE ST</t>
  </si>
  <si>
    <t>SCHAMING STEFAN J</t>
  </si>
  <si>
    <t>LEBANON RD</t>
  </si>
  <si>
    <t>WEST MIFFLIN</t>
  </si>
  <si>
    <t>WEISS ERNEST H JR &amp; CLAIRE A (W)</t>
  </si>
  <si>
    <t>359 S EVALINE ST</t>
  </si>
  <si>
    <t xml:space="preserve">SANDLER MATTHEW R                               </t>
  </si>
  <si>
    <t>327 S EVALINE ST</t>
  </si>
  <si>
    <t xml:space="preserve">CIOTOLA ANTHONY                                 </t>
  </si>
  <si>
    <t>5147 FRIENDSHIP AVE</t>
  </si>
  <si>
    <t>CIOTOLA GINO</t>
  </si>
  <si>
    <t>SAXONBURG BLVD</t>
  </si>
  <si>
    <t xml:space="preserve">NOAH'S PROPERTIES </t>
  </si>
  <si>
    <t>365 S PACIFIC AVE</t>
  </si>
  <si>
    <t>PAIGE PL</t>
  </si>
  <si>
    <t xml:space="preserve">POOLE MARY ELLEN </t>
  </si>
  <si>
    <t>5208 FRIENDSHIP AVE</t>
  </si>
  <si>
    <t xml:space="preserve">THREE 5THS LLC </t>
  </si>
  <si>
    <t>245 S PACIFIC AVE</t>
  </si>
  <si>
    <t>THREE 5THS LLC</t>
  </si>
  <si>
    <t xml:space="preserve">HINKLE HANNAH                                   </t>
  </si>
  <si>
    <t>5211 FRIENDSHIP AVE</t>
  </si>
  <si>
    <t xml:space="preserve">WERNER JOHN D                                   </t>
  </si>
  <si>
    <t>246 S ATLANTIC AVE</t>
  </si>
  <si>
    <t xml:space="preserve">PRIMARY HOUSING INC </t>
  </si>
  <si>
    <t>342 S ATLANTIC AVE</t>
  </si>
  <si>
    <t>4TH AVE STE 1401 #1135</t>
  </si>
  <si>
    <t>ROSSI GABRIEL ANDREW &amp; KATE RYAN (W)</t>
  </si>
  <si>
    <t>319 S ATLANTIC AVE</t>
  </si>
  <si>
    <t xml:space="preserve">TETALI PRASAD V                                 </t>
  </si>
  <si>
    <t>315 S ATLANTIC AVE</t>
  </si>
  <si>
    <t xml:space="preserve">HEAPS SAMUEL R                                  </t>
  </si>
  <si>
    <t>238 S AIKEN AVE</t>
  </si>
  <si>
    <t>0 WILSON WAY</t>
  </si>
  <si>
    <t xml:space="preserve">SAMPSON RUTH M &amp; (SURV) </t>
  </si>
  <si>
    <t>N FALKENBURG RD</t>
  </si>
  <si>
    <t xml:space="preserve">POTANKO JOHN &amp; COLLEEN </t>
  </si>
  <si>
    <t>POTANKO JOHN &amp; COLLEE</t>
  </si>
  <si>
    <t>FRIENDSHIP AVE</t>
  </si>
  <si>
    <t>EMMONS FRANCIS J &amp; JOHN DI STEFANO (W)</t>
  </si>
  <si>
    <t>EMMONS FRANCIS J &amp; JO</t>
  </si>
  <si>
    <t>HAMILTON STATION</t>
  </si>
  <si>
    <t xml:space="preserve">SCEARCE LISSA B </t>
  </si>
  <si>
    <t>N EUCLID AVE APT 1</t>
  </si>
  <si>
    <t xml:space="preserve">LEONARD LOUIS G III                             </t>
  </si>
  <si>
    <t>343 S AIKEN AVE</t>
  </si>
  <si>
    <t>CENTRAL LOAN ADMINIST</t>
  </si>
  <si>
    <t>307 S AIKEN AVE</t>
  </si>
  <si>
    <t xml:space="preserve">SCOTT DEBRA </t>
  </si>
  <si>
    <t>316 S GRAHAM ST</t>
  </si>
  <si>
    <t>LITTLE YELLOW CREEK RD</t>
  </si>
  <si>
    <t>HARMONY</t>
  </si>
  <si>
    <t xml:space="preserve">ZUBROW DAVID MAX                                </t>
  </si>
  <si>
    <t>353 S GRAHAM ST</t>
  </si>
  <si>
    <t xml:space="preserve">BOTTA-MOE PROPERTIES LP </t>
  </si>
  <si>
    <t>322 ROUP AVE</t>
  </si>
  <si>
    <t xml:space="preserve">WILHELM JENNIFER                                </t>
  </si>
  <si>
    <t>303 S FAIRMOUNT ST</t>
  </si>
  <si>
    <t xml:space="preserve">MYRIAD CENTER LLC </t>
  </si>
  <si>
    <t>301 S FAIRMOUNT ST</t>
  </si>
  <si>
    <t>MYRIAD CENTER LLC</t>
  </si>
  <si>
    <t xml:space="preserve">MALEK SIAMAK </t>
  </si>
  <si>
    <t>201 S FAIRMOUNT ST</t>
  </si>
  <si>
    <t xml:space="preserve">324 NEGLEY AVE LLC </t>
  </si>
  <si>
    <t>324 S NEGLEY AVE</t>
  </si>
  <si>
    <t>324 NEGLEY AVE LLC</t>
  </si>
  <si>
    <t>190TH AVE NW</t>
  </si>
  <si>
    <t>VAUGHN</t>
  </si>
  <si>
    <t>WA</t>
  </si>
  <si>
    <t>604 EDMOND ST</t>
  </si>
  <si>
    <t xml:space="preserve">FABIO STEVEN </t>
  </si>
  <si>
    <t>524 EDMOND ST</t>
  </si>
  <si>
    <t>FABIO STEVEN</t>
  </si>
  <si>
    <t>PO BOX 9090</t>
  </si>
  <si>
    <t>MCCHAAR MANAGEMENT  COMPANY</t>
  </si>
  <si>
    <t>605 EDMOND ST</t>
  </si>
  <si>
    <t>MCCHAAR MANAGEMENT CO</t>
  </si>
  <si>
    <t xml:space="preserve">WANG XINWEL </t>
  </si>
  <si>
    <t>4774 CYPRESS ST</t>
  </si>
  <si>
    <t>RURAL RIDGE DR</t>
  </si>
  <si>
    <t>MILLENNIUM TRUST COMPANY LLC</t>
  </si>
  <si>
    <t>606 S MATHILDA ST</t>
  </si>
  <si>
    <t>MILLENNIUM TRUST COMP</t>
  </si>
  <si>
    <t>S HIGHLAND AVE</t>
  </si>
  <si>
    <t xml:space="preserve">TASSE DANIEL J                                  </t>
  </si>
  <si>
    <t>4789 YEW ST</t>
  </si>
  <si>
    <t>BARTLETT ST UNIT 610</t>
  </si>
  <si>
    <t xml:space="preserve">ONEIL ROBERT J </t>
  </si>
  <si>
    <t>4784 YEW ST</t>
  </si>
  <si>
    <t>YEW ST</t>
  </si>
  <si>
    <t xml:space="preserve">BENDER PAULA M </t>
  </si>
  <si>
    <t>4915 YEW ST</t>
  </si>
  <si>
    <t>NELSON PETER &amp; BRITTANY (W)</t>
  </si>
  <si>
    <t>4808 LIMA WAY</t>
  </si>
  <si>
    <t>NELSON PETER &amp; BRITTA</t>
  </si>
  <si>
    <t>GETTYSBURG ST FL 2</t>
  </si>
  <si>
    <t xml:space="preserve">PLUMB JENNIFER </t>
  </si>
  <si>
    <t>4904 CYPRESS ST</t>
  </si>
  <si>
    <t xml:space="preserve">LUBARSKI ANDREW D </t>
  </si>
  <si>
    <t>4906 CYPRESS ST</t>
  </si>
  <si>
    <t>CYPRESS ST</t>
  </si>
  <si>
    <t xml:space="preserve">JASP HOLDINGS LLC </t>
  </si>
  <si>
    <t>601 GROSS ST</t>
  </si>
  <si>
    <t>WOODHAVEN DR</t>
  </si>
  <si>
    <t xml:space="preserve">FUSION LINK LLC </t>
  </si>
  <si>
    <t>603 GROSS ST</t>
  </si>
  <si>
    <t>MARS CRIDER RD</t>
  </si>
  <si>
    <t xml:space="preserve">SCHOLZE MARLENE </t>
  </si>
  <si>
    <t>533 GROSS ST</t>
  </si>
  <si>
    <t xml:space="preserve">F &amp; Y PROPERTIES LLC </t>
  </si>
  <si>
    <t>535 GROSS ST</t>
  </si>
  <si>
    <t>LAKEVIEW DR</t>
  </si>
  <si>
    <t xml:space="preserve">JULIN WILLIAM K III </t>
  </si>
  <si>
    <t>4917 CYPRESS ST</t>
  </si>
  <si>
    <t xml:space="preserve">BULLOCK JANET B </t>
  </si>
  <si>
    <t>4821 CYPRESS ST</t>
  </si>
  <si>
    <t>LATIA BULLOCK WALKER</t>
  </si>
  <si>
    <t>MAYFAIR PL UNIT 170</t>
  </si>
  <si>
    <t>STAFFORD</t>
  </si>
  <si>
    <t>COOKE PHILIP DAVID &amp; MAXINE (W)</t>
  </si>
  <si>
    <t>4817 CYPRESS ST</t>
  </si>
  <si>
    <t xml:space="preserve">MARIANI CHRISTINA J </t>
  </si>
  <si>
    <t>4926 SCIOTA ST</t>
  </si>
  <si>
    <t>THE MARGARET F  DESCOMBES IRREVOCABLE TR</t>
  </si>
  <si>
    <t>510 GROSS ST</t>
  </si>
  <si>
    <t>THE MARGARET F DESCOM</t>
  </si>
  <si>
    <t>W 7TH ST</t>
  </si>
  <si>
    <t>CLAREMONT</t>
  </si>
  <si>
    <t>BRASH DARREN J &amp; MARIE LISTORTI (W)</t>
  </si>
  <si>
    <t>4801 SCIOTA ST</t>
  </si>
  <si>
    <t>BRASH DARREN J &amp; MARI</t>
  </si>
  <si>
    <t>CAMP TREES RD</t>
  </si>
  <si>
    <t>ACQUIRE CAPITAL AND  HOLDINGS LLC</t>
  </si>
  <si>
    <t>4822 LIBERTY AVE</t>
  </si>
  <si>
    <t>ACQUIRE CAPITAL AND H</t>
  </si>
  <si>
    <t>4828 LIBERTY AVENUE  INVESTORS LLC</t>
  </si>
  <si>
    <t>4828 LIBERTY AVE</t>
  </si>
  <si>
    <t>4828 LIBERTY AVENUE I</t>
  </si>
  <si>
    <t>OLIVERIO RONALD JAMES &amp; TANIA S (W)</t>
  </si>
  <si>
    <t>517 GROSS ST</t>
  </si>
  <si>
    <t xml:space="preserve">SKD HOLDINGS LLC </t>
  </si>
  <si>
    <t>515 GROSS ST</t>
  </si>
  <si>
    <t>SKD HOLDINGS LLC</t>
  </si>
  <si>
    <t>N ROSE DR</t>
  </si>
  <si>
    <t>KANDRACK MARGO &amp; RYAN (H)</t>
  </si>
  <si>
    <t>5110 HARRIET ST</t>
  </si>
  <si>
    <t xml:space="preserve">CHAK CHAK LLC </t>
  </si>
  <si>
    <t>424 S EVALINE ST</t>
  </si>
  <si>
    <t>CHAK CHAK LLC</t>
  </si>
  <si>
    <t xml:space="preserve">SPITZ MARK B </t>
  </si>
  <si>
    <t>414 S EVALINE ST</t>
  </si>
  <si>
    <t>SPITZ MARK B</t>
  </si>
  <si>
    <t>S EVALINE ST APT A</t>
  </si>
  <si>
    <t xml:space="preserve">EUGENE DAVID PROCTOR  TRUST                   </t>
  </si>
  <si>
    <t>0 S EVALINE ST</t>
  </si>
  <si>
    <t>415 S EVALINE ST</t>
  </si>
  <si>
    <t xml:space="preserve">GARLAND AARON R                                 </t>
  </si>
  <si>
    <t>404 S PACIFIC AVE</t>
  </si>
  <si>
    <t xml:space="preserve">JACKSON JOHNNA </t>
  </si>
  <si>
    <t>375 S PACIFIC AVE</t>
  </si>
  <si>
    <t xml:space="preserve">O'NEILL RACHEL  ELIZABETH               </t>
  </si>
  <si>
    <t>407 S PACIFIC AVE</t>
  </si>
  <si>
    <t>DILL ALYSSA B &amp; CHRISTIAN M (H)</t>
  </si>
  <si>
    <t>5215 CELIA PL</t>
  </si>
  <si>
    <t xml:space="preserve">LIN DECHEN                                      </t>
  </si>
  <si>
    <t>403 S ATLANTIC AVE</t>
  </si>
  <si>
    <t>TOLOMEO ANTONINO  &amp; MARY ROSE (W)</t>
  </si>
  <si>
    <t>455 S ATLANTIC AVE</t>
  </si>
  <si>
    <t>TOLOMEO ANTONIO  &amp; MARY (W)</t>
  </si>
  <si>
    <t>459 S ATLANTIC AVE</t>
  </si>
  <si>
    <t>MAOLA CONSTANTINO F &amp; MADELYN R (W)</t>
  </si>
  <si>
    <t>461 S ATLANTIC AVE</t>
  </si>
  <si>
    <t>CONCORD SIERRA DA SHADYSIDE LP</t>
  </si>
  <si>
    <t>5305 BAUM BLVD</t>
  </si>
  <si>
    <t>COMMON OAKS DR</t>
  </si>
  <si>
    <t xml:space="preserve">J J LAND COMPANY </t>
  </si>
  <si>
    <t>462 S AIKEN AVE</t>
  </si>
  <si>
    <t>J J LAND CO</t>
  </si>
  <si>
    <t xml:space="preserve">ARAGORN PROPERTIES L L C </t>
  </si>
  <si>
    <t>434 S AIKEN AVE</t>
  </si>
  <si>
    <t xml:space="preserve">ARAGORN PROPERTIES L </t>
  </si>
  <si>
    <t>FRIENDSHIP AVE APT 2</t>
  </si>
  <si>
    <t xml:space="preserve">ORR CHARLES P III </t>
  </si>
  <si>
    <t>420 S AIKEN AVE UNIT A3</t>
  </si>
  <si>
    <t xml:space="preserve">GO CATHERINE C                                  </t>
  </si>
  <si>
    <t>420 S AIKEN AVE UNIT A6</t>
  </si>
  <si>
    <t>GO CATHERINE C</t>
  </si>
  <si>
    <t>S AIKEN AVE UNIT A6</t>
  </si>
  <si>
    <t xml:space="preserve">DAVID PERLMAN  IRREVOCABLE TRUST       </t>
  </si>
  <si>
    <t>420 S AIKEN AVE UNIT B3</t>
  </si>
  <si>
    <t>DAVID PERLMAN IRREVOC</t>
  </si>
  <si>
    <t>STANTON COURT E</t>
  </si>
  <si>
    <t xml:space="preserve">SCIULLI JOSEPH </t>
  </si>
  <si>
    <t>420 S AIKEN AVE UNIT B5</t>
  </si>
  <si>
    <t>418 S AIKEN AVE</t>
  </si>
  <si>
    <t>402 S AIKEN AVE</t>
  </si>
  <si>
    <t>DEFELICE MAURO</t>
  </si>
  <si>
    <t xml:space="preserve">PAUL JEFFREY B </t>
  </si>
  <si>
    <t>429 S AIKEN AVE</t>
  </si>
  <si>
    <t>MORNING GROVE LN</t>
  </si>
  <si>
    <t xml:space="preserve">447 SOUTH AIKEN LLC </t>
  </si>
  <si>
    <t>447 S AIKEN AVE</t>
  </si>
  <si>
    <t>BENNINGON AVE</t>
  </si>
  <si>
    <t>459 S AIKEN AVE</t>
  </si>
  <si>
    <t xml:space="preserve">CITY OF BRIDGES </t>
  </si>
  <si>
    <t>460 S GRAHAM ST</t>
  </si>
  <si>
    <t>MANUPPELLI MARK &amp; SUSAN (W)</t>
  </si>
  <si>
    <t>448 S GRAHAM ST</t>
  </si>
  <si>
    <t>MANUPPELLI MARK &amp; SUS</t>
  </si>
  <si>
    <t xml:space="preserve">KNOP WILLIAM </t>
  </si>
  <si>
    <t>366 S GRAHAM ST</t>
  </si>
  <si>
    <t>WASHINGTON ROOSEVELT J &amp; MELITA (W)</t>
  </si>
  <si>
    <t>439 S GRAHAM ST</t>
  </si>
  <si>
    <t xml:space="preserve">BAUM HAUS HOLDINGS L L C </t>
  </si>
  <si>
    <t>0 BAUM BLVD</t>
  </si>
  <si>
    <t xml:space="preserve">BAUM HAUS HOLDINGS L </t>
  </si>
  <si>
    <t>BOULAVARD OF THE ALLIES STE 10</t>
  </si>
  <si>
    <t xml:space="preserve">MANGGO LLC </t>
  </si>
  <si>
    <t>5604 BAUM BLVD</t>
  </si>
  <si>
    <t>BIRCH DR</t>
  </si>
  <si>
    <t xml:space="preserve">BAUM CORNER INVESTORS LP </t>
  </si>
  <si>
    <t>5620 BAUM BLVD</t>
  </si>
  <si>
    <t>MORTIMER AVE</t>
  </si>
  <si>
    <t>STURGIS</t>
  </si>
  <si>
    <t xml:space="preserve">MULERT MEGAN                                    </t>
  </si>
  <si>
    <t>334 STRATFORD AVE</t>
  </si>
  <si>
    <t xml:space="preserve">ACCETTA MATTHEW FRANK </t>
  </si>
  <si>
    <t>338 STRATFORD AVE</t>
  </si>
  <si>
    <t>ACCETTA MATTHEW FRANK</t>
  </si>
  <si>
    <t>MONARCH WAY</t>
  </si>
  <si>
    <t>352 STRATFORD AVE</t>
  </si>
  <si>
    <t>354 STRATFORD AVE</t>
  </si>
  <si>
    <t xml:space="preserve">MARGLIOTTI GARRETT D                            </t>
  </si>
  <si>
    <t>345 STRATFORD AVE</t>
  </si>
  <si>
    <t>STRATFORD AVE</t>
  </si>
  <si>
    <t xml:space="preserve">ROZNIATA LAWRENCE  EDWARD                  </t>
  </si>
  <si>
    <t>4727 MARIPOE ST</t>
  </si>
  <si>
    <t>MARIPOE ST</t>
  </si>
  <si>
    <t xml:space="preserve">BO MEIHUA </t>
  </si>
  <si>
    <t>4733 MARIPOE ST</t>
  </si>
  <si>
    <t>S GENEVA WAY</t>
  </si>
  <si>
    <t>140 MOREWOOD AVE</t>
  </si>
  <si>
    <t xml:space="preserve">SAPP MARK </t>
  </si>
  <si>
    <t>150 MOREWOOD AVE</t>
  </si>
  <si>
    <t>GREENSBURG PIKE UNIT 406</t>
  </si>
  <si>
    <t xml:space="preserve">SCHWARTZ NORMAN M </t>
  </si>
  <si>
    <t>0 GROSS ST</t>
  </si>
  <si>
    <t>CRYSTAL SHORES DR APT 306</t>
  </si>
  <si>
    <t>BOYNTON BEACH</t>
  </si>
  <si>
    <t>HUSTON JUSTIN &amp; VICTORIA (W)</t>
  </si>
  <si>
    <t>541 S WINEBIDDLE ST</t>
  </si>
  <si>
    <t>NY COMMUNITY BANK-OHI</t>
  </si>
  <si>
    <t>538 ASPEN ST</t>
  </si>
  <si>
    <t>KK RENTALS PROPERTIES LLC</t>
  </si>
  <si>
    <t>5143 CYPRESS ST</t>
  </si>
  <si>
    <t xml:space="preserve">KK RENTAL PROPERTIES LLC </t>
  </si>
  <si>
    <t>5145 CYPRESS ST</t>
  </si>
  <si>
    <t>KK RENTAL PROPERTIES</t>
  </si>
  <si>
    <t>BROCKSCHMIDT ERIC F &amp; BRIDGET T (W)</t>
  </si>
  <si>
    <t>519 OSCEOLA ST</t>
  </si>
  <si>
    <t xml:space="preserve">BABIC OLIVERA </t>
  </si>
  <si>
    <t>5165 WOODWORTH ST</t>
  </si>
  <si>
    <t xml:space="preserve">UPMC PRESBYTERIAN  SHADYSIDE               </t>
  </si>
  <si>
    <t>5200 BAUM BLVD</t>
  </si>
  <si>
    <t>UPMC CORPORATE REAL E</t>
  </si>
  <si>
    <t>GRANT ST FL 60</t>
  </si>
  <si>
    <t xml:space="preserve">FAMILY HOUSE INC </t>
  </si>
  <si>
    <t>5308 LIBERTY AVE</t>
  </si>
  <si>
    <t>CONCORD SIERRA DA  SHADYSIDE LP</t>
  </si>
  <si>
    <t xml:space="preserve">BAUM HAUS HOLDINGS LLC </t>
  </si>
  <si>
    <t>5546 BAUM BLVD</t>
  </si>
  <si>
    <t>BAUM HAUS HOLDINGS LL</t>
  </si>
  <si>
    <t>BOULEVARD OF THE ALLIES STE 10</t>
  </si>
  <si>
    <t>HITTINGER ERIC S &amp; RACHAEL B (W)</t>
  </si>
  <si>
    <t>5535 CENTRE AVE UNIT 15</t>
  </si>
  <si>
    <t xml:space="preserve">486 S GRAHAM LLC </t>
  </si>
  <si>
    <t>486 S GRAHAM ST</t>
  </si>
  <si>
    <t>486 S GRAHAM LLC</t>
  </si>
  <si>
    <t>DRAGAN ST</t>
  </si>
  <si>
    <t xml:space="preserve">ABRAMS FAMILY ASSOCIATES </t>
  </si>
  <si>
    <t>4750 BAUM BLVD</t>
  </si>
  <si>
    <t>WEST ALLEGHENY AVE</t>
  </si>
  <si>
    <t>KATZ CARL                ETAL</t>
  </si>
  <si>
    <t>934 S MILLVALE AVE</t>
  </si>
  <si>
    <t>KATZ CARL C/O ICHAN A</t>
  </si>
  <si>
    <t>TOWN PARK DR NW STE 300</t>
  </si>
  <si>
    <t xml:space="preserve">CONLEY JOHN D </t>
  </si>
  <si>
    <t>280 MOREWOOD AVE</t>
  </si>
  <si>
    <t>CONLEY JOHN D</t>
  </si>
  <si>
    <t xml:space="preserve">ISLAM NASIR T </t>
  </si>
  <si>
    <t>129 STRATFORD AVE</t>
  </si>
  <si>
    <t>STRATFORD AVE APT 3</t>
  </si>
  <si>
    <t xml:space="preserve">ISLAM NASIR TAJUI </t>
  </si>
  <si>
    <t>133 STRATFORD AVE</t>
  </si>
  <si>
    <t>STARTFORD AVE</t>
  </si>
  <si>
    <t xml:space="preserve">PENG ZIMEI </t>
  </si>
  <si>
    <t>128 STRATFORD AVE</t>
  </si>
  <si>
    <t xml:space="preserve">WILLIAMS DEBORAH RENEE </t>
  </si>
  <si>
    <t>126 STRATFORD AVE</t>
  </si>
  <si>
    <t>PISTELLA FRANK M JR &amp; LISA M (W)</t>
  </si>
  <si>
    <t>106 STRATFORD AVE</t>
  </si>
  <si>
    <t>5514 PENN AVE</t>
  </si>
  <si>
    <t xml:space="preserve">ZHANG CHRISTOPHER JAMES </t>
  </si>
  <si>
    <t>150 STRATFORD AVE</t>
  </si>
  <si>
    <t xml:space="preserve">ZHANG RICHARD </t>
  </si>
  <si>
    <t>150 S NEGLEY AVE</t>
  </si>
  <si>
    <t>FUZZY PENGUIN  PROPERTIES LLC</t>
  </si>
  <si>
    <t>307 S NEGLEY AVE</t>
  </si>
  <si>
    <t>FUZZY PENGUIN PROPERT</t>
  </si>
  <si>
    <t>VALLEY DR</t>
  </si>
  <si>
    <t>200 AMBER ST</t>
  </si>
  <si>
    <t>205 AMBER ST</t>
  </si>
  <si>
    <t xml:space="preserve">251 S ST CLAIR LLC </t>
  </si>
  <si>
    <t>251 S SAINT CLAIR ST</t>
  </si>
  <si>
    <t>BRECKENRIDGE DR</t>
  </si>
  <si>
    <t xml:space="preserve">RAUFER STEPHANIE </t>
  </si>
  <si>
    <t>228 S EUCLID AVE</t>
  </si>
  <si>
    <t>RAUFER STEPHANIE</t>
  </si>
  <si>
    <t>18 KATZ CREW LP          ETAL</t>
  </si>
  <si>
    <t>132 S HIGHLAND AVE</t>
  </si>
  <si>
    <t>18 KATZ CREW LP</t>
  </si>
  <si>
    <t xml:space="preserve">DORSEY G CAROLYN </t>
  </si>
  <si>
    <t>5901 BAUM BLVD</t>
  </si>
  <si>
    <t xml:space="preserve">JP MORGAN CHASE BANK  NA </t>
  </si>
  <si>
    <t>6100 PENN AVE</t>
  </si>
  <si>
    <t>LERETA TEXAS OPERATIO</t>
  </si>
  <si>
    <t xml:space="preserve">MATTESON DAVID </t>
  </si>
  <si>
    <t>321 S NEGLEY AVE</t>
  </si>
  <si>
    <t xml:space="preserve">LU YI YU                                        </t>
  </si>
  <si>
    <t>322 AMBER ST</t>
  </si>
  <si>
    <t>344 AMBER ST</t>
  </si>
  <si>
    <t xml:space="preserve">302 SAINT CLAIR LLC </t>
  </si>
  <si>
    <t>302 S SAINT CLAIR ST</t>
  </si>
  <si>
    <t>302 SAINT CLAIR LLC</t>
  </si>
  <si>
    <t>S SAINT CLAIR</t>
  </si>
  <si>
    <t xml:space="preserve">BAUM BLVD PARTNERS LLC </t>
  </si>
  <si>
    <t>316 S SAINT CLAIR ST</t>
  </si>
  <si>
    <t>W LIBERTY AVE</t>
  </si>
  <si>
    <t xml:space="preserve">STRANOMO LLC </t>
  </si>
  <si>
    <t>290 S EUCLID AVE</t>
  </si>
  <si>
    <t>OHIO RIVER BLVD</t>
  </si>
  <si>
    <t>AMBRIDGE</t>
  </si>
  <si>
    <t>5744 BAUM BLVD</t>
  </si>
  <si>
    <t>*EBILLS* LACHINA LEON</t>
  </si>
  <si>
    <t>GUARDIAN STORAGE  SHADYSIDE II LLC</t>
  </si>
  <si>
    <t>5869 CENTRE AVE</t>
  </si>
  <si>
    <t>GUARDIAN STORAGE SHAD</t>
  </si>
  <si>
    <t>JAWORSKI KENNETH  &amp; PAULA (W)</t>
  </si>
  <si>
    <t>0 SAWYER ST</t>
  </si>
  <si>
    <t>SAWYER ST</t>
  </si>
  <si>
    <t>CHERICO FRANK &amp; NICK CHERICO</t>
  </si>
  <si>
    <t>0 EWING ST</t>
  </si>
  <si>
    <t>0 BELVIDERE ST</t>
  </si>
  <si>
    <t xml:space="preserve">DOTY SCOTT B                                    </t>
  </si>
  <si>
    <t>4012 EWING ST</t>
  </si>
  <si>
    <t>DOTY SCOTT B</t>
  </si>
  <si>
    <t>A SIDNEY ST</t>
  </si>
  <si>
    <t xml:space="preserve">137 43RD LLC </t>
  </si>
  <si>
    <t>137 43RD ST</t>
  </si>
  <si>
    <t>43RD ST</t>
  </si>
  <si>
    <t>122 43RD ST</t>
  </si>
  <si>
    <t>MONTELLA MANAGEMENT L</t>
  </si>
  <si>
    <t>FREEPORT RD STE 275</t>
  </si>
  <si>
    <t xml:space="preserve">MOHAMED LUKE </t>
  </si>
  <si>
    <t>4119 FOSTER ST</t>
  </si>
  <si>
    <t>FOSTER ST</t>
  </si>
  <si>
    <t xml:space="preserve">142 42ND STREET TRUST                           </t>
  </si>
  <si>
    <t>142 42ND ST</t>
  </si>
  <si>
    <t>N LEMON AVE # 1010</t>
  </si>
  <si>
    <t>WALNUT</t>
  </si>
  <si>
    <t xml:space="preserve">VOELKER DAKOTA </t>
  </si>
  <si>
    <t>136 42ND ST</t>
  </si>
  <si>
    <t>DAKOTA VOELKER</t>
  </si>
  <si>
    <t>42ND ST</t>
  </si>
  <si>
    <t xml:space="preserve">MCLAUGHLIN ERIC </t>
  </si>
  <si>
    <t>123 BANNER WAY</t>
  </si>
  <si>
    <t>46TH ST FL 2ND</t>
  </si>
  <si>
    <t xml:space="preserve">LEONELLO SHANA A </t>
  </si>
  <si>
    <t>127 BANNER WAY</t>
  </si>
  <si>
    <t>CHESTNUT LN</t>
  </si>
  <si>
    <t xml:space="preserve">LEONELLO SHANA A                                </t>
  </si>
  <si>
    <t>SHANA A LEONELLO NATH</t>
  </si>
  <si>
    <t>BANNERR WAY</t>
  </si>
  <si>
    <t>CANTOR C FAMILY  PARTNERSHIP LP</t>
  </si>
  <si>
    <t>156 41ST ST</t>
  </si>
  <si>
    <t>CANTOR C FAMILY PARTN</t>
  </si>
  <si>
    <t>BAYHOUSE POINT RD # 229</t>
  </si>
  <si>
    <t>SARASOTA</t>
  </si>
  <si>
    <t>PIJANOWSKI ROBERT  &amp; BRANDY (W)</t>
  </si>
  <si>
    <t>167 41ST ST</t>
  </si>
  <si>
    <t>PLUMMER ST</t>
  </si>
  <si>
    <t xml:space="preserve">CLEMENS CHRISTOPHER                             </t>
  </si>
  <si>
    <t>4030 WILLOW ST</t>
  </si>
  <si>
    <t>MONEY SOURCE</t>
  </si>
  <si>
    <t>JONES DAVID H &amp; PATRICIA (W)</t>
  </si>
  <si>
    <t>4028 WILLOW ST</t>
  </si>
  <si>
    <t>WILLOW ST</t>
  </si>
  <si>
    <t xml:space="preserve">4012 FOSTER LLC </t>
  </si>
  <si>
    <t>4012 FOSTER ST</t>
  </si>
  <si>
    <t xml:space="preserve">BOYLES DAVID J </t>
  </si>
  <si>
    <t>4010 FOSTER ST</t>
  </si>
  <si>
    <t xml:space="preserve">FOSTER FRAME LLC </t>
  </si>
  <si>
    <t>0 FOSTER ST</t>
  </si>
  <si>
    <t xml:space="preserve">KAP PROPERTIES LLC </t>
  </si>
  <si>
    <t>LEWIS RUN RD</t>
  </si>
  <si>
    <t>SMARTER LIVING  PROPERTIES LLC</t>
  </si>
  <si>
    <t>127 40TH ST</t>
  </si>
  <si>
    <t>SMARTER LIVING PROPER</t>
  </si>
  <si>
    <t>POCUSSET ST</t>
  </si>
  <si>
    <t xml:space="preserve">TECHMILL 41 LP </t>
  </si>
  <si>
    <t>105 40TH ST</t>
  </si>
  <si>
    <t xml:space="preserve">PIPMAN MAX                                      </t>
  </si>
  <si>
    <t>185 44TH ST</t>
  </si>
  <si>
    <t>HARTLEY ROBERT  &amp; MARY ANDERSON (W)</t>
  </si>
  <si>
    <t>181 44TH ST</t>
  </si>
  <si>
    <t xml:space="preserve">ZWICKY EVAN A </t>
  </si>
  <si>
    <t>172 44TH ST</t>
  </si>
  <si>
    <t>LENDING HEIGHTS LLC</t>
  </si>
  <si>
    <t>ALLEGHENY RIVER BLVD</t>
  </si>
  <si>
    <t xml:space="preserve">TAYLOR RICHARD C                                </t>
  </si>
  <si>
    <t>174 44TH ST</t>
  </si>
  <si>
    <t xml:space="preserve">HIGA JULIANNA </t>
  </si>
  <si>
    <t>194 43RD HALF ST</t>
  </si>
  <si>
    <t xml:space="preserve">SESTRIC ALEXIS </t>
  </si>
  <si>
    <t>190 43RD HALF ST</t>
  </si>
  <si>
    <t xml:space="preserve">SCHUTRICK CARRIE </t>
  </si>
  <si>
    <t>152 43RD HALF ST</t>
  </si>
  <si>
    <t>43 HALF ST</t>
  </si>
  <si>
    <t>GOLEMBIEWSKI ANTHONY  J SR</t>
  </si>
  <si>
    <t>4312 FOSTER ST</t>
  </si>
  <si>
    <t xml:space="preserve">KUSHNER DAIVD PHILIP                            </t>
  </si>
  <si>
    <t>173 43RD ST</t>
  </si>
  <si>
    <t>NATIONWIDE TITLE CLEA</t>
  </si>
  <si>
    <t>ATL 19 N</t>
  </si>
  <si>
    <t xml:space="preserve">DEGENNA NATACHA M </t>
  </si>
  <si>
    <t>155 43RD ST</t>
  </si>
  <si>
    <t xml:space="preserve">LITTMANN BENJAMIN </t>
  </si>
  <si>
    <t>147 43RD ST</t>
  </si>
  <si>
    <t xml:space="preserve">HIGGINS KYLE </t>
  </si>
  <si>
    <t>166 43RD ST</t>
  </si>
  <si>
    <t xml:space="preserve">HALLER KELLY                                    </t>
  </si>
  <si>
    <t>174 43RD ST</t>
  </si>
  <si>
    <t>CLEMENTONI RUSSELL A &amp; PAULETTE M (W)</t>
  </si>
  <si>
    <t>176 43RD ST</t>
  </si>
  <si>
    <t xml:space="preserve">CLEMENTONI RUSSELL A </t>
  </si>
  <si>
    <t xml:space="preserve">DINU JONATHAN </t>
  </si>
  <si>
    <t>159 42ND ST</t>
  </si>
  <si>
    <t>0 42ND ST</t>
  </si>
  <si>
    <t xml:space="preserve">DAVIS ROSS LLC                                  </t>
  </si>
  <si>
    <t>176 42ND ST</t>
  </si>
  <si>
    <t>RIVA RIDGE</t>
  </si>
  <si>
    <t xml:space="preserve">PERRI PHILLIP J </t>
  </si>
  <si>
    <t>185 41ST ST</t>
  </si>
  <si>
    <t xml:space="preserve">EGS TRANSPORT LLC </t>
  </si>
  <si>
    <t>4121 BUTLER ST</t>
  </si>
  <si>
    <t>ROBINWOOD RD</t>
  </si>
  <si>
    <t xml:space="preserve">SAPP JAMES M &amp; ANN (W) </t>
  </si>
  <si>
    <t>0 EDEN WAY</t>
  </si>
  <si>
    <t xml:space="preserve">ARMBRUSTER REGIS JR </t>
  </si>
  <si>
    <t>194 42ND ST</t>
  </si>
  <si>
    <t>REGIS ARMBRUSTER JR</t>
  </si>
  <si>
    <t xml:space="preserve">BARTOSIEWICZ EDWARD J </t>
  </si>
  <si>
    <t>4311 BUTLER ST</t>
  </si>
  <si>
    <t>STARESINIC DANIELLE &amp; CHARLES (H)</t>
  </si>
  <si>
    <t>4321 BUTLER ST</t>
  </si>
  <si>
    <t>BUTLER STREET HOLDINGS  LP</t>
  </si>
  <si>
    <t>212 45TH ST</t>
  </si>
  <si>
    <t>BUTLER STREET HOLDING</t>
  </si>
  <si>
    <t>45TH ST</t>
  </si>
  <si>
    <t xml:space="preserve">4402 BUTLER LLC </t>
  </si>
  <si>
    <t>4402 BUTLER ST</t>
  </si>
  <si>
    <t xml:space="preserve">LEWIS ELIZABETH </t>
  </si>
  <si>
    <t>218 42ND ST</t>
  </si>
  <si>
    <t>LEWIS ELIZABETH</t>
  </si>
  <si>
    <t>CHURCH RD</t>
  </si>
  <si>
    <t>FOMBELL</t>
  </si>
  <si>
    <t xml:space="preserve">CEOFFE REBECCA A </t>
  </si>
  <si>
    <t>227 42ND ST</t>
  </si>
  <si>
    <t>227 1/2 42ND ST</t>
  </si>
  <si>
    <t xml:space="preserve">TOWER HOME BUYERS INC </t>
  </si>
  <si>
    <t>0 43RD ST</t>
  </si>
  <si>
    <t>TOWER HOME BUYERS INC</t>
  </si>
  <si>
    <t>ROSSMORE AVE</t>
  </si>
  <si>
    <t>44TH &amp; SUMMIT DEVELOPMENT LLC</t>
  </si>
  <si>
    <t>254 44TH ST</t>
  </si>
  <si>
    <t>44TH &amp; SUMMIT DEVELOP</t>
  </si>
  <si>
    <t>256 44TH ST</t>
  </si>
  <si>
    <t xml:space="preserve">ESTRADA TRUST                                   </t>
  </si>
  <si>
    <t>264 44TH ST</t>
  </si>
  <si>
    <t>E CALLE DURANGO</t>
  </si>
  <si>
    <t>ANAHEIM</t>
  </si>
  <si>
    <t xml:space="preserve">GARCIA PAULO SALDI </t>
  </si>
  <si>
    <t>259 44TH ST</t>
  </si>
  <si>
    <t>44TH ST</t>
  </si>
  <si>
    <t xml:space="preserve">DEL PRINCE GIA </t>
  </si>
  <si>
    <t>247 44TH ST</t>
  </si>
  <si>
    <t>ROEMER KYLE N &amp; SAMANTHA (W)</t>
  </si>
  <si>
    <t>229 44TH ST</t>
  </si>
  <si>
    <t xml:space="preserve">CHARLEY BENJAMIN </t>
  </si>
  <si>
    <t>223 44TH ST</t>
  </si>
  <si>
    <t>Y</t>
  </si>
  <si>
    <t>CHARLEY BENJAMIN</t>
  </si>
  <si>
    <t>MAUR KARANDEEP &amp; JASLENE (W)</t>
  </si>
  <si>
    <t>258 45TH ST</t>
  </si>
  <si>
    <t xml:space="preserve">MOMAYEZI FARSHID                                </t>
  </si>
  <si>
    <t>243 45TH ST</t>
  </si>
  <si>
    <t xml:space="preserve">ANDREWS NICHOLAS </t>
  </si>
  <si>
    <t>172 43RD ST</t>
  </si>
  <si>
    <t xml:space="preserve">4126 FOSTER LLC </t>
  </si>
  <si>
    <t>4126 FOSTER ST</t>
  </si>
  <si>
    <t>4126 FOSTER LLC</t>
  </si>
  <si>
    <t xml:space="preserve">EKO DEVELOPMENTS LLC </t>
  </si>
  <si>
    <t>4400 DAVISON ST</t>
  </si>
  <si>
    <t xml:space="preserve">DOUGAN TIMOTHY </t>
  </si>
  <si>
    <t>4402 DAVISON ST</t>
  </si>
  <si>
    <t>DOUGAN TIMOTHY</t>
  </si>
  <si>
    <t>RUTH ST</t>
  </si>
  <si>
    <t xml:space="preserve">RENDA JOHN A </t>
  </si>
  <si>
    <t>4415 DAVISON ST</t>
  </si>
  <si>
    <t>DAVISON ST</t>
  </si>
  <si>
    <t xml:space="preserve">WATRO CURTIS JAMES                              </t>
  </si>
  <si>
    <t>4419 DAVISON ST</t>
  </si>
  <si>
    <t xml:space="preserve">MCGARRY THOMAS J </t>
  </si>
  <si>
    <t>272 45TH ST</t>
  </si>
  <si>
    <t>272 SERVICE WAY</t>
  </si>
  <si>
    <t xml:space="preserve">HARPER RHETT A                                  </t>
  </si>
  <si>
    <t>251 45TH ST</t>
  </si>
  <si>
    <t>USNER ROBERT M &amp; BECKY K (W)</t>
  </si>
  <si>
    <t>255 45TH ST</t>
  </si>
  <si>
    <t>USNER ROBERT M &amp; BECK</t>
  </si>
  <si>
    <t>POST ST</t>
  </si>
  <si>
    <t xml:space="preserve">OLSEN ABBY                                      </t>
  </si>
  <si>
    <t>271 45TH ST</t>
  </si>
  <si>
    <t xml:space="preserve">KELLY COLLEEN A </t>
  </si>
  <si>
    <t>285 45TH ST</t>
  </si>
  <si>
    <t>293 45TH ST</t>
  </si>
  <si>
    <t xml:space="preserve">WHITE KRISTI </t>
  </si>
  <si>
    <t>295 45TH ST</t>
  </si>
  <si>
    <t>MORTGAGE RESEARCH CEN</t>
  </si>
  <si>
    <t>PARKVIEW DR</t>
  </si>
  <si>
    <t>COVINA</t>
  </si>
  <si>
    <t xml:space="preserve">HOUSING AUTHORITY CITY  OF PITTSBURGH           </t>
  </si>
  <si>
    <t>330 46TH ST</t>
  </si>
  <si>
    <t xml:space="preserve">AULD RYAN JAMES </t>
  </si>
  <si>
    <t>4518 DAVISON ST</t>
  </si>
  <si>
    <t>UNION HOME MORTGAGE C</t>
  </si>
  <si>
    <t xml:space="preserve">BELECHAK JOANNA G </t>
  </si>
  <si>
    <t>4520 DAVISON ST</t>
  </si>
  <si>
    <t>PROSPERITY HOME MTG LLC</t>
  </si>
  <si>
    <t>P O BOX 513738</t>
  </si>
  <si>
    <t xml:space="preserve">CATANZARITI ALAN R JR                           </t>
  </si>
  <si>
    <t>274 46TH ST</t>
  </si>
  <si>
    <t xml:space="preserve">SIMONS CHRISTOPHER LEE </t>
  </si>
  <si>
    <t>274 WERNEBERG WAY</t>
  </si>
  <si>
    <t>SIMONS CHRISTOPHER LE</t>
  </si>
  <si>
    <t>WERNERBERG WAY</t>
  </si>
  <si>
    <t xml:space="preserve">KRAJEWSKI COLLEEN M </t>
  </si>
  <si>
    <t>262 46TH ST</t>
  </si>
  <si>
    <t xml:space="preserve">HILL ALEXANDER                                  </t>
  </si>
  <si>
    <t>252 46TH ST</t>
  </si>
  <si>
    <t>DELAMAIRE  MARIE-STEPHANIE MADELEIN</t>
  </si>
  <si>
    <t>246 46TH ST</t>
  </si>
  <si>
    <t>SODERBERG ERIC &amp; AIMEE (W)</t>
  </si>
  <si>
    <t>4600 DAVISON ST</t>
  </si>
  <si>
    <t>SODERBERG ERIC &amp; AIME</t>
  </si>
  <si>
    <t>DAVIDSON ST</t>
  </si>
  <si>
    <t xml:space="preserve">MCGRANE MICHAEL P </t>
  </si>
  <si>
    <t>4621 CARLTON ST</t>
  </si>
  <si>
    <t>CARLTON ST</t>
  </si>
  <si>
    <t>SUK EUGENE J &amp; DOLORES L (W)</t>
  </si>
  <si>
    <t>4627 CARLTON ST</t>
  </si>
  <si>
    <t>EK EVAN BODENSTEIN ASHLEY (W)</t>
  </si>
  <si>
    <t>4614 CARLTON ST</t>
  </si>
  <si>
    <t xml:space="preserve">TURTURRO MICHAEL A                              </t>
  </si>
  <si>
    <t>4620 CARLTON ST</t>
  </si>
  <si>
    <t>HABURJAK ANDREW S &amp; JOANNA M (W)</t>
  </si>
  <si>
    <t>299 46TH ST</t>
  </si>
  <si>
    <t>46TH ST</t>
  </si>
  <si>
    <t xml:space="preserve">HARRIS STEVEN A </t>
  </si>
  <si>
    <t>4623 BANCROFT ST</t>
  </si>
  <si>
    <t>BANCROFT ST</t>
  </si>
  <si>
    <t xml:space="preserve">ONDO NATHAN A </t>
  </si>
  <si>
    <t>179 ALMOND WAY</t>
  </si>
  <si>
    <t xml:space="preserve">CUENCA ERIKA </t>
  </si>
  <si>
    <t>4029 EDEN WAY</t>
  </si>
  <si>
    <t>WESBANCO BANK INC</t>
  </si>
  <si>
    <t>BANK PLAZA LN</t>
  </si>
  <si>
    <t xml:space="preserve">SUSAN E CRAIG LIVING  TRUST                   </t>
  </si>
  <si>
    <t>4106 BUTLER ST</t>
  </si>
  <si>
    <t>CRAIG SUSAN E TRUSTEE</t>
  </si>
  <si>
    <t>PO BOX 15042 STE 103</t>
  </si>
  <si>
    <t>THE DAVID M MARIANI  LIVING TRUST DAVID M MAR</t>
  </si>
  <si>
    <t>260 FISK ST</t>
  </si>
  <si>
    <t>SAIL MORTGAGE</t>
  </si>
  <si>
    <t>PERRY HWY STE 135</t>
  </si>
  <si>
    <t xml:space="preserve">CHRISTOPHER ERIC M                              </t>
  </si>
  <si>
    <t>254 FISK ST</t>
  </si>
  <si>
    <t>KILEY MARTIN  &amp; MARY KAY (W)</t>
  </si>
  <si>
    <t>250 FISK ST</t>
  </si>
  <si>
    <t>FISK ST</t>
  </si>
  <si>
    <t xml:space="preserve">MALAKOUTI SEYEDSALIM                            </t>
  </si>
  <si>
    <t>218 FISK ST</t>
  </si>
  <si>
    <t>UNITED NATIONS FEDERA</t>
  </si>
  <si>
    <t>44TH RD</t>
  </si>
  <si>
    <t>LONG ISLAND CI</t>
  </si>
  <si>
    <t xml:space="preserve">HILL ROBERT &amp; SARAH (W) </t>
  </si>
  <si>
    <t>229 FISK ST</t>
  </si>
  <si>
    <t>STECKEL JAMES J &amp; DEBRA J (W)</t>
  </si>
  <si>
    <t>233 FISK ST</t>
  </si>
  <si>
    <t xml:space="preserve">CREEHAN MACKENZIE                               </t>
  </si>
  <si>
    <t>243 FISK ST</t>
  </si>
  <si>
    <t>COLLIS AVINASH &amp; MANUELA RITA (W)</t>
  </si>
  <si>
    <t>261 FISK ST</t>
  </si>
  <si>
    <t xml:space="preserve">FORSYTHE SUAZ I </t>
  </si>
  <si>
    <t>294 MAIN ST</t>
  </si>
  <si>
    <t xml:space="preserve">BIRD BRIAN                                      </t>
  </si>
  <si>
    <t>213 MAIN ST</t>
  </si>
  <si>
    <t xml:space="preserve">HEMOSA LLC </t>
  </si>
  <si>
    <t>219 MAIN ST</t>
  </si>
  <si>
    <t>HEMOSA LLC</t>
  </si>
  <si>
    <t>DEVON RD</t>
  </si>
  <si>
    <t xml:space="preserve">PHILLIPS WILLIAM S JR </t>
  </si>
  <si>
    <t>241 MAIN ST</t>
  </si>
  <si>
    <t>COLLINS PAUL E &amp; GERALDINE (W)</t>
  </si>
  <si>
    <t>267 MAIN ST</t>
  </si>
  <si>
    <t xml:space="preserve">MCGINLEY SALLY A </t>
  </si>
  <si>
    <t>273 MAIN ST</t>
  </si>
  <si>
    <t xml:space="preserve">PHENEGER ALEXANDER J                            </t>
  </si>
  <si>
    <t>275 MAIN ST</t>
  </si>
  <si>
    <t xml:space="preserve">GARTNER RACHEL E                                </t>
  </si>
  <si>
    <t>326 42ND ST</t>
  </si>
  <si>
    <t>MCCLELLAND KATRINA &amp; JOHN (H)</t>
  </si>
  <si>
    <t>322 42ND ST</t>
  </si>
  <si>
    <t>USNER ROBERT M &amp; BECKY KAY (W)</t>
  </si>
  <si>
    <t>320 42ND ST</t>
  </si>
  <si>
    <t xml:space="preserve">VELLICHOR PROPERTIES LLC </t>
  </si>
  <si>
    <t>260 42ND ST UNIT 5</t>
  </si>
  <si>
    <t xml:space="preserve">VELLICHOR PROPERTIES </t>
  </si>
  <si>
    <t>GRANT ST STE 3600</t>
  </si>
  <si>
    <t xml:space="preserve">MONTAIR DEVELOP LLC </t>
  </si>
  <si>
    <t>242 42ND ST</t>
  </si>
  <si>
    <t>N HIGHLAND AVE</t>
  </si>
  <si>
    <t xml:space="preserve">TJOA KARENSA </t>
  </si>
  <si>
    <t>226 42ND ST</t>
  </si>
  <si>
    <t xml:space="preserve">SCHOFIELD RICHARD W 3RD                         </t>
  </si>
  <si>
    <t>235 42ND ST</t>
  </si>
  <si>
    <t xml:space="preserve">PARRA MARY LOUISE                               </t>
  </si>
  <si>
    <t>4213 BESSEMER ST</t>
  </si>
  <si>
    <t>BESSEMER ST</t>
  </si>
  <si>
    <t>CHEN STANLEY &amp; ALISON (H)</t>
  </si>
  <si>
    <t>295 MAIN ST</t>
  </si>
  <si>
    <t>CHEN STANLEY &amp; ALISON</t>
  </si>
  <si>
    <t>MALLARD DR</t>
  </si>
  <si>
    <t>RYAN JOSEPH F JR &amp; JANICE (W)</t>
  </si>
  <si>
    <t>309 MAIN ST</t>
  </si>
  <si>
    <t xml:space="preserve">BURKHART DANIEL J                               </t>
  </si>
  <si>
    <t>316 44TH ST</t>
  </si>
  <si>
    <t xml:space="preserve">LEADBITTER GARY </t>
  </si>
  <si>
    <t>FAIRWAY INDEPENDENT M</t>
  </si>
  <si>
    <t>MARSH LN</t>
  </si>
  <si>
    <t>CARROLLTON</t>
  </si>
  <si>
    <t>FOUCHA NIGEL M &amp; LAURA A (W)</t>
  </si>
  <si>
    <t>ALLY BANK</t>
  </si>
  <si>
    <t>S CHURCH ST</t>
  </si>
  <si>
    <t>337 42ND ST</t>
  </si>
  <si>
    <t xml:space="preserve">PERROT STEPHEN R </t>
  </si>
  <si>
    <t>343 42ND ST</t>
  </si>
  <si>
    <t>RYAN JOSEPH F &amp; JANICE K (W)</t>
  </si>
  <si>
    <t>0 HUGO WAY</t>
  </si>
  <si>
    <t xml:space="preserve">ZIOLKOWSKI DEBRA A                              </t>
  </si>
  <si>
    <t>4207 SHERROD ST</t>
  </si>
  <si>
    <t>SHERROD ST</t>
  </si>
  <si>
    <t xml:space="preserve">HENNION JEFFREY R </t>
  </si>
  <si>
    <t>4232 SHERROD ST</t>
  </si>
  <si>
    <t>HENNION JEFFREY R</t>
  </si>
  <si>
    <t xml:space="preserve">NEUMAN INVESTING LLC                            </t>
  </si>
  <si>
    <t>4215 GENEVA ST</t>
  </si>
  <si>
    <t>S MO PAC EXPY BLDG 4 #125</t>
  </si>
  <si>
    <t xml:space="preserve">PIF FUTURES LLC </t>
  </si>
  <si>
    <t>4219 GARWOOD WAY</t>
  </si>
  <si>
    <t xml:space="preserve">BAUM BRIAN </t>
  </si>
  <si>
    <t>416 44TH ST</t>
  </si>
  <si>
    <t xml:space="preserve">4415 GARWOOD WAY LLC </t>
  </si>
  <si>
    <t>4415 GARWOOD WAY</t>
  </si>
  <si>
    <t>4415 GARWOOD WAY LLC</t>
  </si>
  <si>
    <t>PARK AVE STE 1 B</t>
  </si>
  <si>
    <t>CARLINO EDWARD JAMES &amp; DOROTHY LORRAINE</t>
  </si>
  <si>
    <t>367 44TH ST</t>
  </si>
  <si>
    <t xml:space="preserve">CARLINO EDWARD JAMES </t>
  </si>
  <si>
    <t>HOMER ST</t>
  </si>
  <si>
    <t xml:space="preserve">363 44TH ST PA LLC </t>
  </si>
  <si>
    <t>363 44TH ST</t>
  </si>
  <si>
    <t>WESTCHESTER AVE</t>
  </si>
  <si>
    <t>PORT CHESTER</t>
  </si>
  <si>
    <t xml:space="preserve">OGG HEATHER J </t>
  </si>
  <si>
    <t>357 44TH ST</t>
  </si>
  <si>
    <t xml:space="preserve">LOOSE REBECCA </t>
  </si>
  <si>
    <t>355 44TH ST</t>
  </si>
  <si>
    <t xml:space="preserve">DARIN TRACI </t>
  </si>
  <si>
    <t>341 44TH ST</t>
  </si>
  <si>
    <t xml:space="preserve">BUJALSKI JESSICA </t>
  </si>
  <si>
    <t>335 44TH ST</t>
  </si>
  <si>
    <t xml:space="preserve">TANG HAO TONY </t>
  </si>
  <si>
    <t>331 44TH ST</t>
  </si>
  <si>
    <t>KRCELIC EDWARD J &amp; MARY ANN (W)</t>
  </si>
  <si>
    <t>336 45TH ST</t>
  </si>
  <si>
    <t>CASSIDY ROBERT &amp; LAURIE (W)</t>
  </si>
  <si>
    <t>338 45TH ST</t>
  </si>
  <si>
    <t>CASSIDY ROBERT &amp; LAUR</t>
  </si>
  <si>
    <t xml:space="preserve">AGALLOCO ADAM J                                 </t>
  </si>
  <si>
    <t>352 45TH ST</t>
  </si>
  <si>
    <t xml:space="preserve">PRIYAN LLC </t>
  </si>
  <si>
    <t>289 40TH ST</t>
  </si>
  <si>
    <t xml:space="preserve">SULKIN RANDALL                                  </t>
  </si>
  <si>
    <t>291 40TH ST</t>
  </si>
  <si>
    <t>40TH ST</t>
  </si>
  <si>
    <t xml:space="preserve">BETIT STEVEN                                    </t>
  </si>
  <si>
    <t>299 FISK ST</t>
  </si>
  <si>
    <t xml:space="preserve">GIST NATHANIEL                                  </t>
  </si>
  <si>
    <t>339 FISK ST</t>
  </si>
  <si>
    <t>GIST NATHANIEL MIRABE</t>
  </si>
  <si>
    <t xml:space="preserve">STUART MARGARET P                               </t>
  </si>
  <si>
    <t>349 FISK ST</t>
  </si>
  <si>
    <t>GANO ELAINA R SENDRO &amp; MICHAEL J (H)</t>
  </si>
  <si>
    <t>385 FISK ST</t>
  </si>
  <si>
    <t xml:space="preserve">GANO ELAINA R SENDRO </t>
  </si>
  <si>
    <t>LIFE OF REILLY  PROPERTIES LLC</t>
  </si>
  <si>
    <t>4045 GENEVA ST</t>
  </si>
  <si>
    <t>LIFE OF REILLY PROPER</t>
  </si>
  <si>
    <t>N WASHINGTON ST APT 1102</t>
  </si>
  <si>
    <t>DENVER</t>
  </si>
  <si>
    <t>GARRISON ALEXA N PATRICK C MCWEENEY</t>
  </si>
  <si>
    <t>370 MAIN ST</t>
  </si>
  <si>
    <t xml:space="preserve">BADAWY REBECCA </t>
  </si>
  <si>
    <t>348 MAIN ST</t>
  </si>
  <si>
    <t xml:space="preserve">DULAC MATTHEW JAMES </t>
  </si>
  <si>
    <t>326 MAIN ST</t>
  </si>
  <si>
    <t xml:space="preserve">GAGLIARDI CORY D </t>
  </si>
  <si>
    <t>308 MAIN ST</t>
  </si>
  <si>
    <t>GAGLIARDI CORY D</t>
  </si>
  <si>
    <t>SUFAK KIMBERLY M &amp; DANIEL J SUFAK JR (H)</t>
  </si>
  <si>
    <t>414 42ND ST</t>
  </si>
  <si>
    <t>HUNTERTOWN RD</t>
  </si>
  <si>
    <t xml:space="preserve">BANAHASKY SUSAN L </t>
  </si>
  <si>
    <t>351 MAIN ST</t>
  </si>
  <si>
    <t>BANAHASKY SUSAN L</t>
  </si>
  <si>
    <t>RANDOLPH GURNEY F &amp; LAURA M</t>
  </si>
  <si>
    <t>355 MAIN ST</t>
  </si>
  <si>
    <t xml:space="preserve">MCCARTHY RYAN P </t>
  </si>
  <si>
    <t>434 42ND ST</t>
  </si>
  <si>
    <t xml:space="preserve">USAA FEDERAL SAVINGS </t>
  </si>
  <si>
    <t>RYAN JOSEPH F JR &amp; JANICE K (W)</t>
  </si>
  <si>
    <t>4205 POST ST</t>
  </si>
  <si>
    <t>RYAN JOSEPH F JR &amp; JA</t>
  </si>
  <si>
    <t xml:space="preserve">USNER GREGORY </t>
  </si>
  <si>
    <t>4226 POST ST</t>
  </si>
  <si>
    <t xml:space="preserve">PARK JUN </t>
  </si>
  <si>
    <t>4218 POST ST</t>
  </si>
  <si>
    <t xml:space="preserve">LU JIE PENG </t>
  </si>
  <si>
    <t>4208 POST ST</t>
  </si>
  <si>
    <t>JIE PENG LU</t>
  </si>
  <si>
    <t>SZCZEPANSKI PATRICIA J &amp; PEARL SZCZEPANS KI</t>
  </si>
  <si>
    <t>4205 CALVIN ST</t>
  </si>
  <si>
    <t>CALVIN ST</t>
  </si>
  <si>
    <t>OKORN RICHARD A &amp; WANDA L (W)</t>
  </si>
  <si>
    <t>4217 CALVIN ST</t>
  </si>
  <si>
    <t>WATSON AVE N</t>
  </si>
  <si>
    <t xml:space="preserve">WATERS ZACHARY </t>
  </si>
  <si>
    <t>4212 CALVIN ST</t>
  </si>
  <si>
    <t xml:space="preserve">DIGATE KALI A                                   </t>
  </si>
  <si>
    <t>469 42ND ST</t>
  </si>
  <si>
    <t xml:space="preserve">MCL PARTNERS LLC                                </t>
  </si>
  <si>
    <t>4057 PENN AVE</t>
  </si>
  <si>
    <t>MCL PARTNERS LLC DANI</t>
  </si>
  <si>
    <t>IOLA ST</t>
  </si>
  <si>
    <t xml:space="preserve">375 1/2 MAIN ST PA LLC </t>
  </si>
  <si>
    <t>375 MAIN ST</t>
  </si>
  <si>
    <t>375 1/2 MAIN ST PA LL</t>
  </si>
  <si>
    <t>WESTCHESTER AVE STE N603</t>
  </si>
  <si>
    <t>OHM PROPERTY HOLDINGS  LLC</t>
  </si>
  <si>
    <t>4312 PENN AVE</t>
  </si>
  <si>
    <t>WARRENDALE BAYNE RD STE 375</t>
  </si>
  <si>
    <t>WARRENDALE</t>
  </si>
  <si>
    <t>PENN MANAGEMENT REALTY  LLC</t>
  </si>
  <si>
    <t>4068 PENN AVE</t>
  </si>
  <si>
    <t xml:space="preserve">KONTOS GEORGE                                   </t>
  </si>
  <si>
    <t>4056 PENN AVE</t>
  </si>
  <si>
    <t>STANWIX ST STE 1228</t>
  </si>
  <si>
    <t xml:space="preserve">BRENNAN DANIEL                                  </t>
  </si>
  <si>
    <t>4123 MAIN ST</t>
  </si>
  <si>
    <t>PO BOX 10105</t>
  </si>
  <si>
    <t>4125 MAIN ST</t>
  </si>
  <si>
    <t>CSMF LIMITED LIABILITY  COMPANY</t>
  </si>
  <si>
    <t>4124 MAIN ST</t>
  </si>
  <si>
    <t>CSMF LIMITED LIABILIT</t>
  </si>
  <si>
    <t xml:space="preserve">CHANG YONG C </t>
  </si>
  <si>
    <t>4120 MAIN ST</t>
  </si>
  <si>
    <t>FIELD CLUB RD</t>
  </si>
  <si>
    <t xml:space="preserve">MARONEY CHRISTINE A </t>
  </si>
  <si>
    <t>4070 WOOLSLAYER WAY</t>
  </si>
  <si>
    <t>CABINET ST</t>
  </si>
  <si>
    <t xml:space="preserve">BARNES ALEXIS KATHRYN </t>
  </si>
  <si>
    <t>4027 WOOLSLAYER WAY</t>
  </si>
  <si>
    <t xml:space="preserve">DESHPANDE SEEMA                                 </t>
  </si>
  <si>
    <t>4021 WOOLSLAYER WAY</t>
  </si>
  <si>
    <t xml:space="preserve">RICHLAND CAPITAL LLC                            </t>
  </si>
  <si>
    <t>4568 PENN AVE</t>
  </si>
  <si>
    <t>PARKLAND DR</t>
  </si>
  <si>
    <t>PENN DEVELOPMENTS LP     ETAL</t>
  </si>
  <si>
    <t xml:space="preserve">PENN DEVELOPMENTS LP </t>
  </si>
  <si>
    <t>ETOBICOKE - ON</t>
  </si>
  <si>
    <t xml:space="preserve">INGOLD JAMES PETER                              </t>
  </si>
  <si>
    <t>4550 PENN AVE</t>
  </si>
  <si>
    <t>IVY POINTE BLVD STE 400</t>
  </si>
  <si>
    <t>PENN PIONEER  ENTERPRISES LLC</t>
  </si>
  <si>
    <t>4410 WOOLSLAYER WAY</t>
  </si>
  <si>
    <t>PENN PIONEER ENTERPRI</t>
  </si>
  <si>
    <t xml:space="preserve">WINTERSTEEN KATHERINE </t>
  </si>
  <si>
    <t>4532 CARROLL ST</t>
  </si>
  <si>
    <t>DUNAMIS CAPITAL  PARTNERS LLC</t>
  </si>
  <si>
    <t>4549 CARROLL ST</t>
  </si>
  <si>
    <t>DUNAMIS CAPITAL PARTN</t>
  </si>
  <si>
    <t xml:space="preserve">EVANS LORRAINE </t>
  </si>
  <si>
    <t>4553 CARROLL ST</t>
  </si>
  <si>
    <t>SALERNO BRYAN &amp; LEEANN (W)</t>
  </si>
  <si>
    <t>4569 CARROLL ST</t>
  </si>
  <si>
    <t>4603 CARROLL ST</t>
  </si>
  <si>
    <t xml:space="preserve">ZURAWKA MARLENE M </t>
  </si>
  <si>
    <t>4600 CARROLL ST</t>
  </si>
  <si>
    <t xml:space="preserve">KASEPA SELA </t>
  </si>
  <si>
    <t>4568 CARROLL ST</t>
  </si>
  <si>
    <t>HODNIK JOHN J &amp; DOROTHY M</t>
  </si>
  <si>
    <t>4562 CARROLL ST</t>
  </si>
  <si>
    <t xml:space="preserve">PHAM FAMILY TRUST </t>
  </si>
  <si>
    <t>4558 CARROLL ST</t>
  </si>
  <si>
    <t>HOWLEY STREET PARTNERS   LLC</t>
  </si>
  <si>
    <t>4433 HOWLEY ST</t>
  </si>
  <si>
    <t>*EBILL*ELLSWORTH EQUI</t>
  </si>
  <si>
    <t>PO BOX 90113</t>
  </si>
  <si>
    <t xml:space="preserve">SCHACH DAVID </t>
  </si>
  <si>
    <t>4412 MILGATE ST</t>
  </si>
  <si>
    <t>BEACH ST</t>
  </si>
  <si>
    <t xml:space="preserve">LAKE ALEXANDER P                                </t>
  </si>
  <si>
    <t>4214 MILGATE ST</t>
  </si>
  <si>
    <t>LAKE ALEXANDER P</t>
  </si>
  <si>
    <t>MILGATE ST</t>
  </si>
  <si>
    <t xml:space="preserve">BECCARD PETER </t>
  </si>
  <si>
    <t>4210 MILGATE ST</t>
  </si>
  <si>
    <t xml:space="preserve">DIXON PAUL S &amp; HELEN (W) </t>
  </si>
  <si>
    <t>4443 HOWLEY ST</t>
  </si>
  <si>
    <t xml:space="preserve">ARMSTRONG AMY A                                 </t>
  </si>
  <si>
    <t>4085 CABINET ST</t>
  </si>
  <si>
    <t>JLB CORP</t>
  </si>
  <si>
    <t>ADMINISTRATION DR STE 100</t>
  </si>
  <si>
    <t>SOFFIETTI ANDREW A &amp; STAWSON BATON NIA (W)</t>
  </si>
  <si>
    <t>4075 CABINET ST</t>
  </si>
  <si>
    <t>SOFFIETTI ANDREW A</t>
  </si>
  <si>
    <t xml:space="preserve">ARCA VICTORIA L </t>
  </si>
  <si>
    <t>418 FISK ST</t>
  </si>
  <si>
    <t>OBRIEN WILLIAM E &amp; AGNES F O BRIEN</t>
  </si>
  <si>
    <t>428 FISK ST</t>
  </si>
  <si>
    <t xml:space="preserve">HEFFERNAN KEITH M JR </t>
  </si>
  <si>
    <t>4009 MINTWOOD ST</t>
  </si>
  <si>
    <t>BEATTIE REGIS S &amp; HEATHER</t>
  </si>
  <si>
    <t>459 40TH ST UNIT 1</t>
  </si>
  <si>
    <t>BEATTIE REGIS S &amp; HEA</t>
  </si>
  <si>
    <t>40TH ST UNIT 1</t>
  </si>
  <si>
    <t xml:space="preserve">KRAMAR MATTHEW R </t>
  </si>
  <si>
    <t>459 40TH ST UNIT 3</t>
  </si>
  <si>
    <t xml:space="preserve">THOMPSON FRANCES E </t>
  </si>
  <si>
    <t>4025 HOWLEY ST</t>
  </si>
  <si>
    <t xml:space="preserve">SWEITZER ALAN </t>
  </si>
  <si>
    <t>4035 HOWLEY ST</t>
  </si>
  <si>
    <t xml:space="preserve">TRAN GWENDOLYN                                  </t>
  </si>
  <si>
    <t>4054 CABINET ST</t>
  </si>
  <si>
    <t>TRAN GWENDOLYN</t>
  </si>
  <si>
    <t xml:space="preserve">DIABES MATTHEW ANGELO                           </t>
  </si>
  <si>
    <t>4061 HOWLEY ST</t>
  </si>
  <si>
    <t xml:space="preserve">KNAPP SIMON DAVID                               </t>
  </si>
  <si>
    <t>4068 HOWLEY ST</t>
  </si>
  <si>
    <t>KNAPP SIMON DAVID</t>
  </si>
  <si>
    <t xml:space="preserve">SEILING ROBERT O </t>
  </si>
  <si>
    <t>4056 HOWLEY ST</t>
  </si>
  <si>
    <t>ORCHARD DR</t>
  </si>
  <si>
    <t>MIELE GERALYN M &amp; STEVEN R (H)</t>
  </si>
  <si>
    <t>4034 HOWLEY ST</t>
  </si>
  <si>
    <t>MIELE GERALYN M &amp; STE</t>
  </si>
  <si>
    <t xml:space="preserve">ALHOSNA LLC                                     </t>
  </si>
  <si>
    <t>4041 LIBERTY AVE UNIT 300</t>
  </si>
  <si>
    <t>RANDA SHABATEK</t>
  </si>
  <si>
    <t>BEACON SHORES ST</t>
  </si>
  <si>
    <t>4055 LIBERTY AVE</t>
  </si>
  <si>
    <t xml:space="preserve">LIBERTY 40 CORP                                 </t>
  </si>
  <si>
    <t>4073 LIBERTY AVE</t>
  </si>
  <si>
    <t xml:space="preserve">CHEN FAMILY LIBERTY LLC </t>
  </si>
  <si>
    <t>4115 LIBERTY AVE</t>
  </si>
  <si>
    <t>0 LIBERTY AVE</t>
  </si>
  <si>
    <t xml:space="preserve">SANCHEZ GERARDO C </t>
  </si>
  <si>
    <t>4022 LIBERTY AVE</t>
  </si>
  <si>
    <t xml:space="preserve">LAXMI OIL CORP </t>
  </si>
  <si>
    <t>4006 LIBERTY AVE</t>
  </si>
  <si>
    <t xml:space="preserve">CHECHAK ENTERPRISES LLC </t>
  </si>
  <si>
    <t>4225 MAIN ST</t>
  </si>
  <si>
    <t>CHECHAK ENTERPRISES L</t>
  </si>
  <si>
    <t>MT TROY RD</t>
  </si>
  <si>
    <t>4301 MAIN ST</t>
  </si>
  <si>
    <t>HOWLEY STREET PARTNERS  LLC</t>
  </si>
  <si>
    <t>4427 HOWLEY ST</t>
  </si>
  <si>
    <t>4429 HOWLEY ST</t>
  </si>
  <si>
    <t>4431 HOWLEY ST</t>
  </si>
  <si>
    <t xml:space="preserve">SABATOS CHARLES DANIEL </t>
  </si>
  <si>
    <t>4619 FRIENDSHIP AVE</t>
  </si>
  <si>
    <t>C/O BHHS</t>
  </si>
  <si>
    <t>PO BOX 11139</t>
  </si>
  <si>
    <t xml:space="preserve">HAZI ANDREW C </t>
  </si>
  <si>
    <t>4562 ROSINA WAY</t>
  </si>
  <si>
    <t xml:space="preserve">NUMER KELLEY M                                  </t>
  </si>
  <si>
    <t>4653 GANGWISH ST</t>
  </si>
  <si>
    <t>GANGWISH ST</t>
  </si>
  <si>
    <t>4659 GANGWISH ST</t>
  </si>
  <si>
    <t>MATEJKO JOSEPH R &amp; FRANCES A</t>
  </si>
  <si>
    <t>222 ELLA ST</t>
  </si>
  <si>
    <t>4600 FRIENDSHIP AVE</t>
  </si>
  <si>
    <t>PO BOX 5847</t>
  </si>
  <si>
    <t xml:space="preserve">BLUE SCARLETT LLC </t>
  </si>
  <si>
    <t>200 TAYLOR ST</t>
  </si>
  <si>
    <t>BLUE SCARLETT LLC</t>
  </si>
  <si>
    <t>FOREST DR</t>
  </si>
  <si>
    <t>4618 FRIENDSHIP OWNER  LLC</t>
  </si>
  <si>
    <t>4618 FRIENDSHIP AVE</t>
  </si>
  <si>
    <t>4618 FRIENDSHIP OWNER</t>
  </si>
  <si>
    <t xml:space="preserve">BRUBECK LLC                                     </t>
  </si>
  <si>
    <t>243 ELLA ST</t>
  </si>
  <si>
    <t xml:space="preserve">KEFAL GABRIEL H </t>
  </si>
  <si>
    <t>218 TAYLOR ST</t>
  </si>
  <si>
    <t>W PENN PL</t>
  </si>
  <si>
    <t xml:space="preserve">VAN WAGENEN NICOLE MARIE </t>
  </si>
  <si>
    <t>206 TAYLOR ST</t>
  </si>
  <si>
    <t xml:space="preserve">WARNER DANIEL N                                 </t>
  </si>
  <si>
    <t>221 TAYLOR ST</t>
  </si>
  <si>
    <t xml:space="preserve">NGUYEN KEVIN </t>
  </si>
  <si>
    <t>218 PEARL ST</t>
  </si>
  <si>
    <t>NGUYEN KEVIN</t>
  </si>
  <si>
    <t xml:space="preserve">ROSIES 4621 LLC </t>
  </si>
  <si>
    <t>4621 LIBERTY AVE</t>
  </si>
  <si>
    <t>BEECH DR</t>
  </si>
  <si>
    <t xml:space="preserve">SMOKEY JOE PROPERTIES  LLC                     </t>
  </si>
  <si>
    <t>4312 MAIN ST</t>
  </si>
  <si>
    <t>MACON AVE</t>
  </si>
  <si>
    <t xml:space="preserve">HUDSON RICARDO KR                               </t>
  </si>
  <si>
    <t>4628 PENN AVE</t>
  </si>
  <si>
    <t xml:space="preserve">KEALLY JAMES P </t>
  </si>
  <si>
    <t>4626 PENN AVE</t>
  </si>
  <si>
    <t>PGH LIVING MATTERS LL</t>
  </si>
  <si>
    <t>LOCK HART ST</t>
  </si>
  <si>
    <t>JALF ENTERPRISE  SERVICES LLC</t>
  </si>
  <si>
    <t>4614 PENN AVE</t>
  </si>
  <si>
    <t>PO BOX 14337</t>
  </si>
  <si>
    <t>FAZIO ROBERT M &amp; JOYCE A (W)</t>
  </si>
  <si>
    <t xml:space="preserve">CONDRIN NORMA REGINA                            </t>
  </si>
  <si>
    <t>4613 CARROLL ST</t>
  </si>
  <si>
    <t>CONDRIN NORMA REGINA</t>
  </si>
  <si>
    <t xml:space="preserve">NGUYEN TAM VAN </t>
  </si>
  <si>
    <t>4615 CARROLL ST</t>
  </si>
  <si>
    <t xml:space="preserve">MORI EMANUEL </t>
  </si>
  <si>
    <t>4618 CHOATE WAY</t>
  </si>
  <si>
    <t>EMANUEL MORI</t>
  </si>
  <si>
    <t>LIMESTONE DR</t>
  </si>
  <si>
    <t>TORLEY 4631 LLC          ETAL</t>
  </si>
  <si>
    <t>4631 TORLEY ST</t>
  </si>
  <si>
    <t xml:space="preserve">RICCI CHRISTINA E </t>
  </si>
  <si>
    <t>4619 TORLEY ST</t>
  </si>
  <si>
    <t>4624 TORLEY ST</t>
  </si>
  <si>
    <t xml:space="preserve">HAN QUNHUI                                      </t>
  </si>
  <si>
    <t>4626 TORLEY ST</t>
  </si>
  <si>
    <t>IVY MORTGAGE</t>
  </si>
  <si>
    <t>QUINCE ORCHARD RD STE 630</t>
  </si>
  <si>
    <t>GAITHERSBURG</t>
  </si>
  <si>
    <t xml:space="preserve">BRADLEY DIANE I </t>
  </si>
  <si>
    <t>170 PEARL ST</t>
  </si>
  <si>
    <t>M &amp; M RENTAL PROPERTIES LLC</t>
  </si>
  <si>
    <t>4819 HATFIELD ST</t>
  </si>
  <si>
    <t>M &amp; M RENTAL PROPERTI</t>
  </si>
  <si>
    <t>COCHRAN RD # 146</t>
  </si>
  <si>
    <t>4821 HATFIELD ST</t>
  </si>
  <si>
    <t xml:space="preserve">DAVIS ALEC </t>
  </si>
  <si>
    <t>4850 PLUM WAY</t>
  </si>
  <si>
    <t>PLUM WAY</t>
  </si>
  <si>
    <t>OTKEREN MEHMET DINC &amp; PINAR (W)</t>
  </si>
  <si>
    <t>4908 HARRISON ST</t>
  </si>
  <si>
    <t>4841 PLUM WAY</t>
  </si>
  <si>
    <t xml:space="preserve">CONOVER MEGAN E </t>
  </si>
  <si>
    <t>4844 PLUM WAY</t>
  </si>
  <si>
    <t>CONOVER MEGAN E</t>
  </si>
  <si>
    <t xml:space="preserve">BARNETT LISA </t>
  </si>
  <si>
    <t>4831 HATFIELD ST</t>
  </si>
  <si>
    <t>HATFIELD ST</t>
  </si>
  <si>
    <t xml:space="preserve">KOVACICH CAROL A </t>
  </si>
  <si>
    <t>4856 PLUM WAY</t>
  </si>
  <si>
    <t>GASPER FRANK M &amp; CATHERINE M (W)</t>
  </si>
  <si>
    <t>172 49TH ST</t>
  </si>
  <si>
    <t>49TH ST</t>
  </si>
  <si>
    <t>LURZ JOSHUA P &amp; JESSICA E (W)</t>
  </si>
  <si>
    <t>4936 HARRISON ST</t>
  </si>
  <si>
    <t xml:space="preserve">ERREICHEN INCORPORATED </t>
  </si>
  <si>
    <t>4912 PLUM WAY</t>
  </si>
  <si>
    <t>ERREICHEN INCORPORATE</t>
  </si>
  <si>
    <t>WACHTER AVE</t>
  </si>
  <si>
    <t>NEW KENSINGTON</t>
  </si>
  <si>
    <t xml:space="preserve">FRANKOVICH PAUL R </t>
  </si>
  <si>
    <t>4923 HATFIELD ST</t>
  </si>
  <si>
    <t xml:space="preserve">PALMER KIMBERLY E </t>
  </si>
  <si>
    <t>4932 HATFIELD ST</t>
  </si>
  <si>
    <t>AMERISERV FINANCIAL</t>
  </si>
  <si>
    <t xml:space="preserve">TO LILLIAN                                      </t>
  </si>
  <si>
    <t>4918 HATFIELD ST</t>
  </si>
  <si>
    <t>GAYLOR KYLE E &amp; BRIANNE K (W)</t>
  </si>
  <si>
    <t>190 49TH ST</t>
  </si>
  <si>
    <t xml:space="preserve">PEREZ RICHARD                                   </t>
  </si>
  <si>
    <t>4839 BUTLER ST</t>
  </si>
  <si>
    <t>PEREZ RICHARD</t>
  </si>
  <si>
    <t xml:space="preserve">OTIS CYNTHIA A </t>
  </si>
  <si>
    <t>4915 BUTLER ST</t>
  </si>
  <si>
    <t xml:space="preserve">4923 BUTLER ST PA LLC </t>
  </si>
  <si>
    <t>4923 BUTLER ST</t>
  </si>
  <si>
    <t xml:space="preserve">LBHT LLC </t>
  </si>
  <si>
    <t>4926 BLACKBERRY WAY</t>
  </si>
  <si>
    <t>LBHT LLC</t>
  </si>
  <si>
    <t>18TH ST APT 1B</t>
  </si>
  <si>
    <t xml:space="preserve">MELICK THOMAS J </t>
  </si>
  <si>
    <t>4809 HATFIELD ST</t>
  </si>
  <si>
    <t>4801 HATFIELD ST</t>
  </si>
  <si>
    <t>J D S 48TH ST HOLDINGS  L L C</t>
  </si>
  <si>
    <t>158 48TH ST</t>
  </si>
  <si>
    <t>J D S 48TH ST HOLDING</t>
  </si>
  <si>
    <t>4725 HATFIELD ST</t>
  </si>
  <si>
    <t xml:space="preserve">MAHONEY PETERS S </t>
  </si>
  <si>
    <t>4711 HATFIELD ST</t>
  </si>
  <si>
    <t xml:space="preserve">BENKO DANE D &amp; VICTORIA                </t>
  </si>
  <si>
    <t>130 HOME ST</t>
  </si>
  <si>
    <t>BENKO DANE D &amp; VICTOR</t>
  </si>
  <si>
    <t>NOSZKA DANIEL J &amp; MAUREEN (W)</t>
  </si>
  <si>
    <t>138 HOME ST</t>
  </si>
  <si>
    <t>MAUREEN NOSZKA</t>
  </si>
  <si>
    <t>RAVEN DR</t>
  </si>
  <si>
    <t>REINSEL STEVEN &amp; KRISTEN (W)</t>
  </si>
  <si>
    <t>4628 HATFIELD ST</t>
  </si>
  <si>
    <t>DAVID L CONOVER AND  NOELLE C CONOVER TEVOCAB</t>
  </si>
  <si>
    <t>4640 HATFIELD ST</t>
  </si>
  <si>
    <t>DAVID L CONOVER AND N</t>
  </si>
  <si>
    <t xml:space="preserve">FANG ADAM J </t>
  </si>
  <si>
    <t>152 47TH ST</t>
  </si>
  <si>
    <t xml:space="preserve">HASANAJ BELINDA </t>
  </si>
  <si>
    <t>4738 HATFIELD ST</t>
  </si>
  <si>
    <t xml:space="preserve">BECKER MICHAEL                                  </t>
  </si>
  <si>
    <t>40 48TH ST</t>
  </si>
  <si>
    <t>48TH ST</t>
  </si>
  <si>
    <t xml:space="preserve">ANDERSON MELISSA E                              </t>
  </si>
  <si>
    <t>38 48TH ST</t>
  </si>
  <si>
    <t xml:space="preserve">TONEY RACHEL C </t>
  </si>
  <si>
    <t>4820 HATFIELD ST</t>
  </si>
  <si>
    <t xml:space="preserve">SLATER MICHAEL                                  </t>
  </si>
  <si>
    <t>4818 HATFIELD ST</t>
  </si>
  <si>
    <t>LIPINSKI JOSEPH L &amp; FRANCES A (W)</t>
  </si>
  <si>
    <t>0 PLUMMER ST</t>
  </si>
  <si>
    <t>254 - 46TH LLC</t>
  </si>
  <si>
    <t>DOWIAK MARK JOHN &amp; NAN (W)</t>
  </si>
  <si>
    <t>4747 BUTLER ST</t>
  </si>
  <si>
    <t>DOWIAK MARK JOHN &amp; NA</t>
  </si>
  <si>
    <t>ADAMS-SARTHOU ANNA  BURNETTE</t>
  </si>
  <si>
    <t>4749 BUTLER ST</t>
  </si>
  <si>
    <t>AMALGAMATED BANK</t>
  </si>
  <si>
    <t>7TH AVE FL 6</t>
  </si>
  <si>
    <t>SAMUEL FOXWORTHY  INVESTMENTS LLC</t>
  </si>
  <si>
    <t>4723 BUTLER ST</t>
  </si>
  <si>
    <t>SAMUEL FOXWORTHY INVE</t>
  </si>
  <si>
    <t>COASTAL HWY</t>
  </si>
  <si>
    <t>LEWES</t>
  </si>
  <si>
    <t>CONTI TIMOTHY RICHARD &amp; MIRIAM ALEJANDRA (W)</t>
  </si>
  <si>
    <t>123 43RD ST</t>
  </si>
  <si>
    <t>CONTI TIMOTHY RICHARD</t>
  </si>
  <si>
    <t xml:space="preserve">43RD STREET PITT LLC </t>
  </si>
  <si>
    <t>97 43RD ST</t>
  </si>
  <si>
    <t>W CHESTNUT ST</t>
  </si>
  <si>
    <t xml:space="preserve">KOTYK JANELLE L                                 </t>
  </si>
  <si>
    <t>102 43RD HALF ST</t>
  </si>
  <si>
    <t>MANOR LN</t>
  </si>
  <si>
    <t>KITTANING</t>
  </si>
  <si>
    <t xml:space="preserve">SCHNEIDER HANNAH </t>
  </si>
  <si>
    <t>148 44TH ST</t>
  </si>
  <si>
    <t xml:space="preserve">HARENSKI JASON </t>
  </si>
  <si>
    <t>175 44TH ST</t>
  </si>
  <si>
    <t>STOCKTON MORTGAGE</t>
  </si>
  <si>
    <t>C MICHAEL DAVENPORT BLVD</t>
  </si>
  <si>
    <t>FRANKFORT</t>
  </si>
  <si>
    <t>KY</t>
  </si>
  <si>
    <t>159 LOCARNA WAY</t>
  </si>
  <si>
    <t xml:space="preserve">KRYNSKI JUDY MCKNIGHT </t>
  </si>
  <si>
    <t>151 44TH ST</t>
  </si>
  <si>
    <t xml:space="preserve">PFENNIG CAPITAL LLC </t>
  </si>
  <si>
    <t>147 44TH ST</t>
  </si>
  <si>
    <t xml:space="preserve">REGEV NATAN DAVID </t>
  </si>
  <si>
    <t>129 44TH ST</t>
  </si>
  <si>
    <t>129 LOCARNA WAY</t>
  </si>
  <si>
    <t xml:space="preserve">RINDFUSS JAMES </t>
  </si>
  <si>
    <t>127 44TH ST</t>
  </si>
  <si>
    <t xml:space="preserve">MCCHOW HOLDINGS LLC </t>
  </si>
  <si>
    <t>124 LOCARNA WAY</t>
  </si>
  <si>
    <t>SANGREE RD</t>
  </si>
  <si>
    <t xml:space="preserve">WORTHY MARK H                                   </t>
  </si>
  <si>
    <t>144 45TH ST</t>
  </si>
  <si>
    <t xml:space="preserve">SKOKOS SPIRO D                                  </t>
  </si>
  <si>
    <t>156 45TH ST</t>
  </si>
  <si>
    <t xml:space="preserve">MANASTERSKI MICHAEL JOHN </t>
  </si>
  <si>
    <t>158 LOCARNA WAY</t>
  </si>
  <si>
    <t>PO BOX 6577</t>
  </si>
  <si>
    <t>CAROL STREAM</t>
  </si>
  <si>
    <t xml:space="preserve">O'HARA N ALEXANDER </t>
  </si>
  <si>
    <t>168 45TH ST</t>
  </si>
  <si>
    <t xml:space="preserve">174 45TH STREET TRUST                           </t>
  </si>
  <si>
    <t>174 45TH ST</t>
  </si>
  <si>
    <t xml:space="preserve">MATSON KATHERINE L                              </t>
  </si>
  <si>
    <t>184 45TH ST</t>
  </si>
  <si>
    <t>189 LOCARNA WAY</t>
  </si>
  <si>
    <t>SCHIAVO RONALD &amp; DIANE G (W)</t>
  </si>
  <si>
    <t>194 45TH ST</t>
  </si>
  <si>
    <t>47TH ST</t>
  </si>
  <si>
    <t xml:space="preserve">DESIMONE ALYSSA                                 </t>
  </si>
  <si>
    <t>187 45TH ST</t>
  </si>
  <si>
    <t>LUCCA HENRION</t>
  </si>
  <si>
    <t>16TH ST</t>
  </si>
  <si>
    <t xml:space="preserve">DINARDO MARCIA M </t>
  </si>
  <si>
    <t>177 45TH ST</t>
  </si>
  <si>
    <t xml:space="preserve">DINARDO MARCIA M C/O </t>
  </si>
  <si>
    <t xml:space="preserve">ABEL JASON R </t>
  </si>
  <si>
    <t>174 B COTTON WAY</t>
  </si>
  <si>
    <t xml:space="preserve">GRAND OLD PROPERTIES LLC </t>
  </si>
  <si>
    <t>165 45TH ST</t>
  </si>
  <si>
    <t xml:space="preserve">GRAND OLD PROPERTIES </t>
  </si>
  <si>
    <t>OLD POND RD STE 506A</t>
  </si>
  <si>
    <t xml:space="preserve">SUMMAY BENJAMIN &amp;                         </t>
  </si>
  <si>
    <t>151 45TH ST</t>
  </si>
  <si>
    <t xml:space="preserve">DONOVAN STEPHEN B </t>
  </si>
  <si>
    <t>147 45TH ST</t>
  </si>
  <si>
    <t>PLUS RELOCATION MORTG</t>
  </si>
  <si>
    <t>PO BOX 650840</t>
  </si>
  <si>
    <t xml:space="preserve">WISNIEWSKI JEFFREY A </t>
  </si>
  <si>
    <t>143 COTTON WAY</t>
  </si>
  <si>
    <t>WISNIEWSKI JEFFREY A</t>
  </si>
  <si>
    <t>COTTON WAY</t>
  </si>
  <si>
    <t>DINKFELT FAITH &amp; ROBERT (H)</t>
  </si>
  <si>
    <t>139 45TH ST</t>
  </si>
  <si>
    <t xml:space="preserve">RICE CHRISTOPHER M </t>
  </si>
  <si>
    <t>148 46TH ST</t>
  </si>
  <si>
    <t>CROCKER CIR</t>
  </si>
  <si>
    <t>MORENO VALLEY</t>
  </si>
  <si>
    <t xml:space="preserve">GNRL 46TH STREET LLC </t>
  </si>
  <si>
    <t>168 46TH ST</t>
  </si>
  <si>
    <t>GNRL 46TH STREET LLC</t>
  </si>
  <si>
    <t>GREENTREE RD STE 400</t>
  </si>
  <si>
    <t>WILSON STEVEN A &amp; KILER J (W)</t>
  </si>
  <si>
    <t>170 46TH ST</t>
  </si>
  <si>
    <t xml:space="preserve">EDWARDS TYLER BENNETT </t>
  </si>
  <si>
    <t>186 46TH ST</t>
  </si>
  <si>
    <t xml:space="preserve">WILLEMS NICHOLAS                                </t>
  </si>
  <si>
    <t>192 46TH ST</t>
  </si>
  <si>
    <t xml:space="preserve">JDS BUTLER HOLDINGS LLC </t>
  </si>
  <si>
    <t>4521 BUTLER ST</t>
  </si>
  <si>
    <t xml:space="preserve">TPWK HOLDINGS LLC </t>
  </si>
  <si>
    <t>4617 BUTLER ST</t>
  </si>
  <si>
    <t>TPWK HOLDINGS LLC</t>
  </si>
  <si>
    <t xml:space="preserve">ABBATIA HOLDINGS LLC </t>
  </si>
  <si>
    <t>4619 BUTLER ST</t>
  </si>
  <si>
    <t>173 46TH ST</t>
  </si>
  <si>
    <t xml:space="preserve">HUMBERSTON BENJAMIN J                           </t>
  </si>
  <si>
    <t>171 46TH ST</t>
  </si>
  <si>
    <t xml:space="preserve">MCLAUGHLIN MICHAEL B </t>
  </si>
  <si>
    <t>167 46TH ST</t>
  </si>
  <si>
    <t>182 HOME ST</t>
  </si>
  <si>
    <t>MCLAUGHLIN MICHAEL</t>
  </si>
  <si>
    <t>HOME ST</t>
  </si>
  <si>
    <t xml:space="preserve">FLEISCHMANN OLIVER F </t>
  </si>
  <si>
    <t>170 HOME ST</t>
  </si>
  <si>
    <t>HAZENSTAB JOHN JOSEPH  IV &amp; ALEXANDRA N (W)</t>
  </si>
  <si>
    <t>4615 PLUMMER ST</t>
  </si>
  <si>
    <t xml:space="preserve">BUJALSKI ANTHONY F &amp; CAROL A (W)             </t>
  </si>
  <si>
    <t>4609 PLUMMER ST</t>
  </si>
  <si>
    <t xml:space="preserve">BUJALSKI ANTHONY F &amp; </t>
  </si>
  <si>
    <t xml:space="preserve">BUJALSKI CAROL A &amp; ANTHONY F (H)           </t>
  </si>
  <si>
    <t>4602 MODOC WAY</t>
  </si>
  <si>
    <t>BUJALSKI CAROL A &amp; AN</t>
  </si>
  <si>
    <t xml:space="preserve">DRUMHELLER BYRON COREY                          </t>
  </si>
  <si>
    <t>145 46TH ST</t>
  </si>
  <si>
    <t>WILSON JESSE J &amp; CASSANDRA (W)</t>
  </si>
  <si>
    <t>120 LOCARNA WAY</t>
  </si>
  <si>
    <t xml:space="preserve">BATTISTELLA CARA                                </t>
  </si>
  <si>
    <t>120 45TH ST</t>
  </si>
  <si>
    <t xml:space="preserve">MARCINIAK KENNY G </t>
  </si>
  <si>
    <t>135 46TH ST</t>
  </si>
  <si>
    <t>ZIECINA JOSEPH P &amp; CECELIA A (W)</t>
  </si>
  <si>
    <t>182 47TH ST</t>
  </si>
  <si>
    <t>SCHIAVO RONALD  &amp; DIANE (W)</t>
  </si>
  <si>
    <t>188 47TH ST</t>
  </si>
  <si>
    <t>ROBERT N CARTER &amp; KATHERINE A CARTER LIV I</t>
  </si>
  <si>
    <t>4629 EDEN WAY</t>
  </si>
  <si>
    <t>4635 BUTLER ST</t>
  </si>
  <si>
    <t>CENTENNIAL HALL  PROPERTIES LLC</t>
  </si>
  <si>
    <t>0 BUTLER ST</t>
  </si>
  <si>
    <t>CENTENNIAL HALL PROPE</t>
  </si>
  <si>
    <t>CENTENNIAL HALL  PROPERTIERS LLC</t>
  </si>
  <si>
    <t>190 47TH ST</t>
  </si>
  <si>
    <t xml:space="preserve">IELAPI JOSEPH                                   </t>
  </si>
  <si>
    <t>4606 HATFIELD ST</t>
  </si>
  <si>
    <t xml:space="preserve">DROZD WILLIAM AARRON &amp; ALEXANDRA MARIE (W)     </t>
  </si>
  <si>
    <t>4540 HATFIELD ST</t>
  </si>
  <si>
    <t>WILLIAM AARRON &amp; ALEX</t>
  </si>
  <si>
    <t xml:space="preserve">COX ANDREW MICHAEL                              </t>
  </si>
  <si>
    <t>138 46TH ST</t>
  </si>
  <si>
    <t xml:space="preserve">BROWN OLIVER C &amp; MARY W </t>
  </si>
  <si>
    <t>4927 BREESPORT ST</t>
  </si>
  <si>
    <t>BREESPORT ST</t>
  </si>
  <si>
    <t>HARVEY JANICE V &amp; THEODORE SAMUELS JR</t>
  </si>
  <si>
    <t>0 BREESPORT ST</t>
  </si>
  <si>
    <t>WEBSTER TER</t>
  </si>
  <si>
    <t xml:space="preserve">GERMANY HENRY </t>
  </si>
  <si>
    <t>4923 BREESPORT ST</t>
  </si>
  <si>
    <t>GERMANY HENRY</t>
  </si>
  <si>
    <t>PO BOX 4744</t>
  </si>
  <si>
    <t xml:space="preserve">SAUNDERS EUGENE R </t>
  </si>
  <si>
    <t>4900 SCHENLEY AVE</t>
  </si>
  <si>
    <t>SCHENLEY AVE</t>
  </si>
  <si>
    <t xml:space="preserve">MACAULAY BRADLEY </t>
  </si>
  <si>
    <t>4908 SCHENLEY AVE</t>
  </si>
  <si>
    <t xml:space="preserve">CARTER MARK E &amp; MINNIE R </t>
  </si>
  <si>
    <t>0 SCHENLEY AVE</t>
  </si>
  <si>
    <t xml:space="preserve">PAONESSA MICHAEL </t>
  </si>
  <si>
    <t>0 AISBETT ST</t>
  </si>
  <si>
    <t>WASHINGTON AVE</t>
  </si>
  <si>
    <t>NEWTON FALLS</t>
  </si>
  <si>
    <t xml:space="preserve">GRANT DENISE </t>
  </si>
  <si>
    <t>0 MOSSFIELD ST</t>
  </si>
  <si>
    <t>GRANT DENISE</t>
  </si>
  <si>
    <t>ATLANTIC AVE</t>
  </si>
  <si>
    <t xml:space="preserve">CARTER SOPHINIA </t>
  </si>
  <si>
    <t>0 COLUMBO ST</t>
  </si>
  <si>
    <t>COLUMBO ST</t>
  </si>
  <si>
    <t xml:space="preserve">TOLLIVER ESTHER MCGINNIS </t>
  </si>
  <si>
    <t>4817 COLUMBO ST</t>
  </si>
  <si>
    <t xml:space="preserve">HOPKINS IMA JEAN </t>
  </si>
  <si>
    <t>4815 COLUMBO ST</t>
  </si>
  <si>
    <t xml:space="preserve">BORNER SHIRLEY L </t>
  </si>
  <si>
    <t>4819 COLUMBO ST</t>
  </si>
  <si>
    <t xml:space="preserve">JOHNSON MARIO </t>
  </si>
  <si>
    <t>4825 COLUMBO ST</t>
  </si>
  <si>
    <t xml:space="preserve">PROCTOR EDDIE </t>
  </si>
  <si>
    <t>MORNINGSIDE BAPTIST CHURCH</t>
  </si>
  <si>
    <t>SULLIVAN ST</t>
  </si>
  <si>
    <t>JONES WILLIAM T &amp; FAYE R (W)</t>
  </si>
  <si>
    <t>4859 SULLIVAN ST</t>
  </si>
  <si>
    <t>0 SULLIVAN ST</t>
  </si>
  <si>
    <t>0 N MATHILDA ST</t>
  </si>
  <si>
    <t xml:space="preserve">COSTA LEONARD A JR </t>
  </si>
  <si>
    <t>PPG PL STE 400</t>
  </si>
  <si>
    <t xml:space="preserve">NAMESTNIKOV ANDREY </t>
  </si>
  <si>
    <t>SEABRIGHT ST</t>
  </si>
  <si>
    <t>JONES ERNESTINE  &amp; GUY V JEFFRIES</t>
  </si>
  <si>
    <t>N PACIFIC AVE</t>
  </si>
  <si>
    <t>CURRY GLENN L &amp; KAREN D (W)</t>
  </si>
  <si>
    <t>N MATHILDA ST</t>
  </si>
  <si>
    <t xml:space="preserve">WINSTON PAUL H                                  </t>
  </si>
  <si>
    <t>4857 SULLIVAN ST</t>
  </si>
  <si>
    <t xml:space="preserve">JOHNSON KEVIN </t>
  </si>
  <si>
    <t>4826 MOSSFIELD CT</t>
  </si>
  <si>
    <t>MOSSFIELD CT</t>
  </si>
  <si>
    <t xml:space="preserve">MITCHELL CHRISTINE E </t>
  </si>
  <si>
    <t>4834 MOSSFIELD CT</t>
  </si>
  <si>
    <t xml:space="preserve">MILLENDER ROSETTA A </t>
  </si>
  <si>
    <t>FULLER WILLIE E &amp; MAMIE LEE (W)</t>
  </si>
  <si>
    <t>719 N ATLANTIC AVE</t>
  </si>
  <si>
    <t>N ATLANTIC AVE</t>
  </si>
  <si>
    <t>0 N PACIFIC AVE</t>
  </si>
  <si>
    <t xml:space="preserve">OSTARA EXTERIORS LLC </t>
  </si>
  <si>
    <t>0 N AIKEN AVE</t>
  </si>
  <si>
    <t>PO BOX 100272</t>
  </si>
  <si>
    <t xml:space="preserve">MARSHMAN GERALD </t>
  </si>
  <si>
    <t>547 N AIKEN AVE</t>
  </si>
  <si>
    <t>PO BOX 4821</t>
  </si>
  <si>
    <t>MCCRAY WILLIAM B &amp; ELINOR L</t>
  </si>
  <si>
    <t>MCNELIS D K &amp; P J MC NELIS</t>
  </si>
  <si>
    <t>0 WARBLE ST</t>
  </si>
  <si>
    <t>CENTER AVE</t>
  </si>
  <si>
    <t>ASPINWALL</t>
  </si>
  <si>
    <t>0 MOSSFIELD AVE</t>
  </si>
  <si>
    <t xml:space="preserve">CLIFFORD ELEANOR M </t>
  </si>
  <si>
    <t>TEECE AVE</t>
  </si>
  <si>
    <t>EQUITY TRUST IRA  SAFEKEEPING</t>
  </si>
  <si>
    <t>EQUITY TRUST IRA SAFE</t>
  </si>
  <si>
    <t>EQUITY WAY</t>
  </si>
  <si>
    <t xml:space="preserve">BUTLER ELEANOR M </t>
  </si>
  <si>
    <t xml:space="preserve">JOYNER BOBBY </t>
  </si>
  <si>
    <t>418 N MATHILDA ST</t>
  </si>
  <si>
    <t>525 N MATHILDA ST</t>
  </si>
  <si>
    <t xml:space="preserve">URQUHART ELEANOR </t>
  </si>
  <si>
    <t>521 N MATHILDA ST</t>
  </si>
  <si>
    <t xml:space="preserve">SADDLER LAVERNE </t>
  </si>
  <si>
    <t>421 N MATHILDA ST</t>
  </si>
  <si>
    <t xml:space="preserve">ZOELLER NORMAN H JR </t>
  </si>
  <si>
    <t>4728 KINCAID ST</t>
  </si>
  <si>
    <t>KINCAID ST</t>
  </si>
  <si>
    <t xml:space="preserve">LONG KIM </t>
  </si>
  <si>
    <t>4734 KINCAID ST</t>
  </si>
  <si>
    <t xml:space="preserve">MACDOUGALL ELIZABETH                            </t>
  </si>
  <si>
    <t>4736 KINCAID ST</t>
  </si>
  <si>
    <t>PRICE GEORGIA E &amp; LOUISE PRICE</t>
  </si>
  <si>
    <t>0 KINCAID ST</t>
  </si>
  <si>
    <t>4742 KINCAID ST</t>
  </si>
  <si>
    <t xml:space="preserve">WALKOWIAK BRUNO J </t>
  </si>
  <si>
    <t>317 N MATHILDA ST</t>
  </si>
  <si>
    <t>NCRC HOUSING REHAB FUND  LLC</t>
  </si>
  <si>
    <t>22 YOUNG ST</t>
  </si>
  <si>
    <t>NCRC HOUSING REHAB FU</t>
  </si>
  <si>
    <t>15TH ST STE 400</t>
  </si>
  <si>
    <t xml:space="preserve">JOHNSON JERHARN S SR </t>
  </si>
  <si>
    <t>4708 KINCAID ST</t>
  </si>
  <si>
    <t>KINCAID ST ST</t>
  </si>
  <si>
    <t xml:space="preserve">MCAE REALTY </t>
  </si>
  <si>
    <t>WALNUT ST UNIT #10</t>
  </si>
  <si>
    <t xml:space="preserve">MONOPOLY LANE COMPANY </t>
  </si>
  <si>
    <t>5115 KINCAID ST</t>
  </si>
  <si>
    <t>VELOCITY COMMERCIAL C</t>
  </si>
  <si>
    <t>RUSSELL RANCH RD STE 295</t>
  </si>
  <si>
    <t>THOUSAND OAKS</t>
  </si>
  <si>
    <t xml:space="preserve">WARLOP PAUL R </t>
  </si>
  <si>
    <t>5111 KINCAID ST</t>
  </si>
  <si>
    <t xml:space="preserve">ALMANZA MICHAEL                                 </t>
  </si>
  <si>
    <t>320 N MILLVALE AVE</t>
  </si>
  <si>
    <t xml:space="preserve">MONK JOHNNIE STEVENSON </t>
  </si>
  <si>
    <t>5017 KINCAID ST</t>
  </si>
  <si>
    <t>KINKAID ST</t>
  </si>
  <si>
    <t xml:space="preserve">REAL ESTATE DEVELOPMENT  OPTIONS LLC             </t>
  </si>
  <si>
    <t>4931 KINCAID ST</t>
  </si>
  <si>
    <t>REAL ESTATE DEVELOPME</t>
  </si>
  <si>
    <t>ROTHPLETZ ST</t>
  </si>
  <si>
    <t xml:space="preserve">PEARSON GEORGIA MAE </t>
  </si>
  <si>
    <t>4924 BROWN WAY</t>
  </si>
  <si>
    <t>BROWN WAY</t>
  </si>
  <si>
    <t>BIZYAYEV VLADIC &amp; MARY (W)</t>
  </si>
  <si>
    <t>BIZYAYEV VLADIC &amp; MAR</t>
  </si>
  <si>
    <t>MCKNIGHT EAST DR APT 501</t>
  </si>
  <si>
    <t xml:space="preserve">A&amp;S HOME VENTURA LLC </t>
  </si>
  <si>
    <t>4819 KINCAID ST</t>
  </si>
  <si>
    <t>A&amp;S HOME VENTURA LLC</t>
  </si>
  <si>
    <t>KINCALD ST</t>
  </si>
  <si>
    <t xml:space="preserve">239 42ND ST LLC </t>
  </si>
  <si>
    <t>0 N MILLVALE AVE</t>
  </si>
  <si>
    <t>239 42ND ST LLC</t>
  </si>
  <si>
    <t>KEYSTONE ST UNIT 3</t>
  </si>
  <si>
    <t xml:space="preserve">ROBINSON JOANN L </t>
  </si>
  <si>
    <t>421 N MILLVALE AVE</t>
  </si>
  <si>
    <t xml:space="preserve">ROSE BETHANY LEIGH </t>
  </si>
  <si>
    <t>0 ROSETTA ST</t>
  </si>
  <si>
    <t>BETHANY L ROSE</t>
  </si>
  <si>
    <t>ROSETTA ST</t>
  </si>
  <si>
    <t xml:space="preserve">FARROW RAMAR </t>
  </si>
  <si>
    <t>4911 BROWN WAY</t>
  </si>
  <si>
    <t>STRAWBERRY FIELDS LN</t>
  </si>
  <si>
    <t xml:space="preserve">TOBIASSEN THORIN </t>
  </si>
  <si>
    <t xml:space="preserve">GRAHAM MARGARET </t>
  </si>
  <si>
    <t xml:space="preserve">SVETICH LOVELLA J </t>
  </si>
  <si>
    <t>4931 ROSETTA ST</t>
  </si>
  <si>
    <t xml:space="preserve">ALLEN STANFIELD G </t>
  </si>
  <si>
    <t>4921 ROSETTA ST</t>
  </si>
  <si>
    <t>ROSETA ST</t>
  </si>
  <si>
    <t>ADAMS DEWAYNE L &amp; SHAWN R (W)</t>
  </si>
  <si>
    <t>5104 HILLCREST ST</t>
  </si>
  <si>
    <t>HILLCREST ST</t>
  </si>
  <si>
    <t xml:space="preserve">A&amp;R TWO LLC </t>
  </si>
  <si>
    <t>5108 HILLCREST ST</t>
  </si>
  <si>
    <t>PO BOX 4681</t>
  </si>
  <si>
    <t>ADAMS DEWAYNE LEE  CHARLES JR</t>
  </si>
  <si>
    <t>5116 HILLCREST ST</t>
  </si>
  <si>
    <t>ADAMS SHAWN R</t>
  </si>
  <si>
    <t xml:space="preserve">MCGILL RAYMOND A JR </t>
  </si>
  <si>
    <t>0 N EVALINE ST</t>
  </si>
  <si>
    <t>OAK PARK PL</t>
  </si>
  <si>
    <t xml:space="preserve">DIETZ LEILA </t>
  </si>
  <si>
    <t>5167 BROWN WAY</t>
  </si>
  <si>
    <t xml:space="preserve">SYNAN AUDREY J </t>
  </si>
  <si>
    <t>5179 BROWN WAY</t>
  </si>
  <si>
    <t xml:space="preserve">WILSON CALVIN </t>
  </si>
  <si>
    <t>HOMESTEAD DUQUESNE RD</t>
  </si>
  <si>
    <t xml:space="preserve">LAUGHLIN JENNA RENAE </t>
  </si>
  <si>
    <t>5142 HILLCREST ST</t>
  </si>
  <si>
    <t xml:space="preserve">AFJEH KALVEN </t>
  </si>
  <si>
    <t>5138 HILLCREST ST</t>
  </si>
  <si>
    <t>AFJEH KALVEN</t>
  </si>
  <si>
    <t>E VILLAGE GREEN</t>
  </si>
  <si>
    <t xml:space="preserve">METZ MICHAEL </t>
  </si>
  <si>
    <t>5148 HILLCREST ST</t>
  </si>
  <si>
    <t>LOCKLEY HATTIE E &amp; CHARLES F HEMPHILL</t>
  </si>
  <si>
    <t>5170 HILLCREST ST</t>
  </si>
  <si>
    <t>GARFIELD JUBILEE  ASSOCIATION INC</t>
  </si>
  <si>
    <t>546 N ATLANTIC AVE</t>
  </si>
  <si>
    <t>GARFIELD JUBILEE ASSN</t>
  </si>
  <si>
    <t xml:space="preserve">SAUER MARY </t>
  </si>
  <si>
    <t>612 N ATLANTIC AVE</t>
  </si>
  <si>
    <t>SAUER MARY</t>
  </si>
  <si>
    <t>0 HILLCREST ST</t>
  </si>
  <si>
    <t>WILSON AVE</t>
  </si>
  <si>
    <t>FRANKLIN</t>
  </si>
  <si>
    <t xml:space="preserve">BURTON RODNEY                                   </t>
  </si>
  <si>
    <t>5167 HILLCREST ST</t>
  </si>
  <si>
    <t>BURTON RODNEY</t>
  </si>
  <si>
    <t xml:space="preserve">FULTON MARJORIE </t>
  </si>
  <si>
    <t>5157 HILLCREST ST</t>
  </si>
  <si>
    <t xml:space="preserve">HALL SANDRA C </t>
  </si>
  <si>
    <t xml:space="preserve">WITHERSPOON LOLA </t>
  </si>
  <si>
    <t>5143 HILLCREST ST</t>
  </si>
  <si>
    <t>DANIELS HENRY L &amp; HATTIE O</t>
  </si>
  <si>
    <t>5200 COLUMBO ST</t>
  </si>
  <si>
    <t xml:space="preserve">SAUER MARY J </t>
  </si>
  <si>
    <t>5204 COLUMBO ST</t>
  </si>
  <si>
    <t>SAUER MARY J</t>
  </si>
  <si>
    <t xml:space="preserve">COASTON WILMA J </t>
  </si>
  <si>
    <t>5220 COLUMBO ST</t>
  </si>
  <si>
    <t xml:space="preserve">KEY KEITH B </t>
  </si>
  <si>
    <t>5215 COLUMBO ST</t>
  </si>
  <si>
    <t xml:space="preserve">WOOD RODNEY V </t>
  </si>
  <si>
    <t>702 N PACIFIC AVE</t>
  </si>
  <si>
    <t>WESLEY ST</t>
  </si>
  <si>
    <t xml:space="preserve">JONES KELLI SUE </t>
  </si>
  <si>
    <t>711 N ATLANTIC AVE</t>
  </si>
  <si>
    <t xml:space="preserve">GARFIELD HIGHLANDS LP </t>
  </si>
  <si>
    <t>5349 ROSETTA ST</t>
  </si>
  <si>
    <t>OLD GATESBURG RD</t>
  </si>
  <si>
    <t xml:space="preserve">STREET REED &amp; BERNICE </t>
  </si>
  <si>
    <t>5351 ROSETTA ST</t>
  </si>
  <si>
    <t>STREET REED  &amp; BERNIC</t>
  </si>
  <si>
    <t xml:space="preserve">GRAY WREN                                       </t>
  </si>
  <si>
    <t>5318 HILLCREST ST</t>
  </si>
  <si>
    <t>5324 HILLCREST ST</t>
  </si>
  <si>
    <t xml:space="preserve">PLATER AMBER </t>
  </si>
  <si>
    <t>5348 HILLCREST ST</t>
  </si>
  <si>
    <t>CLEMM LOREN              ETAL</t>
  </si>
  <si>
    <t>337 N AIKEN AVE</t>
  </si>
  <si>
    <t xml:space="preserve">PHILLIPS KEITH R </t>
  </si>
  <si>
    <t xml:space="preserve">SJ GROUP LLC </t>
  </si>
  <si>
    <t>329 N AIKEN AVE</t>
  </si>
  <si>
    <t>BROWNSVILLE RD</t>
  </si>
  <si>
    <t>MITCHELL JOSEPH L  MCDONALD CYNTHIA</t>
  </si>
  <si>
    <t>426 WICKLOW ST</t>
  </si>
  <si>
    <t>WICKLOW ST</t>
  </si>
  <si>
    <t xml:space="preserve">WESTON ANNIE </t>
  </si>
  <si>
    <t>0 WICKLOW ST</t>
  </si>
  <si>
    <t xml:space="preserve">MCCOY RODNEY M </t>
  </si>
  <si>
    <t>5365 HILLCREST ST</t>
  </si>
  <si>
    <t xml:space="preserve">MCCOY RODNEY </t>
  </si>
  <si>
    <t>5363 HILLCREST ST</t>
  </si>
  <si>
    <t>OPEN DOOR PRESBYTERIAN  CHURCH</t>
  </si>
  <si>
    <t>527 EDLAM WAY</t>
  </si>
  <si>
    <t>OPEN DOOR PRESBYTERIA</t>
  </si>
  <si>
    <t>513 WICKLOW ST</t>
  </si>
  <si>
    <t xml:space="preserve">PUGH EVERETT W </t>
  </si>
  <si>
    <t xml:space="preserve">FLINT JORETTA V </t>
  </si>
  <si>
    <t>LARGE AVE</t>
  </si>
  <si>
    <t xml:space="preserve">FLINT JAMES K SR </t>
  </si>
  <si>
    <t>5321 HILLCREST ST</t>
  </si>
  <si>
    <t>ROBINSON CLEVELAND  &amp; ELVIRA RODGERS</t>
  </si>
  <si>
    <t>0 FANNEL ST</t>
  </si>
  <si>
    <t>SANDLING OTIS  &amp; ELEANOR (W)</t>
  </si>
  <si>
    <t xml:space="preserve">GETZ WILBERT C &amp; ANNA M </t>
  </si>
  <si>
    <t>0 DONNA ST</t>
  </si>
  <si>
    <t>DONNA ST</t>
  </si>
  <si>
    <t xml:space="preserve">JENTINA LLC                                     </t>
  </si>
  <si>
    <t>428 DONNA ST</t>
  </si>
  <si>
    <t xml:space="preserve">SABAN JOHN &amp; FRANCES (W) </t>
  </si>
  <si>
    <t>4822 BROAD ST</t>
  </si>
  <si>
    <t xml:space="preserve">COFFEY JOHN V &amp; PATRICIA </t>
  </si>
  <si>
    <t>212 N MATHILDA ST</t>
  </si>
  <si>
    <t xml:space="preserve">JIANSANTE MARGARET </t>
  </si>
  <si>
    <t xml:space="preserve">GASPERIC GEORGE </t>
  </si>
  <si>
    <t>4805 DEARBORN ST</t>
  </si>
  <si>
    <t>DEARBORN ST</t>
  </si>
  <si>
    <t xml:space="preserve">NGUYEN HUE </t>
  </si>
  <si>
    <t>4807 DEARBORN ST</t>
  </si>
  <si>
    <t>NGUYEN HUE</t>
  </si>
  <si>
    <t>VITULLO DR</t>
  </si>
  <si>
    <t xml:space="preserve">RILEY LORRAINE </t>
  </si>
  <si>
    <t>4824 DEARBORN ST</t>
  </si>
  <si>
    <t>SMITHSON EARL LESLIE SR  &amp; KATHERINE (W)</t>
  </si>
  <si>
    <t>118 N MATHILDA ST</t>
  </si>
  <si>
    <t xml:space="preserve">SMITHSON EARL LESLIE </t>
  </si>
  <si>
    <t xml:space="preserve">URBAN METRO LLC </t>
  </si>
  <si>
    <t>4803 PENN AVE</t>
  </si>
  <si>
    <t xml:space="preserve">GJA-BGC JOINT VENTURE </t>
  </si>
  <si>
    <t xml:space="preserve">JORDAN  KARDASHIAN  LLC </t>
  </si>
  <si>
    <t>0 JORDAN WAY</t>
  </si>
  <si>
    <t>JORDAN  KARDASHIAN  L</t>
  </si>
  <si>
    <t>REYNOLDS ST</t>
  </si>
  <si>
    <t xml:space="preserve">CLINTON JASON W </t>
  </si>
  <si>
    <t>312 N WINEBIDDLE ST</t>
  </si>
  <si>
    <t>N WINEBIDDLE ST</t>
  </si>
  <si>
    <t xml:space="preserve">BARNETT KEVIN </t>
  </si>
  <si>
    <t>ESTATE OF  KEVIN S BA</t>
  </si>
  <si>
    <t>SEVENTH AVE STE 1200</t>
  </si>
  <si>
    <t>4926 JORDAN WAY</t>
  </si>
  <si>
    <t xml:space="preserve">LINDSEY BARBARA A </t>
  </si>
  <si>
    <t>4929 BROAD ST</t>
  </si>
  <si>
    <t>5127 BROAD ST</t>
  </si>
  <si>
    <t xml:space="preserve">CLARKE GERARD </t>
  </si>
  <si>
    <t>5133 BROAD ST</t>
  </si>
  <si>
    <t>BYFORD ELBERT JR &amp; CALLIE (W)</t>
  </si>
  <si>
    <t>142 N MILLVALE AVE</t>
  </si>
  <si>
    <t>MILLER WILLIAM H &amp; JAWANNA (W)</t>
  </si>
  <si>
    <t>123 N MILLVALE AVE</t>
  </si>
  <si>
    <t xml:space="preserve">KWW PROPERTIES LLC </t>
  </si>
  <si>
    <t>4913 DEARBORN ST</t>
  </si>
  <si>
    <t>KWW PROPERTIES LLC</t>
  </si>
  <si>
    <t>NETHERWOOD ST</t>
  </si>
  <si>
    <t>SOUTHGATE</t>
  </si>
  <si>
    <t xml:space="preserve">BAILEY WILLADEAN K </t>
  </si>
  <si>
    <t>4927 DEARBORN ST</t>
  </si>
  <si>
    <t>MIDLAND MORTGAGE CO</t>
  </si>
  <si>
    <t>NW GRAND BLVD</t>
  </si>
  <si>
    <t>OKLAHOMA CITY</t>
  </si>
  <si>
    <t xml:space="preserve">WILLIAMS ALBERTA </t>
  </si>
  <si>
    <t>5019 DEARBORN ST</t>
  </si>
  <si>
    <t>JOSEPH ST</t>
  </si>
  <si>
    <t xml:space="preserve">HOLDEN SHELDON                                  </t>
  </si>
  <si>
    <t>0 DEARBORN ST</t>
  </si>
  <si>
    <t>LAUREN SMITH</t>
  </si>
  <si>
    <t>COREY ST</t>
  </si>
  <si>
    <t>WINDSOR</t>
  </si>
  <si>
    <t xml:space="preserve">MILES CELEST M                                  </t>
  </si>
  <si>
    <t>5123 DEARBORN ST</t>
  </si>
  <si>
    <t xml:space="preserve">MILES CELEST M JAMES </t>
  </si>
  <si>
    <t>BLVD OF THE ALLIES STE 901</t>
  </si>
  <si>
    <t xml:space="preserve">TALLEY SANDRA  LEE                              </t>
  </si>
  <si>
    <t>0 GEM WAY</t>
  </si>
  <si>
    <t xml:space="preserve">COLES EVA M </t>
  </si>
  <si>
    <t>5112 DEARBORN ST</t>
  </si>
  <si>
    <t xml:space="preserve">REED MARY A MITCHELL </t>
  </si>
  <si>
    <t>118 N WINEBIDDLE ST</t>
  </si>
  <si>
    <t xml:space="preserve">BURTON SENTA M </t>
  </si>
  <si>
    <t>4930 DEARBORN ST</t>
  </si>
  <si>
    <t>MESA AVE</t>
  </si>
  <si>
    <t>OROVILLE</t>
  </si>
  <si>
    <t xml:space="preserve">MARVEL HOMES LLC </t>
  </si>
  <si>
    <t>4926 DEARBORN ST</t>
  </si>
  <si>
    <t>MARVEL HOMES LLC</t>
  </si>
  <si>
    <t xml:space="preserve">PETERSON LOUIS C </t>
  </si>
  <si>
    <t>4924 DEARBORN ST</t>
  </si>
  <si>
    <t xml:space="preserve">FREEMAN ANTHONY </t>
  </si>
  <si>
    <t>BENX INVESTMENT GROUP  LLC</t>
  </si>
  <si>
    <t>4912 DEARBORN ST</t>
  </si>
  <si>
    <t>4912 LLC</t>
  </si>
  <si>
    <t>CELIA PL</t>
  </si>
  <si>
    <t>110 N MILLVALE AVE</t>
  </si>
  <si>
    <t xml:space="preserve">SUKNESSNAG LLC </t>
  </si>
  <si>
    <t>4905 PENN AVE</t>
  </si>
  <si>
    <t>S GRANDVIEW DR</t>
  </si>
  <si>
    <t xml:space="preserve">FREEMAN DANIEL W                                </t>
  </si>
  <si>
    <t>4921 PENN AVE</t>
  </si>
  <si>
    <t xml:space="preserve">CRISTOBAL PROPERTIES LLC </t>
  </si>
  <si>
    <t>5003 PENN AVE</t>
  </si>
  <si>
    <t xml:space="preserve">CRISTOBAL PROPERTIES </t>
  </si>
  <si>
    <t xml:space="preserve">LOYSEN &amp; KREUTHMEIER REAL ESTATE </t>
  </si>
  <si>
    <t>5115 PENN AVE</t>
  </si>
  <si>
    <t xml:space="preserve">NGUYEN TUAN HOANG </t>
  </si>
  <si>
    <t>5145 PENN AVE</t>
  </si>
  <si>
    <t>GARFIELD JUBILEE  ASSOCIATION</t>
  </si>
  <si>
    <t>SMITHSON ANDREW  &amp; ANTIONETTE (W)</t>
  </si>
  <si>
    <t>5320 ROSETTA ST</t>
  </si>
  <si>
    <t xml:space="preserve">JEFFERSON RACHERA S </t>
  </si>
  <si>
    <t>5325 BROWN WAY</t>
  </si>
  <si>
    <t xml:space="preserve">BROWN ANTHONY K </t>
  </si>
  <si>
    <t>5323 BROWN WAY</t>
  </si>
  <si>
    <t>5311 BROWN WAY</t>
  </si>
  <si>
    <t>5313 BROWN WAY</t>
  </si>
  <si>
    <t xml:space="preserve">AUSTON CONSTANCE E </t>
  </si>
  <si>
    <t>GRANT AVE S APT 101</t>
  </si>
  <si>
    <t>DUQUESNE</t>
  </si>
  <si>
    <t xml:space="preserve">STINSON VICTORIA </t>
  </si>
  <si>
    <t>5313 KINCAID ST</t>
  </si>
  <si>
    <t>5306 BROWN WAY</t>
  </si>
  <si>
    <t>KACZANOSKI EDWARD  &amp; MILDRED</t>
  </si>
  <si>
    <t>5308 BROWN WAY</t>
  </si>
  <si>
    <t>VERMONT AVE</t>
  </si>
  <si>
    <t>BASSETT CECIL  &amp; DARLENE (W)</t>
  </si>
  <si>
    <t>5310 BROWN WAY</t>
  </si>
  <si>
    <t xml:space="preserve">NGO NICK </t>
  </si>
  <si>
    <t>306 N ATLANTIC AVE</t>
  </si>
  <si>
    <t xml:space="preserve">THOMAS IRENE DONNA                              </t>
  </si>
  <si>
    <t>300 N ATLANTIC AVE</t>
  </si>
  <si>
    <t xml:space="preserve">MONTEREY ALLIANCE LLC </t>
  </si>
  <si>
    <t>5215 KINCAID ST</t>
  </si>
  <si>
    <t>OLD MILL RD</t>
  </si>
  <si>
    <t xml:space="preserve">BARNETT KEVIN S </t>
  </si>
  <si>
    <t>5208 BROWN WAY</t>
  </si>
  <si>
    <t>408 N PACIFIC AVE</t>
  </si>
  <si>
    <t>QUARCOO DANIEL &amp; DARLENE (W)</t>
  </si>
  <si>
    <t>5173 KINCAID ST</t>
  </si>
  <si>
    <t>QUARCOO DANIEL &amp; DARL</t>
  </si>
  <si>
    <t xml:space="preserve">NGUYEN THUONG LINH  HUYNH                   </t>
  </si>
  <si>
    <t>5171 KINCAID ST</t>
  </si>
  <si>
    <t xml:space="preserve">ROBERTS DAVID W &amp; RUBY M </t>
  </si>
  <si>
    <t>5223 JORDAN WAY</t>
  </si>
  <si>
    <t>JORDAN WAY</t>
  </si>
  <si>
    <t xml:space="preserve">ROBERTS DAVID W &amp; RUBY </t>
  </si>
  <si>
    <t xml:space="preserve">PHAM PHUONG P </t>
  </si>
  <si>
    <t>311 N ATLANTIC AVE</t>
  </si>
  <si>
    <t>PHAM PHUONG P</t>
  </si>
  <si>
    <t xml:space="preserve">HOUSTON BRENDA LYNETTE                          </t>
  </si>
  <si>
    <t>218 N ATLANTIC AVE</t>
  </si>
  <si>
    <t>HOUSTON BRENDA LYNETT</t>
  </si>
  <si>
    <t xml:space="preserve">DIXON SHEILA </t>
  </si>
  <si>
    <t>5312 KINCAID ST</t>
  </si>
  <si>
    <t xml:space="preserve">LITE ADVENTURES LLC </t>
  </si>
  <si>
    <t>5309 BROAD ST</t>
  </si>
  <si>
    <t>KIAVI FUNDING INC</t>
  </si>
  <si>
    <t>ALLEGHENY CTR STE 200</t>
  </si>
  <si>
    <t xml:space="preserve">SPAGNOLA SANDRA </t>
  </si>
  <si>
    <t>5307 BROAD ST</t>
  </si>
  <si>
    <t>KEINERS LN</t>
  </si>
  <si>
    <t xml:space="preserve">STAY WITH US ONE LLC </t>
  </si>
  <si>
    <t>223 N ATLANTIC AVE</t>
  </si>
  <si>
    <t>KITTANNING PIKE</t>
  </si>
  <si>
    <t xml:space="preserve">WALKER GROVER C JR </t>
  </si>
  <si>
    <t>5223 BROAD ST</t>
  </si>
  <si>
    <t>WALKER GROVE D JR &amp; LINDA D SPELLS-WLKER  (W</t>
  </si>
  <si>
    <t xml:space="preserve">S&amp;SF LLC </t>
  </si>
  <si>
    <t>5217 BROAD ST</t>
  </si>
  <si>
    <t>GLENCHESTER RD</t>
  </si>
  <si>
    <t>SWEET ROBERT ALAN &amp; MARYANN AGNES (W)</t>
  </si>
  <si>
    <t>5203 BROAD ST</t>
  </si>
  <si>
    <t xml:space="preserve">OLIVER FLOYD JR                                 </t>
  </si>
  <si>
    <t>5177 BROAD ST</t>
  </si>
  <si>
    <t xml:space="preserve">MOORE CAROL A </t>
  </si>
  <si>
    <t>5171 JORDAN WAY</t>
  </si>
  <si>
    <t xml:space="preserve">BLANCO DAVID </t>
  </si>
  <si>
    <t>5201 BROAD ST</t>
  </si>
  <si>
    <t xml:space="preserve">ST-CLAIR SYLVIA C </t>
  </si>
  <si>
    <t>5135 BROAD ST</t>
  </si>
  <si>
    <t xml:space="preserve">PHILLIPS NOEL A </t>
  </si>
  <si>
    <t>5168 BROAD ST</t>
  </si>
  <si>
    <t xml:space="preserve">FRYE BEATRICE B </t>
  </si>
  <si>
    <t>5216 BROAD ST</t>
  </si>
  <si>
    <t xml:space="preserve">FRYE LASHAWNE </t>
  </si>
  <si>
    <t>5334 WATERFORD ST</t>
  </si>
  <si>
    <t>WATERFORD ST</t>
  </si>
  <si>
    <t>CHILDRENS HOME OF  PITTSBURGH (THE)</t>
  </si>
  <si>
    <t>170 N ATLANTIC AVE</t>
  </si>
  <si>
    <t>CHILDRENS HOME OF PIT</t>
  </si>
  <si>
    <t>5325 PENN AVE</t>
  </si>
  <si>
    <t xml:space="preserve">ADAMS JAN </t>
  </si>
  <si>
    <t>5231 DEARBORN ST</t>
  </si>
  <si>
    <t xml:space="preserve">GEARHART DONALD </t>
  </si>
  <si>
    <t>5227 DEARBORN ST</t>
  </si>
  <si>
    <t>BROKER SOLUTIONS</t>
  </si>
  <si>
    <t>PO BOX 650076</t>
  </si>
  <si>
    <t>BYRNE MICHAEL J JR &amp; DOROTHY R (W)</t>
  </si>
  <si>
    <t>5203 DEARBORN ST</t>
  </si>
  <si>
    <t>116 N EVALINE ST</t>
  </si>
  <si>
    <t xml:space="preserve">HAMMOND ANITA M </t>
  </si>
  <si>
    <t>5160 DEARBORN ST</t>
  </si>
  <si>
    <t>RAGSDALE RANDOLPH V &amp; GAYLE B (W)</t>
  </si>
  <si>
    <t xml:space="preserve">FREEMAN REBECCA J </t>
  </si>
  <si>
    <t>114 N PACIFIC AVE</t>
  </si>
  <si>
    <t>5208 DEARBORN ST</t>
  </si>
  <si>
    <t>0 BROWN WAY</t>
  </si>
  <si>
    <t xml:space="preserve">HAMILTON WILLIE J </t>
  </si>
  <si>
    <t>5363 ROSETTA ST</t>
  </si>
  <si>
    <t>5377 ROSETTA ST</t>
  </si>
  <si>
    <t>5327 BROWN WAY</t>
  </si>
  <si>
    <t>GARFIELD JUBILEE ASSO</t>
  </si>
  <si>
    <t>5331 BROWN WAY</t>
  </si>
  <si>
    <t xml:space="preserve">ABOUD NICOLAUS </t>
  </si>
  <si>
    <t>5337 BROWN WAY</t>
  </si>
  <si>
    <t>ABOUD NICOLAUS</t>
  </si>
  <si>
    <t>JEFFERSON AVE</t>
  </si>
  <si>
    <t>5339 BROWN WAY</t>
  </si>
  <si>
    <t xml:space="preserve">RAIDERS CARL </t>
  </si>
  <si>
    <t>5340 ROSETTA ST</t>
  </si>
  <si>
    <t>FOSTER RD</t>
  </si>
  <si>
    <t xml:space="preserve">STREET REED  &amp; BERNICE </t>
  </si>
  <si>
    <t>5352 ROSETTA ST</t>
  </si>
  <si>
    <t>JOHN V  STREET</t>
  </si>
  <si>
    <t xml:space="preserve">BOWLES JOYCE A </t>
  </si>
  <si>
    <t>5364 ROSETTA ST</t>
  </si>
  <si>
    <t xml:space="preserve">FERGUSON ELIZABETH J </t>
  </si>
  <si>
    <t>5362 ROSETTA ST</t>
  </si>
  <si>
    <t>PENN AVE APT 912</t>
  </si>
  <si>
    <t xml:space="preserve">REIDM </t>
  </si>
  <si>
    <t>5339 KINCAID ST</t>
  </si>
  <si>
    <t xml:space="preserve">RGK REALTY LP </t>
  </si>
  <si>
    <t>5332 BROWN WAY</t>
  </si>
  <si>
    <t>ONEIDA ST</t>
  </si>
  <si>
    <t xml:space="preserve">KRAMER ROBERT </t>
  </si>
  <si>
    <t>5334 BROWN WAY</t>
  </si>
  <si>
    <t xml:space="preserve">MURPHY NICHOLAS </t>
  </si>
  <si>
    <t>5334 KINCAID ST</t>
  </si>
  <si>
    <t xml:space="preserve">AMERICAN LOTUS LLC </t>
  </si>
  <si>
    <t>5338 KINCAID ST</t>
  </si>
  <si>
    <t>BIG SPRING DR</t>
  </si>
  <si>
    <t>213 N AIKEN AVE</t>
  </si>
  <si>
    <t xml:space="preserve">PHUNG THUAN NGOC                                </t>
  </si>
  <si>
    <t>0 BROAD ST</t>
  </si>
  <si>
    <t>PHUNG THUAN NGOC &amp; RO</t>
  </si>
  <si>
    <t>BORLAND ST</t>
  </si>
  <si>
    <t>EVINS JAMES W &amp; MARGARET D (W)</t>
  </si>
  <si>
    <t>5339 WATERFORD ST</t>
  </si>
  <si>
    <t>NORMA ROBINSON</t>
  </si>
  <si>
    <t xml:space="preserve">3 PENGUINS LLC                                  </t>
  </si>
  <si>
    <t>5350 WATERFORD ST</t>
  </si>
  <si>
    <t>SPIERS SUSAN J</t>
  </si>
  <si>
    <t>STATE RT #29</t>
  </si>
  <si>
    <t>DE GRAFF</t>
  </si>
  <si>
    <t>5326 BROWN WAY</t>
  </si>
  <si>
    <t>COX EDWARD G &amp; INEZ R (W)</t>
  </si>
  <si>
    <t>5207 PENN AVE</t>
  </si>
  <si>
    <t>HARMOTTO NOLAN &amp; HOPE (W)</t>
  </si>
  <si>
    <t>5209 PENN AVE</t>
  </si>
  <si>
    <t xml:space="preserve">REAL DEALS LLC </t>
  </si>
  <si>
    <t>5211 PENN AVE</t>
  </si>
  <si>
    <t>REAL DEALS LLC</t>
  </si>
  <si>
    <t>DONOVAN RD</t>
  </si>
  <si>
    <t>LOS ALAMITOS</t>
  </si>
  <si>
    <t xml:space="preserve">NOLA PROPERTIES LLC </t>
  </si>
  <si>
    <t>5215 PENN AVE</t>
  </si>
  <si>
    <t>ANCIENT ORDER HIBERIANS  DIVISION NO 23</t>
  </si>
  <si>
    <t>5203 CARNEGIE ST</t>
  </si>
  <si>
    <t>ANCIENT ORDER HIBERIA</t>
  </si>
  <si>
    <t xml:space="preserve">BERARD CATHERINE </t>
  </si>
  <si>
    <t>5230 BUTLER ST</t>
  </si>
  <si>
    <t xml:space="preserve">CURRY JENNIFER H </t>
  </si>
  <si>
    <t>5204 BUTLER ST</t>
  </si>
  <si>
    <t>PITTSBURGH SFR  PORTFOLIO 3G LLC</t>
  </si>
  <si>
    <t>5202 BUTLER ST</t>
  </si>
  <si>
    <t>PITTSBURGH SFR PORTFO</t>
  </si>
  <si>
    <t>CATHEDRAL ST</t>
  </si>
  <si>
    <t xml:space="preserve">SESOCH L P </t>
  </si>
  <si>
    <t>5167 BUTLER ST</t>
  </si>
  <si>
    <t>SELINA SHULTZ</t>
  </si>
  <si>
    <t>BUTLER STREET PARTNERS  LLC</t>
  </si>
  <si>
    <t>5175 BUTLER ST</t>
  </si>
  <si>
    <t>BUTLER STREET PARTNER</t>
  </si>
  <si>
    <t xml:space="preserve">OISHII DONBURI INC </t>
  </si>
  <si>
    <t>5227 BUTLER ST</t>
  </si>
  <si>
    <t>OAKLAND AVE</t>
  </si>
  <si>
    <t xml:space="preserve">EIGER HOLDINGS LLC </t>
  </si>
  <si>
    <t>5247 BUTLER ST</t>
  </si>
  <si>
    <t>EIGER HOLDINGS LLC</t>
  </si>
  <si>
    <t xml:space="preserve">FARAH RAFIC &amp;                         </t>
  </si>
  <si>
    <t>5246 HARRISON ST</t>
  </si>
  <si>
    <t>FARAH RAFIC &amp; ATTIE G</t>
  </si>
  <si>
    <t>CANVASBACK RD</t>
  </si>
  <si>
    <t xml:space="preserve">ALBION LAWRENCEVILLE LLC </t>
  </si>
  <si>
    <t>5255 BUTLER ST</t>
  </si>
  <si>
    <t>W 22ND ST</t>
  </si>
  <si>
    <t>OAK BROOK</t>
  </si>
  <si>
    <t xml:space="preserve">CLANCY JASPER </t>
  </si>
  <si>
    <t>5269 DRESDEN WAY</t>
  </si>
  <si>
    <t>CLANCY JASPER</t>
  </si>
  <si>
    <t>DRESDEN WAY</t>
  </si>
  <si>
    <t xml:space="preserve">REPASKY JUSTIN T </t>
  </si>
  <si>
    <t>5241 DRESDEN WAY</t>
  </si>
  <si>
    <t xml:space="preserve">URBANEK KAREN S </t>
  </si>
  <si>
    <t>5240 BUTLER ST</t>
  </si>
  <si>
    <t>P O BOX 253</t>
  </si>
  <si>
    <t>EAST BERLIN</t>
  </si>
  <si>
    <t xml:space="preserve">KANE CORY M </t>
  </si>
  <si>
    <t>5217 CARNEGIE ST</t>
  </si>
  <si>
    <t xml:space="preserve">DRESDEN 5214 LLC </t>
  </si>
  <si>
    <t>5214 DRESDEN WAY</t>
  </si>
  <si>
    <t>CULLEN CAPITAL LLC       ETAL</t>
  </si>
  <si>
    <t>5224 DRESDEN WAY</t>
  </si>
  <si>
    <t>1ST ST</t>
  </si>
  <si>
    <t xml:space="preserve">KIM WON IL                                      </t>
  </si>
  <si>
    <t>5226 DRESDEN WAY</t>
  </si>
  <si>
    <t>KIM WON IL</t>
  </si>
  <si>
    <t xml:space="preserve">CZAPOR BRIAN </t>
  </si>
  <si>
    <t>5228 DRESDEN WAY</t>
  </si>
  <si>
    <t>ARMENTI DONNA &amp; MICHAEL (H)</t>
  </si>
  <si>
    <t>5243 CARNEGIE ST</t>
  </si>
  <si>
    <t>ARMENTI DONNA &amp; MICHA</t>
  </si>
  <si>
    <t xml:space="preserve">SANTERCANGELO ANTHONY </t>
  </si>
  <si>
    <t>5263 CARNEGIE ST</t>
  </si>
  <si>
    <t xml:space="preserve">ABDALLAH DEEMA </t>
  </si>
  <si>
    <t>5265 CARNEGIE ST</t>
  </si>
  <si>
    <t xml:space="preserve">SKRINJAR DAVID N </t>
  </si>
  <si>
    <t>5301 CARNEGIE ST</t>
  </si>
  <si>
    <t xml:space="preserve">THOMAS JASON J </t>
  </si>
  <si>
    <t>5248 CARNEGIE ST</t>
  </si>
  <si>
    <t>DITECH-OUTSOURCHING G</t>
  </si>
  <si>
    <t>PO BOX 6172</t>
  </si>
  <si>
    <t>RAPID CITY</t>
  </si>
  <si>
    <t xml:space="preserve">CARRADINE LLC                                   </t>
  </si>
  <si>
    <t>5229 NATRONA WAY</t>
  </si>
  <si>
    <t xml:space="preserve">DIFFENDERFER RILEY                              </t>
  </si>
  <si>
    <t>5220 CARNEGIE ST</t>
  </si>
  <si>
    <t>5223 NATRONA WAY</t>
  </si>
  <si>
    <t xml:space="preserve">GONNELLA JOHN                                   </t>
  </si>
  <si>
    <t>0 NATRONA WAY</t>
  </si>
  <si>
    <t xml:space="preserve">KANE RYAN                                       </t>
  </si>
  <si>
    <t>405 52ND ST</t>
  </si>
  <si>
    <t>JAMIE D KANE</t>
  </si>
  <si>
    <t>52ND ST</t>
  </si>
  <si>
    <t>5231 KEYSTONE ST</t>
  </si>
  <si>
    <t xml:space="preserve">GALIE MICHAEL </t>
  </si>
  <si>
    <t>5243 KEYSTONE ST</t>
  </si>
  <si>
    <t>KEYSTONE ST</t>
  </si>
  <si>
    <t>5261 KEYSTONE ST</t>
  </si>
  <si>
    <t>YURKIEWICZ TIMOTHY &amp; JENNIFER</t>
  </si>
  <si>
    <t>5271 KEYSTONE ST</t>
  </si>
  <si>
    <t>FAY SERVICING  LLC</t>
  </si>
  <si>
    <t xml:space="preserve">OBRIEN CONNOR                                   </t>
  </si>
  <si>
    <t>5313 KEYSTONE ST</t>
  </si>
  <si>
    <t xml:space="preserve">WHALEY CAROL E </t>
  </si>
  <si>
    <t>308 54TH ST</t>
  </si>
  <si>
    <t xml:space="preserve">CITIMORTGAGE INC     </t>
  </si>
  <si>
    <t xml:space="preserve">NICHOLAS ALEXANDRA K </t>
  </si>
  <si>
    <t>5322 KEYSTONE ST</t>
  </si>
  <si>
    <t>PNC BANK</t>
  </si>
  <si>
    <t>P.O. BOX 13519</t>
  </si>
  <si>
    <t>ARLINGTON</t>
  </si>
  <si>
    <t xml:space="preserve">LUXENBURG JENNIFER L </t>
  </si>
  <si>
    <t>206 MCCANDLESS AVE</t>
  </si>
  <si>
    <t>MCCANDLESS AVE</t>
  </si>
  <si>
    <t xml:space="preserve">BURGBACHER DAVID J </t>
  </si>
  <si>
    <t>5230 KEYSTONE ST</t>
  </si>
  <si>
    <t xml:space="preserve">HAIDAR GHADY                                    </t>
  </si>
  <si>
    <t>5216 KEYSTONE ST</t>
  </si>
  <si>
    <t>GHADY HAIDAR C/O CITI</t>
  </si>
  <si>
    <t>PROVIDENCE</t>
  </si>
  <si>
    <t>RI</t>
  </si>
  <si>
    <t xml:space="preserve">OCONNOR JANET </t>
  </si>
  <si>
    <t>5214 KEYSTONE ST</t>
  </si>
  <si>
    <t xml:space="preserve">HASTINGS CAROLYN </t>
  </si>
  <si>
    <t>5204 KEYSTONE ST</t>
  </si>
  <si>
    <t>5211 KENT WAY</t>
  </si>
  <si>
    <t xml:space="preserve">SCHNEIDER JUSTIN  WILLIAM                 </t>
  </si>
  <si>
    <t>5231 HOLMES ST</t>
  </si>
  <si>
    <t>PHILLIPS OLLITA MARIE &amp; KEVIN JEROME (H)</t>
  </si>
  <si>
    <t>5237 HOLMES ST</t>
  </si>
  <si>
    <t>HOLMES ST</t>
  </si>
  <si>
    <t xml:space="preserve">SOUKI FRANCISCO J </t>
  </si>
  <si>
    <t>5267 HOLMES ST UNIT 303</t>
  </si>
  <si>
    <t>SOUKI FRANCISCO J</t>
  </si>
  <si>
    <t xml:space="preserve">MCCLEARY DEVELOPMENT LLC </t>
  </si>
  <si>
    <t>5267 HOLMES ST UNIT 402</t>
  </si>
  <si>
    <t xml:space="preserve">MCCLEARY DEVELOPMENT </t>
  </si>
  <si>
    <t xml:space="preserve">GRIFFITH BARTLEY P SR </t>
  </si>
  <si>
    <t>5267 HOLMES ST UNIT 405</t>
  </si>
  <si>
    <t>PO BOX 128</t>
  </si>
  <si>
    <t>GIBSON ISLAND</t>
  </si>
  <si>
    <t>KONIDARIS JERRY KONIDARIS THEODORA</t>
  </si>
  <si>
    <t>521 53RD ST</t>
  </si>
  <si>
    <t>DEARBORN DR</t>
  </si>
  <si>
    <t xml:space="preserve">VALEN ANTHONY FRANK                             </t>
  </si>
  <si>
    <t>5308 HOLMES ST</t>
  </si>
  <si>
    <t>5302 HOLMES ST</t>
  </si>
  <si>
    <t>15TH ST NW STE 400</t>
  </si>
  <si>
    <t xml:space="preserve">BEYERL AUDREY J </t>
  </si>
  <si>
    <t>5271 DUNCAN ST</t>
  </si>
  <si>
    <t>DUNCAN ST</t>
  </si>
  <si>
    <t xml:space="preserve">WOOLERY LAURA </t>
  </si>
  <si>
    <t>5273 DUNCAN ST</t>
  </si>
  <si>
    <t>CICC &amp; SONS INVESTMENTS LLC</t>
  </si>
  <si>
    <t>5303 DUNCAN ST</t>
  </si>
  <si>
    <t>CICC &amp; SONS INVESTMEN</t>
  </si>
  <si>
    <t xml:space="preserve">MOOT DAVID </t>
  </si>
  <si>
    <t>5142 BUTLER ST</t>
  </si>
  <si>
    <t xml:space="preserve">IMNC3 LLC </t>
  </si>
  <si>
    <t>5128 BUTLER ST</t>
  </si>
  <si>
    <t>IMNC3 LLC</t>
  </si>
  <si>
    <t xml:space="preserve">CECIL BRYAN                                     </t>
  </si>
  <si>
    <t>0 DRESDEN WAY</t>
  </si>
  <si>
    <t xml:space="preserve">HAWK GT PROPERTIES LLC </t>
  </si>
  <si>
    <t>5110 BUTLER ST</t>
  </si>
  <si>
    <t>HAWK GT PROPERTIES LL</t>
  </si>
  <si>
    <t>56TH ST</t>
  </si>
  <si>
    <t>PITTSBURGH SFR  PORTFOLIO 3F LLC</t>
  </si>
  <si>
    <t>5106 BUTLER ST</t>
  </si>
  <si>
    <t>5102 BUTLER ST</t>
  </si>
  <si>
    <t>OAKLEY AVE</t>
  </si>
  <si>
    <t xml:space="preserve">ADELMAN RACHEL </t>
  </si>
  <si>
    <t>5109 DRESDEN WAY</t>
  </si>
  <si>
    <t>5108 DRESDEN WAY</t>
  </si>
  <si>
    <t xml:space="preserve">TURNER DAVID A </t>
  </si>
  <si>
    <t>5117 CARNEGIE ST</t>
  </si>
  <si>
    <t xml:space="preserve">BRIGHTMINDS PROPERTIES </t>
  </si>
  <si>
    <t>5121 CARNEGIE ST</t>
  </si>
  <si>
    <t>AKBAR MOHAMMAD SHAHAR</t>
  </si>
  <si>
    <t>NW WOODRUSH WAY</t>
  </si>
  <si>
    <t>VILSACK JOHN J &amp; EDWARD L VILSACK</t>
  </si>
  <si>
    <t>5141 CARNEGIE ST</t>
  </si>
  <si>
    <t xml:space="preserve">NIGRO NICHOLAS J </t>
  </si>
  <si>
    <t>5151 CARNEGIE ST</t>
  </si>
  <si>
    <t xml:space="preserve">PERRIN COLLEEN </t>
  </si>
  <si>
    <t>5157 CARNEGIE ST</t>
  </si>
  <si>
    <t>DRAPER &amp; KRAMER MTG C</t>
  </si>
  <si>
    <t>E 22ND ST</t>
  </si>
  <si>
    <t>LOMBARD</t>
  </si>
  <si>
    <t xml:space="preserve">CAPLAN DYLAN                                    </t>
  </si>
  <si>
    <t>5146 CARNEGIE ST</t>
  </si>
  <si>
    <t>KNIGHT CHRISTINE HOLLY   ETAL</t>
  </si>
  <si>
    <t>5130 CARNEGIE ST</t>
  </si>
  <si>
    <t>KNIGHT CHRISTINE HOLL</t>
  </si>
  <si>
    <t>5118 CARNEGIE ST</t>
  </si>
  <si>
    <t>N BROAD ST STE 5 #774</t>
  </si>
  <si>
    <t>MIDDLETOWN</t>
  </si>
  <si>
    <t>SOTERES PETER KIPLING &amp; DESIREE (W)</t>
  </si>
  <si>
    <t>5110 CARNEGIE ST</t>
  </si>
  <si>
    <t>CEBZANOV ANTHONY &amp; ERICA MARIE (W)</t>
  </si>
  <si>
    <t>5111 KEYSTONE ST</t>
  </si>
  <si>
    <t xml:space="preserve">MERCER DANIEL E </t>
  </si>
  <si>
    <t>5129 KEYSTONE ST</t>
  </si>
  <si>
    <t xml:space="preserve">INNAMORATO SARA G </t>
  </si>
  <si>
    <t>5166 NATRONA WAY</t>
  </si>
  <si>
    <t>RAPCHAK MARCIA E &amp; TAYLOR J (H)</t>
  </si>
  <si>
    <t>5157 KEYSTONE ST</t>
  </si>
  <si>
    <t>CENLAR FEDERAL SAV BA</t>
  </si>
  <si>
    <t xml:space="preserve">CAMPANELLA JOE </t>
  </si>
  <si>
    <t>5122 KEYSTONE ST</t>
  </si>
  <si>
    <t>VAN NELSON ANDREW &amp; MARLENE (W)</t>
  </si>
  <si>
    <t>5136 KEYSTONE ST</t>
  </si>
  <si>
    <t xml:space="preserve">MURRAY PATRICK </t>
  </si>
  <si>
    <t>5144 KEYSTONE ST</t>
  </si>
  <si>
    <t xml:space="preserve">BUNNER NICHOLAS F </t>
  </si>
  <si>
    <t>509 52ND ST</t>
  </si>
  <si>
    <t>CITIZENS BANK NA</t>
  </si>
  <si>
    <t>PO BOX 202060</t>
  </si>
  <si>
    <t xml:space="preserve">511 52ND STREET LLC </t>
  </si>
  <si>
    <t>511 52ND ST</t>
  </si>
  <si>
    <t>CAPITAL AVE</t>
  </si>
  <si>
    <t>CHEYENNE</t>
  </si>
  <si>
    <t>KOSTKA ANTHONY &amp; SHAYNA (W)</t>
  </si>
  <si>
    <t>5145 HOLMES ST</t>
  </si>
  <si>
    <t xml:space="preserve">MULLEN CAROL A </t>
  </si>
  <si>
    <t>5148 KENT WAY</t>
  </si>
  <si>
    <t>KENT WAY</t>
  </si>
  <si>
    <t>MARC D LANGE             ETAL</t>
  </si>
  <si>
    <t>5161 STANTON AVE</t>
  </si>
  <si>
    <t>PO BOX 980</t>
  </si>
  <si>
    <t>EAST LANSING</t>
  </si>
  <si>
    <t xml:space="preserve">ABRAMOWICZ KEVIN </t>
  </si>
  <si>
    <t>5138 HOLMES ST</t>
  </si>
  <si>
    <t>5216 HOLMES ST</t>
  </si>
  <si>
    <t xml:space="preserve">WATT OWEN C </t>
  </si>
  <si>
    <t>5218 HOLMES ST</t>
  </si>
  <si>
    <t xml:space="preserve">BOUTROS PROPERTIES LLC </t>
  </si>
  <si>
    <t>5220 HOLMES ST</t>
  </si>
  <si>
    <t>BOUTROS PROPERTIES LL</t>
  </si>
  <si>
    <t>RIDING TRAIL LN</t>
  </si>
  <si>
    <t xml:space="preserve">MERBLER BECKY A </t>
  </si>
  <si>
    <t>5226 HOLMES ST</t>
  </si>
  <si>
    <t>HMT HOLDINGS REVOCABLE TRUST AGREEMENT ETAL</t>
  </si>
  <si>
    <t>5228 HOLMES ST</t>
  </si>
  <si>
    <t>FORBES TRAIL DR</t>
  </si>
  <si>
    <t>SCHIVINS JOSEPH W &amp; JULIE (W)</t>
  </si>
  <si>
    <t>5231 LOTUS WAY</t>
  </si>
  <si>
    <t>W HARDIES RD</t>
  </si>
  <si>
    <t>5231 DUNCAN ST</t>
  </si>
  <si>
    <t xml:space="preserve">JACKSON DANIEL </t>
  </si>
  <si>
    <t>5227 DUNCAN ST</t>
  </si>
  <si>
    <t>COYNE KEVIN M            ETAL</t>
  </si>
  <si>
    <t>5223 DUNCAN ST</t>
  </si>
  <si>
    <t>GREY MICHAEL AND  JEANNE(W)</t>
  </si>
  <si>
    <t>5203 DUNCAN ST</t>
  </si>
  <si>
    <t>HOME POINT CORP</t>
  </si>
  <si>
    <t>PO BOX 117733</t>
  </si>
  <si>
    <t xml:space="preserve">MILLER PATRICIA J </t>
  </si>
  <si>
    <t>5121 DUNCAN ST</t>
  </si>
  <si>
    <t xml:space="preserve">SKELTON JENA M                                  </t>
  </si>
  <si>
    <t>5119 DUNCAN ST</t>
  </si>
  <si>
    <t xml:space="preserve">TIM PATRICK </t>
  </si>
  <si>
    <t>5106 LOTUS WAY</t>
  </si>
  <si>
    <t>37TH ST</t>
  </si>
  <si>
    <t xml:space="preserve">GOODIS CHRISTINE F </t>
  </si>
  <si>
    <t>5105 DUNCAN ST</t>
  </si>
  <si>
    <t xml:space="preserve">TOON KELLEY </t>
  </si>
  <si>
    <t>5112 DUNCAN ST</t>
  </si>
  <si>
    <t xml:space="preserve">ROBBINS MARK P </t>
  </si>
  <si>
    <t>5116 DUNCAN ST</t>
  </si>
  <si>
    <t>ROBBINS MARK P</t>
  </si>
  <si>
    <t>ROYALTY PROPERTIES  GROUP LLC</t>
  </si>
  <si>
    <t>5115 POE WAY</t>
  </si>
  <si>
    <t>ROYALTY PROPERTIES GR</t>
  </si>
  <si>
    <t>MORRIS PAUL J JR &amp; VIRGINIA M LAMBERT-MO RR</t>
  </si>
  <si>
    <t>709 52ND ST</t>
  </si>
  <si>
    <t>MORRIS PAUL J JR &amp; VI</t>
  </si>
  <si>
    <t>5204 DUNCAN ST</t>
  </si>
  <si>
    <t>MOSES ROBERT &amp; ASHLEY (W)</t>
  </si>
  <si>
    <t>5212 DUNCAN ST</t>
  </si>
  <si>
    <t>5217 POE WAY</t>
  </si>
  <si>
    <t xml:space="preserve">MOLONEY GELE BROWN </t>
  </si>
  <si>
    <t>5224 DUNCAN ST</t>
  </si>
  <si>
    <t>804 MCCANDLESS AVE</t>
  </si>
  <si>
    <t>N HAMPTON DR</t>
  </si>
  <si>
    <t>DAVENPORT</t>
  </si>
  <si>
    <t xml:space="preserve">JSJ SUSTAINABLE  INVESTMENTS LLC         </t>
  </si>
  <si>
    <t>807 MCCANDLESS AVE</t>
  </si>
  <si>
    <t>JSJ SUSTAINABLE INVES</t>
  </si>
  <si>
    <t>N OAKLAND AVE APT 105</t>
  </si>
  <si>
    <t>MILWAUKEE</t>
  </si>
  <si>
    <t>WI</t>
  </si>
  <si>
    <t>5229 POE WAY</t>
  </si>
  <si>
    <t>ARTHUR JULIA SOMERS &amp; STEVEN E (H)</t>
  </si>
  <si>
    <t>5239 WICKLIFF ST</t>
  </si>
  <si>
    <t>JULIA SOMERS &amp; STEVEN</t>
  </si>
  <si>
    <t>WINTER LN</t>
  </si>
  <si>
    <t>TALLAHASSEE</t>
  </si>
  <si>
    <t xml:space="preserve">FIESER THOMAS K </t>
  </si>
  <si>
    <t>5228 POE WAY</t>
  </si>
  <si>
    <t>PO BOX 40372</t>
  </si>
  <si>
    <t xml:space="preserve">FIESER THOMAS </t>
  </si>
  <si>
    <t>5226 POE WAY</t>
  </si>
  <si>
    <t>P O BOX 40372</t>
  </si>
  <si>
    <t>KYNDALL R PROPERTY  MANAGEMENT LP</t>
  </si>
  <si>
    <t>5225 WICKLIFF ST</t>
  </si>
  <si>
    <t>KYNDALL R PROPERTY MA</t>
  </si>
  <si>
    <t>BRUSH CREEK RD</t>
  </si>
  <si>
    <t>5223 WICKLIFF ST</t>
  </si>
  <si>
    <t>BRUSH CREEK RD 704</t>
  </si>
  <si>
    <t xml:space="preserve">KYNDALL R PROPERTIES LP </t>
  </si>
  <si>
    <t>5218 POE WAY</t>
  </si>
  <si>
    <t xml:space="preserve">KYNDALL R PROPERTIES </t>
  </si>
  <si>
    <t>BRUSH CREEK RD # 704</t>
  </si>
  <si>
    <t xml:space="preserve">PRICE ALEXANDER S </t>
  </si>
  <si>
    <t>5195 STANTON AVE</t>
  </si>
  <si>
    <t>ZILLOW HOME LOANS LLC</t>
  </si>
  <si>
    <t>EL MONTE ST</t>
  </si>
  <si>
    <t>SHAWNEE MISSIO</t>
  </si>
  <si>
    <t>KS</t>
  </si>
  <si>
    <t xml:space="preserve">WILKINS BRYCE DANIEL </t>
  </si>
  <si>
    <t>5224 WICKLIFF ST</t>
  </si>
  <si>
    <t xml:space="preserve">YOUNG CHARLES JOSEPH II </t>
  </si>
  <si>
    <t>5228 WICKLIFF ST</t>
  </si>
  <si>
    <t>YOUNG CHARLES</t>
  </si>
  <si>
    <t>CAMELIA ST</t>
  </si>
  <si>
    <t xml:space="preserve">SCHACH DAVID                                    </t>
  </si>
  <si>
    <t>902 MCCANDLESS AVE</t>
  </si>
  <si>
    <t>SCHACH DAVID</t>
  </si>
  <si>
    <t>904 MCCANDLESS AVE</t>
  </si>
  <si>
    <t>908 MCCANDLESS AVE</t>
  </si>
  <si>
    <t xml:space="preserve">HOOVER JAMES L </t>
  </si>
  <si>
    <t>0 KENT WAY</t>
  </si>
  <si>
    <t>DODDS RD</t>
  </si>
  <si>
    <t xml:space="preserve">WHITE KATHERINE MEGHAN </t>
  </si>
  <si>
    <t>516 54TH ST</t>
  </si>
  <si>
    <t>PALAGASHVILLI MICHAEL &amp; DIANA (W)</t>
  </si>
  <si>
    <t>5333 HOLMES ST</t>
  </si>
  <si>
    <t>PALAGASHVILLI MICHAEL</t>
  </si>
  <si>
    <t>NE 38TH PL</t>
  </si>
  <si>
    <t>BELLEVUE</t>
  </si>
  <si>
    <t xml:space="preserve">LAMARCA MELISSA </t>
  </si>
  <si>
    <t>5334 HOLMES ST</t>
  </si>
  <si>
    <t>EVERHOME MORTGAGE CO</t>
  </si>
  <si>
    <t xml:space="preserve">LEO DEVLOPMENTS LLC </t>
  </si>
  <si>
    <t>5300 DUNCAN ST</t>
  </si>
  <si>
    <t>SYCAMORE TREE  PROPERTIES LLC</t>
  </si>
  <si>
    <t>5302 DUNCAN ST</t>
  </si>
  <si>
    <t>SYCAMORE TREE PROPERT</t>
  </si>
  <si>
    <t>0 DUNCAN ST</t>
  </si>
  <si>
    <t>5306 DUNCAN ST</t>
  </si>
  <si>
    <t xml:space="preserve">BAKER ZACHARY </t>
  </si>
  <si>
    <t>5308 DUNCAN ST</t>
  </si>
  <si>
    <t xml:space="preserve">HEWITT JAMES A                                  </t>
  </si>
  <si>
    <t>5309 WICKLIFF ST</t>
  </si>
  <si>
    <t>DISALVO TONY  &amp; DEBRA SCOTT (W)</t>
  </si>
  <si>
    <t>0 WICKLIFF ST</t>
  </si>
  <si>
    <t>DISALVO TONY  &amp; DEBRA</t>
  </si>
  <si>
    <t xml:space="preserve">KONIDARIS JERRY                                 </t>
  </si>
  <si>
    <t>5330 WICKLIFF ST</t>
  </si>
  <si>
    <t>HIGGS EDWARD VERNON &amp; CHRISTINA S</t>
  </si>
  <si>
    <t>0 54TH ST</t>
  </si>
  <si>
    <t>54TH ST</t>
  </si>
  <si>
    <t xml:space="preserve">VIDCOMM FUND1 LLC </t>
  </si>
  <si>
    <t>714 LEYDON ST</t>
  </si>
  <si>
    <t>VIDCOMM FUND1 LLC</t>
  </si>
  <si>
    <t>TERRY CT</t>
  </si>
  <si>
    <t>ALLEN</t>
  </si>
  <si>
    <t xml:space="preserve">OLAFIRANYE OLADIPUPO </t>
  </si>
  <si>
    <t>715 LEYDON ST</t>
  </si>
  <si>
    <t xml:space="preserve">ECKENROD RENTALS LLC                            </t>
  </si>
  <si>
    <t>701 KENDALL ST</t>
  </si>
  <si>
    <t>CARE OF SEAN ECKENROD</t>
  </si>
  <si>
    <t>OXBRIDGE DEVELOPMENT  CORPORATION</t>
  </si>
  <si>
    <t>614 KENDALL ST</t>
  </si>
  <si>
    <t>WILLIAM PITT WAY</t>
  </si>
  <si>
    <t xml:space="preserve">EDWARDS ANNIE MAE </t>
  </si>
  <si>
    <t>5516 CELADINE ST</t>
  </si>
  <si>
    <t>CELADINE ST</t>
  </si>
  <si>
    <t>MODER ALBERT M  REVOCABLE TRUST (THE)</t>
  </si>
  <si>
    <t>5417 CAMELIA ST</t>
  </si>
  <si>
    <t xml:space="preserve">DIULUS PAUL F </t>
  </si>
  <si>
    <t>5418 CAMELIA ST</t>
  </si>
  <si>
    <t>SUMMIT DR</t>
  </si>
  <si>
    <t xml:space="preserve">WILLIAMS TONI </t>
  </si>
  <si>
    <t>5414 CAMELIA ST</t>
  </si>
  <si>
    <t>LICATA ROSALIE  &amp; FRANK CALDERONE</t>
  </si>
  <si>
    <t>0 CAMELIA ST</t>
  </si>
  <si>
    <t>FERGUSON RD</t>
  </si>
  <si>
    <t>SWIGER BENJAMIN LEE &amp; RENEE LYNN (W)</t>
  </si>
  <si>
    <t>5565 CAMELIA ST</t>
  </si>
  <si>
    <t xml:space="preserve">ANDERSON HAROLD C &amp; MARY </t>
  </si>
  <si>
    <t>5510 CAMELIA ST</t>
  </si>
  <si>
    <t xml:space="preserve">SHEBETICH DONNA M </t>
  </si>
  <si>
    <t>5522 CAMELIA ST</t>
  </si>
  <si>
    <t>5524 CAMELIA ST</t>
  </si>
  <si>
    <t xml:space="preserve">NESE TARA </t>
  </si>
  <si>
    <t>5604 PRICE WAY</t>
  </si>
  <si>
    <t>HILLENDALE RD</t>
  </si>
  <si>
    <t>BAI PROPERTIES  MANAGEMENT LLC</t>
  </si>
  <si>
    <t>5557 MCCANDLESS AVE</t>
  </si>
  <si>
    <t>BAI PROPERTIES MANAGE</t>
  </si>
  <si>
    <t>JAMESON CT</t>
  </si>
  <si>
    <t>JACKSON WILLIAM  &amp; SHARON J STROBEL</t>
  </si>
  <si>
    <t>5551 MCCANDLESS AVE</t>
  </si>
  <si>
    <t>HAWTHORNE CT</t>
  </si>
  <si>
    <t>JACKSON WILLIAM I &amp; SHARONJ STROBEL</t>
  </si>
  <si>
    <t>0 MCCANDLESS AVE</t>
  </si>
  <si>
    <t>HARTHORNE CT</t>
  </si>
  <si>
    <t>TULLI REGIS C &amp; MAUREEN S (W)</t>
  </si>
  <si>
    <t>4277 UPVIEW TER</t>
  </si>
  <si>
    <t xml:space="preserve">CALIBER HOMES LOANS  </t>
  </si>
  <si>
    <t>SPECTRUM DR # 405</t>
  </si>
  <si>
    <t>ADDISON</t>
  </si>
  <si>
    <t>CLAUDE E FLOWERS &amp; JOYCE Y FLOWERS REVOCABL</t>
  </si>
  <si>
    <t>4295 UPVIEW TER</t>
  </si>
  <si>
    <t>CLAUDE E FLOWERS &amp; JO</t>
  </si>
  <si>
    <t>UPVIEW TER</t>
  </si>
  <si>
    <t>WRIGHT EMILY PATTERSON &amp; SUSAN WOODWARD (W)</t>
  </si>
  <si>
    <t>4387 STANTON AVE</t>
  </si>
  <si>
    <t xml:space="preserve">MONTANO DAVID                                   </t>
  </si>
  <si>
    <t>4359 STANTON AVE</t>
  </si>
  <si>
    <t>MONTANO DAVID</t>
  </si>
  <si>
    <t xml:space="preserve">WALSH BARBARA </t>
  </si>
  <si>
    <t>4312 STANTON AVE</t>
  </si>
  <si>
    <t>HODGE NOAH E &amp; AMANDA R (W)</t>
  </si>
  <si>
    <t>4336 STANTON AVE</t>
  </si>
  <si>
    <t>SHAPIRO RACHEL LAUREN &amp; EZRA A (W)</t>
  </si>
  <si>
    <t>4340 STANTON AVE</t>
  </si>
  <si>
    <t xml:space="preserve">ISLAM FAIZUL </t>
  </si>
  <si>
    <t>4409 COLERIDGE ST</t>
  </si>
  <si>
    <t>ROSSMARE AVE</t>
  </si>
  <si>
    <t xml:space="preserve">WHITE STANFORD E </t>
  </si>
  <si>
    <t>4405 COLERIDGE ST</t>
  </si>
  <si>
    <t xml:space="preserve">NHEK SOKHA LY                                   </t>
  </si>
  <si>
    <t>4374 COLERIDGE ST</t>
  </si>
  <si>
    <t>HAVEN ST</t>
  </si>
  <si>
    <t>DVORCHAK ESTHER M &amp; JOSEPH DVORCHAK JR (H)</t>
  </si>
  <si>
    <t>4533 STANTON AVE</t>
  </si>
  <si>
    <t>DVORCHAK ESTHER M &amp; J</t>
  </si>
  <si>
    <t>WILLS JUDY A &amp; JANET WILLS</t>
  </si>
  <si>
    <t>4510 STANTON AVE</t>
  </si>
  <si>
    <t xml:space="preserve">WILLS JANET M </t>
  </si>
  <si>
    <t>4512 STANTON AVE</t>
  </si>
  <si>
    <t>FRANKLIN MICHAEL C &amp; METANTHI E (W)</t>
  </si>
  <si>
    <t>4534 STANTON AVE</t>
  </si>
  <si>
    <t>BAIN DAVID J REVOCABLE  LIVING TRUST (THE )</t>
  </si>
  <si>
    <t>4602 STANTON AVE</t>
  </si>
  <si>
    <t>COTTAGE LN</t>
  </si>
  <si>
    <t xml:space="preserve">YOUNGBLOOD LEONA A </t>
  </si>
  <si>
    <t>0 COLERIDGE ST</t>
  </si>
  <si>
    <t>MORRELL PARK AVE</t>
  </si>
  <si>
    <t xml:space="preserve">PAMPHILE-CLERFE SMANA                           </t>
  </si>
  <si>
    <t>4507 COLERIDGE ST</t>
  </si>
  <si>
    <t>COLERIDGE ST</t>
  </si>
  <si>
    <t>NOSZKA DANIEL J &amp; MAUREEN S (W)</t>
  </si>
  <si>
    <t>4428 COLERIDGE ST</t>
  </si>
  <si>
    <t>PALMER ROBERT E &amp; IRIS G (W)</t>
  </si>
  <si>
    <t>4444 COLERIDGE ST</t>
  </si>
  <si>
    <t xml:space="preserve">JOHNSON JOHN D </t>
  </si>
  <si>
    <t>1203 WOODBINE ST</t>
  </si>
  <si>
    <t xml:space="preserve">ROBERT MCCUNE III  FAMILY TRUST            </t>
  </si>
  <si>
    <t>1193 WOODBINE ST</t>
  </si>
  <si>
    <t>RAM 5 INC</t>
  </si>
  <si>
    <t>FRANKSTOWN RD # 1116</t>
  </si>
  <si>
    <t xml:space="preserve">DILLION HEATHER E &amp; SEAN P (H)              </t>
  </si>
  <si>
    <t>1184 WOODBINE ST</t>
  </si>
  <si>
    <t>LIBERTO MICHAEL &amp; DEBRA A (W)</t>
  </si>
  <si>
    <t>4532 COLERIDGE ST</t>
  </si>
  <si>
    <t>LIBERTO MICHAEL &amp; DEB</t>
  </si>
  <si>
    <t>4534 COLERIDGE ST</t>
  </si>
  <si>
    <t xml:space="preserve">PAYNE OMARI </t>
  </si>
  <si>
    <t>PAYNE OMARI</t>
  </si>
  <si>
    <t>4606 COLERIDGE ST</t>
  </si>
  <si>
    <t xml:space="preserve">TANG ALEX                                       </t>
  </si>
  <si>
    <t>1172 MCCABE ST</t>
  </si>
  <si>
    <t>TANG ALEX</t>
  </si>
  <si>
    <t>MCCABE ST</t>
  </si>
  <si>
    <t>MITCHELL ALBERT L &amp; PATRICIA (W)</t>
  </si>
  <si>
    <t>1167 STANTON TER</t>
  </si>
  <si>
    <t>MITCHELL ALBERT L &amp; P</t>
  </si>
  <si>
    <t>STANTON TER</t>
  </si>
  <si>
    <t>LALLE FRANK J &amp; ELIZABETH (W)</t>
  </si>
  <si>
    <t>1175 BRINTELL ST</t>
  </si>
  <si>
    <t>SHUMAKER DR</t>
  </si>
  <si>
    <t xml:space="preserve">DUKE WALTER E JR </t>
  </si>
  <si>
    <t>4820 COLERIDGE ST</t>
  </si>
  <si>
    <t xml:space="preserve">BROWN LORETTA L </t>
  </si>
  <si>
    <t>4819 COLERIDGE ST</t>
  </si>
  <si>
    <t>YARBROUGH ALMA M &amp; REBECCA YARBROUGH</t>
  </si>
  <si>
    <t>4745 COLERIDGE ST</t>
  </si>
  <si>
    <t>YARBROUGH ALMA M &amp; RE</t>
  </si>
  <si>
    <t>THOMAS DARLENE L &amp; WILLIAM C THOMAS</t>
  </si>
  <si>
    <t>4734 STANTON AVE</t>
  </si>
  <si>
    <t xml:space="preserve">FRONCZEK ALICIA K </t>
  </si>
  <si>
    <t>164 STANTON CT E</t>
  </si>
  <si>
    <t>FRONCZEK ALICIA K</t>
  </si>
  <si>
    <t>STRATFORD DR</t>
  </si>
  <si>
    <t xml:space="preserve">ZAPLER KENNETH  &amp; RUTH B </t>
  </si>
  <si>
    <t>126 STANTON CT W</t>
  </si>
  <si>
    <t>ZAPLER KENNETH  &amp; RUT</t>
  </si>
  <si>
    <t>STANTON CT W</t>
  </si>
  <si>
    <t xml:space="preserve">CULHANE JOHN </t>
  </si>
  <si>
    <t>5266 WICKLIFF ST</t>
  </si>
  <si>
    <t>WICKLIFF ST</t>
  </si>
  <si>
    <t>PITTSBURGH WATER &amp; SEWER AUTHORITY</t>
  </si>
  <si>
    <t>810 53RD ST</t>
  </si>
  <si>
    <t xml:space="preserve">TSW1 LLC </t>
  </si>
  <si>
    <t>905 MCCANDLESS AVE</t>
  </si>
  <si>
    <t>TSW1 LLC</t>
  </si>
  <si>
    <t>HARTZDALE DRIVE</t>
  </si>
  <si>
    <t>CAMP HILL</t>
  </si>
  <si>
    <t xml:space="preserve">KEBORT BREANNA </t>
  </si>
  <si>
    <t>5239 STANTON AVE</t>
  </si>
  <si>
    <t xml:space="preserve">ARDOLINO RICHARD </t>
  </si>
  <si>
    <t>5256 CELADINE ST</t>
  </si>
  <si>
    <t>ROUTE 156</t>
  </si>
  <si>
    <t>AVONMORE</t>
  </si>
  <si>
    <t>GREEN ERIC &amp; NADIA TOWNSEND</t>
  </si>
  <si>
    <t>906 53RD ST</t>
  </si>
  <si>
    <t>GREEN ERIC &amp; NADIA TO</t>
  </si>
  <si>
    <t xml:space="preserve">YOUNG CHARLES </t>
  </si>
  <si>
    <t>5307 CAMELIA ST</t>
  </si>
  <si>
    <t xml:space="preserve">WEBER  BRENDAN  E </t>
  </si>
  <si>
    <t>5325 CAMELIA ST</t>
  </si>
  <si>
    <t xml:space="preserve">ROCHA GERMAN ANTONIO  RODRIGUEZ               </t>
  </si>
  <si>
    <t>5400 CAMELIA ST</t>
  </si>
  <si>
    <t>FIRST RATE HOME MORTG</t>
  </si>
  <si>
    <t>E SOUTTHERN AVE STE 100</t>
  </si>
  <si>
    <t>TEMPE</t>
  </si>
  <si>
    <t>VAUGHN RUSSELL L &amp; LAURIE A (W)</t>
  </si>
  <si>
    <t>5320 CAMELIA ST</t>
  </si>
  <si>
    <t>VAUGHN LAURIE A</t>
  </si>
  <si>
    <t xml:space="preserve">TAYLOR VIVIAN BRAND </t>
  </si>
  <si>
    <t>5311 MCCANDLESS AVE</t>
  </si>
  <si>
    <t>GUILD MORTGAGE COMPAN</t>
  </si>
  <si>
    <t>PO BOX 818009</t>
  </si>
  <si>
    <t xml:space="preserve">KELLAR ERIC C                                   </t>
  </si>
  <si>
    <t>5300 MCCANDLESS AVE</t>
  </si>
  <si>
    <t xml:space="preserve">ROMANO CHERIE L </t>
  </si>
  <si>
    <t>948 WOODBINE ST</t>
  </si>
  <si>
    <t>WILSON MORRIS C &amp; CAROLYN L (W)</t>
  </si>
  <si>
    <t>946 WOODBINE ST</t>
  </si>
  <si>
    <t xml:space="preserve">SNYDER JAMES L </t>
  </si>
  <si>
    <t>936 WOODBINE ST</t>
  </si>
  <si>
    <t>JACKSON ROOSEVELT J JR &amp; PAMELA (W)</t>
  </si>
  <si>
    <t>930 WOODBINE ST</t>
  </si>
  <si>
    <t>JACKSON ROOSEVELT J J</t>
  </si>
  <si>
    <t xml:space="preserve">COUSAR DEENAH M                                 </t>
  </si>
  <si>
    <t>926 WOODBINE ST</t>
  </si>
  <si>
    <t>WESTWOOD RD</t>
  </si>
  <si>
    <t xml:space="preserve">KAPOOR GAURAV </t>
  </si>
  <si>
    <t>937 WOODBINE ST</t>
  </si>
  <si>
    <t xml:space="preserve">STROTHERS MARLA L </t>
  </si>
  <si>
    <t>953 WOODBINE ST</t>
  </si>
  <si>
    <t xml:space="preserve">PEDDYCORD COLLEEN </t>
  </si>
  <si>
    <t>969 WOODBINE ST</t>
  </si>
  <si>
    <t>KING OTIS F JR &amp; EVELYN L (W)</t>
  </si>
  <si>
    <t xml:space="preserve">ALLEN OLIVER </t>
  </si>
  <si>
    <t>4337 COLERIDGE ST</t>
  </si>
  <si>
    <t>OAKCREST RD</t>
  </si>
  <si>
    <t xml:space="preserve">SCOTT EDWARD E </t>
  </si>
  <si>
    <t>4347 COLERIDGE ST</t>
  </si>
  <si>
    <t xml:space="preserve">NHEK SOKHA LY </t>
  </si>
  <si>
    <t>4355 COLERIDGE ST</t>
  </si>
  <si>
    <t>NHEK SOKHA LY</t>
  </si>
  <si>
    <t>E BRUCETON RD</t>
  </si>
  <si>
    <t xml:space="preserve">GILMORE JANAY CHANEL </t>
  </si>
  <si>
    <t>4368 COLERIDGE ST</t>
  </si>
  <si>
    <t>GILMORE JANAY CHANEL</t>
  </si>
  <si>
    <t>BEASLEY KAREN P &amp; MARJORIE W BEASLEY</t>
  </si>
  <si>
    <t>4356 COLERIDGE ST</t>
  </si>
  <si>
    <t xml:space="preserve">CALL TO DUTY HOMES INC </t>
  </si>
  <si>
    <t>4348 COLERIDGE ST</t>
  </si>
  <si>
    <t>CALL TO DUTY HOMES IN</t>
  </si>
  <si>
    <t>DUFF RD</t>
  </si>
  <si>
    <t xml:space="preserve">PENDLETON CHARLES </t>
  </si>
  <si>
    <t>1119 WOODBINE ST</t>
  </si>
  <si>
    <t xml:space="preserve">TUFF PROPERTIES </t>
  </si>
  <si>
    <t>1139 WOODBINE ST</t>
  </si>
  <si>
    <t>TUFF PROPERTIES</t>
  </si>
  <si>
    <t>P.O. BOX 534 DR</t>
  </si>
  <si>
    <t xml:space="preserve">JONES CECIL P </t>
  </si>
  <si>
    <t>1010 WOODBINE ST</t>
  </si>
  <si>
    <t xml:space="preserve">WILSON EDITH A </t>
  </si>
  <si>
    <t>4280 COLERIDGE ST</t>
  </si>
  <si>
    <t xml:space="preserve">HOPKINS CHARLES M </t>
  </si>
  <si>
    <t>1118 STANTON TER</t>
  </si>
  <si>
    <t xml:space="preserve">HILL KAREN D </t>
  </si>
  <si>
    <t>1136 STANTON TER</t>
  </si>
  <si>
    <t xml:space="preserve">ELLARD MILLICENT M                              </t>
  </si>
  <si>
    <t>1156 BRINTELL ST</t>
  </si>
  <si>
    <t>ELLARD MILLICENT M</t>
  </si>
  <si>
    <t>BRINTELL ST</t>
  </si>
  <si>
    <t xml:space="preserve">LEVIN JOEL MORTON                               </t>
  </si>
  <si>
    <t>0 ELENA CT</t>
  </si>
  <si>
    <t>LEVIN JOEL MORTON JAR</t>
  </si>
  <si>
    <t>31ST ST</t>
  </si>
  <si>
    <t>SAN DIEGO</t>
  </si>
  <si>
    <t xml:space="preserve">SCOTT JANESE LOUISE </t>
  </si>
  <si>
    <t>969 MILLERDALE ST</t>
  </si>
  <si>
    <t>SHOSHONE CIR</t>
  </si>
  <si>
    <t>KATHLEEN</t>
  </si>
  <si>
    <t xml:space="preserve">CORR JAMES </t>
  </si>
  <si>
    <t>961 MILLERDALE ST</t>
  </si>
  <si>
    <t>CORR JAMES</t>
  </si>
  <si>
    <t>MCCANDLESS AVE APT 2 REAR</t>
  </si>
  <si>
    <t xml:space="preserve">GRIFFIN JAN R </t>
  </si>
  <si>
    <t>982 MILLERDALE ST</t>
  </si>
  <si>
    <t>MILLERDALE ST</t>
  </si>
  <si>
    <t xml:space="preserve">FERSCHKE OLIVER HEINZ </t>
  </si>
  <si>
    <t>1107 STANTON TER</t>
  </si>
  <si>
    <t xml:space="preserve">HORSLEY JOHN W </t>
  </si>
  <si>
    <t>1048 MCCABE ST</t>
  </si>
  <si>
    <t xml:space="preserve">VAUGHN DEANNA </t>
  </si>
  <si>
    <t>9 COLERIDGE PL</t>
  </si>
  <si>
    <t>PEACHTREE RD NE APT 1205</t>
  </si>
  <si>
    <t xml:space="preserve">GRIFFIN DENISE </t>
  </si>
  <si>
    <t>1056 STANTON TER</t>
  </si>
  <si>
    <t xml:space="preserve">BERRY LOUIS W JR </t>
  </si>
  <si>
    <t>1044 STANTON TER</t>
  </si>
  <si>
    <t>WILBORN JERROLD V &amp; PATRICIA R (W)</t>
  </si>
  <si>
    <t>1047 STANTON TER</t>
  </si>
  <si>
    <t xml:space="preserve">GIBSON DONNA E </t>
  </si>
  <si>
    <t>1134 WOODBINE ST</t>
  </si>
  <si>
    <t xml:space="preserve">ARMSTRONG STACEY </t>
  </si>
  <si>
    <t>1120 WOODBINE ST</t>
  </si>
  <si>
    <t>TRENZ JOHN J &amp; LA VERNE A (W)</t>
  </si>
  <si>
    <t>5017 SOMERVILLE ST</t>
  </si>
  <si>
    <t xml:space="preserve">COOPER VIOLA M </t>
  </si>
  <si>
    <t>4921 COLERIDGE ST</t>
  </si>
  <si>
    <t>SUTTON EDWARD MARTIN &amp; LORETTA LEE</t>
  </si>
  <si>
    <t>5009 ROSECREST DR</t>
  </si>
  <si>
    <t>ROSECREST DR</t>
  </si>
  <si>
    <t>CALVIMONTES ERINM &amp; GREGORY G (H)</t>
  </si>
  <si>
    <t>4928 SOMERVILLE ST</t>
  </si>
  <si>
    <t xml:space="preserve">STRONG GABRIELLE J                              </t>
  </si>
  <si>
    <t>5014 SOMERVILLE ST</t>
  </si>
  <si>
    <t>ROBINSON CARL B &amp; DELORES M CARTER</t>
  </si>
  <si>
    <t>5040 SOMERVILLE ST</t>
  </si>
  <si>
    <t>ROBINSON CARL B &amp; DEL</t>
  </si>
  <si>
    <t>FULTON ROBERT  &amp; MARTHA R (W)</t>
  </si>
  <si>
    <t>5047 ROSECREST DR</t>
  </si>
  <si>
    <t xml:space="preserve">WILSON SANDRA F </t>
  </si>
  <si>
    <t>5023 ROSECREST DR</t>
  </si>
  <si>
    <t>5017 ROSECREST DR</t>
  </si>
  <si>
    <t xml:space="preserve">ROBERTS TONI L                                  </t>
  </si>
  <si>
    <t>5036 ROSECREST DR</t>
  </si>
  <si>
    <t>ROBERTS TONI L</t>
  </si>
  <si>
    <t>EPIC EDUCATIONAL PROJECTS</t>
  </si>
  <si>
    <t>5044 ROSECREST DR</t>
  </si>
  <si>
    <t xml:space="preserve">TAYLOR YVETTE L </t>
  </si>
  <si>
    <t>5062 ROSECREST PL</t>
  </si>
  <si>
    <t xml:space="preserve">SABUNANI HARESH P </t>
  </si>
  <si>
    <t>5068 ROSECREST PL</t>
  </si>
  <si>
    <t>WILLOUGHBY RD</t>
  </si>
  <si>
    <t>BRIDGETT ADOLPH  &amp; DELAURIESE W (W)</t>
  </si>
  <si>
    <t>1025 ORANMORE ST</t>
  </si>
  <si>
    <t xml:space="preserve">CARTER ARTHUR L JR </t>
  </si>
  <si>
    <t>993 ORANMORE ST</t>
  </si>
  <si>
    <t>HAZARD ISREAL E &amp; ANNABELL</t>
  </si>
  <si>
    <t>106 ELENA CT</t>
  </si>
  <si>
    <t>ELENA CT</t>
  </si>
  <si>
    <t xml:space="preserve">SANDS MICHAEL O                                 </t>
  </si>
  <si>
    <t>102 ELENA CT</t>
  </si>
  <si>
    <t>SANDS MICHAEL O</t>
  </si>
  <si>
    <t>W OLNEY AVE</t>
  </si>
  <si>
    <t>COLEMAN ANDREW  &amp; EDWINA D (W)</t>
  </si>
  <si>
    <t>4277 COLERIDGE ST</t>
  </si>
  <si>
    <t>TH PROPERTY OWNER I LLC  ETAL</t>
  </si>
  <si>
    <t>4259 COLERIDGE ST</t>
  </si>
  <si>
    <t>TAXPROPER INC</t>
  </si>
  <si>
    <t>PO BOX 557</t>
  </si>
  <si>
    <t>PICO RIVERA</t>
  </si>
  <si>
    <t xml:space="preserve">PARR JOAN </t>
  </si>
  <si>
    <t>4227 COLERIDGE ST</t>
  </si>
  <si>
    <t>BRIARIDGE DR</t>
  </si>
  <si>
    <t>TURTLE CREEK</t>
  </si>
  <si>
    <t>ADAMS LEROY P &amp; PAYTON ADAMS</t>
  </si>
  <si>
    <t>4246 COLERIDGE ST</t>
  </si>
  <si>
    <t>EPIC EDUCATIONAL  PROJECTS &amp; INFORMATION C</t>
  </si>
  <si>
    <t>941 BRINTELL ST</t>
  </si>
  <si>
    <t>EPIC EDUCATIONAL PROJ</t>
  </si>
  <si>
    <t>COBBS LOUISE R &amp; MARTHA R FULTON</t>
  </si>
  <si>
    <t>937 BRINTELL ST</t>
  </si>
  <si>
    <t>COBBS LOUISE R &amp; MART</t>
  </si>
  <si>
    <t xml:space="preserve">WADE ROBERT L </t>
  </si>
  <si>
    <t>914 BRINTELL ST</t>
  </si>
  <si>
    <t xml:space="preserve">VIA TONI L </t>
  </si>
  <si>
    <t>918 BRINTELL ST</t>
  </si>
  <si>
    <t xml:space="preserve">BAILEY LINDA E </t>
  </si>
  <si>
    <t>930 BRINTELL ST</t>
  </si>
  <si>
    <t xml:space="preserve">CHAPPELL MINERVA J </t>
  </si>
  <si>
    <t>960 BRINTELL ST</t>
  </si>
  <si>
    <t>DENNISON REGINALD T &amp; DEBRA A (W)</t>
  </si>
  <si>
    <t>1000 BRINTELL ST</t>
  </si>
  <si>
    <t xml:space="preserve">COLEMAN HOMER JR </t>
  </si>
  <si>
    <t>122 SCHENLEY MANOR DR</t>
  </si>
  <si>
    <t>COLEMAN HOMER JR</t>
  </si>
  <si>
    <t>SCHENLEY MANOR DR</t>
  </si>
  <si>
    <t xml:space="preserve">KING CASSANDRA A </t>
  </si>
  <si>
    <t>900 MILLERDALE ST</t>
  </si>
  <si>
    <t>GONZAGA CIR</t>
  </si>
  <si>
    <t>HAMPTON</t>
  </si>
  <si>
    <t xml:space="preserve">JEFFERSON KAREN                                 </t>
  </si>
  <si>
    <t>920 MILLERDALE ST</t>
  </si>
  <si>
    <t xml:space="preserve">MOORE SHAWNECE L </t>
  </si>
  <si>
    <t>924 MILLERDALE ST</t>
  </si>
  <si>
    <t>THORNE RONALD  &amp; PATRICIA L (W)</t>
  </si>
  <si>
    <t>941 ORANMORE ST</t>
  </si>
  <si>
    <t xml:space="preserve">WEATHERS JACQUELYNN </t>
  </si>
  <si>
    <t>931 ORANMORE ST</t>
  </si>
  <si>
    <t xml:space="preserve">TAYLOR COLETTE MICHELLE </t>
  </si>
  <si>
    <t>921 ORANMORE ST</t>
  </si>
  <si>
    <t>TAYLOR COLETTE MICHEL</t>
  </si>
  <si>
    <t>PATRICK DAVID A &amp; VERLEAN (W)</t>
  </si>
  <si>
    <t>849 ORANMORE ST</t>
  </si>
  <si>
    <t>TURNER HOWARD J JR &amp; ADRIENNE (W)</t>
  </si>
  <si>
    <t>204 SCHENLEY MANOR DR</t>
  </si>
  <si>
    <t>JONES LEONARD S &amp; ROSALEE (W)</t>
  </si>
  <si>
    <t>206 SCHENLEY MANOR DR</t>
  </si>
  <si>
    <t xml:space="preserve">BROWN ELAINA </t>
  </si>
  <si>
    <t>216 SCHENLEY MANOR DR</t>
  </si>
  <si>
    <t xml:space="preserve">MON VALLEY COMMUNITY </t>
  </si>
  <si>
    <t>ALLENPORT</t>
  </si>
  <si>
    <t xml:space="preserve">GRACE CORNELIUS G JR </t>
  </si>
  <si>
    <t>904 ORANMORE ST</t>
  </si>
  <si>
    <t xml:space="preserve">AL FATLAWI MUDHIR                               </t>
  </si>
  <si>
    <t>5093 ROSECREST DR</t>
  </si>
  <si>
    <t>ST JAMES AFRICAN  METHODIST ESPISCOPAL CHU</t>
  </si>
  <si>
    <t>5085 ROSECREST DR</t>
  </si>
  <si>
    <t>ST JAMES AFRICAN METH</t>
  </si>
  <si>
    <t xml:space="preserve">ALFATLWI HASSAN                                 </t>
  </si>
  <si>
    <t>5094 ROSECREST DR</t>
  </si>
  <si>
    <t>PICKETT ALVIN E &amp; CLAUDIA J (W)</t>
  </si>
  <si>
    <t>5162 ROSECREST PL</t>
  </si>
  <si>
    <t xml:space="preserve">WITCHEL JEREMY                                  </t>
  </si>
  <si>
    <t>5156 ROSECREST PL</t>
  </si>
  <si>
    <t xml:space="preserve">STEWART LAURA J </t>
  </si>
  <si>
    <t>5145 ROSECREST PL</t>
  </si>
  <si>
    <t xml:space="preserve">WHITE DAVID &amp; JANICE (W) </t>
  </si>
  <si>
    <t>5139 ROSECREST PL</t>
  </si>
  <si>
    <t>PA HOUSING FINAN AGEN</t>
  </si>
  <si>
    <t xml:space="preserve">PHILLIPS ANTHONY JR </t>
  </si>
  <si>
    <t>5133 ROSECREST PL</t>
  </si>
  <si>
    <t xml:space="preserve">WRIGHT NIKKISHA </t>
  </si>
  <si>
    <t>5087 ROSECREST PL</t>
  </si>
  <si>
    <t>0 ROSECREST PL</t>
  </si>
  <si>
    <t xml:space="preserve">LOWRY QUINCY </t>
  </si>
  <si>
    <t>930 ORANMORE ST</t>
  </si>
  <si>
    <t>LOWRY QUINCY</t>
  </si>
  <si>
    <t xml:space="preserve">INGRAM CHARLES JR </t>
  </si>
  <si>
    <t>924 ORANMORE ST</t>
  </si>
  <si>
    <t xml:space="preserve">AVILA LUIS </t>
  </si>
  <si>
    <t>920 ORANMORE ST</t>
  </si>
  <si>
    <t>MANOR AVE</t>
  </si>
  <si>
    <t>211 SCHENLEY MANOR DR</t>
  </si>
  <si>
    <t xml:space="preserve">LONEKER COLE                                    </t>
  </si>
  <si>
    <t>215 SCHENLEY MANOR DR</t>
  </si>
  <si>
    <t xml:space="preserve">PHIFER SHARONM </t>
  </si>
  <si>
    <t>221 SCHENLEY MANOR DR</t>
  </si>
  <si>
    <t>PHIFER SHARONM</t>
  </si>
  <si>
    <t xml:space="preserve">HUSSEIN CLAUDIA L </t>
  </si>
  <si>
    <t>5144 ROSECREST PL</t>
  </si>
  <si>
    <t xml:space="preserve">JAMES WILLIE C JR </t>
  </si>
  <si>
    <t>5114 ROSECREST PL</t>
  </si>
  <si>
    <t xml:space="preserve">MAYHEW PATRICK R </t>
  </si>
  <si>
    <t xml:space="preserve">FANNING WILBERT </t>
  </si>
  <si>
    <t>THOMAS WILLIE C &amp; PATRICIA A (W)</t>
  </si>
  <si>
    <t>THOMAS WILLIE C &amp; PAT</t>
  </si>
  <si>
    <t>44TH ST # 2</t>
  </si>
  <si>
    <t xml:space="preserve">TERRY LOIS </t>
  </si>
  <si>
    <t>FRANKSTOWN AVE</t>
  </si>
  <si>
    <t xml:space="preserve">WALKER MAGGIE </t>
  </si>
  <si>
    <t xml:space="preserve">MORANDINI MICHELANGELO </t>
  </si>
  <si>
    <t>0 MORA WAY</t>
  </si>
  <si>
    <t>MORANDINI MICHELANGEL</t>
  </si>
  <si>
    <t>CROSS ST</t>
  </si>
  <si>
    <t xml:space="preserve">TAYLOR ASHLEY GEORGE </t>
  </si>
  <si>
    <t>224 SCHENLEY MANOR DR</t>
  </si>
  <si>
    <t xml:space="preserve">LIU JIMMY </t>
  </si>
  <si>
    <t>834 ORANMORE ST</t>
  </si>
  <si>
    <t xml:space="preserve">JONES JOSHUA </t>
  </si>
  <si>
    <t>836 ORANMORE ST</t>
  </si>
  <si>
    <t xml:space="preserve">HUTCHINSON LONNITA L                            </t>
  </si>
  <si>
    <t>842 ORANMORE ST</t>
  </si>
  <si>
    <t>LONNITA L HUTCHINSON</t>
  </si>
  <si>
    <t>PRINCETON DR</t>
  </si>
  <si>
    <t xml:space="preserve">PORTER DAVIDA </t>
  </si>
  <si>
    <t>846 ORANMORE ST</t>
  </si>
  <si>
    <t xml:space="preserve">STARK MANAGEMENT INC </t>
  </si>
  <si>
    <t>0 SCHENLEY MANOR DR</t>
  </si>
  <si>
    <t>5323 MOSSFIELD ST</t>
  </si>
  <si>
    <t xml:space="preserve">HOLLY DISA R </t>
  </si>
  <si>
    <t>E RENEGADE TRL</t>
  </si>
  <si>
    <t>QUEEN CREEK</t>
  </si>
  <si>
    <t xml:space="preserve">REZZETANO FRANK P JR </t>
  </si>
  <si>
    <t>5170 ROSECREST PL</t>
  </si>
  <si>
    <t xml:space="preserve">FULTON EVELYN </t>
  </si>
  <si>
    <t>5155 ROSECREST DR</t>
  </si>
  <si>
    <t>FIFTH THIRD MTGE CO</t>
  </si>
  <si>
    <t>PO BOX 630412</t>
  </si>
  <si>
    <t xml:space="preserve">DOWD BRIDGET A                                  </t>
  </si>
  <si>
    <t>1203 DUFFIELD ST</t>
  </si>
  <si>
    <t>DUFFIELD ST</t>
  </si>
  <si>
    <t>HOUGH KENNETH J &amp; MARILYN J (W)</t>
  </si>
  <si>
    <t>1247 DUFFIELD ST</t>
  </si>
  <si>
    <t>PESYNA THOMAS M &amp; ELLEN OMEARA (W)</t>
  </si>
  <si>
    <t>1265 DUFFIELD ST</t>
  </si>
  <si>
    <t xml:space="preserve">JOURAVLEV EUGENI L </t>
  </si>
  <si>
    <t>1269 DUFFIELD ST</t>
  </si>
  <si>
    <t>MALTA GUISEPPE  &amp; MARIA (W)</t>
  </si>
  <si>
    <t>1210 DUFFIELD ST</t>
  </si>
  <si>
    <t>KISH ZOLTAN  &amp; VALERIE R (W)</t>
  </si>
  <si>
    <t>1202 DUFFIELD ST</t>
  </si>
  <si>
    <t xml:space="preserve">PATEL ANKUR K                                   </t>
  </si>
  <si>
    <t>1215 JANCEY ST</t>
  </si>
  <si>
    <t xml:space="preserve">IMBARLINA ELIZABETH </t>
  </si>
  <si>
    <t>1249 JANCEY ST</t>
  </si>
  <si>
    <t xml:space="preserve">ZOTTOLA NANCY </t>
  </si>
  <si>
    <t>1416 JANCEY ST</t>
  </si>
  <si>
    <t xml:space="preserve">ARRINGTON DEVIN </t>
  </si>
  <si>
    <t>1414 JANCEY ST</t>
  </si>
  <si>
    <t>ARRINGTON DEVIN</t>
  </si>
  <si>
    <t xml:space="preserve">TORNESE RAYMOND J </t>
  </si>
  <si>
    <t>1252 JANCEY ST</t>
  </si>
  <si>
    <t>CHELLI MARIANO F &amp; SHIRLEY K (W)</t>
  </si>
  <si>
    <t>1202 JANCEY ST</t>
  </si>
  <si>
    <t>CHELLI MARIANO F &amp; SH</t>
  </si>
  <si>
    <t xml:space="preserve">LONGMORE JAMES &amp; MARLENE (W)             </t>
  </si>
  <si>
    <t>1209 CHISLETT ST</t>
  </si>
  <si>
    <t>LONGMORE JAMES &amp; MARL</t>
  </si>
  <si>
    <t>CASTELLANO SALVATORE A &amp; DANETTE F CLAWS ON</t>
  </si>
  <si>
    <t>1425 CHISLETT ST</t>
  </si>
  <si>
    <t xml:space="preserve">MAZZULLO MICHAEL                                </t>
  </si>
  <si>
    <t>1036 DUFFIELD ST</t>
  </si>
  <si>
    <t xml:space="preserve">HETZER JACOB W </t>
  </si>
  <si>
    <t>1026 MORNINGSIDE AVE</t>
  </si>
  <si>
    <t>MORNINGSIDE AVE</t>
  </si>
  <si>
    <t xml:space="preserve">LEE DEANNA A                                    </t>
  </si>
  <si>
    <t>1130 JANCEY ST</t>
  </si>
  <si>
    <t xml:space="preserve">GUNDY BENJAMIN K                                </t>
  </si>
  <si>
    <t>1158 JANCEY ST</t>
  </si>
  <si>
    <t>CORIGLIANO NATALE  &amp; ANNUNSIATA (W)</t>
  </si>
  <si>
    <t>1115 CHISLETT ST</t>
  </si>
  <si>
    <t>NANCY SEDON</t>
  </si>
  <si>
    <t>MARY ST N</t>
  </si>
  <si>
    <t xml:space="preserve">ROMESBERG ALEXANDRA                             </t>
  </si>
  <si>
    <t>1004 MORNINGSIDE AVE</t>
  </si>
  <si>
    <t>CHANCE MARY A &amp; FRANCES E BOSSER</t>
  </si>
  <si>
    <t>5201 WELLESLEY AVE</t>
  </si>
  <si>
    <t>WELLESLEY AVE</t>
  </si>
  <si>
    <t xml:space="preserve">BEFORE THE DOOR LLC </t>
  </si>
  <si>
    <t>928 MORNINGSIDE AVE</t>
  </si>
  <si>
    <t>BEFORE THE DOOR LLC</t>
  </si>
  <si>
    <t xml:space="preserve">JENKINS TRUST </t>
  </si>
  <si>
    <t>926 MORNINGSIDE AVE</t>
  </si>
  <si>
    <t>BOYDTON PLANK RD APT 6K</t>
  </si>
  <si>
    <t>PETERSBURG</t>
  </si>
  <si>
    <t xml:space="preserve">EPIC - EDUCATIONAL  PROJECTS &amp; INFORMATIO N </t>
  </si>
  <si>
    <t>1015 JANCEY ST</t>
  </si>
  <si>
    <t xml:space="preserve">AGATE NICOLA LOUISE                             </t>
  </si>
  <si>
    <t>925 CHISLETT ST</t>
  </si>
  <si>
    <t xml:space="preserve">SCHIVINS JOSEPH W </t>
  </si>
  <si>
    <t>926 CHISLETT ST</t>
  </si>
  <si>
    <t xml:space="preserve">HIGHLAND ASSOCIATES LLC </t>
  </si>
  <si>
    <t>5410 WELLESLEY AVE</t>
  </si>
  <si>
    <t>HIGHLAND ASSOCIATES L</t>
  </si>
  <si>
    <t>N NEGLEY</t>
  </si>
  <si>
    <t>CORONADO NICHOLAS  STEPHEN</t>
  </si>
  <si>
    <t>918 HIGHVIEW ST</t>
  </si>
  <si>
    <t xml:space="preserve">WETZEL KATHLEEN E </t>
  </si>
  <si>
    <t>1005 HETHS AVE</t>
  </si>
  <si>
    <t>HETHS AVE</t>
  </si>
  <si>
    <t xml:space="preserve">BLUE HOUSE CAPITAL LLC </t>
  </si>
  <si>
    <t>5409 WELLESLEY AVE</t>
  </si>
  <si>
    <t xml:space="preserve">STEWART RAISHAWN </t>
  </si>
  <si>
    <t>5418 BOSSART ST</t>
  </si>
  <si>
    <t>BOSSART ST</t>
  </si>
  <si>
    <t xml:space="preserve">PA PROPERTIES FLIPS LLC </t>
  </si>
  <si>
    <t>5443 AVONDALE PL</t>
  </si>
  <si>
    <t>PA PROPERTIES FLIPS L</t>
  </si>
  <si>
    <t>W 7TH ST STE 100</t>
  </si>
  <si>
    <t>ERIE</t>
  </si>
  <si>
    <t xml:space="preserve">SHRIVASTAVA SHIVANI                             </t>
  </si>
  <si>
    <t>5400 NATRONA WAY</t>
  </si>
  <si>
    <t xml:space="preserve">CULHANE DENNIS </t>
  </si>
  <si>
    <t>5406 NATRONA WAY</t>
  </si>
  <si>
    <t>KATHLEEN LEDGER</t>
  </si>
  <si>
    <t>WEBSTER DR</t>
  </si>
  <si>
    <t xml:space="preserve">WEISSER BRIAN M </t>
  </si>
  <si>
    <t>5414 CARNEGIE ST</t>
  </si>
  <si>
    <t xml:space="preserve">TOKAYER YISHAI </t>
  </si>
  <si>
    <t>5412 CARNEGIE ST</t>
  </si>
  <si>
    <t>YISHAI TOKAYER</t>
  </si>
  <si>
    <t>ANISZEWSKI LOUIS &amp; LA VERNE (W)</t>
  </si>
  <si>
    <t>5401 NATRONA WAY</t>
  </si>
  <si>
    <t>ANISZEWSKI LOUIS &amp; LA</t>
  </si>
  <si>
    <t xml:space="preserve">COWELL AMANDA ELYSE                             </t>
  </si>
  <si>
    <t>5309 CARNEGIE ST</t>
  </si>
  <si>
    <t xml:space="preserve">GOLDSTEIN JESSE A </t>
  </si>
  <si>
    <t>5311 CARNEGIE ST</t>
  </si>
  <si>
    <t>BROAD BRIAN F &amp; BRENDA L (W)</t>
  </si>
  <si>
    <t>5313 CARNEGIE ST</t>
  </si>
  <si>
    <t xml:space="preserve">TVW LLC </t>
  </si>
  <si>
    <t>5326 DRESDEN WAY</t>
  </si>
  <si>
    <t>WYLIE HOLDINGS LP</t>
  </si>
  <si>
    <t>PO BOX 7</t>
  </si>
  <si>
    <t>5331 CARNEGIE ST</t>
  </si>
  <si>
    <t>CLOGAN THOMAS J 2ND &amp; ALEXANDRA R (W)</t>
  </si>
  <si>
    <t>5333 CARNEGIE ST</t>
  </si>
  <si>
    <t xml:space="preserve">ASHER JASON </t>
  </si>
  <si>
    <t>5417 CARNEGIE ST</t>
  </si>
  <si>
    <t xml:space="preserve">CARDILLO CHRISTOPHER R </t>
  </si>
  <si>
    <t>5420 DRESDEN WAY</t>
  </si>
  <si>
    <t xml:space="preserve">CARDILLO CHRISTOPHER </t>
  </si>
  <si>
    <t xml:space="preserve">CANARY SCOTT </t>
  </si>
  <si>
    <t>5421 CARNEGIE ST</t>
  </si>
  <si>
    <t>CANARY SCOTT</t>
  </si>
  <si>
    <t xml:space="preserve">WHITE THOMAS R </t>
  </si>
  <si>
    <t>5424 BUTLER ST</t>
  </si>
  <si>
    <t>PO BOX 9135</t>
  </si>
  <si>
    <t>5407 DRESDEN WAY</t>
  </si>
  <si>
    <t>5405 DRESDEN WAY</t>
  </si>
  <si>
    <t xml:space="preserve">ODES WILLIAM </t>
  </si>
  <si>
    <t>5422 HARRISON ST</t>
  </si>
  <si>
    <t>JAMES K HAUG</t>
  </si>
  <si>
    <t>HARRISON ST</t>
  </si>
  <si>
    <t>HAUG JAMES K &amp; MARY BETH (W)</t>
  </si>
  <si>
    <t>5418 HARRISON ST</t>
  </si>
  <si>
    <t xml:space="preserve">KROSE PROPERTIES LLC </t>
  </si>
  <si>
    <t>60 54TH ST</t>
  </si>
  <si>
    <t>SANDY CREEK RD</t>
  </si>
  <si>
    <t>0 62ND BR ST</t>
  </si>
  <si>
    <t>P J MARLEN &amp; ASSOCIATES LLC</t>
  </si>
  <si>
    <t>6111 BUTLER ST</t>
  </si>
  <si>
    <t xml:space="preserve">STROBEL SHARON J </t>
  </si>
  <si>
    <t>122 HAWTHORNE CT</t>
  </si>
  <si>
    <t>LYONS JOHN A &amp; BARBARA L (W)</t>
  </si>
  <si>
    <t>6250 SAWYER ST</t>
  </si>
  <si>
    <t>LDC PROPERTIES COMPANY  INC</t>
  </si>
  <si>
    <t xml:space="preserve">PJ MARLEN &amp; ASSOCIATES LLC          </t>
  </si>
  <si>
    <t xml:space="preserve">AT&amp;T </t>
  </si>
  <si>
    <t>6230 BUTLER ST</t>
  </si>
  <si>
    <t>W WALDHEIM RD</t>
  </si>
  <si>
    <t xml:space="preserve">CHIRICO TIFFANY L </t>
  </si>
  <si>
    <t>5605 WICKLIFF ST</t>
  </si>
  <si>
    <t xml:space="preserve">RISHER MARY ANN </t>
  </si>
  <si>
    <t>0 HAWTHORNE CT</t>
  </si>
  <si>
    <t>5624 HARRISON ST</t>
  </si>
  <si>
    <t xml:space="preserve">REGINA DANIEL C                                 </t>
  </si>
  <si>
    <t>5712 BUTLER ST</t>
  </si>
  <si>
    <t xml:space="preserve">KEARNS CAROL A </t>
  </si>
  <si>
    <t>5706 BUTLER ST</t>
  </si>
  <si>
    <t xml:space="preserve">BIG EASY HOLDINGS LLC </t>
  </si>
  <si>
    <t>5648 BUTLER ST</t>
  </si>
  <si>
    <t xml:space="preserve">COLTERYAHN CHARLES J                            </t>
  </si>
  <si>
    <t>5629 CARNEGIE ST</t>
  </si>
  <si>
    <t>HAWKEYE PROPERTY  SERVICES LLC</t>
  </si>
  <si>
    <t>5643 CARNEGIE ST</t>
  </si>
  <si>
    <t>HAWKEYE PROPERTY SERV</t>
  </si>
  <si>
    <t>MOUNT ROYAL BLVD</t>
  </si>
  <si>
    <t xml:space="preserve">MINTON ANDREW </t>
  </si>
  <si>
    <t>115 57TH ST</t>
  </si>
  <si>
    <t>7TH ST APT 609</t>
  </si>
  <si>
    <t xml:space="preserve">MARCINIAK DOUGLAS J </t>
  </si>
  <si>
    <t>203 57TH ST</t>
  </si>
  <si>
    <t xml:space="preserve">AUX FUNDING LLC </t>
  </si>
  <si>
    <t>211 57TH ST</t>
  </si>
  <si>
    <t xml:space="preserve">MAY DAVID &amp; VICTORIA (W) </t>
  </si>
  <si>
    <t>5800 DONSON WAY</t>
  </si>
  <si>
    <t>PENNSYLVANIA STATE EM</t>
  </si>
  <si>
    <t xml:space="preserve">HOLAS NETTISHA                                  </t>
  </si>
  <si>
    <t>5726 BUTLER ST</t>
  </si>
  <si>
    <t>HOLAS NETTISHA</t>
  </si>
  <si>
    <t>BUTLER SUITE</t>
  </si>
  <si>
    <t xml:space="preserve">CITY OF PITTSBURGH </t>
  </si>
  <si>
    <t>6004 SAWYER ST</t>
  </si>
  <si>
    <t>GRANT ST RM 200</t>
  </si>
  <si>
    <t xml:space="preserve">GOLDHAGEN CORY M                                </t>
  </si>
  <si>
    <t>6048 SAWYER ST</t>
  </si>
  <si>
    <t>LOWER LLC</t>
  </si>
  <si>
    <t>ROBERT FULTON DR STE 150</t>
  </si>
  <si>
    <t xml:space="preserve">IVANUSIC ROBERT L </t>
  </si>
  <si>
    <t>6044 SAWYER ST</t>
  </si>
  <si>
    <t>CRISCELLA EMERIC A &amp; ROSEMARIE (W)</t>
  </si>
  <si>
    <t>1033 DOWNLOOK ST</t>
  </si>
  <si>
    <t xml:space="preserve">MATHIESON ASHLEY                                </t>
  </si>
  <si>
    <t>1112 OGLETHORPE AVE</t>
  </si>
  <si>
    <t>OGLETHORPE AVE</t>
  </si>
  <si>
    <t xml:space="preserve">PRESSER REBECCA </t>
  </si>
  <si>
    <t>1111 OGLETHORPE AVE</t>
  </si>
  <si>
    <t>PRESSER REBECCA</t>
  </si>
  <si>
    <t>OGLETHORPE ST</t>
  </si>
  <si>
    <t>WARAKS EDWARD P &amp; LINDA M (W)</t>
  </si>
  <si>
    <t>1125 OGLETHORPE AVE</t>
  </si>
  <si>
    <t>KONOP ANTHONY  &amp; BETTE JAYNE (W)</t>
  </si>
  <si>
    <t>1133 OGLETHORPE AVE</t>
  </si>
  <si>
    <t>OGLETHROPE AVE</t>
  </si>
  <si>
    <t xml:space="preserve">CASSELBERRY MATTHEW R </t>
  </si>
  <si>
    <t>1141 OGLETHORPE AVE</t>
  </si>
  <si>
    <t>CASSELBERRY MATTHEW R</t>
  </si>
  <si>
    <t xml:space="preserve">LAMANNA SAMUEL W &amp; LYNNE A (W)             </t>
  </si>
  <si>
    <t>1123 NORMAHILL DR</t>
  </si>
  <si>
    <t>LAMANNA SAMUEL W &amp; LY</t>
  </si>
  <si>
    <t>GRACE ST</t>
  </si>
  <si>
    <t xml:space="preserve">PIERCE LINDSAY </t>
  </si>
  <si>
    <t>1117 NORMAHILL DR</t>
  </si>
  <si>
    <t>PROVIDENT FUNDING ASS</t>
  </si>
  <si>
    <t>PO BOX 5914</t>
  </si>
  <si>
    <t>SANTA ROSA</t>
  </si>
  <si>
    <t>FAITH WILLIAM J &amp; DIANE C (W)</t>
  </si>
  <si>
    <t>0 TRINITY ST</t>
  </si>
  <si>
    <t>TRINITY ST</t>
  </si>
  <si>
    <t xml:space="preserve">BALLARD KAI L </t>
  </si>
  <si>
    <t>1527 TRINITY ST</t>
  </si>
  <si>
    <t xml:space="preserve">BANKS WILLIAM HAROLD </t>
  </si>
  <si>
    <t>1518 HAWTHORNE ST</t>
  </si>
  <si>
    <t>HAWTHORNE ST</t>
  </si>
  <si>
    <t xml:space="preserve">SMALES BARBARA J </t>
  </si>
  <si>
    <t>1501 HAWTHORNE ST</t>
  </si>
  <si>
    <t xml:space="preserve">LINDER EMANUEL M &amp; HARRIET C (W) L/E       </t>
  </si>
  <si>
    <t>1545 HAWTHORNE ST</t>
  </si>
  <si>
    <t xml:space="preserve">CHASE WILLIAM J                                 </t>
  </si>
  <si>
    <t>1532 SIMONA DR</t>
  </si>
  <si>
    <t>SIMONA DR</t>
  </si>
  <si>
    <t>COX EDWARD G JR &amp; MARLENE E (W)</t>
  </si>
  <si>
    <t>0 SIMONA DR</t>
  </si>
  <si>
    <t>GRIFFIN DWIGHT W &amp; JOHARA L (W)</t>
  </si>
  <si>
    <t>1528 WOODBINE ST</t>
  </si>
  <si>
    <t>GOLIGHTLY CHARLES T &amp; SANDRA LEE HERMAN</t>
  </si>
  <si>
    <t>1504 WOODBINE ST</t>
  </si>
  <si>
    <t xml:space="preserve">YURKO PATRICIA A </t>
  </si>
  <si>
    <t>0 WOODBINE ST</t>
  </si>
  <si>
    <t xml:space="preserve">TAASAN NOAM LEE </t>
  </si>
  <si>
    <t>1135 NORMAHILL DR</t>
  </si>
  <si>
    <t>NORMAHILL DR</t>
  </si>
  <si>
    <t xml:space="preserve">ZALEWSKI MICHAEL W </t>
  </si>
  <si>
    <t>1509 WOODBINE ST</t>
  </si>
  <si>
    <t xml:space="preserve">EGRY TRICIA </t>
  </si>
  <si>
    <t>135 55TH ST</t>
  </si>
  <si>
    <t>55TH ST</t>
  </si>
  <si>
    <t xml:space="preserve">5515 BUTLER STREET  DEVELOPMENT LP          </t>
  </si>
  <si>
    <t>5501 BUTLER ST</t>
  </si>
  <si>
    <t>5515 BUTLER STREET DE</t>
  </si>
  <si>
    <t>TORONTO  ON M8</t>
  </si>
  <si>
    <t xml:space="preserve">MA CONG </t>
  </si>
  <si>
    <t>5529 BUTLER ST</t>
  </si>
  <si>
    <t>VAIRO BLVD APT 1032</t>
  </si>
  <si>
    <t xml:space="preserve">HYDE AUSTIN WILLIAM </t>
  </si>
  <si>
    <t>5555 BUTLER ST</t>
  </si>
  <si>
    <t xml:space="preserve">PHILLIPS MATTHEW </t>
  </si>
  <si>
    <t>5575 BUTLER ST</t>
  </si>
  <si>
    <t xml:space="preserve">MANZO ANDREW S </t>
  </si>
  <si>
    <t>5583 BUTLER ST</t>
  </si>
  <si>
    <t xml:space="preserve">GUPTA SAMIR                                     </t>
  </si>
  <si>
    <t>5587 BUTLER ST</t>
  </si>
  <si>
    <t>BOSQUET CHRISTIAN &amp; MELINDA (W)</t>
  </si>
  <si>
    <t>168 56TH ST</t>
  </si>
  <si>
    <t xml:space="preserve">SUBASH SHRAWAN THUPALLI                         </t>
  </si>
  <si>
    <t>164 56TH ST</t>
  </si>
  <si>
    <t xml:space="preserve">GWANYAMA PHILIP W                               </t>
  </si>
  <si>
    <t>160 56TH ST</t>
  </si>
  <si>
    <t>GWANYAMA PHILIP W</t>
  </si>
  <si>
    <t xml:space="preserve">SHERMAN JACEN F                                 </t>
  </si>
  <si>
    <t>139 55TH ST</t>
  </si>
  <si>
    <t>IRREVOCABLE TRUST OF  NEIL E STROSNIDER</t>
  </si>
  <si>
    <t>155 55TH ST</t>
  </si>
  <si>
    <t>STANWIX ST</t>
  </si>
  <si>
    <t xml:space="preserve">HARTLAND AUDREY FOULDS &amp;                        </t>
  </si>
  <si>
    <t>5529 BERLIN WAY</t>
  </si>
  <si>
    <t>HARTLAND AUDREY FOULD</t>
  </si>
  <si>
    <t>BERLIN WAY</t>
  </si>
  <si>
    <t xml:space="preserve">ORR ORENDA </t>
  </si>
  <si>
    <t>5533 BERLIN WAY</t>
  </si>
  <si>
    <t>ORLANDO HEIDI &amp; JOSEPH (H)</t>
  </si>
  <si>
    <t>5535 BERLIN WAY</t>
  </si>
  <si>
    <t>LAQUERRE  PIERRE-FRANCOIS OLIVIER</t>
  </si>
  <si>
    <t>5551 BERLIN WAY</t>
  </si>
  <si>
    <t xml:space="preserve">BENZINO ERIC </t>
  </si>
  <si>
    <t>5583 BERLIN WAY</t>
  </si>
  <si>
    <t xml:space="preserve">O'BYRNE DANIEL FRANCIS  JR                      </t>
  </si>
  <si>
    <t>138 56TH ST</t>
  </si>
  <si>
    <t xml:space="preserve">MORRIS MARY M (LIFE  ESTATE)                 </t>
  </si>
  <si>
    <t>5436 CARNEGIE ST</t>
  </si>
  <si>
    <t>MORRIS MARY M (LIFE E</t>
  </si>
  <si>
    <t>WABELLO ST</t>
  </si>
  <si>
    <t xml:space="preserve">KILEY MARY K </t>
  </si>
  <si>
    <t>5436 NATRONA WAY</t>
  </si>
  <si>
    <t>GATNAREK EDWARD W &amp; BETTY ANNE</t>
  </si>
  <si>
    <t>0 KEYSTONE ST</t>
  </si>
  <si>
    <t>GATNAREK EDWARD W &amp; BETTY ANN</t>
  </si>
  <si>
    <t>5418 KEYSTONE ST</t>
  </si>
  <si>
    <t xml:space="preserve">CHIRICO JOHN A &amp; SARAH M </t>
  </si>
  <si>
    <t>5601 WICKLIFF ST</t>
  </si>
  <si>
    <t xml:space="preserve">YORIO ANGELA </t>
  </si>
  <si>
    <t>5608 DUNCAN ST</t>
  </si>
  <si>
    <t xml:space="preserve">NGUYEN HUE V                                    </t>
  </si>
  <si>
    <t>5614 DONSON WAY</t>
  </si>
  <si>
    <t>GARRETT JENNIFER  SALVATORE</t>
  </si>
  <si>
    <t>218 57TH ST</t>
  </si>
  <si>
    <t>GARRETT JENNIFER SALV</t>
  </si>
  <si>
    <t>57TH ST</t>
  </si>
  <si>
    <t xml:space="preserve">COULEHAN MARK PATRICK </t>
  </si>
  <si>
    <t>214 57TH ST</t>
  </si>
  <si>
    <t xml:space="preserve">SELF ROBERT W </t>
  </si>
  <si>
    <t>5619 CELADINE ST</t>
  </si>
  <si>
    <t>SELF ROBERT W &amp; DONNA J (W)</t>
  </si>
  <si>
    <t>5617 CELADINE ST</t>
  </si>
  <si>
    <t>PRZYBILINSKI RAYMOND E  JR</t>
  </si>
  <si>
    <t>5605 CELADINE ST</t>
  </si>
  <si>
    <t xml:space="preserve">PRZYBILINSKI RAYMOND </t>
  </si>
  <si>
    <t xml:space="preserve">PRZYBILINSKI RAYMOND E </t>
  </si>
  <si>
    <t>5601 CAMELIA ST</t>
  </si>
  <si>
    <t>ANDROS FAMILY TRUST  (THE)</t>
  </si>
  <si>
    <t>5615 CAMELIA ST</t>
  </si>
  <si>
    <t>ANDROS FAMILY TRUST (</t>
  </si>
  <si>
    <t>GARBETT ST</t>
  </si>
  <si>
    <t xml:space="preserve">WESTER TRUST                                    </t>
  </si>
  <si>
    <t>262 57TH ST</t>
  </si>
  <si>
    <t>0 57TH ST</t>
  </si>
  <si>
    <t>KRAULAND JOHN  &amp; EMILY C KRAULAND</t>
  </si>
  <si>
    <t>312 57TH ST</t>
  </si>
  <si>
    <t>ULLOA BERMUDEZ LUIS  JOSUE</t>
  </si>
  <si>
    <t>314 57TH ST</t>
  </si>
  <si>
    <t>LUIS JOSUE ULLOA BERM</t>
  </si>
  <si>
    <t>PIPER DR</t>
  </si>
  <si>
    <t xml:space="preserve">CAMPBELL BRADLEY ALAN                           </t>
  </si>
  <si>
    <t>316 57TH ST</t>
  </si>
  <si>
    <t xml:space="preserve">REIS STEVEN T </t>
  </si>
  <si>
    <t>MOUNT TROY RD</t>
  </si>
  <si>
    <t xml:space="preserve">TUCKER CATHERINE (HRS) </t>
  </si>
  <si>
    <t>322 57TH ST</t>
  </si>
  <si>
    <t xml:space="preserve">PIERSON ERICA </t>
  </si>
  <si>
    <t>249 57TH ST</t>
  </si>
  <si>
    <t xml:space="preserve">CLARK ROSALIND </t>
  </si>
  <si>
    <t>1030 PREMIER ST</t>
  </si>
  <si>
    <t>PREMIER ST</t>
  </si>
  <si>
    <t>DAVIS SIDNEY P &amp; SHIRLEY A (W)</t>
  </si>
  <si>
    <t>1027 PREMIER ST</t>
  </si>
  <si>
    <t>DAVIS SIDNEY P &amp; SHIR</t>
  </si>
  <si>
    <t>VILLAGE RD</t>
  </si>
  <si>
    <t>SOUTHINGTON</t>
  </si>
  <si>
    <t xml:space="preserve">GURLEY JESSICA </t>
  </si>
  <si>
    <t>1007 PREMIER ST</t>
  </si>
  <si>
    <t>JESSICA GURLEY</t>
  </si>
  <si>
    <t>LARIMER AVE APT 302</t>
  </si>
  <si>
    <t>4413 STANTON AVE</t>
  </si>
  <si>
    <t xml:space="preserve">SIPOS KATHERINE A </t>
  </si>
  <si>
    <t>4407 STANTON AVE</t>
  </si>
  <si>
    <t xml:space="preserve">MORRISON PRISCILLA </t>
  </si>
  <si>
    <t>1369 SIMONA DR</t>
  </si>
  <si>
    <t xml:space="preserve">MCCARLEY SAMANTHA </t>
  </si>
  <si>
    <t>1351 SIMONA DR</t>
  </si>
  <si>
    <t>MCCARLEY SAMANTHA</t>
  </si>
  <si>
    <t>PO BOX 40216</t>
  </si>
  <si>
    <t xml:space="preserve">VIVIRITO JOANNE R </t>
  </si>
  <si>
    <t>1360 WOODBINE ST</t>
  </si>
  <si>
    <t xml:space="preserve">BALDWIN BRIAN </t>
  </si>
  <si>
    <t>0 FAIRFIELD ST</t>
  </si>
  <si>
    <t>1108 FAIRFIELD ST</t>
  </si>
  <si>
    <t xml:space="preserve">CARNE-CLARK ALEXANDER                           </t>
  </si>
  <si>
    <t>1014 DOWNLOOK ST</t>
  </si>
  <si>
    <t xml:space="preserve">LOREN CHRISTOPHER M </t>
  </si>
  <si>
    <t>1126 DOWNLOOK ST</t>
  </si>
  <si>
    <t xml:space="preserve">OZKUCUR NEZIH ERGIN </t>
  </si>
  <si>
    <t>1130 DOWNLOOK ST</t>
  </si>
  <si>
    <t xml:space="preserve">SIPPEL CRAIG P </t>
  </si>
  <si>
    <t>1143 PREMIER ST</t>
  </si>
  <si>
    <t>COVINGTON THOMAS L &amp; ANNA L</t>
  </si>
  <si>
    <t>1061 PREMIER ST</t>
  </si>
  <si>
    <t xml:space="preserve">JACOBS PATRICIA </t>
  </si>
  <si>
    <t>1118 PREMIER ST</t>
  </si>
  <si>
    <t xml:space="preserve">GODFREY ORREIN H </t>
  </si>
  <si>
    <t>1329 WOODBINE ST</t>
  </si>
  <si>
    <t xml:space="preserve">SLEDGE BENNY </t>
  </si>
  <si>
    <t>1439 HAWTHORNE ST</t>
  </si>
  <si>
    <t xml:space="preserve">WILLIAMS CLARENCE </t>
  </si>
  <si>
    <t>1368 HAWTHORNE ST</t>
  </si>
  <si>
    <t xml:space="preserve">TOLERICO MARGARET P </t>
  </si>
  <si>
    <t>1350 HAWTHORNE ST</t>
  </si>
  <si>
    <t>JANE GOLIGHTLY</t>
  </si>
  <si>
    <t xml:space="preserve">MELVIN SAMANTHA                                 </t>
  </si>
  <si>
    <t>14 FAIRFIELD CT</t>
  </si>
  <si>
    <t xml:space="preserve">SMITH ERIC R                                    </t>
  </si>
  <si>
    <t>15 FAIRFIELD CT</t>
  </si>
  <si>
    <t>FAIRFIELD CT</t>
  </si>
  <si>
    <t xml:space="preserve">STEWART SHELDON L </t>
  </si>
  <si>
    <t>11 FAIRFIELD CT</t>
  </si>
  <si>
    <t>STEWART SHELDON L</t>
  </si>
  <si>
    <t>PENNSYLVANIA RAILROAD  COMPANY</t>
  </si>
  <si>
    <t>WATER ST</t>
  </si>
  <si>
    <t xml:space="preserve">KRON GRACE </t>
  </si>
  <si>
    <t>GROTTO ST</t>
  </si>
  <si>
    <t xml:space="preserve">MEYERS RAYMOND K </t>
  </si>
  <si>
    <t>6622 BUTLER ST</t>
  </si>
  <si>
    <t>PO BOX 79058</t>
  </si>
  <si>
    <t xml:space="preserve">SCHLEGEL SEAN M </t>
  </si>
  <si>
    <t>6636 BUTLER ST</t>
  </si>
  <si>
    <t xml:space="preserve">GATENWOOD HARRY E JR </t>
  </si>
  <si>
    <t xml:space="preserve">GATEWOOD HARRY E JR </t>
  </si>
  <si>
    <t>6720 BUTLER ST</t>
  </si>
  <si>
    <t>GATEWOOD HARRY E JR &amp; LULA M</t>
  </si>
  <si>
    <t xml:space="preserve">WOOLLEY JAMES GLENN JR &amp; HELEN JEAN             </t>
  </si>
  <si>
    <t>0 MARIETTA ST</t>
  </si>
  <si>
    <t>WOOLLEY JAMES GLENN J</t>
  </si>
  <si>
    <t>ROUTE 9</t>
  </si>
  <si>
    <t>TUCKERTON</t>
  </si>
  <si>
    <t xml:space="preserve">TWISS EARL E JR </t>
  </si>
  <si>
    <t>0 PREMO ST</t>
  </si>
  <si>
    <t>ADELPHIA ST</t>
  </si>
  <si>
    <t>VARASSE WILLIAM R &amp; ELIZABETH J</t>
  </si>
  <si>
    <t>6514 ADELPHIA ST</t>
  </si>
  <si>
    <t xml:space="preserve">BUSH WILLIAM COLE                               </t>
  </si>
  <si>
    <t>6410 ADELPHIA ST</t>
  </si>
  <si>
    <t xml:space="preserve">WOLF CYNTHIA D </t>
  </si>
  <si>
    <t>1641 TRINITY ST</t>
  </si>
  <si>
    <t>EMERSON AVE</t>
  </si>
  <si>
    <t xml:space="preserve">FEIGELSTEIN SHIRA E </t>
  </si>
  <si>
    <t xml:space="preserve">DAVIS ZACHARY WAYNE </t>
  </si>
  <si>
    <t>1700 TRINITY ST</t>
  </si>
  <si>
    <t>OCEAN AVENUE LAKEWOOD</t>
  </si>
  <si>
    <t>LAKEWOOD</t>
  </si>
  <si>
    <t xml:space="preserve">RUFFER THOMAS PAUL </t>
  </si>
  <si>
    <t>6920 BUTLER ST</t>
  </si>
  <si>
    <t xml:space="preserve">KASTELIC IGNATZ  &amp; MARY </t>
  </si>
  <si>
    <t>MATILDA FRANK</t>
  </si>
  <si>
    <t>SIENNA TRL</t>
  </si>
  <si>
    <t xml:space="preserve">JENNINGS KELLI S </t>
  </si>
  <si>
    <t>6820 BAKER ST</t>
  </si>
  <si>
    <t xml:space="preserve">NAZARUK THOMAS E                                </t>
  </si>
  <si>
    <t>1815 MORNINGSIDE AVE</t>
  </si>
  <si>
    <t xml:space="preserve">MASLANKA GRETCHEN </t>
  </si>
  <si>
    <t>7324 BUTLER ST</t>
  </si>
  <si>
    <t>JUANITA AVE</t>
  </si>
  <si>
    <t>REDONDO BEACH</t>
  </si>
  <si>
    <t xml:space="preserve">MCKNIGHT GABRIEL  ANTHONY                 </t>
  </si>
  <si>
    <t>7322 BUTLER ST</t>
  </si>
  <si>
    <t>MCKNIGHT GABRIEL ANTH</t>
  </si>
  <si>
    <t>NENE RAYMOND P &amp; ALICE (W)</t>
  </si>
  <si>
    <t>7302 BUTLER ST</t>
  </si>
  <si>
    <t>JOHNSTON GERALDINE  MORGANO &amp; MARGARET JO HN</t>
  </si>
  <si>
    <t>7226 BUTLER ST</t>
  </si>
  <si>
    <t>7222 BALLARD WAY</t>
  </si>
  <si>
    <t>7218 BALLARD WAY</t>
  </si>
  <si>
    <t xml:space="preserve">PIRT PAUL A </t>
  </si>
  <si>
    <t>7213 BALLARD WAY</t>
  </si>
  <si>
    <t>BAKER ST</t>
  </si>
  <si>
    <t>0 BALLARD WAY</t>
  </si>
  <si>
    <t>DISALVO ANTHONY  &amp; DEBRA SCOTT</t>
  </si>
  <si>
    <t>7208 BUTLER ST</t>
  </si>
  <si>
    <t>DISALVO ANTHONY  &amp; DE</t>
  </si>
  <si>
    <t xml:space="preserve">BROWN JOHN O &amp; NICEY T </t>
  </si>
  <si>
    <t>7126 BUTLER ST</t>
  </si>
  <si>
    <t xml:space="preserve">BEATTY VINCENT </t>
  </si>
  <si>
    <t>7114 BUTLER ST</t>
  </si>
  <si>
    <t>7112 BUTLER ST</t>
  </si>
  <si>
    <t>2004 JANCEY ST</t>
  </si>
  <si>
    <t>0 BAKER ST</t>
  </si>
  <si>
    <t>7207 BAKER ST</t>
  </si>
  <si>
    <t>NOSZKA DANIEL  &amp; MAUREEN S (W)</t>
  </si>
  <si>
    <t>7213 BAKER ST</t>
  </si>
  <si>
    <t>7215 BAKER ST</t>
  </si>
  <si>
    <t>SFR3-020 LLC</t>
  </si>
  <si>
    <t>PARK AVE S STE 73833</t>
  </si>
  <si>
    <t>COLBERT YALONDA &amp; RODERICK J (H)</t>
  </si>
  <si>
    <t>7319 BAKER ST</t>
  </si>
  <si>
    <t>COLBERT YALONDA &amp; ROD</t>
  </si>
  <si>
    <t>IVANUSIC WILLIAM  &amp; JOYCE G (W)</t>
  </si>
  <si>
    <t>7215 WITHERSPOON ST</t>
  </si>
  <si>
    <t>WITHERSPOON ST</t>
  </si>
  <si>
    <t xml:space="preserve">DAWANDE SHRUTISH S                              </t>
  </si>
  <si>
    <t>7209 WITHERSPOON ST</t>
  </si>
  <si>
    <t>7201 WITHERSPOON ST</t>
  </si>
  <si>
    <t>DONGILLI ALBERT D &amp; ELIZABETH J (W)</t>
  </si>
  <si>
    <t>1935 CHISLETT ST</t>
  </si>
  <si>
    <t xml:space="preserve">HOSACK EDWARD J </t>
  </si>
  <si>
    <t>7208 WITHERSPOON ST</t>
  </si>
  <si>
    <t xml:space="preserve">FALK DAVID B                                    </t>
  </si>
  <si>
    <t>7226 WITHERSPOON ST</t>
  </si>
  <si>
    <t xml:space="preserve">TOTORETE JOHN N </t>
  </si>
  <si>
    <t>0 RAILROAD ST</t>
  </si>
  <si>
    <t>R OF W</t>
  </si>
  <si>
    <t>GABRIEL BLAKE W &amp; MICHELLE E (W)</t>
  </si>
  <si>
    <t>1620 TRINITY ST</t>
  </si>
  <si>
    <t xml:space="preserve">DIXON GREGORY E </t>
  </si>
  <si>
    <t>6504 MARTHA ST</t>
  </si>
  <si>
    <t>MARTHA ST</t>
  </si>
  <si>
    <t xml:space="preserve">STARKES-ROSS MARGARET J </t>
  </si>
  <si>
    <t>1609 WINDCREST DR</t>
  </si>
  <si>
    <t>STARKES-ROSS MARGARET</t>
  </si>
  <si>
    <t>WINDCREST DR</t>
  </si>
  <si>
    <t xml:space="preserve">MCGINLEY JAMES J </t>
  </si>
  <si>
    <t>1536 WINDCREST DR</t>
  </si>
  <si>
    <t xml:space="preserve">DOLAN JESSICA </t>
  </si>
  <si>
    <t>1511 EL PASO ST</t>
  </si>
  <si>
    <t>DOLAN JESSICA</t>
  </si>
  <si>
    <t>EL PASO ST</t>
  </si>
  <si>
    <t>KIVUVA JOSHUA M &amp; LEONORA A (W)</t>
  </si>
  <si>
    <t>4810 AMSTERDAM AVE</t>
  </si>
  <si>
    <t>AMSTERDAM AVE</t>
  </si>
  <si>
    <t xml:space="preserve">CICC &amp; SONS LLC </t>
  </si>
  <si>
    <t>1659 DUFFIELD ST</t>
  </si>
  <si>
    <t xml:space="preserve">KLINGENSMITH KEVIN D </t>
  </si>
  <si>
    <t>0 DUFFIELD ST</t>
  </si>
  <si>
    <t xml:space="preserve">MY HOUSE MY HOME LLC </t>
  </si>
  <si>
    <t>1729 DUFFIELD ST</t>
  </si>
  <si>
    <t>SECURED INVESTMENT HI</t>
  </si>
  <si>
    <t>E FRONT AVE FL 2ND</t>
  </si>
  <si>
    <t>COEUR D ALENE</t>
  </si>
  <si>
    <t>ID</t>
  </si>
  <si>
    <t>1660 DUFFIELD ST</t>
  </si>
  <si>
    <t xml:space="preserve">SHELLY EMILY BUNCHER                            </t>
  </si>
  <si>
    <t>1678 MORNINGSIDE AVE</t>
  </si>
  <si>
    <t xml:space="preserve">DEAMS PROPERTIES LLC </t>
  </si>
  <si>
    <t>1719 MORNINGSIDE AVE</t>
  </si>
  <si>
    <t>5TH AVE STE C105</t>
  </si>
  <si>
    <t xml:space="preserve">ROBSON EMILY ANN                                </t>
  </si>
  <si>
    <t>0 MORNINGSIDE AVE</t>
  </si>
  <si>
    <t xml:space="preserve">LANDA EDWARD N </t>
  </si>
  <si>
    <t>1722 MORNINGSIDE AVE</t>
  </si>
  <si>
    <t>LANDA EDWARD N</t>
  </si>
  <si>
    <t>P O  BOX 489</t>
  </si>
  <si>
    <t>MORGANTON</t>
  </si>
  <si>
    <t xml:space="preserve">PULKOWSKI LEANNE </t>
  </si>
  <si>
    <t>1734 MORNINGSIDE AVE</t>
  </si>
  <si>
    <t xml:space="preserve">ADOR HOLDINGS LLC </t>
  </si>
  <si>
    <t>1818 MORNINGSIDE AVE</t>
  </si>
  <si>
    <t>VILLANOVA RD</t>
  </si>
  <si>
    <t xml:space="preserve">1809 JANCEY STREET LLC </t>
  </si>
  <si>
    <t>1809 JANCEY ST</t>
  </si>
  <si>
    <t>1809 JANCEY STREET LL</t>
  </si>
  <si>
    <t>5TH AVE STE 1500</t>
  </si>
  <si>
    <t>PRESSLEY JOSEPH DALE JR  &amp; ISABELLA CAITL AN (W)</t>
  </si>
  <si>
    <t>1735 JANCEY ST</t>
  </si>
  <si>
    <t xml:space="preserve">PRESSLEY JOSEPH DALE </t>
  </si>
  <si>
    <t xml:space="preserve">LOCKWOOD MANAGEMENT LLC </t>
  </si>
  <si>
    <t>1715 JANCEY ST</t>
  </si>
  <si>
    <t>SUNSET CIR</t>
  </si>
  <si>
    <t>EXPORT</t>
  </si>
  <si>
    <t xml:space="preserve">CULLEN CAPITAL LLC </t>
  </si>
  <si>
    <t>1706 JANCEY ST</t>
  </si>
  <si>
    <t>GRANDVIEW DR N</t>
  </si>
  <si>
    <t xml:space="preserve">IGD INVESTMENTS LLC </t>
  </si>
  <si>
    <t>1841 CHISLETT ST</t>
  </si>
  <si>
    <t>IGD INVESTMENTS LLC</t>
  </si>
  <si>
    <t>RITA CT</t>
  </si>
  <si>
    <t>LOCKE GABRIELLA G &amp; BRANDON EUGENE (H)</t>
  </si>
  <si>
    <t>1719 CHISLETT ST</t>
  </si>
  <si>
    <t>1708 CHISLETT ST</t>
  </si>
  <si>
    <t>KIRK RUSSELL T &amp; ERIN KIRK</t>
  </si>
  <si>
    <t>1710 CHISLETT ST</t>
  </si>
  <si>
    <t xml:space="preserve">GREENWOOD STREET LLC </t>
  </si>
  <si>
    <t>6906 GREENWOOD ST</t>
  </si>
  <si>
    <t>E MOODY AVE</t>
  </si>
  <si>
    <t>NEW CASTLE</t>
  </si>
  <si>
    <t xml:space="preserve">KYLE JENNIFER </t>
  </si>
  <si>
    <t>6922 GREENWOOD ST</t>
  </si>
  <si>
    <t xml:space="preserve">TYLER NAKESHA </t>
  </si>
  <si>
    <t>6925 GREENWOOD ST</t>
  </si>
  <si>
    <t>GREENWOOD ST</t>
  </si>
  <si>
    <t xml:space="preserve">CIESIELKA WALTER B JR </t>
  </si>
  <si>
    <t>6915 GREENWOOD ST</t>
  </si>
  <si>
    <t xml:space="preserve">DONOVAN REGIS A JR </t>
  </si>
  <si>
    <t>1800 CHISLETT ST</t>
  </si>
  <si>
    <t xml:space="preserve">JAMES R DONIA &amp; ROBIN S DONIA REVOCABLE </t>
  </si>
  <si>
    <t>6919 MANISTEE ST</t>
  </si>
  <si>
    <t xml:space="preserve">ROBERT G BONNET  REVOCABLE TRUST         </t>
  </si>
  <si>
    <t>1939 ANTIETAM ST</t>
  </si>
  <si>
    <t>ROBERT G BONNET REVOC</t>
  </si>
  <si>
    <t>ANTIETAM ST</t>
  </si>
  <si>
    <t xml:space="preserve">KUHN HELEN                                      </t>
  </si>
  <si>
    <t>6929 STANDISH ST</t>
  </si>
  <si>
    <t>STANDISH ST</t>
  </si>
  <si>
    <t xml:space="preserve">CALDERONE RAECHEL L </t>
  </si>
  <si>
    <t>1441 JANCEY ST</t>
  </si>
  <si>
    <t xml:space="preserve">FORD ALYSSA </t>
  </si>
  <si>
    <t>1649 MORNINGSIDE AVE</t>
  </si>
  <si>
    <t xml:space="preserve">SCHROCK ATLEE GEISER  SMITH                   </t>
  </si>
  <si>
    <t>1640 DUFFIELD ST</t>
  </si>
  <si>
    <t>RIVER RACE DR</t>
  </si>
  <si>
    <t>GOSHEN</t>
  </si>
  <si>
    <t>IN</t>
  </si>
  <si>
    <t>LEFFAKIS JAMES R &amp; PAMELA A (W)</t>
  </si>
  <si>
    <t>1634 DUFFIELD ST</t>
  </si>
  <si>
    <t>LEFFAKIS JAMES R &amp; PA</t>
  </si>
  <si>
    <t xml:space="preserve">BABIK JARED </t>
  </si>
  <si>
    <t>1440 DUFFIELD ST</t>
  </si>
  <si>
    <t>SAUERWEIN DAVID L &amp; KAREN L (W)</t>
  </si>
  <si>
    <t>1432 DUFFIELD ST</t>
  </si>
  <si>
    <t xml:space="preserve">DAWSON MARJORIE </t>
  </si>
  <si>
    <t>1435 DUFFIELD ST</t>
  </si>
  <si>
    <t>MS MARJORIE DAWSON</t>
  </si>
  <si>
    <t>WAGNER MELVIN D JR &amp; SHARON M (W)</t>
  </si>
  <si>
    <t>1670 JANCEY ST</t>
  </si>
  <si>
    <t xml:space="preserve">CHAVEZ PATRICIA A </t>
  </si>
  <si>
    <t>1628 JANCEY ST</t>
  </si>
  <si>
    <t xml:space="preserve">DIDOMENICO NICK J </t>
  </si>
  <si>
    <t>1445 CHISLETT ST</t>
  </si>
  <si>
    <t>1601 CHISLETT ST</t>
  </si>
  <si>
    <t xml:space="preserve">CHISLETT VILLAGE LLC </t>
  </si>
  <si>
    <t>1619 CHISLETT ST</t>
  </si>
  <si>
    <t>CHISLETT VILLAGE LLC</t>
  </si>
  <si>
    <t xml:space="preserve">DIANE L CAGEY REVOCABLE  LIVING TRUST            </t>
  </si>
  <si>
    <t>1700 CHISLETT ST</t>
  </si>
  <si>
    <t>DIANE L CAGEY REVOCAB</t>
  </si>
  <si>
    <t>MACKEY JUSTIN E &amp; SOPHIE (W)</t>
  </si>
  <si>
    <t>1632 CHISLETT ST</t>
  </si>
  <si>
    <t>MACKEY JUSTIN E &amp; SOP</t>
  </si>
  <si>
    <t xml:space="preserve">EDSON JAHNS LLC </t>
  </si>
  <si>
    <t>1604 CHISLETT ST</t>
  </si>
  <si>
    <t>EDSON JAHNS LLC</t>
  </si>
  <si>
    <t xml:space="preserve">FRANCISCUS DONNA                                </t>
  </si>
  <si>
    <t>1732 ANTIETAM ST</t>
  </si>
  <si>
    <t>LAWRENCEVILLE CORPORATION</t>
  </si>
  <si>
    <t>800 MCCANDLESS AVE</t>
  </si>
  <si>
    <t>PO BOX 9201</t>
  </si>
  <si>
    <t>COPPELL</t>
  </si>
  <si>
    <t xml:space="preserve">NELSON MARVA </t>
  </si>
  <si>
    <t>338 N AIKEN AVE</t>
  </si>
  <si>
    <t xml:space="preserve">THOMAS RUBEN JR </t>
  </si>
  <si>
    <t>PO BOX 277</t>
  </si>
  <si>
    <t xml:space="preserve">MANIGAULT  BOBBIE </t>
  </si>
  <si>
    <t>5433 HILLCREST ST</t>
  </si>
  <si>
    <t xml:space="preserve">JACKSON ALEX SAMUEL </t>
  </si>
  <si>
    <t>402 N GRAHAM ST</t>
  </si>
  <si>
    <t>JACKSON ALEX SAMUEL</t>
  </si>
  <si>
    <t>N GRAHAM ST</t>
  </si>
  <si>
    <t xml:space="preserve">JORDAN DAVID &amp; DONNA (W) </t>
  </si>
  <si>
    <t>0 N GRAHAM ST</t>
  </si>
  <si>
    <t xml:space="preserve">JORDAN DAVID &amp; DONNA </t>
  </si>
  <si>
    <t xml:space="preserve">ROBINSON JULIA M </t>
  </si>
  <si>
    <t>412 N GRAHAM ST</t>
  </si>
  <si>
    <t>BROWN NATHALIE J &amp; NATHALIE N BROWN</t>
  </si>
  <si>
    <t>414 N GRAHAM ST</t>
  </si>
  <si>
    <t xml:space="preserve">JOHNSTON JAMES H </t>
  </si>
  <si>
    <t>SANDLING OTIS  &amp; ELEA</t>
  </si>
  <si>
    <t xml:space="preserve">NAYLOR RHONDA </t>
  </si>
  <si>
    <t>444 N GRAHAM ST</t>
  </si>
  <si>
    <t xml:space="preserve">SANDLING WILLIAM E SR </t>
  </si>
  <si>
    <t>5427 COLUMBO ST</t>
  </si>
  <si>
    <t xml:space="preserve">RODGERS LINDA </t>
  </si>
  <si>
    <t>5419 COLUMBO ST</t>
  </si>
  <si>
    <t xml:space="preserve">BENDER ELAINE P                                 </t>
  </si>
  <si>
    <t>5411 COLUMBO ST</t>
  </si>
  <si>
    <t>RODGERS GARRISON</t>
  </si>
  <si>
    <t>WILSON GELORA D REVOCABLE LIVING TRUST (</t>
  </si>
  <si>
    <t>437 N GRAHAM ST</t>
  </si>
  <si>
    <t>WADDELL FRANK R &amp; LESLIE E</t>
  </si>
  <si>
    <t xml:space="preserve">WALTER WILLIAM D </t>
  </si>
  <si>
    <t>427 N GRAHAM ST</t>
  </si>
  <si>
    <t>NCRC HOUSING REHAB  FUND  LLC</t>
  </si>
  <si>
    <t>5409 HILLCREST ST</t>
  </si>
  <si>
    <t xml:space="preserve">ESCRIBANO TAMARA                                </t>
  </si>
  <si>
    <t>109 N GRAHAM ST</t>
  </si>
  <si>
    <t xml:space="preserve">MCCARY AVA M </t>
  </si>
  <si>
    <t>5403 BROAD ST</t>
  </si>
  <si>
    <t>DAY LILLY DR UNIT 201</t>
  </si>
  <si>
    <t xml:space="preserve">TYLER JENNIFER L </t>
  </si>
  <si>
    <t>5409 BROAD ST</t>
  </si>
  <si>
    <t>PO BOX 10207</t>
  </si>
  <si>
    <t xml:space="preserve">PPREF-A LLC </t>
  </si>
  <si>
    <t>5419 BROAD ST</t>
  </si>
  <si>
    <t>GROVE ST STE 149</t>
  </si>
  <si>
    <t>JERSEY CITY</t>
  </si>
  <si>
    <t xml:space="preserve">BOARDWALK CONSULTING LLC </t>
  </si>
  <si>
    <t>214 N AIKEN AVE</t>
  </si>
  <si>
    <t xml:space="preserve">BOARDWALK CONSULTING </t>
  </si>
  <si>
    <t>SAW MILL RUN BLVD</t>
  </si>
  <si>
    <t>5409 KINCAID ST</t>
  </si>
  <si>
    <t xml:space="preserve">PILLOWS JEFFREY </t>
  </si>
  <si>
    <t xml:space="preserve">HOLT NEAL </t>
  </si>
  <si>
    <t>223 N GRAHAM ST</t>
  </si>
  <si>
    <t xml:space="preserve">HOLT FRANCES                                    </t>
  </si>
  <si>
    <t>225 N GRAHAM ST</t>
  </si>
  <si>
    <t xml:space="preserve">GIBBS STEPHANY L </t>
  </si>
  <si>
    <t>239 N GRAHAM ST</t>
  </si>
  <si>
    <t>GIBBS STEPHANY L</t>
  </si>
  <si>
    <t>HARRIS JOHN J &amp; RUTH E HARRIS</t>
  </si>
  <si>
    <t>230 N AIKEN AVE</t>
  </si>
  <si>
    <t>BENNETT BLANCHE E RICKETTS CRYSTAL</t>
  </si>
  <si>
    <t>232 N AIKEN AVE</t>
  </si>
  <si>
    <t xml:space="preserve">MCCLAIN LAYLA                                   </t>
  </si>
  <si>
    <t>236 N AIKEN AVE</t>
  </si>
  <si>
    <t>MCCLAIN LAYLA</t>
  </si>
  <si>
    <t xml:space="preserve">WILLIAMS LOLENE                                 </t>
  </si>
  <si>
    <t>310 N AIKEN AVE</t>
  </si>
  <si>
    <t>LOLENE WILLIAMS</t>
  </si>
  <si>
    <t>HAMILTON WILLIE  &amp; BILLIE B</t>
  </si>
  <si>
    <t>312 N AIKEN AVE</t>
  </si>
  <si>
    <t xml:space="preserve">HOLT NEAL JR </t>
  </si>
  <si>
    <t>301 N GRAHAM ST</t>
  </si>
  <si>
    <t xml:space="preserve">SPEAR SHANNON L </t>
  </si>
  <si>
    <t>307 N GRAHAM ST</t>
  </si>
  <si>
    <t xml:space="preserve">DEVELOPER'S MORTGAGE </t>
  </si>
  <si>
    <t>E DUBLIN GRANVILLE STE 460</t>
  </si>
  <si>
    <t xml:space="preserve">WILBUR JOYCE NADINE </t>
  </si>
  <si>
    <t>311 N GRAHAM ST</t>
  </si>
  <si>
    <t xml:space="preserve">ECO-FRIENDLY REALTOR LLC </t>
  </si>
  <si>
    <t>5437 ROSETTA ST</t>
  </si>
  <si>
    <t xml:space="preserve">ECO-FRIENDLY REALTOR </t>
  </si>
  <si>
    <t>W MONTAGUE AVE STE 3</t>
  </si>
  <si>
    <t>CHARLESTON</t>
  </si>
  <si>
    <t xml:space="preserve">STULLKEN SARA E                                 </t>
  </si>
  <si>
    <t>SARA &amp; JOHN STULLKEN</t>
  </si>
  <si>
    <t>DAVIS GERALDINE &amp; JOANNE DAVIS WHITE</t>
  </si>
  <si>
    <t>5454 ROSETTA ST</t>
  </si>
  <si>
    <t>DAVIS GERALDINE &amp; JOA</t>
  </si>
  <si>
    <t>5450 ROSETTA ST</t>
  </si>
  <si>
    <t>JOHNSON MARIO</t>
  </si>
  <si>
    <t xml:space="preserve">MBANDI MARTHA </t>
  </si>
  <si>
    <t>236 N GRAHAM ST</t>
  </si>
  <si>
    <t>ANTON DR</t>
  </si>
  <si>
    <t xml:space="preserve">JONES ROBERT M JR </t>
  </si>
  <si>
    <t>5445 KINCAID ST</t>
  </si>
  <si>
    <t xml:space="preserve">BLAND NICHOLAS &amp; ANGELA </t>
  </si>
  <si>
    <t>NICHOLAS &amp; ANGELA BLA</t>
  </si>
  <si>
    <t xml:space="preserve">BROCK FRANK N </t>
  </si>
  <si>
    <t>5446 KINCAID ST</t>
  </si>
  <si>
    <t>GLOVER WILLIAM H &amp; MARVA K</t>
  </si>
  <si>
    <t>5438 KINCAID ST</t>
  </si>
  <si>
    <t xml:space="preserve">GLOVER MARVA K </t>
  </si>
  <si>
    <t xml:space="preserve">MILLER BRIAN N </t>
  </si>
  <si>
    <t>BAUM BLVD APT 221</t>
  </si>
  <si>
    <t xml:space="preserve">COOK HESTER </t>
  </si>
  <si>
    <t>5449 BROAD ST</t>
  </si>
  <si>
    <t xml:space="preserve">THOMPSON WILLIAM H </t>
  </si>
  <si>
    <t>5451 BROAD ST</t>
  </si>
  <si>
    <t>THOMPSON RUN RD</t>
  </si>
  <si>
    <t>WADLEY FRANK JOSEPH SR &amp; SHERRIE A (W)</t>
  </si>
  <si>
    <t>5480 BROAD ST</t>
  </si>
  <si>
    <t>WADLEY FRANK JOSEPH S</t>
  </si>
  <si>
    <t>MCKINNEY CHARLES P JR &amp; ETAL</t>
  </si>
  <si>
    <t>5474 BROAD ST</t>
  </si>
  <si>
    <t>MCGINNIS PATRICK C</t>
  </si>
  <si>
    <t xml:space="preserve">MONROE BRIAN </t>
  </si>
  <si>
    <t>5452 BROAD ST</t>
  </si>
  <si>
    <t>MONROE BRIAN</t>
  </si>
  <si>
    <t>E 119 ST APT 2</t>
  </si>
  <si>
    <t xml:space="preserve">MELUCCI KATHLEEN C </t>
  </si>
  <si>
    <t>1317 KING AVE</t>
  </si>
  <si>
    <t>SWALLOW VIRGINIA A  FARGIONE</t>
  </si>
  <si>
    <t>1328 CORDOVA RD</t>
  </si>
  <si>
    <t>SWALLOW VIRGINIA A FA</t>
  </si>
  <si>
    <t>CORDOVA RD</t>
  </si>
  <si>
    <t xml:space="preserve">KOLB EMILY LOIS                                 </t>
  </si>
  <si>
    <t>1301 KING AVE</t>
  </si>
  <si>
    <t xml:space="preserve">BELL CYNTHIA M </t>
  </si>
  <si>
    <t>1217 KING AVE</t>
  </si>
  <si>
    <t>KING AVE</t>
  </si>
  <si>
    <t xml:space="preserve">GROTELUESCHEN GINA L                            </t>
  </si>
  <si>
    <t>1201 KING AVE</t>
  </si>
  <si>
    <t xml:space="preserve">CHIANESE JENNIFER </t>
  </si>
  <si>
    <t>5512 BRYANT ST</t>
  </si>
  <si>
    <t>LAVELLE KEVIN M &amp; ERIN (W)</t>
  </si>
  <si>
    <t>5540 ELGIN ST</t>
  </si>
  <si>
    <t xml:space="preserve">HUDAK SHARON </t>
  </si>
  <si>
    <t>0 ELGIN ST</t>
  </si>
  <si>
    <t>ELGIN ST</t>
  </si>
  <si>
    <t>RASHID OUSAINU M &amp; PATRICIA R (W)</t>
  </si>
  <si>
    <t>1201 N NEGLEY AVE</t>
  </si>
  <si>
    <t xml:space="preserve">BLACKMON EDWARD </t>
  </si>
  <si>
    <t>1211 N NEGLEY AVE</t>
  </si>
  <si>
    <t xml:space="preserve">RAHUBA SUSAN </t>
  </si>
  <si>
    <t>5 HIGHLAND CT</t>
  </si>
  <si>
    <t>HIGHLAND CT</t>
  </si>
  <si>
    <t>TAYLOR YVETTE L BESS TAYLOR CAROLE L</t>
  </si>
  <si>
    <t>1406 N NEGLEY AVE</t>
  </si>
  <si>
    <t xml:space="preserve">RICKETTS THOMAS G </t>
  </si>
  <si>
    <t>1400 N NEGLEY AVE</t>
  </si>
  <si>
    <t xml:space="preserve">LINMAR LLC </t>
  </si>
  <si>
    <t>0 CALLOWHILL ST</t>
  </si>
  <si>
    <t>RUSSELLTON DORSEYVILLE RD</t>
  </si>
  <si>
    <t xml:space="preserve">AUDEN-STEVENS VERITY G </t>
  </si>
  <si>
    <t>5645 CALLOWHILL ST</t>
  </si>
  <si>
    <t xml:space="preserve">AUDEN-STEVENS VERITY </t>
  </si>
  <si>
    <t>CALLOWHILL ST</t>
  </si>
  <si>
    <t xml:space="preserve">POLACHEK MICHAEL E                              </t>
  </si>
  <si>
    <t>1413 MELLON ST</t>
  </si>
  <si>
    <t xml:space="preserve">JUDKINS LANDON                                  </t>
  </si>
  <si>
    <t>5707 CALLOWHILL ST</t>
  </si>
  <si>
    <t xml:space="preserve">STOLTZ MICHAEL ANDREW                           </t>
  </si>
  <si>
    <t>5716 CALLOWHILL ST</t>
  </si>
  <si>
    <t>MAGINNIS ELLEN C &amp; THOMAS C (H)</t>
  </si>
  <si>
    <t>5710 CALLOWHILL ST</t>
  </si>
  <si>
    <t>UNION BANK  NA LOAN S</t>
  </si>
  <si>
    <t>FREDERICA ST</t>
  </si>
  <si>
    <t>OWENSBORO</t>
  </si>
  <si>
    <t xml:space="preserve">BUCK JOHN H </t>
  </si>
  <si>
    <t>5704 CALLOWHILL ST</t>
  </si>
  <si>
    <t>HICKORY LN</t>
  </si>
  <si>
    <t>GREAT FALLS</t>
  </si>
  <si>
    <t>MIKITA STANISLAW &amp; SHIRLEY (W)</t>
  </si>
  <si>
    <t>5638 CALLOWHILL ST</t>
  </si>
  <si>
    <t>BEVERLY PL</t>
  </si>
  <si>
    <t xml:space="preserve">MIKITA STANISLAW                                </t>
  </si>
  <si>
    <t>1268 N NEGLEY AVE</t>
  </si>
  <si>
    <t>MIKITA STANISLAW  &amp; SHIRLEY R (W)</t>
  </si>
  <si>
    <t>1256 N NEGLEY AVE</t>
  </si>
  <si>
    <t>MIKITA STANISLAW  &amp; SHIRLEY (W)</t>
  </si>
  <si>
    <t>1252 N NEGLEY AVE</t>
  </si>
  <si>
    <t>5615 ELGIN ST</t>
  </si>
  <si>
    <t xml:space="preserve">GRAYCAR NICOLE </t>
  </si>
  <si>
    <t>5701 ELGIN ST</t>
  </si>
  <si>
    <t>PORTMAN DINA T &amp; FRANK P (H)</t>
  </si>
  <si>
    <t>5640 ELGIN ST</t>
  </si>
  <si>
    <t>LAFE THOMAS &amp; DANIELLE (W)</t>
  </si>
  <si>
    <t>5638 ELGIN ST</t>
  </si>
  <si>
    <t>MONTANO LUIS E &amp; JOANNE E LAGRATTA (W)</t>
  </si>
  <si>
    <t>1422 MELLON ST</t>
  </si>
  <si>
    <t>MONTANO LUIS E &amp; JOAN</t>
  </si>
  <si>
    <t xml:space="preserve">BRESENDEN MIKHAIL </t>
  </si>
  <si>
    <t>5709 CALLOWHILL ST</t>
  </si>
  <si>
    <t>THATCHER AVE</t>
  </si>
  <si>
    <t>MARINA DEL REY</t>
  </si>
  <si>
    <t>5711 CALLOWHILL ST</t>
  </si>
  <si>
    <t xml:space="preserve">VS 1401 NSC LLC </t>
  </si>
  <si>
    <t>1401 N SAINT CLAIR ST</t>
  </si>
  <si>
    <t xml:space="preserve">MAYS LOWELL G </t>
  </si>
  <si>
    <t>1421 N SAINT CLAIR ST</t>
  </si>
  <si>
    <t>N SAINT CLAIR ST</t>
  </si>
  <si>
    <t xml:space="preserve">BURKE ALMON S JR </t>
  </si>
  <si>
    <t>1433 N EUCLID AVE</t>
  </si>
  <si>
    <t>N EUCLID AVE</t>
  </si>
  <si>
    <t>BUCHES S JAMES &amp; LAURIE J (W)</t>
  </si>
  <si>
    <t>1430 N EUCLID AVE</t>
  </si>
  <si>
    <t>PAGLIA LUCAS G &amp; SHARI R (W)</t>
  </si>
  <si>
    <t>5915 CALLOWHILL ST</t>
  </si>
  <si>
    <t xml:space="preserve">JONES NEIL PATRICK                              </t>
  </si>
  <si>
    <t>1421 GREYSTONE DR</t>
  </si>
  <si>
    <t>GREYSTONE DR</t>
  </si>
  <si>
    <t>RUNCO GREG W &amp; ROSE J (W)</t>
  </si>
  <si>
    <t>1427 GREYSTONE DR</t>
  </si>
  <si>
    <t xml:space="preserve">BOCK DAVID                                      </t>
  </si>
  <si>
    <t>1433 GREYSTONE DR</t>
  </si>
  <si>
    <t>TOWER CIR STE 600</t>
  </si>
  <si>
    <t xml:space="preserve">YOUNG MICHAEL E                                 </t>
  </si>
  <si>
    <t>1445 GREYSTONE DR</t>
  </si>
  <si>
    <t xml:space="preserve">RUNCO BRAD                                      </t>
  </si>
  <si>
    <t>1457 GREYSTONE DR</t>
  </si>
  <si>
    <t xml:space="preserve">BURLEY JACK L JR </t>
  </si>
  <si>
    <t>1462 GREYSTONE DR</t>
  </si>
  <si>
    <t xml:space="preserve">SCIULLI ADAM &amp; DARCI (W) </t>
  </si>
  <si>
    <t>1448 GREYSTONE DR</t>
  </si>
  <si>
    <t>SCIULLI ADAM (H) &amp; DA</t>
  </si>
  <si>
    <t>MERCHANT RALSTON W III &amp; MANDY LYNN (W)</t>
  </si>
  <si>
    <t>1444 GREYSTONE DR</t>
  </si>
  <si>
    <t>MERCHANT RALSTON W II</t>
  </si>
  <si>
    <t xml:space="preserve">FRISCHKORN JULIE M                              </t>
  </si>
  <si>
    <t>1467 N HIGHLAND AVE</t>
  </si>
  <si>
    <t>WHITE CHRISTOPHER  CHARLES</t>
  </si>
  <si>
    <t>1454 N HIGHLAND AVE</t>
  </si>
  <si>
    <t>TELEGRAPH RDG</t>
  </si>
  <si>
    <t>GLEN ALLEN</t>
  </si>
  <si>
    <t xml:space="preserve">PRESTON THOMAS </t>
  </si>
  <si>
    <t>1007 KING AVE</t>
  </si>
  <si>
    <t xml:space="preserve">GARRISON FRANK BRENNEN                          </t>
  </si>
  <si>
    <t>5577 HAMPTON ST</t>
  </si>
  <si>
    <t>MCCAGUE RICHARD J &amp; PENNY S (W)</t>
  </si>
  <si>
    <t>5500 BEVERLY PL</t>
  </si>
  <si>
    <t>MCCAGUE RICHARD J &amp; P</t>
  </si>
  <si>
    <t>5524 BEVERLY PL</t>
  </si>
  <si>
    <t>MIKITA STANISLAW &amp; SHIRLEY R (W)</t>
  </si>
  <si>
    <t>5526 BEVERLY PL</t>
  </si>
  <si>
    <t xml:space="preserve">WILSON JIMIL </t>
  </si>
  <si>
    <t>5550 BEVERLY PL</t>
  </si>
  <si>
    <t>PO BOX 2800</t>
  </si>
  <si>
    <t>CAMPBELL BENJAMIN  LAWSON &amp; REBECCA JUNE (W</t>
  </si>
  <si>
    <t>1121 N NEGLEY AVE</t>
  </si>
  <si>
    <t>MULLEN GAVIN M &amp; LAURA E (W)</t>
  </si>
  <si>
    <t>1130 N NEGLEY AVE</t>
  </si>
  <si>
    <t>MATTHEW RUFFALO &amp; LACY (W)</t>
  </si>
  <si>
    <t>1033 PORTLAND ST</t>
  </si>
  <si>
    <t xml:space="preserve">BAWOL AARON                                     </t>
  </si>
  <si>
    <t>1127 PORTLAND ST</t>
  </si>
  <si>
    <t>MCCARTHY JOLIE  &amp; HUGH J MC GLINCY</t>
  </si>
  <si>
    <t>1131 PORTLAND ST</t>
  </si>
  <si>
    <t>PORTLAND ST</t>
  </si>
  <si>
    <t xml:space="preserve">HOGAN ERNEST E </t>
  </si>
  <si>
    <t>1151 PORTLAND ST</t>
  </si>
  <si>
    <t xml:space="preserve">DEIULIIS FAMILY TRUST                           </t>
  </si>
  <si>
    <t>1160 PORTLAND ST</t>
  </si>
  <si>
    <t xml:space="preserve">CLARKE ALEXANDER F                              </t>
  </si>
  <si>
    <t>1040 PORTLAND ST</t>
  </si>
  <si>
    <t>M &amp; T MTGE CORP</t>
  </si>
  <si>
    <t>THOMAS WILLIAM WAYT &amp; MARIE ANTOINETTE (W)</t>
  </si>
  <si>
    <t>1143 MELLON ST</t>
  </si>
  <si>
    <t xml:space="preserve">WILLIAM WAYT &amp; MARIE </t>
  </si>
  <si>
    <t>SUBDEI TRILOCHAN &amp; RACHITA</t>
  </si>
  <si>
    <t>1145 MELLON ST</t>
  </si>
  <si>
    <t xml:space="preserve">FORD HEATHER </t>
  </si>
  <si>
    <t>1126 MELLON ST</t>
  </si>
  <si>
    <t xml:space="preserve">VITALY REALTY LLC                               </t>
  </si>
  <si>
    <t>1119 N SAINT CLAIR ST</t>
  </si>
  <si>
    <t>PO BOX 8174</t>
  </si>
  <si>
    <t xml:space="preserve">KANDIL HOSSAM                                   </t>
  </si>
  <si>
    <t>1130 N SAINT CLAIR ST</t>
  </si>
  <si>
    <t>BUTLER DOUGLAS A &amp; RASHEEDA B LAWSON-BUT LE</t>
  </si>
  <si>
    <t>1117 N EUCLID AVE</t>
  </si>
  <si>
    <t>BUTLER DOUGLAS A &amp; RA</t>
  </si>
  <si>
    <t xml:space="preserve">SAUER AMANDA </t>
  </si>
  <si>
    <t>1127 N EUCLID AVE</t>
  </si>
  <si>
    <t xml:space="preserve">HIGHLAND PARK COMMUNITY  DEVELOPMENT CORPORATION </t>
  </si>
  <si>
    <t>5802 BRYANT ST</t>
  </si>
  <si>
    <t>HIGHLAND PARK COMMUNI</t>
  </si>
  <si>
    <t>IEZZI LOUIS C SR &amp; CHRISTINE K (W)</t>
  </si>
  <si>
    <t>5703 BRYANT ST</t>
  </si>
  <si>
    <t>BRYANT ST</t>
  </si>
  <si>
    <t xml:space="preserve">BARZA ANDREW M </t>
  </si>
  <si>
    <t>5700 ELGIN ST</t>
  </si>
  <si>
    <t xml:space="preserve">PERSEID LLC </t>
  </si>
  <si>
    <t>5819 ELGIN ST</t>
  </si>
  <si>
    <t>ALLEN DARA W &amp; GREGORY E (H)</t>
  </si>
  <si>
    <t>5911 ELGIN ST</t>
  </si>
  <si>
    <t xml:space="preserve">BRAXTON EARL T </t>
  </si>
  <si>
    <t>5904 ELGIN ST</t>
  </si>
  <si>
    <t>BRAXTON EARL T</t>
  </si>
  <si>
    <t xml:space="preserve">LEMMON TIMOTHY SCOTT                            </t>
  </si>
  <si>
    <t>5810 ELGIN ST</t>
  </si>
  <si>
    <t xml:space="preserve">BRYANT STREET PHASE II  LP                      </t>
  </si>
  <si>
    <t>5811 BRYANT ST</t>
  </si>
  <si>
    <t>BRYANT STREET PHASE I</t>
  </si>
  <si>
    <t>P.O. BOX 4866</t>
  </si>
  <si>
    <t>GLOVER-WIMBERLY  CHRISTINE</t>
  </si>
  <si>
    <t>1237 N HIGHLAND AVE</t>
  </si>
  <si>
    <t>GLOVER-WIMBERLY CHRIS</t>
  </si>
  <si>
    <t xml:space="preserve">KRESS FRANCIS </t>
  </si>
  <si>
    <t>5920 BRYANT ST</t>
  </si>
  <si>
    <t>0 BRYANT ST</t>
  </si>
  <si>
    <t>MAOLA CONSTANTINO F &amp; MADELYN (W)</t>
  </si>
  <si>
    <t>5915 BRYANT CT</t>
  </si>
  <si>
    <t xml:space="preserve">YANACEK ERIN                                    </t>
  </si>
  <si>
    <t>5923 BRYANT CT</t>
  </si>
  <si>
    <t>YANACEK ERIN</t>
  </si>
  <si>
    <t>BLANDINO DAVID A &amp; BARBARA Y (W)</t>
  </si>
  <si>
    <t>1215 FARRAGUT ST</t>
  </si>
  <si>
    <t>DIFIORE MICHAEL J &amp; KAREN B (W)</t>
  </si>
  <si>
    <t>1224 FARRAGUT ST</t>
  </si>
  <si>
    <t>FARRAGUT ST</t>
  </si>
  <si>
    <t xml:space="preserve">MARECHAL REMY O                                 </t>
  </si>
  <si>
    <t>6051 GRAFTON ST</t>
  </si>
  <si>
    <t>CHEATHAM KATHERINE H &amp; ANDREW S (H)</t>
  </si>
  <si>
    <t>6025 GRAFTON ST</t>
  </si>
  <si>
    <t>GRAFTON ST</t>
  </si>
  <si>
    <t xml:space="preserve">BERNTHAL PAUL                                   </t>
  </si>
  <si>
    <t>1410 N HIGHLAND AVE</t>
  </si>
  <si>
    <t xml:space="preserve">BARRY CECIL E SR </t>
  </si>
  <si>
    <t>816 CHISLETT ST</t>
  </si>
  <si>
    <t>JACKSON STREET  PROPERTIES LLC</t>
  </si>
  <si>
    <t>5436 JACKSON ST</t>
  </si>
  <si>
    <t>JACKSON STREET PROPER</t>
  </si>
  <si>
    <t>5435 STANTON AVE</t>
  </si>
  <si>
    <t xml:space="preserve">KACPRZYK ALEXSANDER P                           </t>
  </si>
  <si>
    <t>759 CHISLETT ST</t>
  </si>
  <si>
    <t xml:space="preserve">KNAUSS STEVEN P                                 </t>
  </si>
  <si>
    <t>5510 WELLESLEY AVE</t>
  </si>
  <si>
    <t>DONATUCCI ROBERT D. &amp; ASHLEY N (W)</t>
  </si>
  <si>
    <t>5548 WELLESLEY AVE</t>
  </si>
  <si>
    <t xml:space="preserve">BRITTON BLAYRE I </t>
  </si>
  <si>
    <t>939 N NEGLEY AVE</t>
  </si>
  <si>
    <t>LOWRANCE CHRISTOPHER &amp; BAHAR (W)</t>
  </si>
  <si>
    <t>5541 AVONDALE PL</t>
  </si>
  <si>
    <t xml:space="preserve">WRIGHT-BOYD SABRINA </t>
  </si>
  <si>
    <t>5503 AVONDALE PL</t>
  </si>
  <si>
    <t>WRIGHT-BOYD SABRINA</t>
  </si>
  <si>
    <t>MEETING HOUSE LN</t>
  </si>
  <si>
    <t>RUSKIN</t>
  </si>
  <si>
    <t xml:space="preserve">KAMARA ZAINABU KALLON </t>
  </si>
  <si>
    <t>5512 AVONDALE PL</t>
  </si>
  <si>
    <t>AVONDALE PL</t>
  </si>
  <si>
    <t xml:space="preserve">HUANG DONG                                      </t>
  </si>
  <si>
    <t>5514 AVONDALE PL</t>
  </si>
  <si>
    <t xml:space="preserve">COHEN AMIR A &amp; JENNA (W) </t>
  </si>
  <si>
    <t>5540 AVONDALE PL</t>
  </si>
  <si>
    <t>5552 AVONDALE PL</t>
  </si>
  <si>
    <t xml:space="preserve">FORBES PHYLLIS T </t>
  </si>
  <si>
    <t>923 N NEGLEY AVE UNIT A</t>
  </si>
  <si>
    <t xml:space="preserve">CHEN CYNTHIA                                    </t>
  </si>
  <si>
    <t>923 N NEGLEY AVE</t>
  </si>
  <si>
    <t xml:space="preserve">NEUMAN INVESTING LLC </t>
  </si>
  <si>
    <t>5517 JACKSON ST</t>
  </si>
  <si>
    <t>FUND THAT FLIP LENDIN</t>
  </si>
  <si>
    <t>E 9TH ST STE 800</t>
  </si>
  <si>
    <t xml:space="preserve">SEGALL JACOB </t>
  </si>
  <si>
    <t>5445 JACKSON ST</t>
  </si>
  <si>
    <t>BIANCHINI ROSE</t>
  </si>
  <si>
    <t xml:space="preserve">5526 HIGHLAND PARK LLC </t>
  </si>
  <si>
    <t>5526 JACKSON ST</t>
  </si>
  <si>
    <t>5526 HIGHLAND PARK LL</t>
  </si>
  <si>
    <t xml:space="preserve">TOMMARELLO TERESA TRUST </t>
  </si>
  <si>
    <t>5501 STANTON AVE</t>
  </si>
  <si>
    <t>JAMES D HOHMAN (TRUST</t>
  </si>
  <si>
    <t>CAMP HORNE RD STE 100</t>
  </si>
  <si>
    <t>5507 STANTON AVE</t>
  </si>
  <si>
    <t>5511 STANTON AVE</t>
  </si>
  <si>
    <t xml:space="preserve">MEANS HAILEY </t>
  </si>
  <si>
    <t>826 N NEGLEY AVE</t>
  </si>
  <si>
    <t xml:space="preserve">COLLINS DIANE K                                 </t>
  </si>
  <si>
    <t>914 N NEGLEY AVE</t>
  </si>
  <si>
    <t>SHAW PAUL E &amp; ANTOINETTE R</t>
  </si>
  <si>
    <t>0 PORTLAND ST</t>
  </si>
  <si>
    <t>918 PORTLAND ST</t>
  </si>
  <si>
    <t>PENNWESTERN CAPITAL  ASSET RECOVERY LLC</t>
  </si>
  <si>
    <t>0 JACKSON ST</t>
  </si>
  <si>
    <t>PENNWESTERN CAPITAL A</t>
  </si>
  <si>
    <t>5622 WELLESLEY AVE</t>
  </si>
  <si>
    <t>KALLAM ALEX AUSTIN &amp; ABIGAIL MARIE (W)</t>
  </si>
  <si>
    <t>933 MELLON ST</t>
  </si>
  <si>
    <t>S TRYON ST STE 100</t>
  </si>
  <si>
    <t xml:space="preserve">SINGER RUSSELL MASON </t>
  </si>
  <si>
    <t>923 MELLON ST</t>
  </si>
  <si>
    <t xml:space="preserve">THATHIAH AMANTHA </t>
  </si>
  <si>
    <t>914 MELLON ST</t>
  </si>
  <si>
    <t xml:space="preserve">MILES STEPHEN                                   </t>
  </si>
  <si>
    <t>916 MELLON ST</t>
  </si>
  <si>
    <t>928 MELLON ST</t>
  </si>
  <si>
    <t>CARBIN GEORGEANN F</t>
  </si>
  <si>
    <t>WILLOWBROOK ST STE 110</t>
  </si>
  <si>
    <t>WAYNE</t>
  </si>
  <si>
    <t xml:space="preserve">NICKLESS ALEXANDRIA N &amp;                         </t>
  </si>
  <si>
    <t>930 MELLON ST</t>
  </si>
  <si>
    <t xml:space="preserve">SEMEDO JOAO MIGUEL DIAS  MARQUES                 </t>
  </si>
  <si>
    <t>932 MELLON ST</t>
  </si>
  <si>
    <t xml:space="preserve">MCMANUS MARIE BARBARA </t>
  </si>
  <si>
    <t>5712 WELLESLEY AVE</t>
  </si>
  <si>
    <t xml:space="preserve">DECARLO DEVELOPMENT LLC </t>
  </si>
  <si>
    <t>937 N SAINT CLAIR ST</t>
  </si>
  <si>
    <t>DECARLO DEVELOPMENT L</t>
  </si>
  <si>
    <t>CLARKLAND AVE</t>
  </si>
  <si>
    <t>927 N SAINT CLAIR ST</t>
  </si>
  <si>
    <t>AMAGU 907 NORTH SAINT  CLAIR STREET LLC</t>
  </si>
  <si>
    <t>907 N SAINT CLAIR ST</t>
  </si>
  <si>
    <t>AMAGU 907 NORTH SAINT</t>
  </si>
  <si>
    <t>SENATE DR</t>
  </si>
  <si>
    <t xml:space="preserve">GODSHALK LUCAS                                  </t>
  </si>
  <si>
    <t>917 N EUCLID AVE</t>
  </si>
  <si>
    <t>DOUD CHARLES &amp; CAROLINE (W)</t>
  </si>
  <si>
    <t>1014 N EUCLID AVE</t>
  </si>
  <si>
    <t>DOUD CHARLES &amp; CAROLI</t>
  </si>
  <si>
    <t>LEONARDI FRANK P III &amp; REBECCA J (W)</t>
  </si>
  <si>
    <t>1011 N EUCLID AVE</t>
  </si>
  <si>
    <t xml:space="preserve">BOW JOSHUA P                                    </t>
  </si>
  <si>
    <t>5815 WELLESLEY AVE</t>
  </si>
  <si>
    <t xml:space="preserve">CERAVOLO MARIA VITTORIA </t>
  </si>
  <si>
    <t>1005 N SAINT CLAIR ST</t>
  </si>
  <si>
    <t>CANTERBURY DR</t>
  </si>
  <si>
    <t>VENNERI GARY M &amp; REBECCA L JUNG (W)</t>
  </si>
  <si>
    <t>5717 WELLESLEY AVE</t>
  </si>
  <si>
    <t>5715 WELLESLEY AVE</t>
  </si>
  <si>
    <t xml:space="preserve">OTT DUSTIN A                                    </t>
  </si>
  <si>
    <t>5705 WELLESLEY AVE</t>
  </si>
  <si>
    <t xml:space="preserve">STARCHER MARGARET RAE </t>
  </si>
  <si>
    <t>1008 MELLON ST</t>
  </si>
  <si>
    <t>STARCHER MARGARET RAE</t>
  </si>
  <si>
    <t xml:space="preserve">WEINSTEIN GREGORY ELLIS                         </t>
  </si>
  <si>
    <t>5625 WELLESLEY AVE</t>
  </si>
  <si>
    <t xml:space="preserve">VANDIVIER PETER &amp; KATHERINE G (W)         </t>
  </si>
  <si>
    <t>1007 PORTLAND ST</t>
  </si>
  <si>
    <t xml:space="preserve">JULIANA STEPHEN </t>
  </si>
  <si>
    <t>1026 MELLON ST</t>
  </si>
  <si>
    <t>ANGLERO SHANNON M &amp; DAVID C (H)</t>
  </si>
  <si>
    <t>5702 HAMPTON ST</t>
  </si>
  <si>
    <t xml:space="preserve">SHARPNACK JAMES L </t>
  </si>
  <si>
    <t>5909 HAMPTON ST</t>
  </si>
  <si>
    <t xml:space="preserve">TETER AARON &amp; AYANA (W) </t>
  </si>
  <si>
    <t>942 N HIGHLAND AVE</t>
  </si>
  <si>
    <t xml:space="preserve">MIMS GREGORY </t>
  </si>
  <si>
    <t>1016 N HIGHLAND AVE</t>
  </si>
  <si>
    <t>TEDESCO PAUL &amp; REBECCA A (W)</t>
  </si>
  <si>
    <t>6016 HAMPTON ST</t>
  </si>
  <si>
    <t>TEDESCO PAUL &amp; REBECC</t>
  </si>
  <si>
    <t xml:space="preserve">GERBER JEROME JAY                               </t>
  </si>
  <si>
    <t>1015 FARRAGUT ST</t>
  </si>
  <si>
    <t>GERBER JEROME JAY</t>
  </si>
  <si>
    <t>ALBERT BRYAN W &amp; ANDREA S (W)</t>
  </si>
  <si>
    <t>1027 FARRAGUT ST</t>
  </si>
  <si>
    <t>ALBERT BRYAN W &amp; ANDR</t>
  </si>
  <si>
    <t>FARRAGUT ST FL 1ST</t>
  </si>
  <si>
    <t xml:space="preserve">FARZAN ROSTA </t>
  </si>
  <si>
    <t>1119 FARRAGUT ST</t>
  </si>
  <si>
    <t xml:space="preserve">MCGOVERN GEOFFREY R </t>
  </si>
  <si>
    <t>1100 N HIGHLAND AVE</t>
  </si>
  <si>
    <t>STEINMAN JULIUS &amp; ANNA (W)</t>
  </si>
  <si>
    <t>0 N HIGHLAND AVE</t>
  </si>
  <si>
    <t>STEINMAN JULIUS &amp; ANN</t>
  </si>
  <si>
    <t>1116 N HIGHLAND AVE</t>
  </si>
  <si>
    <t>PENNELL PAGE BUCKHANNAN  &amp; PENNELL KURT DAVIS</t>
  </si>
  <si>
    <t>6031 BRYANT ST</t>
  </si>
  <si>
    <t>PENNELL PAGE BUCKHANN</t>
  </si>
  <si>
    <t>BRIDI NATHANIEL JACOB &amp; MELISSA (W)</t>
  </si>
  <si>
    <t>1112 FARRAGUT ST</t>
  </si>
  <si>
    <t>DURNAN BASYL LATHAM &amp; KAILANA</t>
  </si>
  <si>
    <t>1010 FARRAGUT ST</t>
  </si>
  <si>
    <t xml:space="preserve">SWANSON ERIC </t>
  </si>
  <si>
    <t>1008 FARRAGUT ST</t>
  </si>
  <si>
    <t xml:space="preserve">MELDRUM SCOTT J                                 </t>
  </si>
  <si>
    <t>1007 N SHERIDAN AVE</t>
  </si>
  <si>
    <t xml:space="preserve">HOLLEY REGINA B </t>
  </si>
  <si>
    <t>1125 N SHERIDAN AVE</t>
  </si>
  <si>
    <t xml:space="preserve">DAVIS ERIC </t>
  </si>
  <si>
    <t>1110 N SHERIDAN AVE</t>
  </si>
  <si>
    <t>HAWTHORNE CARA M &amp; DERRICK C (H)</t>
  </si>
  <si>
    <t>1008 N SHERIDAN AVE</t>
  </si>
  <si>
    <t>NORTHWEST BANK</t>
  </si>
  <si>
    <t>LIBERTY ST BOX 1793</t>
  </si>
  <si>
    <t>HOLDEN MALACHI &amp; HANNAH (W)</t>
  </si>
  <si>
    <t>700 N AIKEN AVE</t>
  </si>
  <si>
    <t>HOLDEN MALACHI &amp; HANN</t>
  </si>
  <si>
    <t xml:space="preserve">MCCAMBLY ALICEN </t>
  </si>
  <si>
    <t>5405 BLACK ST</t>
  </si>
  <si>
    <t>BUTLER ST STE 201</t>
  </si>
  <si>
    <t>CRUZ SEBASTIAN F  SCHIAVONE &amp; NEHA C KHOIS</t>
  </si>
  <si>
    <t>705 CHISLETT ST</t>
  </si>
  <si>
    <t xml:space="preserve">CARTER KELLY </t>
  </si>
  <si>
    <t>715 CHISLETT ST</t>
  </si>
  <si>
    <t>CARTER KELLY</t>
  </si>
  <si>
    <t xml:space="preserve">BULLARD JAMES D                                 </t>
  </si>
  <si>
    <t>725 CHISLETT ST</t>
  </si>
  <si>
    <t>729 CHISLETT ST</t>
  </si>
  <si>
    <t xml:space="preserve">MOBLEY DEVRA L </t>
  </si>
  <si>
    <t>5423 BAYWOOD ST</t>
  </si>
  <si>
    <t>BAYWOOD ST</t>
  </si>
  <si>
    <t xml:space="preserve">LIU FENGXIAN                                    </t>
  </si>
  <si>
    <t>5432 BAYWOOD ST</t>
  </si>
  <si>
    <t>METRO CITY BANK</t>
  </si>
  <si>
    <t>BUFORD HWY SE</t>
  </si>
  <si>
    <t xml:space="preserve">GILLILAND JOHN L JR </t>
  </si>
  <si>
    <t>5508 HAYS ST</t>
  </si>
  <si>
    <t xml:space="preserve">WOOD MATTIE L COLLINS </t>
  </si>
  <si>
    <t>5490 HAYS ST</t>
  </si>
  <si>
    <t xml:space="preserve">HUNTER-HILL JAIH </t>
  </si>
  <si>
    <t>5454 BLACK ST</t>
  </si>
  <si>
    <t>HUNTER-HILL JAIH</t>
  </si>
  <si>
    <t>BLACK ST</t>
  </si>
  <si>
    <t xml:space="preserve">MODULE DEVELOPMENT LLC </t>
  </si>
  <si>
    <t>5452 BLACK ST</t>
  </si>
  <si>
    <t>MODULE DEVELOPMENT LL</t>
  </si>
  <si>
    <t>5450 BLACK ST</t>
  </si>
  <si>
    <t>FULLSTACK BLOCKCHAIN  SOLUTIONS LLC</t>
  </si>
  <si>
    <t>5446 BLACK ST</t>
  </si>
  <si>
    <t xml:space="preserve">FULLSTACK BLOCKCHAIN </t>
  </si>
  <si>
    <t xml:space="preserve">MONROE BRIAN K </t>
  </si>
  <si>
    <t>5402 BLACK ST</t>
  </si>
  <si>
    <t xml:space="preserve">POWELL TAZI M </t>
  </si>
  <si>
    <t>545 N FAIRMOUNT ST</t>
  </si>
  <si>
    <t>N FAIRMOUNT ST</t>
  </si>
  <si>
    <t xml:space="preserve">MUSZYNSKI STEVEN                                </t>
  </si>
  <si>
    <t>5523 STANTON AVE</t>
  </si>
  <si>
    <t>LOANCARE LLC</t>
  </si>
  <si>
    <t>PO BOX 8068</t>
  </si>
  <si>
    <t>VIRGINIA BEACH</t>
  </si>
  <si>
    <t xml:space="preserve">BECK RICHARD G </t>
  </si>
  <si>
    <t>5531 BAYWOOD ST</t>
  </si>
  <si>
    <t>PUCCIARELLI MICHAEL  &amp; FELICIA</t>
  </si>
  <si>
    <t>5527 BAYWOOD ST</t>
  </si>
  <si>
    <t>SHARMA VINOD KUMAR GADGIL SONIYA MUKUND</t>
  </si>
  <si>
    <t>5532 BAYWOOD ST</t>
  </si>
  <si>
    <t>POGUE-GEILE CHRISTOPHER  MICHAEL</t>
  </si>
  <si>
    <t>5536 BAYWOOD ST</t>
  </si>
  <si>
    <t>JACKSON KIPP R &amp; FELICIA M (W)</t>
  </si>
  <si>
    <t>5540 BAYWOOD ST</t>
  </si>
  <si>
    <t>JACKSON KIPP R &amp; FELI</t>
  </si>
  <si>
    <t>PO BOX 5392</t>
  </si>
  <si>
    <t xml:space="preserve">NUNLEY NORMAN D JR                              </t>
  </si>
  <si>
    <t>5534 HAYS ST</t>
  </si>
  <si>
    <t xml:space="preserve">HARRISON ELLEN </t>
  </si>
  <si>
    <t>5548 HAYS ST</t>
  </si>
  <si>
    <t xml:space="preserve">RUSSELL GAIL Y </t>
  </si>
  <si>
    <t>5550 HAYS ST</t>
  </si>
  <si>
    <t>PITTSBURGH  INTERNATIONAL RENOVATION</t>
  </si>
  <si>
    <t>715 N NEGLEY AVE</t>
  </si>
  <si>
    <t>PITTSBURGH INTERNATIO</t>
  </si>
  <si>
    <t>PO BOX 81171</t>
  </si>
  <si>
    <t>FRANKE THOMAS R &amp; LINDA G (W)</t>
  </si>
  <si>
    <t>711 N NEGLEY AVE</t>
  </si>
  <si>
    <t>WILKINSON JAY &amp; SHARON (W)</t>
  </si>
  <si>
    <t>709 N NEGLEY AVE</t>
  </si>
  <si>
    <t>TRUIST TAX DEPARTMENT</t>
  </si>
  <si>
    <t>PO BOX 92370</t>
  </si>
  <si>
    <t>ROCHESTER</t>
  </si>
  <si>
    <t>OBERLANDER RODRIGO  LECAS PEREIRA</t>
  </si>
  <si>
    <t>707 N NEGLEY AVE</t>
  </si>
  <si>
    <t>OBERLANDER RODRIGO LE</t>
  </si>
  <si>
    <t xml:space="preserve">STEPHENSON JON                                  </t>
  </si>
  <si>
    <t>705 N NEGLEY AVE</t>
  </si>
  <si>
    <t xml:space="preserve">FRIEDMAN JOSEPH A                               </t>
  </si>
  <si>
    <t>703 N NEGLEY AVE</t>
  </si>
  <si>
    <t>PO BOX 182387</t>
  </si>
  <si>
    <t>5606 STANTON AVE</t>
  </si>
  <si>
    <t xml:space="preserve">WILLIAMS GERMAINE S </t>
  </si>
  <si>
    <t>PORTLAND WAY</t>
  </si>
  <si>
    <t>714 PORTLAND WAY</t>
  </si>
  <si>
    <t xml:space="preserve">FRIEDMAN LEAH N </t>
  </si>
  <si>
    <t>725 MELLON ST</t>
  </si>
  <si>
    <t xml:space="preserve">MARKLE MICHELLE  CAMPAGNA                </t>
  </si>
  <si>
    <t>727 MELLON ST</t>
  </si>
  <si>
    <t xml:space="preserve">DUNKERS CHRISTOPHER M </t>
  </si>
  <si>
    <t>723 N SAINT CLAIR ST</t>
  </si>
  <si>
    <t xml:space="preserve">KROPFL PAUL A                                   </t>
  </si>
  <si>
    <t>725 N SAINT CLAIR ST</t>
  </si>
  <si>
    <t xml:space="preserve">RE CAPITAL LLC </t>
  </si>
  <si>
    <t>729 N SAINT CLAIR ST</t>
  </si>
  <si>
    <t>STELLA ST</t>
  </si>
  <si>
    <t xml:space="preserve">JENSEN STEVEN </t>
  </si>
  <si>
    <t>741 N SAINT CLAIR ST</t>
  </si>
  <si>
    <t>5644 STANTON AVE</t>
  </si>
  <si>
    <t xml:space="preserve">LEJA WILLIAM </t>
  </si>
  <si>
    <t>5621 STANTON AVE</t>
  </si>
  <si>
    <t>PO BOX 4364</t>
  </si>
  <si>
    <t>HIDDEN VALLEY</t>
  </si>
  <si>
    <t xml:space="preserve">WANG JULIE                                      </t>
  </si>
  <si>
    <t>816 PORTLAND ST</t>
  </si>
  <si>
    <t xml:space="preserve">KELLY MICHAEL C </t>
  </si>
  <si>
    <t>826 MELLON ST</t>
  </si>
  <si>
    <t xml:space="preserve">EICK ANDREW                                     </t>
  </si>
  <si>
    <t>828 MELLON ST</t>
  </si>
  <si>
    <t xml:space="preserve">JING ZHONG </t>
  </si>
  <si>
    <t>843 N SAINT CLAIR ST</t>
  </si>
  <si>
    <t>BUTLER ST # 310</t>
  </si>
  <si>
    <t>TONYLIZ REALTY COMPANY  LLC</t>
  </si>
  <si>
    <t>720 N SAINT CLAIR ST</t>
  </si>
  <si>
    <t>PO BOX 8292</t>
  </si>
  <si>
    <t xml:space="preserve">BLANTON RONALD DESHAWN </t>
  </si>
  <si>
    <t>729 N EUCLID AVE</t>
  </si>
  <si>
    <t>BLANTON RONALD DESHAW</t>
  </si>
  <si>
    <t xml:space="preserve">GARAVAGLIA SHANNON  MICHELLE                </t>
  </si>
  <si>
    <t>731 N EUCLID AVE</t>
  </si>
  <si>
    <t>SHANNON MICHELLE GARA</t>
  </si>
  <si>
    <t xml:space="preserve">COYNE DANIEL V                                  </t>
  </si>
  <si>
    <t>5817 WAYNE RD</t>
  </si>
  <si>
    <t xml:space="preserve">SPISAK ADAM J                                   </t>
  </si>
  <si>
    <t>5804 WAYNE RD</t>
  </si>
  <si>
    <t>SPISAK ADAM J</t>
  </si>
  <si>
    <t>WAYNE RD</t>
  </si>
  <si>
    <t xml:space="preserve">GROSS DEBORAH                                   </t>
  </si>
  <si>
    <t>5800 WAYNE RD</t>
  </si>
  <si>
    <t xml:space="preserve">WEELDEN RICHARD MARK                            </t>
  </si>
  <si>
    <t>820 N EUCLID AVE</t>
  </si>
  <si>
    <t xml:space="preserve">BLACKMORE DAVID L JR                            </t>
  </si>
  <si>
    <t>5900 JACKSON ST</t>
  </si>
  <si>
    <t>JACKSON ST</t>
  </si>
  <si>
    <t xml:space="preserve">GATTI LAURANA A </t>
  </si>
  <si>
    <t>823 N HIGHLAND AVE</t>
  </si>
  <si>
    <t xml:space="preserve">FURTADO ANDRE DIETZ </t>
  </si>
  <si>
    <t>813 N HIGHLAND AVE</t>
  </si>
  <si>
    <t>FURTADO ANDRE DIETZ</t>
  </si>
  <si>
    <t>-048 KAMEHAMEHA HWY UNIT B</t>
  </si>
  <si>
    <t>HALEIWA</t>
  </si>
  <si>
    <t>HI</t>
  </si>
  <si>
    <t xml:space="preserve">LEE ASA J &amp;                         </t>
  </si>
  <si>
    <t>6017 JACKSON ST</t>
  </si>
  <si>
    <t>LEE ASA J</t>
  </si>
  <si>
    <t xml:space="preserve">LIBERTO SANTINO </t>
  </si>
  <si>
    <t>837 FARRAGUT ST</t>
  </si>
  <si>
    <t xml:space="preserve">HILLIARD ERIC </t>
  </si>
  <si>
    <t>824 FARRAGUT ST</t>
  </si>
  <si>
    <t>PO BOX 122</t>
  </si>
  <si>
    <t>CURTISVILLE</t>
  </si>
  <si>
    <t xml:space="preserve">RIGLIAN ADAM M                                  </t>
  </si>
  <si>
    <t>910 FARRAGUT ST</t>
  </si>
  <si>
    <t xml:space="preserve">PANZA LAUREN E </t>
  </si>
  <si>
    <t>940 FARRAGUT ST</t>
  </si>
  <si>
    <t>TOWNE MORTGAGE</t>
  </si>
  <si>
    <t>6055 JACKSON ST</t>
  </si>
  <si>
    <t xml:space="preserve">CARBINE CYNTHIA ANN </t>
  </si>
  <si>
    <t>6048 JACKSON ST</t>
  </si>
  <si>
    <t>CARBINE CYNTHIA ANN</t>
  </si>
  <si>
    <t>LIBERTO PAOLO  &amp; MARIANGELA (W)</t>
  </si>
  <si>
    <t>828 N SHERIDAN AVE</t>
  </si>
  <si>
    <t>GORE RICHARD A &amp; TULLIA (W)</t>
  </si>
  <si>
    <t>835 HEBERTON ST</t>
  </si>
  <si>
    <t>GORE RICHARD A &amp; TULL</t>
  </si>
  <si>
    <t>HEBERTON ST</t>
  </si>
  <si>
    <t>0 ARDARY ST</t>
  </si>
  <si>
    <t>BROOKSIDE LN STE 10</t>
  </si>
  <si>
    <t xml:space="preserve">SMITH WALTER JAMES </t>
  </si>
  <si>
    <t xml:space="preserve">BUTLER-FRAZIER MARLENE </t>
  </si>
  <si>
    <t>BROADHEAD ST</t>
  </si>
  <si>
    <t xml:space="preserve">NAYLOR RHONDA J                                 </t>
  </si>
  <si>
    <t>5433 COLUMBO ST</t>
  </si>
  <si>
    <t xml:space="preserve">NAYLOR RHONDA J </t>
  </si>
  <si>
    <t>5435 COLUMBO ST</t>
  </si>
  <si>
    <t>5437 COLUMBO ST</t>
  </si>
  <si>
    <t xml:space="preserve">WATTS HATTIE </t>
  </si>
  <si>
    <t>0 N FAIRMOUNT ST</t>
  </si>
  <si>
    <t>WILLIAMS MICHAEL A &amp; KIMBERLY (W)</t>
  </si>
  <si>
    <t>525 N FAIRMOUNT ST</t>
  </si>
  <si>
    <t>5517 BLACK ST</t>
  </si>
  <si>
    <t>INGRAM JOHN A &amp; FLORENCE L (W)</t>
  </si>
  <si>
    <t>5521 BLACK ST</t>
  </si>
  <si>
    <t>SMITH ERIC T &amp; ZAINAB B (W)</t>
  </si>
  <si>
    <t>5542 BLACK ST</t>
  </si>
  <si>
    <t xml:space="preserve">FOSTER WILLIAM M </t>
  </si>
  <si>
    <t>5524 BLACK ST</t>
  </si>
  <si>
    <t>FOSTER WILLIAM M</t>
  </si>
  <si>
    <t>S MIAMI AVE UNIT 2309</t>
  </si>
  <si>
    <t>5522 BLACK ST</t>
  </si>
  <si>
    <t>GEB INVESTMENTS  PARTNERS LLC</t>
  </si>
  <si>
    <t>5514 BLACK ST</t>
  </si>
  <si>
    <t>GEB INVESTMENTS PARTN</t>
  </si>
  <si>
    <t xml:space="preserve">WASSERMAN ELI JONAS </t>
  </si>
  <si>
    <t>5506 BLACK ST</t>
  </si>
  <si>
    <t xml:space="preserve">FLOYD SANDRA M </t>
  </si>
  <si>
    <t>5498 BLACK ST</t>
  </si>
  <si>
    <t xml:space="preserve">DIMOND KELSEY                                   </t>
  </si>
  <si>
    <t>5462 BLACK ST</t>
  </si>
  <si>
    <t>MILLER LUCAS &amp; ALAGHU SAMYUKTHA (W)</t>
  </si>
  <si>
    <t>542 N FAIRMOUNT ST</t>
  </si>
  <si>
    <t xml:space="preserve">JACKSON LEO SR &amp; EVELYN </t>
  </si>
  <si>
    <t>536 N FAIRMOUNT ST</t>
  </si>
  <si>
    <t>ALLEN PRESTON P &amp; KATHERINE M ANDREWS</t>
  </si>
  <si>
    <t>534 N FAIRMOUNT ST</t>
  </si>
  <si>
    <t xml:space="preserve">ESTATE OF LEO HARPER                            </t>
  </si>
  <si>
    <t>532 N FAIRMOUNT ST</t>
  </si>
  <si>
    <t>CARE OF RHONDA S MCCL</t>
  </si>
  <si>
    <t xml:space="preserve">MCCOY JOHNNY </t>
  </si>
  <si>
    <t>520 N FAIRMOUNT ST</t>
  </si>
  <si>
    <t>HOLMQUIST ALEXANDER L &amp; CARLA M (W)</t>
  </si>
  <si>
    <t>5547 COLUMBO ST</t>
  </si>
  <si>
    <t>MELNYK JAMES THEODORE &amp; JENNIFER YOO KYUNG (W)</t>
  </si>
  <si>
    <t>5511 MARGARETTA ST</t>
  </si>
  <si>
    <t xml:space="preserve">GUILLORY DIANNE B </t>
  </si>
  <si>
    <t>5525 MARGARETTA ST</t>
  </si>
  <si>
    <t>GUILLORY DIANNE B</t>
  </si>
  <si>
    <t>MARGARETTA ST</t>
  </si>
  <si>
    <t xml:space="preserve">JONES MICHAEL LEE </t>
  </si>
  <si>
    <t>5534 COLUMBO ST</t>
  </si>
  <si>
    <t>LILY PAMELA</t>
  </si>
  <si>
    <t xml:space="preserve">THOMPSON LYNDA D </t>
  </si>
  <si>
    <t>5528 COLUMBO ST</t>
  </si>
  <si>
    <t>COLUMBO ST APT 2</t>
  </si>
  <si>
    <t xml:space="preserve">RAMDAS PRIYA </t>
  </si>
  <si>
    <t>BOYNTON AVE APT 2</t>
  </si>
  <si>
    <t>BRONX</t>
  </si>
  <si>
    <t xml:space="preserve">MCGRIFF CAQUAINE </t>
  </si>
  <si>
    <t>412 N FAIRMOUNT ST</t>
  </si>
  <si>
    <t xml:space="preserve">WALLS DARRIN </t>
  </si>
  <si>
    <t>410 N FAIRMOUNT ST</t>
  </si>
  <si>
    <t>WALLS DARRIN</t>
  </si>
  <si>
    <t>N FAIRMONT ST</t>
  </si>
  <si>
    <t>HOLYFIELD RICARDO &amp; CETARA L (W)</t>
  </si>
  <si>
    <t>421 N FAIRMOUNT ST</t>
  </si>
  <si>
    <t xml:space="preserve">WASSERMAN ELI </t>
  </si>
  <si>
    <t>5458 COLUMBO ST</t>
  </si>
  <si>
    <t>NEVELS CHARLES F &amp; CLAUDIA (W)</t>
  </si>
  <si>
    <t>5448 COLUMBO ST</t>
  </si>
  <si>
    <t>NEVELS CHARLES F &amp; CL</t>
  </si>
  <si>
    <t>WALKER GROVER C &amp; LORRAINE V (W)</t>
  </si>
  <si>
    <t>5461 HILLCREST ST</t>
  </si>
  <si>
    <t>WALKER GROVER C &amp; LOR</t>
  </si>
  <si>
    <t>TURNER JEROME A &amp; RHONDA M (W)</t>
  </si>
  <si>
    <t>5563 COLUMBO ST</t>
  </si>
  <si>
    <t xml:space="preserve">GREEN PITT INC </t>
  </si>
  <si>
    <t>525 N NEGLEY AVE</t>
  </si>
  <si>
    <t>E LIBERTY BLVD</t>
  </si>
  <si>
    <t xml:space="preserve">BELAJAC DARREN M </t>
  </si>
  <si>
    <t>5558 BLACK ST</t>
  </si>
  <si>
    <t xml:space="preserve">UNIVEST BANK &amp; TRUST </t>
  </si>
  <si>
    <t>N MAIN ST</t>
  </si>
  <si>
    <t>SOUDERTON</t>
  </si>
  <si>
    <t xml:space="preserve">BOREK BRYON A </t>
  </si>
  <si>
    <t>623 N NEGLEY AVE</t>
  </si>
  <si>
    <t>624 N NEGLEY AVE</t>
  </si>
  <si>
    <t>PO BOX 40347</t>
  </si>
  <si>
    <t xml:space="preserve">BRANDON GARY  &amp; LETA (W) </t>
  </si>
  <si>
    <t>608 N NEGLEY AVE</t>
  </si>
  <si>
    <t xml:space="preserve">BRANDON GARY  &amp; LETA </t>
  </si>
  <si>
    <t>HALTON CT</t>
  </si>
  <si>
    <t xml:space="preserve">JESTER ERIC                                     </t>
  </si>
  <si>
    <t>519 MELLON ST</t>
  </si>
  <si>
    <t xml:space="preserve">JEFFERSON VONNAY L                              </t>
  </si>
  <si>
    <t>605 MELLON ST</t>
  </si>
  <si>
    <t>RASH WORNELL SR &amp; YUGONDA (W)</t>
  </si>
  <si>
    <t>5633 HAYS ST</t>
  </si>
  <si>
    <t>RASH WORNELL SR &amp; YUG</t>
  </si>
  <si>
    <t>FERGUSON DAVID H &amp; GRACE P (W)</t>
  </si>
  <si>
    <t>618 MELLON ST</t>
  </si>
  <si>
    <t xml:space="preserve">MPOFU VUKILE </t>
  </si>
  <si>
    <t>524 MELLON ST</t>
  </si>
  <si>
    <t xml:space="preserve">KWOK JANET &amp;                         </t>
  </si>
  <si>
    <t>522 MELLON ST</t>
  </si>
  <si>
    <t>MANCHESTER COMMUNITY BAPTIST MINISTRIES INC</t>
  </si>
  <si>
    <t>0 EAST LIBERTY BLVD</t>
  </si>
  <si>
    <t>PO BOX 99584</t>
  </si>
  <si>
    <t>0 MARGARETTA ST</t>
  </si>
  <si>
    <t>5643 EAST LIBERTY BLVD</t>
  </si>
  <si>
    <t>EAST LIBERTY BLVD</t>
  </si>
  <si>
    <t xml:space="preserve">SOUZA PATRICIA C                                </t>
  </si>
  <si>
    <t>511 N SAINT CLAIR ST</t>
  </si>
  <si>
    <t xml:space="preserve">DIPASQUALE CHLOE </t>
  </si>
  <si>
    <t>513 N SAINT CLAIR ST</t>
  </si>
  <si>
    <t>PAYNE KEITH J &amp; THERES S (W)</t>
  </si>
  <si>
    <t>515 N SAINT CLAIR ST</t>
  </si>
  <si>
    <t>KENNEDY JESSIE K &amp; NATHAN (H)</t>
  </si>
  <si>
    <t>603 N SAINT CLAIR ST</t>
  </si>
  <si>
    <t xml:space="preserve">HODGE MICHELLE </t>
  </si>
  <si>
    <t>605 N SAINT CLAIR ST</t>
  </si>
  <si>
    <t xml:space="preserve">MEYER GREGORY P                                 </t>
  </si>
  <si>
    <t>619 N SAINT CLAIR ST</t>
  </si>
  <si>
    <t xml:space="preserve">BENNETT LOGAN J                                 </t>
  </si>
  <si>
    <t>610 N SAINT CLAIR ST</t>
  </si>
  <si>
    <t xml:space="preserve">PROCTER SAMUEL C </t>
  </si>
  <si>
    <t>604 N SAINT CLAIR ST</t>
  </si>
  <si>
    <t>PROSPERITY HOME MORTG</t>
  </si>
  <si>
    <t>GEORGE CARTER WAY</t>
  </si>
  <si>
    <t>CHANTILLY</t>
  </si>
  <si>
    <t xml:space="preserve">BRIDGETT SHERRI L                               </t>
  </si>
  <si>
    <t>526 N SAINT CLAIR ST</t>
  </si>
  <si>
    <t>BRIDGETT ADOLPH &amp; DELAURIESE (W)</t>
  </si>
  <si>
    <t>0 N SAINT CLAIR ST</t>
  </si>
  <si>
    <t>PO BOX 24111</t>
  </si>
  <si>
    <t xml:space="preserve">WILLIAMS ELAINE K &amp;                         </t>
  </si>
  <si>
    <t>512 N SAINT CLAIR ST</t>
  </si>
  <si>
    <t xml:space="preserve">BLACK UNICORN LIBRARY &amp; ARCHIVES PROJECT        </t>
  </si>
  <si>
    <t>0 N EUCLID AVE</t>
  </si>
  <si>
    <t>BLACK UNICORN LIBRARY</t>
  </si>
  <si>
    <t>MILWAUKEE ST APT 2</t>
  </si>
  <si>
    <t>BRITANIK JUSTIN T &amp; KARA SAX (W)</t>
  </si>
  <si>
    <t>607 N EUCLID AVE</t>
  </si>
  <si>
    <t xml:space="preserve">RAATZ JOHANNES                                  </t>
  </si>
  <si>
    <t>611 N EUCLID AVE</t>
  </si>
  <si>
    <t>PRENSKY COLIN CLUCK ALYSON (W)</t>
  </si>
  <si>
    <t>712 N SAINT CLAIR ST</t>
  </si>
  <si>
    <t xml:space="preserve">NIXON AMY B </t>
  </si>
  <si>
    <t>721 N EUCLID AVE</t>
  </si>
  <si>
    <t>JAMESON VANESSA M &amp; KEVIN W (H)</t>
  </si>
  <si>
    <t>719 N EUCLID AVE</t>
  </si>
  <si>
    <t>5709 HAYS ST</t>
  </si>
  <si>
    <t xml:space="preserve">LYLE  AUDREY I </t>
  </si>
  <si>
    <t>621 N EUCLID AVE</t>
  </si>
  <si>
    <t xml:space="preserve">CARLSON STEN B                                  </t>
  </si>
  <si>
    <t>5810 BLACK ST</t>
  </si>
  <si>
    <t>MATTHEW DAVID &amp; MIRANDA (W)</t>
  </si>
  <si>
    <t>606 N EUCLID AVE</t>
  </si>
  <si>
    <t>628 N EUCLID AVE</t>
  </si>
  <si>
    <t>LEATHERWOOD KEYANNA &amp; CHRISTOPHER (H)</t>
  </si>
  <si>
    <t>611 N BEATTY ST</t>
  </si>
  <si>
    <t>CHASE BANK</t>
  </si>
  <si>
    <t>PO BOX 78420</t>
  </si>
  <si>
    <t>SIMONSON NATALIE NASH &amp; ANDREW WILLIAM (H)</t>
  </si>
  <si>
    <t>613 N BEATTY ST</t>
  </si>
  <si>
    <t>BETTER MORTGAGE CORP</t>
  </si>
  <si>
    <t>WORLD TRADE CTR FL 59</t>
  </si>
  <si>
    <t>MAZUL ANGELA LIU &amp; SERGIO ALEXANDER (H)</t>
  </si>
  <si>
    <t>5821 HAYS ST</t>
  </si>
  <si>
    <t>RUSHMORE LOAN MANAGEM</t>
  </si>
  <si>
    <t xml:space="preserve">BELL JUDITH </t>
  </si>
  <si>
    <t>5819 HAYS ST</t>
  </si>
  <si>
    <t xml:space="preserve">NACSON SHARON LYNN                              </t>
  </si>
  <si>
    <t>5817 HAYS ST</t>
  </si>
  <si>
    <t xml:space="preserve">KEATS JOELLE R                                  </t>
  </si>
  <si>
    <t>722 N EUCLID AVE</t>
  </si>
  <si>
    <t xml:space="preserve">DORA JAY DEAN                                   </t>
  </si>
  <si>
    <t>724 N EUCLID AVE</t>
  </si>
  <si>
    <t xml:space="preserve">SHUSHRUTH FNU                                   </t>
  </si>
  <si>
    <t>726 N EUCLID AVE</t>
  </si>
  <si>
    <t>KELLY MATTHEW &amp; ELLEN (W)</t>
  </si>
  <si>
    <t>715 N BEATTY ST</t>
  </si>
  <si>
    <t xml:space="preserve">PORTIS-OTTEY SHARON </t>
  </si>
  <si>
    <t>719 N BEATTY ST</t>
  </si>
  <si>
    <t>N BEATTY ST</t>
  </si>
  <si>
    <t xml:space="preserve">JONES LYNELLE </t>
  </si>
  <si>
    <t>725 N BEATTY ST</t>
  </si>
  <si>
    <t xml:space="preserve">ALPHA BEATTY LLC </t>
  </si>
  <si>
    <t>740 N BEATTY ST</t>
  </si>
  <si>
    <t xml:space="preserve">HARTMAN MARSHALL                                </t>
  </si>
  <si>
    <t>734 N BEATTY ST</t>
  </si>
  <si>
    <t xml:space="preserve">STUDL MICHAEL J </t>
  </si>
  <si>
    <t>718 N BEATTY ST</t>
  </si>
  <si>
    <t xml:space="preserve">STUDL MICHAEL J                                 </t>
  </si>
  <si>
    <t>716 N BEATTY ST</t>
  </si>
  <si>
    <t>WELLS FARGO HOME MTG</t>
  </si>
  <si>
    <t>PO BOX 11701</t>
  </si>
  <si>
    <t>HICKS JON C &amp; DEBORAH LYNN (W)</t>
  </si>
  <si>
    <t>712 N BEATTY ST</t>
  </si>
  <si>
    <t xml:space="preserve">LACHINA LEONARD J                               </t>
  </si>
  <si>
    <t>715 N HIGHLAND AVE</t>
  </si>
  <si>
    <t>LACHINA LEONARD J</t>
  </si>
  <si>
    <t>WEST LIBERTY AVE</t>
  </si>
  <si>
    <t xml:space="preserve">BRENENBORG CHRISTOPHER </t>
  </si>
  <si>
    <t>6021 SAINT MARIE ST</t>
  </si>
  <si>
    <t>SAINT MARIE ST</t>
  </si>
  <si>
    <t xml:space="preserve">SHORT DONNA O </t>
  </si>
  <si>
    <t>704 COLLINS AVE</t>
  </si>
  <si>
    <t>COLLINS AVE</t>
  </si>
  <si>
    <t>EAST LIBERTY  DEVELOPMENT INCORPORATED</t>
  </si>
  <si>
    <t>6216 SAINT MARIE ST</t>
  </si>
  <si>
    <t>EAST LIBERTY DEVELOPM</t>
  </si>
  <si>
    <t>N WHITFIELD ST STE 204</t>
  </si>
  <si>
    <t>6236 SAINT MARIE ST</t>
  </si>
  <si>
    <t>HUNDLEY LAWRENCE B &amp; BARBARA G (W)</t>
  </si>
  <si>
    <t>0 SAINT MARIE ST</t>
  </si>
  <si>
    <t>ACACIA ST</t>
  </si>
  <si>
    <t>LOMA LINDA</t>
  </si>
  <si>
    <t xml:space="preserve">THOMPSON DAVID </t>
  </si>
  <si>
    <t>6242 SAINT MARIE ST</t>
  </si>
  <si>
    <t>ST MARIE ST</t>
  </si>
  <si>
    <t xml:space="preserve">BLACK DONNI R </t>
  </si>
  <si>
    <t>6300 SAINT MARIE ST</t>
  </si>
  <si>
    <t>754 N SHERIDAN AVE</t>
  </si>
  <si>
    <t xml:space="preserve">KELLEY MICHAEL P </t>
  </si>
  <si>
    <t>752 N SHERIDAN AVE</t>
  </si>
  <si>
    <t>HOMESTEAD FUNDING COR</t>
  </si>
  <si>
    <t>AIRLINE DR</t>
  </si>
  <si>
    <t>ALBANY</t>
  </si>
  <si>
    <t xml:space="preserve">KORYAK MICHAEL T                                </t>
  </si>
  <si>
    <t>750 N SHERIDAN AVE</t>
  </si>
  <si>
    <t xml:space="preserve">WARE SAMUEL &amp; LUCY (W) </t>
  </si>
  <si>
    <t>6045 SAINT MARIE ST</t>
  </si>
  <si>
    <t xml:space="preserve">DAGUE JORDAN D                                  </t>
  </si>
  <si>
    <t>6041 SAINT MARIE ST</t>
  </si>
  <si>
    <t>BETTER  MORTGAGE</t>
  </si>
  <si>
    <t>GREENWICH ST</t>
  </si>
  <si>
    <t xml:space="preserve">STREET REBECCA A </t>
  </si>
  <si>
    <t>6022 STANTON AVE</t>
  </si>
  <si>
    <t xml:space="preserve">SANDLERSKY ALLA                                 </t>
  </si>
  <si>
    <t>6052 STANTON AVE</t>
  </si>
  <si>
    <t>KIPLING RD</t>
  </si>
  <si>
    <t xml:space="preserve">STRAVERS ANDREW JOEL                            </t>
  </si>
  <si>
    <t>6108 STANTON AVE</t>
  </si>
  <si>
    <t>6116 STANTON AVE  HOLDINGS LLC</t>
  </si>
  <si>
    <t>6116 STANTON AVE</t>
  </si>
  <si>
    <t>6116 STANTON AVE HOLD</t>
  </si>
  <si>
    <t>FIFTH AVE STE 105C</t>
  </si>
  <si>
    <t>DEFERRARI JOSEPH R III &amp; SHANNON A (W)</t>
  </si>
  <si>
    <t>827 HEBERTON ST</t>
  </si>
  <si>
    <t xml:space="preserve">GAMBRELL BEVERLY E </t>
  </si>
  <si>
    <t>823 HEBERTON ST</t>
  </si>
  <si>
    <t xml:space="preserve">BURGESS TINA D </t>
  </si>
  <si>
    <t>813 HEBERTON ST</t>
  </si>
  <si>
    <t>P O BOX 24093</t>
  </si>
  <si>
    <t xml:space="preserve">ELIZA-CHRISTIE  ALEXANDRA PILECKI       </t>
  </si>
  <si>
    <t>816 COLLINS AVE</t>
  </si>
  <si>
    <t xml:space="preserve">GF REALTY LLC </t>
  </si>
  <si>
    <t>818 COLLINS AVE</t>
  </si>
  <si>
    <t>GF REALTY LLC</t>
  </si>
  <si>
    <t xml:space="preserve">EWEDEMI SOGA O </t>
  </si>
  <si>
    <t>826 COLLINS AVE</t>
  </si>
  <si>
    <t>COTTAGE HILL RD</t>
  </si>
  <si>
    <t>NEW BETHLEHEM</t>
  </si>
  <si>
    <t>SAWYER AZADEH O &amp; NATHAN (H)</t>
  </si>
  <si>
    <t>6107 STANTON AVE</t>
  </si>
  <si>
    <t xml:space="preserve">MCBROOM SARA C &amp; EVAN H </t>
  </si>
  <si>
    <t>6029 STANTON AVE</t>
  </si>
  <si>
    <t>WATERSTONE MORTGAGE C</t>
  </si>
  <si>
    <t>N25 W 23255 PAUL RD</t>
  </si>
  <si>
    <t>PEWAUKEE</t>
  </si>
  <si>
    <t>FISCHBAUGH SARAH  KIMBERLY</t>
  </si>
  <si>
    <t>5470 HILLCREST ST</t>
  </si>
  <si>
    <t xml:space="preserve">BLAIR JEFFREY </t>
  </si>
  <si>
    <t>5472 HILLCREST ST</t>
  </si>
  <si>
    <t xml:space="preserve">SEALY PATRICIA A </t>
  </si>
  <si>
    <t>305 N FAIRMOUNT ST</t>
  </si>
  <si>
    <t>CLINTON ST</t>
  </si>
  <si>
    <t>WESTBURY</t>
  </si>
  <si>
    <t xml:space="preserve">GEE ALISA </t>
  </si>
  <si>
    <t>5462 ROSETTA ST</t>
  </si>
  <si>
    <t xml:space="preserve">MURPHY LINDA ANN </t>
  </si>
  <si>
    <t>235 N FAIRMOUNT ST</t>
  </si>
  <si>
    <t xml:space="preserve">KHATRI UMERA N </t>
  </si>
  <si>
    <t>225 N FAIRMOUNT ST</t>
  </si>
  <si>
    <t>PO BOX 328</t>
  </si>
  <si>
    <t>216 N FAIRMOUNT ST</t>
  </si>
  <si>
    <t xml:space="preserve">THOMAS PERCY                                    </t>
  </si>
  <si>
    <t>318 N FAIRMOUNT ST</t>
  </si>
  <si>
    <t>STARKES JOHN L JR &amp; MARY LOU (W)</t>
  </si>
  <si>
    <t>DEBORAH THORNHILL</t>
  </si>
  <si>
    <t>PO BOX 5555</t>
  </si>
  <si>
    <t xml:space="preserve">SAMSON BARBARA J </t>
  </si>
  <si>
    <t>5516 RIPPEY PL</t>
  </si>
  <si>
    <t>RIPPEY PL</t>
  </si>
  <si>
    <t xml:space="preserve">SAEED ANUM </t>
  </si>
  <si>
    <t>409 N BEATTY ST</t>
  </si>
  <si>
    <t>5620 RIPPEY ST</t>
  </si>
  <si>
    <t xml:space="preserve">LEVITT TINA RENEE </t>
  </si>
  <si>
    <t>333 N SAINT CLAIR ST</t>
  </si>
  <si>
    <t>N SHERIDAN RD</t>
  </si>
  <si>
    <t xml:space="preserve">COLES PARIS M                                   </t>
  </si>
  <si>
    <t>0 WELDIN ST</t>
  </si>
  <si>
    <t>AMERICAN MORTGAGE FIN</t>
  </si>
  <si>
    <t>MAPLE DR STE B</t>
  </si>
  <si>
    <t xml:space="preserve">KOMBO ADELINE </t>
  </si>
  <si>
    <t>5647 RURAL ST</t>
  </si>
  <si>
    <t>5634 RURAL ST</t>
  </si>
  <si>
    <t xml:space="preserve">WEATHERS JANE D </t>
  </si>
  <si>
    <t>0 RURAL ST</t>
  </si>
  <si>
    <t>RURAL ST</t>
  </si>
  <si>
    <t xml:space="preserve">PAYNE LILLIAN B </t>
  </si>
  <si>
    <t>5632 RURAL ST</t>
  </si>
  <si>
    <t>MIDDLE ST</t>
  </si>
  <si>
    <t xml:space="preserve">OJELADE SESAN </t>
  </si>
  <si>
    <t>5715 RURAL ST</t>
  </si>
  <si>
    <t>CARDINAL FINANCIAL CO</t>
  </si>
  <si>
    <t>TORINGDON WAY # 101</t>
  </si>
  <si>
    <t xml:space="preserve">FENNELL WILHELMINA D </t>
  </si>
  <si>
    <t>5706 RIPPEY ST</t>
  </si>
  <si>
    <t>RIPPEY ST</t>
  </si>
  <si>
    <t xml:space="preserve">GOLDSTEIN SHERREE </t>
  </si>
  <si>
    <t>418 N SAINT CLAIR ST</t>
  </si>
  <si>
    <t>GOLDSTEIN SHERREE</t>
  </si>
  <si>
    <t xml:space="preserve">THOMAS ANETTE                                   </t>
  </si>
  <si>
    <t>419 N EUCLID AVE</t>
  </si>
  <si>
    <t xml:space="preserve">MCDONALD BENJAMIN                               </t>
  </si>
  <si>
    <t>5810 RIPPEY ST</t>
  </si>
  <si>
    <t xml:space="preserve">CAMPBELL THELMA THERESA </t>
  </si>
  <si>
    <t>5802 RIPPEY ST</t>
  </si>
  <si>
    <t xml:space="preserve">BELL TERRI </t>
  </si>
  <si>
    <t>5818 RIPPEY ST</t>
  </si>
  <si>
    <t>LAMB ALLWYN D &amp; THOMAS B (H)</t>
  </si>
  <si>
    <t>5822 RIPPEY ST</t>
  </si>
  <si>
    <t>0 RIPPEY ST</t>
  </si>
  <si>
    <t xml:space="preserve">SMITH ALBERT J &amp; DORIS </t>
  </si>
  <si>
    <t>406 N BEATTY ST</t>
  </si>
  <si>
    <t xml:space="preserve">405 BETTY LLC </t>
  </si>
  <si>
    <t>405 N BEATTY ST</t>
  </si>
  <si>
    <t xml:space="preserve">JOHNSON LILLIAN </t>
  </si>
  <si>
    <t>415 N BEATTY ST</t>
  </si>
  <si>
    <t xml:space="preserve">415 S ATLANTIC MMG LP </t>
  </si>
  <si>
    <t>5815 EAST LIBERTY BLVD</t>
  </si>
  <si>
    <t xml:space="preserve">LUSTER ERIC LAMONT </t>
  </si>
  <si>
    <t>510 BORLAND ST</t>
  </si>
  <si>
    <t xml:space="preserve">MCCARTHY JOHN                                   </t>
  </si>
  <si>
    <t>300 N SAINT CLAIR ST</t>
  </si>
  <si>
    <t xml:space="preserve">CHANLATTE LAURA M </t>
  </si>
  <si>
    <t>314 N SAINT CLAIR ST</t>
  </si>
  <si>
    <t xml:space="preserve">SULLIVAN NORA </t>
  </si>
  <si>
    <t>520 BORLAND ST</t>
  </si>
  <si>
    <t>CBX INVESTMENT PARTNERS  XIV LP</t>
  </si>
  <si>
    <t>5825 EAST LIBERTY BLVD</t>
  </si>
  <si>
    <t>CBX INVESTMENT PARTNE</t>
  </si>
  <si>
    <t>P O BOX 8409</t>
  </si>
  <si>
    <t xml:space="preserve">THOMPSON SHARON CLAUDIA </t>
  </si>
  <si>
    <t>417 SELMA ST</t>
  </si>
  <si>
    <t>SELMA ST</t>
  </si>
  <si>
    <t>COLEMAN FRANK  &amp; BERNICE COLEMAN</t>
  </si>
  <si>
    <t>401 SELMA ST</t>
  </si>
  <si>
    <t xml:space="preserve">HOLLINGSWORTH DARREN                            </t>
  </si>
  <si>
    <t>500 N SHERIDAN AVE</t>
  </si>
  <si>
    <t xml:space="preserve">PORTER JEREMY </t>
  </si>
  <si>
    <t>502 N SHERIDAN AVE</t>
  </si>
  <si>
    <t xml:space="preserve">CHILD MARK RICHARD                              </t>
  </si>
  <si>
    <t>504 N SHERIDAN AVE</t>
  </si>
  <si>
    <t xml:space="preserve">JOUDREY PAUL JACOB                              </t>
  </si>
  <si>
    <t>542 N SHERIDAN AVE</t>
  </si>
  <si>
    <t>537 COLLINS AVE</t>
  </si>
  <si>
    <t>K BENNETT ENTERPRISES  LLC</t>
  </si>
  <si>
    <t>519 COLLINS AVE</t>
  </si>
  <si>
    <t>GUYASUTA RD</t>
  </si>
  <si>
    <t>712 MOGA ST</t>
  </si>
  <si>
    <t>FRENCH SILVER  ENTERPRISES LLC</t>
  </si>
  <si>
    <t>7 MOGA ST</t>
  </si>
  <si>
    <t>HOUSEMAX FUNDING FUND</t>
  </si>
  <si>
    <t>S MO PAC EXPY BLDG 4</t>
  </si>
  <si>
    <t xml:space="preserve">LEHR JOHN                                       </t>
  </si>
  <si>
    <t>628 COLLINS AVE</t>
  </si>
  <si>
    <t>630 COLLINS AVE</t>
  </si>
  <si>
    <t>NEGLEY CORNER LIMITED  PARTNERSHIP PHASE FOUR</t>
  </si>
  <si>
    <t>125 N SAINT CLAIR ST</t>
  </si>
  <si>
    <t>NEGLEY CORNER LIMITED</t>
  </si>
  <si>
    <t xml:space="preserve">PENN AVE INNOVATION LLC </t>
  </si>
  <si>
    <t>5515 PENN AVE</t>
  </si>
  <si>
    <t>PENN AVE INNOVATION L</t>
  </si>
  <si>
    <t>3RD ST</t>
  </si>
  <si>
    <t xml:space="preserve">RT INVESTMENT GROUP LLC </t>
  </si>
  <si>
    <t>5523 PENN AVE</t>
  </si>
  <si>
    <t>RT INVESTMENT GROUP L</t>
  </si>
  <si>
    <t xml:space="preserve">SG II-REALTY NAGLEY LLC </t>
  </si>
  <si>
    <t>127 N NEGLEY AVE</t>
  </si>
  <si>
    <t xml:space="preserve">EAST LIBERTY DEV LLC </t>
  </si>
  <si>
    <t>5518 BROAD ST</t>
  </si>
  <si>
    <t xml:space="preserve">GLENN JERRY                                     </t>
  </si>
  <si>
    <t xml:space="preserve">BLUE ZONE TRUST                                 </t>
  </si>
  <si>
    <t>100 N FAIRMOUNT ST</t>
  </si>
  <si>
    <t xml:space="preserve">COLVIN CURTIS J                                 </t>
  </si>
  <si>
    <t>5491 PENN AVE UNIT A303</t>
  </si>
  <si>
    <t>5491 PENN AVE UNIT G102</t>
  </si>
  <si>
    <t>5491 PENN AVE UNIT G103</t>
  </si>
  <si>
    <t>5491 PENN AVE UNIT G104</t>
  </si>
  <si>
    <t>URBAN REDEVELOPMENT AUTHORITY OF PITTSBURGH</t>
  </si>
  <si>
    <t>5491 PENN AVE UNIT G105</t>
  </si>
  <si>
    <t>KESTIGIAN MICHAEL B &amp; MONIQUE L (W)</t>
  </si>
  <si>
    <t>5815 STATION ST</t>
  </si>
  <si>
    <t xml:space="preserve">BLUE TURF PROPERTIES LLC </t>
  </si>
  <si>
    <t>5819 STATION ST</t>
  </si>
  <si>
    <t xml:space="preserve">BLUE TURF PROPERTIES </t>
  </si>
  <si>
    <t>PO BOX 61</t>
  </si>
  <si>
    <t>NATRONA HEIGHT</t>
  </si>
  <si>
    <t xml:space="preserve">PATEL PRAFFUL </t>
  </si>
  <si>
    <t>315 N BEATTY ST</t>
  </si>
  <si>
    <t>LENDING HEIGHTS</t>
  </si>
  <si>
    <t xml:space="preserve">319 NORTH BEATTY LLC </t>
  </si>
  <si>
    <t>319 N BEATTY ST</t>
  </si>
  <si>
    <t xml:space="preserve">TAYLOR GAIL O </t>
  </si>
  <si>
    <t>5706 RURAL ST</t>
  </si>
  <si>
    <t xml:space="preserve">ROSS ALVIS R </t>
  </si>
  <si>
    <t>WOODS THOMAS G &amp; CAROLYNN G (W)</t>
  </si>
  <si>
    <t>RURAL REAR ST</t>
  </si>
  <si>
    <t>2414 MORGAN DEVELOPMENT  LLC</t>
  </si>
  <si>
    <t>0 HARVARD ST</t>
  </si>
  <si>
    <t>BRENTWOOD</t>
  </si>
  <si>
    <t>215 N HIGHLAND AVE</t>
  </si>
  <si>
    <t>ROSS ST FL 10</t>
  </si>
  <si>
    <t>NEGLEY CORNER LIMITED  PARTNERSHIP PHASE THREE</t>
  </si>
  <si>
    <t>EAST LIBERTY NORTH  LIMITED PARTNERSHIP</t>
  </si>
  <si>
    <t>115 N BEATTY ST</t>
  </si>
  <si>
    <t>EAST LIBERTY NORTH LI</t>
  </si>
  <si>
    <t>6427 CENTRE AVE</t>
  </si>
  <si>
    <t>REDEEMER COMMUNITY  CHURCH OF PITTSBURGH</t>
  </si>
  <si>
    <t>325 N HIGHLAND AVE</t>
  </si>
  <si>
    <t>REDEEMER COMMUNITY CH</t>
  </si>
  <si>
    <t>PENTECOSTAL TEMPLE CHURCH</t>
  </si>
  <si>
    <t>6300 E LIBERTY BLVD</t>
  </si>
  <si>
    <t xml:space="preserve">REJAI INVESTMENTS LLC </t>
  </si>
  <si>
    <t>5929 PENN AVE</t>
  </si>
  <si>
    <t xml:space="preserve">PHO REAL ESTATE LLC </t>
  </si>
  <si>
    <t>6103 PENN AVE</t>
  </si>
  <si>
    <t>THOMAS BLVD</t>
  </si>
  <si>
    <t xml:space="preserve">6007 PENN AVE LLC </t>
  </si>
  <si>
    <t>6007 PENN AVE</t>
  </si>
  <si>
    <t>124 NORTH HIGHLAND  COMPANY</t>
  </si>
  <si>
    <t>122 N HIGHLAND AVE</t>
  </si>
  <si>
    <t>128 N HIGHLAND AVE</t>
  </si>
  <si>
    <t xml:space="preserve">THOMPSON CIMMEAN                                </t>
  </si>
  <si>
    <t>423 ENRIGHT CT</t>
  </si>
  <si>
    <t xml:space="preserve">SA PARTNERS LLC </t>
  </si>
  <si>
    <t>429 ENRIGHT CT</t>
  </si>
  <si>
    <t>SA PARTNERS LLC</t>
  </si>
  <si>
    <t>OLD FREEPORT RD STE 2A</t>
  </si>
  <si>
    <t xml:space="preserve">BERRY DOMINIQUE </t>
  </si>
  <si>
    <t>431 ENRIGHT CT</t>
  </si>
  <si>
    <t>HENDERSON ANTHONY  &amp; DARLENE A (W)</t>
  </si>
  <si>
    <t>327 ENRIGHT CT</t>
  </si>
  <si>
    <t>RYCE ROBERT  &amp; GALIA E (W)</t>
  </si>
  <si>
    <t>325 ENRIGHT CT</t>
  </si>
  <si>
    <t xml:space="preserve">KIRKLAND BOOKER T &amp; ANNIE M (W)             </t>
  </si>
  <si>
    <t>323 ENRIGHT CT</t>
  </si>
  <si>
    <t xml:space="preserve">TERRY FRANK &amp; MELITA (W) </t>
  </si>
  <si>
    <t>321 ENRIGHT CT</t>
  </si>
  <si>
    <t xml:space="preserve">TERRY FRANK &amp; MELITA </t>
  </si>
  <si>
    <t xml:space="preserve">HAMPTON TAMARA RENEE </t>
  </si>
  <si>
    <t>302 ENRIGHT CT</t>
  </si>
  <si>
    <t xml:space="preserve">COLLINS JAMES JR                                </t>
  </si>
  <si>
    <t>312 ENRIGHT CT</t>
  </si>
  <si>
    <t>BOWSER VICTORIA L</t>
  </si>
  <si>
    <t xml:space="preserve">POPE IDA L </t>
  </si>
  <si>
    <t>318 ENRIGHT CT</t>
  </si>
  <si>
    <t>TAYLOR LORRAINE  &amp; R DEVONE TAYLOR</t>
  </si>
  <si>
    <t>328 ENRIGHT CT</t>
  </si>
  <si>
    <t xml:space="preserve">TERRY TRACY R </t>
  </si>
  <si>
    <t>340 ENRIGHT CT</t>
  </si>
  <si>
    <t>DUHART RD</t>
  </si>
  <si>
    <t>GERMANTOWN</t>
  </si>
  <si>
    <t xml:space="preserve">SMITH DENISE </t>
  </si>
  <si>
    <t>346 ENRIGHT CT</t>
  </si>
  <si>
    <t>COMMUNITY LOAN SERVIC</t>
  </si>
  <si>
    <t>PONCE DE LEON BLVD</t>
  </si>
  <si>
    <t xml:space="preserve">SAMUELS DERRICK </t>
  </si>
  <si>
    <t>360 ENRIGHT CT</t>
  </si>
  <si>
    <t>JOHNSON NOLLA  &amp; MURKLAND D OKELLY</t>
  </si>
  <si>
    <t>370 ENRIGHT CT</t>
  </si>
  <si>
    <t xml:space="preserve">DANIELS DERINDA L </t>
  </si>
  <si>
    <t>374 ENRIGHT CT</t>
  </si>
  <si>
    <t xml:space="preserve">SYMMS FRANCES V </t>
  </si>
  <si>
    <t>478 ENRIGHT CT</t>
  </si>
  <si>
    <t>6290 BROAD STREET  REALTY LLC</t>
  </si>
  <si>
    <t>6290 BROAD ST</t>
  </si>
  <si>
    <t>6290 BROAD STREET REA</t>
  </si>
  <si>
    <t>SPRUCE VALLEY DR</t>
  </si>
  <si>
    <t xml:space="preserve">WALNUT PENN SHADY L P </t>
  </si>
  <si>
    <t>WALNUT ST STE 300</t>
  </si>
  <si>
    <t xml:space="preserve">CRAMER JENNA </t>
  </si>
  <si>
    <t>1441 BROWNING RD</t>
  </si>
  <si>
    <t xml:space="preserve">SHERMAN ANDREW                                  </t>
  </si>
  <si>
    <t>1373 N SHERIDAN AVE</t>
  </si>
  <si>
    <t xml:space="preserve">IACHINI JOSHUA P                                </t>
  </si>
  <si>
    <t>127 HIGH PARK PL</t>
  </si>
  <si>
    <t>CARRINGTON MORTGAGE S</t>
  </si>
  <si>
    <t>HARTKOPF VOLKER H &amp; VIVIAN LOFTNESS (W)</t>
  </si>
  <si>
    <t>6055 BUNKERHILL ST</t>
  </si>
  <si>
    <t xml:space="preserve">MILLER JAY R                                    </t>
  </si>
  <si>
    <t>1339 N SHERIDAN AVE</t>
  </si>
  <si>
    <t xml:space="preserve">MINTURN JOHN </t>
  </si>
  <si>
    <t>1329 N SHERIDAN AVE</t>
  </si>
  <si>
    <t>SLOAN ERIC N &amp; LAURIE (W)</t>
  </si>
  <si>
    <t>1317 N SHERIDAN AVE</t>
  </si>
  <si>
    <t xml:space="preserve">MUCK SUSAN </t>
  </si>
  <si>
    <t>1227 N SHERIDAN AVE</t>
  </si>
  <si>
    <t>HEROLD DANIEL W &amp; SARAH K (W)</t>
  </si>
  <si>
    <t>1330 N SHERIDAN AVE</t>
  </si>
  <si>
    <t>0 HEBERTON ST</t>
  </si>
  <si>
    <t xml:space="preserve">BENNETT JOHN S                                  </t>
  </si>
  <si>
    <t>1206 HEBERTON ST</t>
  </si>
  <si>
    <t>JOHN S BENNETT &amp; KATH</t>
  </si>
  <si>
    <t>HEBERTON AVE</t>
  </si>
  <si>
    <t>RAGO WILLIAM J &amp; ELENA P (W)</t>
  </si>
  <si>
    <t>1221 WINTERTON ST</t>
  </si>
  <si>
    <t>RAGO WILLIAM J &amp; ELEN</t>
  </si>
  <si>
    <t>WINTERTON ST</t>
  </si>
  <si>
    <t>THOMPSON ROBERT &amp; SARA (W)</t>
  </si>
  <si>
    <t>1215 WINTERTON ST</t>
  </si>
  <si>
    <t xml:space="preserve">DM &amp; NH CURRY TRUST          </t>
  </si>
  <si>
    <t>1224 WINTERTON ST</t>
  </si>
  <si>
    <t>WENDY HELEEN TRUSTEE</t>
  </si>
  <si>
    <t>KELLEY BENJAMIN G &amp; RACHAEL (W)</t>
  </si>
  <si>
    <t>6104 BRYANT ST</t>
  </si>
  <si>
    <t>KELLEY BENJAMIN G &amp; R</t>
  </si>
  <si>
    <t xml:space="preserve">CESCA LUCIAN                                    </t>
  </si>
  <si>
    <t>1102 DEVICTOR PL</t>
  </si>
  <si>
    <t>PO BOX 202049</t>
  </si>
  <si>
    <t>DERENZO DOMENIC A &amp; JANET T (W)</t>
  </si>
  <si>
    <t>1116 DEVICTOR PL</t>
  </si>
  <si>
    <t>DEVICTOR PL</t>
  </si>
  <si>
    <t xml:space="preserve">MOYLAN MACKENZIE </t>
  </si>
  <si>
    <t>1130 DEVICTOR PL</t>
  </si>
  <si>
    <t>GAMMA DR</t>
  </si>
  <si>
    <t xml:space="preserve">O'HARA N ALEXANDER                              </t>
  </si>
  <si>
    <t>1205 HEBERTON ST</t>
  </si>
  <si>
    <t>FIRST FINANCIAL BANK</t>
  </si>
  <si>
    <t>N STATE RD</t>
  </si>
  <si>
    <t xml:space="preserve">HOWELL JOSEPH R </t>
  </si>
  <si>
    <t>1007 HEBERTON ST</t>
  </si>
  <si>
    <t xml:space="preserve">MOROWITZ MICHAEL J </t>
  </si>
  <si>
    <t>RUBIN JONATHAN ARON &amp; KRISTIN ANDERSON (W)</t>
  </si>
  <si>
    <t>1128 HEBERTON ST</t>
  </si>
  <si>
    <t>RUBIN JONATHAN ARON &amp;</t>
  </si>
  <si>
    <t xml:space="preserve">FORSTER CATHERINE  STANBERY                </t>
  </si>
  <si>
    <t>1208 WINTERTON ST</t>
  </si>
  <si>
    <t>TRIDENT MORTGAGE COMP</t>
  </si>
  <si>
    <t>W LANCASTER AVE</t>
  </si>
  <si>
    <t>DEVON</t>
  </si>
  <si>
    <t>NICHOLAS SARAH F &amp; GREGORY DAVID (H)</t>
  </si>
  <si>
    <t>1130 WINTERTON ST</t>
  </si>
  <si>
    <t xml:space="preserve">SMITH CLAUDIA </t>
  </si>
  <si>
    <t>6613 JACKSON ST</t>
  </si>
  <si>
    <t>6523 JACKSON ST</t>
  </si>
  <si>
    <t>HARDING JOHN DANIEL JR &amp; EMILY KAUFMANN (W)</t>
  </si>
  <si>
    <t>6508 JACKSON ST</t>
  </si>
  <si>
    <t>HARDING JOHN DANIEL J</t>
  </si>
  <si>
    <t>PUCCIARELLI MICHAEL  FELIX &amp; LINDA MARIE (W)</t>
  </si>
  <si>
    <t>6715 STANTON AVE</t>
  </si>
  <si>
    <t xml:space="preserve">MOSSE DANIEL </t>
  </si>
  <si>
    <t>6633 STANTON AVE</t>
  </si>
  <si>
    <t xml:space="preserve">MORRISON STEPHANIE A                            </t>
  </si>
  <si>
    <t>6529 STANTON AVE</t>
  </si>
  <si>
    <t>MORRISON STEPHANIE A</t>
  </si>
  <si>
    <t>ROBB NATALIE R DEAN MATTHEW DAVID (H)</t>
  </si>
  <si>
    <t>6336 JACKSON ST</t>
  </si>
  <si>
    <t xml:space="preserve">SIMS RYAN W &amp; LAUREN (W) </t>
  </si>
  <si>
    <t>6342 JACKSON ST</t>
  </si>
  <si>
    <t xml:space="preserve">MCDANIEL LESLIE D </t>
  </si>
  <si>
    <t>6360 JACKSON ST</t>
  </si>
  <si>
    <t xml:space="preserve">SCHRECK DOUGLAS C                               </t>
  </si>
  <si>
    <t>6362 JACKSON ST</t>
  </si>
  <si>
    <t>IVY POINT BLVD FL 4TH</t>
  </si>
  <si>
    <t xml:space="preserve">MARCELLINO ELIZABETH M </t>
  </si>
  <si>
    <t>6376 JACKSON ST</t>
  </si>
  <si>
    <t>MAOLA CONSTANTINO  &amp; MADELYN R (W)</t>
  </si>
  <si>
    <t>6404 JACKSON ST</t>
  </si>
  <si>
    <t xml:space="preserve">PAGE-JACOBS LARKIN &amp;                         </t>
  </si>
  <si>
    <t>6425 JACKSON ST</t>
  </si>
  <si>
    <t>MUTUAL OF OMAHA MORTG</t>
  </si>
  <si>
    <t>CAMINO DEL RIO N STE 1100</t>
  </si>
  <si>
    <t xml:space="preserve">SHAHID KAISER                                   </t>
  </si>
  <si>
    <t>6413 JACKSON ST</t>
  </si>
  <si>
    <t>SHAHID KAISER &amp; MOHSE</t>
  </si>
  <si>
    <t xml:space="preserve">LU YING &amp;                         </t>
  </si>
  <si>
    <t>6411 JACKSON ST</t>
  </si>
  <si>
    <t>LU YING &amp; LIN GENG (H</t>
  </si>
  <si>
    <t>NE 22ND CT</t>
  </si>
  <si>
    <t>SAMMAMISH</t>
  </si>
  <si>
    <t xml:space="preserve">LANNIGAN LINDA </t>
  </si>
  <si>
    <t>6361 JACKSON ST</t>
  </si>
  <si>
    <t>LANNIGAN LINDA</t>
  </si>
  <si>
    <t>ELKO JOAN H &amp; STEPHAN P (H)</t>
  </si>
  <si>
    <t>914 HEBERTON ST</t>
  </si>
  <si>
    <t xml:space="preserve">ANDERSON THERESA C &amp;                         </t>
  </si>
  <si>
    <t>928 HEBERTON ST</t>
  </si>
  <si>
    <t xml:space="preserve">PELL RICHARD WOODBURY                           </t>
  </si>
  <si>
    <t>930 HEBERTON ST</t>
  </si>
  <si>
    <t>SRIDHARAN SHAUM S &amp; NATALIE D (W)</t>
  </si>
  <si>
    <t>950 HEBERTON ST</t>
  </si>
  <si>
    <t>ZIEGER MATTHEW &amp; LISA (W)</t>
  </si>
  <si>
    <t>974 WELLESLEY RD</t>
  </si>
  <si>
    <t>ZIEGER MATTHEW &amp; LISA</t>
  </si>
  <si>
    <t>WELLESLEY RD</t>
  </si>
  <si>
    <t>VILLAFUERTE HECTOR F &amp; SARAH H (W)</t>
  </si>
  <si>
    <t>1000 HEBERTON ST</t>
  </si>
  <si>
    <t>FISCHER CHARLES L III &amp; RHONDA D (W)</t>
  </si>
  <si>
    <t>931 HEBERTON ST</t>
  </si>
  <si>
    <t>FISCHER CHARLES L III</t>
  </si>
  <si>
    <t>PEACHY PELICAN  PROPERTIES LLC</t>
  </si>
  <si>
    <t>6513 STANTON AVE</t>
  </si>
  <si>
    <t>PEACHY PELICAN PROPER</t>
  </si>
  <si>
    <t>ATHENS DR</t>
  </si>
  <si>
    <t>SAINT AUGUSTIN</t>
  </si>
  <si>
    <t>NORFLEET ROOSEVELT  &amp; HELEN MARIE (W)</t>
  </si>
  <si>
    <t>6491 STANTON AVE</t>
  </si>
  <si>
    <t>WILLOW CREEK DR</t>
  </si>
  <si>
    <t xml:space="preserve">BALL CURTIS Z </t>
  </si>
  <si>
    <t>6471 STANTON AVE</t>
  </si>
  <si>
    <t xml:space="preserve">BERNSTEIN MORRIS </t>
  </si>
  <si>
    <t>0 GLENVIEW PL</t>
  </si>
  <si>
    <t>GLENVIEW PL</t>
  </si>
  <si>
    <t>PATTON HENRY N &amp; LINDA (W)</t>
  </si>
  <si>
    <t>6314 GLENVIEW PL</t>
  </si>
  <si>
    <t xml:space="preserve">VENTURINO IGINO &amp; GIACOMINA (W)           </t>
  </si>
  <si>
    <t>6318 GLENVIEW PL</t>
  </si>
  <si>
    <t>VENTURINO IGINO &amp; GIA</t>
  </si>
  <si>
    <t>CLIFTON AVE</t>
  </si>
  <si>
    <t xml:space="preserve">PISANO MICHAEL L                                </t>
  </si>
  <si>
    <t>6326 GLENVIEW PL</t>
  </si>
  <si>
    <t>WATKINSON MICHELLE D &amp; CHRISTOPHER J (H)</t>
  </si>
  <si>
    <t>6333 STANTON AVE</t>
  </si>
  <si>
    <t xml:space="preserve">STEVENS TIMOTHY                                 </t>
  </si>
  <si>
    <t>6393 STANTON AVE</t>
  </si>
  <si>
    <t>TIMOTHY STEVENS</t>
  </si>
  <si>
    <t xml:space="preserve">MULLEN DANIEL B                                 </t>
  </si>
  <si>
    <t>6401 STANTON AVE</t>
  </si>
  <si>
    <t>LAW1 CAPITAL REAL  ESTATE LLC</t>
  </si>
  <si>
    <t>6336 STANTON AVE</t>
  </si>
  <si>
    <t>LAW1 CAPITAL REAL EST</t>
  </si>
  <si>
    <t>SUTHERLIN PL</t>
  </si>
  <si>
    <t>STERLING</t>
  </si>
  <si>
    <t>6311 SAINT MARIE ST</t>
  </si>
  <si>
    <t xml:space="preserve">HILAND PARK CAPITAL LLC </t>
  </si>
  <si>
    <t>6317 SAINT MARIE ST</t>
  </si>
  <si>
    <t>HILAND PARK CAPITAL L</t>
  </si>
  <si>
    <t>HARDING LN</t>
  </si>
  <si>
    <t>HUNTINGTON BEA</t>
  </si>
  <si>
    <t>KAROLCIK KELSIE A &amp; BROCK A (H)</t>
  </si>
  <si>
    <t>6320 SAINT MARIE ST</t>
  </si>
  <si>
    <t xml:space="preserve">TUCKER DAVID J </t>
  </si>
  <si>
    <t>0 CARVER ST</t>
  </si>
  <si>
    <t>CURTIS ST</t>
  </si>
  <si>
    <t>26 CARVER ST</t>
  </si>
  <si>
    <t>GEB INVESTMENT PARTNERS  LLC</t>
  </si>
  <si>
    <t>126 AUBURN ST</t>
  </si>
  <si>
    <t>GEB INVESTMENT PARTNE</t>
  </si>
  <si>
    <t>PINE TREE DR</t>
  </si>
  <si>
    <t xml:space="preserve">CASTAPHENY BRANDON </t>
  </si>
  <si>
    <t>112 AUBURN ST</t>
  </si>
  <si>
    <t>BRANDON CASTAPHENY</t>
  </si>
  <si>
    <t>MURRAY AVE B</t>
  </si>
  <si>
    <t xml:space="preserve">DOBIS WORLDWIDE LLC </t>
  </si>
  <si>
    <t>116 AUBURN ST</t>
  </si>
  <si>
    <t>PAULSON AVE</t>
  </si>
  <si>
    <t>124 AUBURN ST</t>
  </si>
  <si>
    <t>128 AUBURN ST</t>
  </si>
  <si>
    <t>132 AUBURN ST</t>
  </si>
  <si>
    <t xml:space="preserve">POLLOCK MARGARET </t>
  </si>
  <si>
    <t>0 LARIMER AVE</t>
  </si>
  <si>
    <t xml:space="preserve">HORNE GENTLE  &amp; EARNESTINE (W)          </t>
  </si>
  <si>
    <t>40 MAYFLOWER ST</t>
  </si>
  <si>
    <t>MAYFLOWER ST</t>
  </si>
  <si>
    <t>FAITH CENTER CHURCH OF GOD IN CHRIST</t>
  </si>
  <si>
    <t>0 MAYFLOWER ST</t>
  </si>
  <si>
    <t>REV. CHARLES  ROBINSON</t>
  </si>
  <si>
    <t>FAITH CENTER COGIC       ETAL</t>
  </si>
  <si>
    <t>FAITH CENTER CHURCH O</t>
  </si>
  <si>
    <t xml:space="preserve">GRAY ROCHELLE </t>
  </si>
  <si>
    <t>410 ENRIGHT CT</t>
  </si>
  <si>
    <t xml:space="preserve">GANT NORMAN </t>
  </si>
  <si>
    <t>416 ENRIGHT CT</t>
  </si>
  <si>
    <t>PULLIAM LORRAINE B &amp; ALFRED D (W)</t>
  </si>
  <si>
    <t>418 ENRIGHT CT</t>
  </si>
  <si>
    <t>CAMPANIA ST</t>
  </si>
  <si>
    <t xml:space="preserve">PERRY WILSON L </t>
  </si>
  <si>
    <t>458 ENRIGHT CT</t>
  </si>
  <si>
    <t>0 BRILLIANT BR</t>
  </si>
  <si>
    <t>CEDAR WAY</t>
  </si>
  <si>
    <t>6389 OLIVANT ST</t>
  </si>
  <si>
    <t xml:space="preserve">WASHINGTON CONSTANCE </t>
  </si>
  <si>
    <t>0 DUNMORE ST</t>
  </si>
  <si>
    <t>WASHINGTON CONSTANCE</t>
  </si>
  <si>
    <t>DUNMORE ST</t>
  </si>
  <si>
    <t xml:space="preserve">TAPU SIONE F </t>
  </si>
  <si>
    <t>0 OLIVANT PL</t>
  </si>
  <si>
    <t>TILLIA ST</t>
  </si>
  <si>
    <t xml:space="preserve">GREENPITT INC </t>
  </si>
  <si>
    <t>736 OLIVANT PL</t>
  </si>
  <si>
    <t xml:space="preserve">WOODS ANTHONY J </t>
  </si>
  <si>
    <t>0 OLIVANT ST</t>
  </si>
  <si>
    <t xml:space="preserve">A &amp; L RENTALS INC </t>
  </si>
  <si>
    <t>0 DEAN ST</t>
  </si>
  <si>
    <t>HAYMAKER RD</t>
  </si>
  <si>
    <t xml:space="preserve">THOMPSON HENRY </t>
  </si>
  <si>
    <t>GRAHAM BLVD</t>
  </si>
  <si>
    <t xml:space="preserve">DAVIS DARCIE </t>
  </si>
  <si>
    <t>6327 DEAN ST</t>
  </si>
  <si>
    <t>DEAN ST</t>
  </si>
  <si>
    <t xml:space="preserve">WILLIAMS JACKIE                                 </t>
  </si>
  <si>
    <t>6329 DEAN ST</t>
  </si>
  <si>
    <t>WILLIAMS JACKIE</t>
  </si>
  <si>
    <t xml:space="preserve">BENTLEY ANTHONY I </t>
  </si>
  <si>
    <t>6401 CLIFFORD ST</t>
  </si>
  <si>
    <t xml:space="preserve">BASKIN LENKA </t>
  </si>
  <si>
    <t>1247 LARIMER AVE</t>
  </si>
  <si>
    <t>722 OLIVANT PL</t>
  </si>
  <si>
    <t xml:space="preserve">CHRISTIAN CHARLISE L </t>
  </si>
  <si>
    <t>6417 OLIVANT ST</t>
  </si>
  <si>
    <t>GUTTILLA CHARLES J &amp; ELSIE</t>
  </si>
  <si>
    <t>6428 OLIVANT ST</t>
  </si>
  <si>
    <t>TAPU NAEATA &amp; VIOLANI A (W)</t>
  </si>
  <si>
    <t>629 DUNMORE ST</t>
  </si>
  <si>
    <t>TAPU NAEATA &amp; VIOLANI</t>
  </si>
  <si>
    <t>N GLENWOOD AVE</t>
  </si>
  <si>
    <t>RIALTO</t>
  </si>
  <si>
    <t xml:space="preserve">SCOTT DEREK E 3RD </t>
  </si>
  <si>
    <t>623 DUNMORE ST</t>
  </si>
  <si>
    <t>DEREK E SCOTT 3RD</t>
  </si>
  <si>
    <t>BELLINI VINCENT  &amp; PHILIP FRASCA</t>
  </si>
  <si>
    <t>0 LEMINGTON AVE</t>
  </si>
  <si>
    <t>LARIMER AVE</t>
  </si>
  <si>
    <t>575 LENORA ST</t>
  </si>
  <si>
    <t xml:space="preserve">BAKER FAUSTINA </t>
  </si>
  <si>
    <t>0 LENORA ST</t>
  </si>
  <si>
    <t>LINCOLN AVE APT 516</t>
  </si>
  <si>
    <t xml:space="preserve">FIREFLY CORNER LLC </t>
  </si>
  <si>
    <t>621 LENORA ST</t>
  </si>
  <si>
    <t>FIREFLY CORNER LLC</t>
  </si>
  <si>
    <t>PO BOX 90363</t>
  </si>
  <si>
    <t xml:space="preserve">MCKOY HAROLD S </t>
  </si>
  <si>
    <t>625 LENORA ST</t>
  </si>
  <si>
    <t>LENORA ST</t>
  </si>
  <si>
    <t xml:space="preserve">DIXON JACQUELINE E </t>
  </si>
  <si>
    <t>ELLIS WALTER J &amp; EMMA (W)</t>
  </si>
  <si>
    <t>35 JOSEPH ST</t>
  </si>
  <si>
    <t xml:space="preserve">CASTAPHNEY ALBERT </t>
  </si>
  <si>
    <t>655 LENORA ST</t>
  </si>
  <si>
    <t xml:space="preserve">BARNES FRANCIS </t>
  </si>
  <si>
    <t>667 LENORA ST</t>
  </si>
  <si>
    <t xml:space="preserve">CASTAPHNEY ALBEERT                              </t>
  </si>
  <si>
    <t>664 LENORA ST</t>
  </si>
  <si>
    <t>CASTAPHNEY ROBERT  ANTHONY</t>
  </si>
  <si>
    <t>668 LENORA ST</t>
  </si>
  <si>
    <t>CASTAPHNEY ROBERT ANT</t>
  </si>
  <si>
    <t>CARSTARPHEN &amp; CASTAPHNEY LLC</t>
  </si>
  <si>
    <t>670 LENORA ST</t>
  </si>
  <si>
    <t>CARSTARPHEN &amp; CASTAPH</t>
  </si>
  <si>
    <t>KING ALONZO  &amp; MADELINE M (W)</t>
  </si>
  <si>
    <t>0 WHITTIER ST</t>
  </si>
  <si>
    <t>AMERICAN PREMIER UNDE</t>
  </si>
  <si>
    <t>WALNUT ST 9 W</t>
  </si>
  <si>
    <t xml:space="preserve">BEY-MALLOY AURELIA </t>
  </si>
  <si>
    <t>6441 CLIFFORD ST</t>
  </si>
  <si>
    <t>INDIANA AVE</t>
  </si>
  <si>
    <t>GLASSPORT</t>
  </si>
  <si>
    <t>0 CLIFFORD ST</t>
  </si>
  <si>
    <t>TERRIFIQUE PROPERTIES  LLC</t>
  </si>
  <si>
    <t>6427 CLIFFORD ST</t>
  </si>
  <si>
    <t>MIRRAMONT PL</t>
  </si>
  <si>
    <t xml:space="preserve">HALL DOUGLAS </t>
  </si>
  <si>
    <t>6405 CLIFFORD ST</t>
  </si>
  <si>
    <t>HALL DOUGLAS</t>
  </si>
  <si>
    <t>ISLAND AVE # 6</t>
  </si>
  <si>
    <t xml:space="preserve">DURHAM LISA V </t>
  </si>
  <si>
    <t>6403 CLIFFORD ST</t>
  </si>
  <si>
    <t xml:space="preserve">NAVARRO CORPORATION </t>
  </si>
  <si>
    <t xml:space="preserve">BUTLER LANETTA D </t>
  </si>
  <si>
    <t>6421 DEAN ST</t>
  </si>
  <si>
    <t>SHOOP NICOLINA ALIBERTI  &amp; EUGENE MARSHAL L (H)</t>
  </si>
  <si>
    <t>6425 DEAN ST</t>
  </si>
  <si>
    <t>SHOOP EUGENE JR</t>
  </si>
  <si>
    <t>MARSHMAN GERALD &amp; MAGGIE V (W)</t>
  </si>
  <si>
    <t>6427 DEAN ST</t>
  </si>
  <si>
    <t xml:space="preserve">ARRINGTON DEONNE M </t>
  </si>
  <si>
    <t>6429 DEAN ST</t>
  </si>
  <si>
    <t>FLORDIA BLVD</t>
  </si>
  <si>
    <t xml:space="preserve">HENDERSON KENNIE C </t>
  </si>
  <si>
    <t xml:space="preserve">ADAMS KIM M </t>
  </si>
  <si>
    <t>6435 DEAN ST</t>
  </si>
  <si>
    <t xml:space="preserve">MORRISON BRITTNEY M </t>
  </si>
  <si>
    <t>6437 DEAN ST</t>
  </si>
  <si>
    <t xml:space="preserve">JACOB ARTHUR L </t>
  </si>
  <si>
    <t>6439 DEAN ST</t>
  </si>
  <si>
    <t xml:space="preserve">GREEN MARVIN </t>
  </si>
  <si>
    <t>DEARY ST #1</t>
  </si>
  <si>
    <t>6455 DEAN ST</t>
  </si>
  <si>
    <t>MAGRAM RICHARD O &amp; LOUIS STEINBACH</t>
  </si>
  <si>
    <t>0 PAULSON AVE</t>
  </si>
  <si>
    <t>MIDWEST LOAN SERVICES</t>
  </si>
  <si>
    <t>QUINCY ST</t>
  </si>
  <si>
    <t>HANCOCK</t>
  </si>
  <si>
    <t xml:space="preserve">SCOTT PAUL </t>
  </si>
  <si>
    <t>1151 PAULSON AVE</t>
  </si>
  <si>
    <t>SHERMAN ST</t>
  </si>
  <si>
    <t xml:space="preserve">WARREN TEKIA </t>
  </si>
  <si>
    <t>1163 PAULSON AVE</t>
  </si>
  <si>
    <t>1161 PAULSON AVENUE  TRUST</t>
  </si>
  <si>
    <t>1161 PAULSON AVE</t>
  </si>
  <si>
    <t xml:space="preserve">BROWN OTIS L &amp; CARRIE S </t>
  </si>
  <si>
    <t xml:space="preserve">ROBINSON DIANE </t>
  </si>
  <si>
    <t>6440 DEAN ST</t>
  </si>
  <si>
    <t xml:space="preserve">LEMON MATTHEW D </t>
  </si>
  <si>
    <t>6438 DEAN ST</t>
  </si>
  <si>
    <t>JACKSON FLOYD  &amp; FLORENCE</t>
  </si>
  <si>
    <t>6424 DEAN ST</t>
  </si>
  <si>
    <t>R &amp; R MANAGEMENT SERVICE LLC</t>
  </si>
  <si>
    <t>R &amp; R MANAGEMENT SERV</t>
  </si>
  <si>
    <t>VERONA RD</t>
  </si>
  <si>
    <t>MCCALLA JOANIE L &amp; CHRISTOPHER (H)</t>
  </si>
  <si>
    <t>6344 DEAN ST</t>
  </si>
  <si>
    <t>MCCALLA JOANIE L &amp; CH</t>
  </si>
  <si>
    <t xml:space="preserve">WHALEN CHARLES </t>
  </si>
  <si>
    <t>7 DICK ST</t>
  </si>
  <si>
    <t>DICK ST</t>
  </si>
  <si>
    <t xml:space="preserve">SAMUELS LAURA </t>
  </si>
  <si>
    <t>0 DICK ST</t>
  </si>
  <si>
    <t>WEXFORD B LN</t>
  </si>
  <si>
    <t>NORCROSS</t>
  </si>
  <si>
    <t xml:space="preserve">PAOLINA JOHN  &amp; JEAN </t>
  </si>
  <si>
    <t xml:space="preserve">MORRIS PHILLIP </t>
  </si>
  <si>
    <t>1 DICK ST</t>
  </si>
  <si>
    <t>MORRIS PHILLIP</t>
  </si>
  <si>
    <t>APPLE ST</t>
  </si>
  <si>
    <t xml:space="preserve">KHONDAKAR TAHIDUL I </t>
  </si>
  <si>
    <t>4 DICK ST</t>
  </si>
  <si>
    <t xml:space="preserve">ANDERSON LARYCE Y </t>
  </si>
  <si>
    <t xml:space="preserve">CURRY ROSEMARY </t>
  </si>
  <si>
    <t>6437 APPLE ST</t>
  </si>
  <si>
    <t>PETERSON PHYLLIS S &amp; MILLIE FERGUSON</t>
  </si>
  <si>
    <t>0 APPLE ST</t>
  </si>
  <si>
    <t>SMITH RUFUS  &amp; GLORIA A (W)</t>
  </si>
  <si>
    <t>6425 APPLE ST</t>
  </si>
  <si>
    <t>APPLE AVE</t>
  </si>
  <si>
    <t xml:space="preserve">SANDERS ROSALYN D </t>
  </si>
  <si>
    <t>6419 APPLE ST</t>
  </si>
  <si>
    <t>APPLE WAY</t>
  </si>
  <si>
    <t xml:space="preserve">MK LIFESTYLES LLC </t>
  </si>
  <si>
    <t>6413 APPLE ST</t>
  </si>
  <si>
    <t>S JOSLYN DR</t>
  </si>
  <si>
    <t xml:space="preserve">KHILAE REALTY LLC </t>
  </si>
  <si>
    <t>6405 APPLE ST</t>
  </si>
  <si>
    <t>KHILAE REALTY LLC</t>
  </si>
  <si>
    <t xml:space="preserve">ASQUE EUGENE S </t>
  </si>
  <si>
    <t>GLENBROOK DR</t>
  </si>
  <si>
    <t xml:space="preserve">FARINA DONATO &amp; ANTONETTE (W)           </t>
  </si>
  <si>
    <t xml:space="preserve">THOMPKINS MICHELE Y </t>
  </si>
  <si>
    <t xml:space="preserve">GOINS TRE R </t>
  </si>
  <si>
    <t>6426 APPLE ST</t>
  </si>
  <si>
    <t>TRE R GOINS</t>
  </si>
  <si>
    <t>THOMPSON AVE</t>
  </si>
  <si>
    <t>DONORA</t>
  </si>
  <si>
    <t xml:space="preserve">GREEN NANCY A </t>
  </si>
  <si>
    <t>6436 APPLE ST</t>
  </si>
  <si>
    <t xml:space="preserve">REDDISH MARGARET ANN </t>
  </si>
  <si>
    <t>6440 APPLE ST</t>
  </si>
  <si>
    <t>WASHINGTON LOUIS  &amp; LUCY (W)</t>
  </si>
  <si>
    <t>BUTLER JULIA  &amp; HENRY (H)</t>
  </si>
  <si>
    <t>0 DEARY ST</t>
  </si>
  <si>
    <t>BUTLER JULIA  &amp; HENRY</t>
  </si>
  <si>
    <t xml:space="preserve">PARKER TANYA </t>
  </si>
  <si>
    <t>6413 DEARY ST</t>
  </si>
  <si>
    <t>SACREMENTO AVE</t>
  </si>
  <si>
    <t>1102 LARIMER AVE</t>
  </si>
  <si>
    <t>RACE ST</t>
  </si>
  <si>
    <t>IRISH ROBERT L &amp; DIVERNE E (W)</t>
  </si>
  <si>
    <t>1104 LARIMER AVE</t>
  </si>
  <si>
    <t>IRISH ROBERT L &amp; DIVE</t>
  </si>
  <si>
    <t>SUNCREST DR</t>
  </si>
  <si>
    <t>MINUTELLA MICHAEL A &amp; LORETTA J (W)</t>
  </si>
  <si>
    <t xml:space="preserve">IRISH ROBERT </t>
  </si>
  <si>
    <t>1107 LARIMER AVE</t>
  </si>
  <si>
    <t xml:space="preserve">IRISH ROBERT L </t>
  </si>
  <si>
    <t>1105 LARIMER AVE</t>
  </si>
  <si>
    <t xml:space="preserve">HAMM JANICE W </t>
  </si>
  <si>
    <t xml:space="preserve">KELLY ALLEN G &amp; VIVIAN A (W)            </t>
  </si>
  <si>
    <t>KELLY ALLEN G</t>
  </si>
  <si>
    <t>PENN AVE APT 2D</t>
  </si>
  <si>
    <t xml:space="preserve">FULTON DOROTHY M </t>
  </si>
  <si>
    <t xml:space="preserve">WILLIAMSON CLARA B </t>
  </si>
  <si>
    <t>WILLIAMSON CLARA B</t>
  </si>
  <si>
    <t xml:space="preserve">JURCIC NATESHA </t>
  </si>
  <si>
    <t>6412 DEARY ST</t>
  </si>
  <si>
    <t>JURCIC NATESHA</t>
  </si>
  <si>
    <t>CONLEY CHARLES D &amp; MARTHA R (W)</t>
  </si>
  <si>
    <t>6439 NAVARRO ST</t>
  </si>
  <si>
    <t>NAVARRO ST</t>
  </si>
  <si>
    <t xml:space="preserve">ROBINSON MARLO DELAINE                          </t>
  </si>
  <si>
    <t>0 ALBUM ST</t>
  </si>
  <si>
    <t>ROBINSON MARLO DELAIN</t>
  </si>
  <si>
    <t>ALBUM ST</t>
  </si>
  <si>
    <t xml:space="preserve">GOLDSTON DORIS L </t>
  </si>
  <si>
    <t>1237 ALBUM ST</t>
  </si>
  <si>
    <t>D&amp; L CONVENIENCE STORE LLC</t>
  </si>
  <si>
    <t>6443 NAVARRO ST</t>
  </si>
  <si>
    <t>D&amp;L CONVENIENCE STORE</t>
  </si>
  <si>
    <t>HEALTH HEROES CONNECT  LLC</t>
  </si>
  <si>
    <t>6587 NAVARRO ST</t>
  </si>
  <si>
    <t>N DUNLEIGH AVE</t>
  </si>
  <si>
    <t>SHEPPARD PALESTINE  &amp; CHRISTINE ROUSE</t>
  </si>
  <si>
    <t>6586 NAVARRO ST</t>
  </si>
  <si>
    <t>DONOVAN REGIS A JR &amp; MARINA C (W)</t>
  </si>
  <si>
    <t>6503 CLIFFORD ST</t>
  </si>
  <si>
    <t xml:space="preserve">ALFORD JEFFREY SR                               </t>
  </si>
  <si>
    <t>6583 NAVARRO ST</t>
  </si>
  <si>
    <t>ALFORD JEFFREY JR</t>
  </si>
  <si>
    <t>WASHINGTON VIRGINIA G &amp; JAMES A (H)</t>
  </si>
  <si>
    <t>6579 NAVARRO ST</t>
  </si>
  <si>
    <t>WASHINGTON VIRGINIA G</t>
  </si>
  <si>
    <t xml:space="preserve">HARPER JOSEPH                                   </t>
  </si>
  <si>
    <t>1250 ALBUM ST</t>
  </si>
  <si>
    <t>LA COSTA WAY</t>
  </si>
  <si>
    <t>CARRBORO</t>
  </si>
  <si>
    <t xml:space="preserve">AMOS ANGELA BOULDING </t>
  </si>
  <si>
    <t xml:space="preserve">BEALS LISA </t>
  </si>
  <si>
    <t xml:space="preserve">HOLNESS ADEN </t>
  </si>
  <si>
    <t>P.O. BOX 3718</t>
  </si>
  <si>
    <t>ALLENTOWN</t>
  </si>
  <si>
    <t xml:space="preserve">TROWERY INDIA L </t>
  </si>
  <si>
    <t>1235 PAULSON AVE</t>
  </si>
  <si>
    <t xml:space="preserve">TROWERY INDIA </t>
  </si>
  <si>
    <t>TROWERY INDIA</t>
  </si>
  <si>
    <t xml:space="preserve">SOLOMON MARVIN </t>
  </si>
  <si>
    <t xml:space="preserve">RANKIN 1 ENTERPRISES </t>
  </si>
  <si>
    <t>1315 PAULSON AVE</t>
  </si>
  <si>
    <t xml:space="preserve">COOPER EUGENE </t>
  </si>
  <si>
    <t>1321 PAULSON AVE</t>
  </si>
  <si>
    <t>COOPER EUGENE</t>
  </si>
  <si>
    <t xml:space="preserve">WILLIAMS KAMAR K </t>
  </si>
  <si>
    <t xml:space="preserve">THORNE ROBERT  &amp; ROSA LEE (W)            </t>
  </si>
  <si>
    <t>1331 PAULSON AVE</t>
  </si>
  <si>
    <t xml:space="preserve">HARRIS ANTHONY                                  </t>
  </si>
  <si>
    <t>PRIMROSE LN</t>
  </si>
  <si>
    <t>SICKLERVILLE</t>
  </si>
  <si>
    <t xml:space="preserve">ELSHARRAWY AHMED                                </t>
  </si>
  <si>
    <t>DORAL DR</t>
  </si>
  <si>
    <t>BLACKWOOD</t>
  </si>
  <si>
    <t xml:space="preserve">DIDIANO THOMAS A JR </t>
  </si>
  <si>
    <t>1337 PAULSON AVE</t>
  </si>
  <si>
    <t>DIDIANO THOMAS A JR</t>
  </si>
  <si>
    <t>ROSS MOUNTAIN PARK RD</t>
  </si>
  <si>
    <t xml:space="preserve">DENSON DANA </t>
  </si>
  <si>
    <t>1338 PAULSON AVE</t>
  </si>
  <si>
    <t>DENSON DANA</t>
  </si>
  <si>
    <t>HAIRSTON ERIC &amp; KISHA (W)</t>
  </si>
  <si>
    <t>1332 PAULSON AVE</t>
  </si>
  <si>
    <t>HAIRSTON ERIC &amp; KISHA</t>
  </si>
  <si>
    <t>LENOIR JULIAN  &amp; THELMA (W)</t>
  </si>
  <si>
    <t>1233 MONTEZUMA ST</t>
  </si>
  <si>
    <t>LENOIR JULIAN  &amp; THEL</t>
  </si>
  <si>
    <t>LINCOLN AVE APT 411</t>
  </si>
  <si>
    <t xml:space="preserve">IBRAHIM ABDUL M </t>
  </si>
  <si>
    <t>1220 PAULSON AVE</t>
  </si>
  <si>
    <t>SEBASTIAN LOUIS V &amp; VIRGINIA M (W)</t>
  </si>
  <si>
    <t>1218 PAULSON AVE</t>
  </si>
  <si>
    <t xml:space="preserve">FLOYD MURIEL A </t>
  </si>
  <si>
    <t>0 MONTEZUMA ST</t>
  </si>
  <si>
    <t>GROVE RD</t>
  </si>
  <si>
    <t xml:space="preserve">THRASHER ROBERT L </t>
  </si>
  <si>
    <t>6529 DEAN ST</t>
  </si>
  <si>
    <t>B MELLON ST</t>
  </si>
  <si>
    <t>THEN MICHAEL A &amp; ESTELLA J</t>
  </si>
  <si>
    <t>THEN MICHAEL A &amp; ESTE</t>
  </si>
  <si>
    <t>SONG HILL LN</t>
  </si>
  <si>
    <t>VICTOR</t>
  </si>
  <si>
    <t>1200 PAULSON AVE</t>
  </si>
  <si>
    <t>CAMINITO EXQUISITO</t>
  </si>
  <si>
    <t>1202 PAULSON AVE</t>
  </si>
  <si>
    <t xml:space="preserve">TOWNSEND GEORGE </t>
  </si>
  <si>
    <t>TOWNSEND GEORGE  &amp; MARIE (W)</t>
  </si>
  <si>
    <t>STEWART ST</t>
  </si>
  <si>
    <t>HALEY JOHN H &amp; HELEN L (W)</t>
  </si>
  <si>
    <t>1208 PAULSON AVE</t>
  </si>
  <si>
    <t xml:space="preserve">KING KEVIN A </t>
  </si>
  <si>
    <t>1212 PAULSON AVE</t>
  </si>
  <si>
    <t>THOMPSON ST</t>
  </si>
  <si>
    <t xml:space="preserve">JENNINGS HOWARD E </t>
  </si>
  <si>
    <t>1214 PAULSON AVE</t>
  </si>
  <si>
    <t>1140 PAULSON AVE</t>
  </si>
  <si>
    <t>6516 DEAN ST</t>
  </si>
  <si>
    <t xml:space="preserve">CASTAPHNEY EMMA </t>
  </si>
  <si>
    <t>6522 DEAN ST</t>
  </si>
  <si>
    <t xml:space="preserve">BROWN DAVID L &amp; DORIS A </t>
  </si>
  <si>
    <t>6524 DEAN ST</t>
  </si>
  <si>
    <t>JORDAN WILLIAM LEE &amp; DORIS</t>
  </si>
  <si>
    <t>1244 MONTEZUMA ST</t>
  </si>
  <si>
    <t xml:space="preserve">NELLIS DONALD JOSEPH </t>
  </si>
  <si>
    <t xml:space="preserve">GREENWOOD FREDERICKA C </t>
  </si>
  <si>
    <t>1248 MONTEZUMA ST</t>
  </si>
  <si>
    <t xml:space="preserve">GLAZE GWENDOLYN L </t>
  </si>
  <si>
    <t>6605 BRAINARD ST</t>
  </si>
  <si>
    <t>BRAINARD ST</t>
  </si>
  <si>
    <t xml:space="preserve">JOHNSON ANDRE </t>
  </si>
  <si>
    <t>EDWARDS VIRGINIA L &amp; JOHN IRWIN JR</t>
  </si>
  <si>
    <t>GILBERT WHITTNER  &amp; EVELYN (W)</t>
  </si>
  <si>
    <t>0 BRAINARD ST</t>
  </si>
  <si>
    <t xml:space="preserve">JOHNSON LOUIS  &amp; SARAH L </t>
  </si>
  <si>
    <t>6628 BRAINARD ST</t>
  </si>
  <si>
    <t>JOHNSON LOUIS  &amp; SARA</t>
  </si>
  <si>
    <t xml:space="preserve">WARREN LORETTA </t>
  </si>
  <si>
    <t>6626 BRAINARD ST</t>
  </si>
  <si>
    <t>LAPORTE ST</t>
  </si>
  <si>
    <t xml:space="preserve">BELLE ANTHONY S                                 </t>
  </si>
  <si>
    <t>LYDIA ESTATES DR E</t>
  </si>
  <si>
    <t xml:space="preserve">VONVIG JOSEPH </t>
  </si>
  <si>
    <t>ALTA VISTA DR</t>
  </si>
  <si>
    <t>REDLANDS</t>
  </si>
  <si>
    <t>HOLYFIELD LEROY  &amp; SARAH F (W)</t>
  </si>
  <si>
    <t>COOPER AVE</t>
  </si>
  <si>
    <t>SAN JOSE</t>
  </si>
  <si>
    <t xml:space="preserve">GRAY SAMUEL L &amp; SUSIE </t>
  </si>
  <si>
    <t>0 BOWER ST</t>
  </si>
  <si>
    <t xml:space="preserve">G &amp; T LLC </t>
  </si>
  <si>
    <t>1215 HYATT ST</t>
  </si>
  <si>
    <t>G &amp; T LLC</t>
  </si>
  <si>
    <t>0 HYATT ST</t>
  </si>
  <si>
    <t xml:space="preserve">RASILE WILLIAM </t>
  </si>
  <si>
    <t>CENTER AVE APT 608</t>
  </si>
  <si>
    <t>HICKMAN BRIAN L &amp; DEBORAH C (W)</t>
  </si>
  <si>
    <t>1224 MONTEZUMA ST</t>
  </si>
  <si>
    <t>HICKMAN BRIAN L &amp; DEBORAH (W)</t>
  </si>
  <si>
    <t>SADLER JAMES EDWARD &amp; ANNA L</t>
  </si>
  <si>
    <t>1218 MONTEZUMA ST</t>
  </si>
  <si>
    <t xml:space="preserve">STRAYHORN CAROLE J </t>
  </si>
  <si>
    <t>STRAYHORN JAMES N &amp; HELEN L</t>
  </si>
  <si>
    <t>PENN AVE APT 603</t>
  </si>
  <si>
    <t>WILKINSBURG</t>
  </si>
  <si>
    <t xml:space="preserve">FIORE OF PITTSBURGH LLC                         </t>
  </si>
  <si>
    <t>429 LARIMER AVE</t>
  </si>
  <si>
    <t>LARIMER POINTE</t>
  </si>
  <si>
    <t>HAMILTON AVE</t>
  </si>
  <si>
    <t xml:space="preserve">LARIMER PHASE 1 LP                              </t>
  </si>
  <si>
    <t>435 LARIMER AVE</t>
  </si>
  <si>
    <t xml:space="preserve">KAREEM ABDULLAH </t>
  </si>
  <si>
    <t>553 LENORA ST</t>
  </si>
  <si>
    <t>BOSWELL WILL A &amp; CHRISTINE COLEMAN</t>
  </si>
  <si>
    <t>529 LENORA ST</t>
  </si>
  <si>
    <t xml:space="preserve">FISCHER JOHN J                                  </t>
  </si>
  <si>
    <t>CALERA ST</t>
  </si>
  <si>
    <t xml:space="preserve">GOODE JAMES </t>
  </si>
  <si>
    <t>42 CARVER ST</t>
  </si>
  <si>
    <t>CARVER ST</t>
  </si>
  <si>
    <t xml:space="preserve">BOSWELL WILL A </t>
  </si>
  <si>
    <t>48 CARVER ST</t>
  </si>
  <si>
    <t xml:space="preserve">MCFADDEN DEBORAH </t>
  </si>
  <si>
    <t>33 CARVER ST</t>
  </si>
  <si>
    <t>18 MEADOW ST</t>
  </si>
  <si>
    <t xml:space="preserve">MEINERT CAPITAL LLC </t>
  </si>
  <si>
    <t>6223 MEADOW ST</t>
  </si>
  <si>
    <t>MEINERT CAPITAL LLC</t>
  </si>
  <si>
    <t>INDIANOLA RD</t>
  </si>
  <si>
    <t>INDIANA RD</t>
  </si>
  <si>
    <t xml:space="preserve">BONNER EDGAR  &amp; MARY J </t>
  </si>
  <si>
    <t>6 SHETLAND ST</t>
  </si>
  <si>
    <t>SHETLAND AVE</t>
  </si>
  <si>
    <t>TRENT EDDIETTE J DUCKETT GEORGE T</t>
  </si>
  <si>
    <t>8 SHETLAND ST</t>
  </si>
  <si>
    <t>SUMPTER JOHN H JR &amp; AUDREY E</t>
  </si>
  <si>
    <t>11 SHETLAND ST</t>
  </si>
  <si>
    <t>SUMPTER JOHN H JR &amp; A</t>
  </si>
  <si>
    <t>BEULAH RD APT 607</t>
  </si>
  <si>
    <t>0 SHETLAND ST</t>
  </si>
  <si>
    <t>606 LENORA ST</t>
  </si>
  <si>
    <t>501 LARIMER AVE</t>
  </si>
  <si>
    <t>504 LARIMER AVE</t>
  </si>
  <si>
    <t>ROSS ST FL 7TH</t>
  </si>
  <si>
    <t>651 LARIMER AVE</t>
  </si>
  <si>
    <t xml:space="preserve">BROWN TROY </t>
  </si>
  <si>
    <t>713 LARIMER AVE</t>
  </si>
  <si>
    <t>615 LARIMER AVE</t>
  </si>
  <si>
    <t xml:space="preserve">BERARDINI  ASSUNTA C </t>
  </si>
  <si>
    <t xml:space="preserve">BERARDINI  ASSUNTA  C </t>
  </si>
  <si>
    <t>6312 HOOKER ST</t>
  </si>
  <si>
    <t xml:space="preserve">MCCULLOUGH LEWIS </t>
  </si>
  <si>
    <t>631 THOMPSON ST</t>
  </si>
  <si>
    <t xml:space="preserve">PRYOR HENRIETTA </t>
  </si>
  <si>
    <t>617 THOMPSON ST</t>
  </si>
  <si>
    <t>GRIFFIN MAURICE GRIFFIN JOEL</t>
  </si>
  <si>
    <t>603 THOMPSON ST</t>
  </si>
  <si>
    <t xml:space="preserve">SMITH WALTER J </t>
  </si>
  <si>
    <t>6327 SHETLAND ST</t>
  </si>
  <si>
    <t>SMITH WALTER J</t>
  </si>
  <si>
    <t xml:space="preserve">TAYLOR MARY L </t>
  </si>
  <si>
    <t>120 SHETLAND ST</t>
  </si>
  <si>
    <t xml:space="preserve">MOORE JEROME L </t>
  </si>
  <si>
    <t>128 SHETLAND ST</t>
  </si>
  <si>
    <t xml:space="preserve">GREEN MICHAEL M </t>
  </si>
  <si>
    <t>132 SHETLAND ST</t>
  </si>
  <si>
    <t>GOLDEN GATE DR</t>
  </si>
  <si>
    <t>BELL IOLA  &amp; JAMES ALLEN J/T</t>
  </si>
  <si>
    <t>182 SHETLAND ST</t>
  </si>
  <si>
    <t xml:space="preserve">FRIDIA PHYLLIS A </t>
  </si>
  <si>
    <t>622 THOMPSON ST</t>
  </si>
  <si>
    <t>MS CAPITAL GROUP  PITTSBURGH LLC</t>
  </si>
  <si>
    <t>626 THOMPSON ST</t>
  </si>
  <si>
    <t>MS CAPITAL GROUP PITT</t>
  </si>
  <si>
    <t>LIVE OAK SPRINGS CANYON RD</t>
  </si>
  <si>
    <t>SANTA CLARITA</t>
  </si>
  <si>
    <t>SANDRIDGE FRED  &amp; DOROTHY HINTON SANDRID G</t>
  </si>
  <si>
    <t>636 THOMPSON ST</t>
  </si>
  <si>
    <t>SANDRIDGE FRED  &amp; DOR</t>
  </si>
  <si>
    <t>MEDICAL PARK DR APT 1206</t>
  </si>
  <si>
    <t>AUSTELL</t>
  </si>
  <si>
    <t xml:space="preserve">611 PAULSON LLC </t>
  </si>
  <si>
    <t>611 PAULSON AVE</t>
  </si>
  <si>
    <t xml:space="preserve">RICHARDSON AGNES </t>
  </si>
  <si>
    <t>647 PAULSON AVE</t>
  </si>
  <si>
    <t xml:space="preserve">SIMMONS WILLIAM T </t>
  </si>
  <si>
    <t>657 PAULSON AVE</t>
  </si>
  <si>
    <t>SPRING RUN DR</t>
  </si>
  <si>
    <t>BLAIR CHARLES W &amp; LAURA (W)</t>
  </si>
  <si>
    <t>650 PAULSON AVE</t>
  </si>
  <si>
    <t xml:space="preserve">FORD MARY E </t>
  </si>
  <si>
    <t>646 PAULSON AVE</t>
  </si>
  <si>
    <t>WICKFORD LN</t>
  </si>
  <si>
    <t>COATESVILLE</t>
  </si>
  <si>
    <t xml:space="preserve">PATTERSON SONDA R </t>
  </si>
  <si>
    <t>644 PAULSON AVE</t>
  </si>
  <si>
    <t xml:space="preserve">CASTAPHNEY ROBERT </t>
  </si>
  <si>
    <t>CASTAPHNEY ROBERT</t>
  </si>
  <si>
    <t>PAULA AVE</t>
  </si>
  <si>
    <t xml:space="preserve">M J BERELLO LLC </t>
  </si>
  <si>
    <t>656 LARIMER AVE</t>
  </si>
  <si>
    <t xml:space="preserve">SUPPLES CAROL JEAN </t>
  </si>
  <si>
    <t>6519 APPLE ST</t>
  </si>
  <si>
    <t>MONTGOMERY WARREN  &amp; ANNIE MAE</t>
  </si>
  <si>
    <t>6512 APPLE ST</t>
  </si>
  <si>
    <t xml:space="preserve">PRITCHARD FLORENCE </t>
  </si>
  <si>
    <t>6510 APPLE ST</t>
  </si>
  <si>
    <t xml:space="preserve">HAMMOND LEON &amp; ORA </t>
  </si>
  <si>
    <t>1114 PAULSON AVE</t>
  </si>
  <si>
    <t>ARDMORE BLVD STE 601</t>
  </si>
  <si>
    <t xml:space="preserve">TURNER DIANE </t>
  </si>
  <si>
    <t>6517 DEARY ST</t>
  </si>
  <si>
    <t>DOUGLAS WILBUR C JR &amp; NORMA A</t>
  </si>
  <si>
    <t>6521 DEARY ST</t>
  </si>
  <si>
    <t>KENDON DR E</t>
  </si>
  <si>
    <t xml:space="preserve">YOUNG JACKIE JR                                 </t>
  </si>
  <si>
    <t>6527 DEARY ST</t>
  </si>
  <si>
    <t>JACKIE YOUNG JR &amp; SUR</t>
  </si>
  <si>
    <t>HOWELL OTIS R &amp; SHIRLEY J WF</t>
  </si>
  <si>
    <t>6529 DEARY ST</t>
  </si>
  <si>
    <t>FIRETHORN DR</t>
  </si>
  <si>
    <t>WAKEFIELD PETER A &amp; STELLA M (W)</t>
  </si>
  <si>
    <t xml:space="preserve">FOSAM BONVIE                                    </t>
  </si>
  <si>
    <t>6551 DEARY ST</t>
  </si>
  <si>
    <t>FOSAM BONVIE FOSAM EM</t>
  </si>
  <si>
    <t>E WALKER RD</t>
  </si>
  <si>
    <t>BATH</t>
  </si>
  <si>
    <t xml:space="preserve">SMITH IONA M  IRREVOCABLE TRUST       </t>
  </si>
  <si>
    <t>6555 DEARY ST</t>
  </si>
  <si>
    <t>SHERRI EPPS TRUSTEE</t>
  </si>
  <si>
    <t>BERRY IDA  &amp; ATCHLEY BERRY</t>
  </si>
  <si>
    <t xml:space="preserve">GREEN GENEVA </t>
  </si>
  <si>
    <t>6604 DEARY ST</t>
  </si>
  <si>
    <t xml:space="preserve">GOINS ANN </t>
  </si>
  <si>
    <t>6602 DEARY ST</t>
  </si>
  <si>
    <t>N DALLAS AVE</t>
  </si>
  <si>
    <t>GODFREY WALTER J &amp; KATHRYN A (W)</t>
  </si>
  <si>
    <t>LEVY ALICE  &amp; STEVE JR (H)</t>
  </si>
  <si>
    <t>DAVIS RUEL SAMUEL &amp; GLADYS E</t>
  </si>
  <si>
    <t xml:space="preserve">MCPHERSON PAMELA RUTH </t>
  </si>
  <si>
    <t>VESPERTINE INVESTMENTS  LLC</t>
  </si>
  <si>
    <t>6534 DEARY ST</t>
  </si>
  <si>
    <t>VESPERTINE INVESTMENT</t>
  </si>
  <si>
    <t xml:space="preserve">RUSSELL ADELINE </t>
  </si>
  <si>
    <t>6532 DEARY ST</t>
  </si>
  <si>
    <t>FRANKSTOWN AVE UNIT 305</t>
  </si>
  <si>
    <t xml:space="preserve">DELIGHTFUL DEVELOP LLC </t>
  </si>
  <si>
    <t>6526 DEARY ST</t>
  </si>
  <si>
    <t>DELIGHTFUL DEVELOP LL</t>
  </si>
  <si>
    <t>VICTORIA AVE</t>
  </si>
  <si>
    <t xml:space="preserve">GEARY ALMETA </t>
  </si>
  <si>
    <t>6512 DEARY ST</t>
  </si>
  <si>
    <t xml:space="preserve">CHAMBERS EDWARD M </t>
  </si>
  <si>
    <t>6504 DEARY ST</t>
  </si>
  <si>
    <t xml:space="preserve">HESTER MARION L </t>
  </si>
  <si>
    <t>6500 DEARY ST</t>
  </si>
  <si>
    <t xml:space="preserve">TALENFELD MEYER  &amp; HILDA </t>
  </si>
  <si>
    <t>PRIDE ST</t>
  </si>
  <si>
    <t>DRUMMOND STANLEY PAUL &amp; MAUDINE ANITA (W )</t>
  </si>
  <si>
    <t>0 SAXON WAY</t>
  </si>
  <si>
    <t>DRUMMOND STANLEY PAUL</t>
  </si>
  <si>
    <t>WOODLAWN AVE</t>
  </si>
  <si>
    <t xml:space="preserve">MANNO PASQUALE A </t>
  </si>
  <si>
    <t>SAXON WAY</t>
  </si>
  <si>
    <t xml:space="preserve">SCHWARTZ NELLIE F </t>
  </si>
  <si>
    <t>0 ROWAN ST</t>
  </si>
  <si>
    <t xml:space="preserve">WARD JEANETTE </t>
  </si>
  <si>
    <t>6555 ROWAN ST</t>
  </si>
  <si>
    <t xml:space="preserve">JJRS PITTSBURGH INC </t>
  </si>
  <si>
    <t xml:space="preserve">PANNELL ANTHONY </t>
  </si>
  <si>
    <t>CENTER RD APT C22</t>
  </si>
  <si>
    <t xml:space="preserve">TITA KAISTE </t>
  </si>
  <si>
    <t>WAYNE ST</t>
  </si>
  <si>
    <t xml:space="preserve">BONNER JENNIFER </t>
  </si>
  <si>
    <t xml:space="preserve">RAY JENNIE M </t>
  </si>
  <si>
    <t>TORRANCE L CARTER</t>
  </si>
  <si>
    <t xml:space="preserve">ARCHIBALD REBECCA A </t>
  </si>
  <si>
    <t>BATTLE COVE CORP         ETAL</t>
  </si>
  <si>
    <t>PO BOX 1292</t>
  </si>
  <si>
    <t>TURNER JEROME A</t>
  </si>
  <si>
    <t xml:space="preserve">TURNER JEROME                                   </t>
  </si>
  <si>
    <t>6507 ROWAN ST</t>
  </si>
  <si>
    <t>TURNER JEROME</t>
  </si>
  <si>
    <t xml:space="preserve">HIPPS ANTONIO </t>
  </si>
  <si>
    <t>SOUTHERN AVE</t>
  </si>
  <si>
    <t xml:space="preserve">WHITTLE KELVIN L </t>
  </si>
  <si>
    <t>NORTH AVE W</t>
  </si>
  <si>
    <t xml:space="preserve">LESTER JESSE L </t>
  </si>
  <si>
    <t>GETER LOUIS R &amp; FLOSSIE M (W)</t>
  </si>
  <si>
    <t>6558 ROWAN ST</t>
  </si>
  <si>
    <t>GETER LOUIS R &amp; FLOSS</t>
  </si>
  <si>
    <t xml:space="preserve">HOWZE YARRA </t>
  </si>
  <si>
    <t>6560 ROWAN ST</t>
  </si>
  <si>
    <t>GENERATION CONTRACTORS &amp; REMODELING LL</t>
  </si>
  <si>
    <t>6564 ROWAN ST</t>
  </si>
  <si>
    <t>GENERATION CONTRACTOR</t>
  </si>
  <si>
    <t>N HOMEWOOD AVE</t>
  </si>
  <si>
    <t xml:space="preserve">MASON FARREN </t>
  </si>
  <si>
    <t>6562 ROWAN ST</t>
  </si>
  <si>
    <t>GENERATION CONTRACTORS  LLC</t>
  </si>
  <si>
    <t>TATA CONSTANZA  &amp; ORLANDA TATA</t>
  </si>
  <si>
    <t>0 ODESSA PL</t>
  </si>
  <si>
    <t>TATA CONSTANZA  &amp; ORL</t>
  </si>
  <si>
    <t>ODESSA PL</t>
  </si>
  <si>
    <t xml:space="preserve">WILLIAMSON ROSEMARY </t>
  </si>
  <si>
    <t>6572 ROWAN ST</t>
  </si>
  <si>
    <t xml:space="preserve">HUDSON MARCUS </t>
  </si>
  <si>
    <t>6608 ROWAN ST</t>
  </si>
  <si>
    <t xml:space="preserve">MASON NAYA </t>
  </si>
  <si>
    <t>6610 ROWAN ST</t>
  </si>
  <si>
    <t>MACFARLANE DR</t>
  </si>
  <si>
    <t xml:space="preserve">BELL JULIA </t>
  </si>
  <si>
    <t>ROWAN AVE</t>
  </si>
  <si>
    <t xml:space="preserve">HAMMER DONNELLY W M </t>
  </si>
  <si>
    <t>6629 ROWAN ST</t>
  </si>
  <si>
    <t xml:space="preserve">NEWSAM DORIS F </t>
  </si>
  <si>
    <t>6622 DEARY ST</t>
  </si>
  <si>
    <t xml:space="preserve">GRISOM ETHEL L </t>
  </si>
  <si>
    <t>6624 DEARY ST</t>
  </si>
  <si>
    <t xml:space="preserve">ROSE JAMES H </t>
  </si>
  <si>
    <t>6626 DEARY ST</t>
  </si>
  <si>
    <t>ROSE LENA  &amp; JAMES ROSE JR</t>
  </si>
  <si>
    <t>6628 DEARY ST</t>
  </si>
  <si>
    <t>DEARY ST APT 2</t>
  </si>
  <si>
    <t xml:space="preserve">REED JACQUELINE J </t>
  </si>
  <si>
    <t>SHADYCREEK DR</t>
  </si>
  <si>
    <t>LITHONIA</t>
  </si>
  <si>
    <t xml:space="preserve">MARVEL HOLDINGS LLC </t>
  </si>
  <si>
    <t>6700 DEARY ST</t>
  </si>
  <si>
    <t>PO BOX 83</t>
  </si>
  <si>
    <t xml:space="preserve">POSEY DEANDREA </t>
  </si>
  <si>
    <t>6709 DEARY ST</t>
  </si>
  <si>
    <t xml:space="preserve">EARNEST ROBERT M </t>
  </si>
  <si>
    <t>EARNEST ROBERT M</t>
  </si>
  <si>
    <t>5TH ST APT 15</t>
  </si>
  <si>
    <t>DANIELS DEVON  &amp; CORA (W)</t>
  </si>
  <si>
    <t>HIPPS FRANCES ANN &amp; RICHARD DAVIS</t>
  </si>
  <si>
    <t>ARBOR ST</t>
  </si>
  <si>
    <t xml:space="preserve">ALEXANDER NORMA J </t>
  </si>
  <si>
    <t xml:space="preserve">BROWN HELEN </t>
  </si>
  <si>
    <t xml:space="preserve">WATTS LILLIE M </t>
  </si>
  <si>
    <t xml:space="preserve">PEYTON ARTHUR W &amp; MAY </t>
  </si>
  <si>
    <t>HENDERSON MACK JR &amp; MARION V</t>
  </si>
  <si>
    <t>YOLAND AUSTIN</t>
  </si>
  <si>
    <t>COLLINS RD</t>
  </si>
  <si>
    <t>ARMSTRONG RUSSELL S &amp; HARRIET</t>
  </si>
  <si>
    <t>UNDEL;IVERABLE</t>
  </si>
  <si>
    <t>FERN ST</t>
  </si>
  <si>
    <t>HUGHES JAMES  &amp; SHARON (W)</t>
  </si>
  <si>
    <t>HUGHES JAMES O &amp; SHARON D (W)</t>
  </si>
  <si>
    <t>MANHATTAN ST</t>
  </si>
  <si>
    <t xml:space="preserve">CROSSAN JOHN </t>
  </si>
  <si>
    <t>LOS ALIMOS ST</t>
  </si>
  <si>
    <t>GRANADA HILLS</t>
  </si>
  <si>
    <t xml:space="preserve">JONES CLARETTA </t>
  </si>
  <si>
    <t>OSWEGO ST</t>
  </si>
  <si>
    <t>PRICE NORMA  &amp; WALTER HARRIS</t>
  </si>
  <si>
    <t>6621 DEARY ST</t>
  </si>
  <si>
    <t>RICHARDSON THEODUS C &amp; AMY E (W)</t>
  </si>
  <si>
    <t>6619 DEARY ST</t>
  </si>
  <si>
    <t xml:space="preserve">PIVIROTTO JAMES H </t>
  </si>
  <si>
    <t xml:space="preserve">RIGGINS MAGNOLIA </t>
  </si>
  <si>
    <t>6617 DEARY ST</t>
  </si>
  <si>
    <t xml:space="preserve">BROWN SALLIE </t>
  </si>
  <si>
    <t xml:space="preserve">JOHNSON HARRY F </t>
  </si>
  <si>
    <t xml:space="preserve">MORGAN VIVIAN </t>
  </si>
  <si>
    <t>ROBERT MORGAN</t>
  </si>
  <si>
    <t xml:space="preserve">GRISHAM DARNELL </t>
  </si>
  <si>
    <t>WESTMORELAND ST</t>
  </si>
  <si>
    <t xml:space="preserve">FENTY DEL ROBYN </t>
  </si>
  <si>
    <t>0 ALLEMANNIA WAY</t>
  </si>
  <si>
    <t>S 15TH ST</t>
  </si>
  <si>
    <t xml:space="preserve">ROSS MACK T </t>
  </si>
  <si>
    <t xml:space="preserve">WIMBISH JANET D </t>
  </si>
  <si>
    <t>6616 APPLE ST</t>
  </si>
  <si>
    <t xml:space="preserve">GREEN MARY </t>
  </si>
  <si>
    <t>6628 APPLE ST</t>
  </si>
  <si>
    <t xml:space="preserve">SMITH JAMES E </t>
  </si>
  <si>
    <t>6640 APPLE ST</t>
  </si>
  <si>
    <t xml:space="preserve">SMITH JAY H &amp; ESSIE (W) </t>
  </si>
  <si>
    <t>PO BOX 27052</t>
  </si>
  <si>
    <t xml:space="preserve">SCRAM CAPITAL LLC </t>
  </si>
  <si>
    <t>6902 APPLE ST</t>
  </si>
  <si>
    <t>S AIKEN AVE APT 2</t>
  </si>
  <si>
    <t>JEFFERSON THOMAS R &amp; MYRTLE P (W)</t>
  </si>
  <si>
    <t>TERRY PRESTON  &amp; ELIZABETH (W)</t>
  </si>
  <si>
    <t xml:space="preserve">BERRY EILEEN </t>
  </si>
  <si>
    <t>6645 APPLE ST</t>
  </si>
  <si>
    <t xml:space="preserve">SYMMS MARK </t>
  </si>
  <si>
    <t>6643 APPLE ST</t>
  </si>
  <si>
    <t>SHAHEED TAMIR Y &amp; JUDY P (W)</t>
  </si>
  <si>
    <t>SHAHEED TAMIR Y &amp; JUD</t>
  </si>
  <si>
    <t>6637 APPLE ST</t>
  </si>
  <si>
    <t xml:space="preserve">TORRES JUAN                                     </t>
  </si>
  <si>
    <t>6635 APPLE ST</t>
  </si>
  <si>
    <t>TORRES JUAN</t>
  </si>
  <si>
    <t>FRANKFORT AVE APT 2</t>
  </si>
  <si>
    <t xml:space="preserve">BURLEIGH RONALD T </t>
  </si>
  <si>
    <t>PARK HILL DR</t>
  </si>
  <si>
    <t xml:space="preserve">GAINES SAMUEL </t>
  </si>
  <si>
    <t>6619 APPLE ST</t>
  </si>
  <si>
    <t>LEWIS ELLIOTT  &amp; ROSE LEE</t>
  </si>
  <si>
    <t xml:space="preserve">WILSON GAUDIE J </t>
  </si>
  <si>
    <t>NW 4TH AVE APT 1106</t>
  </si>
  <si>
    <t>FORT LAUDERDAL</t>
  </si>
  <si>
    <t xml:space="preserve">SYMMS MARK A </t>
  </si>
  <si>
    <t>6613 APPLE ST</t>
  </si>
  <si>
    <t xml:space="preserve">MOONE ALONZO  &amp; LORETTA </t>
  </si>
  <si>
    <t>6609 APPLE ST</t>
  </si>
  <si>
    <t>MOONE ALONZO  &amp; LORET</t>
  </si>
  <si>
    <t xml:space="preserve">GLOVER CALVIN G </t>
  </si>
  <si>
    <t>6601 APPLE ST</t>
  </si>
  <si>
    <t xml:space="preserve">RAINES AMAZIAH </t>
  </si>
  <si>
    <t>1126 MONTEZUMA ST</t>
  </si>
  <si>
    <t xml:space="preserve">JACKSON DEBORAH </t>
  </si>
  <si>
    <t>1122 MONTEZUMA ST</t>
  </si>
  <si>
    <t>FUSCA ANTHONY  &amp; MARY LOUISE</t>
  </si>
  <si>
    <t>DORSEYVILLE RD</t>
  </si>
  <si>
    <t>LESESNE JOSEPH P &amp; BARBARA J (W)</t>
  </si>
  <si>
    <t>0 ARBOR ST</t>
  </si>
  <si>
    <t>LESESNE JOSEPH P &amp; BA</t>
  </si>
  <si>
    <t xml:space="preserve">LESESNE JOSEPH </t>
  </si>
  <si>
    <t>1215 ARBOR ST</t>
  </si>
  <si>
    <t>BELLAIRE PL</t>
  </si>
  <si>
    <t xml:space="preserve">JOHNSON DERF C </t>
  </si>
  <si>
    <t>1218 POINTVIEW ST</t>
  </si>
  <si>
    <t>POINTVIEW ST</t>
  </si>
  <si>
    <t xml:space="preserve">KUJAWSKI HENRY F </t>
  </si>
  <si>
    <t xml:space="preserve">GRIMMETT DARYL </t>
  </si>
  <si>
    <t>0 HEDGE ST</t>
  </si>
  <si>
    <t>HEDGE ST</t>
  </si>
  <si>
    <t xml:space="preserve">JARRETT ALAN O </t>
  </si>
  <si>
    <t>6732 HEDGE ST</t>
  </si>
  <si>
    <t>JARRETT ALAN O</t>
  </si>
  <si>
    <t xml:space="preserve">HILL ETHEL </t>
  </si>
  <si>
    <t>6652 HEDGE ST</t>
  </si>
  <si>
    <t xml:space="preserve">ROBINSON DOLORES </t>
  </si>
  <si>
    <t>6648 HEDGE ST</t>
  </si>
  <si>
    <t xml:space="preserve">SHAH RAHEEL </t>
  </si>
  <si>
    <t>6646 HEDGE ST</t>
  </si>
  <si>
    <t>N 6TH ST</t>
  </si>
  <si>
    <t>SADDLE BROOK</t>
  </si>
  <si>
    <t xml:space="preserve">PARKATOL INC </t>
  </si>
  <si>
    <t>PO BOX 4763</t>
  </si>
  <si>
    <t>MIAMI BEACH</t>
  </si>
  <si>
    <t>P.O. BOX 4763</t>
  </si>
  <si>
    <t xml:space="preserve">TM REO FUND LLC </t>
  </si>
  <si>
    <t>S SHORE BLVD STE 300</t>
  </si>
  <si>
    <t>LEAGUE CITY</t>
  </si>
  <si>
    <t xml:space="preserve">MILES JANET </t>
  </si>
  <si>
    <t>FRANKSTOWN AVE APT 301</t>
  </si>
  <si>
    <t>1216 HYATT ST</t>
  </si>
  <si>
    <t xml:space="preserve">THOMAS CANDICE </t>
  </si>
  <si>
    <t>HYATT ST</t>
  </si>
  <si>
    <t xml:space="preserve">WOODS CHARLES </t>
  </si>
  <si>
    <t>HOCHBERG RD</t>
  </si>
  <si>
    <t xml:space="preserve">THOMAS LAMAR </t>
  </si>
  <si>
    <t xml:space="preserve">CABINESS BARBARA Z </t>
  </si>
  <si>
    <t>6649 HEDGE ST</t>
  </si>
  <si>
    <t xml:space="preserve">EDWARDS CHERELLE MONIQUE </t>
  </si>
  <si>
    <t>6653 HEDGE ST</t>
  </si>
  <si>
    <t>EDWARDS CHERELLE MONI</t>
  </si>
  <si>
    <t>CLIMAX ST</t>
  </si>
  <si>
    <t xml:space="preserve">WILSON EMMETT                                   </t>
  </si>
  <si>
    <t>6657 HEDGE ST</t>
  </si>
  <si>
    <t xml:space="preserve">HARRIS CARL J &amp; ELSIE L </t>
  </si>
  <si>
    <t>HARRIS CARL J &amp; ELSIE</t>
  </si>
  <si>
    <t xml:space="preserve">POPE ELIZABETH M </t>
  </si>
  <si>
    <t>0 POINTVIEW ST</t>
  </si>
  <si>
    <t>KAMPE ERNESTR  &amp; ELEANOR A</t>
  </si>
  <si>
    <t xml:space="preserve">FARLEY JOHN B &amp; DOLORES (W)             </t>
  </si>
  <si>
    <t>6670 BOWER ST</t>
  </si>
  <si>
    <t xml:space="preserve">MILLENDER STEPHEN </t>
  </si>
  <si>
    <t>BOWER ST</t>
  </si>
  <si>
    <t>MITCHELL RICHARD A &amp; TYRECE L (W)</t>
  </si>
  <si>
    <t xml:space="preserve">RASILE WILLIAM  &amp; DOASHA </t>
  </si>
  <si>
    <t>YORKSHIRE DR</t>
  </si>
  <si>
    <t xml:space="preserve">DAY ERNEST F &amp; LILLIE N </t>
  </si>
  <si>
    <t xml:space="preserve">BUTLER PETER  &amp; PEARL </t>
  </si>
  <si>
    <t>STROTHERS JOHN L &amp; CLAUDINE E (W)</t>
  </si>
  <si>
    <t>1303 OLIVANT ST</t>
  </si>
  <si>
    <t>TIGER RELOCATION CO      ETAL</t>
  </si>
  <si>
    <t>1305 OLIVANT ST</t>
  </si>
  <si>
    <t>JOHN F KENNEDY BLVD STE 950</t>
  </si>
  <si>
    <t>134 AUBURN ST</t>
  </si>
  <si>
    <t>136 AUBURN ST</t>
  </si>
  <si>
    <t>140 AUBURN ST</t>
  </si>
  <si>
    <t xml:space="preserve">MCCOY MARK </t>
  </si>
  <si>
    <t>148 AUBURN ST</t>
  </si>
  <si>
    <t>MCCOY MARK</t>
  </si>
  <si>
    <t>EAST LIBERTY  DEVELOPMENT INC</t>
  </si>
  <si>
    <t>159 AUBURN ST</t>
  </si>
  <si>
    <t>N WHITFIELD ST</t>
  </si>
  <si>
    <t>HOPKINS CHARLES  &amp; MARTHA L</t>
  </si>
  <si>
    <t>119 AUBURN ST</t>
  </si>
  <si>
    <t>AUBURN ST</t>
  </si>
  <si>
    <t>DUNN BRENDA L &amp; TONYA M HARDWICK</t>
  </si>
  <si>
    <t>116 MAYFLOWER ST</t>
  </si>
  <si>
    <t>KILIC ERTUGRUL &amp; NESLISHAN (W)</t>
  </si>
  <si>
    <t>130 MAYFLOWER ST</t>
  </si>
  <si>
    <t>134 MAYFLOWER ST</t>
  </si>
  <si>
    <t>PAULSON STREET PARTNERS  LLC</t>
  </si>
  <si>
    <t>307 PAULSON AVE</t>
  </si>
  <si>
    <t>PAULSON STREET PARTNE</t>
  </si>
  <si>
    <t>ADELINE ST STE 202 A</t>
  </si>
  <si>
    <t>OAKLAND</t>
  </si>
  <si>
    <t xml:space="preserve">7MOGALLC </t>
  </si>
  <si>
    <t>303 PAULSON AVE</t>
  </si>
  <si>
    <t>177 MAYFLOWER ST</t>
  </si>
  <si>
    <t xml:space="preserve">PISTELLA FRANK M JR </t>
  </si>
  <si>
    <t>169 MAYFLOWER ST</t>
  </si>
  <si>
    <t>WESTCHESTER DR</t>
  </si>
  <si>
    <t>LOWERY DOROTHY  &amp; RICHARD MACKLIN</t>
  </si>
  <si>
    <t>161 MAYFLOWER ST</t>
  </si>
  <si>
    <t xml:space="preserve">BISHOP BRANDON </t>
  </si>
  <si>
    <t>118 CARVER ST</t>
  </si>
  <si>
    <t xml:space="preserve">MCANDREW MONIKA </t>
  </si>
  <si>
    <t>138 CARVER ST</t>
  </si>
  <si>
    <t xml:space="preserve">SPENCER DONALD A </t>
  </si>
  <si>
    <t>133 CARVER ST</t>
  </si>
  <si>
    <t>SPENCER DONALD</t>
  </si>
  <si>
    <t xml:space="preserve">JACKSON LARRY C </t>
  </si>
  <si>
    <t>131 CARVER ST</t>
  </si>
  <si>
    <t xml:space="preserve">URBAN REDEVELOPMENT  AUTHORITY OF PITTSBURGH </t>
  </si>
  <si>
    <t>400 LARIMER AVE</t>
  </si>
  <si>
    <t>MADISON OLVIN V &amp; LINDA (W)</t>
  </si>
  <si>
    <t>128 MEADOW ST</t>
  </si>
  <si>
    <t xml:space="preserve">BOOZER ALVONA </t>
  </si>
  <si>
    <t>154 MEADOW ST</t>
  </si>
  <si>
    <t>SCOTT MONICA S &amp; SHARON F SCOTT</t>
  </si>
  <si>
    <t>178 MEADOW ST</t>
  </si>
  <si>
    <t xml:space="preserve">ELHOME APTS LLC                                 </t>
  </si>
  <si>
    <t>206 MEADOW ST</t>
  </si>
  <si>
    <t>ELHOME APTS LLC JONAT</t>
  </si>
  <si>
    <t xml:space="preserve">TINSLEY LELIA </t>
  </si>
  <si>
    <t>212 MEADOW ST</t>
  </si>
  <si>
    <t>C/O RAYMOND DENNIS</t>
  </si>
  <si>
    <t>HAMMOND RICHARD K &amp; PAMELA L HARRIS</t>
  </si>
  <si>
    <t>147 MEADOW ST</t>
  </si>
  <si>
    <t>HAMMOND RICHARD K &amp; P</t>
  </si>
  <si>
    <t xml:space="preserve">ROBINSON DWIGHT JOSEPH </t>
  </si>
  <si>
    <t>0 MEADOW ST</t>
  </si>
  <si>
    <t>0 STOEBNER WAY</t>
  </si>
  <si>
    <t xml:space="preserve">TAULTON JAMES </t>
  </si>
  <si>
    <t xml:space="preserve">DAVIS GRAHAM T </t>
  </si>
  <si>
    <t>148 WINSLOW ST</t>
  </si>
  <si>
    <t>DAVIS GRAHAM T</t>
  </si>
  <si>
    <t>DONLEY DR</t>
  </si>
  <si>
    <t xml:space="preserve">GODSON SIMONE </t>
  </si>
  <si>
    <t>150 STOEBNER WAY</t>
  </si>
  <si>
    <t>MOORE YOLANDA MICHELLE  MCGILL</t>
  </si>
  <si>
    <t>160 WINSLOW ST</t>
  </si>
  <si>
    <t>MOORE YOLANDA MICHELL</t>
  </si>
  <si>
    <t>DELK RD SE APT 368</t>
  </si>
  <si>
    <t>MARIETTA</t>
  </si>
  <si>
    <t>504 PAULSON AVE</t>
  </si>
  <si>
    <t>DOBIS WORLDWIDE LLC</t>
  </si>
  <si>
    <t>506 PAULSON AVE</t>
  </si>
  <si>
    <t>6305 CARVER ST</t>
  </si>
  <si>
    <t>PARKER THOMAS JAY  EVERETT</t>
  </si>
  <si>
    <t>523 PAULSON AVE</t>
  </si>
  <si>
    <t>PEEBLES ST</t>
  </si>
  <si>
    <t xml:space="preserve">YANCEY GARNET </t>
  </si>
  <si>
    <t>HARRIS DONALD E &amp; DENISE (W)</t>
  </si>
  <si>
    <t>6355 WINSLOW ST</t>
  </si>
  <si>
    <t>WINSLOW ST</t>
  </si>
  <si>
    <t xml:space="preserve">WHITTAKER WILLIAM L </t>
  </si>
  <si>
    <t>0 WINSLOW ST</t>
  </si>
  <si>
    <t>BUNKERHILL ST</t>
  </si>
  <si>
    <t xml:space="preserve">WHITTAKER WILLIAM </t>
  </si>
  <si>
    <t>0 MAXWELL WAY</t>
  </si>
  <si>
    <t xml:space="preserve">MASJID AL MU MIN INC </t>
  </si>
  <si>
    <t>159 WINSLOW ST</t>
  </si>
  <si>
    <t>PO BOX 5410</t>
  </si>
  <si>
    <t xml:space="preserve">MUMIN MASJID AL </t>
  </si>
  <si>
    <t>537 PAULSON AVE</t>
  </si>
  <si>
    <t xml:space="preserve">MASJID LA MU MIN INC </t>
  </si>
  <si>
    <t>WEATHERSPOON WOODROW  &amp; PAULINE E (W)</t>
  </si>
  <si>
    <t>543 PAULSON AVE</t>
  </si>
  <si>
    <t>URBAN REDEVELOPMENT AUTH OR PITTSBURGH</t>
  </si>
  <si>
    <t>551 PAULSON AVE</t>
  </si>
  <si>
    <t xml:space="preserve">PGH PROPERTY BUYER LLC </t>
  </si>
  <si>
    <t>195 SHETLAND ST</t>
  </si>
  <si>
    <t>PGH PROPERTY BUYER LL</t>
  </si>
  <si>
    <t xml:space="preserve">BOULWARE WILLIAM A </t>
  </si>
  <si>
    <t>HARRIS JOSEPH S &amp; CARLA R (W)</t>
  </si>
  <si>
    <t>6406 WINSLOW ST</t>
  </si>
  <si>
    <t>HAZEL RD</t>
  </si>
  <si>
    <t>6413 MEADOW ST</t>
  </si>
  <si>
    <t xml:space="preserve">BEST JERRY H &amp; SHIRLEY M </t>
  </si>
  <si>
    <t>530 PAULSON AVE</t>
  </si>
  <si>
    <t xml:space="preserve">BRELLA HOMES LLC </t>
  </si>
  <si>
    <t>524 PAULSON AVE</t>
  </si>
  <si>
    <t>BRELLA HOMES LLC</t>
  </si>
  <si>
    <t>518 PAULSON AVE</t>
  </si>
  <si>
    <t>516 PAULSON AVE</t>
  </si>
  <si>
    <t>514 PAULSON AVE</t>
  </si>
  <si>
    <t>PEAK CIRCLE SOUTH  HOLDINGS LLC</t>
  </si>
  <si>
    <t>6424 MEADOW ST</t>
  </si>
  <si>
    <t>PEAK CIRCLE SOUTH HOL</t>
  </si>
  <si>
    <t xml:space="preserve">TIMTIM HOLDINGS INC </t>
  </si>
  <si>
    <t>512 PAULSON AVE</t>
  </si>
  <si>
    <t xml:space="preserve">GRAY LALISA </t>
  </si>
  <si>
    <t>PITTSBURG</t>
  </si>
  <si>
    <t xml:space="preserve">LEE WILLIAM </t>
  </si>
  <si>
    <t>505 WINFIELD ST</t>
  </si>
  <si>
    <t>AZALEA DR</t>
  </si>
  <si>
    <t>CHARLES TOWN</t>
  </si>
  <si>
    <t xml:space="preserve">TTGWB  INC </t>
  </si>
  <si>
    <t>0 WINFIELD ST</t>
  </si>
  <si>
    <t>TAYLOR CONSTRUCTION &amp; DEVELOPMENT INC</t>
  </si>
  <si>
    <t>218 SHETLAND ST</t>
  </si>
  <si>
    <t>FRANKSTOWN RD</t>
  </si>
  <si>
    <t xml:space="preserve">BOULWARE WILLIAM </t>
  </si>
  <si>
    <t>6413 SHETLAND ST</t>
  </si>
  <si>
    <t>627 WINFIELD ST</t>
  </si>
  <si>
    <t>629 WINFIELD ST</t>
  </si>
  <si>
    <t xml:space="preserve">HARRIS WILLOWBY </t>
  </si>
  <si>
    <t>630 WINFIELD ST</t>
  </si>
  <si>
    <t>WINFIELD ST</t>
  </si>
  <si>
    <t xml:space="preserve">PRATT THERESA N </t>
  </si>
  <si>
    <t>628 WINFIELD ST</t>
  </si>
  <si>
    <t>PRESIDIO CT</t>
  </si>
  <si>
    <t xml:space="preserve">GIBSON AARON R </t>
  </si>
  <si>
    <t>6431 SHETLAND ST</t>
  </si>
  <si>
    <t>GREENLEAF DR</t>
  </si>
  <si>
    <t>WARE MARY PATRICIA &amp; ROBERT J BRANCH-WAR E</t>
  </si>
  <si>
    <t>EVERGLADE DR</t>
  </si>
  <si>
    <t>BOOKER ROBERT E &amp; NANCY D (W)</t>
  </si>
  <si>
    <t>6431 WINSLOW ST</t>
  </si>
  <si>
    <t>NATIONAL COUNCIL FOR  URBAN PEACE &amp; JUSTI CE</t>
  </si>
  <si>
    <t>0 LOWELL ST</t>
  </si>
  <si>
    <t>P.O. BOX 99666</t>
  </si>
  <si>
    <t>507 LOWELL ST</t>
  </si>
  <si>
    <t xml:space="preserve">FINCH CALVIN L </t>
  </si>
  <si>
    <t>FINCH CALVIN L</t>
  </si>
  <si>
    <t>LOWELL ST</t>
  </si>
  <si>
    <t xml:space="preserve">MOORE NICHELLE C </t>
  </si>
  <si>
    <t>525 LOWELL ST</t>
  </si>
  <si>
    <t xml:space="preserve">WALKER NATHANIEL </t>
  </si>
  <si>
    <t>541 LOWELL ST</t>
  </si>
  <si>
    <t xml:space="preserve">MIDDLETON ANNIE S </t>
  </si>
  <si>
    <t>543 LOWELL ST</t>
  </si>
  <si>
    <t>MIDDLETON ANNIE S</t>
  </si>
  <si>
    <t xml:space="preserve">WALKER DELIA A </t>
  </si>
  <si>
    <t>547 LOWELL ST</t>
  </si>
  <si>
    <t xml:space="preserve">BYRD RAHEME R </t>
  </si>
  <si>
    <t>603 LOWELL ST</t>
  </si>
  <si>
    <t xml:space="preserve">GREEN ANNA MAY </t>
  </si>
  <si>
    <t>CHURCH &amp; KINGDOM OF GOD IN CHRIST</t>
  </si>
  <si>
    <t>0 RENFREW ST</t>
  </si>
  <si>
    <t xml:space="preserve">ANDERSON LOUISA </t>
  </si>
  <si>
    <t>GRANDVIEW AVE STE 300</t>
  </si>
  <si>
    <t xml:space="preserve">ANDERSON M G &amp; LOUISE                  </t>
  </si>
  <si>
    <t>MICHAEL WERNER EXEC</t>
  </si>
  <si>
    <t xml:space="preserve">WRIGHT LEE  &amp; JULIA </t>
  </si>
  <si>
    <t>6506 SHETLAND ST</t>
  </si>
  <si>
    <t xml:space="preserve">COOK PALMA A </t>
  </si>
  <si>
    <t>536 LOWELL ST</t>
  </si>
  <si>
    <t>BEECHLAND ST</t>
  </si>
  <si>
    <t xml:space="preserve">A &amp; D HOLDINGS LLC </t>
  </si>
  <si>
    <t>522 LOWELL ST</t>
  </si>
  <si>
    <t>A &amp; D HOLDINGS LLC</t>
  </si>
  <si>
    <t xml:space="preserve">BLACKWELL ANDREW </t>
  </si>
  <si>
    <t>FLEET ST</t>
  </si>
  <si>
    <t>BROOKS JAMES M &amp; ETHEL LEE</t>
  </si>
  <si>
    <t>539 TURRETT ST</t>
  </si>
  <si>
    <t>TURRETT ST</t>
  </si>
  <si>
    <t>JOHNSON ALPHONSE  &amp; JULIA</t>
  </si>
  <si>
    <t>543 TURRETT ST</t>
  </si>
  <si>
    <t>WITHERSPOON JOHN  &amp; MARYAN N (W)</t>
  </si>
  <si>
    <t>621 TURRETT ST</t>
  </si>
  <si>
    <t xml:space="preserve">BEDDINGFIELD SHEILA                             </t>
  </si>
  <si>
    <t>6544 LADSON ST</t>
  </si>
  <si>
    <t>LADSON ST</t>
  </si>
  <si>
    <t xml:space="preserve">DEAN FRANCELLA MARIE </t>
  </si>
  <si>
    <t>6542 LADSON ST</t>
  </si>
  <si>
    <t>6508 LADSON ST</t>
  </si>
  <si>
    <t>ROSEWOOD PROPERTY  MANAGEMENT LLC</t>
  </si>
  <si>
    <t>336 LADSON ST</t>
  </si>
  <si>
    <t>ROSEWOOD PROPERTY MAN</t>
  </si>
  <si>
    <t xml:space="preserve">SOLOMON KENNETH </t>
  </si>
  <si>
    <t>329 LADSON ST</t>
  </si>
  <si>
    <t>SOLOMON KENNETH</t>
  </si>
  <si>
    <t>VALLEY ST</t>
  </si>
  <si>
    <t xml:space="preserve">GILBERT PHILIP </t>
  </si>
  <si>
    <t>6539 LADSON ST</t>
  </si>
  <si>
    <t xml:space="preserve">DUNBAR NOEL M </t>
  </si>
  <si>
    <t>347 LADSON ST</t>
  </si>
  <si>
    <t>HORNEZES EDWARD C &amp; MARY WASHINGTON- HORNEZE</t>
  </si>
  <si>
    <t>0 LADSON ST</t>
  </si>
  <si>
    <t>HORNEZES EDWARD C &amp; M</t>
  </si>
  <si>
    <t>COTTONWOOD DR</t>
  </si>
  <si>
    <t xml:space="preserve">HUNTER FRANK &amp; WANITA V (W)            </t>
  </si>
  <si>
    <t>313 RENFREW ST</t>
  </si>
  <si>
    <t>KELLY SHARI</t>
  </si>
  <si>
    <t>BALDRIDGE AVE</t>
  </si>
  <si>
    <t>346 RENFREW ST</t>
  </si>
  <si>
    <t>348 RENFREW ST</t>
  </si>
  <si>
    <t xml:space="preserve">WILLIAMS DARNEICE </t>
  </si>
  <si>
    <t>6714 ATWELL ST</t>
  </si>
  <si>
    <t>CLARK ST</t>
  </si>
  <si>
    <t xml:space="preserve">HUDSON CYNTHIA DENISE </t>
  </si>
  <si>
    <t>6722 ATWELL ST</t>
  </si>
  <si>
    <t>ATWELL ST</t>
  </si>
  <si>
    <t>SALKELD GEORGE A &amp; NORA F</t>
  </si>
  <si>
    <t>0 ATWELL ST</t>
  </si>
  <si>
    <t xml:space="preserve">KING WILLIAM F </t>
  </si>
  <si>
    <t xml:space="preserve">HAMBRICK SHELLEY </t>
  </si>
  <si>
    <t>6728 ATWELL ST</t>
  </si>
  <si>
    <t>S &amp; G LINCOLN DEVELOPMENT CO</t>
  </si>
  <si>
    <t>0 LINCOLN AVE</t>
  </si>
  <si>
    <t xml:space="preserve">SCOTT TERRELL </t>
  </si>
  <si>
    <t>6624 TENNIS ST</t>
  </si>
  <si>
    <t>SCOTT TERRELL</t>
  </si>
  <si>
    <t>PO BOX 612</t>
  </si>
  <si>
    <t>0 TENNIS ST</t>
  </si>
  <si>
    <t xml:space="preserve">LEE CHARLES T </t>
  </si>
  <si>
    <t>MONTICELLO ST</t>
  </si>
  <si>
    <t xml:space="preserve">SNYDER MALCOLM J </t>
  </si>
  <si>
    <t>825 LINCOLN AVE</t>
  </si>
  <si>
    <t xml:space="preserve">SAGER ERICA </t>
  </si>
  <si>
    <t>6623 TENNIS ST</t>
  </si>
  <si>
    <t>TENNIS ST</t>
  </si>
  <si>
    <t xml:space="preserve">JOHNSON EUGENE J </t>
  </si>
  <si>
    <t>6622 LYRIC ST</t>
  </si>
  <si>
    <t>PO BOX 24049</t>
  </si>
  <si>
    <t>DAVENPORT PAUL  &amp; LOUISE (W)</t>
  </si>
  <si>
    <t>6613 TENNIS ST</t>
  </si>
  <si>
    <t>JOHN BURNETT</t>
  </si>
  <si>
    <t xml:space="preserve">MATHEWS BESSIE </t>
  </si>
  <si>
    <t>0 LYRIC ST</t>
  </si>
  <si>
    <t>E MCINTOSH RD</t>
  </si>
  <si>
    <t xml:space="preserve">6601 LYRIC ST TRUST </t>
  </si>
  <si>
    <t>6601 LYRIC ST</t>
  </si>
  <si>
    <t>PO BOX 242</t>
  </si>
  <si>
    <t xml:space="preserve">KEMPER ELLA B </t>
  </si>
  <si>
    <t>6605 LYRIC ST</t>
  </si>
  <si>
    <t>ENH PROPERTIES LP C/O</t>
  </si>
  <si>
    <t xml:space="preserve">GARNETT GERALDINE A </t>
  </si>
  <si>
    <t>6615 LYRIC ST</t>
  </si>
  <si>
    <t>GARNETT GERALDINE A</t>
  </si>
  <si>
    <t>LYRIC ST</t>
  </si>
  <si>
    <t xml:space="preserve">HENDRIX ETHEL </t>
  </si>
  <si>
    <t>6625 LYRIC ST</t>
  </si>
  <si>
    <t xml:space="preserve">PELLUMBI MARTIN </t>
  </si>
  <si>
    <t>20TH RD</t>
  </si>
  <si>
    <t xml:space="preserve">HENDERSON ROOSEVELT </t>
  </si>
  <si>
    <t>FUSARO JOAN  &amp; RICHARD WAYNE FUSARO</t>
  </si>
  <si>
    <t>6614 ROWAN ST</t>
  </si>
  <si>
    <t>KING JAMES  &amp; MARGARET A (W)</t>
  </si>
  <si>
    <t>ALLEGHENY VALLEY RAILROAD COMPANY</t>
  </si>
  <si>
    <t>0 E SIDE</t>
  </si>
  <si>
    <t>ALLEGHENY COUNTY RAILROAD COMPANY</t>
  </si>
  <si>
    <t xml:space="preserve">LYNCH KIM MARIE </t>
  </si>
  <si>
    <t>6741 DEARY ST</t>
  </si>
  <si>
    <t xml:space="preserve">PRYOR ANNETTE L </t>
  </si>
  <si>
    <t>6737 DEARY ST</t>
  </si>
  <si>
    <t xml:space="preserve">SIMPSON VERNON L JR &amp; RUTH                    </t>
  </si>
  <si>
    <t>6735 DEARY ST</t>
  </si>
  <si>
    <t>ANDREWS JAMES D &amp; KENNIE C HENDERSON</t>
  </si>
  <si>
    <t xml:space="preserve">BROADUS SHERYL L </t>
  </si>
  <si>
    <t xml:space="preserve">PERRY ARNOLD </t>
  </si>
  <si>
    <t>6702 DEARY ST</t>
  </si>
  <si>
    <t xml:space="preserve">PRINCE ALLEN </t>
  </si>
  <si>
    <t>6706 DEARY ST</t>
  </si>
  <si>
    <t>MARVEL HOLDINGS LLC</t>
  </si>
  <si>
    <t>6710 DEARY ST</t>
  </si>
  <si>
    <t>6712 DEARY ST</t>
  </si>
  <si>
    <t xml:space="preserve">SPIEKER HENRY H &amp; EMMA E </t>
  </si>
  <si>
    <t>ANDREWS JAMES  &amp; KENNIE (W)</t>
  </si>
  <si>
    <t>6728 DEARY ST</t>
  </si>
  <si>
    <t>6732 DEARY ST</t>
  </si>
  <si>
    <t xml:space="preserve">HATCHTER RICHARD II </t>
  </si>
  <si>
    <t>KENDON DR W</t>
  </si>
  <si>
    <t xml:space="preserve">DEHONNEY JAN </t>
  </si>
  <si>
    <t>6731 ROWAN ST</t>
  </si>
  <si>
    <t xml:space="preserve">KANE MAE EVE &amp; (SURV) </t>
  </si>
  <si>
    <t>6725 ROWAN ST</t>
  </si>
  <si>
    <t>KANE MAE EVE &amp; (SURV)</t>
  </si>
  <si>
    <t>GLORIOUS CHURCH OF  JESUS CHRIST (THE)</t>
  </si>
  <si>
    <t xml:space="preserve">PROCTOR JULIA T </t>
  </si>
  <si>
    <t xml:space="preserve">KANE MAE EVE </t>
  </si>
  <si>
    <t>6707 ROWAN ST</t>
  </si>
  <si>
    <t xml:space="preserve">COFFEY SAKERIA </t>
  </si>
  <si>
    <t>6703 ROWAN ST</t>
  </si>
  <si>
    <t>TAYLOR JOHN  &amp; VIRGINIA (W)</t>
  </si>
  <si>
    <t xml:space="preserve">COLE JAMES W </t>
  </si>
  <si>
    <t>6641 ROWAN ST</t>
  </si>
  <si>
    <t xml:space="preserve">HALISI INVESTMENTS INC </t>
  </si>
  <si>
    <t>1011 GRAPEVINE ST</t>
  </si>
  <si>
    <t>HALISI INVESTMENTS IN</t>
  </si>
  <si>
    <t>FAULKNER ST</t>
  </si>
  <si>
    <t>6639 ROWAN ST</t>
  </si>
  <si>
    <t>6637 ROWAN ST</t>
  </si>
  <si>
    <t xml:space="preserve">LEWIS RONALD M </t>
  </si>
  <si>
    <t>6633 ROWAN ST</t>
  </si>
  <si>
    <t>LEWIS RONALD M</t>
  </si>
  <si>
    <t>N FULLERTON AVE APT 8</t>
  </si>
  <si>
    <t>MONTCLAIR</t>
  </si>
  <si>
    <t xml:space="preserve">DEBRUCE EDWARD </t>
  </si>
  <si>
    <t>PENN EVELYN  &amp; HOWARD H PENN</t>
  </si>
  <si>
    <t>AORRAINE BROOKS</t>
  </si>
  <si>
    <t xml:space="preserve">SOLOMON THOMAS </t>
  </si>
  <si>
    <t>LANDRY JR &amp; ASSOCIATES LLC</t>
  </si>
  <si>
    <t>6710 ROWAN ST</t>
  </si>
  <si>
    <t>LANDRY JR &amp; ASSOCIATE</t>
  </si>
  <si>
    <t>PO BOX 62190</t>
  </si>
  <si>
    <t xml:space="preserve">RECTOR RHONDA </t>
  </si>
  <si>
    <t>6716 ROWAN ST</t>
  </si>
  <si>
    <t xml:space="preserve">TRINITY FINANCIAL INC </t>
  </si>
  <si>
    <t>915 LINCOLN AVE</t>
  </si>
  <si>
    <t>PO BOX 17658</t>
  </si>
  <si>
    <t>S&amp; S MGMT &amp; LANDSCAPING LLC</t>
  </si>
  <si>
    <t>911 LINCOLN AVE</t>
  </si>
  <si>
    <t>S&amp;S MGMT &amp; LANDSCAPIN</t>
  </si>
  <si>
    <t>BURTON DR</t>
  </si>
  <si>
    <t>907 LINCOLN AVE</t>
  </si>
  <si>
    <t xml:space="preserve">PAYNE DOROTHY J </t>
  </si>
  <si>
    <t>6703 LYRIC ST</t>
  </si>
  <si>
    <t xml:space="preserve">C E M S REMODELING </t>
  </si>
  <si>
    <t xml:space="preserve">LINS JOHN CHRISTOPHER </t>
  </si>
  <si>
    <t>WABASH BLVD</t>
  </si>
  <si>
    <t xml:space="preserve">WARE WILLIAM E &amp; EUNICE </t>
  </si>
  <si>
    <t xml:space="preserve">HOLMES MORINE </t>
  </si>
  <si>
    <t xml:space="preserve">SMALLS DAVID </t>
  </si>
  <si>
    <t>SMALLS DAVID</t>
  </si>
  <si>
    <t>OSPREY CIR</t>
  </si>
  <si>
    <t>LAFAYETTE</t>
  </si>
  <si>
    <t>SMALLS DAVID  &amp; THERESA L</t>
  </si>
  <si>
    <t>809 LAXTON ST</t>
  </si>
  <si>
    <t>SMALLS DAVID  &amp; THERE</t>
  </si>
  <si>
    <t>OSPREY CT</t>
  </si>
  <si>
    <t xml:space="preserve">HOLMES JAMES  &amp; FLORINE </t>
  </si>
  <si>
    <t>6830 LYRIC ST</t>
  </si>
  <si>
    <t>JONES EDWARD E II &amp; KAREN H (W)</t>
  </si>
  <si>
    <t>6828 LYRIC ST</t>
  </si>
  <si>
    <t xml:space="preserve">YATES JOSEPH </t>
  </si>
  <si>
    <t>6824 LYRIC ST</t>
  </si>
  <si>
    <t>SYCAMORE DR</t>
  </si>
  <si>
    <t xml:space="preserve">BELL SHONTAE </t>
  </si>
  <si>
    <t>6820 LYRIC ST</t>
  </si>
  <si>
    <t>BELL SHONTAE</t>
  </si>
  <si>
    <t>WURZELL AVE</t>
  </si>
  <si>
    <t xml:space="preserve">JACKSON KESHA M </t>
  </si>
  <si>
    <t>6812 LYRIC ST</t>
  </si>
  <si>
    <t>FORBES RD</t>
  </si>
  <si>
    <t xml:space="preserve">BURKE BENJAMIN  &amp; EMMA </t>
  </si>
  <si>
    <t>820 LINCOLN AVE</t>
  </si>
  <si>
    <t xml:space="preserve">POINDEXTER SHAWN </t>
  </si>
  <si>
    <t>LYRIC ST APT 1</t>
  </si>
  <si>
    <t>6825 LYRIC ST</t>
  </si>
  <si>
    <t xml:space="preserve">WILLIAMS BILLY E </t>
  </si>
  <si>
    <t>6827 LYRIC ST</t>
  </si>
  <si>
    <t xml:space="preserve">SMITH DONTAE M                                  </t>
  </si>
  <si>
    <t>915 LAXTON ST</t>
  </si>
  <si>
    <t>SMITH DONTAE M</t>
  </si>
  <si>
    <t>LAXTON ST</t>
  </si>
  <si>
    <t xml:space="preserve">PRENTICE GRANISON                               </t>
  </si>
  <si>
    <t>900 LAXTON ST</t>
  </si>
  <si>
    <t>RAPHA MINISTRIES OF THE APOSTOLIC FAITH</t>
  </si>
  <si>
    <t>0 UPLAND ST</t>
  </si>
  <si>
    <t>PO BOX 81026</t>
  </si>
  <si>
    <t xml:space="preserve">YOUNG VICTORIA L </t>
  </si>
  <si>
    <t>6932 MOUNT VERNON ST</t>
  </si>
  <si>
    <t>MT VERNON ST</t>
  </si>
  <si>
    <t>1401 N MURTLAND ST</t>
  </si>
  <si>
    <t xml:space="preserve">JORDAN TRACIE E </t>
  </si>
  <si>
    <t>6957 MOUNT VERNON ST</t>
  </si>
  <si>
    <t xml:space="preserve">MCCREE JEROME </t>
  </si>
  <si>
    <t>6939 MOUNT VERNON ST</t>
  </si>
  <si>
    <t>CHALFONT ST</t>
  </si>
  <si>
    <t>MONCRIEF HYACINTH P &amp; CLIFFORD J OTTEY</t>
  </si>
  <si>
    <t>6933 MOUNT VERNON ST</t>
  </si>
  <si>
    <t>MOUNT VERNON ST</t>
  </si>
  <si>
    <t xml:space="preserve">RLH HOLDINGS INC </t>
  </si>
  <si>
    <t>FORMOSA WAY</t>
  </si>
  <si>
    <t>MCCOY ONEAL MC COY IRVIN</t>
  </si>
  <si>
    <t>6956 UPLAND ST</t>
  </si>
  <si>
    <t>IRVIN MC COY</t>
  </si>
  <si>
    <t>UPLAND ST</t>
  </si>
  <si>
    <t xml:space="preserve">WASHINGTON ANNIE BELL </t>
  </si>
  <si>
    <t>VANILLA WAY</t>
  </si>
  <si>
    <t xml:space="preserve">HARRIS NATHAN </t>
  </si>
  <si>
    <t>1006 LINCOLN AVE</t>
  </si>
  <si>
    <t>EVANDALE RD</t>
  </si>
  <si>
    <t xml:space="preserve">ALLAN ALBENOUS </t>
  </si>
  <si>
    <t>THON DR</t>
  </si>
  <si>
    <t xml:space="preserve">JOHNSON SAM </t>
  </si>
  <si>
    <t xml:space="preserve">WORTHY ERIC &amp; AMBER (W) </t>
  </si>
  <si>
    <t>6904 CHAUCER ST</t>
  </si>
  <si>
    <t>ELM ST</t>
  </si>
  <si>
    <t xml:space="preserve">HUGHES KENNETH R </t>
  </si>
  <si>
    <t>6918 CHAUCER ST</t>
  </si>
  <si>
    <t>CHAUCER ST</t>
  </si>
  <si>
    <t xml:space="preserve">MARTIN CLINT </t>
  </si>
  <si>
    <t>1100 LINCOLN AVE</t>
  </si>
  <si>
    <t>RIVER ST APT 388</t>
  </si>
  <si>
    <t>LITTLE FERRY</t>
  </si>
  <si>
    <t xml:space="preserve">MOON ARNOLD </t>
  </si>
  <si>
    <t>LOS GATOS ALMADEN RD</t>
  </si>
  <si>
    <t>1114 LINCOLN AVE</t>
  </si>
  <si>
    <t>OCASO AVE</t>
  </si>
  <si>
    <t>LA MIRADA</t>
  </si>
  <si>
    <t>TYLER PATRICIA THOMAS OZELL</t>
  </si>
  <si>
    <t>6494 FRANKSTOWN AVE</t>
  </si>
  <si>
    <t>FINLEY ST</t>
  </si>
  <si>
    <t xml:space="preserve">STAGNO BAKERY INC </t>
  </si>
  <si>
    <t xml:space="preserve">STAGNO'S BAKERY INC </t>
  </si>
  <si>
    <t>EAST LIBERTY</t>
  </si>
  <si>
    <t xml:space="preserve">HUMPHRIES KELLI A </t>
  </si>
  <si>
    <t>309 MAYFLOWER ST</t>
  </si>
  <si>
    <t>SPRINGDALE DR</t>
  </si>
  <si>
    <t xml:space="preserve">VANDIVER STEPHEN M </t>
  </si>
  <si>
    <t xml:space="preserve">HOWARD ALEXIS </t>
  </si>
  <si>
    <t>230 CARVER ST</t>
  </si>
  <si>
    <t>PO BOX 5203</t>
  </si>
  <si>
    <t xml:space="preserve">ATTE CAROLIE E </t>
  </si>
  <si>
    <t>241 MAYFLOWER ST</t>
  </si>
  <si>
    <t xml:space="preserve">RAINEV ADRIENNE MURRAY &amp; MAJOR                  </t>
  </si>
  <si>
    <t>229 MAYFLOWER ST</t>
  </si>
  <si>
    <t>WALLACE JOHN &amp; BARBARA (W)</t>
  </si>
  <si>
    <t>221 MAYFLOWER ST</t>
  </si>
  <si>
    <t>228 MAYFLOWER ST</t>
  </si>
  <si>
    <t xml:space="preserve">STAGNOS BAKERY INC </t>
  </si>
  <si>
    <t>234 MAYFLOWER ST</t>
  </si>
  <si>
    <t>STAGNOS BAKERY INC</t>
  </si>
  <si>
    <t>PO BOX 5254</t>
  </si>
  <si>
    <t>233 AUBURN ST</t>
  </si>
  <si>
    <t>STAGNO'S BAKERY INC</t>
  </si>
  <si>
    <t xml:space="preserve">204 AUBURN STREET  ASSOCIATES LLC          </t>
  </si>
  <si>
    <t>204 AUBURN ST</t>
  </si>
  <si>
    <t>1ST SUMMIT BANK</t>
  </si>
  <si>
    <t>DONALD LN BOX 5480</t>
  </si>
  <si>
    <t>250 PAULSON AVE</t>
  </si>
  <si>
    <t>0 AUBURN ST</t>
  </si>
  <si>
    <t>GREYHOUND FRANKSTOWN  PETROLEUM COMPANY</t>
  </si>
  <si>
    <t>6481 FRANKSTOWN AVE</t>
  </si>
  <si>
    <t>0 FRANKSTOWN AVE</t>
  </si>
  <si>
    <t xml:space="preserve">FRANKSTOWN AVE LLC </t>
  </si>
  <si>
    <t>6453 FRANKSTOWN AVE</t>
  </si>
  <si>
    <t>PO BOX 90065</t>
  </si>
  <si>
    <t>6359 EAST LIBERTY BLVD</t>
  </si>
  <si>
    <t xml:space="preserve">DEVITO JOHN A </t>
  </si>
  <si>
    <t>166 AUBURN ST</t>
  </si>
  <si>
    <t xml:space="preserve">YOUNG JONATHAN                                  </t>
  </si>
  <si>
    <t>167 AUBURN ST</t>
  </si>
  <si>
    <t>YOUNG JONATHAN</t>
  </si>
  <si>
    <t xml:space="preserve">SIXTH ECONOMIC  EMPOWERMENT DEVELOPMENT </t>
  </si>
  <si>
    <t>6555 ARMSTRONG WAY</t>
  </si>
  <si>
    <t>DOLLAR BANK COMMERCIA</t>
  </si>
  <si>
    <t>PO BOX 1075</t>
  </si>
  <si>
    <t xml:space="preserve">EPPS LEE                                        </t>
  </si>
  <si>
    <t>601 LINCOLN AVE</t>
  </si>
  <si>
    <t xml:space="preserve">EPPS LEE &amp; ALCANTARA </t>
  </si>
  <si>
    <t>LINCOLN WAY</t>
  </si>
  <si>
    <t xml:space="preserve">REDDEN WILLIAM </t>
  </si>
  <si>
    <t>523 LINCOLN AVE</t>
  </si>
  <si>
    <t>PO BOX 8432</t>
  </si>
  <si>
    <t>511 LINCOLN AVE</t>
  </si>
  <si>
    <t>WORTHY ERIC &amp; AMBER (</t>
  </si>
  <si>
    <t>CURRINGTON FRANK E &amp; QUIANA D (W)</t>
  </si>
  <si>
    <t>6539 LLEWELLYN PL</t>
  </si>
  <si>
    <t>BLAIR ST</t>
  </si>
  <si>
    <t>LLOYD INA T &amp; CHAUNCEY M LLOYD</t>
  </si>
  <si>
    <t>6537 LLEWELLYN PL</t>
  </si>
  <si>
    <t>CHAUNCEY LLOYD</t>
  </si>
  <si>
    <t>LLEWELLYN PL</t>
  </si>
  <si>
    <t xml:space="preserve">AUSTIN MARKEILA </t>
  </si>
  <si>
    <t>6527 LLEWELLYN PL</t>
  </si>
  <si>
    <t>TILLMAN DERRICK &amp; NYKIA (W)</t>
  </si>
  <si>
    <t>6540 LLEWELLYN PL</t>
  </si>
  <si>
    <t>OSAGE DR</t>
  </si>
  <si>
    <t>URBAN ACADEMY OF  GREATER PITTSBURGH CHART</t>
  </si>
  <si>
    <t>URBAN ACADEMY OF GREA</t>
  </si>
  <si>
    <t>437 TURRETT ST</t>
  </si>
  <si>
    <t xml:space="preserve">GUERRERO JAIME </t>
  </si>
  <si>
    <t>512 LOWELL ST</t>
  </si>
  <si>
    <t>JAIME GUERRERO</t>
  </si>
  <si>
    <t xml:space="preserve">WHITE HELEN M                                   </t>
  </si>
  <si>
    <t>239 CARVER ST</t>
  </si>
  <si>
    <t xml:space="preserve">URBAN ACADEMY OF  GREATER PITTSBURGH CHAR </t>
  </si>
  <si>
    <t>308 CARVER ST</t>
  </si>
  <si>
    <t xml:space="preserve">JONES RACHEL L </t>
  </si>
  <si>
    <t>CEDAR HOLLOW LN</t>
  </si>
  <si>
    <t>GREENSBORO</t>
  </si>
  <si>
    <t xml:space="preserve">ST JAMES AFRICAN  METHODIST EPISCOPAL CHU </t>
  </si>
  <si>
    <t>TAYLOR LARYCE Y &amp; CORA A DANIELS</t>
  </si>
  <si>
    <t>6609 MEADOW ST</t>
  </si>
  <si>
    <t xml:space="preserve">FORBES CENTER REALTY  LLC                     </t>
  </si>
  <si>
    <t>AIRPORT RD STE 102</t>
  </si>
  <si>
    <t xml:space="preserve">BROWN JALYN REBECCA </t>
  </si>
  <si>
    <t>527 FINLEY ST</t>
  </si>
  <si>
    <t xml:space="preserve">FULTZ MONIQUE NICHOLE  (W)                     </t>
  </si>
  <si>
    <t>513 FINLEY ST</t>
  </si>
  <si>
    <t>511 FINLEY ST</t>
  </si>
  <si>
    <t>CUTRARY DANIEL C &amp; DANIEL CODY CUTRARY</t>
  </si>
  <si>
    <t>124 CONTINENTAL ST</t>
  </si>
  <si>
    <t>CUTRARY DANIEL C &amp; DA</t>
  </si>
  <si>
    <t>CONTINENTAL ST</t>
  </si>
  <si>
    <t xml:space="preserve">LE KEVIN </t>
  </si>
  <si>
    <t>611 LINCOLN AVE</t>
  </si>
  <si>
    <t>LE KEVIN</t>
  </si>
  <si>
    <t>S 6TH ST</t>
  </si>
  <si>
    <t>YOUNG NATHANIEL  &amp; FRANCES L (W)</t>
  </si>
  <si>
    <t>617 LINCOLN AVE</t>
  </si>
  <si>
    <t xml:space="preserve">ZEE HOMES LLC </t>
  </si>
  <si>
    <t>621 LINCOLN AVE</t>
  </si>
  <si>
    <t xml:space="preserve">ALLEN MARIE </t>
  </si>
  <si>
    <t>6556 LADSON ST</t>
  </si>
  <si>
    <t>JC PITTSBURGH  INVESTMENTS LLC</t>
  </si>
  <si>
    <t>633 LINCOLN AVE</t>
  </si>
  <si>
    <t>JC PITTSBURGH INVESTM</t>
  </si>
  <si>
    <t xml:space="preserve">BEAVERS DONNA ELAINE </t>
  </si>
  <si>
    <t>UPLAND TER</t>
  </si>
  <si>
    <t xml:space="preserve">ALLEN TOMILENA </t>
  </si>
  <si>
    <t>RENFREW ST</t>
  </si>
  <si>
    <t>WASHINGTON MARY &amp; EDWARD C HORNEZES (H)</t>
  </si>
  <si>
    <t xml:space="preserve">JONES BERNARD H JR </t>
  </si>
  <si>
    <t xml:space="preserve">PELMON FRANK III </t>
  </si>
  <si>
    <t>PELMON FRANK III</t>
  </si>
  <si>
    <t>SHETLAND ST</t>
  </si>
  <si>
    <t xml:space="preserve">PRESSLEY JACQUELYN R </t>
  </si>
  <si>
    <t>MOORE CHARLES  &amp; MARY MOORE</t>
  </si>
  <si>
    <t>844 INWOOD ST</t>
  </si>
  <si>
    <t>INWOOD ST</t>
  </si>
  <si>
    <t xml:space="preserve">FULLARD MICHAEL </t>
  </si>
  <si>
    <t>846 INWOOD ST</t>
  </si>
  <si>
    <t>DOGWOOD CT</t>
  </si>
  <si>
    <t>APOLLO</t>
  </si>
  <si>
    <t xml:space="preserve">MILES MARK </t>
  </si>
  <si>
    <t>848 INWOOD ST</t>
  </si>
  <si>
    <t xml:space="preserve">MOLNAR JOSZEF </t>
  </si>
  <si>
    <t>852 INWOOD ST</t>
  </si>
  <si>
    <t>WAUGH ST</t>
  </si>
  <si>
    <t xml:space="preserve">CURRIE KERMITT R                                </t>
  </si>
  <si>
    <t>854 INWOOD ST</t>
  </si>
  <si>
    <t>HARVEST DR</t>
  </si>
  <si>
    <t xml:space="preserve">MCDILL SAGER A </t>
  </si>
  <si>
    <t>860 INWOOD ST</t>
  </si>
  <si>
    <t>TRETOW ST</t>
  </si>
  <si>
    <t>YATES ROMIE JR &amp; DESIREE (W)</t>
  </si>
  <si>
    <t>889 INWOOD ST</t>
  </si>
  <si>
    <t>YATES ROMIE JR &amp; DESI</t>
  </si>
  <si>
    <t xml:space="preserve">SPRINGER CHRISTINA M </t>
  </si>
  <si>
    <t>857 INWOOD ST</t>
  </si>
  <si>
    <t xml:space="preserve">HODGES CAROLYN </t>
  </si>
  <si>
    <t>851 B INWOOD ST</t>
  </si>
  <si>
    <t>INWOOD ST APT B</t>
  </si>
  <si>
    <t>SNIPE RONALD J &amp; MARGIE (W)</t>
  </si>
  <si>
    <t>1013 BEECHER ST</t>
  </si>
  <si>
    <t>HERMITAGE ST</t>
  </si>
  <si>
    <t>SNIPE RONALD  &amp; MARGIE (W)</t>
  </si>
  <si>
    <t>0 BEECHER ST</t>
  </si>
  <si>
    <t xml:space="preserve">JOHNSON JENEE </t>
  </si>
  <si>
    <t>1027 BEECHER ST</t>
  </si>
  <si>
    <t>BEECHER ST</t>
  </si>
  <si>
    <t xml:space="preserve">CEPHAS DARRIN </t>
  </si>
  <si>
    <t>1023 GERRITT ST</t>
  </si>
  <si>
    <t>BILLY DR</t>
  </si>
  <si>
    <t xml:space="preserve">BELL TIM </t>
  </si>
  <si>
    <t>6946 MONTICELLO ST</t>
  </si>
  <si>
    <t xml:space="preserve">HILL CANDACE C </t>
  </si>
  <si>
    <t>1016 GERRITT ST</t>
  </si>
  <si>
    <t>CHURCH ST FL 1</t>
  </si>
  <si>
    <t>MOUNT PLEASANT</t>
  </si>
  <si>
    <t xml:space="preserve">SAMUELS CHARICE M </t>
  </si>
  <si>
    <t>6947 KEDRON ST</t>
  </si>
  <si>
    <t>IDLEWILD ST</t>
  </si>
  <si>
    <t xml:space="preserve">SANDIDGE AHMED </t>
  </si>
  <si>
    <t>0 KEDRON ST</t>
  </si>
  <si>
    <t>SANDIDGE AHMED</t>
  </si>
  <si>
    <t>6927 KEDRON ST</t>
  </si>
  <si>
    <t xml:space="preserve">TUCKER TAMARA </t>
  </si>
  <si>
    <t>6910 KEDRON ST</t>
  </si>
  <si>
    <t xml:space="preserve">JACKSON KEVIN </t>
  </si>
  <si>
    <t>6914 KEDRON ST</t>
  </si>
  <si>
    <t>JACKSON KEVIN</t>
  </si>
  <si>
    <t xml:space="preserve">EL W TAYLOR </t>
  </si>
  <si>
    <t>6922 KEDRON ST</t>
  </si>
  <si>
    <t>6926 KEDRON ST</t>
  </si>
  <si>
    <t xml:space="preserve">LAWRENCE JAMES  &amp; MAMIE </t>
  </si>
  <si>
    <t>6948 KEDRON ST</t>
  </si>
  <si>
    <t xml:space="preserve">DIGGS ROBIN B </t>
  </si>
  <si>
    <t>1205 N MURTLAND ST</t>
  </si>
  <si>
    <t>N MURTLAND ST</t>
  </si>
  <si>
    <t xml:space="preserve">STEVENSON DEBRA </t>
  </si>
  <si>
    <t>6957 HERMITAGE ST</t>
  </si>
  <si>
    <t xml:space="preserve">KADHEM ALHUMAED AHMED </t>
  </si>
  <si>
    <t>6740 ATWELL ST</t>
  </si>
  <si>
    <t xml:space="preserve">ENTERPRISE STREET LLC                           </t>
  </si>
  <si>
    <t>0 ENTERPRISE ST</t>
  </si>
  <si>
    <t>TAX INVESTMENT MANAGE</t>
  </si>
  <si>
    <t>PARK AVE S FL 11</t>
  </si>
  <si>
    <t xml:space="preserve">ENTERPRISE STREET LLC </t>
  </si>
  <si>
    <t>6503 HAMILTON AVE LLC    ETAL</t>
  </si>
  <si>
    <t>65015 HAMILTON AVE</t>
  </si>
  <si>
    <t>6503 HAMILTON AVE LLC</t>
  </si>
  <si>
    <t xml:space="preserve">PROPERTIES NICE INC </t>
  </si>
  <si>
    <t>6516 FRANKSTOWN AVE</t>
  </si>
  <si>
    <t xml:space="preserve">JOHNSON JOHN E </t>
  </si>
  <si>
    <t>6542 FRANKSTOWN AVE</t>
  </si>
  <si>
    <t>MOUNT CARMEL RD</t>
  </si>
  <si>
    <t xml:space="preserve">FLORA SINENSIS LLC </t>
  </si>
  <si>
    <t>6546 FRANKSTOWN AVE</t>
  </si>
  <si>
    <t>ELYSIAN ST</t>
  </si>
  <si>
    <t>CALLOWAY ULNA  &amp; URSULA (W)</t>
  </si>
  <si>
    <t>0 PUTNAM ST</t>
  </si>
  <si>
    <t>CALLOWAY ULNA  &amp; URSU</t>
  </si>
  <si>
    <t>OAKVILLE DR APT 1A</t>
  </si>
  <si>
    <t xml:space="preserve">DORSETT GLORIA </t>
  </si>
  <si>
    <t>6554 FRANKSTOWN AVE</t>
  </si>
  <si>
    <t>AG PLUMBING AND HEATING  LLC</t>
  </si>
  <si>
    <t>6564 FRANKSTOWN AVE</t>
  </si>
  <si>
    <t>AG PLUMBING AND HEATI</t>
  </si>
  <si>
    <t xml:space="preserve">APT OF PITTSBURGH L P </t>
  </si>
  <si>
    <t>6437 DAHLEM PL</t>
  </si>
  <si>
    <t>PHOENIX  TOWER LLC</t>
  </si>
  <si>
    <t>YAMATO RD STE 100</t>
  </si>
  <si>
    <t>BOCA RATON</t>
  </si>
  <si>
    <t>SILVERIO-HOFFMAN HOLDINGS LLC</t>
  </si>
  <si>
    <t>0 JULIUS ST</t>
  </si>
  <si>
    <t>SILVERIO-HOFFMAN HOLD</t>
  </si>
  <si>
    <t>S HOMEWOOD AVE</t>
  </si>
  <si>
    <t xml:space="preserve">TORRENS STREET PARTNERS  LLC                     </t>
  </si>
  <si>
    <t>131 TORRENS ST</t>
  </si>
  <si>
    <t>ICON GOLDEN MILE PART</t>
  </si>
  <si>
    <t>THOMAS BLVD STE 100</t>
  </si>
  <si>
    <t xml:space="preserve">JJ HAM LLC </t>
  </si>
  <si>
    <t>6601 HAMILTON AVE</t>
  </si>
  <si>
    <t xml:space="preserve">ICON KELLY STREET  PARTNERS LLC            </t>
  </si>
  <si>
    <t>6601 KELLY ST</t>
  </si>
  <si>
    <t>MANIYAR PRAKASH G &amp; DARSHANA P (W)</t>
  </si>
  <si>
    <t>6936 5TH AVE</t>
  </si>
  <si>
    <t>MANIYAR PRAKASH G &amp; D</t>
  </si>
  <si>
    <t>MUIRFIELD CIR</t>
  </si>
  <si>
    <t>PRESTO</t>
  </si>
  <si>
    <t xml:space="preserve">FORBES CORPORATE CENTER  LLC                     </t>
  </si>
  <si>
    <t>500 FINLEY ST</t>
  </si>
  <si>
    <t>FORBES CORPORATE CENT</t>
  </si>
  <si>
    <t>6655 FRANKSTOWN AVE</t>
  </si>
  <si>
    <t>AIR PORT RD STE 102</t>
  </si>
  <si>
    <t>117 FINLEY ST</t>
  </si>
  <si>
    <t xml:space="preserve">CLAYTON RENEE </t>
  </si>
  <si>
    <t>111 FINLEY ST</t>
  </si>
  <si>
    <t xml:space="preserve">HOQUE AMIRUL </t>
  </si>
  <si>
    <t>111 CONTINENTAL ST</t>
  </si>
  <si>
    <t>109 CONTINENTAL ST</t>
  </si>
  <si>
    <t xml:space="preserve">PLOWDEN LEON B &amp; MARY E </t>
  </si>
  <si>
    <t>6597 FRANKSTOWN AVE</t>
  </si>
  <si>
    <t>MARY PLOWDEN</t>
  </si>
  <si>
    <t>6597 1/2 FRANKSTOWN AVE</t>
  </si>
  <si>
    <t xml:space="preserve">FULTON VINCENT </t>
  </si>
  <si>
    <t>6595 FRANKSTOWN AVE</t>
  </si>
  <si>
    <t>FULTON VINCENT</t>
  </si>
  <si>
    <t xml:space="preserve">MOSS FITZROY E </t>
  </si>
  <si>
    <t>6593 FRANKSTOWN AVE</t>
  </si>
  <si>
    <t>6714 KELLY ST</t>
  </si>
  <si>
    <t>MANN LATHAM  &amp; VIRGINIA (W)</t>
  </si>
  <si>
    <t>6730 KELLY ST</t>
  </si>
  <si>
    <t>KELLY ST</t>
  </si>
  <si>
    <t xml:space="preserve">POLK ROBERT </t>
  </si>
  <si>
    <t>6829 KELLY ST</t>
  </si>
  <si>
    <t>FAVOR LOLENE M &amp; BAILEY CARSWELL</t>
  </si>
  <si>
    <t>0 KELLY ST</t>
  </si>
  <si>
    <t xml:space="preserve">REED GARRICK </t>
  </si>
  <si>
    <t>6821 KELLY ST</t>
  </si>
  <si>
    <t>BRUSHTON AVE</t>
  </si>
  <si>
    <t xml:space="preserve">AL MANZIL REALTY LLC </t>
  </si>
  <si>
    <t>6906 BENNETT ST</t>
  </si>
  <si>
    <t>MAC DUFF CT</t>
  </si>
  <si>
    <t>6908 BENNETT ST</t>
  </si>
  <si>
    <t>MACDUFF CT</t>
  </si>
  <si>
    <t xml:space="preserve">FUGET CHRISTOPHER </t>
  </si>
  <si>
    <t>6837 FRANKSTOWN AVE</t>
  </si>
  <si>
    <t>CHRISTOPHER FUGET</t>
  </si>
  <si>
    <t>HUMPHREY JAMES C &amp; JANICE C SMITH</t>
  </si>
  <si>
    <t>842 INWOOD ST</t>
  </si>
  <si>
    <t xml:space="preserve">HERRING JAMES E </t>
  </si>
  <si>
    <t>840 INWOOD ST</t>
  </si>
  <si>
    <t xml:space="preserve">HERRING JAMES </t>
  </si>
  <si>
    <t>838 INWOOD ST</t>
  </si>
  <si>
    <t xml:space="preserve">SPELLS TIA J </t>
  </si>
  <si>
    <t>830 INWOOD ST</t>
  </si>
  <si>
    <t>MOORE CHARLES  &amp; MARY (W)</t>
  </si>
  <si>
    <t>0 MCCOMBS ST</t>
  </si>
  <si>
    <t xml:space="preserve">HICKS JAMAL D </t>
  </si>
  <si>
    <t>818 MCCOMBS ST</t>
  </si>
  <si>
    <t>MCCOMBS ST</t>
  </si>
  <si>
    <t xml:space="preserve">EARLEY HENRY </t>
  </si>
  <si>
    <t>811 MCCOMBS ST</t>
  </si>
  <si>
    <t>COSTON CHARLES E &amp; AGNES B (W)</t>
  </si>
  <si>
    <t>6827 FRANKSTOWN AVE</t>
  </si>
  <si>
    <t>COSTON CHARLES E &amp; AG</t>
  </si>
  <si>
    <t>Frankstown Avenue AVE</t>
  </si>
  <si>
    <t>Pittsburgh</t>
  </si>
  <si>
    <t>GOOD SHEPHERD HOUSE OF  HOSPITALITY INC ( THE)</t>
  </si>
  <si>
    <t>0 INWOOD ST</t>
  </si>
  <si>
    <t>GOOD SHEPHERD HOUSE O</t>
  </si>
  <si>
    <t xml:space="preserve">WESTON PAUL DAVID </t>
  </si>
  <si>
    <t>849 INWOOD ST</t>
  </si>
  <si>
    <t>RIDGEWOOD DR</t>
  </si>
  <si>
    <t>HUC ONE LLC              ETAL</t>
  </si>
  <si>
    <t>837 INWOOD ST</t>
  </si>
  <si>
    <t xml:space="preserve">BETHOME APTS LLC                                </t>
  </si>
  <si>
    <t>835 INWOOD ST</t>
  </si>
  <si>
    <t>BETHOME APTS LLC JONA</t>
  </si>
  <si>
    <t>CRADDOCK ELMER  &amp; CHARLENE (W)</t>
  </si>
  <si>
    <t>811 INWOOD ST</t>
  </si>
  <si>
    <t xml:space="preserve">POLLARD SANDRA </t>
  </si>
  <si>
    <t>805 INWOOD ST</t>
  </si>
  <si>
    <t xml:space="preserve">BEY ROBERT LEE </t>
  </si>
  <si>
    <t>6819 FRANKSTOWN AVE</t>
  </si>
  <si>
    <t xml:space="preserve">BARGER KARLA J </t>
  </si>
  <si>
    <t>6817 FRANKSTOWN AVE</t>
  </si>
  <si>
    <t xml:space="preserve">GERBER KERRY DENNIS                             </t>
  </si>
  <si>
    <t>0 SWEENEY PL</t>
  </si>
  <si>
    <t>W AVENUE J12</t>
  </si>
  <si>
    <t xml:space="preserve">PENNSYLVANIA LINES                              </t>
  </si>
  <si>
    <t>0 BRILLIANT DR</t>
  </si>
  <si>
    <t xml:space="preserve">JOHNSON AMIR R </t>
  </si>
  <si>
    <t>6735 FRANKSTOWN AVE</t>
  </si>
  <si>
    <t xml:space="preserve">PETTY T J </t>
  </si>
  <si>
    <t>6731 FRANKSTOWN AVE</t>
  </si>
  <si>
    <t>RIDGEVIEW AVE</t>
  </si>
  <si>
    <t xml:space="preserve">PENNY ANNA </t>
  </si>
  <si>
    <t>6729 FRANKSTOWN AVE</t>
  </si>
  <si>
    <t xml:space="preserve">REPAIR REMODEL &amp; MAINTAIN                </t>
  </si>
  <si>
    <t>6725 FRANKSTOWN AVE</t>
  </si>
  <si>
    <t>REPAIR REMODEL &amp; MAIN</t>
  </si>
  <si>
    <t>COPELAND WAY STE 131</t>
  </si>
  <si>
    <t xml:space="preserve">WALKER WILLIAM E </t>
  </si>
  <si>
    <t>6723 FRANKSTOWN AVE</t>
  </si>
  <si>
    <t xml:space="preserve">SG II REALTY SHELL LLC </t>
  </si>
  <si>
    <t>6701 FRANKSTOWN AVE</t>
  </si>
  <si>
    <t xml:space="preserve">PRESSLEY MARION </t>
  </si>
  <si>
    <t>808 WASHINGTON BLVD</t>
  </si>
  <si>
    <t>0 GERRITT ST</t>
  </si>
  <si>
    <t>6935 FRANKSTOWN AVE</t>
  </si>
  <si>
    <t>1001 BEECHER ST</t>
  </si>
  <si>
    <t xml:space="preserve">SNIPE RONALD JAMES </t>
  </si>
  <si>
    <t>1003 BEECHER ST</t>
  </si>
  <si>
    <t xml:space="preserve">PIERSON EVA ANN </t>
  </si>
  <si>
    <t xml:space="preserve">KELLY HAMILTON APTS LLC                         </t>
  </si>
  <si>
    <t>904 GERRITT ST</t>
  </si>
  <si>
    <t>KELLY HAMILTON APTS L</t>
  </si>
  <si>
    <t xml:space="preserve">GILLESPIE VIOLA </t>
  </si>
  <si>
    <t>6923 BENNETT ST</t>
  </si>
  <si>
    <t>BOSS BEECH 1984 LLC      ETAL</t>
  </si>
  <si>
    <t>6927 BENNETT ST</t>
  </si>
  <si>
    <t>BOSS BEECH 1984 LLC M</t>
  </si>
  <si>
    <t>PO BOX 113</t>
  </si>
  <si>
    <t>EAST PITTSBURG</t>
  </si>
  <si>
    <t xml:space="preserve">BROWN LULA M </t>
  </si>
  <si>
    <t>6935 BENNETT ST</t>
  </si>
  <si>
    <t>BROWN LULA M</t>
  </si>
  <si>
    <t>ROSS GARDEN RD</t>
  </si>
  <si>
    <t>6939 BENNETT ST</t>
  </si>
  <si>
    <t>6943 BENNETT ST</t>
  </si>
  <si>
    <t xml:space="preserve">GPIF PITTSBURGH HOTEL  OWNER LLC               </t>
  </si>
  <si>
    <t>6425 PENN AVE</t>
  </si>
  <si>
    <t xml:space="preserve">BEJIDE MAYOWA </t>
  </si>
  <si>
    <t>6725 HAMILTON AVE</t>
  </si>
  <si>
    <t xml:space="preserve">NICHOLS MARLISSA ANN </t>
  </si>
  <si>
    <t>6719 HAMILTON AVE</t>
  </si>
  <si>
    <t>NICHOLS MARLISSA ANN</t>
  </si>
  <si>
    <t>PO BOX 5381</t>
  </si>
  <si>
    <t>WOODBRIDGE</t>
  </si>
  <si>
    <t xml:space="preserve">GOINS ANN M </t>
  </si>
  <si>
    <t>701 N DALLAS AVE</t>
  </si>
  <si>
    <t xml:space="preserve">ACRIE RON JR </t>
  </si>
  <si>
    <t>705 N DALLAS AVE</t>
  </si>
  <si>
    <t>MCCUNE ROBERT  &amp; THELMA (W)</t>
  </si>
  <si>
    <t>6911 KELLY ST</t>
  </si>
  <si>
    <t xml:space="preserve">SOWELL APRIL M </t>
  </si>
  <si>
    <t>6914 KELLY ST</t>
  </si>
  <si>
    <t xml:space="preserve">YORK HENRY  &amp; ROSA (W) </t>
  </si>
  <si>
    <t>6912 KELLY ST</t>
  </si>
  <si>
    <t xml:space="preserve">THOMAS ELIJAH III </t>
  </si>
  <si>
    <t>6910 KELLY ST</t>
  </si>
  <si>
    <t>TRINITY TEMPLE CHURCH  INC</t>
  </si>
  <si>
    <t>6908 KELLY ST</t>
  </si>
  <si>
    <t>TRINITY TEMPLE CHURCH</t>
  </si>
  <si>
    <t>6836 KELLY ST</t>
  </si>
  <si>
    <t xml:space="preserve">CROMWELL PROPERTIES LLC </t>
  </si>
  <si>
    <t>617 N DALLAS AVE</t>
  </si>
  <si>
    <t>BRIDGEWAY CAPITAL INC</t>
  </si>
  <si>
    <t>GRANT ST STE 1920</t>
  </si>
  <si>
    <t>6832 KELLY ST</t>
  </si>
  <si>
    <t>6828 KELLY ST</t>
  </si>
  <si>
    <t xml:space="preserve">SPRINT BUS &amp; TRANSIT INC </t>
  </si>
  <si>
    <t xml:space="preserve">FULTON ROMAINE </t>
  </si>
  <si>
    <t>6736 KELLY ST</t>
  </si>
  <si>
    <t xml:space="preserve">JOHNSON KIRK </t>
  </si>
  <si>
    <t>612 LASCHALL ST</t>
  </si>
  <si>
    <t>TURNWOOD LN</t>
  </si>
  <si>
    <t xml:space="preserve">BETHESDA WILKINSBURG  APTS LLC                </t>
  </si>
  <si>
    <t>6917 HAMILTON AVE</t>
  </si>
  <si>
    <t>6954 BENNETT ST</t>
  </si>
  <si>
    <t>711 N MURTLAND ST</t>
  </si>
  <si>
    <t>6955 FLEURY WAY</t>
  </si>
  <si>
    <t xml:space="preserve">LILLY ELLIS </t>
  </si>
  <si>
    <t>ORANGE ST</t>
  </si>
  <si>
    <t>NATIONAL CITY</t>
  </si>
  <si>
    <t xml:space="preserve">ELLIS F LILLY </t>
  </si>
  <si>
    <t>TYLER AARON L &amp; MILDRED (W)</t>
  </si>
  <si>
    <t>6935 KELLY ST</t>
  </si>
  <si>
    <t>TYLER AARON L &amp; MILDR</t>
  </si>
  <si>
    <t>6937 KELLY ST</t>
  </si>
  <si>
    <t xml:space="preserve">SANFORD PROVIN </t>
  </si>
  <si>
    <t>6943 KELLY ST</t>
  </si>
  <si>
    <t xml:space="preserve">GOOD WILLIAM J </t>
  </si>
  <si>
    <t>6949 KELLY ST</t>
  </si>
  <si>
    <t>PO BOX 11071</t>
  </si>
  <si>
    <t>6944 KELLY ST</t>
  </si>
  <si>
    <t xml:space="preserve">PICKENS NELLIE L </t>
  </si>
  <si>
    <t>6942 KELLY ST</t>
  </si>
  <si>
    <t xml:space="preserve">FISHER JOHNSON PHYLLIS </t>
  </si>
  <si>
    <t>6932 KELLY ST</t>
  </si>
  <si>
    <t>0 FORMOSA WAY</t>
  </si>
  <si>
    <t>6957 HAMILTON AVE</t>
  </si>
  <si>
    <t>ANIMAL RESCUE LEAGUE OF  ETAL</t>
  </si>
  <si>
    <t>529 N MURTLAND ST</t>
  </si>
  <si>
    <t xml:space="preserve">ANIMAL RESCUE LEAGUE </t>
  </si>
  <si>
    <t>0 HAMILTON AVE</t>
  </si>
  <si>
    <t xml:space="preserve">CHATHAM UNIVERSITY </t>
  </si>
  <si>
    <t>6565 PENN AVE</t>
  </si>
  <si>
    <t>0 FREEPORT RD</t>
  </si>
  <si>
    <t>0 HILLSIDE</t>
  </si>
  <si>
    <t>CEDAR WAY STE 100</t>
  </si>
  <si>
    <t>7180 HIGHLAND DR</t>
  </si>
  <si>
    <t>CITY OF PITTSBURGH</t>
  </si>
  <si>
    <t xml:space="preserve">MCDANIEL ROGER H </t>
  </si>
  <si>
    <t>7135 VERONA BLVD</t>
  </si>
  <si>
    <t>VERONA BLVD</t>
  </si>
  <si>
    <t>0 VERONA BLVD</t>
  </si>
  <si>
    <t>7125 VERONA BLVD</t>
  </si>
  <si>
    <t xml:space="preserve">HAMM CAROLYN C </t>
  </si>
  <si>
    <t>130 BROADCREST DR</t>
  </si>
  <si>
    <t>BROADCREST DR</t>
  </si>
  <si>
    <t xml:space="preserve">GREEN RAYNETTA </t>
  </si>
  <si>
    <t>144 BROADCREST DR</t>
  </si>
  <si>
    <t xml:space="preserve">HENDERSON DIANE                                 </t>
  </si>
  <si>
    <t>150 BROADCREST DR</t>
  </si>
  <si>
    <t>6954 LEMINGTON AVE</t>
  </si>
  <si>
    <t xml:space="preserve">KING WILLIAM D </t>
  </si>
  <si>
    <t>6958 LEMINGTON AVE</t>
  </si>
  <si>
    <t xml:space="preserve">HAYES JAMES W &amp; NAOMI M </t>
  </si>
  <si>
    <t>6965 LEMINGTON AVE</t>
  </si>
  <si>
    <t>ISAIAH SAMUEL JR &amp; BLANCHE V (W)</t>
  </si>
  <si>
    <t>6961 LEMINGTON AVE</t>
  </si>
  <si>
    <t xml:space="preserve">MARTIN CORNELIUS </t>
  </si>
  <si>
    <t>0 CHURCHLAND ST</t>
  </si>
  <si>
    <t xml:space="preserve">THOMPSON MELINDA ANN </t>
  </si>
  <si>
    <t>6912 CHURCHLAND ST</t>
  </si>
  <si>
    <t>CHURCHLAND ST</t>
  </si>
  <si>
    <t xml:space="preserve">MOORE ASHLEY                                    </t>
  </si>
  <si>
    <t>6935 CHURCHLAND ST</t>
  </si>
  <si>
    <t>MOORE ASHLEY &amp; LELAND</t>
  </si>
  <si>
    <t>ROBERTS DONNA  &amp; TERRY LEIGH ROBERTS (H)</t>
  </si>
  <si>
    <t>6927 CHURCHLAND ST</t>
  </si>
  <si>
    <t xml:space="preserve">HILL ANNETTE ANTHONY </t>
  </si>
  <si>
    <t>6925 CHURCHLAND ST</t>
  </si>
  <si>
    <t>STERRETT ST</t>
  </si>
  <si>
    <t>CAREY MELVIN W SR &amp; MARY E (W)</t>
  </si>
  <si>
    <t>6923 CHURCHLAND ST</t>
  </si>
  <si>
    <t>CAREY MELVIN W SR &amp; M</t>
  </si>
  <si>
    <t>PO BOX 99521</t>
  </si>
  <si>
    <t xml:space="preserve">FOX DONNA J CRAIGHEAD </t>
  </si>
  <si>
    <t>6915 CHURCHLAND ST</t>
  </si>
  <si>
    <t xml:space="preserve">BONNER LEONARD J </t>
  </si>
  <si>
    <t>6913 CHURCHLAND ST</t>
  </si>
  <si>
    <t xml:space="preserve">ALLEN NORMA J </t>
  </si>
  <si>
    <t>6909 CHURCHLAND ST</t>
  </si>
  <si>
    <t>KELKER ST</t>
  </si>
  <si>
    <t xml:space="preserve">PATTERSON HELEN </t>
  </si>
  <si>
    <t>0 WILTSIE ST</t>
  </si>
  <si>
    <t>PO BOX 91098</t>
  </si>
  <si>
    <t>DURHAM WILLARD A &amp; LYDIA ALLEN</t>
  </si>
  <si>
    <t>DELIGHTFUL DEVELOPMENT  LLC</t>
  </si>
  <si>
    <t>6948 WILTSIE ST</t>
  </si>
  <si>
    <t>DELIGHTFUL DEVELOPMEN</t>
  </si>
  <si>
    <t>HOOVER JAMES J &amp; JOSEPH G PALUMBO</t>
  </si>
  <si>
    <t>0 RALSTON PL</t>
  </si>
  <si>
    <t>HOUSING AND URBAN  DEVELOPMENT</t>
  </si>
  <si>
    <t>HOUSING AND URBAN DEV</t>
  </si>
  <si>
    <t>E PENN SQ STE 1005S</t>
  </si>
  <si>
    <t>WASHINGTON LARRY S &amp; PAGEEN B (W)</t>
  </si>
  <si>
    <t>6945 WILTSIE ST</t>
  </si>
  <si>
    <t>WILTSIE ST</t>
  </si>
  <si>
    <t xml:space="preserve">WOODS ANTHONY </t>
  </si>
  <si>
    <t>6941 WILTSIE ST</t>
  </si>
  <si>
    <t>6939 WILTSIE ST</t>
  </si>
  <si>
    <t xml:space="preserve">HARDEN KEVIN J </t>
  </si>
  <si>
    <t>6931 WILTSIE ST</t>
  </si>
  <si>
    <t xml:space="preserve">BROWN JOYCE L </t>
  </si>
  <si>
    <t>6919 WILTSIE ST</t>
  </si>
  <si>
    <t>SMITH JOHN W &amp; ANNIE L SMITH</t>
  </si>
  <si>
    <t>6903 WILTSIE ST</t>
  </si>
  <si>
    <t xml:space="preserve">SMITH JOHN W &amp; ANNIE </t>
  </si>
  <si>
    <t>CURRY HOLLOW RD</t>
  </si>
  <si>
    <t xml:space="preserve">YOUNG GEARLDEAN D </t>
  </si>
  <si>
    <t>158 HARTMAN LN</t>
  </si>
  <si>
    <t>COMMONWEALTH AVE</t>
  </si>
  <si>
    <t xml:space="preserve">BETTS EUGENE </t>
  </si>
  <si>
    <t>0 HARTMAN LN</t>
  </si>
  <si>
    <t xml:space="preserve">CARTER B C &amp; EMMA L (W) </t>
  </si>
  <si>
    <t>CANOE COVE LN</t>
  </si>
  <si>
    <t xml:space="preserve">MUBARAK BASHIER                                 </t>
  </si>
  <si>
    <t>6930 HARTMAN LN</t>
  </si>
  <si>
    <t>WASHINGTON PL APT 801</t>
  </si>
  <si>
    <t xml:space="preserve">HOLLOWAY KIRK L </t>
  </si>
  <si>
    <t xml:space="preserve">BREVARD NORMAN L </t>
  </si>
  <si>
    <t>6934 HARTMAN LN</t>
  </si>
  <si>
    <t>HARTMANS LN</t>
  </si>
  <si>
    <t xml:space="preserve">EASTON ROBERT N </t>
  </si>
  <si>
    <t>0 CAMPANIA AVE</t>
  </si>
  <si>
    <t>WALLACE DONALD E &amp; LINDA C (W)</t>
  </si>
  <si>
    <t>0 EBEL ST</t>
  </si>
  <si>
    <t xml:space="preserve">MARCO DEVELOPMENTS LLC </t>
  </si>
  <si>
    <t>7057 CAMPANIA AVE</t>
  </si>
  <si>
    <t>MARCO DEVELOPMENTS LL</t>
  </si>
  <si>
    <t>LZT REAL ESTATE LLC      ETAL</t>
  </si>
  <si>
    <t>7053 CAMPANIA AVE</t>
  </si>
  <si>
    <t>NOLAN CT</t>
  </si>
  <si>
    <t>COX CHARLES W &amp; CAROLYN A (W)</t>
  </si>
  <si>
    <t xml:space="preserve">DANTZLER TIANA T </t>
  </si>
  <si>
    <t>7054 CAMPANIA AVE</t>
  </si>
  <si>
    <t>CAMPANIA AVE</t>
  </si>
  <si>
    <t xml:space="preserve">ZIEGLER DELON </t>
  </si>
  <si>
    <t>7056 CAMPANIA AVE</t>
  </si>
  <si>
    <t>PULLIAM ALFRED D &amp; LORRAINE B (W)</t>
  </si>
  <si>
    <t>7062 CAMPANIA AVE</t>
  </si>
  <si>
    <t xml:space="preserve">DONOVAN JAMES S </t>
  </si>
  <si>
    <t>WILSHIRE BLVD # 144</t>
  </si>
  <si>
    <t>SANTA MONICA</t>
  </si>
  <si>
    <t>7108 CAMPANIA AVE</t>
  </si>
  <si>
    <t>ALEXANDER OLEIAN  &amp; ELIZABETH</t>
  </si>
  <si>
    <t>0 ROSS GARDEN RD</t>
  </si>
  <si>
    <t>ALEXANDER OLEIAN  &amp; E</t>
  </si>
  <si>
    <t xml:space="preserve">H4D INDUSTRIES LLC </t>
  </si>
  <si>
    <t>7007 ROSS GARDEN RD</t>
  </si>
  <si>
    <t xml:space="preserve">COVENIA JAMES  &amp; ELSIE M </t>
  </si>
  <si>
    <t>0 LAPORTE ST</t>
  </si>
  <si>
    <t xml:space="preserve">BROOKS JOSEPH A </t>
  </si>
  <si>
    <t>LA PORTE ST</t>
  </si>
  <si>
    <t xml:space="preserve">THOMPSON VIRGINIA D </t>
  </si>
  <si>
    <t>COLUMBUS AVE</t>
  </si>
  <si>
    <t>NORTH HILLS</t>
  </si>
  <si>
    <t>TERRY FRANK J &amp; MELITA (W)</t>
  </si>
  <si>
    <t>1728 LINCOLN AVE</t>
  </si>
  <si>
    <t>TERRY FRANK J &amp; MELIT</t>
  </si>
  <si>
    <t>EVERETT RUDOLPH  &amp; MATHILDA (W)</t>
  </si>
  <si>
    <t>FUNSTON AVE</t>
  </si>
  <si>
    <t xml:space="preserve">HOLLOWAY DOUGLAS R </t>
  </si>
  <si>
    <t>UNIVERSAL RD</t>
  </si>
  <si>
    <t xml:space="preserve">DAVIS YVONNE H </t>
  </si>
  <si>
    <t>0 TRAVELLA BLVD</t>
  </si>
  <si>
    <t>GEORGE ST</t>
  </si>
  <si>
    <t xml:space="preserve">BENTLEY-HARDWICK BROOKE </t>
  </si>
  <si>
    <t>1809 FUNSTON AVE</t>
  </si>
  <si>
    <t>BENTLEY-HARDWICK BROO</t>
  </si>
  <si>
    <t xml:space="preserve">MCAFEE FLORENCE L </t>
  </si>
  <si>
    <t>0 FUNSTON ST</t>
  </si>
  <si>
    <t>KLEIN RD</t>
  </si>
  <si>
    <t>MCAFEE FLORENCE L &amp; CHARLES (H)</t>
  </si>
  <si>
    <t>ROBERT E MCAFEE</t>
  </si>
  <si>
    <t>1805 FUNSTON AVE</t>
  </si>
  <si>
    <t xml:space="preserve">BROPHY MARGARET M </t>
  </si>
  <si>
    <t xml:space="preserve">WILLIAMSON ROSEMARY C </t>
  </si>
  <si>
    <t>1800 LINCOLN AVE</t>
  </si>
  <si>
    <t xml:space="preserve">SERNOSKY ALMA K                                 </t>
  </si>
  <si>
    <t>BARCKHOFF ST</t>
  </si>
  <si>
    <t>PESANTE ANTHONY J &amp; LINDA H (W)</t>
  </si>
  <si>
    <t>HEAVENLY VISION MINIS</t>
  </si>
  <si>
    <t>PESANTE ANTHONY J &amp; LINDA (W)</t>
  </si>
  <si>
    <t>SPENCER GARLAND  &amp; LOIS (W)</t>
  </si>
  <si>
    <t>0 PAXICO ST</t>
  </si>
  <si>
    <t>WEDNESBURY LN</t>
  </si>
  <si>
    <t xml:space="preserve">JACKSON CRAIG A </t>
  </si>
  <si>
    <t xml:space="preserve">FINNEY SHEILA AR EDDISH </t>
  </si>
  <si>
    <t xml:space="preserve">WILLIAMS FRANCES </t>
  </si>
  <si>
    <t>7167 VERONA BLVD</t>
  </si>
  <si>
    <t>FRANCES WILLIAMS</t>
  </si>
  <si>
    <t>7155 VERONA BLVD</t>
  </si>
  <si>
    <t xml:space="preserve">DOUBT CHERYL A </t>
  </si>
  <si>
    <t>7153 VERONA BLVD</t>
  </si>
  <si>
    <t xml:space="preserve">JACKSON QUINTON L SR </t>
  </si>
  <si>
    <t>7145 VERONA BLVD</t>
  </si>
  <si>
    <t xml:space="preserve">FALLS SHAWN </t>
  </si>
  <si>
    <t>124 BROADCREST DR</t>
  </si>
  <si>
    <t>FALLS SHAWN</t>
  </si>
  <si>
    <t xml:space="preserve">HAIRSTON FLOSSIE </t>
  </si>
  <si>
    <t>DENSON JULIUS  &amp; JO ANN DENSON</t>
  </si>
  <si>
    <t>OLD HICKORY DR</t>
  </si>
  <si>
    <t xml:space="preserve">RAGIN REGINA </t>
  </si>
  <si>
    <t>170 BROADCREST DR</t>
  </si>
  <si>
    <t xml:space="preserve">REED YVONNE </t>
  </si>
  <si>
    <t>168 BROADCREST DR</t>
  </si>
  <si>
    <t>REED YVONNE</t>
  </si>
  <si>
    <t xml:space="preserve">DALTON TREDESSA </t>
  </si>
  <si>
    <t>162 BROADCREST DR</t>
  </si>
  <si>
    <t>W 104TH ST APT 3A</t>
  </si>
  <si>
    <t>UNLIMITED POSSIBILITIES  REAL ESTATE ESTATE LLC</t>
  </si>
  <si>
    <t>7023 WILTSIE ST</t>
  </si>
  <si>
    <t>UNLIMITED POSSIBILITI</t>
  </si>
  <si>
    <t>UNLIMITED POSSIBILITIES  REAL ESTATE LLC</t>
  </si>
  <si>
    <t>CRESTLINE CT</t>
  </si>
  <si>
    <t xml:space="preserve">WELLONS-STEWART NANCY T </t>
  </si>
  <si>
    <t>7102 ROSS GARDEN RD</t>
  </si>
  <si>
    <t>MILITARY RD S</t>
  </si>
  <si>
    <t>SPANAWAY</t>
  </si>
  <si>
    <t xml:space="preserve">ROBINSON LATICCO R                              </t>
  </si>
  <si>
    <t>7103 WILTSIE ST</t>
  </si>
  <si>
    <t xml:space="preserve">DURHAM RAYMOND </t>
  </si>
  <si>
    <t>7107 WILTSIE ST</t>
  </si>
  <si>
    <t xml:space="preserve">HOLT LISA M </t>
  </si>
  <si>
    <t>7111 WILTSIE ST</t>
  </si>
  <si>
    <t xml:space="preserve">SPENCER RAMONA L </t>
  </si>
  <si>
    <t>7022 WILTSIE ST</t>
  </si>
  <si>
    <t xml:space="preserve">HARDEN STARLEE D </t>
  </si>
  <si>
    <t>7020 WILTSIE ST</t>
  </si>
  <si>
    <t>RICHARDSON JUNE  &amp; ALICE M RICHARDSON</t>
  </si>
  <si>
    <t>ALLEN RUBY               ETAL</t>
  </si>
  <si>
    <t>ALLEN RUBY</t>
  </si>
  <si>
    <t>SIERRA VISTA AVE # 304</t>
  </si>
  <si>
    <t>BOWMAN CALVIN L &amp; DONNA L ANDERSON</t>
  </si>
  <si>
    <t>7115 CHURCHLAND ST</t>
  </si>
  <si>
    <t xml:space="preserve">BROWN CARL H </t>
  </si>
  <si>
    <t xml:space="preserve">MONA MARIE MORPHIS  REVOCABLE TRUST         </t>
  </si>
  <si>
    <t>7135 CHURCHLAND ST</t>
  </si>
  <si>
    <t>MONA MARIE MORPHIS RE</t>
  </si>
  <si>
    <t>7143 CHURCHLAND ST</t>
  </si>
  <si>
    <t>CARLISLE JAMES O &amp; MATTIE M (W)</t>
  </si>
  <si>
    <t>CARLISLE JAMES O &amp; MA</t>
  </si>
  <si>
    <t>MCCAA JOSEPH W &amp; ZILPHIA (W)</t>
  </si>
  <si>
    <t>MCCAA JOSEPH W &amp; ZILP</t>
  </si>
  <si>
    <t>PENN CENTER BLVD APT 101</t>
  </si>
  <si>
    <t xml:space="preserve">HILL KEITH D </t>
  </si>
  <si>
    <t>FRANKSTOWN RD APT 111</t>
  </si>
  <si>
    <t>VETERANS AFFAIRS  ADMINISTRATION</t>
  </si>
  <si>
    <t>VETERANS AFFAIRS ADMI</t>
  </si>
  <si>
    <t xml:space="preserve">STALLWORTH JIMMY </t>
  </si>
  <si>
    <t>SUN INVESTMENT SERVICES  LLC</t>
  </si>
  <si>
    <t>SUN INVESTMENT SERVIC</t>
  </si>
  <si>
    <t>TOWN CENTER BLVD STE 3</t>
  </si>
  <si>
    <t>ORLANDO</t>
  </si>
  <si>
    <t xml:space="preserve">JOHNSON MICHAEL                                 </t>
  </si>
  <si>
    <t>7112 CHURCHLAND ST</t>
  </si>
  <si>
    <t>7100 CHURCHLAND ST</t>
  </si>
  <si>
    <t>1 EASTCHESTER ST</t>
  </si>
  <si>
    <t>THREE RIVERS CENTER FOR  INDEPENDENT LIVI NG INC</t>
  </si>
  <si>
    <t>THREE RIVERS CENTER F</t>
  </si>
  <si>
    <t xml:space="preserve">WILSON ROSE L </t>
  </si>
  <si>
    <t>7014 CHURCHLAND ST</t>
  </si>
  <si>
    <t xml:space="preserve">AFOLABI FESTUS </t>
  </si>
  <si>
    <t>7004 CHURCHLAND ST</t>
  </si>
  <si>
    <t>HUBBARD TYDGE  &amp; DARNICE (W)</t>
  </si>
  <si>
    <t>7000 CHURCHLAND ST</t>
  </si>
  <si>
    <t xml:space="preserve">GONZALEZ EVER A  RODRIGUEZ               </t>
  </si>
  <si>
    <t>6979 LEMINGTON AVE</t>
  </si>
  <si>
    <t>GONZALEZ EVER A RODRI</t>
  </si>
  <si>
    <t xml:space="preserve">HOLDER HOSEA JR &amp; MAMIE </t>
  </si>
  <si>
    <t>6985 LEMINGTON AVE</t>
  </si>
  <si>
    <t>6983 LEMINGTON AVE</t>
  </si>
  <si>
    <t xml:space="preserve">WOODSON DANA R </t>
  </si>
  <si>
    <t>7001 LEMINGTON AVE</t>
  </si>
  <si>
    <t xml:space="preserve">COOPER JENNIFER </t>
  </si>
  <si>
    <t>7013 LEMINGTON AVE</t>
  </si>
  <si>
    <t xml:space="preserve">COOPER KAREEM </t>
  </si>
  <si>
    <t>7023 LEMINGTON AVE</t>
  </si>
  <si>
    <t>MIDDLE AVE</t>
  </si>
  <si>
    <t>WILMERDING</t>
  </si>
  <si>
    <t>CAPITAL ESTABLISHMENTS  LLC</t>
  </si>
  <si>
    <t>7029 LEMINGTON AVE</t>
  </si>
  <si>
    <t>CAPITAL ESTABLISHMENT</t>
  </si>
  <si>
    <t>WORTHINGTON ST</t>
  </si>
  <si>
    <t xml:space="preserve">GRAVES COURTNEY E &amp; ROSABELLE (W)           </t>
  </si>
  <si>
    <t>7033 LEMINGTON AVE</t>
  </si>
  <si>
    <t xml:space="preserve">JOHNSON ARNOLD E </t>
  </si>
  <si>
    <t>7039 LEMINGTON AVE</t>
  </si>
  <si>
    <t>MANOR OAKS VIEW</t>
  </si>
  <si>
    <t xml:space="preserve">TAYLOR ROBERT JR </t>
  </si>
  <si>
    <t>7045 LEMINGTON AVE</t>
  </si>
  <si>
    <t>URBAN REDEVELOPLEMENT</t>
  </si>
  <si>
    <t>FARLEY JOHN B &amp; DOLORES (W)</t>
  </si>
  <si>
    <t>1345 PAULSON AVE</t>
  </si>
  <si>
    <t xml:space="preserve">FARLEY JOHN B </t>
  </si>
  <si>
    <t>1347 PAULSON AVE</t>
  </si>
  <si>
    <t>HARRIS RICHARD EARL &amp; SANDRA E (W)</t>
  </si>
  <si>
    <t>1349 PAULSON AVE</t>
  </si>
  <si>
    <t xml:space="preserve">LOWE GILBERT BARRON III </t>
  </si>
  <si>
    <t>1357 PAULSON AVE</t>
  </si>
  <si>
    <t>WEBSTER AVE REAR</t>
  </si>
  <si>
    <t xml:space="preserve">RAINEY ADRIENNE MURRAY                          </t>
  </si>
  <si>
    <t>1361 PAULSON AVE</t>
  </si>
  <si>
    <t>RAINEY ADRIENNE MURRA</t>
  </si>
  <si>
    <t>1363 PAULSON AVE</t>
  </si>
  <si>
    <t xml:space="preserve">STUBBLEFIELD NEHLAH D </t>
  </si>
  <si>
    <t>1375 PAULSON AVE</t>
  </si>
  <si>
    <t>REYNOLDS THOMAS H &amp; BETTY</t>
  </si>
  <si>
    <t xml:space="preserve">BAKER WILLIAM </t>
  </si>
  <si>
    <t>GLENN AVE</t>
  </si>
  <si>
    <t xml:space="preserve">PAOLINO CARL H </t>
  </si>
  <si>
    <t>0 MISSOURI ST</t>
  </si>
  <si>
    <t xml:space="preserve">BURTON HERBERT M </t>
  </si>
  <si>
    <t>1358 MISSOURI ST</t>
  </si>
  <si>
    <t>BOLTE DR</t>
  </si>
  <si>
    <t xml:space="preserve">STUBBLEFIELD ELAINE </t>
  </si>
  <si>
    <t>1352 MISSOURI ST</t>
  </si>
  <si>
    <t>SPRUCE ST</t>
  </si>
  <si>
    <t xml:space="preserve">BATTISTOLI BRUNO JR                             </t>
  </si>
  <si>
    <t>REED DR</t>
  </si>
  <si>
    <t>JACKSON</t>
  </si>
  <si>
    <t xml:space="preserve">SILAK HARRY </t>
  </si>
  <si>
    <t>SALTSBURG RD</t>
  </si>
  <si>
    <t>WESTERN WRECKING &amp; DEVELOPMENT CORP</t>
  </si>
  <si>
    <t xml:space="preserve">JONES OSCAR W </t>
  </si>
  <si>
    <t>1361 MISSOURI ST</t>
  </si>
  <si>
    <t>FIFTY-THIRD STREET  PROPERTIES LIMITED LIABI</t>
  </si>
  <si>
    <t>FIFTY-THIRD STREET PR</t>
  </si>
  <si>
    <t>FIELDS JULIUS  &amp; ANNIE (W)</t>
  </si>
  <si>
    <t>7016 LEMINGTON AVE</t>
  </si>
  <si>
    <t>FIELDS JULIUS  &amp; ANNI</t>
  </si>
  <si>
    <t>HOWARD ELIAS R &amp; CAROLYN L</t>
  </si>
  <si>
    <t>7014 LEMINGTON AVE</t>
  </si>
  <si>
    <t>7012 LEMINGTON AVE</t>
  </si>
  <si>
    <t>PHO REAL ESTATE LLC</t>
  </si>
  <si>
    <t>LUXURIOUS LOOKS HAIR  STUDIO LLC</t>
  </si>
  <si>
    <t>7010 LEMINGTON AVE</t>
  </si>
  <si>
    <t xml:space="preserve">ZANBRANO E DFRA SCAPASR </t>
  </si>
  <si>
    <t>CARRIE ANN DR</t>
  </si>
  <si>
    <t xml:space="preserve">MILLER MARIE W TRUST  (THE)                   </t>
  </si>
  <si>
    <t>6960 LEMINGTON AVE</t>
  </si>
  <si>
    <t>CURTIS ST W</t>
  </si>
  <si>
    <t xml:space="preserve">WARE GEORGE M &amp; MARTHA A </t>
  </si>
  <si>
    <t>0 WESTMORELAND AVE</t>
  </si>
  <si>
    <t xml:space="preserve">HUNTER JASON </t>
  </si>
  <si>
    <t>1625 WESTMORELAND AVE</t>
  </si>
  <si>
    <t xml:space="preserve">WILLIAMS DAVID M </t>
  </si>
  <si>
    <t>1631 WESTMORELAND AVE</t>
  </si>
  <si>
    <t>WESTMORELAND AVE</t>
  </si>
  <si>
    <t xml:space="preserve">JOHNSON VELMA Y </t>
  </si>
  <si>
    <t>1639 WESTMORELAND AVE</t>
  </si>
  <si>
    <t>JACKSON KEITH JR &amp; SYLVIA T (W)</t>
  </si>
  <si>
    <t>7216 JOSHUA ST</t>
  </si>
  <si>
    <t>JACKSON KEITH JR &amp; SY</t>
  </si>
  <si>
    <t>JOSHUA ST</t>
  </si>
  <si>
    <t xml:space="preserve">CRADDOCK RICHARD                                </t>
  </si>
  <si>
    <t>1648 LINCOLN AVE</t>
  </si>
  <si>
    <t>CRADDOCK RICHARD UHUR</t>
  </si>
  <si>
    <t>B ST SE</t>
  </si>
  <si>
    <t>PONTI BRENDA JOYW ILLIAMS</t>
  </si>
  <si>
    <t>BAXTER ST</t>
  </si>
  <si>
    <t xml:space="preserve">ZIGMAN ROBERT </t>
  </si>
  <si>
    <t>OCEANSIDE</t>
  </si>
  <si>
    <t xml:space="preserve">MURPHY DEBRA M </t>
  </si>
  <si>
    <t>1630 LINCOLN AVE</t>
  </si>
  <si>
    <t xml:space="preserve">HAMPTON MARSHALL </t>
  </si>
  <si>
    <t>1628 LINCOLN AVE</t>
  </si>
  <si>
    <t xml:space="preserve">HILL RAYMOND S </t>
  </si>
  <si>
    <t>1626 LINCOLN AVE</t>
  </si>
  <si>
    <t>LINCOLIN AVE REAR</t>
  </si>
  <si>
    <t>GONZALEZ WILBER  ALEXANDER</t>
  </si>
  <si>
    <t>1624 LINCOLN AVE</t>
  </si>
  <si>
    <t>GONZALEZ WILBER ALEXA</t>
  </si>
  <si>
    <t>CLARK KEITH C &amp; LAVERNE F (W)</t>
  </si>
  <si>
    <t>CLARK KEITH C &amp; LAVER</t>
  </si>
  <si>
    <t xml:space="preserve">HAMPTON MARSHALL                                </t>
  </si>
  <si>
    <t>1620 LINCOLN AVE</t>
  </si>
  <si>
    <t xml:space="preserve">JONES CHARLES C &amp; RUTH E </t>
  </si>
  <si>
    <t>1614 LINCOLN AVE</t>
  </si>
  <si>
    <t>JONES CHARLES C &amp; RUT</t>
  </si>
  <si>
    <t>DICKENS JUTE D &amp; MAMIE (W)</t>
  </si>
  <si>
    <t xml:space="preserve">LACKEY HENRY </t>
  </si>
  <si>
    <t>PO BOX 27098</t>
  </si>
  <si>
    <t>ALBUQUERQUE</t>
  </si>
  <si>
    <t>COLEMAN CAESAR  &amp; CORNELIA T</t>
  </si>
  <si>
    <t>1596 LINCOLN AVE</t>
  </si>
  <si>
    <t xml:space="preserve">DILLON JULLETT </t>
  </si>
  <si>
    <t>1592 LINCOLN AVE</t>
  </si>
  <si>
    <t xml:space="preserve">ADAMS RYAN </t>
  </si>
  <si>
    <t>1572 LINCOLN AVE</t>
  </si>
  <si>
    <t>RYAN ADAMS</t>
  </si>
  <si>
    <t>FIELDS EDDIE  &amp; CARRIE G (W)</t>
  </si>
  <si>
    <t xml:space="preserve">BILLINGSLEY SADIE </t>
  </si>
  <si>
    <t>1545 LINCOLN AVE</t>
  </si>
  <si>
    <t>PO BOX 5648</t>
  </si>
  <si>
    <t xml:space="preserve">SCHATZMAN KEIRRA </t>
  </si>
  <si>
    <t>7147 CHURCHLAND ST</t>
  </si>
  <si>
    <t>LAKINS HOWARD  &amp; PHYLLIS M (W)</t>
  </si>
  <si>
    <t>7151 CHURCHLAND ST</t>
  </si>
  <si>
    <t xml:space="preserve">WOODSON GLENDORA R </t>
  </si>
  <si>
    <t>7157 CHURCHLAND ST</t>
  </si>
  <si>
    <t>ATKINSON DONALD  &amp; BARBARA JEAN (W)</t>
  </si>
  <si>
    <t>7144 WILTSIE ST</t>
  </si>
  <si>
    <t>WOLFE AVE</t>
  </si>
  <si>
    <t xml:space="preserve">ANDERSON CHARLES M                              </t>
  </si>
  <si>
    <t>7140 WILTSIE ST</t>
  </si>
  <si>
    <t xml:space="preserve">GOLPHIN JOHN S JR </t>
  </si>
  <si>
    <t>7137 WILTSIE ST</t>
  </si>
  <si>
    <t>GOLPHIN GLORIA</t>
  </si>
  <si>
    <t xml:space="preserve">300 REALTY LLC </t>
  </si>
  <si>
    <t>7145 WILTSIE ST</t>
  </si>
  <si>
    <t>BROWN WILLIAM M &amp; SARAH A</t>
  </si>
  <si>
    <t xml:space="preserve">GOODSON CONSTANCE L </t>
  </si>
  <si>
    <t>1581 LINCOLN AVE</t>
  </si>
  <si>
    <t xml:space="preserve">PETERSON JACOB                                  </t>
  </si>
  <si>
    <t>7170 ROSS GARDEN RD</t>
  </si>
  <si>
    <t>AMERICAN NEIGHBORHOOD</t>
  </si>
  <si>
    <t xml:space="preserve">GREEN SHAUNTEL </t>
  </si>
  <si>
    <t>7164 ROSS GARDEN RD</t>
  </si>
  <si>
    <t>PRINCETON PL</t>
  </si>
  <si>
    <t xml:space="preserve">ORBISON JAMES G JR  (LIFE ESTATE)           </t>
  </si>
  <si>
    <t>7160 ROSS GARDEN RD</t>
  </si>
  <si>
    <t>SMITHSON KELLY</t>
  </si>
  <si>
    <t>BRIERLY LN</t>
  </si>
  <si>
    <t xml:space="preserve">MOTLEY VALROSE A </t>
  </si>
  <si>
    <t>7129 ROSS GARDEN RD</t>
  </si>
  <si>
    <t xml:space="preserve">FORSHAY MARY H </t>
  </si>
  <si>
    <t>7141 ROSS GARDEN RD</t>
  </si>
  <si>
    <t xml:space="preserve">WILLIAMSON TRACY R </t>
  </si>
  <si>
    <t>7147 ROSS GARDEN RD</t>
  </si>
  <si>
    <t xml:space="preserve">EDWARDS RUTH ROLAND </t>
  </si>
  <si>
    <t>7155 ROSS GARDEN RD</t>
  </si>
  <si>
    <t xml:space="preserve">SHELTON CHERON                                  </t>
  </si>
  <si>
    <t>7167 ROSS GARDEN RD</t>
  </si>
  <si>
    <t>PAYTON EUNICE  &amp; LARRY HAMILTON</t>
  </si>
  <si>
    <t>1659 LINCOLN AVE</t>
  </si>
  <si>
    <t xml:space="preserve">BATTLES WILLIAM P III </t>
  </si>
  <si>
    <t>1701 LAPORTE ST</t>
  </si>
  <si>
    <t xml:space="preserve">WILLIAMS WESLEY  &amp; ELLA </t>
  </si>
  <si>
    <t xml:space="preserve">HARRIS CAROL A </t>
  </si>
  <si>
    <t>0 ELROD WAY</t>
  </si>
  <si>
    <t>PO BOX 1784</t>
  </si>
  <si>
    <t>LAWRENCEVILLE</t>
  </si>
  <si>
    <t xml:space="preserve">WHITE ERNEST N &amp; JOANNE </t>
  </si>
  <si>
    <t>1661 WESTMORELAND AVE</t>
  </si>
  <si>
    <t>WHITE ERNEST N &amp; JOAN</t>
  </si>
  <si>
    <t xml:space="preserve">GRAY DONALD </t>
  </si>
  <si>
    <t>1657 ELROD ST</t>
  </si>
  <si>
    <t>ELROD WAY</t>
  </si>
  <si>
    <t>MONTGOMERY BETTY  &amp; FRANKLIN FED S&amp;L A</t>
  </si>
  <si>
    <t>1634 WESTMORELAND AVE</t>
  </si>
  <si>
    <t>MONTGOMERY BETTY  &amp; F</t>
  </si>
  <si>
    <t>BIGELOW BLVD APT 340</t>
  </si>
  <si>
    <t>THOMPSON HENRY  &amp; PATRICIA (W)</t>
  </si>
  <si>
    <t>WEST GILBERT  &amp; ALLEYNE (W)</t>
  </si>
  <si>
    <t xml:space="preserve">CARPENTER DAVON </t>
  </si>
  <si>
    <t>1640 WESTMORELAND AVE</t>
  </si>
  <si>
    <t>CARPENTER DAVON</t>
  </si>
  <si>
    <t>WILSON LEE  &amp; CHRISTINE E</t>
  </si>
  <si>
    <t>1650 WESTMORELAND AVE</t>
  </si>
  <si>
    <t>KIMBERLY SPENCER</t>
  </si>
  <si>
    <t xml:space="preserve">HARRIS BIRDIE </t>
  </si>
  <si>
    <t>1654 WESTMORELAND AVE</t>
  </si>
  <si>
    <t xml:space="preserve">BOWE ROBERT S &amp; JEAN A </t>
  </si>
  <si>
    <t>COMMERCIAL ST</t>
  </si>
  <si>
    <t xml:space="preserve">BRYANT TANIKA L </t>
  </si>
  <si>
    <t>7250 CAMPANIA AVE</t>
  </si>
  <si>
    <t xml:space="preserve">DAVID A LAVELLE </t>
  </si>
  <si>
    <t>7258 CAMPANIA AVE</t>
  </si>
  <si>
    <t>KILDIGIN RD</t>
  </si>
  <si>
    <t>RUFFS DALE</t>
  </si>
  <si>
    <t xml:space="preserve">LAVELLE DAVID ANTHONY </t>
  </si>
  <si>
    <t>1685 BROADHEAD ST</t>
  </si>
  <si>
    <t xml:space="preserve">NICHOLSON ROBERT </t>
  </si>
  <si>
    <t>0 BROADHEAD ST</t>
  </si>
  <si>
    <t>RANKIN ROBERT  &amp; KATHERINE</t>
  </si>
  <si>
    <t xml:space="preserve">LAMAR ROBERT T </t>
  </si>
  <si>
    <t>SMITH EDGAR L &amp; MAE FLORENCE (W)</t>
  </si>
  <si>
    <t>WALSH CT</t>
  </si>
  <si>
    <t>FREDERICKSBURG</t>
  </si>
  <si>
    <t xml:space="preserve">CAULIS NEGRIS </t>
  </si>
  <si>
    <t>CAULIS NEGRIS/LLC/TAX</t>
  </si>
  <si>
    <t>NIMITZ RD</t>
  </si>
  <si>
    <t>MILTON</t>
  </si>
  <si>
    <t xml:space="preserve">LAWAL SAUDAT I </t>
  </si>
  <si>
    <t>1688 BROADHEAD ST</t>
  </si>
  <si>
    <t xml:space="preserve">NOEL DAVID S </t>
  </si>
  <si>
    <t>7284 CAMPANIA AVE</t>
  </si>
  <si>
    <t xml:space="preserve">CAMPBELL MADELINE </t>
  </si>
  <si>
    <t>0 GOPHER ST</t>
  </si>
  <si>
    <t>GOPHER ST</t>
  </si>
  <si>
    <t xml:space="preserve">SWANSON LARRY </t>
  </si>
  <si>
    <t>REARDON MARY  &amp; CORNELIUS</t>
  </si>
  <si>
    <t xml:space="preserve">SMITH DIANE </t>
  </si>
  <si>
    <t>CUNNINGHAM ODESSIE  &amp; MARY LUE (W)</t>
  </si>
  <si>
    <t>1704 GOPHER ST</t>
  </si>
  <si>
    <t>GRIER WILLIE J &amp; DELAINE (W)</t>
  </si>
  <si>
    <t xml:space="preserve">GILBERT JEANNINE M </t>
  </si>
  <si>
    <t>7239 CAMPANIA AVE</t>
  </si>
  <si>
    <t xml:space="preserve">DAVIS JAMES H JR                                </t>
  </si>
  <si>
    <t>7235 CAMPANIA AVE</t>
  </si>
  <si>
    <t>GLORIA DAVIS</t>
  </si>
  <si>
    <t>PO BOX 4933</t>
  </si>
  <si>
    <t xml:space="preserve">BATTLE WILLIAM III </t>
  </si>
  <si>
    <t>1700 LAPORTE ST</t>
  </si>
  <si>
    <t>1702 LAPORTE ST</t>
  </si>
  <si>
    <t xml:space="preserve">PATTERMAN MATHILDA </t>
  </si>
  <si>
    <t xml:space="preserve">FALLS SHEALYNNE PAMELA </t>
  </si>
  <si>
    <t>1720 LAPORTE ST</t>
  </si>
  <si>
    <t>FALLS SHEALYNNE PAMEL</t>
  </si>
  <si>
    <t>HARTSMAN LN</t>
  </si>
  <si>
    <t>7224 VERONA BLVD</t>
  </si>
  <si>
    <t>WASHINGTON HARRY F &amp; CATHERINE</t>
  </si>
  <si>
    <t>TIMMONS CHARLES  &amp; IZETTA</t>
  </si>
  <si>
    <t xml:space="preserve">HOWARD ARTHUR C III </t>
  </si>
  <si>
    <t>7276 VERONA BLVD</t>
  </si>
  <si>
    <t xml:space="preserve">FRANKLIN JAMES M </t>
  </si>
  <si>
    <t>HOWARD ST</t>
  </si>
  <si>
    <t xml:space="preserve">VR NVR LLC </t>
  </si>
  <si>
    <t>7280 VERONA BLVD</t>
  </si>
  <si>
    <t>MERIDIAN BLVD STE H</t>
  </si>
  <si>
    <t>MINDEN</t>
  </si>
  <si>
    <t xml:space="preserve">HESTER ANTHONY GEROD </t>
  </si>
  <si>
    <t>7281 VERONA BLVD</t>
  </si>
  <si>
    <t>MIRACLE TEMPLE BIBLEWAY  CHURCH</t>
  </si>
  <si>
    <t xml:space="preserve">WILSON SATERA </t>
  </si>
  <si>
    <t>7255 VERONA BLVD</t>
  </si>
  <si>
    <t>BOTTOMS WILLIE R JR &amp; SALAKO OLUWAKEMI EMILY (</t>
  </si>
  <si>
    <t>LAFAYETTE ST</t>
  </si>
  <si>
    <t>251 TRAVELLA BLVD</t>
  </si>
  <si>
    <t>255 TRAVELLA BLVD</t>
  </si>
  <si>
    <t>GREEN MARVIN</t>
  </si>
  <si>
    <t>ECKERT ST</t>
  </si>
  <si>
    <t xml:space="preserve">LAW VALETTE A </t>
  </si>
  <si>
    <t>258 TRAVELLA BLVD</t>
  </si>
  <si>
    <t xml:space="preserve">RODGERS C E </t>
  </si>
  <si>
    <t xml:space="preserve">MARTINEZ JOHN </t>
  </si>
  <si>
    <t>FUNSTON ST</t>
  </si>
  <si>
    <t>1810 FUNSTON AVE</t>
  </si>
  <si>
    <t>COTTRELL ROSE  &amp; WILLIAM G (H)</t>
  </si>
  <si>
    <t>COTTRELL ROSE  &amp; WILL</t>
  </si>
  <si>
    <t>CEDAR RIDGE DR APT 409</t>
  </si>
  <si>
    <t xml:space="preserve">DIGGS MARY </t>
  </si>
  <si>
    <t>101 TRAVELLA BLVD</t>
  </si>
  <si>
    <t>TRAVELLA BLVD</t>
  </si>
  <si>
    <t>HARVARD RD</t>
  </si>
  <si>
    <t xml:space="preserve">AMOAH ELIZABETH P </t>
  </si>
  <si>
    <t>PINESHADOW DR</t>
  </si>
  <si>
    <t xml:space="preserve">ARTER CARLAGENE                                 </t>
  </si>
  <si>
    <t xml:space="preserve">FICKLIN CORAZON </t>
  </si>
  <si>
    <t>ROSS AVE</t>
  </si>
  <si>
    <t xml:space="preserve">FORTE MAURICE W </t>
  </si>
  <si>
    <t>1388 PAULSON AVE</t>
  </si>
  <si>
    <t>5 BORO MAINTENANCE  ELECTRICAL &amp; CONSTRUCTIO</t>
  </si>
  <si>
    <t>1386 PAULSON AVE</t>
  </si>
  <si>
    <t>5 BORO MAINTENANCE EL</t>
  </si>
  <si>
    <t>179-39 HILLSIDE AVE</t>
  </si>
  <si>
    <t>JAMAICA</t>
  </si>
  <si>
    <t xml:space="preserve">GREEN JONATHAN </t>
  </si>
  <si>
    <t>1378 PAULSON AVE</t>
  </si>
  <si>
    <t xml:space="preserve">LANE LEGACY LLC </t>
  </si>
  <si>
    <t>1376 PAULSON AVE</t>
  </si>
  <si>
    <t>N CENTRAL AVE APT 448</t>
  </si>
  <si>
    <t>SHEFFEY RICHARD N &amp; LEATRICE</t>
  </si>
  <si>
    <t>1374 PAULSON AVE</t>
  </si>
  <si>
    <t>LEDBETTER JEWEL L &amp; MONICA LEDBETTER-STO NE</t>
  </si>
  <si>
    <t xml:space="preserve">BENJAMIN LLOYD LASCELLES </t>
  </si>
  <si>
    <t>1368 PAULSON AVE</t>
  </si>
  <si>
    <t xml:space="preserve">HOLYFIELD SHARNIA </t>
  </si>
  <si>
    <t>1354 PAULSON AVE</t>
  </si>
  <si>
    <t>GARLAND DR</t>
  </si>
  <si>
    <t>BLOXSON HENRIETTA  &amp; AMY BLOXSON</t>
  </si>
  <si>
    <t>1346 PAULSON AVE</t>
  </si>
  <si>
    <t>FARLEY JOHN B SR &amp; DOLORES (W)</t>
  </si>
  <si>
    <t>1344 PAULSON AVE</t>
  </si>
  <si>
    <t xml:space="preserve">FARLEY JOHN B                                   </t>
  </si>
  <si>
    <t xml:space="preserve">BURTON MARYE </t>
  </si>
  <si>
    <t>CLAIRBORNE ST</t>
  </si>
  <si>
    <t xml:space="preserve">WINGFIELD RONALD L JR </t>
  </si>
  <si>
    <t>1412 OLIVANT ST</t>
  </si>
  <si>
    <t>ALIB ABDULHAFED &amp; TIA (W)</t>
  </si>
  <si>
    <t>1381 MONTEZUMA ST</t>
  </si>
  <si>
    <t>ALIB ABDULHAFED &amp; TIA</t>
  </si>
  <si>
    <t xml:space="preserve">EMC MORTGAGE CORPORATION </t>
  </si>
  <si>
    <t>EMC MORTGAGE CORPORAT</t>
  </si>
  <si>
    <t>HIDDEN RIDGE DR STE 200</t>
  </si>
  <si>
    <t xml:space="preserve">SATCHELL EAN INGRID                             </t>
  </si>
  <si>
    <t>AVENUE B</t>
  </si>
  <si>
    <t xml:space="preserve">GILBERT ARTHUR D </t>
  </si>
  <si>
    <t>E UNION CIR</t>
  </si>
  <si>
    <t xml:space="preserve">TATE CHARMAINE M </t>
  </si>
  <si>
    <t>1363 MONTEZUMA ST</t>
  </si>
  <si>
    <t>GRIFFIN GEORGE  &amp; SABRINA (W)</t>
  </si>
  <si>
    <t>GRIFFIN SABRINA</t>
  </si>
  <si>
    <t>W TAYLOR ST</t>
  </si>
  <si>
    <t>AVONDALE</t>
  </si>
  <si>
    <t>1333 OLIVANT ST</t>
  </si>
  <si>
    <t xml:space="preserve">LTM PROPERTIES LP </t>
  </si>
  <si>
    <t>SHADY DALE DR</t>
  </si>
  <si>
    <t>HICKS SAINT JOHN &amp; MARY LOU</t>
  </si>
  <si>
    <t>EVANS ST</t>
  </si>
  <si>
    <t>SANDERS EUGENE  &amp; SALLY B</t>
  </si>
  <si>
    <t>SANDERS EUGENE  &amp; SAL</t>
  </si>
  <si>
    <t>COLLER CHARLES  &amp; DOLORES JEAN VAN STORY</t>
  </si>
  <si>
    <t xml:space="preserve">VAUGHN STREET LLC </t>
  </si>
  <si>
    <t>UNIT 100</t>
  </si>
  <si>
    <t>GRIER GREGORY L SR &amp; RUTH (W)</t>
  </si>
  <si>
    <t>1336 OLIVANT ST</t>
  </si>
  <si>
    <t>HARBISON ST</t>
  </si>
  <si>
    <t xml:space="preserve">VETERAN AFFAIRS ADM </t>
  </si>
  <si>
    <t xml:space="preserve">LEWIS IDA M </t>
  </si>
  <si>
    <t>DARLENEA M LEWIS</t>
  </si>
  <si>
    <t>WHEATLEY JOHN W &amp; BARBARA L</t>
  </si>
  <si>
    <t xml:space="preserve">GRAYSON DENITA MS </t>
  </si>
  <si>
    <t>1359 POINTVIEW ST</t>
  </si>
  <si>
    <t xml:space="preserve">DIGGS ARTHUR N </t>
  </si>
  <si>
    <t>1355 POINTVIEW ST</t>
  </si>
  <si>
    <t>P O BOX 6195</t>
  </si>
  <si>
    <t xml:space="preserve">50 50 MANAGEMENT LLC </t>
  </si>
  <si>
    <t>1343 POINTVIEW ST</t>
  </si>
  <si>
    <t>NORTHSHORE DR BLDG 1B</t>
  </si>
  <si>
    <t xml:space="preserve">ARM LEGACY INC </t>
  </si>
  <si>
    <t>ARM LEGACY INC</t>
  </si>
  <si>
    <t>PENNOAK DR</t>
  </si>
  <si>
    <t xml:space="preserve">TOLIVER GREGORY WAYNE </t>
  </si>
  <si>
    <t>1331 POINTVIEW ST</t>
  </si>
  <si>
    <t>TOLIVER GREGORY WAYNE</t>
  </si>
  <si>
    <t>TAIWO OLUFUNMILAYO &amp;  SANGODELE (W))</t>
  </si>
  <si>
    <t>1329 POINTVIEW ST</t>
  </si>
  <si>
    <t>PETERSON EMERSON H &amp; DORIS L</t>
  </si>
  <si>
    <t>1334 POINTVIEW ST</t>
  </si>
  <si>
    <t xml:space="preserve">ANDERSON RENEE </t>
  </si>
  <si>
    <t>1340 POINTVIEW ST</t>
  </si>
  <si>
    <t>LECOTE JENNIFER COOPER &amp; LAWRENCE (H)</t>
  </si>
  <si>
    <t>1344 POINTVIEW ST</t>
  </si>
  <si>
    <t>LECOTE JENNIFER COOPE</t>
  </si>
  <si>
    <t xml:space="preserve">STEVENS HELEN M </t>
  </si>
  <si>
    <t>1352 POINTVIEW ST</t>
  </si>
  <si>
    <t>JOHNSON MELVIN N &amp; CONSTANCE E</t>
  </si>
  <si>
    <t>TOLLIVER ERNEST  &amp; EVELYN (W)</t>
  </si>
  <si>
    <t>1366 POINTVIEW ST</t>
  </si>
  <si>
    <t>TOLLIVER ERNEST  &amp; EV</t>
  </si>
  <si>
    <t>N NEGLEY AVE APT 207</t>
  </si>
  <si>
    <t>DWYER CHARLIE JR &amp; HATTIE (W)</t>
  </si>
  <si>
    <t>SQUIRES KENNETH M &amp; MONTROSE</t>
  </si>
  <si>
    <t xml:space="preserve">ANDERSON EDWARD  &amp; BERNICE E               </t>
  </si>
  <si>
    <t>1362 MONTEZUMA ST</t>
  </si>
  <si>
    <t>ANDERSON EDWARD  &amp; BE</t>
  </si>
  <si>
    <t xml:space="preserve">MILTON SHEILA A </t>
  </si>
  <si>
    <t>1364 MONTEZUMA ST</t>
  </si>
  <si>
    <t>MILTON SHEILA A</t>
  </si>
  <si>
    <t>JACKSON CLAUDE JR &amp; FRANCINE M</t>
  </si>
  <si>
    <t>1366 MONTEZUMA ST</t>
  </si>
  <si>
    <t>ROEBUCK EMERSON JR &amp; EVELYN B</t>
  </si>
  <si>
    <t>LINCOLN ST</t>
  </si>
  <si>
    <t>ERVIN VESTA ETAL</t>
  </si>
  <si>
    <t>0 MANNING ST</t>
  </si>
  <si>
    <t>MANNING ST</t>
  </si>
  <si>
    <t xml:space="preserve">BURROWS JEAN ANN </t>
  </si>
  <si>
    <t xml:space="preserve">TERRY MELITA &amp; FRANK (H) </t>
  </si>
  <si>
    <t>1337 MANNING ST</t>
  </si>
  <si>
    <t xml:space="preserve">TERRY MELITA &amp; FRANK </t>
  </si>
  <si>
    <t xml:space="preserve">SMITH GLADYS C </t>
  </si>
  <si>
    <t>1335 MANNING ST</t>
  </si>
  <si>
    <t>MISSOURI ST</t>
  </si>
  <si>
    <t>HODGES DARYLL J &amp; ROSELLA (W)</t>
  </si>
  <si>
    <t xml:space="preserve">CLARK ROBERT </t>
  </si>
  <si>
    <t xml:space="preserve">ZIGLER TERRENCE O </t>
  </si>
  <si>
    <t>1349 LINCOLN AVE</t>
  </si>
  <si>
    <t xml:space="preserve">ADAMS MELINDA </t>
  </si>
  <si>
    <t>1342 MANNING ST</t>
  </si>
  <si>
    <t>ADAMS MELINDA</t>
  </si>
  <si>
    <t xml:space="preserve">BRATCHER ANNETTE E </t>
  </si>
  <si>
    <t>1344 MANNING ST</t>
  </si>
  <si>
    <t>LINDA WISE</t>
  </si>
  <si>
    <t xml:space="preserve">CHEEKS TALISHA P </t>
  </si>
  <si>
    <t>1346 MANNING ST</t>
  </si>
  <si>
    <t xml:space="preserve">TOPECK HOWARD C &amp; LIZZIE </t>
  </si>
  <si>
    <t>POPLAR RIDGE RD</t>
  </si>
  <si>
    <t>BOYKIN DEWAYNE  &amp; REGINALD BOYKIN</t>
  </si>
  <si>
    <t>CORA ST</t>
  </si>
  <si>
    <t xml:space="preserve">BISRAM HARANDEO </t>
  </si>
  <si>
    <t>PACE AVE</t>
  </si>
  <si>
    <t>BELLPORT</t>
  </si>
  <si>
    <t>1504 LINCOLN AVE</t>
  </si>
  <si>
    <t>7130 LEMINGTON AVE</t>
  </si>
  <si>
    <t xml:space="preserve">WORTHY ERIC S </t>
  </si>
  <si>
    <t>7136 LEMINGTON AVE</t>
  </si>
  <si>
    <t xml:space="preserve">INTEGRA NATIONAL  BANK/SOUTH              </t>
  </si>
  <si>
    <t>INTEGRA NATIONAL BANK</t>
  </si>
  <si>
    <t>EXCHANGE ST STE 618</t>
  </si>
  <si>
    <t>BUFFALO</t>
  </si>
  <si>
    <t>JACKSON GLORIA J &amp; JAMES P BANKS III</t>
  </si>
  <si>
    <t>7140 LEMINGTON AVE</t>
  </si>
  <si>
    <t>PLOWDEN WAYNE P &amp; NOAMI (W)</t>
  </si>
  <si>
    <t>0 GROTTO ST</t>
  </si>
  <si>
    <t xml:space="preserve">MCLEOD JOHNNIE JR </t>
  </si>
  <si>
    <t>LINCOLN AVE EXT</t>
  </si>
  <si>
    <t xml:space="preserve">EDIN DEVELOPMENT CO </t>
  </si>
  <si>
    <t>PENN CENTER BLVD</t>
  </si>
  <si>
    <t xml:space="preserve">HAUCK MARY A </t>
  </si>
  <si>
    <t xml:space="preserve">HOWZE KELLY </t>
  </si>
  <si>
    <t>1369 GROTTO ST</t>
  </si>
  <si>
    <t xml:space="preserve">BLACK MABLE </t>
  </si>
  <si>
    <t>NOBLE AVE</t>
  </si>
  <si>
    <t xml:space="preserve">WHESU AYODEJI </t>
  </si>
  <si>
    <t>1355 GROTTO ST</t>
  </si>
  <si>
    <t>MARISOL SUNSETS LN</t>
  </si>
  <si>
    <t>KATY</t>
  </si>
  <si>
    <t>CARTER MICHELLE          ETAL</t>
  </si>
  <si>
    <t>SKINNER ROSABELLE &amp; JAMES SKINNER</t>
  </si>
  <si>
    <t>1404 LINCOLN AVE</t>
  </si>
  <si>
    <t xml:space="preserve">SKINNER ROSABELLE </t>
  </si>
  <si>
    <t>WILLOW VILLAGE DR</t>
  </si>
  <si>
    <t xml:space="preserve">DICKERSON KELLI ANN </t>
  </si>
  <si>
    <t>1351 GROTTO ST</t>
  </si>
  <si>
    <t>JACKSON FLOYD JR &amp; DONNA MARIE (W)</t>
  </si>
  <si>
    <t>1338 LINCOLN AVE</t>
  </si>
  <si>
    <t xml:space="preserve">BLACK WILLIE J JR </t>
  </si>
  <si>
    <t xml:space="preserve">JACKSON DONNA M </t>
  </si>
  <si>
    <t>1336 LINCOLN AVE</t>
  </si>
  <si>
    <t>JOHNSON ARTHUR L &amp; MADALINE WF</t>
  </si>
  <si>
    <t>NEW GRACE MISSIONARY  BAPTIST CHURCH</t>
  </si>
  <si>
    <t>1548 LINCOLN AVE</t>
  </si>
  <si>
    <t xml:space="preserve">NEW GRACE MISSIONARY </t>
  </si>
  <si>
    <t xml:space="preserve">DIGGS MARY ANGELINA </t>
  </si>
  <si>
    <t>1536 LINCOLN AVE</t>
  </si>
  <si>
    <t>WARSAW ST</t>
  </si>
  <si>
    <t xml:space="preserve">CARRINGTON LEE W                                </t>
  </si>
  <si>
    <t>1522 LINCOLN AVE</t>
  </si>
  <si>
    <t>LEE W CARRINGTON</t>
  </si>
  <si>
    <t>MIDDLEFIELD DR</t>
  </si>
  <si>
    <t xml:space="preserve">TURNER DARA EBUN </t>
  </si>
  <si>
    <t>VAUGHN LILLIAN B &amp; DAVID H VAUGHN</t>
  </si>
  <si>
    <t>7144 LEMINGTON AVE</t>
  </si>
  <si>
    <t>PETERMANS LN</t>
  </si>
  <si>
    <t>BUTLER LAMONT  &amp; LANIECE (W)</t>
  </si>
  <si>
    <t>7127 LEMINGTON AVE</t>
  </si>
  <si>
    <t>WESTMONT AVE</t>
  </si>
  <si>
    <t xml:space="preserve">WADE BETTY F </t>
  </si>
  <si>
    <t>7135 LEMINGTON AVE</t>
  </si>
  <si>
    <t xml:space="preserve">STEVENSON CLARICE R </t>
  </si>
  <si>
    <t>EDGEWOOD AVE REAR</t>
  </si>
  <si>
    <t xml:space="preserve">SYLLA ABDOULAYE                                 </t>
  </si>
  <si>
    <t>7145 LEMINGTON AVE</t>
  </si>
  <si>
    <t>STANTON AVE APT 1</t>
  </si>
  <si>
    <t>READAL CHARLES VINCENT ETAL</t>
  </si>
  <si>
    <t xml:space="preserve">COLEMAN SHEVONNE </t>
  </si>
  <si>
    <t>1227 WESTMORELAND AVE</t>
  </si>
  <si>
    <t>TUCKER AMOS  &amp; MARY L (W)</t>
  </si>
  <si>
    <t xml:space="preserve">TUCKER AMOS  &amp; MARY LEE </t>
  </si>
  <si>
    <t>1307 WESTMORELAND AVE</t>
  </si>
  <si>
    <t xml:space="preserve">RAY STEVEN FRAZIER </t>
  </si>
  <si>
    <t>MONTIER ST</t>
  </si>
  <si>
    <t>STEVENSON CLARICE R      ETAL</t>
  </si>
  <si>
    <t>1405 WESTMORELAND AVE</t>
  </si>
  <si>
    <t>BURSE TRYONE A</t>
  </si>
  <si>
    <t xml:space="preserve">WALKER KEVIN </t>
  </si>
  <si>
    <t>1409 WESTMORELAND AVE</t>
  </si>
  <si>
    <t xml:space="preserve">ROBERSON ROY B &amp; ANNA M </t>
  </si>
  <si>
    <t>0 SUNFLOWER AVE</t>
  </si>
  <si>
    <t xml:space="preserve">MARGARETTA HOUSE LLC </t>
  </si>
  <si>
    <t>1515 WESTMORELAND AVE</t>
  </si>
  <si>
    <t>MARGARETTA HOUSE LLC</t>
  </si>
  <si>
    <t>IMPERIAL ST</t>
  </si>
  <si>
    <t>BANKERS TRUST COMPANY TRUSTEE</t>
  </si>
  <si>
    <t>1519 WESTMORELAND AVE</t>
  </si>
  <si>
    <t xml:space="preserve">JD HOUSE SOLUTION LLC </t>
  </si>
  <si>
    <t>1523 WESTMORELAND AVE</t>
  </si>
  <si>
    <t>JD HOUSE SOLUTION LLC</t>
  </si>
  <si>
    <t>EVERGREEN AVE</t>
  </si>
  <si>
    <t xml:space="preserve">DANSBY GARFIELD JAMES JR </t>
  </si>
  <si>
    <t>1529 WESTMORELAND AVE</t>
  </si>
  <si>
    <t>DANSBY GARFIELD JAMES</t>
  </si>
  <si>
    <t xml:space="preserve">GILMORE ALBERT  &amp; EVELYN </t>
  </si>
  <si>
    <t>GILMORE DOUGLAS</t>
  </si>
  <si>
    <t xml:space="preserve">CHAMBERS EDWARD W </t>
  </si>
  <si>
    <t xml:space="preserve">SHIELDS-TRAVIS GERRY </t>
  </si>
  <si>
    <t>1545 ELROD WAY</t>
  </si>
  <si>
    <t xml:space="preserve">SMALLWOOD JILL </t>
  </si>
  <si>
    <t>1551 WESTMORELAND AVE</t>
  </si>
  <si>
    <t xml:space="preserve">THOMPSON STEPHEN O </t>
  </si>
  <si>
    <t>REED ROBERT  &amp; ERNESTINE (W)</t>
  </si>
  <si>
    <t>1559 WESTMORELAND AVE</t>
  </si>
  <si>
    <t>ELLIS JOSEPH LEON &amp; CORRINE HERRING</t>
  </si>
  <si>
    <t>1573 ELROD WAY</t>
  </si>
  <si>
    <t>RITTER LEROY JR &amp; GERALDINE E (W)</t>
  </si>
  <si>
    <t>RITTER LEROY JR &amp; GER</t>
  </si>
  <si>
    <t>1567 ELROD WAY</t>
  </si>
  <si>
    <t xml:space="preserve">NICHOLS MARLISSA A </t>
  </si>
  <si>
    <t>1620 WESTMORELAND AVE</t>
  </si>
  <si>
    <t>JAMES DENNIS D &amp; VELMA E (W)</t>
  </si>
  <si>
    <t>1600 WESTMORELAND AVE</t>
  </si>
  <si>
    <t xml:space="preserve">ROBERTS DAVID L </t>
  </si>
  <si>
    <t>WESTMORLAND AVE</t>
  </si>
  <si>
    <t xml:space="preserve">DAVENPORT JAMES </t>
  </si>
  <si>
    <t>1566 WESTMORELAND AVE</t>
  </si>
  <si>
    <t xml:space="preserve">MCKINNEY BEVERLY </t>
  </si>
  <si>
    <t>1562 WESTMORELAND AVE</t>
  </si>
  <si>
    <t xml:space="preserve">WILLIAMS LARRY </t>
  </si>
  <si>
    <t xml:space="preserve">WILLIAMS VINCENT A </t>
  </si>
  <si>
    <t>PO BOX 5350</t>
  </si>
  <si>
    <t xml:space="preserve">FALLS MARCUS FRANK SR </t>
  </si>
  <si>
    <t>1522 WESTMORELAND AVE</t>
  </si>
  <si>
    <t>PERRY JOHN  &amp; MAGGIE L (W)</t>
  </si>
  <si>
    <t xml:space="preserve">PERRY JOHN  &amp; MAGGIE </t>
  </si>
  <si>
    <t xml:space="preserve">HILL KEITH </t>
  </si>
  <si>
    <t xml:space="preserve">HAYMON GERALD </t>
  </si>
  <si>
    <t>1502 WESTMORELAND AVE</t>
  </si>
  <si>
    <t>1400 WESTMORELAND AVE</t>
  </si>
  <si>
    <t>HENDERSON EUGENE  &amp; DOLORES J</t>
  </si>
  <si>
    <t>SPRINGWOOD DR</t>
  </si>
  <si>
    <t xml:space="preserve">WILLIAMS FRANCIS LOUISE </t>
  </si>
  <si>
    <t>1304 WESTMORELAND AVE</t>
  </si>
  <si>
    <t>WILLIAMS FRANCIS LOUI</t>
  </si>
  <si>
    <t>DOWDEN ROLAND C &amp; LAWANNA WF</t>
  </si>
  <si>
    <t>DOWDEN ROLAND C &amp; LAW</t>
  </si>
  <si>
    <t>RENOVA ST</t>
  </si>
  <si>
    <t xml:space="preserve">ANDERSON PHYLLIS J </t>
  </si>
  <si>
    <t>1529 BROADHEAD ST</t>
  </si>
  <si>
    <t xml:space="preserve">SUMMERS CHARLES S </t>
  </si>
  <si>
    <t>1539 BROADHEAD ST</t>
  </si>
  <si>
    <t xml:space="preserve">NELSON MOSES </t>
  </si>
  <si>
    <t>1541 BROADHEAD ST</t>
  </si>
  <si>
    <t xml:space="preserve">HAIRSTON STEPHEN </t>
  </si>
  <si>
    <t>1549 BROADHEAD ST</t>
  </si>
  <si>
    <t xml:space="preserve">OLADOSU MODESOLA </t>
  </si>
  <si>
    <t>1559 BROADHEAD ST</t>
  </si>
  <si>
    <t xml:space="preserve">GILBERT LESLIE L </t>
  </si>
  <si>
    <t>1601 BROADHEAD ST</t>
  </si>
  <si>
    <t xml:space="preserve">GROGAN RONALD J </t>
  </si>
  <si>
    <t>1605 BROADHEAD ST</t>
  </si>
  <si>
    <t>1609 BROADHEAD ST</t>
  </si>
  <si>
    <t>MCGINNIS SAMUEL H &amp; SHIRLEY J (W)</t>
  </si>
  <si>
    <t>SATTERWHITE WILLIAM  JAMES</t>
  </si>
  <si>
    <t>1611 BROADHEAD ST</t>
  </si>
  <si>
    <t>SATTERWHITE WILLIAM J</t>
  </si>
  <si>
    <t xml:space="preserve">BALDWIN TYRONE H </t>
  </si>
  <si>
    <t>1625 BROADHEAD ST</t>
  </si>
  <si>
    <t xml:space="preserve">BROWN JOHN </t>
  </si>
  <si>
    <t xml:space="preserve">MILLER ARDELLA L </t>
  </si>
  <si>
    <t>1602 BROADHEAD ST</t>
  </si>
  <si>
    <t>REO ACCEPTANCE  CORPORATION</t>
  </si>
  <si>
    <t>PO BOX 1711</t>
  </si>
  <si>
    <t xml:space="preserve">LAPRADE DENISE </t>
  </si>
  <si>
    <t>1542 BROADHEAD ST</t>
  </si>
  <si>
    <t xml:space="preserve">SMITH JOSEPHINE E &amp; WILLIAM S SMITH JR      </t>
  </si>
  <si>
    <t>1540 BROADHEAD ST</t>
  </si>
  <si>
    <t>CYNTHIA M SANDERS</t>
  </si>
  <si>
    <t>PO BOX 441</t>
  </si>
  <si>
    <t>ELIZABETHTOWN</t>
  </si>
  <si>
    <t xml:space="preserve">SMITH WILLIAM S &amp; JOSEPHINE E             </t>
  </si>
  <si>
    <t>SLOAN WILLIAM H &amp; DONNA M SLOAN</t>
  </si>
  <si>
    <t>1536 BROADHEAD ST</t>
  </si>
  <si>
    <t>SLOAN WILLIAM H &amp; DON</t>
  </si>
  <si>
    <t>MAHONEY RAYMOND B &amp; ETHEL H</t>
  </si>
  <si>
    <t>GIVNER DONALD A &amp; ERICA L (W)</t>
  </si>
  <si>
    <t>7229 SOMERSET ST</t>
  </si>
  <si>
    <t>GIVNER DONALD A &amp; ERI</t>
  </si>
  <si>
    <t>SOMMERSET ST</t>
  </si>
  <si>
    <t xml:space="preserve">DNTEAM HOLDINGS 1 LLC </t>
  </si>
  <si>
    <t>7231 SOMERSET ST</t>
  </si>
  <si>
    <t>HIDDEN POND DR</t>
  </si>
  <si>
    <t xml:space="preserve">GADSON MELISSA ANN </t>
  </si>
  <si>
    <t>7235 SOMERSET ST</t>
  </si>
  <si>
    <t xml:space="preserve">MONROE DURTARRIA </t>
  </si>
  <si>
    <t>7239 SOMERSET ST</t>
  </si>
  <si>
    <t>SSB (SLOVAK SAVING BA</t>
  </si>
  <si>
    <t>PERRY HWY</t>
  </si>
  <si>
    <t xml:space="preserve">HOPSON DONALD C </t>
  </si>
  <si>
    <t>0 SOMERSET ST</t>
  </si>
  <si>
    <t>SHAWN HOPSON</t>
  </si>
  <si>
    <t>FAIRVIEW DR</t>
  </si>
  <si>
    <t>P20 (PLAYER TO OWNER  LLC)</t>
  </si>
  <si>
    <t>7267 SOMERSET ST</t>
  </si>
  <si>
    <t xml:space="preserve">PAYNE ERIC D </t>
  </si>
  <si>
    <t>7318 JOSHUA ST</t>
  </si>
  <si>
    <t>CRESCENT HILLS RD</t>
  </si>
  <si>
    <t xml:space="preserve">FARROW YVONNE </t>
  </si>
  <si>
    <t>1603 WORTHINGTON ST</t>
  </si>
  <si>
    <t>1604 WORTHINGTON ST</t>
  </si>
  <si>
    <t>JOHNSON RONALD C &amp; TRAMAINE A YOUNG</t>
  </si>
  <si>
    <t>7305 SOMERSET ST</t>
  </si>
  <si>
    <t xml:space="preserve">M R S F ENTERPRISES LLC </t>
  </si>
  <si>
    <t>7272 SOMERSET ST</t>
  </si>
  <si>
    <t>M R S F ENTERPRISES L</t>
  </si>
  <si>
    <t>STONEVILLE ST</t>
  </si>
  <si>
    <t xml:space="preserve">WHITE WILLA C </t>
  </si>
  <si>
    <t>SUMPTER REUBEN &amp; MARY MEYERS</t>
  </si>
  <si>
    <t>7258 SOMERSET ST</t>
  </si>
  <si>
    <t xml:space="preserve">RAMSEY HOWARD T </t>
  </si>
  <si>
    <t>7254 SOMERSET ST</t>
  </si>
  <si>
    <t>SECOND AVE</t>
  </si>
  <si>
    <t xml:space="preserve">GIVNER DONALD </t>
  </si>
  <si>
    <t>7234 SOMERSET ST</t>
  </si>
  <si>
    <t xml:space="preserve">GIVNER DONALD A </t>
  </si>
  <si>
    <t>7228 SOMERSET ST</t>
  </si>
  <si>
    <t xml:space="preserve">GREENE DAYNE S </t>
  </si>
  <si>
    <t xml:space="preserve">GREEN SHARON L </t>
  </si>
  <si>
    <t>7224 SOMERSET ST</t>
  </si>
  <si>
    <t xml:space="preserve">STRADER VANCE </t>
  </si>
  <si>
    <t>7218 SOMERSET ST</t>
  </si>
  <si>
    <t xml:space="preserve">ROBINSON RICKEY C </t>
  </si>
  <si>
    <t>SUSQUEHANNA ST</t>
  </si>
  <si>
    <t>RUBENSTEIN MARGUERITE RD &amp; MORRIS B (H)</t>
  </si>
  <si>
    <t>E HARDIES RD</t>
  </si>
  <si>
    <t xml:space="preserve">BATES SIDNEY S                                  </t>
  </si>
  <si>
    <t>1645 BROADHEAD ST</t>
  </si>
  <si>
    <t>BATES SIDNEY S</t>
  </si>
  <si>
    <t xml:space="preserve">MUCKLER CARROLL C </t>
  </si>
  <si>
    <t xml:space="preserve">SMITH JON W </t>
  </si>
  <si>
    <t xml:space="preserve">SMITH JON </t>
  </si>
  <si>
    <t>TURNER MARIANNE ANDERSON &amp; DUANE (H)</t>
  </si>
  <si>
    <t>W MORSE AVE</t>
  </si>
  <si>
    <t>TURNER MARIANNE ANDRSON  &amp; DUANE (H)</t>
  </si>
  <si>
    <t>TURNER MARIANNE ANDRS</t>
  </si>
  <si>
    <t>W MORES AVE</t>
  </si>
  <si>
    <t>SCHWAN WILLIAM C &amp; ROSE R</t>
  </si>
  <si>
    <t>HEDING DR</t>
  </si>
  <si>
    <t xml:space="preserve">LEE MARBELLA JOSEFINA                           </t>
  </si>
  <si>
    <t>1634 BROADHEAD ST</t>
  </si>
  <si>
    <t>MARBELLA JOSEFINA LEE</t>
  </si>
  <si>
    <t xml:space="preserve">ALLIE ANNIE L </t>
  </si>
  <si>
    <t>1632 BROADHEAD ST</t>
  </si>
  <si>
    <t>TACOMA ST</t>
  </si>
  <si>
    <t xml:space="preserve">GUY DANIEL M </t>
  </si>
  <si>
    <t xml:space="preserve">PARKVALE SVGS ASSN </t>
  </si>
  <si>
    <t>0 WORTHINGTON ST</t>
  </si>
  <si>
    <t>8TH ST</t>
  </si>
  <si>
    <t xml:space="preserve">PRINCE WILLIAM </t>
  </si>
  <si>
    <t>1618 BROADHEAD ST</t>
  </si>
  <si>
    <t xml:space="preserve">PRINCE WILLIAM A </t>
  </si>
  <si>
    <t>1616 BROADHEAD ST</t>
  </si>
  <si>
    <t>WILLIAM A PRINCE</t>
  </si>
  <si>
    <t>SCHOOL DISTRICT OF  PITTSBURGH</t>
  </si>
  <si>
    <t>SCHOOL DISTRICT OF PG</t>
  </si>
  <si>
    <t xml:space="preserve">SCOTT LOIS </t>
  </si>
  <si>
    <t>WORTHING ST</t>
  </si>
  <si>
    <t xml:space="preserve">SCOTT LOIS ROBERTS </t>
  </si>
  <si>
    <t>STRUTHERS</t>
  </si>
  <si>
    <t>SCOTT CHARLES E &amp; BERNICE</t>
  </si>
  <si>
    <t xml:space="preserve">PREDMORE CLYDE P </t>
  </si>
  <si>
    <t>UNDELIVABLE</t>
  </si>
  <si>
    <t xml:space="preserve">LEWIS PATRICIA V </t>
  </si>
  <si>
    <t xml:space="preserve">URDIALES GERALDINE </t>
  </si>
  <si>
    <t>JOHNSON RICHARD  &amp; BOBBIE (W)</t>
  </si>
  <si>
    <t xml:space="preserve">MAHONE ROSEMARIE </t>
  </si>
  <si>
    <t>0 BRUSHTON AVE</t>
  </si>
  <si>
    <t>WHITNEY AVE</t>
  </si>
  <si>
    <t xml:space="preserve">WASHINGTON ELEANOR P </t>
  </si>
  <si>
    <t>7369 SOMERSET ST</t>
  </si>
  <si>
    <t>SN SERVICING CORP</t>
  </si>
  <si>
    <t xml:space="preserve">TURNER LEE  &amp; ELDORA </t>
  </si>
  <si>
    <t>JONES LOUIS EVERETT &amp; RITA G (W)</t>
  </si>
  <si>
    <t>HIGHTOWER MADELINE C &amp; E IMELDA JOHNSON</t>
  </si>
  <si>
    <t xml:space="preserve">JOHNSON JAMES L </t>
  </si>
  <si>
    <t xml:space="preserve">CAPITAL ESTABLISHMENTS </t>
  </si>
  <si>
    <t>1610 WORTHINGTON ST</t>
  </si>
  <si>
    <t>DANIELS WALTER L &amp; MARY L (W)</t>
  </si>
  <si>
    <t>7308 SOMERSET ST</t>
  </si>
  <si>
    <t>DANIELS WALTER L &amp; MA</t>
  </si>
  <si>
    <t>JEFFERSON BRYANT  &amp; VIOLA</t>
  </si>
  <si>
    <t>7320 SOMERSET ST</t>
  </si>
  <si>
    <t xml:space="preserve">PATTEN CYNTHIA A </t>
  </si>
  <si>
    <t>SHARPLEY JAMES W SR &amp; NYDIA L (W)</t>
  </si>
  <si>
    <t>STEPHEN SHARPLEY</t>
  </si>
  <si>
    <t>FULMORE PHILLINE AUSTIN  &amp; EUGENE (H)</t>
  </si>
  <si>
    <t xml:space="preserve">LEVEL X HYBRID LLC </t>
  </si>
  <si>
    <t>7346 SOMERSET ST</t>
  </si>
  <si>
    <t>LEVEL X HYBRID LLC</t>
  </si>
  <si>
    <t xml:space="preserve">RIOS JEAN </t>
  </si>
  <si>
    <t>1308 OLIVANT ST</t>
  </si>
  <si>
    <t>PO BOX 245</t>
  </si>
  <si>
    <t>GOLDENS BRIDGE</t>
  </si>
  <si>
    <t xml:space="preserve">JENKINS MARVA </t>
  </si>
  <si>
    <t>1306 OLIVANT ST</t>
  </si>
  <si>
    <t>E UPSAL ST APT 102E</t>
  </si>
  <si>
    <t>JOHNSON GEORGE K &amp; VIOLET (W)</t>
  </si>
  <si>
    <t>JOHNSON GEORGE K JR &amp; VIOLET</t>
  </si>
  <si>
    <t>1302 OLIVANT ST</t>
  </si>
  <si>
    <t xml:space="preserve">LONG GUY S &amp; MAY D </t>
  </si>
  <si>
    <t>KIMBALL RANDOLPH L &amp; INDIANA (W)</t>
  </si>
  <si>
    <t>1237 POINTVIEW ST</t>
  </si>
  <si>
    <t xml:space="preserve">TAYLOR LARHONDA </t>
  </si>
  <si>
    <t xml:space="preserve">HARDY LAURA MOZELLE </t>
  </si>
  <si>
    <t>1303 POINTVIEW ST</t>
  </si>
  <si>
    <t>MAURICE CT</t>
  </si>
  <si>
    <t xml:space="preserve">SYMMS MARK ANTHONY </t>
  </si>
  <si>
    <t>1305 POINTVIEW ST</t>
  </si>
  <si>
    <t xml:space="preserve">MARSHALL RENEE B </t>
  </si>
  <si>
    <t>1309 POINTVIEW ST</t>
  </si>
  <si>
    <t>POINTVIEW DR</t>
  </si>
  <si>
    <t>JAMISON ROBERT S &amp; DARLENE (W)</t>
  </si>
  <si>
    <t>JAMISON ROBERT S &amp; DA</t>
  </si>
  <si>
    <t>CENTRE AVE APT 610</t>
  </si>
  <si>
    <t>DE ROOS FAMILY LIVING  TRUST (THE)</t>
  </si>
  <si>
    <t>CEDAR ST</t>
  </si>
  <si>
    <t>WALLACE</t>
  </si>
  <si>
    <t xml:space="preserve">MORAN MAURICE                                   </t>
  </si>
  <si>
    <t>1320 POINTVIEW ST</t>
  </si>
  <si>
    <t>RITZLAND RD</t>
  </si>
  <si>
    <t xml:space="preserve">MARTIN KELLY C </t>
  </si>
  <si>
    <t>BULLARD LISA &amp; HOWARD D BULLARD (H)</t>
  </si>
  <si>
    <t>1302 POINTVIEW ST</t>
  </si>
  <si>
    <t>BULLARD LISA &amp; HOWARD</t>
  </si>
  <si>
    <t>WOODBINE WAY</t>
  </si>
  <si>
    <t>PLAIN CITY</t>
  </si>
  <si>
    <t>DAVIS CLARENCE C &amp; DOLORES V</t>
  </si>
  <si>
    <t>DAVIS CLARENCE C &amp; DO</t>
  </si>
  <si>
    <t xml:space="preserve">LEBRON FELICIANO </t>
  </si>
  <si>
    <t>1244 POINTVIEW ST</t>
  </si>
  <si>
    <t xml:space="preserve">LEBRON ELIZABETH </t>
  </si>
  <si>
    <t>OPERATION DIG CAREERS INC</t>
  </si>
  <si>
    <t>TIOGA ST</t>
  </si>
  <si>
    <t xml:space="preserve">HUNTER GROVER D &amp; LOUISE </t>
  </si>
  <si>
    <t>1230 POINTVIEW ST</t>
  </si>
  <si>
    <t>HUNTER GROVER D &amp; LOU</t>
  </si>
  <si>
    <t xml:space="preserve">ALLEN ARN SR </t>
  </si>
  <si>
    <t>KENDON DR</t>
  </si>
  <si>
    <t xml:space="preserve">PATTON GREGORY B </t>
  </si>
  <si>
    <t xml:space="preserve">FOGLE STANLEY  &amp; EDITH </t>
  </si>
  <si>
    <t xml:space="preserve">DUDLY GEORGE C </t>
  </si>
  <si>
    <t>PO BOX 254</t>
  </si>
  <si>
    <t xml:space="preserve">WILDS JOANNE </t>
  </si>
  <si>
    <t xml:space="preserve">MCCOY JAMES A </t>
  </si>
  <si>
    <t>CLARK CRAIG W &amp; ADDIE D CLARK</t>
  </si>
  <si>
    <t>1271 ARBOR ST</t>
  </si>
  <si>
    <t xml:space="preserve">LARKINS KENNETH </t>
  </si>
  <si>
    <t>1273 ARBOR ST</t>
  </si>
  <si>
    <t xml:space="preserve">WILLIAMS DARNIECE </t>
  </si>
  <si>
    <t>1313 LINCOLN AVE</t>
  </si>
  <si>
    <t>BIVINS DARNEICE</t>
  </si>
  <si>
    <t xml:space="preserve">STROTHERS JOHN L </t>
  </si>
  <si>
    <t xml:space="preserve">WALKER MAJOR  &amp; VINEY </t>
  </si>
  <si>
    <t>FRANKSTOWN AVE APT 609</t>
  </si>
  <si>
    <t xml:space="preserve">MARTIN PHILLIP S </t>
  </si>
  <si>
    <t>PO BOX 4902</t>
  </si>
  <si>
    <t>HAWKINS WILLIAM M &amp; MARY E</t>
  </si>
  <si>
    <t xml:space="preserve">GANTT MAMIE LOU </t>
  </si>
  <si>
    <t>N MAIN ST STE 106</t>
  </si>
  <si>
    <t>HARDAWAY WALTER J &amp; DOROTHY M</t>
  </si>
  <si>
    <t>PO BOX 4816</t>
  </si>
  <si>
    <t>WC HOME ACCESS OWNER PA  3 LLC</t>
  </si>
  <si>
    <t>1217 LINCOLN AVE</t>
  </si>
  <si>
    <t xml:space="preserve">WC HOME ACCESS OWNER </t>
  </si>
  <si>
    <t>MADISON AVE STE 2890</t>
  </si>
  <si>
    <t xml:space="preserve">JOYNER JAMES J &amp; ARMA J </t>
  </si>
  <si>
    <t xml:space="preserve">WASHINGTON MARIE </t>
  </si>
  <si>
    <t xml:space="preserve">SNYDER SHIRLEY JR </t>
  </si>
  <si>
    <t>1231 LINCOLN AVE</t>
  </si>
  <si>
    <t>PO BOX 4878</t>
  </si>
  <si>
    <t xml:space="preserve">BLACK-MCCOY ANDREA </t>
  </si>
  <si>
    <t>1229 LINCOLN AVE</t>
  </si>
  <si>
    <t xml:space="preserve">TWYMAN ARTHUR W &amp; GENEVA M                </t>
  </si>
  <si>
    <t>1225 LINCOLN AVE</t>
  </si>
  <si>
    <t>TWYMAN ARTHUR W &amp; GEN</t>
  </si>
  <si>
    <t>E WASHINGTON ST APT 1011</t>
  </si>
  <si>
    <t>HAGERSTOWN</t>
  </si>
  <si>
    <t xml:space="preserve">ROBERTS GRETA A </t>
  </si>
  <si>
    <t>1221 LINCOLN AVE</t>
  </si>
  <si>
    <t>ROSLYN AVE</t>
  </si>
  <si>
    <t>DISTRICT HEIGH</t>
  </si>
  <si>
    <t>M BLACKMAN INVESTMENTS  LLC</t>
  </si>
  <si>
    <t>M BLACKMAN INVESTMENT</t>
  </si>
  <si>
    <t xml:space="preserve">PARKER CLARENCE JR </t>
  </si>
  <si>
    <t>1250 LINCOLN AVE</t>
  </si>
  <si>
    <t>PORTER WARDELL  &amp; JUANITA</t>
  </si>
  <si>
    <t>1258 LINCOLN AVE</t>
  </si>
  <si>
    <t xml:space="preserve">KIRKLAND SEMAJ </t>
  </si>
  <si>
    <t>1306 LINCOLN AVE</t>
  </si>
  <si>
    <t xml:space="preserve">HENDERSON MARSHONDA </t>
  </si>
  <si>
    <t>JENKINS RALPH  &amp; JOANN (W)</t>
  </si>
  <si>
    <t>PROPHET NOBLE DREW ALI REINCARNATED</t>
  </si>
  <si>
    <t>MST OF A PROPHET NOBLE DREW ALI REINCARN ATED</t>
  </si>
  <si>
    <t xml:space="preserve">PARHAM ALLAN  &amp; ZELNORA </t>
  </si>
  <si>
    <t>PARHAM ALLAN  &amp; ZELNO</t>
  </si>
  <si>
    <t>FRANKSTOWN RD UNIT 712</t>
  </si>
  <si>
    <t>1333 GROTTO ST</t>
  </si>
  <si>
    <t xml:space="preserve">TIMES LEROY </t>
  </si>
  <si>
    <t>WOODS RD</t>
  </si>
  <si>
    <t>WILLIAMS LEONARD  &amp; MARIE</t>
  </si>
  <si>
    <t>1329 GROTTO ST</t>
  </si>
  <si>
    <t xml:space="preserve">BLYE MARY E </t>
  </si>
  <si>
    <t>1323 GROTTO ST</t>
  </si>
  <si>
    <t xml:space="preserve">GARRETT WILLIAM  &amp; JEAN </t>
  </si>
  <si>
    <t>1307 GROTTO ST</t>
  </si>
  <si>
    <t>COLEMAN SOLOMON E &amp; DOROTHY</t>
  </si>
  <si>
    <t xml:space="preserve">PATTERSON DARLENE </t>
  </si>
  <si>
    <t>1241 GROTTO ST</t>
  </si>
  <si>
    <t xml:space="preserve">BEASLEY ENTERPRISES LLC </t>
  </si>
  <si>
    <t>1231 GROTTO ST</t>
  </si>
  <si>
    <t>PO BOX 27020</t>
  </si>
  <si>
    <t xml:space="preserve">MC ELROY JAMES M                                </t>
  </si>
  <si>
    <t>GRANT ST STE 1130</t>
  </si>
  <si>
    <t xml:space="preserve">COLLINS SARAH </t>
  </si>
  <si>
    <t xml:space="preserve">BROWN IDA V L/EST                               </t>
  </si>
  <si>
    <t>ENRIGHT AVE</t>
  </si>
  <si>
    <t xml:space="preserve">BERRY CORRENE </t>
  </si>
  <si>
    <t>1240 GROTTO ST</t>
  </si>
  <si>
    <t xml:space="preserve">MASON WILLIAM H </t>
  </si>
  <si>
    <t>324 MINGO ST</t>
  </si>
  <si>
    <t>MINGO ST</t>
  </si>
  <si>
    <t>327 MINGO ST</t>
  </si>
  <si>
    <t xml:space="preserve">ROBERTS MARTHA </t>
  </si>
  <si>
    <t xml:space="preserve">CROSBY CEDRIC </t>
  </si>
  <si>
    <t>BEASLEY JAMES  &amp; FRANCES (W)</t>
  </si>
  <si>
    <t xml:space="preserve">MARRERO IMELDA </t>
  </si>
  <si>
    <t>1316 GROTTO ST</t>
  </si>
  <si>
    <t>WOODLAND AVE</t>
  </si>
  <si>
    <t>MARTIN ROBERT T &amp; ROSE (W)</t>
  </si>
  <si>
    <t>1326 GROTTO ST</t>
  </si>
  <si>
    <t>LAWHORN JULIUS W &amp; MARY S LAWHORN</t>
  </si>
  <si>
    <t>LAWHORN JULIUS W &amp; MA</t>
  </si>
  <si>
    <t>PENN AVE APT C23</t>
  </si>
  <si>
    <t>1332 GROTTO ST</t>
  </si>
  <si>
    <t xml:space="preserve">ADAMS THOMAS E &amp; GENEVA </t>
  </si>
  <si>
    <t>7111 GLADEFIELD ST</t>
  </si>
  <si>
    <t>GLADEFIELD ST</t>
  </si>
  <si>
    <t xml:space="preserve">LUSTER ANDREW                                   </t>
  </si>
  <si>
    <t>0 VASSAR ST</t>
  </si>
  <si>
    <t>VASSAR ST</t>
  </si>
  <si>
    <t xml:space="preserve">TYH PA 9 LLC </t>
  </si>
  <si>
    <t>7129 VASSAR ST</t>
  </si>
  <si>
    <t>TYH PA 9 LLC</t>
  </si>
  <si>
    <t>PO BOX 81865</t>
  </si>
  <si>
    <t>7131 VASSAR ST</t>
  </si>
  <si>
    <t>SHELBIES LLC</t>
  </si>
  <si>
    <t>INDIAN CREEK RD</t>
  </si>
  <si>
    <t>WYNNEWOOD</t>
  </si>
  <si>
    <t>MOORE OTHELLO  &amp; DOLLY (W)</t>
  </si>
  <si>
    <t xml:space="preserve">ROBINSON THELMA A </t>
  </si>
  <si>
    <t>SCHLEY ST</t>
  </si>
  <si>
    <t xml:space="preserve">HOTALING NATALIE J                              </t>
  </si>
  <si>
    <t>1208 WESTMORELAND AVE</t>
  </si>
  <si>
    <t xml:space="preserve">GREEN DAVID L </t>
  </si>
  <si>
    <t>7205 LEMINGTON AVE</t>
  </si>
  <si>
    <t xml:space="preserve">TYH PA 8 LLC </t>
  </si>
  <si>
    <t>7215 LEMINGTON AVE</t>
  </si>
  <si>
    <t>TYH PA 8 LLC</t>
  </si>
  <si>
    <t>MURRAY AVE 81865</t>
  </si>
  <si>
    <t xml:space="preserve">BENJAMIN DAISY </t>
  </si>
  <si>
    <t>7229 LEMINGTON AVE</t>
  </si>
  <si>
    <t xml:space="preserve">GERMANY JUNIOR L </t>
  </si>
  <si>
    <t>7249 LEMINGTON AVE</t>
  </si>
  <si>
    <t>CORBIN MARTINA  &amp; MARY BURTON</t>
  </si>
  <si>
    <t>CRESTWOOD DR</t>
  </si>
  <si>
    <t xml:space="preserve">GLOVER PAULA R </t>
  </si>
  <si>
    <t xml:space="preserve">HANDLEY MARION P </t>
  </si>
  <si>
    <t xml:space="preserve">ROBINSON MICHAEL W </t>
  </si>
  <si>
    <t>7214 LEMINGTON AVE</t>
  </si>
  <si>
    <t xml:space="preserve">RHOADES RAYMOND </t>
  </si>
  <si>
    <t>W PHIL ELLENA ST</t>
  </si>
  <si>
    <t>BANKERS TRUST COMPANY OF CALIFORNIA</t>
  </si>
  <si>
    <t>ROBINSON CHARLES G &amp; DOROTHY (W)</t>
  </si>
  <si>
    <t xml:space="preserve">TURNER ROBERT J </t>
  </si>
  <si>
    <t>7170 LEMINGTON AVE</t>
  </si>
  <si>
    <t xml:space="preserve">GUNN CARL E </t>
  </si>
  <si>
    <t>PO BOX 4694</t>
  </si>
  <si>
    <t>WOOD JEAN  &amp; HERBET SAVAGE</t>
  </si>
  <si>
    <t>7148 LEMINGTON AVE</t>
  </si>
  <si>
    <t>WOOD JEAN  &amp; HERBET S</t>
  </si>
  <si>
    <t>ZENMON QUINCY  &amp; MONICA (W)</t>
  </si>
  <si>
    <t>DAVIS MARSHALL &amp; LAVONNE DAVIS</t>
  </si>
  <si>
    <t>7125 GLADEFIELD ST</t>
  </si>
  <si>
    <t xml:space="preserve">TIBBS LOTTIE </t>
  </si>
  <si>
    <t>0 GLADEFIELD ST</t>
  </si>
  <si>
    <t xml:space="preserve">COUCH HERBERT W </t>
  </si>
  <si>
    <t xml:space="preserve">COUCH HERBERT W JR </t>
  </si>
  <si>
    <t>GLADFIELD AVE</t>
  </si>
  <si>
    <t xml:space="preserve">LEWIS AUGUST J </t>
  </si>
  <si>
    <t>0 OAKDENE ST</t>
  </si>
  <si>
    <t>S INGLESIDE AVE</t>
  </si>
  <si>
    <t xml:space="preserve">DEMBY ROBIN </t>
  </si>
  <si>
    <t>7136 GLADEFIELD ST</t>
  </si>
  <si>
    <t xml:space="preserve">SNYDER DEBRA                                    </t>
  </si>
  <si>
    <t>7281 LEMINGTON AVE</t>
  </si>
  <si>
    <t>MASON WILBERT H &amp; ELAINE J</t>
  </si>
  <si>
    <t>7283 LEMINGTON AVE</t>
  </si>
  <si>
    <t xml:space="preserve">ALI GLENN </t>
  </si>
  <si>
    <t>7285 LEMINGTON AVE</t>
  </si>
  <si>
    <t>GLENMORE DR</t>
  </si>
  <si>
    <t xml:space="preserve">NEDSEM INVESTMENTS LLC </t>
  </si>
  <si>
    <t>7287 LEMINGTON AVE</t>
  </si>
  <si>
    <t>REGAIRE INVESTMENTS L</t>
  </si>
  <si>
    <t>NORTHPARK BLVD STE C</t>
  </si>
  <si>
    <t>PATTEN PETER  &amp; THERESA M</t>
  </si>
  <si>
    <t>7297 LEMINGTON AVE</t>
  </si>
  <si>
    <t xml:space="preserve">BRASSEL AGNES </t>
  </si>
  <si>
    <t>7301 LEMINGTON AVE</t>
  </si>
  <si>
    <t>TENCH CLINTON C &amp; VERDEAL</t>
  </si>
  <si>
    <t xml:space="preserve">SENIOR RICARDO </t>
  </si>
  <si>
    <t>7317 LEMINGTON AVE</t>
  </si>
  <si>
    <t xml:space="preserve">LEE LAURA &amp; DONNIE (H) </t>
  </si>
  <si>
    <t>7280 LEMINGTON AVE</t>
  </si>
  <si>
    <t xml:space="preserve">LEE DONNIE &amp; LAURA L (W) </t>
  </si>
  <si>
    <t>7284 LEMINGTON AVE</t>
  </si>
  <si>
    <t>LEE DONNIE &amp; LAURA L</t>
  </si>
  <si>
    <t xml:space="preserve">FINNEY UZELL JR </t>
  </si>
  <si>
    <t>1549 OAKDENE ST</t>
  </si>
  <si>
    <t>OAKDENE ST</t>
  </si>
  <si>
    <t xml:space="preserve">RIEGER GEORGE  &amp; ANNIE F </t>
  </si>
  <si>
    <t>1541 OAKDENE ST</t>
  </si>
  <si>
    <t>HOPSON CYNTHIA A &amp; ROGER T JAMES (H)</t>
  </si>
  <si>
    <t>BOGMAN INC</t>
  </si>
  <si>
    <t xml:space="preserve">ROBINSON CYNTHIA M </t>
  </si>
  <si>
    <t>1533 OAKDENE ST</t>
  </si>
  <si>
    <t xml:space="preserve">STUBBS KENNETH LEE </t>
  </si>
  <si>
    <t>CLIFFORD ST</t>
  </si>
  <si>
    <t>1504 OAKDENE ST</t>
  </si>
  <si>
    <t>BASI HENRY W &amp; JOSEPHINE ODEN</t>
  </si>
  <si>
    <t>BASI HENRY W &amp; JOSEPH</t>
  </si>
  <si>
    <t>PMB 3  234  N. ALLEN AVE</t>
  </si>
  <si>
    <t>PASEDENA</t>
  </si>
  <si>
    <t xml:space="preserve">YATES WOODROW </t>
  </si>
  <si>
    <t>DANA YATES</t>
  </si>
  <si>
    <t xml:space="preserve">HEMMINGS MERLE </t>
  </si>
  <si>
    <t>1520 OAKDENE ST</t>
  </si>
  <si>
    <t>DOROTHY DR</t>
  </si>
  <si>
    <t xml:space="preserve">WORTHY ERIC </t>
  </si>
  <si>
    <t>1527 OBERLIN ST</t>
  </si>
  <si>
    <t xml:space="preserve">HICKMAN HATTIE H </t>
  </si>
  <si>
    <t>1521 OBERLIN ST</t>
  </si>
  <si>
    <t xml:space="preserve">HICKMAN HATTIE H C/O </t>
  </si>
  <si>
    <t>ALCOMA BLVD APT G 316</t>
  </si>
  <si>
    <t xml:space="preserve">JOHNSON TEDDY </t>
  </si>
  <si>
    <t>1513 OBERLIN ST</t>
  </si>
  <si>
    <t>OBERLIN ST</t>
  </si>
  <si>
    <t xml:space="preserve">BOTTOMS REGINA LYNN </t>
  </si>
  <si>
    <t>1503 OBERLIN ST</t>
  </si>
  <si>
    <t>GALLMAN WHIT L JR &amp; WILLETTE (W)</t>
  </si>
  <si>
    <t>0 OBERLIN ST</t>
  </si>
  <si>
    <t xml:space="preserve">WILKES DIANE </t>
  </si>
  <si>
    <t>1528 OBERLIN ST</t>
  </si>
  <si>
    <t xml:space="preserve">SNINSKY RON </t>
  </si>
  <si>
    <t>1538 OBERLIN ST</t>
  </si>
  <si>
    <t>SNINSKY RONALD</t>
  </si>
  <si>
    <t>BRIGHTON PL</t>
  </si>
  <si>
    <t xml:space="preserve">MORGAN CHARLOTTE M </t>
  </si>
  <si>
    <t>1542 OBERLIN ST</t>
  </si>
  <si>
    <t>PO BOX 1504</t>
  </si>
  <si>
    <t>FREDERIKSTED</t>
  </si>
  <si>
    <t>VI</t>
  </si>
  <si>
    <t>AM COTTICA REAL ESTATE  LLC</t>
  </si>
  <si>
    <t>1550 OBERLIN ST</t>
  </si>
  <si>
    <t>AM COTTICA REAL ESTAT</t>
  </si>
  <si>
    <t>1554 OBERLIN ST</t>
  </si>
  <si>
    <t>7332 LEMINGTON AVE</t>
  </si>
  <si>
    <t>SCOTT LAKEY O &amp; CASSANDRA</t>
  </si>
  <si>
    <t>PIEDMONT  ROAD</t>
  </si>
  <si>
    <t>BRASSELL ARTHUR  &amp; AGNES (W)</t>
  </si>
  <si>
    <t>THOMPSON PROPERTY  DEVELOPMENT</t>
  </si>
  <si>
    <t>7342 LEMINGTON AVE</t>
  </si>
  <si>
    <t>THOMPSON PROPERTY DEV</t>
  </si>
  <si>
    <t xml:space="preserve">GORE WILLIAM G JR </t>
  </si>
  <si>
    <t>7354 LEMINGTON AVE</t>
  </si>
  <si>
    <t>MARY ST</t>
  </si>
  <si>
    <t>EAST STROUDSBU</t>
  </si>
  <si>
    <t xml:space="preserve">BROWN LARRY ARNOLD SR                           </t>
  </si>
  <si>
    <t>1460 OBERLIN ST</t>
  </si>
  <si>
    <t>1204 LINCOLN AVE</t>
  </si>
  <si>
    <t>1200 LINCOLN AVE</t>
  </si>
  <si>
    <t>ROBINSON AVE</t>
  </si>
  <si>
    <t xml:space="preserve">JAY DARRYL W </t>
  </si>
  <si>
    <t>KENWOOD AVE</t>
  </si>
  <si>
    <t xml:space="preserve">PRESSLEY DAISY MAE </t>
  </si>
  <si>
    <t>7047 APPLE ST</t>
  </si>
  <si>
    <t xml:space="preserve">RICHARDSON ALMA D </t>
  </si>
  <si>
    <t>ROBINA DR</t>
  </si>
  <si>
    <t xml:space="preserve">RICHARDSON ALMA </t>
  </si>
  <si>
    <t>HARRIS ROBERT B &amp; DOROTHY R (W)</t>
  </si>
  <si>
    <t xml:space="preserve">RICHARDSON DOROTHY </t>
  </si>
  <si>
    <t>HARDAWAY THADDEUS J &amp; ELLEN A (W)</t>
  </si>
  <si>
    <t>BLACKADORE AVE</t>
  </si>
  <si>
    <t xml:space="preserve">NATIONAL OPERA HOUSE </t>
  </si>
  <si>
    <t>7101 APPLE ST</t>
  </si>
  <si>
    <t>NATIONAL OPERA HOUSE</t>
  </si>
  <si>
    <t>BOYLE ST</t>
  </si>
  <si>
    <t>PITTSBURGH BROTHREN NC  INC</t>
  </si>
  <si>
    <t>PITTSBURGH BROTHREN N</t>
  </si>
  <si>
    <t>TURNER PAUL A &amp; DIANE T (W)</t>
  </si>
  <si>
    <t>TURNER PAUL A &amp; DIANE</t>
  </si>
  <si>
    <t>ROBINSON LOWDE  &amp; ALICE (W)</t>
  </si>
  <si>
    <t>0 CHAUCER ST</t>
  </si>
  <si>
    <t xml:space="preserve">BASKIN RASHEED S </t>
  </si>
  <si>
    <t>6933 CHAUCER ST</t>
  </si>
  <si>
    <t>BASKIN RASHEED S</t>
  </si>
  <si>
    <t>N LANG AVE</t>
  </si>
  <si>
    <t xml:space="preserve">ARTEMUS IRA LEE </t>
  </si>
  <si>
    <t>6939 CHAUCER ST</t>
  </si>
  <si>
    <t>IRA LEE ARTEMUS</t>
  </si>
  <si>
    <t xml:space="preserve">HUBBARD NATHAN </t>
  </si>
  <si>
    <t>0 N MURTLAND ST</t>
  </si>
  <si>
    <t xml:space="preserve">ALLEN DARLENE </t>
  </si>
  <si>
    <t>ST</t>
  </si>
  <si>
    <t xml:space="preserve">MCCOY LAVENIA </t>
  </si>
  <si>
    <t xml:space="preserve">REISCH ROBERT </t>
  </si>
  <si>
    <t>1509 N MURTLAND ST</t>
  </si>
  <si>
    <t xml:space="preserve">MOSLEY STANLEY C </t>
  </si>
  <si>
    <t>1507 N MURTLAND ST</t>
  </si>
  <si>
    <t xml:space="preserve">MALLOY SHAMON </t>
  </si>
  <si>
    <t>ELIAS DR</t>
  </si>
  <si>
    <t xml:space="preserve">LOWRY RONALD </t>
  </si>
  <si>
    <t>7220 MINGO ST</t>
  </si>
  <si>
    <t>LOWRY RONALD</t>
  </si>
  <si>
    <t xml:space="preserve">BEAN HATTIE R </t>
  </si>
  <si>
    <t>7226 MINGO ST</t>
  </si>
  <si>
    <t>JONES LUTHER  &amp; FRANKIE A (W)</t>
  </si>
  <si>
    <t>0 HILLIARDS ST</t>
  </si>
  <si>
    <t>SILVERTON AVE</t>
  </si>
  <si>
    <t xml:space="preserve">HUTSON ERMA POOLE </t>
  </si>
  <si>
    <t>7225 HILLIARDS ST</t>
  </si>
  <si>
    <t>HILLIARDS ST</t>
  </si>
  <si>
    <t xml:space="preserve">STEWART EARL </t>
  </si>
  <si>
    <t>MAPLE VIEW DR</t>
  </si>
  <si>
    <t xml:space="preserve">BURKE SHERMELL                                  </t>
  </si>
  <si>
    <t>1509 OAKDENE ST</t>
  </si>
  <si>
    <t>BURKE SHERMELL</t>
  </si>
  <si>
    <t>1443 OAKDENE ST</t>
  </si>
  <si>
    <t>LENA'S WINGS &amp; THINGS LLC</t>
  </si>
  <si>
    <t>1433 OAKDENE ST</t>
  </si>
  <si>
    <t>LENA'S WINGS &amp; THINGS</t>
  </si>
  <si>
    <t>LEISHMAN AVE</t>
  </si>
  <si>
    <t>SPF HOMES 2 LLC          ETAL</t>
  </si>
  <si>
    <t>1419 OAKDENE ST</t>
  </si>
  <si>
    <t>RYAN  LLC</t>
  </si>
  <si>
    <t>PO BOX 4900</t>
  </si>
  <si>
    <t>SCOTTSDALE</t>
  </si>
  <si>
    <t xml:space="preserve">GOBBLE EVA MARIE  ROBINSON                </t>
  </si>
  <si>
    <t>DONNA SNYDER</t>
  </si>
  <si>
    <t>1337 OAKDENE ST</t>
  </si>
  <si>
    <t>THOMPSON JAMES E &amp; BLANCHE W</t>
  </si>
  <si>
    <t>0 SILVERTON AVE</t>
  </si>
  <si>
    <t>THOMPSON JAMES E &amp; BL</t>
  </si>
  <si>
    <t>SILVERTON ST</t>
  </si>
  <si>
    <t>GRIGGS JUDITH R &amp; PHILLIP L (H)</t>
  </si>
  <si>
    <t>1344 SILVERTON AVE</t>
  </si>
  <si>
    <t xml:space="preserve">TILLMAN JOHN L &amp; ANNA </t>
  </si>
  <si>
    <t>279 SILVERTON AVE</t>
  </si>
  <si>
    <t>BRICELYN ST</t>
  </si>
  <si>
    <t xml:space="preserve">LEWIS JAMES </t>
  </si>
  <si>
    <t>7220 HILLIARDS ST</t>
  </si>
  <si>
    <t>BRIGHTON RD</t>
  </si>
  <si>
    <t>CALFEE CURTIS G &amp; JANE M (W)</t>
  </si>
  <si>
    <t>CALFEE CURTIS G &amp; JAN</t>
  </si>
  <si>
    <t xml:space="preserve">KOSE ADEM ERKAM </t>
  </si>
  <si>
    <t>7216 HILLIARDS ST</t>
  </si>
  <si>
    <t>KOSE ADEM ERKAM</t>
  </si>
  <si>
    <t>CARDINAL DR</t>
  </si>
  <si>
    <t>TATUM ANNA E ETAL</t>
  </si>
  <si>
    <t>0 TILDEN ST</t>
  </si>
  <si>
    <t xml:space="preserve">WHITE MICHAEL </t>
  </si>
  <si>
    <t>1345 SILVERTON AVE</t>
  </si>
  <si>
    <t xml:space="preserve">FRISON TIFFANY </t>
  </si>
  <si>
    <t>7223 EVERTON ST</t>
  </si>
  <si>
    <t>EVERTON ST</t>
  </si>
  <si>
    <t xml:space="preserve">BROWN DARNELL T </t>
  </si>
  <si>
    <t>7228 TILDEN ST</t>
  </si>
  <si>
    <t>BROWN DARNELL T</t>
  </si>
  <si>
    <t>OVERLIN ST</t>
  </si>
  <si>
    <t>WELCH ORELEE &amp; DIANNE WALTER (W)</t>
  </si>
  <si>
    <t>0 EVERTON ST</t>
  </si>
  <si>
    <t xml:space="preserve">VATES RANDALL JEFFEREY </t>
  </si>
  <si>
    <t>7221 EVERTON ST</t>
  </si>
  <si>
    <t>VATES RANDALL JEFFERE</t>
  </si>
  <si>
    <t>GASKINS LINWOOD  &amp; BERNICE</t>
  </si>
  <si>
    <t>1335 SILVERTON AVE</t>
  </si>
  <si>
    <t xml:space="preserve">MOORE AJA ALISHA </t>
  </si>
  <si>
    <t>NELLIE RD</t>
  </si>
  <si>
    <t>MEMPHIS</t>
  </si>
  <si>
    <t>JACKSON JAMES M &amp; ELIZABETH A (W)</t>
  </si>
  <si>
    <t>7201 STRANAHAN ST</t>
  </si>
  <si>
    <t>STRANAHAN ST</t>
  </si>
  <si>
    <t xml:space="preserve">OREBO INVESTMENT COMPANY </t>
  </si>
  <si>
    <t>0 STRANAHAN ST</t>
  </si>
  <si>
    <t xml:space="preserve">OKANE PATRICIA </t>
  </si>
  <si>
    <t>FREE[PRT RD APT C</t>
  </si>
  <si>
    <t xml:space="preserve">CURRINGTON ETHEL MARIE </t>
  </si>
  <si>
    <t>1322 OAKDENE ST</t>
  </si>
  <si>
    <t xml:space="preserve">KINDLE CHARENE </t>
  </si>
  <si>
    <t>1326 OAKDENE ST</t>
  </si>
  <si>
    <t xml:space="preserve">MOORE MICHELLE </t>
  </si>
  <si>
    <t>1334 OAKDENE ST</t>
  </si>
  <si>
    <t xml:space="preserve">ALLEN MARY ETHELB EAN </t>
  </si>
  <si>
    <t>1336 OAKDENE ST</t>
  </si>
  <si>
    <t xml:space="preserve">GIVENS KATHLEEN </t>
  </si>
  <si>
    <t>LARIMER AVE UNIT 208</t>
  </si>
  <si>
    <t>DAVIDSON EDWARD  &amp; BARBARA (W)</t>
  </si>
  <si>
    <t xml:space="preserve">BANKS GLADYS </t>
  </si>
  <si>
    <t>1408 OAKDENE ST</t>
  </si>
  <si>
    <t xml:space="preserve">QUEEN CAROL A </t>
  </si>
  <si>
    <t>1415 OBERLIN ST</t>
  </si>
  <si>
    <t>QUEEN CAROL A</t>
  </si>
  <si>
    <t xml:space="preserve">BENTLEY ANTHONY </t>
  </si>
  <si>
    <t>1411 OBERLIN ST</t>
  </si>
  <si>
    <t xml:space="preserve">BROWN VANESSA </t>
  </si>
  <si>
    <t>1407 OBERLIN ST</t>
  </si>
  <si>
    <t xml:space="preserve">JONES DOLORES </t>
  </si>
  <si>
    <t>1343 OBERLIN ST</t>
  </si>
  <si>
    <t xml:space="preserve">THOMPSON DEBORAH MARY                           </t>
  </si>
  <si>
    <t>1339 OBERLIN ST</t>
  </si>
  <si>
    <t>LANDOVER ST</t>
  </si>
  <si>
    <t>ALEXANDRIA</t>
  </si>
  <si>
    <t xml:space="preserve">INGLIS MALCOLM D </t>
  </si>
  <si>
    <t>1327 OBERLIN ST</t>
  </si>
  <si>
    <t>INGLIS MALCOLM D</t>
  </si>
  <si>
    <t>MOON ELIZABETH J ETAL</t>
  </si>
  <si>
    <t>HARDWOOD RD</t>
  </si>
  <si>
    <t xml:space="preserve">HARRIS SCOTT L </t>
  </si>
  <si>
    <t xml:space="preserve">JOHNSON VENNON MAE </t>
  </si>
  <si>
    <t xml:space="preserve">BRAY CLAVIN  &amp; OPHELIA J </t>
  </si>
  <si>
    <t xml:space="preserve">GLS DEVELOPMENT INC </t>
  </si>
  <si>
    <t>1315 OBERLIN ST</t>
  </si>
  <si>
    <t>LAKE BROOK RD STE 100</t>
  </si>
  <si>
    <t xml:space="preserve">LOCKETT EJ                                      </t>
  </si>
  <si>
    <t>2315 PARK HILL DR</t>
  </si>
  <si>
    <t>HOLLIDAY WALTER B &amp; CALLIE K</t>
  </si>
  <si>
    <t>1108 N MURTLAND ST</t>
  </si>
  <si>
    <t xml:space="preserve">MATTHEWS JOYCE JEAN </t>
  </si>
  <si>
    <t>1206 N MURTLAND ST</t>
  </si>
  <si>
    <t xml:space="preserve">HOME OPPORTUNITY LLC                            </t>
  </si>
  <si>
    <t>CENTRAL EXPY S STE 500</t>
  </si>
  <si>
    <t xml:space="preserve">SURGEST DAWN </t>
  </si>
  <si>
    <t>7022 MONTICELLO ST</t>
  </si>
  <si>
    <t>SURGEST DAWN</t>
  </si>
  <si>
    <t xml:space="preserve">ALLEN NORMA JEAN </t>
  </si>
  <si>
    <t>7025 FIELDING WAY</t>
  </si>
  <si>
    <t>N JOSLYN DR</t>
  </si>
  <si>
    <t xml:space="preserve">RICHARDSON CARENA M </t>
  </si>
  <si>
    <t>7011 IDLEWILD ST</t>
  </si>
  <si>
    <t>RICHARDSON CARENA M C</t>
  </si>
  <si>
    <t xml:space="preserve">JACKSON THOMAS </t>
  </si>
  <si>
    <t>7026 IDLEWILD ST</t>
  </si>
  <si>
    <t>932 N MURTLAND ST</t>
  </si>
  <si>
    <t>KELLY HAMILTON APTS LLC  ETAL</t>
  </si>
  <si>
    <t>924 N MURTLAND ST</t>
  </si>
  <si>
    <t>BARNES SAMUEL ETAL</t>
  </si>
  <si>
    <t>7017 FRANKSTOWN AVE</t>
  </si>
  <si>
    <t xml:space="preserve">PORTER GWENDOLYN J                              </t>
  </si>
  <si>
    <t>7021 FRANKSTOWN AVE</t>
  </si>
  <si>
    <t>PORTER GWENDOLYN J &amp; GRANT ROBERTS III</t>
  </si>
  <si>
    <t>BEASLEY RONNEY O &amp; MARIE A (W)</t>
  </si>
  <si>
    <t>7032 FRANKSTOWN AVE</t>
  </si>
  <si>
    <t xml:space="preserve">LINDSEY VEDA L </t>
  </si>
  <si>
    <t>7022 FRANKSTOWN AVE</t>
  </si>
  <si>
    <t>FINDLEY DR APT 5</t>
  </si>
  <si>
    <t xml:space="preserve">VAUGHN CHARLES </t>
  </si>
  <si>
    <t>7018 FRANKSTOWN AVE</t>
  </si>
  <si>
    <t>GRINAGE CHARLES  &amp; DORIS C</t>
  </si>
  <si>
    <t>7016 FRANKSTOWN AVE</t>
  </si>
  <si>
    <t>HAYDEN CECIL ETAL</t>
  </si>
  <si>
    <t>7014 FRANKSTOWN AVE</t>
  </si>
  <si>
    <t>KSA SETTLEMENT LLC</t>
  </si>
  <si>
    <t>FRANKFORD AVENUE</t>
  </si>
  <si>
    <t xml:space="preserve">VAUGHN MARIE </t>
  </si>
  <si>
    <t>THOMAS BLVD APT 2</t>
  </si>
  <si>
    <t xml:space="preserve">VALKYRIE REAL ESTATE LLC </t>
  </si>
  <si>
    <t>7003 BENNETT ST</t>
  </si>
  <si>
    <t xml:space="preserve">VALKYRIE REAL ESTATE </t>
  </si>
  <si>
    <t>WOODS WALK</t>
  </si>
  <si>
    <t>STROUDSBURG</t>
  </si>
  <si>
    <t>7005 BENNETT ST</t>
  </si>
  <si>
    <t>WOODS WALK ST</t>
  </si>
  <si>
    <t>DOWNING JAMES C &amp; ANNA MAE</t>
  </si>
  <si>
    <t>7011 BENNETT ST</t>
  </si>
  <si>
    <t>PELAR DOWNING</t>
  </si>
  <si>
    <t>P. O. BOX 973</t>
  </si>
  <si>
    <t>SAN JACINTO</t>
  </si>
  <si>
    <t>BRUMFIELD DUDLEY  &amp; GLORIA J (W)</t>
  </si>
  <si>
    <t>7013 BENNETT ST</t>
  </si>
  <si>
    <t>BRUMFIELD DUDLEY  &amp; G</t>
  </si>
  <si>
    <t>REGENCY GREEN DR APT 3311</t>
  </si>
  <si>
    <t>7017 BENNETT ST</t>
  </si>
  <si>
    <t xml:space="preserve">VANDIVER DOMINIC </t>
  </si>
  <si>
    <t>7039 BENNETT ST</t>
  </si>
  <si>
    <t>OAK LEAF CRK APT 5</t>
  </si>
  <si>
    <t>CHESAPEAKE</t>
  </si>
  <si>
    <t xml:space="preserve">HOLMES AUDREY </t>
  </si>
  <si>
    <t>7040 BENNETT ST</t>
  </si>
  <si>
    <t>HOLMES AUDREY C/O DEB</t>
  </si>
  <si>
    <t xml:space="preserve">SNYDER SATARA </t>
  </si>
  <si>
    <t>7028 BENNETT ST</t>
  </si>
  <si>
    <t xml:space="preserve">PATTERSON MARK &amp; JESSIE (W)              </t>
  </si>
  <si>
    <t>7024 BENNETT ST</t>
  </si>
  <si>
    <t>TANI B.BENTLEY</t>
  </si>
  <si>
    <t>ELIZABETH DR APT 307</t>
  </si>
  <si>
    <t>7014 BENNETT ST</t>
  </si>
  <si>
    <t>7016 BENNETT ST</t>
  </si>
  <si>
    <t xml:space="preserve">CUCCARO KENNETH D </t>
  </si>
  <si>
    <t>7003 KELLY ST</t>
  </si>
  <si>
    <t>7007 KELLY ST</t>
  </si>
  <si>
    <t xml:space="preserve">CUCCARO PLUMBING </t>
  </si>
  <si>
    <t>7009 KELLY ST</t>
  </si>
  <si>
    <t xml:space="preserve">HOLLOMAN ELLESE P </t>
  </si>
  <si>
    <t>7019 KELLY ST</t>
  </si>
  <si>
    <t>7021 KELLY ST</t>
  </si>
  <si>
    <t>7035 KELLY ST</t>
  </si>
  <si>
    <t xml:space="preserve">BRADLEY MICHELLE N </t>
  </si>
  <si>
    <t>7039 KELLY ST</t>
  </si>
  <si>
    <t xml:space="preserve">BLACKSHEAR ZINA M </t>
  </si>
  <si>
    <t>7043 KELLY ST</t>
  </si>
  <si>
    <t xml:space="preserve">KEITH-TYREE DORIS V J </t>
  </si>
  <si>
    <t>7045 KELLY ST</t>
  </si>
  <si>
    <t>7064 KELLY ST</t>
  </si>
  <si>
    <t xml:space="preserve">ARZ VENTURES LLC </t>
  </si>
  <si>
    <t>7035 HAMILTON AVE</t>
  </si>
  <si>
    <t>ARZ VENTURES LLC</t>
  </si>
  <si>
    <t xml:space="preserve">FULLER CHERYLIE A </t>
  </si>
  <si>
    <t>7043 HAMILTON AVE</t>
  </si>
  <si>
    <t xml:space="preserve">HUNTER MARK A </t>
  </si>
  <si>
    <t>7016 TENNER WAY</t>
  </si>
  <si>
    <t>TENNER WAY</t>
  </si>
  <si>
    <t>536 N MURTLAND ST</t>
  </si>
  <si>
    <t xml:space="preserve">MINTER ALFONSO </t>
  </si>
  <si>
    <t>0 SUSQUEHANNA ST</t>
  </si>
  <si>
    <t>ANDERSON FELONESE  PERKINS</t>
  </si>
  <si>
    <t>7021 SUSQUEHANNA ST</t>
  </si>
  <si>
    <t>ANDERSON FELONESE PER</t>
  </si>
  <si>
    <t>ANDERSON FELONESE PERKINS</t>
  </si>
  <si>
    <t>GIRARD AVE</t>
  </si>
  <si>
    <t>NORTH VERSAILES</t>
  </si>
  <si>
    <t xml:space="preserve">ALLEN PATRICIA </t>
  </si>
  <si>
    <t>7031 SUSQUEHANNA ST</t>
  </si>
  <si>
    <t>7104 HAMILTON AVE</t>
  </si>
  <si>
    <t>GRANT ST STE 901</t>
  </si>
  <si>
    <t xml:space="preserve">CAZARES FRANCISCO                               </t>
  </si>
  <si>
    <t>7110 APPLE ST</t>
  </si>
  <si>
    <t>JACKSON MAXINE L DARRYL W JACKSON</t>
  </si>
  <si>
    <t>7106 APPLE ST</t>
  </si>
  <si>
    <t>ELIZABETH ST</t>
  </si>
  <si>
    <t xml:space="preserve">MCMULLIN EILEEN </t>
  </si>
  <si>
    <t>7102 APPLE ST</t>
  </si>
  <si>
    <t>CLAIM ST FL 1</t>
  </si>
  <si>
    <t xml:space="preserve">GORE THOMAS A </t>
  </si>
  <si>
    <t>7069 SPIN WAY</t>
  </si>
  <si>
    <t>BRYANT ST APT 45</t>
  </si>
  <si>
    <t xml:space="preserve">WILLIAMS GLORIA </t>
  </si>
  <si>
    <t>0 SPIN WAY</t>
  </si>
  <si>
    <t>SPIN WAY</t>
  </si>
  <si>
    <t>0 N LANG AVE</t>
  </si>
  <si>
    <t>MT CARMEL RD</t>
  </si>
  <si>
    <t>BROWN ROBERT L &amp; BERTHA (W)</t>
  </si>
  <si>
    <t>BROWN ROBERT L &amp; BERT</t>
  </si>
  <si>
    <t>S FAIRMOUNT ST # 6</t>
  </si>
  <si>
    <t xml:space="preserve">MUSSOFF HERSH </t>
  </si>
  <si>
    <t>B BROWN</t>
  </si>
  <si>
    <t>BEDFORD AVE APT 308</t>
  </si>
  <si>
    <t xml:space="preserve">FORD HELEN E </t>
  </si>
  <si>
    <t xml:space="preserve">SMITH H J </t>
  </si>
  <si>
    <t xml:space="preserve">LEONARD MARY </t>
  </si>
  <si>
    <t>7001 CHAUCER ST</t>
  </si>
  <si>
    <t xml:space="preserve">MIXON JULIUS E &amp; DORIS J </t>
  </si>
  <si>
    <t>RICHLAND DR</t>
  </si>
  <si>
    <t xml:space="preserve">TAYLOR JACK H JR </t>
  </si>
  <si>
    <t xml:space="preserve">REID SIKINA                                     </t>
  </si>
  <si>
    <t>AZSA REID</t>
  </si>
  <si>
    <t>BRUSHTON AVE APT B</t>
  </si>
  <si>
    <t xml:space="preserve">SMITH PEGGIE P </t>
  </si>
  <si>
    <t xml:space="preserve">PATTERSON MAMIE L </t>
  </si>
  <si>
    <t>7031 CHAUCER ST</t>
  </si>
  <si>
    <t xml:space="preserve">JENKINS DARREL LEE                              </t>
  </si>
  <si>
    <t xml:space="preserve">NORFLEET ROOSEVELT </t>
  </si>
  <si>
    <t>7035 CHAUCER ST</t>
  </si>
  <si>
    <t>P.O. BOX 511</t>
  </si>
  <si>
    <t xml:space="preserve">BURNS DARLA JEAN </t>
  </si>
  <si>
    <t>SHEFFIELD OLLIE  &amp; JOSEPHINE</t>
  </si>
  <si>
    <t>7057 CHAUCER ST</t>
  </si>
  <si>
    <t xml:space="preserve">JOHNSON GLORIA </t>
  </si>
  <si>
    <t>7059 CHAUCER ST</t>
  </si>
  <si>
    <t>7061 CHAUCER ST</t>
  </si>
  <si>
    <t>THOMAS NORMA JEAN &amp; JOHN CHARLES (H)</t>
  </si>
  <si>
    <t xml:space="preserve">JOHNSON JOHN E                                  </t>
  </si>
  <si>
    <t xml:space="preserve">JONES NATHANIEL K </t>
  </si>
  <si>
    <t>7132 CHAUCER ST</t>
  </si>
  <si>
    <t>P O BOX 733</t>
  </si>
  <si>
    <t>HONOLULU</t>
  </si>
  <si>
    <t xml:space="preserve">ELLIS WILLIAM EUGENE </t>
  </si>
  <si>
    <t>VANCE ROBERT E &amp; MARY Y (W)</t>
  </si>
  <si>
    <t>7102 CHAUCER ST</t>
  </si>
  <si>
    <t>FIELDING DR</t>
  </si>
  <si>
    <t xml:space="preserve">ELLIS WILLIAM E </t>
  </si>
  <si>
    <t>LANG AVE</t>
  </si>
  <si>
    <t>VANCE ROBERT E &amp; MARY</t>
  </si>
  <si>
    <t>DR</t>
  </si>
  <si>
    <t xml:space="preserve">NELSON JERMAINE </t>
  </si>
  <si>
    <t>1512 N LANG AVE</t>
  </si>
  <si>
    <t>SWOPE ST</t>
  </si>
  <si>
    <t xml:space="preserve">WHEELER TOLMAN  &amp; MATTIE </t>
  </si>
  <si>
    <t>BEATRICE HAILEY</t>
  </si>
  <si>
    <t>BLACK DR</t>
  </si>
  <si>
    <t>GAINESVILLE</t>
  </si>
  <si>
    <t xml:space="preserve">VANCE ROBERT E JR                               </t>
  </si>
  <si>
    <t xml:space="preserve">WORKS DANTE </t>
  </si>
  <si>
    <t>1519 N LANG AVE</t>
  </si>
  <si>
    <t xml:space="preserve">OLLISON HENRIETTA </t>
  </si>
  <si>
    <t>7050 CHAUCER ST</t>
  </si>
  <si>
    <t>JACKSON WENDELL MONTRAVILLE &amp; IRENE</t>
  </si>
  <si>
    <t>BROWN REGINALD A &amp; DIANE I (W)</t>
  </si>
  <si>
    <t>LOUGEAY RD</t>
  </si>
  <si>
    <t xml:space="preserve">BELL PAULETTA </t>
  </si>
  <si>
    <t>7042 CHAUCER ST</t>
  </si>
  <si>
    <t xml:space="preserve">NICHOLS WILLIAM JR                              </t>
  </si>
  <si>
    <t>7032 CHAUCER ST</t>
  </si>
  <si>
    <t>7030 CHAUCER ST</t>
  </si>
  <si>
    <t xml:space="preserve">MEANS THOMAS E SR                               </t>
  </si>
  <si>
    <t>7026 CHAUCER ST</t>
  </si>
  <si>
    <t xml:space="preserve">MOODY MCKINLEY  &amp; EMMA K </t>
  </si>
  <si>
    <t>JOHNSON JULIUS  &amp; ROSILEE (W)</t>
  </si>
  <si>
    <t>MURTLAND N ST</t>
  </si>
  <si>
    <t xml:space="preserve">MCCLENDON CORTEZ H SR </t>
  </si>
  <si>
    <t>1508 N MURTLAND ST</t>
  </si>
  <si>
    <t>MATTHEWS AVE</t>
  </si>
  <si>
    <t xml:space="preserve">GAMBLE KAREN M </t>
  </si>
  <si>
    <t>GAMBLE KAREN M</t>
  </si>
  <si>
    <t>TARTAN DR</t>
  </si>
  <si>
    <t xml:space="preserve">LEWIS SYRIETTA </t>
  </si>
  <si>
    <t xml:space="preserve">BROCK BEN U &amp; HELEN </t>
  </si>
  <si>
    <t>1500 N MURTLAND ST</t>
  </si>
  <si>
    <t xml:space="preserve">SMITH EDWARD  &amp; MILDRED </t>
  </si>
  <si>
    <t>7005 UPLAND ST</t>
  </si>
  <si>
    <t>URSULINE SENIOR SERVI</t>
  </si>
  <si>
    <t>HIGHLAND AVE N</t>
  </si>
  <si>
    <t xml:space="preserve">HOLMES JOHN L JR </t>
  </si>
  <si>
    <t>7011 UPLAND ST</t>
  </si>
  <si>
    <t>HOLMES JOHN L JR</t>
  </si>
  <si>
    <t>ALCOMA BLVD #117</t>
  </si>
  <si>
    <t xml:space="preserve">JP UNITED INC </t>
  </si>
  <si>
    <t>7013 UPLAND ST</t>
  </si>
  <si>
    <t>INDUSTRIAL RD 245</t>
  </si>
  <si>
    <t xml:space="preserve">RANDALL BETTY L </t>
  </si>
  <si>
    <t>7015 UPLAND ST</t>
  </si>
  <si>
    <t>N HOMEWOOD AVE APT B2</t>
  </si>
  <si>
    <t>NORTHCUTT JOSEPH D &amp; SARAH E</t>
  </si>
  <si>
    <t>7017 UPLAND ST</t>
  </si>
  <si>
    <t xml:space="preserve">RAMSEY DOROTHY D </t>
  </si>
  <si>
    <t>7019 UPLAND ST</t>
  </si>
  <si>
    <t>SHEFFIELD PHILLIP A SR &amp; GLORIA SHEFFIEL D</t>
  </si>
  <si>
    <t xml:space="preserve">YATES LEO </t>
  </si>
  <si>
    <t xml:space="preserve">TAPANES JORGE                                   </t>
  </si>
  <si>
    <t>SW 29TH ST</t>
  </si>
  <si>
    <t xml:space="preserve">GUNN ELIZABETH </t>
  </si>
  <si>
    <t>7035 UPLAND ST</t>
  </si>
  <si>
    <t xml:space="preserve">GHAFOOR IBRAHEEM </t>
  </si>
  <si>
    <t>1505 N LANG AVE</t>
  </si>
  <si>
    <t xml:space="preserve">SAXON PLACE LLC </t>
  </si>
  <si>
    <t>1507 SAXON WAY</t>
  </si>
  <si>
    <t xml:space="preserve">FISHERS OF MEN CDC </t>
  </si>
  <si>
    <t>1506 N LANG AVE</t>
  </si>
  <si>
    <t xml:space="preserve">ANDERSON ATLEAN </t>
  </si>
  <si>
    <t>7115 UPLAND ST</t>
  </si>
  <si>
    <t xml:space="preserve">SELF BRANDON M </t>
  </si>
  <si>
    <t>7129 UPLAND ST</t>
  </si>
  <si>
    <t xml:space="preserve">BUSH CAROL MARIE </t>
  </si>
  <si>
    <t>7131 UPLAND ST</t>
  </si>
  <si>
    <t>LEROSE LISA LEROSE MARK</t>
  </si>
  <si>
    <t>7135 UPLAND ST</t>
  </si>
  <si>
    <t>NORTHMINISTER ST</t>
  </si>
  <si>
    <t xml:space="preserve">ORR LEON </t>
  </si>
  <si>
    <t>WALNUT AVE</t>
  </si>
  <si>
    <t xml:space="preserve">GOGGINS SAUNDRA D </t>
  </si>
  <si>
    <t>7141 UPLAND ST</t>
  </si>
  <si>
    <t xml:space="preserve">FRANKLIN MARC A </t>
  </si>
  <si>
    <t>7145 UPLAND ST</t>
  </si>
  <si>
    <t>GREENRIDGE DR</t>
  </si>
  <si>
    <t xml:space="preserve">CARTER DIANNE </t>
  </si>
  <si>
    <t xml:space="preserve">MAROTTE IDILIO SAMUEL &amp; ROSA (W)                </t>
  </si>
  <si>
    <t>7100 UPLAND ST</t>
  </si>
  <si>
    <t>LOVE ST</t>
  </si>
  <si>
    <t xml:space="preserve">KNOX GREGORY A </t>
  </si>
  <si>
    <t xml:space="preserve">CLIFFS BAR INC </t>
  </si>
  <si>
    <t>1415 N LANG AVE</t>
  </si>
  <si>
    <t>N N LANG AVE</t>
  </si>
  <si>
    <t xml:space="preserve">FORD THEODORE </t>
  </si>
  <si>
    <t>7030 UPLAND ST</t>
  </si>
  <si>
    <t>THEODORE FORD</t>
  </si>
  <si>
    <t>ASHBURY HILLS DR</t>
  </si>
  <si>
    <t xml:space="preserve">WILLIAMS GLORIA K </t>
  </si>
  <si>
    <t xml:space="preserve">US HOME OWNERSHIP LLC </t>
  </si>
  <si>
    <t>7026 UPLAND ST</t>
  </si>
  <si>
    <t>PO BOX 18948</t>
  </si>
  <si>
    <t xml:space="preserve">NEAL SUSIE B </t>
  </si>
  <si>
    <t>7022 UPLAND ST</t>
  </si>
  <si>
    <t xml:space="preserve">FAITH TABERNACLE  HOLINESS CHURCH         </t>
  </si>
  <si>
    <t>FAITH TABERNACLE HOLI</t>
  </si>
  <si>
    <t>PO BOX 59121</t>
  </si>
  <si>
    <t xml:space="preserve">JACKSON NICOLE D </t>
  </si>
  <si>
    <t>7012 UPLAND ST</t>
  </si>
  <si>
    <t xml:space="preserve">HOWARD ROEMON </t>
  </si>
  <si>
    <t>1412 N MURTLAND ST</t>
  </si>
  <si>
    <t>MURTLAND ST</t>
  </si>
  <si>
    <t>1406 N MURTLAND ST</t>
  </si>
  <si>
    <t>7019 MOUNT VERNON ST</t>
  </si>
  <si>
    <t xml:space="preserve">WALLER DANIELLE A </t>
  </si>
  <si>
    <t>7029 MOUNT VERNON ST</t>
  </si>
  <si>
    <t xml:space="preserve">POLK MARIANNE </t>
  </si>
  <si>
    <t>BLAIRWOOD DR</t>
  </si>
  <si>
    <t xml:space="preserve">DAVIS MARY M </t>
  </si>
  <si>
    <t>7142 APPLE ST</t>
  </si>
  <si>
    <t xml:space="preserve">SANDIDGE AHMED                                  </t>
  </si>
  <si>
    <t>7138 APPLE ST</t>
  </si>
  <si>
    <t>7140 APPLE ST</t>
  </si>
  <si>
    <t>CLAIM ST</t>
  </si>
  <si>
    <t>7144 CHAUCER ST</t>
  </si>
  <si>
    <t xml:space="preserve">OWENS CAROL </t>
  </si>
  <si>
    <t>7152 UPLAND ST</t>
  </si>
  <si>
    <t xml:space="preserve">TAOUFIQ CHOUROUK </t>
  </si>
  <si>
    <t>7148 UPLAND ST</t>
  </si>
  <si>
    <t xml:space="preserve">SIMPSON MICHELLE </t>
  </si>
  <si>
    <t>7136 UPLAND ST</t>
  </si>
  <si>
    <t>SIMPSON MICHELLE</t>
  </si>
  <si>
    <t>RICE HENRY R &amp; WILLA MAE (W)</t>
  </si>
  <si>
    <t>7134 UPLAND ST</t>
  </si>
  <si>
    <t>7132 UPLAND ST</t>
  </si>
  <si>
    <t>BEECHVIEW AVE</t>
  </si>
  <si>
    <t>BROUGHTON SERENA  MICHELLE</t>
  </si>
  <si>
    <t>7130 UPLAND ST</t>
  </si>
  <si>
    <t>HARRELL VESSLYN  &amp; HARRELL COY E JR</t>
  </si>
  <si>
    <t>7128 UPLAND ST</t>
  </si>
  <si>
    <t xml:space="preserve">WILLIAMS  JACQUELINE </t>
  </si>
  <si>
    <t>7126 UPLAND ST</t>
  </si>
  <si>
    <t>BROOKDALE DR</t>
  </si>
  <si>
    <t>BROWN SHIRLEY MIMS &amp; JAMES D JR (H)</t>
  </si>
  <si>
    <t>CHAMPA ST</t>
  </si>
  <si>
    <t>GREEN LAWRENCE HENRY GREEN DORNATA ELIZABETH</t>
  </si>
  <si>
    <t xml:space="preserve">IVORY COAST LLC </t>
  </si>
  <si>
    <t>PO BOX 399</t>
  </si>
  <si>
    <t xml:space="preserve">ALEXANDER DIANE THOMAS </t>
  </si>
  <si>
    <t>1405 N LANG AVE</t>
  </si>
  <si>
    <t>1407 N LANG AVE</t>
  </si>
  <si>
    <t>1 LANG AVE</t>
  </si>
  <si>
    <t xml:space="preserve">RICKWALD CHARLES </t>
  </si>
  <si>
    <t>7101 MOUNT VERNON ST</t>
  </si>
  <si>
    <t xml:space="preserve">BASKIN SABRIYA K </t>
  </si>
  <si>
    <t>7103 MOUNT VERNON ST</t>
  </si>
  <si>
    <t>N LANG ST</t>
  </si>
  <si>
    <t xml:space="preserve">JOHNSON RONNIE JR </t>
  </si>
  <si>
    <t>7109 MOUNT VERNON ST</t>
  </si>
  <si>
    <t>MERCER ST</t>
  </si>
  <si>
    <t xml:space="preserve">SMALLS ELAINE G </t>
  </si>
  <si>
    <t>7119 MOUNT VERNON ST</t>
  </si>
  <si>
    <t xml:space="preserve">COBBS SAMUEL &amp; HATTIE (W)              </t>
  </si>
  <si>
    <t>7121 MOUNT VERNON ST</t>
  </si>
  <si>
    <t>NENA HARRELL</t>
  </si>
  <si>
    <t>JEFFERSON GEORGE L &amp; MARY T</t>
  </si>
  <si>
    <t>7129 MOUNT VERNON ST</t>
  </si>
  <si>
    <t>DUNBAR ST</t>
  </si>
  <si>
    <t>PHILLIPS EDGAR S &amp; CHERYL L (W)</t>
  </si>
  <si>
    <t>7137 MOUNT VERNON ST</t>
  </si>
  <si>
    <t xml:space="preserve">KIRKLAND GENE L </t>
  </si>
  <si>
    <t>7147 MOUNT VERNON ST</t>
  </si>
  <si>
    <t xml:space="preserve">MUYA ABDIKADIR MUGASA                           </t>
  </si>
  <si>
    <t>7148 MOUNT VERNON ST</t>
  </si>
  <si>
    <t>MCDOWELL ST</t>
  </si>
  <si>
    <t xml:space="preserve">NOWLIN KIAH T </t>
  </si>
  <si>
    <t>7142 MOUNT VERNON ST</t>
  </si>
  <si>
    <t xml:space="preserve">DUKES ISABELLA </t>
  </si>
  <si>
    <t>7140 MOUNT VERNON ST</t>
  </si>
  <si>
    <t>STOWERS OREN JR &amp; LORRAINE</t>
  </si>
  <si>
    <t>7138 MOUNT VERNON ST</t>
  </si>
  <si>
    <t>STOWERS OREN JR &amp; LOR</t>
  </si>
  <si>
    <t>PO BOX 3628</t>
  </si>
  <si>
    <t>CASTLEVIEW FINANCIAL  CORPORATION</t>
  </si>
  <si>
    <t>7136 MOUNT VERNON ST</t>
  </si>
  <si>
    <t xml:space="preserve">GODSON SIMONE L                                 </t>
  </si>
  <si>
    <t>7134 MOUNT VERNON ST</t>
  </si>
  <si>
    <t xml:space="preserve">OLIVER MICHAEL </t>
  </si>
  <si>
    <t>7128 MOUNT VERNON ST</t>
  </si>
  <si>
    <t>P O  BOX 17239</t>
  </si>
  <si>
    <t xml:space="preserve">BEY ABDULAH H </t>
  </si>
  <si>
    <t>7124 MOUNT VERNON ST</t>
  </si>
  <si>
    <t>MT. VERNON ST</t>
  </si>
  <si>
    <t xml:space="preserve">WINSTEAD ERICA R </t>
  </si>
  <si>
    <t>7116 MOUNT VERNON ST</t>
  </si>
  <si>
    <t xml:space="preserve">BARNETT MELISSA                                 </t>
  </si>
  <si>
    <t>7112 MOUNT VERNON ST</t>
  </si>
  <si>
    <t>7108 MOUNT VERNON ST</t>
  </si>
  <si>
    <t>JACKSON MICHELLE M &amp; EVELYN H JACKSON</t>
  </si>
  <si>
    <t>1323 N LANG AVE</t>
  </si>
  <si>
    <t>CHRIST TEMPLE CHURCH OF  PITTSBURGH PA INC</t>
  </si>
  <si>
    <t>7040 MOUNT VERNON ST</t>
  </si>
  <si>
    <t xml:space="preserve">CHRIST TEMPLE CHURCH </t>
  </si>
  <si>
    <t>EDMONDS ALLEN HARRIS DORIAN</t>
  </si>
  <si>
    <t>7036 MOUNT VERNON ST</t>
  </si>
  <si>
    <t>PO BOX 8625</t>
  </si>
  <si>
    <t xml:space="preserve">RWIV CONSTRUCTION LLC </t>
  </si>
  <si>
    <t>7026 MOUNT VERNON ST</t>
  </si>
  <si>
    <t>PO BOX 390454</t>
  </si>
  <si>
    <t>SNELLVILLE</t>
  </si>
  <si>
    <t xml:space="preserve">BANKS RUTH </t>
  </si>
  <si>
    <t>7024 MOUNT VERNON ST</t>
  </si>
  <si>
    <t xml:space="preserve">THOMAS CHERYL M </t>
  </si>
  <si>
    <t>7009 KEDRON ST</t>
  </si>
  <si>
    <t xml:space="preserve">SUTTLES LELA M </t>
  </si>
  <si>
    <t>7015 KEDRON ST</t>
  </si>
  <si>
    <t xml:space="preserve">BASKIN SABRIYA K                                </t>
  </si>
  <si>
    <t>7027 KEDRON ST</t>
  </si>
  <si>
    <t>HALL BENJAMIN H &amp; &amp; VIRGINIA E (W)</t>
  </si>
  <si>
    <t>7035 KEDRON ST</t>
  </si>
  <si>
    <t>7105 KEDRON ST</t>
  </si>
  <si>
    <t>BURTON ROGER J &amp; CHERYL A (W)</t>
  </si>
  <si>
    <t>7109 KEDRON ST</t>
  </si>
  <si>
    <t>BURTON ROGER J &amp; CHER</t>
  </si>
  <si>
    <t xml:space="preserve">WILKERSON VERNICE </t>
  </si>
  <si>
    <t>IRONGATE WAY</t>
  </si>
  <si>
    <t>BEATTY ROSCOE E &amp; JULIETTA</t>
  </si>
  <si>
    <t>7117 KEDRON ST</t>
  </si>
  <si>
    <t xml:space="preserve">RAILFORD ELI  &amp; CORA M </t>
  </si>
  <si>
    <t>BEATTY MARVIN</t>
  </si>
  <si>
    <t xml:space="preserve">TARPLEY PHYLICIA C </t>
  </si>
  <si>
    <t>7129 KEDRON ST</t>
  </si>
  <si>
    <t>MAVEL HOLDINGS TRUST     ETAL</t>
  </si>
  <si>
    <t>7131 KEDRON ST</t>
  </si>
  <si>
    <t>P O BOX 83</t>
  </si>
  <si>
    <t xml:space="preserve">WASHINGTON DESIREE </t>
  </si>
  <si>
    <t>7137 KEDRON ST</t>
  </si>
  <si>
    <t>WASHINGTON DESIREE</t>
  </si>
  <si>
    <t>N 3RD ST</t>
  </si>
  <si>
    <t>7139 KEDRON ST</t>
  </si>
  <si>
    <t xml:space="preserve">THORNE LAMARR </t>
  </si>
  <si>
    <t>7143 KEDRON ST</t>
  </si>
  <si>
    <t>NOLAN COURT</t>
  </si>
  <si>
    <t xml:space="preserve">BROOKS CRYSTALINE </t>
  </si>
  <si>
    <t>7145 KEDRON ST</t>
  </si>
  <si>
    <t xml:space="preserve">BRANCH CHARICE N </t>
  </si>
  <si>
    <t>7147 KEDRON ST</t>
  </si>
  <si>
    <t>WILDWOOD AVE</t>
  </si>
  <si>
    <t xml:space="preserve">LZT REAL ESTATE LLC </t>
  </si>
  <si>
    <t>7149 KEDRON ST</t>
  </si>
  <si>
    <t xml:space="preserve">BYRD CATHERINE </t>
  </si>
  <si>
    <t>7152 KEDRON ST</t>
  </si>
  <si>
    <t>BYRD GLENN</t>
  </si>
  <si>
    <t>ARCHER ST</t>
  </si>
  <si>
    <t xml:space="preserve">COUNTY CAPITAL ONE LLC </t>
  </si>
  <si>
    <t>7150 KEDRON ST</t>
  </si>
  <si>
    <t>EZ RENTALS LLC RENT W</t>
  </si>
  <si>
    <t xml:space="preserve">RHODES VICTOR                                   </t>
  </si>
  <si>
    <t>RHODES VICTOR</t>
  </si>
  <si>
    <t>HELMSMAN LN</t>
  </si>
  <si>
    <t>TERRY BETTY  &amp; HELEN GROSS</t>
  </si>
  <si>
    <t>7140 KEDRON ST</t>
  </si>
  <si>
    <t xml:space="preserve">BELMAR CAMPUS LLC </t>
  </si>
  <si>
    <t>7109 HERMITAGE ST</t>
  </si>
  <si>
    <t>BELMAR CAMPUS LLC</t>
  </si>
  <si>
    <t>GALLAGHER JANICE L &amp; GARFIELD DAVID MEAC HEM</t>
  </si>
  <si>
    <t>7050 KEDRON ST</t>
  </si>
  <si>
    <t xml:space="preserve">ESTRELLA ELVIN </t>
  </si>
  <si>
    <t>7048 KEDRON ST</t>
  </si>
  <si>
    <t>CRESTON AVE APT 4D</t>
  </si>
  <si>
    <t>CALLOWAY ALBERT  &amp; ETHEL B</t>
  </si>
  <si>
    <t>7046 KEDRON ST</t>
  </si>
  <si>
    <t xml:space="preserve">BLAKE LESLIE D </t>
  </si>
  <si>
    <t>7028 KEDRON ST</t>
  </si>
  <si>
    <t>BELL EDNA E &amp; LESSIE D BLAKE</t>
  </si>
  <si>
    <t>LESSIE D BLAKE</t>
  </si>
  <si>
    <t xml:space="preserve">MRJ INVESTMENTS LLC </t>
  </si>
  <si>
    <t>7024 KEDRON ST</t>
  </si>
  <si>
    <t>MRJ INVESTMENTS LLC</t>
  </si>
  <si>
    <t>CARRINGTON ST</t>
  </si>
  <si>
    <t xml:space="preserve">COUZZENS-HEYWOOD LANA </t>
  </si>
  <si>
    <t>7022 KEDRON ST</t>
  </si>
  <si>
    <t xml:space="preserve">PETROSSI RICHARD L </t>
  </si>
  <si>
    <t>7014 KEDRON ST</t>
  </si>
  <si>
    <t>COLONIAL VILLAGE DR</t>
  </si>
  <si>
    <t xml:space="preserve">HOLT VALLIE CLEVELAND </t>
  </si>
  <si>
    <t>7004 KEDRON ST</t>
  </si>
  <si>
    <t>7004 1/2 KEDRON ST</t>
  </si>
  <si>
    <t xml:space="preserve">EL W TAYLOR &amp; V TAYLOR (W)            </t>
  </si>
  <si>
    <t>7013 HERMITAGE ST</t>
  </si>
  <si>
    <t>EL W TAYLOR &amp; V TAYLO</t>
  </si>
  <si>
    <t>FIFTY-THIRD STREET  PROPERTIES LLC</t>
  </si>
  <si>
    <t>7025 HERMITAGE ST</t>
  </si>
  <si>
    <t xml:space="preserve">FIFTY-THIRD STREET  PROPERTIES LLC          </t>
  </si>
  <si>
    <t>7035 HERMITAGE ST</t>
  </si>
  <si>
    <t xml:space="preserve">SHEALEY THOMAS G </t>
  </si>
  <si>
    <t>7139 HERMITAGE ST</t>
  </si>
  <si>
    <t xml:space="preserve">BRYANT JOHNNIE </t>
  </si>
  <si>
    <t>7147 HERMITAGE ST</t>
  </si>
  <si>
    <t xml:space="preserve">THOMPKINS JAMES </t>
  </si>
  <si>
    <t>7144 HERMITAGE ST</t>
  </si>
  <si>
    <t xml:space="preserve">SMITH WHITNEY W </t>
  </si>
  <si>
    <t>7130 HERMITAGE ST</t>
  </si>
  <si>
    <t>SMITH WHITNEY W</t>
  </si>
  <si>
    <t>N MILLICK ST</t>
  </si>
  <si>
    <t xml:space="preserve">TIDLINE MILAS J </t>
  </si>
  <si>
    <t>7128 HERMITAGE ST</t>
  </si>
  <si>
    <t>C/O DENA BLACKWELL</t>
  </si>
  <si>
    <t xml:space="preserve">WASHINGTON ULANDA S </t>
  </si>
  <si>
    <t>0 HERMITAGE ST</t>
  </si>
  <si>
    <t xml:space="preserve">SUAREZ EMMANUEL RUIZ </t>
  </si>
  <si>
    <t>7122 HERMITAGE ST</t>
  </si>
  <si>
    <t>SCOTT CLARENCE M &amp; FLORANCE M (W)</t>
  </si>
  <si>
    <t>7120 HERMITAGE ST</t>
  </si>
  <si>
    <t xml:space="preserve">WASHINGTON GERTRUDE </t>
  </si>
  <si>
    <t xml:space="preserve">MCCLAIN ALBERT </t>
  </si>
  <si>
    <t>7116 HERMITAGE ST</t>
  </si>
  <si>
    <t xml:space="preserve">WARREN PATRICIA A </t>
  </si>
  <si>
    <t>7104 HERMITAGE ST</t>
  </si>
  <si>
    <t xml:space="preserve">JONES DOUGLAS </t>
  </si>
  <si>
    <t>7056 HERMITAGE ST</t>
  </si>
  <si>
    <t>COPELAND DORIS JEAN &amp; LINDA M BASS</t>
  </si>
  <si>
    <t>7044 HERMITAGE ST</t>
  </si>
  <si>
    <t xml:space="preserve">BROADUS RICHARD </t>
  </si>
  <si>
    <t>SICKLES ST</t>
  </si>
  <si>
    <t xml:space="preserve">EL WILL </t>
  </si>
  <si>
    <t>7012 HERMITAGE ST</t>
  </si>
  <si>
    <t>7057 FLETCHER WAY</t>
  </si>
  <si>
    <t>7056 FLETCHER WAY</t>
  </si>
  <si>
    <t>7025 MONTICELLO ST</t>
  </si>
  <si>
    <t xml:space="preserve">FELIX FREDERICA A </t>
  </si>
  <si>
    <t>0 MONTICELLO ST</t>
  </si>
  <si>
    <t xml:space="preserve">WOODS SHARON V </t>
  </si>
  <si>
    <t>7041 MONTICELLO ST</t>
  </si>
  <si>
    <t>ARENDELL AVE</t>
  </si>
  <si>
    <t xml:space="preserve">TAYLOR CELESTE </t>
  </si>
  <si>
    <t>7043 MONTICELLO ST</t>
  </si>
  <si>
    <t xml:space="preserve">JONES WILLIAM R </t>
  </si>
  <si>
    <t>PENN AVE APT 2507</t>
  </si>
  <si>
    <t>7107 MONTICELLO ST</t>
  </si>
  <si>
    <t xml:space="preserve">PEARL DONNELL H </t>
  </si>
  <si>
    <t>7109 MONTICELLO ST</t>
  </si>
  <si>
    <t>JACKSON JR KEITH &amp; SYLVIA T ( W )</t>
  </si>
  <si>
    <t>7113 MONTICELLO ST</t>
  </si>
  <si>
    <t>JACKSON JR KEITH &amp; SY</t>
  </si>
  <si>
    <t>IRVIN ANTHONY D &amp; MARGIE L (W)</t>
  </si>
  <si>
    <t>SW 132ND AVE</t>
  </si>
  <si>
    <t xml:space="preserve">BERRY LESTER  &amp; MARGARET </t>
  </si>
  <si>
    <t>7224 STRANAHAN ST</t>
  </si>
  <si>
    <t xml:space="preserve">WADE WILLIE  &amp; BEATRICE </t>
  </si>
  <si>
    <t>YOUNGBLOOD NATHAN  &amp; VESTULA</t>
  </si>
  <si>
    <t xml:space="preserve">WITTEMBERG LINDA C </t>
  </si>
  <si>
    <t>LEDBETTER TILA &amp; KEVIN CROSBY</t>
  </si>
  <si>
    <t>YOUNGBLOOD NATHAN J &amp; VESTULA</t>
  </si>
  <si>
    <t xml:space="preserve">BLANCHARD GLORIA </t>
  </si>
  <si>
    <t xml:space="preserve">PAINE ROBERT T JR </t>
  </si>
  <si>
    <t xml:space="preserve">PORTER HOLDINGS &amp; INVESTMENTS LLC         </t>
  </si>
  <si>
    <t>PORTER HOLDINGS &amp; INV</t>
  </si>
  <si>
    <t>DRAGONFLY CT</t>
  </si>
  <si>
    <t>LAUREL</t>
  </si>
  <si>
    <t>WHITE CHARLES E &amp; VICTORIA L PRATT</t>
  </si>
  <si>
    <t xml:space="preserve">MILLER DALE O </t>
  </si>
  <si>
    <t xml:space="preserve">LEDBETTER TILA </t>
  </si>
  <si>
    <t>7257 UPLAND ST</t>
  </si>
  <si>
    <t xml:space="preserve">BLANCHARD GLORIA                                </t>
  </si>
  <si>
    <t>7251 UPLAND ST</t>
  </si>
  <si>
    <t>7249 UPLAND ST</t>
  </si>
  <si>
    <t xml:space="preserve">GUILFORD MELVIN </t>
  </si>
  <si>
    <t xml:space="preserve">SHAVERS ELOISE D </t>
  </si>
  <si>
    <t>7233 UPLAND ST</t>
  </si>
  <si>
    <t>PO BOX 24066</t>
  </si>
  <si>
    <t xml:space="preserve">ROLLINS MICHAEL W </t>
  </si>
  <si>
    <t xml:space="preserve">LOPEZ JULIA </t>
  </si>
  <si>
    <t>7223 UPLAND ST</t>
  </si>
  <si>
    <t xml:space="preserve">TORRES JOSE </t>
  </si>
  <si>
    <t>7221 UPLAND ST</t>
  </si>
  <si>
    <t>N 5TH ST</t>
  </si>
  <si>
    <t>NELSON WILBUR L &amp; JUANITA O</t>
  </si>
  <si>
    <t>7206 STRANAHAN ST</t>
  </si>
  <si>
    <t>7179 UPLAND ST</t>
  </si>
  <si>
    <t xml:space="preserve">LEE DONNA S                                     </t>
  </si>
  <si>
    <t>LIPSCOMB CLARA MAE &amp; WADE LIPSCOMB</t>
  </si>
  <si>
    <t xml:space="preserve">POSEY MARION  &amp; EDWIN A </t>
  </si>
  <si>
    <t xml:space="preserve">ALLEN SYLVIA E </t>
  </si>
  <si>
    <t xml:space="preserve">HARRISON YVONNE </t>
  </si>
  <si>
    <t>PO BOX 22024</t>
  </si>
  <si>
    <t xml:space="preserve">BLAIR EDWARD                                    </t>
  </si>
  <si>
    <t>7156 UPLAND ST</t>
  </si>
  <si>
    <t xml:space="preserve">BLACKWELL ANDREW JR </t>
  </si>
  <si>
    <t>7160 UPLAND ST</t>
  </si>
  <si>
    <t xml:space="preserve">BLAIR RODERICK K </t>
  </si>
  <si>
    <t>7162 UPLAND ST</t>
  </si>
  <si>
    <t xml:space="preserve">JONES JOSEPH </t>
  </si>
  <si>
    <t>1513 N HOMEWOOD AVE</t>
  </si>
  <si>
    <t xml:space="preserve">CATES EUGENE R JR </t>
  </si>
  <si>
    <t>7212 UPLAND ST</t>
  </si>
  <si>
    <t xml:space="preserve">HBLS LLC </t>
  </si>
  <si>
    <t>7224 UPLAND ST</t>
  </si>
  <si>
    <t>HBLS LLC</t>
  </si>
  <si>
    <t>DAVIS CHARLES A &amp; TAMIA (W)</t>
  </si>
  <si>
    <t>7226 UPLAND ST</t>
  </si>
  <si>
    <t>DAVIS CHARLES A &amp; TAM</t>
  </si>
  <si>
    <t xml:space="preserve">RUGGS MATHEW  &amp; ELLA (W) </t>
  </si>
  <si>
    <t>RANGER RD</t>
  </si>
  <si>
    <t>NATICK</t>
  </si>
  <si>
    <t xml:space="preserve">HARDY MICHELLE L </t>
  </si>
  <si>
    <t>TAMARRON PKWY SE</t>
  </si>
  <si>
    <t>SMYRNA</t>
  </si>
  <si>
    <t xml:space="preserve">CARTER ROBERT A </t>
  </si>
  <si>
    <t>7242 UPLAND ST</t>
  </si>
  <si>
    <t xml:space="preserve">EVANS JACK O JR </t>
  </si>
  <si>
    <t>7244 UPLAND ST</t>
  </si>
  <si>
    <t xml:space="preserve">HILL ERNESTINE </t>
  </si>
  <si>
    <t>7246 UPLAND ST</t>
  </si>
  <si>
    <t xml:space="preserve">MOORE MELVIN L </t>
  </si>
  <si>
    <t xml:space="preserve">ALLEN BENNY A </t>
  </si>
  <si>
    <t>7250 UPLAND ST</t>
  </si>
  <si>
    <t>ELMHURST DR</t>
  </si>
  <si>
    <t>STERLING HEIGH</t>
  </si>
  <si>
    <t>CAMPBELL NATHAN  &amp; MAZIE (W)</t>
  </si>
  <si>
    <t xml:space="preserve">TCHIKOUNZI FERNAND </t>
  </si>
  <si>
    <t>N MAPLE AVE</t>
  </si>
  <si>
    <t>EAST ORANGE</t>
  </si>
  <si>
    <t>HARRIS ROBERT L &amp; ANNIE M</t>
  </si>
  <si>
    <t xml:space="preserve">NICKENS FLORENCE D </t>
  </si>
  <si>
    <t>BURCH OLGER D JR &amp; WYLENE S (W)</t>
  </si>
  <si>
    <t>FLOWERTUFT CT</t>
  </si>
  <si>
    <t xml:space="preserve">MATTHEWS JAMES A </t>
  </si>
  <si>
    <t>0 STERRETT ST</t>
  </si>
  <si>
    <t xml:space="preserve">DARRAGH JOHN </t>
  </si>
  <si>
    <t>7320 UPLAND ST</t>
  </si>
  <si>
    <t>FLEMING JOHN W JR &amp; LINDA DIANE (W)</t>
  </si>
  <si>
    <t>0 MOUNT VERNON ST</t>
  </si>
  <si>
    <t>EASTWOOD RD</t>
  </si>
  <si>
    <t xml:space="preserve">ROBINSON LOIS J </t>
  </si>
  <si>
    <t xml:space="preserve">SMITH TIMOTHY </t>
  </si>
  <si>
    <t>7241 MOUNT VERNON ST</t>
  </si>
  <si>
    <t>MCCLAIN BRUCE E &amp; ROBIN L (W)</t>
  </si>
  <si>
    <t>7235 MOUNT VERNON ST</t>
  </si>
  <si>
    <t xml:space="preserve">BENTON DARLENE F </t>
  </si>
  <si>
    <t xml:space="preserve">MCLEOD ALLISON </t>
  </si>
  <si>
    <t>7229 MOUNT VERNON ST</t>
  </si>
  <si>
    <t xml:space="preserve">OWENS CAROL I </t>
  </si>
  <si>
    <t>7223 MOUNT VERNON ST</t>
  </si>
  <si>
    <t>SOVEREIGN BANK</t>
  </si>
  <si>
    <t>CORELOGIC WAY</t>
  </si>
  <si>
    <t xml:space="preserve">GHAFARI-SARAVI SAM </t>
  </si>
  <si>
    <t>7221 MOUNT VERNON ST</t>
  </si>
  <si>
    <t>PEYTON HENRY  &amp; HENRIETTA</t>
  </si>
  <si>
    <t>PEYTON HENRY ALLEN &amp; HENRIETTA</t>
  </si>
  <si>
    <t xml:space="preserve">MAFUALA MARLENE KOMBO </t>
  </si>
  <si>
    <t>7211 MOUNT VERNON ST</t>
  </si>
  <si>
    <t>MARLENE KOMBO MAFUALA</t>
  </si>
  <si>
    <t xml:space="preserve">POWE ARTHUR  &amp; MARIE E </t>
  </si>
  <si>
    <t>7207 MOUNT VERNON ST</t>
  </si>
  <si>
    <t xml:space="preserve">ANSOE JOHN M </t>
  </si>
  <si>
    <t>7205 MOUNT VERNON ST</t>
  </si>
  <si>
    <t xml:space="preserve">BRUNSON WINNIE </t>
  </si>
  <si>
    <t>7157 MOUNT VERNON ST</t>
  </si>
  <si>
    <t xml:space="preserve">TERRY ROSE MARIE </t>
  </si>
  <si>
    <t xml:space="preserve">WRIGHT TEASHA </t>
  </si>
  <si>
    <t>7153 MOUNT VERNON ST</t>
  </si>
  <si>
    <t xml:space="preserve">NELSON PAUL JR &amp; PHOEBIE </t>
  </si>
  <si>
    <t>7151 MOUNT VERNON ST</t>
  </si>
  <si>
    <t>7149 MOUNT VERNON ST</t>
  </si>
  <si>
    <t xml:space="preserve">WARD MARGARET </t>
  </si>
  <si>
    <t>7152 MOUNT VERNON ST</t>
  </si>
  <si>
    <t>7202 MOUNT VERNON ST</t>
  </si>
  <si>
    <t xml:space="preserve">WELLS ELAYNE D </t>
  </si>
  <si>
    <t>7204 MOUNT VERNON ST</t>
  </si>
  <si>
    <t xml:space="preserve">WALLACE EDWARD G </t>
  </si>
  <si>
    <t xml:space="preserve">ROUSE KURT </t>
  </si>
  <si>
    <t>7226 MOUNT VERNON ST</t>
  </si>
  <si>
    <t>LINEBURG DORIS A &amp; THOMAS M GAINES</t>
  </si>
  <si>
    <t>LINEBURG DORIS A &amp; TH</t>
  </si>
  <si>
    <t>WHITESIDE  #591 RD</t>
  </si>
  <si>
    <t xml:space="preserve">CARTER GURELENE A                               </t>
  </si>
  <si>
    <t>7242 MOUNT VERNON ST</t>
  </si>
  <si>
    <t xml:space="preserve">SANDERS EVANDA </t>
  </si>
  <si>
    <t xml:space="preserve">MCCONVILLE ELEANOR </t>
  </si>
  <si>
    <t xml:space="preserve">BRADFORD SOLOMON M                              </t>
  </si>
  <si>
    <t xml:space="preserve">MORRIS ADA W </t>
  </si>
  <si>
    <t>0 LARKSPUR WAY</t>
  </si>
  <si>
    <t>WILLIAMS LEANDREW  &amp; CORNELIA (W)</t>
  </si>
  <si>
    <t>7309 MOUNT VERNON ST</t>
  </si>
  <si>
    <t>LISA DR</t>
  </si>
  <si>
    <t xml:space="preserve">TUCKER JOHN </t>
  </si>
  <si>
    <t>7313 MOUNT VERNON ST</t>
  </si>
  <si>
    <t>OETTING ST</t>
  </si>
  <si>
    <t xml:space="preserve">PRITCHARD TYREE </t>
  </si>
  <si>
    <t>7315 MOUNT VERNON ST</t>
  </si>
  <si>
    <t>HELDMAN ST APT 103</t>
  </si>
  <si>
    <t>BELIEVE PROPERTIES LLC   ETAL</t>
  </si>
  <si>
    <t>7321 MOUNT VERNON ST</t>
  </si>
  <si>
    <t>BELIEVE PROPERTIES LL</t>
  </si>
  <si>
    <t>HACKENSACK AVE STE 200</t>
  </si>
  <si>
    <t>HACKENSACK</t>
  </si>
  <si>
    <t xml:space="preserve">SCOTT CLARENCE  &amp; MARY C </t>
  </si>
  <si>
    <t>7323 MOUNT VERNON ST</t>
  </si>
  <si>
    <t xml:space="preserve">J &amp; J PROPERTIES LLC </t>
  </si>
  <si>
    <t>REIS RUN RD</t>
  </si>
  <si>
    <t xml:space="preserve">STEWARDSHIP FUND LP </t>
  </si>
  <si>
    <t>DALLAS PKWY STE 200</t>
  </si>
  <si>
    <t>PLANO</t>
  </si>
  <si>
    <t xml:space="preserve">THOMPSON GEORGE TIBBS &amp; HARRIETT GERALDINE (W)  </t>
  </si>
  <si>
    <t>THOMPSON GEORGE TIBBS</t>
  </si>
  <si>
    <t xml:space="preserve">VEGA JESSE DALTON </t>
  </si>
  <si>
    <t>7331 MOUNT VERNON ST</t>
  </si>
  <si>
    <t>S LYON ST UNIT 70</t>
  </si>
  <si>
    <t xml:space="preserve">TEDDER DOMINIC W </t>
  </si>
  <si>
    <t>7333 MOUNT VERNON ST</t>
  </si>
  <si>
    <t>NAYSMITH RD</t>
  </si>
  <si>
    <t xml:space="preserve">HALL REGIS </t>
  </si>
  <si>
    <t>7335 MOUNT VERNON ST</t>
  </si>
  <si>
    <t>7337 MOUNT VERNON ST</t>
  </si>
  <si>
    <t>NEAL WALTER NORRIS SR  (DECEASED) RICHARD VIRGI</t>
  </si>
  <si>
    <t>GEARING AVE</t>
  </si>
  <si>
    <t xml:space="preserve">TRULY FRANCES </t>
  </si>
  <si>
    <t>7339 MOUNT VERNON ST</t>
  </si>
  <si>
    <t>HEARTWOOD DR</t>
  </si>
  <si>
    <t xml:space="preserve">PONTI BRENDA J WILLIAMS </t>
  </si>
  <si>
    <t>7341 MOUNT VERNON ST</t>
  </si>
  <si>
    <t xml:space="preserve">ALLEN ANDREW </t>
  </si>
  <si>
    <t>7332 MOUNT VERNON ST</t>
  </si>
  <si>
    <t>SIMPSON ALFREDA E &amp; EDDIE L COX</t>
  </si>
  <si>
    <t xml:space="preserve">NORTON SARAH </t>
  </si>
  <si>
    <t>7316 MOUNT VERNON ST</t>
  </si>
  <si>
    <t>BROWN WALTER  &amp; MARY ELAINE</t>
  </si>
  <si>
    <t>LUSTER STANLEY JR &amp; CATHERINE V LUSTER J R</t>
  </si>
  <si>
    <t>LUSTER STANLEY JR &amp; C</t>
  </si>
  <si>
    <t>LAKETON RD APT H5</t>
  </si>
  <si>
    <t>1310 STERRETT ST</t>
  </si>
  <si>
    <t>1308 STERRETT ST</t>
  </si>
  <si>
    <t>STERRETT RD</t>
  </si>
  <si>
    <t>BLASSINGAME HENRY A &amp; EVELYN (W)</t>
  </si>
  <si>
    <t xml:space="preserve">ALLEN LELIA MT </t>
  </si>
  <si>
    <t>0 FERDINAND WAY</t>
  </si>
  <si>
    <t>STRATHMORE ST APT 118</t>
  </si>
  <si>
    <t>CHEVY CHASE</t>
  </si>
  <si>
    <t xml:space="preserve">WILSON EDWARD </t>
  </si>
  <si>
    <t xml:space="preserve">BECK AVIS J </t>
  </si>
  <si>
    <t>MARLAND ST</t>
  </si>
  <si>
    <t>BROWN JONATHAN  &amp; LISA J BAILEY</t>
  </si>
  <si>
    <t>SOUTH AVE</t>
  </si>
  <si>
    <t>7257 KEDRON ST</t>
  </si>
  <si>
    <t xml:space="preserve">BURTON ANGELA M </t>
  </si>
  <si>
    <t>7255 KEDRON ST</t>
  </si>
  <si>
    <t xml:space="preserve">GAULT TYRONE L </t>
  </si>
  <si>
    <t>7253 KEDRON ST</t>
  </si>
  <si>
    <t xml:space="preserve">GRAY EMMA B </t>
  </si>
  <si>
    <t>7251 KEDRON ST</t>
  </si>
  <si>
    <t xml:space="preserve">MITCHELL RONALD L </t>
  </si>
  <si>
    <t>7249 KEDRON ST</t>
  </si>
  <si>
    <t xml:space="preserve">HORNEZES MARY WASHINGTON </t>
  </si>
  <si>
    <t>7245 KEDRON ST</t>
  </si>
  <si>
    <t xml:space="preserve">HOLLEY EARL H &amp; REBA M </t>
  </si>
  <si>
    <t xml:space="preserve">HOLLEY EARL H &amp; REBA </t>
  </si>
  <si>
    <t>PO BOX 5706</t>
  </si>
  <si>
    <t xml:space="preserve">PERRY LELA MAE </t>
  </si>
  <si>
    <t xml:space="preserve">MILLER CALVIN C </t>
  </si>
  <si>
    <t>7217 KEDRON ST</t>
  </si>
  <si>
    <t xml:space="preserve">THOMAS NINA V </t>
  </si>
  <si>
    <t>7215 KEDRON ST</t>
  </si>
  <si>
    <t xml:space="preserve">EARLINES HOMES PA LLC </t>
  </si>
  <si>
    <t>7213 KEDRON ST</t>
  </si>
  <si>
    <t>PARK PLACE FINANCE LL</t>
  </si>
  <si>
    <t>N MOPAC EXPRESSWAY STE 200-41</t>
  </si>
  <si>
    <t xml:space="preserve">ABER COMPANIES LLC </t>
  </si>
  <si>
    <t>7211 KEDRON ST</t>
  </si>
  <si>
    <t>PARKWAY AVE</t>
  </si>
  <si>
    <t xml:space="preserve">7209 KEDRON LLC </t>
  </si>
  <si>
    <t>7209 KEDRON ST</t>
  </si>
  <si>
    <t>7209 KEDRON LLC</t>
  </si>
  <si>
    <t>FIRST AVE STE 511</t>
  </si>
  <si>
    <t xml:space="preserve">SMITH ANNIE LOUISE </t>
  </si>
  <si>
    <t>0 N HOMEWOOD AVE</t>
  </si>
  <si>
    <t>CRESTVIEW DR</t>
  </si>
  <si>
    <t xml:space="preserve">MRP HOLDINGS LLC </t>
  </si>
  <si>
    <t>7218 KEDRON ST</t>
  </si>
  <si>
    <t xml:space="preserve">HUNT KATHLEEN MORRIS </t>
  </si>
  <si>
    <t>7220 KEDRON ST</t>
  </si>
  <si>
    <t xml:space="preserve">DOUGLAS HELEN </t>
  </si>
  <si>
    <t>7222 KEDRON ST</t>
  </si>
  <si>
    <t>7224 KEDRON ST</t>
  </si>
  <si>
    <t>THOMPSON SHARON CLAUD</t>
  </si>
  <si>
    <t xml:space="preserve">RAIFORD ELI  &amp; CORA (W) </t>
  </si>
  <si>
    <t>7226 KEDRON ST</t>
  </si>
  <si>
    <t>RAIFORD KEVIN</t>
  </si>
  <si>
    <t>GRASSY BANK ST</t>
  </si>
  <si>
    <t xml:space="preserve">FAMILY MANAGEMENT CO </t>
  </si>
  <si>
    <t>7230 KEDRON ST</t>
  </si>
  <si>
    <t>PO BOX 5408</t>
  </si>
  <si>
    <t>KELLUM ULYSSES S &amp; DOROTHY (W)</t>
  </si>
  <si>
    <t>7232 KEDRON ST</t>
  </si>
  <si>
    <t xml:space="preserve">STRADER SANDRA </t>
  </si>
  <si>
    <t>7234 KEDRON ST</t>
  </si>
  <si>
    <t>YOSEMITE DR</t>
  </si>
  <si>
    <t>ALLEGHENY HOUSING  REHABILITATION CORP</t>
  </si>
  <si>
    <t>OLIVER BLVD</t>
  </si>
  <si>
    <t>ALLEN JOHN W &amp; FLORINE G (W)</t>
  </si>
  <si>
    <t xml:space="preserve">BRUCE RUTH A </t>
  </si>
  <si>
    <t xml:space="preserve">ROANE EDWARD </t>
  </si>
  <si>
    <t>N FRAZIER ST</t>
  </si>
  <si>
    <t xml:space="preserve">WATSON JAMES R </t>
  </si>
  <si>
    <t xml:space="preserve">WILKS JOHN A </t>
  </si>
  <si>
    <t>7233 HERMITAGE ST</t>
  </si>
  <si>
    <t>ANDERSON SAMUEL JR &amp; YVONNE</t>
  </si>
  <si>
    <t>WARDSONS ST</t>
  </si>
  <si>
    <t>WILLIAM BEATRICE E &amp; JOANN WILLIAM</t>
  </si>
  <si>
    <t>7225 HERMITAGE ST</t>
  </si>
  <si>
    <t xml:space="preserve">HATCHER THELMA </t>
  </si>
  <si>
    <t>7221 HERMITAGE ST</t>
  </si>
  <si>
    <t xml:space="preserve">SHAW-WIL PROPERTIES </t>
  </si>
  <si>
    <t>7219 HERMITAGE ST</t>
  </si>
  <si>
    <t xml:space="preserve">STUART FRED D &amp; ELSIE M </t>
  </si>
  <si>
    <t>7215 HERMITAGE ST</t>
  </si>
  <si>
    <t>STUART FRED D &amp; ELSIE</t>
  </si>
  <si>
    <t xml:space="preserve">ELLIOT ROBERT </t>
  </si>
  <si>
    <t>7213 HERMITAGE ST</t>
  </si>
  <si>
    <t>ELLIOT ROBERT</t>
  </si>
  <si>
    <t>HOLLY LYNNE DR</t>
  </si>
  <si>
    <t xml:space="preserve">LIPFORD DARRIET BROOKS </t>
  </si>
  <si>
    <t>7203 HERMITAGE ST</t>
  </si>
  <si>
    <t>KEDRAN ST</t>
  </si>
  <si>
    <t xml:space="preserve">TRULY FRANCES L </t>
  </si>
  <si>
    <t>7338 MOUNT VERNON ST</t>
  </si>
  <si>
    <t>MOUNT VERNON  DEVELOPMENT LLC</t>
  </si>
  <si>
    <t>MOUNT VERNON DEVELOPM</t>
  </si>
  <si>
    <t>S JONES BLVD STE 2451</t>
  </si>
  <si>
    <t xml:space="preserve">MASSEY LEROY JR </t>
  </si>
  <si>
    <t>7355 MOUNT VERNON ST</t>
  </si>
  <si>
    <t xml:space="preserve">THOMAS ROSIE L </t>
  </si>
  <si>
    <t xml:space="preserve">WARE LEONARD                                    </t>
  </si>
  <si>
    <t>7409 MOUNT VERNON ST</t>
  </si>
  <si>
    <t>WARE LAURA</t>
  </si>
  <si>
    <t>BAUER CT</t>
  </si>
  <si>
    <t xml:space="preserve">EL W TAYLOR                                     </t>
  </si>
  <si>
    <t>7415 MOUNT VERNON ST</t>
  </si>
  <si>
    <t>EL W TAYLOR</t>
  </si>
  <si>
    <t xml:space="preserve">DURRETT THOMAS II                               </t>
  </si>
  <si>
    <t>7500 UPLAND ST</t>
  </si>
  <si>
    <t xml:space="preserve">GORDON ROBERT LEE </t>
  </si>
  <si>
    <t>7350 UPLAND ST</t>
  </si>
  <si>
    <t xml:space="preserve">DAVIS RILEY C III                               </t>
  </si>
  <si>
    <t>FREEMAN GUSSIE L &amp; TRESSA</t>
  </si>
  <si>
    <t xml:space="preserve">CAULEY SILAS                                    </t>
  </si>
  <si>
    <t>0 MOHLER ST</t>
  </si>
  <si>
    <t>BLANCHE WILLIAMS</t>
  </si>
  <si>
    <t>RR 1 BOX 128</t>
  </si>
  <si>
    <t>MILLBORO</t>
  </si>
  <si>
    <t xml:space="preserve">BYRD WALLACE  &amp; CALUDIA </t>
  </si>
  <si>
    <t>0 WHEELER ST</t>
  </si>
  <si>
    <t>BYRD WALLACE  &amp; CALUD</t>
  </si>
  <si>
    <t xml:space="preserve">GIVNER ERICA UPSHAW </t>
  </si>
  <si>
    <t>1119 BLACKADORE ST</t>
  </si>
  <si>
    <t xml:space="preserve">BRAY WILLIE </t>
  </si>
  <si>
    <t>0 BLACKADORE ST</t>
  </si>
  <si>
    <t xml:space="preserve">CARTER EARNEST  &amp; MABLE </t>
  </si>
  <si>
    <t>7127 MONTICELLO ST</t>
  </si>
  <si>
    <t>CANNON WILLIE JAMES &amp; JUDY COMBS</t>
  </si>
  <si>
    <t>7143 MONTICELLO ST</t>
  </si>
  <si>
    <t>PO BOX 5686</t>
  </si>
  <si>
    <t xml:space="preserve">SMITH KATHLEEN </t>
  </si>
  <si>
    <t>7147 MONTICELLO ST</t>
  </si>
  <si>
    <t>SUBDAY DR</t>
  </si>
  <si>
    <t>7152 MONTICELLO STREET  LP</t>
  </si>
  <si>
    <t>7152 MONTICELLO ST</t>
  </si>
  <si>
    <t>7152 MONTICELLO STREE</t>
  </si>
  <si>
    <t>N 32ND ST</t>
  </si>
  <si>
    <t xml:space="preserve">STUCKEY SHAWN C </t>
  </si>
  <si>
    <t>7144 MONTICELLO ST</t>
  </si>
  <si>
    <t>LEE ST</t>
  </si>
  <si>
    <t>FAIRFAX</t>
  </si>
  <si>
    <t xml:space="preserve">BETHEL ELIZABETH J </t>
  </si>
  <si>
    <t>7142 MONTICELLO ST</t>
  </si>
  <si>
    <t>WOOD ST APT 906</t>
  </si>
  <si>
    <t xml:space="preserve">ALEXNADER DONNA FAYE </t>
  </si>
  <si>
    <t>7138 MONTICELLO ST</t>
  </si>
  <si>
    <t>FRANKSTOWN AVE 306</t>
  </si>
  <si>
    <t xml:space="preserve">WESSON CORA </t>
  </si>
  <si>
    <t xml:space="preserve">OLIVER GREGORY </t>
  </si>
  <si>
    <t>7110 MONTICELLO ST</t>
  </si>
  <si>
    <t xml:space="preserve">OLIVER CASEY </t>
  </si>
  <si>
    <t>BRIARWOOD DR</t>
  </si>
  <si>
    <t xml:space="preserve">PAUL NELSON REALTY LLC </t>
  </si>
  <si>
    <t>7050 MONTICELLO ST</t>
  </si>
  <si>
    <t>PAUL NELSON REALTY LL</t>
  </si>
  <si>
    <t xml:space="preserve">WHEATON SHIRLEY </t>
  </si>
  <si>
    <t>7046 MONTICELLO ST</t>
  </si>
  <si>
    <t>ROSEDALE ST</t>
  </si>
  <si>
    <t xml:space="preserve">JOHNSON TAMIKA </t>
  </si>
  <si>
    <t>0 FIELDING WAY</t>
  </si>
  <si>
    <t>FIELDING WAY</t>
  </si>
  <si>
    <t>BETHOME APTS LLC         ETAL</t>
  </si>
  <si>
    <t>1000 RACE ST</t>
  </si>
  <si>
    <t>BETHOME APTS LLC</t>
  </si>
  <si>
    <t>0 RACE ST</t>
  </si>
  <si>
    <t>7107 RACE ST</t>
  </si>
  <si>
    <t xml:space="preserve">RINGGOLD ANNA C                                 </t>
  </si>
  <si>
    <t>7113 RACE ST</t>
  </si>
  <si>
    <t>TABITHA WILLIAMS &amp; AN</t>
  </si>
  <si>
    <t xml:space="preserve">MARSHALL ANDRIA                                 </t>
  </si>
  <si>
    <t>7115 RACE ST</t>
  </si>
  <si>
    <t>MONTICELLO DR</t>
  </si>
  <si>
    <t>7145 RACE ST</t>
  </si>
  <si>
    <t>P- SQRD LLC              ETAL</t>
  </si>
  <si>
    <t>7147 RACE ST</t>
  </si>
  <si>
    <t>W BARIVISTA DR</t>
  </si>
  <si>
    <t xml:space="preserve">ALDRICH MICHAEL J </t>
  </si>
  <si>
    <t>1100 N HOMEWOOD AVE</t>
  </si>
  <si>
    <t xml:space="preserve">BENTLEY ANTHONY JR </t>
  </si>
  <si>
    <t>7204 RACE ST</t>
  </si>
  <si>
    <t xml:space="preserve">BLACK CARLOTTA </t>
  </si>
  <si>
    <t>7142 RACE ST</t>
  </si>
  <si>
    <t>BLACK CARLOTTA</t>
  </si>
  <si>
    <t xml:space="preserve">COLEMAN DONNA </t>
  </si>
  <si>
    <t>7124 RACE ST</t>
  </si>
  <si>
    <t xml:space="preserve">WORKS JUANITA </t>
  </si>
  <si>
    <t>7116 RACE ST</t>
  </si>
  <si>
    <t>WORKS JUANITA</t>
  </si>
  <si>
    <t>WORKS DANTE</t>
  </si>
  <si>
    <t>7108 RACE ST</t>
  </si>
  <si>
    <t xml:space="preserve">TAYLOR ASHLEY GEORGE                            </t>
  </si>
  <si>
    <t>7106 RACE ST</t>
  </si>
  <si>
    <t>ASHLEY GEORGE TAYLOR</t>
  </si>
  <si>
    <t>7028 FIELDING WAY</t>
  </si>
  <si>
    <t>BURNS ARTHUR JR &amp; MARY LOUISE</t>
  </si>
  <si>
    <t>7032 IDLEWILD ST</t>
  </si>
  <si>
    <t>BURNS ARTHUR JR &amp; MAR</t>
  </si>
  <si>
    <t>ALESCIO CHARLES &amp; CAROLYN D (W)</t>
  </si>
  <si>
    <t>7039 FOREST WAY</t>
  </si>
  <si>
    <t>ALESCIO CHARLES  &amp; CA</t>
  </si>
  <si>
    <t>WHITAKER WAY APT 17</t>
  </si>
  <si>
    <t xml:space="preserve">AVERYTT SHIRLEY </t>
  </si>
  <si>
    <t>7061 FOREST WAY</t>
  </si>
  <si>
    <t>2ND ST APT 6</t>
  </si>
  <si>
    <t>7063 FOREST WAY</t>
  </si>
  <si>
    <t>930 N LANG AVE</t>
  </si>
  <si>
    <t xml:space="preserve">NOLEN SHAERONDA                                 </t>
  </si>
  <si>
    <t>7111 IDLEWILD ST</t>
  </si>
  <si>
    <t>SHAERONDA NOLEN</t>
  </si>
  <si>
    <t>7115 IDLEWILD ST</t>
  </si>
  <si>
    <t xml:space="preserve">JACKSON TINA </t>
  </si>
  <si>
    <t>7119 IDLEWILD ST</t>
  </si>
  <si>
    <t>JACKSON TINA</t>
  </si>
  <si>
    <t xml:space="preserve">WIMBISH ANDREW N </t>
  </si>
  <si>
    <t>0 IDLEWILD ST</t>
  </si>
  <si>
    <t>STANDARD AVE</t>
  </si>
  <si>
    <t xml:space="preserve">METZ M MARLIN </t>
  </si>
  <si>
    <t>KELLY AVE</t>
  </si>
  <si>
    <t xml:space="preserve">BURGESS CARLOTTA K </t>
  </si>
  <si>
    <t>HOMEWOOD RENAISSANCE  ASSOCIATION</t>
  </si>
  <si>
    <t>7207 IDLEWILD ST</t>
  </si>
  <si>
    <t>CHURCH OF GOD-PITTSBURGH HOMEWOOD</t>
  </si>
  <si>
    <t>HARVIN ROBERT L &amp; DORIS A</t>
  </si>
  <si>
    <t>7142 IDLEWILD ST</t>
  </si>
  <si>
    <t>BRUCE HARVIN</t>
  </si>
  <si>
    <t xml:space="preserve">HARPER TERRI </t>
  </si>
  <si>
    <t>7140 IDLEWILD ST</t>
  </si>
  <si>
    <t xml:space="preserve">JACKSON ALMA L </t>
  </si>
  <si>
    <t>7132 IDLEWILD ST</t>
  </si>
  <si>
    <t xml:space="preserve">LATTAKER DELICHA G </t>
  </si>
  <si>
    <t>7128 IDLEWILD ST</t>
  </si>
  <si>
    <t xml:space="preserve">BANKHEAD DANIEL L </t>
  </si>
  <si>
    <t>ECTOR CHASE NW</t>
  </si>
  <si>
    <t xml:space="preserve">HOMEWOOD ART MUSEUM </t>
  </si>
  <si>
    <t>0 FOREST WAY</t>
  </si>
  <si>
    <t>SANDIDGE HERBERT D &amp; HEDDIE T (W)</t>
  </si>
  <si>
    <t>7129 FRANKSTOWN AVE</t>
  </si>
  <si>
    <t xml:space="preserve">SANDIDGE HERBERT D &amp; </t>
  </si>
  <si>
    <t>HOMEWOOD ART MUSEUM</t>
  </si>
  <si>
    <t>TALTON TINA  &amp; DELRON HIGGINS (H)</t>
  </si>
  <si>
    <t>7038 FRANKSTOWN AVE</t>
  </si>
  <si>
    <t xml:space="preserve">MCGHIE ALVIN </t>
  </si>
  <si>
    <t>7334 MOUNT VERNON ST</t>
  </si>
  <si>
    <t xml:space="preserve">ZARMUH ASHREF </t>
  </si>
  <si>
    <t>ASHREF ZARMUH</t>
  </si>
  <si>
    <t xml:space="preserve">BEY SALOAM </t>
  </si>
  <si>
    <t>7335 HERMITAGE ST</t>
  </si>
  <si>
    <t>7333 HERMITAGE ST</t>
  </si>
  <si>
    <t>RAINEY MAJOR</t>
  </si>
  <si>
    <t>ALLEQUIPPA ST # 110</t>
  </si>
  <si>
    <t xml:space="preserve">SNIPE RONALD  &amp; MARGIE </t>
  </si>
  <si>
    <t>7331 HERMITAGE ST</t>
  </si>
  <si>
    <t xml:space="preserve">ROLLINS MICHEAL </t>
  </si>
  <si>
    <t>7327 HERMITAGE ST</t>
  </si>
  <si>
    <t xml:space="preserve">WILLIAMS BEVERLY A </t>
  </si>
  <si>
    <t>7319 HERMITAGE ST</t>
  </si>
  <si>
    <t xml:space="preserve">BUCKNER FRANK III </t>
  </si>
  <si>
    <t>7311 HERMITAGE ST</t>
  </si>
  <si>
    <t xml:space="preserve">GROSS JERRY </t>
  </si>
  <si>
    <t>BEAVER RD</t>
  </si>
  <si>
    <t>CATHIE HENRY JR &amp; NELLIE MAE (W)</t>
  </si>
  <si>
    <t xml:space="preserve">STONE HAROLD  &amp; MATTIE                  </t>
  </si>
  <si>
    <t>STONE HAROLD  &amp; MATTI</t>
  </si>
  <si>
    <t>GATE PKWY W UNIT 606</t>
  </si>
  <si>
    <t xml:space="preserve">MILLER POLLY ANN </t>
  </si>
  <si>
    <t>WESTBURY BLVD W</t>
  </si>
  <si>
    <t>LEXINGTON PARK</t>
  </si>
  <si>
    <t xml:space="preserve">SLAUGHTER LUCIOUS A JR </t>
  </si>
  <si>
    <t>JACOB AVE</t>
  </si>
  <si>
    <t>7202 HERMITAGE ST</t>
  </si>
  <si>
    <t xml:space="preserve">DURHAM CHANELLE                                 </t>
  </si>
  <si>
    <t>7208 HERMITAGE ST</t>
  </si>
  <si>
    <t>CHANELLE DURHAM</t>
  </si>
  <si>
    <t>10TH AVE</t>
  </si>
  <si>
    <t>FREDERICK LARUE L &amp; ELVA M (W)</t>
  </si>
  <si>
    <t>7214 HERMITAGE ST</t>
  </si>
  <si>
    <t>FREDERICK LARUE L &amp; E</t>
  </si>
  <si>
    <t>BEACON HILL DR</t>
  </si>
  <si>
    <t>WADE LUCIOUS  &amp; MARCELLA A (W)</t>
  </si>
  <si>
    <t>7216 HERMITAGE ST</t>
  </si>
  <si>
    <t xml:space="preserve">WILLIAM SENATOR JOSEPH </t>
  </si>
  <si>
    <t>7218 HERMITAGE ST</t>
  </si>
  <si>
    <t>GAMBLE CONSTANCE N &amp; JONATHAN E (H)</t>
  </si>
  <si>
    <t>7220 HERMITAGE ST</t>
  </si>
  <si>
    <t>ROBINSON JAY C &amp; LIZZIE L (W)</t>
  </si>
  <si>
    <t>ROBINSON JAY C &amp; LIZZ</t>
  </si>
  <si>
    <t>HERITAGE ST</t>
  </si>
  <si>
    <t>7234 HERMITAGE ST</t>
  </si>
  <si>
    <t xml:space="preserve">ARMSTRONG LILLIAN </t>
  </si>
  <si>
    <t>7240 HERMITAGE ST</t>
  </si>
  <si>
    <t xml:space="preserve">ALLEN NANCY </t>
  </si>
  <si>
    <t xml:space="preserve">ZELLARS RAYMOND N                               </t>
  </si>
  <si>
    <t>BENNETT ST APT 1</t>
  </si>
  <si>
    <t xml:space="preserve">BELL AGNES E </t>
  </si>
  <si>
    <t>7320 HERMITAGE ST</t>
  </si>
  <si>
    <t>MADDOX JOHN L &amp; ETHEL POSEY (W)</t>
  </si>
  <si>
    <t>7322 HERMITAGE ST</t>
  </si>
  <si>
    <t xml:space="preserve">HAYWOOD JULIUS </t>
  </si>
  <si>
    <t>INGOMAR ST</t>
  </si>
  <si>
    <t>JOHNSON GEORGE I &amp; SAUNDRA W (W)</t>
  </si>
  <si>
    <t>7330 HERMITAGE ST</t>
  </si>
  <si>
    <t>JOHNSON GEORGE I &amp; SA</t>
  </si>
  <si>
    <t>7334 HERMITAGE ST</t>
  </si>
  <si>
    <t>LAMBERT E THOMAS &amp; JACQUELINE (W)</t>
  </si>
  <si>
    <t>7342 HERMITAGE ST</t>
  </si>
  <si>
    <t>THOMPSON ROBERT H &amp; LILLIAN C THOMPSON</t>
  </si>
  <si>
    <t>LOMOND BLVD</t>
  </si>
  <si>
    <t>SHAKER HTS</t>
  </si>
  <si>
    <t xml:space="preserve">ADAMS BERDELL LEWIS </t>
  </si>
  <si>
    <t>FORDHAM HILL OVAL UNIT F7</t>
  </si>
  <si>
    <t xml:space="preserve">HERU CONSTRUCTION LLC </t>
  </si>
  <si>
    <t>7345 MONTICELLO ST</t>
  </si>
  <si>
    <t>LAWTON ST</t>
  </si>
  <si>
    <t xml:space="preserve">SQUIRES EUGENE                                  </t>
  </si>
  <si>
    <t>7343 MONTICELLO ST</t>
  </si>
  <si>
    <t>SQUIRES EUGENE C/O JO</t>
  </si>
  <si>
    <t>LANPARK ST</t>
  </si>
  <si>
    <t>LANE VIVIAN MASON &amp; ROBINSON (H)</t>
  </si>
  <si>
    <t>PAGE DANIEL CONNORS &amp; MICHELLE LANETTE (W)</t>
  </si>
  <si>
    <t>7337 MONTICELLO ST</t>
  </si>
  <si>
    <t>PHEASANT DR</t>
  </si>
  <si>
    <t xml:space="preserve">J A LAND COMPANY </t>
  </si>
  <si>
    <t>7325 MONTICELLO ST</t>
  </si>
  <si>
    <t>BLAIR MARIE  &amp; VERNARD EACKLES</t>
  </si>
  <si>
    <t xml:space="preserve">JONES PATRICIA A </t>
  </si>
  <si>
    <t xml:space="preserve">DOBBS JOHN WESLEY JR &amp; RENE E (W)              </t>
  </si>
  <si>
    <t>7311 MONTICELLO ST</t>
  </si>
  <si>
    <t xml:space="preserve">SCOTT IBURIA </t>
  </si>
  <si>
    <t>7309 MONTICELLO ST</t>
  </si>
  <si>
    <t>WOODS ROBERT G &amp; DIANA (W)</t>
  </si>
  <si>
    <t>7307 MONTICELLO ST</t>
  </si>
  <si>
    <t xml:space="preserve">7241 MONTICELLO LLC                             </t>
  </si>
  <si>
    <t>7241 MONTICELLO ST</t>
  </si>
  <si>
    <t>DOLCIE DAVIES</t>
  </si>
  <si>
    <t xml:space="preserve">CLARK TONNIE L </t>
  </si>
  <si>
    <t xml:space="preserve">HOPSON JULIUS L JR </t>
  </si>
  <si>
    <t>7227 MONTICELLO ST</t>
  </si>
  <si>
    <t>CLARK LARRY R &amp; KATHRYN L (W)</t>
  </si>
  <si>
    <t xml:space="preserve">HAMMIE-BUIE LU CHRIESIA </t>
  </si>
  <si>
    <t xml:space="preserve">MCBRIDE LINDA </t>
  </si>
  <si>
    <t xml:space="preserve">MCBRIDE CLIFFORD                                </t>
  </si>
  <si>
    <t>7209 MONTICELLO ST</t>
  </si>
  <si>
    <t xml:space="preserve">LEGISAFE LLC </t>
  </si>
  <si>
    <t>7207 MONTICELLO ST</t>
  </si>
  <si>
    <t>LEGISAFE LLC</t>
  </si>
  <si>
    <t>7205 MONTICELLO ST</t>
  </si>
  <si>
    <t xml:space="preserve">CHAPMAN JAMES A </t>
  </si>
  <si>
    <t>7203 MONTICELLO ST</t>
  </si>
  <si>
    <t>SPRINGS RD NE UNIT 2</t>
  </si>
  <si>
    <t>HICKORY</t>
  </si>
  <si>
    <t>7216 MONTICELLO ST</t>
  </si>
  <si>
    <t xml:space="preserve">HARRELL LANCE J </t>
  </si>
  <si>
    <t>SHERWOOD AVE FL 2</t>
  </si>
  <si>
    <t>STRIDER KING &amp; MILDRED GRACE (W)</t>
  </si>
  <si>
    <t>STRIDER KING &amp; MILDRE</t>
  </si>
  <si>
    <t xml:space="preserve">EAGLES VIEW REALTY LLC </t>
  </si>
  <si>
    <t>7240 MONTICELLO ST</t>
  </si>
  <si>
    <t>EAGLES VIEW REALTY LL</t>
  </si>
  <si>
    <t>ANTHON DR</t>
  </si>
  <si>
    <t>NESBITT GEORGE D &amp; VIRGINIA F (W)</t>
  </si>
  <si>
    <t xml:space="preserve">PARKER MALVIN </t>
  </si>
  <si>
    <t>7300 MONTICELLO ST</t>
  </si>
  <si>
    <t xml:space="preserve">WOODS COREY L </t>
  </si>
  <si>
    <t>7302 MONTICELLO ST</t>
  </si>
  <si>
    <t>WOODS COREY L</t>
  </si>
  <si>
    <t>SPRING DALE DR</t>
  </si>
  <si>
    <t xml:space="preserve">ICUNS LLC </t>
  </si>
  <si>
    <t>7314 MONTICELLO ST</t>
  </si>
  <si>
    <t>-A MCKNIGHT RD # 192</t>
  </si>
  <si>
    <t>7320 MONTICELLO ST</t>
  </si>
  <si>
    <t xml:space="preserve">MORRIS LYDIA </t>
  </si>
  <si>
    <t>7324 MONTICELLO ST</t>
  </si>
  <si>
    <t>ERHARDT DR</t>
  </si>
  <si>
    <t xml:space="preserve">PRATT THERESA </t>
  </si>
  <si>
    <t>7328 MONTICELLO ST</t>
  </si>
  <si>
    <t>PARROTT PRECIOUS  &amp; FRANK C MARTIN</t>
  </si>
  <si>
    <t xml:space="preserve">COATES DARNELL </t>
  </si>
  <si>
    <t>7332 MONTICELLO ST</t>
  </si>
  <si>
    <t>7334 MONTICELLO STREET  TRUST</t>
  </si>
  <si>
    <t>7334 MONTICELLO ST</t>
  </si>
  <si>
    <t xml:space="preserve">CAIN DANISE A </t>
  </si>
  <si>
    <t>7336 MONTICELLO ST</t>
  </si>
  <si>
    <t xml:space="preserve">TAYLOR MICHELLE </t>
  </si>
  <si>
    <t>7340 MONTICELLO ST</t>
  </si>
  <si>
    <t>MICHELLE TAYLOR</t>
  </si>
  <si>
    <t xml:space="preserve">BROWN DONALD JEROME </t>
  </si>
  <si>
    <t>7344 MONTICELLO ST</t>
  </si>
  <si>
    <t>BROWN DONALD JEROME</t>
  </si>
  <si>
    <t>MONTICELLO ST APT 1</t>
  </si>
  <si>
    <t xml:space="preserve">FREEMAN DANA </t>
  </si>
  <si>
    <t>7346 MONTICELLO ST</t>
  </si>
  <si>
    <t>DAWNLESS DR</t>
  </si>
  <si>
    <t xml:space="preserve">WILLIAMS ANNA C </t>
  </si>
  <si>
    <t>7348 MONTICELLO ST</t>
  </si>
  <si>
    <t>PROPERTY OWNER</t>
  </si>
  <si>
    <t>MOORE WILLIAM A &amp; MAXINE C (W)</t>
  </si>
  <si>
    <t>7341 RACE ST</t>
  </si>
  <si>
    <t>MOORE WILLIAM A &amp; MAX</t>
  </si>
  <si>
    <t>TEDDER WILLIAM B &amp; BRENDA (W)</t>
  </si>
  <si>
    <t>7339 RACE ST</t>
  </si>
  <si>
    <t>LYNN ANN DR</t>
  </si>
  <si>
    <t xml:space="preserve">SOTO DANIEL </t>
  </si>
  <si>
    <t>7327 RACE ST</t>
  </si>
  <si>
    <t xml:space="preserve">SMITH JOHN THOMAS </t>
  </si>
  <si>
    <t>7323 RACE ST</t>
  </si>
  <si>
    <t>7315 RACE ST</t>
  </si>
  <si>
    <t xml:space="preserve">CLAUSELL SHERELLE L </t>
  </si>
  <si>
    <t>7311 RACE ST</t>
  </si>
  <si>
    <t>WADE ISAAC WALTON &amp; BRENDA W (W)</t>
  </si>
  <si>
    <t>7309 RACE ST</t>
  </si>
  <si>
    <t>WADE ISAAC WALTON &amp; B</t>
  </si>
  <si>
    <t>KESWICK PLACE DR</t>
  </si>
  <si>
    <t xml:space="preserve">NUTTER JULIAN </t>
  </si>
  <si>
    <t>7307 RACE ST</t>
  </si>
  <si>
    <t xml:space="preserve">DOTHARD NORMA JEAN </t>
  </si>
  <si>
    <t>7227 RACE ST</t>
  </si>
  <si>
    <t xml:space="preserve">PARR LESLIE </t>
  </si>
  <si>
    <t>7223 RACE ST</t>
  </si>
  <si>
    <t xml:space="preserve">OWENS EUGENIA S </t>
  </si>
  <si>
    <t>WEAVER NELLIE LOUISE &amp; BERNARD D WOOD</t>
  </si>
  <si>
    <t>7219 RACE ST</t>
  </si>
  <si>
    <t xml:space="preserve">JOHNSON SCOTT </t>
  </si>
  <si>
    <t>7211 RACE ST</t>
  </si>
  <si>
    <t>PO BOX 4822</t>
  </si>
  <si>
    <t xml:space="preserve">JACKSON LESLIE MARIE </t>
  </si>
  <si>
    <t>7212 RACE ST</t>
  </si>
  <si>
    <t>HARRIS ANDERSON I II &amp; CARLA (W)</t>
  </si>
  <si>
    <t>7218 RACE ST</t>
  </si>
  <si>
    <t xml:space="preserve">HARRIS ANDERSON I II </t>
  </si>
  <si>
    <t xml:space="preserve">STOKES SHAWNTA </t>
  </si>
  <si>
    <t>7226 RACE ST</t>
  </si>
  <si>
    <t>SHENANDOAH DR</t>
  </si>
  <si>
    <t xml:space="preserve">MCFARLAND EVELENA E </t>
  </si>
  <si>
    <t>7228 RACE ST</t>
  </si>
  <si>
    <t xml:space="preserve">DARLEY EWURIA ABA </t>
  </si>
  <si>
    <t>7232 RACE ST</t>
  </si>
  <si>
    <t>DARLEY EWURIA ABA</t>
  </si>
  <si>
    <t>MANDAN RD APT 102</t>
  </si>
  <si>
    <t>GREENBELT</t>
  </si>
  <si>
    <t xml:space="preserve">ALLEN PATRICK SR </t>
  </si>
  <si>
    <t>7304 RACE ST</t>
  </si>
  <si>
    <t xml:space="preserve">JAMES MITCHELL E </t>
  </si>
  <si>
    <t>7312 RACE ST</t>
  </si>
  <si>
    <t>HOOVER RD</t>
  </si>
  <si>
    <t>WIMS FREDERICK T &amp; VIRGINIA E</t>
  </si>
  <si>
    <t>7316 RACE ST</t>
  </si>
  <si>
    <t xml:space="preserve">MARTIN MARTHENIA </t>
  </si>
  <si>
    <t>7322 RACE ST</t>
  </si>
  <si>
    <t>7330 RACE ST</t>
  </si>
  <si>
    <t>DOAK ST</t>
  </si>
  <si>
    <t xml:space="preserve">SHOWCASE 1 </t>
  </si>
  <si>
    <t>7332 RACE ST</t>
  </si>
  <si>
    <t xml:space="preserve">COLLINS TONY </t>
  </si>
  <si>
    <t>7309 IDLEWILD ST</t>
  </si>
  <si>
    <t>COLLINS TONY</t>
  </si>
  <si>
    <t xml:space="preserve">BENTLEY ANTHONY IRA SR </t>
  </si>
  <si>
    <t>7307 IDLEWILD ST</t>
  </si>
  <si>
    <t xml:space="preserve">BACKERS JOSEPH L </t>
  </si>
  <si>
    <t xml:space="preserve">JENKINS HENRY </t>
  </si>
  <si>
    <t>7239 IDLEWILD ST</t>
  </si>
  <si>
    <t>TILLMAN LEROY SR &amp; TURK TILLMAN</t>
  </si>
  <si>
    <t>7237 IDLEWILD ST</t>
  </si>
  <si>
    <t>TURK TILLMAN</t>
  </si>
  <si>
    <t xml:space="preserve">MOCHA RENTALS LLC </t>
  </si>
  <si>
    <t>7227 IDLEWILD ST</t>
  </si>
  <si>
    <t>MOCHA RENTALS LLC</t>
  </si>
  <si>
    <t>OLD HAYMAKER RD</t>
  </si>
  <si>
    <t xml:space="preserve">YATES LEO SR </t>
  </si>
  <si>
    <t>HOWZE KEARLEY E &amp; OLIVETTE L</t>
  </si>
  <si>
    <t>7230 IDLEWILD ST</t>
  </si>
  <si>
    <t>DONALD R HOWZE</t>
  </si>
  <si>
    <t>INGLENOOK PL</t>
  </si>
  <si>
    <t xml:space="preserve">CONNORS WILLIAM D &amp; MILDRED (W)             </t>
  </si>
  <si>
    <t>7236 IDLEWILD ST</t>
  </si>
  <si>
    <t>7404 RACE ST</t>
  </si>
  <si>
    <t xml:space="preserve">EDMONDS WILLIAM                                 </t>
  </si>
  <si>
    <t>7439 RACE ST</t>
  </si>
  <si>
    <t xml:space="preserve">LIPSCOMB KIRK A </t>
  </si>
  <si>
    <t>7437 RACE ST</t>
  </si>
  <si>
    <t>LIPSCOMB KIRK A</t>
  </si>
  <si>
    <t>7435 RACE ST</t>
  </si>
  <si>
    <t xml:space="preserve">BYRD ERNEST </t>
  </si>
  <si>
    <t xml:space="preserve">MAYS ENTERPRISES LLC </t>
  </si>
  <si>
    <t>7419 RACE ST</t>
  </si>
  <si>
    <t xml:space="preserve">CEPHAS DARIN </t>
  </si>
  <si>
    <t>7417 RACE ST</t>
  </si>
  <si>
    <t xml:space="preserve">TODD TANYA D </t>
  </si>
  <si>
    <t>7413 RACE ST</t>
  </si>
  <si>
    <t xml:space="preserve">PETERS ELIJAH  &amp; GRACE L </t>
  </si>
  <si>
    <t>7409 RACE ST</t>
  </si>
  <si>
    <t xml:space="preserve">MARSHMAN GERALDINE </t>
  </si>
  <si>
    <t>7407 RACE ST</t>
  </si>
  <si>
    <t xml:space="preserve">REID KEITH                                      </t>
  </si>
  <si>
    <t>7400 MONTICELLO ST</t>
  </si>
  <si>
    <t>7404 MONTICELLO ST</t>
  </si>
  <si>
    <t xml:space="preserve">SWADAN HAMOODEH </t>
  </si>
  <si>
    <t>7406 MONTICELLO ST</t>
  </si>
  <si>
    <t>SWADAN HAMOODEH</t>
  </si>
  <si>
    <t xml:space="preserve">JOHNSON DON </t>
  </si>
  <si>
    <t>7418 MONTICELLO ST</t>
  </si>
  <si>
    <t xml:space="preserve">OLIVER GREGORY &amp; TINA (W)                </t>
  </si>
  <si>
    <t>7432 MONTICELLO ST</t>
  </si>
  <si>
    <t xml:space="preserve">GERMAIN DERLY </t>
  </si>
  <si>
    <t>7440 MONTICELLO ST</t>
  </si>
  <si>
    <t>7737 MONTICELLO ST</t>
  </si>
  <si>
    <t>HARVEY LUTHER D &amp; MADELINE E ROBINSON</t>
  </si>
  <si>
    <t>0 THORN ST</t>
  </si>
  <si>
    <t xml:space="preserve">WATKINS HARRY L </t>
  </si>
  <si>
    <t xml:space="preserve">CALLOWAY JOHNSON RENETTA </t>
  </si>
  <si>
    <t>7449 MONTICELLO ST</t>
  </si>
  <si>
    <t>CALLOWAY JOHNSON RENE</t>
  </si>
  <si>
    <t>KNOX GREGORY A</t>
  </si>
  <si>
    <t>N LANG AVE APT 3</t>
  </si>
  <si>
    <t>STOVALL JOHN A &amp; PAMELA L (W)</t>
  </si>
  <si>
    <t>7445 MONTICELLO ST</t>
  </si>
  <si>
    <t>STOVALL JOHN A &amp; PAME</t>
  </si>
  <si>
    <t>DUTCHESS CT</t>
  </si>
  <si>
    <t>OLNEY</t>
  </si>
  <si>
    <t xml:space="preserve">IBRAHIM GEORGES </t>
  </si>
  <si>
    <t>7443 MONTICELLO ST</t>
  </si>
  <si>
    <t>IBRAHIM GEORGES</t>
  </si>
  <si>
    <t xml:space="preserve">GRIFFIN DWIGHT W </t>
  </si>
  <si>
    <t>7437 MONTICELLO ST</t>
  </si>
  <si>
    <t>DWIGHT W GRIFFIN</t>
  </si>
  <si>
    <t xml:space="preserve">TINDALL JACQUELINE </t>
  </si>
  <si>
    <t>7435 MONTICELLO ST</t>
  </si>
  <si>
    <t>RIPPEY ST APT A-1</t>
  </si>
  <si>
    <t xml:space="preserve">WATSON BAILEY  &amp; GENEVA </t>
  </si>
  <si>
    <t>7433 MONTICELLO ST</t>
  </si>
  <si>
    <t>C/O LEONARD FINCH</t>
  </si>
  <si>
    <t xml:space="preserve">RICHBOURG ALEX </t>
  </si>
  <si>
    <t>HOCHBERG RD EXT</t>
  </si>
  <si>
    <t xml:space="preserve">LEE MARK L </t>
  </si>
  <si>
    <t>7427 MONTICELLO ST</t>
  </si>
  <si>
    <t>LIMECREST RD</t>
  </si>
  <si>
    <t xml:space="preserve">ENTY KAMEKA </t>
  </si>
  <si>
    <t>7425 MONTICELLO ST</t>
  </si>
  <si>
    <t xml:space="preserve">BROWN JEROME </t>
  </si>
  <si>
    <t>7423 MONTICELLO ST</t>
  </si>
  <si>
    <t>FRANKSTOWN RD APT 504</t>
  </si>
  <si>
    <t>MR MCINTOSH BUILDING &amp; ROOFING CONTRACTO RS COR</t>
  </si>
  <si>
    <t>7411 MONTICELLO ST</t>
  </si>
  <si>
    <t xml:space="preserve">MR MCINTOSH BUILDING </t>
  </si>
  <si>
    <t>WASHINGTON RD STE 403</t>
  </si>
  <si>
    <t>JACKSON MARY ANN &amp; BACKLER JACKSON JR</t>
  </si>
  <si>
    <t>7347 MONTICELLO ST</t>
  </si>
  <si>
    <t xml:space="preserve">PASCHAL DORA </t>
  </si>
  <si>
    <t>7350 HERMITAGE ST</t>
  </si>
  <si>
    <t xml:space="preserve">LEE REESHA                                      </t>
  </si>
  <si>
    <t>7400 HERMITAGE ST</t>
  </si>
  <si>
    <t xml:space="preserve">ALLEN EUGENE H &amp; THEDA I </t>
  </si>
  <si>
    <t xml:space="preserve">HOLMES MAXINE L </t>
  </si>
  <si>
    <t>7406 HERMITAGE ST</t>
  </si>
  <si>
    <t>ALCOMA BLVD APT 117</t>
  </si>
  <si>
    <t>WHITE HENRY JR &amp; GLORIA (W)</t>
  </si>
  <si>
    <t>MOTIVATED INDIVIDUAL  BROTHERS HRRM LLC</t>
  </si>
  <si>
    <t>7412 HERMITAGE ST</t>
  </si>
  <si>
    <t>KEFER DR</t>
  </si>
  <si>
    <t xml:space="preserve">BENTZ GARY W </t>
  </si>
  <si>
    <t>BRYER RIDGE CT</t>
  </si>
  <si>
    <t xml:space="preserve">SLY GEORGE L &amp; MINNIE B </t>
  </si>
  <si>
    <t>SLY GEORGE L &amp; MINNIE</t>
  </si>
  <si>
    <t>NIAGARA ST APT 709</t>
  </si>
  <si>
    <t xml:space="preserve">BOYCE CARLA </t>
  </si>
  <si>
    <t>7418 HERMITAGE ST</t>
  </si>
  <si>
    <t>HERMETAGE ST</t>
  </si>
  <si>
    <t xml:space="preserve">VAUGHN MARY A </t>
  </si>
  <si>
    <t>SASSAFRAS TREE CT</t>
  </si>
  <si>
    <t>DUMFRIES</t>
  </si>
  <si>
    <t xml:space="preserve">STATON ROBERT </t>
  </si>
  <si>
    <t>TERRY CHARLIE  &amp; MARJORIE</t>
  </si>
  <si>
    <t>CLAYTON ERNEST  &amp; REBECCA</t>
  </si>
  <si>
    <t>CARTER DILLARD  &amp; BERTHA (W)</t>
  </si>
  <si>
    <t>CARTER DILLARD  &amp; BER</t>
  </si>
  <si>
    <t>FRANKSTOWN AVE APT 104</t>
  </si>
  <si>
    <t>DILLARD CARTER  &amp; BERTHA (W)</t>
  </si>
  <si>
    <t>1121 BRUSHTON AVE</t>
  </si>
  <si>
    <t>DILLARD CARTER  &amp; BER</t>
  </si>
  <si>
    <t>7441 HERMITAGE ST</t>
  </si>
  <si>
    <t xml:space="preserve">WILCOX IRA J </t>
  </si>
  <si>
    <t>7433 HERMITAGE ST</t>
  </si>
  <si>
    <t xml:space="preserve">WEST EDITH A </t>
  </si>
  <si>
    <t xml:space="preserve">TERRY JACQUELINE W                              </t>
  </si>
  <si>
    <t>1202 PINERIDGE ST</t>
  </si>
  <si>
    <t>COUNTRY CLUB DR</t>
  </si>
  <si>
    <t xml:space="preserve">BUTLER BEULAH N                                 </t>
  </si>
  <si>
    <t>0 PINERIDGE ST</t>
  </si>
  <si>
    <t>HARGRAVE DARNELL</t>
  </si>
  <si>
    <t>DANBURY CT</t>
  </si>
  <si>
    <t xml:space="preserve">HODGE AKILE R SR                                </t>
  </si>
  <si>
    <t>1208 PINERIDGE ST</t>
  </si>
  <si>
    <t>FOLIAGE ST</t>
  </si>
  <si>
    <t xml:space="preserve">PRESTON EUGENE E </t>
  </si>
  <si>
    <t>N NEGLEY AVE APT 8</t>
  </si>
  <si>
    <t xml:space="preserve">MCBRIDE JAMIE </t>
  </si>
  <si>
    <t>7420 MOUNT VERNON ST</t>
  </si>
  <si>
    <t xml:space="preserve">BROWN JOSEPH C </t>
  </si>
  <si>
    <t>1209 PINERIDGE ST</t>
  </si>
  <si>
    <t>BROWN JOSEPH C ERICKA</t>
  </si>
  <si>
    <t xml:space="preserve">Q &amp; A INC                   </t>
  </si>
  <si>
    <t>ROOSEVELT ANDERSON</t>
  </si>
  <si>
    <t xml:space="preserve">WILSON CHERYL BRIDGES </t>
  </si>
  <si>
    <t xml:space="preserve">ROLLINS DENEEN </t>
  </si>
  <si>
    <t xml:space="preserve">BLANTON ROY D &amp; IRENE </t>
  </si>
  <si>
    <t xml:space="preserve">HINES MELVIN </t>
  </si>
  <si>
    <t>111TH RD</t>
  </si>
  <si>
    <t xml:space="preserve">HANKINS GREGORY </t>
  </si>
  <si>
    <t>BROADUS CLYDE E &amp; JULIA L</t>
  </si>
  <si>
    <t xml:space="preserve">ANDERSON MARGARET COLE </t>
  </si>
  <si>
    <t>WYNFIELD TER</t>
  </si>
  <si>
    <t xml:space="preserve">JONES EDNA </t>
  </si>
  <si>
    <t>ETHEL MOTON</t>
  </si>
  <si>
    <t xml:space="preserve">BURTON LOVIE ANN </t>
  </si>
  <si>
    <t>0 COLLIER ST</t>
  </si>
  <si>
    <t xml:space="preserve">MITCHELL ROSE M </t>
  </si>
  <si>
    <t xml:space="preserve">PORTER CLARENCE E </t>
  </si>
  <si>
    <t xml:space="preserve">PEYTON JANE LOUISE                              </t>
  </si>
  <si>
    <t>DAVID F SNUFFER</t>
  </si>
  <si>
    <t>HIGHLAND AVE</t>
  </si>
  <si>
    <t>PHIPPS KENNETH A &amp; MARY L PHIPPS</t>
  </si>
  <si>
    <t>PHIPPS MARY LOU &amp; CYNTHIA PHIPPS</t>
  </si>
  <si>
    <t>7345 HERMITAGE ST</t>
  </si>
  <si>
    <t>BROOKS WILLIAM  &amp; LORRAINE (W)</t>
  </si>
  <si>
    <t>7343 HERMITAGE ST</t>
  </si>
  <si>
    <t>BROOKS DEBRA L</t>
  </si>
  <si>
    <t>LEONARDO WAY</t>
  </si>
  <si>
    <t xml:space="preserve">FUQUA CRAIG </t>
  </si>
  <si>
    <t>1313 COLLIER ST</t>
  </si>
  <si>
    <t>COLLIER ST</t>
  </si>
  <si>
    <t>TVETER FAMILY TRUST (THE)</t>
  </si>
  <si>
    <t>0 WILLING ST</t>
  </si>
  <si>
    <t>DILLON DR</t>
  </si>
  <si>
    <t>OGDEN</t>
  </si>
  <si>
    <t xml:space="preserve">CARR DEXTER R </t>
  </si>
  <si>
    <t>WEST ST</t>
  </si>
  <si>
    <t xml:space="preserve">HARRIS ELLA MAE </t>
  </si>
  <si>
    <t>BANBURY WAY</t>
  </si>
  <si>
    <t>BOLINGBROOK</t>
  </si>
  <si>
    <t>MANUFACTURERS &amp; TRADERS TRUST COMPANY</t>
  </si>
  <si>
    <t>M AND T PLZ</t>
  </si>
  <si>
    <t xml:space="preserve">RICKETTS GERALD </t>
  </si>
  <si>
    <t>WILLING ST</t>
  </si>
  <si>
    <t xml:space="preserve">HIGGINS JANIE </t>
  </si>
  <si>
    <t>222 WILLING ST</t>
  </si>
  <si>
    <t xml:space="preserve">GILL JOHN </t>
  </si>
  <si>
    <t>RIVER OAK WAY</t>
  </si>
  <si>
    <t>PHENIX CITY</t>
  </si>
  <si>
    <t>LINSAY LEONARD JR &amp; DOROTHY B FULLER</t>
  </si>
  <si>
    <t>BROWN GERTRUDE  &amp; &amp;MARY TURNER</t>
  </si>
  <si>
    <t xml:space="preserve">OAKES GEORGE  &amp; SYLVIA </t>
  </si>
  <si>
    <t>1102 WHEELER ST</t>
  </si>
  <si>
    <t xml:space="preserve">WHITE ANTHONY L </t>
  </si>
  <si>
    <t>1104 WHEELER ST</t>
  </si>
  <si>
    <t>KENT AVE APT 407</t>
  </si>
  <si>
    <t xml:space="preserve">MTM DEVELOPMENT </t>
  </si>
  <si>
    <t>1106 WHEELER ST</t>
  </si>
  <si>
    <t xml:space="preserve">MASON FARREN J                                  </t>
  </si>
  <si>
    <t>1110 WHEELER ST</t>
  </si>
  <si>
    <t xml:space="preserve">RUSS DOROTHY J </t>
  </si>
  <si>
    <t>1116 WHEELER ST</t>
  </si>
  <si>
    <t>1118 WHEELER ST</t>
  </si>
  <si>
    <t>GRISHAM LARRY D</t>
  </si>
  <si>
    <t xml:space="preserve">ROBERT A AGURS LLC </t>
  </si>
  <si>
    <t>1120 WHEELER ST</t>
  </si>
  <si>
    <t>PHILLIPS JEWEL F &amp; MATTIE L</t>
  </si>
  <si>
    <t>8013 FERNDALE ST</t>
  </si>
  <si>
    <t>FLORWOOD AVE</t>
  </si>
  <si>
    <t>HAWTHORNE</t>
  </si>
  <si>
    <t xml:space="preserve">REDDING JAMES  &amp; DORIS E </t>
  </si>
  <si>
    <t>1107 BLACKADORE ST</t>
  </si>
  <si>
    <t>FRANKLIN RAYMOND L &amp; DORIS R FRANKLIN (W )</t>
  </si>
  <si>
    <t>HORTON GINER M &amp; MATHILDA E HORTON</t>
  </si>
  <si>
    <t>HORTON GINER M &amp; MATH</t>
  </si>
  <si>
    <t>ANN ST</t>
  </si>
  <si>
    <t>DAVIS RICHARD J &amp; LILLIE MAE</t>
  </si>
  <si>
    <t>DAVIS RICHARD J &amp; LIL</t>
  </si>
  <si>
    <t>INWOOD AVE</t>
  </si>
  <si>
    <t xml:space="preserve">REID LEWIS  &amp; DORIS (W) </t>
  </si>
  <si>
    <t>REID LEWIS  &amp; DORIS (</t>
  </si>
  <si>
    <t>BLACKADORE ST</t>
  </si>
  <si>
    <t>1108 BLACKADORE ST</t>
  </si>
  <si>
    <t xml:space="preserve">SMITH JAMES A </t>
  </si>
  <si>
    <t>1104 BLACKADORE ST</t>
  </si>
  <si>
    <t xml:space="preserve">REDDISH GAYLE </t>
  </si>
  <si>
    <t>0 OZAN WAY</t>
  </si>
  <si>
    <t xml:space="preserve">BARRON PROJECTS LLC </t>
  </si>
  <si>
    <t>1100 BLACKADORE ST</t>
  </si>
  <si>
    <t>BARRON PROJECTS LLC</t>
  </si>
  <si>
    <t>TINGLEY AVE</t>
  </si>
  <si>
    <t xml:space="preserve">DICKERSON JAMES H &amp; BARBARA J (W)           </t>
  </si>
  <si>
    <t>DICKERSON JAMES H &amp; B</t>
  </si>
  <si>
    <t>N ACON CT APT 214</t>
  </si>
  <si>
    <t xml:space="preserve">LOGAN BILLIE AUDRA </t>
  </si>
  <si>
    <t>1082 BLACKADORE ST</t>
  </si>
  <si>
    <t xml:space="preserve">SLOAN GETER </t>
  </si>
  <si>
    <t>1076 BLACKADORE ST</t>
  </si>
  <si>
    <t>HOLY CROSS DR</t>
  </si>
  <si>
    <t>LEE RICHARD E &amp; CHERYL ANN LEE (D)</t>
  </si>
  <si>
    <t xml:space="preserve">WASHINGTON CARAE LARYN </t>
  </si>
  <si>
    <t>1045 BLACKADORE ST</t>
  </si>
  <si>
    <t>CARAE LARYN WASHINGTO</t>
  </si>
  <si>
    <t xml:space="preserve">DAVID ROXANNE </t>
  </si>
  <si>
    <t>1059 BLACKADORE ST</t>
  </si>
  <si>
    <t>HAVELOCK ST</t>
  </si>
  <si>
    <t>SPRINGFIELD</t>
  </si>
  <si>
    <t xml:space="preserve">WALKER BEVERLY ANN </t>
  </si>
  <si>
    <t xml:space="preserve">DIXON ANDREW L &amp; DOROTHY </t>
  </si>
  <si>
    <t xml:space="preserve">GETER SLOAN JR </t>
  </si>
  <si>
    <t>1075 BLACKADORE ST</t>
  </si>
  <si>
    <t xml:space="preserve">ALLEN ALVINO C </t>
  </si>
  <si>
    <t>1085 BLACKADORE ST</t>
  </si>
  <si>
    <t>ALLEN ALVINO C</t>
  </si>
  <si>
    <t xml:space="preserve">FULLARD MICHAEL M </t>
  </si>
  <si>
    <t>1091 BLACKADORE ST</t>
  </si>
  <si>
    <t>JPNES THOMAS JONES &amp; ASHANTI (W)</t>
  </si>
  <si>
    <t>1095 BLACKADORE ST</t>
  </si>
  <si>
    <t>TAYLOR YVONNE &amp; STANLEY E (H)</t>
  </si>
  <si>
    <t>1097 BLACKADORE ST</t>
  </si>
  <si>
    <t>HAWES DR</t>
  </si>
  <si>
    <t xml:space="preserve">HOGAN DAVID  &amp; ETHEL </t>
  </si>
  <si>
    <t>CLINTON DR</t>
  </si>
  <si>
    <t xml:space="preserve">THOMAS JOSEPH J </t>
  </si>
  <si>
    <t>0 FERNDALE ST</t>
  </si>
  <si>
    <t xml:space="preserve">LIGHTFOOT KEVIN W </t>
  </si>
  <si>
    <t>JONES WILBERT  &amp; ADDREAN (W)</t>
  </si>
  <si>
    <t xml:space="preserve">GAINES OTIS JR &amp; LAVORA </t>
  </si>
  <si>
    <t xml:space="preserve">KING MONROE  &amp; ROSIE </t>
  </si>
  <si>
    <t xml:space="preserve">LIPSCOMB ANNIE </t>
  </si>
  <si>
    <t>ANDERSON WILLIAM S &amp; DAISY C</t>
  </si>
  <si>
    <t>WHEELER ST</t>
  </si>
  <si>
    <t xml:space="preserve">NICHOLAS LAWRENCE A JR </t>
  </si>
  <si>
    <t>CASSINA WAY</t>
  </si>
  <si>
    <t xml:space="preserve">MULDROW ANDREW A III </t>
  </si>
  <si>
    <t>PORTER WILLIAM S &amp; MARTHA (W)</t>
  </si>
  <si>
    <t>1068 WHEELER ST</t>
  </si>
  <si>
    <t>AVERY MURPHY PATRICK &amp; MARY</t>
  </si>
  <si>
    <t>1066 WHEELER ST</t>
  </si>
  <si>
    <t xml:space="preserve">JACKSON LEROY </t>
  </si>
  <si>
    <t>1052 WHEELER ST</t>
  </si>
  <si>
    <t>TYLER RD</t>
  </si>
  <si>
    <t>MCKEEVER FRANK  &amp; LUCILLE</t>
  </si>
  <si>
    <t>MCKEEVER FRANK  &amp; LUC</t>
  </si>
  <si>
    <t xml:space="preserve">WILEY IRMA JEAN </t>
  </si>
  <si>
    <t>1032 WHEELER ST</t>
  </si>
  <si>
    <t xml:space="preserve">MCMEANS MANCHE JR </t>
  </si>
  <si>
    <t>N WHEELER DR</t>
  </si>
  <si>
    <t xml:space="preserve">RUSSELL DANIEL H </t>
  </si>
  <si>
    <t xml:space="preserve">REID CARL  &amp; MYRTLE (W) </t>
  </si>
  <si>
    <t xml:space="preserve">THOMPSON MOZELLE W SR &amp; ANNA V (W)              </t>
  </si>
  <si>
    <t>BOSWELL EDWARD  &amp; BOSWELL D B</t>
  </si>
  <si>
    <t>MANTIA JOSEPH A &amp; SAM CANESTRO</t>
  </si>
  <si>
    <t xml:space="preserve">YOUNGBLOOD PERVIS JAMES </t>
  </si>
  <si>
    <t>1065 WHEELER ST</t>
  </si>
  <si>
    <t xml:space="preserve">GAINES LAVORA </t>
  </si>
  <si>
    <t>FOXBURY AVE</t>
  </si>
  <si>
    <t>MITCHELL RAPHA C &amp; MINNIE</t>
  </si>
  <si>
    <t xml:space="preserve">MARTIN JAMES C </t>
  </si>
  <si>
    <t>ELLIS FORD OSCAR &amp; ANN CECELIA</t>
  </si>
  <si>
    <t>ELLIS FORD OSCAR &amp; AN</t>
  </si>
  <si>
    <t>CAMELOT CT</t>
  </si>
  <si>
    <t xml:space="preserve">SASLAW MAX  &amp; ESTELLE </t>
  </si>
  <si>
    <t xml:space="preserve">LEACH WALTER A </t>
  </si>
  <si>
    <t>5TH ST</t>
  </si>
  <si>
    <t xml:space="preserve">BOULDEN MERWIN </t>
  </si>
  <si>
    <t xml:space="preserve">GREGG THOMAS &amp; MINNIE C (W)            </t>
  </si>
  <si>
    <t xml:space="preserve">MERHAUT WILLIAM </t>
  </si>
  <si>
    <t>PO BOX 162</t>
  </si>
  <si>
    <t xml:space="preserve">TERRY TIMOTHY EUGENE </t>
  </si>
  <si>
    <t xml:space="preserve">HIRAI EIKO B </t>
  </si>
  <si>
    <t>JONES HILDA CLEMENTINE &amp; LAWRENCE DENNIS  JONES</t>
  </si>
  <si>
    <t xml:space="preserve">JONES HILDA C </t>
  </si>
  <si>
    <t>900 MOHLER ST</t>
  </si>
  <si>
    <t>MOHLER ST</t>
  </si>
  <si>
    <t xml:space="preserve">CAMBRIA S&amp;L A </t>
  </si>
  <si>
    <t>PLATER ROBIN L LAWANNA L PLATER</t>
  </si>
  <si>
    <t>7738 MONTICELLO ST</t>
  </si>
  <si>
    <t xml:space="preserve">ANGELL JULIA E </t>
  </si>
  <si>
    <t>7736 MONTICELLO ST</t>
  </si>
  <si>
    <t>7743 MONTICELLO ST</t>
  </si>
  <si>
    <t>7745 THORN ST</t>
  </si>
  <si>
    <t>7747 MONTICELLO ST</t>
  </si>
  <si>
    <t xml:space="preserve">PORTIS SALLIE M </t>
  </si>
  <si>
    <t xml:space="preserve">MANCUSO JOSEPH A </t>
  </si>
  <si>
    <t xml:space="preserve">IARRUSSO JOSEPH A </t>
  </si>
  <si>
    <t xml:space="preserve">WILLIAMS ANTHONY </t>
  </si>
  <si>
    <t>OWENS ROBERT D &amp; BARBARA A</t>
  </si>
  <si>
    <t>BASKIN DWAYNE  &amp; SABRIYA K BASKIN</t>
  </si>
  <si>
    <t>709 N LANG AVE</t>
  </si>
  <si>
    <t>JENKINS WILBUR C &amp; MOZELLA (W)</t>
  </si>
  <si>
    <t>703 N LANG AVE</t>
  </si>
  <si>
    <t>TRACY DOSWELL</t>
  </si>
  <si>
    <t xml:space="preserve">HOMEWOOD BRUSHTON </t>
  </si>
  <si>
    <t>7066 KELLY ST</t>
  </si>
  <si>
    <t>CITY OF PGH TREASURER</t>
  </si>
  <si>
    <t>THE CENTER THAT  C.A.R.E.S.(CHILDREN/ADUL</t>
  </si>
  <si>
    <t>7119 HAMILTON AVE</t>
  </si>
  <si>
    <t>THE CENTER THAT C.A.R</t>
  </si>
  <si>
    <t>BUILDING UNITED OF SOUTHWESTERN PENNSYLVANI</t>
  </si>
  <si>
    <t>621 N HOMEWOOD AVE</t>
  </si>
  <si>
    <t xml:space="preserve">BIBLE CENTER CHURCH INC </t>
  </si>
  <si>
    <t>622 N HOMEWOOD AVE</t>
  </si>
  <si>
    <t>BIBLE CENTER CHURCH I</t>
  </si>
  <si>
    <t>FLEURY WAY</t>
  </si>
  <si>
    <t xml:space="preserve">EPPS JEAN M </t>
  </si>
  <si>
    <t>7239 KELLY ST</t>
  </si>
  <si>
    <t xml:space="preserve">JOHNSON CHARLES </t>
  </si>
  <si>
    <t>7237 KELLY ST</t>
  </si>
  <si>
    <t xml:space="preserve">JONES DONALD </t>
  </si>
  <si>
    <t>720 N LANG AVE</t>
  </si>
  <si>
    <t>0 BENNETT ST</t>
  </si>
  <si>
    <t>7225 BENNETT ST</t>
  </si>
  <si>
    <t xml:space="preserve">GAULT TYRONE </t>
  </si>
  <si>
    <t>7219 BENNETT ST</t>
  </si>
  <si>
    <t>TYRONE GAULT</t>
  </si>
  <si>
    <t xml:space="preserve">ALFRED GROUP LLC </t>
  </si>
  <si>
    <t>7141 BENNETT ST</t>
  </si>
  <si>
    <t>STEVENSAN DR</t>
  </si>
  <si>
    <t>GILLESPIE VIOLA          ETAL</t>
  </si>
  <si>
    <t>GILLESPIE VIOLA C/O A</t>
  </si>
  <si>
    <t>GUYLAN DR</t>
  </si>
  <si>
    <t xml:space="preserve">THOMPSON PETER </t>
  </si>
  <si>
    <t>7121 BENNETT ST</t>
  </si>
  <si>
    <t>COOPER LORI</t>
  </si>
  <si>
    <t>BROADWAY ST</t>
  </si>
  <si>
    <t>EAST MC KEESPO</t>
  </si>
  <si>
    <t xml:space="preserve">ANDREWS JUANITA </t>
  </si>
  <si>
    <t>7119 BENNETT ST</t>
  </si>
  <si>
    <t>CHARTIERS AVE APT 1</t>
  </si>
  <si>
    <t xml:space="preserve">WARD VALORIE L                                  </t>
  </si>
  <si>
    <t>7115 BENNETT ST</t>
  </si>
  <si>
    <t xml:space="preserve">JOHNSON LASHONN </t>
  </si>
  <si>
    <t>804 N LANG AVE</t>
  </si>
  <si>
    <t>LASHONN JOHNSON</t>
  </si>
  <si>
    <t>FOREST DAWN CT</t>
  </si>
  <si>
    <t xml:space="preserve">PARKER EUGENE </t>
  </si>
  <si>
    <t>808 N LANG AVE</t>
  </si>
  <si>
    <t xml:space="preserve">DELLE EYOSIA </t>
  </si>
  <si>
    <t>810 N LANG AVE</t>
  </si>
  <si>
    <t>DELLE EYOSIA</t>
  </si>
  <si>
    <t>PETER DR</t>
  </si>
  <si>
    <t xml:space="preserve">ROUSE GENE </t>
  </si>
  <si>
    <t>811 N HOMEWOOD AVE</t>
  </si>
  <si>
    <t>7240 FRANKSTOWN AVE</t>
  </si>
  <si>
    <t>PO BOX 5502</t>
  </si>
  <si>
    <t>THOMAS WILLIAM C &amp; DARLENE L (W)</t>
  </si>
  <si>
    <t>7207 FRANKSTOWN AVE</t>
  </si>
  <si>
    <t>THOMAS WILLIAM  &amp; DARLENE L CALDWELL</t>
  </si>
  <si>
    <t>7203 FRANKSTOWN AVE</t>
  </si>
  <si>
    <t>7201 FRANKSTOWN AVE</t>
  </si>
  <si>
    <t xml:space="preserve">TARPLEY JAMES  &amp; SENORA </t>
  </si>
  <si>
    <t>1008 COLLIER ST</t>
  </si>
  <si>
    <t xml:space="preserve">SCOTT CELESTE </t>
  </si>
  <si>
    <t>7347 IDLEWILD ST</t>
  </si>
  <si>
    <t>7341 IDLEWILD ST</t>
  </si>
  <si>
    <t xml:space="preserve">TERRELL WILLIAM H                               </t>
  </si>
  <si>
    <t>7337 IDLEWILD ST</t>
  </si>
  <si>
    <t>IDLEWOOD ST</t>
  </si>
  <si>
    <t xml:space="preserve">MOON BERNARD W </t>
  </si>
  <si>
    <t>7335 IDLEWILD ST</t>
  </si>
  <si>
    <t>WALLOBY LN</t>
  </si>
  <si>
    <t>HANOVER</t>
  </si>
  <si>
    <t xml:space="preserve">LARRY KAREN </t>
  </si>
  <si>
    <t>ST. NIKOLAI DR</t>
  </si>
  <si>
    <t>BANKERS TRUST CO OF  CALIFORNIA NA</t>
  </si>
  <si>
    <t>BANKERS TRUST CO OF C</t>
  </si>
  <si>
    <t xml:space="preserve">MOHAMED WASIULLAH                               </t>
  </si>
  <si>
    <t>7240 IDLEWILD ST</t>
  </si>
  <si>
    <t xml:space="preserve">DAVIS WILLA  &amp; RUBY WASHINGTON 1/2 INT </t>
  </si>
  <si>
    <t>WINFREE RD</t>
  </si>
  <si>
    <t xml:space="preserve">GRIFFIN THELMIKA S </t>
  </si>
  <si>
    <t>7306 IDLEWILD ST</t>
  </si>
  <si>
    <t xml:space="preserve">WESLEY DAISY </t>
  </si>
  <si>
    <t>7310 IDLEWILD ST</t>
  </si>
  <si>
    <t>CENTRE AVE APT 204</t>
  </si>
  <si>
    <t>LOVELACE CHARLES ETAL</t>
  </si>
  <si>
    <t>7314 IDLEWILD ST</t>
  </si>
  <si>
    <t>7316 IDLEWILD ST</t>
  </si>
  <si>
    <t xml:space="preserve">WILLIAMS ANTHONY                                </t>
  </si>
  <si>
    <t>7328 IDLEWILD ST</t>
  </si>
  <si>
    <t xml:space="preserve">FULLER CHERYLIE </t>
  </si>
  <si>
    <t xml:space="preserve">WITHERSPOON MARYAM </t>
  </si>
  <si>
    <t xml:space="preserve">REALVESTEDTM LLC </t>
  </si>
  <si>
    <t>7223 FRANKSTOWN AVE</t>
  </si>
  <si>
    <t>OVERHILL DR</t>
  </si>
  <si>
    <t>7249 FRANKSTOWN AVE</t>
  </si>
  <si>
    <t>GROGAN BROTHERS MOVING &amp; STORAGE CO</t>
  </si>
  <si>
    <t>7253 FRANKSTOWN AVE</t>
  </si>
  <si>
    <t>GROGAN BROTHERS MOVIN</t>
  </si>
  <si>
    <t>7301 FRANKSTOWN AVE</t>
  </si>
  <si>
    <t xml:space="preserve">ANDROS FAMILY TRUST </t>
  </si>
  <si>
    <t>7309 FRANKSTOWN AVE</t>
  </si>
  <si>
    <t>ANDREW ANDROS</t>
  </si>
  <si>
    <t>ANGELL BOLEN VETERAN ASSN INC</t>
  </si>
  <si>
    <t>7313 FRANKSTOWN AVE</t>
  </si>
  <si>
    <t xml:space="preserve">PALMER FLOYD </t>
  </si>
  <si>
    <t>7315 FRANKSTOWN AVE</t>
  </si>
  <si>
    <t xml:space="preserve">STOKES NYNA LASHELE </t>
  </si>
  <si>
    <t>7333 FRANKSTOWN AVE</t>
  </si>
  <si>
    <t>GARRICK DR</t>
  </si>
  <si>
    <t xml:space="preserve">IMAGES BUILDING LLC </t>
  </si>
  <si>
    <t>7355 FRANKSTOWN AVE</t>
  </si>
  <si>
    <t>IMAGES BUILDING LLC</t>
  </si>
  <si>
    <t xml:space="preserve">EVANS WALTER C JR </t>
  </si>
  <si>
    <t>7401 FRANKSTOWN AVE</t>
  </si>
  <si>
    <t>ZEPHYR AVE</t>
  </si>
  <si>
    <t>7310 FRANKSTOWN AVE</t>
  </si>
  <si>
    <t xml:space="preserve">CARLISLE MELVIN  &amp; MARY M (W)              </t>
  </si>
  <si>
    <t>7305 BENNETT ST</t>
  </si>
  <si>
    <t>CARLISLE MELVIN</t>
  </si>
  <si>
    <t>KNICKERBOCKER DR</t>
  </si>
  <si>
    <t>7505 BENNETT ST</t>
  </si>
  <si>
    <t xml:space="preserve">PLOWDEN JOHN R JR </t>
  </si>
  <si>
    <t>7523 BENNETT ST</t>
  </si>
  <si>
    <t>PLOWDEN JOHN R JR</t>
  </si>
  <si>
    <t xml:space="preserve">S &amp; S PROPERTY MANAGEMENT &amp; </t>
  </si>
  <si>
    <t>7340 BENNETT ST</t>
  </si>
  <si>
    <t>S &amp; S PROPERTY MANAGE</t>
  </si>
  <si>
    <t>7338 BENNETT ST</t>
  </si>
  <si>
    <t xml:space="preserve">SYMMS ISAAC </t>
  </si>
  <si>
    <t>7336 BENNETT ST</t>
  </si>
  <si>
    <t xml:space="preserve">BARNETTE VERNAL                                 </t>
  </si>
  <si>
    <t>7324 BENNETT ST</t>
  </si>
  <si>
    <t>BARNETTE EMANUEL</t>
  </si>
  <si>
    <t>S EUCLID APT 2</t>
  </si>
  <si>
    <t xml:space="preserve">R T HOMEWOOD LLC </t>
  </si>
  <si>
    <t>7310 BENNETT ST</t>
  </si>
  <si>
    <t>R T HOMEWOOD LLC</t>
  </si>
  <si>
    <t>WOOD ST FL 3</t>
  </si>
  <si>
    <t>7308 BENNETT ST</t>
  </si>
  <si>
    <t>7306 BENNETT ST</t>
  </si>
  <si>
    <t>7304 BENNETT ST</t>
  </si>
  <si>
    <t>7302 BENNETT ST</t>
  </si>
  <si>
    <t>WOOD ST 3</t>
  </si>
  <si>
    <t>722 STERRETT ST</t>
  </si>
  <si>
    <t>7321 FLEURY WAY</t>
  </si>
  <si>
    <t>720 STERRETT ST</t>
  </si>
  <si>
    <t>708 STERRETT ST</t>
  </si>
  <si>
    <t>706 STERRETT ST</t>
  </si>
  <si>
    <t>704 STERRETT ST</t>
  </si>
  <si>
    <t>7246 BENNETT ST</t>
  </si>
  <si>
    <t>710 STERRETT ST</t>
  </si>
  <si>
    <t>702 STERRETT ST</t>
  </si>
  <si>
    <t>7301 KELLY ST</t>
  </si>
  <si>
    <t>7303 KELLY ST</t>
  </si>
  <si>
    <t>7307 KELLY ST</t>
  </si>
  <si>
    <t>7313 KELLY ST</t>
  </si>
  <si>
    <t>7319 KELLY ST</t>
  </si>
  <si>
    <t xml:space="preserve">ELLIS PHILLIPS </t>
  </si>
  <si>
    <t>7321 KELLY ST</t>
  </si>
  <si>
    <t>ELLIS PHILLIPS</t>
  </si>
  <si>
    <t>CLEARVIEW DR</t>
  </si>
  <si>
    <t>0 FLEURY WAY</t>
  </si>
  <si>
    <t xml:space="preserve">CB INVEST LLC </t>
  </si>
  <si>
    <t>7412 RACE ST</t>
  </si>
  <si>
    <t xml:space="preserve">MCCLESTER MILDRED </t>
  </si>
  <si>
    <t>7416 RACE ST</t>
  </si>
  <si>
    <t xml:space="preserve">MCGARRY JASON                                   </t>
  </si>
  <si>
    <t>7418 RACE ST</t>
  </si>
  <si>
    <t xml:space="preserve">COVINGTON GLORIA </t>
  </si>
  <si>
    <t>7431 IDLEWILD ST</t>
  </si>
  <si>
    <t xml:space="preserve">PIPPINS SHERWIN D </t>
  </si>
  <si>
    <t>7417 IDLEWILD ST</t>
  </si>
  <si>
    <t>PO BOX 56906</t>
  </si>
  <si>
    <t>DICKERSON ARTHURL L JR &amp; CAROL D (W)</t>
  </si>
  <si>
    <t>DICKERSON ARTHURL L J</t>
  </si>
  <si>
    <t>CLAIRHAVEN ST</t>
  </si>
  <si>
    <t xml:space="preserve">GARDNER BARBARA A </t>
  </si>
  <si>
    <t>COUNTRY CAPITAL THREE  LLC</t>
  </si>
  <si>
    <t>7409 IDLEWILD ST</t>
  </si>
  <si>
    <t>COUNTRY CAPITAL THREE</t>
  </si>
  <si>
    <t xml:space="preserve">MORLEY SONYA-MARIE </t>
  </si>
  <si>
    <t>7430 FRANKSTOWN AVE</t>
  </si>
  <si>
    <t xml:space="preserve">SPARROW TERRANCE T </t>
  </si>
  <si>
    <t>7533 BENNETT ST</t>
  </si>
  <si>
    <t xml:space="preserve">WILLIAMS CRAIG C JR </t>
  </si>
  <si>
    <t>7535 BENNETT ST</t>
  </si>
  <si>
    <t xml:space="preserve">STANTON IKIA </t>
  </si>
  <si>
    <t>7537 BENNETT ST</t>
  </si>
  <si>
    <t>WEST ST APT 4</t>
  </si>
  <si>
    <t>7539 BENNETT ST</t>
  </si>
  <si>
    <t>FISHER'S OF MEN  COMMUNITY DEVELOPMENT CO</t>
  </si>
  <si>
    <t>7547 BENNETT ST</t>
  </si>
  <si>
    <t>FISHER'S OF MEN COMMU</t>
  </si>
  <si>
    <t xml:space="preserve">JONES DELORIS K </t>
  </si>
  <si>
    <t>7605 BENNETT ST</t>
  </si>
  <si>
    <t>BENNETT ST APT 2</t>
  </si>
  <si>
    <t xml:space="preserve">HARVIN BRUCE </t>
  </si>
  <si>
    <t>7608 FRANKSTOWN AVE</t>
  </si>
  <si>
    <t>PLEASANT RIDGE RD</t>
  </si>
  <si>
    <t xml:space="preserve">STRONG ERIC C                                   </t>
  </si>
  <si>
    <t>7620 FRANKSTOWN AVE</t>
  </si>
  <si>
    <t>STRONG ERIC C</t>
  </si>
  <si>
    <t xml:space="preserve">CLAY BRITTEE                                    </t>
  </si>
  <si>
    <t>0 DURANGO WAY</t>
  </si>
  <si>
    <t xml:space="preserve">PETTY TIMOTHY </t>
  </si>
  <si>
    <t>PETTY TIMOTHY</t>
  </si>
  <si>
    <t>7721 FRANKSTOWN AVE</t>
  </si>
  <si>
    <t>JAMES THOMPKINS</t>
  </si>
  <si>
    <t xml:space="preserve">TAULTON JAMES L </t>
  </si>
  <si>
    <t>7713 FRANKSTOWN AVE</t>
  </si>
  <si>
    <t>PARKER FAMILY TRUST      ETAL</t>
  </si>
  <si>
    <t>7711 FRANKSTOWN AVE</t>
  </si>
  <si>
    <t>PARKER FAMILY TRUST</t>
  </si>
  <si>
    <t xml:space="preserve">SICKLE CELL SOCIETY INC </t>
  </si>
  <si>
    <t>7647 FRANKSTOWN AVE</t>
  </si>
  <si>
    <t>SICKLE CELL SOCIETY I</t>
  </si>
  <si>
    <t>PO BOX 603</t>
  </si>
  <si>
    <t xml:space="preserve">7643 FRANKSTOWN AVE LLC                         </t>
  </si>
  <si>
    <t>7643 FRANKSTOWN AVE</t>
  </si>
  <si>
    <t>7643 FRANKSTOWN AVE L</t>
  </si>
  <si>
    <t xml:space="preserve">BROWN CHARLES T </t>
  </si>
  <si>
    <t>LYNDA LN</t>
  </si>
  <si>
    <t xml:space="preserve">WILLIAMS BRENDA </t>
  </si>
  <si>
    <t>7710 BAXTER ST</t>
  </si>
  <si>
    <t>WATSON SYLVESTER S &amp; DONNA M (W)</t>
  </si>
  <si>
    <t>7708 BAXTER ST</t>
  </si>
  <si>
    <t xml:space="preserve">COMANS KRISTEN </t>
  </si>
  <si>
    <t>7714 BAXTER ST</t>
  </si>
  <si>
    <t>COMANS KRISTEN</t>
  </si>
  <si>
    <t>WISE JOSEPH JR &amp; EVELYN JEAN (W)</t>
  </si>
  <si>
    <t>7718 BAXTER ST</t>
  </si>
  <si>
    <t>7712 BAXTER ST</t>
  </si>
  <si>
    <t xml:space="preserve">CARTER DANIELLE </t>
  </si>
  <si>
    <t>0 BAXTER ST</t>
  </si>
  <si>
    <t>GIVENS WILLIAM  &amp; KATHLEEN</t>
  </si>
  <si>
    <t>GIVENS WILLIAM M &amp; KATHLEEN D (W)</t>
  </si>
  <si>
    <t>0 CALWAY ST</t>
  </si>
  <si>
    <t>IDLEWILDST ST</t>
  </si>
  <si>
    <t>7657 BAXTER ST</t>
  </si>
  <si>
    <t xml:space="preserve">BRYANT MAUREEN L </t>
  </si>
  <si>
    <t>7615 BAXTER ST</t>
  </si>
  <si>
    <t>AUSTIN ROBERT L &amp; ROGER AUSTIN</t>
  </si>
  <si>
    <t xml:space="preserve">ROGERS DOLORES </t>
  </si>
  <si>
    <t>7609 BAXTER ST</t>
  </si>
  <si>
    <t>ROGERS APRIL</t>
  </si>
  <si>
    <t>FAIRVIEW AVE</t>
  </si>
  <si>
    <t xml:space="preserve">BRYANT ALVIN M SR </t>
  </si>
  <si>
    <t>LAWSON MARIE A &amp; DELLA LAWSON</t>
  </si>
  <si>
    <t>LAWSON MARIE A &amp; DELL</t>
  </si>
  <si>
    <t xml:space="preserve">POINDEXTER ETHEL </t>
  </si>
  <si>
    <t>7601 BAXTER ST</t>
  </si>
  <si>
    <t>FRANCES WATTS</t>
  </si>
  <si>
    <t xml:space="preserve">ROBINSON HUGH  &amp; RUTH E </t>
  </si>
  <si>
    <t>7602 RACE ST</t>
  </si>
  <si>
    <t>ROBINSON HUGH  &amp; RUTH</t>
  </si>
  <si>
    <t>COMPTON RD LOT 7</t>
  </si>
  <si>
    <t>MONCKS CORNER</t>
  </si>
  <si>
    <t xml:space="preserve">FLANAGAN BONITA </t>
  </si>
  <si>
    <t>7608 RACE ST</t>
  </si>
  <si>
    <t xml:space="preserve">JOHNSON NORMAN                                  </t>
  </si>
  <si>
    <t>7614 RACE ST</t>
  </si>
  <si>
    <t>JAMES JOHNSON</t>
  </si>
  <si>
    <t>E CARTER DR</t>
  </si>
  <si>
    <t>BRUCKMAN WILLIAM R &amp; WILMER F (W)</t>
  </si>
  <si>
    <t>WILLIAMS JAMES B &amp; MARY E (W)</t>
  </si>
  <si>
    <t xml:space="preserve">TYSON THOMASINE DENISE </t>
  </si>
  <si>
    <t>0 SNOWDEN ST</t>
  </si>
  <si>
    <t>SNOWDEN ST</t>
  </si>
  <si>
    <t xml:space="preserve">JONES THELMA </t>
  </si>
  <si>
    <t>STINSON DAISY S &amp; MARY PENNIX</t>
  </si>
  <si>
    <t>MARY PENNEX</t>
  </si>
  <si>
    <t xml:space="preserve">NEWMAN HOWARD  &amp; LILLIAN </t>
  </si>
  <si>
    <t xml:space="preserve">JOHNSON JAMES </t>
  </si>
  <si>
    <t>7617 RACE ST</t>
  </si>
  <si>
    <t>E CARTER DR APT 5</t>
  </si>
  <si>
    <t xml:space="preserve">WHITELY WANDA </t>
  </si>
  <si>
    <t>7615 RACE ST</t>
  </si>
  <si>
    <t>CHISHOLM ROBERT LEE &amp; PHILMA (W)</t>
  </si>
  <si>
    <t>7441 RACE ST</t>
  </si>
  <si>
    <t>TIPTON ERIC  &amp; ADORATION BOYD</t>
  </si>
  <si>
    <t>8036 FRANKSTOWN AVE</t>
  </si>
  <si>
    <t>THOMASTON DR</t>
  </si>
  <si>
    <t xml:space="preserve">HORNEZES LOUISE </t>
  </si>
  <si>
    <t>8106 FRANKSTOWN AVE</t>
  </si>
  <si>
    <t>WILLIAMS ALVIN L &amp; EVELYN L(W)</t>
  </si>
  <si>
    <t>8110 FRANKSTOWN AVE</t>
  </si>
  <si>
    <t>GARLOW DR</t>
  </si>
  <si>
    <t>JOHNSON HINDS D &amp; PAULINE E (W)</t>
  </si>
  <si>
    <t>906 BLACKADORE ST</t>
  </si>
  <si>
    <t>JOHNSON HINDS D &amp; PAU</t>
  </si>
  <si>
    <t>908 BLACKADORE ST</t>
  </si>
  <si>
    <t>912 BLACKADORE ST</t>
  </si>
  <si>
    <t>NATIONAL COUNCIL FOR  URBAN PEACE AND JUS TICE</t>
  </si>
  <si>
    <t>P O BOX 99666</t>
  </si>
  <si>
    <t xml:space="preserve">WRIGHT JOSEPH DAMON </t>
  </si>
  <si>
    <t>1006 BLACKADORE ST</t>
  </si>
  <si>
    <t>MARLINTON LN</t>
  </si>
  <si>
    <t>PORT RICHEY</t>
  </si>
  <si>
    <t xml:space="preserve">EMONDS RICHARD A </t>
  </si>
  <si>
    <t>1020 BLACKADORE ST</t>
  </si>
  <si>
    <t xml:space="preserve">NOEL WILLIAM C </t>
  </si>
  <si>
    <t>1024 BLACKADORE ST</t>
  </si>
  <si>
    <t xml:space="preserve">DAVIDSON KEISHA LASHAWN </t>
  </si>
  <si>
    <t>1022 BLACKADORE ST</t>
  </si>
  <si>
    <t>DAVIDSON KEISHA LASHA</t>
  </si>
  <si>
    <t xml:space="preserve">SMITH JAY HARRY III </t>
  </si>
  <si>
    <t>1043 BLACKADORE ST</t>
  </si>
  <si>
    <t xml:space="preserve">HARRELL HOLLIE </t>
  </si>
  <si>
    <t>MCCRAY THOMAS  &amp; MAZERINE WELLS</t>
  </si>
  <si>
    <t>1037 BLACKADORE ST</t>
  </si>
  <si>
    <t>8TH ST NW</t>
  </si>
  <si>
    <t xml:space="preserve">SUMLIN RICHARD L </t>
  </si>
  <si>
    <t>1031 BLACKADORE ST</t>
  </si>
  <si>
    <t>BENITA SUMLIN ESKRIDG</t>
  </si>
  <si>
    <t>CRESTRIDGE LN</t>
  </si>
  <si>
    <t>RIVERDALE</t>
  </si>
  <si>
    <t>MOORE RILEY F &amp; ODESSA (W)</t>
  </si>
  <si>
    <t>1023 BLACKADORE ST</t>
  </si>
  <si>
    <t xml:space="preserve">LESESNE IONA E &amp; I0TRST0F MICHELLE LESES </t>
  </si>
  <si>
    <t xml:space="preserve">ANDERSON THELMA Y </t>
  </si>
  <si>
    <t>1009 BLACKADORE ST</t>
  </si>
  <si>
    <t>MCFADDEN CLARENCE E &amp; EUGORA C GORE</t>
  </si>
  <si>
    <t>EUDORA C GORE</t>
  </si>
  <si>
    <t>PO BOX 2002</t>
  </si>
  <si>
    <t>ALTOONA</t>
  </si>
  <si>
    <t xml:space="preserve">KEMP ARTENCIE </t>
  </si>
  <si>
    <t xml:space="preserve">HALEY LAWRENCE C </t>
  </si>
  <si>
    <t xml:space="preserve">JACKSON FRED W </t>
  </si>
  <si>
    <t>921 BLACKADORE ST</t>
  </si>
  <si>
    <t>GOODWIN CHRISTOPHER  &amp; SHARON (W)</t>
  </si>
  <si>
    <t xml:space="preserve">YOUNGER CHRISTOPHER J </t>
  </si>
  <si>
    <t>SUMMIT ST APT 302</t>
  </si>
  <si>
    <t>909 BLACKADORE ST</t>
  </si>
  <si>
    <t>MURRAY AVE UNIT 81865</t>
  </si>
  <si>
    <t xml:space="preserve">GREGG GARY JR                                   </t>
  </si>
  <si>
    <t>BOUSTEAD ST</t>
  </si>
  <si>
    <t>GRACE HENRY  &amp; BERNICE (W)</t>
  </si>
  <si>
    <t>GRACE HENRY  &amp; BERNIC</t>
  </si>
  <si>
    <t>WHEELER ST N</t>
  </si>
  <si>
    <t>FLOWERS MOSES J &amp; WILLA M</t>
  </si>
  <si>
    <t>FLOWERS MOSES J &amp; WIL</t>
  </si>
  <si>
    <t xml:space="preserve">LIPSCOMB MELVIN L </t>
  </si>
  <si>
    <t xml:space="preserve">LIPSCOMB MELVIN L SR </t>
  </si>
  <si>
    <t xml:space="preserve">WARE ELEX  &amp; ANNIE </t>
  </si>
  <si>
    <t>0 ANGORIA WAY</t>
  </si>
  <si>
    <t xml:space="preserve">POWERS LURANA M </t>
  </si>
  <si>
    <t xml:space="preserve">WRIGHT DONTAE </t>
  </si>
  <si>
    <t>LEHIGH ST</t>
  </si>
  <si>
    <t xml:space="preserve">FLOOD GEORGE W </t>
  </si>
  <si>
    <t>FLOOD JOSEPHINE R &amp; CLAUDE D REYNOLDS JR</t>
  </si>
  <si>
    <t>COAL ST</t>
  </si>
  <si>
    <t xml:space="preserve">WILLIAMS LAWRENCE </t>
  </si>
  <si>
    <t>0 S WHEELER ST</t>
  </si>
  <si>
    <t xml:space="preserve">LEE DARYL </t>
  </si>
  <si>
    <t>2ND ST N</t>
  </si>
  <si>
    <t>JEANNETTE</t>
  </si>
  <si>
    <t>TURNER G HOLSTON &amp; MARY H</t>
  </si>
  <si>
    <t xml:space="preserve">WEARING WILLA D </t>
  </si>
  <si>
    <t xml:space="preserve">BENJAMIN RITCHIE LEON </t>
  </si>
  <si>
    <t>BEECHWOOD BLVD APT 301</t>
  </si>
  <si>
    <t xml:space="preserve">DORMAN ROBERT B </t>
  </si>
  <si>
    <t>PO BOX 56789</t>
  </si>
  <si>
    <t xml:space="preserve">THOMAS CHARLES G </t>
  </si>
  <si>
    <t>PERGOLA DR</t>
  </si>
  <si>
    <t>CARTER HENRY L &amp; LETHA (W)</t>
  </si>
  <si>
    <t xml:space="preserve">WRIGHT LESLIE H </t>
  </si>
  <si>
    <t>SEARS ROBIN &amp; PIERRE LAMAR THOMAS</t>
  </si>
  <si>
    <t>SEARS ROBIN &amp; PIERRE</t>
  </si>
  <si>
    <t>TUSCARORA ST APT 3</t>
  </si>
  <si>
    <t xml:space="preserve">STEINER ERIKA L </t>
  </si>
  <si>
    <t>1009 WHEELER ST</t>
  </si>
  <si>
    <t>STEINER ERIKA L</t>
  </si>
  <si>
    <t>ORVIS AVE</t>
  </si>
  <si>
    <t>WILLIAMS DORALEE  &amp; LEONA L THOMPSON</t>
  </si>
  <si>
    <t>ELOUISE MCCRAY</t>
  </si>
  <si>
    <t>CRANBERRY POINTE LN</t>
  </si>
  <si>
    <t>CALDWELL WALTER C &amp; ADDIE L</t>
  </si>
  <si>
    <t>CALDWELL WALTER C &amp; ADDIE L (W)</t>
  </si>
  <si>
    <t xml:space="preserve">HEADEN ELDORA </t>
  </si>
  <si>
    <t>1030 MOHLER ST</t>
  </si>
  <si>
    <t xml:space="preserve">LEACH MACK </t>
  </si>
  <si>
    <t>1032 MOHLER ST</t>
  </si>
  <si>
    <t xml:space="preserve">JAMES WILLIAM  &amp; ESTELLA </t>
  </si>
  <si>
    <t>BURGESS WALTER T &amp; VIVIAN (W)</t>
  </si>
  <si>
    <t>LAW ROSE  &amp; JAMES C BURGESS</t>
  </si>
  <si>
    <t>SLOAN JOHN W &amp; ISABELLE D</t>
  </si>
  <si>
    <t>SLOAN JOHN W &amp; ISABELLE D (W)</t>
  </si>
  <si>
    <t xml:space="preserve">ROBERTS DORIS JEAN                              </t>
  </si>
  <si>
    <t xml:space="preserve">CONNOR MILDRED L </t>
  </si>
  <si>
    <t>CONNOR CHARLENE</t>
  </si>
  <si>
    <t>CAMBRIDGE SQUARE DR APT D</t>
  </si>
  <si>
    <t>CONNOR JAMES A &amp; MILDRED L</t>
  </si>
  <si>
    <t xml:space="preserve">MOORE LLOYD A </t>
  </si>
  <si>
    <t>TOKAY ST</t>
  </si>
  <si>
    <t xml:space="preserve">OLIVER CATHERINE C </t>
  </si>
  <si>
    <t>CALWAY ST</t>
  </si>
  <si>
    <t xml:space="preserve">DELORENZO ANTHONY </t>
  </si>
  <si>
    <t>0 TYSON ST</t>
  </si>
  <si>
    <t>BAKER JOHN L &amp; SANDRA L (W)</t>
  </si>
  <si>
    <t>0 N TYSON ST</t>
  </si>
  <si>
    <t>RITTER LEROY JR &amp; GERALDINE E</t>
  </si>
  <si>
    <t xml:space="preserve">BILLINGSLEY DARRYL </t>
  </si>
  <si>
    <t>E CARSON ST # 170</t>
  </si>
  <si>
    <t xml:space="preserve">STEPTOE PAULINE G </t>
  </si>
  <si>
    <t>7753 BAXTER ST</t>
  </si>
  <si>
    <t xml:space="preserve">FALVO ANGELO  &amp; DOMENICA </t>
  </si>
  <si>
    <t>GREG FALVO</t>
  </si>
  <si>
    <t>HUNTINGTON</t>
  </si>
  <si>
    <t xml:space="preserve">DORSEY NEIL A </t>
  </si>
  <si>
    <t>GREENSBURG PIKE</t>
  </si>
  <si>
    <t xml:space="preserve">TAYLOR ROBERT J </t>
  </si>
  <si>
    <t xml:space="preserve">HUX DONNA P </t>
  </si>
  <si>
    <t>OAKVILLE CT APT 2B</t>
  </si>
  <si>
    <t>REYNOLDS FLEMING W SR &amp; MARGARET W (W)</t>
  </si>
  <si>
    <t>BAXTER FL</t>
  </si>
  <si>
    <t>SALIK LINWOOD D &amp; BELVA J (W)</t>
  </si>
  <si>
    <t xml:space="preserve">WASIM AYAZ BABER </t>
  </si>
  <si>
    <t>HEMLOCK TER</t>
  </si>
  <si>
    <t>TEANECK</t>
  </si>
  <si>
    <t>THORNHILL HARPER  &amp; RICHARD THORNHILL</t>
  </si>
  <si>
    <t xml:space="preserve">BOYD ROSALINA </t>
  </si>
  <si>
    <t>POWELL FLORETTA  ELIZABETH</t>
  </si>
  <si>
    <t>7750 BAXTER ST</t>
  </si>
  <si>
    <t>POWELL FLORETTA ELIZA</t>
  </si>
  <si>
    <t>PO BOX 56865</t>
  </si>
  <si>
    <t xml:space="preserve">LEE HERBERT  &amp; HELEN (W) </t>
  </si>
  <si>
    <t>MAURJANEE ENTERPRISES  LLC</t>
  </si>
  <si>
    <t>918 TYSON ST</t>
  </si>
  <si>
    <t>WILLIAMS THOMAS  &amp; TINA (W)</t>
  </si>
  <si>
    <t>920 N TYSON ST</t>
  </si>
  <si>
    <t>WILLIAMS THOMAS  &amp; TI</t>
  </si>
  <si>
    <t>TYSON ST</t>
  </si>
  <si>
    <t xml:space="preserve">SCALES YVONNE </t>
  </si>
  <si>
    <t>0 LYSON ST</t>
  </si>
  <si>
    <t xml:space="preserve">WILLIAMS JR ROBERT F </t>
  </si>
  <si>
    <t>CONNELLSVILLE ST</t>
  </si>
  <si>
    <t>FAYETTE CITY</t>
  </si>
  <si>
    <t>SAMPSON THOMAS A &amp; ESTHER B</t>
  </si>
  <si>
    <t xml:space="preserve">LAWSON MICHELLE </t>
  </si>
  <si>
    <t>7801 FRANKSTOWN AVE</t>
  </si>
  <si>
    <t>MOORE CHARLES F JR &amp; KATHRYN MOORE</t>
  </si>
  <si>
    <t>7739 FRANKSTOWN AVE</t>
  </si>
  <si>
    <t xml:space="preserve">TURNER CHARLA ANNE </t>
  </si>
  <si>
    <t xml:space="preserve">JOHNSON CHARLES H </t>
  </si>
  <si>
    <t xml:space="preserve">HAMILTON MIDTOWN LLC </t>
  </si>
  <si>
    <t xml:space="preserve">MOORE PAMELA </t>
  </si>
  <si>
    <t>546 CLAWSON ST</t>
  </si>
  <si>
    <t>CLAWSON ST</t>
  </si>
  <si>
    <t xml:space="preserve">ALEXANDER MARK K                                </t>
  </si>
  <si>
    <t>553 N HOMEWOOD AVE</t>
  </si>
  <si>
    <t>GOODWIN THEODORE  &amp; BRENDA (W)</t>
  </si>
  <si>
    <t>559 N HOMEWOOD AVE</t>
  </si>
  <si>
    <t>GOODWIN THEODORE  &amp; B</t>
  </si>
  <si>
    <t>BAKER WILLIE D &amp; PATRICIA E (W)</t>
  </si>
  <si>
    <t>7300 HAMILTON AVE</t>
  </si>
  <si>
    <t xml:space="preserve">CURGES ANTHONY </t>
  </si>
  <si>
    <t>7237 TIOGA ST</t>
  </si>
  <si>
    <t xml:space="preserve">MORRIS JEROME H </t>
  </si>
  <si>
    <t>7224 TIOGA ST</t>
  </si>
  <si>
    <t xml:space="preserve">MORRIS JERONE </t>
  </si>
  <si>
    <t xml:space="preserve">NICHOLAS AARON                                  </t>
  </si>
  <si>
    <t>7236 CASSINA WAY</t>
  </si>
  <si>
    <t xml:space="preserve">NICHOLAS LAWRENCE A JR                          </t>
  </si>
  <si>
    <t>0 TIOGA ST</t>
  </si>
  <si>
    <t>NICHOLAS AARON</t>
  </si>
  <si>
    <t xml:space="preserve">DEGLIT INC </t>
  </si>
  <si>
    <t>N VERSAILLES</t>
  </si>
  <si>
    <t xml:space="preserve">CHISHOLM BRENDA A </t>
  </si>
  <si>
    <t>N TAYLOR AVE</t>
  </si>
  <si>
    <t>RAGLIN ROBERT  &amp; EVELYN C (W)</t>
  </si>
  <si>
    <t>7235 SUSQUEHANNA ST</t>
  </si>
  <si>
    <t xml:space="preserve">BENOKOVSKI NESINKA </t>
  </si>
  <si>
    <t xml:space="preserve">TEDDER MARY ELIZABETH </t>
  </si>
  <si>
    <t>MARISOL DR</t>
  </si>
  <si>
    <t>7217 SUSQUEHANNA ST</t>
  </si>
  <si>
    <t>ROBERSON MARY KING J LAWSON</t>
  </si>
  <si>
    <t>7220 SUSQUEHANNA ST</t>
  </si>
  <si>
    <t xml:space="preserve">COLEY LINDA F </t>
  </si>
  <si>
    <t>7228 SUSQUEHANNA ST</t>
  </si>
  <si>
    <t>COLEY LINDA</t>
  </si>
  <si>
    <t xml:space="preserve">BLAKEY WILLIAM RUSSELL </t>
  </si>
  <si>
    <t>7238 SUSQUEHANNA ST</t>
  </si>
  <si>
    <t>MAPLEWOOD AVE</t>
  </si>
  <si>
    <t xml:space="preserve">WALTERS MONIQUE RENEE </t>
  </si>
  <si>
    <t xml:space="preserve">JACK RUTH </t>
  </si>
  <si>
    <t>0 ALBION ST</t>
  </si>
  <si>
    <t>ALBION ST</t>
  </si>
  <si>
    <t>7300 SUSQUEHANNA ST</t>
  </si>
  <si>
    <t xml:space="preserve">COLES SHIRLEY JEAN </t>
  </si>
  <si>
    <t>524 ALBION ST</t>
  </si>
  <si>
    <t xml:space="preserve">NOBLE-COLES PAMELA </t>
  </si>
  <si>
    <t>7233 FINANCE ST</t>
  </si>
  <si>
    <t>FINANCE ST</t>
  </si>
  <si>
    <t>FIRST GALILEE BAPTIST CHURCH</t>
  </si>
  <si>
    <t>7318 TIOGA ST</t>
  </si>
  <si>
    <t xml:space="preserve">GALILEE BAPTIST CHURCH </t>
  </si>
  <si>
    <t xml:space="preserve">FERKETIC ANNAMARIE </t>
  </si>
  <si>
    <t>569 N RICHLAND ST</t>
  </si>
  <si>
    <t>LAKETON RD UNIT B9E</t>
  </si>
  <si>
    <t xml:space="preserve">EPPS JIM </t>
  </si>
  <si>
    <t>7441 TIOGA ST</t>
  </si>
  <si>
    <t xml:space="preserve">MURPHY CHARLOTTE C </t>
  </si>
  <si>
    <t>7435 TIOGA ST</t>
  </si>
  <si>
    <t xml:space="preserve">BIVINS DARNEICE </t>
  </si>
  <si>
    <t>7433 TIOGA ST</t>
  </si>
  <si>
    <t>ADAMS THERESA  &amp; SILAS JR (H)</t>
  </si>
  <si>
    <t>7429 TIOGA ST</t>
  </si>
  <si>
    <t xml:space="preserve">MCCLUNG VERNON                                  </t>
  </si>
  <si>
    <t>562 PANKE AVE</t>
  </si>
  <si>
    <t>ROSELLE CT APT 622</t>
  </si>
  <si>
    <t xml:space="preserve">MORRIS JERONE H </t>
  </si>
  <si>
    <t>7411 TIOGA ST</t>
  </si>
  <si>
    <t xml:space="preserve">HOWARD L B </t>
  </si>
  <si>
    <t>564 DUNFERMLINE ST</t>
  </si>
  <si>
    <t>JAMIE CALLOWAY</t>
  </si>
  <si>
    <t>BOULDER DR</t>
  </si>
  <si>
    <t xml:space="preserve">OPERATION NEHEMIAH INC </t>
  </si>
  <si>
    <t>EASTGATE DR</t>
  </si>
  <si>
    <t>7325 TIOGA ST</t>
  </si>
  <si>
    <t>7323 TIOGA ST</t>
  </si>
  <si>
    <t xml:space="preserve">AMAKER DORCAS E                                 </t>
  </si>
  <si>
    <t>7319 TIOGA ST</t>
  </si>
  <si>
    <t xml:space="preserve">RUNTHEBLOCK LLC </t>
  </si>
  <si>
    <t>7328 HAMILTON AVE</t>
  </si>
  <si>
    <t>FREEPORT RD STE 232</t>
  </si>
  <si>
    <t>7334 HAMILTON AVE</t>
  </si>
  <si>
    <t>7356 HAMILTON AVE</t>
  </si>
  <si>
    <t xml:space="preserve">ALLI ZAID </t>
  </si>
  <si>
    <t>ALL I ZAID</t>
  </si>
  <si>
    <t>PO BOX 6262 # 4</t>
  </si>
  <si>
    <t>7520 HAMILTON AVE</t>
  </si>
  <si>
    <t>7532 HAMILTON AVE</t>
  </si>
  <si>
    <t xml:space="preserve">MCKELVIA JAMES </t>
  </si>
  <si>
    <t>7549 HAMILTON AVE</t>
  </si>
  <si>
    <t>7501 HAMILTON AVE</t>
  </si>
  <si>
    <t>7369 HAMILTON AVE</t>
  </si>
  <si>
    <t>7361 HAMILTON AVE</t>
  </si>
  <si>
    <t>7359 HAMILTON AVE</t>
  </si>
  <si>
    <t xml:space="preserve">PAYNE GAMALIA N &amp; MARY M </t>
  </si>
  <si>
    <t>7355 HAMILTON AVE</t>
  </si>
  <si>
    <t>7347 HAMILTON AVE</t>
  </si>
  <si>
    <t>7345 HAMILTON AVE</t>
  </si>
  <si>
    <t>7341 HAMILTON AVE</t>
  </si>
  <si>
    <t>7335 HAMILTON AVE</t>
  </si>
  <si>
    <t>MCBROOM WILLIAM A KEITH A MCBROM</t>
  </si>
  <si>
    <t>7333 HAMILTON AVE</t>
  </si>
  <si>
    <t>7331 HAMILTON AVE</t>
  </si>
  <si>
    <t>7329 HAMILTON AVE</t>
  </si>
  <si>
    <t>7327 HAMILTON AVE</t>
  </si>
  <si>
    <t>HARDWICK MONIQUE G &amp; GERI W HARDWICK</t>
  </si>
  <si>
    <t>7321 HAMILTON AVE</t>
  </si>
  <si>
    <t>SHADY LN</t>
  </si>
  <si>
    <t>7319 HAMILTON AVE</t>
  </si>
  <si>
    <t>612 STERRETT ST</t>
  </si>
  <si>
    <t>614 STERRETT ST</t>
  </si>
  <si>
    <t>616 STERRETT ST</t>
  </si>
  <si>
    <t>618 STERRETT ST</t>
  </si>
  <si>
    <t xml:space="preserve">MCCOY AUNDRIA </t>
  </si>
  <si>
    <t>7506 KELLY ST</t>
  </si>
  <si>
    <t>ROBERTS ABNER IV</t>
  </si>
  <si>
    <t>7578 KELLY ST</t>
  </si>
  <si>
    <t>7347 KELLY ST</t>
  </si>
  <si>
    <t>7327 KELLY ST</t>
  </si>
  <si>
    <t>SHAW-WIL PROPERTIES I</t>
  </si>
  <si>
    <t xml:space="preserve">7325 KELLY STREET LLC </t>
  </si>
  <si>
    <t>7325 KELLY ST</t>
  </si>
  <si>
    <t>CEDAR AVE</t>
  </si>
  <si>
    <t xml:space="preserve">BOTTOMS SARA V                                  </t>
  </si>
  <si>
    <t>7526 BENNETT ST</t>
  </si>
  <si>
    <t>7629 BENNETT ST</t>
  </si>
  <si>
    <t xml:space="preserve">HARRIS RENEE WHITE </t>
  </si>
  <si>
    <t>7627 BENNETT ST</t>
  </si>
  <si>
    <t>7625 BENNETT ST</t>
  </si>
  <si>
    <t>RAYMOND AVE</t>
  </si>
  <si>
    <t>LATROBE</t>
  </si>
  <si>
    <t xml:space="preserve">SMITH ALVIN H </t>
  </si>
  <si>
    <t>7546 BENNETT ST</t>
  </si>
  <si>
    <t>JOHNSON EARL W &amp; MARIA I (W)</t>
  </si>
  <si>
    <t>7620 BENNETT ST</t>
  </si>
  <si>
    <t xml:space="preserve">PAYNE ANDRE M </t>
  </si>
  <si>
    <t>720 N BRADDOCK AVE</t>
  </si>
  <si>
    <t>CRITTENDEN ST UNIT E5</t>
  </si>
  <si>
    <t xml:space="preserve">GAMBRILL MILVERA G </t>
  </si>
  <si>
    <t>718 N BRADDOCK AVE</t>
  </si>
  <si>
    <t>LABERNE FORTSON</t>
  </si>
  <si>
    <t xml:space="preserve">BEY CALLAWE </t>
  </si>
  <si>
    <t>716 N BRADDOCK AVE</t>
  </si>
  <si>
    <t>HARDAWAY WALTER J JR &amp; PATRICIA (W)</t>
  </si>
  <si>
    <t xml:space="preserve">HARDAWAY WALTER J JR </t>
  </si>
  <si>
    <t xml:space="preserve">SHELTON JACOBE </t>
  </si>
  <si>
    <t>7631 KELLY ST</t>
  </si>
  <si>
    <t>RUSS JAMES C JR &amp; DOROTHY J (W)</t>
  </si>
  <si>
    <t>PO BOX 17225</t>
  </si>
  <si>
    <t>7600 KELLY ST</t>
  </si>
  <si>
    <t>HOLSINGER PC</t>
  </si>
  <si>
    <t>VIP DR STE 220</t>
  </si>
  <si>
    <t xml:space="preserve">WILKINS JOHN W &amp; HELEN </t>
  </si>
  <si>
    <t xml:space="preserve">HALL DALANEA </t>
  </si>
  <si>
    <t>7620 KELLY ST</t>
  </si>
  <si>
    <t xml:space="preserve">NUNLEY KRISTINE </t>
  </si>
  <si>
    <t>7622 KELLY ST</t>
  </si>
  <si>
    <t xml:space="preserve">SPRUILL DONNA MARIE </t>
  </si>
  <si>
    <t xml:space="preserve">KELLEY ERIC M SR </t>
  </si>
  <si>
    <t>MOUNTIAN VIEW DR</t>
  </si>
  <si>
    <t>CHAMBERSBURG</t>
  </si>
  <si>
    <t xml:space="preserve">WASHINGTON MARY </t>
  </si>
  <si>
    <t xml:space="preserve">JONES MIKE </t>
  </si>
  <si>
    <t>7621 HAMILTON AVE</t>
  </si>
  <si>
    <t>PAMELA LILY</t>
  </si>
  <si>
    <t>7600 HAMILTON AVE</t>
  </si>
  <si>
    <t xml:space="preserve">MAY ENTERPRISES LLC                             </t>
  </si>
  <si>
    <t>7610 HAMILTON AVE</t>
  </si>
  <si>
    <t>GARY DORSO</t>
  </si>
  <si>
    <t xml:space="preserve">ROBINSON RALPH TRUST </t>
  </si>
  <si>
    <t>RALPH ROBINSON (TRUST</t>
  </si>
  <si>
    <t>MITCHELL WILLIAM  &amp; ROSETTA MITCHELL</t>
  </si>
  <si>
    <t>7620 HAMILTON AVE</t>
  </si>
  <si>
    <t>ROSETTA MITCHELL HARR</t>
  </si>
  <si>
    <t>PATRICK HENRY PKWY</t>
  </si>
  <si>
    <t>STOCKBRIDGE</t>
  </si>
  <si>
    <t>BUTTS BETTY JEAN &amp; LEROY RICARDO DAVIS</t>
  </si>
  <si>
    <t xml:space="preserve">KIDD JANICE </t>
  </si>
  <si>
    <t>7624 HAMILTON AVE</t>
  </si>
  <si>
    <t xml:space="preserve">MITCHELL SUSAN </t>
  </si>
  <si>
    <t>7626 HAMILTON AVE</t>
  </si>
  <si>
    <t>COLLINS AVE APT 3</t>
  </si>
  <si>
    <t>ZOE CHRISTIAN COMMUNITY  CENTER</t>
  </si>
  <si>
    <t>CLARK LARRY  &amp; KATHERINE (W)</t>
  </si>
  <si>
    <t>YELLOWSTONE DR</t>
  </si>
  <si>
    <t>SIN CITY DESCIPLES M  SPORTSMAN CLUB</t>
  </si>
  <si>
    <t>721 BRUSHTON AVE</t>
  </si>
  <si>
    <t>GREEN LUUMBA TAFEWA  ABUBAKAR</t>
  </si>
  <si>
    <t>623 BRUSHTON AVE</t>
  </si>
  <si>
    <t>GREEN LUUMBA TAFEWA A</t>
  </si>
  <si>
    <t>OVERBROOK RD</t>
  </si>
  <si>
    <t>621 BRUSHTON AVE</t>
  </si>
  <si>
    <t xml:space="preserve">GERMAN VANESSA </t>
  </si>
  <si>
    <t>605 BRUSHTON AVE</t>
  </si>
  <si>
    <t>7701 HAMILTON AVE</t>
  </si>
  <si>
    <t>0 NEWMAN WAY</t>
  </si>
  <si>
    <t xml:space="preserve">FREEMAN ANDRE </t>
  </si>
  <si>
    <t>714 BRUSHTON AVE</t>
  </si>
  <si>
    <t xml:space="preserve">HASTON MARION </t>
  </si>
  <si>
    <t>806 BRUSHTON AVE</t>
  </si>
  <si>
    <t>808 BRUSHTON AVE</t>
  </si>
  <si>
    <t>GEORGE DEWITT  &amp; MARGIE (W)</t>
  </si>
  <si>
    <t>GEORGE DEWITT  &amp; MARG</t>
  </si>
  <si>
    <t>LINCOLN RD NE</t>
  </si>
  <si>
    <t>LELAND</t>
  </si>
  <si>
    <t xml:space="preserve">HICKS MICHELLE </t>
  </si>
  <si>
    <t>7711 HAMILTON AVE</t>
  </si>
  <si>
    <t>STEPP DR</t>
  </si>
  <si>
    <t>7718 KELLY ST</t>
  </si>
  <si>
    <t xml:space="preserve">SALES STEPHEN R </t>
  </si>
  <si>
    <t xml:space="preserve">TRAYLOR PAUL  &amp; CORA (W) </t>
  </si>
  <si>
    <t xml:space="preserve">TRAYLOR PAUL  &amp; CORA </t>
  </si>
  <si>
    <t>RILEY AVE</t>
  </si>
  <si>
    <t>MACON</t>
  </si>
  <si>
    <t>SALES STEPHEN R &amp; CHRISTINE V (W)</t>
  </si>
  <si>
    <t xml:space="preserve">BATTS FRANK  &amp; BERNADINE </t>
  </si>
  <si>
    <t>7743 KELLY ST</t>
  </si>
  <si>
    <t>7737 KELLY ST</t>
  </si>
  <si>
    <t xml:space="preserve">GANDY EDWARD </t>
  </si>
  <si>
    <t>7704 BENNETT ST</t>
  </si>
  <si>
    <t xml:space="preserve">BROOKS ADREENA M </t>
  </si>
  <si>
    <t>7706 BENNETT ST</t>
  </si>
  <si>
    <t>MCCOY LEARNING CENTER  LLC</t>
  </si>
  <si>
    <t>7712 BENNETT ST</t>
  </si>
  <si>
    <t>NEWMAN AUDREY J &amp; DE WAYNE O NEWMAN</t>
  </si>
  <si>
    <t>7714 BENNETT ST</t>
  </si>
  <si>
    <t xml:space="preserve">NEWMAN AUDREY J &amp; DE </t>
  </si>
  <si>
    <t>JEFFERSON ANEEKE A &amp; TIMOTHY J (H)</t>
  </si>
  <si>
    <t>STOCKTON MORTGAGE COR</t>
  </si>
  <si>
    <t>ENK REAL ESTATE  INVESTMENTS LLC</t>
  </si>
  <si>
    <t>7709 BENNETT ST</t>
  </si>
  <si>
    <t>ENK REAL ESTATE INVES</t>
  </si>
  <si>
    <t>7707 BENNETT ST</t>
  </si>
  <si>
    <t>DESTINY INTERNATIONAL  MINISTRIES</t>
  </si>
  <si>
    <t>DESTINY INTERNATIONAL</t>
  </si>
  <si>
    <t>BEULAH RD</t>
  </si>
  <si>
    <t xml:space="preserve">BROWN JONATHAN </t>
  </si>
  <si>
    <t>7722 FRANKSTOWN AVE</t>
  </si>
  <si>
    <t>7724 FRANKSTOWN AVE</t>
  </si>
  <si>
    <t xml:space="preserve">DRAWN HERMAN L </t>
  </si>
  <si>
    <t>HERMAN L DRAWN</t>
  </si>
  <si>
    <t>MCCUTCHEON LN</t>
  </si>
  <si>
    <t>OWENS CLEOPHUS A &amp; PINKIE LEE</t>
  </si>
  <si>
    <t>635 OAKWOOD ST</t>
  </si>
  <si>
    <t>PINKIE LEE OWENS</t>
  </si>
  <si>
    <t>SINGER PL</t>
  </si>
  <si>
    <t xml:space="preserve">DOTSON INEZ P </t>
  </si>
  <si>
    <t>EDMONDS KARL L &amp; LEA A (W)</t>
  </si>
  <si>
    <t>7832 KELLY ST</t>
  </si>
  <si>
    <t xml:space="preserve">COTTON LEONARD </t>
  </si>
  <si>
    <t xml:space="preserve">ADAMS JANE M </t>
  </si>
  <si>
    <t>7812 KELLY ST</t>
  </si>
  <si>
    <t>PO BOX 280396</t>
  </si>
  <si>
    <t xml:space="preserve">FCHV REAL ESTATE LLC </t>
  </si>
  <si>
    <t>7807 KELLY ST</t>
  </si>
  <si>
    <t>FCHV REAL ESTATE LLC</t>
  </si>
  <si>
    <t>CONESTOGA RD</t>
  </si>
  <si>
    <t xml:space="preserve">DANIELS GEORGE </t>
  </si>
  <si>
    <t>7813 KELLY ST</t>
  </si>
  <si>
    <t>7815 KELLY ST</t>
  </si>
  <si>
    <t xml:space="preserve">CLARK DAVID P </t>
  </si>
  <si>
    <t>703 OAKWOOD ST</t>
  </si>
  <si>
    <t xml:space="preserve">ELKLADY MONA </t>
  </si>
  <si>
    <t>721 OAKWOOD ST</t>
  </si>
  <si>
    <t>FORD LEONARD C &amp; JANICE (W)</t>
  </si>
  <si>
    <t>0 OAKWOOD ST</t>
  </si>
  <si>
    <t>7828 BENNETT ST</t>
  </si>
  <si>
    <t xml:space="preserve">HARRISON WILLA MAE </t>
  </si>
  <si>
    <t>ANGELA CROCKETT</t>
  </si>
  <si>
    <t>CHATMAN HARVEY &amp; MAGGIE (W)</t>
  </si>
  <si>
    <t xml:space="preserve">MCCORMICK TRUE  &amp; OLLIE </t>
  </si>
  <si>
    <t>7812 BENNETT ST</t>
  </si>
  <si>
    <t xml:space="preserve">GREEN LAWRENCE HENRY </t>
  </si>
  <si>
    <t>7810 BENNETT ST</t>
  </si>
  <si>
    <t xml:space="preserve">GANDY STEVEN C </t>
  </si>
  <si>
    <t>7806 BENNETT ST</t>
  </si>
  <si>
    <t xml:space="preserve">PERRY JAMES </t>
  </si>
  <si>
    <t>7723 BENNETT ST</t>
  </si>
  <si>
    <t>HOLLY DR</t>
  </si>
  <si>
    <t xml:space="preserve">TILLEY VIRGINIA L </t>
  </si>
  <si>
    <t>BRINTON MANOR DR # 10</t>
  </si>
  <si>
    <t>817 HALE ST</t>
  </si>
  <si>
    <t>7732 FRANKSTOWN AVE</t>
  </si>
  <si>
    <t xml:space="preserve">DAY EDWARD F </t>
  </si>
  <si>
    <t>P O BOX 211</t>
  </si>
  <si>
    <t xml:space="preserve">GANDY ED </t>
  </si>
  <si>
    <t>GRAHMAC LN</t>
  </si>
  <si>
    <t xml:space="preserve">RAMAN INC </t>
  </si>
  <si>
    <t xml:space="preserve">RANMAN INC </t>
  </si>
  <si>
    <t xml:space="preserve">WHITEFORD MARY CLAIRE </t>
  </si>
  <si>
    <t>0 OAKWOOD PL</t>
  </si>
  <si>
    <t xml:space="preserve">MAJCO INC </t>
  </si>
  <si>
    <t xml:space="preserve">HART ROBERTA </t>
  </si>
  <si>
    <t>OAKWOOD PL</t>
  </si>
  <si>
    <t xml:space="preserve">LAVENDER RUBY </t>
  </si>
  <si>
    <t>7901 BENNETT ST</t>
  </si>
  <si>
    <t xml:space="preserve">AFSHARI DARLA                                   </t>
  </si>
  <si>
    <t>GANDY EDWARD &amp; DIANE ROBINSON (W)</t>
  </si>
  <si>
    <t>7906 FRANKSTOWN AVE</t>
  </si>
  <si>
    <t xml:space="preserve">GANDY EDWARD &amp; DIANE </t>
  </si>
  <si>
    <t>7917 BATAVIA ST</t>
  </si>
  <si>
    <t xml:space="preserve">BROWN XAVIER A                                  </t>
  </si>
  <si>
    <t>21 WHEELER ST</t>
  </si>
  <si>
    <t xml:space="preserve">BROWN DONALD </t>
  </si>
  <si>
    <t>7922 FRANKSTOWN AVE</t>
  </si>
  <si>
    <t>GODSON SIMONE L BROWN XAVIER A</t>
  </si>
  <si>
    <t>7924 FRANKSTOWN AVE</t>
  </si>
  <si>
    <t>7926 FRANKSTOWN AVE</t>
  </si>
  <si>
    <t xml:space="preserve">DENT ROSE L </t>
  </si>
  <si>
    <t>8003 CONEMAUGH ST</t>
  </si>
  <si>
    <t>REED WILLIAM H &amp; LAWRENCE HARVILLE</t>
  </si>
  <si>
    <t>0 CONEMAUGH ST</t>
  </si>
  <si>
    <t>CONEMAUGH ST</t>
  </si>
  <si>
    <t xml:space="preserve">GHEE ABRAM  &amp; JEAN V </t>
  </si>
  <si>
    <t xml:space="preserve">BOZEMAN IRENE M </t>
  </si>
  <si>
    <t>PO BOX 59235</t>
  </si>
  <si>
    <t xml:space="preserve">HEMBY DERRICK L </t>
  </si>
  <si>
    <t xml:space="preserve">HIGGINBATHAM WILLIAM </t>
  </si>
  <si>
    <t>MARBURY RD</t>
  </si>
  <si>
    <t xml:space="preserve">NOLEN LAMONT </t>
  </si>
  <si>
    <t>8123 CONEMAUGH ST</t>
  </si>
  <si>
    <t xml:space="preserve">CURRY JOHN H &amp; JAMESENA </t>
  </si>
  <si>
    <t>8112 FRANKSTOWN AVE</t>
  </si>
  <si>
    <t xml:space="preserve">8033 BENNETT RE LLC </t>
  </si>
  <si>
    <t>8033 BENNETT ST</t>
  </si>
  <si>
    <t xml:space="preserve">CLAYTON BRIAN </t>
  </si>
  <si>
    <t>8023 BENNETT ST</t>
  </si>
  <si>
    <t xml:space="preserve">BUTLER ELSIE A </t>
  </si>
  <si>
    <t xml:space="preserve">MANGOL JEREMY </t>
  </si>
  <si>
    <t>6 WHEELER ST</t>
  </si>
  <si>
    <t>THE ANNETTE VARIO ANGEL  RECOVABLE TRUST</t>
  </si>
  <si>
    <t>THE ANNETTE VARIO ANG</t>
  </si>
  <si>
    <t>CHRIS CT</t>
  </si>
  <si>
    <t>FINISHLINE RESTORATIONS  LLC</t>
  </si>
  <si>
    <t>8006 BENNETT ST</t>
  </si>
  <si>
    <t>FINISHLINE RESTORATIO</t>
  </si>
  <si>
    <t xml:space="preserve">DIGGS RONALD                                    </t>
  </si>
  <si>
    <t>7912 BATAVIA ST</t>
  </si>
  <si>
    <t>LENNOX DR</t>
  </si>
  <si>
    <t xml:space="preserve">EDWARDS ROAMELL </t>
  </si>
  <si>
    <t>0 BATAVIA ST</t>
  </si>
  <si>
    <t>KOHNE ST</t>
  </si>
  <si>
    <t>MCDONALD CLEVELAND L ETAL</t>
  </si>
  <si>
    <t>DANA ST</t>
  </si>
  <si>
    <t xml:space="preserve">COLEMAN JESSIE  &amp; DELIA </t>
  </si>
  <si>
    <t>BATAVIA ST</t>
  </si>
  <si>
    <t xml:space="preserve">GIBSON JANET </t>
  </si>
  <si>
    <t xml:space="preserve">DANIELS BERNIE C </t>
  </si>
  <si>
    <t>INGRAHAM JOSEPH JR &amp; FLORENCE J</t>
  </si>
  <si>
    <t>B BADEN SPRINGS DR</t>
  </si>
  <si>
    <t>BRANDYWINE</t>
  </si>
  <si>
    <t xml:space="preserve">WILBORN WILEY </t>
  </si>
  <si>
    <t>FINDLEY DR W APT 9</t>
  </si>
  <si>
    <t xml:space="preserve">MCDONALD CLEVELAND L </t>
  </si>
  <si>
    <t xml:space="preserve">MCALLISTER WASHINGTON C </t>
  </si>
  <si>
    <t>EDWARDS ROAMELL P &amp; JAMIE L EDWARDS</t>
  </si>
  <si>
    <t xml:space="preserve">RHODES EFIGINIA L </t>
  </si>
  <si>
    <t>UNG DR</t>
  </si>
  <si>
    <t>GLENN CLAUDE E &amp; MILDRED T</t>
  </si>
  <si>
    <t>0 SINGER PL</t>
  </si>
  <si>
    <t xml:space="preserve">RIDLEY ALFONSO </t>
  </si>
  <si>
    <t>628 HAVERHILL ST</t>
  </si>
  <si>
    <t>HAVENHILL ST</t>
  </si>
  <si>
    <t xml:space="preserve">DVA SERVICES INC                                </t>
  </si>
  <si>
    <t>709 SINGER PL</t>
  </si>
  <si>
    <t>ROCHELLE ST</t>
  </si>
  <si>
    <t xml:space="preserve">SMITH BETTY L </t>
  </si>
  <si>
    <t>711 SINGER PL</t>
  </si>
  <si>
    <t>SINGER PLACE</t>
  </si>
  <si>
    <t>713 SINGER PL</t>
  </si>
  <si>
    <t xml:space="preserve">REYES MARIA </t>
  </si>
  <si>
    <t>715 SINGER PL</t>
  </si>
  <si>
    <t>CONNER ERNEST  &amp; &amp; FLORENCE (W)</t>
  </si>
  <si>
    <t>CONNER ERNEST  &amp; &amp; FL</t>
  </si>
  <si>
    <t xml:space="preserve">LYONS BERNARD  &amp; DOROTHY                 </t>
  </si>
  <si>
    <t>LYONS BERNARD  &amp; DORO</t>
  </si>
  <si>
    <t>MICKLE MENTER S &amp; HATTIE M</t>
  </si>
  <si>
    <t>729 SINGER PL</t>
  </si>
  <si>
    <t>DAVIS NAKISHA (IN TRUST  FOR TAYLOR MICHELLE DAVI</t>
  </si>
  <si>
    <t>735 SINGER PL</t>
  </si>
  <si>
    <t>DAVIS NAKISHA (IN TRU</t>
  </si>
  <si>
    <t>HARVEY RICHARD L &amp; SHIRLEY M (W)</t>
  </si>
  <si>
    <t>656 SINGER PL</t>
  </si>
  <si>
    <t>FOLEY TIMOTHY M &amp; TAM</t>
  </si>
  <si>
    <t>SHELDON AVE</t>
  </si>
  <si>
    <t xml:space="preserve">FOSTER CHAUNCEY A JR </t>
  </si>
  <si>
    <t>652 SINGER PL</t>
  </si>
  <si>
    <t>THOMAS HERBERT W &amp; ENOBIA</t>
  </si>
  <si>
    <t>0 SICKLES ST</t>
  </si>
  <si>
    <t>BANKS WILLIAM F &amp; THEODORA C (W)</t>
  </si>
  <si>
    <t xml:space="preserve">DANIELS BARBARA </t>
  </si>
  <si>
    <t>7327 FINANCE ST</t>
  </si>
  <si>
    <t>WELLS FARGO HOME MORT</t>
  </si>
  <si>
    <t>WABASH AVE</t>
  </si>
  <si>
    <t xml:space="preserve">REYNOLDS DAVON </t>
  </si>
  <si>
    <t>518 ALBION ST</t>
  </si>
  <si>
    <t>REYNOLDS DAVON</t>
  </si>
  <si>
    <t>A BRUSHTON AVE</t>
  </si>
  <si>
    <t xml:space="preserve">BROWN ROBIN S </t>
  </si>
  <si>
    <t>0 N BRADDOCK AVE</t>
  </si>
  <si>
    <t>0 S BRADDOCK AVE</t>
  </si>
  <si>
    <t>549 N BRADDOCK AVE</t>
  </si>
  <si>
    <t xml:space="preserve">HARRIS IRA VANN </t>
  </si>
  <si>
    <t>0 MULFORD ST</t>
  </si>
  <si>
    <t>MULFORD ST</t>
  </si>
  <si>
    <t xml:space="preserve">WILLIAMS EBONY </t>
  </si>
  <si>
    <t>TIDEMORE ST</t>
  </si>
  <si>
    <t>7507 TIOGA ST</t>
  </si>
  <si>
    <t>JERONE H MORRIS</t>
  </si>
  <si>
    <t>7515 TIOGA ST</t>
  </si>
  <si>
    <t>JERONE MORRIS</t>
  </si>
  <si>
    <t>TIOGG ST</t>
  </si>
  <si>
    <t>PHILLIPS ANTHONY JR &amp; DAISY A PHILLIPS</t>
  </si>
  <si>
    <t>PHILLIPS ANTHONY JR &amp; DAISY A (W)</t>
  </si>
  <si>
    <t>7529 TIOGA ST</t>
  </si>
  <si>
    <t>PO BOX 40175</t>
  </si>
  <si>
    <t xml:space="preserve">CUTLER FRANKIE DEAN </t>
  </si>
  <si>
    <t>536 N BRADDOCK AVE</t>
  </si>
  <si>
    <t>PO BOX 17205</t>
  </si>
  <si>
    <t xml:space="preserve">PELMON PAUL JR </t>
  </si>
  <si>
    <t xml:space="preserve">RHYNES BESSIE </t>
  </si>
  <si>
    <t>7510 TIOGA ST</t>
  </si>
  <si>
    <t xml:space="preserve">MORRIS JEROME </t>
  </si>
  <si>
    <t>7506 TIOGA ST</t>
  </si>
  <si>
    <t>7500 TIOGA ST</t>
  </si>
  <si>
    <t xml:space="preserve">HOUSTON LAVERNE D </t>
  </si>
  <si>
    <t>7509 SUSQUEHANNA ST</t>
  </si>
  <si>
    <t xml:space="preserve">DICKEY GOLDEN &amp; BEATRICE (W)            </t>
  </si>
  <si>
    <t>7513 SUSQUEHANNA ST</t>
  </si>
  <si>
    <t>BUILDING UNITED OF  SOUTHWESTERN PA</t>
  </si>
  <si>
    <t xml:space="preserve">WELLS RODERICK A D                              </t>
  </si>
  <si>
    <t xml:space="preserve">WELLS RODERICK A D   </t>
  </si>
  <si>
    <t>NASSAU BAHAMAS</t>
  </si>
  <si>
    <t>DIESEL PROPERTIES  MANAGEMENT LLC</t>
  </si>
  <si>
    <t>7621 SUSQUEHANNA ST</t>
  </si>
  <si>
    <t>DIESEL PROPERTIES MAN</t>
  </si>
  <si>
    <t>SAYBROOK DR</t>
  </si>
  <si>
    <t xml:space="preserve">HOLT KIA </t>
  </si>
  <si>
    <t>7619 SUSQUEHANNA ST</t>
  </si>
  <si>
    <t xml:space="preserve">COLLINS ELENA </t>
  </si>
  <si>
    <t>7617 SUSQUEHANNA ST</t>
  </si>
  <si>
    <t>N Y V T INVESTMENT       ETAL</t>
  </si>
  <si>
    <t>7614 SUSQUEHANNA ST</t>
  </si>
  <si>
    <t>WASHINGTON ALVIN ETAL</t>
  </si>
  <si>
    <t>7631 MULFORD ST</t>
  </si>
  <si>
    <t xml:space="preserve">GRAY HOMER A </t>
  </si>
  <si>
    <t>7623 MULFORD ST</t>
  </si>
  <si>
    <t xml:space="preserve">GRAY HOMER A &amp; LILLIE V </t>
  </si>
  <si>
    <t xml:space="preserve">GRAY HOMER </t>
  </si>
  <si>
    <t>DIGGS RODERICK C &amp; ROSE DIGGS</t>
  </si>
  <si>
    <t>OAK MANOR PL</t>
  </si>
  <si>
    <t xml:space="preserve">CRAWFORD A C                                    </t>
  </si>
  <si>
    <t xml:space="preserve">HARRIS FAMILY REALTY LLC </t>
  </si>
  <si>
    <t>7609 MULFORD ST</t>
  </si>
  <si>
    <t xml:space="preserve">HARRIS FAMILY REALTY </t>
  </si>
  <si>
    <t xml:space="preserve">BRIGHT HOWARD B &amp; ERMA M BRIGHT REVOCABLE </t>
  </si>
  <si>
    <t>7610 MULFORD ST</t>
  </si>
  <si>
    <t>BRIGHT HOWARD B &amp; ERM</t>
  </si>
  <si>
    <t>7608 ALSACE WAY</t>
  </si>
  <si>
    <t>TURNER RUTH  &amp; ALICE CONLEY</t>
  </si>
  <si>
    <t>7616 MULFORD ST</t>
  </si>
  <si>
    <t>ALICE CONLEY</t>
  </si>
  <si>
    <t>BRICELYN ST APT 102</t>
  </si>
  <si>
    <t xml:space="preserve">WHITERS LADODIE F                               </t>
  </si>
  <si>
    <t>7618 MULFORD ST</t>
  </si>
  <si>
    <t>GANT CHARLES L &amp; MILDRED B (W)</t>
  </si>
  <si>
    <t>7628 MULFORD ST</t>
  </si>
  <si>
    <t xml:space="preserve">HOGAN JOSEPH CLAYTON </t>
  </si>
  <si>
    <t>7630 MULFORD ST</t>
  </si>
  <si>
    <t>HOGAN JOSEPH CLAYTON</t>
  </si>
  <si>
    <t>PO BOX 56965</t>
  </si>
  <si>
    <t xml:space="preserve">HOGAN CHRISTINE </t>
  </si>
  <si>
    <t>7634 MULFORD ST</t>
  </si>
  <si>
    <t>WALKER FANNIE  &amp; MINNIE LEE HINTON</t>
  </si>
  <si>
    <t>PO BOX 56835</t>
  </si>
  <si>
    <t>ROSEDALE BLOCK CLUSTER  INC</t>
  </si>
  <si>
    <t>ROSEDALE BLOCKCLUSTER INC</t>
  </si>
  <si>
    <t>547 BRUSHTON AVE</t>
  </si>
  <si>
    <t xml:space="preserve">ROSEDALE BLOCK CLUSTER </t>
  </si>
  <si>
    <t xml:space="preserve">ROSEDALE CLUSTER INC </t>
  </si>
  <si>
    <t>HARRIS DORIAN EDMONDS ALLEN</t>
  </si>
  <si>
    <t>7627 SUSQUEHANNA ST</t>
  </si>
  <si>
    <t>518 EL CT</t>
  </si>
  <si>
    <t xml:space="preserve">MEYERS BYRON C JR </t>
  </si>
  <si>
    <t xml:space="preserve">MEYERS BYRON </t>
  </si>
  <si>
    <t>534 BRUSHTON AVE</t>
  </si>
  <si>
    <t>7708 TIOGA ST</t>
  </si>
  <si>
    <t>7710 TIOGA ST</t>
  </si>
  <si>
    <t>JACKSON HENRY P &amp; NATHANIEL J JACKSON</t>
  </si>
  <si>
    <t>WHEATON RALEIGH PIERRE ETAL</t>
  </si>
  <si>
    <t xml:space="preserve">KANE BRETT </t>
  </si>
  <si>
    <t>522 CORA ST</t>
  </si>
  <si>
    <t>KANE BRETT</t>
  </si>
  <si>
    <t>PO BOX 5788</t>
  </si>
  <si>
    <t>0 CORA ST</t>
  </si>
  <si>
    <t>WILLIAMS CALVIN JR &amp; RONNETTE R (W)</t>
  </si>
  <si>
    <t>517 CORA ST</t>
  </si>
  <si>
    <t>515 CORA ST</t>
  </si>
  <si>
    <t>CREATIVE CONNECTIONS  USA LLC</t>
  </si>
  <si>
    <t>7729 TIOGA ST</t>
  </si>
  <si>
    <t>PO BOX 290803</t>
  </si>
  <si>
    <t xml:space="preserve">EATON WAYNE N </t>
  </si>
  <si>
    <t>7727 TIOGA ST</t>
  </si>
  <si>
    <t xml:space="preserve">PORTER WARDELL </t>
  </si>
  <si>
    <t>CHERRY LN</t>
  </si>
  <si>
    <t xml:space="preserve">NELSON ROSE </t>
  </si>
  <si>
    <t>7719 TIOGA ST</t>
  </si>
  <si>
    <t>PO BOX 4961</t>
  </si>
  <si>
    <t>MCCRAY LEON  &amp; CARRIE D (W)</t>
  </si>
  <si>
    <t>7717 TIOGA ST</t>
  </si>
  <si>
    <t>FREELAND ST</t>
  </si>
  <si>
    <t>SAXON ISAAC J &amp; &amp; THELMA C (W)</t>
  </si>
  <si>
    <t>0 ALSACE ST</t>
  </si>
  <si>
    <t>ALSACE ST</t>
  </si>
  <si>
    <t xml:space="preserve">NEW GRACE BAPTIST CHURCH </t>
  </si>
  <si>
    <t>NEW GRACE BAPTIST CHU</t>
  </si>
  <si>
    <t>BUSTON AVE</t>
  </si>
  <si>
    <t xml:space="preserve">BOULDEN ROBERT L JR </t>
  </si>
  <si>
    <t>MILLIGAN WAY APT 204</t>
  </si>
  <si>
    <t xml:space="preserve">HALL RAYMOND </t>
  </si>
  <si>
    <t>GIRARD CT APT 40</t>
  </si>
  <si>
    <t>ABBEVILLE</t>
  </si>
  <si>
    <t xml:space="preserve">CARTER ROBERT L IV </t>
  </si>
  <si>
    <t>7708 ALSACE ST</t>
  </si>
  <si>
    <t>7710 ALSACE ST</t>
  </si>
  <si>
    <t xml:space="preserve">KELLY MELVERSE </t>
  </si>
  <si>
    <t>0 FRAM ST</t>
  </si>
  <si>
    <t xml:space="preserve">CALLOWAY DAVID </t>
  </si>
  <si>
    <t xml:space="preserve">BLAIR ROXIANNE </t>
  </si>
  <si>
    <t>ROXIANNE BLAIR</t>
  </si>
  <si>
    <t>DIXON CLEOPATRA  &amp; FLORINE B MALONE</t>
  </si>
  <si>
    <t>NORFLEET ROOSEVELT  &amp; HELEN M (W)</t>
  </si>
  <si>
    <t>0 HALE ST</t>
  </si>
  <si>
    <t>NORFLEET ROOSEVELT  &amp;</t>
  </si>
  <si>
    <t>GREEN MACELLUS GIBSON MADELINE L</t>
  </si>
  <si>
    <t>HALE ST</t>
  </si>
  <si>
    <t xml:space="preserve">TERRY TIMOTHY </t>
  </si>
  <si>
    <t>DEERFIELD DR</t>
  </si>
  <si>
    <t>TERRY ELBERT JAMES &amp; GERALDINE (W)</t>
  </si>
  <si>
    <t>HEART CT</t>
  </si>
  <si>
    <t>WILLIAM VANN L &amp; PRISCILLA S (W)</t>
  </si>
  <si>
    <t xml:space="preserve">THOMAS CORTRELL Q </t>
  </si>
  <si>
    <t xml:space="preserve">JAMES LOUIS J </t>
  </si>
  <si>
    <t>306 HALE ST</t>
  </si>
  <si>
    <t>308 HALE ST</t>
  </si>
  <si>
    <t>WALLACE JOHN DANIEL &amp; MARY</t>
  </si>
  <si>
    <t xml:space="preserve">GARDNER FRANK </t>
  </si>
  <si>
    <t xml:space="preserve">ATKINSON WILLIAM </t>
  </si>
  <si>
    <t>CHRIST MISSIONARY  BAPTIST CHURCH</t>
  </si>
  <si>
    <t>WILLIAMS JOHN R &amp; DONNA M</t>
  </si>
  <si>
    <t>7810 MULFORD ST</t>
  </si>
  <si>
    <t xml:space="preserve">HEARD WILLIAM ELSIE JR </t>
  </si>
  <si>
    <t>AMY DR</t>
  </si>
  <si>
    <t>MCCORKLE RAMON  &amp; FANNIE GULLEY</t>
  </si>
  <si>
    <t>7816 MULFORD ST</t>
  </si>
  <si>
    <t xml:space="preserve">HICKS WILLIAM </t>
  </si>
  <si>
    <t>SAINT LUKE CHURCH RD</t>
  </si>
  <si>
    <t>GOLDSTON</t>
  </si>
  <si>
    <t>7812 HAMILTON AVE</t>
  </si>
  <si>
    <t>PO BOX 1478</t>
  </si>
  <si>
    <t>7800 HAMILTON AVE</t>
  </si>
  <si>
    <t xml:space="preserve">MAYS SHYROME </t>
  </si>
  <si>
    <t>7720 HAMILTON AVE</t>
  </si>
  <si>
    <t>PO BOX 56931</t>
  </si>
  <si>
    <t xml:space="preserve">MCGRAW SAMUEL II </t>
  </si>
  <si>
    <t>7718 HAMILTON AVE</t>
  </si>
  <si>
    <t xml:space="preserve">OWENS DWIGHT </t>
  </si>
  <si>
    <t>7711 MULFORD ST</t>
  </si>
  <si>
    <t xml:space="preserve">GERMAN VANESSA LOUISE </t>
  </si>
  <si>
    <t>7803 HAMILTON AVE</t>
  </si>
  <si>
    <t>7801 HAMILTON AVE</t>
  </si>
  <si>
    <t>7743 HAMILTON AVE</t>
  </si>
  <si>
    <t>MORTON CHARLES JR &amp; EULA MAE</t>
  </si>
  <si>
    <t>PO BOX 5774</t>
  </si>
  <si>
    <t>SCOTT ELMER  &amp; JANNIE (W)</t>
  </si>
  <si>
    <t>SCOTT ELMER ROBERT &amp; JANNIE</t>
  </si>
  <si>
    <t xml:space="preserve">GENTILCORE LATOI </t>
  </si>
  <si>
    <t>600 OAKWOOD ST</t>
  </si>
  <si>
    <t>PO BOX 111246</t>
  </si>
  <si>
    <t>BOYD STEPHEN  &amp; PERCY V (W)</t>
  </si>
  <si>
    <t>IDAHO ST</t>
  </si>
  <si>
    <t>WILLIAMS ALBERT C &amp; SALLY B (W)</t>
  </si>
  <si>
    <t>MORRIS HOMER EPHRAIM &amp; SADIE ELOISE ALEX ANDRIA</t>
  </si>
  <si>
    <t xml:space="preserve">LONDON DEVELOPMENT CORP </t>
  </si>
  <si>
    <t xml:space="preserve">WILLIAMS SUSAN LYNN </t>
  </si>
  <si>
    <t xml:space="preserve">HOY OSWALD </t>
  </si>
  <si>
    <t>FRANKSTOWN AVE APT 414</t>
  </si>
  <si>
    <t xml:space="preserve">JOHNSON IONA </t>
  </si>
  <si>
    <t xml:space="preserve">MARVEL HOLDINGS TRUST </t>
  </si>
  <si>
    <t>548 ROSEDALE ST</t>
  </si>
  <si>
    <t>MARVEL HOLDINGS TRUST</t>
  </si>
  <si>
    <t>PO BOX 83 STE</t>
  </si>
  <si>
    <t xml:space="preserve">MOORER MARGARET JEAN </t>
  </si>
  <si>
    <t>7924 TACOMA ST</t>
  </si>
  <si>
    <t>NW 42ND AVE APT 409</t>
  </si>
  <si>
    <t>PLANTATION</t>
  </si>
  <si>
    <t>NEW LIFE RESTORATION &amp; DALE PLUMMER</t>
  </si>
  <si>
    <t>0 TACOMA ST</t>
  </si>
  <si>
    <t xml:space="preserve">SHULLMAN DAVID </t>
  </si>
  <si>
    <t xml:space="preserve">MOORER BLANCHE </t>
  </si>
  <si>
    <t>BOWMAN EUGENIA  &amp; ALICE FRANCISCO</t>
  </si>
  <si>
    <t xml:space="preserve">NELSON MARKETING GROUP </t>
  </si>
  <si>
    <t>ELGIN CIR NW</t>
  </si>
  <si>
    <t>ELK RIVER</t>
  </si>
  <si>
    <t>MARYLAND REVEREND  ALFRED L</t>
  </si>
  <si>
    <t>7931 TACOMA ST</t>
  </si>
  <si>
    <t xml:space="preserve">ELSON TODD N SR </t>
  </si>
  <si>
    <t>7929 TACOMA ST</t>
  </si>
  <si>
    <t>CYPRESS DR</t>
  </si>
  <si>
    <t>7917 TACOMA ST</t>
  </si>
  <si>
    <t>TURNER CHARLA ANNE</t>
  </si>
  <si>
    <t>VINCENT DR</t>
  </si>
  <si>
    <t xml:space="preserve">TUCKER JOHN C </t>
  </si>
  <si>
    <t>0 ROSEDALE ST</t>
  </si>
  <si>
    <t xml:space="preserve">LONG WAY LOGISTICS LLC </t>
  </si>
  <si>
    <t>7918 INGLENOOK PL</t>
  </si>
  <si>
    <t>LONG WAY LOGISTICS LL</t>
  </si>
  <si>
    <t xml:space="preserve">KING WILLIAM C &amp; ODELL </t>
  </si>
  <si>
    <t>7920 INGLENOOK PL</t>
  </si>
  <si>
    <t xml:space="preserve">CARPENTER AGNES </t>
  </si>
  <si>
    <t>7922 INGLENOOK PL</t>
  </si>
  <si>
    <t xml:space="preserve">HUMPHRIES ESSIE                                 </t>
  </si>
  <si>
    <t>7926 INGLENOOK PL</t>
  </si>
  <si>
    <t>LEWIS R MITCHELL SR</t>
  </si>
  <si>
    <t>E LIBERTY BLVD APT 102</t>
  </si>
  <si>
    <t>MURRAY RICHARD M &amp; ESTHER</t>
  </si>
  <si>
    <t>0 INGLENOOK PL</t>
  </si>
  <si>
    <t>HUMPHRIES ESSIE          ETAL</t>
  </si>
  <si>
    <t>7928 INGLENOOK PL</t>
  </si>
  <si>
    <t>LEWIS MITCHELL</t>
  </si>
  <si>
    <t xml:space="preserve">PAYNE KEITH D </t>
  </si>
  <si>
    <t>7913 INGLENOOK PL</t>
  </si>
  <si>
    <t>CUST ST</t>
  </si>
  <si>
    <t>JOHNSON ERNEST G &amp; ARIEL (W)</t>
  </si>
  <si>
    <t>7909 INGLENOOK PL</t>
  </si>
  <si>
    <t>PO BOX 1144</t>
  </si>
  <si>
    <t>SIMI VALLEY</t>
  </si>
  <si>
    <t xml:space="preserve">GADSDEN RONALD </t>
  </si>
  <si>
    <t>7907 INGLENOOK PL</t>
  </si>
  <si>
    <t>PO BOX 100256</t>
  </si>
  <si>
    <t xml:space="preserve">HEARD EDNA MARIE </t>
  </si>
  <si>
    <t>7905 INGLENOOK PL</t>
  </si>
  <si>
    <t>GERRITT ST</t>
  </si>
  <si>
    <t>MCMILLAN JOHN  &amp; JESSIE (W)</t>
  </si>
  <si>
    <t>7903 INGLENOOK PL</t>
  </si>
  <si>
    <t>MCMILLAN JOHN  &amp; JESS</t>
  </si>
  <si>
    <t xml:space="preserve">MILLER ROY </t>
  </si>
  <si>
    <t>7901 INGLENOOK PL</t>
  </si>
  <si>
    <t xml:space="preserve">RUSSELL SEAN T </t>
  </si>
  <si>
    <t>584 ROSEDALE ST</t>
  </si>
  <si>
    <t xml:space="preserve">CARTER GEORGE E </t>
  </si>
  <si>
    <t>7918 HAMILTON AVE</t>
  </si>
  <si>
    <t xml:space="preserve">MCDONALD KEITH </t>
  </si>
  <si>
    <t>7922 HAMILTON AVE</t>
  </si>
  <si>
    <t xml:space="preserve">LEPALAIS LLC </t>
  </si>
  <si>
    <t>604 HAVERHILL ST</t>
  </si>
  <si>
    <t>HAVERHILL ST</t>
  </si>
  <si>
    <t>594 OAKWOOD ST</t>
  </si>
  <si>
    <t xml:space="preserve">KEITH RITA M </t>
  </si>
  <si>
    <t>592 OAKWOOD ST</t>
  </si>
  <si>
    <t>588 OAKWOOD ST</t>
  </si>
  <si>
    <t xml:space="preserve">SMITH ALVIN </t>
  </si>
  <si>
    <t>586 OAKWOOD ST</t>
  </si>
  <si>
    <t xml:space="preserve">TURNER SANDRA LEE </t>
  </si>
  <si>
    <t>OAK GROVE AVE</t>
  </si>
  <si>
    <t xml:space="preserve">FITTS WILLIAM S JR </t>
  </si>
  <si>
    <t>PO BOX 56794</t>
  </si>
  <si>
    <t xml:space="preserve">FITTS RICHARD L &amp; MARY E </t>
  </si>
  <si>
    <t>C4 REAL ESTATE  INVESTMENT LLC</t>
  </si>
  <si>
    <t>570 OAKWOOD ST</t>
  </si>
  <si>
    <t>C4 REAL ESTATE INVEST</t>
  </si>
  <si>
    <t>PO BOX 24104</t>
  </si>
  <si>
    <t>ALEXANDER WALTER  &amp; MARGARET ELIZABETH ( W)</t>
  </si>
  <si>
    <t>ALEXANDER WALTER  &amp; MARGARET E</t>
  </si>
  <si>
    <t xml:space="preserve">THOMPKINS CHAE M </t>
  </si>
  <si>
    <t>562 OAKWOOD ST</t>
  </si>
  <si>
    <t xml:space="preserve">BROWN CHARLES F </t>
  </si>
  <si>
    <t>COLES WALTER A &amp; NANNIE B</t>
  </si>
  <si>
    <t>COLES CHARLES E &amp; NANNIE B COLES</t>
  </si>
  <si>
    <t>COLES CHARLES E &amp; NAN</t>
  </si>
  <si>
    <t xml:space="preserve">ALLEN EARL F </t>
  </si>
  <si>
    <t xml:space="preserve">WILLIAMS CLAUDE </t>
  </si>
  <si>
    <t>CEDAR RIDGE DR APT 118</t>
  </si>
  <si>
    <t xml:space="preserve">BELL ADAM </t>
  </si>
  <si>
    <t xml:space="preserve">MAYS ALICE REESE </t>
  </si>
  <si>
    <t xml:space="preserve">PARR FRANK T </t>
  </si>
  <si>
    <t>REEDY BROOK LN</t>
  </si>
  <si>
    <t xml:space="preserve">PRUNTY MATTIE L </t>
  </si>
  <si>
    <t>LEECHBURG</t>
  </si>
  <si>
    <t xml:space="preserve">PRUITT EDWARD </t>
  </si>
  <si>
    <t xml:space="preserve">BOLDEN MAUREEN FC </t>
  </si>
  <si>
    <t>573 SINGER PL</t>
  </si>
  <si>
    <t>JENKINS JAMES  &amp; VIRGINIA</t>
  </si>
  <si>
    <t xml:space="preserve">IFILL HORACE G </t>
  </si>
  <si>
    <t>611 SINGER PL</t>
  </si>
  <si>
    <t>IFILL HORACE</t>
  </si>
  <si>
    <t xml:space="preserve">THORNTON JOHN  &amp; MURIEL </t>
  </si>
  <si>
    <t>621 SINGER PL</t>
  </si>
  <si>
    <t>CENTER STREET  ASSOCIATES #3 LP</t>
  </si>
  <si>
    <t xml:space="preserve">TTGWB INC </t>
  </si>
  <si>
    <t>633 SINGER PL</t>
  </si>
  <si>
    <t>BROWER MARVIN D &amp; DOROTHY</t>
  </si>
  <si>
    <t>STOTLER RD</t>
  </si>
  <si>
    <t xml:space="preserve">REAL RE LLC </t>
  </si>
  <si>
    <t>643 SINGER PL</t>
  </si>
  <si>
    <t>649 SINGER PL</t>
  </si>
  <si>
    <t>HARPER TERRI</t>
  </si>
  <si>
    <t>BRITTANY HARBOR DR</t>
  </si>
  <si>
    <t>SPIGNER VERGIS  &amp; LELA (W)</t>
  </si>
  <si>
    <t>651 SINGER PL</t>
  </si>
  <si>
    <t>SPIGNER VERGIS  &amp; LEL</t>
  </si>
  <si>
    <t xml:space="preserve">KEMP ROLAND </t>
  </si>
  <si>
    <t>636 SINGER PL</t>
  </si>
  <si>
    <t>THOMPSON CLIFFORD A JR &amp; PATRICIA A (W)</t>
  </si>
  <si>
    <t xml:space="preserve">OWENS CLEOPHUS A                                </t>
  </si>
  <si>
    <t>BARRETO WILSON ANGELA DENISE CHURCH</t>
  </si>
  <si>
    <t>622 SINGER PL</t>
  </si>
  <si>
    <t xml:space="preserve">NESBETH CHRISTINA M </t>
  </si>
  <si>
    <t>620 SINGER PL</t>
  </si>
  <si>
    <t xml:space="preserve">PHIPPS GLENN E </t>
  </si>
  <si>
    <t xml:space="preserve">RICHBOURG SHEILA V </t>
  </si>
  <si>
    <t>JONES DONALD  &amp; DELORES G (W)</t>
  </si>
  <si>
    <t>610 SINGER PL</t>
  </si>
  <si>
    <t>DUNDALK DR</t>
  </si>
  <si>
    <t>GARDNER LUELLA B &amp; JEANNETTE H PRICE</t>
  </si>
  <si>
    <t>GARDNER LUELLA B &amp; JE</t>
  </si>
  <si>
    <t>KARL ST</t>
  </si>
  <si>
    <t xml:space="preserve">WILLIAMS BERTHA Y </t>
  </si>
  <si>
    <t>WILLIAMS JAMES L &amp; BERTHA Y</t>
  </si>
  <si>
    <t xml:space="preserve">THOMPSON WALIDA </t>
  </si>
  <si>
    <t>0 NIMICK PL</t>
  </si>
  <si>
    <t>IRVINE CENTER DR 250</t>
  </si>
  <si>
    <t>IRVINE</t>
  </si>
  <si>
    <t>TALIAFERRO LAWRENCE T &amp; EVELYN J (W)</t>
  </si>
  <si>
    <t>617 SICKLES ST</t>
  </si>
  <si>
    <t>SENIOR RICARDO</t>
  </si>
  <si>
    <t>FIRETHORNE DR</t>
  </si>
  <si>
    <t xml:space="preserve">HAMILTON CHARLES J </t>
  </si>
  <si>
    <t>N CHEROKEE AVE</t>
  </si>
  <si>
    <t>N. CHEROKEE AVE</t>
  </si>
  <si>
    <t xml:space="preserve">WILLIAMS ROBIN SUE                              </t>
  </si>
  <si>
    <t>643 SICKLES ST</t>
  </si>
  <si>
    <t xml:space="preserve">WILLIAMS ROBIN SUE &amp; </t>
  </si>
  <si>
    <t xml:space="preserve">CRATTY THERESA M </t>
  </si>
  <si>
    <t>0 FINANCE ST</t>
  </si>
  <si>
    <t>CROWNRIDGE DR</t>
  </si>
  <si>
    <t>MADISON</t>
  </si>
  <si>
    <t xml:space="preserve">BETHANY BAPTIST CHURCH </t>
  </si>
  <si>
    <t>BETHANY BAPTIST CHURC</t>
  </si>
  <si>
    <t>WILDER HENRY C &amp; JOSEPHINE E</t>
  </si>
  <si>
    <t>7752 TIOGA ST</t>
  </si>
  <si>
    <t>LORIN WILDER</t>
  </si>
  <si>
    <t xml:space="preserve">DONALD ARCHIE </t>
  </si>
  <si>
    <t>7750 TIOGA ST</t>
  </si>
  <si>
    <t>7754 TIOGA ST</t>
  </si>
  <si>
    <t xml:space="preserve">GREEN WILLIAM </t>
  </si>
  <si>
    <t>7756 TIOGA ST</t>
  </si>
  <si>
    <t>ROSEDALE BLOCK CLUSTER INC</t>
  </si>
  <si>
    <t>7806 TIOGA ST</t>
  </si>
  <si>
    <t>7810 TIOGA ST</t>
  </si>
  <si>
    <t xml:space="preserve">CONYERS JACQUELINE </t>
  </si>
  <si>
    <t>7813 SUSQUEHANNA ST</t>
  </si>
  <si>
    <t>CONYERS JACQUELINE A &amp; ROSA MAE CONYERS</t>
  </si>
  <si>
    <t>7809 SUSQUEHANNA ST</t>
  </si>
  <si>
    <t>RANSOM SEAN DAMIEN &amp; AKILA SADE SERE (W)</t>
  </si>
  <si>
    <t>7805 SUSQUEHANNA ST</t>
  </si>
  <si>
    <t xml:space="preserve">RANSOM SEAN DAMIEN &amp; </t>
  </si>
  <si>
    <t>WALKER JOSEPH H &amp; DONNA L (W)</t>
  </si>
  <si>
    <t>7737 SUSQUEHANNA ST</t>
  </si>
  <si>
    <t>WALKER JOSEPH H &amp; DON</t>
  </si>
  <si>
    <t xml:space="preserve">WALKER JOSEPH H                                 </t>
  </si>
  <si>
    <t>0 CASSINA WAY</t>
  </si>
  <si>
    <t xml:space="preserve">MOTT DENICE </t>
  </si>
  <si>
    <t>7733 SUSQUEHANNA ST</t>
  </si>
  <si>
    <t xml:space="preserve">15CCD CORPORATION </t>
  </si>
  <si>
    <t>GRANT ST STE 2800</t>
  </si>
  <si>
    <t xml:space="preserve">15CCD  CORP                                     </t>
  </si>
  <si>
    <t>15CCD CORPORATION</t>
  </si>
  <si>
    <t xml:space="preserve">15CCD CORP </t>
  </si>
  <si>
    <t xml:space="preserve">SCOTT JANICE C </t>
  </si>
  <si>
    <t>0 HILL ST</t>
  </si>
  <si>
    <t>SPRINGBROOK AVE</t>
  </si>
  <si>
    <t xml:space="preserve">WILSON HAYWOOD  &amp; BERTHA </t>
  </si>
  <si>
    <t xml:space="preserve">BROADUS RAHMU ABDUL </t>
  </si>
  <si>
    <t>421 ROSEDALE ST</t>
  </si>
  <si>
    <t xml:space="preserve">POINDEXTER RICHARD D </t>
  </si>
  <si>
    <t>POINDEXTER RUFUS R &amp; LAURA E (W)</t>
  </si>
  <si>
    <t>416 ROSEDALE ST</t>
  </si>
  <si>
    <t xml:space="preserve">TYH PA 10 LLC </t>
  </si>
  <si>
    <t>418 ROSEDALE ST</t>
  </si>
  <si>
    <t>TYH PA 10 LLC</t>
  </si>
  <si>
    <t>MURRAY AVE</t>
  </si>
  <si>
    <t xml:space="preserve">MUHAMMAD PAULETTE M                             </t>
  </si>
  <si>
    <t>420 ROSEDALE ST</t>
  </si>
  <si>
    <t>N FONTANA AVE</t>
  </si>
  <si>
    <t>TUCSON</t>
  </si>
  <si>
    <t xml:space="preserve">RUNNER JAMES L &amp; NEDRA E (W)             </t>
  </si>
  <si>
    <t>0 MADIERA ST</t>
  </si>
  <si>
    <t>WHITE HARRISON E JR &amp; BLANCHE L (W)</t>
  </si>
  <si>
    <t xml:space="preserve">JENKINS CHRISTINE                               </t>
  </si>
  <si>
    <t>7908 SUSQUEHANNA ST</t>
  </si>
  <si>
    <t xml:space="preserve">HAWES VANESSA M </t>
  </si>
  <si>
    <t>HAWES VANESSA M</t>
  </si>
  <si>
    <t>WHITE WAY</t>
  </si>
  <si>
    <t>SMITH LAMONT  &amp; SHARON WASHINGTON</t>
  </si>
  <si>
    <t>7933 MADIERA ST</t>
  </si>
  <si>
    <t>SMITH LAMONT  &amp; SHARO</t>
  </si>
  <si>
    <t>WYNNFIELD DR</t>
  </si>
  <si>
    <t>HIGH POINT</t>
  </si>
  <si>
    <t xml:space="preserve">HOLMAN MAXINE </t>
  </si>
  <si>
    <t>7943 MADIERA ST</t>
  </si>
  <si>
    <t>MADIERA ST</t>
  </si>
  <si>
    <t xml:space="preserve">5 R CORP </t>
  </si>
  <si>
    <t xml:space="preserve">SAVAGE FOREST                                   </t>
  </si>
  <si>
    <t>7944 SUSQUEHANNA ST</t>
  </si>
  <si>
    <t>SAVAGE FOREST</t>
  </si>
  <si>
    <t xml:space="preserve">STEEL CAPITAL LLC </t>
  </si>
  <si>
    <t>7940 SUSQUEHANNA ST</t>
  </si>
  <si>
    <t>PO BOX 4936</t>
  </si>
  <si>
    <t xml:space="preserve">INGRAM DARRELL MCKEEVER </t>
  </si>
  <si>
    <t>7932 SUSQUEHANNA ST</t>
  </si>
  <si>
    <t xml:space="preserve">BALDWIN VERONICA D </t>
  </si>
  <si>
    <t>7930 SUSQUEHANNA ST</t>
  </si>
  <si>
    <t>BALDWIN BERNICE  &amp; CHERYL BALDWIN</t>
  </si>
  <si>
    <t>7928 SUSQUEHANNA ST</t>
  </si>
  <si>
    <t xml:space="preserve">ROOTHS HAROLD A </t>
  </si>
  <si>
    <t>7924 SUSQUEHANNA ST</t>
  </si>
  <si>
    <t>7914 SUSQUEHANNA ST</t>
  </si>
  <si>
    <t>STEEL CAPITAL LLC</t>
  </si>
  <si>
    <t xml:space="preserve">PETTIGREW VIRGINIA </t>
  </si>
  <si>
    <t xml:space="preserve">GERMANY THERESA </t>
  </si>
  <si>
    <t>7915 SUSQUEHANNA ST</t>
  </si>
  <si>
    <t xml:space="preserve">COLES DAVID </t>
  </si>
  <si>
    <t>RASH MARK A SR &amp; QIANA (W)</t>
  </si>
  <si>
    <t>7929 SUSQUEHANNA ST</t>
  </si>
  <si>
    <t xml:space="preserve">BUTTS MILTON L SR </t>
  </si>
  <si>
    <t xml:space="preserve">JONES JACULYN L </t>
  </si>
  <si>
    <t>7958 TIOGA ST</t>
  </si>
  <si>
    <t xml:space="preserve">WILLIAMS IRENE </t>
  </si>
  <si>
    <t>7946 TIOGA ST</t>
  </si>
  <si>
    <t>CHINN ALLAN  &amp; IRENE WILLIAMS (W)</t>
  </si>
  <si>
    <t xml:space="preserve">DRAHNAK KATHERINE </t>
  </si>
  <si>
    <t>7940 TIOGA ST</t>
  </si>
  <si>
    <t xml:space="preserve">ROLIN AUGUST JR </t>
  </si>
  <si>
    <t>7938 TIOGA ST</t>
  </si>
  <si>
    <t>ROLIN AUGUST JR</t>
  </si>
  <si>
    <t>HOWARD ST 1R</t>
  </si>
  <si>
    <t>MAYO W DWIGHT &amp; GLENDA J (W)</t>
  </si>
  <si>
    <t>EDGEWOOD DR</t>
  </si>
  <si>
    <t>7912 TIOGA ST</t>
  </si>
  <si>
    <t xml:space="preserve">WILLIAMS ANNA MARIE </t>
  </si>
  <si>
    <t>520 ROSEDALE ST</t>
  </si>
  <si>
    <t xml:space="preserve">HARRIS ALEX </t>
  </si>
  <si>
    <t>7915 TIOGA ST</t>
  </si>
  <si>
    <t>ALEX HARRIS</t>
  </si>
  <si>
    <t>PAUL ST</t>
  </si>
  <si>
    <t>HALL GEORGE H &amp; RUTH L HALL</t>
  </si>
  <si>
    <t>HALL GEORGE  &amp; RUTH LILLIAN</t>
  </si>
  <si>
    <t xml:space="preserve">SCHATZMAN VIVIAN L </t>
  </si>
  <si>
    <t>0 CRESSEY WAY</t>
  </si>
  <si>
    <t>E LIBERTY BLVD APT 6</t>
  </si>
  <si>
    <t xml:space="preserve">BEATTY DOROTHY </t>
  </si>
  <si>
    <t>7945 TIOGA ST</t>
  </si>
  <si>
    <t xml:space="preserve">JACKSON JOHN JR </t>
  </si>
  <si>
    <t>7951 TIOGA ST</t>
  </si>
  <si>
    <t>SPENCER WILLIE  &amp; JANET D (W)</t>
  </si>
  <si>
    <t xml:space="preserve">DENNARD FRED L &amp; EVELYN </t>
  </si>
  <si>
    <t>REBECCA AVE</t>
  </si>
  <si>
    <t xml:space="preserve">STAPLES TINA M </t>
  </si>
  <si>
    <t>HIGHVIEW ST</t>
  </si>
  <si>
    <t>7930 TACOMA ST</t>
  </si>
  <si>
    <t>COTTO STEPHEN G &amp; SARA (W)</t>
  </si>
  <si>
    <t xml:space="preserve">BLAKEY PAULETTE J </t>
  </si>
  <si>
    <t>7934 TACOMA ST</t>
  </si>
  <si>
    <t xml:space="preserve">GREEN TURNER L JR </t>
  </si>
  <si>
    <t>7936 TACOMA ST</t>
  </si>
  <si>
    <t>PO BOX 1432</t>
  </si>
  <si>
    <t xml:space="preserve">FINCHER GREG &amp; STACY (W) </t>
  </si>
  <si>
    <t>7938 TACOMA ST</t>
  </si>
  <si>
    <t xml:space="preserve">FINCHER GREG &amp; STACY </t>
  </si>
  <si>
    <t>GADDIS MARY E &amp; ELMIRA LANE</t>
  </si>
  <si>
    <t>SNINSKY RON</t>
  </si>
  <si>
    <t>NICHOLS BIRDIE M &amp; SCOTT (H)</t>
  </si>
  <si>
    <t>NICHOLS BIRDIE M &amp; SC</t>
  </si>
  <si>
    <t>W MORELAND RD APT K211</t>
  </si>
  <si>
    <t>WILLOW GROVE</t>
  </si>
  <si>
    <t xml:space="preserve">DUNKLIN MARVIN L </t>
  </si>
  <si>
    <t>JESSOP COMMUNITY CRED</t>
  </si>
  <si>
    <t>GREEN ST</t>
  </si>
  <si>
    <t xml:space="preserve">HOMEWOOD AMEZION CHURCH </t>
  </si>
  <si>
    <t xml:space="preserve">PERNELL PORTER  &amp; SADIE </t>
  </si>
  <si>
    <t>PATTERSON SAMUEL  &amp; VIRGINIA</t>
  </si>
  <si>
    <t>PATTERSON SAMUEL  &amp; V</t>
  </si>
  <si>
    <t>W TENNESSEE AVE APT 208</t>
  </si>
  <si>
    <t>YOUNGTOWN</t>
  </si>
  <si>
    <t>MCNEAL DON E &amp; KAREN D (W)</t>
  </si>
  <si>
    <t>530 OAKWOOD ST</t>
  </si>
  <si>
    <t xml:space="preserve">MCNEAL DON E &amp; KAREN </t>
  </si>
  <si>
    <t xml:space="preserve">MITCHELL ELIZABETH C </t>
  </si>
  <si>
    <t>526 OAKWOOD ST</t>
  </si>
  <si>
    <t>GREEN APPLE DR</t>
  </si>
  <si>
    <t>GARLAND</t>
  </si>
  <si>
    <t xml:space="preserve">REESE MELVIN JR </t>
  </si>
  <si>
    <t>512 OAKWOOD ST</t>
  </si>
  <si>
    <t xml:space="preserve">JACKSON LINDA L </t>
  </si>
  <si>
    <t>508 OAKWOOD ST</t>
  </si>
  <si>
    <t>502 OAKWOOD ST</t>
  </si>
  <si>
    <t xml:space="preserve">KILKENNY OSEI </t>
  </si>
  <si>
    <t>504 OAKWOOD ST</t>
  </si>
  <si>
    <t xml:space="preserve">THOMPSON WILLIAM </t>
  </si>
  <si>
    <t>8019 NIMICK PL</t>
  </si>
  <si>
    <t xml:space="preserve">PORTER GERALDINE H </t>
  </si>
  <si>
    <t>NIMICK ST</t>
  </si>
  <si>
    <t xml:space="preserve">THORNTON ERIN W SR </t>
  </si>
  <si>
    <t>8023 NIMICK PL</t>
  </si>
  <si>
    <t xml:space="preserve">BROADUS RICHARD A JR </t>
  </si>
  <si>
    <t>8025 NIMICK PL</t>
  </si>
  <si>
    <t xml:space="preserve">HARRIS DAVID </t>
  </si>
  <si>
    <t>FANCHER DONALD E &amp; FLORENCE L FANCHER</t>
  </si>
  <si>
    <t xml:space="preserve">PEOPLES BRYAN </t>
  </si>
  <si>
    <t>521 SINGER PL</t>
  </si>
  <si>
    <t>FREEMAN LAWRENCE  &amp; BARBARA DRAKE (W)</t>
  </si>
  <si>
    <t xml:space="preserve">CALLOWAY JULIA </t>
  </si>
  <si>
    <t>0 MOOSEHART ST</t>
  </si>
  <si>
    <t>HILL # 1 AVE</t>
  </si>
  <si>
    <t xml:space="preserve">FREEMAN DORSEY J </t>
  </si>
  <si>
    <t>8019 MOOSEHART ST</t>
  </si>
  <si>
    <t>FREEMAN DORSEY J</t>
  </si>
  <si>
    <t>CHARTIERS AVE</t>
  </si>
  <si>
    <t xml:space="preserve">KRAMER SCOTT </t>
  </si>
  <si>
    <t>FOX HUNT RD</t>
  </si>
  <si>
    <t xml:space="preserve">I &amp; C HOLDINGS LLC </t>
  </si>
  <si>
    <t>0 HILL AVE</t>
  </si>
  <si>
    <t>ASHBURY CT</t>
  </si>
  <si>
    <t xml:space="preserve">WILSON JORDON </t>
  </si>
  <si>
    <t>7928 MADIERA ST</t>
  </si>
  <si>
    <t xml:space="preserve">JACKSON RAYMOND L </t>
  </si>
  <si>
    <t>7930 MADIERA ST</t>
  </si>
  <si>
    <t>WYNNE NEVIN L &amp; ETHEL (W)</t>
  </si>
  <si>
    <t>7934 MADIERA ST</t>
  </si>
  <si>
    <t>WYNNE NEVIN L &amp; ETHEL</t>
  </si>
  <si>
    <t>LAKETON RD APT C6</t>
  </si>
  <si>
    <t xml:space="preserve">BUDD ARTHUR  &amp; MARY (W) </t>
  </si>
  <si>
    <t>7936 MADIERA ST</t>
  </si>
  <si>
    <t xml:space="preserve">MCDONALD KEITH J </t>
  </si>
  <si>
    <t>7938 MADIERA ST</t>
  </si>
  <si>
    <t xml:space="preserve">LEWIS RICKY </t>
  </si>
  <si>
    <t>7942 MADIERA ST</t>
  </si>
  <si>
    <t>HOMEWOOD-BRUSHTON CHILD  CARE SERVICES IN C</t>
  </si>
  <si>
    <t>0 DIVISION ST</t>
  </si>
  <si>
    <t xml:space="preserve">WAGNER DAISY E </t>
  </si>
  <si>
    <t>8609 PERSHING ST</t>
  </si>
  <si>
    <t>FAIRMONT ST</t>
  </si>
  <si>
    <t xml:space="preserve">THIGPEN B CHRISTOPHER </t>
  </si>
  <si>
    <t>8607 PERSHING ST</t>
  </si>
  <si>
    <t>BEAUFORT AVE</t>
  </si>
  <si>
    <t xml:space="preserve">NOWLIN JAMES </t>
  </si>
  <si>
    <t>8601 PERSHING ST</t>
  </si>
  <si>
    <t>JAMES NOWLIN</t>
  </si>
  <si>
    <t>PERSHING ST</t>
  </si>
  <si>
    <t xml:space="preserve">MULZER FRED  &amp; BELLA </t>
  </si>
  <si>
    <t>0 THOMPSON DR</t>
  </si>
  <si>
    <t>SYMMS MICHAEL W &amp; TONI L ROWE</t>
  </si>
  <si>
    <t>8529 PERSHING ST</t>
  </si>
  <si>
    <t>SYMMS MICHAEL W &amp; TON</t>
  </si>
  <si>
    <t xml:space="preserve">TUTTLE BENJAMIN P </t>
  </si>
  <si>
    <t>8523 PERSHING ST</t>
  </si>
  <si>
    <t>GALLITZIN</t>
  </si>
  <si>
    <t>8817 BRICELYN ST</t>
  </si>
  <si>
    <t>8813 BRICELYN ST</t>
  </si>
  <si>
    <t>8811 BRICELYN ST</t>
  </si>
  <si>
    <t>8807 BRICELYN ST</t>
  </si>
  <si>
    <t>8801 BRICELYN ST</t>
  </si>
  <si>
    <t xml:space="preserve">NELSON SOPHIA P </t>
  </si>
  <si>
    <t>.</t>
  </si>
  <si>
    <t xml:space="preserve">GILES LILLIAN H </t>
  </si>
  <si>
    <t xml:space="preserve">CHAMPLIN SANDY E JR </t>
  </si>
  <si>
    <t xml:space="preserve">ENTY DAISY  &amp; CHARLES </t>
  </si>
  <si>
    <t>0 HALLAM ST</t>
  </si>
  <si>
    <t>FIRST FEDERAL SVGS &amp; LN ASSN</t>
  </si>
  <si>
    <t xml:space="preserve">RAMSEY KIRK D SR </t>
  </si>
  <si>
    <t>1210 OZAN WAY</t>
  </si>
  <si>
    <t>OZAN ST</t>
  </si>
  <si>
    <t xml:space="preserve">KING HOUSTON  &amp; MAMMIE </t>
  </si>
  <si>
    <t>ELLIOTT AUSBURY W &amp; EDITH L</t>
  </si>
  <si>
    <t>1214 OZAN WAY</t>
  </si>
  <si>
    <t>ELLIOTT AUSBURY W &amp; E</t>
  </si>
  <si>
    <t>BROWN LADSON W &amp; GERTRUDE S</t>
  </si>
  <si>
    <t>SMITH WILLIAM  &amp; AGNES (W)</t>
  </si>
  <si>
    <t xml:space="preserve">RICE SAMUEL </t>
  </si>
  <si>
    <t>0 LAWNDALE ST</t>
  </si>
  <si>
    <t xml:space="preserve">THOMAS JULET  &amp; FLORA F </t>
  </si>
  <si>
    <t>ELMORE SQ</t>
  </si>
  <si>
    <t xml:space="preserve">MORRIS LINDSEY </t>
  </si>
  <si>
    <t xml:space="preserve">HOUSING RE-CLAIM CORP </t>
  </si>
  <si>
    <t xml:space="preserve">MORRIS LINDSEY                                  </t>
  </si>
  <si>
    <t>GIBSON ALICE  &amp; LINDSEY J MORRIS SR</t>
  </si>
  <si>
    <t>GIBSON ALICE  &amp; LINDS</t>
  </si>
  <si>
    <t xml:space="preserve">MCDONALD CHARMAINE </t>
  </si>
  <si>
    <t>LAWNDALE ST</t>
  </si>
  <si>
    <t xml:space="preserve">BROWN TODD A </t>
  </si>
  <si>
    <t xml:space="preserve">RADFORD A C </t>
  </si>
  <si>
    <t xml:space="preserve">DINUNZIO NICHOLAS L </t>
  </si>
  <si>
    <t xml:space="preserve">POWERS LURANA MARIE </t>
  </si>
  <si>
    <t>1116 LAWNDALE ST</t>
  </si>
  <si>
    <t>M R MCINTOSH BUILDING &amp; ROOFING CONTRACTORS INC</t>
  </si>
  <si>
    <t>1070 LAWNDALE ST</t>
  </si>
  <si>
    <t>M R MCINTOSH BUILDING</t>
  </si>
  <si>
    <t>1062 LAWNDALE ST</t>
  </si>
  <si>
    <t>SHAWN FALLS</t>
  </si>
  <si>
    <t>HAETMANS LN</t>
  </si>
  <si>
    <t xml:space="preserve">FALLS ADRIEN SHAWN </t>
  </si>
  <si>
    <t>1060 LAWNDALE ST</t>
  </si>
  <si>
    <t>HARTMAN LN</t>
  </si>
  <si>
    <t>NELMS ROBERT K JR &amp; LINDA E (W)</t>
  </si>
  <si>
    <t>0 SILVERDALE ST</t>
  </si>
  <si>
    <t xml:space="preserve">CHAVIS SHIRLEY </t>
  </si>
  <si>
    <t>CHAVIS SHIRLEY</t>
  </si>
  <si>
    <t>BEDFORD AVE UNIT 301</t>
  </si>
  <si>
    <t xml:space="preserve">STEVENS HASAN                                   </t>
  </si>
  <si>
    <t>1061 SILVERDALE ST</t>
  </si>
  <si>
    <t>SILVERDALE ST</t>
  </si>
  <si>
    <t xml:space="preserve">BLACK MARY L </t>
  </si>
  <si>
    <t>1063 SILVERDALE ST</t>
  </si>
  <si>
    <t xml:space="preserve">CRAWFORD ROOSEVELT JR </t>
  </si>
  <si>
    <t>1065 SILVERDALE ST</t>
  </si>
  <si>
    <t>DENSON JULIUS  &amp; GERALDINE</t>
  </si>
  <si>
    <t>1067 SILVERDALE ST</t>
  </si>
  <si>
    <t xml:space="preserve">BRATCHER MELVIN PERRY </t>
  </si>
  <si>
    <t>1071 SILVERDALE ST</t>
  </si>
  <si>
    <t>MELVIN PERRY BRATCHER</t>
  </si>
  <si>
    <t xml:space="preserve">DORMAN ROBERT B JR </t>
  </si>
  <si>
    <t xml:space="preserve">JONES PAMELA </t>
  </si>
  <si>
    <t>1064 SILVERDALE ST</t>
  </si>
  <si>
    <t>BLACK MARY LOUISE &amp; NORMAN JAMES LOVE</t>
  </si>
  <si>
    <t>1068 SILVERDALE ST</t>
  </si>
  <si>
    <t xml:space="preserve">BROWN SHARON </t>
  </si>
  <si>
    <t>PENN AVE APT 107</t>
  </si>
  <si>
    <t xml:space="preserve">BEY JACQUELINE ALLEN </t>
  </si>
  <si>
    <t>1043 STONEVILLE ST</t>
  </si>
  <si>
    <t>BEY JACQUELINE ALLEN</t>
  </si>
  <si>
    <t>SPEARMAN SAMUEL H &amp; ANTONETTE</t>
  </si>
  <si>
    <t>0 STONEVILLE ST</t>
  </si>
  <si>
    <t xml:space="preserve">FREEMAN DWAYNE </t>
  </si>
  <si>
    <t>1069 STONEVILLE ST</t>
  </si>
  <si>
    <t>W 10TH ST</t>
  </si>
  <si>
    <t>1080 STONEVILLE ST</t>
  </si>
  <si>
    <t xml:space="preserve">GAZZO MARK  &amp; NELLIE </t>
  </si>
  <si>
    <t>BLACKADORE EXT AVE</t>
  </si>
  <si>
    <t xml:space="preserve">GREENE LEO E &amp; ROSE L </t>
  </si>
  <si>
    <t>1066 STONEVILLE ST</t>
  </si>
  <si>
    <t>FINDLEY DR W APT 2</t>
  </si>
  <si>
    <t>LITTON MORTGAGE  SERVICING CENTER INC</t>
  </si>
  <si>
    <t>LITTON MORTGAGE SERVI</t>
  </si>
  <si>
    <t>ANDERSON WILLIAM L &amp; HORTENSE (W)</t>
  </si>
  <si>
    <t>1054 STONEVILLE ST</t>
  </si>
  <si>
    <t>HARRIS EPPIE  &amp; ANN J (W)</t>
  </si>
  <si>
    <t>1026 STONEVILLE ST</t>
  </si>
  <si>
    <t>MORTON WAVERLY BRIAN &amp; TAMARA (W)</t>
  </si>
  <si>
    <t>1021 PERCHMENT ST</t>
  </si>
  <si>
    <t>JACKSON MARCUS A &amp; THOMASINE Y (W)</t>
  </si>
  <si>
    <t>0 PERCHMENT ST</t>
  </si>
  <si>
    <t xml:space="preserve">ROBERTS CRYSTAL PAYNE </t>
  </si>
  <si>
    <t>257 CAIN WAY</t>
  </si>
  <si>
    <t>HARVEST DRIVE</t>
  </si>
  <si>
    <t>VERNON</t>
  </si>
  <si>
    <t xml:space="preserve">COMER JOHN DAVID                                </t>
  </si>
  <si>
    <t>8520 PERSHING ST</t>
  </si>
  <si>
    <t xml:space="preserve">HOSKINS LINDA </t>
  </si>
  <si>
    <t>8515 DERSAM ST</t>
  </si>
  <si>
    <t xml:space="preserve">MCNUTT CHARLES B </t>
  </si>
  <si>
    <t>8511 DERSAM ST</t>
  </si>
  <si>
    <t xml:space="preserve">BILLICK LEWIS D </t>
  </si>
  <si>
    <t>8436 PARK WAY</t>
  </si>
  <si>
    <t>PARK WAY ST</t>
  </si>
  <si>
    <t xml:space="preserve">DAVIS JACQUELINE </t>
  </si>
  <si>
    <t>8442 PARK WAY</t>
  </si>
  <si>
    <t>6TH ST</t>
  </si>
  <si>
    <t xml:space="preserve">SHOWCASE I LLC </t>
  </si>
  <si>
    <t>8446 PARK WAY</t>
  </si>
  <si>
    <t>PARKWAY WAY</t>
  </si>
  <si>
    <t>MCBRIDE LEO  &amp; JENNIE (W)</t>
  </si>
  <si>
    <t>0 PARK WAY</t>
  </si>
  <si>
    <t>TURNER MARIETTA O &amp; EDWARD M (H)</t>
  </si>
  <si>
    <t>8451 DERSAM ST</t>
  </si>
  <si>
    <t>HAYES ROBERT H &amp; ELLEN R (W)</t>
  </si>
  <si>
    <t>8445 PARK WAY</t>
  </si>
  <si>
    <t>HAYES ROBERT H &amp; ELLE</t>
  </si>
  <si>
    <t>PO BOX 27077</t>
  </si>
  <si>
    <t xml:space="preserve">HAUS MARGARET P </t>
  </si>
  <si>
    <t>0 HANSELL AVE</t>
  </si>
  <si>
    <t>CAIN WAY</t>
  </si>
  <si>
    <t xml:space="preserve">PEABODY WOODBURY A </t>
  </si>
  <si>
    <t>0 CAIN WAY</t>
  </si>
  <si>
    <t>LAUDER ST</t>
  </si>
  <si>
    <t xml:space="preserve">KUCIC WILLIAM J </t>
  </si>
  <si>
    <t>266 CAIN WAY</t>
  </si>
  <si>
    <t>JUNIPER CT</t>
  </si>
  <si>
    <t xml:space="preserve">BEATTY ANTHONY R </t>
  </si>
  <si>
    <t>270 CAIN WAY</t>
  </si>
  <si>
    <t>CAN WAY</t>
  </si>
  <si>
    <t xml:space="preserve">WELLS MARC </t>
  </si>
  <si>
    <t>271 CAIN WAY</t>
  </si>
  <si>
    <t>TAYLOR DEXTER O &amp; VALERIE P (W)</t>
  </si>
  <si>
    <t>8435 DERSAM ST</t>
  </si>
  <si>
    <t xml:space="preserve">BALLARD MANUEL </t>
  </si>
  <si>
    <t>0 STANDARD AVE</t>
  </si>
  <si>
    <t xml:space="preserve">ROBINSON SHAKA M A </t>
  </si>
  <si>
    <t>92 CAIN WAY</t>
  </si>
  <si>
    <t>PEACOCK ST</t>
  </si>
  <si>
    <t>HOPE MILLS</t>
  </si>
  <si>
    <t>CARMICHAEL RAYMOND  &amp; VALORIE</t>
  </si>
  <si>
    <t>0 DERSAM ST</t>
  </si>
  <si>
    <t>BANKERS TRUST COMPANY  (TRUSTEE)</t>
  </si>
  <si>
    <t>8421 DERSAM ST</t>
  </si>
  <si>
    <t>8409 DERSAM ST REAR</t>
  </si>
  <si>
    <t xml:space="preserve">HARRISTON RACHEL M </t>
  </si>
  <si>
    <t>JANE CT</t>
  </si>
  <si>
    <t>ALBRIGHTSVILLE</t>
  </si>
  <si>
    <t xml:space="preserve">JACKSON JACQUELINE </t>
  </si>
  <si>
    <t>100 STANDARD AVE</t>
  </si>
  <si>
    <t>KING LEROY  &amp; DAISY HOLT (W)</t>
  </si>
  <si>
    <t>KING LEROY  &amp; DAISY H</t>
  </si>
  <si>
    <t xml:space="preserve">COLBERT MARGARET </t>
  </si>
  <si>
    <t>LUCIA DR</t>
  </si>
  <si>
    <t>ROBERSON WILLIAM H &amp; JANICE P</t>
  </si>
  <si>
    <t>8420 DERSAM ST</t>
  </si>
  <si>
    <t xml:space="preserve">DOWDELL ERIC M </t>
  </si>
  <si>
    <t>8428 DERSAM ST</t>
  </si>
  <si>
    <t xml:space="preserve">GRINDLE RALPH </t>
  </si>
  <si>
    <t>8430 DERSAM ST</t>
  </si>
  <si>
    <t>CINCIRIPINI ANTHONY  &amp; DOROTHY (W)</t>
  </si>
  <si>
    <t>BROKERS LN</t>
  </si>
  <si>
    <t xml:space="preserve">MITCHELL THEODORE J III </t>
  </si>
  <si>
    <t>8434 DERSAM ST</t>
  </si>
  <si>
    <t>8438 DERSAM ST</t>
  </si>
  <si>
    <t xml:space="preserve">HENDERSON JULIAN AMIR </t>
  </si>
  <si>
    <t>8446 DERSAM ST</t>
  </si>
  <si>
    <t>TANGLEWOOD DR</t>
  </si>
  <si>
    <t xml:space="preserve">CHILES SAMUEL </t>
  </si>
  <si>
    <t>8514 DERSAM ST</t>
  </si>
  <si>
    <t xml:space="preserve">WILLIS JERRY W </t>
  </si>
  <si>
    <t>8516 DERSAM ST</t>
  </si>
  <si>
    <t>JERRY W WILLIS</t>
  </si>
  <si>
    <t>NATCHITOCHES</t>
  </si>
  <si>
    <t>WHITE VERNAL ALFRED &amp; DORIS M (W)</t>
  </si>
  <si>
    <t>8518 DERSAM ST</t>
  </si>
  <si>
    <t xml:space="preserve">BYRD WILLIAM C </t>
  </si>
  <si>
    <t>8520 DERSAM ST</t>
  </si>
  <si>
    <t xml:space="preserve">ROBERTS DARNETTA </t>
  </si>
  <si>
    <t>8522 DERSAM ST</t>
  </si>
  <si>
    <t xml:space="preserve">JENKINS CHRISTOPHER </t>
  </si>
  <si>
    <t>8521 FRANKSTOWN AVE</t>
  </si>
  <si>
    <t>8519 FRANKSTOWN AVE</t>
  </si>
  <si>
    <t xml:space="preserve">THOMAS JUDITH </t>
  </si>
  <si>
    <t>8509 FRANKSTOWN AVE</t>
  </si>
  <si>
    <t>THOMAS JUDITH</t>
  </si>
  <si>
    <t>GREENFIELD LAKES ST</t>
  </si>
  <si>
    <t>PO BOX 91156</t>
  </si>
  <si>
    <t xml:space="preserve">BUTLER ROBERT L &amp; VIVIAN </t>
  </si>
  <si>
    <t xml:space="preserve">JOHNSON JAY L </t>
  </si>
  <si>
    <t>8419 FRANKSTOWN AVE</t>
  </si>
  <si>
    <t xml:space="preserve">JONES GLORIA L </t>
  </si>
  <si>
    <t>VIA DE LA VALLE</t>
  </si>
  <si>
    <t>DEL MAR</t>
  </si>
  <si>
    <t xml:space="preserve">DARSON ENTERPRISES LLC </t>
  </si>
  <si>
    <t>8415 FRANKSTOWN AVE</t>
  </si>
  <si>
    <t>LAKE ST</t>
  </si>
  <si>
    <t xml:space="preserve">STUCKEY MARCUS A </t>
  </si>
  <si>
    <t>8438 FRANKSTOWN AVE</t>
  </si>
  <si>
    <t xml:space="preserve">ROUSE VALINE </t>
  </si>
  <si>
    <t>0 BRICELYN ST</t>
  </si>
  <si>
    <t>8500 FRANKSTOWN AVE</t>
  </si>
  <si>
    <t xml:space="preserve">ROBINSON GINA L </t>
  </si>
  <si>
    <t>15 EYMARD ST</t>
  </si>
  <si>
    <t>LIVING WAY CHRISTIAN  FELLOWSHIP INC</t>
  </si>
  <si>
    <t xml:space="preserve">MARABLE BERNARD N </t>
  </si>
  <si>
    <t>8508 BRICELYN ST</t>
  </si>
  <si>
    <t>RICE SAMUEL &amp; GEORGETTE (W)</t>
  </si>
  <si>
    <t>8612 BRICELYN ST</t>
  </si>
  <si>
    <t>RICE SAMUEL &amp; GEORGET</t>
  </si>
  <si>
    <t xml:space="preserve">MALIK IFTIKHAR </t>
  </si>
  <si>
    <t>108 MADONNA ST</t>
  </si>
  <si>
    <t>PEPPERGRASS DR</t>
  </si>
  <si>
    <t xml:space="preserve">ENGLISH CLARENCE M </t>
  </si>
  <si>
    <t>120 MADONNA ST</t>
  </si>
  <si>
    <t xml:space="preserve">BRUNSON CORNELL J </t>
  </si>
  <si>
    <t>128 MADONNA ST</t>
  </si>
  <si>
    <t xml:space="preserve">BRY MARD APARTMENTS INC </t>
  </si>
  <si>
    <t>8630 BRICELYN ST</t>
  </si>
  <si>
    <t>8610 BRICELYN ST</t>
  </si>
  <si>
    <t xml:space="preserve">PITTSBURGH HOLDING  TRUST                   </t>
  </si>
  <si>
    <t>8812 BRICELYN ST</t>
  </si>
  <si>
    <t>PITTSBURGH HOLDING TR</t>
  </si>
  <si>
    <t>OXFORD DR STE 300</t>
  </si>
  <si>
    <t xml:space="preserve">HOLLIS JOELLE                                   </t>
  </si>
  <si>
    <t>129 EYMARD ST</t>
  </si>
  <si>
    <t>HOLLIS JOELLE PAUL HE</t>
  </si>
  <si>
    <t>EYMARD ST</t>
  </si>
  <si>
    <t>PENNINGTON MARVIN  &amp; LYDIA E</t>
  </si>
  <si>
    <t>151 EYMARD ST</t>
  </si>
  <si>
    <t xml:space="preserve">HOLLIS JOELLE N </t>
  </si>
  <si>
    <t>159 EYMARD ST</t>
  </si>
  <si>
    <t>0 EYMARD ST</t>
  </si>
  <si>
    <t xml:space="preserve">JACKSON JOHNNIE MAE </t>
  </si>
  <si>
    <t>ARRINGTON RUBY E &amp; CASSANDRA BROWN</t>
  </si>
  <si>
    <t>8107 PERCHMENT ST</t>
  </si>
  <si>
    <t xml:space="preserve">KEMP GEORGE K &amp; BESSIE </t>
  </si>
  <si>
    <t xml:space="preserve">EDMONDS RICHARD A </t>
  </si>
  <si>
    <t>1016 BLACKADORE ST</t>
  </si>
  <si>
    <t>HOUSTON JAMES  &amp; ANNA MAE (W)</t>
  </si>
  <si>
    <t>WILLIAMSON NORMAN E &amp; GERALDINE</t>
  </si>
  <si>
    <t>1026 BLACKADORE ST</t>
  </si>
  <si>
    <t xml:space="preserve">TALIAFERRO EVELYN JEAN                          </t>
  </si>
  <si>
    <t>PATRICIA MARTIN O'MEA</t>
  </si>
  <si>
    <t>BEAMAN PL</t>
  </si>
  <si>
    <t>TEMPLE HILLS</t>
  </si>
  <si>
    <t xml:space="preserve">BERARDINO JOSEPHINE J </t>
  </si>
  <si>
    <t xml:space="preserve">SMITH EDWARD H &amp; LUCY F </t>
  </si>
  <si>
    <t xml:space="preserve">HARRISON WILLIAM P </t>
  </si>
  <si>
    <t>BLACKMORE AVE</t>
  </si>
  <si>
    <t xml:space="preserve">ROY ROSALIE M </t>
  </si>
  <si>
    <t>P O BOX  692</t>
  </si>
  <si>
    <t>WORCESTER</t>
  </si>
  <si>
    <t>OTT MABEL ETAL</t>
  </si>
  <si>
    <t>BROCK ROBERT L &amp; CLARICE F</t>
  </si>
  <si>
    <t xml:space="preserve">FAIRNOT RASHON </t>
  </si>
  <si>
    <t xml:space="preserve">FREEMAN GLENN A </t>
  </si>
  <si>
    <t>1039 LAWNDALE ST</t>
  </si>
  <si>
    <t>1041 LAWNDALE ST</t>
  </si>
  <si>
    <t>WILSON M DOLORES COTMAN  &amp; PAUL GILBERT C OTMAN</t>
  </si>
  <si>
    <t>N LINDEN AVE</t>
  </si>
  <si>
    <t>FALLS ADRIEN SHAWN</t>
  </si>
  <si>
    <t xml:space="preserve">ROBINSON EUGENEA </t>
  </si>
  <si>
    <t>1056 LAWNDALE ST</t>
  </si>
  <si>
    <t>CALIFORNIA AVE</t>
  </si>
  <si>
    <t>SHELTON HAROLD R &amp; JOYCE M (W)</t>
  </si>
  <si>
    <t>SHELTON HAROLD R &amp; JO</t>
  </si>
  <si>
    <t xml:space="preserve">WHITTINGTON DOLORES </t>
  </si>
  <si>
    <t>ROYAL AVE</t>
  </si>
  <si>
    <t xml:space="preserve">CRAWFORD EUGENE </t>
  </si>
  <si>
    <t xml:space="preserve">FRASER THOMAS C </t>
  </si>
  <si>
    <t>STRADER HOME DELIVERY  SERVICES LLC</t>
  </si>
  <si>
    <t>1045 SILVERDALE ST</t>
  </si>
  <si>
    <t>STRADER HOME DELIVERY</t>
  </si>
  <si>
    <t xml:space="preserve">TALLON LAWRENCE E </t>
  </si>
  <si>
    <t>SWICKLEY GUS  &amp; ELEANOR (W)</t>
  </si>
  <si>
    <t>CLEVELAND PEART</t>
  </si>
  <si>
    <t>STOKES AVE</t>
  </si>
  <si>
    <t xml:space="preserve">MCCLELLAN MAURICE </t>
  </si>
  <si>
    <t>PO BOX 17075</t>
  </si>
  <si>
    <t xml:space="preserve">ZAMBRI PAUL L </t>
  </si>
  <si>
    <t xml:space="preserve">ZAMBRI LORRAINE </t>
  </si>
  <si>
    <t>GRAHAM MARY  &amp; ANNA GRAHAM</t>
  </si>
  <si>
    <t>1042 SILVERDALE ST</t>
  </si>
  <si>
    <t xml:space="preserve">LLOYD GRAHAM JEFFREY </t>
  </si>
  <si>
    <t>1023 STONEVILLE ST</t>
  </si>
  <si>
    <t xml:space="preserve">LITTLE KAREN F </t>
  </si>
  <si>
    <t>1019 STONEVILLE ST</t>
  </si>
  <si>
    <t xml:space="preserve">ZAMBRI CELLESTINO </t>
  </si>
  <si>
    <t xml:space="preserve">LAVELLE VIVIAN                                  </t>
  </si>
  <si>
    <t>ORANGEWOOD AVE</t>
  </si>
  <si>
    <t xml:space="preserve">ROBERTS RUSSELL </t>
  </si>
  <si>
    <t xml:space="preserve">GILLIAM E CHRISTON </t>
  </si>
  <si>
    <t xml:space="preserve">BAKER QUEEN </t>
  </si>
  <si>
    <t>BURROWS ST APT 907</t>
  </si>
  <si>
    <t>BLACKWELL FREDERICK  &amp; RUBY</t>
  </si>
  <si>
    <t>DURANGO WAY</t>
  </si>
  <si>
    <t>YOUNG ALBERT NORMAN &amp; STELLA (W)</t>
  </si>
  <si>
    <t xml:space="preserve">ROBINSON SHANE </t>
  </si>
  <si>
    <t>8220 PERCHMENT ST</t>
  </si>
  <si>
    <t xml:space="preserve">EVANS LORAN </t>
  </si>
  <si>
    <t>8214 PERCHMENT ST</t>
  </si>
  <si>
    <t>PO BOX 82610</t>
  </si>
  <si>
    <t>PARKER WILLIAM A &amp; GLADYS N (W)</t>
  </si>
  <si>
    <t xml:space="preserve">PALMER EMMA W                                   </t>
  </si>
  <si>
    <t>CHARLES S PALMER</t>
  </si>
  <si>
    <t>PENN AVE APT C 43</t>
  </si>
  <si>
    <t xml:space="preserve">JACKSON JOHN S &amp; ROSE G </t>
  </si>
  <si>
    <t xml:space="preserve">GAINER PRAISE </t>
  </si>
  <si>
    <t>8125 FRANKSTOWN AVE</t>
  </si>
  <si>
    <t xml:space="preserve">BRIGGS DENNIS A </t>
  </si>
  <si>
    <t xml:space="preserve">IMMOBILIARE LLC </t>
  </si>
  <si>
    <t>PO BOX 15222</t>
  </si>
  <si>
    <t>FRESNO</t>
  </si>
  <si>
    <t xml:space="preserve">THROWER MARLENE E </t>
  </si>
  <si>
    <t>8207 FRANKSTOWN AVE</t>
  </si>
  <si>
    <t>PEARL RD</t>
  </si>
  <si>
    <t xml:space="preserve">YANAS W F </t>
  </si>
  <si>
    <t xml:space="preserve">YANAS GOVINDAS FRONJIJA </t>
  </si>
  <si>
    <t>SILVER SCREEN GRAPHICS  INC</t>
  </si>
  <si>
    <t>SILVER SCREEN GRAPHIC</t>
  </si>
  <si>
    <t xml:space="preserve">PLUM PRISCILLA </t>
  </si>
  <si>
    <t xml:space="preserve">MITCHEM IDELLA E </t>
  </si>
  <si>
    <t xml:space="preserve">CRONIN JOHN P </t>
  </si>
  <si>
    <t xml:space="preserve">BARCELLINO NINO R &amp; ETHEL L (W)             </t>
  </si>
  <si>
    <t>8381 FRANKSTOWN AVE</t>
  </si>
  <si>
    <t>NEWPORT DR</t>
  </si>
  <si>
    <t xml:space="preserve">ESB INVESTMENTS LLC </t>
  </si>
  <si>
    <t>8401 FRANKSTOWN AVE</t>
  </si>
  <si>
    <t>NEW HOMESTEAD DEVELOP</t>
  </si>
  <si>
    <t>PO BOX 533</t>
  </si>
  <si>
    <t>OLA ROCKEY D &amp; ANNABELLE C</t>
  </si>
  <si>
    <t xml:space="preserve">FIVE R'S CORPORATION </t>
  </si>
  <si>
    <t>8426 FRANKSTOWN AVE</t>
  </si>
  <si>
    <t xml:space="preserve">STUCKEY MARCUS </t>
  </si>
  <si>
    <t>MARCUS STUCKEY</t>
  </si>
  <si>
    <t>8418 FRANKSTOWN AVE</t>
  </si>
  <si>
    <t xml:space="preserve">CARTER ANNA </t>
  </si>
  <si>
    <t xml:space="preserve">MAURO INC </t>
  </si>
  <si>
    <t xml:space="preserve">REED AUGUSTA  &amp; EVA A </t>
  </si>
  <si>
    <t>BLAKE NORMA JEANF  ILLMORE</t>
  </si>
  <si>
    <t xml:space="preserve">SAVAGE FOREST </t>
  </si>
  <si>
    <t>8350 FRANKSTOWN AVE</t>
  </si>
  <si>
    <t>BORANDIES ENGINE WORKS  INC</t>
  </si>
  <si>
    <t xml:space="preserve">DABNEY LILLIAN </t>
  </si>
  <si>
    <t>12TH AVE NE</t>
  </si>
  <si>
    <t>SEATTLE</t>
  </si>
  <si>
    <t>STRINGER DEE  &amp; ENNISE (H)</t>
  </si>
  <si>
    <t>8427 BRICELYN ST</t>
  </si>
  <si>
    <t>STRINGER DEE  &amp; ENNIS</t>
  </si>
  <si>
    <t>HIDALGO-HARDEMAN OLIVIA  N</t>
  </si>
  <si>
    <t>HIDALGO-HARDEMAN OLIV</t>
  </si>
  <si>
    <t>PO BOX 2265</t>
  </si>
  <si>
    <t>JACKSON RODERICK  &amp; FRANCES (W)</t>
  </si>
  <si>
    <t xml:space="preserve">SOLARIUM CAPITAL LLC </t>
  </si>
  <si>
    <t>8367 BRICELYN ST</t>
  </si>
  <si>
    <t>PERRYVIEW AVE</t>
  </si>
  <si>
    <t xml:space="preserve">TRENT RICHARD E JR </t>
  </si>
  <si>
    <t xml:space="preserve">ARGOLICA LLC </t>
  </si>
  <si>
    <t>8363 BRICELYN ST</t>
  </si>
  <si>
    <t>ARGOLICA LLC</t>
  </si>
  <si>
    <t>EUREKA</t>
  </si>
  <si>
    <t>8357 BRICELYN ST</t>
  </si>
  <si>
    <t xml:space="preserve">SWAN  ALFRED &amp; MARGARET </t>
  </si>
  <si>
    <t>PRESSLEY ROBERT &amp; ROSE MARIE (W)</t>
  </si>
  <si>
    <t>PRESSLEY ROBERT &amp; ROS</t>
  </si>
  <si>
    <t>COLUMBO ST # M006</t>
  </si>
  <si>
    <t xml:space="preserve">IVORY KEITH </t>
  </si>
  <si>
    <t xml:space="preserve">WINSTON ELIZABETH </t>
  </si>
  <si>
    <t>8341 BRICELYN ST</t>
  </si>
  <si>
    <t>MAPLE DR</t>
  </si>
  <si>
    <t xml:space="preserve">HARRIS ADELINE G </t>
  </si>
  <si>
    <t>WATKINS ROBERT L &amp; &amp; DOROTHY (W)</t>
  </si>
  <si>
    <t xml:space="preserve">WATKINS ROBERT L &amp; &amp; </t>
  </si>
  <si>
    <t>8327 BRICELYN ST</t>
  </si>
  <si>
    <t>8326 BRICELYN ST</t>
  </si>
  <si>
    <t>PLEASANT VIEW DR</t>
  </si>
  <si>
    <t>BROWN JAMES E &amp; PARLIE (W)</t>
  </si>
  <si>
    <t xml:space="preserve">BROWN CURTIS D SR </t>
  </si>
  <si>
    <t>8352 BRICELYN ST</t>
  </si>
  <si>
    <t xml:space="preserve">BROWN JAMES  &amp; PARLIE </t>
  </si>
  <si>
    <t>8356 BRICELYN ST</t>
  </si>
  <si>
    <t xml:space="preserve">LEE JOHN C &amp; ELIZA (W)               </t>
  </si>
  <si>
    <t xml:space="preserve">MANN ELINOR J </t>
  </si>
  <si>
    <t>800 WILKINSBURG AVE</t>
  </si>
  <si>
    <t>CHERRYWOOD APTS</t>
  </si>
  <si>
    <t>CLEMENTON</t>
  </si>
  <si>
    <t xml:space="preserve">MAY ALEX F </t>
  </si>
  <si>
    <t>746 WILKINSBURG AVE</t>
  </si>
  <si>
    <t>ALEX F MAY</t>
  </si>
  <si>
    <t>PENN HILLS DR</t>
  </si>
  <si>
    <t xml:space="preserve">JOHNSON MARY J </t>
  </si>
  <si>
    <t>0 VIDETTE ST</t>
  </si>
  <si>
    <t>ADRENA JOHNSON</t>
  </si>
  <si>
    <t>NAVIGON DR</t>
  </si>
  <si>
    <t>DURHAM</t>
  </si>
  <si>
    <t xml:space="preserve">GILBERT ERIN G </t>
  </si>
  <si>
    <t>8367 VIDETTE ST</t>
  </si>
  <si>
    <t xml:space="preserve">GRIMES FANNIE B </t>
  </si>
  <si>
    <t>8363 VIDETTE ST</t>
  </si>
  <si>
    <t>CEDAR FOREST DR APT 103</t>
  </si>
  <si>
    <t xml:space="preserve">FELTON CHARLES E </t>
  </si>
  <si>
    <t>8361 VIDETTE ST</t>
  </si>
  <si>
    <t>FELTON CHARLES E</t>
  </si>
  <si>
    <t xml:space="preserve">KJJ PROPERTIES </t>
  </si>
  <si>
    <t>8362 VIDETTE ST</t>
  </si>
  <si>
    <t xml:space="preserve">GUYTON JAMES E </t>
  </si>
  <si>
    <t>8366 VIDETTE ST</t>
  </si>
  <si>
    <t>VANN DR</t>
  </si>
  <si>
    <t xml:space="preserve">HOLYFIELD MARCEL </t>
  </si>
  <si>
    <t>8374 VIDETTE ST</t>
  </si>
  <si>
    <t xml:space="preserve">ANDERSON LYNNE D                                </t>
  </si>
  <si>
    <t>8382 VIDETTE ST</t>
  </si>
  <si>
    <t xml:space="preserve">MOSELEY WINSTON STERLING </t>
  </si>
  <si>
    <t>0 WILKINSBURG AVE</t>
  </si>
  <si>
    <t>BROOKRIDGE CT</t>
  </si>
  <si>
    <t xml:space="preserve">MOSELEY STEVEN PAUL </t>
  </si>
  <si>
    <t>717 WILKINSBURG AVE</t>
  </si>
  <si>
    <t xml:space="preserve">ARTHUR JOSEPH </t>
  </si>
  <si>
    <t>721 WILKINSBURG AVE</t>
  </si>
  <si>
    <t>ARTHUR JOSEPH</t>
  </si>
  <si>
    <t>PO BOX 6887</t>
  </si>
  <si>
    <t xml:space="preserve">BROCK ENIS D </t>
  </si>
  <si>
    <t>723 WILKINSBURG AVE</t>
  </si>
  <si>
    <t>WILKINSBURG AVE</t>
  </si>
  <si>
    <t>TURNER GEORGIE E &amp; EDWARD L (H)</t>
  </si>
  <si>
    <t>732 WILKINSBURG AVE</t>
  </si>
  <si>
    <t xml:space="preserve">RICHBURG MARY ANN </t>
  </si>
  <si>
    <t xml:space="preserve">MCMEEKIN JAMES  &amp; ROSE </t>
  </si>
  <si>
    <t xml:space="preserve">MITCHELL L EDITH </t>
  </si>
  <si>
    <t>771 WILKINSBURG AVE</t>
  </si>
  <si>
    <t>777 WILKINSBURG AVE</t>
  </si>
  <si>
    <t xml:space="preserve">ENGLISH BARBARA </t>
  </si>
  <si>
    <t>2355 PARK HILL DR</t>
  </si>
  <si>
    <t>ENGLISH BARBARA</t>
  </si>
  <si>
    <t>EMERALD DR</t>
  </si>
  <si>
    <t xml:space="preserve">TOOMEY MAURICE </t>
  </si>
  <si>
    <t>110 KILMER ST</t>
  </si>
  <si>
    <t>TOOMEY MAURICE</t>
  </si>
  <si>
    <t>KILMER ST</t>
  </si>
  <si>
    <t>126 KILMER ST</t>
  </si>
  <si>
    <t xml:space="preserve">GREEN JAMES </t>
  </si>
  <si>
    <t>130 KILMER ST</t>
  </si>
  <si>
    <t>GREEN JAMES</t>
  </si>
  <si>
    <t xml:space="preserve">SHELTON CAROLYN </t>
  </si>
  <si>
    <t>138 KILMER ST</t>
  </si>
  <si>
    <t xml:space="preserve">KENNEDY JEFFREY D </t>
  </si>
  <si>
    <t>150 KILMER ST</t>
  </si>
  <si>
    <t xml:space="preserve">SCAIFE DOMINIQUE                                </t>
  </si>
  <si>
    <t>2346 PARK HILL DR</t>
  </si>
  <si>
    <t>SCAIFE DOMINIQUE</t>
  </si>
  <si>
    <t>PARK AVE STE B 1053</t>
  </si>
  <si>
    <t>2348 PARK HILL DR</t>
  </si>
  <si>
    <t>BANKERS TRUST COMPANY OF CALIFORNIA NA (TRUSTE</t>
  </si>
  <si>
    <t>2350 PARK HILL DR</t>
  </si>
  <si>
    <t>ENGLISH BARBARA J</t>
  </si>
  <si>
    <t xml:space="preserve">JOHNSON LAVON </t>
  </si>
  <si>
    <t>2359 PARK HILL DR</t>
  </si>
  <si>
    <t xml:space="preserve">WATT GARLAND L </t>
  </si>
  <si>
    <t>0 PARK HILL DR</t>
  </si>
  <si>
    <t>DENNING WAY APT 8</t>
  </si>
  <si>
    <t xml:space="preserve">STEELE EVA LEE                                  </t>
  </si>
  <si>
    <t>2401 PARK HILL DR</t>
  </si>
  <si>
    <t>MCCREE HARRY JR &amp; VERA N TAYLOR (W)</t>
  </si>
  <si>
    <t>2417 PARK HILL DR</t>
  </si>
  <si>
    <t>DARDEN HORACE  &amp; BRENDA (W)</t>
  </si>
  <si>
    <t>2433 PARK HILL DR</t>
  </si>
  <si>
    <t>DARDEN HORACE  &amp; BREN</t>
  </si>
  <si>
    <t xml:space="preserve">GORMAN DOROTHY M </t>
  </si>
  <si>
    <t>2435 PARK HILL DR</t>
  </si>
  <si>
    <t>LONG RD</t>
  </si>
  <si>
    <t xml:space="preserve">BROOKS MARJORIE RUTH </t>
  </si>
  <si>
    <t>2437 PARK HILL DR</t>
  </si>
  <si>
    <t>TREES OF AVALON PKWY</t>
  </si>
  <si>
    <t>MC DONOUGH</t>
  </si>
  <si>
    <t xml:space="preserve">RT EAST HILLS LLC </t>
  </si>
  <si>
    <t>2501 PARK HILL DR</t>
  </si>
  <si>
    <t>2507 PARK HILL DR</t>
  </si>
  <si>
    <t>RT EAST HILLS LLC</t>
  </si>
  <si>
    <t>WOOD ST FL 3RD</t>
  </si>
  <si>
    <t xml:space="preserve">DAVIS RUTH EVELYN II </t>
  </si>
  <si>
    <t>2509 PARK HILL DR</t>
  </si>
  <si>
    <t>DAVIS RUTH EVELYN II</t>
  </si>
  <si>
    <t xml:space="preserve">BRACKETT THEODORE W </t>
  </si>
  <si>
    <t>2525 PARK HILL DR</t>
  </si>
  <si>
    <t xml:space="preserve">GRANT JACQUELINE </t>
  </si>
  <si>
    <t>29TH AVE APT 201</t>
  </si>
  <si>
    <t>HYATTSVILLE</t>
  </si>
  <si>
    <t>NEAL JOHNIE F &amp; MINNIE L (W)</t>
  </si>
  <si>
    <t>2615 EAST HILLS DR</t>
  </si>
  <si>
    <t>NEAL JOHNIE F &amp; MINNI</t>
  </si>
  <si>
    <t>LIVERPOOL ST</t>
  </si>
  <si>
    <t xml:space="preserve">SMITH JOYCE ANN </t>
  </si>
  <si>
    <t>2571 PARK HILL DR</t>
  </si>
  <si>
    <t>PATRICIA RD APT 21E</t>
  </si>
  <si>
    <t xml:space="preserve">JOHNSON JEROME </t>
  </si>
  <si>
    <t>2567 PARK HILL DR</t>
  </si>
  <si>
    <t xml:space="preserve">HARRIS AMIR R                                   </t>
  </si>
  <si>
    <t>2557 PARK HILL DR</t>
  </si>
  <si>
    <t>PO BOX 213</t>
  </si>
  <si>
    <t xml:space="preserve">GRICE LOUISE R </t>
  </si>
  <si>
    <t>2553 PARK HILL DR</t>
  </si>
  <si>
    <t>GRICE LOUISE R</t>
  </si>
  <si>
    <t xml:space="preserve">WASHINGTON LARRY L </t>
  </si>
  <si>
    <t>2552 PARK HILL DR</t>
  </si>
  <si>
    <t xml:space="preserve">THRIFT CYNTHIA L </t>
  </si>
  <si>
    <t>SHADY RIDGE DR</t>
  </si>
  <si>
    <t xml:space="preserve">WHITT CLARENCE J </t>
  </si>
  <si>
    <t>2542 PARK HILL DR</t>
  </si>
  <si>
    <t xml:space="preserve">JOHNSON RUTH ANN </t>
  </si>
  <si>
    <t>2538 PARK HILL DR</t>
  </si>
  <si>
    <t>2514 PARK HILL DR</t>
  </si>
  <si>
    <t xml:space="preserve">BRANDON CYNTHIA R </t>
  </si>
  <si>
    <t>2518 PARK HILL DR</t>
  </si>
  <si>
    <t>2520 PARK HILL DR</t>
  </si>
  <si>
    <t xml:space="preserve">GRAVES ELLIS H                                  </t>
  </si>
  <si>
    <t>2534 PARK HILL DR</t>
  </si>
  <si>
    <t xml:space="preserve">YELVERTON ELBRO </t>
  </si>
  <si>
    <t>2530 PARK HILL DR</t>
  </si>
  <si>
    <t>2528 PARK HILL DR</t>
  </si>
  <si>
    <t>SMITH JOHNNIE LEE JR &amp; DARLENE (W)</t>
  </si>
  <si>
    <t>2524 PARK HILL DR</t>
  </si>
  <si>
    <t>2504 PARK HILL DR</t>
  </si>
  <si>
    <t xml:space="preserve">THOMPSON RODNEY A </t>
  </si>
  <si>
    <t>2502 PARK HILL DR</t>
  </si>
  <si>
    <t>2508 PARK HILL DR</t>
  </si>
  <si>
    <t xml:space="preserve">BEY RAHMAN D </t>
  </si>
  <si>
    <t>2442 PARK HILL DR</t>
  </si>
  <si>
    <t xml:space="preserve">AUSBROOKS DAECHAUD </t>
  </si>
  <si>
    <t>2440 PARK HILL DR</t>
  </si>
  <si>
    <t xml:space="preserve">THAXTON MARGARET </t>
  </si>
  <si>
    <t>2434 PARK HILL DR</t>
  </si>
  <si>
    <t>PARK HILL</t>
  </si>
  <si>
    <t xml:space="preserve">AUSBROOKS DWAYNE </t>
  </si>
  <si>
    <t>2430 PARK HILL DR</t>
  </si>
  <si>
    <t>P O BOX 631</t>
  </si>
  <si>
    <t xml:space="preserve">PRESCOTT TEHRAN A </t>
  </si>
  <si>
    <t>2408 PARK HILL DR</t>
  </si>
  <si>
    <t>2414 PARK HILL DR</t>
  </si>
  <si>
    <t>2416 PARK HILL DR</t>
  </si>
  <si>
    <t xml:space="preserve">AUSBROOKS DWAYNE E </t>
  </si>
  <si>
    <t>2418 PARK HILL DR</t>
  </si>
  <si>
    <t xml:space="preserve">AUSBROOKS DAECHAUD D </t>
  </si>
  <si>
    <t>2426 PARK HILL DR</t>
  </si>
  <si>
    <t>SMITH JAMES  &amp; NORA J (W)</t>
  </si>
  <si>
    <t>2424 PARK HILL DR</t>
  </si>
  <si>
    <t>SMITH JAMES  &amp; NORA J</t>
  </si>
  <si>
    <t xml:space="preserve">AUSBROOKS DWAYNE ELLIS </t>
  </si>
  <si>
    <t>2422 PARK HILL DR</t>
  </si>
  <si>
    <t>AUSBROOKS DWAYNE ELLI</t>
  </si>
  <si>
    <t>PO BOX 631</t>
  </si>
  <si>
    <t xml:space="preserve">EAST HILLS ASSN NO 1 </t>
  </si>
  <si>
    <t>0 EAST HILLS DR</t>
  </si>
  <si>
    <t>PARK HILL RD</t>
  </si>
  <si>
    <t xml:space="preserve">BUNDY JAVON </t>
  </si>
  <si>
    <t>8125 CONEMAUGH ST</t>
  </si>
  <si>
    <t xml:space="preserve">SILER EDWARD </t>
  </si>
  <si>
    <t xml:space="preserve">BUNDY MELVIN </t>
  </si>
  <si>
    <t>8129 CONEMAUGH ST</t>
  </si>
  <si>
    <t xml:space="preserve">ROBERTS WILLIAM </t>
  </si>
  <si>
    <t>8131 CONEMAUGH ST</t>
  </si>
  <si>
    <t>E OAKBOURNE AVE</t>
  </si>
  <si>
    <t>GALLOWAY</t>
  </si>
  <si>
    <t>YATES THOMAS A &amp; ELIZABETH</t>
  </si>
  <si>
    <t>8141 CONEMAUGH ST</t>
  </si>
  <si>
    <t>8143 CONEMAUGH ST</t>
  </si>
  <si>
    <t xml:space="preserve">CORNETT PETER </t>
  </si>
  <si>
    <t>8145 CONEMAUGH ST</t>
  </si>
  <si>
    <t>CORNETT PETER</t>
  </si>
  <si>
    <t xml:space="preserve">BRAGG EDITH E </t>
  </si>
  <si>
    <t>8153 CONEMAUGH ST</t>
  </si>
  <si>
    <t xml:space="preserve">JENKINS ALBERT  &amp; RUTHIE </t>
  </si>
  <si>
    <t>8118 FRANKSTOWN AVE</t>
  </si>
  <si>
    <t>JACKSON EDDIE  &amp; CHRISTINE</t>
  </si>
  <si>
    <t>8124 FRANKSTOWN AVE</t>
  </si>
  <si>
    <t xml:space="preserve">BLECKLEDGE GEORGE                               </t>
  </si>
  <si>
    <t>8128 FRANKSTOWN AVE</t>
  </si>
  <si>
    <t>8130 FRANKSTOWN AVE</t>
  </si>
  <si>
    <t xml:space="preserve">BRYANT ALVIN </t>
  </si>
  <si>
    <t>8134 FRANKSTOWN AVE</t>
  </si>
  <si>
    <t>0 DORNBUSH ST</t>
  </si>
  <si>
    <t>8305 BRICELYN ST</t>
  </si>
  <si>
    <t xml:space="preserve">ORIGINIAL STYLIN INC </t>
  </si>
  <si>
    <t>8300 BRICELYN ST</t>
  </si>
  <si>
    <t xml:space="preserve">BELYEU OLLIE ALMER                              </t>
  </si>
  <si>
    <t>713 DORNBUSH ST</t>
  </si>
  <si>
    <t>PO BOX 3216</t>
  </si>
  <si>
    <t>BELYEU OLLIE  &amp; WILLIE MAE (W)</t>
  </si>
  <si>
    <t>BELYEU OLLIE  &amp; WILLI</t>
  </si>
  <si>
    <t>P.O. BOX 3216</t>
  </si>
  <si>
    <t>HENDERSON FRANK  &amp; VODIA (W)</t>
  </si>
  <si>
    <t>MEDERA ST</t>
  </si>
  <si>
    <t xml:space="preserve">PARKVALE SAVINGS ASSN </t>
  </si>
  <si>
    <t xml:space="preserve">KLEIN BENJAMIN </t>
  </si>
  <si>
    <t xml:space="preserve">FOSTER LARRY </t>
  </si>
  <si>
    <t>HOWARD HENRIETTA JR &amp; MYRON LEE KING</t>
  </si>
  <si>
    <t>8209 BRICELYN ST</t>
  </si>
  <si>
    <t xml:space="preserve">RANKIN BLANCHE </t>
  </si>
  <si>
    <t>8211 BRICELYN ST</t>
  </si>
  <si>
    <t xml:space="preserve">ALEXANDER JOSEPH </t>
  </si>
  <si>
    <t>8208 BENNETT ST</t>
  </si>
  <si>
    <t xml:space="preserve">SMITH DONNA </t>
  </si>
  <si>
    <t>734 TOKAY ST</t>
  </si>
  <si>
    <t xml:space="preserve">DAVIS TAMAEKA                                   </t>
  </si>
  <si>
    <t>730 TOKAY ST</t>
  </si>
  <si>
    <t xml:space="preserve">HUFF SIDNEY JR </t>
  </si>
  <si>
    <t>726 TOKAY ST</t>
  </si>
  <si>
    <t>PO BOX 8710</t>
  </si>
  <si>
    <t>MCCRAY LEON W &amp; CARRIE D (W)</t>
  </si>
  <si>
    <t>0 FAHNESTOCK ST</t>
  </si>
  <si>
    <t xml:space="preserve">REED WILLIAM S &amp; ZADIE L </t>
  </si>
  <si>
    <t>REED WILLIAM S &amp; ZADI</t>
  </si>
  <si>
    <t>FAHNESTOCK AVE</t>
  </si>
  <si>
    <t xml:space="preserve">REIDM  INC </t>
  </si>
  <si>
    <t>653 TOKAY ST</t>
  </si>
  <si>
    <t xml:space="preserve">CHRISTIAN EVANGELICAL  ECONOMIC DEVELOPMENT    </t>
  </si>
  <si>
    <t>651 TOKAY ST</t>
  </si>
  <si>
    <t>PARKER RAYMOND D</t>
  </si>
  <si>
    <t>PO BOX 8631</t>
  </si>
  <si>
    <t xml:space="preserve">JONES JAMES &amp; ZORA (W) </t>
  </si>
  <si>
    <t>634 SEAGIRT ST</t>
  </si>
  <si>
    <t>SEAGIRT ST</t>
  </si>
  <si>
    <t xml:space="preserve">GIBSON LEROY </t>
  </si>
  <si>
    <t xml:space="preserve">CROWE RONALD S JR </t>
  </si>
  <si>
    <t>641 TOKAY ST</t>
  </si>
  <si>
    <t xml:space="preserve">GAINES JAISON                                   </t>
  </si>
  <si>
    <t>703 TOKAY ST</t>
  </si>
  <si>
    <t xml:space="preserve">JACKSON NICOLE </t>
  </si>
  <si>
    <t>646 SEAGIRT ST</t>
  </si>
  <si>
    <t xml:space="preserve">REIDM INC </t>
  </si>
  <si>
    <t>644 SEAGIRT ST</t>
  </si>
  <si>
    <t xml:space="preserve">LOBIANCO TONY </t>
  </si>
  <si>
    <t>0 SEAGIRT ST</t>
  </si>
  <si>
    <t>631 SEAGIRT ST</t>
  </si>
  <si>
    <t xml:space="preserve">CLARKE JAMES E </t>
  </si>
  <si>
    <t>635 SEAGIRT ST</t>
  </si>
  <si>
    <t>BAILEY BEATRICE  &amp; A TOEKNEE BAILEY</t>
  </si>
  <si>
    <t>663 SEAGIRT ST</t>
  </si>
  <si>
    <t xml:space="preserve">BAILEY BEATRICE  &amp; A </t>
  </si>
  <si>
    <t>LEVINE PROPERTIES ETAL</t>
  </si>
  <si>
    <t>667 SEAGIRT ST</t>
  </si>
  <si>
    <t>LEVINE ELLIOT &amp; VANESSA (W)</t>
  </si>
  <si>
    <t>673 SEAGIRT ST</t>
  </si>
  <si>
    <t>LEVINE ELLIOT &amp; VANES</t>
  </si>
  <si>
    <t xml:space="preserve">COLEMAN SEAYETTE </t>
  </si>
  <si>
    <t xml:space="preserve">OLIVER CORNELL </t>
  </si>
  <si>
    <t>8054 BENNETT ST</t>
  </si>
  <si>
    <t>PINEWOOD SQ</t>
  </si>
  <si>
    <t>THE ANNETTE VARIO ANGEL  REVOCABLE TRUST</t>
  </si>
  <si>
    <t>8030 BENNETT ST</t>
  </si>
  <si>
    <t>ANNETTE VARIO ANGEL R</t>
  </si>
  <si>
    <t xml:space="preserve">MAYALA BEATRICE K </t>
  </si>
  <si>
    <t>0 HAVERHILL ST</t>
  </si>
  <si>
    <t xml:space="preserve">GLS PROPERTIES LLC </t>
  </si>
  <si>
    <t>LAKE BROOK DR STE 100</t>
  </si>
  <si>
    <t>LHORMER ARCH  &amp; PHYLLIS (W)</t>
  </si>
  <si>
    <t>0 FARGO WAY</t>
  </si>
  <si>
    <t>GLOBAL ACAI SUPPLY COM  LLC</t>
  </si>
  <si>
    <t>0 FARGO ST</t>
  </si>
  <si>
    <t>W 3RD ST</t>
  </si>
  <si>
    <t>GIBSON DEWEY F JR &amp; BERTHA (W)</t>
  </si>
  <si>
    <t xml:space="preserve">ADAMS JOSEPH </t>
  </si>
  <si>
    <t>656 TOKAY ST</t>
  </si>
  <si>
    <t>COLLINS DR</t>
  </si>
  <si>
    <t xml:space="preserve">TOKAY STREET LAND TRUST </t>
  </si>
  <si>
    <t>650 TOKAY ST</t>
  </si>
  <si>
    <t>CALISTOGA ST</t>
  </si>
  <si>
    <t xml:space="preserve">WALKER THEODORA L </t>
  </si>
  <si>
    <t>0 TOKAY ST</t>
  </si>
  <si>
    <t>DORNBUSH ST</t>
  </si>
  <si>
    <t>THURMOND MICHAEL &amp; JUWANDA THURMOND (W)</t>
  </si>
  <si>
    <t>WAGNER ST</t>
  </si>
  <si>
    <t>GIBSON DEWEY K JR &amp; ELIZABETH M (W)</t>
  </si>
  <si>
    <t>8316 BRICELYN ST</t>
  </si>
  <si>
    <t>JAMES E CLARKE</t>
  </si>
  <si>
    <t>FAIRLAWN</t>
  </si>
  <si>
    <t xml:space="preserve">COLLINS MARK G </t>
  </si>
  <si>
    <t>HIGHLANDS CREEK LOOP</t>
  </si>
  <si>
    <t>LAKELAND</t>
  </si>
  <si>
    <t>MENEFEE WILLIAM  &amp; EDITH M (W)</t>
  </si>
  <si>
    <t>8305 VIDETTE ST</t>
  </si>
  <si>
    <t>8320 VIDETTE ST</t>
  </si>
  <si>
    <t xml:space="preserve">DWYER EVELYN C </t>
  </si>
  <si>
    <t>8324 VIDETTE ST</t>
  </si>
  <si>
    <t xml:space="preserve">MORRIS KAHLIL </t>
  </si>
  <si>
    <t>8340 VIDETTE ST</t>
  </si>
  <si>
    <t xml:space="preserve">YATES JOSEPH J </t>
  </si>
  <si>
    <t>8350 VIDETTE ST</t>
  </si>
  <si>
    <t>NOSAM CONTRACTING LLC    ETAL</t>
  </si>
  <si>
    <t>0 ROLFE ST</t>
  </si>
  <si>
    <t>NOSAM CONTRACTING LLC</t>
  </si>
  <si>
    <t>GEYSER RD</t>
  </si>
  <si>
    <t xml:space="preserve">DIBIASE JAMES  &amp; MARY </t>
  </si>
  <si>
    <t xml:space="preserve">DIXON VIVIAN R </t>
  </si>
  <si>
    <t>8342 ROLFE ST</t>
  </si>
  <si>
    <t>LOCH TWO LLC             ETAL</t>
  </si>
  <si>
    <t>208 ROLFE ST</t>
  </si>
  <si>
    <t>LOCH TWO LLC REAL PRO</t>
  </si>
  <si>
    <t xml:space="preserve">THOMAS WILLIAM H SR </t>
  </si>
  <si>
    <t>206 ROLFE ST</t>
  </si>
  <si>
    <t>DEBRA THOMAS</t>
  </si>
  <si>
    <t>YOST CHARLES E JR &amp; GLADYS R</t>
  </si>
  <si>
    <t xml:space="preserve">FLOYD MURIEL H </t>
  </si>
  <si>
    <t>612 DORNBUSH ST</t>
  </si>
  <si>
    <t xml:space="preserve">FELTON INEZ </t>
  </si>
  <si>
    <t>603 WILKINSBURG AVE</t>
  </si>
  <si>
    <t>FELTON INEZ</t>
  </si>
  <si>
    <t>COVINGTON JAMES  &amp; SHIRLEY L (W)</t>
  </si>
  <si>
    <t>1855 CALISTOGA ST</t>
  </si>
  <si>
    <t xml:space="preserve">MARTIN JOAN M                                   </t>
  </si>
  <si>
    <t>612 WILKINSBURG AVE</t>
  </si>
  <si>
    <t>WENDYLYNN PORTER</t>
  </si>
  <si>
    <t xml:space="preserve">MORELAND MONIQUE </t>
  </si>
  <si>
    <t>616 WILKINSBURG AVE</t>
  </si>
  <si>
    <t>CYPRESS HILL DR</t>
  </si>
  <si>
    <t xml:space="preserve">WOODS LEON                                      </t>
  </si>
  <si>
    <t>SARAH DAVIDSON</t>
  </si>
  <si>
    <t>S LAFAYETTE AVE</t>
  </si>
  <si>
    <t xml:space="preserve">HOWELL CORI </t>
  </si>
  <si>
    <t>644 WILKINSBURG AVE</t>
  </si>
  <si>
    <t>HOWELL CORI</t>
  </si>
  <si>
    <t xml:space="preserve">VIRE OTHNIEL </t>
  </si>
  <si>
    <t>646 WILKINSBURG AVE</t>
  </si>
  <si>
    <t>OBRIEN BETTY J &amp; CLIFFORD 4 (H)</t>
  </si>
  <si>
    <t xml:space="preserve">DAVIS CHARLES E </t>
  </si>
  <si>
    <t>LINCOLN RD</t>
  </si>
  <si>
    <t xml:space="preserve">JACKSON MARY A </t>
  </si>
  <si>
    <t>660 WILKINSBURG AVE</t>
  </si>
  <si>
    <t>DELAWARE AVE APT 102</t>
  </si>
  <si>
    <t xml:space="preserve">JOHNS JAMES JR </t>
  </si>
  <si>
    <t>701 WILKINSBURG AVE</t>
  </si>
  <si>
    <t xml:space="preserve">MAPLE RIDGE HOUSING  PARTNERS LP             </t>
  </si>
  <si>
    <t>2101 PARK HILL DR</t>
  </si>
  <si>
    <t>MAPLE RIDGE HOUSING P</t>
  </si>
  <si>
    <t>2ND AVE STE 300</t>
  </si>
  <si>
    <t xml:space="preserve">COLE GUSTAVUS MAX </t>
  </si>
  <si>
    <t>2309 PARK HILL DR</t>
  </si>
  <si>
    <t>EUCLID AVE</t>
  </si>
  <si>
    <t>WICKLIFFE</t>
  </si>
  <si>
    <t>2319 PARK HILL DR</t>
  </si>
  <si>
    <t>EAST HILLS III LIMITED  PARTNERSHIP</t>
  </si>
  <si>
    <t>2235 EAST HILLS DR</t>
  </si>
  <si>
    <t xml:space="preserve">DUPARS MARILYN G </t>
  </si>
  <si>
    <t>2335 PARK HILL DR</t>
  </si>
  <si>
    <t>PARK HL DR</t>
  </si>
  <si>
    <t xml:space="preserve">HILL EMMA D </t>
  </si>
  <si>
    <t>2323 PARK HILL DR</t>
  </si>
  <si>
    <t>2307 PARK HILL DR</t>
  </si>
  <si>
    <t xml:space="preserve">MCKENZIE LUNELLE H </t>
  </si>
  <si>
    <t>2300 PARK HILL DR</t>
  </si>
  <si>
    <t>2302 PARK HILL DR</t>
  </si>
  <si>
    <t>2308 PARK HILL DR</t>
  </si>
  <si>
    <t>ALTON CT</t>
  </si>
  <si>
    <t>MOORESVILLE</t>
  </si>
  <si>
    <t>2310 PARK HILL DR</t>
  </si>
  <si>
    <t xml:space="preserve">ROBINSON ELEANOR JEAN </t>
  </si>
  <si>
    <t>106 WHITE PINE PL</t>
  </si>
  <si>
    <t xml:space="preserve">FOX LEONA C </t>
  </si>
  <si>
    <t>104 WHITE PINE PL</t>
  </si>
  <si>
    <t>WHITE PINE PL</t>
  </si>
  <si>
    <t xml:space="preserve">LOCKRIDGE DIANA R </t>
  </si>
  <si>
    <t>102 WHITE PINE PL</t>
  </si>
  <si>
    <t>LOCKRIDGE DIANA R</t>
  </si>
  <si>
    <t xml:space="preserve">MAJOR EVELYN C </t>
  </si>
  <si>
    <t>100 WHITE PINE PL</t>
  </si>
  <si>
    <t>2224 PARK HILL DR</t>
  </si>
  <si>
    <t xml:space="preserve">QUASHIE OROLEE </t>
  </si>
  <si>
    <t>2218 PARK HILL DR</t>
  </si>
  <si>
    <t xml:space="preserve">SLAUGHTER CINDRA L </t>
  </si>
  <si>
    <t>2208 PARK HILL DR</t>
  </si>
  <si>
    <t xml:space="preserve">WALL JOSEPH O &amp; ETHEL B </t>
  </si>
  <si>
    <t xml:space="preserve">JACKSON WALTER B </t>
  </si>
  <si>
    <t xml:space="preserve">BOYD ABDUL S </t>
  </si>
  <si>
    <t>620 KARL ST</t>
  </si>
  <si>
    <t xml:space="preserve">GARDNER LUELLA B </t>
  </si>
  <si>
    <t>0 KARL ST</t>
  </si>
  <si>
    <t>PRICE WILLIAM J &amp; JEANNETTE (W)</t>
  </si>
  <si>
    <t>628 KARL ST</t>
  </si>
  <si>
    <t xml:space="preserve">STOCK JACK P &amp; VIOLET M </t>
  </si>
  <si>
    <t>ROBERTS RD</t>
  </si>
  <si>
    <t xml:space="preserve">MCKELVEY ARIEL M </t>
  </si>
  <si>
    <t xml:space="preserve">WADSWORTH WILLIAM H                             </t>
  </si>
  <si>
    <t xml:space="preserve">GREEN WILLIAM EDGAR SR </t>
  </si>
  <si>
    <t>626 SICKLES ST</t>
  </si>
  <si>
    <t>GREEN WILLIAM EDGAR S</t>
  </si>
  <si>
    <t>HOLYFIELD WALTER L SR &amp; CYNTHIA A MAJICA</t>
  </si>
  <si>
    <t>630 SICKLES ST</t>
  </si>
  <si>
    <t xml:space="preserve">HOLYFIELD CYNTHIA                               </t>
  </si>
  <si>
    <t xml:space="preserve">JOHNSON WILLIAM D                               </t>
  </si>
  <si>
    <t>562 SICKLES ST</t>
  </si>
  <si>
    <t xml:space="preserve">LATIMER KELLY L                                 </t>
  </si>
  <si>
    <t>564 SICKLES ST</t>
  </si>
  <si>
    <t xml:space="preserve">LHORMER ARCH </t>
  </si>
  <si>
    <t xml:space="preserve">THURMAN ROBERTA R </t>
  </si>
  <si>
    <t>PO BOX 90248</t>
  </si>
  <si>
    <t>COFFEE FRANCES S &amp; LEOLA A COFFEE</t>
  </si>
  <si>
    <t>RIVERSIDE DR APT 2-D</t>
  </si>
  <si>
    <t xml:space="preserve">WESLEY ALFRED B </t>
  </si>
  <si>
    <t>FARGO WAY</t>
  </si>
  <si>
    <t xml:space="preserve">BADRU BAYO                                      </t>
  </si>
  <si>
    <t>FARGO ST</t>
  </si>
  <si>
    <t xml:space="preserve">SMITH CHARLES L &amp; MABEL </t>
  </si>
  <si>
    <t xml:space="preserve">FALVO ANGELO  &amp; PHYLIS </t>
  </si>
  <si>
    <t xml:space="preserve">MOON JOHN                                       </t>
  </si>
  <si>
    <t>623 HAVERHILL ST</t>
  </si>
  <si>
    <t>JOHN MOON &amp; JANET MOO</t>
  </si>
  <si>
    <t>SADDLERIDGE RD</t>
  </si>
  <si>
    <t xml:space="preserve">EASLEY CASSANDRA J </t>
  </si>
  <si>
    <t>540 HAVERHILL ST</t>
  </si>
  <si>
    <t>EASLEY CASSANDRA J</t>
  </si>
  <si>
    <t>RUSHMORE DR</t>
  </si>
  <si>
    <t xml:space="preserve">PERKINS LYNN MARIE </t>
  </si>
  <si>
    <t>546 HAVERHILL ST</t>
  </si>
  <si>
    <t xml:space="preserve">RITTS MARGARET B </t>
  </si>
  <si>
    <t xml:space="preserve">ROBINSON-LUBAY INC </t>
  </si>
  <si>
    <t>ELLSWORTH AVE STE 303</t>
  </si>
  <si>
    <t xml:space="preserve">BROOKS JACQUELINE S </t>
  </si>
  <si>
    <t>630 HAVERHILL ST</t>
  </si>
  <si>
    <t xml:space="preserve">BROOKS JACQUELIN S </t>
  </si>
  <si>
    <t xml:space="preserve">HUCKS JEANNINE S </t>
  </si>
  <si>
    <t>8214 NIMICK PL</t>
  </si>
  <si>
    <t>NIMICK PL</t>
  </si>
  <si>
    <t>HANNER JOHN H &amp; MELVINA I (W)</t>
  </si>
  <si>
    <t>0 WARSAW ST</t>
  </si>
  <si>
    <t>BRACEY DR</t>
  </si>
  <si>
    <t xml:space="preserve">FNB CORPORATION </t>
  </si>
  <si>
    <t>FNB BLVD</t>
  </si>
  <si>
    <t>627 SEAGIRT ST</t>
  </si>
  <si>
    <t xml:space="preserve">GRIMSLEY SHARRON L </t>
  </si>
  <si>
    <t>625 SEAGIRT ST</t>
  </si>
  <si>
    <t>GRIMSLEY SHARRON L</t>
  </si>
  <si>
    <t xml:space="preserve">HILL GERTRUDE </t>
  </si>
  <si>
    <t xml:space="preserve">DAVIS PROPERTY GROUP </t>
  </si>
  <si>
    <t>617 SEAGIRT ST</t>
  </si>
  <si>
    <t>DAVIS PROPERTY GROUP</t>
  </si>
  <si>
    <t>MERCER ST APT 502</t>
  </si>
  <si>
    <t>SPEIGHT NATHANIEL  &amp; LOUISE</t>
  </si>
  <si>
    <t xml:space="preserve">WALKER JOANNE </t>
  </si>
  <si>
    <t>611 SEAGIRT ST</t>
  </si>
  <si>
    <t>S VARR AVE</t>
  </si>
  <si>
    <t xml:space="preserve">LEDBETTER MATTHEW </t>
  </si>
  <si>
    <t xml:space="preserve">NEIGHBORHOOD REAL  ESTATE SERVICES LLC     </t>
  </si>
  <si>
    <t>603 SEAGIRT ST</t>
  </si>
  <si>
    <t>NEIGHBORHOOD REAL EST</t>
  </si>
  <si>
    <t>CLAUSELL AARON M JR &amp; EMOGEANE T (W)</t>
  </si>
  <si>
    <t>601 SEAGIRT ST</t>
  </si>
  <si>
    <t>PENN HILLS</t>
  </si>
  <si>
    <t>585 SEAGIRT ST</t>
  </si>
  <si>
    <t xml:space="preserve">COOPER ERIC </t>
  </si>
  <si>
    <t xml:space="preserve">ABER COMPANIES LLC (THE) </t>
  </si>
  <si>
    <t>519 SEAGIRT ST</t>
  </si>
  <si>
    <t xml:space="preserve">FALLS ANTONIO </t>
  </si>
  <si>
    <t>513 SEAGIRT ST</t>
  </si>
  <si>
    <t>DOLLMAN ST</t>
  </si>
  <si>
    <t>REESE EDWARD C &amp; CRYSTAL K (W)</t>
  </si>
  <si>
    <t>S 4TH ST</t>
  </si>
  <si>
    <t>JOHNSON EARL L &amp; MARY ANN BARNUM (W)</t>
  </si>
  <si>
    <t>552 SEAGIRT ST</t>
  </si>
  <si>
    <t xml:space="preserve">POINDEXTER ROBERT </t>
  </si>
  <si>
    <t>558 SEAGIRT ST</t>
  </si>
  <si>
    <t>POINDEXTER ROBERT</t>
  </si>
  <si>
    <t xml:space="preserve">R PLUS R REMODELING LLC </t>
  </si>
  <si>
    <t>562 SEAGIRT ST</t>
  </si>
  <si>
    <t>R PLUS R REMODELING L</t>
  </si>
  <si>
    <t xml:space="preserve">DEWBERRY MAURICE </t>
  </si>
  <si>
    <t>586 SEAGIRT ST</t>
  </si>
  <si>
    <t>GORMAN LAURA W &amp; BRANDON GORMAN</t>
  </si>
  <si>
    <t xml:space="preserve">MOORE PAUL  &amp; CYLESTINE </t>
  </si>
  <si>
    <t>600 SEAGIRT ST</t>
  </si>
  <si>
    <t>OLD CANAL FINANCIAL  CORPORATION</t>
  </si>
  <si>
    <t>E KAISER BLVD</t>
  </si>
  <si>
    <t xml:space="preserve">WATERS SARAH JORDAN </t>
  </si>
  <si>
    <t xml:space="preserve">RUCKER RICO </t>
  </si>
  <si>
    <t>618 SEAGIRT ST</t>
  </si>
  <si>
    <t>NORVELL DR</t>
  </si>
  <si>
    <t>BARBER LOUIS E &amp; EVA MAE (W)</t>
  </si>
  <si>
    <t>620 SEAGIRT ST</t>
  </si>
  <si>
    <t xml:space="preserve">KENNEDY HARRY </t>
  </si>
  <si>
    <t>QUIMBY ST</t>
  </si>
  <si>
    <t>SHARON</t>
  </si>
  <si>
    <t xml:space="preserve">OWENS EUNICE </t>
  </si>
  <si>
    <t>1729 MAPLEWOOD AVE</t>
  </si>
  <si>
    <t xml:space="preserve">MEDLEY JOSEPH </t>
  </si>
  <si>
    <t>0 MAPLEWOOD AVE</t>
  </si>
  <si>
    <t>TALBOT AVE</t>
  </si>
  <si>
    <t xml:space="preserve">SLEAN THOMAS J </t>
  </si>
  <si>
    <t xml:space="preserve">HUGHES GEORGE A JR </t>
  </si>
  <si>
    <t>191 NIMICK PL</t>
  </si>
  <si>
    <t xml:space="preserve">COOPER WILLIAM L </t>
  </si>
  <si>
    <t>193 NIMICK PL</t>
  </si>
  <si>
    <t>CHASKE ST</t>
  </si>
  <si>
    <t xml:space="preserve">HAYMAN CHRISTINA M </t>
  </si>
  <si>
    <t>194 NIMICK PL</t>
  </si>
  <si>
    <t>STROTHERS BENJAMIN  &amp; DOROTHY L (W)</t>
  </si>
  <si>
    <t xml:space="preserve">GANDY FLORENCE MARIE </t>
  </si>
  <si>
    <t>604 FAHNESTOCK ST</t>
  </si>
  <si>
    <t xml:space="preserve">YOUNG TERENCE </t>
  </si>
  <si>
    <t>1831 FAHNESTOCK ST</t>
  </si>
  <si>
    <t xml:space="preserve">BUSH LINDA </t>
  </si>
  <si>
    <t>1833 FAHNESTOCK ST</t>
  </si>
  <si>
    <t>LIME OAK DR</t>
  </si>
  <si>
    <t>MATHIS ELMER F &amp; MARGARET</t>
  </si>
  <si>
    <t xml:space="preserve">LUMMUS MILDRED L </t>
  </si>
  <si>
    <t xml:space="preserve">TAYLOR ROBERT KENNETH </t>
  </si>
  <si>
    <t>GRACIE LN</t>
  </si>
  <si>
    <t xml:space="preserve">SLOAN MALCOLM  &amp; LILLIAN </t>
  </si>
  <si>
    <t>1825 MAPLEWOOD AVE</t>
  </si>
  <si>
    <t>CRAIGHEAD ERNEST P &amp; BETTY L (W)</t>
  </si>
  <si>
    <t>1813 MAPLEWOOD AVE</t>
  </si>
  <si>
    <t xml:space="preserve">BROWN LUCILLE V </t>
  </si>
  <si>
    <t xml:space="preserve">BROWN LUCILLE </t>
  </si>
  <si>
    <t>CLOONAN JOHN L &amp; MARGARET</t>
  </si>
  <si>
    <t xml:space="preserve">MIMS ELEANOR </t>
  </si>
  <si>
    <t>THON RD</t>
  </si>
  <si>
    <t>SHIELDS TIMOTHY F &amp; AMANDA R (W)</t>
  </si>
  <si>
    <t>SHIELDS TIMOTHY F &amp; A</t>
  </si>
  <si>
    <t>STALLINGS RD</t>
  </si>
  <si>
    <t>CHAPEL HILL</t>
  </si>
  <si>
    <t>1732 MAPLEWOOD AVE</t>
  </si>
  <si>
    <t xml:space="preserve">JACKSON MICHELE R                               </t>
  </si>
  <si>
    <t>1734 MAPLEWOOD AVE</t>
  </si>
  <si>
    <t>LAKE RAVINES DR</t>
  </si>
  <si>
    <t>SOUTHFIELD</t>
  </si>
  <si>
    <t>AARONS ROBERT T &amp; MONRETTA</t>
  </si>
  <si>
    <t>1738 MAPLEWOOD AVENUE  LAND TRUST</t>
  </si>
  <si>
    <t>1738 MAPLEWOOD AVE</t>
  </si>
  <si>
    <t xml:space="preserve">STOTTS PAULINE </t>
  </si>
  <si>
    <t>1802 MAPLEWOOD AVE</t>
  </si>
  <si>
    <t xml:space="preserve">CHEKANOWSKY JOE                                 </t>
  </si>
  <si>
    <t>0 CALISTOGA ST</t>
  </si>
  <si>
    <t>CHEKANOWSKY JOE</t>
  </si>
  <si>
    <t>N MAIN ST APT 40</t>
  </si>
  <si>
    <t xml:space="preserve">TIBBS ADRIAN E </t>
  </si>
  <si>
    <t>1806 MAPLEWOOD AVE</t>
  </si>
  <si>
    <t>1812 MAPLEWOOD AVE</t>
  </si>
  <si>
    <t>HICKS LEROY  &amp; SHIRLEY (W)</t>
  </si>
  <si>
    <t>HICKS LEROY  &amp; SHIRLE</t>
  </si>
  <si>
    <t>IRVIN CURTIS &amp; PATRICIA (W)</t>
  </si>
  <si>
    <t>1753 CRESTLINE ST</t>
  </si>
  <si>
    <t>CRESTLINE ST</t>
  </si>
  <si>
    <t xml:space="preserve">GONZALEZ BETTY </t>
  </si>
  <si>
    <t>0 CRESTLINE ST</t>
  </si>
  <si>
    <t>HILL RD</t>
  </si>
  <si>
    <t>READING</t>
  </si>
  <si>
    <t>1751 CRESTLINE ST</t>
  </si>
  <si>
    <t xml:space="preserve">COOK CHARLES &amp; PASHA (W) </t>
  </si>
  <si>
    <t>1733 CRESTLINE ST</t>
  </si>
  <si>
    <t>BANKERS TRUST COMPANY  OF CALIFORNIA NA (TRUSTE</t>
  </si>
  <si>
    <t>1731 CRESTLINE ST</t>
  </si>
  <si>
    <t>JAMES ADAMS</t>
  </si>
  <si>
    <t>CRESTLINE</t>
  </si>
  <si>
    <t xml:space="preserve">ATL HOLDINGS LLC </t>
  </si>
  <si>
    <t>1721 CRESTLINE ST</t>
  </si>
  <si>
    <t>PORTLAND PIER STE 400</t>
  </si>
  <si>
    <t xml:space="preserve">BARAKAH LLC </t>
  </si>
  <si>
    <t>BARAKAH LLC</t>
  </si>
  <si>
    <t xml:space="preserve">SAUNDERS DAWN M </t>
  </si>
  <si>
    <t>126 CRESTLINE PL</t>
  </si>
  <si>
    <t>SUZANNE DR</t>
  </si>
  <si>
    <t xml:space="preserve">GHARFOOR JEROME </t>
  </si>
  <si>
    <t>132 CRESTLINE PL</t>
  </si>
  <si>
    <t>GHARFOOR JEROME</t>
  </si>
  <si>
    <t>CRESTLINE PL</t>
  </si>
  <si>
    <t xml:space="preserve">BAKER EVAN P JR &amp; MARY E </t>
  </si>
  <si>
    <t>2105 CRESTLINE DR</t>
  </si>
  <si>
    <t xml:space="preserve">GRAY JAMES </t>
  </si>
  <si>
    <t>115 CRESTLINE PL</t>
  </si>
  <si>
    <t>JENNINGS SAMUEL W &amp; DOLORES E</t>
  </si>
  <si>
    <t>1807 CRESTLINE ST</t>
  </si>
  <si>
    <t xml:space="preserve">BENNETT ELISE  &amp; (SURV) </t>
  </si>
  <si>
    <t>1822 CALISTOGA ST</t>
  </si>
  <si>
    <t xml:space="preserve">HARPER DENISE M </t>
  </si>
  <si>
    <t>1830 CALISTOGA ST</t>
  </si>
  <si>
    <t xml:space="preserve">HARPER GREGORY </t>
  </si>
  <si>
    <t>HARPER FRED D SR GREGORY HARPER</t>
  </si>
  <si>
    <t>1844 CALISTOGA ST</t>
  </si>
  <si>
    <t>GASKINS FLOYD E SR &amp; &amp; JUANITA H (W)</t>
  </si>
  <si>
    <t>1848 CALISTOGA ST</t>
  </si>
  <si>
    <t xml:space="preserve">STEWART CHESTER E </t>
  </si>
  <si>
    <t>1858 CALISTOGA ST</t>
  </si>
  <si>
    <t xml:space="preserve">BROWN FRANCES R                                 </t>
  </si>
  <si>
    <t>619 DORNBUSH ST</t>
  </si>
  <si>
    <t xml:space="preserve">BOWYER HARVEY I &amp; LULA M (W)              </t>
  </si>
  <si>
    <t xml:space="preserve">WITHERSPOON JOHN T </t>
  </si>
  <si>
    <t>0 CALISTOGA PL</t>
  </si>
  <si>
    <t>1839 CALISTOGA ST LAND TRUST</t>
  </si>
  <si>
    <t>1839 CALISTOGA ST</t>
  </si>
  <si>
    <t xml:space="preserve">JORDAN MAYOLLA </t>
  </si>
  <si>
    <t>WILSON ELDRIGE J &amp; ROBERTA WILSON</t>
  </si>
  <si>
    <t xml:space="preserve">PLUMMER DALE A </t>
  </si>
  <si>
    <t>SACRAMENTO ST</t>
  </si>
  <si>
    <t>VALLEJO</t>
  </si>
  <si>
    <t xml:space="preserve">MORENO ENTERPRISES LLC </t>
  </si>
  <si>
    <t>MORENO ENTERPRISES LL</t>
  </si>
  <si>
    <t>MINNESOTA ST</t>
  </si>
  <si>
    <t xml:space="preserve">BLAIR RORI ARMON </t>
  </si>
  <si>
    <t>628 TOKAY ST</t>
  </si>
  <si>
    <t>HILLSIDE AVE APT 4</t>
  </si>
  <si>
    <t>PITCAIRN</t>
  </si>
  <si>
    <t>NATIONAL CITY HOME LOAN  SERVICE</t>
  </si>
  <si>
    <t>0 SUNRISE AVE</t>
  </si>
  <si>
    <t>NATIONAL CITY HOME LO</t>
  </si>
  <si>
    <t>PO BOX 1838</t>
  </si>
  <si>
    <t>TAYLOR EUGENE  &amp; GLORIA J (W)</t>
  </si>
  <si>
    <t>2051 FRANKELLA AVE</t>
  </si>
  <si>
    <t>TAYLOR EUGENE  &amp; GLOR</t>
  </si>
  <si>
    <t>COOPER CHARLES H &amp; IRVA L</t>
  </si>
  <si>
    <t>2047 FRANKELLA AVE</t>
  </si>
  <si>
    <t>COOPER CHARLES H &amp; IR</t>
  </si>
  <si>
    <t>THORNCREST DR</t>
  </si>
  <si>
    <t xml:space="preserve">WILLIAMS PAMELA D </t>
  </si>
  <si>
    <t>2043 FRANKELLA AVE</t>
  </si>
  <si>
    <t>FRANKELLA AVE</t>
  </si>
  <si>
    <t xml:space="preserve">WILSON CARRIE R </t>
  </si>
  <si>
    <t>2037 FRANKELLA AVE</t>
  </si>
  <si>
    <t xml:space="preserve">VAUGHN DEANNA J </t>
  </si>
  <si>
    <t>2025 FRANKELLA AVE</t>
  </si>
  <si>
    <t>COLERIDGE PL</t>
  </si>
  <si>
    <t xml:space="preserve">HAND CURTIS C JR                                </t>
  </si>
  <si>
    <t>2022 FAIRLAWN ST</t>
  </si>
  <si>
    <t>FAIRLAWN ST</t>
  </si>
  <si>
    <t xml:space="preserve">HAILE THOMAS C </t>
  </si>
  <si>
    <t>2030 FAIRLAWN ST</t>
  </si>
  <si>
    <t>HAILE THOMAS C</t>
  </si>
  <si>
    <t>PARK ST</t>
  </si>
  <si>
    <t xml:space="preserve">PIPKIN ANTHONY WAYNE </t>
  </si>
  <si>
    <t>2029 FAIRLAWN ST</t>
  </si>
  <si>
    <t>GERMANY ROBERT LEE &amp; LORRAINE (W)</t>
  </si>
  <si>
    <t>2025 FAIRLAWN ST</t>
  </si>
  <si>
    <t xml:space="preserve">COOK LORRAINE B </t>
  </si>
  <si>
    <t>2021 FAIRLAWN ST</t>
  </si>
  <si>
    <t>DOW MARGIE               ETAL</t>
  </si>
  <si>
    <t>2017 FAIRLAWN ST</t>
  </si>
  <si>
    <t xml:space="preserve">VENEY BRANDEN C </t>
  </si>
  <si>
    <t>2036 SONNY ST</t>
  </si>
  <si>
    <t>SONNY ST</t>
  </si>
  <si>
    <t>ALEXANDER JUANITA        ETAL</t>
  </si>
  <si>
    <t>2050 SONNY ST</t>
  </si>
  <si>
    <t>NAPPER JOSEPH A &amp; GLENDA J (W)</t>
  </si>
  <si>
    <t>0 SONNY ST</t>
  </si>
  <si>
    <t>NAPPER JOSEPH A &amp; GLE</t>
  </si>
  <si>
    <t>PO BOX 91271</t>
  </si>
  <si>
    <t xml:space="preserve">EMINENT PROPERTIES LLC </t>
  </si>
  <si>
    <t>2068 CALISTOGA PL</t>
  </si>
  <si>
    <t>EMINENT PROPERTIES</t>
  </si>
  <si>
    <t>PO BOX 17065</t>
  </si>
  <si>
    <t>CAMPBELL LESTER T &amp; ROBIN (W)</t>
  </si>
  <si>
    <t>2085 CALISTOGA PL</t>
  </si>
  <si>
    <t>0 SWISSVALE AVE</t>
  </si>
  <si>
    <t xml:space="preserve">OKELLY VALETTA                                  </t>
  </si>
  <si>
    <t>2050 SWISSVALE AVE</t>
  </si>
  <si>
    <t xml:space="preserve">PIPKIN EMMA L </t>
  </si>
  <si>
    <t>PO BOX 8643</t>
  </si>
  <si>
    <t xml:space="preserve">JOHNSON PATRICE </t>
  </si>
  <si>
    <t>149 CRESTLINE PL</t>
  </si>
  <si>
    <t xml:space="preserve">MILLER HENRY SR </t>
  </si>
  <si>
    <t>2008 FAIRLAWN ST</t>
  </si>
  <si>
    <t xml:space="preserve">SMITH WILLIAM DAVID </t>
  </si>
  <si>
    <t>2036 FRANKELLA AVE</t>
  </si>
  <si>
    <t>COOPER KEVIN E &amp; ADRIENNE W (W)</t>
  </si>
  <si>
    <t>2032 FRANKELLA AVE</t>
  </si>
  <si>
    <t xml:space="preserve">CC PING LLC </t>
  </si>
  <si>
    <t>2020 FRANKELLA AVE</t>
  </si>
  <si>
    <t>CANDIS JOHNSON</t>
  </si>
  <si>
    <t>PO BOX 83223</t>
  </si>
  <si>
    <t>CONYERS</t>
  </si>
  <si>
    <t>US BANK TRUST NATIONAL  ASSOCIATION</t>
  </si>
  <si>
    <t>1959 ROBINSON BLVD</t>
  </si>
  <si>
    <t>US BANK TRUST NATIONA</t>
  </si>
  <si>
    <t>OLYMPUS BLVD STE 500</t>
  </si>
  <si>
    <t>ANDREWS NORMAN JR &amp; EVELYN M (W)</t>
  </si>
  <si>
    <t>1967 ROBINSON BLVD</t>
  </si>
  <si>
    <t>ROBINSON BLVD</t>
  </si>
  <si>
    <t>1618 SUNRISE AVE</t>
  </si>
  <si>
    <t>AHMED SANDIDGE &amp; AHMA</t>
  </si>
  <si>
    <t>STOWERS JAMES W &amp; BEVERLY ANN</t>
  </si>
  <si>
    <t>2015 ROBINSON BLVD</t>
  </si>
  <si>
    <t>JONES HERMAN P &amp; SHARON C (W)</t>
  </si>
  <si>
    <t xml:space="preserve">BARNES ALFONSO </t>
  </si>
  <si>
    <t>GOULD CORNELIUS  &amp; ELLA MAY</t>
  </si>
  <si>
    <t xml:space="preserve">GOULD ELLA MAY </t>
  </si>
  <si>
    <t xml:space="preserve">CRUMPTON VALORIE E </t>
  </si>
  <si>
    <t>JORDEN KENNETH R &amp; LOUISE (W)</t>
  </si>
  <si>
    <t>511 SICKLES ST</t>
  </si>
  <si>
    <t xml:space="preserve">TAYLOR SHAWN T </t>
  </si>
  <si>
    <t>511 HAVERHILL ST</t>
  </si>
  <si>
    <t xml:space="preserve">PRESSLEY KENNETH G </t>
  </si>
  <si>
    <t>508 HAVERHILL ST</t>
  </si>
  <si>
    <t xml:space="preserve">LIPSCOMB KEVON D </t>
  </si>
  <si>
    <t>502 HAVERHILL ST</t>
  </si>
  <si>
    <t xml:space="preserve">WILSON ALBERT S </t>
  </si>
  <si>
    <t>OXFORD CT</t>
  </si>
  <si>
    <t xml:space="preserve">CHANDLER GREJAUN </t>
  </si>
  <si>
    <t>510 WARSAW ST</t>
  </si>
  <si>
    <t>RIETZEL MILDRED A &amp; DONALD E (H)</t>
  </si>
  <si>
    <t>RIETZEL MILDRED A &amp; D</t>
  </si>
  <si>
    <t>CAMELOT CIR</t>
  </si>
  <si>
    <t>MALABAR</t>
  </si>
  <si>
    <t xml:space="preserve">PARTOZOTI CHERYL LEE </t>
  </si>
  <si>
    <t xml:space="preserve">BYERS STEPHANIE </t>
  </si>
  <si>
    <t>PO BOX 91382</t>
  </si>
  <si>
    <t>YOUNGER CURTIS LEE YOUNGER GLENDA E</t>
  </si>
  <si>
    <t>8401 MOOSEHART ST</t>
  </si>
  <si>
    <t>MOOSEHEART ST</t>
  </si>
  <si>
    <t>WALLIS AVE</t>
  </si>
  <si>
    <t>FARRELL</t>
  </si>
  <si>
    <t xml:space="preserve">VORDY WILLIAM  &amp; ANNIE L </t>
  </si>
  <si>
    <t>GRAPE ST</t>
  </si>
  <si>
    <t>RYAN JAMES W &amp; SUZANNE A (W)</t>
  </si>
  <si>
    <t>RYAN JAMES W &amp; SUZANN</t>
  </si>
  <si>
    <t>WILSON HOWARD M &amp; EUNICE B</t>
  </si>
  <si>
    <t>WILSON HOWARD M &amp; EUN</t>
  </si>
  <si>
    <t xml:space="preserve">ISREAL SANDRA </t>
  </si>
  <si>
    <t>1719 MAPLEWOOD AVE</t>
  </si>
  <si>
    <t>ISREAL SANDRA</t>
  </si>
  <si>
    <t>1718 MAPLEWOOD AVE</t>
  </si>
  <si>
    <t>ZOE CHRISTIAN COMMNITY  CENTER</t>
  </si>
  <si>
    <t>STATON JAMES JR &amp; LAWANDA D (W)</t>
  </si>
  <si>
    <t xml:space="preserve">BRANCH WILLIE T </t>
  </si>
  <si>
    <t xml:space="preserve">WILLIAMSON VERNON </t>
  </si>
  <si>
    <t>1724 MAPLEWOOD AVE</t>
  </si>
  <si>
    <t>WILLIAMSON VERNON</t>
  </si>
  <si>
    <t xml:space="preserve">HUC ONE LLC </t>
  </si>
  <si>
    <t>1719 CRESTLINE ST</t>
  </si>
  <si>
    <t>W GARDEN RD</t>
  </si>
  <si>
    <t xml:space="preserve">SHEPARD DOROTHY M </t>
  </si>
  <si>
    <t>1717 CRESTLINE ST</t>
  </si>
  <si>
    <t xml:space="preserve">BRANCH MATILDA </t>
  </si>
  <si>
    <t>1711 CRESTLINE ST</t>
  </si>
  <si>
    <t xml:space="preserve">GLASS RAYMONT A </t>
  </si>
  <si>
    <t>0 CRESTLINE CT</t>
  </si>
  <si>
    <t>RAYMONT A GLASS</t>
  </si>
  <si>
    <t>50 CRESTLINE CT</t>
  </si>
  <si>
    <t>MATTHEWS TODD C &amp; CYDNEY (W)</t>
  </si>
  <si>
    <t>1714 CRESTLINE ST</t>
  </si>
  <si>
    <t>COO ENTERPRISES LLC</t>
  </si>
  <si>
    <t>N SHORE DR BLDG 1B</t>
  </si>
  <si>
    <t>WATKINS MELVIN E &amp; DIONNEA L (W)</t>
  </si>
  <si>
    <t>2014 SONNY ST</t>
  </si>
  <si>
    <t>WATKINS MELVIN E &amp; DI</t>
  </si>
  <si>
    <t xml:space="preserve">HERRON ALVERNIA E </t>
  </si>
  <si>
    <t>2004 SONNY ST</t>
  </si>
  <si>
    <t xml:space="preserve">ALEXANDER PATRICE N GRAY </t>
  </si>
  <si>
    <t>2000 SONNY ST</t>
  </si>
  <si>
    <t xml:space="preserve">LEWIS WADE S II </t>
  </si>
  <si>
    <t>PO BOX 5131</t>
  </si>
  <si>
    <t xml:space="preserve">JONES JOSE C </t>
  </si>
  <si>
    <t>2014 CALISTOGA PL</t>
  </si>
  <si>
    <t>JONES JOSE C</t>
  </si>
  <si>
    <t>2003 CALISTOGA PL</t>
  </si>
  <si>
    <t>MILLIGAN WAY APT B204</t>
  </si>
  <si>
    <t xml:space="preserve">DOSWELL THOMAS ALBERT </t>
  </si>
  <si>
    <t>2001 SWISSVALE AVE</t>
  </si>
  <si>
    <t xml:space="preserve">LAMB ROBERT S </t>
  </si>
  <si>
    <t>2007 SWISSVALE AVE</t>
  </si>
  <si>
    <t xml:space="preserve">APPLEBY PROPERTIES LLC </t>
  </si>
  <si>
    <t>1939 ROBINSON BLVD</t>
  </si>
  <si>
    <t>FRANKLIN EDWARD  &amp; PRISCILLA E</t>
  </si>
  <si>
    <t>1927 ROBINSON BLVD</t>
  </si>
  <si>
    <t xml:space="preserve">JONES JEAN C </t>
  </si>
  <si>
    <t>1918 REMINGTON DR</t>
  </si>
  <si>
    <t>LABELLE ST</t>
  </si>
  <si>
    <t>1922 REMINGTON DR</t>
  </si>
  <si>
    <t>N SHORE DR STE 200</t>
  </si>
  <si>
    <t xml:space="preserve">COLES STEPHANIE B </t>
  </si>
  <si>
    <t>1942 REMINGTON DR</t>
  </si>
  <si>
    <t xml:space="preserve">SMITH JUDY ANN </t>
  </si>
  <si>
    <t>1939 REMINGTON DR</t>
  </si>
  <si>
    <t xml:space="preserve">JACKSON LEROY  &amp; DOROTHY </t>
  </si>
  <si>
    <t>1935 REMINGTON DR</t>
  </si>
  <si>
    <t xml:space="preserve">COLES LOUIS C </t>
  </si>
  <si>
    <t>1927 REMINGTON DR</t>
  </si>
  <si>
    <t>STRATFORD CT</t>
  </si>
  <si>
    <t>LEWIS ROTLEY R &amp; EVELYN PLUMMER</t>
  </si>
  <si>
    <t>1923 REMINGTON DR</t>
  </si>
  <si>
    <t>LEWIS ROTLEY R &amp; EVEL</t>
  </si>
  <si>
    <t>OAKVIEW DR APT 205</t>
  </si>
  <si>
    <t xml:space="preserve">BROCK LYTIA </t>
  </si>
  <si>
    <t>1911 REMINGTON DR</t>
  </si>
  <si>
    <t xml:space="preserve">BEY RHODESIA T </t>
  </si>
  <si>
    <t>1920 FAIRLAWN ST</t>
  </si>
  <si>
    <t>ROBERT KAPLAN TRUST      ETAL</t>
  </si>
  <si>
    <t>5000 5TH AVE UNIT 204</t>
  </si>
  <si>
    <t>ROBERT KAPLAN TRUST</t>
  </si>
  <si>
    <t>FORBES AVE UNIT L126</t>
  </si>
  <si>
    <t>SPENCER GREGORY R &amp; JANET O (W)</t>
  </si>
  <si>
    <t>1020 DEVONSHIRE RD</t>
  </si>
  <si>
    <t>DEVONSHIRE RD</t>
  </si>
  <si>
    <t>1008 DEVONSHIRE RD</t>
  </si>
  <si>
    <t>MIXOFI-1 REVOCABLE  LIVING TRUST</t>
  </si>
  <si>
    <t>5120 5TH AVE UNIT 101</t>
  </si>
  <si>
    <t>ALFREDO IGLESIAS</t>
  </si>
  <si>
    <t>MORROWFIELD AVE</t>
  </si>
  <si>
    <t>5120 5TH AVE UNIT 103</t>
  </si>
  <si>
    <t>5120 5TH AVE UNIT 204</t>
  </si>
  <si>
    <t xml:space="preserve">BOOTH RONALD L                                  </t>
  </si>
  <si>
    <t>5100 5TH AVE UNIT 317</t>
  </si>
  <si>
    <t xml:space="preserve">CHUNG KAITLYN                                   </t>
  </si>
  <si>
    <t>5100 5TH AVE UNIT 407</t>
  </si>
  <si>
    <t>AMERICAN FEDERAL MORT</t>
  </si>
  <si>
    <t>ROUTE 24</t>
  </si>
  <si>
    <t>CHESTER</t>
  </si>
  <si>
    <t xml:space="preserve">LI YOULIN </t>
  </si>
  <si>
    <t>5100 5TH AVE UNIT 419</t>
  </si>
  <si>
    <t>5TH AVE UNIT 419</t>
  </si>
  <si>
    <t>CARLIN JOHN C &amp; BARBARA M (W)</t>
  </si>
  <si>
    <t>5100 5TH AVE UNIT 504</t>
  </si>
  <si>
    <t>CARLIN JOHN C &amp; BARBA</t>
  </si>
  <si>
    <t>GULF SHORE DR APT 602</t>
  </si>
  <si>
    <t xml:space="preserve">YAU SHIRLEY </t>
  </si>
  <si>
    <t>5100 5TH AVE UNIT 517</t>
  </si>
  <si>
    <t>YAU SHIRLEY</t>
  </si>
  <si>
    <t>PRAIRIE GRASS</t>
  </si>
  <si>
    <t xml:space="preserve">HARLOW GLENN M </t>
  </si>
  <si>
    <t>5030 5TH AVE UNIT 207</t>
  </si>
  <si>
    <t xml:space="preserve">MCCAFFREY JOHN </t>
  </si>
  <si>
    <t>5030 5TH AVE UNIT 210</t>
  </si>
  <si>
    <t>SKURMAN LUKE &amp; NATALIA (W)</t>
  </si>
  <si>
    <t>5040 WARWICK TER</t>
  </si>
  <si>
    <t>SKURMAN LUKE &amp; NATALI</t>
  </si>
  <si>
    <t>WARWICK TER</t>
  </si>
  <si>
    <t>BURCHIANTI ARNOLD E II &amp; LESLIE S (W)</t>
  </si>
  <si>
    <t>1074 DEVON RD</t>
  </si>
  <si>
    <t>BURCHIANTI ARNOLD E I</t>
  </si>
  <si>
    <t xml:space="preserve">GALE KRIS B </t>
  </si>
  <si>
    <t>1073 DORSET RD</t>
  </si>
  <si>
    <t>DORSET RD</t>
  </si>
  <si>
    <t xml:space="preserve">MELON WASH LLC </t>
  </si>
  <si>
    <t>5333 BEELER ST</t>
  </si>
  <si>
    <t>W LYNDHURST DR</t>
  </si>
  <si>
    <t xml:space="preserve">TANSEL AYLIN </t>
  </si>
  <si>
    <t>5335 BEELER ST</t>
  </si>
  <si>
    <t xml:space="preserve">HARLOW GLENN </t>
  </si>
  <si>
    <t>2 OLYMPIA PL</t>
  </si>
  <si>
    <t>GLENN HARLOW</t>
  </si>
  <si>
    <t xml:space="preserve">VISOIU ADRIAN                                   </t>
  </si>
  <si>
    <t>1018 WILKINS HEIGHTS RD</t>
  </si>
  <si>
    <t>SUNG-A KIM PARK  REVOCABLE INTER VIVOS TR</t>
  </si>
  <si>
    <t>1009 WILKINS HEIGHTS RD</t>
  </si>
  <si>
    <t>SUNG-A KIM PARK REVOC</t>
  </si>
  <si>
    <t>WILKINS HEIGHTS RD</t>
  </si>
  <si>
    <t xml:space="preserve">TROUT AARON                                     </t>
  </si>
  <si>
    <t>5406 WILKINS AVE</t>
  </si>
  <si>
    <t xml:space="preserve">SULLIVAN IAN </t>
  </si>
  <si>
    <t>1083 DORSET RD</t>
  </si>
  <si>
    <t xml:space="preserve">JEN HUEI LEE &amp; WEI LI LIN FAMILY TRUST </t>
  </si>
  <si>
    <t>5126 HOLYROOD RD</t>
  </si>
  <si>
    <t>JEN HUEI LEE &amp; WEI LI</t>
  </si>
  <si>
    <t>MURIEL LN</t>
  </si>
  <si>
    <t>CUPERTINO</t>
  </si>
  <si>
    <t>SOOD KISHORE &amp; PREETI (W)</t>
  </si>
  <si>
    <t>5244 BEELER ST</t>
  </si>
  <si>
    <t>SOOD KISHORE &amp; PREETI</t>
  </si>
  <si>
    <t>SPARROW DR</t>
  </si>
  <si>
    <t>PRINCETON JUNC</t>
  </si>
  <si>
    <t>KATZEN ROBERT M &amp; ELLEN F (W)</t>
  </si>
  <si>
    <t>5249 FAIR OAKS ST</t>
  </si>
  <si>
    <t xml:space="preserve">CHAUDHRAY VINAY </t>
  </si>
  <si>
    <t>8 ROBIN RD</t>
  </si>
  <si>
    <t xml:space="preserve">CARSTENS LIAM ZACHARY  KIVLIN &amp; CHARLOTTE REED </t>
  </si>
  <si>
    <t>1204 MALVERN AVE</t>
  </si>
  <si>
    <t xml:space="preserve">WEINBERG REBECCA J                              </t>
  </si>
  <si>
    <t>1207 MALVERN AVE</t>
  </si>
  <si>
    <t>FLEISCHNER FAMILY TRUST  ETAL</t>
  </si>
  <si>
    <t>1223 SQUIRREL HILL AVE</t>
  </si>
  <si>
    <t>FLEISCHNER FAMILY TRU</t>
  </si>
  <si>
    <t>SQUIRREL HILL AVE</t>
  </si>
  <si>
    <t>SOORIAMURTHI RAJA &amp; VIJAYASREE (W)</t>
  </si>
  <si>
    <t>1211 SQUIRREL HILL AVE</t>
  </si>
  <si>
    <t xml:space="preserve">BILLINGS LOIS C </t>
  </si>
  <si>
    <t>206 GLADSTONE RD</t>
  </si>
  <si>
    <t>GLADSTONE RD</t>
  </si>
  <si>
    <t xml:space="preserve">KIM KURT &amp; STACEY E (W) </t>
  </si>
  <si>
    <t>5211 FORBES AVE</t>
  </si>
  <si>
    <t>KIM KURT &amp; STACEY E (</t>
  </si>
  <si>
    <t>MAGNOLIA DR</t>
  </si>
  <si>
    <t>INTERIANO GERARDO &amp; AYNSLEY (W)</t>
  </si>
  <si>
    <t>1336 SQUIRREL HILL AVE</t>
  </si>
  <si>
    <t>JP MORGAN</t>
  </si>
  <si>
    <t>OAKMONT LN STE 300</t>
  </si>
  <si>
    <t>WESTMONT</t>
  </si>
  <si>
    <t>NEWSTADT GREGORY EVAN &amp; MICHELLE REICHER (W)</t>
  </si>
  <si>
    <t>5442 PLAINFIELD ST</t>
  </si>
  <si>
    <t>GOLDSCHMIDT ARIEL &amp; ANDREA (W)</t>
  </si>
  <si>
    <t>1325 MALVERN AVE</t>
  </si>
  <si>
    <t xml:space="preserve">SILVER JAMES  &amp; BETH (W) </t>
  </si>
  <si>
    <t>1321 MALVERN AVE</t>
  </si>
  <si>
    <t>MALVERN AVE</t>
  </si>
  <si>
    <t>DUNN AARON M &amp; DENA M (W)</t>
  </si>
  <si>
    <t>1228 MALVERN AVE</t>
  </si>
  <si>
    <t xml:space="preserve">MORENCY LOUIS PHILIPPE </t>
  </si>
  <si>
    <t>1342 MALVERN AVE</t>
  </si>
  <si>
    <t xml:space="preserve">KENNARD AMANDA H </t>
  </si>
  <si>
    <t>5421 NORMLEE PL</t>
  </si>
  <si>
    <t>EL CAMINO REL APT 465</t>
  </si>
  <si>
    <t>LOS ALTOS</t>
  </si>
  <si>
    <t xml:space="preserve">COHEN BENJAMIN                                  </t>
  </si>
  <si>
    <t>5415 NORMLEE PL</t>
  </si>
  <si>
    <t xml:space="preserve">MATOS JOSE LUIS </t>
  </si>
  <si>
    <t>5250 FORBES AVE</t>
  </si>
  <si>
    <t xml:space="preserve">VALLEY NATIONAL BANK </t>
  </si>
  <si>
    <t>ROUTE 23 N</t>
  </si>
  <si>
    <t xml:space="preserve">HENDRATA LINDA </t>
  </si>
  <si>
    <t>5256 FORBES AVE</t>
  </si>
  <si>
    <t xml:space="preserve">JACOBS JOHN M </t>
  </si>
  <si>
    <t>316 GLADSTONE RD</t>
  </si>
  <si>
    <t>STRUL MAURICE E &amp; MARCIE (W)</t>
  </si>
  <si>
    <t>110 SCHENLEY RD</t>
  </si>
  <si>
    <t>STRUL MAURICE E &amp; MAR</t>
  </si>
  <si>
    <t>SCHENLEY RD</t>
  </si>
  <si>
    <t xml:space="preserve">FEALING CAITLAN A </t>
  </si>
  <si>
    <t>306 SCHENLEY RD</t>
  </si>
  <si>
    <t>W WESLEY RD NW</t>
  </si>
  <si>
    <t xml:space="preserve">BHATTACHARYA UDITA </t>
  </si>
  <si>
    <t>5409 AYLESBORO AVE</t>
  </si>
  <si>
    <t xml:space="preserve">STUETTGEN BJOERN PETER                          </t>
  </si>
  <si>
    <t>5424 ALBEMARLE AVE</t>
  </si>
  <si>
    <t xml:space="preserve">GUTTMAN DANIEL                                  </t>
  </si>
  <si>
    <t>5450 ALBEMARLE AVE</t>
  </si>
  <si>
    <t>DANIEL GUTTMAN BRITTA</t>
  </si>
  <si>
    <t>ALBEMARLE AVE</t>
  </si>
  <si>
    <t>JACOBSON ROY H &amp; REBECCA S (W)</t>
  </si>
  <si>
    <t>5441 ALBEMARLE AVE</t>
  </si>
  <si>
    <t>JACOBSON ROY H &amp; REBE</t>
  </si>
  <si>
    <t xml:space="preserve">MILLER MICHAEL DAVID                            </t>
  </si>
  <si>
    <t>5359 NORTHUMBERLAND ST</t>
  </si>
  <si>
    <t xml:space="preserve">MILLER MICHAEL DAVID </t>
  </si>
  <si>
    <t>DARLINGTON ST</t>
  </si>
  <si>
    <t xml:space="preserve">MCGUINN ANN M </t>
  </si>
  <si>
    <t>5331 NORTHUMBERLAND ST</t>
  </si>
  <si>
    <t xml:space="preserve">CHEN TIANQI                                     </t>
  </si>
  <si>
    <t>200 SCHENLEY RD</t>
  </si>
  <si>
    <t>CHEN TIANQI</t>
  </si>
  <si>
    <t xml:space="preserve">EVANS DAVID C </t>
  </si>
  <si>
    <t>206 SCHENLEY RD</t>
  </si>
  <si>
    <t>PO BOX 127</t>
  </si>
  <si>
    <t xml:space="preserve">YEO SIMONE MENG CHOO </t>
  </si>
  <si>
    <t>309 SCHENLEY RD</t>
  </si>
  <si>
    <t xml:space="preserve">412 SCHENLEY ROAD LLC </t>
  </si>
  <si>
    <t>412 SCHENLEY RD</t>
  </si>
  <si>
    <t>412 SCHENLEY ROAD LLC</t>
  </si>
  <si>
    <t>GRANT ST STE 3700</t>
  </si>
  <si>
    <t>AGARWAL YUVRAJ &amp; GUNJAN (W)</t>
  </si>
  <si>
    <t>5327 DARLINGTON RD</t>
  </si>
  <si>
    <t>AGARWAL YUVRAJ &amp; GUNJ</t>
  </si>
  <si>
    <t>HOMA HELEN ETAL</t>
  </si>
  <si>
    <t>0 BOUNDARY ST</t>
  </si>
  <si>
    <t xml:space="preserve">MCGUIER ANDREW </t>
  </si>
  <si>
    <t>725 SALINE ST</t>
  </si>
  <si>
    <t>SALINE ST</t>
  </si>
  <si>
    <t>MCGUIER ANDREW &amp; NATALIE (W)</t>
  </si>
  <si>
    <t>723 SALINE ST</t>
  </si>
  <si>
    <t>MCGUIER ANDREW</t>
  </si>
  <si>
    <t>SHUSTER ROBERT D &amp; BARBARA J (W)</t>
  </si>
  <si>
    <t>719 SALINE ST</t>
  </si>
  <si>
    <t>GARDNER CHRISTOPHER  &amp; CARRIE L (W)</t>
  </si>
  <si>
    <t>700 NAYLOR ST</t>
  </si>
  <si>
    <t>FREDANNA ST</t>
  </si>
  <si>
    <t>GARDNER CHRISTOPHER H &amp; CARRIE L (W)</t>
  </si>
  <si>
    <t>0 NAYLOR ST</t>
  </si>
  <si>
    <t xml:space="preserve">CARTER NORMAN </t>
  </si>
  <si>
    <t>NAYLOR ST</t>
  </si>
  <si>
    <t>CALFO NOTTZIE B &amp; MARGARET L (W)</t>
  </si>
  <si>
    <t>CALFO NOTTZIE B &amp; MAR</t>
  </si>
  <si>
    <t>GAULT JASON A &amp; CAROL GAULT</t>
  </si>
  <si>
    <t>701 NAYLOR ST</t>
  </si>
  <si>
    <t xml:space="preserve">GRAY ROBERT L </t>
  </si>
  <si>
    <t>LEOPARD CT</t>
  </si>
  <si>
    <t>CONWAY</t>
  </si>
  <si>
    <t xml:space="preserve">STINGER WALTER R SR </t>
  </si>
  <si>
    <t>STINGER LN</t>
  </si>
  <si>
    <t>EIGHTY FOUR</t>
  </si>
  <si>
    <t xml:space="preserve">LAVERY ANNIE </t>
  </si>
  <si>
    <t xml:space="preserve">MAUREEN SABOL </t>
  </si>
  <si>
    <t>751 SALINE ST</t>
  </si>
  <si>
    <t>DOWNEY BRYAN W &amp; VIRGINIA A (W)</t>
  </si>
  <si>
    <t>409 SALINE ST</t>
  </si>
  <si>
    <t>DOWNEY BRYAN W &amp; VIRG</t>
  </si>
  <si>
    <t>PO BOX 74</t>
  </si>
  <si>
    <t>DEASY JAMES J &amp; ELLEN M (W)</t>
  </si>
  <si>
    <t>319 FOUR MILE RUN RD</t>
  </si>
  <si>
    <t>DEASY JAMES J &amp; ELLEN</t>
  </si>
  <si>
    <t>PARADE ST</t>
  </si>
  <si>
    <t>0 FOUR MILE RUN RD</t>
  </si>
  <si>
    <t>5836 5TH AVE</t>
  </si>
  <si>
    <t xml:space="preserve">LEPIDI RICHARD </t>
  </si>
  <si>
    <t>122 N WOODLAND RD</t>
  </si>
  <si>
    <t>LEPIDI RICHARD</t>
  </si>
  <si>
    <t>N WOODLAND RD</t>
  </si>
  <si>
    <t xml:space="preserve">SWARUP SANJEEV </t>
  </si>
  <si>
    <t>6221 MELLON PARK CT</t>
  </si>
  <si>
    <t>MELLON PARK CT</t>
  </si>
  <si>
    <t xml:space="preserve">BAILEY KARIN &amp; AARON (H) </t>
  </si>
  <si>
    <t>6231 MELLON PARK CT</t>
  </si>
  <si>
    <t xml:space="preserve">LEONG PAUL                                      </t>
  </si>
  <si>
    <t>1086 SHADY AVE</t>
  </si>
  <si>
    <t>JUDY CHANG</t>
  </si>
  <si>
    <t>RAO SHIVDEV &amp; DAHLIA L (W)</t>
  </si>
  <si>
    <t>1015 HIGHMONT RD</t>
  </si>
  <si>
    <t xml:space="preserve">GALLAGHER TODD </t>
  </si>
  <si>
    <t>300 N WOODLAND RD UNIT 3B</t>
  </si>
  <si>
    <t>EQUINE DR</t>
  </si>
  <si>
    <t xml:space="preserve">SHEIKH YASER A                                  </t>
  </si>
  <si>
    <t>120 N WOODLAND RD</t>
  </si>
  <si>
    <t>SHEIKH YASER A</t>
  </si>
  <si>
    <t xml:space="preserve">COHEN ELIZABETH </t>
  </si>
  <si>
    <t>118 N WOODLAND RD</t>
  </si>
  <si>
    <t xml:space="preserve">DE LA CRUZ CAROLYN </t>
  </si>
  <si>
    <t>128 N WOODLAND RD</t>
  </si>
  <si>
    <t>130 N WOODLAND RD</t>
  </si>
  <si>
    <t>PELUSI PHILIP &amp; JENNIFER (W)</t>
  </si>
  <si>
    <t>144 N WOODLAND RD</t>
  </si>
  <si>
    <t>LEVY MICHAEL F &amp; ILENE S (W)</t>
  </si>
  <si>
    <t>142 W LYNDHURST DR</t>
  </si>
  <si>
    <t xml:space="preserve">GORDON LINDA H </t>
  </si>
  <si>
    <t>1091 BEECHWOOD BLVD</t>
  </si>
  <si>
    <t xml:space="preserve">LIPSITZ ZACHARY S </t>
  </si>
  <si>
    <t>1085 BEECHWOOD BLVD</t>
  </si>
  <si>
    <t>REGAN MICHAEL PRESLEY  KELLS &amp; ANDREA (W)</t>
  </si>
  <si>
    <t>1079 BEECHWOOD BLVD</t>
  </si>
  <si>
    <t xml:space="preserve">SPEAR DAVID B &amp; JILL (W) </t>
  </si>
  <si>
    <t>1065 BEECHWOOD BLVD</t>
  </si>
  <si>
    <t>RABNER FRED G &amp; NICOLE (W)</t>
  </si>
  <si>
    <t>1059 BEECHWOOD BLVD</t>
  </si>
  <si>
    <t>RABNER FRED G &amp; NICOL</t>
  </si>
  <si>
    <t xml:space="preserve">EVANS ARIELLE                                   </t>
  </si>
  <si>
    <t>108 MAPLE HEIGHTS RD</t>
  </si>
  <si>
    <t>AIRLILNE DR</t>
  </si>
  <si>
    <t xml:space="preserve">HALL MARY H </t>
  </si>
  <si>
    <t>114 MAPLE HEIGHTS RD</t>
  </si>
  <si>
    <t>MAPLE HEIGHTS RD</t>
  </si>
  <si>
    <t xml:space="preserve">GELERNTER MAX AARON </t>
  </si>
  <si>
    <t>152 MAPLE HEIGHTS RD</t>
  </si>
  <si>
    <t xml:space="preserve">SIKKA ARRON                                     </t>
  </si>
  <si>
    <t>1056 S NEGLEY AVE</t>
  </si>
  <si>
    <t>ARRON SIKKA SAMYIKA J</t>
  </si>
  <si>
    <t xml:space="preserve">FILIPPELLI DANIEL B </t>
  </si>
  <si>
    <t>5611 DUNMOYLE ST</t>
  </si>
  <si>
    <t>DANIEL B FILIPPELLI</t>
  </si>
  <si>
    <t>DUNMOYLE ST</t>
  </si>
  <si>
    <t xml:space="preserve">BOYCE CAROLINE E </t>
  </si>
  <si>
    <t>1055 S NEGLEY AVE</t>
  </si>
  <si>
    <t>NICHOLSON DAVID &amp; THERESA (W)</t>
  </si>
  <si>
    <t>5705 DUNMOYLE ST</t>
  </si>
  <si>
    <t>SHORT GREGORY F &amp; KATHY D (W)</t>
  </si>
  <si>
    <t>1040 MURRAY HILL AVE</t>
  </si>
  <si>
    <t>MURRAY HILL AVE</t>
  </si>
  <si>
    <t xml:space="preserve">MALLINGER NANCY SCHWARTZ </t>
  </si>
  <si>
    <t>5742 5TH AVE UNIT 101</t>
  </si>
  <si>
    <t>MALLINGER NANCY SCHWA</t>
  </si>
  <si>
    <t>5TH AVE UNIT 101</t>
  </si>
  <si>
    <t xml:space="preserve">BONTEMPO FRANKLIN A JR                          </t>
  </si>
  <si>
    <t>5742 5TH AVE UNIT 204</t>
  </si>
  <si>
    <t xml:space="preserve">VIEGAS MELITA L </t>
  </si>
  <si>
    <t>1025 MURRAY HILL AVE</t>
  </si>
  <si>
    <t>MURRAYHILL AVE</t>
  </si>
  <si>
    <t>ILLSON JOHN LAUFE &amp; MARGARET (W)</t>
  </si>
  <si>
    <t>1035 MURRAY HILL AVE</t>
  </si>
  <si>
    <t xml:space="preserve">GORANTLA VIKRAM C </t>
  </si>
  <si>
    <t>1117 SHADY AVE</t>
  </si>
  <si>
    <t xml:space="preserve">ZHANG MANLING                                   </t>
  </si>
  <si>
    <t>1100 SHADY AVE</t>
  </si>
  <si>
    <t xml:space="preserve">SHAW KIMBERLY                                   </t>
  </si>
  <si>
    <t>0 SHADY AVE</t>
  </si>
  <si>
    <t>SHAW KIMBERLY</t>
  </si>
  <si>
    <t>WEADLEY RD</t>
  </si>
  <si>
    <t>LANG THOMAS J &amp; MARY ANNE HANNA (W)</t>
  </si>
  <si>
    <t>1130 SHADY AVE</t>
  </si>
  <si>
    <t xml:space="preserve">LANG THOMAS J &amp; MARY </t>
  </si>
  <si>
    <t>HOFFMAN MARC E &amp; JANIS E REED (W)</t>
  </si>
  <si>
    <t>5923 BRAEBURN PL</t>
  </si>
  <si>
    <t>BRAEBURN PL</t>
  </si>
  <si>
    <t xml:space="preserve">GRECO JOSEPH C                                  </t>
  </si>
  <si>
    <t>5915 BRAEBURN PL</t>
  </si>
  <si>
    <t xml:space="preserve">5920 BP LLC </t>
  </si>
  <si>
    <t>5920 BRAEBURN PL</t>
  </si>
  <si>
    <t xml:space="preserve">HONIG LAWRENCE &amp; JENNIFER L ALEXANDER (W </t>
  </si>
  <si>
    <t>5893 DEVEREAUX LN</t>
  </si>
  <si>
    <t>HONIG LAWRENCE &amp; JENN</t>
  </si>
  <si>
    <t>DEVEREAUX LN</t>
  </si>
  <si>
    <t xml:space="preserve">CHAER RABIH A </t>
  </si>
  <si>
    <t>90 E WOODLAND RD</t>
  </si>
  <si>
    <t>CHAER RABIH A</t>
  </si>
  <si>
    <t xml:space="preserve">HAGEN JOSHUA WAYNE                              </t>
  </si>
  <si>
    <t>0 GETTYSBURG ST</t>
  </si>
  <si>
    <t>HAGEN JOSHUA WAYNE</t>
  </si>
  <si>
    <t>BEECHWOOD LN</t>
  </si>
  <si>
    <t xml:space="preserve">GILPIN ANDREW G                                 </t>
  </si>
  <si>
    <t>120 BEECHWOOD LN</t>
  </si>
  <si>
    <t xml:space="preserve">2007 SIFT TRUST                                 </t>
  </si>
  <si>
    <t>1193 BEECHWOOD BLVD</t>
  </si>
  <si>
    <t>SACKS FAMILY GRANDCHI</t>
  </si>
  <si>
    <t>N GOULD ST STE 23662</t>
  </si>
  <si>
    <t>SHERIDAN</t>
  </si>
  <si>
    <t xml:space="preserve">MUGWYLER REMO                                   </t>
  </si>
  <si>
    <t>1182 BEECHWOOD CT</t>
  </si>
  <si>
    <t>ANTHONY C HUGHES &amp; KATHLEEN FOLEY-HUGES REV</t>
  </si>
  <si>
    <t>5507 DUNMOYLE ST</t>
  </si>
  <si>
    <t>ANTHONY C HUGHES &amp; KA</t>
  </si>
  <si>
    <t>1121 WIGHTMAN ST</t>
  </si>
  <si>
    <t xml:space="preserve">CAMPUZANO LARISSA                               </t>
  </si>
  <si>
    <t>1133 WIGHTMAN ST</t>
  </si>
  <si>
    <t xml:space="preserve">SHERRARD ROBERT S III                           </t>
  </si>
  <si>
    <t>1154 WIGHTMAN ST</t>
  </si>
  <si>
    <t xml:space="preserve">MALLOY HOWARD V &amp; ELLA V </t>
  </si>
  <si>
    <t>1150 WIGHTMAN ST</t>
  </si>
  <si>
    <t xml:space="preserve">SALLEY MARILYN </t>
  </si>
  <si>
    <t>1140 WIGHTMAN ST</t>
  </si>
  <si>
    <t xml:space="preserve">DURST EVAN J                                    </t>
  </si>
  <si>
    <t>1130 WIGHTMAN ST</t>
  </si>
  <si>
    <t>MARSTINE SHELDON  &amp; CONSTANCE B (W)</t>
  </si>
  <si>
    <t>5520 DUNMOYLE ST</t>
  </si>
  <si>
    <t>DUNMOYLE AVE</t>
  </si>
  <si>
    <t>LEVIS JOHN P III &amp; ELIZABETH Q (W)</t>
  </si>
  <si>
    <t>5463 KIPLING RD</t>
  </si>
  <si>
    <t>ERCOLE PATRICK M &amp; LINDSAY J (W)</t>
  </si>
  <si>
    <t>5454 KIPLING RD</t>
  </si>
  <si>
    <t xml:space="preserve">BHAGAVATULA RAMA                                </t>
  </si>
  <si>
    <t>0 DUNMOYLE ST</t>
  </si>
  <si>
    <t>BHAGAVATULA RAMA</t>
  </si>
  <si>
    <t xml:space="preserve">ADAMS DAWN M                                    </t>
  </si>
  <si>
    <t>5475 WILKINS AVE</t>
  </si>
  <si>
    <t xml:space="preserve">GETCHELL CATHERINE </t>
  </si>
  <si>
    <t>5483 WILKINS AVE</t>
  </si>
  <si>
    <t>5430 WILKINS AVE</t>
  </si>
  <si>
    <t xml:space="preserve">CRANKOVIC ROBERT G                              </t>
  </si>
  <si>
    <t>5438 WILKINS AVE</t>
  </si>
  <si>
    <t>BROAD HILL DR</t>
  </si>
  <si>
    <t xml:space="preserve">MAJIDI CARMEL S </t>
  </si>
  <si>
    <t>5434 WILKINS AVE</t>
  </si>
  <si>
    <t xml:space="preserve">WRIGHT ALEXANDER B                              </t>
  </si>
  <si>
    <t>1145 WIGHTMAN ST</t>
  </si>
  <si>
    <t>HADDAD ROBERT J &amp; NANCY L (W)</t>
  </si>
  <si>
    <t>5710 LYNNE HAVEN RD</t>
  </si>
  <si>
    <t>HADDAD ROBERT J &amp; NAN</t>
  </si>
  <si>
    <t>LYNNE HAVEN RD</t>
  </si>
  <si>
    <t>GALLAGHER MICHAEL R &amp; ERIN C (W)</t>
  </si>
  <si>
    <t>5700 LYNNE HAVEN RD</t>
  </si>
  <si>
    <t xml:space="preserve">BROWN JUSTIN K                                  </t>
  </si>
  <si>
    <t>1156 MURRAY HILL AVE</t>
  </si>
  <si>
    <t>LONG ROBERT M &amp; CATHERINE J LEWIS (W)</t>
  </si>
  <si>
    <t>1175 MURRAY HILL AVE</t>
  </si>
  <si>
    <t xml:space="preserve">REGAN KEVIN                                     </t>
  </si>
  <si>
    <t>1201 MURRAY HILL AVE</t>
  </si>
  <si>
    <t xml:space="preserve">GERSHON LAURA &amp; TOBY (H) </t>
  </si>
  <si>
    <t>1204 DENNISTON ST</t>
  </si>
  <si>
    <t>FIFTH THIRD BANK  NA</t>
  </si>
  <si>
    <t>PO BOX 630952</t>
  </si>
  <si>
    <t xml:space="preserve">TRAGESSER CHARLES W JR </t>
  </si>
  <si>
    <t>1222 DENNISTON ST</t>
  </si>
  <si>
    <t>TRAGESSER CHARLES W J</t>
  </si>
  <si>
    <t xml:space="preserve">KAPSCH JULIE E                                  </t>
  </si>
  <si>
    <t>918 HASTINGS ST</t>
  </si>
  <si>
    <t>NERNBERG ERIC &amp; XIAOYE (W)</t>
  </si>
  <si>
    <t>10 W WOODLAND RD</t>
  </si>
  <si>
    <t>NERNBERG ERIC &amp; XIAOY</t>
  </si>
  <si>
    <t>W WOODLAND RD</t>
  </si>
  <si>
    <t xml:space="preserve">JAWDAT FAISAL                                   </t>
  </si>
  <si>
    <t>1296 DENNISTON ST</t>
  </si>
  <si>
    <t>THE MONEY SOURCE INC</t>
  </si>
  <si>
    <t>S BROAD ST STE 100A</t>
  </si>
  <si>
    <t>MERIDEN</t>
  </si>
  <si>
    <t>SILVER ERIC P &amp; RACHEL ASHER (W)</t>
  </si>
  <si>
    <t>1308 DENNISTON ST</t>
  </si>
  <si>
    <t xml:space="preserve">FANIUK YEVGENY &amp;                         </t>
  </si>
  <si>
    <t>1257 DENNISTON ST</t>
  </si>
  <si>
    <t>CHAM MICHAEL E &amp; MAGGIE D (W)</t>
  </si>
  <si>
    <t>1270 BEECHWOOD BLVD</t>
  </si>
  <si>
    <t xml:space="preserve">RIVERS NEAL A                                   </t>
  </si>
  <si>
    <t>1250 BEECHWOOD BLVD</t>
  </si>
  <si>
    <t xml:space="preserve">RUNNETTE BARBARA </t>
  </si>
  <si>
    <t>631 GETTYSBURG ST</t>
  </si>
  <si>
    <t>MOBILE DR</t>
  </si>
  <si>
    <t xml:space="preserve">POLDERMAN KEES </t>
  </si>
  <si>
    <t>1265 BEECHWOOD BLVD</t>
  </si>
  <si>
    <t xml:space="preserve">SPANIEL WILLIAM JEROME                          </t>
  </si>
  <si>
    <t>1271 BEECHWOOD BLVD</t>
  </si>
  <si>
    <t xml:space="preserve">MORRISON JENI </t>
  </si>
  <si>
    <t>720 HASTINGS ST</t>
  </si>
  <si>
    <t>GOUGHNOUR THOMAS BYRON &amp; ELISSA ANNE (W)</t>
  </si>
  <si>
    <t>703 HASTINGS ST</t>
  </si>
  <si>
    <t>RMC HOME MORTGAGE LLC</t>
  </si>
  <si>
    <t>S ORANGE AVE STE 970</t>
  </si>
  <si>
    <t xml:space="preserve">NACEV BENJAMIN A                                </t>
  </si>
  <si>
    <t>710 S LINDEN AVE</t>
  </si>
  <si>
    <t xml:space="preserve">TAYLOR JAMES E </t>
  </si>
  <si>
    <t>1309 BEECHWOOD BLVD</t>
  </si>
  <si>
    <t xml:space="preserve">NOE DANIEL P                                    </t>
  </si>
  <si>
    <t>5468 WILKINS AVE</t>
  </si>
  <si>
    <t xml:space="preserve">CHENG DUANXIAN                                  </t>
  </si>
  <si>
    <t>5455 FAIR OAKS ST</t>
  </si>
  <si>
    <t>CHENG DUANXIAN ZHENGR</t>
  </si>
  <si>
    <t xml:space="preserve">AMIMEHDIABADI MOTAHAREH                         </t>
  </si>
  <si>
    <t>1200 INVERNESS AVE</t>
  </si>
  <si>
    <t xml:space="preserve">HOOVEN THOMAS A                                 </t>
  </si>
  <si>
    <t>1238 MURDOCH RD</t>
  </si>
  <si>
    <t>MURDOCH RD</t>
  </si>
  <si>
    <t>KLUG HEATHER C &amp; DANIEL (H)</t>
  </si>
  <si>
    <t>5450 FAIR OAKS ST</t>
  </si>
  <si>
    <t>KLUG HEATHER C &amp; DANI</t>
  </si>
  <si>
    <t>SCHNEIER MICHAEL H &amp; NOELL S (W)</t>
  </si>
  <si>
    <t>1249 MURDOCH RD</t>
  </si>
  <si>
    <t xml:space="preserve">FREY REGIS A &amp; DILARA </t>
  </si>
  <si>
    <t>1303 MURDOCH RD</t>
  </si>
  <si>
    <t xml:space="preserve">PERRIN ANN ELIZABETH                            </t>
  </si>
  <si>
    <t>1311 MURDOCH RD</t>
  </si>
  <si>
    <t xml:space="preserve">HORWICH JORDAN                                  </t>
  </si>
  <si>
    <t>1240 BELLEROCK ST</t>
  </si>
  <si>
    <t xml:space="preserve">RITCHIE GLYNIS ANN                              </t>
  </si>
  <si>
    <t>1222 BELLEROCK ST</t>
  </si>
  <si>
    <t>BELLEROCK ST</t>
  </si>
  <si>
    <t xml:space="preserve">MULERT MADELYN C                                </t>
  </si>
  <si>
    <t>5540 FAIR OAKS ST</t>
  </si>
  <si>
    <t>MADELYN C MULERT &amp; SC</t>
  </si>
  <si>
    <t xml:space="preserve">SHEEDY CAROLINE                                 </t>
  </si>
  <si>
    <t>1251 BELLEROCK ST</t>
  </si>
  <si>
    <t>GAYDOS RONALD S &amp; YUET-MING EVA HUI (W)</t>
  </si>
  <si>
    <t>1332 WIGHTMAN ST</t>
  </si>
  <si>
    <t>DAVIS SHERRI L           ETAL</t>
  </si>
  <si>
    <t>1338 WIGHTMAN ST</t>
  </si>
  <si>
    <t>MEYERS MANAGEMENT</t>
  </si>
  <si>
    <t>PENN AVE STE 3</t>
  </si>
  <si>
    <t>SARFIN STEVEN R &amp; KATHRYN H RUDD (W)</t>
  </si>
  <si>
    <t>5623 WILKINS AVE</t>
  </si>
  <si>
    <t>SARFIN STEVEN R &amp; KAT</t>
  </si>
  <si>
    <t xml:space="preserve">ROFFMAN ARIEL </t>
  </si>
  <si>
    <t>5615 WILKINS AVE</t>
  </si>
  <si>
    <t>KRASHES CT</t>
  </si>
  <si>
    <t xml:space="preserve">CHEN TIANYAO                                    </t>
  </si>
  <si>
    <t>1209 WIGHTMAN ST</t>
  </si>
  <si>
    <t>LEVINE MADELYN R &amp; BENJAMIN A (H)</t>
  </si>
  <si>
    <t>1247 S NEGLEY AVE</t>
  </si>
  <si>
    <t>CASSARA ANTONIO &amp; LAURA (W)</t>
  </si>
  <si>
    <t>1236 MURRAY HILL AVE</t>
  </si>
  <si>
    <t xml:space="preserve">GLYMOUR MADELYN                                 </t>
  </si>
  <si>
    <t>5735 WILKINS AVE</t>
  </si>
  <si>
    <t xml:space="preserve">GUTTRIDGE DAVID G                               </t>
  </si>
  <si>
    <t>5857 SOLWAY ST</t>
  </si>
  <si>
    <t>5871 SOLWAY ST</t>
  </si>
  <si>
    <t>AKAN MUSTAFA &amp; BORANBAY SERRA (W)</t>
  </si>
  <si>
    <t>5830 WILKINS AVE</t>
  </si>
  <si>
    <t xml:space="preserve">SHIRAZINEJAD MOHAMMAD  SADEGH MASNADI &amp;        </t>
  </si>
  <si>
    <t>5800 WILKINS AVE</t>
  </si>
  <si>
    <t>SHIRAZINEJAD MOHAMMAD</t>
  </si>
  <si>
    <t xml:space="preserve">TELFER SIOBHAN                                  </t>
  </si>
  <si>
    <t>5859 WILKINS AVE</t>
  </si>
  <si>
    <t xml:space="preserve">BARIOLA JEREMY RYAN                             </t>
  </si>
  <si>
    <t>1325 SHADY AVE</t>
  </si>
  <si>
    <t>DAMICK MARION S &amp; (TRUSTEE)</t>
  </si>
  <si>
    <t>1339 SHADY AVE</t>
  </si>
  <si>
    <t xml:space="preserve">WEIHRAUCH SABRINA </t>
  </si>
  <si>
    <t>1352 DENNISTON ST</t>
  </si>
  <si>
    <t>CARBALLIDO FRANCISCO &amp; REBECCA DOSAL (W)</t>
  </si>
  <si>
    <t>6415 WILKINS AVE</t>
  </si>
  <si>
    <t xml:space="preserve">HORN KIMBERLY A                                 </t>
  </si>
  <si>
    <t>1336 BEECHWOOD BLVD</t>
  </si>
  <si>
    <t xml:space="preserve">1341 BEECHWOOD LLC </t>
  </si>
  <si>
    <t>1341 BEECHWOOD BLVD</t>
  </si>
  <si>
    <t xml:space="preserve">DAVID PETERSON  PROPERTIES LLC          </t>
  </si>
  <si>
    <t>1349 BEECHWOOD BLVD</t>
  </si>
  <si>
    <t>DAVID PETERSON PROPER</t>
  </si>
  <si>
    <t xml:space="preserve">HINTERLEITNER REINHARD                          </t>
  </si>
  <si>
    <t>751 S LINDEN AVE</t>
  </si>
  <si>
    <t xml:space="preserve">LIFSON JACOB S                                  </t>
  </si>
  <si>
    <t>1416 SEVERN ST</t>
  </si>
  <si>
    <t xml:space="preserve">9 KATZ CREW LP                                  </t>
  </si>
  <si>
    <t>6514 WILKINS AVE</t>
  </si>
  <si>
    <t>WARD WILLIAM Z &amp; LAUREN STEITZ (W)</t>
  </si>
  <si>
    <t>1432 BEECHWOOD BLVD</t>
  </si>
  <si>
    <t>WARD WILLIAM Z &amp; LAUR</t>
  </si>
  <si>
    <t xml:space="preserve">DOBKIN HOLLY R </t>
  </si>
  <si>
    <t>1420 BEECHWOOD BLVD</t>
  </si>
  <si>
    <t>DOBKIN HOLLY R</t>
  </si>
  <si>
    <t xml:space="preserve">TROUT LEANDRA M                                 </t>
  </si>
  <si>
    <t>6408 WILKINS AVE</t>
  </si>
  <si>
    <t>KLEIN JOSHUA S &amp; SAMANTHA E (W)</t>
  </si>
  <si>
    <t>1436 INVERNESS AVE</t>
  </si>
  <si>
    <t xml:space="preserve">HAMPTON-WRAY AMANDA  MICHELLE                </t>
  </si>
  <si>
    <t>5521 WOODMONT ST</t>
  </si>
  <si>
    <t>HAMPTON-WRAY AMANDA M</t>
  </si>
  <si>
    <t>WOODMONT ST</t>
  </si>
  <si>
    <t xml:space="preserve">BHAGAVATULA  CHANDRASEKHAR &amp; THERESA </t>
  </si>
  <si>
    <t>1267 BELLEROCK ST</t>
  </si>
  <si>
    <t>CONITZER CHRISTINA &amp; VINCENT (H)</t>
  </si>
  <si>
    <t>1273 BELLEROCK ST</t>
  </si>
  <si>
    <t xml:space="preserve">BIGGINS SCOTT W                                 </t>
  </si>
  <si>
    <t>1411 INVERNESS AVE</t>
  </si>
  <si>
    <t>CSECH FRANK &amp; COLLEEN (W)</t>
  </si>
  <si>
    <t>1429 INVERNESS AVE</t>
  </si>
  <si>
    <t>JP MORGAN C/O GUARANT</t>
  </si>
  <si>
    <t>N LINCOLN # 324</t>
  </si>
  <si>
    <t xml:space="preserve">AUSTIN HOPE LIVING  TRUST                   </t>
  </si>
  <si>
    <t>5563 NORTHUMBERLAND ST</t>
  </si>
  <si>
    <t>AUSTIN HOPE LIVING TR</t>
  </si>
  <si>
    <t>FREDERICKSBURG HOLDINGS  LLC</t>
  </si>
  <si>
    <t>5565 NORTHUMBERLAND ST</t>
  </si>
  <si>
    <t>FREDERICKSBURG HOLDIN</t>
  </si>
  <si>
    <t xml:space="preserve">BEST ROBERT E                                   </t>
  </si>
  <si>
    <t>5638 NORTHUMBERLAND ST</t>
  </si>
  <si>
    <t xml:space="preserve">RIGHT ANGLE GROUP INC </t>
  </si>
  <si>
    <t>5662 NORTHUMBERLAND ST</t>
  </si>
  <si>
    <t xml:space="preserve">ROSNOW HARLEY M </t>
  </si>
  <si>
    <t>5710 NORTHUMBERLAND ST</t>
  </si>
  <si>
    <t xml:space="preserve">JONES SARAH                                     </t>
  </si>
  <si>
    <t>5715 NORTHUMBERLAND ST</t>
  </si>
  <si>
    <t xml:space="preserve">JONES SARAH &amp; REBECK </t>
  </si>
  <si>
    <t>PO BOX 961292</t>
  </si>
  <si>
    <t>MATHIER MICHAEL A &amp; RACHEL J GIVELBER (W )</t>
  </si>
  <si>
    <t>1449 WIGHTMAN ST</t>
  </si>
  <si>
    <t>MATHIER MICHAEL A &amp; R</t>
  </si>
  <si>
    <t>CYNAMON CHIL M ETAL</t>
  </si>
  <si>
    <t>5624 WOODMONT ST</t>
  </si>
  <si>
    <t>FREEDMAN LAWRENCE G &amp; DEBORAH B (W)</t>
  </si>
  <si>
    <t>5701 WOODMONT ST</t>
  </si>
  <si>
    <t>BESCHORNER KURT E &amp; ALEXANDRA L (W)</t>
  </si>
  <si>
    <t>1425 S NEGLEY AVE</t>
  </si>
  <si>
    <t xml:space="preserve">ZELATA-01 LLC </t>
  </si>
  <si>
    <t>5728 SOLWAY ST</t>
  </si>
  <si>
    <t xml:space="preserve">ROSENBERG BERYL S </t>
  </si>
  <si>
    <t>5720 SOLWAY ST</t>
  </si>
  <si>
    <t>EBDY ST</t>
  </si>
  <si>
    <t xml:space="preserve">GREEN JON DEAN                                  </t>
  </si>
  <si>
    <t>5629 WOODMONT ST</t>
  </si>
  <si>
    <t xml:space="preserve">ROSENBERG ERIC M </t>
  </si>
  <si>
    <t>1504 MURRAY AVE</t>
  </si>
  <si>
    <t xml:space="preserve">BEESON CURTIS A                                 </t>
  </si>
  <si>
    <t>1522 MURRAY AVE</t>
  </si>
  <si>
    <t xml:space="preserve">PEARLSTEIN JORDAN                               </t>
  </si>
  <si>
    <t>5837 FERREE ST</t>
  </si>
  <si>
    <t xml:space="preserve">BRUCE ERIKA                                     </t>
  </si>
  <si>
    <t>5847 NORTHUMBERLAND ST</t>
  </si>
  <si>
    <t>BRUCE ERIKA</t>
  </si>
  <si>
    <t xml:space="preserve">WEGGELAND MARY  KATHERINE               </t>
  </si>
  <si>
    <t>5845 NORTHUMBERLAND ST</t>
  </si>
  <si>
    <t>WEGGELAND MARY KATHER</t>
  </si>
  <si>
    <t xml:space="preserve">SUHICH FRANK J                                  </t>
  </si>
  <si>
    <t>5825 NORTHUMBERLAND ST</t>
  </si>
  <si>
    <t xml:space="preserve">HULL DAVID                                      </t>
  </si>
  <si>
    <t>5816 SOLWAY ST</t>
  </si>
  <si>
    <t>HULL DAVID</t>
  </si>
  <si>
    <t xml:space="preserve">DAVE ATMAN &amp; AMANDA (W) </t>
  </si>
  <si>
    <t>1450 SHADY AVE</t>
  </si>
  <si>
    <t>FERENCE KEVIN J &amp; PAULETTE C (W)</t>
  </si>
  <si>
    <t>1543 SHADY AVE</t>
  </si>
  <si>
    <t>FERENCE KEVIN J &amp; PAU</t>
  </si>
  <si>
    <t xml:space="preserve">MEGLI CHRISTINA JOANN                           </t>
  </si>
  <si>
    <t>1522 DENNISTON ST</t>
  </si>
  <si>
    <t>KIM JOSEPH UK &amp; CATHY LEE (W)</t>
  </si>
  <si>
    <t>6345 AYLESBORO AVE</t>
  </si>
  <si>
    <t>KYLE RICHARD M &amp; JILLIAN (W)</t>
  </si>
  <si>
    <t>1536 BEECHWOOD BLVD</t>
  </si>
  <si>
    <t>KYLE RICHARD M &amp; JILL</t>
  </si>
  <si>
    <t xml:space="preserve">GLICKMAN STEPHEN A </t>
  </si>
  <si>
    <t>1552 BEECHWOOD BLVD</t>
  </si>
  <si>
    <t xml:space="preserve">1445 BENNINGTON LLC </t>
  </si>
  <si>
    <t>1445 BENNINGTON AVE</t>
  </si>
  <si>
    <t>DOW JEANNETTE &amp; CHRISTOPHER (H)</t>
  </si>
  <si>
    <t>5531 NORTHUMBERLAND ST</t>
  </si>
  <si>
    <t>DOW JEANNETTE &amp; CHRIS</t>
  </si>
  <si>
    <t>LARSSON LISA J &amp; MARTIN (H)</t>
  </si>
  <si>
    <t>5421 AYLESBORO AVE</t>
  </si>
  <si>
    <t xml:space="preserve">PARK TAE WOO &amp;                         </t>
  </si>
  <si>
    <t>5441 AYLESBORO AVE</t>
  </si>
  <si>
    <t>MCNEIL MALCOLM R &amp; SHEILA R PRATT (W)</t>
  </si>
  <si>
    <t>5445 AYLESBORO AVE</t>
  </si>
  <si>
    <t>MCNEIL MALCOLM R &amp; SH</t>
  </si>
  <si>
    <t xml:space="preserve">ZETLIN JONES ARIEL                              </t>
  </si>
  <si>
    <t>5458 AYLESBORO AVE</t>
  </si>
  <si>
    <t>MAURY CHRISTOPHER  LAURENCE &amp; MEREDITH ST E</t>
  </si>
  <si>
    <t>5440 AYLESBORO AVE</t>
  </si>
  <si>
    <t>MAURY CHRISTOPHER LAU</t>
  </si>
  <si>
    <t xml:space="preserve">YAZHBIN ALEX &amp; RHONA (W) </t>
  </si>
  <si>
    <t>5430 AYLESBORO AVE</t>
  </si>
  <si>
    <t xml:space="preserve">BOCK JUNE K </t>
  </si>
  <si>
    <t>5424 AYLESBORO AVE</t>
  </si>
  <si>
    <t>JUNE K BOCK</t>
  </si>
  <si>
    <t xml:space="preserve">LIU HONGZHOU                                    </t>
  </si>
  <si>
    <t>5531 FORBES AVE</t>
  </si>
  <si>
    <t>LIU HONGZHOU</t>
  </si>
  <si>
    <t>DAGMAR DR</t>
  </si>
  <si>
    <t xml:space="preserve">REINHART ALEXANDER E </t>
  </si>
  <si>
    <t>5545 FORBES AVE UNIT J</t>
  </si>
  <si>
    <t xml:space="preserve">HONG JASON I AN                                 </t>
  </si>
  <si>
    <t>5605 AYLESBORO AVE</t>
  </si>
  <si>
    <t>HONG JASON I AN YI ZH</t>
  </si>
  <si>
    <t xml:space="preserve">ZACK EVA </t>
  </si>
  <si>
    <t>1538 S NEGLEY AVE</t>
  </si>
  <si>
    <t xml:space="preserve">SPERRY JASON &amp; NAOMI (W) </t>
  </si>
  <si>
    <t>5703 AYLESBORO AVE</t>
  </si>
  <si>
    <t xml:space="preserve">YANG I TA </t>
  </si>
  <si>
    <t>5644 MARLBOROUGH RD</t>
  </si>
  <si>
    <t>LIBERTY AVE APT 644</t>
  </si>
  <si>
    <t>KLEIN RICHARD M &amp; DEBRA F (W)</t>
  </si>
  <si>
    <t>5632 MARLBOROUGH RD</t>
  </si>
  <si>
    <t>STRASSBURGER JORDAN LEE  &amp; ERIKA STAAF (W)</t>
  </si>
  <si>
    <t>1533 VALMONT ST</t>
  </si>
  <si>
    <t xml:space="preserve">KOSSIS PAUL                                     </t>
  </si>
  <si>
    <t>0 FERREE ST</t>
  </si>
  <si>
    <t>ALLAN SARAH J &amp; T ERIC ALLAN (H)</t>
  </si>
  <si>
    <t>5822 FERREE ST</t>
  </si>
  <si>
    <t>FERREE ST</t>
  </si>
  <si>
    <t>SWOVELAND JEFFREY C &amp; STEPHANIE H (W)</t>
  </si>
  <si>
    <t>5870 AYLESBORO AVE</t>
  </si>
  <si>
    <t xml:space="preserve">RINDOS NOAH                                     </t>
  </si>
  <si>
    <t>5856 AYLESBORO AVE</t>
  </si>
  <si>
    <t>PREPELKA SAMUEL &amp; LINDA (W)</t>
  </si>
  <si>
    <t>1660 MURRAY AVE UNIT 25</t>
  </si>
  <si>
    <t>PREPELKA SAMUEL &amp; LIN</t>
  </si>
  <si>
    <t>MURRAY AVE UNIT 25</t>
  </si>
  <si>
    <t xml:space="preserve">LISS CELIA &amp; ROBERT (H) </t>
  </si>
  <si>
    <t>1660 MURRAY AVE UNIT 32</t>
  </si>
  <si>
    <t>LISS CELIA &amp; ROBERT</t>
  </si>
  <si>
    <t>MURRAY AVE UNIT 32</t>
  </si>
  <si>
    <t>WILLIAMS KARL E &amp; PEGGY SMYRNES (W)</t>
  </si>
  <si>
    <t>5825 MARLBOROUGH AVE</t>
  </si>
  <si>
    <t>WILLIAMS KARL E &amp; PEG</t>
  </si>
  <si>
    <t>MARLBOROUGH AVE</t>
  </si>
  <si>
    <t xml:space="preserve">NG TOM K </t>
  </si>
  <si>
    <t>5831 FORBES AVE</t>
  </si>
  <si>
    <t>NG TOM K</t>
  </si>
  <si>
    <t>FRICK RD</t>
  </si>
  <si>
    <t>5839 FORBES AVE  ASSOCIATES LLC</t>
  </si>
  <si>
    <t>5843 FORBES AVE</t>
  </si>
  <si>
    <t>5839 FORBES AVE ASSOC</t>
  </si>
  <si>
    <t>CENTER AVE UNIT 709</t>
  </si>
  <si>
    <t>SOORIAMURTHI VIJAYASREE  RAJA &amp; ESWER RAJA (H)</t>
  </si>
  <si>
    <t>1548 SHADY AVE</t>
  </si>
  <si>
    <t>SOORIAMURTHI VIJAYASR</t>
  </si>
  <si>
    <t xml:space="preserve">HERRMAN ANDREW P                                </t>
  </si>
  <si>
    <t>5875 AYLESBORO AVE</t>
  </si>
  <si>
    <t xml:space="preserve">KITTUR ANIKET D                                 </t>
  </si>
  <si>
    <t>5886 AYLESBORO AVE</t>
  </si>
  <si>
    <t>LOBL ANDREW B &amp; STACY CHEN (W)</t>
  </si>
  <si>
    <t>1619 SHADY AVE</t>
  </si>
  <si>
    <t>LOBL ANDREW B &amp; STACY</t>
  </si>
  <si>
    <t>BARNYAK MEREDITH &amp; JEREMY (H)</t>
  </si>
  <si>
    <t>1607 SHADY AVE</t>
  </si>
  <si>
    <t xml:space="preserve">DRNOVSEK VALERIE </t>
  </si>
  <si>
    <t>6308 AYLESBORO AVE</t>
  </si>
  <si>
    <t xml:space="preserve">WANG LIPING                                     </t>
  </si>
  <si>
    <t>6312 AYLESBORO AVE</t>
  </si>
  <si>
    <t>YUQING ZHANG &amp; LIPING</t>
  </si>
  <si>
    <t xml:space="preserve">PHILLIPS JEFFREY                                </t>
  </si>
  <si>
    <t>1545 SHADY AVE</t>
  </si>
  <si>
    <t>PARKER SAPNA SHAH &amp; MICHAEL R (H)</t>
  </si>
  <si>
    <t>1611 DENNISTON ST</t>
  </si>
  <si>
    <t xml:space="preserve">THOMSON ALLISON M </t>
  </si>
  <si>
    <t>1623 DENNISTON ST</t>
  </si>
  <si>
    <t xml:space="preserve">MURGA AUDREY &amp; GORKA (H) </t>
  </si>
  <si>
    <t>1606 BEECHWOOD BLVD</t>
  </si>
  <si>
    <t>KRASTMAN DEBORAH &amp; DONALD (H)</t>
  </si>
  <si>
    <t>1600 BEECHWOOD BLVD</t>
  </si>
  <si>
    <t xml:space="preserve">RICHMOND NEIL M </t>
  </si>
  <si>
    <t>1607 BEECHWOOD BLVD</t>
  </si>
  <si>
    <t>REITER CAMPBELL A &amp; TOMER (W)</t>
  </si>
  <si>
    <t>5525 BARTLETT ST</t>
  </si>
  <si>
    <t xml:space="preserve">STARZL RAVI S                                   </t>
  </si>
  <si>
    <t>5528 DARLINGTON RD</t>
  </si>
  <si>
    <t>REX JOSHUA &amp; ANGELA LIBERTO (W)</t>
  </si>
  <si>
    <t>5508 DARLINGTON RD</t>
  </si>
  <si>
    <t xml:space="preserve">SEEBRUCK CHRISTOPHER                            </t>
  </si>
  <si>
    <t>5440 DARLINGTON RD</t>
  </si>
  <si>
    <t>LARGE JAMES M III &amp; SUZETTA (W)</t>
  </si>
  <si>
    <t>5431 DARLINGTON RD</t>
  </si>
  <si>
    <t>LARGE JAMES M III &amp; S</t>
  </si>
  <si>
    <t>SPANOS JOHN J &amp; FANNY D (W)</t>
  </si>
  <si>
    <t>5530 FORBES AVE</t>
  </si>
  <si>
    <t xml:space="preserve">SCHEUERMANN MARTIN P </t>
  </si>
  <si>
    <t>5520 FORBES AVE</t>
  </si>
  <si>
    <t>SCHEUERMANN MARTIN P</t>
  </si>
  <si>
    <t>PEKKER DAVID KAUR PRETTI</t>
  </si>
  <si>
    <t>1718 MURDOCH RD</t>
  </si>
  <si>
    <t xml:space="preserve">LEVEN JORDAN                                    </t>
  </si>
  <si>
    <t>14 DARLINGTON CT</t>
  </si>
  <si>
    <t xml:space="preserve">ZHOU JIAPENG </t>
  </si>
  <si>
    <t>5556 FORBES AVE</t>
  </si>
  <si>
    <t xml:space="preserve">SHEFFLER JOAN M </t>
  </si>
  <si>
    <t>1808 WIGHTMAN ST</t>
  </si>
  <si>
    <t>WELLS DAVID J &amp; OLIVIA C  (W)</t>
  </si>
  <si>
    <t>5621 BARTLETT ST</t>
  </si>
  <si>
    <t>BARTLETT ST</t>
  </si>
  <si>
    <t xml:space="preserve">TODDJACQ LLC </t>
  </si>
  <si>
    <t>5646 DARLINGTON RD</t>
  </si>
  <si>
    <t xml:space="preserve">THOMPSON PHILIP M                               </t>
  </si>
  <si>
    <t>5609 DARLINGTON RD</t>
  </si>
  <si>
    <t xml:space="preserve">LAZAR BRENT K                                   </t>
  </si>
  <si>
    <t>7 HOLLENDEN PL</t>
  </si>
  <si>
    <t>STEARNS LENDING INC.</t>
  </si>
  <si>
    <t>N RAVENSWOOD AVE</t>
  </si>
  <si>
    <t xml:space="preserve">1700 MURRAY AVENUE LLC </t>
  </si>
  <si>
    <t>1700 MURRAY AVE</t>
  </si>
  <si>
    <t>1700 MURRAY AVENUE LL</t>
  </si>
  <si>
    <t>MURRAY AVE FL 2</t>
  </si>
  <si>
    <t xml:space="preserve">GUMERMAN MEIRA </t>
  </si>
  <si>
    <t>5828 FORBES AVE</t>
  </si>
  <si>
    <t>JC INVESTMENT SQUIRREL  HILL PROPERTY LLC</t>
  </si>
  <si>
    <t>5864 FORBES AVE</t>
  </si>
  <si>
    <t>JC INVESTMENT SQUIRRE</t>
  </si>
  <si>
    <t>DORCHESTER DR</t>
  </si>
  <si>
    <t xml:space="preserve">2008 IRREVOCABLE TRUST  FOR VIRGINIA O SHENKAN  </t>
  </si>
  <si>
    <t>5835 DARLINGTON RD</t>
  </si>
  <si>
    <t>2008 IRREVOCABLE TRUS</t>
  </si>
  <si>
    <t>CARLISLE ST</t>
  </si>
  <si>
    <t>JANELL L HINTON  REVOCABLE INTERVIVOS TRU</t>
  </si>
  <si>
    <t>5825 DARLINGTON RD</t>
  </si>
  <si>
    <t>JANELL L HINTON TRUST</t>
  </si>
  <si>
    <t>5821 DARLINGTON RD</t>
  </si>
  <si>
    <t>HINTON JANELL L TRUST</t>
  </si>
  <si>
    <t>1712 MURRAY AVE</t>
  </si>
  <si>
    <t>LINDENBERGER REBECCA S &amp; MICHAEL R (H)</t>
  </si>
  <si>
    <t>5820 DARLINGTON RD</t>
  </si>
  <si>
    <t xml:space="preserve">ABTAN FREIDA A </t>
  </si>
  <si>
    <t>5842 DARLINGTON RD</t>
  </si>
  <si>
    <t xml:space="preserve">FORREST JAMES                                   </t>
  </si>
  <si>
    <t>5855 BARTLETT ST</t>
  </si>
  <si>
    <t>JAMES FORREST</t>
  </si>
  <si>
    <t xml:space="preserve">ZELATA-02 LLC </t>
  </si>
  <si>
    <t>5824 BARTLETT ST</t>
  </si>
  <si>
    <t>ZELATA-02 LLC</t>
  </si>
  <si>
    <t xml:space="preserve">LIN XING X </t>
  </si>
  <si>
    <t>5846 BARTLETT ST</t>
  </si>
  <si>
    <t>CASSANDRA DR</t>
  </si>
  <si>
    <t>CHIANG YA PING WU &amp; TAI CHING (H)</t>
  </si>
  <si>
    <t>5880 FORBES AVE</t>
  </si>
  <si>
    <t>PHILLIPS AVE</t>
  </si>
  <si>
    <t>LABOR ZIONIST FARBAND  EDUCATIONAL CENTER</t>
  </si>
  <si>
    <t>6328 FORBES AVE</t>
  </si>
  <si>
    <t>LABOR ZIONIST FARBAND</t>
  </si>
  <si>
    <t xml:space="preserve">STILLSON NANCY NIDOH </t>
  </si>
  <si>
    <t>6408 FORBES AVE</t>
  </si>
  <si>
    <t>5874 SHADY FORBES  TER</t>
  </si>
  <si>
    <t xml:space="preserve">PATNAM RADHIKA                                  </t>
  </si>
  <si>
    <t>6314 DARLINGTON RD</t>
  </si>
  <si>
    <t xml:space="preserve">WINANT JOHANNA C                                </t>
  </si>
  <si>
    <t>6400 DARLINGTON RD</t>
  </si>
  <si>
    <t>6432 DARLINGTON RD</t>
  </si>
  <si>
    <t>YURKO MICHAEL &amp; CHRISTINA (W)</t>
  </si>
  <si>
    <t>5413 BARTLETT ST</t>
  </si>
  <si>
    <t>FARKAS JOEL ALAN &amp; CHARLESE L (W)</t>
  </si>
  <si>
    <t>5477 BARTLETT ST</t>
  </si>
  <si>
    <t>GOODE ROBERT W &amp; PHYLLIS MOORMAN (W)</t>
  </si>
  <si>
    <t>1932 MURDOCH RD</t>
  </si>
  <si>
    <t>O'CONNOR VIRGINIA ROACH  &amp; THOMAS CATHAL (H)</t>
  </si>
  <si>
    <t>1914 MURDOCH RD</t>
  </si>
  <si>
    <t xml:space="preserve">KURNIKOVA MARIA G </t>
  </si>
  <si>
    <t>5533 BEACON ST</t>
  </si>
  <si>
    <t xml:space="preserve">BINDELL JAY I &amp; BINAH T (W)             </t>
  </si>
  <si>
    <t>5535 KAMIN ST</t>
  </si>
  <si>
    <t>CORTLAND ST</t>
  </si>
  <si>
    <t xml:space="preserve">LIANG NATHAN LOREN                              </t>
  </si>
  <si>
    <t>5504 BEACON ST</t>
  </si>
  <si>
    <t>BATES TOVAH E &amp; MICHAEL D (H)</t>
  </si>
  <si>
    <t>1946 WIGHTMAN ST</t>
  </si>
  <si>
    <t>TALX CORP</t>
  </si>
  <si>
    <t>LACKLAND RD</t>
  </si>
  <si>
    <t xml:space="preserve">LIEBERTHAL ROBERT DAN                           </t>
  </si>
  <si>
    <t>5570 BEACON ST</t>
  </si>
  <si>
    <t>5644 BEACON ST</t>
  </si>
  <si>
    <t xml:space="preserve">WU YA PING </t>
  </si>
  <si>
    <t>5648 BEACON ST</t>
  </si>
  <si>
    <t>MILMASTER NATALIE &amp; DONALD (H)</t>
  </si>
  <si>
    <t>5600 MUNHALL RD UNIT 315</t>
  </si>
  <si>
    <t>MILMASTER NATALIE &amp; D</t>
  </si>
  <si>
    <t>MUNHALL RD APT 315</t>
  </si>
  <si>
    <t xml:space="preserve">TRUSCHEL MARY MARTHA </t>
  </si>
  <si>
    <t>5600 MUNHALL RD UNIT 401</t>
  </si>
  <si>
    <t>MUNHALL RD APT 401</t>
  </si>
  <si>
    <t xml:space="preserve">BRENT NANCY &amp; DAVID (H) </t>
  </si>
  <si>
    <t>5600 MUNHALL RD UNIT 615</t>
  </si>
  <si>
    <t>BRENT NANCY &amp; DAVID (</t>
  </si>
  <si>
    <t>MUNHALL RD UNIT 615</t>
  </si>
  <si>
    <t xml:space="preserve">ACQUAVIVA LISA M                                </t>
  </si>
  <si>
    <t>5715 BEACON ST UNIT 303</t>
  </si>
  <si>
    <t xml:space="preserve">5821 HOBART LLC </t>
  </si>
  <si>
    <t>5821 HOBART ST</t>
  </si>
  <si>
    <t>CHEVYCHASE/CAPITAL ON</t>
  </si>
  <si>
    <t xml:space="preserve">DVIR DAVID &amp; YEHUDIT (W) </t>
  </si>
  <si>
    <t>5833 HOBART ST</t>
  </si>
  <si>
    <t xml:space="preserve">MARKS JORDAN                                    </t>
  </si>
  <si>
    <t>5859 BEACON ST UNIT 304</t>
  </si>
  <si>
    <t>MARKS JOSH</t>
  </si>
  <si>
    <t>ARTISAN CIR</t>
  </si>
  <si>
    <t>ZUCKERBROD JOSEPH B &amp; RACHEL B (W)</t>
  </si>
  <si>
    <t>5911 HOBART ST</t>
  </si>
  <si>
    <t xml:space="preserve">SACHDEVA ANJALI </t>
  </si>
  <si>
    <t>5894 HOBART ST</t>
  </si>
  <si>
    <t>HOBART ST</t>
  </si>
  <si>
    <t>SHUSTERMAN ELIEZER  &amp; CHANA (W)</t>
  </si>
  <si>
    <t>2200 SHADY AVE</t>
  </si>
  <si>
    <t xml:space="preserve">ZHAO YANMANG </t>
  </si>
  <si>
    <t>2205 SHADY AVE</t>
  </si>
  <si>
    <t>ZHAO YANMANG</t>
  </si>
  <si>
    <t>WIMER CIR</t>
  </si>
  <si>
    <t xml:space="preserve">BAKER ALAN </t>
  </si>
  <si>
    <t>6348 DOUGLAS ST</t>
  </si>
  <si>
    <t>ROSE THOMPSON</t>
  </si>
  <si>
    <t>LEBANON MANOR DR</t>
  </si>
  <si>
    <t xml:space="preserve">GOLDBLATT NATHAN L                              </t>
  </si>
  <si>
    <t>6345 DOUGLAS ST</t>
  </si>
  <si>
    <t>GOLDBLATT NATHAN L</t>
  </si>
  <si>
    <t>DOUGLAS ST</t>
  </si>
  <si>
    <t xml:space="preserve">BLUME/MCGARRY FAMILY  TRUST                   </t>
  </si>
  <si>
    <t>6306 BEACON ST</t>
  </si>
  <si>
    <t xml:space="preserve">MINTO NATHANIEL A                               </t>
  </si>
  <si>
    <t>6500 BEACON ST</t>
  </si>
  <si>
    <t xml:space="preserve">GLASSNER YITZCHOK </t>
  </si>
  <si>
    <t>6413 BEACON ST</t>
  </si>
  <si>
    <t>GLASSNER YITZCHOK</t>
  </si>
  <si>
    <t xml:space="preserve">FABBRO REBECCA                                  </t>
  </si>
  <si>
    <t>6323 BEACON ST</t>
  </si>
  <si>
    <t xml:space="preserve">KREITHEN AMY M                                  </t>
  </si>
  <si>
    <t>5416 BEACON ST</t>
  </si>
  <si>
    <t>AMY M KREITHEN MICHAE</t>
  </si>
  <si>
    <t>KAMIN ST</t>
  </si>
  <si>
    <t xml:space="preserve">PENG YANG </t>
  </si>
  <si>
    <t>5422 BEACON ST</t>
  </si>
  <si>
    <t>PENG YANG</t>
  </si>
  <si>
    <t xml:space="preserve">FRIEDMAN TZVI &amp; BRITTNEY (W)            </t>
  </si>
  <si>
    <t>5430 BEACON ST</t>
  </si>
  <si>
    <t>FRIEDMAN TZVI &amp; BRITT</t>
  </si>
  <si>
    <t>BOLOTEN ALEXANDER Y &amp; MATANA N (W)</t>
  </si>
  <si>
    <t>5501 KAMIN ST</t>
  </si>
  <si>
    <t xml:space="preserve">TUCK ANDREW ROBERT                              </t>
  </si>
  <si>
    <t>5413 GUARINO RD</t>
  </si>
  <si>
    <t xml:space="preserve">SCHATTEN GERALD P </t>
  </si>
  <si>
    <t>5406 GUARINO RD</t>
  </si>
  <si>
    <t>SCHATTEN GERALD P</t>
  </si>
  <si>
    <t>GUARINO RD</t>
  </si>
  <si>
    <t xml:space="preserve">FICHTER CASSIE N                                </t>
  </si>
  <si>
    <t>5414 GUARINO RD</t>
  </si>
  <si>
    <t>SHINER MICHAEL A &amp; AMY M KREITHEN</t>
  </si>
  <si>
    <t>5510 KAMIN ST</t>
  </si>
  <si>
    <t xml:space="preserve">FANG LEI                                        </t>
  </si>
  <si>
    <t>5509 HOBART ST</t>
  </si>
  <si>
    <t>THE MONEY STORE</t>
  </si>
  <si>
    <t>PISTORIUS PETRUS  CHRISTIAN &amp; MANLEY SHARO</t>
  </si>
  <si>
    <t>5406 HOBART ST</t>
  </si>
  <si>
    <t>FEINSTEIN STEVEN F &amp; KAREN W (W)</t>
  </si>
  <si>
    <t>5436 HOBART ST</t>
  </si>
  <si>
    <t xml:space="preserve">FEINSTEIN STEVEN F &amp; </t>
  </si>
  <si>
    <t>LOBL ANDREW B &amp; STACY (W)</t>
  </si>
  <si>
    <t>5500 HOBART ST</t>
  </si>
  <si>
    <t xml:space="preserve">KUBITZ ALAN  &amp; KAREN (W) </t>
  </si>
  <si>
    <t>5528 HOBART ST</t>
  </si>
  <si>
    <t>COVODE FORWARD  PROPERTIES LLC</t>
  </si>
  <si>
    <t>5532 COVODE ST</t>
  </si>
  <si>
    <t>COVODE FORWARD PROPER</t>
  </si>
  <si>
    <t>FIFTH AVE # 63</t>
  </si>
  <si>
    <t xml:space="preserve">GRISCOM WILLIAM S                               </t>
  </si>
  <si>
    <t>5433 COVODE PL</t>
  </si>
  <si>
    <t xml:space="preserve">DIMATTIO KELLY MARIE </t>
  </si>
  <si>
    <t>5439 POCUSSET ST</t>
  </si>
  <si>
    <t xml:space="preserve">DEEB SHIREEN                                    </t>
  </si>
  <si>
    <t>5471 POCUSSET ST</t>
  </si>
  <si>
    <t xml:space="preserve">VISWANATHAN PREMPRAKAASH </t>
  </si>
  <si>
    <t>5533 PHILLIPS AVE</t>
  </si>
  <si>
    <t>VISWANATHAN PREMPRAKA</t>
  </si>
  <si>
    <t>PHILLLIPS AVE</t>
  </si>
  <si>
    <t xml:space="preserve">SPRUILL JAMES </t>
  </si>
  <si>
    <t>2026 WIGHTMAN ST</t>
  </si>
  <si>
    <t>BABCOCK BLVD ATP 304</t>
  </si>
  <si>
    <t xml:space="preserve">YU WAI KI TRACY </t>
  </si>
  <si>
    <t>5552 BEACON ST UNIT 14</t>
  </si>
  <si>
    <t xml:space="preserve">LUBAVITCH CENTER INC </t>
  </si>
  <si>
    <t>2142 WIGHTMAN ST</t>
  </si>
  <si>
    <t xml:space="preserve">5616 PHILLIPS LLC </t>
  </si>
  <si>
    <t>5616 PHILLIPS AVE</t>
  </si>
  <si>
    <t>5616 PHILLIPS LLC</t>
  </si>
  <si>
    <t>PO BOX 81654</t>
  </si>
  <si>
    <t xml:space="preserve">WEISS GEORGE </t>
  </si>
  <si>
    <t>5666 PHILLIPS AVE</t>
  </si>
  <si>
    <t xml:space="preserve">BIELICH NORMA M </t>
  </si>
  <si>
    <t>5700 HOBART ST</t>
  </si>
  <si>
    <t>5706 PHILLIPS AVE</t>
  </si>
  <si>
    <t>2242 MURRAY AVE</t>
  </si>
  <si>
    <t xml:space="preserve">FLOR ROEY </t>
  </si>
  <si>
    <t>5813 NICHOLSON ST</t>
  </si>
  <si>
    <t>16 KATZ CREW LP          ETAL</t>
  </si>
  <si>
    <t>2225 MURRAY AVE</t>
  </si>
  <si>
    <t>16 KATZ CREW LP</t>
  </si>
  <si>
    <t>LINCOLN HTS</t>
  </si>
  <si>
    <t>RAMONELL RICHARD &amp; KIMBERLY (W)</t>
  </si>
  <si>
    <t>5859 PHILLIPS AVE</t>
  </si>
  <si>
    <t>FAKIRO GAVRIEL  &amp; GILA (W)</t>
  </si>
  <si>
    <t>5848 DOUGLAS ST</t>
  </si>
  <si>
    <t>HASKELL BENJAMIN &amp; SARALINDA (W)</t>
  </si>
  <si>
    <t>5839 DOUGLAS ST</t>
  </si>
  <si>
    <t xml:space="preserve">CHIBISOV VITALY                                 </t>
  </si>
  <si>
    <t>5831 DOUGLAS ST</t>
  </si>
  <si>
    <t>NASSAU ST APT 8D</t>
  </si>
  <si>
    <t xml:space="preserve">KASHI RON </t>
  </si>
  <si>
    <t>2121 MURRAY AVE</t>
  </si>
  <si>
    <t xml:space="preserve">GOLAX LLC </t>
  </si>
  <si>
    <t>5900 DOUGLAS ST</t>
  </si>
  <si>
    <t>GOLAX LLC</t>
  </si>
  <si>
    <t>SWEARINGEN BRIAN  &amp; LAURE (W)</t>
  </si>
  <si>
    <t>5902 DOUGLAS ST</t>
  </si>
  <si>
    <t xml:space="preserve">NORWOOD RYAN N                                  </t>
  </si>
  <si>
    <t>5906 DOUGLAS ST</t>
  </si>
  <si>
    <t xml:space="preserve">MA XIAOTIAN                                     </t>
  </si>
  <si>
    <t>5918 DOUGLAS ST</t>
  </si>
  <si>
    <t>ROSENSTEIN JAMES H &amp; ADRIANA Z (W)</t>
  </si>
  <si>
    <t>2202 SHADY AVE</t>
  </si>
  <si>
    <t>SCHAEFER ADAM &amp; HANNAH (W)</t>
  </si>
  <si>
    <t>2224 SHADY AVE</t>
  </si>
  <si>
    <t xml:space="preserve">JOFFE MATTHEW D &amp;                         </t>
  </si>
  <si>
    <t>5919 PHILLIPS AVE</t>
  </si>
  <si>
    <t xml:space="preserve">GIVON LEV E                                     </t>
  </si>
  <si>
    <t>5915 PHILLIPS AVE</t>
  </si>
  <si>
    <t>5922 PHILLIPS AVE</t>
  </si>
  <si>
    <t xml:space="preserve">MACHENGELT LLC </t>
  </si>
  <si>
    <t>5932 PHILLIPS AVE</t>
  </si>
  <si>
    <t>MACHENGELT LLC</t>
  </si>
  <si>
    <t xml:space="preserve">MSSHSS TRUST </t>
  </si>
  <si>
    <t>5925 NICHOLSON ST</t>
  </si>
  <si>
    <t>SCHWARTZ MARCE S &amp; HO</t>
  </si>
  <si>
    <t xml:space="preserve">CERDA MATTHEW P                                 </t>
  </si>
  <si>
    <t>6337 CROMBIE ST</t>
  </si>
  <si>
    <t>CROMBIE STREET TRUST     ETAL</t>
  </si>
  <si>
    <t>6327 CROMBIE ST</t>
  </si>
  <si>
    <t>NEW PENN FINANCIAL LL</t>
  </si>
  <si>
    <t>CHEMICAL RD</t>
  </si>
  <si>
    <t>PLYMOUTH MEETI</t>
  </si>
  <si>
    <t xml:space="preserve">GUTMAN BELLE </t>
  </si>
  <si>
    <t>6335 WALDRON ST</t>
  </si>
  <si>
    <t>WALDRON ST</t>
  </si>
  <si>
    <t>CHESTER ARI M PROMARAK PAWANYA (W)</t>
  </si>
  <si>
    <t>6347 PHILLIPS AVE</t>
  </si>
  <si>
    <t>6313 PHILLIPS AVE</t>
  </si>
  <si>
    <t xml:space="preserve">YOUNKINS DOROTHY J                              </t>
  </si>
  <si>
    <t>6320 DOUGLAS ST</t>
  </si>
  <si>
    <t xml:space="preserve">FRAUNDORF SCOTT H </t>
  </si>
  <si>
    <t>5531 POCUSSET ST</t>
  </si>
  <si>
    <t xml:space="preserve">KRIFCHER EDWARD </t>
  </si>
  <si>
    <t>5544 POCUSSET ST</t>
  </si>
  <si>
    <t xml:space="preserve">DONG SHIWEI                                     </t>
  </si>
  <si>
    <t>5561 POCUSSET ST</t>
  </si>
  <si>
    <t xml:space="preserve">SONDHEIMER EMILY &amp; NORMAN (H)              </t>
  </si>
  <si>
    <t>5563 POCUSSET ST</t>
  </si>
  <si>
    <t xml:space="preserve">RED REAL ESTATE LLC </t>
  </si>
  <si>
    <t>2220 WIGHTMAN ST</t>
  </si>
  <si>
    <t>BAUM BLVD STE 1</t>
  </si>
  <si>
    <t xml:space="preserve">ROFFMAN AMIRAM SEVENTH  AMENDED AND TRUST       </t>
  </si>
  <si>
    <t>5631 MELVIN ST</t>
  </si>
  <si>
    <t>ROFFMAN AMIRAM SEVENT</t>
  </si>
  <si>
    <t>SMALL DAVID J &amp; MIRIAM S (W)</t>
  </si>
  <si>
    <t>5673 MELVIN ST</t>
  </si>
  <si>
    <t>MELVIN ST</t>
  </si>
  <si>
    <t xml:space="preserve">WANG JIANREN </t>
  </si>
  <si>
    <t>5701 MELVIN ST</t>
  </si>
  <si>
    <t>WANG JIANREN</t>
  </si>
  <si>
    <t>CENTRE AVE UNIT 517</t>
  </si>
  <si>
    <t>5705 MELVIN ST</t>
  </si>
  <si>
    <t xml:space="preserve">JONES JOHN DAVID                                </t>
  </si>
  <si>
    <t>5644 MELVIN ST</t>
  </si>
  <si>
    <t>JONES JOHN DAVID</t>
  </si>
  <si>
    <t>STANWIX ST STE 1100</t>
  </si>
  <si>
    <t xml:space="preserve">ELINOFF PAULA EPSTEIN </t>
  </si>
  <si>
    <t>5606 POCUSSET ST</t>
  </si>
  <si>
    <t xml:space="preserve">CHI YUEJIE (H)                                  </t>
  </si>
  <si>
    <t>5735 POCUSSET ST</t>
  </si>
  <si>
    <t>NICHOLSON ST</t>
  </si>
  <si>
    <t xml:space="preserve">SQUIRREL HILL GATEWAY  LOFTS LP                </t>
  </si>
  <si>
    <t>2615 MURRAY AVE</t>
  </si>
  <si>
    <t>23 KATZ CREW LP          ETAL</t>
  </si>
  <si>
    <t>2628 SHADY AVE</t>
  </si>
  <si>
    <t>BRANDYWINE AGENCY</t>
  </si>
  <si>
    <t>AHI FORWARD COMMERCIAL INC</t>
  </si>
  <si>
    <t>5808 FORWARD AVE</t>
  </si>
  <si>
    <t xml:space="preserve">FLATS ON FORWARD LP </t>
  </si>
  <si>
    <t>2605 MURRAY AVE</t>
  </si>
  <si>
    <t>WNUK IRVING M &amp; CATHERINE A (W)</t>
  </si>
  <si>
    <t>2345 ELDRIDGE ST</t>
  </si>
  <si>
    <t>ELDRIDGE ST</t>
  </si>
  <si>
    <t xml:space="preserve">LORENCE MICHAEL J JR &amp; PATRICIA TANAKA B LANEY </t>
  </si>
  <si>
    <t>2339 ELDRIDGE ST</t>
  </si>
  <si>
    <t xml:space="preserve">LORENCE MICHAEL J JR </t>
  </si>
  <si>
    <t xml:space="preserve">MARCHESIANO ANTHONY C </t>
  </si>
  <si>
    <t>2333 SHERBROOK ST</t>
  </si>
  <si>
    <t>SHERBROOK ST</t>
  </si>
  <si>
    <t>SILVERMAN DANIEL MARK &amp; RUTH ABRAMS (W)</t>
  </si>
  <si>
    <t>2320 SHADY AVE</t>
  </si>
  <si>
    <t>PACIFIC RESIDENTIAL M</t>
  </si>
  <si>
    <t>SW BEAVERTON HILLSDALE HWY STE</t>
  </si>
  <si>
    <t>BEAVERTON</t>
  </si>
  <si>
    <t xml:space="preserve">RIPLEY STEPHEN CARLTON                          </t>
  </si>
  <si>
    <t>2309 SHADY AVE</t>
  </si>
  <si>
    <t>2300 TILBURY AVE</t>
  </si>
  <si>
    <t>TILBURY AVE</t>
  </si>
  <si>
    <t>6334 CROMBIE ST</t>
  </si>
  <si>
    <t>THE MSSHSS TRUST</t>
  </si>
  <si>
    <t xml:space="preserve">CALANGELO CHRISTA                               </t>
  </si>
  <si>
    <t>2301 TILBURY AVE</t>
  </si>
  <si>
    <t>SUPERIOR AVE</t>
  </si>
  <si>
    <t xml:space="preserve">WURZEL PALMA H </t>
  </si>
  <si>
    <t>6419 NICHOLSON ST</t>
  </si>
  <si>
    <t>WURZEL PALMA H</t>
  </si>
  <si>
    <t xml:space="preserve">PA RENOVATIONS CREW LLC </t>
  </si>
  <si>
    <t>6334 FORWARD AVE</t>
  </si>
  <si>
    <t>PA RENOVATIONS CREW L</t>
  </si>
  <si>
    <t>5878 BURCHFIELD AVE</t>
  </si>
  <si>
    <t>5858 ALDERSON ST</t>
  </si>
  <si>
    <t>AMAN &amp; NIKHIL PROPERTIES LLC</t>
  </si>
  <si>
    <t>5856 ALDERSON ST</t>
  </si>
  <si>
    <t>AMAN &amp; NIKHIL PROPERT</t>
  </si>
  <si>
    <t>GROOMES CT</t>
  </si>
  <si>
    <t>KRIVJANSKY THOMAS J SR   ETAL</t>
  </si>
  <si>
    <t>5841 MORROWFIELD AVE UNIT 205</t>
  </si>
  <si>
    <t>RITA K KRIVJANSKY STO</t>
  </si>
  <si>
    <t>NATIONAL PIKE</t>
  </si>
  <si>
    <t>BOONSBORO</t>
  </si>
  <si>
    <t xml:space="preserve">WHITMAN JILL R </t>
  </si>
  <si>
    <t>5841 MORROWFIELD AVE UNIT 209</t>
  </si>
  <si>
    <t>MORROWFIELD AVE APT 209</t>
  </si>
  <si>
    <t xml:space="preserve">BARBER ARKADY </t>
  </si>
  <si>
    <t>5841 MORROWFIELD AVE UNIT 210</t>
  </si>
  <si>
    <t>DRAPER &amp; KRAMER MORTG</t>
  </si>
  <si>
    <t>OPUS PL STE 200</t>
  </si>
  <si>
    <t>DOWNERS GROVE</t>
  </si>
  <si>
    <t xml:space="preserve">BUPP MICHAEL C                                  </t>
  </si>
  <si>
    <t>5854 MORROWFIELD AVE</t>
  </si>
  <si>
    <t>5860 MORROWFIELD AVE</t>
  </si>
  <si>
    <t xml:space="preserve">LEMKOV MIKHAIL                                  </t>
  </si>
  <si>
    <t>5857 BURCHFIELD AVE</t>
  </si>
  <si>
    <t>REINHERZ ADAM D &amp; ARIELLA T (W)</t>
  </si>
  <si>
    <t>6308 BURCHFIELD AVE</t>
  </si>
  <si>
    <t>REINHERZ ADAM D &amp; ARI</t>
  </si>
  <si>
    <t>BLUE GENTIAN RD</t>
  </si>
  <si>
    <t>SAINT PAUL</t>
  </si>
  <si>
    <t>DROZ DAVID COHEN &amp; ALEXANDRA SPERLING (W)</t>
  </si>
  <si>
    <t>6361 BURCHFIELD AVE</t>
  </si>
  <si>
    <t>DROZ DAVID COHEN &amp; AL</t>
  </si>
  <si>
    <t>BURCHFIELD AVE</t>
  </si>
  <si>
    <t xml:space="preserve">PHILBIN JENNIFER                                </t>
  </si>
  <si>
    <t>6342 ALDERSON ST</t>
  </si>
  <si>
    <t>ALDERSON ST</t>
  </si>
  <si>
    <t xml:space="preserve">GREELEY HENRY EVAN WADE                         </t>
  </si>
  <si>
    <t>6324 ALDERSON ST</t>
  </si>
  <si>
    <t>6329 ALDERSON ST</t>
  </si>
  <si>
    <t xml:space="preserve">KIHL BARRY &amp; MARIA A (W) </t>
  </si>
  <si>
    <t>6351 ALDERSON ST</t>
  </si>
  <si>
    <t xml:space="preserve">KIHL BARRY &amp; MARIA A </t>
  </si>
  <si>
    <t xml:space="preserve">KILEY ANDREW CLARK                              </t>
  </si>
  <si>
    <t>6358 ALDERSON ST</t>
  </si>
  <si>
    <t>EVANSVILLE TEACHERS F</t>
  </si>
  <si>
    <t>2755 BEECHWOOD BLVD</t>
  </si>
  <si>
    <t xml:space="preserve">MOSELEY BENJAMIN J                              </t>
  </si>
  <si>
    <t>2747 BEECHWOOD BLVD</t>
  </si>
  <si>
    <t>PERKINS PETER D JR &amp; JENNIFER L (W)</t>
  </si>
  <si>
    <t>2635 BEECHWOOD BLVD</t>
  </si>
  <si>
    <t>MYERS GLENN &amp; SHAUNDRA (W)</t>
  </si>
  <si>
    <t>2578 BEECHWOOD BLVD</t>
  </si>
  <si>
    <t>GLENN &amp; SHAUNDRA MYER</t>
  </si>
  <si>
    <t xml:space="preserve">LESSLER JAY &amp; JOELLE (W) </t>
  </si>
  <si>
    <t>4040 LUDWICK ST</t>
  </si>
  <si>
    <t xml:space="preserve">LESSLER JAY &amp; JOELLE </t>
  </si>
  <si>
    <t>GIRRARD ST</t>
  </si>
  <si>
    <t xml:space="preserve">REVOCABLE TRUST  AGREEMENT FAYE ORLOVE   </t>
  </si>
  <si>
    <t>4038 LUDWICK ST</t>
  </si>
  <si>
    <t>REVOCABLE TRUST AGREE</t>
  </si>
  <si>
    <t>BEACON ST APT 216</t>
  </si>
  <si>
    <t xml:space="preserve">PARK GREGORY </t>
  </si>
  <si>
    <t>4025 SALINE ST</t>
  </si>
  <si>
    <t>PARK GREGORY</t>
  </si>
  <si>
    <t>KORZENIWSKY JERRY &amp; MARIA (W)</t>
  </si>
  <si>
    <t>6345 CATON ST</t>
  </si>
  <si>
    <t>KORZENIWSKY JERRY &amp; M</t>
  </si>
  <si>
    <t>CATON ST</t>
  </si>
  <si>
    <t>NAMESTNIK LISA &amp; DAVID J NAMESTNIK</t>
  </si>
  <si>
    <t>6335 CATON ST</t>
  </si>
  <si>
    <t xml:space="preserve">LITMAN JOELLE </t>
  </si>
  <si>
    <t>6378 EBDY ST</t>
  </si>
  <si>
    <t>2826 BEECHWOOD BLVD</t>
  </si>
  <si>
    <t xml:space="preserve">FELDMAN PATRICIA S </t>
  </si>
  <si>
    <t>6329 EBDY ST</t>
  </si>
  <si>
    <t>EARLY DAVID L &amp; SANDRA K (W)</t>
  </si>
  <si>
    <t>6323 EBDY ST</t>
  </si>
  <si>
    <t xml:space="preserve">KLIMASARA MAXINE M </t>
  </si>
  <si>
    <t>6308 MONITOR ST</t>
  </si>
  <si>
    <t>MONITOR ST</t>
  </si>
  <si>
    <t>KALLA RONALD R &amp; JO ANN (W)</t>
  </si>
  <si>
    <t>6340 BURCHFIELD AVE</t>
  </si>
  <si>
    <t xml:space="preserve">NUTINI LISA DIGIOIA </t>
  </si>
  <si>
    <t>6244 MONITOR ST</t>
  </si>
  <si>
    <t xml:space="preserve">LA FOREST GREGORY </t>
  </si>
  <si>
    <t>3016 SHADY AVE</t>
  </si>
  <si>
    <t>WADDELL STANIE &amp; ROSITA (W)</t>
  </si>
  <si>
    <t>2783 BEECHWOOD BLVD</t>
  </si>
  <si>
    <t xml:space="preserve">ROBERTSON ANNE MARIE </t>
  </si>
  <si>
    <t>2763 BEECHWOOD BLVD</t>
  </si>
  <si>
    <t xml:space="preserve">MUFFET MOLLY </t>
  </si>
  <si>
    <t>6453 MONITOR ST</t>
  </si>
  <si>
    <t>MUFFET MOLLY</t>
  </si>
  <si>
    <t xml:space="preserve">VOGEL  MICHAEL                                  </t>
  </si>
  <si>
    <t>6440 MONITOR ST</t>
  </si>
  <si>
    <t xml:space="preserve">KLEIN AGNES V                                   </t>
  </si>
  <si>
    <t>6434 MONITOR ST</t>
  </si>
  <si>
    <t>DIDONATO ROBERT &amp; CARLA (W)</t>
  </si>
  <si>
    <t>6430 MONITOR ST</t>
  </si>
  <si>
    <t>DIDONATO ROBERT &amp; CAR</t>
  </si>
  <si>
    <t>ROSENTHAL JEFFREY A &amp; LYNN R (W)</t>
  </si>
  <si>
    <t>2827 BEECHWOOD BLVD</t>
  </si>
  <si>
    <t xml:space="preserve">GREEN STUART H </t>
  </si>
  <si>
    <t>2916 FERNWALD RD</t>
  </si>
  <si>
    <t>FERNWALD RD</t>
  </si>
  <si>
    <t xml:space="preserve">SHIN SANGYOUNG </t>
  </si>
  <si>
    <t>254 ANITA AVE</t>
  </si>
  <si>
    <t>SHUMAN TOBI L &amp; BRYAN H (H)</t>
  </si>
  <si>
    <t>4231 SALINE ST</t>
  </si>
  <si>
    <t>SHUMAN TOBI L &amp; BRYAN</t>
  </si>
  <si>
    <t xml:space="preserve">MAZEFSKY DIANE                                  </t>
  </si>
  <si>
    <t>18 TIMBERLINE CT</t>
  </si>
  <si>
    <t>TIMBERLINE CT</t>
  </si>
  <si>
    <t>BOSSINGER WAYNE G &amp; JOANN S (W)</t>
  </si>
  <si>
    <t>6421 LANDVIEW RD</t>
  </si>
  <si>
    <t>LANDVIEW RD</t>
  </si>
  <si>
    <t xml:space="preserve">PROSDOCIMO STEPHANIE </t>
  </si>
  <si>
    <t>6376 CATON ST</t>
  </si>
  <si>
    <t xml:space="preserve">DOW JOHN T &amp; DONNA B (W) </t>
  </si>
  <si>
    <t>6560 ROSEMOOR ST</t>
  </si>
  <si>
    <t>ROSEMOOR ST</t>
  </si>
  <si>
    <t>6540 ROSEMOOR ST</t>
  </si>
  <si>
    <t>CHUDNOVSKY BORIS A &amp; BELLA I CHUDNOVSKY</t>
  </si>
  <si>
    <t>6522 ROSEMOOR ST</t>
  </si>
  <si>
    <t xml:space="preserve">MOHIMANI HOSEIN                                 </t>
  </si>
  <si>
    <t>0 BIRCHWOOD AVE</t>
  </si>
  <si>
    <t>ROUNDPOINT MORTGAGE</t>
  </si>
  <si>
    <t>0 LANDVIEW RD</t>
  </si>
  <si>
    <t xml:space="preserve">SHINDE CHAITANYA N </t>
  </si>
  <si>
    <t>4310 LUSTER ST</t>
  </si>
  <si>
    <t xml:space="preserve">RUBIN JOSEPH &amp; LEONA (W) </t>
  </si>
  <si>
    <t xml:space="preserve">RUBIN JOSEPH &amp; LEONA </t>
  </si>
  <si>
    <t xml:space="preserve">RUBIN RICHARD J </t>
  </si>
  <si>
    <t>6444 LANDVIEW RD</t>
  </si>
  <si>
    <t xml:space="preserve">SOLOMON ELAINE </t>
  </si>
  <si>
    <t>261 ANITA AVE</t>
  </si>
  <si>
    <t>ANITA AVE</t>
  </si>
  <si>
    <t>MANN MELLISSA R &amp; MARC C (H)</t>
  </si>
  <si>
    <t>158 GILDA AVE</t>
  </si>
  <si>
    <t xml:space="preserve">WEISS LOUIS </t>
  </si>
  <si>
    <t>2975 BEECHWOOD BLVD</t>
  </si>
  <si>
    <t xml:space="preserve">EDWARD JOHN STARTARI  LIVING TRUST            </t>
  </si>
  <si>
    <t>6601 ROSEMOOR ST</t>
  </si>
  <si>
    <t>RIVERVIEW TER</t>
  </si>
  <si>
    <t xml:space="preserve">VUCIC JANICE </t>
  </si>
  <si>
    <t>2958 BEECHWOOD BLVD</t>
  </si>
  <si>
    <t xml:space="preserve">ANDRIANOS NIKOS P </t>
  </si>
  <si>
    <t>2864 BEECHWOOD BLVD</t>
  </si>
  <si>
    <t xml:space="preserve">RIM SANDRA </t>
  </si>
  <si>
    <t>4301 SALINE ST</t>
  </si>
  <si>
    <t xml:space="preserve">LISITSA GALINA </t>
  </si>
  <si>
    <t>3336 BEECHWOOD BLVD</t>
  </si>
  <si>
    <t xml:space="preserve">VO THY M                                        </t>
  </si>
  <si>
    <t>4344 LUDWICK ST</t>
  </si>
  <si>
    <t xml:space="preserve">KEPES KEVIN </t>
  </si>
  <si>
    <t>3318 SHADY AVE EXT</t>
  </si>
  <si>
    <t xml:space="preserve">TOFOVIC STEVAN P                                </t>
  </si>
  <si>
    <t>0 BEECHWOOD BLVD</t>
  </si>
  <si>
    <t xml:space="preserve">STANKORB JOHANNA </t>
  </si>
  <si>
    <t>3138 BEECHWOOD BLVD</t>
  </si>
  <si>
    <t xml:space="preserve">WANG HAOTIAN </t>
  </si>
  <si>
    <t>4319 LUSTER ST</t>
  </si>
  <si>
    <t xml:space="preserve">MACLAREN BENJAMIN A </t>
  </si>
  <si>
    <t>3080 BEECHWOOD BLVD</t>
  </si>
  <si>
    <t>RAMON DR</t>
  </si>
  <si>
    <t>RUCCIO LUCY R &amp; JONATHAN LEE (H)</t>
  </si>
  <si>
    <t>3060 BEECHWOOD BLVD</t>
  </si>
  <si>
    <t xml:space="preserve">SCERRI PAUL </t>
  </si>
  <si>
    <t>3161 BEECHWOOD BLVD</t>
  </si>
  <si>
    <t>TUXION RD</t>
  </si>
  <si>
    <t xml:space="preserve">UNITY PROPERTIES LLC </t>
  </si>
  <si>
    <t>0 GUY ST</t>
  </si>
  <si>
    <t>STANWIX ST APT 2505</t>
  </si>
  <si>
    <t>3330 GUY ST</t>
  </si>
  <si>
    <t xml:space="preserve">RAVICK LOUIS </t>
  </si>
  <si>
    <t>0 KEMPER ST</t>
  </si>
  <si>
    <t>PO BOX 32</t>
  </si>
  <si>
    <t>0 MAROMAS ST</t>
  </si>
  <si>
    <t>POLITO CARMELLA MARIA &amp; ISOLINE DELLA MA E</t>
  </si>
  <si>
    <t xml:space="preserve">GREEN DEREK </t>
  </si>
  <si>
    <t>6445 KEMPER ST</t>
  </si>
  <si>
    <t>PO BOX 8242</t>
  </si>
  <si>
    <t>MARK S &amp; RHONDA A HORVITZ REVOCAB</t>
  </si>
  <si>
    <t>1347 FAIRSTEAD LN</t>
  </si>
  <si>
    <t>MARK S &amp; RHONDA A HOR</t>
  </si>
  <si>
    <t xml:space="preserve">CHAN SERENA HSI JU </t>
  </si>
  <si>
    <t>104 OVERTON LN</t>
  </si>
  <si>
    <t>COHEN ARTHUR E &amp; SUE ELLEN SEVER (W)</t>
  </si>
  <si>
    <t>114 OVERTON LN</t>
  </si>
  <si>
    <t xml:space="preserve">COHEN ARTHUR E &amp; SUE </t>
  </si>
  <si>
    <t>OVERTON LN</t>
  </si>
  <si>
    <t xml:space="preserve">KITCHEN JAMES T </t>
  </si>
  <si>
    <t>228 BURKETON LN</t>
  </si>
  <si>
    <t xml:space="preserve">YAO ZHIYING </t>
  </si>
  <si>
    <t>1527 BILTMORE LN</t>
  </si>
  <si>
    <t xml:space="preserve">ZHENG DANIELLE                                  </t>
  </si>
  <si>
    <t>1511 OVERTON LN</t>
  </si>
  <si>
    <t xml:space="preserve">JEYABALAN ARUNDHATHI </t>
  </si>
  <si>
    <t>1530 OVERTON LN</t>
  </si>
  <si>
    <t>EGLASH RACHEL &amp; BRIAN (H)</t>
  </si>
  <si>
    <t>207 MCLEAN PL</t>
  </si>
  <si>
    <t>EGLASH RACHEL &amp; BRIAN</t>
  </si>
  <si>
    <t>MCLEAN PL</t>
  </si>
  <si>
    <t>TOWNES FREDERICK  WILLIAM &amp; TINA CHI</t>
  </si>
  <si>
    <t>243 BURKETON LN</t>
  </si>
  <si>
    <t>ARNOWITZ MAYER M &amp; JOYCE B (W)</t>
  </si>
  <si>
    <t>249 BURKETON LN</t>
  </si>
  <si>
    <t>BURKETON LN</t>
  </si>
  <si>
    <t xml:space="preserve">NG JASON M </t>
  </si>
  <si>
    <t>257 BURKETON LN</t>
  </si>
  <si>
    <t>HAFFNER MARK &amp; SHELLY (W)</t>
  </si>
  <si>
    <t>1605 BILTMORE LN</t>
  </si>
  <si>
    <t xml:space="preserve">LAWTER JOHN J </t>
  </si>
  <si>
    <t>1609 BILTMORE LN</t>
  </si>
  <si>
    <t>BILTMORE LN</t>
  </si>
  <si>
    <t xml:space="preserve">SHARMA TARUN S                                  </t>
  </si>
  <si>
    <t>1613 BILTMORE LN</t>
  </si>
  <si>
    <t xml:space="preserve">MCHUGH STEPHEN                                  </t>
  </si>
  <si>
    <t>1619 BILTMORE LN</t>
  </si>
  <si>
    <t>SHRIBER STEVEN &amp; SHANAN (W)</t>
  </si>
  <si>
    <t>1623 BILTMORE LN</t>
  </si>
  <si>
    <t xml:space="preserve">BEECHWOOD LEASING LLC </t>
  </si>
  <si>
    <t>3301 BEECHWOOD BLVD</t>
  </si>
  <si>
    <t xml:space="preserve">SHAUGHNESSY THOMAS                              </t>
  </si>
  <si>
    <t>3319 BEECHWOOD BLVD</t>
  </si>
  <si>
    <t>JAMES J JOSEPH TRUST     ETAL</t>
  </si>
  <si>
    <t>1627 BILTMORE LN</t>
  </si>
  <si>
    <t>JAMES J JOSEPH TRUST</t>
  </si>
  <si>
    <t xml:space="preserve">ZINGLE ROGER &amp; SHARI (W) </t>
  </si>
  <si>
    <t>1629 BILTMORE LN</t>
  </si>
  <si>
    <t>ZINGLE ROGER &amp; SHARI</t>
  </si>
  <si>
    <t xml:space="preserve">ROTH RICHARD &amp; ANN (W) </t>
  </si>
  <si>
    <t>1631 BILTMORE LN</t>
  </si>
  <si>
    <t>ROTH RICHARD &amp; ANN (W</t>
  </si>
  <si>
    <t xml:space="preserve">HERNANDEZ ARCADIO  AGUDELO                 </t>
  </si>
  <si>
    <t>1635 BILTMORE LN</t>
  </si>
  <si>
    <t>BUTERA ANGELO &amp; CYNTHIA (W)</t>
  </si>
  <si>
    <t>1641 BILTMORE LN</t>
  </si>
  <si>
    <t>BUTERA ANGELO &amp; CYNTH</t>
  </si>
  <si>
    <t>150TH AVE UNIT 203</t>
  </si>
  <si>
    <t>SAINT PETERSBU</t>
  </si>
  <si>
    <t>CHISLAGHI CHARLES T &amp; MARILYN C (W)</t>
  </si>
  <si>
    <t>1645 BILTMORE LN</t>
  </si>
  <si>
    <t xml:space="preserve">BACKER ALICE </t>
  </si>
  <si>
    <t>1649 BILTMORE LN</t>
  </si>
  <si>
    <t>YOHE RICHARD F JR &amp; KIMBERLY A (W)</t>
  </si>
  <si>
    <t>1655 BILTMORE LN</t>
  </si>
  <si>
    <t>RHODES JONATHAN A &amp; AMY L (W)</t>
  </si>
  <si>
    <t>1657 BILTMORE LN</t>
  </si>
  <si>
    <t>RHODES JONATHAN A &amp; A</t>
  </si>
  <si>
    <t>LEE ROBERT E III &amp; CATY (W)</t>
  </si>
  <si>
    <t>1659 BILTMORE LN</t>
  </si>
  <si>
    <t xml:space="preserve">YANG FANGGENG                                   </t>
  </si>
  <si>
    <t>1661 BILTMORE LN</t>
  </si>
  <si>
    <t>PARKASH CHANDER &amp; ALKA (W)</t>
  </si>
  <si>
    <t>1665 BILTMORE LN</t>
  </si>
  <si>
    <t>PARKASH CHANDER &amp; ALK</t>
  </si>
  <si>
    <t xml:space="preserve">CHANDRA DIVAY                                   </t>
  </si>
  <si>
    <t>1671 BILTMORE LN</t>
  </si>
  <si>
    <t>CARROLL PATRICK J &amp; DIANE M (W)</t>
  </si>
  <si>
    <t>1675 BILTMORE LN</t>
  </si>
  <si>
    <t>CARROLL PATRICK J &amp; D</t>
  </si>
  <si>
    <t>CHAUDRY ADIL S &amp; AMEE (W)</t>
  </si>
  <si>
    <t>1683 BILTMORE LN</t>
  </si>
  <si>
    <t>SYED SHABBIR &amp; ALIZA HAIDER (W)</t>
  </si>
  <si>
    <t>1687 BILTMORE LN</t>
  </si>
  <si>
    <t xml:space="preserve">SYED SHABBIR &amp; ALIZA </t>
  </si>
  <si>
    <t>KOLTER JEREMY &amp; KATHLYN (W)</t>
  </si>
  <si>
    <t>1695 BILTMORE LN</t>
  </si>
  <si>
    <t xml:space="preserve">SHANNON DAVID &amp; MARY (W) </t>
  </si>
  <si>
    <t>1701 BILTMORE LN</t>
  </si>
  <si>
    <t>CHAUDRY ABDUL &amp; REHANA (W)</t>
  </si>
  <si>
    <t>1705 PARKVIEW BLVD</t>
  </si>
  <si>
    <t>CHAUDRY ABDUL &amp; REHAN</t>
  </si>
  <si>
    <t>CAPONE STEPHEN F &amp; SHARON M (W)</t>
  </si>
  <si>
    <t>1715 PARKVIEW BLVD</t>
  </si>
  <si>
    <t>CAPONE STEPHEN F &amp; SH</t>
  </si>
  <si>
    <t>GELMAN EDWARD A &amp; JULIE S (W)</t>
  </si>
  <si>
    <t>1723 PARKVIEW BLVD</t>
  </si>
  <si>
    <t xml:space="preserve">GOLDFARB I WILLIAM &amp; GEAN (W)                </t>
  </si>
  <si>
    <t>1731 PARKVIEW BLVD</t>
  </si>
  <si>
    <t xml:space="preserve">NGAN KA-KEI                                     </t>
  </si>
  <si>
    <t>1741 PARKVIEW BLVD</t>
  </si>
  <si>
    <t>ROACH JARED              ETAL</t>
  </si>
  <si>
    <t>1753 PARKVIEW BLVD</t>
  </si>
  <si>
    <t>LIU JOSEPH C &amp; SARAH C (W)</t>
  </si>
  <si>
    <t>200 BURKETON LN</t>
  </si>
  <si>
    <t xml:space="preserve">TAVANI ALICIA M </t>
  </si>
  <si>
    <t>1558 OVERTON LN</t>
  </si>
  <si>
    <t xml:space="preserve">SMITH CHRISTOPHER JOHN                          </t>
  </si>
  <si>
    <t>1554 OVERTON LN</t>
  </si>
  <si>
    <t>SMITH CHRISTOPHER JOH</t>
  </si>
  <si>
    <t>WEDNER IRWIN B &amp; GAIL (W)</t>
  </si>
  <si>
    <t>1544 OVERTON LN UNIT A</t>
  </si>
  <si>
    <t>WEDNER IRWIN B &amp; GAIL</t>
  </si>
  <si>
    <t>OVERTON LN UNIT # A</t>
  </si>
  <si>
    <t>ERICKSON PAUL B &amp; EVELYN A (W)</t>
  </si>
  <si>
    <t>1544 OVERTON LN UNIT C</t>
  </si>
  <si>
    <t>ERICKSON PAUL B &amp; EVE</t>
  </si>
  <si>
    <t>OVERTON LN UNIT C</t>
  </si>
  <si>
    <t>ELASH JOHN &amp; CHRISTIANNA (W)</t>
  </si>
  <si>
    <t>1547 PARKVIEW BLVD</t>
  </si>
  <si>
    <t xml:space="preserve">LIN ROBERT &amp;                         </t>
  </si>
  <si>
    <t>1561 PARKVIEW BLVD</t>
  </si>
  <si>
    <t>LIN ROBERT &amp; TOPAL CL</t>
  </si>
  <si>
    <t>LAWSKY ALAN R &amp; VIVIAN A (W)</t>
  </si>
  <si>
    <t>1722 PARKVIEW BLVD</t>
  </si>
  <si>
    <t>LAWSKY ALAN R &amp; VIVIA</t>
  </si>
  <si>
    <t xml:space="preserve">KRUMAN-ROTH NADINE </t>
  </si>
  <si>
    <t>1708 PARKVIEW BLVD</t>
  </si>
  <si>
    <t xml:space="preserve">DASYAM ANIL &amp; NAVYA (W) </t>
  </si>
  <si>
    <t>1696 SHELBURNE LN</t>
  </si>
  <si>
    <t>MATSLIACH GABRIEL &amp; TALIA (W)</t>
  </si>
  <si>
    <t>1690 SHELBURNE LN</t>
  </si>
  <si>
    <t>MATSLIACH GABRIEL</t>
  </si>
  <si>
    <t>SHELBOURNE LN</t>
  </si>
  <si>
    <t xml:space="preserve">CONTE SUSAN </t>
  </si>
  <si>
    <t>1684 SHELBURNE LN</t>
  </si>
  <si>
    <t>MORTGAGE ELECTRONIC R</t>
  </si>
  <si>
    <t>PATEL RAJESHKUMAR R &amp; BELABEN R (W)</t>
  </si>
  <si>
    <t>1680 SHELBURNE LN</t>
  </si>
  <si>
    <t>SHELBURNE LN</t>
  </si>
  <si>
    <t xml:space="preserve">LOWDEN PATRICK M                                </t>
  </si>
  <si>
    <t>1676 SHELBURNE LN</t>
  </si>
  <si>
    <t xml:space="preserve">LIN ALBERT &amp; KAREN J (W) </t>
  </si>
  <si>
    <t>1670 SHELBURNE LN</t>
  </si>
  <si>
    <t xml:space="preserve">AIYER ARYAN                                     </t>
  </si>
  <si>
    <t>1664 SHELBURNE LN</t>
  </si>
  <si>
    <t>ARYAN AIYER &amp; GINA MA</t>
  </si>
  <si>
    <t>1660 SHELBURNE LN</t>
  </si>
  <si>
    <t>SILVERMAN DAVID M &amp; ERICA L (W)</t>
  </si>
  <si>
    <t>1656 SHELBURNE LN</t>
  </si>
  <si>
    <t>SILVERMAN DAVID M &amp; E</t>
  </si>
  <si>
    <t>ALMARIO VICENTE P &amp; EVANGELINA A (W)</t>
  </si>
  <si>
    <t>1650 SHELBURNE LN</t>
  </si>
  <si>
    <t>ALMARIO VICENTE P &amp; E</t>
  </si>
  <si>
    <t xml:space="preserve">GLUZMAN ROMAN                                   </t>
  </si>
  <si>
    <t>1646 SHELBURNE LN</t>
  </si>
  <si>
    <t>MURRAY SHAWN &amp; SHARON (W)</t>
  </si>
  <si>
    <t>237 BURKETON LN</t>
  </si>
  <si>
    <t>SHAWN &amp; SHARON MURRAY</t>
  </si>
  <si>
    <t xml:space="preserve">CATALDO ROBERT                                  </t>
  </si>
  <si>
    <t>229 BURKETON LN</t>
  </si>
  <si>
    <t>CATALDO ROBERT</t>
  </si>
  <si>
    <t xml:space="preserve">WHITE SHERRY L </t>
  </si>
  <si>
    <t>1617 OVERTON LN</t>
  </si>
  <si>
    <t>PEZZE THOMAS A &amp; CYNTHIA M (W)</t>
  </si>
  <si>
    <t>1621 OVERTON LN</t>
  </si>
  <si>
    <t>PEZZE THOMAS A &amp; CYNT</t>
  </si>
  <si>
    <t>PIN OAK CT</t>
  </si>
  <si>
    <t xml:space="preserve">IQBAL FATIMA </t>
  </si>
  <si>
    <t>1625 OVERTON LN</t>
  </si>
  <si>
    <t xml:space="preserve">AZARBAL ATOUSA                                  </t>
  </si>
  <si>
    <t>1629 OVERTON LN</t>
  </si>
  <si>
    <t>E STATE ST FL</t>
  </si>
  <si>
    <t xml:space="preserve">ARGENTIERI KENNETH  MICHAEL                 </t>
  </si>
  <si>
    <t>1633 OVERTON LN</t>
  </si>
  <si>
    <t xml:space="preserve">FRANCIS JOYCE </t>
  </si>
  <si>
    <t>1637 OVERTON LN</t>
  </si>
  <si>
    <t>SALEM TIMOTHY C &amp; WENDY M (W)</t>
  </si>
  <si>
    <t>1641 OVERTON LN</t>
  </si>
  <si>
    <t>SALEM TIMOTHY C &amp; WEN</t>
  </si>
  <si>
    <t>FRANCHETTI FRANZ &amp; YOKO (W)</t>
  </si>
  <si>
    <t>1647 OVERTON LN</t>
  </si>
  <si>
    <t>LEE EUHAN JOHN &amp; ERIN G (W)</t>
  </si>
  <si>
    <t>231 BEARDSLEY LN</t>
  </si>
  <si>
    <t>LEE EUHAN JOHN &amp; ERIN</t>
  </si>
  <si>
    <t>BEARDSLEY LN</t>
  </si>
  <si>
    <t xml:space="preserve">JONES ALEXANDER                                 </t>
  </si>
  <si>
    <t>221 BEARDSLEY LN</t>
  </si>
  <si>
    <t>TESSLER GEORGE &amp; GERALDINE E (W)</t>
  </si>
  <si>
    <t>211 BEARDSLEY LN</t>
  </si>
  <si>
    <t>MELNICK BRIAN M &amp; JULIA A</t>
  </si>
  <si>
    <t>205 BEARDSLEY LN</t>
  </si>
  <si>
    <t>ROONEY VINCENT T &amp; MARY ANN (W)</t>
  </si>
  <si>
    <t>149 BEARDSLEY LN</t>
  </si>
  <si>
    <t xml:space="preserve">HAN TAO                                         </t>
  </si>
  <si>
    <t>139 BEARDSLEY LN</t>
  </si>
  <si>
    <t xml:space="preserve">GOLD MELVIN &amp; CATHY (W) </t>
  </si>
  <si>
    <t>131 BEARDSLEY LN</t>
  </si>
  <si>
    <t>HORVITZ DAVID S &amp; TEDDI J (W)</t>
  </si>
  <si>
    <t>1650 OVERTON LN</t>
  </si>
  <si>
    <t>HORVITZ DAVID S &amp; TED</t>
  </si>
  <si>
    <t>VOLLMER REGIS &amp; MARIAN (W)</t>
  </si>
  <si>
    <t>1640 OVERTON LN UNIT A</t>
  </si>
  <si>
    <t>VOLLMER REGIS &amp; MARIA</t>
  </si>
  <si>
    <t>OVERTON LN UNIT A</t>
  </si>
  <si>
    <t>SUSANA B FRANZEN ETAL</t>
  </si>
  <si>
    <t>1640 OVERTON LN UNIT B</t>
  </si>
  <si>
    <t>SUSANA B FRANZEN DECL</t>
  </si>
  <si>
    <t>OVERTON LN UNIT B</t>
  </si>
  <si>
    <t>LEHMAN CHARLES &amp; BARBARA (W)</t>
  </si>
  <si>
    <t>1640 OVERTON LN UNIT C</t>
  </si>
  <si>
    <t>LEHMAN CHARLES &amp; BARB</t>
  </si>
  <si>
    <t xml:space="preserve">ZETLER GRETCHEN </t>
  </si>
  <si>
    <t>1640 OVERTON LN UNIT D</t>
  </si>
  <si>
    <t>GRETCHEN ZETLER</t>
  </si>
  <si>
    <t>OVERTON LN UNIT D</t>
  </si>
  <si>
    <t>MARKOVITZ ROBERT S &amp; ADELE B (W)</t>
  </si>
  <si>
    <t>1628 OVERTON LN UNIT A</t>
  </si>
  <si>
    <t xml:space="preserve">SMIGA DAVID L </t>
  </si>
  <si>
    <t>1628 OVERTON LN UNIT B</t>
  </si>
  <si>
    <t>SMIGA DAVID L 4914910492</t>
  </si>
  <si>
    <t>PEREGRINE POINT DR</t>
  </si>
  <si>
    <t>BAUM RAYMOND N &amp; HARRIET D (W)</t>
  </si>
  <si>
    <t>1628 OVERTON LN UNIT C</t>
  </si>
  <si>
    <t>BAUM RAYMOND N &amp; HARR</t>
  </si>
  <si>
    <t>OVERTON WAY UNIT C</t>
  </si>
  <si>
    <t xml:space="preserve">KAMON LEAH </t>
  </si>
  <si>
    <t>1628 OVERTON LN UNIT D</t>
  </si>
  <si>
    <t>SHORKEY M RUSSELL &amp; AMY L (W)</t>
  </si>
  <si>
    <t>1614 OVERTON LN UNIT A</t>
  </si>
  <si>
    <t>WHITING BRUCE R &amp; LINDA S (W)</t>
  </si>
  <si>
    <t>1614 OVERTON LN UNIT B</t>
  </si>
  <si>
    <t>SWARTZ LOUIS B &amp; MARCIA B (W)</t>
  </si>
  <si>
    <t>1614 OVERTON LN UNIT C</t>
  </si>
  <si>
    <t>SWARTZ LOUIS B &amp; MARC</t>
  </si>
  <si>
    <t xml:space="preserve">SLESINGER LISA A </t>
  </si>
  <si>
    <t>1614 OVERTON LN UNIT D</t>
  </si>
  <si>
    <t xml:space="preserve">ERMA P WILLIAMS REAL  ESTATE TRUST            </t>
  </si>
  <si>
    <t>1608 OVERTON LN</t>
  </si>
  <si>
    <t xml:space="preserve">RECHT ROBERTA                                   </t>
  </si>
  <si>
    <t>1603 PARKVIEW BLVD</t>
  </si>
  <si>
    <t>RACKOFF PETER G &amp; MELISSA B (W)</t>
  </si>
  <si>
    <t>1619 PARKVIEW BLVD</t>
  </si>
  <si>
    <t>RACKOFF PETER G &amp; MEL</t>
  </si>
  <si>
    <t xml:space="preserve">LINDAUER LANCE </t>
  </si>
  <si>
    <t>1627 PARKVIEW BLVD</t>
  </si>
  <si>
    <t>HARINSTEIN MATTHEW       ETAL</t>
  </si>
  <si>
    <t>1637 PARKVIEW BLVD</t>
  </si>
  <si>
    <t xml:space="preserve">CHEN MING                                       </t>
  </si>
  <si>
    <t>1645 PARKVIEW BLVD</t>
  </si>
  <si>
    <t xml:space="preserve">STOKAR LAWRENCE M </t>
  </si>
  <si>
    <t>1651 PARKVIEW BLVD</t>
  </si>
  <si>
    <t xml:space="preserve">SINHA RAJARISHI                                 </t>
  </si>
  <si>
    <t>1665 PARKVIEW BLVD</t>
  </si>
  <si>
    <t>RIZVI AFSHAN HAIDER &amp; SYED MOHAMMAD B H</t>
  </si>
  <si>
    <t>1675 PARKVIEW BLVD</t>
  </si>
  <si>
    <t xml:space="preserve">SINDLER ROSS M                                  </t>
  </si>
  <si>
    <t>1683 PARKVIEW BLVD</t>
  </si>
  <si>
    <t xml:space="preserve">RAO SANDHYA M </t>
  </si>
  <si>
    <t>1693 PARKVIEW BLVD</t>
  </si>
  <si>
    <t xml:space="preserve">DAGOSTINO LOUIS </t>
  </si>
  <si>
    <t>1686 BILTMORE LN</t>
  </si>
  <si>
    <t xml:space="preserve">PARAMESH JEYANANDH                              </t>
  </si>
  <si>
    <t>1682 BILTMORE LN</t>
  </si>
  <si>
    <t>GRELLI ALEXANDER &amp; MEREDITH MEYER (W)</t>
  </si>
  <si>
    <t>1678 BILTMORE LN</t>
  </si>
  <si>
    <t>GRELLI ALEXANDER &amp; ME</t>
  </si>
  <si>
    <t>VALEN STUART W &amp; SIMONE M (W)</t>
  </si>
  <si>
    <t>1674 BILTMORE LN</t>
  </si>
  <si>
    <t>HAFFNER HAROLD &amp; JUDY (W)</t>
  </si>
  <si>
    <t>1670 BILTMORE LN</t>
  </si>
  <si>
    <t>TOTH DAVID F &amp; LISA O (W)</t>
  </si>
  <si>
    <t>1664 BILTMORE LN</t>
  </si>
  <si>
    <t>TOTH DAVID F &amp; LISA O</t>
  </si>
  <si>
    <t xml:space="preserve">RONDON BERRIOS HELBERT                          </t>
  </si>
  <si>
    <t>1656 BILTMORE LN</t>
  </si>
  <si>
    <t>LEBOVITZ JEFF I &amp; ROBIN L (W)</t>
  </si>
  <si>
    <t>1630 BILTMORE LN</t>
  </si>
  <si>
    <t>LEBOVITZ JEFF I &amp; ROB</t>
  </si>
  <si>
    <t xml:space="preserve">GLUCKMAN WENDY M </t>
  </si>
  <si>
    <t>1620 BILTMORE LN</t>
  </si>
  <si>
    <t>AGGARWAL NIDHI &amp; ROHIT (H)</t>
  </si>
  <si>
    <t>1612 BILTMORE LN</t>
  </si>
  <si>
    <t>AGGARWAL ROHIT</t>
  </si>
  <si>
    <t xml:space="preserve">ARORA SANDEEP &amp; ANJU (W) </t>
  </si>
  <si>
    <t>1610 BILTMORE LN</t>
  </si>
  <si>
    <t xml:space="preserve">ARORA SANDEEP &amp; ANJU </t>
  </si>
  <si>
    <t xml:space="preserve">EID RAYMOND                                     </t>
  </si>
  <si>
    <t>228 BEARDSLEY LN</t>
  </si>
  <si>
    <t>HOFFMAN MITCHELL I &amp; JANICE (W)</t>
  </si>
  <si>
    <t>236 BEARDSLEY LN</t>
  </si>
  <si>
    <t xml:space="preserve">MANN GAVIN C &amp; AMY (W) </t>
  </si>
  <si>
    <t>244 BEARDSLEY LN</t>
  </si>
  <si>
    <t>MANN GAVIN C &amp; AMY (W</t>
  </si>
  <si>
    <t xml:space="preserve">MARZZARELLA MARK </t>
  </si>
  <si>
    <t>0 SALINE ST</t>
  </si>
  <si>
    <t>MARZZARELLA MARK SEAN</t>
  </si>
  <si>
    <t>TRILLIUM CT</t>
  </si>
  <si>
    <t>NICOLETTI ANTONIO  &amp; LUCY</t>
  </si>
  <si>
    <t>4621 SALINE ST</t>
  </si>
  <si>
    <t xml:space="preserve">GUYER THOMAS </t>
  </si>
  <si>
    <t>THAKKAR JAMANAPRASAD K &amp; JAMNA J (W)</t>
  </si>
  <si>
    <t>1758 PARKVIEW BLVD</t>
  </si>
  <si>
    <t xml:space="preserve">THAKKAR JAMANAPRASAD </t>
  </si>
  <si>
    <t>BLACK OAK DR</t>
  </si>
  <si>
    <t xml:space="preserve">KHURANA ABHAS                                   </t>
  </si>
  <si>
    <t>1762 PARKVIEW BLVD</t>
  </si>
  <si>
    <t xml:space="preserve">CHENG YU-SAN </t>
  </si>
  <si>
    <t>1766 PARKVIEW BLVD</t>
  </si>
  <si>
    <t xml:space="preserve">LYGOURIS GEORGIOS                               </t>
  </si>
  <si>
    <t>1770 PARKVIEW BLVD</t>
  </si>
  <si>
    <t>HYNEK E JAMES JR &amp; REBECCA (W)</t>
  </si>
  <si>
    <t>1776 PARKVIEW BLVD</t>
  </si>
  <si>
    <t>HYNEK E JAMES JR &amp; RE</t>
  </si>
  <si>
    <t>LIU EMERSON &amp; EFROIMSKAYA ANNA (W)</t>
  </si>
  <si>
    <t>1759 PARKVIEW BLVD</t>
  </si>
  <si>
    <t>LIU EMERSON &amp; EFROIMS</t>
  </si>
  <si>
    <t xml:space="preserve">D'AURIA JENNIFER </t>
  </si>
  <si>
    <t>1763 PARKVIEW BLVD</t>
  </si>
  <si>
    <t xml:space="preserve">FAN XIAOHAN                                     </t>
  </si>
  <si>
    <t>1767 PARKVIEW BLVD</t>
  </si>
  <si>
    <t xml:space="preserve">ZHAO DING                                       </t>
  </si>
  <si>
    <t>1771 PARKVIEW BLVD</t>
  </si>
  <si>
    <t xml:space="preserve">PROP OCEAN CORPORATION </t>
  </si>
  <si>
    <t>1777 PARKVIEW BLVD</t>
  </si>
  <si>
    <t>PROP OCEAN CORPORATIO</t>
  </si>
  <si>
    <t>SUMMERSET II ASSOCIATES  LP</t>
  </si>
  <si>
    <t>1811 PARKVIEW BLVD</t>
  </si>
  <si>
    <t>SUMMERSET II   ASSOCIATES LP</t>
  </si>
  <si>
    <t>1810 PARKVIEW BLVD</t>
  </si>
  <si>
    <t>0 PARKVIEW BLVD</t>
  </si>
  <si>
    <t xml:space="preserve">WADHWA NEAL </t>
  </si>
  <si>
    <t>1732 PARKVIEW BLVD</t>
  </si>
  <si>
    <t xml:space="preserve">BENNETT BETH S </t>
  </si>
  <si>
    <t>1742 PARKVIEW BLVD</t>
  </si>
  <si>
    <t>TYAGI PRADEEP &amp; SHACHI (W)</t>
  </si>
  <si>
    <t>1752 PARKVIEW BLVD</t>
  </si>
  <si>
    <t>0 N LINDEN AVE</t>
  </si>
  <si>
    <t>NORTH POINT BREEZE PLANNING AND DEVELOPMENT</t>
  </si>
  <si>
    <t>0 SIMONTON ST</t>
  </si>
  <si>
    <t>PO BOX 5465</t>
  </si>
  <si>
    <t>GRANDY WILLIAM J &amp; BRENDA J DAVIS</t>
  </si>
  <si>
    <t>6732 SIMONTON ST</t>
  </si>
  <si>
    <t>SIMONTON ST</t>
  </si>
  <si>
    <t xml:space="preserve">GAINES LOIS </t>
  </si>
  <si>
    <t>6800 SIMONTON ST</t>
  </si>
  <si>
    <t xml:space="preserve">CANGIN ANDREA M                                 </t>
  </si>
  <si>
    <t>127 CONOVER RD</t>
  </si>
  <si>
    <t xml:space="preserve">TANG LU                                         </t>
  </si>
  <si>
    <t>122 HASTINGS ST</t>
  </si>
  <si>
    <t>HASTINGS ST</t>
  </si>
  <si>
    <t>DEBRINCAT JENNIFER &amp; KAMOROWSKI JOHN RICHARD</t>
  </si>
  <si>
    <t>6644 5TH AVE</t>
  </si>
  <si>
    <t xml:space="preserve">FROLOV SERGEY </t>
  </si>
  <si>
    <t>201 ELYSIAN ST</t>
  </si>
  <si>
    <t xml:space="preserve">TROMPETER TOBY A </t>
  </si>
  <si>
    <t>1036 BEECHWOOD BLVD</t>
  </si>
  <si>
    <t>TROMPETER TOBY A</t>
  </si>
  <si>
    <t>6736 MCPHERSON BLVD</t>
  </si>
  <si>
    <t>6724 MCPHERSON BLVD</t>
  </si>
  <si>
    <t>6714 MCPHERSON BLVD</t>
  </si>
  <si>
    <t>6712 MCPHERSON BLVD</t>
  </si>
  <si>
    <t>6735 THOMAS BLVD</t>
  </si>
  <si>
    <t>6745 THOMAS BLVD</t>
  </si>
  <si>
    <t xml:space="preserve">THOMAS BLVD PITT LLC </t>
  </si>
  <si>
    <t>6801 THOMAS BLVD</t>
  </si>
  <si>
    <t>THOMAS BLVD PITT LLC</t>
  </si>
  <si>
    <t>LINDHOLM DR STE 300</t>
  </si>
  <si>
    <t>CUMMINGS CHRISTIAN G &amp; SARAH (W)</t>
  </si>
  <si>
    <t>6807 THOMAS BLVD</t>
  </si>
  <si>
    <t xml:space="preserve">NGO AN Q &amp; QUOC PHO (W) </t>
  </si>
  <si>
    <t>6818 THOMAS BLVD</t>
  </si>
  <si>
    <t xml:space="preserve">MOORE ZARIQ B </t>
  </si>
  <si>
    <t>124 N LINDEN AVE</t>
  </si>
  <si>
    <t>MOORE ZARIQ B</t>
  </si>
  <si>
    <t xml:space="preserve">CURTIS NABIL AMEER                              </t>
  </si>
  <si>
    <t>6734 THOMAS BLVD</t>
  </si>
  <si>
    <t>6720 THOMAS BLVD</t>
  </si>
  <si>
    <t xml:space="preserve">CHAKRAVORTY SANGEETA </t>
  </si>
  <si>
    <t>105 POINT BREEZE PL</t>
  </si>
  <si>
    <t>CONNER COLIN M &amp; ANNE H (W)</t>
  </si>
  <si>
    <t>104 POINT BREEZE PL</t>
  </si>
  <si>
    <t xml:space="preserve">ANDRADE SUSAN Z </t>
  </si>
  <si>
    <t>119 N LINDEN AVE</t>
  </si>
  <si>
    <t xml:space="preserve">LINDEN MANSION LLC </t>
  </si>
  <si>
    <t>100 N LINDEN AVE</t>
  </si>
  <si>
    <t xml:space="preserve">BURNS JOHN R </t>
  </si>
  <si>
    <t>6830 THOMAS BLVD</t>
  </si>
  <si>
    <t>HAWKINS RUSSELL WELDON  III</t>
  </si>
  <si>
    <t>218 N DALLAS AVE</t>
  </si>
  <si>
    <t>GREENWICH ST FL 59TH</t>
  </si>
  <si>
    <t>PITTSBURGH EQUITABLE 01  LP</t>
  </si>
  <si>
    <t>6911 THOMAS BLVD</t>
  </si>
  <si>
    <t xml:space="preserve">PITTSBURGH EQUITABLE </t>
  </si>
  <si>
    <t>DIL &amp; MUENZER LIMITED LIABILIT</t>
  </si>
  <si>
    <t>6823 THOMAS BLVD</t>
  </si>
  <si>
    <t>DIL &amp; MUENZER LIMITED</t>
  </si>
  <si>
    <t>S LINDEN AVE</t>
  </si>
  <si>
    <t xml:space="preserve">FIGLAR MICHELLE M                               </t>
  </si>
  <si>
    <t>6816 MCPHERSON BLVD</t>
  </si>
  <si>
    <t xml:space="preserve">CARTER DAVID S JR                               </t>
  </si>
  <si>
    <t>6840 MCPHERSON BLVD</t>
  </si>
  <si>
    <t>CARTER DAVID S JR</t>
  </si>
  <si>
    <t xml:space="preserve">BROVA NATALIE                                   </t>
  </si>
  <si>
    <t>6842 MCPHERSON BLVD</t>
  </si>
  <si>
    <t xml:space="preserve">CARTER CHARLIE MAE </t>
  </si>
  <si>
    <t>0 N DALLAS AVE</t>
  </si>
  <si>
    <t>P O BOX 4706</t>
  </si>
  <si>
    <t xml:space="preserve">ANDERSON  LARYCE                                </t>
  </si>
  <si>
    <t>6914 MCPHERSON BLVD</t>
  </si>
  <si>
    <t xml:space="preserve">CRAWFORD GWENDOLYN </t>
  </si>
  <si>
    <t>6920 MCPHERSON BLVD</t>
  </si>
  <si>
    <t xml:space="preserve">BEERAVOLU HARSHITA                              </t>
  </si>
  <si>
    <t>6922 MCPHERSON BLVD</t>
  </si>
  <si>
    <t xml:space="preserve">TAYLOR CARRIE C                                 </t>
  </si>
  <si>
    <t>6947 MCPHERSON BLVD</t>
  </si>
  <si>
    <t>LUCY &amp; FINN PROPERTIES LLC</t>
  </si>
  <si>
    <t>6931 MCPHERSON BLVD</t>
  </si>
  <si>
    <t xml:space="preserve">KOMBO ADELINE L </t>
  </si>
  <si>
    <t>6925 MCPHERSON BLVD</t>
  </si>
  <si>
    <t xml:space="preserve">PPREF  A  LLC </t>
  </si>
  <si>
    <t>6911 MCPHERSON BLVD</t>
  </si>
  <si>
    <t>FLOYD VERNETTA FLOYD CHERYL</t>
  </si>
  <si>
    <t>6909 MCPHERSON BLVD</t>
  </si>
  <si>
    <t>6819 MCPHERSON BLVD</t>
  </si>
  <si>
    <t>ROSNOW HARLEY &amp; YURIKO (W)</t>
  </si>
  <si>
    <t>6811 MCPHERSON BLVD</t>
  </si>
  <si>
    <t xml:space="preserve">MCLEMORE ANNIE </t>
  </si>
  <si>
    <t>6809 MCPHERSON BLVD</t>
  </si>
  <si>
    <t xml:space="preserve">TODD JESSE </t>
  </si>
  <si>
    <t>7115 JONATHAN ST</t>
  </si>
  <si>
    <t>7113 JONATHAN ST</t>
  </si>
  <si>
    <t xml:space="preserve">WOODS ROBERT </t>
  </si>
  <si>
    <t>0 JONATHAN ST</t>
  </si>
  <si>
    <t>JONATHAN PL</t>
  </si>
  <si>
    <t xml:space="preserve">COX CAROL ANN </t>
  </si>
  <si>
    <t>7114 JONATHAN ST</t>
  </si>
  <si>
    <t xml:space="preserve">FINNEY MARJORIE </t>
  </si>
  <si>
    <t>7116 JONATHAN ST</t>
  </si>
  <si>
    <t>MARJORIE FINNEY</t>
  </si>
  <si>
    <t>7118 JONATHAN ST</t>
  </si>
  <si>
    <t xml:space="preserve">PARKER STEPHEN L </t>
  </si>
  <si>
    <t>6570 LYNDHURST GRN</t>
  </si>
  <si>
    <t>LYNDHURST GRN</t>
  </si>
  <si>
    <t>JOGLEKAR ALOK V &amp; BHARGAVA REGINA</t>
  </si>
  <si>
    <t>6713 REYNOLDS ST</t>
  </si>
  <si>
    <t>CROSS COUNTRY</t>
  </si>
  <si>
    <t xml:space="preserve">RAJA PRIYANKA JAYARAM  REDDY                   </t>
  </si>
  <si>
    <t>6705 REYNOLDS ST</t>
  </si>
  <si>
    <t xml:space="preserve">BURNS BAILY C                                   </t>
  </si>
  <si>
    <t>6701 REYNOLDS ST</t>
  </si>
  <si>
    <t xml:space="preserve">ROSSO SARAH                                     </t>
  </si>
  <si>
    <t>214 ELYSIAN ST</t>
  </si>
  <si>
    <t xml:space="preserve">KLAMERUS MEGAN                                  </t>
  </si>
  <si>
    <t>319 ELYSIAN ST</t>
  </si>
  <si>
    <t>KLAMERUS MEGAN</t>
  </si>
  <si>
    <t xml:space="preserve">FISER JUSTIN WILLIAM                            </t>
  </si>
  <si>
    <t>315 ELYSIAN ST</t>
  </si>
  <si>
    <t>209 ELYSIAN ST</t>
  </si>
  <si>
    <t xml:space="preserve">BRANCH KELSEY H                                 </t>
  </si>
  <si>
    <t>242 HASTINGS ST</t>
  </si>
  <si>
    <t>CAPOGROSSO MARCO &amp; ELVIRA (W)</t>
  </si>
  <si>
    <t>211 HASTINGS ST</t>
  </si>
  <si>
    <t>AMERICAN BANK OF MISS</t>
  </si>
  <si>
    <t>N SERVICE RD</t>
  </si>
  <si>
    <t>WRIGHT CITY</t>
  </si>
  <si>
    <t>METOSKY KATHRYN W &amp; MATTHEW DAVID (H)</t>
  </si>
  <si>
    <t>310 S LINDEN AVE</t>
  </si>
  <si>
    <t xml:space="preserve">LEVINE BARBARA W </t>
  </si>
  <si>
    <t>6820 JUNIATA PL</t>
  </si>
  <si>
    <t>GREEN PLANET SERVICIN</t>
  </si>
  <si>
    <t xml:space="preserve">WOOD CYNTHIA NICHOLE </t>
  </si>
  <si>
    <t>6829 PENHAM PL</t>
  </si>
  <si>
    <t xml:space="preserve">WOLFSON FAMILY  REVOCABLE TRUST         </t>
  </si>
  <si>
    <t>6845 PENHAM PL</t>
  </si>
  <si>
    <t>WOLFSON FAMILY REVOCA</t>
  </si>
  <si>
    <t>PENHAM PL</t>
  </si>
  <si>
    <t>MAURY ROBERT R &amp; MAGDALENA (W)</t>
  </si>
  <si>
    <t>6849 PENHAM PL</t>
  </si>
  <si>
    <t>MAURY ROBERT R &amp; MAGD</t>
  </si>
  <si>
    <t>ROSENSON BRIAN HOWARD &amp; JAIME (W)</t>
  </si>
  <si>
    <t>127 PENHAM LN</t>
  </si>
  <si>
    <t>ASCHERMAN DANA &amp; TOBY (H)</t>
  </si>
  <si>
    <t>6844 PENHAM PL</t>
  </si>
  <si>
    <t>ASCHERMAN DANA &amp; TOBY</t>
  </si>
  <si>
    <t xml:space="preserve">PEIXOTO RUI                                     </t>
  </si>
  <si>
    <t>128 S DALLAS AVE</t>
  </si>
  <si>
    <t xml:space="preserve">LIANG YUCHENG                                   </t>
  </si>
  <si>
    <t>206 S DALLAS AVE</t>
  </si>
  <si>
    <t>LIANG YUCHENG</t>
  </si>
  <si>
    <t>S DALLAS AVE</t>
  </si>
  <si>
    <t xml:space="preserve">SCHRADIN LESLIE JOHN  III                     </t>
  </si>
  <si>
    <t>125 S DALLAS AVE</t>
  </si>
  <si>
    <t xml:space="preserve">RAJA NADIR &amp; DIANA (W) </t>
  </si>
  <si>
    <t>6901 YORKSHIRE DR</t>
  </si>
  <si>
    <t>FELLO ROBERT E &amp; JO ANN (W)</t>
  </si>
  <si>
    <t>6853 PENN AVE</t>
  </si>
  <si>
    <t>FELLO ROBERT E &amp; JO A</t>
  </si>
  <si>
    <t xml:space="preserve">BROOKS SHAWN E                                  </t>
  </si>
  <si>
    <t>6848 MEADE ST</t>
  </si>
  <si>
    <t xml:space="preserve">NIXON DAVID G &amp; CHERYL (W)              </t>
  </si>
  <si>
    <t>6935 MEADE ST</t>
  </si>
  <si>
    <t>NIXON DAVID G &amp; CHERY</t>
  </si>
  <si>
    <t xml:space="preserve">PINE GARDENS LP </t>
  </si>
  <si>
    <t>7048 MEADE PL</t>
  </si>
  <si>
    <t xml:space="preserve">MCBETH SARAH                                    </t>
  </si>
  <si>
    <t>6922 MEADE ST</t>
  </si>
  <si>
    <t xml:space="preserve">WILLIAMSON PETER J                              </t>
  </si>
  <si>
    <t>6910 MEADE ST</t>
  </si>
  <si>
    <t>SMITH MALACHI  &amp; BARBARA ANN (W)</t>
  </si>
  <si>
    <t>6907 PENN AVE</t>
  </si>
  <si>
    <t>6919 PENN AVE</t>
  </si>
  <si>
    <t xml:space="preserve">MILFORD PATRICIA ANN </t>
  </si>
  <si>
    <t>6943 PENN AVE</t>
  </si>
  <si>
    <t>MILFORD PATRICIA ANN</t>
  </si>
  <si>
    <t xml:space="preserve">CARTER ATHA L                                   </t>
  </si>
  <si>
    <t>7012 PENN AVE</t>
  </si>
  <si>
    <t xml:space="preserve">ALFONSO JULIUS R </t>
  </si>
  <si>
    <t>7008 PENN AVE</t>
  </si>
  <si>
    <t xml:space="preserve">STRADER AARON </t>
  </si>
  <si>
    <t>7132 JONATHAN ST</t>
  </si>
  <si>
    <t xml:space="preserve">ASKEW MICHAEL                                   </t>
  </si>
  <si>
    <t>413 JONATHAN CT</t>
  </si>
  <si>
    <t>ASKEW MICHAEL</t>
  </si>
  <si>
    <t>CLUGSTON AVE</t>
  </si>
  <si>
    <t>WILKINS TOWNSH</t>
  </si>
  <si>
    <t xml:space="preserve">LYMAN DERRICK </t>
  </si>
  <si>
    <t>415 JONATHAN CT</t>
  </si>
  <si>
    <t>409 JONATHAN CT</t>
  </si>
  <si>
    <t>419 JONATHAN CT</t>
  </si>
  <si>
    <t>417 JONATHAN CT</t>
  </si>
  <si>
    <t xml:space="preserve">CORLEW ELAINE BENSON </t>
  </si>
  <si>
    <t>422 JONATHAN CT</t>
  </si>
  <si>
    <t>JONATHAN CT</t>
  </si>
  <si>
    <t>RAWLINGS WILLIAM L &amp; CHARLOTTE (W)</t>
  </si>
  <si>
    <t>420 JONATHAN CT</t>
  </si>
  <si>
    <t>SHELBOURNE ST</t>
  </si>
  <si>
    <t xml:space="preserve">HEARD SHELBY </t>
  </si>
  <si>
    <t>416 JONATHAN CT</t>
  </si>
  <si>
    <t xml:space="preserve">BLAIR ALEX H </t>
  </si>
  <si>
    <t>414 JONATHAN CT</t>
  </si>
  <si>
    <t xml:space="preserve">RAWLINGS WILLIAM L </t>
  </si>
  <si>
    <t>412 JONATHAN CT</t>
  </si>
  <si>
    <t>0 JONATHAN CT</t>
  </si>
  <si>
    <t>JEFFERSON ST</t>
  </si>
  <si>
    <t>GALLOWAY RONALD DENNIS &amp; RHONDA M (W)</t>
  </si>
  <si>
    <t>7141 MCPHERSON BLVD</t>
  </si>
  <si>
    <t>NIXON MILTON C &amp; JOHNNIE MAE</t>
  </si>
  <si>
    <t>7131 MCPHERSON BLVD</t>
  </si>
  <si>
    <t xml:space="preserve">CLARK RENEE SMITH </t>
  </si>
  <si>
    <t>7140 MCPHERSON BLVD</t>
  </si>
  <si>
    <t>ELIAS PATRICK J &amp; KELLY A (W)</t>
  </si>
  <si>
    <t>7163 THOMAS BLVD</t>
  </si>
  <si>
    <t>7090 THOMAS BLVD</t>
  </si>
  <si>
    <t>BRADBURY DOUGLAS &amp; CANDELARIA RUIZ (W)</t>
  </si>
  <si>
    <t>216 N LANG AVE</t>
  </si>
  <si>
    <t>BRADBURY DOUGLAS &amp; CA</t>
  </si>
  <si>
    <t xml:space="preserve">GRIGGS JUDITH R </t>
  </si>
  <si>
    <t>7110 THOMAS BLVD</t>
  </si>
  <si>
    <t>CARR FRANCIS P &amp; VIVIENNE A SHAFFER (W)</t>
  </si>
  <si>
    <t>7134 THOMAS BLVD</t>
  </si>
  <si>
    <t xml:space="preserve">BROWN DONALD W </t>
  </si>
  <si>
    <t>7218 THOMAS BLVD</t>
  </si>
  <si>
    <t xml:space="preserve">ZUBER IAN MATTHEW </t>
  </si>
  <si>
    <t>7159 MEADE ST</t>
  </si>
  <si>
    <t xml:space="preserve">SEAMAN LYLE W III </t>
  </si>
  <si>
    <t>7149 MEADE ST</t>
  </si>
  <si>
    <t xml:space="preserve">SCOTT LAUREN K </t>
  </si>
  <si>
    <t>7139 MEADE ST</t>
  </si>
  <si>
    <t xml:space="preserve">SUSTARSIC MERYL </t>
  </si>
  <si>
    <t>7115 MEADE ST</t>
  </si>
  <si>
    <t xml:space="preserve">DERDZINSKI MARK                                 </t>
  </si>
  <si>
    <t>7118 MEADE ST</t>
  </si>
  <si>
    <t>CHEVRON FEDERAL CREDI</t>
  </si>
  <si>
    <t xml:space="preserve">WETZEL JEFFREY C </t>
  </si>
  <si>
    <t>7102 MEADE ST</t>
  </si>
  <si>
    <t>WETZEL JEFFREY C</t>
  </si>
  <si>
    <t>PIN OAK DR</t>
  </si>
  <si>
    <t>421 JONATHAN CT</t>
  </si>
  <si>
    <t>KAUFFMAN IRVIN C &amp; KIM (W)</t>
  </si>
  <si>
    <t>514 GETTYSBURG ST</t>
  </si>
  <si>
    <t>GETTYSBURG ST</t>
  </si>
  <si>
    <t xml:space="preserve">RUBINOFF CARYN B                                </t>
  </si>
  <si>
    <t>1085 LYNDHURST DR</t>
  </si>
  <si>
    <t>RUBINOFF CARYN B</t>
  </si>
  <si>
    <t>LYNDHURST DR</t>
  </si>
  <si>
    <t>SEAGER JESSE L &amp; AMELIA C (W)</t>
  </si>
  <si>
    <t>423 GETTYSBURG ST</t>
  </si>
  <si>
    <t>SEAGER JESSE L &amp; AMEL</t>
  </si>
  <si>
    <t xml:space="preserve">BURGER ALISSA L </t>
  </si>
  <si>
    <t>503 GETTYSBURG ST</t>
  </si>
  <si>
    <t xml:space="preserve">JAN YU JEN                                      </t>
  </si>
  <si>
    <t>538 HASTINGS ST</t>
  </si>
  <si>
    <t xml:space="preserve">WHARTON TODD                                    </t>
  </si>
  <si>
    <t>512 HASTINGS ST</t>
  </si>
  <si>
    <t>PURDY THOMAS PATRICK &amp; SUSAN MARIE (W)</t>
  </si>
  <si>
    <t>426 HASTINGS ST</t>
  </si>
  <si>
    <t xml:space="preserve">KUCERA MARGARET C                               </t>
  </si>
  <si>
    <t>420 HASTINGS ST</t>
  </si>
  <si>
    <t xml:space="preserve">DUKE MICHAEL                                    </t>
  </si>
  <si>
    <t>418 HASTINGS ST</t>
  </si>
  <si>
    <t>MICO JOSEPH M &amp; JENNIFER C (W)</t>
  </si>
  <si>
    <t>6738 REYNOLDS ST</t>
  </si>
  <si>
    <t>347 HASTINGS ST</t>
  </si>
  <si>
    <t>MICO JOSEPH M &amp; JENNI</t>
  </si>
  <si>
    <t xml:space="preserve">MICO JOSEPH M </t>
  </si>
  <si>
    <t>403 HASTINGS ST</t>
  </si>
  <si>
    <t xml:space="preserve">WUNDERLY LAURA A </t>
  </si>
  <si>
    <t>405 HASTINGS ST</t>
  </si>
  <si>
    <t>CAMPBELL ROBERT L JR &amp; JAMES M CAMPBELL</t>
  </si>
  <si>
    <t>421 HASTINGS ST</t>
  </si>
  <si>
    <t xml:space="preserve">CAMPBELL ROBERT L JR </t>
  </si>
  <si>
    <t>FIEDLER WILLIAM &amp; NIKOLE (W)</t>
  </si>
  <si>
    <t>504 S LINDEN AVE</t>
  </si>
  <si>
    <t xml:space="preserve">DEGER KEVIN &amp; LAUREN (W) </t>
  </si>
  <si>
    <t>400 S LINDEN AVE</t>
  </si>
  <si>
    <t>ALLEN THOMAS L &amp; MARIAN B (W)</t>
  </si>
  <si>
    <t>335 S LINDEN AVE</t>
  </si>
  <si>
    <t xml:space="preserve">PANAS RAYMOND M &amp;                         </t>
  </si>
  <si>
    <t>6801 EDGERTON AVE</t>
  </si>
  <si>
    <t>PANAS RAYMOND M &amp; BAR</t>
  </si>
  <si>
    <t>EDGERTON AVE</t>
  </si>
  <si>
    <t>SMITH CORINNE MCGINLEY &amp; JOSHUA WILLIAM (H)</t>
  </si>
  <si>
    <t>414 GLEN ARDEN DR</t>
  </si>
  <si>
    <t>SMITH CORINNE MCGINLE</t>
  </si>
  <si>
    <t>GLEN ARDEN DR</t>
  </si>
  <si>
    <t xml:space="preserve">DONLEY JOHN &amp; SARA (W) </t>
  </si>
  <si>
    <t>515 EDGERTON PL</t>
  </si>
  <si>
    <t>HUMPHREY CHARLES &amp; LAURA B JORDAN</t>
  </si>
  <si>
    <t>6824 JUNIATA PL</t>
  </si>
  <si>
    <t>JUNIATA PL</t>
  </si>
  <si>
    <t xml:space="preserve">FELDSTEIN JUNE D </t>
  </si>
  <si>
    <t>6859 REYNOLDS ST</t>
  </si>
  <si>
    <t>GOTTESMAN AARON &amp; SHANNON (W)</t>
  </si>
  <si>
    <t>147 YORKSHIRE DR</t>
  </si>
  <si>
    <t xml:space="preserve">FORTUNE TITLE AGENCY </t>
  </si>
  <si>
    <t>ROSELAND</t>
  </si>
  <si>
    <t xml:space="preserve">COLLINS BRADLEY P                               </t>
  </si>
  <si>
    <t>139 S DALLAS AVE</t>
  </si>
  <si>
    <t xml:space="preserve">KHAN OMAR                                       </t>
  </si>
  <si>
    <t>305 S DALLAS AVE</t>
  </si>
  <si>
    <t>KHAN OMAR GAROFALO LA</t>
  </si>
  <si>
    <t>JOYNER MARIA L &amp; NORMAN L (H)</t>
  </si>
  <si>
    <t>329 S DALLAS AVE</t>
  </si>
  <si>
    <t>GOURASH WILLIAM F &amp; LINDA M (W)</t>
  </si>
  <si>
    <t>6919 ROSEWOOD ST</t>
  </si>
  <si>
    <t>ROSEWOOD ST</t>
  </si>
  <si>
    <t xml:space="preserve">NGUYEN AMELIA Y                                 </t>
  </si>
  <si>
    <t>6945 ROSEWOOD ST</t>
  </si>
  <si>
    <t>LOANUNITED.COM LLC</t>
  </si>
  <si>
    <t>PO BOX 687</t>
  </si>
  <si>
    <t>WINDER</t>
  </si>
  <si>
    <t>6926 ROSEWOOD ST</t>
  </si>
  <si>
    <t>JENNIFER H CURRY</t>
  </si>
  <si>
    <t xml:space="preserve">HOHMAN KAREN </t>
  </si>
  <si>
    <t>6938 REYNOLDS ST</t>
  </si>
  <si>
    <t xml:space="preserve">MAST THOMAS C                                   </t>
  </si>
  <si>
    <t>405 S DALLAS AVE</t>
  </si>
  <si>
    <t xml:space="preserve">WOLFE RICHARD &amp;                         </t>
  </si>
  <si>
    <t>425 S DALLAS AVE</t>
  </si>
  <si>
    <t>BLUELEAF LENDING LLC</t>
  </si>
  <si>
    <t>PO BOX 698</t>
  </si>
  <si>
    <t>FREEPORT</t>
  </si>
  <si>
    <t xml:space="preserve">SMITH MATTHEW A                                 </t>
  </si>
  <si>
    <t>501 GLEN ARDEN DR</t>
  </si>
  <si>
    <t xml:space="preserve">COLCOMBE TIMOTHY B </t>
  </si>
  <si>
    <t>6944 CLARIDGE PL</t>
  </si>
  <si>
    <t>CLARIDGE PL</t>
  </si>
  <si>
    <t xml:space="preserve">PETERSON/PENWELL FAMILY  TRUST                   </t>
  </si>
  <si>
    <t>138 HARTWOOD DR</t>
  </si>
  <si>
    <t>PETERSON/PENWELL FAMI</t>
  </si>
  <si>
    <t>MONTEMAR WAY</t>
  </si>
  <si>
    <t>153 HARTWOOD DR</t>
  </si>
  <si>
    <t>GABELMAN BARRY PAUL &amp; JENNIFER ANN (W)</t>
  </si>
  <si>
    <t>124 PENROSE DR</t>
  </si>
  <si>
    <t xml:space="preserve">JANNETTA PETER </t>
  </si>
  <si>
    <t>137 PENROSE DR</t>
  </si>
  <si>
    <t>BREAN RICHARD JOSEPH &amp; KAREN MARKISON (W )</t>
  </si>
  <si>
    <t>300 LEROI RD</t>
  </si>
  <si>
    <t>LE ROI RD</t>
  </si>
  <si>
    <t xml:space="preserve">LOWE DAVID GABREIL  LEVIN                   </t>
  </si>
  <si>
    <t>305 S LANG AVE</t>
  </si>
  <si>
    <t>LOWE DAVID GABREIL LE</t>
  </si>
  <si>
    <t>S LANG AVE</t>
  </si>
  <si>
    <t xml:space="preserve">MCCURLEY JAMES III                              </t>
  </si>
  <si>
    <t>217 S LANG AVE</t>
  </si>
  <si>
    <t>MCCURLEY JAMES III</t>
  </si>
  <si>
    <t>ENGINE HOUSE 16 LLC      ETAL</t>
  </si>
  <si>
    <t>7101 PENN AVE</t>
  </si>
  <si>
    <t>PO BOX  5255</t>
  </si>
  <si>
    <t xml:space="preserve">IMRO AMY                                        </t>
  </si>
  <si>
    <t>7141 ROYCREST PL</t>
  </si>
  <si>
    <t>HOLDER WILLIAM &amp; APRIL (W)</t>
  </si>
  <si>
    <t>112 S HOMEWOOD AVE</t>
  </si>
  <si>
    <t xml:space="preserve">CARTER STEPHANIE C </t>
  </si>
  <si>
    <t>115 S LEXINGTON AVE</t>
  </si>
  <si>
    <t>CARTER STEPHANIE C</t>
  </si>
  <si>
    <t>S LEXINGTON AVE</t>
  </si>
  <si>
    <t>MORGAN FAMILY  DEVELOPMENT LP</t>
  </si>
  <si>
    <t>7218 MEADE ST</t>
  </si>
  <si>
    <t>MORGAN FAMILY DEVELOP</t>
  </si>
  <si>
    <t>7232 MEADE ST</t>
  </si>
  <si>
    <t>FRITSCH  KRISTIN   BARBARA</t>
  </si>
  <si>
    <t>200 N HOMEWOOD AVE</t>
  </si>
  <si>
    <t>FRITSCH  KRISTIN  BAR</t>
  </si>
  <si>
    <t>SACKROWITZ RACHEL E &amp; DANIEL A (H)</t>
  </si>
  <si>
    <t>630 S LINDEN AVE</t>
  </si>
  <si>
    <t xml:space="preserve">DENG NING                                       </t>
  </si>
  <si>
    <t>6801 LINDEN LN</t>
  </si>
  <si>
    <t>LINDEN LN</t>
  </si>
  <si>
    <t xml:space="preserve">RADBORD RUTH </t>
  </si>
  <si>
    <t>6808 LINDEN LN</t>
  </si>
  <si>
    <t>MAGLEY STEPHEN J &amp; ELIZABETH B (W)</t>
  </si>
  <si>
    <t>621 S LINDEN AVE</t>
  </si>
  <si>
    <t xml:space="preserve">LAWRENCE CAMERON WILLIAM </t>
  </si>
  <si>
    <t>623 S LINDEN AVE</t>
  </si>
  <si>
    <t>JOHNSON JEFFREY P &amp; MERYL B (W)</t>
  </si>
  <si>
    <t>6647 WILKINS AVE</t>
  </si>
  <si>
    <t>GERAMITA EMILY M  &amp; MATTHEW A (H)</t>
  </si>
  <si>
    <t>534 GLEN ARDEN DR</t>
  </si>
  <si>
    <t>MATICH CHRISTOPHER &amp; LINDA (W)</t>
  </si>
  <si>
    <t>620 WORTH ST</t>
  </si>
  <si>
    <t>WORTH ST</t>
  </si>
  <si>
    <t>PAUL JONAH C &amp; ALISA S (W)</t>
  </si>
  <si>
    <t>6665 KINSMAN RD</t>
  </si>
  <si>
    <t>NOVAK SHARON &amp; EMILY FRIEDMAN (W)</t>
  </si>
  <si>
    <t>6649 KINSMAN RD</t>
  </si>
  <si>
    <t>NOKES MALACH TIMOTHY J &amp; SARAH H (W)</t>
  </si>
  <si>
    <t>6652 WILKINS AVE</t>
  </si>
  <si>
    <t>FEDERATED MTG</t>
  </si>
  <si>
    <t xml:space="preserve">MOSKOWITZ IRA                                   </t>
  </si>
  <si>
    <t>450 S DALLAS AVE</t>
  </si>
  <si>
    <t>MOSKOKWITZ IRA</t>
  </si>
  <si>
    <t>BEAL FRANK S JR &amp; GUNILLA B NORDHAMMAR ( W</t>
  </si>
  <si>
    <t>528 S MURTLAND ST</t>
  </si>
  <si>
    <t>DF PROPERTY MANAGEMENT  LLC</t>
  </si>
  <si>
    <t>334 S LANG AVE</t>
  </si>
  <si>
    <t xml:space="preserve">PUSATERI JEFFREY </t>
  </si>
  <si>
    <t>0 S LANG AVE</t>
  </si>
  <si>
    <t xml:space="preserve">DECAMPOS EVERSON                                </t>
  </si>
  <si>
    <t>325 LEROI RD</t>
  </si>
  <si>
    <t>FOLAN JOHN E &amp; PATRICIA C (W)</t>
  </si>
  <si>
    <t>7149 REYNOLDS ST</t>
  </si>
  <si>
    <t>FOLAN JOHN E &amp; PATRIC</t>
  </si>
  <si>
    <t>REYNOLDS AVE</t>
  </si>
  <si>
    <t xml:space="preserve">ANTARIO MARY GRACE &amp; ANTHONY F (H)           </t>
  </si>
  <si>
    <t>408 S LANG AVE</t>
  </si>
  <si>
    <t>ANTARIO MARY GRACE</t>
  </si>
  <si>
    <t xml:space="preserve">LESNIAKOWSKI ANDREW A                           </t>
  </si>
  <si>
    <t>7036 REYNOLDS ST</t>
  </si>
  <si>
    <t xml:space="preserve">CALLAHAN COLIN J (H)                            </t>
  </si>
  <si>
    <t>7029 EDGERTON AVE</t>
  </si>
  <si>
    <t xml:space="preserve">SPENCER STEWART J                               </t>
  </si>
  <si>
    <t>523 LLOYD ST</t>
  </si>
  <si>
    <t xml:space="preserve">FLEMING TREVOR RESPET </t>
  </si>
  <si>
    <t>505 LLOYD ST</t>
  </si>
  <si>
    <t>GEYER JACOB E &amp; HANNAH GEYER ROTH (W)</t>
  </si>
  <si>
    <t>526 S LANG AVE</t>
  </si>
  <si>
    <t>TORRES ORQUIDIA  ALEXANDRIA</t>
  </si>
  <si>
    <t>523 S LANG AVE</t>
  </si>
  <si>
    <t xml:space="preserve">HAVERN DAVID R JR </t>
  </si>
  <si>
    <t>7126 EDGERTON AVE</t>
  </si>
  <si>
    <t xml:space="preserve">RUTENBAR ROBIN A </t>
  </si>
  <si>
    <t>211 S LEXINGTON AVE</t>
  </si>
  <si>
    <t>RUTENBAR ROBIN A</t>
  </si>
  <si>
    <t>BACHARACH JOHN A &amp; MARTHA G (W)</t>
  </si>
  <si>
    <t>7311 REYNOLDS ST</t>
  </si>
  <si>
    <t xml:space="preserve">BERTENTHAL DAVID                                </t>
  </si>
  <si>
    <t>230 CARNEGIE PL</t>
  </si>
  <si>
    <t>FIRST ALLIANCE HOME M</t>
  </si>
  <si>
    <t>JACKSON DR FL 2ND</t>
  </si>
  <si>
    <t>CRANFORD</t>
  </si>
  <si>
    <t xml:space="preserve">REICHSTEIN ARI C </t>
  </si>
  <si>
    <t>7405 REYNOLDS ST</t>
  </si>
  <si>
    <t xml:space="preserve">GREENBERG NAOMI RACHEL </t>
  </si>
  <si>
    <t>1421 SEVERN ST</t>
  </si>
  <si>
    <t>GREENBERG NAOMI RACHE</t>
  </si>
  <si>
    <t>SEVERN ST</t>
  </si>
  <si>
    <t xml:space="preserve">PARTHASARATHY  ARAVINDAKSHAN           </t>
  </si>
  <si>
    <t>1414 BARNSDALE ST</t>
  </si>
  <si>
    <t xml:space="preserve">SIMON EDWARD                                    </t>
  </si>
  <si>
    <t>1432 BARNSDALE ST</t>
  </si>
  <si>
    <t xml:space="preserve">HILSABECK GEOFFREY G                            </t>
  </si>
  <si>
    <t>6655 NORTHUMBERLAND ST</t>
  </si>
  <si>
    <t>VINES STEVEN &amp; KATIE T (W)</t>
  </si>
  <si>
    <t>6673 NORTHUMBERLAND ST</t>
  </si>
  <si>
    <t xml:space="preserve">MILLS CHRISTOPHER                               </t>
  </si>
  <si>
    <t>6650 RIDGEVILLE ST</t>
  </si>
  <si>
    <t xml:space="preserve">PATROSS WHITNEY E </t>
  </si>
  <si>
    <t>6636 RIDGEVILLE ST</t>
  </si>
  <si>
    <t>WHITNEY E PATROSS</t>
  </si>
  <si>
    <t>RIDGEVILLE ST</t>
  </si>
  <si>
    <t>LONG ADAM J &amp; CHRISTEN B (W)</t>
  </si>
  <si>
    <t>6630 RIDGEVILLE ST</t>
  </si>
  <si>
    <t xml:space="preserve">WU KAI                                          </t>
  </si>
  <si>
    <t>6678 WOODWELL ST</t>
  </si>
  <si>
    <t>JMAC LENDIND INC</t>
  </si>
  <si>
    <t xml:space="preserve">HAGAN SUSAN M </t>
  </si>
  <si>
    <t>6676 WOODWELL ST</t>
  </si>
  <si>
    <t>WOODWELL ST</t>
  </si>
  <si>
    <t>SCHMIDT VICTOR A &amp; MARJORIE L (W)</t>
  </si>
  <si>
    <t>6622 WOODWELL ST</t>
  </si>
  <si>
    <t>RUBENSTEIN PAUL &amp; MOLLY (W)</t>
  </si>
  <si>
    <t>6633 WOODWELL ST</t>
  </si>
  <si>
    <t>RUBENSTEIN PAUL &amp; MOL</t>
  </si>
  <si>
    <t xml:space="preserve">FARRELL THOMAS J                                </t>
  </si>
  <si>
    <t>6688 KINSMAN RD</t>
  </si>
  <si>
    <t>KINSMAN RD</t>
  </si>
  <si>
    <t xml:space="preserve">NEIVERT EDNA                                    </t>
  </si>
  <si>
    <t>6666 KINSMAN RD</t>
  </si>
  <si>
    <t>NEIVERT EDNA</t>
  </si>
  <si>
    <t xml:space="preserve">MATZA EILA M </t>
  </si>
  <si>
    <t>607 KIRTLAND ST</t>
  </si>
  <si>
    <t>KIRTLAND ST</t>
  </si>
  <si>
    <t xml:space="preserve">WOLFSON HALLIE                                  </t>
  </si>
  <si>
    <t>7106 WILLARD ST</t>
  </si>
  <si>
    <t>KROHNER HANNAH M &amp; MATTHEW B (H)</t>
  </si>
  <si>
    <t>7104 WILLARD ST</t>
  </si>
  <si>
    <t>MCCORMICK GREGORY P &amp; ADRIA A FREDERICKS  (W)</t>
  </si>
  <si>
    <t>517 SELKIRK WAY</t>
  </si>
  <si>
    <t>SELKIRK WAY</t>
  </si>
  <si>
    <t xml:space="preserve">BLAUVELT CATHERINE &amp;                         </t>
  </si>
  <si>
    <t>7401 BEN HUR ST</t>
  </si>
  <si>
    <t xml:space="preserve">BLAUVELT CATHERINE &amp; </t>
  </si>
  <si>
    <t>BEN HUR ST</t>
  </si>
  <si>
    <t xml:space="preserve">SMALIS ERNEST                                   </t>
  </si>
  <si>
    <t>6652 NORTHUMBERLAND ST</t>
  </si>
  <si>
    <t>NORTH UMBERLAND ST</t>
  </si>
  <si>
    <t xml:space="preserve">IPPOLITO DAPHNE E                               </t>
  </si>
  <si>
    <t>6606 NORTHUMBERLAND ST</t>
  </si>
  <si>
    <t xml:space="preserve">DINARDO SARA M                                  </t>
  </si>
  <si>
    <t>6552 NORTHUMBERLAND ST</t>
  </si>
  <si>
    <t xml:space="preserve">KAPOOR ANUKUL                                   </t>
  </si>
  <si>
    <t>6522 NORTHUMBERLAND ST</t>
  </si>
  <si>
    <t xml:space="preserve">ZHANG YUN                                       </t>
  </si>
  <si>
    <t>6529 DALZELL PL</t>
  </si>
  <si>
    <t xml:space="preserve">UDLER ILIYA </t>
  </si>
  <si>
    <t>6541 DALZELL PL</t>
  </si>
  <si>
    <t>1ST RATE HOME MORTGAG</t>
  </si>
  <si>
    <t>E SOUTHERN AVE STE 100</t>
  </si>
  <si>
    <t xml:space="preserve">LOBL STACY C                                    </t>
  </si>
  <si>
    <t>6624 DALZELL PL</t>
  </si>
  <si>
    <t xml:space="preserve">LIPSCHITA DOVID </t>
  </si>
  <si>
    <t>6604 DALZELL PL</t>
  </si>
  <si>
    <t>LIPSCHITA DOVID</t>
  </si>
  <si>
    <t>LORETTA ST</t>
  </si>
  <si>
    <t xml:space="preserve">GOLDRING GWYNN                                  </t>
  </si>
  <si>
    <t>6535 AYLESBORO AVE</t>
  </si>
  <si>
    <t>GOLDRING GWYNN</t>
  </si>
  <si>
    <t xml:space="preserve">OSHRY ELLIOTT S                                 </t>
  </si>
  <si>
    <t>6629 AYLESBORO AVE</t>
  </si>
  <si>
    <t xml:space="preserve">MANSILLA EDGAR </t>
  </si>
  <si>
    <t>1623 BEECHWOOD BLVD</t>
  </si>
  <si>
    <t xml:space="preserve">JIAO HAIQIAO                                    </t>
  </si>
  <si>
    <t>1699 BEECHWOOD BLVD</t>
  </si>
  <si>
    <t xml:space="preserve">MYRIANTHOPOULOS CHRISTOS </t>
  </si>
  <si>
    <t>1717 BEECHWOOD BLVD</t>
  </si>
  <si>
    <t>1775 BEECHWOOD BLVD</t>
  </si>
  <si>
    <t>MCEVOY ANDREW S &amp; LAURA P (W)</t>
  </si>
  <si>
    <t>1750 BEECHWOOD BLVD</t>
  </si>
  <si>
    <t>MCEVOY ANDREW S &amp; LAU</t>
  </si>
  <si>
    <t xml:space="preserve">BASSETT GWENDOLYN A                             </t>
  </si>
  <si>
    <t>6545 DARLINGTON RD</t>
  </si>
  <si>
    <t xml:space="preserve">MILCH MICHAEL &amp; TOVA (W) </t>
  </si>
  <si>
    <t>6541 DARLINGTON RD</t>
  </si>
  <si>
    <t>CHAPIN LUCAS ANDREW &amp; JULIA CHOU (W)</t>
  </si>
  <si>
    <t>6522 DARLINGTON RD</t>
  </si>
  <si>
    <t xml:space="preserve">UENO IRINA </t>
  </si>
  <si>
    <t>6523 BARTLETT ST</t>
  </si>
  <si>
    <t>UENO IRINA</t>
  </si>
  <si>
    <t xml:space="preserve">LANDAU MICHELLE K                               </t>
  </si>
  <si>
    <t>6611 DARLINGTON RD</t>
  </si>
  <si>
    <t xml:space="preserve">REICHBAUM BRAM ALEX </t>
  </si>
  <si>
    <t>1839 SHAW AVE</t>
  </si>
  <si>
    <t>SHAW AVE # 3</t>
  </si>
  <si>
    <t xml:space="preserve">MOUSSAWI KHALED                                 </t>
  </si>
  <si>
    <t>1863 SHAW AVE</t>
  </si>
  <si>
    <t xml:space="preserve">CAMBER SEVERINE                                 </t>
  </si>
  <si>
    <t>1950 BEECHWOOD BLVD</t>
  </si>
  <si>
    <t>CIMINO MATTHEW D &amp; AZIME CAN- CIMINO (W)</t>
  </si>
  <si>
    <t>1938 BEECHWOOD BLVD</t>
  </si>
  <si>
    <t>OSHLAG DAVID A &amp; DOREEN S (W)</t>
  </si>
  <si>
    <t>6558 BARTLETT ST</t>
  </si>
  <si>
    <t>BRINN DAVID M &amp; BEVERLY (W)</t>
  </si>
  <si>
    <t>6612 BEACON ST</t>
  </si>
  <si>
    <t xml:space="preserve">PAMELA Z BRYAN LIVING  TRUST                   </t>
  </si>
  <si>
    <t>6530 BEACON ST</t>
  </si>
  <si>
    <t>GENACK CHAIM &amp; SHOSHANA (W)</t>
  </si>
  <si>
    <t>6383 DOUGLAS ST</t>
  </si>
  <si>
    <t>GENACK CHAIM &amp; SHOSHA</t>
  </si>
  <si>
    <t xml:space="preserve">LOVE-LAKHOUS FAMILY  TRUST                   </t>
  </si>
  <si>
    <t>2139 BEECHWOOD BLVD</t>
  </si>
  <si>
    <t>TODD KATHERINE S &amp; DAVID F (H)</t>
  </si>
  <si>
    <t>2219 BEECHWOOD BLVD</t>
  </si>
  <si>
    <t xml:space="preserve">ADELMAN JOSHUA L                                </t>
  </si>
  <si>
    <t>2239 BEECHWOOD BLVD</t>
  </si>
  <si>
    <t xml:space="preserve">REICH MANUEL D </t>
  </si>
  <si>
    <t>6640 FOREST GLEN RD</t>
  </si>
  <si>
    <t>FOREST GLEN RD</t>
  </si>
  <si>
    <t xml:space="preserve">SIGAL IAN A                                     </t>
  </si>
  <si>
    <t>6758 FOREST GLEN RD</t>
  </si>
  <si>
    <t xml:space="preserve">LAKSHMI K REDDY  REVOCABLE TRUST         </t>
  </si>
  <si>
    <t>2207 BEECHWOOD BLVD</t>
  </si>
  <si>
    <t xml:space="preserve">KANG EUNSUK                                     </t>
  </si>
  <si>
    <t>2091 BEECHWOOD BLVD</t>
  </si>
  <si>
    <t>SAX DANIEL A &amp; MAAYAN (W)</t>
  </si>
  <si>
    <t>2424 BEECHWOOD BLVD</t>
  </si>
  <si>
    <t>SAX DANIEL A &amp; MAAYAN</t>
  </si>
  <si>
    <t>ROSENTHAL PHILLIP EYTAN  &amp; JAMIE (W)</t>
  </si>
  <si>
    <t>2293 BEECHWOOD BLVD</t>
  </si>
  <si>
    <t>ROSENTHAL JAMIE</t>
  </si>
  <si>
    <t>P.O. BOX 81175</t>
  </si>
  <si>
    <t xml:space="preserve">SILK YAEL ZIPPORAH                              </t>
  </si>
  <si>
    <t>2307 BEECHWOOD BLVD</t>
  </si>
  <si>
    <t xml:space="preserve">YU YOUNG A </t>
  </si>
  <si>
    <t>6412 PHILLIPS AVE</t>
  </si>
  <si>
    <t xml:space="preserve">SEIBEL MC COMBS SARA M </t>
  </si>
  <si>
    <t>6410 PHILLIPS AVE</t>
  </si>
  <si>
    <t xml:space="preserve">SEIBEL MC COMBS SARA </t>
  </si>
  <si>
    <t xml:space="preserve">BLUMENFELD BRUCE M                              </t>
  </si>
  <si>
    <t>2405 BEECHWOOD BLVD</t>
  </si>
  <si>
    <t>EILEEN R CHASENS &amp; BR</t>
  </si>
  <si>
    <t xml:space="preserve">HUNTINGTON PROPERITY LLC </t>
  </si>
  <si>
    <t>2415 BEECHWOOD BLVD</t>
  </si>
  <si>
    <t>*EBILL*MARVISTA RENTA</t>
  </si>
  <si>
    <t>PO BOX 8155</t>
  </si>
  <si>
    <t xml:space="preserve">YARON DAVID JOHN </t>
  </si>
  <si>
    <t>6443 NICHOLSON ST</t>
  </si>
  <si>
    <t xml:space="preserve">KASHI RUTHI </t>
  </si>
  <si>
    <t>2542 BEECHWOOD BLVD</t>
  </si>
  <si>
    <t xml:space="preserve">ESPOSITO WILLIAM                                </t>
  </si>
  <si>
    <t>0 MOUNT ROYAL RD</t>
  </si>
  <si>
    <t xml:space="preserve">GELLER AVISHAI </t>
  </si>
  <si>
    <t>2601 BEECHWOOD BLVD</t>
  </si>
  <si>
    <t xml:space="preserve">WILLSON MARK J                                  </t>
  </si>
  <si>
    <t>141 WESTLAND DR</t>
  </si>
  <si>
    <t>ACORN CAPITAL HOLDINGS  LLC</t>
  </si>
  <si>
    <t>2654 MOUNT ROYAL RD</t>
  </si>
  <si>
    <t>ACORN CAPITAL HOLDING</t>
  </si>
  <si>
    <t xml:space="preserve">LEFTEROV PRESLAV                                </t>
  </si>
  <si>
    <t>2717 MOUNT ROYAL RD</t>
  </si>
  <si>
    <t xml:space="preserve">JAEHNE NEAL A </t>
  </si>
  <si>
    <t>2579 BEECHWOOD BLVD</t>
  </si>
  <si>
    <t>JAEHNE NEAL A</t>
  </si>
  <si>
    <t xml:space="preserve">MIRVISH EZRA D </t>
  </si>
  <si>
    <t>2537 MOUNT ROYAL RD</t>
  </si>
  <si>
    <t xml:space="preserve">RATCHKAUSKAS AMIT </t>
  </si>
  <si>
    <t>2527 MOUNT ROYAL RD</t>
  </si>
  <si>
    <t>RATCHKAUSKAS AMIT</t>
  </si>
  <si>
    <t xml:space="preserve">MULLEN JASON R                                  </t>
  </si>
  <si>
    <t>2521 MOUNT ROYAL RD</t>
  </si>
  <si>
    <t>MULLEN JASON R</t>
  </si>
  <si>
    <t>MOUNT ROYAL RD</t>
  </si>
  <si>
    <t xml:space="preserve">ROSIN BORIS </t>
  </si>
  <si>
    <t>2440 MOUNT ROYAL RD</t>
  </si>
  <si>
    <t xml:space="preserve">KRASNOW MELISSA </t>
  </si>
  <si>
    <t>2471 MOUNT ROYAL RD</t>
  </si>
  <si>
    <t xml:space="preserve">WEISS ROBERT </t>
  </si>
  <si>
    <t>1011 SUMMERSET DR</t>
  </si>
  <si>
    <t>SUMMERSET NEIGHBORHOOD ASSOCIATES</t>
  </si>
  <si>
    <t xml:space="preserve"> HASLEY LN</t>
  </si>
  <si>
    <t>RUBINOFF COMPANY</t>
  </si>
  <si>
    <t xml:space="preserve">ELLSTEIN CAROL G </t>
  </si>
  <si>
    <t>1219 CRESCENT PL UNIT 2A</t>
  </si>
  <si>
    <t xml:space="preserve">SHERMAN ROSALYN </t>
  </si>
  <si>
    <t>1220 CRESCENT PL UNIT 2J</t>
  </si>
  <si>
    <t>CRESCENT PL UNIT 2J</t>
  </si>
  <si>
    <t xml:space="preserve">DIZARD RACHAEL L                                </t>
  </si>
  <si>
    <t>2840 FERNWALD RD</t>
  </si>
  <si>
    <t xml:space="preserve">LU ALICE </t>
  </si>
  <si>
    <t>129 ANITA AVE</t>
  </si>
  <si>
    <t>MARCUS FARA L &amp; ANDREW B (H)</t>
  </si>
  <si>
    <t>169 ANITA AVE</t>
  </si>
  <si>
    <t>VIEHMAN JOHN ALEXANDER &amp; RACHAEL WILLHITE (W)</t>
  </si>
  <si>
    <t>2734 FERNWALD RD</t>
  </si>
  <si>
    <t>PARKER ANDREW M &amp; PAMELA B (W)</t>
  </si>
  <si>
    <t>233 ANITA AVE</t>
  </si>
  <si>
    <t xml:space="preserve">BAGHERYNEJAD NAZIN                              </t>
  </si>
  <si>
    <t>220 ANITA AVE</t>
  </si>
  <si>
    <t>BAGHERYNEJAD NAZIN</t>
  </si>
  <si>
    <t xml:space="preserve">COHEN HARRY S </t>
  </si>
  <si>
    <t>1016 SUMMERSET DR</t>
  </si>
  <si>
    <t>SUMMERSET DR</t>
  </si>
  <si>
    <t>SURACI-LACOLLA TRUST     ETAL</t>
  </si>
  <si>
    <t>1028 SUMMERSET DR</t>
  </si>
  <si>
    <t>SURACI-LACOLLA TRUST</t>
  </si>
  <si>
    <t xml:space="preserve">JORDAN MRVOS LIVING  TRUST                   </t>
  </si>
  <si>
    <t>1104 FRICK LN</t>
  </si>
  <si>
    <t xml:space="preserve">BAZAN LINDA C </t>
  </si>
  <si>
    <t>1160 WINDERMERE DR</t>
  </si>
  <si>
    <t>LINDA C BAZAN</t>
  </si>
  <si>
    <t>WINDERMERE DR</t>
  </si>
  <si>
    <t>WOLFE NIKOLAS &amp; CYNTHIA DOKYI (W)</t>
  </si>
  <si>
    <t>1158 WINDERMERE DR</t>
  </si>
  <si>
    <t>ROVKAH PAUL A &amp; PAULINE E</t>
  </si>
  <si>
    <t>19 ROSEMONT LN</t>
  </si>
  <si>
    <t>ROVKAH PAUL A &amp; PAULI</t>
  </si>
  <si>
    <t>ROSEMONT LN</t>
  </si>
  <si>
    <t>EDELSACK LEON MICHAEL &amp; HELA INES (W)</t>
  </si>
  <si>
    <t>29 ROSEMONT LN</t>
  </si>
  <si>
    <t>RUBIN KENNETH  &amp; WILMA (W)</t>
  </si>
  <si>
    <t>36 ROSEMONT LN</t>
  </si>
  <si>
    <t>THELEN JEFFREY T &amp; MELISSA M (W)</t>
  </si>
  <si>
    <t>1264 FAIRSTEAD LN</t>
  </si>
  <si>
    <t xml:space="preserve">PINKHASOVA DIANA                                </t>
  </si>
  <si>
    <t>1045 PARKVIEW BLVD</t>
  </si>
  <si>
    <t xml:space="preserve">WEIMER JEFFREY M </t>
  </si>
  <si>
    <t>1063 PARKVIEW BLVD</t>
  </si>
  <si>
    <t xml:space="preserve">GRIFFIN ABEL </t>
  </si>
  <si>
    <t>1211 UPTEGRAF ST</t>
  </si>
  <si>
    <t>GRIFFIN ABEL</t>
  </si>
  <si>
    <t>MAPLEWOOD DR</t>
  </si>
  <si>
    <t xml:space="preserve">HAMBURGER JONATHAN L </t>
  </si>
  <si>
    <t>0 PHILANDER ST</t>
  </si>
  <si>
    <t>FISCHER ELIZABETH C CONNELL KYLE G</t>
  </si>
  <si>
    <t>1133 ONONDAGO ST</t>
  </si>
  <si>
    <t>ONONDAGO ST</t>
  </si>
  <si>
    <t xml:space="preserve">HARDING CHRISTOPHER                             </t>
  </si>
  <si>
    <t>1163 ONONDAGO ST</t>
  </si>
  <si>
    <t>PUHARIC MARK J &amp; BETTE ANN T (W)</t>
  </si>
  <si>
    <t>1234 COMMERCIAL ST</t>
  </si>
  <si>
    <t>N CHARLES ST</t>
  </si>
  <si>
    <t xml:space="preserve">BOYD CHANTE C </t>
  </si>
  <si>
    <t>1246 COMMERCIAL ST</t>
  </si>
  <si>
    <t>BOYD CHANTE C</t>
  </si>
  <si>
    <t xml:space="preserve">SCOTT ELIZABETH JEAN </t>
  </si>
  <si>
    <t>1282 COMMERCIAL ST</t>
  </si>
  <si>
    <t>SCOTT ELIZABETH JEAN</t>
  </si>
  <si>
    <t>UPTEGRAFF ST</t>
  </si>
  <si>
    <t>MERCER JOSEPH R &amp; CHRISTINE S (W)</t>
  </si>
  <si>
    <t>216 WHIPPLE ST</t>
  </si>
  <si>
    <t>WHIPPLE ST</t>
  </si>
  <si>
    <t xml:space="preserve">SHERIF SALAH A </t>
  </si>
  <si>
    <t>237 WHIPPLE ST</t>
  </si>
  <si>
    <t>SHERIF SALAH A</t>
  </si>
  <si>
    <t>0 WHIPPLE ST</t>
  </si>
  <si>
    <t>CLARIDGE DR UNIT G</t>
  </si>
  <si>
    <t>BRIDGEVIEW</t>
  </si>
  <si>
    <t xml:space="preserve">KASCHAUER ERNEST J &amp; DIANE (W)               </t>
  </si>
  <si>
    <t>1248 WINDERMERE DR</t>
  </si>
  <si>
    <t xml:space="preserve">CHIANESE LISA K </t>
  </si>
  <si>
    <t>1348 WINDERMERE DR</t>
  </si>
  <si>
    <t>ARDLEIGH ST</t>
  </si>
  <si>
    <t>GALLINA CARMINE CHARLES  &amp; MARY</t>
  </si>
  <si>
    <t>1145 UPTEGRAF ST</t>
  </si>
  <si>
    <t>GALLINA CARMINE CHARL</t>
  </si>
  <si>
    <t>1156 UPTEGRAF ST</t>
  </si>
  <si>
    <t>0 UPTEGRAF ST</t>
  </si>
  <si>
    <t xml:space="preserve">SUSKA MICHAEL JOHN JR </t>
  </si>
  <si>
    <t>1200 UPTEGRAF ST</t>
  </si>
  <si>
    <t xml:space="preserve">LESKO RUSSELL </t>
  </si>
  <si>
    <t>1137 LOVE ST</t>
  </si>
  <si>
    <t>RUSSELL LESKO</t>
  </si>
  <si>
    <t>WINDSOR AVE</t>
  </si>
  <si>
    <t>YANAS WANGOVINDA  &amp; IRONJYAR THURMAN</t>
  </si>
  <si>
    <t>0 LOVE ST</t>
  </si>
  <si>
    <t>CIORRA WILLIAM J &amp; KATHLEEN A (W)</t>
  </si>
  <si>
    <t>1111 LOVE ST</t>
  </si>
  <si>
    <t xml:space="preserve">MATEY JACQUELINE J </t>
  </si>
  <si>
    <t>1100 LOVE ST</t>
  </si>
  <si>
    <t>WEST ETHAN               ETAL</t>
  </si>
  <si>
    <t>1146 LOVE ST</t>
  </si>
  <si>
    <t>WEST ETHAN</t>
  </si>
  <si>
    <t xml:space="preserve">HOECHSTETTER DAVID F </t>
  </si>
  <si>
    <t>1137 GOODMAN ST</t>
  </si>
  <si>
    <t>GOODMAN ST</t>
  </si>
  <si>
    <t>PCHOLINSKY JERRY GENE L/EST</t>
  </si>
  <si>
    <t>FALCON DR</t>
  </si>
  <si>
    <t>55 PHILANDER ST</t>
  </si>
  <si>
    <t>1222 UPTEGRAF ST</t>
  </si>
  <si>
    <t xml:space="preserve">SPIEGEL KIMBERLY D </t>
  </si>
  <si>
    <t>1241 POCONO ST</t>
  </si>
  <si>
    <t>POCONO ST</t>
  </si>
  <si>
    <t>SCHULHOFF JOHN W &amp; EILEEN J (W)</t>
  </si>
  <si>
    <t>1233 POCONO ST</t>
  </si>
  <si>
    <t>MAPLE LN</t>
  </si>
  <si>
    <t xml:space="preserve">KANNER DANIEL R                                 </t>
  </si>
  <si>
    <t>138 HOMESTEAD ST</t>
  </si>
  <si>
    <t>HOMESTEAD ST</t>
  </si>
  <si>
    <t>123 HOMESTEAD ST</t>
  </si>
  <si>
    <t xml:space="preserve">PONKO KAREN H </t>
  </si>
  <si>
    <t>102 WHIPPLE ST</t>
  </si>
  <si>
    <t xml:space="preserve">GREENLEAF-GRAY JAEL M </t>
  </si>
  <si>
    <t>135 MACFARREN ST</t>
  </si>
  <si>
    <t xml:space="preserve">FAGIER FATHIA A </t>
  </si>
  <si>
    <t>132 BLACKMORE ST</t>
  </si>
  <si>
    <t>BLACKMORE ST</t>
  </si>
  <si>
    <t xml:space="preserve">RUTKOWSKI SANDRA G </t>
  </si>
  <si>
    <t>126 BLACKMORE ST</t>
  </si>
  <si>
    <t>RUTKOWSKI SANDRA G</t>
  </si>
  <si>
    <t>PO BOX 51</t>
  </si>
  <si>
    <t>0 BLACKMORE ST</t>
  </si>
  <si>
    <t>TIFFANY LISABETH &amp; HUDSON (H)</t>
  </si>
  <si>
    <t>1150 GOODMAN ST</t>
  </si>
  <si>
    <t>TIFFANY LISABETH &amp; HU</t>
  </si>
  <si>
    <t>ICON LEXINGTON PARTNERS  LLC</t>
  </si>
  <si>
    <t>7371 THOMAS BLVD</t>
  </si>
  <si>
    <t>STAHLWERT JOHN D &amp; MILONICA (W)</t>
  </si>
  <si>
    <t>7215 THOMAS BLVD</t>
  </si>
  <si>
    <t>STAHLWERT JOHN D &amp; MILONICA ROSE (W)</t>
  </si>
  <si>
    <t xml:space="preserve">LEE GEORGE D </t>
  </si>
  <si>
    <t>7221 THOMAS BLVD</t>
  </si>
  <si>
    <t xml:space="preserve">TERRY BLYDEN                                    </t>
  </si>
  <si>
    <t>7231 MEADE ST</t>
  </si>
  <si>
    <t>BLYDEN TERRY DOLCIE D</t>
  </si>
  <si>
    <t xml:space="preserve">7514 THOMAS PARTNERS LLC </t>
  </si>
  <si>
    <t>7514 THOMAS BLVD</t>
  </si>
  <si>
    <t>7501 PENN AVE PARTNERS  LLC</t>
  </si>
  <si>
    <t>7501 PENN AVE</t>
  </si>
  <si>
    <t>7501 PENN AVE PARTNER</t>
  </si>
  <si>
    <t>T2 CAPITAL LLC           ETAL</t>
  </si>
  <si>
    <t>7400 PENFIELD CT</t>
  </si>
  <si>
    <t>T2 CAPITAL LLC TOM KO</t>
  </si>
  <si>
    <t>SHERWOOD RD</t>
  </si>
  <si>
    <t>RIDGEWOOD</t>
  </si>
  <si>
    <t xml:space="preserve">PUGADOR PROPERTIES L L C </t>
  </si>
  <si>
    <t>101 PENFIELD PL</t>
  </si>
  <si>
    <t xml:space="preserve">PUGADOR PROPERTIES L </t>
  </si>
  <si>
    <t>4TH AVE UNIT 801</t>
  </si>
  <si>
    <t>7423 PENN AVE</t>
  </si>
  <si>
    <t>BOULEVARD OF THE ALLIES FL 7</t>
  </si>
  <si>
    <t>BACHARACH FRITZ H &amp; LENA M</t>
  </si>
  <si>
    <t>7328 PENN AVE</t>
  </si>
  <si>
    <t>201 N BRADDOCK PARTNERS  LLC</t>
  </si>
  <si>
    <t>201 N BRADDOCK AVE</t>
  </si>
  <si>
    <t>201 N BRADDOCK PARTNE</t>
  </si>
  <si>
    <t xml:space="preserve">7511 THOMAS PARTNERS LLC </t>
  </si>
  <si>
    <t>7511 THOMAS BLVD</t>
  </si>
  <si>
    <t xml:space="preserve">7511 THOMAS PARTNERS </t>
  </si>
  <si>
    <t xml:space="preserve">HAMPTON MARIAN C </t>
  </si>
  <si>
    <t>110 CARNEGIE PL</t>
  </si>
  <si>
    <t>CARNEGIE PL</t>
  </si>
  <si>
    <t xml:space="preserve">COOMBS JASON R                                  </t>
  </si>
  <si>
    <t>206 CARNEGIE PL</t>
  </si>
  <si>
    <t xml:space="preserve">FRANCIS A SYLVIA </t>
  </si>
  <si>
    <t>131 CARNEGIE PL</t>
  </si>
  <si>
    <t xml:space="preserve">DORN JONATHAN A </t>
  </si>
  <si>
    <t>125 CARNEGIE PL</t>
  </si>
  <si>
    <t xml:space="preserve">BEASLEY JANE BLAKE </t>
  </si>
  <si>
    <t>106 RICHLAND LN</t>
  </si>
  <si>
    <t>BEASLEY JANE BLAKE</t>
  </si>
  <si>
    <t>RICHLAND LN</t>
  </si>
  <si>
    <t>EMORY REVOCABLE TRUST    ETAL</t>
  </si>
  <si>
    <t>126 RICHLAND LN</t>
  </si>
  <si>
    <t>EMORY REVOCABLE TRUST</t>
  </si>
  <si>
    <t>PO BOX 304</t>
  </si>
  <si>
    <t>TEMPLETON</t>
  </si>
  <si>
    <t>SPIKER DUANE C &amp; JANE (W)</t>
  </si>
  <si>
    <t>206 RICHLAND LN</t>
  </si>
  <si>
    <t xml:space="preserve">LONGBRAKE JESSE                                 </t>
  </si>
  <si>
    <t>7417 RICHLAND PL</t>
  </si>
  <si>
    <t xml:space="preserve">MAYFIELD ELIJAH JACOB                           </t>
  </si>
  <si>
    <t>7428 RICHLAND PL</t>
  </si>
  <si>
    <t>MAYFIELD ELIJAH JACOB</t>
  </si>
  <si>
    <t xml:space="preserve">FU JOYCE                                        </t>
  </si>
  <si>
    <t>320 RICHLAND LN</t>
  </si>
  <si>
    <t>122 S BRADDOCK AVE</t>
  </si>
  <si>
    <t>SCHWARTZ DANIELLA M &amp; OWEN G (W)</t>
  </si>
  <si>
    <t>200 EAST END AVE</t>
  </si>
  <si>
    <t xml:space="preserve">GREEN MARLENE </t>
  </si>
  <si>
    <t>123 S BRADDOCK AVE</t>
  </si>
  <si>
    <t>MAIN ST APT 200</t>
  </si>
  <si>
    <t>E PITTSBURGH</t>
  </si>
  <si>
    <t>7700 PENN LLC            ETAL</t>
  </si>
  <si>
    <t>7700 PENN AVE</t>
  </si>
  <si>
    <t>COURT ST STE 800</t>
  </si>
  <si>
    <t xml:space="preserve">KOVALAN SANTONI MATTHEW  B                       </t>
  </si>
  <si>
    <t>7715 TUSCARORA ST</t>
  </si>
  <si>
    <t xml:space="preserve">CRAVOTTA MICHAEL A </t>
  </si>
  <si>
    <t>7717 TUSCARORA ST</t>
  </si>
  <si>
    <t>TUSCARORA ST</t>
  </si>
  <si>
    <t>BAGNELL JAMES A &amp; NICOLLE R SNYDER BAGNELL</t>
  </si>
  <si>
    <t>7428 RICHLAND MANOR DR</t>
  </si>
  <si>
    <t>BAGNELL JAMES A &amp; NIC</t>
  </si>
  <si>
    <t>RICHLAND MANOR DR</t>
  </si>
  <si>
    <t xml:space="preserve">BUSSING KEVIN                                   </t>
  </si>
  <si>
    <t>7422 RICHLAND MANOR DR</t>
  </si>
  <si>
    <t xml:space="preserve">OLIVOLA CHRISTOPHER Y                           </t>
  </si>
  <si>
    <t>7511 GRAYMORE RD</t>
  </si>
  <si>
    <t>CHICKERING DAVID &amp; SUNITA (W)</t>
  </si>
  <si>
    <t>408 EAST END AVE</t>
  </si>
  <si>
    <t>CHICKERING DAVID &amp; SU</t>
  </si>
  <si>
    <t>EAST END AVE</t>
  </si>
  <si>
    <t xml:space="preserve">GARBOS LARRY </t>
  </si>
  <si>
    <t>7615 WAVERLY ST</t>
  </si>
  <si>
    <t>WAVERLY ST</t>
  </si>
  <si>
    <t xml:space="preserve">LAWSON TAYLOR RAE </t>
  </si>
  <si>
    <t>217 EAST END AVE</t>
  </si>
  <si>
    <t>DR MITHAWALA PARUL  KIRIT &amp; KIRIT AMBALAL (W</t>
  </si>
  <si>
    <t>7710 TUSCARORA ST</t>
  </si>
  <si>
    <t>DR MITHAWALA PARUL KI</t>
  </si>
  <si>
    <t xml:space="preserve">RAMOS MARTA IRIS </t>
  </si>
  <si>
    <t>7712 BRASHEAR ST</t>
  </si>
  <si>
    <t>E 12TH AVE</t>
  </si>
  <si>
    <t xml:space="preserve">RESNIK BEN &amp; SYDNEY (W) </t>
  </si>
  <si>
    <t>7711 WAVERLY ST</t>
  </si>
  <si>
    <t>HSBC</t>
  </si>
  <si>
    <t xml:space="preserve">KARAHALIOS ANTHONY M </t>
  </si>
  <si>
    <t>305 EAST END AVE</t>
  </si>
  <si>
    <t xml:space="preserve">JORDAN LISA M </t>
  </si>
  <si>
    <t>7704 WAVERLY ST</t>
  </si>
  <si>
    <t>GAITHER BRIAN  &amp; ERICK GAITHER</t>
  </si>
  <si>
    <t>7712 WAVERLY ST</t>
  </si>
  <si>
    <t>GAITHER BRIAN  &amp; ERIC</t>
  </si>
  <si>
    <t xml:space="preserve">ASAMERE MICHAEL </t>
  </si>
  <si>
    <t>7727 LYMAN ST</t>
  </si>
  <si>
    <t>ASAMERE MICHAEL</t>
  </si>
  <si>
    <t xml:space="preserve">MEA HOLDING LLC </t>
  </si>
  <si>
    <t>7729 LYMAN ST</t>
  </si>
  <si>
    <t>MEA HOLDING LLC</t>
  </si>
  <si>
    <t xml:space="preserve">CONLEY THOMAS G </t>
  </si>
  <si>
    <t>7723 LYMAN ST</t>
  </si>
  <si>
    <t>LYMAN ST</t>
  </si>
  <si>
    <t>7721 LYMAN ST</t>
  </si>
  <si>
    <t>CRISANTI JOSEPH G &amp; FRANCES M (W)</t>
  </si>
  <si>
    <t>415 EAST END AVE</t>
  </si>
  <si>
    <t>E END AVE</t>
  </si>
  <si>
    <t>563 EAST END AVE</t>
  </si>
  <si>
    <t xml:space="preserve">GERONIAN EKATERINA </t>
  </si>
  <si>
    <t>2 FLOTILLA WAY</t>
  </si>
  <si>
    <t xml:space="preserve">JENNINGS SHEREE </t>
  </si>
  <si>
    <t>1 FLOTILLA WAY</t>
  </si>
  <si>
    <t>FLOTILLA WAY</t>
  </si>
  <si>
    <t xml:space="preserve">KISNER KIMBERLY J </t>
  </si>
  <si>
    <t>549 S BRADDOCK AVE</t>
  </si>
  <si>
    <t xml:space="preserve">LLACH DANIEL CARDOSO                            </t>
  </si>
  <si>
    <t>7521 ROSEMARY RD</t>
  </si>
  <si>
    <t xml:space="preserve">LIEGEY MATTHEW                                  </t>
  </si>
  <si>
    <t>7537 ROSEMARY RD</t>
  </si>
  <si>
    <t xml:space="preserve">PARUNDIK INNA </t>
  </si>
  <si>
    <t>7516 CARRIAGE LN</t>
  </si>
  <si>
    <t>CARRIAGE LN</t>
  </si>
  <si>
    <t xml:space="preserve">ARMOCIDA ELIZABETH                              </t>
  </si>
  <si>
    <t>7720 EDGERTON AVE</t>
  </si>
  <si>
    <t>LISA MOSCHELLA</t>
  </si>
  <si>
    <t>OAKVIEW AVE</t>
  </si>
  <si>
    <t xml:space="preserve">SPANGLER PETER ALEXANDER </t>
  </si>
  <si>
    <t>7719 ABBOTT ST</t>
  </si>
  <si>
    <t>ALSTON JAMES APHD &amp; HELENA DANIELLE SHOR TER</t>
  </si>
  <si>
    <t>565 CELERON ST</t>
  </si>
  <si>
    <t>ALSTON JAMES APHD &amp; H</t>
  </si>
  <si>
    <t>CELERON ST</t>
  </si>
  <si>
    <t xml:space="preserve">KIRWAN ANN M                                    </t>
  </si>
  <si>
    <t>704 EAST END AVE</t>
  </si>
  <si>
    <t xml:space="preserve">LICKEY SARA A </t>
  </si>
  <si>
    <t>640 EAST END AVE</t>
  </si>
  <si>
    <t xml:space="preserve">HOWARD KAREN M </t>
  </si>
  <si>
    <t>630 EAST END AVE</t>
  </si>
  <si>
    <t xml:space="preserve">CHEN QIUYUE                                     </t>
  </si>
  <si>
    <t>588 EAST END AVE</t>
  </si>
  <si>
    <t xml:space="preserve">BURKE JESSICA </t>
  </si>
  <si>
    <t>625 EAST END AVE</t>
  </si>
  <si>
    <t xml:space="preserve">MCMAHON MICHAEL J                               </t>
  </si>
  <si>
    <t>584 PEEBLES ST</t>
  </si>
  <si>
    <t>MARY KATE HANNA</t>
  </si>
  <si>
    <t>ROCKCLIFF RD</t>
  </si>
  <si>
    <t xml:space="preserve">MITTEN JESSICA </t>
  </si>
  <si>
    <t>616 PEEBLES ST</t>
  </si>
  <si>
    <t>CLIFFORD AVE</t>
  </si>
  <si>
    <t xml:space="preserve">LIAO FANG </t>
  </si>
  <si>
    <t>735 S BRADDOCK AVE</t>
  </si>
  <si>
    <t xml:space="preserve">MONCRIEF LIVING TRUST                           </t>
  </si>
  <si>
    <t>829 S BRADDOCK AVE</t>
  </si>
  <si>
    <t xml:space="preserve">JOSEPHINE E DAW  IRREVOCABLE TRUST       </t>
  </si>
  <si>
    <t>905 S BRADDOCK AVE</t>
  </si>
  <si>
    <t>JOSEPHINE E DAW IRREV</t>
  </si>
  <si>
    <t xml:space="preserve">HANNAH HEROLD S JR </t>
  </si>
  <si>
    <t>909 S BRADDOCK AVE</t>
  </si>
  <si>
    <t>DEMPSTER COLLEEN VAUGHN  &amp; JARED RYAN LUPTAK (H)</t>
  </si>
  <si>
    <t>918 S BRADDOCK AVE</t>
  </si>
  <si>
    <t>DEMPSTER COLLEEN VAUG</t>
  </si>
  <si>
    <t>LINDEN AVE S</t>
  </si>
  <si>
    <t xml:space="preserve">BROWN MICHAEL JOSEPH </t>
  </si>
  <si>
    <t>900 S BRADDOCK AVE</t>
  </si>
  <si>
    <t>SANDLOT WAY</t>
  </si>
  <si>
    <t>APPLING</t>
  </si>
  <si>
    <t xml:space="preserve">STOCKTON NICHOLAS  MARTIN                  </t>
  </si>
  <si>
    <t>915 MILTON ST</t>
  </si>
  <si>
    <t>W WABASH AVE</t>
  </si>
  <si>
    <t xml:space="preserve">WESTERMANN DIANE K </t>
  </si>
  <si>
    <t>933 MILTON ST</t>
  </si>
  <si>
    <t>MILTON ST</t>
  </si>
  <si>
    <t xml:space="preserve">KONRAD ALEXANDER M                              </t>
  </si>
  <si>
    <t>963 MILTON ST</t>
  </si>
  <si>
    <t xml:space="preserve">LANDALE MARJORIE S </t>
  </si>
  <si>
    <t>956 MILTON ST</t>
  </si>
  <si>
    <t xml:space="preserve">MANZO PATTERSON LIVING  TRUST                   </t>
  </si>
  <si>
    <t>939 LACLAIR ST</t>
  </si>
  <si>
    <t xml:space="preserve">BAXTER LINDSAY A </t>
  </si>
  <si>
    <t>1005 MACON AVE</t>
  </si>
  <si>
    <t xml:space="preserve">SPARLING ERIN &amp;                         </t>
  </si>
  <si>
    <t>1000 MACON AVE</t>
  </si>
  <si>
    <t xml:space="preserve">CARMODY SUSAN                                   </t>
  </si>
  <si>
    <t>1010 MACON AVE</t>
  </si>
  <si>
    <t>BROWN AMBER RASCHEL  AURORA</t>
  </si>
  <si>
    <t>1102 MACON AVE</t>
  </si>
  <si>
    <t>BROWN AMBER RASCHEL A</t>
  </si>
  <si>
    <t>CRAWFORD JENNIFER &amp; SAMUEL (H)</t>
  </si>
  <si>
    <t>1237 RICHMOND ST</t>
  </si>
  <si>
    <t>CRAWFORD JENNIFER &amp; S</t>
  </si>
  <si>
    <t>RICHMOND ST</t>
  </si>
  <si>
    <t>WARDEN ROBERT T &amp; CYNTHIA J REMY (W)</t>
  </si>
  <si>
    <t>1108 LANCASTER AVE</t>
  </si>
  <si>
    <t>WARDEN ROBERT T &amp; CYN</t>
  </si>
  <si>
    <t>LANCASTER AVE</t>
  </si>
  <si>
    <t xml:space="preserve">DROGOWSKI LAURA </t>
  </si>
  <si>
    <t>1140 LANCASTER AVE</t>
  </si>
  <si>
    <t>DROGOWSKI LAURA</t>
  </si>
  <si>
    <t>DESMONE CHARLES L &amp; EUGENIA A (W)</t>
  </si>
  <si>
    <t>1222 LANCASTER AVE</t>
  </si>
  <si>
    <t>DESMONE CHARLES L &amp; E</t>
  </si>
  <si>
    <t>CELENTO DAVID  &amp; REBECCA HENN (W)</t>
  </si>
  <si>
    <t>1207 LANCASTER AVE</t>
  </si>
  <si>
    <t>CELENTO DAVID  &amp; REBE</t>
  </si>
  <si>
    <t>NORMAN ANN MCBURNEY &amp; MARVIN T (H)</t>
  </si>
  <si>
    <t>264 WHIPPLE ST</t>
  </si>
  <si>
    <t>ELES GILBERT R &amp; ELIZABETH M</t>
  </si>
  <si>
    <t>229 HOMESTEAD ST</t>
  </si>
  <si>
    <t xml:space="preserve">CICCARELLI &amp; SONS LLC </t>
  </si>
  <si>
    <t>243 HOMESTEAD ST</t>
  </si>
  <si>
    <t>ADELINE AVE</t>
  </si>
  <si>
    <t>41 NEVADA ST</t>
  </si>
  <si>
    <t xml:space="preserve">HALL VANCE A SR </t>
  </si>
  <si>
    <t>0 POCONO ST</t>
  </si>
  <si>
    <t xml:space="preserve">KUNTZ MICHELLE </t>
  </si>
  <si>
    <t>3826 ACORN ST</t>
  </si>
  <si>
    <t>KUNTZ MICHELLE</t>
  </si>
  <si>
    <t>ACORN ST</t>
  </si>
  <si>
    <t xml:space="preserve">PRO 1 LLC </t>
  </si>
  <si>
    <t>3806 ACORN ST</t>
  </si>
  <si>
    <t>GALLAGHER JOHN G &amp; NANCY J (W)</t>
  </si>
  <si>
    <t>3815 ACORN ST</t>
  </si>
  <si>
    <t>WILLIAMS ALICE  &amp; MARTHA JEAN HARSHAW</t>
  </si>
  <si>
    <t>205 SALINE ST</t>
  </si>
  <si>
    <t xml:space="preserve">DOLGOSHEEV YAN </t>
  </si>
  <si>
    <t>165 GREENFIELD AVE</t>
  </si>
  <si>
    <t xml:space="preserve">RYAN JUNE </t>
  </si>
  <si>
    <t>0 GREENFIELD AVE</t>
  </si>
  <si>
    <t xml:space="preserve">KUNTZ GARY  &amp; KAREN (W) </t>
  </si>
  <si>
    <t>VIDCOMM FUND1 LLC        ETAL</t>
  </si>
  <si>
    <t>184 GREENFIELD AVE</t>
  </si>
  <si>
    <t>VIDCOMM FUND1 LLC C/O</t>
  </si>
  <si>
    <t>VERMONT AVE STE 352</t>
  </si>
  <si>
    <t>HARBOR CITY</t>
  </si>
  <si>
    <t xml:space="preserve">IEZZI JOSEPH </t>
  </si>
  <si>
    <t xml:space="preserve">CRUGER KATHERINE M </t>
  </si>
  <si>
    <t>26 WALDECK ST</t>
  </si>
  <si>
    <t xml:space="preserve">LAGANA FRANK </t>
  </si>
  <si>
    <t>22 WALDECK ST</t>
  </si>
  <si>
    <t>WALDECK ST</t>
  </si>
  <si>
    <t>SEDLAK THOMAS J &amp; DOLORES BELLE</t>
  </si>
  <si>
    <t>20 WALDECK ST</t>
  </si>
  <si>
    <t>WOLFF WILLLIAM F &amp; BARBARA A WOLFF</t>
  </si>
  <si>
    <t>18 WALDECK ST</t>
  </si>
  <si>
    <t>WOLFF WILLLIAM F &amp; BA</t>
  </si>
  <si>
    <t>CAMPBELLS LN</t>
  </si>
  <si>
    <t>BALTIMORE &amp; OHIO RAILROAD CO</t>
  </si>
  <si>
    <t>0 R/W</t>
  </si>
  <si>
    <t xml:space="preserve">LANDY ALAN </t>
  </si>
  <si>
    <t>316 FOUR MILE RUN RD</t>
  </si>
  <si>
    <t>ALAN LANDY</t>
  </si>
  <si>
    <t>STANLEY ST</t>
  </si>
  <si>
    <t xml:space="preserve">SINHA ANUSHA </t>
  </si>
  <si>
    <t>309 SALINE ST</t>
  </si>
  <si>
    <t>LINDEN MAURICE F &amp; (TRUSTEE)</t>
  </si>
  <si>
    <t>333 SALINE ST</t>
  </si>
  <si>
    <t xml:space="preserve">WALL ROBERT L </t>
  </si>
  <si>
    <t>CHROMEY PATRICIA ANN &amp; JOHN DENNIS CHROM EY</t>
  </si>
  <si>
    <t>334 SALINE ST</t>
  </si>
  <si>
    <t>STUART DEVELOPMENT  GROUP LLC</t>
  </si>
  <si>
    <t>304 SALINE ST</t>
  </si>
  <si>
    <t>STUART DEVELOPMENT GR</t>
  </si>
  <si>
    <t>GERTRUDE ST</t>
  </si>
  <si>
    <t xml:space="preserve">MARTUSCELLI DENNIS </t>
  </si>
  <si>
    <t xml:space="preserve">MCCARTHY SONIA A </t>
  </si>
  <si>
    <t>0 IVONDALE ST</t>
  </si>
  <si>
    <t xml:space="preserve">BEAM STELLA M </t>
  </si>
  <si>
    <t>IVONDALE ST</t>
  </si>
  <si>
    <t xml:space="preserve">MANNION THOMAS </t>
  </si>
  <si>
    <t>334 IVONDALE ST</t>
  </si>
  <si>
    <t xml:space="preserve">AIYANGAR AMEET                                  </t>
  </si>
  <si>
    <t>405 ALGER ST</t>
  </si>
  <si>
    <t>AIYANGAR AMEET</t>
  </si>
  <si>
    <t>PO BOX 9205</t>
  </si>
  <si>
    <t xml:space="preserve">STANLEY LOLA J </t>
  </si>
  <si>
    <t>406 ALGER ST</t>
  </si>
  <si>
    <t>ALGER ST</t>
  </si>
  <si>
    <t xml:space="preserve">STANLEY LOLA </t>
  </si>
  <si>
    <t>407 ALGER ST</t>
  </si>
  <si>
    <t>STANLEY LOLA</t>
  </si>
  <si>
    <t>SABOL JOSEPH A &amp; PAULINE (W)</t>
  </si>
  <si>
    <t>0 HAWORTH ST</t>
  </si>
  <si>
    <t xml:space="preserve">YALAMOVA-DWYER MILEAN T                         </t>
  </si>
  <si>
    <t>3917 COLEMAN ST</t>
  </si>
  <si>
    <t>YALAMOVA-DWYER MILEAN</t>
  </si>
  <si>
    <t>COLEMAN ST</t>
  </si>
  <si>
    <t xml:space="preserve">ONEIL MARGARET D </t>
  </si>
  <si>
    <t>0 COLEMAN ST</t>
  </si>
  <si>
    <t xml:space="preserve">VISMER VLADIMIR </t>
  </si>
  <si>
    <t>511 NEEB ST</t>
  </si>
  <si>
    <t>EDGEMONT RD</t>
  </si>
  <si>
    <t>SCARSDALE</t>
  </si>
  <si>
    <t xml:space="preserve">KAGAN ZINOVY                                    </t>
  </si>
  <si>
    <t>3904 COLEMAN ST</t>
  </si>
  <si>
    <t>35TH AVE APT E15</t>
  </si>
  <si>
    <t>JACKSON HTS</t>
  </si>
  <si>
    <t xml:space="preserve">AKHMETZYANOV ILMIR </t>
  </si>
  <si>
    <t>3912 COLEMAN ST</t>
  </si>
  <si>
    <t>MCNEILL JOHN L JR &amp; DENISE M (W)</t>
  </si>
  <si>
    <t>3923 LYDIA ST</t>
  </si>
  <si>
    <t>LYDIA ST</t>
  </si>
  <si>
    <t xml:space="preserve">MCCARTHY SONIA </t>
  </si>
  <si>
    <t>434 IVONDALE ST</t>
  </si>
  <si>
    <t xml:space="preserve">SYLVES JENNIFER M </t>
  </si>
  <si>
    <t>575 NEEB ST</t>
  </si>
  <si>
    <t>SYLVES JENNIFER M</t>
  </si>
  <si>
    <t>25TH AVE NE UNIT 301</t>
  </si>
  <si>
    <t>ISSAQUAH</t>
  </si>
  <si>
    <t xml:space="preserve">SUSKIN JOSHUA </t>
  </si>
  <si>
    <t>0 NEEB ST</t>
  </si>
  <si>
    <t>GALVANEK GEORGE  &amp; CHARLOTTE M</t>
  </si>
  <si>
    <t>3921 NANTASKET ST</t>
  </si>
  <si>
    <t>NANTASKET ST</t>
  </si>
  <si>
    <t>KOSER GERRITT J &amp; ANDREANA (W)</t>
  </si>
  <si>
    <t>4006 BEECHWOOD BLVD</t>
  </si>
  <si>
    <t xml:space="preserve">HAMOVITZ NEIL </t>
  </si>
  <si>
    <t>864 FLEMINGTON ST</t>
  </si>
  <si>
    <t>SILVER BLUE SEA  ENTERPRISES LLC</t>
  </si>
  <si>
    <t>0 FLEMINGTON ST</t>
  </si>
  <si>
    <t>SILVER BLUE SEA ENTER</t>
  </si>
  <si>
    <t>867 FLEMINGTON ST</t>
  </si>
  <si>
    <t xml:space="preserve">HAHALYAK MICHAEL </t>
  </si>
  <si>
    <t>0 MONTEIRO ST</t>
  </si>
  <si>
    <t>BROOKHAVEN DR</t>
  </si>
  <si>
    <t>CLAYTON</t>
  </si>
  <si>
    <t xml:space="preserve">HOMESTEAD HORIZONS LLC </t>
  </si>
  <si>
    <t>820 MONTEIRO ST</t>
  </si>
  <si>
    <t>HOMESTEAD HORIZONS LL</t>
  </si>
  <si>
    <t xml:space="preserve">KINCAID DIANE R </t>
  </si>
  <si>
    <t>832 MONTEIRO ST</t>
  </si>
  <si>
    <t>MONTEIRO ST</t>
  </si>
  <si>
    <t xml:space="preserve">CARESANI CHRISTOPHER </t>
  </si>
  <si>
    <t>856 MONTEIRO ST</t>
  </si>
  <si>
    <t xml:space="preserve">CHAPOT RITA LEE                                 </t>
  </si>
  <si>
    <t>4007 BOULEVARD DR</t>
  </si>
  <si>
    <t xml:space="preserve">LIN SHUENN-JYE                                  </t>
  </si>
  <si>
    <t>3915 BEECHWOOD BLVD</t>
  </si>
  <si>
    <t>LIN SHUENN-JYE</t>
  </si>
  <si>
    <t>GOLIN ELIOT &amp; KIMBERLY (W)</t>
  </si>
  <si>
    <t>3927 BOULEVARD DR</t>
  </si>
  <si>
    <t>GOLIN ELIOT &amp; KIMBERL</t>
  </si>
  <si>
    <t>BOULEVARD DR</t>
  </si>
  <si>
    <t xml:space="preserve">HIMES ALAN REED </t>
  </si>
  <si>
    <t>3953 BEECHWOOD BLVD</t>
  </si>
  <si>
    <t>KIERNAN ROBERT J JR &amp; MARY M (W)</t>
  </si>
  <si>
    <t>3989 BEECHWOOD BLVD</t>
  </si>
  <si>
    <t xml:space="preserve">KOK KYLE J </t>
  </si>
  <si>
    <t>3956 BEECHWOOD BLVD</t>
  </si>
  <si>
    <t xml:space="preserve">BALLARD-TODD SANDRA E </t>
  </si>
  <si>
    <t>60 BIGELOW ST</t>
  </si>
  <si>
    <t>BIGELOW ST</t>
  </si>
  <si>
    <t xml:space="preserve">TITAN REALTY GROUP LLC </t>
  </si>
  <si>
    <t>3 BIGELOW ST</t>
  </si>
  <si>
    <t>TITAN REALTY GROUP LL</t>
  </si>
  <si>
    <t>COVENANT AVE # 172</t>
  </si>
  <si>
    <t>5 BIGELOW ST</t>
  </si>
  <si>
    <t xml:space="preserve">FRANCESCHINI WILLIAM P                          </t>
  </si>
  <si>
    <t>17 BIGELOW ST</t>
  </si>
  <si>
    <t xml:space="preserve">FRANCESCHINI WILLIAM </t>
  </si>
  <si>
    <t xml:space="preserve">MOURS LAWRENCE J </t>
  </si>
  <si>
    <t>43 BIGELOW ST</t>
  </si>
  <si>
    <t xml:space="preserve">CANTLE THOMAS M JR </t>
  </si>
  <si>
    <t>0 YODER ST</t>
  </si>
  <si>
    <t>DAVIS JOHN T &amp; BARBARA (W)</t>
  </si>
  <si>
    <t>0 ALVIN ST</t>
  </si>
  <si>
    <t>DAVIS JOHN T &amp; BARBAR</t>
  </si>
  <si>
    <t>DAIVS LN</t>
  </si>
  <si>
    <t>TIONESTA</t>
  </si>
  <si>
    <t>DAVIS LN</t>
  </si>
  <si>
    <t xml:space="preserve">WEIDMAN MAE </t>
  </si>
  <si>
    <t>316 GREENFIELD AVE</t>
  </si>
  <si>
    <t>NORTH STAR REALTY  INVESTMENTS LLC</t>
  </si>
  <si>
    <t>318 GREENFIELD AVE</t>
  </si>
  <si>
    <t>NORTH STAR REALTY INV</t>
  </si>
  <si>
    <t>1ST AVE STE 511</t>
  </si>
  <si>
    <t xml:space="preserve">EV ADVENTURES LLC </t>
  </si>
  <si>
    <t>7 MUSGRAVE ST</t>
  </si>
  <si>
    <t>EV ADVENTURES LLC</t>
  </si>
  <si>
    <t>SIMMONS AVE</t>
  </si>
  <si>
    <t xml:space="preserve">VOITKO GEORGE M </t>
  </si>
  <si>
    <t>201 MUSGRAVE ST</t>
  </si>
  <si>
    <t>DONNA VOITKO-BROWNE</t>
  </si>
  <si>
    <t xml:space="preserve">BATIA RASCO DESIGN LLC </t>
  </si>
  <si>
    <t>25 YODER ST</t>
  </si>
  <si>
    <t>BATIA RASCO DESIGN LL</t>
  </si>
  <si>
    <t xml:space="preserve">HANNA JAMES V JR </t>
  </si>
  <si>
    <t>31 YODER ST</t>
  </si>
  <si>
    <t>YODER ST</t>
  </si>
  <si>
    <t xml:space="preserve">INTISSAR LLC </t>
  </si>
  <si>
    <t>327 KAERCHER ST</t>
  </si>
  <si>
    <t>TAFT AVE</t>
  </si>
  <si>
    <t>WEINSTEIN AVRAHAM Y &amp; CHAYA MUSHKA (W)</t>
  </si>
  <si>
    <t>331 KAERCHER ST</t>
  </si>
  <si>
    <t>HURST THOMAS  &amp; ROSIA HURST</t>
  </si>
  <si>
    <t>LAUGHLIN DANIEL  &amp; KAREN A (W)</t>
  </si>
  <si>
    <t>LAUGHLIN DANIEL  &amp; KA</t>
  </si>
  <si>
    <t xml:space="preserve">KUHL DARREN </t>
  </si>
  <si>
    <t xml:space="preserve">BARNES THOMAS H </t>
  </si>
  <si>
    <t>3834 ACORN ST</t>
  </si>
  <si>
    <t>ALEXIS ST</t>
  </si>
  <si>
    <t xml:space="preserve">COLAIZZI LUCIA </t>
  </si>
  <si>
    <t>3943 LYDIA ST</t>
  </si>
  <si>
    <t xml:space="preserve">DEASY JAMES J                                   </t>
  </si>
  <si>
    <t>4007 COLEMAN ST</t>
  </si>
  <si>
    <t xml:space="preserve">SMITH WILLIAM F </t>
  </si>
  <si>
    <t>4101 LYDIA ST</t>
  </si>
  <si>
    <t>TOTH JOSEPH A JR WHEELER ROBECCA</t>
  </si>
  <si>
    <t>4014 COLEMAN ST</t>
  </si>
  <si>
    <t xml:space="preserve">BURTON TERESA MARIE </t>
  </si>
  <si>
    <t>4039 LYDIA ST</t>
  </si>
  <si>
    <t xml:space="preserve">LOKSHIN ANNA </t>
  </si>
  <si>
    <t>4110 LYDIA ST</t>
  </si>
  <si>
    <t>4102 LYDIA ST</t>
  </si>
  <si>
    <t xml:space="preserve">BLUEGREEN PROPERTIES LLC </t>
  </si>
  <si>
    <t>0 LYDIA ST</t>
  </si>
  <si>
    <t xml:space="preserve">BLUEGREEN PROPERTIES </t>
  </si>
  <si>
    <t>426 GREENFIELD AVE</t>
  </si>
  <si>
    <t>430 GREENFIELD AVE</t>
  </si>
  <si>
    <t>4005 HALDANE ST</t>
  </si>
  <si>
    <t xml:space="preserve">BURNS JUNE L </t>
  </si>
  <si>
    <t>4033 HALDANE ST</t>
  </si>
  <si>
    <t>HALDANE ST</t>
  </si>
  <si>
    <t>IRWIN KAREN  &amp; KEVIN JAY (H)</t>
  </si>
  <si>
    <t>4113 HALDANE ST</t>
  </si>
  <si>
    <t xml:space="preserve">REMLEY RENNICK A                                </t>
  </si>
  <si>
    <t>0 HALDANE ST</t>
  </si>
  <si>
    <t>REMLEY RENNICK A</t>
  </si>
  <si>
    <t>KRANAK RAYMOND M &amp; SUSAN (W)</t>
  </si>
  <si>
    <t>4036 HALDANE ST</t>
  </si>
  <si>
    <t xml:space="preserve">DEASY KEVIN M </t>
  </si>
  <si>
    <t>400 GREENFIELD AVE</t>
  </si>
  <si>
    <t xml:space="preserve">KUMAR ASHOK                                     </t>
  </si>
  <si>
    <t>411 KAERCHER ST</t>
  </si>
  <si>
    <t xml:space="preserve">DEASY JAMES P SR &amp; MAIZIE B                </t>
  </si>
  <si>
    <t>423 KAERCHER ST</t>
  </si>
  <si>
    <t>WINTERBURN AVE</t>
  </si>
  <si>
    <t xml:space="preserve">GUAN SHAOHUA </t>
  </si>
  <si>
    <t>4013 COLEMAN ST</t>
  </si>
  <si>
    <t>COLEMAN LN</t>
  </si>
  <si>
    <t xml:space="preserve">WEBSTER RACHAEL A                               </t>
  </si>
  <si>
    <t>4014 HOOSAC ST</t>
  </si>
  <si>
    <t xml:space="preserve">LINDLEY MARCY K </t>
  </si>
  <si>
    <t>4012 HOOSAC ST</t>
  </si>
  <si>
    <t xml:space="preserve">PITT ODIN LLC </t>
  </si>
  <si>
    <t>546 GREENFIELD AVE</t>
  </si>
  <si>
    <t xml:space="preserve">SNOW WILLIAM </t>
  </si>
  <si>
    <t>566 GREENFIELD AVE</t>
  </si>
  <si>
    <t xml:space="preserve">MORGAN SHAWN M </t>
  </si>
  <si>
    <t>4 DENMARSH ST</t>
  </si>
  <si>
    <t>ODRISCOLL SEAN WILLIAM &amp; RACHEL FENGER ( W)</t>
  </si>
  <si>
    <t>4108 WINTERBURN AVE</t>
  </si>
  <si>
    <t>ODRISCOLL SEAN WILLIA</t>
  </si>
  <si>
    <t>WINTERBURN ST</t>
  </si>
  <si>
    <t xml:space="preserve">ROSE ALEXANDRIA </t>
  </si>
  <si>
    <t>4120 WINTERBURN AVE</t>
  </si>
  <si>
    <t>0 COYNE TER</t>
  </si>
  <si>
    <t xml:space="preserve">ABME LLC </t>
  </si>
  <si>
    <t>4105 WINTERBURN AVE</t>
  </si>
  <si>
    <t xml:space="preserve">VARNER SOFIA </t>
  </si>
  <si>
    <t>4021 WINTERBURN AVE</t>
  </si>
  <si>
    <t xml:space="preserve">NAGEL WILLIAM S                                 </t>
  </si>
  <si>
    <t>601 MINNESOTA ST</t>
  </si>
  <si>
    <t>ABRAHAM NOFAL M &amp; AMINA (W)</t>
  </si>
  <si>
    <t>621 MINNESOTA ST</t>
  </si>
  <si>
    <t>KURTANICH CONTRACTING  LLC</t>
  </si>
  <si>
    <t>624 MINNESOTA ST</t>
  </si>
  <si>
    <t>FALLBROOK DR</t>
  </si>
  <si>
    <t>MICHAELS ERNEST  &amp; ELVIA (W)</t>
  </si>
  <si>
    <t>626 BLANTON ST</t>
  </si>
  <si>
    <t>BLANTON ST</t>
  </si>
  <si>
    <t xml:space="preserve">ESHENBAUGH NICOLE </t>
  </si>
  <si>
    <t>624 BLANTON ST</t>
  </si>
  <si>
    <t>JACKSON JOSEPH M &amp; KATHLEEN M (W)</t>
  </si>
  <si>
    <t>626 GREENFIELD AVE</t>
  </si>
  <si>
    <t xml:space="preserve">BURKE DENIS M </t>
  </si>
  <si>
    <t>714 GREENFIELD AVE</t>
  </si>
  <si>
    <t>BURKE DENIS M</t>
  </si>
  <si>
    <t>ALEMEDA AVE</t>
  </si>
  <si>
    <t xml:space="preserve">MALIA PATRICK HERMAN                            </t>
  </si>
  <si>
    <t xml:space="preserve">NAGEL WILLIAM </t>
  </si>
  <si>
    <t>728 GREENFIELD AVE</t>
  </si>
  <si>
    <t>730 GREENFIELD AVE</t>
  </si>
  <si>
    <t>ANASTASIA 1031 CAPITAL  LLC</t>
  </si>
  <si>
    <t>752 GREENFIELD AVE</t>
  </si>
  <si>
    <t>ANASTASIA 1031 CAPITA</t>
  </si>
  <si>
    <t>MERRICK RD</t>
  </si>
  <si>
    <t>BELLMORE</t>
  </si>
  <si>
    <t xml:space="preserve">LOKSHIN ANNA E </t>
  </si>
  <si>
    <t>637 MINNESOTA ST</t>
  </si>
  <si>
    <t>MALBOROUGH RD</t>
  </si>
  <si>
    <t xml:space="preserve">BRAUN VLADIMIR KIRSCH </t>
  </si>
  <si>
    <t>811 GREENFIELD AVE</t>
  </si>
  <si>
    <t xml:space="preserve">CRONIN PHYLLIS E                                </t>
  </si>
  <si>
    <t>807 GREENFIELD AVE</t>
  </si>
  <si>
    <t xml:space="preserve">WEIR KENNETH G </t>
  </si>
  <si>
    <t>716 GRAPHIC ST</t>
  </si>
  <si>
    <t>HOMERIDGE LN</t>
  </si>
  <si>
    <t xml:space="preserve">LEGGE SHANNON LYNN </t>
  </si>
  <si>
    <t>810 LILAC ST</t>
  </si>
  <si>
    <t>LILAC ST</t>
  </si>
  <si>
    <t xml:space="preserve">SHI CHAO &amp; BIN GUO (W) </t>
  </si>
  <si>
    <t>816 LILAC ST</t>
  </si>
  <si>
    <t>818 LILAC ST</t>
  </si>
  <si>
    <t xml:space="preserve">GRETO MAUREEN COYNE                             </t>
  </si>
  <si>
    <t>842 LILAC ST</t>
  </si>
  <si>
    <t>856 LILAC ST</t>
  </si>
  <si>
    <t xml:space="preserve">GOLDMAN CARL H </t>
  </si>
  <si>
    <t>821 LILAC ST</t>
  </si>
  <si>
    <t>BERNACKI BERNARD J &amp; MARY F (W)</t>
  </si>
  <si>
    <t>816 KENNEBEC ST</t>
  </si>
  <si>
    <t xml:space="preserve">DELUCA FRANK L </t>
  </si>
  <si>
    <t>846 KENNEBEC ST</t>
  </si>
  <si>
    <t xml:space="preserve">GRATTON SCOTT RICHARD </t>
  </si>
  <si>
    <t>833 MIRROR ST</t>
  </si>
  <si>
    <t>MIRROR ST</t>
  </si>
  <si>
    <t>WISNIEWSKI JAMES P JR &amp; KATHERINE L WISN IEWSKI</t>
  </si>
  <si>
    <t>4210 GLADSTONE ST</t>
  </si>
  <si>
    <t>GLADSTONE ST</t>
  </si>
  <si>
    <t>HEH MAURICE C &amp; VINCETTA M (W)</t>
  </si>
  <si>
    <t>4132 GLADSTONE ST</t>
  </si>
  <si>
    <t xml:space="preserve">SCHOENI TODD RICHARD </t>
  </si>
  <si>
    <t>318 KAERCHER ST</t>
  </si>
  <si>
    <t xml:space="preserve">DINARDO MICHAEL C LIFE  TENANT                  </t>
  </si>
  <si>
    <t>4131 BRISTOL ST</t>
  </si>
  <si>
    <t>DINARDO MICHAEL C LIF</t>
  </si>
  <si>
    <t>BRISTOL ST</t>
  </si>
  <si>
    <t>GIBSON DENNIS R &amp; MARY K (W)</t>
  </si>
  <si>
    <t>111 BIGELOW ST</t>
  </si>
  <si>
    <t xml:space="preserve">SHUSTER SHARON </t>
  </si>
  <si>
    <t>4112 BRISTOL ST</t>
  </si>
  <si>
    <t xml:space="preserve">PROFOZICH JOSEPH E </t>
  </si>
  <si>
    <t>ELBE DR</t>
  </si>
  <si>
    <t>JENESKY DENNIS R &amp; KAREN A (W)</t>
  </si>
  <si>
    <t>38 YODER ST</t>
  </si>
  <si>
    <t xml:space="preserve">CHOTINER LISA B </t>
  </si>
  <si>
    <t>213 KAERCHER ST</t>
  </si>
  <si>
    <t>KAERCHER ST</t>
  </si>
  <si>
    <t>ALBRIGHT LORRAINE I ETAL</t>
  </si>
  <si>
    <t>83 BIGELOW ST</t>
  </si>
  <si>
    <t xml:space="preserve">CRUM FREDERICK W II </t>
  </si>
  <si>
    <t>84 BIGELOW ST</t>
  </si>
  <si>
    <t>FORRESTER ST</t>
  </si>
  <si>
    <t xml:space="preserve">KEGLOVITS DARREN                                </t>
  </si>
  <si>
    <t>96 BIGELOW ST</t>
  </si>
  <si>
    <t>GUARNTEED RATE INC</t>
  </si>
  <si>
    <t>PO BOX 105178 ST</t>
  </si>
  <si>
    <t xml:space="preserve">BARTLEY MICHAEL G </t>
  </si>
  <si>
    <t>4228 GLADSTONE ST</t>
  </si>
  <si>
    <t xml:space="preserve">ROCHE TIMOTHY J SR </t>
  </si>
  <si>
    <t>4218 GLADSTONE ST</t>
  </si>
  <si>
    <t xml:space="preserve">HINISH DENISE M </t>
  </si>
  <si>
    <t>4133 ROSALIA PL</t>
  </si>
  <si>
    <t>ROSALIA PL</t>
  </si>
  <si>
    <t>EISNER-HARVEY TRACEY  &amp; CHARLES HARVEY (H)</t>
  </si>
  <si>
    <t>4220 STANLEY ST</t>
  </si>
  <si>
    <t xml:space="preserve">EISNER-HARVEY TRACEY </t>
  </si>
  <si>
    <t xml:space="preserve">GARBER DONALD J </t>
  </si>
  <si>
    <t>4136 STANLEY ST</t>
  </si>
  <si>
    <t xml:space="preserve">GENTILLE MICHAEL P </t>
  </si>
  <si>
    <t>4307 STANLEY ST</t>
  </si>
  <si>
    <t>ZEHNDER RD</t>
  </si>
  <si>
    <t xml:space="preserve">BUTCH ANDREW M </t>
  </si>
  <si>
    <t>4254 HALDANE ST</t>
  </si>
  <si>
    <t>MCQUILLIS JOHN  &amp; CAROL (W)</t>
  </si>
  <si>
    <t>4208 HALDANE ST</t>
  </si>
  <si>
    <t>MCQUILLIS JOHN  &amp; CAR</t>
  </si>
  <si>
    <t xml:space="preserve">HUGHES MELANIE M </t>
  </si>
  <si>
    <t xml:space="preserve">4229 HALDANE ST PA LLC </t>
  </si>
  <si>
    <t>4229 HALDANE ST</t>
  </si>
  <si>
    <t>4229 HALDANE ST PA LL</t>
  </si>
  <si>
    <t>MEMORIAL HWY</t>
  </si>
  <si>
    <t>NEW ROCHELLE</t>
  </si>
  <si>
    <t xml:space="preserve">SCAFURI PAMELA M </t>
  </si>
  <si>
    <t>4239 HALDANE ST</t>
  </si>
  <si>
    <t xml:space="preserve">HATCHER-PERALTA ASHLEY                          </t>
  </si>
  <si>
    <t>4225 LYDIA ST</t>
  </si>
  <si>
    <t>HATCHER-PERALTA ASHLE</t>
  </si>
  <si>
    <t xml:space="preserve">HAIZLETT ELLEN M </t>
  </si>
  <si>
    <t>526 FARNSWORTH ST</t>
  </si>
  <si>
    <t>FARNSWORTH ST</t>
  </si>
  <si>
    <t>KIMELMAN TERRY  &amp; JAY A KIMELMAN</t>
  </si>
  <si>
    <t>4211 WINTERBURN AVE</t>
  </si>
  <si>
    <t xml:space="preserve">SKIRTICH JOHN W </t>
  </si>
  <si>
    <t>4284 MCCASLIN ST</t>
  </si>
  <si>
    <t>GORMLEY SCOTT M &amp; RENEE M (W)</t>
  </si>
  <si>
    <t>848 MCCASLIN ST</t>
  </si>
  <si>
    <t>MCCASLIN ST</t>
  </si>
  <si>
    <t xml:space="preserve">DOLAN CANICE </t>
  </si>
  <si>
    <t>4265 GLEN LYTLE RD</t>
  </si>
  <si>
    <t>GLEN LYTLE RD</t>
  </si>
  <si>
    <t xml:space="preserve">MEMISHA ELDA                                    </t>
  </si>
  <si>
    <t>4230 MCCASLIN ST</t>
  </si>
  <si>
    <t>MEMISHA ELDA ALARRCON</t>
  </si>
  <si>
    <t>ABRAMS RICHARD S &amp; MARILYN F (W)</t>
  </si>
  <si>
    <t>0 MCCASLIN ST</t>
  </si>
  <si>
    <t>BEEHNER RD</t>
  </si>
  <si>
    <t xml:space="preserve">SWETT MARTHA                                    </t>
  </si>
  <si>
    <t>4128 BEEHNER RD</t>
  </si>
  <si>
    <t>REGIONS MORTGAGE</t>
  </si>
  <si>
    <t>P. O. BOX 23870</t>
  </si>
  <si>
    <t xml:space="preserve">LISCHNER DONA C </t>
  </si>
  <si>
    <t>4114 BEEHNER RD</t>
  </si>
  <si>
    <t>MARLIN DR</t>
  </si>
  <si>
    <t xml:space="preserve">REINGARDT LINDA A </t>
  </si>
  <si>
    <t>708 MELBOURNE ST</t>
  </si>
  <si>
    <t>MELBOURNE ST</t>
  </si>
  <si>
    <t xml:space="preserve">JARAMILLO PAULINA                               </t>
  </si>
  <si>
    <t>4271 FRANK ST</t>
  </si>
  <si>
    <t xml:space="preserve">CIGANIK KATHALEEN M E                           </t>
  </si>
  <si>
    <t>924 NORFOLK ST</t>
  </si>
  <si>
    <t>NORFOLK ST</t>
  </si>
  <si>
    <t>PETERS MARIAN L &amp; DENISE M MITCHELL</t>
  </si>
  <si>
    <t>923 NORFOLK ST</t>
  </si>
  <si>
    <t>BALTIMORE &amp; OHIO R R CO IN PENNA</t>
  </si>
  <si>
    <t>DEKLEVA BRIAN MICHAEL &amp; ANNA FAIRBANKS ( W)</t>
  </si>
  <si>
    <t>909 DEELY ST</t>
  </si>
  <si>
    <t xml:space="preserve">REAL LV LLC </t>
  </si>
  <si>
    <t>903 DEELY ST</t>
  </si>
  <si>
    <t>PARKER CIR</t>
  </si>
  <si>
    <t xml:space="preserve">WEST ADAM J </t>
  </si>
  <si>
    <t>0 TASSO ST</t>
  </si>
  <si>
    <t xml:space="preserve">WARD THERESA </t>
  </si>
  <si>
    <t>4308 TASSO ST</t>
  </si>
  <si>
    <t>GOOD NEIGHBOR  PROPERTIES LLC</t>
  </si>
  <si>
    <t>4304 BRISTOL ST</t>
  </si>
  <si>
    <t>GOOD NEIGHBOR PROPERT</t>
  </si>
  <si>
    <t>VAN BUREN ST</t>
  </si>
  <si>
    <t>4302 BRISTOL ST</t>
  </si>
  <si>
    <t xml:space="preserve">PAVASKO DENISE A </t>
  </si>
  <si>
    <t>4251 BRISTOL ST</t>
  </si>
  <si>
    <t>ROCHE ROBERT  &amp; MARIE L (W)</t>
  </si>
  <si>
    <t>220 ILION ST</t>
  </si>
  <si>
    <t>ILION ST</t>
  </si>
  <si>
    <t xml:space="preserve">WISNIEWSKI ROBERT </t>
  </si>
  <si>
    <t>4345 BRISTOL ST</t>
  </si>
  <si>
    <t xml:space="preserve">BROOKS WALTER W                                 </t>
  </si>
  <si>
    <t>0 GLADSTONE ST</t>
  </si>
  <si>
    <t xml:space="preserve">SIPULA JAN &amp; IVANA </t>
  </si>
  <si>
    <t>4354 GLADSTONE ST</t>
  </si>
  <si>
    <t>SIPULA JAN &amp; IVANA</t>
  </si>
  <si>
    <t xml:space="preserve">MCGRAW JOHN A </t>
  </si>
  <si>
    <t>4336 STANLEY ST</t>
  </si>
  <si>
    <t xml:space="preserve">MANNION MARGARET ANN </t>
  </si>
  <si>
    <t>4320 STANLEY ST</t>
  </si>
  <si>
    <t xml:space="preserve">GREENFIELD LAND TRUST </t>
  </si>
  <si>
    <t>4314 STANLEY ST</t>
  </si>
  <si>
    <t>4319 STANLEY ST</t>
  </si>
  <si>
    <t xml:space="preserve">KOPAY JOHN ANDREW </t>
  </si>
  <si>
    <t>4334 HALDANE ST</t>
  </si>
  <si>
    <t>OSWALD LINDA  &amp; TERESA OSWALD</t>
  </si>
  <si>
    <t>4330 HALDANE ST</t>
  </si>
  <si>
    <t>4326 HALDANE ST</t>
  </si>
  <si>
    <t xml:space="preserve">MUNDA GERALDINE                                 </t>
  </si>
  <si>
    <t>355 BIGELOW ST</t>
  </si>
  <si>
    <t>FINKBEINER JENNIFER  LYNN &amp; CHARLES H (H)</t>
  </si>
  <si>
    <t>343 BIGELOW ST</t>
  </si>
  <si>
    <t>FINKBEINER JENNIFER L</t>
  </si>
  <si>
    <t xml:space="preserve">KININMONTH CHARLES D </t>
  </si>
  <si>
    <t>17 WINDERS ST</t>
  </si>
  <si>
    <t>WINDERS ST</t>
  </si>
  <si>
    <t xml:space="preserve">ROMANOVA SVETLANA L </t>
  </si>
  <si>
    <t>4343 LYDIA ST</t>
  </si>
  <si>
    <t xml:space="preserve">SCUILLI FAUSTINA M </t>
  </si>
  <si>
    <t>4362 WINTERBURN AVE</t>
  </si>
  <si>
    <t xml:space="preserve">ZEHER SANDRA A </t>
  </si>
  <si>
    <t>4316 WINTERBURN AVE</t>
  </si>
  <si>
    <t>SANDRA A ZEHER</t>
  </si>
  <si>
    <t xml:space="preserve">HU AIMING </t>
  </si>
  <si>
    <t>4353 WINTERBURN AVE</t>
  </si>
  <si>
    <t xml:space="preserve">WEIR AARON </t>
  </si>
  <si>
    <t>514 LORETTO RD</t>
  </si>
  <si>
    <t xml:space="preserve">GREEN CAROL S </t>
  </si>
  <si>
    <t>4321 GLEN LYTLE RD</t>
  </si>
  <si>
    <t>JENNINGS MICHAEL &amp; VICKI LYNN (W)</t>
  </si>
  <si>
    <t>4317 MCCASLIN ST</t>
  </si>
  <si>
    <t>JENNINGS MICHAEL &amp; VI</t>
  </si>
  <si>
    <t>HART KEVIN A &amp; DONNA M (W)</t>
  </si>
  <si>
    <t>566 BIGELOW ST</t>
  </si>
  <si>
    <t xml:space="preserve">HART KEVIN A &amp; DONNA </t>
  </si>
  <si>
    <t>CHUDNOVSKY BORIS &amp; BELLA (W)</t>
  </si>
  <si>
    <t>624 LORETTA ST REAR</t>
  </si>
  <si>
    <t>CHUDNOVSKY BORIS &amp; BE</t>
  </si>
  <si>
    <t xml:space="preserve">EISENBERG ALIZA </t>
  </si>
  <si>
    <t>621 MONTCLAIR ST</t>
  </si>
  <si>
    <t>MIRONOV MICHAEL  &amp; ALBINA (W)</t>
  </si>
  <si>
    <t>663 MONTCLAIR ST</t>
  </si>
  <si>
    <t>MONTCLAIR ST</t>
  </si>
  <si>
    <t>707 MONTCLAIR ST</t>
  </si>
  <si>
    <t xml:space="preserve">MORSILLO PETER </t>
  </si>
  <si>
    <t>700 MONTCLAIR ST</t>
  </si>
  <si>
    <t xml:space="preserve">COWEN CHAIM L                                   </t>
  </si>
  <si>
    <t>647 BIGELOW ST</t>
  </si>
  <si>
    <t xml:space="preserve">STRENSKI CATHY L </t>
  </si>
  <si>
    <t>0 BIGELOW ST</t>
  </si>
  <si>
    <t>641 HAZELWOOD AVE</t>
  </si>
  <si>
    <t>HAZELWOOD AVE</t>
  </si>
  <si>
    <t>WAGNER WILLIAM P &amp; ROSE C (W)</t>
  </si>
  <si>
    <t>617 HAZELWOOD AVE</t>
  </si>
  <si>
    <t xml:space="preserve">AFI LLC </t>
  </si>
  <si>
    <t>0 CHATSWORTH AVE</t>
  </si>
  <si>
    <t>AFI LLC</t>
  </si>
  <si>
    <t>MANSION ST</t>
  </si>
  <si>
    <t xml:space="preserve">DEASY J &amp; SONS </t>
  </si>
  <si>
    <t>TIMBERWOOD RD</t>
  </si>
  <si>
    <t>MUNHALL</t>
  </si>
  <si>
    <t>0 BINGLER ST</t>
  </si>
  <si>
    <t xml:space="preserve">REICHER PHILIP &amp; ANNETTE (W)             </t>
  </si>
  <si>
    <t>389 SUSANNA CT</t>
  </si>
  <si>
    <t xml:space="preserve">SNYDER DANIEL J </t>
  </si>
  <si>
    <t>554 HAZELWOOD AVE</t>
  </si>
  <si>
    <t xml:space="preserve">JONES BETTY B </t>
  </si>
  <si>
    <t>524 HAZELWOOD AVE</t>
  </si>
  <si>
    <t xml:space="preserve">CATERINO RICHARD A </t>
  </si>
  <si>
    <t>0 HAZELWOOD AVE</t>
  </si>
  <si>
    <t>E BRUCETON RD APT 706</t>
  </si>
  <si>
    <t xml:space="preserve">HEARD WALTER W </t>
  </si>
  <si>
    <t>525 HAZELWOOD AVE</t>
  </si>
  <si>
    <t>PATH WAY</t>
  </si>
  <si>
    <t xml:space="preserve">GRATTAN EDWARD J </t>
  </si>
  <si>
    <t>LOPATA GEORGE E &amp; MARGARET L (W)</t>
  </si>
  <si>
    <t xml:space="preserve">GREENFIELD HOLDINGS LLC </t>
  </si>
  <si>
    <t>526 EMAHLEA ST</t>
  </si>
  <si>
    <t>GREENFIELD HOLDINGS L</t>
  </si>
  <si>
    <t>AVENUE C ST UNIT 7B</t>
  </si>
  <si>
    <t xml:space="preserve">FAY THOMAS J JR </t>
  </si>
  <si>
    <t>520 EMAHLEA ST</t>
  </si>
  <si>
    <t>EMAHLEA ST</t>
  </si>
  <si>
    <t xml:space="preserve">LOCKATON WILLIAM W                              </t>
  </si>
  <si>
    <t>0 GEORGEKAY RD</t>
  </si>
  <si>
    <t>THOMAS J LOCKATON</t>
  </si>
  <si>
    <t>DUNLUCE DR</t>
  </si>
  <si>
    <t>MCBRIDE THOMAS H &amp; MARIE D (W)</t>
  </si>
  <si>
    <t>9 EMAHLEA ST</t>
  </si>
  <si>
    <t xml:space="preserve">MAHON KATHLEEN A </t>
  </si>
  <si>
    <t>0 EMAHLEA ST</t>
  </si>
  <si>
    <t xml:space="preserve">HELLETT HUSSIAN R </t>
  </si>
  <si>
    <t xml:space="preserve">TRINH VAN HOANG                                 </t>
  </si>
  <si>
    <t>408 SUSANNA CT</t>
  </si>
  <si>
    <t>SUSANNA CT</t>
  </si>
  <si>
    <t xml:space="preserve">RETENAUER PHILIP E </t>
  </si>
  <si>
    <t>425 SUSANNA CT</t>
  </si>
  <si>
    <t>LEVINE JANET N TRUSTEE  OF THE JANET N LEVINE LI</t>
  </si>
  <si>
    <t>410 BIGELOW ST</t>
  </si>
  <si>
    <t xml:space="preserve">KAGAN ALEXANDER                                 </t>
  </si>
  <si>
    <t>605 HAZELWOOD AVE</t>
  </si>
  <si>
    <t>ZINOVY KAGAN</t>
  </si>
  <si>
    <t>BORTZ RONALD E &amp; JO ANN (W)</t>
  </si>
  <si>
    <t>628 HAZELWOOD AVE</t>
  </si>
  <si>
    <t xml:space="preserve">KALLSEN VICTORIA L                              </t>
  </si>
  <si>
    <t>624 HAZELWOOD AVE</t>
  </si>
  <si>
    <t xml:space="preserve">NAGY ELIZABETH M </t>
  </si>
  <si>
    <t>576 HAZELWOOD AVE</t>
  </si>
  <si>
    <t xml:space="preserve">TALLENTIRE PHILIP S </t>
  </si>
  <si>
    <t>0 ELYRIA WAY</t>
  </si>
  <si>
    <t>FRAYNE ST</t>
  </si>
  <si>
    <t xml:space="preserve">WASHINGTON EUGENE </t>
  </si>
  <si>
    <t>0 FRAYNE ST</t>
  </si>
  <si>
    <t>E 13TH AVE</t>
  </si>
  <si>
    <t>GRAVES HOWARD K JR &amp; HOPE N (W)</t>
  </si>
  <si>
    <t>567 FRAYNE ST</t>
  </si>
  <si>
    <t>REGALSKI MICHAEL &amp; KRISTIN (W)</t>
  </si>
  <si>
    <t>617 FRAYNE ST</t>
  </si>
  <si>
    <t>REGALSKI MICHAEL &amp; KR</t>
  </si>
  <si>
    <t>GAVEL ROBERT A &amp; JUDITH A (W)</t>
  </si>
  <si>
    <t>674 FRAYNE ST</t>
  </si>
  <si>
    <t xml:space="preserve">CHADWICK JOHN A </t>
  </si>
  <si>
    <t>672 FRAYNE ST</t>
  </si>
  <si>
    <t xml:space="preserve">MUELLER SARAH </t>
  </si>
  <si>
    <t>648 FRAYNE ST</t>
  </si>
  <si>
    <t xml:space="preserve">HANLEY MELISSA A </t>
  </si>
  <si>
    <t>630 FRAYNE ST</t>
  </si>
  <si>
    <t xml:space="preserve">COLUCCIO T BONNIE </t>
  </si>
  <si>
    <t>556 FRAYNE ST</t>
  </si>
  <si>
    <t xml:space="preserve">HENDERSON FLOYD N </t>
  </si>
  <si>
    <t>554 FRAYNE ST</t>
  </si>
  <si>
    <t>BONNIE SHANKO</t>
  </si>
  <si>
    <t>MEADOW RD</t>
  </si>
  <si>
    <t xml:space="preserve">BUCK CORY                                       </t>
  </si>
  <si>
    <t>BUCK CORY</t>
  </si>
  <si>
    <t xml:space="preserve">OLSON JANIE TOMASOVICH &amp; DOUGLAS SCOTT (H)      </t>
  </si>
  <si>
    <t>681 HARLEM ST</t>
  </si>
  <si>
    <t>OLSON JANIE TOMASOVIC</t>
  </si>
  <si>
    <t>HARLEM ST</t>
  </si>
  <si>
    <t xml:space="preserve">OLESNEVICH ANTONINA </t>
  </si>
  <si>
    <t>0 HARLEM ST</t>
  </si>
  <si>
    <t>RITA JARDINE</t>
  </si>
  <si>
    <t>THE CIR</t>
  </si>
  <si>
    <t>MURRAY BERNICE  IRREVOCABLE TRUST OF</t>
  </si>
  <si>
    <t>4625 CHATSWORTH AVE</t>
  </si>
  <si>
    <t>RICARDO MURRAY (TRUST</t>
  </si>
  <si>
    <t>CHATSWORTH AVE</t>
  </si>
  <si>
    <t xml:space="preserve">DURUAMANKU MICHAEL </t>
  </si>
  <si>
    <t>CHATSWORTH ST</t>
  </si>
  <si>
    <t xml:space="preserve">FAULK MILDRED </t>
  </si>
  <si>
    <t>4529 MONONGAHELA ST</t>
  </si>
  <si>
    <t>BERRY ST</t>
  </si>
  <si>
    <t xml:space="preserve">MILLER JULIAN R </t>
  </si>
  <si>
    <t>4610 MONONGAHELA ST</t>
  </si>
  <si>
    <t>PACER DR</t>
  </si>
  <si>
    <t xml:space="preserve">STEPHENS MICHAEL D </t>
  </si>
  <si>
    <t>4608 SYLVAN AVE</t>
  </si>
  <si>
    <t>SYLVAN AVE</t>
  </si>
  <si>
    <t>BROWN MARK A &amp; LUCY MEADOWS</t>
  </si>
  <si>
    <t>4616 SYLVAN AVE</t>
  </si>
  <si>
    <t>BROWN MARK A &amp; LUCY M</t>
  </si>
  <si>
    <t xml:space="preserve">CONN ROY  &amp; RACHEL (W) </t>
  </si>
  <si>
    <t>4545 CHANCE ST</t>
  </si>
  <si>
    <t>CONN ROY  &amp; RACHEL (W</t>
  </si>
  <si>
    <t xml:space="preserve">GILLIAM JAMES                                   </t>
  </si>
  <si>
    <t>4521 SYLVAN AVE</t>
  </si>
  <si>
    <t>MARION NELSON</t>
  </si>
  <si>
    <t>E GOLFLINKS RD APT 8205</t>
  </si>
  <si>
    <t>EDDIE MCCORVEY JR  REVOCABLEL LIVING TRUS T</t>
  </si>
  <si>
    <t>4541 SYLVAN AVE</t>
  </si>
  <si>
    <t>EDDIE MCCORVEY JR REV</t>
  </si>
  <si>
    <t>DASCHBACH DR</t>
  </si>
  <si>
    <t xml:space="preserve">PRIVATE HOUSING INC </t>
  </si>
  <si>
    <t>0 HILLTOP ST</t>
  </si>
  <si>
    <t xml:space="preserve">HUGHES PATRICIA                                 </t>
  </si>
  <si>
    <t>4604 WINTERBURN AVE</t>
  </si>
  <si>
    <t xml:space="preserve">RTH INVESTMENT LLC </t>
  </si>
  <si>
    <t>402 WINTERBURN AVE</t>
  </si>
  <si>
    <t xml:space="preserve">ARMBRUSTER REGIS JEROME  III                     </t>
  </si>
  <si>
    <t>80 CLARION ST</t>
  </si>
  <si>
    <t>ARMBRUSTER REGIS JERO</t>
  </si>
  <si>
    <t>CLARION ST</t>
  </si>
  <si>
    <t>84 CLARION ST</t>
  </si>
  <si>
    <t xml:space="preserve">MILES TENNYSON  &amp; CLARA </t>
  </si>
  <si>
    <t>0 CLARION ST</t>
  </si>
  <si>
    <t>MILES TENNYSON  &amp; CLA</t>
  </si>
  <si>
    <t>LEMONWOOD AVE</t>
  </si>
  <si>
    <t>BRADENTON</t>
  </si>
  <si>
    <t>KELLY CARROLL  &amp; DOROTHY L (W)</t>
  </si>
  <si>
    <t>0 TESLA ST</t>
  </si>
  <si>
    <t>KELLY CARROLL  &amp; DORO</t>
  </si>
  <si>
    <t>TESLA ST</t>
  </si>
  <si>
    <t>1 TESLA ST</t>
  </si>
  <si>
    <t xml:space="preserve">ARMBRUSTER REGIS J JR </t>
  </si>
  <si>
    <t>4 TESLA ST</t>
  </si>
  <si>
    <t xml:space="preserve">JEFFRIES JOHN </t>
  </si>
  <si>
    <t>5 TESLA ST</t>
  </si>
  <si>
    <t>JEFFRIES JOHN</t>
  </si>
  <si>
    <t>LEOLYN ST</t>
  </si>
  <si>
    <t>0 PRESCOTT ST</t>
  </si>
  <si>
    <t xml:space="preserve">KRAUS WILLIAM P JR </t>
  </si>
  <si>
    <t>GLENHURST RD</t>
  </si>
  <si>
    <t xml:space="preserve">RYAN JENNIFER </t>
  </si>
  <si>
    <t>553 INDUS ST</t>
  </si>
  <si>
    <t>INDUS ST</t>
  </si>
  <si>
    <t xml:space="preserve">STARK KATHLEEN D </t>
  </si>
  <si>
    <t>246 BLACKSTONE ST</t>
  </si>
  <si>
    <t>BLACKSTONE ST</t>
  </si>
  <si>
    <t xml:space="preserve">MCMAHON GERALD R JR </t>
  </si>
  <si>
    <t>250 BLACKSTONE ST</t>
  </si>
  <si>
    <t>SALISBURY ST</t>
  </si>
  <si>
    <t xml:space="preserve">THIRY GERALD </t>
  </si>
  <si>
    <t>538 FRAYNE ST</t>
  </si>
  <si>
    <t>HAZELWOOD GREEN  PROPERTY OWNERS ASSOCIAT</t>
  </si>
  <si>
    <t>0 TULLYMET ST</t>
  </si>
  <si>
    <t>HAZELWOOD GREEN PROPE</t>
  </si>
  <si>
    <t>FORBES AVE STE 1200</t>
  </si>
  <si>
    <t xml:space="preserve">DESOUZA TOBIAS F CAMPOS                         </t>
  </si>
  <si>
    <t>4701 SYLVAN AVE</t>
  </si>
  <si>
    <t>4738 SYLVAN AVE</t>
  </si>
  <si>
    <t xml:space="preserve">PRIME ASSET RESERVE LLC </t>
  </si>
  <si>
    <t>4740 SYLVAN AVE</t>
  </si>
  <si>
    <t>PRIME ASSET RESERVE L</t>
  </si>
  <si>
    <t>MINSI DR</t>
  </si>
  <si>
    <t>4723 MONONGAHELA ST</t>
  </si>
  <si>
    <t>WHITAKER ISAAC  &amp; JESSIE (W)</t>
  </si>
  <si>
    <t>0 MONONGAHELA ST</t>
  </si>
  <si>
    <t>WHITAKER ISAAC  &amp; JES</t>
  </si>
  <si>
    <t>MONONGAHELA ST</t>
  </si>
  <si>
    <t>4713 MONONGAHELA ST</t>
  </si>
  <si>
    <t>4711 MONONGAHELA ST</t>
  </si>
  <si>
    <t>4709 MONONGAHELA ST</t>
  </si>
  <si>
    <t>4707 MONONGAHELA ST</t>
  </si>
  <si>
    <t>4705 MONONGAHELA ST</t>
  </si>
  <si>
    <t xml:space="preserve">ALEXANDER ADLENE </t>
  </si>
  <si>
    <t>145 HAZELWOOD AVE</t>
  </si>
  <si>
    <t>4721 IRVINE ST</t>
  </si>
  <si>
    <t xml:space="preserve">RUSH LAWARREN                                   </t>
  </si>
  <si>
    <t>150 HAZELWOOD AVE</t>
  </si>
  <si>
    <t>RUSH LAWARREN DANIELL</t>
  </si>
  <si>
    <t xml:space="preserve">UNDERWOOD TAMARA </t>
  </si>
  <si>
    <t>DUQUESNE PL # 205</t>
  </si>
  <si>
    <t>158 HAZELWOOD AVE</t>
  </si>
  <si>
    <t xml:space="preserve">PRUDEN MICHAEL W </t>
  </si>
  <si>
    <t>354 FLOWERS AVE</t>
  </si>
  <si>
    <t>HAVEN MEADOW DR</t>
  </si>
  <si>
    <t>CONVERSE</t>
  </si>
  <si>
    <t>0 FLOWERS AVE</t>
  </si>
  <si>
    <t>360 FLOWERS AVE</t>
  </si>
  <si>
    <t xml:space="preserve">EGRY BEATRICE P </t>
  </si>
  <si>
    <t>0 NANSEN ST</t>
  </si>
  <si>
    <t>NANSEN ST</t>
  </si>
  <si>
    <t xml:space="preserve">HAZELWOOD INTITATIVE INC </t>
  </si>
  <si>
    <t xml:space="preserve">HAZELWOOD INTITATIVE </t>
  </si>
  <si>
    <t>SECOND AVE FL 2ND</t>
  </si>
  <si>
    <t xml:space="preserve">CRABB CYNTHIA A (W)                             </t>
  </si>
  <si>
    <t>4830 GIDDINGS ST</t>
  </si>
  <si>
    <t>DUFF JOHN M &amp; KELLY A (W)</t>
  </si>
  <si>
    <t>107 GIDDINGS ST</t>
  </si>
  <si>
    <t>DUFF JOHN M &amp; KELLY A</t>
  </si>
  <si>
    <t>ORINOCO ST</t>
  </si>
  <si>
    <t xml:space="preserve">SCHREINER DAYVANNA LYNN </t>
  </si>
  <si>
    <t>28 NANSEN ST</t>
  </si>
  <si>
    <t>SCHREINER DAYVANNA LY</t>
  </si>
  <si>
    <t>BLUFF ST</t>
  </si>
  <si>
    <t xml:space="preserve">MCCREE VONDA M </t>
  </si>
  <si>
    <t>26 NANSEN ST</t>
  </si>
  <si>
    <t xml:space="preserve">SCHREINER DAYVANNA </t>
  </si>
  <si>
    <t xml:space="preserve">HAZELWOOD INITIATIVE INC </t>
  </si>
  <si>
    <t xml:space="preserve">HAZELWOOD INITIATIVE </t>
  </si>
  <si>
    <t>2ND AVE FL 2ND</t>
  </si>
  <si>
    <t xml:space="preserve">BARRON ANTIONETTE L </t>
  </si>
  <si>
    <t>357 FLOWERS AVE</t>
  </si>
  <si>
    <t>FLOWERS AVE</t>
  </si>
  <si>
    <t>OGBEHA FELIX &amp; ANNETTE (W)</t>
  </si>
  <si>
    <t>345 FLOWERS AVE</t>
  </si>
  <si>
    <t>OGBEHA FELIX &amp; ANNETT</t>
  </si>
  <si>
    <t xml:space="preserve">HAZLEWOOD INITIATIVE INC </t>
  </si>
  <si>
    <t>333 FLOWERS AVE</t>
  </si>
  <si>
    <t xml:space="preserve">HAZLEWOOD INITIATIVE </t>
  </si>
  <si>
    <t xml:space="preserve">PYERITZ GLENN PAUL </t>
  </si>
  <si>
    <t xml:space="preserve">FINZEL ALFRED </t>
  </si>
  <si>
    <t>COURTNEY DR</t>
  </si>
  <si>
    <t>HARDY MARVA JEAN &amp; DAVID LEE HARDY SR (H )</t>
  </si>
  <si>
    <t>210 HAZELWOOD AVE</t>
  </si>
  <si>
    <t>HARDY MARVA JEAN &amp; DA</t>
  </si>
  <si>
    <t>HAZELWOOD DR</t>
  </si>
  <si>
    <t xml:space="preserve">GLADSTONE RESIDENCES LLC </t>
  </si>
  <si>
    <t>327 HAZELWOOD AVE</t>
  </si>
  <si>
    <t xml:space="preserve">GLADSTONE RESIDENCES </t>
  </si>
  <si>
    <t>DARTMOUTH ST</t>
  </si>
  <si>
    <t>BOSTON</t>
  </si>
  <si>
    <t xml:space="preserve">DAVIS SUSAN </t>
  </si>
  <si>
    <t xml:space="preserve">WEBB MARK </t>
  </si>
  <si>
    <t>553 FLOWERS AVE</t>
  </si>
  <si>
    <t xml:space="preserve">TOUR MARY E </t>
  </si>
  <si>
    <t>MANSION STREET</t>
  </si>
  <si>
    <t xml:space="preserve">MACBETH LOUIS </t>
  </si>
  <si>
    <t>301 GIDDING ST</t>
  </si>
  <si>
    <t>FALLEN TIMBER RD</t>
  </si>
  <si>
    <t xml:space="preserve">WASHINGTON JUAN                                 </t>
  </si>
  <si>
    <t>0 KILBOURNE ST</t>
  </si>
  <si>
    <t>WASHINGTON JUAN</t>
  </si>
  <si>
    <t>HARDEN AVE</t>
  </si>
  <si>
    <t xml:space="preserve">CYPRYCH EDWARD W &amp; LYDIA M                 </t>
  </si>
  <si>
    <t>453 KILBOURNE ST</t>
  </si>
  <si>
    <t>CYPRYCH EDWARD W &amp; LY</t>
  </si>
  <si>
    <t>EILEEN DR</t>
  </si>
  <si>
    <t xml:space="preserve">HOGAN EDWARD LEO </t>
  </si>
  <si>
    <t>451 KILBOURNE ST</t>
  </si>
  <si>
    <t>KILBOURNE ST</t>
  </si>
  <si>
    <t xml:space="preserve">SMITH HOWARD E </t>
  </si>
  <si>
    <t>449 KILBOURNE ST</t>
  </si>
  <si>
    <t>BROWNSVILLE RD APT 108</t>
  </si>
  <si>
    <t>GIDEL JOHN P &amp; JOANNE C (W)</t>
  </si>
  <si>
    <t>447 KILBOURNE ST</t>
  </si>
  <si>
    <t xml:space="preserve">REM HAZELWOOD LLC </t>
  </si>
  <si>
    <t>429 FLOWERS AVE</t>
  </si>
  <si>
    <t xml:space="preserve">STANZIANO DANIEL </t>
  </si>
  <si>
    <t xml:space="preserve">KEENE HARRIET L </t>
  </si>
  <si>
    <t>308 EDINGTON ST</t>
  </si>
  <si>
    <t>EDINGTON ST</t>
  </si>
  <si>
    <t>ALMONO LP                ETAL</t>
  </si>
  <si>
    <t>0 LYTLE ST</t>
  </si>
  <si>
    <t>JLL AT TOWER TWO SIXT</t>
  </si>
  <si>
    <t>4800 2ND AVE</t>
  </si>
  <si>
    <t xml:space="preserve">HAZELWOOD SECOND AVENUE  LP                      </t>
  </si>
  <si>
    <t>4877 2ND AVE</t>
  </si>
  <si>
    <t>HAZELWOOD SECOND AVEN</t>
  </si>
  <si>
    <t xml:space="preserve">PUCCIARELLI ROBERT </t>
  </si>
  <si>
    <t>0 GERTRUDE ST</t>
  </si>
  <si>
    <t xml:space="preserve">DITHOMAS CHRISTINA F </t>
  </si>
  <si>
    <t xml:space="preserve">COMPLETE VISION CHURCH </t>
  </si>
  <si>
    <t>0 GLEN CALADH ST</t>
  </si>
  <si>
    <t>COMPLETE VISION CHURC</t>
  </si>
  <si>
    <t>PO BOX 50041</t>
  </si>
  <si>
    <t>JADELL MINNIEFIELD CONSTRUCTION SERVICES IN</t>
  </si>
  <si>
    <t>229 GLEN CALADH ST</t>
  </si>
  <si>
    <t>PRICE LYNN A &amp; HARRY A (H)</t>
  </si>
  <si>
    <t>215 GLEN CALADH ST</t>
  </si>
  <si>
    <t>207 GLEN CALADH ST</t>
  </si>
  <si>
    <t>205 GLEN CALADH ST</t>
  </si>
  <si>
    <t>201 GLEN CALADH ST</t>
  </si>
  <si>
    <t>JACKSON GEORGE L &amp; MARY ALICE (W)</t>
  </si>
  <si>
    <t>4927 GERTRUDE ST</t>
  </si>
  <si>
    <t>CAMP AVE</t>
  </si>
  <si>
    <t>RINGOR SIMEON G &amp; VIOLETA P (W)</t>
  </si>
  <si>
    <t>0 DOLPHIN WAY</t>
  </si>
  <si>
    <t>DOLPHIN ST</t>
  </si>
  <si>
    <t xml:space="preserve">DOBROVOLSKY STELLA </t>
  </si>
  <si>
    <t>134 DOLPHIN WAY</t>
  </si>
  <si>
    <t xml:space="preserve">HAWKER JAMES E </t>
  </si>
  <si>
    <t>136 DOLPHIN WAY</t>
  </si>
  <si>
    <t xml:space="preserve">WITHERSPOON JOHN </t>
  </si>
  <si>
    <t>138 DOLPHIN WAY</t>
  </si>
  <si>
    <t xml:space="preserve">MANNING ROSE </t>
  </si>
  <si>
    <t>MANNING ROSE</t>
  </si>
  <si>
    <t>GRANT PL</t>
  </si>
  <si>
    <t xml:space="preserve">MORRIS BRENDA FAYE                              </t>
  </si>
  <si>
    <t>214 FLOWERS AVE</t>
  </si>
  <si>
    <t>RUSH ALBERT W &amp; BARBARA (W)</t>
  </si>
  <si>
    <t>222 FLOWERS AVE</t>
  </si>
  <si>
    <t>RUSH TAMMY</t>
  </si>
  <si>
    <t>230 FLOWERS AVE</t>
  </si>
  <si>
    <t>232 FLOWERS AVE</t>
  </si>
  <si>
    <t>234 FLOWERS AVE</t>
  </si>
  <si>
    <t xml:space="preserve">HARRIS ROBERT </t>
  </si>
  <si>
    <t>ENGLAND UNITED</t>
  </si>
  <si>
    <t xml:space="preserve">JEFFREY DONNA </t>
  </si>
  <si>
    <t>0 MARSDEN ST</t>
  </si>
  <si>
    <t xml:space="preserve">SELIGMAN JOHN RICHARD </t>
  </si>
  <si>
    <t>172 MARSDEN ST</t>
  </si>
  <si>
    <t>162 MARSDEN ST</t>
  </si>
  <si>
    <t>WOOD ST</t>
  </si>
  <si>
    <t>HOHN JOHN L &amp; CATHERINE (W)</t>
  </si>
  <si>
    <t>160 MARSDEN ST</t>
  </si>
  <si>
    <t>158 MARSDEN ST</t>
  </si>
  <si>
    <t xml:space="preserve">CAVINS CHARLES J </t>
  </si>
  <si>
    <t xml:space="preserve">BONASORTE CHARLES L </t>
  </si>
  <si>
    <t>117 FLOWERS AVE</t>
  </si>
  <si>
    <t>4842 CHATSWORTH AVE</t>
  </si>
  <si>
    <t>43RD ST STE 208</t>
  </si>
  <si>
    <t>4838 CHATSWORTH AVE</t>
  </si>
  <si>
    <t xml:space="preserve">MENDICINO ANTHONY </t>
  </si>
  <si>
    <t>4828 CHATSWORTH AVE</t>
  </si>
  <si>
    <t xml:space="preserve">ZIZIOLI MAURIZIO </t>
  </si>
  <si>
    <t>SAN FELIPE RD</t>
  </si>
  <si>
    <t>DESERT HOT SPR</t>
  </si>
  <si>
    <t>4819 CHATSWORTH AVE</t>
  </si>
  <si>
    <t xml:space="preserve">MENDICINO ANTHONY T </t>
  </si>
  <si>
    <t>4827 CHATSWORTH AVE</t>
  </si>
  <si>
    <t>DOUGLASS HERBERT P &amp; ILESSA M</t>
  </si>
  <si>
    <t xml:space="preserve">DOUGLASS HERBERT P &amp; </t>
  </si>
  <si>
    <t>FORD RD UNIT 21P</t>
  </si>
  <si>
    <t>4821 MONONGAHELA ST</t>
  </si>
  <si>
    <t>MURRAY JOHN D &amp; THERESA (W)</t>
  </si>
  <si>
    <t>4823 MONONGAHELA ST</t>
  </si>
  <si>
    <t>OAKES REGINALD &amp; RALONDA (W)</t>
  </si>
  <si>
    <t>JACKS RUN RD</t>
  </si>
  <si>
    <t xml:space="preserve">ZEHNER EMMA SWARTZWELDER </t>
  </si>
  <si>
    <t>E EUGENE ST</t>
  </si>
  <si>
    <t>VISIONARY R E  DEVELOPMENT LLC</t>
  </si>
  <si>
    <t>305 FLOWERS AVE</t>
  </si>
  <si>
    <t>VISIONARY R E DEVELOP</t>
  </si>
  <si>
    <t xml:space="preserve">LIVINGSTON RONALD </t>
  </si>
  <si>
    <t>TROWBRIDGE ST</t>
  </si>
  <si>
    <t xml:space="preserve">IANNACCIO JOSEPH S </t>
  </si>
  <si>
    <t>332 FLOWERS AVE</t>
  </si>
  <si>
    <t xml:space="preserve">FULTON ROMAINE E </t>
  </si>
  <si>
    <t>322 FLOWERS AVE</t>
  </si>
  <si>
    <t xml:space="preserve">DUNBAR FRANK  &amp; IRENE </t>
  </si>
  <si>
    <t>304 FLOWERS AVE</t>
  </si>
  <si>
    <t xml:space="preserve">MASS RE I LLC </t>
  </si>
  <si>
    <t>48 MORSE WAY</t>
  </si>
  <si>
    <t xml:space="preserve">RTH INVESTMENTS LLC </t>
  </si>
  <si>
    <t>235 GLEN CALADH ST</t>
  </si>
  <si>
    <t>RTH INVESTMENT LLC</t>
  </si>
  <si>
    <t>231 GLEN CALADH ST</t>
  </si>
  <si>
    <t>5002 GLENWOOD AVE</t>
  </si>
  <si>
    <t>5000 GLENWOOD AVE</t>
  </si>
  <si>
    <t xml:space="preserve">IONADI PAUL A </t>
  </si>
  <si>
    <t>0 GLENWOOD AVE</t>
  </si>
  <si>
    <t>ACORN CT</t>
  </si>
  <si>
    <t>IONADI PAUL A &amp; TONI MARIE</t>
  </si>
  <si>
    <t>4944 GLENWOOD AVE</t>
  </si>
  <si>
    <t xml:space="preserve">IONADI PAUL A &amp; TONI </t>
  </si>
  <si>
    <t>PEGNATO JOHN P &amp; KATHY C (W)</t>
  </si>
  <si>
    <t>GLENWOOD AVE</t>
  </si>
  <si>
    <t>RIEGER RUSSELL W &amp; KATHLEEN H (W)</t>
  </si>
  <si>
    <t>4936 GLENWOOD AVE</t>
  </si>
  <si>
    <t xml:space="preserve">FITZHENRY DORA LEE </t>
  </si>
  <si>
    <t>4934 GLENWOOD AVE</t>
  </si>
  <si>
    <t>12 MORSE WAY</t>
  </si>
  <si>
    <t>4924 GLENWOOD AVE</t>
  </si>
  <si>
    <t xml:space="preserve">TOMPKINS JOHN D &amp; MARY J </t>
  </si>
  <si>
    <t>5011 STEELE CT</t>
  </si>
  <si>
    <t>STEELE CT</t>
  </si>
  <si>
    <t>STARKOWICZ ROBERT L &amp; FAITH M (W)</t>
  </si>
  <si>
    <t>5009 STEELE CT</t>
  </si>
  <si>
    <t xml:space="preserve">UDDIN MD SALA </t>
  </si>
  <si>
    <t>0 STEELE CT</t>
  </si>
  <si>
    <t xml:space="preserve">ESTES LARRY KEITH </t>
  </si>
  <si>
    <t>5018 AMPERE ST</t>
  </si>
  <si>
    <t>AMPERE ST</t>
  </si>
  <si>
    <t>5020 AMPERE ST</t>
  </si>
  <si>
    <t>UDDIN MD SALA</t>
  </si>
  <si>
    <t>KENNEDY EVERETT G &amp; DIANE F (W)</t>
  </si>
  <si>
    <t>5025 AMPERE ST</t>
  </si>
  <si>
    <t xml:space="preserve">MINNIEFIELD CONSTRUCTION </t>
  </si>
  <si>
    <t>5015 AMPERE ST</t>
  </si>
  <si>
    <t>MINNIEFIELD CONSTRUCT</t>
  </si>
  <si>
    <t>0 ELECTRIC ST</t>
  </si>
  <si>
    <t>5021 CHAPLAIN WAY</t>
  </si>
  <si>
    <t xml:space="preserve">ARASIN MARIE </t>
  </si>
  <si>
    <t>5008 LYTLE ST</t>
  </si>
  <si>
    <t>LYTLE ST</t>
  </si>
  <si>
    <t>ROBERTS JACK JR &amp; SANDRA E (W)</t>
  </si>
  <si>
    <t>5000 LYTLE ST</t>
  </si>
  <si>
    <t xml:space="preserve">NOONE RYAN J                                    </t>
  </si>
  <si>
    <t>0 BLAIR ST</t>
  </si>
  <si>
    <t>HOMERIDGE DR</t>
  </si>
  <si>
    <t xml:space="preserve">AFOLABI RACHAEL O </t>
  </si>
  <si>
    <t>5018 BLAIR ST</t>
  </si>
  <si>
    <t>BELL AVE</t>
  </si>
  <si>
    <t xml:space="preserve">AUGUSTINE MARK J </t>
  </si>
  <si>
    <t>5008 BLAIR ST</t>
  </si>
  <si>
    <t xml:space="preserve">CC&amp; B REVOCABLE TRUST       </t>
  </si>
  <si>
    <t>9 TECUMSEH ST</t>
  </si>
  <si>
    <t>CC&amp;B REVOCABLE TRUST</t>
  </si>
  <si>
    <t>BROOKLINE BLVD APT 1</t>
  </si>
  <si>
    <t>8 TECUMSEH ST</t>
  </si>
  <si>
    <t>CARRIANNE CHEROK (TRU</t>
  </si>
  <si>
    <t>PO BOX 5596 1</t>
  </si>
  <si>
    <t>7 W TECUMSEH ST</t>
  </si>
  <si>
    <t>31 TECUMSEH ST</t>
  </si>
  <si>
    <t>RUFFOLO EUGENE V &amp; ALICE B</t>
  </si>
  <si>
    <t>2 TECUMSEH ST</t>
  </si>
  <si>
    <t>MICHAEL RUFFOLO</t>
  </si>
  <si>
    <t>WALLACE DR</t>
  </si>
  <si>
    <t xml:space="preserve">GARNETT KHALIK N </t>
  </si>
  <si>
    <t>5017 LANGHORN ST</t>
  </si>
  <si>
    <t xml:space="preserve">EPONDULAN ELPIDIA A </t>
  </si>
  <si>
    <t>5023 LANGHORN ST</t>
  </si>
  <si>
    <t>EPONDULAN ELPIDIA A</t>
  </si>
  <si>
    <t>W ELIZABETH ST</t>
  </si>
  <si>
    <t xml:space="preserve">MCKEEN CHARLES W </t>
  </si>
  <si>
    <t>0 PATH WAY</t>
  </si>
  <si>
    <t>MONONGAHELA</t>
  </si>
  <si>
    <t xml:space="preserve">DUDLEY RICHARD ALLEN                            </t>
  </si>
  <si>
    <t>5030 LYTLE ST</t>
  </si>
  <si>
    <t>DUDLEY PROPERTIES</t>
  </si>
  <si>
    <t>5036 LYTLE ST</t>
  </si>
  <si>
    <t>DABULIS DONALD F &amp; DONALD F DABULIS JR</t>
  </si>
  <si>
    <t>5030 GLOSTER ST</t>
  </si>
  <si>
    <t>DABULIS DONALD F &amp; DO</t>
  </si>
  <si>
    <t>PO BOX 5647</t>
  </si>
  <si>
    <t xml:space="preserve">DUDLEYS PROPERTIES                              </t>
  </si>
  <si>
    <t>124 W ELIZABETH ST</t>
  </si>
  <si>
    <t>5101 LYTLE ST</t>
  </si>
  <si>
    <t xml:space="preserve">SPENCER MAURICE A </t>
  </si>
  <si>
    <t>41 W ELIZABETH ST</t>
  </si>
  <si>
    <t>RAVINE ST</t>
  </si>
  <si>
    <t xml:space="preserve">PATRICK VEREB REALTY LLC </t>
  </si>
  <si>
    <t>5100 2ND AVE</t>
  </si>
  <si>
    <t xml:space="preserve">PATRICK VEREB REALTY </t>
  </si>
  <si>
    <t>2ND AVE</t>
  </si>
  <si>
    <t>5106 2ND AVE</t>
  </si>
  <si>
    <t>5108 2ND AVE</t>
  </si>
  <si>
    <t>5110 2ND AVE</t>
  </si>
  <si>
    <t>HARMENING FREDERICK G GARY HARMENING</t>
  </si>
  <si>
    <t>208 E ELIZABETH ST</t>
  </si>
  <si>
    <t>SPARTAN COMMUNITY  CENTER HAZELWOOD INC</t>
  </si>
  <si>
    <t>134 E ELIZABETH ST</t>
  </si>
  <si>
    <t>SPARTAN COMMUNITY CEN</t>
  </si>
  <si>
    <t xml:space="preserve">MANNING RUTH H                                  </t>
  </si>
  <si>
    <t>117 E ELIZABETH ST</t>
  </si>
  <si>
    <t xml:space="preserve">MINTO ABU SAYED </t>
  </si>
  <si>
    <t>129 E ELIZABETH ST</t>
  </si>
  <si>
    <t>MINTO ABU SAYED</t>
  </si>
  <si>
    <t xml:space="preserve">EDDY VILMENAY </t>
  </si>
  <si>
    <t>207 E ELIZABETH ST</t>
  </si>
  <si>
    <t>EDDY VILMENAY</t>
  </si>
  <si>
    <t>GATESHEAD MANOR WAY APT 201</t>
  </si>
  <si>
    <t>SILVER SPRING</t>
  </si>
  <si>
    <t>PERRUCCI DONALD J &amp; BONITA A (W)</t>
  </si>
  <si>
    <t>206 TIPTON ST</t>
  </si>
  <si>
    <t>TIPTON ST</t>
  </si>
  <si>
    <t xml:space="preserve">MINNIEFIELD ODELL JR                            </t>
  </si>
  <si>
    <t>5005 2ND AVE</t>
  </si>
  <si>
    <t>WINSTON ST</t>
  </si>
  <si>
    <t xml:space="preserve">CHAKMA URMI &amp;                         </t>
  </si>
  <si>
    <t>117 TIPTON ST</t>
  </si>
  <si>
    <t>CHAKMA URMI &amp; ISLAM R</t>
  </si>
  <si>
    <t>JADELL MINNIEFIELD  CONSTRUCTION SERVICES IN</t>
  </si>
  <si>
    <t>217 TIPTON ST</t>
  </si>
  <si>
    <t>JADELL MINNIEFIELD CO</t>
  </si>
  <si>
    <t>5009 GERTRUDE ST</t>
  </si>
  <si>
    <t>5003 GERTRUDE ST</t>
  </si>
  <si>
    <t xml:space="preserve">DAVIS ROBBIN B </t>
  </si>
  <si>
    <t>5016 GLENWOOD AVE</t>
  </si>
  <si>
    <t>214 TIPTON ST</t>
  </si>
  <si>
    <t xml:space="preserve">ALLEN PHYLLIS D </t>
  </si>
  <si>
    <t>227 E ELIZABETH ST</t>
  </si>
  <si>
    <t>PHILLIP LN</t>
  </si>
  <si>
    <t>216 E ELIZABETH ST</t>
  </si>
  <si>
    <t xml:space="preserve">JOHNSON-GRIGGS ROSETTA                          </t>
  </si>
  <si>
    <t>222 E ELIZABETH ST</t>
  </si>
  <si>
    <t>ROSETTA JOHNSON-GRIGG</t>
  </si>
  <si>
    <t>WOODLAND MIST CV</t>
  </si>
  <si>
    <t>CORDOVA</t>
  </si>
  <si>
    <t xml:space="preserve">PARKER CLEVELAND J </t>
  </si>
  <si>
    <t>0 E ELIZABETH ST</t>
  </si>
  <si>
    <t>CLOVER ST</t>
  </si>
  <si>
    <t>BRADLEY SCOTT  &amp; THERESA (W)</t>
  </si>
  <si>
    <t>JONES RICHARD A &amp; ESTHER S (W)</t>
  </si>
  <si>
    <t>5108 GLENWOOD AVE</t>
  </si>
  <si>
    <t>BOYKIN REGINALD E JR &amp; MILDRED L (W)</t>
  </si>
  <si>
    <t>5129 GLENWOOD AVE</t>
  </si>
  <si>
    <t xml:space="preserve">AUSBROOKS MARY E </t>
  </si>
  <si>
    <t>5123 GLENWOOD AVE</t>
  </si>
  <si>
    <t xml:space="preserve">PGH SMOOTH RIDES LLC </t>
  </si>
  <si>
    <t>322 ASHTON AVE</t>
  </si>
  <si>
    <t>MCKNIGHT RD</t>
  </si>
  <si>
    <t xml:space="preserve">ROOKE DYLAN J </t>
  </si>
  <si>
    <t>344 ASHTON AVE</t>
  </si>
  <si>
    <t>ASHTON AVE</t>
  </si>
  <si>
    <t xml:space="preserve">CHEATHAM WILLIAM D </t>
  </si>
  <si>
    <t>121 ASHTON AVE</t>
  </si>
  <si>
    <t xml:space="preserve">HAYES CHRISTINA M </t>
  </si>
  <si>
    <t>123 ASHTON AVE</t>
  </si>
  <si>
    <t xml:space="preserve">ROBINSON DEIRDRE ELLEN </t>
  </si>
  <si>
    <t>333 ASHTON AVE</t>
  </si>
  <si>
    <t xml:space="preserve">PEGG KATHLEEN &amp; GEORGE J (H)            </t>
  </si>
  <si>
    <t>444 E ELIZABETH ST</t>
  </si>
  <si>
    <t>PEGG KATHLEEN &amp; GEORG</t>
  </si>
  <si>
    <t>MCKINNON JOSEPH M MCKINNON WILLIAM M</t>
  </si>
  <si>
    <t>436 E ELIZABETH ST</t>
  </si>
  <si>
    <t>KEMPER ST</t>
  </si>
  <si>
    <t>OSSLER DANIEL J &amp; DARLA JEAN F (W)</t>
  </si>
  <si>
    <t>434 E ELIZABETH ST</t>
  </si>
  <si>
    <t>OSSLER DANIEL J &amp; DAR</t>
  </si>
  <si>
    <t>DOMEK WILLIAM J SR &amp; LISA A (W)</t>
  </si>
  <si>
    <t>426 E ELIZABETH ST</t>
  </si>
  <si>
    <t>SMITH RAMONTE E &amp; ARPIL R SAMS</t>
  </si>
  <si>
    <t>400 E ELIZABETH ST</t>
  </si>
  <si>
    <t xml:space="preserve">SMITH WILLIAM B </t>
  </si>
  <si>
    <t>328 E ELIZABETH ST</t>
  </si>
  <si>
    <t>320 E ELIZABETH ST</t>
  </si>
  <si>
    <t xml:space="preserve">FRAZIER TYNESHA J </t>
  </si>
  <si>
    <t>304 E ELIZABETH ST</t>
  </si>
  <si>
    <t>FRAZIER TYNESHA J</t>
  </si>
  <si>
    <t xml:space="preserve">BARVA STEPHEN J </t>
  </si>
  <si>
    <t>CARTER SHALISHA &amp; DONALD CROCKETT (H)</t>
  </si>
  <si>
    <t>CARTER SHALISHA &amp; DON</t>
  </si>
  <si>
    <t xml:space="preserve">PEKULAR ANN MARIE </t>
  </si>
  <si>
    <t>5025 GLENWOOD AVE</t>
  </si>
  <si>
    <t>HUNTER RONALD D &amp; EDITH A (W)</t>
  </si>
  <si>
    <t xml:space="preserve">MCKINNEY PAMELA J </t>
  </si>
  <si>
    <t>5033 STEELE CT</t>
  </si>
  <si>
    <t>FRATANGELO CHARLES  JOSEPH</t>
  </si>
  <si>
    <t>5031 STEELE CT</t>
  </si>
  <si>
    <t>FRATANGELO CHARLES JO</t>
  </si>
  <si>
    <t xml:space="preserve">TOMLIN SONYA </t>
  </si>
  <si>
    <t>5021 STEELE CT</t>
  </si>
  <si>
    <t xml:space="preserve">KUC LINDA </t>
  </si>
  <si>
    <t>5019 STEELE CT</t>
  </si>
  <si>
    <t>SYDNEY CT STE 104</t>
  </si>
  <si>
    <t>5028 ORINOCO ST</t>
  </si>
  <si>
    <t>ZUPANCIC ANTHONY A &amp; MICHELLE (W)</t>
  </si>
  <si>
    <t>5034 ORINOCO ST</t>
  </si>
  <si>
    <t>IRENE ST</t>
  </si>
  <si>
    <t xml:space="preserve">FORD THELMA </t>
  </si>
  <si>
    <t>5048 ORINOCO ST</t>
  </si>
  <si>
    <t xml:space="preserve">TRUONG LILY </t>
  </si>
  <si>
    <t>5049 ORINOCO ST</t>
  </si>
  <si>
    <t>TRUONG LILY</t>
  </si>
  <si>
    <t xml:space="preserve">OLIVER DEANNA </t>
  </si>
  <si>
    <t>5045 ORINOCO ST</t>
  </si>
  <si>
    <t xml:space="preserve">KELLY CYNTHIA A </t>
  </si>
  <si>
    <t>5044 AMPERE ST</t>
  </si>
  <si>
    <t xml:space="preserve">MORGAN DONISHA J                                </t>
  </si>
  <si>
    <t>5040 AMPERE ST</t>
  </si>
  <si>
    <t>TAMEEKA PAIGE</t>
  </si>
  <si>
    <t>BERWICK ST</t>
  </si>
  <si>
    <t>DANIELSON FAMILY  PARTNERSHIP LLLP</t>
  </si>
  <si>
    <t>5036 AMPERE ST</t>
  </si>
  <si>
    <t>DANIELSON FAMILY PART</t>
  </si>
  <si>
    <t>WEYMAN RD STE 306</t>
  </si>
  <si>
    <t xml:space="preserve">DAVIS TERRANCE </t>
  </si>
  <si>
    <t>5039 AMPERE ST</t>
  </si>
  <si>
    <t>TERRANCE DAVIS</t>
  </si>
  <si>
    <t xml:space="preserve">KOMINSKY MARILENA </t>
  </si>
  <si>
    <t>5057 AMPERE ST</t>
  </si>
  <si>
    <t xml:space="preserve">LESKO BARBARA                                   </t>
  </si>
  <si>
    <t>5114 LYTLE ST</t>
  </si>
  <si>
    <t xml:space="preserve">FURLONG KAREN L </t>
  </si>
  <si>
    <t>5122 LYTLE ST</t>
  </si>
  <si>
    <t xml:space="preserve">MURAN DONALD E </t>
  </si>
  <si>
    <t xml:space="preserve">PERILMAN ROSS </t>
  </si>
  <si>
    <t>5150 CHAPLAIN WAY</t>
  </si>
  <si>
    <t>PERILMAN ROSS</t>
  </si>
  <si>
    <t>CHAPLAIN WAY</t>
  </si>
  <si>
    <t xml:space="preserve">ZOHAR MGMT CO LLC </t>
  </si>
  <si>
    <t>0 CHAPLAIN WAY</t>
  </si>
  <si>
    <t xml:space="preserve">COYNE JOHN EDWARD </t>
  </si>
  <si>
    <t>214 W ELIZABETH ST</t>
  </si>
  <si>
    <t>JOHNSTON AVE</t>
  </si>
  <si>
    <t xml:space="preserve">SURI GUATAM </t>
  </si>
  <si>
    <t>212 W ELIZABETH ST</t>
  </si>
  <si>
    <t>SURI GUATAM</t>
  </si>
  <si>
    <t>WINSLOW AVE UNIT 2</t>
  </si>
  <si>
    <t>SOMERVILLE</t>
  </si>
  <si>
    <t>0 LANGHORN ST</t>
  </si>
  <si>
    <t>5147 BLAIR ST</t>
  </si>
  <si>
    <t>RTH INVESTMENT LLC  SERVICES LLC</t>
  </si>
  <si>
    <t>5145 BLAIR ST</t>
  </si>
  <si>
    <t>5143 BLAIR ST</t>
  </si>
  <si>
    <t>R PLUS R BUILDING  SERVICES LLC</t>
  </si>
  <si>
    <t>5113 BLAIR ST</t>
  </si>
  <si>
    <t>R PLUS R BUILDING SER</t>
  </si>
  <si>
    <t xml:space="preserve">CURRINGTON FRANK E                              </t>
  </si>
  <si>
    <t>5109 BLAIR ST</t>
  </si>
  <si>
    <t>PECHIN BRIAN MICHAEL &amp; LYNN ANN (W)</t>
  </si>
  <si>
    <t>401 W ELIZABETH ST</t>
  </si>
  <si>
    <t xml:space="preserve">MAURIN CODY A </t>
  </si>
  <si>
    <t>403 W ELIZABETH ST</t>
  </si>
  <si>
    <t>W LIBERTY AVE APT 1</t>
  </si>
  <si>
    <t>MURRAY WILLIAM M &amp; DIANE JOYCE</t>
  </si>
  <si>
    <t>5114 BLAIR ST</t>
  </si>
  <si>
    <t>MULDOWNEY AVE</t>
  </si>
  <si>
    <t xml:space="preserve">MASTRIANO JOHN J </t>
  </si>
  <si>
    <t>5132 BLAIR ST</t>
  </si>
  <si>
    <t>FLEMINGTON ST</t>
  </si>
  <si>
    <t>BORDONE COLLEEN BORDONE ALAN</t>
  </si>
  <si>
    <t>5146 BLAIR ST</t>
  </si>
  <si>
    <t>TIMMERMAN ST APT 213</t>
  </si>
  <si>
    <t>WARRENVILLE</t>
  </si>
  <si>
    <t xml:space="preserve">THOMPSON PAMELA </t>
  </si>
  <si>
    <t>98 COURTLAND ST</t>
  </si>
  <si>
    <t>BORDONE ALAN &amp; COLLEEN E (W)</t>
  </si>
  <si>
    <t>0 LADORA WAY</t>
  </si>
  <si>
    <t>BORDONE ALAN &amp; COLLEE</t>
  </si>
  <si>
    <t>BORDONE ALAN &amp; COLLEEN E (W</t>
  </si>
  <si>
    <t>OLD EDGEFIELD RD</t>
  </si>
  <si>
    <t>NORTH AUGUSTA</t>
  </si>
  <si>
    <t>5115 LADORA WAY</t>
  </si>
  <si>
    <t xml:space="preserve">KOVACS ELJEAN </t>
  </si>
  <si>
    <t>5114 LADORA WAY</t>
  </si>
  <si>
    <t>WATERFRONT DR E APT 5105</t>
  </si>
  <si>
    <t xml:space="preserve">NAUGHTON EDDIE JOSEPH </t>
  </si>
  <si>
    <t>97 COURTLAND ST</t>
  </si>
  <si>
    <t>IRELAND</t>
  </si>
  <si>
    <t>MINSTERMAN ROBERT H JR &amp; JAYNE F (W)</t>
  </si>
  <si>
    <t>5109 LANGHORN ST</t>
  </si>
  <si>
    <t>MINSTERMAN ROBERT H J</t>
  </si>
  <si>
    <t>W DUBOIS AVE</t>
  </si>
  <si>
    <t>DU BOIS</t>
  </si>
  <si>
    <t>419 W ELIZABETH ST</t>
  </si>
  <si>
    <t xml:space="preserve">NHU TUAN TRAN </t>
  </si>
  <si>
    <t>0 W ELIZABETH ST</t>
  </si>
  <si>
    <t>ALLEE HENRI MATISSE</t>
  </si>
  <si>
    <t>FRANCE</t>
  </si>
  <si>
    <t xml:space="preserve">RYAN MARTIN LEO III </t>
  </si>
  <si>
    <t>5202 LYTLE ST</t>
  </si>
  <si>
    <t xml:space="preserve">FITZHENRY MARY E </t>
  </si>
  <si>
    <t>5210 LYTLE ST</t>
  </si>
  <si>
    <t xml:space="preserve">VISION PROPERTYS </t>
  </si>
  <si>
    <t>5226 LYTLE ST</t>
  </si>
  <si>
    <t xml:space="preserve">TERLECKI MICHAEL SR </t>
  </si>
  <si>
    <t>5221 LYTLE ST</t>
  </si>
  <si>
    <t xml:space="preserve">TERLECKI MICHAEL JR </t>
  </si>
  <si>
    <t>LYTTLE ST</t>
  </si>
  <si>
    <t xml:space="preserve">POLACEK MATEJ                                   </t>
  </si>
  <si>
    <t>5213 LYTLE ST</t>
  </si>
  <si>
    <t>POLACEK MATEJ &amp; ANGEL</t>
  </si>
  <si>
    <t xml:space="preserve">OCONNOR ROBERT K </t>
  </si>
  <si>
    <t>5135 LYTLE ST</t>
  </si>
  <si>
    <t xml:space="preserve">SPENCER MARK </t>
  </si>
  <si>
    <t>5140 ROMA WAY</t>
  </si>
  <si>
    <t>ROMA WAY</t>
  </si>
  <si>
    <t xml:space="preserve">REED ROBERT H </t>
  </si>
  <si>
    <t>5131 LYTLE ST</t>
  </si>
  <si>
    <t>5131 ROMA WAY</t>
  </si>
  <si>
    <t>5105 LYTLE ST</t>
  </si>
  <si>
    <t xml:space="preserve">VOYNAROVSKAYA NATALYA </t>
  </si>
  <si>
    <t>5239 DYKE ST</t>
  </si>
  <si>
    <t>DYKE ST</t>
  </si>
  <si>
    <t xml:space="preserve">YESO FRANCIS </t>
  </si>
  <si>
    <t>5263 DYKE ST</t>
  </si>
  <si>
    <t>ELLIOT RD</t>
  </si>
  <si>
    <t xml:space="preserve">MCMAHON GERALD ROBERT JR </t>
  </si>
  <si>
    <t>0 2ND AVE</t>
  </si>
  <si>
    <t>LACROSSE ST</t>
  </si>
  <si>
    <t xml:space="preserve">VEREB PATRICK R                                 </t>
  </si>
  <si>
    <t>5204 2ND AVE</t>
  </si>
  <si>
    <t xml:space="preserve">WITHERSPOON YARUDIN </t>
  </si>
  <si>
    <t>5232 2ND AVE</t>
  </si>
  <si>
    <t xml:space="preserve">ABDUR SAIDA AMIRA                               </t>
  </si>
  <si>
    <t>5234 2ND AVE</t>
  </si>
  <si>
    <t xml:space="preserve">WILLIAMS THOMAS RICHARD </t>
  </si>
  <si>
    <t>5258 2ND AVE</t>
  </si>
  <si>
    <t xml:space="preserve">HARDING JOHN T </t>
  </si>
  <si>
    <t>5262 2ND AVE</t>
  </si>
  <si>
    <t>SAUNDERS SYLVESTER JR &amp; SARAH E JONES</t>
  </si>
  <si>
    <t xml:space="preserve">ROLLINS CALVIN F </t>
  </si>
  <si>
    <t>5247 2ND AVE</t>
  </si>
  <si>
    <t>PHILEMA RD N</t>
  </si>
  <si>
    <t>LEESBURG</t>
  </si>
  <si>
    <t>CHILDS HOWARD D &amp; ALICE I</t>
  </si>
  <si>
    <t>5237 2ND AVE</t>
  </si>
  <si>
    <t xml:space="preserve">FULLARD TAMONA D                                </t>
  </si>
  <si>
    <t>5235 2ND AVE</t>
  </si>
  <si>
    <t>AUSET T FULLARD</t>
  </si>
  <si>
    <t xml:space="preserve">SAMY KIADI DUDA </t>
  </si>
  <si>
    <t>5221 2ND AVE</t>
  </si>
  <si>
    <t>RUE DE LUIKA COMMUNE DE N'DJI</t>
  </si>
  <si>
    <t>CONGO</t>
  </si>
  <si>
    <t xml:space="preserve">REJAMETOVA ELENA </t>
  </si>
  <si>
    <t>5236 GERTRUDE ST</t>
  </si>
  <si>
    <t xml:space="preserve">REJAMETOVA ELENA V </t>
  </si>
  <si>
    <t>5240 GERTRUDE ST</t>
  </si>
  <si>
    <t xml:space="preserve">DEASY BRENDAN W </t>
  </si>
  <si>
    <t>BRENDAN W DEASY</t>
  </si>
  <si>
    <t>W 7TH AVE</t>
  </si>
  <si>
    <t xml:space="preserve">CARTER BROOKE L </t>
  </si>
  <si>
    <t>200 JOHNSTON AVE</t>
  </si>
  <si>
    <t>CARTER BROOKE L</t>
  </si>
  <si>
    <t>ASHTON ST</t>
  </si>
  <si>
    <t xml:space="preserve">POORLAW                                         </t>
  </si>
  <si>
    <t>124 JOHNSTON AVE</t>
  </si>
  <si>
    <t>POORLAW</t>
  </si>
  <si>
    <t xml:space="preserve">H2H PGH RENTAL LLC </t>
  </si>
  <si>
    <t>222 JOHNSTON AVE</t>
  </si>
  <si>
    <t>OCMBC INC</t>
  </si>
  <si>
    <t>MACARTHUR BLVD</t>
  </si>
  <si>
    <t xml:space="preserve">CARDAMONE DEBORAH M </t>
  </si>
  <si>
    <t>226 JOHNSTON AVE</t>
  </si>
  <si>
    <t>230 JOHNSTON AVE</t>
  </si>
  <si>
    <t xml:space="preserve">MILNER LAMONT </t>
  </si>
  <si>
    <t>0 JOHNSTON AVE</t>
  </si>
  <si>
    <t>250 JOHNSTON AVE</t>
  </si>
  <si>
    <t>DANIELSON FAMILY PRTSHP  LLLP</t>
  </si>
  <si>
    <t xml:space="preserve">COLE MAURICE </t>
  </si>
  <si>
    <t>249 TROWBRIDGE ST</t>
  </si>
  <si>
    <t xml:space="preserve">CREELY JAMES EDWARD </t>
  </si>
  <si>
    <t>241 TROWBRIDGE ST</t>
  </si>
  <si>
    <t xml:space="preserve">MC CLENDON DARCELL </t>
  </si>
  <si>
    <t>233 TROWBRIDGE ST</t>
  </si>
  <si>
    <t xml:space="preserve">MUDRYK JOHN C </t>
  </si>
  <si>
    <t>231 TROWBRIDGE ST</t>
  </si>
  <si>
    <t xml:space="preserve">MINNIEFELD JADELL </t>
  </si>
  <si>
    <t>0 TROWBRIDGE ST</t>
  </si>
  <si>
    <t xml:space="preserve">TOOKS DEBORAH </t>
  </si>
  <si>
    <t xml:space="preserve">HIBBS SEVILLA </t>
  </si>
  <si>
    <t>245 WINSTON ST</t>
  </si>
  <si>
    <t xml:space="preserve">POLOSKY JOHN WILLIAM </t>
  </si>
  <si>
    <t>231 WINSTON ST</t>
  </si>
  <si>
    <t>BRAUN RD</t>
  </si>
  <si>
    <t xml:space="preserve">BOSE ANTHONY C </t>
  </si>
  <si>
    <t>0 WINSTON ST</t>
  </si>
  <si>
    <t xml:space="preserve">PACK OLIVIA P </t>
  </si>
  <si>
    <t>216 WINSTON ST</t>
  </si>
  <si>
    <t>GLENLYTLE ST</t>
  </si>
  <si>
    <t>SMITH ERNEST M &amp; ANGELA L (W)</t>
  </si>
  <si>
    <t>WILSON CALVIN M &amp; YODORA L DIAMOND (W)</t>
  </si>
  <si>
    <t>228 WINSTON ST</t>
  </si>
  <si>
    <t>WILSON CALVIN M &amp; YOD</t>
  </si>
  <si>
    <t xml:space="preserve">COPE LULA </t>
  </si>
  <si>
    <t xml:space="preserve">CANTOR FAMILY  PARTNERSHIP LP          </t>
  </si>
  <si>
    <t>5311 GERTRUDE ST</t>
  </si>
  <si>
    <t>CONNIE CANTOR</t>
  </si>
  <si>
    <t>BAYHOUSE POINT DR</t>
  </si>
  <si>
    <t xml:space="preserve">2716 BINGHAM LLC </t>
  </si>
  <si>
    <t>217 MANSION ST</t>
  </si>
  <si>
    <t>2716 BINGHAM LLC</t>
  </si>
  <si>
    <t>CLAIRTON RD</t>
  </si>
  <si>
    <t xml:space="preserve">BOOTH ALVIN D &amp; ROSA MAY </t>
  </si>
  <si>
    <t xml:space="preserve">BOOTH ALVIN D &amp; ROSA </t>
  </si>
  <si>
    <t>BOOTH ROSE MAY &amp; DOLORES MINNIEFIELD</t>
  </si>
  <si>
    <t>0 MANSION ST</t>
  </si>
  <si>
    <t>BOOTH ROSE MAY &amp; DOLO</t>
  </si>
  <si>
    <t xml:space="preserve">MINNIEFIELD JADE MARIE </t>
  </si>
  <si>
    <t>225 MANSION ST</t>
  </si>
  <si>
    <t>MINNIEFIELD JADE MARI</t>
  </si>
  <si>
    <t xml:space="preserve">PACK OLIVIA </t>
  </si>
  <si>
    <t>231 MANSION ST</t>
  </si>
  <si>
    <t>PACK OLIVIA</t>
  </si>
  <si>
    <t xml:space="preserve">BRACHA DAN                                      </t>
  </si>
  <si>
    <t>323 MANSION ST</t>
  </si>
  <si>
    <t>MACE PROPERTY MANAGEM</t>
  </si>
  <si>
    <t>MURRAY AVE STE 34</t>
  </si>
  <si>
    <t>316 WINSTON ST</t>
  </si>
  <si>
    <t xml:space="preserve">MOOREFIELD DEVAUGHN </t>
  </si>
  <si>
    <t>PIKE RD</t>
  </si>
  <si>
    <t>SAN ANTONIO</t>
  </si>
  <si>
    <t>SULLIVAN THOMAS F JR &amp; MARY ELAINE (W)</t>
  </si>
  <si>
    <t>KNIGHT BYRON O &amp; MARY E (W)</t>
  </si>
  <si>
    <t>300 WINSTON ST</t>
  </si>
  <si>
    <t xml:space="preserve">GILSTRAP STEPHEN PAUL SR </t>
  </si>
  <si>
    <t>OLD FEDERAL RD</t>
  </si>
  <si>
    <t>BALL GROUND</t>
  </si>
  <si>
    <t xml:space="preserve">KNIGHT MARC T </t>
  </si>
  <si>
    <t>306 WINSTON ST</t>
  </si>
  <si>
    <t xml:space="preserve">LAUTERI PAUL </t>
  </si>
  <si>
    <t>309 WINSTON ST</t>
  </si>
  <si>
    <t xml:space="preserve">PGH REAL ESTATE LLC </t>
  </si>
  <si>
    <t>301 WINSTON ST</t>
  </si>
  <si>
    <t>PGH REAL ESTATE LLC</t>
  </si>
  <si>
    <t>DIXON ALBERT H SR &amp; SARAH (W)</t>
  </si>
  <si>
    <t>330 JOHNSTON AVE</t>
  </si>
  <si>
    <t>DIAMOND JAMES ANTHONY &amp; BERNADETTE M (W)</t>
  </si>
  <si>
    <t>328 JOHNSTON AVE</t>
  </si>
  <si>
    <t>NUGENT JOSEPH M &amp; ROSEMARY NUGENT</t>
  </si>
  <si>
    <t>326 JOHNSTON AVE</t>
  </si>
  <si>
    <t>CRYSTAL R NELSON</t>
  </si>
  <si>
    <t>JOHNSON AVE</t>
  </si>
  <si>
    <t xml:space="preserve">ALLEN PHYLIS D </t>
  </si>
  <si>
    <t>314 JOHNSTON AVE</t>
  </si>
  <si>
    <t xml:space="preserve">ALEXANDER TERESA </t>
  </si>
  <si>
    <t>312 JOHNSTON AVE</t>
  </si>
  <si>
    <t>VILLAGE MILL RD</t>
  </si>
  <si>
    <t>BIRMINGHAM</t>
  </si>
  <si>
    <t xml:space="preserve">KUC JOSEPH M </t>
  </si>
  <si>
    <t>JOSEPH ST APT 1-A</t>
  </si>
  <si>
    <t xml:space="preserve">MINNIEFIELD DURELL </t>
  </si>
  <si>
    <t>319 JOHNSTON AVE</t>
  </si>
  <si>
    <t>MANSION RD</t>
  </si>
  <si>
    <t xml:space="preserve">KUCHERENKO SERGEY </t>
  </si>
  <si>
    <t>321 JOHNSTON AVE</t>
  </si>
  <si>
    <t>SEK LLC</t>
  </si>
  <si>
    <t>405 JOHNSTON AVE</t>
  </si>
  <si>
    <t xml:space="preserve">JONES TERESA E </t>
  </si>
  <si>
    <t>413 MANSION ST</t>
  </si>
  <si>
    <t xml:space="preserve">HUGHES JAMES G </t>
  </si>
  <si>
    <t>424 MANSION ST</t>
  </si>
  <si>
    <t>416 MANSION ST</t>
  </si>
  <si>
    <t xml:space="preserve">DONAHOE CATHERINE M </t>
  </si>
  <si>
    <t>414 MANSION ST</t>
  </si>
  <si>
    <t xml:space="preserve">KUC SHANNON M                                   </t>
  </si>
  <si>
    <t>511 JOHNSTON AVE</t>
  </si>
  <si>
    <t xml:space="preserve">HOLLIS KELLEY DIONNE </t>
  </si>
  <si>
    <t>515 JOHNSTON AVE</t>
  </si>
  <si>
    <t>MANSION 418 LLC          ETAL</t>
  </si>
  <si>
    <t>0 PAULEY AVE</t>
  </si>
  <si>
    <t>MANSION 418 LLC</t>
  </si>
  <si>
    <t xml:space="preserve">2020 PROSPECT INC </t>
  </si>
  <si>
    <t>MILMAY AVE</t>
  </si>
  <si>
    <t>HAUPPAUGE</t>
  </si>
  <si>
    <t xml:space="preserve">CARR MARIE </t>
  </si>
  <si>
    <t>601 JOHNSTON AVE</t>
  </si>
  <si>
    <t xml:space="preserve">STROTHERS CENYTHIA N </t>
  </si>
  <si>
    <t>ROSELLE CT APT 203</t>
  </si>
  <si>
    <t>FAIR RAYMOND P &amp; JUDITH A (W)</t>
  </si>
  <si>
    <t xml:space="preserve">EDWARDS JAMES H </t>
  </si>
  <si>
    <t xml:space="preserve">MILLER JAMES W &amp; DENISE R (W)            </t>
  </si>
  <si>
    <t>0 ALMEDA ST</t>
  </si>
  <si>
    <t>MILLER JAMES W &amp; DENI</t>
  </si>
  <si>
    <t xml:space="preserve">SNIDER LESLIE A </t>
  </si>
  <si>
    <t>ALMEDA ST</t>
  </si>
  <si>
    <t xml:space="preserve">MINNIEFIELD JADELL </t>
  </si>
  <si>
    <t xml:space="preserve">HUGHES MARELENE T </t>
  </si>
  <si>
    <t>BRITTANY LN APT 86</t>
  </si>
  <si>
    <t>5331 2ND AVE</t>
  </si>
  <si>
    <t>ECKMAN EDWARD K &amp; ROXANN M (W)</t>
  </si>
  <si>
    <t>5333 2ND AVE</t>
  </si>
  <si>
    <t>BOLITHO THOMAS H &amp; ELEANOR</t>
  </si>
  <si>
    <t>0 GATE LODGE WAY</t>
  </si>
  <si>
    <t xml:space="preserve">BOWEN CECIL F &amp; VIOLA R </t>
  </si>
  <si>
    <t>3 GATE LODGE WAY</t>
  </si>
  <si>
    <t>GATE LODGE WAY</t>
  </si>
  <si>
    <t>JADELL MINNIFIELD  CONSTRUCTION SERVICES</t>
  </si>
  <si>
    <t>5341 2ND AVE</t>
  </si>
  <si>
    <t>8 ALMEDA ST</t>
  </si>
  <si>
    <t>PO BOX 58174</t>
  </si>
  <si>
    <t xml:space="preserve">BARVA STEPHEN </t>
  </si>
  <si>
    <t>5403 2ND AVE</t>
  </si>
  <si>
    <t xml:space="preserve">GRAHAM CHARLES </t>
  </si>
  <si>
    <t xml:space="preserve">FULLER RENA                                     </t>
  </si>
  <si>
    <t>5413 2ND AVE</t>
  </si>
  <si>
    <t>DARRYL W LEWIS JR</t>
  </si>
  <si>
    <t>EVANS RUFUS E &amp; AZALEE B (W)</t>
  </si>
  <si>
    <t>5417 2ND AVE</t>
  </si>
  <si>
    <t xml:space="preserve">SMITH ANGEL D </t>
  </si>
  <si>
    <t>5419 2ND AVE</t>
  </si>
  <si>
    <t>DR MENSAH</t>
  </si>
  <si>
    <t>PO BOX 10251</t>
  </si>
  <si>
    <t>THOMPSON LAWRENCE J &amp; JUNE P (W)</t>
  </si>
  <si>
    <t>SHAMROCK AVE</t>
  </si>
  <si>
    <t xml:space="preserve">MARINO JASON J </t>
  </si>
  <si>
    <t>5412 2ND AVE</t>
  </si>
  <si>
    <t>HERBERT WAY</t>
  </si>
  <si>
    <t xml:space="preserve">MARTINE ROBERT P </t>
  </si>
  <si>
    <t xml:space="preserve">CORCORAN TERRANCE J </t>
  </si>
  <si>
    <t>CORCORAN TERRENCE J &amp; JOANNE (W)</t>
  </si>
  <si>
    <t>5400 2ND AVE</t>
  </si>
  <si>
    <t>CITY OF PGH DEPT OF LANDS &amp; BLDGS</t>
  </si>
  <si>
    <t xml:space="preserve">STANFIELD G ALLEN </t>
  </si>
  <si>
    <t>5282 2ND AVE</t>
  </si>
  <si>
    <t>STANFIELD G ALLEN C/O</t>
  </si>
  <si>
    <t>PO BOX 4803</t>
  </si>
  <si>
    <t xml:space="preserve">WASSERMAN ELI J </t>
  </si>
  <si>
    <t>5280 2ND AVE</t>
  </si>
  <si>
    <t xml:space="preserve">STONE KIRSTYN J </t>
  </si>
  <si>
    <t>5276 2ND AVE</t>
  </si>
  <si>
    <t>ROBINSON JOHN  &amp; HELEN (W)</t>
  </si>
  <si>
    <t>130 MANSION ST</t>
  </si>
  <si>
    <t xml:space="preserve">BOOTH ROSA </t>
  </si>
  <si>
    <t xml:space="preserve">MINNIEFIELD DOLORES B                           </t>
  </si>
  <si>
    <t>228 MANSION ST</t>
  </si>
  <si>
    <t>MINNIEFIELD DOLORES B</t>
  </si>
  <si>
    <t xml:space="preserve">BOOTH ROSA M </t>
  </si>
  <si>
    <t>234 MANSION ST</t>
  </si>
  <si>
    <t>246 MANSION ST</t>
  </si>
  <si>
    <t>MARKOWSKI WALTER B &amp; LORETTA M (W)</t>
  </si>
  <si>
    <t>254 MANSION ST</t>
  </si>
  <si>
    <t>LONGFELLOW DR APT K</t>
  </si>
  <si>
    <t xml:space="preserve">ROBERTS RANDOLPH L </t>
  </si>
  <si>
    <t>71 ALMEDA ST</t>
  </si>
  <si>
    <t>CARNEVALE EMILIO  &amp; CARNEVALE EMIL WM JR</t>
  </si>
  <si>
    <t>65 ALMEDA ST</t>
  </si>
  <si>
    <t xml:space="preserve">MARKOWSKI WALTER </t>
  </si>
  <si>
    <t>61 ALMEDA ST</t>
  </si>
  <si>
    <t xml:space="preserve">REED JULIA                                      </t>
  </si>
  <si>
    <t>55 ALMEDA ST</t>
  </si>
  <si>
    <t>STANLEY REED</t>
  </si>
  <si>
    <t>INDIAN SPRINGS RD</t>
  </si>
  <si>
    <t xml:space="preserve">NOVI JOSEPH HENRY </t>
  </si>
  <si>
    <t>LOVELAND RD</t>
  </si>
  <si>
    <t>YOUNGSTOWN</t>
  </si>
  <si>
    <t>PULLIE JOHN T &amp; JANICE L (W)</t>
  </si>
  <si>
    <t>47 ALMEDA ST</t>
  </si>
  <si>
    <t>WYNN HARRISON P JR &amp; HATTIE M(W)</t>
  </si>
  <si>
    <t xml:space="preserve">DENNIS JUNE P </t>
  </si>
  <si>
    <t>DENNIS JUNE P</t>
  </si>
  <si>
    <t xml:space="preserve">BATES EDDIE J &amp; SUSIE E </t>
  </si>
  <si>
    <t>41 ALMEDA ST</t>
  </si>
  <si>
    <t xml:space="preserve">WOOD RHONDA A </t>
  </si>
  <si>
    <t>39 ALMEDA ST</t>
  </si>
  <si>
    <t>PO BOX 55062</t>
  </si>
  <si>
    <t>SWARECO PROPERTY  MANAGEMENT LLC</t>
  </si>
  <si>
    <t>37 ALMEDA ST</t>
  </si>
  <si>
    <t>CLARK DWIGHT R &amp; JACQUELINE (W)</t>
  </si>
  <si>
    <t>DAVIS JACQUELINE</t>
  </si>
  <si>
    <t xml:space="preserve">MCCLENDON CORTEZ </t>
  </si>
  <si>
    <t>35 ALMEDA ST</t>
  </si>
  <si>
    <t>MATHEWS AVE</t>
  </si>
  <si>
    <t>HILL ROBERT I &amp; BERTHA (W)</t>
  </si>
  <si>
    <t>HILL ROBERT I &amp; BERTH</t>
  </si>
  <si>
    <t>BRIDGE ST UNIT 1</t>
  </si>
  <si>
    <t>PHOENIXVILLE</t>
  </si>
  <si>
    <t>KELLEY CARLA  &amp; A WILLIAM (H)</t>
  </si>
  <si>
    <t>VIRTZLE NICHOLAS  &amp; MONICA M</t>
  </si>
  <si>
    <t xml:space="preserve">MCKINNEY CHRISTINE </t>
  </si>
  <si>
    <t xml:space="preserve">TOMPKINS RAYMOND </t>
  </si>
  <si>
    <t>E CARSON ST APT 108</t>
  </si>
  <si>
    <t xml:space="preserve">IRVIN GWEN </t>
  </si>
  <si>
    <t>JOHNSON MICHAEL I &amp; TANYA A (W)</t>
  </si>
  <si>
    <t>JOHNSON MICHAEL I &amp; T</t>
  </si>
  <si>
    <t>JENKINS CHARLES  &amp; RACHEL (W)</t>
  </si>
  <si>
    <t xml:space="preserve">JANDOL COMPANY </t>
  </si>
  <si>
    <t xml:space="preserve">COOPER ANDRE LEE </t>
  </si>
  <si>
    <t>244 GLENWOOD AVE</t>
  </si>
  <si>
    <t>COOPER ANDRE LEE</t>
  </si>
  <si>
    <t xml:space="preserve">TRENT SANDRA </t>
  </si>
  <si>
    <t>246 GLENWOOD AVE</t>
  </si>
  <si>
    <t xml:space="preserve">SAMSARDICH  LLC </t>
  </si>
  <si>
    <t xml:space="preserve">BOZEMAN IRENE </t>
  </si>
  <si>
    <t>IRENE BOZEMAN</t>
  </si>
  <si>
    <t xml:space="preserve">FELDER ROBERT </t>
  </si>
  <si>
    <t xml:space="preserve">FLOWERS EDWARD </t>
  </si>
  <si>
    <t>0 SUNNYSIDE ST</t>
  </si>
  <si>
    <t>BLANGO CHARLES W JR &amp; EULA EDWARDS (W)</t>
  </si>
  <si>
    <t xml:space="preserve">HENRY ROBERT WAYNE </t>
  </si>
  <si>
    <t>SUNNYSIDE ST</t>
  </si>
  <si>
    <t xml:space="preserve">HENNON TIMOTHY </t>
  </si>
  <si>
    <t>HAMPSHIRE AVE</t>
  </si>
  <si>
    <t xml:space="preserve">AIELLO NORMA JEAN </t>
  </si>
  <si>
    <t>W BARIONI BLVD APT 36</t>
  </si>
  <si>
    <t>IMPERIAL</t>
  </si>
  <si>
    <t xml:space="preserve">STUBBS KAREN </t>
  </si>
  <si>
    <t xml:space="preserve">WRIGHT TERRI </t>
  </si>
  <si>
    <t xml:space="preserve">BANE REGIS C </t>
  </si>
  <si>
    <t xml:space="preserve">WRIGHT ROSETTA </t>
  </si>
  <si>
    <t xml:space="preserve">COLLINS KYLE </t>
  </si>
  <si>
    <t>SE 11TH TER</t>
  </si>
  <si>
    <t>CAPE CORAL</t>
  </si>
  <si>
    <t>BASE ANTHONY  &amp; DOROTHY J FEY</t>
  </si>
  <si>
    <t>BASE ANTHONY  &amp; DOROT</t>
  </si>
  <si>
    <t xml:space="preserve">TIGER REALTY CORP </t>
  </si>
  <si>
    <t>UTICA AVE</t>
  </si>
  <si>
    <t xml:space="preserve">MOCK MARCUS M </t>
  </si>
  <si>
    <t>62 ALMEDA ST</t>
  </si>
  <si>
    <t>CLARK DWIGHT R &amp; JACQUELINE M (W)</t>
  </si>
  <si>
    <t>68 ALMEDA ST</t>
  </si>
  <si>
    <t>70 ALMEDA ST</t>
  </si>
  <si>
    <t xml:space="preserve">YOUNG RAYMARR </t>
  </si>
  <si>
    <t>76 ALMEDA ST</t>
  </si>
  <si>
    <t>YOUNG RAYMARR</t>
  </si>
  <si>
    <t>FLORENCE AVE</t>
  </si>
  <si>
    <t>BARCLAY JAMES P &amp; MARGARET M BARCLAY</t>
  </si>
  <si>
    <t>74 ALMEDA ST</t>
  </si>
  <si>
    <t>PACIFIC AVE</t>
  </si>
  <si>
    <t>5406 GLENWOOD AVE</t>
  </si>
  <si>
    <t xml:space="preserve">ELASCHAT NICK </t>
  </si>
  <si>
    <t>0 CUST ST</t>
  </si>
  <si>
    <t>SAUER LN</t>
  </si>
  <si>
    <t>69 CUST ST</t>
  </si>
  <si>
    <t xml:space="preserve">WYTIAZ FRANK  &amp; ANNA </t>
  </si>
  <si>
    <t>223 CUST ST</t>
  </si>
  <si>
    <t>47 CUST ST</t>
  </si>
  <si>
    <t xml:space="preserve">BOSE ANTHONY </t>
  </si>
  <si>
    <t xml:space="preserve">WALKER TRACY                                    </t>
  </si>
  <si>
    <t>WALKER TRACY C\O K PA</t>
  </si>
  <si>
    <t xml:space="preserve">JOHNS FRED                                      </t>
  </si>
  <si>
    <t>JOHNS FRED</t>
  </si>
  <si>
    <t xml:space="preserve">LUCHS MERYLE L </t>
  </si>
  <si>
    <t>5521 SUNNYSIDE ST</t>
  </si>
  <si>
    <t xml:space="preserve">SCHWEINBERG JOSEPH </t>
  </si>
  <si>
    <t>300 RENOVA ST</t>
  </si>
  <si>
    <t>SCALES PLESANT H &amp; DELORES (W)</t>
  </si>
  <si>
    <t>0 ALLUVIAN ST</t>
  </si>
  <si>
    <t xml:space="preserve">SOLTEZ JOSEPH  &amp; ANNA </t>
  </si>
  <si>
    <t>256 RENOVA ST</t>
  </si>
  <si>
    <t xml:space="preserve">SHAW MARLON </t>
  </si>
  <si>
    <t>234 RENOVA ST</t>
  </si>
  <si>
    <t>235 RENOVA ST</t>
  </si>
  <si>
    <t xml:space="preserve">THERIAULT PAUL J </t>
  </si>
  <si>
    <t>237 RENOVA ST</t>
  </si>
  <si>
    <t>239 RENOVA ST</t>
  </si>
  <si>
    <t xml:space="preserve">DEFRANCO BRYAN </t>
  </si>
  <si>
    <t>301 RENOVA ST</t>
  </si>
  <si>
    <t>BETTY RAE DR</t>
  </si>
  <si>
    <t>0 RENOVA ST</t>
  </si>
  <si>
    <t>305 RENOVA ST</t>
  </si>
  <si>
    <t>THISSEL AVE APT 24</t>
  </si>
  <si>
    <t>DRACUT</t>
  </si>
  <si>
    <t xml:space="preserve">BROWN JUANITA A </t>
  </si>
  <si>
    <t>317 RENOVA ST</t>
  </si>
  <si>
    <t>319 RENOVA ST</t>
  </si>
  <si>
    <t>FROELICH WILLIAM B &amp; (TRUSTEE)</t>
  </si>
  <si>
    <t>PO BOX 185</t>
  </si>
  <si>
    <t>ZELIENOPLE</t>
  </si>
  <si>
    <t xml:space="preserve">KACZOROWSKI TED </t>
  </si>
  <si>
    <t>ALMOND ST</t>
  </si>
  <si>
    <t>CLAY CASSIUS  &amp; PEARL HASKINS</t>
  </si>
  <si>
    <t xml:space="preserve">MOORE CANDICE </t>
  </si>
  <si>
    <t>5417 GLENWOOD AVE</t>
  </si>
  <si>
    <t xml:space="preserve">NAMSAI SOMSAK </t>
  </si>
  <si>
    <t>5411 GLENWOOD AVE</t>
  </si>
  <si>
    <t xml:space="preserve">KLEIN DAVID J </t>
  </si>
  <si>
    <t>AVERY JAMES F SR &amp; KENT D HALL</t>
  </si>
  <si>
    <t>AVERY JAMES F SR &amp; KE</t>
  </si>
  <si>
    <t>PO BOX 5688</t>
  </si>
  <si>
    <t xml:space="preserve">WILLIAMS MELITA R </t>
  </si>
  <si>
    <t>334 RENOVA ST</t>
  </si>
  <si>
    <t xml:space="preserve">JOHNSON TANYA </t>
  </si>
  <si>
    <t>330 RENOVA ST</t>
  </si>
  <si>
    <t>TECUMSEH ST</t>
  </si>
  <si>
    <t>310 RENOVA ST</t>
  </si>
  <si>
    <t xml:space="preserve">HILLGARTNER ZACHARY </t>
  </si>
  <si>
    <t>306 RENOVA ST</t>
  </si>
  <si>
    <t>INENELLA LEONARD J &amp; LORETTA F (W)</t>
  </si>
  <si>
    <t>SUMAC ST</t>
  </si>
  <si>
    <t xml:space="preserve">ELASCHAT CAROLYN </t>
  </si>
  <si>
    <t>ROSS DAVID L &amp; SUSAN M (W)</t>
  </si>
  <si>
    <t>KOMINSKY JOHN  &amp; MARGARET JULIA</t>
  </si>
  <si>
    <t xml:space="preserve">PATTERSON WILLIAM E </t>
  </si>
  <si>
    <t>ASCENSION DR E</t>
  </si>
  <si>
    <t>MILLER WILLIAM R &amp; KAREN (W)</t>
  </si>
  <si>
    <t>ALLUVIAN ST</t>
  </si>
  <si>
    <t>MILLER WILLIAM R &amp; KA</t>
  </si>
  <si>
    <t>ALLUVIAN WAY</t>
  </si>
  <si>
    <t xml:space="preserve">BROWN THOMAS J JR </t>
  </si>
  <si>
    <t xml:space="preserve">TALAK FRANK  &amp; ANN </t>
  </si>
  <si>
    <t>KORONOSKY PETER  &amp; LUCY H</t>
  </si>
  <si>
    <t xml:space="preserve">ROBINSON TERRANCE L </t>
  </si>
  <si>
    <t xml:space="preserve">HARSHAW CALVIN H </t>
  </si>
  <si>
    <t xml:space="preserve">TROXELL JOANNE                                  </t>
  </si>
  <si>
    <t>MCMAHON DR</t>
  </si>
  <si>
    <t>MANOR</t>
  </si>
  <si>
    <t>LEWIS ROBERT JR &amp; ROBIN STUART</t>
  </si>
  <si>
    <t>5621 HERBERT WAY</t>
  </si>
  <si>
    <t>PO BOX 5637</t>
  </si>
  <si>
    <t xml:space="preserve">DENNISON LAVENIA </t>
  </si>
  <si>
    <t>0 HERBERT WAY</t>
  </si>
  <si>
    <t>KEEPORT DRIVE</t>
  </si>
  <si>
    <t xml:space="preserve">HOASLEY EARL S </t>
  </si>
  <si>
    <t>5526 2ND AVE</t>
  </si>
  <si>
    <t xml:space="preserve">MORNING STAR BAPTIST </t>
  </si>
  <si>
    <t xml:space="preserve">SPENCER MARK A </t>
  </si>
  <si>
    <t>5518 2ND AVE</t>
  </si>
  <si>
    <t xml:space="preserve">MCDONALD ALMA DARKS </t>
  </si>
  <si>
    <t xml:space="preserve">MODINA PROPERTIES LLC </t>
  </si>
  <si>
    <t>5515 2ND AVE</t>
  </si>
  <si>
    <t>DIXON AVE</t>
  </si>
  <si>
    <t xml:space="preserve">POPE WILLIAM DAVID </t>
  </si>
  <si>
    <t>LIBRARY</t>
  </si>
  <si>
    <t>SCHILLING JOHN J &amp; MARGARET R</t>
  </si>
  <si>
    <t xml:space="preserve">VOYNAROVSKA SVITLANA </t>
  </si>
  <si>
    <t>5601 2ND AVE</t>
  </si>
  <si>
    <t>SE BUCKINGHAM TER</t>
  </si>
  <si>
    <t>PORT SAINT LUC</t>
  </si>
  <si>
    <t xml:space="preserve">SHOAF CHARLES A </t>
  </si>
  <si>
    <t>GOLDSTROHM AVE FL 2</t>
  </si>
  <si>
    <t>5615 2ND AVE</t>
  </si>
  <si>
    <t>GOLDSTROM AVE</t>
  </si>
  <si>
    <t xml:space="preserve">JACKSON ANTHONY L                               </t>
  </si>
  <si>
    <t>5633 2ND AVE</t>
  </si>
  <si>
    <t>PHILLIPS GLENARD O &amp; JUANITA (W)</t>
  </si>
  <si>
    <t>STATE ST</t>
  </si>
  <si>
    <t xml:space="preserve">FERRARI DONALD </t>
  </si>
  <si>
    <t>210 GLENWOOD AVE</t>
  </si>
  <si>
    <t xml:space="preserve">DEASY MARY JEANNE </t>
  </si>
  <si>
    <t>MARY JANE CORIGLIANO</t>
  </si>
  <si>
    <t>JACK ST</t>
  </si>
  <si>
    <t>FINLEYVILLE</t>
  </si>
  <si>
    <t>216 GLENWOOD AVE</t>
  </si>
  <si>
    <t xml:space="preserve">MALYSHKINA MARINA </t>
  </si>
  <si>
    <t>218 GLENWOOD AVE</t>
  </si>
  <si>
    <t>220 GLENWOOD AVE</t>
  </si>
  <si>
    <t xml:space="preserve">COOPER ANDRE </t>
  </si>
  <si>
    <t>224 GLENWOOD AVE</t>
  </si>
  <si>
    <t xml:space="preserve">FERRARI ROBERT </t>
  </si>
  <si>
    <t>226 GLENWOOD AVE</t>
  </si>
  <si>
    <t>ROBERT FERRARI</t>
  </si>
  <si>
    <t xml:space="preserve">BOLDEN MAUREEN CROSS </t>
  </si>
  <si>
    <t xml:space="preserve">WHITELOW-SLIM MARIEA </t>
  </si>
  <si>
    <t>204 RENOVA ST</t>
  </si>
  <si>
    <t xml:space="preserve">JOYNER BOBBY                                    </t>
  </si>
  <si>
    <t>210 RENOVA ST</t>
  </si>
  <si>
    <t>BOBBY JOYNER TROUNG L</t>
  </si>
  <si>
    <t>DEVERA ANDREW M &amp; FRANCIS J DEVERA</t>
  </si>
  <si>
    <t xml:space="preserve">HOLLIS JOEL </t>
  </si>
  <si>
    <t>JONES CHARLES E JR &amp; DARLENEA M</t>
  </si>
  <si>
    <t>228 RENOVA ST</t>
  </si>
  <si>
    <t>GILMORE AVE</t>
  </si>
  <si>
    <t xml:space="preserve">HALAS JOHN </t>
  </si>
  <si>
    <t>143 ALLUVIAN ST</t>
  </si>
  <si>
    <t>W ROSEDALE DR</t>
  </si>
  <si>
    <t>HOMOSASSA</t>
  </si>
  <si>
    <t>ELDER PATRICIA  &amp; MILDRED M RADGOWSKI</t>
  </si>
  <si>
    <t>137 ALLUVIAN ST</t>
  </si>
  <si>
    <t xml:space="preserve">DEMEL TIMOTHY J </t>
  </si>
  <si>
    <t>131 ALLUVIAN ST</t>
  </si>
  <si>
    <t>DEMEL TIMOTHY J</t>
  </si>
  <si>
    <t xml:space="preserve">URSO ROBERT T </t>
  </si>
  <si>
    <t>RIVER RD</t>
  </si>
  <si>
    <t>DAVIS TERRANCE</t>
  </si>
  <si>
    <t>121 ALLUVIAN ST</t>
  </si>
  <si>
    <t xml:space="preserve">DZIEKAN PATRICIA </t>
  </si>
  <si>
    <t>1 ALLEGHENY TER</t>
  </si>
  <si>
    <t>ALLEGHENY TER</t>
  </si>
  <si>
    <t>CUMMINGS HARRY R &amp; DOROTHY M (W)</t>
  </si>
  <si>
    <t>0 ALLEGHENY TER</t>
  </si>
  <si>
    <t>CUMMINGS HARRY R &amp; DO</t>
  </si>
  <si>
    <t>LINDENDALE DR</t>
  </si>
  <si>
    <t>120 ALLUVIAN ST</t>
  </si>
  <si>
    <t xml:space="preserve">NIXON ANTHONY JR </t>
  </si>
  <si>
    <t>10 ALLEGHENY TER</t>
  </si>
  <si>
    <t>PROTECTORY PL APT 203</t>
  </si>
  <si>
    <t xml:space="preserve">BURNS MERCEDES </t>
  </si>
  <si>
    <t>9 ALLEGHENY TER</t>
  </si>
  <si>
    <t xml:space="preserve">ZHANG LEI </t>
  </si>
  <si>
    <t>3855 BEECHWOOD BLVD</t>
  </si>
  <si>
    <t>FINKELSTEIN ALAN &amp; LISA SCHLAR (W)</t>
  </si>
  <si>
    <t>951 FLEMINGTON ST</t>
  </si>
  <si>
    <t>FINKELSTEIN ALAN &amp; LI</t>
  </si>
  <si>
    <t xml:space="preserve">LIN SHUENN JYE                                  </t>
  </si>
  <si>
    <t>1007 FLEMINGTON ST</t>
  </si>
  <si>
    <t xml:space="preserve">LIN HSIN-CHENG </t>
  </si>
  <si>
    <t>1036 FLEMINGTON ST</t>
  </si>
  <si>
    <t>MARGARET LN</t>
  </si>
  <si>
    <t>WOODSTOCK</t>
  </si>
  <si>
    <t xml:space="preserve">DRL HOME LLC </t>
  </si>
  <si>
    <t>1030 FLEMINGTON ST</t>
  </si>
  <si>
    <t>DRL HOME LLC</t>
  </si>
  <si>
    <t xml:space="preserve">BEKMAN MIKHAIL                                  </t>
  </si>
  <si>
    <t>1029 MIRROR ST</t>
  </si>
  <si>
    <t>SOUTH HILLS VLG STE 2270</t>
  </si>
  <si>
    <t xml:space="preserve">CHU TIANWEN                                     </t>
  </si>
  <si>
    <t>1041 MIRROR ST</t>
  </si>
  <si>
    <t>CHU TIANWEN JING HAN</t>
  </si>
  <si>
    <t>HOPE TER APT 3</t>
  </si>
  <si>
    <t>SUNNYVALE</t>
  </si>
  <si>
    <t xml:space="preserve">BLUE OWL PROPERTIES LLC </t>
  </si>
  <si>
    <t>0 MIRROR ST</t>
  </si>
  <si>
    <t>BLUE OWL PROPERTIES L</t>
  </si>
  <si>
    <t xml:space="preserve">DERRICK MICHAEL </t>
  </si>
  <si>
    <t>3733 BEECHWOOD BLVD</t>
  </si>
  <si>
    <t xml:space="preserve">WEITZ CATHY COHEN </t>
  </si>
  <si>
    <t>1065 FLEMINGTON ST</t>
  </si>
  <si>
    <t>WARD DANIEL R &amp; SHERRY J (W)</t>
  </si>
  <si>
    <t>0 DELEVAN ST</t>
  </si>
  <si>
    <t xml:space="preserve">KATZ MELISSA L                                  </t>
  </si>
  <si>
    <t>958 LILAC ST</t>
  </si>
  <si>
    <t xml:space="preserve">KOLIOS PETER WILLIAM </t>
  </si>
  <si>
    <t>968 LILAC ST</t>
  </si>
  <si>
    <t>KOLIOS PETER WILLIAM</t>
  </si>
  <si>
    <t xml:space="preserve">LEYCHKIS YELENA </t>
  </si>
  <si>
    <t>927 LILAC ST</t>
  </si>
  <si>
    <t>925 LILAC ST</t>
  </si>
  <si>
    <t>888 KENNEBEC ST</t>
  </si>
  <si>
    <t>OPOKU-DAKWA AKWASI &amp; MARIAN (W)</t>
  </si>
  <si>
    <t>904 KENNEBEC ST</t>
  </si>
  <si>
    <t xml:space="preserve">WASHKO KATHLEEN M </t>
  </si>
  <si>
    <t>906 KENNEBEC ST</t>
  </si>
  <si>
    <t xml:space="preserve">KUZMA ROSA </t>
  </si>
  <si>
    <t>934 KENNEBEC ST</t>
  </si>
  <si>
    <t>KUZMA ROSA</t>
  </si>
  <si>
    <t xml:space="preserve">DASH DEVELOPMENT </t>
  </si>
  <si>
    <t>962 KENNEBEC ST</t>
  </si>
  <si>
    <t>MCQUARTERS REALTY</t>
  </si>
  <si>
    <t>CENTRE AVE STE L6</t>
  </si>
  <si>
    <t xml:space="preserve">KOZIELL KYLE WALTER </t>
  </si>
  <si>
    <t>4144 WINDSOR ST</t>
  </si>
  <si>
    <t xml:space="preserve">ZHOU YUYU                                       </t>
  </si>
  <si>
    <t>951 KENNEBEC ST</t>
  </si>
  <si>
    <t xml:space="preserve">GREEN GREGG A </t>
  </si>
  <si>
    <t>937 KENNEBEC ST</t>
  </si>
  <si>
    <t>GREEN GREGG A</t>
  </si>
  <si>
    <t xml:space="preserve">KOZII VLADYSLAV                                 </t>
  </si>
  <si>
    <t>1035 WELFER ST</t>
  </si>
  <si>
    <t xml:space="preserve">LEFF DEBRA H </t>
  </si>
  <si>
    <t>1025 WELFER ST</t>
  </si>
  <si>
    <t>WELFER ST</t>
  </si>
  <si>
    <t xml:space="preserve">CORCOS SAMUEL </t>
  </si>
  <si>
    <t>4115 WINDSOR ST</t>
  </si>
  <si>
    <t>YELLIN LOUIS A &amp; ELAINE A (W)</t>
  </si>
  <si>
    <t>4149 WINDSOR ST</t>
  </si>
  <si>
    <t>WINDSOR ST</t>
  </si>
  <si>
    <t>HARKE MELANIE L &amp; RANGER E (H)</t>
  </si>
  <si>
    <t>4038 MURRAY AVE</t>
  </si>
  <si>
    <t>HARKE MELANIE L &amp; RAN</t>
  </si>
  <si>
    <t>FIELDGATE DR</t>
  </si>
  <si>
    <t xml:space="preserve">BERNSTEIN LYNN </t>
  </si>
  <si>
    <t>4133 MURRAY AVE</t>
  </si>
  <si>
    <t>4103 MURRAY AVE</t>
  </si>
  <si>
    <t xml:space="preserve">RTL INVESTMENTS LLC </t>
  </si>
  <si>
    <t>3568 BEECHWOOD BLVD</t>
  </si>
  <si>
    <t>LEXIE WAY</t>
  </si>
  <si>
    <t>3566 BEECHWOOD BLVD</t>
  </si>
  <si>
    <t>RTL INVESTMENTS LLC</t>
  </si>
  <si>
    <t xml:space="preserve">PARENTE AMANDA </t>
  </si>
  <si>
    <t>4110 SALINE ST</t>
  </si>
  <si>
    <t>PITTSBURGH REGION  INTERNATIONAL STUDENT MI</t>
  </si>
  <si>
    <t>6120 MONITOR ST</t>
  </si>
  <si>
    <t>PITTSBURGH REGION INT</t>
  </si>
  <si>
    <t>PULLANO FIORINA  &amp; JOSEPH PULLANO</t>
  </si>
  <si>
    <t>776 LORETTA ST</t>
  </si>
  <si>
    <t xml:space="preserve">PEYTON JOHN                                     </t>
  </si>
  <si>
    <t>750 LORETTA ST</t>
  </si>
  <si>
    <t xml:space="preserve">JJ REMODELING INC                               </t>
  </si>
  <si>
    <t>777 LORETTA ST</t>
  </si>
  <si>
    <t>BROOKE CT</t>
  </si>
  <si>
    <t xml:space="preserve">MACKES PHILLIP G                                </t>
  </si>
  <si>
    <t>1010 GREENFIELD AVE</t>
  </si>
  <si>
    <t xml:space="preserve">PROFESSIONAL SALT CORP </t>
  </si>
  <si>
    <t>788 MELBOURNE ST</t>
  </si>
  <si>
    <t>PROFESSIONAL SALT COR</t>
  </si>
  <si>
    <t>PO BOX 81568</t>
  </si>
  <si>
    <t>CHANG WAYNE &amp; MEI HUI (W)</t>
  </si>
  <si>
    <t>780 MELBOURNE ST</t>
  </si>
  <si>
    <t>ERICKSON FRED C &amp; CAROL A (W)</t>
  </si>
  <si>
    <t>743 MELBOURNE ST</t>
  </si>
  <si>
    <t>745 MELBOURNE ST</t>
  </si>
  <si>
    <t>JOYCE TOM B &amp; DEBORAH A (W)</t>
  </si>
  <si>
    <t>992 GREENFIELD AVE</t>
  </si>
  <si>
    <t xml:space="preserve">KANE WILLIAM R </t>
  </si>
  <si>
    <t>972 GREENFIELD AVE</t>
  </si>
  <si>
    <t>LAOHAPATTANALERT  SURIYACHAT</t>
  </si>
  <si>
    <t>970 GREENFIELD AVE</t>
  </si>
  <si>
    <t>FINANCE OF AMERICA  M</t>
  </si>
  <si>
    <t>WEST ELM ST</t>
  </si>
  <si>
    <t xml:space="preserve">KHALIL KHALIL                                   </t>
  </si>
  <si>
    <t>959 GREENFIELD AVE</t>
  </si>
  <si>
    <t>KHALIL AIDA</t>
  </si>
  <si>
    <t>N TALBOT ST</t>
  </si>
  <si>
    <t>SAINT MICHAELS</t>
  </si>
  <si>
    <t xml:space="preserve">FRIEDMAN ELLEN </t>
  </si>
  <si>
    <t>4207 WINDSOR ST</t>
  </si>
  <si>
    <t xml:space="preserve">YANG YANCHAO </t>
  </si>
  <si>
    <t>1115 GREENFIELD AVE</t>
  </si>
  <si>
    <t xml:space="preserve">HANLEY JUDITH                                   </t>
  </si>
  <si>
    <t>4211 MURRAY AVE</t>
  </si>
  <si>
    <t xml:space="preserve">GRAVES FAMILY REVOCABLE  TRUST                   </t>
  </si>
  <si>
    <t>3479 BEECHWOOD BLVD</t>
  </si>
  <si>
    <t>GRAVES FAMILY REVOCAB</t>
  </si>
  <si>
    <t xml:space="preserve">MACOSKO TATIANA </t>
  </si>
  <si>
    <t>3449 BEECHWOOD BLVD</t>
  </si>
  <si>
    <t xml:space="preserve">HERSCH STEVEN                                   </t>
  </si>
  <si>
    <t>4206 SALINE ST</t>
  </si>
  <si>
    <t xml:space="preserve">LI YINGJIAN                                     </t>
  </si>
  <si>
    <t>720 LORETTA ST</t>
  </si>
  <si>
    <t>LI YINGJIAN WANG QION</t>
  </si>
  <si>
    <t>GOLDENEYE DR</t>
  </si>
  <si>
    <t>VANDERGRAFT THOMAS E JR  &amp; MARY BETH (W)</t>
  </si>
  <si>
    <t>757 MONTCLAIR ST</t>
  </si>
  <si>
    <t>DOLGOSHEEV YAN &amp; LILIA (W)</t>
  </si>
  <si>
    <t>720 MONTCLAIR ST</t>
  </si>
  <si>
    <t xml:space="preserve">BLUE OWL PROPERTIES </t>
  </si>
  <si>
    <t>734 MONTCLAIR ST</t>
  </si>
  <si>
    <t>BLUE OWL PROPERTIES</t>
  </si>
  <si>
    <t xml:space="preserve">MORRIS GREGORY </t>
  </si>
  <si>
    <t>774 MONTCLAIR ST</t>
  </si>
  <si>
    <t xml:space="preserve">SHI CHAO &amp; BIN GUO (H) </t>
  </si>
  <si>
    <t>737 EXETER ST</t>
  </si>
  <si>
    <t xml:space="preserve">UMASANKAR VIGNESH </t>
  </si>
  <si>
    <t>1146 GREENFIELD AVE</t>
  </si>
  <si>
    <t>KOC BUNYAMIN &amp; ASUMAN (W)</t>
  </si>
  <si>
    <t>773 HAZELWOOD AVE</t>
  </si>
  <si>
    <t>KOC BUNYAMIN &amp; ASUMAN</t>
  </si>
  <si>
    <t xml:space="preserve">XIE JIE </t>
  </si>
  <si>
    <t>763 HAZELWOOD AVE</t>
  </si>
  <si>
    <t>KOSTRA JAMES J II &amp; ANDREA E (W)</t>
  </si>
  <si>
    <t>727 HAZELWOOD AVE</t>
  </si>
  <si>
    <t>SCIGLIANO ROCCO  &amp; ANNA L (W)</t>
  </si>
  <si>
    <t>0 BRAY ST</t>
  </si>
  <si>
    <t>SCIGLIANO ROCCO  &amp; AN</t>
  </si>
  <si>
    <t>ANNA LOIS LN</t>
  </si>
  <si>
    <t>CHAMPION</t>
  </si>
  <si>
    <t xml:space="preserve">LUKE ELDEAN S &amp; GRACE E (W)             </t>
  </si>
  <si>
    <t>748 HAZELWOOD AVE</t>
  </si>
  <si>
    <t xml:space="preserve">JJ CAPITAL LLC </t>
  </si>
  <si>
    <t>786 HAZELWOOD AVE</t>
  </si>
  <si>
    <t>JJ CAPITAL LLC</t>
  </si>
  <si>
    <t>E 8TH AVE</t>
  </si>
  <si>
    <t xml:space="preserve">412 HAZELWOOD LLC </t>
  </si>
  <si>
    <t>796 HAZELWOOD AVE</t>
  </si>
  <si>
    <t>BRADLEY KENNETH R &amp; KATHLEEN (W)</t>
  </si>
  <si>
    <t>1137 GREENFIELD AVE</t>
  </si>
  <si>
    <t>BRADLEY KENNETH R &amp; K</t>
  </si>
  <si>
    <t>ANNA CATHERINE PROPERTIES LLC</t>
  </si>
  <si>
    <t>4350 MURRAY AVE</t>
  </si>
  <si>
    <t>GROVE ST</t>
  </si>
  <si>
    <t>CAMPBELL PROPERTY  HOLDINGS LLC</t>
  </si>
  <si>
    <t>4381 MURRAY AVE</t>
  </si>
  <si>
    <t>CAMPBELL PROPERTY HOL</t>
  </si>
  <si>
    <t xml:space="preserve">AHARON NANCY </t>
  </si>
  <si>
    <t>3421 BEECHWOOD BLVD</t>
  </si>
  <si>
    <t>STINNETT SANDRA &amp; ERIC (H)</t>
  </si>
  <si>
    <t>3418 BEECHWOOD BLVD</t>
  </si>
  <si>
    <t>DORDAI TRAIAN  &amp; MARIA (W)</t>
  </si>
  <si>
    <t>4344 SALINE ST</t>
  </si>
  <si>
    <t xml:space="preserve">MARINO CHIROPRACTIC LLC </t>
  </si>
  <si>
    <t>0 BROWNS HILL RD</t>
  </si>
  <si>
    <t>MARINO CHIROPRACTIC L</t>
  </si>
  <si>
    <t>R&amp; J 4664 BROWNS HILL RD LL</t>
  </si>
  <si>
    <t>4664 BROWNS HILL RD</t>
  </si>
  <si>
    <t xml:space="preserve">R&amp;J 4664 BROWNS HILL </t>
  </si>
  <si>
    <t xml:space="preserve">CH RETAIL FUND I  PITTSBURGH WALNUT PLACE </t>
  </si>
  <si>
    <t>4612 BROWNS HILL RD</t>
  </si>
  <si>
    <t>CH RETAIL FUND I PITT</t>
  </si>
  <si>
    <t>GALLO FRANCIS M &amp; LINDA L (W)</t>
  </si>
  <si>
    <t>KELLY DANIEL W &amp; LILIANA (W)</t>
  </si>
  <si>
    <t>118 DESDEMONA ST</t>
  </si>
  <si>
    <t>DESDEMONA ST</t>
  </si>
  <si>
    <t>BARRETT BLASE A &amp; DAWN M (W)</t>
  </si>
  <si>
    <t>0 DESDEMONA ST</t>
  </si>
  <si>
    <t>BARBERRY ST</t>
  </si>
  <si>
    <t xml:space="preserve">JOMIN LLC </t>
  </si>
  <si>
    <t>JOEL KRANICH</t>
  </si>
  <si>
    <t>PARKTON PL</t>
  </si>
  <si>
    <t xml:space="preserve">PHYLLIS ALLEN </t>
  </si>
  <si>
    <t>0 BOLTON ST</t>
  </si>
  <si>
    <t xml:space="preserve">DAVIS DANIELLE R </t>
  </si>
  <si>
    <t>970 JOHNSTON AVE</t>
  </si>
  <si>
    <t xml:space="preserve">CSX TRANSPORTATION INC </t>
  </si>
  <si>
    <t>0 22ND ST</t>
  </si>
  <si>
    <t>0 S 22ND ST</t>
  </si>
  <si>
    <t xml:space="preserve">MACURAK MARY JANE </t>
  </si>
  <si>
    <t>2101 WHARTON ST</t>
  </si>
  <si>
    <t>WHARTON ST</t>
  </si>
  <si>
    <t>VOLLEN RANDALL &amp; KATHERINE (W)</t>
  </si>
  <si>
    <t>2125 WHARTON ST</t>
  </si>
  <si>
    <t xml:space="preserve">LNR DEVELOPMENT  LLC </t>
  </si>
  <si>
    <t>2130 MERRIMAN WAY</t>
  </si>
  <si>
    <t>LNR DEVELOPMENT  LLC</t>
  </si>
  <si>
    <t>PO BOX  81171</t>
  </si>
  <si>
    <t>2132 MERRIMAN WAY</t>
  </si>
  <si>
    <t>2134 MERRIMAN WAY</t>
  </si>
  <si>
    <t>2136 MERRIMAN WAY</t>
  </si>
  <si>
    <t xml:space="preserve">SKOGSHOLM JARL </t>
  </si>
  <si>
    <t>42 S 22ND ST</t>
  </si>
  <si>
    <t>JARL SKOGSHOLM</t>
  </si>
  <si>
    <t>20TH ST LOT 977</t>
  </si>
  <si>
    <t>VERO BEACH</t>
  </si>
  <si>
    <t xml:space="preserve">MAIN ROBERT G </t>
  </si>
  <si>
    <t>PO BOX 42257</t>
  </si>
  <si>
    <t>2131 WHARTON ST</t>
  </si>
  <si>
    <t>2133 WHARTON ST</t>
  </si>
  <si>
    <t>2135 WHARTON ST</t>
  </si>
  <si>
    <t>2137 WHARTON ST</t>
  </si>
  <si>
    <t>STANDARD 900 1ST LLC     ETAL</t>
  </si>
  <si>
    <t>2115 SIDNEY ST</t>
  </si>
  <si>
    <t>AVENUE OF THE STARS STE 395</t>
  </si>
  <si>
    <t xml:space="preserve">WILLIAMS ERICK Z                                </t>
  </si>
  <si>
    <t>2104 SIDNEY ST</t>
  </si>
  <si>
    <t xml:space="preserve">BRAGAN REBECCA E </t>
  </si>
  <si>
    <t>2121 WRIGHTS WAY</t>
  </si>
  <si>
    <t>LOANCARE SERVICING-FR</t>
  </si>
  <si>
    <t>WARRIOR DEVELOPMENT II  LP</t>
  </si>
  <si>
    <t>2331 E CARSON ST</t>
  </si>
  <si>
    <t xml:space="preserve">FAROS BIRMINGHAM PLACE  LLC                     </t>
  </si>
  <si>
    <t>2305 E CARSON ST</t>
  </si>
  <si>
    <t>NOVA PLACE MANAGEMENT</t>
  </si>
  <si>
    <t>SOUTH CMNS</t>
  </si>
  <si>
    <t xml:space="preserve">BISHOP TROY T </t>
  </si>
  <si>
    <t>2341 WRIGHTS WAY</t>
  </si>
  <si>
    <t>BISHOP TROY T</t>
  </si>
  <si>
    <t>WOODLAWN DR</t>
  </si>
  <si>
    <t xml:space="preserve">OSTERMAN AMELIA HAYS                            </t>
  </si>
  <si>
    <t>2333 SIDNEY ST</t>
  </si>
  <si>
    <t xml:space="preserve">NGUYEN MINH-HONG THI </t>
  </si>
  <si>
    <t>2331 SIDNEY ST</t>
  </si>
  <si>
    <t>BURNELIS ARTHUR G &amp; CHRISTINA (W)</t>
  </si>
  <si>
    <t>2318 FOX WAY</t>
  </si>
  <si>
    <t>SIDNEY ST</t>
  </si>
  <si>
    <t>PENNSYLVANIA DEPARTMENT  OF TRANSPORTATIO</t>
  </si>
  <si>
    <t>40 S 23RD ST</t>
  </si>
  <si>
    <t>P.O. BOX 3362</t>
  </si>
  <si>
    <t xml:space="preserve">PGH &amp; LAKE ERIE R R CO </t>
  </si>
  <si>
    <t>0 BRADY ST</t>
  </si>
  <si>
    <t>WATER ST UNIT C910</t>
  </si>
  <si>
    <t xml:space="preserve">PGH &amp; LAKE ERIE RR CO </t>
  </si>
  <si>
    <t>0 SIDNEY ST</t>
  </si>
  <si>
    <t>FRIEND THOMAS J &amp; THOMAS P FRIEND</t>
  </si>
  <si>
    <t>2421 WRIGHTS WAY</t>
  </si>
  <si>
    <t>WRIGHTS WAY</t>
  </si>
  <si>
    <t xml:space="preserve">OXBRIDGE SERVICES LLC </t>
  </si>
  <si>
    <t>58 S 25TH ST</t>
  </si>
  <si>
    <t>2631 TUNNEL BLVD</t>
  </si>
  <si>
    <t>0 SOUTH WATER ST</t>
  </si>
  <si>
    <t>2639 SIDNEY ST</t>
  </si>
  <si>
    <t>2611 SOUTH WATER ST</t>
  </si>
  <si>
    <t>2126 E CARSON ST</t>
  </si>
  <si>
    <t>2134 E CARSON ST</t>
  </si>
  <si>
    <t>100 S 22ND ST</t>
  </si>
  <si>
    <t>CITYSIDE LEASING  GENERAL LLC</t>
  </si>
  <si>
    <t>0 SARAH ST</t>
  </si>
  <si>
    <t>CITYSIDE LEASING GENE</t>
  </si>
  <si>
    <t>OLD WILLIAM PENN HWY STE 220</t>
  </si>
  <si>
    <t xml:space="preserve">DENIS JOHN </t>
  </si>
  <si>
    <t>2118 CAREY WAY</t>
  </si>
  <si>
    <t>2116 CAREY WAY</t>
  </si>
  <si>
    <t xml:space="preserve">MASTERSON MARC </t>
  </si>
  <si>
    <t>2132 SARAH ST UNIT 203</t>
  </si>
  <si>
    <t>MASTERSON MARC</t>
  </si>
  <si>
    <t>SARAH ST UNIT 203</t>
  </si>
  <si>
    <t xml:space="preserve">MEHRING SHIRLEY </t>
  </si>
  <si>
    <t>2132 SARAH ST UNIT 3</t>
  </si>
  <si>
    <t>MEHRING SHIRLEY</t>
  </si>
  <si>
    <t>SARAH ST UNIT 3</t>
  </si>
  <si>
    <t xml:space="preserve">GORSKI ALEXANDER J </t>
  </si>
  <si>
    <t>130 S 22ND ST UNIT 1B</t>
  </si>
  <si>
    <t>S 22ND ST UNIT 1B</t>
  </si>
  <si>
    <t xml:space="preserve">GOSHORN ELI S                                   </t>
  </si>
  <si>
    <t>130 S 22ND ST UNIT 2B</t>
  </si>
  <si>
    <t xml:space="preserve">MCILRATH SCOTT L </t>
  </si>
  <si>
    <t>130 S 22ND ST UNIT 3A</t>
  </si>
  <si>
    <t xml:space="preserve">GREGG 21ST LP </t>
  </si>
  <si>
    <t>2125 JANE ST</t>
  </si>
  <si>
    <t>INTEGRITY DR STE 200</t>
  </si>
  <si>
    <t xml:space="preserve">QKM HOLDINGS LLC </t>
  </si>
  <si>
    <t>2115 JANE ST</t>
  </si>
  <si>
    <t xml:space="preserve">COLLECTIVE SOUTH SIDE  AGENT LLC               </t>
  </si>
  <si>
    <t>0 JANE ST</t>
  </si>
  <si>
    <t>C/O WALNUT CAPITAL</t>
  </si>
  <si>
    <t xml:space="preserve">GOLLI JON M </t>
  </si>
  <si>
    <t>ENDICOTT RD</t>
  </si>
  <si>
    <t xml:space="preserve">GALA LIMITED PARTNERSHIP </t>
  </si>
  <si>
    <t>2222 E CARSON ST</t>
  </si>
  <si>
    <t>GALA LIMITED PARTNERS</t>
  </si>
  <si>
    <t>COHASSET LN</t>
  </si>
  <si>
    <t xml:space="preserve">MALLORCA REALTY INC </t>
  </si>
  <si>
    <t>2224 E CARSON ST</t>
  </si>
  <si>
    <t>2226 E CARSON ST</t>
  </si>
  <si>
    <t xml:space="preserve">MALLORCA REALTY  INC </t>
  </si>
  <si>
    <t>2228 E CARSON ST</t>
  </si>
  <si>
    <t>WALTON MANAGEMENT GROUP  LLC</t>
  </si>
  <si>
    <t>2224 SARAH ST</t>
  </si>
  <si>
    <t>WALTON MANAGEMENT GRO</t>
  </si>
  <si>
    <t>PO BOX 22564</t>
  </si>
  <si>
    <t>STEEL RIVER PROPERTIES  LLC</t>
  </si>
  <si>
    <t>2210 SARAH ST</t>
  </si>
  <si>
    <t xml:space="preserve">C/O HUTCHISON SOEDER </t>
  </si>
  <si>
    <t>MAIN ST STE 220</t>
  </si>
  <si>
    <t xml:space="preserve">GREEN KATHLEEN DEPAUL </t>
  </si>
  <si>
    <t>2211 LARKINS WAY</t>
  </si>
  <si>
    <t xml:space="preserve">2232-2238 LARKINS WAY  LLC                     </t>
  </si>
  <si>
    <t>2234 LARKINS WAY</t>
  </si>
  <si>
    <t>E CARSON ST UNIT 311</t>
  </si>
  <si>
    <t xml:space="preserve">KRAMER JEFFREY E </t>
  </si>
  <si>
    <t>2216 JANE ST</t>
  </si>
  <si>
    <t>TROESCH DONALD A &amp; YVONNE V (W)</t>
  </si>
  <si>
    <t>2220 JANE ST</t>
  </si>
  <si>
    <t xml:space="preserve">GREEN RYAN A </t>
  </si>
  <si>
    <t>2322 JANE ST</t>
  </si>
  <si>
    <t>RYAN A GREEN</t>
  </si>
  <si>
    <t xml:space="preserve">LENZO KEVIN A                                   </t>
  </si>
  <si>
    <t>125 S 23RD ST</t>
  </si>
  <si>
    <t xml:space="preserve">LENZO KEVIN A ANDREA </t>
  </si>
  <si>
    <t>SARAH ST</t>
  </si>
  <si>
    <t xml:space="preserve">TRAKOFLER ROBERT J </t>
  </si>
  <si>
    <t>2316 LARKINS WAY</t>
  </si>
  <si>
    <t>LARKINS WAY</t>
  </si>
  <si>
    <t xml:space="preserve">MYERS NATHAN </t>
  </si>
  <si>
    <t>2323 JANE ST</t>
  </si>
  <si>
    <t xml:space="preserve">OMSTEAD ANDREW </t>
  </si>
  <si>
    <t>2324 LARKINS WAY</t>
  </si>
  <si>
    <t>OMSTEAD ANDREW</t>
  </si>
  <si>
    <t xml:space="preserve">DOCKMAN FAMILY TRUST                            </t>
  </si>
  <si>
    <t>2329 JANE ST</t>
  </si>
  <si>
    <t>BALLS NECK RD</t>
  </si>
  <si>
    <t>KILMARNOCK</t>
  </si>
  <si>
    <t xml:space="preserve">SMITH ANGELA D </t>
  </si>
  <si>
    <t>128 S 24TH ST</t>
  </si>
  <si>
    <t>S 24TH ST</t>
  </si>
  <si>
    <t xml:space="preserve">YAZICI MURAT </t>
  </si>
  <si>
    <t>2339 LARKINS WAY</t>
  </si>
  <si>
    <t>SUN WEST MORTGAGE</t>
  </si>
  <si>
    <t>ORANGETHORPE AVE STE 500</t>
  </si>
  <si>
    <t>BUENA PARK</t>
  </si>
  <si>
    <t>LENZO KEVIN A &amp; ANDREA T NOYES (W)</t>
  </si>
  <si>
    <t>2330 SARAH ST</t>
  </si>
  <si>
    <t>MEIER CHRISTOPHER  MICHAEL</t>
  </si>
  <si>
    <t>2310 CAREY WAY</t>
  </si>
  <si>
    <t>CLAYTON RD UNIT 1300</t>
  </si>
  <si>
    <t>CONCORD</t>
  </si>
  <si>
    <t>SOURCE FAMILY  PENNSYLVANIA LLC</t>
  </si>
  <si>
    <t>2315 SARAH ST</t>
  </si>
  <si>
    <t>SOURCE FAMILY PENNSYL</t>
  </si>
  <si>
    <t>W 6TH ST</t>
  </si>
  <si>
    <t xml:space="preserve">DEROUEN DERRIT                                  </t>
  </si>
  <si>
    <t>2331 SARAH ST</t>
  </si>
  <si>
    <t>DEROUEN DERRIT &amp; WYME</t>
  </si>
  <si>
    <t xml:space="preserve">LAD PRIYAN RAJNIKANT </t>
  </si>
  <si>
    <t>2335 SARAH ST</t>
  </si>
  <si>
    <t xml:space="preserve">HUSTON LISA A </t>
  </si>
  <si>
    <t>2300 E CARSON ST</t>
  </si>
  <si>
    <t>HUSTON LISA A</t>
  </si>
  <si>
    <t xml:space="preserve">CUPKA RICHARD A JR                              </t>
  </si>
  <si>
    <t>2314 E CARSON ST</t>
  </si>
  <si>
    <t>S 27TH ST</t>
  </si>
  <si>
    <t xml:space="preserve">CUPKA RICHARD A JR </t>
  </si>
  <si>
    <t>CUPKA RICHARD A JR</t>
  </si>
  <si>
    <t>S 28TH ST</t>
  </si>
  <si>
    <t xml:space="preserve">GALA </t>
  </si>
  <si>
    <t>2320 E CARSON ST</t>
  </si>
  <si>
    <t xml:space="preserve">WAG4 LP </t>
  </si>
  <si>
    <t>2400 E CARSON ST</t>
  </si>
  <si>
    <t>WAG4 LP</t>
  </si>
  <si>
    <t>2403 SARAH ST</t>
  </si>
  <si>
    <t>KUKURIN GEORGE W &amp; LAURIE D LEHOSKY-KUKU RI</t>
  </si>
  <si>
    <t>2415 SARAH ST</t>
  </si>
  <si>
    <t>PETTE PROPERTY  MANAGEMENT LLC</t>
  </si>
  <si>
    <t>2417 SARAH ST</t>
  </si>
  <si>
    <t>PETTE PROPERTY MANAGE</t>
  </si>
  <si>
    <t>WALTON RD</t>
  </si>
  <si>
    <t xml:space="preserve">GEORGE JEREMY </t>
  </si>
  <si>
    <t>2413 JANE ST</t>
  </si>
  <si>
    <t xml:space="preserve">GEIS ELIZABETH A </t>
  </si>
  <si>
    <t>2410 LARKINS WAY</t>
  </si>
  <si>
    <t xml:space="preserve">AMBRAD ANTONIO J </t>
  </si>
  <si>
    <t>2405 JANE ST</t>
  </si>
  <si>
    <t xml:space="preserve">GREER DOWIS W </t>
  </si>
  <si>
    <t>2416 JANE ST</t>
  </si>
  <si>
    <t xml:space="preserve">MOUGIANIS DEAN </t>
  </si>
  <si>
    <t>123 S 25TH ST</t>
  </si>
  <si>
    <t xml:space="preserve">2524 E CARSON PLACE LLC </t>
  </si>
  <si>
    <t>0 E CARSON ST</t>
  </si>
  <si>
    <t>2524 E CARSON PLACE L</t>
  </si>
  <si>
    <t>WEST END AVE # C23J</t>
  </si>
  <si>
    <t>2526 EAST CARSON STREET  ASSOCIATES LLC</t>
  </si>
  <si>
    <t>2526 E CARSON ST</t>
  </si>
  <si>
    <t>2526 EAST CARSON STRE</t>
  </si>
  <si>
    <t>HARTWOOD DR</t>
  </si>
  <si>
    <t xml:space="preserve">201 NINTH STREET  ASSOCIATES LP           </t>
  </si>
  <si>
    <t>2728 E CARSON ST</t>
  </si>
  <si>
    <t>201 NINTH STREET ASSO</t>
  </si>
  <si>
    <t xml:space="preserve">DELPASS SEAFORD LLC </t>
  </si>
  <si>
    <t>2709 SARAH ST</t>
  </si>
  <si>
    <t>DELPASS SEAFORD LLC</t>
  </si>
  <si>
    <t>CHESTER SPRING</t>
  </si>
  <si>
    <t xml:space="preserve">DUSCH RAYMOND G JR </t>
  </si>
  <si>
    <t>80 S 26TH ST</t>
  </si>
  <si>
    <t>SPARTAN DR</t>
  </si>
  <si>
    <t xml:space="preserve">EIBEN JAMES  &amp; SUSAN (W) </t>
  </si>
  <si>
    <t>2523 SARAH ST</t>
  </si>
  <si>
    <t xml:space="preserve">KUKURIN GEORGE W </t>
  </si>
  <si>
    <t>2515 SARAH ST</t>
  </si>
  <si>
    <t xml:space="preserve">SMV HOMES LLC </t>
  </si>
  <si>
    <t>2511 SARAH ST</t>
  </si>
  <si>
    <t>S FORT APACHE RD STE 300</t>
  </si>
  <si>
    <t xml:space="preserve">FORSYTHE DONALD A &amp; DOORTHY (W)             </t>
  </si>
  <si>
    <t>2508 SARAH ST</t>
  </si>
  <si>
    <t>FORSYTHE DONALD A &amp; D</t>
  </si>
  <si>
    <t>MILLER DR</t>
  </si>
  <si>
    <t xml:space="preserve">PREFFER JOHN R </t>
  </si>
  <si>
    <t>2511 LARKINS WAY</t>
  </si>
  <si>
    <t xml:space="preserve">NDUNGU BEST </t>
  </si>
  <si>
    <t>2512 SARAH ST</t>
  </si>
  <si>
    <t>GOLDSTEIN JOSEPH J &amp; LENA R</t>
  </si>
  <si>
    <t xml:space="preserve">PARISH BRUCE H </t>
  </si>
  <si>
    <t>2616 SARAH ST</t>
  </si>
  <si>
    <t>HIGHLAND  RD</t>
  </si>
  <si>
    <t xml:space="preserve">GONZALEZ JOHN </t>
  </si>
  <si>
    <t>106 S 26TH ST</t>
  </si>
  <si>
    <t>104 S 26TH ST</t>
  </si>
  <si>
    <t>2640 SIDNEY ST</t>
  </si>
  <si>
    <t>215 S 21ST ST</t>
  </si>
  <si>
    <t xml:space="preserve">HYNES MARGARET A </t>
  </si>
  <si>
    <t>2250 MARY ST UNIT 102</t>
  </si>
  <si>
    <t>MARY ST APT 102</t>
  </si>
  <si>
    <t xml:space="preserve">KEILLY CHRISTOPHER E </t>
  </si>
  <si>
    <t>2250 MARY ST UNIT 109</t>
  </si>
  <si>
    <t>MARY ST UNIT 109</t>
  </si>
  <si>
    <t xml:space="preserve">WOZNIAK MATTHEW JAMES </t>
  </si>
  <si>
    <t>2250 MARY ST UNIT 216</t>
  </si>
  <si>
    <t>MARY ST UNIT 216</t>
  </si>
  <si>
    <t>ADA BRANDEGEE AND  ROBERT QUALIFIED PERSO N</t>
  </si>
  <si>
    <t>2250 MARY ST UNIT 303</t>
  </si>
  <si>
    <t>BRANDEGEE ADA AND ROB</t>
  </si>
  <si>
    <t>MARY ST APT 301</t>
  </si>
  <si>
    <t xml:space="preserve">SAVINIS JANICE M </t>
  </si>
  <si>
    <t>2250 MARY ST UNIT 318</t>
  </si>
  <si>
    <t>MARY ST UNIT 318</t>
  </si>
  <si>
    <t xml:space="preserve">FDC LLC </t>
  </si>
  <si>
    <t>2524 JOSEPHINE ST</t>
  </si>
  <si>
    <t>FDC LLC</t>
  </si>
  <si>
    <t>LIME HOLLOW RD</t>
  </si>
  <si>
    <t xml:space="preserve">FUNKE BARBARA </t>
  </si>
  <si>
    <t>0 ELEANOR ST</t>
  </si>
  <si>
    <t xml:space="preserve">ROHM HOLDINGS INC </t>
  </si>
  <si>
    <t>157 S 26TH ST</t>
  </si>
  <si>
    <t>S 26TH ST</t>
  </si>
  <si>
    <t xml:space="preserve">SUNHAT LLC </t>
  </si>
  <si>
    <t>2610 LARKINS WAY REAR</t>
  </si>
  <si>
    <t>SUNHAT LLC</t>
  </si>
  <si>
    <t xml:space="preserve">MRAZEK AMY R </t>
  </si>
  <si>
    <t>2644 LARKINS WAY</t>
  </si>
  <si>
    <t xml:space="preserve">ZBASNIK PATRICK KEVIN JR </t>
  </si>
  <si>
    <t>42 S 28TH ST</t>
  </si>
  <si>
    <t>ZBASNIK PATRICK KEVIN</t>
  </si>
  <si>
    <t xml:space="preserve">UC REALTY LLC </t>
  </si>
  <si>
    <t>2704 LARKINS WAY</t>
  </si>
  <si>
    <t>WILLIAM FLINN  HWY</t>
  </si>
  <si>
    <t xml:space="preserve">AUL RICHARD J JR                                </t>
  </si>
  <si>
    <t>2705 JANE ST</t>
  </si>
  <si>
    <t>DARTMORE ST</t>
  </si>
  <si>
    <t xml:space="preserve">CAPUTO MARC E </t>
  </si>
  <si>
    <t>2821 JANE ST</t>
  </si>
  <si>
    <t>VELOCITY MORTGAGE CAP</t>
  </si>
  <si>
    <t>PO BOX 7089</t>
  </si>
  <si>
    <t>KIMELMAN NATHAN NORMA KENTOR</t>
  </si>
  <si>
    <t>0 LARKINS WAY</t>
  </si>
  <si>
    <t xml:space="preserve">SERRANO CARLOS </t>
  </si>
  <si>
    <t>2836 LARKINS WAY</t>
  </si>
  <si>
    <t>61 S 27TH ST</t>
  </si>
  <si>
    <t xml:space="preserve">MARKOVICH MICHAEL A                             </t>
  </si>
  <si>
    <t>2835 MARY ST</t>
  </si>
  <si>
    <t>ABRAMHMS TIFFANY &amp; ADAM C (H)</t>
  </si>
  <si>
    <t>2709 JOSEPHINE ST</t>
  </si>
  <si>
    <t xml:space="preserve">O NEILLS INVESTMENTS LLC </t>
  </si>
  <si>
    <t>2638 JOSEPHINE ST</t>
  </si>
  <si>
    <t xml:space="preserve">O NEILLS INVESTMENTS </t>
  </si>
  <si>
    <t>GREENHILL RD</t>
  </si>
  <si>
    <t>KARNS CITY</t>
  </si>
  <si>
    <t xml:space="preserve">PHILLIPS FAMILY SERVICES </t>
  </si>
  <si>
    <t>0 MCCORD ST</t>
  </si>
  <si>
    <t>MCCORD ST</t>
  </si>
  <si>
    <t xml:space="preserve">SEBASTIAN D BECERRA  LIVING TRUST            </t>
  </si>
  <si>
    <t>2606 JOSEPHINE ST</t>
  </si>
  <si>
    <t>SEBASTIAN D BECERRA L</t>
  </si>
  <si>
    <t>BAILEY AVE</t>
  </si>
  <si>
    <t xml:space="preserve">DEGIOVANNI LESLEY ANN </t>
  </si>
  <si>
    <t>2532 JANE ST</t>
  </si>
  <si>
    <t>2516 JANE STREET  ASSOCIATES LLC</t>
  </si>
  <si>
    <t>2516 JANE ST</t>
  </si>
  <si>
    <t>2516 JANE STREET ASSO</t>
  </si>
  <si>
    <t>CALIFORNIA AVE STE 1</t>
  </si>
  <si>
    <t xml:space="preserve">JUOZITIS PAUL D                                 </t>
  </si>
  <si>
    <t>2804 JANE ST</t>
  </si>
  <si>
    <t>HITT BURTON LEWIS JR &amp; STEPHANIE B (W)</t>
  </si>
  <si>
    <t>24 KOSCIUSKO WAY</t>
  </si>
  <si>
    <t>KOSCIUSKO WAY</t>
  </si>
  <si>
    <t>29 KOSCIUSKO WAY</t>
  </si>
  <si>
    <t>PO BOX 14514</t>
  </si>
  <si>
    <t xml:space="preserve">MAMULA JAMES </t>
  </si>
  <si>
    <t>68 BARRY ST</t>
  </si>
  <si>
    <t>BARRY ST</t>
  </si>
  <si>
    <t xml:space="preserve">DORMER ESTHER </t>
  </si>
  <si>
    <t>2400 LETICOE ST</t>
  </si>
  <si>
    <t>DORMER ESTHER</t>
  </si>
  <si>
    <t>KONIECZKA JOSEPH J &amp; IRENE</t>
  </si>
  <si>
    <t>2401 MISSION ST</t>
  </si>
  <si>
    <t>MISSION ST</t>
  </si>
  <si>
    <t>78 BARRY ST</t>
  </si>
  <si>
    <t xml:space="preserve">LOGAN MARK C </t>
  </si>
  <si>
    <t>2406 MISSION ST</t>
  </si>
  <si>
    <t>PITERSKI JOSEPH  &amp; STELLA</t>
  </si>
  <si>
    <t>37 HOLT ST</t>
  </si>
  <si>
    <t>HOLT ST</t>
  </si>
  <si>
    <t>SZWARC MICHAEL J &amp; MARIE (W)</t>
  </si>
  <si>
    <t>0 HOLT ST</t>
  </si>
  <si>
    <t xml:space="preserve">HUGHES MATTHEW                                  </t>
  </si>
  <si>
    <t>KIRK AVE</t>
  </si>
  <si>
    <t xml:space="preserve">DOOLEY MARGO </t>
  </si>
  <si>
    <t>2410 HOLT ST</t>
  </si>
  <si>
    <t>SZWARC MICHAEL  &amp; MARIE (W)</t>
  </si>
  <si>
    <t xml:space="preserve">BATES BRIAN </t>
  </si>
  <si>
    <t>0 BURHAM ST</t>
  </si>
  <si>
    <t>BISON STATE BANK ISAO</t>
  </si>
  <si>
    <t>WARD PKWY STE 210</t>
  </si>
  <si>
    <t>KANSAS CITY</t>
  </si>
  <si>
    <t xml:space="preserve">DOYLE AIDAN </t>
  </si>
  <si>
    <t>2407 BURHAM ST</t>
  </si>
  <si>
    <t xml:space="preserve">VETERANS UNITED HOME </t>
  </si>
  <si>
    <t>VETERANS UNITED DR</t>
  </si>
  <si>
    <t xml:space="preserve">RICHARDS JON T </t>
  </si>
  <si>
    <t>BURHAM ST</t>
  </si>
  <si>
    <t>2404 BURHAM ST</t>
  </si>
  <si>
    <t xml:space="preserve">STOCKEY NICOLE A                                </t>
  </si>
  <si>
    <t>4 HOLT ST</t>
  </si>
  <si>
    <t xml:space="preserve">AMUNDSON BRAXTON B F </t>
  </si>
  <si>
    <t>2323 SIERRA ST</t>
  </si>
  <si>
    <t>SIERRA ST</t>
  </si>
  <si>
    <t xml:space="preserve">NETHER NICHOLAS </t>
  </si>
  <si>
    <t xml:space="preserve">HOGAN SCOTT </t>
  </si>
  <si>
    <t>2359 HOLT ST</t>
  </si>
  <si>
    <t>2375 HOLT ST</t>
  </si>
  <si>
    <t>JLB DEVELOPMENT GROUP  LLC</t>
  </si>
  <si>
    <t>19 HOLT ST</t>
  </si>
  <si>
    <t>BARR PROPERTY  DEVELOPMENT INC</t>
  </si>
  <si>
    <t>0 CAESAR WAY</t>
  </si>
  <si>
    <t>BARR PROPERTY DEVELOP</t>
  </si>
  <si>
    <t>MEADOW PARK DR</t>
  </si>
  <si>
    <t xml:space="preserve">L-TWO CORP </t>
  </si>
  <si>
    <t>2301 MISSION ST UNIT 202</t>
  </si>
  <si>
    <t xml:space="preserve">GRECO NATALIE ROSE </t>
  </si>
  <si>
    <t>0 STERLING ST</t>
  </si>
  <si>
    <t>STERLING ST</t>
  </si>
  <si>
    <t xml:space="preserve">REBMANN CAROLYN D </t>
  </si>
  <si>
    <t>500 STERLING ST</t>
  </si>
  <si>
    <t xml:space="preserve">CRAIG WILLIAM </t>
  </si>
  <si>
    <t>65 BARRY ST</t>
  </si>
  <si>
    <t xml:space="preserve">SCHNEIDER WILLIAM </t>
  </si>
  <si>
    <t>0 STELLA ST</t>
  </si>
  <si>
    <t>S 21ST ST</t>
  </si>
  <si>
    <t>2624 STELLA ST</t>
  </si>
  <si>
    <t xml:space="preserve">WILLIAMS LEIA </t>
  </si>
  <si>
    <t>75 BARRY ST</t>
  </si>
  <si>
    <t>DARBYS RUN CT</t>
  </si>
  <si>
    <t>HIRAM</t>
  </si>
  <si>
    <t xml:space="preserve">MUEHLBAUER MELANIE </t>
  </si>
  <si>
    <t>2610 STELLA ST</t>
  </si>
  <si>
    <t>CLARKSVILLE</t>
  </si>
  <si>
    <t>MISSIONSIDE DEVELOPMENT  LLC</t>
  </si>
  <si>
    <t>2602 MISSION ST</t>
  </si>
  <si>
    <t>MISSIONSIDE DEVELOPME</t>
  </si>
  <si>
    <t>0 MISSION ST</t>
  </si>
  <si>
    <t>OLD WILLIAM HWY</t>
  </si>
  <si>
    <t xml:space="preserve">LUCZYNSKI DIANE L </t>
  </si>
  <si>
    <t>0 BARRY ST</t>
  </si>
  <si>
    <t>HOMEHURST ST</t>
  </si>
  <si>
    <t xml:space="preserve">OWEN JAMES GREGORY </t>
  </si>
  <si>
    <t>2613 STROMBERG ST</t>
  </si>
  <si>
    <t>STROMBERG ST</t>
  </si>
  <si>
    <t xml:space="preserve">MCKUCKIE FIVE LLC </t>
  </si>
  <si>
    <t>2615 STROMBERG ST</t>
  </si>
  <si>
    <t xml:space="preserve">LOCKE JEFFREY &amp; LISA (W) </t>
  </si>
  <si>
    <t>2710 MISSION ST</t>
  </si>
  <si>
    <t xml:space="preserve">LOCKE JEFFREY &amp; LISA </t>
  </si>
  <si>
    <t>FLORIDA AVE</t>
  </si>
  <si>
    <t xml:space="preserve">HARKNESS LAURIE </t>
  </si>
  <si>
    <t>0 OAKLEY WAY</t>
  </si>
  <si>
    <t xml:space="preserve">RE 360 LLC </t>
  </si>
  <si>
    <t>KREIGER THEODORE A &amp; ROSE MARIE (W)</t>
  </si>
  <si>
    <t>2731 OAKLEY WAY</t>
  </si>
  <si>
    <t>OAKLEY WAY</t>
  </si>
  <si>
    <t>KRIEGER THEODORE H &amp; ROSE MARIE (W)</t>
  </si>
  <si>
    <t xml:space="preserve">ERNEST RITA R </t>
  </si>
  <si>
    <t>2753 OAKLEY WAY</t>
  </si>
  <si>
    <t xml:space="preserve">SHAPIRO JOEL </t>
  </si>
  <si>
    <t>2715 MISSION ST</t>
  </si>
  <si>
    <t>2706 STELLA ST</t>
  </si>
  <si>
    <t>ADELINE ST</t>
  </si>
  <si>
    <t xml:space="preserve">SALONE PHILLIP C                                </t>
  </si>
  <si>
    <t>2718 SHELLY ST</t>
  </si>
  <si>
    <t>SHELLY ST</t>
  </si>
  <si>
    <t xml:space="preserve">PLUTO FRANCES M </t>
  </si>
  <si>
    <t>2715 STELLA ST</t>
  </si>
  <si>
    <t xml:space="preserve">POLIT ROBERT </t>
  </si>
  <si>
    <t>2716 MCCORD ST</t>
  </si>
  <si>
    <t xml:space="preserve">HASEMAN JAMES F </t>
  </si>
  <si>
    <t xml:space="preserve">JENKINS BAILEY ROBERT </t>
  </si>
  <si>
    <t>2723 MCCORD ST</t>
  </si>
  <si>
    <t>SOFI BANK NA</t>
  </si>
  <si>
    <t>SALT LAKE CITY</t>
  </si>
  <si>
    <t>0 JOSEPHINE ST</t>
  </si>
  <si>
    <t>ABRAHMS TIFFANY &amp; ADAM C (H)</t>
  </si>
  <si>
    <t>2838 JOSEPHINE ST</t>
  </si>
  <si>
    <t xml:space="preserve">RAMESH ANIMESH                                  </t>
  </si>
  <si>
    <t>25 TELESCOPE ST</t>
  </si>
  <si>
    <t>E EVELYN AVE APT 136</t>
  </si>
  <si>
    <t xml:space="preserve">TAGGART JEREMY </t>
  </si>
  <si>
    <t>9 TELESCOPE ST</t>
  </si>
  <si>
    <t>0 TELESCOPE ST</t>
  </si>
  <si>
    <t xml:space="preserve">KIPILLER KONSTANTIN                             </t>
  </si>
  <si>
    <t>2825 JOSEPHINE ST</t>
  </si>
  <si>
    <t xml:space="preserve">JOHNSTON SCOTT D </t>
  </si>
  <si>
    <t>2841 JOSEPHINE ST</t>
  </si>
  <si>
    <t>MACEK DR</t>
  </si>
  <si>
    <t xml:space="preserve">CLARK GEORGE E </t>
  </si>
  <si>
    <t>2906 HARCUM WAY</t>
  </si>
  <si>
    <t>BUTLER MICHAEL P &amp; STEFFANY (W)</t>
  </si>
  <si>
    <t>0 ECCLES ST</t>
  </si>
  <si>
    <t>ECCLES ST</t>
  </si>
  <si>
    <t>2025 ECCLES ST</t>
  </si>
  <si>
    <t>BUTLER MICHAEL P &amp; ST</t>
  </si>
  <si>
    <t>0 SALISBURY ST</t>
  </si>
  <si>
    <t>REO ACCEPTANCE CORP L</t>
  </si>
  <si>
    <t>FINNIGAN HOWARD R &amp; CHARLOTTE (W)</t>
  </si>
  <si>
    <t>2126 SALISBURY ST</t>
  </si>
  <si>
    <t xml:space="preserve">JACKSON TRACI MICHELLE </t>
  </si>
  <si>
    <t>1308 STERLING ST</t>
  </si>
  <si>
    <t>JACKSON TRACI MICHELL</t>
  </si>
  <si>
    <t xml:space="preserve">MITTS STEVEN </t>
  </si>
  <si>
    <t>2315 WELLINGTON ST</t>
  </si>
  <si>
    <t>SKYLINE POINT DR</t>
  </si>
  <si>
    <t>KRUSH JOSEPH  &amp; ELIZABETH A (W)</t>
  </si>
  <si>
    <t>944 ELEANOR ST</t>
  </si>
  <si>
    <t>ELEANOR ST</t>
  </si>
  <si>
    <t>941 ELEANOR ST</t>
  </si>
  <si>
    <t>2514 WELLINGTON  ASSOCIATES LLC</t>
  </si>
  <si>
    <t>2514 WELLINGTON ST</t>
  </si>
  <si>
    <t>2514 WELLINGTON ASSOC</t>
  </si>
  <si>
    <t>BURHAM ST APT 1</t>
  </si>
  <si>
    <t xml:space="preserve">HOFERKA STEPHEN R JR                            </t>
  </si>
  <si>
    <t>2707 COBDEN ST</t>
  </si>
  <si>
    <t>COBDEN ST</t>
  </si>
  <si>
    <t xml:space="preserve">LANGE MARK D </t>
  </si>
  <si>
    <t>2507 COBDEN ST</t>
  </si>
  <si>
    <t xml:space="preserve">COGLEY WAYNE </t>
  </si>
  <si>
    <t>2401 COBDEN ST</t>
  </si>
  <si>
    <t xml:space="preserve">PANELLA ASHLEE R </t>
  </si>
  <si>
    <t>2313 COBDEN ST</t>
  </si>
  <si>
    <t>GRIVALSKY JOSEPH S &amp; MARIE A</t>
  </si>
  <si>
    <t>2310 WELLINGTON ST</t>
  </si>
  <si>
    <t>WELLINGTON ST</t>
  </si>
  <si>
    <t>YELLOW GOAT ENTERPRISES  LLC</t>
  </si>
  <si>
    <t>0 COBDEN ST</t>
  </si>
  <si>
    <t>OLIVER JOHN &amp; CYNTHIA (W)</t>
  </si>
  <si>
    <t>OLIVER JOHN &amp; CYNTHIA</t>
  </si>
  <si>
    <t>HAYMAKER FARM RD</t>
  </si>
  <si>
    <t xml:space="preserve">OLIVER MADISON </t>
  </si>
  <si>
    <t>2309 BERG ST</t>
  </si>
  <si>
    <t>BERG ST</t>
  </si>
  <si>
    <t>2306 COBDEN ST</t>
  </si>
  <si>
    <t>CALLOWAY KELLY M &amp; JOSEPH (W)</t>
  </si>
  <si>
    <t>2316 COBDEN ST</t>
  </si>
  <si>
    <t xml:space="preserve">DAYIEB GEORGE FAMILY  TRUST                   </t>
  </si>
  <si>
    <t>2320 COBDEN ST</t>
  </si>
  <si>
    <t>CASTALINA CT</t>
  </si>
  <si>
    <t>BOEGEL FLORENCE Y &amp; LUKE M BOEGEL</t>
  </si>
  <si>
    <t>2706 COBDEN ST</t>
  </si>
  <si>
    <t xml:space="preserve">BLUE DOG ENTERPRISES INC </t>
  </si>
  <si>
    <t>2707 BERG ST</t>
  </si>
  <si>
    <t xml:space="preserve">BLUE DOG ENTERPRISES </t>
  </si>
  <si>
    <t xml:space="preserve">BENEDETTI CHRISTOPHER </t>
  </si>
  <si>
    <t>1304 CLOVER ST</t>
  </si>
  <si>
    <t xml:space="preserve">WEST MARGOT HELEN </t>
  </si>
  <si>
    <t>0 PATTERSON ST</t>
  </si>
  <si>
    <t xml:space="preserve">OLIVER GIAN D </t>
  </si>
  <si>
    <t>2330 BERG ST</t>
  </si>
  <si>
    <t>BEERG ST</t>
  </si>
  <si>
    <t xml:space="preserve">POLLOM DAVID M </t>
  </si>
  <si>
    <t>2335 PATTERSON ST</t>
  </si>
  <si>
    <t xml:space="preserve">SCHANCK DONNA J                                 </t>
  </si>
  <si>
    <t>2325 PATTERSON ST</t>
  </si>
  <si>
    <t>JOHN SCHANCK</t>
  </si>
  <si>
    <t>PATTERSON ST</t>
  </si>
  <si>
    <t>BREWER ROBERT M &amp; MARY KATE (W)</t>
  </si>
  <si>
    <t>2311 SALISBURY ST</t>
  </si>
  <si>
    <t>BREWER ROBERT M &amp; MAR</t>
  </si>
  <si>
    <t>SALISBURY</t>
  </si>
  <si>
    <t>SCHLEGEL DORIS JEAN ETAL</t>
  </si>
  <si>
    <t>2420 PATTERSON ST</t>
  </si>
  <si>
    <t xml:space="preserve">QUALLICH JOHN M </t>
  </si>
  <si>
    <t>2708 BERG ST</t>
  </si>
  <si>
    <t>E AMANDA AVE</t>
  </si>
  <si>
    <t>FITZWILLIAM DAVID W &amp; MAURA B (W)</t>
  </si>
  <si>
    <t>2614 PATTERSON ST</t>
  </si>
  <si>
    <t>WILHELM JOHN CHARLES &amp; ROSALIA</t>
  </si>
  <si>
    <t>2413 SALISBURY ST</t>
  </si>
  <si>
    <t>KEYES WILLIAM L &amp; PATRICIA (W)</t>
  </si>
  <si>
    <t>2409 SALISBURY ST</t>
  </si>
  <si>
    <t xml:space="preserve">MALSCH DONALD R </t>
  </si>
  <si>
    <t>2713 BURHAM ST</t>
  </si>
  <si>
    <t>PO BOX 10795</t>
  </si>
  <si>
    <t>RICHARDS ALAN  &amp; RUTH A (W)</t>
  </si>
  <si>
    <t>2715 BURHAM ST</t>
  </si>
  <si>
    <t xml:space="preserve">CITYSIDE LEASING LP </t>
  </si>
  <si>
    <t>2714 BURHAM ST</t>
  </si>
  <si>
    <t>2712 BURHAM ST</t>
  </si>
  <si>
    <t>0 NILES ST</t>
  </si>
  <si>
    <t xml:space="preserve">ROMANO ANTHONY </t>
  </si>
  <si>
    <t>2724 NILES ST</t>
  </si>
  <si>
    <t>NILES ST</t>
  </si>
  <si>
    <t>POHL CONSTRUCTION INC    ETAL</t>
  </si>
  <si>
    <t xml:space="preserve">VILLAGE LAND COMPANY </t>
  </si>
  <si>
    <t>PO BOX 11066</t>
  </si>
  <si>
    <t xml:space="preserve">KAK REAL ESTATE LLC </t>
  </si>
  <si>
    <t>2708 COBDEN ST</t>
  </si>
  <si>
    <t>KAK REAL ESTATE LLC</t>
  </si>
  <si>
    <t>GOEBEL RD</t>
  </si>
  <si>
    <t>FORT MYERS</t>
  </si>
  <si>
    <t xml:space="preserve">TUMICKI MARION J </t>
  </si>
  <si>
    <t>2711 BERG ST</t>
  </si>
  <si>
    <t>2710 COBDEN ST</t>
  </si>
  <si>
    <t>KAMINSKI FRANCIS JOSEPH  SR &amp; CHERYL ANN (W)</t>
  </si>
  <si>
    <t>2715 BERG ST</t>
  </si>
  <si>
    <t>KAMINSKI FRANCIS JOSE</t>
  </si>
  <si>
    <t xml:space="preserve">GREIL MADELINE M </t>
  </si>
  <si>
    <t xml:space="preserve">NIX FRANK P </t>
  </si>
  <si>
    <t>0 BERG ST</t>
  </si>
  <si>
    <t xml:space="preserve">PEOPLES PARTNERSHIP </t>
  </si>
  <si>
    <t xml:space="preserve">SCOTTSDALE REI LLC </t>
  </si>
  <si>
    <t>2623 PATTERSON ST</t>
  </si>
  <si>
    <t>IZAJ GERALD  &amp; MARGARET (W)</t>
  </si>
  <si>
    <t xml:space="preserve">WOISTMAN DAVID J </t>
  </si>
  <si>
    <t>OLD CLAIRTON RD STE 1</t>
  </si>
  <si>
    <t xml:space="preserve">MCLYNDEN HOLLY J </t>
  </si>
  <si>
    <t>2819 PATTERSON ST</t>
  </si>
  <si>
    <t xml:space="preserve">BLUE DOG ENTERPRISES  INC                     </t>
  </si>
  <si>
    <t>2825 PATTERSON ST</t>
  </si>
  <si>
    <t xml:space="preserve">BLUE DOG ENTERPRIES  </t>
  </si>
  <si>
    <t>PO BOX 59435</t>
  </si>
  <si>
    <t>GAUS JOSEPH C &amp; STEVEN J GAUS</t>
  </si>
  <si>
    <t>2835 PATTERSON ST</t>
  </si>
  <si>
    <t>ZEITLMAN CHARLES W &amp; MILDRED B</t>
  </si>
  <si>
    <t>2852 BERG ST</t>
  </si>
  <si>
    <t xml:space="preserve">MCLUCKIE FOUR LLC </t>
  </si>
  <si>
    <t>2801 COBDEN ST</t>
  </si>
  <si>
    <t>PRISTINE REALTY SOLUTION LLC</t>
  </si>
  <si>
    <t>2833 COBDEN ST</t>
  </si>
  <si>
    <t>FORWARD AVE # 1037</t>
  </si>
  <si>
    <t>BERARDI MATTHEW J &amp; ERIN M (W)</t>
  </si>
  <si>
    <t>0 NORTHVIEW ST</t>
  </si>
  <si>
    <t>BANK OF NEW ENGLAND</t>
  </si>
  <si>
    <t>LUBAWSKY JOHN R &amp; SANDRA L (W)</t>
  </si>
  <si>
    <t>0 FLYNN ST</t>
  </si>
  <si>
    <t>3001 COBDEN ST</t>
  </si>
  <si>
    <t>SMITH RORY  &amp; DEREK SMITH</t>
  </si>
  <si>
    <t>2732 STROMBERG ST</t>
  </si>
  <si>
    <t xml:space="preserve">LEE JENNIFER C </t>
  </si>
  <si>
    <t>2904 STROMBERG ST</t>
  </si>
  <si>
    <t xml:space="preserve">JAVORSKY MARIA J </t>
  </si>
  <si>
    <t>0 STROMBERG ST</t>
  </si>
  <si>
    <t>1914 ARLINGTON AVE</t>
  </si>
  <si>
    <t xml:space="preserve">HEGERLE DOUGLAS J </t>
  </si>
  <si>
    <t>1920 ARLINGTON AVE</t>
  </si>
  <si>
    <t>BROOKS EARL ARTHUR  JOSEPH</t>
  </si>
  <si>
    <t>1924 ARLINGTON AVE</t>
  </si>
  <si>
    <t>BROOKS EARL ARTHUR JO</t>
  </si>
  <si>
    <t xml:space="preserve">SHANINA INVESTMENTS LLC </t>
  </si>
  <si>
    <t>1930 ARLINGTON AVE</t>
  </si>
  <si>
    <t>SHANINA INVESTMENTS L</t>
  </si>
  <si>
    <t xml:space="preserve">GILG JAMES </t>
  </si>
  <si>
    <t>1936 ARLINGTON AVE</t>
  </si>
  <si>
    <t xml:space="preserve">YOCHUM DORIS M </t>
  </si>
  <si>
    <t>1825 WAITE ST</t>
  </si>
  <si>
    <t>WAITE ST</t>
  </si>
  <si>
    <t>NEW COMMUNITY  PROPERTIES LLC</t>
  </si>
  <si>
    <t>1817 WAITE ST</t>
  </si>
  <si>
    <t>NEW COMMUNITY PROPERT</t>
  </si>
  <si>
    <t>BUTTONWOOD DR</t>
  </si>
  <si>
    <t xml:space="preserve">REED NICOLE </t>
  </si>
  <si>
    <t>108 RAHE ST</t>
  </si>
  <si>
    <t>RAHE ST</t>
  </si>
  <si>
    <t>BARANAUSKAS DAVID B &amp; SUSAN L (W)</t>
  </si>
  <si>
    <t>110 RAHE ST</t>
  </si>
  <si>
    <t xml:space="preserve">LEI YANYAN </t>
  </si>
  <si>
    <t>128 WEBER WAY</t>
  </si>
  <si>
    <t>JANE ST # A</t>
  </si>
  <si>
    <t>FOCER SCOTT H &amp; JOLENE B (W)</t>
  </si>
  <si>
    <t>113 RAHE ST</t>
  </si>
  <si>
    <t>COMER PATRICK  &amp; CELESTINE W</t>
  </si>
  <si>
    <t>0 WEBER WAY</t>
  </si>
  <si>
    <t>WEBER WAY</t>
  </si>
  <si>
    <t>COMER PATRICK F &amp; CELESTINE</t>
  </si>
  <si>
    <t>COMER PATRICK F &amp; CEL</t>
  </si>
  <si>
    <t>WEBER ST</t>
  </si>
  <si>
    <t>BELL WILLIAM J JR &amp; ELLEN (W)</t>
  </si>
  <si>
    <t>0 WAITE ST</t>
  </si>
  <si>
    <t xml:space="preserve">OCEANA DEVELOPMENT LLC </t>
  </si>
  <si>
    <t>2122 ECCLES ST</t>
  </si>
  <si>
    <t>OCEANA DEVELOPMENT LL</t>
  </si>
  <si>
    <t xml:space="preserve">NELSON ANTONIO R </t>
  </si>
  <si>
    <t>2127 ARLINGTON AVE</t>
  </si>
  <si>
    <t>MCKENZIE JAMES F &amp; RITA (W)</t>
  </si>
  <si>
    <t>2109 ARLINGTON AVE</t>
  </si>
  <si>
    <t>OASIS REALTY  INVESTMENTS LLC</t>
  </si>
  <si>
    <t>2010 ARLINGTON AVE</t>
  </si>
  <si>
    <t>OASIS REALTY INVESTME</t>
  </si>
  <si>
    <t>S PRESIDIO DR</t>
  </si>
  <si>
    <t>GILBERT</t>
  </si>
  <si>
    <t>PRIME PROPERTIES USA  PA4 LLC</t>
  </si>
  <si>
    <t>2102 ARLINGTON AVE</t>
  </si>
  <si>
    <t xml:space="preserve">PRIME PROPERTIES USA </t>
  </si>
  <si>
    <t>LIVING PL STE 200</t>
  </si>
  <si>
    <t xml:space="preserve">L7 HOLDINGS LIMITED </t>
  </si>
  <si>
    <t>2106 ARLINGTON AVE</t>
  </si>
  <si>
    <t>PO BOX 55190</t>
  </si>
  <si>
    <t xml:space="preserve">GOODNOW PATRICK W </t>
  </si>
  <si>
    <t>2108 ARLINGTON AVE</t>
  </si>
  <si>
    <t xml:space="preserve">ARLINGTON 2112 LLC                              </t>
  </si>
  <si>
    <t>2112 ARLINGTON AVE</t>
  </si>
  <si>
    <t>RIDGE RIVA</t>
  </si>
  <si>
    <t xml:space="preserve">SEALS ESTHER JEAN </t>
  </si>
  <si>
    <t>2114 ARLINGTON AVE</t>
  </si>
  <si>
    <t xml:space="preserve">VAZQUEZ GUSTAVO </t>
  </si>
  <si>
    <t>2122 ARLINGTON AVE</t>
  </si>
  <si>
    <t>MARSHALL RD</t>
  </si>
  <si>
    <t>MILANOVICH NICHOLAS  &amp; MICHELLE (W)</t>
  </si>
  <si>
    <t>0 NORTE WAY</t>
  </si>
  <si>
    <t>NORTE WAY</t>
  </si>
  <si>
    <t xml:space="preserve">123 NORTE LLC </t>
  </si>
  <si>
    <t>2114 NORTE WAY</t>
  </si>
  <si>
    <t xml:space="preserve">KNORR REGIS R </t>
  </si>
  <si>
    <t>2025 SPRING ST</t>
  </si>
  <si>
    <t xml:space="preserve">UFHEIL DAWN M </t>
  </si>
  <si>
    <t>2008 SPRING ST</t>
  </si>
  <si>
    <t>SPRING ST</t>
  </si>
  <si>
    <t xml:space="preserve">WILKINSON JEREMY </t>
  </si>
  <si>
    <t>2102 ABEL ST</t>
  </si>
  <si>
    <t>2ND ST</t>
  </si>
  <si>
    <t>NEW BRIGHTON</t>
  </si>
  <si>
    <t xml:space="preserve">HAZELBECK MICHAEL PAUL </t>
  </si>
  <si>
    <t>2104 ABEL ST</t>
  </si>
  <si>
    <t>REBECCA ST</t>
  </si>
  <si>
    <t xml:space="preserve">HAZELBECK MICHAEL P </t>
  </si>
  <si>
    <t>2106 ABEL ST</t>
  </si>
  <si>
    <t xml:space="preserve">STUPAR JEREMY </t>
  </si>
  <si>
    <t>2108 ABEL ST</t>
  </si>
  <si>
    <t>PO BOX 385</t>
  </si>
  <si>
    <t xml:space="preserve">GOODNOW JESSICA E </t>
  </si>
  <si>
    <t>2126 SPRING ST</t>
  </si>
  <si>
    <t>PO BOX 59124</t>
  </si>
  <si>
    <t xml:space="preserve">GREIL JOSHUA                                    </t>
  </si>
  <si>
    <t>111 MOUNTAIN AVE</t>
  </si>
  <si>
    <t>CANAL RD S</t>
  </si>
  <si>
    <t>CONNEAUT LAKE</t>
  </si>
  <si>
    <t xml:space="preserve">2100 SPRING STREET LLC </t>
  </si>
  <si>
    <t>2100 SPRING ST</t>
  </si>
  <si>
    <t>2100 SPRING STREET LL</t>
  </si>
  <si>
    <t xml:space="preserve">PETERS DANIEL JAMES                             </t>
  </si>
  <si>
    <t>2106 SPRING ST</t>
  </si>
  <si>
    <t>CHAPLIN WAY</t>
  </si>
  <si>
    <t xml:space="preserve">PANZINO ANTHONY M                               </t>
  </si>
  <si>
    <t>2115 SPRING ST</t>
  </si>
  <si>
    <t>ALLENDER AVE</t>
  </si>
  <si>
    <t>DONOFRIO KATHLEEN M &amp; SCOTT (H)</t>
  </si>
  <si>
    <t>2122 ELSIE ST</t>
  </si>
  <si>
    <t>ELSIE ST</t>
  </si>
  <si>
    <t xml:space="preserve">BOGACKI JOSEPH W </t>
  </si>
  <si>
    <t>0 ELSIE ST</t>
  </si>
  <si>
    <t xml:space="preserve">VARDY LAURA                                     </t>
  </si>
  <si>
    <t>2206 ELSIE ST</t>
  </si>
  <si>
    <t>LAURA VARDY &amp; CYNTHIA</t>
  </si>
  <si>
    <t>2301 SPRING ST</t>
  </si>
  <si>
    <t xml:space="preserve">CONNER LATANYA J </t>
  </si>
  <si>
    <t>W 9TH AVE</t>
  </si>
  <si>
    <t xml:space="preserve">TOLBERT HARRY R </t>
  </si>
  <si>
    <t>2229 ARLINGTON AVE</t>
  </si>
  <si>
    <t xml:space="preserve">HIMES WILLIAM L </t>
  </si>
  <si>
    <t>2231 ARLINGTON AVE</t>
  </si>
  <si>
    <t xml:space="preserve">KOCHANSKI JAMES L </t>
  </si>
  <si>
    <t>2301 ECCLES ST</t>
  </si>
  <si>
    <t xml:space="preserve">GIBBONS RICHARD JR </t>
  </si>
  <si>
    <t>2307 ECCLES ST</t>
  </si>
  <si>
    <t>NAGEL JOHN M &amp; JAMES A NAGEL</t>
  </si>
  <si>
    <t>2317 ECCLES ST</t>
  </si>
  <si>
    <t xml:space="preserve">BALLINTINE AMY JEAN </t>
  </si>
  <si>
    <t>2302 ECCLES ST</t>
  </si>
  <si>
    <t>GLENMORE AVE</t>
  </si>
  <si>
    <t>PLUTNICKI PAUL A &amp; CORNELIA B (W)</t>
  </si>
  <si>
    <t>2308 ECCLES ST</t>
  </si>
  <si>
    <t xml:space="preserve">TRACEY JARROD WILLIAM </t>
  </si>
  <si>
    <t>1612 CONWAY ST</t>
  </si>
  <si>
    <t>CONWAY ST</t>
  </si>
  <si>
    <t xml:space="preserve">LINDNER JAMES O </t>
  </si>
  <si>
    <t>0 ARLINGTON AVE</t>
  </si>
  <si>
    <t xml:space="preserve">ECCLES JAMES M </t>
  </si>
  <si>
    <t xml:space="preserve">PEGGAU RODRIGO </t>
  </si>
  <si>
    <t>2307 ARLINGTON AVE</t>
  </si>
  <si>
    <t>RODRIGO PEGGAU</t>
  </si>
  <si>
    <t>BEAVER GRADE RD</t>
  </si>
  <si>
    <t xml:space="preserve">RICHARDS JON </t>
  </si>
  <si>
    <t>KNERR DONALD F &amp; JOAN M (W)</t>
  </si>
  <si>
    <t>2327 ARLINGTON AVE</t>
  </si>
  <si>
    <t xml:space="preserve">LEYSHOCK MATTHEW </t>
  </si>
  <si>
    <t>2332 ECCLES ST</t>
  </si>
  <si>
    <t>SHELL POINT MORTGAE</t>
  </si>
  <si>
    <t xml:space="preserve">CLINE JOHN </t>
  </si>
  <si>
    <t>2330 ECCLES ST</t>
  </si>
  <si>
    <t>PO BOX 60023</t>
  </si>
  <si>
    <t>SALEM AGNES LOUISE &amp; MARY LAVERNE SALEM</t>
  </si>
  <si>
    <t xml:space="preserve">HACKEL FRANK  &amp; RUTH (W) </t>
  </si>
  <si>
    <t>2331 ECCLES ST</t>
  </si>
  <si>
    <t>HACKEL FRANK L &amp; RUTH (W)</t>
  </si>
  <si>
    <t xml:space="preserve">NAGEL JOHN M                                    </t>
  </si>
  <si>
    <t>2321 ECCLES ST</t>
  </si>
  <si>
    <t xml:space="preserve">JAE KATHLEEN A </t>
  </si>
  <si>
    <t>1403 ELEANOR ST</t>
  </si>
  <si>
    <t>COLE RD</t>
  </si>
  <si>
    <t xml:space="preserve">WOLFE HARRY D                                   </t>
  </si>
  <si>
    <t>2418 ECCLES ST</t>
  </si>
  <si>
    <t>E WARRINGTON AVE</t>
  </si>
  <si>
    <t xml:space="preserve">FAULK JOHN </t>
  </si>
  <si>
    <t>2429 ECCLES ST</t>
  </si>
  <si>
    <t xml:space="preserve">NORMAN RICHARD K </t>
  </si>
  <si>
    <t>WIDMAN CURTIS A ETAL</t>
  </si>
  <si>
    <t xml:space="preserve">BURGH PORT 1 LLC </t>
  </si>
  <si>
    <t>2414 SALISBURY ST</t>
  </si>
  <si>
    <t xml:space="preserve">JOHN CONNER LLC </t>
  </si>
  <si>
    <t>2418 SALISBURY ST</t>
  </si>
  <si>
    <t>PINEWOOD DR</t>
  </si>
  <si>
    <t>WELSH GARY L &amp; KATHLEEN I (W) (LIFE EST</t>
  </si>
  <si>
    <t>2424 SALISBURY ST</t>
  </si>
  <si>
    <t>WELSH GARY L &amp; KATHLE</t>
  </si>
  <si>
    <t xml:space="preserve">ACH III PROPERTIES INC </t>
  </si>
  <si>
    <t>2428 SALISBURY ST</t>
  </si>
  <si>
    <t>ACH III PROPERTIES IN</t>
  </si>
  <si>
    <t xml:space="preserve">WARREN SIMONE </t>
  </si>
  <si>
    <t>2501 ARLINGTON AVE</t>
  </si>
  <si>
    <t>PACK ROBERT P &amp; BRENDA L (W)</t>
  </si>
  <si>
    <t xml:space="preserve">REDDINGTON RICHARD R                            </t>
  </si>
  <si>
    <t xml:space="preserve">WILKINS GARY </t>
  </si>
  <si>
    <t>P. O. BOX  312</t>
  </si>
  <si>
    <t>DALEVILLE</t>
  </si>
  <si>
    <t>BARSOTTI PAUL &amp; LESLIE (W)</t>
  </si>
  <si>
    <t>BARSOTTI PAUL &amp; LESLI</t>
  </si>
  <si>
    <t>TULLAHOMA RD</t>
  </si>
  <si>
    <t>TULLAHOMA</t>
  </si>
  <si>
    <t xml:space="preserve">WESSANT RICHARD </t>
  </si>
  <si>
    <t>2619 ELSIE ST</t>
  </si>
  <si>
    <t xml:space="preserve">CUTLER ALICE M                                  </t>
  </si>
  <si>
    <t>137 CLOVER ST</t>
  </si>
  <si>
    <t xml:space="preserve">FERRIS RICHARD D </t>
  </si>
  <si>
    <t>0 CLOVER ST</t>
  </si>
  <si>
    <t xml:space="preserve">STAUB ALBERT A &amp; GRACE </t>
  </si>
  <si>
    <t>STAUB ALBERT A &amp; GRAC</t>
  </si>
  <si>
    <t xml:space="preserve">NATH MARY </t>
  </si>
  <si>
    <t>2506 ARLINGTON AVE</t>
  </si>
  <si>
    <t>NATH MARY</t>
  </si>
  <si>
    <t xml:space="preserve">A GIVING HEART </t>
  </si>
  <si>
    <t>2429 CHARCOT ST</t>
  </si>
  <si>
    <t>A GIVING HEART</t>
  </si>
  <si>
    <t xml:space="preserve">SMITHFIELD HOLDINGS INC </t>
  </si>
  <si>
    <t>2428 ARLINGTON AVE</t>
  </si>
  <si>
    <t>SMITHFIELD HOLDINGS I</t>
  </si>
  <si>
    <t xml:space="preserve">WIELOCK FRANK III </t>
  </si>
  <si>
    <t>2413 CHARCOT ST</t>
  </si>
  <si>
    <t>CHARCOT ST</t>
  </si>
  <si>
    <t xml:space="preserve">CRC HOME INVESTMENTS LLC </t>
  </si>
  <si>
    <t>2402 ARLINGTON AVE</t>
  </si>
  <si>
    <t xml:space="preserve">CRC HOME INVESTMENTS </t>
  </si>
  <si>
    <t>SUNNYHILL DR</t>
  </si>
  <si>
    <t>ZIETAK THOMAS M &amp; DEBRA M (W)</t>
  </si>
  <si>
    <t xml:space="preserve">METZ GEORGE BERNARD </t>
  </si>
  <si>
    <t>0 CHARCOT ST</t>
  </si>
  <si>
    <t>N 18TH CT</t>
  </si>
  <si>
    <t xml:space="preserve">TOWNSEND ELAINE C </t>
  </si>
  <si>
    <t>2408 CHARCOT ST</t>
  </si>
  <si>
    <t xml:space="preserve">MENDROLA BERNADETTE </t>
  </si>
  <si>
    <t>2410 CHARCOT ST</t>
  </si>
  <si>
    <t xml:space="preserve">PFEIFER MAGDALENA M </t>
  </si>
  <si>
    <t>2436 CHARCOT ST</t>
  </si>
  <si>
    <t xml:space="preserve">DUERR MICHAEL </t>
  </si>
  <si>
    <t>2327 SPRING ST</t>
  </si>
  <si>
    <t xml:space="preserve">FITZWILLIAM DAVID &amp; MARA </t>
  </si>
  <si>
    <t>2843 PATTERSON ST</t>
  </si>
  <si>
    <t>CITY OF PITTSBURGH  PROPERTY DEVELOPMENTS IN</t>
  </si>
  <si>
    <t>2845 PATTERSON ST</t>
  </si>
  <si>
    <t>CITY OF PITTSBURGH PR</t>
  </si>
  <si>
    <t xml:space="preserve">HILDENBRAND MICHAEL P JR </t>
  </si>
  <si>
    <t>2841 SALISBURY ST</t>
  </si>
  <si>
    <t>HILDENBRAND MICHAEL P</t>
  </si>
  <si>
    <t xml:space="preserve">MCLYNDEN HOLLY </t>
  </si>
  <si>
    <t>2810 PATTERSON ST</t>
  </si>
  <si>
    <t>HOLLY MCLYNDEN</t>
  </si>
  <si>
    <t xml:space="preserve">L5 HOLDINGS LIMITED </t>
  </si>
  <si>
    <t>2711 ECCLES ST</t>
  </si>
  <si>
    <t xml:space="preserve">KILCHENSTEIN JAMES L </t>
  </si>
  <si>
    <t xml:space="preserve">MCMAHON GERALD </t>
  </si>
  <si>
    <t>2806 SALISBURY ST</t>
  </si>
  <si>
    <t>YULE DOUGLAS W &amp; AMY A (W)</t>
  </si>
  <si>
    <t>2810 SALISBURY ST</t>
  </si>
  <si>
    <t>PRITCHARD KENNETH A &amp; CHRISTINE C (W)</t>
  </si>
  <si>
    <t>GOLDBACH ST</t>
  </si>
  <si>
    <t xml:space="preserve">DARICK MICHAEL V </t>
  </si>
  <si>
    <t>2935 ARLINGTON AVE</t>
  </si>
  <si>
    <t xml:space="preserve">GOLLING GLADYS </t>
  </si>
  <si>
    <t>2815 ARLINGTON AVE</t>
  </si>
  <si>
    <t>CARLISLE RD</t>
  </si>
  <si>
    <t>123 FITLER ST</t>
  </si>
  <si>
    <t>WELLS FARGO BANK NA  (TRUSTEE)</t>
  </si>
  <si>
    <t>124 COLOGNE ST</t>
  </si>
  <si>
    <t>IRVINE CENTER DR</t>
  </si>
  <si>
    <t xml:space="preserve">GATES JUDITH A </t>
  </si>
  <si>
    <t>118 COLOGNE ST</t>
  </si>
  <si>
    <t>COLOGNE ST</t>
  </si>
  <si>
    <t>CUSTER CHARLES C JR &amp; PATRICIA A (W)</t>
  </si>
  <si>
    <t>112 COLOGNE ST</t>
  </si>
  <si>
    <t xml:space="preserve">CUSTER THERESA </t>
  </si>
  <si>
    <t>108 COLOGNE ST</t>
  </si>
  <si>
    <t>GAS VALLEY RD</t>
  </si>
  <si>
    <t>GEORGETOWN</t>
  </si>
  <si>
    <t xml:space="preserve">SLANOVICH DAVID </t>
  </si>
  <si>
    <t>0 COLOGNE ST</t>
  </si>
  <si>
    <t>111 WILL WAY</t>
  </si>
  <si>
    <t>109 WILL WAY</t>
  </si>
  <si>
    <t>NICOLETTI ROMANO J &amp; PHYLLIS (W)</t>
  </si>
  <si>
    <t>2800 ARLINGTON AVE</t>
  </si>
  <si>
    <t>ROMANO NICOLETTI</t>
  </si>
  <si>
    <t xml:space="preserve">P &amp; C  ASSET MANAGEMENT </t>
  </si>
  <si>
    <t>MANCHESTER</t>
  </si>
  <si>
    <t>NH</t>
  </si>
  <si>
    <t xml:space="preserve">RODRIQUEZ  LUIS </t>
  </si>
  <si>
    <t>2822 ARLINGTON AVE</t>
  </si>
  <si>
    <t xml:space="preserve">BENNETT AARON F </t>
  </si>
  <si>
    <t>BERKWOOD DR</t>
  </si>
  <si>
    <t xml:space="preserve">RAY CORETTA V </t>
  </si>
  <si>
    <t>2914 ARLINGTON AVE</t>
  </si>
  <si>
    <t xml:space="preserve">ZIEGLER JOHN E &amp; DOROTHY </t>
  </si>
  <si>
    <t>2932 ARLINGTON AVE</t>
  </si>
  <si>
    <t>ZIEGLER JOHN E &amp; DORO</t>
  </si>
  <si>
    <t>CARSON ST E APT 409</t>
  </si>
  <si>
    <t xml:space="preserve">THOMAS JAMES L </t>
  </si>
  <si>
    <t>208 MOUNTAIN AVE</t>
  </si>
  <si>
    <t xml:space="preserve">DURRETT SHAWNTIA </t>
  </si>
  <si>
    <t>118 DAWES ST</t>
  </si>
  <si>
    <t>DAWES ST</t>
  </si>
  <si>
    <t xml:space="preserve">PELUSO RAYMOND </t>
  </si>
  <si>
    <t>130 DAWES ST</t>
  </si>
  <si>
    <t>LOVE RD</t>
  </si>
  <si>
    <t xml:space="preserve">RAUCH PETER CO </t>
  </si>
  <si>
    <t>0 DAWES ST</t>
  </si>
  <si>
    <t>562 GREENHURST DR</t>
  </si>
  <si>
    <t>WOLFRAM STEVEN  &amp; LAURA (W)</t>
  </si>
  <si>
    <t>480 DAWES ST</t>
  </si>
  <si>
    <t xml:space="preserve">MILLS SHELLY A </t>
  </si>
  <si>
    <t>222 MOUNTAIN AVE</t>
  </si>
  <si>
    <t>MOUNTAIN ST</t>
  </si>
  <si>
    <t xml:space="preserve">REDDINGTON SHARON R </t>
  </si>
  <si>
    <t>472 DAWES ST</t>
  </si>
  <si>
    <t xml:space="preserve">PHILLIPS SARAH M </t>
  </si>
  <si>
    <t>REDDINGTON RICHARD R &amp; DIANE (W)</t>
  </si>
  <si>
    <t>REDDINGTON RICHARD R &amp; DIANE W</t>
  </si>
  <si>
    <t>444 DAWES ST</t>
  </si>
  <si>
    <t>REDDINGTON RICHARD R &amp; DIANNE (W)</t>
  </si>
  <si>
    <t xml:space="preserve">CURTIS MARGARET M </t>
  </si>
  <si>
    <t>MYOMA RD</t>
  </si>
  <si>
    <t>CLEMM ALECIA J &amp; EDWARD D (H)</t>
  </si>
  <si>
    <t>0 PARKWOOD RD</t>
  </si>
  <si>
    <t>CLEMM ALECIA J &amp; EDWA</t>
  </si>
  <si>
    <t>PARKWOOD RD</t>
  </si>
  <si>
    <t>415 PARKWOOD RD</t>
  </si>
  <si>
    <t>GANSTER HARRY R &amp; MARY JANE (W)</t>
  </si>
  <si>
    <t>STEWART AVE</t>
  </si>
  <si>
    <t xml:space="preserve">LEZCANO GILDO R </t>
  </si>
  <si>
    <t>435 PARKWOOD RD</t>
  </si>
  <si>
    <t>HUGUENOT DR</t>
  </si>
  <si>
    <t>MASTIC BEACH</t>
  </si>
  <si>
    <t xml:space="preserve">FETH AUDREY F </t>
  </si>
  <si>
    <t>445 PARKWOOD RD</t>
  </si>
  <si>
    <t>HAID JOAN C &amp; SHIRLEY M HAID</t>
  </si>
  <si>
    <t>15TH ST</t>
  </si>
  <si>
    <t xml:space="preserve">BEHERS WILLIAM </t>
  </si>
  <si>
    <t xml:space="preserve">ORIGINAL RESOURCE INC </t>
  </si>
  <si>
    <t>SAN FELIPE RD STE 150</t>
  </si>
  <si>
    <t>SNOW ROBERT B &amp; BEATRICE F (W)</t>
  </si>
  <si>
    <t>442 PARKWOOD RD</t>
  </si>
  <si>
    <t>SNOW ROBERT B &amp; BEATRICE F</t>
  </si>
  <si>
    <t xml:space="preserve">TAYLOR DELMAR A </t>
  </si>
  <si>
    <t>414 PARKWOOD RD</t>
  </si>
  <si>
    <t>BRINTON RD FRNT</t>
  </si>
  <si>
    <t xml:space="preserve">KOCHANSKI JAMES L                               </t>
  </si>
  <si>
    <t>2208 SPRING ST</t>
  </si>
  <si>
    <t>2212 SPRING ST</t>
  </si>
  <si>
    <t xml:space="preserve">CASNE DEBORAH A </t>
  </si>
  <si>
    <t>2216 SPRING ST</t>
  </si>
  <si>
    <t>CROOKS JOHANNA  &amp; RONALD E CROOKS III</t>
  </si>
  <si>
    <t>233 STERLING ST</t>
  </si>
  <si>
    <t xml:space="preserve">SABARESE RONALD </t>
  </si>
  <si>
    <t>309 STERLING ST</t>
  </si>
  <si>
    <t xml:space="preserve">REILLY GARY WAYNE </t>
  </si>
  <si>
    <t>236 STERLING ST</t>
  </si>
  <si>
    <t xml:space="preserve">WILK HELEN </t>
  </si>
  <si>
    <t xml:space="preserve">DEMKO MATHEW </t>
  </si>
  <si>
    <t>226 STERLING ST</t>
  </si>
  <si>
    <t>222 STERLING FAMILY  TRUST (THE)</t>
  </si>
  <si>
    <t>222 STERLING ST</t>
  </si>
  <si>
    <t>WOODCREST DR</t>
  </si>
  <si>
    <t xml:space="preserve">BARONE PATRICIA </t>
  </si>
  <si>
    <t>207 FERNLEAF ST</t>
  </si>
  <si>
    <t>FERNLEAF ST</t>
  </si>
  <si>
    <t xml:space="preserve">UGOLETTI AMANDA </t>
  </si>
  <si>
    <t>229 FERNLEAF ST</t>
  </si>
  <si>
    <t>DAVIS ROBERT K &amp; VICTORIA J (W)</t>
  </si>
  <si>
    <t>235 FERNLEAF ST</t>
  </si>
  <si>
    <t xml:space="preserve">HUTTON HILDA M &amp; JOHN W </t>
  </si>
  <si>
    <t>DYER LAWRENCE H &amp; MARIE C</t>
  </si>
  <si>
    <t>S 18TH ST EXT</t>
  </si>
  <si>
    <t>KLOTZ LOUIS G JR &amp; HELEN JEAN</t>
  </si>
  <si>
    <t>0 MOUNTAIN AVE</t>
  </si>
  <si>
    <t xml:space="preserve">SCHIFFHAUER MARY </t>
  </si>
  <si>
    <t xml:space="preserve">RODRIGUEZ LUIS M </t>
  </si>
  <si>
    <t xml:space="preserve">TRAINER LYNN </t>
  </si>
  <si>
    <t>2120 WENKE ST</t>
  </si>
  <si>
    <t>WENKE ST</t>
  </si>
  <si>
    <t xml:space="preserve">ODAH KOSSIBITOU </t>
  </si>
  <si>
    <t>2123 WENKE ST</t>
  </si>
  <si>
    <t>PO BOX 476</t>
  </si>
  <si>
    <t>KONESKY TIMOTHY  &amp; PATRICIA A (W)</t>
  </si>
  <si>
    <t>2118 WENKE ST</t>
  </si>
  <si>
    <t>SUR WAY</t>
  </si>
  <si>
    <t>2118 SUR WAY</t>
  </si>
  <si>
    <t>MOURS WILLIAM D &amp; VERONICA C (W)</t>
  </si>
  <si>
    <t>0 SUR WAY</t>
  </si>
  <si>
    <t>MOURS WILLIAM D &amp; VER</t>
  </si>
  <si>
    <t>MOURS WILLIAM D &amp; VERONICA</t>
  </si>
  <si>
    <t>LINDA NEWELL</t>
  </si>
  <si>
    <t>ATKINSON PL</t>
  </si>
  <si>
    <t xml:space="preserve">MILCAREK JOSEPH D SR                            </t>
  </si>
  <si>
    <t>0 BRENT ST</t>
  </si>
  <si>
    <t xml:space="preserve">HOLZAPFEL JAMES R JR </t>
  </si>
  <si>
    <t>2110 BRENT ST</t>
  </si>
  <si>
    <t>HOLZAPFEL JAMES R JR</t>
  </si>
  <si>
    <t>BRENT ST</t>
  </si>
  <si>
    <t xml:space="preserve">COLEMAN BIRLENA T </t>
  </si>
  <si>
    <t>2114 BRENT ST</t>
  </si>
  <si>
    <t>MILLER ROBERT A &amp; MICHELLE R (W)</t>
  </si>
  <si>
    <t>2122 BRENT ST</t>
  </si>
  <si>
    <t>MILLER ROBERT A &amp; MIC</t>
  </si>
  <si>
    <t>W IRWIN ST</t>
  </si>
  <si>
    <t xml:space="preserve">BRENT 2124 LLC                                  </t>
  </si>
  <si>
    <t>2124 BRENT ST</t>
  </si>
  <si>
    <t xml:space="preserve">RUSZECKI STANLEY </t>
  </si>
  <si>
    <t>2131 BRENT ST</t>
  </si>
  <si>
    <t xml:space="preserve">GREEN JASPER </t>
  </si>
  <si>
    <t>2121 BRENT ST</t>
  </si>
  <si>
    <t>GREEN JASPER</t>
  </si>
  <si>
    <t>GREIL RUSSELL J &amp; THERESA L (W)</t>
  </si>
  <si>
    <t>2101 BRENT ST</t>
  </si>
  <si>
    <t xml:space="preserve">BAKER DON </t>
  </si>
  <si>
    <t xml:space="preserve">WILLIAMS ARLENE </t>
  </si>
  <si>
    <t>216 ROTHMAN ST</t>
  </si>
  <si>
    <t>PROTECTORY PL</t>
  </si>
  <si>
    <t xml:space="preserve">PFEIL ANTHONY </t>
  </si>
  <si>
    <t>212 ROTHMAN ST</t>
  </si>
  <si>
    <t xml:space="preserve">WESTMORR LLC </t>
  </si>
  <si>
    <t>221 ROTHMAN ST</t>
  </si>
  <si>
    <t>TAX BILLS</t>
  </si>
  <si>
    <t>MCKNIGHT EAST DR</t>
  </si>
  <si>
    <t>MANGUS DAVID G &amp; ALICE M MANGUS</t>
  </si>
  <si>
    <t>223 ROTHMAN ST</t>
  </si>
  <si>
    <t>ROTHMAN ST</t>
  </si>
  <si>
    <t xml:space="preserve">STEWART JOSH </t>
  </si>
  <si>
    <t>225 ROTHMAN ST</t>
  </si>
  <si>
    <t>STEWART JOSH</t>
  </si>
  <si>
    <t xml:space="preserve">RYAN REBECCA L </t>
  </si>
  <si>
    <t>0 ROTHMAN ST</t>
  </si>
  <si>
    <t>MORNINGSIDE DR</t>
  </si>
  <si>
    <t>309 ROTHMAN ST</t>
  </si>
  <si>
    <t xml:space="preserve">MURDOCH MICHAEL </t>
  </si>
  <si>
    <t>S 16TH ST</t>
  </si>
  <si>
    <t>WHITEFENCE DEVELOPMENT  LLC</t>
  </si>
  <si>
    <t>201 CLOVER ST</t>
  </si>
  <si>
    <t>WHITEFENCE DEVELOPMEN</t>
  </si>
  <si>
    <t>CINDRIC MARK S &amp; MARY A SULINSKI</t>
  </si>
  <si>
    <t>303 CLOVER ST</t>
  </si>
  <si>
    <t>CINDRIC MARK S &amp; MARY</t>
  </si>
  <si>
    <t xml:space="preserve">CHRISTOPHER ROBERT </t>
  </si>
  <si>
    <t>307 CLOVER ST</t>
  </si>
  <si>
    <t xml:space="preserve">NEMIT LINDSAY A                                 </t>
  </si>
  <si>
    <t>314 FLACK ST</t>
  </si>
  <si>
    <t>BOGGS AVE</t>
  </si>
  <si>
    <t>2513 WIESE ST</t>
  </si>
  <si>
    <t xml:space="preserve">STRATEGIC PROPERTIES INC </t>
  </si>
  <si>
    <t>229 FLACK ST</t>
  </si>
  <si>
    <t xml:space="preserve">STRATEGIC PROPERTIES </t>
  </si>
  <si>
    <t xml:space="preserve">TROST DONALD JR </t>
  </si>
  <si>
    <t>227 FLACK ST</t>
  </si>
  <si>
    <t>FLACK ST</t>
  </si>
  <si>
    <t>MIHALEK ROBERT  &amp; PAMELA (W)</t>
  </si>
  <si>
    <t>225 FLACK ST</t>
  </si>
  <si>
    <t>2602 SPRING ST</t>
  </si>
  <si>
    <t>GRISOM TARA E &amp; ERIC E (H)</t>
  </si>
  <si>
    <t>2434 SPRING ST</t>
  </si>
  <si>
    <t xml:space="preserve">OLOUGHLIN EDWARD J </t>
  </si>
  <si>
    <t>2428 SPRING ST</t>
  </si>
  <si>
    <t>OLOUGHLIN EDWARD J</t>
  </si>
  <si>
    <t>ZION DR</t>
  </si>
  <si>
    <t>WOLFE ROBERT J &amp; MARY LOU (W)</t>
  </si>
  <si>
    <t>2424 SPRING ST</t>
  </si>
  <si>
    <t>GORDIENKO ELENA &amp; OLEG (H)</t>
  </si>
  <si>
    <t>2420 ELSIE ST</t>
  </si>
  <si>
    <t>GORDIENKO ELENA &amp; OLE</t>
  </si>
  <si>
    <t xml:space="preserve">KWASNIEWSKI TRUDI A </t>
  </si>
  <si>
    <t>2423 SPRING ST</t>
  </si>
  <si>
    <t xml:space="preserve">DETTLINGER JAMES K </t>
  </si>
  <si>
    <t>2431 SPRING ST</t>
  </si>
  <si>
    <t xml:space="preserve">412 RENTALS LLC </t>
  </si>
  <si>
    <t>2430 ELSIE ST</t>
  </si>
  <si>
    <t>412 RENTALS LLC</t>
  </si>
  <si>
    <t>PO BOX 1142</t>
  </si>
  <si>
    <t>MSMURRAY</t>
  </si>
  <si>
    <t xml:space="preserve">KOCHANSKI DAVID S JR </t>
  </si>
  <si>
    <t>2435 SPRING ST</t>
  </si>
  <si>
    <t xml:space="preserve">CASSON KAREN </t>
  </si>
  <si>
    <t>2437 SPRING ST</t>
  </si>
  <si>
    <t xml:space="preserve">NAS PROPERTIES LLC </t>
  </si>
  <si>
    <t>138 CLOVER ST</t>
  </si>
  <si>
    <t>2521 SPRING ST</t>
  </si>
  <si>
    <t>KNERR PAUL F &amp; JANET A (W)</t>
  </si>
  <si>
    <t xml:space="preserve">KNERR PAUL F &amp; JANET </t>
  </si>
  <si>
    <t xml:space="preserve">BIGOS ARLENE </t>
  </si>
  <si>
    <t>135 COLOGNE ST</t>
  </si>
  <si>
    <t xml:space="preserve">MCHUGH MICHAEL </t>
  </si>
  <si>
    <t>2807 SPRING ST</t>
  </si>
  <si>
    <t xml:space="preserve">GRIFFIN DEBORAH L </t>
  </si>
  <si>
    <t>142 RINNE ST</t>
  </si>
  <si>
    <t>RINNE ST</t>
  </si>
  <si>
    <t xml:space="preserve">SCHLARP ROY L &amp; JESSIE D (W)            </t>
  </si>
  <si>
    <t>145 RINNE ST</t>
  </si>
  <si>
    <t>SCHLARP ROY L</t>
  </si>
  <si>
    <t>PLUTNICKI PAUL A &amp; CORNELIA B</t>
  </si>
  <si>
    <t>2833 SPRING ST</t>
  </si>
  <si>
    <t xml:space="preserve">TYLER EBONY B </t>
  </si>
  <si>
    <t>136 DENGLER ST</t>
  </si>
  <si>
    <t>DENGLER ST</t>
  </si>
  <si>
    <t>HILLTOP REDEVELOPMENT  LLC</t>
  </si>
  <si>
    <t>130 DENGLER ST</t>
  </si>
  <si>
    <t>RE360</t>
  </si>
  <si>
    <t xml:space="preserve">DEES JAY J </t>
  </si>
  <si>
    <t>133 DENGLER ST</t>
  </si>
  <si>
    <t xml:space="preserve">KOHUT DENNIS A </t>
  </si>
  <si>
    <t>137 DENGLER ST</t>
  </si>
  <si>
    <t xml:space="preserve">KITZINGER GARY J </t>
  </si>
  <si>
    <t>2931 DEVLIN ST</t>
  </si>
  <si>
    <t>DEVLIN ST</t>
  </si>
  <si>
    <t>2922 SPRING ST</t>
  </si>
  <si>
    <t xml:space="preserve">SITERS JOHN JR </t>
  </si>
  <si>
    <t>203 DENGLER ST</t>
  </si>
  <si>
    <t>205 DENGLER ST</t>
  </si>
  <si>
    <t>ELDORADO PKWY STE 150-532</t>
  </si>
  <si>
    <t>FRISCO</t>
  </si>
  <si>
    <t xml:space="preserve">SITERS JOHN S JR </t>
  </si>
  <si>
    <t>207 DENGLER ST</t>
  </si>
  <si>
    <t>MATASOVSKY JOSEPH  &amp; ANNA</t>
  </si>
  <si>
    <t>0 DEVLIN ST</t>
  </si>
  <si>
    <t xml:space="preserve">UNDERWOOD DOROTHY M </t>
  </si>
  <si>
    <t>BROWER RD</t>
  </si>
  <si>
    <t>LIMA</t>
  </si>
  <si>
    <t>RUTHERFORD NICOLE  &amp; DARREN J (H)</t>
  </si>
  <si>
    <t>2923 DEVLIN ST</t>
  </si>
  <si>
    <t xml:space="preserve">DILLA EUGENE W &amp; LORETTA </t>
  </si>
  <si>
    <t>SCHWARZMILLER LINDA  GRACE</t>
  </si>
  <si>
    <t>315 DENGLER ST</t>
  </si>
  <si>
    <t>SCHWARZMILLER LINDA G</t>
  </si>
  <si>
    <t>SCHREINER CONRAD J &amp; BERTHA</t>
  </si>
  <si>
    <t>0 DANIELS ST</t>
  </si>
  <si>
    <t>SOUTHVUE DR</t>
  </si>
  <si>
    <t>KENNEDY ROSEMARIE        ETAL</t>
  </si>
  <si>
    <t>2914 DANIELS ST</t>
  </si>
  <si>
    <t>DANIELS ST</t>
  </si>
  <si>
    <t xml:space="preserve">SALVY PROPERTIES A LLC </t>
  </si>
  <si>
    <t>2907 ORIN ST</t>
  </si>
  <si>
    <t>SALVY PROPERTIES A LL</t>
  </si>
  <si>
    <t xml:space="preserve">STENGER JEREMY E                                </t>
  </si>
  <si>
    <t>324 DENGLER ST</t>
  </si>
  <si>
    <t xml:space="preserve">KNERR BRYAN </t>
  </si>
  <si>
    <t>310 DENGLER ST</t>
  </si>
  <si>
    <t xml:space="preserve">SEITZ RAYMOND P </t>
  </si>
  <si>
    <t>306 DENGLER ST</t>
  </si>
  <si>
    <t>220 DENGLER ST</t>
  </si>
  <si>
    <t>PO BOX 409</t>
  </si>
  <si>
    <t xml:space="preserve">LEWELLYN ANN MARIE                              </t>
  </si>
  <si>
    <t>0 DENGLER ST</t>
  </si>
  <si>
    <t>MARSHALL JOSEPH L &amp; LORI (W)</t>
  </si>
  <si>
    <t>0 SPRING ST</t>
  </si>
  <si>
    <t>MARSHALL  LORI (W)</t>
  </si>
  <si>
    <t>A HOCHBERG RD</t>
  </si>
  <si>
    <t xml:space="preserve">WELSH JOHN G JR </t>
  </si>
  <si>
    <t>217 RINNE ST</t>
  </si>
  <si>
    <t>STRUZINSKI STANLEY  &amp; BRIDGETTA (W)</t>
  </si>
  <si>
    <t>221 RINNE ST</t>
  </si>
  <si>
    <t xml:space="preserve">WOESTER JOSEPH F </t>
  </si>
  <si>
    <t>0 RINNE ST</t>
  </si>
  <si>
    <t xml:space="preserve">KICIELINSKI FRANK J </t>
  </si>
  <si>
    <t>227 RINNE ST</t>
  </si>
  <si>
    <t>DEVINE WILLIAM A &amp; DONNA M (W)</t>
  </si>
  <si>
    <t>P.O. BOX 8724</t>
  </si>
  <si>
    <t>REDLINGER LEO T III &amp; MARIA L (W)</t>
  </si>
  <si>
    <t>305 RINNE ST</t>
  </si>
  <si>
    <t>CRANBROOK DR</t>
  </si>
  <si>
    <t>BABBIT STANLEY  &amp; JENNY U (W)</t>
  </si>
  <si>
    <t>0 WIESE ST</t>
  </si>
  <si>
    <t>MILLSTINE GILBERT JOHN  III</t>
  </si>
  <si>
    <t>213 GOLDBACH ST</t>
  </si>
  <si>
    <t>MILLSTINE GILBERT JOH</t>
  </si>
  <si>
    <t>UGEN EUGENE J &amp; MILDRED B</t>
  </si>
  <si>
    <t>218 RINNE ST</t>
  </si>
  <si>
    <t>UGEN EUGENE J &amp; MILDR</t>
  </si>
  <si>
    <t>BLUE ROCK DR</t>
  </si>
  <si>
    <t xml:space="preserve">WELSH JOHN G </t>
  </si>
  <si>
    <t>2810 SPRING ST</t>
  </si>
  <si>
    <t>2808 SPRING ST</t>
  </si>
  <si>
    <t>CALIO CARL R &amp; KIMBERLY A (W)</t>
  </si>
  <si>
    <t>2708 SPRING ST</t>
  </si>
  <si>
    <t>CALIO CARL R &amp; KIMBERLY (W)</t>
  </si>
  <si>
    <t xml:space="preserve">MANDARINO DANA MARIE </t>
  </si>
  <si>
    <t>LEAVITT ST</t>
  </si>
  <si>
    <t xml:space="preserve">FANTOZZI PATRICIA </t>
  </si>
  <si>
    <t>218 GOLDBACH ST</t>
  </si>
  <si>
    <t>536 S 28TH ST</t>
  </si>
  <si>
    <t>2822 SIDNEY ST</t>
  </si>
  <si>
    <t>2812 TUNNEL BLVD</t>
  </si>
  <si>
    <t xml:space="preserve">FAGLEY MIRANDA RENEE </t>
  </si>
  <si>
    <t>2829 LARKINS WAY</t>
  </si>
  <si>
    <t xml:space="preserve">WIECZORKOWSKI ANTHONY </t>
  </si>
  <si>
    <t>2823 LARKINS WAY</t>
  </si>
  <si>
    <t>SEMINARY AVE</t>
  </si>
  <si>
    <t xml:space="preserve">BALDWIN DAVID COLIN </t>
  </si>
  <si>
    <t>2830 SARAH ST</t>
  </si>
  <si>
    <t xml:space="preserve">CONNECTION TWG LLC </t>
  </si>
  <si>
    <t>2984 SIDNEY ST</t>
  </si>
  <si>
    <t>N PENNSYLVANIA ST STE 100</t>
  </si>
  <si>
    <t>INDIANAPOLIS</t>
  </si>
  <si>
    <t xml:space="preserve">RENEGAR ALICE </t>
  </si>
  <si>
    <t>RENEGAR ALICE</t>
  </si>
  <si>
    <t>3015 JOSEPHINE ST</t>
  </si>
  <si>
    <t>3020 MARY ST</t>
  </si>
  <si>
    <t>0 MARY ST</t>
  </si>
  <si>
    <t xml:space="preserve">DWYER CHARLES D III </t>
  </si>
  <si>
    <t>3024 MARY ST</t>
  </si>
  <si>
    <t>DWYER CHARLES D &amp; APRIL E (W)</t>
  </si>
  <si>
    <t xml:space="preserve">ROGOWSKI BRIAN M </t>
  </si>
  <si>
    <t>3121 MARY ST</t>
  </si>
  <si>
    <t>GRIVALSKY FRANCIS  &amp; GERTRUDE (W)</t>
  </si>
  <si>
    <t>0 HARCUM WAY</t>
  </si>
  <si>
    <t xml:space="preserve">POTANKO BARBARA </t>
  </si>
  <si>
    <t>3109 MARY ST</t>
  </si>
  <si>
    <t>LEVANDOSKI DONALD G &amp; PAULA L (W)</t>
  </si>
  <si>
    <t>3103 MARY ST</t>
  </si>
  <si>
    <t xml:space="preserve">HMEL MICHAEL A </t>
  </si>
  <si>
    <t>3100 HARCUM WAY</t>
  </si>
  <si>
    <t>HARCUM WAY</t>
  </si>
  <si>
    <t xml:space="preserve">PITTSBURGH TECHNICAL LLC </t>
  </si>
  <si>
    <t>3020 HARCUM WAY</t>
  </si>
  <si>
    <t xml:space="preserve">PITTSBURGH TECHNICAL </t>
  </si>
  <si>
    <t xml:space="preserve">FINNIGAN JOHN E </t>
  </si>
  <si>
    <t>3018 HARCUM WAY</t>
  </si>
  <si>
    <t xml:space="preserve">MOSLEY WILLIAM </t>
  </si>
  <si>
    <t>3111 HARCUM WAY</t>
  </si>
  <si>
    <t xml:space="preserve">AUSSPRING PAUL P </t>
  </si>
  <si>
    <t>3118 JANE ST</t>
  </si>
  <si>
    <t xml:space="preserve">DIXON DOROTHY </t>
  </si>
  <si>
    <t xml:space="preserve">BARR GREGORY K </t>
  </si>
  <si>
    <t>3141 JOSEPHINE ST</t>
  </si>
  <si>
    <t xml:space="preserve">KONESKY JAMES JR </t>
  </si>
  <si>
    <t>3203 JOSEPHINE ST</t>
  </si>
  <si>
    <t>TATKA JOHN V ETAL</t>
  </si>
  <si>
    <t>3223 JOSEPHINE ST</t>
  </si>
  <si>
    <t>E 18TH AVE</t>
  </si>
  <si>
    <t xml:space="preserve">PERERIA CLAUDIO </t>
  </si>
  <si>
    <t>3243 JOSEPHINE ST</t>
  </si>
  <si>
    <t xml:space="preserve">MIACZYNSKI SUSAN MARIE </t>
  </si>
  <si>
    <t>210 HANDLER ST</t>
  </si>
  <si>
    <t>MIACZYNSKI SUSAN MARI</t>
  </si>
  <si>
    <t>EDGEWATER DR</t>
  </si>
  <si>
    <t>VERMILION</t>
  </si>
  <si>
    <t xml:space="preserve">PALOWITCH WILLIAM J </t>
  </si>
  <si>
    <t>3257 JOSEPHINE ST</t>
  </si>
  <si>
    <t>SEBRING AVE</t>
  </si>
  <si>
    <t xml:space="preserve">PAYER VERONICA </t>
  </si>
  <si>
    <t>PO BOX 4265</t>
  </si>
  <si>
    <t xml:space="preserve">DENNIS AARON L </t>
  </si>
  <si>
    <t xml:space="preserve">RUDOLF CLARA </t>
  </si>
  <si>
    <t>0 SYRIAN ST</t>
  </si>
  <si>
    <t>SYRIAN ST</t>
  </si>
  <si>
    <t>0 CITY LINE</t>
  </si>
  <si>
    <t xml:space="preserve">DAVIDSON LILLIE MAY </t>
  </si>
  <si>
    <t>NOBLES LN</t>
  </si>
  <si>
    <t>MIKLOS STEPHEN J &amp; CHARLOTTE V</t>
  </si>
  <si>
    <t>0 BASSLER ST</t>
  </si>
  <si>
    <t>E 88TH ST</t>
  </si>
  <si>
    <t>TULSA</t>
  </si>
  <si>
    <t xml:space="preserve">WILLIAMS BRADY </t>
  </si>
  <si>
    <t>329 BASSLER ST</t>
  </si>
  <si>
    <t>BASSLER ST</t>
  </si>
  <si>
    <t>NORKUS DIANNA &amp; MICHAEL RAY (H)</t>
  </si>
  <si>
    <t>335 BASSLER ST</t>
  </si>
  <si>
    <t xml:space="preserve">WILLIAMS MARSHALL </t>
  </si>
  <si>
    <t>328 FELMETH ST</t>
  </si>
  <si>
    <t>LAMAR WILLIAMS</t>
  </si>
  <si>
    <t>HAZLETT RD</t>
  </si>
  <si>
    <t xml:space="preserve">WALLS KEILAN </t>
  </si>
  <si>
    <t>316 FELMETH ST</t>
  </si>
  <si>
    <t>FELMETH ST</t>
  </si>
  <si>
    <t>0 FELMETH ST</t>
  </si>
  <si>
    <t xml:space="preserve">OWENS JORDAN A </t>
  </si>
  <si>
    <t>312 FELMETH ST</t>
  </si>
  <si>
    <t xml:space="preserve">LASAGNA ROBERT                                  </t>
  </si>
  <si>
    <t>308 FELMETH ST</t>
  </si>
  <si>
    <t>LASAGNA ROBERT</t>
  </si>
  <si>
    <t>300 FELMETH ST</t>
  </si>
  <si>
    <t xml:space="preserve">BOWYER SYLMONTE E </t>
  </si>
  <si>
    <t xml:space="preserve">OWENS CALDON F JR </t>
  </si>
  <si>
    <t xml:space="preserve">JOHNSON GEORGE W </t>
  </si>
  <si>
    <t>325 FELMETH ST</t>
  </si>
  <si>
    <t>JOHNSON GEORGE W</t>
  </si>
  <si>
    <t xml:space="preserve">SHOUP CATHERINE C </t>
  </si>
  <si>
    <t>0 CASTEL ST</t>
  </si>
  <si>
    <t>CASTEL ST</t>
  </si>
  <si>
    <t xml:space="preserve">SULLIVAN THOMAS P </t>
  </si>
  <si>
    <t>CASTLE AVE</t>
  </si>
  <si>
    <t xml:space="preserve">MULDROW ANDREW  &amp; GUSSIE </t>
  </si>
  <si>
    <t>0 ZARUBA ST</t>
  </si>
  <si>
    <t>ZARUBA ST</t>
  </si>
  <si>
    <t xml:space="preserve">MCSHANE RUTH </t>
  </si>
  <si>
    <t>0 MEHR WAY</t>
  </si>
  <si>
    <t xml:space="preserve">FISHER BRIAN P </t>
  </si>
  <si>
    <t>349 BASSLER ST</t>
  </si>
  <si>
    <t>340 FELMETH ST</t>
  </si>
  <si>
    <t>GRAU HOWARD C JR &amp; MARILYN D (W)</t>
  </si>
  <si>
    <t>987 PARKWOOD RD</t>
  </si>
  <si>
    <t>WALLACE AVE</t>
  </si>
  <si>
    <t xml:space="preserve">KALINOWSKI KARY A </t>
  </si>
  <si>
    <t>742 BAJO ST</t>
  </si>
  <si>
    <t>BAJO ST</t>
  </si>
  <si>
    <t>REPAIRER OF THE BREACH  MINISTRIES</t>
  </si>
  <si>
    <t>754 BAJO ST</t>
  </si>
  <si>
    <t>REPAIRER OF THE BREAC</t>
  </si>
  <si>
    <t xml:space="preserve">GROLL JOHN A JR </t>
  </si>
  <si>
    <t>1201 BECKS RUN RD</t>
  </si>
  <si>
    <t>BECKS RUN RD</t>
  </si>
  <si>
    <t xml:space="preserve">MRQ PROPERTIES INC </t>
  </si>
  <si>
    <t>0 BAJO ST</t>
  </si>
  <si>
    <t>KEYSTONE DR</t>
  </si>
  <si>
    <t>HARMON RUTH NOVAK ETAL</t>
  </si>
  <si>
    <t>977 BECKS RUN RD</t>
  </si>
  <si>
    <t xml:space="preserve">GUEST SANDRA </t>
  </si>
  <si>
    <t>973 BECKS RUN RD</t>
  </si>
  <si>
    <t xml:space="preserve">MULLINS WILLIAM </t>
  </si>
  <si>
    <t>1002 BECKS RUN RD</t>
  </si>
  <si>
    <t>STEWART RD LOT 47</t>
  </si>
  <si>
    <t>MELBOURNE</t>
  </si>
  <si>
    <t xml:space="preserve">KBM MANAGEMENT LLC </t>
  </si>
  <si>
    <t>1000 BECKS RUN RD</t>
  </si>
  <si>
    <t>BECKS RUN RDG</t>
  </si>
  <si>
    <t>0 BECKS RUN RD</t>
  </si>
  <si>
    <t xml:space="preserve">CSIKARI MARGARET </t>
  </si>
  <si>
    <t>0 SAINT JOSEPH ST</t>
  </si>
  <si>
    <t>ST JOSEPH ST</t>
  </si>
  <si>
    <t>COPELAND ROOSEVELT F &amp; NANCY O (W)</t>
  </si>
  <si>
    <t>431 SAINT JOSEPH ST</t>
  </si>
  <si>
    <t xml:space="preserve">RUST JEANNINE </t>
  </si>
  <si>
    <t>454 SAINT JOSEPH ST</t>
  </si>
  <si>
    <t>SAINT JOSEPH ST</t>
  </si>
  <si>
    <t xml:space="preserve">BURRELL BRADLEY T </t>
  </si>
  <si>
    <t>442 SAINT JOSEPH ST</t>
  </si>
  <si>
    <t xml:space="preserve">RUFFING JAMES M </t>
  </si>
  <si>
    <t>440 SAINT JOSEPH ST</t>
  </si>
  <si>
    <t xml:space="preserve">SABLE ELLEN K </t>
  </si>
  <si>
    <t>ORMSBY AVE</t>
  </si>
  <si>
    <t>401 ORMSBY AVE</t>
  </si>
  <si>
    <t xml:space="preserve">GAINES PAUL L </t>
  </si>
  <si>
    <t>407 ORMSBY AVE</t>
  </si>
  <si>
    <t xml:space="preserve">SCHLAGEL JANE M </t>
  </si>
  <si>
    <t>409 ORMSBY AVE</t>
  </si>
  <si>
    <t xml:space="preserve">DAWSON TRINA </t>
  </si>
  <si>
    <t>441 ORMSBY AVE</t>
  </si>
  <si>
    <t xml:space="preserve">FILIPIAK JOHN P &amp; EDNA P </t>
  </si>
  <si>
    <t>447 ORMSBY AVE</t>
  </si>
  <si>
    <t xml:space="preserve">WTF JOINT VENTURE </t>
  </si>
  <si>
    <t>0 ORMSBY AVE</t>
  </si>
  <si>
    <t>BROADWAY AVE</t>
  </si>
  <si>
    <t>2022 HOLDINGS  INCORPORATED</t>
  </si>
  <si>
    <t>511 ORMSBY AVE</t>
  </si>
  <si>
    <t>2022 HOLDINGS INCORPO</t>
  </si>
  <si>
    <t xml:space="preserve">JAQUAY NORMAN </t>
  </si>
  <si>
    <t>504 ORMSBY AVE</t>
  </si>
  <si>
    <t>DELACOUR KEVIN &amp; KRISTEN (W)</t>
  </si>
  <si>
    <t>438 ORMSBY AVE</t>
  </si>
  <si>
    <t>RAILROAD ST APT 1302</t>
  </si>
  <si>
    <t>402 ORMSBY AVE</t>
  </si>
  <si>
    <t>DELACOUR KEVIN &amp; KRIS</t>
  </si>
  <si>
    <t xml:space="preserve">FROMM WILLIAM (EST)                             </t>
  </si>
  <si>
    <t>0 OTTILLIA ST</t>
  </si>
  <si>
    <t>FROMM WILLIAM</t>
  </si>
  <si>
    <t>OTILLIA ST</t>
  </si>
  <si>
    <t>AFK PROPERTY MANAGEMENT  LLC</t>
  </si>
  <si>
    <t>506 CATHEDRAL AVE</t>
  </si>
  <si>
    <t>AFK PROPERTY MANAGEME</t>
  </si>
  <si>
    <t>PINOAK DR</t>
  </si>
  <si>
    <t>MARCHICK DAVID J &amp; ROBERTA L (W)</t>
  </si>
  <si>
    <t>416 CATHEDRAL AVE</t>
  </si>
  <si>
    <t xml:space="preserve">COLEMAN DAVID C </t>
  </si>
  <si>
    <t>414 CATHEDRAL AVE</t>
  </si>
  <si>
    <t>CATHEDRAL AVE</t>
  </si>
  <si>
    <t>WATSON STEVEN L &amp; SHARON L (W)</t>
  </si>
  <si>
    <t>503 FISHER ST</t>
  </si>
  <si>
    <t>FISHER ST</t>
  </si>
  <si>
    <t>429 FISHER ST</t>
  </si>
  <si>
    <t xml:space="preserve">WELTY DENISE M                                  </t>
  </si>
  <si>
    <t>423 FISHER ST</t>
  </si>
  <si>
    <t xml:space="preserve">PRO JASON T </t>
  </si>
  <si>
    <t>522 PARKWOOD RD</t>
  </si>
  <si>
    <t>JASON T PRO</t>
  </si>
  <si>
    <t>TRANSVERSE AVE</t>
  </si>
  <si>
    <t xml:space="preserve">SECILIA GERARD </t>
  </si>
  <si>
    <t>PLUTNICKI STANLEY J &amp; MARGARET L PLUTNIC KI</t>
  </si>
  <si>
    <t>PLUTNICKI STANLEY J &amp; MARGARET L</t>
  </si>
  <si>
    <t xml:space="preserve">PLUTNICKI STANLEY J </t>
  </si>
  <si>
    <t>MARSHALL JAMES MICHAEL &amp; SUSAN J (W)</t>
  </si>
  <si>
    <t>332 MOUNTAIN AVE</t>
  </si>
  <si>
    <t>334 MOUNTAIN AVE</t>
  </si>
  <si>
    <t>OXFORD ST</t>
  </si>
  <si>
    <t xml:space="preserve">HARVEY JAMES W </t>
  </si>
  <si>
    <t xml:space="preserve">ZACK DENNIS L &amp; REGINA L </t>
  </si>
  <si>
    <t>0 BURR ST</t>
  </si>
  <si>
    <t xml:space="preserve">COUNTZ WAYNE </t>
  </si>
  <si>
    <t>112 BURR ST</t>
  </si>
  <si>
    <t>300 BURR ST</t>
  </si>
  <si>
    <t xml:space="preserve">GIPE KEITH P </t>
  </si>
  <si>
    <t>ANTHONY ST</t>
  </si>
  <si>
    <t xml:space="preserve">NEAL DESIREE </t>
  </si>
  <si>
    <t>115 BURR ST</t>
  </si>
  <si>
    <t>NEAL DESIREE</t>
  </si>
  <si>
    <t>BURR ST</t>
  </si>
  <si>
    <t xml:space="preserve">MCGOVERN ELIZABETH </t>
  </si>
  <si>
    <t>FREDERICKS ST</t>
  </si>
  <si>
    <t xml:space="preserve">GREENE KENNETH </t>
  </si>
  <si>
    <t>CRAWFORD ST</t>
  </si>
  <si>
    <t xml:space="preserve">BEY FIRDAUSI </t>
  </si>
  <si>
    <t>MAPLES RD</t>
  </si>
  <si>
    <t>LINESVILLE</t>
  </si>
  <si>
    <t>ZEPPIERI RONALD  &amp; AMEE C (W)</t>
  </si>
  <si>
    <t>ZEPPIERI  RONALD</t>
  </si>
  <si>
    <t>MIDDLE ST FL 1</t>
  </si>
  <si>
    <t xml:space="preserve">BACON EDDILENNE M </t>
  </si>
  <si>
    <t>0 FISHER ST</t>
  </si>
  <si>
    <t xml:space="preserve">GUINARD SCOTT </t>
  </si>
  <si>
    <t>FAIRWAY TOWNHOUSE LN APT 11</t>
  </si>
  <si>
    <t>HOLLIDAYSBURG</t>
  </si>
  <si>
    <t xml:space="preserve">MORAN ROBERT ALFONSO </t>
  </si>
  <si>
    <t xml:space="preserve">MCGOUGH JAMES </t>
  </si>
  <si>
    <t>423 MOUNTAIN AVE</t>
  </si>
  <si>
    <t xml:space="preserve">REESE MARCIA                                    </t>
  </si>
  <si>
    <t>MOUNTAIN AVE</t>
  </si>
  <si>
    <t xml:space="preserve">REESE ALPHONSO O                                </t>
  </si>
  <si>
    <t>801 FISHER ST</t>
  </si>
  <si>
    <t xml:space="preserve">SPANO DARLENE </t>
  </si>
  <si>
    <t>KNOEDLER RD APT 408</t>
  </si>
  <si>
    <t xml:space="preserve">HARR SCOTT </t>
  </si>
  <si>
    <t>329 CLOVER ST</t>
  </si>
  <si>
    <t xml:space="preserve">GARGETT MICHAEL </t>
  </si>
  <si>
    <t>914 PARKWOOD RD</t>
  </si>
  <si>
    <t>RENNER DANIEL R &amp; ANITA R BOEHM RENNER ( W</t>
  </si>
  <si>
    <t>832 PARKWOOD RD</t>
  </si>
  <si>
    <t>RENNER DANIEL R &amp; ANI</t>
  </si>
  <si>
    <t>LEWIS JOHN PARKER &amp; JEAN J</t>
  </si>
  <si>
    <t>824 PARKWOOD RD</t>
  </si>
  <si>
    <t xml:space="preserve">SOUTHSIDE PROPERTIES LLC </t>
  </si>
  <si>
    <t>330 DENGLER ST</t>
  </si>
  <si>
    <t xml:space="preserve">SOUTHSIDE PROPERTIES </t>
  </si>
  <si>
    <t>MILLBRIDGE ST</t>
  </si>
  <si>
    <t>EISEL FRANK S &amp; ELIZABETH H</t>
  </si>
  <si>
    <t>0 EADS ST</t>
  </si>
  <si>
    <t>EADS ST</t>
  </si>
  <si>
    <t xml:space="preserve">EISEL DONALD J &amp; JOSEPHINE H (W)         </t>
  </si>
  <si>
    <t>EISEL DONALD J &amp; JOSE</t>
  </si>
  <si>
    <t>PARKWOOD RD REAR</t>
  </si>
  <si>
    <t>EISEL RICHARD J &amp; DEBERA A (W)</t>
  </si>
  <si>
    <t>917 PARKWOOD RD</t>
  </si>
  <si>
    <t>EISEL RICHARD J &amp; DEB</t>
  </si>
  <si>
    <t xml:space="preserve">LADNER EDWARD P JR </t>
  </si>
  <si>
    <t>WILLET RD</t>
  </si>
  <si>
    <t>FORD GLENN E SR &amp; DENISE (W)</t>
  </si>
  <si>
    <t>421 FISHER ST</t>
  </si>
  <si>
    <t xml:space="preserve">JOHNSON ALONZO </t>
  </si>
  <si>
    <t>514 GORGAS ST</t>
  </si>
  <si>
    <t>SCHAFFOLD CHARLES JUDE  III</t>
  </si>
  <si>
    <t>437 WALDE ST</t>
  </si>
  <si>
    <t>SCHAFFOLD CHARLES JUD</t>
  </si>
  <si>
    <t>PYRAMID AVE</t>
  </si>
  <si>
    <t xml:space="preserve">CARRINGTON LINDA S                              </t>
  </si>
  <si>
    <t>0 WALDE ST</t>
  </si>
  <si>
    <t>WALDE ST</t>
  </si>
  <si>
    <t>509 WALDE ST</t>
  </si>
  <si>
    <t xml:space="preserve">HOSPODAR SEAN </t>
  </si>
  <si>
    <t>HOSPODAR SEAN</t>
  </si>
  <si>
    <t>500 WALDE ST</t>
  </si>
  <si>
    <t xml:space="preserve">STELLA CATHERINE </t>
  </si>
  <si>
    <t>412 WALDE ST</t>
  </si>
  <si>
    <t xml:space="preserve">SIMMONS JERRY J </t>
  </si>
  <si>
    <t>403 MCMANUS ST</t>
  </si>
  <si>
    <t>MCMANUS ST</t>
  </si>
  <si>
    <t xml:space="preserve">GARCIA JULIO CESAR  ALVARADO                </t>
  </si>
  <si>
    <t>415 MCMANUS ST</t>
  </si>
  <si>
    <t>GARCIA JULIO CESAR AL</t>
  </si>
  <si>
    <t>METHYL ST</t>
  </si>
  <si>
    <t>MOHR VINCENT A &amp; GRACE L (W)</t>
  </si>
  <si>
    <t>0 MCMANUS ST</t>
  </si>
  <si>
    <t xml:space="preserve">KENNEDY MELISA </t>
  </si>
  <si>
    <t>614 RECTENWALD ST</t>
  </si>
  <si>
    <t>KENNEDY MELISA</t>
  </si>
  <si>
    <t>RECTENWALD ST</t>
  </si>
  <si>
    <t>PIELIN BETH ANN &amp; JEROME H JR (H)</t>
  </si>
  <si>
    <t>610 RECTENWALD ST</t>
  </si>
  <si>
    <t>PIELIN BETH ANN &amp; JER</t>
  </si>
  <si>
    <t xml:space="preserve">HOMESALES INC </t>
  </si>
  <si>
    <t>0 RECTENWALD ST</t>
  </si>
  <si>
    <t xml:space="preserve">NICO HOMES INC </t>
  </si>
  <si>
    <t>430 MCMANUS ST</t>
  </si>
  <si>
    <t>OAKRIDGE DR</t>
  </si>
  <si>
    <t>BAUMGART ROBERT G JR &amp; DARLENE L (W)</t>
  </si>
  <si>
    <t>522 FISHER ST</t>
  </si>
  <si>
    <t xml:space="preserve">BAUMGART ROBERT G JR </t>
  </si>
  <si>
    <t xml:space="preserve">WENTZEL JOSEPH J </t>
  </si>
  <si>
    <t xml:space="preserve">NICOLETTI BENITO </t>
  </si>
  <si>
    <t xml:space="preserve">KELLY KEVIN M </t>
  </si>
  <si>
    <t>516 MOUNTAIN AVE</t>
  </si>
  <si>
    <t xml:space="preserve">DAVIS BEVRA </t>
  </si>
  <si>
    <t>CHARTIERS AVE APT 410</t>
  </si>
  <si>
    <t>ZEMANN KATHRYN RUTH &amp; JOSEPH W (H)</t>
  </si>
  <si>
    <t xml:space="preserve">A J DEVELOPMENTS LLC </t>
  </si>
  <si>
    <t>820 SCHULER ST</t>
  </si>
  <si>
    <t>P.O. BOX 2454</t>
  </si>
  <si>
    <t>PASTORIUS JOSEPH S &amp; MARIE A</t>
  </si>
  <si>
    <t xml:space="preserve">ELDER VIRGINIA M </t>
  </si>
  <si>
    <t>710 FISHER ST</t>
  </si>
  <si>
    <t xml:space="preserve">L4 HOLDINGS LIMITED </t>
  </si>
  <si>
    <t>718 FISHER ST</t>
  </si>
  <si>
    <t xml:space="preserve">KENNEDY MARCUS &amp;                         </t>
  </si>
  <si>
    <t>719 PLINY WAY</t>
  </si>
  <si>
    <t>KENNEDY MARCUS &amp; BROW</t>
  </si>
  <si>
    <t>KIRKPATRICK AVE</t>
  </si>
  <si>
    <t>GREEN LILA H &amp; REESE MONICA A</t>
  </si>
  <si>
    <t>726 FISHER ST</t>
  </si>
  <si>
    <t>HOPE AMELIA A ETAL</t>
  </si>
  <si>
    <t>0 PLINY WAY</t>
  </si>
  <si>
    <t xml:space="preserve">KRUT BETH A </t>
  </si>
  <si>
    <t>516 ENGSTLER ST</t>
  </si>
  <si>
    <t>ENGSTLER ST</t>
  </si>
  <si>
    <t xml:space="preserve">LONG VALERIE C </t>
  </si>
  <si>
    <t>0 ENGSTLER ST</t>
  </si>
  <si>
    <t>MILLER AVE APT 4</t>
  </si>
  <si>
    <t xml:space="preserve">ARRINGTON BURNADINE D </t>
  </si>
  <si>
    <t>527 ENGSTLER ST</t>
  </si>
  <si>
    <t>ALFORD BENCHMARK &amp; COMPANY INC</t>
  </si>
  <si>
    <t>ALFORD BENCHMARK &amp; CO</t>
  </si>
  <si>
    <t>WRONDEL WAY</t>
  </si>
  <si>
    <t>RENO</t>
  </si>
  <si>
    <t xml:space="preserve">LINCOLN ALAN </t>
  </si>
  <si>
    <t>RIVER AVE STE 237</t>
  </si>
  <si>
    <t xml:space="preserve">BELL KAYLA                                      </t>
  </si>
  <si>
    <t>800 FISHER ST</t>
  </si>
  <si>
    <t>LIGHTHOUSE CHURCH OF  PITTSBURGH</t>
  </si>
  <si>
    <t>818 FISHER ST</t>
  </si>
  <si>
    <t>LIGHTHOUSE CHURCH OF PITTSBURGH</t>
  </si>
  <si>
    <t>810 FISHER ST</t>
  </si>
  <si>
    <t>P O BOX 59058</t>
  </si>
  <si>
    <t xml:space="preserve">T-MOBILE </t>
  </si>
  <si>
    <t>240 BONIFAY ST</t>
  </si>
  <si>
    <t>WASHINGTON RD FL 9</t>
  </si>
  <si>
    <t>515 KOHNE ST</t>
  </si>
  <si>
    <t>974 PARKWOOD RD</t>
  </si>
  <si>
    <t xml:space="preserve">WALLACE HOPE L                                  </t>
  </si>
  <si>
    <t>WALLACE HOPE L</t>
  </si>
  <si>
    <t>KASPEROWSKI ANTHONY JR &amp; LUCY</t>
  </si>
  <si>
    <t>626 RECTENWALD ST</t>
  </si>
  <si>
    <t>MAUND EDWARD J II &amp; MARY (W)</t>
  </si>
  <si>
    <t>MAUND EDWARD J II &amp; M</t>
  </si>
  <si>
    <t xml:space="preserve">WALLS MARY E </t>
  </si>
  <si>
    <t xml:space="preserve">SIMS SARAH </t>
  </si>
  <si>
    <t xml:space="preserve">SHORES CATHERINE </t>
  </si>
  <si>
    <t xml:space="preserve">DONNELLY WILLIAM  M </t>
  </si>
  <si>
    <t>640 1/2 BECKS RUN RD</t>
  </si>
  <si>
    <t xml:space="preserve">DONNELLY WILLIAM III </t>
  </si>
  <si>
    <t>640 BECKS RUN RD</t>
  </si>
  <si>
    <t xml:space="preserve">WHITE LORRAINE C </t>
  </si>
  <si>
    <t xml:space="preserve">LANCIA JASON </t>
  </si>
  <si>
    <t>622 BECKS RUN RD</t>
  </si>
  <si>
    <t>PO BOX 18056</t>
  </si>
  <si>
    <t>624 BECKS RUN RD</t>
  </si>
  <si>
    <t xml:space="preserve">MCCAULEY MARION M </t>
  </si>
  <si>
    <t>632 BECKS RUN RD</t>
  </si>
  <si>
    <t>CARRICK AVE</t>
  </si>
  <si>
    <t xml:space="preserve">MACK RAINNEY C </t>
  </si>
  <si>
    <t>634 BECKS RUN RD</t>
  </si>
  <si>
    <t>JAMES AND SANDRA GODF</t>
  </si>
  <si>
    <t>HIGH ST</t>
  </si>
  <si>
    <t xml:space="preserve">C S X TRANSPORTATION INC </t>
  </si>
  <si>
    <t>431 E CARSON ST</t>
  </si>
  <si>
    <t xml:space="preserve">ANDERSON MARK </t>
  </si>
  <si>
    <t>407 E CARSON ST</t>
  </si>
  <si>
    <t>0 CABOT WAY</t>
  </si>
  <si>
    <t xml:space="preserve">MILLER BRENDA L </t>
  </si>
  <si>
    <t>622 CABOT WAY</t>
  </si>
  <si>
    <t xml:space="preserve">SNYDER HELEN A </t>
  </si>
  <si>
    <t>618 CABOT WAY</t>
  </si>
  <si>
    <t>CABOT WAY</t>
  </si>
  <si>
    <t xml:space="preserve">MIXON JOSEPH </t>
  </si>
  <si>
    <t>539 E CARSON ST</t>
  </si>
  <si>
    <t xml:space="preserve">MIXON JOSEPH P </t>
  </si>
  <si>
    <t>535 E CARSON ST</t>
  </si>
  <si>
    <t xml:space="preserve">QUANTROCK LLC </t>
  </si>
  <si>
    <t>514 CABOT WAY</t>
  </si>
  <si>
    <t>CENTRE AVE APT 654</t>
  </si>
  <si>
    <t xml:space="preserve">MCGUIRK PROPERTIES LLC </t>
  </si>
  <si>
    <t>439 E CARSON ST</t>
  </si>
  <si>
    <t>MCGUIRK PROPERTIES LL</t>
  </si>
  <si>
    <t xml:space="preserve">STOOPKIDS LLC </t>
  </si>
  <si>
    <t>428 BINGHAM ST</t>
  </si>
  <si>
    <t>STOOPKIDS LLC</t>
  </si>
  <si>
    <t xml:space="preserve">MITCHELL DAVID D </t>
  </si>
  <si>
    <t>510 BINGHAM ST</t>
  </si>
  <si>
    <t xml:space="preserve">MONKS DENNIS C </t>
  </si>
  <si>
    <t>513 CABOT WAY</t>
  </si>
  <si>
    <t xml:space="preserve">AABOUD FADI M                                   </t>
  </si>
  <si>
    <t>52 S 10TH ST</t>
  </si>
  <si>
    <t>BERKSHIRE AVE</t>
  </si>
  <si>
    <t xml:space="preserve">ABOUD NAJIB &amp; NASRA (W) </t>
  </si>
  <si>
    <t>1001 E CARSON ST</t>
  </si>
  <si>
    <t>DOURID ABOUD</t>
  </si>
  <si>
    <t>SPRING MEADOW DR</t>
  </si>
  <si>
    <t xml:space="preserve">KULICK STEPHAN </t>
  </si>
  <si>
    <t>1020 BINGHAM ST</t>
  </si>
  <si>
    <t>1021 E CARSON ST</t>
  </si>
  <si>
    <t xml:space="preserve">EZZAT ANDREW </t>
  </si>
  <si>
    <t>1105 E CARSON ST</t>
  </si>
  <si>
    <t xml:space="preserve">CHAJKOWSKI THOMAS </t>
  </si>
  <si>
    <t>0 BINGHAM ST</t>
  </si>
  <si>
    <t xml:space="preserve">HOUSE ADJACENT LLC </t>
  </si>
  <si>
    <t>1111 BINGHAM ST</t>
  </si>
  <si>
    <t>MERANTE ANTONIO  SALVATORE</t>
  </si>
  <si>
    <t>1102 MURIEL ST</t>
  </si>
  <si>
    <t>MERANTE PROPERTIES LL</t>
  </si>
  <si>
    <t>STREETS RUN RD</t>
  </si>
  <si>
    <t xml:space="preserve">9TH AND BINGHAM LLC </t>
  </si>
  <si>
    <t>905 BINGHAM ST</t>
  </si>
  <si>
    <t>9TH AND BINGHAM LLC</t>
  </si>
  <si>
    <t>MERRIMAN WAY</t>
  </si>
  <si>
    <t>815 BINGHAM ST</t>
  </si>
  <si>
    <t xml:space="preserve">CYRIL ESSER LIVING  TRUST                   </t>
  </si>
  <si>
    <t>1122 E CARSON ST</t>
  </si>
  <si>
    <t>CYRIL ESSER LIVING TR</t>
  </si>
  <si>
    <t>MADISON BLVD</t>
  </si>
  <si>
    <t>FREEDOM</t>
  </si>
  <si>
    <t xml:space="preserve">1210 EAST CARSON LLC </t>
  </si>
  <si>
    <t>1210 E CARSON ST</t>
  </si>
  <si>
    <t xml:space="preserve">DUPREE RENEE A                                  </t>
  </si>
  <si>
    <t>1304 E CARSON ST</t>
  </si>
  <si>
    <t xml:space="preserve">WASIECKO JOSEPH </t>
  </si>
  <si>
    <t>1306 E CARSON ST</t>
  </si>
  <si>
    <t xml:space="preserve">1410 EAST CARSON LLC </t>
  </si>
  <si>
    <t>1410 E CARSON ST</t>
  </si>
  <si>
    <t>1410 EAST CARSON LLC</t>
  </si>
  <si>
    <t xml:space="preserve">TALBOT MAXIME </t>
  </si>
  <si>
    <t>81 S 16TH ST</t>
  </si>
  <si>
    <t xml:space="preserve">MJT REAL ESTATE LLC </t>
  </si>
  <si>
    <t>1207 E CARSON ST</t>
  </si>
  <si>
    <t>PO BOX 4276</t>
  </si>
  <si>
    <t xml:space="preserve">GORGA DOMENIC A JR </t>
  </si>
  <si>
    <t>54 S 13TH ST</t>
  </si>
  <si>
    <t>GORGA DOMENIC A JR</t>
  </si>
  <si>
    <t>UXOR WAY</t>
  </si>
  <si>
    <t>CUSTER CHARLES C &amp; MARY M</t>
  </si>
  <si>
    <t>1212 BINGHAM ST</t>
  </si>
  <si>
    <t>OPUS ONE REAL ESTATE  HOLDINGS</t>
  </si>
  <si>
    <t>56 S 12TH ST</t>
  </si>
  <si>
    <t>PENN AVE STE 1</t>
  </si>
  <si>
    <t>1216-1218 MURIEL STREET  ASSOCIATES LLC</t>
  </si>
  <si>
    <t>1216 MURIEL ST</t>
  </si>
  <si>
    <t>1216-1218 MURIEL STRE</t>
  </si>
  <si>
    <t>MURIEL ST</t>
  </si>
  <si>
    <t>TAYLOR RITA WALSH &amp; HOWARD M (H)</t>
  </si>
  <si>
    <t>1226 MURIEL ST</t>
  </si>
  <si>
    <t>CITY THEATRE COMPANY  INC (THE)</t>
  </si>
  <si>
    <t>0 MURIEL ST</t>
  </si>
  <si>
    <t>1313 MURIEL ST</t>
  </si>
  <si>
    <t>THREE SOUTH 14TH STREET  LLC</t>
  </si>
  <si>
    <t>3 S 14TH ST</t>
  </si>
  <si>
    <t>S 14TH ST</t>
  </si>
  <si>
    <t>THOMAS JOSEPH JR &amp; FLORIA (W)</t>
  </si>
  <si>
    <t>5 S 14TH ST</t>
  </si>
  <si>
    <t>WECHTER DAVID J &amp; HEATHER L (W)</t>
  </si>
  <si>
    <t>9 S 14TH ST</t>
  </si>
  <si>
    <t>WECHTER DAVID J &amp; HEA</t>
  </si>
  <si>
    <t xml:space="preserve">MOROSCO GERALD L                                </t>
  </si>
  <si>
    <t>49 S 15TH ST</t>
  </si>
  <si>
    <t xml:space="preserve">WANAT WILLIAM </t>
  </si>
  <si>
    <t>41 S 15TH ST</t>
  </si>
  <si>
    <t xml:space="preserve">STECK LIZZIE M </t>
  </si>
  <si>
    <t>0 GORMAN WAY</t>
  </si>
  <si>
    <t xml:space="preserve">IHINSEN CHRISTIAN </t>
  </si>
  <si>
    <t>0 S 13TH ST</t>
  </si>
  <si>
    <t>EXTRA SPACE OF CARSON  PITTSBURGH LLC</t>
  </si>
  <si>
    <t>134 S 7TH ST</t>
  </si>
  <si>
    <t>EXTRA SPACE OF CARSON</t>
  </si>
  <si>
    <t>S 2300 E BOX 71870</t>
  </si>
  <si>
    <t>SALT LAKE</t>
  </si>
  <si>
    <t xml:space="preserve">LIBERTY SUSANNA </t>
  </si>
  <si>
    <t>0 NEWTON ST</t>
  </si>
  <si>
    <t>LIBERTY SUSANNA</t>
  </si>
  <si>
    <t>NEWTON ST</t>
  </si>
  <si>
    <t>LIBERTY SUSANNA          ETAL</t>
  </si>
  <si>
    <t>816 NEWTON ST</t>
  </si>
  <si>
    <t>MOORE NATHANIEL LAWTO</t>
  </si>
  <si>
    <t>818 NEWTON ST</t>
  </si>
  <si>
    <t>TUFF CAPITAL  INVESTMENTS LLC</t>
  </si>
  <si>
    <t>820 NEWTON ST</t>
  </si>
  <si>
    <t>TUFF CAPITAL INVESTME</t>
  </si>
  <si>
    <t>RED WILLOW ST</t>
  </si>
  <si>
    <t>SACRAMENTO</t>
  </si>
  <si>
    <t>S LAND PARK DR</t>
  </si>
  <si>
    <t xml:space="preserve">KELLY JACK T                                    </t>
  </si>
  <si>
    <t>828 WINDOM ST</t>
  </si>
  <si>
    <t xml:space="preserve">KRESTIAN JOHN JR </t>
  </si>
  <si>
    <t>840 WINDOM ST</t>
  </si>
  <si>
    <t>WINDOM ST</t>
  </si>
  <si>
    <t xml:space="preserve">LEONE GUY R JR </t>
  </si>
  <si>
    <t>1107 BRADISH ST</t>
  </si>
  <si>
    <t>4TH QUARTER HOLDINGS CO  INC</t>
  </si>
  <si>
    <t>1107 SARAH ST</t>
  </si>
  <si>
    <t xml:space="preserve">4TH QUARTER HOLDINGS </t>
  </si>
  <si>
    <t>LITTLE EAST NECK RD</t>
  </si>
  <si>
    <t>WEST BABYLON</t>
  </si>
  <si>
    <t xml:space="preserve">2524 LLC </t>
  </si>
  <si>
    <t>67 S 11TH ST</t>
  </si>
  <si>
    <t>CORINTHIAN DEVELOPMENT</t>
  </si>
  <si>
    <t>FOX PATH</t>
  </si>
  <si>
    <t>GRANDVIEW INVESTMENTS  LLC</t>
  </si>
  <si>
    <t>86 S 11TH ST</t>
  </si>
  <si>
    <t>RAILROAD ST</t>
  </si>
  <si>
    <t>BLACK &amp; GOLD PROPERTIES LLC</t>
  </si>
  <si>
    <t>1008 SARAH ST</t>
  </si>
  <si>
    <t>BLACK &amp; GOLD PROPERTI</t>
  </si>
  <si>
    <t xml:space="preserve">HILL NICOLA COUDRAY </t>
  </si>
  <si>
    <t>99 S 10TH ST</t>
  </si>
  <si>
    <t>LITCHFIELD ST</t>
  </si>
  <si>
    <t>POWELL WILLIAM &amp; KATHLEEN (W)</t>
  </si>
  <si>
    <t>1000 BRADISH ST</t>
  </si>
  <si>
    <t>S 20TH ST</t>
  </si>
  <si>
    <t xml:space="preserve">ADJR INC </t>
  </si>
  <si>
    <t>0 S 10TH ST</t>
  </si>
  <si>
    <t>HRUTKAY SHAUN M &amp; AMY S (W)</t>
  </si>
  <si>
    <t>106 S 10TH ST</t>
  </si>
  <si>
    <t>HRUTKAY SHAUN M &amp; AMY</t>
  </si>
  <si>
    <t>S 10TH ST</t>
  </si>
  <si>
    <t xml:space="preserve">DILUCCIA ANTHONY S </t>
  </si>
  <si>
    <t>0 S 9TH ST</t>
  </si>
  <si>
    <t xml:space="preserve">BARKUS ROBERT R III </t>
  </si>
  <si>
    <t>0 P J MCARDLE ROADWAY</t>
  </si>
  <si>
    <t>S 9TH ST</t>
  </si>
  <si>
    <t>98 S 9TH ST</t>
  </si>
  <si>
    <t>BROADVIEW CT</t>
  </si>
  <si>
    <t xml:space="preserve">CREWS CONTRACTING LLC </t>
  </si>
  <si>
    <t>808 SELBY WAY</t>
  </si>
  <si>
    <t>806 SELBY WAY</t>
  </si>
  <si>
    <t>NOLAN DANIEL F &amp; KATHY A NOLAN</t>
  </si>
  <si>
    <t>802 P J MCARDLE ROADWAY</t>
  </si>
  <si>
    <t>WITTMER RD</t>
  </si>
  <si>
    <t xml:space="preserve">FLT SOUTH HIGH LLC                              </t>
  </si>
  <si>
    <t>930 E CARSON ST</t>
  </si>
  <si>
    <t>FLT SOUTH HIGH LLC C/</t>
  </si>
  <si>
    <t>STATE HIGHWAY 161 STE 100</t>
  </si>
  <si>
    <t xml:space="preserve">DOWLING SARAH </t>
  </si>
  <si>
    <t>0 PRETENSE WAY</t>
  </si>
  <si>
    <t>FERREE HILL RD</t>
  </si>
  <si>
    <t>YORK</t>
  </si>
  <si>
    <t xml:space="preserve">412 SOUTH SIDE LLC </t>
  </si>
  <si>
    <t>0 BRADISH ST</t>
  </si>
  <si>
    <t>412 SOUTH SIDE LLC</t>
  </si>
  <si>
    <t>HATFIELD ST STE 1</t>
  </si>
  <si>
    <t>113 S 11TH ST</t>
  </si>
  <si>
    <t>111 S 11TH ST</t>
  </si>
  <si>
    <t>KIRK JOHN E III &amp; DIANE L (W)</t>
  </si>
  <si>
    <t>119 S 15TH ST</t>
  </si>
  <si>
    <t>142 S 16TH ST</t>
  </si>
  <si>
    <t xml:space="preserve">RUSSO EDWARD </t>
  </si>
  <si>
    <t>144 S 16TH ST</t>
  </si>
  <si>
    <t>RUSSO EDWARD</t>
  </si>
  <si>
    <t>EAST CARSON ST 105</t>
  </si>
  <si>
    <t xml:space="preserve">HICKEY CHRISTINE </t>
  </si>
  <si>
    <t>120 S 15TH ST UNIT 204</t>
  </si>
  <si>
    <t>SUNSET DR</t>
  </si>
  <si>
    <t>CARLISLE</t>
  </si>
  <si>
    <t xml:space="preserve">REITZ RYAN D </t>
  </si>
  <si>
    <t>120 S 15TH ST UNIT 303</t>
  </si>
  <si>
    <t>S 15TH ST UNIT 303</t>
  </si>
  <si>
    <t>POROPATICH RONALD KURT &amp; CARY (W)</t>
  </si>
  <si>
    <t>89 S 14TH ST</t>
  </si>
  <si>
    <t xml:space="preserve">DOPPALA THRISHA </t>
  </si>
  <si>
    <t>154 S 15TH ST UNIT 210</t>
  </si>
  <si>
    <t xml:space="preserve">HURLBERT CLAUDE M </t>
  </si>
  <si>
    <t>154 S 15TH ST UNIT 212</t>
  </si>
  <si>
    <t xml:space="preserve">JORDAN LINDA </t>
  </si>
  <si>
    <t>154 S 15TH ST UNIT 214</t>
  </si>
  <si>
    <t>JORDAN LINDA</t>
  </si>
  <si>
    <t>S 15TH ST UNIT 214</t>
  </si>
  <si>
    <t xml:space="preserve">MCDONALD MEGAN L                                </t>
  </si>
  <si>
    <t>152 S 15TH ST</t>
  </si>
  <si>
    <t>MEGAN L MCDONALD &amp; LI</t>
  </si>
  <si>
    <t>S 15TH ST UNIT 2</t>
  </si>
  <si>
    <t xml:space="preserve">PRINCE BOLIVAR  ALFREDO  J &amp;                     </t>
  </si>
  <si>
    <t>150 S 15TH ST</t>
  </si>
  <si>
    <t xml:space="preserve">HHF2 LLC </t>
  </si>
  <si>
    <t>148 S 15TH ST</t>
  </si>
  <si>
    <t>PENN AVE APT 601</t>
  </si>
  <si>
    <t>144 S 15TH ST</t>
  </si>
  <si>
    <t xml:space="preserve">VOGELSTEIN ERIC </t>
  </si>
  <si>
    <t>154 S 15TH ST UNIT 216</t>
  </si>
  <si>
    <t>S 15TH ST UNIT 216</t>
  </si>
  <si>
    <t xml:space="preserve">CIOLLARO MATTIA                                 </t>
  </si>
  <si>
    <t>154 S 15TH ST UNIT 202</t>
  </si>
  <si>
    <t>CIOLLARO MATTIA</t>
  </si>
  <si>
    <t>S 15TH ST UNIT 202</t>
  </si>
  <si>
    <t xml:space="preserve">HIEBER JAMES E                                  </t>
  </si>
  <si>
    <t>154 S 15TH ST UNIT 204</t>
  </si>
  <si>
    <t xml:space="preserve">MYLAN CHRISTOPHER T </t>
  </si>
  <si>
    <t>125 S 14TH ST</t>
  </si>
  <si>
    <t xml:space="preserve">WILLIAMS TAYLOR E </t>
  </si>
  <si>
    <t>1327 BREED ST</t>
  </si>
  <si>
    <t xml:space="preserve">TAFFE ALEXANDER D </t>
  </si>
  <si>
    <t>96 S 14TH ST</t>
  </si>
  <si>
    <t xml:space="preserve">DUBIN JONAH FITZSIMMONS </t>
  </si>
  <si>
    <t>11 UXOR WAY</t>
  </si>
  <si>
    <t>DUBIN JONAH FITZSIMMO</t>
  </si>
  <si>
    <t>9 UXOR WAY</t>
  </si>
  <si>
    <t xml:space="preserve">DAYIEB GEORGE C FAMILY  TRUST                   </t>
  </si>
  <si>
    <t>1315 SARAH ST</t>
  </si>
  <si>
    <t>DAYIEB GEORGE C FAMIL</t>
  </si>
  <si>
    <t xml:space="preserve">KLAVON DINA COLE </t>
  </si>
  <si>
    <t>64 S 14TH ST</t>
  </si>
  <si>
    <t>0 S 14TH ST</t>
  </si>
  <si>
    <t>1301 SARAH ST</t>
  </si>
  <si>
    <t xml:space="preserve">SPIELER ROBERT E </t>
  </si>
  <si>
    <t>1300 SARAH ST</t>
  </si>
  <si>
    <t>TIAA BANK/PAYMENT PRO</t>
  </si>
  <si>
    <t>PO BOX 71229</t>
  </si>
  <si>
    <t>PAJAK JOSEPH C JR &amp; KATHRYN L (W)</t>
  </si>
  <si>
    <t>113 S 13TH ST</t>
  </si>
  <si>
    <t>KATHRYN L. PAJAK</t>
  </si>
  <si>
    <t>PIERSON RUN RD</t>
  </si>
  <si>
    <t xml:space="preserve">BAYER BRIAN E &amp;                         </t>
  </si>
  <si>
    <t>40 UXOR WAY</t>
  </si>
  <si>
    <t>129 S 13TH ST</t>
  </si>
  <si>
    <t>LONG RUN RD</t>
  </si>
  <si>
    <t>46 UXOR WAY</t>
  </si>
  <si>
    <t xml:space="preserve">MURRAY DAVID EDWARD </t>
  </si>
  <si>
    <t>115 S 12TH ST</t>
  </si>
  <si>
    <t>MURRAY DAVID EDWARD</t>
  </si>
  <si>
    <t>S 12TH ST APT 1</t>
  </si>
  <si>
    <t xml:space="preserve">LANE JOHN E JR </t>
  </si>
  <si>
    <t>34 ENON WAY</t>
  </si>
  <si>
    <t>JDS 12TH STREET  HOLDINGS LLC</t>
  </si>
  <si>
    <t>131 S 12TH ST</t>
  </si>
  <si>
    <t>JDS 12TH STREET HOLDI</t>
  </si>
  <si>
    <t xml:space="preserve">WOLFE BRIANNA D                                 </t>
  </si>
  <si>
    <t>42 ENON WAY</t>
  </si>
  <si>
    <t>WOLFE BRIANNA D</t>
  </si>
  <si>
    <t>ENON WAY</t>
  </si>
  <si>
    <t xml:space="preserve">MW WRIGHT REAL ESTATE  LLC                     </t>
  </si>
  <si>
    <t>141 S 12TH ST</t>
  </si>
  <si>
    <t xml:space="preserve">PITTSBURGH RAILWAYS CO </t>
  </si>
  <si>
    <t>0 12TH ST</t>
  </si>
  <si>
    <t>PITTSBURGH RAILWAYS C</t>
  </si>
  <si>
    <t>PO BOX 1949</t>
  </si>
  <si>
    <t>UNDERINER THOMAS L &amp; LORRAINE A VULLO (W )</t>
  </si>
  <si>
    <t>1111 BRADISH ST</t>
  </si>
  <si>
    <t>BRADISH ST</t>
  </si>
  <si>
    <t>0 FREYBURG ST</t>
  </si>
  <si>
    <t xml:space="preserve">DOYLE JOSEPH P </t>
  </si>
  <si>
    <t>43 WELSH WAY</t>
  </si>
  <si>
    <t>41 WELSH WAY</t>
  </si>
  <si>
    <t xml:space="preserve">FREEMAN DAVID E </t>
  </si>
  <si>
    <t>37 WELSH WAY</t>
  </si>
  <si>
    <t xml:space="preserve">BALLINTINE AMY                                  </t>
  </si>
  <si>
    <t>27 WELSH WAY</t>
  </si>
  <si>
    <t xml:space="preserve">CURRIN MARGARET </t>
  </si>
  <si>
    <t>34 WELSH WAY</t>
  </si>
  <si>
    <t xml:space="preserve">BUCK MARGARET E </t>
  </si>
  <si>
    <t>0 WELSH WAY</t>
  </si>
  <si>
    <t>WELSH WAY</t>
  </si>
  <si>
    <t xml:space="preserve">PIPAS MARK </t>
  </si>
  <si>
    <t>0 FRITZ ST</t>
  </si>
  <si>
    <t>PIPAS MARK</t>
  </si>
  <si>
    <t>MCDONALD AVE</t>
  </si>
  <si>
    <t>MOBILE</t>
  </si>
  <si>
    <t xml:space="preserve">LONG GEORGE P III </t>
  </si>
  <si>
    <t>29 HARTFORD ST</t>
  </si>
  <si>
    <t>-33 HARTFORD ST</t>
  </si>
  <si>
    <t xml:space="preserve">GREIBER JOSEPH W </t>
  </si>
  <si>
    <t>27 HARTFORD ST</t>
  </si>
  <si>
    <t>HARTFORD ST</t>
  </si>
  <si>
    <t xml:space="preserve">NIXON DENISE M </t>
  </si>
  <si>
    <t>0 HARTFORD ST</t>
  </si>
  <si>
    <t>DUQUESNE AVE</t>
  </si>
  <si>
    <t>NIXON DENISE M</t>
  </si>
  <si>
    <t xml:space="preserve">NUNEZ JEFFREY F </t>
  </si>
  <si>
    <t>1 MONASTERY ST</t>
  </si>
  <si>
    <t xml:space="preserve">BLONSKI NICKOLAS </t>
  </si>
  <si>
    <t>15 MONASTERY ST</t>
  </si>
  <si>
    <t>MONASTERY ST</t>
  </si>
  <si>
    <t xml:space="preserve">TROFF ANTHONY JAMES </t>
  </si>
  <si>
    <t>0 SAINT MICHAEL ST</t>
  </si>
  <si>
    <t>SAINT MICHAEL ST</t>
  </si>
  <si>
    <t xml:space="preserve">NOWICKI DANIEL R </t>
  </si>
  <si>
    <t>33 HACKSTOWN ST</t>
  </si>
  <si>
    <t>MCCOY RD</t>
  </si>
  <si>
    <t xml:space="preserve">SELF RICHARD C JR </t>
  </si>
  <si>
    <t>PO BOX 59421</t>
  </si>
  <si>
    <t>52 SAINT MICHAEL ST</t>
  </si>
  <si>
    <t xml:space="preserve">COLLINS CYNTHIA E </t>
  </si>
  <si>
    <t>129 HACKSTOWN ST</t>
  </si>
  <si>
    <t>HACKSTOWN ST</t>
  </si>
  <si>
    <t xml:space="preserve">PAULIK ZACHARY </t>
  </si>
  <si>
    <t>130 HACKSTOWN ST</t>
  </si>
  <si>
    <t>PAULIK ZACHARY</t>
  </si>
  <si>
    <t xml:space="preserve">MCGRATH SHANNON  ELIZABETH               </t>
  </si>
  <si>
    <t>101 BROSVILLE ST</t>
  </si>
  <si>
    <t>MCGRATH SHANNON ELIZA</t>
  </si>
  <si>
    <t>BROSVILLE ST</t>
  </si>
  <si>
    <t xml:space="preserve">DEPHILLIPS MICHAEL L </t>
  </si>
  <si>
    <t>0 NUSSER ST</t>
  </si>
  <si>
    <t>9 NUSSER ST</t>
  </si>
  <si>
    <t>BLUE DOG ENTERPRISES</t>
  </si>
  <si>
    <t>7 NUSSER ST</t>
  </si>
  <si>
    <t>HUSSAK KYRIE  &amp; KATHLEEN (W)</t>
  </si>
  <si>
    <t>0 BROSVILLE ST</t>
  </si>
  <si>
    <t>SARATOGA DR</t>
  </si>
  <si>
    <t xml:space="preserve">MILLIGAN SAMUEL J </t>
  </si>
  <si>
    <t>RICCI EDWARD &amp; DENISE ALFONSO</t>
  </si>
  <si>
    <t>65 SAINT MICHAEL ST</t>
  </si>
  <si>
    <t>RICCI EDWARD &amp; DENISE</t>
  </si>
  <si>
    <t>HURON CT</t>
  </si>
  <si>
    <t xml:space="preserve">ONEILLS INVESTMENTS LLC </t>
  </si>
  <si>
    <t>1512 CLINTON ST</t>
  </si>
  <si>
    <t>ONEILLS INVESTMENTS L</t>
  </si>
  <si>
    <t xml:space="preserve">MILBEE JANICE LYNN                              </t>
  </si>
  <si>
    <t>1508 CLINTON ST</t>
  </si>
  <si>
    <t>MILBEE JANE C</t>
  </si>
  <si>
    <t>ORLANDO PL</t>
  </si>
  <si>
    <t>VISNICH JOHN  &amp; LORETTA JUDITH (W)</t>
  </si>
  <si>
    <t>0 PIUS ST</t>
  </si>
  <si>
    <t>PIUS ST</t>
  </si>
  <si>
    <t xml:space="preserve">PIUS STREET ASSOCIATES  LP                      </t>
  </si>
  <si>
    <t>0 PIUS ST UNIT A4</t>
  </si>
  <si>
    <t>*EBILL* THOMAS TROPOL</t>
  </si>
  <si>
    <t>PIUS RD</t>
  </si>
  <si>
    <t>0 PIUS ST UNIT D4</t>
  </si>
  <si>
    <t>0 R of W</t>
  </si>
  <si>
    <t>21 WELSH WAY</t>
  </si>
  <si>
    <t xml:space="preserve">ALBERT DEAN &amp; MARLA (W) </t>
  </si>
  <si>
    <t>101 E CARSON ST</t>
  </si>
  <si>
    <t>ALBERT DEAN &amp; MARLA (</t>
  </si>
  <si>
    <t>ASTRONAUT CIR APT S</t>
  </si>
  <si>
    <t xml:space="preserve">MID CARSON ASSOCIATES LP </t>
  </si>
  <si>
    <t>107 E CARSON ST</t>
  </si>
  <si>
    <t>P O BOX 677</t>
  </si>
  <si>
    <t xml:space="preserve">KUDIS BARBARA M </t>
  </si>
  <si>
    <t>20 S 19TH ST</t>
  </si>
  <si>
    <t>S 19TH ST UNIT 29</t>
  </si>
  <si>
    <t xml:space="preserve">JLE MERRIMAN MEWS LLC </t>
  </si>
  <si>
    <t>101 MERRIMAN MEWS</t>
  </si>
  <si>
    <t>MERRIMAN MEWS</t>
  </si>
  <si>
    <t xml:space="preserve">GALEANO ANDRE D </t>
  </si>
  <si>
    <t>1713 MERRIMAN ST</t>
  </si>
  <si>
    <t xml:space="preserve">GURRENTZ JACKSON EDWARD </t>
  </si>
  <si>
    <t>1605 MERRIMAN CT</t>
  </si>
  <si>
    <t>GURRENTZ JACKSON EDWA</t>
  </si>
  <si>
    <t>MERRIMAN CT</t>
  </si>
  <si>
    <t xml:space="preserve">BOWMAN BRENT </t>
  </si>
  <si>
    <t>1701 WHARTON ST</t>
  </si>
  <si>
    <t xml:space="preserve">WAGG5 LP </t>
  </si>
  <si>
    <t>0 MERRIMAN WAY</t>
  </si>
  <si>
    <t>INTEGRITY AVE</t>
  </si>
  <si>
    <t>0 S 19TH ST</t>
  </si>
  <si>
    <t>INTEGRITY DR</t>
  </si>
  <si>
    <t xml:space="preserve">FURMAN MARTHA ANN                               </t>
  </si>
  <si>
    <t>1840 MERRIMAN WAY</t>
  </si>
  <si>
    <t>ATLANTIC BAY MORTGAGE</t>
  </si>
  <si>
    <t>LYNNHAVEN PKWY STE 10</t>
  </si>
  <si>
    <t>33 S 19TH ST</t>
  </si>
  <si>
    <t xml:space="preserve">WELLS MATTHEW G </t>
  </si>
  <si>
    <t>52 S 19TH ST</t>
  </si>
  <si>
    <t xml:space="preserve">BRADY MICHAEL PATRICK </t>
  </si>
  <si>
    <t>1828 WHARTON ST</t>
  </si>
  <si>
    <t xml:space="preserve">1820 WHARTON LLC </t>
  </si>
  <si>
    <t>1820 WHARTON ST</t>
  </si>
  <si>
    <t>ROSEWOOD DR</t>
  </si>
  <si>
    <t xml:space="preserve">AUSTIN TERYL D </t>
  </si>
  <si>
    <t>1818 WHARTON ST</t>
  </si>
  <si>
    <t>FOX JOSEPH D &amp; KATHLEEN J (W)</t>
  </si>
  <si>
    <t>1816 WHARTON ST</t>
  </si>
  <si>
    <t>WELLS FARGO WAY</t>
  </si>
  <si>
    <t>D MINNEAPOLIS</t>
  </si>
  <si>
    <t xml:space="preserve">JUNG JENNIFER G                                 </t>
  </si>
  <si>
    <t>1613 FRANKLIN CT</t>
  </si>
  <si>
    <t>JUNG JENNIFER G</t>
  </si>
  <si>
    <t>BRANCH SIDE LN</t>
  </si>
  <si>
    <t xml:space="preserve">BOYD CARL W JR </t>
  </si>
  <si>
    <t>0 FRANKLIN CT</t>
  </si>
  <si>
    <t>CMG FINANCIAL</t>
  </si>
  <si>
    <t>CROW CANYON RD</t>
  </si>
  <si>
    <t>SAN RAMON</t>
  </si>
  <si>
    <t>77 S 16TH ST PARKING  LOTS LLC</t>
  </si>
  <si>
    <t>77 S 16TH ST</t>
  </si>
  <si>
    <t xml:space="preserve">77 S 16TH ST PARKING </t>
  </si>
  <si>
    <t>WILSON RD</t>
  </si>
  <si>
    <t xml:space="preserve">ROYALL MARYANN C </t>
  </si>
  <si>
    <t>1714 FOX WAY</t>
  </si>
  <si>
    <t xml:space="preserve">NEUBAUER JEFFREY A </t>
  </si>
  <si>
    <t>1803 SIDNEY ST</t>
  </si>
  <si>
    <t xml:space="preserve">CAFFARDO CYNTHIA                                </t>
  </si>
  <si>
    <t>58 S 19TH ST</t>
  </si>
  <si>
    <t>S 19TH ST</t>
  </si>
  <si>
    <t xml:space="preserve">NEMETH STACY L </t>
  </si>
  <si>
    <t>1901 SIDNEY ST</t>
  </si>
  <si>
    <t xml:space="preserve">LEWANDOWSKI JEAN </t>
  </si>
  <si>
    <t>1907 WRIGHTS WAY</t>
  </si>
  <si>
    <t>STEEL MILL PROPERTIES  LLC</t>
  </si>
  <si>
    <t>1824 SIDNEY ST</t>
  </si>
  <si>
    <t>16TH &amp; CARSON STREET PARTNERS L</t>
  </si>
  <si>
    <t>1601 E CARSON ST</t>
  </si>
  <si>
    <t xml:space="preserve">CAPUTO PROPERTIES LLC </t>
  </si>
  <si>
    <t>78 S 17TH ST</t>
  </si>
  <si>
    <t>HARTLE LN</t>
  </si>
  <si>
    <t>LONGO RONALD C &amp; KATHLEEN H (W)</t>
  </si>
  <si>
    <t>1703 E CARSON ST</t>
  </si>
  <si>
    <t>LONGO RONALD C</t>
  </si>
  <si>
    <t>PO BOX  44229</t>
  </si>
  <si>
    <t xml:space="preserve">GREGG CARSON LLC </t>
  </si>
  <si>
    <t>1719 E CARSON ST</t>
  </si>
  <si>
    <t>P. O. BOX 285</t>
  </si>
  <si>
    <t>BROOKVILLE</t>
  </si>
  <si>
    <t xml:space="preserve">WONDERLEY DAVID </t>
  </si>
  <si>
    <t>74 S 18TH ST</t>
  </si>
  <si>
    <t xml:space="preserve">ENTERPRISE BANK </t>
  </si>
  <si>
    <t>1825 E CARSON ST</t>
  </si>
  <si>
    <t>1831 EAST CARSON STREET  INVESTORS LLC</t>
  </si>
  <si>
    <t>1831 E CARSON ST</t>
  </si>
  <si>
    <t>1831 EAST CARSON STRE</t>
  </si>
  <si>
    <t xml:space="preserve">1901 SPC HOLDINGS LLC </t>
  </si>
  <si>
    <t>1901 E CARSON ST</t>
  </si>
  <si>
    <t>1901 SPC HOLDINGS LLC</t>
  </si>
  <si>
    <t>S 22ND ST</t>
  </si>
  <si>
    <t xml:space="preserve">SRIJARIYA KRONGTHRONG </t>
  </si>
  <si>
    <t>1927 WHARTON ST</t>
  </si>
  <si>
    <t xml:space="preserve">CHARDELLO THOMAS M &amp; CASSANDRA YAKOVICH (W)  </t>
  </si>
  <si>
    <t>1918 WHARTON ST</t>
  </si>
  <si>
    <t xml:space="preserve">HERSCHELL JUDITH A </t>
  </si>
  <si>
    <t>0 FOX WAY</t>
  </si>
  <si>
    <t>HERSCHELL JUDITH A</t>
  </si>
  <si>
    <t>ALDER BRANCH CT</t>
  </si>
  <si>
    <t>1910 FOX WAY</t>
  </si>
  <si>
    <t>FRENCH SILVER ENTERPR</t>
  </si>
  <si>
    <t>1929 SIDNEY ST</t>
  </si>
  <si>
    <t>CLAYS TRL</t>
  </si>
  <si>
    <t>OLDSMAR</t>
  </si>
  <si>
    <t>AIM VENTURES LLC         ETAL</t>
  </si>
  <si>
    <t>1931 SIDNEY ST</t>
  </si>
  <si>
    <t>AIM VENTURES LLC CRAI</t>
  </si>
  <si>
    <t>SOUTH SIDE VETERANS OF  FOREIGN WARS POST 6675</t>
  </si>
  <si>
    <t>1930 SIDNEY ST</t>
  </si>
  <si>
    <t>1917 WRIGHTS WAY</t>
  </si>
  <si>
    <t xml:space="preserve">ACRE CAPITAL LLC </t>
  </si>
  <si>
    <t>1927 WRIGHTS WAY</t>
  </si>
  <si>
    <t>ACRE CAPITAL LLC</t>
  </si>
  <si>
    <t>MADISON AVE STE 2955</t>
  </si>
  <si>
    <t xml:space="preserve">RSP PITTSBURGH INC </t>
  </si>
  <si>
    <t>1925 E CARSON ST</t>
  </si>
  <si>
    <t>CLARIDGE DR</t>
  </si>
  <si>
    <t>EDGAR BROTHERS REAL  ESTATE LLC</t>
  </si>
  <si>
    <t>2013 E CARSON ST</t>
  </si>
  <si>
    <t>2019 E CARSON ST</t>
  </si>
  <si>
    <t xml:space="preserve">2021 CARSON ST LP </t>
  </si>
  <si>
    <t>2021 E CARSON ST</t>
  </si>
  <si>
    <t>PO BOX 95</t>
  </si>
  <si>
    <t>QUAKERTOWN</t>
  </si>
  <si>
    <t xml:space="preserve">ROSSI ANTHONY S </t>
  </si>
  <si>
    <t>179 S 16TH ST</t>
  </si>
  <si>
    <t>ROSSI ANTHONY S</t>
  </si>
  <si>
    <t xml:space="preserve">VENDITTI CHRISTOPHER A </t>
  </si>
  <si>
    <t>176 S 17TH ST</t>
  </si>
  <si>
    <t>S 17TH ST</t>
  </si>
  <si>
    <t xml:space="preserve">SVERIGE LLC </t>
  </si>
  <si>
    <t>161 S 16TH ST</t>
  </si>
  <si>
    <t xml:space="preserve">BULBAK MARY CATHERINE </t>
  </si>
  <si>
    <t>153 S 16TH ST</t>
  </si>
  <si>
    <t xml:space="preserve">M W WRIGHT REAL ESTATE  LLC                     </t>
  </si>
  <si>
    <t>160 S 17TH ST</t>
  </si>
  <si>
    <t>158 S 17TH ST</t>
  </si>
  <si>
    <t xml:space="preserve">MARCANELLO CHRISTOPHER </t>
  </si>
  <si>
    <t>0 S 17TH ST</t>
  </si>
  <si>
    <t>MARCANELLO CHRISTOPHE</t>
  </si>
  <si>
    <t>NEW STANTON</t>
  </si>
  <si>
    <t>PALMER MARGARET PALMER GEORGE P</t>
  </si>
  <si>
    <t>1711 SARAH ST</t>
  </si>
  <si>
    <t xml:space="preserve">KORNER KRISTEN </t>
  </si>
  <si>
    <t>1709 SARAH ST</t>
  </si>
  <si>
    <t>ENCLAVE ST NW</t>
  </si>
  <si>
    <t xml:space="preserve">MURRAY BRIAN S </t>
  </si>
  <si>
    <t>1707 SARAH ST</t>
  </si>
  <si>
    <t>1709 LARKINS WAY</t>
  </si>
  <si>
    <t xml:space="preserve">THOMAS JESSE T </t>
  </si>
  <si>
    <t>1706 SARAH ST</t>
  </si>
  <si>
    <t>THOMAS JESSE T</t>
  </si>
  <si>
    <t>TURNBERRY DR</t>
  </si>
  <si>
    <t xml:space="preserve">MOLYNEAUX REGE A </t>
  </si>
  <si>
    <t>110 S 18TH ST</t>
  </si>
  <si>
    <t>S 18TH ST</t>
  </si>
  <si>
    <t>JENNAH GATES REAL  ESTATE LLC</t>
  </si>
  <si>
    <t>108 S 18TH ST</t>
  </si>
  <si>
    <t>STILINOVICH KATHLEEN  PEPIN &amp; MARK THOMAS (H)</t>
  </si>
  <si>
    <t>1719 JANE ST</t>
  </si>
  <si>
    <t xml:space="preserve">SHAHEEN ALFRED </t>
  </si>
  <si>
    <t>133 S 17TH ST</t>
  </si>
  <si>
    <t>PO BOX 10705</t>
  </si>
  <si>
    <t xml:space="preserve">WEST PENN RENTALS LLC </t>
  </si>
  <si>
    <t>130 S 18TH ST</t>
  </si>
  <si>
    <t>WEST PENN RENTALS LLC</t>
  </si>
  <si>
    <t>OLD FARM LN</t>
  </si>
  <si>
    <t xml:space="preserve">2611 JANE ST LLC </t>
  </si>
  <si>
    <t>132 S 18TH ST</t>
  </si>
  <si>
    <t>PO BOX  200</t>
  </si>
  <si>
    <t xml:space="preserve">BECRAFT REVOCABLE TRUST                         </t>
  </si>
  <si>
    <t>163 S 17TH ST</t>
  </si>
  <si>
    <t>BECRAFT REVOCABLE TRU</t>
  </si>
  <si>
    <t>JORDAN CT</t>
  </si>
  <si>
    <t>BRIGGS LEONARD CHARLES  II</t>
  </si>
  <si>
    <t>1715 MARY ST</t>
  </si>
  <si>
    <t xml:space="preserve">SCHROEDER MARGARETTA W </t>
  </si>
  <si>
    <t>1711 MARY ST</t>
  </si>
  <si>
    <t xml:space="preserve">WILLIAMS SARAH </t>
  </si>
  <si>
    <t>1802 HARCUM WAY</t>
  </si>
  <si>
    <t>HUSSEY PATRICK HARRISON  &amp; SARA CHRISTINE (W)</t>
  </si>
  <si>
    <t>143 S 18TH ST</t>
  </si>
  <si>
    <t>SPALLINO CHRISTOPHER  JEROOME</t>
  </si>
  <si>
    <t>1809 HARCUM WAY</t>
  </si>
  <si>
    <t>T2 FINANCIAL LLC DBA</t>
  </si>
  <si>
    <t>OLDE WORTHINGTON RD STE 300</t>
  </si>
  <si>
    <t>WESTERVILLE</t>
  </si>
  <si>
    <t xml:space="preserve">NEW DAY CO OP ONE LLC </t>
  </si>
  <si>
    <t>134 S 19TH ST</t>
  </si>
  <si>
    <t>HALSEY AVE APT 2</t>
  </si>
  <si>
    <t>129 S 18TH ST</t>
  </si>
  <si>
    <t>TOPPING ANDREW D &amp; MICHAEL G TOPPING</t>
  </si>
  <si>
    <t>1828 E CARSON ST</t>
  </si>
  <si>
    <t>1830 MAIN STREET  ASSOCIATES</t>
  </si>
  <si>
    <t>1830 E CARSON ST</t>
  </si>
  <si>
    <t>1830 MAIN STREET ASSO</t>
  </si>
  <si>
    <t>CARSON ST E</t>
  </si>
  <si>
    <t>MATCHETT ROBERT  &amp; GAIL (W)</t>
  </si>
  <si>
    <t>1911 LARKINS WAY</t>
  </si>
  <si>
    <t>LAFFERTY DR</t>
  </si>
  <si>
    <t xml:space="preserve">MILLER JOHN </t>
  </si>
  <si>
    <t>1907 LARKINS WAY</t>
  </si>
  <si>
    <t>MILLER JOHN</t>
  </si>
  <si>
    <t>STEVENS RIDGE DR</t>
  </si>
  <si>
    <t xml:space="preserve">CONTINO BRANDON M                               </t>
  </si>
  <si>
    <t>119 S 19TH ST</t>
  </si>
  <si>
    <t>125 S 19TH ST</t>
  </si>
  <si>
    <t>BOX 10705</t>
  </si>
  <si>
    <t>EMPIRE CONSTRUCTION  GROUP</t>
  </si>
  <si>
    <t>1912 JANE ST</t>
  </si>
  <si>
    <t>EMPIRE CONSTRUCTION G</t>
  </si>
  <si>
    <t>CAPE FLATTERY AVE</t>
  </si>
  <si>
    <t>CAPE FLATTEY AVE</t>
  </si>
  <si>
    <t xml:space="preserve">RAUSCH SUSAN </t>
  </si>
  <si>
    <t>141 S 19TH ST REAR</t>
  </si>
  <si>
    <t>RAUSCH SUSAN</t>
  </si>
  <si>
    <t>S 19TH ST REAR</t>
  </si>
  <si>
    <t>1912 MARY ST</t>
  </si>
  <si>
    <t xml:space="preserve">KOZIAK EILEEN ZULLO </t>
  </si>
  <si>
    <t>1915 MARY ST</t>
  </si>
  <si>
    <t xml:space="preserve">YOUNG WILLIAM A &amp; KIMBERLY L CAGNI YOUNG  </t>
  </si>
  <si>
    <t>1928 E CARSON ST</t>
  </si>
  <si>
    <t>YOUNG WILLIAM A &amp; KIM</t>
  </si>
  <si>
    <t>PAINTERS RUN RD</t>
  </si>
  <si>
    <t>2004 E CARSON ST</t>
  </si>
  <si>
    <t xml:space="preserve">ALLEGHENIA  LLC </t>
  </si>
  <si>
    <t>2022 E CARSON ST</t>
  </si>
  <si>
    <t>CENTURY 21 FAIRWAYS A</t>
  </si>
  <si>
    <t>ROUTE  30</t>
  </si>
  <si>
    <t xml:space="preserve">MARSHALL II LOUIS F </t>
  </si>
  <si>
    <t>2027 SARAH ST</t>
  </si>
  <si>
    <t>CARRIAGE DR</t>
  </si>
  <si>
    <t>2005 SARAH REAL ESTATE  LLC</t>
  </si>
  <si>
    <t>2005 SARAH ST</t>
  </si>
  <si>
    <t>2005 SARAH REAL ESTAT</t>
  </si>
  <si>
    <t>2012 SARAH ST</t>
  </si>
  <si>
    <t xml:space="preserve">ID PROPERTIES LLC </t>
  </si>
  <si>
    <t>2024 SARAH ST</t>
  </si>
  <si>
    <t xml:space="preserve">TALERICO BARBARA D                              </t>
  </si>
  <si>
    <t>2028 SARAH ST</t>
  </si>
  <si>
    <t xml:space="preserve">GOUGH ALEXANDER </t>
  </si>
  <si>
    <t>126 S 21ST ST</t>
  </si>
  <si>
    <t>GOUGH ALEXANDER</t>
  </si>
  <si>
    <t>2015 JANE ST</t>
  </si>
  <si>
    <t>2011 JANE ST</t>
  </si>
  <si>
    <t xml:space="preserve">MACAVOY ROSS A </t>
  </si>
  <si>
    <t>2007 JANE ST</t>
  </si>
  <si>
    <t>134 S 20TH ST</t>
  </si>
  <si>
    <t xml:space="preserve">CROWE BRYAN P </t>
  </si>
  <si>
    <t>1924 LARKINS WAY</t>
  </si>
  <si>
    <t xml:space="preserve">412 PROPERTIES LLC </t>
  </si>
  <si>
    <t>1916 LARKINS WAY</t>
  </si>
  <si>
    <t>SCHNEIDERS PROPERTIES  LLC</t>
  </si>
  <si>
    <t>136 S 20TH ST</t>
  </si>
  <si>
    <t>SCHNEIDERS PROPERTIES</t>
  </si>
  <si>
    <t>2024 JANE ST</t>
  </si>
  <si>
    <t>151 S 20TH ST</t>
  </si>
  <si>
    <t xml:space="preserve">GAFFEY ROBERT </t>
  </si>
  <si>
    <t>156 S 20TH ST</t>
  </si>
  <si>
    <t xml:space="preserve">TRBOVICH NINA </t>
  </si>
  <si>
    <t>1923 MARY ST</t>
  </si>
  <si>
    <t>184 S 17TH ST</t>
  </si>
  <si>
    <t xml:space="preserve">T D VISIONS LLC </t>
  </si>
  <si>
    <t>1707 EDWARDS WAY</t>
  </si>
  <si>
    <t>LAKEVUE DR</t>
  </si>
  <si>
    <t xml:space="preserve">GINSER LISA </t>
  </si>
  <si>
    <t>1724 MARY ST</t>
  </si>
  <si>
    <t xml:space="preserve">FIGUEROA GABRIELLA R </t>
  </si>
  <si>
    <t>164 S 18TH ST</t>
  </si>
  <si>
    <t xml:space="preserve">BUNDY AMANDA J                                  </t>
  </si>
  <si>
    <t>160 S 18TH ST</t>
  </si>
  <si>
    <t xml:space="preserve">BROWN ANDREW JOHN                               </t>
  </si>
  <si>
    <t>154 S 18TH ST</t>
  </si>
  <si>
    <t>159 S 18TH ST</t>
  </si>
  <si>
    <t>1825 EDWARDS WAY</t>
  </si>
  <si>
    <t xml:space="preserve">SOUTH SIDE CAPITAL LLC </t>
  </si>
  <si>
    <t>164 S 19TH ST</t>
  </si>
  <si>
    <t>SOUTH SIDE CAPITAL LL</t>
  </si>
  <si>
    <t>1900 MARY ST</t>
  </si>
  <si>
    <t>FORSYTHE DOUGLASS  &amp; DOROTHY FORSYTHE</t>
  </si>
  <si>
    <t>165 PIUS ST</t>
  </si>
  <si>
    <t xml:space="preserve">NITSCHE MARY JOAN </t>
  </si>
  <si>
    <t>163 PIUS ST</t>
  </si>
  <si>
    <t xml:space="preserve">1910 S 18TH ST LLC </t>
  </si>
  <si>
    <t>1910 S 18TH ST</t>
  </si>
  <si>
    <t>E CARSON ST # 311</t>
  </si>
  <si>
    <t>BUGIELSKI WALTER  &amp; MARGARET ANN (W)</t>
  </si>
  <si>
    <t>153 PIUS ST</t>
  </si>
  <si>
    <t xml:space="preserve">CLARK ALEXANDRA N &amp;                         </t>
  </si>
  <si>
    <t>CLARK ALEXANDRA N &amp; G</t>
  </si>
  <si>
    <t xml:space="preserve">TCYPA LLC </t>
  </si>
  <si>
    <t>143 PIUS ST</t>
  </si>
  <si>
    <t>TCYPA LLC</t>
  </si>
  <si>
    <t>IVAR AVE</t>
  </si>
  <si>
    <t>TEMPLE CITY</t>
  </si>
  <si>
    <t xml:space="preserve">NSEMO MICHAEL </t>
  </si>
  <si>
    <t>133 PIUS ST</t>
  </si>
  <si>
    <t xml:space="preserve">GRANDVIEW INVESTMENTS </t>
  </si>
  <si>
    <t>75 PIUS ST</t>
  </si>
  <si>
    <t>71 PIUS ST</t>
  </si>
  <si>
    <t>E RAILROAD ST</t>
  </si>
  <si>
    <t xml:space="preserve">NAGY MITCHELL R </t>
  </si>
  <si>
    <t>66 PIUS ST UNIT 102</t>
  </si>
  <si>
    <t xml:space="preserve">SCHWEERS BENJAMIN </t>
  </si>
  <si>
    <t>110 PIUS ST</t>
  </si>
  <si>
    <t xml:space="preserve">MCHUGH BRIAN C </t>
  </si>
  <si>
    <t>118 PIUS ST</t>
  </si>
  <si>
    <t xml:space="preserve">BOGGIO BEVERLY BAGOSI </t>
  </si>
  <si>
    <t>126 PIUS ST</t>
  </si>
  <si>
    <t xml:space="preserve">SZYMCZAK JOSEPH JR </t>
  </si>
  <si>
    <t>140 PIUS ST</t>
  </si>
  <si>
    <t>EBEN ST</t>
  </si>
  <si>
    <t>68 GREGORY ST</t>
  </si>
  <si>
    <t xml:space="preserve">3241 DEVELOPMENT LLC </t>
  </si>
  <si>
    <t>58 GREGORY ST</t>
  </si>
  <si>
    <t>3241 DEVELOPMENT LLC</t>
  </si>
  <si>
    <t>56 GREGORY ST</t>
  </si>
  <si>
    <t xml:space="preserve">HOWELL JOSEPH P </t>
  </si>
  <si>
    <t>54 GREGORY ST</t>
  </si>
  <si>
    <t>GREGORY ST</t>
  </si>
  <si>
    <t>42 GREGORY ST</t>
  </si>
  <si>
    <t>ZLOKAS STEPHEN A &amp; SONJA (W)</t>
  </si>
  <si>
    <t>10 GREGORY ST</t>
  </si>
  <si>
    <t>36 MAGDALENE ST</t>
  </si>
  <si>
    <t>2000 MARY ST</t>
  </si>
  <si>
    <t xml:space="preserve">CONLEY INVESTMENTS LLC </t>
  </si>
  <si>
    <t>2010 JOSEPHINE ST</t>
  </si>
  <si>
    <t>CONLEY INVESTMENTS LL</t>
  </si>
  <si>
    <t>OXBRIDGE DEVELOPMENT CORPORATION</t>
  </si>
  <si>
    <t>0 S 18TH ST</t>
  </si>
  <si>
    <t>HUNT CLUB CT</t>
  </si>
  <si>
    <t>TALABI MOHAMMED  OLORUNSOLA</t>
  </si>
  <si>
    <t>1932 JOSEPHINE ST</t>
  </si>
  <si>
    <t>TALABI MOHAMMED OLORU</t>
  </si>
  <si>
    <t xml:space="preserve">TALABI MOHAMMED </t>
  </si>
  <si>
    <t>1936 JOSEPHINE ST</t>
  </si>
  <si>
    <t xml:space="preserve">MILLER DAMARCUS DAQUAN </t>
  </si>
  <si>
    <t>1952 JOSEPHINE ST</t>
  </si>
  <si>
    <t>CORREALE TANIA MICHELLE  DAVIS</t>
  </si>
  <si>
    <t>1932 S 18TH ST</t>
  </si>
  <si>
    <t>185 PIUS ST</t>
  </si>
  <si>
    <t xml:space="preserve">LARUSSO SADYE </t>
  </si>
  <si>
    <t>0 SAINT PATRICK ST</t>
  </si>
  <si>
    <t>EDGEBROOK AVE</t>
  </si>
  <si>
    <t xml:space="preserve">LA RUSSO SADYE </t>
  </si>
  <si>
    <t>1515 SAINT PATRICK ST</t>
  </si>
  <si>
    <t>SADYE LA RUSSO</t>
  </si>
  <si>
    <t>PO BOX 60131</t>
  </si>
  <si>
    <t xml:space="preserve">GALLAGHER AIDAN </t>
  </si>
  <si>
    <t>19 SAINT LEO ST</t>
  </si>
  <si>
    <t xml:space="preserve">DALZELL GEORGE E </t>
  </si>
  <si>
    <t>2018 S 18TH ST</t>
  </si>
  <si>
    <t xml:space="preserve">NEMMER BARBARA ANN </t>
  </si>
  <si>
    <t>2010 GREGORY ST</t>
  </si>
  <si>
    <t xml:space="preserve">SALAC MARK E </t>
  </si>
  <si>
    <t>2030 S 18TH ST</t>
  </si>
  <si>
    <t>SELECT PORTFOLIO SERV</t>
  </si>
  <si>
    <t xml:space="preserve">KEFAL NICHOLAS                                  </t>
  </si>
  <si>
    <t>2128 S 18TH ST</t>
  </si>
  <si>
    <t xml:space="preserve">KEFAL ALEANDER KEFAL </t>
  </si>
  <si>
    <t>WEST PENN PL</t>
  </si>
  <si>
    <t xml:space="preserve">KEFAL GABRIEL </t>
  </si>
  <si>
    <t>2130 S 18TH ST</t>
  </si>
  <si>
    <t>GABRIEL KEFAL</t>
  </si>
  <si>
    <t xml:space="preserve">REICH JOSEPH F                                  </t>
  </si>
  <si>
    <t>0 SAINT PAUL ST</t>
  </si>
  <si>
    <t>JOHN G.REICH</t>
  </si>
  <si>
    <t>BIRMINGHAM AVE</t>
  </si>
  <si>
    <t>ESSER CYRIL F &amp; CYNTHIA T (W)</t>
  </si>
  <si>
    <t>1918 SAINT PAUL ST</t>
  </si>
  <si>
    <t>ESSER CYRIL F &amp; CYNTH</t>
  </si>
  <si>
    <t xml:space="preserve">REICK EDWARD J </t>
  </si>
  <si>
    <t xml:space="preserve">MCCLOSKEY MARY R </t>
  </si>
  <si>
    <t>1927 SAINT PAUL ST</t>
  </si>
  <si>
    <t>MCCLOSKEY MARY R</t>
  </si>
  <si>
    <t>LOWRIE ST</t>
  </si>
  <si>
    <t xml:space="preserve">DAVIS BRENDAN WALTER </t>
  </si>
  <si>
    <t>1905 SAINT PAUL ST</t>
  </si>
  <si>
    <t>GLASNER EDWARD M &amp; ELIZABETH A (W)</t>
  </si>
  <si>
    <t>1901 SAINT PAUL ST</t>
  </si>
  <si>
    <t>SAINT PAUL ST</t>
  </si>
  <si>
    <t>VANSCYOC BARBARA  &amp; LAVERNE (H)</t>
  </si>
  <si>
    <t>1900 SHAMOKIN ST</t>
  </si>
  <si>
    <t>SHAMOKIN ST</t>
  </si>
  <si>
    <t xml:space="preserve">PIONNATI FRANCIS A                              </t>
  </si>
  <si>
    <t>1906 SHAMOKIN ST</t>
  </si>
  <si>
    <t>WILLARD ST</t>
  </si>
  <si>
    <t xml:space="preserve">LINDHOLM KATHLEEN J </t>
  </si>
  <si>
    <t>1930 SHAMOKIN ST</t>
  </si>
  <si>
    <t>QUALITY HOMES PROPERTY  SOLUTIONS LLC</t>
  </si>
  <si>
    <t>1913 SHAMOKIN ST</t>
  </si>
  <si>
    <t>QUALITY HOMES PROPERT</t>
  </si>
  <si>
    <t>FUSION CONCEPT  DEVELOPERS INC</t>
  </si>
  <si>
    <t>0 SHAMOKIN ST</t>
  </si>
  <si>
    <t>FUSION CONCEPT DEVELO</t>
  </si>
  <si>
    <t>STACHOWICZ MICHAEL FRANCIS</t>
  </si>
  <si>
    <t>1932 BALDAUF ST</t>
  </si>
  <si>
    <t>BALDAUF ST</t>
  </si>
  <si>
    <t xml:space="preserve">REDDING SCOTT </t>
  </si>
  <si>
    <t>1921 HURON ST</t>
  </si>
  <si>
    <t xml:space="preserve">CALABRESE MICHAEL D </t>
  </si>
  <si>
    <t>1900 BALDAUF ST</t>
  </si>
  <si>
    <t>BONIFAY ST</t>
  </si>
  <si>
    <t>CLIMBING SILVER  ENTERPRISES LLC</t>
  </si>
  <si>
    <t>1810 BALDAUF ST</t>
  </si>
  <si>
    <t>CLIMBING SILVER ENTER</t>
  </si>
  <si>
    <t>1808 BALDAUF ST</t>
  </si>
  <si>
    <t xml:space="preserve">PIONATI AUGUSTINE B </t>
  </si>
  <si>
    <t>1806 BALDAUF ST</t>
  </si>
  <si>
    <t>1909 BALDAUF ST</t>
  </si>
  <si>
    <t xml:space="preserve">1911 BALDAUF LLC </t>
  </si>
  <si>
    <t>1911 BALDAUF ST</t>
  </si>
  <si>
    <t>1911 BALDAUF LLC</t>
  </si>
  <si>
    <t>HILLWOOD AVE</t>
  </si>
  <si>
    <t>KLINE JOHN F &amp; LINDA J (W)</t>
  </si>
  <si>
    <t>1925 BALDAUF ST</t>
  </si>
  <si>
    <t xml:space="preserve">OCH STEPHEN R </t>
  </si>
  <si>
    <t>2014 GREGORY ST</t>
  </si>
  <si>
    <t xml:space="preserve">SAINT MICHAEL CHURCH </t>
  </si>
  <si>
    <t>0 BEDFORD ST</t>
  </si>
  <si>
    <t>LOGUE ST</t>
  </si>
  <si>
    <t>DOUGHERTY ANTHONY R &amp; DEBORAH A (W)</t>
  </si>
  <si>
    <t>1646 SAINT PATRICK ST</t>
  </si>
  <si>
    <t>SAINT PATRICK ST</t>
  </si>
  <si>
    <t>PETTE PROPERTIES  MANAGEMENT LLC</t>
  </si>
  <si>
    <t>2107 S 18TH ST</t>
  </si>
  <si>
    <t>PETTE PROPERTIES MANA</t>
  </si>
  <si>
    <t xml:space="preserve">MAPLE CREEK HOLDINGS LLC </t>
  </si>
  <si>
    <t>2021 S 18TH ST</t>
  </si>
  <si>
    <t xml:space="preserve">MAPLE CREEK HOLDINGS </t>
  </si>
  <si>
    <t>LOIS DR</t>
  </si>
  <si>
    <t>SEGAVEPO                 ETAL</t>
  </si>
  <si>
    <t>SEGAVEPO LLC C/O RYAN</t>
  </si>
  <si>
    <t xml:space="preserve">BONDI DOROTHY </t>
  </si>
  <si>
    <t xml:space="preserve">NOVACORE LLC </t>
  </si>
  <si>
    <t>EL DORADO AVE S</t>
  </si>
  <si>
    <t>LAKE HAVASU CI</t>
  </si>
  <si>
    <t xml:space="preserve">MCLUCKIE THREE LLC </t>
  </si>
  <si>
    <t>1845 ARLINGTON AVE</t>
  </si>
  <si>
    <t>BRISACH HERBERT C &amp; ESTHER M (W)</t>
  </si>
  <si>
    <t>1839 ARLINGTON AVE</t>
  </si>
  <si>
    <t>1835 ARLINGTON AVE</t>
  </si>
  <si>
    <t>1825 ARLINGTON AVE</t>
  </si>
  <si>
    <t xml:space="preserve">GAGE RENTALS LLC </t>
  </si>
  <si>
    <t>1013 SAINT MARTIN ST</t>
  </si>
  <si>
    <t>GAGE RENTALS LLC</t>
  </si>
  <si>
    <t>PO BOX 883</t>
  </si>
  <si>
    <t>NEW PHILADELPH</t>
  </si>
  <si>
    <t xml:space="preserve">NAVARRO ANTHONY C </t>
  </si>
  <si>
    <t>1021 SAINT MARTIN ST</t>
  </si>
  <si>
    <t>SAINT MARTIN ST</t>
  </si>
  <si>
    <t>1025 SAINT MARTIN ST</t>
  </si>
  <si>
    <t>1031 SAINT MARTIN ST</t>
  </si>
  <si>
    <t>1022 SAINT MARTIN ST</t>
  </si>
  <si>
    <t>ST MARTIN ST</t>
  </si>
  <si>
    <t>HOLBROOK JAMES E &amp; ANNA MAE</t>
  </si>
  <si>
    <t>0 E WARRINGTON AVE</t>
  </si>
  <si>
    <t>ANNA MAE HALBROOK</t>
  </si>
  <si>
    <t>WASHINGTON ST</t>
  </si>
  <si>
    <t>SELECT PROTFOLIO  SERVICING INC ATTN REMIT</t>
  </si>
  <si>
    <t>1006 E WARRINGTON AVE</t>
  </si>
  <si>
    <t>SELECT PROTFOLIO SERV</t>
  </si>
  <si>
    <t>P O BOX 65450</t>
  </si>
  <si>
    <t>1010 E WARRINGTON AVE</t>
  </si>
  <si>
    <t>KINGWOOD ST</t>
  </si>
  <si>
    <t xml:space="preserve">SAVANNAH JAMES LLC </t>
  </si>
  <si>
    <t>4 SHARON ST</t>
  </si>
  <si>
    <t>SAVANNAH JAMES LLC</t>
  </si>
  <si>
    <t>TARPON DR</t>
  </si>
  <si>
    <t>6 MONASTERY ST</t>
  </si>
  <si>
    <t xml:space="preserve">WONG JOHN B JR </t>
  </si>
  <si>
    <t>8 MONASTERY ST</t>
  </si>
  <si>
    <t xml:space="preserve">HASS CECELIA L </t>
  </si>
  <si>
    <t>1113 SAINT MARTIN ST</t>
  </si>
  <si>
    <t>SAINT MARTIN PROPERTIES  LLC</t>
  </si>
  <si>
    <t>1119 SAINT MARTIN ST</t>
  </si>
  <si>
    <t>SAINT MARTIN PROPERTI</t>
  </si>
  <si>
    <t>SAINT MARTIN ST # 2</t>
  </si>
  <si>
    <t>ELITE PROPERTY  RESTORIAN LLC</t>
  </si>
  <si>
    <t>1123 SAINT MARTIN ST</t>
  </si>
  <si>
    <t>ELITE PROPERTY RESTOR</t>
  </si>
  <si>
    <t>CLAIRTON BLVD</t>
  </si>
  <si>
    <t xml:space="preserve">KIRSCHMANN LOIS </t>
  </si>
  <si>
    <t>1120 E WARRINGTON AVE</t>
  </si>
  <si>
    <t xml:space="preserve">JENKINS THOMAS W </t>
  </si>
  <si>
    <t>32 SHARON ST</t>
  </si>
  <si>
    <t>SHARON ST</t>
  </si>
  <si>
    <t>BAEHR MARK J &amp; SUSAN M (W)</t>
  </si>
  <si>
    <t>33 SAINT THOMAS ST</t>
  </si>
  <si>
    <t>MILTENBERGER ST</t>
  </si>
  <si>
    <t>0 SAINT THOMAS ST</t>
  </si>
  <si>
    <t>E AMANDA ST</t>
  </si>
  <si>
    <t xml:space="preserve">KAIB FORREST </t>
  </si>
  <si>
    <t>11 SAINT THOMAS ST</t>
  </si>
  <si>
    <t>SAINT THOMAS ST</t>
  </si>
  <si>
    <t xml:space="preserve">3R PROPERTIES LLC </t>
  </si>
  <si>
    <t>208 SAINT THOMAS ST</t>
  </si>
  <si>
    <t xml:space="preserve">GRENTZ ROSEMARY                                 </t>
  </si>
  <si>
    <t>6 SAINT PAUL ST</t>
  </si>
  <si>
    <t xml:space="preserve">HOUSING FOR GOOD LLC </t>
  </si>
  <si>
    <t>2430 S 18TH ST</t>
  </si>
  <si>
    <t>ISLAND AVE APT 6</t>
  </si>
  <si>
    <t xml:space="preserve">SEILING ROBERT </t>
  </si>
  <si>
    <t>2426 S 18TH ST</t>
  </si>
  <si>
    <t>ORCHARA DR</t>
  </si>
  <si>
    <t>MILLER JOHN P &amp; LYDIA J (W)</t>
  </si>
  <si>
    <t>2424 S 18TH ST</t>
  </si>
  <si>
    <t xml:space="preserve">VFKATIONS LLC </t>
  </si>
  <si>
    <t>164 SAINT PAUL ST</t>
  </si>
  <si>
    <t>4TH AVE UNIT 300</t>
  </si>
  <si>
    <t>0 QUARRY ST</t>
  </si>
  <si>
    <t xml:space="preserve">REZBA ROLAND R </t>
  </si>
  <si>
    <t>2507 S 18TH ST</t>
  </si>
  <si>
    <t xml:space="preserve">LIEB WAYNE H </t>
  </si>
  <si>
    <t>MARGARET ST</t>
  </si>
  <si>
    <t>LIEB HERMAN J &amp; DOROTHY M (W)</t>
  </si>
  <si>
    <t>LIEB HERMAN J &amp; DOROTHY (W)</t>
  </si>
  <si>
    <t>KOTEWICZ EDWARD J &amp; RUTH A</t>
  </si>
  <si>
    <t>2513 S 18TH ST</t>
  </si>
  <si>
    <t>KOTEWICZ EDWARD J &amp; R</t>
  </si>
  <si>
    <t xml:space="preserve">CREAMER JEREMY PAUL </t>
  </si>
  <si>
    <t>18 E AMANDA AVE</t>
  </si>
  <si>
    <t>DYBIEC EDWARD J &amp; NETTIE M</t>
  </si>
  <si>
    <t>0 E AMANDA AVE</t>
  </si>
  <si>
    <t>22 MOUNT OLIVER ST  PITTSBURGH LLC</t>
  </si>
  <si>
    <t>22 MOUNT OLIVER ST</t>
  </si>
  <si>
    <t>22 MOUNT OLIVER ST PI</t>
  </si>
  <si>
    <t>ALDERWOOD DR</t>
  </si>
  <si>
    <t xml:space="preserve">MICHELE MELANIE </t>
  </si>
  <si>
    <t>24 MOUNT OLIVER ST</t>
  </si>
  <si>
    <t>S 22ND ST APT 3-B</t>
  </si>
  <si>
    <t>GELLER NATHAN &amp; CHRISTINE M (W)</t>
  </si>
  <si>
    <t>26 MOUNT OLIVER ST</t>
  </si>
  <si>
    <t xml:space="preserve">ALLEN KEITHIA </t>
  </si>
  <si>
    <t>0 MOUNT OLIVER ST</t>
  </si>
  <si>
    <t xml:space="preserve">BROMLEY CHRISTOPHER </t>
  </si>
  <si>
    <t>42 MOUNT OLIVER ST</t>
  </si>
  <si>
    <t>CHRISTOPHER BROMLEY</t>
  </si>
  <si>
    <t>ORCHARD AVE</t>
  </si>
  <si>
    <t>MARTINEZ ROBERT M MARTINEZ DOREEN A</t>
  </si>
  <si>
    <t>48 MOUNT OLIVER ST</t>
  </si>
  <si>
    <t>MT OLIVER ST</t>
  </si>
  <si>
    <t>ENCORE PROPERTY  MANAGEMENT LLC</t>
  </si>
  <si>
    <t>58 MOUNT OLIVER ST</t>
  </si>
  <si>
    <t>ENCORE PROPERTY MANAG</t>
  </si>
  <si>
    <t>WINELAND DR</t>
  </si>
  <si>
    <t>HERMINIE</t>
  </si>
  <si>
    <t xml:space="preserve">PULGINO ERIC </t>
  </si>
  <si>
    <t>2716 S 18TH ST</t>
  </si>
  <si>
    <t>PULGINO ERIC</t>
  </si>
  <si>
    <t>MILDRED RD</t>
  </si>
  <si>
    <t xml:space="preserve">NOLLE DAVID H </t>
  </si>
  <si>
    <t>NOLLE DAVID H</t>
  </si>
  <si>
    <t>CAMFIELD ST</t>
  </si>
  <si>
    <t xml:space="preserve">ARNOLD ROBERT A </t>
  </si>
  <si>
    <t>2632 S 18TH ST</t>
  </si>
  <si>
    <t>ODETTE ST</t>
  </si>
  <si>
    <t>2665 S 18TH ST</t>
  </si>
  <si>
    <t xml:space="preserve">SHANDOR JEAN M </t>
  </si>
  <si>
    <t>2651 S 18TH ST</t>
  </si>
  <si>
    <t>STEUBEN ST</t>
  </si>
  <si>
    <t>FALKI CHRISTOPHER J &amp; JULIE J (W)</t>
  </si>
  <si>
    <t>2629 S 18TH ST</t>
  </si>
  <si>
    <t>KENNEDY LN</t>
  </si>
  <si>
    <t>VETERANS AFFAIRS ADM  FEDERAL BLDG</t>
  </si>
  <si>
    <t xml:space="preserve">DRAGAN MARTIN </t>
  </si>
  <si>
    <t>2600 QUARRY ST</t>
  </si>
  <si>
    <t>*EBILL* DRAGAN MARTIN</t>
  </si>
  <si>
    <t>PO BOX 59020</t>
  </si>
  <si>
    <t>WOOLLETT CHERYL BALCER   ETAL</t>
  </si>
  <si>
    <t>2604 QUARRY ST</t>
  </si>
  <si>
    <t>WOOLLETT CHERYL BALCE</t>
  </si>
  <si>
    <t>QUARRY ST</t>
  </si>
  <si>
    <t xml:space="preserve">KICHTA HARRY J </t>
  </si>
  <si>
    <t>SULLIVAN ELEANOR WOODS &amp; FELIX (H)</t>
  </si>
  <si>
    <t>0 GABLE ST</t>
  </si>
  <si>
    <t>GABLE ST</t>
  </si>
  <si>
    <t xml:space="preserve">KUNATH TIMOTHY JAMES </t>
  </si>
  <si>
    <t>PO BOX 4</t>
  </si>
  <si>
    <t>LOXAHATCHEE</t>
  </si>
  <si>
    <t xml:space="preserve">RAUP KRISTIN A </t>
  </si>
  <si>
    <t>1604 GABLE ST</t>
  </si>
  <si>
    <t xml:space="preserve">HALL ROBERT R </t>
  </si>
  <si>
    <t xml:space="preserve">MEYERS ARTHUR L JR </t>
  </si>
  <si>
    <t>GREENTREE RD</t>
  </si>
  <si>
    <t xml:space="preserve">NOLLE DAVE </t>
  </si>
  <si>
    <t>1037 MOUNT OLIVER ST</t>
  </si>
  <si>
    <t>NOLLE DAVE</t>
  </si>
  <si>
    <t xml:space="preserve">LUNA INES </t>
  </si>
  <si>
    <t>LUNA INES</t>
  </si>
  <si>
    <t>PO BOX376</t>
  </si>
  <si>
    <t>MOUNTAIN VIEW</t>
  </si>
  <si>
    <t>1737 ARLINGTON AVE</t>
  </si>
  <si>
    <t xml:space="preserve">MC RECONSTRUCTION LLC </t>
  </si>
  <si>
    <t>HAMPTON-PENN DEIJAH  MARIE</t>
  </si>
  <si>
    <t>1777 ARLINGTON AVE</t>
  </si>
  <si>
    <t>HAMPTON-PENN DEIJAH M</t>
  </si>
  <si>
    <t>GORNY EDWARD PAUL &amp; CATHERINE GORNY</t>
  </si>
  <si>
    <t>1789 ARLINGTON AVE</t>
  </si>
  <si>
    <t>MCDONALD MEGAN L MCDONALD LINDA L</t>
  </si>
  <si>
    <t>BARR DELLA ROSE</t>
  </si>
  <si>
    <t xml:space="preserve">SWN ENTERPRISES LLC </t>
  </si>
  <si>
    <t>373 ARLINGTON AVE</t>
  </si>
  <si>
    <t xml:space="preserve">FREVILLE NICHOLAS DAVID </t>
  </si>
  <si>
    <t xml:space="preserve">ELDEN MICHAEL GENE </t>
  </si>
  <si>
    <t>W VENICE AVE UNIT 3</t>
  </si>
  <si>
    <t>VENICE</t>
  </si>
  <si>
    <t>0 WILLIAM ST</t>
  </si>
  <si>
    <t xml:space="preserve">RUPPRECHT DOMINIC IAN </t>
  </si>
  <si>
    <t>427 BAILEY AVE</t>
  </si>
  <si>
    <t xml:space="preserve">SHEETZ ALBERT N </t>
  </si>
  <si>
    <t>0 BAILEY AVE</t>
  </si>
  <si>
    <t>DREAM INVESTMENTS GROUP  LLC</t>
  </si>
  <si>
    <t>55 ROANOKE ST</t>
  </si>
  <si>
    <t>DREAM INVESTMENTS GRO</t>
  </si>
  <si>
    <t xml:space="preserve">DREAM INVESTS GROUP LLC </t>
  </si>
  <si>
    <t>0 ROANOKE ST</t>
  </si>
  <si>
    <t>DREAM INVESTS GROUP L</t>
  </si>
  <si>
    <t>626 ARLINGTON AVE</t>
  </si>
  <si>
    <t>628 ARLINGTON AVE</t>
  </si>
  <si>
    <t>DREAM INVESTMENTS GROUP  L L C</t>
  </si>
  <si>
    <t>634 ARLINGTON AVE</t>
  </si>
  <si>
    <t>DREAM INVESTMENTS GROUP  LLC GROUP LLC</t>
  </si>
  <si>
    <t xml:space="preserve">WATSON CARLDEE </t>
  </si>
  <si>
    <t>652 ARLINGTON AVE</t>
  </si>
  <si>
    <t xml:space="preserve">SAMRENY JASON PAUL                              </t>
  </si>
  <si>
    <t>SAMRENY JASON PAUL</t>
  </si>
  <si>
    <t>APPLETON CIR S</t>
  </si>
  <si>
    <t xml:space="preserve">WINDOM DEVELOPMENT LLC </t>
  </si>
  <si>
    <t>620 WINDOM ST</t>
  </si>
  <si>
    <t>WINDOM DEVELOPMENT LL</t>
  </si>
  <si>
    <t>BABCOCK BLVD</t>
  </si>
  <si>
    <t>624 WINDOM ST</t>
  </si>
  <si>
    <t>626 WINDOM ST</t>
  </si>
  <si>
    <t xml:space="preserve">LEONE REMO </t>
  </si>
  <si>
    <t>443 KATHLEEN ST</t>
  </si>
  <si>
    <t xml:space="preserve">PHH MORTGAGE CORPORATION </t>
  </si>
  <si>
    <t>0 CRAIGHEAD ST</t>
  </si>
  <si>
    <t>PHH MORTGAGE CORPORAT</t>
  </si>
  <si>
    <t>MORTGAGE WAY</t>
  </si>
  <si>
    <t>MOUNT LAUREL</t>
  </si>
  <si>
    <t xml:space="preserve">CURRIN SHAWN                                    </t>
  </si>
  <si>
    <t>442 RUXTON ST</t>
  </si>
  <si>
    <t>CURRIN SHAWN &amp; DAWN</t>
  </si>
  <si>
    <t>RUXTON ST</t>
  </si>
  <si>
    <t xml:space="preserve">POOLE RONALD H </t>
  </si>
  <si>
    <t>440 RUXTON ST</t>
  </si>
  <si>
    <t>POOLE RONALD H</t>
  </si>
  <si>
    <t>DRINWAY DR</t>
  </si>
  <si>
    <t xml:space="preserve">CURRIN SHAWN E                                  </t>
  </si>
  <si>
    <t>438 RUXTON ST</t>
  </si>
  <si>
    <t xml:space="preserve">YINZ FUND I LLC </t>
  </si>
  <si>
    <t>434 IBERIA ST</t>
  </si>
  <si>
    <t>W 56TH ST APT 265</t>
  </si>
  <si>
    <t xml:space="preserve">HIRSCHFIELD SALLY </t>
  </si>
  <si>
    <t>58 CRAIGHEAD ST</t>
  </si>
  <si>
    <t>58 1/2 CRAIGHEAD ST</t>
  </si>
  <si>
    <t xml:space="preserve">DEJOHN MARGIE </t>
  </si>
  <si>
    <t>55 CRAIGHEAD ST</t>
  </si>
  <si>
    <t>NUGENT HAROLD P &amp; CLAUDIA A (W)</t>
  </si>
  <si>
    <t>33 CRAIGHEAD ST</t>
  </si>
  <si>
    <t xml:space="preserve">WOLFE CHERYL L </t>
  </si>
  <si>
    <t>8 BELTZHOOVER AVE</t>
  </si>
  <si>
    <t>BELTZHOOVER AVE</t>
  </si>
  <si>
    <t xml:space="preserve">MCGOUGH JOHN M JR </t>
  </si>
  <si>
    <t>58 BELTZHOOVER AVE</t>
  </si>
  <si>
    <t xml:space="preserve">KIELUR SAMSON J </t>
  </si>
  <si>
    <t>614 MCLAIN ST</t>
  </si>
  <si>
    <t>MCKENNY DR</t>
  </si>
  <si>
    <t xml:space="preserve">20 MILLBRIDGE LAND TRUST </t>
  </si>
  <si>
    <t>20 MILLBRIDGE ST</t>
  </si>
  <si>
    <t>CARLTON CREATIVE SOLUTIONS LLC</t>
  </si>
  <si>
    <t>NICKLES DONNA FURGUIELE  &amp; JOHN ANTHONY F URGUIEL</t>
  </si>
  <si>
    <t>41 BELTZHOOVER AVE</t>
  </si>
  <si>
    <t>NICKLES DONNA FURGUIE</t>
  </si>
  <si>
    <t>MARTIN JANET A ETAL</t>
  </si>
  <si>
    <t>3 SCIENCE ST</t>
  </si>
  <si>
    <t>SCIENCE ST</t>
  </si>
  <si>
    <t>27 ROANOKE ST</t>
  </si>
  <si>
    <t>HOMESTEAD FUNDING COP</t>
  </si>
  <si>
    <t xml:space="preserve">CASTO FRED CHARLES </t>
  </si>
  <si>
    <t>67 HANOVER ST</t>
  </si>
  <si>
    <t>HANOVER ST</t>
  </si>
  <si>
    <t>0 EMERALD ST</t>
  </si>
  <si>
    <t xml:space="preserve">TIMLIN THOMAS G &amp; ROSE M </t>
  </si>
  <si>
    <t>921 MCLAIN ST</t>
  </si>
  <si>
    <t>MCLAIN ST</t>
  </si>
  <si>
    <t xml:space="preserve">GRANDVIEW SOUTH HOMES LP </t>
  </si>
  <si>
    <t>719 EUREKA ST</t>
  </si>
  <si>
    <t>GRANDVIEW SOUTH HOMES</t>
  </si>
  <si>
    <t>OLD GATESBURG RD STE 200</t>
  </si>
  <si>
    <t xml:space="preserve">WENTZEL BRANDON J </t>
  </si>
  <si>
    <t>722 MCLAIN ST</t>
  </si>
  <si>
    <t>WENTZEL BRANDON J</t>
  </si>
  <si>
    <t>KIRSOPP AVE</t>
  </si>
  <si>
    <t>WOLFE KENNETH L WOLFE CHERYL</t>
  </si>
  <si>
    <t>723 EUREKA ST</t>
  </si>
  <si>
    <t>EUREKA ST</t>
  </si>
  <si>
    <t xml:space="preserve">STEHLE KIM </t>
  </si>
  <si>
    <t>729 EUREKA ST</t>
  </si>
  <si>
    <t>GUDENBURR VICKI L &amp; DONALD T (H)</t>
  </si>
  <si>
    <t>735 EUREKA ST</t>
  </si>
  <si>
    <t>ALLEN ST</t>
  </si>
  <si>
    <t>BUCARO MICHAEL N &amp; JEAN F (W)</t>
  </si>
  <si>
    <t>738 MCLAIN ST</t>
  </si>
  <si>
    <t>BUCARO MICHAEL N &amp; JE</t>
  </si>
  <si>
    <t>E CARSON ST APT 215</t>
  </si>
  <si>
    <t xml:space="preserve">STEELWATER GROUP LLC </t>
  </si>
  <si>
    <t>744 MCLAIN ST</t>
  </si>
  <si>
    <t xml:space="preserve">PEOPLE'S PARTNERSHIP LLC </t>
  </si>
  <si>
    <t>805 EUREKA ST</t>
  </si>
  <si>
    <t xml:space="preserve">PEOPLE'S PARTNERSHIP </t>
  </si>
  <si>
    <t xml:space="preserve">MOSS ADAM </t>
  </si>
  <si>
    <t>0 MCLAIN ST</t>
  </si>
  <si>
    <t>N LARRABEE ST APT 1503</t>
  </si>
  <si>
    <t xml:space="preserve">ROMAN ROGER </t>
  </si>
  <si>
    <t>837 EUREKA ST</t>
  </si>
  <si>
    <t xml:space="preserve">REALTY SOLUTIONS NOW </t>
  </si>
  <si>
    <t>WESTOVER DR STE 16600</t>
  </si>
  <si>
    <t>SANFORD</t>
  </si>
  <si>
    <t>STUTZMAN EVELYN M &amp; TERRY L (W)</t>
  </si>
  <si>
    <t>847 EUREKA ST</t>
  </si>
  <si>
    <t xml:space="preserve">DISTILLI DAVID J                                </t>
  </si>
  <si>
    <t>913 EUREKA ST</t>
  </si>
  <si>
    <t xml:space="preserve">HOWARD MARK </t>
  </si>
  <si>
    <t xml:space="preserve">CONNELLY PAUL </t>
  </si>
  <si>
    <t>908 ARLINGTON AVE</t>
  </si>
  <si>
    <t xml:space="preserve">RABINEK RICHARD J </t>
  </si>
  <si>
    <t>50 HARTFORD ST</t>
  </si>
  <si>
    <t xml:space="preserve">FULMORE MICHAEL D </t>
  </si>
  <si>
    <t>3 RENWICK ST</t>
  </si>
  <si>
    <t>RENWICK ST</t>
  </si>
  <si>
    <t>0 RENWICK ST</t>
  </si>
  <si>
    <t xml:space="preserve">CARR ALFRED J </t>
  </si>
  <si>
    <t>4 RENWICK ST</t>
  </si>
  <si>
    <t xml:space="preserve">PIRRING RONALD </t>
  </si>
  <si>
    <t>0 EUREKA ST</t>
  </si>
  <si>
    <t>PAUL ST # 2</t>
  </si>
  <si>
    <t xml:space="preserve">STARR KATHERINE L  MITCHELL                </t>
  </si>
  <si>
    <t>166 ARLINGTON AVE</t>
  </si>
  <si>
    <t>STARR KATHERINE L MIT</t>
  </si>
  <si>
    <t xml:space="preserve">BAILEY'S POINT  LLC </t>
  </si>
  <si>
    <t>1 BAILEY AVE</t>
  </si>
  <si>
    <t xml:space="preserve">PARKS DANIELLE M </t>
  </si>
  <si>
    <t>114 BAILEY AVE</t>
  </si>
  <si>
    <t>NATIONWIDE MORTGAGE B</t>
  </si>
  <si>
    <t>HUNTINGTON QUADRANGLE STE 420N</t>
  </si>
  <si>
    <t>MELVILLE</t>
  </si>
  <si>
    <t xml:space="preserve">PETROUSKI ASHLEY M </t>
  </si>
  <si>
    <t>24 HABERMAN AVE</t>
  </si>
  <si>
    <t xml:space="preserve">BOYDEN FAMILY TRUST                             </t>
  </si>
  <si>
    <t>405 KAMBACH ST</t>
  </si>
  <si>
    <t xml:space="preserve">CHE YUCHI                                       </t>
  </si>
  <si>
    <t>403 KAMBACH ST</t>
  </si>
  <si>
    <t>VANTAGE POINT REAL  ESTATE LLC</t>
  </si>
  <si>
    <t>333 KAMBACH ST</t>
  </si>
  <si>
    <t>VANTAGE POINT REAL ES</t>
  </si>
  <si>
    <t>WOODRUFF ST</t>
  </si>
  <si>
    <t xml:space="preserve">MERRILL GREG </t>
  </si>
  <si>
    <t>331 KAMBACH ST</t>
  </si>
  <si>
    <t xml:space="preserve">AM1 ENTERPRISES LLC </t>
  </si>
  <si>
    <t>313 KAMBACH ST</t>
  </si>
  <si>
    <t>AM1 ENTERPRISES LLC</t>
  </si>
  <si>
    <t>COPELAND PL</t>
  </si>
  <si>
    <t>FARMINGDALE</t>
  </si>
  <si>
    <t xml:space="preserve">GRUNIS LEO </t>
  </si>
  <si>
    <t>309 KAMBACH ST</t>
  </si>
  <si>
    <t>MCCOLLUM WILLIAM G &amp; MARGARET (W)</t>
  </si>
  <si>
    <t>356 BAILEY AVE</t>
  </si>
  <si>
    <t xml:space="preserve">MCCOLLUM WILLIAM G &amp; </t>
  </si>
  <si>
    <t xml:space="preserve">PIERGALLINI TODD J </t>
  </si>
  <si>
    <t>402 BAILEY AVE</t>
  </si>
  <si>
    <t>PIERGALLINI TODD J</t>
  </si>
  <si>
    <t xml:space="preserve">JJ&amp;A PROPERTIES LLC </t>
  </si>
  <si>
    <t>47 BAILEY AVE</t>
  </si>
  <si>
    <t>JJ&amp;A PROPERTIES LLC</t>
  </si>
  <si>
    <t>HARDWOOD DR</t>
  </si>
  <si>
    <t xml:space="preserve">INCMIKOSKI ROBERT F </t>
  </si>
  <si>
    <t>135 BAILEY AVE</t>
  </si>
  <si>
    <t>FRANKLIN AMERICAN MOR</t>
  </si>
  <si>
    <t xml:space="preserve">BUCHNER JAMES DENNIS JR                         </t>
  </si>
  <si>
    <t>316 BIGBEE ST</t>
  </si>
  <si>
    <t xml:space="preserve">BUCHNER JAMES DENNIS </t>
  </si>
  <si>
    <t xml:space="preserve">HOOVER DAVID L                                  </t>
  </si>
  <si>
    <t>320 BIGBEE ST</t>
  </si>
  <si>
    <t xml:space="preserve">LAMBROU PETER J </t>
  </si>
  <si>
    <t>322 BIGBEE ST</t>
  </si>
  <si>
    <t>BIGBEE ST</t>
  </si>
  <si>
    <t xml:space="preserve">MANN LESLEY                                     </t>
  </si>
  <si>
    <t>326 BIGBEE ST</t>
  </si>
  <si>
    <t>PIEDMONT RD NE STE 600</t>
  </si>
  <si>
    <t xml:space="preserve">GOSWAMI NABA                                    </t>
  </si>
  <si>
    <t>342 BIGBEE ST</t>
  </si>
  <si>
    <t>PO BOX 6085</t>
  </si>
  <si>
    <t>SUHOSKI WILLIAM &amp; MICHELE (W)</t>
  </si>
  <si>
    <t>355 BAILEY AVE</t>
  </si>
  <si>
    <t>WOODEWARD AVE</t>
  </si>
  <si>
    <t>WISNOCK KAARSTEN  PATRICE &amp; MICHAEL DANIEL</t>
  </si>
  <si>
    <t>73 RUTH ST</t>
  </si>
  <si>
    <t xml:space="preserve">AMERICAN IMPORT &amp; EXPORT TRADING CO LLC   </t>
  </si>
  <si>
    <t>65 CUSHMAN ST</t>
  </si>
  <si>
    <t>AMERICAN IMPORT &amp; EXP</t>
  </si>
  <si>
    <t xml:space="preserve">GALANDO LESLIE </t>
  </si>
  <si>
    <t>49 RUTH ST</t>
  </si>
  <si>
    <t>GALASSO ZACHARY &amp; BREANNE (W)</t>
  </si>
  <si>
    <t>33 RUTH ST</t>
  </si>
  <si>
    <t xml:space="preserve">STUCKWISH RANDAL SCOTT </t>
  </si>
  <si>
    <t>104 KENOVA ST</t>
  </si>
  <si>
    <t xml:space="preserve">KOUKNAS PAUL </t>
  </si>
  <si>
    <t>110 KENOVA ST</t>
  </si>
  <si>
    <t>MEADOWGREEN DR</t>
  </si>
  <si>
    <t xml:space="preserve">GARTLEY ERIC N </t>
  </si>
  <si>
    <t>104 KATHLEEN ST</t>
  </si>
  <si>
    <t>MARGARITE DR UNIT B</t>
  </si>
  <si>
    <t>LUTZ ANTHONY W &amp; KERRY LYNN (W)</t>
  </si>
  <si>
    <t>46 HARWOOD ST</t>
  </si>
  <si>
    <t>HARWOOD ST</t>
  </si>
  <si>
    <t>48 HARWOOD ST</t>
  </si>
  <si>
    <t xml:space="preserve">KROCKE AARON JAMES </t>
  </si>
  <si>
    <t>58 HARWOOD ST</t>
  </si>
  <si>
    <t>KROCKE AARON J. AND C</t>
  </si>
  <si>
    <t>PO BOX 6014</t>
  </si>
  <si>
    <t xml:space="preserve">KROCKE AARON </t>
  </si>
  <si>
    <t>61 HARWOOD ST</t>
  </si>
  <si>
    <t>CODISPOTI JAMES B &amp; MARGARET A</t>
  </si>
  <si>
    <t>126 KENOVA ST</t>
  </si>
  <si>
    <t>WHITED ST</t>
  </si>
  <si>
    <t xml:space="preserve">FIKE JEFFREY S </t>
  </si>
  <si>
    <t>311 KATHLEEN ST</t>
  </si>
  <si>
    <t>KATHLEEN ST</t>
  </si>
  <si>
    <t xml:space="preserve">MANNING LINDSAY K </t>
  </si>
  <si>
    <t>415 KATHLEEN ST</t>
  </si>
  <si>
    <t xml:space="preserve">HODGES DAVID R </t>
  </si>
  <si>
    <t>421 KATHLEEN ST</t>
  </si>
  <si>
    <t>FRAZIER DONALD J &amp; BERNADETTE (W)</t>
  </si>
  <si>
    <t>0 KATHLEEN ST</t>
  </si>
  <si>
    <t>FRAZIER DONALD J &amp; BE</t>
  </si>
  <si>
    <t>KATHLEEN ST APT 1</t>
  </si>
  <si>
    <t>KEY POINT REAL ESTATE  LLC</t>
  </si>
  <si>
    <t>420 KATHLEEN ST</t>
  </si>
  <si>
    <t>HAGAN ACCOUNTING</t>
  </si>
  <si>
    <t xml:space="preserve">RP2ALL LLC </t>
  </si>
  <si>
    <t xml:space="preserve">ANDERSON WILLARD L II </t>
  </si>
  <si>
    <t>400 KATHLEEN ST</t>
  </si>
  <si>
    <t xml:space="preserve">DARRIGO EDWARD A </t>
  </si>
  <si>
    <t>212 KATHLEEN ST</t>
  </si>
  <si>
    <t xml:space="preserve">DAUGHERTY IAN C </t>
  </si>
  <si>
    <t>229 RUXTON ST</t>
  </si>
  <si>
    <t xml:space="preserve">PASLOW ADELE </t>
  </si>
  <si>
    <t>401 RUXTON ST</t>
  </si>
  <si>
    <t>STOLTZ RD</t>
  </si>
  <si>
    <t xml:space="preserve">CORACE JACQUELINE L </t>
  </si>
  <si>
    <t>409 RUXTON ST</t>
  </si>
  <si>
    <t xml:space="preserve">HALPIN BARBARA D                                </t>
  </si>
  <si>
    <t>416 IBERIA ST</t>
  </si>
  <si>
    <t>TALLY DR</t>
  </si>
  <si>
    <t xml:space="preserve">TITCHWORTH CAROLYN M </t>
  </si>
  <si>
    <t>410 IBERIA ST</t>
  </si>
  <si>
    <t>ALBINE DR</t>
  </si>
  <si>
    <t xml:space="preserve">BARR MARISSA S &amp; ADAM (H)                </t>
  </si>
  <si>
    <t>47 ESTELLA AVE</t>
  </si>
  <si>
    <t>ABDULOVIC RICHARD  &amp; LYNETTE (W)</t>
  </si>
  <si>
    <t>413 EUREKA ST</t>
  </si>
  <si>
    <t xml:space="preserve">LEWIS ZACHARY JOSEPH </t>
  </si>
  <si>
    <t>417 EUREKA ST</t>
  </si>
  <si>
    <t xml:space="preserve">CARR ROBERT </t>
  </si>
  <si>
    <t>425 EUREKA ST</t>
  </si>
  <si>
    <t>SHERIDAN WILBERT L &amp; GERALD SHERIDAN</t>
  </si>
  <si>
    <t>0 ESTELLA AVE</t>
  </si>
  <si>
    <t>ESTELLA ST</t>
  </si>
  <si>
    <t xml:space="preserve">OLEARY DANIEL T </t>
  </si>
  <si>
    <t>30 ESTELLA AVE</t>
  </si>
  <si>
    <t>ESTELLA AVE</t>
  </si>
  <si>
    <t xml:space="preserve">OMALLEY TOXY </t>
  </si>
  <si>
    <t>26 ESTELLA AVE</t>
  </si>
  <si>
    <t xml:space="preserve">CROWLEY ERIN B </t>
  </si>
  <si>
    <t>226 RUXTON ST</t>
  </si>
  <si>
    <t xml:space="preserve">KRAMER ROBERT G </t>
  </si>
  <si>
    <t>224 RUXTON ST</t>
  </si>
  <si>
    <t>44 PASADENA ST</t>
  </si>
  <si>
    <t>0 PASADENA ST</t>
  </si>
  <si>
    <t>38 PASADENA ST</t>
  </si>
  <si>
    <t xml:space="preserve">BIRMINGHAM HOLDINGS LLC </t>
  </si>
  <si>
    <t>36 PASADENA ST</t>
  </si>
  <si>
    <t>FILIPOIU COSTINEL &amp; MARINELA (W)</t>
  </si>
  <si>
    <t>34 PASADENA ST</t>
  </si>
  <si>
    <t>FILIPOIU COSTINEL &amp; M</t>
  </si>
  <si>
    <t>8 ESTERBROOKE AVE</t>
  </si>
  <si>
    <t>ONTARIO</t>
  </si>
  <si>
    <t xml:space="preserve">PETRICK MICHAEL R </t>
  </si>
  <si>
    <t>0 HABERMAN AVE</t>
  </si>
  <si>
    <t>STONE &amp; STEEL INVESTMENTS LLC</t>
  </si>
  <si>
    <t>79 HABERMAN AVE</t>
  </si>
  <si>
    <t>STONE &amp; STEEL INVESTM</t>
  </si>
  <si>
    <t xml:space="preserve">MEEHAN WILLIAM F III </t>
  </si>
  <si>
    <t xml:space="preserve">SHIELDS PAULINE A </t>
  </si>
  <si>
    <t>69 HARWOOD ST</t>
  </si>
  <si>
    <t xml:space="preserve">WILDCAT PROPERTIES LLC </t>
  </si>
  <si>
    <t>43 HABERMAN AVE</t>
  </si>
  <si>
    <t>WILDCAT PROPERTIES LL</t>
  </si>
  <si>
    <t>SONNI LN</t>
  </si>
  <si>
    <t xml:space="preserve">MATCHETT ROBERT DAVID </t>
  </si>
  <si>
    <t>446 WINTON ST</t>
  </si>
  <si>
    <t xml:space="preserve">INDUSTRY ENTERPRISES LLC </t>
  </si>
  <si>
    <t>447 EDGEMONT ST</t>
  </si>
  <si>
    <t>YOUNG ALFRED C JR &amp; PATRICIA R (W)</t>
  </si>
  <si>
    <t>433 EDGEMONT ST</t>
  </si>
  <si>
    <t>YOUNG ALFRED C JR &amp; P</t>
  </si>
  <si>
    <t>EDGEMONT ST</t>
  </si>
  <si>
    <t xml:space="preserve">HARRISON KEISHIA </t>
  </si>
  <si>
    <t>436 EDGEMONT ST</t>
  </si>
  <si>
    <t xml:space="preserve">CROWLEY KATHRYN M TRUST </t>
  </si>
  <si>
    <t>424 KINGSBORO ST</t>
  </si>
  <si>
    <t>JEFF WALLACE</t>
  </si>
  <si>
    <t>ROSEMOUNT DR</t>
  </si>
  <si>
    <t>DAFFERN DAVID &amp; JULIE (W)</t>
  </si>
  <si>
    <t>432 KINGSBORO ST</t>
  </si>
  <si>
    <t>DAFFERN DAVID &amp; JULIE</t>
  </si>
  <si>
    <t>BROADHEAD RD APT 7</t>
  </si>
  <si>
    <t>428 KINGSBORO ST</t>
  </si>
  <si>
    <t>KINGSBORO ST</t>
  </si>
  <si>
    <t>LEWIS JAMES E &amp; WANDA M LEWIS</t>
  </si>
  <si>
    <t>425 E WARRINGTON AVE</t>
  </si>
  <si>
    <t xml:space="preserve">TREVANT DIMITRI </t>
  </si>
  <si>
    <t>109 CRAIGHEAD ST</t>
  </si>
  <si>
    <t>TREVANT DIMITRI</t>
  </si>
  <si>
    <t>FALKWOOD RD</t>
  </si>
  <si>
    <t xml:space="preserve">THORNTON DANIELLE M </t>
  </si>
  <si>
    <t>103 CRAIGHEAD ST</t>
  </si>
  <si>
    <t xml:space="preserve">DAVIDSON BETHANY E </t>
  </si>
  <si>
    <t>85 CRAIGHEAD ST</t>
  </si>
  <si>
    <t xml:space="preserve">JHUNJHNUWALA GISELLE </t>
  </si>
  <si>
    <t xml:space="preserve">SKY IRON CREATIVE LLC </t>
  </si>
  <si>
    <t>72 BELTZHOOVER AVE</t>
  </si>
  <si>
    <t>SKY IRON CREATIVE LLC</t>
  </si>
  <si>
    <t>STROHM DR</t>
  </si>
  <si>
    <t xml:space="preserve">BEY ELISHA </t>
  </si>
  <si>
    <t>93 BELTZHOOVER AVE</t>
  </si>
  <si>
    <t>HAZEL ST</t>
  </si>
  <si>
    <t xml:space="preserve">KIRK ALYSSA </t>
  </si>
  <si>
    <t>91 BELTZHOOVER AVE</t>
  </si>
  <si>
    <t xml:space="preserve">ALLIANCE PA HOLDING LLC </t>
  </si>
  <si>
    <t>616 EDGEMONT ST</t>
  </si>
  <si>
    <t xml:space="preserve">ZANMI ENTERPRISES LLC </t>
  </si>
  <si>
    <t>614 EDGEMONT ST</t>
  </si>
  <si>
    <t>ZANMI ENTERPRISES LLC</t>
  </si>
  <si>
    <t>MILLER LILLIAN ETAL</t>
  </si>
  <si>
    <t>612 EDGEMONT ST</t>
  </si>
  <si>
    <t>SECORD NORTH LLC ETAL</t>
  </si>
  <si>
    <t>605 E WARRINGTON AVE</t>
  </si>
  <si>
    <t>AM LTD CO</t>
  </si>
  <si>
    <t>PO BOX 2</t>
  </si>
  <si>
    <t xml:space="preserve">PEOPLES PARTNERSHIP LLC </t>
  </si>
  <si>
    <t>615 E WARRINGTON AVE</t>
  </si>
  <si>
    <t>PEOPLES PARTNERSHIP L</t>
  </si>
  <si>
    <t xml:space="preserve">MARQUIS PROPERTIES LLC </t>
  </si>
  <si>
    <t>54 MILLBRIDGE ST</t>
  </si>
  <si>
    <t>MARQUIS PROPERTIES LL</t>
  </si>
  <si>
    <t>MILLBRIDGE</t>
  </si>
  <si>
    <t>STEFANAKIS RICHARD A &amp; STEPHANIE J (W)</t>
  </si>
  <si>
    <t>628 EXCELSIOR ST</t>
  </si>
  <si>
    <t>JOHNSON JAMES JR &amp; LESLIE L MABEN JOHNSON (</t>
  </si>
  <si>
    <t>614 EXCELSIOR ST</t>
  </si>
  <si>
    <t>JOHNSON JAMES JR &amp; LE</t>
  </si>
  <si>
    <t xml:space="preserve">EDWARDS SHANE SR                                </t>
  </si>
  <si>
    <t>75 BELTZHOOVER AVE</t>
  </si>
  <si>
    <t>BELTZHOOVER WAY</t>
  </si>
  <si>
    <t xml:space="preserve">ARMBRUSTER ANNA M </t>
  </si>
  <si>
    <t>0 PEDRO WAY</t>
  </si>
  <si>
    <t xml:space="preserve">BLUE WATERS REALTY TRUST </t>
  </si>
  <si>
    <t>73 PEDRO WAY</t>
  </si>
  <si>
    <t>BLUE WATERS REALTY TR</t>
  </si>
  <si>
    <t>PO BOX 248</t>
  </si>
  <si>
    <t xml:space="preserve">BEY FAIECLICE F </t>
  </si>
  <si>
    <t>611 EXCELSIOR ST</t>
  </si>
  <si>
    <t xml:space="preserve">SFR3-030 LLC </t>
  </si>
  <si>
    <t>23 MILLBRIDGE ST</t>
  </si>
  <si>
    <t>29 MILLBRIDGE ST</t>
  </si>
  <si>
    <t xml:space="preserve">MILLBRIDGE 33 LLC                               </t>
  </si>
  <si>
    <t>33 MILLBRIDGE ST</t>
  </si>
  <si>
    <t>SYLLA ABDOULAYE ASANAR JOHARA BEEBI</t>
  </si>
  <si>
    <t>39 MILLBRIDGE ST</t>
  </si>
  <si>
    <t xml:space="preserve">LOWRY JOSHUA </t>
  </si>
  <si>
    <t>705 EXCELSIOR ST</t>
  </si>
  <si>
    <t>JOSHUA LOWRY</t>
  </si>
  <si>
    <t xml:space="preserve">YOUNG ROBERT S </t>
  </si>
  <si>
    <t>59 MILLBRIDGE ST</t>
  </si>
  <si>
    <t xml:space="preserve">TROY ERIK D </t>
  </si>
  <si>
    <t>61 MILLBRIDGE ST</t>
  </si>
  <si>
    <t>67 MILLBRIDGE ST</t>
  </si>
  <si>
    <t xml:space="preserve">A+ CHILDCARE LLC </t>
  </si>
  <si>
    <t>705 E WARRINGTON AVE</t>
  </si>
  <si>
    <t xml:space="preserve">RE360 SS PARTNERS IV LP </t>
  </si>
  <si>
    <t>634 E WARRINGTON AVE</t>
  </si>
  <si>
    <t xml:space="preserve">RE360 SS PARTNERS IV </t>
  </si>
  <si>
    <t xml:space="preserve">BAKER JANINE </t>
  </si>
  <si>
    <t>620 E WARRINGTON AVE</t>
  </si>
  <si>
    <t>COSTELLO THOMAS J &amp; BESSIE M (W)</t>
  </si>
  <si>
    <t>0 BELTZHOOVER AVE</t>
  </si>
  <si>
    <t xml:space="preserve">MORTON EARL J </t>
  </si>
  <si>
    <t>520 E WARRINGTON AVE</t>
  </si>
  <si>
    <t>CARNIVAL WAY</t>
  </si>
  <si>
    <t xml:space="preserve">TYH PA 11 LLC </t>
  </si>
  <si>
    <t>508 E WARRINGTON AVE</t>
  </si>
  <si>
    <t>TYH PA 11 LLC</t>
  </si>
  <si>
    <t xml:space="preserve">SOUKUP RALPH W &amp; SUZANNE </t>
  </si>
  <si>
    <t>0 MANTON WAY</t>
  </si>
  <si>
    <t>MANTON WAY</t>
  </si>
  <si>
    <t xml:space="preserve">WOLFE JESSICA Z </t>
  </si>
  <si>
    <t xml:space="preserve">SHAMMAS ELIAS </t>
  </si>
  <si>
    <t>714 EUREKA ST</t>
  </si>
  <si>
    <t>MAPLE CT</t>
  </si>
  <si>
    <t xml:space="preserve">PGH CITY HOLDINGS LLC </t>
  </si>
  <si>
    <t>19 ALLEN ST</t>
  </si>
  <si>
    <t>ROCKY PEAK ENTERPRISES  LLC</t>
  </si>
  <si>
    <t>733 CERES WAY</t>
  </si>
  <si>
    <t>ROCKY PEAK ENTERPRISE</t>
  </si>
  <si>
    <t>ROUTE 30</t>
  </si>
  <si>
    <t xml:space="preserve">DAVIS CHARLES H III </t>
  </si>
  <si>
    <t>27 ALLEN ST</t>
  </si>
  <si>
    <t>ALLEN AVE</t>
  </si>
  <si>
    <t xml:space="preserve">FREUND BRITTANY </t>
  </si>
  <si>
    <t>743 EXCELSIOR ST</t>
  </si>
  <si>
    <t>FREUND BRITTANY</t>
  </si>
  <si>
    <t xml:space="preserve">PENA ANA </t>
  </si>
  <si>
    <t>0 EXCELSIOR ST</t>
  </si>
  <si>
    <t>102ND AVE</t>
  </si>
  <si>
    <t>OZONE PARK</t>
  </si>
  <si>
    <t>WALSH THOMAS JOSEPH JR &amp; LEAH MARIE (W)</t>
  </si>
  <si>
    <t>723 EXCELSIOR ST</t>
  </si>
  <si>
    <t>712 EXCELSIOR ST</t>
  </si>
  <si>
    <t xml:space="preserve">LUBAWSKI CHRISTINE D </t>
  </si>
  <si>
    <t>716 EXCELSIOR ST</t>
  </si>
  <si>
    <t>LUBAWSKI CHRISTINE D</t>
  </si>
  <si>
    <t>EXCELSIOR AVE</t>
  </si>
  <si>
    <t xml:space="preserve">WURM CRYSTAL GAIL </t>
  </si>
  <si>
    <t>718 EXCELSIOR ST</t>
  </si>
  <si>
    <t xml:space="preserve">SCHMELLA JONATHAN B </t>
  </si>
  <si>
    <t>720 EXCELSIOR ST</t>
  </si>
  <si>
    <t>722 EXCELSIOR TRUST      ETAL</t>
  </si>
  <si>
    <t>RUSH HOWE</t>
  </si>
  <si>
    <t xml:space="preserve">SPINPITTSBURGH LLC </t>
  </si>
  <si>
    <t>PO BOX 90053</t>
  </si>
  <si>
    <t xml:space="preserve">JULIA STIEFEL LILIANA </t>
  </si>
  <si>
    <t>41 ALLEN ST</t>
  </si>
  <si>
    <t>JULIA STIEFEL LILIANA</t>
  </si>
  <si>
    <t xml:space="preserve">MEYERS RAYMOND </t>
  </si>
  <si>
    <t>47 ALLEN ST</t>
  </si>
  <si>
    <t>FOUR CORNERS HOLDINGS  INC</t>
  </si>
  <si>
    <t>727 CARNIVAL WAY</t>
  </si>
  <si>
    <t>PO BOX 134</t>
  </si>
  <si>
    <t xml:space="preserve">WENTZEL REALITY LLC </t>
  </si>
  <si>
    <t>741 E WARRINGTON AVE</t>
  </si>
  <si>
    <t>WENTZEL REALITY LLC</t>
  </si>
  <si>
    <t>108 WALTER ST</t>
  </si>
  <si>
    <t>HILLTOP COMMUNITY HOLDINGS LLC</t>
  </si>
  <si>
    <t>744 E WARRINGTON AVE</t>
  </si>
  <si>
    <t xml:space="preserve">WOODSON MICHAEL T </t>
  </si>
  <si>
    <t>750 E WARRINGTON AVE</t>
  </si>
  <si>
    <t>WOODSON MICHAEL T</t>
  </si>
  <si>
    <t xml:space="preserve">JONES DIAHANN </t>
  </si>
  <si>
    <t>119 WALTER ST</t>
  </si>
  <si>
    <t>KAPOPOULOS JOSEPH PAUL  JR</t>
  </si>
  <si>
    <t>0 ALLEN ST</t>
  </si>
  <si>
    <t>FAIRSTON ST</t>
  </si>
  <si>
    <t>SHIALABBA RONALD &amp; TARA GIBSON (W)</t>
  </si>
  <si>
    <t>809 CERES WAY</t>
  </si>
  <si>
    <t>SHIALABBA RONALD &amp; TA</t>
  </si>
  <si>
    <t>E AGNEW AVE</t>
  </si>
  <si>
    <t>SPECK GEORGE H &amp; MARGARET J (W)</t>
  </si>
  <si>
    <t>812 EUREKA ST</t>
  </si>
  <si>
    <t xml:space="preserve">TULICK JOSEPH R </t>
  </si>
  <si>
    <t>814 EUREKA ST</t>
  </si>
  <si>
    <t xml:space="preserve">3 R PROPERTIES LLC </t>
  </si>
  <si>
    <t>25 EMERALD ST</t>
  </si>
  <si>
    <t xml:space="preserve">CODORI LAURA </t>
  </si>
  <si>
    <t>850 CERES WAY</t>
  </si>
  <si>
    <t>EUREKA AVE</t>
  </si>
  <si>
    <t xml:space="preserve">HILL STACEY M </t>
  </si>
  <si>
    <t xml:space="preserve">NAS PROPERTIES </t>
  </si>
  <si>
    <t>809 EXCELSIOR ST</t>
  </si>
  <si>
    <t xml:space="preserve">RJH JR PROPERTIES LLC </t>
  </si>
  <si>
    <t>811 EXCELSIOR ST</t>
  </si>
  <si>
    <t>VILLAWOOD AVE</t>
  </si>
  <si>
    <t>NOLAN JOSEPH E &amp; ANITA L (W)</t>
  </si>
  <si>
    <t>837 EXCELSIOR ST</t>
  </si>
  <si>
    <t>NOLAN JOSEPH E &amp; ANIT</t>
  </si>
  <si>
    <t xml:space="preserve">REISDORF JOHN M </t>
  </si>
  <si>
    <t>847 EXCELSIOR ST</t>
  </si>
  <si>
    <t xml:space="preserve">STEWART BRENT </t>
  </si>
  <si>
    <t>836 EXCELSIOR ST</t>
  </si>
  <si>
    <t xml:space="preserve">CARTER ARON D SR </t>
  </si>
  <si>
    <t>827 CARNIVAL WAY</t>
  </si>
  <si>
    <t>CARTER ARON D SR</t>
  </si>
  <si>
    <t>CAIRO ST</t>
  </si>
  <si>
    <t>826 EXCELSIOR ST</t>
  </si>
  <si>
    <t xml:space="preserve">DAYIEB GEORGE C FMILY  TRUST                   </t>
  </si>
  <si>
    <t>817 E WARRINGTON AVE</t>
  </si>
  <si>
    <t>1206 ARLINGTON AVE</t>
  </si>
  <si>
    <t xml:space="preserve">KHODIYAR LLC </t>
  </si>
  <si>
    <t>838 E WARRINGTON AVE</t>
  </si>
  <si>
    <t>KHODIYAR LLC</t>
  </si>
  <si>
    <t>DEERFIELD RIDGE DR</t>
  </si>
  <si>
    <t xml:space="preserve">1109 ARLINGTON LLC </t>
  </si>
  <si>
    <t>1109 ARLINGTON AVE</t>
  </si>
  <si>
    <t xml:space="preserve">SCOTT WILLIAM SR </t>
  </si>
  <si>
    <t>900 EXCELSIOR ST</t>
  </si>
  <si>
    <t>EINLOTH THOMAS M &amp; JOANNE (W)</t>
  </si>
  <si>
    <t>WATERMAN AVE</t>
  </si>
  <si>
    <t xml:space="preserve">GRAZIANO CATHERINE S </t>
  </si>
  <si>
    <t>905 EXCELSIOR ST</t>
  </si>
  <si>
    <t xml:space="preserve">BARRON MARY L </t>
  </si>
  <si>
    <t>HAZELDELL ST</t>
  </si>
  <si>
    <t xml:space="preserve">LENZ TRACEY L </t>
  </si>
  <si>
    <t>STONEGATE INVESTMENT  REALTY LLC</t>
  </si>
  <si>
    <t>THE GREEN STE 5184</t>
  </si>
  <si>
    <t>DOVER</t>
  </si>
  <si>
    <t>STONEGATE INVESTMENT REALTY LLC</t>
  </si>
  <si>
    <t>952 EXCELSIOR ST</t>
  </si>
  <si>
    <t>FILO FRANK BERNARD &amp; MARIE JEAN</t>
  </si>
  <si>
    <t>VILSACK ST APT J</t>
  </si>
  <si>
    <t>MANGLONA TOMMY E.T. &amp; KAREN L (W)</t>
  </si>
  <si>
    <t>1087 ARLINGTON AVE</t>
  </si>
  <si>
    <t>MANGLONA TOMMY E.T. &amp;</t>
  </si>
  <si>
    <t xml:space="preserve">COOKE THERESA E </t>
  </si>
  <si>
    <t>1105 ARLINGTON AVE</t>
  </si>
  <si>
    <t>ADVANCED EQUITY CAPITAL  LLC</t>
  </si>
  <si>
    <t>7 BROSVILLE ST</t>
  </si>
  <si>
    <t>ADVANCED EQUITY CAPIT</t>
  </si>
  <si>
    <t xml:space="preserve">WOLFE KENNETH L </t>
  </si>
  <si>
    <t xml:space="preserve">ACHMAN PAUL </t>
  </si>
  <si>
    <t>MOUNT OLIVER ST</t>
  </si>
  <si>
    <t xml:space="preserve">953 E WARRINGTON AVE  LAND TRUST              </t>
  </si>
  <si>
    <t>GULLI CONSTRUCTION CORP  ETAL</t>
  </si>
  <si>
    <t>GULLI CONSTRUCTION CO</t>
  </si>
  <si>
    <t>AUGUSTA PLANTATION DR UNIT C</t>
  </si>
  <si>
    <t xml:space="preserve">DUNCAN ALLAN MARK                               </t>
  </si>
  <si>
    <t>PO BOX 59497</t>
  </si>
  <si>
    <t xml:space="preserve">MAAG CATHERINE R </t>
  </si>
  <si>
    <t>904 SAINT MARTIN ST</t>
  </si>
  <si>
    <t xml:space="preserve">DONOVAN DENNIS J </t>
  </si>
  <si>
    <t>923 E WARRINGTON AVE</t>
  </si>
  <si>
    <t xml:space="preserve">DEBOLD MELINDA A </t>
  </si>
  <si>
    <t>921 MANTON WAY</t>
  </si>
  <si>
    <t xml:space="preserve">STEIN MICHAEL </t>
  </si>
  <si>
    <t>927 MANTON WAY</t>
  </si>
  <si>
    <t>STEIN MICHAEL</t>
  </si>
  <si>
    <t>HARTL LN</t>
  </si>
  <si>
    <t xml:space="preserve">PHILLIPS CHARLES W JR </t>
  </si>
  <si>
    <t>SYLVANIA AVE</t>
  </si>
  <si>
    <t xml:space="preserve">BOTT DEBRA </t>
  </si>
  <si>
    <t>HELEN ST</t>
  </si>
  <si>
    <t xml:space="preserve">DOUGHERTY DELMER </t>
  </si>
  <si>
    <t>WOODFORD AVE W</t>
  </si>
  <si>
    <t xml:space="preserve">SCORATOW MARC </t>
  </si>
  <si>
    <t>WHITE CARL G JR &amp; GERALDINE A (W)</t>
  </si>
  <si>
    <t>TRINIDAD ST</t>
  </si>
  <si>
    <t>SECILIA JOSEPH J &amp; DEBORAH A (W)</t>
  </si>
  <si>
    <t>WOLFE HARRY JR &amp; LILLIAN P</t>
  </si>
  <si>
    <t>972 E WARRINGTON AVE</t>
  </si>
  <si>
    <t>C CANTOR FAMILY  PARTNERSHIP LP</t>
  </si>
  <si>
    <t>965 MANTON WAY</t>
  </si>
  <si>
    <t>C CANTOR FAMILY PARTN</t>
  </si>
  <si>
    <t xml:space="preserve">SHEFFO PEGGIE </t>
  </si>
  <si>
    <t>947 MANTON WAY</t>
  </si>
  <si>
    <t xml:space="preserve">LEBAN HELEN TORHAN </t>
  </si>
  <si>
    <t>INDIAN CREEK DR WAY</t>
  </si>
  <si>
    <t>BLOOMINGTON</t>
  </si>
  <si>
    <t>SSHT COMMUNITY PARTNERS  LLC</t>
  </si>
  <si>
    <t>929 MANTON WAY</t>
  </si>
  <si>
    <t>SSHT COMMUNITY PARTNE</t>
  </si>
  <si>
    <t xml:space="preserve">BOERNER DAVID E &amp; MARY CATHERINE (W)      </t>
  </si>
  <si>
    <t>942 MANTON WAY</t>
  </si>
  <si>
    <t>ABBOTT WILLIAM J</t>
  </si>
  <si>
    <t xml:space="preserve">BOLOMOPE PATRICE </t>
  </si>
  <si>
    <t>958 MANTON WAY</t>
  </si>
  <si>
    <t>BOLOMOPE PATRICE</t>
  </si>
  <si>
    <t>430 E WARRINGTON AVE</t>
  </si>
  <si>
    <t xml:space="preserve">RICHARDS MICHAEL </t>
  </si>
  <si>
    <t>19 CURTIN AVE</t>
  </si>
  <si>
    <t>RICHARDS MICHAEL H</t>
  </si>
  <si>
    <t xml:space="preserve">GRAHAM HAROLD                                   </t>
  </si>
  <si>
    <t>0 CLIMAX ST</t>
  </si>
  <si>
    <t>BOGGSTON AVE</t>
  </si>
  <si>
    <t xml:space="preserve">WILLIAMS TOLAINA </t>
  </si>
  <si>
    <t>0 CURTIN AVE</t>
  </si>
  <si>
    <t>WILLIAMS TOLAINA</t>
  </si>
  <si>
    <t>S MAIN ST</t>
  </si>
  <si>
    <t xml:space="preserve">MORTON LEONA MAE </t>
  </si>
  <si>
    <t>CURTIN AVE</t>
  </si>
  <si>
    <t xml:space="preserve">MORTON LEONA M </t>
  </si>
  <si>
    <t>CURTIN ST</t>
  </si>
  <si>
    <t xml:space="preserve">ANTHONY HOLDINGS LLC </t>
  </si>
  <si>
    <t>S CRAIG ST 281</t>
  </si>
  <si>
    <t xml:space="preserve">WEBSTER KIRK </t>
  </si>
  <si>
    <t>PENN CIRCLE TOWERS APT 2004</t>
  </si>
  <si>
    <t>GRUENDOL ROBERT ANTHONY &amp; SHIRLEY</t>
  </si>
  <si>
    <t>SEMANCO PAUL A &amp; SELENA M (W)</t>
  </si>
  <si>
    <t>0 FREELAND ST</t>
  </si>
  <si>
    <t xml:space="preserve">BECKOM OLABRICE </t>
  </si>
  <si>
    <t xml:space="preserve">522 FREELAND ST PA LLC </t>
  </si>
  <si>
    <t>522 FREELAND ST</t>
  </si>
  <si>
    <t>522 FREELAND ST PA LL</t>
  </si>
  <si>
    <t xml:space="preserve">HANNA JAMES D &amp; RUTH M </t>
  </si>
  <si>
    <t>DONNELLY FRANK C JR &amp; ELEANOR H</t>
  </si>
  <si>
    <t>REDLYN ST</t>
  </si>
  <si>
    <t>HENDERSON RITA MAY ETAL</t>
  </si>
  <si>
    <t>320 BELTZHOOVER AVE</t>
  </si>
  <si>
    <t xml:space="preserve">MCCROMMON ORLANDO V </t>
  </si>
  <si>
    <t>314 BELTZHOOVER AVE</t>
  </si>
  <si>
    <t xml:space="preserve">KENNEDY WILLIAM </t>
  </si>
  <si>
    <t>308 BELTZHOOVER AVE</t>
  </si>
  <si>
    <t>WILLIAM KENNEDY</t>
  </si>
  <si>
    <t xml:space="preserve">BAHENA EDGAR P                                  </t>
  </si>
  <si>
    <t>519 FREELAND ST</t>
  </si>
  <si>
    <t>BAHENA EDGAR P ALMA R</t>
  </si>
  <si>
    <t>PASADENA ST</t>
  </si>
  <si>
    <t>FRENCH JAMES  &amp; DONA JO WHITE</t>
  </si>
  <si>
    <t>517 FREELAND ST</t>
  </si>
  <si>
    <t xml:space="preserve">MENEFEE JONATHAN R SR </t>
  </si>
  <si>
    <t>0 LOYAL WAY</t>
  </si>
  <si>
    <t>YANALIVICH CAROL G &amp; NELSON</t>
  </si>
  <si>
    <t>PENELOPE ST</t>
  </si>
  <si>
    <t>ORME EDWARD              ETAL</t>
  </si>
  <si>
    <t>ORME EDWARD C/O ELROY</t>
  </si>
  <si>
    <t>BROWNSVILLE RD APT 1B</t>
  </si>
  <si>
    <t>MATTHEWS EDWARD R &amp; MARY A(W)</t>
  </si>
  <si>
    <t xml:space="preserve">MORTON LEONA </t>
  </si>
  <si>
    <t>BEY TARIK  &amp; RASHEEDAH (W)</t>
  </si>
  <si>
    <t xml:space="preserve">BAGBY HARRIET </t>
  </si>
  <si>
    <t xml:space="preserve">BAGBY KENNETH A </t>
  </si>
  <si>
    <t xml:space="preserve">LIN LI-NA </t>
  </si>
  <si>
    <t>216 BELTZHOOVER AVE</t>
  </si>
  <si>
    <t>LIN LI-NA</t>
  </si>
  <si>
    <t xml:space="preserve">LI-NA LIN </t>
  </si>
  <si>
    <t>LI-NA LIN</t>
  </si>
  <si>
    <t xml:space="preserve">HOCKADAY DOROTHY </t>
  </si>
  <si>
    <t>210 BELTZHOOVER AVE</t>
  </si>
  <si>
    <t xml:space="preserve">DORSEY JA'NA L </t>
  </si>
  <si>
    <t>206 BELTZHOOVER AVE</t>
  </si>
  <si>
    <t xml:space="preserve">BROOKS ELISA L </t>
  </si>
  <si>
    <t>518 INDUSTRY ST</t>
  </si>
  <si>
    <t>HEIDKAMP JOSEPH H JR &amp; MAXINE L (W)</t>
  </si>
  <si>
    <t>0 INDUSTRY ST</t>
  </si>
  <si>
    <t xml:space="preserve">YEANUZZI ARNOLD </t>
  </si>
  <si>
    <t xml:space="preserve">PAINTER SHIRLEY A </t>
  </si>
  <si>
    <t>PAINTER SHIRLEY A</t>
  </si>
  <si>
    <t>HERRON AVE APT 600</t>
  </si>
  <si>
    <t>20 CURTIN AVE</t>
  </si>
  <si>
    <t>MARTIN MARION REVOCABLE  LIVING TRUST (THE)</t>
  </si>
  <si>
    <t>MARTIN MARION (TRUSTE</t>
  </si>
  <si>
    <t xml:space="preserve">MCBRIDE LANEAH D </t>
  </si>
  <si>
    <t>18 CURTIN AVE</t>
  </si>
  <si>
    <t xml:space="preserve">BAKER RETHA A </t>
  </si>
  <si>
    <t>12 CURTIN AVE</t>
  </si>
  <si>
    <t xml:space="preserve">GREEN THERESA </t>
  </si>
  <si>
    <t>10 CURTIN AVE</t>
  </si>
  <si>
    <t>ROONEY GERARD J &amp; JUNE L (W)</t>
  </si>
  <si>
    <t>505 INDUSTRY ST</t>
  </si>
  <si>
    <t>ROONEY GERARD J &amp; JUN</t>
  </si>
  <si>
    <t>WOODWARE AVE</t>
  </si>
  <si>
    <t>DEVELOPING WITHOUT  BORDERS LTD</t>
  </si>
  <si>
    <t>509 INDUSTRY ST</t>
  </si>
  <si>
    <t>DEVELOPING WITHOUT BO</t>
  </si>
  <si>
    <t xml:space="preserve">BELTZHOOVER  CONSERVATION TRUST #521 </t>
  </si>
  <si>
    <t>KIMBERLY BOWERS TRUST</t>
  </si>
  <si>
    <t>PINE HOLLOW RD</t>
  </si>
  <si>
    <t xml:space="preserve">CHRISTIAN GEORGE R </t>
  </si>
  <si>
    <t>527 INDUSTRY ST</t>
  </si>
  <si>
    <t xml:space="preserve">GAMBLE IAN M </t>
  </si>
  <si>
    <t>E 2ND AVE</t>
  </si>
  <si>
    <t xml:space="preserve">CAVE ELEPHANT LLC </t>
  </si>
  <si>
    <t>120 MILLBRIDGE ST</t>
  </si>
  <si>
    <t>CAVE ELEPHANT LLC</t>
  </si>
  <si>
    <t>629 INDUSTRY ST</t>
  </si>
  <si>
    <t>0 MILLBRIDGE ST</t>
  </si>
  <si>
    <t xml:space="preserve">BROOM SAMUEL J </t>
  </si>
  <si>
    <t>614 INDUSTRY ST</t>
  </si>
  <si>
    <t xml:space="preserve">AVIGLIANO DORIS </t>
  </si>
  <si>
    <t>214 MILLBRIDGE ST</t>
  </si>
  <si>
    <t xml:space="preserve">KOPP TRACY L </t>
  </si>
  <si>
    <t>613 FREELAND ST</t>
  </si>
  <si>
    <t>SANDA DR</t>
  </si>
  <si>
    <t xml:space="preserve">MIDDLETON LONNIE J </t>
  </si>
  <si>
    <t>ELDORA PL</t>
  </si>
  <si>
    <t xml:space="preserve">HUTTON JOHN R JR </t>
  </si>
  <si>
    <t>METROVICH MICHAEL J &amp; BEVERLY V (W)</t>
  </si>
  <si>
    <t>LOYAL WAY</t>
  </si>
  <si>
    <t>MALLARD MELVIN J &amp; RITA C</t>
  </si>
  <si>
    <t xml:space="preserve">KRAMER CHRISTOPHER M </t>
  </si>
  <si>
    <t>320 MILLBRIDGE ST</t>
  </si>
  <si>
    <t xml:space="preserve">ROJEBET RINCON TORRADO                          </t>
  </si>
  <si>
    <t>625 LILLIAN ST</t>
  </si>
  <si>
    <t>ROJEBET RINCON TORRAD</t>
  </si>
  <si>
    <t>BREMEN AVE</t>
  </si>
  <si>
    <t xml:space="preserve">REFT ZOE L </t>
  </si>
  <si>
    <t>400 MILLBRIDGE ST</t>
  </si>
  <si>
    <t>NAGLE MELVIN F &amp; DOROTHY A (W)</t>
  </si>
  <si>
    <t>0 LILLIAN ST</t>
  </si>
  <si>
    <t>NAGLE MELVIN F &amp; DORO</t>
  </si>
  <si>
    <t>LILLIAN ST</t>
  </si>
  <si>
    <t xml:space="preserve">DAVIS TAMORRA LADAWN </t>
  </si>
  <si>
    <t>319 MILLBRIDGE ST</t>
  </si>
  <si>
    <t xml:space="preserve">GRIMES NORA T </t>
  </si>
  <si>
    <t>PRISTINE CAPITAL MANAGEMENT LLC</t>
  </si>
  <si>
    <t>402 WALTER ST</t>
  </si>
  <si>
    <t>MCLEOD DR</t>
  </si>
  <si>
    <t xml:space="preserve">WHITE EDDIE JAMES JR </t>
  </si>
  <si>
    <t>0 WALTER ST</t>
  </si>
  <si>
    <t>SCHNEIDER'S PROPERTIES  LLC</t>
  </si>
  <si>
    <t>300 WALTER ST</t>
  </si>
  <si>
    <t>SCHNEIDER'S PROPERTIE</t>
  </si>
  <si>
    <t>PISTORIUS NORMAN H &amp; MARY ANN (W)</t>
  </si>
  <si>
    <t>ALLEGHENY PRESERVATION  TRUST</t>
  </si>
  <si>
    <t>120 WALTER ST</t>
  </si>
  <si>
    <t>PO BOX 59438</t>
  </si>
  <si>
    <t xml:space="preserve">CARLE JEFFREY </t>
  </si>
  <si>
    <t>123 WALTER ST</t>
  </si>
  <si>
    <t xml:space="preserve">SMITH TRACY D </t>
  </si>
  <si>
    <t>127 WALTER ST</t>
  </si>
  <si>
    <t>WALTER ST</t>
  </si>
  <si>
    <t>129 WALTER ST</t>
  </si>
  <si>
    <t xml:space="preserve">MCCLORY JOSEPH L </t>
  </si>
  <si>
    <t>215 WALTER ST</t>
  </si>
  <si>
    <t xml:space="preserve">ASHLEY CLAIRE SAMANTHA </t>
  </si>
  <si>
    <t>ASHLEY CLAIRE SAMANTH</t>
  </si>
  <si>
    <t>SHIALABBA RONALD &amp; TARA O GIBSON (W)</t>
  </si>
  <si>
    <t>214 HELEN WAY</t>
  </si>
  <si>
    <t xml:space="preserve">2023 SOLUTIONS INC </t>
  </si>
  <si>
    <t>221 WALTER ST</t>
  </si>
  <si>
    <t>ENGRIS CAULIS            ETAL</t>
  </si>
  <si>
    <t>POWELL ST</t>
  </si>
  <si>
    <t>PENSACOLA</t>
  </si>
  <si>
    <t xml:space="preserve">GARCIA JOEL E </t>
  </si>
  <si>
    <t>404 ALLEN ST</t>
  </si>
  <si>
    <t>ORCHARD PL 2</t>
  </si>
  <si>
    <t xml:space="preserve">ATRAIN 180 LLC </t>
  </si>
  <si>
    <t>306 ALLEN ST</t>
  </si>
  <si>
    <t>ATRAIN 180 LLC</t>
  </si>
  <si>
    <t xml:space="preserve">KIKCIO SIMON </t>
  </si>
  <si>
    <t>1223 ARLINGTON AVE</t>
  </si>
  <si>
    <t>915 INDUSTRY ST</t>
  </si>
  <si>
    <t xml:space="preserve">LAUX ERIC &amp; JENNIFER (W) </t>
  </si>
  <si>
    <t>1306 ARLINGTON AVE</t>
  </si>
  <si>
    <t xml:space="preserve">LAUX ERIC &amp; JENNIFER </t>
  </si>
  <si>
    <t xml:space="preserve">FIELDS ANTHONY </t>
  </si>
  <si>
    <t>0 PROCTOR WAY</t>
  </si>
  <si>
    <t xml:space="preserve">JAROS MILDRED S </t>
  </si>
  <si>
    <t>841 PROCTOR WAY</t>
  </si>
  <si>
    <t>PROCTOR WAY</t>
  </si>
  <si>
    <t>DOMHOFF ROBERT W &amp; SHIRLEY R</t>
  </si>
  <si>
    <t>MAY ST</t>
  </si>
  <si>
    <t xml:space="preserve">ALLEN SHAHEEM </t>
  </si>
  <si>
    <t>821 PROCTOR WAY</t>
  </si>
  <si>
    <t>STANBRIDGE ST</t>
  </si>
  <si>
    <t>NORRISTOWN</t>
  </si>
  <si>
    <t>819 PROCTOR WAY</t>
  </si>
  <si>
    <t>AMERICAN DREAMERS &amp; RENOVATIONS LLC</t>
  </si>
  <si>
    <t>814 INDUSTRY ST</t>
  </si>
  <si>
    <t>AMERICAN DREAMERS &amp; R</t>
  </si>
  <si>
    <t>LEASIDE DR</t>
  </si>
  <si>
    <t xml:space="preserve">BLITZ VENTURES LLC </t>
  </si>
  <si>
    <t>823 CLIMAX ST</t>
  </si>
  <si>
    <t>S VILLA DR</t>
  </si>
  <si>
    <t xml:space="preserve">AM CAPITAL LLC </t>
  </si>
  <si>
    <t>848 PROCTOR WAY</t>
  </si>
  <si>
    <t xml:space="preserve">STEIN BERNARD D </t>
  </si>
  <si>
    <t>854 PROCTOR WAY</t>
  </si>
  <si>
    <t>BURLETIC ROBERT J &amp; JUDITH M</t>
  </si>
  <si>
    <t>859 LOYAL WAY</t>
  </si>
  <si>
    <t xml:space="preserve">SCHWARTZ RALPH L </t>
  </si>
  <si>
    <t>860 CLIMAX ST</t>
  </si>
  <si>
    <t xml:space="preserve">ALFORD LEN L III </t>
  </si>
  <si>
    <t>856 CLIMAX ST</t>
  </si>
  <si>
    <t>PO BOX 59175</t>
  </si>
  <si>
    <t xml:space="preserve">JONES SHAYLA </t>
  </si>
  <si>
    <t>854 CLIMAX ST</t>
  </si>
  <si>
    <t>JONES SHAYLA</t>
  </si>
  <si>
    <t xml:space="preserve">PEDDER MARTHA J </t>
  </si>
  <si>
    <t>847 LOYAL WAY</t>
  </si>
  <si>
    <t>MCANNULTY RD</t>
  </si>
  <si>
    <t>848 CLIMAX ST</t>
  </si>
  <si>
    <t>BETHEA CHARLES D &amp; DIANE L JOHNSON BETHE A</t>
  </si>
  <si>
    <t>837 LOYAL WAY</t>
  </si>
  <si>
    <t>BETHEA CHARLES D &amp; DI</t>
  </si>
  <si>
    <t xml:space="preserve">WEST PENN PROPERTIES LLC </t>
  </si>
  <si>
    <t>830 CLIMAX ST</t>
  </si>
  <si>
    <t>OXFORD DR 205</t>
  </si>
  <si>
    <t>828 CLIMAX ST</t>
  </si>
  <si>
    <t xml:space="preserve">BOSACK WILLIAM J </t>
  </si>
  <si>
    <t>812 CLIMAX ST</t>
  </si>
  <si>
    <t>FLANIGAN PATRICK J &amp; TAMI (W)</t>
  </si>
  <si>
    <t>304 ASTEROID WAY</t>
  </si>
  <si>
    <t xml:space="preserve">MATA STUDIO LLC </t>
  </si>
  <si>
    <t>307 ALLEN ST</t>
  </si>
  <si>
    <t>WEST SIDE BLVD</t>
  </si>
  <si>
    <t xml:space="preserve">CASTILLO KEVIN                                  </t>
  </si>
  <si>
    <t>319 ALLEN ST</t>
  </si>
  <si>
    <t>CASTILLO KEVIN</t>
  </si>
  <si>
    <t>BATZ MICHAEL W &amp; JACQUELINE A (W)</t>
  </si>
  <si>
    <t>PO BOX 5951</t>
  </si>
  <si>
    <t xml:space="preserve">KAVALIR PROPERTIES LLC </t>
  </si>
  <si>
    <t>812 LOYAL WAY</t>
  </si>
  <si>
    <t>KAVALIR PROPERTIES LL</t>
  </si>
  <si>
    <t>NEWETT ST</t>
  </si>
  <si>
    <t xml:space="preserve">HENDERSON EMMA L </t>
  </si>
  <si>
    <t xml:space="preserve">DUNN JAMES F </t>
  </si>
  <si>
    <t>LITTLE DANIELS RUN RD</t>
  </si>
  <si>
    <t>SCENERY HILL</t>
  </si>
  <si>
    <t>818 LOYAL WAY</t>
  </si>
  <si>
    <t xml:space="preserve">DRAZDZINSKI NANCY ANN </t>
  </si>
  <si>
    <t>833 FREELAND FAMILY  TRUST</t>
  </si>
  <si>
    <t>833 FREELAND FAMILY T</t>
  </si>
  <si>
    <t xml:space="preserve">TABACHNICK GENE A </t>
  </si>
  <si>
    <t xml:space="preserve">LATTNER JOHN G </t>
  </si>
  <si>
    <t>837 FREELAND ST</t>
  </si>
  <si>
    <t>JUCUUDA ST</t>
  </si>
  <si>
    <t xml:space="preserve">WESLEY KEITH DARNELL </t>
  </si>
  <si>
    <t>BRYANT ROMULUS BRYANT JEANNETTER</t>
  </si>
  <si>
    <t>838 LOYAL WAY</t>
  </si>
  <si>
    <t xml:space="preserve">HARDING CAROL ANN </t>
  </si>
  <si>
    <t>842 LOYAL WAY</t>
  </si>
  <si>
    <t>FRANKLIN AVE # 7595</t>
  </si>
  <si>
    <t xml:space="preserve">WIMMER SHANE </t>
  </si>
  <si>
    <t xml:space="preserve">DORSEY TIONNA DANAE </t>
  </si>
  <si>
    <t>844 LOYAL WAY</t>
  </si>
  <si>
    <t xml:space="preserve">ZALIN JOSEPH </t>
  </si>
  <si>
    <t xml:space="preserve">ADAMS KAREN </t>
  </si>
  <si>
    <t>853 FREELAND ST</t>
  </si>
  <si>
    <t>CONROY MICHAEL P &amp; MARY M (W)</t>
  </si>
  <si>
    <t>859 FREELAND ST</t>
  </si>
  <si>
    <t xml:space="preserve">HIGHLAND PROPERTIES LLC </t>
  </si>
  <si>
    <t>HIGHLAND PL</t>
  </si>
  <si>
    <t xml:space="preserve">SHILPI SK </t>
  </si>
  <si>
    <t>401 ALLEN ST</t>
  </si>
  <si>
    <t>BROADWAY UNIT 2F</t>
  </si>
  <si>
    <t>FLUSHING</t>
  </si>
  <si>
    <t>GUZMAN RENTALS &amp; SALES INC</t>
  </si>
  <si>
    <t>814 FREELAND ST</t>
  </si>
  <si>
    <t>GUZMAN RENTALS &amp; SALE</t>
  </si>
  <si>
    <t>RYAN DR</t>
  </si>
  <si>
    <t>DWYER HELEN  &amp; MABEL S FUNDO</t>
  </si>
  <si>
    <t>GUZMAN ANDREA &amp; OSCAR (H)</t>
  </si>
  <si>
    <t>818 FREELAND ST</t>
  </si>
  <si>
    <t>GUZMAN OSCAR &amp; ANDREA</t>
  </si>
  <si>
    <t>824 FREELAND ST</t>
  </si>
  <si>
    <t xml:space="preserve">GBM PITTSBURGH INC </t>
  </si>
  <si>
    <t>DAGMAR AVE</t>
  </si>
  <si>
    <t xml:space="preserve">DAWSON JOHN E &amp; WILMA M </t>
  </si>
  <si>
    <t>836 FREELAND ST</t>
  </si>
  <si>
    <t>MAPLE RIDGE DR</t>
  </si>
  <si>
    <t xml:space="preserve">MCINTOSH JUSTIN </t>
  </si>
  <si>
    <t>840 FREELAND ST</t>
  </si>
  <si>
    <t>ORCHARD PL</t>
  </si>
  <si>
    <t xml:space="preserve">BROWN CATHERINE (L/E)                           </t>
  </si>
  <si>
    <t xml:space="preserve">MCNEAL ALPHONZO SR </t>
  </si>
  <si>
    <t>846 FREELAND ST</t>
  </si>
  <si>
    <t xml:space="preserve">CANNIBALSNAX LLC </t>
  </si>
  <si>
    <t>848 FREELAND ST</t>
  </si>
  <si>
    <t>SW ALFRED ST</t>
  </si>
  <si>
    <t xml:space="preserve">SLOPES HOLDINGS LLC </t>
  </si>
  <si>
    <t>852 FREELAND ST</t>
  </si>
  <si>
    <t>PO BOX 101351</t>
  </si>
  <si>
    <t xml:space="preserve">MCCREA DARRACH M                                </t>
  </si>
  <si>
    <t>WALSHTOWN RD</t>
  </si>
  <si>
    <t>BOOMER</t>
  </si>
  <si>
    <t xml:space="preserve">MCFALL FAYE  L </t>
  </si>
  <si>
    <t>0 KNOX AVE</t>
  </si>
  <si>
    <t>KNOX AVE</t>
  </si>
  <si>
    <t xml:space="preserve">BYRNES JANIS L </t>
  </si>
  <si>
    <t>404 KNOX AVE</t>
  </si>
  <si>
    <t xml:space="preserve">FLD HOUSES &amp; RENTALS LLC </t>
  </si>
  <si>
    <t>326 KNOX AVE</t>
  </si>
  <si>
    <t>VENUSIAN MANAGEMENT  GROUP I LP</t>
  </si>
  <si>
    <t>331 KNOX AVE</t>
  </si>
  <si>
    <t>VENUSIAN MANAGEMENT G</t>
  </si>
  <si>
    <t xml:space="preserve">SHIALABBA RONALD </t>
  </si>
  <si>
    <t>913 FREELAND ST</t>
  </si>
  <si>
    <t xml:space="preserve">MOORE LINDA M </t>
  </si>
  <si>
    <t>912 LOYAL WAY</t>
  </si>
  <si>
    <t xml:space="preserve">CARLA DANTE I </t>
  </si>
  <si>
    <t>CALDWELL BANKER</t>
  </si>
  <si>
    <t>MCFARLAND RD</t>
  </si>
  <si>
    <t>405 KNOX AVE</t>
  </si>
  <si>
    <t xml:space="preserve">TRZCINSKI JEROME </t>
  </si>
  <si>
    <t xml:space="preserve">FREELAND 920 LLC                                </t>
  </si>
  <si>
    <t>920 FREELAND ST</t>
  </si>
  <si>
    <t>MICKELSON DYLAN ROBERT &amp; RITA (W)</t>
  </si>
  <si>
    <t>923 LILLIAN ST</t>
  </si>
  <si>
    <t xml:space="preserve">SAMUELS DALAUN J                                </t>
  </si>
  <si>
    <t>930 FREELAND ST</t>
  </si>
  <si>
    <t>SAMUELS PAULINE</t>
  </si>
  <si>
    <t xml:space="preserve">BRYANT ROMULUS </t>
  </si>
  <si>
    <t>1502 ARLINGTON AVE</t>
  </si>
  <si>
    <t>CHURCH AVE</t>
  </si>
  <si>
    <t xml:space="preserve">ATKINS DONNA J </t>
  </si>
  <si>
    <t>1515 ARLINGTON AVE</t>
  </si>
  <si>
    <t>ATKINS DONNA J</t>
  </si>
  <si>
    <t xml:space="preserve">QUALLICH JOSEPH M </t>
  </si>
  <si>
    <t>75 E AMANDA AVE</t>
  </si>
  <si>
    <t xml:space="preserve">DREW CYNTHIA A </t>
  </si>
  <si>
    <t>73 E AMANDA AVE</t>
  </si>
  <si>
    <t>DREW CYNTHIA A</t>
  </si>
  <si>
    <t xml:space="preserve">SCHUTZEUS ROSELYNN  EISEL                   </t>
  </si>
  <si>
    <t>61 E AMANDA AVE</t>
  </si>
  <si>
    <t>SCHUTZEUS ROSELYNN EI</t>
  </si>
  <si>
    <t xml:space="preserve">BRUNO GERALD WAYNE EXR </t>
  </si>
  <si>
    <t>948 LOYAL WAY</t>
  </si>
  <si>
    <t>GERALD WAYNE BRUNO EX</t>
  </si>
  <si>
    <t>PITTSBURGH ST APT 608</t>
  </si>
  <si>
    <t>SPRINGDALE</t>
  </si>
  <si>
    <t>1437 ARLINGTON AVE</t>
  </si>
  <si>
    <t>RETHAGE MARY DOERSCHNER  &amp; NICOLE FRANCES  RETHAG</t>
  </si>
  <si>
    <t>1415 ARLINGTON AVE</t>
  </si>
  <si>
    <t xml:space="preserve">MAUL ANDREW </t>
  </si>
  <si>
    <t>912 CLIMAX ST</t>
  </si>
  <si>
    <t xml:space="preserve">LAMBERT KENNETH                                 </t>
  </si>
  <si>
    <t>1419 ARLINGTON AVE</t>
  </si>
  <si>
    <t>DALLY RONALD WAYNE &amp; MAUREEN ANN (W)</t>
  </si>
  <si>
    <t>920 CLIMAX ST</t>
  </si>
  <si>
    <t xml:space="preserve">SPELL DAVID </t>
  </si>
  <si>
    <t>922 CLIMAX ST</t>
  </si>
  <si>
    <t>TAFT CT</t>
  </si>
  <si>
    <t xml:space="preserve">FINGERS LINDA </t>
  </si>
  <si>
    <t>930 CLIMAX ST</t>
  </si>
  <si>
    <t>HARRISBURG LN</t>
  </si>
  <si>
    <t>MCKINNEY</t>
  </si>
  <si>
    <t>ROSSMAN STEVE  &amp; VIRGINIA</t>
  </si>
  <si>
    <t>942 CLIMAX ST</t>
  </si>
  <si>
    <t xml:space="preserve">AUBERZINSKY ALAN </t>
  </si>
  <si>
    <t>945 CLIMAX ST</t>
  </si>
  <si>
    <t>AQUA DR</t>
  </si>
  <si>
    <t xml:space="preserve">PA INVESTMENT SERVICES </t>
  </si>
  <si>
    <t>TICHENOR DONALD B &amp; KATHRYN M (W)</t>
  </si>
  <si>
    <t>907 CLIMAX ST</t>
  </si>
  <si>
    <t xml:space="preserve">DELFAVER THOMAS </t>
  </si>
  <si>
    <t>1335 ARLINGTON AVE</t>
  </si>
  <si>
    <t xml:space="preserve">DAVENPORT MICHELLE F </t>
  </si>
  <si>
    <t>918 INDUSTRY ST</t>
  </si>
  <si>
    <t>PALM AVE</t>
  </si>
  <si>
    <t>CHICO</t>
  </si>
  <si>
    <t>EGGERS PATRICIA  &amp; LISA MILLER</t>
  </si>
  <si>
    <t>934 INDUSTRY ST</t>
  </si>
  <si>
    <t xml:space="preserve">REINHARDT CHARLOTTE </t>
  </si>
  <si>
    <t>942 INDUSTRY ST</t>
  </si>
  <si>
    <t>NESTOR LEWIS R &amp; LESLIE A (W)</t>
  </si>
  <si>
    <t>958 INDUSTRY ST</t>
  </si>
  <si>
    <t>NESTOR LEWIS R &amp; LESL</t>
  </si>
  <si>
    <t>T &amp; R PROPERTY DEVELOPMENT I</t>
  </si>
  <si>
    <t>990 INDUSTRY ST</t>
  </si>
  <si>
    <t>T &amp; R PROPERTY DEVELO</t>
  </si>
  <si>
    <t>MADELINE ST</t>
  </si>
  <si>
    <t>946 MANTON WAY</t>
  </si>
  <si>
    <t xml:space="preserve">TOPKA DAVID M </t>
  </si>
  <si>
    <t>950 MANTON WAY</t>
  </si>
  <si>
    <t xml:space="preserve">EQUITY TRUST COMPANY </t>
  </si>
  <si>
    <t>952 MANTON WAY</t>
  </si>
  <si>
    <t>PO BOX 3851</t>
  </si>
  <si>
    <t xml:space="preserve">FERRANG ROBERT </t>
  </si>
  <si>
    <t>960 MANTON WAY</t>
  </si>
  <si>
    <t>FERRANG ROBERT</t>
  </si>
  <si>
    <t>PONE LN</t>
  </si>
  <si>
    <t>979 INDUSTRY ST</t>
  </si>
  <si>
    <t xml:space="preserve">FORD DONALD SR </t>
  </si>
  <si>
    <t>618 LILLIAN ST</t>
  </si>
  <si>
    <t>PIRL ST APT 1C</t>
  </si>
  <si>
    <t xml:space="preserve">THORNTON SEAN E </t>
  </si>
  <si>
    <t xml:space="preserve">KELLER CLIFFORD W                               </t>
  </si>
  <si>
    <t>VISNICH MIKE  &amp; FLORENCE J(W)</t>
  </si>
  <si>
    <t>702 LILLIAN ST</t>
  </si>
  <si>
    <t>VISNICH MIKE  &amp; FLORE</t>
  </si>
  <si>
    <t xml:space="preserve">NIXON JEAN </t>
  </si>
  <si>
    <t>HOMEHURST AVE</t>
  </si>
  <si>
    <t>STACKHOUSE ISIAH  &amp; DOROTHY</t>
  </si>
  <si>
    <t>BARNETT KEITH W &amp; CHAQUITA B (W)</t>
  </si>
  <si>
    <t>508 BELTZHOOVER AVE</t>
  </si>
  <si>
    <t>BARNETT KEITH W &amp; CHA</t>
  </si>
  <si>
    <t xml:space="preserve">WATSON KEVIN L </t>
  </si>
  <si>
    <t>512 BELTZHOOVER AVE</t>
  </si>
  <si>
    <t>KENNETH AVE</t>
  </si>
  <si>
    <t xml:space="preserve">COLLINS JAMES E </t>
  </si>
  <si>
    <t>CEPHAS ROBERT DAVID &amp; EVA CEPHAS LAVELLE</t>
  </si>
  <si>
    <t>702 BELTZHOOVER AVE</t>
  </si>
  <si>
    <t xml:space="preserve">RICC TONY R </t>
  </si>
  <si>
    <t>706 BELTZHOOVER AVE</t>
  </si>
  <si>
    <t xml:space="preserve">RICE TONY R SR </t>
  </si>
  <si>
    <t xml:space="preserve">RANDALL RACHEL                                  </t>
  </si>
  <si>
    <t>710 BERND ST</t>
  </si>
  <si>
    <t>BERND ST</t>
  </si>
  <si>
    <t>706 BERND ST</t>
  </si>
  <si>
    <t xml:space="preserve">VASSILAROS JESSE G </t>
  </si>
  <si>
    <t>0 CHALFONT ST</t>
  </si>
  <si>
    <t>WAINBELL AVE</t>
  </si>
  <si>
    <t>FERNANDEZ LUIS &amp; MARIKA (W)</t>
  </si>
  <si>
    <t>519 CHALFONT ST</t>
  </si>
  <si>
    <t>FERNANDEZ LUIS &amp; MARI</t>
  </si>
  <si>
    <t>COCHRAN LESLIE E &amp; REBECCA A (W)</t>
  </si>
  <si>
    <t>0 SYLVANIA AVE</t>
  </si>
  <si>
    <t>MICHIGAN ST</t>
  </si>
  <si>
    <t>THOMPSON JOSEPH  &amp; WILHELMENA</t>
  </si>
  <si>
    <t>THOMPSON JOSEPH  &amp; WI</t>
  </si>
  <si>
    <t>SYLVANIA VLG</t>
  </si>
  <si>
    <t>LOWDEN NEWTON A SR &amp; STELLA (W)</t>
  </si>
  <si>
    <t>LOWDEN STELLA  &amp; (TRUSTEE)</t>
  </si>
  <si>
    <t>LOWDEN STELLA  &amp; (TRU</t>
  </si>
  <si>
    <t xml:space="preserve">MANSON ANTWON D </t>
  </si>
  <si>
    <t>517 SYLVANIA AVE</t>
  </si>
  <si>
    <t xml:space="preserve">TYLER JANICE </t>
  </si>
  <si>
    <t>513 SYLVANIA AVE</t>
  </si>
  <si>
    <t>PO BOX 623</t>
  </si>
  <si>
    <t xml:space="preserve">MCDANIEL JOSEPHINE </t>
  </si>
  <si>
    <t>510 CEDARHURST ST</t>
  </si>
  <si>
    <t>E WARRINGTON AVE APT 612</t>
  </si>
  <si>
    <t xml:space="preserve">PARKER KEVIN T </t>
  </si>
  <si>
    <t>518 CEDARHURST ST</t>
  </si>
  <si>
    <t>CEDARHURST ST</t>
  </si>
  <si>
    <t>SOLOMON SHEILA D &amp; KEVIN L (H)</t>
  </si>
  <si>
    <t>520 CEDARHURST ST</t>
  </si>
  <si>
    <t>WILLIAM PENN HWY</t>
  </si>
  <si>
    <t xml:space="preserve">BARNETT JAMES G JR </t>
  </si>
  <si>
    <t>522 CEDARHURST ST</t>
  </si>
  <si>
    <t>CARVER FRANCIS HERBERT JR</t>
  </si>
  <si>
    <t>519 CEDARHURST ST</t>
  </si>
  <si>
    <t xml:space="preserve">BALLARD-WILLIAMS BRENDA  J CONNER                </t>
  </si>
  <si>
    <t>517 CEDARHURST ST</t>
  </si>
  <si>
    <t>BRENDA J CONNER BALLA</t>
  </si>
  <si>
    <t>REID NORMAN W &amp; DEIDRE (W)</t>
  </si>
  <si>
    <t>515 CEDARHURST ST</t>
  </si>
  <si>
    <t>REID NORMAN W &amp; DEIDR</t>
  </si>
  <si>
    <t>LILMONT DR</t>
  </si>
  <si>
    <t xml:space="preserve">MCBRIDE CLIFFORD SR </t>
  </si>
  <si>
    <t>415 CURTIN AVE</t>
  </si>
  <si>
    <t xml:space="preserve">WOLNY THEODOSIA B                               </t>
  </si>
  <si>
    <t>501 CURTIN AVE</t>
  </si>
  <si>
    <t xml:space="preserve">DACRON DEVELOPERS LLC </t>
  </si>
  <si>
    <t>505 CURTIN AVE</t>
  </si>
  <si>
    <t xml:space="preserve">PRO-SYSTEMS FAB INC </t>
  </si>
  <si>
    <t>BIRDVIEW CT</t>
  </si>
  <si>
    <t xml:space="preserve">THORNTON WALTER LAWRENCE </t>
  </si>
  <si>
    <t>601 CURTIN AVE</t>
  </si>
  <si>
    <t>THORNTON WALTER LAWRE</t>
  </si>
  <si>
    <t>WASHINGTON BLVD REAR</t>
  </si>
  <si>
    <t xml:space="preserve">CARDELLO MICHAEL A </t>
  </si>
  <si>
    <t>NORWALK ST</t>
  </si>
  <si>
    <t xml:space="preserve">SMITH SAMUEL LLC </t>
  </si>
  <si>
    <t>607 CURTIN AVE</t>
  </si>
  <si>
    <t>COOPER ST APT 3</t>
  </si>
  <si>
    <t xml:space="preserve">HILLTOP RISING LLC </t>
  </si>
  <si>
    <t>609 CURTIN AVE</t>
  </si>
  <si>
    <t>BAUSMAN ST</t>
  </si>
  <si>
    <t xml:space="preserve">BEY RAHMAN </t>
  </si>
  <si>
    <t>613 CURTIN AVE</t>
  </si>
  <si>
    <t xml:space="preserve">LOCKERLIFE LLC </t>
  </si>
  <si>
    <t>617 CURTIN AVE</t>
  </si>
  <si>
    <t>LOCKERLIFE LLC</t>
  </si>
  <si>
    <t xml:space="preserve">DORSEY JANA </t>
  </si>
  <si>
    <t>619 CURTIN AVE</t>
  </si>
  <si>
    <t xml:space="preserve">COOLEY CALVIN J </t>
  </si>
  <si>
    <t>GRANT ST NE</t>
  </si>
  <si>
    <t xml:space="preserve">GREEN WILLIAM ERNEST </t>
  </si>
  <si>
    <t>GREENMEADOW WAY</t>
  </si>
  <si>
    <t>PALO ALTO</t>
  </si>
  <si>
    <t xml:space="preserve">JOHNSON MILDRED </t>
  </si>
  <si>
    <t>436 CHALFONT ST</t>
  </si>
  <si>
    <t xml:space="preserve">BELL LEASING &amp; DEVELOPMENT CO INC      </t>
  </si>
  <si>
    <t>BELL LEASING &amp; DEVELO</t>
  </si>
  <si>
    <t xml:space="preserve">PATTERSON NICOLE J </t>
  </si>
  <si>
    <t xml:space="preserve">DUNMORE BOOKER T &amp; NAOMI                   </t>
  </si>
  <si>
    <t>426 SYLVANIA AVE</t>
  </si>
  <si>
    <t>DUNMORE BOOKER T &amp; NA</t>
  </si>
  <si>
    <t>P O BOX 15779</t>
  </si>
  <si>
    <t xml:space="preserve">HAYWARD RENEE </t>
  </si>
  <si>
    <t>522 CURTIN AVE</t>
  </si>
  <si>
    <t xml:space="preserve">SLATER MICHELLE Y </t>
  </si>
  <si>
    <t>516 CURTIN AVE</t>
  </si>
  <si>
    <t>MIRANDA ABRAHAM  ALEXANDER</t>
  </si>
  <si>
    <t>506 CURTIN AVE</t>
  </si>
  <si>
    <t>MIRANDA ABRAHAM ALEXA</t>
  </si>
  <si>
    <t>WASHINGTON PL UNIT 20G</t>
  </si>
  <si>
    <t xml:space="preserve">SPINNER BARRY ANDREW </t>
  </si>
  <si>
    <t>504 CURTIN AVE</t>
  </si>
  <si>
    <t>CHARLES RAYMOND JR &amp; ETHEL L (W)</t>
  </si>
  <si>
    <t>416 CURTIN AVE</t>
  </si>
  <si>
    <t xml:space="preserve">CHARLES RAYMOND JR &amp; </t>
  </si>
  <si>
    <t>MARLOWE ST</t>
  </si>
  <si>
    <t xml:space="preserve">BURNS LATIVA                                    </t>
  </si>
  <si>
    <t>410 CURTIN AVE</t>
  </si>
  <si>
    <t>116TH AVE</t>
  </si>
  <si>
    <t>KING DAVID A &amp; DOLORES G (W)</t>
  </si>
  <si>
    <t>KING DAVID A &amp; DOLORE</t>
  </si>
  <si>
    <t xml:space="preserve">CARMONA DARIO SOLIS                             </t>
  </si>
  <si>
    <t>724 LILLIAN ST</t>
  </si>
  <si>
    <t xml:space="preserve">CARSON JEWELL </t>
  </si>
  <si>
    <t>SCHUCHERT KENNETH A &amp; MAUREEN H</t>
  </si>
  <si>
    <t>JOYCE DR</t>
  </si>
  <si>
    <t xml:space="preserve">MENZEL FRED W </t>
  </si>
  <si>
    <t>MUNNTOWN RD</t>
  </si>
  <si>
    <t xml:space="preserve">NIECGORSKI JESSIE                               </t>
  </si>
  <si>
    <t>746 LILLIAN ST</t>
  </si>
  <si>
    <t xml:space="preserve">HOUSE ZING LLC </t>
  </si>
  <si>
    <t>OXFORD CTR STE 450</t>
  </si>
  <si>
    <t xml:space="preserve">BRADBURN LORI A </t>
  </si>
  <si>
    <t>806 LILLIAN ST</t>
  </si>
  <si>
    <t xml:space="preserve">GUZMAN EVELIN LIZETT                            </t>
  </si>
  <si>
    <t>810 LILLIAN ST</t>
  </si>
  <si>
    <t xml:space="preserve">WRIGHT SAMUEL LEE SR </t>
  </si>
  <si>
    <t>826 LILLIAN ST</t>
  </si>
  <si>
    <t xml:space="preserve">BLAKEMORE ROSEMARIE </t>
  </si>
  <si>
    <t>830 LILLIAN ST</t>
  </si>
  <si>
    <t xml:space="preserve">LEGER CATHERINE A </t>
  </si>
  <si>
    <t xml:space="preserve">BAG ENTERPRISES LLC </t>
  </si>
  <si>
    <t>834 LILLIAN ST</t>
  </si>
  <si>
    <t xml:space="preserve">HOSSAIN MOHAMMAD A </t>
  </si>
  <si>
    <t>838 LILLIAN ST</t>
  </si>
  <si>
    <t xml:space="preserve">COOK LINDA </t>
  </si>
  <si>
    <t>846 LILLIAN ST</t>
  </si>
  <si>
    <t xml:space="preserve">ROACH GLENN P </t>
  </si>
  <si>
    <t>848 LILLIAN ST</t>
  </si>
  <si>
    <t xml:space="preserve">CARMONA DARIO SOLIS </t>
  </si>
  <si>
    <t>850 LILLIAN ST</t>
  </si>
  <si>
    <t xml:space="preserve">MCLAURIN GARY </t>
  </si>
  <si>
    <t>858 LILLIAN ST</t>
  </si>
  <si>
    <t>WHISPERING PINES DR</t>
  </si>
  <si>
    <t>SPRING LAKE</t>
  </si>
  <si>
    <t xml:space="preserve">MCLAURIN GARY BERNARD </t>
  </si>
  <si>
    <t xml:space="preserve">WALDRON JAMES </t>
  </si>
  <si>
    <t>WALDRON JAMES</t>
  </si>
  <si>
    <t>ROUTE 36</t>
  </si>
  <si>
    <t xml:space="preserve">A PLUS RENTALS LLC </t>
  </si>
  <si>
    <t>417 KNOX AVE</t>
  </si>
  <si>
    <t>BRYCE PETERS FINANCIAL  CORPORATION</t>
  </si>
  <si>
    <t>415 KNOX AVE</t>
  </si>
  <si>
    <t>BRYCE PETERS FINANCIA</t>
  </si>
  <si>
    <t>WRONDEL WAY STE 500</t>
  </si>
  <si>
    <t xml:space="preserve">FREEMAN RACHEL                                  </t>
  </si>
  <si>
    <t>914 LILLIAN ST</t>
  </si>
  <si>
    <t>930 LILLIAN ST</t>
  </si>
  <si>
    <t xml:space="preserve">BARRON MORTGAGE CORP INC </t>
  </si>
  <si>
    <t xml:space="preserve">BARRON MORTGAGE CORP </t>
  </si>
  <si>
    <t xml:space="preserve">JHUNJHNUWALA NADIA </t>
  </si>
  <si>
    <t>LENDER ASSET RESOLUTION  INC</t>
  </si>
  <si>
    <t>LENDER ASSET RESOLUTI</t>
  </si>
  <si>
    <t>HIGHWAY 6 N RM 145</t>
  </si>
  <si>
    <t xml:space="preserve">SUDDETH OLIVER RH </t>
  </si>
  <si>
    <t>0 ALTHEA ST</t>
  </si>
  <si>
    <t xml:space="preserve">SHARP LADORIA M </t>
  </si>
  <si>
    <t>438 ALTHEA ST</t>
  </si>
  <si>
    <t>LADORIA M SHARP</t>
  </si>
  <si>
    <t>ALTHEA ST</t>
  </si>
  <si>
    <t xml:space="preserve">ANDERSON TRAVIS JAMES </t>
  </si>
  <si>
    <t>442 ALTHEA ST</t>
  </si>
  <si>
    <t>ANDERSON TRAVIS JAMES</t>
  </si>
  <si>
    <t>E 9TH AVE</t>
  </si>
  <si>
    <t xml:space="preserve">SEDEY FRANK J &amp; VERONICA </t>
  </si>
  <si>
    <t xml:space="preserve">EVERETT JEVON </t>
  </si>
  <si>
    <t>910 BERND ST</t>
  </si>
  <si>
    <t xml:space="preserve">PRYOR LEWIS DAZZARINE </t>
  </si>
  <si>
    <t>833 ASHDALE ST</t>
  </si>
  <si>
    <t>SAVIOR BOOKER T &amp; DORIS L (W)</t>
  </si>
  <si>
    <t xml:space="preserve">SAVIOR BOOKER T </t>
  </si>
  <si>
    <t>435 ALTHEA ST</t>
  </si>
  <si>
    <t xml:space="preserve">WILLIS MARILYN </t>
  </si>
  <si>
    <t xml:space="preserve">MORRISON OPREA </t>
  </si>
  <si>
    <t>906 BERND ST</t>
  </si>
  <si>
    <t>WALKER WILLIAM  &amp; ESTELLA</t>
  </si>
  <si>
    <t>884 BERND ST</t>
  </si>
  <si>
    <t xml:space="preserve">CASH KEVIN MARK </t>
  </si>
  <si>
    <t>827 ASHDALE ST</t>
  </si>
  <si>
    <t>RICHARDSON EARL &amp; KAYOLA (W)</t>
  </si>
  <si>
    <t>0 CARDIFF WAY</t>
  </si>
  <si>
    <t>504 MICHIGAN ST</t>
  </si>
  <si>
    <t>LEWIS WILLIAM H &amp; GLADYS F</t>
  </si>
  <si>
    <t>0 MICHIGAN ST</t>
  </si>
  <si>
    <t>SYLVANIA AVE APT 304</t>
  </si>
  <si>
    <t>431 MICHIGAN ST</t>
  </si>
  <si>
    <t xml:space="preserve">ROACH EDNA L </t>
  </si>
  <si>
    <t>440 BOLIVAR WAY</t>
  </si>
  <si>
    <t>KELLEY WILLIAM H &amp; FLORENCE FRANCES</t>
  </si>
  <si>
    <t xml:space="preserve">CARTER CHARLES JR &amp; MARY </t>
  </si>
  <si>
    <t>449 MICHIGAN ST</t>
  </si>
  <si>
    <t>CARTER CHARLES JR &amp; M</t>
  </si>
  <si>
    <t xml:space="preserve">DUNCAN KELITA J </t>
  </si>
  <si>
    <t>451 MICHIGAN ST</t>
  </si>
  <si>
    <t xml:space="preserve">JENKINS MICHAEL T SR </t>
  </si>
  <si>
    <t>503 MICHIGAN ST</t>
  </si>
  <si>
    <t>MICHAGAN ST</t>
  </si>
  <si>
    <t xml:space="preserve">COMMONWEALTH OF  PENNSYLVANIA            </t>
  </si>
  <si>
    <t>64 SECANE AVE</t>
  </si>
  <si>
    <t>PENNSYLVANIA DEPARTME</t>
  </si>
  <si>
    <t xml:space="preserve">TITCHWORTH LAWRENCE J </t>
  </si>
  <si>
    <t>100 SECANE AVE</t>
  </si>
  <si>
    <t>SECANE AVE</t>
  </si>
  <si>
    <t xml:space="preserve">LUTHER MELISSA A </t>
  </si>
  <si>
    <t>116 SECANE AVE</t>
  </si>
  <si>
    <t>105 SECANE AVE</t>
  </si>
  <si>
    <t xml:space="preserve">HUSER MARIO </t>
  </si>
  <si>
    <t>105 HARWOOD ST</t>
  </si>
  <si>
    <t xml:space="preserve">BENKART JUDITH A </t>
  </si>
  <si>
    <t>101 HARWOOD ST</t>
  </si>
  <si>
    <t>MEADOWVALE DR</t>
  </si>
  <si>
    <t xml:space="preserve">GRAVENER DANIEL L </t>
  </si>
  <si>
    <t>92 LACLEDE ST</t>
  </si>
  <si>
    <t>LACLEDE ST</t>
  </si>
  <si>
    <t xml:space="preserve">SACCIO ELEANOR CLARA </t>
  </si>
  <si>
    <t>87 HABERMAN AVE</t>
  </si>
  <si>
    <t>HABERMAN AVE</t>
  </si>
  <si>
    <t>95 HABERMAN AVE</t>
  </si>
  <si>
    <t>WYSONG PAUL W &amp; BETTY J (W)</t>
  </si>
  <si>
    <t>111 HABERMAN AVE</t>
  </si>
  <si>
    <t>WYSONG PAUL W &amp; BETTY</t>
  </si>
  <si>
    <t>HATLEY ELBERT S &amp; JOSEPHINE B</t>
  </si>
  <si>
    <t>127 HABERMAN AVE</t>
  </si>
  <si>
    <t>0 KINGSBORO ST</t>
  </si>
  <si>
    <t>FRANCE  77420</t>
  </si>
  <si>
    <t xml:space="preserve">PURPLE ROCK RENTALS LLC </t>
  </si>
  <si>
    <t>215 KINGSBORO ST</t>
  </si>
  <si>
    <t>PURPLE ROCK RENTALS L</t>
  </si>
  <si>
    <t>5TH AVE STE 200</t>
  </si>
  <si>
    <t>213 KINGSBORO ST</t>
  </si>
  <si>
    <t>211 KINGSBORO ST</t>
  </si>
  <si>
    <t>217 KINGSBORO ST</t>
  </si>
  <si>
    <t>LIONS REAL ESTATE GROUP  LLC</t>
  </si>
  <si>
    <t>104 PASADENA ST</t>
  </si>
  <si>
    <t xml:space="preserve">COTTER MATTHEW T </t>
  </si>
  <si>
    <t>BOXCAR MORTGAGE LLC</t>
  </si>
  <si>
    <t>SEMINOLE AVE STE 101</t>
  </si>
  <si>
    <t>MINSTERMAN ROBERT H &amp; JANET L (W)</t>
  </si>
  <si>
    <t>74 PASADENA ST</t>
  </si>
  <si>
    <t>PITTSBURGH RENOVATIONS  TEAM LLC</t>
  </si>
  <si>
    <t>73 PASADENA ST</t>
  </si>
  <si>
    <t>PITTSBURGH RENOVATION</t>
  </si>
  <si>
    <t xml:space="preserve">CROSS ANTHONY                                   </t>
  </si>
  <si>
    <t>75 PASADENA ST</t>
  </si>
  <si>
    <t>VALON MORTGAGE  INC.</t>
  </si>
  <si>
    <t>PO BOX 660043</t>
  </si>
  <si>
    <t xml:space="preserve">ONE HIBISCUS LP </t>
  </si>
  <si>
    <t>W 24TH ST APT 20</t>
  </si>
  <si>
    <t xml:space="preserve">TOLIVER HENRY </t>
  </si>
  <si>
    <t>RYCE DR</t>
  </si>
  <si>
    <t>WALDORF</t>
  </si>
  <si>
    <t xml:space="preserve">STOGDEN MEGAN </t>
  </si>
  <si>
    <t>BRYANT MICHAEL &amp; SONJA L (W)</t>
  </si>
  <si>
    <t>BRYANT MICHAEL &amp; SONJ</t>
  </si>
  <si>
    <t xml:space="preserve">GRUNIS LEONID </t>
  </si>
  <si>
    <t>76 ESTELLA AVE</t>
  </si>
  <si>
    <t>BLAKE KENNETH B JR &amp; SHARON S (W)</t>
  </si>
  <si>
    <t>70 ESTELLA AVE</t>
  </si>
  <si>
    <t>GAVRIELI AVIHAY          ETAL</t>
  </si>
  <si>
    <t>400 WINTON ST</t>
  </si>
  <si>
    <t>GERSHER MANAGEMENT</t>
  </si>
  <si>
    <t>S 12TH ST FL 1</t>
  </si>
  <si>
    <t xml:space="preserve">BERN AARE L P </t>
  </si>
  <si>
    <t>427 EDGEMONT ST</t>
  </si>
  <si>
    <t>PO BOX 56</t>
  </si>
  <si>
    <t xml:space="preserve">CLANCY MARILYN </t>
  </si>
  <si>
    <t>411 EDGEMONT ST</t>
  </si>
  <si>
    <t xml:space="preserve">LOGEL SUSAN </t>
  </si>
  <si>
    <t>408 EDGEMONT ST</t>
  </si>
  <si>
    <t xml:space="preserve">DEFRANCO BRYAN D </t>
  </si>
  <si>
    <t>410 EDGEMONT ST</t>
  </si>
  <si>
    <t xml:space="preserve">HUNTER HOMES INC </t>
  </si>
  <si>
    <t xml:space="preserve">BOEHM WILLIAM C </t>
  </si>
  <si>
    <t>405 KINGSBORO ST</t>
  </si>
  <si>
    <t>400 KINGSBORO ST</t>
  </si>
  <si>
    <t xml:space="preserve">HU INVESTMENTS </t>
  </si>
  <si>
    <t>414 KINGSBORO ST</t>
  </si>
  <si>
    <t xml:space="preserve">NAKAJIMA JIROU &amp;                         </t>
  </si>
  <si>
    <t>422 KINGSBORO ST</t>
  </si>
  <si>
    <t>NAKAJIMA JIROU &amp; VU T</t>
  </si>
  <si>
    <t>HARP PL</t>
  </si>
  <si>
    <t xml:space="preserve">RHODES MAURICE </t>
  </si>
  <si>
    <t>121 BOGGSTON AVE</t>
  </si>
  <si>
    <t>RHODES MAURICE</t>
  </si>
  <si>
    <t>LELIA ST</t>
  </si>
  <si>
    <t>MATTHEWS CHARLES H &amp; WANDA M (W)</t>
  </si>
  <si>
    <t>0 BOGGSTON AVE</t>
  </si>
  <si>
    <t>WILLIAM E GREEN</t>
  </si>
  <si>
    <t xml:space="preserve">FERGUSON RICHARD PAUL                           </t>
  </si>
  <si>
    <t>101 BOGGSTON AVE</t>
  </si>
  <si>
    <t>FERGUSON RICHARD PAUL</t>
  </si>
  <si>
    <t>BOGGSTOWN AVE</t>
  </si>
  <si>
    <t xml:space="preserve">GARMANY ROY L </t>
  </si>
  <si>
    <t xml:space="preserve">BEY GEMERE </t>
  </si>
  <si>
    <t>192 BOGGSTON AVE</t>
  </si>
  <si>
    <t>190 BOGGSTON AVE</t>
  </si>
  <si>
    <t>BOGSTON AVE</t>
  </si>
  <si>
    <t xml:space="preserve">BROWN CHERYL </t>
  </si>
  <si>
    <t>17 INDUSTRY ST</t>
  </si>
  <si>
    <t xml:space="preserve">COSBY SHEILA R </t>
  </si>
  <si>
    <t>15 INDUSTRY ST</t>
  </si>
  <si>
    <t xml:space="preserve">WESLEY KEITH </t>
  </si>
  <si>
    <t xml:space="preserve">DANIELS SHARON </t>
  </si>
  <si>
    <t>203 TAFT AVE</t>
  </si>
  <si>
    <t>42 INDUSTRY ST</t>
  </si>
  <si>
    <t>JOHNSON WILLIAM A &amp; ANNA M</t>
  </si>
  <si>
    <t>44 INDUSTRY ST</t>
  </si>
  <si>
    <t>JOHNSON WILLIAM A &amp; A</t>
  </si>
  <si>
    <t xml:space="preserve">MORGAN LADRINA </t>
  </si>
  <si>
    <t>220 E WARRINGTON AVE</t>
  </si>
  <si>
    <t>WARRINGTON AVE E</t>
  </si>
  <si>
    <t>W WARRINGTON AVE</t>
  </si>
  <si>
    <t xml:space="preserve">ODEKANMI GBEMISOLA </t>
  </si>
  <si>
    <t>152 W WARRINGTON AVE</t>
  </si>
  <si>
    <t>ODEKANMI GBEMISOLA</t>
  </si>
  <si>
    <t>BEECHNUT ST APT 210</t>
  </si>
  <si>
    <t>154 W WARRINGTON AVE</t>
  </si>
  <si>
    <t>BOOKER DANIEL H &amp; ERNESTINE ANTOINETTE</t>
  </si>
  <si>
    <t>176 W WARRINGTON AVE</t>
  </si>
  <si>
    <t>BOOKER DANIEL H &amp; ERN</t>
  </si>
  <si>
    <t>MARRIOTT DR APT 317</t>
  </si>
  <si>
    <t xml:space="preserve">HUGNEY CHARLES R </t>
  </si>
  <si>
    <t>0 LAVERNE ST</t>
  </si>
  <si>
    <t>DOLAN JAMES M &amp; PENELOPE J (W)</t>
  </si>
  <si>
    <t>0 W WARRINGTON AVE</t>
  </si>
  <si>
    <t>HILL CHARLES LEO &amp; GERALDINE</t>
  </si>
  <si>
    <t xml:space="preserve">WASHINGTON RUTH C </t>
  </si>
  <si>
    <t>WILLOW AVE E</t>
  </si>
  <si>
    <t>REED LUTHER C &amp; DAISY E (W)</t>
  </si>
  <si>
    <t>ANDREWS NATHANIEL BRUCE  &amp; VENETTA LYNN ( W)</t>
  </si>
  <si>
    <t>ANDREWS NATHANIEL BRU</t>
  </si>
  <si>
    <t>P.O. BOX 99482</t>
  </si>
  <si>
    <t xml:space="preserve">GARDENHIRE LANCE </t>
  </si>
  <si>
    <t>77 INDUSTRY ST</t>
  </si>
  <si>
    <t>LASEAN NUNLEY</t>
  </si>
  <si>
    <t>VODELI ST</t>
  </si>
  <si>
    <t>NEAL WALTER &amp; JOSHLYNN (W)</t>
  </si>
  <si>
    <t>95 INDUSTRY ST</t>
  </si>
  <si>
    <t>NEAL WALTER &amp; JOSHLYN</t>
  </si>
  <si>
    <t>GROVETON ST</t>
  </si>
  <si>
    <t>LAWSON HORACE JR &amp; MURDIS</t>
  </si>
  <si>
    <t>93 INDUSTRY ST</t>
  </si>
  <si>
    <t xml:space="preserve">WILLIAMS MILATON S </t>
  </si>
  <si>
    <t>LAFAYETTE AVE</t>
  </si>
  <si>
    <t xml:space="preserve">BOGUS IRENE S </t>
  </si>
  <si>
    <t>89 INDUSTRY ST</t>
  </si>
  <si>
    <t>TAGGART CHRISTOPHER</t>
  </si>
  <si>
    <t xml:space="preserve">DUGGAN RAPH </t>
  </si>
  <si>
    <t>87 INDUSTRY ST</t>
  </si>
  <si>
    <t>NORMAL AVE</t>
  </si>
  <si>
    <t>109 INDUSTRY ST</t>
  </si>
  <si>
    <t>BROOM SAMUEL J JOHNSON JUDITH M</t>
  </si>
  <si>
    <t>ALBRIGHT TIMOTHY A &amp; GLADYS</t>
  </si>
  <si>
    <t>LOTTIE PL</t>
  </si>
  <si>
    <t>CLINTON</t>
  </si>
  <si>
    <t>IRVING JOHN C &amp; HELEN M (W)</t>
  </si>
  <si>
    <t>127 NINA WAY</t>
  </si>
  <si>
    <t>NINA WAY</t>
  </si>
  <si>
    <t xml:space="preserve">HICKS EDDIE M                                   </t>
  </si>
  <si>
    <t>201 INDUSTRY ST</t>
  </si>
  <si>
    <t xml:space="preserve">SUAREZ EMILY D </t>
  </si>
  <si>
    <t>212 INDUSTRY ST</t>
  </si>
  <si>
    <t>MAYWOOD ST</t>
  </si>
  <si>
    <t xml:space="preserve">THORNHILL DOMINIQUE </t>
  </si>
  <si>
    <t xml:space="preserve">MORGAN LADRINA L </t>
  </si>
  <si>
    <t>122 INDUSTRY ST</t>
  </si>
  <si>
    <t xml:space="preserve">JOHNSON JUDITH M </t>
  </si>
  <si>
    <t>110 INDUSTRY ST</t>
  </si>
  <si>
    <t xml:space="preserve">ALLEN CLIVE ELVIS </t>
  </si>
  <si>
    <t>108 INDUSTRY ST</t>
  </si>
  <si>
    <t>ALLEN CLIVE ELVIS</t>
  </si>
  <si>
    <t xml:space="preserve">FREEMAN DIMON </t>
  </si>
  <si>
    <t>102 INDUSTRY ST</t>
  </si>
  <si>
    <t xml:space="preserve">ANGELO MARY </t>
  </si>
  <si>
    <t xml:space="preserve">FAIRRIOR VIRDIE A </t>
  </si>
  <si>
    <t>0 MONTOOTH ST</t>
  </si>
  <si>
    <t>MONTOOTH ST</t>
  </si>
  <si>
    <t xml:space="preserve">LELLOCK GEORGE </t>
  </si>
  <si>
    <t>88 INDUSTRY ST</t>
  </si>
  <si>
    <t xml:space="preserve">WE CARE CONSULTING LLC </t>
  </si>
  <si>
    <t>92 INDUSTRY ST</t>
  </si>
  <si>
    <t>WE CARE CONSULTING LL</t>
  </si>
  <si>
    <t>HIGHWAY 70 SW</t>
  </si>
  <si>
    <t>DORSEY WILLIAM P &amp; ROCHELLE M (W)</t>
  </si>
  <si>
    <t xml:space="preserve">WALTON YVONNLA </t>
  </si>
  <si>
    <t>96 INDUSTRY ST</t>
  </si>
  <si>
    <t xml:space="preserve">GATES RAYMOND                                   </t>
  </si>
  <si>
    <t>24 LAVERNE ST</t>
  </si>
  <si>
    <t>LAVERNE ST</t>
  </si>
  <si>
    <t>MCWILSON ALFRED O'NEIL  THOMAS</t>
  </si>
  <si>
    <t>64 INDUSTRY ST</t>
  </si>
  <si>
    <t xml:space="preserve">ALFRED O'NEIL THOMAS </t>
  </si>
  <si>
    <t xml:space="preserve">GRAVES MARY </t>
  </si>
  <si>
    <t>85 CLIMAX ST</t>
  </si>
  <si>
    <t>WILLIAM DAVIS</t>
  </si>
  <si>
    <t xml:space="preserve">ALLISON JEAN </t>
  </si>
  <si>
    <t>87 CLIMAX ST</t>
  </si>
  <si>
    <t xml:space="preserve">LOMAURO EDWARD                                  </t>
  </si>
  <si>
    <t>89 CLIMAX ST</t>
  </si>
  <si>
    <t>HAIG AVE</t>
  </si>
  <si>
    <t>PATCHOGUE</t>
  </si>
  <si>
    <t xml:space="preserve">EDWARDS CHERELLE M                              </t>
  </si>
  <si>
    <t>95 CLIMAX ST</t>
  </si>
  <si>
    <t xml:space="preserve">GARNER DENNIS T </t>
  </si>
  <si>
    <t>214 CLIMAX ST</t>
  </si>
  <si>
    <t>RAVENWOOD AVE</t>
  </si>
  <si>
    <t>ROSENFELD NORMAN H &amp; RHODA S (W)</t>
  </si>
  <si>
    <t xml:space="preserve">SAMPSON FRANK  &amp; HATTIE </t>
  </si>
  <si>
    <t>130 CLIMAX ST</t>
  </si>
  <si>
    <t>NELSON GEORGE E (ESTATE  OF)</t>
  </si>
  <si>
    <t>ETHEL NELSON LOCKE (A</t>
  </si>
  <si>
    <t>HELPING HANDS HOUSING I  LLC</t>
  </si>
  <si>
    <t>HELPING HANDS HOUSING</t>
  </si>
  <si>
    <t>TILLMAN WILLIAM H &amp; ELIZABETH (W)</t>
  </si>
  <si>
    <t>0 GEARING AVE</t>
  </si>
  <si>
    <t>TWEH JOHNSON W &amp; CHARLOTTE M</t>
  </si>
  <si>
    <t>LEO'S TIRE &amp; AUTO SERVICE LLC</t>
  </si>
  <si>
    <t>88 CLIMAX ST</t>
  </si>
  <si>
    <t>LEO'S TIRE &amp; AUTO SER</t>
  </si>
  <si>
    <t xml:space="preserve">DAVIS WILLIAM C </t>
  </si>
  <si>
    <t xml:space="preserve">WADE HERMAN L </t>
  </si>
  <si>
    <t xml:space="preserve">BATTLES YURONNE M </t>
  </si>
  <si>
    <t>145 FREELAND ST</t>
  </si>
  <si>
    <t xml:space="preserve">VEREEN ALISHA M </t>
  </si>
  <si>
    <t>147 FREELAND ST</t>
  </si>
  <si>
    <t xml:space="preserve">KING SHARON L </t>
  </si>
  <si>
    <t xml:space="preserve">REINERTH RANDY </t>
  </si>
  <si>
    <t xml:space="preserve">BELL LAMONT </t>
  </si>
  <si>
    <t>236 FREELAND ST</t>
  </si>
  <si>
    <t xml:space="preserve">EVANS MARK D </t>
  </si>
  <si>
    <t>240 FREELAND ST</t>
  </si>
  <si>
    <t xml:space="preserve">DAVIS HAROLD RAMON </t>
  </si>
  <si>
    <t>336 FREELAND ST</t>
  </si>
  <si>
    <t>DAVIS HAROLD RAMON</t>
  </si>
  <si>
    <t>BROWN ARTHUR JR &amp; AMY E (W)</t>
  </si>
  <si>
    <t>C/O LINDA ANDERSON</t>
  </si>
  <si>
    <t>MAKELL CT</t>
  </si>
  <si>
    <t>BROWN ARTHUR JR &amp; AMY</t>
  </si>
  <si>
    <t>JOSEPH MAKELL CT</t>
  </si>
  <si>
    <t xml:space="preserve">LASH FRANK J </t>
  </si>
  <si>
    <t>406 FREELAND ST</t>
  </si>
  <si>
    <t>MANGHAM JAMES &amp; KIM D (W)</t>
  </si>
  <si>
    <t>412 FREELAND ST</t>
  </si>
  <si>
    <t>MANGHAM JAMES &amp; AIMEE M (W)</t>
  </si>
  <si>
    <t>416 FREELAND ST</t>
  </si>
  <si>
    <t>MANGHAM JAMES</t>
  </si>
  <si>
    <t>ZARA ST</t>
  </si>
  <si>
    <t>421 FREELAND ST</t>
  </si>
  <si>
    <t xml:space="preserve">THOMAS ERNESTINE                                </t>
  </si>
  <si>
    <t>410 LOYAL WAY</t>
  </si>
  <si>
    <t xml:space="preserve">ELEY DAVID  &amp; MELVA </t>
  </si>
  <si>
    <t xml:space="preserve">LANDIS JAMES W </t>
  </si>
  <si>
    <t>PINE MEADOW LN</t>
  </si>
  <si>
    <t xml:space="preserve">LUN LON CORP </t>
  </si>
  <si>
    <t xml:space="preserve">ONEIL ALLEN E </t>
  </si>
  <si>
    <t>PO BOX 59262</t>
  </si>
  <si>
    <t>CARR MARGARET K &amp; PHILIP L CARR</t>
  </si>
  <si>
    <t xml:space="preserve">LUNARDI RONALD P </t>
  </si>
  <si>
    <t>KAHASINSKI FRANK A &amp; CATHERINE (W)</t>
  </si>
  <si>
    <t>NO ADDRESS</t>
  </si>
  <si>
    <t>317 FREELAND ST</t>
  </si>
  <si>
    <t>REIFERT ST</t>
  </si>
  <si>
    <t>TRUST MEMORIAL LANDIS  MARY SISTER</t>
  </si>
  <si>
    <t>307 FREELAND ST</t>
  </si>
  <si>
    <t>BAGS OF HOLDING IV TR</t>
  </si>
  <si>
    <t xml:space="preserve">JONES HAYWOOD V </t>
  </si>
  <si>
    <t>303 FREELAND ST</t>
  </si>
  <si>
    <t>SLOWIENIEC JOHN  &amp; VERNA C (W)</t>
  </si>
  <si>
    <t xml:space="preserve">JACKSON THOMAS E </t>
  </si>
  <si>
    <t xml:space="preserve">REESE TAMMARA </t>
  </si>
  <si>
    <t>237 FREELAND ST</t>
  </si>
  <si>
    <t>REESE TAMMARA</t>
  </si>
  <si>
    <t>N BRYANT AVE APT 2</t>
  </si>
  <si>
    <t>235 FREELAND ST</t>
  </si>
  <si>
    <t>EVANS SALLIE  &amp; ADOLPHUS EVANS</t>
  </si>
  <si>
    <t>COFFEY PAULETTE  &amp; JESSIE COFFEY</t>
  </si>
  <si>
    <t>DAVIS RODNEY E &amp; JOYCE G DAVIS</t>
  </si>
  <si>
    <t>BURKS MOSES  &amp; GERALDINE (W)</t>
  </si>
  <si>
    <t>BURKS MOSES  &amp; GERALD</t>
  </si>
  <si>
    <t>STOWE DR</t>
  </si>
  <si>
    <t xml:space="preserve">PRINCE RALPH M &amp; ELOISE </t>
  </si>
  <si>
    <t>DARLENE FLANNERY</t>
  </si>
  <si>
    <t>S 5TH ST</t>
  </si>
  <si>
    <t xml:space="preserve">GARNER STARLETT J </t>
  </si>
  <si>
    <t>304 CLIMAX ST</t>
  </si>
  <si>
    <t>GARNER STARLETT J</t>
  </si>
  <si>
    <t>306 CLIMAX ST</t>
  </si>
  <si>
    <t>CLIMAX ST APT 2</t>
  </si>
  <si>
    <t xml:space="preserve">SUAREZ EMILY </t>
  </si>
  <si>
    <t>312 CLIMAX ST</t>
  </si>
  <si>
    <t>W BURGESS ST</t>
  </si>
  <si>
    <t xml:space="preserve">PERRIN KIRK </t>
  </si>
  <si>
    <t>402 CLIMAX ST</t>
  </si>
  <si>
    <t xml:space="preserve">WEIR RICCO J </t>
  </si>
  <si>
    <t xml:space="preserve">JACKSON HELEN </t>
  </si>
  <si>
    <t>423 CLIMAX ST</t>
  </si>
  <si>
    <t>P O BOX 501</t>
  </si>
  <si>
    <t xml:space="preserve">JACKSON HELEN A </t>
  </si>
  <si>
    <t>P O  BOX 501</t>
  </si>
  <si>
    <t>CAULIS NEGRIS LLC        ETAL</t>
  </si>
  <si>
    <t xml:space="preserve">ROSA MICAH C </t>
  </si>
  <si>
    <t>209 ESTELLA AVE</t>
  </si>
  <si>
    <t>COBBS ROOSEVELT  &amp; ELSIE E (W)</t>
  </si>
  <si>
    <t xml:space="preserve">HUNT TERESA A </t>
  </si>
  <si>
    <t xml:space="preserve">DAY MICHAEL A </t>
  </si>
  <si>
    <t>208 ESTELLA AVE</t>
  </si>
  <si>
    <t>WHITE JOHN  &amp; IPHILLRENEPI (W)</t>
  </si>
  <si>
    <t>WHITE JOHN  &amp; IPHILLR</t>
  </si>
  <si>
    <t>STATE RD APT A9</t>
  </si>
  <si>
    <t>MEDIA</t>
  </si>
  <si>
    <t>OLIVER OSCAR J &amp; GERALDINE P</t>
  </si>
  <si>
    <t>9 VINCENT ST</t>
  </si>
  <si>
    <t>VINCENT ST</t>
  </si>
  <si>
    <t xml:space="preserve">GRIZZLE ELIZABETH J </t>
  </si>
  <si>
    <t>ELKWOOD DR</t>
  </si>
  <si>
    <t xml:space="preserve">BROWN CHARLES </t>
  </si>
  <si>
    <t>231 CLIMAX ST</t>
  </si>
  <si>
    <t>GREEN GEORGE E &amp; OLLIE L (W)</t>
  </si>
  <si>
    <t>234 INDUSTRY ST</t>
  </si>
  <si>
    <t xml:space="preserve">CICHOWICZ THIRZA LYNN </t>
  </si>
  <si>
    <t>233 INDUSTRY ST</t>
  </si>
  <si>
    <t xml:space="preserve">MASUCCI RYAN M </t>
  </si>
  <si>
    <t>234 E WARRINGTON AVE</t>
  </si>
  <si>
    <t xml:space="preserve">VALLEY VESTITURES INC </t>
  </si>
  <si>
    <t>236 E WARRINGTON AVE</t>
  </si>
  <si>
    <t>VALLEY VESTITURES INC</t>
  </si>
  <si>
    <t>4TH AVE STE 1401 #1204</t>
  </si>
  <si>
    <t xml:space="preserve">FRANNIE P PROPERTIES </t>
  </si>
  <si>
    <t>240 E WARRINGTON AVE</t>
  </si>
  <si>
    <t>SINGER AVE</t>
  </si>
  <si>
    <t>244 E WARRINGTON AVE</t>
  </si>
  <si>
    <t xml:space="preserve">RUMLEY JAMES ROBERT                             </t>
  </si>
  <si>
    <t>412 E WARRINGTON AVE</t>
  </si>
  <si>
    <t>SONGO ST</t>
  </si>
  <si>
    <t>416 E WARRINGTON AVE</t>
  </si>
  <si>
    <t>LH REALITY &amp; RESTORATION LLC</t>
  </si>
  <si>
    <t>429 E WARRINGTON AVE</t>
  </si>
  <si>
    <t>LH REALITY &amp; RESTORAT</t>
  </si>
  <si>
    <t xml:space="preserve">LEHRMAN RUSSELL </t>
  </si>
  <si>
    <t>431 E WARRINGTON AVE</t>
  </si>
  <si>
    <t xml:space="preserve">SILVER MENONA A </t>
  </si>
  <si>
    <t>5 SYLVANIA AVE</t>
  </si>
  <si>
    <t xml:space="preserve">WEBB LORENA </t>
  </si>
  <si>
    <t>513 BOGGSTON AVE</t>
  </si>
  <si>
    <t>HERNANDEZ JONATHAN  CASTANO</t>
  </si>
  <si>
    <t>507 BOGGSTON AVE</t>
  </si>
  <si>
    <t>HERNANDEZ JONATHAN CA</t>
  </si>
  <si>
    <t>BERGMAN ST</t>
  </si>
  <si>
    <t xml:space="preserve">GARCIA MANOLO CASTANO                           </t>
  </si>
  <si>
    <t>313 BOGGSTON AVE</t>
  </si>
  <si>
    <t>VALENCIA MARCO ANTONIO  MONDRAGON</t>
  </si>
  <si>
    <t>309 BOGGSTON AVE</t>
  </si>
  <si>
    <t>VALENCIA MARCO ANTONI</t>
  </si>
  <si>
    <t>BOGGYSTON AVE</t>
  </si>
  <si>
    <t xml:space="preserve">EVANS ADOLPHUS JR                               </t>
  </si>
  <si>
    <t>EVANS ADOLPHUS JR</t>
  </si>
  <si>
    <t>ANDOVER DR</t>
  </si>
  <si>
    <t>KENDALL PARK</t>
  </si>
  <si>
    <t>CHERRY KATHRYN ANDERSON  &amp; ROBERT CHERRY</t>
  </si>
  <si>
    <t>261 BOGGSTON AVE</t>
  </si>
  <si>
    <t xml:space="preserve">MENEFFE JONATHAN R SR </t>
  </si>
  <si>
    <t>263 BOGGSTON AVE</t>
  </si>
  <si>
    <t xml:space="preserve">9160 WALNUT LLC </t>
  </si>
  <si>
    <t>267 BOGGSTON AVE</t>
  </si>
  <si>
    <t xml:space="preserve">HARRIS GERROD K </t>
  </si>
  <si>
    <t>SCOTT AVE</t>
  </si>
  <si>
    <t>HARRIS GERROD K &amp; MARTHELLA</t>
  </si>
  <si>
    <t>213 BOGGSTON AVE</t>
  </si>
  <si>
    <t>HARRIS GERROD K &amp; MAR</t>
  </si>
  <si>
    <t xml:space="preserve">BEY NADIA P </t>
  </si>
  <si>
    <t>57 CLIMAX ST</t>
  </si>
  <si>
    <t xml:space="preserve">BEY FRED  &amp; DOLORES (W) </t>
  </si>
  <si>
    <t>209 TAFT AVE</t>
  </si>
  <si>
    <t>BEY FRED  &amp; DOLORES (</t>
  </si>
  <si>
    <t xml:space="preserve">MARINO FRANK  &amp; ROSETTA </t>
  </si>
  <si>
    <t>0 TAFT AVE</t>
  </si>
  <si>
    <t xml:space="preserve">REID CECIL G &amp; ALICE S </t>
  </si>
  <si>
    <t xml:space="preserve">REID CECIL G &amp; ALICE </t>
  </si>
  <si>
    <t>BICKETT BLVD</t>
  </si>
  <si>
    <t xml:space="preserve">SKS PROPERTIES LLC </t>
  </si>
  <si>
    <t>STEWART EDWARD  &amp; JANIE M</t>
  </si>
  <si>
    <t>STEWART EDWARD  &amp; JAN</t>
  </si>
  <si>
    <t>SYLVANIA AVE APT. 209</t>
  </si>
  <si>
    <t xml:space="preserve">SMITH BRIAN </t>
  </si>
  <si>
    <t>10 CLIMAX ST</t>
  </si>
  <si>
    <t>14 CLIMAX ST</t>
  </si>
  <si>
    <t>WRIGHT VERONICA &amp; AUBREY (H)</t>
  </si>
  <si>
    <t>16 CLIMAX ST</t>
  </si>
  <si>
    <t>WRIGHT VERONICA &amp; AUB</t>
  </si>
  <si>
    <t xml:space="preserve">SMITH FRANK                                     </t>
  </si>
  <si>
    <t xml:space="preserve">SCHREINER JOSEPH </t>
  </si>
  <si>
    <t xml:space="preserve">SMITH CHARLES J </t>
  </si>
  <si>
    <t xml:space="preserve">CHAMBERS ERNEST N                               </t>
  </si>
  <si>
    <t>26 CLIMAX ST</t>
  </si>
  <si>
    <t xml:space="preserve">DAVIS ANITA </t>
  </si>
  <si>
    <t xml:space="preserve">OCONNOR THOMAS F </t>
  </si>
  <si>
    <t xml:space="preserve">CARTER ARLENE </t>
  </si>
  <si>
    <t>PO BOX 59003</t>
  </si>
  <si>
    <t>RICHARDS CHRISTINE  VANESSA</t>
  </si>
  <si>
    <t>RICHARDS CHRISTINE VA</t>
  </si>
  <si>
    <t>40 CLIMAX ST</t>
  </si>
  <si>
    <t>BEY FREDERICK  &amp; DOLORES (W)</t>
  </si>
  <si>
    <t>301 TAFT AVE</t>
  </si>
  <si>
    <t xml:space="preserve">COOPER JELANI THOMAS </t>
  </si>
  <si>
    <t>53 LAFFERTY AVE</t>
  </si>
  <si>
    <t>RIVERDALE RD APT B8</t>
  </si>
  <si>
    <t>0 LAFFERTY AVE</t>
  </si>
  <si>
    <t>RIEFERT ST</t>
  </si>
  <si>
    <t>39 LAFFERTY AVE  LANDTRUST</t>
  </si>
  <si>
    <t>39 LAFFERTY AVE</t>
  </si>
  <si>
    <t>BLAKE FREDERICK A &amp; VIOLA</t>
  </si>
  <si>
    <t>LAFFERTY AVE</t>
  </si>
  <si>
    <t>29 LAFFERTY AVE</t>
  </si>
  <si>
    <t xml:space="preserve">WALKER CLINT STEPHEN </t>
  </si>
  <si>
    <t>JORDAN AVE</t>
  </si>
  <si>
    <t>CHATSWORTH</t>
  </si>
  <si>
    <t xml:space="preserve">KAPOLKA DAVID </t>
  </si>
  <si>
    <t>HILLVIEW ST</t>
  </si>
  <si>
    <t>13 LAFFERTY AVE</t>
  </si>
  <si>
    <t xml:space="preserve">THOMAS JOHN A &amp; HELEN H </t>
  </si>
  <si>
    <t>20 LAFFERTY AVE</t>
  </si>
  <si>
    <t xml:space="preserve">STONER JAMAL L </t>
  </si>
  <si>
    <t>26 LAFFERTY AVE</t>
  </si>
  <si>
    <t xml:space="preserve">RUSSELL GLADYS M                                </t>
  </si>
  <si>
    <t>32 LAFFERTY AVE</t>
  </si>
  <si>
    <t>GARDENHIRE FRANK I &amp; BARBARA (W)</t>
  </si>
  <si>
    <t>506 TAFT AVE</t>
  </si>
  <si>
    <t xml:space="preserve">ALLEN ALEXIS </t>
  </si>
  <si>
    <t>508 TAFT AVE</t>
  </si>
  <si>
    <t xml:space="preserve">ALLEN JAMES </t>
  </si>
  <si>
    <t>512 TAFT AVE</t>
  </si>
  <si>
    <t xml:space="preserve">ROLAND O LUCAS  REVOCABLE LIVING TRUST  </t>
  </si>
  <si>
    <t>35 SYLVANIA AVE</t>
  </si>
  <si>
    <t>ROLAND O LUCAS REVOCA</t>
  </si>
  <si>
    <t xml:space="preserve">PETERSON RYAN T </t>
  </si>
  <si>
    <t>17 SYLVANIA AVE</t>
  </si>
  <si>
    <t xml:space="preserve">WALLACE CHRISTINE J &amp; JOSEPH L (H)            </t>
  </si>
  <si>
    <t xml:space="preserve">TANN JAMON T </t>
  </si>
  <si>
    <t>64 CLIMAX ST</t>
  </si>
  <si>
    <t>TANN JAMONT T</t>
  </si>
  <si>
    <t xml:space="preserve">SCI-CV FELICIA </t>
  </si>
  <si>
    <t>SCI-CV FELICIA</t>
  </si>
  <si>
    <t>57570       EV</t>
  </si>
  <si>
    <t xml:space="preserve">THOMAS DARRELL G </t>
  </si>
  <si>
    <t>BEASLEY ENTERPRISES L</t>
  </si>
  <si>
    <t xml:space="preserve">RAY EDWARD E </t>
  </si>
  <si>
    <t>93 LAFFERTY AVE</t>
  </si>
  <si>
    <t xml:space="preserve">STEVERSON JASON </t>
  </si>
  <si>
    <t>91 LAFFERTY AVE</t>
  </si>
  <si>
    <t>CONNISTON AVE</t>
  </si>
  <si>
    <t xml:space="preserve">DORSEY JA'NA </t>
  </si>
  <si>
    <t>89 LAFFERTY AVE</t>
  </si>
  <si>
    <t>SCOTT WILLIAM H III &amp; MARGARET (W)</t>
  </si>
  <si>
    <t>PO BOX 60095</t>
  </si>
  <si>
    <t xml:space="preserve">GETHERS DAMISHA                                 </t>
  </si>
  <si>
    <t>DAMISHA GETHERS</t>
  </si>
  <si>
    <t>WINTER ST APT 103</t>
  </si>
  <si>
    <t>QUINCY</t>
  </si>
  <si>
    <t>67 LAFFERTY AVE</t>
  </si>
  <si>
    <t xml:space="preserve">INGRAM BRENDA GAYLE                             </t>
  </si>
  <si>
    <t xml:space="preserve">JENKINS MARSHALL W </t>
  </si>
  <si>
    <t>62 LAFFERTY AVE</t>
  </si>
  <si>
    <t xml:space="preserve">SIMMONS MELISSA M </t>
  </si>
  <si>
    <t>64 LAFFERTY AVE</t>
  </si>
  <si>
    <t xml:space="preserve">HURT VAUGHN </t>
  </si>
  <si>
    <t>68 LAFFERTY AVE</t>
  </si>
  <si>
    <t>GOODWIN WARREN  &amp; JOHN J ADAMS</t>
  </si>
  <si>
    <t>70 LAFFERTY AVE</t>
  </si>
  <si>
    <t xml:space="preserve">HUNTER ERIC LEE </t>
  </si>
  <si>
    <t>72 LAFFERTY AVE</t>
  </si>
  <si>
    <t>BON AIR AVE</t>
  </si>
  <si>
    <t>SMITH ALDA C &amp; JOHN WILLIAM SMITH</t>
  </si>
  <si>
    <t>86 LAFFERTY AVE</t>
  </si>
  <si>
    <t xml:space="preserve">LUCAS HENRY W &amp; ANNIE R </t>
  </si>
  <si>
    <t>88 LAFFERTY AVE</t>
  </si>
  <si>
    <t xml:space="preserve">BEY CALLEWE </t>
  </si>
  <si>
    <t xml:space="preserve">ALSTON DEAN </t>
  </si>
  <si>
    <t xml:space="preserve">LONG BRYAN </t>
  </si>
  <si>
    <t>91 SYLVANIA AVE</t>
  </si>
  <si>
    <t xml:space="preserve">BALL MICHAEL </t>
  </si>
  <si>
    <t>87 SYLVANIA AVE</t>
  </si>
  <si>
    <t>RAILTO ST</t>
  </si>
  <si>
    <t>THOMPKINS MARY E &amp; OLIVER (H)</t>
  </si>
  <si>
    <t>85 SYLVANIA AVE</t>
  </si>
  <si>
    <t>THOMPKINS MARY E &amp; OL</t>
  </si>
  <si>
    <t>CENTRE AVE APT 4H</t>
  </si>
  <si>
    <t xml:space="preserve">POPE CALVIN F JR </t>
  </si>
  <si>
    <t>83 SYLVANIA AVE</t>
  </si>
  <si>
    <t>SYLVANIA AVE FL 2ND</t>
  </si>
  <si>
    <t xml:space="preserve">POPE HOWARD &amp; RUTH (W) </t>
  </si>
  <si>
    <t>POPE HOWARD &amp; RUTH (W</t>
  </si>
  <si>
    <t>MOUNTAIN RD</t>
  </si>
  <si>
    <t>SOUTH PARK</t>
  </si>
  <si>
    <t xml:space="preserve">WOODBURY MICHAEL </t>
  </si>
  <si>
    <t xml:space="preserve">TUCKER DIANE </t>
  </si>
  <si>
    <t xml:space="preserve">STEVERSON AUDREY L </t>
  </si>
  <si>
    <t>67 SYLVANIA AVE</t>
  </si>
  <si>
    <t>ALLEN JAMES N ETAL</t>
  </si>
  <si>
    <t xml:space="preserve">ALLEN JAMES N </t>
  </si>
  <si>
    <t>61 SYLVANIA AVE</t>
  </si>
  <si>
    <t>SALTER CARL M JR &amp; DEBRA D</t>
  </si>
  <si>
    <t>FIRST CHURCH OF GOD IN  CHRIST OF BELTZHOOVER</t>
  </si>
  <si>
    <t>0 SHANNON WAY</t>
  </si>
  <si>
    <t xml:space="preserve">G8 1-12 FUND LLC </t>
  </si>
  <si>
    <t>CORPORATE DR UNIT 215</t>
  </si>
  <si>
    <t>LADERA BEACH</t>
  </si>
  <si>
    <t>JOHNSON IRMA J           ETAL</t>
  </si>
  <si>
    <t>114 CHALFONT ST</t>
  </si>
  <si>
    <t>GALASSO REAL ESTATE S</t>
  </si>
  <si>
    <t>MOSES MARY  &amp; ROSA FOWLER</t>
  </si>
  <si>
    <t>CASIMIR ST</t>
  </si>
  <si>
    <t>SAGINAW</t>
  </si>
  <si>
    <t xml:space="preserve">DUNLAP JUSTIN D </t>
  </si>
  <si>
    <t>120 CHALFONT ST</t>
  </si>
  <si>
    <t xml:space="preserve">STANLEY DENISE M </t>
  </si>
  <si>
    <t>132 CHALFONT ST</t>
  </si>
  <si>
    <t xml:space="preserve">BROWN LOIS </t>
  </si>
  <si>
    <t>134 CHALFONT ST</t>
  </si>
  <si>
    <t>WALTON AVE</t>
  </si>
  <si>
    <t xml:space="preserve">STANLEY DENISE MARIA </t>
  </si>
  <si>
    <t>138 CHALFONT ST</t>
  </si>
  <si>
    <t xml:space="preserve">JAMES WILLIAM H </t>
  </si>
  <si>
    <t xml:space="preserve">VILLANUEVA HUGO </t>
  </si>
  <si>
    <t>0 DELMONT AVE</t>
  </si>
  <si>
    <t>OCEAN AVE APT B1</t>
  </si>
  <si>
    <t xml:space="preserve">JONES RAY  &amp; NAOMI </t>
  </si>
  <si>
    <t xml:space="preserve">WAHBA SHERIF FREDY FARES </t>
  </si>
  <si>
    <t>WAHBA SHERIF FREDY FA</t>
  </si>
  <si>
    <t>FRANKFORT AVE APT A</t>
  </si>
  <si>
    <t>WALTERS AZERIAH  &amp; SUSIE V</t>
  </si>
  <si>
    <t xml:space="preserve">WALTERS SUSIE V </t>
  </si>
  <si>
    <t xml:space="preserve">RHODES LATASIA </t>
  </si>
  <si>
    <t>615 GEARING AVE</t>
  </si>
  <si>
    <t xml:space="preserve">WILLIAMS ANDREA M </t>
  </si>
  <si>
    <t>617 GEARING AVE</t>
  </si>
  <si>
    <t>HERNDON ST</t>
  </si>
  <si>
    <t>RUSSELL BERTHA           ETAL</t>
  </si>
  <si>
    <t>PO BOX 789</t>
  </si>
  <si>
    <t>STANFIELD</t>
  </si>
  <si>
    <t xml:space="preserve">POLLARD OTIS L &amp; CLARA M </t>
  </si>
  <si>
    <t>614 GEARING AVE</t>
  </si>
  <si>
    <t>POLLARD OTIS L &amp; CLAR</t>
  </si>
  <si>
    <t>ASHTOLA ST</t>
  </si>
  <si>
    <t>618 GEARING AVE</t>
  </si>
  <si>
    <t>BROWN DONALD T &amp; WILLA L (W)</t>
  </si>
  <si>
    <t xml:space="preserve">JAMES CHARMETTE Y </t>
  </si>
  <si>
    <t>113 CHALFONT ST</t>
  </si>
  <si>
    <t>WALKER WILLIAM  &amp; ESTELLA A (W)</t>
  </si>
  <si>
    <t xml:space="preserve">NELSON CARL MICHAEL </t>
  </si>
  <si>
    <t>615 MONTOOTH ST</t>
  </si>
  <si>
    <t xml:space="preserve">WALKER ESTELLA </t>
  </si>
  <si>
    <t>613 MONTOOTH ST</t>
  </si>
  <si>
    <t>WALKER FRED W &amp; WILLIAM WALKER</t>
  </si>
  <si>
    <t>611 MONTOOTH ST</t>
  </si>
  <si>
    <t xml:space="preserve">WILLIAMS MICHAEL A </t>
  </si>
  <si>
    <t>116 SYLVANIA AVE</t>
  </si>
  <si>
    <t xml:space="preserve">BURLEIGH WILLIAM </t>
  </si>
  <si>
    <t>114 SYLVANIA AVE</t>
  </si>
  <si>
    <t>HALSEY AVE</t>
  </si>
  <si>
    <t>112 SYLVANIA AVE</t>
  </si>
  <si>
    <t>STEPHENS PHILLIP  &amp; MARGARINE (W)</t>
  </si>
  <si>
    <t>108 SYLVANIA AVE</t>
  </si>
  <si>
    <t xml:space="preserve">PERSON WALTER J </t>
  </si>
  <si>
    <t>605 MONTOOTH ST</t>
  </si>
  <si>
    <t>PAMELA PERSON</t>
  </si>
  <si>
    <t xml:space="preserve">DENT NATHANIEL </t>
  </si>
  <si>
    <t xml:space="preserve">MILES ERIC V                                    </t>
  </si>
  <si>
    <t>523 MONTOOTH ST</t>
  </si>
  <si>
    <t xml:space="preserve">YOUNG LAWRENCE                                  </t>
  </si>
  <si>
    <t>519 MONTOOTH ST</t>
  </si>
  <si>
    <t>P O BOX 5909</t>
  </si>
  <si>
    <t>GREEN KENNETH D &amp; CYNTHIA (W)</t>
  </si>
  <si>
    <t>500 GEARING AVE</t>
  </si>
  <si>
    <t>GREEN KENNETH D &amp; CYN</t>
  </si>
  <si>
    <t>BRIGHTWOOD RD APT C411</t>
  </si>
  <si>
    <t xml:space="preserve">DUDRICK FRANK J </t>
  </si>
  <si>
    <t xml:space="preserve">BROWN BRENDA </t>
  </si>
  <si>
    <t xml:space="preserve">COX SHAWN A </t>
  </si>
  <si>
    <t>512 GEARING AVE</t>
  </si>
  <si>
    <t>NEAL WALTER N &amp; VANESSA L (W)</t>
  </si>
  <si>
    <t>514 GEARING AVE</t>
  </si>
  <si>
    <t>NEAL WALTER N &amp; VANES</t>
  </si>
  <si>
    <t xml:space="preserve">BRINSON DOROTHY </t>
  </si>
  <si>
    <t>516 GEARING AVE</t>
  </si>
  <si>
    <t>EVANS WILLIAM H &amp; THERESA O (W)</t>
  </si>
  <si>
    <t>EVANS WILLIAM H &amp; THE</t>
  </si>
  <si>
    <t>CRANBURY RD</t>
  </si>
  <si>
    <t>NORWALK</t>
  </si>
  <si>
    <t xml:space="preserve">PERSON GLADYS I </t>
  </si>
  <si>
    <t>STEPHENS MARGARINE  WALDON</t>
  </si>
  <si>
    <t>509 GEARING AVE</t>
  </si>
  <si>
    <t xml:space="preserve">LEE ANDREW M </t>
  </si>
  <si>
    <t>ALICE ST</t>
  </si>
  <si>
    <t>ROGERS JULIUS ROBERT  HENRY</t>
  </si>
  <si>
    <t>514 DELMONT AVE</t>
  </si>
  <si>
    <t>DELMONT ST</t>
  </si>
  <si>
    <t>ORGAN HOWARD W &amp; KATRINA K (W)</t>
  </si>
  <si>
    <t>524 DELMONT AVE</t>
  </si>
  <si>
    <t xml:space="preserve">THOMAS LISA M </t>
  </si>
  <si>
    <t xml:space="preserve">ALLEN PATRICIA ELVIRA </t>
  </si>
  <si>
    <t>PATRICIA ELVIRA ALLEN</t>
  </si>
  <si>
    <t>STAPLES HAZEL  &amp; BUELAH STAPLES</t>
  </si>
  <si>
    <t>100 FREELAND ST</t>
  </si>
  <si>
    <t>LEWIS  LINWOODH &amp; JR/DENISE E (W)</t>
  </si>
  <si>
    <t>131 FREELAND ST</t>
  </si>
  <si>
    <t>SADDLEWOOD DR</t>
  </si>
  <si>
    <t>DORSEY VERNON N &amp; LOIS (W)</t>
  </si>
  <si>
    <t>210 FREELAND ST</t>
  </si>
  <si>
    <t>ANTHONY ALBERT T &amp; DONNA D HEDGE-ANTHONY (W</t>
  </si>
  <si>
    <t>206 FREELAND ST</t>
  </si>
  <si>
    <t>ANTHONY ALBERT T &amp; DO</t>
  </si>
  <si>
    <t xml:space="preserve">HUNTER ERIC L </t>
  </si>
  <si>
    <t>211 CEDARHURST ST</t>
  </si>
  <si>
    <t>WILLIAMS CARRIE BELL &amp; JOSEPHINE WILLIAM S</t>
  </si>
  <si>
    <t>329 CEDARHURST ST</t>
  </si>
  <si>
    <t xml:space="preserve">WILLIAMS CARRIE BELL </t>
  </si>
  <si>
    <t xml:space="preserve">JONES MARLON R </t>
  </si>
  <si>
    <t>345 CEDARHURST ST</t>
  </si>
  <si>
    <t>WALKER LEONARD E &amp; EVELYN (W)</t>
  </si>
  <si>
    <t>411 CEDARHURST ST</t>
  </si>
  <si>
    <t xml:space="preserve">ASHDALE HOLDINGS LLC </t>
  </si>
  <si>
    <t xml:space="preserve">HOMESWAP AI LLC </t>
  </si>
  <si>
    <t>416 CEDARHURST ST</t>
  </si>
  <si>
    <t>MONTEBELLO</t>
  </si>
  <si>
    <t xml:space="preserve">TRIPLE A INVESTMENTS LLC </t>
  </si>
  <si>
    <t>412 CEDARHURST ST</t>
  </si>
  <si>
    <t xml:space="preserve">TRIPLE A INVESTMENTS </t>
  </si>
  <si>
    <t>PO BOX 229</t>
  </si>
  <si>
    <t>HUNTINGDON</t>
  </si>
  <si>
    <t>BELTZHOOVER CONSENSUS  GROUP</t>
  </si>
  <si>
    <t>330 CEDARHURST ST</t>
  </si>
  <si>
    <t>ANDERSON LARRY S &amp; CHARMAINE C (W)</t>
  </si>
  <si>
    <t>0 CEDARHURST ST</t>
  </si>
  <si>
    <t>ANDERSON LARRY S &amp; CH</t>
  </si>
  <si>
    <t>FORESTVILLE RD # 10029</t>
  </si>
  <si>
    <t xml:space="preserve">VENSON LOFTS HOUSING LP </t>
  </si>
  <si>
    <t xml:space="preserve">VENSON LOFTS HOUSING </t>
  </si>
  <si>
    <t xml:space="preserve">MANGHAM JAMES </t>
  </si>
  <si>
    <t>213 SYLVANIA AVE</t>
  </si>
  <si>
    <t xml:space="preserve">MANGHAM ANDRE L </t>
  </si>
  <si>
    <t>ANDRE L MANGHAM</t>
  </si>
  <si>
    <t xml:space="preserve">THOMAS TERI L </t>
  </si>
  <si>
    <t>225 SYLVANIA AVE</t>
  </si>
  <si>
    <t>TERI L THOMAS</t>
  </si>
  <si>
    <t>LEWIS ALEXANDER  &amp; LILLIE R (W)</t>
  </si>
  <si>
    <t>320 CEDARHURST ST</t>
  </si>
  <si>
    <t>339 SYLVANIA AVE</t>
  </si>
  <si>
    <t xml:space="preserve">ADU-MARFO REBECCA </t>
  </si>
  <si>
    <t>414 SYLVANIA AVE</t>
  </si>
  <si>
    <t xml:space="preserve">BEY ROBERT </t>
  </si>
  <si>
    <t>PO BOX 59115</t>
  </si>
  <si>
    <t xml:space="preserve">MILLER GREGORY E </t>
  </si>
  <si>
    <t>334 SYLVANIA AVE</t>
  </si>
  <si>
    <t>LEMON AVE APT 2</t>
  </si>
  <si>
    <t>LONG BEACH</t>
  </si>
  <si>
    <t xml:space="preserve">DORSEY ANTOINE DEVON </t>
  </si>
  <si>
    <t>328 SYLVANIA AVE</t>
  </si>
  <si>
    <t>DORSEY ANTOINE DEVON</t>
  </si>
  <si>
    <t>GOINS DELMONT  &amp; WAHNEETA (W)</t>
  </si>
  <si>
    <t xml:space="preserve">THACKER GEORGENA </t>
  </si>
  <si>
    <t>THACKER GEORGENA  &amp; MERLE S WILLIAMSON</t>
  </si>
  <si>
    <t>226 SYLVANIA AVE</t>
  </si>
  <si>
    <t>208 SYLVANIA AVE</t>
  </si>
  <si>
    <t xml:space="preserve">THOMAS ANTOINE C </t>
  </si>
  <si>
    <t>206 SYLVANIA AVE</t>
  </si>
  <si>
    <t>THOMAS ANTOINE C</t>
  </si>
  <si>
    <t xml:space="preserve">PORTER DARELLE </t>
  </si>
  <si>
    <t xml:space="preserve">GRANT-MILLS LARNELL </t>
  </si>
  <si>
    <t>327 CHALFONT ST</t>
  </si>
  <si>
    <t>S HERMITAGE AVE</t>
  </si>
  <si>
    <t xml:space="preserve">MINOR CARRIE L </t>
  </si>
  <si>
    <t>E 8TH AVE APT 105B</t>
  </si>
  <si>
    <t xml:space="preserve">SMITH JOHN B &amp; EMMA (W) </t>
  </si>
  <si>
    <t>START FROM THE BOTTOM  LLC</t>
  </si>
  <si>
    <t>320 CHALFONT ST</t>
  </si>
  <si>
    <t>START FROM THE BOTTOM</t>
  </si>
  <si>
    <t xml:space="preserve">TRAVIS LESSIE </t>
  </si>
  <si>
    <t>310 CHALFONT ST</t>
  </si>
  <si>
    <t>FREE BIRD AVE</t>
  </si>
  <si>
    <t xml:space="preserve">CLARK IDA L </t>
  </si>
  <si>
    <t>306 CHALFONT ST</t>
  </si>
  <si>
    <t>PO BOX 59424</t>
  </si>
  <si>
    <t xml:space="preserve">GRANBERRY MAUREEN EVA </t>
  </si>
  <si>
    <t>304 CHALFONT ST</t>
  </si>
  <si>
    <t>BURKS KATHERINE  &amp; ANDREW LEE ZIEGLER</t>
  </si>
  <si>
    <t>FAIRFIELD AVE</t>
  </si>
  <si>
    <t>234 CHALFONT ST</t>
  </si>
  <si>
    <t xml:space="preserve">MARTIN RAUL GARCIA                              </t>
  </si>
  <si>
    <t>230 CHALFONT ST</t>
  </si>
  <si>
    <t>RAUL GARCIA MARTIN SA</t>
  </si>
  <si>
    <t xml:space="preserve">GARCIA RAUL                                     </t>
  </si>
  <si>
    <t>228 CHALFONT ST</t>
  </si>
  <si>
    <t>WILSON WILLIS JR &amp; GERTRUDE BROSIER (W)</t>
  </si>
  <si>
    <t xml:space="preserve">SCOTT TANISHA </t>
  </si>
  <si>
    <t>CENTEX HOME EQUITY  COMPANY LLC</t>
  </si>
  <si>
    <t>CENTEX HOME EQUITY CO</t>
  </si>
  <si>
    <t>LEWISVILLE</t>
  </si>
  <si>
    <t>WATKINS GREGORY L &amp; KIMBERLY R (W)</t>
  </si>
  <si>
    <t xml:space="preserve">HARRIS FRANK  &amp; AMANDA </t>
  </si>
  <si>
    <t>SOUTH HILLS BAPTIST CHURCH</t>
  </si>
  <si>
    <t>208 CHALFONT ST</t>
  </si>
  <si>
    <t xml:space="preserve">DENNISON MAXIMILIAN </t>
  </si>
  <si>
    <t>26 SYLVANIA AVE</t>
  </si>
  <si>
    <t>6 SYLVANIA AVE</t>
  </si>
  <si>
    <t>4 SYLVANIA AVE</t>
  </si>
  <si>
    <t>EVANS WILLIAM H &amp; THERESA O</t>
  </si>
  <si>
    <t>0 SCHUCK WAY</t>
  </si>
  <si>
    <t xml:space="preserve">JOHNSON MICHAEL H </t>
  </si>
  <si>
    <t xml:space="preserve">PATTON JORDON </t>
  </si>
  <si>
    <t>1 SCHUCK WAY</t>
  </si>
  <si>
    <t>JORDAN PATTON</t>
  </si>
  <si>
    <t>SCHUCK WAY</t>
  </si>
  <si>
    <t>CALLOWAY ULNA  &amp; ROSIE LEE</t>
  </si>
  <si>
    <t>14 FRAMPTON AVE</t>
  </si>
  <si>
    <t>CALLOWAY ULNA  &amp; ROSI</t>
  </si>
  <si>
    <t>13 FRAMPTON AVE</t>
  </si>
  <si>
    <t>GEARING AVE APT 1A</t>
  </si>
  <si>
    <t xml:space="preserve">CORBIN JOHN A &amp; RUTH </t>
  </si>
  <si>
    <t>0 FRAMPTON AVE</t>
  </si>
  <si>
    <t>WOODS GEORGE A &amp; GERALDINE F (W)</t>
  </si>
  <si>
    <t>BIGGER ST</t>
  </si>
  <si>
    <t xml:space="preserve">POSEY GAYE M &amp; JAMES (H) </t>
  </si>
  <si>
    <t>30 BIGGER ST</t>
  </si>
  <si>
    <t xml:space="preserve">SCOTT-CAROTHERS DU ANN </t>
  </si>
  <si>
    <t>27 BIGGER ST</t>
  </si>
  <si>
    <t>SCOTT-CAROTHERS DU AN</t>
  </si>
  <si>
    <t>WYETH ST</t>
  </si>
  <si>
    <t>SCOTT DEWEY A &amp; ALICE JANE</t>
  </si>
  <si>
    <t>SCOTT DEWEY A &amp; ALICE</t>
  </si>
  <si>
    <t>QUINT &amp; GLOVER CONSULTING LLC</t>
  </si>
  <si>
    <t>924 TAFT AVE</t>
  </si>
  <si>
    <t>QUINT &amp; GLOVER CONSUL</t>
  </si>
  <si>
    <t>GLENDALE AVE</t>
  </si>
  <si>
    <t>BROOKS DENNIS O &amp; LUCILLE</t>
  </si>
  <si>
    <t xml:space="preserve">WORMSLEY ERIC LAMAR </t>
  </si>
  <si>
    <t>701 TAFT AVE</t>
  </si>
  <si>
    <t xml:space="preserve">MCINTOSH MARGARET </t>
  </si>
  <si>
    <t>LOGANS FERRY RD</t>
  </si>
  <si>
    <t>DOBBS GAYLE HODNETT &amp; CHARLES DAVIS JR ( H)</t>
  </si>
  <si>
    <t>PO BOX 371631</t>
  </si>
  <si>
    <t>DECATUR</t>
  </si>
  <si>
    <t>713 TAFT AVE</t>
  </si>
  <si>
    <t>SALTER BRYANT SR &amp; LAURA J</t>
  </si>
  <si>
    <t>SALTER BRYANT SR &amp; LA</t>
  </si>
  <si>
    <t>OSWEGO LN</t>
  </si>
  <si>
    <t>809 TAFT AVE</t>
  </si>
  <si>
    <t>REED JAMES E &amp; SHIRLEY J (W)</t>
  </si>
  <si>
    <t>GARNER GARFIELD G &amp; PAULINE</t>
  </si>
  <si>
    <t xml:space="preserve">BEY JETARICE K </t>
  </si>
  <si>
    <t>911 TAFT AVE</t>
  </si>
  <si>
    <t xml:space="preserve">BARRETT LARRY M II                              </t>
  </si>
  <si>
    <t>911 TAFT AVE REAR</t>
  </si>
  <si>
    <t>TAFT AVE REAR</t>
  </si>
  <si>
    <t xml:space="preserve">COOK DELEE </t>
  </si>
  <si>
    <t>922 MONTOOTH ST</t>
  </si>
  <si>
    <t xml:space="preserve">WOODS PAUL  &amp; LOTTIE </t>
  </si>
  <si>
    <t xml:space="preserve">WILLIAMS DIANA                                  </t>
  </si>
  <si>
    <t>914 MONTOOTH ST</t>
  </si>
  <si>
    <t xml:space="preserve">GARNER JOSEPH  &amp; DOROTHY </t>
  </si>
  <si>
    <t>GAINES BENJAMIN L &amp; CAROL H (W)</t>
  </si>
  <si>
    <t>BROWN PAUL  &amp; &amp; NANCY (W)</t>
  </si>
  <si>
    <t>BROWN PAUL  &amp; &amp; NANCY</t>
  </si>
  <si>
    <t>RUTH ST APT 229</t>
  </si>
  <si>
    <t xml:space="preserve">MASON CLARENCE &amp; PEARL (W)               </t>
  </si>
  <si>
    <t>810 MONTOOTH ST</t>
  </si>
  <si>
    <t xml:space="preserve">BEY AMEN &amp; AMELIA (W) </t>
  </si>
  <si>
    <t>804 MONTOOTH ST</t>
  </si>
  <si>
    <t xml:space="preserve">BEY SULEIMAN </t>
  </si>
  <si>
    <t>913 MONTOOTH ST</t>
  </si>
  <si>
    <t>HEARD MELVIN D &amp; OCIE V(W)</t>
  </si>
  <si>
    <t>HEARD MELVIN D &amp; OCIE</t>
  </si>
  <si>
    <t>P O BOX 55126</t>
  </si>
  <si>
    <t xml:space="preserve">HARRISON RICHARD P </t>
  </si>
  <si>
    <t>809 MONTOOTH ST</t>
  </si>
  <si>
    <t>LINNVIEW AVE 2</t>
  </si>
  <si>
    <t xml:space="preserve">CUNNINGHAM RONESHA </t>
  </si>
  <si>
    <t>709 MONTOOTH ST</t>
  </si>
  <si>
    <t xml:space="preserve">PERSON PAMELA </t>
  </si>
  <si>
    <t>109 MICHIGAN ST</t>
  </si>
  <si>
    <t xml:space="preserve">DEMODA HOLDINGS LLC </t>
  </si>
  <si>
    <t>E 7TH ST 17/18</t>
  </si>
  <si>
    <t>GATES JOHN W &amp; MARGARET (W)</t>
  </si>
  <si>
    <t>712 GEARING AVE</t>
  </si>
  <si>
    <t xml:space="preserve">GATES JOHN W JR </t>
  </si>
  <si>
    <t xml:space="preserve">DAVIS BEATRICE </t>
  </si>
  <si>
    <t>716 GEARING AVE</t>
  </si>
  <si>
    <t xml:space="preserve">ABDULLA ZERYAN </t>
  </si>
  <si>
    <t>810 GEARING AVE</t>
  </si>
  <si>
    <t>ZERYAN ABDULLA</t>
  </si>
  <si>
    <t>S PECK DR</t>
  </si>
  <si>
    <t>BEVERLY HILLS</t>
  </si>
  <si>
    <t xml:space="preserve">NAYLOR DAVID M </t>
  </si>
  <si>
    <t>818 GEARING AVE</t>
  </si>
  <si>
    <t>ABBEY LN</t>
  </si>
  <si>
    <t xml:space="preserve">DAVIS ANDRE </t>
  </si>
  <si>
    <t>816 GEARING AVE</t>
  </si>
  <si>
    <t>ANDRE DAVIS</t>
  </si>
  <si>
    <t xml:space="preserve">NEAL BRIANA </t>
  </si>
  <si>
    <t>822 GEARING AVE</t>
  </si>
  <si>
    <t xml:space="preserve">HERRON SAMUEL  &amp; SADIE </t>
  </si>
  <si>
    <t>828 GEARING AVE</t>
  </si>
  <si>
    <t>PO BOX 398</t>
  </si>
  <si>
    <t>BOGALUSA</t>
  </si>
  <si>
    <t xml:space="preserve">BEY ATTORNEY AT LAW  SOLO 401K TRUST         </t>
  </si>
  <si>
    <t>834 GEARING AVE</t>
  </si>
  <si>
    <t>BEY ATTORNEY AT LAW S</t>
  </si>
  <si>
    <t>BEY-ATTORNEY AT LAW  SOLO 401 K TRUST</t>
  </si>
  <si>
    <t>836 GEARING AVE</t>
  </si>
  <si>
    <t>BEY-ATTORNEY AT LAW S</t>
  </si>
  <si>
    <t>844 GEARING AVE</t>
  </si>
  <si>
    <t>847 GEARING AVE</t>
  </si>
  <si>
    <t xml:space="preserve">HAYWARD RENEE L </t>
  </si>
  <si>
    <t>827 GEARING AVE</t>
  </si>
  <si>
    <t xml:space="preserve">CALHOUN JOHN </t>
  </si>
  <si>
    <t>LAMOKIN ST</t>
  </si>
  <si>
    <t xml:space="preserve">PATTON DOROTHY L </t>
  </si>
  <si>
    <t xml:space="preserve">BRYANT ODESSA </t>
  </si>
  <si>
    <t>W WASHINGTON ST</t>
  </si>
  <si>
    <t>MONTICELLO</t>
  </si>
  <si>
    <t>JACKSON CECIL  &amp; ALLEDA M GLANTON</t>
  </si>
  <si>
    <t>BRYANT CHARLES  &amp; ODESSA G (W)</t>
  </si>
  <si>
    <t xml:space="preserve">MYA DEVELOPMENT LLC </t>
  </si>
  <si>
    <t>MCKINLEY DR</t>
  </si>
  <si>
    <t>BONIFAY</t>
  </si>
  <si>
    <t xml:space="preserve">PATTON JOSEPH S &amp; DOROTHY L               </t>
  </si>
  <si>
    <t>PATTON JOSEPH S &amp; DOR</t>
  </si>
  <si>
    <t xml:space="preserve">MCKNIGHT YARNELL R SR </t>
  </si>
  <si>
    <t>JORDAN MARVIN SR &amp; MATTIE P</t>
  </si>
  <si>
    <t>704 DELMONT AVE</t>
  </si>
  <si>
    <t xml:space="preserve">COTTON ERNEST M JR </t>
  </si>
  <si>
    <t>814 DELMONT AVE</t>
  </si>
  <si>
    <t xml:space="preserve">JONES MELANIE </t>
  </si>
  <si>
    <t>822 DELMONT AVE</t>
  </si>
  <si>
    <t xml:space="preserve">GRIER PERCINA MARTIN                            </t>
  </si>
  <si>
    <t>824 DELMONT AVE</t>
  </si>
  <si>
    <t>ST PAUL AFRICAN  METHODIST EPISCOPAL CHUR</t>
  </si>
  <si>
    <t>826 DELMONT AVE</t>
  </si>
  <si>
    <t>ST PAUL AFRICAN METHO</t>
  </si>
  <si>
    <t xml:space="preserve">DELAY BRIAN T </t>
  </si>
  <si>
    <t>840 DELMONT AVE</t>
  </si>
  <si>
    <t xml:space="preserve">AUSTIN GENEVA F </t>
  </si>
  <si>
    <t>846 DELMONT AVE</t>
  </si>
  <si>
    <t>JONES CHERYL A &amp; HAYWOOD V (H)</t>
  </si>
  <si>
    <t>850 DELMONT AVE</t>
  </si>
  <si>
    <t>JONES CHERYL A &amp; HAYW</t>
  </si>
  <si>
    <t>WILDER CHERYL  &amp; HAYWOOD V JONES (H)</t>
  </si>
  <si>
    <t>PO BOX 59258</t>
  </si>
  <si>
    <t xml:space="preserve">REVO ROBERT W </t>
  </si>
  <si>
    <t>201 MICHIGAN ST</t>
  </si>
  <si>
    <t>BRINWOOD AVE</t>
  </si>
  <si>
    <t>207 MICHIGAN ST</t>
  </si>
  <si>
    <t xml:space="preserve">BALL ANNETTE </t>
  </si>
  <si>
    <t>211 MICHIGAN ST</t>
  </si>
  <si>
    <t xml:space="preserve">LEE GWYN </t>
  </si>
  <si>
    <t>213 MICHIGAN ST</t>
  </si>
  <si>
    <t>215 MICHIGAN ST</t>
  </si>
  <si>
    <t>HODGES DERRICK TAYLOR DARAE L SR</t>
  </si>
  <si>
    <t>225 MICHIGAN ST</t>
  </si>
  <si>
    <t xml:space="preserve">VEREEN MARIAN CYNTHIA  JOHNSON                 </t>
  </si>
  <si>
    <t>227 MICHIGAN ST</t>
  </si>
  <si>
    <t>VEREEN ALISHA MICHELL</t>
  </si>
  <si>
    <t>235 MICHIGAN ST</t>
  </si>
  <si>
    <t xml:space="preserve">JONES RICHARD L JR                              </t>
  </si>
  <si>
    <t>307 MICHIGAN ST</t>
  </si>
  <si>
    <t xml:space="preserve">BYRD DARRYL D </t>
  </si>
  <si>
    <t>311 MICHIGAN ST</t>
  </si>
  <si>
    <t xml:space="preserve">CARRINGTON LOIS JENE </t>
  </si>
  <si>
    <t xml:space="preserve">FARMER REBECCA L </t>
  </si>
  <si>
    <t>333 MICHIGAN ST</t>
  </si>
  <si>
    <t>PO BOX 501604</t>
  </si>
  <si>
    <t>WILLIAMS JOAN M &amp; PHILLIP L (H)</t>
  </si>
  <si>
    <t>335 MICHIGAN ST</t>
  </si>
  <si>
    <t xml:space="preserve">BARBOUR JAY                                     </t>
  </si>
  <si>
    <t>401 MICHIGAN ST</t>
  </si>
  <si>
    <t xml:space="preserve">TESFAMARIAM BERNICE J </t>
  </si>
  <si>
    <t xml:space="preserve">HOLLICK JOSEPH </t>
  </si>
  <si>
    <t xml:space="preserve">ROBINSON EMMA F </t>
  </si>
  <si>
    <t xml:space="preserve">SOROCZAK MARGARET </t>
  </si>
  <si>
    <t>NICHOLAS SOROCZAK</t>
  </si>
  <si>
    <t>CARNAHAN RD</t>
  </si>
  <si>
    <t>BRASSELL BRYANT KYMBERLY</t>
  </si>
  <si>
    <t>824 ASHDALE ST</t>
  </si>
  <si>
    <t xml:space="preserve">DEROOS FAMILY LIVING  TRUST                   </t>
  </si>
  <si>
    <t>0 ASHDALE ST</t>
  </si>
  <si>
    <t>DEROOS FAMILLY LIVING</t>
  </si>
  <si>
    <t xml:space="preserve">DANIELS SHARON NELSON </t>
  </si>
  <si>
    <t>834 ASHDALE ST</t>
  </si>
  <si>
    <t>DAVIS ROBERT  &amp; RUTH E DAVIS II</t>
  </si>
  <si>
    <t>838 ASHDALE ST</t>
  </si>
  <si>
    <t>840 ASHDALE ST</t>
  </si>
  <si>
    <t xml:space="preserve">THOMAS TERRELL </t>
  </si>
  <si>
    <t>844 ASHDALE ST</t>
  </si>
  <si>
    <t xml:space="preserve">SULLIVAN COLLEEN H </t>
  </si>
  <si>
    <t xml:space="preserve">SULLIVAN COLLEEN </t>
  </si>
  <si>
    <t>414 ALTHEA ST</t>
  </si>
  <si>
    <t xml:space="preserve">AKINTAYO AZEEZ </t>
  </si>
  <si>
    <t>412 ALTHEA ST</t>
  </si>
  <si>
    <t>AKINTAYO AZEEZ</t>
  </si>
  <si>
    <t xml:space="preserve">CAGEY BRANDON J </t>
  </si>
  <si>
    <t>857 ESTELLA AVE</t>
  </si>
  <si>
    <t>MOULE VICTORIA MARIE &amp; RONALD GORDON (H)</t>
  </si>
  <si>
    <t>853 ESTELLA AVE</t>
  </si>
  <si>
    <t xml:space="preserve">MOULE VICTORIA MARIE </t>
  </si>
  <si>
    <t>GLENBURY ST</t>
  </si>
  <si>
    <t>CABBAGESTALK BARTO &amp; YVONNE (W)</t>
  </si>
  <si>
    <t>851 ESTELLA AVE</t>
  </si>
  <si>
    <t>BARTO &amp; YVONNE CABBAG</t>
  </si>
  <si>
    <t>AMANDA ST</t>
  </si>
  <si>
    <t>839 ESTELLA AVE</t>
  </si>
  <si>
    <t xml:space="preserve">M CREATIVA HOMES LLC                            </t>
  </si>
  <si>
    <t>833 ESTELLA AVE</t>
  </si>
  <si>
    <t>BIRCHMONT LN</t>
  </si>
  <si>
    <t>KELLER</t>
  </si>
  <si>
    <t xml:space="preserve">BROOM DAVID V </t>
  </si>
  <si>
    <t>825 ESTELLA AVE</t>
  </si>
  <si>
    <t xml:space="preserve">EVERETT JEVON A </t>
  </si>
  <si>
    <t xml:space="preserve">DENSON JAMILL </t>
  </si>
  <si>
    <t xml:space="preserve">REO SOLUTIONS INC </t>
  </si>
  <si>
    <t>S MINNESOTA ST</t>
  </si>
  <si>
    <t>CARSON CITY</t>
  </si>
  <si>
    <t>BROOKS WILMER R &amp; CHRIS JACKSON</t>
  </si>
  <si>
    <t>BROOKS WILMER R &amp; CHR</t>
  </si>
  <si>
    <t>BRYCELYN ST</t>
  </si>
  <si>
    <t xml:space="preserve">DUNBAR CHARLES </t>
  </si>
  <si>
    <t>809 ESTELLA AVE</t>
  </si>
  <si>
    <t xml:space="preserve">MILLER LEAH                                     </t>
  </si>
  <si>
    <t>800 ESTELLA AVE</t>
  </si>
  <si>
    <t>806 ESTELLA AVE</t>
  </si>
  <si>
    <t xml:space="preserve">HILL ERIC </t>
  </si>
  <si>
    <t>818 ESTELLA AVE</t>
  </si>
  <si>
    <t>ERIC HILL</t>
  </si>
  <si>
    <t>824 ESTELLA STREET LAND  TRUST</t>
  </si>
  <si>
    <t>HILL FREDRICK J JR &amp; JOY M (W)</t>
  </si>
  <si>
    <t>FOXBURG DR</t>
  </si>
  <si>
    <t xml:space="preserve">MOSES MICHAEL </t>
  </si>
  <si>
    <t>THOMAS MINOR H &amp; MOLLIE M</t>
  </si>
  <si>
    <t>834 ESTELLA AVE</t>
  </si>
  <si>
    <t>ARMSTEAD KEVIN &amp; CHARAE (W)</t>
  </si>
  <si>
    <t>836 ESTELLA AVE</t>
  </si>
  <si>
    <t>ARMSTEAD KEVIN &amp; CHAR</t>
  </si>
  <si>
    <t xml:space="preserve">HUMPHREY JARVIS </t>
  </si>
  <si>
    <t>840 ESTELLA AVE</t>
  </si>
  <si>
    <t>BRYANT JOHN  &amp; LUCY M (W)</t>
  </si>
  <si>
    <t>BRYANT JOHN  &amp; LUCY M</t>
  </si>
  <si>
    <t xml:space="preserve">DUNBAR CHARLES "CEE" </t>
  </si>
  <si>
    <t>854 ESTELLA AVE</t>
  </si>
  <si>
    <t>DUNBAR CHARLES "CEE"</t>
  </si>
  <si>
    <t xml:space="preserve">PATTON JOSEPH </t>
  </si>
  <si>
    <t>856 ESTELLA AVE</t>
  </si>
  <si>
    <t>0 ELDORA PL</t>
  </si>
  <si>
    <t>LEE LORETTA  &amp; BETTIE O DEAL LEE</t>
  </si>
  <si>
    <t>909 ELDORA PL</t>
  </si>
  <si>
    <t xml:space="preserve">MIDDLETON GARY </t>
  </si>
  <si>
    <t>905 ELDORA PL</t>
  </si>
  <si>
    <t xml:space="preserve">WEAVER TERRIN MANGHAM </t>
  </si>
  <si>
    <t>847 ELDORA PL</t>
  </si>
  <si>
    <t>RUTHERFORD AVE</t>
  </si>
  <si>
    <t xml:space="preserve">HOWZE BOMANI M </t>
  </si>
  <si>
    <t>839 ELDORA PL</t>
  </si>
  <si>
    <t>HOWZE BOMANI M</t>
  </si>
  <si>
    <t>827 ELDORA PL</t>
  </si>
  <si>
    <t>PULLIAM DEAYDRE LEA &amp; TIMOTHY JAMES  (H)</t>
  </si>
  <si>
    <t>825 ELDORA PL</t>
  </si>
  <si>
    <t>PULLIAM DEAYDRE LEA &amp;</t>
  </si>
  <si>
    <t>LA MESA BLVD</t>
  </si>
  <si>
    <t>LA MESA</t>
  </si>
  <si>
    <t xml:space="preserve">PULLIAM DEAYDRE LEA                             </t>
  </si>
  <si>
    <t>821 ELDORA PL</t>
  </si>
  <si>
    <t>PULLIAM DEAYDRE LEA</t>
  </si>
  <si>
    <t>LAMESA BLVD</t>
  </si>
  <si>
    <t>811 ELDORA PL</t>
  </si>
  <si>
    <t>809 ELDORA PL</t>
  </si>
  <si>
    <t>807 ELDORA PL</t>
  </si>
  <si>
    <t>PATRICK EDITH MARIA &amp; MELANIE YELLOWDAY</t>
  </si>
  <si>
    <t>425 VANDALIA ST</t>
  </si>
  <si>
    <t>VANDALIA ST</t>
  </si>
  <si>
    <t>650 TARRAGONNA ST</t>
  </si>
  <si>
    <t xml:space="preserve">COWAN DONNA M </t>
  </si>
  <si>
    <t>109 CONNISTON AVE</t>
  </si>
  <si>
    <t>KRENZ LOUISE C &amp; KIMBERLY L REDDY</t>
  </si>
  <si>
    <t>201 CONNISTON AVE</t>
  </si>
  <si>
    <t>SPENCER AVE</t>
  </si>
  <si>
    <t xml:space="preserve">MULKERN JENNIFER A </t>
  </si>
  <si>
    <t>114 CAMFIELD ST</t>
  </si>
  <si>
    <t>NOVAK NICHOLAS S &amp; NICOLE M (W)</t>
  </si>
  <si>
    <t>210 CAMFIELD ST</t>
  </si>
  <si>
    <t>NOVAK NICHOLAS S &amp; NI</t>
  </si>
  <si>
    <t xml:space="preserve">LONGO DANIEL A </t>
  </si>
  <si>
    <t>114 TARRAGONNA ST</t>
  </si>
  <si>
    <t>TARRAGONNA ST</t>
  </si>
  <si>
    <t xml:space="preserve">O'DONNELL ANDREA LYNN </t>
  </si>
  <si>
    <t>0 TARRAGONNA ST</t>
  </si>
  <si>
    <t>DUART AVE</t>
  </si>
  <si>
    <t xml:space="preserve">GRMUSA GEORGE </t>
  </si>
  <si>
    <t>P O BOX 18393</t>
  </si>
  <si>
    <t>113 DUART ST</t>
  </si>
  <si>
    <t xml:space="preserve">KRAUSE THOMAS </t>
  </si>
  <si>
    <t>315 CONNISTON AVE</t>
  </si>
  <si>
    <t xml:space="preserve">MAMULIT LLC </t>
  </si>
  <si>
    <t>259 CONNISTON AVE</t>
  </si>
  <si>
    <t>LAGUNA ST APT 277</t>
  </si>
  <si>
    <t>KACSUTA RICHARD T &amp; LYNN A (W)</t>
  </si>
  <si>
    <t>213 CONNISTON AVE</t>
  </si>
  <si>
    <t xml:space="preserve">NOVAK NICHOLAS S </t>
  </si>
  <si>
    <t>214 CAMFIELD ST</t>
  </si>
  <si>
    <t>FAMIGLIETTI ROBERT JR &amp; CYNTHIA L GEORGE</t>
  </si>
  <si>
    <t>222 CAMFIELD ST</t>
  </si>
  <si>
    <t xml:space="preserve">GOLDIS MANAGEMENT LLC </t>
  </si>
  <si>
    <t>244 CAMFIELD ST</t>
  </si>
  <si>
    <t>FAMIGLIETTI ROBERT H &amp; ANGELINE</t>
  </si>
  <si>
    <t>250 CAMFIELD ST</t>
  </si>
  <si>
    <t xml:space="preserve">WINOVICH KAREN W </t>
  </si>
  <si>
    <t>306 CAMFIELD ST</t>
  </si>
  <si>
    <t xml:space="preserve">HANIOTAKIS THERESA </t>
  </si>
  <si>
    <t>330 CAMFIELD ST</t>
  </si>
  <si>
    <t xml:space="preserve">FRAUENS LOIS M </t>
  </si>
  <si>
    <t>305 CAMFIELD ST</t>
  </si>
  <si>
    <t>ROWLANDS DONALD C &amp; RACHEL</t>
  </si>
  <si>
    <t>124 SCHUCHERT ST</t>
  </si>
  <si>
    <t>ROWLANDS DONALD C &amp; R</t>
  </si>
  <si>
    <t>SCHUCKERT ST</t>
  </si>
  <si>
    <t xml:space="preserve">SCHMELLA JONATHAN </t>
  </si>
  <si>
    <t>123 SCHUCHERT ST</t>
  </si>
  <si>
    <t>GARDNER BERNARD A &amp; DONNA S (W)</t>
  </si>
  <si>
    <t>117 SCHUCHERT ST</t>
  </si>
  <si>
    <t>KINEST AMBROSE T &amp; CLARE A (W)</t>
  </si>
  <si>
    <t>108 ABNER AVE</t>
  </si>
  <si>
    <t>OLD RIDGE RD</t>
  </si>
  <si>
    <t xml:space="preserve">TURNER CHRISTOPHER </t>
  </si>
  <si>
    <t>117 ABNER AVE</t>
  </si>
  <si>
    <t>ABNER AVE</t>
  </si>
  <si>
    <t xml:space="preserve">SHABLOUSKY MARIANNE </t>
  </si>
  <si>
    <t>413 CONNISTON AVE</t>
  </si>
  <si>
    <t xml:space="preserve">HAKIM THOMAS A JR </t>
  </si>
  <si>
    <t>408 CAMFIELD ST</t>
  </si>
  <si>
    <t>426 CAMFIELD ST</t>
  </si>
  <si>
    <t xml:space="preserve">ANDIA WANDA A                                   </t>
  </si>
  <si>
    <t>441 CAMFIELD ST</t>
  </si>
  <si>
    <t>ANDIA WANDA A</t>
  </si>
  <si>
    <t xml:space="preserve">COYNE AMY LYNN </t>
  </si>
  <si>
    <t>369 CAMFIELD ST</t>
  </si>
  <si>
    <t>AMY LYNN COYNE</t>
  </si>
  <si>
    <t>WINOVICH ROBERT R &amp; CATHERINE A</t>
  </si>
  <si>
    <t>349 CAMFIELD ST</t>
  </si>
  <si>
    <t xml:space="preserve">GARVEY SAMUEL </t>
  </si>
  <si>
    <t>421 DRYCOVE ST</t>
  </si>
  <si>
    <t>DRY COVE ST</t>
  </si>
  <si>
    <t>BURRIS ROCHELLE  &amp; RUSIE BELL DANIELS</t>
  </si>
  <si>
    <t>0 BUFFINGTON AVE</t>
  </si>
  <si>
    <t>BURNHAM RD</t>
  </si>
  <si>
    <t xml:space="preserve">PETERSON JACOB E </t>
  </si>
  <si>
    <t>415 VANDALIA ST</t>
  </si>
  <si>
    <t>POINDEXTER VIRGINIA M &amp; HERSEL (H)</t>
  </si>
  <si>
    <t>319 VANDALIA ST</t>
  </si>
  <si>
    <t>POINDEXTER VIRGINIA M</t>
  </si>
  <si>
    <t>BROWNE CT</t>
  </si>
  <si>
    <t>CONLEY</t>
  </si>
  <si>
    <t xml:space="preserve">WILLIAMS THOMAS </t>
  </si>
  <si>
    <t>315 VANDALIA ST</t>
  </si>
  <si>
    <t>HARLOW PL</t>
  </si>
  <si>
    <t>919 ELDORA PL</t>
  </si>
  <si>
    <t>406 TIMBERLAND AVE</t>
  </si>
  <si>
    <t>402 TIMBERLAND AVE</t>
  </si>
  <si>
    <t xml:space="preserve">MAIETTE RALPH J &amp; EVELYN </t>
  </si>
  <si>
    <t>359 CAPERTON ST</t>
  </si>
  <si>
    <t>RADISSON RD</t>
  </si>
  <si>
    <t xml:space="preserve">REILAND JEFFREY N </t>
  </si>
  <si>
    <t>339 CAPERTON ST</t>
  </si>
  <si>
    <t>CAPERTON ST</t>
  </si>
  <si>
    <t>DUSCH MICHAEL A &amp; EILEEN M (W)</t>
  </si>
  <si>
    <t>309 CAPERTON ST</t>
  </si>
  <si>
    <t>ROBINSON GEORGE &amp; VANDRA (W)</t>
  </si>
  <si>
    <t>319 CAPERTON ST</t>
  </si>
  <si>
    <t>ROBINSON GEORGE</t>
  </si>
  <si>
    <t xml:space="preserve">LIVINGSTON WAYNE </t>
  </si>
  <si>
    <t>216 FORDYCE ST</t>
  </si>
  <si>
    <t>WAYNE  LIVINGSTON</t>
  </si>
  <si>
    <t>FORDYCE ST</t>
  </si>
  <si>
    <t xml:space="preserve">BOYLE RICHARD S </t>
  </si>
  <si>
    <t>201 FORDYCE ST</t>
  </si>
  <si>
    <t xml:space="preserve">STEVERSON AUDREY </t>
  </si>
  <si>
    <t>202 CONNISTON AVE</t>
  </si>
  <si>
    <t xml:space="preserve">O'MALLEY ERIN LEE </t>
  </si>
  <si>
    <t>226 FORDYCE ST</t>
  </si>
  <si>
    <t>ERIN LEE O'MALLEY</t>
  </si>
  <si>
    <t>MARIE AVE</t>
  </si>
  <si>
    <t xml:space="preserve">HAAS JON </t>
  </si>
  <si>
    <t>235 INSTITUTE ST</t>
  </si>
  <si>
    <t>INSTITUTE ST</t>
  </si>
  <si>
    <t xml:space="preserve">WEDGE BEVERLY A </t>
  </si>
  <si>
    <t>222 INSTITUTE ST</t>
  </si>
  <si>
    <t xml:space="preserve">LEWIS ROBERT L </t>
  </si>
  <si>
    <t>352 CONNISTON AVE</t>
  </si>
  <si>
    <t>DAYIEB GEORGE &amp; JOANNA (W)</t>
  </si>
  <si>
    <t>471 DRYCOVE ST</t>
  </si>
  <si>
    <t>WALSH RITA V &amp; MARY KAYE KIENKE</t>
  </si>
  <si>
    <t>459 DRYCOVE ST</t>
  </si>
  <si>
    <t>DRYCOVE ST</t>
  </si>
  <si>
    <t>1400 SAW MILL RUN  BOULEVARD ASSOCIATES L L</t>
  </si>
  <si>
    <t>1400 SAW MILL RUN BLVD</t>
  </si>
  <si>
    <t>1400 SAW MILL RUN BOU</t>
  </si>
  <si>
    <t>EDBROOK AVE</t>
  </si>
  <si>
    <t xml:space="preserve">PGH &amp; LAKE ERIE RR CO         </t>
  </si>
  <si>
    <t>0 RIVER FRONT</t>
  </si>
  <si>
    <t>GOSWAMI RAWJAN GOSWAMI PALLAVI</t>
  </si>
  <si>
    <t>817 GRANDVIEW AVE</t>
  </si>
  <si>
    <t xml:space="preserve">CANTEES KIMBERLY </t>
  </si>
  <si>
    <t>813 GRANDVIEW AVE</t>
  </si>
  <si>
    <t xml:space="preserve">VISSMAN JILL &amp; SHANNON </t>
  </si>
  <si>
    <t>620 GRANDVIEW AVE</t>
  </si>
  <si>
    <t>VISSMAN JILL &amp; SHANNO</t>
  </si>
  <si>
    <t>PFERDEHIRT DOUGLAS J &amp; JEANINE K (W)</t>
  </si>
  <si>
    <t>720 GRANDVIEW AVE</t>
  </si>
  <si>
    <t>SMITHDALE RD</t>
  </si>
  <si>
    <t xml:space="preserve">COOPER MYE N </t>
  </si>
  <si>
    <t>812 GRANDVIEW AVE UNIT 1A</t>
  </si>
  <si>
    <t xml:space="preserve">WHITE KAREN </t>
  </si>
  <si>
    <t>812 GRANDVIEW AVE UNIT 2A</t>
  </si>
  <si>
    <t>GRANDVIEW AVE UNIT 2A</t>
  </si>
  <si>
    <t>SHALLENBERGER  PROPERTIES LLC</t>
  </si>
  <si>
    <t>794 W STATION SQUARE DR</t>
  </si>
  <si>
    <t>SHALLENBERGER PROPERT</t>
  </si>
  <si>
    <t>ENTERPRISE LN</t>
  </si>
  <si>
    <t>CONNELLSVILLE</t>
  </si>
  <si>
    <t>510 W STATION SQUARE DR</t>
  </si>
  <si>
    <t xml:space="preserve">LIVINGSTON ANN MARGO </t>
  </si>
  <si>
    <t>132 LABELLE ST</t>
  </si>
  <si>
    <t xml:space="preserve">HENDRICKS JOHN D P </t>
  </si>
  <si>
    <t>136 LABELLE ST</t>
  </si>
  <si>
    <t>GREENLEAF ST FL 1ST</t>
  </si>
  <si>
    <t xml:space="preserve">HENDRICKS JOHN D </t>
  </si>
  <si>
    <t>140 LABELLE ST</t>
  </si>
  <si>
    <t>GREENLEAF ST # 1</t>
  </si>
  <si>
    <t>CARDER ALISSA J  PASQUALINI &amp; RONALD A (H</t>
  </si>
  <si>
    <t>209 LABELLE ST</t>
  </si>
  <si>
    <t>HENDRICKS JOHN D &amp; PAMELA F (W)</t>
  </si>
  <si>
    <t>137 LABELLE ST</t>
  </si>
  <si>
    <t>GREENLEAF ST FL 1</t>
  </si>
  <si>
    <t>PASQUAL PAUL G &amp; AMANDA E (W)</t>
  </si>
  <si>
    <t>127 LABELLE ST</t>
  </si>
  <si>
    <t>PASQUAL PAUL G &amp; AMAN</t>
  </si>
  <si>
    <t xml:space="preserve">LIVINGSTONE DONALD B </t>
  </si>
  <si>
    <t>121 LABELLE ST</t>
  </si>
  <si>
    <t xml:space="preserve">COAL HILL PARTNERS LLC                          </t>
  </si>
  <si>
    <t>204 BIGHAM ST</t>
  </si>
  <si>
    <t>COAL HILL PARTNERS LL</t>
  </si>
  <si>
    <t>HARWOOD DR</t>
  </si>
  <si>
    <t xml:space="preserve">LANZETTA NICODEMO                               </t>
  </si>
  <si>
    <t>237 BIGHAM ST</t>
  </si>
  <si>
    <t>BIGHAM ST</t>
  </si>
  <si>
    <t>STENSON JOHN  &amp; KATHLEEN SCHNEIDER</t>
  </si>
  <si>
    <t>145 BIGHAM ST</t>
  </si>
  <si>
    <t xml:space="preserve">TIKKU ANANT </t>
  </si>
  <si>
    <t>0 AMABELL ST</t>
  </si>
  <si>
    <t>TIKKU ANANT</t>
  </si>
  <si>
    <t>AMABELL ST</t>
  </si>
  <si>
    <t xml:space="preserve">STASKO MATTHEW M                                </t>
  </si>
  <si>
    <t>162 AMABELL ST</t>
  </si>
  <si>
    <t xml:space="preserve">177 AMABELL LLC </t>
  </si>
  <si>
    <t>177 AMABELL ST</t>
  </si>
  <si>
    <t>177 AMABELL LLC</t>
  </si>
  <si>
    <t xml:space="preserve">WALICKI AMY </t>
  </si>
  <si>
    <t>175 AMABELL ST</t>
  </si>
  <si>
    <t xml:space="preserve">CELIK MICHAEL TANER </t>
  </si>
  <si>
    <t>CHAPPEL AVE</t>
  </si>
  <si>
    <t>LINK MARGUERITE D &amp; WILLIAM C BRINZER (H</t>
  </si>
  <si>
    <t>123 MERRIMAC ST</t>
  </si>
  <si>
    <t>LINK MARGUERITE D &amp; W</t>
  </si>
  <si>
    <t>MERRIMAC ST</t>
  </si>
  <si>
    <t>525 GRANDVIEW AVE</t>
  </si>
  <si>
    <t>SUISMON ST</t>
  </si>
  <si>
    <t>FERREIRA PAULO SERGIO B  &amp; MARIA (W)</t>
  </si>
  <si>
    <t>501 GRANDVIEW AVE UNIT 1002</t>
  </si>
  <si>
    <t>FERREIRA PAULO SERGIO</t>
  </si>
  <si>
    <t>GRANDVIEW AVE UNIT 1002</t>
  </si>
  <si>
    <t>PURSE RONALD LEE &amp; DEBORAH Y (W)</t>
  </si>
  <si>
    <t>160 ULYSSES ST</t>
  </si>
  <si>
    <t>ULYSSES ST</t>
  </si>
  <si>
    <t xml:space="preserve">WALDEN DAVID K SR                               </t>
  </si>
  <si>
    <t>132 BERTHA ST</t>
  </si>
  <si>
    <t>DAVID K WALDEN SR SCO</t>
  </si>
  <si>
    <t xml:space="preserve">323 HOLDINGS LLC </t>
  </si>
  <si>
    <t>706 VIRGINIA AVE</t>
  </si>
  <si>
    <t>OLYMPIA ST</t>
  </si>
  <si>
    <t>706 VIRGINIA AVE REAR</t>
  </si>
  <si>
    <t xml:space="preserve">BIG HAM GROUP INC </t>
  </si>
  <si>
    <t>324 BIGHAM ST</t>
  </si>
  <si>
    <t>BIG HAM GROUP INC</t>
  </si>
  <si>
    <t xml:space="preserve">REWIS JOSEPH P                                  </t>
  </si>
  <si>
    <t>319 LABELLE ST</t>
  </si>
  <si>
    <t>REWIS JOSEPH P</t>
  </si>
  <si>
    <t>MILL GROVE RD</t>
  </si>
  <si>
    <t>304 BIGHAM LLC           ETAL</t>
  </si>
  <si>
    <t>304 BIGHAM ST</t>
  </si>
  <si>
    <t>304 BIGHAM LLC</t>
  </si>
  <si>
    <t>314 BIGHAM ST</t>
  </si>
  <si>
    <t>608 VIRGINIA AVE</t>
  </si>
  <si>
    <t>323 BIGHAM ST</t>
  </si>
  <si>
    <t>321 BIGHAM ST</t>
  </si>
  <si>
    <t>313 BIGHAM ST</t>
  </si>
  <si>
    <t>216 AMABELL ST</t>
  </si>
  <si>
    <t xml:space="preserve">LAMAR ALEXANDER </t>
  </si>
  <si>
    <t>180 AMABELL ST</t>
  </si>
  <si>
    <t>HUDSON AVE</t>
  </si>
  <si>
    <t xml:space="preserve">FLORA SARAH </t>
  </si>
  <si>
    <t>198 AMABELL ST</t>
  </si>
  <si>
    <t>FLORA SARAH</t>
  </si>
  <si>
    <t xml:space="preserve">BIELEWICZ JORAM </t>
  </si>
  <si>
    <t>215 AMABELL ST</t>
  </si>
  <si>
    <t>MCWILLIAMS RD</t>
  </si>
  <si>
    <t xml:space="preserve">TAYLOR MICHELLE A                               </t>
  </si>
  <si>
    <t>208 MERRIMAC ST</t>
  </si>
  <si>
    <t xml:space="preserve">WIGGINS JOSIAH </t>
  </si>
  <si>
    <t>204 MERRIMAC ST REAR</t>
  </si>
  <si>
    <t xml:space="preserve">VACASTAY LLC </t>
  </si>
  <si>
    <t>179 MERRIMAC ST</t>
  </si>
  <si>
    <t>ORDALE BLVD</t>
  </si>
  <si>
    <t xml:space="preserve">SCIROTTO LARRY </t>
  </si>
  <si>
    <t>0 ULYSSES ST</t>
  </si>
  <si>
    <t>SCIROTTO LARRY</t>
  </si>
  <si>
    <t>N BUCKNER BLVD</t>
  </si>
  <si>
    <t>DENNIS CHARLES  &amp; MIA P (W)</t>
  </si>
  <si>
    <t>211 ULYSSES ST</t>
  </si>
  <si>
    <t>DENNIS CHARLES  &amp; MIA</t>
  </si>
  <si>
    <t>N STATE ST</t>
  </si>
  <si>
    <t xml:space="preserve">SCHEIBER JAMES C </t>
  </si>
  <si>
    <t>220 BERTHA ST</t>
  </si>
  <si>
    <t>230 BERTHA ST</t>
  </si>
  <si>
    <t xml:space="preserve">DEFRANCESCO JOSEPH </t>
  </si>
  <si>
    <t>329 VIRGINIA AVE</t>
  </si>
  <si>
    <t>VIRGINIA AVE</t>
  </si>
  <si>
    <t xml:space="preserve">DEFRANCESCO FRANCESCO                           </t>
  </si>
  <si>
    <t>0 WOODRUFF ST</t>
  </si>
  <si>
    <t>346 WOODRUFF ST</t>
  </si>
  <si>
    <t xml:space="preserve">CPEG HOLDINGS LLC </t>
  </si>
  <si>
    <t>331 VIRGINIA AVE</t>
  </si>
  <si>
    <t>CPEG HOLDINGS LLC</t>
  </si>
  <si>
    <t>STAR GRASS LN</t>
  </si>
  <si>
    <t xml:space="preserve">DEFRANCESCO JOSEPH G                            </t>
  </si>
  <si>
    <t>333 VIRGINIA AVE</t>
  </si>
  <si>
    <t xml:space="preserve">DEFRANCESCO JOSEPH G </t>
  </si>
  <si>
    <t>335 VIRGINIA AVE</t>
  </si>
  <si>
    <t xml:space="preserve">DEFRANCESCO JOE G                               </t>
  </si>
  <si>
    <t>343 VIRGINIA AVE</t>
  </si>
  <si>
    <t xml:space="preserve">VERARDI NICOLENA </t>
  </si>
  <si>
    <t>300 MERRIMAC ST</t>
  </si>
  <si>
    <t xml:space="preserve">DJ CAMERON LLC </t>
  </si>
  <si>
    <t>327 AMABELL ST</t>
  </si>
  <si>
    <t>GRANDVIEW AVE UNIT 902</t>
  </si>
  <si>
    <t>435 BIGHAM ST</t>
  </si>
  <si>
    <t xml:space="preserve">TOMASIC ANTHONY </t>
  </si>
  <si>
    <t>110 KEARSARGE ST</t>
  </si>
  <si>
    <t>SIMMONS CIR</t>
  </si>
  <si>
    <t xml:space="preserve">HAWK JEFFREY S </t>
  </si>
  <si>
    <t>0 HAVELOCK WAY</t>
  </si>
  <si>
    <t>S INTERSTATE 35 E</t>
  </si>
  <si>
    <t>DENTON</t>
  </si>
  <si>
    <t xml:space="preserve">LACKNER KELLY </t>
  </si>
  <si>
    <t>324 W SYCAMORE ST</t>
  </si>
  <si>
    <t>211 BERTHA ST</t>
  </si>
  <si>
    <t xml:space="preserve">HILLIARD ADAM W </t>
  </si>
  <si>
    <t>216 KEARSARGE ST</t>
  </si>
  <si>
    <t>ALBERTS CAPITAL  MANAGEMENT 59 RALSTON PL</t>
  </si>
  <si>
    <t>224 KEARSARGE ST</t>
  </si>
  <si>
    <t>ALBERTS CAPITAL MANAG</t>
  </si>
  <si>
    <t>PINETREE DR</t>
  </si>
  <si>
    <t>314 VIRGINIA AVE</t>
  </si>
  <si>
    <t>0 VIRGINIA AVE</t>
  </si>
  <si>
    <t xml:space="preserve">MATHEWS LINDA A                                 </t>
  </si>
  <si>
    <t>330 WOODRUFF ST</t>
  </si>
  <si>
    <t>PIRAIN RICHARD F &amp; JOANNE C (W)</t>
  </si>
  <si>
    <t>230 VIRGINIA AVE</t>
  </si>
  <si>
    <t>OAK FOREST DR</t>
  </si>
  <si>
    <t>PIRAIN RICHARD  &amp; JOANNE (W)</t>
  </si>
  <si>
    <t>200 VIRGINIA AVE</t>
  </si>
  <si>
    <t>PIRAIN CAPITAL  MANAGEMENT LLC</t>
  </si>
  <si>
    <t>226 MAPLE TER</t>
  </si>
  <si>
    <t>PIRAIN CAPITAL MANAGE</t>
  </si>
  <si>
    <t>MAPLE TER</t>
  </si>
  <si>
    <t xml:space="preserve">224 MAPLE TERRACE LLC </t>
  </si>
  <si>
    <t>224 MAPLE TER</t>
  </si>
  <si>
    <t>224 MAPLE TERRACE LLC</t>
  </si>
  <si>
    <t>233 W SYCAMORE ST</t>
  </si>
  <si>
    <t xml:space="preserve">PIRAIN JOSEPH J </t>
  </si>
  <si>
    <t>127 KEARSARGE ST</t>
  </si>
  <si>
    <t>GLOVER CHAD W &amp; MARVIN W GLOVER</t>
  </si>
  <si>
    <t>118 MAPLE TER</t>
  </si>
  <si>
    <t>GLOVER CHAD W &amp; MARVI</t>
  </si>
  <si>
    <t>FISCHER BRIAN &amp; SAMANTHA (W)</t>
  </si>
  <si>
    <t>229 GRANDVIEW AVE UNIT 3</t>
  </si>
  <si>
    <t>GEORGE RICHARD W &amp; CHRISTINE LINDA (W)</t>
  </si>
  <si>
    <t>219 GRANDVIEW AVE</t>
  </si>
  <si>
    <t>GRANDVIEW AVE UNIT A</t>
  </si>
  <si>
    <t>SCHERER JOHN L &amp; DINA PUNTURI (W)</t>
  </si>
  <si>
    <t>219 D GRANDVIEW AVE</t>
  </si>
  <si>
    <t>GEORGE RICHARD W &amp; CHRISTINE L (W)</t>
  </si>
  <si>
    <t>0 GRANDVIEW AVE</t>
  </si>
  <si>
    <t>GEORGE RICHARD W &amp; CH</t>
  </si>
  <si>
    <t>GRANDVIEW AVE UNIT A&amp;B</t>
  </si>
  <si>
    <t>CITY LIVING PROPERTIES  LLC</t>
  </si>
  <si>
    <t>203 GRANDVIEW AVE</t>
  </si>
  <si>
    <t>CITY LIVING PROPERTIE</t>
  </si>
  <si>
    <t xml:space="preserve">GRANDVIEW STAYS LLC                             </t>
  </si>
  <si>
    <t>137 GRANDVIEW AVE</t>
  </si>
  <si>
    <t>GRANDVIEW STAYS LLC C</t>
  </si>
  <si>
    <t>W 27TH AVE</t>
  </si>
  <si>
    <t>ALBERT'S CAPITAL  MANAGEMENT LLC</t>
  </si>
  <si>
    <t>125 W SYCAMORE ST</t>
  </si>
  <si>
    <t>ALBERT'S CAPITAL MANA</t>
  </si>
  <si>
    <t>127 W SYCAMORE ST</t>
  </si>
  <si>
    <t>0 BEAM WAY</t>
  </si>
  <si>
    <t>PEEPELS STEVEN           ETAL</t>
  </si>
  <si>
    <t>121 GRANDVIEW AVE UNIT 3</t>
  </si>
  <si>
    <t>MAZEFSKY GABE</t>
  </si>
  <si>
    <t>CASCADE RD</t>
  </si>
  <si>
    <t xml:space="preserve">HK PENN LLC </t>
  </si>
  <si>
    <t>121 GRANDVIEW AVE UNIT 17</t>
  </si>
  <si>
    <t>GRANDVIEW AVE STE 15</t>
  </si>
  <si>
    <t>MANDRELL DAVID &amp; STACI (W)</t>
  </si>
  <si>
    <t>111 GRANDVIEW AVE UNIT 403</t>
  </si>
  <si>
    <t>GRANDVIEW AVE UNIT 403</t>
  </si>
  <si>
    <t xml:space="preserve">FELDMAN STEWART                                 </t>
  </si>
  <si>
    <t>111 GRANDVIEW AVE UNIT 503</t>
  </si>
  <si>
    <t>GRANDVIEW AVE UNIT 503</t>
  </si>
  <si>
    <t>CUMMINGS DOLORES P  FAMILY REVOCABLE TRUST</t>
  </si>
  <si>
    <t>347 AMABELL ST</t>
  </si>
  <si>
    <t>CUMMINGS DOLORES P FA</t>
  </si>
  <si>
    <t xml:space="preserve">SHAFFALO PETER D </t>
  </si>
  <si>
    <t>333 AMABELL ST</t>
  </si>
  <si>
    <t xml:space="preserve">M&amp;M RE HOLDINGS LLC </t>
  </si>
  <si>
    <t>492 GRACE ST</t>
  </si>
  <si>
    <t>COCHRAN RD UNIT 146</t>
  </si>
  <si>
    <t xml:space="preserve">RJ STEELE GROUP LLC </t>
  </si>
  <si>
    <t>484 GRACE ST</t>
  </si>
  <si>
    <t>WESTLAND RD</t>
  </si>
  <si>
    <t>GRACE STREET  DEVELOPMENT LLC</t>
  </si>
  <si>
    <t>480 GRACE ST</t>
  </si>
  <si>
    <t>GRACE STREET DEVELOPM</t>
  </si>
  <si>
    <t>476 GRACE ST</t>
  </si>
  <si>
    <t>472 GRACE ST</t>
  </si>
  <si>
    <t>0 GRACE ST</t>
  </si>
  <si>
    <t>468 GRACE ST</t>
  </si>
  <si>
    <t>466 GRACE ST</t>
  </si>
  <si>
    <t>SISCO CARL V SR &amp; KAREN D (W)</t>
  </si>
  <si>
    <t>441 WOODRUFF ST</t>
  </si>
  <si>
    <t>SISCO CARL V SR &amp; KAR</t>
  </si>
  <si>
    <t xml:space="preserve">BERGER PAMELA E </t>
  </si>
  <si>
    <t>434 GRACE ST</t>
  </si>
  <si>
    <t>HILLDOERFER LAWRENCE G &amp; HELEN JEAN (W)</t>
  </si>
  <si>
    <t>0 BELONDA ST</t>
  </si>
  <si>
    <t>BELONDA ST</t>
  </si>
  <si>
    <t>HILLDOERFER HELEN JEAN &amp; LAWRENCE G (H)</t>
  </si>
  <si>
    <t>436 BELONDA ST</t>
  </si>
  <si>
    <t>BEDROCK PROPERTIES ELEY  ST LLC</t>
  </si>
  <si>
    <t>422 BELONDA ST</t>
  </si>
  <si>
    <t>BEDROCK PROPERTIES EL</t>
  </si>
  <si>
    <t>W MARKET ST</t>
  </si>
  <si>
    <t>WILKES BARRE</t>
  </si>
  <si>
    <t xml:space="preserve">BLOSE RICHARD A </t>
  </si>
  <si>
    <t xml:space="preserve">KIPILLER VADIM </t>
  </si>
  <si>
    <t>MCGOUGH BETTY  &amp; CYNTHIA FERRETTI</t>
  </si>
  <si>
    <t>421 BELONDA ST</t>
  </si>
  <si>
    <t>FERRETTI JONES CYNTHI</t>
  </si>
  <si>
    <t>HODGKISS ST</t>
  </si>
  <si>
    <t xml:space="preserve">MONACO DANA CHRISTINE </t>
  </si>
  <si>
    <t>411 BELONDA ST</t>
  </si>
  <si>
    <t xml:space="preserve">ZEDAR ANNA </t>
  </si>
  <si>
    <t>0 NATCHEZ ST</t>
  </si>
  <si>
    <t>400 NATCHEZ ST</t>
  </si>
  <si>
    <t xml:space="preserve">HENDERSON TIMOTHY F </t>
  </si>
  <si>
    <t>315 BELONDA ST</t>
  </si>
  <si>
    <t>BLIG BUSINESS INVESTS  LLC</t>
  </si>
  <si>
    <t>313 BELONDA ST</t>
  </si>
  <si>
    <t>PO BOX 6044</t>
  </si>
  <si>
    <t xml:space="preserve">ROBINSON RONALD A </t>
  </si>
  <si>
    <t>307 BELONDA ST</t>
  </si>
  <si>
    <t>301 BELONDA ST</t>
  </si>
  <si>
    <t>318 NATCHEZ ST</t>
  </si>
  <si>
    <t xml:space="preserve">WILLIE GEORGE R                                 </t>
  </si>
  <si>
    <t>ALLENDALE CIR</t>
  </si>
  <si>
    <t xml:space="preserve">GUNGOR TULAY                                    </t>
  </si>
  <si>
    <t>319 KEARSARGE ST</t>
  </si>
  <si>
    <t>FALLOWFIELD AVE</t>
  </si>
  <si>
    <t>317 KEARSARGE ST</t>
  </si>
  <si>
    <t>4TH AVE APT 1703</t>
  </si>
  <si>
    <t xml:space="preserve">WINGO VONETTA E                                 </t>
  </si>
  <si>
    <t>342 MAPLE TER</t>
  </si>
  <si>
    <t>HERITAGE LAND TRUST (THE)</t>
  </si>
  <si>
    <t>0 LAURIA WAY</t>
  </si>
  <si>
    <t>LAURIA WAY</t>
  </si>
  <si>
    <t xml:space="preserve">DEFAZIO FRANK A JR </t>
  </si>
  <si>
    <t>156 GASKEL ST</t>
  </si>
  <si>
    <t>DEFAZIO FRANK A JR</t>
  </si>
  <si>
    <t>MARIAN AVE</t>
  </si>
  <si>
    <t>VARNER MARY R &amp; ELLEN VARNER</t>
  </si>
  <si>
    <t>218 NATCHEZ ST</t>
  </si>
  <si>
    <t>ILUFOYE MOSOPEFOLUWA &amp; ISRAEL (H)</t>
  </si>
  <si>
    <t>11 NATCHEZ ST</t>
  </si>
  <si>
    <t>NATHANEL &amp; MANOR MANAGEMENT LLC</t>
  </si>
  <si>
    <t>50 SOUTHERN AVE</t>
  </si>
  <si>
    <t>NATHANEL &amp; MANOR MANA</t>
  </si>
  <si>
    <t>LILLY LN</t>
  </si>
  <si>
    <t xml:space="preserve">TROCHECK GROUP INC </t>
  </si>
  <si>
    <t>52 SOUTHERN AVE</t>
  </si>
  <si>
    <t>TROCHECK GROUP INC</t>
  </si>
  <si>
    <t>WOODHALL CT</t>
  </si>
  <si>
    <t>SCANLON KEVIN P &amp; KAREN A (W)</t>
  </si>
  <si>
    <t>128 PROSPECT ST</t>
  </si>
  <si>
    <t>PROSPECT ST</t>
  </si>
  <si>
    <t xml:space="preserve">MARLAR CHRIS </t>
  </si>
  <si>
    <t>0 PROSPECT ST</t>
  </si>
  <si>
    <t>SAWMILL RUN RD</t>
  </si>
  <si>
    <t>WROBLEWSKI SCOTTJ &amp; LAURI J (W)</t>
  </si>
  <si>
    <t>0 SOUTHERN AVE</t>
  </si>
  <si>
    <t>FOUNTAIN ST</t>
  </si>
  <si>
    <t xml:space="preserve">MAGNANI EUGENE </t>
  </si>
  <si>
    <t>114 NATCHEZ ST</t>
  </si>
  <si>
    <t>NATCHEZ ST</t>
  </si>
  <si>
    <t xml:space="preserve">CESTONE'S INC </t>
  </si>
  <si>
    <t>0 MAPLE TER</t>
  </si>
  <si>
    <t>CESTONE'S  INC.</t>
  </si>
  <si>
    <t>WALLACE CHARLES L &amp; JUDITH (W)</t>
  </si>
  <si>
    <t>REYNOLDS MICHAEL C &amp; DARLENE L</t>
  </si>
  <si>
    <t>115 BEAM WAY</t>
  </si>
  <si>
    <t>WALLACE CHARLES L &amp; JUDITH M (W)</t>
  </si>
  <si>
    <t>132 VIRGINIA AVE</t>
  </si>
  <si>
    <t>136 VIRGINIA AVE</t>
  </si>
  <si>
    <t>138 VIRGINIA AVE</t>
  </si>
  <si>
    <t xml:space="preserve">WALLACE CHARLES L </t>
  </si>
  <si>
    <t>142 VIRGINIA AVE</t>
  </si>
  <si>
    <t>WROBLEWSKI SCOTT J &amp; LAURI J (W)</t>
  </si>
  <si>
    <t>16 SOUTHERN AVE</t>
  </si>
  <si>
    <t>312 SHILOH ST</t>
  </si>
  <si>
    <t xml:space="preserve">ABOVEPITTSBURGH LLC </t>
  </si>
  <si>
    <t>304 SHILOH ST</t>
  </si>
  <si>
    <t>300 SHILOH ST</t>
  </si>
  <si>
    <t>103 VIRGINIA AVE</t>
  </si>
  <si>
    <t>234 SHILOH ST</t>
  </si>
  <si>
    <t>REYNOLDS MICHAEL C &amp; DARLENE L (W)</t>
  </si>
  <si>
    <t>218 SHILOH ST</t>
  </si>
  <si>
    <t>REYNOLDS MICHAEL &amp; DARLENE (W)</t>
  </si>
  <si>
    <t>200 SHILOH ST</t>
  </si>
  <si>
    <t>103 W SYCAMORE ST</t>
  </si>
  <si>
    <t>105 W SYCAMORE ST</t>
  </si>
  <si>
    <t>SCARPACI RICHARD JEFFREY S DISILVESTER</t>
  </si>
  <si>
    <t>309 SHILOH ST</t>
  </si>
  <si>
    <t>MINDORA ST</t>
  </si>
  <si>
    <t xml:space="preserve">JACKSON REBECCA </t>
  </si>
  <si>
    <t>0 WYOMING ST</t>
  </si>
  <si>
    <t>WYOMING ST</t>
  </si>
  <si>
    <t xml:space="preserve">SYCAMORE CASA LLC </t>
  </si>
  <si>
    <t>11 E SYCAMORE ST</t>
  </si>
  <si>
    <t>CARMELLA ST</t>
  </si>
  <si>
    <t xml:space="preserve">J WATSON LLC </t>
  </si>
  <si>
    <t>15 E SYCAMORE ST</t>
  </si>
  <si>
    <t>J WATSON LLC</t>
  </si>
  <si>
    <t>WATSON DR</t>
  </si>
  <si>
    <t xml:space="preserve">REYNOLDS MICHAEL C                              </t>
  </si>
  <si>
    <t>207 SHILOH ST</t>
  </si>
  <si>
    <t>MICHAEL C &amp; DARLENE R</t>
  </si>
  <si>
    <t xml:space="preserve">STONEHENDGE PARTNERS LLC </t>
  </si>
  <si>
    <t>131 SHILOH ST</t>
  </si>
  <si>
    <t>RICHARD MACHEL</t>
  </si>
  <si>
    <t>EDGOS CHARALAMBOS  &amp; SOHIA EDGOS</t>
  </si>
  <si>
    <t>128 WYOMING ST</t>
  </si>
  <si>
    <t>ZELEZNIK ROBERT J &amp; JENNIFER L STRAUSS</t>
  </si>
  <si>
    <t>0 JENNIE ST</t>
  </si>
  <si>
    <t xml:space="preserve">FUCHEL THOMAS </t>
  </si>
  <si>
    <t>500 GRACE ST</t>
  </si>
  <si>
    <t xml:space="preserve">AVILA CONSTRUCTION </t>
  </si>
  <si>
    <t>502 GRACE ST</t>
  </si>
  <si>
    <t>AVILA CONSTRUCTION</t>
  </si>
  <si>
    <t xml:space="preserve">ATKINS CLARENCE JR                              </t>
  </si>
  <si>
    <t>504 GRACE ST</t>
  </si>
  <si>
    <t>CLARENCE ATKINS JR</t>
  </si>
  <si>
    <t xml:space="preserve">OCHS ELLEN </t>
  </si>
  <si>
    <t>528 GRACE ST</t>
  </si>
  <si>
    <t xml:space="preserve">HOU CHING HSIU </t>
  </si>
  <si>
    <t>W FIGUEROA ST</t>
  </si>
  <si>
    <t>SANTA BARBARA</t>
  </si>
  <si>
    <t xml:space="preserve">CHESNEY VICTOR </t>
  </si>
  <si>
    <t>511 GRACE ST</t>
  </si>
  <si>
    <t>WOODCREST AVE APT 126</t>
  </si>
  <si>
    <t xml:space="preserve">BROWN MCKINLEY J </t>
  </si>
  <si>
    <t>461 GRACE ST</t>
  </si>
  <si>
    <t xml:space="preserve">LONGENECKER DONNA </t>
  </si>
  <si>
    <t>448 BELONDA ST</t>
  </si>
  <si>
    <t xml:space="preserve">KRAUSE GEORGE A </t>
  </si>
  <si>
    <t>SMITH EFFIE E &amp; MARK C SMITH</t>
  </si>
  <si>
    <t>480 BELONDA ST</t>
  </si>
  <si>
    <t>KOCHETKOV GEORGY AMPLEEV VIKTOR</t>
  </si>
  <si>
    <t>475 BELONDA ST</t>
  </si>
  <si>
    <t>QUEENSTON DR</t>
  </si>
  <si>
    <t xml:space="preserve">G101 LLC </t>
  </si>
  <si>
    <t>161 BELONDA ST</t>
  </si>
  <si>
    <t>G101 LLC</t>
  </si>
  <si>
    <t>W SYCAMORE ST UNIT 2</t>
  </si>
  <si>
    <t xml:space="preserve">MISHKOV EDUARD V </t>
  </si>
  <si>
    <t>155 BELONDA ST</t>
  </si>
  <si>
    <t>S 95TH E AVE</t>
  </si>
  <si>
    <t xml:space="preserve">STEENLAND KYLE H                                </t>
  </si>
  <si>
    <t>430 NATCHEZ ST</t>
  </si>
  <si>
    <t xml:space="preserve">FREUND RICHARD </t>
  </si>
  <si>
    <t xml:space="preserve">AMAGU 229 WILBERT LLC </t>
  </si>
  <si>
    <t>229 WILBERT ST</t>
  </si>
  <si>
    <t>AMAGU 229 WILBERT LLC</t>
  </si>
  <si>
    <t>BERRARDINI VINCENT J &amp; AUDREY JEAN</t>
  </si>
  <si>
    <t>0 CAIRO ST</t>
  </si>
  <si>
    <t>BERRARDINI VINCENT J</t>
  </si>
  <si>
    <t xml:space="preserve">MARTIN CHARLES  &amp; INEZ </t>
  </si>
  <si>
    <t>0 ENNIS ST</t>
  </si>
  <si>
    <t>VALEVIEW DR</t>
  </si>
  <si>
    <t xml:space="preserve">CAULKER RICHARD </t>
  </si>
  <si>
    <t>VANCE JACKSON CT APT 737</t>
  </si>
  <si>
    <t xml:space="preserve">TYLENDA TODD </t>
  </si>
  <si>
    <t>PO BOX 60007</t>
  </si>
  <si>
    <t>EDWARDS REALTY &amp; ASSOCIATES LP</t>
  </si>
  <si>
    <t>230 CAIRO ST</t>
  </si>
  <si>
    <t>EDWARDS REALTY &amp; ASSO</t>
  </si>
  <si>
    <t>ALDER DR</t>
  </si>
  <si>
    <t xml:space="preserve">HUTZLER ROBERT                                  </t>
  </si>
  <si>
    <t>HUTZLER ROBERT R &amp; MAUREEN SCANLON</t>
  </si>
  <si>
    <t>208 CAIRO ST</t>
  </si>
  <si>
    <t xml:space="preserve">RODGERS CHRISTINA </t>
  </si>
  <si>
    <t>528 NATCHEZ ST</t>
  </si>
  <si>
    <t>RODGERS CHRISTINA</t>
  </si>
  <si>
    <t>EDITH ST</t>
  </si>
  <si>
    <t xml:space="preserve">BANGOR ST LLC </t>
  </si>
  <si>
    <t>6 BANGOR ST</t>
  </si>
  <si>
    <t>BANGOR ST LLC</t>
  </si>
  <si>
    <t>BANGOR ST</t>
  </si>
  <si>
    <t xml:space="preserve">CALABRESE ABBY G </t>
  </si>
  <si>
    <t>238 PROSPECT ST</t>
  </si>
  <si>
    <t>PENTAGON FEDERAL VRED</t>
  </si>
  <si>
    <t>PO BOX 247050</t>
  </si>
  <si>
    <t>LUFFEY WILLIAM H &amp; DEBRA A (W)</t>
  </si>
  <si>
    <t>302 PROSPECT ST</t>
  </si>
  <si>
    <t>LUFFEY WILLIAM H</t>
  </si>
  <si>
    <t>304 PROSPECT ST</t>
  </si>
  <si>
    <t xml:space="preserve">DOPLER JANET C &amp; LAWRENCE T (H)          </t>
  </si>
  <si>
    <t>51 DILWORTH ST</t>
  </si>
  <si>
    <t>DILWORTH ST</t>
  </si>
  <si>
    <t xml:space="preserve">DELERME AUGUSTO EDSEL                           </t>
  </si>
  <si>
    <t>57 DILWORTH ST</t>
  </si>
  <si>
    <t>GLENFINNAN PL</t>
  </si>
  <si>
    <t>MECHANICSBURG</t>
  </si>
  <si>
    <t xml:space="preserve">BDRE LLC </t>
  </si>
  <si>
    <t>0 NORTON ST</t>
  </si>
  <si>
    <t>SANTA FE DR</t>
  </si>
  <si>
    <t xml:space="preserve">TUSZYNSKI GREGG A </t>
  </si>
  <si>
    <t>NORTON ST</t>
  </si>
  <si>
    <t>20 NORTON ST</t>
  </si>
  <si>
    <t>MALLOY GAIL W &amp; JAMES JEFFREY (H)</t>
  </si>
  <si>
    <t>255 PROSPECT ST</t>
  </si>
  <si>
    <t>GAIL W &amp; JAMES JEFFRE</t>
  </si>
  <si>
    <t>253 PROSPECT ST</t>
  </si>
  <si>
    <t xml:space="preserve">WILKES DAVID P </t>
  </si>
  <si>
    <t>54 SOUTHERN AVE</t>
  </si>
  <si>
    <t>FEDERAL SAVINGS BANK</t>
  </si>
  <si>
    <t>W DIVERSEY AVE STE C501</t>
  </si>
  <si>
    <t xml:space="preserve">MAINS JARED </t>
  </si>
  <si>
    <t>JARED MAINS</t>
  </si>
  <si>
    <t xml:space="preserve">DAVID JUSTINA T </t>
  </si>
  <si>
    <t>48 GREENBUSH ST</t>
  </si>
  <si>
    <t>GREENBUSH ST</t>
  </si>
  <si>
    <t xml:space="preserve">ZIELINSKI CASS </t>
  </si>
  <si>
    <t>62 GREENBUSH ST</t>
  </si>
  <si>
    <t xml:space="preserve">SITES KENNETH F </t>
  </si>
  <si>
    <t>76 GREENBUSH ST</t>
  </si>
  <si>
    <t xml:space="preserve">MCCALL JOSHUA K                                 </t>
  </si>
  <si>
    <t>105 SOUTHERN AVE</t>
  </si>
  <si>
    <t>MCCALL JOSHUA K</t>
  </si>
  <si>
    <t>AMERICANO HOLDINGS LLC   ETAL</t>
  </si>
  <si>
    <t>7 WHITWORTH ST</t>
  </si>
  <si>
    <t>AMERICANO HOLDINGS LL</t>
  </si>
  <si>
    <t>MAYFLOWER DR</t>
  </si>
  <si>
    <t>PETROV NICOLAS &amp; MARION FREYDA PETROV REV</t>
  </si>
  <si>
    <t>69 GREENBUSH ST</t>
  </si>
  <si>
    <t>PETROV NICOLAS &amp; MARI</t>
  </si>
  <si>
    <t xml:space="preserve">ACE HOLDINGS GROUP LLC </t>
  </si>
  <si>
    <t>80 WYOMING ST</t>
  </si>
  <si>
    <t>ACE HOLDINGS GROUP LL</t>
  </si>
  <si>
    <t>EAGLE RD</t>
  </si>
  <si>
    <t>78 WYOMING ST</t>
  </si>
  <si>
    <t xml:space="preserve">WHEELER JORDAN NICHOLAS                         </t>
  </si>
  <si>
    <t>84 WYOMING ST</t>
  </si>
  <si>
    <t>WHEELER JORDAN NICHOL</t>
  </si>
  <si>
    <t xml:space="preserve">WEISS RICHARD D                                 </t>
  </si>
  <si>
    <t>96 WYOMING ST</t>
  </si>
  <si>
    <t>JONES RUSSELL M &amp; JANELLE (W)</t>
  </si>
  <si>
    <t>128 BOGGS AVE</t>
  </si>
  <si>
    <t xml:space="preserve">HUANG YUFEI                                     </t>
  </si>
  <si>
    <t>6 NEFF ST UNIT C</t>
  </si>
  <si>
    <t>FIRSTRUST BANK</t>
  </si>
  <si>
    <t>PO BOX 986</t>
  </si>
  <si>
    <t xml:space="preserve">UCG FIFTY ONE LLC </t>
  </si>
  <si>
    <t>440 WILLIAM ST</t>
  </si>
  <si>
    <t>446 WILLIAM ST</t>
  </si>
  <si>
    <t>462 WILLIAM ST</t>
  </si>
  <si>
    <t>PHILIP EVERETT FARR LIVING TRUST</t>
  </si>
  <si>
    <t>435 NEFF ST</t>
  </si>
  <si>
    <t>CLARENDON AVE</t>
  </si>
  <si>
    <t xml:space="preserve">DESAI KUNAL NAINESH                             </t>
  </si>
  <si>
    <t>433 NEFF ST</t>
  </si>
  <si>
    <t xml:space="preserve">DESAI VISHAL NAINESH </t>
  </si>
  <si>
    <t>431 NEFF ST</t>
  </si>
  <si>
    <t xml:space="preserve">CAUGHEY WILLIAM A </t>
  </si>
  <si>
    <t>229 CAIRO ST</t>
  </si>
  <si>
    <t xml:space="preserve">CHAMBERS GALE E </t>
  </si>
  <si>
    <t>219 CAIRO ST</t>
  </si>
  <si>
    <t xml:space="preserve">GURSKE MARIE </t>
  </si>
  <si>
    <t>114 DILWORTH ST</t>
  </si>
  <si>
    <t xml:space="preserve">FULMORE WILLIAM L </t>
  </si>
  <si>
    <t>116 DILWORTH ST</t>
  </si>
  <si>
    <t xml:space="preserve">CROCE ROBERT J                                  </t>
  </si>
  <si>
    <t>0 DILWORTH ST</t>
  </si>
  <si>
    <t>130 DILWORTH ST</t>
  </si>
  <si>
    <t xml:space="preserve">CREIGHTON ASHLEY MARIE </t>
  </si>
  <si>
    <t>248 DILWORTH ST</t>
  </si>
  <si>
    <t xml:space="preserve">BALDWIN MELISSA N                               </t>
  </si>
  <si>
    <t>247 DILWORTH ST</t>
  </si>
  <si>
    <t>514 NORTON ST</t>
  </si>
  <si>
    <t>512 NORTON ST</t>
  </si>
  <si>
    <t xml:space="preserve">FORMICA RYAN </t>
  </si>
  <si>
    <t>113 DILWORTH ST</t>
  </si>
  <si>
    <t>245 WADE ST</t>
  </si>
  <si>
    <t>0 WADE ST</t>
  </si>
  <si>
    <t>SHERIDAN RD S</t>
  </si>
  <si>
    <t>BEYOND MEASURES  INVESTMENT PROPERTIES LL</t>
  </si>
  <si>
    <t>281 WADE ST</t>
  </si>
  <si>
    <t>BEYOND MEASURES INVES</t>
  </si>
  <si>
    <t xml:space="preserve">BURROWS MELANIE </t>
  </si>
  <si>
    <t>IRWIN LN</t>
  </si>
  <si>
    <t>288 WADE ST</t>
  </si>
  <si>
    <t>MIHALCHIK STEVEN G &amp; ELIZABETH M (W)</t>
  </si>
  <si>
    <t>26 MARNE WAY</t>
  </si>
  <si>
    <t xml:space="preserve">AJIMOKO OLUWATOBI D </t>
  </si>
  <si>
    <t>24 MARNE WAY</t>
  </si>
  <si>
    <t xml:space="preserve">GEHRING PATRICIA A </t>
  </si>
  <si>
    <t>18 MARNE WAY</t>
  </si>
  <si>
    <t xml:space="preserve">BLAKELEY BRIDGET C </t>
  </si>
  <si>
    <t>22 MARNE WAY</t>
  </si>
  <si>
    <t>MARNE WAY</t>
  </si>
  <si>
    <t>BOLLMAN JOHN F &amp; NOREEN J (W)</t>
  </si>
  <si>
    <t>8 MARNE WAY</t>
  </si>
  <si>
    <t xml:space="preserve">COLLINS MICHAEL L </t>
  </si>
  <si>
    <t>104 DILWORTH ST</t>
  </si>
  <si>
    <t>WILBUR ST</t>
  </si>
  <si>
    <t xml:space="preserve">BOYD JEFFREY G </t>
  </si>
  <si>
    <t>BALDINGER HERBERT  &amp; ANN NICKLES</t>
  </si>
  <si>
    <t xml:space="preserve">DUFFY REGIS J &amp; DENISE M (W)            </t>
  </si>
  <si>
    <t>THREE RIVERS INVESTORS  LLC</t>
  </si>
  <si>
    <t>448 NORTON ST</t>
  </si>
  <si>
    <t>THREE RIVERS INVESTOR</t>
  </si>
  <si>
    <t>446 NORTON ST</t>
  </si>
  <si>
    <t xml:space="preserve">RANKIN MALCOLM E </t>
  </si>
  <si>
    <t>80 NORTON ST</t>
  </si>
  <si>
    <t xml:space="preserve">DEFEO VITTORIA AVIGIANO </t>
  </si>
  <si>
    <t>39 NORTON ST</t>
  </si>
  <si>
    <t>14 SANDWICH ST</t>
  </si>
  <si>
    <t>447 NORTON ST</t>
  </si>
  <si>
    <t>479 NORTON ST</t>
  </si>
  <si>
    <t xml:space="preserve">MATASSA LISA MARIE </t>
  </si>
  <si>
    <t>483 NORTON ST</t>
  </si>
  <si>
    <t xml:space="preserve">500 SOUTHERN LLC </t>
  </si>
  <si>
    <t>500 SOUTHERN AVE</t>
  </si>
  <si>
    <t xml:space="preserve">LUO XIN QI </t>
  </si>
  <si>
    <t>MCKINLEY AVE</t>
  </si>
  <si>
    <t>176 SOUTHERN AVE</t>
  </si>
  <si>
    <t xml:space="preserve">NICKS CORWIN H.E. III </t>
  </si>
  <si>
    <t>148 SOUTHERN AVE</t>
  </si>
  <si>
    <t>CENTER AVE APT 3</t>
  </si>
  <si>
    <t>221 SOUTHERN AVE</t>
  </si>
  <si>
    <t>PO BOX 6041</t>
  </si>
  <si>
    <t xml:space="preserve">BARONE MICHAEL </t>
  </si>
  <si>
    <t>213 SOUTHERN AVE</t>
  </si>
  <si>
    <t xml:space="preserve">MCVICKER JULIE </t>
  </si>
  <si>
    <t>193 SOUTHERN AVE</t>
  </si>
  <si>
    <t>MCVICKER JULIE</t>
  </si>
  <si>
    <t>POINTER DR</t>
  </si>
  <si>
    <t xml:space="preserve">HAYES THOM </t>
  </si>
  <si>
    <t>DURBIN ST</t>
  </si>
  <si>
    <t xml:space="preserve">KRAUTH CURTIS M </t>
  </si>
  <si>
    <t>157 SOUTHERN AVE</t>
  </si>
  <si>
    <t>KRAUTH CURTIS M</t>
  </si>
  <si>
    <t xml:space="preserve">MARGABANDHU PRASAD </t>
  </si>
  <si>
    <t>0 BOGGS AVE</t>
  </si>
  <si>
    <t>STATE RTE 30 STE 5</t>
  </si>
  <si>
    <t xml:space="preserve">PLESH BRANDEN T </t>
  </si>
  <si>
    <t>402 BOGGS AVE</t>
  </si>
  <si>
    <t xml:space="preserve">CHEN HENRY HAO CAI </t>
  </si>
  <si>
    <t>404 BOGGS AVE</t>
  </si>
  <si>
    <t>SW GEMINI DR SUITE 46979</t>
  </si>
  <si>
    <t xml:space="preserve">PLESH MAUREEN P                                 </t>
  </si>
  <si>
    <t>418 BOGGS AVE</t>
  </si>
  <si>
    <t>BRANDEN T PLESH</t>
  </si>
  <si>
    <t>220 KRAMER WAY</t>
  </si>
  <si>
    <t xml:space="preserve">ASAN INVESTMENTS LLC </t>
  </si>
  <si>
    <t>222 KRAMER WAY</t>
  </si>
  <si>
    <t>N MEADOWCROFT AVE</t>
  </si>
  <si>
    <t xml:space="preserve">NEFF MARILOU </t>
  </si>
  <si>
    <t>223 KRAMER WAY</t>
  </si>
  <si>
    <t>MARILOU NEFF</t>
  </si>
  <si>
    <t>PERRILYNN AVE</t>
  </si>
  <si>
    <t xml:space="preserve">LOWMAN MICHAEL D </t>
  </si>
  <si>
    <t>0 KRAMER WAY</t>
  </si>
  <si>
    <t>KOHLMEYERS LN</t>
  </si>
  <si>
    <t xml:space="preserve">HUSER ADELA </t>
  </si>
  <si>
    <t>327 BOGGS AVE</t>
  </si>
  <si>
    <t>HUSER ADELA</t>
  </si>
  <si>
    <t>10 KOHLMEYERS LN</t>
  </si>
  <si>
    <t>MEYERS HARRY W &amp; MOLLIE F (W)</t>
  </si>
  <si>
    <t>DALZELL WILLIAM J &amp; ANN L (W)</t>
  </si>
  <si>
    <t>235 BOGGS AVE</t>
  </si>
  <si>
    <t>FRASER JAMES  &amp; CINDY (W)</t>
  </si>
  <si>
    <t>209 BOGGS AVE REAR</t>
  </si>
  <si>
    <t>BOGGS AVE REAR</t>
  </si>
  <si>
    <t xml:space="preserve">LUTZ JOHN A                                     </t>
  </si>
  <si>
    <t>205 BOGGS AVE</t>
  </si>
  <si>
    <t xml:space="preserve">PA PROPERTY SOLVERS LLC </t>
  </si>
  <si>
    <t>40 RUTH ST</t>
  </si>
  <si>
    <t>PA PROPERTY SOLVERS L</t>
  </si>
  <si>
    <t>HILLSBORO ST FL 1</t>
  </si>
  <si>
    <t xml:space="preserve">BLUE LIBRA ALLIANCE LLC </t>
  </si>
  <si>
    <t>54 RUTH ST</t>
  </si>
  <si>
    <t>BLUE LIBRA ALLIANCE L</t>
  </si>
  <si>
    <t>KAUFMANN AVE</t>
  </si>
  <si>
    <t xml:space="preserve">PRIORE MICHAEL </t>
  </si>
  <si>
    <t>124 TUSCOLA ST</t>
  </si>
  <si>
    <t>PRIORE MICHAEL</t>
  </si>
  <si>
    <t>AGNEW RD</t>
  </si>
  <si>
    <t xml:space="preserve">GERAMITA ROBERT </t>
  </si>
  <si>
    <t>126 TUSCOLA ST</t>
  </si>
  <si>
    <t>TUSCOLA ST</t>
  </si>
  <si>
    <t xml:space="preserve">FORSMAN KEITH G </t>
  </si>
  <si>
    <t>18 KOHLMEYERS LN</t>
  </si>
  <si>
    <t xml:space="preserve">MURRAY DAVID E </t>
  </si>
  <si>
    <t>229 KRAMER WAY</t>
  </si>
  <si>
    <t>MURRAY DAVID E</t>
  </si>
  <si>
    <t xml:space="preserve">NYXQ31201 LLC </t>
  </si>
  <si>
    <t>317 KRAMER WAY</t>
  </si>
  <si>
    <t>SPRING HILL DR</t>
  </si>
  <si>
    <t>HIGHLAND RANCH</t>
  </si>
  <si>
    <t>332 KRAMER WAY</t>
  </si>
  <si>
    <t xml:space="preserve">MCGOWAN KIMBERLY I </t>
  </si>
  <si>
    <t>232 KRAMER WAY</t>
  </si>
  <si>
    <t>KRAMER WAY</t>
  </si>
  <si>
    <t>PUZANOV ALEXANDER &amp; ANNA (W)</t>
  </si>
  <si>
    <t>323 SMITH WAY</t>
  </si>
  <si>
    <t>PUZANOV ALEXANDER &amp; A</t>
  </si>
  <si>
    <t>SMITH WAY</t>
  </si>
  <si>
    <t>402 WESTWOOD ST</t>
  </si>
  <si>
    <t>SABUNANI HARESH P</t>
  </si>
  <si>
    <t xml:space="preserve">KAUFMAN SEAN DAVID                              </t>
  </si>
  <si>
    <t>326 SMITH WAY</t>
  </si>
  <si>
    <t xml:space="preserve">WALSH EDWARD THOMAS </t>
  </si>
  <si>
    <t>73 WESTWOOD ST</t>
  </si>
  <si>
    <t>WESTWOOD ST</t>
  </si>
  <si>
    <t>0 WESTWOOD ST</t>
  </si>
  <si>
    <t xml:space="preserve">JED INVESTMENTS LLC </t>
  </si>
  <si>
    <t>94 RUTH ST</t>
  </si>
  <si>
    <t>MCGAHEY MARK R &amp; DONNA L (W)</t>
  </si>
  <si>
    <t>452 MERIDAN ST</t>
  </si>
  <si>
    <t>MERIDAN ST</t>
  </si>
  <si>
    <t xml:space="preserve">BRUNO PERRY </t>
  </si>
  <si>
    <t>0 ONEIDA ST</t>
  </si>
  <si>
    <t>HARRISON CITY RD</t>
  </si>
  <si>
    <t xml:space="preserve">HOKAJ MICHELLE J </t>
  </si>
  <si>
    <t>O'MALLEY KEVIN D &amp; MARCY L (W)</t>
  </si>
  <si>
    <t>0 PLYMOUTH ST</t>
  </si>
  <si>
    <t>SAFRANYOS LN</t>
  </si>
  <si>
    <t>DICKS HELEN M REVOCABLE  LIVING TRUST</t>
  </si>
  <si>
    <t>1409 VIRGINIA AVE</t>
  </si>
  <si>
    <t>HELEN M DICKS (TRUSTE</t>
  </si>
  <si>
    <t>TURK RD</t>
  </si>
  <si>
    <t>SLIPPERY ROCK</t>
  </si>
  <si>
    <t xml:space="preserve">KOWALECKI NICHOLAS                              </t>
  </si>
  <si>
    <t>549 SWEETBRIAR ST</t>
  </si>
  <si>
    <t>SWEETBRIAR ST</t>
  </si>
  <si>
    <t xml:space="preserve">LSG57 LLC </t>
  </si>
  <si>
    <t>0 SWEETBRIAR ST</t>
  </si>
  <si>
    <t xml:space="preserve">1214 VIRGINIA LLC </t>
  </si>
  <si>
    <t>1214 VIRGINIA AVE</t>
  </si>
  <si>
    <t>1214 VIRGINIA LLC</t>
  </si>
  <si>
    <t xml:space="preserve">JONES JOANNA C                                  </t>
  </si>
  <si>
    <t>306 HALLOCK ST</t>
  </si>
  <si>
    <t>HALLOCK ST</t>
  </si>
  <si>
    <t>WALTON PATRICK W &amp; FRANCES (W)</t>
  </si>
  <si>
    <t>1116 VIRGINIA AVE</t>
  </si>
  <si>
    <t xml:space="preserve">PITTINGER CHRISTOPHER J </t>
  </si>
  <si>
    <t>1101 VIRGINIA AVE</t>
  </si>
  <si>
    <t>415 MERIDAN ST</t>
  </si>
  <si>
    <t>WILSON HOME HOLDINGS     ETAL</t>
  </si>
  <si>
    <t>412 MERIDAN ST</t>
  </si>
  <si>
    <t>ROBERT MITCHELL WILSO</t>
  </si>
  <si>
    <t>SWEET BRIAR DR</t>
  </si>
  <si>
    <t xml:space="preserve">BERNATOWICZ MONICA LYNNE </t>
  </si>
  <si>
    <t>1201 VIRGINIA AVE</t>
  </si>
  <si>
    <t>BERNATOWICZ MONICA LY</t>
  </si>
  <si>
    <t>PITTSBURGH &amp; WEST VIRGINIA RR CO</t>
  </si>
  <si>
    <t>PGH &amp; WEST VA RR  CO</t>
  </si>
  <si>
    <t>E 1ST ST</t>
  </si>
  <si>
    <t>BREWSTER</t>
  </si>
  <si>
    <t xml:space="preserve">LYONS LESLIE ANN </t>
  </si>
  <si>
    <t>1700 GRANDVIEW AVE UNIT 702</t>
  </si>
  <si>
    <t xml:space="preserve">CAMERON JOAN </t>
  </si>
  <si>
    <t>1700 GRANDVIEW AVE UNIT 902</t>
  </si>
  <si>
    <t>GRANDVIEW AVE APT 902</t>
  </si>
  <si>
    <t xml:space="preserve">CITY VIEW LAND CORP </t>
  </si>
  <si>
    <t xml:space="preserve">LYNCH KEVIN P </t>
  </si>
  <si>
    <t>1637 GRANDVIEW AVE</t>
  </si>
  <si>
    <t>NORTHUMBERLAND ST APT 2</t>
  </si>
  <si>
    <t>1635 GRANDVIEW AVE</t>
  </si>
  <si>
    <t xml:space="preserve">1635 W CARSON ST LLC </t>
  </si>
  <si>
    <t>1635 W CARSON ST</t>
  </si>
  <si>
    <t>1635 W CARSON ST LLC</t>
  </si>
  <si>
    <t>W CARSON ST</t>
  </si>
  <si>
    <t>0 W CARSON ST</t>
  </si>
  <si>
    <t>WEST CARSON ASSOCIATES  INC</t>
  </si>
  <si>
    <t>1523 W CARSON ST</t>
  </si>
  <si>
    <t>WEST CARSON ASSOCIATE</t>
  </si>
  <si>
    <t>PO BOX 677</t>
  </si>
  <si>
    <t xml:space="preserve">MILLER DONALD F </t>
  </si>
  <si>
    <t>1846 GREENLEAF ST</t>
  </si>
  <si>
    <t>MILLER DONALD F</t>
  </si>
  <si>
    <t>GREENLEAF ST</t>
  </si>
  <si>
    <t xml:space="preserve">WOOLLARD FABRISIA A </t>
  </si>
  <si>
    <t>354 BRADLEY ST</t>
  </si>
  <si>
    <t xml:space="preserve">MARTINELLI MICHAEL J </t>
  </si>
  <si>
    <t>1804 GREENLEAF ST</t>
  </si>
  <si>
    <t xml:space="preserve">ELLIOTT JOHN W JR </t>
  </si>
  <si>
    <t>0 GREENLEAF ST</t>
  </si>
  <si>
    <t>JOHN W ELLIOTT JR</t>
  </si>
  <si>
    <t xml:space="preserve">CROWLEY SANDRA </t>
  </si>
  <si>
    <t>234 FINGAL ST</t>
  </si>
  <si>
    <t>CROWLEY SANDRA</t>
  </si>
  <si>
    <t>RAIN LILY LN</t>
  </si>
  <si>
    <t>BLUFFTON</t>
  </si>
  <si>
    <t>R &amp; K INVESTMENT GROUP INC</t>
  </si>
  <si>
    <t>228 FINGAL ST</t>
  </si>
  <si>
    <t>BOWER HILL RD</t>
  </si>
  <si>
    <t xml:space="preserve">CROZIER CATHERINE R </t>
  </si>
  <si>
    <t>310 REPUBLIC ST</t>
  </si>
  <si>
    <t>REPUBLIC ST</t>
  </si>
  <si>
    <t xml:space="preserve">DUQUESNE MAENNERCHOR </t>
  </si>
  <si>
    <t>1700 GREENLEAF ST</t>
  </si>
  <si>
    <t>DUQUESNE MAENNERCHOR OF PGH</t>
  </si>
  <si>
    <t>SPAGNA MATTHEW &amp; LAUREN (W)</t>
  </si>
  <si>
    <t>1716 GREENLEAF ST</t>
  </si>
  <si>
    <t xml:space="preserve">DUDUKOVICH NICHOLAS </t>
  </si>
  <si>
    <t>1735 RUTLEDGE ST</t>
  </si>
  <si>
    <t>260 REPUBLIC ST</t>
  </si>
  <si>
    <t>REHAK JOHN ALAN THOMPSON LATOI</t>
  </si>
  <si>
    <t>246 REPUBLIC ST</t>
  </si>
  <si>
    <t>300 SEWARD ST</t>
  </si>
  <si>
    <t xml:space="preserve">TODD ROSA REVOCABLE  TRUST                   </t>
  </si>
  <si>
    <t>227 REPUBLIC ST</t>
  </si>
  <si>
    <t>ROSA SHARON &amp; TODD</t>
  </si>
  <si>
    <t xml:space="preserve">RAGER EMILY </t>
  </si>
  <si>
    <t>219 REPUBLIC ST</t>
  </si>
  <si>
    <t xml:space="preserve">FOLLEY MAUREEN E </t>
  </si>
  <si>
    <t>232 SEWARD ST</t>
  </si>
  <si>
    <t>SEWARD</t>
  </si>
  <si>
    <t xml:space="preserve">BROWN BRYAN                                     </t>
  </si>
  <si>
    <t>220 SEWARD ST</t>
  </si>
  <si>
    <t>CHAUDHARY RAHUL &amp; CONNIE WANG (W)</t>
  </si>
  <si>
    <t>218 SEWARD ST</t>
  </si>
  <si>
    <t>CHAUDHARY RAHUL &amp; CON</t>
  </si>
  <si>
    <t>SEWARD ST</t>
  </si>
  <si>
    <t xml:space="preserve">KUSH JONATHAN A                                 </t>
  </si>
  <si>
    <t>216 SEWARD ST</t>
  </si>
  <si>
    <t>SMOLINSKI CHRISTOPHER  MICHAEL &amp; ARIEL GRACE (W</t>
  </si>
  <si>
    <t>214 SEWARD ST</t>
  </si>
  <si>
    <t xml:space="preserve">WILSON HOME HOLDINGS LLC </t>
  </si>
  <si>
    <t>0 SEWARD ST</t>
  </si>
  <si>
    <t>FINANCE AMERICA COMME</t>
  </si>
  <si>
    <t>233 SEWARD ST</t>
  </si>
  <si>
    <t>FINANCE OF AMERICA CO</t>
  </si>
  <si>
    <t xml:space="preserve">MCCOY TIMOTHY I </t>
  </si>
  <si>
    <t>SHALER ST</t>
  </si>
  <si>
    <t>244 SHALER ST</t>
  </si>
  <si>
    <t>VOELKER HARRY CHARLES &amp; ELIZABETH L</t>
  </si>
  <si>
    <t>ROOSEVELT RD</t>
  </si>
  <si>
    <t>SCANLON MARY C ETAL</t>
  </si>
  <si>
    <t>1614 RUTLEDGE ST</t>
  </si>
  <si>
    <t>RUTLEDGE ST</t>
  </si>
  <si>
    <t>JACKSON LARRY J &amp; MARYANN (W)</t>
  </si>
  <si>
    <t>112 AUGUSTA ST</t>
  </si>
  <si>
    <t>AUGUSTA ST</t>
  </si>
  <si>
    <t>MCMAHON FRANCIS JAMES &amp; LYNNETTE G (W)</t>
  </si>
  <si>
    <t>206 SHALER ST</t>
  </si>
  <si>
    <t>MCMAHON FRANCIS JAMES</t>
  </si>
  <si>
    <t>TAYLOR BRADLEY ROBERT &amp; MAZ (W)</t>
  </si>
  <si>
    <t>231 SHALER ST</t>
  </si>
  <si>
    <t xml:space="preserve">HUSER MARIO                                     </t>
  </si>
  <si>
    <t>230 EDITH ST</t>
  </si>
  <si>
    <t>PO BOX 6012</t>
  </si>
  <si>
    <t>PETRINI JOANNE &amp; FRANCIS XAVIER III (H)</t>
  </si>
  <si>
    <t>233 EDITH ST</t>
  </si>
  <si>
    <t>MICHELSON DR STE 1201</t>
  </si>
  <si>
    <t xml:space="preserve">COULL SCOTT W </t>
  </si>
  <si>
    <t>220 AUGUSTA ST</t>
  </si>
  <si>
    <t xml:space="preserve">NESTOR JOSEPH C II </t>
  </si>
  <si>
    <t>218 AUGUSTA ST</t>
  </si>
  <si>
    <t xml:space="preserve">NALCOM PARTNERS LP </t>
  </si>
  <si>
    <t>209 AUGUSTA ST</t>
  </si>
  <si>
    <t>NALCOM PARTNERS LP</t>
  </si>
  <si>
    <t>S SWINTON AVE</t>
  </si>
  <si>
    <t>DELRAY BEACH</t>
  </si>
  <si>
    <t>SCHMITT JEROME M &amp; PAULA R (W)</t>
  </si>
  <si>
    <t>497 BRADLEY ST</t>
  </si>
  <si>
    <t>SCHMITT JEROME M &amp; PA</t>
  </si>
  <si>
    <t>BRADLEY ST</t>
  </si>
  <si>
    <t xml:space="preserve">CLEVER REBECCA A </t>
  </si>
  <si>
    <t>496 BRADLEY ST</t>
  </si>
  <si>
    <t xml:space="preserve">DELIERE AMANDA E                                </t>
  </si>
  <si>
    <t>473 BRADLEY ST</t>
  </si>
  <si>
    <t xml:space="preserve">MARTINO JONATHAN J </t>
  </si>
  <si>
    <t>485 BRADLEY ST</t>
  </si>
  <si>
    <t>MERCHANTS BANK OF IND</t>
  </si>
  <si>
    <t>MONON BLVD</t>
  </si>
  <si>
    <t>CARMEL</t>
  </si>
  <si>
    <t xml:space="preserve">GODFREY KARA                                    </t>
  </si>
  <si>
    <t>369 FINGAL ST</t>
  </si>
  <si>
    <t>NEIGHBORHOOD LOANS IN</t>
  </si>
  <si>
    <t>BUTTERFIELD RD STE 600</t>
  </si>
  <si>
    <t>REMARKABLE REALTY  SERVICES LLC</t>
  </si>
  <si>
    <t>0 FINGAL ST</t>
  </si>
  <si>
    <t>REMARKABLE REALTY SER</t>
  </si>
  <si>
    <t>CHAPMAN ST APT 1</t>
  </si>
  <si>
    <t>GODFREY KARA &amp; JENNIFER (W)</t>
  </si>
  <si>
    <t>366 REPUBLIC ST</t>
  </si>
  <si>
    <t>BUTTERFIELD STE 600</t>
  </si>
  <si>
    <t xml:space="preserve">MIELCAREK STEPHEN </t>
  </si>
  <si>
    <t>346 REPUBLIC ST</t>
  </si>
  <si>
    <t xml:space="preserve">MOSEL ERIC G </t>
  </si>
  <si>
    <t>CANYONS RESORT DR APT J8</t>
  </si>
  <si>
    <t>PARK CITY</t>
  </si>
  <si>
    <t>GRAFF JAMES J &amp; KAREN T (W)</t>
  </si>
  <si>
    <t>0 REPUBLIC ST</t>
  </si>
  <si>
    <t>315 SEWARD ST</t>
  </si>
  <si>
    <t xml:space="preserve">SPILLANE ROBERT </t>
  </si>
  <si>
    <t>333 SHALER ST</t>
  </si>
  <si>
    <t>SPILLANE ROBERT</t>
  </si>
  <si>
    <t xml:space="preserve">DENAULT DANIEL R </t>
  </si>
  <si>
    <t>415 SHALER ST</t>
  </si>
  <si>
    <t xml:space="preserve">WETZEL WALTER C III </t>
  </si>
  <si>
    <t>428 CLARENCE ST</t>
  </si>
  <si>
    <t>CLARENCE ST</t>
  </si>
  <si>
    <t xml:space="preserve">ELLIOTT ROBERT JOHN JR </t>
  </si>
  <si>
    <t>0 EDITH ST</t>
  </si>
  <si>
    <t xml:space="preserve">SCALA ALEXANDRA </t>
  </si>
  <si>
    <t>324 AUGUSTA ST</t>
  </si>
  <si>
    <t xml:space="preserve">OCONNOR JEFFREY </t>
  </si>
  <si>
    <t>330 AUGUSTA ST</t>
  </si>
  <si>
    <t>SPEAKMAN MICHAEL P &amp; MEGAN K (W)</t>
  </si>
  <si>
    <t>325 AUGUSTA ST</t>
  </si>
  <si>
    <t xml:space="preserve">JULIANO JOSEPH </t>
  </si>
  <si>
    <t>230 SWEETBRIAR ST</t>
  </si>
  <si>
    <t>FIRST HERMITAGE BANK</t>
  </si>
  <si>
    <t>PO BOX 10666</t>
  </si>
  <si>
    <t xml:space="preserve">CAUGHEY TARA LYNN                               </t>
  </si>
  <si>
    <t>0 HALFWAY WAY</t>
  </si>
  <si>
    <t xml:space="preserve">DENILLO MARY </t>
  </si>
  <si>
    <t>WELL ST</t>
  </si>
  <si>
    <t xml:space="preserve">ROBERTS WILLIAM M JR                            </t>
  </si>
  <si>
    <t>1522 WELL ST</t>
  </si>
  <si>
    <t xml:space="preserve">WILLIAM M ROBERTS JR </t>
  </si>
  <si>
    <t xml:space="preserve">DENILLO MARY EILEEN </t>
  </si>
  <si>
    <t>1518 WELL ST</t>
  </si>
  <si>
    <t>0 WELL ST</t>
  </si>
  <si>
    <t xml:space="preserve">PAPPAN AMARA A </t>
  </si>
  <si>
    <t>172 PLYMOUTH ST</t>
  </si>
  <si>
    <t>SKRINJAR KELLY &amp; ZACHARY (H)</t>
  </si>
  <si>
    <t>183 PLYMOUTH ST</t>
  </si>
  <si>
    <t>PO BOX 202028</t>
  </si>
  <si>
    <t xml:space="preserve">COMER LOUIS J &amp; LORRI (W)               </t>
  </si>
  <si>
    <t>0 BASIL WAY</t>
  </si>
  <si>
    <t>COMER LOUIS J</t>
  </si>
  <si>
    <t>SINGLETON CANZATA  CASTLEBERRY</t>
  </si>
  <si>
    <t>1104 GRANDVIEW AVE UNIT 1</t>
  </si>
  <si>
    <t>APEX HOME LOANS INC</t>
  </si>
  <si>
    <t>RESEARCH BLVD STE 4000</t>
  </si>
  <si>
    <t>ROCKVILLE</t>
  </si>
  <si>
    <t>MENDELSON JAMES R &amp; JENNIFER ERIN (W)</t>
  </si>
  <si>
    <t>1104 GRANDVIEW AVE UNIT 2</t>
  </si>
  <si>
    <t>MENDELSON JAMES R &amp; J</t>
  </si>
  <si>
    <t xml:space="preserve">SMART RETIREMENT  CORPORATION             </t>
  </si>
  <si>
    <t>1000 GRANDVIEW AVE UNIT 205</t>
  </si>
  <si>
    <t>SMART RETIREMENT CORP</t>
  </si>
  <si>
    <t>PENNSYLVANIA AVE</t>
  </si>
  <si>
    <t>WEIRTON</t>
  </si>
  <si>
    <t xml:space="preserve">MASTERSON JOSEPH MICHAEL </t>
  </si>
  <si>
    <t>1000 GRANDVIEW AVE UNIT 304</t>
  </si>
  <si>
    <t>KHATTAR AIZOOKY &amp; MAI YOUSEF REVOCABLE LIV</t>
  </si>
  <si>
    <t>1000 GRANDVIEW AVE UNIT 505</t>
  </si>
  <si>
    <t>KHATTAR AIZOOKY &amp; MAI</t>
  </si>
  <si>
    <t>ADIOS WAY</t>
  </si>
  <si>
    <t>TOREK DINA M &amp; MITCHELL B (H)</t>
  </si>
  <si>
    <t>1000 GRANDVIEW AVE UNIT 906</t>
  </si>
  <si>
    <t>TOREK DINA M &amp; MITCHE</t>
  </si>
  <si>
    <t>GRANDVIEW AVE UNIT 906</t>
  </si>
  <si>
    <t>1000 GRANDVIEW AVE UNIT 1021</t>
  </si>
  <si>
    <t xml:space="preserve">WAHL JOHN                                       </t>
  </si>
  <si>
    <t>1000 GRANDVIEW AVE UNIT 1102</t>
  </si>
  <si>
    <t>E MORTGAGE MANAGEMENT</t>
  </si>
  <si>
    <t>MARLTON PIKE E STE 300</t>
  </si>
  <si>
    <t>REVOCABLE INTERVIVOS  TRUST OF REBECCA I DILLS</t>
  </si>
  <si>
    <t>1000 GRANDVIEW AVE UNIT 1106</t>
  </si>
  <si>
    <t>S LIBERTY ST</t>
  </si>
  <si>
    <t>BLAIRSVILLE</t>
  </si>
  <si>
    <t>MORRIS DANIEL M &amp; ANNE DEBRECZENI (W)</t>
  </si>
  <si>
    <t>1000 GRANDVIEW AVE UNIT 1205</t>
  </si>
  <si>
    <t>MORRIS DANIEL M &amp; ANN</t>
  </si>
  <si>
    <t>GRANDVIEW AVE UNIT # 1205</t>
  </si>
  <si>
    <t xml:space="preserve">MEYERS DAVID &amp; ANN C (W) </t>
  </si>
  <si>
    <t>1000 GRANDVIEW AVE</t>
  </si>
  <si>
    <t>DAVID &amp; ANN C MEYERS</t>
  </si>
  <si>
    <t>GRANDVIEW AVE UNIT 1207</t>
  </si>
  <si>
    <t xml:space="preserve">PLAVAN JOHN C </t>
  </si>
  <si>
    <t>GRANDVIEW AVE UNIT 1202</t>
  </si>
  <si>
    <t xml:space="preserve">SEMAN ANTHONY L                                 </t>
  </si>
  <si>
    <t>GRANDVIEW AVE UNIT G-75</t>
  </si>
  <si>
    <t>CLAWSON ZACHARY D &amp; LINDSAY C (W)</t>
  </si>
  <si>
    <t>134 OLYMPIA ST</t>
  </si>
  <si>
    <t xml:space="preserve">CRISWELL KENNETH C </t>
  </si>
  <si>
    <t>133 MERIDAN ST</t>
  </si>
  <si>
    <t xml:space="preserve">SABEC ANTHONY </t>
  </si>
  <si>
    <t>1105 GRANDVIEW AVE UNIT A3</t>
  </si>
  <si>
    <t xml:space="preserve">TOMOVICH MIKE                                   </t>
  </si>
  <si>
    <t>126 HALLOCK ST</t>
  </si>
  <si>
    <t xml:space="preserve">WASHINGTON FINANCIAL </t>
  </si>
  <si>
    <t xml:space="preserve">BURT SAMANTHA </t>
  </si>
  <si>
    <t>116 MERIDAN ST</t>
  </si>
  <si>
    <t xml:space="preserve">SPIELVOGEL JESSICA </t>
  </si>
  <si>
    <t>142 COHASSETT ST</t>
  </si>
  <si>
    <t>DAS ACQUISITION COMPA</t>
  </si>
  <si>
    <t>WOODCREST EXCECUTIVE DR STE 15</t>
  </si>
  <si>
    <t xml:space="preserve">PERRY MARTIN </t>
  </si>
  <si>
    <t>128 COHASSETT ST</t>
  </si>
  <si>
    <t xml:space="preserve">AGA AYUB ISMAL                                  </t>
  </si>
  <si>
    <t>1 TRIMONT LN UNIT 1110A</t>
  </si>
  <si>
    <t>TRIMONT LN UNIT 1110A</t>
  </si>
  <si>
    <t xml:space="preserve">SALATKA KARL W                                  </t>
  </si>
  <si>
    <t>1 TRIMONT LN UNIT 1140C</t>
  </si>
  <si>
    <t>SALATKA KARL W &amp; MATT</t>
  </si>
  <si>
    <t>INDIAN FIELDS TRL</t>
  </si>
  <si>
    <t xml:space="preserve">MAC TOTAL PROPERTIES LLC </t>
  </si>
  <si>
    <t>1 TRIMONT LN UNIT 1166</t>
  </si>
  <si>
    <t>MAC TOTAL PROPERTIES</t>
  </si>
  <si>
    <t>BATTLE RIDGE RD</t>
  </si>
  <si>
    <t xml:space="preserve">LIU YING &amp;                         </t>
  </si>
  <si>
    <t>1 TRIMONT LN UNIT 1166A2</t>
  </si>
  <si>
    <t>LIU YING &amp; TUNG SHENC</t>
  </si>
  <si>
    <t>GRANDVIEW AVE STE 210</t>
  </si>
  <si>
    <t xml:space="preserve">COLBURN ERIC &amp; NANCY (W) </t>
  </si>
  <si>
    <t>1 TRIMONT LN UNIT 1210A</t>
  </si>
  <si>
    <t xml:space="preserve">COLBURN ERIC &amp; NANCY </t>
  </si>
  <si>
    <t>TRIMONT LN UNIT 1210A</t>
  </si>
  <si>
    <t xml:space="preserve">TWAN STEVEN A                                   </t>
  </si>
  <si>
    <t>1 TRIMONT LN UNIT 1600A</t>
  </si>
  <si>
    <t>TRIMONT LN UNIT 1600</t>
  </si>
  <si>
    <t>SOTEREANOS DEAN &amp; DONNA (W)</t>
  </si>
  <si>
    <t>1 TRIMONT LN UNIT 2215A</t>
  </si>
  <si>
    <t xml:space="preserve">GOFF PATRICIA </t>
  </si>
  <si>
    <t>1 TRIMONT LN UNIT 2315A</t>
  </si>
  <si>
    <t>TRIMONT LN UNIT 2315 A</t>
  </si>
  <si>
    <t xml:space="preserve">HILL ROBERT </t>
  </si>
  <si>
    <t>1 TRIMONT LN UNIT 480E</t>
  </si>
  <si>
    <t xml:space="preserve">CKM ENTERPRISES LLC </t>
  </si>
  <si>
    <t>1305 GRANDVIEW AVE STE 450</t>
  </si>
  <si>
    <t>GRANDVIEW AVE STE 450</t>
  </si>
  <si>
    <t xml:space="preserve">LIU YING                                        </t>
  </si>
  <si>
    <t>1 TRIMONT LN UNIT 1166A</t>
  </si>
  <si>
    <t>YING LIU SHENCHIH TUN</t>
  </si>
  <si>
    <t>TRIMONT LN UNIT 1166A-1</t>
  </si>
  <si>
    <t xml:space="preserve">RANGOS JOHN G SR  CHARITABLE FOUNDATION ( </t>
  </si>
  <si>
    <t>1 TRIMONT LN UNIT 1166C</t>
  </si>
  <si>
    <t>RANGOS JOHN G SR CHAR</t>
  </si>
  <si>
    <t>OSPREY POINT CIR</t>
  </si>
  <si>
    <t xml:space="preserve">WATZMAN ROGER T </t>
  </si>
  <si>
    <t>129 MERIDAN ST</t>
  </si>
  <si>
    <t>WATZMAN ROGER T</t>
  </si>
  <si>
    <t>WORK NICKOLAUS A &amp; NATALIE R (W)</t>
  </si>
  <si>
    <t>RELIANCE FIRST CAPITA</t>
  </si>
  <si>
    <t xml:space="preserve">MILLER REGINA A                                 </t>
  </si>
  <si>
    <t>432 EDITH ST</t>
  </si>
  <si>
    <t xml:space="preserve">VERZI DENISE L </t>
  </si>
  <si>
    <t>469 EDITH ST</t>
  </si>
  <si>
    <t xml:space="preserve">PERRI SAMANTINA M                               </t>
  </si>
  <si>
    <t>510 AUGUSTA ST</t>
  </si>
  <si>
    <t>SCHMIDT MICHAEL D &amp; DIANE C (W)</t>
  </si>
  <si>
    <t>502 AUGUSTA ST</t>
  </si>
  <si>
    <t>WORRY FREE PROPERTY  INVESTMENTS LLC</t>
  </si>
  <si>
    <t>426 AUGUSTA ST</t>
  </si>
  <si>
    <t>WORRY FREE PROPERTY I</t>
  </si>
  <si>
    <t>474 WYOLA ST</t>
  </si>
  <si>
    <t xml:space="preserve">GREAVES JING HAO </t>
  </si>
  <si>
    <t>458 WYOLA ST</t>
  </si>
  <si>
    <t>GREAVES JING HAO</t>
  </si>
  <si>
    <t>W 2ND ST</t>
  </si>
  <si>
    <t>STEELE NATHAN JAMES &amp; JUSTINE WENTZ (W)</t>
  </si>
  <si>
    <t>454 WYOLA ST</t>
  </si>
  <si>
    <t>STEELE NATHAN JAMES &amp;</t>
  </si>
  <si>
    <t>WYOLA ST</t>
  </si>
  <si>
    <t>LINGERFIELD MICHAEL &amp; JESSICA (W)</t>
  </si>
  <si>
    <t>450 WYOLA ST</t>
  </si>
  <si>
    <t>NHG-EP DEVELOPMENT  GROUP LLC</t>
  </si>
  <si>
    <t>440 WYOLA ST</t>
  </si>
  <si>
    <t>NHG-EP DEVELOPMENT GR</t>
  </si>
  <si>
    <t>S BAYSHORE DR UNIT 1901S</t>
  </si>
  <si>
    <t xml:space="preserve">PICKLE DIANE </t>
  </si>
  <si>
    <t>411 WYOLA ST</t>
  </si>
  <si>
    <t xml:space="preserve">CRISTINA BLYMILLER  REVOCABLE TRUST         </t>
  </si>
  <si>
    <t>467 WYOLA ST</t>
  </si>
  <si>
    <t>CRISTINA BLYMILLER RE</t>
  </si>
  <si>
    <t>JONES JOHN D &amp; GLORIA A (W)</t>
  </si>
  <si>
    <t>0 WYOLA ST</t>
  </si>
  <si>
    <t>JONES JOHN D &amp; GLORIA</t>
  </si>
  <si>
    <t>VIA DE LA VALLE STE G301</t>
  </si>
  <si>
    <t xml:space="preserve">SWEET WOODLANDS INC </t>
  </si>
  <si>
    <t>472 SWEETBRIAR ST</t>
  </si>
  <si>
    <t xml:space="preserve">LIU SISI                                        </t>
  </si>
  <si>
    <t>450 SWEETBRIAR ST</t>
  </si>
  <si>
    <t>SISI LIU ALLAN M CHEN</t>
  </si>
  <si>
    <t>DIBELLO CHARLES V &amp; NINA M (W)</t>
  </si>
  <si>
    <t>452 SWEETBRIAR ST</t>
  </si>
  <si>
    <t xml:space="preserve">SANTI JUSTIN &amp;                         </t>
  </si>
  <si>
    <t>454 SWEETBRIAR ST</t>
  </si>
  <si>
    <t>SANTI JUSTIN &amp; SWISHE</t>
  </si>
  <si>
    <t xml:space="preserve">LYNCH TERRANCE J </t>
  </si>
  <si>
    <t>254 PLYMOUTH ST</t>
  </si>
  <si>
    <t>SHADOWLAWN AVE</t>
  </si>
  <si>
    <t>LYNCH TERRANCE J &amp; TRACEY L FRANCIS</t>
  </si>
  <si>
    <t>246 PLYMOUTH ST</t>
  </si>
  <si>
    <t xml:space="preserve">RUSH JOSHUA M                                   </t>
  </si>
  <si>
    <t>237 PLYMOUTH ST</t>
  </si>
  <si>
    <t>SUMNER ST UNIT 2727</t>
  </si>
  <si>
    <t xml:space="preserve">BECHTOLD DAVID M </t>
  </si>
  <si>
    <t>1320 W SYCAMORE ST</t>
  </si>
  <si>
    <t>BECHTOLD DAVID M</t>
  </si>
  <si>
    <t>1318 W SYCAMORE ST</t>
  </si>
  <si>
    <t xml:space="preserve">MCCONNELL MATTHEW J </t>
  </si>
  <si>
    <t>308 ONEIDA ST</t>
  </si>
  <si>
    <t xml:space="preserve">K2 HOMES LLC </t>
  </si>
  <si>
    <t>304 ONEIDA ST</t>
  </si>
  <si>
    <t>MOODY RD</t>
  </si>
  <si>
    <t>MCLAUGHLIN ARTHUR JAMES &amp; NANNETTE M (W)</t>
  </si>
  <si>
    <t>196 ONEIDA ST</t>
  </si>
  <si>
    <t xml:space="preserve">BALDRIGE ANN M </t>
  </si>
  <si>
    <t>313 ONEIDA ST</t>
  </si>
  <si>
    <t>CRAMER DANIEL F &amp; ANNE M (W)</t>
  </si>
  <si>
    <t>1215 W SYCAMORE ST</t>
  </si>
  <si>
    <t>CRAMER DANIEL F &amp; ANN</t>
  </si>
  <si>
    <t>KOHNFELDER GENEVIEVE  &amp; ALBERT R (H)</t>
  </si>
  <si>
    <t>251 ONEIDA ST</t>
  </si>
  <si>
    <t xml:space="preserve">BROWN RUTH P                                    </t>
  </si>
  <si>
    <t>221 ONEIDA ST</t>
  </si>
  <si>
    <t xml:space="preserve">FAUST LAURA J </t>
  </si>
  <si>
    <t>306 MERIDAN ST</t>
  </si>
  <si>
    <t>MAVROGEORGIS MATTHEOS G &amp; HRISI (W)</t>
  </si>
  <si>
    <t>302 MERIDAN ST</t>
  </si>
  <si>
    <t xml:space="preserve">SPRINT </t>
  </si>
  <si>
    <t>1213 W SYCAMORE ST</t>
  </si>
  <si>
    <t>SPRINT</t>
  </si>
  <si>
    <t>PO BOX 85022</t>
  </si>
  <si>
    <t xml:space="preserve">KEEFE JOHN J </t>
  </si>
  <si>
    <t>220 MERIDAN ST</t>
  </si>
  <si>
    <t xml:space="preserve">KONDOR BENJAMIN </t>
  </si>
  <si>
    <t>243 MERIDAN ST</t>
  </si>
  <si>
    <t xml:space="preserve">SUKOLSKY GARY A </t>
  </si>
  <si>
    <t>208 HALLOCK ST</t>
  </si>
  <si>
    <t>KINGSTON DR</t>
  </si>
  <si>
    <t xml:space="preserve">WEISS HENRY A &amp; EVELYN J </t>
  </si>
  <si>
    <t>162 HALLOCK ST</t>
  </si>
  <si>
    <t xml:space="preserve">FOIZEY BRET A </t>
  </si>
  <si>
    <t>169 HALLOCK ST</t>
  </si>
  <si>
    <t>CLIFFORD C WISE  REVOCABLE LIVING TRUST</t>
  </si>
  <si>
    <t>203 HALLOCK ST</t>
  </si>
  <si>
    <t>CLIFFORD C WISE REVOC</t>
  </si>
  <si>
    <t>PO BOX 366</t>
  </si>
  <si>
    <t xml:space="preserve">KIM RUSSELL </t>
  </si>
  <si>
    <t>230 OLYMPIA ST</t>
  </si>
  <si>
    <t xml:space="preserve">KING KATHLEEN </t>
  </si>
  <si>
    <t>208 OLYMPIA ST</t>
  </si>
  <si>
    <t>MANNINO SAMANTHA A &amp; JOSEPH M (H)</t>
  </si>
  <si>
    <t>152 OLYMPIA ST</t>
  </si>
  <si>
    <t xml:space="preserve">DIFENDERFER WILLIAM  QUINN                   </t>
  </si>
  <si>
    <t>229 OLYMPIA ST</t>
  </si>
  <si>
    <t>DIFENDERFER WILLIAM Q</t>
  </si>
  <si>
    <t xml:space="preserve">FLORA BETTY KATHLEEN                            </t>
  </si>
  <si>
    <t>237 OLYMPIA ST</t>
  </si>
  <si>
    <t>FLORA BETTY KATHLEEN</t>
  </si>
  <si>
    <t xml:space="preserve">LEBOVITZ EVAN E </t>
  </si>
  <si>
    <t>232 LABELLE ST</t>
  </si>
  <si>
    <t xml:space="preserve">FULLERTON EMILY M </t>
  </si>
  <si>
    <t>152 LABELLE ST</t>
  </si>
  <si>
    <t xml:space="preserve">KAPP JAMES </t>
  </si>
  <si>
    <t>43 INDEPENDENCE ST</t>
  </si>
  <si>
    <t>AL SMITH DR</t>
  </si>
  <si>
    <t>41 INDEPENDENCE ST</t>
  </si>
  <si>
    <t>0 MAIN ST</t>
  </si>
  <si>
    <t>AMEND GEORGE  &amp; FRANCES V (W)</t>
  </si>
  <si>
    <t>616 CHESS ST</t>
  </si>
  <si>
    <t>AMEND GEORGE  &amp; FRANC</t>
  </si>
  <si>
    <t>CHESS ST</t>
  </si>
  <si>
    <t>618 CHESS ST</t>
  </si>
  <si>
    <t xml:space="preserve">LYNCH TERRENCE J </t>
  </si>
  <si>
    <t>635 CHESS ST</t>
  </si>
  <si>
    <t>THOMAS KEVIN &amp; TINA JANET (W)</t>
  </si>
  <si>
    <t>400 SIMMS ST</t>
  </si>
  <si>
    <t>THOMAS KEVIN &amp; TINA J</t>
  </si>
  <si>
    <t>SIMMS ST</t>
  </si>
  <si>
    <t xml:space="preserve">BOBAK RICHARD N </t>
  </si>
  <si>
    <t>612 SOUTHERN AVE</t>
  </si>
  <si>
    <t>BOBAK RICHARD N</t>
  </si>
  <si>
    <t>WERTZ BRIAN J &amp; SANDRA L (W)</t>
  </si>
  <si>
    <t>620 GRIFFIN ST</t>
  </si>
  <si>
    <t xml:space="preserve">AMAGU 4 LEILA LLC </t>
  </si>
  <si>
    <t>4 LELIA ST</t>
  </si>
  <si>
    <t>HARTLEY JOHN R JR &amp; MARY E (W)</t>
  </si>
  <si>
    <t>3 LELIA ST</t>
  </si>
  <si>
    <t>BUILDINGS &amp; BUILDERS COMPANY LLC</t>
  </si>
  <si>
    <t xml:space="preserve">BUILDINGS &amp; BUILDERS </t>
  </si>
  <si>
    <t xml:space="preserve">WITTMER LYNDA C </t>
  </si>
  <si>
    <t>258 SOUTHERN AVE</t>
  </si>
  <si>
    <t>253 SOUTHERN AVE</t>
  </si>
  <si>
    <t>HARPER DEBORAH L &amp; JAMES (H)</t>
  </si>
  <si>
    <t>502 GRIFFIN ST</t>
  </si>
  <si>
    <t>GRIFFIN ST</t>
  </si>
  <si>
    <t xml:space="preserve">DINNER BELL INC </t>
  </si>
  <si>
    <t xml:space="preserve">HARVEY LAWRENCE J </t>
  </si>
  <si>
    <t>514 GRIFFIN ST</t>
  </si>
  <si>
    <t xml:space="preserve">CRUZ JOSE </t>
  </si>
  <si>
    <t>512 GRIFFIN ST</t>
  </si>
  <si>
    <t>CRUZ JOSE</t>
  </si>
  <si>
    <t>LEAP RICHARD E &amp; JUDITH A (W)</t>
  </si>
  <si>
    <t>0 GRIFFIN ST</t>
  </si>
  <si>
    <t>LEAP RICHARD E &amp; JUDI</t>
  </si>
  <si>
    <t>BOGGS AVE 914</t>
  </si>
  <si>
    <t xml:space="preserve">MUNGER LAURET C </t>
  </si>
  <si>
    <t>607 GRIFFIN ST</t>
  </si>
  <si>
    <t xml:space="preserve">BEATTIE PATRICIA </t>
  </si>
  <si>
    <t>604 MINDORA ST</t>
  </si>
  <si>
    <t>BELLINI ANTHONY G &amp; DIANA G (W)</t>
  </si>
  <si>
    <t>436 BOGGS AVE</t>
  </si>
  <si>
    <t>BELLINI ANTHONY G</t>
  </si>
  <si>
    <t>N COLLIER BLVD IDA 5</t>
  </si>
  <si>
    <t>MARCO ISLAND</t>
  </si>
  <si>
    <t xml:space="preserve">DAOUD FAYEZ M </t>
  </si>
  <si>
    <t>516 BOGGS AVE</t>
  </si>
  <si>
    <t xml:space="preserve">610 BOGGS LLC </t>
  </si>
  <si>
    <t>610 BOGGS AVE</t>
  </si>
  <si>
    <t>610 BOGGS LLC</t>
  </si>
  <si>
    <t xml:space="preserve">GIANNETTI BRITTNEY </t>
  </si>
  <si>
    <t>260 LELIA ST</t>
  </si>
  <si>
    <t xml:space="preserve">CANTU KRISTEN N </t>
  </si>
  <si>
    <t>245 LELIA ST</t>
  </si>
  <si>
    <t>MISSION DEVELOPMENT  GROUP LLC</t>
  </si>
  <si>
    <t>250 PAUL ST</t>
  </si>
  <si>
    <t>MISSION DEVELOPMENT G</t>
  </si>
  <si>
    <t xml:space="preserve">CALABRESE STEPHEN </t>
  </si>
  <si>
    <t>239 PAUL ST</t>
  </si>
  <si>
    <t xml:space="preserve">RUSSELL EMILEE </t>
  </si>
  <si>
    <t>227 PAUL ST</t>
  </si>
  <si>
    <t xml:space="preserve">JOHNSON JAIME ELLEN </t>
  </si>
  <si>
    <t>216 ALBERT ST</t>
  </si>
  <si>
    <t xml:space="preserve">BRUNER JAMES R </t>
  </si>
  <si>
    <t>244 ALBERT ST</t>
  </si>
  <si>
    <t xml:space="preserve">JEZZI TONY L </t>
  </si>
  <si>
    <t>217 ALBERT ST</t>
  </si>
  <si>
    <t>ALBERT ST</t>
  </si>
  <si>
    <t xml:space="preserve">FRIEND MICHELLE LYNN </t>
  </si>
  <si>
    <t>443 BOGGS AVE</t>
  </si>
  <si>
    <t xml:space="preserve">MONARCHS PROPERTIES LLC </t>
  </si>
  <si>
    <t>212 EUTAW ST</t>
  </si>
  <si>
    <t>MONARCHS PROPERTIES L</t>
  </si>
  <si>
    <t xml:space="preserve">HELD GRACE                                      </t>
  </si>
  <si>
    <t>0 EUTAW ST</t>
  </si>
  <si>
    <t xml:space="preserve">GUGLIELMO EUGENE J </t>
  </si>
  <si>
    <t>273 ALBERT ST</t>
  </si>
  <si>
    <t>GUGLIELMO EUGENE J</t>
  </si>
  <si>
    <t>PO BOX 44</t>
  </si>
  <si>
    <t xml:space="preserve">RAHUBA ROBERT M </t>
  </si>
  <si>
    <t>45 PAUL ST</t>
  </si>
  <si>
    <t xml:space="preserve">MCVICKER DANIEL SCOTT JR </t>
  </si>
  <si>
    <t>277 PAUL ST</t>
  </si>
  <si>
    <t>MCVICKER DANIEL SCOTT</t>
  </si>
  <si>
    <t>281 PAUL ST</t>
  </si>
  <si>
    <t>LA RUSSO SADYE</t>
  </si>
  <si>
    <t xml:space="preserve">DEFRANCO BRYAN DANIEL </t>
  </si>
  <si>
    <t>283 PAUL ST</t>
  </si>
  <si>
    <t xml:space="preserve">288 PAUL LLC </t>
  </si>
  <si>
    <t>288 PAUL ST</t>
  </si>
  <si>
    <t>288 PAUL LLC</t>
  </si>
  <si>
    <t>MEDALLION WAY</t>
  </si>
  <si>
    <t>LODI</t>
  </si>
  <si>
    <t xml:space="preserve">MESICH ZAKARY </t>
  </si>
  <si>
    <t>269 LELIA ST</t>
  </si>
  <si>
    <t xml:space="preserve">LYNCH TERRANCE </t>
  </si>
  <si>
    <t>114 RUTH ST</t>
  </si>
  <si>
    <t xml:space="preserve">UTZIG AMANDA L </t>
  </si>
  <si>
    <t>654 SOUTHERN AVE</t>
  </si>
  <si>
    <t xml:space="preserve">KOVAL LINDA K </t>
  </si>
  <si>
    <t>656 SOUTHERN AVE</t>
  </si>
  <si>
    <t xml:space="preserve">MYFORD RYAN                                     </t>
  </si>
  <si>
    <t>660 SOUTHERN AVE</t>
  </si>
  <si>
    <t>MYFORD RYAN</t>
  </si>
  <si>
    <t xml:space="preserve">KRISTEN MIRRA M </t>
  </si>
  <si>
    <t>718 SOUTHERN AVE</t>
  </si>
  <si>
    <t>727 WILLS ST</t>
  </si>
  <si>
    <t xml:space="preserve">ANOIA DAVID F </t>
  </si>
  <si>
    <t>731 WILLS ST</t>
  </si>
  <si>
    <t xml:space="preserve">RIMOCH EVYATAR </t>
  </si>
  <si>
    <t>732 BOGGS AVE</t>
  </si>
  <si>
    <t xml:space="preserve">FELEY SARA                                      </t>
  </si>
  <si>
    <t>6 SOFFEL ST</t>
  </si>
  <si>
    <t xml:space="preserve">MALMSTEN SUZANN M                               </t>
  </si>
  <si>
    <t>12 SOFFEL ST</t>
  </si>
  <si>
    <t>FORD ST</t>
  </si>
  <si>
    <t>23 SOFFEL ST</t>
  </si>
  <si>
    <t>631 SOUTHERN AVE</t>
  </si>
  <si>
    <t xml:space="preserve">MEISSNAR BENJAMIN J </t>
  </si>
  <si>
    <t>628 GRIFFIN ST</t>
  </si>
  <si>
    <t xml:space="preserve">SCARPACI RICHARD </t>
  </si>
  <si>
    <t>0 MINDORA ST</t>
  </si>
  <si>
    <t>636 MINDORA ST</t>
  </si>
  <si>
    <t xml:space="preserve">TULENKO MICHAEL </t>
  </si>
  <si>
    <t>626 BOGGS AVE</t>
  </si>
  <si>
    <t xml:space="preserve">ARIKURT MEHMET </t>
  </si>
  <si>
    <t>620 BOGGS AVE</t>
  </si>
  <si>
    <t>ARIKURT MEHMET</t>
  </si>
  <si>
    <t>CAMELOT DR APT 10</t>
  </si>
  <si>
    <t xml:space="preserve">RISK MAUREEN GIRTY                              </t>
  </si>
  <si>
    <t>625 BOGGS AVE</t>
  </si>
  <si>
    <t xml:space="preserve">RISK MAUREEN GIRTY % </t>
  </si>
  <si>
    <t>REBUPLIC AVE</t>
  </si>
  <si>
    <t>INDIANOLA</t>
  </si>
  <si>
    <t xml:space="preserve">SITERS JOHN S &amp; KAY (W) </t>
  </si>
  <si>
    <t>629 BOGGS AVE</t>
  </si>
  <si>
    <t>SITERS JOHN S &amp; KAY (</t>
  </si>
  <si>
    <t xml:space="preserve">REYNOLDS MICHAEL </t>
  </si>
  <si>
    <t>645 BOGGS AVE</t>
  </si>
  <si>
    <t>HILLCREST DR</t>
  </si>
  <si>
    <t>651 BOGGS AVE</t>
  </si>
  <si>
    <t xml:space="preserve">MOJICA NOEL B                                   </t>
  </si>
  <si>
    <t>721 BOGGS AVE</t>
  </si>
  <si>
    <t>MOJICA NOEL B</t>
  </si>
  <si>
    <t>E WALNUT AVE</t>
  </si>
  <si>
    <t>ORANGE</t>
  </si>
  <si>
    <t>QUALITY COMPANION HOME  CARE LLC</t>
  </si>
  <si>
    <t>646 CURTIS ST</t>
  </si>
  <si>
    <t>QUALITY COMPANION HOM</t>
  </si>
  <si>
    <t>SILVER LN</t>
  </si>
  <si>
    <t xml:space="preserve">AU/AG ENTERPRISE LLC </t>
  </si>
  <si>
    <t>644 CURTIS ST</t>
  </si>
  <si>
    <t>AU/AG ENTERPRISE LLC</t>
  </si>
  <si>
    <t>642 CURTIS ST</t>
  </si>
  <si>
    <t>CURTIS RD</t>
  </si>
  <si>
    <t xml:space="preserve">BLAKELEY PATRICK </t>
  </si>
  <si>
    <t>640 CURTIS ST</t>
  </si>
  <si>
    <t>HIGH OAK PL</t>
  </si>
  <si>
    <t xml:space="preserve">CLUTTER ROBERT </t>
  </si>
  <si>
    <t>244 JASPER ST</t>
  </si>
  <si>
    <t>KENNETH A. SENOSKI</t>
  </si>
  <si>
    <t>JASPER ST</t>
  </si>
  <si>
    <t xml:space="preserve">MILITZER BRIAN DAVID </t>
  </si>
  <si>
    <t>207 W WARRINGTON AVE</t>
  </si>
  <si>
    <t>816 SOUTHERN AVE</t>
  </si>
  <si>
    <t xml:space="preserve">PEREGONCEVA ANZELA                              </t>
  </si>
  <si>
    <t>806 SOUTHERN AVE</t>
  </si>
  <si>
    <t>821 SOUTHERN AVE</t>
  </si>
  <si>
    <t>KALAKEWICH RYAN D &amp; NICOLE A (W)</t>
  </si>
  <si>
    <t>110 MINSINGER ST</t>
  </si>
  <si>
    <t>LANGBEIN PAUL F &amp; DEBRA A (W)</t>
  </si>
  <si>
    <t>315 DAWN AVE</t>
  </si>
  <si>
    <t>BELLINGHAM AVE</t>
  </si>
  <si>
    <t xml:space="preserve">LANGBEIN PAUL F </t>
  </si>
  <si>
    <t>311 DAWN AVE</t>
  </si>
  <si>
    <t xml:space="preserve">STEELE BARBARA A </t>
  </si>
  <si>
    <t>97 DAWN AVE</t>
  </si>
  <si>
    <t>DAWN AVE</t>
  </si>
  <si>
    <t xml:space="preserve">EDWARDS VICTOR W </t>
  </si>
  <si>
    <t>95 DAWN AVE</t>
  </si>
  <si>
    <t xml:space="preserve">O'PATCHEN  HAYLEY  RAE </t>
  </si>
  <si>
    <t>93 DAWN AVE</t>
  </si>
  <si>
    <t>O'PATCHEN  HAYLEY  RA</t>
  </si>
  <si>
    <t xml:space="preserve">DIPERNA CARL P </t>
  </si>
  <si>
    <t>907 SHADYCREST RD</t>
  </si>
  <si>
    <t>COMPTON ST</t>
  </si>
  <si>
    <t>WADE JOHN M &amp; BRENDA M (W)</t>
  </si>
  <si>
    <t>831 SHADYCREST RD</t>
  </si>
  <si>
    <t>SHADYCREST RD</t>
  </si>
  <si>
    <t xml:space="preserve">GEISLER JONATHAN T </t>
  </si>
  <si>
    <t>834 SHADYCREST RD</t>
  </si>
  <si>
    <t>AMERICAN FINANCIAL MO</t>
  </si>
  <si>
    <t xml:space="preserve">CERRO CATHERINE R                               </t>
  </si>
  <si>
    <t>956 TROPICAL AVE</t>
  </si>
  <si>
    <t>TROPICAL AVE</t>
  </si>
  <si>
    <t>ROOT WALLACE E &amp; SIMONE G</t>
  </si>
  <si>
    <t>969 TROPICAL AVE</t>
  </si>
  <si>
    <t>ENGLEWOOD RD</t>
  </si>
  <si>
    <t>PORT CHARLOTTE</t>
  </si>
  <si>
    <t>ROOT WALLACE E &amp; SIMONE G (W)</t>
  </si>
  <si>
    <t xml:space="preserve">PETRUZZI ANTHONY J </t>
  </si>
  <si>
    <t>203 SHADYGROVE AVE</t>
  </si>
  <si>
    <t>PETRUZZI ANTHONY J</t>
  </si>
  <si>
    <t>HOBBS MARTIN LEWIS &amp; LYNN ANN (W)</t>
  </si>
  <si>
    <t>1005 GLADYS AVE</t>
  </si>
  <si>
    <t>GLADYS AVE</t>
  </si>
  <si>
    <t>DELGATTI RALPH  &amp; DORA M (W)</t>
  </si>
  <si>
    <t>0 GLADYS AVE</t>
  </si>
  <si>
    <t>DELGATTI RALPH  &amp; DOR</t>
  </si>
  <si>
    <t>PROVOST RD</t>
  </si>
  <si>
    <t>CHENGERY ALBERT E &amp; ELIZABETH A WISNIEWS KI</t>
  </si>
  <si>
    <t>911 TROPICAL AVE</t>
  </si>
  <si>
    <t xml:space="preserve">MURPHY KEVIN J </t>
  </si>
  <si>
    <t>914 GLADYS AVE</t>
  </si>
  <si>
    <t xml:space="preserve">CAMPAGNA LOUIS M </t>
  </si>
  <si>
    <t>963 GLADYS AVE</t>
  </si>
  <si>
    <t>MAYBERRY RAYMOND G III &amp; FRANCINE S (W)</t>
  </si>
  <si>
    <t>1005 LOWENHILL ST</t>
  </si>
  <si>
    <t>MAYBERRY RAYMOND G II</t>
  </si>
  <si>
    <t>BEACON DR</t>
  </si>
  <si>
    <t>SHADYCREST CT</t>
  </si>
  <si>
    <t>BEECHVIEW JUST VISITING  LLC</t>
  </si>
  <si>
    <t>300 LOWENHILL ST</t>
  </si>
  <si>
    <t>BEECHVIEW JUST VISITI</t>
  </si>
  <si>
    <t>BROADWAY AVE STE 200</t>
  </si>
  <si>
    <t xml:space="preserve">DEMARCO SAMUEL J </t>
  </si>
  <si>
    <t>0 BELASCO AVE</t>
  </si>
  <si>
    <t>HOLLYWOOD</t>
  </si>
  <si>
    <t xml:space="preserve">RICHARDS DONALD W </t>
  </si>
  <si>
    <t>1211 METHYL ST</t>
  </si>
  <si>
    <t xml:space="preserve">CONRAD ALLEN W </t>
  </si>
  <si>
    <t>1206 BEECHVIEW AVE</t>
  </si>
  <si>
    <t xml:space="preserve">GITZEN MARY </t>
  </si>
  <si>
    <t>1205 BEECHVIEW AVE</t>
  </si>
  <si>
    <t xml:space="preserve">CARBERRY ADAM S                                 </t>
  </si>
  <si>
    <t>1112 GLADYS AVE</t>
  </si>
  <si>
    <t>CARDO EQUITY MANAGEMENT  LLC</t>
  </si>
  <si>
    <t>1103 TROPICAL AVE</t>
  </si>
  <si>
    <t>CARDO EQUITY MANAGEME</t>
  </si>
  <si>
    <t xml:space="preserve">KEADY NIKKI </t>
  </si>
  <si>
    <t>0 CRANE AVE</t>
  </si>
  <si>
    <t>MCMONAGLE AVE</t>
  </si>
  <si>
    <t xml:space="preserve">MILLER DINA FRAZETTA </t>
  </si>
  <si>
    <t>FIRWOOD DR</t>
  </si>
  <si>
    <t xml:space="preserve">MOORE PAULETTE MCDOUGAL                         </t>
  </si>
  <si>
    <t>1015 GLADYS AVE</t>
  </si>
  <si>
    <t>MOORE PAULETTE MCDOUG</t>
  </si>
  <si>
    <t>MITCHELL ANTHONY F &amp; THERESA (W)</t>
  </si>
  <si>
    <t xml:space="preserve">DOUGHERTY MATTHEW J </t>
  </si>
  <si>
    <t>1203 FALLOWFIELD AVE</t>
  </si>
  <si>
    <t>PRICE RD</t>
  </si>
  <si>
    <t xml:space="preserve">BONDI JOSEPH JOHN 1/18                          </t>
  </si>
  <si>
    <t>0 FALLOWFIELD AVE</t>
  </si>
  <si>
    <t>BONDI JOSEPH JOHN 1/1</t>
  </si>
  <si>
    <t>FLORENCE DR</t>
  </si>
  <si>
    <t xml:space="preserve">HERON LYNDA </t>
  </si>
  <si>
    <t>1108 DAGMAR AVE</t>
  </si>
  <si>
    <t xml:space="preserve">GERSTER DAVID A &amp; KATHERINE M (W)         </t>
  </si>
  <si>
    <t>1122 LOWENHILL ST</t>
  </si>
  <si>
    <t>LOWEN HILL ST</t>
  </si>
  <si>
    <t xml:space="preserve">WIGLE SHAWN &amp; KELLY (W) </t>
  </si>
  <si>
    <t>654 CRANE AVE</t>
  </si>
  <si>
    <t>CRANE AVE</t>
  </si>
  <si>
    <t xml:space="preserve">CUSHENBERRY AUSTIN </t>
  </si>
  <si>
    <t>322 CRANE AVE</t>
  </si>
  <si>
    <t xml:space="preserve">IHHWT LLC </t>
  </si>
  <si>
    <t>322 CRANE AVE REAR</t>
  </si>
  <si>
    <t>IHHWT LLC</t>
  </si>
  <si>
    <t>MURRAY AVE STE 81065</t>
  </si>
  <si>
    <t xml:space="preserve">MARTINI DIANA                                   </t>
  </si>
  <si>
    <t>ROSEGARDEN RD</t>
  </si>
  <si>
    <t xml:space="preserve">YOUNG EDWARD L </t>
  </si>
  <si>
    <t>0 NAPOLEON ST</t>
  </si>
  <si>
    <t>BANKSVILLE AVE</t>
  </si>
  <si>
    <t xml:space="preserve">PIVIROTTO ANTHONY </t>
  </si>
  <si>
    <t>0 ALVERADO AVE</t>
  </si>
  <si>
    <t xml:space="preserve">RAMIREZ RICARDO </t>
  </si>
  <si>
    <t>RIVERSIDE PL APT 34C</t>
  </si>
  <si>
    <t xml:space="preserve">FARAH HASSAN </t>
  </si>
  <si>
    <t>WESTFIELD ST</t>
  </si>
  <si>
    <t>1326 BELASCO AVE</t>
  </si>
  <si>
    <t>FARAH HASSAN</t>
  </si>
  <si>
    <t xml:space="preserve">PALASHOFF MARK R </t>
  </si>
  <si>
    <t>1331 BELASCO AVE</t>
  </si>
  <si>
    <t>BELASCO AVE</t>
  </si>
  <si>
    <t>ENGLISH JAMES  &amp; DAVID ENGLISH</t>
  </si>
  <si>
    <t>BAYRIDGE AVE</t>
  </si>
  <si>
    <t>MICHELOTTI ERIC S &amp; SUSAN (W)</t>
  </si>
  <si>
    <t>MICHELOTTI ERIC S &amp; S</t>
  </si>
  <si>
    <t xml:space="preserve">MALONEY EDWARD B </t>
  </si>
  <si>
    <t>1319 BELASCO AVE</t>
  </si>
  <si>
    <t>BELASCO ST</t>
  </si>
  <si>
    <t xml:space="preserve">WALSH SEAN M &amp; MARGARET C (W)          </t>
  </si>
  <si>
    <t>LESNETT RD</t>
  </si>
  <si>
    <t>WALSH SEAN M &amp; MARGARET C (W)</t>
  </si>
  <si>
    <t>1311 BELASCO AVE</t>
  </si>
  <si>
    <t>WALSH SEAN M &amp; MARGAR</t>
  </si>
  <si>
    <t>GREENFIELD DR</t>
  </si>
  <si>
    <t xml:space="preserve">BREDAHL RONALD </t>
  </si>
  <si>
    <t>1310 RUTHERFORD AVE</t>
  </si>
  <si>
    <t xml:space="preserve">RITCHIE KAYLEE MAE                              </t>
  </si>
  <si>
    <t>0 RUTHERFORD AVE</t>
  </si>
  <si>
    <t>NORKEVICUS ERIC &amp; SHERRY (W)</t>
  </si>
  <si>
    <t>1340 RUTHERFORD AVE</t>
  </si>
  <si>
    <t>NORKEVICUS ERIC &amp; SHE</t>
  </si>
  <si>
    <t xml:space="preserve">JONES THOMAS E &amp; PATRICIA A (W)          </t>
  </si>
  <si>
    <t>0 METHYL ST</t>
  </si>
  <si>
    <t xml:space="preserve">HUMMEL JULIE L </t>
  </si>
  <si>
    <t>1324 METHYL ST</t>
  </si>
  <si>
    <t>1400 METHYL ST</t>
  </si>
  <si>
    <t>CONNOLLY SEAN MICHAEL &amp; PATRICK LAURENCE  CONNOL</t>
  </si>
  <si>
    <t>1339 METHYL ST</t>
  </si>
  <si>
    <t>CONNOLLY SEAN MICHAEL</t>
  </si>
  <si>
    <t xml:space="preserve">LOPEZ PEDRO </t>
  </si>
  <si>
    <t>1317 METHYL ST</t>
  </si>
  <si>
    <t xml:space="preserve">ABBOTSINCH RENTAL  HOUSING SPV LLC         </t>
  </si>
  <si>
    <t>1305 METHYL ST</t>
  </si>
  <si>
    <t>ABBOTSINCH RENTAL HOU</t>
  </si>
  <si>
    <t>B MCKNIGHT RD STE 227</t>
  </si>
  <si>
    <t xml:space="preserve">BROCCOLO ANTHONY C </t>
  </si>
  <si>
    <t>SUPERIOR ST</t>
  </si>
  <si>
    <t xml:space="preserve">BOUBETTATHE NOUREDDINE </t>
  </si>
  <si>
    <t>1300 BEECHVIEW AVE</t>
  </si>
  <si>
    <t>BOUBETTATHE NOUREDDIN</t>
  </si>
  <si>
    <t>PARKLINE DR APT 6</t>
  </si>
  <si>
    <t xml:space="preserve">HERNANDEZ PAUL A </t>
  </si>
  <si>
    <t>0 BEECHVIEW AVE</t>
  </si>
  <si>
    <t>9TH ST</t>
  </si>
  <si>
    <t>UNION CITY</t>
  </si>
  <si>
    <t>SCHUBERT FLOYD JOSEPH &amp; MARILYN (W)</t>
  </si>
  <si>
    <t>1406 BEECHVIEW AVE</t>
  </si>
  <si>
    <t xml:space="preserve">LOGAN RENEE </t>
  </si>
  <si>
    <t>1327 BEECHVIEW AVE</t>
  </si>
  <si>
    <t>LOGAN RENEE</t>
  </si>
  <si>
    <t xml:space="preserve">MILLER W TYRONE                                 </t>
  </si>
  <si>
    <t>1307 BEECHVIEW AVE</t>
  </si>
  <si>
    <t>AJA CAPITAL MANAGEMENT  LLC</t>
  </si>
  <si>
    <t>1301 BEECHVIEW AVE</t>
  </si>
  <si>
    <t>JONES QUENTIN &amp; ONEEKAH O GREEN (W)</t>
  </si>
  <si>
    <t>1330 FALLOWFIELD AVE</t>
  </si>
  <si>
    <t xml:space="preserve">KHALAPUK SIARHEI </t>
  </si>
  <si>
    <t>1306 FALLOWFIELD AVE</t>
  </si>
  <si>
    <t xml:space="preserve">BOVA DIANE M </t>
  </si>
  <si>
    <t>1335 FALLOWFIELD AVE</t>
  </si>
  <si>
    <t>FOREST AVE</t>
  </si>
  <si>
    <t xml:space="preserve">SROKA JACQUELINE A </t>
  </si>
  <si>
    <t>1401 FALLOWFIELD AVE</t>
  </si>
  <si>
    <t>SROKA JACQUELINE A</t>
  </si>
  <si>
    <t xml:space="preserve">KRUGH ROBERT P </t>
  </si>
  <si>
    <t>1406 DAGMAR AVE</t>
  </si>
  <si>
    <t>ACADEMY PL</t>
  </si>
  <si>
    <t xml:space="preserve">FANSIR LLC </t>
  </si>
  <si>
    <t>1400 DAGMAR AVE</t>
  </si>
  <si>
    <t>BELLAIRE AVE</t>
  </si>
  <si>
    <t>SHEPPARD DARRYL V TERRI  G (W)</t>
  </si>
  <si>
    <t>1252 DAGMAR AVE</t>
  </si>
  <si>
    <t>SHEPPARD DARRYL V TER</t>
  </si>
  <si>
    <t xml:space="preserve">MORAN MICHAEL ANDREW </t>
  </si>
  <si>
    <t>1231 DAGMAR AVE</t>
  </si>
  <si>
    <t xml:space="preserve">HAZUDA SHERRY L </t>
  </si>
  <si>
    <t>1401 DAGMAR AVE</t>
  </si>
  <si>
    <t>UNGER JEFFREY W &amp; CANDY M (W)</t>
  </si>
  <si>
    <t>1251 WESTFIELD ST</t>
  </si>
  <si>
    <t xml:space="preserve">PACHECO CARMEN Y </t>
  </si>
  <si>
    <t>1233 ORANGEWOOD AVE</t>
  </si>
  <si>
    <t xml:space="preserve">RECHTER ROBERT JAISON </t>
  </si>
  <si>
    <t>1309 ORANGEWOOD AVE</t>
  </si>
  <si>
    <t>COUNTRY CLUB DRIVE</t>
  </si>
  <si>
    <t>JEANETTE</t>
  </si>
  <si>
    <t xml:space="preserve">NESTOR RONALD W </t>
  </si>
  <si>
    <t>0 LETTIE HILL ST</t>
  </si>
  <si>
    <t>NESTOR RONALD W</t>
  </si>
  <si>
    <t>LETTIE HILL ST</t>
  </si>
  <si>
    <t>1307 LETTIE HILL ST</t>
  </si>
  <si>
    <t xml:space="preserve">STALNAKER WILLIAM THAYER </t>
  </si>
  <si>
    <t>241 DAWN AVE</t>
  </si>
  <si>
    <t xml:space="preserve">GERSTER DONALD J </t>
  </si>
  <si>
    <t>237 DAWN AVE</t>
  </si>
  <si>
    <t>LOWENHILL ST</t>
  </si>
  <si>
    <t xml:space="preserve">STALNKER WILLIAM THAYER </t>
  </si>
  <si>
    <t xml:space="preserve">TURPAK CHRISTOPHER P                            </t>
  </si>
  <si>
    <t>118 SEBRING AVE</t>
  </si>
  <si>
    <t xml:space="preserve">ALLEN STANFIELD </t>
  </si>
  <si>
    <t>0 SEBRING AVE</t>
  </si>
  <si>
    <t xml:space="preserve">STAZER MICHAEL </t>
  </si>
  <si>
    <t>264 SEBRING AVE</t>
  </si>
  <si>
    <t xml:space="preserve">SAVARIAU DONSVILLE </t>
  </si>
  <si>
    <t>275 SEBRING AVE</t>
  </si>
  <si>
    <t>SW 8TH CT</t>
  </si>
  <si>
    <t>POMPANO BEACH</t>
  </si>
  <si>
    <t>IVORY GARY B &amp; JOAN A (W)</t>
  </si>
  <si>
    <t>0 TRAYMORE AVE</t>
  </si>
  <si>
    <t>TRAYMORE AVE</t>
  </si>
  <si>
    <t xml:space="preserve">L &amp; P ENTERPRISES LLC </t>
  </si>
  <si>
    <t>254 TRAYMORE AVE</t>
  </si>
  <si>
    <t>FIRWOOD AVE</t>
  </si>
  <si>
    <t xml:space="preserve">AMPLEEV VIKTOR                                  </t>
  </si>
  <si>
    <t>230 TRAYMORE AVE</t>
  </si>
  <si>
    <t>AMPLEEV VIKTOR</t>
  </si>
  <si>
    <t xml:space="preserve">GOULD JAMES R </t>
  </si>
  <si>
    <t xml:space="preserve">TRAYMORE AVENUE LLC </t>
  </si>
  <si>
    <t>213 TRAYMORE AVE</t>
  </si>
  <si>
    <t xml:space="preserve">MICKELSON ROBERT E </t>
  </si>
  <si>
    <t xml:space="preserve">TAYLOR DARLENE S </t>
  </si>
  <si>
    <t>251 TRAYMORE AVE</t>
  </si>
  <si>
    <t xml:space="preserve">KIWEW HOLDINGS LLC </t>
  </si>
  <si>
    <t>0 PLATT AVE</t>
  </si>
  <si>
    <t>NUSSER JAMES W &amp; ROBIN L (W)</t>
  </si>
  <si>
    <t>117 SEBRING AVE</t>
  </si>
  <si>
    <t xml:space="preserve">PATSEY MARK J </t>
  </si>
  <si>
    <t>116 SEBRING AVE</t>
  </si>
  <si>
    <t xml:space="preserve">MONAGHAN BRYAN C </t>
  </si>
  <si>
    <t>101 HARGROVE ST</t>
  </si>
  <si>
    <t>HARGROVE ST</t>
  </si>
  <si>
    <t xml:space="preserve">P O A CO </t>
  </si>
  <si>
    <t>0 WEST LIBERTY AVE</t>
  </si>
  <si>
    <t>POA CO</t>
  </si>
  <si>
    <t>MANSFIELD AVE</t>
  </si>
  <si>
    <t xml:space="preserve">DANO HOLDINGS LLC </t>
  </si>
  <si>
    <t>1519 WEST LIBERTY AVE</t>
  </si>
  <si>
    <t>BEECHWOOD AVE</t>
  </si>
  <si>
    <t>1515 WEST LIBERTY AVE</t>
  </si>
  <si>
    <t>1501 WEST LIBERTY AVE</t>
  </si>
  <si>
    <t xml:space="preserve">EPERTHENER WILLIAM </t>
  </si>
  <si>
    <t>647 NORTHCREST DR</t>
  </si>
  <si>
    <t>NORTHCREST DR</t>
  </si>
  <si>
    <t>SIROKY GEORGENE M &amp; MARCIA L CHORBA</t>
  </si>
  <si>
    <t>135 LONDON TOWNE DR</t>
  </si>
  <si>
    <t>SIROKY GEORGENE M &amp; M</t>
  </si>
  <si>
    <t>LONDON TOWNE DR</t>
  </si>
  <si>
    <t xml:space="preserve">SEROTA MATTHEW </t>
  </si>
  <si>
    <t>129 LONDON TOWNE DR</t>
  </si>
  <si>
    <t>LONDON TOWN DR</t>
  </si>
  <si>
    <t xml:space="preserve">JONES CASEY EDWARD                              </t>
  </si>
  <si>
    <t>414 CADET AVE</t>
  </si>
  <si>
    <t>MARSH DONALD M JR &amp; BARBARA J (W)</t>
  </si>
  <si>
    <t>1696 PIONEER AVE</t>
  </si>
  <si>
    <t>MARSH DONALD M &amp; BARB</t>
  </si>
  <si>
    <t>TUMUSHIME RICHARD        ETAL</t>
  </si>
  <si>
    <t>1702 PIONEER AVE</t>
  </si>
  <si>
    <t>HOME 4 U PGH LLC</t>
  </si>
  <si>
    <t>ARLA DR</t>
  </si>
  <si>
    <t xml:space="preserve">BIRRIS ASHLEY M </t>
  </si>
  <si>
    <t>612 NORTHCREST DR</t>
  </si>
  <si>
    <t xml:space="preserve">WASIECKO JOSEPH J </t>
  </si>
  <si>
    <t>634 NORTHCREST DR</t>
  </si>
  <si>
    <t>WASIECKO JOSEPH</t>
  </si>
  <si>
    <t>638 NORTHCREST DR</t>
  </si>
  <si>
    <t>NASSIF GEORGE J &amp; LORRAINE B (W)</t>
  </si>
  <si>
    <t>633 LAROSE ST</t>
  </si>
  <si>
    <t>LAROSE ST</t>
  </si>
  <si>
    <t xml:space="preserve">REKASIE ROSE M                                  </t>
  </si>
  <si>
    <t>640 LAROSE ST</t>
  </si>
  <si>
    <t xml:space="preserve">BAUMANN DUANE J </t>
  </si>
  <si>
    <t>0 LINIAL AVE</t>
  </si>
  <si>
    <t xml:space="preserve">BURNS ZOE L </t>
  </si>
  <si>
    <t>430 LEAVITT ST</t>
  </si>
  <si>
    <t xml:space="preserve">MANDARINO STEFANY A </t>
  </si>
  <si>
    <t>473 LEAVITT ST</t>
  </si>
  <si>
    <t xml:space="preserve">CLARK BRENDEN </t>
  </si>
  <si>
    <t>1819 PLAINVIEW AVE</t>
  </si>
  <si>
    <t xml:space="preserve">KULIK ADAM                                      </t>
  </si>
  <si>
    <t>1744 PIONEER AVE</t>
  </si>
  <si>
    <t>KULIK ADAM</t>
  </si>
  <si>
    <t xml:space="preserve">KNUTH ANDREW W III </t>
  </si>
  <si>
    <t>1746 PIONEER AVE</t>
  </si>
  <si>
    <t xml:space="preserve">MARTIN JEFFREY </t>
  </si>
  <si>
    <t>1800 PIONEER AVE</t>
  </si>
  <si>
    <t>1844 PIONEER AVE</t>
  </si>
  <si>
    <t xml:space="preserve">RHPL HOLDINGS LLC </t>
  </si>
  <si>
    <t>1901 PIONEER AVE</t>
  </si>
  <si>
    <t>RHPL HOLDINGS LLC</t>
  </si>
  <si>
    <t xml:space="preserve">SCALES VANESHA </t>
  </si>
  <si>
    <t>1841 PIONEER AVE</t>
  </si>
  <si>
    <t>S KOZARIAN IRREVOCABLE  TRUST</t>
  </si>
  <si>
    <t>S KOZARIAN IRREVOCABL</t>
  </si>
  <si>
    <t xml:space="preserve">KNUTSON JEROME C </t>
  </si>
  <si>
    <t>1508 ALVERADO AVE</t>
  </si>
  <si>
    <t>S ORLANDO AVE UNIT D-15</t>
  </si>
  <si>
    <t>MAITLAND</t>
  </si>
  <si>
    <t xml:space="preserve">DEWALT JOHN </t>
  </si>
  <si>
    <t xml:space="preserve">SEXTON JOHN AM </t>
  </si>
  <si>
    <t>1513 NAPOLEON ST</t>
  </si>
  <si>
    <t xml:space="preserve">BAILEY BEATRICE E </t>
  </si>
  <si>
    <t>NAPOLEON ST</t>
  </si>
  <si>
    <t>LIS INVESTMENT &amp; MANAGEMENT LLC</t>
  </si>
  <si>
    <t>BANKSVILLE RD</t>
  </si>
  <si>
    <t xml:space="preserve">TRUEVINE BAPTIST CHURCH </t>
  </si>
  <si>
    <t xml:space="preserve">MIDAS MANAGEMENT 1 LLC </t>
  </si>
  <si>
    <t>1414 BELASCO AVE</t>
  </si>
  <si>
    <t>MIDAS MANAGEMENT</t>
  </si>
  <si>
    <t xml:space="preserve">GILLNER TIMOTHY J </t>
  </si>
  <si>
    <t xml:space="preserve">BRATHWAITE MARIO </t>
  </si>
  <si>
    <t>FIRST AVE APT 6 V</t>
  </si>
  <si>
    <t>MANJACK JOHN J &amp; DONNA M (W)</t>
  </si>
  <si>
    <t>1512 BELASCO AVE</t>
  </si>
  <si>
    <t>MANJACK JOHN J &amp; DONN</t>
  </si>
  <si>
    <t>TRAVIS JEROME  &amp; MYRA (W)</t>
  </si>
  <si>
    <t>TRACY LUFFY</t>
  </si>
  <si>
    <t>PHILIPS RD</t>
  </si>
  <si>
    <t xml:space="preserve">SAMPSON PAUL S </t>
  </si>
  <si>
    <t>ROSWIN DR</t>
  </si>
  <si>
    <t xml:space="preserve">CONNER JACK </t>
  </si>
  <si>
    <t>1511 BELASCO AVE</t>
  </si>
  <si>
    <t xml:space="preserve">TRUE VINE BAPTIST CHURCH </t>
  </si>
  <si>
    <t>LANG GEORGE EDWARD &amp; CAROL ANNE (W)</t>
  </si>
  <si>
    <t>MALONE RIDGE RD</t>
  </si>
  <si>
    <t xml:space="preserve">MIDAS MANAGEMENT 2 LLC </t>
  </si>
  <si>
    <t>1419 BELASCO AVE</t>
  </si>
  <si>
    <t xml:space="preserve">MIDAS MGMT 3 L L C </t>
  </si>
  <si>
    <t>1413 BELASCO AVE</t>
  </si>
  <si>
    <t xml:space="preserve">ROSSI WILLIAM A &amp; ROSE M </t>
  </si>
  <si>
    <t>PAPALIA PASQUALE L &amp; ROSEMARIE J (W)</t>
  </si>
  <si>
    <t xml:space="preserve">WORMSLEY ROBERT L </t>
  </si>
  <si>
    <t>1531 RUTHERFORD AVE</t>
  </si>
  <si>
    <t xml:space="preserve">WAKEN RISKALLAH </t>
  </si>
  <si>
    <t xml:space="preserve">JONES LISA ANNE </t>
  </si>
  <si>
    <t xml:space="preserve">DABECCO DOUGLAS </t>
  </si>
  <si>
    <t>1426 METHYL ST</t>
  </si>
  <si>
    <t xml:space="preserve">BEECHVIEW COMMUNITY I LP </t>
  </si>
  <si>
    <t>BEECHVIEW COMMUNITY I</t>
  </si>
  <si>
    <t>BROADWAY AVE STE 100</t>
  </si>
  <si>
    <t>CAPITAL EQUITY PARTNERS  LLC</t>
  </si>
  <si>
    <t>ROANOKE 302</t>
  </si>
  <si>
    <t xml:space="preserve">ORIGINIAL RESOURCE INC </t>
  </si>
  <si>
    <t>ORIGINIAL RESOURCE IN</t>
  </si>
  <si>
    <t>SAN FELIPE RD 150-22</t>
  </si>
  <si>
    <t>1519 METHYL ST</t>
  </si>
  <si>
    <t xml:space="preserve">DABECCO DOUGLAS R </t>
  </si>
  <si>
    <t>1515 METHYL ST</t>
  </si>
  <si>
    <t xml:space="preserve">LUCCI KENNETH V </t>
  </si>
  <si>
    <t>1500 BEECHVIEW AVE</t>
  </si>
  <si>
    <t>BREEZEWOOD DR</t>
  </si>
  <si>
    <t xml:space="preserve">LAMPENFELD DAVID C </t>
  </si>
  <si>
    <t>1504 BEECHVIEW AVE</t>
  </si>
  <si>
    <t xml:space="preserve">MICHAEL ELLA INVESTS LP </t>
  </si>
  <si>
    <t>1535 BEECHVIEW AVE</t>
  </si>
  <si>
    <t>MICHAEL ELLA INVESTME</t>
  </si>
  <si>
    <t>RAMSEY ZELINDA &amp; DEBRA PAEZ</t>
  </si>
  <si>
    <t>1523 BEECHVIEW AVE</t>
  </si>
  <si>
    <t>DURHAM AVE</t>
  </si>
  <si>
    <t xml:space="preserve">CIMINO GIOVANNI </t>
  </si>
  <si>
    <t>STRICKLAND RONELL &amp; TALENA (W)</t>
  </si>
  <si>
    <t>1509 BEECHVIEW AVE</t>
  </si>
  <si>
    <t>1423 BEECHVIEW AVE</t>
  </si>
  <si>
    <t>CLEMENT OKOYE</t>
  </si>
  <si>
    <t xml:space="preserve">GRAY LEE E </t>
  </si>
  <si>
    <t>1534 FALLOWFIELD AVE</t>
  </si>
  <si>
    <t xml:space="preserve">CARRAZANA FABIAN </t>
  </si>
  <si>
    <t>1420 FALLOWFIELD AVE</t>
  </si>
  <si>
    <t>GILL HALL RD</t>
  </si>
  <si>
    <t xml:space="preserve">GUNGOR FURKAN </t>
  </si>
  <si>
    <t>1517 FALLOWFIELD AVE</t>
  </si>
  <si>
    <t xml:space="preserve">OJEDA EDUARDO </t>
  </si>
  <si>
    <t>1529 FALLOWFIELD AVE</t>
  </si>
  <si>
    <t>CZAIKOWSKI STANLEY J &amp; NANCY L</t>
  </si>
  <si>
    <t>1536 DAGMAR AVE</t>
  </si>
  <si>
    <t>0 DAGMAR AVE</t>
  </si>
  <si>
    <t>RES DISTRESSED ASSET  FUND XXI LLC</t>
  </si>
  <si>
    <t>WALL ST</t>
  </si>
  <si>
    <t xml:space="preserve">MAREK GEORGE J </t>
  </si>
  <si>
    <t>809 SEBRING AVE</t>
  </si>
  <si>
    <t>GEORGE J MAREK</t>
  </si>
  <si>
    <t>ROSTRAVER RD</t>
  </si>
  <si>
    <t>807 SEBRING AVE</t>
  </si>
  <si>
    <t>LEWIS CHARLES J &amp; GRETCHEN L (W)</t>
  </si>
  <si>
    <t>1422 DAGMAR AVE</t>
  </si>
  <si>
    <t xml:space="preserve">BOWSHER KENNETH P &amp; BONNIE L (W)            </t>
  </si>
  <si>
    <t>1412 DAGMAR AVE</t>
  </si>
  <si>
    <t>BOWSHER KENNETH P</t>
  </si>
  <si>
    <t>RUOTI KIMBERLY &amp; PAUL J (H)</t>
  </si>
  <si>
    <t>736 SEBRING AVE</t>
  </si>
  <si>
    <t>RUOTI KIMBERLY &amp; PAUL</t>
  </si>
  <si>
    <t>E NINGHTINGALE LN</t>
  </si>
  <si>
    <t>LYNCH TERRENCE J &amp; TRACEY F (W)</t>
  </si>
  <si>
    <t>1525 DAGMAR AVE</t>
  </si>
  <si>
    <t>TRAN GWENDOLYN &amp; NGUYEN (H)</t>
  </si>
  <si>
    <t>1420 KENBERMA AVE</t>
  </si>
  <si>
    <t>GWENDOLYN &amp; NGUYEN TR</t>
  </si>
  <si>
    <t>ROCK HAVEN LN</t>
  </si>
  <si>
    <t xml:space="preserve">HILLER MICHAEL P </t>
  </si>
  <si>
    <t>1515 KENBERMA AVE</t>
  </si>
  <si>
    <t>MICHELOTTI MICKEY  &amp; BETTY</t>
  </si>
  <si>
    <t>1518 ALTON ST</t>
  </si>
  <si>
    <t>ALTON AVE</t>
  </si>
  <si>
    <t xml:space="preserve">FOSTER RAYMOND </t>
  </si>
  <si>
    <t>1512 ALTON ST</t>
  </si>
  <si>
    <t xml:space="preserve">MCCABE ROBERT E </t>
  </si>
  <si>
    <t>1432 ALTON ST</t>
  </si>
  <si>
    <t xml:space="preserve">GIZIENSKI STEPHEN T                             </t>
  </si>
  <si>
    <t>1418 ALTON ST</t>
  </si>
  <si>
    <t xml:space="preserve">GLAZE KATHLEEN                                  </t>
  </si>
  <si>
    <t>1409 ALTON ST</t>
  </si>
  <si>
    <t>GLAZE KATHLEEN</t>
  </si>
  <si>
    <t>ALTON ST</t>
  </si>
  <si>
    <t xml:space="preserve">WETZEL JOSHUA RYAN </t>
  </si>
  <si>
    <t>1428 ROCKLAND AVE</t>
  </si>
  <si>
    <t>ROCKLAND AVE</t>
  </si>
  <si>
    <t xml:space="preserve">HICKS KAREN </t>
  </si>
  <si>
    <t>1521 ROCKLAND AVE</t>
  </si>
  <si>
    <t xml:space="preserve">BUETTNER ANGELA </t>
  </si>
  <si>
    <t>1315 ROCKLAND AVE</t>
  </si>
  <si>
    <t>BUETTNER ANGELA</t>
  </si>
  <si>
    <t>1314 WESTFIELD ST</t>
  </si>
  <si>
    <t>1324 WESTFIELD ST</t>
  </si>
  <si>
    <t>604 SEBRING AVE</t>
  </si>
  <si>
    <t>606 SEBRING AVE</t>
  </si>
  <si>
    <t>KAVALIERATOS NICK &amp; CALLIOPE KAVALIERATO S</t>
  </si>
  <si>
    <t>0 WESTFIELD ST</t>
  </si>
  <si>
    <t>KAVALIERATOS NICK &amp; C</t>
  </si>
  <si>
    <t xml:space="preserve">PRICE WILLIAM P VI </t>
  </si>
  <si>
    <t>1411 WESTFIELD ST</t>
  </si>
  <si>
    <t>EASLEBROOK CT</t>
  </si>
  <si>
    <t>ELLSWORTH DEBORAH L  MOORE</t>
  </si>
  <si>
    <t>1311 WESTFIELD ST</t>
  </si>
  <si>
    <t>ELLSWORTH DEBORAH L M</t>
  </si>
  <si>
    <t>1310 ORANGEWOOD AVE</t>
  </si>
  <si>
    <t>YVONNE WHITE</t>
  </si>
  <si>
    <t xml:space="preserve">MSRE PROPERTIES LLC </t>
  </si>
  <si>
    <t>1426 ORANGEWOOD AVE</t>
  </si>
  <si>
    <t>FOUNTAINHEAD CIR</t>
  </si>
  <si>
    <t>HENDERSON</t>
  </si>
  <si>
    <t xml:space="preserve">DOMINO JAMES </t>
  </si>
  <si>
    <t>0 ORANGEWOOD AVE</t>
  </si>
  <si>
    <t>LAYTON AVE</t>
  </si>
  <si>
    <t>HOUSTON CHARLES F &amp; JOYCE M</t>
  </si>
  <si>
    <t>1504 ORANGEWOOD AVE</t>
  </si>
  <si>
    <t>ROWRY JOHN L &amp; JESSIE MAE</t>
  </si>
  <si>
    <t>1506 ORANGEWOOD AVE</t>
  </si>
  <si>
    <t>ROWRY JOHN L &amp; JESSIE</t>
  </si>
  <si>
    <t>1525 ORANGEWOOD AVE</t>
  </si>
  <si>
    <t xml:space="preserve">ROOF SUSAN E </t>
  </si>
  <si>
    <t>1318 PRINCESS AVE</t>
  </si>
  <si>
    <t>PRINCESS AVE</t>
  </si>
  <si>
    <t xml:space="preserve">COYNE KEVIN </t>
  </si>
  <si>
    <t>230 BROOKSIDE AVE</t>
  </si>
  <si>
    <t>BROOKSIDE AVE</t>
  </si>
  <si>
    <t xml:space="preserve">SCOTT CONOR                                     </t>
  </si>
  <si>
    <t>0 PRINCESS AVE</t>
  </si>
  <si>
    <t>IRONWORKERS FCU</t>
  </si>
  <si>
    <t>DROZ SIDNEY A &amp; MINNIE SARAH</t>
  </si>
  <si>
    <t>1 BAY CLUB DR</t>
  </si>
  <si>
    <t>FT LAUDERDALE</t>
  </si>
  <si>
    <t xml:space="preserve">OESTERLE DONALD P </t>
  </si>
  <si>
    <t>OESTERLE DONALD P</t>
  </si>
  <si>
    <t>FRITCHMANN CHARLES G &amp; LINDA D (W)</t>
  </si>
  <si>
    <t>FLORIDA DR</t>
  </si>
  <si>
    <t xml:space="preserve">MACHAROLA DANIEL R </t>
  </si>
  <si>
    <t>T2 FINANCIAL LLC REVO</t>
  </si>
  <si>
    <t xml:space="preserve">CARACCI GRACE </t>
  </si>
  <si>
    <t>1320 LETTIE HILL ST</t>
  </si>
  <si>
    <t>RITSON THOMAS VINCENT &amp; CHRISTINE A (W)</t>
  </si>
  <si>
    <t>309 SEBRING AVE</t>
  </si>
  <si>
    <t xml:space="preserve">CONVERGE REAL ESTATE LLC </t>
  </si>
  <si>
    <t>1327 LETTIE HILL ST</t>
  </si>
  <si>
    <t xml:space="preserve">HAWTHORNE BART </t>
  </si>
  <si>
    <t>1535 NAPOLEON ST</t>
  </si>
  <si>
    <t xml:space="preserve">NAZAREK FRANK J </t>
  </si>
  <si>
    <t>1537 NAPOLEON ST</t>
  </si>
  <si>
    <t>1543 NAPOLEON ST</t>
  </si>
  <si>
    <t xml:space="preserve">ALBERT RICHARD </t>
  </si>
  <si>
    <t>1538 NAPOLEON ST</t>
  </si>
  <si>
    <t xml:space="preserve">WATSON LILLIAN R                                </t>
  </si>
  <si>
    <t>CALIGUIRE GIACOMO  &amp; MARY</t>
  </si>
  <si>
    <t>0 CANTON AVE</t>
  </si>
  <si>
    <t xml:space="preserve">KELLY ROBERT A </t>
  </si>
  <si>
    <t>SWALLOW HILL RD</t>
  </si>
  <si>
    <t>SCOTT</t>
  </si>
  <si>
    <t>TAYLOR ZEDRIC C &amp; EVERSTA (W)</t>
  </si>
  <si>
    <t>CANTON AVE</t>
  </si>
  <si>
    <t>CARVER LEROY  &amp; GENEVIEVE</t>
  </si>
  <si>
    <t>1603 CANTON AVE</t>
  </si>
  <si>
    <t xml:space="preserve">ABLEBUILT HOMES INC </t>
  </si>
  <si>
    <t>OLD CLAIRTON RD</t>
  </si>
  <si>
    <t>SPENCER BARRY L &amp; CAROL A (W)</t>
  </si>
  <si>
    <t>1630 ALVERADO AVE</t>
  </si>
  <si>
    <t>ALVERADO AVE</t>
  </si>
  <si>
    <t xml:space="preserve">OKOYE CLEMONT                                   </t>
  </si>
  <si>
    <t>1607 ALVERADO AVE</t>
  </si>
  <si>
    <t>OKOYE CLEMONT &amp; DORAT</t>
  </si>
  <si>
    <t>E MEYERS AVE</t>
  </si>
  <si>
    <t xml:space="preserve">KOVACS JOSEPH                                   </t>
  </si>
  <si>
    <t>KOVACS JOSEPH</t>
  </si>
  <si>
    <t xml:space="preserve">CROZIER TAMMY A </t>
  </si>
  <si>
    <t xml:space="preserve">PENN PROPERTIES CO </t>
  </si>
  <si>
    <t>1620 BELASCO AVE</t>
  </si>
  <si>
    <t>REA ELISEO  &amp; MARCO A REA</t>
  </si>
  <si>
    <t>1604 BELASCO AVE</t>
  </si>
  <si>
    <t>REA ELISEO  &amp; MARCO A</t>
  </si>
  <si>
    <t>1538 BELASCO AVE</t>
  </si>
  <si>
    <t>MADDEX RENEE MADDEX TARA</t>
  </si>
  <si>
    <t>UNITED STATES SECRETARY  OF HOUSING AND URBAN DEV</t>
  </si>
  <si>
    <t>1609 BELASCO AVE</t>
  </si>
  <si>
    <t>UNITED STATES SECRETA</t>
  </si>
  <si>
    <t>E 81ST ST STE 700</t>
  </si>
  <si>
    <t xml:space="preserve">RDS DEVELOPMENT INC </t>
  </si>
  <si>
    <t>P O BOX 13244</t>
  </si>
  <si>
    <t>1541 RUTHERFORD AVE</t>
  </si>
  <si>
    <t>1615 RUTHERFORD AVE</t>
  </si>
  <si>
    <t>WEBER ROBERT J &amp; CAROLYN L (W)</t>
  </si>
  <si>
    <t xml:space="preserve">DIMATTEO JANETTE L </t>
  </si>
  <si>
    <t>1642 METHYL ST</t>
  </si>
  <si>
    <t>LENDER LIVE NETWORK I</t>
  </si>
  <si>
    <t>PO BOX 469040</t>
  </si>
  <si>
    <t xml:space="preserve">COYNE TIMOTHY L </t>
  </si>
  <si>
    <t>1542 METHYL ST</t>
  </si>
  <si>
    <t xml:space="preserve">DESANDO MARTA DAMOTA </t>
  </si>
  <si>
    <t>1541 METHYL ST</t>
  </si>
  <si>
    <t>PRESTON ST</t>
  </si>
  <si>
    <t xml:space="preserve">BERARDELLI DELORA F </t>
  </si>
  <si>
    <t>1549 METHYL ST</t>
  </si>
  <si>
    <t>NORTHSTAR REALTY  INVESTMENT LLC</t>
  </si>
  <si>
    <t>1553 METHYL ST</t>
  </si>
  <si>
    <t>NORTHSTAR REALTY INVE</t>
  </si>
  <si>
    <t>1010 HAMPSHIRE AVE</t>
  </si>
  <si>
    <t xml:space="preserve">1619 BROADWAY AVE L P </t>
  </si>
  <si>
    <t>STRONG ETHAN &amp; HEATHER (W)</t>
  </si>
  <si>
    <t>1627 METHYL ST</t>
  </si>
  <si>
    <t>STRONG ETHAN &amp; HEATHE</t>
  </si>
  <si>
    <t>WALKAUSKAS MARGARETANNE  &amp; JOHN (H)</t>
  </si>
  <si>
    <t>1633 METHYL ST</t>
  </si>
  <si>
    <t xml:space="preserve">RAMSEY DEBRA A </t>
  </si>
  <si>
    <t>1653 METHYL ST</t>
  </si>
  <si>
    <t xml:space="preserve">WANG SHAN &amp; HE (W) </t>
  </si>
  <si>
    <t>1640 BROADWAY AVE</t>
  </si>
  <si>
    <t>PARK CENTER DR STE 350</t>
  </si>
  <si>
    <t>COSTA MESA</t>
  </si>
  <si>
    <t>1600 BROADWAY AVE</t>
  </si>
  <si>
    <t xml:space="preserve">OKOYE CLEMENT M </t>
  </si>
  <si>
    <t>1552 BEECHVIEW AVE</t>
  </si>
  <si>
    <t>1550 BEECHVIEW AVE</t>
  </si>
  <si>
    <t xml:space="preserve">GRACZYK DORATHY ANTHONIA </t>
  </si>
  <si>
    <t>1542 BEECHVIEW AVE</t>
  </si>
  <si>
    <t>GRACZYK DORATHY ANTHO</t>
  </si>
  <si>
    <t>BEECHVIEW AVE APT 2</t>
  </si>
  <si>
    <t xml:space="preserve">SHEFFLER DANIEL </t>
  </si>
  <si>
    <t>1539 BEECHVIEW AVE</t>
  </si>
  <si>
    <t xml:space="preserve">BEECHVIEW ATLANTIC L P </t>
  </si>
  <si>
    <t>1619 BROADWAY AVE</t>
  </si>
  <si>
    <t xml:space="preserve">BEECHVIEW ATLANTIC L </t>
  </si>
  <si>
    <t xml:space="preserve">BECK CALVIN </t>
  </si>
  <si>
    <t>1617 BROADWAY AVE</t>
  </si>
  <si>
    <t>BECK CALVIN</t>
  </si>
  <si>
    <t>JACUNDA ST</t>
  </si>
  <si>
    <t xml:space="preserve">VGV HOLDINGS LLC </t>
  </si>
  <si>
    <t>1603 BROADWAY AVE</t>
  </si>
  <si>
    <t>VGV HOLDINGS LLC</t>
  </si>
  <si>
    <t xml:space="preserve">BEECHVIEW NC LLC </t>
  </si>
  <si>
    <t>1500 BROADWAY AVE</t>
  </si>
  <si>
    <t>PRESIDENTIAL BANK FSB</t>
  </si>
  <si>
    <t>E WEST HWY STE 400</t>
  </si>
  <si>
    <t>BETHESDA</t>
  </si>
  <si>
    <t xml:space="preserve">TRISDA GROUP LLC </t>
  </si>
  <si>
    <t>1538 FALLOWFIELD AVE</t>
  </si>
  <si>
    <t>TRISDA GROUP LLC</t>
  </si>
  <si>
    <t xml:space="preserve">ROHAC MICHELLE S </t>
  </si>
  <si>
    <t>1624 FALLOWFIELD AVE</t>
  </si>
  <si>
    <t xml:space="preserve">JOHNSON CHRISTOPHER                             </t>
  </si>
  <si>
    <t>1625 FALLOWFIELD AVE</t>
  </si>
  <si>
    <t>JOHNSON CHRISTOPHER J</t>
  </si>
  <si>
    <t xml:space="preserve">VONHEDEMANN DAVID F </t>
  </si>
  <si>
    <t>1617 FALLOWFIELD AVE</t>
  </si>
  <si>
    <t xml:space="preserve">SICKLER LYNDSEY </t>
  </si>
  <si>
    <t>1539 FALLOWFIELD AVE</t>
  </si>
  <si>
    <t xml:space="preserve">TZELEPIS ANGELOS G </t>
  </si>
  <si>
    <t>1636 DAGMAR AVE</t>
  </si>
  <si>
    <t>BENIGNI RENO  &amp; LAURA BENIGNI</t>
  </si>
  <si>
    <t>1657 DAGMAR AVE</t>
  </si>
  <si>
    <t>BENIGNI RENO  &amp; LAURA</t>
  </si>
  <si>
    <t xml:space="preserve">BUCCI MICHAEL P </t>
  </si>
  <si>
    <t>114 COLEBROOK AVE</t>
  </si>
  <si>
    <t>COLEBROOK AVE</t>
  </si>
  <si>
    <t xml:space="preserve">PARKES JACK &amp; NINA (W) </t>
  </si>
  <si>
    <t>238 LONGMORE AVE</t>
  </si>
  <si>
    <t>LONGMORE AVE</t>
  </si>
  <si>
    <t xml:space="preserve">BRADEN KELLY </t>
  </si>
  <si>
    <t>1553 DAGMAR AVE</t>
  </si>
  <si>
    <t xml:space="preserve">LACHER ROBERTA DEBORAH </t>
  </si>
  <si>
    <t>LACHER ROBERTA DEBORA</t>
  </si>
  <si>
    <t>420 CAPE MAY AVE</t>
  </si>
  <si>
    <t>WASIECKO JOSEPH W</t>
  </si>
  <si>
    <t>MAOLA ANTHONY J &amp; REBECCA E</t>
  </si>
  <si>
    <t>0 CAPE MAY AVE</t>
  </si>
  <si>
    <t xml:space="preserve">DAVIN JOHN </t>
  </si>
  <si>
    <t>ALPLAUS ST</t>
  </si>
  <si>
    <t xml:space="preserve">SYED FRIDA SHAH </t>
  </si>
  <si>
    <t>CAPE MAY AVE</t>
  </si>
  <si>
    <t xml:space="preserve">DAVIN JOHN J </t>
  </si>
  <si>
    <t xml:space="preserve">HUMU ADAM </t>
  </si>
  <si>
    <t>316 CAPE MAY AVE</t>
  </si>
  <si>
    <t xml:space="preserve">WALTERS HARRIETTE WILMA </t>
  </si>
  <si>
    <t>730 HAMPSHIRE AVE</t>
  </si>
  <si>
    <t>1520 ALTON ST</t>
  </si>
  <si>
    <t>IUNI JOHN M &amp; N LORRAINE (W)</t>
  </si>
  <si>
    <t>1538 ROCKLAND AVE</t>
  </si>
  <si>
    <t xml:space="preserve">DAW INVESTMENTS LLC </t>
  </si>
  <si>
    <t>617 HAMPSHIRE AVE</t>
  </si>
  <si>
    <t>DAW INVESTMENTS LLC</t>
  </si>
  <si>
    <t>SETTLERS VILLAGE CIR</t>
  </si>
  <si>
    <t>1612 WESTFIELD ST</t>
  </si>
  <si>
    <t xml:space="preserve">SCARPINO CAROL ANN </t>
  </si>
  <si>
    <t>1606 WESTFIELD ST</t>
  </si>
  <si>
    <t xml:space="preserve">WIERMAN CURTIS                                  </t>
  </si>
  <si>
    <t>1531 WESTFIELD ST</t>
  </si>
  <si>
    <t xml:space="preserve">BROUGH STEPHEN P </t>
  </si>
  <si>
    <t>1611 WESTFIELD ST</t>
  </si>
  <si>
    <t xml:space="preserve">EWING ROBIN A </t>
  </si>
  <si>
    <t>1544 ORANGEWOOD AVE</t>
  </si>
  <si>
    <t>LOMBARDI JOSEPH E &amp; AMERITA M</t>
  </si>
  <si>
    <t>1532 ORANGEWOOD AVE</t>
  </si>
  <si>
    <t xml:space="preserve">METZLER AMY LYNNE </t>
  </si>
  <si>
    <t>1529 ORANGEWOOD AVE</t>
  </si>
  <si>
    <t xml:space="preserve">CARNAHAN ROBERT B </t>
  </si>
  <si>
    <t>1640 SUBURBAN AVE</t>
  </si>
  <si>
    <t>CARNAHAN ROBERT B</t>
  </si>
  <si>
    <t>SUBURBAN AVE</t>
  </si>
  <si>
    <t xml:space="preserve">REITMEYER MARK </t>
  </si>
  <si>
    <t>1645 PRINCESS AVE</t>
  </si>
  <si>
    <t>DROZ SIDNEY A &amp; SARAH MINNIE (W)</t>
  </si>
  <si>
    <t>0 BROOKSIDE AVE</t>
  </si>
  <si>
    <t xml:space="preserve">MCKINLEY ROBERT S </t>
  </si>
  <si>
    <t>1627 SUBURBAN AVE</t>
  </si>
  <si>
    <t>MCKINLEY ROBERT S</t>
  </si>
  <si>
    <t>CROSBY AVE</t>
  </si>
  <si>
    <t>1633 SUBURBAN AVE</t>
  </si>
  <si>
    <t>1637 SUBURBAN AVE</t>
  </si>
  <si>
    <t>CROSBY AVE APT 1</t>
  </si>
  <si>
    <t xml:space="preserve">DUNN NANCY L </t>
  </si>
  <si>
    <t>0 SUBURBAN AVE</t>
  </si>
  <si>
    <t xml:space="preserve">BLACKWELL WILLIAM C                             </t>
  </si>
  <si>
    <t>1651 SUBURBAN AVE</t>
  </si>
  <si>
    <t>1703 SUBURBAN AVE</t>
  </si>
  <si>
    <t xml:space="preserve">WILLIAMS MARCUS </t>
  </si>
  <si>
    <t>1659 SUBURBAN AVE</t>
  </si>
  <si>
    <t xml:space="preserve">HOGBEN CHAD </t>
  </si>
  <si>
    <t>ARLINGTON PARK</t>
  </si>
  <si>
    <t xml:space="preserve">MANIA ALBERT L </t>
  </si>
  <si>
    <t xml:space="preserve">BENDER ROBERT E </t>
  </si>
  <si>
    <t>207 COAST AVE</t>
  </si>
  <si>
    <t>BEECHVIEW AVE # 3</t>
  </si>
  <si>
    <t>PIVIROTTO JAMES  &amp; MARY BARBARA (W)</t>
  </si>
  <si>
    <t>0 COAST AVE</t>
  </si>
  <si>
    <t>PO BOX 15234</t>
  </si>
  <si>
    <t xml:space="preserve">CAMPAGNA LORRAINE </t>
  </si>
  <si>
    <t>LOCHLIN DR</t>
  </si>
  <si>
    <t xml:space="preserve">KILKEARY JOHN S </t>
  </si>
  <si>
    <t>110 CAGWIN ST</t>
  </si>
  <si>
    <t>CAGWIN AVE</t>
  </si>
  <si>
    <t xml:space="preserve">BRUBECK LLC </t>
  </si>
  <si>
    <t>BROADWAY FL 4</t>
  </si>
  <si>
    <t>COAST AVE</t>
  </si>
  <si>
    <t xml:space="preserve">FLINN JAMES </t>
  </si>
  <si>
    <t>MCDOWELL BANK TRUST</t>
  </si>
  <si>
    <t>BOX 491</t>
  </si>
  <si>
    <t xml:space="preserve">CAWLEY BETTY </t>
  </si>
  <si>
    <t>1710 BELASCO AVE</t>
  </si>
  <si>
    <t>1638 BELASCO AVE</t>
  </si>
  <si>
    <t>WASIECKO JOSEPH J</t>
  </si>
  <si>
    <t>GALLION AVE</t>
  </si>
  <si>
    <t xml:space="preserve">REMI REALTY LP </t>
  </si>
  <si>
    <t>1806 BROADWAY AVE</t>
  </si>
  <si>
    <t xml:space="preserve">BANBOUK ETTIHAD </t>
  </si>
  <si>
    <t>1661 RUTHERFORD AVE</t>
  </si>
  <si>
    <t>1738 BROADWAY AVE</t>
  </si>
  <si>
    <t>507 COAST AVE</t>
  </si>
  <si>
    <t xml:space="preserve">BEECHVIEW KENTUCKY LLC </t>
  </si>
  <si>
    <t>1656 BROADWAY AVE</t>
  </si>
  <si>
    <t>BEECHVIEW KENTUCKY LL</t>
  </si>
  <si>
    <t>BERUMEN PROPERTIES  LIMITED PARTNERSHIP</t>
  </si>
  <si>
    <t>1711 BROADWAY AVE</t>
  </si>
  <si>
    <t>BERUMEN PROPERTIES LI</t>
  </si>
  <si>
    <t xml:space="preserve">OKOYE CLEMENT                                   </t>
  </si>
  <si>
    <t>1717 BROADWAY AVE</t>
  </si>
  <si>
    <t>ALL TRUE ASSETS TWO LLC  ETAL</t>
  </si>
  <si>
    <t>1719 BROADWAY AVE</t>
  </si>
  <si>
    <t>NEXUS REAL ESTATE LLC</t>
  </si>
  <si>
    <t>S CAPITAL OF TEXAS HWY BLDG 22</t>
  </si>
  <si>
    <t xml:space="preserve">AGBO PASCHAL OKWUDILI </t>
  </si>
  <si>
    <t>1745 BROADWAY AVE</t>
  </si>
  <si>
    <t>1749 BROADWAY AVE</t>
  </si>
  <si>
    <t xml:space="preserve">TELEP LARISSA DELOI </t>
  </si>
  <si>
    <t>1840 TONOPAH AVE</t>
  </si>
  <si>
    <t xml:space="preserve">B REALTY TEAM LLC </t>
  </si>
  <si>
    <t>1808 TONOPAH AVE</t>
  </si>
  <si>
    <t>CEDAR LN # 202</t>
  </si>
  <si>
    <t xml:space="preserve">LYONS MICHAEL P </t>
  </si>
  <si>
    <t>1807 TONOPAH AVE</t>
  </si>
  <si>
    <t>TONOPAH AVE</t>
  </si>
  <si>
    <t xml:space="preserve">JIMENEZ PATRICIA                                </t>
  </si>
  <si>
    <t>1813 TONOPAH AVE</t>
  </si>
  <si>
    <t>PATRICIA JIMENEZ</t>
  </si>
  <si>
    <t>TONOPAH 1825 LLC         ETAL</t>
  </si>
  <si>
    <t>1825 TONOPAH AVE</t>
  </si>
  <si>
    <t xml:space="preserve">TONOPAH 1825 LLC C/O </t>
  </si>
  <si>
    <t xml:space="preserve">OCONNOR COLMAN P </t>
  </si>
  <si>
    <t>1829 TONOPAH AVE</t>
  </si>
  <si>
    <t>TONAPAH ST</t>
  </si>
  <si>
    <t xml:space="preserve">HUETTER STEVE </t>
  </si>
  <si>
    <t>1827 REALTY AVE</t>
  </si>
  <si>
    <t>HUETTER STEVE</t>
  </si>
  <si>
    <t>MCNEILLY RD</t>
  </si>
  <si>
    <t xml:space="preserve">WAXLER NATHANIAL </t>
  </si>
  <si>
    <t>1658 FALLOWFIELD AVE</t>
  </si>
  <si>
    <t>STEPPLING KENNETH H &amp; EILEEN (W)</t>
  </si>
  <si>
    <t xml:space="preserve">HORNBECK SARA </t>
  </si>
  <si>
    <t>1803 FALLOWFIELD AVE</t>
  </si>
  <si>
    <t xml:space="preserve">BEARD JEREMY </t>
  </si>
  <si>
    <t>1715 FALLOWFIELD AVE</t>
  </si>
  <si>
    <t xml:space="preserve">BUCHANAN BRITTANY L </t>
  </si>
  <si>
    <t>1659 FALLOWFIELD AVE</t>
  </si>
  <si>
    <t xml:space="preserve">RUSSO J0HN R </t>
  </si>
  <si>
    <t>1610 TONOPAH AVE</t>
  </si>
  <si>
    <t>SHARP ROBERT P &amp; ANTOINETTE A (W)</t>
  </si>
  <si>
    <t>1808 DAGMAR AVE</t>
  </si>
  <si>
    <t>SHARP ROBERT P &amp; ANTO</t>
  </si>
  <si>
    <t>N BALPH AVE</t>
  </si>
  <si>
    <t xml:space="preserve">VOLLBERG PATRICIA L </t>
  </si>
  <si>
    <t>1820 DAGMAR AVE</t>
  </si>
  <si>
    <t xml:space="preserve">SCHWEITZER WARREN E III </t>
  </si>
  <si>
    <t>SCHWEITZER WARREN E I</t>
  </si>
  <si>
    <t>ANNADALE DR</t>
  </si>
  <si>
    <t xml:space="preserve">MCMAHON PETER JOSEPH </t>
  </si>
  <si>
    <t>0 KIRALFY AVE</t>
  </si>
  <si>
    <t xml:space="preserve">KEEBLER CONRAD F </t>
  </si>
  <si>
    <t>0 FAIRACRES AVE</t>
  </si>
  <si>
    <t xml:space="preserve">FINLEY MICHAEL F                                </t>
  </si>
  <si>
    <t>1816 FAIRACRES AVE</t>
  </si>
  <si>
    <t xml:space="preserve">KNOX BARBARA E </t>
  </si>
  <si>
    <t>FAIR ACRES AVE</t>
  </si>
  <si>
    <t>1739 FAIRACRES AVE</t>
  </si>
  <si>
    <t xml:space="preserve">STEPPLING KENNETH </t>
  </si>
  <si>
    <t>109 COLEBROOK AVE</t>
  </si>
  <si>
    <t xml:space="preserve">HOUK CONNER                                     </t>
  </si>
  <si>
    <t>1825 FAIRACRES AVE</t>
  </si>
  <si>
    <t>FAIRACRES AVE</t>
  </si>
  <si>
    <t>PHILLIPS SHAWN T &amp; NANCY (W)</t>
  </si>
  <si>
    <t>0 RINGWALT ST</t>
  </si>
  <si>
    <t>PHILLIPS SHAWN T &amp; NA</t>
  </si>
  <si>
    <t>RINGWALT ST</t>
  </si>
  <si>
    <t xml:space="preserve">DUNFEE DAN                                      </t>
  </si>
  <si>
    <t>121 CAPE MAY AVE</t>
  </si>
  <si>
    <t>SAYLONG DR</t>
  </si>
  <si>
    <t xml:space="preserve">WALLACE INDIA A </t>
  </si>
  <si>
    <t>125 CAPE MAY AVE</t>
  </si>
  <si>
    <t>DESALOME ALEXANDER K &amp; DOROTHY (W)</t>
  </si>
  <si>
    <t xml:space="preserve">DESALOME ALEXANDER K </t>
  </si>
  <si>
    <t>GARETTA ST APT 8138</t>
  </si>
  <si>
    <t xml:space="preserve">WALDRON JAMES F III </t>
  </si>
  <si>
    <t>0 BOUSTEAD ST</t>
  </si>
  <si>
    <t>WALDRON JAMES F III</t>
  </si>
  <si>
    <t xml:space="preserve">SHARP ROBERT </t>
  </si>
  <si>
    <t>2024 BROADWAY AVE</t>
  </si>
  <si>
    <t>PO BOX 13244</t>
  </si>
  <si>
    <t>RENDINA LORALEE          ETAL</t>
  </si>
  <si>
    <t>2018 BROADWAY AVE</t>
  </si>
  <si>
    <t>RENDINA LORALEE C/O G</t>
  </si>
  <si>
    <t xml:space="preserve">L &amp; P ENTERPRISE LLC </t>
  </si>
  <si>
    <t>2010 BROADWAY AVE</t>
  </si>
  <si>
    <t xml:space="preserve">SMITH ERICA L </t>
  </si>
  <si>
    <t>1950 BROADWAY AVE</t>
  </si>
  <si>
    <t xml:space="preserve">LAS PALMAS LLC </t>
  </si>
  <si>
    <t>2056 BROADWAY AVE</t>
  </si>
  <si>
    <t>VENEZIANO ENZO &amp; PAULA (W)</t>
  </si>
  <si>
    <t>2734 SHIRAS AVE</t>
  </si>
  <si>
    <t>PARKER DR</t>
  </si>
  <si>
    <t>J&amp; A SOUTH HILLS DEVELOPMEN</t>
  </si>
  <si>
    <t>2115 BROADWAY AVE</t>
  </si>
  <si>
    <t>J&amp;A SOUTH HILLS DEVEL</t>
  </si>
  <si>
    <t>CASTLE SHANNON BLVD</t>
  </si>
  <si>
    <t xml:space="preserve">LAPIANA GARRETT                                 </t>
  </si>
  <si>
    <t>2116 LOS ANGELES AVE</t>
  </si>
  <si>
    <t>LOS ANGELES AVE</t>
  </si>
  <si>
    <t xml:space="preserve">LARANGINHO MARIA </t>
  </si>
  <si>
    <t>1929 BROADWAY AVE</t>
  </si>
  <si>
    <t>SJ GROUP                 ETAL</t>
  </si>
  <si>
    <t>1822 CROSBY AVE</t>
  </si>
  <si>
    <t>LUMOS REAL ESTATE  LL</t>
  </si>
  <si>
    <t xml:space="preserve">DAVIDSON THOMAS A </t>
  </si>
  <si>
    <t>1819 CROSBY AVE</t>
  </si>
  <si>
    <t>WOLFE WILLIAM R &amp; GRACE J (W)</t>
  </si>
  <si>
    <t>304 LONERGAN ST</t>
  </si>
  <si>
    <t>WOLFE WILLIAM R &amp; GRA</t>
  </si>
  <si>
    <t>PAULINE AVE APT 503</t>
  </si>
  <si>
    <t xml:space="preserve">PREVITE ANTHONY D                               </t>
  </si>
  <si>
    <t>1901 CROSBY AVE</t>
  </si>
  <si>
    <t xml:space="preserve">HASSAN AAMEN                                    </t>
  </si>
  <si>
    <t>2110 PAULINE AVE</t>
  </si>
  <si>
    <t xml:space="preserve">AAMEN HASSAN &amp; WIDAD </t>
  </si>
  <si>
    <t xml:space="preserve">FRANCISCUS MAUREEN J </t>
  </si>
  <si>
    <t>2120 PAULINE AVE</t>
  </si>
  <si>
    <t>PAULINE AVE</t>
  </si>
  <si>
    <t xml:space="preserve">OBRIEN MARK </t>
  </si>
  <si>
    <t>2118 VODELI ST</t>
  </si>
  <si>
    <t>0 REALTY AVE</t>
  </si>
  <si>
    <t xml:space="preserve">HORNBECK JASON </t>
  </si>
  <si>
    <t>1844 FALLOWFIELD AVE</t>
  </si>
  <si>
    <t>JASON HORNBECK</t>
  </si>
  <si>
    <t xml:space="preserve">CRUTHERS JOSEPH </t>
  </si>
  <si>
    <t>PRECISION REAL ESTATE  SOLUTIONS LLC</t>
  </si>
  <si>
    <t>1835 FALLOWFIELD AVE</t>
  </si>
  <si>
    <t>PRECISION REAL ESTATE</t>
  </si>
  <si>
    <t>PO BOX 610</t>
  </si>
  <si>
    <t>BOTTLES DONALD A JR &amp; RENEE (W)</t>
  </si>
  <si>
    <t xml:space="preserve">COPKA DOROTHY J </t>
  </si>
  <si>
    <t>1854 DAGMAR AVE</t>
  </si>
  <si>
    <t xml:space="preserve">GEE MAVIS STRATTON </t>
  </si>
  <si>
    <t>PEARCE JAMES JR &amp; BETTY J (W)</t>
  </si>
  <si>
    <t>PEARCE JAMES JR &amp; BET</t>
  </si>
  <si>
    <t>WHITE HAMPTON LN APT 320</t>
  </si>
  <si>
    <t xml:space="preserve">MORIN STEPHEN J </t>
  </si>
  <si>
    <t>731 ALTURIA ST</t>
  </si>
  <si>
    <t>MORIN STEPHEN J</t>
  </si>
  <si>
    <t xml:space="preserve">GAUDELLI NADINE M </t>
  </si>
  <si>
    <t>1966 SHIRAS AVE</t>
  </si>
  <si>
    <t>SHIRAS AVE</t>
  </si>
  <si>
    <t xml:space="preserve">DAVIDSON GEORGE W                               </t>
  </si>
  <si>
    <t>1851 KIRALFY AVE</t>
  </si>
  <si>
    <t xml:space="preserve">CASTRO JOSE                                     </t>
  </si>
  <si>
    <t>1840 FAIRACRES AVE</t>
  </si>
  <si>
    <t>CASTRO JOSE</t>
  </si>
  <si>
    <t xml:space="preserve">IBARRA ROBERTO PAEZ </t>
  </si>
  <si>
    <t>1924 FAIRACRES AVE</t>
  </si>
  <si>
    <t xml:space="preserve">FLORA VIRGIL WESSLEY </t>
  </si>
  <si>
    <t xml:space="preserve">MARINI CONSTANCE </t>
  </si>
  <si>
    <t xml:space="preserve">DAVIES RYAN S </t>
  </si>
  <si>
    <t>1934 SHIRAS AVE</t>
  </si>
  <si>
    <t>PO BOX 222503 RD</t>
  </si>
  <si>
    <t xml:space="preserve">CORNELL ARTHUR E 3RD </t>
  </si>
  <si>
    <t>1841 FAIRACRES AVE</t>
  </si>
  <si>
    <t>CRAMER RONALD A &amp; JOANNE G</t>
  </si>
  <si>
    <t xml:space="preserve">SYNCH 1 LLC </t>
  </si>
  <si>
    <t>1918 CURRANHILL AVE</t>
  </si>
  <si>
    <t xml:space="preserve">SYNCH 1 LLC          </t>
  </si>
  <si>
    <t>TEL AVIV ISRAE</t>
  </si>
  <si>
    <t xml:space="preserve">KACZMAREK CHRISTOPHER M                         </t>
  </si>
  <si>
    <t>1900 CURRANHILL AVE</t>
  </si>
  <si>
    <t>1920 SHIRAS AVE</t>
  </si>
  <si>
    <t>CONNOLLY AVE</t>
  </si>
  <si>
    <t>1847 RINGWALT ST</t>
  </si>
  <si>
    <t>1826 WEST LIBERTY AVE</t>
  </si>
  <si>
    <t xml:space="preserve">NGUYEN UYEN TU                                  </t>
  </si>
  <si>
    <t>1900 WOODWARD AVE</t>
  </si>
  <si>
    <t>NGUYEN UYEN TU TRAN L</t>
  </si>
  <si>
    <t>APPEL RD</t>
  </si>
  <si>
    <t xml:space="preserve">GUERCIO CHRISTOPHER </t>
  </si>
  <si>
    <t>1904 WOODWARD AVE</t>
  </si>
  <si>
    <t>FELSPAR ST</t>
  </si>
  <si>
    <t>TRANTER DOROTHY  &amp; JOSEPH TRANTER JR</t>
  </si>
  <si>
    <t>1829 WOODWARD AVE</t>
  </si>
  <si>
    <t xml:space="preserve">GRAY WILLIAM J </t>
  </si>
  <si>
    <t>1823 WOODWARD AVE</t>
  </si>
  <si>
    <t>SHADYCREST DR</t>
  </si>
  <si>
    <t xml:space="preserve">WOODWARD 1817 LLC                               </t>
  </si>
  <si>
    <t>1817 WOODWARD AVE</t>
  </si>
  <si>
    <t>1905 PIONEER AVE</t>
  </si>
  <si>
    <t xml:space="preserve">KRIVONIAK EDWARD A </t>
  </si>
  <si>
    <t>656 CRYSLER ST</t>
  </si>
  <si>
    <t>CRYSLER ST</t>
  </si>
  <si>
    <t xml:space="preserve">OAKES MARK A </t>
  </si>
  <si>
    <t>601 DUNSTER ST</t>
  </si>
  <si>
    <t>DUNSTER ST</t>
  </si>
  <si>
    <t xml:space="preserve">JACKSON JOANNE </t>
  </si>
  <si>
    <t>630 DUNSTER ST</t>
  </si>
  <si>
    <t>DUNSTER AVE</t>
  </si>
  <si>
    <t xml:space="preserve">MALLERY JASON </t>
  </si>
  <si>
    <t>717 MAYVILLE AVE</t>
  </si>
  <si>
    <t>MAYVILLE AVE</t>
  </si>
  <si>
    <t xml:space="preserve">HYLAND JAMES </t>
  </si>
  <si>
    <t>756 DUNSTER ST</t>
  </si>
  <si>
    <t>LAROSEE CARMELLA  &amp; ANTHONY F LAROSEE</t>
  </si>
  <si>
    <t>0 DUNSTER ST</t>
  </si>
  <si>
    <t>LAROSEE CARMELLA  &amp; A</t>
  </si>
  <si>
    <t xml:space="preserve">JOZWIAK JUSTIN M </t>
  </si>
  <si>
    <t>740 DUNSTER ST</t>
  </si>
  <si>
    <t>710 DUNSTER ST</t>
  </si>
  <si>
    <t>SIMON RICHARD M &amp; ROXANNE G (W)</t>
  </si>
  <si>
    <t>702 DUNSTER ST</t>
  </si>
  <si>
    <t>SEKURA CHARLES &amp; MARIA (W)</t>
  </si>
  <si>
    <t>700 DUNSTER ST</t>
  </si>
  <si>
    <t xml:space="preserve">OTT JACK  &amp; COLLEEN (W) </t>
  </si>
  <si>
    <t>701 DUNSTER ST</t>
  </si>
  <si>
    <t xml:space="preserve">KIRSCH ROBERTA M </t>
  </si>
  <si>
    <t>755 DUNSTER ST</t>
  </si>
  <si>
    <t xml:space="preserve">WILLIAMSON LUKE ECKER </t>
  </si>
  <si>
    <t>813 DUNSTER ST</t>
  </si>
  <si>
    <t>WILLIAMSON LUKE ECKER</t>
  </si>
  <si>
    <t xml:space="preserve">BUCCI JOHN MATTHEW </t>
  </si>
  <si>
    <t>880 DUNSTER ST</t>
  </si>
  <si>
    <t>HUGHES NICHOLAS J &amp; SANDRA A (W)</t>
  </si>
  <si>
    <t>849 DUNSTER ST</t>
  </si>
  <si>
    <t>SHARO KENNETH A &amp; MARY E (W)</t>
  </si>
  <si>
    <t>SHARO KENNETH A &amp; MAR</t>
  </si>
  <si>
    <t>SURREY WOODS RD</t>
  </si>
  <si>
    <t xml:space="preserve">WALTER VIRGINIA M </t>
  </si>
  <si>
    <t>0 DREAM ST</t>
  </si>
  <si>
    <t>0 EDGEBROOK AVE</t>
  </si>
  <si>
    <t>SURREY LN APT 22</t>
  </si>
  <si>
    <t>DIETZ HEATHER C &amp; BRIAN K NYKIEL</t>
  </si>
  <si>
    <t>924 TIMBERLAND AVE</t>
  </si>
  <si>
    <t>TIMBERLAND AVE</t>
  </si>
  <si>
    <t xml:space="preserve">CREWS TOM </t>
  </si>
  <si>
    <t>851 TIMBERLAND AVE</t>
  </si>
  <si>
    <t>CREWS TOM</t>
  </si>
  <si>
    <t>MCNEILL DAVID A &amp; KIMBERLY A (W)</t>
  </si>
  <si>
    <t>620 MAYVILLE AVE</t>
  </si>
  <si>
    <t xml:space="preserve">MILLER BRIAN J </t>
  </si>
  <si>
    <t>465 FERNHILL AVE</t>
  </si>
  <si>
    <t>FERNHILL AVE</t>
  </si>
  <si>
    <t>JONES ALEX RANDAL &amp; JANICE RENEE</t>
  </si>
  <si>
    <t>625 FERNHILL AVE</t>
  </si>
  <si>
    <t>JONES ALEX RANDAL &amp; J</t>
  </si>
  <si>
    <t xml:space="preserve">PALEOS GEORGE </t>
  </si>
  <si>
    <t>0 FERNHILL AVE</t>
  </si>
  <si>
    <t>PALEOS GEORGE</t>
  </si>
  <si>
    <t>FIELDMONT DR</t>
  </si>
  <si>
    <t>SCHALTENBRAND PAUL STRAUSMAN SAUL</t>
  </si>
  <si>
    <t>371 LAMARIDO ST</t>
  </si>
  <si>
    <t>HAWTHORNE DR</t>
  </si>
  <si>
    <t xml:space="preserve">SASSER DENISE L </t>
  </si>
  <si>
    <t>363 LAMARIDO ST</t>
  </si>
  <si>
    <t>LAMARIDO ST</t>
  </si>
  <si>
    <t xml:space="preserve">STOFESKY JOAN K </t>
  </si>
  <si>
    <t>604 LAMARIDO ST</t>
  </si>
  <si>
    <t>LA MARIDO ST</t>
  </si>
  <si>
    <t>GALLAGHEN KAREN BRIANNA</t>
  </si>
  <si>
    <t>576 BEAUFORT AVE</t>
  </si>
  <si>
    <t xml:space="preserve">ENGLERT ROBIN M </t>
  </si>
  <si>
    <t>728 MAYVILLE AVE</t>
  </si>
  <si>
    <t>KINGS CT</t>
  </si>
  <si>
    <t xml:space="preserve">ROCK KEVIN                                      </t>
  </si>
  <si>
    <t>RECTENWALD MARK D &amp; LORI D (W)</t>
  </si>
  <si>
    <t>823 FERNHILL AVE</t>
  </si>
  <si>
    <t>STANIZZO JOHN A &amp; LOUISE A (W)</t>
  </si>
  <si>
    <t xml:space="preserve">URAM DAVID R &amp; SUSAN S (W)             </t>
  </si>
  <si>
    <t>738 FERNHILL AVE</t>
  </si>
  <si>
    <t xml:space="preserve">THOMAS ELI                                      </t>
  </si>
  <si>
    <t xml:space="preserve">BASSAM OSAMA AL </t>
  </si>
  <si>
    <t>0 FERNCLIFFE AVE</t>
  </si>
  <si>
    <t>YOUNGRIDGE DR</t>
  </si>
  <si>
    <t xml:space="preserve">BASSAM ASAMA AL </t>
  </si>
  <si>
    <t xml:space="preserve">KLONSKY MARINA </t>
  </si>
  <si>
    <t>1626 EDGEBROOK AVE</t>
  </si>
  <si>
    <t>MCANULTY RD</t>
  </si>
  <si>
    <t xml:space="preserve">TROSKY SHAUN </t>
  </si>
  <si>
    <t>CAMDEN ST</t>
  </si>
  <si>
    <t>CAMDEN CIR</t>
  </si>
  <si>
    <t xml:space="preserve">WRONIAK BARBARA A </t>
  </si>
  <si>
    <t>660 ELMBANK ST</t>
  </si>
  <si>
    <t xml:space="preserve">HOLTGRAVER ROBERT A </t>
  </si>
  <si>
    <t>N MILTON RD</t>
  </si>
  <si>
    <t>FORT PIERCE</t>
  </si>
  <si>
    <t>KOLLINGER TODD J &amp; BETH (W)</t>
  </si>
  <si>
    <t>639 HARTRANFT ST</t>
  </si>
  <si>
    <t xml:space="preserve">GUYAN NICHOLAS JOHN                             </t>
  </si>
  <si>
    <t>680 HARTRANFT ST</t>
  </si>
  <si>
    <t>ADAMS JOHN V JR &amp; RENEE (W)</t>
  </si>
  <si>
    <t>HIGHRIDGE DR</t>
  </si>
  <si>
    <t xml:space="preserve">CORDESCHI JEFFREY </t>
  </si>
  <si>
    <t>2244 WHITED ST</t>
  </si>
  <si>
    <t xml:space="preserve">MESOGITIS JOHN D </t>
  </si>
  <si>
    <t>2243 LYNNBROOK AVE</t>
  </si>
  <si>
    <t>ROMANO ANTHONY J &amp; SARAH (W)</t>
  </si>
  <si>
    <t>2238 LYNNBROOK AVE</t>
  </si>
  <si>
    <t>ROMANO ANTHONY J &amp; SA</t>
  </si>
  <si>
    <t>LYNNBROOK AVE</t>
  </si>
  <si>
    <t xml:space="preserve">MESICK MARY KALSEY </t>
  </si>
  <si>
    <t>2228 WHITED ST</t>
  </si>
  <si>
    <t xml:space="preserve">DUNNER MELISSA </t>
  </si>
  <si>
    <t>2222 LYNNBROOK AVE</t>
  </si>
  <si>
    <t xml:space="preserve">BUI PHONG </t>
  </si>
  <si>
    <t>817 EATHAN AVE</t>
  </si>
  <si>
    <t>LEMOYNE AVE</t>
  </si>
  <si>
    <t xml:space="preserve">BUSH JORDAN                                     </t>
  </si>
  <si>
    <t>923 EATHAN AVE</t>
  </si>
  <si>
    <t>0 EATHAN AVE</t>
  </si>
  <si>
    <t xml:space="preserve">CHURCH 216 LLC </t>
  </si>
  <si>
    <t>0 STARKAMP ST</t>
  </si>
  <si>
    <t>LENDING ONE</t>
  </si>
  <si>
    <t>COMMERCE PKWY NE</t>
  </si>
  <si>
    <t>PALM BAY</t>
  </si>
  <si>
    <t>BROWN PATRICK C &amp; KATHLEEN M (W)</t>
  </si>
  <si>
    <t>2220 STARKAMP ST</t>
  </si>
  <si>
    <t>STARKAMP ST</t>
  </si>
  <si>
    <t>MANDARINO LORI A FKA  DELMASTRO LORA A</t>
  </si>
  <si>
    <t>2224 STARKAMP ST</t>
  </si>
  <si>
    <t xml:space="preserve">MANDARINO LORI A FKA </t>
  </si>
  <si>
    <t xml:space="preserve">SMYTHE MANAGEMENT LLC </t>
  </si>
  <si>
    <t>2020 EDGEBROOK AVE</t>
  </si>
  <si>
    <t xml:space="preserve">HANOGLU DENISE LYNN </t>
  </si>
  <si>
    <t>2141 EDGEBROOK AVE</t>
  </si>
  <si>
    <t xml:space="preserve">LENKNER MARK J </t>
  </si>
  <si>
    <t>2412 LYNNBROOK AVE</t>
  </si>
  <si>
    <t>ANDREWS RICHARD W &amp; MARIE (W)</t>
  </si>
  <si>
    <t>0 LYNNBROOK AVE</t>
  </si>
  <si>
    <t xml:space="preserve">BELL TIMOTHY ROBERT                             </t>
  </si>
  <si>
    <t>0 WENZELL AVE</t>
  </si>
  <si>
    <t>BELL TIMOTHY ROBERT &amp;</t>
  </si>
  <si>
    <t>WENZELL AVE</t>
  </si>
  <si>
    <t xml:space="preserve">NATIONSTAR MORTGAGE LLC </t>
  </si>
  <si>
    <t>2729 SHIRAS AVE</t>
  </si>
  <si>
    <t>NATIONSTAR MORTGAGE L</t>
  </si>
  <si>
    <t>HIGHLAND DR</t>
  </si>
  <si>
    <t xml:space="preserve">KOSLOSKI PETER A                                </t>
  </si>
  <si>
    <t>2233 CANDACE ST</t>
  </si>
  <si>
    <t>HUSTAVA EUGENE J &amp; DIANE L (W)</t>
  </si>
  <si>
    <t>0 CANDACE ST</t>
  </si>
  <si>
    <t>CANDACE ST</t>
  </si>
  <si>
    <t xml:space="preserve">BEECHVIEW BALTIC LLC </t>
  </si>
  <si>
    <t>2314 BROADWAY AVE</t>
  </si>
  <si>
    <t>2311 FREMONT PL</t>
  </si>
  <si>
    <t>2304 BENSONIA AVE</t>
  </si>
  <si>
    <t>BEER SCOTT JOHN &amp; BELINDA ANN (W)</t>
  </si>
  <si>
    <t>2309 BENSONIA AVE</t>
  </si>
  <si>
    <t>BEER SCOTT JOHN &amp; BEL</t>
  </si>
  <si>
    <t>BENSONIA AVE</t>
  </si>
  <si>
    <t xml:space="preserve">BYRNES JASON V </t>
  </si>
  <si>
    <t>2318 LOS ANGELES AVE</t>
  </si>
  <si>
    <t xml:space="preserve">ZIGLEAR ANTHONY &amp;                         </t>
  </si>
  <si>
    <t>2208 VODELI ST</t>
  </si>
  <si>
    <t xml:space="preserve">RIVERA JOSEPH </t>
  </si>
  <si>
    <t>2311 VODELI ST</t>
  </si>
  <si>
    <t>0 VODELI ST</t>
  </si>
  <si>
    <t xml:space="preserve">KASSOUF AFIF F </t>
  </si>
  <si>
    <t>2235 VODELI ST</t>
  </si>
  <si>
    <t xml:space="preserve">COPELAND WAYNE J </t>
  </si>
  <si>
    <t>2131 VODELI ST</t>
  </si>
  <si>
    <t>P O BOX 2</t>
  </si>
  <si>
    <t>MICHAEL ELLA  INVESTMENTS LP</t>
  </si>
  <si>
    <t>2235 SARANAC AVE</t>
  </si>
  <si>
    <t>MARTIN PERRY</t>
  </si>
  <si>
    <t>EVERETT ROBERT EVERETT MONIQUE</t>
  </si>
  <si>
    <t>0 SARANAC AVE</t>
  </si>
  <si>
    <t>SARANAC AVE</t>
  </si>
  <si>
    <t xml:space="preserve">FOLINO JOSEPH J </t>
  </si>
  <si>
    <t>2117 SARANAC AVE</t>
  </si>
  <si>
    <t>NEW LOOK REMODELING AND  PAINTING LLC</t>
  </si>
  <si>
    <t>2506 SHIRAS AVE</t>
  </si>
  <si>
    <t>NEW LOOK REMODELING A</t>
  </si>
  <si>
    <t>OREGON TRL</t>
  </si>
  <si>
    <t>SCHMITT RAYMOND V &amp; CAROLYN V (W)</t>
  </si>
  <si>
    <t>2502 SHIRAS AVE</t>
  </si>
  <si>
    <t>ANDERSON CHERIE</t>
  </si>
  <si>
    <t>2302 PALM BEACH AVE</t>
  </si>
  <si>
    <t xml:space="preserve">BUB ROBERT &amp; CINDI (W) </t>
  </si>
  <si>
    <t>2125 PAULINE AVE</t>
  </si>
  <si>
    <t>DAUGHERTY SAMUEL JR &amp; DONNA (W)</t>
  </si>
  <si>
    <t>2002 TEXDALE ST</t>
  </si>
  <si>
    <t>DAUGHERTY SAMUEL JR &amp;</t>
  </si>
  <si>
    <t>TEXDALE RD</t>
  </si>
  <si>
    <t xml:space="preserve">MATUSZEWSKI CHRIS </t>
  </si>
  <si>
    <t>2240 LONERGAN ST</t>
  </si>
  <si>
    <t>CHRIS MATUSZEWSKI</t>
  </si>
  <si>
    <t>LONERGAN WAY</t>
  </si>
  <si>
    <t xml:space="preserve">OLAYIWOLA OLUWAKEMI M </t>
  </si>
  <si>
    <t>2249 PAULINE AVE</t>
  </si>
  <si>
    <t xml:space="preserve">ARMBRUSTER ROBERT A JR </t>
  </si>
  <si>
    <t>2107 WOODWARD AVE</t>
  </si>
  <si>
    <t>ARMBRUSTER ROBERT A J</t>
  </si>
  <si>
    <t>PO BOX 11417</t>
  </si>
  <si>
    <t xml:space="preserve">VACHINO FAY </t>
  </si>
  <si>
    <t>2025 FAIR AVE</t>
  </si>
  <si>
    <t>FAIR AVE</t>
  </si>
  <si>
    <t xml:space="preserve">VACHINO ROY LEE </t>
  </si>
  <si>
    <t>2027 FAIR AVE</t>
  </si>
  <si>
    <t>SOUTHPARK RD</t>
  </si>
  <si>
    <t>2031 FAIR AVE</t>
  </si>
  <si>
    <t>PARK RD S</t>
  </si>
  <si>
    <t xml:space="preserve">VACHINO ROY </t>
  </si>
  <si>
    <t xml:space="preserve">2035 FAIR AVE LAND TRUST </t>
  </si>
  <si>
    <t>2035 FAIR AVE</t>
  </si>
  <si>
    <t xml:space="preserve">DEVERS DAVID K </t>
  </si>
  <si>
    <t>2089 WOODWARD AVE</t>
  </si>
  <si>
    <t>DEVERS DAVID K</t>
  </si>
  <si>
    <t>LUKSIS ROBERT J &amp; KAREN A (W)</t>
  </si>
  <si>
    <t>2071 WOODWARD AVE</t>
  </si>
  <si>
    <t>LUKSIS ROBERT J JR &amp; KAREN A LUKSIS (W)</t>
  </si>
  <si>
    <t>2073 WOODWARD AVE</t>
  </si>
  <si>
    <t>BELMONT AVE</t>
  </si>
  <si>
    <t>BARAHONA MARIA  ELIZABETH HERNANDEZ</t>
  </si>
  <si>
    <t>2081 WOODWARD AVE</t>
  </si>
  <si>
    <t>BARAHONA MARIA ELIZAB</t>
  </si>
  <si>
    <t xml:space="preserve">KRAUS LOUIS N </t>
  </si>
  <si>
    <t>1931 WOODWARD AVE</t>
  </si>
  <si>
    <t xml:space="preserve">SHERRY KEVIN R </t>
  </si>
  <si>
    <t>1920 PLAINVIEW AVE</t>
  </si>
  <si>
    <t>AS SUKARTA F &amp; YOSSY DENHAS</t>
  </si>
  <si>
    <t>1934 PLAINVIEW AVE</t>
  </si>
  <si>
    <t xml:space="preserve">AS SUKARTA F &amp; YOSSY </t>
  </si>
  <si>
    <t xml:space="preserve">PALMER BRIAN                                    </t>
  </si>
  <si>
    <t>1940 PLAINVIEW AVE</t>
  </si>
  <si>
    <t>T.Y.T REAL ESTATE  INVESTMENTS LLC</t>
  </si>
  <si>
    <t>2022 PLAINVIEW AVE</t>
  </si>
  <si>
    <t>T.Y.T REAL ESTATE INV</t>
  </si>
  <si>
    <t>0 PLAINVIEW AVE</t>
  </si>
  <si>
    <t>ROONEY JUNE L &amp; (TRUSTEE)</t>
  </si>
  <si>
    <t>2028 PLAINVIEW AVE</t>
  </si>
  <si>
    <t xml:space="preserve">PISANO MELINDA K </t>
  </si>
  <si>
    <t>THREE SUNS PROPERTY  SOLUTIONS LLC</t>
  </si>
  <si>
    <t>2009 PLAINVIEW AVE</t>
  </si>
  <si>
    <t>THREE SUNS PROPERTY S</t>
  </si>
  <si>
    <t>MISSISSIPPI AVE</t>
  </si>
  <si>
    <t xml:space="preserve">TAYLOR BENJAMIN A </t>
  </si>
  <si>
    <t>2007 PLAINVIEW AVE</t>
  </si>
  <si>
    <t>JEANNE CT APT 2</t>
  </si>
  <si>
    <t>WOOD DALE</t>
  </si>
  <si>
    <t xml:space="preserve">FIRST BROOKLINE TRUST  1939                    </t>
  </si>
  <si>
    <t>1939 PLAINVIEW AVE</t>
  </si>
  <si>
    <t>NAPIER JOSEPH R &amp; AMELIA G (W)</t>
  </si>
  <si>
    <t>2024 PIONEER AVE</t>
  </si>
  <si>
    <t>EILEEN NAPIER</t>
  </si>
  <si>
    <t xml:space="preserve">CITYLIFE SOUTH LLC </t>
  </si>
  <si>
    <t>2334 CANDACE ST</t>
  </si>
  <si>
    <t>CITYLIFE SOUTH LLC</t>
  </si>
  <si>
    <t>2330 CANDACE ST</t>
  </si>
  <si>
    <t>CITYLIFE ENTITIES</t>
  </si>
  <si>
    <t>2276 WENZELL AVE</t>
  </si>
  <si>
    <t>COCHRAN RD</t>
  </si>
  <si>
    <t>DUCEOUR BRAD M &amp; JENNIFER L (W)</t>
  </si>
  <si>
    <t>2353 FREMONT PL</t>
  </si>
  <si>
    <t>DUCEOUR BRAD M &amp; JENN</t>
  </si>
  <si>
    <t>FREMONT PL</t>
  </si>
  <si>
    <t xml:space="preserve">OTWAY SEAN P                                    </t>
  </si>
  <si>
    <t>2348 BENSONIA AVE</t>
  </si>
  <si>
    <t>BODNAR ALEXANDER JR &amp; CATHERINE I (W)</t>
  </si>
  <si>
    <t>2367 BENSONIA AVE</t>
  </si>
  <si>
    <t>DESARRO ALDO  &amp; JEAN M (W)</t>
  </si>
  <si>
    <t>2373 BENSONIA AVE</t>
  </si>
  <si>
    <t xml:space="preserve">DESARRO ALDO  &amp; JEAN </t>
  </si>
  <si>
    <t xml:space="preserve">MUSAH SANI </t>
  </si>
  <si>
    <t>2361 LOS ANGELES AVE</t>
  </si>
  <si>
    <t>SWANSON WILMA  &amp; ALBERT P</t>
  </si>
  <si>
    <t>0 MACKINAW AVE</t>
  </si>
  <si>
    <t xml:space="preserve">PROPERTY OF WEALTH LLC                          </t>
  </si>
  <si>
    <t>378 INGOMAR ST</t>
  </si>
  <si>
    <t>PROPERTY OF WEALTH LL</t>
  </si>
  <si>
    <t>NW 15TH AVE</t>
  </si>
  <si>
    <t xml:space="preserve">REASH LOUIS E </t>
  </si>
  <si>
    <t>392 INGOMAR ST</t>
  </si>
  <si>
    <t xml:space="preserve">PIKRAS GEORGE T </t>
  </si>
  <si>
    <t>15 WENZELL PL</t>
  </si>
  <si>
    <t xml:space="preserve">EVALINE INVESTMENTS LLC </t>
  </si>
  <si>
    <t>17 WENZELL PL</t>
  </si>
  <si>
    <t>16 WENZELL PL</t>
  </si>
  <si>
    <t xml:space="preserve">OBIECUNAS CINDY </t>
  </si>
  <si>
    <t>12 WENZELL PL</t>
  </si>
  <si>
    <t>OBIECUNAS CINDY</t>
  </si>
  <si>
    <t xml:space="preserve">GREGORY KAREN L </t>
  </si>
  <si>
    <t>8 WENZELL PL</t>
  </si>
  <si>
    <t>WENZELL PL</t>
  </si>
  <si>
    <t>6 WENZELL PL</t>
  </si>
  <si>
    <t xml:space="preserve">CRAMP WILLIAM </t>
  </si>
  <si>
    <t>2336 VODELI ST</t>
  </si>
  <si>
    <t>HAYWOOD JULIUS  &amp; CYNTHIA A (W)</t>
  </si>
  <si>
    <t>2633 INGOMAR ST</t>
  </si>
  <si>
    <t xml:space="preserve">THORNHILL THOMAS E </t>
  </si>
  <si>
    <t>2435 VODELI ST</t>
  </si>
  <si>
    <t xml:space="preserve">COTFORD HOMES LLC </t>
  </si>
  <si>
    <t>2616 MACKINAW AVE</t>
  </si>
  <si>
    <t>COTFORD HOMES LLC</t>
  </si>
  <si>
    <t>WOODHAVEN CT</t>
  </si>
  <si>
    <t>TILLMAN DEVA SAUNDERS RASHEED</t>
  </si>
  <si>
    <t>2361 VODELI ST</t>
  </si>
  <si>
    <t>TILLMAN DEVA SAUNDERS</t>
  </si>
  <si>
    <t xml:space="preserve">DELAVEGA VANESSA </t>
  </si>
  <si>
    <t>2344 SARANAC AVE</t>
  </si>
  <si>
    <t>MORRISON DR</t>
  </si>
  <si>
    <t xml:space="preserve">PECHERINA MARIA </t>
  </si>
  <si>
    <t>2416 PALM BEACH AVE</t>
  </si>
  <si>
    <t xml:space="preserve">SINK JOHN L                                     </t>
  </si>
  <si>
    <t>2375 SARANAC AVE</t>
  </si>
  <si>
    <t>REYES STEVE M &amp; COLLEEN M (W)</t>
  </si>
  <si>
    <t>2337 SARANAC AVE</t>
  </si>
  <si>
    <t xml:space="preserve">NGUYEN STEVEN </t>
  </si>
  <si>
    <t>2417 PALM BEACH AVE</t>
  </si>
  <si>
    <t xml:space="preserve">GUESMAN BONITA J </t>
  </si>
  <si>
    <t>2335 PALM BEACH AVE</t>
  </si>
  <si>
    <t>PALM BEACH AVE</t>
  </si>
  <si>
    <t>2438 WOODWARD AVE</t>
  </si>
  <si>
    <t>DEFRANCO BRYAN</t>
  </si>
  <si>
    <t xml:space="preserve">METROPOL ENTERPRISES </t>
  </si>
  <si>
    <t>0 WOODWARD AVE</t>
  </si>
  <si>
    <t xml:space="preserve">SIMPSON EMMETT W </t>
  </si>
  <si>
    <t>LASALLE BANK NA  (TRUSTEE)</t>
  </si>
  <si>
    <t>LASALLE BANK NA (TRUS</t>
  </si>
  <si>
    <t>SW MILLIKAN WAY STE 200</t>
  </si>
  <si>
    <t xml:space="preserve">NESTLER EUGENE C </t>
  </si>
  <si>
    <t>MARVLE VALLEY DR</t>
  </si>
  <si>
    <t xml:space="preserve">DUMM CAROLINE M </t>
  </si>
  <si>
    <t>2421 WOODWARD AVE</t>
  </si>
  <si>
    <t>SWEETBRIAR ST APT 604</t>
  </si>
  <si>
    <t>PGH NATIONAL BANK  TRUSTEE FOR SAMUEL SAN D</t>
  </si>
  <si>
    <t>0 BELLE ISLE AVE</t>
  </si>
  <si>
    <t xml:space="preserve">FERRETTI LOIS J </t>
  </si>
  <si>
    <t>2095 PLAINVIEW AVE</t>
  </si>
  <si>
    <t>FAVA NICOLA D &amp; SUZANNE (W)</t>
  </si>
  <si>
    <t>2050 PIONEER AVE</t>
  </si>
  <si>
    <t>FAVA NICOLA D &amp; SUZAN</t>
  </si>
  <si>
    <t xml:space="preserve">IMHOFF KAREN </t>
  </si>
  <si>
    <t>335 FERNHILL AVE</t>
  </si>
  <si>
    <t>PERELLA ROSEMARY &amp; JAMES (H)</t>
  </si>
  <si>
    <t>339 FERNHILL AVE</t>
  </si>
  <si>
    <t>PERELLA ROSEMARY &amp; JA</t>
  </si>
  <si>
    <t>SANDY MOUNTAIN DR</t>
  </si>
  <si>
    <t>BALL RONALD L &amp; COLLEEN A (W)</t>
  </si>
  <si>
    <t>324 LAMARIDO ST</t>
  </si>
  <si>
    <t>ZURAWSKY BRUCE D &amp; DEBRA A (W)</t>
  </si>
  <si>
    <t>322 LAMARIDO ST</t>
  </si>
  <si>
    <t xml:space="preserve">LUTHER OLIVIA </t>
  </si>
  <si>
    <t>2103 PIONEER AVE</t>
  </si>
  <si>
    <t xml:space="preserve">MENESKIE PATRICIA J </t>
  </si>
  <si>
    <t>2306 BEAUFORT AVE</t>
  </si>
  <si>
    <t xml:space="preserve">CARLISLE CINDY </t>
  </si>
  <si>
    <t>529 BEAUFORT AVE</t>
  </si>
  <si>
    <t>87 WENZELL PL</t>
  </si>
  <si>
    <t xml:space="preserve">MILIE VALERIE </t>
  </si>
  <si>
    <t>69 WENZELL PL</t>
  </si>
  <si>
    <t>HESSERT LARRY R JR &amp; KELLY (W)</t>
  </si>
  <si>
    <t>63 WENZELL PL</t>
  </si>
  <si>
    <t xml:space="preserve">HESSERT LARRY R JR &amp; </t>
  </si>
  <si>
    <t>PATTERSON AVE</t>
  </si>
  <si>
    <t xml:space="preserve">CUI NAN </t>
  </si>
  <si>
    <t>33 WENZELL PL</t>
  </si>
  <si>
    <t>PO BOX 160</t>
  </si>
  <si>
    <t>KOCH DONALD E &amp; LUCILLE C</t>
  </si>
  <si>
    <t>40 WENZELL PL</t>
  </si>
  <si>
    <t>NORTHSTAR REALTY  INVESTMENT LIMITED LIABI</t>
  </si>
  <si>
    <t>48 WENZELL PL</t>
  </si>
  <si>
    <t xml:space="preserve">HAYES HAL </t>
  </si>
  <si>
    <t>70 WENZELL PL</t>
  </si>
  <si>
    <t>VOELKEL AVE</t>
  </si>
  <si>
    <t xml:space="preserve">CHAN MICHAEL &amp; LYNN (W) </t>
  </si>
  <si>
    <t>86 WENZELL PL</t>
  </si>
  <si>
    <t xml:space="preserve">MCGEEVER CARLY </t>
  </si>
  <si>
    <t>2500 WEST LIBERTY AVE</t>
  </si>
  <si>
    <t>CARLY MCGREEVER</t>
  </si>
  <si>
    <t>VALLEYVIEW RD</t>
  </si>
  <si>
    <t xml:space="preserve">ZAAZOUH JOSETTE J </t>
  </si>
  <si>
    <t>2440 VODELI ST</t>
  </si>
  <si>
    <t xml:space="preserve">WASIECKO JOSEPH W </t>
  </si>
  <si>
    <t>2531 WEST LIBERTY AVE</t>
  </si>
  <si>
    <t xml:space="preserve">O'PATCHEN RONALD </t>
  </si>
  <si>
    <t>2524 WOODWARD AVE</t>
  </si>
  <si>
    <t>RONALD O'PATCHEN</t>
  </si>
  <si>
    <t xml:space="preserve">KOBUCK SHELLEY                                  </t>
  </si>
  <si>
    <t>2451 WEST LIBERTY AVE</t>
  </si>
  <si>
    <t>WATKINS AVE</t>
  </si>
  <si>
    <t>GRAY ROBERT SCOTT &amp; TRACY LYNN (W)</t>
  </si>
  <si>
    <t>2544 WOODWARD AVE</t>
  </si>
  <si>
    <t>2558 PLAINVIEW AVE</t>
  </si>
  <si>
    <t xml:space="preserve">LINCOLN DAVID A </t>
  </si>
  <si>
    <t>2526 PLAINVIEW AVE</t>
  </si>
  <si>
    <t xml:space="preserve">INTERTHAL JORDAN </t>
  </si>
  <si>
    <t xml:space="preserve">VERI NANCY E </t>
  </si>
  <si>
    <t>2424 PIONEER AVE</t>
  </si>
  <si>
    <t xml:space="preserve">CIOTTI THEODORA                                 </t>
  </si>
  <si>
    <t>2438 PIONEER AVE</t>
  </si>
  <si>
    <t>LORIS ANNA MARIA</t>
  </si>
  <si>
    <t xml:space="preserve">MICHAEL ELLA  INVESTMENTS LP          </t>
  </si>
  <si>
    <t>320 TEMPLETON AVE</t>
  </si>
  <si>
    <t xml:space="preserve">DEVER DENNIS                                    </t>
  </si>
  <si>
    <t>431 WINTERHILL ST</t>
  </si>
  <si>
    <t>VERLATO TED W &amp; MAUREEN (W)</t>
  </si>
  <si>
    <t>422 WINTERHILL ST</t>
  </si>
  <si>
    <t>KINGS LN</t>
  </si>
  <si>
    <t>SHALLO KAREN L &amp; MARK R (H)</t>
  </si>
  <si>
    <t>518 ROSSMORE AVE</t>
  </si>
  <si>
    <t xml:space="preserve">ELLIS MARY E                                    </t>
  </si>
  <si>
    <t>2404 BEAUFORT AVE</t>
  </si>
  <si>
    <t xml:space="preserve">WASIECKO JOSEPH                                 </t>
  </si>
  <si>
    <t>0 GALLION AVE</t>
  </si>
  <si>
    <t>547 GALLION AVE</t>
  </si>
  <si>
    <t>ARDOLINO VIRGINIA M &amp; KURTIS E DELUCA</t>
  </si>
  <si>
    <t>2346 BEAUFORT AVE</t>
  </si>
  <si>
    <t>ARDOLINO VIRGINIA M &amp; KURTIS F DELUCA</t>
  </si>
  <si>
    <t>PALMER JAMES R &amp; NANCY L (W)</t>
  </si>
  <si>
    <t>2351 BIRTLEY AVE</t>
  </si>
  <si>
    <t>BIRTLEY AVE</t>
  </si>
  <si>
    <t xml:space="preserve">CUSICK WILLIAM P </t>
  </si>
  <si>
    <t>0 WOLFORD ST</t>
  </si>
  <si>
    <t>KEANE THOMAS F &amp; KATHLEEN (W)</t>
  </si>
  <si>
    <t>726 EATHAN AVE</t>
  </si>
  <si>
    <t>EATHAN AVE</t>
  </si>
  <si>
    <t>3059 PIONEER AVE</t>
  </si>
  <si>
    <t xml:space="preserve">HITE BEBOUT JACQUELINE </t>
  </si>
  <si>
    <t>3037 PIONEER AVE</t>
  </si>
  <si>
    <t xml:space="preserve">MONROE WILLIAM C III </t>
  </si>
  <si>
    <t>2700 WADDINGTON AVE</t>
  </si>
  <si>
    <t>WADDINGTON AVE</t>
  </si>
  <si>
    <t>2747 AMMAN ST</t>
  </si>
  <si>
    <t xml:space="preserve">MAYHEW CYNTHIA </t>
  </si>
  <si>
    <t>2741 AMMAN ST</t>
  </si>
  <si>
    <t>AMMAN ST</t>
  </si>
  <si>
    <t xml:space="preserve">SKALICAN GRACE G L/E                            </t>
  </si>
  <si>
    <t>2676 AMMAN ST</t>
  </si>
  <si>
    <t xml:space="preserve">SIGUFY JOSEPH MARK </t>
  </si>
  <si>
    <t>0 AMMAN ST</t>
  </si>
  <si>
    <t xml:space="preserve">SIYUFY VINCENT </t>
  </si>
  <si>
    <t>2760 AMMAN ST</t>
  </si>
  <si>
    <t>SOFI BANK</t>
  </si>
  <si>
    <t xml:space="preserve">SCARVACE MARIE A </t>
  </si>
  <si>
    <t>2764 AMMAN ST</t>
  </si>
  <si>
    <t>JULIE KARTMAN</t>
  </si>
  <si>
    <t xml:space="preserve">HICKS JERRY L </t>
  </si>
  <si>
    <t>2823 KENILWORTH ST</t>
  </si>
  <si>
    <t>KENILWORTH ST</t>
  </si>
  <si>
    <t xml:space="preserve">DILLING DONALD E </t>
  </si>
  <si>
    <t>2821 KENILWORTH ST</t>
  </si>
  <si>
    <t xml:space="preserve">MEHELCIC GARY </t>
  </si>
  <si>
    <t>0 KENILWORTH ST</t>
  </si>
  <si>
    <t>KENILWORTH AVE</t>
  </si>
  <si>
    <t>DEMARCO DOMINIC &amp; TERI LYNN (W)</t>
  </si>
  <si>
    <t>2803 KENILWORTH ST</t>
  </si>
  <si>
    <t>DEMARCO DOMINIC &amp; TER</t>
  </si>
  <si>
    <t>MIFFLIN RD</t>
  </si>
  <si>
    <t>WUCHEVICH JOSEPH JR &amp; JOAN (W)</t>
  </si>
  <si>
    <t>353 BROOKLINE BLVD</t>
  </si>
  <si>
    <t>WHITE HAMPTON LN APT 116</t>
  </si>
  <si>
    <t>407 JILLSON AVE</t>
  </si>
  <si>
    <t>400 JILLSON AVE</t>
  </si>
  <si>
    <t>PO BOX 81065</t>
  </si>
  <si>
    <t xml:space="preserve">EHMANN HEATHER </t>
  </si>
  <si>
    <t>2821 SHAWHAN AVE</t>
  </si>
  <si>
    <t>SHAWHAN AVE</t>
  </si>
  <si>
    <t xml:space="preserve">DEFRANCESCO JAMES A JR </t>
  </si>
  <si>
    <t>2833 SHAWHAN AVE</t>
  </si>
  <si>
    <t>2808 PIONEER AVE</t>
  </si>
  <si>
    <t xml:space="preserve">BAKER JILL ALLISON </t>
  </si>
  <si>
    <t>2800 PIONEER AVE</t>
  </si>
  <si>
    <t xml:space="preserve">PISTORIUS JAMES M </t>
  </si>
  <si>
    <t>2710 PIONEER AVE</t>
  </si>
  <si>
    <t xml:space="preserve">CELIS RAMON GUSTAVO </t>
  </si>
  <si>
    <t>2644 PIONEER AVE</t>
  </si>
  <si>
    <t>JWC PROPERTY MANAGEMENT  LLC</t>
  </si>
  <si>
    <t>2681 WADDINGTON AVE</t>
  </si>
  <si>
    <t>JWC PROPERTY MANAGEME</t>
  </si>
  <si>
    <t>MONROEVILLE BLVD</t>
  </si>
  <si>
    <t xml:space="preserve">HUBER DON R </t>
  </si>
  <si>
    <t>316 AIDYL AVE</t>
  </si>
  <si>
    <t>BRIARWOOD BLVD</t>
  </si>
  <si>
    <t>318 AIDYL AVE</t>
  </si>
  <si>
    <t xml:space="preserve">VASSILAROS LOUIS </t>
  </si>
  <si>
    <t>2544 PIONEER AVE</t>
  </si>
  <si>
    <t>FIDELITY DR</t>
  </si>
  <si>
    <t>TROSKY DAVID F &amp; KRISTEN L (W)</t>
  </si>
  <si>
    <t>307 BODKIN ST</t>
  </si>
  <si>
    <t xml:space="preserve">SAUNDERS RUTH M </t>
  </si>
  <si>
    <t>526 BERKSHIRE AVE</t>
  </si>
  <si>
    <t>BERKSHIRE AVE APT 1</t>
  </si>
  <si>
    <t xml:space="preserve">ZANGANA SHERKO                                  </t>
  </si>
  <si>
    <t>615 BERKSHIRE AVE</t>
  </si>
  <si>
    <t>PNC BANK  N A</t>
  </si>
  <si>
    <t>PO BOX  8800 410</t>
  </si>
  <si>
    <t>CHAHINE DANNY &amp; JOURDAN F (W)</t>
  </si>
  <si>
    <t>619 BERKSHIRE AVE</t>
  </si>
  <si>
    <t>CHAHINE DANNY &amp; JOURD</t>
  </si>
  <si>
    <t xml:space="preserve">RAYMOND GARY </t>
  </si>
  <si>
    <t>617 BROOKLINE BLVD</t>
  </si>
  <si>
    <t xml:space="preserve">PITT GUARDIAN LLC </t>
  </si>
  <si>
    <t>703 BROOKLINE BLVD</t>
  </si>
  <si>
    <t>ANDREA LANE</t>
  </si>
  <si>
    <t>MPB  PROPERTIES LIMITED  ETAL</t>
  </si>
  <si>
    <t>710 BELLAIRE AVE</t>
  </si>
  <si>
    <t>MPB  PROPERTIES LIMIT</t>
  </si>
  <si>
    <t>MICHAEL DR</t>
  </si>
  <si>
    <t xml:space="preserve">COLLINS MATTHEW P                               </t>
  </si>
  <si>
    <t>548 BELLAIRE AVE</t>
  </si>
  <si>
    <t>HENSEL MARY ALICE &amp; DENNIS (H)</t>
  </si>
  <si>
    <t>2508 WEDGEMERE ST</t>
  </si>
  <si>
    <t xml:space="preserve">IHHWT L L C </t>
  </si>
  <si>
    <t>2515 WEDGEMERE ST</t>
  </si>
  <si>
    <t xml:space="preserve">MCCULLOUGH ROBERT D </t>
  </si>
  <si>
    <t>745 BELLAIRE AVE</t>
  </si>
  <si>
    <t xml:space="preserve">BERNOTAS KATHLEEN </t>
  </si>
  <si>
    <t>726 ROSSMORE AVE</t>
  </si>
  <si>
    <t xml:space="preserve">JDS  ROSSMORE HOLDINGS  LLC                     </t>
  </si>
  <si>
    <t>814 ROSSMORE AVE</t>
  </si>
  <si>
    <t>JDS  ROSSMORE HOLDING</t>
  </si>
  <si>
    <t>GRANT ST FL 14TH</t>
  </si>
  <si>
    <t xml:space="preserve">CALFO TODD J </t>
  </si>
  <si>
    <t>616 GALLION AVE</t>
  </si>
  <si>
    <t>WATTZZEN PROPERTY GROUP  LLC</t>
  </si>
  <si>
    <t>702 GALLION AVE</t>
  </si>
  <si>
    <t>WATTZZEN PROPERTY GRO</t>
  </si>
  <si>
    <t xml:space="preserve">LEECH TIMOTHY J JR </t>
  </si>
  <si>
    <t>708 GALLION AVE</t>
  </si>
  <si>
    <t>HPA II BORROWER 2020-1  ML LLC</t>
  </si>
  <si>
    <t>738 GALLION AVE</t>
  </si>
  <si>
    <t>HOME PARTNERS OF AMER</t>
  </si>
  <si>
    <t>S RIVERSIDE PL STE 2000</t>
  </si>
  <si>
    <t>HATFIELD MICHAEL S &amp; KAREN ANN (W)</t>
  </si>
  <si>
    <t>808 GALLION AVE</t>
  </si>
  <si>
    <t>` LISA DR</t>
  </si>
  <si>
    <t xml:space="preserve">MOSES ROBERT </t>
  </si>
  <si>
    <t>757 GALLION AVE</t>
  </si>
  <si>
    <t>BLUE HERON CT</t>
  </si>
  <si>
    <t>BRAY</t>
  </si>
  <si>
    <t xml:space="preserve">MARX SCOTT A </t>
  </si>
  <si>
    <t>711 GALLION AVE</t>
  </si>
  <si>
    <t xml:space="preserve">VASSILROS JOANNA </t>
  </si>
  <si>
    <t>814 BERWIN AVE</t>
  </si>
  <si>
    <t>MUELLER ERIC &amp; JENNIFER GARDNER</t>
  </si>
  <si>
    <t>815 BERWIN AVE</t>
  </si>
  <si>
    <t>BERWIN AVE</t>
  </si>
  <si>
    <t xml:space="preserve">DOBSON DYLAN </t>
  </si>
  <si>
    <t>812 EATHAN AVE</t>
  </si>
  <si>
    <t>DOBSON DYLAN</t>
  </si>
  <si>
    <t xml:space="preserve">BLAKE MARLA C </t>
  </si>
  <si>
    <t>2438 STARKAMP ST</t>
  </si>
  <si>
    <t xml:space="preserve">GROMEK JENNIFER A </t>
  </si>
  <si>
    <t>2432 STARKAMP ST</t>
  </si>
  <si>
    <t>JENNIFER A GROMEK</t>
  </si>
  <si>
    <t xml:space="preserve">KEELER RACHEL                                   </t>
  </si>
  <si>
    <t>2447 STARKAMP ST</t>
  </si>
  <si>
    <t>ENERGY PARK DR</t>
  </si>
  <si>
    <t xml:space="preserve">CANCILLA MARGARET M </t>
  </si>
  <si>
    <t>2451 STARKAMP ST</t>
  </si>
  <si>
    <t xml:space="preserve">CASHMAN KIMBERLY A </t>
  </si>
  <si>
    <t>1046 BELLAIRE AVE</t>
  </si>
  <si>
    <t xml:space="preserve">RYAN MARTIN P </t>
  </si>
  <si>
    <t>1036 BELLAIRE AVE</t>
  </si>
  <si>
    <t xml:space="preserve">WARD LYDIA                                      </t>
  </si>
  <si>
    <t>2511 EDGEBROOK AVE</t>
  </si>
  <si>
    <t>WARD LYDIA</t>
  </si>
  <si>
    <t>1116 BELLAIRE AVE</t>
  </si>
  <si>
    <t xml:space="preserve">ABOUD DANI </t>
  </si>
  <si>
    <t>1138 BELLAIRE AVE</t>
  </si>
  <si>
    <t>1132 MILAN AVE</t>
  </si>
  <si>
    <t xml:space="preserve">SCHAUM STEVEN </t>
  </si>
  <si>
    <t>0 CLIPPERT AVE</t>
  </si>
  <si>
    <t xml:space="preserve">HART JASON L </t>
  </si>
  <si>
    <t>1138 BROOKLINE BLVD</t>
  </si>
  <si>
    <t xml:space="preserve">GLUMAC RICHARD D </t>
  </si>
  <si>
    <t>1104 BROOKLINE BLVD</t>
  </si>
  <si>
    <t>MAPLENE AVE</t>
  </si>
  <si>
    <t xml:space="preserve">WEISS JUDITH M </t>
  </si>
  <si>
    <t>1209 OAKRIDGE ST</t>
  </si>
  <si>
    <t>OAKRIDGE ST</t>
  </si>
  <si>
    <t xml:space="preserve"> VENKATARAGHAVASIVANAGASH</t>
  </si>
  <si>
    <t>1205 WAREMAN AVE</t>
  </si>
  <si>
    <t>BETTER  MORTGAGE CORP</t>
  </si>
  <si>
    <t xml:space="preserve">SIMCOX KRISTINE A </t>
  </si>
  <si>
    <t>1225 WAREMAN AVE</t>
  </si>
  <si>
    <t>WAREMAN AVE</t>
  </si>
  <si>
    <t xml:space="preserve">ROHN &amp; ASSOCIATES DESIGN </t>
  </si>
  <si>
    <t>1113 CREEDMOOR AVE</t>
  </si>
  <si>
    <t>ROHN &amp; ASSOCIATES DES</t>
  </si>
  <si>
    <t>CREEDMOOR AVE</t>
  </si>
  <si>
    <t>0 CREEDMOOR AVE</t>
  </si>
  <si>
    <t xml:space="preserve">HALL NATASHA A                                  </t>
  </si>
  <si>
    <t>1127 CREEDMOOR AVE</t>
  </si>
  <si>
    <t>HALL NATASHA A ETAL</t>
  </si>
  <si>
    <t xml:space="preserve">NOVOSEL TIMOTHY N                               </t>
  </si>
  <si>
    <t>1129 CREEDMOOR AVE</t>
  </si>
  <si>
    <t xml:space="preserve">BROWN CODY L </t>
  </si>
  <si>
    <t>1225 CREEDMOOR AVE</t>
  </si>
  <si>
    <t>LLOYD JOHN F &amp; ROBERTA A LLOYD</t>
  </si>
  <si>
    <t>1206 CREEDMOOR AVE</t>
  </si>
  <si>
    <t>LEYSHOCK MATTHEW &amp; REBECCA (W)</t>
  </si>
  <si>
    <t>1138 CREEDMOOR AVE</t>
  </si>
  <si>
    <t>LEYSHOCK MATTHEW &amp; RE</t>
  </si>
  <si>
    <t>BRUNO ANTHONY J &amp; MARY LOU (W)</t>
  </si>
  <si>
    <t>1202 CHELTON AVE</t>
  </si>
  <si>
    <t>CHELTON AVE</t>
  </si>
  <si>
    <t xml:space="preserve">HENRY PHYLLIS S </t>
  </si>
  <si>
    <t>1126 CHELTON AVE</t>
  </si>
  <si>
    <t>CHARLENE HENRY</t>
  </si>
  <si>
    <t>GARDNER JOHN B &amp; DARLENE S (W)</t>
  </si>
  <si>
    <t>1124 CHELTON AVE</t>
  </si>
  <si>
    <t>GARDNER JOHN B &amp; DARL</t>
  </si>
  <si>
    <t xml:space="preserve">CERCONE CHRISTIE </t>
  </si>
  <si>
    <t>1118 CHELTON AVE</t>
  </si>
  <si>
    <t>AIDAN CT</t>
  </si>
  <si>
    <t xml:space="preserve">DYKEMAN GEORGE J JR                             </t>
  </si>
  <si>
    <t>1042 CHELTON AVE</t>
  </si>
  <si>
    <t>MARSHALL JAMES M &amp; SUSAN J (W)</t>
  </si>
  <si>
    <t>1254 BROOKLINE BLVD</t>
  </si>
  <si>
    <t xml:space="preserve">HINDERLITER CHAD E </t>
  </si>
  <si>
    <t>1241 MERRICK AVE</t>
  </si>
  <si>
    <t>BEGGAN JOHN C SR &amp; HEIDI KONESKY</t>
  </si>
  <si>
    <t>1324 BREINING ST</t>
  </si>
  <si>
    <t>BREINING ST</t>
  </si>
  <si>
    <t xml:space="preserve">BUSKIRK BRUCE E </t>
  </si>
  <si>
    <t>1310 OAKRIDGE ST</t>
  </si>
  <si>
    <t xml:space="preserve">DEBONA SAMUEL V </t>
  </si>
  <si>
    <t>1201 BERKSHIRE AVE</t>
  </si>
  <si>
    <t xml:space="preserve">MC FEELY DENNIS J </t>
  </si>
  <si>
    <t>1511 BERKSHIRE AVE</t>
  </si>
  <si>
    <t>KANE PAUL F &amp; GERALDINE M (W)</t>
  </si>
  <si>
    <t>1512 BERKSHIRE AVE</t>
  </si>
  <si>
    <t>GREENWOOD DR</t>
  </si>
  <si>
    <t xml:space="preserve">HAIBACH NOAH &amp;                         </t>
  </si>
  <si>
    <t>1214 BERKSHIRE AVE</t>
  </si>
  <si>
    <t>HAIBACH NOAH &amp; RUZGAR</t>
  </si>
  <si>
    <t>MCDONALD JAMES J JR &amp; CATHERINE A (W)</t>
  </si>
  <si>
    <t>1206 BERKSHIRE AVE</t>
  </si>
  <si>
    <t>PERUGINI PERRY L &amp; DIANA L (W)</t>
  </si>
  <si>
    <t>1221 WOODBOURNE AVE</t>
  </si>
  <si>
    <t>PERUGINI PERRY L &amp; DI</t>
  </si>
  <si>
    <t>WOODBOURNE AVE</t>
  </si>
  <si>
    <t>SCHILLING RONALD T &amp; PAMELA H (W)</t>
  </si>
  <si>
    <t>1229 WOODBOURNE AVE</t>
  </si>
  <si>
    <t xml:space="preserve">CARDELLO TRACY </t>
  </si>
  <si>
    <t>1231 WOODBOURNE AVE</t>
  </si>
  <si>
    <t>SHERIDAN JAMES P &amp; DENISE L (W)</t>
  </si>
  <si>
    <t>1303 WOODBOURNE AVE</t>
  </si>
  <si>
    <t xml:space="preserve">HYLAND MARY </t>
  </si>
  <si>
    <t>1210 WOODBOURNE AVE</t>
  </si>
  <si>
    <t>WALSH JUSTIN M &amp; KELLY (W)</t>
  </si>
  <si>
    <t>0 CHELTON AVE</t>
  </si>
  <si>
    <t>JUSTIN M &amp; KELLY E WA</t>
  </si>
  <si>
    <t>1615 CHELTON AVE</t>
  </si>
  <si>
    <t>HAMILTON ROBERT G &amp; KAREN L (W)</t>
  </si>
  <si>
    <t>1505 CREEDMOOR AVE</t>
  </si>
  <si>
    <t xml:space="preserve">SANDERS JERI L </t>
  </si>
  <si>
    <t>1503 WAREMAN AVE</t>
  </si>
  <si>
    <t>DREGER REBECCA L &amp; RYAN G (H)</t>
  </si>
  <si>
    <t>2417 HOBSON ST</t>
  </si>
  <si>
    <t xml:space="preserve">MARQUEE MANAGEMENT LLC </t>
  </si>
  <si>
    <t>1605 CREEDMOOR AVE</t>
  </si>
  <si>
    <t>MARQUEE MANAGEMENT LL</t>
  </si>
  <si>
    <t>DREY ST</t>
  </si>
  <si>
    <t xml:space="preserve">MEHAFFEY ROBERT J &amp; LINDA (W)               </t>
  </si>
  <si>
    <t>1635 CREEDMOOR AVE</t>
  </si>
  <si>
    <t>SCOTT WALLACE &amp; DIANE B (W)</t>
  </si>
  <si>
    <t>1652 SEATON ST</t>
  </si>
  <si>
    <t>SCOTT WALLACE &amp; DIANE</t>
  </si>
  <si>
    <t>SEATON ST</t>
  </si>
  <si>
    <t>OLEKSIAK EDWARD A &amp; DEBORAH L BEHUN</t>
  </si>
  <si>
    <t>1613 SEATON ST</t>
  </si>
  <si>
    <t>COLCOMBE GEORGE E &amp; MARY C (W)</t>
  </si>
  <si>
    <t>2815 SAGEMAN AVE</t>
  </si>
  <si>
    <t>SAGEMAN AVE</t>
  </si>
  <si>
    <t>HUFF CEPHUS &amp; JUANITA SMITH (W)</t>
  </si>
  <si>
    <t>1419 WOODBOURNE AVE</t>
  </si>
  <si>
    <t>HUFF CEPHUS &amp; JUANITA</t>
  </si>
  <si>
    <t xml:space="preserve">ALEXANDER THOMAS P </t>
  </si>
  <si>
    <t>1431 WOODBOURNE AVE</t>
  </si>
  <si>
    <t xml:space="preserve">OSTERRITTER LINDA J </t>
  </si>
  <si>
    <t>1618 ROCKFORD AVE</t>
  </si>
  <si>
    <t>ROCKFORD AVE</t>
  </si>
  <si>
    <t xml:space="preserve">GERSTER DENNIS P </t>
  </si>
  <si>
    <t>1516 WOODBOURNE AVE</t>
  </si>
  <si>
    <t>LOWERHILL AVE</t>
  </si>
  <si>
    <t>JONES DANA F &amp; DALE A (H)</t>
  </si>
  <si>
    <t>1534 WOODBOURNE AVE</t>
  </si>
  <si>
    <t xml:space="preserve">STOWMAN ENTERPRISES </t>
  </si>
  <si>
    <t xml:space="preserve">LIBERTY SAVINGS BANK </t>
  </si>
  <si>
    <t>P. O. BOX  1000</t>
  </si>
  <si>
    <t xml:space="preserve">MAHOUSKI ROBERT </t>
  </si>
  <si>
    <t>1704 CREEDMOOR AVE</t>
  </si>
  <si>
    <t>CREEDMORE AVE</t>
  </si>
  <si>
    <t xml:space="preserve">GAUTIER WILLIAM CONNER </t>
  </si>
  <si>
    <t>1655 CREEDMOOR AVE</t>
  </si>
  <si>
    <t>HUNTINGTON BANK</t>
  </si>
  <si>
    <t>CLEVELAND AVE GW-0214</t>
  </si>
  <si>
    <t xml:space="preserve">WHITEHEAD TAMARA </t>
  </si>
  <si>
    <t>3004 KNOWLSON AVE</t>
  </si>
  <si>
    <t xml:space="preserve">THOMPSON DANIELLE L                             </t>
  </si>
  <si>
    <t>1256 MCNEILLY AVE</t>
  </si>
  <si>
    <t>DENKER AVE</t>
  </si>
  <si>
    <t>TORRANCE</t>
  </si>
  <si>
    <t>RAUSCHER FRANCIS  &amp; CHARLES KRAMER</t>
  </si>
  <si>
    <t>0 MCNEILLY AVE</t>
  </si>
  <si>
    <t>PRIVATE WAY</t>
  </si>
  <si>
    <t>2929 PIONEER AVE</t>
  </si>
  <si>
    <t>PO BOX 79235</t>
  </si>
  <si>
    <t>2927 PIONEER AVE</t>
  </si>
  <si>
    <t xml:space="preserve">FOY MICHAEL J </t>
  </si>
  <si>
    <t>2812 KNOWLSON AVE</t>
  </si>
  <si>
    <t>KNOWLSON AVE</t>
  </si>
  <si>
    <t>GERBA RALPH R JR &amp; NANCY J (W)</t>
  </si>
  <si>
    <t>2822 KNOWLSON AVE</t>
  </si>
  <si>
    <t xml:space="preserve">WU LUO </t>
  </si>
  <si>
    <t>555 CLEMESHA AVE</t>
  </si>
  <si>
    <t>CITIBANK</t>
  </si>
  <si>
    <t>O'FALLON</t>
  </si>
  <si>
    <t xml:space="preserve">L &amp; P ENTERPRISES </t>
  </si>
  <si>
    <t>519 CLEMESHA AVE</t>
  </si>
  <si>
    <t xml:space="preserve">LENORE BUTLER LISA A </t>
  </si>
  <si>
    <t>532 FORDHAM AVE</t>
  </si>
  <si>
    <t>LENORE BUTLER LISA A</t>
  </si>
  <si>
    <t>FORDHAM AVE</t>
  </si>
  <si>
    <t>603 FORDHAM AVE</t>
  </si>
  <si>
    <t xml:space="preserve">PTL MANAGEMENT LLC </t>
  </si>
  <si>
    <t>543 FORDHAM AVE</t>
  </si>
  <si>
    <t>THORNWOOD DR</t>
  </si>
  <si>
    <t>SIMONI JUSTIN M &amp; JAMIE L (W)</t>
  </si>
  <si>
    <t>541 FORDHAM AVE</t>
  </si>
  <si>
    <t>360 MORTGAGE GROUP LL</t>
  </si>
  <si>
    <t>DEPASQUALE RICHARD S JR  &amp; DEBRA D (W)</t>
  </si>
  <si>
    <t>729 FORDHAM AVE</t>
  </si>
  <si>
    <t xml:space="preserve">LANDIS PETER M </t>
  </si>
  <si>
    <t>722 BAYRIDGE AVE</t>
  </si>
  <si>
    <t xml:space="preserve">LANCIA MELISSA A </t>
  </si>
  <si>
    <t>718 BAYRIDGE AVE</t>
  </si>
  <si>
    <t>LANCIA MELISSA A</t>
  </si>
  <si>
    <t xml:space="preserve">STAAB EDWIN A &amp; JANET H </t>
  </si>
  <si>
    <t>700 BAYRIDGE AVE</t>
  </si>
  <si>
    <t xml:space="preserve">BUCKLEY MARGARET L </t>
  </si>
  <si>
    <t>734 WOODBOURNE AVE</t>
  </si>
  <si>
    <t>HOFFMAN RONALD J &amp; KATHLEEN A (W)</t>
  </si>
  <si>
    <t>724 BERKSHIRE AVE</t>
  </si>
  <si>
    <t>ALRIFAI KAMIL &amp; DAHAL (W)</t>
  </si>
  <si>
    <t>700 BERKSHIRE AVE</t>
  </si>
  <si>
    <t xml:space="preserve">LEFF SCOT &amp; CAROL (W) </t>
  </si>
  <si>
    <t>624 BERKSHIRE AVE</t>
  </si>
  <si>
    <t>FORMICA NICHOLAS J &amp; KELSEY R (W)</t>
  </si>
  <si>
    <t>809 BERKSHIRE AVE</t>
  </si>
  <si>
    <t>ARDOLINO JEFFREY M &amp; CHRISTINE LYNN (W)</t>
  </si>
  <si>
    <t>750 BROOKLINE BLVD</t>
  </si>
  <si>
    <t>ALJO DR</t>
  </si>
  <si>
    <t xml:space="preserve">AMAN FATIMA                                     </t>
  </si>
  <si>
    <t>744 BROOKLINE BLVD</t>
  </si>
  <si>
    <t xml:space="preserve">LOOKING FOR GROUP LLC </t>
  </si>
  <si>
    <t>818 BROOKLINE BLVD</t>
  </si>
  <si>
    <t xml:space="preserve">AZHAR MISBAH </t>
  </si>
  <si>
    <t>944 BROOKLINE BLVD</t>
  </si>
  <si>
    <t>N CRAIG ST APT 212</t>
  </si>
  <si>
    <t xml:space="preserve">CZEKAJ MICHAEL A </t>
  </si>
  <si>
    <t>927 BROOKLINE BLVD</t>
  </si>
  <si>
    <t xml:space="preserve">BERUMEN PROPERTIES LLC </t>
  </si>
  <si>
    <t>903 BROOKLINE BLVD</t>
  </si>
  <si>
    <t>BERUMEN PROPERTIES LL</t>
  </si>
  <si>
    <t xml:space="preserve">CONNORS ELIZABETH A </t>
  </si>
  <si>
    <t>827 BROOKLINE BLVD</t>
  </si>
  <si>
    <t>801 BROOKLINE BLVD</t>
  </si>
  <si>
    <t xml:space="preserve">THOMPSON-MILES THERESE M </t>
  </si>
  <si>
    <t>741 BROOKLINE BLVD</t>
  </si>
  <si>
    <t>ROBERTSON WILLIAMN H &amp; MARY K (W)</t>
  </si>
  <si>
    <t>1028 BELLAIRE AVE</t>
  </si>
  <si>
    <t xml:space="preserve">CASLIN PATRICK </t>
  </si>
  <si>
    <t>2448 STARKAMP ST</t>
  </si>
  <si>
    <t>2451 GLENARM AVE</t>
  </si>
  <si>
    <t>YINZ FUND I LLC</t>
  </si>
  <si>
    <t>CANCILLA ROBERT P &amp; SARA GAIL (W)</t>
  </si>
  <si>
    <t>0 GLENARM AVE</t>
  </si>
  <si>
    <t>GLENARM AVE</t>
  </si>
  <si>
    <t xml:space="preserve">HUDSON JEFFREY R </t>
  </si>
  <si>
    <t>925 BELLAIRE AVE</t>
  </si>
  <si>
    <t xml:space="preserve">THOMAS DEBRA A </t>
  </si>
  <si>
    <t>821 BELLAIRE AVE</t>
  </si>
  <si>
    <t>910 ROSSMORE AVE</t>
  </si>
  <si>
    <t xml:space="preserve">SIEGEL JEFFREY G </t>
  </si>
  <si>
    <t>918 ROSSMORE AVE</t>
  </si>
  <si>
    <t>W INGOMAR RD</t>
  </si>
  <si>
    <t>HATFIELD MICHAEL &amp; KAREN ANN (W)</t>
  </si>
  <si>
    <t>901 ROSSMORE AVE</t>
  </si>
  <si>
    <t>MICHAEL &amp; KAREN ANN H</t>
  </si>
  <si>
    <t xml:space="preserve">S&amp;R SALES &amp; RENTALS LLC </t>
  </si>
  <si>
    <t>2845 ARDSLEY AVE</t>
  </si>
  <si>
    <t>S&amp;R SALES &amp; RENTALS L</t>
  </si>
  <si>
    <t>0 ARDSLEY AVE</t>
  </si>
  <si>
    <t xml:space="preserve">TENNEY VICKI L </t>
  </si>
  <si>
    <t>804 NORWICH AVE</t>
  </si>
  <si>
    <t>NORWICH AVE</t>
  </si>
  <si>
    <t xml:space="preserve">LAKP PROPERTY LLC </t>
  </si>
  <si>
    <t>2832 ARDSLEY AVE</t>
  </si>
  <si>
    <t>LAKP PROPERTY LLC</t>
  </si>
  <si>
    <t>ARDSLEY AVE</t>
  </si>
  <si>
    <t xml:space="preserve">HILBERT HARRY G III                             </t>
  </si>
  <si>
    <t>2856 ARDSLEY AVE</t>
  </si>
  <si>
    <t>ARDSLEY ST</t>
  </si>
  <si>
    <t xml:space="preserve">ANDRUS NEAL </t>
  </si>
  <si>
    <t>2843 CASTLEGATE AVE</t>
  </si>
  <si>
    <t>CASTLEGATE AVE</t>
  </si>
  <si>
    <t xml:space="preserve">HARRISON MATTHEW N </t>
  </si>
  <si>
    <t>629 DORCHESTER AVE</t>
  </si>
  <si>
    <t>DORCHESTER AVE</t>
  </si>
  <si>
    <t xml:space="preserve">ROGERS THOMAS J </t>
  </si>
  <si>
    <t>613 DORCHESTER AVE</t>
  </si>
  <si>
    <t>HILLSIDE DR</t>
  </si>
  <si>
    <t>PRINCE FREDERI</t>
  </si>
  <si>
    <t>KAZANJIAN HABIB  &amp; ESTHER</t>
  </si>
  <si>
    <t>0 DORCHESTER AVE</t>
  </si>
  <si>
    <t xml:space="preserve">WATSON ERIN K </t>
  </si>
  <si>
    <t>902 BAYRIDGE AVE</t>
  </si>
  <si>
    <t xml:space="preserve">TRELOAR CHARLES WILLIAM </t>
  </si>
  <si>
    <t>830 BAYRIDGE AVE</t>
  </si>
  <si>
    <t>TRELOAR CHARLES WILLI</t>
  </si>
  <si>
    <t xml:space="preserve">808 BAYRIDGE AVE PA LLC </t>
  </si>
  <si>
    <t>808 BAYRIDGE AVE</t>
  </si>
  <si>
    <t>808 BAYRIDGE AVE PA L</t>
  </si>
  <si>
    <t>WESTCHESTER AVE N603</t>
  </si>
  <si>
    <t>857 FORDHAM AVE</t>
  </si>
  <si>
    <t>901 FORDHAM AVE</t>
  </si>
  <si>
    <t xml:space="preserve">DAVIS DENISE A </t>
  </si>
  <si>
    <t>920 FORDHAM AVE</t>
  </si>
  <si>
    <t>DAVIS DENISE A</t>
  </si>
  <si>
    <t>844 FORDHAM AVE</t>
  </si>
  <si>
    <t xml:space="preserve">GROSS GINA M </t>
  </si>
  <si>
    <t>714 FORDHAM AVE</t>
  </si>
  <si>
    <t xml:space="preserve">SEGATY RENE J </t>
  </si>
  <si>
    <t>815 NORWICH AVE</t>
  </si>
  <si>
    <t xml:space="preserve">MOSES ASHLEY </t>
  </si>
  <si>
    <t>819 NORWICH AVE</t>
  </si>
  <si>
    <t>ROYAL TROON DR</t>
  </si>
  <si>
    <t>827 NORWICH AVE</t>
  </si>
  <si>
    <t xml:space="preserve">WR PROPERTY GROUP LLC </t>
  </si>
  <si>
    <t>857 NORWICH AVE</t>
  </si>
  <si>
    <t xml:space="preserve">ALTAL NESREEN M                                 </t>
  </si>
  <si>
    <t>906 NORWICH AVE</t>
  </si>
  <si>
    <t>BOUMASOUD RASHID H</t>
  </si>
  <si>
    <t xml:space="preserve">HAMILTON JENNIFER L </t>
  </si>
  <si>
    <t>900 NORWICH AVE</t>
  </si>
  <si>
    <t>962 BROOKLINE BLVD</t>
  </si>
  <si>
    <t>KHALIL ATALLAH</t>
  </si>
  <si>
    <t>ROBINSON DR</t>
  </si>
  <si>
    <t>LEECH TIMOTHY &amp; LEECH MELISSA (W)</t>
  </si>
  <si>
    <t>967 BERKSHIRE AVE</t>
  </si>
  <si>
    <t xml:space="preserve">DAHLKE PROPERTIES LLC </t>
  </si>
  <si>
    <t>975 BERKSHIRE AVE</t>
  </si>
  <si>
    <t xml:space="preserve">VO THI HUONG                                    </t>
  </si>
  <si>
    <t>1003 BERKSHIRE AVE</t>
  </si>
  <si>
    <t>VO THI HUONG</t>
  </si>
  <si>
    <t>PRIME PROPERTIES USA -  PA RENTALS LLC</t>
  </si>
  <si>
    <t>1116 BERKSHIRE AVE</t>
  </si>
  <si>
    <t>ELDORADO PKWY STE 150</t>
  </si>
  <si>
    <t xml:space="preserve">SMITH JACKLYN C </t>
  </si>
  <si>
    <t>1026 BERKSHIRE AVE</t>
  </si>
  <si>
    <t>964 BERKSHIRE AVE</t>
  </si>
  <si>
    <t>RASHID BOUMASOUD</t>
  </si>
  <si>
    <t xml:space="preserve">POLANICK MICHAEL C </t>
  </si>
  <si>
    <t>920 BERKSHIRE AVE</t>
  </si>
  <si>
    <t>BOYERS RD</t>
  </si>
  <si>
    <t>HARRISVILLE</t>
  </si>
  <si>
    <t>905 WOODBOURNE AVE</t>
  </si>
  <si>
    <t xml:space="preserve">BOOTH RICHARD E </t>
  </si>
  <si>
    <t>2714 QUEENSBORO AVE</t>
  </si>
  <si>
    <t>QUEENSBORO AVE</t>
  </si>
  <si>
    <t xml:space="preserve">PACHECO CARMEN J </t>
  </si>
  <si>
    <t>936 WOODBOURNE AVE</t>
  </si>
  <si>
    <t xml:space="preserve">KOH MYUNG HEE                                   </t>
  </si>
  <si>
    <t>933 BAYRIDGE AVE</t>
  </si>
  <si>
    <t xml:space="preserve">KOH MYUNG HEE        </t>
  </si>
  <si>
    <t>RICHMOND HILL</t>
  </si>
  <si>
    <t>947 BAYRIDGE AVE</t>
  </si>
  <si>
    <t xml:space="preserve">LENCO DONNA M </t>
  </si>
  <si>
    <t>955 NORWICH AVE</t>
  </si>
  <si>
    <t>BRUNSWICK ST</t>
  </si>
  <si>
    <t>BRUNSWICK</t>
  </si>
  <si>
    <t>SHOOP ROSS FRANCIS &amp; PATRICIA SHOOP</t>
  </si>
  <si>
    <t>1000 NORWICH AVE</t>
  </si>
  <si>
    <t>SWASEY EDWARD J &amp; SUSAN J</t>
  </si>
  <si>
    <t>949 DORCHESTER AVE</t>
  </si>
  <si>
    <t xml:space="preserve">ZIMMERMANN SCOTT M </t>
  </si>
  <si>
    <t>1025 NORWICH AVE</t>
  </si>
  <si>
    <t xml:space="preserve">FETTERMAN JENNIFER D S </t>
  </si>
  <si>
    <t>1054 BAYRIDGE AVE</t>
  </si>
  <si>
    <t xml:space="preserve">FETTERMAN JENNIFER D </t>
  </si>
  <si>
    <t>BAY RIDGE AVE</t>
  </si>
  <si>
    <t>BERER MURRAY S &amp; MIRIAM R</t>
  </si>
  <si>
    <t>1111 WOODBOURNE AVE</t>
  </si>
  <si>
    <t>BROWN DALE L &amp; SHERYL L (W)</t>
  </si>
  <si>
    <t>1205 FORTUNA AVE</t>
  </si>
  <si>
    <t>FORTUNA AVE</t>
  </si>
  <si>
    <t>HOLLINGSHEAD MICHAEL  ALAN</t>
  </si>
  <si>
    <t>1214 FORTUNA AVE</t>
  </si>
  <si>
    <t>DULAVTICH BARBARA ANN &amp; JAMES JOSEPH (H)</t>
  </si>
  <si>
    <t>1001 NORABELL AVE</t>
  </si>
  <si>
    <t>NORABELL AVE</t>
  </si>
  <si>
    <t xml:space="preserve">EASSIE WILLIAM S </t>
  </si>
  <si>
    <t>2818 SAGEMAN AVE</t>
  </si>
  <si>
    <t>SAGEMAN ST</t>
  </si>
  <si>
    <t xml:space="preserve">RENTON BERNADINE                                </t>
  </si>
  <si>
    <t>2945 SUSSEX AVE</t>
  </si>
  <si>
    <t>SUSSEX AVE</t>
  </si>
  <si>
    <t xml:space="preserve">ZIMMERMAN SCOTT </t>
  </si>
  <si>
    <t>1311 SUSSEX AVE</t>
  </si>
  <si>
    <t xml:space="preserve">BROWN JUSTIN P </t>
  </si>
  <si>
    <t>0 NORWICH AVE</t>
  </si>
  <si>
    <t>PEBBLE CREEK CT</t>
  </si>
  <si>
    <t>2133 HOLCOMB AVE</t>
  </si>
  <si>
    <t xml:space="preserve">ZIELEN STEVEN </t>
  </si>
  <si>
    <t>1629 ROCKFORD AVE</t>
  </si>
  <si>
    <t xml:space="preserve">WHYTE ALISSA MARIE                              </t>
  </si>
  <si>
    <t>1643 ROCKFORD AVE</t>
  </si>
  <si>
    <t xml:space="preserve">FLEMINGTON STREET CORP </t>
  </si>
  <si>
    <t>0 ROCKFORD AVE</t>
  </si>
  <si>
    <t>JOSEPH J MASTRIANO</t>
  </si>
  <si>
    <t>MEZQUITA ANTONIO DE  JESUS MERCADO</t>
  </si>
  <si>
    <t>1694 CREEDMOOR AVE</t>
  </si>
  <si>
    <t>MEZQUITA ANTONIO DE J</t>
  </si>
  <si>
    <t xml:space="preserve">WEST SIDE BELT R R CO </t>
  </si>
  <si>
    <t>0 HARGROVE ST</t>
  </si>
  <si>
    <t>GATEWAY CTR</t>
  </si>
  <si>
    <t xml:space="preserve">MINNOTTE HOLDINGS LLC </t>
  </si>
  <si>
    <t>1760 WABASH ST</t>
  </si>
  <si>
    <t>MINNOTTE MFG CO</t>
  </si>
  <si>
    <t>MINNOTTE SQ</t>
  </si>
  <si>
    <t>WUENCHEL GEORGE J &amp; ANNA M</t>
  </si>
  <si>
    <t>WILLIAMS GERTRUDE  MCKENZIE LIVING TRUST</t>
  </si>
  <si>
    <t>0 HALLOCK ST</t>
  </si>
  <si>
    <t>GERTRUDE MCKENZIE WIL</t>
  </si>
  <si>
    <t>ORANGE PL</t>
  </si>
  <si>
    <t>471 ONEIDA ST</t>
  </si>
  <si>
    <t>FRANKEL JAMES A &amp; KIMBERLY A (W)</t>
  </si>
  <si>
    <t>660 ONEIDA ST</t>
  </si>
  <si>
    <t xml:space="preserve">FERRI JENNIFER L </t>
  </si>
  <si>
    <t>735 LIME ST</t>
  </si>
  <si>
    <t>LIME ST</t>
  </si>
  <si>
    <t xml:space="preserve">RHODES JAMES </t>
  </si>
  <si>
    <t>733 LIME ST</t>
  </si>
  <si>
    <t>WATERFRONT PL APT 329</t>
  </si>
  <si>
    <t xml:space="preserve">FORSE JEFFREY R </t>
  </si>
  <si>
    <t>528 HALLOCK ST</t>
  </si>
  <si>
    <t xml:space="preserve">HINDA JOHN FRANCIS                              </t>
  </si>
  <si>
    <t>1413 WOODRUFF ST</t>
  </si>
  <si>
    <t>1260 SHADYCREST DR</t>
  </si>
  <si>
    <t>SABATINI HELEN  &amp; EVENE SABATINI</t>
  </si>
  <si>
    <t>1267 SHADYCREST DR</t>
  </si>
  <si>
    <t>SABATINI HELEN  &amp; EVE</t>
  </si>
  <si>
    <t>KICINSKI DREW L &amp; GENNA M (W)</t>
  </si>
  <si>
    <t>921 SAW MILL RUN BLVD</t>
  </si>
  <si>
    <t>KICINSKI DREW L &amp; GEN</t>
  </si>
  <si>
    <t>BROADMOOR AVE</t>
  </si>
  <si>
    <t xml:space="preserve">HINDA JOHN F </t>
  </si>
  <si>
    <t>LEWIS ST</t>
  </si>
  <si>
    <t xml:space="preserve">OM MAYA ENTERPRISE LLC </t>
  </si>
  <si>
    <t>918 SAW MILL RUN BLVD</t>
  </si>
  <si>
    <t>OM MAYA ENTERPRISE LL</t>
  </si>
  <si>
    <t>UKANI DR</t>
  </si>
  <si>
    <t>WALCHESKY DAVID J &amp; ROBIN C (W)</t>
  </si>
  <si>
    <t>0 TROPICAL AVE</t>
  </si>
  <si>
    <t>749 SHADYCREST RD</t>
  </si>
  <si>
    <t>800 TROPICAL AVE</t>
  </si>
  <si>
    <t xml:space="preserve">SRIVASTAVA NIKHIL                               </t>
  </si>
  <si>
    <t>735 SHADYCREST RD</t>
  </si>
  <si>
    <t>NIKHIL SRIVASTAVA</t>
  </si>
  <si>
    <t>PAVLIK JOHN M &amp; KATHLEEN ANN (W)</t>
  </si>
  <si>
    <t>727 SHADYCREST RD</t>
  </si>
  <si>
    <t xml:space="preserve">WOLFF ROBERT M </t>
  </si>
  <si>
    <t>709 SHADYCREST CT</t>
  </si>
  <si>
    <t xml:space="preserve">KIHUMBU ROMEO M </t>
  </si>
  <si>
    <t>720 SHADYCREST CT</t>
  </si>
  <si>
    <t xml:space="preserve">BAUER DIANA L </t>
  </si>
  <si>
    <t>716 SHADYCREST CT</t>
  </si>
  <si>
    <t xml:space="preserve">TRAMONTI LUANNE </t>
  </si>
  <si>
    <t>1131 SHADYCREST DR</t>
  </si>
  <si>
    <t>MCBRIDE BRIAN C &amp; NICHOLE L (W)</t>
  </si>
  <si>
    <t>1147 SHADYCREST DR</t>
  </si>
  <si>
    <t>VACHINO JEAN E &amp; ROY L (H)</t>
  </si>
  <si>
    <t>1153 SHADYCREST DR</t>
  </si>
  <si>
    <t>VACHINO JEAN E</t>
  </si>
  <si>
    <t xml:space="preserve">RCH REALTY LP </t>
  </si>
  <si>
    <t>110 S MAIN ST</t>
  </si>
  <si>
    <t>JP MYERS &amp; ASSOCIATES</t>
  </si>
  <si>
    <t xml:space="preserve">PLOT-USA-HS-000030 LLC </t>
  </si>
  <si>
    <t>318 S MAIN ST</t>
  </si>
  <si>
    <t>PLOT-USA-HS-000030 LL</t>
  </si>
  <si>
    <t>-320 S MAIN ST</t>
  </si>
  <si>
    <t xml:space="preserve">GONSOSKI MAUREEN J                              </t>
  </si>
  <si>
    <t>148 VIOLET WAY</t>
  </si>
  <si>
    <t>JACKSON DONALD JAMES &amp; ANNA (W)</t>
  </si>
  <si>
    <t>150 VIOLET WAY</t>
  </si>
  <si>
    <t>GIFFIN AVE</t>
  </si>
  <si>
    <t>PITTSBURGH MUSICAL  THEATER</t>
  </si>
  <si>
    <t>0 NEPTUNE ST</t>
  </si>
  <si>
    <t>RCH REALTY LP            ETAL</t>
  </si>
  <si>
    <t>0 S MAIN ST</t>
  </si>
  <si>
    <t>RCH REALTY LP</t>
  </si>
  <si>
    <t xml:space="preserve">SANNS FRANK JR </t>
  </si>
  <si>
    <t>ROBIN DR</t>
  </si>
  <si>
    <t>LOWE STREET ASSOCIATES  L L C</t>
  </si>
  <si>
    <t>1900 LOWE ST</t>
  </si>
  <si>
    <t>LOWE STREET ASSOCIATE</t>
  </si>
  <si>
    <t>JANIKOWSKI TIMOTHY J &amp; PAULA L (W)</t>
  </si>
  <si>
    <t>0 WOODVILLE AVE</t>
  </si>
  <si>
    <t>MCKNIGHT ST</t>
  </si>
  <si>
    <t>45 MCKNIGHT ST</t>
  </si>
  <si>
    <t>BLACK JOSEPH D &amp; DEBBIE B (W)</t>
  </si>
  <si>
    <t>0 MCKNIGHT ST</t>
  </si>
  <si>
    <t>BLACK JOSEPH D &amp; DEBB</t>
  </si>
  <si>
    <t xml:space="preserve">JEFFERSON DARRELL S </t>
  </si>
  <si>
    <t>50 WOODVILLE AVE</t>
  </si>
  <si>
    <t>WOODVILLE AVE</t>
  </si>
  <si>
    <t xml:space="preserve">VUE LY </t>
  </si>
  <si>
    <t>53 MCKNIGHT ST</t>
  </si>
  <si>
    <t xml:space="preserve">THORNTON JAMES M </t>
  </si>
  <si>
    <t>54 WOODVILLE AVE</t>
  </si>
  <si>
    <t>WEAST CARSON ST</t>
  </si>
  <si>
    <t xml:space="preserve">ANGLIN MICHAEL A </t>
  </si>
  <si>
    <t>60 WOODVILLE AVE</t>
  </si>
  <si>
    <t xml:space="preserve">FERRIE WILLIAM J </t>
  </si>
  <si>
    <t>0 SAW MILL RUN BLVD</t>
  </si>
  <si>
    <t>FERRIE WILLIAM J</t>
  </si>
  <si>
    <t>PITTSBURGH CIR</t>
  </si>
  <si>
    <t>WHEELING LAKE ERIE RAILROAD CO</t>
  </si>
  <si>
    <t>0 WEST CARSON ST</t>
  </si>
  <si>
    <t>WHEELING LAKE ERIE RA</t>
  </si>
  <si>
    <t xml:space="preserve"> 1ST ST SE</t>
  </si>
  <si>
    <t>RDHH LP                  ETAL</t>
  </si>
  <si>
    <t>0 STEUBEN ST</t>
  </si>
  <si>
    <t>RDHH LP</t>
  </si>
  <si>
    <t>COMMONWEALTH OF PENNSYLVANIA</t>
  </si>
  <si>
    <t>BUTLER WILLIAM F &amp; NAOMI P</t>
  </si>
  <si>
    <t xml:space="preserve">RDHH LP                                         </t>
  </si>
  <si>
    <t xml:space="preserve">SUTER PAUL </t>
  </si>
  <si>
    <t>236 ELLIOTT ST</t>
  </si>
  <si>
    <t>BELLVIEW CIR</t>
  </si>
  <si>
    <t xml:space="preserve">HERZIG JOHN </t>
  </si>
  <si>
    <t>0 ANGLE ST</t>
  </si>
  <si>
    <t>N RIPLEY ST UNIT 2</t>
  </si>
  <si>
    <t>GARY</t>
  </si>
  <si>
    <t xml:space="preserve">SUTER PAUL J </t>
  </si>
  <si>
    <t>78 ANGLE ST</t>
  </si>
  <si>
    <t>79 ANGLE ST</t>
  </si>
  <si>
    <t>SUTER PAUL J</t>
  </si>
  <si>
    <t>RAYBIN INDUSTRIAL PARK  INC</t>
  </si>
  <si>
    <t>1620 SAW MILL RUN BLVD</t>
  </si>
  <si>
    <t>RAYBIN INDUSTRIAL PAR</t>
  </si>
  <si>
    <t>972 BANKSVILLE PROPERTIES LLC</t>
  </si>
  <si>
    <t>972 BANKSVILLE AVE</t>
  </si>
  <si>
    <t>972 BANKSVILLE PROPER</t>
  </si>
  <si>
    <t>W MCMURRAY RD</t>
  </si>
  <si>
    <t>995 SHADYCREST RD</t>
  </si>
  <si>
    <t xml:space="preserve">GANSTER PHILIP J </t>
  </si>
  <si>
    <t>988 SHADYCREST RD</t>
  </si>
  <si>
    <t>INTERNATIONAL UNION OF  OPERATING ENGINEERS LOCA</t>
  </si>
  <si>
    <t>1001 EAST ENTRY DR</t>
  </si>
  <si>
    <t>INTERNATIONAL UNION O</t>
  </si>
  <si>
    <t>E ENTRY DR</t>
  </si>
  <si>
    <t xml:space="preserve">FRIEDA ROHN LIVING  TRUST                   </t>
  </si>
  <si>
    <t xml:space="preserve">ROHN FRIEDA                                     </t>
  </si>
  <si>
    <t>807 CRANE AVE</t>
  </si>
  <si>
    <t xml:space="preserve">NRLL EAST LLC </t>
  </si>
  <si>
    <t>0 BANKSVILLE RD</t>
  </si>
  <si>
    <t>MAUCHLY</t>
  </si>
  <si>
    <t xml:space="preserve">LUFF GRANT C &amp; THELMA </t>
  </si>
  <si>
    <t>BOQUET ST</t>
  </si>
  <si>
    <t>CASTELLI JOSEPH T &amp; LOIS K (W)</t>
  </si>
  <si>
    <t>0 BULFORD AVE</t>
  </si>
  <si>
    <t>CASTELLI JOSEPH T &amp; L</t>
  </si>
  <si>
    <t>BEVERLY RD APT 103</t>
  </si>
  <si>
    <t>HOEVELER JOSEPH G &amp; MARGARET C</t>
  </si>
  <si>
    <t>1011 AVACOLL DR</t>
  </si>
  <si>
    <t xml:space="preserve">GIGANTE LORI ANN </t>
  </si>
  <si>
    <t>1024 JEROME ST</t>
  </si>
  <si>
    <t>GIGANTE LORI ANN</t>
  </si>
  <si>
    <t>SIR JAMES DR</t>
  </si>
  <si>
    <t xml:space="preserve">DEFILIPPO COLEMAN </t>
  </si>
  <si>
    <t>1055 COVERDALE ST</t>
  </si>
  <si>
    <t>DEFILIPPO COLEMAN</t>
  </si>
  <si>
    <t>COVERDALE ST</t>
  </si>
  <si>
    <t>HOWE MARK S &amp; PATRICIA E (W)</t>
  </si>
  <si>
    <t>202 OAK BROOK CIR</t>
  </si>
  <si>
    <t xml:space="preserve">MCCLOSKEY JAMES E </t>
  </si>
  <si>
    <t>176 JUNIUS ST</t>
  </si>
  <si>
    <t>JUNIUS ST</t>
  </si>
  <si>
    <t>RIEDER JOSEPH E &amp; EMILY R (W)</t>
  </si>
  <si>
    <t>508 RIDGEMONT DR</t>
  </si>
  <si>
    <t>RIDGEMONT DR</t>
  </si>
  <si>
    <t>MOSCO ALEXANDER N &amp; EDITH V</t>
  </si>
  <si>
    <t>540 RIDGEMONT DR</t>
  </si>
  <si>
    <t xml:space="preserve">LODHA PROPERTIES LLC </t>
  </si>
  <si>
    <t>525 SPRINGFIELD ST</t>
  </si>
  <si>
    <t>LODHA PROPERTIES LLC</t>
  </si>
  <si>
    <t>PENFOLDS PL</t>
  </si>
  <si>
    <t xml:space="preserve">CITYWIDE PROPERTIES LLC                         </t>
  </si>
  <si>
    <t>0 JUNIUS ST</t>
  </si>
  <si>
    <t>CITYWIDE PROPERTIES L</t>
  </si>
  <si>
    <t>PERRY HWY # 3</t>
  </si>
  <si>
    <t xml:space="preserve">CITYWIDE PROPERTIES LLC </t>
  </si>
  <si>
    <t xml:space="preserve">SEVACKO JOSEPH  &amp; ANN </t>
  </si>
  <si>
    <t>0 JOURNAL ST</t>
  </si>
  <si>
    <t>JOURNAL ST</t>
  </si>
  <si>
    <t xml:space="preserve">MACKLIN LENNY L </t>
  </si>
  <si>
    <t xml:space="preserve">SMITH TIA M </t>
  </si>
  <si>
    <t>690 GREENTREE RD</t>
  </si>
  <si>
    <t>TIA SMITH</t>
  </si>
  <si>
    <t xml:space="preserve">KEITH JOHN                                      </t>
  </si>
  <si>
    <t>0 GREENTREE RD</t>
  </si>
  <si>
    <t>PO BOX 836</t>
  </si>
  <si>
    <t>BEAUFORT</t>
  </si>
  <si>
    <t xml:space="preserve">SAINT-JUSTE WESBERT </t>
  </si>
  <si>
    <t>677 GREENTREE RD</t>
  </si>
  <si>
    <t>SAINT JUSTIE WESBERT</t>
  </si>
  <si>
    <t>LABELLE ST APT 4</t>
  </si>
  <si>
    <t xml:space="preserve">TENDEN HENRY </t>
  </si>
  <si>
    <t>675 GREENTREE RD</t>
  </si>
  <si>
    <t xml:space="preserve">FINNEGAN SHAUN </t>
  </si>
  <si>
    <t>630 RIDGEMONT DR</t>
  </si>
  <si>
    <t>FINNEGAN SHAUN</t>
  </si>
  <si>
    <t xml:space="preserve">VATES SCOTT A JR </t>
  </si>
  <si>
    <t>127 HAMBURG ST</t>
  </si>
  <si>
    <t>PETRI FRANCES E (L/E) &amp; JANET LEE KUKURU DA</t>
  </si>
  <si>
    <t>131 HAMBURG ST</t>
  </si>
  <si>
    <t>OXBOW ST</t>
  </si>
  <si>
    <t>634 HESTOR DR</t>
  </si>
  <si>
    <t>PO BOX 319</t>
  </si>
  <si>
    <t xml:space="preserve">WILLIAMS TIMOTHY A                              </t>
  </si>
  <si>
    <t>710 SPRINGFIELD ST</t>
  </si>
  <si>
    <t>SPRINGFIELD ST</t>
  </si>
  <si>
    <t>LOPATA DAVID B &amp; BOBBIE JO ANTONOVICH</t>
  </si>
  <si>
    <t>700 SPRINGFIELD ST</t>
  </si>
  <si>
    <t>LOPATA DAVID B &amp; BOBB</t>
  </si>
  <si>
    <t>GREST OAK DR</t>
  </si>
  <si>
    <t xml:space="preserve">HANIS RAYMOND J JR </t>
  </si>
  <si>
    <t>624 SPRINGFIELD ST</t>
  </si>
  <si>
    <t>MACDONALD EDWARD J &amp; FRANCES M</t>
  </si>
  <si>
    <t>608 SPRINGFIELD ST</t>
  </si>
  <si>
    <t xml:space="preserve">HAMER MARIA                                     </t>
  </si>
  <si>
    <t>0 NEW YORK ST</t>
  </si>
  <si>
    <t>HAMER MARIA</t>
  </si>
  <si>
    <t xml:space="preserve">HAMER JOANN </t>
  </si>
  <si>
    <t xml:space="preserve">POLIZIANI LOUIS T </t>
  </si>
  <si>
    <t>BALDWICK RD</t>
  </si>
  <si>
    <t>PARKSDGE RD</t>
  </si>
  <si>
    <t xml:space="preserve">OLSZEWSKI SUE </t>
  </si>
  <si>
    <t>0 ALBANY ST</t>
  </si>
  <si>
    <t>PO BOX 541205</t>
  </si>
  <si>
    <t>LAKE WORTH</t>
  </si>
  <si>
    <t xml:space="preserve">HINDA DAVID A </t>
  </si>
  <si>
    <t>CORAOPOLIS RD</t>
  </si>
  <si>
    <t xml:space="preserve">ROWKOSKY ANNA M </t>
  </si>
  <si>
    <t>LADOGA ST</t>
  </si>
  <si>
    <t>PRICE ROBERT W &amp; KATHLEEN C (W)</t>
  </si>
  <si>
    <t>44 ALBANY ST</t>
  </si>
  <si>
    <t>ALBANY ST</t>
  </si>
  <si>
    <t xml:space="preserve">PRICE ROBERT W </t>
  </si>
  <si>
    <t>0 RHODE ISLAND ST</t>
  </si>
  <si>
    <t xml:space="preserve">REID LAVERN M </t>
  </si>
  <si>
    <t>0 BERDELLA ST</t>
  </si>
  <si>
    <t>ADDERBURY PL</t>
  </si>
  <si>
    <t>MS</t>
  </si>
  <si>
    <t>TURNEY HARRY C &amp; JUDITH R HELFRICK</t>
  </si>
  <si>
    <t>1113 STEUBEN ST</t>
  </si>
  <si>
    <t xml:space="preserve">SAFRANKO DENNIS </t>
  </si>
  <si>
    <t>1228 ARNOLD ST</t>
  </si>
  <si>
    <t>ARNOLD ST</t>
  </si>
  <si>
    <t xml:space="preserve">SAFRANKO DENNIS J </t>
  </si>
  <si>
    <t>1230 ARNOLD ST</t>
  </si>
  <si>
    <t xml:space="preserve">KACZMAREK BARBARA ANN                           </t>
  </si>
  <si>
    <t>1125 STEUBEN ST</t>
  </si>
  <si>
    <t>WISTERIA AVE APT A3</t>
  </si>
  <si>
    <t xml:space="preserve">JOHNSON MONA M </t>
  </si>
  <si>
    <t>857 CRUCIBLE ST</t>
  </si>
  <si>
    <t xml:space="preserve">DLGM ENTERPRISES LLC </t>
  </si>
  <si>
    <t>855 CRUCIBLE ST</t>
  </si>
  <si>
    <t>DLGM ENTERPRISES LLC</t>
  </si>
  <si>
    <t>PO BOX 7865</t>
  </si>
  <si>
    <t xml:space="preserve">ASH JOSEPHINE J </t>
  </si>
  <si>
    <t>838 STEUBEN ST</t>
  </si>
  <si>
    <t>KONTOWICZ ALEXANDER A &amp; CECELIA F KONTOWICZ</t>
  </si>
  <si>
    <t>904 STEUBEN ST</t>
  </si>
  <si>
    <t>GEORGE W. JACOBY  ESQ</t>
  </si>
  <si>
    <t>FORBES AVE STE 564</t>
  </si>
  <si>
    <t>KEOUGH LOUIS F JR &amp; EILEEN M (W)</t>
  </si>
  <si>
    <t xml:space="preserve">BROWN BONNIE LORNAL EE </t>
  </si>
  <si>
    <t>837 STEUBEN ST</t>
  </si>
  <si>
    <t xml:space="preserve">LEE JOHN H </t>
  </si>
  <si>
    <t>MAZETTE PL</t>
  </si>
  <si>
    <t xml:space="preserve">JOHNS WILLIAM T </t>
  </si>
  <si>
    <t>8 ELBON ST</t>
  </si>
  <si>
    <t>HERSCHEL ST</t>
  </si>
  <si>
    <t xml:space="preserve">MERAY HARRY F </t>
  </si>
  <si>
    <t>910 HARKER ST</t>
  </si>
  <si>
    <t>HARKER ST</t>
  </si>
  <si>
    <t>LIVINGSTON KATHLEEN A &amp; RICHARD W (H)</t>
  </si>
  <si>
    <t>1031 STEUBEN ST</t>
  </si>
  <si>
    <t>1047 STEUBEN ST</t>
  </si>
  <si>
    <t>SECRETARY OF VETERANS  AFFAIRS</t>
  </si>
  <si>
    <t>1051 STEUBEN ST</t>
  </si>
  <si>
    <t>STEPHENSON DONALD  EDWARD III</t>
  </si>
  <si>
    <t>1016 WYMORE ST</t>
  </si>
  <si>
    <t>STEPHENSON DONALD EDW</t>
  </si>
  <si>
    <t>WYMORE ST</t>
  </si>
  <si>
    <t xml:space="preserve">BARTH DAVID LEE </t>
  </si>
  <si>
    <t>1012 WYMORE ST</t>
  </si>
  <si>
    <t>MARSHALL JAMES L &amp; ANNA A</t>
  </si>
  <si>
    <t>0 HARKER ST</t>
  </si>
  <si>
    <t xml:space="preserve">LANGFORD PATRICE R </t>
  </si>
  <si>
    <t>820 WYMORE ST</t>
  </si>
  <si>
    <t>KASCAK ELAINE M &amp; MICHAEL (H)</t>
  </si>
  <si>
    <t>810 WYMORE ST</t>
  </si>
  <si>
    <t xml:space="preserve">HUNT DOROTHY </t>
  </si>
  <si>
    <t>742 HARKER ST</t>
  </si>
  <si>
    <t xml:space="preserve">MYERS LORRAINE </t>
  </si>
  <si>
    <t>0 WYMORE ST</t>
  </si>
  <si>
    <t xml:space="preserve">REESE MAURA A </t>
  </si>
  <si>
    <t>901 WYMORE ST</t>
  </si>
  <si>
    <t xml:space="preserve">LINK ROBERT J </t>
  </si>
  <si>
    <t xml:space="preserve">DAVIS APRIL L </t>
  </si>
  <si>
    <t>1063 STEUBEN ST</t>
  </si>
  <si>
    <t xml:space="preserve">WILLIAMS MICHELE                                </t>
  </si>
  <si>
    <t>1000 HERSCHEL ST</t>
  </si>
  <si>
    <t>MCCORMICK JEFFREY</t>
  </si>
  <si>
    <t>HERSHEL ST</t>
  </si>
  <si>
    <t xml:space="preserve">GOODNOW BONNIE </t>
  </si>
  <si>
    <t>1223 ARNOLD ST</t>
  </si>
  <si>
    <t xml:space="preserve">GOODNOW BONNIE SAINT </t>
  </si>
  <si>
    <t>BOGGS AVE APT 901</t>
  </si>
  <si>
    <t>1068 STEUBEN FAMILY  TRUST</t>
  </si>
  <si>
    <t>1068 STEUBEN ST</t>
  </si>
  <si>
    <t xml:space="preserve">PGH LIVING MATTERS LLC </t>
  </si>
  <si>
    <t>1060 STEUBEN ST</t>
  </si>
  <si>
    <t>LOCKHART ST</t>
  </si>
  <si>
    <t xml:space="preserve">PATTERSON SOPHIA J </t>
  </si>
  <si>
    <t>1056 STEUBEN ST</t>
  </si>
  <si>
    <t>SIGMUND PATTERSON</t>
  </si>
  <si>
    <t xml:space="preserve">MATTHEWS MICHAEL </t>
  </si>
  <si>
    <t>112 HERNDON ST</t>
  </si>
  <si>
    <t>SCHULZ ROBERT J SR &amp; DEBRA I (W)</t>
  </si>
  <si>
    <t>0 FURLEY ST</t>
  </si>
  <si>
    <t>APT 2D</t>
  </si>
  <si>
    <t xml:space="preserve">DEUSCHLE ROY L &amp; DOROTHY </t>
  </si>
  <si>
    <t>DEUSCHLE ROY L &amp; DORO</t>
  </si>
  <si>
    <t xml:space="preserve">GURTNER WILLIAM C </t>
  </si>
  <si>
    <t>812 CHARTIERS AVE</t>
  </si>
  <si>
    <t xml:space="preserve">DIVILLY SARAH </t>
  </si>
  <si>
    <t>811 FURLEY ST</t>
  </si>
  <si>
    <t>STRATMORE AVE</t>
  </si>
  <si>
    <t xml:space="preserve">ROCKACY HOLDINGS I LLC </t>
  </si>
  <si>
    <t>800 CHARTIERS AVE</t>
  </si>
  <si>
    <t>ROCKACY HOLDINGS I LL</t>
  </si>
  <si>
    <t>DAVIS JAMES W &amp; BARBARA J (W)</t>
  </si>
  <si>
    <t>139 FURLEY ST</t>
  </si>
  <si>
    <t>FURLEY ST</t>
  </si>
  <si>
    <t xml:space="preserve">DAVIS JAMES W                                   </t>
  </si>
  <si>
    <t xml:space="preserve">HARRIS MICHAEL </t>
  </si>
  <si>
    <t>133 FURLEY ST</t>
  </si>
  <si>
    <t>LORENZ AVE</t>
  </si>
  <si>
    <t xml:space="preserve">INTERACT ENTERPRISES INC </t>
  </si>
  <si>
    <t>53RD ST</t>
  </si>
  <si>
    <t xml:space="preserve">BALLING MARGARET </t>
  </si>
  <si>
    <t xml:space="preserve">SZEWC CHRISTOPHER  L </t>
  </si>
  <si>
    <t>FAIRSTTON ST</t>
  </si>
  <si>
    <t xml:space="preserve">TIFT DANIEL TALIL </t>
  </si>
  <si>
    <t>100 ATTICA ST</t>
  </si>
  <si>
    <t>ATTICA ST</t>
  </si>
  <si>
    <t xml:space="preserve">TULLY KERRY </t>
  </si>
  <si>
    <t>R D BOX 167</t>
  </si>
  <si>
    <t>CONFLUENCE</t>
  </si>
  <si>
    <t xml:space="preserve">JACKSON DONALD J </t>
  </si>
  <si>
    <t>226 STEUBEN ST</t>
  </si>
  <si>
    <t>JACKSON DONALD J</t>
  </si>
  <si>
    <t>228 STEUBEN ST</t>
  </si>
  <si>
    <t xml:space="preserve">BAEHR LON D </t>
  </si>
  <si>
    <t>727 CHARTIERS AVE</t>
  </si>
  <si>
    <t xml:space="preserve">KEMP TODD J </t>
  </si>
  <si>
    <t>716 LINHART ST</t>
  </si>
  <si>
    <t>MCDONALD-KEMP</t>
  </si>
  <si>
    <t>BROOKSTONE DR</t>
  </si>
  <si>
    <t xml:space="preserve">REDMOND WILLIAM A </t>
  </si>
  <si>
    <t>714 LINHART ST</t>
  </si>
  <si>
    <t>WILLETT RD</t>
  </si>
  <si>
    <t>DEROBIO SAMUEL  &amp; ELIZABETH (W)</t>
  </si>
  <si>
    <t>0 JANEWOOD WAY</t>
  </si>
  <si>
    <t>JANEWOOD WAY</t>
  </si>
  <si>
    <t xml:space="preserve">DEROBIO ELIZABETH J </t>
  </si>
  <si>
    <t>736 JANEWOOD WAY</t>
  </si>
  <si>
    <t>RICHARD DIX</t>
  </si>
  <si>
    <t>211 AMHERST ST</t>
  </si>
  <si>
    <t>NACHREINER JOHN B &amp; SUSAN D (W)</t>
  </si>
  <si>
    <t>735 JANEWOOD WAY</t>
  </si>
  <si>
    <t>NACHREINER JOHN B &amp; S</t>
  </si>
  <si>
    <t xml:space="preserve">TRAUTMAN RONALD R </t>
  </si>
  <si>
    <t>CRUCIBLE ST</t>
  </si>
  <si>
    <t>911 AMHERST ST</t>
  </si>
  <si>
    <t>907 AMHERST ST</t>
  </si>
  <si>
    <t>P.O. BOX 27020</t>
  </si>
  <si>
    <t xml:space="preserve">GOLDBRONN SAMUEL E </t>
  </si>
  <si>
    <t>813 CRUCIBLE ST</t>
  </si>
  <si>
    <t>818 STEUBEN ST</t>
  </si>
  <si>
    <t>116 AVE</t>
  </si>
  <si>
    <t xml:space="preserve">MCDOW KEVIN L </t>
  </si>
  <si>
    <t>913 AMHERST ST</t>
  </si>
  <si>
    <t>AMHERST ST</t>
  </si>
  <si>
    <t>JOHNS WILLIAM  &amp; MICHELLE JOHNS</t>
  </si>
  <si>
    <t>811 STEUBEN ST</t>
  </si>
  <si>
    <t>JOHNS WILLIAM  &amp; MICHELLE (W)</t>
  </si>
  <si>
    <t>1007 ELBON ST</t>
  </si>
  <si>
    <t xml:space="preserve">STEUBEN STREET LLC </t>
  </si>
  <si>
    <t>805 STEUBEN ST</t>
  </si>
  <si>
    <t>801 STEUBEN ST</t>
  </si>
  <si>
    <t>DESAVAGE DEBRA  &amp; GEORGE (H)</t>
  </si>
  <si>
    <t>757 STEUBEN ST</t>
  </si>
  <si>
    <t xml:space="preserve">BELL BEVERLY </t>
  </si>
  <si>
    <t>BELL BEVERLY</t>
  </si>
  <si>
    <t>BERT CIR</t>
  </si>
  <si>
    <t>PENN</t>
  </si>
  <si>
    <t xml:space="preserve">WILLIAMS EDITH E </t>
  </si>
  <si>
    <t>BOX 359 MCKEE AVE</t>
  </si>
  <si>
    <t>MCKEE CITY</t>
  </si>
  <si>
    <t xml:space="preserve">SMIECHOWSKI JOSEPH                              </t>
  </si>
  <si>
    <t>719 STEUBEN ST</t>
  </si>
  <si>
    <t>MARGARET SEAMON</t>
  </si>
  <si>
    <t>FREEDOM RD</t>
  </si>
  <si>
    <t xml:space="preserve">ALL IN REAL ESTATE LLC </t>
  </si>
  <si>
    <t>227 STEUBEN ST</t>
  </si>
  <si>
    <t>SHIPWRECK INVESTMENTS LLC</t>
  </si>
  <si>
    <t>332 NEIDEL ST</t>
  </si>
  <si>
    <t>NEIDEL ST</t>
  </si>
  <si>
    <t>ELSTNER JOHN R &amp; GAYLE A (W)</t>
  </si>
  <si>
    <t>0 HERNDON ST</t>
  </si>
  <si>
    <t xml:space="preserve">FOULDS GERALD </t>
  </si>
  <si>
    <t>109 ATTICA ST</t>
  </si>
  <si>
    <t>SW 17 TH ST</t>
  </si>
  <si>
    <t xml:space="preserve">KAOPLKA DAVID </t>
  </si>
  <si>
    <t>0 ATTICA ST</t>
  </si>
  <si>
    <t xml:space="preserve">TIFT DANILOU R </t>
  </si>
  <si>
    <t>211 ATTICA ST</t>
  </si>
  <si>
    <t xml:space="preserve">CRAVEN ASHLEY J </t>
  </si>
  <si>
    <t>BROWNSVILLE RD FL 1</t>
  </si>
  <si>
    <t xml:space="preserve">MARQUIS MANAGEMENT LLC                          </t>
  </si>
  <si>
    <t>198 STEUBEN ST</t>
  </si>
  <si>
    <t>MALONEY JAMES N &amp; HEDWIG E WITTMAN</t>
  </si>
  <si>
    <t xml:space="preserve">SCANLON MICHAEL </t>
  </si>
  <si>
    <t xml:space="preserve">LOWER ELLIOT TRUST  #415841                 </t>
  </si>
  <si>
    <t>106 ATTICA ST</t>
  </si>
  <si>
    <t>LAPP GEORGE W III &amp; SHIRLENE A (W)</t>
  </si>
  <si>
    <t xml:space="preserve">MULL MARGARET B </t>
  </si>
  <si>
    <t xml:space="preserve">PARSONS ERNEST W </t>
  </si>
  <si>
    <t>COVENANT COMMUNITY  TABERNACLE OF PITTSBU RG</t>
  </si>
  <si>
    <t>SOBOCINSKI STEVE  &amp; MARTHA</t>
  </si>
  <si>
    <t>SOBOCINSKI STEVE  &amp; M</t>
  </si>
  <si>
    <t>STATION ST APT 1</t>
  </si>
  <si>
    <t xml:space="preserve">SIKORSKI PAUL  &amp; MARY </t>
  </si>
  <si>
    <t xml:space="preserve">SEN FONG SOON &amp; FONG WONG CHIN KAM      </t>
  </si>
  <si>
    <t>MAY FONG</t>
  </si>
  <si>
    <t>GLEN MALCOLM DR</t>
  </si>
  <si>
    <t xml:space="preserve">ZWIGART COLBY </t>
  </si>
  <si>
    <t>134 STEUBEN ST</t>
  </si>
  <si>
    <t>OBEY ST</t>
  </si>
  <si>
    <t xml:space="preserve">HUTCHINSON LOU ANN </t>
  </si>
  <si>
    <t>0 SANCTUS ST</t>
  </si>
  <si>
    <t>WOODLOW ST APT 103</t>
  </si>
  <si>
    <t xml:space="preserve">BRICE GEORGE </t>
  </si>
  <si>
    <t>129 STEUBEN ST</t>
  </si>
  <si>
    <t>131 STEUBEN ST</t>
  </si>
  <si>
    <t>149 STEUBEN ST</t>
  </si>
  <si>
    <t>-151 STEUBEN ST</t>
  </si>
  <si>
    <t xml:space="preserve">GREICON  LLC </t>
  </si>
  <si>
    <t>N EMILY ST</t>
  </si>
  <si>
    <t>COVENANT COMMUNITY  TABERNACLE OF PITTSBURGH</t>
  </si>
  <si>
    <t>213 STEUBEN ST</t>
  </si>
  <si>
    <t>BUTLER JAMES A &amp; LETTIE B</t>
  </si>
  <si>
    <t>614 S MAIN ST</t>
  </si>
  <si>
    <t xml:space="preserve">BUTLER JAMES  &amp; ELLA K </t>
  </si>
  <si>
    <t>612 S MAIN ST</t>
  </si>
  <si>
    <t xml:space="preserve">PRICE KURT </t>
  </si>
  <si>
    <t>520 S MAIN ST</t>
  </si>
  <si>
    <t>MAMONT RD</t>
  </si>
  <si>
    <t xml:space="preserve">DESANDO MARTA D </t>
  </si>
  <si>
    <t>14 WABASH ST</t>
  </si>
  <si>
    <t xml:space="preserve">TKJ PROPERTIES LLC </t>
  </si>
  <si>
    <t>440 S MAIN ST</t>
  </si>
  <si>
    <t>S MAIN ST FL 3</t>
  </si>
  <si>
    <t>438 S MAIN ST</t>
  </si>
  <si>
    <t>436 S MAIN ST</t>
  </si>
  <si>
    <t xml:space="preserve">ALBIN DEVELOPMENT CO INC </t>
  </si>
  <si>
    <t>426 S MAIN ST</t>
  </si>
  <si>
    <t>ALBIN DEVELOPMENT  COMPANY INC</t>
  </si>
  <si>
    <t>424 S MAIN ST</t>
  </si>
  <si>
    <t>ALBIN DEVELOPMENT COM</t>
  </si>
  <si>
    <t xml:space="preserve">VELAN RICHARD J </t>
  </si>
  <si>
    <t>PO BOX 8521</t>
  </si>
  <si>
    <t xml:space="preserve">BRICE GEORGE E </t>
  </si>
  <si>
    <t>414 S MAIN ST</t>
  </si>
  <si>
    <t>408 S MAIN ST</t>
  </si>
  <si>
    <t>423 S MAIN ST</t>
  </si>
  <si>
    <t xml:space="preserve">RCH REALTY LP                                   </t>
  </si>
  <si>
    <t>443 S MAIN ST</t>
  </si>
  <si>
    <t xml:space="preserve">NAM ELIZABETH D </t>
  </si>
  <si>
    <t>29 WABASH ST</t>
  </si>
  <si>
    <t xml:space="preserve">ALEXANDER NEPTUNE LP                            </t>
  </si>
  <si>
    <t>GIBELLINO WILLIAM J JR &amp; KATHLEEN A (W)</t>
  </si>
  <si>
    <t>733 WYMORE ST</t>
  </si>
  <si>
    <t>KEEVER AVE</t>
  </si>
  <si>
    <t xml:space="preserve">EVANGELISTA JOSEPH E </t>
  </si>
  <si>
    <t>741 WYMORE ST</t>
  </si>
  <si>
    <t xml:space="preserve">WHITE JOHANNA                                   </t>
  </si>
  <si>
    <t>740 HERSCHEL ST</t>
  </si>
  <si>
    <t xml:space="preserve">KUCSMA RUTH ANN </t>
  </si>
  <si>
    <t>0 HERSCHEL ST</t>
  </si>
  <si>
    <t>PFEIFER WILLIAM J JR &amp; SHERRY (W)</t>
  </si>
  <si>
    <t>41 JONES WAY</t>
  </si>
  <si>
    <t>MARGARET DR</t>
  </si>
  <si>
    <t>MONACA</t>
  </si>
  <si>
    <t xml:space="preserve">WASHINGTON KIERA C </t>
  </si>
  <si>
    <t>LIBERTY HOME MTG CORP</t>
  </si>
  <si>
    <t>ROCKSIDE RD STE 310</t>
  </si>
  <si>
    <t xml:space="preserve">LAITY JOSEPH A </t>
  </si>
  <si>
    <t>518 HERSCHEL ST</t>
  </si>
  <si>
    <t>BRUNOT AVE</t>
  </si>
  <si>
    <t xml:space="preserve">LAITY JOSEPH </t>
  </si>
  <si>
    <t>JOSEPH LAITY</t>
  </si>
  <si>
    <t>IVYWOOD DR</t>
  </si>
  <si>
    <t>LANE MATTHEW D &amp; KELLY L (W)</t>
  </si>
  <si>
    <t>OAKGLEN ST</t>
  </si>
  <si>
    <t xml:space="preserve">4 REINHARDT FAMILY TRUST </t>
  </si>
  <si>
    <t>4 REINHARDT FAMILY TR</t>
  </si>
  <si>
    <t>PO BOX 15825</t>
  </si>
  <si>
    <t>BOGDAN JOSEPH J &amp; MARGARET Z</t>
  </si>
  <si>
    <t>507 HARKER ST</t>
  </si>
  <si>
    <t xml:space="preserve">KEOUGH LOUIS F JR </t>
  </si>
  <si>
    <t>0 WEAVER ST</t>
  </si>
  <si>
    <t>607 WYMORE ST</t>
  </si>
  <si>
    <t xml:space="preserve">ROZANOK KENNETH M </t>
  </si>
  <si>
    <t>649 HARKER ST</t>
  </si>
  <si>
    <t>DOBROWSKY WALTER  &amp; ALICE E (W)</t>
  </si>
  <si>
    <t xml:space="preserve">THOMPSON JEFFREY </t>
  </si>
  <si>
    <t>JEFFREY THOMPSON</t>
  </si>
  <si>
    <t>FLEET CLARENCE G &amp; DOLORES</t>
  </si>
  <si>
    <t>FLEET CLARENCE G &amp; DO</t>
  </si>
  <si>
    <t>HRKER ST</t>
  </si>
  <si>
    <t>KRUMANACKER DAVID PAUL &amp; EMILY ANN (W)</t>
  </si>
  <si>
    <t>KRUMANACKER DAVID PAU</t>
  </si>
  <si>
    <t>MEREDITH ST</t>
  </si>
  <si>
    <t xml:space="preserve">WALZER BRIAN J </t>
  </si>
  <si>
    <t>644 HARKER ST</t>
  </si>
  <si>
    <t xml:space="preserve">WOLF PAUL </t>
  </si>
  <si>
    <t>0 WALBRIDGE ST</t>
  </si>
  <si>
    <t>SMITH DR</t>
  </si>
  <si>
    <t>GEYER ALBERT JR &amp; DONNA (W)</t>
  </si>
  <si>
    <t>0 LOVELACE ST</t>
  </si>
  <si>
    <t>LONG MARYLOU  &amp; CHARLES J BARTHOLOMEW JR</t>
  </si>
  <si>
    <t>532 LOVELACE ST</t>
  </si>
  <si>
    <t>LONG MARYLOU  &amp; CHARL</t>
  </si>
  <si>
    <t xml:space="preserve">TODD DIANE M </t>
  </si>
  <si>
    <t>644 WALBRIDGE ST</t>
  </si>
  <si>
    <t>SERRANO AVE</t>
  </si>
  <si>
    <t xml:space="preserve">TERRY JAMES A III </t>
  </si>
  <si>
    <t>625 S MAIN ST</t>
  </si>
  <si>
    <t xml:space="preserve">TERRY JAMES A IV </t>
  </si>
  <si>
    <t>PO BOX 16292</t>
  </si>
  <si>
    <t>PITTSBURGH GOSPEL  TABERNACLE CHURCH</t>
  </si>
  <si>
    <t>641 S MAIN ST</t>
  </si>
  <si>
    <t>643 S MAIN ST</t>
  </si>
  <si>
    <t>645 S MAIN ST</t>
  </si>
  <si>
    <t xml:space="preserve">BUTLER NAOMI P </t>
  </si>
  <si>
    <t xml:space="preserve">NOLTE AMELIA G </t>
  </si>
  <si>
    <t>705 WALBRIDGE ST</t>
  </si>
  <si>
    <t>WALBRIDGE ST</t>
  </si>
  <si>
    <t>THOMPSON JOHN P JR &amp; ESTHER M (W)</t>
  </si>
  <si>
    <t>701 WALBRIDGE ST</t>
  </si>
  <si>
    <t xml:space="preserve">WALKER AUBRE HANNAH </t>
  </si>
  <si>
    <t>702 KERR ST</t>
  </si>
  <si>
    <t>KERR ST</t>
  </si>
  <si>
    <t xml:space="preserve">SILLA BRIAN E                                   </t>
  </si>
  <si>
    <t>714 KERR ST</t>
  </si>
  <si>
    <t>RUMPF JAMES THOMAS ETAL</t>
  </si>
  <si>
    <t>400 SPARTA ST</t>
  </si>
  <si>
    <t>SPARTA ST</t>
  </si>
  <si>
    <t xml:space="preserve">SELIGMAN SANDRA M </t>
  </si>
  <si>
    <t>709 KERR ST</t>
  </si>
  <si>
    <t>BAYVIEW FINANCIAL  PROPERTY TRUST</t>
  </si>
  <si>
    <t>40 NOBLESTOWN RD</t>
  </si>
  <si>
    <t>BAYVIEW FINANCIAL PRO</t>
  </si>
  <si>
    <t>AIRPORT FRWY</t>
  </si>
  <si>
    <t>HURST</t>
  </si>
  <si>
    <t xml:space="preserve">ABRAHAM LORETTA M </t>
  </si>
  <si>
    <t>0 NOBLESTOWN RD</t>
  </si>
  <si>
    <t>NOBLESTOWN RD</t>
  </si>
  <si>
    <t xml:space="preserve">DONOVAN LAWRENCE KEITH </t>
  </si>
  <si>
    <t>639 WALBRIDGE ST</t>
  </si>
  <si>
    <t>SHARP AVE</t>
  </si>
  <si>
    <t>BOULOS CHAHINE G &amp; MICHELLE (W)</t>
  </si>
  <si>
    <t>515 S MAIN ST</t>
  </si>
  <si>
    <t>BOULOS CHAHINE G &amp; MI</t>
  </si>
  <si>
    <t>ORCHARDVIEW DR</t>
  </si>
  <si>
    <t xml:space="preserve">BOEN EARL D </t>
  </si>
  <si>
    <t>29 NOBLESTOWN RD</t>
  </si>
  <si>
    <t>PO BOX 1042</t>
  </si>
  <si>
    <t>WINSTON</t>
  </si>
  <si>
    <t>80 WABASH ST</t>
  </si>
  <si>
    <t>0 WABASH ST</t>
  </si>
  <si>
    <t xml:space="preserve">WEST ENTERPRISES III  LLC                     </t>
  </si>
  <si>
    <t>31 NOBLESTOWN RD</t>
  </si>
  <si>
    <t xml:space="preserve">STEDING FREDRICK R                              </t>
  </si>
  <si>
    <t>FALCK RD</t>
  </si>
  <si>
    <t xml:space="preserve">STEDING FREDRICK R </t>
  </si>
  <si>
    <t xml:space="preserve">CICCONE HEATHER </t>
  </si>
  <si>
    <t>1321 MCCARTNEY ST</t>
  </si>
  <si>
    <t>MCCARTNEY ST</t>
  </si>
  <si>
    <t>TITTERINGTON JAMES E &amp; LINDA L (W)</t>
  </si>
  <si>
    <t>1330 MCCARTNEY ST</t>
  </si>
  <si>
    <t>RIDGE RD</t>
  </si>
  <si>
    <t xml:space="preserve">515 SEDAN WAY LP                                </t>
  </si>
  <si>
    <t>515 SEDAN WAY</t>
  </si>
  <si>
    <t>COUNTRY CLUB RD</t>
  </si>
  <si>
    <t xml:space="preserve">DITTLER TANYA A </t>
  </si>
  <si>
    <t>623 SEDAN WAY</t>
  </si>
  <si>
    <t>SEDAN WAY</t>
  </si>
  <si>
    <t>610 NOBLESTOWN RD</t>
  </si>
  <si>
    <t>ALL IN REAL ESTATE LL</t>
  </si>
  <si>
    <t xml:space="preserve">DIETZ GREGG </t>
  </si>
  <si>
    <t>600 NOBLESTOWN RD</t>
  </si>
  <si>
    <t xml:space="preserve">MCDONALD ELEANOR J </t>
  </si>
  <si>
    <t>200 BUTTONWOOD ST</t>
  </si>
  <si>
    <t>BUTTONWOOD ST</t>
  </si>
  <si>
    <t xml:space="preserve">PLUNKETT JAMES E                                </t>
  </si>
  <si>
    <t>828 KERR ST</t>
  </si>
  <si>
    <t>148 WARDEN ST</t>
  </si>
  <si>
    <t>LUBIC REGINA A &amp; GEORGE K (H)</t>
  </si>
  <si>
    <t>143 WARDEN ST</t>
  </si>
  <si>
    <t>JEANA LN</t>
  </si>
  <si>
    <t xml:space="preserve">BOLT JOYCE </t>
  </si>
  <si>
    <t>133 WARDEN ST</t>
  </si>
  <si>
    <t>WARDEN ST</t>
  </si>
  <si>
    <t>EVERSON SEAN NATHANIEL &amp; GLENDA F (W)</t>
  </si>
  <si>
    <t>134 WABASH ST</t>
  </si>
  <si>
    <t>EVERSON SEAN NATHANIE</t>
  </si>
  <si>
    <t>SUMMIT CAPITAL VANGUARD  VENTURES LLC</t>
  </si>
  <si>
    <t>121 WABASH ST</t>
  </si>
  <si>
    <t>SUMMIT CAPITAL VANGUA</t>
  </si>
  <si>
    <t>CANEL SQUARE PL STE 101</t>
  </si>
  <si>
    <t>AKRON</t>
  </si>
  <si>
    <t>MONARCH PROPERTIES  FRESNO LLC</t>
  </si>
  <si>
    <t>113 WABASH ST</t>
  </si>
  <si>
    <t>MONARCH PROPERTIES FR</t>
  </si>
  <si>
    <t>19TH AVE</t>
  </si>
  <si>
    <t>KINGSBURG</t>
  </si>
  <si>
    <t>1124 DENISONVIEW ST</t>
  </si>
  <si>
    <t>1826 HETHLON ST</t>
  </si>
  <si>
    <t>EFTHIMIADES TIMOTHY M &amp; KATHLEEN M EFTHI MIADES</t>
  </si>
  <si>
    <t>1712 HETHLON ST</t>
  </si>
  <si>
    <t xml:space="preserve">SCHEMPP WILLIAM T </t>
  </si>
  <si>
    <t>0 WESTCHESTER ST</t>
  </si>
  <si>
    <t>HETHLON ST</t>
  </si>
  <si>
    <t xml:space="preserve">DUFFY DOUGLAS SCOTT </t>
  </si>
  <si>
    <t>628 WITTMAN ST</t>
  </si>
  <si>
    <t>WITTMAN ST</t>
  </si>
  <si>
    <t xml:space="preserve">LANE BENJAMIN </t>
  </si>
  <si>
    <t>0 WITTMAN ST</t>
  </si>
  <si>
    <t xml:space="preserve">ANDEITS SHERRY </t>
  </si>
  <si>
    <t xml:space="preserve">SHAFFER DAVID V </t>
  </si>
  <si>
    <t>1018 VALORA ST</t>
  </si>
  <si>
    <t xml:space="preserve">BOWMAN BENJAMIN D </t>
  </si>
  <si>
    <t>1012 VALORA ST</t>
  </si>
  <si>
    <t xml:space="preserve">LINDEN RUTHANN </t>
  </si>
  <si>
    <t>1015 COVERDALE ST</t>
  </si>
  <si>
    <t xml:space="preserve">FERRIS EVAN L </t>
  </si>
  <si>
    <t>0 WINONA ST</t>
  </si>
  <si>
    <t>WINONA ST</t>
  </si>
  <si>
    <t xml:space="preserve">PITTSBURGH POLICE  MEMORIAL TRUST          </t>
  </si>
  <si>
    <t>190 KEARNS AVE</t>
  </si>
  <si>
    <t>PITTSBURGH POLICE MEM</t>
  </si>
  <si>
    <t xml:space="preserve">MOSELY ARTHUR </t>
  </si>
  <si>
    <t>0 KEARNS ST</t>
  </si>
  <si>
    <t>KEARNS AVE</t>
  </si>
  <si>
    <t xml:space="preserve">RAVE RANDALL </t>
  </si>
  <si>
    <t>225 KEARNS ST</t>
  </si>
  <si>
    <t>MUELLER AVE</t>
  </si>
  <si>
    <t xml:space="preserve">HATCHETTE WILLIAM                               </t>
  </si>
  <si>
    <t xml:space="preserve">LINDSEY NELLIE HUNTER </t>
  </si>
  <si>
    <t>BRUNOZZI EUGENE A &amp; EVELYN D (W)</t>
  </si>
  <si>
    <t>318 JUNIUS ST</t>
  </si>
  <si>
    <t xml:space="preserve">COTTERMAN KATHI L </t>
  </si>
  <si>
    <t>322 JUNIUS ST</t>
  </si>
  <si>
    <t xml:space="preserve">CKR NORTHEAST LLC </t>
  </si>
  <si>
    <t>420 GREENTREE RD</t>
  </si>
  <si>
    <t>CKR NORTHEAST LLC</t>
  </si>
  <si>
    <t>NE 6TH ST</t>
  </si>
  <si>
    <t>GRANTS PASS</t>
  </si>
  <si>
    <t xml:space="preserve">THE 1017 BUILDING LLC </t>
  </si>
  <si>
    <t>1017 MCCARTNEY ST</t>
  </si>
  <si>
    <t>MICHAELS STANLEY F &amp; NORMA R (W)</t>
  </si>
  <si>
    <t>0 GLEN MAWR ST</t>
  </si>
  <si>
    <t>PRINCETON RD</t>
  </si>
  <si>
    <t>1461 CHARTIERS AVE</t>
  </si>
  <si>
    <t xml:space="preserve">LEVY ELVIA </t>
  </si>
  <si>
    <t>0 CORLISS ST</t>
  </si>
  <si>
    <t>GLENBURN DR</t>
  </si>
  <si>
    <t>SNYDER FREDERICK T SR &amp; AGNES T (W)</t>
  </si>
  <si>
    <t>251 CORLISS ST</t>
  </si>
  <si>
    <t>SNYDER FREDERICK T SR</t>
  </si>
  <si>
    <t>CORLISS ST</t>
  </si>
  <si>
    <t>DURRANT JAMIE JO         ETAL</t>
  </si>
  <si>
    <t>1411 LAKEWOOD ST</t>
  </si>
  <si>
    <t>LAKEWOOD ST</t>
  </si>
  <si>
    <t xml:space="preserve">PATTERSON BETTY JANE </t>
  </si>
  <si>
    <t>1347 LAKEWOOD ST</t>
  </si>
  <si>
    <t>STRALEY PL</t>
  </si>
  <si>
    <t xml:space="preserve">LUXBACHER DAVID A &amp; SANDRA L (W)            </t>
  </si>
  <si>
    <t>1301 VIXEN ST</t>
  </si>
  <si>
    <t>LUXBACHER DAVID A &amp; S</t>
  </si>
  <si>
    <t>VIXEN ST</t>
  </si>
  <si>
    <t>LUXBACHER DAVID ALAN &amp; SANDRA LYNN (W)</t>
  </si>
  <si>
    <t>1327 VIXEN ST</t>
  </si>
  <si>
    <t>QUARLES ROBERT  &amp; THELMA (W)</t>
  </si>
  <si>
    <t>0 VIXEN ST</t>
  </si>
  <si>
    <t>QUARLES ROBERT  &amp; THE</t>
  </si>
  <si>
    <t>STRARA ST</t>
  </si>
  <si>
    <t xml:space="preserve">MOROCHO EDUARDO </t>
  </si>
  <si>
    <t>1317 VIXEN ST</t>
  </si>
  <si>
    <t>1277 LAKEWOOD ST</t>
  </si>
  <si>
    <t>1279 LAKEWOOD ST</t>
  </si>
  <si>
    <t xml:space="preserve">HICKS JERRY </t>
  </si>
  <si>
    <t>1283 LAKEWOOD ST</t>
  </si>
  <si>
    <t>114 STEM ST</t>
  </si>
  <si>
    <t>KENILWORTH</t>
  </si>
  <si>
    <t>ZIOLKOWSKI DONALD  &amp; HEATHER (W)</t>
  </si>
  <si>
    <t>1222 STEM ST</t>
  </si>
  <si>
    <t>STEM ST</t>
  </si>
  <si>
    <t xml:space="preserve">STEINER ALEXANDRIA </t>
  </si>
  <si>
    <t>0 VALLE RUE ST</t>
  </si>
  <si>
    <t>VALLE RUE ST</t>
  </si>
  <si>
    <t xml:space="preserve">HARRIS JOHN PATRICK </t>
  </si>
  <si>
    <t>S 7TH ST</t>
  </si>
  <si>
    <t>STEUBENVILLE</t>
  </si>
  <si>
    <t xml:space="preserve">ROACH KEITH R </t>
  </si>
  <si>
    <t>1340 VALLE RUE ST</t>
  </si>
  <si>
    <t xml:space="preserve">OLESNEVICH DAVID E </t>
  </si>
  <si>
    <t>1328 CHARTIERS AVE</t>
  </si>
  <si>
    <t xml:space="preserve">BUTLER JOHN 2ND </t>
  </si>
  <si>
    <t>0 CHARTIERS AVE</t>
  </si>
  <si>
    <t>SAUNDERS JOHN W &amp; SYLVIA M (W)</t>
  </si>
  <si>
    <t>1318 CHARTIERS AVE</t>
  </si>
  <si>
    <t>SAUNDERS JOHN W &amp; SYL</t>
  </si>
  <si>
    <t>PATTERSON THEODORE T &amp; BETTY JANE (W)</t>
  </si>
  <si>
    <t>0 GEORGE ST</t>
  </si>
  <si>
    <t>STRAHLEY PL</t>
  </si>
  <si>
    <t xml:space="preserve">DUNHOFF WILLIAM </t>
  </si>
  <si>
    <t>0 LAKEWOOD ST</t>
  </si>
  <si>
    <t>DUNHOFF JAMES H &amp; NELLIE S (W)</t>
  </si>
  <si>
    <t>LAKEWOOD AVE</t>
  </si>
  <si>
    <t>DUNHOFF JAMES H &amp; NEL</t>
  </si>
  <si>
    <t xml:space="preserve">UHLER MARY ANNC ELESTE </t>
  </si>
  <si>
    <t>0 WERDER ST</t>
  </si>
  <si>
    <t>PO BOX 59432</t>
  </si>
  <si>
    <t xml:space="preserve">DEFIDE JAMES M </t>
  </si>
  <si>
    <t>1268 LAKEWOOD ST</t>
  </si>
  <si>
    <t>DEFIDE JAMES M</t>
  </si>
  <si>
    <t>BRANDRUP JOHN C &amp; GERALDINE E (W)</t>
  </si>
  <si>
    <t>0 HERROD ST</t>
  </si>
  <si>
    <t xml:space="preserve">MORENOS ENTERPRISES LLC </t>
  </si>
  <si>
    <t>2 HERROD ST</t>
  </si>
  <si>
    <t>CV3 FINANCIAL SERVICE</t>
  </si>
  <si>
    <t>E EL SEGUNDO BLVD STE 203</t>
  </si>
  <si>
    <t>EL SEGUNDO</t>
  </si>
  <si>
    <t xml:space="preserve">KRUMMENACKER ANNA MARIE                         </t>
  </si>
  <si>
    <t>STAFFORD ST</t>
  </si>
  <si>
    <t xml:space="preserve">OGRODOWSKI DAVID </t>
  </si>
  <si>
    <t>BRAHM ST</t>
  </si>
  <si>
    <t>ROURKE HARRY T SR &amp; MARY C (W)</t>
  </si>
  <si>
    <t>0 BOND ST</t>
  </si>
  <si>
    <t>UVILLA ST</t>
  </si>
  <si>
    <t>LOGSDON JAMES &amp; HEATHER (W)</t>
  </si>
  <si>
    <t>2 BOND ST</t>
  </si>
  <si>
    <t>DUNN ST</t>
  </si>
  <si>
    <t xml:space="preserve">HEALY JAMES THOMAS </t>
  </si>
  <si>
    <t xml:space="preserve">NGUYEN NAM                                      </t>
  </si>
  <si>
    <t>7 BOND ST</t>
  </si>
  <si>
    <t>BOND ST</t>
  </si>
  <si>
    <t xml:space="preserve">AMOROSO CYNTHIA A </t>
  </si>
  <si>
    <t>1008 RUE GRANDE VUE ST</t>
  </si>
  <si>
    <t>RUE GRANDE VUE ST</t>
  </si>
  <si>
    <t xml:space="preserve">JOHNSON COURTNEY B </t>
  </si>
  <si>
    <t>0 ELF ST</t>
  </si>
  <si>
    <t xml:space="preserve">BERRY TAMIKA </t>
  </si>
  <si>
    <t>1217 CHARTIERS AVE</t>
  </si>
  <si>
    <t>STEINER ST</t>
  </si>
  <si>
    <t xml:space="preserve">DIX RICHARD </t>
  </si>
  <si>
    <t>FREDONIA ST</t>
  </si>
  <si>
    <t xml:space="preserve">KRONZ BARBARA ANN </t>
  </si>
  <si>
    <t>BARBARA ANN DAVIS</t>
  </si>
  <si>
    <t>0 EVANS AVE</t>
  </si>
  <si>
    <t xml:space="preserve">LAWLEY RUTH DRUSILLA  WARD &amp; DANIEL G (H)     </t>
  </si>
  <si>
    <t>LAWLEY RUTH DRUSILLAW</t>
  </si>
  <si>
    <t xml:space="preserve">LEY BROS ET AL </t>
  </si>
  <si>
    <t>0 NITTANY ST</t>
  </si>
  <si>
    <t xml:space="preserve">KAHLE NATHAN </t>
  </si>
  <si>
    <t>SKOCZ DANIEL T &amp; SHARON A (W)</t>
  </si>
  <si>
    <t>1135 STRAHLEY PL</t>
  </si>
  <si>
    <t>1119 STRAHLEY PL</t>
  </si>
  <si>
    <t>1208 STRAHLEY PL</t>
  </si>
  <si>
    <t>SHIPLEY DAVID J &amp; DIANNA L</t>
  </si>
  <si>
    <t>1132 STRAHLEY PL</t>
  </si>
  <si>
    <t>MIKUSH SHAWN &amp; CYNTHIA (W)</t>
  </si>
  <si>
    <t>1128 STRAHLEY PL</t>
  </si>
  <si>
    <t xml:space="preserve">AUTH MICHAEL E </t>
  </si>
  <si>
    <t>RINGGOLD ST</t>
  </si>
  <si>
    <t xml:space="preserve">TARR LEO Z                                      </t>
  </si>
  <si>
    <t>1123 LAKEWOOD ST</t>
  </si>
  <si>
    <t xml:space="preserve">RA40 ACQUISITIONS LLC </t>
  </si>
  <si>
    <t>FASTGREEN CIR</t>
  </si>
  <si>
    <t>710 BUCYRUS ST</t>
  </si>
  <si>
    <t xml:space="preserve">BUNCH CARMELLA L </t>
  </si>
  <si>
    <t>704 BUCYRUS ST</t>
  </si>
  <si>
    <t>BUCYRUS ST</t>
  </si>
  <si>
    <t>EDWARDS GARY R &amp; JOLENE E (W)</t>
  </si>
  <si>
    <t>1047 LAKEWOOD ST</t>
  </si>
  <si>
    <t xml:space="preserve">HUSSAIN YASIR </t>
  </si>
  <si>
    <t>1105 LAKEWOOD ST</t>
  </si>
  <si>
    <t>SUCCESS MORTGAGE PART</t>
  </si>
  <si>
    <t>S SHELDON RD STE 150</t>
  </si>
  <si>
    <t>PLYMOUTH</t>
  </si>
  <si>
    <t>FORCUCCI ANTHONY E &amp; KARIN M (W)</t>
  </si>
  <si>
    <t>1111 LAKEWOOD ST</t>
  </si>
  <si>
    <t>SCHULZ CYNTHIA JK  ILLMEYER</t>
  </si>
  <si>
    <t>1115 LAKEWOOD ST</t>
  </si>
  <si>
    <t>SCHULZ CYNTHIA JK ILL</t>
  </si>
  <si>
    <t>1117 LAKEWOOD ST</t>
  </si>
  <si>
    <t xml:space="preserve">MANTRI DEVELOPERS LP LLC </t>
  </si>
  <si>
    <t>1119 LAKEWOOD ST</t>
  </si>
  <si>
    <t xml:space="preserve">MANTRI DEVELOPERS LP </t>
  </si>
  <si>
    <t>CHASE RD</t>
  </si>
  <si>
    <t>DEARBORN</t>
  </si>
  <si>
    <t xml:space="preserve">HUDSON IRIS </t>
  </si>
  <si>
    <t>HUDSON IRIS</t>
  </si>
  <si>
    <t>1222 LAKEWOOD ST</t>
  </si>
  <si>
    <t>MILLER GREENWOOD DR</t>
  </si>
  <si>
    <t xml:space="preserve">CONNORS EARLA </t>
  </si>
  <si>
    <t xml:space="preserve">LORDSON CAPITAL LLC </t>
  </si>
  <si>
    <t>1206 LAKEWOOD ST</t>
  </si>
  <si>
    <t>H KNOLLWOOD DR STE 331</t>
  </si>
  <si>
    <t>LORDSON CAPITAL LLC</t>
  </si>
  <si>
    <t xml:space="preserve">TUTTLE STEVEN M                                 </t>
  </si>
  <si>
    <t>1045 ELKTON ST</t>
  </si>
  <si>
    <t>ELKTON ST</t>
  </si>
  <si>
    <t>SWICKARD HAROLD L &amp; DOROTHY B</t>
  </si>
  <si>
    <t>1041 ELKTON ST</t>
  </si>
  <si>
    <t>STRATEGIC DEVELOPMENTS  LLC</t>
  </si>
  <si>
    <t>1006 VALONIA ST</t>
  </si>
  <si>
    <t>STRATEGIC DEVELOPMENT</t>
  </si>
  <si>
    <t>1008 VALONIA ST</t>
  </si>
  <si>
    <t xml:space="preserve">OTTO ROSEMARY                                   </t>
  </si>
  <si>
    <t>1029 VALONIA ST</t>
  </si>
  <si>
    <t>VALONIA ST</t>
  </si>
  <si>
    <t>1015 VALONIA ST</t>
  </si>
  <si>
    <t xml:space="preserve">DREWERY DAVID </t>
  </si>
  <si>
    <t>1013 VALONIA ST</t>
  </si>
  <si>
    <t>DREWERY DAVID</t>
  </si>
  <si>
    <t>CORTLAND DR E</t>
  </si>
  <si>
    <t>LOGSDON STANLEY V JR &amp; THERESA (W)</t>
  </si>
  <si>
    <t>1038 MARENA ST</t>
  </si>
  <si>
    <t>MARENA ST</t>
  </si>
  <si>
    <t>KING ROSS SR &amp; MARSHA D (W)</t>
  </si>
  <si>
    <t>1043 MARENA ST</t>
  </si>
  <si>
    <t>KING ROSS SR &amp; MARSHA</t>
  </si>
  <si>
    <t>HOLLY RIDGE DR</t>
  </si>
  <si>
    <t>KUHND JAMES L &amp; BARBARA A (W)</t>
  </si>
  <si>
    <t>0 MARENA ST</t>
  </si>
  <si>
    <t>CHAMPION ROBERT L &amp; MARGARET M CHAMPION</t>
  </si>
  <si>
    <t>500 LORENZ AVE</t>
  </si>
  <si>
    <t xml:space="preserve">AMRAM NANCY A </t>
  </si>
  <si>
    <t>512 LORENZ AVE</t>
  </si>
  <si>
    <t>FLEMING BERNICE E &amp; PAUL S FLEMING</t>
  </si>
  <si>
    <t>1014 UVILLA ST</t>
  </si>
  <si>
    <t xml:space="preserve">MCGUIRE MICHAEL JOHN </t>
  </si>
  <si>
    <t>1018 UVILLA ST</t>
  </si>
  <si>
    <t>MCGUIRE JOYCE L</t>
  </si>
  <si>
    <t>1042 LAKEWOOD ST</t>
  </si>
  <si>
    <t>BOULEVARD OF THE ALLIES ST STE</t>
  </si>
  <si>
    <t xml:space="preserve">MICHELESSI MARINO </t>
  </si>
  <si>
    <t>1038 LAKEWOOD ST</t>
  </si>
  <si>
    <t xml:space="preserve">PPREF-B LLC </t>
  </si>
  <si>
    <t>1020 LAKEWOOD ST</t>
  </si>
  <si>
    <t xml:space="preserve">KELLEY DREWANDA </t>
  </si>
  <si>
    <t>604 LORENZ AVE</t>
  </si>
  <si>
    <t>MAJOR RAINEY</t>
  </si>
  <si>
    <t xml:space="preserve">BALLARD ESTATES LLC </t>
  </si>
  <si>
    <t>513 LORENZ AVE</t>
  </si>
  <si>
    <t>COMMERCIAL LENDER LLC</t>
  </si>
  <si>
    <t>PO BOX 3801</t>
  </si>
  <si>
    <t>VERNON ROCKVIL</t>
  </si>
  <si>
    <t xml:space="preserve">JACKSON WILLIAM </t>
  </si>
  <si>
    <t>507 LORENZ AVE</t>
  </si>
  <si>
    <t>BRUCE ST</t>
  </si>
  <si>
    <t xml:space="preserve">ALIA PROPERTIES LLC </t>
  </si>
  <si>
    <t>407 LORENZ AVE</t>
  </si>
  <si>
    <t>ALIA PROPERTIES LLC</t>
  </si>
  <si>
    <t>MISSOURI AVE</t>
  </si>
  <si>
    <t xml:space="preserve">FOULDS GERALD W </t>
  </si>
  <si>
    <t>924 MARENA ST</t>
  </si>
  <si>
    <t>THE OVERLOOK AT WEST  END POINTE II LLC</t>
  </si>
  <si>
    <t>740 MARLOW ST</t>
  </si>
  <si>
    <t xml:space="preserve">THE OVERLOOK AT WEST </t>
  </si>
  <si>
    <t>736 MARLOW ST</t>
  </si>
  <si>
    <t>0 MARLOW ST</t>
  </si>
  <si>
    <t>728 MARLOW ST</t>
  </si>
  <si>
    <t>724 MARLOW ST</t>
  </si>
  <si>
    <t>LISIECKI ROBERT E &amp; ALLISON D (W)</t>
  </si>
  <si>
    <t>700 MARLOW ST</t>
  </si>
  <si>
    <t>LISIECKI ROBERT E &amp; A</t>
  </si>
  <si>
    <t>MARLOW ST</t>
  </si>
  <si>
    <t xml:space="preserve">LAPP CAROLYN A                                  </t>
  </si>
  <si>
    <t>804 ELKTON ST</t>
  </si>
  <si>
    <t xml:space="preserve">KIZINA KELSEY MARIE </t>
  </si>
  <si>
    <t>303 MARLOW ST</t>
  </si>
  <si>
    <t>LUHN JASON RYAN &amp; KELLY F (W)</t>
  </si>
  <si>
    <t>911 ELKTON ST</t>
  </si>
  <si>
    <t>LUHN JASON RYAN &amp; KEL</t>
  </si>
  <si>
    <t>ANGLE ST</t>
  </si>
  <si>
    <t>916 VALONIA ST</t>
  </si>
  <si>
    <t>FOULDS GERALD W &amp; JANE C (W)</t>
  </si>
  <si>
    <t>920 MARENA ST</t>
  </si>
  <si>
    <t>FOULDS GERALD W &amp; JAN</t>
  </si>
  <si>
    <t xml:space="preserve">CRAIN VICTORIA L </t>
  </si>
  <si>
    <t>221 LORENZ AVE</t>
  </si>
  <si>
    <t>302 LORENZ AVE</t>
  </si>
  <si>
    <t>304 LORENZ AVE</t>
  </si>
  <si>
    <t>314 LORENZ AVE</t>
  </si>
  <si>
    <t>318 LORENZ AVE</t>
  </si>
  <si>
    <t>BRYAN DEFRANCO</t>
  </si>
  <si>
    <t>320 LORENZ AVE</t>
  </si>
  <si>
    <t xml:space="preserve">THORNTON BENNIE J </t>
  </si>
  <si>
    <t>1021 ELKTON ST</t>
  </si>
  <si>
    <t xml:space="preserve">FOULDS ALEXANDER </t>
  </si>
  <si>
    <t>1026 ELKTON ST</t>
  </si>
  <si>
    <t>1021 RUE GRANDE VUE ST</t>
  </si>
  <si>
    <t xml:space="preserve">SHANEFELT MARGARET A </t>
  </si>
  <si>
    <t>1100 ZAHNISER ST</t>
  </si>
  <si>
    <t>POPLAR ST</t>
  </si>
  <si>
    <t xml:space="preserve">MUFFIN PROPERTIES LLC </t>
  </si>
  <si>
    <t>0 ZAHNISER ST</t>
  </si>
  <si>
    <t>FIRENZE DR</t>
  </si>
  <si>
    <t xml:space="preserve">NEIDBALA MARCY </t>
  </si>
  <si>
    <t>OSWIN ST</t>
  </si>
  <si>
    <t xml:space="preserve">CHAUDHARY IMRAN </t>
  </si>
  <si>
    <t>1015 ZAHNISER ST</t>
  </si>
  <si>
    <t>ZAHNISER ST</t>
  </si>
  <si>
    <t xml:space="preserve">FINALE TIMOTHY </t>
  </si>
  <si>
    <t>1006 ZAHNISER ST</t>
  </si>
  <si>
    <t xml:space="preserve">GALLUP CONSTANCE A </t>
  </si>
  <si>
    <t>1004 ZAHNISER ST</t>
  </si>
  <si>
    <t xml:space="preserve">LEWIS ROBIN </t>
  </si>
  <si>
    <t>919 BERDELLA ST</t>
  </si>
  <si>
    <t>BERDELLA ST</t>
  </si>
  <si>
    <t xml:space="preserve">WARE SHELDON </t>
  </si>
  <si>
    <t>1110 OSWIN ST</t>
  </si>
  <si>
    <t>ELROY RD APT G8</t>
  </si>
  <si>
    <t>HATFIELD</t>
  </si>
  <si>
    <t xml:space="preserve">GORDON JOSEPH IV </t>
  </si>
  <si>
    <t>1018 STEUBEN ST</t>
  </si>
  <si>
    <t xml:space="preserve">HYATT JAMES E </t>
  </si>
  <si>
    <t>0 CRUCIBLE ST</t>
  </si>
  <si>
    <t xml:space="preserve">JM PROPERTIES LLC </t>
  </si>
  <si>
    <t>1126 FREDONIA ST</t>
  </si>
  <si>
    <t>BRYNA LN</t>
  </si>
  <si>
    <t xml:space="preserve">CAROTHERS FRANCIS  EDWARD                  </t>
  </si>
  <si>
    <t>0 FREDONIA ST</t>
  </si>
  <si>
    <t>CAROTHERS FRANCIS EDW</t>
  </si>
  <si>
    <t>BALDWICK RD APT 304</t>
  </si>
  <si>
    <t xml:space="preserve">LEWIS GWENDOLYN R </t>
  </si>
  <si>
    <t>1104 CRUCIBLE ST</t>
  </si>
  <si>
    <t xml:space="preserve">STACY JEFFREY D </t>
  </si>
  <si>
    <t>1102 CRUCIBLE ST</t>
  </si>
  <si>
    <t xml:space="preserve">TERRY RYAN </t>
  </si>
  <si>
    <t>1020 CRUCIBLE ST</t>
  </si>
  <si>
    <t>TALLOWWOOD TER # B</t>
  </si>
  <si>
    <t>MISS IDA'S CHILD CARE CENTER INC</t>
  </si>
  <si>
    <t>0 LORENZ AVE</t>
  </si>
  <si>
    <t>CLAY DR</t>
  </si>
  <si>
    <t>822 LORENZ AVE</t>
  </si>
  <si>
    <t>820 LORENZ AVE</t>
  </si>
  <si>
    <t xml:space="preserve">DAFFERN DAVID </t>
  </si>
  <si>
    <t>1103 FREDONIA ST</t>
  </si>
  <si>
    <t xml:space="preserve">BRADLEY MELINDA A </t>
  </si>
  <si>
    <t>1106 FREDONIA ST</t>
  </si>
  <si>
    <t>KRUPITZER ALAN P &amp; PATRICIA A (W)</t>
  </si>
  <si>
    <t>1102 FREDONIA ST</t>
  </si>
  <si>
    <t xml:space="preserve">JOSEPH EILEEN MARIE                             </t>
  </si>
  <si>
    <t>1100 FREDONIA ST</t>
  </si>
  <si>
    <t>JOSEPH EILEEN MARIE</t>
  </si>
  <si>
    <t>810 LORENZ AVE</t>
  </si>
  <si>
    <t>1023 CHARTIERS AVE</t>
  </si>
  <si>
    <t>BROEKER JEFFREY LEE &amp; LISA J (W)</t>
  </si>
  <si>
    <t>1037 CHARTIERS AVE</t>
  </si>
  <si>
    <t>ROOSEVELT BLVD</t>
  </si>
  <si>
    <t xml:space="preserve">ANDERSON CHARVETTE Y </t>
  </si>
  <si>
    <t>1121 CHARTIERS AVE</t>
  </si>
  <si>
    <t xml:space="preserve">TOMACHESKY EDWARD W </t>
  </si>
  <si>
    <t>1129 CHARTIERS AVE</t>
  </si>
  <si>
    <t>EDWARD W TOMACHESKY</t>
  </si>
  <si>
    <t xml:space="preserve">TOMACHESKY DONNA L                              </t>
  </si>
  <si>
    <t>1131 CHARTIERS AVE</t>
  </si>
  <si>
    <t xml:space="preserve">THOMAS DORIAN </t>
  </si>
  <si>
    <t>1036 CHARTIERS AVE</t>
  </si>
  <si>
    <t xml:space="preserve">DRAKE PEGGY L </t>
  </si>
  <si>
    <t>738 RUDOLPH ST</t>
  </si>
  <si>
    <t>RUDOLPH ST</t>
  </si>
  <si>
    <t>LEEDS FAMILY PROPERTIES  LLC</t>
  </si>
  <si>
    <t>718 BUCYRUS ST</t>
  </si>
  <si>
    <t>LEEDS FAMILY PROPERTI</t>
  </si>
  <si>
    <t>PO BOX 1457</t>
  </si>
  <si>
    <t>722 BUCYRUS ST</t>
  </si>
  <si>
    <t>PO BOX  6041</t>
  </si>
  <si>
    <t xml:space="preserve">OVERTON JAMES R </t>
  </si>
  <si>
    <t>726 BUCYRUS ST</t>
  </si>
  <si>
    <t>S HARLESTON DR</t>
  </si>
  <si>
    <t xml:space="preserve">BUTT RICHARD L </t>
  </si>
  <si>
    <t>730 BUCYRUS ST</t>
  </si>
  <si>
    <t>1012 CHARTIERS AVE</t>
  </si>
  <si>
    <t xml:space="preserve">POCHTOY.COM LLC </t>
  </si>
  <si>
    <t>741 BUCYRUS ST</t>
  </si>
  <si>
    <t xml:space="preserve">BRUMM JOSEPH </t>
  </si>
  <si>
    <t>610 LORENZ AVE</t>
  </si>
  <si>
    <t xml:space="preserve">NICKLES MONICA K                                </t>
  </si>
  <si>
    <t>718 LORENZ AVE</t>
  </si>
  <si>
    <t>726 LORENZ AVE</t>
  </si>
  <si>
    <t xml:space="preserve">KYENTERPRISE LLC </t>
  </si>
  <si>
    <t>1008 CHARTIERS AVE</t>
  </si>
  <si>
    <t>KYENTERPRISE LLC</t>
  </si>
  <si>
    <t>BELLEVUE RD</t>
  </si>
  <si>
    <t xml:space="preserve">HARRINGTON SARAH </t>
  </si>
  <si>
    <t>1011 CHARTIERS AVE</t>
  </si>
  <si>
    <t>804 LORENZ AVE</t>
  </si>
  <si>
    <t>811 LORENZ AVE</t>
  </si>
  <si>
    <t>DARSON ENTERPRISES LL</t>
  </si>
  <si>
    <t xml:space="preserve">WEST END COMMERCIAL INC </t>
  </si>
  <si>
    <t>913 CHARTIERS AVE</t>
  </si>
  <si>
    <t>WEST END COMMERCIAL I</t>
  </si>
  <si>
    <t>4TH AVE STE 1401 #1150</t>
  </si>
  <si>
    <t>814 ERNIE ST</t>
  </si>
  <si>
    <t>816 ERNIE ST</t>
  </si>
  <si>
    <t>818 ERNIE ST</t>
  </si>
  <si>
    <t xml:space="preserve">NEICY- NEE LLC </t>
  </si>
  <si>
    <t>818 CHARTIERS AVE</t>
  </si>
  <si>
    <t>S FAIRMONT ST</t>
  </si>
  <si>
    <t xml:space="preserve">SULLIVAN MARY ANN </t>
  </si>
  <si>
    <t xml:space="preserve">DONOVAN RICHARD J JR                            </t>
  </si>
  <si>
    <t>12 AINSWORTH ST</t>
  </si>
  <si>
    <t>AINSWORTH ST</t>
  </si>
  <si>
    <t xml:space="preserve">RIEDER KIMBERLY A </t>
  </si>
  <si>
    <t>10 AINSWORTH ST</t>
  </si>
  <si>
    <t>MATTOX LONNIE J &amp; GENET (W)</t>
  </si>
  <si>
    <t>302 AINSWORTH ST</t>
  </si>
  <si>
    <t>MATTOX LONNIE J &amp; GEN</t>
  </si>
  <si>
    <t xml:space="preserve">ROUSE DARIUS </t>
  </si>
  <si>
    <t>13 AINSWORTH ST</t>
  </si>
  <si>
    <t>ROUSE DARIUS</t>
  </si>
  <si>
    <t>BLACK ECONOMIST INC  (THE)</t>
  </si>
  <si>
    <t>723 LORENZ AVE</t>
  </si>
  <si>
    <t>BLACK ECONOMIST INC (</t>
  </si>
  <si>
    <t>721 LORENZ AVE</t>
  </si>
  <si>
    <t>DIMITT ELIZABETH M &amp; AMY L KILLMEYER</t>
  </si>
  <si>
    <t>709 LORENZ AVE</t>
  </si>
  <si>
    <t xml:space="preserve">KAPRES DONALD C JR                              </t>
  </si>
  <si>
    <t>915 GIBSON ST</t>
  </si>
  <si>
    <t>GIBSON ST</t>
  </si>
  <si>
    <t>900 GIBSON ST</t>
  </si>
  <si>
    <t>904 GIBSON ST</t>
  </si>
  <si>
    <t>906 GIBSON ST</t>
  </si>
  <si>
    <t xml:space="preserve">LTN PROPERTIES LLC </t>
  </si>
  <si>
    <t>910 GIBSON ST</t>
  </si>
  <si>
    <t>LTN PROPERTIES LLC</t>
  </si>
  <si>
    <t xml:space="preserve">TRISLER QUENTIN </t>
  </si>
  <si>
    <t>623 LORENZ AVE</t>
  </si>
  <si>
    <t xml:space="preserve">WALLACE VALERIE </t>
  </si>
  <si>
    <t>902 WILHELM ST</t>
  </si>
  <si>
    <t>WILHELM ST</t>
  </si>
  <si>
    <t xml:space="preserve">LEHRMAN DAVID </t>
  </si>
  <si>
    <t>920 WILHELM ST</t>
  </si>
  <si>
    <t xml:space="preserve">SPEAKMAN PATRICIA A                             </t>
  </si>
  <si>
    <t>210 UVILLA ST</t>
  </si>
  <si>
    <t xml:space="preserve">MR JASON LLC </t>
  </si>
  <si>
    <t>900 UVILLA ST</t>
  </si>
  <si>
    <t xml:space="preserve">DIX IRENE </t>
  </si>
  <si>
    <t>0 UVILLA ST</t>
  </si>
  <si>
    <t xml:space="preserve">MARTINEZ ERICK </t>
  </si>
  <si>
    <t>314 MARLOW ST</t>
  </si>
  <si>
    <t>ERICK MARTINEZ</t>
  </si>
  <si>
    <t>E WEDGEWOOD DR</t>
  </si>
  <si>
    <t>310 MARLOW ST</t>
  </si>
  <si>
    <t>218 AINSWORTH ST</t>
  </si>
  <si>
    <t xml:space="preserve">PRASKOVICH DONNA L </t>
  </si>
  <si>
    <t>0 COMSTOCK WAY</t>
  </si>
  <si>
    <t>ALGONQUIN DR</t>
  </si>
  <si>
    <t>DONNA PRASKOVICH</t>
  </si>
  <si>
    <t xml:space="preserve">UBREY ROY C &amp; ROSE M (W) </t>
  </si>
  <si>
    <t>COMSTOCK WAY</t>
  </si>
  <si>
    <t xml:space="preserve">DAVIS DAVID B </t>
  </si>
  <si>
    <t>121 COMSTOCK WAY</t>
  </si>
  <si>
    <t xml:space="preserve">WEIBEL JEFFREY </t>
  </si>
  <si>
    <t xml:space="preserve">KRUEGER ROBERT </t>
  </si>
  <si>
    <t xml:space="preserve">HARTZ RONALD  &amp; LOUISE M (W)            </t>
  </si>
  <si>
    <t>HARTZ RONALD  &amp; LOUIS</t>
  </si>
  <si>
    <t xml:space="preserve">HOLTZ WALTER </t>
  </si>
  <si>
    <t xml:space="preserve">HOLTZ WALTER G </t>
  </si>
  <si>
    <t xml:space="preserve">STEINBERGER KENNETH  EARL                    </t>
  </si>
  <si>
    <t>702 FAIRVIEW AVE</t>
  </si>
  <si>
    <t>125 FAIRVIEW AVE</t>
  </si>
  <si>
    <t>712 FAIRVIEW AVE</t>
  </si>
  <si>
    <t xml:space="preserve">LEVIN A M </t>
  </si>
  <si>
    <t>0 FAIRVIEW AVE</t>
  </si>
  <si>
    <t>WIGHTMAN ST APT 6</t>
  </si>
  <si>
    <t xml:space="preserve">WARD SYLVESTER </t>
  </si>
  <si>
    <t>W 125TH ST # 25-C</t>
  </si>
  <si>
    <t xml:space="preserve">FARROW ANDRE </t>
  </si>
  <si>
    <t>140 FAIRVIEW AVE</t>
  </si>
  <si>
    <t>FARROW ANDRE</t>
  </si>
  <si>
    <t>FOUNTAIN ST APT 2</t>
  </si>
  <si>
    <t>107 UVILLA ST</t>
  </si>
  <si>
    <t>410 MARLOW ST</t>
  </si>
  <si>
    <t xml:space="preserve">LANE COLLEN                                     </t>
  </si>
  <si>
    <t>508 MARLOW ST</t>
  </si>
  <si>
    <t>109 VALONIA ST</t>
  </si>
  <si>
    <t>211 FAIRVIEW AVE</t>
  </si>
  <si>
    <t>201 FAIRVIEW AVE</t>
  </si>
  <si>
    <t xml:space="preserve">WEST NANCY JILL </t>
  </si>
  <si>
    <t>148 FAIRVIEW AVE</t>
  </si>
  <si>
    <t>WEST J PHAROLD &amp; NANCY JORDAN</t>
  </si>
  <si>
    <t>NANCY JILL WEST</t>
  </si>
  <si>
    <t xml:space="preserve">RAY JOHN E </t>
  </si>
  <si>
    <t>0 QUAKER WAY</t>
  </si>
  <si>
    <t>HOPKINS ELEANOR MAE &amp; JAMES JOSEPH HOPKI NS</t>
  </si>
  <si>
    <t>205 HERNDON ST</t>
  </si>
  <si>
    <t>303 HERNDON ST</t>
  </si>
  <si>
    <t xml:space="preserve">EAGLESON KELLIE L </t>
  </si>
  <si>
    <t>207 HERNDON ST</t>
  </si>
  <si>
    <t>MERCER RD</t>
  </si>
  <si>
    <t>BEAVER FALLS</t>
  </si>
  <si>
    <t xml:space="preserve">CARTER FRANK D </t>
  </si>
  <si>
    <t>148 HERNDON ST</t>
  </si>
  <si>
    <t>FINNEGAN JOSEPH H &amp; MARIE</t>
  </si>
  <si>
    <t xml:space="preserve">LEDONNE BENJAMIN A </t>
  </si>
  <si>
    <t>STRATMORE ST</t>
  </si>
  <si>
    <t xml:space="preserve">SIGWART GERTRUDE J </t>
  </si>
  <si>
    <t>0 ADVENT ST</t>
  </si>
  <si>
    <t>ADVENT ST</t>
  </si>
  <si>
    <t>ESSIG RENOVATION &amp; DESIGN LLC</t>
  </si>
  <si>
    <t>3019 W CARSON ST</t>
  </si>
  <si>
    <t>ESSIG RENOVATION &amp; DE</t>
  </si>
  <si>
    <t>3019 E CARSON ST</t>
  </si>
  <si>
    <t>3001 W CARSON ST</t>
  </si>
  <si>
    <t>0 SANFORD ST</t>
  </si>
  <si>
    <t xml:space="preserve">THOMAS-SMITH CAROL A </t>
  </si>
  <si>
    <t>THOMAS-SMITH CAROL A</t>
  </si>
  <si>
    <t>SANFORD ST</t>
  </si>
  <si>
    <t xml:space="preserve">THOMAS CAROL A </t>
  </si>
  <si>
    <t>117 SANFORD ST</t>
  </si>
  <si>
    <t xml:space="preserve">GARDY DAVID J </t>
  </si>
  <si>
    <t xml:space="preserve">SCHWARTZMILLER WALTER G  JR                      </t>
  </si>
  <si>
    <t>SCHWARTZMILLER WALTER</t>
  </si>
  <si>
    <t>BROOKE MEADE DR</t>
  </si>
  <si>
    <t xml:space="preserve">TILLMAN GLORIA </t>
  </si>
  <si>
    <t>2821 W CARSON ST</t>
  </si>
  <si>
    <t>TILLMAN GLORIA</t>
  </si>
  <si>
    <t>NW 8TH CT</t>
  </si>
  <si>
    <t xml:space="preserve">LYNN DUANE </t>
  </si>
  <si>
    <t xml:space="preserve">MOORE DANIEL L </t>
  </si>
  <si>
    <t>2801 W CARSON ST</t>
  </si>
  <si>
    <t>LA MESA DR</t>
  </si>
  <si>
    <t xml:space="preserve">MARTIN PETER E </t>
  </si>
  <si>
    <t>BROWN CLARENCE EUGENE &amp; LIDA BELLE (W)</t>
  </si>
  <si>
    <t>2733 W CARSON ST</t>
  </si>
  <si>
    <t xml:space="preserve">SAVOLSKIS NORMAN A </t>
  </si>
  <si>
    <t>STREB ROBERT E &amp; CHRISTY D SHORT</t>
  </si>
  <si>
    <t>1007 POWELL AVE</t>
  </si>
  <si>
    <t>TAYLOR AVE</t>
  </si>
  <si>
    <t xml:space="preserve">MARTIN PETER </t>
  </si>
  <si>
    <t>0 POWELL AVE</t>
  </si>
  <si>
    <t xml:space="preserve">DEFIBAUGH JESSICA </t>
  </si>
  <si>
    <t xml:space="preserve">YOUNG ALFRED </t>
  </si>
  <si>
    <t>2743 STAFFORD ST</t>
  </si>
  <si>
    <t>WASHINGTON ST UNIT 168</t>
  </si>
  <si>
    <t>0 STAFFORD ST</t>
  </si>
  <si>
    <t>HUNTINGDON VAL</t>
  </si>
  <si>
    <t xml:space="preserve">KRUMMENACKER ANNA MARIE </t>
  </si>
  <si>
    <t>2748 STAFFORD ST</t>
  </si>
  <si>
    <t xml:space="preserve">LEHEW GREGORY S                                 </t>
  </si>
  <si>
    <t>2758 STAFFORD ST</t>
  </si>
  <si>
    <t xml:space="preserve">JULIAN MARK A </t>
  </si>
  <si>
    <t>2762 STAFFORD ST</t>
  </si>
  <si>
    <t>GLENROY ST</t>
  </si>
  <si>
    <t>SNYDER EDWARD  &amp; PATSY (W)</t>
  </si>
  <si>
    <t>328 HAMMOND ST</t>
  </si>
  <si>
    <t>SNYDER EDWARD  &amp; PATS</t>
  </si>
  <si>
    <t>WILLIAMSBURG RD</t>
  </si>
  <si>
    <t xml:space="preserve">TSA HOLDING GROUP LLC </t>
  </si>
  <si>
    <t>324 HAMMOND ST</t>
  </si>
  <si>
    <t xml:space="preserve">G5 REVOCABLE TRUST </t>
  </si>
  <si>
    <t>2753 SACRAMENTO AVE</t>
  </si>
  <si>
    <t>0 SACRAMENTO AVE</t>
  </si>
  <si>
    <t>LTM PROPERTIES  LP</t>
  </si>
  <si>
    <t xml:space="preserve">MENSAH EDEM </t>
  </si>
  <si>
    <t>2723 SACRAMENTO AVE</t>
  </si>
  <si>
    <t>PERRYVISTA AVE</t>
  </si>
  <si>
    <t xml:space="preserve">WALTERS SEAN </t>
  </si>
  <si>
    <t>2717 SACRAMENTO AVE</t>
  </si>
  <si>
    <t xml:space="preserve">WICKS MATTHEW E </t>
  </si>
  <si>
    <t>2713 SACRAMENTO AVE</t>
  </si>
  <si>
    <t>SACRAMENTO AVE</t>
  </si>
  <si>
    <t xml:space="preserve">DEICAS ROZLYNN </t>
  </si>
  <si>
    <t>2722 SACRAMENTO AVE</t>
  </si>
  <si>
    <t>P.O. BOX 525</t>
  </si>
  <si>
    <t>MSKEES ROCKS</t>
  </si>
  <si>
    <t xml:space="preserve">BETTON JOHN </t>
  </si>
  <si>
    <t>SPRING GARDEN RD</t>
  </si>
  <si>
    <t>HODDER KEITH  &amp; CHRISTINE A (W)</t>
  </si>
  <si>
    <t>HODDER KEITH  &amp; CHRIS</t>
  </si>
  <si>
    <t>ZEPHYR AVE # 2</t>
  </si>
  <si>
    <t xml:space="preserve">MORRISSEY GERRY LEE </t>
  </si>
  <si>
    <t xml:space="preserve">ROMANO CHAD                                     </t>
  </si>
  <si>
    <t>2740 SACRAMENTO AVE</t>
  </si>
  <si>
    <t>HARLIN DR</t>
  </si>
  <si>
    <t xml:space="preserve">OPM FINANCIAL CONSORTIUM </t>
  </si>
  <si>
    <t>PO BOX 3093</t>
  </si>
  <si>
    <t>GRESHAM</t>
  </si>
  <si>
    <t xml:space="preserve">QUINN BETTY C </t>
  </si>
  <si>
    <t>HAMMOND ST # 1</t>
  </si>
  <si>
    <t>STENGEL EDWARD J JR &amp; ELIZABETH M</t>
  </si>
  <si>
    <t>2904 SACRAMENTO AVE</t>
  </si>
  <si>
    <t>SHERADEN REDEVELOPMENT  GROUP LP</t>
  </si>
  <si>
    <t>2919 GLASGOW ST</t>
  </si>
  <si>
    <t>SHERADEN REDEVELOPMEN</t>
  </si>
  <si>
    <t>GLASGOW ST</t>
  </si>
  <si>
    <t>KRONZ WILLIAM J &amp; DOLORES ANN (W)</t>
  </si>
  <si>
    <t>0 GLASGOW ST</t>
  </si>
  <si>
    <t>KRONZ WILLIAM J JR &amp; DOLORES A</t>
  </si>
  <si>
    <t xml:space="preserve">LEEZER HARRY C &amp; HILDA W </t>
  </si>
  <si>
    <t>RD 1</t>
  </si>
  <si>
    <t>HERMAN JOHN C &amp; DOROTHY J (W)</t>
  </si>
  <si>
    <t>HERMAN JOHN C &amp; DOROT</t>
  </si>
  <si>
    <t>CIDER RIDGE DR</t>
  </si>
  <si>
    <t>WATKINS GERALD III &amp; JANICE (W)</t>
  </si>
  <si>
    <t>2714 GLASGOW ST</t>
  </si>
  <si>
    <t xml:space="preserve">GRACE CHEYANNE </t>
  </si>
  <si>
    <t>2750 GLASGOW ST</t>
  </si>
  <si>
    <t>CHEYANNE GRACE</t>
  </si>
  <si>
    <t>2752 GLASGOW ST</t>
  </si>
  <si>
    <t xml:space="preserve">HAMILTON AMY L </t>
  </si>
  <si>
    <t>2910 GLASGOW ST</t>
  </si>
  <si>
    <t>SHERADEN REDEVELOPMENT  GROUP L P</t>
  </si>
  <si>
    <t>2920 GLASGOW ST</t>
  </si>
  <si>
    <t xml:space="preserve">LEWIS DOMINIQUE </t>
  </si>
  <si>
    <t>0 NAPLES AVE</t>
  </si>
  <si>
    <t>FULMER SCOTT C &amp; LINDA M (W)</t>
  </si>
  <si>
    <t>2649 W CARSON ST</t>
  </si>
  <si>
    <t>FULMER SCOTT C &amp; LIND</t>
  </si>
  <si>
    <t>0 CARSON ST</t>
  </si>
  <si>
    <t xml:space="preserve">PENNDEL COMPANY </t>
  </si>
  <si>
    <t xml:space="preserve">ZEBROSKI TANYA L </t>
  </si>
  <si>
    <t>2610 GLASGOW ST</t>
  </si>
  <si>
    <t xml:space="preserve">JONES CHARLES A </t>
  </si>
  <si>
    <t>GLENMAWR AVE</t>
  </si>
  <si>
    <t xml:space="preserve">WILSON FRANCIS W &amp; ANN C </t>
  </si>
  <si>
    <t>2658 GLEN MAWR ST</t>
  </si>
  <si>
    <t>GLENMAWR ST</t>
  </si>
  <si>
    <t xml:space="preserve">ELLIS ELIZABETH K                               </t>
  </si>
  <si>
    <t>2710 GLEN MAWR ST</t>
  </si>
  <si>
    <t xml:space="preserve">KUFERT NITAY </t>
  </si>
  <si>
    <t>0 MERWYN AVE</t>
  </si>
  <si>
    <t>KUFERT NITAY</t>
  </si>
  <si>
    <t>MERWYN AVE</t>
  </si>
  <si>
    <t xml:space="preserve">PAZ ASSETS LLC </t>
  </si>
  <si>
    <t>2713 MERWYN AVE</t>
  </si>
  <si>
    <t>ADRIENNE ABSTRACT &amp; C</t>
  </si>
  <si>
    <t>MACKENZIE WAY STE 100</t>
  </si>
  <si>
    <t xml:space="preserve">GARRETT ARTHUR J </t>
  </si>
  <si>
    <t>2705 MERWYN AVE</t>
  </si>
  <si>
    <t>OTTAWA RD</t>
  </si>
  <si>
    <t>APPLE VALLEY</t>
  </si>
  <si>
    <t>SCHIEGG DALLAS  &amp; JOANN (W)</t>
  </si>
  <si>
    <t>2657 MERWYN AVE</t>
  </si>
  <si>
    <t>ROY FURMAN HWY W</t>
  </si>
  <si>
    <t>GRAYSVILLE</t>
  </si>
  <si>
    <t>SCHIEGG DALLAS  &amp; JOA</t>
  </si>
  <si>
    <t>W ROY FURMAN HWY</t>
  </si>
  <si>
    <t>MUDD NEKODIE W &amp; TAMARA (W)</t>
  </si>
  <si>
    <t>IRWIN GLENN D &amp; I JEAN (W)</t>
  </si>
  <si>
    <t>TIMBERWOOD DR</t>
  </si>
  <si>
    <t>IRWIN GLENN D &amp; IRMA J (W)</t>
  </si>
  <si>
    <t xml:space="preserve">BELL DANIEL R </t>
  </si>
  <si>
    <t>2598 MERWYN AVE</t>
  </si>
  <si>
    <t>BELL DAVID R</t>
  </si>
  <si>
    <t>EDWARDS C WILLIS JR &amp; ANNE H THOMPSON</t>
  </si>
  <si>
    <t>MC MURRAY RD</t>
  </si>
  <si>
    <t xml:space="preserve">MACKENZIE ERIKA R                               </t>
  </si>
  <si>
    <t>2622 MERWYN AVE</t>
  </si>
  <si>
    <t>IRWIN GLENN  &amp; IRMA JEAN (W)</t>
  </si>
  <si>
    <t xml:space="preserve">CRAIG MALLORY ANTHONY </t>
  </si>
  <si>
    <t>PO BOX 6714</t>
  </si>
  <si>
    <t xml:space="preserve">STARR PROPERTIES LLC </t>
  </si>
  <si>
    <t>2726 MERWYN AVE</t>
  </si>
  <si>
    <t>E ATLANTIC BLVD</t>
  </si>
  <si>
    <t>HOME SOLUTIONS OF  PITTSBURGH LLC</t>
  </si>
  <si>
    <t>2728 MERWYN AVE</t>
  </si>
  <si>
    <t>HOME SOLUTIONS OF PIT</t>
  </si>
  <si>
    <t>PINE TREES DR</t>
  </si>
  <si>
    <t xml:space="preserve">NOVAK JAMES M </t>
  </si>
  <si>
    <t xml:space="preserve">HARRISON EARL T SR </t>
  </si>
  <si>
    <t>2737 STAFFORD ST</t>
  </si>
  <si>
    <t>2735 STAFFORD ST</t>
  </si>
  <si>
    <t>ALY</t>
  </si>
  <si>
    <t xml:space="preserve">BLONDSEY GARRY </t>
  </si>
  <si>
    <t>2723 STAFFORD ST</t>
  </si>
  <si>
    <t>LEWIS LINWOOD H JR &amp; DENISE E (W)</t>
  </si>
  <si>
    <t>0 WYCKOFF AVE</t>
  </si>
  <si>
    <t xml:space="preserve">SABAT NICHOLAS </t>
  </si>
  <si>
    <t>2617 STAFFORD ST</t>
  </si>
  <si>
    <t xml:space="preserve">BELL PAUL </t>
  </si>
  <si>
    <t>2656 STAFFORD ST</t>
  </si>
  <si>
    <t xml:space="preserve">HINES DOROTHY E </t>
  </si>
  <si>
    <t>2700 STAFFORD ST</t>
  </si>
  <si>
    <t>KOONZ ROBERT J &amp; CAROL L (W)</t>
  </si>
  <si>
    <t>SMITH DANIEL W &amp; J ANDRW RUMMEL</t>
  </si>
  <si>
    <t>S NEGLEY AVE APT 19</t>
  </si>
  <si>
    <t xml:space="preserve">CLARK JONATHAN D </t>
  </si>
  <si>
    <t>2634 SACRAMENTO AVE</t>
  </si>
  <si>
    <t xml:space="preserve">TOLLAN DONALD MATHIAS </t>
  </si>
  <si>
    <t>2643 GLASGOW ST</t>
  </si>
  <si>
    <t>OREGON ST</t>
  </si>
  <si>
    <t xml:space="preserve">TOLLAN DAWN </t>
  </si>
  <si>
    <t xml:space="preserve">SETLOCK CHRISTOPHER M                           </t>
  </si>
  <si>
    <t>2614 GLASGOW ST</t>
  </si>
  <si>
    <t>2622 GLASGOW ST</t>
  </si>
  <si>
    <t>PRIBILOVICH ANDREW J &amp; ELINDA JOYCE (W)</t>
  </si>
  <si>
    <t>0 WASHVILLE ST</t>
  </si>
  <si>
    <t xml:space="preserve">LOPATA ALBERT JOHN JR </t>
  </si>
  <si>
    <t>2500 GLASGOW ST</t>
  </si>
  <si>
    <t xml:space="preserve">LOPATA ALBERT J JR </t>
  </si>
  <si>
    <t>0 CONESTOGA ST</t>
  </si>
  <si>
    <t>LOPATA ALBERT J JR</t>
  </si>
  <si>
    <t>GLASGLOW ST</t>
  </si>
  <si>
    <t>BETTS BOOKER ETAL</t>
  </si>
  <si>
    <t>0 HUNT ST</t>
  </si>
  <si>
    <t>HUNT ST</t>
  </si>
  <si>
    <t xml:space="preserve">VALICENTE MARIE D </t>
  </si>
  <si>
    <t>0 ROCKYHILL ST</t>
  </si>
  <si>
    <t>FITZGERALD GLORIA WILLIAMS</t>
  </si>
  <si>
    <t>COLDWATER DR</t>
  </si>
  <si>
    <t>FT WASHINGTON</t>
  </si>
  <si>
    <t xml:space="preserve">GRACE WILLIE  &amp; GLADYS </t>
  </si>
  <si>
    <t>2411 GLEN MAWR ST</t>
  </si>
  <si>
    <t>GRACE WILLIE  &amp; GLADY</t>
  </si>
  <si>
    <t>GLEN MAWR ST</t>
  </si>
  <si>
    <t xml:space="preserve">BAYNHAM EDWARD G </t>
  </si>
  <si>
    <t>LITTLE MINGO RD</t>
  </si>
  <si>
    <t xml:space="preserve">GUJSKI ROSE K </t>
  </si>
  <si>
    <t>BELVIDERE ST</t>
  </si>
  <si>
    <t xml:space="preserve">SPENCER GROVER C </t>
  </si>
  <si>
    <t>N ZANE HWY APT A</t>
  </si>
  <si>
    <t>MARTINS FERRY</t>
  </si>
  <si>
    <t xml:space="preserve">COOK EDNA </t>
  </si>
  <si>
    <t xml:space="preserve">WHITTLE CLUADE </t>
  </si>
  <si>
    <t>POTENTILLA CT</t>
  </si>
  <si>
    <t>BROOKSVILLE</t>
  </si>
  <si>
    <t>MCGEE EDWARD  &amp; BERTHA MAE</t>
  </si>
  <si>
    <t>MCGEE EDWARD  &amp; BERTH</t>
  </si>
  <si>
    <t>GLENN MAWR AVE</t>
  </si>
  <si>
    <t xml:space="preserve">HENDERSON JEANNETTE W </t>
  </si>
  <si>
    <t xml:space="preserve">JOHNSON LOUIS N &amp; LOUISE </t>
  </si>
  <si>
    <t>JOHNSON LOUIS N &amp; LOU</t>
  </si>
  <si>
    <t xml:space="preserve">STEINER MARTHA J &amp; JOHN SIMKO JR           </t>
  </si>
  <si>
    <t>ROBERT J SIMKO</t>
  </si>
  <si>
    <t>LILAC PL</t>
  </si>
  <si>
    <t>MURRELLS INLET</t>
  </si>
  <si>
    <t>STEINER MARTHA J &amp; JO</t>
  </si>
  <si>
    <t xml:space="preserve">BAHNEY ANDREW  &amp; AUDREY </t>
  </si>
  <si>
    <t xml:space="preserve">WOLF JOHN J &amp; CATHERINE </t>
  </si>
  <si>
    <t>WOLF JOHN J &amp; CATHERI</t>
  </si>
  <si>
    <t xml:space="preserve">YOST ALBERTA H </t>
  </si>
  <si>
    <t xml:space="preserve">AITKEN WILLIAM </t>
  </si>
  <si>
    <t>HILLTOP BAPTIST CHURCH  OF PITTSBURGH</t>
  </si>
  <si>
    <t>1104 CHAPPEL AVE</t>
  </si>
  <si>
    <t>ROSEBERRY ST</t>
  </si>
  <si>
    <t xml:space="preserve">SCHWARTZ JOHN S </t>
  </si>
  <si>
    <t>0 HILLCREST PL</t>
  </si>
  <si>
    <t>HILLGROVE AVE</t>
  </si>
  <si>
    <t xml:space="preserve">SCHWARTZ ROBERT                                 </t>
  </si>
  <si>
    <t>0 HILLGROVE AVE</t>
  </si>
  <si>
    <t>WRIGHT RICHARD</t>
  </si>
  <si>
    <t>HILGROVE AVE</t>
  </si>
  <si>
    <t>SGII REALTY BANKSVILLE  LLC</t>
  </si>
  <si>
    <t>1721 BANKSVILLE RD</t>
  </si>
  <si>
    <t>SCHOPP MICHAEL G &amp; FRANCINE (W)</t>
  </si>
  <si>
    <t>845 COAST AVE</t>
  </si>
  <si>
    <t>SCHOPP MICHAEL G &amp; FR</t>
  </si>
  <si>
    <t>ROSFELD HOWARD J &amp; MARGARET E</t>
  </si>
  <si>
    <t>WHITE GEORGE E &amp; GERALDINE A (W)</t>
  </si>
  <si>
    <t>0 CAGWIN ST</t>
  </si>
  <si>
    <t>814 HILLGROVE AVE</t>
  </si>
  <si>
    <t xml:space="preserve">HARTY RAYMOND J JR </t>
  </si>
  <si>
    <t>2218 BOUSTEAD ST</t>
  </si>
  <si>
    <t>NAJDZINSKI BERNARD  &amp; MARIE</t>
  </si>
  <si>
    <t>HILL GROVE ST</t>
  </si>
  <si>
    <t xml:space="preserve">WRIGHT RICHARD </t>
  </si>
  <si>
    <t>726 HILLGROVE AVE</t>
  </si>
  <si>
    <t xml:space="preserve">CL SOUTH 3 LLC </t>
  </si>
  <si>
    <t xml:space="preserve">WALDRON JAMES III </t>
  </si>
  <si>
    <t>716 HILLGROVE AVE</t>
  </si>
  <si>
    <t>WALDRON JAMES III</t>
  </si>
  <si>
    <t xml:space="preserve">RIEHLE RYAN K </t>
  </si>
  <si>
    <t>2215 BOUSTEAD ST</t>
  </si>
  <si>
    <t>VIA MALLORCA UNIT A</t>
  </si>
  <si>
    <t>LA JOLLA</t>
  </si>
  <si>
    <t xml:space="preserve">ARELLANO SERAFIN  ESCOBAR                 </t>
  </si>
  <si>
    <t>2219 BOUSTEAD ST</t>
  </si>
  <si>
    <t>ARELLANO SERAFIN ESCO</t>
  </si>
  <si>
    <t>0 CROSBY AVE</t>
  </si>
  <si>
    <t xml:space="preserve">HAUENSTEIN ANDREW PM                            </t>
  </si>
  <si>
    <t xml:space="preserve">PLACHA JACLYN M </t>
  </si>
  <si>
    <t>1371 CARNAHAN RD</t>
  </si>
  <si>
    <t xml:space="preserve">KARCZEWSKI ANTHONY E                            </t>
  </si>
  <si>
    <t>0 CARNAHAN RD</t>
  </si>
  <si>
    <t xml:space="preserve">NEWMAN THERESE </t>
  </si>
  <si>
    <t>2525 WINCHESTER DR</t>
  </si>
  <si>
    <t>WINCHESTER DR</t>
  </si>
  <si>
    <t>LEWANDOWSKI ANTHONY  &amp; BARBARA J (W)</t>
  </si>
  <si>
    <t>2545 WINCHESTER DR</t>
  </si>
  <si>
    <t xml:space="preserve">LEWANDOWSKI  BARBARA </t>
  </si>
  <si>
    <t>E CASON BLVD</t>
  </si>
  <si>
    <t>INGLIS</t>
  </si>
  <si>
    <t>TIMOTHY W ABRAHAM &amp; NANCY S ABRAHAM REVOCABL</t>
  </si>
  <si>
    <t>1281 KIRSOPP AVE</t>
  </si>
  <si>
    <t>TIMOTHY W ABRAHAM &amp; N</t>
  </si>
  <si>
    <t>CULLMAN AVE</t>
  </si>
  <si>
    <t>SQUITIERI DAVID  &amp; SUSAN HILLEBRECHT</t>
  </si>
  <si>
    <t>125 GREENSIDE AVE</t>
  </si>
  <si>
    <t>SQUITIERI DAVID  &amp; SU</t>
  </si>
  <si>
    <t>GREENSIDE AVE</t>
  </si>
  <si>
    <t>MALSON JEFFREY L JR &amp; JESSICA K (W)</t>
  </si>
  <si>
    <t>1240 KIRSOPP AVE</t>
  </si>
  <si>
    <t>MALSON JEFFREY L JR</t>
  </si>
  <si>
    <t xml:space="preserve">SPIELVOGEL JAMES A                              </t>
  </si>
  <si>
    <t>1223 COMPTON ST</t>
  </si>
  <si>
    <t>HOWARD HANNA REAL EST</t>
  </si>
  <si>
    <t>RIZZO ERNEST F &amp; ROSEANNE RIZZO</t>
  </si>
  <si>
    <t>2578 GREENBORO LN</t>
  </si>
  <si>
    <t>GREENBORO LN</t>
  </si>
  <si>
    <t>BUCZYNSKI MICHAEL M &amp; LYNN O (W)</t>
  </si>
  <si>
    <t>2529 GREENBORO LN</t>
  </si>
  <si>
    <t>BECKER PAUL H &amp; NANCY J SZEWCZYK</t>
  </si>
  <si>
    <t>101 GREENBORO LN</t>
  </si>
  <si>
    <t>0 ARBOR DR</t>
  </si>
  <si>
    <t xml:space="preserve">O'TOOLE SEAN                                    </t>
  </si>
  <si>
    <t xml:space="preserve">KIESEL THOMAS </t>
  </si>
  <si>
    <t>2675 WINCHESTER DR</t>
  </si>
  <si>
    <t xml:space="preserve">GIANELLA NICHOLAS T                             </t>
  </si>
  <si>
    <t>1050 KIRSOPP AVE</t>
  </si>
  <si>
    <t xml:space="preserve">BABJACK CHARLES A </t>
  </si>
  <si>
    <t>928 KIRSOPP AVE</t>
  </si>
  <si>
    <t xml:space="preserve">MAIELLA FRANK N </t>
  </si>
  <si>
    <t>0 CHAPPEL AVE</t>
  </si>
  <si>
    <t>GARDEN DR APT 113-B</t>
  </si>
  <si>
    <t xml:space="preserve">BAKER RONALD G JR </t>
  </si>
  <si>
    <t>1015 CHAPPEL AVE REAR</t>
  </si>
  <si>
    <t>BCR SYNERGY REAL ESTATE  LLC</t>
  </si>
  <si>
    <t>1201 CHAPPEL AVE</t>
  </si>
  <si>
    <t>BCR SYNERGY REAL ESTA</t>
  </si>
  <si>
    <t xml:space="preserve">ELDER COLLEEN                                   </t>
  </si>
  <si>
    <t>1137 CHAPPEL AVE</t>
  </si>
  <si>
    <t xml:space="preserve">ELDER CINDY </t>
  </si>
  <si>
    <t>1139 CHAPPEL AVE</t>
  </si>
  <si>
    <t xml:space="preserve">KHADIM WISSAM </t>
  </si>
  <si>
    <t>2575 ALLENDER AVE</t>
  </si>
  <si>
    <t xml:space="preserve">JORDAN BRETT </t>
  </si>
  <si>
    <t>2441 POTOMAC AVE</t>
  </si>
  <si>
    <t>N FRONT ST</t>
  </si>
  <si>
    <t xml:space="preserve">KRIBEL KATHLEEN R </t>
  </si>
  <si>
    <t>2456 ROSEGARDEN RD</t>
  </si>
  <si>
    <t>ROSE GARDEN RD</t>
  </si>
  <si>
    <t>TORCIA FRANK R &amp; MONA (W)</t>
  </si>
  <si>
    <t>2498 ROSEGARDEN RD</t>
  </si>
  <si>
    <t>TORCIA FRANK R &amp; MONA</t>
  </si>
  <si>
    <t xml:space="preserve">HILLEGAS LOIS D </t>
  </si>
  <si>
    <t>2346 ROSEGARDEN RD</t>
  </si>
  <si>
    <t xml:space="preserve">SMUTNEY DENNIS K </t>
  </si>
  <si>
    <t>2381 POTOMAC AVE</t>
  </si>
  <si>
    <t>POTOMAC AVE</t>
  </si>
  <si>
    <t xml:space="preserve">SCARPACI GREGORY </t>
  </si>
  <si>
    <t>1856 WOODCOVE PL</t>
  </si>
  <si>
    <t xml:space="preserve">AAAC INC </t>
  </si>
  <si>
    <t>BERNADETTE PERRI</t>
  </si>
  <si>
    <t xml:space="preserve">SPRUNG JAMES                                    </t>
  </si>
  <si>
    <t>0 YOUNGER AVE</t>
  </si>
  <si>
    <t>YOUNGER AVE</t>
  </si>
  <si>
    <t>3 YOUNGER AVE</t>
  </si>
  <si>
    <t xml:space="preserve">YOUNGER LLC </t>
  </si>
  <si>
    <t>1726 YOUNGER AVE</t>
  </si>
  <si>
    <t>SHALOM BRAUN</t>
  </si>
  <si>
    <t>CEDAR LN</t>
  </si>
  <si>
    <t>YOUNGER LLC</t>
  </si>
  <si>
    <t xml:space="preserve">BENEDETTI JEAN C </t>
  </si>
  <si>
    <t>1767 YOUNGER AVE</t>
  </si>
  <si>
    <t xml:space="preserve">MARTINEZ GRICELDA </t>
  </si>
  <si>
    <t>32 YOUNGER AVE</t>
  </si>
  <si>
    <t>SWICKLINE DONALD A &amp; CHERYL L (W)</t>
  </si>
  <si>
    <t>1859 YOUNGER AVE</t>
  </si>
  <si>
    <t xml:space="preserve">PERRI FELIX A &amp; JOAN F </t>
  </si>
  <si>
    <t xml:space="preserve">MARY JEAN OCONNELL  TRUST                   </t>
  </si>
  <si>
    <t>2460 HAYSON AVE</t>
  </si>
  <si>
    <t>MARY JEAN OCONNELL TR</t>
  </si>
  <si>
    <t>MEADVILLE ST</t>
  </si>
  <si>
    <t xml:space="preserve">ROMANO JAMES P </t>
  </si>
  <si>
    <t>2561 ALLENDER AVE</t>
  </si>
  <si>
    <t>STOKAN JOHN M &amp; KATHLEEN M (W)</t>
  </si>
  <si>
    <t>2244 POTOMAC AVE</t>
  </si>
  <si>
    <t>WOOD STEVEN J &amp; CYNTHIA A (W)</t>
  </si>
  <si>
    <t>2262 POTOMAC AVE</t>
  </si>
  <si>
    <t xml:space="preserve">DAVIS WILLIAM G &amp; MILDRED E (W)           </t>
  </si>
  <si>
    <t>2270 POTOMAC AVE</t>
  </si>
  <si>
    <t xml:space="preserve">RESIDENTIAL MORTGAGE </t>
  </si>
  <si>
    <t>CHRISTOPHER TOPPI DR</t>
  </si>
  <si>
    <t>SOUTH PORTLAND</t>
  </si>
  <si>
    <t xml:space="preserve">BRIGHENTI JOSETTE                               </t>
  </si>
  <si>
    <t>2321 POTOMAC AVE</t>
  </si>
  <si>
    <t>DERRICK TRACY ANN  FITZGERALD</t>
  </si>
  <si>
    <t>140 HIGH OAK PL</t>
  </si>
  <si>
    <t xml:space="preserve">MCHENRY WILLIAM </t>
  </si>
  <si>
    <t>125 HIGH OAK PL</t>
  </si>
  <si>
    <t xml:space="preserve">LANGBEIN PAUL </t>
  </si>
  <si>
    <t>2641 BELLINGHAM AVE</t>
  </si>
  <si>
    <t xml:space="preserve">KRALLY SANDRA A </t>
  </si>
  <si>
    <t>2703 BANKSVILLE AVE</t>
  </si>
  <si>
    <t xml:space="preserve">FALLING LEAF LLC </t>
  </si>
  <si>
    <t>2806 BANKSVILLE AVE</t>
  </si>
  <si>
    <t>NEVIN AVE</t>
  </si>
  <si>
    <t xml:space="preserve">TOM COFFEY LLC </t>
  </si>
  <si>
    <t>2780 BANKSVILLE AVE</t>
  </si>
  <si>
    <t>TOM COFFEY LLC</t>
  </si>
  <si>
    <t>COCHRAN RD APT 715</t>
  </si>
  <si>
    <t>2639 BELLINGHAM AVE</t>
  </si>
  <si>
    <t xml:space="preserve">RAMSEY ZELINDA </t>
  </si>
  <si>
    <t>2535 DURHAM AVE</t>
  </si>
  <si>
    <t xml:space="preserve">HATCH RICHARD J </t>
  </si>
  <si>
    <t>2529 DURHAM AVE</t>
  </si>
  <si>
    <t xml:space="preserve">LANGBEIN LAWRENCE J JR </t>
  </si>
  <si>
    <t>2524 DALEMOUNT ST</t>
  </si>
  <si>
    <t>PAUL LANGBEIN</t>
  </si>
  <si>
    <t>2519 TOLE ST</t>
  </si>
  <si>
    <t>HENRY EUGENE D &amp; MARY C (W)</t>
  </si>
  <si>
    <t>739 WENZELL AVE</t>
  </si>
  <si>
    <t>2235 BOUSTEAD ST</t>
  </si>
  <si>
    <t>FISCH DAVID L &amp; MARGARET P (W)</t>
  </si>
  <si>
    <t xml:space="preserve">LORI JAMES D </t>
  </si>
  <si>
    <t>736 WENZELL AVE</t>
  </si>
  <si>
    <t xml:space="preserve">AMMAN WALTER J IV </t>
  </si>
  <si>
    <t>738 WENZELL AVE</t>
  </si>
  <si>
    <t xml:space="preserve">MORROW PAULA </t>
  </si>
  <si>
    <t>1361 JEFFERS ST</t>
  </si>
  <si>
    <t>BLISS DR</t>
  </si>
  <si>
    <t xml:space="preserve">KOBEDA DAVID </t>
  </si>
  <si>
    <t>1324 PRITCHARD ST</t>
  </si>
  <si>
    <t>PRITCHARD ST</t>
  </si>
  <si>
    <t xml:space="preserve">KORMICK KIMBERLY L </t>
  </si>
  <si>
    <t>1342 PRITCHARD ST</t>
  </si>
  <si>
    <t>KOBEDA STEVEN G &amp; KATHLEEN A (W)</t>
  </si>
  <si>
    <t>1321 PRITCHARD ST</t>
  </si>
  <si>
    <t xml:space="preserve">MOTZ DONALD C </t>
  </si>
  <si>
    <t>3119 KELVIN ST</t>
  </si>
  <si>
    <t>BERRY ST UNIT 26</t>
  </si>
  <si>
    <t>WINCZNER WILLIAM B &amp; CYNTHIA (W)</t>
  </si>
  <si>
    <t>0 FADETTE ST</t>
  </si>
  <si>
    <t>FADETTE ST</t>
  </si>
  <si>
    <t xml:space="preserve">KENNELL LONNIE J </t>
  </si>
  <si>
    <t>MADIA JOSEPH  &amp; JOAN F</t>
  </si>
  <si>
    <t>1417 JEFFERS ST</t>
  </si>
  <si>
    <t>MADIA JOSEPH  &amp; JOAN</t>
  </si>
  <si>
    <t>JEFFERS ST</t>
  </si>
  <si>
    <t>SWEDISH RONALD J &amp; PAMELA (W)</t>
  </si>
  <si>
    <t>0 JEFFERS ST</t>
  </si>
  <si>
    <t>SWEDISH RONALD J &amp; PA</t>
  </si>
  <si>
    <t>THORNE ST</t>
  </si>
  <si>
    <t xml:space="preserve">GRANT VAN </t>
  </si>
  <si>
    <t>3112 FARONIA ST</t>
  </si>
  <si>
    <t>FARONIA ST</t>
  </si>
  <si>
    <t>EISNER NATHAN &amp; JOZIE (W)</t>
  </si>
  <si>
    <t>0 FARONIA ST</t>
  </si>
  <si>
    <t>EISNER NATHAN &amp; JOZIE</t>
  </si>
  <si>
    <t xml:space="preserve">JONES SAMUEL DAVID </t>
  </si>
  <si>
    <t>1403 TYNDALL ST</t>
  </si>
  <si>
    <t>TYNDALL ST</t>
  </si>
  <si>
    <t xml:space="preserve">STEINMAN MOLLIE MARCH </t>
  </si>
  <si>
    <t>1329 TYNDALL ST</t>
  </si>
  <si>
    <t>PAPPAS CHRIST A &amp; FRANCES M (W)</t>
  </si>
  <si>
    <t>1327 TYNDALL ST</t>
  </si>
  <si>
    <t>ROSE M. BIBLE</t>
  </si>
  <si>
    <t xml:space="preserve">ONORAD CHRISTOPHER </t>
  </si>
  <si>
    <t>3061 FADETTE ST</t>
  </si>
  <si>
    <t>CLUTTER DAVID M &amp; LISA A (W)</t>
  </si>
  <si>
    <t>3055 FADETTE ST</t>
  </si>
  <si>
    <t xml:space="preserve">MATTERN KATHLEEN A </t>
  </si>
  <si>
    <t>3035 FADETTE ST</t>
  </si>
  <si>
    <t xml:space="preserve">ECKERT C EDWARD </t>
  </si>
  <si>
    <t>3016 FADETTE ST</t>
  </si>
  <si>
    <t>MAGINNIS DONALD C &amp; VIRGINIA A (W)</t>
  </si>
  <si>
    <t>1327 MUTUAL ST</t>
  </si>
  <si>
    <t>MUTUAL ST</t>
  </si>
  <si>
    <t xml:space="preserve">DUNHOFF EARL H                                  </t>
  </si>
  <si>
    <t>1317 MUTUAL ST</t>
  </si>
  <si>
    <t xml:space="preserve">CRAWLEY DONALD </t>
  </si>
  <si>
    <t>1229 ADON ST</t>
  </si>
  <si>
    <t>ADON ST</t>
  </si>
  <si>
    <t xml:space="preserve">ALL IN GROUP FOUR LLC </t>
  </si>
  <si>
    <t>0 ADON ST</t>
  </si>
  <si>
    <t>WELCH RIKKI S &amp; JASON M (H)</t>
  </si>
  <si>
    <t>1100 TYNDALL ST</t>
  </si>
  <si>
    <t>OLEARY CHARLES J &amp; FRANCES S</t>
  </si>
  <si>
    <t>1029 TYNDALL ST</t>
  </si>
  <si>
    <t>OLEARY CHARLES J &amp; FR</t>
  </si>
  <si>
    <t>HAIBACH NOAH RUZGAR-HAIBACH AHU</t>
  </si>
  <si>
    <t>1031 TYNDALL ST</t>
  </si>
  <si>
    <t xml:space="preserve">COBBETT RYAN W                                  </t>
  </si>
  <si>
    <t>1303 TYNDALL ST</t>
  </si>
  <si>
    <t xml:space="preserve">CRAIG MALLORY </t>
  </si>
  <si>
    <t>1226 HILLSBORO ST</t>
  </si>
  <si>
    <t xml:space="preserve">PATTERSON DARYL </t>
  </si>
  <si>
    <t>1216 HILLSBORO ST</t>
  </si>
  <si>
    <t xml:space="preserve">HAYES THOMAS C </t>
  </si>
  <si>
    <t>0 HILLSBORO ST</t>
  </si>
  <si>
    <t xml:space="preserve">SANTELLA RICHARD D </t>
  </si>
  <si>
    <t>1102 HILLSBORO ST</t>
  </si>
  <si>
    <t>SANTELLA RICHARD D</t>
  </si>
  <si>
    <t>WALKERS TRL APT 3</t>
  </si>
  <si>
    <t xml:space="preserve">MAZZA GENO M </t>
  </si>
  <si>
    <t>SHERWOOD AVE</t>
  </si>
  <si>
    <t>CORLISS WAR VETERANS ASSOCIATION</t>
  </si>
  <si>
    <t>2801 CHARTIERS AVE</t>
  </si>
  <si>
    <t>STRAKA ST</t>
  </si>
  <si>
    <t>CORLISS WAR VETERANS ASSN INC</t>
  </si>
  <si>
    <t>2806 STRAKA ST</t>
  </si>
  <si>
    <t xml:space="preserve">YU HONGLI </t>
  </si>
  <si>
    <t>0 STRAKA ST</t>
  </si>
  <si>
    <t>HEPING DISTRIC</t>
  </si>
  <si>
    <t xml:space="preserve">NAGEL BARBARA A                                 </t>
  </si>
  <si>
    <t>2833 FRONTENAC ST</t>
  </si>
  <si>
    <t>FRONTENAC ST</t>
  </si>
  <si>
    <t>0 FRONTENAC ST</t>
  </si>
  <si>
    <t xml:space="preserve">ESSEL MIRANDA B                                 </t>
  </si>
  <si>
    <t xml:space="preserve">HARRISON SHARON </t>
  </si>
  <si>
    <t>2822 FRONTENAC ST</t>
  </si>
  <si>
    <t>HARRISON SHARON</t>
  </si>
  <si>
    <t>BRANDIMARTI JOHN B &amp; LENA T (W)</t>
  </si>
  <si>
    <t xml:space="preserve">ROSADO LUCAS </t>
  </si>
  <si>
    <t>907 BERRY ST</t>
  </si>
  <si>
    <t>ROSADO LUCAS</t>
  </si>
  <si>
    <t>MARTELLI TONY &amp; SUSAN (W)</t>
  </si>
  <si>
    <t>2815 TOLEDO ST</t>
  </si>
  <si>
    <t>COBB AVE</t>
  </si>
  <si>
    <t>ALLGEIER JAMES F &amp; LUCIELLE M (W)</t>
  </si>
  <si>
    <t>2803 FUSION ST</t>
  </si>
  <si>
    <t>FUSION ST</t>
  </si>
  <si>
    <t xml:space="preserve">IMO DAVIS </t>
  </si>
  <si>
    <t>2801 FUSION ST</t>
  </si>
  <si>
    <t>DAVIS IMO</t>
  </si>
  <si>
    <t>KENSINGTON DR</t>
  </si>
  <si>
    <t xml:space="preserve">DUDA DONALD </t>
  </si>
  <si>
    <t>724 LITCHFIELD ST</t>
  </si>
  <si>
    <t>SPRINGHOUSE DR</t>
  </si>
  <si>
    <t>JEFFERSON HILL</t>
  </si>
  <si>
    <t>BARNES SUSAN ELIZABETH &amp; ROGER PATRICK ( H)</t>
  </si>
  <si>
    <t>764 LITCHFIELD ST</t>
  </si>
  <si>
    <t xml:space="preserve">ELLIS BONNIE L </t>
  </si>
  <si>
    <t>768 LITCHFIELD ST</t>
  </si>
  <si>
    <t>CANDOR RD</t>
  </si>
  <si>
    <t>BULGER</t>
  </si>
  <si>
    <t>SOLOMON VICTOR E &amp; NICOLA C (W)</t>
  </si>
  <si>
    <t>0 LITCHFIELD ST</t>
  </si>
  <si>
    <t>SOLOMON VICTOR E &amp; NI</t>
  </si>
  <si>
    <t>LOCUST LN</t>
  </si>
  <si>
    <t>753 LITCHFIELD ST</t>
  </si>
  <si>
    <t xml:space="preserve">WILLIAMS CRAIG </t>
  </si>
  <si>
    <t>725 MUNICIPAL ST</t>
  </si>
  <si>
    <t>MUNICIPAL ST</t>
  </si>
  <si>
    <t>RONALD J GEORGE &amp; GAIL E GEORGE LIVING TRU</t>
  </si>
  <si>
    <t>743 MUNICIPAL ST</t>
  </si>
  <si>
    <t>RONALD J GEORGE &amp; GAI</t>
  </si>
  <si>
    <t xml:space="preserve">LONG PAMELLA M </t>
  </si>
  <si>
    <t>758 FAIRSTON ST</t>
  </si>
  <si>
    <t xml:space="preserve">DAVIS SHANE </t>
  </si>
  <si>
    <t>756 FAIRSTON ST</t>
  </si>
  <si>
    <t>STOWE AVE</t>
  </si>
  <si>
    <t xml:space="preserve">HOLLIS RONALD R </t>
  </si>
  <si>
    <t>748 FAIRSTON ST</t>
  </si>
  <si>
    <t>UNION AVE</t>
  </si>
  <si>
    <t xml:space="preserve">PMH REAL ESTATE LLC </t>
  </si>
  <si>
    <t>740 FAIRSTON ST</t>
  </si>
  <si>
    <t>PO BOX 44129</t>
  </si>
  <si>
    <t xml:space="preserve">MELANIN PROPERTIES LLC                          </t>
  </si>
  <si>
    <t>48 GREENWAY DR</t>
  </si>
  <si>
    <t>MELANIN PROPERTIES LL</t>
  </si>
  <si>
    <t>GREENWAY DR</t>
  </si>
  <si>
    <t xml:space="preserve">GRINNAN PATRICK A </t>
  </si>
  <si>
    <t>0 DUBOIS ST</t>
  </si>
  <si>
    <t>PO BOX  15</t>
  </si>
  <si>
    <t>MORGAN</t>
  </si>
  <si>
    <t xml:space="preserve">ELLIS BONNIE B </t>
  </si>
  <si>
    <t>1411 TYNDALL ST</t>
  </si>
  <si>
    <t xml:space="preserve">SUEHR REBECCA </t>
  </si>
  <si>
    <t>1507 TYNDALL ST</t>
  </si>
  <si>
    <t xml:space="preserve">CUPP BOBBIE J                                   </t>
  </si>
  <si>
    <t>1529 TYNDALL ST</t>
  </si>
  <si>
    <t>CUPP BOBBIE J</t>
  </si>
  <si>
    <t>SHERRELL GERALD A &amp; NEFRETITI D (W)</t>
  </si>
  <si>
    <t>1420 HILLSBORO ST</t>
  </si>
  <si>
    <t>SHERRELL GERALD</t>
  </si>
  <si>
    <t xml:space="preserve">POZZI RUTH ANN </t>
  </si>
  <si>
    <t>1426 BERRY ST</t>
  </si>
  <si>
    <t>RUTH ANN POZZI</t>
  </si>
  <si>
    <t>ROSE CT</t>
  </si>
  <si>
    <t xml:space="preserve">GORDON STEVEN RAY </t>
  </si>
  <si>
    <t>1402 BERRY ST</t>
  </si>
  <si>
    <t>GORDON STEVEN RAY</t>
  </si>
  <si>
    <t xml:space="preserve">BROWN JOHN G </t>
  </si>
  <si>
    <t>801 DUBOIS ST</t>
  </si>
  <si>
    <t xml:space="preserve">JANOVICK JAMES S </t>
  </si>
  <si>
    <t>803 DUBOIS ST</t>
  </si>
  <si>
    <t>S BEAVER ST</t>
  </si>
  <si>
    <t xml:space="preserve">WILSON IAN THOMAS </t>
  </si>
  <si>
    <t>807 DUBOIS ST</t>
  </si>
  <si>
    <t>KITTANNING</t>
  </si>
  <si>
    <t xml:space="preserve">WALTHER JANET C </t>
  </si>
  <si>
    <t>809 DUBOIS ST</t>
  </si>
  <si>
    <t>DUBOIS ST</t>
  </si>
  <si>
    <t xml:space="preserve">SLEDGE BRENDA </t>
  </si>
  <si>
    <t>811 DUBOIS ST</t>
  </si>
  <si>
    <t xml:space="preserve">TYH PA 12 LLC </t>
  </si>
  <si>
    <t>815 DUBOIS ST</t>
  </si>
  <si>
    <t>TYH PA 12 LLC</t>
  </si>
  <si>
    <t>MURRAY AVE # 81865</t>
  </si>
  <si>
    <t>REAL ESTATE FROM JAKES  LLC</t>
  </si>
  <si>
    <t>429 PARSON ST</t>
  </si>
  <si>
    <t>REAL ESTATE FROM JAKE</t>
  </si>
  <si>
    <t>QUINN-SABAT FAMILY  IRREVOCABLE TRUST</t>
  </si>
  <si>
    <t>455 STADIUM ST</t>
  </si>
  <si>
    <t>STADIUM ST</t>
  </si>
  <si>
    <t>ALEXANDER JULIA ANN &amp; MATENZ DANIELEWICZ</t>
  </si>
  <si>
    <t>3252 STAFFORD ST</t>
  </si>
  <si>
    <t xml:space="preserve">ROBINSON MAX </t>
  </si>
  <si>
    <t>0 STADIUM ST</t>
  </si>
  <si>
    <t>IRWIN WILLIAM  &amp; JOSEPHINE T (W)</t>
  </si>
  <si>
    <t>335 STADIUM ST</t>
  </si>
  <si>
    <t xml:space="preserve">MONKS DENNIS C SR </t>
  </si>
  <si>
    <t>GAWALDO DR</t>
  </si>
  <si>
    <t xml:space="preserve">ZYHIER SHARIMA L </t>
  </si>
  <si>
    <t>331 STADIUM ST</t>
  </si>
  <si>
    <t xml:space="preserve">TOLLAN DONALD </t>
  </si>
  <si>
    <t>3328 OREGON ST</t>
  </si>
  <si>
    <t xml:space="preserve">HAMLETT EVELYN </t>
  </si>
  <si>
    <t>226 OREGON ST</t>
  </si>
  <si>
    <t xml:space="preserve">CARRINGTON CHRISTOPHER S </t>
  </si>
  <si>
    <t>230 OREGON ST</t>
  </si>
  <si>
    <t>CARRINGTON CHRISTOPHE</t>
  </si>
  <si>
    <t>ANVIL LN</t>
  </si>
  <si>
    <t xml:space="preserve">BIVINS LAUREN </t>
  </si>
  <si>
    <t>228 OREGON ST</t>
  </si>
  <si>
    <t xml:space="preserve">RIGER GARY                                      </t>
  </si>
  <si>
    <t>232 OREGON ST</t>
  </si>
  <si>
    <t>FOXWOOD DR S</t>
  </si>
  <si>
    <t>HUNTINGTON STA</t>
  </si>
  <si>
    <t xml:space="preserve">CAMPBELL ROSE </t>
  </si>
  <si>
    <t>3323 OREGON ST</t>
  </si>
  <si>
    <t xml:space="preserve">FIGURA STEPHEN F &amp; ANN </t>
  </si>
  <si>
    <t>3321 OREGON ST</t>
  </si>
  <si>
    <t xml:space="preserve">EMMETT EDWARD J JR </t>
  </si>
  <si>
    <t>301 TABOR ST</t>
  </si>
  <si>
    <t>KAY ST</t>
  </si>
  <si>
    <t>KYLLONEN JONATHAN L &amp; MARJORIE J (W)</t>
  </si>
  <si>
    <t>302 OREGON ST</t>
  </si>
  <si>
    <t>E 11TH AVE</t>
  </si>
  <si>
    <t xml:space="preserve">HERNANDEZ SINHUE                                </t>
  </si>
  <si>
    <t>312 OREGON ST</t>
  </si>
  <si>
    <t xml:space="preserve">GAY ROBERTA A </t>
  </si>
  <si>
    <t>314 OREGON ST</t>
  </si>
  <si>
    <t xml:space="preserve">BLUMLING SARAH MAE </t>
  </si>
  <si>
    <t>307 TABOR ST</t>
  </si>
  <si>
    <t>TABOR ST</t>
  </si>
  <si>
    <t xml:space="preserve">EASLEY BRITTNEY </t>
  </si>
  <si>
    <t>225 RADCLIFFE ST</t>
  </si>
  <si>
    <t>WINHURST ST</t>
  </si>
  <si>
    <t xml:space="preserve">KEPPLE CHRISTOPHER A </t>
  </si>
  <si>
    <t>227 RADCLIFFE ST</t>
  </si>
  <si>
    <t>RADCLIFFE ST</t>
  </si>
  <si>
    <t xml:space="preserve">HOOVER ROBERT  &amp; LOUISE </t>
  </si>
  <si>
    <t>229 RADCLIFFE ST</t>
  </si>
  <si>
    <t>HOOVER ROBERT  &amp; LOUI</t>
  </si>
  <si>
    <t xml:space="preserve">ESPLEN CITIZENS COUNCIL </t>
  </si>
  <si>
    <t>0 TABOR ST</t>
  </si>
  <si>
    <t>MATTHEWS DAVID  &amp; MARGARET A (W)</t>
  </si>
  <si>
    <t xml:space="preserve">GARCIA ALEJANDRO SEGURA </t>
  </si>
  <si>
    <t>313 TABOR ST</t>
  </si>
  <si>
    <t>GARCIA ALEJANDRO SEGU</t>
  </si>
  <si>
    <t xml:space="preserve">MATTHEWS DAVID </t>
  </si>
  <si>
    <t xml:space="preserve">BINION WILLIE J </t>
  </si>
  <si>
    <t>3324 RADCLIFFE ST</t>
  </si>
  <si>
    <t xml:space="preserve">816 CRAWFORD LP </t>
  </si>
  <si>
    <t>0 RADCLIFFE ST</t>
  </si>
  <si>
    <t>STATE RTE 268</t>
  </si>
  <si>
    <t>CHICORA</t>
  </si>
  <si>
    <t xml:space="preserve">KELLY FRANK J </t>
  </si>
  <si>
    <t>WILSON SONNY  &amp; MARTHA LEE</t>
  </si>
  <si>
    <t>WILSON SONNY  &amp; MARTH</t>
  </si>
  <si>
    <t>RADCLIFF ST</t>
  </si>
  <si>
    <t xml:space="preserve">CROSS EDWARD C &amp; JEAN A </t>
  </si>
  <si>
    <t xml:space="preserve">ORWIG RONALD E </t>
  </si>
  <si>
    <t>LEHEW LAWRENCE R &amp; LAWRENCE LEHEW JR</t>
  </si>
  <si>
    <t>402 TABOR ST</t>
  </si>
  <si>
    <t>ESPLEN CITIZENS COUNCIL  INC</t>
  </si>
  <si>
    <t>ESPLEN CITIZENS COUNC</t>
  </si>
  <si>
    <t xml:space="preserve">CARNEY JONATHAN </t>
  </si>
  <si>
    <t>216 RADCLIFFE ST</t>
  </si>
  <si>
    <t>BENNATI TRACEY M &amp; SHELDON L (H)</t>
  </si>
  <si>
    <t xml:space="preserve">WILSON &amp; CREW LLC </t>
  </si>
  <si>
    <t>409 TABOR ST</t>
  </si>
  <si>
    <t>WILSON &amp; CREW LLC</t>
  </si>
  <si>
    <t xml:space="preserve">ESPLEN CITIZEN COUNCIL </t>
  </si>
  <si>
    <t>ESPLEN CITIZEN COUNCI</t>
  </si>
  <si>
    <t xml:space="preserve">AKINBOBOLA EDWARD </t>
  </si>
  <si>
    <t>307 OREGON ST</t>
  </si>
  <si>
    <t>AKINBOBOLA EDWARD</t>
  </si>
  <si>
    <t xml:space="preserve">ODOWD THOMAS </t>
  </si>
  <si>
    <t>0 OREGON ST</t>
  </si>
  <si>
    <t>HOODRIDGE DR APT 105</t>
  </si>
  <si>
    <t xml:space="preserve">CURGES LEA </t>
  </si>
  <si>
    <t>0 WALCOTT ST</t>
  </si>
  <si>
    <t xml:space="preserve">MILLS GLENN C </t>
  </si>
  <si>
    <t xml:space="preserve">GLOGOSKY VASZELY &amp; SUSAN (W)               </t>
  </si>
  <si>
    <t>WALCOTT ST</t>
  </si>
  <si>
    <t xml:space="preserve">FEENEY JOSPEH R JR </t>
  </si>
  <si>
    <t>CASE RUSSELL K  &amp; KAY LYN (W)</t>
  </si>
  <si>
    <t>3321 WALCOTT ST</t>
  </si>
  <si>
    <t>CASE RUSSELL K  &amp; KAY</t>
  </si>
  <si>
    <t xml:space="preserve">RITTER JOHN C </t>
  </si>
  <si>
    <t xml:space="preserve">ANNRAE HOMES LLC </t>
  </si>
  <si>
    <t>304 SLOAN ST</t>
  </si>
  <si>
    <t>ANNRAE HOMES LLC</t>
  </si>
  <si>
    <t>FRUSTUM ST</t>
  </si>
  <si>
    <t xml:space="preserve">STEINDORFER GREGORY C </t>
  </si>
  <si>
    <t>313 WALCOTT ST</t>
  </si>
  <si>
    <t xml:space="preserve">ARNOLD MARK R </t>
  </si>
  <si>
    <t>PERRYSVILLE AVE APT 2</t>
  </si>
  <si>
    <t xml:space="preserve">ABARTIS PETER  &amp; CEZARIJA                </t>
  </si>
  <si>
    <t>3307 W CARSON ST</t>
  </si>
  <si>
    <t>ABARTIS PETER  &amp; CEZA</t>
  </si>
  <si>
    <t>OAKHILL DR</t>
  </si>
  <si>
    <t>OXFORD</t>
  </si>
  <si>
    <t xml:space="preserve">RUNG PROPERTIES LLC </t>
  </si>
  <si>
    <t>3313 W CARSON ST</t>
  </si>
  <si>
    <t>RUNG PROPERTIES LLC</t>
  </si>
  <si>
    <t>POPULAR ST</t>
  </si>
  <si>
    <t>COMMUNITY BANK</t>
  </si>
  <si>
    <t xml:space="preserve">MCKENRY HELEN M </t>
  </si>
  <si>
    <t>3217 W CARSON ST</t>
  </si>
  <si>
    <t>ALEXANDER ST</t>
  </si>
  <si>
    <t>THOMAS JAMES R &amp; PATRICIA</t>
  </si>
  <si>
    <t>112 SANFORD ST</t>
  </si>
  <si>
    <t>THOMAS JAMES R &amp; PATRICIA (W)</t>
  </si>
  <si>
    <t>114 SANFORD ST</t>
  </si>
  <si>
    <t>116 SANFORD ST</t>
  </si>
  <si>
    <t xml:space="preserve">PHILLIPS CAROL                                  </t>
  </si>
  <si>
    <t xml:space="preserve">CAROL PHILLIPS DAVID </t>
  </si>
  <si>
    <t>SANFORD DR</t>
  </si>
  <si>
    <t>0 ESPLEN ST</t>
  </si>
  <si>
    <t>0 SAGINAW ST</t>
  </si>
  <si>
    <t xml:space="preserve">NIMEC MICHAEL M </t>
  </si>
  <si>
    <t>125 SAGINAW ST</t>
  </si>
  <si>
    <t>SAGINAW ST</t>
  </si>
  <si>
    <t xml:space="preserve">AFFORDABLE REALTY </t>
  </si>
  <si>
    <t>115 SAGINAW ST</t>
  </si>
  <si>
    <t>CALFORINA AVE</t>
  </si>
  <si>
    <t>GOSLIN MARVIN LEE &amp; SHELLEY MASSACK (W)</t>
  </si>
  <si>
    <t xml:space="preserve">SAGINAW LLC </t>
  </si>
  <si>
    <t>MADISON AVE</t>
  </si>
  <si>
    <t xml:space="preserve">FLETCHER CARLA </t>
  </si>
  <si>
    <t>118 SAGINAW ST</t>
  </si>
  <si>
    <t>SUMMERDALE ST</t>
  </si>
  <si>
    <t xml:space="preserve">WEST JOHN E JR </t>
  </si>
  <si>
    <t>115 FRUSTUM ST</t>
  </si>
  <si>
    <t xml:space="preserve">MCCLUNG ROSETTA A </t>
  </si>
  <si>
    <t>111 FRUSTUM ST</t>
  </si>
  <si>
    <t xml:space="preserve">DARBY MAUREEN P </t>
  </si>
  <si>
    <t>0 FRUSTUM ST</t>
  </si>
  <si>
    <t>HEASLEY DONALD H &amp; LOUISE M (W)</t>
  </si>
  <si>
    <t xml:space="preserve">WILSON MAURICE </t>
  </si>
  <si>
    <t>0 SLOAN ST</t>
  </si>
  <si>
    <t xml:space="preserve">D &amp; CL PROPERTIES LLC </t>
  </si>
  <si>
    <t>406 SLOAN ST</t>
  </si>
  <si>
    <t>THOMPSON PEARL A         ETAL</t>
  </si>
  <si>
    <t>SLOAN ST</t>
  </si>
  <si>
    <t>406 SLOAN ST REAR</t>
  </si>
  <si>
    <t xml:space="preserve">LANE COLLEEN </t>
  </si>
  <si>
    <t>0 FLORIEN ST</t>
  </si>
  <si>
    <t>DANIELS SUSANNA  &amp; JULIA ANN ALEXANDER</t>
  </si>
  <si>
    <t>AUSTRAWSKI FRANCES</t>
  </si>
  <si>
    <t>FLORIEN ST</t>
  </si>
  <si>
    <t>LENHART WADE WILLIAM &amp; CAROL (W)</t>
  </si>
  <si>
    <t>218 FLORIEN ST</t>
  </si>
  <si>
    <t>DUGAN JOSEPHINE T &amp; MARTIN</t>
  </si>
  <si>
    <t>7 JOSLYN ST</t>
  </si>
  <si>
    <t xml:space="preserve">THOMPSON RENEE                                  </t>
  </si>
  <si>
    <t>3525 ALLENDALE ST</t>
  </si>
  <si>
    <t>ALLENDALE ST</t>
  </si>
  <si>
    <t xml:space="preserve">BRICKETT CARMELLA A </t>
  </si>
  <si>
    <t>1016 CRISS ST</t>
  </si>
  <si>
    <t xml:space="preserve">LIPINSKI MARCUS A                               </t>
  </si>
  <si>
    <t>1115 CRISS ST</t>
  </si>
  <si>
    <t>LIPINSKI MARCUS A</t>
  </si>
  <si>
    <t xml:space="preserve">COCHRAN DEIDRA </t>
  </si>
  <si>
    <t>1109 CRISS ST</t>
  </si>
  <si>
    <t xml:space="preserve">THOMPSON GERALD </t>
  </si>
  <si>
    <t>3444 UNIVERSAL ST</t>
  </si>
  <si>
    <t xml:space="preserve">ELLIS REGIS &amp; BONNIE (W) </t>
  </si>
  <si>
    <t>1015 CRISS ST</t>
  </si>
  <si>
    <t xml:space="preserve">ELLIS REGIS &amp; BONNIE </t>
  </si>
  <si>
    <t xml:space="preserve">LEWIS IRA J </t>
  </si>
  <si>
    <t>1000 MOYER ST</t>
  </si>
  <si>
    <t>CRUMPTON NATIA S &amp; BRIAN L (H)</t>
  </si>
  <si>
    <t>1006 MOYER ST</t>
  </si>
  <si>
    <t>CRUMPTON NATIA S &amp; BR</t>
  </si>
  <si>
    <t>MOYER ST</t>
  </si>
  <si>
    <t xml:space="preserve">VILLARREAL SARAH </t>
  </si>
  <si>
    <t>1013 MOYER ST</t>
  </si>
  <si>
    <t xml:space="preserve">WIERNIK JAMES E </t>
  </si>
  <si>
    <t>1006 FAUST ST</t>
  </si>
  <si>
    <t>FAUST ST</t>
  </si>
  <si>
    <t xml:space="preserve">MILINER NATHANIEL </t>
  </si>
  <si>
    <t>3343 FRANCISCO ST</t>
  </si>
  <si>
    <t>FRANCISCO ST</t>
  </si>
  <si>
    <t>HENDRICK EDWARD L &amp; ROSE MARIE (W)</t>
  </si>
  <si>
    <t>3067 GLEN MAWR ST</t>
  </si>
  <si>
    <t xml:space="preserve">LACH CATHERINE ANN </t>
  </si>
  <si>
    <t>3065 GLEN MAWR ST</t>
  </si>
  <si>
    <t xml:space="preserve">W BEST PROPERTIES LLC </t>
  </si>
  <si>
    <t>3057 GLEN MAWR ST</t>
  </si>
  <si>
    <t xml:space="preserve">TEEPLE JONATHON EDWARD </t>
  </si>
  <si>
    <t>3051 GLEN MAWR ST</t>
  </si>
  <si>
    <t>TEEPLE JONATHON EDWAR</t>
  </si>
  <si>
    <t>HELTERBRAN WILLIAM 3RD &amp; ANGELA M (W)</t>
  </si>
  <si>
    <t>3049 GLEN MAWR ST</t>
  </si>
  <si>
    <t>HELTERBRAN WILLIAM 3R</t>
  </si>
  <si>
    <t>3047 GLEN MAWR ST</t>
  </si>
  <si>
    <t>3045 GLEN MAWR ST</t>
  </si>
  <si>
    <t>W BEST PROPERTIES LLC</t>
  </si>
  <si>
    <t>GREGORY BROOKE S &amp; BARBARA J (W)</t>
  </si>
  <si>
    <t>RTE 666</t>
  </si>
  <si>
    <t>SHEFFIELD</t>
  </si>
  <si>
    <t xml:space="preserve">GREGORY BROOKE S </t>
  </si>
  <si>
    <t>RTE. 666</t>
  </si>
  <si>
    <t>THREE RIVERS PROPERTY  DEVELOPMENT GROUP LLC</t>
  </si>
  <si>
    <t>3247 STAFFORD ST</t>
  </si>
  <si>
    <t xml:space="preserve">CORRELL MARTIN </t>
  </si>
  <si>
    <t>3241 STAFFORD ST</t>
  </si>
  <si>
    <t>CORRELL MARTIN</t>
  </si>
  <si>
    <t>GRANT AVE APT 1</t>
  </si>
  <si>
    <t xml:space="preserve">BURNS WILLIAM </t>
  </si>
  <si>
    <t xml:space="preserve">HUDSON MIRRIO JR </t>
  </si>
  <si>
    <t xml:space="preserve">MOORE DIANE </t>
  </si>
  <si>
    <t>0 PARSON ST</t>
  </si>
  <si>
    <t>WILLIAM KIHN</t>
  </si>
  <si>
    <t>ROSE DR</t>
  </si>
  <si>
    <t xml:space="preserve">WILSON ROGER E </t>
  </si>
  <si>
    <t>529 STADIUM ST</t>
  </si>
  <si>
    <t>WILSON ROGER E</t>
  </si>
  <si>
    <t xml:space="preserve">WILLIAMS BUYANDTRADE LLC </t>
  </si>
  <si>
    <t>3304 MOTOR ST</t>
  </si>
  <si>
    <t xml:space="preserve">WILLIAMS BUYANDTRADE </t>
  </si>
  <si>
    <t>WALKER RD</t>
  </si>
  <si>
    <t xml:space="preserve">JONES GEORGE H </t>
  </si>
  <si>
    <t>3330 GLEN MAWR ST</t>
  </si>
  <si>
    <t xml:space="preserve">DELLER JOHN R </t>
  </si>
  <si>
    <t>WALCOTT DR</t>
  </si>
  <si>
    <t xml:space="preserve">DIVILLY SARAH ANNE </t>
  </si>
  <si>
    <t>3304 GLEN MAWR ST</t>
  </si>
  <si>
    <t>EQUITY TRUST COMPANY  CUSTODIAN FBO JANICE MCD</t>
  </si>
  <si>
    <t>3218 GLEN MAWR ST</t>
  </si>
  <si>
    <t>116 TH AVE</t>
  </si>
  <si>
    <t xml:space="preserve">JEKELIS FRANCES </t>
  </si>
  <si>
    <t>3208 GLEN MAWR ST</t>
  </si>
  <si>
    <t>504 WYNCOTTE ST</t>
  </si>
  <si>
    <t>KING DEBORAH &amp; MICHAEL (H)</t>
  </si>
  <si>
    <t>0 WYNCOTTE ST</t>
  </si>
  <si>
    <t>KING DEBORAH &amp; MICHAE</t>
  </si>
  <si>
    <t>WYNCOTTE ST</t>
  </si>
  <si>
    <t xml:space="preserve">MICHELOTTI EUGENE K </t>
  </si>
  <si>
    <t>3220 MOTOR ST</t>
  </si>
  <si>
    <t>MOTOR ST</t>
  </si>
  <si>
    <t>LEWIS FRANK A &amp; MARY ANNE (W)</t>
  </si>
  <si>
    <t>0 MOTOR ST</t>
  </si>
  <si>
    <t>VISTA VALLEY RD</t>
  </si>
  <si>
    <t>SWEITZER HARRY R &amp; LORRAINE H (W)</t>
  </si>
  <si>
    <t xml:space="preserve">VIVIANO WILLIAM R </t>
  </si>
  <si>
    <t>521 BOSTWICK ST</t>
  </si>
  <si>
    <t xml:space="preserve">WESTON KEITH </t>
  </si>
  <si>
    <t>3311 GLEN MAWR ST</t>
  </si>
  <si>
    <t>RAKITA LOUIS E &amp; WANA M RAKITA</t>
  </si>
  <si>
    <t xml:space="preserve">WRV PROPERTIES I LP </t>
  </si>
  <si>
    <t>3325 GLEN MAWR ST</t>
  </si>
  <si>
    <t>VIVIANO WILLIAM R</t>
  </si>
  <si>
    <t xml:space="preserve">SCHNEID YOSEF                                   </t>
  </si>
  <si>
    <t>3248 MOTOR ST</t>
  </si>
  <si>
    <t>BRADFORD RD STE 200</t>
  </si>
  <si>
    <t xml:space="preserve">HIRSCHFIELD JOHN W </t>
  </si>
  <si>
    <t>3307 MOTOR ST</t>
  </si>
  <si>
    <t>HIRSCHFIELD JOHN W</t>
  </si>
  <si>
    <t xml:space="preserve">JONES DONNA G </t>
  </si>
  <si>
    <t>3261 MOTOR ST</t>
  </si>
  <si>
    <t>FOSTER AVE APT 401</t>
  </si>
  <si>
    <t xml:space="preserve">DEMEL CHRISTOPHER D </t>
  </si>
  <si>
    <t>3259 MOTOR ST</t>
  </si>
  <si>
    <t xml:space="preserve">BRYANT DASHAI                                   </t>
  </si>
  <si>
    <t>0 MENGES ST</t>
  </si>
  <si>
    <t>DASHAI BRYANT</t>
  </si>
  <si>
    <t>MENGES ST</t>
  </si>
  <si>
    <t>558 MENGES ST</t>
  </si>
  <si>
    <t>MIKES MASTER REAL  ESTATE INVESTORS LLC</t>
  </si>
  <si>
    <t>3241 MENGES ST</t>
  </si>
  <si>
    <t>PO BOX 803338</t>
  </si>
  <si>
    <t xml:space="preserve">BROWN BARRY                                     </t>
  </si>
  <si>
    <t>3242 SLOPE ST</t>
  </si>
  <si>
    <t>SLOPE ST</t>
  </si>
  <si>
    <t>NAVADAUSKAS JOHN  &amp; NELLIE</t>
  </si>
  <si>
    <t>0 SLOPE ST</t>
  </si>
  <si>
    <t>MRS GALLAN</t>
  </si>
  <si>
    <t>BENEVA RD UNIT 425</t>
  </si>
  <si>
    <t xml:space="preserve">FELDER CURISHA L </t>
  </si>
  <si>
    <t>ASHLYN ST</t>
  </si>
  <si>
    <t>3225 ASHLYN ST</t>
  </si>
  <si>
    <t xml:space="preserve">WILLIAMS EDDIE C III </t>
  </si>
  <si>
    <t>3213 ASHLYN ST</t>
  </si>
  <si>
    <t>WILLIAMS EDDIE C III</t>
  </si>
  <si>
    <t>CIMARRON DR</t>
  </si>
  <si>
    <t xml:space="preserve">JENSEN RICHARD BRENT                            </t>
  </si>
  <si>
    <t>3042 GLEN MAWR ST</t>
  </si>
  <si>
    <t>WEEPING WILLOW TRUST     ETAL</t>
  </si>
  <si>
    <t>3038 GLEN MAWR ST</t>
  </si>
  <si>
    <t>E CARSON ST UNIT 306</t>
  </si>
  <si>
    <t>JEREMYS MODEL TRUCKS  TRUST</t>
  </si>
  <si>
    <t>3036 GLEN MAWR ST</t>
  </si>
  <si>
    <t>BYRNWICK DR</t>
  </si>
  <si>
    <t xml:space="preserve">MESSNER JANET L </t>
  </si>
  <si>
    <t>3041 MERWYN AVE</t>
  </si>
  <si>
    <t xml:space="preserve">ROYAL REALTY BY TLM LLC </t>
  </si>
  <si>
    <t>3043 MERWYN AVE</t>
  </si>
  <si>
    <t>ROYAL REALTY</t>
  </si>
  <si>
    <t xml:space="preserve">BROWN CLARICE FAYE </t>
  </si>
  <si>
    <t>DINSMORE AVE</t>
  </si>
  <si>
    <t xml:space="preserve">MAR PARTNERS 1 LLC </t>
  </si>
  <si>
    <t>HARTZ ALY STE 203</t>
  </si>
  <si>
    <t>3060 MERWYN AVE</t>
  </si>
  <si>
    <t>BLACKHAWK PLAZA CIR</t>
  </si>
  <si>
    <t>BLACKHAWK PLAZA CIR STE 270</t>
  </si>
  <si>
    <t xml:space="preserve">BOLLAND JOSEPH P </t>
  </si>
  <si>
    <t>3050 MERWYN AVE</t>
  </si>
  <si>
    <t>TEEPLE ANGELICA  CHRISTIAN</t>
  </si>
  <si>
    <t>3044 MERWYN AVE</t>
  </si>
  <si>
    <t>TEEPLE ANGELICA CHRIS</t>
  </si>
  <si>
    <t xml:space="preserve">REYNOLDS KENNISHA </t>
  </si>
  <si>
    <t>3040 MERWYN AVE</t>
  </si>
  <si>
    <t>3036 MERWYN LLC          ETAL</t>
  </si>
  <si>
    <t>3036 MERWYN AVE</t>
  </si>
  <si>
    <t>PO BOX 41106</t>
  </si>
  <si>
    <t>73 ACRES PROPERTIES &amp; DEVELOPMENT LLC</t>
  </si>
  <si>
    <t>3034 MERWYN AVE</t>
  </si>
  <si>
    <t>73 ACRES PROPERTIES &amp;</t>
  </si>
  <si>
    <t>3024 MERWYN AVE</t>
  </si>
  <si>
    <t>ROYAL REALTY BY TLM L</t>
  </si>
  <si>
    <t>FEDERAL ST</t>
  </si>
  <si>
    <t xml:space="preserve">URBATIS ROBERT C </t>
  </si>
  <si>
    <t xml:space="preserve">SULLIVAN TANYA </t>
  </si>
  <si>
    <t>3218 STAFFORD ST</t>
  </si>
  <si>
    <t>SULLIVAN TANYA</t>
  </si>
  <si>
    <t>COLUMBIA ST</t>
  </si>
  <si>
    <t>DOERR ELMER C &amp; JEAN M (W)</t>
  </si>
  <si>
    <t>3216 STAFFORD ST</t>
  </si>
  <si>
    <t xml:space="preserve">NIKA II LLC </t>
  </si>
  <si>
    <t>3214 STAFFORD ST</t>
  </si>
  <si>
    <t>N PINE WAY</t>
  </si>
  <si>
    <t xml:space="preserve">PENNY FORECLOSURES LLC </t>
  </si>
  <si>
    <t>PENNY FORECLOSURES LL</t>
  </si>
  <si>
    <t>WILLIAM PENN HWY # 364</t>
  </si>
  <si>
    <t>GUZMAN OSCAR &amp; ANDREA (W)</t>
  </si>
  <si>
    <t>3040 STAFFORD ST</t>
  </si>
  <si>
    <t xml:space="preserve">TRANQUIL RIVERS LLC </t>
  </si>
  <si>
    <t>3018 STAFFORD ST</t>
  </si>
  <si>
    <t>TRANQUIL RIVERS LLC</t>
  </si>
  <si>
    <t>ABBEYVILLE RD UNIT 102</t>
  </si>
  <si>
    <t xml:space="preserve">J.M. PROPERTIES LLC </t>
  </si>
  <si>
    <t>344 MINTON ST</t>
  </si>
  <si>
    <t>FRAZIER AVE</t>
  </si>
  <si>
    <t>336 MINTON ST</t>
  </si>
  <si>
    <t>2961 SACRAMENTO AVE</t>
  </si>
  <si>
    <t>CRESCENT GARDENS DR</t>
  </si>
  <si>
    <t>GRIFFIN LAURIE A &amp; SPENCER THORNTON (H)</t>
  </si>
  <si>
    <t xml:space="preserve">HAWTHORNE MICHAEL </t>
  </si>
  <si>
    <t>3113 SACRAMENTO AVE</t>
  </si>
  <si>
    <t>E SOUTH MOUNTAIN AVE</t>
  </si>
  <si>
    <t>3201 SACRAMENTO AVE</t>
  </si>
  <si>
    <t xml:space="preserve">JODAN LAITY LLC </t>
  </si>
  <si>
    <t>3218 SACRAMENTO AVE</t>
  </si>
  <si>
    <t>3206 SACRAMENTO AVE</t>
  </si>
  <si>
    <t>WILLIAMS HARRY  &amp; AUDREY MILLER</t>
  </si>
  <si>
    <t>3124 SACRAMENTO AVE</t>
  </si>
  <si>
    <t>WILLIAMS HARRY  &amp; AUD</t>
  </si>
  <si>
    <t>PO BOX 811</t>
  </si>
  <si>
    <t xml:space="preserve">WEST JOHN E </t>
  </si>
  <si>
    <t>3110 SACRAMENTO AVE</t>
  </si>
  <si>
    <t>WEST JOHN E</t>
  </si>
  <si>
    <t xml:space="preserve">KEIBLER DENNIS J &amp; LINDA JEAN (W)          </t>
  </si>
  <si>
    <t>3012 SACRAMENTO AVE</t>
  </si>
  <si>
    <t xml:space="preserve">LAWTON PAMELA </t>
  </si>
  <si>
    <t>3002 SACRAMENTO AVE</t>
  </si>
  <si>
    <t xml:space="preserve">RODGERS JOSEPH J JR </t>
  </si>
  <si>
    <t>TERRACE ST</t>
  </si>
  <si>
    <t xml:space="preserve">P &amp; M REALTY LLC </t>
  </si>
  <si>
    <t>2952 SACRAMENTO AVE</t>
  </si>
  <si>
    <t>PO BOX 53021</t>
  </si>
  <si>
    <t xml:space="preserve">FIELDS DAVID L </t>
  </si>
  <si>
    <t>308 MINTON ST</t>
  </si>
  <si>
    <t xml:space="preserve">MADER PAUL A                                    </t>
  </si>
  <si>
    <t>304 MINTON ST</t>
  </si>
  <si>
    <t xml:space="preserve">MADER PAUL A &amp; DIXON </t>
  </si>
  <si>
    <t xml:space="preserve">CIANCIULLO ROBERT                               </t>
  </si>
  <si>
    <t>300 MINTON ST</t>
  </si>
  <si>
    <t xml:space="preserve">RAGIN CAMILLE </t>
  </si>
  <si>
    <t>3011 BRUNOT AVE</t>
  </si>
  <si>
    <t>3200 BRUNOT AVE</t>
  </si>
  <si>
    <t>MR JASON LLC</t>
  </si>
  <si>
    <t xml:space="preserve">BONNER RANDALL E </t>
  </si>
  <si>
    <t>3215 BRUNOT AVE</t>
  </si>
  <si>
    <t>MAGNOLIA PL</t>
  </si>
  <si>
    <t xml:space="preserve">LAITY JOSEPH A                                  </t>
  </si>
  <si>
    <t>3214 BRUNOT AVE</t>
  </si>
  <si>
    <t>PITTSBURGH AFFORDABLE  HOMES LLC</t>
  </si>
  <si>
    <t>1130 MOYER ST</t>
  </si>
  <si>
    <t xml:space="preserve">DICKER PROPERTIES LLC </t>
  </si>
  <si>
    <t>1128 MOYER ST</t>
  </si>
  <si>
    <t>ROCKFIELD RD</t>
  </si>
  <si>
    <t xml:space="preserve">OTOOLE LAWRENCE C </t>
  </si>
  <si>
    <t>1115 MOYER ST</t>
  </si>
  <si>
    <t xml:space="preserve">LEVERTY CATHERINE C </t>
  </si>
  <si>
    <t>1019 FAUST ST</t>
  </si>
  <si>
    <t xml:space="preserve">WIGGAN JAMIE MARTIN </t>
  </si>
  <si>
    <t>1119 FAUST ST</t>
  </si>
  <si>
    <t>1121 FAUST ST</t>
  </si>
  <si>
    <t xml:space="preserve">LUFT ALAYNA                                     </t>
  </si>
  <si>
    <t>0 FAUST ST</t>
  </si>
  <si>
    <t>DEVLIN RICHARD E &amp; MARY E</t>
  </si>
  <si>
    <t>1216 STANHOPE ST</t>
  </si>
  <si>
    <t>STANHOPE ST</t>
  </si>
  <si>
    <t xml:space="preserve">MERCURIO NICOLE </t>
  </si>
  <si>
    <t>1208 STANHOPE ST</t>
  </si>
  <si>
    <t>MERCURIO NICOLE</t>
  </si>
  <si>
    <t xml:space="preserve">DZUREK ANDREW A JR </t>
  </si>
  <si>
    <t>0 HUXLEY ST</t>
  </si>
  <si>
    <t>ELMONT ST</t>
  </si>
  <si>
    <t xml:space="preserve">HAYES-ESTES LACIANE                             </t>
  </si>
  <si>
    <t>1014 STANHOPE ST</t>
  </si>
  <si>
    <t xml:space="preserve">SPRADLEY PAUL &amp;                         </t>
  </si>
  <si>
    <t>3333 ALLENDALE ST</t>
  </si>
  <si>
    <t>SPRADLEY PAUL &amp; WOODS</t>
  </si>
  <si>
    <t xml:space="preserve">JOHNSON JASA </t>
  </si>
  <si>
    <t>3321 ALLENDALE ST</t>
  </si>
  <si>
    <t xml:space="preserve">FITCH JAMES H                                   </t>
  </si>
  <si>
    <t>1015 STANHOPE ST</t>
  </si>
  <si>
    <t>PO BOX 26566</t>
  </si>
  <si>
    <t xml:space="preserve">MARTORELLA LOUIS </t>
  </si>
  <si>
    <t>1029 STANHOPE ST</t>
  </si>
  <si>
    <t>REVERE RD</t>
  </si>
  <si>
    <t xml:space="preserve">ATKINSON RENEE S </t>
  </si>
  <si>
    <t>1101 STANHOPE ST</t>
  </si>
  <si>
    <t>LEE DR APT 91</t>
  </si>
  <si>
    <t xml:space="preserve">CRAIG HELEN R </t>
  </si>
  <si>
    <t>1111 STANHOPE ST</t>
  </si>
  <si>
    <t>EGRET RD</t>
  </si>
  <si>
    <t xml:space="preserve">ELLIS JOHN R </t>
  </si>
  <si>
    <t>1125 STANHOPE ST</t>
  </si>
  <si>
    <t xml:space="preserve">CHAVEZ ARACELI BRAVO                            </t>
  </si>
  <si>
    <t>1211 STANHOPE ST</t>
  </si>
  <si>
    <t xml:space="preserve">PRICE KEVIN </t>
  </si>
  <si>
    <t>1227 STANHOPE ST</t>
  </si>
  <si>
    <t>PRICE KEVIN</t>
  </si>
  <si>
    <t>PETERS ST</t>
  </si>
  <si>
    <t xml:space="preserve">DIX KIMBERLY L </t>
  </si>
  <si>
    <t>1212 TWEED ST</t>
  </si>
  <si>
    <t>TWEED ST</t>
  </si>
  <si>
    <t>TOLLIVER STEPHAN TOLLIVER NCGAI</t>
  </si>
  <si>
    <t>0 TWEED ST</t>
  </si>
  <si>
    <t xml:space="preserve">CARPER WILLIAM D </t>
  </si>
  <si>
    <t>1000 TWEED ST</t>
  </si>
  <si>
    <t>N JACKSON AVE</t>
  </si>
  <si>
    <t xml:space="preserve">ROSS SAMUEL C &amp; HELEN </t>
  </si>
  <si>
    <t>1027 TWEED ST</t>
  </si>
  <si>
    <t>REA CHARLOTTE &amp; MARCO (H)</t>
  </si>
  <si>
    <t>1111 TWEED ST</t>
  </si>
  <si>
    <t>REA CHARLOTTE &amp; MARCO</t>
  </si>
  <si>
    <t xml:space="preserve">SMITH  LONNIE </t>
  </si>
  <si>
    <t>1119 TWEED ST</t>
  </si>
  <si>
    <t>HARLOW DR</t>
  </si>
  <si>
    <t xml:space="preserve">ROBINSON JUANDA LARRIE </t>
  </si>
  <si>
    <t>1121 TWEED ST</t>
  </si>
  <si>
    <t>ROBINSON JUANDA LARRI</t>
  </si>
  <si>
    <t>RUSH EDWARD F &amp; DOROTHY T</t>
  </si>
  <si>
    <t>3230 HUXLEY ST</t>
  </si>
  <si>
    <t xml:space="preserve">ULLRICK DANIEL L </t>
  </si>
  <si>
    <t>1114 FAULKNER ST</t>
  </si>
  <si>
    <t>GREENWOOD AVE</t>
  </si>
  <si>
    <t xml:space="preserve">JONES ADAM F </t>
  </si>
  <si>
    <t>1112 FAULKNER ST</t>
  </si>
  <si>
    <t>JONES ADAM F</t>
  </si>
  <si>
    <t xml:space="preserve">MILLS WILLIAM T                                 </t>
  </si>
  <si>
    <t>0 FAULKNER ST</t>
  </si>
  <si>
    <t>ZIMA DOROTHY M &amp; DAVID C ZIMA</t>
  </si>
  <si>
    <t>3225 ALLENDALE ST</t>
  </si>
  <si>
    <t xml:space="preserve">CLASS HEILLY                                    </t>
  </si>
  <si>
    <t>1015 FAULKNER ST</t>
  </si>
  <si>
    <t>CLASS HEILLY &amp; GIAN C</t>
  </si>
  <si>
    <t xml:space="preserve">FONG MAY JOAN </t>
  </si>
  <si>
    <t>0 UNIVERSAL ST</t>
  </si>
  <si>
    <t>UNIVERSAL ST</t>
  </si>
  <si>
    <t xml:space="preserve">WALTON GREGORY J </t>
  </si>
  <si>
    <t>1022 FAIRDALE ST</t>
  </si>
  <si>
    <t>FAIRDALE ST</t>
  </si>
  <si>
    <t xml:space="preserve">FOLTZ JASON </t>
  </si>
  <si>
    <t>1000 FAIRDALE ST</t>
  </si>
  <si>
    <t>FOLTZ JASON</t>
  </si>
  <si>
    <t xml:space="preserve">LWBR LLC </t>
  </si>
  <si>
    <t>1014 FAIRDALE ST</t>
  </si>
  <si>
    <t>SWEITZER LN STE 206</t>
  </si>
  <si>
    <t xml:space="preserve">THOMPSON LESLIE </t>
  </si>
  <si>
    <t>1016 FAIRDALE ST</t>
  </si>
  <si>
    <t>W STEUBEN ST APT F</t>
  </si>
  <si>
    <t xml:space="preserve">BENKOSKI JUNE MARTHA </t>
  </si>
  <si>
    <t>0 JEAN ST</t>
  </si>
  <si>
    <t>KNOELDER RD APT 102</t>
  </si>
  <si>
    <t xml:space="preserve">CLEAVENGER LYDIA W </t>
  </si>
  <si>
    <t>817 FAIRDALE ST</t>
  </si>
  <si>
    <t>RAUBER CHARLES J &amp; BERNADETTE M RAUBER FAMI</t>
  </si>
  <si>
    <t>0 FAIRDALE ST</t>
  </si>
  <si>
    <t>RAUBER CHARLES J &amp; BE</t>
  </si>
  <si>
    <t>MCCHAIN RD</t>
  </si>
  <si>
    <t xml:space="preserve">LARSEN HALDIS </t>
  </si>
  <si>
    <t>3301 CANOPOLIS ST</t>
  </si>
  <si>
    <t>ELIZABETH DR APT 4207</t>
  </si>
  <si>
    <t>HOLY SPIRIT REVIVAL &amp; EVANGELISTIC CRUSADE MIN</t>
  </si>
  <si>
    <t>3102 SHERWOOD AVE</t>
  </si>
  <si>
    <t xml:space="preserve">GINGROW TAMI L </t>
  </si>
  <si>
    <t>3022 ZEPHYR AVE</t>
  </si>
  <si>
    <t>HARRISBURG ST</t>
  </si>
  <si>
    <t xml:space="preserve">DRUMMOND CARLOS </t>
  </si>
  <si>
    <t>3034 ZEPHYR AVE</t>
  </si>
  <si>
    <t>DRUMMOND CARLOS</t>
  </si>
  <si>
    <t xml:space="preserve">DAVIS APRIL </t>
  </si>
  <si>
    <t>3036 ZEPHYR AVE</t>
  </si>
  <si>
    <t xml:space="preserve">REESOR KEVIN MICHAEL </t>
  </si>
  <si>
    <t>3035 ZEPHYR AVE</t>
  </si>
  <si>
    <t>REESOR KEVIN MICHAEL</t>
  </si>
  <si>
    <t>CLARA ST</t>
  </si>
  <si>
    <t xml:space="preserve">STREET NAKLA </t>
  </si>
  <si>
    <t>3025 ZEPHYR AVE</t>
  </si>
  <si>
    <t>0 ZEPHYR AVE</t>
  </si>
  <si>
    <t>3021 ZEPHYR AVE</t>
  </si>
  <si>
    <t>BY ANY MEANZ ENTERPRISE  LLC</t>
  </si>
  <si>
    <t>3013 ZEPHYR AVE</t>
  </si>
  <si>
    <t>BY ANY MEANZ ENTERPRI</t>
  </si>
  <si>
    <t>WILSON DR</t>
  </si>
  <si>
    <t>BERRY THOMAS J &amp; PATRICIA L (W)</t>
  </si>
  <si>
    <t>3010 BERGMAN ST</t>
  </si>
  <si>
    <t xml:space="preserve">BELLOQUET FRANCOIS </t>
  </si>
  <si>
    <t>3014 BERGMAN ST</t>
  </si>
  <si>
    <t xml:space="preserve">UMPHREY SHAWN </t>
  </si>
  <si>
    <t>3048 BERGMAN ST</t>
  </si>
  <si>
    <t>QUEEN ELIZABETH DR</t>
  </si>
  <si>
    <t xml:space="preserve">DEVELOPER BUILDERS LLC </t>
  </si>
  <si>
    <t>3106 BERGMAN ST</t>
  </si>
  <si>
    <t>DEVELOPER BUILDERS LL</t>
  </si>
  <si>
    <t>PO BOX 8675</t>
  </si>
  <si>
    <t xml:space="preserve">LIFE HANDS HOUSING LLC </t>
  </si>
  <si>
    <t>3109 BERGMAN ST</t>
  </si>
  <si>
    <t>LIFE HANDS HOUSING LL</t>
  </si>
  <si>
    <t>3045 BERGMAN ST</t>
  </si>
  <si>
    <t xml:space="preserve">MCCASKILL SEAN L </t>
  </si>
  <si>
    <t>3039 BERGMAN ST</t>
  </si>
  <si>
    <t xml:space="preserve">FRANCO ANGELA M </t>
  </si>
  <si>
    <t>3029 BERGMAN ST</t>
  </si>
  <si>
    <t xml:space="preserve">ABIDING FAITH MINISTRY </t>
  </si>
  <si>
    <t>3011 BERGMAN ST</t>
  </si>
  <si>
    <t>ABIDING FAITH MINISTR</t>
  </si>
  <si>
    <t>TRENT CLARENCE A JR &amp; SUSAN E (W)</t>
  </si>
  <si>
    <t>3032 LANDIS ST</t>
  </si>
  <si>
    <t>LANDIS ST</t>
  </si>
  <si>
    <t>DURLER JASON &amp; ANGELA (W)</t>
  </si>
  <si>
    <t>3038 LANDIS ST</t>
  </si>
  <si>
    <t>DURLER JASON &amp; ANGELA</t>
  </si>
  <si>
    <t xml:space="preserve">LEHRMAN CHRISTOPHER </t>
  </si>
  <si>
    <t>3108 LANDIS ST</t>
  </si>
  <si>
    <t>SHEPARD RD</t>
  </si>
  <si>
    <t>3126 LANDIS ST</t>
  </si>
  <si>
    <t xml:space="preserve">HALE KEVIN D </t>
  </si>
  <si>
    <t>3128 LANDIS ST</t>
  </si>
  <si>
    <t xml:space="preserve">BROWN MARVELLA </t>
  </si>
  <si>
    <t>3132 LANDIS ST</t>
  </si>
  <si>
    <t>BROWN MARVELLA</t>
  </si>
  <si>
    <t xml:space="preserve">MEJIA JESUS MARTINEZ </t>
  </si>
  <si>
    <t>3134 LANDIS ST</t>
  </si>
  <si>
    <t>PO BOX 15886</t>
  </si>
  <si>
    <t xml:space="preserve">HOLLER JEAN E </t>
  </si>
  <si>
    <t>3137 LANDIS ST</t>
  </si>
  <si>
    <t>3129 LANDIS ST</t>
  </si>
  <si>
    <t xml:space="preserve">BETTS MEGAN </t>
  </si>
  <si>
    <t>3117 LANDIS ST</t>
  </si>
  <si>
    <t xml:space="preserve">THOMPSON TIMOTHY </t>
  </si>
  <si>
    <t>3103 LANDIS ST</t>
  </si>
  <si>
    <t xml:space="preserve">JASMINE NYREE HOMES INC </t>
  </si>
  <si>
    <t>3101 LANDIS ST</t>
  </si>
  <si>
    <t>JASMINE NYREE HOMES I</t>
  </si>
  <si>
    <t xml:space="preserve">PORTER CHRISTY </t>
  </si>
  <si>
    <t>3043 LANDIS ST</t>
  </si>
  <si>
    <t xml:space="preserve">FANTO MICHAEL                                   </t>
  </si>
  <si>
    <t>0 LANDIS ST</t>
  </si>
  <si>
    <t>3021 LANDIS ST</t>
  </si>
  <si>
    <t xml:space="preserve">MERCURIO NICOLE J </t>
  </si>
  <si>
    <t>3140 ASHLYN ST</t>
  </si>
  <si>
    <t xml:space="preserve">BLACKBURN DELPHIA O </t>
  </si>
  <si>
    <t>3148 ASHLYN ST</t>
  </si>
  <si>
    <t>HELD DAVID HELPER JESSE</t>
  </si>
  <si>
    <t>3157 ASHLYN ST</t>
  </si>
  <si>
    <t xml:space="preserve">JOHNSON DERRICK T </t>
  </si>
  <si>
    <t>3133 ASHLYN ST</t>
  </si>
  <si>
    <t>MINA ST</t>
  </si>
  <si>
    <t xml:space="preserve">CRAWSHAW ROSEMARY </t>
  </si>
  <si>
    <t>3107 ASHLYN ST</t>
  </si>
  <si>
    <t>3105 ASHLYN ST</t>
  </si>
  <si>
    <t xml:space="preserve">CINDI-LYNNS </t>
  </si>
  <si>
    <t>3025 ASHLYN ST</t>
  </si>
  <si>
    <t>3016 ASHLYN ST</t>
  </si>
  <si>
    <t>BURRY AVE</t>
  </si>
  <si>
    <t>TALAVERA KARLA PATRICIA  MORENO</t>
  </si>
  <si>
    <t>541 SHERWOOD AVE</t>
  </si>
  <si>
    <t>TALAVERA KARLA PATRIC</t>
  </si>
  <si>
    <t xml:space="preserve">CASTAPHNEY MONICA </t>
  </si>
  <si>
    <t>535 SHERWOOD AVE</t>
  </si>
  <si>
    <t xml:space="preserve">BARNES LUCILLE </t>
  </si>
  <si>
    <t>533 SHERWOOD AVE</t>
  </si>
  <si>
    <t>FLAMINGO AVE</t>
  </si>
  <si>
    <t xml:space="preserve">BURKE ALMON STITH JR </t>
  </si>
  <si>
    <t>527 SHERWOOD AVE</t>
  </si>
  <si>
    <t>BURKE ALMON STITH JR</t>
  </si>
  <si>
    <t>529 SHERWOOD AVE</t>
  </si>
  <si>
    <t>DAMERON RAYMOND JR       ETAL</t>
  </si>
  <si>
    <t>2933 ZEPHYR AVE</t>
  </si>
  <si>
    <t>SEPHYR AVE</t>
  </si>
  <si>
    <t xml:space="preserve">SCALIOR PROPERTIES LLC </t>
  </si>
  <si>
    <t>2931 ZEPHYR AVE</t>
  </si>
  <si>
    <t>SCALIOR PROPERTIES LL</t>
  </si>
  <si>
    <t>ROWLAND AVE</t>
  </si>
  <si>
    <t xml:space="preserve">RICHARDSON PHILLIP </t>
  </si>
  <si>
    <t>2916 ZEPHYR AVE</t>
  </si>
  <si>
    <t>HALL JERMAINE E &amp; NICHOELE (W)</t>
  </si>
  <si>
    <t>2922 ZEPHYR AVE</t>
  </si>
  <si>
    <t>HALL JERMAINE E &amp; NIC</t>
  </si>
  <si>
    <t>W WAYNE ST</t>
  </si>
  <si>
    <t>GRAY JERRY &amp; ROBYN E GRAY</t>
  </si>
  <si>
    <t>2950 ZEPHYR AVE</t>
  </si>
  <si>
    <t xml:space="preserve">GRAY JERRY &amp; ROBYN E </t>
  </si>
  <si>
    <t>2952 ZEPHYR AVE</t>
  </si>
  <si>
    <t>DAVID LEHRMAN</t>
  </si>
  <si>
    <t xml:space="preserve">BANKERT BRENDA J </t>
  </si>
  <si>
    <t>3021 GLEN MAWR ST</t>
  </si>
  <si>
    <t>3013 GLEN MAWR ST</t>
  </si>
  <si>
    <t xml:space="preserve">SONS OF GOD MINISTRY INC </t>
  </si>
  <si>
    <t>0 MINTON ST</t>
  </si>
  <si>
    <t xml:space="preserve">SONS OF GOD MINISTRY </t>
  </si>
  <si>
    <t>P.O. BOX 44228</t>
  </si>
  <si>
    <t xml:space="preserve">JOHNSON JONATHAN </t>
  </si>
  <si>
    <t>2953 GLEN MAWR ST</t>
  </si>
  <si>
    <t>WESTINGHOUSE AVE # 1</t>
  </si>
  <si>
    <t xml:space="preserve">THOMAS DAMOND </t>
  </si>
  <si>
    <t>2949 GLEN MAWR ST</t>
  </si>
  <si>
    <t>VETO ST</t>
  </si>
  <si>
    <t>BULLYCHILD  REDEVELOPMENT LLC</t>
  </si>
  <si>
    <t>2923 GLEN MAWR ST</t>
  </si>
  <si>
    <t>THE FULL HOUSE LLC</t>
  </si>
  <si>
    <t>PO BOX 90069</t>
  </si>
  <si>
    <t xml:space="preserve">RUGGIERO MARGARET G </t>
  </si>
  <si>
    <t>2906 GLEN MAWR ST</t>
  </si>
  <si>
    <t>BATTISTA DANIEL &amp; MICHELLE L (W)</t>
  </si>
  <si>
    <t>2924 GLEN MAWR ST</t>
  </si>
  <si>
    <t>2956 GLEN MAWR ST</t>
  </si>
  <si>
    <t xml:space="preserve">MITCHELL GLADYS D </t>
  </si>
  <si>
    <t>3020 GLEN MAWR ST</t>
  </si>
  <si>
    <t xml:space="preserve">SONS GOD MINISTRY INC </t>
  </si>
  <si>
    <t>3030 GLEN MAWR ST</t>
  </si>
  <si>
    <t>VOJTASH RAYMOND D &amp; MARTHA J (W)</t>
  </si>
  <si>
    <t>3013 MERWYN AVE</t>
  </si>
  <si>
    <t>VOJTASH RAYMOND D &amp; M</t>
  </si>
  <si>
    <t>ORCHARD ST</t>
  </si>
  <si>
    <t xml:space="preserve">KIRBY DAVIDA </t>
  </si>
  <si>
    <t>3005 MERWYN AVE</t>
  </si>
  <si>
    <t xml:space="preserve">HESTER VIRGINIA E                               </t>
  </si>
  <si>
    <t>2953 MERWYN AVE</t>
  </si>
  <si>
    <t>TRINITY FINANCIAL  SERVICES  LLC</t>
  </si>
  <si>
    <t>2951 MERWYN AVE</t>
  </si>
  <si>
    <t>TRINITY FINANCIAL SER</t>
  </si>
  <si>
    <t>PGA BLVD STE 295</t>
  </si>
  <si>
    <t>PALM BEACH GAR</t>
  </si>
  <si>
    <t xml:space="preserve">LOVELACE CHANELL DENISE </t>
  </si>
  <si>
    <t>2947 MERWYN AVE</t>
  </si>
  <si>
    <t>LYNCH HARRY M &amp; LOIS G (W)</t>
  </si>
  <si>
    <t>2941 MERWYN AVE</t>
  </si>
  <si>
    <t>MINSTERMAN DAVID S &amp; DONNA M (W)</t>
  </si>
  <si>
    <t>LOVINGSTON DR</t>
  </si>
  <si>
    <t xml:space="preserve">WILLIAMS SAMUEL W                               </t>
  </si>
  <si>
    <t>432 HAMMOND ST</t>
  </si>
  <si>
    <t>WILLIAMS SAMUEL W</t>
  </si>
  <si>
    <t>HAMMOND ST</t>
  </si>
  <si>
    <t>0 HAMMOND ST</t>
  </si>
  <si>
    <t>427 HAMMOND ST</t>
  </si>
  <si>
    <t>CAGNON THOMAS &amp; TRUDY D (W)</t>
  </si>
  <si>
    <t>CAGNON THOMAS &amp; TRUDY</t>
  </si>
  <si>
    <t>OAK LN</t>
  </si>
  <si>
    <t xml:space="preserve">WARD STEPHANIE </t>
  </si>
  <si>
    <t>2910 MERWYN AVE</t>
  </si>
  <si>
    <t xml:space="preserve">NOSAMCONTRACTING LLC                            </t>
  </si>
  <si>
    <t>2912 MERWYN AVE</t>
  </si>
  <si>
    <t xml:space="preserve">DAVIS DAVID </t>
  </si>
  <si>
    <t>2930 MERWYN AVE</t>
  </si>
  <si>
    <t xml:space="preserve">WILLIAMS DANNY RAMON </t>
  </si>
  <si>
    <t>2932 MERWYN AVE</t>
  </si>
  <si>
    <t>WILLIAMS DANNY RAMON</t>
  </si>
  <si>
    <t>MERWYN ST</t>
  </si>
  <si>
    <t xml:space="preserve">KING WILLIAM </t>
  </si>
  <si>
    <t>2958 MERWYN AVE</t>
  </si>
  <si>
    <t>3010 MERWYN AVE</t>
  </si>
  <si>
    <t xml:space="preserve">MONTGOMERY JORDAN                               </t>
  </si>
  <si>
    <t>408 MINTON ST</t>
  </si>
  <si>
    <t xml:space="preserve">BIANCO GENO </t>
  </si>
  <si>
    <t>2957 STAFFORD ST</t>
  </si>
  <si>
    <t>RUMAIN PETER A &amp; KATHLEEN (W)</t>
  </si>
  <si>
    <t xml:space="preserve">WILLIAMS RACQUAL TAMISHA </t>
  </si>
  <si>
    <t>2917 STAFFORD ST</t>
  </si>
  <si>
    <t xml:space="preserve">ADAMS CHARLOTTE M </t>
  </si>
  <si>
    <t>2915 STAFFORD ST</t>
  </si>
  <si>
    <t>JAPPA AND JAGA  MANAGEMENT LLC</t>
  </si>
  <si>
    <t>2913 STAFFORD ST</t>
  </si>
  <si>
    <t>JAPPA AND JAGA MANAGE</t>
  </si>
  <si>
    <t>COMMON ST STE 205</t>
  </si>
  <si>
    <t>NEW BRAUNFELS</t>
  </si>
  <si>
    <t xml:space="preserve">SEGMON LLC </t>
  </si>
  <si>
    <t>2905 STAFFORD ST</t>
  </si>
  <si>
    <t xml:space="preserve">PORTER CHRISTY                                  </t>
  </si>
  <si>
    <t>2749 STAFFORD ST</t>
  </si>
  <si>
    <t>BURRAY AVE</t>
  </si>
  <si>
    <t>2902 STAFFORD ST</t>
  </si>
  <si>
    <t>CEDERSTROM WALLACE A &amp; IRENE L (W)</t>
  </si>
  <si>
    <t xml:space="preserve">MAHOGANY HOMES LLC </t>
  </si>
  <si>
    <t>2924 STAFFORD ST</t>
  </si>
  <si>
    <t>2940 STAFFORD ST</t>
  </si>
  <si>
    <t>TRIPLE A. INVESTMENTS</t>
  </si>
  <si>
    <t xml:space="preserve">JAMES MARLA LORRAINE </t>
  </si>
  <si>
    <t>2944 STAFFORD ST</t>
  </si>
  <si>
    <t>FEDORKA FRANCIS A &amp; JACQUELINE B (W)</t>
  </si>
  <si>
    <t>2956 STAFFORD ST</t>
  </si>
  <si>
    <t xml:space="preserve">FRANCIS RICARDO                                 </t>
  </si>
  <si>
    <t>2955 SACRAMENTO AVE</t>
  </si>
  <si>
    <t>P. O. BOX 472547</t>
  </si>
  <si>
    <t xml:space="preserve">REVIS MICHAEL                                   </t>
  </si>
  <si>
    <t>2925 SACRAMENTO AVE</t>
  </si>
  <si>
    <t>PALACE AVE</t>
  </si>
  <si>
    <t xml:space="preserve">LITTLE TANYA </t>
  </si>
  <si>
    <t>NARCISSUS ST</t>
  </si>
  <si>
    <t>326 NARCISSUS AVE</t>
  </si>
  <si>
    <t>NARCISSUS AVE</t>
  </si>
  <si>
    <t xml:space="preserve">CARTER SHAWNA ANGEL </t>
  </si>
  <si>
    <t>2928 SACRAMENTO AVE</t>
  </si>
  <si>
    <t>CARTER SHAWNA ANGEL</t>
  </si>
  <si>
    <t xml:space="preserve">GRACE SR LYNARD DEWAYNE                         </t>
  </si>
  <si>
    <t>2936 SACRAMENTO AVE</t>
  </si>
  <si>
    <t>GRACE SR LYNARD DEWAY</t>
  </si>
  <si>
    <t>FRANKLIN ST</t>
  </si>
  <si>
    <t xml:space="preserve">HAMLIN MARIO                                    </t>
  </si>
  <si>
    <t>2946 SACRAMENTO AVE</t>
  </si>
  <si>
    <t>AMELIA ST</t>
  </si>
  <si>
    <t xml:space="preserve">HARTZELL KEITH ALLEN </t>
  </si>
  <si>
    <t>3303 ALLENDORF ST</t>
  </si>
  <si>
    <t>BURNS NANCY J &amp; RENEE J TERNEY</t>
  </si>
  <si>
    <t>1217 TWEED ST</t>
  </si>
  <si>
    <t xml:space="preserve">GIBBARD LEONA J </t>
  </si>
  <si>
    <t>1219 TWEED ST</t>
  </si>
  <si>
    <t xml:space="preserve">MOORE CURTIS ANTHONY III </t>
  </si>
  <si>
    <t>1249 TWEED ST</t>
  </si>
  <si>
    <t xml:space="preserve">JAMES WILLIAM </t>
  </si>
  <si>
    <t>1246 FAULKNER ST</t>
  </si>
  <si>
    <t>1248 FAULKNER ST</t>
  </si>
  <si>
    <t>1240 FAULKNER ST</t>
  </si>
  <si>
    <t>PO BOX 1457 DR</t>
  </si>
  <si>
    <t xml:space="preserve">BRYANT HENRY GEORGE JR </t>
  </si>
  <si>
    <t>BRYANT HENRY GEORGE J</t>
  </si>
  <si>
    <t xml:space="preserve">MCCORT CAROL A </t>
  </si>
  <si>
    <t>3229 HUXLEY ST</t>
  </si>
  <si>
    <t>HUXLEY ST</t>
  </si>
  <si>
    <t>HOLY SPIRIT REVIVAL  EVANGELISTIC CRUSADE S M</t>
  </si>
  <si>
    <t>3212 HUXLEY ST</t>
  </si>
  <si>
    <t>RICHARD D SANTELLA</t>
  </si>
  <si>
    <t>SHERRELL GERALD &amp; NEFERTITI D (W)</t>
  </si>
  <si>
    <t>1219 FAULKNER ST</t>
  </si>
  <si>
    <t>SHERRELL GERALD &amp; NEF</t>
  </si>
  <si>
    <t xml:space="preserve">COX REGINALD </t>
  </si>
  <si>
    <t>1221 FAULKNER ST</t>
  </si>
  <si>
    <t>OBRIEN DENNIS F &amp; DANA LEE (W)</t>
  </si>
  <si>
    <t>1223 FAULKNER ST</t>
  </si>
  <si>
    <t>1227 FAULKNER ST</t>
  </si>
  <si>
    <t xml:space="preserve">GRADNIK JAMES D </t>
  </si>
  <si>
    <t>3204 CHARTIERS AVE</t>
  </si>
  <si>
    <t>1122 FAIRDALE ST</t>
  </si>
  <si>
    <t xml:space="preserve">HICKMAN PAUL F </t>
  </si>
  <si>
    <t>1110 FAIRDALE ST</t>
  </si>
  <si>
    <t xml:space="preserve">PERSHING HOLDINGS LLC </t>
  </si>
  <si>
    <t>1107 FAIRDALE ST</t>
  </si>
  <si>
    <t>WILSON ST</t>
  </si>
  <si>
    <t>PALMER LAWRENCE GENRAL  CONTRACTING AND HOME IMP</t>
  </si>
  <si>
    <t>PALMER LAWRENCE GENRA</t>
  </si>
  <si>
    <t xml:space="preserve">MINSTERMAN DAVID S </t>
  </si>
  <si>
    <t>1117 FAIRDALE ST</t>
  </si>
  <si>
    <t>SCHOFFSTALL DONALD G &amp; PATRICIA E (W)</t>
  </si>
  <si>
    <t>3148 HUXLEY ST</t>
  </si>
  <si>
    <t>BENDING BRANCH RD</t>
  </si>
  <si>
    <t>KIRKLAND JUDITH ANN &amp; MICHAEL (H)</t>
  </si>
  <si>
    <t>1209 FAIRDALE ST</t>
  </si>
  <si>
    <t xml:space="preserve">EQUITY ESTATES LLC </t>
  </si>
  <si>
    <t>1215 FAIRDALE ST</t>
  </si>
  <si>
    <t>PO BOX 16144</t>
  </si>
  <si>
    <t xml:space="preserve">STRATEGIC DEVELOPMENTS  LLC                     </t>
  </si>
  <si>
    <t>1221 FAIRDALE ST</t>
  </si>
  <si>
    <t xml:space="preserve">THURMOND PAMELA D </t>
  </si>
  <si>
    <t>1208 SUTHERLAND ST</t>
  </si>
  <si>
    <t>THURMOND PAMELA D</t>
  </si>
  <si>
    <t>SUTHERLAND ST</t>
  </si>
  <si>
    <t>M2 &amp; M3 CAPITAL FUNDING LLC</t>
  </si>
  <si>
    <t>1204 SUTHERLAND ST</t>
  </si>
  <si>
    <t xml:space="preserve">SEALS QUINNSHON </t>
  </si>
  <si>
    <t>1123 SUTHERLAND ST</t>
  </si>
  <si>
    <t xml:space="preserve">QUINN MARGARET </t>
  </si>
  <si>
    <t>0 MUTUAL ST</t>
  </si>
  <si>
    <t xml:space="preserve">SCHWEIZER MARY C                                </t>
  </si>
  <si>
    <t>1222 MUTUAL ST</t>
  </si>
  <si>
    <t>SCHWEIZER MARY C AUGU</t>
  </si>
  <si>
    <t>MERWIN AVE</t>
  </si>
  <si>
    <t xml:space="preserve">CAMPBELL JAMES B </t>
  </si>
  <si>
    <t>1226 MUTUAL ST</t>
  </si>
  <si>
    <t xml:space="preserve">BOGASKI JOSEPH SR </t>
  </si>
  <si>
    <t>3146 KELVIN ST</t>
  </si>
  <si>
    <t>BOGASKI JOSEPH SR</t>
  </si>
  <si>
    <t>KELVIN ST</t>
  </si>
  <si>
    <t xml:space="preserve">ELLIS JOHN </t>
  </si>
  <si>
    <t>3142 KELVIN ST</t>
  </si>
  <si>
    <t xml:space="preserve">COLLURA VINCENT L </t>
  </si>
  <si>
    <t>0 PRITCHARD ST</t>
  </si>
  <si>
    <t>RUSSELLWOOD AVE</t>
  </si>
  <si>
    <t xml:space="preserve">CASTRO MARIA RIVERA                             </t>
  </si>
  <si>
    <t>3148 KELVIN ST</t>
  </si>
  <si>
    <t xml:space="preserve">PRIDGEN DARNETTE </t>
  </si>
  <si>
    <t>1238 PRITCHARD ST</t>
  </si>
  <si>
    <t xml:space="preserve">JONES CHARLENE </t>
  </si>
  <si>
    <t>BEDFORD AVE APT 202</t>
  </si>
  <si>
    <t xml:space="preserve">HUTCHINSON JACQUELINE N                         </t>
  </si>
  <si>
    <t>1321 JEFFERS ST</t>
  </si>
  <si>
    <t>HUTCHINSON JACQUELINE</t>
  </si>
  <si>
    <t>1325 JEFFERS ST</t>
  </si>
  <si>
    <t>1327 JEFFERS ST</t>
  </si>
  <si>
    <t>STEPHAN MICHAEL E &amp; MARUEEN M (W)</t>
  </si>
  <si>
    <t>1331 JEFFERS ST</t>
  </si>
  <si>
    <t>STEPHAN MICHAEL &amp; MAUREEN (W)</t>
  </si>
  <si>
    <t xml:space="preserve">BAUMAN CLEORA K </t>
  </si>
  <si>
    <t>1328 JEFFERS ST</t>
  </si>
  <si>
    <t xml:space="preserve">WILLIAMS GEORGE </t>
  </si>
  <si>
    <t>1310 JEFFERS ST</t>
  </si>
  <si>
    <t>ELLIS REGIS M &amp; BONNIE L (W)</t>
  </si>
  <si>
    <t>3225 CHARTIERS AVE</t>
  </si>
  <si>
    <t xml:space="preserve">LEVASSEUR JOSEPH W </t>
  </si>
  <si>
    <t>1013 FAIRDALE ST</t>
  </si>
  <si>
    <t>LEVASSEUR JOSEPH W</t>
  </si>
  <si>
    <t>SE 68TH AVE</t>
  </si>
  <si>
    <t>1017 FAIRDALE ST</t>
  </si>
  <si>
    <t>BOULEVARD OF THE ALLIES ST RM</t>
  </si>
  <si>
    <t xml:space="preserve">FISHER GEORGE </t>
  </si>
  <si>
    <t>1010 SUTHERLAND ST</t>
  </si>
  <si>
    <t>FOSTER DOUGLAS E &amp; MICHELLE M (W)</t>
  </si>
  <si>
    <t>1008 SUTHERLAND ST</t>
  </si>
  <si>
    <t>FOSTER DOUGLAS E &amp; MI</t>
  </si>
  <si>
    <t xml:space="preserve">SHERIDAN REDEVELOPMENT  TRUST #403 (THE)        </t>
  </si>
  <si>
    <t>3120 UNIVERSAL ST</t>
  </si>
  <si>
    <t>SHERIDAN REDEVELOPMEN</t>
  </si>
  <si>
    <t>PO BOX 14713</t>
  </si>
  <si>
    <t>3126 CHARTIERS AVE</t>
  </si>
  <si>
    <t xml:space="preserve">CRAIG MALLORY A </t>
  </si>
  <si>
    <t>3122 CHARTIERS AVE</t>
  </si>
  <si>
    <t>SMITH EDWARD F JR &amp; LILLY M (W)</t>
  </si>
  <si>
    <t>3106 CHARTIERS AVE</t>
  </si>
  <si>
    <t>DEBREAUX WILLIE LEE &amp; JUANITA SHARP</t>
  </si>
  <si>
    <t>3106 UNIVERSAL ST</t>
  </si>
  <si>
    <t xml:space="preserve">SHARP JUANITA </t>
  </si>
  <si>
    <t>3110 UNIVERSAL ST</t>
  </si>
  <si>
    <t>WALTERS WILLIAM J &amp; TIMOTHY P WALTERS</t>
  </si>
  <si>
    <t>777 SHERWOOD AVE</t>
  </si>
  <si>
    <t>773 SHERWOOD AVE</t>
  </si>
  <si>
    <t xml:space="preserve">ENTERPRISE BANK INC </t>
  </si>
  <si>
    <t>3068 CHARTIERS AVE</t>
  </si>
  <si>
    <t xml:space="preserve">ESTATE OF ROBERT M  DEPNER JR               </t>
  </si>
  <si>
    <t>DEPNER ROBERT M JR C/</t>
  </si>
  <si>
    <t>DAVIDSON ANNE  RETIREMENT LLC</t>
  </si>
  <si>
    <t>3117 CHARTIERS AVE</t>
  </si>
  <si>
    <t>HOWARD PL</t>
  </si>
  <si>
    <t>PLACENTIA</t>
  </si>
  <si>
    <t>EICHMILLER JEFFREY H &amp; MICHELE R BARRY</t>
  </si>
  <si>
    <t>1123 ADON ST</t>
  </si>
  <si>
    <t xml:space="preserve">EICHMILLER JEFFREY H </t>
  </si>
  <si>
    <t>SEYBERTOWN RD</t>
  </si>
  <si>
    <t xml:space="preserve">BG DEVELOPMENT LLC </t>
  </si>
  <si>
    <t>1103 ADON ST</t>
  </si>
  <si>
    <t>TIMBER HOLDINGS LLC</t>
  </si>
  <si>
    <t>UNIVERSITY DR</t>
  </si>
  <si>
    <t>NEWPORT BEACH</t>
  </si>
  <si>
    <t xml:space="preserve">FULLMER SCOTT </t>
  </si>
  <si>
    <t>3061 CHARTIERS AVE</t>
  </si>
  <si>
    <t>LITTLE RIVER BLVD</t>
  </si>
  <si>
    <t>CARTHAGE</t>
  </si>
  <si>
    <t xml:space="preserve">GETO AVA M </t>
  </si>
  <si>
    <t>3057 CHARTIERS AVE</t>
  </si>
  <si>
    <t>FOSTER AVE APT 304</t>
  </si>
  <si>
    <t xml:space="preserve">MAZZA ARMAND A </t>
  </si>
  <si>
    <t>1113 NEWCOMER ST</t>
  </si>
  <si>
    <t>W 76TH ST APT 1</t>
  </si>
  <si>
    <t xml:space="preserve">DEVINE JOHN E </t>
  </si>
  <si>
    <t>1008 TYNDALL ST</t>
  </si>
  <si>
    <t>3026 ALLENDALE ST</t>
  </si>
  <si>
    <t xml:space="preserve">DREWERY ANGELA </t>
  </si>
  <si>
    <t>3030 ALLENDALE ST</t>
  </si>
  <si>
    <t>DREWERY ANGELA</t>
  </si>
  <si>
    <t>PO BOX 1167</t>
  </si>
  <si>
    <t xml:space="preserve">PASTORIUS MARIE H </t>
  </si>
  <si>
    <t>3040 ALLENDALE ST</t>
  </si>
  <si>
    <t>3011 CHARTIERS AVE</t>
  </si>
  <si>
    <t xml:space="preserve">PALADINO JAMES </t>
  </si>
  <si>
    <t>2965 CHARTIERS AVE</t>
  </si>
  <si>
    <t>733 SHERWOOD AVE</t>
  </si>
  <si>
    <t>631 SHERWOOD AVE</t>
  </si>
  <si>
    <t>2949 CHARTIERS AVE</t>
  </si>
  <si>
    <t>KIMBROUGH DEVELOPMENT INCORPORATED</t>
  </si>
  <si>
    <t>2849 CHARTIERS AVE</t>
  </si>
  <si>
    <t xml:space="preserve">BREEN TERRY A </t>
  </si>
  <si>
    <t>901 TYNDALL ST</t>
  </si>
  <si>
    <t xml:space="preserve">PALMER KIM S </t>
  </si>
  <si>
    <t>913 TYNDALL ST</t>
  </si>
  <si>
    <t xml:space="preserve">MAXA KATHRYN </t>
  </si>
  <si>
    <t>933 CHETOPA ST</t>
  </si>
  <si>
    <t>CHETOPA ST</t>
  </si>
  <si>
    <t xml:space="preserve">800 CHETOPA LLC </t>
  </si>
  <si>
    <t>800 CHETOPA ST</t>
  </si>
  <si>
    <t>800 CHETOPA LLC</t>
  </si>
  <si>
    <t xml:space="preserve">AULT KATI &amp; DANIEL (H) </t>
  </si>
  <si>
    <t>906 HILLSBORO ST</t>
  </si>
  <si>
    <t>AULT KATI &amp; DANIEL (H</t>
  </si>
  <si>
    <t xml:space="preserve">TRAORE MOUSSA </t>
  </si>
  <si>
    <t>701 HILLSBORO ST</t>
  </si>
  <si>
    <t>ALICE STREET  INVESTMENTS LLC</t>
  </si>
  <si>
    <t>637 HILLSBORO ST</t>
  </si>
  <si>
    <t>ALICE STREET INVESTME</t>
  </si>
  <si>
    <t>PO BOX 44275</t>
  </si>
  <si>
    <t>KIWANIS CLUB OF  SHERADEN FOUNDATION</t>
  </si>
  <si>
    <t>640 HILLSBORO ST</t>
  </si>
  <si>
    <t>KIWANIS CLUB OF SHERA</t>
  </si>
  <si>
    <t>WILLIAM CIR</t>
  </si>
  <si>
    <t>FDPITT  LLC              ETAL</t>
  </si>
  <si>
    <t>2928 SHERADEN BLVD</t>
  </si>
  <si>
    <t>FDPITT  LLC C/O A2Z R</t>
  </si>
  <si>
    <t>SUCCEEDING IN LIFE  AFTER PRISON JOSEPH JAY</t>
  </si>
  <si>
    <t>2791 BERGMAN ST</t>
  </si>
  <si>
    <t>SUCCEEDINF IN LIFE AF</t>
  </si>
  <si>
    <t>GIELAROWSKI RONALD H &amp; MARY JO (W)</t>
  </si>
  <si>
    <t>0 BERGMAN ST</t>
  </si>
  <si>
    <t xml:space="preserve">GIELAROWSKI RONALD H </t>
  </si>
  <si>
    <t>LIBA PETER W &amp; PATRICIA M</t>
  </si>
  <si>
    <t xml:space="preserve">MAZZA GENO </t>
  </si>
  <si>
    <t>624 HILLSBORO ST</t>
  </si>
  <si>
    <t>626 HILLSBORO ST</t>
  </si>
  <si>
    <t>628 HILLSBORO ST</t>
  </si>
  <si>
    <t>PATTERSON ROBERT L JR &amp; MICHELLE A (W)</t>
  </si>
  <si>
    <t>0 BRIDGELY ST</t>
  </si>
  <si>
    <t>REAL PROPERTY HOLDINGS  LP</t>
  </si>
  <si>
    <t>2755 BERGMAN ST</t>
  </si>
  <si>
    <t>REAL PROPERTY HOLDING</t>
  </si>
  <si>
    <t xml:space="preserve">OTOOLE PATRICK M </t>
  </si>
  <si>
    <t xml:space="preserve">L &amp; M HOLDING CO </t>
  </si>
  <si>
    <t xml:space="preserve">WATSON IAN </t>
  </si>
  <si>
    <t>2750 BERGMAN ST</t>
  </si>
  <si>
    <t>PO BOX 8316</t>
  </si>
  <si>
    <t>2752 BERGMAN ST</t>
  </si>
  <si>
    <t xml:space="preserve">HAMMOND MARK A </t>
  </si>
  <si>
    <t>2764 BERMAN ST LAND  TRUST</t>
  </si>
  <si>
    <t>2764 BERGMAN ST</t>
  </si>
  <si>
    <t>2764 BERMAN ST LAND T</t>
  </si>
  <si>
    <t>PO BOX 27</t>
  </si>
  <si>
    <t>YOUNGWOOD</t>
  </si>
  <si>
    <t>2770 BERGMAN ST</t>
  </si>
  <si>
    <t>OLKOSKY RAYMOND F &amp; ELIZABETH A</t>
  </si>
  <si>
    <t>2772 BERGMAN ST</t>
  </si>
  <si>
    <t xml:space="preserve">RILEY YVONNE </t>
  </si>
  <si>
    <t>MCKEE ST APT D</t>
  </si>
  <si>
    <t>MURRAY ZACHARY &amp; HANNA (W)</t>
  </si>
  <si>
    <t>2780 BERGMAN ST</t>
  </si>
  <si>
    <t>MURRAY ZACHARY &amp; HANN</t>
  </si>
  <si>
    <t xml:space="preserve">OLALOKO ADESHINE </t>
  </si>
  <si>
    <t>2782 BERGMAN ST</t>
  </si>
  <si>
    <t>AGBEVE HILAIRE S &amp; LOUISE B (W)</t>
  </si>
  <si>
    <t>2788 BERGMAN ST</t>
  </si>
  <si>
    <t>AGBEVE HILAIRE S &amp; LO</t>
  </si>
  <si>
    <t>CAMPBELL RAYMOND  &amp; DAISY D (W)</t>
  </si>
  <si>
    <t>545 HAMMOND ST</t>
  </si>
  <si>
    <t>CAMPBELL RAYMOND  &amp; D</t>
  </si>
  <si>
    <t>LEWIS HAROLD E &amp; SHERRY (W)</t>
  </si>
  <si>
    <t>2824 BERGMAN ST</t>
  </si>
  <si>
    <t>LEWIS HAROLD E &amp; SHER</t>
  </si>
  <si>
    <t>SJ INNOVATIVE VENTURES  LLC</t>
  </si>
  <si>
    <t>2779 ZEPHYR AVE</t>
  </si>
  <si>
    <t>SJ INNOVATIVE VENTURE</t>
  </si>
  <si>
    <t>E OCEAN BLVD 303</t>
  </si>
  <si>
    <t xml:space="preserve">TOMASEVICH JOHN </t>
  </si>
  <si>
    <t>MAIN ST STE 101</t>
  </si>
  <si>
    <t xml:space="preserve">HUSTON PEARL SCHNEIDER </t>
  </si>
  <si>
    <t>2761 ZEPHYR AVE</t>
  </si>
  <si>
    <t xml:space="preserve">PALMER LAWRENCE CHARLES </t>
  </si>
  <si>
    <t>2755 ZEPHYR AVE</t>
  </si>
  <si>
    <t>PALMER LAWRENCE CHARL</t>
  </si>
  <si>
    <t>EQUITY TRUST COMPANY  CUSTODIAN</t>
  </si>
  <si>
    <t>2725 ZEPHYR AVE</t>
  </si>
  <si>
    <t>PO BOX 16151</t>
  </si>
  <si>
    <t xml:space="preserve">SIMMONS NATHAN F </t>
  </si>
  <si>
    <t>2754 ZEPHYR AVE</t>
  </si>
  <si>
    <t>WALLACE RD</t>
  </si>
  <si>
    <t xml:space="preserve">MATTHEWS ROBIN </t>
  </si>
  <si>
    <t>2772 ZEPHYR AVE</t>
  </si>
  <si>
    <t>2774 ZEPHYR AVE</t>
  </si>
  <si>
    <t xml:space="preserve">FINALE EUGENE  &amp; ALBERTA H (W)           </t>
  </si>
  <si>
    <t>2778 ZEPHYR AVE</t>
  </si>
  <si>
    <t xml:space="preserve">FINALE PHILIP </t>
  </si>
  <si>
    <t xml:space="preserve">CLEAVENGER CORBLY W III </t>
  </si>
  <si>
    <t>513 HAMMOND ST</t>
  </si>
  <si>
    <t>CLEAVENGER CORBLY W I</t>
  </si>
  <si>
    <t xml:space="preserve">NEIGHBORHOOD HOMES LP </t>
  </si>
  <si>
    <t>2905 GLEN MAWR ST</t>
  </si>
  <si>
    <t>NEIGHBORHOOD HOMES  L</t>
  </si>
  <si>
    <t>PO BOX 4449</t>
  </si>
  <si>
    <t xml:space="preserve">STEELTOWN MANAGEMENT INC </t>
  </si>
  <si>
    <t xml:space="preserve">STEELTOWN MANAGEMENT </t>
  </si>
  <si>
    <t>STATE ROUTE 268</t>
  </si>
  <si>
    <t xml:space="preserve">HOLL GEORGE C </t>
  </si>
  <si>
    <t>2771 GLEN MAWR ST</t>
  </si>
  <si>
    <t>HARRIS ANDRE &amp; TEYONNA S (W)</t>
  </si>
  <si>
    <t>2769 GLEN MAWR ST</t>
  </si>
  <si>
    <t>HARRIS ANDRE &amp; TEYONN</t>
  </si>
  <si>
    <t>PARK MANOR BLVD APT 156</t>
  </si>
  <si>
    <t xml:space="preserve">PITTSBURGH SFR  PORTFOLIO 1 LLC         </t>
  </si>
  <si>
    <t>2759 GLEN MAWR ST</t>
  </si>
  <si>
    <t xml:space="preserve">GUNNELL DANA L </t>
  </si>
  <si>
    <t>2757 GLEN MAWR ST</t>
  </si>
  <si>
    <t xml:space="preserve">WHEIHER LEWIS III </t>
  </si>
  <si>
    <t>2755 GLEN MAWR ST</t>
  </si>
  <si>
    <t xml:space="preserve">MYERS CHARLOTTE </t>
  </si>
  <si>
    <t xml:space="preserve">DRY CREEK LAND LP </t>
  </si>
  <si>
    <t>2774 GLEN MAWR ST</t>
  </si>
  <si>
    <t>PEACH AVE</t>
  </si>
  <si>
    <t>CLOVIS</t>
  </si>
  <si>
    <t>JONES HAROLD J III &amp; KRISTI M CERICOLA</t>
  </si>
  <si>
    <t>2767 MERWYN AVE</t>
  </si>
  <si>
    <t xml:space="preserve">ROELL PAUL L                                    </t>
  </si>
  <si>
    <t>2763 MERWYN AVE</t>
  </si>
  <si>
    <t xml:space="preserve">BROOKS RYAN CHRISTOPHER </t>
  </si>
  <si>
    <t>2760 BREVET WAY</t>
  </si>
  <si>
    <t>RYAN CHRISTOPHER BROO</t>
  </si>
  <si>
    <t>BEL AIR DR</t>
  </si>
  <si>
    <t>WOODS REAL ESTATE  INVEST ENTERPRISES LLC</t>
  </si>
  <si>
    <t>2747 MERWYN AVE</t>
  </si>
  <si>
    <t>WOODS REAL ESTATE INV</t>
  </si>
  <si>
    <t>STURBRIDGE DR</t>
  </si>
  <si>
    <t>DOUTY MARJORIE ANN &amp; ROBERT ARCHIBALD DO UTY</t>
  </si>
  <si>
    <t xml:space="preserve">DUGAS ADAM G </t>
  </si>
  <si>
    <t>2741 MERWYN AVE</t>
  </si>
  <si>
    <t xml:space="preserve">MANGUM TIANIKA </t>
  </si>
  <si>
    <t>EWING WAY</t>
  </si>
  <si>
    <t xml:space="preserve">FUNWELA ANTHONY JOSEPH </t>
  </si>
  <si>
    <t>0 STANHOPE ST</t>
  </si>
  <si>
    <t>FUNWELA ANTHONY JOSEP</t>
  </si>
  <si>
    <t>KINWOOD DR</t>
  </si>
  <si>
    <t xml:space="preserve">MATHESON ELMER W JR </t>
  </si>
  <si>
    <t>224 SAGAMORE ST</t>
  </si>
  <si>
    <t>SAGAMORE ST</t>
  </si>
  <si>
    <t xml:space="preserve">SAVULCHAK CHARLES </t>
  </si>
  <si>
    <t>0 SAGAMORE ST</t>
  </si>
  <si>
    <t xml:space="preserve">SAVULCHAK PATRICIA </t>
  </si>
  <si>
    <t>212 SAGAMORE ST</t>
  </si>
  <si>
    <t>SAVULCHAK PATRICIA</t>
  </si>
  <si>
    <t>WISNESKY CAROL ANN       ETAL</t>
  </si>
  <si>
    <t>215 SAGAMORE ST</t>
  </si>
  <si>
    <t>WISNESKY CAROL ANN</t>
  </si>
  <si>
    <t>DUSS AVE</t>
  </si>
  <si>
    <t xml:space="preserve">RECKER CHARLES R </t>
  </si>
  <si>
    <t>3332 OREGON ST</t>
  </si>
  <si>
    <t xml:space="preserve">HARTMAN ROBERT J </t>
  </si>
  <si>
    <t>3339 OREGON ST</t>
  </si>
  <si>
    <t xml:space="preserve">WASHINGTON LEONARD H </t>
  </si>
  <si>
    <t>7TH AVE</t>
  </si>
  <si>
    <t xml:space="preserve">BLUE SPRING ELIZABETH </t>
  </si>
  <si>
    <t>210 OREGON ST</t>
  </si>
  <si>
    <t>BLUE SPRING ELIZABETH</t>
  </si>
  <si>
    <t xml:space="preserve">CHEATOM COREY                                   </t>
  </si>
  <si>
    <t>211 RADCLIFFE ST</t>
  </si>
  <si>
    <t xml:space="preserve">PROSPERITY HOLDINGS LLC </t>
  </si>
  <si>
    <t>213 RADCLIFFE ST</t>
  </si>
  <si>
    <t>PROSPERITY HOLDINGS L</t>
  </si>
  <si>
    <t>CAMDEN CT</t>
  </si>
  <si>
    <t xml:space="preserve">LEE QUENTIN </t>
  </si>
  <si>
    <t>217 RADCLIFFE ST</t>
  </si>
  <si>
    <t xml:space="preserve">BUPKIS REALTY LLC </t>
  </si>
  <si>
    <t>210 RADCLIFFE ST</t>
  </si>
  <si>
    <t>WESTMINISTER PL</t>
  </si>
  <si>
    <t xml:space="preserve">MILLER CAROL A </t>
  </si>
  <si>
    <t>205 SAGAMORE ST</t>
  </si>
  <si>
    <t xml:space="preserve">JENSEN DIANE J </t>
  </si>
  <si>
    <t>2341 PERRICREST DR</t>
  </si>
  <si>
    <t>PERRICREST DR</t>
  </si>
  <si>
    <t>LAMBERT ANNA MARIE  ROBERTS</t>
  </si>
  <si>
    <t>2222 POTOMAC AVE</t>
  </si>
  <si>
    <t>LAMBERT ANNA MARIE RO</t>
  </si>
  <si>
    <t xml:space="preserve">ANNIBALE ANGELA </t>
  </si>
  <si>
    <t>2930 BANKSVILLE AVE</t>
  </si>
  <si>
    <t>2934 BANKSVILLE AVE</t>
  </si>
  <si>
    <t>GLAIDS DR</t>
  </si>
  <si>
    <t xml:space="preserve">PHILLIPS ANDREA L </t>
  </si>
  <si>
    <t>3016 BANKSVILLE AVE</t>
  </si>
  <si>
    <t>PHILLIPS ANDREA L</t>
  </si>
  <si>
    <t xml:space="preserve">KONIECZNY KEVIN </t>
  </si>
  <si>
    <t>2317 PERRICREST DR</t>
  </si>
  <si>
    <t>0 OLD OAK CT</t>
  </si>
  <si>
    <t>PO BOX 10360</t>
  </si>
  <si>
    <t>ZUGAJ MATHEW C &amp; VIRGINIA (W)</t>
  </si>
  <si>
    <t>2020 HAYSON AVE</t>
  </si>
  <si>
    <t>ZUGAJ MATHEW C &amp; VIRG</t>
  </si>
  <si>
    <t>HAYSON AVE</t>
  </si>
  <si>
    <t>FOLINO DOMENICO  &amp; PAULA S (W)</t>
  </si>
  <si>
    <t>0 CONNECTICUT AVE</t>
  </si>
  <si>
    <t>BIANCANIELLO MICHAEL  &amp; ANGELA (W)</t>
  </si>
  <si>
    <t>DWIGHT AVE</t>
  </si>
  <si>
    <t xml:space="preserve">ROSE JONATHAN ALI                               </t>
  </si>
  <si>
    <t>2612 LOUISIANA AVE</t>
  </si>
  <si>
    <t>SMITH WAYNE RICHARD &amp; KELLY ANN (W)</t>
  </si>
  <si>
    <t>2234 WENZELL AVE</t>
  </si>
  <si>
    <t>2533 DALEMOUNT ST</t>
  </si>
  <si>
    <t>DALEMOUNT ST</t>
  </si>
  <si>
    <t xml:space="preserve">SONG JIANGONG </t>
  </si>
  <si>
    <t>2234 ALLENDER AVE</t>
  </si>
  <si>
    <t xml:space="preserve">SCHMAUS MICHAEL R </t>
  </si>
  <si>
    <t>2250 MCMONAGLE AVE</t>
  </si>
  <si>
    <t xml:space="preserve">SPARBER NICOLE K </t>
  </si>
  <si>
    <t>2224 MCMONAGLE AVE</t>
  </si>
  <si>
    <t>MUTZIG DAVID P &amp; BETH ANN (W)</t>
  </si>
  <si>
    <t>2215 OLD OAK DR</t>
  </si>
  <si>
    <t>OLD OAK DR</t>
  </si>
  <si>
    <t xml:space="preserve">ZANKE AMY J </t>
  </si>
  <si>
    <t>3108 BANKSVILLE AVE</t>
  </si>
  <si>
    <t xml:space="preserve">HOFFMAN RICHARD W JR </t>
  </si>
  <si>
    <t>3120 BANKSVILLE RD</t>
  </si>
  <si>
    <t xml:space="preserve">BANKSVILLE COMMONS LLC </t>
  </si>
  <si>
    <t>3015 BANKSVILLE RD</t>
  </si>
  <si>
    <t>3021 BANKSVILLE RD</t>
  </si>
  <si>
    <t>BANKSVILLE COMMONS LL</t>
  </si>
  <si>
    <t>3033 BANKSVILLE RD</t>
  </si>
  <si>
    <t xml:space="preserve">STUCHELL MADELINE                               </t>
  </si>
  <si>
    <t>0 STRACHAN AVE</t>
  </si>
  <si>
    <t>CONN DANNIE L &amp; NICHELLE LEE (W)</t>
  </si>
  <si>
    <t>1785 POTOMAC AVE</t>
  </si>
  <si>
    <t xml:space="preserve">HENKEL BRUCE J SR                               </t>
  </si>
  <si>
    <t>1787 POTOMAC AVE</t>
  </si>
  <si>
    <t>HENKEL BRUCE J SR</t>
  </si>
  <si>
    <t xml:space="preserve">CONKLIN LINDA L </t>
  </si>
  <si>
    <t>0 LOUISIANA AVE</t>
  </si>
  <si>
    <t>PONOKA RD</t>
  </si>
  <si>
    <t xml:space="preserve">ENSCOE THOMAS </t>
  </si>
  <si>
    <t>2610 CONNECTICUT AVE</t>
  </si>
  <si>
    <t>CONNECTICUT AVE</t>
  </si>
  <si>
    <t xml:space="preserve">CURRAN TIMOTHY </t>
  </si>
  <si>
    <t>2612 CONNECTICUT AVE</t>
  </si>
  <si>
    <t>CURRAN TIMOTHY</t>
  </si>
  <si>
    <t>SUSAN DR</t>
  </si>
  <si>
    <t>YERMAN JOHN R JR &amp; KIMBERLY M (W)</t>
  </si>
  <si>
    <t>1459 SWANTEK ST</t>
  </si>
  <si>
    <t>SWANTEK ST</t>
  </si>
  <si>
    <t>CARUSO MICHAEL C &amp; YING CHI (W)</t>
  </si>
  <si>
    <t>3270 FARONIA ST</t>
  </si>
  <si>
    <t>KENNEY TOI D &amp; KEVIN LAMONT (H)</t>
  </si>
  <si>
    <t>3266 FARONIA ST</t>
  </si>
  <si>
    <t xml:space="preserve">KENNEY TOI D &amp; KEVIN </t>
  </si>
  <si>
    <t xml:space="preserve">ZHANG XIUCHUN </t>
  </si>
  <si>
    <t>3244 FARONIA ST</t>
  </si>
  <si>
    <t xml:space="preserve">BABAJANOV OYBEK </t>
  </si>
  <si>
    <t>3234 FARONIA ST</t>
  </si>
  <si>
    <t xml:space="preserve">MARTIN CASSANDRA TRSTE </t>
  </si>
  <si>
    <t>3228 FARONIA ST</t>
  </si>
  <si>
    <t>MARTIN CASSANDRA TRST</t>
  </si>
  <si>
    <t xml:space="preserve">WEBB CARRIE </t>
  </si>
  <si>
    <t>3202 FARONIA ST</t>
  </si>
  <si>
    <t>N VIERO DR</t>
  </si>
  <si>
    <t xml:space="preserve">ROCKLEDGE COMMONS L L C </t>
  </si>
  <si>
    <t>3207 FARONIA ST</t>
  </si>
  <si>
    <t>ROCKLEDGE COMMONS L L</t>
  </si>
  <si>
    <t>HOUGHTON THOMAS A &amp; CATHERINE A (W)</t>
  </si>
  <si>
    <t>3221 FARONIA ST</t>
  </si>
  <si>
    <t xml:space="preserve">SIMMONS NATHAN </t>
  </si>
  <si>
    <t>3235 FARONIA ST</t>
  </si>
  <si>
    <t xml:space="preserve">COLEMAN JASON                                   </t>
  </si>
  <si>
    <t>3271 FARONIA ST</t>
  </si>
  <si>
    <t>COLEMAN DARLA</t>
  </si>
  <si>
    <t>BAILEY AVE APT 25 C</t>
  </si>
  <si>
    <t>3130 MIDDLETOWN RD</t>
  </si>
  <si>
    <t xml:space="preserve">SMITH MURRIL </t>
  </si>
  <si>
    <t>1418 HARLOW ST</t>
  </si>
  <si>
    <t xml:space="preserve">FELICIANO EDWIN </t>
  </si>
  <si>
    <t>1450 HARLOW ST</t>
  </si>
  <si>
    <t xml:space="preserve">POOLE IDA M </t>
  </si>
  <si>
    <t>3684 MIDDLETOWN RD</t>
  </si>
  <si>
    <t>PATTON DAVID A &amp; GLORIA E (W)</t>
  </si>
  <si>
    <t>1412 ORATOR ST</t>
  </si>
  <si>
    <t>ORATOR ST</t>
  </si>
  <si>
    <t>MOSLEY JAMES S &amp; FRANCES C (W)</t>
  </si>
  <si>
    <t>BELLEAU ST</t>
  </si>
  <si>
    <t xml:space="preserve">BUTLER WALTER </t>
  </si>
  <si>
    <t>3731 CHARTIERS AVE</t>
  </si>
  <si>
    <t xml:space="preserve">CRONE MARY LOUISE TRUST </t>
  </si>
  <si>
    <t xml:space="preserve">HARRIS JANET R </t>
  </si>
  <si>
    <t>3672 CHARTIERS AVE</t>
  </si>
  <si>
    <t>JANET R HARRIS</t>
  </si>
  <si>
    <t>WILLIAMS THOMAS VIVIAN E (W)</t>
  </si>
  <si>
    <t>3671 HARLOW PL</t>
  </si>
  <si>
    <t xml:space="preserve">TROUTMAN-RUSSELL  CHARLENE                </t>
  </si>
  <si>
    <t>1459 HARLOW ST</t>
  </si>
  <si>
    <t>LHORMER REAL ESTATE  AGENCY INC</t>
  </si>
  <si>
    <t>0 CENTRALIA ST</t>
  </si>
  <si>
    <t>LHORMER REAL ESTATE A</t>
  </si>
  <si>
    <t>BETTS DAVID W &amp; RUTH A (W)</t>
  </si>
  <si>
    <t>3650 MIDDLETOWN RD</t>
  </si>
  <si>
    <t xml:space="preserve">BETTS DAVID W &amp; RUTH </t>
  </si>
  <si>
    <t>EVASOVICH NANCY  &amp; EVASOVICH PETER</t>
  </si>
  <si>
    <t>3616 MIDDLETOWN RD</t>
  </si>
  <si>
    <t xml:space="preserve">EQUITY TRUST COMPANY  CUSTODIAN FBO 200556001 </t>
  </si>
  <si>
    <t>3640 HARLOW PL</t>
  </si>
  <si>
    <t>PO BOX 25351</t>
  </si>
  <si>
    <t xml:space="preserve">MOORE LLOYD E &amp; SADIE L </t>
  </si>
  <si>
    <t>3646 HARLOW PL</t>
  </si>
  <si>
    <t xml:space="preserve">COLEMAN RAMON R </t>
  </si>
  <si>
    <t>1364 HARLOW ST</t>
  </si>
  <si>
    <t>AFRICAN METHODIST  EPISCOPAL ZION CHURCH</t>
  </si>
  <si>
    <t>1370 HARLOW ST</t>
  </si>
  <si>
    <t>1380 HARLOW ST</t>
  </si>
  <si>
    <t>CHAMBERS GARY L &amp; SAUNDRA E (W)</t>
  </si>
  <si>
    <t>1410 HARLOW ST</t>
  </si>
  <si>
    <t>CHAMBERS GARY L &amp; SAU</t>
  </si>
  <si>
    <t xml:space="preserve">LEWIS PAMELA M </t>
  </si>
  <si>
    <t>MCGHEE BOBBY L &amp; BEVERLEY L (W)</t>
  </si>
  <si>
    <t>PETTUS ALLEN  &amp; MARY BELLE</t>
  </si>
  <si>
    <t>1414 HARLOW ST</t>
  </si>
  <si>
    <t>0 HARLOW ST</t>
  </si>
  <si>
    <t>KING JOSEPH A &amp; BETTE J (W)</t>
  </si>
  <si>
    <t>3554 KRUPP ST</t>
  </si>
  <si>
    <t>KRUPP ST</t>
  </si>
  <si>
    <t xml:space="preserve">LEEPER GEORGE L &amp; JANE E </t>
  </si>
  <si>
    <t>3603 CHARTIERS AVE</t>
  </si>
  <si>
    <t xml:space="preserve">LEE LAMAR  &amp; HELEN </t>
  </si>
  <si>
    <t>0 OLTMAN ST</t>
  </si>
  <si>
    <t>OLTMAN ST</t>
  </si>
  <si>
    <t xml:space="preserve">LEE LAMAR D &amp; HELEN B </t>
  </si>
  <si>
    <t>3538 OLTMAN ST</t>
  </si>
  <si>
    <t xml:space="preserve">BERUBE CHRISTOPHER P </t>
  </si>
  <si>
    <t>3540 OLTMAN ST</t>
  </si>
  <si>
    <t xml:space="preserve">BERUBE BETTY JEAN </t>
  </si>
  <si>
    <t>3544 OLTMAN ST</t>
  </si>
  <si>
    <t>MCLAUGHLIN ROBERT L &amp; SONJA L</t>
  </si>
  <si>
    <t>ROBINSON CT</t>
  </si>
  <si>
    <t xml:space="preserve">MARTIN VINCENT W &amp; DINA L (W)              </t>
  </si>
  <si>
    <t>MARTIN VINCENT W &amp; DINA L (W)</t>
  </si>
  <si>
    <t>3558 OLTMAN ST</t>
  </si>
  <si>
    <t xml:space="preserve">JOHNSON FAY A </t>
  </si>
  <si>
    <t>3505 CHARTIERS AVE</t>
  </si>
  <si>
    <t xml:space="preserve">CRUMPTON DWELLINGS &amp; INVESTMENTS LLC         </t>
  </si>
  <si>
    <t>1165 OETTING ST</t>
  </si>
  <si>
    <t xml:space="preserve">TALLEY VANESSA WILLIAMS </t>
  </si>
  <si>
    <t>1159 OETTING ST</t>
  </si>
  <si>
    <t>UMPHREY JOHN R &amp; AUDREY A</t>
  </si>
  <si>
    <t>1125 OETTING ST</t>
  </si>
  <si>
    <t xml:space="preserve">LEE EARL E &amp; NELLIE H </t>
  </si>
  <si>
    <t>1118 OETTING ST</t>
  </si>
  <si>
    <t xml:space="preserve">COUCH ALITA Y </t>
  </si>
  <si>
    <t>1132 OETTING ST</t>
  </si>
  <si>
    <t xml:space="preserve">KIMBROUGH DELBERTA </t>
  </si>
  <si>
    <t>1127 ELLOPIA ST</t>
  </si>
  <si>
    <t>ELLOPIA ST</t>
  </si>
  <si>
    <t xml:space="preserve">JOHNS LISA A </t>
  </si>
  <si>
    <t>1129 ELLOPIA ST</t>
  </si>
  <si>
    <t>HILAND AVE</t>
  </si>
  <si>
    <t xml:space="preserve">CHAFFIN TENNILLE </t>
  </si>
  <si>
    <t>0 ELLOPIA ST</t>
  </si>
  <si>
    <t>PARK MANOR BLVD</t>
  </si>
  <si>
    <t xml:space="preserve">FLOURNOY LOUVENIA </t>
  </si>
  <si>
    <t>1136 ELLOPIA ST</t>
  </si>
  <si>
    <t xml:space="preserve">BARBOUR RAYMOND </t>
  </si>
  <si>
    <t>3603 CENTRALIA ST</t>
  </si>
  <si>
    <t>CENTRALIA ST</t>
  </si>
  <si>
    <t xml:space="preserve">SIMPSON BARBARA L </t>
  </si>
  <si>
    <t>0 ISOLINE ST</t>
  </si>
  <si>
    <t>ISOLINE ST</t>
  </si>
  <si>
    <t xml:space="preserve">ELBER PAMELA J </t>
  </si>
  <si>
    <t>1445 HASS ST</t>
  </si>
  <si>
    <t>HASS ST</t>
  </si>
  <si>
    <t>WARD THOMAS J &amp; ALMA J (W)</t>
  </si>
  <si>
    <t>1427 HASS ST</t>
  </si>
  <si>
    <t>HAAS ST</t>
  </si>
  <si>
    <t xml:space="preserve">WARD THOMAS J &amp; ALMA J </t>
  </si>
  <si>
    <t>CREATIVE SOLUTIONS  INVESTMENTS LLC</t>
  </si>
  <si>
    <t>0 HASS ST</t>
  </si>
  <si>
    <t>CREATIVE SOLUTIONS IN</t>
  </si>
  <si>
    <t xml:space="preserve">HUDGEN MARY </t>
  </si>
  <si>
    <t>0 ORATOR ST</t>
  </si>
  <si>
    <t xml:space="preserve">GYEKAST LLC </t>
  </si>
  <si>
    <t>1446 ORATOR ST</t>
  </si>
  <si>
    <t xml:space="preserve">SUNSTAR INVESTMENTS LLC </t>
  </si>
  <si>
    <t>3564 MIDDLETOWN RD</t>
  </si>
  <si>
    <t>SUNSTAR INVESTMENTS L</t>
  </si>
  <si>
    <t>CLINTON TRACIE &amp; STERLING (H)</t>
  </si>
  <si>
    <t>0 MIDDLETOWN RD</t>
  </si>
  <si>
    <t>CLINTON TRACIE &amp; STER</t>
  </si>
  <si>
    <t>LEA HUTSON &amp; ASSOCIATES LLC</t>
  </si>
  <si>
    <t>3741 CHARTIERS AVE</t>
  </si>
  <si>
    <t>LEA HUTSON &amp; ASSOCIAT</t>
  </si>
  <si>
    <t>CHARTIES AVE 300</t>
  </si>
  <si>
    <t xml:space="preserve">PROSSER HOLDINGS LLC </t>
  </si>
  <si>
    <t>3531 PROSSER WAY</t>
  </si>
  <si>
    <t>PROSSER HOLDINGS LLC</t>
  </si>
  <si>
    <t>PROSSER WAY</t>
  </si>
  <si>
    <t xml:space="preserve">CHAFFIN DEVAN M </t>
  </si>
  <si>
    <t>E DUBLIN GRANVILLE RD STE 460</t>
  </si>
  <si>
    <t xml:space="preserve">HOUGH JAMES  &amp; DOLORES </t>
  </si>
  <si>
    <t>3541 CENTRALIA ST</t>
  </si>
  <si>
    <t xml:space="preserve">MARSULA CATHERINE M </t>
  </si>
  <si>
    <t xml:space="preserve">BROWN AUDREY L </t>
  </si>
  <si>
    <t>PO BOX 19196</t>
  </si>
  <si>
    <t>DEMEL ELLEN L &amp; KIMBERLY A HEAGY</t>
  </si>
  <si>
    <t xml:space="preserve">BRANCH MIDORI MAUDE </t>
  </si>
  <si>
    <t>LOUISIANA BLVD APT C</t>
  </si>
  <si>
    <t>SILVER AVE SW #A</t>
  </si>
  <si>
    <t xml:space="preserve">NARROW NATHANIEL </t>
  </si>
  <si>
    <t>3534 CENTRALIA ST</t>
  </si>
  <si>
    <t xml:space="preserve">LUCATORTO MIKE </t>
  </si>
  <si>
    <t>MONROE AVE</t>
  </si>
  <si>
    <t>DAVIS CHARLES R &amp; DELORES A (W)</t>
  </si>
  <si>
    <t xml:space="preserve">AKRIE TODD </t>
  </si>
  <si>
    <t>3520 OLTMAN ST</t>
  </si>
  <si>
    <t xml:space="preserve">BRYCE PETERS FINANCIAL  CORPORATION             </t>
  </si>
  <si>
    <t>3518 OLTMAN ST</t>
  </si>
  <si>
    <t xml:space="preserve">HOWELLS SAMANTHA </t>
  </si>
  <si>
    <t>3516 OLTMAN ST</t>
  </si>
  <si>
    <t>SHELBY ST</t>
  </si>
  <si>
    <t>EJZAK FRANK J JR &amp; SUSAN (W)</t>
  </si>
  <si>
    <t>MCCLINTOCK WILLIAM M &amp; KAREN A (W)</t>
  </si>
  <si>
    <t>3438 KEDZIE ST</t>
  </si>
  <si>
    <t>KEDZIE ST</t>
  </si>
  <si>
    <t>WILLIAMS SAMUEL W &amp; CLEO DELORIS (W)</t>
  </si>
  <si>
    <t>3406 MIDDLETOWN RD</t>
  </si>
  <si>
    <t xml:space="preserve">WESTERN PA GERMAN  SHEPARD RESCUE TRUST    </t>
  </si>
  <si>
    <t>3331 ELISKA ST</t>
  </si>
  <si>
    <t>WESTERN PA GERMAN SHE</t>
  </si>
  <si>
    <t xml:space="preserve">WESTGERN PA GERMAN  SHEPARD RESCUE TRUST    </t>
  </si>
  <si>
    <t>0 ANCORA WAY</t>
  </si>
  <si>
    <t>WESTGERN PA GERMAN SH</t>
  </si>
  <si>
    <t>MARTIN CHARLES R &amp; COLLEEN O (W)</t>
  </si>
  <si>
    <t>ELISKA ST</t>
  </si>
  <si>
    <t xml:space="preserve">FORBUS ELIZABETH </t>
  </si>
  <si>
    <t>1316 NOKOMIS ST</t>
  </si>
  <si>
    <t>NOKOMIS ST</t>
  </si>
  <si>
    <t xml:space="preserve">PFERDEKAMPER ERIC T </t>
  </si>
  <si>
    <t>0 EVANSTON ST</t>
  </si>
  <si>
    <t xml:space="preserve">MCMULLEN DANA </t>
  </si>
  <si>
    <t>1422 SWANTEK ST</t>
  </si>
  <si>
    <t xml:space="preserve">BRUCE MACKENZIE P </t>
  </si>
  <si>
    <t>1408 SWANTEK ST</t>
  </si>
  <si>
    <t>BRUCE MACKENZIE P</t>
  </si>
  <si>
    <t>BOWERS RICHARD W &amp; COLLEEN D (W)</t>
  </si>
  <si>
    <t>1404 SWANTEK ST</t>
  </si>
  <si>
    <t xml:space="preserve">SCHALLUS MARY ANN </t>
  </si>
  <si>
    <t>3302 TUXEDO ST</t>
  </si>
  <si>
    <t>TUXEDO ST</t>
  </si>
  <si>
    <t>PAULL PHILLIP B SR &amp; NELLIE M</t>
  </si>
  <si>
    <t>1427 SWANTEK ST</t>
  </si>
  <si>
    <t xml:space="preserve">LEWIS LADONNA </t>
  </si>
  <si>
    <t>3240 FADETTE ST</t>
  </si>
  <si>
    <t>LEWIS LADONNA</t>
  </si>
  <si>
    <t>S J GROUP                ETAL</t>
  </si>
  <si>
    <t>3234 FADETTE ST</t>
  </si>
  <si>
    <t>3271 THAYER ST</t>
  </si>
  <si>
    <t xml:space="preserve">CONBOY SCOTT E                                  </t>
  </si>
  <si>
    <t>3266 THAYER ST</t>
  </si>
  <si>
    <t>THAYER ST</t>
  </si>
  <si>
    <t xml:space="preserve">MARTIN CHARLES R </t>
  </si>
  <si>
    <t>0 THAYER ST</t>
  </si>
  <si>
    <t xml:space="preserve">LIVINGSTON CARROLL L JR </t>
  </si>
  <si>
    <t>0 WINDGAP RD</t>
  </si>
  <si>
    <t xml:space="preserve">LIVINGSTON CARROLL L </t>
  </si>
  <si>
    <t>PO BOX 22541</t>
  </si>
  <si>
    <t xml:space="preserve">DEROBIO SAMUEL R </t>
  </si>
  <si>
    <t>4046 WINDGAP AVE</t>
  </si>
  <si>
    <t xml:space="preserve">AUER DEBORAH L </t>
  </si>
  <si>
    <t>46 ALPARK AVE</t>
  </si>
  <si>
    <t>AUER DEBORAH</t>
  </si>
  <si>
    <t>SPRING GARDEN AVE</t>
  </si>
  <si>
    <t>ALLEGHENY TRAILER SALES  + PARK</t>
  </si>
  <si>
    <t>48 ALPARK TERR</t>
  </si>
  <si>
    <t>ALPARK AVE</t>
  </si>
  <si>
    <t xml:space="preserve">GAITA JOHN </t>
  </si>
  <si>
    <t>26 ALPARK AVE</t>
  </si>
  <si>
    <t xml:space="preserve">FLICKINGER LORIN S </t>
  </si>
  <si>
    <t>150 ROSEBERRY LN</t>
  </si>
  <si>
    <t>ROSEBERRY LN</t>
  </si>
  <si>
    <t xml:space="preserve">CAYE TONIA </t>
  </si>
  <si>
    <t>700 NOBLESTOWN RD</t>
  </si>
  <si>
    <t xml:space="preserve">SJG INVESTMENTS LLC </t>
  </si>
  <si>
    <t>130 ROSEBERRY LN</t>
  </si>
  <si>
    <t xml:space="preserve">HART LORENZO LOUIS </t>
  </si>
  <si>
    <t>140 ROSEBERRY LN</t>
  </si>
  <si>
    <t xml:space="preserve">DALESSANDRO LINDA </t>
  </si>
  <si>
    <t>40 ALPARK AVE</t>
  </si>
  <si>
    <t xml:space="preserve">MAULER WILLIAM S </t>
  </si>
  <si>
    <t>14 ALPARK TERR</t>
  </si>
  <si>
    <t xml:space="preserve">TESTER ALBERT </t>
  </si>
  <si>
    <t>52 ALPARK AVE</t>
  </si>
  <si>
    <t xml:space="preserve">PATEL NICK </t>
  </si>
  <si>
    <t>22 ALPARK AVE</t>
  </si>
  <si>
    <t xml:space="preserve">SARTORI DIANE </t>
  </si>
  <si>
    <t>270 ROSEBERRY ST</t>
  </si>
  <si>
    <t xml:space="preserve">HARTZEL TIMOTHY </t>
  </si>
  <si>
    <t xml:space="preserve">KARKALLA CHARLENE </t>
  </si>
  <si>
    <t>54 ALPARK AVE</t>
  </si>
  <si>
    <t xml:space="preserve">ZIRKAL GARY W </t>
  </si>
  <si>
    <t>17 ALPARK AVE</t>
  </si>
  <si>
    <t xml:space="preserve">BROOKS GINA </t>
  </si>
  <si>
    <t>110 ROSEBERRY LN</t>
  </si>
  <si>
    <t>GOETTMAN ST</t>
  </si>
  <si>
    <t>DEWALD DAVID C III &amp; CELESTE (W)</t>
  </si>
  <si>
    <t>160 ROSEBERRY LN</t>
  </si>
  <si>
    <t xml:space="preserve">COFFMAN ZACHERY ALAN </t>
  </si>
  <si>
    <t>120 ROSEBERRY LN</t>
  </si>
  <si>
    <t>COFFMAN ZACHERY ALAN</t>
  </si>
  <si>
    <t>DEWALD DAVID III &amp; CELESTE (W)</t>
  </si>
  <si>
    <t>210 ROSEBERRY ST</t>
  </si>
  <si>
    <t>PO BOX 8470</t>
  </si>
  <si>
    <t xml:space="preserve">NETZEL ERICA </t>
  </si>
  <si>
    <t>33 ALPARK AVE</t>
  </si>
  <si>
    <t xml:space="preserve">DESMUKE GERALD </t>
  </si>
  <si>
    <t>44 ALPARK AVE</t>
  </si>
  <si>
    <t>28 ALPARK AVE</t>
  </si>
  <si>
    <t xml:space="preserve">REITER DONNA M </t>
  </si>
  <si>
    <t>16 ALPARK AVE</t>
  </si>
  <si>
    <t xml:space="preserve">FINKEL RAYMOND A </t>
  </si>
  <si>
    <t>39 ALPARK AVE</t>
  </si>
  <si>
    <t>DEWALD DAVID III &amp; CELESTE</t>
  </si>
  <si>
    <t>240 ROSEBERRY LN</t>
  </si>
  <si>
    <t xml:space="preserve">1301 BEAVER AVE LLC </t>
  </si>
  <si>
    <t>1301 BEAVER AVE</t>
  </si>
  <si>
    <t>BEAVER AVE</t>
  </si>
  <si>
    <t>ELLIOTT RON  &amp; SHELIA (W)</t>
  </si>
  <si>
    <t>0 PAGE ST</t>
  </si>
  <si>
    <t xml:space="preserve">MCCAIN MONIQUE M </t>
  </si>
  <si>
    <t>1339 PAGE ST</t>
  </si>
  <si>
    <t>MCCAIN MONIQUE M</t>
  </si>
  <si>
    <t>PAGE ST</t>
  </si>
  <si>
    <t>915 PAGE ST</t>
  </si>
  <si>
    <t>MANCHESTER GP  LLC</t>
  </si>
  <si>
    <t>ROSS ST FL 7</t>
  </si>
  <si>
    <t>1403 PAGE ST</t>
  </si>
  <si>
    <t>SCHOOL DISTRICT OF PITTSBURGH</t>
  </si>
  <si>
    <t>1460 PAGE ST</t>
  </si>
  <si>
    <t>LEWIS JETHRO P &amp; FREDA B (W)</t>
  </si>
  <si>
    <t>1436 PAGE ST</t>
  </si>
  <si>
    <t>LINWOOD AVE</t>
  </si>
  <si>
    <t>PITTSBURGH BOARD OF  EDUCATION</t>
  </si>
  <si>
    <t>PITTSBURGH BOARD OF E</t>
  </si>
  <si>
    <t>SCHOOL DISTRICT OF PI</t>
  </si>
  <si>
    <t>S BELLEFIELD AVE FL 10</t>
  </si>
  <si>
    <t xml:space="preserve">MOORE JAMIE M </t>
  </si>
  <si>
    <t>1424 PAGE ST</t>
  </si>
  <si>
    <t xml:space="preserve">PINTO EDWARD </t>
  </si>
  <si>
    <t>0 FAULSEY WAY</t>
  </si>
  <si>
    <t>TOMLINSON MARK E &amp; KATHERINE A (W)</t>
  </si>
  <si>
    <t>TOMLINSON MARK E &amp; KA</t>
  </si>
  <si>
    <t>1413 FAULSEY WAY</t>
  </si>
  <si>
    <t xml:space="preserve">HALLMAN JOHN J </t>
  </si>
  <si>
    <t>1003 MANHATTAN ST</t>
  </si>
  <si>
    <t>BLACKWELL ROBERT D &amp; ERIN A HARPER</t>
  </si>
  <si>
    <t>1309 W NORTH AVE</t>
  </si>
  <si>
    <t xml:space="preserve">BIRDY DEAN A </t>
  </si>
  <si>
    <t>1311 W NORTH AVE</t>
  </si>
  <si>
    <t xml:space="preserve">YOUNG NICOLE DIANE                              </t>
  </si>
  <si>
    <t>1315 W NORTH AVE</t>
  </si>
  <si>
    <t xml:space="preserve">BEDDINGS-RINGELING  ERIKA C                 </t>
  </si>
  <si>
    <t>1017 MANHATTAN ST</t>
  </si>
  <si>
    <t>HOLCOMB BRIDGE RD FL 4TH</t>
  </si>
  <si>
    <t xml:space="preserve">1411 W NORTH AVE PA LLC </t>
  </si>
  <si>
    <t>1411 W NORTH AVE</t>
  </si>
  <si>
    <t>1411 W NORTH AVE PA L</t>
  </si>
  <si>
    <t>WESTCHESTSER AVE STE N603</t>
  </si>
  <si>
    <t>1418 FAULSEY WAY</t>
  </si>
  <si>
    <t>1420 FAULSEY WAY</t>
  </si>
  <si>
    <t>HUTCHINS RENA C &amp; JOY ANN ZUBAN</t>
  </si>
  <si>
    <t>1427 W NORTH AVE</t>
  </si>
  <si>
    <t xml:space="preserve">BRIENZA JANET </t>
  </si>
  <si>
    <t>1420 W NORTH AVE</t>
  </si>
  <si>
    <t>1412 W NORTH AVE</t>
  </si>
  <si>
    <t>1406 W NORTH AVE</t>
  </si>
  <si>
    <t xml:space="preserve">WALKER BLANCHE M </t>
  </si>
  <si>
    <t>1402 W NORTH AVE</t>
  </si>
  <si>
    <t xml:space="preserve">KUJDYCH NATALIA </t>
  </si>
  <si>
    <t>1334 W NORTH AVE</t>
  </si>
  <si>
    <t>N FRANKLIN ST</t>
  </si>
  <si>
    <t xml:space="preserve">HILL MAYOTA </t>
  </si>
  <si>
    <t>1322 W NORTH AVE</t>
  </si>
  <si>
    <t xml:space="preserve">LOWE STANLEY A </t>
  </si>
  <si>
    <t>0 HAMLIN ST</t>
  </si>
  <si>
    <t>SHEFFIELD ST</t>
  </si>
  <si>
    <t>BRIDGING THE GAP  DEVELOPMENT LLC</t>
  </si>
  <si>
    <t>1429 SHEFFIELD ST</t>
  </si>
  <si>
    <t>BRIDGING THE GAP DEVE</t>
  </si>
  <si>
    <t>WATSON ROBERT C &amp; DAYNA M (W)</t>
  </si>
  <si>
    <t>1239 W NORTH AVE</t>
  </si>
  <si>
    <t xml:space="preserve">WILLIAMS JOSEPH D                               </t>
  </si>
  <si>
    <t>1237 W NORTH AVE</t>
  </si>
  <si>
    <t>JOSEPH D WILLIAMS JOS</t>
  </si>
  <si>
    <t xml:space="preserve">VERKAT VENTURES B LLC </t>
  </si>
  <si>
    <t>1229 W NORTH AVE</t>
  </si>
  <si>
    <t>VERKAT VENTURES B LLC</t>
  </si>
  <si>
    <t>B DUNWOOD RD</t>
  </si>
  <si>
    <t>PORT WASHINGTO</t>
  </si>
  <si>
    <t xml:space="preserve">RATTLIFF ALPHONSO M </t>
  </si>
  <si>
    <t>1211 W NORTH AVE</t>
  </si>
  <si>
    <t>1121 W NORTH AVE</t>
  </si>
  <si>
    <t>1241 PAGE ST</t>
  </si>
  <si>
    <t>MANCHESTER CITIZENS  CORPORATION</t>
  </si>
  <si>
    <t>ALLEGHENY AVE</t>
  </si>
  <si>
    <t>1237 PAGE ST</t>
  </si>
  <si>
    <t>ASTROBOTIC REAL ESTATE  HOLDINGS LLC</t>
  </si>
  <si>
    <t>1127 WESTERN AVE</t>
  </si>
  <si>
    <t>ASTROBOTIC REAL ESTAT</t>
  </si>
  <si>
    <t>N LINCOLN AVE</t>
  </si>
  <si>
    <t>801 KROLL DR</t>
  </si>
  <si>
    <t>801 BEAVER AVE</t>
  </si>
  <si>
    <t>0 KROLL DR</t>
  </si>
  <si>
    <t xml:space="preserve">CARDELLO ASSOCIATES </t>
  </si>
  <si>
    <t>701 NORTH POINT DR</t>
  </si>
  <si>
    <t>N POINT DR</t>
  </si>
  <si>
    <t>COURTLEY SARAH M ETAL</t>
  </si>
  <si>
    <t>0 MANHATTAN ST</t>
  </si>
  <si>
    <t>COMMONWEALTH OF  ETAL</t>
  </si>
  <si>
    <t>0 WOLFENDALE ST</t>
  </si>
  <si>
    <t>COMMONWEALTH OF PENNS</t>
  </si>
  <si>
    <t>A-K REDEVELOPMENT  CORPORATION</t>
  </si>
  <si>
    <t>2217 PREBLE AVE</t>
  </si>
  <si>
    <t>A-K REDEVELOPMENT COR</t>
  </si>
  <si>
    <t>WITHEROW RD</t>
  </si>
  <si>
    <t>0 GIRONDE ST</t>
  </si>
  <si>
    <t xml:space="preserve">CORELLA GEORGE  &amp; EMMA M </t>
  </si>
  <si>
    <t>0 ATMORE ST</t>
  </si>
  <si>
    <t>ATMORE ST</t>
  </si>
  <si>
    <t xml:space="preserve">CARLIN HELEN </t>
  </si>
  <si>
    <t xml:space="preserve">COLOMBO PETER A &amp; HELEN </t>
  </si>
  <si>
    <t>0 CALIFORNIA AVE</t>
  </si>
  <si>
    <t>TAYLOR EARL A JR &amp; ANDREA L</t>
  </si>
  <si>
    <t xml:space="preserve">OTT JOHN  &amp; IDA E </t>
  </si>
  <si>
    <t>0 HEPPNER ST</t>
  </si>
  <si>
    <t>HEPPNER ST</t>
  </si>
  <si>
    <t>BRUNNER ANTHONY J &amp; LORRAINE B</t>
  </si>
  <si>
    <t>HEPNER ST</t>
  </si>
  <si>
    <t xml:space="preserve">LOMBARDI A M </t>
  </si>
  <si>
    <t>0 NEWRY ST</t>
  </si>
  <si>
    <t>NEWRY ST</t>
  </si>
  <si>
    <t>0 ISLAND AVE</t>
  </si>
  <si>
    <t xml:space="preserve">WILLIAMS COLLISSA </t>
  </si>
  <si>
    <t>1305 SUCCESS ST</t>
  </si>
  <si>
    <t>SUCCESS ST</t>
  </si>
  <si>
    <t xml:space="preserve">GONSOWSKI JOHN G </t>
  </si>
  <si>
    <t>0 SUCCESS ST</t>
  </si>
  <si>
    <t>CARRICK PGH PROPERTIES  LP</t>
  </si>
  <si>
    <t>1229 SUCCESS ST</t>
  </si>
  <si>
    <t>CARRICK PGH PROPERTIE</t>
  </si>
  <si>
    <t>N FOREST GROVE RD</t>
  </si>
  <si>
    <t>TALARICO JOHN A &amp; MARGARET M</t>
  </si>
  <si>
    <t>1225 SUCCESS ST</t>
  </si>
  <si>
    <t>PO BOX 72</t>
  </si>
  <si>
    <t>LEEPER</t>
  </si>
  <si>
    <t>KARDASZ COLLEEN L &amp; LAWRENCE J JR (H)</t>
  </si>
  <si>
    <t>1219 COLFAX ST</t>
  </si>
  <si>
    <t>KARDASZ COLLEEN L &amp; L</t>
  </si>
  <si>
    <t>PIONEER DR</t>
  </si>
  <si>
    <t xml:space="preserve">BADAMO JOSEPH A                                 </t>
  </si>
  <si>
    <t>0 MARVISTA ST</t>
  </si>
  <si>
    <t>BADAMO JOSEPH A</t>
  </si>
  <si>
    <t>MARVISTA ST</t>
  </si>
  <si>
    <t xml:space="preserve">MINOR MARIE </t>
  </si>
  <si>
    <t>GERBER AVE APT 1</t>
  </si>
  <si>
    <t>1232 MARVISTA ST</t>
  </si>
  <si>
    <t xml:space="preserve">ZAK ERICK </t>
  </si>
  <si>
    <t>W 181ST ST # 124</t>
  </si>
  <si>
    <t>BURK CAROL A &amp; AUSTIN M (HUSB)</t>
  </si>
  <si>
    <t>BRUNNER MICHAEL L JR &amp; ANN C HUNT</t>
  </si>
  <si>
    <t xml:space="preserve">BRENKUS EDWARD W </t>
  </si>
  <si>
    <t>SALTER WAY</t>
  </si>
  <si>
    <t xml:space="preserve">FURNARI ANITA </t>
  </si>
  <si>
    <t>E FORT AVE APT 534</t>
  </si>
  <si>
    <t xml:space="preserve">ARNETT GLORIA JEAN </t>
  </si>
  <si>
    <t>1324 MARVISTA ST</t>
  </si>
  <si>
    <t>DUNLAP ST APT REAR</t>
  </si>
  <si>
    <t xml:space="preserve">MITCHELL JERRY </t>
  </si>
  <si>
    <t xml:space="preserve">YOUNG NORMAN C </t>
  </si>
  <si>
    <t xml:space="preserve">MAKOSKI STANLEY F </t>
  </si>
  <si>
    <t>JAMES W YOUNG</t>
  </si>
  <si>
    <t xml:space="preserve">SYNAN DAVID J </t>
  </si>
  <si>
    <t>MIKULAN JOSEPH  &amp; MYRTLE N</t>
  </si>
  <si>
    <t xml:space="preserve">KNOPP KATHRYN M </t>
  </si>
  <si>
    <t>JABAUT EDWARD J &amp; MARY J JABAUT</t>
  </si>
  <si>
    <t xml:space="preserve">DELOST TONY JACOB </t>
  </si>
  <si>
    <t>PO BOX 357</t>
  </si>
  <si>
    <t>STRABANE</t>
  </si>
  <si>
    <t xml:space="preserve">MCNEILL ANDREW P </t>
  </si>
  <si>
    <t xml:space="preserve">HERRING SHALESHA G </t>
  </si>
  <si>
    <t xml:space="preserve">KLUCSAR ANNA B </t>
  </si>
  <si>
    <t>PO BOX 1073</t>
  </si>
  <si>
    <t>NEWSOME SHARON L &amp; DRUCILLA A HOLMES</t>
  </si>
  <si>
    <t>NEWSOME SHARON L &amp; DR</t>
  </si>
  <si>
    <t xml:space="preserve">STEVENS MAURICE S </t>
  </si>
  <si>
    <t xml:space="preserve">DERBISH HEATHER A </t>
  </si>
  <si>
    <t xml:space="preserve">ENGLISH SHELLY </t>
  </si>
  <si>
    <t>1223 MARVISTA ST</t>
  </si>
  <si>
    <t>LAMPLIGHTER CIR</t>
  </si>
  <si>
    <t xml:space="preserve">HERAK GERALDINE J                               </t>
  </si>
  <si>
    <t>1203 MARVISTA ST</t>
  </si>
  <si>
    <t xml:space="preserve">ROMANIAS NICK &amp; GEORGIA (W)             </t>
  </si>
  <si>
    <t>ROMANIAS NICK &amp; GEORG</t>
  </si>
  <si>
    <t>WAVELY ST</t>
  </si>
  <si>
    <t>NICOTRA SALVIDOR J &amp; PAULINE M</t>
  </si>
  <si>
    <t>0 HYENA WAY</t>
  </si>
  <si>
    <t>STAYTON AVE</t>
  </si>
  <si>
    <t xml:space="preserve">COGHLAN MATTHEW </t>
  </si>
  <si>
    <t>2108 HYENA WAY</t>
  </si>
  <si>
    <t>HYENA WAY</t>
  </si>
  <si>
    <t xml:space="preserve">MCPHERSON BRIAN W </t>
  </si>
  <si>
    <t>2109 HYENA WAY</t>
  </si>
  <si>
    <t>SEDGWICK ST</t>
  </si>
  <si>
    <t xml:space="preserve">WIND DANA </t>
  </si>
  <si>
    <t>1310 SIGEL ST</t>
  </si>
  <si>
    <t>RAVENSWOOD AVE</t>
  </si>
  <si>
    <t>0 SIGEL ST</t>
  </si>
  <si>
    <t>WIND DANA</t>
  </si>
  <si>
    <t xml:space="preserve">ELEAM TERMAINE                                  </t>
  </si>
  <si>
    <t xml:space="preserve">WILLIAMS MAYBELLINE </t>
  </si>
  <si>
    <t xml:space="preserve">WANG QIAN                                       </t>
  </si>
  <si>
    <t>1306 CALIFORNIA AVE</t>
  </si>
  <si>
    <t xml:space="preserve">COLLINS JOHN E </t>
  </si>
  <si>
    <t>CARL E FRYE</t>
  </si>
  <si>
    <t>CALFORNIA AVE</t>
  </si>
  <si>
    <t xml:space="preserve">STRAUSS TRISTAN </t>
  </si>
  <si>
    <t>1320 STRANMORE ST</t>
  </si>
  <si>
    <t>P O BOX 1329</t>
  </si>
  <si>
    <t>SUMMERLAND</t>
  </si>
  <si>
    <t>CALAFORNIA AVE</t>
  </si>
  <si>
    <t xml:space="preserve">QVK HOLDINGS INC </t>
  </si>
  <si>
    <t>1312 STRANMORE ST</t>
  </si>
  <si>
    <t>WALKER GEORGE E &amp; ALDA LEE</t>
  </si>
  <si>
    <t>0 STRANMORE ST</t>
  </si>
  <si>
    <t>NESTOR GLENN J &amp; ALICE R (W)</t>
  </si>
  <si>
    <t>WINKLER RICHARD  &amp; MARGARET</t>
  </si>
  <si>
    <t>RICHARD  WINKLER</t>
  </si>
  <si>
    <t>SIGEL ST</t>
  </si>
  <si>
    <t xml:space="preserve">REILLY JESSIE </t>
  </si>
  <si>
    <t>WELSH RD</t>
  </si>
  <si>
    <t xml:space="preserve">BLANTON DOROTHY </t>
  </si>
  <si>
    <t>1241 SIGEL ST</t>
  </si>
  <si>
    <t>WILLIAMS LEROY  &amp; MAEZELLA</t>
  </si>
  <si>
    <t xml:space="preserve">FINNEY LESLIE E </t>
  </si>
  <si>
    <t>KRISTOFF AGENCY INC</t>
  </si>
  <si>
    <t>WATTS GREGORY  &amp; NANCY WHITE (W)</t>
  </si>
  <si>
    <t>D &amp; L MANAGEMENT GROUP LLC</t>
  </si>
  <si>
    <t>1303 STRANMORE ST</t>
  </si>
  <si>
    <t>D &amp; L MANAGEMENT GROU</t>
  </si>
  <si>
    <t>NORTHSIDE PROPERTIES  RESIDENCES IV LLC</t>
  </si>
  <si>
    <t>1266 KUNKLE AVE</t>
  </si>
  <si>
    <t>NORTHSIDE PROPERTIES  RESIDENSIES IV LLC</t>
  </si>
  <si>
    <t>1262 KUNKLE AVE</t>
  </si>
  <si>
    <t>1252 KUNKLE AVE</t>
  </si>
  <si>
    <t>1246 KUNKLE AVE</t>
  </si>
  <si>
    <t>1236 KUNKLE AVE</t>
  </si>
  <si>
    <t xml:space="preserve">STALLAERT WAYNE MICHAEL                         </t>
  </si>
  <si>
    <t>1102 SUNDAY ST</t>
  </si>
  <si>
    <t>MORRIS REBECCA J &amp; RUTHANN SHERIFF</t>
  </si>
  <si>
    <t>0 SUNDAY ST</t>
  </si>
  <si>
    <t>E A WEBER</t>
  </si>
  <si>
    <t>KUNKLE WAY</t>
  </si>
  <si>
    <t>1940 SEDGWICK ST</t>
  </si>
  <si>
    <t>0 SEDGWICK ST</t>
  </si>
  <si>
    <t>0 LAMONT ST</t>
  </si>
  <si>
    <t>ALLEGHENY HOUSING REH</t>
  </si>
  <si>
    <t xml:space="preserve">MCGUIRE NICOLE J </t>
  </si>
  <si>
    <t>0 CHATEAU ST</t>
  </si>
  <si>
    <t>BOARDMAN CANFIELD RD</t>
  </si>
  <si>
    <t xml:space="preserve">BAVA PROPERTY GROUP LLC </t>
  </si>
  <si>
    <t>1431 ADAMS ST</t>
  </si>
  <si>
    <t>BAVA PROPERTY GROUP L</t>
  </si>
  <si>
    <t>WATERFRONT PL APT 419</t>
  </si>
  <si>
    <t>1439 ADAMS ST</t>
  </si>
  <si>
    <t>1441 ADAMS ST</t>
  </si>
  <si>
    <t>1443 ADAMS ST</t>
  </si>
  <si>
    <t>TIP TOP PROPERTY  INVESTORS LLC</t>
  </si>
  <si>
    <t>2001 BELDALE ST</t>
  </si>
  <si>
    <t xml:space="preserve">WILSON THELMA LOUISE </t>
  </si>
  <si>
    <t>1438 ADAMS ST</t>
  </si>
  <si>
    <t>ADAMS ST</t>
  </si>
  <si>
    <t xml:space="preserve">CROSS RICOLE MICHELLE </t>
  </si>
  <si>
    <t>1428 ADAMS ST</t>
  </si>
  <si>
    <t>CROSS RICOLA MICHELLE</t>
  </si>
  <si>
    <t>PHOENIX ST</t>
  </si>
  <si>
    <t xml:space="preserve">BUTTAGI HOMES INC </t>
  </si>
  <si>
    <t>1420 ADAMS ST</t>
  </si>
  <si>
    <t>BUTTAGI HOMES INC</t>
  </si>
  <si>
    <t>PO BOX 286</t>
  </si>
  <si>
    <t>0 NIXON ST</t>
  </si>
  <si>
    <t>1429 NIXON ST</t>
  </si>
  <si>
    <t>1431 NIXON ST</t>
  </si>
  <si>
    <t>MORENOS ENTERPRISES LLC  ETAL</t>
  </si>
  <si>
    <t>1437 NIXON ST</t>
  </si>
  <si>
    <t>MORENOS ENTERPRISES L</t>
  </si>
  <si>
    <t xml:space="preserve">1448 BELDALE LLC </t>
  </si>
  <si>
    <t>1448 BELDALE ST</t>
  </si>
  <si>
    <t>BELDALE ST</t>
  </si>
  <si>
    <t>HEFT ELIZABETH ALICE &amp; JOHN MICHAEL (H)</t>
  </si>
  <si>
    <t>1439 NIXON ST</t>
  </si>
  <si>
    <t xml:space="preserve">SNOW ASHLEY R </t>
  </si>
  <si>
    <t>1441 NIXON ST</t>
  </si>
  <si>
    <t xml:space="preserve">RALPH FRED L &amp; EVA (W) </t>
  </si>
  <si>
    <t>1450 BELDALE ST</t>
  </si>
  <si>
    <t>1452 BELDALE ST</t>
  </si>
  <si>
    <t>RALPH FRED L &amp; EVA (W</t>
  </si>
  <si>
    <t xml:space="preserve">FOSTER ETHEL </t>
  </si>
  <si>
    <t>0 HOFFMAN ST</t>
  </si>
  <si>
    <t>CAROL FOSTER ALLEN</t>
  </si>
  <si>
    <t>NIXON ST</t>
  </si>
  <si>
    <t xml:space="preserve">FOSTER CAROL </t>
  </si>
  <si>
    <t>1440 NIXON ST</t>
  </si>
  <si>
    <t>1424 NIXON ST</t>
  </si>
  <si>
    <t>1422 NIXON ST</t>
  </si>
  <si>
    <t>MANCHESTER CITIZENS  GROUP</t>
  </si>
  <si>
    <t>1416 NIXON ST</t>
  </si>
  <si>
    <t>MANCHESTER CITIZENS C</t>
  </si>
  <si>
    <t>MANCHESTER CITIZENS CORPORATION</t>
  </si>
  <si>
    <t xml:space="preserve">KELLY KAREN L </t>
  </si>
  <si>
    <t>1919 MANHATTAN ST</t>
  </si>
  <si>
    <t xml:space="preserve">VENSON ANNA MAE </t>
  </si>
  <si>
    <t>0 BELDALE ST</t>
  </si>
  <si>
    <t>1320 ADAMS ST</t>
  </si>
  <si>
    <t>VENSON ANNA MAE</t>
  </si>
  <si>
    <t>1322 ADAMS ST</t>
  </si>
  <si>
    <t>0 ADAMS ST</t>
  </si>
  <si>
    <t xml:space="preserve">C SMITH HOLDINGS LLC </t>
  </si>
  <si>
    <t>M ST</t>
  </si>
  <si>
    <t>1406 ADAMS ST</t>
  </si>
  <si>
    <t xml:space="preserve">MCGHEE ERIC                                     </t>
  </si>
  <si>
    <t>1414 ADAMS ST</t>
  </si>
  <si>
    <t xml:space="preserve">GUNN CARL E                                     </t>
  </si>
  <si>
    <t>GUNN CARL E</t>
  </si>
  <si>
    <t xml:space="preserve">SHIMAMOTO AYISHA </t>
  </si>
  <si>
    <t>1321 ADAMS ST</t>
  </si>
  <si>
    <t>WEST HILLSBOROUGH AVE APT 131</t>
  </si>
  <si>
    <t xml:space="preserve">MCBRIDE BEVERLY </t>
  </si>
  <si>
    <t>1309 ADAMS ST</t>
  </si>
  <si>
    <t>BEVERLY MCBRIDE</t>
  </si>
  <si>
    <t>1815 FULTON ST</t>
  </si>
  <si>
    <t>ALLEN CHAPEL A M E CHURCH</t>
  </si>
  <si>
    <t>0 FULTON ST</t>
  </si>
  <si>
    <t xml:space="preserve">LIGHT OF THE AGE MOSQUE </t>
  </si>
  <si>
    <t>1807 FULTON ST</t>
  </si>
  <si>
    <t>LIGHT OF THE AGE MOSQ</t>
  </si>
  <si>
    <t>0 COLUMBUS AVE</t>
  </si>
  <si>
    <t>1308 COLUMBUS AVE</t>
  </si>
  <si>
    <t xml:space="preserve">BURTON MATTHEW                                  </t>
  </si>
  <si>
    <t>1318 COLUMBUS AVE</t>
  </si>
  <si>
    <t xml:space="preserve">WILLIAMS NICKQUAE </t>
  </si>
  <si>
    <t>1320 COLUMBUS AVE</t>
  </si>
  <si>
    <t>BELLWOOD DR</t>
  </si>
  <si>
    <t>WALKER BETTY A &amp; ALBERT (H)</t>
  </si>
  <si>
    <t>1322 COLUMBUS AVE</t>
  </si>
  <si>
    <t>WALKER ALBERT &amp; BETTY (W)</t>
  </si>
  <si>
    <t>0 WARNER ST</t>
  </si>
  <si>
    <t>WEINHEIMER BRETT E &amp; JENNIFER GORZELANY (W)</t>
  </si>
  <si>
    <t>1324 COLUMBUS AVE</t>
  </si>
  <si>
    <t>CEDAR DR</t>
  </si>
  <si>
    <t>LOVELAND</t>
  </si>
  <si>
    <t xml:space="preserve">WILLIAMS ERIK </t>
  </si>
  <si>
    <t>1402 COLUMBUS AVE</t>
  </si>
  <si>
    <t>WILLIAMS ERIK</t>
  </si>
  <si>
    <t xml:space="preserve">BEHILING LEAH MARIE </t>
  </si>
  <si>
    <t>1420 COLUMBUS AVE</t>
  </si>
  <si>
    <t xml:space="preserve">COUSIN VIVIAN </t>
  </si>
  <si>
    <t>1331 COLUMBUS AVE</t>
  </si>
  <si>
    <t>MANCHESTER HOUSING  DEVELOPMENT LLC</t>
  </si>
  <si>
    <t>1738 FULTON ST</t>
  </si>
  <si>
    <t>1251 COLUMBUS AVE</t>
  </si>
  <si>
    <t>1243 COLUMBUS AVE</t>
  </si>
  <si>
    <t xml:space="preserve">BIVINS EDWARD </t>
  </si>
  <si>
    <t>1016 KIRKBRIDE ST</t>
  </si>
  <si>
    <t>NORTHSIDE PROPERTIES  RESIDENCES I LLC</t>
  </si>
  <si>
    <t>0 SAINT IVES ST</t>
  </si>
  <si>
    <t xml:space="preserve">NORTHSIDE PROPERTIES </t>
  </si>
  <si>
    <t>COLUMBUS SQUARE  NEIGHBORHOOD ASSOCIATION</t>
  </si>
  <si>
    <t>COLUMBUS SQUARE NEIGH</t>
  </si>
  <si>
    <t>ALLEGHENY AVE FL 1ST</t>
  </si>
  <si>
    <t>1231 COLUMBUS AVE</t>
  </si>
  <si>
    <t>1235 COLUMBUS AVE</t>
  </si>
  <si>
    <t>0 JUNIATA ST</t>
  </si>
  <si>
    <t xml:space="preserve">NEW ZION BAPTIST CHURCH </t>
  </si>
  <si>
    <t>1724 CHATEAU ST</t>
  </si>
  <si>
    <t>JUNIATA ST</t>
  </si>
  <si>
    <t xml:space="preserve">SWATSON QUINCY </t>
  </si>
  <si>
    <t>1626 CHATEAU ST</t>
  </si>
  <si>
    <t>PO BOX 99601 ST</t>
  </si>
  <si>
    <t>BALAJI INDIAN SPRINGS  HOLDINGS LLC</t>
  </si>
  <si>
    <t>1423 COLUMBUS AVE</t>
  </si>
  <si>
    <t>SANRIA CT</t>
  </si>
  <si>
    <t xml:space="preserve">RIDDICK DORIS J </t>
  </si>
  <si>
    <t>1413 COLUMBUS AVE</t>
  </si>
  <si>
    <t>REBECCA AVE APT F</t>
  </si>
  <si>
    <t xml:space="preserve">SIMPLY PUT SYNC LP </t>
  </si>
  <si>
    <t>1411 COLUMBUS AVE</t>
  </si>
  <si>
    <t>1409 COLUMBUS AVE</t>
  </si>
  <si>
    <t xml:space="preserve">PIPKIN DEBORAH C HONAKER </t>
  </si>
  <si>
    <t>1716 MANHATTAN ST</t>
  </si>
  <si>
    <t xml:space="preserve">PIPKIN DEBORAH C </t>
  </si>
  <si>
    <t xml:space="preserve">CORRIGAN PERLA </t>
  </si>
  <si>
    <t>1316 LAKE ST</t>
  </si>
  <si>
    <t>ROBINSON JAMES J &amp; BETTY H (W)</t>
  </si>
  <si>
    <t>1252 JUNIATA ST</t>
  </si>
  <si>
    <t>ROBINSON JAMES J &amp; BE</t>
  </si>
  <si>
    <t xml:space="preserve">MCC-MCS LLC </t>
  </si>
  <si>
    <t>1704 FULTON ST</t>
  </si>
  <si>
    <t>WATERFRONT DR STE 125</t>
  </si>
  <si>
    <t>1720 FULTON ST</t>
  </si>
  <si>
    <t>1726 FULTON ST</t>
  </si>
  <si>
    <t>1404 JUNIATA ST</t>
  </si>
  <si>
    <t>1406 JUNIATA ST</t>
  </si>
  <si>
    <t>1408 JUNIATA ST</t>
  </si>
  <si>
    <t>MANCHESTER HOUSING  DEVELOMENT LLC</t>
  </si>
  <si>
    <t xml:space="preserve">BERESHIT DEVELOPMENT LLC </t>
  </si>
  <si>
    <t xml:space="preserve">BERESHIT DEVELOPMENT </t>
  </si>
  <si>
    <t>1420 JUNIATA ST</t>
  </si>
  <si>
    <t>1434 JUNIATA ST</t>
  </si>
  <si>
    <t>WECKSTEIN ROBERT &amp; MARGARET (W)</t>
  </si>
  <si>
    <t>1427 JUNIATA ST</t>
  </si>
  <si>
    <t xml:space="preserve">NAHAS MOHAMED </t>
  </si>
  <si>
    <t>1426 RUSH ST</t>
  </si>
  <si>
    <t xml:space="preserve">ZABIELSKI DAVID M </t>
  </si>
  <si>
    <t>1424 RUSH ST</t>
  </si>
  <si>
    <t>MANCHESTER ROW HOUSE  RENAISSANCE LLC</t>
  </si>
  <si>
    <t>0 RUSH ST</t>
  </si>
  <si>
    <t xml:space="preserve">RADICK MARY </t>
  </si>
  <si>
    <t>AMES RD</t>
  </si>
  <si>
    <t>DUNCAN &amp; PORTER HOUSE LLC</t>
  </si>
  <si>
    <t>1615 MANHATTAN ST</t>
  </si>
  <si>
    <t>DUNCAN &amp; PORTER HOUSE</t>
  </si>
  <si>
    <t xml:space="preserve">HARBST MOLLY A L </t>
  </si>
  <si>
    <t>1617 MANHATTAN ST</t>
  </si>
  <si>
    <t xml:space="preserve">HARRIS ANTHONY L </t>
  </si>
  <si>
    <t>1607 MANHATTAN ST</t>
  </si>
  <si>
    <t>OAK MEADOW DR</t>
  </si>
  <si>
    <t>HUDSON</t>
  </si>
  <si>
    <t xml:space="preserve">SELCER DANIEL JEREMY                            </t>
  </si>
  <si>
    <t xml:space="preserve">PARKER ALICHIA </t>
  </si>
  <si>
    <t>1410 N FRANKLIN ST</t>
  </si>
  <si>
    <t>ADAMS DR APT 301</t>
  </si>
  <si>
    <t xml:space="preserve">BURKINTAS JOHN &amp; DOROTHY (W)             </t>
  </si>
  <si>
    <t>1414 N FRANKLIN ST</t>
  </si>
  <si>
    <t>BURKINTAS JOHN &amp; DORO</t>
  </si>
  <si>
    <t xml:space="preserve">STRADFORD JERRY </t>
  </si>
  <si>
    <t>1418 N FRANKLIN ST</t>
  </si>
  <si>
    <t xml:space="preserve">3E REAL ESTATE LLC </t>
  </si>
  <si>
    <t>1420 N FRANKLIN ST</t>
  </si>
  <si>
    <t>WOOTEN ABRAM J           ETAL</t>
  </si>
  <si>
    <t>1438 N FRANKLIN ST</t>
  </si>
  <si>
    <t>WOOTEN ABRAM J C\O  D</t>
  </si>
  <si>
    <t>SPRING KNOLL CT</t>
  </si>
  <si>
    <t>TUCKER</t>
  </si>
  <si>
    <t xml:space="preserve">JENNINGS BETTY </t>
  </si>
  <si>
    <t>1444 N FRANKLIN ST</t>
  </si>
  <si>
    <t>1335 N FRANKLIN ST</t>
  </si>
  <si>
    <t>1333 N FRANKLIN ST</t>
  </si>
  <si>
    <t>1331 N FRANKLIN ST</t>
  </si>
  <si>
    <t>1329 N FRANKLIN ST</t>
  </si>
  <si>
    <t>1327 N FRANKLIN ST</t>
  </si>
  <si>
    <t>1325 N FRANKLIN ST</t>
  </si>
  <si>
    <t>1309 N FRANKLIN ST</t>
  </si>
  <si>
    <t>1307 N FRANKLIN ST</t>
  </si>
  <si>
    <t>1301 N FRANKLIN ST</t>
  </si>
  <si>
    <t>KUNKLES MILL RD</t>
  </si>
  <si>
    <t>LEWISBERRY</t>
  </si>
  <si>
    <t xml:space="preserve">WILLIAMS BRUCE C </t>
  </si>
  <si>
    <t>1269 DECATUR ST</t>
  </si>
  <si>
    <t xml:space="preserve">KENNEDY DOLORES M </t>
  </si>
  <si>
    <t>0 LIVERPOOL ST</t>
  </si>
  <si>
    <t>MANCHESTER EDUCATIONAL  FOUNDATION</t>
  </si>
  <si>
    <t>1248 LIVERPOOL ST</t>
  </si>
  <si>
    <t>MANCHESTER EDUCATIONA</t>
  </si>
  <si>
    <t>1250 LIVERPOOL ST</t>
  </si>
  <si>
    <t xml:space="preserve">CSERVAK CHRISTOPHER E </t>
  </si>
  <si>
    <t>1302 LIVERPOOL ST</t>
  </si>
  <si>
    <t xml:space="preserve">MY PEARL INVESTMENTS LTD </t>
  </si>
  <si>
    <t>1304 LIVERPOOL ST</t>
  </si>
  <si>
    <t xml:space="preserve">MY PEARL INVESTMENTS </t>
  </si>
  <si>
    <t>P.O. BOX 99655</t>
  </si>
  <si>
    <t>1306 LIVERPOOL ST</t>
  </si>
  <si>
    <t xml:space="preserve">DABNEY ROBERT H </t>
  </si>
  <si>
    <t>0 HAINES ALY</t>
  </si>
  <si>
    <t>MRS LOIS D SMITH</t>
  </si>
  <si>
    <t xml:space="preserve">PATTERSON ROSEMARY </t>
  </si>
  <si>
    <t xml:space="preserve">BLANTON ALEAISE </t>
  </si>
  <si>
    <t xml:space="preserve">MILAM DAPHNIE U </t>
  </si>
  <si>
    <t>1516 CHATEAU ST</t>
  </si>
  <si>
    <t>P O BOX 99934</t>
  </si>
  <si>
    <t>1207 JUNIATA ST</t>
  </si>
  <si>
    <t>1205 JUNIATA ST</t>
  </si>
  <si>
    <t>BENTON EDDIE JR &amp; BEVERLY G (W)</t>
  </si>
  <si>
    <t>1617 SEDGWICK ST</t>
  </si>
  <si>
    <t>BENTON EDDIE JR &amp; BEV</t>
  </si>
  <si>
    <t xml:space="preserve">GARDNER DAWN </t>
  </si>
  <si>
    <t>1625 ALLEGHENY AVE</t>
  </si>
  <si>
    <t>GARDNER DAWN</t>
  </si>
  <si>
    <t xml:space="preserve">PETTWAY ANNIE </t>
  </si>
  <si>
    <t>1621 ALLEGHENY AVE</t>
  </si>
  <si>
    <t>PETTWAY ANNIE</t>
  </si>
  <si>
    <t>PO BOX 100207</t>
  </si>
  <si>
    <t xml:space="preserve">PETERSON CARLOS                                 </t>
  </si>
  <si>
    <t>1210 N FRANKLIN ST</t>
  </si>
  <si>
    <t>LANSDOWNE</t>
  </si>
  <si>
    <t xml:space="preserve">MARKS IVERY  &amp; LILLIAN M </t>
  </si>
  <si>
    <t>TAYLOR SANDRA  &amp; FOREST E THOMPKINS JR</t>
  </si>
  <si>
    <t>1220 N FRANKLIN ST</t>
  </si>
  <si>
    <t>TAYLOR SANDRA  &amp; FORE</t>
  </si>
  <si>
    <t>MFRA TRUST 2021-2        ETAL</t>
  </si>
  <si>
    <t>1222 N FRANKLIN ST</t>
  </si>
  <si>
    <t>MFRA TRUST 2021-2</t>
  </si>
  <si>
    <t>1214 LIVERPOOL ST</t>
  </si>
  <si>
    <t xml:space="preserve">ANDERSON BERTHA L </t>
  </si>
  <si>
    <t>1213 N FRANKLIN ST</t>
  </si>
  <si>
    <t>WILLIAMS DAVID A SR &amp; FRANCES M (W)</t>
  </si>
  <si>
    <t>1207 N FRANKLIN ST</t>
  </si>
  <si>
    <t>DAVID A WILLIAMS SR</t>
  </si>
  <si>
    <t>GAYMOR DR</t>
  </si>
  <si>
    <t>1005 N FRANKLIN ST</t>
  </si>
  <si>
    <t>1003 N FRANKLIN ST</t>
  </si>
  <si>
    <t xml:space="preserve">SHEFFIELD CALVIN </t>
  </si>
  <si>
    <t>0 DECATUR ST</t>
  </si>
  <si>
    <t>SHEFFIELD CALVIN</t>
  </si>
  <si>
    <t>AUTUMN RIDGE CT</t>
  </si>
  <si>
    <t>WINDERMERE</t>
  </si>
  <si>
    <t xml:space="preserve">BACON ANNIE LEE </t>
  </si>
  <si>
    <t>PETRIE RD</t>
  </si>
  <si>
    <t xml:space="preserve">PARKE CHRISTOPHER R </t>
  </si>
  <si>
    <t>1026 LIVERPOOL ST</t>
  </si>
  <si>
    <t>PARKE CHRISTOPHER R</t>
  </si>
  <si>
    <t xml:space="preserve">OWENS RANEY MAE </t>
  </si>
  <si>
    <t>1110 LIVERPOOL ST</t>
  </si>
  <si>
    <t xml:space="preserve">PARKER ETHEL M </t>
  </si>
  <si>
    <t>JACKSON ELLEN PEARL &amp; WILLIAM (H)</t>
  </si>
  <si>
    <t>1212 LIVERPOOL ST</t>
  </si>
  <si>
    <t>1205 LIVERPOOL ST</t>
  </si>
  <si>
    <t xml:space="preserve">USAUS-2 LLC </t>
  </si>
  <si>
    <t>SANFORD AVE SW UNIT 25040</t>
  </si>
  <si>
    <t>GRANDVILLE</t>
  </si>
  <si>
    <t xml:space="preserve">USAUS LLC </t>
  </si>
  <si>
    <t>1419 SEDGWICK ST</t>
  </si>
  <si>
    <t>SANFORD AVE SW # 25040</t>
  </si>
  <si>
    <t xml:space="preserve">LEE BRANDI </t>
  </si>
  <si>
    <t>1124 WARLO ST</t>
  </si>
  <si>
    <t>SAWYER CALEB BENJAMIN &amp; EMILY JANE (W)</t>
  </si>
  <si>
    <t>1105 LIVERPOOL ST</t>
  </si>
  <si>
    <t>0 WARLO ST</t>
  </si>
  <si>
    <t xml:space="preserve">TAGG RACHEL F </t>
  </si>
  <si>
    <t>WARLO ST</t>
  </si>
  <si>
    <t xml:space="preserve">MASON MARIANNE </t>
  </si>
  <si>
    <t>1101 LIVERPOOL ST</t>
  </si>
  <si>
    <t>LEE GEORGE  &amp; RICHARD E LEE</t>
  </si>
  <si>
    <t>0 BIDWELL ST</t>
  </si>
  <si>
    <t>CRAIG TERRY W &amp; LAVADA A (W)</t>
  </si>
  <si>
    <t>1020 PENNSYLVANIA AVE</t>
  </si>
  <si>
    <t xml:space="preserve">BETTERS ANN </t>
  </si>
  <si>
    <t>1022 PENNSYLVANIA AVE</t>
  </si>
  <si>
    <t xml:space="preserve">BEZEK MICHAEL S                                 </t>
  </si>
  <si>
    <t>1016 PENNSYLVANIA AVE</t>
  </si>
  <si>
    <t>CITIZENS BANK N A</t>
  </si>
  <si>
    <t>FOSTERVILLE</t>
  </si>
  <si>
    <t xml:space="preserve">HOLLOWAY CONSTANCE M </t>
  </si>
  <si>
    <t>1416 LIVERPOOL ST</t>
  </si>
  <si>
    <t xml:space="preserve">HOLLOWAY BARBARA M &amp; JOSEPHINE HOLLOWAY      </t>
  </si>
  <si>
    <t>1412 LIVERPOOL ST</t>
  </si>
  <si>
    <t>BROADWAY AVE APT 1</t>
  </si>
  <si>
    <t>HERRING THOMAS E &amp; ROBERTA L (W)</t>
  </si>
  <si>
    <t xml:space="preserve">BUSH ALETHIA </t>
  </si>
  <si>
    <t>LOWMAN LEONARD D &amp; LOIS D (W)</t>
  </si>
  <si>
    <t>1253 LIVERPOOL ST</t>
  </si>
  <si>
    <t>LOWMAN LEONARD D &amp; LO</t>
  </si>
  <si>
    <t xml:space="preserve">TAIT L A &amp; KATHLEEN </t>
  </si>
  <si>
    <t>1307 LIVERPOOL ST</t>
  </si>
  <si>
    <t xml:space="preserve">BERRY JAMES D </t>
  </si>
  <si>
    <t>1323 LIVERPOOL ST</t>
  </si>
  <si>
    <t xml:space="preserve">SUBER ORALEE </t>
  </si>
  <si>
    <t>1403 LIVERPOOL ST</t>
  </si>
  <si>
    <t>JOHN SUBER</t>
  </si>
  <si>
    <t xml:space="preserve">FERRO ELIZABETH </t>
  </si>
  <si>
    <t>1426 CHATEAU ST</t>
  </si>
  <si>
    <t>PAYNE JOSEPH L &amp; MARTHA A</t>
  </si>
  <si>
    <t>CHATEAU ST</t>
  </si>
  <si>
    <t xml:space="preserve">CARTWRIGHT EDNA P </t>
  </si>
  <si>
    <t>0 PRIVATE RD</t>
  </si>
  <si>
    <t xml:space="preserve">BALLARD HILARY KAY                              </t>
  </si>
  <si>
    <t>1410 PENNSYLVANIA AVE</t>
  </si>
  <si>
    <t>PITTSBURGH REALTY  INVESTMENTS LLC</t>
  </si>
  <si>
    <t>1400 PENNSYLVANIA AVE</t>
  </si>
  <si>
    <t>PITTSBURGH REALTY INV</t>
  </si>
  <si>
    <t>DORE ST</t>
  </si>
  <si>
    <t xml:space="preserve">AKBAR SULAIMAN </t>
  </si>
  <si>
    <t>1248 PENNSYLVANIA AVE</t>
  </si>
  <si>
    <t>AKBAR SULAIMAN</t>
  </si>
  <si>
    <t>MONASTERY RD</t>
  </si>
  <si>
    <t>FAIRBURN</t>
  </si>
  <si>
    <t>0 STEDMAN ST</t>
  </si>
  <si>
    <t>1303 STEDMAN ST</t>
  </si>
  <si>
    <t>1303 FULTON ST</t>
  </si>
  <si>
    <t>1307 FULTON ST</t>
  </si>
  <si>
    <t xml:space="preserve">DIXON-MOORE TRACY </t>
  </si>
  <si>
    <t>1303 PENNSYLVANIA AVE</t>
  </si>
  <si>
    <t>DIXON-MOORE TRACY</t>
  </si>
  <si>
    <t>DEVONSHIRE HEIGHTS RD</t>
  </si>
  <si>
    <t>HUMMELSTOWN</t>
  </si>
  <si>
    <t xml:space="preserve">ROBINSON DENISE </t>
  </si>
  <si>
    <t>1307 PENNSYLVANIA AVE</t>
  </si>
  <si>
    <t xml:space="preserve">HALL WALTER </t>
  </si>
  <si>
    <t>1311 PENNSYLVANIA AVE</t>
  </si>
  <si>
    <t>HOUSING AUTHORITY CITY OF PITTSBURGH</t>
  </si>
  <si>
    <t>1319 PENNSYLVANIA ST</t>
  </si>
  <si>
    <t>1319 PENNSYLVANIA AVE</t>
  </si>
  <si>
    <t>MANCHESTER CHURCH LOFTS  LLC</t>
  </si>
  <si>
    <t>1304 MANHATTAN AVE</t>
  </si>
  <si>
    <t>1304 MANHATTAN ST</t>
  </si>
  <si>
    <t>SAUNDERS WENDELL C &amp; SYLVIA (W)</t>
  </si>
  <si>
    <t>1415 PENNSYLVANIA AVE</t>
  </si>
  <si>
    <t xml:space="preserve">GRAHAM ALBERTHA </t>
  </si>
  <si>
    <t>1425 PENNSYLVANIA AVE</t>
  </si>
  <si>
    <t>WILLIAMS JAMES NATHAN &amp; DORIS CARSON (W)</t>
  </si>
  <si>
    <t>1434 SHEFFIELD ST</t>
  </si>
  <si>
    <t>P O BOX 99655</t>
  </si>
  <si>
    <t xml:space="preserve">SIGNIFICANCE 3251 INC </t>
  </si>
  <si>
    <t>1447 STEDMAN ST</t>
  </si>
  <si>
    <t>ADAMS MELVIN  &amp; JUANITA (W)</t>
  </si>
  <si>
    <t>ADAMS MELVIN  &amp; JUANI</t>
  </si>
  <si>
    <t>STONEMAN RD</t>
  </si>
  <si>
    <t>ADAMS MELVIN A &amp; JUANITA (W)</t>
  </si>
  <si>
    <t>ADAMS MELVIN A &amp; JUAN</t>
  </si>
  <si>
    <t xml:space="preserve">IRREVOCABLE TRUST OF  ETTA COX FOR ALFLORENCE </t>
  </si>
  <si>
    <t>1412 SHEFFIELD ST</t>
  </si>
  <si>
    <t xml:space="preserve">COX ETTA L </t>
  </si>
  <si>
    <t xml:space="preserve">REID REBECA </t>
  </si>
  <si>
    <t>1332 SHEFFIELD ST</t>
  </si>
  <si>
    <t xml:space="preserve">PETTUS JANET MARIE </t>
  </si>
  <si>
    <t xml:space="preserve">BLACKWELL ALICE </t>
  </si>
  <si>
    <t>STEDMAN ST</t>
  </si>
  <si>
    <t xml:space="preserve">HATCHER JIM  &amp; MARY (W) </t>
  </si>
  <si>
    <t>1312 SHEFFIELD ST</t>
  </si>
  <si>
    <t>TAYLOR-WHITLEY BEATRICE  L</t>
  </si>
  <si>
    <t>1323 SHEFFIELD ST</t>
  </si>
  <si>
    <t>TAYLOR-WHITLEY BEATRI</t>
  </si>
  <si>
    <t>ADAM CLAYTON POWEL JR BLVD APT</t>
  </si>
  <si>
    <t xml:space="preserve">ABRAMS GERALDINE A </t>
  </si>
  <si>
    <t>1329 SHEFFIELD ST</t>
  </si>
  <si>
    <t>1331 SHEFFIELD ST</t>
  </si>
  <si>
    <t xml:space="preserve">SEEL ANDREW                                     </t>
  </si>
  <si>
    <t>1337 SHEFFIELD ST</t>
  </si>
  <si>
    <t xml:space="preserve">WASHINGTON EILEEN </t>
  </si>
  <si>
    <t>1241 LIVERPOOL ST</t>
  </si>
  <si>
    <t xml:space="preserve">BANKS ADOLPHUS W </t>
  </si>
  <si>
    <t>BANKS ADOLPHUS W         ETAL</t>
  </si>
  <si>
    <t>BANKS ADOLPHUS W</t>
  </si>
  <si>
    <t xml:space="preserve">GOLDSMITH SHARON A </t>
  </si>
  <si>
    <t>1200 PENNSYLVANIA AVE</t>
  </si>
  <si>
    <t xml:space="preserve">RIGGINS VALERIE E </t>
  </si>
  <si>
    <t>1202 PENNSYLVANIA AVE</t>
  </si>
  <si>
    <t xml:space="preserve">SKINNER CARYL D </t>
  </si>
  <si>
    <t>1208 PENNSYLVANIA AVE</t>
  </si>
  <si>
    <t xml:space="preserve">WILLIAMS SHIRLEY A </t>
  </si>
  <si>
    <t>1212 PENNSYLVANIA AVE</t>
  </si>
  <si>
    <t>1017 PENNA AVE</t>
  </si>
  <si>
    <t>1019 PENNSYLVANIA AVE</t>
  </si>
  <si>
    <t>1101 PENNSYLVANIA AVE</t>
  </si>
  <si>
    <t>1103 PENNA AVE</t>
  </si>
  <si>
    <t>1135 PENNSYLVANIA AVE</t>
  </si>
  <si>
    <t>PITTSBURGH HIGHER  GROUND PRAISE MINISTRY I</t>
  </si>
  <si>
    <t>1137 PENNSYLVANIA AVE</t>
  </si>
  <si>
    <t>PITTSBURGH HIGHER GRO</t>
  </si>
  <si>
    <t xml:space="preserve">MANLEY DAMIAN L </t>
  </si>
  <si>
    <t>1203 PENNSYLVANIA AVE</t>
  </si>
  <si>
    <t xml:space="preserve">ALLIE JACQUELINE                                </t>
  </si>
  <si>
    <t>1215 PENNSYLVANIA AVE</t>
  </si>
  <si>
    <t>TURNER JAMES  &amp; JACQUELINE (W)</t>
  </si>
  <si>
    <t>1231 PENNSYLVANIA AVE</t>
  </si>
  <si>
    <t xml:space="preserve">WILLIAMS VANESSA A </t>
  </si>
  <si>
    <t>1235 PENNSYLVANIA AVE</t>
  </si>
  <si>
    <t>LEWIS ELLIOTT L &amp; DENISE M (W)</t>
  </si>
  <si>
    <t>1238 SHEFFIELD ST</t>
  </si>
  <si>
    <t>LEWIS ELLIOTT L</t>
  </si>
  <si>
    <t xml:space="preserve">GRAY KEITH  D </t>
  </si>
  <si>
    <t>0 SHEFFIELD ST</t>
  </si>
  <si>
    <t>PO BOX 6504</t>
  </si>
  <si>
    <t xml:space="preserve">GRAY KEITH D </t>
  </si>
  <si>
    <t xml:space="preserve">KAG LIMITED II LP </t>
  </si>
  <si>
    <t>1112 SHEFFIELD ST</t>
  </si>
  <si>
    <t>ALLEGHENY CITY REALTY</t>
  </si>
  <si>
    <t>WESTERN AVE STE 101</t>
  </si>
  <si>
    <t xml:space="preserve">TRUE VINE LLC </t>
  </si>
  <si>
    <t>1104 SHEFFIELD ST</t>
  </si>
  <si>
    <t>NORTH SHORE DR STE 200</t>
  </si>
  <si>
    <t>1107 SHEFFIELD ST</t>
  </si>
  <si>
    <t>1109 SHEFFIELD ST</t>
  </si>
  <si>
    <t>NORTH SHORE INVESTMENTS  LLC</t>
  </si>
  <si>
    <t>1121 SHEFFIELD ST</t>
  </si>
  <si>
    <t>NORTH SHORE INVESTMEN</t>
  </si>
  <si>
    <t>FOREST RIDGE CT</t>
  </si>
  <si>
    <t>1131 SHEFFIELD ST</t>
  </si>
  <si>
    <t>1133 SHEFFIELD ST</t>
  </si>
  <si>
    <t xml:space="preserve">ONEILL IRELAND </t>
  </si>
  <si>
    <t>1135 SHEFFIELD ST</t>
  </si>
  <si>
    <t>1242 W NORTH AVE</t>
  </si>
  <si>
    <t>BANDY JUNIUS L JR &amp; KIMBERLY V (W)</t>
  </si>
  <si>
    <t>1238 W NORTH AVE</t>
  </si>
  <si>
    <t>BANDY JUNIUS L JR &amp; K</t>
  </si>
  <si>
    <t>1108 W NORTH AVE</t>
  </si>
  <si>
    <t>1106 W NORTH AVE</t>
  </si>
  <si>
    <t>1104 W NORTH AVE</t>
  </si>
  <si>
    <t>4417 MANNASOTA AVE MD  LLC</t>
  </si>
  <si>
    <t>1005 SHEFFIELD ST</t>
  </si>
  <si>
    <t>MILL RD STE L6</t>
  </si>
  <si>
    <t>HEWLETT</t>
  </si>
  <si>
    <t xml:space="preserve">SPIVEY RAYNA </t>
  </si>
  <si>
    <t>1007 SHEFFIELD ST</t>
  </si>
  <si>
    <t xml:space="preserve">CHANDLER KAREN J </t>
  </si>
  <si>
    <t>1009 SHEFFIELD ST</t>
  </si>
  <si>
    <t xml:space="preserve">SHOVONNE JERRY </t>
  </si>
  <si>
    <t xml:space="preserve">CASH TRICINA </t>
  </si>
  <si>
    <t>0 RIGGO WAY</t>
  </si>
  <si>
    <t xml:space="preserve">RAMADAN GAMAL </t>
  </si>
  <si>
    <t>1121 SUCCESS ST</t>
  </si>
  <si>
    <t>EADIE WILLIAM L &amp; BARBARA J ROGOSZ</t>
  </si>
  <si>
    <t>ARLET TIMOTHY &amp; DARLENE (W)</t>
  </si>
  <si>
    <t>1214 COLFAX ST</t>
  </si>
  <si>
    <t>COLFAX ST</t>
  </si>
  <si>
    <t xml:space="preserve">JASZENSKI CYNTHIA L </t>
  </si>
  <si>
    <t>1202 SUCCESS ST</t>
  </si>
  <si>
    <t xml:space="preserve">STEPHENS WENDY </t>
  </si>
  <si>
    <t>1121 ISLAND AVE</t>
  </si>
  <si>
    <t>TALARICO JOHN A &amp; MARGARET</t>
  </si>
  <si>
    <t>1223 ISLAND AVE</t>
  </si>
  <si>
    <t>TALARICO JOHN A &amp; MAR</t>
  </si>
  <si>
    <t>MEADOWSPRING RD</t>
  </si>
  <si>
    <t>CURRINGTON RANDOLPH T &amp; BERDA MAE (W)</t>
  </si>
  <si>
    <t>1225 ISLAND AVE</t>
  </si>
  <si>
    <t>ELIZABETH CURRINGTON</t>
  </si>
  <si>
    <t xml:space="preserve">GUAN SHIMENG </t>
  </si>
  <si>
    <t>1233 ISLAND AVE</t>
  </si>
  <si>
    <t>SHIMENG GUAN</t>
  </si>
  <si>
    <t>MARPLE PAUL M &amp; VIVIAN JEAN (W)</t>
  </si>
  <si>
    <t>ANDERSON DR</t>
  </si>
  <si>
    <t xml:space="preserve">SECURITY PACIFIC  NATIONAL BANK TRUSTEE F </t>
  </si>
  <si>
    <t>1102 SUCCESS ST</t>
  </si>
  <si>
    <t xml:space="preserve">MARTIN NATALIE MAURICE </t>
  </si>
  <si>
    <t>1114 SUCCESS ST</t>
  </si>
  <si>
    <t>MARTIN NATALIE MAURIC</t>
  </si>
  <si>
    <t xml:space="preserve">BELFIORE EMILY P </t>
  </si>
  <si>
    <t>1111 ISLAND AVE</t>
  </si>
  <si>
    <t>DOUCET MATTHEW &amp; MADDELENE (W)</t>
  </si>
  <si>
    <t>1109 ISLAND AVE</t>
  </si>
  <si>
    <t xml:space="preserve">MUYA OSMAN </t>
  </si>
  <si>
    <t>1105 ISLAND AVE</t>
  </si>
  <si>
    <t>SERVENTI CATHERINE M &amp; EUGENE T WILSON</t>
  </si>
  <si>
    <t>851 BEECH AVE</t>
  </si>
  <si>
    <t>BEECH AVE</t>
  </si>
  <si>
    <t xml:space="preserve">FRANKS ALEXIS L                                 </t>
  </si>
  <si>
    <t>907 BEECH AVE</t>
  </si>
  <si>
    <t xml:space="preserve">SKINNER ADRIAN                                  </t>
  </si>
  <si>
    <t>913 BEECH AVE</t>
  </si>
  <si>
    <t>SKINNER ADRIAN</t>
  </si>
  <si>
    <t xml:space="preserve">ENGLE JOHN HUGH JR                              </t>
  </si>
  <si>
    <t>933 BEECH AVE</t>
  </si>
  <si>
    <t xml:space="preserve">PHILLIPS CASE SUMNER </t>
  </si>
  <si>
    <t>940 WESTERN AVE</t>
  </si>
  <si>
    <t>943 WESTERN ASSOCIATES  LLC</t>
  </si>
  <si>
    <t>934 WESTERN AVE</t>
  </si>
  <si>
    <t>SPRING GARDEN LENDING</t>
  </si>
  <si>
    <t>SPRING GARDEN ST</t>
  </si>
  <si>
    <t>OLD ALLEGHENY CAPITAL  LLC</t>
  </si>
  <si>
    <t>907 WESTERN AVE</t>
  </si>
  <si>
    <t>PARKLEA DR</t>
  </si>
  <si>
    <t xml:space="preserve">SHELTON-LAMONT DARLENE </t>
  </si>
  <si>
    <t>911 WESTERN AVE</t>
  </si>
  <si>
    <t xml:space="preserve">BOSSTREE </t>
  </si>
  <si>
    <t>925 WESTERN AVE</t>
  </si>
  <si>
    <t xml:space="preserve">ENERGY &amp; WELLNESS LLC </t>
  </si>
  <si>
    <t>929 WESTERN AVE</t>
  </si>
  <si>
    <t>AMHERST AVE</t>
  </si>
  <si>
    <t>SAINT LOIUS</t>
  </si>
  <si>
    <t xml:space="preserve">FOLAN JOHN </t>
  </si>
  <si>
    <t>812 WESTERN AVE</t>
  </si>
  <si>
    <t>WESTERN WELLNESS REAL  ESTATE LLC</t>
  </si>
  <si>
    <t>830 WESTERN AVE</t>
  </si>
  <si>
    <t>WESTERN WELLNESS REAL</t>
  </si>
  <si>
    <t xml:space="preserve">ADAMS CATE P                                    </t>
  </si>
  <si>
    <t>833 DOUNTON WAY</t>
  </si>
  <si>
    <t>ADAMS CATE P</t>
  </si>
  <si>
    <t>DOUNTON WAY</t>
  </si>
  <si>
    <t xml:space="preserve">BHONSLE KUNAL V                                 </t>
  </si>
  <si>
    <t>838 N LINCOLN AVE</t>
  </si>
  <si>
    <t xml:space="preserve">WHITE MICHAEL JMD </t>
  </si>
  <si>
    <t>812 GALVESTON AVE</t>
  </si>
  <si>
    <t>GALVESTON AVE</t>
  </si>
  <si>
    <t xml:space="preserve">GEORGE KEANE                                    </t>
  </si>
  <si>
    <t>833 N LINCOLN AVE</t>
  </si>
  <si>
    <t xml:space="preserve">DUQUESNE LIGHT COMPANY </t>
  </si>
  <si>
    <t>713 RIDGE AVE</t>
  </si>
  <si>
    <t>DUQUESNE LIGHT COMPAN</t>
  </si>
  <si>
    <t>SEYMOUR ST</t>
  </si>
  <si>
    <t xml:space="preserve">ACA TOWER ONE UNIT 4 LLC </t>
  </si>
  <si>
    <t>1 ALLEGHENY SQ</t>
  </si>
  <si>
    <t>ALLEGHENY COMMONS  COMMUNITY PARTNERS LP</t>
  </si>
  <si>
    <t>255 E OHIO ST</t>
  </si>
  <si>
    <t>ALLEGHENY COMMONS COM</t>
  </si>
  <si>
    <t>SKY PARK CIR</t>
  </si>
  <si>
    <t xml:space="preserve">PIA BUILDING LLC </t>
  </si>
  <si>
    <t>202 FEDERAL ST</t>
  </si>
  <si>
    <t>BELMONT BANK LENDING</t>
  </si>
  <si>
    <t>W BELMONT AVE</t>
  </si>
  <si>
    <t>204 FEDERAL ST</t>
  </si>
  <si>
    <t>0 E LACOCK ST</t>
  </si>
  <si>
    <t xml:space="preserve">SWIFT &amp; CO 2 </t>
  </si>
  <si>
    <t xml:space="preserve">NORTH SHORE DEVELOPERS  LP                      </t>
  </si>
  <si>
    <t>353 NORTH SHORE DR</t>
  </si>
  <si>
    <t>BPG REAL ESTATE SERVI</t>
  </si>
  <si>
    <t>NORTHWEST ST STE 900</t>
  </si>
  <si>
    <t xml:space="preserve">BERGLUND INGRID </t>
  </si>
  <si>
    <t>922 BEECH AVE</t>
  </si>
  <si>
    <t xml:space="preserve">LEWIS JOSEPH R III                              </t>
  </si>
  <si>
    <t>914 BEECH AVE</t>
  </si>
  <si>
    <t xml:space="preserve">TRK CAPITAL LLC </t>
  </si>
  <si>
    <t>855 W NORTH AVE</t>
  </si>
  <si>
    <t xml:space="preserve">SULLIVAN KENNETH MICHAEL </t>
  </si>
  <si>
    <t>938 W NORTH AVE</t>
  </si>
  <si>
    <t>CROSS COUNTY MORTGAGE</t>
  </si>
  <si>
    <t xml:space="preserve">BRACCO ROBYN                                    </t>
  </si>
  <si>
    <t>934 W NORTH AVE</t>
  </si>
  <si>
    <t xml:space="preserve">YOUCHAK MICHAEL T </t>
  </si>
  <si>
    <t>932 W NORTH AVE</t>
  </si>
  <si>
    <t>YOUCHAK MICHAEL T</t>
  </si>
  <si>
    <t xml:space="preserve">TUSCANO VIRGINIA A                              </t>
  </si>
  <si>
    <t>930 W NORTH AVE</t>
  </si>
  <si>
    <t xml:space="preserve">HARD LOFTS LLC </t>
  </si>
  <si>
    <t>0 GALVESTON AVE</t>
  </si>
  <si>
    <t>1112 GALVESTON AVE</t>
  </si>
  <si>
    <t xml:space="preserve">BERARDINI ASSUNTA </t>
  </si>
  <si>
    <t>915 BEHAN ST</t>
  </si>
  <si>
    <t>BROTHERS BROTHER  FOUNDATION</t>
  </si>
  <si>
    <t>941 BEHAN ST</t>
  </si>
  <si>
    <t xml:space="preserve">PETER WRIGHT LLC </t>
  </si>
  <si>
    <t>912 BEHAN ST</t>
  </si>
  <si>
    <t>BEHAN ST</t>
  </si>
  <si>
    <t xml:space="preserve">DEAN KING  &amp; LAURA </t>
  </si>
  <si>
    <t>704 N TAYLOR AVE</t>
  </si>
  <si>
    <t xml:space="preserve">MAYER MICHAEL                                   </t>
  </si>
  <si>
    <t>520 N TAYLOR AVE</t>
  </si>
  <si>
    <t>NBKC BANK</t>
  </si>
  <si>
    <t>WARD PKWY</t>
  </si>
  <si>
    <t xml:space="preserve">SANDOVAL DOMINIC J </t>
  </si>
  <si>
    <t>500 N TAYLOR AVE</t>
  </si>
  <si>
    <t xml:space="preserve">THARP JENNIFER E                                </t>
  </si>
  <si>
    <t>420 N TAYLOR AVE</t>
  </si>
  <si>
    <t xml:space="preserve">CABRAL ANTHONY JR </t>
  </si>
  <si>
    <t>1211 RESACA PL</t>
  </si>
  <si>
    <t>CABRAL ANTHONY JR</t>
  </si>
  <si>
    <t>MONTEREY ST</t>
  </si>
  <si>
    <t xml:space="preserve">BAKER GREGORY                                   </t>
  </si>
  <si>
    <t>1225 RESACA PL</t>
  </si>
  <si>
    <t xml:space="preserve">LUCKY WOODS LLC </t>
  </si>
  <si>
    <t>521 N TAYLOR AVE</t>
  </si>
  <si>
    <t>LUCKY WOODS LLC</t>
  </si>
  <si>
    <t>WOODS LN</t>
  </si>
  <si>
    <t>FRANCESTINE ERNIE &amp; MADELINE (W)</t>
  </si>
  <si>
    <t>515 N TAYLOR AVE</t>
  </si>
  <si>
    <t xml:space="preserve">JOFFE MAX                                       </t>
  </si>
  <si>
    <t>1242 MONTEREY ST</t>
  </si>
  <si>
    <t>MAX JOFFE &amp; KENDRA OL</t>
  </si>
  <si>
    <t>BERGMAN PAUL J JR &amp; JUDITH D (W)</t>
  </si>
  <si>
    <t>1222 MONTEREY ST</t>
  </si>
  <si>
    <t>PRISCILLA LN</t>
  </si>
  <si>
    <t>BOROUMAND AMIR ALI &amp; BETH H(W)</t>
  </si>
  <si>
    <t>1229 MONTEREY ST</t>
  </si>
  <si>
    <t>SCHAUPP FRIEDRICH  WILHELM</t>
  </si>
  <si>
    <t>1231 MONTEREY ST</t>
  </si>
  <si>
    <t>SCHAUPP FRIEDRICH WIL</t>
  </si>
  <si>
    <t xml:space="preserve">PRZYBYSZEWSKI ADAM J </t>
  </si>
  <si>
    <t>603 N TAYLOR AVE</t>
  </si>
  <si>
    <t xml:space="preserve">GRANT F LATIMORE  REVOCABLE TRUST         </t>
  </si>
  <si>
    <t>1244 BUENA VISTA ST</t>
  </si>
  <si>
    <t>LATIMORE AUTUMN M &amp; L</t>
  </si>
  <si>
    <t>NICOLET PL</t>
  </si>
  <si>
    <t>RACINE</t>
  </si>
  <si>
    <t xml:space="preserve">CHRISTIANSEN MATTHEW A                          </t>
  </si>
  <si>
    <t>1242 BUENA VISTA ST</t>
  </si>
  <si>
    <t xml:space="preserve">PARSON RUTH </t>
  </si>
  <si>
    <t>1231 MIMOSA WAY</t>
  </si>
  <si>
    <t>MIMOSA WAY</t>
  </si>
  <si>
    <t>MORRISSEY AMELIA &amp; PETER (H)</t>
  </si>
  <si>
    <t>1219 BUENA VISTA ST</t>
  </si>
  <si>
    <t>MORRISSEY AMELIA &amp; PE</t>
  </si>
  <si>
    <t xml:space="preserve">COTTRELL EMILY </t>
  </si>
  <si>
    <t>1243 BUENA VISTA ST</t>
  </si>
  <si>
    <t xml:space="preserve">LEDBETTER CYNTHIA </t>
  </si>
  <si>
    <t>412 N TAYLOR AVE</t>
  </si>
  <si>
    <t>REGNIER EDWARD FRANCIS &amp; MAUREEN THERESA (W)</t>
  </si>
  <si>
    <t>1221 PALO ALTO ST</t>
  </si>
  <si>
    <t xml:space="preserve">RAMACHANDRAN KRISHNA                            </t>
  </si>
  <si>
    <t>1234 PALO ALTO ST</t>
  </si>
  <si>
    <t xml:space="preserve">NAEGER MATTHEW </t>
  </si>
  <si>
    <t>1220 PALO ALTO ST</t>
  </si>
  <si>
    <t>NAEGER MATTHEW</t>
  </si>
  <si>
    <t>PALO ALTO ST</t>
  </si>
  <si>
    <t>NORTH SIDE CHURCH OF  GOD INDEPENDENT OF PITTS</t>
  </si>
  <si>
    <t>302 W NORTH AVE</t>
  </si>
  <si>
    <t>1227 SHERMAN AVE</t>
  </si>
  <si>
    <t>PAGE CLIFTON K &amp; KAREN S (W)</t>
  </si>
  <si>
    <t>1307 SHERMAN AVE</t>
  </si>
  <si>
    <t>MACERELLI ALLEN L &amp; JOAN E HAISLEY</t>
  </si>
  <si>
    <t>1302 SHERMAN AVE</t>
  </si>
  <si>
    <t>MACERELLI ALLEN L &amp; J</t>
  </si>
  <si>
    <t>SHERMAN AVE</t>
  </si>
  <si>
    <t xml:space="preserve">SANDERS MICHAEL DENNIS </t>
  </si>
  <si>
    <t>1223 VETO ST</t>
  </si>
  <si>
    <t>SANDERS MICHAEL DENNI</t>
  </si>
  <si>
    <t>0 VETO ST</t>
  </si>
  <si>
    <t xml:space="preserve">WEINLANDT THOMAS                                </t>
  </si>
  <si>
    <t>1219 VETO ST</t>
  </si>
  <si>
    <t>WEINLANDT THOMAS</t>
  </si>
  <si>
    <t>AVERY ST</t>
  </si>
  <si>
    <t xml:space="preserve">GREER BARBARA J </t>
  </si>
  <si>
    <t>1216 SHERMAN AVE</t>
  </si>
  <si>
    <t>JFXK INVESTMENT TRUST  UAD</t>
  </si>
  <si>
    <t>1214 SHERMAN AVE</t>
  </si>
  <si>
    <t>LINCOLN ST STE 2R</t>
  </si>
  <si>
    <t xml:space="preserve">CALDER JULIA LYNN </t>
  </si>
  <si>
    <t>1212 SHERMAN AVE</t>
  </si>
  <si>
    <t>STONEGATE MORTGAGE CO</t>
  </si>
  <si>
    <t xml:space="preserve">LEININGER SANDRA K </t>
  </si>
  <si>
    <t>1210 SHERMAN AVE</t>
  </si>
  <si>
    <t xml:space="preserve">BEARDSLEY KURT R </t>
  </si>
  <si>
    <t>1114 SHERMAN AVE</t>
  </si>
  <si>
    <t xml:space="preserve">BRITTON STEPHANIE MARIE </t>
  </si>
  <si>
    <t>0 ELOISE ST</t>
  </si>
  <si>
    <t>204 W NORTH AVE</t>
  </si>
  <si>
    <t>CHATHA SARAH I KROECK LOUIS (H)</t>
  </si>
  <si>
    <t>202 W NORTH AVE</t>
  </si>
  <si>
    <t xml:space="preserve">SAMPLE THOMAS </t>
  </si>
  <si>
    <t>0 ARCH ST</t>
  </si>
  <si>
    <t>KIRKPATRICK ZACHARY &amp; REBECCA (W)</t>
  </si>
  <si>
    <t>1115 ARCH ST</t>
  </si>
  <si>
    <t xml:space="preserve">ANDREEN KELLY </t>
  </si>
  <si>
    <t>1211 ARCH ST</t>
  </si>
  <si>
    <t>ARCH ST APT 1</t>
  </si>
  <si>
    <t xml:space="preserve">PALCIC TODD D </t>
  </si>
  <si>
    <t>1315 ARCH ST</t>
  </si>
  <si>
    <t xml:space="preserve">SHPRINTZ GRANT                                  </t>
  </si>
  <si>
    <t>105 SAMPSONIA ST</t>
  </si>
  <si>
    <t xml:space="preserve">ART IMAGE AMERICA LLC </t>
  </si>
  <si>
    <t>1327 REDDOUR ST</t>
  </si>
  <si>
    <t>SYLVAN AVE STE 16</t>
  </si>
  <si>
    <t>ENGLEWOOD CLIF</t>
  </si>
  <si>
    <t xml:space="preserve">REAM AMY KRISTEN                                </t>
  </si>
  <si>
    <t>1321 REDDOUR ST</t>
  </si>
  <si>
    <t>WOODFORD FARMS BUILDING  DESIGN LLC</t>
  </si>
  <si>
    <t>112 MCNARY WAY</t>
  </si>
  <si>
    <t>WOODFORD FARMS BUILDI</t>
  </si>
  <si>
    <t>INVERNESS DR</t>
  </si>
  <si>
    <t xml:space="preserve">BAMFORD JAMES C </t>
  </si>
  <si>
    <t>1306 ARCH ST</t>
  </si>
  <si>
    <t>HUCKBERRY RD</t>
  </si>
  <si>
    <t>1206 ARCH ST UNIT A 1</t>
  </si>
  <si>
    <t>BOULEVARD OF THE ALLIES STE 7</t>
  </si>
  <si>
    <t>1206 ARCH ST UNIT A2</t>
  </si>
  <si>
    <t>1206 ARCH ST UNIT A3</t>
  </si>
  <si>
    <t>1204 ARCH ST</t>
  </si>
  <si>
    <t>BOULEV BOULEVARD OF THE ALLIES</t>
  </si>
  <si>
    <t>1204 ARCH ST UNIT B3</t>
  </si>
  <si>
    <t xml:space="preserve">FLYNN BRIAN BENNETT </t>
  </si>
  <si>
    <t>1217 REDDOUR ST</t>
  </si>
  <si>
    <t xml:space="preserve">SCHIPPER MARCEL &amp;                         </t>
  </si>
  <si>
    <t>1219 REDDOUR ST</t>
  </si>
  <si>
    <t>SOFI LENDING CORPORAT</t>
  </si>
  <si>
    <t>E COTTONWOOD PKWY STE 300</t>
  </si>
  <si>
    <t>NR FEDERAL NORTH LLC     ETAL</t>
  </si>
  <si>
    <t>1307 FEDERAL ST</t>
  </si>
  <si>
    <t>NR FEDERAL NORTH LLC</t>
  </si>
  <si>
    <t>3RD AVE FL 4TH</t>
  </si>
  <si>
    <t>1205 FEDERAL ST</t>
  </si>
  <si>
    <t>LET'S ENJOY IT HOLDINGS  LLC</t>
  </si>
  <si>
    <t>1106 FEDERAL ST</t>
  </si>
  <si>
    <t>RIGAS EMMANUEL J &amp; MARY (W)</t>
  </si>
  <si>
    <t>1200 FEDERAL ST</t>
  </si>
  <si>
    <t xml:space="preserve">KAG LIMITED LP </t>
  </si>
  <si>
    <t>1312 FEDERAL ST</t>
  </si>
  <si>
    <t>1314 FEDERAL ST</t>
  </si>
  <si>
    <t xml:space="preserve">PENEBAKER HELEN </t>
  </si>
  <si>
    <t>1315 BOYLE ST</t>
  </si>
  <si>
    <t xml:space="preserve">DOROGY CHRIS DAVID &amp; KELLY MCCAFFERTY (W)    </t>
  </si>
  <si>
    <t>1219 BOYLE ST</t>
  </si>
  <si>
    <t xml:space="preserve">1221 BOYLE ST PA LLC </t>
  </si>
  <si>
    <t>1221 BOYLE ST</t>
  </si>
  <si>
    <t>1221 BOYLE ST PA LLC</t>
  </si>
  <si>
    <t>MEMORIAL HWY STE 36G</t>
  </si>
  <si>
    <t xml:space="preserve">MALONE JACQUELINE </t>
  </si>
  <si>
    <t>1217 BOYLE ST</t>
  </si>
  <si>
    <t xml:space="preserve">EDMONDS THOMAS </t>
  </si>
  <si>
    <t>1209 BOYLE ST</t>
  </si>
  <si>
    <t xml:space="preserve">SEIDEN DAVID E                                  </t>
  </si>
  <si>
    <t>1214 BOYLE ST</t>
  </si>
  <si>
    <t xml:space="preserve">HODSOLL RUTH J </t>
  </si>
  <si>
    <t>1220 BOYLE ST</t>
  </si>
  <si>
    <t>HODSOLL RUTH J</t>
  </si>
  <si>
    <t xml:space="preserve">WINDSOR CAPITAL LLC </t>
  </si>
  <si>
    <t>1218 BOYLE ST</t>
  </si>
  <si>
    <t>WINDSOR CAPITAL LLC</t>
  </si>
  <si>
    <t>PO BOX 2615</t>
  </si>
  <si>
    <t xml:space="preserve">CHEKANTZ CLAN LLC                               </t>
  </si>
  <si>
    <t>0 LORAINE ST</t>
  </si>
  <si>
    <t>PENN AVE STE 11</t>
  </si>
  <si>
    <t>1320 BOYLE ST</t>
  </si>
  <si>
    <t>DARLING GREGORY P &amp; SARAH R (W)</t>
  </si>
  <si>
    <t>115 HEMLOCK ST</t>
  </si>
  <si>
    <t>DARLING GREGORY P &amp; S</t>
  </si>
  <si>
    <t>HEMLOCK ST</t>
  </si>
  <si>
    <t xml:space="preserve">ALT HOLDINGS LLC </t>
  </si>
  <si>
    <t>1210 LORAINE ST</t>
  </si>
  <si>
    <t>ALT HOLDINGS LLC</t>
  </si>
  <si>
    <t>ARDEN DR APT 1</t>
  </si>
  <si>
    <t xml:space="preserve">NORTHSIDE WORLDWIDE INC </t>
  </si>
  <si>
    <t>1202 LORAINE ST</t>
  </si>
  <si>
    <t>1200 LORAINE ST</t>
  </si>
  <si>
    <t>NORTHSIDE WORLDWIDE I</t>
  </si>
  <si>
    <t xml:space="preserve">CROCE DANIEL &amp; LARA (W) </t>
  </si>
  <si>
    <t>1108 LORAINE ST</t>
  </si>
  <si>
    <t>CROCE DANIEL &amp; LARA (</t>
  </si>
  <si>
    <t>PERRYSVILLE AVE</t>
  </si>
  <si>
    <t xml:space="preserve">GRAHAM ALBERTA </t>
  </si>
  <si>
    <t>1207 BUENA VISTA ST</t>
  </si>
  <si>
    <t xml:space="preserve">TRINITY LUTHERN CHURCH </t>
  </si>
  <si>
    <t>0 BUENA VISTA ST</t>
  </si>
  <si>
    <t>BARR EDWARD H &amp; HOLLY M WELTY-BARR (W)</t>
  </si>
  <si>
    <t>1207 MONTEREY ST</t>
  </si>
  <si>
    <t xml:space="preserve">FORLENZA MICHAEL J </t>
  </si>
  <si>
    <t>834 BEECH AVE UNIT 3</t>
  </si>
  <si>
    <t>BIER H BARRY &amp; DEBORAH (W)</t>
  </si>
  <si>
    <t>806 BEECH AVE</t>
  </si>
  <si>
    <t>BIER H BARRY &amp; DEBORA</t>
  </si>
  <si>
    <t xml:space="preserve">CTI 1379 LLC </t>
  </si>
  <si>
    <t>810 BEECH AVE</t>
  </si>
  <si>
    <t>W 33RD ST STE 1901</t>
  </si>
  <si>
    <t xml:space="preserve">LASKAS JEANNE MARIE </t>
  </si>
  <si>
    <t>812 BEECH AVE</t>
  </si>
  <si>
    <t xml:space="preserve">LYNCH GARY F </t>
  </si>
  <si>
    <t>414 W NORTH AVE</t>
  </si>
  <si>
    <t xml:space="preserve">NSWW2 LLC </t>
  </si>
  <si>
    <t>1111 PALO ALTO ST</t>
  </si>
  <si>
    <t>JAMES ST FL 1</t>
  </si>
  <si>
    <t xml:space="preserve">BATES MORRIS K </t>
  </si>
  <si>
    <t>318 W NORTH AVE UNIT H</t>
  </si>
  <si>
    <t>310 CEDAR AVE</t>
  </si>
  <si>
    <t xml:space="preserve">GRIFFY LLC </t>
  </si>
  <si>
    <t>408 CEDAR AVE</t>
  </si>
  <si>
    <t xml:space="preserve">AKHMEDJANOV ILNAR </t>
  </si>
  <si>
    <t>511 LOCKHART ST</t>
  </si>
  <si>
    <t>NEXERA HOLDING LLC</t>
  </si>
  <si>
    <t xml:space="preserve">MARCHUCK NICHOLAS R </t>
  </si>
  <si>
    <t>426 LOCKHART ST</t>
  </si>
  <si>
    <t xml:space="preserve">SCHILLER CAROL </t>
  </si>
  <si>
    <t>410 LOCKHART ST</t>
  </si>
  <si>
    <t>SCHILLER CAROL</t>
  </si>
  <si>
    <t xml:space="preserve">STURIALE LISA A </t>
  </si>
  <si>
    <t>415 AVERY ST</t>
  </si>
  <si>
    <t>STURIALE LISA A</t>
  </si>
  <si>
    <t>LAKE LOUISE CT</t>
  </si>
  <si>
    <t xml:space="preserve">ELLYN INC </t>
  </si>
  <si>
    <t>518 LOCKHART ST</t>
  </si>
  <si>
    <t>YANDERS CHARLES L &amp; ELISE R (W)</t>
  </si>
  <si>
    <t>519 LOCKHART ST</t>
  </si>
  <si>
    <t>YANDERS CHARLES L &amp; E</t>
  </si>
  <si>
    <t>RESACA PL</t>
  </si>
  <si>
    <t xml:space="preserve">KHATRI VAIBHAV </t>
  </si>
  <si>
    <t>518 PRESSLEY ST</t>
  </si>
  <si>
    <t xml:space="preserve">DAPICE ROSALIE J </t>
  </si>
  <si>
    <t>602 PRESSLEY ST</t>
  </si>
  <si>
    <t>PRESSLEY ST</t>
  </si>
  <si>
    <t xml:space="preserve">ROSE ROSE MARTHA </t>
  </si>
  <si>
    <t>0 MADISON AVE</t>
  </si>
  <si>
    <t>MADISON ST</t>
  </si>
  <si>
    <t xml:space="preserve">NG RIVERFRONT LLC </t>
  </si>
  <si>
    <t>PO BOX 961250</t>
  </si>
  <si>
    <t xml:space="preserve">WIECZORKOWSKI LEONARD </t>
  </si>
  <si>
    <t>DANNES ALPHONSE  &amp; LUCILLE</t>
  </si>
  <si>
    <t>800 PROGRESS ST</t>
  </si>
  <si>
    <t xml:space="preserve">SLEPSKI MARY JEAN </t>
  </si>
  <si>
    <t xml:space="preserve">GAREIS TERESA  &amp; NORBERT </t>
  </si>
  <si>
    <t xml:space="preserve">MIS WALTER J &amp; FLORENCE </t>
  </si>
  <si>
    <t>VOEGHTLY ST</t>
  </si>
  <si>
    <t xml:space="preserve">KEPKA CHARLES  &amp; NELLIE </t>
  </si>
  <si>
    <t>0 VOEGHTLY ST</t>
  </si>
  <si>
    <t>ALLEGHENY COUNTY  SANITARY AUTHORITY</t>
  </si>
  <si>
    <t>0 S CANAL ST</t>
  </si>
  <si>
    <t>ALLEGHENY COUNTY SANI</t>
  </si>
  <si>
    <t>PREBLE AVE</t>
  </si>
  <si>
    <t>0 PROGRESS ST</t>
  </si>
  <si>
    <t>864 RIVER AVE</t>
  </si>
  <si>
    <t>THE BUNCHER COMPANY</t>
  </si>
  <si>
    <t>WATERFRONT PL STE 201</t>
  </si>
  <si>
    <t>810 RIVER AVENUE  ASSOCIATES LLC</t>
  </si>
  <si>
    <t>810 RIVER AVE</t>
  </si>
  <si>
    <t>810 RIVER AVENUE ASSO</t>
  </si>
  <si>
    <t>4TH AVE STE 150</t>
  </si>
  <si>
    <t>NORTH SIDE INDUSTRIAL  DEVELOPMENT CO INC</t>
  </si>
  <si>
    <t>700 RIVER AVE</t>
  </si>
  <si>
    <t>RIVER AVE STE 231</t>
  </si>
  <si>
    <t xml:space="preserve">MORSE STEPHEN K JR </t>
  </si>
  <si>
    <t>524 KNOLL ST</t>
  </si>
  <si>
    <t xml:space="preserve">BRITTON DUKE M </t>
  </si>
  <si>
    <t>512 KNOLL ST</t>
  </si>
  <si>
    <t>KNOLL ST</t>
  </si>
  <si>
    <t>508 KNOLL ST</t>
  </si>
  <si>
    <t>PO BOX 15042</t>
  </si>
  <si>
    <t xml:space="preserve">HACKNEY HUSTON </t>
  </si>
  <si>
    <t>507 DUNLOE ST</t>
  </si>
  <si>
    <t>DUNLOE ST</t>
  </si>
  <si>
    <t xml:space="preserve">HEINRICHS HUGO O &amp; MARY E (W)              </t>
  </si>
  <si>
    <t>1304 JAMES ST</t>
  </si>
  <si>
    <t xml:space="preserve">PETTICORD CHRISTIAN </t>
  </si>
  <si>
    <t>1336 JAMES ST</t>
  </si>
  <si>
    <t>ROCKET MORTGAGE ISAOA</t>
  </si>
  <si>
    <t>TUROWSKI CHARLES N &amp; CAITLYN M</t>
  </si>
  <si>
    <t>0 MOUND WAY</t>
  </si>
  <si>
    <t>OCTOBER REAL ESTATE  HOLDINGS LLC</t>
  </si>
  <si>
    <t>0 DUNLOE ST</t>
  </si>
  <si>
    <t>P O BOX 6666</t>
  </si>
  <si>
    <t xml:space="preserve">TRAUTMAN ALFRED J JR                            </t>
  </si>
  <si>
    <t>PATRICIA SCARPACI</t>
  </si>
  <si>
    <t>MARYLAND DR</t>
  </si>
  <si>
    <t xml:space="preserve">TRAUTMAN GEORGE </t>
  </si>
  <si>
    <t>FOREST GROVE RD</t>
  </si>
  <si>
    <t>OMMUNITY ALLIANCE OF SPRING GARDEN</t>
  </si>
  <si>
    <t>851 TRIPOLI ST</t>
  </si>
  <si>
    <t>NORTHSIDE WORLDWIDE INC ETAL</t>
  </si>
  <si>
    <t>1206 JAMES ST</t>
  </si>
  <si>
    <t>1210 JAMES ST</t>
  </si>
  <si>
    <t xml:space="preserve">THOMAS PETER </t>
  </si>
  <si>
    <t>1207 LINDEN PL</t>
  </si>
  <si>
    <t xml:space="preserve">DYER ERVIN </t>
  </si>
  <si>
    <t>518 E NORTH AVE</t>
  </si>
  <si>
    <t>E NORTH AVE</t>
  </si>
  <si>
    <t>OLSWANGER JUSTIN &amp; SAMANTHA (W)</t>
  </si>
  <si>
    <t>1101 LINDEN PL</t>
  </si>
  <si>
    <t>THE LOAN STORE INC</t>
  </si>
  <si>
    <t>N CAMPBELL AVE UNIT 100</t>
  </si>
  <si>
    <t>0 E NORTH AVE</t>
  </si>
  <si>
    <t>RGK REALTY LP</t>
  </si>
  <si>
    <t>524 E NORTH AVE</t>
  </si>
  <si>
    <t xml:space="preserve">1213 MIDDLE STREET  TRUST                   </t>
  </si>
  <si>
    <t>1213 MIDDLE ST</t>
  </si>
  <si>
    <t>1213 MIDDLE STREET TR</t>
  </si>
  <si>
    <t xml:space="preserve">PHILLIPS JOHN </t>
  </si>
  <si>
    <t>1214 LINDEN PL</t>
  </si>
  <si>
    <t>DROOD LN</t>
  </si>
  <si>
    <t xml:space="preserve">SCHWARZ JANE E </t>
  </si>
  <si>
    <t>1210 MIDDLE ST</t>
  </si>
  <si>
    <t>CAROTHERS PATRICK W &amp; LESLIE (W)</t>
  </si>
  <si>
    <t>914 CEDAR AVE</t>
  </si>
  <si>
    <t xml:space="preserve">MERCHANT ALDEN W                                </t>
  </si>
  <si>
    <t>910 CEDAR AVE</t>
  </si>
  <si>
    <t xml:space="preserve">GEORGE ANNE L </t>
  </si>
  <si>
    <t>915 JAMES ST</t>
  </si>
  <si>
    <t>GEORGE ANNE L</t>
  </si>
  <si>
    <t>CHOKECHERRY LN</t>
  </si>
  <si>
    <t>LONGMONT</t>
  </si>
  <si>
    <t>UNCLE RAYS REAL ESTATE  LLC</t>
  </si>
  <si>
    <t>911 JAMES ST</t>
  </si>
  <si>
    <t>UNCLE RAYS REAL ESTAT</t>
  </si>
  <si>
    <t xml:space="preserve">MB REV LLC </t>
  </si>
  <si>
    <t>909 JAMES ST</t>
  </si>
  <si>
    <t xml:space="preserve">CHARLIE TOWN CAPITAL LLC </t>
  </si>
  <si>
    <t>424 SUISMON ST</t>
  </si>
  <si>
    <t xml:space="preserve">CHARLIE TOWN CAPITAL </t>
  </si>
  <si>
    <t>418 SUISMON ST</t>
  </si>
  <si>
    <t xml:space="preserve">YOST MARK W JR </t>
  </si>
  <si>
    <t>914 JAMES ST</t>
  </si>
  <si>
    <t>918 JAMES ST</t>
  </si>
  <si>
    <t xml:space="preserve">GAMBLE LYNN H                                   </t>
  </si>
  <si>
    <t>511 TRIPOLI ST</t>
  </si>
  <si>
    <t>527 TRIPOLI ST</t>
  </si>
  <si>
    <t>529 TRIPOLI ST</t>
  </si>
  <si>
    <t>902 JAMES ST</t>
  </si>
  <si>
    <t>NSWW2 LLC</t>
  </si>
  <si>
    <t>PRIMAL PROPERTIES  LIMITED PARTNERSHIP</t>
  </si>
  <si>
    <t>506 SUISMON ST</t>
  </si>
  <si>
    <t>PRIMAL PROPERTIES LIM</t>
  </si>
  <si>
    <t>CHABLIS CT</t>
  </si>
  <si>
    <t>HUNGRY HEART  INVESTMENTS LLC</t>
  </si>
  <si>
    <t>922 MIDDLE ST</t>
  </si>
  <si>
    <t>HUNGRY HEART INVESTME</t>
  </si>
  <si>
    <t xml:space="preserve">RHONDA PASTRANA  REVOCABLE TRUST         </t>
  </si>
  <si>
    <t>509 AVERY ST</t>
  </si>
  <si>
    <t xml:space="preserve">BORUNDA JOSE                                    </t>
  </si>
  <si>
    <t>519 AVERY ST</t>
  </si>
  <si>
    <t>S LOWELL BLVD</t>
  </si>
  <si>
    <t xml:space="preserve">BEECHER ROBERT E                                </t>
  </si>
  <si>
    <t>526 AVERY ST</t>
  </si>
  <si>
    <t>403 E OHIO ST</t>
  </si>
  <si>
    <t xml:space="preserve">GRDT24 LLC </t>
  </si>
  <si>
    <t>429 E OHIO ST</t>
  </si>
  <si>
    <t>GRDT24 LLC</t>
  </si>
  <si>
    <t>HISTORIC DEUTSCHTOWN ETAL</t>
  </si>
  <si>
    <t>433 E OHIO ST</t>
  </si>
  <si>
    <t>NORTHSIDE LEADERSHIP</t>
  </si>
  <si>
    <t>ALLEGHENY CENTER</t>
  </si>
  <si>
    <t xml:space="preserve">NEELAM REALSTATE LLC </t>
  </si>
  <si>
    <t>509 E OHIO ST</t>
  </si>
  <si>
    <t>NEELAM REALSTATE LLC</t>
  </si>
  <si>
    <t xml:space="preserve">FARAHI JASON A </t>
  </si>
  <si>
    <t>522 E OHIO ST</t>
  </si>
  <si>
    <t>E OHIO ST</t>
  </si>
  <si>
    <t xml:space="preserve">AL BLANCO HOLDINGS LLC </t>
  </si>
  <si>
    <t>520 E OHIO ST</t>
  </si>
  <si>
    <t>AL BLANCO HOLDINGS LL</t>
  </si>
  <si>
    <t xml:space="preserve">PINRE HOLDINGS LP </t>
  </si>
  <si>
    <t>514 E OHIO ST</t>
  </si>
  <si>
    <t>PINRE HOLDINGS LP</t>
  </si>
  <si>
    <t>TRIPOLI ST</t>
  </si>
  <si>
    <t>NUHOMES JAMES STREET  OWNER LLC</t>
  </si>
  <si>
    <t>706 JAMES ST</t>
  </si>
  <si>
    <t xml:space="preserve">NUHOMES JAMES STREET </t>
  </si>
  <si>
    <t xml:space="preserve">EAST OHIO CAPITAL LLC </t>
  </si>
  <si>
    <t>424 E OHIO ST</t>
  </si>
  <si>
    <t>406 E OHIO ST</t>
  </si>
  <si>
    <t xml:space="preserve">TAYLOR BENJAMIN                                 </t>
  </si>
  <si>
    <t>808 CEDAR AVE</t>
  </si>
  <si>
    <t>YANDERS CHARLES  &amp; ELISE R (W)</t>
  </si>
  <si>
    <t>812 CEDAR AVE</t>
  </si>
  <si>
    <t xml:space="preserve">L E INVESTMENTS LLC </t>
  </si>
  <si>
    <t>904 CEDAR AVE</t>
  </si>
  <si>
    <t>L E INVESTMENTS LLC</t>
  </si>
  <si>
    <t xml:space="preserve">422 FORELAND LLC </t>
  </si>
  <si>
    <t>422 FORELAND ST</t>
  </si>
  <si>
    <t>MACLEOD DR</t>
  </si>
  <si>
    <t>LYONS-NEEL KIMBERLY D &amp; JAMES A NEEL (H)</t>
  </si>
  <si>
    <t>525 SUISMON ST</t>
  </si>
  <si>
    <t>KIRKPATRICK REBECCA M &amp; ZACHARY M (H)</t>
  </si>
  <si>
    <t>521 SUISMON ST</t>
  </si>
  <si>
    <t>KIRKPATRICK REBECCA M</t>
  </si>
  <si>
    <t>KIRKPATRICK ZACHARY M &amp; REBECCA M (W)</t>
  </si>
  <si>
    <t>523 SUISMON ST</t>
  </si>
  <si>
    <t xml:space="preserve">HUTCHISON KEVIN J </t>
  </si>
  <si>
    <t>513 SUISMON ST</t>
  </si>
  <si>
    <t>HUTCHISON KEVIN J</t>
  </si>
  <si>
    <t>LLOYDMONT DR</t>
  </si>
  <si>
    <t xml:space="preserve">GIBSON CLAIRE E </t>
  </si>
  <si>
    <t>0 CONCORD ST</t>
  </si>
  <si>
    <t xml:space="preserve">GIBSON CLAIRE E                                 </t>
  </si>
  <si>
    <t>854 SPRING GARDEN AVE</t>
  </si>
  <si>
    <t>0 SPRING GARDEN AVE</t>
  </si>
  <si>
    <t>862 SPRING GARDEN AVE</t>
  </si>
  <si>
    <t>PO BOX 307</t>
  </si>
  <si>
    <t>1105 CHESTNUT ST</t>
  </si>
  <si>
    <t xml:space="preserve">SCHIVINS JOSEPH </t>
  </si>
  <si>
    <t>860 CONCORD ST</t>
  </si>
  <si>
    <t xml:space="preserve">BBC  PITTSBURGH  LLC </t>
  </si>
  <si>
    <t>836 CONCORD ST</t>
  </si>
  <si>
    <t>KINGSTON AVE</t>
  </si>
  <si>
    <t>832 CONCORD ST</t>
  </si>
  <si>
    <t xml:space="preserve">PHOTO ANTIQUITIES </t>
  </si>
  <si>
    <t>812 CONCORD ST</t>
  </si>
  <si>
    <t>0 VISTA ST</t>
  </si>
  <si>
    <t>PHOTO ANTIQUITIES</t>
  </si>
  <si>
    <t>LEITSCH CATHERINE J &amp; WILLIAM F (H)</t>
  </si>
  <si>
    <t>825 VISTA ST</t>
  </si>
  <si>
    <t>VISTA ST</t>
  </si>
  <si>
    <t xml:space="preserve">TEW JOHN L &amp; AVONELL </t>
  </si>
  <si>
    <t>829 VISTA ST</t>
  </si>
  <si>
    <t>841 VISTA ST</t>
  </si>
  <si>
    <t>BABCOCK BLVD UNIT C</t>
  </si>
  <si>
    <t>861 VISTA ST</t>
  </si>
  <si>
    <t>863 VISTA ST</t>
  </si>
  <si>
    <t>HARTMAN THOMAS E JR &amp; CINDY L (W)</t>
  </si>
  <si>
    <t>SOOSE RD</t>
  </si>
  <si>
    <t xml:space="preserve">MATHEWS MARU </t>
  </si>
  <si>
    <t xml:space="preserve">MCFETRIDGE GLORIA </t>
  </si>
  <si>
    <t>BAINTON ST</t>
  </si>
  <si>
    <t xml:space="preserve">COFFEY DAVID                                    </t>
  </si>
  <si>
    <t>874 VISTA ST</t>
  </si>
  <si>
    <t>66TH ST N STE 207</t>
  </si>
  <si>
    <t xml:space="preserve">DRATWA MATTHEW BRANDON </t>
  </si>
  <si>
    <t>870 VISTA ST</t>
  </si>
  <si>
    <t>DRATWA MATTHEW BRANDO</t>
  </si>
  <si>
    <t>TRADITIONS WAY</t>
  </si>
  <si>
    <t>JEFFERSON</t>
  </si>
  <si>
    <t xml:space="preserve">JACKSON BRUCE LEE JR </t>
  </si>
  <si>
    <t>OAKBROOKE LN APT 6</t>
  </si>
  <si>
    <t>HOWELL</t>
  </si>
  <si>
    <t>KOCIAN DOUGLAS H &amp; GEORGINA L (W)</t>
  </si>
  <si>
    <t>856 VISTA ST</t>
  </si>
  <si>
    <t>LASKAC ANNA D &amp; ROBERT L LASKAC</t>
  </si>
  <si>
    <t xml:space="preserve">THOMAS SHIRLEY M </t>
  </si>
  <si>
    <t xml:space="preserve">KUIR PETER </t>
  </si>
  <si>
    <t>820 VISTA ST</t>
  </si>
  <si>
    <t>KUIR PETER</t>
  </si>
  <si>
    <t>DELL LN</t>
  </si>
  <si>
    <t xml:space="preserve">HOPPE JASON T </t>
  </si>
  <si>
    <t>944 ITIN ST</t>
  </si>
  <si>
    <t>ITIN ST</t>
  </si>
  <si>
    <t xml:space="preserve">LEE GRACE </t>
  </si>
  <si>
    <t>0 SALTER WAY</t>
  </si>
  <si>
    <t xml:space="preserve">RODGER AMY L </t>
  </si>
  <si>
    <t>925 ITIN ST</t>
  </si>
  <si>
    <t xml:space="preserve">HRUSKA MATTHEW </t>
  </si>
  <si>
    <t>927 ITIN ST</t>
  </si>
  <si>
    <t>MC COY RD</t>
  </si>
  <si>
    <t>BLAKELEY JOSEPH J &amp; CAROL J (W)</t>
  </si>
  <si>
    <t>0 ITIN ST</t>
  </si>
  <si>
    <t>BLAKELEY JOSEPH J &amp; C</t>
  </si>
  <si>
    <t>EMMA DR # 1</t>
  </si>
  <si>
    <t>1027 SALTER WAY</t>
  </si>
  <si>
    <t>BEYOND MEASURES  INVESTMENT PROPERTIES  L</t>
  </si>
  <si>
    <t>1007 SALTER WAY</t>
  </si>
  <si>
    <t>1003 SALTER WAY</t>
  </si>
  <si>
    <t xml:space="preserve">MINOR LINDA F </t>
  </si>
  <si>
    <t>917 SPRING GARDEN AVE</t>
  </si>
  <si>
    <t>MINOR LINDA F</t>
  </si>
  <si>
    <t xml:space="preserve">PEGBOARD PROPERTY LLC </t>
  </si>
  <si>
    <t>919 SPRING GARDEN AVE</t>
  </si>
  <si>
    <t>PEGBOARD PROPERTY LLC</t>
  </si>
  <si>
    <t>1022 CONSTANCE ST</t>
  </si>
  <si>
    <t xml:space="preserve">IRON CITY PROPERTIES LLC </t>
  </si>
  <si>
    <t>1029 VINIAL ST</t>
  </si>
  <si>
    <t>PO BOX 97830</t>
  </si>
  <si>
    <t xml:space="preserve">WROBLEWSKI SCOTT </t>
  </si>
  <si>
    <t>1000 SPRING GARDEN AVE</t>
  </si>
  <si>
    <t xml:space="preserve">SMITH KIMBERLY A </t>
  </si>
  <si>
    <t>1006 SALTER WAY</t>
  </si>
  <si>
    <t>JANE ST APT 2</t>
  </si>
  <si>
    <t xml:space="preserve">LEE JAMAICA C </t>
  </si>
  <si>
    <t>1008 SALTER WAY</t>
  </si>
  <si>
    <t>EBERZ ROBERT CHARLES &amp; (SURV)</t>
  </si>
  <si>
    <t>SMARZ PETER W &amp; GERALDINE M (W)</t>
  </si>
  <si>
    <t xml:space="preserve">JOHNSTON SHANE M </t>
  </si>
  <si>
    <t>VINIAL ST</t>
  </si>
  <si>
    <t xml:space="preserve">CONCANNON MARCUS R </t>
  </si>
  <si>
    <t>PERRY PARK LN</t>
  </si>
  <si>
    <t xml:space="preserve">BBC PITTSBURGH LLC </t>
  </si>
  <si>
    <t>BEAR RUN RD</t>
  </si>
  <si>
    <t xml:space="preserve">MISCHEL CHRISTINA F                             </t>
  </si>
  <si>
    <t>1037 SALTER WAY</t>
  </si>
  <si>
    <t>OAK CT</t>
  </si>
  <si>
    <t xml:space="preserve">ZAVASKY ALEX  &amp; DOROTHY (W)             </t>
  </si>
  <si>
    <t>1040 SPRING GARDEN AVE</t>
  </si>
  <si>
    <t>BANAI STEVEN &amp; EMERCENCIA (W)</t>
  </si>
  <si>
    <t>622 TRIPOLI ST</t>
  </si>
  <si>
    <t>RIALTO ST</t>
  </si>
  <si>
    <t xml:space="preserve">TORMA EMERENCIA J </t>
  </si>
  <si>
    <t>627 E NORTH AVE</t>
  </si>
  <si>
    <t xml:space="preserve">EP2 REAL ESTATE TRUST </t>
  </si>
  <si>
    <t>613 TRIPOLI ST</t>
  </si>
  <si>
    <t>ALI MACKIE C OHARA &amp; SEEMAAB</t>
  </si>
  <si>
    <t>615 TRIPOLI ST</t>
  </si>
  <si>
    <t xml:space="preserve">907 EAST STREET LLC </t>
  </si>
  <si>
    <t>907 EAST ST</t>
  </si>
  <si>
    <t>MARLEX PROPERTIES LLC</t>
  </si>
  <si>
    <t xml:space="preserve">PALICKI PAUL                                    </t>
  </si>
  <si>
    <t>905 EAST ST</t>
  </si>
  <si>
    <t>PAUL PALICKI</t>
  </si>
  <si>
    <t>0 SUISMON ST</t>
  </si>
  <si>
    <t>626 SUISMON ST</t>
  </si>
  <si>
    <t xml:space="preserve">MINTON JACOB                                    </t>
  </si>
  <si>
    <t>616 SUISMON ST</t>
  </si>
  <si>
    <t>PALICKI PAUL W &amp; KATHLEEN M (W)</t>
  </si>
  <si>
    <t>608 SUISMON ST</t>
  </si>
  <si>
    <t xml:space="preserve">CUYLER JERMAINE </t>
  </si>
  <si>
    <t>613 SUISMON ST</t>
  </si>
  <si>
    <t xml:space="preserve">COLC PROPERTIES LLC </t>
  </si>
  <si>
    <t>814 MADISON AVE</t>
  </si>
  <si>
    <t>LINDBERG AVE</t>
  </si>
  <si>
    <t xml:space="preserve">MADISON TRIPOLI LLC </t>
  </si>
  <si>
    <t>810 TRIPOLI ST</t>
  </si>
  <si>
    <t>1004 MADISON AVE</t>
  </si>
  <si>
    <t>THREE RIVERS INVESTMENT  GROUP LLC</t>
  </si>
  <si>
    <t>814 BLOSSOM WAY</t>
  </si>
  <si>
    <t>THREE RIVERS INVESTME</t>
  </si>
  <si>
    <t>LORELAI AVE</t>
  </si>
  <si>
    <t xml:space="preserve">DIXON IDRIS </t>
  </si>
  <si>
    <t>815 SPRING GARDEN AVE</t>
  </si>
  <si>
    <t xml:space="preserve">FLANIGAN WALTER H </t>
  </si>
  <si>
    <t>827 SPRING GARDEN AVE</t>
  </si>
  <si>
    <t>FLANIGAN WALTER H</t>
  </si>
  <si>
    <t>LEWIS LOIS M &amp; DOROTHY M THOMAS</t>
  </si>
  <si>
    <t>829 SPRING GARDEN AVE</t>
  </si>
  <si>
    <t>VLAKANCIC JOSEPH JR &amp; SHARON A (W)</t>
  </si>
  <si>
    <t>835 SPRING GARDEN AVE</t>
  </si>
  <si>
    <t xml:space="preserve">VLAKANCIC WILLIAM </t>
  </si>
  <si>
    <t>837 SPRING GARDEN AVE</t>
  </si>
  <si>
    <t xml:space="preserve">LORENZ LANCE </t>
  </si>
  <si>
    <t>0 BLOSSOM WAY</t>
  </si>
  <si>
    <t>STATE AVE</t>
  </si>
  <si>
    <t>ONEILL MAINTENANCE ETAL</t>
  </si>
  <si>
    <t>843 SPRING GARDEN AVE</t>
  </si>
  <si>
    <t>ONEILL MAINTENANCE</t>
  </si>
  <si>
    <t>BROWNS LN APT 113</t>
  </si>
  <si>
    <t xml:space="preserve">FREDLEY DARLENE M </t>
  </si>
  <si>
    <t>1019 CHESTNUT ST</t>
  </si>
  <si>
    <t>CHESTNUT ST FL 2</t>
  </si>
  <si>
    <t xml:space="preserve">LUCKEY HOLDINGS LLC </t>
  </si>
  <si>
    <t>1017 CHESTNUT ST</t>
  </si>
  <si>
    <t>PO BOX 101313</t>
  </si>
  <si>
    <t xml:space="preserve">LEATHERS ERIC                                   </t>
  </si>
  <si>
    <t>1007 CHESTNUT ST</t>
  </si>
  <si>
    <t xml:space="preserve">1254 DEAN STREET LLC </t>
  </si>
  <si>
    <t>0 TRIPOLI ST</t>
  </si>
  <si>
    <t>1254 DEAN STREET LLC</t>
  </si>
  <si>
    <t>SAUCON VIEW DR</t>
  </si>
  <si>
    <t>BETHLEHEM</t>
  </si>
  <si>
    <t xml:space="preserve">JWT MASTER LLC </t>
  </si>
  <si>
    <t>843 TRIPOLI ST</t>
  </si>
  <si>
    <t>23-27 ROMSEY STREET</t>
  </si>
  <si>
    <t>WAITARA</t>
  </si>
  <si>
    <t>NS</t>
  </si>
  <si>
    <t>0 LOVITT WAY</t>
  </si>
  <si>
    <t>DEUTSCHTOWN COMMUNITY I  LLC</t>
  </si>
  <si>
    <t>853 LOVITT WAY</t>
  </si>
  <si>
    <t>DEUTSCHTOWN COMMUNITY</t>
  </si>
  <si>
    <t xml:space="preserve">TORRES CARLOS </t>
  </si>
  <si>
    <t>842 SUISMON ST</t>
  </si>
  <si>
    <t xml:space="preserve">CICARELLI &amp; SONS LLC </t>
  </si>
  <si>
    <t>840 SUISMON ST</t>
  </si>
  <si>
    <t>CICARELLI &amp; SONS LLC</t>
  </si>
  <si>
    <t>838 SUISMON ST</t>
  </si>
  <si>
    <t>CICCARELLI &amp; SONS LLC</t>
  </si>
  <si>
    <t>836 SUISMON ST</t>
  </si>
  <si>
    <t>ADELINE DR</t>
  </si>
  <si>
    <t>831 SUISMON ST</t>
  </si>
  <si>
    <t xml:space="preserve">BAKER ALEXANDER </t>
  </si>
  <si>
    <t>847 SUISMON ST</t>
  </si>
  <si>
    <t>BUTLER ST UNIT 2</t>
  </si>
  <si>
    <t xml:space="preserve">DOLINSKIY ARTEM </t>
  </si>
  <si>
    <t>824 PERALTA ST</t>
  </si>
  <si>
    <t>DOLINSKIY ARTEM</t>
  </si>
  <si>
    <t>FALCON WAY</t>
  </si>
  <si>
    <t>TEMECULA</t>
  </si>
  <si>
    <t xml:space="preserve">TRAN SUE LE </t>
  </si>
  <si>
    <t>0 PERALTA ST</t>
  </si>
  <si>
    <t>TRAN SUE LE</t>
  </si>
  <si>
    <t>HAWTHORNE AVE</t>
  </si>
  <si>
    <t>CONSTELLATION VENTURES  LLC</t>
  </si>
  <si>
    <t>821 PERALTA ST</t>
  </si>
  <si>
    <t xml:space="preserve">IARRAPINO LAWRENCE J </t>
  </si>
  <si>
    <t>827 PERALTA ST</t>
  </si>
  <si>
    <t>PERALTA ST</t>
  </si>
  <si>
    <t xml:space="preserve">AVISSARIM LLC </t>
  </si>
  <si>
    <t>837 PERALTA ST</t>
  </si>
  <si>
    <t>URI AVISSARIM</t>
  </si>
  <si>
    <t>HARDENBURGH AVE</t>
  </si>
  <si>
    <t>DEMAREST</t>
  </si>
  <si>
    <t xml:space="preserve">FRIEDL ERIC J </t>
  </si>
  <si>
    <t>839 PERALTA ST</t>
  </si>
  <si>
    <t>SAINT IVES WAY</t>
  </si>
  <si>
    <t>841 PERALTA ST</t>
  </si>
  <si>
    <t xml:space="preserve">DISKIN KATHLEEN </t>
  </si>
  <si>
    <t>862 PHINEAS ST</t>
  </si>
  <si>
    <t>ARROWHEAD CT</t>
  </si>
  <si>
    <t xml:space="preserve">ENERVA ELDON S </t>
  </si>
  <si>
    <t>906 WETTACH ST</t>
  </si>
  <si>
    <t>WETTACH ST</t>
  </si>
  <si>
    <t xml:space="preserve">ENERVA ELDON </t>
  </si>
  <si>
    <t>904 WETTACH ST</t>
  </si>
  <si>
    <t>MORRISSEY GORDON SCOTT  JR &amp; CHRYSTAL ANN (W)</t>
  </si>
  <si>
    <t>814 WETTACH ST</t>
  </si>
  <si>
    <t>MORRISSEY GORDON SCOT</t>
  </si>
  <si>
    <t>ZOLLER ST</t>
  </si>
  <si>
    <t xml:space="preserve">SEILER DANIEL L </t>
  </si>
  <si>
    <t>812 WETTACH ST</t>
  </si>
  <si>
    <t xml:space="preserve">MINTON JAMES B </t>
  </si>
  <si>
    <t>1032 PERALTA ST</t>
  </si>
  <si>
    <t>JAMES B MINTON</t>
  </si>
  <si>
    <t xml:space="preserve">RYAN RICHARD M 2ND                              </t>
  </si>
  <si>
    <t>926 PERALTA ST</t>
  </si>
  <si>
    <t xml:space="preserve">804 CONSTANCE ST LLC </t>
  </si>
  <si>
    <t>804 CONSTANCE ST</t>
  </si>
  <si>
    <t>NE 208TH TER</t>
  </si>
  <si>
    <t xml:space="preserve">KATH ERIK &amp; KALINA (W) </t>
  </si>
  <si>
    <t>900 CHESTNUT ST</t>
  </si>
  <si>
    <t>KATH ERIK &amp; KALINA (W</t>
  </si>
  <si>
    <t>CHESTNUT ST</t>
  </si>
  <si>
    <t xml:space="preserve">NOTHIN BUT JUICE  PROPERTIES LLC          </t>
  </si>
  <si>
    <t>1006 CHESTNUT ST</t>
  </si>
  <si>
    <t>NOTHIN BUT JUICE PROP</t>
  </si>
  <si>
    <t xml:space="preserve">TONIC13 LLC </t>
  </si>
  <si>
    <t>1016 CHESTNUT ST</t>
  </si>
  <si>
    <t>WEST AIRCOMM F C U</t>
  </si>
  <si>
    <t>PO BOX 568</t>
  </si>
  <si>
    <t xml:space="preserve">BUTLER LAURA </t>
  </si>
  <si>
    <t>919 CONSTANCE ST</t>
  </si>
  <si>
    <t>CONSTANCE ST</t>
  </si>
  <si>
    <t>MCCHRISTIAN LISA &amp; ROBERT (H)</t>
  </si>
  <si>
    <t>923 CONSTANCE ST</t>
  </si>
  <si>
    <t xml:space="preserve">CIPIACI LLC </t>
  </si>
  <si>
    <t>1000 CONSTANCE ST</t>
  </si>
  <si>
    <t xml:space="preserve">THORNTON WILLIAM T </t>
  </si>
  <si>
    <t>920 CONSTANCE ST</t>
  </si>
  <si>
    <t>0 AHLERS WAY</t>
  </si>
  <si>
    <t>MCNIGHT EAST DR UNIT 605</t>
  </si>
  <si>
    <t>1 RICKENBAUCH ST</t>
  </si>
  <si>
    <t>LORELEI AVE</t>
  </si>
  <si>
    <t xml:space="preserve">PISTININZI JUSTIN D </t>
  </si>
  <si>
    <t>907 WETTACH ST</t>
  </si>
  <si>
    <t>KENT DAVID &amp; JENNIFER (W)</t>
  </si>
  <si>
    <t>909 WETTACH ST</t>
  </si>
  <si>
    <t xml:space="preserve">HARWARD ELLIE R </t>
  </si>
  <si>
    <t>1017 VINIAL ST</t>
  </si>
  <si>
    <t>CAMPBELL PROPERTY GROUP  LLC</t>
  </si>
  <si>
    <t>1127 TROY HILL RD</t>
  </si>
  <si>
    <t>CAMPBELL PROPERTY GRO</t>
  </si>
  <si>
    <t>MT TROY RD APT 2</t>
  </si>
  <si>
    <t>NEROLICH GEORGE J &amp; KATHERINE D (W)</t>
  </si>
  <si>
    <t>1202 E OHIO ST</t>
  </si>
  <si>
    <t xml:space="preserve">HUNTER  DOUGLAS                                 </t>
  </si>
  <si>
    <t>806 MIDDLE ST</t>
  </si>
  <si>
    <t>IANNOTTA JOSEPH D &amp; LINDA D (W)</t>
  </si>
  <si>
    <t>810 MIDDLE ST</t>
  </si>
  <si>
    <t>IANNOTTA JOSEPH D &amp; L</t>
  </si>
  <si>
    <t xml:space="preserve">MIDDLE ST LLC </t>
  </si>
  <si>
    <t>802 MIDDLE ST</t>
  </si>
  <si>
    <t>MIDDLE ST LLC</t>
  </si>
  <si>
    <t>BEACON HILL AVE</t>
  </si>
  <si>
    <t>0 PHINEAS ST</t>
  </si>
  <si>
    <t>PO BOX  3004</t>
  </si>
  <si>
    <t>LIHUE</t>
  </si>
  <si>
    <t xml:space="preserve">TADDA LLC </t>
  </si>
  <si>
    <t>709 EAST ST</t>
  </si>
  <si>
    <t xml:space="preserve">1313 HOLDINGS LLC </t>
  </si>
  <si>
    <t>622 EMLIN ST</t>
  </si>
  <si>
    <t>FORELAND ST</t>
  </si>
  <si>
    <t>625 FORELAND ST</t>
  </si>
  <si>
    <t>LOUIE REAL ESTATE TRUST  ETAL</t>
  </si>
  <si>
    <t>613 FORELAND ST</t>
  </si>
  <si>
    <t>LOUIE REAL ESTATE TRU</t>
  </si>
  <si>
    <t xml:space="preserve">HISTORIC DEUTSCHTOWN  DEVELOPMENT CORPORATION </t>
  </si>
  <si>
    <t>620 E OHIO ST</t>
  </si>
  <si>
    <t xml:space="preserve">NORTHSIDE LEADERSHIP </t>
  </si>
  <si>
    <t>ALLEGHENY AVE FL 2</t>
  </si>
  <si>
    <t xml:space="preserve">QIU XIU FANG </t>
  </si>
  <si>
    <t>630 E OHIO ST</t>
  </si>
  <si>
    <t>QIU XIU FANG</t>
  </si>
  <si>
    <t>SUGAR TREE PL</t>
  </si>
  <si>
    <t>WORKINGMEN'S SQUARE  REAL ESTATE HOLDINGS LLC</t>
  </si>
  <si>
    <t>800 E OHIO ST</t>
  </si>
  <si>
    <t>WORKINGMEN'S SQUARE R</t>
  </si>
  <si>
    <t xml:space="preserve">DAVIES PATRICIA S                               </t>
  </si>
  <si>
    <t>842 E OHIO ST</t>
  </si>
  <si>
    <t>OHIO ST</t>
  </si>
  <si>
    <t xml:space="preserve">ARRAKIS LLC </t>
  </si>
  <si>
    <t>820 E OHIO ST</t>
  </si>
  <si>
    <t xml:space="preserve">LAVERTY LIVING TRUST                            </t>
  </si>
  <si>
    <t>611 E OHIO ST</t>
  </si>
  <si>
    <t>JOSEPH P LAVERTY JR T</t>
  </si>
  <si>
    <t>ROLLING MILLS DR</t>
  </si>
  <si>
    <t xml:space="preserve">SAFDAR MALIK MOHAMMAD &amp; PERVEEN AKHTAR CHAUDHRY </t>
  </si>
  <si>
    <t>603 E OHIO ST</t>
  </si>
  <si>
    <t>SAFDAR MALIK MOHAMMAD</t>
  </si>
  <si>
    <t>KILCLARE CT</t>
  </si>
  <si>
    <t xml:space="preserve">MADIA PATRICIA A                                </t>
  </si>
  <si>
    <t>530 AVERY ST</t>
  </si>
  <si>
    <t>BARBARA BURNS</t>
  </si>
  <si>
    <t>607 MIDDLE ST</t>
  </si>
  <si>
    <t>NORTH SIDE AMERICAN  VETS HOME ASSN</t>
  </si>
  <si>
    <t>38 NASH ST</t>
  </si>
  <si>
    <t>NASH ST</t>
  </si>
  <si>
    <t xml:space="preserve">FERRY ROBERT S </t>
  </si>
  <si>
    <t>621 AVERY ST</t>
  </si>
  <si>
    <t xml:space="preserve">WETZEL NATHANIEL                                </t>
  </si>
  <si>
    <t>607 AVERY ST</t>
  </si>
  <si>
    <t xml:space="preserve">MCKNIGHT BRUCE E </t>
  </si>
  <si>
    <t>605 AVERY ST</t>
  </si>
  <si>
    <t xml:space="preserve">MCARDLE PAUL J </t>
  </si>
  <si>
    <t>601 AVERY ST</t>
  </si>
  <si>
    <t xml:space="preserve">HENDERSON ABIGAIL C </t>
  </si>
  <si>
    <t>603 AVERY ST</t>
  </si>
  <si>
    <t>BARCLAY HILL RD</t>
  </si>
  <si>
    <t xml:space="preserve">GREENWOOD ROSS </t>
  </si>
  <si>
    <t>606 LOCKHART ST</t>
  </si>
  <si>
    <t>GREENWOOD ROSS</t>
  </si>
  <si>
    <t xml:space="preserve">BUCHER CO (THE)                                 </t>
  </si>
  <si>
    <t>910 RIVER AVE</t>
  </si>
  <si>
    <t xml:space="preserve">HENIZ APARTMENTS LLC </t>
  </si>
  <si>
    <t>1075 PROGRESS ST</t>
  </si>
  <si>
    <t>BROADWAY FL 4TH</t>
  </si>
  <si>
    <t xml:space="preserve">HEINZ APARTMENTS LLC </t>
  </si>
  <si>
    <t xml:space="preserve">GERI HOMES INC </t>
  </si>
  <si>
    <t>0 HOWARD ST</t>
  </si>
  <si>
    <t xml:space="preserve">OTRO REALTY INC </t>
  </si>
  <si>
    <t>1514 COMPROMISE ST</t>
  </si>
  <si>
    <t>PO BOX 27042</t>
  </si>
  <si>
    <t xml:space="preserve">ATALLAH EDWARD A </t>
  </si>
  <si>
    <t>0 COMPROMISE ST</t>
  </si>
  <si>
    <t>MOUNTAIN MABON D &amp; JEAN M</t>
  </si>
  <si>
    <t>0 I-279</t>
  </si>
  <si>
    <t>LAREDA ST</t>
  </si>
  <si>
    <t>JOHNSTONE JEFF  &amp; DIANE WELKER</t>
  </si>
  <si>
    <t>43 ROSTOCK ST</t>
  </si>
  <si>
    <t>ROSTOCK ST</t>
  </si>
  <si>
    <t>BURKHOLDER JAMES LEE &amp; IDA RUTH (W)</t>
  </si>
  <si>
    <t>0 ROSTOCK ST</t>
  </si>
  <si>
    <t xml:space="preserve">KOTEWICZ EDWARD </t>
  </si>
  <si>
    <t xml:space="preserve">BIRSIC JAMES J &amp; TENNIE </t>
  </si>
  <si>
    <t>ERDNER AVE APT 3</t>
  </si>
  <si>
    <t>PRETTYMAN EDWARD E &amp; JACQUELINE K (W)</t>
  </si>
  <si>
    <t>1608 RADNER ST</t>
  </si>
  <si>
    <t>RADNER ST</t>
  </si>
  <si>
    <t xml:space="preserve">GODDARD MARY F </t>
  </si>
  <si>
    <t>0 RADNER ST</t>
  </si>
  <si>
    <t>P.O. BOX # 156</t>
  </si>
  <si>
    <t>FISHER</t>
  </si>
  <si>
    <t>REMO PAUL K JR &amp; KATHERYN (W)</t>
  </si>
  <si>
    <t>5 RADNER ST</t>
  </si>
  <si>
    <t>42 ROSTOCK ST</t>
  </si>
  <si>
    <t xml:space="preserve">MCBEE KAREN LANE </t>
  </si>
  <si>
    <t>46 ROSTOCK ST</t>
  </si>
  <si>
    <t xml:space="preserve">KRAWCZAK THOMAS J JR </t>
  </si>
  <si>
    <t>58 ROSTOCK ST</t>
  </si>
  <si>
    <t xml:space="preserve">QUSO LLC </t>
  </si>
  <si>
    <t>60 ROSTOCK ST</t>
  </si>
  <si>
    <t>W MAGNOLIA BLVD UNIT 482</t>
  </si>
  <si>
    <t>BURBANK</t>
  </si>
  <si>
    <t xml:space="preserve">RIVENDELL CAPITAL LLC </t>
  </si>
  <si>
    <t>62 ROSTOCK ST</t>
  </si>
  <si>
    <t xml:space="preserve">HOLMES DONALD </t>
  </si>
  <si>
    <t>0 LEISTER ST</t>
  </si>
  <si>
    <t>LEISTER ST</t>
  </si>
  <si>
    <t xml:space="preserve">LANDMARK REO CLUB LLC </t>
  </si>
  <si>
    <t>W CENTER ST STE 605</t>
  </si>
  <si>
    <t>OREM</t>
  </si>
  <si>
    <t>924 HASLAGE AVE</t>
  </si>
  <si>
    <t>0 HASLAGE AVE</t>
  </si>
  <si>
    <t xml:space="preserve">MOON BRANDON </t>
  </si>
  <si>
    <t>927 HASLAGE AVE</t>
  </si>
  <si>
    <t>MOON BRANDON</t>
  </si>
  <si>
    <t>HASLAGE AVE</t>
  </si>
  <si>
    <t xml:space="preserve">ANDERSON MATTHEW                                </t>
  </si>
  <si>
    <t>923 HASLAGE AVE</t>
  </si>
  <si>
    <t>ORCHARD FALLS DR</t>
  </si>
  <si>
    <t xml:space="preserve">GUSKY VIVIAN R </t>
  </si>
  <si>
    <t>921 HASLAGE AVE</t>
  </si>
  <si>
    <t xml:space="preserve">BASANT CELINA                                   </t>
  </si>
  <si>
    <t>917 HASLAGE AVE</t>
  </si>
  <si>
    <t>BAUER ROBERT  &amp; KATHLEEN M (W)</t>
  </si>
  <si>
    <t>1006 LEISTER ST</t>
  </si>
  <si>
    <t xml:space="preserve">MILLER RANDAL P JR </t>
  </si>
  <si>
    <t>1018 YETTA AVE</t>
  </si>
  <si>
    <t>TELEMAN GIL              ETAL</t>
  </si>
  <si>
    <t>0 YETTA AVE</t>
  </si>
  <si>
    <t>PO BOX 81955</t>
  </si>
  <si>
    <t>FRAWLEY WILLIAM V &amp; DEBORAH K (W)</t>
  </si>
  <si>
    <t>1032 HASLAGE AVE</t>
  </si>
  <si>
    <t xml:space="preserve">GILLECE MARK A </t>
  </si>
  <si>
    <t>ROCKEFELLER ENTERPRISE  LLC</t>
  </si>
  <si>
    <t>1222 ITIN ST</t>
  </si>
  <si>
    <t>ROCKEFELLER ENTERPRIS</t>
  </si>
  <si>
    <t>WALNUT HILL LN STE 160</t>
  </si>
  <si>
    <t xml:space="preserve">ERNST S </t>
  </si>
  <si>
    <t>ITEN ST</t>
  </si>
  <si>
    <t xml:space="preserve">JACOBOWITZ URI </t>
  </si>
  <si>
    <t>1218 ITIN ST</t>
  </si>
  <si>
    <t>VOGEL EDWARD C SR &amp; VIRGINIA (W)</t>
  </si>
  <si>
    <t xml:space="preserve">FOULKE LARRY R                                  </t>
  </si>
  <si>
    <t xml:space="preserve">FOULKE LARRY R </t>
  </si>
  <si>
    <t>1100 ITIN ST</t>
  </si>
  <si>
    <t xml:space="preserve">SHOWMAN H PRESTON </t>
  </si>
  <si>
    <t>3 KENZIG AVE</t>
  </si>
  <si>
    <t>KENZIG AVE</t>
  </si>
  <si>
    <t xml:space="preserve">MILLER RANDAL </t>
  </si>
  <si>
    <t>0 GOEHRING ST</t>
  </si>
  <si>
    <t>GOEHRING ST</t>
  </si>
  <si>
    <t xml:space="preserve">FARGO LISA J </t>
  </si>
  <si>
    <t>1030 GOEHRING ST</t>
  </si>
  <si>
    <t>FARGO LISA J</t>
  </si>
  <si>
    <t xml:space="preserve">RISCOTT INVESTMENTS LLC </t>
  </si>
  <si>
    <t>1012 HIGH ST</t>
  </si>
  <si>
    <t>RISCOTT INVESTMENTS L</t>
  </si>
  <si>
    <t>DEADWOOD DR</t>
  </si>
  <si>
    <t xml:space="preserve">DAWSON WILLIE FRANK JR </t>
  </si>
  <si>
    <t>0 HIGH ST</t>
  </si>
  <si>
    <t>MARWOOD AVE</t>
  </si>
  <si>
    <t xml:space="preserve">S &amp; T INVESTMENT LLC </t>
  </si>
  <si>
    <t>1108 HIGH ST</t>
  </si>
  <si>
    <t>S &amp; T INVESTMENT LLC</t>
  </si>
  <si>
    <t>WAGNER OWEN E &amp; GLADYS (W)</t>
  </si>
  <si>
    <t xml:space="preserve">REFAEL YASMIN </t>
  </si>
  <si>
    <t>1131 ITIN ST</t>
  </si>
  <si>
    <t xml:space="preserve">EBERHARDT BRYAN </t>
  </si>
  <si>
    <t>1133 ITIN ST</t>
  </si>
  <si>
    <t>BRYAN EBERHARDT</t>
  </si>
  <si>
    <t>WEBER VALERIE L &amp; RAYMOND L (H)</t>
  </si>
  <si>
    <t xml:space="preserve">RAKER FRANK  &amp; VIOLA </t>
  </si>
  <si>
    <t>0 ARCOLA WAY</t>
  </si>
  <si>
    <t xml:space="preserve">BARANOWSKI LINDA P </t>
  </si>
  <si>
    <t>1138 HIGH ST</t>
  </si>
  <si>
    <t>JEROME STEPHEN A &amp; LORENE M (W)</t>
  </si>
  <si>
    <t>1130 HIGH ST</t>
  </si>
  <si>
    <t>JEROME STEPHEN A &amp; LO</t>
  </si>
  <si>
    <t>JEROME LORENE M &amp; STEPHEN A (H)</t>
  </si>
  <si>
    <t>JEROME LORENE M &amp; STE</t>
  </si>
  <si>
    <t>DZAMKO MANAGEMENT GROUP  LLC</t>
  </si>
  <si>
    <t>1124 SPRING GARDEN AVE</t>
  </si>
  <si>
    <t>NORWOOD AVE</t>
  </si>
  <si>
    <t xml:space="preserve">DUNGAN JENNIE LYNNE </t>
  </si>
  <si>
    <t>1209 HIGH ST</t>
  </si>
  <si>
    <t xml:space="preserve">SCHNEIDER HELEN BEATRICE </t>
  </si>
  <si>
    <t>1213 HIGH ST</t>
  </si>
  <si>
    <t xml:space="preserve">MAHLER LAUREL E </t>
  </si>
  <si>
    <t>1212 HIGH ST</t>
  </si>
  <si>
    <t>KLINGENSMITH ROBERT C &amp; HEL M (W)</t>
  </si>
  <si>
    <t>0 SEIDLE ST</t>
  </si>
  <si>
    <t xml:space="preserve">WATKINS SHAWN EDWARDS </t>
  </si>
  <si>
    <t>1 DIANA ST</t>
  </si>
  <si>
    <t>SHAWN EDWARDS WATKINS</t>
  </si>
  <si>
    <t>MOUNT TORY RD</t>
  </si>
  <si>
    <t xml:space="preserve">WATKINS SHAWN </t>
  </si>
  <si>
    <t>2 DIANA ST</t>
  </si>
  <si>
    <t>DIANA PL</t>
  </si>
  <si>
    <t xml:space="preserve">ABBOTT MARK </t>
  </si>
  <si>
    <t>3 DIANA ST</t>
  </si>
  <si>
    <t>SILVER OAK DR STE 101</t>
  </si>
  <si>
    <t>LACHER ROBERT L &amp; GEORGE E MORGAN</t>
  </si>
  <si>
    <t>4 DIANA ST</t>
  </si>
  <si>
    <t>GARDENVIEW DR</t>
  </si>
  <si>
    <t xml:space="preserve">MARIADES PETER D &amp; HELEN </t>
  </si>
  <si>
    <t>0 DIANA ST</t>
  </si>
  <si>
    <t xml:space="preserve">KOVACIK KERRI BOCK </t>
  </si>
  <si>
    <t xml:space="preserve">LH2 LLC </t>
  </si>
  <si>
    <t>1215 ITIN ST</t>
  </si>
  <si>
    <t xml:space="preserve">KAISER RAYMOND R JR </t>
  </si>
  <si>
    <t>SUNDEMAN ST</t>
  </si>
  <si>
    <t xml:space="preserve">HAMMER AND NAIL LLC </t>
  </si>
  <si>
    <t>1239 ITIN ST</t>
  </si>
  <si>
    <t>HAMMER AND NAIL LLC</t>
  </si>
  <si>
    <t xml:space="preserve">MANUEL ANDREW </t>
  </si>
  <si>
    <t>1356 DIANA ST</t>
  </si>
  <si>
    <t>DIANA ST</t>
  </si>
  <si>
    <t xml:space="preserve">SKORIJA JULIA </t>
  </si>
  <si>
    <t>1336 DIANA ST</t>
  </si>
  <si>
    <t xml:space="preserve">30:15 INVESTMENTS LLC </t>
  </si>
  <si>
    <t>1328 DIANA ST</t>
  </si>
  <si>
    <t>PARADE DR</t>
  </si>
  <si>
    <t>AUBREY</t>
  </si>
  <si>
    <t>1320 DIANA ST</t>
  </si>
  <si>
    <t>WROBLEWSKI SCOTT</t>
  </si>
  <si>
    <t>SCHAEFFER TIMOTHY J &amp; MICHELLE R (W)</t>
  </si>
  <si>
    <t>1312 DIANA ST</t>
  </si>
  <si>
    <t xml:space="preserve">LSRB LLC </t>
  </si>
  <si>
    <t>1311 DIANA ST</t>
  </si>
  <si>
    <t>PO BOX 268</t>
  </si>
  <si>
    <t>GERST ROBERT T  GERST THOMAS M</t>
  </si>
  <si>
    <t>1357 DIANA ST</t>
  </si>
  <si>
    <t>WILLINGHAM DIANA  &amp; NORMAN R PHILLIPS JR</t>
  </si>
  <si>
    <t>1400 FIRTH ST</t>
  </si>
  <si>
    <t>FIRTH ST</t>
  </si>
  <si>
    <t xml:space="preserve">FERENCE BRANDON T </t>
  </si>
  <si>
    <t>1310 FIRTH ST</t>
  </si>
  <si>
    <t xml:space="preserve">HAMOUDI HACHEMI AIT                             </t>
  </si>
  <si>
    <t>1308 FIRTH ST</t>
  </si>
  <si>
    <t>HAMOUDI HACHEMI AIT B</t>
  </si>
  <si>
    <t xml:space="preserve">STALNAKER CLINTON </t>
  </si>
  <si>
    <t>210 HOMER ST</t>
  </si>
  <si>
    <t>STALNAKER CLINTON</t>
  </si>
  <si>
    <t>0 FIRTH ST</t>
  </si>
  <si>
    <t>ONASNI PROPERTY GROUP  LLC</t>
  </si>
  <si>
    <t>ONASNI PROPERTY GROUP  LLE</t>
  </si>
  <si>
    <t>ONASNI PROPERTY GROUP</t>
  </si>
  <si>
    <t>1266 HIGH ST</t>
  </si>
  <si>
    <t xml:space="preserve">BIMBO ERIK </t>
  </si>
  <si>
    <t>1264 HIGH ST</t>
  </si>
  <si>
    <t>IDLEWOOD AVE</t>
  </si>
  <si>
    <t>1262 HIGH ST</t>
  </si>
  <si>
    <t>IDLEWOOD AVE AVE</t>
  </si>
  <si>
    <t xml:space="preserve">FURMAN DONNA </t>
  </si>
  <si>
    <t>1254 HIGH ST</t>
  </si>
  <si>
    <t>FURMAN DONNA</t>
  </si>
  <si>
    <t xml:space="preserve">STEINMETZ SEAN </t>
  </si>
  <si>
    <t>HAZELHURST AVE</t>
  </si>
  <si>
    <t xml:space="preserve">MATTER LOUIS </t>
  </si>
  <si>
    <t>1240 HIGH ST</t>
  </si>
  <si>
    <t>DOLAN KEVIN THOMAS &amp; MARY ROSELEEN (W)</t>
  </si>
  <si>
    <t>1236 HIGH ST</t>
  </si>
  <si>
    <t xml:space="preserve">MANSION GLOBAL LLC </t>
  </si>
  <si>
    <t>1234 HIGH ST</t>
  </si>
  <si>
    <t>PARK PLACE FINANCE</t>
  </si>
  <si>
    <t>N MORAC STE 200-41</t>
  </si>
  <si>
    <t xml:space="preserve">YOST WITT A </t>
  </si>
  <si>
    <t>VOGEL KENNETH A SR &amp; MARY JO (W)</t>
  </si>
  <si>
    <t>1221 HIGH ST</t>
  </si>
  <si>
    <t xml:space="preserve">MCCUSKER SEAUN J </t>
  </si>
  <si>
    <t>1226 SPRING GARDEN AVE</t>
  </si>
  <si>
    <t>ORMBY AVE</t>
  </si>
  <si>
    <t xml:space="preserve">KILIAN MICHAEL                                  </t>
  </si>
  <si>
    <t>KILIAN MICHAEL</t>
  </si>
  <si>
    <t>1240 SPRING GARDEN AVE</t>
  </si>
  <si>
    <t>1241 HIGH ST</t>
  </si>
  <si>
    <t>1257 HIGH ST</t>
  </si>
  <si>
    <t xml:space="preserve">BILL DANIEL </t>
  </si>
  <si>
    <t>1256 SPRING GARDEN AVE</t>
  </si>
  <si>
    <t xml:space="preserve">MATTER JUDY </t>
  </si>
  <si>
    <t>1259 HIGH ST</t>
  </si>
  <si>
    <t xml:space="preserve">VOGEL AGNES MARIE </t>
  </si>
  <si>
    <t>VOGEL AGNES MARIE</t>
  </si>
  <si>
    <t>YETTA AVE APT 206</t>
  </si>
  <si>
    <t xml:space="preserve">OFFEN RICHARD F &amp; ROSE M </t>
  </si>
  <si>
    <t>0 TELL ST</t>
  </si>
  <si>
    <t xml:space="preserve">THORNTON ALYSHA </t>
  </si>
  <si>
    <t>1326 TELL ST</t>
  </si>
  <si>
    <t>TELL ST</t>
  </si>
  <si>
    <t>HILDENBRAND THEODORE J JR</t>
  </si>
  <si>
    <t>SAXONBURG</t>
  </si>
  <si>
    <t>WATKINS CLARENCE E &amp; JANET M (W)</t>
  </si>
  <si>
    <t>1227 SPRING GARDEN AVE</t>
  </si>
  <si>
    <t xml:space="preserve">MEINERT FRANK </t>
  </si>
  <si>
    <t>0 VOSKAMP ST</t>
  </si>
  <si>
    <t>RR1 BOX 182M</t>
  </si>
  <si>
    <t>CORSICA</t>
  </si>
  <si>
    <t xml:space="preserve">FRESHLEY PAMELA                                 </t>
  </si>
  <si>
    <t>MUTUAL ST APT 1</t>
  </si>
  <si>
    <t xml:space="preserve">PRINGLE KENNETH </t>
  </si>
  <si>
    <t>1323 TELL ST</t>
  </si>
  <si>
    <t>TSCHANNEN JOHN G JR &amp; MILDRED</t>
  </si>
  <si>
    <t>1346 HERMAN ST</t>
  </si>
  <si>
    <t>MAHOGANY DR</t>
  </si>
  <si>
    <t>CASSELBERRY</t>
  </si>
  <si>
    <t>SLADIC VINCENT JOHN &amp; VERA A (W)</t>
  </si>
  <si>
    <t>0 HERMAN ST</t>
  </si>
  <si>
    <t>HERMAN ST</t>
  </si>
  <si>
    <t xml:space="preserve">CERNY PAUL M JR </t>
  </si>
  <si>
    <t>1323 VOSKAMP ST</t>
  </si>
  <si>
    <t>VOSKAMP ST</t>
  </si>
  <si>
    <t xml:space="preserve">TUCKF THOMAS J </t>
  </si>
  <si>
    <t>1346 LOWRIE ST</t>
  </si>
  <si>
    <t xml:space="preserve">STEPHENS REGIS L </t>
  </si>
  <si>
    <t>1380 HERMAN ST</t>
  </si>
  <si>
    <t>HATTERAS ST</t>
  </si>
  <si>
    <t xml:space="preserve">WAMPLER FREDA A </t>
  </si>
  <si>
    <t>1520 LOWRIE ST</t>
  </si>
  <si>
    <t xml:space="preserve">JOCKEL EUGENE C </t>
  </si>
  <si>
    <t>1420 GARDNER ST</t>
  </si>
  <si>
    <t>GARDNER ST</t>
  </si>
  <si>
    <t xml:space="preserve">PAVLIK JOHN II </t>
  </si>
  <si>
    <t>1514 VALENTINE ST</t>
  </si>
  <si>
    <t>SIMON RD</t>
  </si>
  <si>
    <t>1516 VALENTINE ST</t>
  </si>
  <si>
    <t>BOBBY L CLARK</t>
  </si>
  <si>
    <t>205TH ST</t>
  </si>
  <si>
    <t>ST  ALBANS</t>
  </si>
  <si>
    <t xml:space="preserve">SMITH JAMES </t>
  </si>
  <si>
    <t>1518 VALENTINE ST</t>
  </si>
  <si>
    <t>SMITH JAMES</t>
  </si>
  <si>
    <t>VALENTINE ST</t>
  </si>
  <si>
    <t>1535 LOWRIE ST</t>
  </si>
  <si>
    <t>CLARK ROBERT T &amp; NANCY S (W)</t>
  </si>
  <si>
    <t>1525 HOFF ST</t>
  </si>
  <si>
    <t xml:space="preserve">FAULL BRIAN J </t>
  </si>
  <si>
    <t>1515 HOFF ST</t>
  </si>
  <si>
    <t>HOFF ST</t>
  </si>
  <si>
    <t xml:space="preserve">MCBETH NORMA JEAN </t>
  </si>
  <si>
    <t>1531 LOWRIE ST</t>
  </si>
  <si>
    <t>HUGHES R DENNIS &amp; ANGELA R (W)</t>
  </si>
  <si>
    <t>1501 LOWRIE ST</t>
  </si>
  <si>
    <t>HUGHES R DENNIS &amp; ANG</t>
  </si>
  <si>
    <t xml:space="preserve">ZUPSIC ROSEMARIE C </t>
  </si>
  <si>
    <t>1466 E OHIO ST</t>
  </si>
  <si>
    <t>COWFER JOHN D &amp; IRENE P (W)</t>
  </si>
  <si>
    <t>1532 E OHIO ST</t>
  </si>
  <si>
    <t>936 VISTA ST</t>
  </si>
  <si>
    <t xml:space="preserve">NORTHSIDE RESTORATION  LLC                     </t>
  </si>
  <si>
    <t>940 VISTA ST</t>
  </si>
  <si>
    <t>S 19TH ST UNIT 105</t>
  </si>
  <si>
    <t xml:space="preserve">3M HOLDINGS LLC </t>
  </si>
  <si>
    <t>1001 HIGH ST</t>
  </si>
  <si>
    <t>FOURTH AVE UNIT 901</t>
  </si>
  <si>
    <t>1003 HIGH ST</t>
  </si>
  <si>
    <t xml:space="preserve">BLATT PETER J </t>
  </si>
  <si>
    <t>1017 HIGH ST</t>
  </si>
  <si>
    <t xml:space="preserve">RAWLINGS MARK </t>
  </si>
  <si>
    <t>1025 HIGH ST</t>
  </si>
  <si>
    <t>RAWLINGS MARK</t>
  </si>
  <si>
    <t>DIETRICH RD</t>
  </si>
  <si>
    <t xml:space="preserve">BBC PITTSBURH LLC </t>
  </si>
  <si>
    <t>1102 SPRING GARDEN AVE</t>
  </si>
  <si>
    <t>1117 SPRING GARDEN AVE</t>
  </si>
  <si>
    <t xml:space="preserve">BLATT PETER </t>
  </si>
  <si>
    <t>1113 SPRING GARDEN AVE</t>
  </si>
  <si>
    <t xml:space="preserve">BRITTON SCOTT &amp; MARY (W) </t>
  </si>
  <si>
    <t>1061 SPRING GARDEN AVE</t>
  </si>
  <si>
    <t>1013 SPRING GARDEN AVE</t>
  </si>
  <si>
    <t>BBC LLC</t>
  </si>
  <si>
    <t>1005 SPRING GARDEN AVE</t>
  </si>
  <si>
    <t>OLSZEWSKI JOHN FELIX JR  &amp; NORMA J (W)</t>
  </si>
  <si>
    <t>1018 VOSKAMP ST</t>
  </si>
  <si>
    <t>SPRING GARDEN  NEIGHBORHOOD COUNCIL INC</t>
  </si>
  <si>
    <t xml:space="preserve">SERRANO MERIDA </t>
  </si>
  <si>
    <t>1110 VOSKAMP ST</t>
  </si>
  <si>
    <t xml:space="preserve">VALORIE JOSEPH                                  </t>
  </si>
  <si>
    <t>1116 VOSKAMP ST</t>
  </si>
  <si>
    <t>VOSKAMP ST 200</t>
  </si>
  <si>
    <t xml:space="preserve">VALORIE FRANK </t>
  </si>
  <si>
    <t xml:space="preserve">VALORIE JOSEPH A JR </t>
  </si>
  <si>
    <t>1105 WELSER WAY</t>
  </si>
  <si>
    <t>YUKUBIC WILLIAM &amp; SHEILA (W)</t>
  </si>
  <si>
    <t>1107 WELSER WAY</t>
  </si>
  <si>
    <t>YUKUBIC WILLIAM &amp; SHE</t>
  </si>
  <si>
    <t>VOS KAMP ST</t>
  </si>
  <si>
    <t xml:space="preserve">DURLER JASON                                    </t>
  </si>
  <si>
    <t>1146 VOSKAMP ST</t>
  </si>
  <si>
    <t>WAYNE DR</t>
  </si>
  <si>
    <t xml:space="preserve">OLSZEWSKI JOHN </t>
  </si>
  <si>
    <t>MCGAFFIC RALPH E &amp; FAY A (W)</t>
  </si>
  <si>
    <t>1167 WELSER WAY</t>
  </si>
  <si>
    <t>WELSER WAY</t>
  </si>
  <si>
    <t xml:space="preserve">HALL LISA  &amp; LUCY HALL </t>
  </si>
  <si>
    <t xml:space="preserve">AGUE HILDA                                      </t>
  </si>
  <si>
    <t>KLINGER CHARLES JR &amp; MARY C</t>
  </si>
  <si>
    <t>KENYON AVE</t>
  </si>
  <si>
    <t xml:space="preserve">ROTH RANDAL A </t>
  </si>
  <si>
    <t>1145 VOSKAMP ST</t>
  </si>
  <si>
    <t>BRACKENRIDGE</t>
  </si>
  <si>
    <t xml:space="preserve">HOLLINGER ARTHUR C </t>
  </si>
  <si>
    <t>YAKUBIC WILLIAM M &amp; SHEILA M (W)</t>
  </si>
  <si>
    <t>1131 VOSKAMP ST</t>
  </si>
  <si>
    <t xml:space="preserve">WASIELEWSKI JEFFREY R </t>
  </si>
  <si>
    <t>1117 VOSKAMP ST</t>
  </si>
  <si>
    <t xml:space="preserve">DUKE &amp; DUKE ESTATES LLC </t>
  </si>
  <si>
    <t>1113 VOSKAMP ST</t>
  </si>
  <si>
    <t>DUKE &amp; DUKE ESTATES L</t>
  </si>
  <si>
    <t>PO BOX 25309</t>
  </si>
  <si>
    <t>HILDENBRAND THEODORE J  JR</t>
  </si>
  <si>
    <t>0 PROVINCE ST</t>
  </si>
  <si>
    <t xml:space="preserve">HILDENBRAND THEODORE </t>
  </si>
  <si>
    <t xml:space="preserve">TERLE CAROL </t>
  </si>
  <si>
    <t>1102 BRABEC ST</t>
  </si>
  <si>
    <t>TERLE CAROL</t>
  </si>
  <si>
    <t>BRABEC ST</t>
  </si>
  <si>
    <t xml:space="preserve">HAKIMI JEDD AARON  SHAFIZADEH              </t>
  </si>
  <si>
    <t>1120 BRABEC ST</t>
  </si>
  <si>
    <t>HAKIMI JEDD AARON SHA</t>
  </si>
  <si>
    <t>0 BRABEC ST</t>
  </si>
  <si>
    <t>DAUBER HENRIKSON  MANAGEMENT LLC</t>
  </si>
  <si>
    <t>1124 BRABEC ST</t>
  </si>
  <si>
    <t>DAUBER HENRIKSON MANA</t>
  </si>
  <si>
    <t>PO BOX 23685</t>
  </si>
  <si>
    <t xml:space="preserve">PRIDEWELL LLC </t>
  </si>
  <si>
    <t>PRIDEWELL LLC</t>
  </si>
  <si>
    <t>PO BOX 185 ST</t>
  </si>
  <si>
    <t xml:space="preserve">FISHER MATTHEW </t>
  </si>
  <si>
    <t>1105 GOETTMAN ST</t>
  </si>
  <si>
    <t xml:space="preserve">SHUTOK CHRISTOPHER A </t>
  </si>
  <si>
    <t>1117 GOETTMAN ST</t>
  </si>
  <si>
    <t xml:space="preserve">BILL DANIEL P </t>
  </si>
  <si>
    <t>1116 PROVINCE ST</t>
  </si>
  <si>
    <t xml:space="preserve">JOCKEL EUGENE </t>
  </si>
  <si>
    <t>PROVINCE ST</t>
  </si>
  <si>
    <t>1110 PROVINCE ST</t>
  </si>
  <si>
    <t xml:space="preserve">CERNY PAUL JR </t>
  </si>
  <si>
    <t>1319 VOSKAMP ST</t>
  </si>
  <si>
    <t>MATHEIS CAROLINE  &amp; FRED L MATHEIS</t>
  </si>
  <si>
    <t>AMITY RD</t>
  </si>
  <si>
    <t xml:space="preserve">MARINACK JOSEPHINE A </t>
  </si>
  <si>
    <t>JOST DENNIS G &amp; CONSTANCE L (W)</t>
  </si>
  <si>
    <t>1243 VOSKAMP ST</t>
  </si>
  <si>
    <t>MARFIN VIRGINIA M &amp; JOSEPH A</t>
  </si>
  <si>
    <t>NELSON</t>
  </si>
  <si>
    <t>YETTA AVE</t>
  </si>
  <si>
    <t xml:space="preserve">ARMSTONG DOLORES J </t>
  </si>
  <si>
    <t xml:space="preserve">HELD DANIEL C </t>
  </si>
  <si>
    <t>HELD DANIEL C</t>
  </si>
  <si>
    <t xml:space="preserve">NOVAK ANDREW </t>
  </si>
  <si>
    <t>0 BASIN ST</t>
  </si>
  <si>
    <t>BASIN ST</t>
  </si>
  <si>
    <t xml:space="preserve">SNYDER ELSIE </t>
  </si>
  <si>
    <t>0 BOHEMIAN WAY</t>
  </si>
  <si>
    <t xml:space="preserve">SMITH FRANCES E </t>
  </si>
  <si>
    <t>1126 BRABEC ST</t>
  </si>
  <si>
    <t>DUNCAN DAVID A &amp; CAROLE A (W)</t>
  </si>
  <si>
    <t>1136 BRABEC ST</t>
  </si>
  <si>
    <t xml:space="preserve">CONCEPCION SOCRATES </t>
  </si>
  <si>
    <t>AUER EDWARD W &amp; MICHELLE (W)</t>
  </si>
  <si>
    <t>1146 BRABEC ST</t>
  </si>
  <si>
    <t>AUER EDWARD W &amp; MICHE</t>
  </si>
  <si>
    <t>LAGER DR</t>
  </si>
  <si>
    <t xml:space="preserve">AMERIS JAMES </t>
  </si>
  <si>
    <t>1302 LOWRIE ST</t>
  </si>
  <si>
    <t xml:space="preserve">AMERIS JAMES ANDREW </t>
  </si>
  <si>
    <t>0 LOWRIE ST</t>
  </si>
  <si>
    <t>AMERIS JAMES ANDREW</t>
  </si>
  <si>
    <t>CHERRY BARK DR</t>
  </si>
  <si>
    <t xml:space="preserve">PREMENTINE RUTH A </t>
  </si>
  <si>
    <t xml:space="preserve">OPPERMAN HILARY C </t>
  </si>
  <si>
    <t>TAYLOR AVE APT 503</t>
  </si>
  <si>
    <t>ROSENBERGER JAMES  &amp; LEANNE (W)</t>
  </si>
  <si>
    <t>WOODCOVE PL</t>
  </si>
  <si>
    <t xml:space="preserve">FRANCOIS EMMANUEL </t>
  </si>
  <si>
    <t>1334 LOWRIE ST</t>
  </si>
  <si>
    <t>OAK BEND WAY</t>
  </si>
  <si>
    <t>LAWERENCEVILLE</t>
  </si>
  <si>
    <t>SCHELL EDWARD C &amp; ROBERT J SCHELL</t>
  </si>
  <si>
    <t xml:space="preserve">RUIZ MERCEDES RUBI </t>
  </si>
  <si>
    <t>1338 TRUAX WAY</t>
  </si>
  <si>
    <t>OWENDALE AVE</t>
  </si>
  <si>
    <t xml:space="preserve">THA THA                                         </t>
  </si>
  <si>
    <t>1337 LOWRIE ST</t>
  </si>
  <si>
    <t xml:space="preserve">JJ REMOLDELING INC </t>
  </si>
  <si>
    <t>1328 TRUAX WAY</t>
  </si>
  <si>
    <t xml:space="preserve">KERR KELLY </t>
  </si>
  <si>
    <t>1148 GOETTMAN ST</t>
  </si>
  <si>
    <t>KLEBER ST</t>
  </si>
  <si>
    <t>MCCLOSKEY JOHN F &amp; JEAN S (W)</t>
  </si>
  <si>
    <t>1143 BRABEC ST</t>
  </si>
  <si>
    <t>MCCLOSKEY JOHN F &amp; JE</t>
  </si>
  <si>
    <t xml:space="preserve">LAPOINT MARIA LAURA                             </t>
  </si>
  <si>
    <t>1141 BRABEC ST</t>
  </si>
  <si>
    <t xml:space="preserve">HARNISH KIMBERLY L </t>
  </si>
  <si>
    <t>1128 GOETTMAN ST</t>
  </si>
  <si>
    <t>1123 GOETTMAN ST</t>
  </si>
  <si>
    <t xml:space="preserve">KING CASSANDRA </t>
  </si>
  <si>
    <t>1151 GOETTMAN ST</t>
  </si>
  <si>
    <t xml:space="preserve">H3 MANAGEMENT LLC </t>
  </si>
  <si>
    <t>0 GOETTMAN ST</t>
  </si>
  <si>
    <t>H1 MANAGEMENT  LLC</t>
  </si>
  <si>
    <t>PO BOX 2154</t>
  </si>
  <si>
    <t>YOKEL JOHN T &amp; MARIE L (W)</t>
  </si>
  <si>
    <t>1318 GOETTMAN ST</t>
  </si>
  <si>
    <t>FRANTZ JEREMY D &amp; AMY E (W)</t>
  </si>
  <si>
    <t>1322 GOETTMAN ST</t>
  </si>
  <si>
    <t>MCCLELLAN DR</t>
  </si>
  <si>
    <t xml:space="preserve">CRIVELLI CRYSTAL A </t>
  </si>
  <si>
    <t>1324 GOETTMAN ST</t>
  </si>
  <si>
    <t>1328 GOETTMAN ST</t>
  </si>
  <si>
    <t>FRANTZ JEREMY D &amp; AMY</t>
  </si>
  <si>
    <t xml:space="preserve">PHELPS-ROHRS MATTHEW </t>
  </si>
  <si>
    <t>1329 TRUAX WAY</t>
  </si>
  <si>
    <t>ROHRS MATTHEW PHELPS</t>
  </si>
  <si>
    <t xml:space="preserve">JOCKEL LORI E </t>
  </si>
  <si>
    <t>0 TROY HILL RD</t>
  </si>
  <si>
    <t>LUTY ST</t>
  </si>
  <si>
    <t>1332 GOETTMAN ST</t>
  </si>
  <si>
    <t xml:space="preserve">MORGAN-BETRIS PATRICIA J </t>
  </si>
  <si>
    <t>1337 TRUAX WAY</t>
  </si>
  <si>
    <t>MORGAN-BETRIS PATRICI</t>
  </si>
  <si>
    <t>TRUAX WAY</t>
  </si>
  <si>
    <t xml:space="preserve">DOMAIN STRATEGIES LLC </t>
  </si>
  <si>
    <t>GLASS RUN RD</t>
  </si>
  <si>
    <t xml:space="preserve">MY PEARL INVESTMENTS LLC </t>
  </si>
  <si>
    <t>1362 GOETTMAN ST</t>
  </si>
  <si>
    <t>PO BOX 99655</t>
  </si>
  <si>
    <t>BRUSCO CHARLES G &amp; JACQUELINE (W)</t>
  </si>
  <si>
    <t>SHIRL DR</t>
  </si>
  <si>
    <t>0 E OHIO ST</t>
  </si>
  <si>
    <t>BRUSCO CHARLES  &amp; JACQUELINE (W)</t>
  </si>
  <si>
    <t>1440 E OHIO ST</t>
  </si>
  <si>
    <t>RUPERT TIMOTHY NEWTON &amp; KELLY SUE (W)</t>
  </si>
  <si>
    <t>6 WATERSIDE PL</t>
  </si>
  <si>
    <t>RUPERT TIMOTHY NEWTON</t>
  </si>
  <si>
    <t>WATERSIDE PL</t>
  </si>
  <si>
    <t>DODDS JEFFREY E &amp; ANGELA B (W)</t>
  </si>
  <si>
    <t>57 WATERFRONT DR</t>
  </si>
  <si>
    <t xml:space="preserve">JEFFREY E &amp; ANGELA B </t>
  </si>
  <si>
    <t>WATERFRONT DR</t>
  </si>
  <si>
    <t>SILVERMAN ROBERT &amp; JULIE (W)</t>
  </si>
  <si>
    <t>58 WATERFRONT DR</t>
  </si>
  <si>
    <t>ROBERT &amp; JULIE SILIVE</t>
  </si>
  <si>
    <t>CAMPBELL JAMES &amp; JODY (W)</t>
  </si>
  <si>
    <t>59 WATERFRONT DR</t>
  </si>
  <si>
    <t xml:space="preserve">GROSCO L P </t>
  </si>
  <si>
    <t>64 WATERFRONT DR</t>
  </si>
  <si>
    <t>PO BOX 308</t>
  </si>
  <si>
    <t>YOUNG JAMES R &amp; JULIE R (W)</t>
  </si>
  <si>
    <t>74 WATERFRONT DR</t>
  </si>
  <si>
    <t>YOUNG JAMES R</t>
  </si>
  <si>
    <t>SKINNER  CREEK RD</t>
  </si>
  <si>
    <t>PORT ALLEGANY</t>
  </si>
  <si>
    <t>KOLBRENER KATE A &amp; MICHAEL H (H)</t>
  </si>
  <si>
    <t>71 WATERFRONT DR</t>
  </si>
  <si>
    <t>PO BOX 85046</t>
  </si>
  <si>
    <t xml:space="preserve">VANDERGRIFT CRAIG                               </t>
  </si>
  <si>
    <t>70 WATERFRONT DR</t>
  </si>
  <si>
    <t>RECTOR MARGARET ETAL</t>
  </si>
  <si>
    <t>0 EAST ST</t>
  </si>
  <si>
    <t>EAST ST</t>
  </si>
  <si>
    <t xml:space="preserve">FOSTER EARL PATRICK </t>
  </si>
  <si>
    <t>124 BRAHM ST</t>
  </si>
  <si>
    <t xml:space="preserve">BECK CAROLINE </t>
  </si>
  <si>
    <t>0 BRAHM ST</t>
  </si>
  <si>
    <t xml:space="preserve">BALZERT PAUL  &amp; ELSIE </t>
  </si>
  <si>
    <t>0 OVERBECK ST</t>
  </si>
  <si>
    <t>OVERBECK ST</t>
  </si>
  <si>
    <t xml:space="preserve">SOFRANKO GEORGE F </t>
  </si>
  <si>
    <t xml:space="preserve">BARIE LAWRENCE EDWARD </t>
  </si>
  <si>
    <t>1824 RHINE ST</t>
  </si>
  <si>
    <t xml:space="preserve">COLLINS SEAIRA </t>
  </si>
  <si>
    <t>0 RHINE ST</t>
  </si>
  <si>
    <t>VERNON AVE UNIT C</t>
  </si>
  <si>
    <t>JURACKO PAUL  &amp; DOROTHY (W)</t>
  </si>
  <si>
    <t>1814 RHINE ST</t>
  </si>
  <si>
    <t>RHINE ST</t>
  </si>
  <si>
    <t>VINCIGUERRA JOSEPH &amp; AMBER (W)</t>
  </si>
  <si>
    <t>1823 RHINE ST</t>
  </si>
  <si>
    <t>SCHOOL RD</t>
  </si>
  <si>
    <t>0 HUNNELL ST</t>
  </si>
  <si>
    <t xml:space="preserve">GREBNER MATTHEW </t>
  </si>
  <si>
    <t>HUNNELL ST</t>
  </si>
  <si>
    <t>PEOPLE FIRST SOLUTIONS  LLC</t>
  </si>
  <si>
    <t>0 WOESSNER AVE</t>
  </si>
  <si>
    <t>PEOPLE FIRST SOLUTION</t>
  </si>
  <si>
    <t>FIRST AVE</t>
  </si>
  <si>
    <t xml:space="preserve">JONES DONALD M </t>
  </si>
  <si>
    <t>PO BOX 383</t>
  </si>
  <si>
    <t>MARCHASE JOHN B &amp; ANGELINE (W)</t>
  </si>
  <si>
    <t>WOESSNER ST</t>
  </si>
  <si>
    <t xml:space="preserve">KOCH KEITH K </t>
  </si>
  <si>
    <t>37 WOESSNER AVE</t>
  </si>
  <si>
    <t xml:space="preserve">KOCH KEITH </t>
  </si>
  <si>
    <t>35 WOESSNER AVE</t>
  </si>
  <si>
    <t>MARCHESE JOHN B &amp; ANGELINE (W)</t>
  </si>
  <si>
    <t xml:space="preserve">BALLOW DONNA M </t>
  </si>
  <si>
    <t>29 WOESSNER AVE</t>
  </si>
  <si>
    <t xml:space="preserve">FOHL PAUL J </t>
  </si>
  <si>
    <t>27 WOESSNER AVE</t>
  </si>
  <si>
    <t>19 WOESSNER AVE</t>
  </si>
  <si>
    <t>GREBNER MATTHEW</t>
  </si>
  <si>
    <t>ACIERNO STEFANO  &amp; DEBORAH A (W)</t>
  </si>
  <si>
    <t>CLENDENNING RD</t>
  </si>
  <si>
    <t xml:space="preserve">HARANGOZO EMILY </t>
  </si>
  <si>
    <t>38 WOESSNER AVE</t>
  </si>
  <si>
    <t>WOESSNER AVE</t>
  </si>
  <si>
    <t xml:space="preserve">TIMMERSON WADE </t>
  </si>
  <si>
    <t>LINCOLN HIGHLANDS DR</t>
  </si>
  <si>
    <t xml:space="preserve">BARKER JOSEPH JR </t>
  </si>
  <si>
    <t xml:space="preserve">HYSONG ARTHUR S </t>
  </si>
  <si>
    <t xml:space="preserve">LEAVER THOMAS E </t>
  </si>
  <si>
    <t>1900 RHINE ST</t>
  </si>
  <si>
    <t>1815 RIALTO ST</t>
  </si>
  <si>
    <t xml:space="preserve">JONES ANDREW TRELOAR </t>
  </si>
  <si>
    <t>1806 HARPSTER ST</t>
  </si>
  <si>
    <t>HARPSTER ST</t>
  </si>
  <si>
    <t xml:space="preserve">MUSTAKAS ARTHUR G </t>
  </si>
  <si>
    <t>28 SOLAR ST</t>
  </si>
  <si>
    <t>W DELAWARE PKWY</t>
  </si>
  <si>
    <t>VILLAS</t>
  </si>
  <si>
    <t xml:space="preserve">SMITH GARY F </t>
  </si>
  <si>
    <t>INDUSTRIAL BLVD STE 2</t>
  </si>
  <si>
    <t xml:space="preserve">GREENER HAROLD III                              </t>
  </si>
  <si>
    <t>55 LAREDA ST</t>
  </si>
  <si>
    <t xml:space="preserve">WINDHORST PATRICK J </t>
  </si>
  <si>
    <t>57 LAREDA ST</t>
  </si>
  <si>
    <t>0 SOLAR ST</t>
  </si>
  <si>
    <t xml:space="preserve">SAKMAR GEORGE J </t>
  </si>
  <si>
    <t xml:space="preserve">WETHERILL SABRINA LAURA </t>
  </si>
  <si>
    <t>SOLAR ST</t>
  </si>
  <si>
    <t>48 SOLAR ST</t>
  </si>
  <si>
    <t>VOLKMAN MILDRED L &amp; GEORGE D VOLKMAN</t>
  </si>
  <si>
    <t>0 LAREDA ST</t>
  </si>
  <si>
    <t>KRYL WILLIAM J &amp; &amp; MARIAN A (W)</t>
  </si>
  <si>
    <t>HERMAN CHARLES A &amp; VIRGINIA (W)</t>
  </si>
  <si>
    <t>61 SOLAR ST</t>
  </si>
  <si>
    <t xml:space="preserve">HERMAN JOHN </t>
  </si>
  <si>
    <t xml:space="preserve">URSHLER LEAH M </t>
  </si>
  <si>
    <t>SCHOAF LEAH MARIE  URSCHLER</t>
  </si>
  <si>
    <t>55 SOLAR ST</t>
  </si>
  <si>
    <t>SCHOAF LEAH MARIE URS</t>
  </si>
  <si>
    <t>S HOWARD AVE APT 18</t>
  </si>
  <si>
    <t>BADDERS MARY LOU &amp; GEORGE ROBERT BADDERS</t>
  </si>
  <si>
    <t>35 SOLAR ST</t>
  </si>
  <si>
    <t xml:space="preserve">NEMCOK TOMAS </t>
  </si>
  <si>
    <t xml:space="preserve">GOYDA MATTHEW </t>
  </si>
  <si>
    <t>ALAINA INVESTMENT  COMPANY LLC</t>
  </si>
  <si>
    <t>ALAINA INVESTMENT COM</t>
  </si>
  <si>
    <t xml:space="preserve">HUNT STEVEN </t>
  </si>
  <si>
    <t>100 BRAHM ST</t>
  </si>
  <si>
    <t xml:space="preserve">JURATOVIC CHERYL L </t>
  </si>
  <si>
    <t>93 OVERBECK ST</t>
  </si>
  <si>
    <t xml:space="preserve">MILLER NANCY </t>
  </si>
  <si>
    <t>MEGARRY ROBERT J &amp; ROBIN (W)</t>
  </si>
  <si>
    <t>97 OVERBECK ST</t>
  </si>
  <si>
    <t>DAVIS CAIN &amp; LADEEN MC CRAY-DAVIS (W)</t>
  </si>
  <si>
    <t>DAVIS CAIN &amp; LADEEN M</t>
  </si>
  <si>
    <t>PINNACLE PL</t>
  </si>
  <si>
    <t>JOHNSTON MICHAEL &amp; SAMANTHA (W)</t>
  </si>
  <si>
    <t>88 OVERBECK ST</t>
  </si>
  <si>
    <t>JOHNSTON MICHAEL &amp; SA</t>
  </si>
  <si>
    <t xml:space="preserve">TUCKER ANTHONY </t>
  </si>
  <si>
    <t>1834 OVERBECK ST</t>
  </si>
  <si>
    <t xml:space="preserve">MIZAK MILDRED </t>
  </si>
  <si>
    <t>W NORTH AVE APT 309</t>
  </si>
  <si>
    <t xml:space="preserve">JURATOVIC JEFFREY M </t>
  </si>
  <si>
    <t>76 OVERBECK ST</t>
  </si>
  <si>
    <t>JURATOVIC JEFFREY M</t>
  </si>
  <si>
    <t xml:space="preserve">SANDRONI DONALD E </t>
  </si>
  <si>
    <t>1818 OVERBECK ST</t>
  </si>
  <si>
    <t>1736 OVERBECK ST</t>
  </si>
  <si>
    <t xml:space="preserve">HOSACK HARRY G &amp; VELMA </t>
  </si>
  <si>
    <t>WATSON BLVD</t>
  </si>
  <si>
    <t xml:space="preserve">YOKEL KATHLEEN A </t>
  </si>
  <si>
    <t>83 SOLAR ST</t>
  </si>
  <si>
    <t>CATOMA ST</t>
  </si>
  <si>
    <t>MILLER ARTHUR W &amp; HELEN E</t>
  </si>
  <si>
    <t>EDGE RD</t>
  </si>
  <si>
    <t xml:space="preserve">HUMMINGBIRD HOMES </t>
  </si>
  <si>
    <t>NAVAJO RD</t>
  </si>
  <si>
    <t>SCHUE TERI M &amp; WILLIAM LYELL SCHUE</t>
  </si>
  <si>
    <t>ARTHUR DAVID G &amp; SHARON A (W)</t>
  </si>
  <si>
    <t>ARTHUR DAVID G &amp; SHAR</t>
  </si>
  <si>
    <t>BROWNS HILL RD</t>
  </si>
  <si>
    <t>WALTHER LAWRENCE E &amp; HELEN L</t>
  </si>
  <si>
    <t>92 SOLAR ST</t>
  </si>
  <si>
    <t>LINCOLN BLVD</t>
  </si>
  <si>
    <t xml:space="preserve">YEAGER GUSTAVE A JR </t>
  </si>
  <si>
    <t xml:space="preserve">KASTROLL MICHAEL D </t>
  </si>
  <si>
    <t>GLEN EDEN RD</t>
  </si>
  <si>
    <t xml:space="preserve">POWERS JOHN H &amp; MERYL A </t>
  </si>
  <si>
    <t>CARNATION AVE</t>
  </si>
  <si>
    <t xml:space="preserve">EMPTY SPACE HOLDINGS LLC </t>
  </si>
  <si>
    <t xml:space="preserve">EMPTY SPACE HOLDINGS </t>
  </si>
  <si>
    <t>ODANAH ST</t>
  </si>
  <si>
    <t xml:space="preserve">LYNCH FRANK D </t>
  </si>
  <si>
    <t>1230 ITIN ST</t>
  </si>
  <si>
    <t xml:space="preserve">PAZERSKI GAYLE E                                </t>
  </si>
  <si>
    <t>1239 HASLAGE AVE</t>
  </si>
  <si>
    <t xml:space="preserve">SCHMITT MARGARET A </t>
  </si>
  <si>
    <t>1227 HASLAGE AVE</t>
  </si>
  <si>
    <t xml:space="preserve">AMERICAN HOUSING TRUST I </t>
  </si>
  <si>
    <t>1225 HASLAGE AVE</t>
  </si>
  <si>
    <t xml:space="preserve">MACLAY KAYDEN </t>
  </si>
  <si>
    <t>1216 HASLAGE AVE</t>
  </si>
  <si>
    <t>MULLNER DAVID W &amp; DONNA L (W)</t>
  </si>
  <si>
    <t>1126 HASLAGE AVE</t>
  </si>
  <si>
    <t>MULLNER DAVID W &amp; DON</t>
  </si>
  <si>
    <t xml:space="preserve">MGF COMPANY </t>
  </si>
  <si>
    <t>1214 YETTA AVE</t>
  </si>
  <si>
    <t>S MAIN ST UNIT 36</t>
  </si>
  <si>
    <t>SEBASTOPOL</t>
  </si>
  <si>
    <t>LIPPERT THERESA &amp; KENNETH (H)</t>
  </si>
  <si>
    <t>1702 LEISTER ST</t>
  </si>
  <si>
    <t xml:space="preserve">MCKINNON JORDAN LEE </t>
  </si>
  <si>
    <t>JORDAN LEE MCKINNON</t>
  </si>
  <si>
    <t>295 DUFFERIN ST</t>
  </si>
  <si>
    <t>TORONTO</t>
  </si>
  <si>
    <t>ON</t>
  </si>
  <si>
    <t>TORONTO ONTARI</t>
  </si>
  <si>
    <t>KROS NEST LIMITED  LIABILITY COMPANY</t>
  </si>
  <si>
    <t>4 TANK ST</t>
  </si>
  <si>
    <t>KROS NEST LIMITED LIA</t>
  </si>
  <si>
    <t>MIFFLIN ST UNIT 1</t>
  </si>
  <si>
    <t>6 TANK ST</t>
  </si>
  <si>
    <t>7 TANK ST</t>
  </si>
  <si>
    <t xml:space="preserve">LOEFFERT ROY C JR </t>
  </si>
  <si>
    <t>52 LEISTER ST</t>
  </si>
  <si>
    <t>106 SOLAR ST</t>
  </si>
  <si>
    <t xml:space="preserve">TERRY ALLAN E </t>
  </si>
  <si>
    <t>0 WALZ ST</t>
  </si>
  <si>
    <t>BUENTE ST</t>
  </si>
  <si>
    <t xml:space="preserve">JIRSA REGIS  &amp; ROSE (W) </t>
  </si>
  <si>
    <t xml:space="preserve">VAN EVERY &amp; SON LLC                 </t>
  </si>
  <si>
    <t>VAN EVERY &amp; SON LLC</t>
  </si>
  <si>
    <t>VAN EVERY &amp; SON LLC ETAL</t>
  </si>
  <si>
    <t>VAN EVERY DAVID A</t>
  </si>
  <si>
    <t>MAIN ST #33</t>
  </si>
  <si>
    <t>NATRONA HTS</t>
  </si>
  <si>
    <t xml:space="preserve">LINDENFELSER RITA H </t>
  </si>
  <si>
    <t>SHELLY DAVID J &amp; KIMBERLY L SIEG</t>
  </si>
  <si>
    <t>DAVIS AVE</t>
  </si>
  <si>
    <t xml:space="preserve">MARS CONNIE </t>
  </si>
  <si>
    <t>1608 WALZ ST</t>
  </si>
  <si>
    <t>WALZ ST</t>
  </si>
  <si>
    <t xml:space="preserve">PINCKNEY MAURICE </t>
  </si>
  <si>
    <t>PENN CIR W APT V401</t>
  </si>
  <si>
    <t xml:space="preserve">PAIL JOSEPH </t>
  </si>
  <si>
    <t>0 HOMER ST</t>
  </si>
  <si>
    <t>GROSSE HARRY O &amp; RUTH (W)</t>
  </si>
  <si>
    <t>0 HORNER ST</t>
  </si>
  <si>
    <t xml:space="preserve">0231 ITIN TRUST  PINNACLE TRUST SERVICES </t>
  </si>
  <si>
    <t>1320 ITIN ST</t>
  </si>
  <si>
    <t>LAMBERT ROBERT  &amp; SUSAN A (W)</t>
  </si>
  <si>
    <t>0 IONA ST</t>
  </si>
  <si>
    <t>IONA ST</t>
  </si>
  <si>
    <t xml:space="preserve">LAMBERT SUSAN ANN &amp; ROBERT (H)              </t>
  </si>
  <si>
    <t>REMASAH</t>
  </si>
  <si>
    <t>1420 HIGH ST</t>
  </si>
  <si>
    <t>SCHOYER CLAIRE</t>
  </si>
  <si>
    <t>SUNNY SIDE DEVLEOPMENT  LLC</t>
  </si>
  <si>
    <t>1428 HIGH ST</t>
  </si>
  <si>
    <t>SUNNY SIDE DEVLEOPMEN</t>
  </si>
  <si>
    <t xml:space="preserve">SCHMITT MATTHEW LEO </t>
  </si>
  <si>
    <t>1454 FIRTH ST</t>
  </si>
  <si>
    <t xml:space="preserve">COLLINS STEPHEN M JR </t>
  </si>
  <si>
    <t>308 HOMER ST</t>
  </si>
  <si>
    <t>STYGAR CHRISTOPHER  CARVAJAL LISA M (W)</t>
  </si>
  <si>
    <t>1518 HOMER ST</t>
  </si>
  <si>
    <t>STYGAR CHRISTOPHER CA</t>
  </si>
  <si>
    <t>HARBOR ST</t>
  </si>
  <si>
    <t xml:space="preserve">JACKSON KERASTAIN L </t>
  </si>
  <si>
    <t>1618 HOMER ST</t>
  </si>
  <si>
    <t>SHADELAND AVE</t>
  </si>
  <si>
    <t xml:space="preserve">MAKAY MAURICE GARLAND                           </t>
  </si>
  <si>
    <t>0 NOSTER ST</t>
  </si>
  <si>
    <t>HILLTOP ST</t>
  </si>
  <si>
    <t xml:space="preserve">ANESIN MELISSA M </t>
  </si>
  <si>
    <t>49 NOSTER ST</t>
  </si>
  <si>
    <t xml:space="preserve">URLACHER DONNA JEAN </t>
  </si>
  <si>
    <t>BEESON JAMES R &amp; RENEE A (W)</t>
  </si>
  <si>
    <t>1478 HIGH ST</t>
  </si>
  <si>
    <t>JONES CHARLES W &amp; PATRICIA ANN (W)</t>
  </si>
  <si>
    <t>1506 SPRING GARDEN AVE</t>
  </si>
  <si>
    <t>JONES CHARLES W &amp; PAT</t>
  </si>
  <si>
    <t>MARMADUKEA ST</t>
  </si>
  <si>
    <t xml:space="preserve">PAVOLT NATHANIEL </t>
  </si>
  <si>
    <t>1620 HARPSTER ST</t>
  </si>
  <si>
    <t>FIRST HERITAGE MORTGA</t>
  </si>
  <si>
    <t>OMALLEY ADAM P &amp; NANCY J (W)</t>
  </si>
  <si>
    <t>0 HARPSTER ST</t>
  </si>
  <si>
    <t>OMALLEY ADAM P &amp; NANC</t>
  </si>
  <si>
    <t>S FREMONT AVE APT 202</t>
  </si>
  <si>
    <t xml:space="preserve">DEWOEHREL LEROY </t>
  </si>
  <si>
    <t>PARKER PIKE</t>
  </si>
  <si>
    <t>PARKER</t>
  </si>
  <si>
    <t xml:space="preserve">ROBINSON JESTON L </t>
  </si>
  <si>
    <t>1527 HATTERAS ST</t>
  </si>
  <si>
    <t>FRAZIER STEPHEN &amp; STEPHANIE (W)</t>
  </si>
  <si>
    <t>1535 HATTERAS ST</t>
  </si>
  <si>
    <t xml:space="preserve">STEPHEN LOUIS R </t>
  </si>
  <si>
    <t>1547 HATTERAS ST</t>
  </si>
  <si>
    <t>STEPHEN LOUIS R</t>
  </si>
  <si>
    <t xml:space="preserve">QGE HOLDINGS LLC </t>
  </si>
  <si>
    <t>1408 LAGER ST</t>
  </si>
  <si>
    <t>1608 LOWRIE ST</t>
  </si>
  <si>
    <t>1614 HATTERAS ST</t>
  </si>
  <si>
    <t>PENN AVE STE 100</t>
  </si>
  <si>
    <t xml:space="preserve">BOGLITZ LOUIS  &amp; MARIE M </t>
  </si>
  <si>
    <t>1512 PURSE WAY</t>
  </si>
  <si>
    <t>MARY LOU BOGLITZ</t>
  </si>
  <si>
    <t>PURSE WAY</t>
  </si>
  <si>
    <t xml:space="preserve">KING COLIN T </t>
  </si>
  <si>
    <t>1711 HARPSTER ST</t>
  </si>
  <si>
    <t>1622 HATTERAS ST</t>
  </si>
  <si>
    <t>CASSON JAMES R &amp; MELISSA A (W)</t>
  </si>
  <si>
    <t>1625 HATTERAS ST</t>
  </si>
  <si>
    <t xml:space="preserve">KOCH PAUL G &amp; JANET (W) </t>
  </si>
  <si>
    <t>0 VERONICA ST</t>
  </si>
  <si>
    <t xml:space="preserve">RUIZ RUBI </t>
  </si>
  <si>
    <t>2114 LIEDERTAFEL WAY</t>
  </si>
  <si>
    <t xml:space="preserve">ALLIANCE PA HOLDINGS LLC </t>
  </si>
  <si>
    <t>2136 LIEDERTAFEL WAY</t>
  </si>
  <si>
    <t>LIEDERTAFEL WAY</t>
  </si>
  <si>
    <t xml:space="preserve">POTTER DANIELLE RAE                             </t>
  </si>
  <si>
    <t>2102 STRAUBS LN</t>
  </si>
  <si>
    <t xml:space="preserve">MODZELEWSKI ROBERT </t>
  </si>
  <si>
    <t>0 STRAUBS LN</t>
  </si>
  <si>
    <t>2113 STRAUBS LN</t>
  </si>
  <si>
    <t>TADDA LLC</t>
  </si>
  <si>
    <t xml:space="preserve">MURPHY JOSEPH P &amp; JANE L </t>
  </si>
  <si>
    <t>2152 STRAUBS LN</t>
  </si>
  <si>
    <t>STRAUBS LN</t>
  </si>
  <si>
    <t>NEAL KELLY J &amp; CLYDE D (H)</t>
  </si>
  <si>
    <t>2139 STRAUBS LN</t>
  </si>
  <si>
    <t xml:space="preserve">NEAL KELLY J &amp; CLYDE </t>
  </si>
  <si>
    <t xml:space="preserve">SCHWARTZ NICOLE L </t>
  </si>
  <si>
    <t>2154 LEY ST</t>
  </si>
  <si>
    <t>LEY ST</t>
  </si>
  <si>
    <t xml:space="preserve">COX BRANDI L </t>
  </si>
  <si>
    <t xml:space="preserve">FICHTER IMOGENE V </t>
  </si>
  <si>
    <t>2159 LOWRIE ST</t>
  </si>
  <si>
    <t xml:space="preserve">WEHNER JOSEPH B </t>
  </si>
  <si>
    <t>2179 LOWRIE ST</t>
  </si>
  <si>
    <t xml:space="preserve">HENNING JAMES G </t>
  </si>
  <si>
    <t>1930 TOURS ST</t>
  </si>
  <si>
    <t>JAMES G HENNING</t>
  </si>
  <si>
    <t>TOURS ST</t>
  </si>
  <si>
    <t>1826 RIALTO ST</t>
  </si>
  <si>
    <t>MARTIN MARY M &amp; MARTIN FLOYD G</t>
  </si>
  <si>
    <t>117 RIALTO PL</t>
  </si>
  <si>
    <t>RIALTO PL</t>
  </si>
  <si>
    <t xml:space="preserve">YAGUSIC JAMES                                   </t>
  </si>
  <si>
    <t>1918 MOUNT TROY RD</t>
  </si>
  <si>
    <t>YAGUSIC JAMES</t>
  </si>
  <si>
    <t>BIERNSTEIN WILLIAM H &amp; MARY C (W)</t>
  </si>
  <si>
    <t>1811 SUNDEMAN ST</t>
  </si>
  <si>
    <t xml:space="preserve">RICHTER SAMANTHA </t>
  </si>
  <si>
    <t>0 SUNDEMAN ST</t>
  </si>
  <si>
    <t>SUNDERMAN ST</t>
  </si>
  <si>
    <t>MCPHERSON ROBERT W &amp; RISSA (W)</t>
  </si>
  <si>
    <t>2010 VERONICA ST</t>
  </si>
  <si>
    <t xml:space="preserve">COLAIZZI GREGORY P </t>
  </si>
  <si>
    <t>2005 VERONICA ST</t>
  </si>
  <si>
    <t>TELEGRAPH RD</t>
  </si>
  <si>
    <t>DOUGLAS CHRISTOPHER  THIRY- MATT</t>
  </si>
  <si>
    <t>2023 VERONICA ST</t>
  </si>
  <si>
    <t>DOUGLAS CHRISTOPHER T</t>
  </si>
  <si>
    <t>VERONICA ST</t>
  </si>
  <si>
    <t xml:space="preserve">REYBURN BRIAN </t>
  </si>
  <si>
    <t>2035 VERONICA ST</t>
  </si>
  <si>
    <t>REYBURN BRIAN</t>
  </si>
  <si>
    <t>GROSSKINSKY MARGARET  KATHERINE</t>
  </si>
  <si>
    <t>2047 VERONICA ST</t>
  </si>
  <si>
    <t>PO BOX 61009</t>
  </si>
  <si>
    <t xml:space="preserve">THINK BIG CAMPAIGNS LLC </t>
  </si>
  <si>
    <t>2051 VERONICA ST</t>
  </si>
  <si>
    <t>THINK BIG CAMPAIGNS L</t>
  </si>
  <si>
    <t>DEXTER DR</t>
  </si>
  <si>
    <t xml:space="preserve">BOLAR SHERRY  CHRISTOPHER             </t>
  </si>
  <si>
    <t>2044 STRAUBS LN</t>
  </si>
  <si>
    <t>BOLAR SHERRY CHRISTOP</t>
  </si>
  <si>
    <t xml:space="preserve">CAROTHERS PATRICK W </t>
  </si>
  <si>
    <t>2028 STRAUBS LN</t>
  </si>
  <si>
    <t xml:space="preserve">1966-68 STRAUBS LLC </t>
  </si>
  <si>
    <t>1966 STRAUBS LN</t>
  </si>
  <si>
    <t>CANYON LAKE DR</t>
  </si>
  <si>
    <t>WYLIE</t>
  </si>
  <si>
    <t>1959 LIEDERTAFEL WAY</t>
  </si>
  <si>
    <t>1962 STRAUBS LN</t>
  </si>
  <si>
    <t xml:space="preserve">TOZER MICAH </t>
  </si>
  <si>
    <t>1956 STRAUBS LN</t>
  </si>
  <si>
    <t>TOZER MICAH</t>
  </si>
  <si>
    <t xml:space="preserve">BLASH NOEL </t>
  </si>
  <si>
    <t>1955 STRAUBS LN</t>
  </si>
  <si>
    <t xml:space="preserve">JONES DARWIN A JR </t>
  </si>
  <si>
    <t>0 LEY ST</t>
  </si>
  <si>
    <t>FROHNAPFEL WILLIAM A &amp; DOROTHY B</t>
  </si>
  <si>
    <t xml:space="preserve">FROHNAPFEL WILLIAM A </t>
  </si>
  <si>
    <t xml:space="preserve">KARNS RACHEL </t>
  </si>
  <si>
    <t>1811 NIGGEL ST</t>
  </si>
  <si>
    <t>TROY HILL DEVELOPMENT  LLC</t>
  </si>
  <si>
    <t>2003 STRAUBS LN</t>
  </si>
  <si>
    <t>BISHOPS LODGE RD</t>
  </si>
  <si>
    <t xml:space="preserve">PREVOST NOEL </t>
  </si>
  <si>
    <t>2020 LEY ST</t>
  </si>
  <si>
    <t xml:space="preserve">SUTHELIN JUANITA J </t>
  </si>
  <si>
    <t>2032 LEY ST</t>
  </si>
  <si>
    <t xml:space="preserve">HEGEDUS MAXWELL J </t>
  </si>
  <si>
    <t>2037 STRAUBS LN</t>
  </si>
  <si>
    <t>ELMWOOD RD</t>
  </si>
  <si>
    <t>GEISLER JOHN A &amp; ROSE A (W)</t>
  </si>
  <si>
    <t>2109 STRAUBS LN</t>
  </si>
  <si>
    <t xml:space="preserve">PERRY JASON R </t>
  </si>
  <si>
    <t>2042 LOWRIE ST</t>
  </si>
  <si>
    <t>PO BOX 24507</t>
  </si>
  <si>
    <t>P O BOX 185</t>
  </si>
  <si>
    <t xml:space="preserve">MURDY EDWARD J II </t>
  </si>
  <si>
    <t>2028 LOWRIE ST</t>
  </si>
  <si>
    <t>MURDY EDWARD J II</t>
  </si>
  <si>
    <t>MURDY EDWARD J &amp; BARBARA J</t>
  </si>
  <si>
    <t>2026 LOWRIE ST</t>
  </si>
  <si>
    <t>ELFINWILD RD</t>
  </si>
  <si>
    <t>MURDY EDWARD J SR &amp; BARBARA J (W)</t>
  </si>
  <si>
    <t>2022 LOWRIE ST</t>
  </si>
  <si>
    <t>MURDY EDWARD J SR &amp; B</t>
  </si>
  <si>
    <t xml:space="preserve">ALAL PROPERTIES LLC </t>
  </si>
  <si>
    <t>1964 LOWRIE ST</t>
  </si>
  <si>
    <t>ALAL PROPERTIES LLC</t>
  </si>
  <si>
    <t>HOFFMAN RD</t>
  </si>
  <si>
    <t xml:space="preserve">NERONE MICHAEL W </t>
  </si>
  <si>
    <t>2103 LOWRIE ST</t>
  </si>
  <si>
    <t>BRIDGE ST</t>
  </si>
  <si>
    <t>FERRIS JOHN T &amp; BERTHA M (W)</t>
  </si>
  <si>
    <t>2028 LAUTNER ST</t>
  </si>
  <si>
    <t>LAUTNER ST</t>
  </si>
  <si>
    <t xml:space="preserve">BALL MICHAEL R </t>
  </si>
  <si>
    <t>2020 LAUTNER ST</t>
  </si>
  <si>
    <t>WCC PROPERTY  DEVELOPMENT LLC</t>
  </si>
  <si>
    <t>2114 LAUTNER ST</t>
  </si>
  <si>
    <t>WCC PROPERTY DEVELOPM</t>
  </si>
  <si>
    <t>LAUTNER PROPERTIES PA  IL LLC</t>
  </si>
  <si>
    <t>2124 LAUTNER ST</t>
  </si>
  <si>
    <t>LAUTNER PROPERTIES PA</t>
  </si>
  <si>
    <t>PLEASANT RD STE A</t>
  </si>
  <si>
    <t>TEGA CAY</t>
  </si>
  <si>
    <t>2126 LAUTNER ST</t>
  </si>
  <si>
    <t>NOVOGRADAC JOHN R &amp; NANCY C</t>
  </si>
  <si>
    <t>1915 LOOKOUT ST</t>
  </si>
  <si>
    <t>LOOKOUT ST</t>
  </si>
  <si>
    <t xml:space="preserve">NOVOGRADAC CHRISS </t>
  </si>
  <si>
    <t>1913 LOOKOUT ST</t>
  </si>
  <si>
    <t xml:space="preserve">ROBERTS PHYLLIS L </t>
  </si>
  <si>
    <t>0 LOOKOUT ST</t>
  </si>
  <si>
    <t>2123 LAUTNER ST</t>
  </si>
  <si>
    <t xml:space="preserve">MANN BRANDI L </t>
  </si>
  <si>
    <t>2115 LAUTNER ST</t>
  </si>
  <si>
    <t xml:space="preserve">HERMAN KAREN T </t>
  </si>
  <si>
    <t>2113 LAUTNER ST</t>
  </si>
  <si>
    <t>NEUROHR RICHARD J &amp; ELIZABETH A</t>
  </si>
  <si>
    <t>2035 EGGERS ST</t>
  </si>
  <si>
    <t>EGGERS ST</t>
  </si>
  <si>
    <t>1938 LEY ST</t>
  </si>
  <si>
    <t xml:space="preserve">COBB KENDRICK </t>
  </si>
  <si>
    <t>COBB KENDRICK</t>
  </si>
  <si>
    <t>SHERWOOD PL</t>
  </si>
  <si>
    <t xml:space="preserve">GUENTHER FRANCIS C SR </t>
  </si>
  <si>
    <t>1732 COWLEY ST</t>
  </si>
  <si>
    <t>COWLEY ST</t>
  </si>
  <si>
    <t>1719 RIALTO ST</t>
  </si>
  <si>
    <t>BALL MICHAEL</t>
  </si>
  <si>
    <t>MURPHY TIMOTHY JOSEPH &amp; KAITLIN (W)</t>
  </si>
  <si>
    <t>1832 LEY ST</t>
  </si>
  <si>
    <t xml:space="preserve">LEINDECKER JAMES </t>
  </si>
  <si>
    <t>1830 LEY ST</t>
  </si>
  <si>
    <t>ANR PROPERTIES LLC       ETAL</t>
  </si>
  <si>
    <t>1824 LEY ST</t>
  </si>
  <si>
    <t>PO BOX 446</t>
  </si>
  <si>
    <t xml:space="preserve">A &amp; B RENOVATION LLC </t>
  </si>
  <si>
    <t xml:space="preserve">SACRIPONTE ALISON                               </t>
  </si>
  <si>
    <t>1809 HARPSTER ST</t>
  </si>
  <si>
    <t xml:space="preserve">LIPPERT DAVID M </t>
  </si>
  <si>
    <t>1520 FROMAN ST</t>
  </si>
  <si>
    <t>LIPPERT DAVID M</t>
  </si>
  <si>
    <t>CLUB SIDE DR</t>
  </si>
  <si>
    <t xml:space="preserve">KARA REAL ESTATE LLC </t>
  </si>
  <si>
    <t>1836 LOWRIE ST</t>
  </si>
  <si>
    <t>LAZEWSKI JOSEPH J &amp; LYNN K (W)</t>
  </si>
  <si>
    <t>1906 LOWRIE ST</t>
  </si>
  <si>
    <t xml:space="preserve">LEY STREET HOLDINGS LLC </t>
  </si>
  <si>
    <t>1901 LEY ST</t>
  </si>
  <si>
    <t>LEY STREET HOLDINGS L</t>
  </si>
  <si>
    <t>S 22ND ST APT 2</t>
  </si>
  <si>
    <t>1912 LOWRIE ST</t>
  </si>
  <si>
    <t>LAWRIE ST</t>
  </si>
  <si>
    <t xml:space="preserve">PERSINGER MIKOLE P                              </t>
  </si>
  <si>
    <t>1944 LOWRIE ST</t>
  </si>
  <si>
    <t>1509 FLECK ST</t>
  </si>
  <si>
    <t xml:space="preserve">DUMRAUF JEAN </t>
  </si>
  <si>
    <t>1835 LOWRIE ST</t>
  </si>
  <si>
    <t xml:space="preserve">HESIDENCE WILLIAM B </t>
  </si>
  <si>
    <t>0 RIALTO ST</t>
  </si>
  <si>
    <t>HARTMAN ST</t>
  </si>
  <si>
    <t xml:space="preserve">ARMENTI MICHAEL ANGELO </t>
  </si>
  <si>
    <t>ALLEGHENY VALLEY BK O</t>
  </si>
  <si>
    <t xml:space="preserve">VICTORIA PHILIP A JR </t>
  </si>
  <si>
    <t>1714 LOWRIE ST</t>
  </si>
  <si>
    <t xml:space="preserve">HIGH ON THE HILL  HOLDINGS LP             </t>
  </si>
  <si>
    <t>1718 LOWRIE ST</t>
  </si>
  <si>
    <t>HIGH ON THE HILL HOLD</t>
  </si>
  <si>
    <t xml:space="preserve">PIZZARATI LLC </t>
  </si>
  <si>
    <t>1712 LOWRIE ST</t>
  </si>
  <si>
    <t xml:space="preserve">TROY HILL CITIZENS INC </t>
  </si>
  <si>
    <t>1619 LOWRIE ST</t>
  </si>
  <si>
    <t>TROY HILL CITIZENS IN</t>
  </si>
  <si>
    <t>1701 LOWRIE ST</t>
  </si>
  <si>
    <t>GIBSON MATTHEW &amp; MONI</t>
  </si>
  <si>
    <t>1717 LOWRIE ST</t>
  </si>
  <si>
    <t>SNYDER DANIEL J</t>
  </si>
  <si>
    <t xml:space="preserve">NICOTRA JOHN J &amp; EVA (W) </t>
  </si>
  <si>
    <t>1801 LOWRIE ST</t>
  </si>
  <si>
    <t xml:space="preserve">TYLENDA JO ANN </t>
  </si>
  <si>
    <t xml:space="preserve">MARKET REVIEW PUBLISHING </t>
  </si>
  <si>
    <t>1722 EAST OHIO ST</t>
  </si>
  <si>
    <t xml:space="preserve"> E OHIO ST</t>
  </si>
  <si>
    <t xml:space="preserve">BUBASH FRANK G </t>
  </si>
  <si>
    <t>1634 E OHIO ST</t>
  </si>
  <si>
    <t>PO BOX  61042</t>
  </si>
  <si>
    <t>THOMAS RONALD L &amp; LUCINDA S (W)</t>
  </si>
  <si>
    <t>13 WATERFRONT DR</t>
  </si>
  <si>
    <t>THOMAS RONALD L &amp; LUC</t>
  </si>
  <si>
    <t xml:space="preserve">VALENTI JENINE A </t>
  </si>
  <si>
    <t>16 WATERFRONT DR</t>
  </si>
  <si>
    <t xml:space="preserve">RAJAN CHARAN K </t>
  </si>
  <si>
    <t>35 WATERFRONT DR</t>
  </si>
  <si>
    <t xml:space="preserve">DEKOSKY ALLISON S </t>
  </si>
  <si>
    <t>29 OVERLOOK CT</t>
  </si>
  <si>
    <t xml:space="preserve">MOSA ONE LLC </t>
  </si>
  <si>
    <t>24 OVERLOOK CT</t>
  </si>
  <si>
    <t>MOSA ONE LLC</t>
  </si>
  <si>
    <t>KENSINGTON PARK DR STE 430  8</t>
  </si>
  <si>
    <t>TUSTIN RANCH</t>
  </si>
  <si>
    <t xml:space="preserve">1914-1918 B ST LLC </t>
  </si>
  <si>
    <t>1918 B ST</t>
  </si>
  <si>
    <t>PO BOX 20410</t>
  </si>
  <si>
    <t>1916 B ST</t>
  </si>
  <si>
    <t xml:space="preserve">1914-1918 B ST LLC                              </t>
  </si>
  <si>
    <t>1914 B ST</t>
  </si>
  <si>
    <t>NORTHSIDE COALITION FOR  FAIR HOUSING INC</t>
  </si>
  <si>
    <t>NORTHSIDE COALITION F</t>
  </si>
  <si>
    <t xml:space="preserve">GLANCO STEPHEN S </t>
  </si>
  <si>
    <t>1911 B ST</t>
  </si>
  <si>
    <t>B ST</t>
  </si>
  <si>
    <t xml:space="preserve">SANDERS CHARLES S </t>
  </si>
  <si>
    <t>0 BRIGHTON RD</t>
  </si>
  <si>
    <t>ARCHBERRY DR</t>
  </si>
  <si>
    <t xml:space="preserve">TONNER GRACE G </t>
  </si>
  <si>
    <t>0 MORRISON ST</t>
  </si>
  <si>
    <t>MARTERA PL</t>
  </si>
  <si>
    <t>0 KIRKBRIDE ST</t>
  </si>
  <si>
    <t>PO BOX 1074</t>
  </si>
  <si>
    <t xml:space="preserve">RED FOX LLC </t>
  </si>
  <si>
    <t>1901 BRIGHTON RD</t>
  </si>
  <si>
    <t>RED FOX LLC</t>
  </si>
  <si>
    <t>MONTVIEW PL</t>
  </si>
  <si>
    <t xml:space="preserve">IMPERIAL ENTERPRISES LLC </t>
  </si>
  <si>
    <t>1930 BRIGHTON RD</t>
  </si>
  <si>
    <t xml:space="preserve">IMPERIAL ENTERPRISES </t>
  </si>
  <si>
    <t xml:space="preserve">PIPPI SHAWN M &amp;                         </t>
  </si>
  <si>
    <t>1900 BRIGHTON RD</t>
  </si>
  <si>
    <t>PIPPI SHAWN M &amp; CONNO</t>
  </si>
  <si>
    <t xml:space="preserve">LEWIS PATRICK </t>
  </si>
  <si>
    <t>1826 BRIGHTON RD</t>
  </si>
  <si>
    <t>1815 N CHARLES ST</t>
  </si>
  <si>
    <t>1919 N CHARLES ST</t>
  </si>
  <si>
    <t>CHARLES ST N</t>
  </si>
  <si>
    <t xml:space="preserve">JAMES EUGENE  &amp; EVELYN </t>
  </si>
  <si>
    <t>1923 N CHARLES ST</t>
  </si>
  <si>
    <t>NIYIBIZI EMMANUEL &amp; LILLIANE (W)</t>
  </si>
  <si>
    <t>2015 N CHARLES ST</t>
  </si>
  <si>
    <t>NIYIBIZI EMMANUEL &amp; L</t>
  </si>
  <si>
    <t>GAYNOR DR</t>
  </si>
  <si>
    <t xml:space="preserve">WILLIAMS AMOS  &amp; RUTH </t>
  </si>
  <si>
    <t>0 IRWIN AVE</t>
  </si>
  <si>
    <t>FACULTY CT</t>
  </si>
  <si>
    <t>BEL AIR</t>
  </si>
  <si>
    <t>0 BRIGHTRIDGE ST</t>
  </si>
  <si>
    <t>YOUTH OPPORTUNITIES  UNLIMITED INC</t>
  </si>
  <si>
    <t>0 N CHARLES ST</t>
  </si>
  <si>
    <t>YOUTH OPPORTUNITIES U</t>
  </si>
  <si>
    <t xml:space="preserve">RULLO STACI                                     </t>
  </si>
  <si>
    <t>HATHAWAY CT</t>
  </si>
  <si>
    <t xml:space="preserve">VANCE MARY                                      </t>
  </si>
  <si>
    <t>1910 N CHARLES ST</t>
  </si>
  <si>
    <t>WAGNER HOWARD L &amp; THERESA A(W)</t>
  </si>
  <si>
    <t>0 YALE ST</t>
  </si>
  <si>
    <t>WAGNER HOWARD L &amp; THERESA ANN (W)</t>
  </si>
  <si>
    <t>31 OVERLOOK ST</t>
  </si>
  <si>
    <t>OVERLOOK ST</t>
  </si>
  <si>
    <t xml:space="preserve">BECKHAM BARBARA A </t>
  </si>
  <si>
    <t>29 OVERLOOK ST</t>
  </si>
  <si>
    <t>MURPHY ETHEL M &amp; JOSEPH MURPHY</t>
  </si>
  <si>
    <t>0 OVERLOOK ST</t>
  </si>
  <si>
    <t xml:space="preserve">VAIL ERICK S                                    </t>
  </si>
  <si>
    <t>955 KIRKBRIDE ST</t>
  </si>
  <si>
    <t>KIRKBRIDE ST</t>
  </si>
  <si>
    <t>WOODS JOHN THOMAS &amp; LILLIE MAE WOODS</t>
  </si>
  <si>
    <t>1812 SAINT MARKS PL</t>
  </si>
  <si>
    <t>WOODS JOHN THOMAS &amp; L</t>
  </si>
  <si>
    <t>SAINT MARKS PL</t>
  </si>
  <si>
    <t>NORTHSIDE TENANTS  REORGANIZATION  EDUCATIO</t>
  </si>
  <si>
    <t>0 LYSLE ST</t>
  </si>
  <si>
    <t>NORTHSIDE TENANTS REO</t>
  </si>
  <si>
    <t xml:space="preserve">HOPPER PATRICIA SUMMERS </t>
  </si>
  <si>
    <t>955 LYSLE ST</t>
  </si>
  <si>
    <t xml:space="preserve">DALZELL KIM A                                   </t>
  </si>
  <si>
    <t>SKYLINE DR</t>
  </si>
  <si>
    <t>LAGUNA BEACH</t>
  </si>
  <si>
    <t>LUCKETT LEON  &amp; MARY ANN (W)</t>
  </si>
  <si>
    <t>857 KIRKBRIDE ST</t>
  </si>
  <si>
    <t xml:space="preserve">DOWNER VERYL L </t>
  </si>
  <si>
    <t>NORTHSIDE PROPERTIES R &amp; S LLC</t>
  </si>
  <si>
    <t xml:space="preserve">ZELLARS FANTASY </t>
  </si>
  <si>
    <t>844 CALIFORNIA AVE</t>
  </si>
  <si>
    <t>WILLIAMS DAVID A &amp; FRANCES M (W)</t>
  </si>
  <si>
    <t>1811 BRIGHTON PL</t>
  </si>
  <si>
    <t xml:space="preserve">WILLIAMS DAVID A                                </t>
  </si>
  <si>
    <t>PREININGER JOSEPH F &amp; MARION M</t>
  </si>
  <si>
    <t>1730 MCCULLOUGH ST</t>
  </si>
  <si>
    <t>GEOLOS INC</t>
  </si>
  <si>
    <t>MAIN ST S</t>
  </si>
  <si>
    <t xml:space="preserve">GAINES FRANK </t>
  </si>
  <si>
    <t>0 MCCULLOUGH ST</t>
  </si>
  <si>
    <t>BLOUNTSTOWN HWY UNIT 83</t>
  </si>
  <si>
    <t xml:space="preserve">SNINSKY RONALD D </t>
  </si>
  <si>
    <t>1724 BRIGHTON PL</t>
  </si>
  <si>
    <t>0 BRIGHTON PL</t>
  </si>
  <si>
    <t xml:space="preserve">NESBIT TAMBLIN  &amp; HAZEL </t>
  </si>
  <si>
    <t>ORLANDO NESBOT</t>
  </si>
  <si>
    <t>WOOD CREEK DR</t>
  </si>
  <si>
    <t>CAMP SPRINGS</t>
  </si>
  <si>
    <t>HIGH CIRRUS DEVELOPMENT  LLC</t>
  </si>
  <si>
    <t>0 MARQUIS WAY</t>
  </si>
  <si>
    <t>HIGH CIRRUS DEVELOPME</t>
  </si>
  <si>
    <t>1607 BRIGHTON PL</t>
  </si>
  <si>
    <t>1609 BRIGHTON PL</t>
  </si>
  <si>
    <t>1605 BRIGHTON PL</t>
  </si>
  <si>
    <t xml:space="preserve">MCIVER EDNA L </t>
  </si>
  <si>
    <t>1716 MARQUIS WAY</t>
  </si>
  <si>
    <t>MARQUIS WAY</t>
  </si>
  <si>
    <t>NORTHSIDE PROPERTIES  RESIDENCES II LLC</t>
  </si>
  <si>
    <t>NORTH PROPERTIES  RESIDENCES I LLC</t>
  </si>
  <si>
    <t>1521 BRIGHTON PL</t>
  </si>
  <si>
    <t>NORTH PROPERTIES RESI</t>
  </si>
  <si>
    <t>BRIGHTON RD STE 1</t>
  </si>
  <si>
    <t>1525 BRIGHTON RD</t>
  </si>
  <si>
    <t xml:space="preserve">OSHITA KRISTY </t>
  </si>
  <si>
    <t>1532 MARQUIS WAY</t>
  </si>
  <si>
    <t>OSHITA KRISTY</t>
  </si>
  <si>
    <t>SAMPSON ST NE</t>
  </si>
  <si>
    <t>HPD NORTH LLC PROPERTIES INC</t>
  </si>
  <si>
    <t>842 JACKSONIA ST</t>
  </si>
  <si>
    <t>JACKSONIA ST</t>
  </si>
  <si>
    <t xml:space="preserve">QUIK-IT INC </t>
  </si>
  <si>
    <t>820 PENNSYLVANIA AVE</t>
  </si>
  <si>
    <t>EDWARDS WALLACE  &amp; LEOLA M (W)</t>
  </si>
  <si>
    <t>TIMOTHY EDWARDS</t>
  </si>
  <si>
    <t>ROLLA ST</t>
  </si>
  <si>
    <t xml:space="preserve">PICK SAMUEL </t>
  </si>
  <si>
    <t>693 ROLLA ST</t>
  </si>
  <si>
    <t xml:space="preserve">NEISWONGER CRAIG ERIC </t>
  </si>
  <si>
    <t>WEBER DR</t>
  </si>
  <si>
    <t>WEITERSHAUSEN LEONARD  &amp; ELAINE (W)</t>
  </si>
  <si>
    <t>TENNESSEE AVE</t>
  </si>
  <si>
    <t xml:space="preserve">MITCHELL ROBERT J </t>
  </si>
  <si>
    <t>531 MCCLINTOCK AVE</t>
  </si>
  <si>
    <t>MCCLINTOCK AVE</t>
  </si>
  <si>
    <t xml:space="preserve">THOMAS VERA V </t>
  </si>
  <si>
    <t>0 NORMAN ST</t>
  </si>
  <si>
    <t>8 NORMAN ST</t>
  </si>
  <si>
    <t xml:space="preserve">BACON LAVERN J </t>
  </si>
  <si>
    <t xml:space="preserve">SCHAEFFER TOM </t>
  </si>
  <si>
    <t>14 NORMAN ST</t>
  </si>
  <si>
    <t>NORMAN ST</t>
  </si>
  <si>
    <t>MUNDEKIS NORMAN  &amp; JOANNE (W)</t>
  </si>
  <si>
    <t>16 NORMAN ST</t>
  </si>
  <si>
    <t>MUNDEKIS NORMAN  &amp; JO</t>
  </si>
  <si>
    <t>PERRYSVILLE AVE APT 607</t>
  </si>
  <si>
    <t xml:space="preserve">ALLCORN RONALD C </t>
  </si>
  <si>
    <t>18 NORMAN ST</t>
  </si>
  <si>
    <t>GAY RD APT 409</t>
  </si>
  <si>
    <t>WINTER PARK</t>
  </si>
  <si>
    <t xml:space="preserve">TINKO LEAH </t>
  </si>
  <si>
    <t xml:space="preserve">KATZ MICHAEL MAX </t>
  </si>
  <si>
    <t>22 NORMAN ST</t>
  </si>
  <si>
    <t>WILLIAMS VERNON  &amp; ERICA DELAI</t>
  </si>
  <si>
    <t>0 GERANIUM ST</t>
  </si>
  <si>
    <t>GERANIUM ST</t>
  </si>
  <si>
    <t xml:space="preserve">KING MICHAEL </t>
  </si>
  <si>
    <t>STATE ROUTE 14</t>
  </si>
  <si>
    <t>DUNDEE</t>
  </si>
  <si>
    <t xml:space="preserve">34 NORMAN STREET TRUST </t>
  </si>
  <si>
    <t>34 NORMAN ST</t>
  </si>
  <si>
    <t>34 NORMAN STREET TRUS</t>
  </si>
  <si>
    <t>FITZPATRICK WILLIAM B &amp; DAWN M (W)</t>
  </si>
  <si>
    <t xml:space="preserve">MURPHY JAMES F &amp; BETTY </t>
  </si>
  <si>
    <t>S SIDE AVE</t>
  </si>
  <si>
    <t xml:space="preserve">PETTWAY ANNIE C </t>
  </si>
  <si>
    <t>ALLEGHENY ST</t>
  </si>
  <si>
    <t xml:space="preserve">YOUNG JAMES W </t>
  </si>
  <si>
    <t xml:space="preserve">BUSH ALICE M </t>
  </si>
  <si>
    <t xml:space="preserve">LARDO ALBERT </t>
  </si>
  <si>
    <t>29 GERANIUM ST</t>
  </si>
  <si>
    <t>OAKWOOD AVE</t>
  </si>
  <si>
    <t xml:space="preserve">SAUNDERS MARY ANN </t>
  </si>
  <si>
    <t>27 GERANIUM ST</t>
  </si>
  <si>
    <t xml:space="preserve">BOXLEY MONICA L </t>
  </si>
  <si>
    <t>PRESCOTT ROBERT  &amp; ANNA M</t>
  </si>
  <si>
    <t>520 GERANIUM ST</t>
  </si>
  <si>
    <t>PRESCOTT ROBERT L &amp; ANNA (W)</t>
  </si>
  <si>
    <t>518 GERANIUM ST</t>
  </si>
  <si>
    <t>PRESCOTT ROBERT L &amp; A</t>
  </si>
  <si>
    <t xml:space="preserve">HOUSES UNLIMITED INC                            </t>
  </si>
  <si>
    <t>HOLIDAY DR STE 300</t>
  </si>
  <si>
    <t xml:space="preserve">HOUSES UNLIMITED INC </t>
  </si>
  <si>
    <t>508 GERANIUM ST</t>
  </si>
  <si>
    <t>SW CAPITOL HWY APT 100</t>
  </si>
  <si>
    <t xml:space="preserve">MESSMER LOUIS J </t>
  </si>
  <si>
    <t>TRIANA ST</t>
  </si>
  <si>
    <t xml:space="preserve">ROGERS EUGENE ANTHONY </t>
  </si>
  <si>
    <t>502 GERANIUM ST</t>
  </si>
  <si>
    <t xml:space="preserve">EDWARDS WALLACE  &amp; LEOLA MAE (W)           </t>
  </si>
  <si>
    <t>0 ROLLA ST</t>
  </si>
  <si>
    <t>EDWARDS WALLACE  &amp; LEOLA MAE (W)</t>
  </si>
  <si>
    <t>606 ROLLA ST</t>
  </si>
  <si>
    <t>EDWARDS WALLACE  &amp; LE</t>
  </si>
  <si>
    <t>MEADOWLANE DR</t>
  </si>
  <si>
    <t>CAVE CITY</t>
  </si>
  <si>
    <t xml:space="preserve">JOSEPH JOHNNY WANA </t>
  </si>
  <si>
    <t>1903 BUENA VISTA ST</t>
  </si>
  <si>
    <t xml:space="preserve">SUDETIC STEPHEN J </t>
  </si>
  <si>
    <t xml:space="preserve">MCCORKLE HARRY T </t>
  </si>
  <si>
    <t>12 GERANIUM ST</t>
  </si>
  <si>
    <t xml:space="preserve">VESCIO JORDAN </t>
  </si>
  <si>
    <t>1917 PERRYSVILLE AVE</t>
  </si>
  <si>
    <t>VESCIO JORDAN</t>
  </si>
  <si>
    <t xml:space="preserve">HOLMES DRUCILLA </t>
  </si>
  <si>
    <t>0 PERRYSVILLE AVE</t>
  </si>
  <si>
    <t>1909 PERRYSVILLE AVE</t>
  </si>
  <si>
    <t xml:space="preserve">PALCIC DORNA JAVADI </t>
  </si>
  <si>
    <t>TUNNEL BLVD UNIT 650</t>
  </si>
  <si>
    <t>1816 BUENA VISTA ST</t>
  </si>
  <si>
    <t>0 OHERN ST</t>
  </si>
  <si>
    <t>SIMON ERNEST             ETAL</t>
  </si>
  <si>
    <t>SIMON ERNEST C/O GEOR</t>
  </si>
  <si>
    <t>GATEHOUSE DR</t>
  </si>
  <si>
    <t xml:space="preserve">BROMALL GEORGE C II                             </t>
  </si>
  <si>
    <t xml:space="preserve">MARBELLA RENEE </t>
  </si>
  <si>
    <t xml:space="preserve">KASKAN ROSE </t>
  </si>
  <si>
    <t xml:space="preserve">HOWSIE YOLANDA RODGERS </t>
  </si>
  <si>
    <t>0 CLAYTON AVE</t>
  </si>
  <si>
    <t xml:space="preserve">ATCHESON BRENTON </t>
  </si>
  <si>
    <t>ATCHESON BRENTON</t>
  </si>
  <si>
    <t xml:space="preserve">NEAL TERRY L </t>
  </si>
  <si>
    <t xml:space="preserve">PULLEN DEBORAH </t>
  </si>
  <si>
    <t>1766 PERRYSVILLE AVE</t>
  </si>
  <si>
    <t>ROSELAND AVE</t>
  </si>
  <si>
    <t xml:space="preserve">KOWALSKI CYNTHIA J </t>
  </si>
  <si>
    <t>1845 CLAYTON AVE UNIT 102</t>
  </si>
  <si>
    <t>SQUIRE CIR</t>
  </si>
  <si>
    <t>BLACKWELL JOHN E &amp; SHIRLEY (W)</t>
  </si>
  <si>
    <t>0 LITHGOW AVE</t>
  </si>
  <si>
    <t>LITHGOW AVE</t>
  </si>
  <si>
    <t xml:space="preserve">ROBINSON KENNETH </t>
  </si>
  <si>
    <t>LITHGOW ST</t>
  </si>
  <si>
    <t xml:space="preserve">ODETALLAH MUHJAH </t>
  </si>
  <si>
    <t>1909 LITHGOW AVE</t>
  </si>
  <si>
    <t>ODETALLAH MUHJAH</t>
  </si>
  <si>
    <t xml:space="preserve">HOLLENBACH DANIEL J </t>
  </si>
  <si>
    <t>1915 LITHGOW AVE</t>
  </si>
  <si>
    <t>YOUNG DR</t>
  </si>
  <si>
    <t xml:space="preserve">BAILEY PAUL E JR </t>
  </si>
  <si>
    <t xml:space="preserve">HAIRSTON KENNETH </t>
  </si>
  <si>
    <t xml:space="preserve">HILL ROBERT D &amp; CATHERINE G (W)         </t>
  </si>
  <si>
    <t>HILL ROBERT D</t>
  </si>
  <si>
    <t>HILL ROBERT D &amp; CATHERINE G (W)</t>
  </si>
  <si>
    <t xml:space="preserve">FUNK DANIEL R JR </t>
  </si>
  <si>
    <t>1912 LITHGOW AVE</t>
  </si>
  <si>
    <t>FUNK DANIEL R JR</t>
  </si>
  <si>
    <t xml:space="preserve">HATTON THOMAS KENNETH </t>
  </si>
  <si>
    <t>1908 LITHGOW AVE</t>
  </si>
  <si>
    <t>MAYKRANZ GEORGE  &amp; JOSEPHINE</t>
  </si>
  <si>
    <t>SAMUEL ROBERT I &amp; LAMAR A BARNES</t>
  </si>
  <si>
    <t>CHAUTAUQUA CT</t>
  </si>
  <si>
    <t>WALTON BARBARA J &amp; WILLIAM E</t>
  </si>
  <si>
    <t>0 FEDERAL ST</t>
  </si>
  <si>
    <t>WALTON BARBARA J &amp; WI</t>
  </si>
  <si>
    <t>ROLF ROBERT WILLIAM &amp; MARCIA JEAN (W)</t>
  </si>
  <si>
    <t>NW COUCH ST UNIT 719</t>
  </si>
  <si>
    <t xml:space="preserve">KOWALIK RUSSELL J                               </t>
  </si>
  <si>
    <t>1844 CLAYTON AVE</t>
  </si>
  <si>
    <t>CLAYTON AVE</t>
  </si>
  <si>
    <t xml:space="preserve">COPE C G IV                                     </t>
  </si>
  <si>
    <t>1672 PERRYSVILLE AVE</t>
  </si>
  <si>
    <t>1683 PERRYSVILLE AVE</t>
  </si>
  <si>
    <t>MEADOWOOD DR</t>
  </si>
  <si>
    <t xml:space="preserve">SORECA ISABELLA </t>
  </si>
  <si>
    <t>1685 PERRYSVILLE AVE</t>
  </si>
  <si>
    <t xml:space="preserve">LEE JASON </t>
  </si>
  <si>
    <t>20 LANE WAY</t>
  </si>
  <si>
    <t xml:space="preserve">FORSMAN WALTER  &amp; ANNA </t>
  </si>
  <si>
    <t>0 BELLEAU ST</t>
  </si>
  <si>
    <t>MORGAN CHARLES R &amp; ALICE M (W)</t>
  </si>
  <si>
    <t>1625 MEADVILLE ST</t>
  </si>
  <si>
    <t xml:space="preserve">BARNES EVELYN A </t>
  </si>
  <si>
    <t>1701 MEADVILLE ST</t>
  </si>
  <si>
    <t>BARNES EVELYN A</t>
  </si>
  <si>
    <t>N HIGHWAY A1A APT 401</t>
  </si>
  <si>
    <t>INDIALANTIC</t>
  </si>
  <si>
    <t>0 MEADVILLE ST</t>
  </si>
  <si>
    <t xml:space="preserve">AMAGU 236 KENNEDY LLC </t>
  </si>
  <si>
    <t>1719 MEADVILLE ST</t>
  </si>
  <si>
    <t>AMAGU 236 KENNEDY LLC</t>
  </si>
  <si>
    <t xml:space="preserve">KNIGHT DENNIS                                   </t>
  </si>
  <si>
    <t>0 SUTTON ST</t>
  </si>
  <si>
    <t>N PACIFIC COAST HWY</t>
  </si>
  <si>
    <t xml:space="preserve">TH PROPERTY OWNER I LLC </t>
  </si>
  <si>
    <t>1706 SANDUSKY NORTH ST</t>
  </si>
  <si>
    <t>NORTH SIDE CIVIC  DEVELOPMENT COUNCIL</t>
  </si>
  <si>
    <t>RIVER AVE</t>
  </si>
  <si>
    <t>BUGGS JAMES JR &amp; JUNNIE M (W)</t>
  </si>
  <si>
    <t>216 BELLEAU ST</t>
  </si>
  <si>
    <t>BUGGS JAMES JR &amp; JUNN</t>
  </si>
  <si>
    <t xml:space="preserve">BUGGS CORETTA A </t>
  </si>
  <si>
    <t>PEACH BLOSSOM  PROPERTIES LLC</t>
  </si>
  <si>
    <t>1611 MYLER ST</t>
  </si>
  <si>
    <t>BENNETT DONNA M</t>
  </si>
  <si>
    <t>MYLER ST</t>
  </si>
  <si>
    <t xml:space="preserve">MILLARD ROLAND </t>
  </si>
  <si>
    <t>0 LANARK ST</t>
  </si>
  <si>
    <t xml:space="preserve">THRIVE PROPERTIES LLC </t>
  </si>
  <si>
    <t>2 LANARK ST</t>
  </si>
  <si>
    <t>LANARK ST</t>
  </si>
  <si>
    <t xml:space="preserve">SCHWARTZ MICHAEL </t>
  </si>
  <si>
    <t>0 JAY ST</t>
  </si>
  <si>
    <t>SCHWARTZ MICHAEL</t>
  </si>
  <si>
    <t>JAY ST</t>
  </si>
  <si>
    <t xml:space="preserve">HANRAHAN JONATHAN P                             </t>
  </si>
  <si>
    <t>439 CATOMA ST</t>
  </si>
  <si>
    <t xml:space="preserve">MCCLELLAND MARK J </t>
  </si>
  <si>
    <t>432 CATOMA ST</t>
  </si>
  <si>
    <t xml:space="preserve">LEROSE MARK                                     </t>
  </si>
  <si>
    <t>1610 MYLER ST</t>
  </si>
  <si>
    <t>ROARING FORK DR</t>
  </si>
  <si>
    <t>ASPEN</t>
  </si>
  <si>
    <t>GONZALES KEITH L &amp; BETH A (W)</t>
  </si>
  <si>
    <t>1733 WARREN ST</t>
  </si>
  <si>
    <t>GONZALES KEITH L &amp; BE</t>
  </si>
  <si>
    <t>MERRICK CREEK RD</t>
  </si>
  <si>
    <t xml:space="preserve">WILES LAYMONIQUE </t>
  </si>
  <si>
    <t>8 EDENVALE ST</t>
  </si>
  <si>
    <t>HUNTS POINT AVE STE 4D</t>
  </si>
  <si>
    <t xml:space="preserve">PRICE DENNIS P </t>
  </si>
  <si>
    <t>1606 WARREN ST</t>
  </si>
  <si>
    <t>PO BOX 14</t>
  </si>
  <si>
    <t>BAKERSTOWN</t>
  </si>
  <si>
    <t xml:space="preserve">JOHNSON SONIA M </t>
  </si>
  <si>
    <t>211 HENDERSON ST</t>
  </si>
  <si>
    <t>FRIENDSHIP DR</t>
  </si>
  <si>
    <t xml:space="preserve">J&amp;JAHDIEL LLC </t>
  </si>
  <si>
    <t>229 HENDERSON ST</t>
  </si>
  <si>
    <t>J&amp;JAHDIEL LLC</t>
  </si>
  <si>
    <t>E WILLOCK RD</t>
  </si>
  <si>
    <t>SCABORA ANDREW J &amp; RENEE (W)</t>
  </si>
  <si>
    <t>0 CARRIE ST</t>
  </si>
  <si>
    <t>SCABORA ANDREW J &amp; RE</t>
  </si>
  <si>
    <t>HATHAWAY DR</t>
  </si>
  <si>
    <t>NORTH PORT RIC</t>
  </si>
  <si>
    <t xml:space="preserve">LAND ELIJAH DONALD </t>
  </si>
  <si>
    <t>11 CARRIE ST REAR</t>
  </si>
  <si>
    <t>CARRIE ST REAR</t>
  </si>
  <si>
    <t>GROSS LAWRENCE J &amp; GLORIA M (W)</t>
  </si>
  <si>
    <t>11 CARRIE ST</t>
  </si>
  <si>
    <t>CARRIE ST</t>
  </si>
  <si>
    <t xml:space="preserve">MCMYGRAF LLC </t>
  </si>
  <si>
    <t>7 CARRIE ST</t>
  </si>
  <si>
    <t>HAZEL DR</t>
  </si>
  <si>
    <t xml:space="preserve">KIM PATRICK DONG JO </t>
  </si>
  <si>
    <t>1728 WARREN ST</t>
  </si>
  <si>
    <t>JORDAN INVESTMENT  PROPERTIES INC</t>
  </si>
  <si>
    <t>1732 WARREN ST</t>
  </si>
  <si>
    <t>JORDAN INVESTMENT PRO</t>
  </si>
  <si>
    <t>RICHBARN RD</t>
  </si>
  <si>
    <t>JENKINS WILLIAM JOHN &amp; BETTY A</t>
  </si>
  <si>
    <t>1 SPRAIN ST</t>
  </si>
  <si>
    <t xml:space="preserve">JENKINS WILLIAM JOHN </t>
  </si>
  <si>
    <t>SCOTTSDALE DR</t>
  </si>
  <si>
    <t xml:space="preserve">PARKER THOMAS </t>
  </si>
  <si>
    <t>1631 COMPROMISE ST</t>
  </si>
  <si>
    <t>COMPROMISE ST</t>
  </si>
  <si>
    <t xml:space="preserve">MUCHA GREGORY </t>
  </si>
  <si>
    <t>1726 BUENA VISTA ST</t>
  </si>
  <si>
    <t xml:space="preserve">MUCHA GREGORY J </t>
  </si>
  <si>
    <t>MUCHA GREGORY</t>
  </si>
  <si>
    <t xml:space="preserve">HAZZARD ELIZABETH A </t>
  </si>
  <si>
    <t>1783 PERRYSVILLE AVE</t>
  </si>
  <si>
    <t xml:space="preserve">BETTS JENNIFER G </t>
  </si>
  <si>
    <t>1714 BUENA VISTA ST</t>
  </si>
  <si>
    <t xml:space="preserve">D'ARDENNE NICHOLAS M &amp;                         </t>
  </si>
  <si>
    <t>1706 BUENA VISTA ST</t>
  </si>
  <si>
    <t xml:space="preserve">D'ARDENNE NICHOLAS M </t>
  </si>
  <si>
    <t>BUENA VISTA DR</t>
  </si>
  <si>
    <t xml:space="preserve">CHEN YEAN-NIAN WILLY                            </t>
  </si>
  <si>
    <t>605 W JEFFERSON ST</t>
  </si>
  <si>
    <t xml:space="preserve">SMALLWOOD DEBRA </t>
  </si>
  <si>
    <t>0 W JEFFERSON ST</t>
  </si>
  <si>
    <t>W JEFFERSON ST</t>
  </si>
  <si>
    <t xml:space="preserve">SOLDIERS4STUDENTS LLC </t>
  </si>
  <si>
    <t>513 W JEFFERSON ST</t>
  </si>
  <si>
    <t xml:space="preserve">SMALLWOOD DEBRA ANN </t>
  </si>
  <si>
    <t>511 W JEFFERSON ST</t>
  </si>
  <si>
    <t>0 ATLANTA ST</t>
  </si>
  <si>
    <t xml:space="preserve">CULLEN LOUISE </t>
  </si>
  <si>
    <t>406 ARMANDALE ST</t>
  </si>
  <si>
    <t xml:space="preserve">GARRETT EVE E </t>
  </si>
  <si>
    <t>514 ARMANDALE ST</t>
  </si>
  <si>
    <t xml:space="preserve">TURNER EVA </t>
  </si>
  <si>
    <t>600 ARMANDALE ST</t>
  </si>
  <si>
    <t xml:space="preserve">CONBOY MATTHEW                                  </t>
  </si>
  <si>
    <t>1606 BUENA VISTA ST</t>
  </si>
  <si>
    <t xml:space="preserve">KULLEN DEBRA </t>
  </si>
  <si>
    <t>407 ARMANDALE ST</t>
  </si>
  <si>
    <t>ARMANDALE ST</t>
  </si>
  <si>
    <t xml:space="preserve">WADSWORTH CURTIS C </t>
  </si>
  <si>
    <t>1532 GARFIELD AVE</t>
  </si>
  <si>
    <t>GARFIELD AVE</t>
  </si>
  <si>
    <t xml:space="preserve">DAGNAL CHARLES H                                </t>
  </si>
  <si>
    <t>0 ALPINE AVE</t>
  </si>
  <si>
    <t>GALLAGHER PATRICK &amp; KAREN (W)</t>
  </si>
  <si>
    <t>414 JACKSONIA ST</t>
  </si>
  <si>
    <t>SMITH RICHARD E &amp; THOMAS N SPENCER</t>
  </si>
  <si>
    <t>0 GARFIELD AVE</t>
  </si>
  <si>
    <t>SMITH RICHARD E &amp; THO</t>
  </si>
  <si>
    <t xml:space="preserve">RICHARDSON JOSEPH W </t>
  </si>
  <si>
    <t>511 ARMANDALE ST</t>
  </si>
  <si>
    <t>N GRAND AVE APT D</t>
  </si>
  <si>
    <t xml:space="preserve">RAU PETER N &amp; EDNA (W) </t>
  </si>
  <si>
    <t>0 ARMANDALE ST</t>
  </si>
  <si>
    <t>1536 MONTEREY ST</t>
  </si>
  <si>
    <t>PO BOX 112</t>
  </si>
  <si>
    <t>INGOMAR</t>
  </si>
  <si>
    <t xml:space="preserve">DIANA PAUL LEWIS                                </t>
  </si>
  <si>
    <t>1524 MONTEREY ST</t>
  </si>
  <si>
    <t>BALZER DREW A &amp; KRISTA N (W)</t>
  </si>
  <si>
    <t>1519 MONTEREY ST</t>
  </si>
  <si>
    <t>1534 BUENA VISTA ST</t>
  </si>
  <si>
    <t xml:space="preserve">STONEHENDGE PARTNERS </t>
  </si>
  <si>
    <t>WEIBLINGER'S  RESIDENTIAL CARE INC</t>
  </si>
  <si>
    <t>1526 BUENA VISTA ST</t>
  </si>
  <si>
    <t>TOMASKO SUSAN J &amp; LEE BRUDER</t>
  </si>
  <si>
    <t>1525 BUENA VISTA ST</t>
  </si>
  <si>
    <t>TOMASKO SUSAN J &amp; LEE</t>
  </si>
  <si>
    <t xml:space="preserve">GNOATO DARIO P </t>
  </si>
  <si>
    <t>1521 BUENA VISTA ST</t>
  </si>
  <si>
    <t xml:space="preserve">BRUDER LEE &amp; SUSAN (W) </t>
  </si>
  <si>
    <t>1525 CAMEO WAY</t>
  </si>
  <si>
    <t xml:space="preserve">BRUDER LEE                                      </t>
  </si>
  <si>
    <t>1532 BRIGHTON RD</t>
  </si>
  <si>
    <t>719 ARMANDALE ST</t>
  </si>
  <si>
    <t>BRUDER LEE &amp; SUSAN (W</t>
  </si>
  <si>
    <t xml:space="preserve">JOSEPH ULRIC                                    </t>
  </si>
  <si>
    <t>1534 BRIGHTON RD</t>
  </si>
  <si>
    <t>ORION PORTFOLIO  MANAGEMENT LLC</t>
  </si>
  <si>
    <t>0 COLUMBIA PL</t>
  </si>
  <si>
    <t>ORION PORTFOLIO MANAG</t>
  </si>
  <si>
    <t>MID OCEAN PL</t>
  </si>
  <si>
    <t>714 ARMANDALE ST</t>
  </si>
  <si>
    <t>712 ARMANDALE ST</t>
  </si>
  <si>
    <t xml:space="preserve">HELBIG ADRIANA </t>
  </si>
  <si>
    <t>708 ARMANDALE ST</t>
  </si>
  <si>
    <t xml:space="preserve">WARD JAMES R </t>
  </si>
  <si>
    <t>1705 BUENA VISTA ST</t>
  </si>
  <si>
    <t xml:space="preserve">JONES MELVA V </t>
  </si>
  <si>
    <t>1724 BRIGHTON RD</t>
  </si>
  <si>
    <t xml:space="preserve">BURKE BRUCE A </t>
  </si>
  <si>
    <t>1720 BRIGHTON RD</t>
  </si>
  <si>
    <t>LAKEVIEW LN</t>
  </si>
  <si>
    <t>1718 BRIGHTON RD</t>
  </si>
  <si>
    <t>CULLEN EMMETT  &amp; LOUISE CULLEN</t>
  </si>
  <si>
    <t>1716 BRIGHTON RD</t>
  </si>
  <si>
    <t xml:space="preserve">CULLEN  EMMETT </t>
  </si>
  <si>
    <t>SPRING AVE # 1</t>
  </si>
  <si>
    <t xml:space="preserve">CHAVIS MARSHA </t>
  </si>
  <si>
    <t>LEE MELVIN  &amp; GLORIA JOHNSON LEE (W)</t>
  </si>
  <si>
    <t>1706 BRIGHTON RD</t>
  </si>
  <si>
    <t xml:space="preserve">BUSTER HOLDINGS LLC                             </t>
  </si>
  <si>
    <t>1704 BRIGHTON RD</t>
  </si>
  <si>
    <t>BUSTER HOLDINGS LLC L</t>
  </si>
  <si>
    <t>61 18TH ST APT B</t>
  </si>
  <si>
    <t xml:space="preserve">GREEN CAROLYN </t>
  </si>
  <si>
    <t xml:space="preserve">THACKER KUNAL MAHENDRA                          </t>
  </si>
  <si>
    <t>1609 BUENA VISTA ST</t>
  </si>
  <si>
    <t>KUNAL MAHENDRA THACKE</t>
  </si>
  <si>
    <t xml:space="preserve">GLESEY MITCHELL P                               </t>
  </si>
  <si>
    <t>1603 BUENA VISTA ST</t>
  </si>
  <si>
    <t xml:space="preserve">CASALE DEVELOPMENT LLC </t>
  </si>
  <si>
    <t>119 GUADALUPE PL</t>
  </si>
  <si>
    <t>CASALE DEVELOPMENT LL</t>
  </si>
  <si>
    <t>PENN AVE APT 2</t>
  </si>
  <si>
    <t>117 GUADALUPE PL</t>
  </si>
  <si>
    <t>115 GUADALUPE PL</t>
  </si>
  <si>
    <t>113 GUADALUPE PL</t>
  </si>
  <si>
    <t>0 GUADALUPE PL</t>
  </si>
  <si>
    <t xml:space="preserve">ARGH1 LLC </t>
  </si>
  <si>
    <t>1749 PERRYSVILLE AVE</t>
  </si>
  <si>
    <t>ARGH1 LLC</t>
  </si>
  <si>
    <t>PERRYSVILLE VLG</t>
  </si>
  <si>
    <t>NEOLA DR</t>
  </si>
  <si>
    <t>1611 FEDERAL ST</t>
  </si>
  <si>
    <t xml:space="preserve">DAVANZO LUCAS </t>
  </si>
  <si>
    <t>134 E JEFFERSON ST</t>
  </si>
  <si>
    <t>STEPHENSON DAVID C &amp; ELIZABETH M (W)</t>
  </si>
  <si>
    <t>204 E JEFFERSON ST</t>
  </si>
  <si>
    <t>ULTRAVIOLET SOLUTIONS  LLC</t>
  </si>
  <si>
    <t>242 E JEFFERSON ST</t>
  </si>
  <si>
    <t>ULTRAVIOLET SOLUTIONS</t>
  </si>
  <si>
    <t>MULLEN RD</t>
  </si>
  <si>
    <t>MEADVILLE</t>
  </si>
  <si>
    <t>JONES RICHARD L &amp; EMMA JONES</t>
  </si>
  <si>
    <t>246 E JEFFERSON ST</t>
  </si>
  <si>
    <t>E JEFFERSON ST</t>
  </si>
  <si>
    <t>257 E JEFFERSON ST</t>
  </si>
  <si>
    <t>WOODFORD FARMS BUILDING  &amp; DESIGN LLC</t>
  </si>
  <si>
    <t>1600 SATURN WAY</t>
  </si>
  <si>
    <t>255 E JEFFERSON ST</t>
  </si>
  <si>
    <t xml:space="preserve">ENGLISH IRIS </t>
  </si>
  <si>
    <t>0 E JEFFERSON ST</t>
  </si>
  <si>
    <t>HUMPHRIES DONALD  &amp; MARGARET P (W)</t>
  </si>
  <si>
    <t>0 CARRINGTON ST</t>
  </si>
  <si>
    <t xml:space="preserve">RALPH ORLANDO C </t>
  </si>
  <si>
    <t xml:space="preserve">SCRIBNER DEANNA </t>
  </si>
  <si>
    <t>214 CARRINGTON ST</t>
  </si>
  <si>
    <t>ALPINE AVE</t>
  </si>
  <si>
    <t xml:space="preserve">KNIGHT JOANNE E </t>
  </si>
  <si>
    <t>209 E JEFFERSON ST</t>
  </si>
  <si>
    <t>KNIGHT CHARLES</t>
  </si>
  <si>
    <t xml:space="preserve">WYNN CARRIE L </t>
  </si>
  <si>
    <t>BLACKBURN DAVID  &amp; MINNIE V</t>
  </si>
  <si>
    <t>120 CARRINGTON ST</t>
  </si>
  <si>
    <t>ALLEN GEORGE F JR &amp; DOROTHY J (W)</t>
  </si>
  <si>
    <t>114 CARRINGTON ST</t>
  </si>
  <si>
    <t>ALLEN GEORGE F JR &amp; D</t>
  </si>
  <si>
    <t>115 E JEFFERSON ST</t>
  </si>
  <si>
    <t>SNINSKY RONALD D</t>
  </si>
  <si>
    <t xml:space="preserve">RAGIN RUFUS C </t>
  </si>
  <si>
    <t>110 CARRINGTON ST</t>
  </si>
  <si>
    <t>1529 FEDERAL ST</t>
  </si>
  <si>
    <t>1527 FEDERAL ST</t>
  </si>
  <si>
    <t xml:space="preserve">LIGO SARAH &amp; BRYCE (H) </t>
  </si>
  <si>
    <t xml:space="preserve">SCHRIBNER BARBARA </t>
  </si>
  <si>
    <t>104 ALPINE AVE</t>
  </si>
  <si>
    <t xml:space="preserve">MCKINSTRY GAIL </t>
  </si>
  <si>
    <t>106 ALPINE AVE</t>
  </si>
  <si>
    <t xml:space="preserve">COOK RODERICK </t>
  </si>
  <si>
    <t>208 ALPINE AVE</t>
  </si>
  <si>
    <t xml:space="preserve">STEWART DEAN A                                  </t>
  </si>
  <si>
    <t>1525 ARCH ST</t>
  </si>
  <si>
    <t xml:space="preserve">LUCK ARLENE                                     </t>
  </si>
  <si>
    <t>1529 ARCH ST</t>
  </si>
  <si>
    <t xml:space="preserve">BURKE SEAN                                      </t>
  </si>
  <si>
    <t>211 CARRINGTON ST</t>
  </si>
  <si>
    <t>ZAHREN JEFFREY R &amp; JENNIFER A (W)</t>
  </si>
  <si>
    <t>237 CARRINGTON ST</t>
  </si>
  <si>
    <t>ZAHREN JEFFREY R &amp; JE</t>
  </si>
  <si>
    <t xml:space="preserve">ADAMS BRIANE L                                  </t>
  </si>
  <si>
    <t>239 CARRINGTON ST</t>
  </si>
  <si>
    <t xml:space="preserve">ADAMS BRIANE L BAKER </t>
  </si>
  <si>
    <t>PHILLIPS RALPH  &amp; VERNEVA (W)</t>
  </si>
  <si>
    <t>MULVIN FAMILY TRUST      ETAL</t>
  </si>
  <si>
    <t>244 ALPINE AVE</t>
  </si>
  <si>
    <t>ROBERT JON MULVIN &amp; S</t>
  </si>
  <si>
    <t xml:space="preserve">JOHNSON MICHAEL C </t>
  </si>
  <si>
    <t>245 CARRINGTON ST</t>
  </si>
  <si>
    <t xml:space="preserve">DIAL ELIZABETH ADELE </t>
  </si>
  <si>
    <t>401 ARMANDALE ST</t>
  </si>
  <si>
    <t>DIAL ELIZABETH ADELE</t>
  </si>
  <si>
    <t xml:space="preserve">QUINN FRANK                                     </t>
  </si>
  <si>
    <t>1527 SATURN WAY</t>
  </si>
  <si>
    <t>QUINN FRANK</t>
  </si>
  <si>
    <t>1525 SATURN WAY</t>
  </si>
  <si>
    <t xml:space="preserve">ELLINGBOE CHAD &amp;                         </t>
  </si>
  <si>
    <t>402 ALPINE AVE</t>
  </si>
  <si>
    <t xml:space="preserve">LAWRENCE JAMES R                                </t>
  </si>
  <si>
    <t xml:space="preserve">SHANKAR RAHUL                                   </t>
  </si>
  <si>
    <t>213 ALPINE AVE</t>
  </si>
  <si>
    <t xml:space="preserve">FARRIS SEAN </t>
  </si>
  <si>
    <t>211 ALPINE AVE</t>
  </si>
  <si>
    <t xml:space="preserve">GALMARINI CAMILLE </t>
  </si>
  <si>
    <t>406 JACKSONIA ST</t>
  </si>
  <si>
    <t>JOHNSON RALPH C &amp; FANNIE M</t>
  </si>
  <si>
    <t>404 JACKSONIA ST</t>
  </si>
  <si>
    <t xml:space="preserve">CASEY LINDA D </t>
  </si>
  <si>
    <t>1508 ARCH ST</t>
  </si>
  <si>
    <t>0 JACKSONIA ST</t>
  </si>
  <si>
    <t>PASTORIUS JAMES P &amp; LINDSEY J (W)</t>
  </si>
  <si>
    <t>118 JACKSONIA ST</t>
  </si>
  <si>
    <t xml:space="preserve">KAMRAN DEVELOPMENT LLC </t>
  </si>
  <si>
    <t>KAMRAN DEVELOPMENT LL</t>
  </si>
  <si>
    <t xml:space="preserve">KO MONICA </t>
  </si>
  <si>
    <t>13 ALPINE AVE</t>
  </si>
  <si>
    <t xml:space="preserve">STERN ERIC W                                    </t>
  </si>
  <si>
    <t>26 JACKSONIA ST</t>
  </si>
  <si>
    <t>AFFORDABLE HOUSING  PARTNERSHIP</t>
  </si>
  <si>
    <t>18 JACKSONIA ST</t>
  </si>
  <si>
    <t>ROBERT C. WATSON</t>
  </si>
  <si>
    <t xml:space="preserve">PUZAS MARK G JR </t>
  </si>
  <si>
    <t>1503 FEDERAL ST</t>
  </si>
  <si>
    <t>KENYON RD</t>
  </si>
  <si>
    <t xml:space="preserve">KALINOSKI JOSEPH P </t>
  </si>
  <si>
    <t>1501 FEDERAL ST</t>
  </si>
  <si>
    <t xml:space="preserve">UNDERWOOD FREDRIC C II </t>
  </si>
  <si>
    <t>11 JACKSONIA ST</t>
  </si>
  <si>
    <t xml:space="preserve">JACKSONIA RENTALS LLC </t>
  </si>
  <si>
    <t>109 JACKSONIA ST</t>
  </si>
  <si>
    <t>COCHRAN RD STE 124</t>
  </si>
  <si>
    <t>1416 ARCH ST</t>
  </si>
  <si>
    <t xml:space="preserve">LONG BOW DEVELOPMENT LLC </t>
  </si>
  <si>
    <t>238 E JEFFERSON ST</t>
  </si>
  <si>
    <t xml:space="preserve">LONG BOW DEVELOPMENT </t>
  </si>
  <si>
    <t xml:space="preserve">PINNICK CARRIE </t>
  </si>
  <si>
    <t>1424 FEDERAL ST</t>
  </si>
  <si>
    <t xml:space="preserve">FINKLER JACOB E &amp; </t>
  </si>
  <si>
    <t>1502 FEDERAL ST</t>
  </si>
  <si>
    <t xml:space="preserve">VERNON CAROL E </t>
  </si>
  <si>
    <t>1504 FEDERAL ST</t>
  </si>
  <si>
    <t>MUSICO JAMES M &amp; MARLENA L (W)</t>
  </si>
  <si>
    <t>1510 FEDERAL ST</t>
  </si>
  <si>
    <t xml:space="preserve">MCLYNN DENNIS </t>
  </si>
  <si>
    <t>11 MCCRORY WAY</t>
  </si>
  <si>
    <t>MCLYNN DENNIS</t>
  </si>
  <si>
    <t>NAVESINK AVE</t>
  </si>
  <si>
    <t>HIGHLANDS</t>
  </si>
  <si>
    <t xml:space="preserve">CHISOM AUDRA GARRETT </t>
  </si>
  <si>
    <t>1511 BOYLE ST</t>
  </si>
  <si>
    <t xml:space="preserve">DOBBINS-BUCKLAD CARLY  MARIA                   </t>
  </si>
  <si>
    <t>1501 BOYLE ST</t>
  </si>
  <si>
    <t xml:space="preserve">GATES CHRISTOPHER </t>
  </si>
  <si>
    <t>1425 BOYLE ST</t>
  </si>
  <si>
    <t xml:space="preserve">CAIN BENJAMIN AARON </t>
  </si>
  <si>
    <t>1419 BOYLE ST</t>
  </si>
  <si>
    <t xml:space="preserve">HODNETT FREDDIE </t>
  </si>
  <si>
    <t>1413 BOYLE ST</t>
  </si>
  <si>
    <t>SHEILA BOOTH</t>
  </si>
  <si>
    <t>DARDEN CT</t>
  </si>
  <si>
    <t>NETTLES GEORGE  &amp; HENRY JOE</t>
  </si>
  <si>
    <t>1411 BOYLE ST</t>
  </si>
  <si>
    <t xml:space="preserve">GERMANY GLENN </t>
  </si>
  <si>
    <t>1504 BOYLE ST</t>
  </si>
  <si>
    <t>1450 LORAINE ST</t>
  </si>
  <si>
    <t>LORAINE ST</t>
  </si>
  <si>
    <t>1448 LORAINE ST</t>
  </si>
  <si>
    <t xml:space="preserve">O NEILS INVESTMENTS LLC </t>
  </si>
  <si>
    <t>1428 LORAINE ST</t>
  </si>
  <si>
    <t>O NEILS INVESTMENTS L</t>
  </si>
  <si>
    <t xml:space="preserve">TOWNES KWAME LATEEF </t>
  </si>
  <si>
    <t>1402 LORAINE ST</t>
  </si>
  <si>
    <t>WALNUT RDG</t>
  </si>
  <si>
    <t>WALKER PIERCE  &amp; PEARLINA (W)</t>
  </si>
  <si>
    <t>114 HEMLOCK ST</t>
  </si>
  <si>
    <t xml:space="preserve">KHALIL RAMZI F </t>
  </si>
  <si>
    <t>0 SANDUSKY ST</t>
  </si>
  <si>
    <t xml:space="preserve">LOBELSOHN JOSHUA A                              </t>
  </si>
  <si>
    <t>1419 PORTERFIELD ST</t>
  </si>
  <si>
    <t>WALLACE JOHN H &amp; FREIDA B BROWN</t>
  </si>
  <si>
    <t>0 FOUNTAIN ST</t>
  </si>
  <si>
    <t>MRS BROWN F W</t>
  </si>
  <si>
    <t>CHARLOTTE CT</t>
  </si>
  <si>
    <t>1534 FEDERAL ST</t>
  </si>
  <si>
    <t>1532 FEDERAL ST</t>
  </si>
  <si>
    <t xml:space="preserve">WOLFGANG BRITTANY </t>
  </si>
  <si>
    <t>0 HENDERSON ST</t>
  </si>
  <si>
    <t>WOLFGANG BRITTANY</t>
  </si>
  <si>
    <t>PO BOX 101726</t>
  </si>
  <si>
    <t>10 ALPINE AVE</t>
  </si>
  <si>
    <t>8 ALPINE AVE</t>
  </si>
  <si>
    <t>6 ALPINE AVE</t>
  </si>
  <si>
    <t>4 ALPINE AVE</t>
  </si>
  <si>
    <t xml:space="preserve">WARDEN CHRISTINE                                </t>
  </si>
  <si>
    <t>1433 FEDERAL ST</t>
  </si>
  <si>
    <t xml:space="preserve">PAAT MARK G                                     </t>
  </si>
  <si>
    <t>1429 FEDERAL ST</t>
  </si>
  <si>
    <t xml:space="preserve">KEENAN JAMES GREGORY </t>
  </si>
  <si>
    <t>0 HEMLOCK ST</t>
  </si>
  <si>
    <t xml:space="preserve">TRAUTMAN GEORGE J </t>
  </si>
  <si>
    <t xml:space="preserve">PROPERTIES FOR YOU LLC </t>
  </si>
  <si>
    <t>124 FOUNTAIN ST</t>
  </si>
  <si>
    <t xml:space="preserve">MILE HIGH CAPITAL LLC </t>
  </si>
  <si>
    <t>106 FOUNTAIN ST</t>
  </si>
  <si>
    <t xml:space="preserve">CLARKE DONALD </t>
  </si>
  <si>
    <t>67 FOUNTAIN ST</t>
  </si>
  <si>
    <t>CLARKE DONALD</t>
  </si>
  <si>
    <t xml:space="preserve">BROMALL GEORGE C II </t>
  </si>
  <si>
    <t>0 GRAIB ST</t>
  </si>
  <si>
    <t xml:space="preserve">WATSON MARY H </t>
  </si>
  <si>
    <t xml:space="preserve">TAYLOR THOMAS R                                 </t>
  </si>
  <si>
    <t xml:space="preserve">ANNIS BRYAN J                                   </t>
  </si>
  <si>
    <t>117 FOUNTAIN ST</t>
  </si>
  <si>
    <t>ANNIS BRYAN J</t>
  </si>
  <si>
    <t>WILLIAM FLYNN HWY STE 6</t>
  </si>
  <si>
    <t xml:space="preserve">MCCAFFREY DEBRA </t>
  </si>
  <si>
    <t>119 FOUNTAIN ST</t>
  </si>
  <si>
    <t>GRAIB ST</t>
  </si>
  <si>
    <t xml:space="preserve">MANUEL KRISTOFFER S </t>
  </si>
  <si>
    <t>123 FOUNTAIN ST</t>
  </si>
  <si>
    <t>MONTANEZ JOSE &amp; MARITZA (W)</t>
  </si>
  <si>
    <t>MONTANEZ JOSE &amp; MARIT</t>
  </si>
  <si>
    <t>KINGSBROOK DR</t>
  </si>
  <si>
    <t xml:space="preserve">TAYLOR THOMAS R </t>
  </si>
  <si>
    <t xml:space="preserve">LIMMER WILLIAM PATRICK </t>
  </si>
  <si>
    <t>LIMMER WILLIAM PATRIC</t>
  </si>
  <si>
    <t>BONNIE VUE DR</t>
  </si>
  <si>
    <t xml:space="preserve">CRIVELLA JOSEPH E </t>
  </si>
  <si>
    <t>1509 COMPROMISE ST</t>
  </si>
  <si>
    <t>N DITHRIDGE ST APT 4J</t>
  </si>
  <si>
    <t>PARR DARREN K &amp; SARA A (W)</t>
  </si>
  <si>
    <t>170 HENDERSON ST</t>
  </si>
  <si>
    <t xml:space="preserve">GRENCI CHRISTINE </t>
  </si>
  <si>
    <t>168 HENDERSON ST</t>
  </si>
  <si>
    <t xml:space="preserve">MARSHALL DONALD B </t>
  </si>
  <si>
    <t>PEEKSKILL ST</t>
  </si>
  <si>
    <t xml:space="preserve">SEALS SHIRLEY </t>
  </si>
  <si>
    <t>1521 BRIGHTON RD</t>
  </si>
  <si>
    <t xml:space="preserve">VANEGMOND LEE A </t>
  </si>
  <si>
    <t>1505 BUENA VISTA ST</t>
  </si>
  <si>
    <t xml:space="preserve">JARDINE ANTHONY VINCENT </t>
  </si>
  <si>
    <t>1509 BUENA VISTA ST</t>
  </si>
  <si>
    <t xml:space="preserve">MASTERS AMY LYNN                                </t>
  </si>
  <si>
    <t>1519 BUENA VISTA ST</t>
  </si>
  <si>
    <t xml:space="preserve">BERNAZZOLI ZACHARY ALAN </t>
  </si>
  <si>
    <t>1516 BUENA VISTA ST</t>
  </si>
  <si>
    <t>INFIRST BANK</t>
  </si>
  <si>
    <t xml:space="preserve">SLAGEL EMILY E </t>
  </si>
  <si>
    <t>1514 BUENA VISTA ST</t>
  </si>
  <si>
    <t>CITIZENS BANK  N.A.</t>
  </si>
  <si>
    <t xml:space="preserve">MURPHY PATRICIA W </t>
  </si>
  <si>
    <t>1503 MONTEREY ST</t>
  </si>
  <si>
    <t xml:space="preserve">MATHIS SCOTT </t>
  </si>
  <si>
    <t>1507 MONTEREY ST</t>
  </si>
  <si>
    <t>DICIO ST</t>
  </si>
  <si>
    <t xml:space="preserve">FLAHERTY PHILIP                                 </t>
  </si>
  <si>
    <t>1508 MONTEREY ST</t>
  </si>
  <si>
    <t xml:space="preserve">MOCKUS LINAS &amp; RITA (W) </t>
  </si>
  <si>
    <t>1504 MONTEREY ST</t>
  </si>
  <si>
    <t>MOCKUS LINAS &amp; RITA (</t>
  </si>
  <si>
    <t>1500 MONTEREY ST</t>
  </si>
  <si>
    <t>WEST LARRY D &amp; LINDA R BEATTY</t>
  </si>
  <si>
    <t>508 JACKSONIA ST</t>
  </si>
  <si>
    <t xml:space="preserve">COOPER NATHAN G                                 </t>
  </si>
  <si>
    <t>529 JACKSONIA ST</t>
  </si>
  <si>
    <t xml:space="preserve">DECHANCIE JASON </t>
  </si>
  <si>
    <t>1417 MONTEREY ST</t>
  </si>
  <si>
    <t xml:space="preserve">BASMA DAREEN                                    </t>
  </si>
  <si>
    <t>1401 MONTEREY ST</t>
  </si>
  <si>
    <t xml:space="preserve">LIGORSKI JACQUELYN                              </t>
  </si>
  <si>
    <t>1414 BUENA VISTA ST</t>
  </si>
  <si>
    <t>EVOLVE BANK &amp; TRUST</t>
  </si>
  <si>
    <t>SHOPPING WAY BLVD</t>
  </si>
  <si>
    <t>WEST MEMPHIS</t>
  </si>
  <si>
    <t>AR</t>
  </si>
  <si>
    <t>OEHLER ANDREW C &amp; CASSANDRA L (W)</t>
  </si>
  <si>
    <t>413 JACKSONIA ST</t>
  </si>
  <si>
    <t>BAINBRIDGE FRED  &amp; KAREN BAINBRIDGE</t>
  </si>
  <si>
    <t>407 JACKSONIA ST</t>
  </si>
  <si>
    <t xml:space="preserve">MENK DAVID KEITH </t>
  </si>
  <si>
    <t>319 JACKSONIA ST</t>
  </si>
  <si>
    <t>CHARLES MENZOCK</t>
  </si>
  <si>
    <t>GRANDT SCHOOL RD</t>
  </si>
  <si>
    <t xml:space="preserve">RYAN CRAIG A </t>
  </si>
  <si>
    <t>301 JACKSONIA ST</t>
  </si>
  <si>
    <t>RYAN CRAIG A</t>
  </si>
  <si>
    <t xml:space="preserve">DAVIS GLORIA JEAN                               </t>
  </si>
  <si>
    <t>1401 SHERMAN AVE</t>
  </si>
  <si>
    <t>WILSON BERTHA L ETAL</t>
  </si>
  <si>
    <t xml:space="preserve">WILSON DARNELLA </t>
  </si>
  <si>
    <t>2157 BRIGHTON RD</t>
  </si>
  <si>
    <t xml:space="preserve">WILSON DARNELLA R </t>
  </si>
  <si>
    <t xml:space="preserve">COKER MICHAEL                                   </t>
  </si>
  <si>
    <t>155 FARRIS ST</t>
  </si>
  <si>
    <t>FARRIS ST</t>
  </si>
  <si>
    <t xml:space="preserve">WALDON RAMON H </t>
  </si>
  <si>
    <t>749 CHAUTAUQUA CT</t>
  </si>
  <si>
    <t>WALDON RAMON H</t>
  </si>
  <si>
    <t xml:space="preserve">RICHARDSON JEFFREY T </t>
  </si>
  <si>
    <t>747 CHAUTAUQUA CT</t>
  </si>
  <si>
    <t>P. O. BOX 6243</t>
  </si>
  <si>
    <t>745 CHAUTAUQUA CT</t>
  </si>
  <si>
    <t>PO BOX 6243</t>
  </si>
  <si>
    <t>BAKER MAIN PROPERTIES  LLC</t>
  </si>
  <si>
    <t>729 CHAUTAUQUA CT</t>
  </si>
  <si>
    <t>PO BOX 42397</t>
  </si>
  <si>
    <t xml:space="preserve">JACKSON EDGAR G JR </t>
  </si>
  <si>
    <t>727 CHAUTAUQUA CT</t>
  </si>
  <si>
    <t>725 CHAUTAUQUA CT</t>
  </si>
  <si>
    <t>EDGAR G JACKSON JR</t>
  </si>
  <si>
    <t>721 CHAUTAUQUA CT</t>
  </si>
  <si>
    <t>SEARCY MARIA T &amp; GORMAN G (H)</t>
  </si>
  <si>
    <t>713 CHAUTAUQUA CT</t>
  </si>
  <si>
    <t>709 CHAUTAUQUA CT</t>
  </si>
  <si>
    <t>707 CHAUTAUQUA CT</t>
  </si>
  <si>
    <t xml:space="preserve">MCLAUGHLIN COLLEEN M                            </t>
  </si>
  <si>
    <t>705 CHAUTAUQUA CT</t>
  </si>
  <si>
    <t>METRO RENTALS LLC</t>
  </si>
  <si>
    <t>HEMLOCK ST STE 5</t>
  </si>
  <si>
    <t>703 CHAUTAUQUA CT</t>
  </si>
  <si>
    <t xml:space="preserve">SMITH MARK A </t>
  </si>
  <si>
    <t>701 CHAUTAUQUA CT</t>
  </si>
  <si>
    <t xml:space="preserve">WHITE HELEN L </t>
  </si>
  <si>
    <t>630 CHAUTAUQUA ST</t>
  </si>
  <si>
    <t>W FEDERAL ST UNIT 1101</t>
  </si>
  <si>
    <t xml:space="preserve">HUMPHRIES ESSIE </t>
  </si>
  <si>
    <t>628 CHAUTAUQUA ST</t>
  </si>
  <si>
    <t>CHAUTAUQUA ST</t>
  </si>
  <si>
    <t xml:space="preserve">ANDREWS OSCAR  &amp; SARA B </t>
  </si>
  <si>
    <t>622 CHAUTAUQUA ST</t>
  </si>
  <si>
    <t xml:space="preserve">PACIFICO MICHAEL A                              </t>
  </si>
  <si>
    <t>606 CHAUTAUQUA ST</t>
  </si>
  <si>
    <t>0 CHAUTAUQUA ST</t>
  </si>
  <si>
    <t>CULLEN EMMETT  &amp; LOUISE (W)</t>
  </si>
  <si>
    <t>551 CHAUTAUQUA ST</t>
  </si>
  <si>
    <t>609 CHAUTAUQUA ST</t>
  </si>
  <si>
    <t xml:space="preserve">SANGUIGNI ALEXANDER </t>
  </si>
  <si>
    <t>611 CHAUTAUQUA ST</t>
  </si>
  <si>
    <t xml:space="preserve">THOMPKINS KESETE </t>
  </si>
  <si>
    <t>613 CHAUTAUQUA ST</t>
  </si>
  <si>
    <t>COL DB KELLY WAY</t>
  </si>
  <si>
    <t>SOUTH AMBOY</t>
  </si>
  <si>
    <t xml:space="preserve">HENDERSON HOWARD JR </t>
  </si>
  <si>
    <t>PROSPECT DR</t>
  </si>
  <si>
    <t xml:space="preserve">TIMMERSON SYLVANA </t>
  </si>
  <si>
    <t>KING GEORGE CT</t>
  </si>
  <si>
    <t xml:space="preserve">LOCUST FRANK C </t>
  </si>
  <si>
    <t>711 MELROSE AVE</t>
  </si>
  <si>
    <t>PERRYSVILLE AVE APT 1</t>
  </si>
  <si>
    <t>PERRYSVILLE ST APT 1</t>
  </si>
  <si>
    <t xml:space="preserve">MYERS PETER JOSEPH </t>
  </si>
  <si>
    <t>613 MELROSE AVE</t>
  </si>
  <si>
    <t>MELROSE AVE</t>
  </si>
  <si>
    <t>SPENCER CHERYL ANN &amp; ALLEN (H)</t>
  </si>
  <si>
    <t>0 MELROSE AVE</t>
  </si>
  <si>
    <t>BROOK TRAILS CT SE</t>
  </si>
  <si>
    <t>GRAND RAPIDS</t>
  </si>
  <si>
    <t xml:space="preserve">JONES KENNETH                                   </t>
  </si>
  <si>
    <t xml:space="preserve">MILLER GEORGE </t>
  </si>
  <si>
    <t>2205 N CHARLES ST</t>
  </si>
  <si>
    <t>2201 N CHARLES ST</t>
  </si>
  <si>
    <t xml:space="preserve">COSTELLO ALYSSA </t>
  </si>
  <si>
    <t>2123 FEDERAL ST EXT</t>
  </si>
  <si>
    <t>FEDERAL ST EXT</t>
  </si>
  <si>
    <t>HALE LENELL &amp; JACQUELINE (W)</t>
  </si>
  <si>
    <t>2114 LETSCHE ST</t>
  </si>
  <si>
    <t xml:space="preserve">NIYIBIZI LILIANE </t>
  </si>
  <si>
    <t>505 CHAUTAUQUA ST</t>
  </si>
  <si>
    <t>HUMPHRIES ALBERT&amp; ESSIE (W)</t>
  </si>
  <si>
    <t>525 CHAUTAUQUA ST</t>
  </si>
  <si>
    <t>HUMPHRIES ALBERT&amp; ESS</t>
  </si>
  <si>
    <t xml:space="preserve">LINDSEY BRANDON LAMAR SR </t>
  </si>
  <si>
    <t>515 MELROSE AVE</t>
  </si>
  <si>
    <t>LINDSEY BRANDON LAMAR</t>
  </si>
  <si>
    <t>WARREN EDWARD  &amp; LASONYA D (W)</t>
  </si>
  <si>
    <t>WARREN EDWARD  &amp; LASO</t>
  </si>
  <si>
    <t xml:space="preserve">LEE DAVID </t>
  </si>
  <si>
    <t>413 MELROSE AVE</t>
  </si>
  <si>
    <t xml:space="preserve">CALHOUN LLOYD C </t>
  </si>
  <si>
    <t>SIPE ST</t>
  </si>
  <si>
    <t xml:space="preserve">BUTLER LEONARD E JR </t>
  </si>
  <si>
    <t>2101 HOLYOKE ST</t>
  </si>
  <si>
    <t>HOLYOKE ST</t>
  </si>
  <si>
    <t>2103 HOLYOKE ST</t>
  </si>
  <si>
    <t>ROUTE 88</t>
  </si>
  <si>
    <t>CARMICHAELS</t>
  </si>
  <si>
    <t xml:space="preserve">GOSSARD DEONNA L </t>
  </si>
  <si>
    <t>2131 HOLYOKE ST</t>
  </si>
  <si>
    <t xml:space="preserve">GOMEZ MORELIA </t>
  </si>
  <si>
    <t>2141 HOLYOKE ST</t>
  </si>
  <si>
    <t>NINEBACK CT</t>
  </si>
  <si>
    <t>MANASSA</t>
  </si>
  <si>
    <t xml:space="preserve">WRIGHT ADELLE </t>
  </si>
  <si>
    <t>0 HOLYOKE ST</t>
  </si>
  <si>
    <t xml:space="preserve">SIMMONS SHIRLEY ANN </t>
  </si>
  <si>
    <t xml:space="preserve">BEST WILLIAM </t>
  </si>
  <si>
    <t>2146 HOLYOKE ST</t>
  </si>
  <si>
    <t xml:space="preserve">WASSON LORETTA A </t>
  </si>
  <si>
    <t>2144 HOLYOKE ST</t>
  </si>
  <si>
    <t>WESTERN AVE APT 7</t>
  </si>
  <si>
    <t xml:space="preserve">ROBINSON ODELL III </t>
  </si>
  <si>
    <t>2025 PERRYSVILLE AVE</t>
  </si>
  <si>
    <t>LEGACY INTERNATIONAL  WORSHIP CENTER INC</t>
  </si>
  <si>
    <t>2131 WILSON AVE</t>
  </si>
  <si>
    <t xml:space="preserve">LEGACY INTERNATIONAL </t>
  </si>
  <si>
    <t xml:space="preserve">HUMPHRIES ESSIE &amp; ALBERT (H)              </t>
  </si>
  <si>
    <t>2018 DRUM ST</t>
  </si>
  <si>
    <t xml:space="preserve">PRF 100 LLC </t>
  </si>
  <si>
    <t>2132 WILSON AVE</t>
  </si>
  <si>
    <t xml:space="preserve">HENNE MARGARET ESTHER </t>
  </si>
  <si>
    <t>BIVINS EDWARD SR &amp; MICHELE J (W)</t>
  </si>
  <si>
    <t>18 DIVINITY ST</t>
  </si>
  <si>
    <t xml:space="preserve">KEANU FAMILY TRUST (THE) </t>
  </si>
  <si>
    <t>1948 PERRYSVILLE AVE</t>
  </si>
  <si>
    <t>COOPER RANCH CT</t>
  </si>
  <si>
    <t>REESE DANIEL E &amp; JOAN M (W)</t>
  </si>
  <si>
    <t>525 MCCLINTOCK AVE</t>
  </si>
  <si>
    <t>EVERGREEN RD</t>
  </si>
  <si>
    <t xml:space="preserve">BEDROCK RESERVE TRUST </t>
  </si>
  <si>
    <t>521 MCCLINTOCK AVE</t>
  </si>
  <si>
    <t xml:space="preserve">SFR3-020 LLC </t>
  </si>
  <si>
    <t>519 MCCLINTOCK AVE</t>
  </si>
  <si>
    <t xml:space="preserve">HOLE 19 LLC </t>
  </si>
  <si>
    <t>517 MCCLINTOCK AVE</t>
  </si>
  <si>
    <t xml:space="preserve">DUNHOFF CRAIG C </t>
  </si>
  <si>
    <t>1965 PERRYSVILLE AVE</t>
  </si>
  <si>
    <t>PERRY NORTH ASSET  RECOVERY TRUST I</t>
  </si>
  <si>
    <t>512 MCCLINTOCK AVE</t>
  </si>
  <si>
    <t>PERRY NORTH ASSET REC</t>
  </si>
  <si>
    <t>S COMMONS STE 102</t>
  </si>
  <si>
    <t xml:space="preserve">REILLY KENNETH J &amp;                         </t>
  </si>
  <si>
    <t>526 MCCLINTOCK AVE</t>
  </si>
  <si>
    <t>REILLY KENNETH J &amp; ST</t>
  </si>
  <si>
    <t>WESTWORTH AVE</t>
  </si>
  <si>
    <t xml:space="preserve">BRATTEN EMMANUEL </t>
  </si>
  <si>
    <t>542 MCCLINTOCK AVE</t>
  </si>
  <si>
    <t>MCCLINTOCK ST APT B46</t>
  </si>
  <si>
    <t xml:space="preserve">CONLEY CHRISTENE L </t>
  </si>
  <si>
    <t>544 MCCLINTOCK AVE</t>
  </si>
  <si>
    <t xml:space="preserve">FULGHAM JUMAA A </t>
  </si>
  <si>
    <t>611 RIDGEWOOD ST</t>
  </si>
  <si>
    <t>RIDGEWOOD ST</t>
  </si>
  <si>
    <t>GOLD PYRAMID SCREEN &amp; STAGE LLC</t>
  </si>
  <si>
    <t>505 RIDGEWOOD ST</t>
  </si>
  <si>
    <t>GOLD PYRAMID SCREEN &amp;</t>
  </si>
  <si>
    <t>SOUTH COMMONS STE 102</t>
  </si>
  <si>
    <t>2143 PERRYSVILLE AVE</t>
  </si>
  <si>
    <t xml:space="preserve">PERRY HILLTOP FARM LLC </t>
  </si>
  <si>
    <t>PERRY HILLTOP FARM LL</t>
  </si>
  <si>
    <t xml:space="preserve">GARDNER RENE                                    </t>
  </si>
  <si>
    <t xml:space="preserve">HANSFORD KEITH </t>
  </si>
  <si>
    <t>SEXTANT DR</t>
  </si>
  <si>
    <t>BARNEGAT</t>
  </si>
  <si>
    <t xml:space="preserve">ZHAO WEI </t>
  </si>
  <si>
    <t xml:space="preserve">INOC LLC </t>
  </si>
  <si>
    <t>0 DIVINITY ST</t>
  </si>
  <si>
    <t>INOC LLC</t>
  </si>
  <si>
    <t>PO BOX 1348</t>
  </si>
  <si>
    <t>LEXINGTON</t>
  </si>
  <si>
    <t xml:space="preserve">PIERRE BOUAZE </t>
  </si>
  <si>
    <t>33 DIVINITY ST</t>
  </si>
  <si>
    <t>P O BOX 23412</t>
  </si>
  <si>
    <t xml:space="preserve">GHAFOOR ODELL                                   </t>
  </si>
  <si>
    <t>200 LANGLEY AVE</t>
  </si>
  <si>
    <t>GHAFOOR ODELL</t>
  </si>
  <si>
    <t>BEECH CREEK</t>
  </si>
  <si>
    <t xml:space="preserve">PACE DANIEL RICHARD </t>
  </si>
  <si>
    <t>218 LANGLEY AVE</t>
  </si>
  <si>
    <t>W SLAUGHTER LN APT 1312</t>
  </si>
  <si>
    <t xml:space="preserve">DAVIAS JOE C </t>
  </si>
  <si>
    <t xml:space="preserve">MSMF REALTY LLC </t>
  </si>
  <si>
    <t>1936 CLAYTON AVE</t>
  </si>
  <si>
    <t xml:space="preserve">LANKES MARLENE D </t>
  </si>
  <si>
    <t>CORBETT CT APT 202</t>
  </si>
  <si>
    <t>WORKINGMENS SAVINGS &amp; LOAN ASSN</t>
  </si>
  <si>
    <t xml:space="preserve">CREAGH EDWARD A </t>
  </si>
  <si>
    <t>BLUMER GEORGE L &amp; MARGARET</t>
  </si>
  <si>
    <t xml:space="preserve">HANNER EDWARD JR                                </t>
  </si>
  <si>
    <t>BOWER AVE</t>
  </si>
  <si>
    <t xml:space="preserve">NOLEN STANLEY </t>
  </si>
  <si>
    <t xml:space="preserve">ETTADOUNI ABDELILAH </t>
  </si>
  <si>
    <t xml:space="preserve">QUEVEDO MIREYA </t>
  </si>
  <si>
    <t>CANDLE RD</t>
  </si>
  <si>
    <t>LEVITTOWN</t>
  </si>
  <si>
    <t xml:space="preserve">LIPTAK CAROLE </t>
  </si>
  <si>
    <t>MALINE ST</t>
  </si>
  <si>
    <t>WHITE OAK DR</t>
  </si>
  <si>
    <t>1950 LITHGOW AVE</t>
  </si>
  <si>
    <t xml:space="preserve">HOFFMAN CLARA LOUISE </t>
  </si>
  <si>
    <t xml:space="preserve">BALASKI MELISSA ROSE                            </t>
  </si>
  <si>
    <t>1944 LITHGOW AVE</t>
  </si>
  <si>
    <t>GILL MARGARET  &amp; MARY KRUEGER</t>
  </si>
  <si>
    <t>1942 LITHGOW AVE</t>
  </si>
  <si>
    <t>GILL MARGARET  &amp; MARY</t>
  </si>
  <si>
    <t>DORF DR</t>
  </si>
  <si>
    <t xml:space="preserve">WHITSEY JEROME S </t>
  </si>
  <si>
    <t>1932 LITHGOW AVE</t>
  </si>
  <si>
    <t>BRADY STEPHEN M &amp; JOYCE K (W)</t>
  </si>
  <si>
    <t>1926 LITHGOW AVE</t>
  </si>
  <si>
    <t xml:space="preserve">RUCKER ESTHER </t>
  </si>
  <si>
    <t>BAINTON ST APT A</t>
  </si>
  <si>
    <t xml:space="preserve">MAIN MARIE E </t>
  </si>
  <si>
    <t>2134 PERRYSVILLE AVE</t>
  </si>
  <si>
    <t>PO BOX 6331</t>
  </si>
  <si>
    <t>GLASS WILLIAM  &amp; GLASS ANNE E</t>
  </si>
  <si>
    <t>0 LAFAYETTE AVE</t>
  </si>
  <si>
    <t>GLASS WILLIAM J &amp; GLASS ANNE E</t>
  </si>
  <si>
    <t xml:space="preserve">BIVINS ERIC L </t>
  </si>
  <si>
    <t>2121 KOERNER AVE</t>
  </si>
  <si>
    <t>ERIC L BIVINS</t>
  </si>
  <si>
    <t>N PASADENA BLVD APT 512</t>
  </si>
  <si>
    <t>0 KOERNER AVE</t>
  </si>
  <si>
    <t>PASADENA BLVD APT 512</t>
  </si>
  <si>
    <t xml:space="preserve">HOOPER MARK </t>
  </si>
  <si>
    <t>KOERNER AVE</t>
  </si>
  <si>
    <t xml:space="preserve">WILLIAMS VERNON L </t>
  </si>
  <si>
    <t>2112 KOERNER AVE</t>
  </si>
  <si>
    <t xml:space="preserve">ROZIER THOMI </t>
  </si>
  <si>
    <t>2116 KOERNER AVE</t>
  </si>
  <si>
    <t xml:space="preserve">I WORK SOLUTION LLC </t>
  </si>
  <si>
    <t>0 FEDERAL ST EXT</t>
  </si>
  <si>
    <t>2117 FEDERAL ST EXT</t>
  </si>
  <si>
    <t xml:space="preserve">GRIFFIN WILLIAM H </t>
  </si>
  <si>
    <t>MAYFIELD AVE</t>
  </si>
  <si>
    <t xml:space="preserve">FREEMAN BEN III                                 </t>
  </si>
  <si>
    <t>1969 FEDERAL ST EXT</t>
  </si>
  <si>
    <t>S HARRISON AVE</t>
  </si>
  <si>
    <t>FREEMAN BEN III &amp; ANTOINE (W)</t>
  </si>
  <si>
    <t>FREEMAN BEN III</t>
  </si>
  <si>
    <t>JAMES DAVID  &amp; FREDELLA (LICKERT) GRUBB</t>
  </si>
  <si>
    <t>1963 FEDERAL ST EXT</t>
  </si>
  <si>
    <t>JAMES DAVID  &amp; FREDEL</t>
  </si>
  <si>
    <t>YETTA AVE APT 610</t>
  </si>
  <si>
    <t>LETORT ST APT 504</t>
  </si>
  <si>
    <t>BRYCE PETERS FINANCIAL  CORP</t>
  </si>
  <si>
    <t xml:space="preserve">BRYCE PETERS FINANCIAL </t>
  </si>
  <si>
    <t xml:space="preserve">HARLANDER CLARA S </t>
  </si>
  <si>
    <t xml:space="preserve">GONZALEZ MARGORIE </t>
  </si>
  <si>
    <t xml:space="preserve">JEFFERSON JOHN E </t>
  </si>
  <si>
    <t xml:space="preserve">BOCHTER ALBERT R JR </t>
  </si>
  <si>
    <t>JANINCE BOCHTER</t>
  </si>
  <si>
    <t>CHURCHILL ST</t>
  </si>
  <si>
    <t>MARS MARTIN R &amp; CATHERINE A</t>
  </si>
  <si>
    <t>MARS MARTIN R &amp; CATHE</t>
  </si>
  <si>
    <t xml:space="preserve">PERDUE GREG </t>
  </si>
  <si>
    <t>1941 FEDERAL ST EXT</t>
  </si>
  <si>
    <t>MCCLURE AVE</t>
  </si>
  <si>
    <t xml:space="preserve">MCPHERSON DEANGELA </t>
  </si>
  <si>
    <t>THOMAS WALTER E &amp; CATHERINE (W)</t>
  </si>
  <si>
    <t>2115 LETSCHE ST</t>
  </si>
  <si>
    <t>LETSCHE ST</t>
  </si>
  <si>
    <t>PARKER RICHARD E &amp; DOROTHY R (W)</t>
  </si>
  <si>
    <t>1941 LETSCHE ST</t>
  </si>
  <si>
    <t>DEGRASSE ELIZABETH  JUANITA</t>
  </si>
  <si>
    <t>1935 LETSCHE ST</t>
  </si>
  <si>
    <t>ELIZABETH JUANITA DEG</t>
  </si>
  <si>
    <t>FENTON AVE APT 1</t>
  </si>
  <si>
    <t>DOOLEY WILLIAM J JR &amp; CAROL J (W)</t>
  </si>
  <si>
    <t xml:space="preserve">KUMAR SHASHI </t>
  </si>
  <si>
    <t>1924 LETSCHE ST</t>
  </si>
  <si>
    <t xml:space="preserve">ROYSTER ALFRED W                                </t>
  </si>
  <si>
    <t>1934 LETSCHE ST</t>
  </si>
  <si>
    <t>DAVID C COLEMAN</t>
  </si>
  <si>
    <t xml:space="preserve">KENNEY ULYSSES S JR                             </t>
  </si>
  <si>
    <t>0 LETSCHE ST</t>
  </si>
  <si>
    <t>KENNEY ULYSSES S JR F</t>
  </si>
  <si>
    <t>OLIVE ST</t>
  </si>
  <si>
    <t xml:space="preserve">MUNDY RONALD  &amp; JANET </t>
  </si>
  <si>
    <t>2028 LETSCHE ST</t>
  </si>
  <si>
    <t xml:space="preserve">HITE JEFFREY T </t>
  </si>
  <si>
    <t>0 OLIVE ST</t>
  </si>
  <si>
    <t xml:space="preserve">HARRIS ANGELA                                   </t>
  </si>
  <si>
    <t>2102 LETSCHE ST</t>
  </si>
  <si>
    <t>P O BOX 213</t>
  </si>
  <si>
    <t xml:space="preserve">GRICE ELTON M </t>
  </si>
  <si>
    <t>SUMMER ST</t>
  </si>
  <si>
    <t>KENNEY ULYSSES S JR &amp; RUTH S (W)</t>
  </si>
  <si>
    <t>8 OLIVE ST</t>
  </si>
  <si>
    <t xml:space="preserve">BOWRA LEOLA                                     </t>
  </si>
  <si>
    <t>12 OLIVE ST</t>
  </si>
  <si>
    <t>LEOLA BOWRA</t>
  </si>
  <si>
    <t xml:space="preserve">KENNEY NICOLE </t>
  </si>
  <si>
    <t>14 OLIVE ST</t>
  </si>
  <si>
    <t>NICOLE KENNEY</t>
  </si>
  <si>
    <t>STANFORD RD</t>
  </si>
  <si>
    <t>HODGES FORREST E &amp; KATHLEEN J (W)</t>
  </si>
  <si>
    <t>2005 MOUNTFORD AVE</t>
  </si>
  <si>
    <t>MOUNTFORD AVE</t>
  </si>
  <si>
    <t>18 OLIVE ST</t>
  </si>
  <si>
    <t xml:space="preserve">WALKER CHRISTOPHER  BAUMGARDNER             </t>
  </si>
  <si>
    <t>2009 MOUNTFORD AVE</t>
  </si>
  <si>
    <t xml:space="preserve">MOOREFIELD COREY </t>
  </si>
  <si>
    <t>0 MCNAUGHER ST</t>
  </si>
  <si>
    <t>ROSELLE CT</t>
  </si>
  <si>
    <t xml:space="preserve">NOLL NORMA JEAN </t>
  </si>
  <si>
    <t>105 HOOD WAY</t>
  </si>
  <si>
    <t>PO BOX 126</t>
  </si>
  <si>
    <t>OHIOPYLE</t>
  </si>
  <si>
    <t xml:space="preserve">STRATTON EDNA MARIE </t>
  </si>
  <si>
    <t>MCNAUGHER ST</t>
  </si>
  <si>
    <t xml:space="preserve">VINASCO EVELIO </t>
  </si>
  <si>
    <t>100 MCNAUGHER ST</t>
  </si>
  <si>
    <t>BORDER ST</t>
  </si>
  <si>
    <t>MILFORD</t>
  </si>
  <si>
    <t xml:space="preserve">KIEFER MATTHEW DOUGLAS </t>
  </si>
  <si>
    <t>104 MCNAUGHER ST</t>
  </si>
  <si>
    <t>KIEFER MATTHEW DOUGLA</t>
  </si>
  <si>
    <t>SUBER CHARLES A &amp; JULIA M (W)</t>
  </si>
  <si>
    <t>106 MCNAUGHER ST</t>
  </si>
  <si>
    <t xml:space="preserve">SQUARE ONE HOLDINGS LLC </t>
  </si>
  <si>
    <t>2111 MOUNTFORD AVE</t>
  </si>
  <si>
    <t>SQUARE ONE HOLDINGS L</t>
  </si>
  <si>
    <t>OWENS VERZELLE R &amp; SANDRA M ROBINSON (W)</t>
  </si>
  <si>
    <t>0 MOUNTFORD AVE</t>
  </si>
  <si>
    <t xml:space="preserve">SNINSKY DIANE L </t>
  </si>
  <si>
    <t>1941 MOUNTFORD AVE</t>
  </si>
  <si>
    <t>BARTLETT MEDEA S &amp; RICHARD S SCOTT</t>
  </si>
  <si>
    <t>BARTLETT MEDEA S &amp; RI</t>
  </si>
  <si>
    <t xml:space="preserve">WOOD EUGENE W </t>
  </si>
  <si>
    <t>ARKANSAS AVE</t>
  </si>
  <si>
    <t xml:space="preserve">ALEXANDER KENNETH W </t>
  </si>
  <si>
    <t>1909 BELLEAU ST</t>
  </si>
  <si>
    <t>MILLER RAYMOND L SR &amp; NAZERA E (W)</t>
  </si>
  <si>
    <t>1900 BELLEAU ST</t>
  </si>
  <si>
    <t>0 CEMETERY ST</t>
  </si>
  <si>
    <t xml:space="preserve">C F F E L L C </t>
  </si>
  <si>
    <t>GLENGARY DR</t>
  </si>
  <si>
    <t>1905 MEADVILLE ST</t>
  </si>
  <si>
    <t xml:space="preserve">MACAN REALTY LLC </t>
  </si>
  <si>
    <t>1921 MEADVILLE ST</t>
  </si>
  <si>
    <t xml:space="preserve">STIERS EUGENE P JR </t>
  </si>
  <si>
    <t>1923 MEADVILLE ST</t>
  </si>
  <si>
    <t>WALNUT RD</t>
  </si>
  <si>
    <t xml:space="preserve">HASSON GORDON </t>
  </si>
  <si>
    <t>1933 MEADVILLE ST</t>
  </si>
  <si>
    <t>SHILOH AVE APT 205</t>
  </si>
  <si>
    <t xml:space="preserve">BAUER PROPERTIES LLC </t>
  </si>
  <si>
    <t>1935 MEADVILLE ST</t>
  </si>
  <si>
    <t>PO BOX 7091</t>
  </si>
  <si>
    <t xml:space="preserve">MITCHELL DENISE M </t>
  </si>
  <si>
    <t>214 MARSONIA ST</t>
  </si>
  <si>
    <t xml:space="preserve">RESCHER CATHERINE A </t>
  </si>
  <si>
    <t>2013 OSGOOD ST</t>
  </si>
  <si>
    <t xml:space="preserve">CONNOLLY JUSTIN </t>
  </si>
  <si>
    <t>2022 OSGOOD ST</t>
  </si>
  <si>
    <t xml:space="preserve">CANDITO BRYAN </t>
  </si>
  <si>
    <t>306 MARSONIA ST</t>
  </si>
  <si>
    <t>CARLSON MANOR DR</t>
  </si>
  <si>
    <t>FINEVIEW CITIZENS  COUNCIL INC</t>
  </si>
  <si>
    <t>0 MARSONIA ST</t>
  </si>
  <si>
    <t>FINEVIEW CITIZENS COU</t>
  </si>
  <si>
    <t>PO BOX 6602</t>
  </si>
  <si>
    <t>0 RISING MAIN AVE</t>
  </si>
  <si>
    <t xml:space="preserve">SHRAINER LIUBOV </t>
  </si>
  <si>
    <t>311 MARSONIA ST</t>
  </si>
  <si>
    <t xml:space="preserve">ERDLEN MICHAEL </t>
  </si>
  <si>
    <t>1938 MEADVILLE ST</t>
  </si>
  <si>
    <t>LINDEN ST</t>
  </si>
  <si>
    <t>GROETZINGER HARRY F &amp; CATHERINE</t>
  </si>
  <si>
    <t>0 BIGGS AVE</t>
  </si>
  <si>
    <t>H F GROETZINGER</t>
  </si>
  <si>
    <t xml:space="preserve">CUA LUALHATI </t>
  </si>
  <si>
    <t>MELVIN AVE</t>
  </si>
  <si>
    <t>NORTHRIDGE</t>
  </si>
  <si>
    <t>324 RISING MAIN AVE</t>
  </si>
  <si>
    <t>HOLSTE EDWARD J &amp; MAUREEN A (W)</t>
  </si>
  <si>
    <t>352 RISING MAIN AVE</t>
  </si>
  <si>
    <t>CARRSVILLE</t>
  </si>
  <si>
    <t xml:space="preserve">BUNTING RONALD E </t>
  </si>
  <si>
    <t>356 RISING MAIN AVE</t>
  </si>
  <si>
    <t>RISING MAIN ST</t>
  </si>
  <si>
    <t xml:space="preserve">VINCZE WILLIAM </t>
  </si>
  <si>
    <t>357 RISING MAIN AVE</t>
  </si>
  <si>
    <t>VINCZE WILLIAM</t>
  </si>
  <si>
    <t>RISING MAIN AVE</t>
  </si>
  <si>
    <t xml:space="preserve">WILLIAMS AMARI </t>
  </si>
  <si>
    <t>648 TOBOGGAN ST</t>
  </si>
  <si>
    <t>TOBOGGAN ST</t>
  </si>
  <si>
    <t xml:space="preserve">KIELAR RICHARD P &amp; DENISE (W)              </t>
  </si>
  <si>
    <t>646 TOBOGGAN ST</t>
  </si>
  <si>
    <t>KIELAR RICHARD P &amp; DE</t>
  </si>
  <si>
    <t xml:space="preserve">KIELAR DENISE </t>
  </si>
  <si>
    <t>642 TOBOGGAN ST</t>
  </si>
  <si>
    <t xml:space="preserve">GEISSINGER MICHAEL G </t>
  </si>
  <si>
    <t>626 TOBOGGAN ST</t>
  </si>
  <si>
    <t xml:space="preserve">MATOS ELIZABETH </t>
  </si>
  <si>
    <t>643 RISING MAIN AVE</t>
  </si>
  <si>
    <t xml:space="preserve">REESE CORINE </t>
  </si>
  <si>
    <t>22 SPRAIN ST</t>
  </si>
  <si>
    <t>SPRAIN ST</t>
  </si>
  <si>
    <t xml:space="preserve">BOVE KIM A </t>
  </si>
  <si>
    <t>WOODBINE RD</t>
  </si>
  <si>
    <t>FIELDS ROBERT  &amp; ELIZABETH (W)</t>
  </si>
  <si>
    <t>0 WARREN ST</t>
  </si>
  <si>
    <t xml:space="preserve">FURMAN ALBERT W </t>
  </si>
  <si>
    <t>1938 WARREN ST</t>
  </si>
  <si>
    <t>WARREN ST</t>
  </si>
  <si>
    <t xml:space="preserve">ANESIN BARBARA L </t>
  </si>
  <si>
    <t>FORT WALTON BE</t>
  </si>
  <si>
    <t xml:space="preserve">HAY JOHN W </t>
  </si>
  <si>
    <t>WAREEN ST</t>
  </si>
  <si>
    <t>CONNER EUGENE II &amp; KAREN (W)</t>
  </si>
  <si>
    <t>JENKINS DAVID L JR &amp; LEANN (W)</t>
  </si>
  <si>
    <t>14 SPRAIN ST</t>
  </si>
  <si>
    <t xml:space="preserve">JENKINS DAVID L JR &amp; </t>
  </si>
  <si>
    <t xml:space="preserve">DAVITT JOHN P IV                                </t>
  </si>
  <si>
    <t>1808 WARREN ST</t>
  </si>
  <si>
    <t xml:space="preserve">SEPPY ESTATES LLC </t>
  </si>
  <si>
    <t>73 EDENVALE ST</t>
  </si>
  <si>
    <t xml:space="preserve">BARNES JOSHUA </t>
  </si>
  <si>
    <t>0 EDENVALE ST</t>
  </si>
  <si>
    <t xml:space="preserve">ANTHONY R BROWN JR  REVOCABLE LIVING TRUST  </t>
  </si>
  <si>
    <t>533 MARSHALL AVE</t>
  </si>
  <si>
    <t>ANTHONY R BROWN JR RE</t>
  </si>
  <si>
    <t xml:space="preserve">RUFF FRANK WILLIAM </t>
  </si>
  <si>
    <t>0 MAGINN ST</t>
  </si>
  <si>
    <t xml:space="preserve">MCNALLEY PROPERTIES LLC </t>
  </si>
  <si>
    <t>808 MAGINN ST</t>
  </si>
  <si>
    <t>MCNALLEY PROPERTIES L</t>
  </si>
  <si>
    <t>PO BOX 97084</t>
  </si>
  <si>
    <t xml:space="preserve">PARKER DOROTHY M </t>
  </si>
  <si>
    <t>637 MARSHALL AVE</t>
  </si>
  <si>
    <t xml:space="preserve">J INMAN PROPERTIES LLC </t>
  </si>
  <si>
    <t>651 MARSHALL AVE</t>
  </si>
  <si>
    <t>J INMAN PROPERTIES LL</t>
  </si>
  <si>
    <t>SCOTT RIDGE RD</t>
  </si>
  <si>
    <t xml:space="preserve">WILLIAMS DIANNE L </t>
  </si>
  <si>
    <t>615 DANBURY ST</t>
  </si>
  <si>
    <t>WILLIAMS DIANNE L</t>
  </si>
  <si>
    <t xml:space="preserve">OGILVIE PATRICIA </t>
  </si>
  <si>
    <t>631 DANBURY ST</t>
  </si>
  <si>
    <t>DANBURY ST</t>
  </si>
  <si>
    <t>OAKS BENJAMIN E &amp; ROCHELLE E (W)</t>
  </si>
  <si>
    <t>2540 IRWIN AVE</t>
  </si>
  <si>
    <t xml:space="preserve">SIMPSON MARK A </t>
  </si>
  <si>
    <t>JENNINGS MAURICE  &amp; KIMBERLY FEARBRY</t>
  </si>
  <si>
    <t>718 MAGINN ST</t>
  </si>
  <si>
    <t>JENNINGS MAURICE  &amp; K</t>
  </si>
  <si>
    <t>MAGINN ST</t>
  </si>
  <si>
    <t>2330 N CHARLES ST</t>
  </si>
  <si>
    <t xml:space="preserve">HILLYARD FRANK P JR </t>
  </si>
  <si>
    <t>HILLYARD FRANK P JR</t>
  </si>
  <si>
    <t xml:space="preserve">WILLIAMS STARLA J                               </t>
  </si>
  <si>
    <t>2447 SNYDER ST</t>
  </si>
  <si>
    <t>OCWEN-USAA FED SAV BA</t>
  </si>
  <si>
    <t xml:space="preserve">YOUNGER KEITH D JR </t>
  </si>
  <si>
    <t>2448 SNYDER ST</t>
  </si>
  <si>
    <t>SMITHTON AVE</t>
  </si>
  <si>
    <t>2445 N CHARLES ST</t>
  </si>
  <si>
    <t>BRANCH CLARENCE  &amp; GLORIA (W)</t>
  </si>
  <si>
    <t>2560 N CHARLES ST</t>
  </si>
  <si>
    <t>2556 N CHARLES ST</t>
  </si>
  <si>
    <t xml:space="preserve">MUKANDAMAGE LILIANE </t>
  </si>
  <si>
    <t>2532 N CHARLES ST</t>
  </si>
  <si>
    <t>PATRICK WENDELL H &amp; PATRICIA J (W)</t>
  </si>
  <si>
    <t>2384 IRWIN AVE</t>
  </si>
  <si>
    <t>STERLING DR</t>
  </si>
  <si>
    <t>WILLIAMS WALTER L &amp; EVA M</t>
  </si>
  <si>
    <t>2462 N CHARLES ST</t>
  </si>
  <si>
    <t>JOHNNIE WILLIAMS</t>
  </si>
  <si>
    <t xml:space="preserve">WRIGHT  TOMMIE L </t>
  </si>
  <si>
    <t>2460 N CHARLES ST</t>
  </si>
  <si>
    <t>LINDA BEVERLY</t>
  </si>
  <si>
    <t>GIRARD</t>
  </si>
  <si>
    <t xml:space="preserve">THOMPKINS SHIRLEY ANN </t>
  </si>
  <si>
    <t>2456 N CHARLES ST</t>
  </si>
  <si>
    <t>PO BOX 100135</t>
  </si>
  <si>
    <t xml:space="preserve">BOSWELL WILLIAM E </t>
  </si>
  <si>
    <t>0 STRAUSS ST</t>
  </si>
  <si>
    <t>CARLTON AVE</t>
  </si>
  <si>
    <t>WYNCOTE</t>
  </si>
  <si>
    <t xml:space="preserve">PATTERSON ERNESTINE                             </t>
  </si>
  <si>
    <t>2454 N CHARLES ST</t>
  </si>
  <si>
    <t xml:space="preserve">GIST DEBRA L </t>
  </si>
  <si>
    <t>2450 N CHARLES ST</t>
  </si>
  <si>
    <t>GIST DEBRA L</t>
  </si>
  <si>
    <t>STEVENSON CHARLES  ERNEST &amp; ZELMA M</t>
  </si>
  <si>
    <t>STEVENSON CHARLES ERN</t>
  </si>
  <si>
    <t xml:space="preserve">ARMES YVONNE </t>
  </si>
  <si>
    <t>0 CHESTER AVE</t>
  </si>
  <si>
    <t xml:space="preserve">CHILDS KENNETH </t>
  </si>
  <si>
    <t>520 CHESTER AVE</t>
  </si>
  <si>
    <t>E 40TH ST #1</t>
  </si>
  <si>
    <t>BAYONNE</t>
  </si>
  <si>
    <t xml:space="preserve">WESTMORLAND IVY </t>
  </si>
  <si>
    <t>630 CHESTER AVE</t>
  </si>
  <si>
    <t>CHESTER AVE</t>
  </si>
  <si>
    <t>SNOWDEN CLARENCE R &amp; SHIRLEY L (W)</t>
  </si>
  <si>
    <t>PO BOX 18631</t>
  </si>
  <si>
    <t>656 CHESTER AVE</t>
  </si>
  <si>
    <t xml:space="preserve">SULKA ANDREW </t>
  </si>
  <si>
    <t>662 CHESTER AVE</t>
  </si>
  <si>
    <t>HEMLOCK ST APT 5</t>
  </si>
  <si>
    <t>LIGO JACK E &amp; RICHARD A MILLER</t>
  </si>
  <si>
    <t xml:space="preserve">AUSTIN CHARLES E II </t>
  </si>
  <si>
    <t>627 CHESTER AVE</t>
  </si>
  <si>
    <t>BREED ST</t>
  </si>
  <si>
    <t xml:space="preserve">COLE JANE </t>
  </si>
  <si>
    <t xml:space="preserve">COLE J LEONAR &amp; RALPH O </t>
  </si>
  <si>
    <t xml:space="preserve">ULLRICK CONSTANCE H </t>
  </si>
  <si>
    <t>ESTHER ST</t>
  </si>
  <si>
    <t xml:space="preserve">SHIELDS MARILYN D </t>
  </si>
  <si>
    <t xml:space="preserve">CLARK GEORGE &amp; DORRIE (W)              </t>
  </si>
  <si>
    <t>0 RUSSELL ST</t>
  </si>
  <si>
    <t>RUSSELL AVE</t>
  </si>
  <si>
    <t xml:space="preserve">LIGHTY ROLAND </t>
  </si>
  <si>
    <t>26 RUSSELL ST</t>
  </si>
  <si>
    <t>RUSSELL ST</t>
  </si>
  <si>
    <t xml:space="preserve">BARTLETT MATTHEW </t>
  </si>
  <si>
    <t>530 W BURGESS ST</t>
  </si>
  <si>
    <t xml:space="preserve">MACKLIN LENITA L </t>
  </si>
  <si>
    <t>528 W BURGESS ST</t>
  </si>
  <si>
    <t>544 W BURGESS ST</t>
  </si>
  <si>
    <t xml:space="preserve">PHASE INC </t>
  </si>
  <si>
    <t>PO BOX 11235</t>
  </si>
  <si>
    <t xml:space="preserve">CULVER SHERMAN L </t>
  </si>
  <si>
    <t>669 CHESTER AVE</t>
  </si>
  <si>
    <t xml:space="preserve">HOROWITZ KATHARINE </t>
  </si>
  <si>
    <t>536 CHAUTAUQUA ST</t>
  </si>
  <si>
    <t>HOROWITZ KATHARINE</t>
  </si>
  <si>
    <t xml:space="preserve">YOKLEY VALERIE LYNN </t>
  </si>
  <si>
    <t>STRAUSS ST</t>
  </si>
  <si>
    <t xml:space="preserve">RICHARDSON JAMES  &amp; DOROTHY A (W)           </t>
  </si>
  <si>
    <t>RICHARDSON JAMES  &amp; D</t>
  </si>
  <si>
    <t>HAVCK DR</t>
  </si>
  <si>
    <t>RICHARDSON JAMES         ETAL</t>
  </si>
  <si>
    <t>RICHARDSON JAMES BRIA</t>
  </si>
  <si>
    <t>JOHNSON ROBERT B &amp; MARY J JOHNSON (GUARD IA</t>
  </si>
  <si>
    <t>0 SHELTON AVE</t>
  </si>
  <si>
    <t xml:space="preserve">ARNOLD JULIA ANN </t>
  </si>
  <si>
    <t>2650 LELAND ST</t>
  </si>
  <si>
    <t>LELAND ST</t>
  </si>
  <si>
    <t xml:space="preserve">JAMES DOROTHY </t>
  </si>
  <si>
    <t>2636 LELAND ST</t>
  </si>
  <si>
    <t>LELAND AVE</t>
  </si>
  <si>
    <t>GRAY FREEMAN JR &amp; MAXINE (W)</t>
  </si>
  <si>
    <t>2632 LELAND ST</t>
  </si>
  <si>
    <t>0 LELAND ST</t>
  </si>
  <si>
    <t xml:space="preserve">EDWARDS FLOYD SR </t>
  </si>
  <si>
    <t>NATIONWIDE CAPITAL  GROUP INC</t>
  </si>
  <si>
    <t>2624 LELAND ST</t>
  </si>
  <si>
    <t xml:space="preserve">WEST TYRONE </t>
  </si>
  <si>
    <t>2616 LELAND ST</t>
  </si>
  <si>
    <t xml:space="preserve">KABETH ALICE </t>
  </si>
  <si>
    <t xml:space="preserve">WOLFE WANDA </t>
  </si>
  <si>
    <t>CARLISLE ALEXANDER D &amp; MICHAEL CARLISLE</t>
  </si>
  <si>
    <t xml:space="preserve">MCKINNEY ALVIN </t>
  </si>
  <si>
    <t>JONES GRACE  &amp; ALMA O JONES</t>
  </si>
  <si>
    <t xml:space="preserve">KIRKPATRICK RICHARD T </t>
  </si>
  <si>
    <t xml:space="preserve">DAVIS MARY R </t>
  </si>
  <si>
    <t xml:space="preserve">GERBER ERIC </t>
  </si>
  <si>
    <t>MEADOW CREST DR</t>
  </si>
  <si>
    <t xml:space="preserve">BROWN DOYLE E </t>
  </si>
  <si>
    <t>2645 LELAND ST</t>
  </si>
  <si>
    <t>PO BOX 6334</t>
  </si>
  <si>
    <t>STAUDT CLARENCE J JR &amp; SUSAN (W)</t>
  </si>
  <si>
    <t>0 NORWOOD AVE</t>
  </si>
  <si>
    <t xml:space="preserve">STAUDT CLARENCE J JR </t>
  </si>
  <si>
    <t xml:space="preserve">THOMAS RODNEY D </t>
  </si>
  <si>
    <t>2612 NORWOOD AVE</t>
  </si>
  <si>
    <t>THOMAS RODNEY D</t>
  </si>
  <si>
    <t>2832 N CHARLES ST</t>
  </si>
  <si>
    <t xml:space="preserve">KELLY SAM  &amp; MAXINE (W) </t>
  </si>
  <si>
    <t>2830 N CHARLES ST</t>
  </si>
  <si>
    <t>KELLY EILEEN</t>
  </si>
  <si>
    <t>BRADLEY KEVIN P &amp; MARIANNE BRADLEY</t>
  </si>
  <si>
    <t>2808 N CHARLES ST</t>
  </si>
  <si>
    <t>E BEAVER ST</t>
  </si>
  <si>
    <t>DOOLEY JAMES R &amp; JUDITH K (W)</t>
  </si>
  <si>
    <t xml:space="preserve">HALL GISELA B </t>
  </si>
  <si>
    <t>2639 NORWOOD AVE</t>
  </si>
  <si>
    <t>DELGAR ST</t>
  </si>
  <si>
    <t xml:space="preserve">VAUGHAN ELLEN T </t>
  </si>
  <si>
    <t>0 DELGAR ST</t>
  </si>
  <si>
    <t xml:space="preserve">WASHINGTON EDWARD L </t>
  </si>
  <si>
    <t>2655 NORWOOD AVE</t>
  </si>
  <si>
    <t>WELSH AVE</t>
  </si>
  <si>
    <t xml:space="preserve">BEST WILLIAM E </t>
  </si>
  <si>
    <t>2657 NORWOOD AVE</t>
  </si>
  <si>
    <t>BEST WILLIAM E</t>
  </si>
  <si>
    <t xml:space="preserve">BROWN JULIAN </t>
  </si>
  <si>
    <t>0 LURAY ST</t>
  </si>
  <si>
    <t xml:space="preserve">SINGLETON JOHN ROBERT JR </t>
  </si>
  <si>
    <t>227 LURAY ST</t>
  </si>
  <si>
    <t>SINGLETON JOHN ROBERT</t>
  </si>
  <si>
    <t>LURAY ST</t>
  </si>
  <si>
    <t xml:space="preserve">DAUER LINDA V </t>
  </si>
  <si>
    <t>229 LURAY ST</t>
  </si>
  <si>
    <t xml:space="preserve">JOHNSON EVERNE </t>
  </si>
  <si>
    <t>231 LURAY ST</t>
  </si>
  <si>
    <t xml:space="preserve">GRAHAM KATHRYN </t>
  </si>
  <si>
    <t>2636 LINWOOD AVE</t>
  </si>
  <si>
    <t xml:space="preserve">LEWIS JETHRO                                    </t>
  </si>
  <si>
    <t>2626 LINWOOD AVE</t>
  </si>
  <si>
    <t xml:space="preserve">BRADLEY KEVIN P </t>
  </si>
  <si>
    <t>2603 LINWOOD AVE</t>
  </si>
  <si>
    <t>2607 LINWOOD AVE</t>
  </si>
  <si>
    <t>2609 LINWOOD AVE</t>
  </si>
  <si>
    <t>2613 LINWOOD AVE</t>
  </si>
  <si>
    <t>PARKER THEODORE  &amp; JACQUELINE</t>
  </si>
  <si>
    <t>2615 LINWOOD AVE</t>
  </si>
  <si>
    <t xml:space="preserve">GEIBEL BENJAMIN L </t>
  </si>
  <si>
    <t>2627 LINWOOD AVE</t>
  </si>
  <si>
    <t>0 LINWOOD AVE</t>
  </si>
  <si>
    <t>2635 LINWOOD AVE</t>
  </si>
  <si>
    <t>BYNUM RUSSELL L &amp; KATHY J (W)</t>
  </si>
  <si>
    <t>2639 LINWOOD AVE</t>
  </si>
  <si>
    <t xml:space="preserve">CLARK JAMES </t>
  </si>
  <si>
    <t>2641 LINWOOD AVE</t>
  </si>
  <si>
    <t>PARKER THEODORE B &amp; JACQUELINE H (W)</t>
  </si>
  <si>
    <t>2643 LINWOOD AVE</t>
  </si>
  <si>
    <t>220 LURAY ST</t>
  </si>
  <si>
    <t xml:space="preserve">ALLEN ANTONIO                                   </t>
  </si>
  <si>
    <t>224 LURAY ST</t>
  </si>
  <si>
    <t xml:space="preserve">STIERS EUGENE JR </t>
  </si>
  <si>
    <t>226 LURAY ST</t>
  </si>
  <si>
    <t xml:space="preserve">BUCHANAN PHOEBE </t>
  </si>
  <si>
    <t xml:space="preserve">PENNSYLVANIA HOLDING LLC </t>
  </si>
  <si>
    <t>PO BOX 99908</t>
  </si>
  <si>
    <t xml:space="preserve">PETERSEN REX M </t>
  </si>
  <si>
    <t>406 MARSHALL AVE</t>
  </si>
  <si>
    <t>HARRIS KENNETH &amp; BOBBIE J (W)</t>
  </si>
  <si>
    <t>435 MARSHALL AVE</t>
  </si>
  <si>
    <t xml:space="preserve">MCBURNEY ROBERT  &amp; MARY </t>
  </si>
  <si>
    <t>431 MARSHALL AVE</t>
  </si>
  <si>
    <t>STONECREST INVESTMENTS LLC</t>
  </si>
  <si>
    <t>429 MARSHALL AVE</t>
  </si>
  <si>
    <t>STEVEN CREEK BLVD STE 275</t>
  </si>
  <si>
    <t>KNIGHT CLAY  &amp; DEBRA HAIRSTON</t>
  </si>
  <si>
    <t xml:space="preserve">BOEHM LEONARD G </t>
  </si>
  <si>
    <t>TODD DUWAYNE H &amp; JO ANN B (W)</t>
  </si>
  <si>
    <t xml:space="preserve">BROBST LISA </t>
  </si>
  <si>
    <t>N FERN ST</t>
  </si>
  <si>
    <t>NORTHSIDE PARTNERSHIP  PROJECT</t>
  </si>
  <si>
    <t>2610 MAPLE AVE</t>
  </si>
  <si>
    <t>NORTHSIDE PARTNERSHIP</t>
  </si>
  <si>
    <t xml:space="preserve">REGOLI JOSEPH </t>
  </si>
  <si>
    <t>0 MAPLE AVE</t>
  </si>
  <si>
    <t xml:space="preserve">MCLENDON LISA M </t>
  </si>
  <si>
    <t>0 PUSEY ST</t>
  </si>
  <si>
    <t>HURDLE JAMES  &amp; BETTY (W)</t>
  </si>
  <si>
    <t xml:space="preserve">CRISWELL PAULINE </t>
  </si>
  <si>
    <t>2642 PERRYSVILLE AVE</t>
  </si>
  <si>
    <t xml:space="preserve">PEGUES TERRY </t>
  </si>
  <si>
    <t>ESSEN ST</t>
  </si>
  <si>
    <t xml:space="preserve">BLACKWELL LATERESA                              </t>
  </si>
  <si>
    <t>2610 PERRYSVILLE AVE</t>
  </si>
  <si>
    <t>PLOUGH ST</t>
  </si>
  <si>
    <t xml:space="preserve">WILLIAMS VANESSA CAROL </t>
  </si>
  <si>
    <t>2600 PERRYSVILLE AVE</t>
  </si>
  <si>
    <t>WILLIAMS VANESSA CARO</t>
  </si>
  <si>
    <t xml:space="preserve">EDISON JOHN A III </t>
  </si>
  <si>
    <t>EDISON JOHN A III</t>
  </si>
  <si>
    <t>ADRAIN AVE</t>
  </si>
  <si>
    <t xml:space="preserve">HAMPTON MICHAEL </t>
  </si>
  <si>
    <t>2522 PERRYSVILLE AVE</t>
  </si>
  <si>
    <t>PO BOX 28316</t>
  </si>
  <si>
    <t xml:space="preserve">CANNON MURIEL L </t>
  </si>
  <si>
    <t>2511 MAPLE AVE</t>
  </si>
  <si>
    <t xml:space="preserve">DAVIS JAMES R </t>
  </si>
  <si>
    <t>2512 PERRYSVILLE AVE</t>
  </si>
  <si>
    <t>PO BOX 1695</t>
  </si>
  <si>
    <t>BROWNS MILLS</t>
  </si>
  <si>
    <t xml:space="preserve">ONEILL MAINTENANCE </t>
  </si>
  <si>
    <t>2525 PERRYSVILLE AVE</t>
  </si>
  <si>
    <t>2539 PERRYSVILLE AVE</t>
  </si>
  <si>
    <t xml:space="preserve">CLINTON DARRIN E </t>
  </si>
  <si>
    <t>2903 N CHARLES ST</t>
  </si>
  <si>
    <t>PO BOX 25329</t>
  </si>
  <si>
    <t xml:space="preserve">IDDRIS MARILYN </t>
  </si>
  <si>
    <t>2901 N CHARLES ST</t>
  </si>
  <si>
    <t>IDDRIS MARILYN</t>
  </si>
  <si>
    <t>OAKHILL ST APT 2</t>
  </si>
  <si>
    <t xml:space="preserve">WILSONS BAR-B-Q LLC </t>
  </si>
  <si>
    <t>2615 PERRYSVILLE AVE</t>
  </si>
  <si>
    <t>WILSONS BAR-B-Q LLC</t>
  </si>
  <si>
    <t xml:space="preserve">ESTATE OF SHARIKA L  YOUNG                   </t>
  </si>
  <si>
    <t>22 ELLZEY ST</t>
  </si>
  <si>
    <t>ERIC T YOUNG ADMINIST</t>
  </si>
  <si>
    <t>WENDY VIEW AVE</t>
  </si>
  <si>
    <t>MICHALSKI JOSEPH J &amp; CANDICE A WENZEL</t>
  </si>
  <si>
    <t>0 ELLIS ST</t>
  </si>
  <si>
    <t>W CHERRY HILL RD</t>
  </si>
  <si>
    <t>ALBION</t>
  </si>
  <si>
    <t>ELLIS ST</t>
  </si>
  <si>
    <t>CROTHER BENJAMIN R &amp; CATHERINE JEAN EDDE R</t>
  </si>
  <si>
    <t xml:space="preserve">PERCY ELIZABETH HARP </t>
  </si>
  <si>
    <t>NEIGHBORHOOD HOUSING  SERVICES INC</t>
  </si>
  <si>
    <t>5TH AVE STE 1000</t>
  </si>
  <si>
    <t xml:space="preserve">HUMPHRIES DONALD JR </t>
  </si>
  <si>
    <t xml:space="preserve">REMIREZ BRAYAN </t>
  </si>
  <si>
    <t>2641 SHELTON AVE</t>
  </si>
  <si>
    <t>RAMIREZ BRAYAN</t>
  </si>
  <si>
    <t>GREENLEE RD</t>
  </si>
  <si>
    <t>BLESSED REDEEMER CHURCH  INC</t>
  </si>
  <si>
    <t>2639 SHELTON AVE</t>
  </si>
  <si>
    <t>BLESSED REDEEMER CHUR</t>
  </si>
  <si>
    <t>SHELTON AVE</t>
  </si>
  <si>
    <t xml:space="preserve">HAYES ARNOLD C </t>
  </si>
  <si>
    <t>2873 N CHARLES ST</t>
  </si>
  <si>
    <t xml:space="preserve">HAYES ARNOLD </t>
  </si>
  <si>
    <t>LEONARD  HAYES</t>
  </si>
  <si>
    <t>STEIDLE FRANK M &amp; HELEN F</t>
  </si>
  <si>
    <t xml:space="preserve">HOLT GEORGE C </t>
  </si>
  <si>
    <t>0 MAGNET ST</t>
  </si>
  <si>
    <t xml:space="preserve">MAXSHURE KARIE </t>
  </si>
  <si>
    <t>2588 MAGNET ST</t>
  </si>
  <si>
    <t>MAGNET ST</t>
  </si>
  <si>
    <t xml:space="preserve">KAISER MICHELE </t>
  </si>
  <si>
    <t>6 MAGNET ST</t>
  </si>
  <si>
    <t>WALTERS AVE</t>
  </si>
  <si>
    <t>MORROW KIMBERLY  &amp; ROBERT COCOHRAN</t>
  </si>
  <si>
    <t xml:space="preserve">JUSTIN BUSH </t>
  </si>
  <si>
    <t>2596 MAGNET ST</t>
  </si>
  <si>
    <t>MCALARY QUINN</t>
  </si>
  <si>
    <t xml:space="preserve">CAMP MELVA CARTER </t>
  </si>
  <si>
    <t xml:space="preserve">YOUNG CHARLES H </t>
  </si>
  <si>
    <t xml:space="preserve">ROBINSON NADINE </t>
  </si>
  <si>
    <t>LINDEN BLVD</t>
  </si>
  <si>
    <t>2606 MAGNET ST</t>
  </si>
  <si>
    <t xml:space="preserve">FRANZ ANTHONY L JR </t>
  </si>
  <si>
    <t>BARNS HARVEY JAMES JR &amp; JAMES ALAN BARNS</t>
  </si>
  <si>
    <t>SNOWDEN SAMUEL R &amp; PAULINE E</t>
  </si>
  <si>
    <t>BIERTEMPFEL LEONARD C &amp; ANNA M</t>
  </si>
  <si>
    <t>RD #2</t>
  </si>
  <si>
    <t>JORDAN JAMES H &amp; GERTRUDE D</t>
  </si>
  <si>
    <t xml:space="preserve">RICHARDSON LILLIE B                             </t>
  </si>
  <si>
    <t xml:space="preserve">JONES LORA C </t>
  </si>
  <si>
    <t>0 LAWTON AVE</t>
  </si>
  <si>
    <t>MARJORIE JONES</t>
  </si>
  <si>
    <t>25TH E ST</t>
  </si>
  <si>
    <t>402 LAWTON AVE</t>
  </si>
  <si>
    <t>KAMMERSELL JOSEPH A III NYCE INC</t>
  </si>
  <si>
    <t>404 LAWTON AVE</t>
  </si>
  <si>
    <t xml:space="preserve">GILES SANDRA L </t>
  </si>
  <si>
    <t>LAWTON AVE</t>
  </si>
  <si>
    <t xml:space="preserve">WOOD MARY </t>
  </si>
  <si>
    <t xml:space="preserve">MARSHALL ROBIN L </t>
  </si>
  <si>
    <t>414 LAWTON AVE</t>
  </si>
  <si>
    <t>MARSHALL ROBIN L</t>
  </si>
  <si>
    <t xml:space="preserve">GAILEY STEVEN RAMSEY </t>
  </si>
  <si>
    <t>2455 LYZELL ST</t>
  </si>
  <si>
    <t>STEVEN RAMSEY GAILEY</t>
  </si>
  <si>
    <t>LYZELL</t>
  </si>
  <si>
    <t xml:space="preserve">GERBER ERIC O </t>
  </si>
  <si>
    <t>2453 LYZELL ST</t>
  </si>
  <si>
    <t>2449 LYZELL ST</t>
  </si>
  <si>
    <t xml:space="preserve">WINSTON JUDITH E </t>
  </si>
  <si>
    <t>2447 LYZELL ST</t>
  </si>
  <si>
    <t>SMITH HELEN &amp; DOUGLAS R (H)</t>
  </si>
  <si>
    <t>2443 LYZELL ST</t>
  </si>
  <si>
    <t xml:space="preserve">SMITH MARY ELLEN </t>
  </si>
  <si>
    <t>2506 HAZELTON ST</t>
  </si>
  <si>
    <t>HAZELTON ST</t>
  </si>
  <si>
    <t xml:space="preserve">MUYANGO GERALDINE </t>
  </si>
  <si>
    <t>0 HAZELTON ST</t>
  </si>
  <si>
    <t>BINNON ELOY L &amp; CATHERINE A (W)</t>
  </si>
  <si>
    <t>DORSE CLEANING  ENTERPRISE LLC</t>
  </si>
  <si>
    <t>2448 HAZELTON ST</t>
  </si>
  <si>
    <t>DORSE CLEANING ENTERP</t>
  </si>
  <si>
    <t>LINDSEY JESSIE LEE SR &amp; LUVENIA E (W)</t>
  </si>
  <si>
    <t>2500 MAPLE AVE</t>
  </si>
  <si>
    <t xml:space="preserve">TYUS VICTORIA A                                 </t>
  </si>
  <si>
    <t>2530 MAPLE AVE</t>
  </si>
  <si>
    <t xml:space="preserve">PUGH TIFFANI </t>
  </si>
  <si>
    <t>2544 MAPLE AVE</t>
  </si>
  <si>
    <t>MELROSE ST</t>
  </si>
  <si>
    <t xml:space="preserve">DARCY JOHN M </t>
  </si>
  <si>
    <t>2340 GERSHON ST</t>
  </si>
  <si>
    <t>GERSHON ST</t>
  </si>
  <si>
    <t xml:space="preserve">WINGHART JAMES </t>
  </si>
  <si>
    <t>0 SUNSET AVE</t>
  </si>
  <si>
    <t xml:space="preserve">THOMAS DANIEL MICHAEL </t>
  </si>
  <si>
    <t>2445 SUNSET AVE</t>
  </si>
  <si>
    <t>BONVUE ST</t>
  </si>
  <si>
    <t>2622 N CHARLES ST</t>
  </si>
  <si>
    <t xml:space="preserve">GARNER MARGARET D </t>
  </si>
  <si>
    <t>2600 N CHARLES ST</t>
  </si>
  <si>
    <t>2620 KENN ST</t>
  </si>
  <si>
    <t>THOMPKINS KESETE</t>
  </si>
  <si>
    <t>WHISPERING WAY</t>
  </si>
  <si>
    <t xml:space="preserve">EDMONDS MARTHA </t>
  </si>
  <si>
    <t>2612 KENN ST</t>
  </si>
  <si>
    <t>KENN ST</t>
  </si>
  <si>
    <t xml:space="preserve">BURNS DAVID S II </t>
  </si>
  <si>
    <t>2570 N CHARLES ST</t>
  </si>
  <si>
    <t xml:space="preserve">BRIZAN SHELDON                                  </t>
  </si>
  <si>
    <t>41ST ST APT 1C</t>
  </si>
  <si>
    <t xml:space="preserve">DAVID EVERLEAN </t>
  </si>
  <si>
    <t>312 CHESTER AVE</t>
  </si>
  <si>
    <t xml:space="preserve">MURDOCK ANGELO O </t>
  </si>
  <si>
    <t xml:space="preserve">MEADOWS LAURA A </t>
  </si>
  <si>
    <t>LOPINTO MATTHEW A &amp; CATHERINE A</t>
  </si>
  <si>
    <t>222 CHESTER AVE</t>
  </si>
  <si>
    <t xml:space="preserve">JONES ARNETTE </t>
  </si>
  <si>
    <t>224 CHESTER AVE</t>
  </si>
  <si>
    <t>226 CHESTER AVE</t>
  </si>
  <si>
    <t xml:space="preserve">GANT JAMES F &amp; ROSETTA </t>
  </si>
  <si>
    <t>2414 WILSON AVE</t>
  </si>
  <si>
    <t xml:space="preserve">ABRAMS DOROTHY J </t>
  </si>
  <si>
    <t>2424 WILSON AVE</t>
  </si>
  <si>
    <t>MIAMI LAKEWAY N # 117</t>
  </si>
  <si>
    <t>HIALEAH</t>
  </si>
  <si>
    <t xml:space="preserve">JAMES DEBRA A </t>
  </si>
  <si>
    <t>2435 MCINTYRE PL</t>
  </si>
  <si>
    <t>JAMES DEBRA A</t>
  </si>
  <si>
    <t xml:space="preserve">CURRINGTON DELORES </t>
  </si>
  <si>
    <t>2431 MCINTYRE PL</t>
  </si>
  <si>
    <t>MCINTYRE PL</t>
  </si>
  <si>
    <t xml:space="preserve">BROWN CARL S </t>
  </si>
  <si>
    <t>0 MAYWOOD ST</t>
  </si>
  <si>
    <t>COGNIET JOSEPH E &amp; PATRICIA L (W)</t>
  </si>
  <si>
    <t xml:space="preserve">BROWN CARL STEVEN </t>
  </si>
  <si>
    <t>0 W MCINTYRE AVE</t>
  </si>
  <si>
    <t>COVE POINT DR APT 33</t>
  </si>
  <si>
    <t xml:space="preserve">MOIR TABETHA K </t>
  </si>
  <si>
    <t>121 W MCINTYRE AVE</t>
  </si>
  <si>
    <t xml:space="preserve">CHARLES AVA D </t>
  </si>
  <si>
    <t>143 W MCINTYRE AVE</t>
  </si>
  <si>
    <t>W MCINTYRE AVE</t>
  </si>
  <si>
    <t xml:space="preserve">BEASLEY LINDA </t>
  </si>
  <si>
    <t>149 W MCINTYRE AVE</t>
  </si>
  <si>
    <t xml:space="preserve">DAILEY KEVIN PATRICK </t>
  </si>
  <si>
    <t xml:space="preserve">FREEMAN DOUGLAS JR </t>
  </si>
  <si>
    <t>134 W MCINTYRE AVE</t>
  </si>
  <si>
    <t>W MC INTYRE AVE</t>
  </si>
  <si>
    <t xml:space="preserve">MANGANARO JEFFREY M </t>
  </si>
  <si>
    <t>39 KENWOOD AVE</t>
  </si>
  <si>
    <t xml:space="preserve">WADE DEBRA L </t>
  </si>
  <si>
    <t>38 KENWOOD AVE</t>
  </si>
  <si>
    <t>E MCINTYRE AVE</t>
  </si>
  <si>
    <t>KIMMEL GEORGE W &amp; LILLIAN ETAL</t>
  </si>
  <si>
    <t>37 KENWOOD AVE</t>
  </si>
  <si>
    <t>JAMES KIMMEL</t>
  </si>
  <si>
    <t>CEDARWOOD DR</t>
  </si>
  <si>
    <t xml:space="preserve">THORNE GWENDOLYN </t>
  </si>
  <si>
    <t>36 KENWOOD AVE</t>
  </si>
  <si>
    <t>MCLAUGHLIN JOHN D &amp; YVONNA (W)</t>
  </si>
  <si>
    <t>0 KENWOOD AVE</t>
  </si>
  <si>
    <t>MCLAUGHLIN JOHN D &amp; Y</t>
  </si>
  <si>
    <t xml:space="preserve">CLOUSE FRANCES </t>
  </si>
  <si>
    <t>28 KENWOOD AVE</t>
  </si>
  <si>
    <t xml:space="preserve">WILKES CHARLES </t>
  </si>
  <si>
    <t>27 KENWOOD AVE</t>
  </si>
  <si>
    <t>CHARLES WILKES</t>
  </si>
  <si>
    <t>KENWOOD AVE APT 2</t>
  </si>
  <si>
    <t>JONES CALVIN N &amp; VIRGINIA (W)</t>
  </si>
  <si>
    <t>MARSHALL ELECTRICAL  SERVICES LLC</t>
  </si>
  <si>
    <t>MARSHALL ELECTRICAL S</t>
  </si>
  <si>
    <t xml:space="preserve">GARCIA MARCELO CASTANO </t>
  </si>
  <si>
    <t>12 W MCINTYRE AVE</t>
  </si>
  <si>
    <t>GARCIA MARCELO CASTAN</t>
  </si>
  <si>
    <t xml:space="preserve">CARTER TAMMY L </t>
  </si>
  <si>
    <t>28 W MCINTYRE AVE</t>
  </si>
  <si>
    <t>CARTER TAMMY</t>
  </si>
  <si>
    <t xml:space="preserve">MILLER RONNIE A                                 </t>
  </si>
  <si>
    <t>HETZEL ST</t>
  </si>
  <si>
    <t xml:space="preserve">GRABMAN REBECCA N </t>
  </si>
  <si>
    <t>46 W MCINTYRE AVE</t>
  </si>
  <si>
    <t xml:space="preserve">LONGMIRE STEPHANIE </t>
  </si>
  <si>
    <t>104 W MCINTYRE AVE</t>
  </si>
  <si>
    <t>LONGMIRE STEPHANIE</t>
  </si>
  <si>
    <t xml:space="preserve">WATKINS CLARENCE </t>
  </si>
  <si>
    <t>109 W MCINTYRE AVE</t>
  </si>
  <si>
    <t xml:space="preserve">SHERIDEN MANAGEMENT LLC </t>
  </si>
  <si>
    <t>101 W MCINTYRE AVE</t>
  </si>
  <si>
    <t>SHERIDEN MANAGEMENT L</t>
  </si>
  <si>
    <t>SANCTUARY</t>
  </si>
  <si>
    <t xml:space="preserve">GREER MICHELLE RENAE </t>
  </si>
  <si>
    <t>116 MAYWOOD ST</t>
  </si>
  <si>
    <t>POLLARD FAMILY LIVING  TRUST</t>
  </si>
  <si>
    <t>121 MAYWOOD ST</t>
  </si>
  <si>
    <t>FONTANA</t>
  </si>
  <si>
    <t xml:space="preserve">CULLENS TIONNA M </t>
  </si>
  <si>
    <t>113 MAYWOOD ST</t>
  </si>
  <si>
    <t xml:space="preserve">BODI CHARLES </t>
  </si>
  <si>
    <t>109 MAYWOOD ST</t>
  </si>
  <si>
    <t xml:space="preserve">MUBARAK SUEMAIYA </t>
  </si>
  <si>
    <t>104 W BURGESS ST</t>
  </si>
  <si>
    <t>MUBARAK SUEMAIYA</t>
  </si>
  <si>
    <t xml:space="preserve">FAULK MILDRED E </t>
  </si>
  <si>
    <t>108 W BURGESS ST</t>
  </si>
  <si>
    <t>BENALI RABIA HASSAN EL  HAJ</t>
  </si>
  <si>
    <t>254 E BURGESS ST</t>
  </si>
  <si>
    <t>BENALI RABIA HASSAN E</t>
  </si>
  <si>
    <t>2440 PERRYSVILLE AVE</t>
  </si>
  <si>
    <t xml:space="preserve">EISENBERG SELENA                                </t>
  </si>
  <si>
    <t>115 E MCINTYRE AVE</t>
  </si>
  <si>
    <t>121 E MCINTYRE AVE</t>
  </si>
  <si>
    <t xml:space="preserve">TERRELL DAVID </t>
  </si>
  <si>
    <t>SCHAEFER JOSEPH G &amp; CONSTANCE A (W)</t>
  </si>
  <si>
    <t>SCHAEFER JOSEPH G &amp; C</t>
  </si>
  <si>
    <t>WASHINGTON AVE FL 1</t>
  </si>
  <si>
    <t xml:space="preserve">DEVERS LYNETTE </t>
  </si>
  <si>
    <t>2419 MAPLE AVE</t>
  </si>
  <si>
    <t xml:space="preserve">BUTLER WILMA </t>
  </si>
  <si>
    <t>2417 MAPLE AVE</t>
  </si>
  <si>
    <t xml:space="preserve">DEVERS CHERRIE M </t>
  </si>
  <si>
    <t>2415 MAPLE AVE</t>
  </si>
  <si>
    <t>WATTS WILBERT A &amp; DIANE (W)</t>
  </si>
  <si>
    <t>2403 MAPLE AVE</t>
  </si>
  <si>
    <t>2342 MAPLE AVE</t>
  </si>
  <si>
    <t xml:space="preserve">MANKER APRIL M </t>
  </si>
  <si>
    <t>2403 OSGOOD ST</t>
  </si>
  <si>
    <t xml:space="preserve">BIGGS ERVIN  &amp; GWENDOLYN (W)           </t>
  </si>
  <si>
    <t>2337 OSGOOD ST</t>
  </si>
  <si>
    <t>BIGGS ERVIN  &amp; GWENDO</t>
  </si>
  <si>
    <t>VARSITY CT</t>
  </si>
  <si>
    <t xml:space="preserve">DECHANTAL MARK W </t>
  </si>
  <si>
    <t>2335 OSGOOD ST</t>
  </si>
  <si>
    <t>MILLER LEROY JR &amp; WILLA BEA (W)</t>
  </si>
  <si>
    <t>2449 HAZELTON ST</t>
  </si>
  <si>
    <t xml:space="preserve">ROGERS GENEVIEVE WORTHY </t>
  </si>
  <si>
    <t>224 E MCINTYRE AVE</t>
  </si>
  <si>
    <t>ROGERS GENEVIEVE WORT</t>
  </si>
  <si>
    <t xml:space="preserve">MERHART ALICE M &amp; (SURV) </t>
  </si>
  <si>
    <t>0 E MCINTYRE AVE</t>
  </si>
  <si>
    <t>ALICE MERHART</t>
  </si>
  <si>
    <t>MCGINLEY RD</t>
  </si>
  <si>
    <t>JOHNSON LEROY H &amp; DORIS (W)</t>
  </si>
  <si>
    <t>208 E MCINTYRE AVE</t>
  </si>
  <si>
    <t>LASSITER BARBARA J MILLENDER</t>
  </si>
  <si>
    <t>202 E MCINTYRE AVE</t>
  </si>
  <si>
    <t>0 OSGOOD ST</t>
  </si>
  <si>
    <t xml:space="preserve">MCFADDEN ERIC </t>
  </si>
  <si>
    <t>2409 OSGOOD ST</t>
  </si>
  <si>
    <t>LYNNWOOD DR</t>
  </si>
  <si>
    <t xml:space="preserve">NICOTRA JOHN R </t>
  </si>
  <si>
    <t>CENTER OAK DR</t>
  </si>
  <si>
    <t>BROOKS DALE L &amp; MARY LORNA BROOKS</t>
  </si>
  <si>
    <t>BECKFIELD ST</t>
  </si>
  <si>
    <t xml:space="preserve">THOMPSON  JESSICA </t>
  </si>
  <si>
    <t>227 E MCINTYRE AVE</t>
  </si>
  <si>
    <t>WOODS RUN AVE</t>
  </si>
  <si>
    <t xml:space="preserve">HARRIS BEVERLY LORRAINE </t>
  </si>
  <si>
    <t>BURDINE DR</t>
  </si>
  <si>
    <t>WILSON CAREY FREEMAN &amp; HENRY</t>
  </si>
  <si>
    <t>N ROBINSON ST</t>
  </si>
  <si>
    <t xml:space="preserve">ASTARB JOHN C </t>
  </si>
  <si>
    <t>HIDDEN COVE CIR S</t>
  </si>
  <si>
    <t>ATLANTIC BEACH</t>
  </si>
  <si>
    <t xml:space="preserve">PAIL LOUIS A &amp; CAROL A </t>
  </si>
  <si>
    <t>0 E BURGESS ST</t>
  </si>
  <si>
    <t>GEBHART ST</t>
  </si>
  <si>
    <t>2332 OSGOOD ST</t>
  </si>
  <si>
    <t>GARKUSHA ANATOLY  &amp; RIMMA (W)</t>
  </si>
  <si>
    <t>2330 OSGOOD ST</t>
  </si>
  <si>
    <t>MICKLE RONNIE A &amp; SUSAN M (W)</t>
  </si>
  <si>
    <t>2326 OSGOOD ST</t>
  </si>
  <si>
    <t xml:space="preserve">BROWN MARY F </t>
  </si>
  <si>
    <t>0 PITKIN ST</t>
  </si>
  <si>
    <t xml:space="preserve">ALLEN ARTHUR </t>
  </si>
  <si>
    <t>0 SUFFOLK ST</t>
  </si>
  <si>
    <t>E MOCKINGBIRD WAY</t>
  </si>
  <si>
    <t xml:space="preserve">DEUTSCH &amp; ASSOCIATES LLC </t>
  </si>
  <si>
    <t>414 SUFFOLK ST</t>
  </si>
  <si>
    <t xml:space="preserve">DEUTSCH &amp; ASSOCIATES </t>
  </si>
  <si>
    <t>PO BOX 99301</t>
  </si>
  <si>
    <t>416 SUFFOLK ST</t>
  </si>
  <si>
    <t>PO BOX  99301</t>
  </si>
  <si>
    <t>RUTLEDGE FRANK M &amp; PATRICIA F (W)</t>
  </si>
  <si>
    <t>RUTLEDGE FRANK M &amp; PA</t>
  </si>
  <si>
    <t>RUTLEDGE FRANK  &amp; PATRICIA F (W)</t>
  </si>
  <si>
    <t>RUTLEDGE FRANK  &amp; PAT</t>
  </si>
  <si>
    <t xml:space="preserve">MCLAURIN DANIELLE LEWIS </t>
  </si>
  <si>
    <t>518 SUFFOLK ST</t>
  </si>
  <si>
    <t>SPINNAKER CT</t>
  </si>
  <si>
    <t>SECAUCUS</t>
  </si>
  <si>
    <t xml:space="preserve">LI ANG </t>
  </si>
  <si>
    <t>0 BARK ST</t>
  </si>
  <si>
    <t>LI ANG</t>
  </si>
  <si>
    <t>SPINNINGWHEEL LN</t>
  </si>
  <si>
    <t xml:space="preserve">TURNER BENNIE MAE </t>
  </si>
  <si>
    <t>416 BARK ST</t>
  </si>
  <si>
    <t>BARK ST</t>
  </si>
  <si>
    <t>BOXLEY MONICA  &amp; WILLIAM REYNOLDS (H)</t>
  </si>
  <si>
    <t>420 BARK ST</t>
  </si>
  <si>
    <t>BOXLEY MONICA  &amp; WILL</t>
  </si>
  <si>
    <t>VENUE RD</t>
  </si>
  <si>
    <t>HOFSTETTER WILLIAM M &amp; ESTHER (W)</t>
  </si>
  <si>
    <t>2327 WURZELL AVE</t>
  </si>
  <si>
    <t xml:space="preserve">LILLIS SHERI L </t>
  </si>
  <si>
    <t xml:space="preserve">SMUTKO IGOR </t>
  </si>
  <si>
    <t>433 E BURGESS ST</t>
  </si>
  <si>
    <t>E BURGESS ST</t>
  </si>
  <si>
    <t xml:space="preserve">DUESSEL PAUL  &amp; ELSIE </t>
  </si>
  <si>
    <t xml:space="preserve">CONRAD MELISSA </t>
  </si>
  <si>
    <t>415 E BURGESS ST</t>
  </si>
  <si>
    <t xml:space="preserve">AT HOME MANAGEMENT LLC </t>
  </si>
  <si>
    <t>319 E MCINTYRE AVE</t>
  </si>
  <si>
    <t>AT HOME MANAGEMENT LL</t>
  </si>
  <si>
    <t>PO BOX 98051</t>
  </si>
  <si>
    <t>317 E MCINTYRE AVE</t>
  </si>
  <si>
    <t>WADE WILLIAM ALFRED JR &amp; CHARLESZETTA (W )</t>
  </si>
  <si>
    <t>315 E MCINTYRE AVE</t>
  </si>
  <si>
    <t>WADE WILLIAM ALFRED J</t>
  </si>
  <si>
    <t>MC INTYRE E AVE</t>
  </si>
  <si>
    <t xml:space="preserve">SEAY CURTIS L </t>
  </si>
  <si>
    <t xml:space="preserve">WADE JANET </t>
  </si>
  <si>
    <t>301 E MCINTYRE AVE</t>
  </si>
  <si>
    <t>ONEAL VERNON L &amp; CALLIE M (W)</t>
  </si>
  <si>
    <t xml:space="preserve">BENNETT MICHELLE L </t>
  </si>
  <si>
    <t xml:space="preserve">BINDERNAGEL EDITH M </t>
  </si>
  <si>
    <t>2442 HAZELTON ST</t>
  </si>
  <si>
    <t>HUTCHMAN RD</t>
  </si>
  <si>
    <t xml:space="preserve">TATE EDITH M </t>
  </si>
  <si>
    <t>2444 HAZELTON ST</t>
  </si>
  <si>
    <t xml:space="preserve">GLOVER STANLEY S                                </t>
  </si>
  <si>
    <t>2423 LYZELL ST</t>
  </si>
  <si>
    <t>KENNEDY ROBERT E &amp; RUTH D</t>
  </si>
  <si>
    <t>0 LYZELL ST</t>
  </si>
  <si>
    <t xml:space="preserve">BAGGIO BRUNO  &amp; MARGARET </t>
  </si>
  <si>
    <t>0 WURZELL AVE</t>
  </si>
  <si>
    <t xml:space="preserve">HOFSTETTER ESTHER </t>
  </si>
  <si>
    <t>2336 WURZELL AVE</t>
  </si>
  <si>
    <t xml:space="preserve">HOLLINGER JOANNE </t>
  </si>
  <si>
    <t>2330 WURZELL AVE</t>
  </si>
  <si>
    <t>WURZELL ST</t>
  </si>
  <si>
    <t>OSTERRITTER DAVID  MICHAEL</t>
  </si>
  <si>
    <t>0 BESSIE AVE</t>
  </si>
  <si>
    <t>OSTERRITTER DAVID MIC</t>
  </si>
  <si>
    <t>PO BOX  95018</t>
  </si>
  <si>
    <t>DOUBT SUSAN A &amp; WILLIAM J (H)</t>
  </si>
  <si>
    <t>2321 BESSIE AVE</t>
  </si>
  <si>
    <t>BESSIE AVE</t>
  </si>
  <si>
    <t xml:space="preserve">CLARK JERROLD K III </t>
  </si>
  <si>
    <t>2310 GERSHON ST</t>
  </si>
  <si>
    <t>RYAN JAMES V &amp; GENEVIEVE M (W)</t>
  </si>
  <si>
    <t>0 LUELLA ST</t>
  </si>
  <si>
    <t>LUELLA ST</t>
  </si>
  <si>
    <t>BRADLEY CAPITAL  INVESTMENTS LLC</t>
  </si>
  <si>
    <t>816 LUELLA ST</t>
  </si>
  <si>
    <t>BRADLEY CAPITAL INVES</t>
  </si>
  <si>
    <t>6TH ST N</t>
  </si>
  <si>
    <t xml:space="preserve">CROWELL GAYE M </t>
  </si>
  <si>
    <t>BRYN MAWR CT W APT 304</t>
  </si>
  <si>
    <t>YOKEL RAYMOND  &amp; KATHERINE</t>
  </si>
  <si>
    <t>0 GERSHON ST</t>
  </si>
  <si>
    <t>AGUGLIA ROBERT F &amp; CATHERINE MARY</t>
  </si>
  <si>
    <t>BURRELL JAMES R &amp; MARGARET E (W)</t>
  </si>
  <si>
    <t xml:space="preserve">DLC PITTSBURGH LLC </t>
  </si>
  <si>
    <t>601 SUFFOLK ST</t>
  </si>
  <si>
    <t>DLC PITTSBURGH LLC</t>
  </si>
  <si>
    <t>US HWY 90 STE 630</t>
  </si>
  <si>
    <t>WAVELAND</t>
  </si>
  <si>
    <t xml:space="preserve">THOMAS WESLEY </t>
  </si>
  <si>
    <t xml:space="preserve">KLEEBANK MICHAEL W </t>
  </si>
  <si>
    <t>SUFFOLK ST</t>
  </si>
  <si>
    <t xml:space="preserve">WEAVER ROBERT JAMES </t>
  </si>
  <si>
    <t>ABDELL ST</t>
  </si>
  <si>
    <t>ONE ELEVEN CONSULTING  INC</t>
  </si>
  <si>
    <t>617 SUFFOLK ST</t>
  </si>
  <si>
    <t>PATTERSON GABLE  &amp; FANNIE GRIFFIN</t>
  </si>
  <si>
    <t>402 CHESTER AVE</t>
  </si>
  <si>
    <t xml:space="preserve">HARPER SYREE </t>
  </si>
  <si>
    <t>404 CHESTER AVE</t>
  </si>
  <si>
    <t xml:space="preserve">ANTHONY SHERLOCK </t>
  </si>
  <si>
    <t>EASTERN PKWY APT 1</t>
  </si>
  <si>
    <t xml:space="preserve">WAILAND WALTER JULIUS </t>
  </si>
  <si>
    <t>GRIMM LEROY F JR &amp; IRENE K (W)</t>
  </si>
  <si>
    <t xml:space="preserve">PARHAM TERENCE </t>
  </si>
  <si>
    <t>CHINKAPIN DR</t>
  </si>
  <si>
    <t>WOODS GERALD  &amp; DEANNA K (W)</t>
  </si>
  <si>
    <t>409 CHESTER AVE</t>
  </si>
  <si>
    <t xml:space="preserve">CUBALLIS GUIDO J </t>
  </si>
  <si>
    <t>W 25TH ST</t>
  </si>
  <si>
    <t xml:space="preserve">GASTION LATOSHA L </t>
  </si>
  <si>
    <t>2321 HOLYOKE ST</t>
  </si>
  <si>
    <t>MEBANE THEODORE L JR &amp; DEBORAH C (W)</t>
  </si>
  <si>
    <t xml:space="preserve">MEBANE THEODORE L JR </t>
  </si>
  <si>
    <t xml:space="preserve">MORRIS KIM M </t>
  </si>
  <si>
    <t>BENTON AVE</t>
  </si>
  <si>
    <t xml:space="preserve">STEVENS AMY &amp; DONALD (H) </t>
  </si>
  <si>
    <t>2305 HOLYOKE ST</t>
  </si>
  <si>
    <t xml:space="preserve">STEVENS AMY &amp; DONALD </t>
  </si>
  <si>
    <t>SLATE AVE</t>
  </si>
  <si>
    <t>0 W BURGESS ST</t>
  </si>
  <si>
    <t>GREGORY LOUIS  &amp; ETHEL C (W)</t>
  </si>
  <si>
    <t>508 W BURGESS ST</t>
  </si>
  <si>
    <t xml:space="preserve">HUBER TARA </t>
  </si>
  <si>
    <t>516 W BURGESS ST</t>
  </si>
  <si>
    <t xml:space="preserve">DIXON CHRISTINE </t>
  </si>
  <si>
    <t>HUERTA AGUSTIN  &amp; HELEN R (W)</t>
  </si>
  <si>
    <t>DIXON EDWARD TYRONE &amp; CHRISTINE (W)</t>
  </si>
  <si>
    <t>519 W BURGESS ST</t>
  </si>
  <si>
    <t>ROMINE RICHARD MICHAEL  SR</t>
  </si>
  <si>
    <t>513 W BURGESS ST</t>
  </si>
  <si>
    <t>SUCHY WALTER  &amp; PATRICIA J (W)</t>
  </si>
  <si>
    <t>SUCHY WALTER  &amp; PATRI</t>
  </si>
  <si>
    <t>WEST BURGESS ST</t>
  </si>
  <si>
    <t xml:space="preserve">JOHNSON HATTIE M </t>
  </si>
  <si>
    <t>2247 HOLYOKE ST</t>
  </si>
  <si>
    <t>WATTS BRIAN G &amp; JANET A MARBURGER</t>
  </si>
  <si>
    <t xml:space="preserve">LEONG MENG YEW                                  </t>
  </si>
  <si>
    <t>414 CHAUTAUQUA ST</t>
  </si>
  <si>
    <t>LEONG MENG YEW</t>
  </si>
  <si>
    <t>SINGAPORE</t>
  </si>
  <si>
    <t>BROWN JEFFERY D &amp; MICHELLE (W)</t>
  </si>
  <si>
    <t>416 CHAUTAUQUA ST</t>
  </si>
  <si>
    <t xml:space="preserve">SALMEN CARL  &amp; EMMA </t>
  </si>
  <si>
    <t>SALMEN CARL  &amp; EMMA</t>
  </si>
  <si>
    <t>COLUMBIA RD NW STE 101</t>
  </si>
  <si>
    <t>DENNIS WILLIE  &amp; MAE R (W)</t>
  </si>
  <si>
    <t>526 CHAUTAUQUA ST</t>
  </si>
  <si>
    <t xml:space="preserve">WILEY LENITA </t>
  </si>
  <si>
    <t>2216 HOLYOKE ST</t>
  </si>
  <si>
    <t xml:space="preserve">HUMPHREY SHEILA </t>
  </si>
  <si>
    <t>2218 HOLYOKE ST</t>
  </si>
  <si>
    <t>ANDREWS KENNETH J &amp; JOHNNIE MAE (W)</t>
  </si>
  <si>
    <t>0 WILSON AVE</t>
  </si>
  <si>
    <t xml:space="preserve">FAULK DANA                                      </t>
  </si>
  <si>
    <t>316 W BURGESS ST</t>
  </si>
  <si>
    <t>308 W BURGESS ST</t>
  </si>
  <si>
    <t xml:space="preserve">HOLBDY WILLIE JAMES </t>
  </si>
  <si>
    <t xml:space="preserve">PRF100 LLC </t>
  </si>
  <si>
    <t>303 ELSDON ST</t>
  </si>
  <si>
    <t xml:space="preserve">GARLAND MARK L </t>
  </si>
  <si>
    <t>305 ELSDON ST</t>
  </si>
  <si>
    <t xml:space="preserve">LOWRY LAKESHA </t>
  </si>
  <si>
    <t>307 ELSDON ST</t>
  </si>
  <si>
    <t>ROCKLEDGE ST</t>
  </si>
  <si>
    <t xml:space="preserve">OGR REALTY 111 L P </t>
  </si>
  <si>
    <t>309 ELSDON ST</t>
  </si>
  <si>
    <t>ARBORS MANAGEMENT</t>
  </si>
  <si>
    <t>GOLDEN MILE HWY</t>
  </si>
  <si>
    <t>CURRINGTON RONALD  &amp; ETHEL (W)</t>
  </si>
  <si>
    <t>0 ELSDON ST</t>
  </si>
  <si>
    <t>ELSDON ST</t>
  </si>
  <si>
    <t xml:space="preserve">HOGAN CLAUDETTE B </t>
  </si>
  <si>
    <t>315 ELSDON ST</t>
  </si>
  <si>
    <t>COLBY ST</t>
  </si>
  <si>
    <t>PARHAM WILLIE A &amp; EVELYN J (W)</t>
  </si>
  <si>
    <t>SUNNYFIELD DR</t>
  </si>
  <si>
    <t>319 ELSDON ST</t>
  </si>
  <si>
    <t>BINE ST</t>
  </si>
  <si>
    <t xml:space="preserve">KELLY BARBARA </t>
  </si>
  <si>
    <t>PO BOX 99756</t>
  </si>
  <si>
    <t xml:space="preserve">KELLY BARBARA JEAN </t>
  </si>
  <si>
    <t xml:space="preserve">WILLIAMS RA KIA </t>
  </si>
  <si>
    <t>316 ELSDON ST</t>
  </si>
  <si>
    <t>WILLIAMS JOHNNIE  &amp; ELEANOR (W)</t>
  </si>
  <si>
    <t>WEXFORD RD</t>
  </si>
  <si>
    <t>BROOKS WAYNE  &amp; LANETTE M (W)</t>
  </si>
  <si>
    <t>BROOKS WAYNE  &amp; LANET</t>
  </si>
  <si>
    <t>GAMBLE RD</t>
  </si>
  <si>
    <t xml:space="preserve">COOKE JOHN S </t>
  </si>
  <si>
    <t xml:space="preserve">PERRY ROSE ANN </t>
  </si>
  <si>
    <t xml:space="preserve">MILLER HAROLD </t>
  </si>
  <si>
    <t>229 CHESTER AVE</t>
  </si>
  <si>
    <t>RR 6 BOX 6901</t>
  </si>
  <si>
    <t>HIGHTOWER RODERICK C &amp; DELPHINA (W)</t>
  </si>
  <si>
    <t>212 W BURGESS ST</t>
  </si>
  <si>
    <t>WILLIAMS JOHN G &amp; JANET C (W)</t>
  </si>
  <si>
    <t xml:space="preserve">BEY LEON D </t>
  </si>
  <si>
    <t>224 W BURGESS ST</t>
  </si>
  <si>
    <t>CENTRE AVE APT 104</t>
  </si>
  <si>
    <t xml:space="preserve">BIGGER SAMUEL JAMES </t>
  </si>
  <si>
    <t>232 W BURGESS ST</t>
  </si>
  <si>
    <t>WRIGHT RANA J WILSON ROBERT J</t>
  </si>
  <si>
    <t>229 W BURGESS ST</t>
  </si>
  <si>
    <t xml:space="preserve">HAMPTON ESTATES LLC </t>
  </si>
  <si>
    <t>223 W BURGESS ST</t>
  </si>
  <si>
    <t>HAMPTON ESTATES LLC</t>
  </si>
  <si>
    <t xml:space="preserve">BRANDON SHAWN WILLIAM </t>
  </si>
  <si>
    <t xml:space="preserve">LEWIS MARY D </t>
  </si>
  <si>
    <t>0 CUTLER ST</t>
  </si>
  <si>
    <t xml:space="preserve">GAULT TYRONE L 2ND </t>
  </si>
  <si>
    <t>206 CUTLER ST</t>
  </si>
  <si>
    <t>CUTLER ST</t>
  </si>
  <si>
    <t>HOWARD RAYMOND C JR &amp; BEATRICE RUTH (W)</t>
  </si>
  <si>
    <t xml:space="preserve">SERLES MICHAEL </t>
  </si>
  <si>
    <t>BEY JETARICE K &amp; SOLIDAD BEY</t>
  </si>
  <si>
    <t>216 CUTLER ST</t>
  </si>
  <si>
    <t xml:space="preserve">SPIVEY NATASHA </t>
  </si>
  <si>
    <t>220 CUTLER ST</t>
  </si>
  <si>
    <t>2206 WILSON AVE</t>
  </si>
  <si>
    <t xml:space="preserve">HUDSON MARK V </t>
  </si>
  <si>
    <t>MAINSGATE ST</t>
  </si>
  <si>
    <t xml:space="preserve">STUBBS GLORIA L </t>
  </si>
  <si>
    <t>2227 PERRYSVILLE AVE</t>
  </si>
  <si>
    <t>NW 42ND ST</t>
  </si>
  <si>
    <t>LAUDERDALE LAK</t>
  </si>
  <si>
    <t xml:space="preserve">THOMAS JOHN C &amp; NORMA J (W)             </t>
  </si>
  <si>
    <t>2225 PERRYSVILLE AVE</t>
  </si>
  <si>
    <t>PO BOX 5221</t>
  </si>
  <si>
    <t xml:space="preserve">HIGGINS CHRISTINE M </t>
  </si>
  <si>
    <t xml:space="preserve">MCKINNEY QUEENIE </t>
  </si>
  <si>
    <t>112 W BURGESS ST</t>
  </si>
  <si>
    <t>HEDGEWOOD DR APT 212</t>
  </si>
  <si>
    <t xml:space="preserve">BROWN MARY WEIDNER                              </t>
  </si>
  <si>
    <t>207 W BURGESS ST</t>
  </si>
  <si>
    <t xml:space="preserve">FRANKS JOY </t>
  </si>
  <si>
    <t>201 W BURGESS ST</t>
  </si>
  <si>
    <t>FRANKS JOY</t>
  </si>
  <si>
    <t>THAMESHEAD NOR</t>
  </si>
  <si>
    <t xml:space="preserve">DABONE CAREY </t>
  </si>
  <si>
    <t>2333 PERRYSVILLE AVE</t>
  </si>
  <si>
    <t>PERRY HILLTOP  ASSOCIATION</t>
  </si>
  <si>
    <t>PERRY HILLTOP ASSOCIA</t>
  </si>
  <si>
    <t xml:space="preserve">SCHOENFELD SHIRLEY A </t>
  </si>
  <si>
    <t>FISHERS OF MEN  COMMUNITY DEVELOPMENT CO</t>
  </si>
  <si>
    <t>200 CUTLER ST</t>
  </si>
  <si>
    <t>FISHERS OF MEN COMMUN</t>
  </si>
  <si>
    <t>2214 PERRYSVILLE AVE</t>
  </si>
  <si>
    <t>SHAUGHNESSY PATRICK J &amp; CLAUDIA P (W)</t>
  </si>
  <si>
    <t>2220 PERRYSVILLE AVE</t>
  </si>
  <si>
    <t xml:space="preserve">AKOU AISSA </t>
  </si>
  <si>
    <t>2226 PERRYSVILLE AVE</t>
  </si>
  <si>
    <t>AKOU AISSA</t>
  </si>
  <si>
    <t xml:space="preserve">GALENO DANIEL NEGRETE </t>
  </si>
  <si>
    <t xml:space="preserve">CLARK SARA </t>
  </si>
  <si>
    <t>129 LAFAYETTE AVE</t>
  </si>
  <si>
    <t>131 LAFAYETTE AVE</t>
  </si>
  <si>
    <t xml:space="preserve">FULLARD BENJAMIN </t>
  </si>
  <si>
    <t>2300 PERRYSVILLE AVE</t>
  </si>
  <si>
    <t xml:space="preserve">CAHALL BRANDON </t>
  </si>
  <si>
    <t>2245 FEDERAL ST EXT</t>
  </si>
  <si>
    <t>GENERAL CONTRACTING</t>
  </si>
  <si>
    <t>WOODS RUN RD</t>
  </si>
  <si>
    <t xml:space="preserve">JACKSON GLEN A </t>
  </si>
  <si>
    <t>2235 FEDERAL ST EXT</t>
  </si>
  <si>
    <t xml:space="preserve">HUMPHREY MARY ANN </t>
  </si>
  <si>
    <t>2209 FEDERAL ST EXT</t>
  </si>
  <si>
    <t xml:space="preserve">LARDO ALBERT L                                  </t>
  </si>
  <si>
    <t>2120 LETSCHE ST</t>
  </si>
  <si>
    <t xml:space="preserve">DAVIS TIFFANI L </t>
  </si>
  <si>
    <t>250 LAFAYETTE AVE</t>
  </si>
  <si>
    <t>DESIMONE THOMAS  &amp; JOHN G HYNES 3</t>
  </si>
  <si>
    <t xml:space="preserve">MOORE MICHAEL A </t>
  </si>
  <si>
    <t xml:space="preserve">HERRING MARJORIE G </t>
  </si>
  <si>
    <t>218 SEABRIGHT ST</t>
  </si>
  <si>
    <t>P O BOX 6265</t>
  </si>
  <si>
    <t xml:space="preserve">GIBSON JOHN B </t>
  </si>
  <si>
    <t>240 SEABRIGHT ST</t>
  </si>
  <si>
    <t xml:space="preserve">CURETON CURTIS E </t>
  </si>
  <si>
    <t>304 SEABRIGHT ST</t>
  </si>
  <si>
    <t xml:space="preserve">MITCHELL KENNETH J </t>
  </si>
  <si>
    <t>235 SEABRIGHT ST</t>
  </si>
  <si>
    <t xml:space="preserve">BAILEY CARLA F </t>
  </si>
  <si>
    <t>217 SEABRIGHT ST</t>
  </si>
  <si>
    <t xml:space="preserve">THOMAS EDWARD </t>
  </si>
  <si>
    <t>2327 MAPLE AVE</t>
  </si>
  <si>
    <t>LANE LIVING MANAGEMENT  LLC</t>
  </si>
  <si>
    <t>2326 MAPLE AVE</t>
  </si>
  <si>
    <t>LANE LIVING MANAGEMEN</t>
  </si>
  <si>
    <t>2332 MAPLE AVE</t>
  </si>
  <si>
    <t xml:space="preserve">MCCARTHY GEORGIA E </t>
  </si>
  <si>
    <t>E 79TH ST</t>
  </si>
  <si>
    <t xml:space="preserve">WHITE WILLIAM M </t>
  </si>
  <si>
    <t>WHITE WILLIAM M &amp; ESTHER A (W)</t>
  </si>
  <si>
    <t xml:space="preserve">JOHNSON RAYMOND </t>
  </si>
  <si>
    <t>2322 OSGOOD ST</t>
  </si>
  <si>
    <t xml:space="preserve">WASHINGTON ANTJUAN </t>
  </si>
  <si>
    <t>2316 OSGOOD ST</t>
  </si>
  <si>
    <t xml:space="preserve">GALATI FRANK V </t>
  </si>
  <si>
    <t>0 SEABRIGHT ST</t>
  </si>
  <si>
    <t>STUBBS RUNNIE G &amp; ROSALIE A (W)</t>
  </si>
  <si>
    <t>2218 OSGOOD ST</t>
  </si>
  <si>
    <t>STUBBS RUNNIE G &amp; ROS</t>
  </si>
  <si>
    <t xml:space="preserve">SHRAY THOMAS JR </t>
  </si>
  <si>
    <t>362 SEABRIGHT ST</t>
  </si>
  <si>
    <t xml:space="preserve">HAMPERS HELEN </t>
  </si>
  <si>
    <t>347 LAFAYETTE AVE</t>
  </si>
  <si>
    <t>2114 MOUNTFORD AVE</t>
  </si>
  <si>
    <t xml:space="preserve">SIZOV VIKTOR </t>
  </si>
  <si>
    <t>320 LAFAYETTE AVE</t>
  </si>
  <si>
    <t>BUCKWHEAT DR</t>
  </si>
  <si>
    <t xml:space="preserve">AITCHISON HANNAH JANE                           </t>
  </si>
  <si>
    <t>2037 OSGOOD ST</t>
  </si>
  <si>
    <t>LETS ENJOY IT HOLDINGS  LLC</t>
  </si>
  <si>
    <t>0 PEEKSKILL ST</t>
  </si>
  <si>
    <t>LETS ENJOY IT HOLDING</t>
  </si>
  <si>
    <t xml:space="preserve">NIYIBIZI EMMANUEL                               </t>
  </si>
  <si>
    <t>503 CHAUTAUQUA ST</t>
  </si>
  <si>
    <t xml:space="preserve">BROWN BETTY </t>
  </si>
  <si>
    <t xml:space="preserve">ARMFIELD SAMUEL L </t>
  </si>
  <si>
    <t>0 HOBBS ST</t>
  </si>
  <si>
    <t>1019 NORRIS ST</t>
  </si>
  <si>
    <t>WALDORF FRANK M &amp; CONSTANCE H(W)</t>
  </si>
  <si>
    <t>1041 SHREVE ST</t>
  </si>
  <si>
    <t>WALDORF FRANK M &amp; CON</t>
  </si>
  <si>
    <t>LK WILDERNESS CC DR SE</t>
  </si>
  <si>
    <t>MAPLE VALLEY</t>
  </si>
  <si>
    <t>WALDORF FRANK M &amp; CONSTANCE H (W)</t>
  </si>
  <si>
    <t xml:space="preserve">JOHNSON SHAVONNE </t>
  </si>
  <si>
    <t>1115 SHREVE ST</t>
  </si>
  <si>
    <t>SHREVE ST</t>
  </si>
  <si>
    <t>BRONDER RICHARD J &amp; BARBARA E (W)</t>
  </si>
  <si>
    <t>1107 SHREVE ST</t>
  </si>
  <si>
    <t>JOHN ST</t>
  </si>
  <si>
    <t xml:space="preserve">DOZIER GENEVA D </t>
  </si>
  <si>
    <t>0 SHREVE ST</t>
  </si>
  <si>
    <t>FABYAN ST</t>
  </si>
  <si>
    <t>WINGHART GEORGE V &amp; MILDRED A</t>
  </si>
  <si>
    <t>1134 FABYAN ST</t>
  </si>
  <si>
    <t xml:space="preserve">AIB GROUP LLC </t>
  </si>
  <si>
    <t>1122 FABYAN ST</t>
  </si>
  <si>
    <t>SANDY NECK LN UNIT 102</t>
  </si>
  <si>
    <t>ALTAMONTE SPRI</t>
  </si>
  <si>
    <t>WAXMAN DAN               ETAL</t>
  </si>
  <si>
    <t>1114 FABYAN ST</t>
  </si>
  <si>
    <t>HARRIS JAMES E III &amp; KAREN L (W)</t>
  </si>
  <si>
    <t>1108 FABYAN ST</t>
  </si>
  <si>
    <t xml:space="preserve">HARRIS JAMES E III &amp; </t>
  </si>
  <si>
    <t>SEDALA AVE</t>
  </si>
  <si>
    <t>1026 SHREVE ST</t>
  </si>
  <si>
    <t xml:space="preserve">DERBISH HEATHER </t>
  </si>
  <si>
    <t>910 SOUTH SIDE AVE</t>
  </si>
  <si>
    <t>SOUTH SIDE AVE</t>
  </si>
  <si>
    <t xml:space="preserve">HAGER CHERYL A </t>
  </si>
  <si>
    <t>928 SOUTH SIDE AVE</t>
  </si>
  <si>
    <t xml:space="preserve">DYNAMIC BUSINESS LLC </t>
  </si>
  <si>
    <t>940 SOUTH SIDE AVE</t>
  </si>
  <si>
    <t>0 SOUTH SIDE AVE</t>
  </si>
  <si>
    <t xml:space="preserve">ARMFIELD SAMUEL LEE IV </t>
  </si>
  <si>
    <t>1035 SHREVE ST</t>
  </si>
  <si>
    <t>ARMFIELD SAMUEL LEE I</t>
  </si>
  <si>
    <t xml:space="preserve">GERSTBERGER ROBERT R JR </t>
  </si>
  <si>
    <t>1006 SOUTH SIDE AVE</t>
  </si>
  <si>
    <t xml:space="preserve">GERSTBERGER ROBERT R </t>
  </si>
  <si>
    <t xml:space="preserve">ALEXANDER UNIQUE </t>
  </si>
  <si>
    <t>1114 SOUTH SIDE AVE</t>
  </si>
  <si>
    <t xml:space="preserve">CHUBAROV ANDREW </t>
  </si>
  <si>
    <t>CRAFTON BLVD</t>
  </si>
  <si>
    <t>CLARKE KENNETH N &amp; DOROTHY (W)</t>
  </si>
  <si>
    <t>0 ROMANHOFF ST</t>
  </si>
  <si>
    <t>2326 SPRING GARDEN AVE</t>
  </si>
  <si>
    <t xml:space="preserve">LANG RICHARD  &amp; ROSA </t>
  </si>
  <si>
    <t>2322 SPRING GARDEN AVE</t>
  </si>
  <si>
    <t>LANG RICHARD  &amp; ROSA</t>
  </si>
  <si>
    <t xml:space="preserve">PRICE WAYNE A </t>
  </si>
  <si>
    <t>120 SCHUBERT ST</t>
  </si>
  <si>
    <t>SCHUBERT ST</t>
  </si>
  <si>
    <t xml:space="preserve">THOMAS PAGE FREDERICK </t>
  </si>
  <si>
    <t>1 ODANAH ST</t>
  </si>
  <si>
    <t xml:space="preserve">BENSON KATHRYN ANNE </t>
  </si>
  <si>
    <t>2300 SPRING GARDEN AVE</t>
  </si>
  <si>
    <t xml:space="preserve">K.A.R. INVESTMENTS LLC                          </t>
  </si>
  <si>
    <t>2020 SPRING GARDEN AVE</t>
  </si>
  <si>
    <t>K.A.R. INVESTMENTS LL</t>
  </si>
  <si>
    <t>MARKET ST STE 2100</t>
  </si>
  <si>
    <t>FRUSTACI MARIE H &amp; FRANCIS R FRUSTACI</t>
  </si>
  <si>
    <t xml:space="preserve">BECKERT ANNA C </t>
  </si>
  <si>
    <t xml:space="preserve">YOUNG JOHN  &amp; RITA </t>
  </si>
  <si>
    <t xml:space="preserve">RICHARDS CHRIS </t>
  </si>
  <si>
    <t>909 SOUTH SIDE AVE</t>
  </si>
  <si>
    <t>913 SOUTH SIDE AVE</t>
  </si>
  <si>
    <t xml:space="preserve">FISHER ROBERT W </t>
  </si>
  <si>
    <t xml:space="preserve">SCHERLING BARBARA </t>
  </si>
  <si>
    <t>921 SOUTH SIDE AVE</t>
  </si>
  <si>
    <t xml:space="preserve">LAWRENCE LAWRENCE E </t>
  </si>
  <si>
    <t>925 SOUTH SIDE AVE</t>
  </si>
  <si>
    <t xml:space="preserve">SANTORSOLA VITO M </t>
  </si>
  <si>
    <t>920 MINA ST</t>
  </si>
  <si>
    <t xml:space="preserve">HILL VENTURES LLC </t>
  </si>
  <si>
    <t>918 MINA ST</t>
  </si>
  <si>
    <t>WILLIWM ST</t>
  </si>
  <si>
    <t xml:space="preserve">ROBERTS HOPE </t>
  </si>
  <si>
    <t>908 MINA ST</t>
  </si>
  <si>
    <t xml:space="preserve">MAYER GEORGE H &amp; (SURV) </t>
  </si>
  <si>
    <t>0 MINA ST</t>
  </si>
  <si>
    <t>MAYER GEORGE H &amp; (SUR</t>
  </si>
  <si>
    <t>YETTA AVE APT 611</t>
  </si>
  <si>
    <t>900 MINA ST</t>
  </si>
  <si>
    <t>913 MINA ST</t>
  </si>
  <si>
    <t xml:space="preserve">GLG INVESTMENTS LLC </t>
  </si>
  <si>
    <t>909 MINA ST</t>
  </si>
  <si>
    <t>5TH AVE STE 300</t>
  </si>
  <si>
    <t xml:space="preserve">YOUNG DAVID A </t>
  </si>
  <si>
    <t>905 MINA ST</t>
  </si>
  <si>
    <t xml:space="preserve">BADAMO ANGELO J </t>
  </si>
  <si>
    <t>903 MINA ST</t>
  </si>
  <si>
    <t>BLY ST</t>
  </si>
  <si>
    <t>MOSHOLDER SHERRY &amp; PATRICK J AYMAR (H)</t>
  </si>
  <si>
    <t>55 LUELLA ST</t>
  </si>
  <si>
    <t>AYMAR SHERRY MOSHOLDER &amp; PATRICK J (H)</t>
  </si>
  <si>
    <t xml:space="preserve">BADAMO LOUIS J </t>
  </si>
  <si>
    <t>61 WINNER WAY</t>
  </si>
  <si>
    <t>WINNER WAY</t>
  </si>
  <si>
    <t xml:space="preserve">URENA JOSE M </t>
  </si>
  <si>
    <t>65 LUELLA ST</t>
  </si>
  <si>
    <t>URENA JOSE M</t>
  </si>
  <si>
    <t>BOX 20816</t>
  </si>
  <si>
    <t xml:space="preserve">MANGOLD KEITH L </t>
  </si>
  <si>
    <t>268 LUELLA ST</t>
  </si>
  <si>
    <t>BARBARA LN</t>
  </si>
  <si>
    <t>CAMANO ISLAND</t>
  </si>
  <si>
    <t xml:space="preserve">ONEIL CHAD A </t>
  </si>
  <si>
    <t>5 SHANK ST</t>
  </si>
  <si>
    <t xml:space="preserve">WILLIAMS DAVID J </t>
  </si>
  <si>
    <t>0 SHANK ST</t>
  </si>
  <si>
    <t>SHANK ST</t>
  </si>
  <si>
    <t>GRAY THOMAS B &amp; DOLORES M</t>
  </si>
  <si>
    <t>SHASTA DR</t>
  </si>
  <si>
    <t xml:space="preserve">GOOD DAWN </t>
  </si>
  <si>
    <t>PO BOX 43001</t>
  </si>
  <si>
    <t xml:space="preserve">DOERGE ALICE </t>
  </si>
  <si>
    <t>0 ROYAL ST</t>
  </si>
  <si>
    <t xml:space="preserve">HELMS ROBERT RAYBURN JR </t>
  </si>
  <si>
    <t>ROYAL ST</t>
  </si>
  <si>
    <t>63 ROYAL ST</t>
  </si>
  <si>
    <t xml:space="preserve">HELMS ROBERT R JR </t>
  </si>
  <si>
    <t>65 ROYAL ST</t>
  </si>
  <si>
    <t xml:space="preserve">STETTNER RONALD </t>
  </si>
  <si>
    <t>67 ROYAL ST</t>
  </si>
  <si>
    <t xml:space="preserve">ROGERS KAREN R </t>
  </si>
  <si>
    <t xml:space="preserve">SPAHR WILLIAM E </t>
  </si>
  <si>
    <t xml:space="preserve">KISSLING ALBERT A </t>
  </si>
  <si>
    <t>921 LUELLA ST</t>
  </si>
  <si>
    <t>SPAHR DOROTHY A &amp; SUSAN LYNN AUBURN</t>
  </si>
  <si>
    <t>82 LUELLA ST</t>
  </si>
  <si>
    <t xml:space="preserve">BADAMO ANGELO </t>
  </si>
  <si>
    <t>84 LUELLA ST</t>
  </si>
  <si>
    <t xml:space="preserve">FOX JORDAN </t>
  </si>
  <si>
    <t>86 LUELLA ST</t>
  </si>
  <si>
    <t>BOYDEN MARK &amp; CHARMAINE (W)</t>
  </si>
  <si>
    <t>90 LUELLA ST</t>
  </si>
  <si>
    <t>BOYDEN MARK &amp; CHARMAI</t>
  </si>
  <si>
    <t xml:space="preserve">WILLIAMS KATRINA </t>
  </si>
  <si>
    <t>97 ROYAL ST</t>
  </si>
  <si>
    <t>BADAMO BRANDON &amp; NICOLE (W)</t>
  </si>
  <si>
    <t>10 NETTIE ST</t>
  </si>
  <si>
    <t>BADAMO BRANDON &amp; NICO</t>
  </si>
  <si>
    <t>NETTIE ST</t>
  </si>
  <si>
    <t xml:space="preserve">BUTLER CHARLES WILLIAM </t>
  </si>
  <si>
    <t>74 ROYAL ST</t>
  </si>
  <si>
    <t xml:space="preserve">MORGAN KEVIN </t>
  </si>
  <si>
    <t>FAIRBANKS AVE</t>
  </si>
  <si>
    <t>64 ROYAL ST</t>
  </si>
  <si>
    <t>BLACKHALL DAVID  &amp; MARTHA (W)</t>
  </si>
  <si>
    <t>0 BLY ST</t>
  </si>
  <si>
    <t>12 BLY ST</t>
  </si>
  <si>
    <t>MILLER RONALD G &amp; ESTHER L (W)</t>
  </si>
  <si>
    <t>WALTON BLVD</t>
  </si>
  <si>
    <t>ROCHESTER HILL</t>
  </si>
  <si>
    <t xml:space="preserve">GRAY SANDRA LEE </t>
  </si>
  <si>
    <t>16 BLY ST</t>
  </si>
  <si>
    <t>AUBRECHT JERRY &amp; PEGGY (W)</t>
  </si>
  <si>
    <t>2123 LAPPE LN</t>
  </si>
  <si>
    <t>LAPPE LN</t>
  </si>
  <si>
    <t xml:space="preserve">ROY JOSEPH M                                    </t>
  </si>
  <si>
    <t>0 LEVETA ST</t>
  </si>
  <si>
    <t xml:space="preserve">CRAMER SHERRY </t>
  </si>
  <si>
    <t>2114 DONORA ST</t>
  </si>
  <si>
    <t>DONORA ST</t>
  </si>
  <si>
    <t xml:space="preserve">MORROW WILLIAM H </t>
  </si>
  <si>
    <t>0 VARLEY ST</t>
  </si>
  <si>
    <t>2140 VARLEY ST</t>
  </si>
  <si>
    <t>ASHBURY ST</t>
  </si>
  <si>
    <t xml:space="preserve">KLOSE GARY A </t>
  </si>
  <si>
    <t>8 BECKFIELD ST</t>
  </si>
  <si>
    <t>BRADEN ZACHARY R &amp; KAREN (W)</t>
  </si>
  <si>
    <t>2213 ROCKLEDGE ST</t>
  </si>
  <si>
    <t>1339 ROMANHOFF ST</t>
  </si>
  <si>
    <t xml:space="preserve">CLYDE ROBERT E                                  </t>
  </si>
  <si>
    <t>1 MATHIAS ST</t>
  </si>
  <si>
    <t>ROBERT E CLYDE &amp; DAVI</t>
  </si>
  <si>
    <t>MATHIAS ST</t>
  </si>
  <si>
    <t xml:space="preserve">HERMAN CLARENCE J </t>
  </si>
  <si>
    <t>0 MATHIAS ST</t>
  </si>
  <si>
    <t xml:space="preserve">MORRISSEY MONICA </t>
  </si>
  <si>
    <t>2103 ROCKLEDGE ST</t>
  </si>
  <si>
    <t>2115 ROCKLEDGE ST</t>
  </si>
  <si>
    <t>RADICK GEORGE A &amp; SHIRLEY R (W)</t>
  </si>
  <si>
    <t>2126 ROCKLEDGE ST</t>
  </si>
  <si>
    <t xml:space="preserve">MONSTED DAVID S </t>
  </si>
  <si>
    <t>2118 ROCKLEDGE ST</t>
  </si>
  <si>
    <t>S&amp; M REAL ESTATE RESTORATIO</t>
  </si>
  <si>
    <t>2149 HARBOR ST</t>
  </si>
  <si>
    <t>S &amp; M REAL ESTATE AND</t>
  </si>
  <si>
    <t xml:space="preserve">POWERS JAMES R </t>
  </si>
  <si>
    <t>2201 HARBOR ST</t>
  </si>
  <si>
    <t>HUNGARIAN RD</t>
  </si>
  <si>
    <t>GALUSKA RONALD  &amp; MARLENE CIECHALSKI</t>
  </si>
  <si>
    <t>2225 HARBOR ST</t>
  </si>
  <si>
    <t xml:space="preserve">STYGAR CHRISTOPHER M </t>
  </si>
  <si>
    <t>2140 HARBOR ST</t>
  </si>
  <si>
    <t xml:space="preserve">MILLER RONNIE A </t>
  </si>
  <si>
    <t>1430 HETZEL ST</t>
  </si>
  <si>
    <t>0 HETZEL ST</t>
  </si>
  <si>
    <t xml:space="preserve">FOHL DAVID L                                    </t>
  </si>
  <si>
    <t>1514 HETZEL ST</t>
  </si>
  <si>
    <t>FOHL PAUL J</t>
  </si>
  <si>
    <t xml:space="preserve">LEQUEU DEVELOPMENT LLC </t>
  </si>
  <si>
    <t>0 FALL ST</t>
  </si>
  <si>
    <t>LEQUEU DEVELOPMENT LL</t>
  </si>
  <si>
    <t xml:space="preserve">XIONG NENG </t>
  </si>
  <si>
    <t>4 CABIN ST</t>
  </si>
  <si>
    <t>CABIN ST</t>
  </si>
  <si>
    <t>PAIL JOSEPH &amp; LOUIS A PAIL</t>
  </si>
  <si>
    <t>1900 GEBHART ST</t>
  </si>
  <si>
    <t>SPRING GARDEN  NEIGHBORHOOD ENTERPRISES</t>
  </si>
  <si>
    <t>0 GEBHART ST</t>
  </si>
  <si>
    <t xml:space="preserve">NOVAK LOIS R </t>
  </si>
  <si>
    <t>1800 GEBHART ST</t>
  </si>
  <si>
    <t>COVENANT AVE</t>
  </si>
  <si>
    <t xml:space="preserve">MEADOWS PAMELA </t>
  </si>
  <si>
    <t>1820 SPRING GARDEN AVE</t>
  </si>
  <si>
    <t>MEADOWS PAMELA</t>
  </si>
  <si>
    <t>SCHUYLER AVE</t>
  </si>
  <si>
    <t xml:space="preserve">ANDERSON STEVEN </t>
  </si>
  <si>
    <t>1819 SPRING GARDEN AVE</t>
  </si>
  <si>
    <t>SAMUEL LEONARD S &amp; PATRICIA L</t>
  </si>
  <si>
    <t>1841 SPRING GARDEN AVE</t>
  </si>
  <si>
    <t>LOUTZENHISER JAMES H &amp; PATRICIA A (W)</t>
  </si>
  <si>
    <t>LAKE AVE</t>
  </si>
  <si>
    <t>MAYVILLE</t>
  </si>
  <si>
    <t>0 GARDEN AVE</t>
  </si>
  <si>
    <t>0 BOROUGH ST</t>
  </si>
  <si>
    <t xml:space="preserve">LOUTZENHISER JAMES H </t>
  </si>
  <si>
    <t xml:space="preserve">ZUPCIC GEORGE BLASE </t>
  </si>
  <si>
    <t>PHINEAS ST 2ND FL</t>
  </si>
  <si>
    <t>24 BLY ST</t>
  </si>
  <si>
    <t>BLAICH DOROTHY S &amp; LINDA BLAICH DICK</t>
  </si>
  <si>
    <t>BLAICH DOROTHY S &amp; LI</t>
  </si>
  <si>
    <t xml:space="preserve">BLAICH DOROTHY S </t>
  </si>
  <si>
    <t xml:space="preserve">MAHONEY WILLIAM P </t>
  </si>
  <si>
    <t>KLEMONT AVE</t>
  </si>
  <si>
    <t xml:space="preserve">MARS CONCETTA </t>
  </si>
  <si>
    <t>1036 BUENTE ST</t>
  </si>
  <si>
    <t xml:space="preserve">CURTIN VINCENT E </t>
  </si>
  <si>
    <t>1034 BUENTE ST</t>
  </si>
  <si>
    <t xml:space="preserve">KHAN MANSOOR </t>
  </si>
  <si>
    <t>1020 BUENTE ST</t>
  </si>
  <si>
    <t xml:space="preserve">POOLE SUMMER S </t>
  </si>
  <si>
    <t xml:space="preserve">MARTIN JAMES </t>
  </si>
  <si>
    <t>GO MORTGAGE LLC</t>
  </si>
  <si>
    <t xml:space="preserve">HOLDEN JUDITH </t>
  </si>
  <si>
    <t>139 OVERBECK ST</t>
  </si>
  <si>
    <t xml:space="preserve">GROSSMAN JOHN </t>
  </si>
  <si>
    <t>SESKEY JAMES J &amp; CATHERINE M</t>
  </si>
  <si>
    <t>L SHEAHEN</t>
  </si>
  <si>
    <t>BRAHAM ST</t>
  </si>
  <si>
    <t>PETERSON JAMES E &amp; ALEXANDER PETERSON</t>
  </si>
  <si>
    <t>WILSHIRE CT</t>
  </si>
  <si>
    <t>BERBACH REGIS C &amp; MARY M BERBACH</t>
  </si>
  <si>
    <t>BERBACH REGIS C &amp; MAR</t>
  </si>
  <si>
    <t>ALLEGHENY CENTER MALL</t>
  </si>
  <si>
    <t xml:space="preserve">BLACK RALPH J &amp; AGNES M </t>
  </si>
  <si>
    <t>PO BOX 2562</t>
  </si>
  <si>
    <t>BARIE LAWRENCE E &amp; ELMER J BARIE</t>
  </si>
  <si>
    <t xml:space="preserve">STYEN CHRISTOPHER J </t>
  </si>
  <si>
    <t>126 OVERBECK ST</t>
  </si>
  <si>
    <t xml:space="preserve">MOORHEAD ELIZABETH A </t>
  </si>
  <si>
    <t xml:space="preserve">BARKLEY JAMES R </t>
  </si>
  <si>
    <t>1001 BUENTE ST</t>
  </si>
  <si>
    <t xml:space="preserve">MCTAGUE JOHN J </t>
  </si>
  <si>
    <t>1103 BUENTE ST</t>
  </si>
  <si>
    <t>ALLEGHENY HOME RENTAL INC</t>
  </si>
  <si>
    <t>2104 LAPPE LN</t>
  </si>
  <si>
    <t>DUNLAP ST</t>
  </si>
  <si>
    <t>SINAGRA KATHERINE C  &amp; WILLIAM E (H)</t>
  </si>
  <si>
    <t>54 WOESSNER AVE</t>
  </si>
  <si>
    <t xml:space="preserve">MOLNAR JOSZEF E </t>
  </si>
  <si>
    <t>56 WOESSNER AVE</t>
  </si>
  <si>
    <t xml:space="preserve">GUY YASMIN C </t>
  </si>
  <si>
    <t>1127 BUENTE ST</t>
  </si>
  <si>
    <t>DURLER JASON R &amp; ANGELA J (W)</t>
  </si>
  <si>
    <t>1143 BUENTE ST</t>
  </si>
  <si>
    <t>DURLER JASON R &amp; ANGE</t>
  </si>
  <si>
    <t>BAUER DAVID J &amp; LINDA A RYCHORCEWICZ</t>
  </si>
  <si>
    <t>1147 BUENTE ST</t>
  </si>
  <si>
    <t xml:space="preserve">HUSCHLE EBELIZ </t>
  </si>
  <si>
    <t>COLLEEN ST</t>
  </si>
  <si>
    <t>LA HABRA</t>
  </si>
  <si>
    <t xml:space="preserve">HEINTZINGER WALTER L </t>
  </si>
  <si>
    <t>FLOUNDER CREEK RD</t>
  </si>
  <si>
    <t>MIMS</t>
  </si>
  <si>
    <t xml:space="preserve">DEMETRI JAMES </t>
  </si>
  <si>
    <t>1318 BUENTE ST</t>
  </si>
  <si>
    <t>SPRING HILL CIVIC  LEAGUE (THE)</t>
  </si>
  <si>
    <t>0 ROCKLEDGE ST</t>
  </si>
  <si>
    <t>SPRING HILL CIVIC LEA</t>
  </si>
  <si>
    <t>PO BOX 100167</t>
  </si>
  <si>
    <t xml:space="preserve">ANDERSON JOHN MICHAEL </t>
  </si>
  <si>
    <t>1926 ROCKLEDGE ST</t>
  </si>
  <si>
    <t>RILEY FUZZELL</t>
  </si>
  <si>
    <t xml:space="preserve">LERSCH ROBERT A </t>
  </si>
  <si>
    <t>1924 ROCKLEDGE ST</t>
  </si>
  <si>
    <t xml:space="preserve">PIETRUSZA MELINDA W </t>
  </si>
  <si>
    <t>1912 ROCKLEDGE ST</t>
  </si>
  <si>
    <t>PIETRUSZA MELINDA W</t>
  </si>
  <si>
    <t xml:space="preserve">CROUCH JENNIFER M </t>
  </si>
  <si>
    <t>1916 BADER ST</t>
  </si>
  <si>
    <t>BADER ST</t>
  </si>
  <si>
    <t xml:space="preserve">SIPPEL RYAN CURTIS </t>
  </si>
  <si>
    <t>1914 BADER ST</t>
  </si>
  <si>
    <t xml:space="preserve">THE PROPERTY SPOTTER INC </t>
  </si>
  <si>
    <t>1450 DAMAS ST</t>
  </si>
  <si>
    <t xml:space="preserve">THE PROPERTY SPOTTER </t>
  </si>
  <si>
    <t>OLD FREEPORT RD # 3BR</t>
  </si>
  <si>
    <t xml:space="preserve">MORRISSEY GORDON S JR </t>
  </si>
  <si>
    <t>1913 ZOLLER ST</t>
  </si>
  <si>
    <t xml:space="preserve">BEDGAUI MOHAMED </t>
  </si>
  <si>
    <t>1704 HIGH ST</t>
  </si>
  <si>
    <t>BEDGAUI MOHAMED</t>
  </si>
  <si>
    <t xml:space="preserve">JOHNSTON SHANE </t>
  </si>
  <si>
    <t>1700 HIGH ST</t>
  </si>
  <si>
    <t>CENTER AVE APT 4D</t>
  </si>
  <si>
    <t xml:space="preserve">B G DEVELOPMENT LLC </t>
  </si>
  <si>
    <t>1702 GEBHART ST</t>
  </si>
  <si>
    <t>B G DEVELOPMENT LLC</t>
  </si>
  <si>
    <t>ASHTON CT</t>
  </si>
  <si>
    <t>1704 GEBHART ST</t>
  </si>
  <si>
    <t>WILHELM GARY L &amp; KATHLEEN (W)</t>
  </si>
  <si>
    <t>1702 SPRING GARDEN AVE</t>
  </si>
  <si>
    <t xml:space="preserve">BROOKS GISELA HALL </t>
  </si>
  <si>
    <t>1620 SPRING GARDEN AVE</t>
  </si>
  <si>
    <t>SPRING GARDEN DR</t>
  </si>
  <si>
    <t xml:space="preserve">C &amp; C LINHART LLC </t>
  </si>
  <si>
    <t>1619 HAUG ST</t>
  </si>
  <si>
    <t>C &amp; C LINHART LLC</t>
  </si>
  <si>
    <t>HIVUE LN</t>
  </si>
  <si>
    <t xml:space="preserve">SCHNUPP EDWARD </t>
  </si>
  <si>
    <t>1602 SPRING GARDEN AVE</t>
  </si>
  <si>
    <t>440 KENNEDY AVE</t>
  </si>
  <si>
    <t xml:space="preserve">EDDY ELLEN </t>
  </si>
  <si>
    <t>441 KENNEDY AVE</t>
  </si>
  <si>
    <t xml:space="preserve">RUSSELL DEBRA L </t>
  </si>
  <si>
    <t>0 MATSON ST</t>
  </si>
  <si>
    <t>BOUVY JANET  &amp; GERALD (H)</t>
  </si>
  <si>
    <t>0 HAWKINS AVE</t>
  </si>
  <si>
    <t xml:space="preserve">WOLFE GERALDINE A </t>
  </si>
  <si>
    <t>420 HAWKINS AVE</t>
  </si>
  <si>
    <t>HAWKINS AVE</t>
  </si>
  <si>
    <t xml:space="preserve">LEWIS-MCLAURIN DANIELLE </t>
  </si>
  <si>
    <t>415 HAWKINS AVE</t>
  </si>
  <si>
    <t xml:space="preserve">BRUDY MARGARET E </t>
  </si>
  <si>
    <t>413 HAWKINS AVE</t>
  </si>
  <si>
    <t xml:space="preserve">MS RENTS LLC </t>
  </si>
  <si>
    <t>3339 PORTOLA AVE</t>
  </si>
  <si>
    <t>MS RENTS LLC</t>
  </si>
  <si>
    <t>SERO SAMUEL JOHN &amp; BARBARA ANN SPELL SER O</t>
  </si>
  <si>
    <t>3352 PERRYSVILLE AVE</t>
  </si>
  <si>
    <t>3331 PERRYSVILLE AVE</t>
  </si>
  <si>
    <t xml:space="preserve">1000 STATE AVE LLC </t>
  </si>
  <si>
    <t>3330 PORTOLA AVE</t>
  </si>
  <si>
    <t>FOURTH AVE # 901</t>
  </si>
  <si>
    <t xml:space="preserve">MARSHMAN RICARDO N JR                           </t>
  </si>
  <si>
    <t>3341 DELAWARE ST</t>
  </si>
  <si>
    <t>PRIMAR RICHARD LEE &amp; TERRY LYNN (W)</t>
  </si>
  <si>
    <t>3327 DELAWARE ST</t>
  </si>
  <si>
    <t xml:space="preserve">PELLES MARY A </t>
  </si>
  <si>
    <t>3315 PORTOLA AVE</t>
  </si>
  <si>
    <t>PORTOLA ST</t>
  </si>
  <si>
    <t xml:space="preserve">WILLIAMS YVONNE D </t>
  </si>
  <si>
    <t>3340 DELAWARE ST</t>
  </si>
  <si>
    <t xml:space="preserve">THOMPSON JOSHUA </t>
  </si>
  <si>
    <t>101 WATSON BLVD</t>
  </si>
  <si>
    <t>WOODSRUN AVE</t>
  </si>
  <si>
    <t>103 WATSON BLVD</t>
  </si>
  <si>
    <t xml:space="preserve">LUFF JOHN </t>
  </si>
  <si>
    <t>134 WATSON BLVD</t>
  </si>
  <si>
    <t>LINKHAUER GEORGE W &amp; VICKIE L (W)</t>
  </si>
  <si>
    <t>138 WATSON BLVD</t>
  </si>
  <si>
    <t>108 WATSON BLVD</t>
  </si>
  <si>
    <t xml:space="preserve">HERZER DAVID L JR </t>
  </si>
  <si>
    <t>102 WATSON BLVD</t>
  </si>
  <si>
    <t xml:space="preserve">KOPP MARY </t>
  </si>
  <si>
    <t>HENNEMAN JOSEPH J &amp; MARGIE M</t>
  </si>
  <si>
    <t xml:space="preserve">WILSON &amp; CREW </t>
  </si>
  <si>
    <t>3105 PERRYSVILLE AVE</t>
  </si>
  <si>
    <t>WILSON &amp; CREW</t>
  </si>
  <si>
    <t xml:space="preserve">FITZGERALD MICHAEL </t>
  </si>
  <si>
    <t>3109 PERRYSVILLE AVE</t>
  </si>
  <si>
    <t xml:space="preserve">ROSCOE GREGORY J </t>
  </si>
  <si>
    <t>3030 PERRYSVILLE AVE</t>
  </si>
  <si>
    <t>SUGAR LOAF LN</t>
  </si>
  <si>
    <t>3032 PERRYSVILLE AVE</t>
  </si>
  <si>
    <t>WARD DELONDA R &amp; ALONZO L WARD JR</t>
  </si>
  <si>
    <t>3121 PERRYSVILLE AVE</t>
  </si>
  <si>
    <t>3100 PERRYSVILLE AVE</t>
  </si>
  <si>
    <t xml:space="preserve">IRON CITY PROPERTIES </t>
  </si>
  <si>
    <t xml:space="preserve">WASILESKI JULIE W </t>
  </si>
  <si>
    <t>3023 VIOLA ST</t>
  </si>
  <si>
    <t>RIDGE AVE</t>
  </si>
  <si>
    <t xml:space="preserve">MAGWOOD JULIUS </t>
  </si>
  <si>
    <t>0 VIOLA ST</t>
  </si>
  <si>
    <t>VIOLA ST</t>
  </si>
  <si>
    <t xml:space="preserve">FISHER TYRONE </t>
  </si>
  <si>
    <t>3107 VIOLA ST</t>
  </si>
  <si>
    <t>3101 VIOLA ST</t>
  </si>
  <si>
    <t xml:space="preserve">KIRKLAND DWAYNE E </t>
  </si>
  <si>
    <t>3109 VIOLA ST</t>
  </si>
  <si>
    <t>3111 VIOLA ST</t>
  </si>
  <si>
    <t xml:space="preserve">SCHMID ARON K                                   </t>
  </si>
  <si>
    <t>12 WATSON BLVD</t>
  </si>
  <si>
    <t>CURRIE LENNA S &amp; STEVEN L SHOCK (H)</t>
  </si>
  <si>
    <t>3228 ORLEANS ST</t>
  </si>
  <si>
    <t xml:space="preserve">LAWLOR LEEANNE                                  </t>
  </si>
  <si>
    <t>55 WATSON BLVD</t>
  </si>
  <si>
    <t xml:space="preserve">HAGER DAVID F JR </t>
  </si>
  <si>
    <t>45 WATSON BLVD</t>
  </si>
  <si>
    <t xml:space="preserve">LANSAW KELSEY </t>
  </si>
  <si>
    <t>41 WATSON BLVD</t>
  </si>
  <si>
    <t>VINCETON ST</t>
  </si>
  <si>
    <t xml:space="preserve">BALCOM DARIAN </t>
  </si>
  <si>
    <t>19 WATSON BLVD</t>
  </si>
  <si>
    <t xml:space="preserve">DAVIS DARRELL T </t>
  </si>
  <si>
    <t>0 WATSON BLVD</t>
  </si>
  <si>
    <t xml:space="preserve">JONASEN MARY JANE                               </t>
  </si>
  <si>
    <t>56 TRETOW ST</t>
  </si>
  <si>
    <t>PERRYSVILLE AVE APT 202</t>
  </si>
  <si>
    <t xml:space="preserve">WIGFALL DARREN </t>
  </si>
  <si>
    <t>54 TRETOW ST</t>
  </si>
  <si>
    <t>E SHADOWLAWN DR</t>
  </si>
  <si>
    <t xml:space="preserve">MICHAEL FAITH LLC </t>
  </si>
  <si>
    <t>52 TRETOW ST</t>
  </si>
  <si>
    <t xml:space="preserve">CVN ENTERPRISES LLC </t>
  </si>
  <si>
    <t>50 TRETOW ST</t>
  </si>
  <si>
    <t>VAN BUREN BLVD APT 114-494</t>
  </si>
  <si>
    <t>RIVERSIDE</t>
  </si>
  <si>
    <t>COCHENOUR LOUISE M &amp; CHARLES W WIGINGTON</t>
  </si>
  <si>
    <t>44 TRETOW ST</t>
  </si>
  <si>
    <t xml:space="preserve">WATTON ROBERT P JR </t>
  </si>
  <si>
    <t>0 BOTHWELL ST</t>
  </si>
  <si>
    <t xml:space="preserve">MCCRAY DESARAY </t>
  </si>
  <si>
    <t>BOTHWELL ST</t>
  </si>
  <si>
    <t>306 BOTHWELL ST</t>
  </si>
  <si>
    <t xml:space="preserve">WRIGHT HARRY F &amp; EDNA M </t>
  </si>
  <si>
    <t>JONES MICHAELENA A &amp; SEAN (H)</t>
  </si>
  <si>
    <t>339 BOTHWELL ST</t>
  </si>
  <si>
    <t xml:space="preserve">MERIDA BERNARD </t>
  </si>
  <si>
    <t>136 CHICAGO ST</t>
  </si>
  <si>
    <t>CHICAGO ST</t>
  </si>
  <si>
    <t xml:space="preserve">HICKS RENEE A </t>
  </si>
  <si>
    <t>139 CHICAGO ST</t>
  </si>
  <si>
    <t>CHALFONTE AVE</t>
  </si>
  <si>
    <t xml:space="preserve">AUALOS SINDEY                                   </t>
  </si>
  <si>
    <t>101 HAZLETT ST</t>
  </si>
  <si>
    <t>AUALOS SINDEY</t>
  </si>
  <si>
    <t>S COAST DR</t>
  </si>
  <si>
    <t xml:space="preserve">SUKI LLC </t>
  </si>
  <si>
    <t>3014 PERRYSVILLE AVE</t>
  </si>
  <si>
    <t>MORRISON ST</t>
  </si>
  <si>
    <t xml:space="preserve">OBSERVATORY HILL INC </t>
  </si>
  <si>
    <t>OBSERVATORY HILL INC</t>
  </si>
  <si>
    <t xml:space="preserve">GREAVES GILBERT J </t>
  </si>
  <si>
    <t xml:space="preserve">JENKINS ZENA D </t>
  </si>
  <si>
    <t>3001 PERRYSVILLE AVE</t>
  </si>
  <si>
    <t xml:space="preserve">LAMOT DARLENE SHELTON </t>
  </si>
  <si>
    <t>2935 PERRYSVILLE AVE</t>
  </si>
  <si>
    <t>149 MARSHALL AVE</t>
  </si>
  <si>
    <t xml:space="preserve">ATHANASIOUGRIESER ANGELA </t>
  </si>
  <si>
    <t>201 MARSHALL AVE</t>
  </si>
  <si>
    <t xml:space="preserve">LAWLOR LEEANNE </t>
  </si>
  <si>
    <t>205 MARSHALL AVE</t>
  </si>
  <si>
    <t>140 MARSHALL AVE</t>
  </si>
  <si>
    <t xml:space="preserve">MCCARTHY SEAN PATRICK </t>
  </si>
  <si>
    <t>156 MARSHALL AVE</t>
  </si>
  <si>
    <t>KLICK KATHLEEN F &amp; RICHARD M (H)</t>
  </si>
  <si>
    <t>151 OAK PARK RD</t>
  </si>
  <si>
    <t>KLICK KATHLEEN F &amp; RI</t>
  </si>
  <si>
    <t>OAK PARK RD</t>
  </si>
  <si>
    <t xml:space="preserve">BISCHOFF HOWARD W </t>
  </si>
  <si>
    <t>2933 OAK PARK RD</t>
  </si>
  <si>
    <t xml:space="preserve">CUNNIFF CASEY J </t>
  </si>
  <si>
    <t>3021 MOUNT ALLISTER RD</t>
  </si>
  <si>
    <t xml:space="preserve">MCCLAIN JENNIFER E </t>
  </si>
  <si>
    <t>3015 MOUNT ALLISTER RD</t>
  </si>
  <si>
    <t>MOUNT ALLISTER RD</t>
  </si>
  <si>
    <t xml:space="preserve">REDO LLC                                        </t>
  </si>
  <si>
    <t>200 MARSHALL AVE</t>
  </si>
  <si>
    <t>REEDY FRED</t>
  </si>
  <si>
    <t>MEMORIAL DR</t>
  </si>
  <si>
    <t>0 MARSHALL AVE</t>
  </si>
  <si>
    <t xml:space="preserve">COLE DOROTHEA                                   </t>
  </si>
  <si>
    <t>2922 MARSHALL RD</t>
  </si>
  <si>
    <t>COLE DOROTHEA &amp; ELDER</t>
  </si>
  <si>
    <t>DDEG HOLDING COMPANY1  LLC</t>
  </si>
  <si>
    <t>3006 MARSHALL RD</t>
  </si>
  <si>
    <t>DDEG HOLDING COMPANY1</t>
  </si>
  <si>
    <t xml:space="preserve">BRAVO JOSE F </t>
  </si>
  <si>
    <t>5 MILROY ST</t>
  </si>
  <si>
    <t>MILROY ST</t>
  </si>
  <si>
    <t>PLACIDI SANDRO  &amp; BARBARA A (W)</t>
  </si>
  <si>
    <t>3009 VIOLA ST</t>
  </si>
  <si>
    <t xml:space="preserve">BRAVO JOSE F                                    </t>
  </si>
  <si>
    <t>3007 VIOLA ST</t>
  </si>
  <si>
    <t xml:space="preserve">FINANCEAMERICA CONSUMER </t>
  </si>
  <si>
    <t>0 MILROY ST</t>
  </si>
  <si>
    <t>FRED HUNT</t>
  </si>
  <si>
    <t xml:space="preserve">YOVANN LILLIAN </t>
  </si>
  <si>
    <t>NW 123RD ST</t>
  </si>
  <si>
    <t>NORTH MIAMI</t>
  </si>
  <si>
    <t xml:space="preserve">CHARTENER CAROLE </t>
  </si>
  <si>
    <t>KAPACO INVESTMENT GROUP  LLC</t>
  </si>
  <si>
    <t>110 MILROY ST</t>
  </si>
  <si>
    <t>GREGOR RALPH WILLIAM &amp; JENNIFER J (W)</t>
  </si>
  <si>
    <t>AMERICAN INNOVATIONS  INVESTMENTS LLC</t>
  </si>
  <si>
    <t>104 MILROY ST</t>
  </si>
  <si>
    <t>HAZENWOOD DR</t>
  </si>
  <si>
    <t xml:space="preserve">HELMBOLD JOHN R </t>
  </si>
  <si>
    <t>PARHAM JOSEPH H &amp; MARCELLA R SWINTON</t>
  </si>
  <si>
    <t>6 MILROY ST</t>
  </si>
  <si>
    <t xml:space="preserve">SNOW MAURICE J </t>
  </si>
  <si>
    <t>PENN LEAR DR</t>
  </si>
  <si>
    <t xml:space="preserve">LEONARD INENELL J </t>
  </si>
  <si>
    <t>46 E MARSHALL AVE</t>
  </si>
  <si>
    <t>E MARSHALL AVE</t>
  </si>
  <si>
    <t xml:space="preserve">LUU SAMANTHA M </t>
  </si>
  <si>
    <t>24 E MARSHALL AVE</t>
  </si>
  <si>
    <t>BOVA MICHAEL J &amp; JOAN M (W)</t>
  </si>
  <si>
    <t>20 E MARSHALL AVE</t>
  </si>
  <si>
    <t xml:space="preserve">WOOD THOMAS                                     </t>
  </si>
  <si>
    <t>0 E MARSHALL AVE</t>
  </si>
  <si>
    <t>31 E MARSHALL AVE</t>
  </si>
  <si>
    <t xml:space="preserve">MARTIN JAMES F </t>
  </si>
  <si>
    <t>2846 PERRYSVILLE AVE</t>
  </si>
  <si>
    <t>PO BOX 99665</t>
  </si>
  <si>
    <t>KOHLEY ALVIN P &amp; EVELYN M</t>
  </si>
  <si>
    <t>HUBER WAYNE M &amp; TARA A (W)</t>
  </si>
  <si>
    <t>1651 BOYER ST</t>
  </si>
  <si>
    <t xml:space="preserve">HUBER WAYNE M &amp; TARA </t>
  </si>
  <si>
    <t>BOYER ST</t>
  </si>
  <si>
    <t xml:space="preserve">WASHINGTON PATRICIA L </t>
  </si>
  <si>
    <t>0 HAZLETT ST</t>
  </si>
  <si>
    <t>L&amp; C REAL ESTATE INVESTMENT</t>
  </si>
  <si>
    <t>407 HAWKINS AVE</t>
  </si>
  <si>
    <t>L&amp;C REAL ESTATE INVES</t>
  </si>
  <si>
    <t xml:space="preserve">PRIBANIC JOHN P </t>
  </si>
  <si>
    <t>411 HAWKINS AVE</t>
  </si>
  <si>
    <t xml:space="preserve">MARTIN MEERA C </t>
  </si>
  <si>
    <t>352 MARSHALL AVE</t>
  </si>
  <si>
    <t xml:space="preserve">WADE KEVIN </t>
  </si>
  <si>
    <t>340 MARSHALL AVE</t>
  </si>
  <si>
    <t>SMITH DONNA LIVINGSTON LIVINGSTON MICHAEL T</t>
  </si>
  <si>
    <t>312 MARSHALL AVE</t>
  </si>
  <si>
    <t xml:space="preserve">SPOLSKY MATTHEW MICHAEL </t>
  </si>
  <si>
    <t>233 MARSHALL AVE</t>
  </si>
  <si>
    <t xml:space="preserve">COLEMAN SHAVONNE RAMSEY                         </t>
  </si>
  <si>
    <t>256 KENNEDY AVE</t>
  </si>
  <si>
    <t>COLEMAN SHAVONNE RAMS</t>
  </si>
  <si>
    <t>WILLIAMS ERIK &amp; EURICKA C (W)</t>
  </si>
  <si>
    <t>252 KENNEDY AVE</t>
  </si>
  <si>
    <t xml:space="preserve">JOHNSON GENEVA H </t>
  </si>
  <si>
    <t>248 KENNEDY AVE</t>
  </si>
  <si>
    <t>LINK CLETUS C &amp; CATHERINE P</t>
  </si>
  <si>
    <t>246 KENNEDY AVE</t>
  </si>
  <si>
    <t>KIGER DOUGLAS L &amp; LINDA J (W)</t>
  </si>
  <si>
    <t>242 KENNEDY AVE</t>
  </si>
  <si>
    <t xml:space="preserve">RUBENSTEIN ESTATES LLC                          </t>
  </si>
  <si>
    <t>241 KENNEDY AVE</t>
  </si>
  <si>
    <t>RUBENSTEIN ESTATES LL</t>
  </si>
  <si>
    <t>E ALLENDALE RD</t>
  </si>
  <si>
    <t>SADDLE RIVER</t>
  </si>
  <si>
    <t>SMITH FRED S &amp; DELAINA L (W)</t>
  </si>
  <si>
    <t>259 KENNEDY AVE</t>
  </si>
  <si>
    <t>SMITH FRED S &amp; DELAIN</t>
  </si>
  <si>
    <t xml:space="preserve">INGRAM SHALLEGRA D </t>
  </si>
  <si>
    <t>0 KENNEDY AVE</t>
  </si>
  <si>
    <t xml:space="preserve">LEROSE LISA M &amp; MARK </t>
  </si>
  <si>
    <t>321 KENNEDY AVE</t>
  </si>
  <si>
    <t xml:space="preserve">TATE RODRIQUES O SR                             </t>
  </si>
  <si>
    <t>314 MAYFIELD AVE</t>
  </si>
  <si>
    <t>RODRIQUES O TATE SR</t>
  </si>
  <si>
    <t>0 MAYFIELD AVE</t>
  </si>
  <si>
    <t xml:space="preserve">COLONIAL FINANCIAL L P </t>
  </si>
  <si>
    <t>PO BOX 140276</t>
  </si>
  <si>
    <t>BRUNNER ROBERT E &amp; CAROL A BRUNNER</t>
  </si>
  <si>
    <t xml:space="preserve">FORRESTER DIANE A                               </t>
  </si>
  <si>
    <t>2725 SHELTON AVE</t>
  </si>
  <si>
    <t>KUHLVIEW DR</t>
  </si>
  <si>
    <t xml:space="preserve">CHEEKS BRITTANY                                 </t>
  </si>
  <si>
    <t>2719 SHELTON AVE</t>
  </si>
  <si>
    <t>SIEBERT RD</t>
  </si>
  <si>
    <t>RAMSEY WALTER A &amp; HERBERT C RAMSEY</t>
  </si>
  <si>
    <t>SHELTON ST</t>
  </si>
  <si>
    <t xml:space="preserve">BRADLEY V METHUSELAH Z O </t>
  </si>
  <si>
    <t>2724 LELAND ST</t>
  </si>
  <si>
    <t xml:space="preserve">BRADLEY V METHUSELAH </t>
  </si>
  <si>
    <t>N NATRONA ST</t>
  </si>
  <si>
    <t xml:space="preserve">STEWART-STONE NIGEL </t>
  </si>
  <si>
    <t>2701 LELAND ST</t>
  </si>
  <si>
    <t>MORIN POINT ST</t>
  </si>
  <si>
    <t xml:space="preserve">MURRAY-RAINEY ADRIENNE </t>
  </si>
  <si>
    <t>2700 NORWOOD AVE</t>
  </si>
  <si>
    <t xml:space="preserve">RIVERA OSCAR                                    </t>
  </si>
  <si>
    <t>2704 NORWOOD AVE</t>
  </si>
  <si>
    <t>EGLESTON SHIRLEY  &amp; JOHN C SMITH</t>
  </si>
  <si>
    <t>PENFORT ST</t>
  </si>
  <si>
    <t xml:space="preserve">GRAY EDWARD  &amp; ANNA LEE </t>
  </si>
  <si>
    <t xml:space="preserve">TURK BARENA JAMES </t>
  </si>
  <si>
    <t>2729 NORWOOD AVE</t>
  </si>
  <si>
    <t xml:space="preserve">LEE BRIAN J </t>
  </si>
  <si>
    <t>2707 NORWOOD AVE</t>
  </si>
  <si>
    <t>HAUCK DR</t>
  </si>
  <si>
    <t>DAVIS RHONDA L &amp; DWIGHT MAYHEW</t>
  </si>
  <si>
    <t>2702 DELGAR ST</t>
  </si>
  <si>
    <t xml:space="preserve">HOLLOWAY MICHAEL </t>
  </si>
  <si>
    <t>124 HAWKINS AVE</t>
  </si>
  <si>
    <t>HAWKINS ST</t>
  </si>
  <si>
    <t xml:space="preserve">CAHALL BRANDON L </t>
  </si>
  <si>
    <t>116 HAWKINS AVE</t>
  </si>
  <si>
    <t>CAHALL BRANDON L</t>
  </si>
  <si>
    <t>PO BOX 99933</t>
  </si>
  <si>
    <t xml:space="preserve">MCCARTH SEAN P </t>
  </si>
  <si>
    <t>329 MARSHALL AVE</t>
  </si>
  <si>
    <t xml:space="preserve">SOPKO CHRISTOPHER G </t>
  </si>
  <si>
    <t>337 MARSHALL AVE</t>
  </si>
  <si>
    <t>IVYWAY DR</t>
  </si>
  <si>
    <t xml:space="preserve">HANNER TIAURA </t>
  </si>
  <si>
    <t>113 HAWKINS AVE</t>
  </si>
  <si>
    <t xml:space="preserve">NATEK INVESTMENTS LLC </t>
  </si>
  <si>
    <t>131 HAWKINS AVE</t>
  </si>
  <si>
    <t>NATEK INVESTMENTS LLC</t>
  </si>
  <si>
    <t>HIGHWAY 81 N</t>
  </si>
  <si>
    <t>JONESBOROUGH</t>
  </si>
  <si>
    <t xml:space="preserve">MELACOM INC </t>
  </si>
  <si>
    <t>2660 NORWOOD AVE</t>
  </si>
  <si>
    <t xml:space="preserve">MCDONOUGH THOMAS M </t>
  </si>
  <si>
    <t>BROWN LAFAYETTE C &amp; VICTORIA (W)</t>
  </si>
  <si>
    <t>2656 LELAND ST</t>
  </si>
  <si>
    <t xml:space="preserve">YOUNGER KEITH </t>
  </si>
  <si>
    <t>ADDISON LASHAWNDA &amp; MARSHALL (H)</t>
  </si>
  <si>
    <t>EVALINE ST</t>
  </si>
  <si>
    <t xml:space="preserve">INGRAM GLORIA </t>
  </si>
  <si>
    <t>2661 SHELTON AVE</t>
  </si>
  <si>
    <t xml:space="preserve">SCHULTZ MARY JO </t>
  </si>
  <si>
    <t>2659 SHELTON AVE</t>
  </si>
  <si>
    <t>PROFESSIONAL INVESTING INC</t>
  </si>
  <si>
    <t>2651 SHELTON AVE</t>
  </si>
  <si>
    <t>MONESSEN</t>
  </si>
  <si>
    <t xml:space="preserve">BROOKS JAMES H &amp; LETTIE M (W)            </t>
  </si>
  <si>
    <t>232 KENNEDY AVE</t>
  </si>
  <si>
    <t>HAY ST</t>
  </si>
  <si>
    <t xml:space="preserve">MARSHALL DIANA E </t>
  </si>
  <si>
    <t>228 KENNEDY AVE</t>
  </si>
  <si>
    <t xml:space="preserve">DAVIS DANIEL L </t>
  </si>
  <si>
    <t>226 KENNEDY AVE</t>
  </si>
  <si>
    <t>CRISCELLA EMERIC A &amp; ROSEMARIE A (W)</t>
  </si>
  <si>
    <t>2831 PERRYSVILLE AVE</t>
  </si>
  <si>
    <t>REMELE SYLVESTER J III &amp; CAROL LYNN (W)</t>
  </si>
  <si>
    <t>134 KENNEDY AVE</t>
  </si>
  <si>
    <t xml:space="preserve">HARPER FRANCE </t>
  </si>
  <si>
    <t>124 KENNEDY AVE</t>
  </si>
  <si>
    <t>118 KENNEDY AVE</t>
  </si>
  <si>
    <t>MCGHIE ALVIN</t>
  </si>
  <si>
    <t>OTOOLE LAWRENCE F &amp; MARGARET E</t>
  </si>
  <si>
    <t>E KENNEDY AVE</t>
  </si>
  <si>
    <t xml:space="preserve">SOLER BRENDA L </t>
  </si>
  <si>
    <t>108 KENNEDY AVE</t>
  </si>
  <si>
    <t>CMR 414 BOX 1217</t>
  </si>
  <si>
    <t>APO</t>
  </si>
  <si>
    <t xml:space="preserve">LANDCO INC </t>
  </si>
  <si>
    <t>WEYMAN RD</t>
  </si>
  <si>
    <t xml:space="preserve">MCKNIGHT GENAFIE </t>
  </si>
  <si>
    <t>0 SHERLOCK ST</t>
  </si>
  <si>
    <t>MCKNIGHT GENAFIE</t>
  </si>
  <si>
    <t>SHERLOCK ST</t>
  </si>
  <si>
    <t>2812 SHERLOCK ST</t>
  </si>
  <si>
    <t>DJDAVIS PROPERTY  INVESTMENTS LLC</t>
  </si>
  <si>
    <t>35TH ST APT 2G</t>
  </si>
  <si>
    <t>HARP FRANK THOMAS JR &amp; MARY E (W)</t>
  </si>
  <si>
    <t>2800 SHERLOCK ST</t>
  </si>
  <si>
    <t>SANDERS WILLIAM  &amp; ELIZABETH</t>
  </si>
  <si>
    <t>2720 SHERLOCK ST</t>
  </si>
  <si>
    <t xml:space="preserve">LAMCO ENTERPRISES INC </t>
  </si>
  <si>
    <t xml:space="preserve">LIPTAK DELORES E </t>
  </si>
  <si>
    <t xml:space="preserve">GIGLER CECELIA A </t>
  </si>
  <si>
    <t xml:space="preserve">WALLS RENEE V </t>
  </si>
  <si>
    <t xml:space="preserve">SATTLER MICHELE A                               </t>
  </si>
  <si>
    <t>2702 SHERLOCK ST</t>
  </si>
  <si>
    <t xml:space="preserve">MORTIMER ROSE ANN </t>
  </si>
  <si>
    <t>2643 MAPLE AVE</t>
  </si>
  <si>
    <t>WILLOW HOMES  INCORPORATED</t>
  </si>
  <si>
    <t>WILLOW HOMES INCORPOR</t>
  </si>
  <si>
    <t>HILLSIDE DR BLDG B</t>
  </si>
  <si>
    <t>MESQUITE</t>
  </si>
  <si>
    <t>2703 SHERLOCK ST</t>
  </si>
  <si>
    <t xml:space="preserve">JONES MICHAEL L </t>
  </si>
  <si>
    <t>2709 SHERLOCK ST</t>
  </si>
  <si>
    <t xml:space="preserve">SATTLER LOUIS J &amp; RUTH L </t>
  </si>
  <si>
    <t>DAISY ST</t>
  </si>
  <si>
    <t>CAMPBELL CLIFFORD  &amp; DOROTHY R (W)</t>
  </si>
  <si>
    <t>0 DAISEY ST</t>
  </si>
  <si>
    <t>KIHN WILLIAM R &amp; DOROTHY G (W)</t>
  </si>
  <si>
    <t>RD 3 BOX 18 F</t>
  </si>
  <si>
    <t>BURGETTSTOWN</t>
  </si>
  <si>
    <t>ARLOF ROBERT G &amp; MAXINE ANN (W)</t>
  </si>
  <si>
    <t>IRWIN AVE APT 4</t>
  </si>
  <si>
    <t xml:space="preserve">HITE THOMAS E </t>
  </si>
  <si>
    <t xml:space="preserve">PHILLIPS TIMOTHY JAMES </t>
  </si>
  <si>
    <t xml:space="preserve">MCKNIGHT GENAFIE S </t>
  </si>
  <si>
    <t>GENAFIE S MCKNIGHT</t>
  </si>
  <si>
    <t xml:space="preserve">ZELLARS RAYMOND M </t>
  </si>
  <si>
    <t>115 KENNEDY AVE</t>
  </si>
  <si>
    <t>TRAUTMAN ALFRED J SR &amp; CLARE M (W)</t>
  </si>
  <si>
    <t>123 KENNEDY AVE</t>
  </si>
  <si>
    <t xml:space="preserve">PETERSON TYRONE M </t>
  </si>
  <si>
    <t>2814 VETERAN ST</t>
  </si>
  <si>
    <t>VETERAN ST</t>
  </si>
  <si>
    <t xml:space="preserve">HATTON THOMAS K </t>
  </si>
  <si>
    <t>0 VETERAN ST</t>
  </si>
  <si>
    <t xml:space="preserve">AURORA LOAN SERVICES LLC </t>
  </si>
  <si>
    <t>2800 VETERAN ST</t>
  </si>
  <si>
    <t xml:space="preserve">AURORA LOAN SERVICES </t>
  </si>
  <si>
    <t>COLLEGE PARK DR</t>
  </si>
  <si>
    <t>SCOTTSBLUFF</t>
  </si>
  <si>
    <t xml:space="preserve">WILKINS FREDERICK JR                            </t>
  </si>
  <si>
    <t xml:space="preserve">MARTINEZ SALVADOR C </t>
  </si>
  <si>
    <t>BOWIE JOHNNIE LEE &amp; LINDA LEE (W)</t>
  </si>
  <si>
    <t xml:space="preserve">LAQUATRA JACK  &amp; NELLIE </t>
  </si>
  <si>
    <t xml:space="preserve">GORSPO CATHERINE A </t>
  </si>
  <si>
    <t>KRAUS DAVID J &amp; ELLEN ROSE</t>
  </si>
  <si>
    <t>ILOCHI ALPHONSUS  &amp; DONNA J (W)</t>
  </si>
  <si>
    <t>2652 VETERAN ST</t>
  </si>
  <si>
    <t>ILOCHI ALPHONSUS  &amp; D</t>
  </si>
  <si>
    <t xml:space="preserve">ZHANG LI </t>
  </si>
  <si>
    <t>2648 VETERAN ST</t>
  </si>
  <si>
    <t xml:space="preserve">ZHANG LI             </t>
  </si>
  <si>
    <t xml:space="preserve">KELLEY DAVID                                    </t>
  </si>
  <si>
    <t>KELLEY DAVID  &amp; MARCI</t>
  </si>
  <si>
    <t>P O BOX 2123</t>
  </si>
  <si>
    <t>PHILAVONG HONGKHAM  &amp; DOKMAY (W)</t>
  </si>
  <si>
    <t>BADAMI AGOSTINO  &amp; RITA ANN (W)</t>
  </si>
  <si>
    <t xml:space="preserve">WESLEY FRANCINE </t>
  </si>
  <si>
    <t>CARNEY JOHN F &amp; MARGARET F</t>
  </si>
  <si>
    <t>2719 VETERAN ST</t>
  </si>
  <si>
    <t xml:space="preserve">WRIGHT RENEE </t>
  </si>
  <si>
    <t>2723 VETERAN ST</t>
  </si>
  <si>
    <t>MERIDA RILEY A &amp; JOHN T SMITH</t>
  </si>
  <si>
    <t>DERBY LN</t>
  </si>
  <si>
    <t xml:space="preserve">KELLO JOAN </t>
  </si>
  <si>
    <t>2811 VETERAN ST</t>
  </si>
  <si>
    <t>RUCKER RAYMOND H &amp; MARVA (W)</t>
  </si>
  <si>
    <t>2818 PERRYSVILLE AVE</t>
  </si>
  <si>
    <t>SMIGIEL JAMES P &amp; FRANCES A (W)</t>
  </si>
  <si>
    <t>PO BOX 699</t>
  </si>
  <si>
    <t>ELKTON</t>
  </si>
  <si>
    <t xml:space="preserve">JACKSON MILTON </t>
  </si>
  <si>
    <t>2808 PERRYSVILLE AVE</t>
  </si>
  <si>
    <t xml:space="preserve">CARPER WILLETTE </t>
  </si>
  <si>
    <t xml:space="preserve">JARVIS STEPHEN M </t>
  </si>
  <si>
    <t xml:space="preserve">C C FINNEGAN LLC </t>
  </si>
  <si>
    <t>2658 PERRYSVILLE AVE</t>
  </si>
  <si>
    <t>MURRAY AVE # 81141</t>
  </si>
  <si>
    <t xml:space="preserve">WALKER CLIFFORD </t>
  </si>
  <si>
    <t>2651 PERRYSVILLE AVE</t>
  </si>
  <si>
    <t>MEXICO ST APT 507</t>
  </si>
  <si>
    <t xml:space="preserve">SCOTT RUBY </t>
  </si>
  <si>
    <t>HILDEBRAND ANTHONY F &amp; ALICE V (W)</t>
  </si>
  <si>
    <t xml:space="preserve">LEGALL KAREN </t>
  </si>
  <si>
    <t>CORAL RIDGE DR UNIT 327</t>
  </si>
  <si>
    <t>2807 PERRYSVILLE AVE</t>
  </si>
  <si>
    <t>WENTWORTH AVE</t>
  </si>
  <si>
    <t>2813 PERRYSVILLE AVE</t>
  </si>
  <si>
    <t xml:space="preserve">WUNDERLY WILLIAM L </t>
  </si>
  <si>
    <t xml:space="preserve">MOBLEY PAULINE </t>
  </si>
  <si>
    <t xml:space="preserve">BARRERA ISIDORO GATICA </t>
  </si>
  <si>
    <t>2655 ELLIS ST</t>
  </si>
  <si>
    <t>BARRERA ISIDORO GATIC</t>
  </si>
  <si>
    <t xml:space="preserve">ROBERTS LANAIR </t>
  </si>
  <si>
    <t>43 1/2 ST</t>
  </si>
  <si>
    <t xml:space="preserve">CASANOVA ZOE                                    </t>
  </si>
  <si>
    <t>2711 ELLIS ST</t>
  </si>
  <si>
    <t>SEASHELL WAY</t>
  </si>
  <si>
    <t>BLAINE</t>
  </si>
  <si>
    <t>ALLEGHENY CITY HOLDINGS  LLC</t>
  </si>
  <si>
    <t>2657 ELLIS ST</t>
  </si>
  <si>
    <t>ALLEGHENY CITY HOLDIN</t>
  </si>
  <si>
    <t>PO BOX 8515</t>
  </si>
  <si>
    <t xml:space="preserve">SPILLMAN ROBERT                                 </t>
  </si>
  <si>
    <t>CONMACK LN</t>
  </si>
  <si>
    <t>MANALAPAN</t>
  </si>
  <si>
    <t xml:space="preserve">BROCK RICHARD </t>
  </si>
  <si>
    <t xml:space="preserve">LEE TAMIRA MICHELLE </t>
  </si>
  <si>
    <t>2715 ELLIS ST</t>
  </si>
  <si>
    <t xml:space="preserve">YOUNG MICHAEL R </t>
  </si>
  <si>
    <t>SANDUSKY ST</t>
  </si>
  <si>
    <t xml:space="preserve">FREEMAN KEVIN                                   </t>
  </si>
  <si>
    <t>2725 ELLIS ST</t>
  </si>
  <si>
    <t xml:space="preserve">AVERY NGAI </t>
  </si>
  <si>
    <t>2726 SHELTON AVE</t>
  </si>
  <si>
    <t xml:space="preserve">CHARLES TAMARA F </t>
  </si>
  <si>
    <t>2729 ELLIS ST</t>
  </si>
  <si>
    <t>LOCHVIEW DR</t>
  </si>
  <si>
    <t>BEAR</t>
  </si>
  <si>
    <t xml:space="preserve">FABISZEWSKI GERALD M </t>
  </si>
  <si>
    <t>2730 SHELTON AVE</t>
  </si>
  <si>
    <t>236 MAYFIELD AVE</t>
  </si>
  <si>
    <t xml:space="preserve">MARKUS STEVE </t>
  </si>
  <si>
    <t>PEGUES LARRY C &amp; SHIRLEY A THOMPKINS</t>
  </si>
  <si>
    <t>233 KENNEDY AVE</t>
  </si>
  <si>
    <t>P O BOX  100135</t>
  </si>
  <si>
    <t xml:space="preserve">KLINGE TINA                                     </t>
  </si>
  <si>
    <t>235 KENNEDY AVE</t>
  </si>
  <si>
    <t xml:space="preserve">MULLEN HITOMI S </t>
  </si>
  <si>
    <t>237 KENNEDY AVE</t>
  </si>
  <si>
    <t xml:space="preserve">C&amp;C LINHART LLC </t>
  </si>
  <si>
    <t>2813 HAZELTON ST</t>
  </si>
  <si>
    <t>2718 GOSHEN ST</t>
  </si>
  <si>
    <t>CHAUTAUQUA</t>
  </si>
  <si>
    <t xml:space="preserve">PELKOFER KENNETH J </t>
  </si>
  <si>
    <t>0 GOSHEN ST</t>
  </si>
  <si>
    <t>GOSHEN ST</t>
  </si>
  <si>
    <t xml:space="preserve">DUNN THELMA MARIE </t>
  </si>
  <si>
    <t xml:space="preserve">KENNEDY LISA M </t>
  </si>
  <si>
    <t>KRAVETS MATTHEW  &amp; PHYLLIS B</t>
  </si>
  <si>
    <t>WILDWOOD SAMPLE RD</t>
  </si>
  <si>
    <t xml:space="preserve">BEDRIK ROMAN VASILEYVICH </t>
  </si>
  <si>
    <t>2716 HAZELTON ST</t>
  </si>
  <si>
    <t>BEDRIK ROMAN VASILEYV</t>
  </si>
  <si>
    <t xml:space="preserve">BEDRIK ROMAN </t>
  </si>
  <si>
    <t>2718 HAZELTON ST</t>
  </si>
  <si>
    <t xml:space="preserve">WILLIAMS MARCIA </t>
  </si>
  <si>
    <t>0 LAMAR ST</t>
  </si>
  <si>
    <t>PO BOX 2209</t>
  </si>
  <si>
    <t>GALBREATH MORTGAGE CO  OF PA</t>
  </si>
  <si>
    <t>DEAN GEORGE E JR &amp; JULIA M (W)</t>
  </si>
  <si>
    <t>2629 SUNSET AVE</t>
  </si>
  <si>
    <t xml:space="preserve">COATES ANTWAN LAMONT </t>
  </si>
  <si>
    <t>220 ESSEN ST</t>
  </si>
  <si>
    <t>FIRST ST</t>
  </si>
  <si>
    <t>SHEFFEY FRANKLIN  &amp; ETHEL M</t>
  </si>
  <si>
    <t>0 ESSEN ST</t>
  </si>
  <si>
    <t xml:space="preserve">DIGGS VANESSA A </t>
  </si>
  <si>
    <t>204 ESSEN ST</t>
  </si>
  <si>
    <t xml:space="preserve">PEGUES TERRY                                    </t>
  </si>
  <si>
    <t>210 ESSEN ST</t>
  </si>
  <si>
    <t xml:space="preserve">PEGUES TERRY L </t>
  </si>
  <si>
    <t>212 ESSEN ST</t>
  </si>
  <si>
    <t>214 ESSEN ST</t>
  </si>
  <si>
    <t xml:space="preserve">PEGUES TERRY LYNN                               </t>
  </si>
  <si>
    <t>218 ESSEN ST</t>
  </si>
  <si>
    <t>PEGUES TERRY LYNN</t>
  </si>
  <si>
    <t>2536 SUNSET AVE</t>
  </si>
  <si>
    <t>SUNSET AVE</t>
  </si>
  <si>
    <t xml:space="preserve">CALHOUN EDYL K </t>
  </si>
  <si>
    <t>2620 SUNSET AVE</t>
  </si>
  <si>
    <t>CALHOUN EDYL K % MARI</t>
  </si>
  <si>
    <t xml:space="preserve">412 LAMAR LLC </t>
  </si>
  <si>
    <t>412 LAMAR ST</t>
  </si>
  <si>
    <t>412 LAMAR LLC</t>
  </si>
  <si>
    <t xml:space="preserve">SAMUEL DINEAN M </t>
  </si>
  <si>
    <t>3206 SPRING GARDEN AVE</t>
  </si>
  <si>
    <t xml:space="preserve">ANDERSON STEVEN L </t>
  </si>
  <si>
    <t>2917 SPRING GARDEN AVE</t>
  </si>
  <si>
    <t xml:space="preserve">STADNIK CAROL ANN </t>
  </si>
  <si>
    <t>0 GINSY WAY</t>
  </si>
  <si>
    <t>BEECH CT</t>
  </si>
  <si>
    <t xml:space="preserve">CRANE JOHN </t>
  </si>
  <si>
    <t>GRABOWSKI DAVID R &amp; JOSEPH W GRABOWSKI</t>
  </si>
  <si>
    <t>0 GRADE ST</t>
  </si>
  <si>
    <t>GRABOWSKI DAVID R &amp; J</t>
  </si>
  <si>
    <t>LAKE NARRATICON DR</t>
  </si>
  <si>
    <t>SWEDESBORO</t>
  </si>
  <si>
    <t>0 HENRIETTA ST</t>
  </si>
  <si>
    <t>SMITH WILLIAM F SR &amp; AUDREY (W)</t>
  </si>
  <si>
    <t>LAKE NARRTICON DR</t>
  </si>
  <si>
    <t>GRABOWSKI STANLEY  &amp; RUTH V</t>
  </si>
  <si>
    <t>2833 MOUNT TROY RD</t>
  </si>
  <si>
    <t xml:space="preserve">VACEK STEPHEN A </t>
  </si>
  <si>
    <t>0 MOUNT TROY RD</t>
  </si>
  <si>
    <t>DONALDSON PROPERTY EAST  LLC</t>
  </si>
  <si>
    <t>2905 SPRING GARDEN AVE</t>
  </si>
  <si>
    <t>DONALDSON PROPERTY EA</t>
  </si>
  <si>
    <t>2925 REEKES WAY</t>
  </si>
  <si>
    <t>RAPE ANSELMA C &amp; WILLIAM H (H)</t>
  </si>
  <si>
    <t xml:space="preserve">VACHON KRISTEN M </t>
  </si>
  <si>
    <t>0 BAUN RD</t>
  </si>
  <si>
    <t>BAUN RD</t>
  </si>
  <si>
    <t xml:space="preserve">HEINLEIN GEORGE </t>
  </si>
  <si>
    <t>6 LOPELLA ST</t>
  </si>
  <si>
    <t>LOPELLA ST</t>
  </si>
  <si>
    <t xml:space="preserve">EVANS MAUREEN </t>
  </si>
  <si>
    <t>2516 SPRING GARDEN AVE</t>
  </si>
  <si>
    <t xml:space="preserve">MC MY GRAF LLC </t>
  </si>
  <si>
    <t>2542 SPRING GARDEN AVE</t>
  </si>
  <si>
    <t>JANKOWSKI KEVIN A &amp; CRYSTAL L (W)</t>
  </si>
  <si>
    <t>0 LINDELL ST</t>
  </si>
  <si>
    <t xml:space="preserve">SFR3-050 LLC </t>
  </si>
  <si>
    <t>603 MONTVIEW ST</t>
  </si>
  <si>
    <t>0 MONTVIEW ST</t>
  </si>
  <si>
    <t>SFR3-050 LLC</t>
  </si>
  <si>
    <t xml:space="preserve">COOK JOSEPH H JR </t>
  </si>
  <si>
    <t>520 DORNESTIC ST</t>
  </si>
  <si>
    <t>DORNESTIC ST</t>
  </si>
  <si>
    <t xml:space="preserve">HARRIS COLETTA </t>
  </si>
  <si>
    <t>514 DORNESTIC ST</t>
  </si>
  <si>
    <t>0 WABANA ST</t>
  </si>
  <si>
    <t xml:space="preserve">KING MATTHEW R                                  </t>
  </si>
  <si>
    <t>500 WABANA ST</t>
  </si>
  <si>
    <t>KING MATTHEW R CASTAG</t>
  </si>
  <si>
    <t>FLEMING AVE</t>
  </si>
  <si>
    <t xml:space="preserve">KING MATTHEW </t>
  </si>
  <si>
    <t>WABANA ST</t>
  </si>
  <si>
    <t xml:space="preserve">EDMUNDS SHEILA E </t>
  </si>
  <si>
    <t>515 WABANA ST</t>
  </si>
  <si>
    <t xml:space="preserve">N S UNION SABBETH SCHOOL </t>
  </si>
  <si>
    <t>0 STOLZ ST</t>
  </si>
  <si>
    <t xml:space="preserve">KORMANIK NIKOLAI </t>
  </si>
  <si>
    <t>0 DORNESTIC ST</t>
  </si>
  <si>
    <t>FRICK AVE</t>
  </si>
  <si>
    <t>469 DORNESTIC ST</t>
  </si>
  <si>
    <t>503 DORNESTIC ST</t>
  </si>
  <si>
    <t xml:space="preserve">KENNEY PERCY </t>
  </si>
  <si>
    <t>505 DORNESTIC ST</t>
  </si>
  <si>
    <t>OGRINC JOSEPH A &amp; CAROLINE M</t>
  </si>
  <si>
    <t>OGRINC JOSEPH A &amp; CAR</t>
  </si>
  <si>
    <t>DORNESTIC AVE</t>
  </si>
  <si>
    <t>ALLSTADT KURT  &amp; JOSEPH J SCHELOSKE</t>
  </si>
  <si>
    <t>516 DALTON AVE</t>
  </si>
  <si>
    <t>PO BOX 3626</t>
  </si>
  <si>
    <t>ASH VALERIE A &amp; DARLENE R LOGUE</t>
  </si>
  <si>
    <t>511 DALTON AVE</t>
  </si>
  <si>
    <t>DALTON AVE</t>
  </si>
  <si>
    <t xml:space="preserve">FOX LAURA ANN </t>
  </si>
  <si>
    <t>345 DALTON AVE</t>
  </si>
  <si>
    <t xml:space="preserve">JONES JOHN A </t>
  </si>
  <si>
    <t>269 DALTON AVE</t>
  </si>
  <si>
    <t xml:space="preserve">GRACZYK MARK J </t>
  </si>
  <si>
    <t>3992 OAKDALE ST</t>
  </si>
  <si>
    <t>OAKDALE AVE</t>
  </si>
  <si>
    <t xml:space="preserve">BOVE KIM ANTHONY </t>
  </si>
  <si>
    <t>3986 OAKDALE ST</t>
  </si>
  <si>
    <t xml:space="preserve">STEVENS SUSAN MARIE </t>
  </si>
  <si>
    <t>3952 OAKDALE ST</t>
  </si>
  <si>
    <t>OAKDALE ST</t>
  </si>
  <si>
    <t>3962 OAKDALE ST</t>
  </si>
  <si>
    <t xml:space="preserve">GRGURAS ANTHONY  &amp; ARLENE L (W)            </t>
  </si>
  <si>
    <t>0 OAKDALE ST</t>
  </si>
  <si>
    <t>GRGURAS ANTHONY  &amp; AR</t>
  </si>
  <si>
    <t>3935 OAKDALE ST</t>
  </si>
  <si>
    <t xml:space="preserve">GRGURAS MICHAEL A </t>
  </si>
  <si>
    <t>3955 OAKDALE ST</t>
  </si>
  <si>
    <t xml:space="preserve">STEVENS RONALD ALBERT JR </t>
  </si>
  <si>
    <t>3967 OAKDALE ST</t>
  </si>
  <si>
    <t>STEVENS RONALD ALBERT</t>
  </si>
  <si>
    <t xml:space="preserve">LOGSDON ROBERT EARL </t>
  </si>
  <si>
    <t>3983 OAKDALE ST</t>
  </si>
  <si>
    <t>MCCARTHY MICHAEL H &amp; BARBARA A (W)</t>
  </si>
  <si>
    <t>4025 STILWELL ST</t>
  </si>
  <si>
    <t>STILLWELL ST</t>
  </si>
  <si>
    <t xml:space="preserve">MALIK IFTIKHAR                                  </t>
  </si>
  <si>
    <t>0 VINCETON ST</t>
  </si>
  <si>
    <t xml:space="preserve">TIMMERSON WADE C </t>
  </si>
  <si>
    <t>ROHLEDER CHARLES JAMES &amp; MARIE VICTORIA  (W)</t>
  </si>
  <si>
    <t>401 MALINE ST</t>
  </si>
  <si>
    <t xml:space="preserve">SWID HOMES LLC </t>
  </si>
  <si>
    <t>0 MALINE ST</t>
  </si>
  <si>
    <t>TOWERVUE DR</t>
  </si>
  <si>
    <t xml:space="preserve">N S FEDERATED MISSION </t>
  </si>
  <si>
    <t xml:space="preserve">TOLLIVER ANTHONY </t>
  </si>
  <si>
    <t xml:space="preserve">130 PROPERTIES LLC </t>
  </si>
  <si>
    <t>P O BOX 25408</t>
  </si>
  <si>
    <t>ROSEBURG</t>
  </si>
  <si>
    <t>SMITH STACEY A &amp; THOMAS JACKSON</t>
  </si>
  <si>
    <t>3925 VINCETON ST</t>
  </si>
  <si>
    <t xml:space="preserve">WILSON BARBARA </t>
  </si>
  <si>
    <t xml:space="preserve">NUR ROBLEH </t>
  </si>
  <si>
    <t>SANCHEZ-MEJIA NELOSN</t>
  </si>
  <si>
    <t>SW VICTORIA PL UNIT 1</t>
  </si>
  <si>
    <t>BENTONVILLE</t>
  </si>
  <si>
    <t xml:space="preserve">KERRIGAN KYLE                                   </t>
  </si>
  <si>
    <t>3942 VINCETON ST</t>
  </si>
  <si>
    <t>GRALL AVE</t>
  </si>
  <si>
    <t>MOSER ROBERT J &amp; HEATHER L (W)</t>
  </si>
  <si>
    <t>4008 VINCETON ST</t>
  </si>
  <si>
    <t>MOSER ROBERT J &amp; HEAT</t>
  </si>
  <si>
    <t>W VIEW AVE</t>
  </si>
  <si>
    <t xml:space="preserve">IRVIN ANDREW  &amp; SHIRLEY </t>
  </si>
  <si>
    <t>4010 VINCETON ST</t>
  </si>
  <si>
    <t>IRVIN ANDREW  &amp; SHIRL</t>
  </si>
  <si>
    <t>W PROSTECT AVE</t>
  </si>
  <si>
    <t xml:space="preserve">ADAMS DAWN </t>
  </si>
  <si>
    <t>4028 VINCETON ST</t>
  </si>
  <si>
    <t>ADAMS DAWN</t>
  </si>
  <si>
    <t>ZAREWICZ STANLEY W &amp; JUNE J</t>
  </si>
  <si>
    <t xml:space="preserve">BRAVO JOSE </t>
  </si>
  <si>
    <t>4036 VINCETON ST</t>
  </si>
  <si>
    <t xml:space="preserve">GRAHAM DIANE L </t>
  </si>
  <si>
    <t>0 PORTMAN AVE</t>
  </si>
  <si>
    <t xml:space="preserve">ONU OKWUDILI </t>
  </si>
  <si>
    <t>4015 PORTMAN AVE</t>
  </si>
  <si>
    <t>CRIMSON DR</t>
  </si>
  <si>
    <t xml:space="preserve">CRANKSHAW CHARLES </t>
  </si>
  <si>
    <t>CRANKSHAW AMANDA</t>
  </si>
  <si>
    <t>BUTLER ST APT 2</t>
  </si>
  <si>
    <t xml:space="preserve">RATTLIFF ASHAKI                                 </t>
  </si>
  <si>
    <t>3913 PORTMAN AVE</t>
  </si>
  <si>
    <t>PORTMAN AVE</t>
  </si>
  <si>
    <t xml:space="preserve">WEISS FLORENCE M </t>
  </si>
  <si>
    <t>MESSMER CHRISTOPHER F &amp; KIMBERLY S (W)</t>
  </si>
  <si>
    <t>MESSMER CHRISTOPHER F</t>
  </si>
  <si>
    <t xml:space="preserve">PLATT ALESHA J </t>
  </si>
  <si>
    <t>4008 FRANKLIN RD</t>
  </si>
  <si>
    <t>FRANKLIN RD</t>
  </si>
  <si>
    <t xml:space="preserve">LAMB OF GOD LION OF  JUDAH MINISTRIES INC    </t>
  </si>
  <si>
    <t>3936 PERRYSVILLE AVE</t>
  </si>
  <si>
    <t>LAMB OF GOD LION OF J</t>
  </si>
  <si>
    <t>PO BOX 99344</t>
  </si>
  <si>
    <t xml:space="preserve">OBSERVATORY HILL  DEVELOPMENT CORPORATION </t>
  </si>
  <si>
    <t>4 BONVUE ST</t>
  </si>
  <si>
    <t>0 BONVUE ST</t>
  </si>
  <si>
    <t>STEWART STONE NIGEL</t>
  </si>
  <si>
    <t>NO 5 ST LEONARDS RD</t>
  </si>
  <si>
    <t>GREAT BRITIAN</t>
  </si>
  <si>
    <t xml:space="preserve">TRAUTMAN ALFRED J JR </t>
  </si>
  <si>
    <t>P2O (PLAYER TO OWNER  LLC)</t>
  </si>
  <si>
    <t>32 BONVUE ST</t>
  </si>
  <si>
    <t xml:space="preserve">OBSERVATORY HILL  DEVELOPMENT CORP        </t>
  </si>
  <si>
    <t xml:space="preserve">MORIARTY ARLINDA Y </t>
  </si>
  <si>
    <t>3904 PERRYSVILLE AVE</t>
  </si>
  <si>
    <t xml:space="preserve">VIDT SHEENA J </t>
  </si>
  <si>
    <t>3846 BAYTREE ST</t>
  </si>
  <si>
    <t>CHERRY VALLEY RD</t>
  </si>
  <si>
    <t xml:space="preserve">MOSER PAUL </t>
  </si>
  <si>
    <t>3840 BAYTREE ST</t>
  </si>
  <si>
    <t>P.O. BOX 395</t>
  </si>
  <si>
    <t>JACKSON CENTER</t>
  </si>
  <si>
    <t xml:space="preserve">PEREZ ARANEL DIAZ &amp;                         </t>
  </si>
  <si>
    <t>3830 BAYTREE ST</t>
  </si>
  <si>
    <t>PEREZ ARANEL DIAZ &amp; V</t>
  </si>
  <si>
    <t>BAYTREE ST</t>
  </si>
  <si>
    <t>PETERSON KENNETH B &amp; YVONNE A (W)</t>
  </si>
  <si>
    <t>3884 EAST ST</t>
  </si>
  <si>
    <t>3917 PERRYSVILLE AVE</t>
  </si>
  <si>
    <t>3923 PERRYSVILLE AVE</t>
  </si>
  <si>
    <t>WAINWRIGHT CHARLES  &amp; JACQUELINE A (W)</t>
  </si>
  <si>
    <t>3945 PERRYSVILLE AVE</t>
  </si>
  <si>
    <t xml:space="preserve">MANIRAHO PATRICK </t>
  </si>
  <si>
    <t>3949 PERRYSVILLE AVE</t>
  </si>
  <si>
    <t>HASKELL ST</t>
  </si>
  <si>
    <t xml:space="preserve">MIDWAY HOME PARK LLC </t>
  </si>
  <si>
    <t>36 MAIRDALE AVE</t>
  </si>
  <si>
    <t>PO BOX 314</t>
  </si>
  <si>
    <t xml:space="preserve">BAILEY RUTH </t>
  </si>
  <si>
    <t>0 MAIRDALE AVE</t>
  </si>
  <si>
    <t>MAIRDALE AVE</t>
  </si>
  <si>
    <t>18 MAIRDALE AVE</t>
  </si>
  <si>
    <t xml:space="preserve">GRGURAS PAUL </t>
  </si>
  <si>
    <t>3901 OAKDALE ST</t>
  </si>
  <si>
    <t xml:space="preserve">GRGURAS PAUL J </t>
  </si>
  <si>
    <t>3903 OAKDALE ST</t>
  </si>
  <si>
    <t xml:space="preserve">NAYMAN ALEXA </t>
  </si>
  <si>
    <t>610 BRIGHTON WOODS RD</t>
  </si>
  <si>
    <t xml:space="preserve">MISTICK TOM &amp; SONS INC </t>
  </si>
  <si>
    <t>0 BRIGHTON WOODS RD</t>
  </si>
  <si>
    <t xml:space="preserve">PARKER GEORGE H JR </t>
  </si>
  <si>
    <t xml:space="preserve">LANSAW KELSEY ROSE </t>
  </si>
  <si>
    <t>3907 VINCETON ST</t>
  </si>
  <si>
    <t xml:space="preserve">MALARIK DAVID A </t>
  </si>
  <si>
    <t>3906 VINCETON ST</t>
  </si>
  <si>
    <t>LITTLE SEWICKLEY CREEK RD</t>
  </si>
  <si>
    <t>KASIC JOSIP              ETAL</t>
  </si>
  <si>
    <t>3912 VINCETON ST</t>
  </si>
  <si>
    <t xml:space="preserve">GRIFFITHS RUSSELL S </t>
  </si>
  <si>
    <t>3916 VINCETON ST</t>
  </si>
  <si>
    <t>P.O. BOX# 263</t>
  </si>
  <si>
    <t>3922 VINCETON ST</t>
  </si>
  <si>
    <t xml:space="preserve">HARRIS ELLA L </t>
  </si>
  <si>
    <t>3819 BAYTREE ST</t>
  </si>
  <si>
    <t xml:space="preserve">NORTH END PROPERTIES LP </t>
  </si>
  <si>
    <t>3876 PERRYSVILLE AVE</t>
  </si>
  <si>
    <t>3861 EAST ST</t>
  </si>
  <si>
    <t>STIVORICH STEVE J &amp; ANNA M (W)</t>
  </si>
  <si>
    <t>WINDSTREAM DR</t>
  </si>
  <si>
    <t>BRADLEY KEVIN P &amp; MARIANNE D (W)</t>
  </si>
  <si>
    <t>3830 PERRYSVILLE AVE</t>
  </si>
  <si>
    <t>BRADLEY KEVIN P &amp; MAR</t>
  </si>
  <si>
    <t>EDWARDS FLOYD L &amp; GLORIA C (W)</t>
  </si>
  <si>
    <t>3851 PERRYSVILLE AVE</t>
  </si>
  <si>
    <t xml:space="preserve">FLOYD WILLIAM J </t>
  </si>
  <si>
    <t>125 HEMPHILL ST</t>
  </si>
  <si>
    <t>HEMPHILL ST</t>
  </si>
  <si>
    <t xml:space="preserve">SMOOT HARVEY </t>
  </si>
  <si>
    <t>121 HEMPHILL ST</t>
  </si>
  <si>
    <t xml:space="preserve">SANDSTROM BARBARA ANNE </t>
  </si>
  <si>
    <t>37 DEFOE ST</t>
  </si>
  <si>
    <t>DEFOE ST</t>
  </si>
  <si>
    <t xml:space="preserve">KELLY THOMAS </t>
  </si>
  <si>
    <t>0 SEMICIR ST</t>
  </si>
  <si>
    <t>QUEENSBERRY CT</t>
  </si>
  <si>
    <t xml:space="preserve">BREWER CONAN &amp; PAULA (W) </t>
  </si>
  <si>
    <t>76 SEMICIR ST</t>
  </si>
  <si>
    <t>SEMICIR</t>
  </si>
  <si>
    <t>23 SEMICIR ST</t>
  </si>
  <si>
    <t>LAWLOR LEEANNE</t>
  </si>
  <si>
    <t>CAMINITO LA BAR APT 76</t>
  </si>
  <si>
    <t xml:space="preserve">AYERS AUTUMN                                    </t>
  </si>
  <si>
    <t>25 SEMICIR ST</t>
  </si>
  <si>
    <t>SEMICIR ST</t>
  </si>
  <si>
    <t xml:space="preserve">LEWIS MARCUS </t>
  </si>
  <si>
    <t xml:space="preserve">MYERS PRUDENCE S </t>
  </si>
  <si>
    <t>MELENSKY CHARLES H &amp; DOROTHY H</t>
  </si>
  <si>
    <t>57 SEMICIR ST</t>
  </si>
  <si>
    <t xml:space="preserve">WILLIAMS CHAD </t>
  </si>
  <si>
    <t>47 SEMICIR ST</t>
  </si>
  <si>
    <t xml:space="preserve">MYERS DALE R                                    </t>
  </si>
  <si>
    <t>624 WOODS RUN AVE</t>
  </si>
  <si>
    <t>CENTRAL AVE</t>
  </si>
  <si>
    <t xml:space="preserve">CAVALIERE RYAN M </t>
  </si>
  <si>
    <t>3661 PERRYSVILLE AVE</t>
  </si>
  <si>
    <t>NORTHPOINTE BANK</t>
  </si>
  <si>
    <t>DEPOSIT DR</t>
  </si>
  <si>
    <t xml:space="preserve">ABEBE KATHRYN </t>
  </si>
  <si>
    <t>3657 PERRYSVILLE AVE</t>
  </si>
  <si>
    <t>BROOKS EARL L JR &amp; CHERYL A (W)</t>
  </si>
  <si>
    <t>3651 PERRYSVILLE AVE</t>
  </si>
  <si>
    <t xml:space="preserve">MOORE FRANCES A G                               </t>
  </si>
  <si>
    <t>706 WOODS RUN AVE</t>
  </si>
  <si>
    <t>151 RIVERVIEW AVE</t>
  </si>
  <si>
    <t>0 RIVERVIEW AVE</t>
  </si>
  <si>
    <t>CHERRY ROBERT &amp; JENNIFER (W)</t>
  </si>
  <si>
    <t>61 RIVERVIEW AVE</t>
  </si>
  <si>
    <t>CHERRY ROBERT &amp; JENNI</t>
  </si>
  <si>
    <t>RIVERVIEW AVE</t>
  </si>
  <si>
    <t xml:space="preserve">WETZEL JOHN HERBERT IV                          </t>
  </si>
  <si>
    <t>262 WALDORF ST</t>
  </si>
  <si>
    <t>PRIDE PROJECT  INCORPORATED</t>
  </si>
  <si>
    <t>227 BONVUE ST</t>
  </si>
  <si>
    <t>PRIDE PROJECT INCORPO</t>
  </si>
  <si>
    <t xml:space="preserve">WALSH DUSTIN R </t>
  </si>
  <si>
    <t>225 WALDORF ST</t>
  </si>
  <si>
    <t>WALDORF ST</t>
  </si>
  <si>
    <t xml:space="preserve">ANR PROPERTIES LLC                              </t>
  </si>
  <si>
    <t>202 BONVUE ST</t>
  </si>
  <si>
    <t xml:space="preserve">MONK TA-TASHA S </t>
  </si>
  <si>
    <t>AVERASBORO DR</t>
  </si>
  <si>
    <t>PARKER THOMAS W &amp; THERESA A (W)</t>
  </si>
  <si>
    <t>222 BONVUE ST</t>
  </si>
  <si>
    <t>TOLOMEO THOMAS L &amp; DEBBIE L (W)</t>
  </si>
  <si>
    <t>224 BONVUE ST</t>
  </si>
  <si>
    <t>TOLOMEO THOMAS L &amp; DE</t>
  </si>
  <si>
    <t>NOBLESTOWN RD APT 3</t>
  </si>
  <si>
    <t>RHODES JAMES &amp; CELESTE (W)</t>
  </si>
  <si>
    <t>228 BONVUE ST</t>
  </si>
  <si>
    <t>RHODES JAMES &amp; CELEST</t>
  </si>
  <si>
    <t>217 BONVUE ST</t>
  </si>
  <si>
    <t>MCMILLAN JERIAH &amp; STEPHANIE (W)</t>
  </si>
  <si>
    <t>201 BONVUE ST</t>
  </si>
  <si>
    <t xml:space="preserve">KUCEL KENNETH JAMES II </t>
  </si>
  <si>
    <t>119 BONVUE ST</t>
  </si>
  <si>
    <t>KUCEL KENNETH JAMES I</t>
  </si>
  <si>
    <t>E 22ND ST STE 125</t>
  </si>
  <si>
    <t>OBSERVATORY HILL  DEVELOP CORP</t>
  </si>
  <si>
    <t>121 BONVUE ST</t>
  </si>
  <si>
    <t>0 BAYTREE ST</t>
  </si>
  <si>
    <t>125 BONVUE ST</t>
  </si>
  <si>
    <t xml:space="preserve">BRAWDY WAYNE E &amp; BETTY MARIE (W)         </t>
  </si>
  <si>
    <t>3758 BAYTREE ST</t>
  </si>
  <si>
    <t>MARY MARGARET BOYD ES</t>
  </si>
  <si>
    <t>DONATI RD STE 300</t>
  </si>
  <si>
    <t xml:space="preserve">NOVAK GLORIA </t>
  </si>
  <si>
    <t>3756 BAYTREE ST</t>
  </si>
  <si>
    <t xml:space="preserve">JACKSON CHARLES </t>
  </si>
  <si>
    <t>3827 EVERGREEN RD</t>
  </si>
  <si>
    <t>JACKSON CHARLES</t>
  </si>
  <si>
    <t xml:space="preserve">LORITTS AARON </t>
  </si>
  <si>
    <t>3911 EVERGREEN RD</t>
  </si>
  <si>
    <t>FULLERTON VICTOR  &amp; MARTHA</t>
  </si>
  <si>
    <t>0 CHAPIN ST</t>
  </si>
  <si>
    <t xml:space="preserve">CHISOM AUDRA </t>
  </si>
  <si>
    <t>3728 BAYTREE ST</t>
  </si>
  <si>
    <t xml:space="preserve">CHAPMAN PAMELA </t>
  </si>
  <si>
    <t>3672 BAYTREE ST</t>
  </si>
  <si>
    <t>E LIVINGSTON AVE STE 104</t>
  </si>
  <si>
    <t xml:space="preserve">HALL SHYVONNE </t>
  </si>
  <si>
    <t>3646 BAYTREE ST</t>
  </si>
  <si>
    <t>HALL SHYVONNE</t>
  </si>
  <si>
    <t>FERRARI CHARLES  &amp; CAROLANN (W)</t>
  </si>
  <si>
    <t>3651 BAYTREE ST</t>
  </si>
  <si>
    <t>FERRARI CHARLES  &amp; CA</t>
  </si>
  <si>
    <t>BAYTREE</t>
  </si>
  <si>
    <t xml:space="preserve">PODOLSKY BYPASS TRUST                           </t>
  </si>
  <si>
    <t>3729 BAYTREE ST</t>
  </si>
  <si>
    <t>HOOVER AVE</t>
  </si>
  <si>
    <t>PLEASANT HILL</t>
  </si>
  <si>
    <t>SANTAGUIDO ROBERTO A &amp; EILENE (W)</t>
  </si>
  <si>
    <t>3733 BAYTREE ST</t>
  </si>
  <si>
    <t xml:space="preserve">MCKERAHAN DONNA M </t>
  </si>
  <si>
    <t>3832 EAST ST</t>
  </si>
  <si>
    <t xml:space="preserve">ROBINSON SHANELL N </t>
  </si>
  <si>
    <t>3776 EAST ST</t>
  </si>
  <si>
    <t>PINEVALLEY DR</t>
  </si>
  <si>
    <t xml:space="preserve">TURNER PATRICIA A </t>
  </si>
  <si>
    <t>3774 EAST ST</t>
  </si>
  <si>
    <t>DICICCO FRANK &amp; SUSAN (W)</t>
  </si>
  <si>
    <t>3732 EAST ST</t>
  </si>
  <si>
    <t xml:space="preserve">SHEETZ DEBRA L </t>
  </si>
  <si>
    <t>3730 EAST ST</t>
  </si>
  <si>
    <t xml:space="preserve">FIDELITY ASSOCIATES INC </t>
  </si>
  <si>
    <t>MONONGAHELA AVE</t>
  </si>
  <si>
    <t xml:space="preserve">GANZAK ANTHONY P </t>
  </si>
  <si>
    <t>3757 EAST ST</t>
  </si>
  <si>
    <t>ANTHONY P GANZAK</t>
  </si>
  <si>
    <t xml:space="preserve">MILLER MELISSA </t>
  </si>
  <si>
    <t>16 GOULD AVE</t>
  </si>
  <si>
    <t>GOULD AVE</t>
  </si>
  <si>
    <t xml:space="preserve">KRAMER ANDREW </t>
  </si>
  <si>
    <t>18 GOULD AVE</t>
  </si>
  <si>
    <t xml:space="preserve">MULLEN IAN </t>
  </si>
  <si>
    <t>20 GOULD AVE</t>
  </si>
  <si>
    <t>SEWELL VALENTINO H &amp; EARLENE (W)</t>
  </si>
  <si>
    <t>0 GOULD AVE</t>
  </si>
  <si>
    <t xml:space="preserve">DRAPER JESSICA </t>
  </si>
  <si>
    <t>133 GOULD AVE</t>
  </si>
  <si>
    <t xml:space="preserve">BUGGEY RYAN P </t>
  </si>
  <si>
    <t>109 GOULD AVE</t>
  </si>
  <si>
    <t xml:space="preserve">BUGGEY JOHN </t>
  </si>
  <si>
    <t>MACKENZIE CHASE  &amp; (TRUST)</t>
  </si>
  <si>
    <t>3726 PERRYSVILLE AVE</t>
  </si>
  <si>
    <t xml:space="preserve">HUNT RYAN W &amp; MORGAN (W) </t>
  </si>
  <si>
    <t>14 RICHEY AVE</t>
  </si>
  <si>
    <t xml:space="preserve">PARKER SARAH V                                  </t>
  </si>
  <si>
    <t>24 RICHEY AVE</t>
  </si>
  <si>
    <t>RICHEY AVE</t>
  </si>
  <si>
    <t xml:space="preserve">PAOLA KELLY                                     </t>
  </si>
  <si>
    <t>112 RICHEY AVE</t>
  </si>
  <si>
    <t xml:space="preserve">LAWLER JEREMY J </t>
  </si>
  <si>
    <t>120 RICHEY AVE</t>
  </si>
  <si>
    <t xml:space="preserve">MURRAY CAROL A </t>
  </si>
  <si>
    <t>304 RICHEY AVE</t>
  </si>
  <si>
    <t>CRANKSHAW CHARLES W &amp; RUTH A</t>
  </si>
  <si>
    <t>308 RICHEY AVE</t>
  </si>
  <si>
    <t xml:space="preserve">DOLAN ELEANOR </t>
  </si>
  <si>
    <t>0 RICHEY AVE</t>
  </si>
  <si>
    <t xml:space="preserve">GUTH KAREN MARIE                                </t>
  </si>
  <si>
    <t>0 DEWEY AVE</t>
  </si>
  <si>
    <t xml:space="preserve">MANZ JAMES J &amp; RUTH R </t>
  </si>
  <si>
    <t>0 RUGGLES ST</t>
  </si>
  <si>
    <t>LIGUORI ARNOLD  &amp; JESTA R</t>
  </si>
  <si>
    <t>0 INTERSTATE 279</t>
  </si>
  <si>
    <t>WEIRER ST</t>
  </si>
  <si>
    <t>BOCKES ROBERT L &amp; GLADYS E (W)</t>
  </si>
  <si>
    <t>253 CHAPIN ST</t>
  </si>
  <si>
    <t>CHAPIN ST</t>
  </si>
  <si>
    <t xml:space="preserve">CARBONI ANGELO  &amp; MARY </t>
  </si>
  <si>
    <t>0 COLBY ST</t>
  </si>
  <si>
    <t>GIAMMATTEI ESPARTERO  &amp; ROSE</t>
  </si>
  <si>
    <t>CRYSTAL WAY</t>
  </si>
  <si>
    <t>DADE CITY</t>
  </si>
  <si>
    <t xml:space="preserve">KING EDWARD S JR                                </t>
  </si>
  <si>
    <t>287 MORRISEY ST</t>
  </si>
  <si>
    <t>MORRISEY ST</t>
  </si>
  <si>
    <t xml:space="preserve">SMITH DORRIE B </t>
  </si>
  <si>
    <t>3615 MANUEL ST</t>
  </si>
  <si>
    <t xml:space="preserve">SAKALIK STEPHEN </t>
  </si>
  <si>
    <t>135 RICHEY AVE</t>
  </si>
  <si>
    <t>THOMAS JEFFREY K &amp; JACQUELINE S (W)</t>
  </si>
  <si>
    <t>127 RICHEY AVE</t>
  </si>
  <si>
    <t>THOMAS JEFFREY K &amp; JA</t>
  </si>
  <si>
    <t xml:space="preserve">JENSEN LOREN                                    </t>
  </si>
  <si>
    <t>125 RICHEY AVE</t>
  </si>
  <si>
    <t>EDMUNDS NORMAN V &amp; TRACY L (W)</t>
  </si>
  <si>
    <t>25 RICHEY AVE</t>
  </si>
  <si>
    <t>19 RICHEY AVE</t>
  </si>
  <si>
    <t>ROBINSON CHRISTINE &amp; DAVID (H)</t>
  </si>
  <si>
    <t>24 DUNLAP ST</t>
  </si>
  <si>
    <t>MALARKEY VINCENT B &amp; ANN M</t>
  </si>
  <si>
    <t>326 DUNLAP ST</t>
  </si>
  <si>
    <t xml:space="preserve">CAESAR WAYNE W </t>
  </si>
  <si>
    <t>333 DUNLAP ST</t>
  </si>
  <si>
    <t>UNION ST APT 4D</t>
  </si>
  <si>
    <t xml:space="preserve">CHUNG KEVIN </t>
  </si>
  <si>
    <t>301 DUNLAP ST</t>
  </si>
  <si>
    <t>P O BOX 90184</t>
  </si>
  <si>
    <t>WANNER GEORGE H &amp; SHIRLEY M (W)</t>
  </si>
  <si>
    <t>123 DUNLAP ST</t>
  </si>
  <si>
    <t>MALCOLM AVE</t>
  </si>
  <si>
    <t>107 DUNLAP ST</t>
  </si>
  <si>
    <t xml:space="preserve">LYLE PHILLIP </t>
  </si>
  <si>
    <t>103 DUNLAP ST</t>
  </si>
  <si>
    <t>LYLE PHILLIP</t>
  </si>
  <si>
    <t>21 DUNLAP ST</t>
  </si>
  <si>
    <t>3612 PERRYSVILLE AVE</t>
  </si>
  <si>
    <t xml:space="preserve">THANDWIE NATHANDO                               </t>
  </si>
  <si>
    <t>3520 PERRYSVILLE AVE</t>
  </si>
  <si>
    <t xml:space="preserve">PAGANO ANTHONY G </t>
  </si>
  <si>
    <t>3510 PERRYSVILLE AVE</t>
  </si>
  <si>
    <t xml:space="preserve">BOAK MEREWYN M                                  </t>
  </si>
  <si>
    <t>3508 PERRYSVILLE AVE</t>
  </si>
  <si>
    <t>7TH AVE APT 5</t>
  </si>
  <si>
    <t>BRADSHAW RODNEY M &amp; DOROTHY A (W)</t>
  </si>
  <si>
    <t>0 VENTURE ST</t>
  </si>
  <si>
    <t>VENTURE ST</t>
  </si>
  <si>
    <t xml:space="preserve">MIHALICK JOHN                                   </t>
  </si>
  <si>
    <t>GEYER RD EXT</t>
  </si>
  <si>
    <t>PANTHER PROPERTIES OF PA LLC</t>
  </si>
  <si>
    <t>314 VENTURE ST</t>
  </si>
  <si>
    <t>PO BOX 101314</t>
  </si>
  <si>
    <t>323 VENTURE ST</t>
  </si>
  <si>
    <t>SMITH RICHARD F &amp; IRIS A (W)</t>
  </si>
  <si>
    <t>209 VENTURE ST</t>
  </si>
  <si>
    <t>125 VENTURE ST</t>
  </si>
  <si>
    <t>PETRACK JAMES  &amp; TAMMIE A (W)</t>
  </si>
  <si>
    <t>WYNNE AVE</t>
  </si>
  <si>
    <t>260 WATSON BLVD</t>
  </si>
  <si>
    <t xml:space="preserve">TCS FORECLOSURE </t>
  </si>
  <si>
    <t>ANTON BLVD STE 1600</t>
  </si>
  <si>
    <t xml:space="preserve">BLEMAHDOO BEN K </t>
  </si>
  <si>
    <t>POMONA AVE</t>
  </si>
  <si>
    <t>LESHINSKI DANIEL E &amp; TRUSTEE</t>
  </si>
  <si>
    <t>KESSLER ROBERT  &amp; SANDRA L (W)</t>
  </si>
  <si>
    <t xml:space="preserve">KEASLEY CRYSTAL </t>
  </si>
  <si>
    <t>411 VENTURE ST</t>
  </si>
  <si>
    <t>REVENUE ST</t>
  </si>
  <si>
    <t>ALTENBAUGH PHILIP R &amp; CORAREINE</t>
  </si>
  <si>
    <t>0 OKLAHOMA ST</t>
  </si>
  <si>
    <t>LOY LAKE RD APT 201</t>
  </si>
  <si>
    <t>DENISON</t>
  </si>
  <si>
    <t>LANGFORD LARRY LANG &amp; CARA A (W)</t>
  </si>
  <si>
    <t>430 VENTURE ST</t>
  </si>
  <si>
    <t xml:space="preserve">WHITE JANICE HARVEY </t>
  </si>
  <si>
    <t>406 VENTURE ST</t>
  </si>
  <si>
    <t xml:space="preserve">EULALIA PHELAN </t>
  </si>
  <si>
    <t>427 DUNLAP ST</t>
  </si>
  <si>
    <t>BULLS FRED E &amp; DEBORAH J (W)</t>
  </si>
  <si>
    <t>0 FABER ST</t>
  </si>
  <si>
    <t>3603 COLBY ST</t>
  </si>
  <si>
    <t xml:space="preserve">GASOWSKI WALTER T                               </t>
  </si>
  <si>
    <t>BLAND HERBERT L &amp; LOUISE (W)</t>
  </si>
  <si>
    <t>3523 COLBY ST</t>
  </si>
  <si>
    <t xml:space="preserve">HOWARD KENNETH </t>
  </si>
  <si>
    <t>3509 COLBY ST</t>
  </si>
  <si>
    <t xml:space="preserve">WALKER EDWARD W </t>
  </si>
  <si>
    <t>3552 SIRIUS ST</t>
  </si>
  <si>
    <t>SIRIUS ST</t>
  </si>
  <si>
    <t xml:space="preserve">SHAW MARGARET M </t>
  </si>
  <si>
    <t>0 SIRIUS ST</t>
  </si>
  <si>
    <t>PO BOX 100121</t>
  </si>
  <si>
    <t>ACIE JAIME F &amp; KATHLEEN ACIE</t>
  </si>
  <si>
    <t>0 IRMA ST</t>
  </si>
  <si>
    <t>ARDEN ST</t>
  </si>
  <si>
    <t>3425 PORTOLA AVE</t>
  </si>
  <si>
    <t>3429 PORTOLA AVE</t>
  </si>
  <si>
    <t>MCINTOSH TONI A &amp; BARBARA A MC INTOSH</t>
  </si>
  <si>
    <t>3433 PORTOLA AVE</t>
  </si>
  <si>
    <t xml:space="preserve">HAYNES LEON E III </t>
  </si>
  <si>
    <t>3374 PERRYSVILLE AVE</t>
  </si>
  <si>
    <t xml:space="preserve">PHILLIPS MARK W </t>
  </si>
  <si>
    <t>3426 PERRYSVILLE AVE</t>
  </si>
  <si>
    <t>MONITOR AVE</t>
  </si>
  <si>
    <t xml:space="preserve">REGAN PATRICK W </t>
  </si>
  <si>
    <t>3436 PERRYSVILLE AVE</t>
  </si>
  <si>
    <t xml:space="preserve">HARDIE MALCOLM JR </t>
  </si>
  <si>
    <t>3442 PERRYSVILLE AVE</t>
  </si>
  <si>
    <t>HARDIE MALCOLM JR</t>
  </si>
  <si>
    <t>3456 PERRYSVILLE AVE</t>
  </si>
  <si>
    <t xml:space="preserve">NIYIBIZI EMMANUEL </t>
  </si>
  <si>
    <t>245 WATSON BLVD</t>
  </si>
  <si>
    <t>NIYIBIZI EMMANUEL</t>
  </si>
  <si>
    <t xml:space="preserve">HALE DEBRA </t>
  </si>
  <si>
    <t>249 WATSON BLVD</t>
  </si>
  <si>
    <t>BARROWFIELD CT</t>
  </si>
  <si>
    <t>FORT WASHINGTO</t>
  </si>
  <si>
    <t xml:space="preserve">MINER DARICE </t>
  </si>
  <si>
    <t>255 WATSON BLVD</t>
  </si>
  <si>
    <t xml:space="preserve">NOVAK GLORIA A </t>
  </si>
  <si>
    <t>39 RIVERVIEW AVE</t>
  </si>
  <si>
    <t xml:space="preserve">HOSAC YVONNE R                                  </t>
  </si>
  <si>
    <t>21 RIVERVIEW AVE</t>
  </si>
  <si>
    <t>WEST MINSTER DR</t>
  </si>
  <si>
    <t>17 RIVERVIEW AVE</t>
  </si>
  <si>
    <t>JONES MARK A &amp; ERRIKA FEARBRY-JONES</t>
  </si>
  <si>
    <t>3445 PORTOLA AVE</t>
  </si>
  <si>
    <t>HOWE TIMOTHY A &amp; CHARISSA C (W)</t>
  </si>
  <si>
    <t>3414 PORTOLA AVE</t>
  </si>
  <si>
    <t xml:space="preserve">PARKS LARRIE </t>
  </si>
  <si>
    <t>3410 PORTOLA AVE</t>
  </si>
  <si>
    <t xml:space="preserve">FALCK DEANNA G                                  </t>
  </si>
  <si>
    <t>3350 PORTOLA AVE</t>
  </si>
  <si>
    <t>PORTOLA AVE</t>
  </si>
  <si>
    <t xml:space="preserve">PETERSON JULIE </t>
  </si>
  <si>
    <t>3361 DELAWARE ST</t>
  </si>
  <si>
    <t xml:space="preserve">BRUNETTE TIMOTHY </t>
  </si>
  <si>
    <t>3417 DELAWARE ST</t>
  </si>
  <si>
    <t xml:space="preserve">SMITH DEPAUL JR </t>
  </si>
  <si>
    <t>3452 DELAWARE ST</t>
  </si>
  <si>
    <t xml:space="preserve">BELLEVUE PROPERTY LP </t>
  </si>
  <si>
    <t>243 WATSON BLVD</t>
  </si>
  <si>
    <t>DELAWARE AVE</t>
  </si>
  <si>
    <t xml:space="preserve">GARY LEE LIVING TRUST </t>
  </si>
  <si>
    <t>231 WATSON BLVD</t>
  </si>
  <si>
    <t xml:space="preserve">HANNAN ELIZABETH JANE </t>
  </si>
  <si>
    <t>211 WATSON BLVD</t>
  </si>
  <si>
    <t xml:space="preserve">MARTIN W V JR </t>
  </si>
  <si>
    <t>185 WATSON BLVD</t>
  </si>
  <si>
    <t>PIKE SCHOOL RD</t>
  </si>
  <si>
    <t>MARKLEYSBURG</t>
  </si>
  <si>
    <t xml:space="preserve">MILLER MARILYN C </t>
  </si>
  <si>
    <t>PALO ALTO ST BLDG 2</t>
  </si>
  <si>
    <t xml:space="preserve">BAKER AMELIA </t>
  </si>
  <si>
    <t>432 TALCO ST</t>
  </si>
  <si>
    <t>TALCO ST</t>
  </si>
  <si>
    <t xml:space="preserve">PETRI JOSEPHINE T </t>
  </si>
  <si>
    <t>0 NEWHART ST</t>
  </si>
  <si>
    <t>0 TALCO ST</t>
  </si>
  <si>
    <t>PO BOX 652</t>
  </si>
  <si>
    <t xml:space="preserve">SIRLIN MYRTLE I </t>
  </si>
  <si>
    <t>244 MOUNT PLEASANT RD</t>
  </si>
  <si>
    <t>INTERTHAL JORDAN</t>
  </si>
  <si>
    <t>FREY RD</t>
  </si>
  <si>
    <t xml:space="preserve">HARP CHERYL </t>
  </si>
  <si>
    <t>238 MOUNT PLEASANT RD</t>
  </si>
  <si>
    <t>ALLEGHENY HOME RENTAL  INC</t>
  </si>
  <si>
    <t>0 AMES ST</t>
  </si>
  <si>
    <t>AMES ST</t>
  </si>
  <si>
    <t>BARNETT OSCAR  &amp; VERA M (W)</t>
  </si>
  <si>
    <t>3415 COLBY ST</t>
  </si>
  <si>
    <t xml:space="preserve">ROSE SONYA D </t>
  </si>
  <si>
    <t>3405 COLBY ST</t>
  </si>
  <si>
    <t>KLEINHAMPL EMIL  &amp; CAROLINE</t>
  </si>
  <si>
    <t xml:space="preserve">OGRODOWSKI IRREVOCABLE  GRANTOR TRUST           </t>
  </si>
  <si>
    <t>243 MOUNT PLEASANT RD</t>
  </si>
  <si>
    <t>DAVID R OGRODOWSKI TR</t>
  </si>
  <si>
    <t>FEISTENAUER PAUL  &amp; ANNA MARIE</t>
  </si>
  <si>
    <t>0 SCRIBNER ST</t>
  </si>
  <si>
    <t>SCRIBNER ST</t>
  </si>
  <si>
    <t xml:space="preserve">RAMSEY PHILENE M </t>
  </si>
  <si>
    <t>3432 COLBY ST</t>
  </si>
  <si>
    <t xml:space="preserve">WILLIAMS SHIRLEY P </t>
  </si>
  <si>
    <t>WOODLAND AVE APT 2</t>
  </si>
  <si>
    <t xml:space="preserve">JONES MILDRED </t>
  </si>
  <si>
    <t>3426 COLBY ST</t>
  </si>
  <si>
    <t xml:space="preserve">TAYLOR RONALD M </t>
  </si>
  <si>
    <t>0 MOUNT PLEASANT RD</t>
  </si>
  <si>
    <t xml:space="preserve">HARP CHERYL G </t>
  </si>
  <si>
    <t>230 MOUNT PLEASANT RD</t>
  </si>
  <si>
    <t xml:space="preserve">MCCARANEY GREG </t>
  </si>
  <si>
    <t>108 MONTVILLE ST</t>
  </si>
  <si>
    <t>GREG MCCARANEY</t>
  </si>
  <si>
    <t>MONTVILLE ST</t>
  </si>
  <si>
    <t xml:space="preserve">GRUPP WILLIAM R JR </t>
  </si>
  <si>
    <t>106 VAN BUREN ST</t>
  </si>
  <si>
    <t>VAN BUREN AVE</t>
  </si>
  <si>
    <t>VANSTON RYAN &amp; ALYSSA (H)</t>
  </si>
  <si>
    <t>137 IVORY AVE</t>
  </si>
  <si>
    <t>135 IVORY AVE</t>
  </si>
  <si>
    <t>133 IVORY AVE</t>
  </si>
  <si>
    <t>115 IVORY AVE</t>
  </si>
  <si>
    <t>0 ROOSEVELT AVE</t>
  </si>
  <si>
    <t>P.O. BOX 59096</t>
  </si>
  <si>
    <t xml:space="preserve">BRANCH TERRY </t>
  </si>
  <si>
    <t>116 BASCOM AVE</t>
  </si>
  <si>
    <t>BASCOM AVE</t>
  </si>
  <si>
    <t xml:space="preserve">WISNIEWSKI TYLER </t>
  </si>
  <si>
    <t>207 PERRYVIEW AVE</t>
  </si>
  <si>
    <t xml:space="preserve">KLOSKY MILDRED </t>
  </si>
  <si>
    <t>212 PERRYVIEW AVE</t>
  </si>
  <si>
    <t>GAPINSKI RICHARD  &amp; JOSEPHINE E (W)</t>
  </si>
  <si>
    <t>0 BASCOM AVE</t>
  </si>
  <si>
    <t>GAPINSKI RICHARD  &amp; J</t>
  </si>
  <si>
    <t>BALDWICK RD APT 611</t>
  </si>
  <si>
    <t xml:space="preserve">BRYAN WILLIAM </t>
  </si>
  <si>
    <t>31 PERRYVIEW AVE</t>
  </si>
  <si>
    <t>BELLASERA CIR</t>
  </si>
  <si>
    <t>HAYMON COURTNEY &amp; DIANNE (W)</t>
  </si>
  <si>
    <t>101 PERRYVIEW AVE</t>
  </si>
  <si>
    <t>HAYMON COURTNEY &amp; DIA</t>
  </si>
  <si>
    <t>108 PERRYVIEW AVE</t>
  </si>
  <si>
    <t xml:space="preserve">PARTRIDGE MICHAEL A </t>
  </si>
  <si>
    <t>4234 PERRYSVILLE AVE</t>
  </si>
  <si>
    <t xml:space="preserve">THOMAS GRADY H &amp; MABEL </t>
  </si>
  <si>
    <t>0 HIGH POINT ST</t>
  </si>
  <si>
    <t xml:space="preserve">JLJW REAL ESTATE LLC </t>
  </si>
  <si>
    <t>0 IVORY AVE</t>
  </si>
  <si>
    <t xml:space="preserve">MALSCH TERRENCE S JR </t>
  </si>
  <si>
    <t>ROOSEVELT AVE</t>
  </si>
  <si>
    <t xml:space="preserve">KOSKEY ANNA MAE </t>
  </si>
  <si>
    <t>0 GLENSIDE ST</t>
  </si>
  <si>
    <t>GLENSIDE ST</t>
  </si>
  <si>
    <t>KOSKEY JAMES  &amp; ANN KOSKEY</t>
  </si>
  <si>
    <t>159 MONTVIEW ST</t>
  </si>
  <si>
    <t>MONTVIEW ST</t>
  </si>
  <si>
    <t>KING SYLVESTER  &amp; CHARLOTTE</t>
  </si>
  <si>
    <t>JOHN VOELKER</t>
  </si>
  <si>
    <t>GRANT ST STE 1220</t>
  </si>
  <si>
    <t xml:space="preserve">CHAMPLIN BEATRICE </t>
  </si>
  <si>
    <t>149 MONTVIEW ST</t>
  </si>
  <si>
    <t xml:space="preserve">EICH RENEE E </t>
  </si>
  <si>
    <t>613 MONTVIEW ST</t>
  </si>
  <si>
    <t xml:space="preserve">HAWKS ANNE KATHLEEN </t>
  </si>
  <si>
    <t xml:space="preserve">SIDKY TURAN                                     </t>
  </si>
  <si>
    <t>36 BASCOM AVE</t>
  </si>
  <si>
    <t>TURAN SIDKY JULIA KNE</t>
  </si>
  <si>
    <t xml:space="preserve">CHEESEMAN MITCHELL </t>
  </si>
  <si>
    <t>59 BASCOM AVE</t>
  </si>
  <si>
    <t xml:space="preserve">GUNDE MICHAEL F </t>
  </si>
  <si>
    <t>37 BASCOM AVE</t>
  </si>
  <si>
    <t xml:space="preserve">MOORE JANICE M </t>
  </si>
  <si>
    <t>CHARLOTTE HALL RD</t>
  </si>
  <si>
    <t>CHARLOTTE HALL</t>
  </si>
  <si>
    <t xml:space="preserve">MUNDY RAMON  &amp; MARGARET </t>
  </si>
  <si>
    <t>329 GLENSIDE ST</t>
  </si>
  <si>
    <t>MUNDY RAMON  &amp; MARGAR</t>
  </si>
  <si>
    <t>HAMLIN ST</t>
  </si>
  <si>
    <t xml:space="preserve">PHILLIPS GERRI </t>
  </si>
  <si>
    <t>MAXWELL AVE</t>
  </si>
  <si>
    <t>EMMAUS DELIVERANCE  MINISTRIES</t>
  </si>
  <si>
    <t>4101 BASCOM AVE</t>
  </si>
  <si>
    <t>DIMBOKOWITZ CASSANDRA A  &amp; RICHARD M WERN ER</t>
  </si>
  <si>
    <t>403 WABANA ST</t>
  </si>
  <si>
    <t>SNEAD ROBERT F JR &amp; TRACEY (W)</t>
  </si>
  <si>
    <t>402 WABANA ST</t>
  </si>
  <si>
    <t>KHADIIJA GLOBAL  ORPHANAGE LLC</t>
  </si>
  <si>
    <t>4041 VINCETON ST</t>
  </si>
  <si>
    <t>ANGEVINE MARC</t>
  </si>
  <si>
    <t>ROSS ST EXT</t>
  </si>
  <si>
    <t>HARMS STEVEN D &amp; EVA P (W)</t>
  </si>
  <si>
    <t>4048 VINCETON ST</t>
  </si>
  <si>
    <t>NIYIBIZI EMMANUEL &amp; LILIANE M (W)</t>
  </si>
  <si>
    <t>4055 PERRYSVILLE AVE</t>
  </si>
  <si>
    <t xml:space="preserve">PAGOAGA JESUS ANTONIO </t>
  </si>
  <si>
    <t>4040 PERRYSVILLE AVE</t>
  </si>
  <si>
    <t>4058 PERRYSVILLE AVE</t>
  </si>
  <si>
    <t>CLONAN BRIAN &amp; DANUTA (W)</t>
  </si>
  <si>
    <t>4137 FRANKLIN RD</t>
  </si>
  <si>
    <t>CLONAN BRIAN &amp; DANUTA</t>
  </si>
  <si>
    <t xml:space="preserve">PARE INVESTORS LLC </t>
  </si>
  <si>
    <t>4129 FRANKLIN RD</t>
  </si>
  <si>
    <t>SOMA INTERNATIONAL  MINISTRIES INC</t>
  </si>
  <si>
    <t>4115 FRANKLIN RD</t>
  </si>
  <si>
    <t>SOMA INTERNATIONAL MI</t>
  </si>
  <si>
    <t>GRANT ST STE 660</t>
  </si>
  <si>
    <t>MUSCHICK PRESTON W &amp; SHIRLEY J (W)</t>
  </si>
  <si>
    <t>4110 FRANKLIN RD</t>
  </si>
  <si>
    <t xml:space="preserve">DIDOLCE BARTLEY ANGELA </t>
  </si>
  <si>
    <t>4120 FRANKLIN RD</t>
  </si>
  <si>
    <t>DIDOLCE BARTLEY ANGEL</t>
  </si>
  <si>
    <t>CITY OF PITTSBURGH       ETAL</t>
  </si>
  <si>
    <t>60 GARVIN ST</t>
  </si>
  <si>
    <t xml:space="preserve">CITY OF PITTSBURGH % </t>
  </si>
  <si>
    <t>GRANT ST RM 313</t>
  </si>
  <si>
    <t>GRANT ST 313</t>
  </si>
  <si>
    <t>44 GARVIN ST</t>
  </si>
  <si>
    <t>0 GARVIN ST</t>
  </si>
  <si>
    <t>CITY OF PITTSBURGH C/</t>
  </si>
  <si>
    <t xml:space="preserve">GRAHAM ROBERT </t>
  </si>
  <si>
    <t>4038 FRANKLIN RD</t>
  </si>
  <si>
    <t>KIRKLAND DWAYNE E &amp; KERSTIN S (W)</t>
  </si>
  <si>
    <t>4040 FRANKLIN RD</t>
  </si>
  <si>
    <t>KIRKLAND DWAYNE E &amp; K</t>
  </si>
  <si>
    <t>LUFF LAWRENCE  &amp; LINDA R (W)</t>
  </si>
  <si>
    <t>RADIUM ST</t>
  </si>
  <si>
    <t>20 RADIUM ST</t>
  </si>
  <si>
    <t xml:space="preserve">MADDEN KIMBERLY A </t>
  </si>
  <si>
    <t>34 RADIUM ST</t>
  </si>
  <si>
    <t xml:space="preserve">ELLA FAMILY LLC </t>
  </si>
  <si>
    <t>4051 GRIZELLA ST</t>
  </si>
  <si>
    <t>CULLEN ST</t>
  </si>
  <si>
    <t>AUSTRALIA 2066</t>
  </si>
  <si>
    <t xml:space="preserve">MALIK BRIAN R </t>
  </si>
  <si>
    <t>4059 GRIZELLA ST</t>
  </si>
  <si>
    <t>SHADOW RIDGE CT</t>
  </si>
  <si>
    <t>BRITSCH WILLIAM R &amp; CATHERINE M (W)</t>
  </si>
  <si>
    <t>4063 GRIZELLA ST</t>
  </si>
  <si>
    <t>GRIZELLA ST</t>
  </si>
  <si>
    <t xml:space="preserve">TUFF PROPERTIES LLC                             </t>
  </si>
  <si>
    <t>4004 GRIZELLA ST</t>
  </si>
  <si>
    <t>PO BOX 534</t>
  </si>
  <si>
    <t xml:space="preserve">SULKA ANDREW M </t>
  </si>
  <si>
    <t>4475 HIGHRIDGE ST</t>
  </si>
  <si>
    <t>HEMLOCK ST #5</t>
  </si>
  <si>
    <t xml:space="preserve">BYRNES EILEEN </t>
  </si>
  <si>
    <t>152 CLEVELAND AVE</t>
  </si>
  <si>
    <t>BYRNES EILEEN</t>
  </si>
  <si>
    <t>65TH AVE</t>
  </si>
  <si>
    <t xml:space="preserve">PARK RICHARD J </t>
  </si>
  <si>
    <t>0 CLEVELAND AVE</t>
  </si>
  <si>
    <t>CLEVELAND AVE</t>
  </si>
  <si>
    <t xml:space="preserve">CLUTTER ELUAH </t>
  </si>
  <si>
    <t>0 VALLEY VIEW ST</t>
  </si>
  <si>
    <t xml:space="preserve">ELDRIDGE STEPHEN                                </t>
  </si>
  <si>
    <t>159 IVORY AVE</t>
  </si>
  <si>
    <t>IVORY AVE</t>
  </si>
  <si>
    <t xml:space="preserve">BASAVARAJU ANURADHA                             </t>
  </si>
  <si>
    <t>4455 HIGHRIDGE ST</t>
  </si>
  <si>
    <t>HIGHRIDGE ST</t>
  </si>
  <si>
    <t xml:space="preserve">HARLAN MARK A </t>
  </si>
  <si>
    <t>173 VAN BUREN ST</t>
  </si>
  <si>
    <t>KREBS JAMES B &amp; CAROLE J (W)</t>
  </si>
  <si>
    <t>4463 MOREFIELD ST</t>
  </si>
  <si>
    <t>MCALEER RD</t>
  </si>
  <si>
    <t xml:space="preserve">KREBS JAMES &amp; CAROLE (W) </t>
  </si>
  <si>
    <t>4465 MOREFIELD ST</t>
  </si>
  <si>
    <t>LEWANDOWSKI ANTHONY W &amp; PATRICIA ANNE ST EVANUS</t>
  </si>
  <si>
    <t>4473 MOREFIELD ST</t>
  </si>
  <si>
    <t>LEWANDOWSKI ANTHONY W</t>
  </si>
  <si>
    <t>WILLIAMS ST</t>
  </si>
  <si>
    <t xml:space="preserve">COOPER DEBORAH A </t>
  </si>
  <si>
    <t>4487 MOREFIELD ST</t>
  </si>
  <si>
    <t>COOOPER DEBORAH A</t>
  </si>
  <si>
    <t>MOREFIELD ST</t>
  </si>
  <si>
    <t>GEISLER DENIS C &amp; YVONNE O (W)</t>
  </si>
  <si>
    <t>4464 MOREFIELD ST</t>
  </si>
  <si>
    <t>GYURE MICHAEL A &amp; SHANNON M (W)</t>
  </si>
  <si>
    <t>0 SANDERSON AVE</t>
  </si>
  <si>
    <t>FIFE CT</t>
  </si>
  <si>
    <t>TITUSVILLE</t>
  </si>
  <si>
    <t>0 SOVEREIGN ST</t>
  </si>
  <si>
    <t>SMITH JOHN A &amp; KIMBERLY E (W)</t>
  </si>
  <si>
    <t>4449 VALLEY VIEW ST</t>
  </si>
  <si>
    <t>VALLEY VIEW ST</t>
  </si>
  <si>
    <t xml:space="preserve">MCDERMITT JOHN E </t>
  </si>
  <si>
    <t>4456 VALLEY VIEW ST</t>
  </si>
  <si>
    <t xml:space="preserve">MACFARLANE VICKI L </t>
  </si>
  <si>
    <t>4437 CHERRYLAND ST</t>
  </si>
  <si>
    <t>CHERRYLAND ST</t>
  </si>
  <si>
    <t xml:space="preserve">SIBBET JOHN </t>
  </si>
  <si>
    <t>403 IVORY AVE</t>
  </si>
  <si>
    <t xml:space="preserve">AUSTIN NATALIE D </t>
  </si>
  <si>
    <t>0 TROY HILL RD EXT</t>
  </si>
  <si>
    <t>SELDOM SEEN RD</t>
  </si>
  <si>
    <t xml:space="preserve">TUMPA CHRISTOPHER L </t>
  </si>
  <si>
    <t>4632 MOUNT TROY RD EXT</t>
  </si>
  <si>
    <t>MOUNT TROY RD EXT</t>
  </si>
  <si>
    <t xml:space="preserve">HOFER TYLER L </t>
  </si>
  <si>
    <t>4114 FAIRBANKS AVE</t>
  </si>
  <si>
    <t>SPYGLASS DR</t>
  </si>
  <si>
    <t xml:space="preserve">VRANA FRANK JR &amp; STELLA </t>
  </si>
  <si>
    <t>4167 EVERGREEN RD</t>
  </si>
  <si>
    <t xml:space="preserve">AMMER CHARLES RODGER JR </t>
  </si>
  <si>
    <t>0 EVERGREEN RD</t>
  </si>
  <si>
    <t xml:space="preserve">AMMER CHARLES RODGER </t>
  </si>
  <si>
    <t xml:space="preserve">SCHERLING JOSEPH  &amp; MARY </t>
  </si>
  <si>
    <t>ROBERT SCHERLING</t>
  </si>
  <si>
    <t>BISCAYNE TER</t>
  </si>
  <si>
    <t xml:space="preserve">BURNS RODERICK R </t>
  </si>
  <si>
    <t>4138 HARPEN RD</t>
  </si>
  <si>
    <t xml:space="preserve">MILADINOV IVAN </t>
  </si>
  <si>
    <t>4300 HARPEN RD</t>
  </si>
  <si>
    <t>HARPEN RD</t>
  </si>
  <si>
    <t xml:space="preserve">HELWICH JASON R </t>
  </si>
  <si>
    <t>4638 MOUNT TROY RD EXT</t>
  </si>
  <si>
    <t>PENNSYLVANIA CONFERENCE  ASSOCIATION OF SEVENTH-D</t>
  </si>
  <si>
    <t>4023 EVERGREEN RD</t>
  </si>
  <si>
    <t>PENNSYLVANIA CONFEREN</t>
  </si>
  <si>
    <t>MUSEUM RD</t>
  </si>
  <si>
    <t>RITCHEY JOSEPH P &amp; FLORENCE M</t>
  </si>
  <si>
    <t>0 MONTANA ST</t>
  </si>
  <si>
    <t>STATE ROUTE 170</t>
  </si>
  <si>
    <t>EAST PALESTINE</t>
  </si>
  <si>
    <t>LINK FAMILY IRREVOCABLE  TRUST</t>
  </si>
  <si>
    <t>0 RUTLAND ST</t>
  </si>
  <si>
    <t>LINK FAMILY IRREVOCAB</t>
  </si>
  <si>
    <t>WHISPERING RIDGE TRL</t>
  </si>
  <si>
    <t>FENTON</t>
  </si>
  <si>
    <t xml:space="preserve">DROZD MATTHEW J                                 </t>
  </si>
  <si>
    <t>3961 EVERGREEN RD</t>
  </si>
  <si>
    <t>C/O BRAD PALMER</t>
  </si>
  <si>
    <t>SZYMANSKI JOSEPH B &amp; AGNES M</t>
  </si>
  <si>
    <t>0 EXTON ST</t>
  </si>
  <si>
    <t>EXTON ST</t>
  </si>
  <si>
    <t>OLEARY JOHN &amp; MARGARET (W)</t>
  </si>
  <si>
    <t>4172 EVERGREEN RD</t>
  </si>
  <si>
    <t>EVEGREEN RD</t>
  </si>
  <si>
    <t>PANCHERI EUGENE &amp; ANTOINETTE (W)</t>
  </si>
  <si>
    <t>4200 EVERGREEN RD</t>
  </si>
  <si>
    <t>PANCHERI EUGENE &amp; ANT</t>
  </si>
  <si>
    <t xml:space="preserve">IIP-PA 8 LLC </t>
  </si>
  <si>
    <t>2840 NEW BEAVER AVE</t>
  </si>
  <si>
    <t>W BERNARDO CT STE 100</t>
  </si>
  <si>
    <t>3042 NEW BEAVER AVE</t>
  </si>
  <si>
    <t>SALLOWS MICHAEL C &amp; AMY R SENICH</t>
  </si>
  <si>
    <t>0 COHUTTA ST</t>
  </si>
  <si>
    <t>COHUTTA ST</t>
  </si>
  <si>
    <t>NOTARO DONALD G &amp; SANDRA L (W)</t>
  </si>
  <si>
    <t>1729 ECKERT ST</t>
  </si>
  <si>
    <t>NOTARO DONALD G &amp; SAN</t>
  </si>
  <si>
    <t xml:space="preserve">AMICONE LOUISE A </t>
  </si>
  <si>
    <t>1351 OAKHILL ST</t>
  </si>
  <si>
    <t xml:space="preserve">BOTEACH  ERZA  EZL </t>
  </si>
  <si>
    <t>3111 OXFIELD ST</t>
  </si>
  <si>
    <t>W CORPORATE WAY # 27628</t>
  </si>
  <si>
    <t xml:space="preserve">KENNEALLY JOHN </t>
  </si>
  <si>
    <t>0 OXFIELD ST</t>
  </si>
  <si>
    <t>KENNEALLY JOHN</t>
  </si>
  <si>
    <t>CLEARVIEW AVE</t>
  </si>
  <si>
    <t xml:space="preserve">ANDERSON SARAH </t>
  </si>
  <si>
    <t>0 ECKERT ST</t>
  </si>
  <si>
    <t>ESPY AVE APT 2</t>
  </si>
  <si>
    <t>SAITTA LAWRENCE A &amp; LINDA F (W)</t>
  </si>
  <si>
    <t>1414 ECKERT ST</t>
  </si>
  <si>
    <t xml:space="preserve">CERNANSKY MELANIE A </t>
  </si>
  <si>
    <t>1416 ECKERT ST</t>
  </si>
  <si>
    <t xml:space="preserve">ROSS DAMINA                                     </t>
  </si>
  <si>
    <t>DREVES JAY  &amp; WENDY L (W)</t>
  </si>
  <si>
    <t>1422 ECKERT ST</t>
  </si>
  <si>
    <t>1424 ECKERT ST</t>
  </si>
  <si>
    <t>MONTELEONE SAMUEL  &amp; ELIZABETH</t>
  </si>
  <si>
    <t xml:space="preserve">WILLIAMS ERIC </t>
  </si>
  <si>
    <t>1430 ECKERT ST</t>
  </si>
  <si>
    <t xml:space="preserve">PINA FRANCES </t>
  </si>
  <si>
    <t>1432 ECKERT ST</t>
  </si>
  <si>
    <t>PARK AVE</t>
  </si>
  <si>
    <t xml:space="preserve">WALTER JOHN D </t>
  </si>
  <si>
    <t>PO BOX 99191</t>
  </si>
  <si>
    <t>1549 GEYER AVE</t>
  </si>
  <si>
    <t xml:space="preserve">MCGINNIS RONALD                                 </t>
  </si>
  <si>
    <t>1547 GEYER AVE</t>
  </si>
  <si>
    <t xml:space="preserve">KONEV OLEG Y </t>
  </si>
  <si>
    <t>0 GEYER AVE</t>
  </si>
  <si>
    <t>OXFIELD ST</t>
  </si>
  <si>
    <t>3121 OXFIELD ST</t>
  </si>
  <si>
    <t xml:space="preserve">PARKER DEBRA A </t>
  </si>
  <si>
    <t>3007 GEYER AVE</t>
  </si>
  <si>
    <t>GEYER AVE</t>
  </si>
  <si>
    <t xml:space="preserve">STYEN EARL F III </t>
  </si>
  <si>
    <t>1602 ECKERT ST</t>
  </si>
  <si>
    <t>1604 ECKERT ST</t>
  </si>
  <si>
    <t xml:space="preserve">DANYLO JOSEPH  &amp; LOUISE (W)              </t>
  </si>
  <si>
    <t>DANYLO JOSEPH  &amp; LOUI</t>
  </si>
  <si>
    <t xml:space="preserve">DANYLO JOSEPH                                   </t>
  </si>
  <si>
    <t>STEVE DANYLO</t>
  </si>
  <si>
    <t>BRANDON RD</t>
  </si>
  <si>
    <t xml:space="preserve">PROTHEROE PAUL </t>
  </si>
  <si>
    <t>0 KNAPP ST</t>
  </si>
  <si>
    <t xml:space="preserve">PROTHEROE PAUL J </t>
  </si>
  <si>
    <t xml:space="preserve">SARAZEN ALAN J </t>
  </si>
  <si>
    <t>620 KNAPP ST</t>
  </si>
  <si>
    <t>KNAPP ST</t>
  </si>
  <si>
    <t>1541 ECKERT ST</t>
  </si>
  <si>
    <t>GREEN VISTA DR</t>
  </si>
  <si>
    <t>CHULACK ANDREW D &amp; ALICE C GARLOW</t>
  </si>
  <si>
    <t>MCGOVERN BLVD</t>
  </si>
  <si>
    <t>CRESCENT</t>
  </si>
  <si>
    <t>MCCGOVEN BLVD</t>
  </si>
  <si>
    <t>MITCHELL-MARSH PATRICIA  L</t>
  </si>
  <si>
    <t>1533 ECKERT ST</t>
  </si>
  <si>
    <t>MITCHELL-MARSH PATRIC</t>
  </si>
  <si>
    <t xml:space="preserve">WATT JOSEPH D </t>
  </si>
  <si>
    <t>1519 ECKERT ST</t>
  </si>
  <si>
    <t xml:space="preserve">JACKSON CAROL </t>
  </si>
  <si>
    <t xml:space="preserve">ROQUE LUIS MARIO SOTO </t>
  </si>
  <si>
    <t>1515 ECKERT ST</t>
  </si>
  <si>
    <t>WARLACK ANNA M           ETAL</t>
  </si>
  <si>
    <t>1505 ECKERT ST</t>
  </si>
  <si>
    <t xml:space="preserve">WANNER TRAVIS </t>
  </si>
  <si>
    <t>1429 ECKERT ST</t>
  </si>
  <si>
    <t xml:space="preserve">BALLARD JAMES  &amp; SHIRLEY (W)             </t>
  </si>
  <si>
    <t>BALLARD JAMES  &amp; SHIR</t>
  </si>
  <si>
    <t>ANSEL RD APT 221</t>
  </si>
  <si>
    <t>FOSTER EDWARD T JR &amp; CHARLOTTE J (W)</t>
  </si>
  <si>
    <t>0 FORSYTHE ST</t>
  </si>
  <si>
    <t>FORSYTHE ST</t>
  </si>
  <si>
    <t xml:space="preserve">STONER JAMES A JR </t>
  </si>
  <si>
    <t xml:space="preserve">ZAVASKY FRANK  &amp; OLGA M </t>
  </si>
  <si>
    <t>1508 FORSYTHE ST</t>
  </si>
  <si>
    <t xml:space="preserve">THOMAS CLARENCE E </t>
  </si>
  <si>
    <t>1512 FORSYTHE ST</t>
  </si>
  <si>
    <t>HEIMANN MARY E &amp; MARY MARGARET HEIMANN</t>
  </si>
  <si>
    <t xml:space="preserve">JORMONAVICH WILLIAM R </t>
  </si>
  <si>
    <t>UHURU SASSA INVESTMENTS  LLC</t>
  </si>
  <si>
    <t>1520 FORSYTHE ST</t>
  </si>
  <si>
    <t>UHURU SASSA INVESTMEN</t>
  </si>
  <si>
    <t xml:space="preserve">WONG JOHN </t>
  </si>
  <si>
    <t>1518 FORSYTHE ST</t>
  </si>
  <si>
    <t>WONG JOHN</t>
  </si>
  <si>
    <t>DELEVAN ST</t>
  </si>
  <si>
    <t xml:space="preserve">BROWN LORETTA B </t>
  </si>
  <si>
    <t>WHITESTOWN VLG APT 11</t>
  </si>
  <si>
    <t xml:space="preserve">KOTLOWY JOSEPH </t>
  </si>
  <si>
    <t>1532 FORSYTHE ST</t>
  </si>
  <si>
    <t xml:space="preserve">SAMPSON GAREY </t>
  </si>
  <si>
    <t xml:space="preserve">COKER MICHAEL A </t>
  </si>
  <si>
    <t xml:space="preserve">OPPORTUNITY INC GREATER  BALTIMORE OPPORTUNITIES </t>
  </si>
  <si>
    <t>1540 FORSYTHE ST</t>
  </si>
  <si>
    <t>OPPORTUNITY INC GREAT</t>
  </si>
  <si>
    <t>E MARKET ST</t>
  </si>
  <si>
    <t xml:space="preserve">LIVINGSTON JASMINE S </t>
  </si>
  <si>
    <t>1542 FORSYTHE ST</t>
  </si>
  <si>
    <t>LIVINGSTON JASMINE S</t>
  </si>
  <si>
    <t>MCKELVEY ERIC  &amp; RENEE (W)</t>
  </si>
  <si>
    <t>1704 FORSYTHE ST</t>
  </si>
  <si>
    <t>KOERNER RD</t>
  </si>
  <si>
    <t>EVANS CITY</t>
  </si>
  <si>
    <t xml:space="preserve">ROSS SHANNON </t>
  </si>
  <si>
    <t>2909 CALIFORNIA AVE</t>
  </si>
  <si>
    <t>SANDUSKY CT APT 310</t>
  </si>
  <si>
    <t xml:space="preserve">MCIVER AMVEL </t>
  </si>
  <si>
    <t>2901 CALIFORNIA AVE</t>
  </si>
  <si>
    <t xml:space="preserve">PRICE DONALD LLOYD JR </t>
  </si>
  <si>
    <t>2845 CALIFORNIA AVE</t>
  </si>
  <si>
    <t>GREEN HILL RD</t>
  </si>
  <si>
    <t>TELFORD</t>
  </si>
  <si>
    <t>2843 CALIFORNIA AVE</t>
  </si>
  <si>
    <t xml:space="preserve">PENNBRO INVESTMENT LLC </t>
  </si>
  <si>
    <t>2842 CALIFORNIA AVE</t>
  </si>
  <si>
    <t>PENNBRO INVESTMENT LL</t>
  </si>
  <si>
    <t xml:space="preserve">ROYAL REALTY BY TLM LLC                         </t>
  </si>
  <si>
    <t>2844 CALIFORNIA AVE</t>
  </si>
  <si>
    <t xml:space="preserve">SUGRUE CONRAD ALLEN </t>
  </si>
  <si>
    <t>DAWSON AVE APT B4</t>
  </si>
  <si>
    <t xml:space="preserve">MCCOY IRENE A </t>
  </si>
  <si>
    <t>JOHN RAY</t>
  </si>
  <si>
    <t>SKYLINE DR APT A2</t>
  </si>
  <si>
    <t xml:space="preserve">ROBERTS CHARLES J </t>
  </si>
  <si>
    <t>PAUL DR</t>
  </si>
  <si>
    <t>RICHARDS WILLIAM P &amp; RUTH M</t>
  </si>
  <si>
    <t>SARAZEN RONALD V &amp; SALVATORE C SARAZEN</t>
  </si>
  <si>
    <t>SALVATORE C. SARAZEN</t>
  </si>
  <si>
    <t>SW 28TH ST</t>
  </si>
  <si>
    <t>ANTHONY A CONSTRUCTION  LLC</t>
  </si>
  <si>
    <t>1529 FORSYTHE ST</t>
  </si>
  <si>
    <t>ANTHONY A CONSTRUCTIO</t>
  </si>
  <si>
    <t>WITUSZYNSKI WALTER J &amp; ROBYN L (W)</t>
  </si>
  <si>
    <t>VAN DR</t>
  </si>
  <si>
    <t xml:space="preserve">WAGNER MARY </t>
  </si>
  <si>
    <t xml:space="preserve">MITCHELL GEORGE K </t>
  </si>
  <si>
    <t>1517 FORSYTHE ST</t>
  </si>
  <si>
    <t>PENNY DR # 4</t>
  </si>
  <si>
    <t>SCANLON NORMA A &amp; MARGARET (W)</t>
  </si>
  <si>
    <t>HIAWATHA ST</t>
  </si>
  <si>
    <t xml:space="preserve">SOMA GROUP LLC </t>
  </si>
  <si>
    <t>0 MEIRSCH ST</t>
  </si>
  <si>
    <t>0 CASEMENT ST</t>
  </si>
  <si>
    <t>2907 PLOUGH ST</t>
  </si>
  <si>
    <t>HARP AMOS C JR &amp; PATRICIA A (W)</t>
  </si>
  <si>
    <t>2901 PLOUGH ST</t>
  </si>
  <si>
    <t xml:space="preserve">OO KHIN                                         </t>
  </si>
  <si>
    <t>1426 DICKSON ST</t>
  </si>
  <si>
    <t xml:space="preserve">CALHOUN CHRISTINE                               </t>
  </si>
  <si>
    <t>1436 DICKSON ST</t>
  </si>
  <si>
    <t>DICKSON ST</t>
  </si>
  <si>
    <t xml:space="preserve">GIBBS ALPHA </t>
  </si>
  <si>
    <t>1438 WOODLAND AVE</t>
  </si>
  <si>
    <t>KYLE AVE</t>
  </si>
  <si>
    <t xml:space="preserve">EARTHLOW HOLDINGS LLC </t>
  </si>
  <si>
    <t>1 TUMBO ST</t>
  </si>
  <si>
    <t>13TH AVE</t>
  </si>
  <si>
    <t xml:space="preserve">WILLIAMSON JUSTIN </t>
  </si>
  <si>
    <t>0 PLOUGH ST</t>
  </si>
  <si>
    <t>RUSSELLTON RD APT 203</t>
  </si>
  <si>
    <t xml:space="preserve">DANKO HEATHER L </t>
  </si>
  <si>
    <t>17 PLOUGH ST</t>
  </si>
  <si>
    <t xml:space="preserve">MICKAIL JOSHUA N </t>
  </si>
  <si>
    <t>0 TOBERG ST</t>
  </si>
  <si>
    <t>E FOREST AVE</t>
  </si>
  <si>
    <t xml:space="preserve">ANDREWS JOHN </t>
  </si>
  <si>
    <t>E HANBURY ST</t>
  </si>
  <si>
    <t>HINERMAN CHARLES E &amp; KAREN (W)</t>
  </si>
  <si>
    <t>TOBERG ST</t>
  </si>
  <si>
    <t xml:space="preserve">LUGAR ANTOINETTE E                              </t>
  </si>
  <si>
    <t>2669 TOBERG ST</t>
  </si>
  <si>
    <t xml:space="preserve">WILES NORMAN E </t>
  </si>
  <si>
    <t>1503 WOODLAND AVE</t>
  </si>
  <si>
    <t xml:space="preserve">SKINGER JOHN MICHAEL JR  &amp; LAURA E (W)           </t>
  </si>
  <si>
    <t>0 WOODLAND AVE</t>
  </si>
  <si>
    <t xml:space="preserve">SKINGER JOHN MICHAEL </t>
  </si>
  <si>
    <t>BULEHA ROBERT J &amp; MARGARET (W)</t>
  </si>
  <si>
    <t xml:space="preserve">GALLAGHER JAMES E JR </t>
  </si>
  <si>
    <t>1500 WOODLAND AVE</t>
  </si>
  <si>
    <t xml:space="preserve">TODD JO ANN B                                   </t>
  </si>
  <si>
    <t>2711 PLOUGH ST</t>
  </si>
  <si>
    <t>SOMA INTERNATIONAL MINISTRIES INC</t>
  </si>
  <si>
    <t>2819 PLOUGH ST</t>
  </si>
  <si>
    <t xml:space="preserve">BERNARDI STEVEN </t>
  </si>
  <si>
    <t>0 PITLER ST</t>
  </si>
  <si>
    <t>PITLER ST</t>
  </si>
  <si>
    <t xml:space="preserve">BROADUS ANDRE </t>
  </si>
  <si>
    <t>2816 PITLER ST</t>
  </si>
  <si>
    <t xml:space="preserve">SIWECKYJ MARY S </t>
  </si>
  <si>
    <t>2817 PITLER ST</t>
  </si>
  <si>
    <t>BOSTON ST</t>
  </si>
  <si>
    <t>2811 PITLER ST</t>
  </si>
  <si>
    <t xml:space="preserve">HRICAK VERONICA HELEN </t>
  </si>
  <si>
    <t xml:space="preserve">HOWORTH RICHARD P </t>
  </si>
  <si>
    <t>2707 PITLER ST</t>
  </si>
  <si>
    <t>2714 HOLBROOK ST</t>
  </si>
  <si>
    <t>PORTOLA DR</t>
  </si>
  <si>
    <t xml:space="preserve">BERNARDI STEVE </t>
  </si>
  <si>
    <t>12 BOSTON ST</t>
  </si>
  <si>
    <t>BOLEN JAMES E &amp; MELINDA (W)</t>
  </si>
  <si>
    <t>0 BOSTON ST</t>
  </si>
  <si>
    <t>BOLEN JAMES E &amp; MELIN</t>
  </si>
  <si>
    <t>MASON DR</t>
  </si>
  <si>
    <t xml:space="preserve">HRICAK VERONICA </t>
  </si>
  <si>
    <t>0 HOLBROOK ST</t>
  </si>
  <si>
    <t xml:space="preserve">HRICAK VERONICA H </t>
  </si>
  <si>
    <t xml:space="preserve">CHANDRAN REALTY INC </t>
  </si>
  <si>
    <t>2674 CALIFORNIA AVE</t>
  </si>
  <si>
    <t>CORACE DR</t>
  </si>
  <si>
    <t>ALLISON PARK ASSEMBLY  OF GOD CHURCH</t>
  </si>
  <si>
    <t>2695 WOODLAND AVE</t>
  </si>
  <si>
    <t>ALLISON PARK ASSEMBLY</t>
  </si>
  <si>
    <t>DUNCAN AVE</t>
  </si>
  <si>
    <t xml:space="preserve">PALAIS REAL ESTATE LLC </t>
  </si>
  <si>
    <t>2700 CALIFORNIA AVE</t>
  </si>
  <si>
    <t>PALAIS REAL ESTATE LL</t>
  </si>
  <si>
    <t xml:space="preserve">BLEVINS JON </t>
  </si>
  <si>
    <t>2704 CALIFORNIA AVE</t>
  </si>
  <si>
    <t>BRYSON CT</t>
  </si>
  <si>
    <t>SEVIERVILLE</t>
  </si>
  <si>
    <t xml:space="preserve">WHITE WILLIAM E </t>
  </si>
  <si>
    <t>2714 CALIFORNIA AVE</t>
  </si>
  <si>
    <t>COMBS JAMES T SR &amp; CAROL ANN (W)</t>
  </si>
  <si>
    <t>MCQUAIDE ANTHONY P &amp; OLIVE M</t>
  </si>
  <si>
    <t xml:space="preserve">GRUNDEN LAVERNE  &amp; MARY </t>
  </si>
  <si>
    <t>2804 CALIFORNIA AVE</t>
  </si>
  <si>
    <t>ADDANTE VITO MICHELE  SANTORSOLA</t>
  </si>
  <si>
    <t>2806 CALIFORNIA AVE</t>
  </si>
  <si>
    <t xml:space="preserve">ADDANTE VITO MICHELE </t>
  </si>
  <si>
    <t xml:space="preserve">SCAVO MATTHEW H </t>
  </si>
  <si>
    <t>2812 CALIFORNIA AVE</t>
  </si>
  <si>
    <t>ROBERTS</t>
  </si>
  <si>
    <t xml:space="preserve">WILEY PROPERTIES LLC </t>
  </si>
  <si>
    <t>2822 CALIFORNIA AVE</t>
  </si>
  <si>
    <t xml:space="preserve">BARTLEY RITA M </t>
  </si>
  <si>
    <t>2824 CALIFORNIA AVE</t>
  </si>
  <si>
    <t xml:space="preserve">ARTHUR ALLISON                                  </t>
  </si>
  <si>
    <t>2832 CALIFORNIA AVE</t>
  </si>
  <si>
    <t xml:space="preserve">YOUNGER DAIDRA M </t>
  </si>
  <si>
    <t>2834 CALIFORNIA AVE</t>
  </si>
  <si>
    <t xml:space="preserve">BILECKY JOSEPH J </t>
  </si>
  <si>
    <t>2835 CALIFORNIA AVE</t>
  </si>
  <si>
    <t xml:space="preserve">GINTCHEVA TZVETANKA K                           </t>
  </si>
  <si>
    <t>N HOLLAD AVE</t>
  </si>
  <si>
    <t xml:space="preserve">GINTCHEVA TZVETANKA K </t>
  </si>
  <si>
    <t>N HOLLAND AVE</t>
  </si>
  <si>
    <t>2827 CALIFORNIA AVE</t>
  </si>
  <si>
    <t xml:space="preserve">RAGGHIANTI THERESA F </t>
  </si>
  <si>
    <t>2825 CALIFORNIA AVE</t>
  </si>
  <si>
    <t>RAGGHIANT IRALPH</t>
  </si>
  <si>
    <t xml:space="preserve">CLARK MARSHA L </t>
  </si>
  <si>
    <t xml:space="preserve">MOZZETTI MARTIN ET UX </t>
  </si>
  <si>
    <t>WENDOVER ST</t>
  </si>
  <si>
    <t>106 IRELAND WAY</t>
  </si>
  <si>
    <t>FERRIS MICHAEL E &amp; CAROL A (W)</t>
  </si>
  <si>
    <t>0 TRIMBLE ST</t>
  </si>
  <si>
    <t>BACH JOHN E &amp; KATHLEEN MC BURNEY</t>
  </si>
  <si>
    <t>OSWALD ST</t>
  </si>
  <si>
    <t xml:space="preserve">MYERS TIMOTHY D </t>
  </si>
  <si>
    <t>1537 WOODLAND AVE</t>
  </si>
  <si>
    <t>DEPAOLI LOUIS  &amp; LINDA (W)</t>
  </si>
  <si>
    <t>2628 CALIFORNIA AVE</t>
  </si>
  <si>
    <t xml:space="preserve">MAIER RACHEL MALLORY </t>
  </si>
  <si>
    <t>2622 CALIFORNIA AVE</t>
  </si>
  <si>
    <t>2620 CALIFORNIA AVE</t>
  </si>
  <si>
    <t xml:space="preserve">STANLEY MARIA </t>
  </si>
  <si>
    <t>2614 CALIFORNIA AVE</t>
  </si>
  <si>
    <t>2664 CALIFORNIA AVE</t>
  </si>
  <si>
    <t>DEGRASSE ELIZABETH JU</t>
  </si>
  <si>
    <t>2345 PREBLE AVE  ASSOCIATES LLC</t>
  </si>
  <si>
    <t>2345 PREBLE AVE</t>
  </si>
  <si>
    <t>2345 PREBLE AVE ASSOC</t>
  </si>
  <si>
    <t>MARTINDALE ST</t>
  </si>
  <si>
    <t>2515 PREBLE AVE</t>
  </si>
  <si>
    <t xml:space="preserve">BLACKBURN ANTHONY SR </t>
  </si>
  <si>
    <t>1416 CASEMENT ST</t>
  </si>
  <si>
    <t>CASEMENT ST</t>
  </si>
  <si>
    <t xml:space="preserve">MILLER FRED </t>
  </si>
  <si>
    <t>1412 CASEMENT ST</t>
  </si>
  <si>
    <t>TERRENCE AVE</t>
  </si>
  <si>
    <t xml:space="preserve">STRINGER ALBERT J </t>
  </si>
  <si>
    <t>2905 MULLINS ST</t>
  </si>
  <si>
    <t>MULLINS ST</t>
  </si>
  <si>
    <t>1341 OAKHILL ST</t>
  </si>
  <si>
    <t xml:space="preserve">MORROW MICHAEL D                                </t>
  </si>
  <si>
    <t>3001 CAKE WAY</t>
  </si>
  <si>
    <t>CAKE WAY</t>
  </si>
  <si>
    <t>MCKERAHAN MARY CATHERINEH INDMARCH</t>
  </si>
  <si>
    <t>3006 HARTMAN ST</t>
  </si>
  <si>
    <t>DEILY  JOHN</t>
  </si>
  <si>
    <t xml:space="preserve">PELLES JOSEPH E </t>
  </si>
  <si>
    <t>3005 HARTMAN ST</t>
  </si>
  <si>
    <t>CALIFORNIA AVE FL 2</t>
  </si>
  <si>
    <t xml:space="preserve">STIERS EUGENE </t>
  </si>
  <si>
    <t>3002 MULLINS ST</t>
  </si>
  <si>
    <t xml:space="preserve">SCOTT CHRISTINA C </t>
  </si>
  <si>
    <t>3003 HARTMAN ST</t>
  </si>
  <si>
    <t>SEWICKLEY OAKMONT RD</t>
  </si>
  <si>
    <t>DANKO PAULINE  &amp; GEORGE L STARUCH</t>
  </si>
  <si>
    <t>0 HARTMAN ST</t>
  </si>
  <si>
    <t>MORROW JOSEPH  &amp; DOROTHY (W)</t>
  </si>
  <si>
    <t>2906 MULLINS ST</t>
  </si>
  <si>
    <t>MORROW JOSEPH  &amp; DORO</t>
  </si>
  <si>
    <t xml:space="preserve">LOPEZ JORGE </t>
  </si>
  <si>
    <t>BLOOMFIELD ST UNIT 80</t>
  </si>
  <si>
    <t xml:space="preserve">SCHOEN THERESA A </t>
  </si>
  <si>
    <t>2903 CAKE WAY</t>
  </si>
  <si>
    <t xml:space="preserve">AUMAN AUDREY </t>
  </si>
  <si>
    <t>PEACHTREE ST</t>
  </si>
  <si>
    <t>STATESBORO</t>
  </si>
  <si>
    <t>DEUTSCHE BANK NATIONAL  TRUST COMPANY AS TRUSTEE</t>
  </si>
  <si>
    <t>2906 HARTMAN ST</t>
  </si>
  <si>
    <t>DEUTSCHE BANK NATIONA</t>
  </si>
  <si>
    <t>NIEDER DAVID A JR &amp; SUSAN L (W)</t>
  </si>
  <si>
    <t>2909 CAKE WAY</t>
  </si>
  <si>
    <t>NIEDER DAVID A JR &amp; S</t>
  </si>
  <si>
    <t xml:space="preserve">NEWCAMP MARLENE </t>
  </si>
  <si>
    <t>0 CAKE WAY</t>
  </si>
  <si>
    <t xml:space="preserve">KHARI KONSTRUCTION CO </t>
  </si>
  <si>
    <t>0 SHADELAND AVE</t>
  </si>
  <si>
    <t xml:space="preserve">ANDERSON NICOLE </t>
  </si>
  <si>
    <t>2909 SHADELAND AVE</t>
  </si>
  <si>
    <t>KINSEY CHARLES E &amp; GEORGETTE K (W)</t>
  </si>
  <si>
    <t>2901 SHADELAND AVE</t>
  </si>
  <si>
    <t>BLACK RIVER REAL ESTATE  DEVELOPMENT LLC</t>
  </si>
  <si>
    <t>2819 SHADELAND AVE</t>
  </si>
  <si>
    <t>BLACK RIVER REAL ESTA</t>
  </si>
  <si>
    <t>IRWIN ST</t>
  </si>
  <si>
    <t xml:space="preserve">GREEN DEREK S </t>
  </si>
  <si>
    <t>2805 FREDERICK ST</t>
  </si>
  <si>
    <t>HANDLOW JOAN</t>
  </si>
  <si>
    <t>SHAMROCK LN</t>
  </si>
  <si>
    <t>2820 SHADELAND AVE</t>
  </si>
  <si>
    <t>N SPRAGE AVE</t>
  </si>
  <si>
    <t xml:space="preserve">HOLIDAY ROY C IV </t>
  </si>
  <si>
    <t>2822 SHADELAND AVE</t>
  </si>
  <si>
    <t>HEIN FRANCES T MCCUE KAREN M</t>
  </si>
  <si>
    <t>2917 FREDERICK ST</t>
  </si>
  <si>
    <t>FREDERICK ST</t>
  </si>
  <si>
    <t xml:space="preserve">A&amp;M INC </t>
  </si>
  <si>
    <t>2918 SHADELAND AVE</t>
  </si>
  <si>
    <t>MCALISTER DR</t>
  </si>
  <si>
    <t>BELLFLOWER REAL ESTATE  LLC</t>
  </si>
  <si>
    <t>2923 FREDERICK ST</t>
  </si>
  <si>
    <t>BELLFLOWER REAL ESTAT</t>
  </si>
  <si>
    <t xml:space="preserve">RASHEED MALIK </t>
  </si>
  <si>
    <t>3002 SHADELAND AVE</t>
  </si>
  <si>
    <t>KINGS HWY E-2</t>
  </si>
  <si>
    <t xml:space="preserve">FDOG LLC </t>
  </si>
  <si>
    <t>CHESTNUT AVE</t>
  </si>
  <si>
    <t xml:space="preserve">OGDEN JACK </t>
  </si>
  <si>
    <t>3005 FREDERICK ST</t>
  </si>
  <si>
    <t xml:space="preserve">PENNINGTON THOMAS E </t>
  </si>
  <si>
    <t>0 FREDERICK ST</t>
  </si>
  <si>
    <t xml:space="preserve">HARDY ROSE ANN </t>
  </si>
  <si>
    <t>MIKLOS JOSEPH P &amp; MARTHA E (W)</t>
  </si>
  <si>
    <t>1239 DICKSON ST</t>
  </si>
  <si>
    <t xml:space="preserve">SPINNER BENJAMIN </t>
  </si>
  <si>
    <t>1232 DICKSON ST</t>
  </si>
  <si>
    <t>SPINNER BENJAMIN</t>
  </si>
  <si>
    <t>HEINZ ST UNIT C310</t>
  </si>
  <si>
    <t>0 DICKSON ST</t>
  </si>
  <si>
    <t>1250 DICKSON ST</t>
  </si>
  <si>
    <t>GEIGER JAMES P &amp; LINDA L (W)</t>
  </si>
  <si>
    <t>1254 DICKSON ST</t>
  </si>
  <si>
    <t>GEIGER JAMES P &amp; LIND</t>
  </si>
  <si>
    <t>GEIGER JAMES P &amp; LINDA (W)</t>
  </si>
  <si>
    <t>1256 DICKSON ST</t>
  </si>
  <si>
    <t xml:space="preserve">JOHNSON CYNTHIA L                               </t>
  </si>
  <si>
    <t>2812 FREDERICK ST</t>
  </si>
  <si>
    <t>JOHNSON CYNTHIA L C/O</t>
  </si>
  <si>
    <t xml:space="preserve">JOHNSON CYNTHIA L </t>
  </si>
  <si>
    <t xml:space="preserve">CHUNG KENNETH </t>
  </si>
  <si>
    <t>60TH DR</t>
  </si>
  <si>
    <t>MIDDLE VILLAGE</t>
  </si>
  <si>
    <t xml:space="preserve">KUCZYNSKI THEODORE S </t>
  </si>
  <si>
    <t>2911 BREKER ST</t>
  </si>
  <si>
    <t>BREKER ST</t>
  </si>
  <si>
    <t xml:space="preserve">BANKERS TRUST COMPANY  OF CALIFORNIA NA        </t>
  </si>
  <si>
    <t>2825 BREKER ST</t>
  </si>
  <si>
    <t>L M RENTAL PROPERTIES  LLC</t>
  </si>
  <si>
    <t>2819 BREKER ST</t>
  </si>
  <si>
    <t>LINDSAY RD</t>
  </si>
  <si>
    <t xml:space="preserve">BROOKS RAYMOND P </t>
  </si>
  <si>
    <t>2817 BREKER ST</t>
  </si>
  <si>
    <t>ASPEN CT</t>
  </si>
  <si>
    <t xml:space="preserve">YOBST JAMES F JR </t>
  </si>
  <si>
    <t>2912 BREKER ST</t>
  </si>
  <si>
    <t xml:space="preserve">MADISON PROPERTY LP </t>
  </si>
  <si>
    <t>2920 BREKER ST</t>
  </si>
  <si>
    <t>PO BOX 38654</t>
  </si>
  <si>
    <t xml:space="preserve">VALORIE BRANDON </t>
  </si>
  <si>
    <t>3007 WADLOW ST</t>
  </si>
  <si>
    <t>WADLOW ST</t>
  </si>
  <si>
    <t>3001 VENSEL WAY LAND  TRUST (THE)</t>
  </si>
  <si>
    <t>3001 VENSEL WAY</t>
  </si>
  <si>
    <t>JOHN R TANNEY (TRUSTE</t>
  </si>
  <si>
    <t>KEIFER DR</t>
  </si>
  <si>
    <t>WORKMAN DAVID A JR &amp; ERIN K ABBOTT</t>
  </si>
  <si>
    <t>0 WADLOW ST</t>
  </si>
  <si>
    <t xml:space="preserve">KRAMER ENTERPRISES </t>
  </si>
  <si>
    <t>2928 WADLOW ST</t>
  </si>
  <si>
    <t>PO BOX 458</t>
  </si>
  <si>
    <t>WALZL ANTHONY J &amp; EILEEN (W)</t>
  </si>
  <si>
    <t>MORROW JOSEPH M &amp; TINA S (W)</t>
  </si>
  <si>
    <t>3006 VENSEL WAY</t>
  </si>
  <si>
    <t>MORROW JOSEPH M &amp; TIN</t>
  </si>
  <si>
    <t>VENSEL WAY</t>
  </si>
  <si>
    <t xml:space="preserve">FERRELL HOLDINGS LLC </t>
  </si>
  <si>
    <t>2812 WADLOW ST</t>
  </si>
  <si>
    <t xml:space="preserve">BUTLER ERIC </t>
  </si>
  <si>
    <t>2808 WADLOW ST</t>
  </si>
  <si>
    <t>ERIC BUTLER</t>
  </si>
  <si>
    <t xml:space="preserve">MITCHELL LYDIA L </t>
  </si>
  <si>
    <t>3011 STAYTON ST</t>
  </si>
  <si>
    <t>0 STAYTON ST</t>
  </si>
  <si>
    <t>LANG CHARLES E &amp; MARGARET C (W)</t>
  </si>
  <si>
    <t>LANGTRY ST</t>
  </si>
  <si>
    <t>LANG CHARLES E &amp; MARGARET C</t>
  </si>
  <si>
    <t>2917 STAYTON ST</t>
  </si>
  <si>
    <t xml:space="preserve">WOLFORD KELLEY L </t>
  </si>
  <si>
    <t>2915 STAYTON ST</t>
  </si>
  <si>
    <t>GRAYBROOK DR</t>
  </si>
  <si>
    <t>2909 STAYTON ST</t>
  </si>
  <si>
    <t xml:space="preserve">GREEN JAMES A </t>
  </si>
  <si>
    <t>2817 STAYTON ST</t>
  </si>
  <si>
    <t>STAYTON ST</t>
  </si>
  <si>
    <t>2811 STAYTON ST LAND TRUST</t>
  </si>
  <si>
    <t>PO BOX 5394</t>
  </si>
  <si>
    <t xml:space="preserve">DORIAN WOOD </t>
  </si>
  <si>
    <t>2805 STAYTON ST</t>
  </si>
  <si>
    <t xml:space="preserve">ECHOLS SHANICE </t>
  </si>
  <si>
    <t>1207 DICKSON ST</t>
  </si>
  <si>
    <t xml:space="preserve">FARIAS HELDER </t>
  </si>
  <si>
    <t>1221 DICKSON ST</t>
  </si>
  <si>
    <t>OTTAWA ONTARIO</t>
  </si>
  <si>
    <t>1222 WOODLAND AVE</t>
  </si>
  <si>
    <t>2713 STAYTON ST</t>
  </si>
  <si>
    <t>A 65TH AVE FL 1</t>
  </si>
  <si>
    <t>73 ACRES PROPERTIES &amp; DEVELOPMENTS LLC</t>
  </si>
  <si>
    <t>2715 STAYTON ST</t>
  </si>
  <si>
    <t>WARR ALLEN &amp; BARBARA E (W)</t>
  </si>
  <si>
    <t>0 MCDOWELL ST</t>
  </si>
  <si>
    <t xml:space="preserve">WARR ALLEN &amp; BARBARA </t>
  </si>
  <si>
    <t xml:space="preserve">HOLECZY ALICE M L/EST                           </t>
  </si>
  <si>
    <t>2717 MCDOWELL ST</t>
  </si>
  <si>
    <t>SHEETS ROBERT  &amp; RICHARD SHEETS</t>
  </si>
  <si>
    <t>2719 MCDOWELL ST</t>
  </si>
  <si>
    <t>SHEETS ROBERT  &amp; RICH</t>
  </si>
  <si>
    <t>MCDOWELL ST FL 1</t>
  </si>
  <si>
    <t xml:space="preserve">JONES JAMES </t>
  </si>
  <si>
    <t>2803 MCDOWELL ST</t>
  </si>
  <si>
    <t xml:space="preserve">HARRIS SHEILA                                   </t>
  </si>
  <si>
    <t>2811 MCDOWELL ST</t>
  </si>
  <si>
    <t xml:space="preserve">MCCARTAN JAMES F </t>
  </si>
  <si>
    <t>2813 MCDOWELL ST</t>
  </si>
  <si>
    <t xml:space="preserve">FARRELL RONALD J </t>
  </si>
  <si>
    <t>1100 WOODLAND AVE</t>
  </si>
  <si>
    <t>S ECULID AVE</t>
  </si>
  <si>
    <t xml:space="preserve">ANDOLINA SANTO JR </t>
  </si>
  <si>
    <t>2722 MCDOWELL ST</t>
  </si>
  <si>
    <t>ROCHE WILLIAM J JR ETAL</t>
  </si>
  <si>
    <t>2800 MCDOWELL ST</t>
  </si>
  <si>
    <t xml:space="preserve">THOMAS SHARIKA </t>
  </si>
  <si>
    <t>WENDY VIEW DR</t>
  </si>
  <si>
    <t xml:space="preserve">PATTERSON CONSTRUCTION </t>
  </si>
  <si>
    <t>1108 MELLA ST</t>
  </si>
  <si>
    <t>P O BOX 1221</t>
  </si>
  <si>
    <t>MOON TWP</t>
  </si>
  <si>
    <t xml:space="preserve">KAMINE SHARON </t>
  </si>
  <si>
    <t>2709 BRIGHTON RD</t>
  </si>
  <si>
    <t>RHEA DR</t>
  </si>
  <si>
    <t xml:space="preserve">BRIGHTWOOD CIVIC GROUP </t>
  </si>
  <si>
    <t>2703 BRIGHTON RD</t>
  </si>
  <si>
    <t xml:space="preserve">LEMING DIANA G </t>
  </si>
  <si>
    <t>1407 DICKSON ST</t>
  </si>
  <si>
    <t>WARR E ALLEN &amp; BARBARA E (W)</t>
  </si>
  <si>
    <t>1403 DICKSON ST</t>
  </si>
  <si>
    <t>JOHNSON MICHAEL A JR &amp; ALEXIA M (W)</t>
  </si>
  <si>
    <t>1401 DICKSON ST</t>
  </si>
  <si>
    <t xml:space="preserve">SINGH KAMINDER                                  </t>
  </si>
  <si>
    <t>1300 WOODLAND AVE</t>
  </si>
  <si>
    <t>SINGH KAMINDER</t>
  </si>
  <si>
    <t>HORIZON DR</t>
  </si>
  <si>
    <t xml:space="preserve">METRO RENTALS LLC </t>
  </si>
  <si>
    <t>1310 WOODLAND AVE</t>
  </si>
  <si>
    <t xml:space="preserve">BRITTIAN HATHERLEY </t>
  </si>
  <si>
    <t>1423 WOODLAND AVE</t>
  </si>
  <si>
    <t xml:space="preserve">ASKEW MICHAEL A                                 </t>
  </si>
  <si>
    <t>1415 WOODLAND AVE</t>
  </si>
  <si>
    <t>ASKEW MICHAEL A</t>
  </si>
  <si>
    <t xml:space="preserve">LYNCH KENDAN DARYL JR </t>
  </si>
  <si>
    <t>1331 WOODLAND AVE</t>
  </si>
  <si>
    <t>2619 SHADELAND AVE</t>
  </si>
  <si>
    <t xml:space="preserve">BRONDER ARTHUR LEO </t>
  </si>
  <si>
    <t>0 THELMA ST</t>
  </si>
  <si>
    <t>THELMA ST</t>
  </si>
  <si>
    <t>BRONDER ANNA MARIE &amp; ARTHUR L BRONDER</t>
  </si>
  <si>
    <t>1314 THELMA ST</t>
  </si>
  <si>
    <t xml:space="preserve">STROUD JAMIE T </t>
  </si>
  <si>
    <t>0 TUMBO ST</t>
  </si>
  <si>
    <t>DOVER PL</t>
  </si>
  <si>
    <t>HAYWARD</t>
  </si>
  <si>
    <t xml:space="preserve">MIKLUSCAK CARL </t>
  </si>
  <si>
    <t>1437 TUMBO ST</t>
  </si>
  <si>
    <t>RAYMOND MIKLUSCAK</t>
  </si>
  <si>
    <t>TUMBO ST</t>
  </si>
  <si>
    <t>1433 TUMBO ST</t>
  </si>
  <si>
    <t xml:space="preserve">BARTLING BENJAMIN </t>
  </si>
  <si>
    <t>0 SUPERIOR AVE</t>
  </si>
  <si>
    <t>BARTLING BENJAMIN</t>
  </si>
  <si>
    <t xml:space="preserve">EQUITY TRUST COMPANY  CUSTODIAN F B O CHARLES </t>
  </si>
  <si>
    <t>1310 SUPERIOR AVE</t>
  </si>
  <si>
    <t>PO BOX 15643</t>
  </si>
  <si>
    <t xml:space="preserve">BURKE RONALD </t>
  </si>
  <si>
    <t>1312 SUPERIOR AVE</t>
  </si>
  <si>
    <t xml:space="preserve">LOUIS ANWAR M                                   </t>
  </si>
  <si>
    <t>1318 SUPERIOR AVE</t>
  </si>
  <si>
    <t xml:space="preserve">HINERMAN JAMIE M </t>
  </si>
  <si>
    <t>1322 SUPERIOR AVE</t>
  </si>
  <si>
    <t>1402 SUPERIOR AVE</t>
  </si>
  <si>
    <t>CARLING AVE STE 298</t>
  </si>
  <si>
    <t>OTTAWA ON K1Z</t>
  </si>
  <si>
    <t xml:space="preserve">GRAY KEITH                                      </t>
  </si>
  <si>
    <t>1250 HODGKISS ST</t>
  </si>
  <si>
    <t>BROEKER JEFFREY &amp; LISA J (W)</t>
  </si>
  <si>
    <t>1321 SUPERIOR AVE</t>
  </si>
  <si>
    <t>BROEKER JEFFREY &amp; LIS</t>
  </si>
  <si>
    <t xml:space="preserve">COOK JOHN J </t>
  </si>
  <si>
    <t>1259 SUPERIOR AVE</t>
  </si>
  <si>
    <t xml:space="preserve">1238 SUPERIOR AVE PA LLC </t>
  </si>
  <si>
    <t>1238 SUPERIOR AVE</t>
  </si>
  <si>
    <t xml:space="preserve">1238 SUPERIOR AVE PA </t>
  </si>
  <si>
    <t>MEMORIAL HWY # 36G</t>
  </si>
  <si>
    <t xml:space="preserve">THOMAS RHONDA V </t>
  </si>
  <si>
    <t>1240 SUPERIOR AVE</t>
  </si>
  <si>
    <t xml:space="preserve">GUISTE MELANIE M </t>
  </si>
  <si>
    <t>1256 SUPERIOR AVE</t>
  </si>
  <si>
    <t xml:space="preserve">MCCREADY DENNIS </t>
  </si>
  <si>
    <t>2634 SHADELAND AVE</t>
  </si>
  <si>
    <t>MCCREADY DENNIS</t>
  </si>
  <si>
    <t>NASSAU PL</t>
  </si>
  <si>
    <t>HEMPSTEAD</t>
  </si>
  <si>
    <t xml:space="preserve">COLEMAN MELISSA L </t>
  </si>
  <si>
    <t>1238 THELMA ST</t>
  </si>
  <si>
    <t xml:space="preserve">MOSER PAUL R </t>
  </si>
  <si>
    <t>1250 THELMA ST</t>
  </si>
  <si>
    <t>1260 THELMA ST</t>
  </si>
  <si>
    <t xml:space="preserve">WALTON CYNTHIA </t>
  </si>
  <si>
    <t>2616 SHADELAND AVE</t>
  </si>
  <si>
    <t xml:space="preserve">MCKAY MAMIE L </t>
  </si>
  <si>
    <t>2618 SHADELAND AVE</t>
  </si>
  <si>
    <t>SHADELAND</t>
  </si>
  <si>
    <t xml:space="preserve">WHITEHEAD SILAS E </t>
  </si>
  <si>
    <t>2620 SHADELAND AVE</t>
  </si>
  <si>
    <t>ROBIBARO JOSEPH  &amp; DOLORES</t>
  </si>
  <si>
    <t>1263 WOODLAND AVE</t>
  </si>
  <si>
    <t xml:space="preserve">REAVES SADIRA </t>
  </si>
  <si>
    <t>1244 WOODLAND AVE</t>
  </si>
  <si>
    <t>1246 WOODLAND AVE</t>
  </si>
  <si>
    <t>1248 WOODLAND AVE</t>
  </si>
  <si>
    <t>1254 WOODLAND AVE</t>
  </si>
  <si>
    <t>BRIGHTWOOD CIVIC GROU</t>
  </si>
  <si>
    <t>PO BOX 10001</t>
  </si>
  <si>
    <t>1256 WOODLAND AVE</t>
  </si>
  <si>
    <t xml:space="preserve">NIEBRZYDOWSKI KIMBERLY </t>
  </si>
  <si>
    <t>2707 FREDERICK ST</t>
  </si>
  <si>
    <t>1214 WOODLAND AVE</t>
  </si>
  <si>
    <t xml:space="preserve">LLC DEALS REAL </t>
  </si>
  <si>
    <t>1213 WOODLAND AVE</t>
  </si>
  <si>
    <t>AMONG US INVESTMENT  GROUP LLC</t>
  </si>
  <si>
    <t>1223 WOODLAND AVE</t>
  </si>
  <si>
    <t>AMONG US INVESTMENT G</t>
  </si>
  <si>
    <t>MARION AVE</t>
  </si>
  <si>
    <t xml:space="preserve">COUNCIL THOMAS L                                </t>
  </si>
  <si>
    <t>1225 WOODLAND AVE</t>
  </si>
  <si>
    <t>DUTCHER ROBERT &amp; JUSTINE (W)</t>
  </si>
  <si>
    <t>2615 STAYTON ST</t>
  </si>
  <si>
    <t>DUTCHER ROBERT &amp; JUST</t>
  </si>
  <si>
    <t>DARRELL DR</t>
  </si>
  <si>
    <t>RAOS REMODELING &amp; RENTALS LLC</t>
  </si>
  <si>
    <t>1200 SUPERIOR AVE</t>
  </si>
  <si>
    <t>RAOS REMODELING &amp; REN</t>
  </si>
  <si>
    <t>PERRYMONT RD</t>
  </si>
  <si>
    <t>NIYIBIZI EMMANUEL &amp; LILIANE (W)</t>
  </si>
  <si>
    <t>1200 HODGKISS ST</t>
  </si>
  <si>
    <t>GAMOR DR</t>
  </si>
  <si>
    <t xml:space="preserve">DUNN DONNA J </t>
  </si>
  <si>
    <t>1238 HODGKISS ST</t>
  </si>
  <si>
    <t xml:space="preserve">SHIPTON GARY W </t>
  </si>
  <si>
    <t>2530 STAYTON ST</t>
  </si>
  <si>
    <t>REBECCA DR</t>
  </si>
  <si>
    <t>RUFFNER JEFFREY W &amp; JAYNE M (W)</t>
  </si>
  <si>
    <t>1111 HODGKISS ST</t>
  </si>
  <si>
    <t xml:space="preserve">EUBANKS DOROTHY </t>
  </si>
  <si>
    <t>1116 HODGKISS ST</t>
  </si>
  <si>
    <t xml:space="preserve">HYDE BARBARA E </t>
  </si>
  <si>
    <t>1120 HODGKISS ST</t>
  </si>
  <si>
    <t xml:space="preserve">MUYA ABDIKADIR M                                </t>
  </si>
  <si>
    <t>2651 MCDOWELL ST</t>
  </si>
  <si>
    <t xml:space="preserve">RYCHORCEWICZ THOMAS </t>
  </si>
  <si>
    <t>2625 BRIGHTON RD</t>
  </si>
  <si>
    <t xml:space="preserve">HENRY VIRGIL </t>
  </si>
  <si>
    <t>HOLBROOK ST</t>
  </si>
  <si>
    <t>SHAMONSKY HELEN  &amp; JOSEPH SHAMONSKY JR ( H)</t>
  </si>
  <si>
    <t>1514 SUPERIOR AVE</t>
  </si>
  <si>
    <t>SHAMONSKY HELEN  &amp; JO</t>
  </si>
  <si>
    <t>1516 SUPERIOR AVE</t>
  </si>
  <si>
    <t>SCOTT RONALD</t>
  </si>
  <si>
    <t>PO BOX 99241</t>
  </si>
  <si>
    <t>2436 CALIFORNIA AVE</t>
  </si>
  <si>
    <t>GRANT ST STE 600</t>
  </si>
  <si>
    <t xml:space="preserve">AVR MANAGEMENT GROUP LLC </t>
  </si>
  <si>
    <t>0 SORRELL ST</t>
  </si>
  <si>
    <t xml:space="preserve">AVR MANAGEMENT GROUP </t>
  </si>
  <si>
    <t>1306 OVERCLIFF WAY</t>
  </si>
  <si>
    <t>NW 127 LN</t>
  </si>
  <si>
    <t>1323 GIFFORD ST</t>
  </si>
  <si>
    <t xml:space="preserve">WANNER MICHAEL </t>
  </si>
  <si>
    <t>1318 GIFFORD ST</t>
  </si>
  <si>
    <t xml:space="preserve">LANE LARON </t>
  </si>
  <si>
    <t>1306 GIFFORD ST</t>
  </si>
  <si>
    <t>LANE LARON</t>
  </si>
  <si>
    <t>MALL BLVD UNIT 188</t>
  </si>
  <si>
    <t xml:space="preserve">KELLY JOHN </t>
  </si>
  <si>
    <t>1309 INGHAM ST</t>
  </si>
  <si>
    <t>INGHAM ST</t>
  </si>
  <si>
    <t xml:space="preserve">BLANCHARD GWENDOLYN </t>
  </si>
  <si>
    <t>2470 TONER ST</t>
  </si>
  <si>
    <t>TONER AVE</t>
  </si>
  <si>
    <t xml:space="preserve">KAY JORDAN </t>
  </si>
  <si>
    <t>2476 TONER ST</t>
  </si>
  <si>
    <t>KAY JORDAN</t>
  </si>
  <si>
    <t>TONER ST</t>
  </si>
  <si>
    <t>0 CLARENCE WAY</t>
  </si>
  <si>
    <t xml:space="preserve">CURRAN SHARON A </t>
  </si>
  <si>
    <t>1330 INGHAM ST</t>
  </si>
  <si>
    <t>BIGLOW MARSHALL &amp; CAROLYN (W)</t>
  </si>
  <si>
    <t>1324 INGHAM ST</t>
  </si>
  <si>
    <t>BIGLOW MARSHALL &amp; CAR</t>
  </si>
  <si>
    <t xml:space="preserve">JOHN HALLIE A </t>
  </si>
  <si>
    <t>1306 INGHAM ST</t>
  </si>
  <si>
    <t xml:space="preserve">FERRETTI JONES CYNTHIA </t>
  </si>
  <si>
    <t>1313 HODGKISS ST</t>
  </si>
  <si>
    <t>GOLDEN KEY DEVELOPMENT  LLC</t>
  </si>
  <si>
    <t>1401 HODGKISS ST</t>
  </si>
  <si>
    <t>GOLDEN KEY DEVELOPMEN</t>
  </si>
  <si>
    <t>CLARE ST</t>
  </si>
  <si>
    <t>KUTH EDWARD A JR &amp; IRENE (W)</t>
  </si>
  <si>
    <t>1423 HODGKISS ST</t>
  </si>
  <si>
    <t>GOLDEN KEY DEVELOPMENT   LLC</t>
  </si>
  <si>
    <t>1325 HIGHWOOD ST</t>
  </si>
  <si>
    <t xml:space="preserve">BATISTA JORGE F </t>
  </si>
  <si>
    <t>1396 HODGKISS ST</t>
  </si>
  <si>
    <t>BATISTA JORGE F</t>
  </si>
  <si>
    <t>WILLIAMS CHARLES &amp; MERYL (W)</t>
  </si>
  <si>
    <t>0 HODGKISS ST</t>
  </si>
  <si>
    <t xml:space="preserve">SPRUILL KARLA G </t>
  </si>
  <si>
    <t>1316 HODGKISS ST</t>
  </si>
  <si>
    <t xml:space="preserve">KUNCO ROSE M </t>
  </si>
  <si>
    <t>1251 HODGKISS ST</t>
  </si>
  <si>
    <t xml:space="preserve">HAMM RICHARD E </t>
  </si>
  <si>
    <t>1231 HODGKISS ST</t>
  </si>
  <si>
    <t>1112 INGHAM ST</t>
  </si>
  <si>
    <t xml:space="preserve">HAWTHORNE BARBARA L </t>
  </si>
  <si>
    <t>1116 INGHAM ST</t>
  </si>
  <si>
    <t xml:space="preserve">NAVAS JOHANDER EVARISTO </t>
  </si>
  <si>
    <t>1120 INGHAM ST</t>
  </si>
  <si>
    <t>NAVAS JOHANDER EVARIS</t>
  </si>
  <si>
    <t>LORINC MICHAEL J &amp; ELIZABETH L (W)</t>
  </si>
  <si>
    <t>1261 INGHAM ST</t>
  </si>
  <si>
    <t>ROSS HERBERT C JR &amp; SANDRA R (W)</t>
  </si>
  <si>
    <t>1123 INGHAM ST</t>
  </si>
  <si>
    <t>FLORA ST</t>
  </si>
  <si>
    <t>DOHLER GEORGE H &amp; WILLIAM J</t>
  </si>
  <si>
    <t>1112 MARSHALL AVE</t>
  </si>
  <si>
    <t>GAY RD</t>
  </si>
  <si>
    <t>NORTH EAST</t>
  </si>
  <si>
    <t>WEBSTER VALERIE MARIE &amp; DAVID WARREN (H)</t>
  </si>
  <si>
    <t>1165 NEW HAMPSHIRE DR</t>
  </si>
  <si>
    <t>WEBSTER VALERIE MARIE</t>
  </si>
  <si>
    <t>NEW HAMPSHIRE DR</t>
  </si>
  <si>
    <t>HERRING JAMES R JR &amp; CONSTANCE (W)</t>
  </si>
  <si>
    <t>1131 NEW HAMPSHIRE DR</t>
  </si>
  <si>
    <t>W PROSPECT AVE</t>
  </si>
  <si>
    <t>0 NEW HAMPSHIRE DR</t>
  </si>
  <si>
    <t xml:space="preserve">BUTLER MARLENE </t>
  </si>
  <si>
    <t>1134 MARSHALL AVE</t>
  </si>
  <si>
    <t xml:space="preserve">1134 RIDGELAND DR LLC </t>
  </si>
  <si>
    <t>1134 RIDGELAND DR</t>
  </si>
  <si>
    <t>S AVENUE A</t>
  </si>
  <si>
    <t xml:space="preserve">MENDEZ CRISTIAN J </t>
  </si>
  <si>
    <t>1152 RIDGELAND DR</t>
  </si>
  <si>
    <t xml:space="preserve">MILES SHERI J </t>
  </si>
  <si>
    <t>2404 RIDGELAND PL</t>
  </si>
  <si>
    <t>RIDGELAND PL</t>
  </si>
  <si>
    <t>SMITH KENNETH SMITH SHANTAY SMITH</t>
  </si>
  <si>
    <t>1125 RIDGELAND DR</t>
  </si>
  <si>
    <t xml:space="preserve">RIESMEYER TERESA LYNNE </t>
  </si>
  <si>
    <t>1123 MARSHALL AVE</t>
  </si>
  <si>
    <t>TREESE DEL S &amp; SADIE M (W)</t>
  </si>
  <si>
    <t>1115 MARSHALL AVE</t>
  </si>
  <si>
    <t>2435 BRIGHTON RD</t>
  </si>
  <si>
    <t>EMPIRE STATE  DISTRIBUTION LLC</t>
  </si>
  <si>
    <t>2415 BRIGHTON RD</t>
  </si>
  <si>
    <t>VALON MORTGAGE INC.</t>
  </si>
  <si>
    <t>P O BOX 120553</t>
  </si>
  <si>
    <t>0 HALSEY PL</t>
  </si>
  <si>
    <t>1332 HALSEY PL</t>
  </si>
  <si>
    <t>KLEIN ROBERT  &amp; KEVIN KLEIN</t>
  </si>
  <si>
    <t>KLEIN ROBERT  &amp; KEVIN</t>
  </si>
  <si>
    <t>ZEIGLER RD</t>
  </si>
  <si>
    <t xml:space="preserve">BURKE WILMA L </t>
  </si>
  <si>
    <t>1322 HALSEY PL</t>
  </si>
  <si>
    <t>HALSEY PL</t>
  </si>
  <si>
    <t xml:space="preserve">FARROW YVETTE </t>
  </si>
  <si>
    <t>1320 HALSEY PL</t>
  </si>
  <si>
    <t xml:space="preserve">EICH LARRY </t>
  </si>
  <si>
    <t>1318 HALSEY PL</t>
  </si>
  <si>
    <t xml:space="preserve">WEAVER EARL T </t>
  </si>
  <si>
    <t>MARGARET HARTZELL</t>
  </si>
  <si>
    <t>PATTERSON RD</t>
  </si>
  <si>
    <t>EICH MATTHEW J &amp; ELMER R EICH</t>
  </si>
  <si>
    <t>1314 HALSEY PL</t>
  </si>
  <si>
    <t xml:space="preserve">EICH MATTHEW </t>
  </si>
  <si>
    <t>1308 HALSEY PL</t>
  </si>
  <si>
    <t>TRISCHLER HARRY W &amp; PATRICIA ANN (W)</t>
  </si>
  <si>
    <t>1302 HALSEY PL</t>
  </si>
  <si>
    <t>TRISCHLER HARRY W &amp; P</t>
  </si>
  <si>
    <t xml:space="preserve">WALLACE GINGER L </t>
  </si>
  <si>
    <t>GIBSONIA RD</t>
  </si>
  <si>
    <t xml:space="preserve">TORRES WALESKA </t>
  </si>
  <si>
    <t>1308 JAWETT ST</t>
  </si>
  <si>
    <t>STEWARDSHIP FUND  LP</t>
  </si>
  <si>
    <t>JUCUNDA ST</t>
  </si>
  <si>
    <t>BREITMOS RUSSELL  &amp; MICHELE A (W)</t>
  </si>
  <si>
    <t>0 HALSEY PL 1323</t>
  </si>
  <si>
    <t>HAYLEES LN</t>
  </si>
  <si>
    <t>BREITMOS RUSSELL  &amp; MICHELA A (W)</t>
  </si>
  <si>
    <t xml:space="preserve">SOPHIA BENDER ESTATE </t>
  </si>
  <si>
    <t xml:space="preserve">BOATENG CHRISTIANA                              </t>
  </si>
  <si>
    <t>0 MCCOOK ST</t>
  </si>
  <si>
    <t>FOX CHAPEL RD</t>
  </si>
  <si>
    <t>KROLL DANIEL J &amp; CATHERINE H</t>
  </si>
  <si>
    <t>KROLL DANIEL J &amp; CATH</t>
  </si>
  <si>
    <t>MCCOOK RD</t>
  </si>
  <si>
    <t xml:space="preserve">GRAYSON DIONNE J </t>
  </si>
  <si>
    <t>2356 MCCOOK ST</t>
  </si>
  <si>
    <t>MCCOOK ST</t>
  </si>
  <si>
    <t xml:space="preserve">ROBINSON RICHARD L </t>
  </si>
  <si>
    <t>MANGONE MELISSA  &amp; MATTHEW J EICH</t>
  </si>
  <si>
    <t>2350 MCCOOK ST</t>
  </si>
  <si>
    <t>LUECK BERNARD J JR &amp; DEBORAH A (W)</t>
  </si>
  <si>
    <t>EHLE AVE</t>
  </si>
  <si>
    <t>2344 MCCOOK ST</t>
  </si>
  <si>
    <t>2342 MCCOOK ST</t>
  </si>
  <si>
    <t xml:space="preserve">MCCASKEY MARY </t>
  </si>
  <si>
    <t xml:space="preserve">POLYAK JOSEPH  &amp; MILDRED </t>
  </si>
  <si>
    <t xml:space="preserve">SAUNDERS JOHN </t>
  </si>
  <si>
    <t>1326 LIEB WAY</t>
  </si>
  <si>
    <t>PO BOX 99275</t>
  </si>
  <si>
    <t xml:space="preserve">CROSS DEBORAH &amp; JAY (H) </t>
  </si>
  <si>
    <t>1322 LIEB WAY</t>
  </si>
  <si>
    <t>LIEB WAY</t>
  </si>
  <si>
    <t xml:space="preserve">SUTTLE LILLIAN ELEANOR </t>
  </si>
  <si>
    <t>0 JEWETTE ST</t>
  </si>
  <si>
    <t>JAWETTE ST</t>
  </si>
  <si>
    <t>0 JAWETT ST</t>
  </si>
  <si>
    <t xml:space="preserve">WALDEN DAVID K SR </t>
  </si>
  <si>
    <t>1338 MARSHALL AVE</t>
  </si>
  <si>
    <t xml:space="preserve">HARRIS SHANEKKA R </t>
  </si>
  <si>
    <t>1334 MARSHALL AVE</t>
  </si>
  <si>
    <t xml:space="preserve">FLORA ROSANNA </t>
  </si>
  <si>
    <t>1332 MARSHALL AVE</t>
  </si>
  <si>
    <t>OUTLOOK DR</t>
  </si>
  <si>
    <t xml:space="preserve">FANELLI RICHARD A </t>
  </si>
  <si>
    <t>1330 MARSHALL AVE</t>
  </si>
  <si>
    <t>FANELLI ALEXANDER  &amp; GERALDINE (W)</t>
  </si>
  <si>
    <t>KENNEALLY JOHN R &amp; JANE K (W)</t>
  </si>
  <si>
    <t xml:space="preserve">PATRICK RICHARD N </t>
  </si>
  <si>
    <t>LOWE RALPH B &amp; DEBORAH K (W)</t>
  </si>
  <si>
    <t>DIANA LOWE</t>
  </si>
  <si>
    <t>LIVINGSTON ROBERT &amp; TYHESHAE (W)</t>
  </si>
  <si>
    <t>1314 MARSHALL AVE</t>
  </si>
  <si>
    <t>LIVINGSTON ROBERT &amp; T</t>
  </si>
  <si>
    <t>1312 MARSHALL AVE</t>
  </si>
  <si>
    <t>TANALIAN FALLS LN</t>
  </si>
  <si>
    <t>BRISTOW</t>
  </si>
  <si>
    <t xml:space="preserve">MAHICH BEVERLY </t>
  </si>
  <si>
    <t>1311 LIEB WAY</t>
  </si>
  <si>
    <t>PRYOR LEDGER  &amp; MARGARET C</t>
  </si>
  <si>
    <t xml:space="preserve">SWEENEY ANTOINETTE M </t>
  </si>
  <si>
    <t>MCKEES ROCKS</t>
  </si>
  <si>
    <t xml:space="preserve">KEYS GAIL </t>
  </si>
  <si>
    <t>1402 MARSHALL AVE</t>
  </si>
  <si>
    <t xml:space="preserve">LARDO ALBERT A </t>
  </si>
  <si>
    <t>1400 MARSHALL AVE</t>
  </si>
  <si>
    <t>ALBERT A LARDO</t>
  </si>
  <si>
    <t>PO BOX 15534</t>
  </si>
  <si>
    <t>2334 MANNHEIM ST</t>
  </si>
  <si>
    <t xml:space="preserve">LEE ROBERT J </t>
  </si>
  <si>
    <t>2336 MANNHEIM ST</t>
  </si>
  <si>
    <t>LEE ROBERT J</t>
  </si>
  <si>
    <t xml:space="preserve">IB PROPERTY HOLDINGS LLC </t>
  </si>
  <si>
    <t>0 MANNHEIM ST</t>
  </si>
  <si>
    <t>CORAL GABLES</t>
  </si>
  <si>
    <t>MANGONE MELISSA  &amp; MA</t>
  </si>
  <si>
    <t>MANGONE DENISE A &amp; CLIFFORD D EICH</t>
  </si>
  <si>
    <t>2359 MCCOOK ST</t>
  </si>
  <si>
    <t>4TH AVE</t>
  </si>
  <si>
    <t>WEST VIEW</t>
  </si>
  <si>
    <t xml:space="preserve">ROSS TAMRA L </t>
  </si>
  <si>
    <t>2318 ATMORE ST</t>
  </si>
  <si>
    <t>LORLEI LN</t>
  </si>
  <si>
    <t xml:space="preserve">ROSS TAMARA </t>
  </si>
  <si>
    <t>2316 ATMORE ST</t>
  </si>
  <si>
    <t>E LORELI LN</t>
  </si>
  <si>
    <t xml:space="preserve">REPOSITORY REALTY INC </t>
  </si>
  <si>
    <t>MANNHEIM ST</t>
  </si>
  <si>
    <t xml:space="preserve">BLUE VIEW CORPORATION </t>
  </si>
  <si>
    <t>PO BOX 1048</t>
  </si>
  <si>
    <t xml:space="preserve">HEYDEN LILLA </t>
  </si>
  <si>
    <t>2354 ATMORE ST</t>
  </si>
  <si>
    <t>W ARCADIA DR</t>
  </si>
  <si>
    <t xml:space="preserve">DANDRIDGE LARRY D JR </t>
  </si>
  <si>
    <t>2356 ATMORE ST</t>
  </si>
  <si>
    <t>PO BOX 68055</t>
  </si>
  <si>
    <t xml:space="preserve">PANNIER CHARLES L </t>
  </si>
  <si>
    <t xml:space="preserve">LEE &amp; STEINE DEVELOPMENT </t>
  </si>
  <si>
    <t>SHAKESPEARE RD</t>
  </si>
  <si>
    <t xml:space="preserve">TERRY TIFFANY </t>
  </si>
  <si>
    <t>1404 HALSEY PL</t>
  </si>
  <si>
    <t>LUNDY WILLIAM P &amp; TAMMY M (W)</t>
  </si>
  <si>
    <t>1402 HALSEY PL</t>
  </si>
  <si>
    <t xml:space="preserve">GULANDA WILLIAM P JR </t>
  </si>
  <si>
    <t>1400 HALSEY PL</t>
  </si>
  <si>
    <t xml:space="preserve">HRABAK CARL V </t>
  </si>
  <si>
    <t>0 COLORADO ST</t>
  </si>
  <si>
    <t xml:space="preserve">MAIER BRIAN DAVID </t>
  </si>
  <si>
    <t xml:space="preserve">TOCCI JAQUILYN </t>
  </si>
  <si>
    <t xml:space="preserve">KAVALIERATOS NICK                               </t>
  </si>
  <si>
    <t>2342 COLORADO ST</t>
  </si>
  <si>
    <t xml:space="preserve">STEFANOWICZ JANET R </t>
  </si>
  <si>
    <t>2343 ATMORE ST</t>
  </si>
  <si>
    <t xml:space="preserve">VOGEL WILLIAM A </t>
  </si>
  <si>
    <t>2341 ATMORE ST</t>
  </si>
  <si>
    <t>BLOSSOM LN</t>
  </si>
  <si>
    <t>RUSSELL FLORENCE ANN &amp; JAMES W GREENWAHT  JR</t>
  </si>
  <si>
    <t>2329 ATMORE ST</t>
  </si>
  <si>
    <t>NORTHWAY ST</t>
  </si>
  <si>
    <t>ROSEVILLE</t>
  </si>
  <si>
    <t xml:space="preserve">PSENICNAK MICHAEL </t>
  </si>
  <si>
    <t>2325 ATMORE ST</t>
  </si>
  <si>
    <t xml:space="preserve">LOGAN JAMES E III </t>
  </si>
  <si>
    <t>2320 COLORADO ST</t>
  </si>
  <si>
    <t>COLORADO ST</t>
  </si>
  <si>
    <t xml:space="preserve">FACEMIRE RICHARD L </t>
  </si>
  <si>
    <t>2318 COLORADO ST</t>
  </si>
  <si>
    <t>LEACH RD</t>
  </si>
  <si>
    <t>2317 ATMORE ST</t>
  </si>
  <si>
    <t xml:space="preserve">SALAS OSCAR R </t>
  </si>
  <si>
    <t xml:space="preserve">OSBORNE SANDRA J </t>
  </si>
  <si>
    <t>LAUTIERO JOSEPH A &amp; MARY ANN D</t>
  </si>
  <si>
    <t>1411 HALSEY PL</t>
  </si>
  <si>
    <t>LAUTIERO JOSEPH A &amp; M</t>
  </si>
  <si>
    <t>1413 HALSEY PL</t>
  </si>
  <si>
    <t xml:space="preserve">FRIEDMAN LARRY B </t>
  </si>
  <si>
    <t>BOWER HILL RD UNIT 213</t>
  </si>
  <si>
    <t xml:space="preserve">LEROSE LISA                                     </t>
  </si>
  <si>
    <t>2332 CALIFORNIA AVE</t>
  </si>
  <si>
    <t>LEROSE MARK</t>
  </si>
  <si>
    <t>2334 CALIFORNIA AVE</t>
  </si>
  <si>
    <t>BIVINS LAUREN</t>
  </si>
  <si>
    <t>PADEN ST</t>
  </si>
  <si>
    <t xml:space="preserve">TRAMMELL RAMON </t>
  </si>
  <si>
    <t xml:space="preserve">PTOMEY MARY </t>
  </si>
  <si>
    <t>2349 COLORADO ST</t>
  </si>
  <si>
    <t>BRINTON MANOR DR APT B108</t>
  </si>
  <si>
    <t xml:space="preserve">THREE RIVERS PROPERTY  DEVELOPMENT GROUP       </t>
  </si>
  <si>
    <t>2406 CALIFORNIA AVE</t>
  </si>
  <si>
    <t>2ND AVE STE 110</t>
  </si>
  <si>
    <t>NELSON BRENT             ETAL</t>
  </si>
  <si>
    <t>2415 COLORADO ST</t>
  </si>
  <si>
    <t>GRIMES ST</t>
  </si>
  <si>
    <t xml:space="preserve">NELSON BRENT </t>
  </si>
  <si>
    <t xml:space="preserve">BARILE ALBERT L &amp; LOLA </t>
  </si>
  <si>
    <t xml:space="preserve">O'MALLEY JANE B </t>
  </si>
  <si>
    <t>2428 CALIFORNIA AVE</t>
  </si>
  <si>
    <t>CAMBRIDGE SPRI</t>
  </si>
  <si>
    <t>CAMINO DAVID J &amp; MARY (W)</t>
  </si>
  <si>
    <t>1161 RIDGELAND DR</t>
  </si>
  <si>
    <t>CAMINO DAVID J &amp; MARY</t>
  </si>
  <si>
    <t>LAKE RD</t>
  </si>
  <si>
    <t>SANDY LAKE</t>
  </si>
  <si>
    <t>1201 MARSHALL AVE</t>
  </si>
  <si>
    <t xml:space="preserve">TENCH JEANETTE </t>
  </si>
  <si>
    <t>1211 MARSHALL AVE</t>
  </si>
  <si>
    <t xml:space="preserve">PEEBLES JEANETTE </t>
  </si>
  <si>
    <t>3593 ELMHURST AVE</t>
  </si>
  <si>
    <t>ELMHURST AVE</t>
  </si>
  <si>
    <t>WOJCIECHOWSKI EUGENE P &amp; ROBERTA A (W)</t>
  </si>
  <si>
    <t>3585 ELMHURST AVE</t>
  </si>
  <si>
    <t xml:space="preserve">CORDOBA COMPANY INC </t>
  </si>
  <si>
    <t>3577 ELMHURST AVE</t>
  </si>
  <si>
    <t>MILAN AVE</t>
  </si>
  <si>
    <t>BALTOS DORA LEE &amp; THOMAS R (H)</t>
  </si>
  <si>
    <t>3561 ELMHURST AVE</t>
  </si>
  <si>
    <t>CLARK DEBORAH &amp; WILLIAM SR (H)</t>
  </si>
  <si>
    <t>3555 ELMHURST AVE</t>
  </si>
  <si>
    <t>CINKAN DONALD B &amp; MARY (W)</t>
  </si>
  <si>
    <t>0 ELMHURST AVE</t>
  </si>
  <si>
    <t>RICHARDSON AVE</t>
  </si>
  <si>
    <t xml:space="preserve">PIERCE ROBINSON </t>
  </si>
  <si>
    <t>1728 VERNER AVE</t>
  </si>
  <si>
    <t xml:space="preserve">GILES DONALD E </t>
  </si>
  <si>
    <t>0 VERNER AVE</t>
  </si>
  <si>
    <t>HALLER ST</t>
  </si>
  <si>
    <t>3640 VERNER AVE</t>
  </si>
  <si>
    <t xml:space="preserve">GILES DONALD </t>
  </si>
  <si>
    <t>1743 VERNER AVE</t>
  </si>
  <si>
    <t>VERNER AVE</t>
  </si>
  <si>
    <t>1817 DAVIS AVE</t>
  </si>
  <si>
    <t xml:space="preserve">KOAH GARY L &amp; LYNN A (W) </t>
  </si>
  <si>
    <t>1813 DAVIS AVE</t>
  </si>
  <si>
    <t xml:space="preserve">CINKAN BARBARA ANN </t>
  </si>
  <si>
    <t>1807 DAVIS AVE</t>
  </si>
  <si>
    <t xml:space="preserve">MURRAY SHAKUR G </t>
  </si>
  <si>
    <t>3611 MEXICO ST</t>
  </si>
  <si>
    <t>DAVIS AVE APT 2</t>
  </si>
  <si>
    <t>1806 DAVIS AVE</t>
  </si>
  <si>
    <t xml:space="preserve">WANNER MICHAEL W </t>
  </si>
  <si>
    <t>1808 DAVIS AVE</t>
  </si>
  <si>
    <t>1810 DAVIS AVE</t>
  </si>
  <si>
    <t xml:space="preserve">CHERRY GLADYS M </t>
  </si>
  <si>
    <t>1816 DAVIS AVE</t>
  </si>
  <si>
    <t>URBAN JOANN  &amp; MORGAN SENCHISEN</t>
  </si>
  <si>
    <t>3612 GRENADA ST</t>
  </si>
  <si>
    <t>RIDGEWOOD AVE</t>
  </si>
  <si>
    <t>VETERANS AFFAIRS ADMINISTRATION ETAL</t>
  </si>
  <si>
    <t>1811 COTTAGE PL</t>
  </si>
  <si>
    <t>COTTAGE PL</t>
  </si>
  <si>
    <t>HENNIQUAN GREGORY K &amp; BERNICE A (W)</t>
  </si>
  <si>
    <t>1809 COTTAGE PL</t>
  </si>
  <si>
    <t xml:space="preserve">WATKINS JASON </t>
  </si>
  <si>
    <t>0 MEXICO ST</t>
  </si>
  <si>
    <t>GRENADA ST</t>
  </si>
  <si>
    <t>3634 GRENADA ST</t>
  </si>
  <si>
    <t xml:space="preserve">MCGRATH MOLLI </t>
  </si>
  <si>
    <t>3617 CALIFORNIA AVE</t>
  </si>
  <si>
    <t>MOLLI MCGRATH</t>
  </si>
  <si>
    <t>MILGRAM LIA E &amp; MATTHEW D (H)</t>
  </si>
  <si>
    <t>3650 CALIFORNIA AVE</t>
  </si>
  <si>
    <t>3641 MASSACHUSETTS AVE</t>
  </si>
  <si>
    <t>KUNSAK THOMAS P &amp; BARBARA C (W)</t>
  </si>
  <si>
    <t>1626 DAVIS AVE</t>
  </si>
  <si>
    <t>KUNSAK THOMAS P &amp; BAR</t>
  </si>
  <si>
    <t>3552 CALIFORNIA AVE</t>
  </si>
  <si>
    <t>3548 CALIFORNIA AVE</t>
  </si>
  <si>
    <t xml:space="preserve">ROSS ADAM DAVID                                 </t>
  </si>
  <si>
    <t>3533 FLEMING AVE</t>
  </si>
  <si>
    <t>ROSS ADAM DAVID</t>
  </si>
  <si>
    <t>S CENTRAL BLVD APT 14</t>
  </si>
  <si>
    <t>JUPITER</t>
  </si>
  <si>
    <t xml:space="preserve">KOLOR HOMES LLC </t>
  </si>
  <si>
    <t>3537 FLEMING AVE</t>
  </si>
  <si>
    <t xml:space="preserve">ROSS ADAM D </t>
  </si>
  <si>
    <t>3539 FLEMING AVE</t>
  </si>
  <si>
    <t>ROSS ADAM D</t>
  </si>
  <si>
    <t>S CENTRAL BLVD STE 14</t>
  </si>
  <si>
    <t xml:space="preserve">BROPHY TIMOTHY J </t>
  </si>
  <si>
    <t>3619 FLEMING AVE</t>
  </si>
  <si>
    <t xml:space="preserve">GALARDI DIANE MARIE </t>
  </si>
  <si>
    <t>1437 ORCHLEE ST</t>
  </si>
  <si>
    <t>GALARDI DIANE MARIE</t>
  </si>
  <si>
    <t>ORCHLEE ST</t>
  </si>
  <si>
    <t>COX DONALD C &amp; BARBARA V (W)</t>
  </si>
  <si>
    <t>1507 ORCHLEE ST</t>
  </si>
  <si>
    <t xml:space="preserve">DEVITT CECILIA  &amp; PATRICIA ANN MILLER     </t>
  </si>
  <si>
    <t>1516 DAVIS AVE</t>
  </si>
  <si>
    <t>MARTSOLF AVE</t>
  </si>
  <si>
    <t xml:space="preserve">TONAPAH PROPERTY LP </t>
  </si>
  <si>
    <t>1510 DAVIS AVE</t>
  </si>
  <si>
    <t xml:space="preserve">RLG COMMISSIONS LLC </t>
  </si>
  <si>
    <t>1508 DAVIS AVE</t>
  </si>
  <si>
    <t>OAKLAND SQ APT 1</t>
  </si>
  <si>
    <t xml:space="preserve">RICKARD TYLER J </t>
  </si>
  <si>
    <t>1506 DAVIS AVE</t>
  </si>
  <si>
    <t>1502 DAVIS AVE</t>
  </si>
  <si>
    <t xml:space="preserve">WARD LILLIAN A </t>
  </si>
  <si>
    <t>1447 DAVIS AVE</t>
  </si>
  <si>
    <t xml:space="preserve">COOPER ADRIANNE LYNETTE                         </t>
  </si>
  <si>
    <t>1519 DAVIS AVE</t>
  </si>
  <si>
    <t>COOPER ADRIANNE LYNET</t>
  </si>
  <si>
    <t>OLIVER WALTER &amp; ADRIANNE COOPER</t>
  </si>
  <si>
    <t>1527 DAVIS AVE</t>
  </si>
  <si>
    <t xml:space="preserve">COOPER ADRIENNE </t>
  </si>
  <si>
    <t>1523 DAVIS AVE</t>
  </si>
  <si>
    <t>MC ALISTER DR</t>
  </si>
  <si>
    <t>MCCARTHY HARRY J &amp; JOYCE A (W)</t>
  </si>
  <si>
    <t>1525 DAVIS AVE</t>
  </si>
  <si>
    <t xml:space="preserve">BALCOM DARIAN C </t>
  </si>
  <si>
    <t>3542 FLEMING AVE</t>
  </si>
  <si>
    <t xml:space="preserve">CUDA KIMBERLY R </t>
  </si>
  <si>
    <t>3534 FLEMING AVE</t>
  </si>
  <si>
    <t>HUGHEY CALVIN D &amp; LINDA M (W)</t>
  </si>
  <si>
    <t>3528 MCCLURE AVE</t>
  </si>
  <si>
    <t>GAYDOS JOHN  &amp; OLGA MACOSKO (W)</t>
  </si>
  <si>
    <t>GAYDOS JOHN  &amp; OLGA M</t>
  </si>
  <si>
    <t xml:space="preserve">OVERBEY BRIAN                                   </t>
  </si>
  <si>
    <t>3506 SHADELAND AVE</t>
  </si>
  <si>
    <t>DAYTON DR APT 52D</t>
  </si>
  <si>
    <t>EDISON</t>
  </si>
  <si>
    <t xml:space="preserve">BURTON MICHAEL E </t>
  </si>
  <si>
    <t>3512 SHADELAND AVE</t>
  </si>
  <si>
    <t>URBAN EQUITY BUILDERS</t>
  </si>
  <si>
    <t xml:space="preserve">LEMANSKI SARAH                                  </t>
  </si>
  <si>
    <t>3553 GERBER AVE</t>
  </si>
  <si>
    <t xml:space="preserve">MARCHETTI GABERIEL  MICHAEL                 </t>
  </si>
  <si>
    <t>3537 GERBER AVE</t>
  </si>
  <si>
    <t>MARCHETTI GABERIEL MI</t>
  </si>
  <si>
    <t>GERBER AVE</t>
  </si>
  <si>
    <t xml:space="preserve">AKIN LILIAN A </t>
  </si>
  <si>
    <t>3510 GERBER AVE</t>
  </si>
  <si>
    <t xml:space="preserve">HARDY DIEON R </t>
  </si>
  <si>
    <t>3524 GERBER AVE</t>
  </si>
  <si>
    <t xml:space="preserve">COOPER CHRISTOPHER J                            </t>
  </si>
  <si>
    <t>3536 GERBER AVE</t>
  </si>
  <si>
    <t xml:space="preserve">REMEDY REDEVELOPMENT LLC </t>
  </si>
  <si>
    <t>3558 GERBER AVE</t>
  </si>
  <si>
    <t xml:space="preserve">REMEDY REDEVELOPMENT </t>
  </si>
  <si>
    <t xml:space="preserve">MCINNES SHAUNA ELIZABETH </t>
  </si>
  <si>
    <t>3525 SIMEN AVE</t>
  </si>
  <si>
    <t>BAUER CHRIS  &amp; THERESA S (W)</t>
  </si>
  <si>
    <t>3578 BRIGHTON RD</t>
  </si>
  <si>
    <t xml:space="preserve">REHAB FINANCIAL GROUP LP </t>
  </si>
  <si>
    <t>3537 CALIFORNIA AVE</t>
  </si>
  <si>
    <t xml:space="preserve">RHAB FINANCIAL GROUP </t>
  </si>
  <si>
    <t>LANCASTER AVE STE 15C</t>
  </si>
  <si>
    <t>BRYN MAWR</t>
  </si>
  <si>
    <t>SHEPTYTSKY ARMS  APARTMENTS PENN LP</t>
  </si>
  <si>
    <t>3505 MEXICO ST</t>
  </si>
  <si>
    <t>SHEPTYTSKY ARMS APART</t>
  </si>
  <si>
    <t>MEXICO ST</t>
  </si>
  <si>
    <t>RUTHENIAN (UKRAINIAN)GREEK CATHOLI</t>
  </si>
  <si>
    <t>3455 CALIFORNIA AVE</t>
  </si>
  <si>
    <t>ST GEORGE UKRAINIAN C</t>
  </si>
  <si>
    <t xml:space="preserve">NEECAY PARTNERS LLC </t>
  </si>
  <si>
    <t>3542 CALIFORNIA AVE</t>
  </si>
  <si>
    <t>PO BOX 253</t>
  </si>
  <si>
    <t xml:space="preserve">HUGHES DORIAN </t>
  </si>
  <si>
    <t>3538 CALIFORNIA AVE</t>
  </si>
  <si>
    <t>SEARIGHT RALPH J JR &amp; JOYCE (W)</t>
  </si>
  <si>
    <t>3536 CALIFORNIA AVE</t>
  </si>
  <si>
    <t xml:space="preserve">MCDERMOTT NATHAN JAMES &amp;                        </t>
  </si>
  <si>
    <t>1632 FALCK AVE</t>
  </si>
  <si>
    <t>MCDERMOTT NATHAN JAME</t>
  </si>
  <si>
    <t xml:space="preserve">CASHDOLLAR PAMELA D </t>
  </si>
  <si>
    <t>3518 MASSACHUSETTS AVE</t>
  </si>
  <si>
    <t>MASSACHUSETTS AVE</t>
  </si>
  <si>
    <t xml:space="preserve">SCHWEIGERT ADAM </t>
  </si>
  <si>
    <t>3514 MASSACHUSETTS AVE</t>
  </si>
  <si>
    <t>TIAA</t>
  </si>
  <si>
    <t>W BAY ST</t>
  </si>
  <si>
    <t xml:space="preserve">WESTERMAN DANIEL A </t>
  </si>
  <si>
    <t>1615 FALCK AVE</t>
  </si>
  <si>
    <t>WHEELER AVE</t>
  </si>
  <si>
    <t xml:space="preserve">FRANNIE P PROPERTIES  LLC                     </t>
  </si>
  <si>
    <t>3521 FLEMING AVE</t>
  </si>
  <si>
    <t>SILVER ROCK PROPERTIES PA1 LLC</t>
  </si>
  <si>
    <t>3441 FLEMING AVE</t>
  </si>
  <si>
    <t>FOX CENTRE PKWY</t>
  </si>
  <si>
    <t>GLOUCESTER</t>
  </si>
  <si>
    <t xml:space="preserve">NOVAK THOMAS C </t>
  </si>
  <si>
    <t>3420 FLEMING AVE</t>
  </si>
  <si>
    <t xml:space="preserve">A RICH YOUNG LLC </t>
  </si>
  <si>
    <t>3434 FLEMING AVE</t>
  </si>
  <si>
    <t>A RICH YOUNG LLC</t>
  </si>
  <si>
    <t>TIBI CHARLES W &amp; THOMAS C TIBI SR</t>
  </si>
  <si>
    <t>0 FLEMING AVE</t>
  </si>
  <si>
    <t>TERMON AVE</t>
  </si>
  <si>
    <t xml:space="preserve">SECURITY PACIFIC  NTIONAL BANK TRUSTEE AM </t>
  </si>
  <si>
    <t>0 SIPE ST</t>
  </si>
  <si>
    <t>SECURITY PACIFIC NTIO</t>
  </si>
  <si>
    <t>GIGLER DONALD A &amp; CHRISTINE L (W)</t>
  </si>
  <si>
    <t>3431 SIPE ST</t>
  </si>
  <si>
    <t xml:space="preserve">SANNER BARBARA </t>
  </si>
  <si>
    <t>3432 SIPE ST</t>
  </si>
  <si>
    <t>ONEIL JAMIE              ETAL</t>
  </si>
  <si>
    <t>3450 SIPE ST</t>
  </si>
  <si>
    <t>MONOGAHELA AVE</t>
  </si>
  <si>
    <t>1552 HUBBARD ST</t>
  </si>
  <si>
    <t xml:space="preserve">WINTERS KIMBERLY </t>
  </si>
  <si>
    <t>1554 HUBBARD ST</t>
  </si>
  <si>
    <t>HUBBARD ST</t>
  </si>
  <si>
    <t>3452 FLEMING AVE</t>
  </si>
  <si>
    <t xml:space="preserve">YOUNGER JENELL </t>
  </si>
  <si>
    <t>3454 FLEMING AVE</t>
  </si>
  <si>
    <t xml:space="preserve">KOZEAK MICHAEL A </t>
  </si>
  <si>
    <t>3502 FLEMING AVE</t>
  </si>
  <si>
    <t xml:space="preserve">PUHAC GEORGE A </t>
  </si>
  <si>
    <t>3469 MCCLURE AVE</t>
  </si>
  <si>
    <t>EICH BERNARD  &amp; MARCIA L (W)</t>
  </si>
  <si>
    <t>0 MCCLURE AVE</t>
  </si>
  <si>
    <t>LAPISH RD</t>
  </si>
  <si>
    <t xml:space="preserve">SAROYA PARRY </t>
  </si>
  <si>
    <t>GRISWOLD ST STE 920</t>
  </si>
  <si>
    <t xml:space="preserve">DAVENPORT JAMES W                               </t>
  </si>
  <si>
    <t>3450 MCCLURE AVE</t>
  </si>
  <si>
    <t>MCCLURE AVE 1</t>
  </si>
  <si>
    <t xml:space="preserve">BERRY MICHAEL P &amp; ELIZABETH A (W)         </t>
  </si>
  <si>
    <t>3416 REUBEN ST</t>
  </si>
  <si>
    <t>REUBEN ST</t>
  </si>
  <si>
    <t xml:space="preserve">BERNARDI CHRISTINE </t>
  </si>
  <si>
    <t>3423 GASS AVE</t>
  </si>
  <si>
    <t xml:space="preserve">GOLDFINN LLC </t>
  </si>
  <si>
    <t>3421 GASS AVE</t>
  </si>
  <si>
    <t>E 7TH ST STE 319</t>
  </si>
  <si>
    <t xml:space="preserve">HAHN SARAH A </t>
  </si>
  <si>
    <t>3411 GASS AVE</t>
  </si>
  <si>
    <t>TOOMEY ANDREW K &amp; TAMMY (W)</t>
  </si>
  <si>
    <t>3408 GASS AVE</t>
  </si>
  <si>
    <t>GASS AVE</t>
  </si>
  <si>
    <t xml:space="preserve">UNDERWOOD RACQUEL </t>
  </si>
  <si>
    <t>3416 GASS AVE</t>
  </si>
  <si>
    <t xml:space="preserve">GROOM CHARLES C II </t>
  </si>
  <si>
    <t>3418 GASS AVE</t>
  </si>
  <si>
    <t xml:space="preserve">BUCCI SALVATORE </t>
  </si>
  <si>
    <t>3426 GASS AVE</t>
  </si>
  <si>
    <t xml:space="preserve">KLOBUCAR DANIEL STEPHEN                         </t>
  </si>
  <si>
    <t>3454 GASS AVE</t>
  </si>
  <si>
    <t xml:space="preserve">TROHA DARYL J </t>
  </si>
  <si>
    <t>3460 GASS AVE</t>
  </si>
  <si>
    <t xml:space="preserve">CLEGG CLINTON                                   </t>
  </si>
  <si>
    <t>3508 MCCLURE AVE</t>
  </si>
  <si>
    <t xml:space="preserve">ANR PROPERTIES LLC </t>
  </si>
  <si>
    <t>3473 SHADELAND AVE</t>
  </si>
  <si>
    <t xml:space="preserve">ORSINI JAMES R JR </t>
  </si>
  <si>
    <t>3463 SHADELAND AVE</t>
  </si>
  <si>
    <t>ORSINI JAMES R JR</t>
  </si>
  <si>
    <t xml:space="preserve">PETRILLO NICHOLAS                               </t>
  </si>
  <si>
    <t>3406 SHADELAND AVE</t>
  </si>
  <si>
    <t>PETRILLO NICHOLAS</t>
  </si>
  <si>
    <t>BOSTON TYLER &amp; TATIANA (W)</t>
  </si>
  <si>
    <t>3426 SHADELAND AVE</t>
  </si>
  <si>
    <t xml:space="preserve">BARRON CHANELE T                                </t>
  </si>
  <si>
    <t>1205 ETOLA ST</t>
  </si>
  <si>
    <t xml:space="preserve">HOEN TLUNG                                      </t>
  </si>
  <si>
    <t>3325 HARBISON ST</t>
  </si>
  <si>
    <t xml:space="preserve">KACHMAR HENRY AMARYAH </t>
  </si>
  <si>
    <t>1618 HYBLA ST</t>
  </si>
  <si>
    <t>HYBLA ST</t>
  </si>
  <si>
    <t>0 BAINTON ST</t>
  </si>
  <si>
    <t xml:space="preserve">USEL KIMBERLY </t>
  </si>
  <si>
    <t>0 RICHARDSON AVE</t>
  </si>
  <si>
    <t>ROUTE 481</t>
  </si>
  <si>
    <t xml:space="preserve">BOWERS CARMELLA </t>
  </si>
  <si>
    <t>0 ANTRIM ST</t>
  </si>
  <si>
    <t>JACK'S RUN RD</t>
  </si>
  <si>
    <t xml:space="preserve">ECONOHOMES LLC </t>
  </si>
  <si>
    <t>M NYAMBE</t>
  </si>
  <si>
    <t>ANTRIM ST</t>
  </si>
  <si>
    <t>HIGHFIELD CT</t>
  </si>
  <si>
    <t>BEMPORAD LIA             ETAL</t>
  </si>
  <si>
    <t>0 ANTRIUM ST</t>
  </si>
  <si>
    <t>PO BOX 8439</t>
  </si>
  <si>
    <t xml:space="preserve">JACKSON JEROME M </t>
  </si>
  <si>
    <t xml:space="preserve">NYAMBE MWANAMWALYE </t>
  </si>
  <si>
    <t>1609 ANTRIM ST</t>
  </si>
  <si>
    <t>1611 ANTRIM ST</t>
  </si>
  <si>
    <t xml:space="preserve">GOOD CHARLES A (LIFE  ESTATE)                 </t>
  </si>
  <si>
    <t>1615 ANTRIM ST</t>
  </si>
  <si>
    <t>DAY KELLY A &amp; WILLIAM C (H)</t>
  </si>
  <si>
    <t>1617 ANTRIM ST</t>
  </si>
  <si>
    <t>1623 ANTRIM ST</t>
  </si>
  <si>
    <t>BRAZIL NEHEMIAH JR &amp; PRECIOUS (W)</t>
  </si>
  <si>
    <t>1625 ANTRIM ST</t>
  </si>
  <si>
    <t xml:space="preserve">CRIVELLI CHRISTINA </t>
  </si>
  <si>
    <t>1627 ANTRIM ST</t>
  </si>
  <si>
    <t>CRIVELLI CHRISTINA</t>
  </si>
  <si>
    <t xml:space="preserve">MOST PRECIOUS BLOOD OF  JESUS PARISH CHARITABLE </t>
  </si>
  <si>
    <t>3250 CALIFORNIA AVE</t>
  </si>
  <si>
    <t>MOST PRECIOUS BLOOD O</t>
  </si>
  <si>
    <t xml:space="preserve">EVERETT RICARDO </t>
  </si>
  <si>
    <t>1623 RANKIN AVE</t>
  </si>
  <si>
    <t>RANKIN ST</t>
  </si>
  <si>
    <t xml:space="preserve">DONLEY ELLEN JANE </t>
  </si>
  <si>
    <t>3313 FLEMING AVE</t>
  </si>
  <si>
    <t xml:space="preserve">CHERRY MARION </t>
  </si>
  <si>
    <t xml:space="preserve">DEAN VELMA E </t>
  </si>
  <si>
    <t>3413 FLEMING AVE</t>
  </si>
  <si>
    <t>CHULACK DAVID A &amp; DOLORES M (W)</t>
  </si>
  <si>
    <t>3324 FLEMING AVE</t>
  </si>
  <si>
    <t>ONEILL MAINTENANCE       ETAL</t>
  </si>
  <si>
    <t>3316 FLEMING AVE</t>
  </si>
  <si>
    <t xml:space="preserve">TAMBURRO AMY </t>
  </si>
  <si>
    <t>3268 RICHARDSON AVE</t>
  </si>
  <si>
    <t>BOWMAN AVE APT 2</t>
  </si>
  <si>
    <t xml:space="preserve">CHRISTNER MICHELE A </t>
  </si>
  <si>
    <t>3328 SAVOY ST</t>
  </si>
  <si>
    <t>SAVOY ST</t>
  </si>
  <si>
    <t>SKINGER EDWARD F &amp; MARY ANN</t>
  </si>
  <si>
    <t>3275 BAINTON ST</t>
  </si>
  <si>
    <t>BARRINGER RAYMOND L JR &amp; ALANE L (W)</t>
  </si>
  <si>
    <t xml:space="preserve">WHESU OLUKAYODE </t>
  </si>
  <si>
    <t>3222 RICHARDSON AVE</t>
  </si>
  <si>
    <t>WHESU OLUKAYODE</t>
  </si>
  <si>
    <t>SUGARLAND APT 216</t>
  </si>
  <si>
    <t>PALESTINE</t>
  </si>
  <si>
    <t xml:space="preserve">TURK JOSEPH R </t>
  </si>
  <si>
    <t>3230 RICHARDSON AVE</t>
  </si>
  <si>
    <t>3257 MCCLURE AVE</t>
  </si>
  <si>
    <t xml:space="preserve">MCDONOUGH DONNA M                               </t>
  </si>
  <si>
    <t>1516 ANTRIM ST</t>
  </si>
  <si>
    <t xml:space="preserve">GOOD CAREN L </t>
  </si>
  <si>
    <t>3307 MCCLURE AVE</t>
  </si>
  <si>
    <t xml:space="preserve">HILL DENNIS JR </t>
  </si>
  <si>
    <t>3315 MCCLURE AVE</t>
  </si>
  <si>
    <t>3317 MCCLURE AVE</t>
  </si>
  <si>
    <t xml:space="preserve">LIND TODD N </t>
  </si>
  <si>
    <t>1436 WOODS RUN AVE</t>
  </si>
  <si>
    <t>NE 25TH ST</t>
  </si>
  <si>
    <t xml:space="preserve">KNIGHT LARONE </t>
  </si>
  <si>
    <t>1418 REUBEN ST</t>
  </si>
  <si>
    <t>LARONE KNIGHT</t>
  </si>
  <si>
    <t xml:space="preserve">VITEK SYLVIA </t>
  </si>
  <si>
    <t>1444 REUBEN ST</t>
  </si>
  <si>
    <t>NWADIKE ANTHONY &amp; KELITA J (W)</t>
  </si>
  <si>
    <t>1419 BECKHAM ST</t>
  </si>
  <si>
    <t>NWADIKE ANTHONY &amp; KEL</t>
  </si>
  <si>
    <t>BECKHAM ST</t>
  </si>
  <si>
    <t xml:space="preserve">MOSER K LARAINE </t>
  </si>
  <si>
    <t>1407 BECKHAM ST</t>
  </si>
  <si>
    <t xml:space="preserve">ALEXANDER LAUREN E </t>
  </si>
  <si>
    <t>0 GASS  AVE</t>
  </si>
  <si>
    <t>PENN AVE APT 412</t>
  </si>
  <si>
    <t xml:space="preserve">HILL KAREN </t>
  </si>
  <si>
    <t>SORENTO ST APT 1</t>
  </si>
  <si>
    <t xml:space="preserve">NAUMAN DUANE </t>
  </si>
  <si>
    <t>3321 MINNIE ST</t>
  </si>
  <si>
    <t>MINNIE ST</t>
  </si>
  <si>
    <t xml:space="preserve">DERBISH KENNETH </t>
  </si>
  <si>
    <t>0 WOODS RUN AVE</t>
  </si>
  <si>
    <t>KHARI KONSTRUCTION CO    ETAL</t>
  </si>
  <si>
    <t>1401 WOODS RUN AVE</t>
  </si>
  <si>
    <t xml:space="preserve">BROOKS RAYMOND P                                </t>
  </si>
  <si>
    <t>1400 LECKY AVE</t>
  </si>
  <si>
    <t xml:space="preserve">GIBSON LYNN JR </t>
  </si>
  <si>
    <t>1402 LECKY AVE</t>
  </si>
  <si>
    <t>MOORE AVE</t>
  </si>
  <si>
    <t xml:space="preserve">DONAHUE KEVIN T </t>
  </si>
  <si>
    <t xml:space="preserve">DAVIAS JOE </t>
  </si>
  <si>
    <t>1433 WOODS RUN AVE</t>
  </si>
  <si>
    <t>GENERAL CONTRACTING C</t>
  </si>
  <si>
    <t xml:space="preserve">YOUNGER JERMAINE </t>
  </si>
  <si>
    <t>MOORE DONALD J &amp; SUSAN (W)</t>
  </si>
  <si>
    <t>3216 MCCLURE AVE</t>
  </si>
  <si>
    <t>1306 MALDEN ST</t>
  </si>
  <si>
    <t xml:space="preserve">PRUSKI RICHARD </t>
  </si>
  <si>
    <t>0 LECKY AVE</t>
  </si>
  <si>
    <t>LECKY AVE</t>
  </si>
  <si>
    <t xml:space="preserve">MITCHELL EMMA JEAN </t>
  </si>
  <si>
    <t>145 LECKY AVE</t>
  </si>
  <si>
    <t>E PIKE RD</t>
  </si>
  <si>
    <t>DONAHUE KEVIN T &amp; ROMONA M (W)</t>
  </si>
  <si>
    <t>1610 HYBLA ST</t>
  </si>
  <si>
    <t>STONEHEDGE COLLECTIVE  INVESTMENTS LLC</t>
  </si>
  <si>
    <t>3259 BAINTON ST</t>
  </si>
  <si>
    <t>STONEHEDGE COLLECTIVE</t>
  </si>
  <si>
    <t xml:space="preserve">MORRIS PAUL L &amp; DARLENE (W)             </t>
  </si>
  <si>
    <t>3241 BAINTON ST</t>
  </si>
  <si>
    <t xml:space="preserve">DEMBROWSKI DAVID J                              </t>
  </si>
  <si>
    <t>3222 CALIFORNIA AVE</t>
  </si>
  <si>
    <t xml:space="preserve">ELLIS JAMES </t>
  </si>
  <si>
    <t>3200 CALIFORNIA AVE</t>
  </si>
  <si>
    <t xml:space="preserve">BROWN ANTHONY L </t>
  </si>
  <si>
    <t>3150 MOUNT HOPE RD</t>
  </si>
  <si>
    <t>P O BOX 100188</t>
  </si>
  <si>
    <t>MURDOCK ANGELO O &amp; CHRISTINE R (W)</t>
  </si>
  <si>
    <t>3232 BAINTON ST</t>
  </si>
  <si>
    <t>MURDOCK ANGELO O &amp; CH</t>
  </si>
  <si>
    <t xml:space="preserve">USELTON LORRAINE </t>
  </si>
  <si>
    <t>3158 MOUNT HOPE RD</t>
  </si>
  <si>
    <t>MOUNT HOPE RD</t>
  </si>
  <si>
    <t xml:space="preserve">FLORY JOHN J JR </t>
  </si>
  <si>
    <t>3156 MOUNT HOPE RD</t>
  </si>
  <si>
    <t>3148 MOUNT HOPE RD</t>
  </si>
  <si>
    <t xml:space="preserve">ADASIEWICZ EDWARD J </t>
  </si>
  <si>
    <t>3146 MOUNT HOPE RD</t>
  </si>
  <si>
    <t>CORNELL AVE</t>
  </si>
  <si>
    <t>3144 MOUNT HOPE RD</t>
  </si>
  <si>
    <t xml:space="preserve">VRANA CHARLES R </t>
  </si>
  <si>
    <t>3142 MOUNT HOPE RD</t>
  </si>
  <si>
    <t>MT HOPE RD</t>
  </si>
  <si>
    <t xml:space="preserve">VRANA JAMES A </t>
  </si>
  <si>
    <t>3140 MOUNT HOPE RD</t>
  </si>
  <si>
    <t xml:space="preserve">VRANA CHARLES EDWARD </t>
  </si>
  <si>
    <t>0 MOUNT HOPE RD</t>
  </si>
  <si>
    <t>3128 MOUNT HOPE RD</t>
  </si>
  <si>
    <t>3126 MOUNT HOPE RD</t>
  </si>
  <si>
    <t>HARRIS AMIR ANGELA R HARRIS</t>
  </si>
  <si>
    <t>3254 BAINTON ST</t>
  </si>
  <si>
    <t>GENZEL SHMUEL MENACHEM   ETAL</t>
  </si>
  <si>
    <t>0 LANGFITT AVE</t>
  </si>
  <si>
    <t>GENZEL SHMUEL MENACHE</t>
  </si>
  <si>
    <t>3134 MOUNT HOPE RD</t>
  </si>
  <si>
    <t>VRANA CHARLES R</t>
  </si>
  <si>
    <t>LARDO ALBERT A LARDO   ALBERT A</t>
  </si>
  <si>
    <t>3151 MCCLURE AVE</t>
  </si>
  <si>
    <t>LARDO ALBERT A</t>
  </si>
  <si>
    <t xml:space="preserve">WILLIAMS FREDERICK </t>
  </si>
  <si>
    <t>WHERE TO TURN  INVESTMENTS LLC</t>
  </si>
  <si>
    <t>3184 MCCLURE AVE</t>
  </si>
  <si>
    <t>OLORUN LLC</t>
  </si>
  <si>
    <t xml:space="preserve">VLAKANCIC JOSEPH JR </t>
  </si>
  <si>
    <t>3172 MCCLURE AVE</t>
  </si>
  <si>
    <t xml:space="preserve">PFLAUM RICHARD B </t>
  </si>
  <si>
    <t>SNOW LEONARD A &amp; PATRICIA A POREMSKI</t>
  </si>
  <si>
    <t xml:space="preserve">FACEMIRE EVA A </t>
  </si>
  <si>
    <t>IWANCYK STEFAN  &amp; EST MARY</t>
  </si>
  <si>
    <t xml:space="preserve">NICOTERO JOSEPH P </t>
  </si>
  <si>
    <t>NICOTERO JOSEPH P C/O</t>
  </si>
  <si>
    <t>E ESCUDA DR</t>
  </si>
  <si>
    <t xml:space="preserve">GUCKERT ROBERT G </t>
  </si>
  <si>
    <t>3140 MCCLURE AVE</t>
  </si>
  <si>
    <t>SAN PEDRO ST</t>
  </si>
  <si>
    <t>NOTARO DONALD &amp; SANDRA (W)</t>
  </si>
  <si>
    <t>3136 MCCLURE AVE</t>
  </si>
  <si>
    <t xml:space="preserve">NOTARO DONALD D                                 </t>
  </si>
  <si>
    <t xml:space="preserve">BUNGO AGNES B </t>
  </si>
  <si>
    <t>3145 LECKY AVE</t>
  </si>
  <si>
    <t xml:space="preserve">LESKO JOHN </t>
  </si>
  <si>
    <t>1540 GEYER AVE</t>
  </si>
  <si>
    <t>LESKO JOHN MARILYN GI</t>
  </si>
  <si>
    <t xml:space="preserve">HUNKELE MICHELE L </t>
  </si>
  <si>
    <t xml:space="preserve">CHESLA JOSEPH R &amp; ANNA </t>
  </si>
  <si>
    <t>3146 LECKY AVE</t>
  </si>
  <si>
    <t>3148 LECKY AVE</t>
  </si>
  <si>
    <t>BUNGO JOHN M &amp; DOROTHY L (W)</t>
  </si>
  <si>
    <t>3152 LECKY AVE</t>
  </si>
  <si>
    <t xml:space="preserve">NUTTALL JENNIFER </t>
  </si>
  <si>
    <t>96 LECKY AVE</t>
  </si>
  <si>
    <t xml:space="preserve">KISELKA MICHAEL P </t>
  </si>
  <si>
    <t>HELVY TYRONE L &amp; RUBY (W)</t>
  </si>
  <si>
    <t>HELVY TYRONE L &amp; RUBY</t>
  </si>
  <si>
    <t>LOS PALOS DR</t>
  </si>
  <si>
    <t>NEW PORT RICHE</t>
  </si>
  <si>
    <t xml:space="preserve">GREENING DONNA KAY </t>
  </si>
  <si>
    <t>LECKY DR</t>
  </si>
  <si>
    <t xml:space="preserve">BODNAR ROSE ANN                                 </t>
  </si>
  <si>
    <t>3210 LECKY AVE</t>
  </si>
  <si>
    <t xml:space="preserve">HARDY DEMOND                                    </t>
  </si>
  <si>
    <t>3214 LECKY AVE</t>
  </si>
  <si>
    <t>HARDY DEMOND</t>
  </si>
  <si>
    <t xml:space="preserve">GASTAWSKI JOHN M &amp; HELEN </t>
  </si>
  <si>
    <t>MONTGOMERY MARK W &amp; AMY L (W)</t>
  </si>
  <si>
    <t>1319 MALDEN ST</t>
  </si>
  <si>
    <t>HIEBER LN</t>
  </si>
  <si>
    <t>0 MALDEN ST</t>
  </si>
  <si>
    <t>NORTHERN ATLANTIC  PROPERTIES LLC</t>
  </si>
  <si>
    <t>1313 MALDEN ST</t>
  </si>
  <si>
    <t>NORTHERN ATLANTIC PRO</t>
  </si>
  <si>
    <t>CARRIAGE OAKS DR</t>
  </si>
  <si>
    <t xml:space="preserve">ANDREA JADEN </t>
  </si>
  <si>
    <t>1338 GEYER AVE</t>
  </si>
  <si>
    <t>JADEN ANDREA</t>
  </si>
  <si>
    <t xml:space="preserve">MACARTHUR CARLA RENEE </t>
  </si>
  <si>
    <t xml:space="preserve">BOBRO TIMOTHY W </t>
  </si>
  <si>
    <t xml:space="preserve">MRAZEK CRAIG A </t>
  </si>
  <si>
    <t>1436 GEYER AVE</t>
  </si>
  <si>
    <t>LESKO MICHAEL ETAL</t>
  </si>
  <si>
    <t>1456 GEYER AVE</t>
  </si>
  <si>
    <t xml:space="preserve">LOPEZ RUDY </t>
  </si>
  <si>
    <t>LEHR AVE</t>
  </si>
  <si>
    <t xml:space="preserve">DOUBT MAURITZ JOSEPH  LOYAL                   </t>
  </si>
  <si>
    <t>1514 GEYER AVE</t>
  </si>
  <si>
    <t xml:space="preserve">DOUBT MAURITZ JOSEPH </t>
  </si>
  <si>
    <t xml:space="preserve">OLDS ANGELA </t>
  </si>
  <si>
    <t>3011 GEYER AVE</t>
  </si>
  <si>
    <t>N LINCOLN AVE APT 2A</t>
  </si>
  <si>
    <t>3127 OXFIELD ST</t>
  </si>
  <si>
    <t xml:space="preserve">MOORER GARRY W </t>
  </si>
  <si>
    <t>1348 OAKHILL ST</t>
  </si>
  <si>
    <t>OAKHILL ST</t>
  </si>
  <si>
    <t>CLARK ULYSESS  &amp; MARY (W)</t>
  </si>
  <si>
    <t>1366 OAKHILL ST</t>
  </si>
  <si>
    <t>MATVEY JOSEPH P &amp; LYNN S (W)</t>
  </si>
  <si>
    <t>MATVEY JOSEPH P &amp; LYN</t>
  </si>
  <si>
    <t>CAMROSE WAY</t>
  </si>
  <si>
    <t>POSTON</t>
  </si>
  <si>
    <t xml:space="preserve">GENERATION REALTY LLC </t>
  </si>
  <si>
    <t xml:space="preserve">2:25 INVESTMENTS LLC </t>
  </si>
  <si>
    <t>1336 COMPLETE ST</t>
  </si>
  <si>
    <t>PAUL  CHARBONNEAU</t>
  </si>
  <si>
    <t xml:space="preserve">FOOR MICHAEL A </t>
  </si>
  <si>
    <t>1338 COMPLETE ST</t>
  </si>
  <si>
    <t>MUDD HAROLD W JR &amp; YVONNE S (W)</t>
  </si>
  <si>
    <t>1103 DAVIS AVE</t>
  </si>
  <si>
    <t>MUDD HAROLD W JR &amp; YV</t>
  </si>
  <si>
    <t>KOSAKOWSKI THEODORE L &amp; PATRICIA H (W)</t>
  </si>
  <si>
    <t>0 STANFORD RD</t>
  </si>
  <si>
    <t>SHADYSIDE LN</t>
  </si>
  <si>
    <t xml:space="preserve">HURDLE BETTY J </t>
  </si>
  <si>
    <t>1108 STANFORD RD</t>
  </si>
  <si>
    <t xml:space="preserve">HAGER DAVE F JR </t>
  </si>
  <si>
    <t>1112 STANFORD RD</t>
  </si>
  <si>
    <t xml:space="preserve">JABAUT RYAN </t>
  </si>
  <si>
    <t>3550 CAMPUS ST</t>
  </si>
  <si>
    <t>CAMPUS ST</t>
  </si>
  <si>
    <t>BOETTE CHRISTOPHER &amp; JESSICA T (W)</t>
  </si>
  <si>
    <t>3523 CAMPUS ST</t>
  </si>
  <si>
    <t xml:space="preserve">SCHLOER REGINA A </t>
  </si>
  <si>
    <t>0 CAMPUS ST</t>
  </si>
  <si>
    <t>DIPLOMA ST</t>
  </si>
  <si>
    <t>3530 DIPLOMA ST</t>
  </si>
  <si>
    <t xml:space="preserve">GONDAK WANDA </t>
  </si>
  <si>
    <t>3516 DIPLOMA ST</t>
  </si>
  <si>
    <t>MICHELE MESSINA</t>
  </si>
  <si>
    <t xml:space="preserve">JACKSON SHEILA THOMAS                           </t>
  </si>
  <si>
    <t>3500 DIPLOMA ST</t>
  </si>
  <si>
    <t>HAGER DAVID &amp; KAREN R (W)</t>
  </si>
  <si>
    <t>1111 STANFORD RD</t>
  </si>
  <si>
    <t>3536 BRIGHTON RD</t>
  </si>
  <si>
    <t xml:space="preserve">MOORE GORDON </t>
  </si>
  <si>
    <t>3532 BRIGHTON RD</t>
  </si>
  <si>
    <t>MOORE GORDON</t>
  </si>
  <si>
    <t>NW 35TH ST</t>
  </si>
  <si>
    <t>CORAL SPRINGS</t>
  </si>
  <si>
    <t xml:space="preserve">ADAMS CHRISTOPHER J </t>
  </si>
  <si>
    <t>3528 BRIGHTON RD</t>
  </si>
  <si>
    <t>COUNAHAN NORBERT B &amp; ELIZABETH B</t>
  </si>
  <si>
    <t>0 CORONA ST</t>
  </si>
  <si>
    <t>ST. JEAN PAUL &amp; CAILEE (W)</t>
  </si>
  <si>
    <t>3507 CORONA ST</t>
  </si>
  <si>
    <t xml:space="preserve">NJDP LLC </t>
  </si>
  <si>
    <t>D CHARTIERS TER</t>
  </si>
  <si>
    <t xml:space="preserve">REDWING JEROME P </t>
  </si>
  <si>
    <t>965 WOODS RUN AVE</t>
  </si>
  <si>
    <t>961 WOODS RUN AVE</t>
  </si>
  <si>
    <t xml:space="preserve">KURTAK JAMES </t>
  </si>
  <si>
    <t>959 WOODS RUN AVE</t>
  </si>
  <si>
    <t xml:space="preserve">COLEMAN REBECCA </t>
  </si>
  <si>
    <t>955 WOODS RUN AVE</t>
  </si>
  <si>
    <t>SCHMIEDLIN REID E &amp; JEANNINE A (W)</t>
  </si>
  <si>
    <t>814 WOODS RUN AVE</t>
  </si>
  <si>
    <t xml:space="preserve">BLACK GERALD </t>
  </si>
  <si>
    <t>10 RODNEY ST</t>
  </si>
  <si>
    <t>JARVIS ST</t>
  </si>
  <si>
    <t xml:space="preserve">SENEDIAK ANNA </t>
  </si>
  <si>
    <t>RODNEY STREET LAND  TRUST CO</t>
  </si>
  <si>
    <t>0 RODNEY ST</t>
  </si>
  <si>
    <t>BERG JAMES D &amp; SHARON M MCNEAL (W)</t>
  </si>
  <si>
    <t>3503 RODNEY ST</t>
  </si>
  <si>
    <t>RODNEY ST</t>
  </si>
  <si>
    <t xml:space="preserve">BLAIR RACHEL ANN                                </t>
  </si>
  <si>
    <t>3537 LAIRD ST</t>
  </si>
  <si>
    <t xml:space="preserve">COX JAMES H JR </t>
  </si>
  <si>
    <t>0 SHELBY ST</t>
  </si>
  <si>
    <t>CRANBERRY PT</t>
  </si>
  <si>
    <t xml:space="preserve">OKEEFE NEIL &amp; KELLY (W) </t>
  </si>
  <si>
    <t>1117 WOODS RUN AVE</t>
  </si>
  <si>
    <t>OKEEFE NEIL &amp; KELLY (</t>
  </si>
  <si>
    <t>AUGUSTA DR</t>
  </si>
  <si>
    <t xml:space="preserve">ESM INVESTMENT GROUP  LLC                     </t>
  </si>
  <si>
    <t>1113 WOODS RUN AVE</t>
  </si>
  <si>
    <t xml:space="preserve">LINHART CHARLES </t>
  </si>
  <si>
    <t>1103 WOODS RUN AVE</t>
  </si>
  <si>
    <t xml:space="preserve">META PATRICIA M </t>
  </si>
  <si>
    <t>1101 WOODS RUN AVE</t>
  </si>
  <si>
    <t>FUCHS DOROTHY  &amp; (TRUSTEE)</t>
  </si>
  <si>
    <t>3416 RIGEL ST</t>
  </si>
  <si>
    <t>RIGEL ST</t>
  </si>
  <si>
    <t>LOCOCO JOSEPH S &amp; EVELYN L</t>
  </si>
  <si>
    <t>3422 HARBISON ST</t>
  </si>
  <si>
    <t>HARBISON AVE</t>
  </si>
  <si>
    <t>0 RIGEL ST</t>
  </si>
  <si>
    <t>GRALISH DANIEL C &amp; CAROL ANN (W)</t>
  </si>
  <si>
    <t>0 HARBISON ST</t>
  </si>
  <si>
    <t>GRALISH DANIEL C &amp; CA</t>
  </si>
  <si>
    <t>SONIE DR</t>
  </si>
  <si>
    <t xml:space="preserve">KACHMAR PETRINA </t>
  </si>
  <si>
    <t>3443 CAMPUS ST</t>
  </si>
  <si>
    <t xml:space="preserve">GRILL JAMES R </t>
  </si>
  <si>
    <t>3445 CAMPUS ST</t>
  </si>
  <si>
    <t xml:space="preserve">WYLIE ROMELDA                                   </t>
  </si>
  <si>
    <t>DALLPENN INC PARKWAY CENTER 1</t>
  </si>
  <si>
    <t>ROBERT BRONK</t>
  </si>
  <si>
    <t xml:space="preserve">BARNES JOSEPH </t>
  </si>
  <si>
    <t>3327 RIGEL ST</t>
  </si>
  <si>
    <t xml:space="preserve">BERRY ELIZABETH A </t>
  </si>
  <si>
    <t>3338 BRIGHTON RD</t>
  </si>
  <si>
    <t xml:space="preserve">LNR FLIPS LLC </t>
  </si>
  <si>
    <t>3344 BRIGHTON RD</t>
  </si>
  <si>
    <t xml:space="preserve">NESS MOLLY </t>
  </si>
  <si>
    <t>3433 BRIGHTON RD</t>
  </si>
  <si>
    <t>CITYWIDE PROPERTIES</t>
  </si>
  <si>
    <t xml:space="preserve">FERRONE MARCIA M </t>
  </si>
  <si>
    <t>1018 WOODS RUN AVE</t>
  </si>
  <si>
    <t xml:space="preserve">PRATT GERALD </t>
  </si>
  <si>
    <t>967 WOODS RUN AVE</t>
  </si>
  <si>
    <t>PRATT GERALD</t>
  </si>
  <si>
    <t>MOOREHOUSE DR</t>
  </si>
  <si>
    <t>1019 WOODS RUN AVE</t>
  </si>
  <si>
    <t xml:space="preserve">ORION PROPERTIES LLC </t>
  </si>
  <si>
    <t>1023 WOODS RUN AVE</t>
  </si>
  <si>
    <t>WOODS RUN DR</t>
  </si>
  <si>
    <t>1025 WOODS RUN AVE</t>
  </si>
  <si>
    <t>1043 WOODS RUN AVE</t>
  </si>
  <si>
    <t xml:space="preserve">JONES ANNETTE </t>
  </si>
  <si>
    <t>1100 LANGTRY ST</t>
  </si>
  <si>
    <t>1003 LANGTRY ST</t>
  </si>
  <si>
    <t xml:space="preserve">LEONARD JOSEPHINE                               </t>
  </si>
  <si>
    <t>1005 LANGTRY ST</t>
  </si>
  <si>
    <t>CHRISTENSON PATRICIA  WALSH &amp; MICHAEL (H)</t>
  </si>
  <si>
    <t>0 LANGTRY ST</t>
  </si>
  <si>
    <t>CALIFORNIA AVE APT 303</t>
  </si>
  <si>
    <t xml:space="preserve">TRONKO JOSEPH A JR </t>
  </si>
  <si>
    <t>SHIMMER #6 ST</t>
  </si>
  <si>
    <t>NYMAN JAMES A &amp; JUDITH V (W)</t>
  </si>
  <si>
    <t xml:space="preserve">FARRIS SAMANTHA </t>
  </si>
  <si>
    <t>FORRESTER DENNIS A &amp; BETSY (W)</t>
  </si>
  <si>
    <t>1037 HALL ST</t>
  </si>
  <si>
    <t>HALL ST</t>
  </si>
  <si>
    <t xml:space="preserve">WATKINS CLARENCE                                </t>
  </si>
  <si>
    <t>3306 BRIGHTON RD</t>
  </si>
  <si>
    <t>W MCINTYRE</t>
  </si>
  <si>
    <t>SMITH LOUIS J &amp; MARY JANE (W)</t>
  </si>
  <si>
    <t>1220 WOODS RUN AVE</t>
  </si>
  <si>
    <t>MARSHALL BRYAN K &amp; TAMARA F (W)</t>
  </si>
  <si>
    <t>1216 WOODS RUN AVE</t>
  </si>
  <si>
    <t>MARSHALL BRYAN K &amp; TA</t>
  </si>
  <si>
    <t>ROY ST</t>
  </si>
  <si>
    <t>VARGO GEORGE A &amp; WILLIAM A VARGO</t>
  </si>
  <si>
    <t>0 MITCHELL ST</t>
  </si>
  <si>
    <t>VARGO GEORGE A &amp; WILL</t>
  </si>
  <si>
    <t>9 MITCHELL ST</t>
  </si>
  <si>
    <t xml:space="preserve">GAJDA DOUGLAS </t>
  </si>
  <si>
    <t>3225 CENTRAL AVE</t>
  </si>
  <si>
    <t>PENNY LN</t>
  </si>
  <si>
    <t xml:space="preserve">HOUGHTON LORI </t>
  </si>
  <si>
    <t>3227 CENTRAL AVE</t>
  </si>
  <si>
    <t>PARHAM ARNOLD JAY &amp; JOAN O (W)</t>
  </si>
  <si>
    <t>3237 CENTRAL AVE</t>
  </si>
  <si>
    <t>PARHAM ARNOLD JAY &amp; J</t>
  </si>
  <si>
    <t>PARVISS ST</t>
  </si>
  <si>
    <t xml:space="preserve">COWAN JAMES JR </t>
  </si>
  <si>
    <t>0 CENTRAL AVE</t>
  </si>
  <si>
    <t>JAMES COWAN JR</t>
  </si>
  <si>
    <t>MITCHELL ST</t>
  </si>
  <si>
    <t xml:space="preserve">VIGNALE ARTHUR A &amp; ROSE </t>
  </si>
  <si>
    <t>3141 WESTBORN ST</t>
  </si>
  <si>
    <t>WESTBORN ST</t>
  </si>
  <si>
    <t xml:space="preserve">ELVEN ONE LLC </t>
  </si>
  <si>
    <t>3154 SORENTO ST</t>
  </si>
  <si>
    <t>ELVEN ONE LLC</t>
  </si>
  <si>
    <t>SORENTO ST</t>
  </si>
  <si>
    <t>1217 WOODS RUN AVE</t>
  </si>
  <si>
    <t xml:space="preserve">KMPP BRIGHTON LLC </t>
  </si>
  <si>
    <t>3210 BRIGHTON RD</t>
  </si>
  <si>
    <t xml:space="preserve">FAMILY DOLLAR STORE  </t>
  </si>
  <si>
    <t>VOLVO PKWY</t>
  </si>
  <si>
    <t xml:space="preserve">WILEY LENITA L </t>
  </si>
  <si>
    <t>3168 BRIGHTON RD</t>
  </si>
  <si>
    <t xml:space="preserve">CONLEY CARI </t>
  </si>
  <si>
    <t>3137 SORENTO ST</t>
  </si>
  <si>
    <t xml:space="preserve">A+ RENTALS LLC </t>
  </si>
  <si>
    <t>3133 SORENTO ST</t>
  </si>
  <si>
    <t>3143 BRIGHTON RD</t>
  </si>
  <si>
    <t>PO BOX 99481</t>
  </si>
  <si>
    <t xml:space="preserve">SMITH RICHARD </t>
  </si>
  <si>
    <t>3149 BRIGHTON RD</t>
  </si>
  <si>
    <t xml:space="preserve">PATEL NIRAV M </t>
  </si>
  <si>
    <t>COUNTRY VIEW LN</t>
  </si>
  <si>
    <t xml:space="preserve">ONEILL EDMOND F </t>
  </si>
  <si>
    <t>MORELAND RD</t>
  </si>
  <si>
    <t>3147 WADLOW ST</t>
  </si>
  <si>
    <t xml:space="preserve">STURDIVANT SCHNEL D </t>
  </si>
  <si>
    <t>3136 FREDERICK ST</t>
  </si>
  <si>
    <t>3140 FREDERICK ST</t>
  </si>
  <si>
    <t xml:space="preserve">MANGUN SHERRI </t>
  </si>
  <si>
    <t>3142 FREDERICK ST</t>
  </si>
  <si>
    <t>QUAIL FOREST DR APT B</t>
  </si>
  <si>
    <t xml:space="preserve">K D K ENTERPRISES </t>
  </si>
  <si>
    <t xml:space="preserve">SNOW STEVEN LEWIS </t>
  </si>
  <si>
    <t>1 COURTRIGHT ST</t>
  </si>
  <si>
    <t>FREDRICK ST</t>
  </si>
  <si>
    <t>JONES FREDERICK  &amp; MARGARET</t>
  </si>
  <si>
    <t>4 COURTRIGHT ST</t>
  </si>
  <si>
    <t>COURTRIGHT ST</t>
  </si>
  <si>
    <t>9 COURTRIGHT ST</t>
  </si>
  <si>
    <t>0 COURTRIGHT ST</t>
  </si>
  <si>
    <t>RAFFERTY THOMAS C &amp; FLORENCE L (W)</t>
  </si>
  <si>
    <t>20 COURTRIGHT ST</t>
  </si>
  <si>
    <t>IVANISIN RAYMOND G &amp; DOLORES R</t>
  </si>
  <si>
    <t>1222 COURTRIGHT ST</t>
  </si>
  <si>
    <t xml:space="preserve">HARTMAN THOMAS E JR </t>
  </si>
  <si>
    <t>3158 SHADELAND AVE</t>
  </si>
  <si>
    <t>RAMAGE RD</t>
  </si>
  <si>
    <t xml:space="preserve">APPLEMAN JESSICA M </t>
  </si>
  <si>
    <t>3156 SHADELAND AVE</t>
  </si>
  <si>
    <t xml:space="preserve">BRLETIC ANDREW A &amp; LENOR </t>
  </si>
  <si>
    <t>BRLETIC ANDREW A &amp; LE</t>
  </si>
  <si>
    <t>GEYER RD</t>
  </si>
  <si>
    <t xml:space="preserve">KRYL JOSEPH                                     </t>
  </si>
  <si>
    <t>KRYL JORDAN JOSEPH</t>
  </si>
  <si>
    <t>ARCOLA WAY</t>
  </si>
  <si>
    <t xml:space="preserve">KRYL JORDAN JOSEPH                              </t>
  </si>
  <si>
    <t>1302 GEYER AVE</t>
  </si>
  <si>
    <t xml:space="preserve">ROMANO RALPH R </t>
  </si>
  <si>
    <t>25 COURTRIGHT ST</t>
  </si>
  <si>
    <t>PO BOX 44333</t>
  </si>
  <si>
    <t>KOPP WILLIAM J &amp; DOROTHY E</t>
  </si>
  <si>
    <t>WOOD LAKE CT</t>
  </si>
  <si>
    <t xml:space="preserve">LENTZ DOUGLAS T </t>
  </si>
  <si>
    <t>19 COURTRIGHT ST</t>
  </si>
  <si>
    <t xml:space="preserve">ARCH DAVID V </t>
  </si>
  <si>
    <t>17 COURTRIGHT ST</t>
  </si>
  <si>
    <t xml:space="preserve">STEPHENS BARRETT R                              </t>
  </si>
  <si>
    <t>STEPHENS BARRETT R AB</t>
  </si>
  <si>
    <t xml:space="preserve">STEPHENS BARRETT R </t>
  </si>
  <si>
    <t>5 COURTRIGHT ST</t>
  </si>
  <si>
    <t>MOORE JOHN P SR &amp; TERESA M (W)</t>
  </si>
  <si>
    <t>3233 BRIGHTON RD</t>
  </si>
  <si>
    <t>CONVENT AVE</t>
  </si>
  <si>
    <t xml:space="preserve">COLE AARON </t>
  </si>
  <si>
    <t>3338 LECKY AVE</t>
  </si>
  <si>
    <t>COLE AARON</t>
  </si>
  <si>
    <t>CHURCH TODD &amp; KATHLEEN (W)</t>
  </si>
  <si>
    <t>179 LECKY AVE</t>
  </si>
  <si>
    <t>CHURCH TODD &amp; KATHLEE</t>
  </si>
  <si>
    <t>S CHESTNUT ST</t>
  </si>
  <si>
    <t xml:space="preserve">DIDOUSIS CHARLES E </t>
  </si>
  <si>
    <t xml:space="preserve">MELODI BARBARA </t>
  </si>
  <si>
    <t>171 LECKY AVE</t>
  </si>
  <si>
    <t xml:space="preserve">PRUSKI CHARLES D JR </t>
  </si>
  <si>
    <t>147 LECKY AVE</t>
  </si>
  <si>
    <t>NEW LEVEL ACQUISITION  LLC</t>
  </si>
  <si>
    <t>1315 WOODS RUN AVE</t>
  </si>
  <si>
    <t xml:space="preserve">WILES GUY N JR </t>
  </si>
  <si>
    <t>1317 WOODS RUN AVE</t>
  </si>
  <si>
    <t>SHERIDAN AVE APT 306</t>
  </si>
  <si>
    <t>1319 WOODS RUN AVE</t>
  </si>
  <si>
    <t>180 LECKY AVE</t>
  </si>
  <si>
    <t xml:space="preserve">WEIDENHOFF WALTER J </t>
  </si>
  <si>
    <t>1118 SMITHTON AVE</t>
  </si>
  <si>
    <t xml:space="preserve">ANDERSON CHARLENE </t>
  </si>
  <si>
    <t>945 GRAND AVE</t>
  </si>
  <si>
    <t xml:space="preserve">JONES CAVAN A </t>
  </si>
  <si>
    <t>1009 GRAND AVE</t>
  </si>
  <si>
    <t>JONES CAVAN A</t>
  </si>
  <si>
    <t xml:space="preserve">EWING DAVID R </t>
  </si>
  <si>
    <t>1025 GRAND AVE</t>
  </si>
  <si>
    <t>GASS RD</t>
  </si>
  <si>
    <t>HOLT CHRISTOPHER &amp; AVA PARKER (W)</t>
  </si>
  <si>
    <t>1035 GRAND AVE</t>
  </si>
  <si>
    <t>1047 GRAND AVE</t>
  </si>
  <si>
    <t xml:space="preserve">RAIMONDO RUTH A </t>
  </si>
  <si>
    <t>1049 GRAND AVE</t>
  </si>
  <si>
    <t>1101 GRAND AVE</t>
  </si>
  <si>
    <t xml:space="preserve">LINHART CHARLES A </t>
  </si>
  <si>
    <t>1103 GRAND AVE</t>
  </si>
  <si>
    <t xml:space="preserve">BATEMAN DAVID R &amp; CAROLE </t>
  </si>
  <si>
    <t>1109 GRAND AVE</t>
  </si>
  <si>
    <t>1113 GRAND AVE</t>
  </si>
  <si>
    <t xml:space="preserve">PERDUE GREGORY </t>
  </si>
  <si>
    <t>0 GRAND AVE</t>
  </si>
  <si>
    <t xml:space="preserve">NRG MANAGEMENT GROUP LLC </t>
  </si>
  <si>
    <t>POLO CT</t>
  </si>
  <si>
    <t>HUNTER LINDA ABRUC E &amp; THOMAS L HUNTER I I (H)</t>
  </si>
  <si>
    <t xml:space="preserve">HUNTER LINDA ABRUC E </t>
  </si>
  <si>
    <t>MCNAMARA MICHAEL &amp; DEBORAH J (W)</t>
  </si>
  <si>
    <t>3207 CENTRAL AVE</t>
  </si>
  <si>
    <t>MCNAMARA MICHAEL &amp; DE</t>
  </si>
  <si>
    <t>MCNAMARA MICHAEL F &amp; DEBORAH J (W)</t>
  </si>
  <si>
    <t>1114 GRAND AVE</t>
  </si>
  <si>
    <t>LAND HOME FINANCIAL S</t>
  </si>
  <si>
    <t>S HARBOR BLVD STE 100</t>
  </si>
  <si>
    <t xml:space="preserve">GREENBUSH HOLDINGS LLC </t>
  </si>
  <si>
    <t>3215 CENTRAL AVE</t>
  </si>
  <si>
    <t>GREENBUSH HOLDINGS LL</t>
  </si>
  <si>
    <t>S BISMARK LN UNIT 102</t>
  </si>
  <si>
    <t xml:space="preserve">CONROY THOMAS F </t>
  </si>
  <si>
    <t>3219 CENTRAL AVE</t>
  </si>
  <si>
    <t>KAMON JOSEPH E &amp; NANCY L (W)</t>
  </si>
  <si>
    <t>3220 CENTRAL AVE</t>
  </si>
  <si>
    <t>KRAUS DAVID P &amp; PATRICIA A (W)</t>
  </si>
  <si>
    <t>3102 CENTRAL AVE</t>
  </si>
  <si>
    <t xml:space="preserve">TACEY HOLLY </t>
  </si>
  <si>
    <t>1028 GRAND AVE</t>
  </si>
  <si>
    <t xml:space="preserve">MCQUILLAN WILLIAM </t>
  </si>
  <si>
    <t>1026 GRAND AVE</t>
  </si>
  <si>
    <t>ANDREW CHAPLE RD</t>
  </si>
  <si>
    <t>MCQUILLAN WILLIAM  &amp; AUDREY (W)</t>
  </si>
  <si>
    <t>1024 GRAND AVE</t>
  </si>
  <si>
    <t xml:space="preserve">CHUBECK NICHOLAS </t>
  </si>
  <si>
    <t>CHUBECK WALTER W &amp; NICHOLAS CHUBEK</t>
  </si>
  <si>
    <t>CHUBECK WALTER W &amp; NI</t>
  </si>
  <si>
    <t>WINDSORE WAY</t>
  </si>
  <si>
    <t xml:space="preserve">LATERN'S LIGHT LLC </t>
  </si>
  <si>
    <t>3202 MITCHELL ST</t>
  </si>
  <si>
    <t xml:space="preserve">STEPANOVSKY JANET E </t>
  </si>
  <si>
    <t>3208 MITCHELL ST</t>
  </si>
  <si>
    <t xml:space="preserve">ROWE RAYMOND E JR </t>
  </si>
  <si>
    <t>18 MITCHELL ST</t>
  </si>
  <si>
    <t>SAXONBURG RD</t>
  </si>
  <si>
    <t xml:space="preserve">MAHONEY TERRANCE  W </t>
  </si>
  <si>
    <t>3241 ROTHPLETZ ST</t>
  </si>
  <si>
    <t>SEWICKLEY - OAKMONT RD</t>
  </si>
  <si>
    <t>SMITHSON JOHN L JR &amp; PORTIA E</t>
  </si>
  <si>
    <t>0 HALL ST</t>
  </si>
  <si>
    <t>RIDING CROP WAY</t>
  </si>
  <si>
    <t>1117 HALL ST</t>
  </si>
  <si>
    <t>HIVUE LNDG</t>
  </si>
  <si>
    <t xml:space="preserve">EHRENBERGER TARA T                              </t>
  </si>
  <si>
    <t>1109 HALL ST</t>
  </si>
  <si>
    <t>TERENCE J MAHONEY</t>
  </si>
  <si>
    <t>ROTHLETZ</t>
  </si>
  <si>
    <t xml:space="preserve">REISCH ROBERT C </t>
  </si>
  <si>
    <t>3240 ROTHPLETZ ST</t>
  </si>
  <si>
    <t>SHADY DR</t>
  </si>
  <si>
    <t>OLIVER GREGORY H &amp; BONNI S (W)</t>
  </si>
  <si>
    <t>3232 ROTHPLETZ ST</t>
  </si>
  <si>
    <t>LEE RD</t>
  </si>
  <si>
    <t xml:space="preserve">GILL JEFFREY P </t>
  </si>
  <si>
    <t>0 ROTHPLETZ ST</t>
  </si>
  <si>
    <t>PERNATOZZI CARMELA  &amp; ADELINE RIEDL</t>
  </si>
  <si>
    <t>3208 ROTHPLETZ ST</t>
  </si>
  <si>
    <t xml:space="preserve">REDO CONSULTING LLC </t>
  </si>
  <si>
    <t>1034 ROTHPLETZ ST</t>
  </si>
  <si>
    <t xml:space="preserve">PUHAC GEORGE </t>
  </si>
  <si>
    <t>1028 ROTHPLETZ ST</t>
  </si>
  <si>
    <t xml:space="preserve">WHITT VALARY D </t>
  </si>
  <si>
    <t>1026 ROTHPLETZ ST</t>
  </si>
  <si>
    <t>1018 ROTHPLETZ ST</t>
  </si>
  <si>
    <t xml:space="preserve">GRIFFIN TASHAE </t>
  </si>
  <si>
    <t>1016 ROTHPLETZ ST</t>
  </si>
  <si>
    <t>MCCARTAN JAMES &amp; EULALIA (W)</t>
  </si>
  <si>
    <t>934 ROTHPLETZ ST</t>
  </si>
  <si>
    <t>930 ROTHPLETZ ST</t>
  </si>
  <si>
    <t>YOUNG PAUL L JR &amp; PATSY S (W)</t>
  </si>
  <si>
    <t>3229 WARDWELL ST</t>
  </si>
  <si>
    <t>YOUNG PAUL L JR &amp; PAT</t>
  </si>
  <si>
    <t>US HIGHWAY 87 N</t>
  </si>
  <si>
    <t>SAN ANGELO</t>
  </si>
  <si>
    <t xml:space="preserve">MAHONEY TERENCE J </t>
  </si>
  <si>
    <t>3235 WARDWELL ST</t>
  </si>
  <si>
    <t>3239 SHELBY ST</t>
  </si>
  <si>
    <t>TERENCFE J MAHONEY</t>
  </si>
  <si>
    <t xml:space="preserve">COX TERESA COLLEEN </t>
  </si>
  <si>
    <t>1105 HALL ST</t>
  </si>
  <si>
    <t>SHERWOOD DR</t>
  </si>
  <si>
    <t>STEPHANY OSCAR J &amp; JOSEPHINE</t>
  </si>
  <si>
    <t>1912 TIFFANY ST</t>
  </si>
  <si>
    <t>FORD CITY</t>
  </si>
  <si>
    <t>850 ROTHPLETZ ST</t>
  </si>
  <si>
    <t xml:space="preserve">NEMEC DAVID J </t>
  </si>
  <si>
    <t>840 GRAND AVE</t>
  </si>
  <si>
    <t xml:space="preserve">CAMPBELL WILLIAM C </t>
  </si>
  <si>
    <t>842 GRAND AVE</t>
  </si>
  <si>
    <t xml:space="preserve">HALL KELLY L </t>
  </si>
  <si>
    <t>848 GRAND AVE</t>
  </si>
  <si>
    <t>ANDREWS ROBERT J &amp; DIANA R (W)</t>
  </si>
  <si>
    <t>900 GRAND AVE</t>
  </si>
  <si>
    <t>ANDREWS ROBERT J &amp; DI</t>
  </si>
  <si>
    <t xml:space="preserve">HANDLOW JEAN </t>
  </si>
  <si>
    <t>922 GRAND AVE</t>
  </si>
  <si>
    <t>917 GRAND AVE</t>
  </si>
  <si>
    <t xml:space="preserve">ESM INVESTMENT GROUP LLC </t>
  </si>
  <si>
    <t>902 SMITHTON AVE</t>
  </si>
  <si>
    <t xml:space="preserve">ESM INVESTMENT GROUP </t>
  </si>
  <si>
    <t>WOODS RUN AVE # 3</t>
  </si>
  <si>
    <t xml:space="preserve">JONES WILLIAM </t>
  </si>
  <si>
    <t>923 SMITHTON AVE</t>
  </si>
  <si>
    <t>MCCARTAN JAMES F &amp; JUDITH L</t>
  </si>
  <si>
    <t>0 SMITHTON AVE</t>
  </si>
  <si>
    <t xml:space="preserve">LEROSE LISA &amp; MARK </t>
  </si>
  <si>
    <t>913 SMITHTON AVE</t>
  </si>
  <si>
    <t xml:space="preserve">LEROSE LISA </t>
  </si>
  <si>
    <t>NORTHMINSTER ST</t>
  </si>
  <si>
    <t>859 SMITHTON AVE</t>
  </si>
  <si>
    <t xml:space="preserve">COTTON SEAN ANTHONY SR </t>
  </si>
  <si>
    <t xml:space="preserve">LINHART MARGARET </t>
  </si>
  <si>
    <t>843 SMITHTON AVE</t>
  </si>
  <si>
    <t>MARGARET LINHART</t>
  </si>
  <si>
    <t xml:space="preserve">SCHACHNER JOSEPH </t>
  </si>
  <si>
    <t xml:space="preserve">MOHAWK DIVERSIFIED LLC </t>
  </si>
  <si>
    <t>1329 GEYER AVE</t>
  </si>
  <si>
    <t>W SAHARA AVE</t>
  </si>
  <si>
    <t xml:space="preserve">NGUYEN MAN </t>
  </si>
  <si>
    <t>1331 GEYER AVE</t>
  </si>
  <si>
    <t>NGUYEN MAN</t>
  </si>
  <si>
    <t>NW 84TH LOOP CT</t>
  </si>
  <si>
    <t>VANCOUVER</t>
  </si>
  <si>
    <t>ZARKO MILDRED T &amp; DAVID S ZARKO</t>
  </si>
  <si>
    <t>1339 GEYER AVE</t>
  </si>
  <si>
    <t xml:space="preserve">CHWALEK FRANCES </t>
  </si>
  <si>
    <t>1341 GEYER AVE</t>
  </si>
  <si>
    <t>S PINE ST</t>
  </si>
  <si>
    <t>1347 GEYER AVE</t>
  </si>
  <si>
    <t>1351 GEYER AVE</t>
  </si>
  <si>
    <t>1355 GEYER AVE</t>
  </si>
  <si>
    <t>FULLER ST</t>
  </si>
  <si>
    <t>SANTA CLARA</t>
  </si>
  <si>
    <t xml:space="preserve">HENDERSON NANCY M </t>
  </si>
  <si>
    <t>3155 SHADELAND AVE</t>
  </si>
  <si>
    <t>BELLVUE AVE FL 2</t>
  </si>
  <si>
    <t xml:space="preserve">WENGER LARRY </t>
  </si>
  <si>
    <t>HARMONY DRIVE</t>
  </si>
  <si>
    <t>EVERGREEN HOMES &amp; MORE LLC</t>
  </si>
  <si>
    <t>3137 SHADELAND AVE</t>
  </si>
  <si>
    <t>N ELLIS ST</t>
  </si>
  <si>
    <t>CHANDLER</t>
  </si>
  <si>
    <t xml:space="preserve">ROACH JOHN F &amp; FRANCES </t>
  </si>
  <si>
    <t>2 DAVIS ROW</t>
  </si>
  <si>
    <t>ROACH JOHN F &amp; FRANCE</t>
  </si>
  <si>
    <t>MATTERHORN AVE</t>
  </si>
  <si>
    <t xml:space="preserve">MCKEEVER VICTOR </t>
  </si>
  <si>
    <t>3 DAVIS ROW</t>
  </si>
  <si>
    <t>VICTOR MCKEEVER</t>
  </si>
  <si>
    <t xml:space="preserve">KILLMEYER DOUGLAS P </t>
  </si>
  <si>
    <t>0 DAVIS ROW</t>
  </si>
  <si>
    <t>BROWNS LN APT 1</t>
  </si>
  <si>
    <t>BYERS ELMER FRANKLIN &amp; JENNIE MAY</t>
  </si>
  <si>
    <t xml:space="preserve">ARENSBERG TENNEVA </t>
  </si>
  <si>
    <t xml:space="preserve">PARKER WAYNE JR                                 </t>
  </si>
  <si>
    <t>WAYNE PARKER SR</t>
  </si>
  <si>
    <t xml:space="preserve">WOLFE THERESA M </t>
  </si>
  <si>
    <t>MARY DAVIS</t>
  </si>
  <si>
    <t>OLD CHRISTOPHER &amp; SAMANTHA (W)</t>
  </si>
  <si>
    <t>OLD CHRISTOPHER &amp; SAM</t>
  </si>
  <si>
    <t>COMPLETE ST</t>
  </si>
  <si>
    <t xml:space="preserve">SHEIKHABADI ALI </t>
  </si>
  <si>
    <t xml:space="preserve">OLD SAMANTHA </t>
  </si>
  <si>
    <t xml:space="preserve">BOEHM LEONARD </t>
  </si>
  <si>
    <t>3121 SHADELAND AVE</t>
  </si>
  <si>
    <t>DARWIN COPELAND WHERE  TO TURN INVESTMENTS</t>
  </si>
  <si>
    <t>3115 SHADELAND AVE</t>
  </si>
  <si>
    <t xml:space="preserve">AVID HOLDINGS 1802 LLC </t>
  </si>
  <si>
    <t>1312 COMPLETE ST</t>
  </si>
  <si>
    <t>AVID HOLDINGS 1802 LL</t>
  </si>
  <si>
    <t>W INGOMAR RD # 245</t>
  </si>
  <si>
    <t xml:space="preserve">PUNIAK JOHN </t>
  </si>
  <si>
    <t>1316 COMPLETE ST</t>
  </si>
  <si>
    <t>1320 COMPLETE ST</t>
  </si>
  <si>
    <t>1322 COMPLETE ST</t>
  </si>
  <si>
    <t>0 COMPLETE ST</t>
  </si>
  <si>
    <t xml:space="preserve">OLD CHRIS &amp; SAMANTHA (W) </t>
  </si>
  <si>
    <t>1330 COMPLETE ST</t>
  </si>
  <si>
    <t xml:space="preserve">OLD CHRIS &amp; SAMANTHA </t>
  </si>
  <si>
    <t>ACACIA LP TRUSTEE OF  WATERMAN FINANCIAL TRUST</t>
  </si>
  <si>
    <t>3103 SHADELAND AVE</t>
  </si>
  <si>
    <t xml:space="preserve">ACACIA LP TRUSTEE OF </t>
  </si>
  <si>
    <t>3101 SHADELAND AVE</t>
  </si>
  <si>
    <t xml:space="preserve">BAKER EUGENE                                    </t>
  </si>
  <si>
    <t>3041 SHADELAND AVE</t>
  </si>
  <si>
    <t>SHEETZ WILLIAM C &amp; DOROTHY (W)</t>
  </si>
  <si>
    <t>3029 SHADELAND AVE</t>
  </si>
  <si>
    <t>MOSER BRIAN &amp; KATHARINE (W)</t>
  </si>
  <si>
    <t xml:space="preserve">GOGAL WILLIAM D </t>
  </si>
  <si>
    <t>3122 SHADELAND AVE</t>
  </si>
  <si>
    <t>ELM DR</t>
  </si>
  <si>
    <t>COGAL WILLIAM D &amp; LAUREN LEE (W)</t>
  </si>
  <si>
    <t xml:space="preserve">HUBER CAROL LYN                                 </t>
  </si>
  <si>
    <t>3128 SHADELAND AVE</t>
  </si>
  <si>
    <t xml:space="preserve">JOHNSON RICHAI </t>
  </si>
  <si>
    <t>3136 SHADELAND AVE</t>
  </si>
  <si>
    <t>3138 SHADELAND AVE</t>
  </si>
  <si>
    <t xml:space="preserve">KARNSIC WENDY </t>
  </si>
  <si>
    <t>3146 SHADELAND AVE</t>
  </si>
  <si>
    <t xml:space="preserve">KARNSIC ROBIN                                   </t>
  </si>
  <si>
    <t>KARNSIC WENDY L &amp; ROBIN D KARNSIC</t>
  </si>
  <si>
    <t xml:space="preserve">GREEN SARA R </t>
  </si>
  <si>
    <t>GREEN SARA R</t>
  </si>
  <si>
    <t>PERROTT ST FLOOR 1</t>
  </si>
  <si>
    <t xml:space="preserve">SEARIGHT TIMMOTHY G </t>
  </si>
  <si>
    <t>3044 FREDERICK ST</t>
  </si>
  <si>
    <t>SEARIGHT TIMMOTHY G</t>
  </si>
  <si>
    <t>ROBINSON KENNETH D &amp; BOBETTE M (W)</t>
  </si>
  <si>
    <t>3046 FREDERICK ST</t>
  </si>
  <si>
    <t xml:space="preserve">COLLINS JUANITA </t>
  </si>
  <si>
    <t>3048 FREDERICK ST</t>
  </si>
  <si>
    <t>SAINT JOHN ST</t>
  </si>
  <si>
    <t>OLD CHRISTOPHER &amp; SAMANTHA</t>
  </si>
  <si>
    <t>3054 FREDERICK ST</t>
  </si>
  <si>
    <t>BAKER MANAGEMENT GROUP  LLC</t>
  </si>
  <si>
    <t>3108 FREDERICK ST</t>
  </si>
  <si>
    <t>BAKER MANAGEMENT GROU</t>
  </si>
  <si>
    <t xml:space="preserve">CASTRO JOSE &amp;                         </t>
  </si>
  <si>
    <t>3116 FREDERICK ST</t>
  </si>
  <si>
    <t>CASTRO JOSE &amp; REYES D</t>
  </si>
  <si>
    <t>BAGI JOSEPH  &amp; YOLANDA M NAGY</t>
  </si>
  <si>
    <t>3118 FREDERICK ST</t>
  </si>
  <si>
    <t xml:space="preserve">RICKWALD CHARLES R </t>
  </si>
  <si>
    <t>3122 FREDERICK ST</t>
  </si>
  <si>
    <t>3124 FREDERICK ST</t>
  </si>
  <si>
    <t xml:space="preserve">MURRAY MICHAEL J </t>
  </si>
  <si>
    <t>3128 FREDERICK ST</t>
  </si>
  <si>
    <t xml:space="preserve">BRADLEY NORBERT F SR &amp; HELEN C (W)             </t>
  </si>
  <si>
    <t xml:space="preserve">BRADLEY NORBERT F JR </t>
  </si>
  <si>
    <t xml:space="preserve">KEFFER THOMAS WILLIAM </t>
  </si>
  <si>
    <t xml:space="preserve">SCHNEID YOSEF &amp; MAZAL (W)               </t>
  </si>
  <si>
    <t>3115 WADLOW ST</t>
  </si>
  <si>
    <t>SCHNEID YOSEF &amp; MAZAL</t>
  </si>
  <si>
    <t>RACHEL SARA              ETAL</t>
  </si>
  <si>
    <t>MORROW ROBERT J &amp; ROBERTA C</t>
  </si>
  <si>
    <t>3049 WADLOW ST</t>
  </si>
  <si>
    <t xml:space="preserve">RABATIN ANDREW  &amp; MARY </t>
  </si>
  <si>
    <t>RABATIN ANDREW  &amp; MAR</t>
  </si>
  <si>
    <t xml:space="preserve">SABRAM ANNA </t>
  </si>
  <si>
    <t>3043 WADLOW ST</t>
  </si>
  <si>
    <t>JOHNSTON AUGUST A &amp; STELLA C (W)</t>
  </si>
  <si>
    <t>3021 WADLOW ST</t>
  </si>
  <si>
    <t>PROVIDENT INSTITUTE FOR  SAVINGS</t>
  </si>
  <si>
    <t>3011 VENSEL WAY</t>
  </si>
  <si>
    <t xml:space="preserve">MERWICK ARTHUR R &amp; IRENE </t>
  </si>
  <si>
    <t>3014 WADLOW ST</t>
  </si>
  <si>
    <t>VALORIE BRANDON</t>
  </si>
  <si>
    <t>NEEDHAM ST</t>
  </si>
  <si>
    <t xml:space="preserve">EKE CHINWENDU </t>
  </si>
  <si>
    <t>CASTLETON TER</t>
  </si>
  <si>
    <t xml:space="preserve">NASH JIMMIE RAY                                 </t>
  </si>
  <si>
    <t xml:space="preserve">GRACZYK WILLIAM H </t>
  </si>
  <si>
    <t>3031 VENSEL WAY</t>
  </si>
  <si>
    <t>3035 VENSEL WAY</t>
  </si>
  <si>
    <t>3039 VENSEL WAY</t>
  </si>
  <si>
    <t xml:space="preserve">SKULTETY ROBERT T </t>
  </si>
  <si>
    <t>WEXFORD BAYNE RD</t>
  </si>
  <si>
    <t>DEJOY SAMUEL J SR &amp; ELSIE (W)</t>
  </si>
  <si>
    <t>0 VENSEL WAY</t>
  </si>
  <si>
    <t>MORRIS REAL ESTATE  SOLUTIONS LLC</t>
  </si>
  <si>
    <t>1215 SCHIMMER ST</t>
  </si>
  <si>
    <t>MORRIS REAL ESTATE SO</t>
  </si>
  <si>
    <t>3124 WADLOW ST</t>
  </si>
  <si>
    <t xml:space="preserve">SPADAFORA ESTATES LLC </t>
  </si>
  <si>
    <t>3127 BRIGHTON RD</t>
  </si>
  <si>
    <t xml:space="preserve">JENKS STEPHANIE L </t>
  </si>
  <si>
    <t>3020 VENSEL WAY</t>
  </si>
  <si>
    <t xml:space="preserve">BIEL ALBERT J &amp; ANNE E </t>
  </si>
  <si>
    <t xml:space="preserve">BIEL ALBERT J &amp; ANNE </t>
  </si>
  <si>
    <t>VENSEL ST</t>
  </si>
  <si>
    <t>3038 STAYTON ST</t>
  </si>
  <si>
    <t xml:space="preserve">GRACZYK WILLIAM H JR </t>
  </si>
  <si>
    <t xml:space="preserve">BROWN ANTHONY                                   </t>
  </si>
  <si>
    <t>3045 STAYTON ST</t>
  </si>
  <si>
    <t xml:space="preserve">LESKO GEORGE </t>
  </si>
  <si>
    <t>3100 BRIGHTON RD</t>
  </si>
  <si>
    <t xml:space="preserve">CARDO F MANAGEMENT LLC </t>
  </si>
  <si>
    <t>3110 BRIGHTON RD</t>
  </si>
  <si>
    <t>CARDO F MANAGEMENT LL</t>
  </si>
  <si>
    <t>3114 BRIGHTON RD</t>
  </si>
  <si>
    <t xml:space="preserve">GENERATION REALTY </t>
  </si>
  <si>
    <t>3126 BRIGHTON RD</t>
  </si>
  <si>
    <t>HUGHES JAMES P &amp; NOVAK KAREN A</t>
  </si>
  <si>
    <t>1001 SMITHTON AVE</t>
  </si>
  <si>
    <t xml:space="preserve">BRADSHAW TELLACE </t>
  </si>
  <si>
    <t>1007 SMITHTON AVE</t>
  </si>
  <si>
    <t xml:space="preserve">SCHACHT EDWARD J </t>
  </si>
  <si>
    <t xml:space="preserve">MARTIN ANDREW </t>
  </si>
  <si>
    <t>1023 SMITHTON AVE</t>
  </si>
  <si>
    <t>1031 SMITHTON AVE</t>
  </si>
  <si>
    <t xml:space="preserve">STERN SABRINA M </t>
  </si>
  <si>
    <t>1039 SMITHTON AVE</t>
  </si>
  <si>
    <t>CHAPEL W AVE</t>
  </si>
  <si>
    <t xml:space="preserve">TRUNICK PATRICIA L </t>
  </si>
  <si>
    <t>CHRISTENE BLVD</t>
  </si>
  <si>
    <t>1043 SMITHTON AVE</t>
  </si>
  <si>
    <t>PEACH BLOSSOM PROPERT</t>
  </si>
  <si>
    <t>PO BOX 100262</t>
  </si>
  <si>
    <t>TOOMEY JAMES D &amp; KATHLEEN</t>
  </si>
  <si>
    <t>1051 SMITHTON AVE</t>
  </si>
  <si>
    <t>1055 SMITHTON AVE</t>
  </si>
  <si>
    <t>P O BOX 100262</t>
  </si>
  <si>
    <t>1059 SMITHTON AVE</t>
  </si>
  <si>
    <t>PEACH BLOSSON  PROPERTIES LLC</t>
  </si>
  <si>
    <t>1061 SMITHTON AVE</t>
  </si>
  <si>
    <t>PEACH BLOSSON PROPERT</t>
  </si>
  <si>
    <t>1067 SMITHTON AVE</t>
  </si>
  <si>
    <t xml:space="preserve">LAMB HEATHER </t>
  </si>
  <si>
    <t>11101 SMITHTON AVE</t>
  </si>
  <si>
    <t>1101 SMITHTON AVE</t>
  </si>
  <si>
    <t xml:space="preserve">CAPO PATRICK  &amp; MARIE </t>
  </si>
  <si>
    <t>1103 SMITHTON AVE</t>
  </si>
  <si>
    <t xml:space="preserve">BARNETT JONI LEE </t>
  </si>
  <si>
    <t>3114 INGLIS ST</t>
  </si>
  <si>
    <t>INGLISS ST</t>
  </si>
  <si>
    <t xml:space="preserve">CAMINO DAVID </t>
  </si>
  <si>
    <t>0 INGLIS ST</t>
  </si>
  <si>
    <t>3120 INGLIS ST</t>
  </si>
  <si>
    <t>INGLIS ST</t>
  </si>
  <si>
    <t xml:space="preserve">EBERHARDT TERRELL L </t>
  </si>
  <si>
    <t>CAMINO DAVID &amp; MARY BETH (W)</t>
  </si>
  <si>
    <t>3115 INGLIS ST</t>
  </si>
  <si>
    <t>CAMINO DAVID &amp; MARY B</t>
  </si>
  <si>
    <t>SENCHISEN MICHAEL J &amp; CHERYL LEE (W)</t>
  </si>
  <si>
    <t>3116 WESTBORN ST</t>
  </si>
  <si>
    <t xml:space="preserve">ZUSCHLAG SUSAN </t>
  </si>
  <si>
    <t>0 WESTBORN ST</t>
  </si>
  <si>
    <t>STANTON ST APT C</t>
  </si>
  <si>
    <t xml:space="preserve">POTTER RHONDA L </t>
  </si>
  <si>
    <t>WABASH ST APT 2</t>
  </si>
  <si>
    <t>MARCINIAK JAMES A &amp; LOUCREACIE E (W)</t>
  </si>
  <si>
    <t>3104 WESTBORN ST</t>
  </si>
  <si>
    <t xml:space="preserve">MARCINIAK LOUCREACIE </t>
  </si>
  <si>
    <t>3102 WESTBORN ST</t>
  </si>
  <si>
    <t xml:space="preserve">THEWES MARY L </t>
  </si>
  <si>
    <t>W STEUBEN ST</t>
  </si>
  <si>
    <t>3015 STAYTON ST</t>
  </si>
  <si>
    <t>3013 STAYTON ST</t>
  </si>
  <si>
    <t>NATIONS CREDIT CONSUMER DISCOUNT CO</t>
  </si>
  <si>
    <t>MCKELVEY LAWRENCE E &amp; DEBORAH D (W)</t>
  </si>
  <si>
    <t>929 SMITHTON AVE</t>
  </si>
  <si>
    <t xml:space="preserve">HOWELL LEONARD JR </t>
  </si>
  <si>
    <t>925 SMITHTON AVE</t>
  </si>
  <si>
    <t xml:space="preserve">TH PROPERTY OWNER LLC </t>
  </si>
  <si>
    <t>1282 SAN PEDRO ST</t>
  </si>
  <si>
    <t>4000 DREXEL RD</t>
  </si>
  <si>
    <t>HERAK THOMAS H &amp; FRANCES H (W)</t>
  </si>
  <si>
    <t>1508 PENNOCK RD</t>
  </si>
  <si>
    <t>PENNOCK RD</t>
  </si>
  <si>
    <t>IBRAHIM RASHEED TUNDE &amp; RAMASELA D (W)</t>
  </si>
  <si>
    <t>1181 BENTON PL</t>
  </si>
  <si>
    <t>FARLEY HOMER F &amp; DELORES C</t>
  </si>
  <si>
    <t>1256 SAN PEDRO ST</t>
  </si>
  <si>
    <t xml:space="preserve">BAVAR JANNA &amp; BRETT (H) </t>
  </si>
  <si>
    <t>4045 BRIGHTON RD</t>
  </si>
  <si>
    <t>DANIEL ERIN M &amp; NICHOLAS J (H)</t>
  </si>
  <si>
    <t>4001 BRIGHTON RD</t>
  </si>
  <si>
    <t>DANIEL ERIN M &amp; NICHO</t>
  </si>
  <si>
    <t xml:space="preserve">PALMIERI RICHARD </t>
  </si>
  <si>
    <t>0 CAMBRONNE ST</t>
  </si>
  <si>
    <t>CAMBRONNE ST</t>
  </si>
  <si>
    <t>4059 CAMBRONNE ST</t>
  </si>
  <si>
    <t xml:space="preserve">LEROSE LISA M </t>
  </si>
  <si>
    <t>4004 NORTHMINSTER ST</t>
  </si>
  <si>
    <t xml:space="preserve">EASLEY BRITTNEY M </t>
  </si>
  <si>
    <t>1832 WINHURST ST</t>
  </si>
  <si>
    <t>LIFE ADULT CARE  SERVICES LLC</t>
  </si>
  <si>
    <t>1808 WINHURST ST</t>
  </si>
  <si>
    <t>LIFE ADULT CARE SERVI</t>
  </si>
  <si>
    <t>OAKLYNN CT APT TA</t>
  </si>
  <si>
    <t>JONES CHRISTOPHER L &amp; DEBORAH M (W)</t>
  </si>
  <si>
    <t>1802 WINHURST ST</t>
  </si>
  <si>
    <t xml:space="preserve">WALSH RAYMOND A </t>
  </si>
  <si>
    <t>3897 BRIGHTON RD</t>
  </si>
  <si>
    <t>WALSH RAYMOND A</t>
  </si>
  <si>
    <t>CICCARELLI DEVELOPMENT  LLC</t>
  </si>
  <si>
    <t>4014 BRIGHTON RD</t>
  </si>
  <si>
    <t>CICCARELLI DEVELOPMEN</t>
  </si>
  <si>
    <t xml:space="preserve">JOHNS CRAIG P </t>
  </si>
  <si>
    <t>3930 BRIGHTON RD</t>
  </si>
  <si>
    <t xml:space="preserve">PHILLIPS JOHN                                   </t>
  </si>
  <si>
    <t>3900 BRIGHTON RD</t>
  </si>
  <si>
    <t>KUSHIK WILLIAM D &amp; DONNA E (W)</t>
  </si>
  <si>
    <t>3912 KLEBER ST</t>
  </si>
  <si>
    <t xml:space="preserve">DUTZIK KATHLEEN K </t>
  </si>
  <si>
    <t>3951 BRANDON RD</t>
  </si>
  <si>
    <t xml:space="preserve">MATVEY AMBER R </t>
  </si>
  <si>
    <t>3955 BRANDON RD</t>
  </si>
  <si>
    <t>WISNIOWSKI ROSE  &amp; ROSANNA WISNIOWSKI</t>
  </si>
  <si>
    <t>4003 BRANDON RD</t>
  </si>
  <si>
    <t>CALLAHAN CATHERINE E ETAL</t>
  </si>
  <si>
    <t>4015 SHOREHAM ST</t>
  </si>
  <si>
    <t>SHOREHAM ST</t>
  </si>
  <si>
    <t xml:space="preserve">CARSON HOLDINGS LLC </t>
  </si>
  <si>
    <t>3915 SHOREHAM ST</t>
  </si>
  <si>
    <t>0 NORTH SHORE DR</t>
  </si>
  <si>
    <t>3960 BRANDON RD</t>
  </si>
  <si>
    <t xml:space="preserve">GEISLER MARYANN </t>
  </si>
  <si>
    <t>3924 KLEBER ST</t>
  </si>
  <si>
    <t>KEFFER THOMAS P &amp; PAMELA J (W)</t>
  </si>
  <si>
    <t>3952 DREXEL RD</t>
  </si>
  <si>
    <t>KEFFER THOMAS P &amp; PAM</t>
  </si>
  <si>
    <t>DREXEL RD</t>
  </si>
  <si>
    <t xml:space="preserve">OTOOLE SUSAN M </t>
  </si>
  <si>
    <t>1117 BENTON AVE</t>
  </si>
  <si>
    <t xml:space="preserve">HOPKINS LAWRENCE                                </t>
  </si>
  <si>
    <t>1021 BENTON AVE</t>
  </si>
  <si>
    <t>BONAVENTURE WAY</t>
  </si>
  <si>
    <t xml:space="preserve">LIN JING </t>
  </si>
  <si>
    <t>1017 BENTON AVE</t>
  </si>
  <si>
    <t>NOBLES WOOD DR</t>
  </si>
  <si>
    <t xml:space="preserve">BOSCIA CHERYL ANN </t>
  </si>
  <si>
    <t>1009 BENTON AVE</t>
  </si>
  <si>
    <t xml:space="preserve">642 CAROTHERS LP </t>
  </si>
  <si>
    <t>905 BENTON AVE</t>
  </si>
  <si>
    <t>642 CAROTHERS LP</t>
  </si>
  <si>
    <t>0 LAPISH RD</t>
  </si>
  <si>
    <t>PO BOX 22</t>
  </si>
  <si>
    <t xml:space="preserve">EVANS WAYNE </t>
  </si>
  <si>
    <t>0 BIRKHOFF ST</t>
  </si>
  <si>
    <t>HOLLYHOCK DR</t>
  </si>
  <si>
    <t>4145 GITTENS ST</t>
  </si>
  <si>
    <t>2042 STONELEA ST</t>
  </si>
  <si>
    <t>FORT DUQUESNE BLVD STE 120</t>
  </si>
  <si>
    <t xml:space="preserve">ROEBUCK LASHAWN M </t>
  </si>
  <si>
    <t>4011 OSWALD ST</t>
  </si>
  <si>
    <t xml:space="preserve">ZENG XIUZHEN </t>
  </si>
  <si>
    <t>4015 OSWALD ST</t>
  </si>
  <si>
    <t>JACARANDA DR</t>
  </si>
  <si>
    <t>OXNARD</t>
  </si>
  <si>
    <t xml:space="preserve">MCBURNEY BRIAN EDWARD </t>
  </si>
  <si>
    <t>4021 OSWALD ST</t>
  </si>
  <si>
    <t>MCBURNEY BRIAN EDWARD</t>
  </si>
  <si>
    <t xml:space="preserve">CULLEN KIMBERLY </t>
  </si>
  <si>
    <t>4024 OSWALD ST</t>
  </si>
  <si>
    <t xml:space="preserve">GRIFFITHS RUSSELL </t>
  </si>
  <si>
    <t>4012 OSWALD ST</t>
  </si>
  <si>
    <t xml:space="preserve">GEIGER JAMES P </t>
  </si>
  <si>
    <t>4002 OSWALD ST</t>
  </si>
  <si>
    <t>REVOCABLE TRUST  AGREEMENT OF IRWIN H KOT</t>
  </si>
  <si>
    <t>3946 OSWALD ST</t>
  </si>
  <si>
    <t>0 OSWALD ST</t>
  </si>
  <si>
    <t>3827 CALIFORNIA AVE</t>
  </si>
  <si>
    <t xml:space="preserve">VIENNA LLC </t>
  </si>
  <si>
    <t>NOLAN CORNELIUS A &amp; REGINA M (W)</t>
  </si>
  <si>
    <t>3853 CALIFORNIA AVE</t>
  </si>
  <si>
    <t>ROSI DR</t>
  </si>
  <si>
    <t>NOLAN CORNELIUS A &amp; REGINA M NOLAN (W)</t>
  </si>
  <si>
    <t>NOLAN CORNELIUS A &amp; R</t>
  </si>
  <si>
    <t>ROSSI DR</t>
  </si>
  <si>
    <t>3941 CALIFORNIA AVE</t>
  </si>
  <si>
    <t xml:space="preserve">MLM HOLDINGS LLC </t>
  </si>
  <si>
    <t>4005 CALIFORNIA AVE</t>
  </si>
  <si>
    <t>MLM HOLDINGS LLC</t>
  </si>
  <si>
    <t>PO BOX 15270</t>
  </si>
  <si>
    <t xml:space="preserve">ESOLA DEBORAH A </t>
  </si>
  <si>
    <t>4004 CALIFORNIA AVE</t>
  </si>
  <si>
    <t xml:space="preserve">GERBER JOANNE E </t>
  </si>
  <si>
    <t>1859 WITTMER ST</t>
  </si>
  <si>
    <t>WITTMER ST</t>
  </si>
  <si>
    <t>WIRTZ TIMOTHY &amp; COURTNEY L (W)</t>
  </si>
  <si>
    <t>3914 CALIFORNIA AVE</t>
  </si>
  <si>
    <t>JOYCE PATRICK J &amp; SUSAN E (W)</t>
  </si>
  <si>
    <t>1852 PERROTT AVE</t>
  </si>
  <si>
    <t>PERROTT ST</t>
  </si>
  <si>
    <t xml:space="preserve">LUXXE LIFE BUNDLES LLC </t>
  </si>
  <si>
    <t>1840 PERROTT AVE</t>
  </si>
  <si>
    <t>LUXXE LIFE BUNDLES LL</t>
  </si>
  <si>
    <t>FULLARD BENJAMIN &amp; TAMONA D (W)</t>
  </si>
  <si>
    <t>3928 MCCLURE AVE</t>
  </si>
  <si>
    <t xml:space="preserve">EONTA DAVID P </t>
  </si>
  <si>
    <t>3926 MCCLURE AVE</t>
  </si>
  <si>
    <t>3911 MCCLURE AVE</t>
  </si>
  <si>
    <t xml:space="preserve">NOBLE KENT </t>
  </si>
  <si>
    <t>3945 MCCLURE AVE</t>
  </si>
  <si>
    <t>ROSSMONT GERALD M &amp; CHRISTINE (W)</t>
  </si>
  <si>
    <t>3949 MCCLURE AVE</t>
  </si>
  <si>
    <t>ROSSMONT GERALD M &amp; C</t>
  </si>
  <si>
    <t xml:space="preserve">HEARN DEBORAH </t>
  </si>
  <si>
    <t>3924 WINSHIRE ST</t>
  </si>
  <si>
    <t>WINSHIRE ST</t>
  </si>
  <si>
    <t>MAHOFSKI JOHN A &amp; KATHLEEN M</t>
  </si>
  <si>
    <t>3912 RIDDILE ST</t>
  </si>
  <si>
    <t>3929 WINSHIRE ST</t>
  </si>
  <si>
    <t xml:space="preserve">BENZ NATHANIEL </t>
  </si>
  <si>
    <t>0 NORMANDIE PL</t>
  </si>
  <si>
    <t xml:space="preserve">PARKER ANGELA </t>
  </si>
  <si>
    <t>3823 CALIFORNIA AVE</t>
  </si>
  <si>
    <t>1867 VIRUTH ST</t>
  </si>
  <si>
    <t>SUTTON BARBARA JANED IEL &amp; EDWARD J (H)</t>
  </si>
  <si>
    <t>1418 BENTON AVE</t>
  </si>
  <si>
    <t>MOZZETTI RONALD M &amp; DIANNE K MOZZETTI</t>
  </si>
  <si>
    <t>3803 MCCLURE AVE</t>
  </si>
  <si>
    <t>MOZZETTI RONALD M &amp; D</t>
  </si>
  <si>
    <t>STANDFORD AVE</t>
  </si>
  <si>
    <t xml:space="preserve">BIERNESSER SAMANTHA &amp;                         </t>
  </si>
  <si>
    <t>3815 MCCLURE AVE</t>
  </si>
  <si>
    <t>CLARK WILLIAM L &amp; DEBORAH A (W)</t>
  </si>
  <si>
    <t>3823 MCCLURE AVE</t>
  </si>
  <si>
    <t>CLARK WILLIAM L &amp; DEB</t>
  </si>
  <si>
    <t>3853 BRIGHTON RD</t>
  </si>
  <si>
    <t>REISER PETER B &amp; LORRAINE M (W)</t>
  </si>
  <si>
    <t>3878 BRIGHTON RD</t>
  </si>
  <si>
    <t>REISER PETER B &amp; LORR</t>
  </si>
  <si>
    <t>CAMDEN RD</t>
  </si>
  <si>
    <t>3817 PARVISS ST</t>
  </si>
  <si>
    <t>1240 BENTON AVE</t>
  </si>
  <si>
    <t xml:space="preserve">1240 BENTON FAMILY TRUST </t>
  </si>
  <si>
    <t>1240 BENTON AVE REAR</t>
  </si>
  <si>
    <t>1240 BENTON FAMILY TR</t>
  </si>
  <si>
    <t>BENTON AVE REAR</t>
  </si>
  <si>
    <t xml:space="preserve">MOON SHIRLENE A </t>
  </si>
  <si>
    <t>1234 BENTON AVE</t>
  </si>
  <si>
    <t>MASSUCCI WILLIAM P &amp; MARGARET C (W)</t>
  </si>
  <si>
    <t>0 ATKINS ST</t>
  </si>
  <si>
    <t>ANDERSON PL</t>
  </si>
  <si>
    <t xml:space="preserve">BUGGEY JOHN II </t>
  </si>
  <si>
    <t>3824 ATKINS ST</t>
  </si>
  <si>
    <t>ATKINS ST</t>
  </si>
  <si>
    <t xml:space="preserve">1229 BENTON AVE PA LLC </t>
  </si>
  <si>
    <t>1229 BENTON AVE</t>
  </si>
  <si>
    <t>1229 BENTON AVE PA LL</t>
  </si>
  <si>
    <t xml:space="preserve">REALTY JA LLC </t>
  </si>
  <si>
    <t>1227 BENTON AVE</t>
  </si>
  <si>
    <t>BEECHWOOD DR</t>
  </si>
  <si>
    <t xml:space="preserve">12:1 INVESTMENTS LLC                            </t>
  </si>
  <si>
    <t>1230 GOE AVE</t>
  </si>
  <si>
    <t xml:space="preserve">KNIGHT JAY &amp; JANET (W) </t>
  </si>
  <si>
    <t>1228 GOE AVE</t>
  </si>
  <si>
    <t>GOE AVE</t>
  </si>
  <si>
    <t>3811 WEALTH ST</t>
  </si>
  <si>
    <t xml:space="preserve">GREEN ROBERT </t>
  </si>
  <si>
    <t>3820 WEALTH ST</t>
  </si>
  <si>
    <t>NORTHWEST FEDERAL CRE</t>
  </si>
  <si>
    <t xml:space="preserve">TERMON GARDENS LLC </t>
  </si>
  <si>
    <t>2039 TERMON AVE</t>
  </si>
  <si>
    <t>TERMON GARDENS LLC</t>
  </si>
  <si>
    <t>0 0 OHIO RIVER BLVD BLVD</t>
  </si>
  <si>
    <t>0 OHIO RIVER BLVD</t>
  </si>
  <si>
    <t>DEAN RICKEY L &amp; KATHERINE B DANSBY (W)</t>
  </si>
  <si>
    <t>3843 OSWEGO ST</t>
  </si>
  <si>
    <t>MUSTOVIC RAYMOND J &amp; ANTOINETTE</t>
  </si>
  <si>
    <t>3842 OSWEGO ST</t>
  </si>
  <si>
    <t>JOAN ANN META</t>
  </si>
  <si>
    <t xml:space="preserve">HELFFRICH CYNTHIA A </t>
  </si>
  <si>
    <t>2020 TERMON AVE</t>
  </si>
  <si>
    <t>ANZELONE JAMES &amp; KATHY (W)</t>
  </si>
  <si>
    <t>1807 TERMON AVE</t>
  </si>
  <si>
    <t>ANZELONE JAMES &amp; KATH</t>
  </si>
  <si>
    <t>1710 TERMON AVE</t>
  </si>
  <si>
    <t>P. O. BOX 446</t>
  </si>
  <si>
    <t>TRIMBUR CHARLES P &amp; PATRICIA A (W)</t>
  </si>
  <si>
    <t>1908 TERMON AVE</t>
  </si>
  <si>
    <t>TRIMBUR CHARLES P &amp; P</t>
  </si>
  <si>
    <t xml:space="preserve">BERNSTEIN ALEXANDER                             </t>
  </si>
  <si>
    <t>1802 MORRELL ST</t>
  </si>
  <si>
    <t>PURPURA JOSEPH &amp; CHELSEY (W)</t>
  </si>
  <si>
    <t>1821 MARMADUKE ST</t>
  </si>
  <si>
    <t>1712 MARMADUKE ST</t>
  </si>
  <si>
    <t>MARMADUKE ST</t>
  </si>
  <si>
    <t>3811 BONAVENTURE WAY</t>
  </si>
  <si>
    <t>3778 CALIFORNIA AVE</t>
  </si>
  <si>
    <t xml:space="preserve">SALAC REBECCA K </t>
  </si>
  <si>
    <t>1483 BENTON AVE</t>
  </si>
  <si>
    <t>LARDO RONALD A &amp; LINDA A (W)</t>
  </si>
  <si>
    <t>1477 BENTON AVE</t>
  </si>
  <si>
    <t xml:space="preserve">RUSSELL HEATHER R </t>
  </si>
  <si>
    <t>1469 BENTON AVE</t>
  </si>
  <si>
    <t>HEATHER R RUSSELL</t>
  </si>
  <si>
    <t>OBRIEN WILLIAM F &amp; KATHLEEN</t>
  </si>
  <si>
    <t>0 COOPER AVE</t>
  </si>
  <si>
    <t xml:space="preserve">MENDAK SARAH M </t>
  </si>
  <si>
    <t>1514 TERMON AVE</t>
  </si>
  <si>
    <t xml:space="preserve">STEVENSON SARAH </t>
  </si>
  <si>
    <t>1524 TERMON AVE</t>
  </si>
  <si>
    <t xml:space="preserve">HARVEY JOHN H </t>
  </si>
  <si>
    <t>1528 TERMON AVE</t>
  </si>
  <si>
    <t xml:space="preserve">HARBERT MARION F </t>
  </si>
  <si>
    <t>1525 TERMON AVE</t>
  </si>
  <si>
    <t xml:space="preserve">WOLOSIK CHRISTOPHER M </t>
  </si>
  <si>
    <t>1432 ORCHLEE ST</t>
  </si>
  <si>
    <t xml:space="preserve">REITER JAMES E &amp; CLARA T </t>
  </si>
  <si>
    <t>1400 TERMON AVE</t>
  </si>
  <si>
    <t xml:space="preserve">OBRIEN BERNARD M </t>
  </si>
  <si>
    <t>1320 ORCHLEE ST</t>
  </si>
  <si>
    <t xml:space="preserve">PARKER KARLEY                                   </t>
  </si>
  <si>
    <t>1311 TERMON AVE</t>
  </si>
  <si>
    <t xml:space="preserve">MULVEY JAMES M                                  </t>
  </si>
  <si>
    <t>3713 BRIGHTON RD</t>
  </si>
  <si>
    <t>MULVEY JAMES M</t>
  </si>
  <si>
    <t>BLOOMER CHARLES R &amp; ARLENE M (W)</t>
  </si>
  <si>
    <t>3707 ATKINS ST</t>
  </si>
  <si>
    <t>BLOOMER CHARLES R &amp; A</t>
  </si>
  <si>
    <t xml:space="preserve">STANTON TONIA </t>
  </si>
  <si>
    <t>3717 ATKINS ST</t>
  </si>
  <si>
    <t>SARA LN</t>
  </si>
  <si>
    <t>MAKOSKI RANDOLPH S &amp; FRANCES I PEART</t>
  </si>
  <si>
    <t xml:space="preserve">MAKOSKI RANDOLPH S &amp; </t>
  </si>
  <si>
    <t xml:space="preserve">WILKES KEVIN C </t>
  </si>
  <si>
    <t>1209 TERMON AVE</t>
  </si>
  <si>
    <t>MOON JOHN L &amp; BRENDA M MOON</t>
  </si>
  <si>
    <t>1223 TERMON AVE</t>
  </si>
  <si>
    <t xml:space="preserve">MOON JOHN L &amp; BRENDA </t>
  </si>
  <si>
    <t>BEY ATTORNEY AT LAW  SOLO 401K TRUST</t>
  </si>
  <si>
    <t>1233 TERMON AVE</t>
  </si>
  <si>
    <t xml:space="preserve">BOYLE JOHN C </t>
  </si>
  <si>
    <t>1261 TERMON AVE</t>
  </si>
  <si>
    <t>MCGRAW HELEN M &amp; DOWL E (H)</t>
  </si>
  <si>
    <t>3648 BRIGHTON RD</t>
  </si>
  <si>
    <t>MCGRAW HELEN M &amp; DOWL</t>
  </si>
  <si>
    <t xml:space="preserve">MCGLOTHIN JILL L </t>
  </si>
  <si>
    <t>3604 BRIGHTON RD</t>
  </si>
  <si>
    <t xml:space="preserve">HONG LYYONG </t>
  </si>
  <si>
    <t>1216 DAVIS AVE</t>
  </si>
  <si>
    <t>HARTZ DALE STANLEY &amp; JOYCE MARIE (W)</t>
  </si>
  <si>
    <t>0 HALLER ST</t>
  </si>
  <si>
    <t>MAPLE SUGAR LN</t>
  </si>
  <si>
    <t xml:space="preserve">PELLEGRINI EVAN </t>
  </si>
  <si>
    <t>0 REISS ST</t>
  </si>
  <si>
    <t xml:space="preserve">STAUDE WILLIAM </t>
  </si>
  <si>
    <t>1040 HALLER ST</t>
  </si>
  <si>
    <t xml:space="preserve">GILES RACHEL </t>
  </si>
  <si>
    <t>1028 HALLER ST</t>
  </si>
  <si>
    <t>CENTER AVE APT 3C</t>
  </si>
  <si>
    <t xml:space="preserve">SLABODNIK MARGARET ANN </t>
  </si>
  <si>
    <t>1024 HALLER ST</t>
  </si>
  <si>
    <t xml:space="preserve">MENZOCK MICHAEL JR &amp; BETTY J (W)             </t>
  </si>
  <si>
    <t>0 FLORA ST</t>
  </si>
  <si>
    <t>MENZOCK SCRAP INC</t>
  </si>
  <si>
    <t>PO BOX 100094</t>
  </si>
  <si>
    <t xml:space="preserve">LEICHER CURT </t>
  </si>
  <si>
    <t>947 FLORA ST</t>
  </si>
  <si>
    <t xml:space="preserve">LEICHER CURT A </t>
  </si>
  <si>
    <t xml:space="preserve">SENCHISEN JOHN </t>
  </si>
  <si>
    <t>N FLORA ST</t>
  </si>
  <si>
    <t xml:space="preserve">HARPER JEANMARIE </t>
  </si>
  <si>
    <t>HIGHLAND RD</t>
  </si>
  <si>
    <t xml:space="preserve">OLSEN NEAL </t>
  </si>
  <si>
    <t>32 FLORA ST</t>
  </si>
  <si>
    <t xml:space="preserve">QUIGLEY KEVIN </t>
  </si>
  <si>
    <t>QUIGLEY KEVIN</t>
  </si>
  <si>
    <t xml:space="preserve">BOUVY BENJAMIN G </t>
  </si>
  <si>
    <t>1030 REISS ST</t>
  </si>
  <si>
    <t xml:space="preserve">NIYIBIZI LILANE                                 </t>
  </si>
  <si>
    <t>1036 LAPISH RD</t>
  </si>
  <si>
    <t>NIYIBIZI LILANE</t>
  </si>
  <si>
    <t>GIBSON KATHERINE  MARCILLE</t>
  </si>
  <si>
    <t>118 BOOKBINDER CIR</t>
  </si>
  <si>
    <t>GIBSON KATHERINE MARC</t>
  </si>
  <si>
    <t>BOOKBINDER CIR</t>
  </si>
  <si>
    <t>323 SQUIRE CIR</t>
  </si>
  <si>
    <t>KOWALSKI CYNTHIA J</t>
  </si>
  <si>
    <t>GREENTREE RD STE A-113</t>
  </si>
  <si>
    <t>CHENG ERDONG &amp; LUAN SHAN (W)</t>
  </si>
  <si>
    <t>309 SQUIRE CIR</t>
  </si>
  <si>
    <t>LUAN SHAN</t>
  </si>
  <si>
    <t>MATCHEN MARJORIE ELLEN  HOWARD</t>
  </si>
  <si>
    <t>3634 PURDUE ST</t>
  </si>
  <si>
    <t>MATCHEN MARJORIE ELLE</t>
  </si>
  <si>
    <t>PURDUE ST</t>
  </si>
  <si>
    <t>0 PURDUE ST</t>
  </si>
  <si>
    <t xml:space="preserve">FAY JASON &amp; PATRICIA (W) </t>
  </si>
  <si>
    <t>1024 DAVIS AVE</t>
  </si>
  <si>
    <t>SPARKS GREGORY W &amp; REBECCA E (W)</t>
  </si>
  <si>
    <t>1141 PEMBERTON ST</t>
  </si>
  <si>
    <t>PEMBERTON ST</t>
  </si>
  <si>
    <t xml:space="preserve">TRYBALSKI VERONICA L </t>
  </si>
  <si>
    <t>1121 PEMBERTON ST</t>
  </si>
  <si>
    <t xml:space="preserve">POKORA ANTHONY J </t>
  </si>
  <si>
    <t>3617 PURDUE ST</t>
  </si>
  <si>
    <t xml:space="preserve">PARRENDO CELESTE </t>
  </si>
  <si>
    <t>3614 WICKSHIRE ST</t>
  </si>
  <si>
    <t>WICKSHIRE ST</t>
  </si>
  <si>
    <t xml:space="preserve">BRAY LORA A </t>
  </si>
  <si>
    <t>1109 TERMON AVE</t>
  </si>
  <si>
    <t xml:space="preserve">COOPER SHANE M </t>
  </si>
  <si>
    <t>1103 CORNELL ST</t>
  </si>
  <si>
    <t>CORNELL ST</t>
  </si>
  <si>
    <t xml:space="preserve">SCHEMPP LISA A </t>
  </si>
  <si>
    <t>1126 TERMON AVE</t>
  </si>
  <si>
    <t xml:space="preserve">MCKNIGHT QUINN C </t>
  </si>
  <si>
    <t>1134 TERMON AVE</t>
  </si>
  <si>
    <t xml:space="preserve">TOOMEY JAMES K                                  </t>
  </si>
  <si>
    <t>1157 CORNELL ST</t>
  </si>
  <si>
    <t xml:space="preserve">IRELAND PATRICIA L </t>
  </si>
  <si>
    <t>3621 HARBISON AVE</t>
  </si>
  <si>
    <t xml:space="preserve">SCHUCK JOHN </t>
  </si>
  <si>
    <t>3656 HARBISON AVE</t>
  </si>
  <si>
    <t xml:space="preserve">BROWN MORTON                                    </t>
  </si>
  <si>
    <t>3616 LAIRD ST</t>
  </si>
  <si>
    <t>722 WOODS RUN AVE</t>
  </si>
  <si>
    <t>SHAW STEVEN J &amp; CHRISTINE M STRINGERT</t>
  </si>
  <si>
    <t>716 WOODS RUN AVE</t>
  </si>
  <si>
    <t>SHAW STEVEN J &amp; CHRIS</t>
  </si>
  <si>
    <t>STAUFFER JANICE M &amp; MARK J (H)</t>
  </si>
  <si>
    <t>728 WOODS RUN AVE</t>
  </si>
  <si>
    <t>GIALLONARDO NICHOLAS P &amp; DEBORAH K (W)</t>
  </si>
  <si>
    <t>714 WOODS RUN AVE</t>
  </si>
  <si>
    <t>714 BIRKHOFF ST</t>
  </si>
  <si>
    <t>BIRKHOFF ST</t>
  </si>
  <si>
    <t xml:space="preserve">GIGLIO STEPHANIE LOUISE </t>
  </si>
  <si>
    <t>0 VINEMONT ST</t>
  </si>
  <si>
    <t>VINEMONT ST</t>
  </si>
  <si>
    <t>1329 VINEMONT ST</t>
  </si>
  <si>
    <t xml:space="preserve">AGOVIC DENIS </t>
  </si>
  <si>
    <t>0 WARRIORS RD</t>
  </si>
  <si>
    <t xml:space="preserve">KRAMER MARA </t>
  </si>
  <si>
    <t>1842 ELMDALE RD</t>
  </si>
  <si>
    <t>HARRIS AVE</t>
  </si>
  <si>
    <t>0 ELMDALE RD</t>
  </si>
  <si>
    <t xml:space="preserve">COLEMAN DAVID </t>
  </si>
  <si>
    <t>0 HIGHMAN ST</t>
  </si>
  <si>
    <t>HIGHMAN ST</t>
  </si>
  <si>
    <t xml:space="preserve">BARTON FRANK A </t>
  </si>
  <si>
    <t>1200 HIGHMAN ST</t>
  </si>
  <si>
    <t>SHERLOCK CIR</t>
  </si>
  <si>
    <t xml:space="preserve">HEID JOSEPH H JR </t>
  </si>
  <si>
    <t>1208 HIGHMAN ST</t>
  </si>
  <si>
    <t xml:space="preserve">BRADICK RYAN </t>
  </si>
  <si>
    <t>305 SHADYHILL RD</t>
  </si>
  <si>
    <t>SHADYHILL RD</t>
  </si>
  <si>
    <t xml:space="preserve">BOOTH BRANDI L                                  </t>
  </si>
  <si>
    <t>1115 JEROME ST</t>
  </si>
  <si>
    <t xml:space="preserve">GODFREY MARTIN A &amp; ANET </t>
  </si>
  <si>
    <t>1127 JEROME ST</t>
  </si>
  <si>
    <t>JEROME ST</t>
  </si>
  <si>
    <t xml:space="preserve">YU JINGSHENG &amp; LIWEI                   </t>
  </si>
  <si>
    <t>1175 JEROME ST</t>
  </si>
  <si>
    <t>YU JINGSHENG &amp; LIWEI</t>
  </si>
  <si>
    <t>KOKKILA BRIAN  CHRISTOPHER &amp; DONNA FADA</t>
  </si>
  <si>
    <t>135 OAK BROOK CIR</t>
  </si>
  <si>
    <t xml:space="preserve">WARRIOR HILLS PARTNERS </t>
  </si>
  <si>
    <t>0 KEARNS AVE</t>
  </si>
  <si>
    <t>PO BOX 1290</t>
  </si>
  <si>
    <t>0 OAK BROOK CIR</t>
  </si>
  <si>
    <t>WARRIOR HILLS PARTNER</t>
  </si>
  <si>
    <t>KOLARICH MAUREEN  &amp; KATHLEEN CARSON</t>
  </si>
  <si>
    <t>1901 KEARNS AVE</t>
  </si>
  <si>
    <t>STEWART ELSIE R &amp; EJMORIATY</t>
  </si>
  <si>
    <t>CREEKSIDE DR</t>
  </si>
  <si>
    <t>SARVER</t>
  </si>
  <si>
    <t>LOVE SCOTT A &amp; KRISTINA (W)</t>
  </si>
  <si>
    <t>TURNER MORRIS E JR &amp; CRYSTAL D (W)</t>
  </si>
  <si>
    <t>1911 ELMDALE RD</t>
  </si>
  <si>
    <t>NATIONAL TAX SEARCH (</t>
  </si>
  <si>
    <t xml:space="preserve">MARCHYSHYN PAULA </t>
  </si>
  <si>
    <t>1945 KEARNS AVE</t>
  </si>
  <si>
    <t xml:space="preserve">REIHL WILLIAM M </t>
  </si>
  <si>
    <t>2007 ARNOLD ACRES DR</t>
  </si>
  <si>
    <t>ARNOLD ACRES DR</t>
  </si>
  <si>
    <t xml:space="preserve">JAMESON RICHARD A </t>
  </si>
  <si>
    <t>BROADHEAD RD APT 1</t>
  </si>
  <si>
    <t>PROVIANO CHARLES F &amp; CHRISTINA SCHUMACHE R</t>
  </si>
  <si>
    <t>LANE RICHARD J JR &amp; COLLEEN M (W)</t>
  </si>
  <si>
    <t>2016 BARBARA WAY</t>
  </si>
  <si>
    <t>LANE RICHARD J JR &amp; C</t>
  </si>
  <si>
    <t>BARBARA WAY</t>
  </si>
  <si>
    <t xml:space="preserve">MCCARTY MARILYN A </t>
  </si>
  <si>
    <t>1106 MCKENNA AVE</t>
  </si>
  <si>
    <t>MCKENNA AVE</t>
  </si>
  <si>
    <t xml:space="preserve">TALLMON JESSE D </t>
  </si>
  <si>
    <t>2031 ARNOLD ACRES DR</t>
  </si>
  <si>
    <t>KLEINE FRANK J &amp; ADELAIDE E</t>
  </si>
  <si>
    <t>2082 ARNOLD ACRES DR</t>
  </si>
  <si>
    <t xml:space="preserve">KARAL DALE                                      </t>
  </si>
  <si>
    <t>109 CEDARBROOK DR</t>
  </si>
  <si>
    <t xml:space="preserve">COLLINS THOMAS A </t>
  </si>
  <si>
    <t>0 TRANTER ST</t>
  </si>
  <si>
    <t xml:space="preserve">COLLINS THOMAS A JR </t>
  </si>
  <si>
    <t>1441 ARNOLD ST</t>
  </si>
  <si>
    <t xml:space="preserve">GAETANO JOYCE A </t>
  </si>
  <si>
    <t>0 WHITEWOOD DR</t>
  </si>
  <si>
    <t xml:space="preserve">GAETANO JOYCE </t>
  </si>
  <si>
    <t>1440 ARNOLD ST</t>
  </si>
  <si>
    <t xml:space="preserve">CLARK JOSEPH J </t>
  </si>
  <si>
    <t>1426 ARNOLD ST</t>
  </si>
  <si>
    <t>CLARK JOSEPH J &amp; TANDY G (W)</t>
  </si>
  <si>
    <t>0 ARNOLD ST</t>
  </si>
  <si>
    <t>MATUSZEWSKI NEAL J &amp; DIANE R (W)</t>
  </si>
  <si>
    <t>1425 ARNOLD ST</t>
  </si>
  <si>
    <t>PINTO DALE P JR &amp; SONJA L (W)</t>
  </si>
  <si>
    <t>1422 MAGNUS ST</t>
  </si>
  <si>
    <t>0 MAGNUS ST</t>
  </si>
  <si>
    <t>PINTO DALE P JR &amp; SON</t>
  </si>
  <si>
    <t xml:space="preserve">SCARPINE ANTHONY J III                          </t>
  </si>
  <si>
    <t>1242 DENISONVIEW ST</t>
  </si>
  <si>
    <t>SCARPINE ANTHONY J</t>
  </si>
  <si>
    <t>DENISONVIEW ST</t>
  </si>
  <si>
    <t xml:space="preserve">BONASSO LINDSAY A </t>
  </si>
  <si>
    <t>1266 DENISONVIEW ST</t>
  </si>
  <si>
    <t xml:space="preserve">DAILEY DENNIS M </t>
  </si>
  <si>
    <t>1321 COLESCOTT ST</t>
  </si>
  <si>
    <t>COLESCOTT ST</t>
  </si>
  <si>
    <t xml:space="preserve">BROGAN DONNA L </t>
  </si>
  <si>
    <t>1330 OXFORD ST</t>
  </si>
  <si>
    <t>TECH SPECIALTY SERVICES  LLC</t>
  </si>
  <si>
    <t>1332 OXFORD ST</t>
  </si>
  <si>
    <t>TECH SPECIALTY SERVIC</t>
  </si>
  <si>
    <t>DICKENS DR</t>
  </si>
  <si>
    <t>KILLEEN</t>
  </si>
  <si>
    <t xml:space="preserve">238 SHADYHILL LLC </t>
  </si>
  <si>
    <t>238 SHADYHILL RD</t>
  </si>
  <si>
    <t>238 SHADYHILL LLC</t>
  </si>
  <si>
    <t xml:space="preserve">WILSON ROBERT M II </t>
  </si>
  <si>
    <t>235 SHADYHILL RD</t>
  </si>
  <si>
    <t>ELMDALE RD</t>
  </si>
  <si>
    <t xml:space="preserve">CELLA BARBARA C                                 </t>
  </si>
  <si>
    <t>231 SHADYHILL RD</t>
  </si>
  <si>
    <t>227 SHADYHILL TRUST      ETAL</t>
  </si>
  <si>
    <t>227 SHADYHILL RD</t>
  </si>
  <si>
    <t>227 SHADYHILL TRUST</t>
  </si>
  <si>
    <t>LIBRARY ROAD 200 STE 427</t>
  </si>
  <si>
    <t>1207 OXFORD ST</t>
  </si>
  <si>
    <t xml:space="preserve">COLEMAN LOIS A </t>
  </si>
  <si>
    <t>213 SHADYHILL RD</t>
  </si>
  <si>
    <t>COLEMAN DAVID C &amp; LOIS A COLEMAN</t>
  </si>
  <si>
    <t>207 SHADYHILL RD</t>
  </si>
  <si>
    <t xml:space="preserve">CRINGLE SEAN MATTHEW </t>
  </si>
  <si>
    <t>1200 COLESCOTT ST</t>
  </si>
  <si>
    <t xml:space="preserve">MANNING KRISTIN L </t>
  </si>
  <si>
    <t>1224 COLESCOTT ST</t>
  </si>
  <si>
    <t xml:space="preserve">FLAUS PATRICIA ANN </t>
  </si>
  <si>
    <t>1234 COLESCOTT ST</t>
  </si>
  <si>
    <t xml:space="preserve">WALSH JOSEPH J </t>
  </si>
  <si>
    <t>1201 DENISONVIEW ST</t>
  </si>
  <si>
    <t xml:space="preserve">MICHELS JOSEPH W </t>
  </si>
  <si>
    <t>PO BOX 138</t>
  </si>
  <si>
    <t xml:space="preserve">MURRMAN ROBERT JOHN </t>
  </si>
  <si>
    <t>1289 DICKENS ST</t>
  </si>
  <si>
    <t>DICKENS ST</t>
  </si>
  <si>
    <t>1309 DICKENS ST</t>
  </si>
  <si>
    <t xml:space="preserve">DESARRO DEANNA </t>
  </si>
  <si>
    <t>1329 DICKENS ST</t>
  </si>
  <si>
    <t>DESARRO DEANNA</t>
  </si>
  <si>
    <t xml:space="preserve">ZARNICK ROBERT S </t>
  </si>
  <si>
    <t>1422 HIDDEN TIMBER DR</t>
  </si>
  <si>
    <t>HIDDEN TIMBER DR</t>
  </si>
  <si>
    <t>LACH JAMES E JR&amp; CELESTE J (W)</t>
  </si>
  <si>
    <t>959 LOGUE ST</t>
  </si>
  <si>
    <t>LACH JAMES E JR&amp; CELE</t>
  </si>
  <si>
    <t>INGRAM AVE</t>
  </si>
  <si>
    <t xml:space="preserve">MONTOYA CAROLANN </t>
  </si>
  <si>
    <t>1018 RINGGOLD ST</t>
  </si>
  <si>
    <t>MONTOYA CAROLANN</t>
  </si>
  <si>
    <t>LESSING ST</t>
  </si>
  <si>
    <t>145 HARRIS AVE</t>
  </si>
  <si>
    <t xml:space="preserve">KLOTZBAUGH JOHN E                               </t>
  </si>
  <si>
    <t>1462 KINMOUNT ST</t>
  </si>
  <si>
    <t>KINMOUNT ST</t>
  </si>
  <si>
    <t>FORD THOMAS C ETAL</t>
  </si>
  <si>
    <t>0 MANLEY ST</t>
  </si>
  <si>
    <t>MISSION DR</t>
  </si>
  <si>
    <t xml:space="preserve">KEYWAY HOMES WEST LLC </t>
  </si>
  <si>
    <t>1789 CHESSLAND ST</t>
  </si>
  <si>
    <t>KEYWAY HOMES WEST LLC</t>
  </si>
  <si>
    <t xml:space="preserve">BALENT BRYAN </t>
  </si>
  <si>
    <t>1774 CHESSLAND ST</t>
  </si>
  <si>
    <t xml:space="preserve">TRAN NHUNG THI </t>
  </si>
  <si>
    <t>2134 NOBLESTOWN RD</t>
  </si>
  <si>
    <t>BENCH RAYMOND S &amp; CHARMAINE L (W)</t>
  </si>
  <si>
    <t>1350 KINMOUNT ST</t>
  </si>
  <si>
    <t xml:space="preserve">MILLER RONALD </t>
  </si>
  <si>
    <t>27 OAKWOOD RD</t>
  </si>
  <si>
    <t>MILLER RONALD</t>
  </si>
  <si>
    <t>PO BOX 183</t>
  </si>
  <si>
    <t xml:space="preserve">PRIME PROPERTIES USA LLC </t>
  </si>
  <si>
    <t>121 GRASMERE ST</t>
  </si>
  <si>
    <t xml:space="preserve">GMG RENTALS INC </t>
  </si>
  <si>
    <t>119 GRASMERE ST</t>
  </si>
  <si>
    <t>MONTCLAIR AVE</t>
  </si>
  <si>
    <t>MCGREGOR REGIS F &amp; DEBORAH L (W)</t>
  </si>
  <si>
    <t>122 PENSDALE ST</t>
  </si>
  <si>
    <t>PENSDALE ST</t>
  </si>
  <si>
    <t xml:space="preserve">MCGREGOR JOY A </t>
  </si>
  <si>
    <t>136 PENSDALE ST</t>
  </si>
  <si>
    <t xml:space="preserve">SMITHERMAN MICHAEL </t>
  </si>
  <si>
    <t>140 PENSDALE ST</t>
  </si>
  <si>
    <t>PO BOX 233</t>
  </si>
  <si>
    <t>MEADOW LANDS</t>
  </si>
  <si>
    <t>0 PENSDALE ST</t>
  </si>
  <si>
    <t xml:space="preserve">KOHL MARY A </t>
  </si>
  <si>
    <t>WESTCHESTER CT</t>
  </si>
  <si>
    <t xml:space="preserve">LOCKARD COLLEEN MARIE </t>
  </si>
  <si>
    <t>31 BALDWICK RD</t>
  </si>
  <si>
    <t xml:space="preserve">MINOSKI TINA R </t>
  </si>
  <si>
    <t>33 BALDWICK RD</t>
  </si>
  <si>
    <t>FRANC RICHARD E &amp; ANDREA D (W)</t>
  </si>
  <si>
    <t>137 KEARNS PL</t>
  </si>
  <si>
    <t>FRANC RICHARD E &amp; AND</t>
  </si>
  <si>
    <t>KEARNS PL</t>
  </si>
  <si>
    <t>LEONHISER HENRY R JR &amp; DOROTHY M (W)</t>
  </si>
  <si>
    <t>131 KEARNS PL</t>
  </si>
  <si>
    <t>BURROWS HAROLD E &amp; MARY KAY</t>
  </si>
  <si>
    <t>1678 DURBIN ST</t>
  </si>
  <si>
    <t>BURROWS HAROLD E &amp; MA</t>
  </si>
  <si>
    <t>MCGUFFEY MACK BRADY &amp; MARY C (W)</t>
  </si>
  <si>
    <t>89 OAKWOOD RD</t>
  </si>
  <si>
    <t>MCGUFFEY MACK BRADY &amp;</t>
  </si>
  <si>
    <t>LAKE FOREST DR APT 213</t>
  </si>
  <si>
    <t>BONITA SPRINGS</t>
  </si>
  <si>
    <t xml:space="preserve">SPUDICH AMANDA J </t>
  </si>
  <si>
    <t>61 OAKWOOD RD</t>
  </si>
  <si>
    <t xml:space="preserve">WHITE JACQUELINE P </t>
  </si>
  <si>
    <t>140 GRASMERE ST</t>
  </si>
  <si>
    <t>MCCAW DR</t>
  </si>
  <si>
    <t xml:space="preserve">CASTIGLIONE MARK J                              </t>
  </si>
  <si>
    <t>192 GRASMERE ST</t>
  </si>
  <si>
    <t>GRASMERE ST</t>
  </si>
  <si>
    <t>0 GRASMERE ST</t>
  </si>
  <si>
    <t xml:space="preserve">HEART II HEART LLC </t>
  </si>
  <si>
    <t>1601 GRASMERE ST</t>
  </si>
  <si>
    <t>PO BOX 44260</t>
  </si>
  <si>
    <t xml:space="preserve">BABAJANOVA TAMILA </t>
  </si>
  <si>
    <t>HEIGHTS LN APT 58</t>
  </si>
  <si>
    <t>FEASTERVILLE T</t>
  </si>
  <si>
    <t>ABRAHAM MARK JAMES &amp; MINERVA ABRAHAM</t>
  </si>
  <si>
    <t>AUSTIN AVE</t>
  </si>
  <si>
    <t xml:space="preserve">HROSIK EUGENE E </t>
  </si>
  <si>
    <t>PO BOX 911</t>
  </si>
  <si>
    <t>WELAKA</t>
  </si>
  <si>
    <t xml:space="preserve">SHERMAN EDWARD ALLEN                            </t>
  </si>
  <si>
    <t>0 GLENDON ST</t>
  </si>
  <si>
    <t>PO BOX 656</t>
  </si>
  <si>
    <t>WILLINGBORO</t>
  </si>
  <si>
    <t xml:space="preserve">MCCARTHY TIMOTHY                                </t>
  </si>
  <si>
    <t>311 GLENDON ST</t>
  </si>
  <si>
    <t>GLENDON ST</t>
  </si>
  <si>
    <t xml:space="preserve">BROWN KATHLEEN ANN </t>
  </si>
  <si>
    <t xml:space="preserve">KERN DANIEL P SR </t>
  </si>
  <si>
    <t>2608 NOBLESTOWN RD</t>
  </si>
  <si>
    <t>THORNHILL JOHN E &amp; MYRTLE M</t>
  </si>
  <si>
    <t xml:space="preserve">ABBOTT BERNARD J </t>
  </si>
  <si>
    <t>311 PENSDALE ST</t>
  </si>
  <si>
    <t>OREGON AVE</t>
  </si>
  <si>
    <t>ABBOTT BERNARD J &amp; CHRISTINE A (W)</t>
  </si>
  <si>
    <t xml:space="preserve">JUSTICE WILLIAM R </t>
  </si>
  <si>
    <t>79 BALDWICK RD</t>
  </si>
  <si>
    <t>ABBOTT BERNARD J &amp; CHRISTINE (W)</t>
  </si>
  <si>
    <t xml:space="preserve">PLETCHER MARK KEVIN </t>
  </si>
  <si>
    <t xml:space="preserve">FOREST CITY DILLON INC                          </t>
  </si>
  <si>
    <t>0 BALDWICK RD</t>
  </si>
  <si>
    <t>SO LINDEN AVE</t>
  </si>
  <si>
    <t>LEVINE GEORGE G &amp; CHARLES I PLESSET</t>
  </si>
  <si>
    <t>0 HALL AVE</t>
  </si>
  <si>
    <t>GRANT BLDG</t>
  </si>
  <si>
    <t>LUCIANO ANTHONY D &amp; NANNETTE P (W)</t>
  </si>
  <si>
    <t>2320 NOBLESTOWN RD</t>
  </si>
  <si>
    <t>MCDOWELL NORMAN  &amp; ROSE (W)</t>
  </si>
  <si>
    <t>COONEY ROBERT W &amp; MARGARET A (W)</t>
  </si>
  <si>
    <t>MCDOWELL NORMAN  &amp; ROSE MARIE (W)</t>
  </si>
  <si>
    <t>2069 KEARNS AVE</t>
  </si>
  <si>
    <t xml:space="preserve">SESSI HELEN </t>
  </si>
  <si>
    <t>0 HOLLYWOOD ST</t>
  </si>
  <si>
    <t>CHARTIERS ST</t>
  </si>
  <si>
    <t>WATKINS WILLIAM C &amp; MOLLIE G</t>
  </si>
  <si>
    <t>HOPWOOD</t>
  </si>
  <si>
    <t xml:space="preserve">PORTER ANNIE </t>
  </si>
  <si>
    <t>W MOUNTAIN VIEW RD</t>
  </si>
  <si>
    <t>SUN CITY</t>
  </si>
  <si>
    <t>MARSH PROPERTY HOLDINGS  LLC</t>
  </si>
  <si>
    <t>1640 CUMBERLAND ST</t>
  </si>
  <si>
    <t>MARSH PROPERTY HOLDIN</t>
  </si>
  <si>
    <t xml:space="preserve">PALM FAITH M </t>
  </si>
  <si>
    <t>109 EARLHAM ST</t>
  </si>
  <si>
    <t>EARLHAM ST</t>
  </si>
  <si>
    <t>0 EARLHAM ST</t>
  </si>
  <si>
    <t xml:space="preserve">LENHART MICHAEL A </t>
  </si>
  <si>
    <t>0 ROUND TOP ST</t>
  </si>
  <si>
    <t>ROUND TOP ST</t>
  </si>
  <si>
    <t>506 STRATMORE ST</t>
  </si>
  <si>
    <t xml:space="preserve">SITES BRIAN                                     </t>
  </si>
  <si>
    <t>1246 ROUND TOP ST</t>
  </si>
  <si>
    <t>BRIAN &amp; ERIN SITES</t>
  </si>
  <si>
    <t>CUMBERLAND ST</t>
  </si>
  <si>
    <t xml:space="preserve">BABISH GEORGE K III </t>
  </si>
  <si>
    <t>0 FORD ST</t>
  </si>
  <si>
    <t xml:space="preserve">STALEY WAYNE E </t>
  </si>
  <si>
    <t>CHAPMAN ST</t>
  </si>
  <si>
    <t>MCGILL TERRANCE J &amp; LEASA H (W)</t>
  </si>
  <si>
    <t>135 FORD ST</t>
  </si>
  <si>
    <t>116 HOLLYWOOD ST</t>
  </si>
  <si>
    <t xml:space="preserve">TUMUSHIME RICHARD </t>
  </si>
  <si>
    <t>1251 HOLLYWOOD ST</t>
  </si>
  <si>
    <t>TUMUSHIME RICHARD COL</t>
  </si>
  <si>
    <t>HOLLYWOOD ST</t>
  </si>
  <si>
    <t xml:space="preserve">THE TYMAC GROUP </t>
  </si>
  <si>
    <t>THE TYMAC GROUP</t>
  </si>
  <si>
    <t>N CARSON ST UNIT 4679</t>
  </si>
  <si>
    <t>DICKSON WILLIAM J &amp; GEORGE O FISHER</t>
  </si>
  <si>
    <t>DICKSON WILLIAM J &amp; G</t>
  </si>
  <si>
    <t>216 HOLLYWOOD ST</t>
  </si>
  <si>
    <t xml:space="preserve">DICKSON WILLIAM J </t>
  </si>
  <si>
    <t>VRMTG ASSET TRUST        ETAL</t>
  </si>
  <si>
    <t>1656 ARNOLD ST</t>
  </si>
  <si>
    <t>BEATTIE PL STE 300</t>
  </si>
  <si>
    <t>50 ARNOLD ST</t>
  </si>
  <si>
    <t xml:space="preserve">ZWIRGART ROBERT </t>
  </si>
  <si>
    <t>1642 NORWALK ST</t>
  </si>
  <si>
    <t xml:space="preserve">LORENZI RAYMOND P                               </t>
  </si>
  <si>
    <t>LORENZI RAYMOND P</t>
  </si>
  <si>
    <t xml:space="preserve">ROWE WANDA </t>
  </si>
  <si>
    <t>1556 ARNOLD ST</t>
  </si>
  <si>
    <t>1554 ARNOLD ST</t>
  </si>
  <si>
    <t>KYLES SAMUEL J &amp; JUDITH A (W)</t>
  </si>
  <si>
    <t>0 OBEY ST</t>
  </si>
  <si>
    <t>HARBAUGH ROBERT L JR &amp; MARJORIE (W)</t>
  </si>
  <si>
    <t>1582 OBEY ST</t>
  </si>
  <si>
    <t xml:space="preserve">HARBAUGH ROBERT L JR </t>
  </si>
  <si>
    <t>1553 OBEY ST</t>
  </si>
  <si>
    <t>ADVANCED EQUITY CAPTIAL  LLC</t>
  </si>
  <si>
    <t>1551 OBEY ST</t>
  </si>
  <si>
    <t>ADVANCED EQUITY CAPTI</t>
  </si>
  <si>
    <t xml:space="preserve">STERN KAREN                                     </t>
  </si>
  <si>
    <t>200 OBEY ST</t>
  </si>
  <si>
    <t>KAREN  ASTON</t>
  </si>
  <si>
    <t xml:space="preserve">STERN KAREN </t>
  </si>
  <si>
    <t>PLATT AVE</t>
  </si>
  <si>
    <t>STERN KAREN              ETAL</t>
  </si>
  <si>
    <t>1527 OBEY ST</t>
  </si>
  <si>
    <t>1562 OBEY ST</t>
  </si>
  <si>
    <t xml:space="preserve">WEAVER JAMES </t>
  </si>
  <si>
    <t>1303 STEUBEN ST</t>
  </si>
  <si>
    <t xml:space="preserve">KEITH VALERIE B </t>
  </si>
  <si>
    <t>0 CEDARBROOK DR</t>
  </si>
  <si>
    <t>AMCAP MORTGAGE LTD</t>
  </si>
  <si>
    <t xml:space="preserve">PUSHEY LOUISE </t>
  </si>
  <si>
    <t>1053 RINGGOLD ST</t>
  </si>
  <si>
    <t>NE 128TH ST</t>
  </si>
  <si>
    <t>DRUDY THOMAS JR ETAL</t>
  </si>
  <si>
    <t xml:space="preserve">SHORTLEY DONNA                                  </t>
  </si>
  <si>
    <t>1573 CLAIRTONICA ST</t>
  </si>
  <si>
    <t xml:space="preserve">LUTZ JEREMY KYLE </t>
  </si>
  <si>
    <t>1625 CLAIRTONICA ST</t>
  </si>
  <si>
    <t xml:space="preserve">PROMENALE PROPERTIES LLC </t>
  </si>
  <si>
    <t>1582 CUMBERLAND ST</t>
  </si>
  <si>
    <t>LUNCH BOX CAPITAL LLC    ETAL</t>
  </si>
  <si>
    <t>1570 CUMBERLAND ST</t>
  </si>
  <si>
    <t>SITES BRIAN K &amp; KARREN L (W)</t>
  </si>
  <si>
    <t>1547 CUMBERLAND ST</t>
  </si>
  <si>
    <t>ORR WILLIAM K SR &amp; RUTH B</t>
  </si>
  <si>
    <t>1569 CUMBERLAND ST</t>
  </si>
  <si>
    <t>THOMAS RICHARD C &amp; MARYANN (W)</t>
  </si>
  <si>
    <t>0 RIDENOUR AVE</t>
  </si>
  <si>
    <t>DRUM DR</t>
  </si>
  <si>
    <t>ST JAMES CITY</t>
  </si>
  <si>
    <t xml:space="preserve">WASSEL PAUL J </t>
  </si>
  <si>
    <t>RIDENOUR AVE</t>
  </si>
  <si>
    <t xml:space="preserve">COHEN CHARLOTTE </t>
  </si>
  <si>
    <t>1610 RIDENOUR AVE</t>
  </si>
  <si>
    <t xml:space="preserve">LANE STACY </t>
  </si>
  <si>
    <t>RIDENOUR ST</t>
  </si>
  <si>
    <t xml:space="preserve">FALKI PROPERTIES LLC </t>
  </si>
  <si>
    <t xml:space="preserve">FALKI POROPERTIES LLC </t>
  </si>
  <si>
    <t>18 RIDENOUR AVE</t>
  </si>
  <si>
    <t>1526 CUMBERLAND ST</t>
  </si>
  <si>
    <t xml:space="preserve">MESAROS KAREN </t>
  </si>
  <si>
    <t>1538 CUMBERLAND ST</t>
  </si>
  <si>
    <t>FALKI LAND HOLDING  OCMPANY</t>
  </si>
  <si>
    <t>113 CLAIRTONICA ST</t>
  </si>
  <si>
    <t xml:space="preserve">RUSSELL RAINA N </t>
  </si>
  <si>
    <t>1547 CLAIRTONICA ST</t>
  </si>
  <si>
    <t>HOLLABAUGH SCOTT D &amp; SHARON J (W)</t>
  </si>
  <si>
    <t>210 EARLHAM ST</t>
  </si>
  <si>
    <t xml:space="preserve">CUSH TERRANCE J </t>
  </si>
  <si>
    <t>1229 EARLHAM ST</t>
  </si>
  <si>
    <t xml:space="preserve">BHIG LLC </t>
  </si>
  <si>
    <t>1240 OAKMONT ST</t>
  </si>
  <si>
    <t>1234 OAKMONT ST</t>
  </si>
  <si>
    <t xml:space="preserve">LOWRY VICTORIA M </t>
  </si>
  <si>
    <t>1224 OAKMONT ST</t>
  </si>
  <si>
    <t>OAKMONT ST</t>
  </si>
  <si>
    <t>CRAFTON HEIGHTS  INVESTMENTS LLC</t>
  </si>
  <si>
    <t>132 OAKMONT ST</t>
  </si>
  <si>
    <t>CRAFTON HEIGHTS INVES</t>
  </si>
  <si>
    <t xml:space="preserve">GAYMAN GEORGE G </t>
  </si>
  <si>
    <t>1233 OAKMONT ST</t>
  </si>
  <si>
    <t xml:space="preserve">KELLY REBECCA L                                 </t>
  </si>
  <si>
    <t>12 OAKMONT ST</t>
  </si>
  <si>
    <t>EVERETT- SATTERWHITE  MYKAL R</t>
  </si>
  <si>
    <t>106 CLAIRTONICA ST</t>
  </si>
  <si>
    <t xml:space="preserve">EVERETT- SATTERWHITE </t>
  </si>
  <si>
    <t xml:space="preserve">BAT HOLDINGS ONE LLC </t>
  </si>
  <si>
    <t>1310 ELMONT ST</t>
  </si>
  <si>
    <t>TODD EMERSON</t>
  </si>
  <si>
    <t>BERRYHILL RD</t>
  </si>
  <si>
    <t xml:space="preserve">GQ ACQUISITIONS LLC </t>
  </si>
  <si>
    <t>107 ELMONT ST</t>
  </si>
  <si>
    <t>LAKE SUCCESS DR</t>
  </si>
  <si>
    <t>PALM COAST</t>
  </si>
  <si>
    <t>102 ELMONT ST</t>
  </si>
  <si>
    <t>0 ELMONT ST</t>
  </si>
  <si>
    <t xml:space="preserve">ERDNER CAROL L </t>
  </si>
  <si>
    <t>4 ELMONT ST</t>
  </si>
  <si>
    <t>1521 STRATMORE ST</t>
  </si>
  <si>
    <t xml:space="preserve">SALAK CHARLES III                               </t>
  </si>
  <si>
    <t>1246 CLAIRHAVEN ST</t>
  </si>
  <si>
    <t xml:space="preserve">BROWNLEE JOHN </t>
  </si>
  <si>
    <t>1242 CLAIRHAVEN ST</t>
  </si>
  <si>
    <t xml:space="preserve">LIU RENXUAN &amp;                         </t>
  </si>
  <si>
    <t>1291 CLAIRHAVEN ST</t>
  </si>
  <si>
    <t>LIU RENXUAN &amp; GE TENG</t>
  </si>
  <si>
    <t>CENTRE AVE APT 809</t>
  </si>
  <si>
    <t>1514 STRATMORE ST</t>
  </si>
  <si>
    <t>MCDONALD JAMES R &amp; BARBARA A (W)</t>
  </si>
  <si>
    <t>1214 ELMONT ST</t>
  </si>
  <si>
    <t xml:space="preserve">MCKINNON JORDAN LEE  </t>
  </si>
  <si>
    <t xml:space="preserve">ZWIGART ANTHONY EDWARD </t>
  </si>
  <si>
    <t>ZWIGART ANTHONY EDWAR</t>
  </si>
  <si>
    <t>PINE AVE</t>
  </si>
  <si>
    <t xml:space="preserve">BUTLER ELIZABETH TUCCI </t>
  </si>
  <si>
    <t>BUTLER ELIZABETH TUCC</t>
  </si>
  <si>
    <t>NORMAN NICOLE M &amp; ELIZABETH</t>
  </si>
  <si>
    <t>1232 CLAIRHAVEN ST</t>
  </si>
  <si>
    <t xml:space="preserve">ZWIGART COLBY ANTHONY </t>
  </si>
  <si>
    <t>14 NORWALK ST</t>
  </si>
  <si>
    <t>1 ARNOLD ST</t>
  </si>
  <si>
    <t>ROELL WILLIAM C &amp; MARY E (W)</t>
  </si>
  <si>
    <t>1513 OBEY ST</t>
  </si>
  <si>
    <t>OBEY AVE</t>
  </si>
  <si>
    <t>216 CLAIRHAVEN ST</t>
  </si>
  <si>
    <t>P O BOX 40347</t>
  </si>
  <si>
    <t>210 CLAIRHAVEN ST</t>
  </si>
  <si>
    <t>ORANGE ST S</t>
  </si>
  <si>
    <t>NEW SMYRNA BEA</t>
  </si>
  <si>
    <t xml:space="preserve">BROWN EDWARD M </t>
  </si>
  <si>
    <t>200 CLAIRHAVEN ST</t>
  </si>
  <si>
    <t>0 CLAIRHAVEN ST</t>
  </si>
  <si>
    <t>MACNEILL RICHARD A &amp; KATHLEEN J (W)</t>
  </si>
  <si>
    <t>115 ARNOLD ST</t>
  </si>
  <si>
    <t xml:space="preserve">LENGER PATRICIA A </t>
  </si>
  <si>
    <t>34 OBEY ST</t>
  </si>
  <si>
    <t xml:space="preserve">LABAN DOLORES M </t>
  </si>
  <si>
    <t xml:space="preserve">COUSLEY ADAM </t>
  </si>
  <si>
    <t>1416 OBEY ST</t>
  </si>
  <si>
    <t>SIENA SUNSET RD</t>
  </si>
  <si>
    <t>LEANDER</t>
  </si>
  <si>
    <t xml:space="preserve">ANNIBALE LINDA                                  </t>
  </si>
  <si>
    <t>1482 ARNOLD ST</t>
  </si>
  <si>
    <t>1506 OBEY ST</t>
  </si>
  <si>
    <t>CIRILLI FRANCIS C &amp; MAUREEN C (W)</t>
  </si>
  <si>
    <t>119 CLEARVIEW AVE</t>
  </si>
  <si>
    <t>CRAFTON</t>
  </si>
  <si>
    <t>PATTERSON RUTH E &amp; PATTERSON ALFRED N</t>
  </si>
  <si>
    <t>1424 BARR AVE</t>
  </si>
  <si>
    <t>BARR AVE</t>
  </si>
  <si>
    <t>MOSER CHRISTINA C &amp; VIVIAN K KNOPF</t>
  </si>
  <si>
    <t>0 BARR AVE</t>
  </si>
  <si>
    <t>MOSER CHRISTINA C &amp; V</t>
  </si>
  <si>
    <t xml:space="preserve">JACOBSON NEIL </t>
  </si>
  <si>
    <t xml:space="preserve">BRUCE DWAYNE </t>
  </si>
  <si>
    <t xml:space="preserve">DESANDO MARTA </t>
  </si>
  <si>
    <t>1412 PRESTON ST</t>
  </si>
  <si>
    <t>GREJDA RICHARD  &amp; BARBARA ANN (W)</t>
  </si>
  <si>
    <t>1420 PRESTON ST</t>
  </si>
  <si>
    <t>PANZINO JOSEPH  &amp; EMILY F (W)</t>
  </si>
  <si>
    <t>1419 PRESTON ST</t>
  </si>
  <si>
    <t>ROEDLER RICHARD A &amp; WENDY M(W)</t>
  </si>
  <si>
    <t>1356 BARR AVE</t>
  </si>
  <si>
    <t>ROEDLER RICHARD A</t>
  </si>
  <si>
    <t xml:space="preserve">METALLO EMMA </t>
  </si>
  <si>
    <t>1347 BARR AVE</t>
  </si>
  <si>
    <t xml:space="preserve">DRUDY THOMAS P </t>
  </si>
  <si>
    <t>1359 PRESTON ST</t>
  </si>
  <si>
    <t>HUNTINGTON PRIVATE BA</t>
  </si>
  <si>
    <t>BOARDMAN POLAND RD</t>
  </si>
  <si>
    <t xml:space="preserve">ROBERTS ROY                                     </t>
  </si>
  <si>
    <t>1316 BARR AVE</t>
  </si>
  <si>
    <t>SANFILIPPO MICHAEL F &amp; ELAINE M (W)</t>
  </si>
  <si>
    <t>1925 NOBLESTOWN RD</t>
  </si>
  <si>
    <t xml:space="preserve">CHUBAROV STEPHANIE M </t>
  </si>
  <si>
    <t>1300 HARTWELL ST</t>
  </si>
  <si>
    <t>HARTWELL ST</t>
  </si>
  <si>
    <t>270 HARTWELL ST</t>
  </si>
  <si>
    <t xml:space="preserve">GUS LLC </t>
  </si>
  <si>
    <t>1704 NOBLESTOWN RD</t>
  </si>
  <si>
    <t>GUS LLC</t>
  </si>
  <si>
    <t>CALM DR</t>
  </si>
  <si>
    <t xml:space="preserve">ELLIS GRANT                                     </t>
  </si>
  <si>
    <t>1352 HARRIS AVE</t>
  </si>
  <si>
    <t>TRIBORO FED CREDIT UN</t>
  </si>
  <si>
    <t xml:space="preserve">STEINHAUER CAROL </t>
  </si>
  <si>
    <t>0 HYDE ST</t>
  </si>
  <si>
    <t>NARDOZZI JOSEPH D &amp; VALERIE S (W)</t>
  </si>
  <si>
    <t>HYDE ST</t>
  </si>
  <si>
    <t xml:space="preserve">BROWN HUGH A </t>
  </si>
  <si>
    <t>140 HYDE ST</t>
  </si>
  <si>
    <t xml:space="preserve">PLUM AMANDA R </t>
  </si>
  <si>
    <t>PLUM AMANDA R</t>
  </si>
  <si>
    <t xml:space="preserve">BAUX BARBARA E                                  </t>
  </si>
  <si>
    <t>0 KEEVER AVE</t>
  </si>
  <si>
    <t xml:space="preserve">TEETERS KATHERINE E </t>
  </si>
  <si>
    <t>GREENBRIAR DR</t>
  </si>
  <si>
    <t xml:space="preserve">MILLER LEONA T </t>
  </si>
  <si>
    <t xml:space="preserve">BRICK STRUCTURES INC </t>
  </si>
  <si>
    <t>382 KEEVER AVE</t>
  </si>
  <si>
    <t>4TH AVE STE 1401 #1109</t>
  </si>
  <si>
    <t xml:space="preserve">MURNANE ADRIANA </t>
  </si>
  <si>
    <t>1450 KEEVER AVE</t>
  </si>
  <si>
    <t>CONNERS RICHARD P &amp; LYNN M (W)</t>
  </si>
  <si>
    <t>RYDAL ST</t>
  </si>
  <si>
    <t xml:space="preserve">CONNERS DONALD L </t>
  </si>
  <si>
    <t>COURTNEY DAVID G &amp; DONNA M (W)</t>
  </si>
  <si>
    <t>1406 KEEVER AVE</t>
  </si>
  <si>
    <t xml:space="preserve">DOWNING DAVID W &amp; RUTH R (W)              </t>
  </si>
  <si>
    <t>1434 RYDAL ST</t>
  </si>
  <si>
    <t>DOWNING DAVID W &amp; RUT</t>
  </si>
  <si>
    <t xml:space="preserve">CONLEY DONALD CRAIG                             </t>
  </si>
  <si>
    <t>BUCKINGHAM DR</t>
  </si>
  <si>
    <t>1718 WARRIORS RD</t>
  </si>
  <si>
    <t xml:space="preserve">GALLO BARBARA J                                 </t>
  </si>
  <si>
    <t>1 OXFORD ST</t>
  </si>
  <si>
    <t>HILLARD RD</t>
  </si>
  <si>
    <t xml:space="preserve">FERRARO JULIA </t>
  </si>
  <si>
    <t>0 COLESCOTT ST</t>
  </si>
  <si>
    <t>SCHANTZ HENRY F &amp; ROBERTA L</t>
  </si>
  <si>
    <t>SCHANTZ HENRY F &amp; ROB</t>
  </si>
  <si>
    <t>W RAILROAD ST APT 1</t>
  </si>
  <si>
    <t>GREEN CHARLES ISSAC &amp; JOYCE M GREEN</t>
  </si>
  <si>
    <t>1926 NOBLESTOWN RD</t>
  </si>
  <si>
    <t xml:space="preserve">KSIAZIEWICZ MICHAL </t>
  </si>
  <si>
    <t>102 DALE ST</t>
  </si>
  <si>
    <t xml:space="preserve">WYNDROSKI JUNE </t>
  </si>
  <si>
    <t>82 VARE ST</t>
  </si>
  <si>
    <t>VARE ST</t>
  </si>
  <si>
    <t xml:space="preserve">TAMANG BHIM BAHADUR                             </t>
  </si>
  <si>
    <t>1341 HYDE ST</t>
  </si>
  <si>
    <t xml:space="preserve">VINCENT BERTHA </t>
  </si>
  <si>
    <t>0 BARTOW ST</t>
  </si>
  <si>
    <t xml:space="preserve">SCHRAMM THOMAS J JR </t>
  </si>
  <si>
    <t>1331 BARTOW ST</t>
  </si>
  <si>
    <t>BARTOW ST</t>
  </si>
  <si>
    <t>HERMAN CHARLES F &amp; KAREN ANN (W)</t>
  </si>
  <si>
    <t>1206 HARRIS AVE</t>
  </si>
  <si>
    <t>HERMAN CHARLES F &amp; KA</t>
  </si>
  <si>
    <t>RANCH LN</t>
  </si>
  <si>
    <t xml:space="preserve">BISTA NAR &amp; MAN (W) </t>
  </si>
  <si>
    <t>1228 HARRIS AVE</t>
  </si>
  <si>
    <t xml:space="preserve">BOMBICH MARC ANTHONY </t>
  </si>
  <si>
    <t>1336 HARRIS AVE</t>
  </si>
  <si>
    <t>YARY SLOKEY  &amp; WILLIAM J NIGHTINGALE</t>
  </si>
  <si>
    <t>1345 HARRIS AVE</t>
  </si>
  <si>
    <t xml:space="preserve">ANDERSON GEORGE W                               </t>
  </si>
  <si>
    <t>1325 HARRIS AVE</t>
  </si>
  <si>
    <t xml:space="preserve">CALIOPE DEVELOPMENT LLC </t>
  </si>
  <si>
    <t>0 BERRY ST</t>
  </si>
  <si>
    <t>CALIOPE DEVELOPMENT L</t>
  </si>
  <si>
    <t>D MIDWAY DR</t>
  </si>
  <si>
    <t xml:space="preserve">CONNIFF NICOLE </t>
  </si>
  <si>
    <t>1231 BERRY ST</t>
  </si>
  <si>
    <t xml:space="preserve">HALL GYASI </t>
  </si>
  <si>
    <t>1256 OAKGLEN ST</t>
  </si>
  <si>
    <t xml:space="preserve">YOUNG DENNIS M </t>
  </si>
  <si>
    <t>ULRICH ST</t>
  </si>
  <si>
    <t xml:space="preserve">GIRVIN ELIZABETH </t>
  </si>
  <si>
    <t>0 OAKGLEN ST</t>
  </si>
  <si>
    <t>1213 OAKGLEN ST</t>
  </si>
  <si>
    <t xml:space="preserve">COLUMBUS ROBERT D </t>
  </si>
  <si>
    <t>1201 OAKGLEN ST</t>
  </si>
  <si>
    <t>2864 SANBORN ST</t>
  </si>
  <si>
    <t>SANBORN ST</t>
  </si>
  <si>
    <t>SNYDER RONALD K &amp; KATHLEEN A (W)</t>
  </si>
  <si>
    <t>2911 MIDDLETOWN RD</t>
  </si>
  <si>
    <t>SNYDER RONALD K &amp; KAT</t>
  </si>
  <si>
    <t>LEE PHILIP O &amp; JUNE R (W)</t>
  </si>
  <si>
    <t>FROELICH JOHN W &amp; MARGARET (W)</t>
  </si>
  <si>
    <t>0 JENKINS ST</t>
  </si>
  <si>
    <t>BALDWICK RD APT 506</t>
  </si>
  <si>
    <t>FROELICH MARGARET  &amp; MARK ALLEN MILLER</t>
  </si>
  <si>
    <t>1 JENKINS ST</t>
  </si>
  <si>
    <t>JENKINS ST</t>
  </si>
  <si>
    <t xml:space="preserve">ROBERTS ROY T 3RD </t>
  </si>
  <si>
    <t>2 JENKINS ST</t>
  </si>
  <si>
    <t>4 JENKINS ST</t>
  </si>
  <si>
    <t>GORBISH JOHN J &amp; KIMBERLY (W)</t>
  </si>
  <si>
    <t>12 JENKINS ST</t>
  </si>
  <si>
    <t xml:space="preserve">HTOWN2 LLC </t>
  </si>
  <si>
    <t>1422 OAKGLEN ST</t>
  </si>
  <si>
    <t>2838 MIDDLETOWN RD</t>
  </si>
  <si>
    <t xml:space="preserve">TAYON RONDA J </t>
  </si>
  <si>
    <t>1235 OAKGLEN ST</t>
  </si>
  <si>
    <t>OAKGLEN AVE</t>
  </si>
  <si>
    <t xml:space="preserve">TRIEVEL KATHRYN JMONT I </t>
  </si>
  <si>
    <t>1254 STRAKA ST</t>
  </si>
  <si>
    <t>TRIEVEL KATHRYN JMONT</t>
  </si>
  <si>
    <t xml:space="preserve">HUGNEY COREY </t>
  </si>
  <si>
    <t>1401 STRAKA ST</t>
  </si>
  <si>
    <t>HUSAK ROBERT WILLIAM &amp; LISA A (W)</t>
  </si>
  <si>
    <t>1317 JUSTINE ST</t>
  </si>
  <si>
    <t xml:space="preserve">HUSAK ROBERT WILLIAM </t>
  </si>
  <si>
    <t>JUSTINE ST</t>
  </si>
  <si>
    <t>1311 JUSTINE ST</t>
  </si>
  <si>
    <t xml:space="preserve">WILLIAMS MICHAEL </t>
  </si>
  <si>
    <t>1212 JUSTINE ST</t>
  </si>
  <si>
    <t xml:space="preserve">HOOPER STACY J </t>
  </si>
  <si>
    <t>2820 SANBORN ST</t>
  </si>
  <si>
    <t xml:space="preserve">ANDERSON ELIZABETH L                            </t>
  </si>
  <si>
    <t>390 GREENWAY DR</t>
  </si>
  <si>
    <t xml:space="preserve">PRECISION RENTALS LLC </t>
  </si>
  <si>
    <t>0 FAIRSTON ST</t>
  </si>
  <si>
    <t>COCHRAN MILL RD</t>
  </si>
  <si>
    <t xml:space="preserve">FEFERKORN FAIGY                                 </t>
  </si>
  <si>
    <t>FEFERKORN FAIGY</t>
  </si>
  <si>
    <t>LENORE AVE APT 204</t>
  </si>
  <si>
    <t>YAGO RALPH A &amp; JOSEPHINE (W)</t>
  </si>
  <si>
    <t>802 GREENWAY DR</t>
  </si>
  <si>
    <t xml:space="preserve">MERCURIO PIETRO  &amp; ROSE </t>
  </si>
  <si>
    <t>0 GREENWAY DR</t>
  </si>
  <si>
    <t>MERCURIO PIETRO</t>
  </si>
  <si>
    <t>MCCOY RD ST</t>
  </si>
  <si>
    <t>MERCURIO PIETRO  &amp; RO</t>
  </si>
  <si>
    <t xml:space="preserve">DUNHOFF EARL A </t>
  </si>
  <si>
    <t>842 DICKENS ST</t>
  </si>
  <si>
    <t>DUNHOFF EARL A</t>
  </si>
  <si>
    <t>0 DICKENS ST</t>
  </si>
  <si>
    <t xml:space="preserve">STEWART RAYMOND </t>
  </si>
  <si>
    <t>1325 MERRYFIELD ST</t>
  </si>
  <si>
    <t>WINNIEWICZ DONALD J SR &amp; PHYLLIS M (W)</t>
  </si>
  <si>
    <t xml:space="preserve">MACKLIN NANCY                                   </t>
  </si>
  <si>
    <t>1700 NORTHFIELD AVE</t>
  </si>
  <si>
    <t>NORTHFIELD AVE</t>
  </si>
  <si>
    <t xml:space="preserve">DAWSO JAMES L </t>
  </si>
  <si>
    <t>1724 NORTHFIELD AVE</t>
  </si>
  <si>
    <t xml:space="preserve">WILLIAMS MARY KATHRYN                           </t>
  </si>
  <si>
    <t>1725 NORTHFIELD AVE</t>
  </si>
  <si>
    <t>KIRBY CAROL M &amp; JOHN P (H)</t>
  </si>
  <si>
    <t xml:space="preserve">KIRBY CAROL M &amp; JOHN </t>
  </si>
  <si>
    <t xml:space="preserve">CANADY DONNA </t>
  </si>
  <si>
    <t>2834 MIDDLETOWN RD</t>
  </si>
  <si>
    <t xml:space="preserve">T CAPITAL GROUP LLC </t>
  </si>
  <si>
    <t>1465 STEUBEN ST</t>
  </si>
  <si>
    <t>COGO CAPITAL ISAOA</t>
  </si>
  <si>
    <t>POWELL DIANE  &amp; TIMMY A (H)</t>
  </si>
  <si>
    <t>1655 STEUBEN ST</t>
  </si>
  <si>
    <t>POWELL DIANE  &amp; TIMMY</t>
  </si>
  <si>
    <t xml:space="preserve">MCKIVITZ DAVID </t>
  </si>
  <si>
    <t>2530 MIDDLETOWN RD</t>
  </si>
  <si>
    <t>0 STEUBENVILLE PIKE</t>
  </si>
  <si>
    <t xml:space="preserve">ROCHEN CHRISTINA R </t>
  </si>
  <si>
    <t>0 RINGGOLD ST</t>
  </si>
  <si>
    <t xml:space="preserve">WILKINS ROBERT A </t>
  </si>
  <si>
    <t>439 NOBLESTOWN RD</t>
  </si>
  <si>
    <t>SILVER SPRINGS DR</t>
  </si>
  <si>
    <t xml:space="preserve">R&amp;GW ENTERPRISES LLC </t>
  </si>
  <si>
    <t>200 MORANGE RD</t>
  </si>
  <si>
    <t>E STEUBEN ST</t>
  </si>
  <si>
    <t xml:space="preserve">HRYTSAK ROSTYSLAV </t>
  </si>
  <si>
    <t>27 GARY ST</t>
  </si>
  <si>
    <t>HRYTSAK ROSTYSLAV</t>
  </si>
  <si>
    <t>WINDERMERE CT</t>
  </si>
  <si>
    <t xml:space="preserve">HEYWARD STARLA                                  </t>
  </si>
  <si>
    <t>1813 MOFFAT ST</t>
  </si>
  <si>
    <t>MOFFAT ST</t>
  </si>
  <si>
    <t xml:space="preserve">MACNEIL JAMES C </t>
  </si>
  <si>
    <t>820 BELL AVE</t>
  </si>
  <si>
    <t>BELL ST</t>
  </si>
  <si>
    <t xml:space="preserve">ALSOUD FAHED </t>
  </si>
  <si>
    <t>1111 IDLEWOOD AVE</t>
  </si>
  <si>
    <t>MOLNAR RICHARD G &amp; BEVERLY J (W)</t>
  </si>
  <si>
    <t>1012 BELL AVE</t>
  </si>
  <si>
    <t>MOLNAR RICHARD G &amp; BE</t>
  </si>
  <si>
    <t xml:space="preserve">SMITH JUSTIN </t>
  </si>
  <si>
    <t>223 MOFFAT ST</t>
  </si>
  <si>
    <t>SMITH JUSTIN</t>
  </si>
  <si>
    <t>GAMMIERE RICHARD E &amp; SARAH ANN (W)</t>
  </si>
  <si>
    <t>932 IDLEWOOD AVE</t>
  </si>
  <si>
    <t>REAMER DR</t>
  </si>
  <si>
    <t xml:space="preserve">KOWALSKI BOLESLAW                               </t>
  </si>
  <si>
    <t>805 DOOLITTLE ST</t>
  </si>
  <si>
    <t>DOOLITTLE ST</t>
  </si>
  <si>
    <t>E CARNEGIE</t>
  </si>
  <si>
    <t>ADEBIYI KOLAPO T &amp; LAWRENCIA M (W)</t>
  </si>
  <si>
    <t>822 IDLEWOOD AVE</t>
  </si>
  <si>
    <t>ADEBIYI KOLAPO T &amp; LA</t>
  </si>
  <si>
    <t>REDFIELD DR</t>
  </si>
  <si>
    <t>TOWNSEND CHARLES R &amp; JUDITH F KOMPARDO</t>
  </si>
  <si>
    <t>804 IDLEWOOD AVE</t>
  </si>
  <si>
    <t xml:space="preserve">COPTIS GEORGE E &amp; ANN B </t>
  </si>
  <si>
    <t>0 BELL AVE</t>
  </si>
  <si>
    <t xml:space="preserve">GW PARTNERS LLC </t>
  </si>
  <si>
    <t>902 IDLEWOOD AVE</t>
  </si>
  <si>
    <t xml:space="preserve">RACO BLANCHE </t>
  </si>
  <si>
    <t>904 IDLEWOOD AVE</t>
  </si>
  <si>
    <t xml:space="preserve">PROGRESSIVE HOLDING LLC </t>
  </si>
  <si>
    <t>820 DOOLITTLE ST</t>
  </si>
  <si>
    <t>DASHWOOD DR</t>
  </si>
  <si>
    <t>WHEWELL CHARLES E &amp; SUSAN A (W)</t>
  </si>
  <si>
    <t>812 NORLAND ST</t>
  </si>
  <si>
    <t>NORLAND AVE</t>
  </si>
  <si>
    <t xml:space="preserve">GINSBURG BARBARA A </t>
  </si>
  <si>
    <t>3017 NORLAND ST</t>
  </si>
  <si>
    <t>NORLAND ST</t>
  </si>
  <si>
    <t xml:space="preserve">ALFON LLC </t>
  </si>
  <si>
    <t>507 NOBLESTOWN RD</t>
  </si>
  <si>
    <t>1749 MOFFAT ST</t>
  </si>
  <si>
    <t xml:space="preserve">HICKLING CATHERINE C </t>
  </si>
  <si>
    <t>218 MOFFAT ST</t>
  </si>
  <si>
    <t xml:space="preserve">231 MOFFAT LLC </t>
  </si>
  <si>
    <t>231 MOFFAT ST</t>
  </si>
  <si>
    <t>GREGG STATION RD</t>
  </si>
  <si>
    <t>WILLIAMS JAMES D &amp; SOPHIE (W)</t>
  </si>
  <si>
    <t>WARNE ST</t>
  </si>
  <si>
    <t xml:space="preserve">RATTENNI KAREN M </t>
  </si>
  <si>
    <t>1843 CRAFTON BLVD</t>
  </si>
  <si>
    <t xml:space="preserve">DARJEE CHANDRA                                  </t>
  </si>
  <si>
    <t>250 BALVER AVE</t>
  </si>
  <si>
    <t>FREISS THOMAS W &amp; PATRICIA L (W)</t>
  </si>
  <si>
    <t>149 BALVER AVE</t>
  </si>
  <si>
    <t>BALVER ST</t>
  </si>
  <si>
    <t>LANIOUS ROBERT S &amp; SYLVIA L (W)</t>
  </si>
  <si>
    <t>41 OAKWOOD RD</t>
  </si>
  <si>
    <t>LANIOUS ROBERT S &amp; SY</t>
  </si>
  <si>
    <t>OAKWOOD RD</t>
  </si>
  <si>
    <t>WILLIAMS JOSEPH  &amp; PATRICIA J (W)</t>
  </si>
  <si>
    <t>58 OAKWOOD RD</t>
  </si>
  <si>
    <t>WILLIAMS JOSEPH  &amp; PA</t>
  </si>
  <si>
    <t xml:space="preserve">GRAY GARY A </t>
  </si>
  <si>
    <t>1657 DURBIN ST</t>
  </si>
  <si>
    <t>ROTH E WILLIAM &amp; MARY JANE (W)</t>
  </si>
  <si>
    <t>2450 CRAFTMONT AVE</t>
  </si>
  <si>
    <t>CRAFTMONT AVE</t>
  </si>
  <si>
    <t xml:space="preserve">DERJEE PREM                                     </t>
  </si>
  <si>
    <t>147 ANGENA DR</t>
  </si>
  <si>
    <t>PA INVESTMENTS HOLDINGS  LLC</t>
  </si>
  <si>
    <t>3309 WINDGAP AVE</t>
  </si>
  <si>
    <t>PA INVESTMENTS HOLDIN</t>
  </si>
  <si>
    <t xml:space="preserve">RIZZO MADELINE </t>
  </si>
  <si>
    <t>0 MEDFORD ST</t>
  </si>
  <si>
    <t>ROBERT RIZZO</t>
  </si>
  <si>
    <t>PO BOX 44257</t>
  </si>
  <si>
    <t>0 WINDGAP AVE</t>
  </si>
  <si>
    <t xml:space="preserve">RIVER DEVELOPMENT CORP </t>
  </si>
  <si>
    <t>215 MCABEE DR</t>
  </si>
  <si>
    <t>BERARD BRIDGET L BERARD ELIE J JR</t>
  </si>
  <si>
    <t xml:space="preserve">BENKOVSKI NESINKA </t>
  </si>
  <si>
    <t>3410 CLEARFIELD ST</t>
  </si>
  <si>
    <t>BENKOVSKI NESINKA</t>
  </si>
  <si>
    <t>YOUNG JEFFREY P &amp; EMILY DIANE (W)</t>
  </si>
  <si>
    <t>3418 CLEARFIELD ST</t>
  </si>
  <si>
    <t>YOUNG JEFFREY P &amp; EMI</t>
  </si>
  <si>
    <t>CLEARFIELD ST</t>
  </si>
  <si>
    <t>3426 CLEARFIELD ST</t>
  </si>
  <si>
    <t xml:space="preserve">LESTER FAMILY TRUST </t>
  </si>
  <si>
    <t>3432 CLEARFIELD ST</t>
  </si>
  <si>
    <t>JOHN D &amp; MARY A LESTE</t>
  </si>
  <si>
    <t>GREATER PITTSBURGH  PROPERTIES LLC</t>
  </si>
  <si>
    <t>3417 CLEARFIELD ST</t>
  </si>
  <si>
    <t>PO BOX  301</t>
  </si>
  <si>
    <t xml:space="preserve">SLOAN JAMES D JR </t>
  </si>
  <si>
    <t>3401 CLEARFIELD ST</t>
  </si>
  <si>
    <t xml:space="preserve">KINNEMAN PATRICK B </t>
  </si>
  <si>
    <t>3447 HARRISBURG ST</t>
  </si>
  <si>
    <t xml:space="preserve">GINGROW TAMI </t>
  </si>
  <si>
    <t>3429 HARRISBURG ST</t>
  </si>
  <si>
    <t>WILLIAMS CHESTER C JR &amp; MARY ANN (W)</t>
  </si>
  <si>
    <t>3336 KATHY DR</t>
  </si>
  <si>
    <t>KATHY DR</t>
  </si>
  <si>
    <t>RANKIN ELIZABETH B &amp; SEAN P (H)</t>
  </si>
  <si>
    <t>3238 LADOGA ST</t>
  </si>
  <si>
    <t xml:space="preserve">WEAVER JAMES                                    </t>
  </si>
  <si>
    <t>527 FAIRYWOOD ST</t>
  </si>
  <si>
    <t>SALTER JOHN W &amp; MILDRED B</t>
  </si>
  <si>
    <t>523 FAIRYWOOD ST</t>
  </si>
  <si>
    <t>FAIRYWOOD ST</t>
  </si>
  <si>
    <t>509 FAIRYWOOD ST</t>
  </si>
  <si>
    <t>MURRAY AVE 81856</t>
  </si>
  <si>
    <t>ADAMS CURTIS  TINALOCKHART</t>
  </si>
  <si>
    <t>507 FAIRYWOOD ST</t>
  </si>
  <si>
    <t>LEE GREGORY E &amp; IMA JEAN (W)</t>
  </si>
  <si>
    <t>503 FAIRYWOOD ST</t>
  </si>
  <si>
    <t>501 FAIRYWOOD ST</t>
  </si>
  <si>
    <t>CARTER CHARLES JR &amp; MILDRED (W)</t>
  </si>
  <si>
    <t>422 FAIRYWOOD ST</t>
  </si>
  <si>
    <t xml:space="preserve">WILSON MARSHA L                                 </t>
  </si>
  <si>
    <t>424 FAIRYWOOD ST</t>
  </si>
  <si>
    <t>WILSON MARSHA L</t>
  </si>
  <si>
    <t xml:space="preserve">JONES BARBARA L </t>
  </si>
  <si>
    <t>522 FAIRYWOOD ST</t>
  </si>
  <si>
    <t xml:space="preserve">LAWAL SAUDAT </t>
  </si>
  <si>
    <t>524 FAIRYWOOD ST</t>
  </si>
  <si>
    <t>LAWAL SAUDAT</t>
  </si>
  <si>
    <t xml:space="preserve">WILSON JOHN M &amp; JEAN (W) </t>
  </si>
  <si>
    <t>0 LASSEN ST</t>
  </si>
  <si>
    <t xml:space="preserve">DALTON DAVID </t>
  </si>
  <si>
    <t>DALTON DAVID</t>
  </si>
  <si>
    <t>WARMAN ST</t>
  </si>
  <si>
    <t>KNAPP DAVID A &amp; PATRICIA GRACE (W)</t>
  </si>
  <si>
    <t>3351 KATHY DR</t>
  </si>
  <si>
    <t>MOSES ALEXANDER A &amp; MARY EVELYN (W)</t>
  </si>
  <si>
    <t xml:space="preserve">DWYER JAMES P </t>
  </si>
  <si>
    <t>3208 LADOGA ST</t>
  </si>
  <si>
    <t xml:space="preserve">JARECKI LEO R </t>
  </si>
  <si>
    <t>0 LADOGA ST</t>
  </si>
  <si>
    <t xml:space="preserve">BURGOON MARTHA J </t>
  </si>
  <si>
    <t>3184 LADOGA ST</t>
  </si>
  <si>
    <t>16TH ST APT D</t>
  </si>
  <si>
    <t>PACIFIC GROVE</t>
  </si>
  <si>
    <t xml:space="preserve">KELLY EILEEN L </t>
  </si>
  <si>
    <t>94 BERRY ST</t>
  </si>
  <si>
    <t xml:space="preserve">GRIMM VIRGINIA N </t>
  </si>
  <si>
    <t>404 FAIRYWOOD ST</t>
  </si>
  <si>
    <t xml:space="preserve">SMITH FRANK A &amp; MAMIE P </t>
  </si>
  <si>
    <t>410 FAIRYWOOD ST</t>
  </si>
  <si>
    <t>SMITH FRANK A &amp; MAMIE</t>
  </si>
  <si>
    <t xml:space="preserve">MCCALL CATHY J                                  </t>
  </si>
  <si>
    <t>0 FAIRYWOOD ST</t>
  </si>
  <si>
    <t>MCCALL CATHY J</t>
  </si>
  <si>
    <t>420 FAIRYWOOD ST</t>
  </si>
  <si>
    <t xml:space="preserve">THOMPSON WAUREEN J                              </t>
  </si>
  <si>
    <t>421 FAIRYWOOD ST</t>
  </si>
  <si>
    <t>MARY MOSBY V</t>
  </si>
  <si>
    <t>GULL RD</t>
  </si>
  <si>
    <t xml:space="preserve">BROWN MELVIN </t>
  </si>
  <si>
    <t>417 FAIRYWOOD ST</t>
  </si>
  <si>
    <t xml:space="preserve">SMITH STEVE CAGNEY </t>
  </si>
  <si>
    <t>415 FAIRYWOOD ST</t>
  </si>
  <si>
    <t xml:space="preserve">TEPOLE VICTOR </t>
  </si>
  <si>
    <t>402 W PROSPECT AVE</t>
  </si>
  <si>
    <t>PLEASANT HILL RD</t>
  </si>
  <si>
    <t xml:space="preserve">NOOR OSMAN SHEIKH                               </t>
  </si>
  <si>
    <t>410 W PROSPECT AVE</t>
  </si>
  <si>
    <t>NOOR OSMAN SHEIKH</t>
  </si>
  <si>
    <t>JOHNS WILLIAM HOWARD &amp; MOLLIE (W)</t>
  </si>
  <si>
    <t>0 W PROSPECT AVE</t>
  </si>
  <si>
    <t xml:space="preserve">JOHNS WILLIAM HOWARD </t>
  </si>
  <si>
    <t xml:space="preserve">FULLUM DELBERT A &amp; WILDA </t>
  </si>
  <si>
    <t>3371 W PROSPECT AVE</t>
  </si>
  <si>
    <t xml:space="preserve">BAGLEY KIMBERLY </t>
  </si>
  <si>
    <t>3429 W PROSPECT AVE</t>
  </si>
  <si>
    <t xml:space="preserve">BAILEY SHIRLEY </t>
  </si>
  <si>
    <t>3433 W PROSPECT AVE</t>
  </si>
  <si>
    <t>BAILEY SHIRLEY</t>
  </si>
  <si>
    <t>CHESTERFIELD</t>
  </si>
  <si>
    <t>COBBS HAROLD  &amp; LA TISHA (W)</t>
  </si>
  <si>
    <t>2027 BROADHEAD FORDING RD</t>
  </si>
  <si>
    <t>BROADHEAD FORDING RD</t>
  </si>
  <si>
    <t xml:space="preserve">WILLIAMS DONNA </t>
  </si>
  <si>
    <t>2049 MAZETTE PL</t>
  </si>
  <si>
    <t xml:space="preserve">ARONSON I LEONARD </t>
  </si>
  <si>
    <t>WILLIAM M BERGER ESQ</t>
  </si>
  <si>
    <t>W HAMILTON ST</t>
  </si>
  <si>
    <t xml:space="preserve">KOCHMAN DOLORES P                               </t>
  </si>
  <si>
    <t>3842 MAYFAIR ST</t>
  </si>
  <si>
    <t xml:space="preserve">SMITH ROBERT J </t>
  </si>
  <si>
    <t>3895 MAYFAIR ST</t>
  </si>
  <si>
    <t>MAYFAIR ST</t>
  </si>
  <si>
    <t xml:space="preserve">BEALL THOMAS </t>
  </si>
  <si>
    <t>3933 ELBERTON ST</t>
  </si>
  <si>
    <t xml:space="preserve">RAK TERA A </t>
  </si>
  <si>
    <t>3896 HAVEN ST</t>
  </si>
  <si>
    <t xml:space="preserve">NHEK SAMNANG LY </t>
  </si>
  <si>
    <t>3865 HAVEN ST</t>
  </si>
  <si>
    <t>NHEK SAMNANG LY</t>
  </si>
  <si>
    <t xml:space="preserve">HOLLOWAY JAYME R </t>
  </si>
  <si>
    <t>3713 RAMO ST</t>
  </si>
  <si>
    <t>RAMO ST</t>
  </si>
  <si>
    <t xml:space="preserve">DUKE GARRY J </t>
  </si>
  <si>
    <t>3719 RAMO ST</t>
  </si>
  <si>
    <t>BONNER ALBERT G SR &amp; LORETTA M (W)</t>
  </si>
  <si>
    <t>3703 MIDDLETOWN RD</t>
  </si>
  <si>
    <t>3762 WINDGAP AVE</t>
  </si>
  <si>
    <t xml:space="preserve">DRFN LLC </t>
  </si>
  <si>
    <t>3775 WINDGAP AVE</t>
  </si>
  <si>
    <t>LONNIE A SMITH JR</t>
  </si>
  <si>
    <t xml:space="preserve">STEPHENS DANIEL </t>
  </si>
  <si>
    <t>3825 WINDGAP AVE</t>
  </si>
  <si>
    <t>TENACE RUSSELL R &amp; KATHLEEN L (W)</t>
  </si>
  <si>
    <t>3768 HAVEN ST</t>
  </si>
  <si>
    <t xml:space="preserve">COLVIN RENELDA </t>
  </si>
  <si>
    <t>3812 MAYFAIR ST</t>
  </si>
  <si>
    <t xml:space="preserve">KNAPP MATHILDA F                                </t>
  </si>
  <si>
    <t>3749 MAYFAIR ST</t>
  </si>
  <si>
    <t xml:space="preserve">MANCINI NICHOLAS </t>
  </si>
  <si>
    <t>3829 WINDGAP AVE</t>
  </si>
  <si>
    <t>MANCINI ROSEMARIE ETAL</t>
  </si>
  <si>
    <t>3831 WINDGAP AVE</t>
  </si>
  <si>
    <t xml:space="preserve">WICHELNS CHRISTIAN J </t>
  </si>
  <si>
    <t>1612 CLARKTON ST</t>
  </si>
  <si>
    <t>DEVELOPERS MORTGAGE C</t>
  </si>
  <si>
    <t xml:space="preserve">COUCH MYRA LEE </t>
  </si>
  <si>
    <t>1578 CLARKTON ST</t>
  </si>
  <si>
    <t>CLARKTON ST</t>
  </si>
  <si>
    <t>YOKLEY MELVIN L &amp; PATRICIA A (W)</t>
  </si>
  <si>
    <t>1560 CLARKTON ST</t>
  </si>
  <si>
    <t>YOKLEY MELVIN L &amp; PAT</t>
  </si>
  <si>
    <t>1550 CLARKTON ST</t>
  </si>
  <si>
    <t xml:space="preserve">CHAFFIN TAMEKA N </t>
  </si>
  <si>
    <t>0 CLARKTON ST</t>
  </si>
  <si>
    <t xml:space="preserve">GREEN MARCEL </t>
  </si>
  <si>
    <t>3832 WINDGAP AVE</t>
  </si>
  <si>
    <t>3824 WINDGAP AVE</t>
  </si>
  <si>
    <t xml:space="preserve">BUTT-BURIAK JACQUELYN M                         </t>
  </si>
  <si>
    <t>3820 WINDGAP AVE</t>
  </si>
  <si>
    <t xml:space="preserve">WOODALL SHERRAL </t>
  </si>
  <si>
    <t>3804 WINDGAP AVE</t>
  </si>
  <si>
    <t>SHERRAL WOODALL</t>
  </si>
  <si>
    <t>WINDGAP AVE AVE</t>
  </si>
  <si>
    <t xml:space="preserve">DMJ KIDS ENTERPRISE LLC </t>
  </si>
  <si>
    <t>0 MERLE ST</t>
  </si>
  <si>
    <t>DMJ KIDS ENTERPRISE L</t>
  </si>
  <si>
    <t>DAVIS DAN JR &amp; CHARLENE (W)</t>
  </si>
  <si>
    <t>3808 CHARTIERS AVE</t>
  </si>
  <si>
    <t xml:space="preserve">COLBERT JASON </t>
  </si>
  <si>
    <t>0 WARFLE ST</t>
  </si>
  <si>
    <t>JASON COLBERT</t>
  </si>
  <si>
    <t>SHIPTON ST</t>
  </si>
  <si>
    <t xml:space="preserve">GRAY SHANNON </t>
  </si>
  <si>
    <t>3800 MERLE ST</t>
  </si>
  <si>
    <t xml:space="preserve">MITCHELL DONALD ISAAC JR </t>
  </si>
  <si>
    <t>3619 MIDDLETOWN RD</t>
  </si>
  <si>
    <t>MITCHELL DONALD ISAAC</t>
  </si>
  <si>
    <t xml:space="preserve">JIHAM MOHAMMAD                                  </t>
  </si>
  <si>
    <t>3673 MIDDLETOWN RD</t>
  </si>
  <si>
    <t xml:space="preserve">COLBERT MELVERSE </t>
  </si>
  <si>
    <t>3681 MIDDLETOWN RD</t>
  </si>
  <si>
    <t>CLARISSA ST APT 1</t>
  </si>
  <si>
    <t>GIST CHESTER C &amp; GERALDINE (W)</t>
  </si>
  <si>
    <t>3713 WINDGAP AVE</t>
  </si>
  <si>
    <t>GIST CHESTER C &amp; GERA</t>
  </si>
  <si>
    <t xml:space="preserve">MASON ALICIA C                                  </t>
  </si>
  <si>
    <t>3717 WINDGAP AVE</t>
  </si>
  <si>
    <t>WINDGAP RD</t>
  </si>
  <si>
    <t xml:space="preserve">MORALES JOSEPH R JR </t>
  </si>
  <si>
    <t>3731 MERLE ST</t>
  </si>
  <si>
    <t>3727 MERLE ST</t>
  </si>
  <si>
    <t xml:space="preserve">LEE HENRY </t>
  </si>
  <si>
    <t>0 SUMMERDALE ST</t>
  </si>
  <si>
    <t>3756 MERLE ST</t>
  </si>
  <si>
    <t xml:space="preserve">IVOSEVIC GEORGE </t>
  </si>
  <si>
    <t>EDWARDS FLOYD M JR &amp; BRENDA J (W)</t>
  </si>
  <si>
    <t xml:space="preserve">HARTWELL JOHNATHAN D </t>
  </si>
  <si>
    <t>1601 SUMMERDALE ST</t>
  </si>
  <si>
    <t>HARTWELL JOHNATHAN D</t>
  </si>
  <si>
    <t>1597 SUMMERDALE ST</t>
  </si>
  <si>
    <t xml:space="preserve">GLOVER SHAWN A </t>
  </si>
  <si>
    <t>1575 SUMMERDALE ST</t>
  </si>
  <si>
    <t xml:space="preserve">RYAN HOMES INC </t>
  </si>
  <si>
    <t>0 MUNSON ST</t>
  </si>
  <si>
    <t>BILMAR DR STE 200</t>
  </si>
  <si>
    <t xml:space="preserve">HESS JUDITH </t>
  </si>
  <si>
    <t>0 MARGARET ST</t>
  </si>
  <si>
    <t>HALLWOOD DR</t>
  </si>
  <si>
    <t xml:space="preserve">DEMSKI RICHARD E </t>
  </si>
  <si>
    <t>1521 SUMMERDALE ST</t>
  </si>
  <si>
    <t>JOHNSON WILLIAM C &amp; WILLIAM M JOHNSON</t>
  </si>
  <si>
    <t>1519 SUMMERDALE ST</t>
  </si>
  <si>
    <t xml:space="preserve">BUNDRIDGE DONNA </t>
  </si>
  <si>
    <t>1513 SUMMERDALE ST</t>
  </si>
  <si>
    <t>DONNA BUNDRIDGE</t>
  </si>
  <si>
    <t xml:space="preserve">COLBERT BENNY LEE </t>
  </si>
  <si>
    <t>1511 SUMMERDALE ST</t>
  </si>
  <si>
    <t xml:space="preserve">EQUITY TRUST COMPANY  CUSTODIAN FBO           </t>
  </si>
  <si>
    <t>3525 MIDDLETOWN RD</t>
  </si>
  <si>
    <t>BECHTEL ST</t>
  </si>
  <si>
    <t xml:space="preserve">CUNNINGHAM DAISY M </t>
  </si>
  <si>
    <t>3521 MIDDLETOWN RD</t>
  </si>
  <si>
    <t xml:space="preserve">BRISCOE LLOYD </t>
  </si>
  <si>
    <t>3513 MIDDLETOWN RD</t>
  </si>
  <si>
    <t xml:space="preserve">ALSOUD SULTAN </t>
  </si>
  <si>
    <t>3673 WINDGAP AVE</t>
  </si>
  <si>
    <t>ALSOUD SULTAN</t>
  </si>
  <si>
    <t>BLAIRMONT DR</t>
  </si>
  <si>
    <t xml:space="preserve">CONWAY ERIN M </t>
  </si>
  <si>
    <t>132 CLEARFIELD PL</t>
  </si>
  <si>
    <t>134 CLEARFIELD PL</t>
  </si>
  <si>
    <t>0 YOUGHIOGHENY ST</t>
  </si>
  <si>
    <t>NORFOLK SOUTHERN  RAILWAY COMPANY</t>
  </si>
  <si>
    <t>0 MAZETTE PL</t>
  </si>
  <si>
    <t xml:space="preserve">HENDERSON DAMON A </t>
  </si>
  <si>
    <t>2047 BROADHEAD FORDING RD</t>
  </si>
  <si>
    <t xml:space="preserve">MATTHEWS DONALD A </t>
  </si>
  <si>
    <t>0 MAZETTE RD</t>
  </si>
  <si>
    <t xml:space="preserve">SMITH VIVIAN                                    </t>
  </si>
  <si>
    <t>2050 MAZETTE PL</t>
  </si>
  <si>
    <t xml:space="preserve">RICHARDSON WILLIAM B </t>
  </si>
  <si>
    <t>2125 MAZETTE PL</t>
  </si>
  <si>
    <t>RICHARDSON WILLIAM B</t>
  </si>
  <si>
    <t>FAQ BLACKSTONE  ENTERPRISE LLC</t>
  </si>
  <si>
    <t>2156 MAZETTE PL</t>
  </si>
  <si>
    <t>FAQ BLACKSTONE ENTERP</t>
  </si>
  <si>
    <t>PO BOX  6457</t>
  </si>
  <si>
    <t>CHARTIERS NATURE  CONSERVANCY</t>
  </si>
  <si>
    <t>0 SCULLY RD</t>
  </si>
  <si>
    <t>PO BOX 44221</t>
  </si>
  <si>
    <t xml:space="preserve">PAUL'S MOBILE HOMES </t>
  </si>
  <si>
    <t>106 BERRY ST</t>
  </si>
  <si>
    <t>BERRY #17 ST</t>
  </si>
  <si>
    <t xml:space="preserve">INGELFIELD GILL </t>
  </si>
  <si>
    <t>106 BERRY ST UNIT 19</t>
  </si>
  <si>
    <t>BERRY ST UNIT 19</t>
  </si>
  <si>
    <t xml:space="preserve">PIERCE ROBERT E </t>
  </si>
  <si>
    <t>106 BERRY ST UNIT 28</t>
  </si>
  <si>
    <t>BERRY ST 28</t>
  </si>
  <si>
    <t xml:space="preserve">MULL JAMES </t>
  </si>
  <si>
    <t>106 BERRY ST UNIT 14</t>
  </si>
  <si>
    <t>FOX COVE CIR LOT 14</t>
  </si>
  <si>
    <t>MOSELEY</t>
  </si>
  <si>
    <t xml:space="preserve">MOTZ DON </t>
  </si>
  <si>
    <t>106 BERRY ST UNIT 26</t>
  </si>
  <si>
    <t>BERRY ST TRLR 26</t>
  </si>
  <si>
    <t xml:space="preserve">BRAXTON ANTONY </t>
  </si>
  <si>
    <t>106 BERRY ST UNIT 2</t>
  </si>
  <si>
    <t>BERRY ST # 2</t>
  </si>
  <si>
    <t xml:space="preserve">GORALZICK DAVID </t>
  </si>
  <si>
    <t>106 BERRY ST UNIT 34</t>
  </si>
  <si>
    <t>CLERMONT AVE</t>
  </si>
  <si>
    <t xml:space="preserve">LESPERANCE PHYLLIS </t>
  </si>
  <si>
    <t>106 BERRY ST UNIT 4</t>
  </si>
  <si>
    <t xml:space="preserve">FRISCH OMAR </t>
  </si>
  <si>
    <t>106 BERRY ST UNIT 20</t>
  </si>
  <si>
    <t>BERRY ST # 20</t>
  </si>
  <si>
    <t xml:space="preserve">SIERKA GINA </t>
  </si>
  <si>
    <t>106 BERRY ST UNIT 36</t>
  </si>
  <si>
    <t>BERRY ST TRLR 36</t>
  </si>
  <si>
    <t xml:space="preserve">BROPHY MICHAEL </t>
  </si>
  <si>
    <t>106 BERRY ST UNIT 30</t>
  </si>
  <si>
    <t>MCMILLEN ST APT 102</t>
  </si>
  <si>
    <t xml:space="preserve">ENGEL LISA </t>
  </si>
  <si>
    <t>106 BERRY ST UNIT 27</t>
  </si>
  <si>
    <t xml:space="preserve">HAYS CYNTHIA </t>
  </si>
  <si>
    <t>106 BERRY ST UNIT 31</t>
  </si>
  <si>
    <t>BERRY ST UNIT 31</t>
  </si>
  <si>
    <t>0 LAUGHLIN AVE</t>
  </si>
  <si>
    <t>10TH STREET PARTNERSHIP  130 LLC</t>
  </si>
  <si>
    <t>10TH STREET PARTNERSH</t>
  </si>
  <si>
    <t>SPRINGS RD NE</t>
  </si>
  <si>
    <t xml:space="preserve">YC INTERNATIONAL LLC </t>
  </si>
  <si>
    <t>429 LINNVIEW AVE</t>
  </si>
  <si>
    <t>S HIGHLAND AVE STE 18</t>
  </si>
  <si>
    <t xml:space="preserve">HALLIGAN STEVEN W </t>
  </si>
  <si>
    <t>449 LINNVIEW AVE</t>
  </si>
  <si>
    <t>SPRADLEY PAUL D &amp; JESSICA (W)</t>
  </si>
  <si>
    <t>455 LINNVIEW AVE</t>
  </si>
  <si>
    <t xml:space="preserve">KIRCH CHELSEA T                                 </t>
  </si>
  <si>
    <t>411 BIRMINGHAM AVE</t>
  </si>
  <si>
    <t xml:space="preserve">DONNELLY THOMAS G </t>
  </si>
  <si>
    <t>409 BIRMINGHAM AVE</t>
  </si>
  <si>
    <t>AGGAZIO JOSEPH C &amp; CHRISTINE R (W)</t>
  </si>
  <si>
    <t>401 BIRMINGHAM AVE</t>
  </si>
  <si>
    <t>AGGAZIO JOSEPH C &amp; CH</t>
  </si>
  <si>
    <t xml:space="preserve">BIGOS CANDICE MARIE                             </t>
  </si>
  <si>
    <t>408 LAUGHLIN AVE</t>
  </si>
  <si>
    <t>BIGOS CANDICE MARIE</t>
  </si>
  <si>
    <t>LAUGHLIN AVE</t>
  </si>
  <si>
    <t xml:space="preserve">LANGAS MICHAEL J </t>
  </si>
  <si>
    <t>410 LAUGHLIN AVE</t>
  </si>
  <si>
    <t>ORCHARD CT</t>
  </si>
  <si>
    <t xml:space="preserve">BRYAN DANIEL DEFRANCO </t>
  </si>
  <si>
    <t>626 LAUGHLIN AVE</t>
  </si>
  <si>
    <t xml:space="preserve">CUTRONE ANTHONY M </t>
  </si>
  <si>
    <t>0 BRUNER ST</t>
  </si>
  <si>
    <t xml:space="preserve">WESTBROOK LISA M </t>
  </si>
  <si>
    <t>BRUNER ST</t>
  </si>
  <si>
    <t xml:space="preserve">BLOOM INVESTORS LLC </t>
  </si>
  <si>
    <t>917 BROWNSVILLE RD</t>
  </si>
  <si>
    <t>LIBRARY RD STE 220 #687</t>
  </si>
  <si>
    <t xml:space="preserve">FELIX PETER &amp; CELINE (W) </t>
  </si>
  <si>
    <t>921 BROWNSVILLE RD</t>
  </si>
  <si>
    <t>OSBORN ST</t>
  </si>
  <si>
    <t>0 CALHOUN AVE</t>
  </si>
  <si>
    <t>1031 BROWNSVILLE RD</t>
  </si>
  <si>
    <t xml:space="preserve">CARRICK ASSOCIATES LLC </t>
  </si>
  <si>
    <t>1042 BROWNSVILLE RD</t>
  </si>
  <si>
    <t>KATHLEEN DR</t>
  </si>
  <si>
    <t xml:space="preserve">SOUTH HILLS ITALIAN CLUB </t>
  </si>
  <si>
    <t>1038 BROWNSVILLE RD</t>
  </si>
  <si>
    <t xml:space="preserve">MCGINNISS THOMAS </t>
  </si>
  <si>
    <t>0 CEDRICTON ST</t>
  </si>
  <si>
    <t>MCMURRAY RD</t>
  </si>
  <si>
    <t xml:space="preserve">JOHNSON MALIK L </t>
  </si>
  <si>
    <t>20 CEDRICTON ST</t>
  </si>
  <si>
    <t>CEDRICTON ST</t>
  </si>
  <si>
    <t>18 CEDRICTON ST</t>
  </si>
  <si>
    <t xml:space="preserve">BIVINS JAMALE </t>
  </si>
  <si>
    <t>18 MINOOKA ST</t>
  </si>
  <si>
    <t>MINOOKA ST</t>
  </si>
  <si>
    <t>GALINDO HOME SOLUTIONS  LLC</t>
  </si>
  <si>
    <t>28 MINOOKA ST</t>
  </si>
  <si>
    <t>GALINDO HOME SOLUTION</t>
  </si>
  <si>
    <t>CANAVERAL DR</t>
  </si>
  <si>
    <t xml:space="preserve">CARROLL CHRISTOPHER </t>
  </si>
  <si>
    <t>34 MINOOKA ST</t>
  </si>
  <si>
    <t>WILLOWSTREET PIKE N</t>
  </si>
  <si>
    <t>WILLOW STREET</t>
  </si>
  <si>
    <t xml:space="preserve">MALONE BRANDON </t>
  </si>
  <si>
    <t>129 CALHOUN AVE</t>
  </si>
  <si>
    <t>MALONE BRANDON</t>
  </si>
  <si>
    <t xml:space="preserve">HABIBU-MYENGI PASCACOA </t>
  </si>
  <si>
    <t>1035 BROWNSVILLE RD</t>
  </si>
  <si>
    <t>PASCACOA HABIBU-MYENG</t>
  </si>
  <si>
    <t xml:space="preserve">WENRICH DAWN ELIZABETH </t>
  </si>
  <si>
    <t>15 WYNOKA ST</t>
  </si>
  <si>
    <t>WENRICH DAWN ELIZABET</t>
  </si>
  <si>
    <t>115 WYNOKA ST</t>
  </si>
  <si>
    <t xml:space="preserve">PRESTON MICHAEL W </t>
  </si>
  <si>
    <t>E FRANCIS AVE</t>
  </si>
  <si>
    <t>SOUTH HILLS HOLDING LLC  ETAL</t>
  </si>
  <si>
    <t>133 LAUGHLIN AVE</t>
  </si>
  <si>
    <t>131 LAUGHLIN AVE</t>
  </si>
  <si>
    <t xml:space="preserve">MICHAEL S HALL LLC </t>
  </si>
  <si>
    <t>1131 AMANDA ST</t>
  </si>
  <si>
    <t>RIOTA WAY</t>
  </si>
  <si>
    <t xml:space="preserve">PORCO DANIEL JR </t>
  </si>
  <si>
    <t>1141 BROWNSVILLE RD</t>
  </si>
  <si>
    <t xml:space="preserve">WEBCOR INC </t>
  </si>
  <si>
    <t>1138 BROWNSVILLE RD</t>
  </si>
  <si>
    <t xml:space="preserve">METRO ASSESTS LLC </t>
  </si>
  <si>
    <t>1136 BROWNSVILLE RD</t>
  </si>
  <si>
    <t>METRO ASSESTS LLC</t>
  </si>
  <si>
    <t>SCENIC RIDGE DR</t>
  </si>
  <si>
    <t>RODLER WALTER  &amp; GERTRUDE V (W)</t>
  </si>
  <si>
    <t>1128 BROWNSVILLE RD</t>
  </si>
  <si>
    <t xml:space="preserve">KI CONSULTING GROUP LLC </t>
  </si>
  <si>
    <t>0 MINOOKA ST</t>
  </si>
  <si>
    <t>KI CONSULTING GROUP L</t>
  </si>
  <si>
    <t>GIBSON DR</t>
  </si>
  <si>
    <t>PRICE DAVID E &amp; CAROL A (W)</t>
  </si>
  <si>
    <t>152 WYNOKA ST</t>
  </si>
  <si>
    <t>PRICE DAVID E &amp; CAROL</t>
  </si>
  <si>
    <t>S MAIN ST APT C-2</t>
  </si>
  <si>
    <t>COLUMBIANA</t>
  </si>
  <si>
    <t>EYNON ROSE EYNON BLAKE D</t>
  </si>
  <si>
    <t>154 WYNOKA ST</t>
  </si>
  <si>
    <t xml:space="preserve">HELLMANN DANIEL </t>
  </si>
  <si>
    <t>1010 WINGATE ST</t>
  </si>
  <si>
    <t>OLD WASHINGTON RD</t>
  </si>
  <si>
    <t>1019 THEONA ST</t>
  </si>
  <si>
    <t>EILER AVE</t>
  </si>
  <si>
    <t xml:space="preserve">MEDINA ANITA L </t>
  </si>
  <si>
    <t>51 LACONA ST</t>
  </si>
  <si>
    <t>LACONA ST</t>
  </si>
  <si>
    <t xml:space="preserve">MC ARDLE GAIL M </t>
  </si>
  <si>
    <t>25 LACONA ST</t>
  </si>
  <si>
    <t>ROSE LN</t>
  </si>
  <si>
    <t xml:space="preserve">GERDES HALEY M </t>
  </si>
  <si>
    <t>13 LACONA ST</t>
  </si>
  <si>
    <t xml:space="preserve">WINFREY PATRICIA J                              </t>
  </si>
  <si>
    <t>1211 TRANSVERSE AVE</t>
  </si>
  <si>
    <t>MCDONOUGH CRAIG &amp; AMY (W)</t>
  </si>
  <si>
    <t>10 LACONA ST</t>
  </si>
  <si>
    <t>MCDONOUGH CRAIG &amp; AMY</t>
  </si>
  <si>
    <t>FAIRVIEW CIR</t>
  </si>
  <si>
    <t>18 LACONA ST</t>
  </si>
  <si>
    <t xml:space="preserve">KIRLEY BERNARD F III </t>
  </si>
  <si>
    <t>20 LACONA ST</t>
  </si>
  <si>
    <t>LOCONA ST</t>
  </si>
  <si>
    <t xml:space="preserve">SEAGO DARLENE D </t>
  </si>
  <si>
    <t>24 LACONA ST</t>
  </si>
  <si>
    <t>LACONA DR</t>
  </si>
  <si>
    <t>309 LINNVIEW AVE</t>
  </si>
  <si>
    <t xml:space="preserve">LYMAN GLENN </t>
  </si>
  <si>
    <t>333 LINNVIEW AVE</t>
  </si>
  <si>
    <t>LINNVIEW AVE</t>
  </si>
  <si>
    <t>WAGNER RICHARD CARL &amp; CAROL (W)</t>
  </si>
  <si>
    <t>338 LINNVIEW AVE</t>
  </si>
  <si>
    <t xml:space="preserve">COTTER WILLIAM </t>
  </si>
  <si>
    <t>343 BIRMINGHAM AVE</t>
  </si>
  <si>
    <t>PARK WAY</t>
  </si>
  <si>
    <t>EAST LIVERPOOL</t>
  </si>
  <si>
    <t xml:space="preserve">DAVERN KELLY L </t>
  </si>
  <si>
    <t>341 BIRMINGHAM AVE</t>
  </si>
  <si>
    <t xml:space="preserve">WOODS CYNTHIA L </t>
  </si>
  <si>
    <t>0 BIRMINGHAM AVE</t>
  </si>
  <si>
    <t xml:space="preserve">COTTER JOAN L </t>
  </si>
  <si>
    <t>410 BIRMINGHAM AVE</t>
  </si>
  <si>
    <t xml:space="preserve">GUERRANT TRACY J </t>
  </si>
  <si>
    <t>418 BIRMINGHAM AVE</t>
  </si>
  <si>
    <t>KERR KENNETH J &amp; DEBRA M CHILCOTT</t>
  </si>
  <si>
    <t>507 PARALLEL AVE</t>
  </si>
  <si>
    <t>KERR KENNETH J &amp; DEBR</t>
  </si>
  <si>
    <t>PARALLEL AVE</t>
  </si>
  <si>
    <t xml:space="preserve">GRADNIK BALLEW MARY </t>
  </si>
  <si>
    <t>357 PARALLEL AVE</t>
  </si>
  <si>
    <t>MILLER WILLIAM J &amp; SHARON A (W)</t>
  </si>
  <si>
    <t>339 PARALLEL AVE</t>
  </si>
  <si>
    <t>MILLER WILLIAM J &amp; SH</t>
  </si>
  <si>
    <t xml:space="preserve">DIVERSIFIED RESIDENTIAL  HOMES 2 LLC             </t>
  </si>
  <si>
    <t>337 PARALLEL AVE</t>
  </si>
  <si>
    <t xml:space="preserve">NESTALGIA PROPERTIES LLC </t>
  </si>
  <si>
    <t>514 PARALLEL AVE</t>
  </si>
  <si>
    <t xml:space="preserve">NESTALGIA PROPERTIES </t>
  </si>
  <si>
    <t>S DORRANCE ST</t>
  </si>
  <si>
    <t>LUCAS KENNETH D &amp; CHARLENE F (W)</t>
  </si>
  <si>
    <t>0 PARALLEL AVE</t>
  </si>
  <si>
    <t xml:space="preserve">EMICH HARRY  &amp; ADA H </t>
  </si>
  <si>
    <t>0 FREDELL ST</t>
  </si>
  <si>
    <t>SULLIVAN C J &amp; BRENDA J (W)</t>
  </si>
  <si>
    <t>1607 FREDELL ST</t>
  </si>
  <si>
    <t>SULLIVAN C J &amp; BRENDA</t>
  </si>
  <si>
    <t>FREDELL ST</t>
  </si>
  <si>
    <t xml:space="preserve">WILLIAMS PHILIP MAURICE </t>
  </si>
  <si>
    <t>316 E MEYERS ST</t>
  </si>
  <si>
    <t>326 E MEYERS ST</t>
  </si>
  <si>
    <t xml:space="preserve">JOY DEVELOPMENT LLC </t>
  </si>
  <si>
    <t>1629 ALPLAUS ST</t>
  </si>
  <si>
    <t>JOY DEVELOPMENT LLC</t>
  </si>
  <si>
    <t>W GATE DR</t>
  </si>
  <si>
    <t>RIES ALLEN R &amp; MARGARET R</t>
  </si>
  <si>
    <t>1719 ALPLAUS ST</t>
  </si>
  <si>
    <t>KIBERLEY LAIRD</t>
  </si>
  <si>
    <t xml:space="preserve">HALL JAN </t>
  </si>
  <si>
    <t>0 ADALIA ST</t>
  </si>
  <si>
    <t>JAN HALL</t>
  </si>
  <si>
    <t>1727 ALPLAUS ST</t>
  </si>
  <si>
    <t>0 POPLARGROVE ST</t>
  </si>
  <si>
    <t>THORNTON RYAN R &amp; COLLEEN M (W)</t>
  </si>
  <si>
    <t>322 SPRUCEWOOD ST</t>
  </si>
  <si>
    <t>THORNTON RYAN R &amp; COL</t>
  </si>
  <si>
    <t xml:space="preserve">DAFT ROBERT </t>
  </si>
  <si>
    <t>319 MEREDITH ST</t>
  </si>
  <si>
    <t>FAWNVUE DR</t>
  </si>
  <si>
    <t>324 MEREDITH ST</t>
  </si>
  <si>
    <t xml:space="preserve">LEELKO US INC                                   </t>
  </si>
  <si>
    <t>318 MEREDITH ST</t>
  </si>
  <si>
    <t>CANADA M6A 3A1</t>
  </si>
  <si>
    <t>0 MEREDITH ST</t>
  </si>
  <si>
    <t xml:space="preserve">LEEKO US INC         </t>
  </si>
  <si>
    <t xml:space="preserve">THOMAS DONALD J </t>
  </si>
  <si>
    <t>POPLARGROVE ST</t>
  </si>
  <si>
    <t>316 POPLARGROVE ST</t>
  </si>
  <si>
    <t xml:space="preserve">HAWKINS PRINCESS M </t>
  </si>
  <si>
    <t>315 E AGNEW AVE</t>
  </si>
  <si>
    <t>HAWKINS PRINCESS M</t>
  </si>
  <si>
    <t xml:space="preserve">FST REALTY LLC </t>
  </si>
  <si>
    <t>307 E AGNEW AVE</t>
  </si>
  <si>
    <t>FST REALTY LLC</t>
  </si>
  <si>
    <t>N NEVILLE ST # 505</t>
  </si>
  <si>
    <t xml:space="preserve">BANASZAK KAYLA M </t>
  </si>
  <si>
    <t>0 DOWLING ST</t>
  </si>
  <si>
    <t xml:space="preserve">REDROSE 2034 LLC                                </t>
  </si>
  <si>
    <t>2034 REDROSE AVE</t>
  </si>
  <si>
    <t xml:space="preserve">BATEY VERALYN A </t>
  </si>
  <si>
    <t>2048 REDROSE AVE</t>
  </si>
  <si>
    <t xml:space="preserve">KLAAS HARRY A III </t>
  </si>
  <si>
    <t>0 MADELINE ST</t>
  </si>
  <si>
    <t xml:space="preserve">LINDSEY SHANNON E </t>
  </si>
  <si>
    <t>2017 DOWLING ST</t>
  </si>
  <si>
    <t>DOWLING ST</t>
  </si>
  <si>
    <t xml:space="preserve">RIEMANN DOROTHY M </t>
  </si>
  <si>
    <t>344 BECKS RUN RD</t>
  </si>
  <si>
    <t xml:space="preserve">JANSSEN JEROME E </t>
  </si>
  <si>
    <t>0 BROOK ST</t>
  </si>
  <si>
    <t>BROOK ST</t>
  </si>
  <si>
    <t xml:space="preserve">OPATCHEN JOHN J </t>
  </si>
  <si>
    <t>230 NOBLES LN</t>
  </si>
  <si>
    <t>BRIDGEWATER DR</t>
  </si>
  <si>
    <t xml:space="preserve">JRF INVESTMENTS INC </t>
  </si>
  <si>
    <t>232 NOBLES LN</t>
  </si>
  <si>
    <t xml:space="preserve">TURK BERNARD P </t>
  </si>
  <si>
    <t>0 NOBLES LN</t>
  </si>
  <si>
    <t>SPRING RD</t>
  </si>
  <si>
    <t>HYLAND JAMES P &amp; JAN M (W)</t>
  </si>
  <si>
    <t>244 NOBLES LN</t>
  </si>
  <si>
    <t xml:space="preserve">HYLAND JAMES P &amp; JAN </t>
  </si>
  <si>
    <t>OPATCHEN JOHN J &amp; CHRISTINA F (W)</t>
  </si>
  <si>
    <t>248 NOBLES LN</t>
  </si>
  <si>
    <t xml:space="preserve">STIEFVATER WILLIAM </t>
  </si>
  <si>
    <t xml:space="preserve">GLUMAC DAVID &amp; DEBRA (W) </t>
  </si>
  <si>
    <t>DAVID LN</t>
  </si>
  <si>
    <t xml:space="preserve">LUCAS EDWARD  &amp; NOREEN </t>
  </si>
  <si>
    <t>LUCAS EDWARD  &amp; NOREE</t>
  </si>
  <si>
    <t xml:space="preserve">LUCAS NOREEN                                    </t>
  </si>
  <si>
    <t>LOUISA ST</t>
  </si>
  <si>
    <t>BARRINGER JAMES F &amp; MARY ANN (W)</t>
  </si>
  <si>
    <t>110 MINOOKA ST</t>
  </si>
  <si>
    <t xml:space="preserve">RIGBY WILLIAM K </t>
  </si>
  <si>
    <t>108 MINOOKA ST</t>
  </si>
  <si>
    <t>BREHM RD</t>
  </si>
  <si>
    <t>INSULBRICK STRUCTURES  INC</t>
  </si>
  <si>
    <t>106 MINOOKA ST</t>
  </si>
  <si>
    <t xml:space="preserve">CERCONE DENNIS </t>
  </si>
  <si>
    <t>1130 TROST AVE</t>
  </si>
  <si>
    <t>LILY AVE</t>
  </si>
  <si>
    <t xml:space="preserve">CITYLIFE HILLTOP 2 LLC </t>
  </si>
  <si>
    <t>CITYLIFE HILLTOP 2 LL</t>
  </si>
  <si>
    <t xml:space="preserve">HARPER ROBERT </t>
  </si>
  <si>
    <t>33 MINOOKA ST</t>
  </si>
  <si>
    <t xml:space="preserve">LNR INVESTMENTS LLC </t>
  </si>
  <si>
    <t>29 MINOOKA ST</t>
  </si>
  <si>
    <t>1ST AVE STE 1105</t>
  </si>
  <si>
    <t>WIERZXHOWSKI JOHN F &amp; BEVERLY</t>
  </si>
  <si>
    <t>27 MINOOKA ST</t>
  </si>
  <si>
    <t>ELM AVE</t>
  </si>
  <si>
    <t xml:space="preserve">FUNK JAMES FRANCES                              </t>
  </si>
  <si>
    <t>23 MINOOKA ST</t>
  </si>
  <si>
    <t xml:space="preserve">PALMER MARGARET M </t>
  </si>
  <si>
    <t>129 MINOOKA AVENUE LAND  TRUST</t>
  </si>
  <si>
    <t>129 MINOOKA ST</t>
  </si>
  <si>
    <t>129 MINOOKA AVENUE LA</t>
  </si>
  <si>
    <t xml:space="preserve">LIPTAK SHANE </t>
  </si>
  <si>
    <t>228 NOBLES LN</t>
  </si>
  <si>
    <t>SHANE LIPTAK</t>
  </si>
  <si>
    <t xml:space="preserve">BANE DAVID M SR </t>
  </si>
  <si>
    <t>222 NOBLES LN</t>
  </si>
  <si>
    <t>LODGE ST</t>
  </si>
  <si>
    <t xml:space="preserve">218 NOBLES LLC </t>
  </si>
  <si>
    <t>218 NOBLES LN</t>
  </si>
  <si>
    <t>218 NOBLES LLC</t>
  </si>
  <si>
    <t>E 2ND ST STE 7000</t>
  </si>
  <si>
    <t>CASPER</t>
  </si>
  <si>
    <t xml:space="preserve">STEINER JOSEPH C                                </t>
  </si>
  <si>
    <t>208 NOBLES LN</t>
  </si>
  <si>
    <t xml:space="preserve">URBAN JASON </t>
  </si>
  <si>
    <t>202 NOBLES LN</t>
  </si>
  <si>
    <t>URBAN JASON</t>
  </si>
  <si>
    <t xml:space="preserve">AUGUSTINE MARJORIE C </t>
  </si>
  <si>
    <t>134 NOBLES LN</t>
  </si>
  <si>
    <t xml:space="preserve">NGY INVEST LLC </t>
  </si>
  <si>
    <t>132 NOBLES LN</t>
  </si>
  <si>
    <t xml:space="preserve">CHRISTIAN HAROLD R </t>
  </si>
  <si>
    <t>N KENNELMAN CIR</t>
  </si>
  <si>
    <t>WENDELL</t>
  </si>
  <si>
    <t>110 NOBLES LN</t>
  </si>
  <si>
    <t xml:space="preserve">VAZQUEZ GUSTAVO A </t>
  </si>
  <si>
    <t>46 NOBLES LN</t>
  </si>
  <si>
    <t xml:space="preserve">DAVIS CHRISTIAN </t>
  </si>
  <si>
    <t>30 NOBLES LN</t>
  </si>
  <si>
    <t xml:space="preserve">MILLER JASMANE </t>
  </si>
  <si>
    <t>MCNEIL COMMERCIAL  PROPERTIES</t>
  </si>
  <si>
    <t>1150 BROWNSVILLE RD</t>
  </si>
  <si>
    <t>MCNEIL COMMERCIAL PRO</t>
  </si>
  <si>
    <t>WINTER PARK LN</t>
  </si>
  <si>
    <t>POWDER SPRINGS</t>
  </si>
  <si>
    <t xml:space="preserve">BENNETT DONALD G </t>
  </si>
  <si>
    <t>8 NOBLES LN</t>
  </si>
  <si>
    <t xml:space="preserve">MILLER FRANK R </t>
  </si>
  <si>
    <t>18 NOBLES LN</t>
  </si>
  <si>
    <t>CAPITAL ESTATE  SOLUTIONS INC</t>
  </si>
  <si>
    <t>CAPITAL ESTATE SOLUTI</t>
  </si>
  <si>
    <t>WILLETT DR</t>
  </si>
  <si>
    <t xml:space="preserve">WANG QIAN </t>
  </si>
  <si>
    <t>1405 BROWNSVILLE RD</t>
  </si>
  <si>
    <t xml:space="preserve">FORD DANIEL J </t>
  </si>
  <si>
    <t>1401 BROWNSVILLE RD</t>
  </si>
  <si>
    <t xml:space="preserve">JOSEPHS SOPHIE </t>
  </si>
  <si>
    <t>1314 AMANDA ST</t>
  </si>
  <si>
    <t>ALAN ST</t>
  </si>
  <si>
    <t xml:space="preserve">COLLINS ROBERT C JR </t>
  </si>
  <si>
    <t>116 BIRMINGHAM AVE</t>
  </si>
  <si>
    <t>COLLINS ROBERT C JR</t>
  </si>
  <si>
    <t xml:space="preserve">NEESON MICHAEL </t>
  </si>
  <si>
    <t>120 BIRMINGHAM AVE</t>
  </si>
  <si>
    <t xml:space="preserve">DOYLE ERIC J </t>
  </si>
  <si>
    <t>130 BIRMINGHAM AVE</t>
  </si>
  <si>
    <t>ERIC J DOYLE</t>
  </si>
  <si>
    <t>DOYLE WILLIAM F JR &amp; CAROLINE M</t>
  </si>
  <si>
    <t>131 BIRMINGHAM AVE</t>
  </si>
  <si>
    <t>129 BIRMINGHAM AVE</t>
  </si>
  <si>
    <t xml:space="preserve">MARTIN TYLER </t>
  </si>
  <si>
    <t>115 BIRMINGHAM AVE</t>
  </si>
  <si>
    <t>SHIREHILL DR</t>
  </si>
  <si>
    <t xml:space="preserve">ASHER JANA LYNN </t>
  </si>
  <si>
    <t>102 LINNVIEW AVE</t>
  </si>
  <si>
    <t xml:space="preserve">BLOXSOM ARIN </t>
  </si>
  <si>
    <t>112 LINNVIEW AVE</t>
  </si>
  <si>
    <t xml:space="preserve">HERRMANN GERALD </t>
  </si>
  <si>
    <t>118 LINNVIEW AVE</t>
  </si>
  <si>
    <t>GARDENVILLE RD</t>
  </si>
  <si>
    <t xml:space="preserve">LUBAWSKI WALTER JR </t>
  </si>
  <si>
    <t>130 LINNVIEW AVE</t>
  </si>
  <si>
    <t xml:space="preserve">MCKAY HELEN R </t>
  </si>
  <si>
    <t>127 LINNVIEW AVE</t>
  </si>
  <si>
    <t>KINGLSEY STEPHEN H &amp; JUDI A TROETSCHEL</t>
  </si>
  <si>
    <t>132 LAUGHLIN AVE</t>
  </si>
  <si>
    <t xml:space="preserve">HARRIS RUSSELL </t>
  </si>
  <si>
    <t>104 LAUGHLIN AVE</t>
  </si>
  <si>
    <t>116 LAUGHLIN AVE</t>
  </si>
  <si>
    <t xml:space="preserve">TROETSCHEL JUDI </t>
  </si>
  <si>
    <t>130 LAUGHLIN AVE</t>
  </si>
  <si>
    <t>RUSSELL MICHAEL D &amp; KELLY ANN (W)</t>
  </si>
  <si>
    <t>142 LAUGHLIN AVE</t>
  </si>
  <si>
    <t>HARVEY JENNIFER M &amp; LLOYD A (H)</t>
  </si>
  <si>
    <t>211 LINNVIEW AVE</t>
  </si>
  <si>
    <t>HARVEY JENNIFER M &amp; L</t>
  </si>
  <si>
    <t xml:space="preserve">SCHUCHERT NICHOLAS J                            </t>
  </si>
  <si>
    <t>203 LINNVIEW AVE</t>
  </si>
  <si>
    <t xml:space="preserve">NICHOLAS J SCHUCHERT </t>
  </si>
  <si>
    <t xml:space="preserve">ROCKEY REAL CAPITAL LLC </t>
  </si>
  <si>
    <t>145 LINNVIEW AVE</t>
  </si>
  <si>
    <t>ROCKEY REAL CAPITAL L</t>
  </si>
  <si>
    <t xml:space="preserve">CHEWE CHARITY </t>
  </si>
  <si>
    <t>142 LINNVIEW AVE</t>
  </si>
  <si>
    <t>CHEWE CHARITY</t>
  </si>
  <si>
    <t>ALOHA MILK COMPANY SPE1  LLC</t>
  </si>
  <si>
    <t>144 LINNVIEW AVE</t>
  </si>
  <si>
    <t>ALOHA MILK COMPANY SP</t>
  </si>
  <si>
    <t>MADRUGA AVE STE 200</t>
  </si>
  <si>
    <t>200 LINNVIEW AVE</t>
  </si>
  <si>
    <t xml:space="preserve">CHEYSSE INVESTMENTS LLC </t>
  </si>
  <si>
    <t>230 LINNVIEW AVE</t>
  </si>
  <si>
    <t>CHEYSSE INVESTMENTS L</t>
  </si>
  <si>
    <t>W HALLANDALE BEACH BLVD STE 10</t>
  </si>
  <si>
    <t>HALLANDALE</t>
  </si>
  <si>
    <t>0 LINNVIEW AVE</t>
  </si>
  <si>
    <t xml:space="preserve">UHLER DANIEL D </t>
  </si>
  <si>
    <t>316 LINNVIEW AVE</t>
  </si>
  <si>
    <t>COMMERCIAL EQUIPMENT  SERVICE INC</t>
  </si>
  <si>
    <t>318 LINNVIEW AVE</t>
  </si>
  <si>
    <t xml:space="preserve">COMMERCIAL EQUIPMENT </t>
  </si>
  <si>
    <t>328 LINNVIEW AVE</t>
  </si>
  <si>
    <t xml:space="preserve">MOHEMMED HALIMA HUSSAN </t>
  </si>
  <si>
    <t>333 BIRMINGHAM AVE</t>
  </si>
  <si>
    <t>MOHEMMED HALIMA HUSSA</t>
  </si>
  <si>
    <t xml:space="preserve">HOLZAPFEL JOSEPH P </t>
  </si>
  <si>
    <t>327 BIRMINGHAM AVE</t>
  </si>
  <si>
    <t>229 BIRMINGHAM AVE</t>
  </si>
  <si>
    <t xml:space="preserve">MAIER FREDERICK J                               </t>
  </si>
  <si>
    <t>SPENCER AVE APT 7</t>
  </si>
  <si>
    <t>135 BIRMINGHAM AVE</t>
  </si>
  <si>
    <t xml:space="preserve">SHAWKEY JOHN J </t>
  </si>
  <si>
    <t>136 BIRMINGHAM AVE</t>
  </si>
  <si>
    <t xml:space="preserve">LORENZ SUSAN </t>
  </si>
  <si>
    <t>208 BIRMINGHAM AVE</t>
  </si>
  <si>
    <t xml:space="preserve">JENKINS MARSHALL </t>
  </si>
  <si>
    <t>218 BIRMINGHAM AVE</t>
  </si>
  <si>
    <t>CAMP PATRICIA &amp; RUSSEL (H)</t>
  </si>
  <si>
    <t>232 BIRMINGHAM AVE</t>
  </si>
  <si>
    <t xml:space="preserve">WOLAK JENIFER I </t>
  </si>
  <si>
    <t>1503 TRANSVERSE AVE</t>
  </si>
  <si>
    <t>221 THE BOULEVARD</t>
  </si>
  <si>
    <t>RYAN KENNETH R &amp; PATRICIA A (W)</t>
  </si>
  <si>
    <t>0 DENISE ST</t>
  </si>
  <si>
    <t>RYAN KENNETH R &amp; PATR</t>
  </si>
  <si>
    <t>GOLDBACH KENNETH J &amp; ELLA MAE</t>
  </si>
  <si>
    <t>1401 DENISE ST</t>
  </si>
  <si>
    <t>DENISE ST</t>
  </si>
  <si>
    <t xml:space="preserve">COOK SUSAN G </t>
  </si>
  <si>
    <t>1303 DENISE ST</t>
  </si>
  <si>
    <t xml:space="preserve">BELLON FRED </t>
  </si>
  <si>
    <t>1400 NOBLES LN</t>
  </si>
  <si>
    <t>GLINSKI RICHARD F &amp; MARY ANN (W)</t>
  </si>
  <si>
    <t>ROUNDTOP DR</t>
  </si>
  <si>
    <t>PATTERSON KYLIE M KATHY A MOSCHEL</t>
  </si>
  <si>
    <t>1408 NOBLES LN</t>
  </si>
  <si>
    <t xml:space="preserve">HERRELL AARON J </t>
  </si>
  <si>
    <t>1419 NOBLES LN</t>
  </si>
  <si>
    <t xml:space="preserve">FLEET RUSSELL </t>
  </si>
  <si>
    <t>1415 NOBLES LN</t>
  </si>
  <si>
    <t>RUSSELL D FLEET</t>
  </si>
  <si>
    <t>NAPOLEAN ST</t>
  </si>
  <si>
    <t xml:space="preserve">MCCRANOR JAMES </t>
  </si>
  <si>
    <t>1317 NOBLES LN</t>
  </si>
  <si>
    <t>MCCRANOR JAMES</t>
  </si>
  <si>
    <t>SYLVAN ACRES DR</t>
  </si>
  <si>
    <t xml:space="preserve">TICHANSKY MARY </t>
  </si>
  <si>
    <t>50 GLADE ST</t>
  </si>
  <si>
    <t>GLADE ST</t>
  </si>
  <si>
    <t>BALZER WILLIAM J &amp; ALANA BALZER</t>
  </si>
  <si>
    <t>0 GLADE ST</t>
  </si>
  <si>
    <t>BALZER WILLIAM J &amp; AL</t>
  </si>
  <si>
    <t>BROOKSIDE DR</t>
  </si>
  <si>
    <t xml:space="preserve">THOMPSON JOSHUA U </t>
  </si>
  <si>
    <t>1 ELLENDELL ST</t>
  </si>
  <si>
    <t xml:space="preserve">BIROSCAK JEREMY </t>
  </si>
  <si>
    <t>1610 OAKHURST ST</t>
  </si>
  <si>
    <t>OAKHURST ST</t>
  </si>
  <si>
    <t xml:space="preserve">REINHARDT JOHN F                                </t>
  </si>
  <si>
    <t>1602 OAKHURST ST</t>
  </si>
  <si>
    <t>NANCY REINHARDT NEILL</t>
  </si>
  <si>
    <t>YALE DR</t>
  </si>
  <si>
    <t>WARNOCK WILLIAM G III &amp; CANDACE SUE (W)</t>
  </si>
  <si>
    <t>1518 BROWNSVILLE RD</t>
  </si>
  <si>
    <t>WARNOCK WILLIAM G III</t>
  </si>
  <si>
    <t>BROWNSVILLE RD RD</t>
  </si>
  <si>
    <t>WARNOCK RICHARD M &amp; MARCION A (W)</t>
  </si>
  <si>
    <t>106 W MEYERS ST</t>
  </si>
  <si>
    <t>WARNOCK RICHARD M &amp; M</t>
  </si>
  <si>
    <t>W MEYERS ST</t>
  </si>
  <si>
    <t xml:space="preserve">PALMER TINA FRANKLIN </t>
  </si>
  <si>
    <t>108 W MEYERS ST</t>
  </si>
  <si>
    <t>W MEYERS AVE</t>
  </si>
  <si>
    <t xml:space="preserve">SAVAGE WALTER JR </t>
  </si>
  <si>
    <t>1617 WESTMONT AVE</t>
  </si>
  <si>
    <t>E BRIGHTVIEW AVE</t>
  </si>
  <si>
    <t xml:space="preserve">POWELL SUZANNE                                  </t>
  </si>
  <si>
    <t>1615 WESTMONT AVE</t>
  </si>
  <si>
    <t xml:space="preserve">CHAFFIN ROBERT A </t>
  </si>
  <si>
    <t>1611 BROWNSVILLE RD</t>
  </si>
  <si>
    <t xml:space="preserve">25 CARRICK AVE PROJECT </t>
  </si>
  <si>
    <t>1529 BROWNSVILLE RD</t>
  </si>
  <si>
    <t>25 CARRICK AVE PROJEC</t>
  </si>
  <si>
    <t>SCOTT DONALD WILLIAM &amp; SANDRA (W)</t>
  </si>
  <si>
    <t>1416 AMANDA ST</t>
  </si>
  <si>
    <t xml:space="preserve">DAYTON DOROTHY M </t>
  </si>
  <si>
    <t>1616 CONCORDIA ST</t>
  </si>
  <si>
    <t>CONCORDIA ST</t>
  </si>
  <si>
    <t>1625 CONCORDIA ST</t>
  </si>
  <si>
    <t>CHONKO PATRICIA A &amp; DANIEL ADAM CHONKO</t>
  </si>
  <si>
    <t>1621 CONCORDIA ST</t>
  </si>
  <si>
    <t>LINK MARTIN J JR &amp; MAUREEN E (W)</t>
  </si>
  <si>
    <t>111 E MEYERS ST</t>
  </si>
  <si>
    <t>E MEYERS ST</t>
  </si>
  <si>
    <t xml:space="preserve">ACEVES JOSEPH </t>
  </si>
  <si>
    <t>105 E MEYERS ST</t>
  </si>
  <si>
    <t>KING PL</t>
  </si>
  <si>
    <t>FULLERTON</t>
  </si>
  <si>
    <t xml:space="preserve">HENZEL NATHAN </t>
  </si>
  <si>
    <t>1525 AMANDA ST</t>
  </si>
  <si>
    <t xml:space="preserve">MELLO SOLEDAD                                   </t>
  </si>
  <si>
    <t>1523 AMANDA ST</t>
  </si>
  <si>
    <t xml:space="preserve">PINELL VICTOR </t>
  </si>
  <si>
    <t>110 THE BOULEVARD</t>
  </si>
  <si>
    <t>THE BLVD</t>
  </si>
  <si>
    <t xml:space="preserve">NEWLAND DAVID L </t>
  </si>
  <si>
    <t>135 THE BOULEVARD</t>
  </si>
  <si>
    <t>THE BOULEVARD</t>
  </si>
  <si>
    <t>CLARK MALLORY &amp; MELANIE DARRENKAMP (W)</t>
  </si>
  <si>
    <t>248 THE BOULEVARD</t>
  </si>
  <si>
    <t>231 E MEYERS ST</t>
  </si>
  <si>
    <t>229 E MEYERS ST</t>
  </si>
  <si>
    <t>227 E MEYERS ST</t>
  </si>
  <si>
    <t xml:space="preserve">PREUS CHRISTIAN </t>
  </si>
  <si>
    <t>211 E MEYERS ST</t>
  </si>
  <si>
    <t>BRENNAN MATILDA C &amp; RICHARD E BRENNAN</t>
  </si>
  <si>
    <t>130 E MEYERS ST</t>
  </si>
  <si>
    <t xml:space="preserve">ROGERS MARLENE </t>
  </si>
  <si>
    <t>204 E MEYERS ST</t>
  </si>
  <si>
    <t>230 E MEYERS ST</t>
  </si>
  <si>
    <t xml:space="preserve">LEE CARTER J </t>
  </si>
  <si>
    <t>300 E MEYERS ST</t>
  </si>
  <si>
    <t>LEE CARTER J</t>
  </si>
  <si>
    <t>304 E MEYERS ST</t>
  </si>
  <si>
    <t>PO BOX 374</t>
  </si>
  <si>
    <t>OBRANOVICH THOMAS  &amp; CHRISTINE A (W)</t>
  </si>
  <si>
    <t>233 ALRIES ST</t>
  </si>
  <si>
    <t>ALRIES ST</t>
  </si>
  <si>
    <t>FUENMAYOR ERIANNYS DE  LOS ANGELES FERRER</t>
  </si>
  <si>
    <t>201 ALRIES ST</t>
  </si>
  <si>
    <t>GONZALEZ MICHELE A DONNA M GONZALEZ</t>
  </si>
  <si>
    <t>1613 LEOLYN ST</t>
  </si>
  <si>
    <t>206 ALRIES ST</t>
  </si>
  <si>
    <t>JRF INVESTMENTS INC</t>
  </si>
  <si>
    <t>CRUZ JOSE DE JESUS  BERUMEN</t>
  </si>
  <si>
    <t>218 ALRIES ST</t>
  </si>
  <si>
    <t>CRUZ JOSE DE JESUS BE</t>
  </si>
  <si>
    <t>FUNK FRANCIS J &amp; MARIAN M</t>
  </si>
  <si>
    <t>220 ALRIES ST</t>
  </si>
  <si>
    <t>224 ALRIES ST</t>
  </si>
  <si>
    <t xml:space="preserve">YZARRARAZ RITO SALVADOR </t>
  </si>
  <si>
    <t>0 ALRIES ST</t>
  </si>
  <si>
    <t>YZARRARAZ RITO SALVAD</t>
  </si>
  <si>
    <t>BECKNER ST</t>
  </si>
  <si>
    <t>LA PUENTE</t>
  </si>
  <si>
    <t xml:space="preserve">HAYWARD JACKIE MAURICE                          </t>
  </si>
  <si>
    <t>300 ALRIES ST</t>
  </si>
  <si>
    <t>HAYWARD JACKIE MAURIC</t>
  </si>
  <si>
    <t>238 E CHERRYHILL ST</t>
  </si>
  <si>
    <t>BAILEY AVE UNIT 212</t>
  </si>
  <si>
    <t xml:space="preserve">GILBOY CHRISTINE L </t>
  </si>
  <si>
    <t>1530 NOBLES LN</t>
  </si>
  <si>
    <t>NOBLES LANE</t>
  </si>
  <si>
    <t xml:space="preserve">JENKINS HALEY J </t>
  </si>
  <si>
    <t>1425 NOBLES LN</t>
  </si>
  <si>
    <t>SPRING HILL LN</t>
  </si>
  <si>
    <t xml:space="preserve">GRESS GRACE A </t>
  </si>
  <si>
    <t>1517 CLOVERDALE ST</t>
  </si>
  <si>
    <t>CLOVERDALE ST</t>
  </si>
  <si>
    <t xml:space="preserve">CITYLIFE SOUTH 2 LLC </t>
  </si>
  <si>
    <t>1514 CELTIC ST</t>
  </si>
  <si>
    <t xml:space="preserve">KASS TIMOTHY J </t>
  </si>
  <si>
    <t>0 CELTIC ST</t>
  </si>
  <si>
    <t>CELTIC ST</t>
  </si>
  <si>
    <t>CRONAUER TAYLOR &amp; GARRETT</t>
  </si>
  <si>
    <t>1531 CELTIC ST</t>
  </si>
  <si>
    <t>TAYLOR &amp; GARRETT CRON</t>
  </si>
  <si>
    <t xml:space="preserve">JAMES CHARLES HUTTON JR </t>
  </si>
  <si>
    <t>240 MOSGROVE ST</t>
  </si>
  <si>
    <t xml:space="preserve">JAMES CHARLES HUTTON </t>
  </si>
  <si>
    <t>MOSGROVE ST</t>
  </si>
  <si>
    <t>416 COLERAIN ST</t>
  </si>
  <si>
    <t>MONDINE SEIDEL PATRICIA &amp; JEFFREY J (H)</t>
  </si>
  <si>
    <t>0 PLATEAU ST</t>
  </si>
  <si>
    <t>209 W CHERRYHILL ST</t>
  </si>
  <si>
    <t>ADMIRAL CAPITAL  MANAGEMENT LLC</t>
  </si>
  <si>
    <t>1652 MOUNT JOSEPH ST</t>
  </si>
  <si>
    <t>ADMIRAL CAPITAL MANAG</t>
  </si>
  <si>
    <t>COPELAND WAY</t>
  </si>
  <si>
    <t xml:space="preserve">JACOB DONALD </t>
  </si>
  <si>
    <t>0 MOUNT JOSEPH ST</t>
  </si>
  <si>
    <t>1646 MOUNT JOSEPH ST</t>
  </si>
  <si>
    <t xml:space="preserve">RETHAGE DAVID J </t>
  </si>
  <si>
    <t>1638 MOUNT JOSEPH ST</t>
  </si>
  <si>
    <t>MOUNT JOSEPH ST</t>
  </si>
  <si>
    <t>1616 OAKHURST ST</t>
  </si>
  <si>
    <t xml:space="preserve">SNYDER JENNIE K </t>
  </si>
  <si>
    <t>1619 MOUNT JOSEPH ST</t>
  </si>
  <si>
    <t xml:space="preserve">STEWARD CHERYL E </t>
  </si>
  <si>
    <t>1718 MOUNT JOSEPH ST</t>
  </si>
  <si>
    <t xml:space="preserve">ONE CITY DEVELOPMENT LLC </t>
  </si>
  <si>
    <t>1724 MOUNT JOSEPH ST</t>
  </si>
  <si>
    <t xml:space="preserve">ONE CITY DEVELOPMENT </t>
  </si>
  <si>
    <t>1715 MOUNT JOSEPH ST</t>
  </si>
  <si>
    <t>REDSTAR REAL ESTATE  PROPERTIES LLC</t>
  </si>
  <si>
    <t>1649 MOUNT JOSEPH ST</t>
  </si>
  <si>
    <t>REDSTAR REAL ESTATE P</t>
  </si>
  <si>
    <t xml:space="preserve">GROSS DONALD P </t>
  </si>
  <si>
    <t>1634 OAKHURST ST</t>
  </si>
  <si>
    <t>1644 OAKHURST ST</t>
  </si>
  <si>
    <t xml:space="preserve">MC BRIDE JAMES </t>
  </si>
  <si>
    <t>108 W CHERRYHILL ST</t>
  </si>
  <si>
    <t>W CHERRYHILL ST</t>
  </si>
  <si>
    <t>112 THIELMAN AVE</t>
  </si>
  <si>
    <t>N NEVILLE ST UNIT 505</t>
  </si>
  <si>
    <t>1642 WESTMONT AVE</t>
  </si>
  <si>
    <t xml:space="preserve">MONAGHAN CHANTELLE </t>
  </si>
  <si>
    <t>120 NEWETT ST</t>
  </si>
  <si>
    <t>CATHELL RD</t>
  </si>
  <si>
    <t>WARNOCK WILLIAM &amp; CANDACE (W)</t>
  </si>
  <si>
    <t>112 NEWETT ST</t>
  </si>
  <si>
    <t>WARNOCK WILLIAM &amp; CAN</t>
  </si>
  <si>
    <t>1800 WESTMONT AVE</t>
  </si>
  <si>
    <t xml:space="preserve">CARETTI JOHN F &amp; SUSAN PASHEL CARETTI (W </t>
  </si>
  <si>
    <t>22 NEWETT ST</t>
  </si>
  <si>
    <t>CARETTI JOHN F &amp; SUSA</t>
  </si>
  <si>
    <t xml:space="preserve">BOSEETTI MATTHEW A </t>
  </si>
  <si>
    <t>1620 BROWNSVILLE RD</t>
  </si>
  <si>
    <t>AVON PL</t>
  </si>
  <si>
    <t xml:space="preserve">5 STARS INVESTMENTS LLC </t>
  </si>
  <si>
    <t>1628 BROWNSVILLE RD</t>
  </si>
  <si>
    <t>5 STARS INVESTMENTS L</t>
  </si>
  <si>
    <t>BROWNVILLE RD</t>
  </si>
  <si>
    <t xml:space="preserve">5 STAR INVESTMENT LLC </t>
  </si>
  <si>
    <t>5 STAR INVESTMENT LLC</t>
  </si>
  <si>
    <t>1800 BROWNSVILLE RD</t>
  </si>
  <si>
    <t>KURUC MICHAEL J &amp; AMY J (W)</t>
  </si>
  <si>
    <t>1806 BROWNSVILLE RD</t>
  </si>
  <si>
    <t>KURUC MICHAEL J &amp; AMY</t>
  </si>
  <si>
    <t xml:space="preserve">1810 BROWNSVILLE LLC </t>
  </si>
  <si>
    <t>1810 BROWNSVILLE RD</t>
  </si>
  <si>
    <t>1810 BROWNSVILLE LLC</t>
  </si>
  <si>
    <t>ANDROS FAMILY  IRREVOCABLE TRUST (THE)</t>
  </si>
  <si>
    <t>100 E CHERRYHILL ST</t>
  </si>
  <si>
    <t>GARBETT ST E</t>
  </si>
  <si>
    <t xml:space="preserve">COCHRANE WILLIAM COX </t>
  </si>
  <si>
    <t>1631 BROWNSVILLE RD</t>
  </si>
  <si>
    <t xml:space="preserve">SUSAN DONALD F                                  </t>
  </si>
  <si>
    <t>1623 BROWNSVILLE RD</t>
  </si>
  <si>
    <t>SUSAN DONALD F</t>
  </si>
  <si>
    <t>FRIEND JOHN T &amp; MICHELLE L MAXWELL</t>
  </si>
  <si>
    <t>1626 AMANDA ST</t>
  </si>
  <si>
    <t xml:space="preserve">KOZLOWSKI MICHAEL J </t>
  </si>
  <si>
    <t>1810 CONCORDIA ST</t>
  </si>
  <si>
    <t>KOZLOWSKI MICHAEL J</t>
  </si>
  <si>
    <t xml:space="preserve">SCHOOL PROPERTIES LLC </t>
  </si>
  <si>
    <t>0 CONCORDIA ST</t>
  </si>
  <si>
    <t>GRANT ST STE 2330</t>
  </si>
  <si>
    <t>1725 CONCORDIA ST</t>
  </si>
  <si>
    <t xml:space="preserve">SILL TYLER A </t>
  </si>
  <si>
    <t>107 MEREDITH ST</t>
  </si>
  <si>
    <t>HEINECKE KENNETH A &amp; COLLEEN M (W)</t>
  </si>
  <si>
    <t>1804 LEOLYN ST</t>
  </si>
  <si>
    <t xml:space="preserve">BERUMEN GABRIEL </t>
  </si>
  <si>
    <t>1736 LEOLYN ST</t>
  </si>
  <si>
    <t>1718 LEOLYN ST</t>
  </si>
  <si>
    <t xml:space="preserve">VALENTINE JAMES </t>
  </si>
  <si>
    <t>1716 LEOLYN ST</t>
  </si>
  <si>
    <t>0 LEOLYN ST</t>
  </si>
  <si>
    <t xml:space="preserve">CAMPBELL ANTHONY J </t>
  </si>
  <si>
    <t>1701 LEOLYN ST</t>
  </si>
  <si>
    <t>EL NORTE PKWY</t>
  </si>
  <si>
    <t>ESCONDIDO</t>
  </si>
  <si>
    <t>1705 LEOLYN ST</t>
  </si>
  <si>
    <t>RAMSEY MARK E &amp; HEATHER A BRENNAN</t>
  </si>
  <si>
    <t>215 SPRUCEWOOD ST</t>
  </si>
  <si>
    <t>MISKIEWICZ MARY  &amp; LEONARD A MISKIEWICZ</t>
  </si>
  <si>
    <t>0 SPRUCEWOOD ST</t>
  </si>
  <si>
    <t>BYKOWSKI PATRICK J &amp; CECILIA A ALKO</t>
  </si>
  <si>
    <t>KWEDER CHARLES J &amp; MARY E</t>
  </si>
  <si>
    <t>219 MEREDITH ST</t>
  </si>
  <si>
    <t xml:space="preserve">LUCAS JON </t>
  </si>
  <si>
    <t>207 POPLARGROVE ST</t>
  </si>
  <si>
    <t>KETTER HARRY T JR &amp; TERI C KETTER (W)</t>
  </si>
  <si>
    <t>231 POPLARGROVE ST</t>
  </si>
  <si>
    <t>STADLEMAN LEO III &amp; KIMBERLY (W)</t>
  </si>
  <si>
    <t>JUST POUR IT LLC</t>
  </si>
  <si>
    <t xml:space="preserve">PICKERING RICHARD </t>
  </si>
  <si>
    <t>1801 SAW MILL RUN BLVD</t>
  </si>
  <si>
    <t xml:space="preserve">THOMPSON KEVIN R </t>
  </si>
  <si>
    <t>1725 PARKFIELD ST</t>
  </si>
  <si>
    <t>PENN ST</t>
  </si>
  <si>
    <t xml:space="preserve">SOLID GROUND PROPERTIES  LLC                     </t>
  </si>
  <si>
    <t>1721 PARKFIELD ST</t>
  </si>
  <si>
    <t>THOMPSON KEVIN R</t>
  </si>
  <si>
    <t>PARKFIELD ST</t>
  </si>
  <si>
    <t xml:space="preserve">KWIATKOSKI JOHN M </t>
  </si>
  <si>
    <t>1709 NOBLES LN</t>
  </si>
  <si>
    <t>LUTZ LN</t>
  </si>
  <si>
    <t xml:space="preserve">WIELOCK WILLIAM R </t>
  </si>
  <si>
    <t>1925 FAIRLAND ST</t>
  </si>
  <si>
    <t>DAVIS THOMAS E JR &amp; DEBORAH (W)</t>
  </si>
  <si>
    <t>1902 FAIRLAND ST</t>
  </si>
  <si>
    <t>342 RIOTA WAY</t>
  </si>
  <si>
    <t xml:space="preserve">ROSPORSKI GLENN T </t>
  </si>
  <si>
    <t>346 PARKFIELD ST</t>
  </si>
  <si>
    <t>SARDIS RD</t>
  </si>
  <si>
    <t>BURESCH DAVID C &amp; KATHLEEN (W)</t>
  </si>
  <si>
    <t>366 PARKFIELD ST</t>
  </si>
  <si>
    <t>338 PARKFIELD ST</t>
  </si>
  <si>
    <t>0 PARKFIELD ST</t>
  </si>
  <si>
    <t xml:space="preserve">MARCUS STANLEY M </t>
  </si>
  <si>
    <t>356 COPPERFIELD AVE</t>
  </si>
  <si>
    <t>MARCUS STANLEY M</t>
  </si>
  <si>
    <t>COPPERFIELD AVE</t>
  </si>
  <si>
    <t>BURESCH CHARLES  &amp; MABEL C (W)</t>
  </si>
  <si>
    <t>364 COPPERFIELD AVE</t>
  </si>
  <si>
    <t>BURESCH CHARLES  &amp; MA</t>
  </si>
  <si>
    <t>367 PARKFIELD ST</t>
  </si>
  <si>
    <t xml:space="preserve">LUCASPROP HOLDINGS LLC </t>
  </si>
  <si>
    <t>0 FAIRLAND ST</t>
  </si>
  <si>
    <t>LUCASPROP HOLDINGS LL</t>
  </si>
  <si>
    <t>LINDEN RD</t>
  </si>
  <si>
    <t>1913 FAIRLAND ST</t>
  </si>
  <si>
    <t xml:space="preserve">SCHMITT NICHOLAS  R </t>
  </si>
  <si>
    <t>377 COPPERFIELD AVE</t>
  </si>
  <si>
    <t xml:space="preserve">YOGMAS JENNIFER </t>
  </si>
  <si>
    <t>347 COPPERFIELD AVE</t>
  </si>
  <si>
    <t xml:space="preserve">STOKES SOLOMON  &amp; ANNIE </t>
  </si>
  <si>
    <t xml:space="preserve">DAVIS WILLIAM  &amp; LAVERNE </t>
  </si>
  <si>
    <t>323 PARKFIELD ST</t>
  </si>
  <si>
    <t>KILDARE JAMES C &amp; CATHERINE C</t>
  </si>
  <si>
    <t>306 PARKFIELD ST</t>
  </si>
  <si>
    <t xml:space="preserve">STEEL LEAF HOLDINGS LLC </t>
  </si>
  <si>
    <t>320 PARKFIELD ST</t>
  </si>
  <si>
    <t>STEEL LEAF HOLDINGS L</t>
  </si>
  <si>
    <t>EASTPOINT DR</t>
  </si>
  <si>
    <t>IMAGINE CAPITAL  INVESTMENTS LLC</t>
  </si>
  <si>
    <t>1807 PLATEAU ST</t>
  </si>
  <si>
    <t>IMAGINE CAPITAL INVES</t>
  </si>
  <si>
    <t>PO BOX 98013</t>
  </si>
  <si>
    <t xml:space="preserve">ALZAMILI HUSSEIN G </t>
  </si>
  <si>
    <t>221 NEWETT ST</t>
  </si>
  <si>
    <t xml:space="preserve">GOODWORTH THOMAS T </t>
  </si>
  <si>
    <t>MONTROSE PL</t>
  </si>
  <si>
    <t>PORT ANGELES</t>
  </si>
  <si>
    <t xml:space="preserve">LIT CLUB LLC </t>
  </si>
  <si>
    <t>210 COPPERFIELD AVE</t>
  </si>
  <si>
    <t xml:space="preserve">MCCLELLAND GARY D </t>
  </si>
  <si>
    <t>204 COPPERFIELD AVE</t>
  </si>
  <si>
    <t>EBELING CORY &amp; JILL A (W)</t>
  </si>
  <si>
    <t>1812 MOUNT JOSEPH ST</t>
  </si>
  <si>
    <t>EBELING CORY &amp; JILL A</t>
  </si>
  <si>
    <t>MT JOSEPH ST</t>
  </si>
  <si>
    <t xml:space="preserve">LUTZ CHRISTINA L </t>
  </si>
  <si>
    <t>1802 MOUNT JOSEPH ST</t>
  </si>
  <si>
    <t xml:space="preserve">H&amp;T REAL ESTATE LLC </t>
  </si>
  <si>
    <t>119 NEWETT ST</t>
  </si>
  <si>
    <t>H&amp;T REAL ESTATE LLC</t>
  </si>
  <si>
    <t xml:space="preserve">WRONIAK NICHOLAS </t>
  </si>
  <si>
    <t>121 NEWETT ST</t>
  </si>
  <si>
    <t xml:space="preserve">NGUYEN TUYEN </t>
  </si>
  <si>
    <t>CORBET ST</t>
  </si>
  <si>
    <t xml:space="preserve">KIRK IRENE                                      </t>
  </si>
  <si>
    <t>109 NEWETT ST</t>
  </si>
  <si>
    <t xml:space="preserve">WISNIEWSKI JANICE M                             </t>
  </si>
  <si>
    <t>1938 WESTMONT AVE</t>
  </si>
  <si>
    <t>LEJEUNE JOSEPH C &amp; PAULINE A (W)</t>
  </si>
  <si>
    <t>1922 WESTMONT AVE</t>
  </si>
  <si>
    <t>LEJEUNE JOSEPH C &amp; PA</t>
  </si>
  <si>
    <t xml:space="preserve">SHOOK MELONY </t>
  </si>
  <si>
    <t>1920 WESTMONT AVE</t>
  </si>
  <si>
    <t xml:space="preserve">WARNOCK WILLIAM G </t>
  </si>
  <si>
    <t>1916 WESTMONT AVE</t>
  </si>
  <si>
    <t xml:space="preserve">SIMMONS DIEDRA LYNN </t>
  </si>
  <si>
    <t>1912 WESTMONT AVE</t>
  </si>
  <si>
    <t xml:space="preserve">DIDIANO MARCELLA M </t>
  </si>
  <si>
    <t>1822 WESTMONT AVE</t>
  </si>
  <si>
    <t xml:space="preserve">STEIN SUZANN N                                  </t>
  </si>
  <si>
    <t>1812 WESTMONT AVE</t>
  </si>
  <si>
    <t>HANNAN MICHAEL &amp; SHANNON (W)</t>
  </si>
  <si>
    <t>1810 WESTMONT AVE</t>
  </si>
  <si>
    <t>STERLING BANK &amp; TRUST</t>
  </si>
  <si>
    <t>TOWN SQ FL 19</t>
  </si>
  <si>
    <t>PLATINUM HOMES REAL  ESTATE LLC</t>
  </si>
  <si>
    <t>1925 WESTMONT AVE</t>
  </si>
  <si>
    <t>PLATINUM HOMES REAL E</t>
  </si>
  <si>
    <t>HACIENDA DR</t>
  </si>
  <si>
    <t xml:space="preserve">LUONG TAM </t>
  </si>
  <si>
    <t>1933 WESTMONT AVE</t>
  </si>
  <si>
    <t xml:space="preserve">BUILD A NEW LIFE </t>
  </si>
  <si>
    <t>1935 WESTMONT AVE</t>
  </si>
  <si>
    <t>WILNER DR</t>
  </si>
  <si>
    <t>0 BROWNSVILLE RD</t>
  </si>
  <si>
    <t>1824 BROWNSVILLE RD</t>
  </si>
  <si>
    <t>1822 BROWNSVILLE RD</t>
  </si>
  <si>
    <t>CRAVEN ASHLEY J</t>
  </si>
  <si>
    <t>1820 BROWNSVILLE RD</t>
  </si>
  <si>
    <t xml:space="preserve">HALL MICHAEL S </t>
  </si>
  <si>
    <t>1818 BROWNSVILLE RD</t>
  </si>
  <si>
    <t>1816 BROWNSVILLE RD</t>
  </si>
  <si>
    <t xml:space="preserve">WOLFSON ROBERT J </t>
  </si>
  <si>
    <t>1814 BROWNSVILLE RD</t>
  </si>
  <si>
    <t>ESTHERS  SWEET SHOP</t>
  </si>
  <si>
    <t>BOWNSVILLE RD</t>
  </si>
  <si>
    <t xml:space="preserve">BEES REAL ESTATE LP </t>
  </si>
  <si>
    <t>1812 BROWNSVILLE RD</t>
  </si>
  <si>
    <t>ASBURY KENNETH E &amp; MARGARET (W)</t>
  </si>
  <si>
    <t>1817 CONCORDIA ST</t>
  </si>
  <si>
    <t>HARRISON JAMES M &amp; VICKI L (W)</t>
  </si>
  <si>
    <t>119 POPLARGROVE ST</t>
  </si>
  <si>
    <t xml:space="preserve">BROWN RAISHA </t>
  </si>
  <si>
    <t>121 POPLARGROVE ST</t>
  </si>
  <si>
    <t>STRESCHENKOFF JEFFREY W  &amp; LINDA R (W)</t>
  </si>
  <si>
    <t>128 POPLARGROVE ST</t>
  </si>
  <si>
    <t>STRESCHENKOFF JEFFREY</t>
  </si>
  <si>
    <t>106 POPLARGROVE ST</t>
  </si>
  <si>
    <t xml:space="preserve">DEIGAN MARK J &amp; JOAN (W) </t>
  </si>
  <si>
    <t>107 E AGNEW AVE</t>
  </si>
  <si>
    <t xml:space="preserve">DEIGAN MARK J &amp; JOAN </t>
  </si>
  <si>
    <t xml:space="preserve">LINZOAIN PROPERTY &amp; MANAGEMENT LP / PABLO M </t>
  </si>
  <si>
    <t>123 E AGNEW AVE</t>
  </si>
  <si>
    <t>LINZOAIN PROPERTY &amp; M</t>
  </si>
  <si>
    <t xml:space="preserve">KIRSCH MARTIN G </t>
  </si>
  <si>
    <t>125 E AGNEW AVE</t>
  </si>
  <si>
    <t xml:space="preserve">KIRSCH MARY ANN </t>
  </si>
  <si>
    <t>127 E AGNEW AVE</t>
  </si>
  <si>
    <t>KIRSCH MARY ANN</t>
  </si>
  <si>
    <t xml:space="preserve">MCINTYRE MAUREEN C </t>
  </si>
  <si>
    <t>129 E AGNEW AVE</t>
  </si>
  <si>
    <t xml:space="preserve">STROZ JOSEPH M </t>
  </si>
  <si>
    <t>223 E AGNEW AVE</t>
  </si>
  <si>
    <t>STROZ JOSEPH M</t>
  </si>
  <si>
    <t xml:space="preserve">NEWCASTLE PROPERTY  GROUP LLC               </t>
  </si>
  <si>
    <t>239 E AGNEW AVE</t>
  </si>
  <si>
    <t>NEWCASTLE PROPERTY GR</t>
  </si>
  <si>
    <t>CANOGA AVE STE 200</t>
  </si>
  <si>
    <t xml:space="preserve">SINGHA ESTHER                                   </t>
  </si>
  <si>
    <t>214 E AGNEW AVE</t>
  </si>
  <si>
    <t>SINGHA ESTHER</t>
  </si>
  <si>
    <t>HURON ST</t>
  </si>
  <si>
    <t>INDUSTRY</t>
  </si>
  <si>
    <t xml:space="preserve">FRENKEL RE LLC </t>
  </si>
  <si>
    <t>202 E AGNEW AVE</t>
  </si>
  <si>
    <t>FRENKEL RE LLC</t>
  </si>
  <si>
    <t>S HIGHLAND AVE UNIT 18</t>
  </si>
  <si>
    <t>FREUND DAVID W &amp; LORI J (W)</t>
  </si>
  <si>
    <t>132 E AGNEW AVE</t>
  </si>
  <si>
    <t>130 E AGNEW AVE</t>
  </si>
  <si>
    <t xml:space="preserve">BROOM JASON </t>
  </si>
  <si>
    <t>106 E AGNEW AVE</t>
  </si>
  <si>
    <t>102 E AGNEW AVE</t>
  </si>
  <si>
    <t>SUTTON HELEN A &amp; PAUL W (H)</t>
  </si>
  <si>
    <t>100 E AGNEW AVE</t>
  </si>
  <si>
    <t xml:space="preserve">R &amp; T INVESTMENTS LLC </t>
  </si>
  <si>
    <t>2016 BROWNSVILLE RD</t>
  </si>
  <si>
    <t>THORPE ST</t>
  </si>
  <si>
    <t xml:space="preserve">ABRAMOVITZ DENISE                               </t>
  </si>
  <si>
    <t>108 HORNADAY RD</t>
  </si>
  <si>
    <t xml:space="preserve">ESTATE OF JOHN L STARK  JR                      </t>
  </si>
  <si>
    <t>120 HORNADAY RD</t>
  </si>
  <si>
    <t>ESTATE OF JOHN L STAR</t>
  </si>
  <si>
    <t>HORNADAY RD</t>
  </si>
  <si>
    <t xml:space="preserve">INVESTIGATING GP LLC </t>
  </si>
  <si>
    <t>2067 REHMAN ST</t>
  </si>
  <si>
    <t>INVESTIGATING GP LLC</t>
  </si>
  <si>
    <t xml:space="preserve">INVESTCAPITAL GP LLC </t>
  </si>
  <si>
    <t>0 REHMAN ST</t>
  </si>
  <si>
    <t>INVESTCAPITAL GP LLC</t>
  </si>
  <si>
    <t xml:space="preserve">MEADOR BRIAN </t>
  </si>
  <si>
    <t>10 HOPELAND ST</t>
  </si>
  <si>
    <t>MEADOR BRIAN</t>
  </si>
  <si>
    <t>MAZZOCCO ANTHONY N &amp; DEBRA A (W)</t>
  </si>
  <si>
    <t>0 BRINWOOD AVE</t>
  </si>
  <si>
    <t>KIRAY SYLVIA I &amp; CYNTHIA A WARREN</t>
  </si>
  <si>
    <t>554 BRINWOOD AVE</t>
  </si>
  <si>
    <t>BERUMEN-GARCIA  FRANCISCO J</t>
  </si>
  <si>
    <t>503 KIRK AVE</t>
  </si>
  <si>
    <t>BERUMEN-GARCIA FRANCI</t>
  </si>
  <si>
    <t>BERUMEN-GARCIA FRANCISO  J</t>
  </si>
  <si>
    <t>0 KIRK AVE</t>
  </si>
  <si>
    <t>511 KIRK AVE</t>
  </si>
  <si>
    <t xml:space="preserve">DAVIS DANIEL G </t>
  </si>
  <si>
    <t>431 SPENCER AVE</t>
  </si>
  <si>
    <t xml:space="preserve">HICKMAN MICHAEL E </t>
  </si>
  <si>
    <t>434 KIRK AVE</t>
  </si>
  <si>
    <t xml:space="preserve">LUBAWSKI ROSEANN M                              </t>
  </si>
  <si>
    <t>2699 CUSTER AVE</t>
  </si>
  <si>
    <t>CUSTER AVE</t>
  </si>
  <si>
    <t xml:space="preserve">MOSCATIELLO ANTONIO F </t>
  </si>
  <si>
    <t>241 BECKS RUN RD</t>
  </si>
  <si>
    <t>237 BECKS RUN RD</t>
  </si>
  <si>
    <t>233 BECKS RUN RD</t>
  </si>
  <si>
    <t>229 BECKS RUN RD</t>
  </si>
  <si>
    <t>219 BECKS RUN RD</t>
  </si>
  <si>
    <t>213 BECKS RUN RD</t>
  </si>
  <si>
    <t xml:space="preserve">FDM FAVORED MANAGEMENT  LLC                     </t>
  </si>
  <si>
    <t>71 BECKS RUN RD</t>
  </si>
  <si>
    <t>FDM FAVORED MANAGEMEN</t>
  </si>
  <si>
    <t>0 CARRICK AVE</t>
  </si>
  <si>
    <t>PIVIROTTO JAMES  &amp; MA</t>
  </si>
  <si>
    <t xml:space="preserve">BESSELMAN MARY </t>
  </si>
  <si>
    <t>0 EILER AVE</t>
  </si>
  <si>
    <t>DEFEO STEFANIE &amp; ANTHONY (H)</t>
  </si>
  <si>
    <t>119 CARRICK AVE</t>
  </si>
  <si>
    <t>DEFEO STEFANIE &amp; ANTH</t>
  </si>
  <si>
    <t xml:space="preserve">DOWLING MARTIN E JR </t>
  </si>
  <si>
    <t>122 CARRICK AVE</t>
  </si>
  <si>
    <t>DOWLING MARTIN E JR</t>
  </si>
  <si>
    <t>SCHERER GORDON D &amp; MARLENE J (W)</t>
  </si>
  <si>
    <t xml:space="preserve">BHATTARAI GANESH K &amp; </t>
  </si>
  <si>
    <t>2415 GLENROY ST</t>
  </si>
  <si>
    <t>LINTEL DR</t>
  </si>
  <si>
    <t xml:space="preserve">LEWIS SANDRA ANN </t>
  </si>
  <si>
    <t>2434 EILER AVE</t>
  </si>
  <si>
    <t>LEWIS SANDRA ANN</t>
  </si>
  <si>
    <t xml:space="preserve">SOBIESZCZYK CAROL A </t>
  </si>
  <si>
    <t>2403 EILER AVE</t>
  </si>
  <si>
    <t>EILER ST</t>
  </si>
  <si>
    <t>DIEHL WILLIAM  &amp; ANNA MAE</t>
  </si>
  <si>
    <t>0 RADIANT ST</t>
  </si>
  <si>
    <t>2438 DIEHL AVE</t>
  </si>
  <si>
    <t xml:space="preserve">CURRAN DAVID </t>
  </si>
  <si>
    <t>RADIANT ST</t>
  </si>
  <si>
    <t>2403 RADIANT ST</t>
  </si>
  <si>
    <t>ZIMMER EARL SYLVESTER &amp; DOLORES GRACE (W )</t>
  </si>
  <si>
    <t>0 RURALTON ST</t>
  </si>
  <si>
    <t>ZIMMER EARL SYLVESTER</t>
  </si>
  <si>
    <t>VALPARAISO ST E</t>
  </si>
  <si>
    <t>WESTVILLE</t>
  </si>
  <si>
    <t xml:space="preserve">MASSIE THERESA N </t>
  </si>
  <si>
    <t>2427 DIEHL AVE</t>
  </si>
  <si>
    <t>DIEHL AVE</t>
  </si>
  <si>
    <t xml:space="preserve">PRO AMBER JAYE </t>
  </si>
  <si>
    <t>2429 DIEHL AVE</t>
  </si>
  <si>
    <t xml:space="preserve">SABIN DEBORAH L </t>
  </si>
  <si>
    <t>2432 RURALTON ST</t>
  </si>
  <si>
    <t xml:space="preserve">2433 DIEHL AVENUE TRUST </t>
  </si>
  <si>
    <t>2433 DIEHL AVE</t>
  </si>
  <si>
    <t>MORTON DOUGLAS C &amp; DE</t>
  </si>
  <si>
    <t>EASTERN DR</t>
  </si>
  <si>
    <t>0 DIEHL AVE</t>
  </si>
  <si>
    <t>2433 DIEHL AVENUE TRU</t>
  </si>
  <si>
    <t xml:space="preserve">M O RENTALS INC </t>
  </si>
  <si>
    <t>0 HOPELAND ST</t>
  </si>
  <si>
    <t xml:space="preserve">KRUPA JOYCE </t>
  </si>
  <si>
    <t>2440 WATERMAN AVE</t>
  </si>
  <si>
    <t xml:space="preserve">MACKIN BONNI L </t>
  </si>
  <si>
    <t>245 KIRK AVE</t>
  </si>
  <si>
    <t>WHITE HAMPTON LN APT 226</t>
  </si>
  <si>
    <t>311 KIRK AVE</t>
  </si>
  <si>
    <t xml:space="preserve">CRM INC </t>
  </si>
  <si>
    <t>2510 WATERMAN AVE</t>
  </si>
  <si>
    <t>B N SPRING VALLEY RD</t>
  </si>
  <si>
    <t xml:space="preserve">PASTORIUS JAMES P </t>
  </si>
  <si>
    <t>2518 WATERMAN AVE</t>
  </si>
  <si>
    <t>MAGGIO PAMELA A &amp; PHILIP A (H)</t>
  </si>
  <si>
    <t>403 KIRK AVE</t>
  </si>
  <si>
    <t xml:space="preserve">NICHOLAS VANALFEN                               </t>
  </si>
  <si>
    <t>413 KIRK AVE</t>
  </si>
  <si>
    <t>INTERCAP LENDING INC</t>
  </si>
  <si>
    <t xml:space="preserve">BEHR FRANCIS H </t>
  </si>
  <si>
    <t>414 KIRK AVE</t>
  </si>
  <si>
    <t xml:space="preserve">RHODES JAMES EDWARD </t>
  </si>
  <si>
    <t>335 SPENCER AVE</t>
  </si>
  <si>
    <t>REDDY DAVID H &amp; KIMBERLY L (W)</t>
  </si>
  <si>
    <t>405 SPENCER AVE</t>
  </si>
  <si>
    <t>REDDY DAVID H &amp; KIMBE</t>
  </si>
  <si>
    <t xml:space="preserve">JONES JAYME L </t>
  </si>
  <si>
    <t>415 SPENCER AVE</t>
  </si>
  <si>
    <t xml:space="preserve">EINLOTH THOMAS M                                </t>
  </si>
  <si>
    <t>2723 WATERMAN AVE</t>
  </si>
  <si>
    <t xml:space="preserve">MORTIMORE TONI M                                </t>
  </si>
  <si>
    <t>2719 ALMORA ST</t>
  </si>
  <si>
    <t>MORTIMORE TONI M</t>
  </si>
  <si>
    <t>ALMORA DR</t>
  </si>
  <si>
    <t xml:space="preserve">MCCLINTOCK CARLOS                               </t>
  </si>
  <si>
    <t>61 CARRICK AVE</t>
  </si>
  <si>
    <t>GOETTEL ST</t>
  </si>
  <si>
    <t>44 CARRICK AVE</t>
  </si>
  <si>
    <t>SMITH GEORGE W &amp; MARY ANN (W)</t>
  </si>
  <si>
    <t>2410 GLENROY ST</t>
  </si>
  <si>
    <t>SMITH GEORGE W &amp; MARY</t>
  </si>
  <si>
    <t xml:space="preserve">STADELMAN LEO J </t>
  </si>
  <si>
    <t>0 GLENROY ST</t>
  </si>
  <si>
    <t xml:space="preserve">SERAKOWSKI DOROTHY </t>
  </si>
  <si>
    <t>2436 GLENROY ST</t>
  </si>
  <si>
    <t>WEPRICH JOHN DAVID &amp; CINDY A (W)</t>
  </si>
  <si>
    <t>11 FAIRHOPE ST</t>
  </si>
  <si>
    <t>FAIRHOPE ST</t>
  </si>
  <si>
    <t xml:space="preserve">MARCANTONI CARMEN I </t>
  </si>
  <si>
    <t>9 FAIRHOPE ST</t>
  </si>
  <si>
    <t xml:space="preserve">KOENIG FRED F &amp; CAROL W </t>
  </si>
  <si>
    <t>52 CLIFTON ST</t>
  </si>
  <si>
    <t>CLIFTON BLVD</t>
  </si>
  <si>
    <t>AK HOMES &amp; DEVELOPMENT GROUP LLC</t>
  </si>
  <si>
    <t>214 CHESTON ST</t>
  </si>
  <si>
    <t>AK HOMES &amp; DEVELOPMEN</t>
  </si>
  <si>
    <t xml:space="preserve">220 SPENCER AVE LLC </t>
  </si>
  <si>
    <t>220 SPENCER AVE</t>
  </si>
  <si>
    <t xml:space="preserve">MARSHALL JAMES M </t>
  </si>
  <si>
    <t>207 SPENCER AVE</t>
  </si>
  <si>
    <t>BERUMEN-CRUZ FRANCISCO  JAVIER</t>
  </si>
  <si>
    <t>209 SPENCER AVE</t>
  </si>
  <si>
    <t>BERUMEN-CRUZ FRANCISC</t>
  </si>
  <si>
    <t>COVERT ST</t>
  </si>
  <si>
    <t xml:space="preserve">K&amp;S 227 LLC </t>
  </si>
  <si>
    <t>227 SPENCER AVE</t>
  </si>
  <si>
    <t>K&amp;S 227 LLC</t>
  </si>
  <si>
    <t>WHITE MARY A &amp; WILBERT J WHITE</t>
  </si>
  <si>
    <t>231 SPENCER AVE</t>
  </si>
  <si>
    <t>WHITE MARY A &amp; WILBER</t>
  </si>
  <si>
    <t>LOUST ST FL 11</t>
  </si>
  <si>
    <t xml:space="preserve">CRAIG DEBRA L </t>
  </si>
  <si>
    <t>236 KIRK AVE</t>
  </si>
  <si>
    <t>SUNNYLAND AVE</t>
  </si>
  <si>
    <t>KRAUS ANNA MAE  REVOCABLE LIVING TRUST (</t>
  </si>
  <si>
    <t>144 KIRK AVE</t>
  </si>
  <si>
    <t>KRAUS ANNA MAE (TRUST</t>
  </si>
  <si>
    <t xml:space="preserve">ANTANTIS WILLIAM </t>
  </si>
  <si>
    <t>243 KIRK AVE</t>
  </si>
  <si>
    <t>PRICE JESSIE &amp; RHONDA (W)</t>
  </si>
  <si>
    <t>295 RUTHWOOD AVE</t>
  </si>
  <si>
    <t>RUTHWOOD AVE</t>
  </si>
  <si>
    <t>PASLOW ALBERT J &amp; ADELE M (W)</t>
  </si>
  <si>
    <t>PASLOW ALBERT J &amp; ADE</t>
  </si>
  <si>
    <t>URBAN REDEVELOPMENT  AUTHORITY OF PITTSBU RGH</t>
  </si>
  <si>
    <t>2531 BROWNSVILLE RD</t>
  </si>
  <si>
    <t>2612 BROWNSVILLE RD</t>
  </si>
  <si>
    <t>BRDIGEWAY CAPITAL INC</t>
  </si>
  <si>
    <t>2608 BROWNSVILLE RD</t>
  </si>
  <si>
    <t xml:space="preserve">ALL ADS UP </t>
  </si>
  <si>
    <t>2606 BROWNSVILLE RD</t>
  </si>
  <si>
    <t xml:space="preserve">CELL PHONES &amp; MORE LLC </t>
  </si>
  <si>
    <t>2604 BROWNSVILLE RD</t>
  </si>
  <si>
    <t>CELL PHONES &amp; MORE LL</t>
  </si>
  <si>
    <t xml:space="preserve">GIESE PROPERTIES LLC </t>
  </si>
  <si>
    <t>2600 BROWNSVILLE RD</t>
  </si>
  <si>
    <t>MORNING FROST PL</t>
  </si>
  <si>
    <t>SHERRYS FAMILT MARKET  LLC</t>
  </si>
  <si>
    <t>2546 BROWNSVILLE RD</t>
  </si>
  <si>
    <t>SHERRYS FAMILT MARKET</t>
  </si>
  <si>
    <t>HAMILTON DR</t>
  </si>
  <si>
    <t>FRATERNAL ORDER OF  EAGLES AERIE NO 1520</t>
  </si>
  <si>
    <t>2538 BROWNSVILLE RD</t>
  </si>
  <si>
    <t xml:space="preserve">HALL MICHAEL </t>
  </si>
  <si>
    <t>2516 BROWNSVILLE RD</t>
  </si>
  <si>
    <t xml:space="preserve">NEPAL SURAJ </t>
  </si>
  <si>
    <t>2420 BROWNSVILLE RD</t>
  </si>
  <si>
    <t>2433 EDGAR ST</t>
  </si>
  <si>
    <t xml:space="preserve">GERSTER DAVID M                                 </t>
  </si>
  <si>
    <t>18 WYSOX ST</t>
  </si>
  <si>
    <t xml:space="preserve">W GROUP REALTY TRUST LLC </t>
  </si>
  <si>
    <t>16 WYSOX ST</t>
  </si>
  <si>
    <t xml:space="preserve">W GROUP REALTY TRUST </t>
  </si>
  <si>
    <t>PO BOX 58174 ALY</t>
  </si>
  <si>
    <t xml:space="preserve">LEMON REBECCA J </t>
  </si>
  <si>
    <t>17 WYSOX ST</t>
  </si>
  <si>
    <t>WYSOX ST</t>
  </si>
  <si>
    <t xml:space="preserve">REICHERT THOMAS H </t>
  </si>
  <si>
    <t>2509 EDGAR ST</t>
  </si>
  <si>
    <t>KESSLER HEATHER L</t>
  </si>
  <si>
    <t>EDGAR ST</t>
  </si>
  <si>
    <t>WILLIAMS VINCENT D &amp; NEIKA L (W)</t>
  </si>
  <si>
    <t>2515 EDGAR ST</t>
  </si>
  <si>
    <t xml:space="preserve">WELSBACHER NORBERT ERIC                         </t>
  </si>
  <si>
    <t>2531 EDGAR ST</t>
  </si>
  <si>
    <t>WELSBACHER NORBERT ER</t>
  </si>
  <si>
    <t>FANZO LIBERO ETAL</t>
  </si>
  <si>
    <t>0 BELPLAIN ST</t>
  </si>
  <si>
    <t>BELPLAIN ST</t>
  </si>
  <si>
    <t xml:space="preserve">ASKINS KATHERINE                                </t>
  </si>
  <si>
    <t>30 BELPLAIN ST</t>
  </si>
  <si>
    <t>PETER LITZ</t>
  </si>
  <si>
    <t xml:space="preserve">AGOR RONALD </t>
  </si>
  <si>
    <t>0 EDGAR ST</t>
  </si>
  <si>
    <t>AGOR RONALD</t>
  </si>
  <si>
    <t>NA WILI WILI RD</t>
  </si>
  <si>
    <t>2500 EDGAR ST</t>
  </si>
  <si>
    <t>DERRICK GIRLS  PROPERTIES LLC (THE)</t>
  </si>
  <si>
    <t>18 WINDFALL WAY</t>
  </si>
  <si>
    <t>DERRICK GIRLS PROPERT</t>
  </si>
  <si>
    <t>BURNS &amp; BURNS CENTRAL LLC</t>
  </si>
  <si>
    <t>101 KIRK AVE</t>
  </si>
  <si>
    <t>BURNS &amp; BURNS CENTRAL</t>
  </si>
  <si>
    <t>MAXWELL DR</t>
  </si>
  <si>
    <t>KIMMEL EILEEN C &amp; EDWARD J KIMMEL</t>
  </si>
  <si>
    <t>115 KIRK AVE</t>
  </si>
  <si>
    <t xml:space="preserve">HENRIQUES KHALID                                </t>
  </si>
  <si>
    <t>141 SPENCER AVE</t>
  </si>
  <si>
    <t>134 KIRK AVE</t>
  </si>
  <si>
    <t>HUGHES EVA I</t>
  </si>
  <si>
    <t xml:space="preserve">CASTANO GARCIA MARCELO                          </t>
  </si>
  <si>
    <t>106 KIRK AVE</t>
  </si>
  <si>
    <t xml:space="preserve">GEISLER WILLIAM JOSEPH </t>
  </si>
  <si>
    <t>102 KIRK AVE</t>
  </si>
  <si>
    <t>GEISLER WILLIAM JOSEP</t>
  </si>
  <si>
    <t>EARLFORD DR</t>
  </si>
  <si>
    <t xml:space="preserve">PARSONS SUSAN </t>
  </si>
  <si>
    <t>1044 SANKEY CT</t>
  </si>
  <si>
    <t xml:space="preserve">STRIBLING RENEE </t>
  </si>
  <si>
    <t>2618 CHURCHVIEW AVE</t>
  </si>
  <si>
    <t xml:space="preserve">ALSREHEEN NAWAF </t>
  </si>
  <si>
    <t>2608 CHURCHVIEW AVE</t>
  </si>
  <si>
    <t xml:space="preserve">BREAKFAST SPOT LLC </t>
  </si>
  <si>
    <t>2605 BROWNSVILLE RD</t>
  </si>
  <si>
    <t>OLD BOSTON RD</t>
  </si>
  <si>
    <t xml:space="preserve">KB CAPITAL GROUP LLC </t>
  </si>
  <si>
    <t>2613 BROWNSVILLE RD</t>
  </si>
  <si>
    <t>2622 BROWNSVILLE RD</t>
  </si>
  <si>
    <t>CARRICK ASSOCIATES LL</t>
  </si>
  <si>
    <t>PO BOX 98041</t>
  </si>
  <si>
    <t xml:space="preserve">INVESTMENT ENTERPRISES </t>
  </si>
  <si>
    <t>0 CHURCHVIEW AVE</t>
  </si>
  <si>
    <t>INVESTMENT ENTERPRISE</t>
  </si>
  <si>
    <t>BOYCE PLAZA RD STE 200</t>
  </si>
  <si>
    <t xml:space="preserve">PETERS JACQUELINE A </t>
  </si>
  <si>
    <t>1950 WALTON AVE</t>
  </si>
  <si>
    <t xml:space="preserve">PATNESKY STEPHANIE </t>
  </si>
  <si>
    <t>1937 LUCINA AVE</t>
  </si>
  <si>
    <t>HAHN DR</t>
  </si>
  <si>
    <t>JOSEPH RONALD &amp; JODY F (W)</t>
  </si>
  <si>
    <t>0 LUCINA AVE</t>
  </si>
  <si>
    <t xml:space="preserve">KELLY THOMAS D </t>
  </si>
  <si>
    <t>0 LYBRIG WAY</t>
  </si>
  <si>
    <t>COTTAGE RD</t>
  </si>
  <si>
    <t>LUCCI GLEN M &amp; JOLENE (W)</t>
  </si>
  <si>
    <t xml:space="preserve">CURCIO JOHN J </t>
  </si>
  <si>
    <t>LUCINA AVE</t>
  </si>
  <si>
    <t xml:space="preserve">MORGAN RONALD E </t>
  </si>
  <si>
    <t>322 REDWOOD ST</t>
  </si>
  <si>
    <t>IROQUOIS AVE</t>
  </si>
  <si>
    <t xml:space="preserve">FRANCIS LUTCH FAMILY  TRUST                   </t>
  </si>
  <si>
    <t>243 PARKFIELD ST</t>
  </si>
  <si>
    <t>LORI L PRESTON TRUSTE</t>
  </si>
  <si>
    <t>HILLTOP ACRES RD</t>
  </si>
  <si>
    <t>BIRKS DAVID &amp; CHARLOTTE (W)</t>
  </si>
  <si>
    <t>220 PARKFIELD ST</t>
  </si>
  <si>
    <t xml:space="preserve">HOSACK DAVID </t>
  </si>
  <si>
    <t>230 PARKFIELD ST</t>
  </si>
  <si>
    <t>BROADHEAD RD</t>
  </si>
  <si>
    <t xml:space="preserve">CUCINELL SAMUEL JOSEPH </t>
  </si>
  <si>
    <t>240 PARKFIELD ST</t>
  </si>
  <si>
    <t>CUCINELL SAMUEL JOSEP</t>
  </si>
  <si>
    <t xml:space="preserve">O'CONNOR ERIN M </t>
  </si>
  <si>
    <t>242 PARKFIELD ST</t>
  </si>
  <si>
    <t>ERIN M O'CONNOR</t>
  </si>
  <si>
    <t xml:space="preserve">ROWE GEORGE III                                 </t>
  </si>
  <si>
    <t>244 PARKFIELD ST</t>
  </si>
  <si>
    <t xml:space="preserve">HELD WILLIAM W </t>
  </si>
  <si>
    <t>PLATEAU ST</t>
  </si>
  <si>
    <t>AMBROFFI ROBERT &amp; CAROLEE (W)</t>
  </si>
  <si>
    <t>2006 PLATEAU ST</t>
  </si>
  <si>
    <t xml:space="preserve">FLINT SHELLEY </t>
  </si>
  <si>
    <t>2004 PLATEAU ST</t>
  </si>
  <si>
    <t xml:space="preserve">APITSCH TOM C                                   </t>
  </si>
  <si>
    <t>2001 PLATEAU ST</t>
  </si>
  <si>
    <t>DOUGHERTY DELMER &amp; LAURA (W)</t>
  </si>
  <si>
    <t>205 W WOODFORD AVE</t>
  </si>
  <si>
    <t>W WOODFORD AVE</t>
  </si>
  <si>
    <t xml:space="preserve">2010 DELLROSE LLC                               </t>
  </si>
  <si>
    <t>2010 DELLROSE ST</t>
  </si>
  <si>
    <t>CHURCH ST FL</t>
  </si>
  <si>
    <t>2134 BROWNSVILLE RD</t>
  </si>
  <si>
    <t xml:space="preserve">MILLER FRANK R JR                               </t>
  </si>
  <si>
    <t>111 MADELINE ST</t>
  </si>
  <si>
    <t>TAYLOR TIMOTHY R &amp; BARBARA E M (W)</t>
  </si>
  <si>
    <t>156 MADELINE ST</t>
  </si>
  <si>
    <t>110 MADELINE ST</t>
  </si>
  <si>
    <t>PISTELLI DANIEL G &amp; MARY L</t>
  </si>
  <si>
    <t>105 E WOODFORD AVE</t>
  </si>
  <si>
    <t>PISTELLI DANIEL G &amp; M</t>
  </si>
  <si>
    <t>SPRING VALLEY RD</t>
  </si>
  <si>
    <t>KELLY ROBERT A &amp; MARLENE E (W)</t>
  </si>
  <si>
    <t>127 E WOODFORD AVE</t>
  </si>
  <si>
    <t>KELLY ROBERT A &amp; MARL</t>
  </si>
  <si>
    <t>PARKLINE DR APT 2</t>
  </si>
  <si>
    <t xml:space="preserve">WISNIEWSKI LINDA LEE </t>
  </si>
  <si>
    <t>0 E WOODFORD AVE</t>
  </si>
  <si>
    <t>E WOODFORD AVE</t>
  </si>
  <si>
    <t>GERMAN GLORIA YAZMIN  SATURNINO</t>
  </si>
  <si>
    <t>10 E WOODFORD AVE</t>
  </si>
  <si>
    <t>OLD LEBANON CHURCH RD</t>
  </si>
  <si>
    <t xml:space="preserve">THE RIVERS AUTO LLC </t>
  </si>
  <si>
    <t>107 DUFFLAND ST</t>
  </si>
  <si>
    <t>THE RIVERS AUTO LLC</t>
  </si>
  <si>
    <t>DEWEY ST</t>
  </si>
  <si>
    <t xml:space="preserve">RECHTER CHRISTINE </t>
  </si>
  <si>
    <t>0 DUFFLAND ST</t>
  </si>
  <si>
    <t>DUFFLAND ST</t>
  </si>
  <si>
    <t xml:space="preserve">PIRSCHL STEPHEN </t>
  </si>
  <si>
    <t>121 DUFFLAND ST</t>
  </si>
  <si>
    <t>PIRSCHL STEPHEN</t>
  </si>
  <si>
    <t xml:space="preserve">FARINA ROSEMARIE </t>
  </si>
  <si>
    <t>125 DUFFLAND ST</t>
  </si>
  <si>
    <t>148 PARKFIELD ST</t>
  </si>
  <si>
    <t xml:space="preserve">WILMINGTON TRUST NA </t>
  </si>
  <si>
    <t>109 PARKFIELD ST</t>
  </si>
  <si>
    <t>WILMINGTON TRUST NA</t>
  </si>
  <si>
    <t>VANDERBILT AVE FL 48</t>
  </si>
  <si>
    <t>ROSS RAYMOND N &amp; ANNE H (W)</t>
  </si>
  <si>
    <t>2216 DELLROSE ST</t>
  </si>
  <si>
    <t>DELLROSE ST</t>
  </si>
  <si>
    <t xml:space="preserve">SECILIA KATHLEEN </t>
  </si>
  <si>
    <t>2226 DELLROSE ST</t>
  </si>
  <si>
    <t>KATIP JAY M &amp; MELANIE A (W)</t>
  </si>
  <si>
    <t>0 WESTMONT AVE</t>
  </si>
  <si>
    <t>KATIP JAY M &amp; MELANIE</t>
  </si>
  <si>
    <t>S PARK RD</t>
  </si>
  <si>
    <t>SAMSTAG CHARLES E &amp; BARBARA A (W)</t>
  </si>
  <si>
    <t>2256 WESTMONT AVE</t>
  </si>
  <si>
    <t xml:space="preserve">GRINDEL ROBERT MICHAEL                          </t>
  </si>
  <si>
    <t>2244 WESTMONT AVE</t>
  </si>
  <si>
    <t xml:space="preserve">GRINDEL ROBERT &amp;                         </t>
  </si>
  <si>
    <t>0 SANTRON AVE</t>
  </si>
  <si>
    <t>GRINDEL ROBERT &amp; CRAN</t>
  </si>
  <si>
    <t>134 SANTRON AVE</t>
  </si>
  <si>
    <t>BRUSHTON AVE FL 1</t>
  </si>
  <si>
    <t>ECKERT ALBERT F &amp; VIRGINIA M</t>
  </si>
  <si>
    <t>DEANA WAY</t>
  </si>
  <si>
    <t>KING PHILIP J &amp; MARY D (W)</t>
  </si>
  <si>
    <t>2249 ALMONT ST</t>
  </si>
  <si>
    <t xml:space="preserve">HOWARD ELSIE LARUTH                             </t>
  </si>
  <si>
    <t>2231 SPOKANE AVE</t>
  </si>
  <si>
    <t>SPOKANE AVE</t>
  </si>
  <si>
    <t xml:space="preserve">COLL JOHN JAMES                                 </t>
  </si>
  <si>
    <t>2135 BROWNSVILLE RD</t>
  </si>
  <si>
    <t>COLVIN CT</t>
  </si>
  <si>
    <t xml:space="preserve">COLL JOHN J                                     </t>
  </si>
  <si>
    <t xml:space="preserve">NEPAL DEWAKAR </t>
  </si>
  <si>
    <t>2219 BROWNSVILLE RD</t>
  </si>
  <si>
    <t>NEPAL DEWAKAR</t>
  </si>
  <si>
    <t>CHESAPEAKE DR</t>
  </si>
  <si>
    <t xml:space="preserve">LAXMI RIMAL LLC </t>
  </si>
  <si>
    <t>2221 BROWNSVILLE RD</t>
  </si>
  <si>
    <t>MIRENNA DAVID JOSEPH &amp; CHARLENE FRANCES  (W)</t>
  </si>
  <si>
    <t>2230 LUTZ AVE</t>
  </si>
  <si>
    <t xml:space="preserve">MIRENNA DAVID JOSEPH </t>
  </si>
  <si>
    <t>LUTZ ST</t>
  </si>
  <si>
    <t xml:space="preserve">VIALE MARTIN </t>
  </si>
  <si>
    <t>2222 LUTZ AVE</t>
  </si>
  <si>
    <t>ASHLEY RD</t>
  </si>
  <si>
    <t xml:space="preserve">CASKEY MICHAEL </t>
  </si>
  <si>
    <t>0 LUTZ AVE</t>
  </si>
  <si>
    <t>LUTZ AVE</t>
  </si>
  <si>
    <t xml:space="preserve">GROMO NICHOLAS R </t>
  </si>
  <si>
    <t>2202 LUTZ AVE</t>
  </si>
  <si>
    <t xml:space="preserve">NECKERMAN ANNA </t>
  </si>
  <si>
    <t>2154 HAZELDELL ST</t>
  </si>
  <si>
    <t>HAZELDELL AVE</t>
  </si>
  <si>
    <t xml:space="preserve">KASTEN ANNA MAE                                 </t>
  </si>
  <si>
    <t>2140 HAZELDELL ST</t>
  </si>
  <si>
    <t>ABBEYVILLE RD APT 10</t>
  </si>
  <si>
    <t>136 DUFFLAND ST</t>
  </si>
  <si>
    <t xml:space="preserve">THURMAN CARLA J                                 </t>
  </si>
  <si>
    <t>117 EILER AVE</t>
  </si>
  <si>
    <t xml:space="preserve">STASIK LYNN MARIE </t>
  </si>
  <si>
    <t>442 SINTON AVE</t>
  </si>
  <si>
    <t>SINTON AVE</t>
  </si>
  <si>
    <t xml:space="preserve">OCARROLL FRANCIS C </t>
  </si>
  <si>
    <t>0 SINTON AVE</t>
  </si>
  <si>
    <t>PINE ST</t>
  </si>
  <si>
    <t>451 SINTON AVE</t>
  </si>
  <si>
    <t>HAECK DANIEL A &amp; LORRAINE M (W)</t>
  </si>
  <si>
    <t>117 OVERBROOK BLVD</t>
  </si>
  <si>
    <t>VINARSKI MARTHA  &amp; JOSEPH VINARSKI</t>
  </si>
  <si>
    <t>0 VALERA AVE</t>
  </si>
  <si>
    <t>VALERA AVE</t>
  </si>
  <si>
    <t>2283 VALERA AVE</t>
  </si>
  <si>
    <t xml:space="preserve">METZGER MATHILDA </t>
  </si>
  <si>
    <t>2285 VALERA AVE</t>
  </si>
  <si>
    <t xml:space="preserve">FROST MICHAEL </t>
  </si>
  <si>
    <t>2301 VALERA AVE</t>
  </si>
  <si>
    <t xml:space="preserve">BONDI MARY                                      </t>
  </si>
  <si>
    <t>2318 VALERA AVE</t>
  </si>
  <si>
    <t>WAINWRIGHT CT</t>
  </si>
  <si>
    <t xml:space="preserve">PERICH CYNTHIA M </t>
  </si>
  <si>
    <t>2308 VALERA AVE</t>
  </si>
  <si>
    <t xml:space="preserve">FLOYD L EDWARDS JR  REVOCABLE LIVING TRUST  </t>
  </si>
  <si>
    <t>2294 VALERA AVE</t>
  </si>
  <si>
    <t>JAMES WILSON  CRITCHFIELD SR REVOCABLE</t>
  </si>
  <si>
    <t>2292 VALERA AVE</t>
  </si>
  <si>
    <t>JAMES WILSON CRITCHFI</t>
  </si>
  <si>
    <t>HARRISON HARVEY  HUTCHISON &amp; MADDEN INVES</t>
  </si>
  <si>
    <t>2317 ALMONT ST</t>
  </si>
  <si>
    <t>HARRISON HARVEY HUTCH</t>
  </si>
  <si>
    <t>W BARLAND DR</t>
  </si>
  <si>
    <t xml:space="preserve">BORODYCIA NANCY MARIE </t>
  </si>
  <si>
    <t>2315 ALMONT ST</t>
  </si>
  <si>
    <t>ALMONT ST</t>
  </si>
  <si>
    <t xml:space="preserve">WALLER WILBUR T &amp; ANN M                   </t>
  </si>
  <si>
    <t>2257 ALMONT ST</t>
  </si>
  <si>
    <t>LAWARENCE NAUMANN</t>
  </si>
  <si>
    <t xml:space="preserve">BULLER CHRISTOPHER L </t>
  </si>
  <si>
    <t>2261 ALMONT ST</t>
  </si>
  <si>
    <t>SULLIVAN TAYLOR &amp; JOEL (H)</t>
  </si>
  <si>
    <t>2265 ALMONT ST</t>
  </si>
  <si>
    <t>SULLIVAN TAYLOR &amp; JOE</t>
  </si>
  <si>
    <t xml:space="preserve">COKEL DESIREE </t>
  </si>
  <si>
    <t>314 OVERBROOK BLVD</t>
  </si>
  <si>
    <t>PARKER WILLIAM J &amp; WILLIAM D PARKER</t>
  </si>
  <si>
    <t>0 ALMONT ST</t>
  </si>
  <si>
    <t xml:space="preserve">BAUER WILLIAM J F SR </t>
  </si>
  <si>
    <t>2270 ALMONT ST</t>
  </si>
  <si>
    <t>2245 SPOKANE AVE</t>
  </si>
  <si>
    <t>P.O. BOX 10271</t>
  </si>
  <si>
    <t>CHESMER SANDRA L &amp; THOMAS M (H)</t>
  </si>
  <si>
    <t>424 ARISTON AVE</t>
  </si>
  <si>
    <t>CHESMER SANDRA L &amp; TH</t>
  </si>
  <si>
    <t xml:space="preserve">ZUPANCIC CARMELLA </t>
  </si>
  <si>
    <t>406 ARISTON AVE</t>
  </si>
  <si>
    <t>ARISTON ST</t>
  </si>
  <si>
    <t>404 ARISTON AVE</t>
  </si>
  <si>
    <t xml:space="preserve">SIMPLY PUT LP </t>
  </si>
  <si>
    <t>2316 SPOKANE AVE</t>
  </si>
  <si>
    <t>2310 SPOKANE AVE</t>
  </si>
  <si>
    <t>10 CARRICK AVE</t>
  </si>
  <si>
    <t xml:space="preserve">V O INVESTMENTS LLC </t>
  </si>
  <si>
    <t>53 CARRICK AVE</t>
  </si>
  <si>
    <t>S HIGHLAND AVE RM 18</t>
  </si>
  <si>
    <t xml:space="preserve">CADMAN COLLEEN E </t>
  </si>
  <si>
    <t>19 CARRICK AVE</t>
  </si>
  <si>
    <t>WILLOW AVE</t>
  </si>
  <si>
    <t xml:space="preserve">PICCHI JOHN J </t>
  </si>
  <si>
    <t>15 CARRICK AVE</t>
  </si>
  <si>
    <t>JOHN J PICCHI</t>
  </si>
  <si>
    <t>2371 BROWNSVILLE RD</t>
  </si>
  <si>
    <t xml:space="preserve">SCHEMLLA JONATHAN B </t>
  </si>
  <si>
    <t>2369 BROWNSVILLE RD</t>
  </si>
  <si>
    <t xml:space="preserve">HOFF DALE J </t>
  </si>
  <si>
    <t>41 BECKS RUN RD</t>
  </si>
  <si>
    <t>BAUWIN PATRICIA S &amp; THOMAS R BAUWIN II ( H)</t>
  </si>
  <si>
    <t>39 BECKS RUN RD</t>
  </si>
  <si>
    <t xml:space="preserve">WILLIAM HEIDKAMP </t>
  </si>
  <si>
    <t xml:space="preserve">HORNBAKE VALERIE </t>
  </si>
  <si>
    <t>27 BECKS RUN RD</t>
  </si>
  <si>
    <t>HORNBAKE VALERIE</t>
  </si>
  <si>
    <t xml:space="preserve">MANN ROBERT III </t>
  </si>
  <si>
    <t>23 BECKS RUN RD</t>
  </si>
  <si>
    <t>2305 BROWNSVILLE RD</t>
  </si>
  <si>
    <t>MIDWAY HOME PARK LLC</t>
  </si>
  <si>
    <t xml:space="preserve">MC KOWN LINDA ANN </t>
  </si>
  <si>
    <t>118 RAVILLA AVE</t>
  </si>
  <si>
    <t>RAVILLA AVE</t>
  </si>
  <si>
    <t xml:space="preserve">WEBBER KEVIN A </t>
  </si>
  <si>
    <t>15 OVERBROOK BLVD</t>
  </si>
  <si>
    <t>PRISTINE CAPITAL  MANAGEMENT LLC</t>
  </si>
  <si>
    <t>9 OVERBROOK BLVD</t>
  </si>
  <si>
    <t>PRISTINE CAPITAL MANA</t>
  </si>
  <si>
    <t>MCLEOD DR STE 100</t>
  </si>
  <si>
    <t>MEADOR BRIAN R &amp; SUSAN M (W)</t>
  </si>
  <si>
    <t>352 OVERBROOK BLVD</t>
  </si>
  <si>
    <t>SCROEFFEL JEFFERY A &amp; KARA J (W)</t>
  </si>
  <si>
    <t>345 ANTENOR AVE</t>
  </si>
  <si>
    <t>ANTENOR AVE</t>
  </si>
  <si>
    <t xml:space="preserve">YOUNG MICHAEL JR </t>
  </si>
  <si>
    <t>0 OVERBROOK BLVD</t>
  </si>
  <si>
    <t xml:space="preserve">DOUGLAS FRANK B &amp; MARY M </t>
  </si>
  <si>
    <t>412 MAYTIDE ST</t>
  </si>
  <si>
    <t xml:space="preserve">SCHIAVONE SUSAN </t>
  </si>
  <si>
    <t>2362 ALMONT ST</t>
  </si>
  <si>
    <t>ALMONT AVE</t>
  </si>
  <si>
    <t>PASTORIUS THOMAS A &amp; EMILY (W)</t>
  </si>
  <si>
    <t>2335 ALMONT ST</t>
  </si>
  <si>
    <t xml:space="preserve">VOELKER GEORGE C                                </t>
  </si>
  <si>
    <t>2386 BROWNSVILLE RD</t>
  </si>
  <si>
    <t xml:space="preserve">VARNEY JOHN </t>
  </si>
  <si>
    <t>2400 BROWNSVILLE RD</t>
  </si>
  <si>
    <t xml:space="preserve">LENGYEL JENNIFER </t>
  </si>
  <si>
    <t>2335 VALERA AVE</t>
  </si>
  <si>
    <t>DUGAN MICHAEL THOMAS &amp; AMY (W)</t>
  </si>
  <si>
    <t>2348 VALERA AVE</t>
  </si>
  <si>
    <t>ARMED FORCES BANK NA</t>
  </si>
  <si>
    <t>COLLEGE BLVD STE 140</t>
  </si>
  <si>
    <t xml:space="preserve">FULMER JUSTIN LEE </t>
  </si>
  <si>
    <t>250 MAYTIDE ST</t>
  </si>
  <si>
    <t xml:space="preserve">SFP 62 MAYTIDE LLC </t>
  </si>
  <si>
    <t>62 MAYTIDE ST</t>
  </si>
  <si>
    <t>46 MAYTIDE ST</t>
  </si>
  <si>
    <t xml:space="preserve">JAN W MILLER LIVING  TRUST                   </t>
  </si>
  <si>
    <t>43 MAYTIDE ST</t>
  </si>
  <si>
    <t>JAN W MILLER LIVING T</t>
  </si>
  <si>
    <t>MALVERN AVE APT 2</t>
  </si>
  <si>
    <t xml:space="preserve">OYLER PIUS NGIELA </t>
  </si>
  <si>
    <t>0 MAYTIDE ST</t>
  </si>
  <si>
    <t>N 55TH ST</t>
  </si>
  <si>
    <t xml:space="preserve">FEVER RELIEF FUND LLC                           </t>
  </si>
  <si>
    <t>SANDY HOOK LN</t>
  </si>
  <si>
    <t>201 MAYTIDE ST</t>
  </si>
  <si>
    <t xml:space="preserve">MOORMAN ELSIE                                   </t>
  </si>
  <si>
    <t>210 MERRITT AVE</t>
  </si>
  <si>
    <t>CYNTHIA MARSZALEK</t>
  </si>
  <si>
    <t>KRASKA DAVID P &amp; MARGARET R (W)</t>
  </si>
  <si>
    <t>198 MERRITT AVE</t>
  </si>
  <si>
    <t>MERRITT AVE</t>
  </si>
  <si>
    <t xml:space="preserve">KWIATKOWSKI DELORES LEE  ANNE                    </t>
  </si>
  <si>
    <t>36 MERRITT AVE</t>
  </si>
  <si>
    <t>KOVALCIK JOSEPH F &amp; DOLORES</t>
  </si>
  <si>
    <t>150 CLAUS AVE</t>
  </si>
  <si>
    <t>CLAUS AVE</t>
  </si>
  <si>
    <t>KWIATKOWSKI ROBERT J &amp; LISA ANN (W)</t>
  </si>
  <si>
    <t>27 CLAUS AVE</t>
  </si>
  <si>
    <t xml:space="preserve">KWIATKOWSKI ROBERT J </t>
  </si>
  <si>
    <t xml:space="preserve">MCCARTHY KRISTY </t>
  </si>
  <si>
    <t>0 BETHESDA ST</t>
  </si>
  <si>
    <t xml:space="preserve">KING CHRISTINE L </t>
  </si>
  <si>
    <t>149 CLAUS AVE</t>
  </si>
  <si>
    <t xml:space="preserve">SAPIENZA JAMES C                                </t>
  </si>
  <si>
    <t>109 CLAUS AVE</t>
  </si>
  <si>
    <t xml:space="preserve">SAPIENZA JAMES C </t>
  </si>
  <si>
    <t>111 CLAUS AVE</t>
  </si>
  <si>
    <t>P.O.BOX 7050</t>
  </si>
  <si>
    <t>113 CLAUS AVE</t>
  </si>
  <si>
    <t>115 CLAUS AVE</t>
  </si>
  <si>
    <t>117 CLAUS AVE</t>
  </si>
  <si>
    <t xml:space="preserve">SLOGAN MATTHEW C </t>
  </si>
  <si>
    <t>166 STEWART AVE</t>
  </si>
  <si>
    <t xml:space="preserve">MCCARTHY KRISY </t>
  </si>
  <si>
    <t>148 STEWART AVE</t>
  </si>
  <si>
    <t xml:space="preserve">CONVIS BRADLEY ALLAN </t>
  </si>
  <si>
    <t>120 STEWART AVE</t>
  </si>
  <si>
    <t>RUIZ MERCEDES RUBI</t>
  </si>
  <si>
    <t>110 STEWART AVE</t>
  </si>
  <si>
    <t xml:space="preserve">BOSCIA KARL WILLIAM II </t>
  </si>
  <si>
    <t>52 STEWART AVE</t>
  </si>
  <si>
    <t>BOSCIA KARL WILLIAM I</t>
  </si>
  <si>
    <t xml:space="preserve">KETTER MARY JANE </t>
  </si>
  <si>
    <t>36 STEWART AVE</t>
  </si>
  <si>
    <t>VARNEY JOHN J &amp; BEVERLY D (W)</t>
  </si>
  <si>
    <t>2700 BROWNSVILLE RD</t>
  </si>
  <si>
    <t>2714 BROWNSVILLE RD</t>
  </si>
  <si>
    <t xml:space="preserve">WILSON KRISTOPHER </t>
  </si>
  <si>
    <t>24 MERRITT AVE</t>
  </si>
  <si>
    <t>MERRITT AVE UNIT 2</t>
  </si>
  <si>
    <t>STEIN RONALD J &amp; CATHERINE M (W)</t>
  </si>
  <si>
    <t>35 STEWART AVE</t>
  </si>
  <si>
    <t xml:space="preserve">JOVEL OSCAR JOEL GUIDO </t>
  </si>
  <si>
    <t>163 STEWART AVE</t>
  </si>
  <si>
    <t>JOVEL OSCAR JOEL GUID</t>
  </si>
  <si>
    <t>BROWNSVILLE RD APT 1</t>
  </si>
  <si>
    <t xml:space="preserve">POWELL JOHN  &amp; DONA (W) </t>
  </si>
  <si>
    <t>2931 PARKDALE AVE</t>
  </si>
  <si>
    <t>POWELL JOHN  &amp; DONA (</t>
  </si>
  <si>
    <t xml:space="preserve">MARES JOHN D                                    </t>
  </si>
  <si>
    <t>2915 PARKDALE AVE</t>
  </si>
  <si>
    <t xml:space="preserve">FIELDS ALLAN C </t>
  </si>
  <si>
    <t>2910 PARKDALE AVE</t>
  </si>
  <si>
    <t>BELLANCA AVE</t>
  </si>
  <si>
    <t>SWAZUK JOHN A &amp; LORRAINE M (W)</t>
  </si>
  <si>
    <t>148 OWENDALE AVE</t>
  </si>
  <si>
    <t>SWAZUK JOHN A &amp; LORRA</t>
  </si>
  <si>
    <t>HAFT ST N</t>
  </si>
  <si>
    <t xml:space="preserve">RAMIREZ CLAIRE </t>
  </si>
  <si>
    <t>108 OWENDALE AVE</t>
  </si>
  <si>
    <t>423 MAYTIDE ST</t>
  </si>
  <si>
    <t xml:space="preserve">KASABY KD LLC </t>
  </si>
  <si>
    <t>419 MAYTIDE ST</t>
  </si>
  <si>
    <t>LUMINATE DR</t>
  </si>
  <si>
    <t>RANCHO CUCAMON</t>
  </si>
  <si>
    <t>411 MAYTIDE ST</t>
  </si>
  <si>
    <t>EASTPOINTE DR</t>
  </si>
  <si>
    <t>HANCOCK EDWARD C &amp; MELROSE A (W)</t>
  </si>
  <si>
    <t>402 SUNNYLAND AVE</t>
  </si>
  <si>
    <t>DERRICK GIRLS'  PROPERTIES LLC</t>
  </si>
  <si>
    <t>241 MAYTIDE ST</t>
  </si>
  <si>
    <t>DERRICK GIRLS' PROPER</t>
  </si>
  <si>
    <t>DERRICK GIRLS'  PROPERTIES LLC (THE)</t>
  </si>
  <si>
    <t xml:space="preserve">TRAN'S KENT                                     </t>
  </si>
  <si>
    <t>365 MAYTIDE ST</t>
  </si>
  <si>
    <t>MINTHU</t>
  </si>
  <si>
    <t xml:space="preserve">MADDEN BROOKE A </t>
  </si>
  <si>
    <t>340 MERRITT AVE</t>
  </si>
  <si>
    <t xml:space="preserve">SMUCKER JABAR                                   </t>
  </si>
  <si>
    <t>228 MERRITT AVE</t>
  </si>
  <si>
    <t>SMUCKER JABAR</t>
  </si>
  <si>
    <t>MERRIT AVE</t>
  </si>
  <si>
    <t xml:space="preserve">ANDERSON DALE G </t>
  </si>
  <si>
    <t>0 MARS WAY</t>
  </si>
  <si>
    <t xml:space="preserve">WINDHAGER MARGARET R </t>
  </si>
  <si>
    <t>247 MERRITT AVE</t>
  </si>
  <si>
    <t>FOLEY THOMAS P JR &amp; MARGARET C</t>
  </si>
  <si>
    <t>347 MERRITT AVE</t>
  </si>
  <si>
    <t xml:space="preserve">IZNER CAPITAL LLC </t>
  </si>
  <si>
    <t>226 SUNNYLAND AVE</t>
  </si>
  <si>
    <t>MORTON RICHARD A &amp; SALLY A (W)</t>
  </si>
  <si>
    <t>219 SUNNYLAND AVE</t>
  </si>
  <si>
    <t xml:space="preserve">LACAVA KATIE </t>
  </si>
  <si>
    <t>309 SUNNYLAND AVE</t>
  </si>
  <si>
    <t xml:space="preserve">BALOGH LAJOS J </t>
  </si>
  <si>
    <t>339 SUNNYLAND AVE</t>
  </si>
  <si>
    <t xml:space="preserve">PAPI JANINE </t>
  </si>
  <si>
    <t>7 ESTHER ST</t>
  </si>
  <si>
    <t xml:space="preserve">BREAUNINGER HARRY </t>
  </si>
  <si>
    <t>1709 NOBLES LN UNIT 21</t>
  </si>
  <si>
    <t xml:space="preserve">KELLER GLORIA </t>
  </si>
  <si>
    <t>1709 NOBLES LN UNIT 6</t>
  </si>
  <si>
    <t xml:space="preserve">JASEK SHARON </t>
  </si>
  <si>
    <t>NOBLES LN TRLR 23</t>
  </si>
  <si>
    <t xml:space="preserve">HOWCROFT JOSEPH </t>
  </si>
  <si>
    <t xml:space="preserve">BEGGAN JOHN </t>
  </si>
  <si>
    <t xml:space="preserve">FUZE MICHAEL J JR </t>
  </si>
  <si>
    <t>HANOVER KENDELL RD</t>
  </si>
  <si>
    <t>HOOKSTOWN</t>
  </si>
  <si>
    <t xml:space="preserve">JOHN MARK </t>
  </si>
  <si>
    <t>1709 NOBLES LN UNIT 4</t>
  </si>
  <si>
    <t>NOBLES LN TRLR 4</t>
  </si>
  <si>
    <t xml:space="preserve">WITKOWSKI JOHN </t>
  </si>
  <si>
    <t>NOBLES LN TRLR 5</t>
  </si>
  <si>
    <t xml:space="preserve">DOERFLER BONNIE </t>
  </si>
  <si>
    <t xml:space="preserve">STREIB ELEANOR </t>
  </si>
  <si>
    <t>MOLES JESSICA &amp; DERRICK MILLER</t>
  </si>
  <si>
    <t xml:space="preserve">MONTGOMERY TERESA </t>
  </si>
  <si>
    <t>315 CARRICK AVE</t>
  </si>
  <si>
    <t>SAYBROOK AVE</t>
  </si>
  <si>
    <t>NORTH PORT</t>
  </si>
  <si>
    <t xml:space="preserve">MCADOO MARGARET </t>
  </si>
  <si>
    <t>1709 NOBLES LN UNIT 19</t>
  </si>
  <si>
    <t xml:space="preserve">MARTIN JOHN </t>
  </si>
  <si>
    <t>0 GEORGIA AVE</t>
  </si>
  <si>
    <t>HILLTOP RD</t>
  </si>
  <si>
    <t>NOEL</t>
  </si>
  <si>
    <t xml:space="preserve">HOANG MINH THU </t>
  </si>
  <si>
    <t>0 CHARLES ST</t>
  </si>
  <si>
    <t>HOANG MINH THU</t>
  </si>
  <si>
    <t xml:space="preserve">STOKES BETTY R </t>
  </si>
  <si>
    <t>405 CHARLES ST</t>
  </si>
  <si>
    <t>GRIFFIN KENNY</t>
  </si>
  <si>
    <t>BEY ATTY AT LAW SOLO  401 K TRUST AGREEMENT</t>
  </si>
  <si>
    <t>409 CHARLES ST</t>
  </si>
  <si>
    <t>WHITE WILLIAM O &amp; ELIZABETH (W)</t>
  </si>
  <si>
    <t>417 CHARLES ST</t>
  </si>
  <si>
    <t>KEYSANI FAMILY TRUST     ETAL</t>
  </si>
  <si>
    <t>425 CHARLES ST</t>
  </si>
  <si>
    <t>KEYSANI FAMILY TRUST</t>
  </si>
  <si>
    <t>DORIS AVE</t>
  </si>
  <si>
    <t>WALNUT CREEK</t>
  </si>
  <si>
    <t>BRACKETT ROOSEVELT T &amp; DORINE</t>
  </si>
  <si>
    <t>427 CHARLES ST</t>
  </si>
  <si>
    <t xml:space="preserve">BRACKETT ROOSEVELT T </t>
  </si>
  <si>
    <t xml:space="preserve">NELSON CARL M                                   </t>
  </si>
  <si>
    <t>418 JUCUNDA ST</t>
  </si>
  <si>
    <t xml:space="preserve">HURT GRACE L </t>
  </si>
  <si>
    <t>416 JUCUNDA ST</t>
  </si>
  <si>
    <t xml:space="preserve">YOPP JOHN ARTOS </t>
  </si>
  <si>
    <t>0 JUCUNDA ST</t>
  </si>
  <si>
    <t>COTTRELL WILLIAM G JR &amp; MAUDLEEN COTTREL L</t>
  </si>
  <si>
    <t>412 JUCUNDA ST</t>
  </si>
  <si>
    <t xml:space="preserve">COTTRELL WILLIAM G JR </t>
  </si>
  <si>
    <t xml:space="preserve">PLESKA THOMAS </t>
  </si>
  <si>
    <t>401 JUCUNDA ST</t>
  </si>
  <si>
    <t>PO BOX 1769</t>
  </si>
  <si>
    <t xml:space="preserve">ROACH NICOLE </t>
  </si>
  <si>
    <t>403 JUCUNDA ST</t>
  </si>
  <si>
    <t xml:space="preserve">NELSON YONETTE </t>
  </si>
  <si>
    <t>409 JUCUNDA ST</t>
  </si>
  <si>
    <t xml:space="preserve">ERWIN TRACY </t>
  </si>
  <si>
    <t>423 JUCUNDA ST</t>
  </si>
  <si>
    <t>KREMEYER CIR APT 22</t>
  </si>
  <si>
    <t>CARLSBAD</t>
  </si>
  <si>
    <t xml:space="preserve">BECK ROBERT S </t>
  </si>
  <si>
    <t>STAGECOACH DR</t>
  </si>
  <si>
    <t>BECK ROBERT S &amp; MICHELE D (W)</t>
  </si>
  <si>
    <t>431 JUCUNDA ST</t>
  </si>
  <si>
    <t xml:space="preserve">GRIFFIN JOHNNIE L &amp; INEZ </t>
  </si>
  <si>
    <t>433 JUCUNDA ST</t>
  </si>
  <si>
    <t>GRIFFIN JOHNNIE L &amp; I</t>
  </si>
  <si>
    <t xml:space="preserve">GRIFFIN MARCIA R </t>
  </si>
  <si>
    <t>ALTHEA DR</t>
  </si>
  <si>
    <t>WOODALL HENRY E &amp; HATTIE M (W)</t>
  </si>
  <si>
    <t>BRACKETT ROOSEVELT T &amp; DORINE (W)</t>
  </si>
  <si>
    <t xml:space="preserve">NIEDER WILLIAM A JR </t>
  </si>
  <si>
    <t>438 ORCHARD PL</t>
  </si>
  <si>
    <t>MANKER MARVIN R &amp; EVELYN I (W)</t>
  </si>
  <si>
    <t>436 ORCHARD PL</t>
  </si>
  <si>
    <t>WILLIAMS CHARLES R &amp; MINNIE L (W)</t>
  </si>
  <si>
    <t>434 ORCHARD PL</t>
  </si>
  <si>
    <t xml:space="preserve">RYAN MELISSA J </t>
  </si>
  <si>
    <t>432 ORCHARD PL</t>
  </si>
  <si>
    <t>428 ORCHARD PL</t>
  </si>
  <si>
    <t>WEAVER TERRIN MANGHAM</t>
  </si>
  <si>
    <t xml:space="preserve">POLLOCK MARGARET M </t>
  </si>
  <si>
    <t>0 ORCHARD PL</t>
  </si>
  <si>
    <t xml:space="preserve">LACHINA MARGARET </t>
  </si>
  <si>
    <t>LACHINA MARGARET LISA</t>
  </si>
  <si>
    <t xml:space="preserve">MURRAY LAWTON </t>
  </si>
  <si>
    <t>403 ORCHARD PL</t>
  </si>
  <si>
    <t>CHURCHVIEW AVE</t>
  </si>
  <si>
    <t xml:space="preserve">SIMS JOSEPH E </t>
  </si>
  <si>
    <t>407 ORCHARD PL</t>
  </si>
  <si>
    <t xml:space="preserve">LEON DE JUDA MINISTRIES                         </t>
  </si>
  <si>
    <t>411 ORCHARD PL</t>
  </si>
  <si>
    <t>LEON DE JUDA MINISTRI</t>
  </si>
  <si>
    <t xml:space="preserve">LASH CHAMELL R </t>
  </si>
  <si>
    <t>413 ORCHARD PL</t>
  </si>
  <si>
    <t xml:space="preserve">LASH CHAMELL </t>
  </si>
  <si>
    <t>MELVIN TYREEK JACKSON  III</t>
  </si>
  <si>
    <t>421 ORCHARD PL</t>
  </si>
  <si>
    <t>YOCHUM SHARON R</t>
  </si>
  <si>
    <t xml:space="preserve">KNOXVILLE BAPTIST CHURCH </t>
  </si>
  <si>
    <t>205 ORCHARD PL</t>
  </si>
  <si>
    <t>KNOXVILLE BAPTIST CHU</t>
  </si>
  <si>
    <t xml:space="preserve">PRICE HARRY &amp; LYNN (W) </t>
  </si>
  <si>
    <t>225 ORCHARD PL</t>
  </si>
  <si>
    <t>MCCOY'S LEARNING CENTER  LIMITED LIABILITY COMPAN</t>
  </si>
  <si>
    <t>235 ORCHARD PL</t>
  </si>
  <si>
    <t>MCCOY'S LEARNING CENT</t>
  </si>
  <si>
    <t xml:space="preserve">MID-OHIO SECURITIES  CORP                    </t>
  </si>
  <si>
    <t>301 ORCHARD PL</t>
  </si>
  <si>
    <t>MID-OHIO SECURITIES C</t>
  </si>
  <si>
    <t xml:space="preserve">PALMER TIMOTHY ALLEN </t>
  </si>
  <si>
    <t>305 ORCHARD PL</t>
  </si>
  <si>
    <t xml:space="preserve">KNIGHT KALA </t>
  </si>
  <si>
    <t>309 ORCHARD PL</t>
  </si>
  <si>
    <t xml:space="preserve">MELVIN JEANICE                                  </t>
  </si>
  <si>
    <t>311 ORCHARD PL</t>
  </si>
  <si>
    <t>JEANICE MELVIN</t>
  </si>
  <si>
    <t>KROLL LN</t>
  </si>
  <si>
    <t>HARMARKET</t>
  </si>
  <si>
    <t>CLARK BRIAN C JR &amp; JENNIFER D (W)</t>
  </si>
  <si>
    <t>317 ORCHARD PL</t>
  </si>
  <si>
    <t>CLARK BRIAN C JR &amp; JE</t>
  </si>
  <si>
    <t xml:space="preserve">BENJAMIN ROBIN </t>
  </si>
  <si>
    <t>319 ORCHARD PL</t>
  </si>
  <si>
    <t>333 ORCHARD PL</t>
  </si>
  <si>
    <t xml:space="preserve">DOVEN VERNON E </t>
  </si>
  <si>
    <t xml:space="preserve">REED MELISSA </t>
  </si>
  <si>
    <t xml:space="preserve">SALAS ERICK LARA </t>
  </si>
  <si>
    <t>336 ORCHARD PL</t>
  </si>
  <si>
    <t>GREENSPRINGS AVE</t>
  </si>
  <si>
    <t>STEPHENS CHARLES D &amp; LESLIE J KISER</t>
  </si>
  <si>
    <t>334 ORCHARD PL</t>
  </si>
  <si>
    <t xml:space="preserve">MCCLENDON MANAGEMENT LLC </t>
  </si>
  <si>
    <t>314 ORCHARD PL</t>
  </si>
  <si>
    <t xml:space="preserve">MCCLENDON MANAGEMENT </t>
  </si>
  <si>
    <t>FREMONT ST</t>
  </si>
  <si>
    <t xml:space="preserve">MCBRIDE LANEAH </t>
  </si>
  <si>
    <t>310 ORCHARD PL</t>
  </si>
  <si>
    <t>LANEAH MCBRIDE</t>
  </si>
  <si>
    <t xml:space="preserve">BEY JAMES C &amp; VILDES (W) </t>
  </si>
  <si>
    <t>248 ORCHARD PL</t>
  </si>
  <si>
    <t xml:space="preserve">MARCH JILL K </t>
  </si>
  <si>
    <t>228 ORCHARD PL</t>
  </si>
  <si>
    <t>MARCH JILL K</t>
  </si>
  <si>
    <t>PHIRI REAL ESTATE  HOLDINGS LLC</t>
  </si>
  <si>
    <t>203 JUCUNDA ST</t>
  </si>
  <si>
    <t>PHIRI REAL ESTATE HOL</t>
  </si>
  <si>
    <t>ARENA BLVD APT 144</t>
  </si>
  <si>
    <t xml:space="preserve">PANAHIAZAR BAHRAM </t>
  </si>
  <si>
    <t>209 JUCUNDA ST</t>
  </si>
  <si>
    <t>CRANBERRY DR</t>
  </si>
  <si>
    <t xml:space="preserve">STASKO LEONA P </t>
  </si>
  <si>
    <t>NEW EAGLE</t>
  </si>
  <si>
    <t>221 JUCUNDA ST</t>
  </si>
  <si>
    <t>BOEHM MARSHA A &amp; FREDERICK A (H)</t>
  </si>
  <si>
    <t>225 JUCUNDA ST</t>
  </si>
  <si>
    <t>ROBERTS VANCE  &amp; ORLEAN I (W)</t>
  </si>
  <si>
    <t>ROBERTS VANCE  &amp; ORLE</t>
  </si>
  <si>
    <t>RUSSELL DR APT E</t>
  </si>
  <si>
    <t>STREETSBORO</t>
  </si>
  <si>
    <t xml:space="preserve">DVAR INSTITUTE                                  </t>
  </si>
  <si>
    <t>JUCUNCA ST</t>
  </si>
  <si>
    <t xml:space="preserve">DOYLE AMANDA KELLY </t>
  </si>
  <si>
    <t>233 JUCUNDA ST</t>
  </si>
  <si>
    <t>JUDUNDA ST</t>
  </si>
  <si>
    <t xml:space="preserve">JOHNSON VERONICA M                              </t>
  </si>
  <si>
    <t>239 JUCUNDA ST</t>
  </si>
  <si>
    <t>JOHNSON VERONICA M BE</t>
  </si>
  <si>
    <t xml:space="preserve">MOORE SHAWNECE </t>
  </si>
  <si>
    <t xml:space="preserve">JOHNSON JOHN A JR </t>
  </si>
  <si>
    <t>311 JUCUNDA ST</t>
  </si>
  <si>
    <t xml:space="preserve">DAVIS CHARLES ALAN </t>
  </si>
  <si>
    <t>313 JUCUNDA ST</t>
  </si>
  <si>
    <t xml:space="preserve">STEPHENS TERRY                                  </t>
  </si>
  <si>
    <t>323 JUCUNDA ST</t>
  </si>
  <si>
    <t>TERRY STEPHENS</t>
  </si>
  <si>
    <t xml:space="preserve">GANSTER JOANNA L                                </t>
  </si>
  <si>
    <t>329 JUCUNDA ST</t>
  </si>
  <si>
    <t>KNOXVILLE TRUST FOR  BAYVIEW</t>
  </si>
  <si>
    <t>337 JUCUNDA ST</t>
  </si>
  <si>
    <t>PO BOX 331409</t>
  </si>
  <si>
    <t xml:space="preserve">FLAT IRON HOLDINGS LLC </t>
  </si>
  <si>
    <t>338 JUCUNDA ST</t>
  </si>
  <si>
    <t>FLAT IRON HOLDINGS LL</t>
  </si>
  <si>
    <t>E BASELINE RD</t>
  </si>
  <si>
    <t>KOJTEK WALTER J &amp; PATRICIA M</t>
  </si>
  <si>
    <t>336 JUCUNDA ST</t>
  </si>
  <si>
    <t>TERENCE MATUSZAK</t>
  </si>
  <si>
    <t>0 JUCUNDA ST REAR</t>
  </si>
  <si>
    <t xml:space="preserve">VASU PROPERTIES LLC </t>
  </si>
  <si>
    <t>328 JUCUNDA ST</t>
  </si>
  <si>
    <t>VASU PROPERTIES LLC</t>
  </si>
  <si>
    <t>322 JUCUNDA ST</t>
  </si>
  <si>
    <t xml:space="preserve">BENNETT PAUL </t>
  </si>
  <si>
    <t>318 JUCUNDA ST</t>
  </si>
  <si>
    <t>238 JUCUNDA ST</t>
  </si>
  <si>
    <t>W BELLECREST AVE APT 2</t>
  </si>
  <si>
    <t>HOOVER DIANE J &amp; DEAN L HOOVER</t>
  </si>
  <si>
    <t xml:space="preserve">JOHNSON JOHN A                                  </t>
  </si>
  <si>
    <t>228 JUCUNDA ST</t>
  </si>
  <si>
    <t xml:space="preserve">PRINCE ANTHONY </t>
  </si>
  <si>
    <t>222 JUCUNDA ST</t>
  </si>
  <si>
    <t xml:space="preserve">THORTON ALBERT L </t>
  </si>
  <si>
    <t xml:space="preserve">BURGESS BILLIE D </t>
  </si>
  <si>
    <t>216 JUCUNDA ST</t>
  </si>
  <si>
    <t>C/O EDWINA MIXON</t>
  </si>
  <si>
    <t>JUCUNDA ST 2ND FL</t>
  </si>
  <si>
    <t xml:space="preserve">WILSON CHARLOTTE RENEE </t>
  </si>
  <si>
    <t>208 JUCUNDA ST</t>
  </si>
  <si>
    <t>WILSON-MORAN CHARLOTT</t>
  </si>
  <si>
    <t xml:space="preserve">WHITE STEPHANIE L </t>
  </si>
  <si>
    <t>215 CHARLES ST</t>
  </si>
  <si>
    <t xml:space="preserve">MUKHERJEE KUSHAL </t>
  </si>
  <si>
    <t>HARBOR BLVD UNIT 1044</t>
  </si>
  <si>
    <t>WEEHAWKEN</t>
  </si>
  <si>
    <t xml:space="preserve">LOWMAN ADRENIA E </t>
  </si>
  <si>
    <t>305 CHARLES ST</t>
  </si>
  <si>
    <t>WALKER ROBERT  &amp; LUCILLE WALKER</t>
  </si>
  <si>
    <t xml:space="preserve">MIXON ROBIN D </t>
  </si>
  <si>
    <t>319 CHARLES ST</t>
  </si>
  <si>
    <t xml:space="preserve">BEY SHERIELL A </t>
  </si>
  <si>
    <t>323 CHARLES ST</t>
  </si>
  <si>
    <t>BEY SHERIELL A</t>
  </si>
  <si>
    <t xml:space="preserve">WATSON SHAUN C </t>
  </si>
  <si>
    <t>THORNTON THOMAS GM &amp; BESSIE A (W)</t>
  </si>
  <si>
    <t>331 CHARLES ST</t>
  </si>
  <si>
    <t>MIRACLE TEMPLE BIBLE  WAY CHURCH OF OUR LORD J</t>
  </si>
  <si>
    <t xml:space="preserve">THOMAS EBONY </t>
  </si>
  <si>
    <t>246 CHARLES ST</t>
  </si>
  <si>
    <t xml:space="preserve">ALSTON DEAN R </t>
  </si>
  <si>
    <t>214 CHARLES ST</t>
  </si>
  <si>
    <t xml:space="preserve">STURGEON IRENE </t>
  </si>
  <si>
    <t>1 AMANDA AVE REAR</t>
  </si>
  <si>
    <t>STURGEON IRENE</t>
  </si>
  <si>
    <t>P O BOX 59072</t>
  </si>
  <si>
    <t>3 AMANDA AVE</t>
  </si>
  <si>
    <t>GOSLIN MARVIN LEE &amp; S</t>
  </si>
  <si>
    <t>109 ORCHARD PL</t>
  </si>
  <si>
    <t>111 ORCHARD PL</t>
  </si>
  <si>
    <t>129 ORCHARD PL</t>
  </si>
  <si>
    <t>HILLTOP COMMUNITY  CHILDREN'S CENTER INC</t>
  </si>
  <si>
    <t>201 ORCHARD PL</t>
  </si>
  <si>
    <t xml:space="preserve">WALSH JEANNINE M </t>
  </si>
  <si>
    <t>142 ORCHARD PL</t>
  </si>
  <si>
    <t>BLANKENSHIP ROY E JR &amp; KEONA L (W)</t>
  </si>
  <si>
    <t>130 ORCHARD PL</t>
  </si>
  <si>
    <t xml:space="preserve">BLANKENSHIP ROY E JR </t>
  </si>
  <si>
    <t>CHOUDRY ITTIFAQ A &amp; RUQIA R (W)</t>
  </si>
  <si>
    <t>126 ORCHARD PL</t>
  </si>
  <si>
    <t>PRICE SHIRLEY F &amp; PAUL R PRICE</t>
  </si>
  <si>
    <t>120 ORCHARD PL</t>
  </si>
  <si>
    <t xml:space="preserve">TRADER NICOLE ANN </t>
  </si>
  <si>
    <t>118 ORCHARD PL</t>
  </si>
  <si>
    <t>ASHEVILLE</t>
  </si>
  <si>
    <t xml:space="preserve">MARTIN SHELLEY A </t>
  </si>
  <si>
    <t>15 AMANDA AVE</t>
  </si>
  <si>
    <t>JJ REAL ESTATE  DEVELOPMENT LLC</t>
  </si>
  <si>
    <t>19 AMANDA AVE</t>
  </si>
  <si>
    <t>JJ REAL ESTATE DEVELO</t>
  </si>
  <si>
    <t>IRVIN RONALD  &amp; JUANITA A CHAVARRIE</t>
  </si>
  <si>
    <t xml:space="preserve">BECKER KELLY LEA </t>
  </si>
  <si>
    <t>5TH ST APT 2</t>
  </si>
  <si>
    <t>BRILLIANT</t>
  </si>
  <si>
    <t xml:space="preserve">ABEL GARY </t>
  </si>
  <si>
    <t>125 JUCUNDA ST</t>
  </si>
  <si>
    <t>PO BOX 344</t>
  </si>
  <si>
    <t xml:space="preserve">HARRIS WILLIAM A                                </t>
  </si>
  <si>
    <t>139 JUCUNDA ST</t>
  </si>
  <si>
    <t xml:space="preserve">CLARK BRIAN                                     </t>
  </si>
  <si>
    <t>141 JUCUNDA ST</t>
  </si>
  <si>
    <t>147 JUCUNDA ST</t>
  </si>
  <si>
    <t>LIVING PLACE RD STE 200</t>
  </si>
  <si>
    <t>EQUITY INVESTMENTS  GROUP LLC</t>
  </si>
  <si>
    <t>153 JUCUNDA ST</t>
  </si>
  <si>
    <t>EQUITY INVESTMENTS GR</t>
  </si>
  <si>
    <t>23RD ST EXT # 950</t>
  </si>
  <si>
    <t>KINGDOM LIFE FELLOWSHIP  PITTSBURGH</t>
  </si>
  <si>
    <t>KINGDOM LIFE FELLOWSH</t>
  </si>
  <si>
    <t xml:space="preserve">CASTILLO BORIS I </t>
  </si>
  <si>
    <t>67 KNOX AVE</t>
  </si>
  <si>
    <t>KNOXVILLE UNITED CHURCH  ETAL</t>
  </si>
  <si>
    <t>PRESBYTERIAN CHURCH OF KNOXVILLE (THE)</t>
  </si>
  <si>
    <t>148 JUCUNDA ST</t>
  </si>
  <si>
    <t xml:space="preserve">KRESS KENNETH </t>
  </si>
  <si>
    <t>RED STAR REAL ESTAE &amp; PROPERTIES</t>
  </si>
  <si>
    <t>134 JUCUNDA ST</t>
  </si>
  <si>
    <t>RED STAR REAL ESTAE &amp;</t>
  </si>
  <si>
    <t>WEBCOR INC C/O URSULI</t>
  </si>
  <si>
    <t xml:space="preserve">RETHAGE MARY A </t>
  </si>
  <si>
    <t>BURGESS ST</t>
  </si>
  <si>
    <t xml:space="preserve">SENOSKI MICHAEL                                 </t>
  </si>
  <si>
    <t>ELIZABETH AUGUSTINE</t>
  </si>
  <si>
    <t>E HARRISON ST</t>
  </si>
  <si>
    <t>TARPON SPRINGS</t>
  </si>
  <si>
    <t xml:space="preserve">HULBOY JENNIFER </t>
  </si>
  <si>
    <t xml:space="preserve">PEARSON LOUIS R </t>
  </si>
  <si>
    <t>106 JUCUNDA ST</t>
  </si>
  <si>
    <t xml:space="preserve">CABBAGESTALK BARTO                              </t>
  </si>
  <si>
    <t>35 AMANDA AVE</t>
  </si>
  <si>
    <t xml:space="preserve">CABBAGESTALK BARTO &amp; </t>
  </si>
  <si>
    <t>CABBAGESTALK BARTO S &amp; YVONNE L (W)</t>
  </si>
  <si>
    <t>37 AMANDA AVE</t>
  </si>
  <si>
    <t xml:space="preserve">CABBAGESTALK BARTO S </t>
  </si>
  <si>
    <t>0 AMANDA AVE</t>
  </si>
  <si>
    <t xml:space="preserve">MOSS EDWINA </t>
  </si>
  <si>
    <t>113 CHARLES ST</t>
  </si>
  <si>
    <t xml:space="preserve">RJEILI ANTHONY BOU </t>
  </si>
  <si>
    <t>121 CHARLES ST</t>
  </si>
  <si>
    <t>RJEILI ANTHONY BOU</t>
  </si>
  <si>
    <t>BAUMAN AVE</t>
  </si>
  <si>
    <t>BOOTH MICHAEL DOMINQUE NUNLEY</t>
  </si>
  <si>
    <t>125 CHARLES ST</t>
  </si>
  <si>
    <t>PO BOX 79047</t>
  </si>
  <si>
    <t xml:space="preserve">CABBAGESTALK BARTO </t>
  </si>
  <si>
    <t xml:space="preserve">HUGLEY PAMELA </t>
  </si>
  <si>
    <t>133 CHARLES ST</t>
  </si>
  <si>
    <t>135 CHARLES ST</t>
  </si>
  <si>
    <t xml:space="preserve">SNOW MAURICE J JR </t>
  </si>
  <si>
    <t>139 CHARLES ST</t>
  </si>
  <si>
    <t>QUAIL DR</t>
  </si>
  <si>
    <t xml:space="preserve">KSTEELO LLC </t>
  </si>
  <si>
    <t>71 KNOX AVE</t>
  </si>
  <si>
    <t>KNOXVILLE CHRISTIAN CHURCH</t>
  </si>
  <si>
    <t>CULLENS JEFF J &amp; BANDY MAXINE A</t>
  </si>
  <si>
    <t>208 CHARLES ST</t>
  </si>
  <si>
    <t>HUNTINGTON DR</t>
  </si>
  <si>
    <t>CULLENS JEFF J &amp; MAXINE A BANDY</t>
  </si>
  <si>
    <t>206 CHARLES ST</t>
  </si>
  <si>
    <t>83 KNOX AVE</t>
  </si>
  <si>
    <t>MOUNT OLIVER</t>
  </si>
  <si>
    <t xml:space="preserve">NAGY JODI I </t>
  </si>
  <si>
    <t xml:space="preserve">JOHNSON DERAE </t>
  </si>
  <si>
    <t>136 CHARLES ST</t>
  </si>
  <si>
    <t>JOHNSON DERAE</t>
  </si>
  <si>
    <t>LAMB BRENDA J &amp; HATTIE BENSON</t>
  </si>
  <si>
    <t>PO BOX 4230</t>
  </si>
  <si>
    <t>MORGANTOWN</t>
  </si>
  <si>
    <t>132 CHARLES ST</t>
  </si>
  <si>
    <t xml:space="preserve">MCPHERSON RONALD &amp; GAIL (W)                </t>
  </si>
  <si>
    <t>120 CHARLES ST</t>
  </si>
  <si>
    <t>MCPHERSON RONALD &amp; GA</t>
  </si>
  <si>
    <t xml:space="preserve">FAGUNDES JORGE </t>
  </si>
  <si>
    <t>424 CHARLES ST</t>
  </si>
  <si>
    <t>JAMES ST UNIT A</t>
  </si>
  <si>
    <t xml:space="preserve">WHITE RICHARD </t>
  </si>
  <si>
    <t>422 CHARLES ST</t>
  </si>
  <si>
    <t>WHITE RICHARD</t>
  </si>
  <si>
    <t xml:space="preserve">MCCLENDON WILBERT </t>
  </si>
  <si>
    <t>420 CHARLES ST</t>
  </si>
  <si>
    <t>E TULPEHOCKIN ST</t>
  </si>
  <si>
    <t xml:space="preserve">MOORE CLYDE </t>
  </si>
  <si>
    <t>418 CHARLES ST</t>
  </si>
  <si>
    <t xml:space="preserve">AVENI ANTONIO </t>
  </si>
  <si>
    <t>416 CHARLES ST</t>
  </si>
  <si>
    <t xml:space="preserve">CASTILLO NOEMI                                  </t>
  </si>
  <si>
    <t xml:space="preserve">JENKINS JOSEPH M </t>
  </si>
  <si>
    <t>410 CHARLES ST</t>
  </si>
  <si>
    <t xml:space="preserve">SILVER HARRY T </t>
  </si>
  <si>
    <t>BECK ARTHUR L &amp; JACQUELINE</t>
  </si>
  <si>
    <t>405 ZARA ST</t>
  </si>
  <si>
    <t>MCENHEIMER MARY M &amp; LYDIA MARIE POLLARD</t>
  </si>
  <si>
    <t>0 ZARA ST</t>
  </si>
  <si>
    <t>MCENHEIMER MARY M &amp; L</t>
  </si>
  <si>
    <t>E WARRINGTON AVE APT 1</t>
  </si>
  <si>
    <t xml:space="preserve">HYLAND CASSIE L </t>
  </si>
  <si>
    <t>415 ZARA ST</t>
  </si>
  <si>
    <t xml:space="preserve">MORRIS DARLENE                                  </t>
  </si>
  <si>
    <t>421 ZARA ST</t>
  </si>
  <si>
    <t xml:space="preserve">FLOYD ELIJAH </t>
  </si>
  <si>
    <t>BUIST AVE</t>
  </si>
  <si>
    <t xml:space="preserve">CHEATOM BRANDI </t>
  </si>
  <si>
    <t>422 ZARA ST</t>
  </si>
  <si>
    <t>SOVEREIGN DEVELOPMENT  LLC</t>
  </si>
  <si>
    <t>410 ZARA ST</t>
  </si>
  <si>
    <t>SOVEREIGN DEVELOPMENT</t>
  </si>
  <si>
    <t xml:space="preserve">BRIGHT LUCILLE </t>
  </si>
  <si>
    <t>0 ROCHELLE ST</t>
  </si>
  <si>
    <t>407 ROCHELLE ST</t>
  </si>
  <si>
    <t xml:space="preserve">JOHNSON NATHANIEL E </t>
  </si>
  <si>
    <t>409 ROCHELLE ST</t>
  </si>
  <si>
    <t>WILLIAMS RAYMOND E &amp; CONSTANCE L</t>
  </si>
  <si>
    <t>415 ROCHELLE ST</t>
  </si>
  <si>
    <t>TRIBUTE PLACE DR 106</t>
  </si>
  <si>
    <t xml:space="preserve">ROUGH WORK LLC </t>
  </si>
  <si>
    <t>417 ROCHELLE ST</t>
  </si>
  <si>
    <t>423 ROCHELLE ST</t>
  </si>
  <si>
    <t>BETRY RAE DR</t>
  </si>
  <si>
    <t xml:space="preserve">ELEY WILLA J </t>
  </si>
  <si>
    <t>425 ROCHELLE ST</t>
  </si>
  <si>
    <t xml:space="preserve">DORSEY ROBIN </t>
  </si>
  <si>
    <t>427 ROCHELLE ST</t>
  </si>
  <si>
    <t>0 ELSINBURG WAY</t>
  </si>
  <si>
    <t>1/2 ROCHELLE ST</t>
  </si>
  <si>
    <t xml:space="preserve">GREEN NICOLE </t>
  </si>
  <si>
    <t>GREEN NICOLE</t>
  </si>
  <si>
    <t xml:space="preserve">ANDREWS LORRAINE </t>
  </si>
  <si>
    <t>431 ROCHELLE ST</t>
  </si>
  <si>
    <t>ANDREWS LORRAINE</t>
  </si>
  <si>
    <t>GLENDALE RD</t>
  </si>
  <si>
    <t xml:space="preserve">LEONARD QUINCY </t>
  </si>
  <si>
    <t>435 ROCHELLE ST</t>
  </si>
  <si>
    <t>WELLONS SHERMAN L JR &amp; MARGARET L (W)</t>
  </si>
  <si>
    <t xml:space="preserve">PURDOM WILLIE J </t>
  </si>
  <si>
    <t xml:space="preserve">ARSENIS SERGEY </t>
  </si>
  <si>
    <t>422 ROCHELLE ST</t>
  </si>
  <si>
    <t xml:space="preserve">ARSENIS SERGEY       </t>
  </si>
  <si>
    <t>MOSCOW RUSSIA</t>
  </si>
  <si>
    <t>HOYLE VAN J &amp; AREATHA (W)</t>
  </si>
  <si>
    <t>420 ROCHELLE ST</t>
  </si>
  <si>
    <t>418 ROCHELLE ST</t>
  </si>
  <si>
    <t xml:space="preserve">BEY T SAMUEL </t>
  </si>
  <si>
    <t>416 ROCHELLE ST</t>
  </si>
  <si>
    <t xml:space="preserve">BEY JMAR </t>
  </si>
  <si>
    <t>408 ROCHELLE ST</t>
  </si>
  <si>
    <t>ALSTON WILLIAM F &amp; PENCILLA (W)</t>
  </si>
  <si>
    <t>KIRKPATRICK REMODELING  LLC</t>
  </si>
  <si>
    <t>427 BAUSMAN ST</t>
  </si>
  <si>
    <t xml:space="preserve">EVANS STEPHEN </t>
  </si>
  <si>
    <t xml:space="preserve">WIMBERLY JAMES </t>
  </si>
  <si>
    <t>223 ZARA ST</t>
  </si>
  <si>
    <t xml:space="preserve">EARLY DAVID </t>
  </si>
  <si>
    <t>HILLCREST VIEW</t>
  </si>
  <si>
    <t>HARTSDALE</t>
  </si>
  <si>
    <t xml:space="preserve">PETERSON AIMEE                                  </t>
  </si>
  <si>
    <t>237 ZARA ST</t>
  </si>
  <si>
    <t xml:space="preserve">MITCHELL SHARON </t>
  </si>
  <si>
    <t>0 GRIMES AVE</t>
  </si>
  <si>
    <t xml:space="preserve">PEREZ GRICELDA CRUZ                             </t>
  </si>
  <si>
    <t>402 ZARA ST</t>
  </si>
  <si>
    <t xml:space="preserve">SOLID ROCK CHURCH </t>
  </si>
  <si>
    <t>332 ZARA ST</t>
  </si>
  <si>
    <t>ZONE INVESTMENT  PARTNERSHIP LTD</t>
  </si>
  <si>
    <t xml:space="preserve">BEY NABILA A </t>
  </si>
  <si>
    <t>322 ZARA ST</t>
  </si>
  <si>
    <t>SPRING CAPITAL PARTNERS  LLC</t>
  </si>
  <si>
    <t>302 ZARA ST</t>
  </si>
  <si>
    <t>SPRING CAPITAL PARTNE</t>
  </si>
  <si>
    <t>PHOENIX ESTATE LLC       ETAL</t>
  </si>
  <si>
    <t>242 ZARA ST</t>
  </si>
  <si>
    <t>PHOENIX ESTATE LLC ME</t>
  </si>
  <si>
    <t>WASSON PL FL 2</t>
  </si>
  <si>
    <t>CHRISTOPHER GEORGE  &amp; SONDRA (W)</t>
  </si>
  <si>
    <t>236 ZARA ST</t>
  </si>
  <si>
    <t xml:space="preserve">USTVREA LLC </t>
  </si>
  <si>
    <t>232 ZARA ST</t>
  </si>
  <si>
    <t>FASHION BLVD STE 200</t>
  </si>
  <si>
    <t>224 ZARA ST</t>
  </si>
  <si>
    <t xml:space="preserve">WELLS YOLANDA </t>
  </si>
  <si>
    <t>BERTWATERS DR</t>
  </si>
  <si>
    <t xml:space="preserve">THOMPSON RODNEY </t>
  </si>
  <si>
    <t>216 ZARA ST</t>
  </si>
  <si>
    <t>WHITE EDDIE J &amp; HILLARIE D (W)</t>
  </si>
  <si>
    <t xml:space="preserve">MENGES AGNES B </t>
  </si>
  <si>
    <t xml:space="preserve">BROWN JOAN </t>
  </si>
  <si>
    <t>221 ROCHELLE ST</t>
  </si>
  <si>
    <t>BROWN JOAN</t>
  </si>
  <si>
    <t>ABACO DR</t>
  </si>
  <si>
    <t>TAVARES</t>
  </si>
  <si>
    <t xml:space="preserve">CARRINGTON JESSE </t>
  </si>
  <si>
    <t>229 ROCHELLE ST</t>
  </si>
  <si>
    <t>PEARSON JOHN R &amp; THERESA A (W)</t>
  </si>
  <si>
    <t>OTILLIA ST APT 1</t>
  </si>
  <si>
    <t>DAKOTA BEAR LLC          ETAL</t>
  </si>
  <si>
    <t>249 ROCHELLE ST</t>
  </si>
  <si>
    <t>ALASKA BULL MOOSE LLC    ETAL</t>
  </si>
  <si>
    <t>410 GRIMES AVE</t>
  </si>
  <si>
    <t>SECORD NORTH LLC AM L</t>
  </si>
  <si>
    <t xml:space="preserve">BEY SALAHADIN A </t>
  </si>
  <si>
    <t>AVON PLACE</t>
  </si>
  <si>
    <t>305 ROCHELLE ST</t>
  </si>
  <si>
    <t>311 ROCHELLE ST</t>
  </si>
  <si>
    <t>WHISPERING PINES</t>
  </si>
  <si>
    <t xml:space="preserve">LATIMER KEVIN </t>
  </si>
  <si>
    <t>331 ROCHELLE ST</t>
  </si>
  <si>
    <t>STEEL CITY REALTY &amp; HOME REMODELING LLC</t>
  </si>
  <si>
    <t>337 ROCHELLE ST</t>
  </si>
  <si>
    <t>STEEL CITY REALTY &amp; H</t>
  </si>
  <si>
    <t>EDMUNDS NORMAN &amp; TRACY (W)</t>
  </si>
  <si>
    <t>339 ROCHELLE ST</t>
  </si>
  <si>
    <t>EDMUNDS NORMAN &amp; TRAC</t>
  </si>
  <si>
    <t xml:space="preserve">DVA SERVICES INC </t>
  </si>
  <si>
    <t>400 ROCHELLE ST</t>
  </si>
  <si>
    <t>DVA SERVICES INC</t>
  </si>
  <si>
    <t xml:space="preserve">GOODMAN LESLIE M </t>
  </si>
  <si>
    <t>326 ROCHELLE ST</t>
  </si>
  <si>
    <t xml:space="preserve">GOODWINE LYNNE </t>
  </si>
  <si>
    <t>324 ROCHELLE ST</t>
  </si>
  <si>
    <t xml:space="preserve">DIXON ALVIN </t>
  </si>
  <si>
    <t>318 ROCHELLE ST</t>
  </si>
  <si>
    <t>SWAN DR</t>
  </si>
  <si>
    <t>316 ROCHELLE ST</t>
  </si>
  <si>
    <t>BROWN BASIL L JR &amp; LOIS L (W)</t>
  </si>
  <si>
    <t>314 ROCHELLE ST</t>
  </si>
  <si>
    <t xml:space="preserve">LOPEZ GLORIA </t>
  </si>
  <si>
    <t>304 ROCHELLE ST</t>
  </si>
  <si>
    <t>GLORIA LOPEZ</t>
  </si>
  <si>
    <t xml:space="preserve">CARTER RON </t>
  </si>
  <si>
    <t>302 ROCHELLE ST</t>
  </si>
  <si>
    <t>CHIKUNI HAROLD  &amp; CHRISTINA A (W)</t>
  </si>
  <si>
    <t>CHIKUNI HAROLD  &amp; CHR</t>
  </si>
  <si>
    <t>LONG DR</t>
  </si>
  <si>
    <t xml:space="preserve">VANLUVEN MARION </t>
  </si>
  <si>
    <t>PO BOX 433</t>
  </si>
  <si>
    <t>EAST POINT</t>
  </si>
  <si>
    <t>GETHERS MIRANDA &amp; THOMAS JOHN GETHERS</t>
  </si>
  <si>
    <t>GETHERS MIRANDA &amp; THO</t>
  </si>
  <si>
    <t>PO BOX 2043</t>
  </si>
  <si>
    <t>WOONSOCKET</t>
  </si>
  <si>
    <t>SHEEHAN ALICE C &amp; &amp; SHEEHAN DENNIS J</t>
  </si>
  <si>
    <t xml:space="preserve">AYERS GEORGIE F </t>
  </si>
  <si>
    <t>226 ROCHELLE ST</t>
  </si>
  <si>
    <t xml:space="preserve">CLELLEN CHRISTINE N                             </t>
  </si>
  <si>
    <t>218 ROCHELLE ST</t>
  </si>
  <si>
    <t xml:space="preserve">GNIPP DAVID </t>
  </si>
  <si>
    <t>247 BAUSMAN ST</t>
  </si>
  <si>
    <t xml:space="preserve">BECKER CELESTINE </t>
  </si>
  <si>
    <t>249 BAUSMAN ST</t>
  </si>
  <si>
    <t>311 BAUSMAN ST</t>
  </si>
  <si>
    <t>JOHNSON FAMILY TRUST  #4465 (THE) R.L. HOSKIN</t>
  </si>
  <si>
    <t>321 BAUSMAN ST</t>
  </si>
  <si>
    <t>SEAMAN MICHAEL M         ETAL</t>
  </si>
  <si>
    <t>327 BAUSMAN ST</t>
  </si>
  <si>
    <t>RATHKE ROBERT</t>
  </si>
  <si>
    <t>NEWPORT RD</t>
  </si>
  <si>
    <t xml:space="preserve">GILMORE RONALD J </t>
  </si>
  <si>
    <t>331 BAUSMAN ST</t>
  </si>
  <si>
    <t>RONALD J GILMORE</t>
  </si>
  <si>
    <t>VIRGINIA FOREST CT</t>
  </si>
  <si>
    <t xml:space="preserve">BURROW SEAN </t>
  </si>
  <si>
    <t>333 BAUSMAN ST</t>
  </si>
  <si>
    <t xml:space="preserve">LEACH CHRISTIANE </t>
  </si>
  <si>
    <t>403 BAUSMAN ST</t>
  </si>
  <si>
    <t xml:space="preserve">LARKIN SHEILA D                                 </t>
  </si>
  <si>
    <t>332 BAUSMAN ST</t>
  </si>
  <si>
    <t># 2</t>
  </si>
  <si>
    <t xml:space="preserve">WUNDERLY PATRICK A </t>
  </si>
  <si>
    <t>328 BAUSMAN ST</t>
  </si>
  <si>
    <t xml:space="preserve">CHRISTIAN BETHEL L                              </t>
  </si>
  <si>
    <t>322 BAUSMAN ST</t>
  </si>
  <si>
    <t xml:space="preserve">BLACKSON JEFFREY SCOTT </t>
  </si>
  <si>
    <t>318 BAUSMAN ST</t>
  </si>
  <si>
    <t>BLACKSON JEFFREY SCOT</t>
  </si>
  <si>
    <t xml:space="preserve">BRENTLEY MARK JR </t>
  </si>
  <si>
    <t>314 BAUSMAN ST</t>
  </si>
  <si>
    <t>FOSTER SQ</t>
  </si>
  <si>
    <t xml:space="preserve">BROWN LESLIE JR </t>
  </si>
  <si>
    <t>306 BAUSMAN ST</t>
  </si>
  <si>
    <t xml:space="preserve">LOPEZ JUAN P </t>
  </si>
  <si>
    <t>250 BAUSMAN ST</t>
  </si>
  <si>
    <t>JUAN P LOPEZ</t>
  </si>
  <si>
    <t xml:space="preserve">HAHN DOROTHY </t>
  </si>
  <si>
    <t>248 BAUSMAN ST</t>
  </si>
  <si>
    <t xml:space="preserve">CARMONA DARIO SOLLS </t>
  </si>
  <si>
    <t>236 BAUSMAN ST</t>
  </si>
  <si>
    <t>DARIO SOLLS CARMONA</t>
  </si>
  <si>
    <t>REICH MICHAEL F &amp; BEVERLY (W)</t>
  </si>
  <si>
    <t>224 BAUSMAN ST</t>
  </si>
  <si>
    <t>220 BAUSMAN ST</t>
  </si>
  <si>
    <t>P O BOX 59438</t>
  </si>
  <si>
    <t xml:space="preserve">ROCKLEDGE COMMONS LLC </t>
  </si>
  <si>
    <t>89 KNOX AVE</t>
  </si>
  <si>
    <t xml:space="preserve">JOHNSON ALMA R </t>
  </si>
  <si>
    <t>145 ZARA ST</t>
  </si>
  <si>
    <t>SCOTT W. KLOSE</t>
  </si>
  <si>
    <t>KETOCTIN CHURCH RD</t>
  </si>
  <si>
    <t>PURCELLVILLE</t>
  </si>
  <si>
    <t xml:space="preserve">PIPER EDNA L </t>
  </si>
  <si>
    <t>143 ZARA ST</t>
  </si>
  <si>
    <t xml:space="preserve">KELLY CHARLES W </t>
  </si>
  <si>
    <t xml:space="preserve">TUREK ANNA L </t>
  </si>
  <si>
    <t>FALLOWFIELD AVE APT 2A</t>
  </si>
  <si>
    <t xml:space="preserve">RITTER BRIAN </t>
  </si>
  <si>
    <t>123 ZARA ST</t>
  </si>
  <si>
    <t>DUFFY PATRICK J &amp; ALICE M</t>
  </si>
  <si>
    <t>119 ZARA ST</t>
  </si>
  <si>
    <t>117 ZARA ST</t>
  </si>
  <si>
    <t>FRIEDMAN GREGORY  &amp; BEATRICE (W)</t>
  </si>
  <si>
    <t>109 ZARA ST</t>
  </si>
  <si>
    <t>FRIEDMAN GREGORY  &amp; B</t>
  </si>
  <si>
    <t>107 ZARA ST</t>
  </si>
  <si>
    <t>210 ZARA ST</t>
  </si>
  <si>
    <t xml:space="preserve">DECARLO JESSE </t>
  </si>
  <si>
    <t>S FEDERAL HWY OFC</t>
  </si>
  <si>
    <t>DEERFIELD BEACH</t>
  </si>
  <si>
    <t xml:space="preserve">MORETTI GILDA </t>
  </si>
  <si>
    <t>96 KNOX AVE</t>
  </si>
  <si>
    <t xml:space="preserve">MATTOLA BARBARA A </t>
  </si>
  <si>
    <t>138 ZARA ST</t>
  </si>
  <si>
    <t xml:space="preserve">WAHID ERIC L </t>
  </si>
  <si>
    <t>136 ZARA ST</t>
  </si>
  <si>
    <t xml:space="preserve">THORNTON TABITHA MARIE </t>
  </si>
  <si>
    <t>132 ZARA ST</t>
  </si>
  <si>
    <t xml:space="preserve">NOEL JEREMIAH D </t>
  </si>
  <si>
    <t>130 ZARA ST</t>
  </si>
  <si>
    <t xml:space="preserve">THORNTON TRACEY </t>
  </si>
  <si>
    <t xml:space="preserve">THORNTON TAMMY LYNN </t>
  </si>
  <si>
    <t>124 ZARA ST</t>
  </si>
  <si>
    <t xml:space="preserve">BAG ENTERPRISES LLC                             </t>
  </si>
  <si>
    <t>118 ZARA ST</t>
  </si>
  <si>
    <t>BAG ENTERPRISES LLC</t>
  </si>
  <si>
    <t xml:space="preserve">RETHAGE WILBERT SR </t>
  </si>
  <si>
    <t>63 AMANDA AVE</t>
  </si>
  <si>
    <t xml:space="preserve">RETHAGE WAYNE P </t>
  </si>
  <si>
    <t>65 AMANDA AVE</t>
  </si>
  <si>
    <t>MCCARTNEY RD</t>
  </si>
  <si>
    <t>IRVONA</t>
  </si>
  <si>
    <t>MARCH WALTER J &amp; ANDREA E</t>
  </si>
  <si>
    <t>GAITO DAVID  &amp; ROSE MARIE (W)</t>
  </si>
  <si>
    <t xml:space="preserve">ERVIN SAMUEL L SR </t>
  </si>
  <si>
    <t>133 ROCHELLE ST</t>
  </si>
  <si>
    <t>139 ROCHELLE ST</t>
  </si>
  <si>
    <t>802 ANAHEIM LLC</t>
  </si>
  <si>
    <t>SUSSEX WAY</t>
  </si>
  <si>
    <t xml:space="preserve">ROBINSON DANIEL H JR </t>
  </si>
  <si>
    <t>141 ROCHELLE ST</t>
  </si>
  <si>
    <t>DANIEL H ROBINSON JR</t>
  </si>
  <si>
    <t>106 KNOX AVE</t>
  </si>
  <si>
    <t>107 KNOX AVE</t>
  </si>
  <si>
    <t xml:space="preserve">FIRST KNOX TRUST </t>
  </si>
  <si>
    <t>PO BOX 1327</t>
  </si>
  <si>
    <t>WALKER ALONZO  &amp; ANNA M (W)</t>
  </si>
  <si>
    <t xml:space="preserve">SECOND KNOX TRUST </t>
  </si>
  <si>
    <t xml:space="preserve">BIZIMUNGU EMILE </t>
  </si>
  <si>
    <t>128 KNOX AVE</t>
  </si>
  <si>
    <t>P.O. BOX # 59024</t>
  </si>
  <si>
    <t>126 KNOX AVE</t>
  </si>
  <si>
    <t>P.O. BOX #59024</t>
  </si>
  <si>
    <t xml:space="preserve">POUNDS JAMES  &amp; BETH (W) </t>
  </si>
  <si>
    <t xml:space="preserve">CARDAMONE MARIE ANTONIA </t>
  </si>
  <si>
    <t xml:space="preserve">HANSER ALBERT </t>
  </si>
  <si>
    <t>112 KNOX AVE</t>
  </si>
  <si>
    <t>PO BOX 97969</t>
  </si>
  <si>
    <t xml:space="preserve">SARKIS JOHN </t>
  </si>
  <si>
    <t>140 ROCHELLE ST</t>
  </si>
  <si>
    <t>BERRINGTON CT</t>
  </si>
  <si>
    <t>142 ROCHELLE ST</t>
  </si>
  <si>
    <t xml:space="preserve">SCHMIDT FRANK S </t>
  </si>
  <si>
    <t>122 ROCHELLE ST</t>
  </si>
  <si>
    <t xml:space="preserve">MARCH ANDREA </t>
  </si>
  <si>
    <t>112 ROCHELLE ST</t>
  </si>
  <si>
    <t xml:space="preserve">KENNEDY WILLIAM ALFONZO </t>
  </si>
  <si>
    <t>110 ROCHELLE ST</t>
  </si>
  <si>
    <t>KENNEDY WILLIAM ALFON</t>
  </si>
  <si>
    <t>89 AMANDA AVE</t>
  </si>
  <si>
    <t xml:space="preserve">FREEMAN SHATINA </t>
  </si>
  <si>
    <t>93 AMANDA AVE</t>
  </si>
  <si>
    <t>97 AMANDA AVE</t>
  </si>
  <si>
    <t>SINGH MAKHAN &amp; TRACY M (W)</t>
  </si>
  <si>
    <t xml:space="preserve">SINGH MAKHAN &amp; TRACY </t>
  </si>
  <si>
    <t xml:space="preserve">GOMEZ CASIMORO BELTRAN                          </t>
  </si>
  <si>
    <t>113 BAUSMAN ST</t>
  </si>
  <si>
    <t>GOMEZ CASIMORO BELTRA</t>
  </si>
  <si>
    <t>MONTANA DOLPHIN LLC      ETAL</t>
  </si>
  <si>
    <t>115 BAUSMAN ST</t>
  </si>
  <si>
    <t>125 BAUSMAN ST</t>
  </si>
  <si>
    <t xml:space="preserve">SMITH SAMUEL </t>
  </si>
  <si>
    <t>127 BAUSMAN ST</t>
  </si>
  <si>
    <t>QUINCY AVE</t>
  </si>
  <si>
    <t>129 BAUSMAN ST</t>
  </si>
  <si>
    <t xml:space="preserve">PHAM DUYEN MY </t>
  </si>
  <si>
    <t>133 BAUSMAN ST</t>
  </si>
  <si>
    <t>MJLM PROPERTY  MANAGEMENT CO</t>
  </si>
  <si>
    <t>210 BAUSMAN ST</t>
  </si>
  <si>
    <t>144 BAUSMAN ST</t>
  </si>
  <si>
    <t xml:space="preserve">ELLIS DEVONA B </t>
  </si>
  <si>
    <t>10 GRAPE ST</t>
  </si>
  <si>
    <t>BRASHEAR ASSOCIATION  INCORPORATED</t>
  </si>
  <si>
    <t>0 GRAPE ST</t>
  </si>
  <si>
    <t xml:space="preserve">BRASHEAR ASSOCIATION </t>
  </si>
  <si>
    <t>0 BAUSMAN ST</t>
  </si>
  <si>
    <t xml:space="preserve">KRUT KEVIN JAMES </t>
  </si>
  <si>
    <t>112 BAUSMAN ST</t>
  </si>
  <si>
    <t xml:space="preserve">DAYIEB GEORGE J FAMILY  TRUST                   </t>
  </si>
  <si>
    <t>300 BROWNSVILLE RD</t>
  </si>
  <si>
    <t>DAYIEB GEORGE J FAMIL</t>
  </si>
  <si>
    <t xml:space="preserve">THE BRASHEAR ASSOCIATION </t>
  </si>
  <si>
    <t>THE BRASHEAR ASSOCIAT</t>
  </si>
  <si>
    <t>THE BRASHER ASSOCIATION  INC</t>
  </si>
  <si>
    <t>THE BRASHER ASSOCIATI</t>
  </si>
  <si>
    <t xml:space="preserve">SMITH PHILLIP D JR </t>
  </si>
  <si>
    <t>437 PARKLOW ST</t>
  </si>
  <si>
    <t xml:space="preserve">RUDDOCK KEVIN </t>
  </si>
  <si>
    <t>429 PARKLOW ST</t>
  </si>
  <si>
    <t>FAY FAIRY AMENCIE LEN</t>
  </si>
  <si>
    <t>KINGSTON 10 JA</t>
  </si>
  <si>
    <t xml:space="preserve">NAZAREK VALENDA </t>
  </si>
  <si>
    <t>423 PARKLOW ST</t>
  </si>
  <si>
    <t>PARKLOW ST</t>
  </si>
  <si>
    <t xml:space="preserve">SIMPLY PUT SYNC L P </t>
  </si>
  <si>
    <t>421 PARKLOW ST</t>
  </si>
  <si>
    <t xml:space="preserve">DICKO OUSMANE </t>
  </si>
  <si>
    <t>417 ARABELLA ST</t>
  </si>
  <si>
    <t>DICKO OUSMANE</t>
  </si>
  <si>
    <t>WALL ST STE NO 100</t>
  </si>
  <si>
    <t xml:space="preserve">EISEL JAMES J                                   </t>
  </si>
  <si>
    <t>0 PARKLOW ST</t>
  </si>
  <si>
    <t xml:space="preserve">MUNOZ NESTOR RENATO </t>
  </si>
  <si>
    <t>429 ARABELLA ST</t>
  </si>
  <si>
    <t xml:space="preserve">WENRICH ROSE MARY                               </t>
  </si>
  <si>
    <t>433 ARABELLA ST</t>
  </si>
  <si>
    <t>ARABELLA ST</t>
  </si>
  <si>
    <t xml:space="preserve">HOCKETT-MITCHELL RENE                           </t>
  </si>
  <si>
    <t>435 ARABELLA ST</t>
  </si>
  <si>
    <t>RENE HOCKETT-MITCHELL</t>
  </si>
  <si>
    <t xml:space="preserve">SHARP RICHARD E </t>
  </si>
  <si>
    <t>0 ARABELLA ST</t>
  </si>
  <si>
    <t>450 ARABELLA ST</t>
  </si>
  <si>
    <t>GRIMM ANNABELLE C &amp; ROBERT J GRIMM</t>
  </si>
  <si>
    <t>438 ARABELLA ST</t>
  </si>
  <si>
    <t>FAUST JOHN EDWARD &amp; PATRICIA ANN</t>
  </si>
  <si>
    <t>434 ARABELLA ST</t>
  </si>
  <si>
    <t xml:space="preserve">PARHAM ROBERT C                                 </t>
  </si>
  <si>
    <t>424 ARABELLA ST</t>
  </si>
  <si>
    <t>BONNER JEFFREY &amp; SHARON BONNER</t>
  </si>
  <si>
    <t>416 ARABELLA ST</t>
  </si>
  <si>
    <t>OSSMAN EDMUND G &amp; JACQUELINE A</t>
  </si>
  <si>
    <t>414 ARABELLA ST</t>
  </si>
  <si>
    <t xml:space="preserve">LOPEZ JUAN PABLO                                </t>
  </si>
  <si>
    <t>406 ARABELLA ST</t>
  </si>
  <si>
    <t xml:space="preserve">KIHONIA ADELINE KOMBO </t>
  </si>
  <si>
    <t>404 ARABELLA ST</t>
  </si>
  <si>
    <t>MCPHERSON BLVD APT 27</t>
  </si>
  <si>
    <t xml:space="preserve">LUCARELLI CHERYL </t>
  </si>
  <si>
    <t>429 MOORE AVE</t>
  </si>
  <si>
    <t>W NOBLESTOWN RD</t>
  </si>
  <si>
    <t>427 MOORE AVE</t>
  </si>
  <si>
    <t xml:space="preserve">SEARS JOYCE </t>
  </si>
  <si>
    <t>421 MOORE AVE</t>
  </si>
  <si>
    <t>M.R. MCINTOSH BUILDING &amp; ROOFING CONTRACTORS</t>
  </si>
  <si>
    <t>419 MOORE AVE</t>
  </si>
  <si>
    <t>M.R. MCINTOSH BUILDIN</t>
  </si>
  <si>
    <t>CHAPMAN ROBERT S &amp; LINDA M (W)</t>
  </si>
  <si>
    <t>417 MOORE AVE</t>
  </si>
  <si>
    <t xml:space="preserve">HANBURY JAMES H </t>
  </si>
  <si>
    <t>415 MOORE AVE</t>
  </si>
  <si>
    <t>HANBURY JAMES H</t>
  </si>
  <si>
    <t xml:space="preserve">LAMBERT KATHLEEN </t>
  </si>
  <si>
    <t>0 MOORE AVE</t>
  </si>
  <si>
    <t>LAMBERT KATHLEEN</t>
  </si>
  <si>
    <t>408 MOORE AVE</t>
  </si>
  <si>
    <t>410 MOORE AVE</t>
  </si>
  <si>
    <t>412 MOORE AVE</t>
  </si>
  <si>
    <t>PAZ ASSETS LLC</t>
  </si>
  <si>
    <t xml:space="preserve">TRADER MARK </t>
  </si>
  <si>
    <t>414 MOORE AVE</t>
  </si>
  <si>
    <t xml:space="preserve">SAMBORSKI KAREN E </t>
  </si>
  <si>
    <t>0 MATHEWS AVE</t>
  </si>
  <si>
    <t>341 MATHEWS AVE</t>
  </si>
  <si>
    <t xml:space="preserve">LAW DEBORAH L </t>
  </si>
  <si>
    <t>339 MATHEWS AVE</t>
  </si>
  <si>
    <t xml:space="preserve">ABDULLAH ZERYAN </t>
  </si>
  <si>
    <t>111 GRIMES AVE</t>
  </si>
  <si>
    <t>ABDULLAH ZERYAN</t>
  </si>
  <si>
    <t>W 12TH ST APT 5</t>
  </si>
  <si>
    <t xml:space="preserve">KRELL PAUL T </t>
  </si>
  <si>
    <t>107 GRIMES AVE</t>
  </si>
  <si>
    <t>GRIMES AVE</t>
  </si>
  <si>
    <t>105 GRIMES AVE</t>
  </si>
  <si>
    <t xml:space="preserve">STEELE CRAIG </t>
  </si>
  <si>
    <t>104 GRIMES AVE</t>
  </si>
  <si>
    <t>SALTSBURG</t>
  </si>
  <si>
    <t xml:space="preserve">SZABLEWSKI CRAIG </t>
  </si>
  <si>
    <t>108 GRIMES AVE</t>
  </si>
  <si>
    <t>SZABLEWSKI CRAIG</t>
  </si>
  <si>
    <t>LOGAN RD</t>
  </si>
  <si>
    <t>235 MATHEWS AVE</t>
  </si>
  <si>
    <t>229 MATHEWS AVE</t>
  </si>
  <si>
    <t xml:space="preserve">WELSBACHER NORBERT ERIC </t>
  </si>
  <si>
    <t xml:space="preserve">WELSBACHER CRAIG A </t>
  </si>
  <si>
    <t>219 MATHEWS AVE</t>
  </si>
  <si>
    <t>109 ROMEYN ST</t>
  </si>
  <si>
    <t xml:space="preserve">BOSETTI MATTHEW A </t>
  </si>
  <si>
    <t>0 ROMEYN ST</t>
  </si>
  <si>
    <t>212 MATHEWS AVE</t>
  </si>
  <si>
    <t>SIMPLY PUT SYNC LP       ETAL</t>
  </si>
  <si>
    <t>105 REDLYN ST</t>
  </si>
  <si>
    <t>ROONEY J</t>
  </si>
  <si>
    <t xml:space="preserve">MOGUL MO ESTATES LLC </t>
  </si>
  <si>
    <t>111 REDLYN ST</t>
  </si>
  <si>
    <t>MOGUL MO ESTATES LLC</t>
  </si>
  <si>
    <t>FORWARD AVE UNIT 100</t>
  </si>
  <si>
    <t xml:space="preserve">IFRAH JOSHUA </t>
  </si>
  <si>
    <t>115 REDLYN ST</t>
  </si>
  <si>
    <t xml:space="preserve">EDWARDS JIMMIE D </t>
  </si>
  <si>
    <t>0 REDLYN ST</t>
  </si>
  <si>
    <t>PO BOX 98196</t>
  </si>
  <si>
    <t xml:space="preserve">JOHNSON KOKO W </t>
  </si>
  <si>
    <t>129 REDLYN ST</t>
  </si>
  <si>
    <t>114 REDLYN ST</t>
  </si>
  <si>
    <t xml:space="preserve">DONNELLY KEVIN F </t>
  </si>
  <si>
    <t>112 REDLYN ST</t>
  </si>
  <si>
    <t xml:space="preserve">SIMS BEVERLY                                    </t>
  </si>
  <si>
    <t>220 MATHEWS AVE</t>
  </si>
  <si>
    <t>224 MATHEWS AVE</t>
  </si>
  <si>
    <t xml:space="preserve">CHARLES JANE </t>
  </si>
  <si>
    <t>230 MATHEWS AVE</t>
  </si>
  <si>
    <t>232 MATHEWS AVE</t>
  </si>
  <si>
    <t xml:space="preserve">YU HAIYAN </t>
  </si>
  <si>
    <t>240 MATHEWS AVE</t>
  </si>
  <si>
    <t>YU HAIYAN</t>
  </si>
  <si>
    <t>VINE AVE</t>
  </si>
  <si>
    <t>WEST COVINA</t>
  </si>
  <si>
    <t xml:space="preserve">SIMPLY PUT SYNE L P </t>
  </si>
  <si>
    <t>242 MATHEWS AVE</t>
  </si>
  <si>
    <t>KOKOWSKI RONALD M &amp; POLLY J (W)</t>
  </si>
  <si>
    <t>304 MATHEWS AVE</t>
  </si>
  <si>
    <t xml:space="preserve">PAGANO ALICE </t>
  </si>
  <si>
    <t>314 MATHEWS AVE</t>
  </si>
  <si>
    <t xml:space="preserve">HADEN WILLIAM B III </t>
  </si>
  <si>
    <t>3 LORNA WAY</t>
  </si>
  <si>
    <t>LORNA WAY</t>
  </si>
  <si>
    <t xml:space="preserve">BRUNO GUIDO </t>
  </si>
  <si>
    <t>0 LORNA WAY</t>
  </si>
  <si>
    <t>7TH AVE STE 1200</t>
  </si>
  <si>
    <t>GUATEMALA CANALES  YORSMAN N</t>
  </si>
  <si>
    <t>229 ARABELLA ST</t>
  </si>
  <si>
    <t>GUATEMALA CANALES YOR</t>
  </si>
  <si>
    <t>W DEKALB PIKE</t>
  </si>
  <si>
    <t xml:space="preserve">MACIEJEWSKI MICHAEL R </t>
  </si>
  <si>
    <t>241 ARABELLA ST</t>
  </si>
  <si>
    <t>ZIEGLER ST EXT APT B</t>
  </si>
  <si>
    <t>EDWARDS STEPHEN L &amp; LATONIA (W)</t>
  </si>
  <si>
    <t>EDWARDS STEPHEN L &amp; L</t>
  </si>
  <si>
    <t>PLEASANT HILL RD E $1408</t>
  </si>
  <si>
    <t xml:space="preserve">BENTON NICHOLE M                                </t>
  </si>
  <si>
    <t>JENNY LIND ST APT 6</t>
  </si>
  <si>
    <t xml:space="preserve">WOODS JOSEPH I II </t>
  </si>
  <si>
    <t>251 ARABELLA ST</t>
  </si>
  <si>
    <t xml:space="preserve">FREEMAN TAKISHA </t>
  </si>
  <si>
    <t>305 ARABELLA ST</t>
  </si>
  <si>
    <t xml:space="preserve">JACKSON SHAWNELLE E </t>
  </si>
  <si>
    <t>307 ARABELLA ST</t>
  </si>
  <si>
    <t xml:space="preserve">GO INVEST WISELY LLC </t>
  </si>
  <si>
    <t>313 ARABELLA ST</t>
  </si>
  <si>
    <t>N WASHINGTON</t>
  </si>
  <si>
    <t>CURCIO ANTHONY W &amp; CHERYL S (W)</t>
  </si>
  <si>
    <t>CURCIO ANTHONY W &amp; CH</t>
  </si>
  <si>
    <t>HEATHERLAKE TER</t>
  </si>
  <si>
    <t>KISSIMMEE</t>
  </si>
  <si>
    <t xml:space="preserve">RASHDAN SAMER </t>
  </si>
  <si>
    <t>RASHDAN SAMER</t>
  </si>
  <si>
    <t>CHIPPENDALE DR</t>
  </si>
  <si>
    <t>SECOND NORTH LLC         ETAL</t>
  </si>
  <si>
    <t>343 ARABELLA ST</t>
  </si>
  <si>
    <t xml:space="preserve">HUSSEIN SALAH-EL </t>
  </si>
  <si>
    <t>TOP NOTCH PROPERTY  MANAGEMENT LLC</t>
  </si>
  <si>
    <t>336 ARABELLA ST</t>
  </si>
  <si>
    <t>TOP NOTCH PROPERTY MA</t>
  </si>
  <si>
    <t>PO BOX 4687</t>
  </si>
  <si>
    <t xml:space="preserve">MUSTANG INVESTMENTS LLC </t>
  </si>
  <si>
    <t>334 ARABELLA ST</t>
  </si>
  <si>
    <t>PIERCE WILLIAM A JR &amp; DEBORAH A (W)</t>
  </si>
  <si>
    <t>332 ARABELLA ST</t>
  </si>
  <si>
    <t xml:space="preserve">MEIGS LESLIE KARTYCBAK </t>
  </si>
  <si>
    <t>MEIGS LESLIE KARTYCBA</t>
  </si>
  <si>
    <t>STAUDE WESLEY HENRY &amp; EVA IRENE</t>
  </si>
  <si>
    <t>320 ARABELLA ST</t>
  </si>
  <si>
    <t xml:space="preserve">STROMBERG JASON C </t>
  </si>
  <si>
    <t>318 ARABELLA ST</t>
  </si>
  <si>
    <t>316 ARABELLA ST</t>
  </si>
  <si>
    <t xml:space="preserve">ALTMEYER RYAN                                   </t>
  </si>
  <si>
    <t>227 MARLAND ST</t>
  </si>
  <si>
    <t xml:space="preserve">TUREK MICHAEL J </t>
  </si>
  <si>
    <t>223 MARLAND ST</t>
  </si>
  <si>
    <t>KOKOWSKI KEITH A &amp; CAROL A KETTER</t>
  </si>
  <si>
    <t>215 MARLAND ST</t>
  </si>
  <si>
    <t xml:space="preserve">DREWERY JOYCE A </t>
  </si>
  <si>
    <t>213 MARLAND ST</t>
  </si>
  <si>
    <t>CAMPBELL DONALD J &amp; ZOLA E (W)</t>
  </si>
  <si>
    <t>220 MARLAND ST</t>
  </si>
  <si>
    <t>CAMPBELL DONALD J &amp; Z</t>
  </si>
  <si>
    <t>CAMPBELL DONALD J SR &amp; ZOLA ELLEN (W)</t>
  </si>
  <si>
    <t>226 MARLAND ST</t>
  </si>
  <si>
    <t>CAMPBELL DONALD J SR</t>
  </si>
  <si>
    <t xml:space="preserve">TULAPUP LLC                                     </t>
  </si>
  <si>
    <t>215 MOORE AVE</t>
  </si>
  <si>
    <t xml:space="preserve">DICE EDWARD V </t>
  </si>
  <si>
    <t>217 MOORE AVE</t>
  </si>
  <si>
    <t>RIDGEVUE DR</t>
  </si>
  <si>
    <t xml:space="preserve">HADDIX DAVID </t>
  </si>
  <si>
    <t>225 MOORE AVE</t>
  </si>
  <si>
    <t xml:space="preserve">SMITH CATHERINE L </t>
  </si>
  <si>
    <t>227 MOORE AVE</t>
  </si>
  <si>
    <t xml:space="preserve">POLITE SAYEEIDA                                 </t>
  </si>
  <si>
    <t>233 MOORE AVE</t>
  </si>
  <si>
    <t>PO BOX 59387</t>
  </si>
  <si>
    <t xml:space="preserve">JOHNSON BOHUSLAVA                               </t>
  </si>
  <si>
    <t>243 MOORE AVE</t>
  </si>
  <si>
    <t>GREENLEY KARL</t>
  </si>
  <si>
    <t>TYUKODI STEVEN JR &amp; TAMMY MORROW</t>
  </si>
  <si>
    <t>TYUKODI STEVEN JR &amp; T</t>
  </si>
  <si>
    <t xml:space="preserve">MITCHELL LAMONT </t>
  </si>
  <si>
    <t>BANGOR ST SE</t>
  </si>
  <si>
    <t xml:space="preserve">HATCH RICHARD </t>
  </si>
  <si>
    <t>305 MOORE AVE</t>
  </si>
  <si>
    <t xml:space="preserve">BURFIELD CARRIE A </t>
  </si>
  <si>
    <t>317 MOORE AVE</t>
  </si>
  <si>
    <t>BURFIELD CARRIE A</t>
  </si>
  <si>
    <t xml:space="preserve">REILLY WILLIAM L </t>
  </si>
  <si>
    <t>319 MOORE AVE</t>
  </si>
  <si>
    <t>WOODBRIDGE DR</t>
  </si>
  <si>
    <t>323 MOORE AVE</t>
  </si>
  <si>
    <t>339 MOORE AVE</t>
  </si>
  <si>
    <t>403 MOORE AVE</t>
  </si>
  <si>
    <t xml:space="preserve">MPG REAL ESTATE &amp; CONSTRUCTION            </t>
  </si>
  <si>
    <t>MPG REAL ESTATE &amp; CON</t>
  </si>
  <si>
    <t>PO BOX 407</t>
  </si>
  <si>
    <t>ADMIRAL CAPITAL  MANAGEMENT</t>
  </si>
  <si>
    <t>344 MOORE AVE</t>
  </si>
  <si>
    <t>COPELAND WAY UNIT 10</t>
  </si>
  <si>
    <t>342 MOORE AVE</t>
  </si>
  <si>
    <t>GASCIONE ROBERT E &amp; SHARON M (W)</t>
  </si>
  <si>
    <t>340 MOORE AVE</t>
  </si>
  <si>
    <t>GASCIONE ROBERT E &amp; S</t>
  </si>
  <si>
    <t>BYRD DR</t>
  </si>
  <si>
    <t>PANAMA CITY</t>
  </si>
  <si>
    <t xml:space="preserve">IGLES CHARLES E JR </t>
  </si>
  <si>
    <t>338 MOORE AVE</t>
  </si>
  <si>
    <t xml:space="preserve">D'ANTONIO ANTHONY </t>
  </si>
  <si>
    <t>328 MOORE AVE</t>
  </si>
  <si>
    <t xml:space="preserve">KOKOSH MARGARETTA H </t>
  </si>
  <si>
    <t xml:space="preserve">ROMANO JOAN JOSE DELEON </t>
  </si>
  <si>
    <t>ROMANO JOAN JOSE DELE</t>
  </si>
  <si>
    <t>BAMBOO RAIN AVE</t>
  </si>
  <si>
    <t>IHUNWO NDUKA ELEAZAR &amp; ONYEBUCHI NKEM (W)</t>
  </si>
  <si>
    <t>310 MOORE AVE</t>
  </si>
  <si>
    <t xml:space="preserve">IHUNWO NDUKA ELEAZAR </t>
  </si>
  <si>
    <t>ARLINGTON ST</t>
  </si>
  <si>
    <t>HYDE PARK</t>
  </si>
  <si>
    <t xml:space="preserve">MCCRAY LOLITA                                   </t>
  </si>
  <si>
    <t>345 SUNCREST ST</t>
  </si>
  <si>
    <t>SUNCREST ST</t>
  </si>
  <si>
    <t>CERMINARA GEORGE W &amp; JULIA A (W)</t>
  </si>
  <si>
    <t>0 MARLAND ST</t>
  </si>
  <si>
    <t xml:space="preserve">HARRIS DAVID &amp; LYNDA (W) </t>
  </si>
  <si>
    <t>209 MOORE AVE</t>
  </si>
  <si>
    <t xml:space="preserve">HARRIS DAVID &amp; LYNDA </t>
  </si>
  <si>
    <t xml:space="preserve">WILLIAMS DAVID C </t>
  </si>
  <si>
    <t>181 KNOX AVE</t>
  </si>
  <si>
    <t xml:space="preserve">KERINS JOSEPH </t>
  </si>
  <si>
    <t>175 KNOX AVE</t>
  </si>
  <si>
    <t>CARDOSO JEFERSON DE  PAULA</t>
  </si>
  <si>
    <t>169 KNOX AVE</t>
  </si>
  <si>
    <t>CARDOSO JEFERSON DE P</t>
  </si>
  <si>
    <t xml:space="preserve">WOODSON MICHAEL T SR                            </t>
  </si>
  <si>
    <t>167 KNOX AVE</t>
  </si>
  <si>
    <t xml:space="preserve">PHINNEY HEATHER </t>
  </si>
  <si>
    <t>163 KNOX AVE</t>
  </si>
  <si>
    <t xml:space="preserve">MATZ MARY JANE </t>
  </si>
  <si>
    <t xml:space="preserve">MILLER GEORGE J JR </t>
  </si>
  <si>
    <t>159 KNOX AVE</t>
  </si>
  <si>
    <t xml:space="preserve">UCHENDU OKORIE E </t>
  </si>
  <si>
    <t>155 KNOX AVE</t>
  </si>
  <si>
    <t>UCHENDU OKORIE E</t>
  </si>
  <si>
    <t>MEADOW LN</t>
  </si>
  <si>
    <t>149 KNOX AVE</t>
  </si>
  <si>
    <t xml:space="preserve">BRONSHTEYN DINA </t>
  </si>
  <si>
    <t>158 KNOX AVE</t>
  </si>
  <si>
    <t xml:space="preserve">PUZAS MARK </t>
  </si>
  <si>
    <t>168 KNOX AVE</t>
  </si>
  <si>
    <t>FIELDING WALTER  &amp; LILLIAN</t>
  </si>
  <si>
    <t>18 GRAPE ST</t>
  </si>
  <si>
    <t>MCNEILLY AVE</t>
  </si>
  <si>
    <t xml:space="preserve">391 HYDE LLC </t>
  </si>
  <si>
    <t>20 GRAPE ST</t>
  </si>
  <si>
    <t xml:space="preserve">PISO LINDA F </t>
  </si>
  <si>
    <t>28 GRAPE ST</t>
  </si>
  <si>
    <t>PFIRMAN DONALD  &amp; THERESA (W)</t>
  </si>
  <si>
    <t>PFIRMAN DONALD  &amp; THE</t>
  </si>
  <si>
    <t>WILMONT CT</t>
  </si>
  <si>
    <t>HOPEWELL JUNCT</t>
  </si>
  <si>
    <t xml:space="preserve">MOSES LOLITA L </t>
  </si>
  <si>
    <t>180 KNOX AVE</t>
  </si>
  <si>
    <t>DAYIEB GEORGE FAMILY  TRUST U/A DTD</t>
  </si>
  <si>
    <t>510 BROWNSVILLE RD</t>
  </si>
  <si>
    <t xml:space="preserve">TAP OR NAP LLC </t>
  </si>
  <si>
    <t>HAVENVIEW WAY</t>
  </si>
  <si>
    <t>ELK GROVE</t>
  </si>
  <si>
    <t>430 BROWNSVILLE RD</t>
  </si>
  <si>
    <t>TIP TOP PROPERTY INVE</t>
  </si>
  <si>
    <t>RESPONSE RD</t>
  </si>
  <si>
    <t>428 BROWNSVILLE RD</t>
  </si>
  <si>
    <t xml:space="preserve">420 BROWNSVILLE RD LLC </t>
  </si>
  <si>
    <t>420 BROWNSVILLE RD</t>
  </si>
  <si>
    <t>420 BROWNSVILLE RD LL</t>
  </si>
  <si>
    <t>334 BROWNSVILLE RD</t>
  </si>
  <si>
    <t xml:space="preserve">DAVIDSON GORDON A </t>
  </si>
  <si>
    <t>332 BROWNSVILLE RD</t>
  </si>
  <si>
    <t xml:space="preserve">TAYLOR DAVID </t>
  </si>
  <si>
    <t>326 BROWNSVILLE RD</t>
  </si>
  <si>
    <t>PELICAN PL</t>
  </si>
  <si>
    <t xml:space="preserve">DAVID MICHAEL TAYLOR  REVOCABLE TRUST         </t>
  </si>
  <si>
    <t>324 BROWNSVILLE RD</t>
  </si>
  <si>
    <t xml:space="preserve">DUPREE JEFFREY </t>
  </si>
  <si>
    <t>0 SUNCREST ST</t>
  </si>
  <si>
    <t>JEFFREY DUPREE</t>
  </si>
  <si>
    <t xml:space="preserve">STANLEY ANTHONY </t>
  </si>
  <si>
    <t>434 SUNCREST ST</t>
  </si>
  <si>
    <t>STANLEY ANTHONY</t>
  </si>
  <si>
    <t>POLLY MICHAEL  &amp; ROSALIE C</t>
  </si>
  <si>
    <t>430 SUNCREST ST</t>
  </si>
  <si>
    <t>424 SUNCREST ST</t>
  </si>
  <si>
    <t xml:space="preserve">MCALISTER MARGARET A </t>
  </si>
  <si>
    <t>418 SUNCREST ST</t>
  </si>
  <si>
    <t>418 DAYTONA ST</t>
  </si>
  <si>
    <t xml:space="preserve">TILLAHODJAEV TIMUR                              </t>
  </si>
  <si>
    <t>420 DAYTONA ST</t>
  </si>
  <si>
    <t>DAYTONA ST</t>
  </si>
  <si>
    <t xml:space="preserve">MIHALKO GREGORY A </t>
  </si>
  <si>
    <t>0 DAYTONA ST</t>
  </si>
  <si>
    <t>BRIAR CLIFF RD</t>
  </si>
  <si>
    <t xml:space="preserve">WRONIAK PAUL H </t>
  </si>
  <si>
    <t>434 DAYTONA ST</t>
  </si>
  <si>
    <t>GEORGIA AVE</t>
  </si>
  <si>
    <t>407 ALICE ST</t>
  </si>
  <si>
    <t xml:space="preserve">SCHUESSLER KATHLEEN </t>
  </si>
  <si>
    <t>404 ALICE ST</t>
  </si>
  <si>
    <t>*EBILL* VB ONE LLVC</t>
  </si>
  <si>
    <t>PARK CENTER DR STE 100</t>
  </si>
  <si>
    <t>410 ALICE ST</t>
  </si>
  <si>
    <t>412 ALICE ST</t>
  </si>
  <si>
    <t>416 ALICE ST</t>
  </si>
  <si>
    <t xml:space="preserve">ADAMS RICHARD ESTATE OF </t>
  </si>
  <si>
    <t>418 ALICE ST</t>
  </si>
  <si>
    <t>426 ALICE ST</t>
  </si>
  <si>
    <t xml:space="preserve">VOGEL JEFFREY D </t>
  </si>
  <si>
    <t>0 REIFERT ST</t>
  </si>
  <si>
    <t>PO BOX 154</t>
  </si>
  <si>
    <t>414 REIFERT ST</t>
  </si>
  <si>
    <t>SPRINGHOUSE RD</t>
  </si>
  <si>
    <t>246 MOORE AVE</t>
  </si>
  <si>
    <t xml:space="preserve">QIAN DONGYING </t>
  </si>
  <si>
    <t>240 MOORE AVE</t>
  </si>
  <si>
    <t>LAURAL AVE</t>
  </si>
  <si>
    <t>LIVINGSTON</t>
  </si>
  <si>
    <t>KOVALCIK JOHN P &amp; VIOLA A (W)</t>
  </si>
  <si>
    <t>236 MOORE AVE</t>
  </si>
  <si>
    <t>KOVALCIK JOHN P &amp; VIO</t>
  </si>
  <si>
    <t xml:space="preserve">OGUNNOIKI TAJUDEEN </t>
  </si>
  <si>
    <t>228 MOORE AVE</t>
  </si>
  <si>
    <t xml:space="preserve">THORNTON PATRICIA E &amp; ROBERTA M THORNTON      </t>
  </si>
  <si>
    <t>220 MOORE AVE</t>
  </si>
  <si>
    <t>TRUMBULL MARK &amp; TAMMY (W)</t>
  </si>
  <si>
    <t>218 MOORE AVE</t>
  </si>
  <si>
    <t>319 SUNCREST ST</t>
  </si>
  <si>
    <t>GILSON ANDREW M &amp; JANET R SUNDY (W)</t>
  </si>
  <si>
    <t>311 SUNCREST ST</t>
  </si>
  <si>
    <t xml:space="preserve">REBHOLZ PHILIP J </t>
  </si>
  <si>
    <t>239 SUNCREST ST</t>
  </si>
  <si>
    <t xml:space="preserve">CASTRO BLADIMIR EDGARDO  HERNANDEZ               </t>
  </si>
  <si>
    <t>221 SUNCREST ST</t>
  </si>
  <si>
    <t>CASTRO BLADIMIR EDGAR</t>
  </si>
  <si>
    <t>VANAJA GOVIND PENN INVESTMENTS LLC</t>
  </si>
  <si>
    <t>216 SUNCREST ST</t>
  </si>
  <si>
    <t>VANAJA GOVIND PENN IN</t>
  </si>
  <si>
    <t>MILLERS WAY</t>
  </si>
  <si>
    <t>NSW 2125 AUSTR</t>
  </si>
  <si>
    <t xml:space="preserve">REBHOLZ JOSHUA R </t>
  </si>
  <si>
    <t>300 SUNCREST ST</t>
  </si>
  <si>
    <t>REBHOLZ JOSHUA R</t>
  </si>
  <si>
    <t>314 SUNCREST ST</t>
  </si>
  <si>
    <t xml:space="preserve">BLESSEDUP LLC </t>
  </si>
  <si>
    <t>402 SUNCREST ST</t>
  </si>
  <si>
    <t>BLESSEDUP LLC</t>
  </si>
  <si>
    <t>JENNY LIND ST</t>
  </si>
  <si>
    <t>PILARSKI WAYNE A &amp; JOCELYN (W)</t>
  </si>
  <si>
    <t>400 DAYTONA ST</t>
  </si>
  <si>
    <t>PILARSKI WAYNE A &amp; JO</t>
  </si>
  <si>
    <t xml:space="preserve">KLIMT VICTORIA </t>
  </si>
  <si>
    <t>301 ALICE ST</t>
  </si>
  <si>
    <t>VICTORIA KLIMT</t>
  </si>
  <si>
    <t xml:space="preserve">EDMONDS JOSEPH L </t>
  </si>
  <si>
    <t>329 ALICE ST</t>
  </si>
  <si>
    <t>ETZEL RAYMOND C &amp; ROBERT W ETZEL</t>
  </si>
  <si>
    <t>CARBALLO NOE EVARISTO &amp; BLANCA NOEMY HERNANDEZ D</t>
  </si>
  <si>
    <t>334 MCKINLEY ST</t>
  </si>
  <si>
    <t>CARBALLO NOE EVARISTO</t>
  </si>
  <si>
    <t>MCKINLEY ST</t>
  </si>
  <si>
    <t xml:space="preserve">CHAK PATRICIA A </t>
  </si>
  <si>
    <t>330 MCKINLEY ST</t>
  </si>
  <si>
    <t xml:space="preserve">TOMASZEWSKI MARY </t>
  </si>
  <si>
    <t>318 MCKINLEY ST</t>
  </si>
  <si>
    <t xml:space="preserve">DAVIDSON JUSTIN </t>
  </si>
  <si>
    <t>316 MCKINLEY ST</t>
  </si>
  <si>
    <t xml:space="preserve">TAYLOR RICHARD L </t>
  </si>
  <si>
    <t>203 MCKINLEY ST</t>
  </si>
  <si>
    <t xml:space="preserve">WANK TIMOTHY L </t>
  </si>
  <si>
    <t>209 MCKINLEY ST</t>
  </si>
  <si>
    <t>215 MCKINLEY ST</t>
  </si>
  <si>
    <t>BIALECKI HARRY  &amp; JANET (W)</t>
  </si>
  <si>
    <t>221 MCKINLEY ST</t>
  </si>
  <si>
    <t xml:space="preserve">ADAMS TAMIKA </t>
  </si>
  <si>
    <t>313 MCKINLEY ST</t>
  </si>
  <si>
    <t xml:space="preserve">ROBINSON LEAH J </t>
  </si>
  <si>
    <t>329 MCKINLEY ST</t>
  </si>
  <si>
    <t xml:space="preserve">HURNEY SOFIA NICOLE </t>
  </si>
  <si>
    <t>234 ALICE ST</t>
  </si>
  <si>
    <t>ENRIGHT SEAN &amp; HEATHER (W)</t>
  </si>
  <si>
    <t>222 ALICE ST</t>
  </si>
  <si>
    <t>LAURA ST</t>
  </si>
  <si>
    <t xml:space="preserve">VIBURNUM EQUITY LLC </t>
  </si>
  <si>
    <t>208 ALICE ST</t>
  </si>
  <si>
    <t>MORRIS ST</t>
  </si>
  <si>
    <t xml:space="preserve">HAYER ANAIS MARIE F </t>
  </si>
  <si>
    <t>730 BROWNSVILLE RD</t>
  </si>
  <si>
    <t>ANAIS MARIE F HAYER</t>
  </si>
  <si>
    <t xml:space="preserve">REHLL THOMAS A </t>
  </si>
  <si>
    <t>724 BROWNSVILLE RD</t>
  </si>
  <si>
    <t xml:space="preserve">MEIRAV CAPITAL 1 LLC                            </t>
  </si>
  <si>
    <t>718 BROWNSVILLE RD</t>
  </si>
  <si>
    <t>GREEN SPACES MANAGEME</t>
  </si>
  <si>
    <t>PO BOX  90288</t>
  </si>
  <si>
    <t xml:space="preserve">SCHMELLA JONATHON </t>
  </si>
  <si>
    <t>209 SUNCREST ST</t>
  </si>
  <si>
    <t xml:space="preserve">PHAM TU </t>
  </si>
  <si>
    <t>209 KNOX AVE</t>
  </si>
  <si>
    <t>524 BROWNSVILLE RD</t>
  </si>
  <si>
    <t>828 GEORGIA AVE</t>
  </si>
  <si>
    <t>COLLINS MICHAEL L</t>
  </si>
  <si>
    <t xml:space="preserve">ECKLES CHERYL </t>
  </si>
  <si>
    <t>436 WILBUR ST</t>
  </si>
  <si>
    <t xml:space="preserve">LACLAIR ERICA </t>
  </si>
  <si>
    <t>434 WILBUR ST</t>
  </si>
  <si>
    <t>407 WILBUR ST</t>
  </si>
  <si>
    <t xml:space="preserve">SMITH MARK E </t>
  </si>
  <si>
    <t>813 GEORGIA AVE</t>
  </si>
  <si>
    <t>P O BOX 14651</t>
  </si>
  <si>
    <t xml:space="preserve">SOKOLOWSKI LEO T </t>
  </si>
  <si>
    <t>329 WILBUR ST</t>
  </si>
  <si>
    <t xml:space="preserve">SMITH CHRISTOPHER </t>
  </si>
  <si>
    <t>313 REIFERT ST</t>
  </si>
  <si>
    <t>PO BOX 59203</t>
  </si>
  <si>
    <t xml:space="preserve">BAKEY KIMBERLY A </t>
  </si>
  <si>
    <t>305 REIFERT ST</t>
  </si>
  <si>
    <t xml:space="preserve">CERMINARA CRAIG </t>
  </si>
  <si>
    <t>808 GROGAN AVE</t>
  </si>
  <si>
    <t>REED LUTHER C &amp; DASIE E (W)</t>
  </si>
  <si>
    <t>302 REIFERT ST</t>
  </si>
  <si>
    <t>RUMP CHARLES THOMAS &amp; PAULETTE (W)</t>
  </si>
  <si>
    <t>314 REIFERT ST</t>
  </si>
  <si>
    <t>RUMP CHARLES T &amp; PAULETTE D (W)</t>
  </si>
  <si>
    <t>316 REIFERT ST</t>
  </si>
  <si>
    <t>319 WILBUR ST</t>
  </si>
  <si>
    <t xml:space="preserve">NAYLOR DAVID MICHAEL </t>
  </si>
  <si>
    <t>311 WILBUR ST</t>
  </si>
  <si>
    <t>PERLEBACH JOSEPH EDWARD  JR</t>
  </si>
  <si>
    <t>230 WILBUR ST</t>
  </si>
  <si>
    <t>PERLEBACH JOSEPH EDWA</t>
  </si>
  <si>
    <t xml:space="preserve">SMIECHOWSKI JAMES A </t>
  </si>
  <si>
    <t>216 WILBUR ST</t>
  </si>
  <si>
    <t xml:space="preserve">KUNTZ RUTH A </t>
  </si>
  <si>
    <t>204 WILBUR ST</t>
  </si>
  <si>
    <t xml:space="preserve">ASKINS MARGARET </t>
  </si>
  <si>
    <t>828 ROLL ST</t>
  </si>
  <si>
    <t>ROLL ST</t>
  </si>
  <si>
    <t>ASHLEY CHRISTINA &amp; JEREMY J KING-KADUCK</t>
  </si>
  <si>
    <t>0 WILBUR ST</t>
  </si>
  <si>
    <t xml:space="preserve">HOWELLS FRANK G &amp; RUTH C </t>
  </si>
  <si>
    <t xml:space="preserve">R E ASSETS LLC </t>
  </si>
  <si>
    <t>213 WILBUR ST</t>
  </si>
  <si>
    <t>R E ASSETS LLC</t>
  </si>
  <si>
    <t>PO BOX 991</t>
  </si>
  <si>
    <t xml:space="preserve">STROMBERG JASON </t>
  </si>
  <si>
    <t>237 WILBUR ST</t>
  </si>
  <si>
    <t>STROMBERG JASON</t>
  </si>
  <si>
    <t xml:space="preserve">136 ORCHARD LLC </t>
  </si>
  <si>
    <t>240 REIFERT ST</t>
  </si>
  <si>
    <t>ACME</t>
  </si>
  <si>
    <t xml:space="preserve">FANTONI TAMI </t>
  </si>
  <si>
    <t>238 REIFERT ST</t>
  </si>
  <si>
    <t>GALLAGHER THOMAS R &amp; DOLORES E</t>
  </si>
  <si>
    <t xml:space="preserve">228 REIFERT LLC </t>
  </si>
  <si>
    <t>228 REIFERT ST</t>
  </si>
  <si>
    <t>WEST-AIRCOMM FCU</t>
  </si>
  <si>
    <t xml:space="preserve">TOMLINS DONALD K </t>
  </si>
  <si>
    <t>DOUBLETREE DR</t>
  </si>
  <si>
    <t>WILHARM STEVEN J &amp; KAREN M (W)</t>
  </si>
  <si>
    <t>203 REIFERT ST</t>
  </si>
  <si>
    <t>WILHARM STEVEN J &amp; KA</t>
  </si>
  <si>
    <t>205 REIFERT ST</t>
  </si>
  <si>
    <t>DA REAL ESTATE HOLDINGS  LLC</t>
  </si>
  <si>
    <t>211 REIFERT ST</t>
  </si>
  <si>
    <t>DA REAL ESTATE HOLDIN</t>
  </si>
  <si>
    <t>PLEASANT ST</t>
  </si>
  <si>
    <t>215 REIFERT ST</t>
  </si>
  <si>
    <t>PO BOX 18171</t>
  </si>
  <si>
    <t>LARKINS GEORGE V &amp; GLORIA (W)</t>
  </si>
  <si>
    <t>219 REIFERT ST</t>
  </si>
  <si>
    <t xml:space="preserve">LAKE MERCHANTS LLC </t>
  </si>
  <si>
    <t>221 REIFERT ST</t>
  </si>
  <si>
    <t>LAKE MERCHANTS LLC</t>
  </si>
  <si>
    <t>SECORD NORTH LLC         ETAL</t>
  </si>
  <si>
    <t>237 REIFERT ST</t>
  </si>
  <si>
    <t xml:space="preserve">HOLZWARTH EDWARD C </t>
  </si>
  <si>
    <t>HOLZWARTH EDWARD C</t>
  </si>
  <si>
    <t xml:space="preserve">OLUTOLA STEPHEN </t>
  </si>
  <si>
    <t>245 REIFERT ST</t>
  </si>
  <si>
    <t>MIDDLETON RD</t>
  </si>
  <si>
    <t>SURREY SM4 6RS</t>
  </si>
  <si>
    <t xml:space="preserve">CIPOLLONE DEBRA D </t>
  </si>
  <si>
    <t>247 REIFERT ST</t>
  </si>
  <si>
    <t xml:space="preserve">SPRAGUE MARY BETH </t>
  </si>
  <si>
    <t>249 REIFERT ST</t>
  </si>
  <si>
    <t>MARY BETH SPRAGUE</t>
  </si>
  <si>
    <t>VERNON AVE</t>
  </si>
  <si>
    <t>818 BROWNSVILLE RD</t>
  </si>
  <si>
    <t xml:space="preserve">RM REAL ESTATE LLC </t>
  </si>
  <si>
    <t>758 BROWNSVILLE RD</t>
  </si>
  <si>
    <t>RM REAL ESTATE LLC</t>
  </si>
  <si>
    <t>736 BROWNSVILLE RD</t>
  </si>
  <si>
    <t>PITTSBURGH &amp; LAKE ERIE RAILROAD COMPA</t>
  </si>
  <si>
    <t>0 W R OF W</t>
  </si>
  <si>
    <t>BALDWIN &amp; MIFFLIN CONNECTING RR CO</t>
  </si>
  <si>
    <t>0 HAYSGLEN AVE</t>
  </si>
  <si>
    <t>HAYSGLEN RD</t>
  </si>
  <si>
    <t>HOBSON ULYSSES L &amp; OLIVE V</t>
  </si>
  <si>
    <t>0 ARMORHILL AVE</t>
  </si>
  <si>
    <t xml:space="preserve">DENT LINDA KAY </t>
  </si>
  <si>
    <t>4354 ARMORHILL AVE</t>
  </si>
  <si>
    <t>PO BOX 100077</t>
  </si>
  <si>
    <t>PRAYER &amp; DELIVERANCE MINISTRIES</t>
  </si>
  <si>
    <t>4317 ARMORHILL AVE</t>
  </si>
  <si>
    <t xml:space="preserve">MOISEENKO ROBERT                                </t>
  </si>
  <si>
    <t>MOISEENKO ROBERT VIOL</t>
  </si>
  <si>
    <t>WILLOWCREST DR</t>
  </si>
  <si>
    <t>MOISEENKO ROBERT  &amp; VIOLET CVETOVICH</t>
  </si>
  <si>
    <t>4405 ARMORHILL AVE</t>
  </si>
  <si>
    <t>WILLOW CREST AVE</t>
  </si>
  <si>
    <t xml:space="preserve">COLLINS THAMER T </t>
  </si>
  <si>
    <t>244 CONWAY ST</t>
  </si>
  <si>
    <t>CIRCLE AVE</t>
  </si>
  <si>
    <t xml:space="preserve">HAYES L C </t>
  </si>
  <si>
    <t>4500 ARMORHILL AVE</t>
  </si>
  <si>
    <t>ARMORHILL RD</t>
  </si>
  <si>
    <t>GARTH JOHN A SR &amp; MARTA C (W)</t>
  </si>
  <si>
    <t>GARTH JOHN A SR &amp; MAR</t>
  </si>
  <si>
    <t>BUGLERS REST PL</t>
  </si>
  <si>
    <t>BURGLERS RESET PL</t>
  </si>
  <si>
    <t xml:space="preserve">HILL BRENDA L </t>
  </si>
  <si>
    <t>PO BOX 94</t>
  </si>
  <si>
    <t>MAGNOLIA</t>
  </si>
  <si>
    <t>PO BOX 90037</t>
  </si>
  <si>
    <t>KLICHKOVICH NICHOLAS  &amp; ANNA</t>
  </si>
  <si>
    <t>WOODHILL DR</t>
  </si>
  <si>
    <t xml:space="preserve">AHERN WORTHEN R </t>
  </si>
  <si>
    <t>0 COKE AVE</t>
  </si>
  <si>
    <t>MITCHELL HERMAN M &amp; FRANZELLE C (W)</t>
  </si>
  <si>
    <t>0 BASIC AVE</t>
  </si>
  <si>
    <t>MITCHELL HERMAN M &amp; F</t>
  </si>
  <si>
    <t>CENTRE AVE APT 103</t>
  </si>
  <si>
    <t>HAYES GARY W &amp; MADGE L (W)</t>
  </si>
  <si>
    <t>4422 SWEETBAY ST</t>
  </si>
  <si>
    <t xml:space="preserve">HAYES GARY W &amp; MADGE </t>
  </si>
  <si>
    <t>SWEETBAY ST</t>
  </si>
  <si>
    <t>STEWART RAISHAWN &amp; DAWN (W)</t>
  </si>
  <si>
    <t>0 SWEETBAY ST</t>
  </si>
  <si>
    <t>STEWART RAISHAWN &amp; DA</t>
  </si>
  <si>
    <t xml:space="preserve">HUYNH CHAUUYEN                                  </t>
  </si>
  <si>
    <t>4452 SWEETBAY ST</t>
  </si>
  <si>
    <t xml:space="preserve">RABLE RYAN A </t>
  </si>
  <si>
    <t>STOCK ST</t>
  </si>
  <si>
    <t xml:space="preserve">BOBYK ZONIK </t>
  </si>
  <si>
    <t>0 HELEN ST</t>
  </si>
  <si>
    <t>MCCLURE ST</t>
  </si>
  <si>
    <t xml:space="preserve">HARRIS THOMAS H                                 </t>
  </si>
  <si>
    <t>HARRIS THOMAS H TIA DENISE MCCLUNG</t>
  </si>
  <si>
    <t>4461 SWEETBAY ST</t>
  </si>
  <si>
    <t xml:space="preserve">NALBANT TANER </t>
  </si>
  <si>
    <t>4446 WHITEBUSH ST</t>
  </si>
  <si>
    <t xml:space="preserve">BACKODE PATRICIA A </t>
  </si>
  <si>
    <t>4421 SWEETBAY ST</t>
  </si>
  <si>
    <t>HAVARAN BRIAN R &amp; MARGARET M (W)</t>
  </si>
  <si>
    <t>0 WHITEBUSH ST</t>
  </si>
  <si>
    <t>WHITEBUSH ST</t>
  </si>
  <si>
    <t>4433 WHITEBUSH ST</t>
  </si>
  <si>
    <t>MAHONEY JOSEPH R &amp; TAYLOR L (W)</t>
  </si>
  <si>
    <t>0 BENCH WAY</t>
  </si>
  <si>
    <t xml:space="preserve">ICHENKO LISA                                    </t>
  </si>
  <si>
    <t>514 NICEVILLE ST</t>
  </si>
  <si>
    <t>NICEVILLE ST</t>
  </si>
  <si>
    <t xml:space="preserve">MT RISE BAPTIST CHURCH </t>
  </si>
  <si>
    <t>0 MARINA ST</t>
  </si>
  <si>
    <t>PO BOX 375</t>
  </si>
  <si>
    <t>0 AMRIANA ST</t>
  </si>
  <si>
    <t xml:space="preserve">DESSELL EMMA J (EST)                            </t>
  </si>
  <si>
    <t>BROOKS GARY LEE &amp; TAMARA (W)</t>
  </si>
  <si>
    <t>741 REVENUE ST</t>
  </si>
  <si>
    <t xml:space="preserve">HAYES TAMIA                                     </t>
  </si>
  <si>
    <t>747 REVENUE ST</t>
  </si>
  <si>
    <t xml:space="preserve">HAYES TAMIA          </t>
  </si>
  <si>
    <t>ABBOTSFORD  BC</t>
  </si>
  <si>
    <t>JACOBSON SAMUEL E ETAL</t>
  </si>
  <si>
    <t>E CARSON &amp; HAYS GLEN</t>
  </si>
  <si>
    <t>0 REVENUE ST</t>
  </si>
  <si>
    <t xml:space="preserve">ADKINS DARRIN                                   </t>
  </si>
  <si>
    <t>1225 REVENUE ST</t>
  </si>
  <si>
    <t>FALCE KENNETH A &amp; EDWARD A STARK</t>
  </si>
  <si>
    <t>297 BALDWIN RD</t>
  </si>
  <si>
    <t>EDWARD A STARK</t>
  </si>
  <si>
    <t xml:space="preserve">GROOMES MIRIAM </t>
  </si>
  <si>
    <t>0 CANYON ST</t>
  </si>
  <si>
    <t xml:space="preserve">UEHLING ELEANOR S </t>
  </si>
  <si>
    <t>MARK HULLMAN</t>
  </si>
  <si>
    <t>RACQUET CLUB DR</t>
  </si>
  <si>
    <t>TRAVERSE CITY</t>
  </si>
  <si>
    <t>HULLMAN MARK A</t>
  </si>
  <si>
    <t xml:space="preserve">BARNA EDWARD </t>
  </si>
  <si>
    <t>ONEIDA DR</t>
  </si>
  <si>
    <t>500 INGOT AVE</t>
  </si>
  <si>
    <t>0 SHIFFLER ST</t>
  </si>
  <si>
    <t>GARTH MILLIGAN SR &amp; ROSE MAE (W)</t>
  </si>
  <si>
    <t>939 GIRDER ST</t>
  </si>
  <si>
    <t>GARTH MILLIGAN SR &amp; R</t>
  </si>
  <si>
    <t>GIRDER ST</t>
  </si>
  <si>
    <t>WEST HOMESTEAD</t>
  </si>
  <si>
    <t xml:space="preserve">BOSE DOLPHIUS </t>
  </si>
  <si>
    <t>525 INGOT AVE</t>
  </si>
  <si>
    <t>INGOT ST</t>
  </si>
  <si>
    <t xml:space="preserve">BURGWIN MABLE N </t>
  </si>
  <si>
    <t>0 INGOT AVE</t>
  </si>
  <si>
    <t>E 156TH ST</t>
  </si>
  <si>
    <t>LAWSON ADERELL  &amp; ADERELL TYUS</t>
  </si>
  <si>
    <t xml:space="preserve">ALLEN CHESTER A </t>
  </si>
  <si>
    <t>HAYES DONALD R &amp; JANICE L (W)</t>
  </si>
  <si>
    <t>HAYES DONALD R &amp; JANI</t>
  </si>
  <si>
    <t>LABELLE AVE</t>
  </si>
  <si>
    <t>455 SHIFFLER ST</t>
  </si>
  <si>
    <t xml:space="preserve">HAYS RICHARD </t>
  </si>
  <si>
    <t>0 GIRDER ST</t>
  </si>
  <si>
    <t xml:space="preserve">O'TOOLE GRANT A </t>
  </si>
  <si>
    <t>956 GIRDER ST</t>
  </si>
  <si>
    <t xml:space="preserve">SILVERMAN ESTHER H                              </t>
  </si>
  <si>
    <t>LEAVELLE WALTER  &amp; GERTRUDE</t>
  </si>
  <si>
    <t>GLENDA LEAVELLE</t>
  </si>
  <si>
    <t>PO BOX 3566 CT</t>
  </si>
  <si>
    <t>ALLSTATE DEVELOPMENT  COMPANY</t>
  </si>
  <si>
    <t>ROGERS CT</t>
  </si>
  <si>
    <t>0 BALDWIN RD</t>
  </si>
  <si>
    <t xml:space="preserve">823 LLC </t>
  </si>
  <si>
    <t>355 BALDWIN RD</t>
  </si>
  <si>
    <t xml:space="preserve">DILUCIA FRANK F </t>
  </si>
  <si>
    <t>412 MIFFLIN RD</t>
  </si>
  <si>
    <t>0 DOERRVILLE AVE</t>
  </si>
  <si>
    <t>0 POINT ST</t>
  </si>
  <si>
    <t xml:space="preserve">BORN GEORGE E                                   </t>
  </si>
  <si>
    <t>0 HIGHLAND AVE</t>
  </si>
  <si>
    <t>0 CIRCLE AVE</t>
  </si>
  <si>
    <t>0 CHORD ST</t>
  </si>
  <si>
    <t>710 CHORD ST</t>
  </si>
  <si>
    <t xml:space="preserve">KAPETANOVICH CATHERINE N </t>
  </si>
  <si>
    <t>1007 CHORD ST</t>
  </si>
  <si>
    <t>CHORD ST</t>
  </si>
  <si>
    <t xml:space="preserve">CURTIS CLARA </t>
  </si>
  <si>
    <t>MARSHALL ST</t>
  </si>
  <si>
    <t xml:space="preserve">ROGERS WILLIAM J                                </t>
  </si>
  <si>
    <t>0 RING ST</t>
  </si>
  <si>
    <t>BUTTERMILK HOLLOW RD</t>
  </si>
  <si>
    <t xml:space="preserve">FRANK JOHN  &amp; GEORGIANNA </t>
  </si>
  <si>
    <t>0 GRANGER ST</t>
  </si>
  <si>
    <t>FRANK JOHN  &amp; GEORGIA</t>
  </si>
  <si>
    <t>PAULDING GEORGE  &amp; CYNTHIA TAYLOR (W)</t>
  </si>
  <si>
    <t>86 GRANGER ST</t>
  </si>
  <si>
    <t>GRANGER ST</t>
  </si>
  <si>
    <t xml:space="preserve">ROBISON DOUGLAS A </t>
  </si>
  <si>
    <t>5012 CIRCLE AVE</t>
  </si>
  <si>
    <t xml:space="preserve">WASHINGTON WILLIAM E </t>
  </si>
  <si>
    <t>PO BOX 372071</t>
  </si>
  <si>
    <t>TAX LIEN SERVICING  COMPANY</t>
  </si>
  <si>
    <t>0 CASSABILL DR</t>
  </si>
  <si>
    <t>TAX LIEN SERVICING CO</t>
  </si>
  <si>
    <t>CAVITT DR</t>
  </si>
  <si>
    <t xml:space="preserve">GUERRA KENNETH V </t>
  </si>
  <si>
    <t>132 HOMERIDGE LN</t>
  </si>
  <si>
    <t>CIOLLI JOHN A JR &amp; JERIE C</t>
  </si>
  <si>
    <t>4619 HOMERIDGE DR</t>
  </si>
  <si>
    <t xml:space="preserve">KARASINSKI PATRICIA G                           </t>
  </si>
  <si>
    <t>4613 HOMERIDGE DR</t>
  </si>
  <si>
    <t xml:space="preserve">CIBULA LYNN </t>
  </si>
  <si>
    <t>4548 GATES DR</t>
  </si>
  <si>
    <t>GATES DR</t>
  </si>
  <si>
    <t xml:space="preserve">WILLSON ROBERT OWEN II </t>
  </si>
  <si>
    <t>4582 GATES DR</t>
  </si>
  <si>
    <t>WILSON ROBERT OWEN 2N</t>
  </si>
  <si>
    <t xml:space="preserve">BILSKI ROBERT F                                 </t>
  </si>
  <si>
    <t>515 MIFFLIN RD</t>
  </si>
  <si>
    <t>GANGES WAY</t>
  </si>
  <si>
    <t xml:space="preserve">PATERNOSTER EMIL T JR </t>
  </si>
  <si>
    <t xml:space="preserve">ANTOSIK ALEX A </t>
  </si>
  <si>
    <t>5136 DOERRVILLE AVE</t>
  </si>
  <si>
    <t xml:space="preserve">BARCA JOSEPH                                    </t>
  </si>
  <si>
    <t>36 BLUFFLAND ST</t>
  </si>
  <si>
    <t>BARCA JOSEPH</t>
  </si>
  <si>
    <t>BLUFFLAND ST</t>
  </si>
  <si>
    <t>MELZER ANDREW S &amp; CLARA D (W)</t>
  </si>
  <si>
    <t>MELZER ANDREW S &amp; CLA</t>
  </si>
  <si>
    <t>DOERRVILLE AVE</t>
  </si>
  <si>
    <t xml:space="preserve">MELZER RAYMOND H </t>
  </si>
  <si>
    <t>DOERVILLE ST</t>
  </si>
  <si>
    <t xml:space="preserve">ROGERS WILLIAM J </t>
  </si>
  <si>
    <t>0 SOUTHVIEW AVE</t>
  </si>
  <si>
    <t>0 HOMERIDGE DR</t>
  </si>
  <si>
    <t xml:space="preserve">RALEIGH IRWIN L </t>
  </si>
  <si>
    <t xml:space="preserve">RIGATTI JONATHAN P </t>
  </si>
  <si>
    <t>0 GATES DR</t>
  </si>
  <si>
    <t xml:space="preserve">MARTIN  ELIZABETH V                             </t>
  </si>
  <si>
    <t>4539 GATES DR</t>
  </si>
  <si>
    <t>EMRO JAMES &amp; KATHLEEN (W)</t>
  </si>
  <si>
    <t>4536 MAPLEDALE DR</t>
  </si>
  <si>
    <t>EMRO JAMES &amp; KATHLEEN</t>
  </si>
  <si>
    <t>MAPLEDALE DR</t>
  </si>
  <si>
    <t>MAZEFSKY JAMIE  &amp; LINDA (W)</t>
  </si>
  <si>
    <t>4515 MAPLEDALE DR</t>
  </si>
  <si>
    <t>MAZEFSKY JAMIE  &amp; LIN</t>
  </si>
  <si>
    <t>MAPLEDALE ST</t>
  </si>
  <si>
    <t>SE FRANKLIN RD</t>
  </si>
  <si>
    <t xml:space="preserve">VEVERKA CHANDLER L </t>
  </si>
  <si>
    <t>231 GLASS RUN RD</t>
  </si>
  <si>
    <t>CHANDLER L VEVERKA</t>
  </si>
  <si>
    <t>0 GLASS RUN RD</t>
  </si>
  <si>
    <t xml:space="preserve">TOBASCO ANTHONY J </t>
  </si>
  <si>
    <t>312 BALDWIN RD</t>
  </si>
  <si>
    <t>INTERLAKEN PASS</t>
  </si>
  <si>
    <t>316 BALDWIN RD</t>
  </si>
  <si>
    <t xml:space="preserve">CARROLL ADRIENNE A </t>
  </si>
  <si>
    <t>520 BALDWIN RD</t>
  </si>
  <si>
    <t>BALDWIN RD</t>
  </si>
  <si>
    <t xml:space="preserve">MILLER RUBEN JOSEPH II </t>
  </si>
  <si>
    <t>444 BALDWIN RD</t>
  </si>
  <si>
    <t>BALEZENTIS GEORGE  &amp; ANNA</t>
  </si>
  <si>
    <t>0 BENEZET ST</t>
  </si>
  <si>
    <t>MOISEENKO SOPHIE  &amp; SYLVIA M REH</t>
  </si>
  <si>
    <t>ELIZA ST</t>
  </si>
  <si>
    <t xml:space="preserve">BOBAK NATALIE </t>
  </si>
  <si>
    <t>4735 MOONEY RD</t>
  </si>
  <si>
    <t>MOONEY RD</t>
  </si>
  <si>
    <t>LAWRY EVELYN L &amp; JOCELYN K MONACELLI</t>
  </si>
  <si>
    <t>917 GOLDENROD ST</t>
  </si>
  <si>
    <t>DUTCH HILL RD</t>
  </si>
  <si>
    <t>ROBERTSON JAMES &amp; KATHY (W)</t>
  </si>
  <si>
    <t>4776 THEODORE ST</t>
  </si>
  <si>
    <t>WILLIAMS CLYDE  &amp; NOR</t>
  </si>
  <si>
    <t>THEODORE ST</t>
  </si>
  <si>
    <t>BEZAK CHARLES R &amp; MARCIA A (W)</t>
  </si>
  <si>
    <t>927 LINDBERG AVE</t>
  </si>
  <si>
    <t>LINDBERG ST</t>
  </si>
  <si>
    <t xml:space="preserve">WALKOWIAK TODD V </t>
  </si>
  <si>
    <t>1037 GOLDENROD ST</t>
  </si>
  <si>
    <t>WEIR KENNETH G &amp; MELISSA L (W)</t>
  </si>
  <si>
    <t>963 GOLDENROD ST</t>
  </si>
  <si>
    <t>KOCSIS CRAIG DARRELL &amp; KATHRYN (W)</t>
  </si>
  <si>
    <t>4747 THEODORE ST</t>
  </si>
  <si>
    <t xml:space="preserve">KOCSIS CRAIG DARRELL </t>
  </si>
  <si>
    <t>BUCKLEY MICHAEL  &amp; VALERIE M (W)</t>
  </si>
  <si>
    <t>4743 THEODORE ST</t>
  </si>
  <si>
    <t>BUCKLEY MICHAEL  &amp; VA</t>
  </si>
  <si>
    <t xml:space="preserve">RAIMONDI EDWARD J JR                            </t>
  </si>
  <si>
    <t>4737 THEODORE ST</t>
  </si>
  <si>
    <t xml:space="preserve">FRIEDLANDER JEFFREY JAY </t>
  </si>
  <si>
    <t>4727 THEODORE ST</t>
  </si>
  <si>
    <t>FRIEDLANDER JEFFREY J</t>
  </si>
  <si>
    <t xml:space="preserve">TIPPER ANN M </t>
  </si>
  <si>
    <t>961 SUNGLOW ST</t>
  </si>
  <si>
    <t>SUNGLOW ST</t>
  </si>
  <si>
    <t xml:space="preserve">ONORATO ANDREW N </t>
  </si>
  <si>
    <t>4708 THEODORE ST</t>
  </si>
  <si>
    <t xml:space="preserve">KISH MICHAEL J </t>
  </si>
  <si>
    <t>1027 SUNGLOW ST</t>
  </si>
  <si>
    <t xml:space="preserve">RAMPOLLA PAUL W </t>
  </si>
  <si>
    <t>4632 INTERBORO AVE</t>
  </si>
  <si>
    <t>INTERBORO AVE</t>
  </si>
  <si>
    <t xml:space="preserve">MILLER SHAWN ROBERT </t>
  </si>
  <si>
    <t>1057 LINDBERG AVE</t>
  </si>
  <si>
    <t>MILLER SHAWN ROBERT W</t>
  </si>
  <si>
    <t xml:space="preserve">BAAT ENTERPRISES LLC </t>
  </si>
  <si>
    <t>4850 LOUGEAN AVE</t>
  </si>
  <si>
    <t>BAAT ENTERPRISES LLC</t>
  </si>
  <si>
    <t>PO BOX 1372</t>
  </si>
  <si>
    <t xml:space="preserve">ROBBINS LEE W </t>
  </si>
  <si>
    <t>0 LOUGEAN AVE</t>
  </si>
  <si>
    <t>KEEFE ST</t>
  </si>
  <si>
    <t xml:space="preserve">PLOT-USA-HS-00032 LLC </t>
  </si>
  <si>
    <t>1042 LINDBERG AVE</t>
  </si>
  <si>
    <t>IRVING PL</t>
  </si>
  <si>
    <t>SMITH TIMOTHY  &amp; DANIEL SMITH</t>
  </si>
  <si>
    <t>1041 BEECHLAND ST</t>
  </si>
  <si>
    <t>ROTHEY WARREN CRAIG &amp; SHERRI JEAN (W)</t>
  </si>
  <si>
    <t>1045 BEECHLAND ST</t>
  </si>
  <si>
    <t xml:space="preserve">MONTGOMERY GENE W </t>
  </si>
  <si>
    <t>4915 BARBERRY ST</t>
  </si>
  <si>
    <t xml:space="preserve">KNERR JOANNA MARIE </t>
  </si>
  <si>
    <t>4809 LOUGEAN AVE</t>
  </si>
  <si>
    <t>SCHEIBLE ROBERT L &amp; ANN MARIE (W)</t>
  </si>
  <si>
    <t>4815 LOUGEAN AVE</t>
  </si>
  <si>
    <t>LOUGEAN AVE</t>
  </si>
  <si>
    <t xml:space="preserve">DEASY BETH ANN </t>
  </si>
  <si>
    <t>4638 INTERBORO AVE</t>
  </si>
  <si>
    <t>NEW HOMESTEAD  DEVELOPMENT COMPANY</t>
  </si>
  <si>
    <t>4708 INTERBORO AVE</t>
  </si>
  <si>
    <t xml:space="preserve">PFIRRMANN LINDA </t>
  </si>
  <si>
    <t>4722 INTERBORO AVE</t>
  </si>
  <si>
    <t>CACTUS LOOP</t>
  </si>
  <si>
    <t xml:space="preserve">GARLAND MELISSA L </t>
  </si>
  <si>
    <t>4736 INTERBORO AVE</t>
  </si>
  <si>
    <t xml:space="preserve">NANCY T SENAY ASSET  PROTECTION TRUST        </t>
  </si>
  <si>
    <t>4809 INTERBORO AVE</t>
  </si>
  <si>
    <t>NANCY T SENAY ASSET P</t>
  </si>
  <si>
    <t>GRANDVIEW DR</t>
  </si>
  <si>
    <t xml:space="preserve">MCNULTY PETER J                                 </t>
  </si>
  <si>
    <t>0 CALERA ST</t>
  </si>
  <si>
    <t>SUSSEX</t>
  </si>
  <si>
    <t xml:space="preserve">ERNEST CHRISTOPHER D </t>
  </si>
  <si>
    <t>0 HILLBURN ST</t>
  </si>
  <si>
    <t xml:space="preserve">PATERNOSTER EMIL T </t>
  </si>
  <si>
    <t>0 WHEELING ST</t>
  </si>
  <si>
    <t xml:space="preserve">HENCZ LOUIS </t>
  </si>
  <si>
    <t xml:space="preserve">BORKOWSKI ROBERT </t>
  </si>
  <si>
    <t>7 WHEELING ST</t>
  </si>
  <si>
    <t>WITHROW RD</t>
  </si>
  <si>
    <t>3 WHEELING ST</t>
  </si>
  <si>
    <t>SHORE DWAYNE G &amp; DOROTHY L</t>
  </si>
  <si>
    <t xml:space="preserve">PHILLIPS SHERMAN                                </t>
  </si>
  <si>
    <t>642 MIFFLIN RD</t>
  </si>
  <si>
    <t>THORNTON JOHN &amp; IRENE (W)</t>
  </si>
  <si>
    <t>640 MIFFLIN RD</t>
  </si>
  <si>
    <t xml:space="preserve">DAGOSTINO ROBERT P </t>
  </si>
  <si>
    <t>0 MIFFLIN RD</t>
  </si>
  <si>
    <t>PO BOX 97</t>
  </si>
  <si>
    <t xml:space="preserve">MCKEEN JOSEPH P                                 </t>
  </si>
  <si>
    <t>20 HILLBURN ST</t>
  </si>
  <si>
    <t>HILLBURN ST</t>
  </si>
  <si>
    <t xml:space="preserve">CARLISE DELVOR  &amp; GLORIA </t>
  </si>
  <si>
    <t>FANNON RICHARD A &amp; CAROL (W)</t>
  </si>
  <si>
    <t>32 BLUFFLAND ST</t>
  </si>
  <si>
    <t>FANNON RICHARD A</t>
  </si>
  <si>
    <t>BERTONE BERNARD  &amp; ROSE MARIE</t>
  </si>
  <si>
    <t>OAK MANOR DR</t>
  </si>
  <si>
    <t xml:space="preserve">VANGELOFF NICK  &amp; MARY </t>
  </si>
  <si>
    <t>0 BUFFLAND WAY</t>
  </si>
  <si>
    <t xml:space="preserve">MCQUAIDE THOMAS J </t>
  </si>
  <si>
    <t xml:space="preserve">ALLEN ESTHER PORTER                             </t>
  </si>
  <si>
    <t>REYNOLDS THOMAS O &amp; MILDRED E</t>
  </si>
  <si>
    <t>PHILLIPS JOSEPH S &amp; ROSE MARIE</t>
  </si>
  <si>
    <t xml:space="preserve">TAPOLCAI KATHERINA </t>
  </si>
  <si>
    <t xml:space="preserve">MARLATT GARY </t>
  </si>
  <si>
    <t>PO BOX 3104</t>
  </si>
  <si>
    <t xml:space="preserve">COLLINS JOHN J </t>
  </si>
  <si>
    <t>605 MIFFLIN RD</t>
  </si>
  <si>
    <t>WILLARD AVE</t>
  </si>
  <si>
    <t xml:space="preserve">COPPOLA LEONARD L III </t>
  </si>
  <si>
    <t>SCHAUFFLER DR</t>
  </si>
  <si>
    <t xml:space="preserve">BRACK NICK JAMES &amp; ELSIE                   </t>
  </si>
  <si>
    <t>27 SLATE ST</t>
  </si>
  <si>
    <t>BRACK NICK JAMES &amp; EL</t>
  </si>
  <si>
    <t>JEFFERSON RD</t>
  </si>
  <si>
    <t>PO BOX 55194</t>
  </si>
  <si>
    <t>DONNELLY SHANE M &amp; LAUREN N (W)</t>
  </si>
  <si>
    <t>4445 CASSABILL DR</t>
  </si>
  <si>
    <t>DONNELLY SHANE M &amp; LA</t>
  </si>
  <si>
    <t>CASSABILL DR</t>
  </si>
  <si>
    <t>DURKIN WILLIAM M &amp; ELEANOR C</t>
  </si>
  <si>
    <t>30 WHEELING ST</t>
  </si>
  <si>
    <t>WHEELING ST</t>
  </si>
  <si>
    <t xml:space="preserve">NICHOL DAVID </t>
  </si>
  <si>
    <t xml:space="preserve">BUTLER DONNA </t>
  </si>
  <si>
    <t>652 MIFFLIN RD</t>
  </si>
  <si>
    <t>BRICELYN</t>
  </si>
  <si>
    <t xml:space="preserve">MERANTE PROPERTIES LLC </t>
  </si>
  <si>
    <t>0 TORCH ST</t>
  </si>
  <si>
    <t>BAXTER JOHN R SR &amp; VIRGINIA (W)</t>
  </si>
  <si>
    <t>KAREN TIGHE</t>
  </si>
  <si>
    <t>GRAFTON</t>
  </si>
  <si>
    <t>HANKINS SHIRLEY &amp; JEARLEN SCARBERRY</t>
  </si>
  <si>
    <t xml:space="preserve">THEOBALD HERBERT S JR </t>
  </si>
  <si>
    <t>721 MIFFLIN RD</t>
  </si>
  <si>
    <t xml:space="preserve">CONODONTA HILL ONE LLC </t>
  </si>
  <si>
    <t>CONODONTA HILL ONE LL</t>
  </si>
  <si>
    <t>E GUNNISON PL</t>
  </si>
  <si>
    <t xml:space="preserve">STANLEY STEPHANIE L </t>
  </si>
  <si>
    <t>701 MIFFLIN RD</t>
  </si>
  <si>
    <t>STECK VIRGINIA C &amp; JOHN STUART CRAWFORD</t>
  </si>
  <si>
    <t>BEDELL DAVID J &amp; SUK HUI (W)</t>
  </si>
  <si>
    <t>673 MIFFLIN RD</t>
  </si>
  <si>
    <t>MEADOW AVE</t>
  </si>
  <si>
    <t xml:space="preserve">MORABITO JOHN F JR </t>
  </si>
  <si>
    <t>669 MIFFLIN RD</t>
  </si>
  <si>
    <t xml:space="preserve">CHASE HOME FINANCE   </t>
  </si>
  <si>
    <t xml:space="preserve">BROWNING RALPH </t>
  </si>
  <si>
    <t>774 BEECHLAND ST</t>
  </si>
  <si>
    <t>758 BEECHLAND ST</t>
  </si>
  <si>
    <t>MCCALLISTER EDWARD W &amp; DAWN  M (W)</t>
  </si>
  <si>
    <t>110 ROGERS CT</t>
  </si>
  <si>
    <t xml:space="preserve">MERVIS JOSEPH M </t>
  </si>
  <si>
    <t>0 BEECHLAND ST</t>
  </si>
  <si>
    <t>GEORGE JOSEPH W &amp; DENISE M</t>
  </si>
  <si>
    <t>792 BEECHLAND ST</t>
  </si>
  <si>
    <t xml:space="preserve">LOPOSKY JOHN E &amp; DOLORES V               </t>
  </si>
  <si>
    <t>0 OAKVILLE ST</t>
  </si>
  <si>
    <t>LOPOSKY JOHN E &amp; DOLO</t>
  </si>
  <si>
    <t>ASHWOOD COURT DR</t>
  </si>
  <si>
    <t xml:space="preserve">RAMOS EDWIN P </t>
  </si>
  <si>
    <t>RAMOS EDWIN P</t>
  </si>
  <si>
    <t>MATTITUCK CIR</t>
  </si>
  <si>
    <t>0 GODARD ST</t>
  </si>
  <si>
    <t>BALTIMORE &amp; OHIO RR CO WHEELING-PGH</t>
  </si>
  <si>
    <t xml:space="preserve">FONNER VIOLET E </t>
  </si>
  <si>
    <t>0 LEBANON RD</t>
  </si>
  <si>
    <t>MECHANICSVILLE</t>
  </si>
  <si>
    <t>FARINA ANNA  &amp; LOUIS I (H)</t>
  </si>
  <si>
    <t>20 LEBANON RD</t>
  </si>
  <si>
    <t xml:space="preserve">SARRAINO MICHAEL  &amp; PARM </t>
  </si>
  <si>
    <t xml:space="preserve">ROHRER LAWRENCE V                               </t>
  </si>
  <si>
    <t>11 LEBANON RD</t>
  </si>
  <si>
    <t xml:space="preserve">JANOSOV AUTUMN N </t>
  </si>
  <si>
    <t>816 MOONEY RD</t>
  </si>
  <si>
    <t xml:space="preserve">HUNT HARRIET BURNETT </t>
  </si>
  <si>
    <t>0 OLD MOONEY RD</t>
  </si>
  <si>
    <t>TRAUTMAN ST</t>
  </si>
  <si>
    <t xml:space="preserve">BETLER RICHARD </t>
  </si>
  <si>
    <t>813 MOONEY RD</t>
  </si>
  <si>
    <t>COPE ELIZABETH JANE &amp; KIRK THOMAS GAUDIN</t>
  </si>
  <si>
    <t>0 MOONEY RD</t>
  </si>
  <si>
    <t>0 LAVILLE AVE</t>
  </si>
  <si>
    <t xml:space="preserve">ROGERS DIANNE K </t>
  </si>
  <si>
    <t>74 LEBANON RD</t>
  </si>
  <si>
    <t>DUSCH JOHN G SR &amp; ANN L (W)</t>
  </si>
  <si>
    <t>60 LEBANON RD</t>
  </si>
  <si>
    <t>DUSCH JOHN G SR &amp; ANN</t>
  </si>
  <si>
    <t>REOLA RICHARD A &amp; THERESA J</t>
  </si>
  <si>
    <t>RIDGEWAY DR</t>
  </si>
  <si>
    <t>EDWARDS SCOTT D &amp; CAROL EDWARDS</t>
  </si>
  <si>
    <t>CATHRYNE EDWARDS</t>
  </si>
  <si>
    <t>CAT TAIL TRL</t>
  </si>
  <si>
    <t>BENTON</t>
  </si>
  <si>
    <t xml:space="preserve">MARLATT GARY L </t>
  </si>
  <si>
    <t xml:space="preserve">EVANS JANIE </t>
  </si>
  <si>
    <t>102 LEBANON RD</t>
  </si>
  <si>
    <t>KOSCELEK JOSEPH  &amp; SANDRA (W)</t>
  </si>
  <si>
    <t xml:space="preserve">HILS IRENE T </t>
  </si>
  <si>
    <t>5056 GLENHURST RD</t>
  </si>
  <si>
    <t>HILLS IRENE T</t>
  </si>
  <si>
    <t xml:space="preserve">MASCIO JOHN R &amp; NINA (W) </t>
  </si>
  <si>
    <t>5022 GLENHURST RD</t>
  </si>
  <si>
    <t xml:space="preserve">MASTRIANO JOHN JAY </t>
  </si>
  <si>
    <t>0 GLENHURST RD</t>
  </si>
  <si>
    <t xml:space="preserve">SHUENNJYE LIN                                   </t>
  </si>
  <si>
    <t>5166 LOUGEAN AVE</t>
  </si>
  <si>
    <t>SHUENNJYE LIN</t>
  </si>
  <si>
    <t>0 THEODORE ST</t>
  </si>
  <si>
    <t xml:space="preserve">CZECZELY JENNIE </t>
  </si>
  <si>
    <t>CZECZELY JENNIE</t>
  </si>
  <si>
    <t xml:space="preserve">LANG SHIRLEY H </t>
  </si>
  <si>
    <t>LANG SHIRLEY H</t>
  </si>
  <si>
    <t>DOMINICI JOHN E &amp; HELEN E</t>
  </si>
  <si>
    <t>DALEWOOD ST</t>
  </si>
  <si>
    <t xml:space="preserve">BOORY KEVIN </t>
  </si>
  <si>
    <t>572 CALERA ST</t>
  </si>
  <si>
    <t>BRACCO LOUIS  &amp; PHILOMENO</t>
  </si>
  <si>
    <t>0 ASHBY ST</t>
  </si>
  <si>
    <t>BRACCO LOUIS  &amp; PHILO</t>
  </si>
  <si>
    <t>ASHBY AVE</t>
  </si>
  <si>
    <t>SARRAINO MICHAEL J &amp; JOHN D SARRAINO</t>
  </si>
  <si>
    <t>621 CALERA ST</t>
  </si>
  <si>
    <t xml:space="preserve">SARRAINO JOHN D JR </t>
  </si>
  <si>
    <t xml:space="preserve">VERNO JOSEPH A </t>
  </si>
  <si>
    <t>623 CALERA ST</t>
  </si>
  <si>
    <t>ZABELA STEVEN J &amp; MARY G (W)</t>
  </si>
  <si>
    <t>ZABELA STEVEN J &amp; MAR</t>
  </si>
  <si>
    <t>SAUNDERS ZURA            ETAL</t>
  </si>
  <si>
    <t>DIANNE ROGERS</t>
  </si>
  <si>
    <t>681 BALDWIN RD</t>
  </si>
  <si>
    <t>DIANE RODGERS</t>
  </si>
  <si>
    <t>WALTERS ROBERT E &amp; JUDY (W)</t>
  </si>
  <si>
    <t>659 BALDWIN RD</t>
  </si>
  <si>
    <t>FILLA ADAM M &amp; CHRISTINA (W)</t>
  </si>
  <si>
    <t>655 BALDWIN RD</t>
  </si>
  <si>
    <t>STUBBS LAWRENCE &amp; DOROTHY (W)</t>
  </si>
  <si>
    <t>636 CALERA ST</t>
  </si>
  <si>
    <t xml:space="preserve">LIVINGSTON ALEXANDER </t>
  </si>
  <si>
    <t>626 CALERA ST</t>
  </si>
  <si>
    <t>ALEXANDER LIVINGSTON</t>
  </si>
  <si>
    <t xml:space="preserve">MCCREA JAMEL                                    </t>
  </si>
  <si>
    <t>624 CALERA ST</t>
  </si>
  <si>
    <t xml:space="preserve">JAMES PATRICIA M &amp; JOSEPH M (H)            </t>
  </si>
  <si>
    <t>620 CALERA ST</t>
  </si>
  <si>
    <t>JAMES PATRICIA M &amp; JO</t>
  </si>
  <si>
    <t xml:space="preserve">WALKER MARY ELLEN </t>
  </si>
  <si>
    <t>618 CALERA ST</t>
  </si>
  <si>
    <t>WALKER MARY ELLEN</t>
  </si>
  <si>
    <t xml:space="preserve">DRUGA KEVIN                                     </t>
  </si>
  <si>
    <t>648 BALDWIN RD</t>
  </si>
  <si>
    <t>KEVIN DRUGA ANASTASIA</t>
  </si>
  <si>
    <t xml:space="preserve">BOOTH CHARLES K </t>
  </si>
  <si>
    <t>662 BALDWIN RD</t>
  </si>
  <si>
    <t xml:space="preserve">BOOTH TERRY </t>
  </si>
  <si>
    <t>OBRINGER CLARENCE  &amp; MILDRED</t>
  </si>
  <si>
    <t>0 COMER ST</t>
  </si>
  <si>
    <t xml:space="preserve">LUFT BRIAN </t>
  </si>
  <si>
    <t>PINCHTOWN RD</t>
  </si>
  <si>
    <t>11 COMER ST</t>
  </si>
  <si>
    <t>7 COMER ST</t>
  </si>
  <si>
    <t>WEBER JAMES A &amp; MARY A (W)</t>
  </si>
  <si>
    <t>GOLDENROD ST</t>
  </si>
  <si>
    <t xml:space="preserve">SAILOR ASPHALT PAVING  CO INC                  </t>
  </si>
  <si>
    <t>855 BALDWIN RD</t>
  </si>
  <si>
    <t>PO BOX 184</t>
  </si>
  <si>
    <t>HOFFMAN LOUIS SR &amp; LOUIS M HOFFMAN JR</t>
  </si>
  <si>
    <t xml:space="preserve">CUDA DEBRA A                                    </t>
  </si>
  <si>
    <t>707 BALDWIN RD</t>
  </si>
  <si>
    <t xml:space="preserve">PARKER JAQUAN </t>
  </si>
  <si>
    <t>705 BALDWIN RD</t>
  </si>
  <si>
    <t xml:space="preserve">ZABELA STEVEN J </t>
  </si>
  <si>
    <t xml:space="preserve">CROSBY KELLY ANN </t>
  </si>
  <si>
    <t>690 GANGES WAY</t>
  </si>
  <si>
    <t xml:space="preserve">YURA EDWARD  &amp; ALICE V </t>
  </si>
  <si>
    <t>0 ORLEANS ST</t>
  </si>
  <si>
    <t>ORLEANS ST</t>
  </si>
  <si>
    <t>SIMM EDWARD E &amp; RUTH J (W)</t>
  </si>
  <si>
    <t>701 GANGES WAY</t>
  </si>
  <si>
    <t>BONZER JOHN C &amp; VALENTINE</t>
  </si>
  <si>
    <t>BOX 4622</t>
  </si>
  <si>
    <t xml:space="preserve">SAILOR THOMAS J                                 </t>
  </si>
  <si>
    <t xml:space="preserve">SAILOR TIMOTHY J                                </t>
  </si>
  <si>
    <t>899 BALDWIN RD</t>
  </si>
  <si>
    <t>903 BALDWIN RD</t>
  </si>
  <si>
    <t xml:space="preserve">MCGEEVER MAUREEN                                </t>
  </si>
  <si>
    <t>1173 LEASIDE DR</t>
  </si>
  <si>
    <t xml:space="preserve">SHEA ERIC J </t>
  </si>
  <si>
    <t>1143 OAKLEAF DR</t>
  </si>
  <si>
    <t>OAKLEAF DR</t>
  </si>
  <si>
    <t xml:space="preserve">OSTERRITTER KATHLEEN </t>
  </si>
  <si>
    <t>1171 OAKLEAF DR</t>
  </si>
  <si>
    <t xml:space="preserve">VACCARI NANCY </t>
  </si>
  <si>
    <t>1212 LEASIDE DR</t>
  </si>
  <si>
    <t>SANCHEZ ADAN ALBERTO  SOTO</t>
  </si>
  <si>
    <t>5001 LOUGEAN AVE</t>
  </si>
  <si>
    <t>NAGODA EDITH VICTOR GEORGE KLEIN</t>
  </si>
  <si>
    <t>1128 SCORER ST</t>
  </si>
  <si>
    <t>SCORER ST</t>
  </si>
  <si>
    <t xml:space="preserve">KASICH CARRIE ANN                               </t>
  </si>
  <si>
    <t>5004 LOUGEAN AVE</t>
  </si>
  <si>
    <t>KULISEK STEPHEN J JR &amp; MARLYN R</t>
  </si>
  <si>
    <t>4928 LOUGEAN AVE</t>
  </si>
  <si>
    <t xml:space="preserve">WILSON GLORIA E </t>
  </si>
  <si>
    <t>4838 INTERBORO AVE</t>
  </si>
  <si>
    <t xml:space="preserve">MILLER WALTER P JR </t>
  </si>
  <si>
    <t>4841 INTERBORO AVE</t>
  </si>
  <si>
    <t>KOONTZ GEORGE J &amp; DIANE L (W)</t>
  </si>
  <si>
    <t>4839 INTERBORO AVE</t>
  </si>
  <si>
    <t xml:space="preserve">GRIFFIN IRENE </t>
  </si>
  <si>
    <t>1161 COX PL</t>
  </si>
  <si>
    <t xml:space="preserve">HARRISON JALISA </t>
  </si>
  <si>
    <t>0 MCKEESPORT BLVD</t>
  </si>
  <si>
    <t xml:space="preserve">HARVARD BRETT </t>
  </si>
  <si>
    <t>1210 MIFFLIN RD</t>
  </si>
  <si>
    <t>S G II REALTY INTERBORO  L L C</t>
  </si>
  <si>
    <t>5204 INTERBORO AVE</t>
  </si>
  <si>
    <t>S G II REALTY INTERBO</t>
  </si>
  <si>
    <t>PHILMONT AVE STE 100</t>
  </si>
  <si>
    <t>PGH RAILWAYS CO CLARK  BLDG</t>
  </si>
  <si>
    <t>0 APDALE ST</t>
  </si>
  <si>
    <t xml:space="preserve">MAHONEY RANDAL </t>
  </si>
  <si>
    <t>1210 LEASIDE DR</t>
  </si>
  <si>
    <t xml:space="preserve">LUCAS CARL W &amp; MARY R </t>
  </si>
  <si>
    <t>0 LEASIDE DR</t>
  </si>
  <si>
    <t xml:space="preserve">HARRIER MEREDITH ANN </t>
  </si>
  <si>
    <t>5024 DELEHANTY ST</t>
  </si>
  <si>
    <t>5039 DELEHANTY ST</t>
  </si>
  <si>
    <t xml:space="preserve">MUNZ DOREEN M </t>
  </si>
  <si>
    <t>5155 INTERBORO AVE</t>
  </si>
  <si>
    <t>DOREEN M MUNZ</t>
  </si>
  <si>
    <t>LESCHAK MICHAEL T &amp; KIMBERLY A (W)</t>
  </si>
  <si>
    <t>5127 DELFORD ST</t>
  </si>
  <si>
    <t xml:space="preserve">MR PROPERTY LLC </t>
  </si>
  <si>
    <t>5137 DELFORD ST</t>
  </si>
  <si>
    <t>VALENTINE RICHARD &amp; JENNIFER (W)</t>
  </si>
  <si>
    <t>1362 LEASIDE DR</t>
  </si>
  <si>
    <t>VALENTINE RICHARD &amp; J</t>
  </si>
  <si>
    <t xml:space="preserve">COLEMAN DANNIELLE </t>
  </si>
  <si>
    <t>1370 LEASIDE DR</t>
  </si>
  <si>
    <t xml:space="preserve">MCVAY KELLY J </t>
  </si>
  <si>
    <t>1384 LEASIDE DR</t>
  </si>
  <si>
    <t xml:space="preserve">4T HOME IMPROVEMENTS LLC </t>
  </si>
  <si>
    <t>1393 LEASIDE DR</t>
  </si>
  <si>
    <t xml:space="preserve">4T HOME IMPROVEMENTS </t>
  </si>
  <si>
    <t xml:space="preserve">POOL BRANDON </t>
  </si>
  <si>
    <t>1339 LEASIDE DR</t>
  </si>
  <si>
    <t xml:space="preserve">WOLFE MARY ANN </t>
  </si>
  <si>
    <t>5201 INTERBORO AVE</t>
  </si>
  <si>
    <t>QUADRO STATIONS INC      ETAL</t>
  </si>
  <si>
    <t>DALROCK RD</t>
  </si>
  <si>
    <t>ROWLETT</t>
  </si>
  <si>
    <t xml:space="preserve">GIARRUSSO CHRISTINE A </t>
  </si>
  <si>
    <t>1222 ELWELL ST</t>
  </si>
  <si>
    <t>ELWELL ST</t>
  </si>
  <si>
    <t xml:space="preserve">CAITO HEATHER L </t>
  </si>
  <si>
    <t>1137 MULDOWNEY AVE</t>
  </si>
  <si>
    <t xml:space="preserve">BARGAR ROBERT A </t>
  </si>
  <si>
    <t>1207 MULDOWNEY AVE</t>
  </si>
  <si>
    <t>BARGAR ROBERT A</t>
  </si>
  <si>
    <t xml:space="preserve">5411 MERE STREET LLC </t>
  </si>
  <si>
    <t>5411 MERE ST</t>
  </si>
  <si>
    <t>5411 MERE STREET LLC</t>
  </si>
  <si>
    <t>LIBRARY RD STE 220-1102</t>
  </si>
  <si>
    <t xml:space="preserve">CARUSO MATTHEW </t>
  </si>
  <si>
    <t>1309 MULDOWNEY AVE</t>
  </si>
  <si>
    <t>5406 BEGGS ST</t>
  </si>
  <si>
    <t>5400 BEGGS ST</t>
  </si>
  <si>
    <t>SIRNA CHARLES &amp; CATHERINE N (W)</t>
  </si>
  <si>
    <t>1801 MIFFLIN RD</t>
  </si>
  <si>
    <t>SIRNA CHARLES &amp; CATHE</t>
  </si>
  <si>
    <t>1807 MIFFLIN RD</t>
  </si>
  <si>
    <t xml:space="preserve">DEVER VICKI </t>
  </si>
  <si>
    <t>1404 MIFFLIN RD</t>
  </si>
  <si>
    <t>MIFFLINRIDGE RD</t>
  </si>
  <si>
    <t>ONEIL GLEN C &amp; LISA M (W)</t>
  </si>
  <si>
    <t>1406 MIFFLIN RD</t>
  </si>
  <si>
    <t>HERNANDEZ SULMA  ELIZABETH RUEDAS</t>
  </si>
  <si>
    <t>1410 MIFFLIN RD</t>
  </si>
  <si>
    <t>HERNANDEZ SULMA ELIZA</t>
  </si>
  <si>
    <t>1405 MULDOWNEY AVE</t>
  </si>
  <si>
    <t xml:space="preserve">SCHAMING CHRISTOPHER J </t>
  </si>
  <si>
    <t>1431 MULDOWNEY AVE</t>
  </si>
  <si>
    <t xml:space="preserve">SCHAMING CHRISTOPHER </t>
  </si>
  <si>
    <t>1437 MULDOWNEY AVE</t>
  </si>
  <si>
    <t xml:space="preserve">DALEY GREGG P                                   </t>
  </si>
  <si>
    <t>0 MULDOWNEY AVE</t>
  </si>
  <si>
    <t xml:space="preserve">MCCLAIN MICHAEL J </t>
  </si>
  <si>
    <t>1226 MULDOWNEY AVE</t>
  </si>
  <si>
    <t xml:space="preserve">NAVILLIAT ROBERT D </t>
  </si>
  <si>
    <t>0 RODGERS ST</t>
  </si>
  <si>
    <t xml:space="preserve">DITTER SCOTT M </t>
  </si>
  <si>
    <t>1637 MCBRIDE ST</t>
  </si>
  <si>
    <t>MCBRIDE ST</t>
  </si>
  <si>
    <t xml:space="preserve">DORNIN SEAN </t>
  </si>
  <si>
    <t>1627 MCBRIDE ST</t>
  </si>
  <si>
    <t xml:space="preserve">WILSON PATRICK </t>
  </si>
  <si>
    <t>1613 MCBRIDE ST</t>
  </si>
  <si>
    <t>WILSON PATRICK</t>
  </si>
  <si>
    <t xml:space="preserve">GUARDADO CESAR ENRIQUE  CONTRERAS &amp;             </t>
  </si>
  <si>
    <t>1418 MIFFLIN RD</t>
  </si>
  <si>
    <t>GUARDADO CESAR ENRIQU</t>
  </si>
  <si>
    <t xml:space="preserve">WALCZAK DONNA </t>
  </si>
  <si>
    <t>5512 KEEFE ST</t>
  </si>
  <si>
    <t xml:space="preserve">SYSKA JASON </t>
  </si>
  <si>
    <t>0 KEEFE ST</t>
  </si>
  <si>
    <t>5384 MIFFLIN RD</t>
  </si>
  <si>
    <t xml:space="preserve">LAW HENRY T MANKIN                              </t>
  </si>
  <si>
    <t>5413 MIFFLIN RD</t>
  </si>
  <si>
    <t xml:space="preserve">BROOKS KELLY                                    </t>
  </si>
  <si>
    <t>5319 MIFFLIN RD</t>
  </si>
  <si>
    <t xml:space="preserve">TGFAT LLC </t>
  </si>
  <si>
    <t>5407 HALCHESS ST</t>
  </si>
  <si>
    <t>COURSIN ST</t>
  </si>
  <si>
    <t>FULTON DONALD R &amp; KATHLEEN (W)</t>
  </si>
  <si>
    <t>5601 RODGERS ST EXT</t>
  </si>
  <si>
    <t>FULTON DONALD R &amp; KAT</t>
  </si>
  <si>
    <t>RODGERS AVE</t>
  </si>
  <si>
    <t>FULTON KATHLEEN  &amp; RONALD (H)</t>
  </si>
  <si>
    <t>FULTON KATHLEEN  &amp; RO</t>
  </si>
  <si>
    <t>SCOTT DR</t>
  </si>
  <si>
    <t>FULTON KATHLEEN  &amp; DONALD</t>
  </si>
  <si>
    <t>FULTON KATHLEEN  &amp; DO</t>
  </si>
  <si>
    <t xml:space="preserve">ALEXANDER JOHN J III </t>
  </si>
  <si>
    <t>5612 RODGERS ST EXT</t>
  </si>
  <si>
    <t>RODGERS ST EXT</t>
  </si>
  <si>
    <t>BUTLER EDWARD J &amp; LINDA L (W)</t>
  </si>
  <si>
    <t>5711 INTERBORO AVE</t>
  </si>
  <si>
    <t>ROSS BRUCE C &amp; PATRICE J (W)</t>
  </si>
  <si>
    <t>5742 INTERBORO AVE</t>
  </si>
  <si>
    <t>MAY RANDY ALTON &amp; LISA LEE (W)</t>
  </si>
  <si>
    <t>5726 INTERBORO AVE</t>
  </si>
  <si>
    <t>MAY RANDY ALTON &amp; LIS</t>
  </si>
  <si>
    <t xml:space="preserve">WOOLARD MARK E </t>
  </si>
  <si>
    <t>5700 INTERBORO AVE</t>
  </si>
  <si>
    <t xml:space="preserve">BROWN ERNEST </t>
  </si>
  <si>
    <t>5800 INTERBORO AVE</t>
  </si>
  <si>
    <t>ERNEST BROWN</t>
  </si>
  <si>
    <t xml:space="preserve">TODD KATHLEEN J </t>
  </si>
  <si>
    <t>5745 LAUDER ST</t>
  </si>
  <si>
    <t xml:space="preserve">SANTA CHRISTIE LEE                              </t>
  </si>
  <si>
    <t>5725 LAUDER ST</t>
  </si>
  <si>
    <t>JACK TOWN ROAD EXT</t>
  </si>
  <si>
    <t xml:space="preserve">CLARK JAMES E </t>
  </si>
  <si>
    <t>1151 MARGRAY ST</t>
  </si>
  <si>
    <t>CLARK JAMES</t>
  </si>
  <si>
    <t>DOUGLASS ST</t>
  </si>
  <si>
    <t>SCHAMING ALFRED J &amp; MARGARET C (W)</t>
  </si>
  <si>
    <t>1137 MARGRAY ST</t>
  </si>
  <si>
    <t>SCHAMING ALFRED J &amp; M</t>
  </si>
  <si>
    <t>MARGRAY ST</t>
  </si>
  <si>
    <t>SCHAMING ALFRED J &amp; MARGARET C</t>
  </si>
  <si>
    <t>0 MARGRAY ST</t>
  </si>
  <si>
    <t>SETTING SUN DR</t>
  </si>
  <si>
    <t>WINTER GARDEN</t>
  </si>
  <si>
    <t xml:space="preserve">IBRAHIM FATIMA </t>
  </si>
  <si>
    <t>5754 LAUDER ST</t>
  </si>
  <si>
    <t>MCCUISTON RD UNIT 72</t>
  </si>
  <si>
    <t>PETRO ANDREW M &amp; RITA JEAN (W)</t>
  </si>
  <si>
    <t>5760 LAUDER ST</t>
  </si>
  <si>
    <t>DELLAGLEN AVE</t>
  </si>
  <si>
    <t>PETRO ANDREW M &amp; RITA JEAN</t>
  </si>
  <si>
    <t>1167 MCELHINNY AVE</t>
  </si>
  <si>
    <t>0 STOCK ST</t>
  </si>
  <si>
    <t>1203 STOCK ST</t>
  </si>
  <si>
    <t>LATOI GENTILCORE</t>
  </si>
  <si>
    <t>GRAHAM EMMA T &amp; CHARLES T SR (H)</t>
  </si>
  <si>
    <t>1141 STOCK ST</t>
  </si>
  <si>
    <t>OCONNELL WILLIAM J &amp; FLORA</t>
  </si>
  <si>
    <t>TRAYNOR LOUIS JOHN &amp; CAROLYN A (W)</t>
  </si>
  <si>
    <t>5702 MIFFLIN RD</t>
  </si>
  <si>
    <t xml:space="preserve">NAVILLIAT DEBORAH J </t>
  </si>
  <si>
    <t>5600 MIFFLIN RD</t>
  </si>
  <si>
    <t xml:space="preserve">BLACK LEONARD C </t>
  </si>
  <si>
    <t>5720 HALCHESS ST</t>
  </si>
  <si>
    <t>HALCHESS ST</t>
  </si>
  <si>
    <t>5706 HALCHESS ST</t>
  </si>
  <si>
    <t xml:space="preserve">LUTHERAN MARILYN E </t>
  </si>
  <si>
    <t>1621 MOHRBACH ST</t>
  </si>
  <si>
    <t>MOHRBACH ST</t>
  </si>
  <si>
    <t>5601 HALCHESS ST</t>
  </si>
  <si>
    <t xml:space="preserve">BOSETTI CHARLES A </t>
  </si>
  <si>
    <t>0 W WAY</t>
  </si>
  <si>
    <t>DILLER PL</t>
  </si>
  <si>
    <t>LEONI QUINN A &amp; BERNICE (W)</t>
  </si>
  <si>
    <t>5809 FREDANNA ST</t>
  </si>
  <si>
    <t>LEONI QUINN A &amp; BERNI</t>
  </si>
  <si>
    <t xml:space="preserve">NASSAN ROBERT J                                 </t>
  </si>
  <si>
    <t>1721 COSMOS ST</t>
  </si>
  <si>
    <t>COSMOS ST</t>
  </si>
  <si>
    <t>GALVIN WILLIAM K &amp; PATRICIA J (W)</t>
  </si>
  <si>
    <t>0 MCELHINNY AVE</t>
  </si>
  <si>
    <t>GALVIN WILLIAM K &amp; PA</t>
  </si>
  <si>
    <t>RALEIGH DAVID A &amp; JENNIFER A (W)</t>
  </si>
  <si>
    <t>1835 ORCHID PL</t>
  </si>
  <si>
    <t>ORCHID PL</t>
  </si>
  <si>
    <t xml:space="preserve">BALL MERVILLE H &amp; MARY M </t>
  </si>
  <si>
    <t>0 ORCHID ST</t>
  </si>
  <si>
    <t>TASSEL LN</t>
  </si>
  <si>
    <t>COOK PAUL A &amp; NADINE FENNELL (W)</t>
  </si>
  <si>
    <t>0 ROSE ARBOR AVE</t>
  </si>
  <si>
    <t xml:space="preserve">COOK PAUL A &amp; NADINE </t>
  </si>
  <si>
    <t xml:space="preserve">COOK PAUL &amp; NADINE (W) </t>
  </si>
  <si>
    <t>COOK PAUL &amp; NADINE (W</t>
  </si>
  <si>
    <t>LAURA AVE</t>
  </si>
  <si>
    <t xml:space="preserve">POPOJAS CHRISTOPHER L </t>
  </si>
  <si>
    <t>1837 ORCHID PL</t>
  </si>
  <si>
    <t>BAUGHMAN JOHN E &amp; ROSEMARY</t>
  </si>
  <si>
    <t>LOS PADRES DR</t>
  </si>
  <si>
    <t>CAMP PENDLETON</t>
  </si>
  <si>
    <t>FLEMINGTON STREET CORPORATION</t>
  </si>
  <si>
    <t>GALLAGHER BRIAN R &amp; JUDITH A (W)</t>
  </si>
  <si>
    <t>5179 GLENHURST RD</t>
  </si>
  <si>
    <t xml:space="preserve">BYWALSKI DAVID J </t>
  </si>
  <si>
    <t>5143 GLENHURST RD</t>
  </si>
  <si>
    <t>ALLEGHENY CONTRACTING  INDUSTRIES INC</t>
  </si>
  <si>
    <t xml:space="preserve">MOONEY RONALD                                   </t>
  </si>
  <si>
    <t>939 MIFFLINRIDGE RD</t>
  </si>
  <si>
    <t xml:space="preserve">HUEY EMILY </t>
  </si>
  <si>
    <t>1190 MIFFLIN RD</t>
  </si>
  <si>
    <t>ROBERTA DR</t>
  </si>
  <si>
    <t xml:space="preserve">MOONEY RONALD </t>
  </si>
  <si>
    <t>0 OLLIE ST</t>
  </si>
  <si>
    <t>MAIN TER</t>
  </si>
  <si>
    <t xml:space="preserve">OSHELL BESSIE </t>
  </si>
  <si>
    <t>1112 COX PL</t>
  </si>
  <si>
    <t>COX PL</t>
  </si>
  <si>
    <t xml:space="preserve">CARUSO PETER </t>
  </si>
  <si>
    <t>903 SESSION ST</t>
  </si>
  <si>
    <t>CARUSO PETER</t>
  </si>
  <si>
    <t>SESSION ST</t>
  </si>
  <si>
    <t xml:space="preserve">OBRINGER JOHN W </t>
  </si>
  <si>
    <t>916 MULDOWNEY AVE</t>
  </si>
  <si>
    <t>NILLHILL ST</t>
  </si>
  <si>
    <t xml:space="preserve">BROWN CARLA M </t>
  </si>
  <si>
    <t>918 MULDOWNEY AVE</t>
  </si>
  <si>
    <t>MULDOWNEY ST</t>
  </si>
  <si>
    <t xml:space="preserve">MILLER LANCE LEBEAU </t>
  </si>
  <si>
    <t>5512 DELLAGLEN AVE</t>
  </si>
  <si>
    <t>BETHUNE JOANNE  &amp; MICHAEL J (H)</t>
  </si>
  <si>
    <t>915 MULDOWNEY AVE</t>
  </si>
  <si>
    <t xml:space="preserve">PALKO QUINN J </t>
  </si>
  <si>
    <t>5387 OLLIE ST</t>
  </si>
  <si>
    <t>OLLIE ST</t>
  </si>
  <si>
    <t>PERRIS DAVID A &amp; LISA J (W)</t>
  </si>
  <si>
    <t>5383 OLLIE ST</t>
  </si>
  <si>
    <t>DELCID MARVIN ISAAC  ALVARADO</t>
  </si>
  <si>
    <t>1100 ELWELL ST</t>
  </si>
  <si>
    <t>DELCID MARVIN ISAAC A</t>
  </si>
  <si>
    <t xml:space="preserve">PASKEVICIUS THOMAS G </t>
  </si>
  <si>
    <t>1033 MULDOWNEY AVE</t>
  </si>
  <si>
    <t>BARVINCHAK PAUL D JR &amp; CARLA M (W)</t>
  </si>
  <si>
    <t>1025 MULDOWNEY AVE</t>
  </si>
  <si>
    <t>ZEZZA CHARLES J &amp; PAMELA J TOZZI</t>
  </si>
  <si>
    <t>1024 MULDOWNEY AVE</t>
  </si>
  <si>
    <t>MAZON WILLIAM 3RD &amp; MICHELLE MAZON (W)</t>
  </si>
  <si>
    <t>1060 MULDOWNEY AVE</t>
  </si>
  <si>
    <t>MAZON WILLIAM 3RD &amp; M</t>
  </si>
  <si>
    <t xml:space="preserve">PATEL SAUMYA </t>
  </si>
  <si>
    <t>1116 MULDOWNEY AVE</t>
  </si>
  <si>
    <t>RBC (GEORGIA) N A</t>
  </si>
  <si>
    <t>ARCO CORPORATE DR</t>
  </si>
  <si>
    <t>SOULIER DOUGLAS WILLIAM &amp; CHRISTINE E KO SLOW</t>
  </si>
  <si>
    <t>1122 MULDOWNEY AVE</t>
  </si>
  <si>
    <t>1109 RODGERS ST</t>
  </si>
  <si>
    <t xml:space="preserve">DOMENICO SHAWN B </t>
  </si>
  <si>
    <t>5600 COX AVE</t>
  </si>
  <si>
    <t>COX AVE</t>
  </si>
  <si>
    <t>0 COX AVE</t>
  </si>
  <si>
    <t>DOMENICO SHAWN B</t>
  </si>
  <si>
    <t xml:space="preserve">SEGLER SCOTT </t>
  </si>
  <si>
    <t>5606 OLLIE ST</t>
  </si>
  <si>
    <t xml:space="preserve">BUDD BARRY DAVID II </t>
  </si>
  <si>
    <t>924 BALTIMORE ST</t>
  </si>
  <si>
    <t>0 BALTIMORE ST</t>
  </si>
  <si>
    <t xml:space="preserve">GREENBERG ELENA </t>
  </si>
  <si>
    <t xml:space="preserve">BUDD BARRY D II </t>
  </si>
  <si>
    <t xml:space="preserve">OWNERSCHOICE FUNDING </t>
  </si>
  <si>
    <t>WATERVLIET-SHAKER RD</t>
  </si>
  <si>
    <t xml:space="preserve">LAFFERTY REED </t>
  </si>
  <si>
    <t>918 STOCK ST</t>
  </si>
  <si>
    <t>GILES DANIEL &amp; PAULINE B (W)</t>
  </si>
  <si>
    <t>924 STOCK ST</t>
  </si>
  <si>
    <t>5740 DELLAGLEN AVE</t>
  </si>
  <si>
    <t xml:space="preserve">RONGAUS JEFFREY R </t>
  </si>
  <si>
    <t>5722 DELLAGLEN AVE</t>
  </si>
  <si>
    <t xml:space="preserve">VALLDARES NADYA E                               </t>
  </si>
  <si>
    <t>0 DELLAGLEN AVE</t>
  </si>
  <si>
    <t>5612 DELLAGLEN AVE</t>
  </si>
  <si>
    <t xml:space="preserve">AJIBOYE SAMUEL </t>
  </si>
  <si>
    <t>VISTAVIEW ST</t>
  </si>
  <si>
    <t xml:space="preserve">BETLER ASHLEY L </t>
  </si>
  <si>
    <t xml:space="preserve">GOTTRON REGIS T </t>
  </si>
  <si>
    <t xml:space="preserve">SIMM VIVIAN R </t>
  </si>
  <si>
    <t>5639 OLLIE ST</t>
  </si>
  <si>
    <t>ARAGON PL</t>
  </si>
  <si>
    <t xml:space="preserve">SEGIEL RICHARD M </t>
  </si>
  <si>
    <t>1105 STOCK ST</t>
  </si>
  <si>
    <t>PO BOX 14703</t>
  </si>
  <si>
    <t>1126 MARGRAY ST</t>
  </si>
  <si>
    <t>NOLLHILL ST</t>
  </si>
  <si>
    <t xml:space="preserve">AROVITS DAVID M </t>
  </si>
  <si>
    <t>5815 LAUDER ST REAR</t>
  </si>
  <si>
    <t>LIVINGSTON RD</t>
  </si>
  <si>
    <t>5815 LAUDER ST</t>
  </si>
  <si>
    <t xml:space="preserve">FENNELL DONALD J </t>
  </si>
  <si>
    <t>5849 INTERBORO AVE</t>
  </si>
  <si>
    <t xml:space="preserve">STURM CHARLES J </t>
  </si>
  <si>
    <t>5900 RODGERS ST EXT</t>
  </si>
  <si>
    <t>FOSBRINK JAMES E &amp; ANGELA (W)</t>
  </si>
  <si>
    <t>5921 RODGERS ST EXT</t>
  </si>
  <si>
    <t xml:space="preserve">SMITH STEVEN H </t>
  </si>
  <si>
    <t>5904 KEEFE ST</t>
  </si>
  <si>
    <t xml:space="preserve">HAENZE BRIAN                                    </t>
  </si>
  <si>
    <t>5945 BUTTERMILK HOLLOW RD</t>
  </si>
  <si>
    <t>EASY ST</t>
  </si>
  <si>
    <t>GRIEB ROBERT C &amp; JUDITH A (W)</t>
  </si>
  <si>
    <t xml:space="preserve">COLLINS MARILYN S </t>
  </si>
  <si>
    <t>MARILYN SARACCO</t>
  </si>
  <si>
    <t>STETTLER DR</t>
  </si>
  <si>
    <t xml:space="preserve">KANCZES PATRICIA T </t>
  </si>
  <si>
    <t>6103 MIFFLIN RD</t>
  </si>
  <si>
    <t xml:space="preserve">DONALDSON KATHY </t>
  </si>
  <si>
    <t>5906 FREDANNA ST</t>
  </si>
  <si>
    <t>NORMAN ASHLEE</t>
  </si>
  <si>
    <t xml:space="preserve">KITCHEN MICHAEL E                               </t>
  </si>
  <si>
    <t>1711 NOLLHILL ST</t>
  </si>
  <si>
    <t>KITCHEN MICHAEL E        ETAL</t>
  </si>
  <si>
    <t>0 FREDANNA ST</t>
  </si>
  <si>
    <t xml:space="preserve">DEIULIIS CAROL A                                </t>
  </si>
  <si>
    <t>1805 ORCHID ST</t>
  </si>
  <si>
    <t>ORCHID ST</t>
  </si>
  <si>
    <t>0 CENTURY AVE</t>
  </si>
  <si>
    <t>6150 MIFFLIN RD</t>
  </si>
  <si>
    <t>PITTSBURGH WATER &amp; SE</t>
  </si>
  <si>
    <t>PENN AVE FL 2ND</t>
  </si>
  <si>
    <t>BALBACH DOUGLAS  &amp; NELLIE BALBACH</t>
  </si>
  <si>
    <t>6127 MIFFLIN RD</t>
  </si>
  <si>
    <t xml:space="preserve">AAGF LLC </t>
  </si>
  <si>
    <t>1628 SAW MILL RUN BLVD</t>
  </si>
  <si>
    <t>HIGHLAND VILLA DR</t>
  </si>
  <si>
    <t>1753 BALLINGER ST</t>
  </si>
  <si>
    <t xml:space="preserve">ISLAMOV NOZIM                                   </t>
  </si>
  <si>
    <t>1766 BALLINGER ST</t>
  </si>
  <si>
    <t>PARKLINE DR</t>
  </si>
  <si>
    <t xml:space="preserve">SERAN AUTO LLC </t>
  </si>
  <si>
    <t xml:space="preserve">ABUOBEID AMER N </t>
  </si>
  <si>
    <t>BRUCEWOOD DR</t>
  </si>
  <si>
    <t xml:space="preserve">RISBON HARVEY W </t>
  </si>
  <si>
    <t>1557 EDGEBROOK AVE</t>
  </si>
  <si>
    <t>RISBON HARVEY W</t>
  </si>
  <si>
    <t xml:space="preserve">ADAMS JOHN &amp; RENEE ( W) </t>
  </si>
  <si>
    <t>0 ZIMMERMAN ST</t>
  </si>
  <si>
    <t>MINGONE DAVID  &amp; KATHLEEN (W)</t>
  </si>
  <si>
    <t>2146 ZIMMERMAN ST</t>
  </si>
  <si>
    <t>ZIMMERMAN ST</t>
  </si>
  <si>
    <t xml:space="preserve">KALANISH BRIAN M </t>
  </si>
  <si>
    <t>2138 ZIMMERMAN ST</t>
  </si>
  <si>
    <t>JOYCE WALTER C &amp; BOBBIE J (W)</t>
  </si>
  <si>
    <t>1608 BALLINGER ST</t>
  </si>
  <si>
    <t>JOYCE WALTER C &amp; BOBB</t>
  </si>
  <si>
    <t>BALLINGER ST</t>
  </si>
  <si>
    <t>0 BALLINGER ST</t>
  </si>
  <si>
    <t xml:space="preserve">THOMAS TANEESHA </t>
  </si>
  <si>
    <t>2011 ZIMMERMAN ST</t>
  </si>
  <si>
    <t xml:space="preserve">CAFARDI MARY </t>
  </si>
  <si>
    <t>1511 BALLINGER ST</t>
  </si>
  <si>
    <t>1651 FAWN ST</t>
  </si>
  <si>
    <t xml:space="preserve">PETERSON ALBERT B </t>
  </si>
  <si>
    <t>1554 HALLOWELL ST</t>
  </si>
  <si>
    <t>HALLOWELL ST</t>
  </si>
  <si>
    <t xml:space="preserve">SHIELDS AUDRA                                   </t>
  </si>
  <si>
    <t>1611 FIAT ST</t>
  </si>
  <si>
    <t>FIAT ST</t>
  </si>
  <si>
    <t xml:space="preserve">VAZQUEZ ALEXANDER C                             </t>
  </si>
  <si>
    <t>1633 FIAT ST</t>
  </si>
  <si>
    <t>COVIUS MORTGAGE SOLUT</t>
  </si>
  <si>
    <t>E MIRABEAU PKWY STE 100</t>
  </si>
  <si>
    <t>SPOKANE</t>
  </si>
  <si>
    <t xml:space="preserve">MILLER DONALD R                                 </t>
  </si>
  <si>
    <t>1668 FIAT ST</t>
  </si>
  <si>
    <t>1651 SAW MILL RUN BLVD</t>
  </si>
  <si>
    <t xml:space="preserve">MAKOWSKI KATIE L                                </t>
  </si>
  <si>
    <t>BAHEEN FAIZ AHMAD &amp; NAFISA (W)</t>
  </si>
  <si>
    <t>1670 BALLINGER ST</t>
  </si>
  <si>
    <t>BAHEEN FAIZ AHMAD &amp; N</t>
  </si>
  <si>
    <t xml:space="preserve">REID ANNETTE D </t>
  </si>
  <si>
    <t>1636 BALLINGER ST</t>
  </si>
  <si>
    <t xml:space="preserve">GORMAN DENNY </t>
  </si>
  <si>
    <t>0 HALLOWELL ST</t>
  </si>
  <si>
    <t>PETUNIA ST</t>
  </si>
  <si>
    <t>43 PETUNIA ST</t>
  </si>
  <si>
    <t>BARTELL CHARLES J &amp; HELEN C</t>
  </si>
  <si>
    <t>BARTELL CHARLES J &amp; HELEN C (W)</t>
  </si>
  <si>
    <t>59 PETUNIA ST</t>
  </si>
  <si>
    <t>63 PETUNIA ST</t>
  </si>
  <si>
    <t xml:space="preserve">FOOR MICHAEL D </t>
  </si>
  <si>
    <t>1725 HALLOWELL ST</t>
  </si>
  <si>
    <t>FLANDERS JEFFREY J &amp; CHERYL M (W)</t>
  </si>
  <si>
    <t>2039 MOREDALE ST</t>
  </si>
  <si>
    <t xml:space="preserve">JEFFREY J &amp; CHERYL M </t>
  </si>
  <si>
    <t>MOREDALE ST</t>
  </si>
  <si>
    <t xml:space="preserve">TYLER EDITH D </t>
  </si>
  <si>
    <t>2036 MOREDALE ST</t>
  </si>
  <si>
    <t xml:space="preserve">WILLIS JAMES R </t>
  </si>
  <si>
    <t>1668 HALLOWELL ST</t>
  </si>
  <si>
    <t>C/O FRANK R WILLIS</t>
  </si>
  <si>
    <t xml:space="preserve">HARRIS ABE  &amp; VIRGINIA T </t>
  </si>
  <si>
    <t>1242 GALLUPE DR</t>
  </si>
  <si>
    <t>GALLUPE DR</t>
  </si>
  <si>
    <t xml:space="preserve">DEVLIN CAROL ANN </t>
  </si>
  <si>
    <t>1219 GALLUPE DR</t>
  </si>
  <si>
    <t xml:space="preserve">REYES JESSE M                                   </t>
  </si>
  <si>
    <t>1211 GALLUPE DR</t>
  </si>
  <si>
    <t>2152 WHITED ST</t>
  </si>
  <si>
    <t xml:space="preserve">TEWELL MARY E &amp; RALPH L </t>
  </si>
  <si>
    <t>2215 WHITED ST</t>
  </si>
  <si>
    <t xml:space="preserve">TEWELL MARY E &amp; RALPH L (H)             </t>
  </si>
  <si>
    <t>0 WHITED ST</t>
  </si>
  <si>
    <t>NATH CHARLES A &amp; JUDITH C</t>
  </si>
  <si>
    <t>2231 WHITED ST</t>
  </si>
  <si>
    <t>ALLEN DAVID M &amp; ROZANN M (W)</t>
  </si>
  <si>
    <t>2100 WHITED ST</t>
  </si>
  <si>
    <t xml:space="preserve">UKANI TAPAN </t>
  </si>
  <si>
    <t>2084 WHITED ST</t>
  </si>
  <si>
    <t>UKANI TAPAN</t>
  </si>
  <si>
    <t xml:space="preserve">BROWN STANLEY J </t>
  </si>
  <si>
    <t>2074 WHITED ST</t>
  </si>
  <si>
    <t>PIERCE JAMES W &amp; KRISTINA M (W)</t>
  </si>
  <si>
    <t>1745 HALLOWELL ST</t>
  </si>
  <si>
    <t>HULAWICH NICHOLAS N &amp; DOLORES</t>
  </si>
  <si>
    <t>MITCHELL STEVEN P &amp; IDA R (W)</t>
  </si>
  <si>
    <t>W 5TH AVE</t>
  </si>
  <si>
    <t xml:space="preserve">FELGAR PAUL </t>
  </si>
  <si>
    <t>SAW MILL BLVD</t>
  </si>
  <si>
    <t xml:space="preserve">GILLENBERGER MARLENE  &amp; VERNON P GILLENB ERGER  </t>
  </si>
  <si>
    <t>BARNWOOD DR</t>
  </si>
  <si>
    <t>MITCHELL STEVEN P &amp; I</t>
  </si>
  <si>
    <t xml:space="preserve">EBBERT ALEXANDER </t>
  </si>
  <si>
    <t>2030 DARTMORE ST</t>
  </si>
  <si>
    <t>OVERBROOK PRESBTERIAN  CHURCH OF PGH</t>
  </si>
  <si>
    <t>0 DARTMORE ST</t>
  </si>
  <si>
    <t xml:space="preserve">TVETER FAMILY TRUST </t>
  </si>
  <si>
    <t>1928 DARTMORE ST</t>
  </si>
  <si>
    <t>BEESON RENEE &amp; JAMES R (H)</t>
  </si>
  <si>
    <t>MANN ROBERT JR &amp; ROBERT MANN III</t>
  </si>
  <si>
    <t>1935 DARTMORE ST</t>
  </si>
  <si>
    <t xml:space="preserve">REINHEIMER ANGELINA </t>
  </si>
  <si>
    <t>1943 DARTMORE ST</t>
  </si>
  <si>
    <t>2024 FAIRLAND ST</t>
  </si>
  <si>
    <t xml:space="preserve">GRACZYK BONNIE M </t>
  </si>
  <si>
    <t>2014 FAIRLAND ST</t>
  </si>
  <si>
    <t>FAIRLAND ST</t>
  </si>
  <si>
    <t xml:space="preserve">DENILLO JANET E </t>
  </si>
  <si>
    <t>1934 FAIRLAND ST</t>
  </si>
  <si>
    <t xml:space="preserve">GRILLI JOHN A SR </t>
  </si>
  <si>
    <t>1935 FAIRLAND ST</t>
  </si>
  <si>
    <t>2017 FAIRLAND ST</t>
  </si>
  <si>
    <t>2029 FAIRLAND ST</t>
  </si>
  <si>
    <t>2031 FAIRLAND ST</t>
  </si>
  <si>
    <t xml:space="preserve">SIRBAUGH GENE C </t>
  </si>
  <si>
    <t>2035 FAIRLAND ST</t>
  </si>
  <si>
    <t xml:space="preserve">BONNAR BRADLEY J </t>
  </si>
  <si>
    <t>2024 WALTON AVE</t>
  </si>
  <si>
    <t xml:space="preserve">BOWERS ROBIN M </t>
  </si>
  <si>
    <t>2041 DARTMORE ST</t>
  </si>
  <si>
    <t>2109 DARTMORE ST</t>
  </si>
  <si>
    <t xml:space="preserve">IWINSKI BARBARA JOANNE </t>
  </si>
  <si>
    <t>2115 DARTMORE ST</t>
  </si>
  <si>
    <t>BARBARA J KOEHLER</t>
  </si>
  <si>
    <t>BAUM GEORGE J &amp; M PATRICIA (W)</t>
  </si>
  <si>
    <t>0 ALBERT WAY</t>
  </si>
  <si>
    <t>BAUM GEORGE J &amp; M PAT</t>
  </si>
  <si>
    <t xml:space="preserve">ZORN KATHY M </t>
  </si>
  <si>
    <t>2067 DARTMORE ST</t>
  </si>
  <si>
    <t xml:space="preserve">DAVIDSON TOM </t>
  </si>
  <si>
    <t xml:space="preserve">HNATIW JOSEPH S </t>
  </si>
  <si>
    <t>2039 SAW MILL RUN BLVD</t>
  </si>
  <si>
    <t>NAHM EDWARD J JR &amp; REBECCA A NAHM</t>
  </si>
  <si>
    <t>2144 FAIRLAND ST</t>
  </si>
  <si>
    <t xml:space="preserve">REESE DENNY </t>
  </si>
  <si>
    <t>2045 FAIRLAND ST</t>
  </si>
  <si>
    <t>REESE DENNIS P</t>
  </si>
  <si>
    <t xml:space="preserve">BURNS COLLEEN A </t>
  </si>
  <si>
    <t>2084 WALTON AVE</t>
  </si>
  <si>
    <t>MISTER COOPER</t>
  </si>
  <si>
    <t>LBJ FRWY STE 600</t>
  </si>
  <si>
    <t xml:space="preserve">COMPORT MARISSA M                               </t>
  </si>
  <si>
    <t>2102 WALTON AVE</t>
  </si>
  <si>
    <t>COMPORT MARISSA M</t>
  </si>
  <si>
    <t>SLATER RD</t>
  </si>
  <si>
    <t>HELBA RYAN               ETAL</t>
  </si>
  <si>
    <t>2122 WALTON AVE</t>
  </si>
  <si>
    <t>HELBA RYAN %GARY HELB</t>
  </si>
  <si>
    <t>PATRICIA AVE</t>
  </si>
  <si>
    <t>RODWICK KENNETH E &amp; SHERYL A (W)</t>
  </si>
  <si>
    <t>2138 WALTON AVE</t>
  </si>
  <si>
    <t>RODWICK KENNETH E &amp; S</t>
  </si>
  <si>
    <t>0 WALTON AVE</t>
  </si>
  <si>
    <t>2125 WALTON AVE</t>
  </si>
  <si>
    <t xml:space="preserve">CAMERON KEVIN </t>
  </si>
  <si>
    <t>2067 WALTON AVE</t>
  </si>
  <si>
    <t xml:space="preserve">QUEENSTON 40 LLC                                </t>
  </si>
  <si>
    <t>40 QUEENSTON ST</t>
  </si>
  <si>
    <t>GILLECE JAMES R JR &amp; MAUREEN A (W)</t>
  </si>
  <si>
    <t>2231 SAW MILL RUN BLVD</t>
  </si>
  <si>
    <t>MURDSTONE RD</t>
  </si>
  <si>
    <t xml:space="preserve">SASSER DENISE </t>
  </si>
  <si>
    <t>110 AARON AVE</t>
  </si>
  <si>
    <t>SASSER DENISE</t>
  </si>
  <si>
    <t>AARON AVE</t>
  </si>
  <si>
    <t>HARTMAN MARTIN N &amp; DOLORES (W)</t>
  </si>
  <si>
    <t>0 JACOB ST</t>
  </si>
  <si>
    <t>HARTMAN MARTIN N &amp; DO</t>
  </si>
  <si>
    <t>JACOB ST</t>
  </si>
  <si>
    <t xml:space="preserve">SEITZINGER SHIRLEY E                            </t>
  </si>
  <si>
    <t>53 QUEENSTON ST</t>
  </si>
  <si>
    <t>QUEENSTON ST</t>
  </si>
  <si>
    <t xml:space="preserve">LYSAGHT SCOTT A </t>
  </si>
  <si>
    <t>300 QUEENSTON ST</t>
  </si>
  <si>
    <t xml:space="preserve">POLLICE JOHN F </t>
  </si>
  <si>
    <t>216 QUEENSTON ST</t>
  </si>
  <si>
    <t>DALEY JAMES J JR &amp; DARLENE E (W)</t>
  </si>
  <si>
    <t>2209 DARTMORE ST</t>
  </si>
  <si>
    <t>HERNANDEZ JORGE LUIS  CASTANO</t>
  </si>
  <si>
    <t>2211 DARTMORE ST</t>
  </si>
  <si>
    <t xml:space="preserve">HERNANDEZ JORGE LUIS </t>
  </si>
  <si>
    <t xml:space="preserve">CARLSON RICHARD </t>
  </si>
  <si>
    <t>LAKE CREEK RD</t>
  </si>
  <si>
    <t>COCHRANTON</t>
  </si>
  <si>
    <t xml:space="preserve">SMYTHE LAURA </t>
  </si>
  <si>
    <t xml:space="preserve">THOMPSON TONY J </t>
  </si>
  <si>
    <t>0 WAYSIDE ST</t>
  </si>
  <si>
    <t>WAYSIDE ST</t>
  </si>
  <si>
    <t xml:space="preserve">THOMSON TONY J </t>
  </si>
  <si>
    <t>DOMINOWSKI DAVID A SR &amp; DENINE M (W)</t>
  </si>
  <si>
    <t>210 WAYSIDE ST</t>
  </si>
  <si>
    <t>WAYSIDE AVE</t>
  </si>
  <si>
    <t>WALSH ROBERT G &amp; BARBARA ANN</t>
  </si>
  <si>
    <t>2235 FAIRLAND ST</t>
  </si>
  <si>
    <t>KLEIN WILLIAM J &amp; DARLENE M (W)</t>
  </si>
  <si>
    <t>2237 FAIRLAND ST</t>
  </si>
  <si>
    <t xml:space="preserve">FALLON ROBERT </t>
  </si>
  <si>
    <t>2259 WALTON AVE</t>
  </si>
  <si>
    <t xml:space="preserve">ANGELOFF VIRGINIA </t>
  </si>
  <si>
    <t>2230 LUCINA AVE</t>
  </si>
  <si>
    <t xml:space="preserve">OCARROLL FRANCIS </t>
  </si>
  <si>
    <t xml:space="preserve">MIKUS DARYN SCOTT </t>
  </si>
  <si>
    <t>2361 GLENBURY ST</t>
  </si>
  <si>
    <t>CREST LN</t>
  </si>
  <si>
    <t xml:space="preserve">BELLON FRED                                     </t>
  </si>
  <si>
    <t>0 BRIGGS ST</t>
  </si>
  <si>
    <t>9 BRIGGS ST</t>
  </si>
  <si>
    <t xml:space="preserve">CIBRONE CLETUS MARIE </t>
  </si>
  <si>
    <t>29 BRIGGS ST</t>
  </si>
  <si>
    <t>BRIGGS ST</t>
  </si>
  <si>
    <t xml:space="preserve">ABATE CLETUS MARIE </t>
  </si>
  <si>
    <t>CONNOLLY RICHARD  &amp; LINDA (W)</t>
  </si>
  <si>
    <t>55 BRIGGS ST</t>
  </si>
  <si>
    <t xml:space="preserve">HENRY GARY S </t>
  </si>
  <si>
    <t>56 BRIGGS ST</t>
  </si>
  <si>
    <t xml:space="preserve">FREUND JEFFREY C SR                             </t>
  </si>
  <si>
    <t>48 BRIGGS ST</t>
  </si>
  <si>
    <t>SELDON PL</t>
  </si>
  <si>
    <t xml:space="preserve">GOSCINSKI DANIEL </t>
  </si>
  <si>
    <t xml:space="preserve">PAYER TIMOTHY S </t>
  </si>
  <si>
    <t>2282 JACOB ST</t>
  </si>
  <si>
    <t xml:space="preserve">BROWN JEANNE A                                  </t>
  </si>
  <si>
    <t>2252 JACOB ST</t>
  </si>
  <si>
    <t>22 JACOB ST</t>
  </si>
  <si>
    <t>2400 SAW MILL RUN BLVD</t>
  </si>
  <si>
    <t>CONLEY EDWARD N &amp; JAMES N TOLER</t>
  </si>
  <si>
    <t>OLD FRANKLIN PIKE</t>
  </si>
  <si>
    <t xml:space="preserve">MCCORMICK JOHN A &amp; ELLA </t>
  </si>
  <si>
    <t>MCCORMICK JOHN A &amp; EL</t>
  </si>
  <si>
    <t>MCNEILLY RD APT 303</t>
  </si>
  <si>
    <t>RIVERA JOSE ERNESTO  LOZANO</t>
  </si>
  <si>
    <t>2319 DARTMORE ST</t>
  </si>
  <si>
    <t>RIVERA JOSE ERNESTO L</t>
  </si>
  <si>
    <t xml:space="preserve">HARMON WILLIAM E </t>
  </si>
  <si>
    <t>2341 SAW MILL RUN BLVD</t>
  </si>
  <si>
    <t>2351 SAW MILL RUN BLVD</t>
  </si>
  <si>
    <t>MOLITARIS SCOTT A &amp; DEBRA ANN (W)</t>
  </si>
  <si>
    <t>MOLITARIS SCOTT A &amp; D</t>
  </si>
  <si>
    <t>CLARK DON L JR &amp; CHRISTINE (W)</t>
  </si>
  <si>
    <t>2304 FAIRLAND ST</t>
  </si>
  <si>
    <t xml:space="preserve">ZASTAWNY THOMAS J </t>
  </si>
  <si>
    <t>2303 FAIRLAND ST</t>
  </si>
  <si>
    <t>GEHRINGER ROBERT A &amp; ARLENE C (W)</t>
  </si>
  <si>
    <t>2315 FAIRLAND ST</t>
  </si>
  <si>
    <t xml:space="preserve">COUSLEY COURTNEY R                              </t>
  </si>
  <si>
    <t>2333 FAIRLAND ST</t>
  </si>
  <si>
    <t xml:space="preserve">VAN METER WILLIAM C </t>
  </si>
  <si>
    <t>2344 WALTON AVE</t>
  </si>
  <si>
    <t>STINSON ARAMIS P &amp; SHAINA</t>
  </si>
  <si>
    <t>2330 WALTON AVE</t>
  </si>
  <si>
    <t xml:space="preserve">CONNORS PATRICK T </t>
  </si>
  <si>
    <t xml:space="preserve">MCKOWN DESIREE M </t>
  </si>
  <si>
    <t>2316 WALTON AVE</t>
  </si>
  <si>
    <t xml:space="preserve">HANLON KEVIN G </t>
  </si>
  <si>
    <t>2338 LUCINA AVE</t>
  </si>
  <si>
    <t>HANLON KEVIN G</t>
  </si>
  <si>
    <t>2310 LUCINA AVE</t>
  </si>
  <si>
    <t>BURNS JAMES E &amp; TAMMY L (W)</t>
  </si>
  <si>
    <t>0 ARISTON AVE</t>
  </si>
  <si>
    <t>8500 ALAMEDA DR</t>
  </si>
  <si>
    <t>NORMAN</t>
  </si>
  <si>
    <t xml:space="preserve">ARNETT BRITTNEY NICOLE                          </t>
  </si>
  <si>
    <t>446 OVERBROOK BLVD</t>
  </si>
  <si>
    <t xml:space="preserve">451 OLIVET TRUST                                </t>
  </si>
  <si>
    <t>451 OLIVET AVE</t>
  </si>
  <si>
    <t>PO BOX 4851</t>
  </si>
  <si>
    <t>440 ANTENOR AVE</t>
  </si>
  <si>
    <t>MAIN BLVD</t>
  </si>
  <si>
    <t xml:space="preserve">MODRAK TAYLOR MORGAN </t>
  </si>
  <si>
    <t>442 ANTENOR AVE</t>
  </si>
  <si>
    <t xml:space="preserve">LUBAWSKI LORENE J </t>
  </si>
  <si>
    <t>1211 BROOKLINE BLVD</t>
  </si>
  <si>
    <t>1218 BELLAIRE PL</t>
  </si>
  <si>
    <t xml:space="preserve">ROTH OSWIN </t>
  </si>
  <si>
    <t>0 ROSWIN DR</t>
  </si>
  <si>
    <t>LINIAL AVE</t>
  </si>
  <si>
    <t xml:space="preserve">PHAM PHA </t>
  </si>
  <si>
    <t>1241 MILAN AVE</t>
  </si>
  <si>
    <t xml:space="preserve">SCHWEBEL SUZANNE AMBER </t>
  </si>
  <si>
    <t>173 ROSWIN DR</t>
  </si>
  <si>
    <t>PETERS JEFFREY L &amp; ERIN L (W)</t>
  </si>
  <si>
    <t>1273 GALLUPE DR</t>
  </si>
  <si>
    <t>KUNZ MARK A &amp; CATHY A (W)</t>
  </si>
  <si>
    <t>1240 MILAN AVE</t>
  </si>
  <si>
    <t xml:space="preserve">MILLER NIKKI </t>
  </si>
  <si>
    <t>1425 BELLAIRE PL</t>
  </si>
  <si>
    <t>NIKKI MILLER</t>
  </si>
  <si>
    <t xml:space="preserve">ORR DAVID  &amp; JOYCE E (W) </t>
  </si>
  <si>
    <t>1400 BELLAIRE PL</t>
  </si>
  <si>
    <t xml:space="preserve">ORR DAVID  &amp; JOYCE E </t>
  </si>
  <si>
    <t xml:space="preserve">GOSSETT GERALDINE R                             </t>
  </si>
  <si>
    <t>1324 BELLAIRE PL</t>
  </si>
  <si>
    <t>GOSSETT GERALDINE R</t>
  </si>
  <si>
    <t xml:space="preserve">LAGATTUTA DIANA Z </t>
  </si>
  <si>
    <t>1236 BELLAIRE PL</t>
  </si>
  <si>
    <t xml:space="preserve">KELLY CLAIRE ELISE </t>
  </si>
  <si>
    <t>1228 BELLAIRE PL</t>
  </si>
  <si>
    <t>C MICHAEL DAVENPORT BLVD STE 1</t>
  </si>
  <si>
    <t>SEIGLER ROBERT  &amp; DONNA (W)</t>
  </si>
  <si>
    <t>1311 BROOKLINE BLVD</t>
  </si>
  <si>
    <t xml:space="preserve">BOUMASOUD RASHID                                </t>
  </si>
  <si>
    <t>1325 BROOKLINE BLVD</t>
  </si>
  <si>
    <t>J &amp; A SOUTH HILLS DEVELOPMEN</t>
  </si>
  <si>
    <t>1411 BROOKLINE BLVD</t>
  </si>
  <si>
    <t>J &amp; A SOUTH HILLS DEV</t>
  </si>
  <si>
    <t xml:space="preserve">FAWCETT BREANNA </t>
  </si>
  <si>
    <t>1459 MILAN AVE</t>
  </si>
  <si>
    <t>DOLAN JAMES W &amp; KIMBERLY A (W)</t>
  </si>
  <si>
    <t>1545 BELLAIRE PL</t>
  </si>
  <si>
    <t xml:space="preserve">BETJ PROPERTIES LLC                             </t>
  </si>
  <si>
    <t>1439 BELLAIRE PL</t>
  </si>
  <si>
    <t>E CESAR CHAVEZ ST STE 1</t>
  </si>
  <si>
    <t>IMPELL WALTER C &amp; MICHELLE M (W)</t>
  </si>
  <si>
    <t>1455 BELLAIRE PL</t>
  </si>
  <si>
    <t>STRUDWICK DR</t>
  </si>
  <si>
    <t>LITTLE RIVER</t>
  </si>
  <si>
    <t>1461 BELLAIRE PL</t>
  </si>
  <si>
    <t>BERKSHIRE ST</t>
  </si>
  <si>
    <t xml:space="preserve">MONAGHAN PHYLLIS A                              </t>
  </si>
  <si>
    <t>1510 BELLAIRE PL</t>
  </si>
  <si>
    <t>MONAGHAN PHYLLIS A</t>
  </si>
  <si>
    <t xml:space="preserve">MOLINARO MATTHEW L                              </t>
  </si>
  <si>
    <t>1454 BELLAIRE PL</t>
  </si>
  <si>
    <t>MOLINARO MATTHEW L</t>
  </si>
  <si>
    <t xml:space="preserve">KNAPP PAUL                                      </t>
  </si>
  <si>
    <t>1441 BROOKLINE BLVD</t>
  </si>
  <si>
    <t>1507 BROOKLINE BLVD</t>
  </si>
  <si>
    <t>PIKRAS JOHN C &amp; SHERI L SEARS</t>
  </si>
  <si>
    <t>1505 REAMER ST</t>
  </si>
  <si>
    <t>REAMER ST</t>
  </si>
  <si>
    <t>PORT AUTHORITY OF  ALLEGHENY COUNTY</t>
  </si>
  <si>
    <t>PORT AUTHORITY OF ALL</t>
  </si>
  <si>
    <t xml:space="preserve">FIX NICHOLAS P </t>
  </si>
  <si>
    <t>1646 BELLAIRE PL</t>
  </si>
  <si>
    <t xml:space="preserve">EARL CHRIS &amp; HOLLY B (W) </t>
  </si>
  <si>
    <t>1589 BELLAIRE PL</t>
  </si>
  <si>
    <t xml:space="preserve">EARL CHRIS &amp; HOLLY B </t>
  </si>
  <si>
    <t>FOSTER WAYNE P &amp; DEBRA A (W)</t>
  </si>
  <si>
    <t>1641 BELLAIRE PL</t>
  </si>
  <si>
    <t>LINAN SANDY JACQUELINE RUIZ</t>
  </si>
  <si>
    <t>1512 BROOKLINE BLVD</t>
  </si>
  <si>
    <t>GOLDBACH WILLIAM L &amp; DIANE (W)</t>
  </si>
  <si>
    <t>1558 BROOKLINE BLVD</t>
  </si>
  <si>
    <t xml:space="preserve">GOLDBACH WILLIAM L &amp; </t>
  </si>
  <si>
    <t>CARLTON DR</t>
  </si>
  <si>
    <t xml:space="preserve">WALSH MICHAEL S &amp; RITA E </t>
  </si>
  <si>
    <t>2050 ALTMAR ST</t>
  </si>
  <si>
    <t>ALTMAR ST</t>
  </si>
  <si>
    <t xml:space="preserve">POGUE JASMINE C </t>
  </si>
  <si>
    <t>2038 JACOB ST</t>
  </si>
  <si>
    <t xml:space="preserve">CHEN DI </t>
  </si>
  <si>
    <t>1739 BROOKLINE BLVD</t>
  </si>
  <si>
    <t xml:space="preserve">FERN TYLER D </t>
  </si>
  <si>
    <t>1650 BROOKLINE BLVD</t>
  </si>
  <si>
    <t>PALMIERI SHARON F &amp; HERMAN DAVID (H)</t>
  </si>
  <si>
    <t>1532 EBEN ST</t>
  </si>
  <si>
    <t xml:space="preserve">HYLAND JAMES C </t>
  </si>
  <si>
    <t>1540 EBEN ST</t>
  </si>
  <si>
    <t>FORDHAM DR</t>
  </si>
  <si>
    <t>1619 EBEN ST</t>
  </si>
  <si>
    <t xml:space="preserve">ZULKA DAVID </t>
  </si>
  <si>
    <t>1525 EBEN ST</t>
  </si>
  <si>
    <t>ZULKA DAVID</t>
  </si>
  <si>
    <t xml:space="preserve">MCKEE JACK  &amp; LOIS (W) </t>
  </si>
  <si>
    <t>1563 BREINING ST</t>
  </si>
  <si>
    <t xml:space="preserve">ANDREWS KIMBERLY A </t>
  </si>
  <si>
    <t>0 PARKLYN ST</t>
  </si>
  <si>
    <t>PARKLYN ST</t>
  </si>
  <si>
    <t>GALLAGHER JOHN MORGAN &amp; SIOBHAN KATHLEEN (W)</t>
  </si>
  <si>
    <t>0 GROVELAND ST</t>
  </si>
  <si>
    <t>GALLAGHER JOHN MORGAN</t>
  </si>
  <si>
    <t>MARUNICH ARTHUR  &amp; MARY ANN</t>
  </si>
  <si>
    <t>2215 GLENBURY ST</t>
  </si>
  <si>
    <t>MARUNICH ARTHUR  &amp; MARY ANN (W)</t>
  </si>
  <si>
    <t>0 GLENBURY ST</t>
  </si>
  <si>
    <t>DEVLIN DONALD F &amp; MARILYN J</t>
  </si>
  <si>
    <t>92 BRIGGS ST</t>
  </si>
  <si>
    <t>PASSANANTE JAMES E &amp; BARBARA (W)</t>
  </si>
  <si>
    <t>250 VINELAND ST</t>
  </si>
  <si>
    <t>VINELAND ST</t>
  </si>
  <si>
    <t xml:space="preserve">BACHA THERESA ANN </t>
  </si>
  <si>
    <t>1732 HARCOR DR</t>
  </si>
  <si>
    <t>HARCOR DR</t>
  </si>
  <si>
    <t xml:space="preserve">ANDERSON WILLIAM G                              </t>
  </si>
  <si>
    <t>2138 PARKLYN ST</t>
  </si>
  <si>
    <t xml:space="preserve">MERANTE SANTINO J </t>
  </si>
  <si>
    <t>2208 PARKLYN ST</t>
  </si>
  <si>
    <t xml:space="preserve">ZIETAK SHARON </t>
  </si>
  <si>
    <t>2228 PARKLYN ST</t>
  </si>
  <si>
    <t>HUGHES LEO J JR &amp; DANA L (W)</t>
  </si>
  <si>
    <t>0 BERNARD ST</t>
  </si>
  <si>
    <t>2220 BERNARD ST</t>
  </si>
  <si>
    <t>BRENNER JAMES M &amp; KATHLEEN A (W)</t>
  </si>
  <si>
    <t>2240 BERNARD ST</t>
  </si>
  <si>
    <t>BERNARD ST</t>
  </si>
  <si>
    <t xml:space="preserve">BARLEY JOHN F </t>
  </si>
  <si>
    <t>1651 EBEN ST</t>
  </si>
  <si>
    <t xml:space="preserve">WALKER JESSICA </t>
  </si>
  <si>
    <t>1701 EBEN ST</t>
  </si>
  <si>
    <t>RUSH GARY T &amp; STACY M (W)</t>
  </si>
  <si>
    <t>1752 EBEN ST</t>
  </si>
  <si>
    <t>RUSH GARY T &amp; STACY M</t>
  </si>
  <si>
    <t>SEQUOIA  RESIDENTIAL   LLC</t>
  </si>
  <si>
    <t>78 CORTINA WAY</t>
  </si>
  <si>
    <t>BORREGO</t>
  </si>
  <si>
    <t xml:space="preserve">FANSIR  LLC </t>
  </si>
  <si>
    <t>93 BRIGGS ST</t>
  </si>
  <si>
    <t xml:space="preserve">DOHANYOSI MARIA </t>
  </si>
  <si>
    <t>82 GLENBURY ST</t>
  </si>
  <si>
    <t xml:space="preserve">RE SERVICING LLC </t>
  </si>
  <si>
    <t>102 GLENBURY ST</t>
  </si>
  <si>
    <t xml:space="preserve">COLL JUDITH C </t>
  </si>
  <si>
    <t>2258 GLENBURY ST</t>
  </si>
  <si>
    <t xml:space="preserve">ROELL MATTHEW T </t>
  </si>
  <si>
    <t xml:space="preserve">PRILLA  KELLY COLLEEN </t>
  </si>
  <si>
    <t>2347 GROVELAND ST</t>
  </si>
  <si>
    <t xml:space="preserve">GOODWORTH ERIN </t>
  </si>
  <si>
    <t>2307 GROVELAND ST</t>
  </si>
  <si>
    <t xml:space="preserve">WALSH MARIE </t>
  </si>
  <si>
    <t>2267 GROVELAND ST</t>
  </si>
  <si>
    <t xml:space="preserve">CHAPMAN PHILIP A </t>
  </si>
  <si>
    <t>2270 PARKLYN ST</t>
  </si>
  <si>
    <t>KINVARA DR</t>
  </si>
  <si>
    <t>CHRISTOFIS JOHN  &amp; LORRAINE (W)</t>
  </si>
  <si>
    <t>2291 BERNARD ST</t>
  </si>
  <si>
    <t>KEIL JAMES W &amp; LORRAINE M</t>
  </si>
  <si>
    <t>230 WYCHELM ST</t>
  </si>
  <si>
    <t>WYCHELM ST</t>
  </si>
  <si>
    <t xml:space="preserve">GRACE MICHAEL Z </t>
  </si>
  <si>
    <t>112 PINECASTLE AVE</t>
  </si>
  <si>
    <t>RICHFIELD ST</t>
  </si>
  <si>
    <t xml:space="preserve">PHILOMINA PROPERTIES LLC </t>
  </si>
  <si>
    <t>114 PINECASTLE AVE</t>
  </si>
  <si>
    <t xml:space="preserve">COYNE GARY T </t>
  </si>
  <si>
    <t>1 SELDON PL</t>
  </si>
  <si>
    <t>SELDON WAY</t>
  </si>
  <si>
    <t>VIETMEIER ROBERT J &amp; JUDITH A (W)</t>
  </si>
  <si>
    <t>LANTERN HILL DR EXT</t>
  </si>
  <si>
    <t>BROOKLINE BLVD UNITED  PRESBYTERIAN CHURC</t>
  </si>
  <si>
    <t xml:space="preserve">POPOVSKI V WALTER </t>
  </si>
  <si>
    <t>2501 TRANSPORT ST</t>
  </si>
  <si>
    <t>0 LIBRARY RD</t>
  </si>
  <si>
    <t xml:space="preserve">COMMONWEALTH OF PA - </t>
  </si>
  <si>
    <t xml:space="preserve">COLL JOHN </t>
  </si>
  <si>
    <t>2424 SAW MILL RUN BLVD</t>
  </si>
  <si>
    <t>2422 SAW MILL RUN BLVD</t>
  </si>
  <si>
    <t xml:space="preserve">CHALMERS MARTIN                                 </t>
  </si>
  <si>
    <t>JOHN P KLINGENSMITH</t>
  </si>
  <si>
    <t>E BARLIND DR</t>
  </si>
  <si>
    <t>CHALMERS MARTIN J &amp; MARILYN A (W)</t>
  </si>
  <si>
    <t>GEORGETTE ST</t>
  </si>
  <si>
    <t>GLENNY LN</t>
  </si>
  <si>
    <t>609 MAYTIDE ST</t>
  </si>
  <si>
    <t xml:space="preserve">KOONTZ ROBERT E JR </t>
  </si>
  <si>
    <t>SEQUOIA DR</t>
  </si>
  <si>
    <t xml:space="preserve">RONEY SHARYN </t>
  </si>
  <si>
    <t>704 MAYTIDE ST</t>
  </si>
  <si>
    <t>REYNOLDS MICHAEL &amp; DARLENE L (W)</t>
  </si>
  <si>
    <t>700 MAYTIDE</t>
  </si>
  <si>
    <t>S &amp; L REAL ESTATE MANAGEMENT</t>
  </si>
  <si>
    <t>705 MAYTIDE ST</t>
  </si>
  <si>
    <t>S &amp; L REAL ESTATE MAN</t>
  </si>
  <si>
    <t xml:space="preserve">KNIGHT MARLENE </t>
  </si>
  <si>
    <t>715 MAYTIDE ST</t>
  </si>
  <si>
    <t xml:space="preserve">TRIPSON ERIC </t>
  </si>
  <si>
    <t>723 MAYTIDE ST</t>
  </si>
  <si>
    <t>DAVIS HENRY M &amp; JOYCE (W)</t>
  </si>
  <si>
    <t>729 MAYTIDE ST</t>
  </si>
  <si>
    <t xml:space="preserve">MUNSON LOUISE M </t>
  </si>
  <si>
    <t>757 MAYTIDE ST</t>
  </si>
  <si>
    <t>759 MAYTIDE ST</t>
  </si>
  <si>
    <t>FELLINI AUTO SALES &amp; SERVICES LLC</t>
  </si>
  <si>
    <t>2409 SAW MILL RUN BLVD</t>
  </si>
  <si>
    <t xml:space="preserve">FELLINI AUTO SALES &amp; </t>
  </si>
  <si>
    <t>REDEEMED CHRISTIAN  CHURCH OF GOD REHOBOTH A</t>
  </si>
  <si>
    <t>2413 SAINT NORBERT ST</t>
  </si>
  <si>
    <t>REDEEMED CHRISTIAN CH</t>
  </si>
  <si>
    <t>REICH RICHARD  &amp; MARY (W)</t>
  </si>
  <si>
    <t>0 SAINT NORBERT ST</t>
  </si>
  <si>
    <t>REICH RICAHRD  &amp; MARY (W)</t>
  </si>
  <si>
    <t xml:space="preserve">MILER ANITRA                                    </t>
  </si>
  <si>
    <t xml:space="preserve">LLOYD KELSEY M </t>
  </si>
  <si>
    <t>702 ESTHER ST</t>
  </si>
  <si>
    <t xml:space="preserve">MIDAS MANAGEMENT I LLC </t>
  </si>
  <si>
    <t>714 ESTHER ST</t>
  </si>
  <si>
    <t>MIDAS MANAGEMENT I LL</t>
  </si>
  <si>
    <t>PO BOX 457</t>
  </si>
  <si>
    <t xml:space="preserve">YETTER ERIC </t>
  </si>
  <si>
    <t>506 MAYTIDE ST</t>
  </si>
  <si>
    <t>MURRAY LAWRENCE J &amp; KAREN G (W)</t>
  </si>
  <si>
    <t>528 MAYTIDE ST</t>
  </si>
  <si>
    <t xml:space="preserve">KARTMAN KARI L </t>
  </si>
  <si>
    <t>542 MAYTIDE ST</t>
  </si>
  <si>
    <t xml:space="preserve">PRO LINDA M </t>
  </si>
  <si>
    <t>519 MAYTIDE ST</t>
  </si>
  <si>
    <t>PROSPECT RD</t>
  </si>
  <si>
    <t xml:space="preserve">REINHARDT HOLLY M                               </t>
  </si>
  <si>
    <t>511 MAYTIDE ST</t>
  </si>
  <si>
    <t>REINHARDT HOLLY</t>
  </si>
  <si>
    <t>STANISLAWCZYK RONALD C &amp; PATRICIA J (W)</t>
  </si>
  <si>
    <t>2522 LIBRARY RD</t>
  </si>
  <si>
    <t>LIBRARY RD</t>
  </si>
  <si>
    <t>2526 LIBRARY RD</t>
  </si>
  <si>
    <t>G &amp; E III LP A PA LIMITED PA</t>
  </si>
  <si>
    <t>2544 LIBRARY RD</t>
  </si>
  <si>
    <t>PARK AVE STE 225</t>
  </si>
  <si>
    <t xml:space="preserve">JOHNSON ROBERT </t>
  </si>
  <si>
    <t>2536 KINGWOOD ST</t>
  </si>
  <si>
    <t xml:space="preserve">FREY LEE  &amp; MARGARET H </t>
  </si>
  <si>
    <t>0 HILLVIEW ST</t>
  </si>
  <si>
    <t xml:space="preserve">FREY LEE  &amp; MARGARET </t>
  </si>
  <si>
    <t>HILLVIEW AVE</t>
  </si>
  <si>
    <t xml:space="preserve">C J MORONY LLC </t>
  </si>
  <si>
    <t>2501 SAW MILL RUN BLVD</t>
  </si>
  <si>
    <t>RITE AID</t>
  </si>
  <si>
    <t>PO BOX 3165</t>
  </si>
  <si>
    <t xml:space="preserve">PAPI RUSSEL </t>
  </si>
  <si>
    <t>PAPI RUSSEL</t>
  </si>
  <si>
    <t>WERLING ROBERT  &amp; ISABELLE A</t>
  </si>
  <si>
    <t>2505 KINGWOOD ST</t>
  </si>
  <si>
    <t xml:space="preserve">MCNAMARA KYLE </t>
  </si>
  <si>
    <t>2507 KINGWOOD ST</t>
  </si>
  <si>
    <t xml:space="preserve">MINSTERMAN ROBERT H JR </t>
  </si>
  <si>
    <t>2525 KINGWOOD ST</t>
  </si>
  <si>
    <t xml:space="preserve">BARANOWSKI THEODORE                             </t>
  </si>
  <si>
    <t>0 KINGWOOD ST</t>
  </si>
  <si>
    <t xml:space="preserve">DALZELL DEREK A                                 </t>
  </si>
  <si>
    <t>2508 HOMEHURST AVE</t>
  </si>
  <si>
    <t xml:space="preserve">KINGS HOLDINGS LLC </t>
  </si>
  <si>
    <t>2586 SAW MILL RUN BLVD</t>
  </si>
  <si>
    <t xml:space="preserve">TO HONG VANTH I </t>
  </si>
  <si>
    <t>2552 UNDERWOOD ST</t>
  </si>
  <si>
    <t>UNDERWOOD ST</t>
  </si>
  <si>
    <t xml:space="preserve">KALANISH BRIAN </t>
  </si>
  <si>
    <t>2640 IVYGLEN ST</t>
  </si>
  <si>
    <t xml:space="preserve">HAYES PAUL M JR </t>
  </si>
  <si>
    <t>2648 IVYGLEN ST</t>
  </si>
  <si>
    <t>PO BOX 97911</t>
  </si>
  <si>
    <t>ARNOLD ROBERT A &amp; MARY ANN (W)</t>
  </si>
  <si>
    <t>149 ODETTE ST</t>
  </si>
  <si>
    <t xml:space="preserve">KRISCH CHARLES M JR </t>
  </si>
  <si>
    <t>126 ODETTE ST</t>
  </si>
  <si>
    <t xml:space="preserve">LAMBING BRIAN D </t>
  </si>
  <si>
    <t>125 ODETTE ST</t>
  </si>
  <si>
    <t>GAUSS DAVID J &amp; NANCY C (W)</t>
  </si>
  <si>
    <t>101 LODGE ST</t>
  </si>
  <si>
    <t>SMIGIELSKI STEPHEN  &amp; KATHLEEN R (W)</t>
  </si>
  <si>
    <t>25 LODGE ST</t>
  </si>
  <si>
    <t xml:space="preserve">PAHLER ASHLEY </t>
  </si>
  <si>
    <t>7 LODGE ST</t>
  </si>
  <si>
    <t>PAHLER ASHLEY</t>
  </si>
  <si>
    <t>JACOBS JOSEPH R &amp; ANNA M (W)</t>
  </si>
  <si>
    <t>272 STEWART AVE</t>
  </si>
  <si>
    <t>JACOBS JOSEPH R &amp; ANN</t>
  </si>
  <si>
    <t xml:space="preserve">MCCLINTOCK CARLOS &amp;                         </t>
  </si>
  <si>
    <t>2929 GOETTEL AVE</t>
  </si>
  <si>
    <t>MCCLINTOCK CARLOS &amp; J</t>
  </si>
  <si>
    <t>GOETTEL AVE</t>
  </si>
  <si>
    <t>MINSTERMAN ROBERT &amp; JANET (W)</t>
  </si>
  <si>
    <t>2605 KINGWOOD ST</t>
  </si>
  <si>
    <t xml:space="preserve">MINSTERMAN ROBERT  &amp; </t>
  </si>
  <si>
    <t xml:space="preserve">AMPLEEV VIKTOR </t>
  </si>
  <si>
    <t>2533 HOMEHURST AVE</t>
  </si>
  <si>
    <t xml:space="preserve">BAUMGARDNER EMILY </t>
  </si>
  <si>
    <t>2349 HILLVIEW ST</t>
  </si>
  <si>
    <t xml:space="preserve">ROMANSKI JOSEPHINE  (L/E)                   </t>
  </si>
  <si>
    <t>2426 HILLVIEW ST</t>
  </si>
  <si>
    <t xml:space="preserve">EYROLLES LAWRENCE </t>
  </si>
  <si>
    <t>2335 KINGWOOD ST</t>
  </si>
  <si>
    <t>S BOULEVARD E</t>
  </si>
  <si>
    <t>PONTIAC</t>
  </si>
  <si>
    <t xml:space="preserve">BEST JOSEPH </t>
  </si>
  <si>
    <t>196 PROVOST RD</t>
  </si>
  <si>
    <t>186 PROVOST RD</t>
  </si>
  <si>
    <t>0 PROVOST RD</t>
  </si>
  <si>
    <t>2590 SAW MILL RUN BLVD</t>
  </si>
  <si>
    <t>JEWISH CEMETERY &amp; BURIAL ASSOCIATION OF GR</t>
  </si>
  <si>
    <t>861 STEWART AVE</t>
  </si>
  <si>
    <t>JEWISH CEMETERY &amp; BUR</t>
  </si>
  <si>
    <t>PO BOX 81863</t>
  </si>
  <si>
    <t xml:space="preserve">BLAIR JAMES E </t>
  </si>
  <si>
    <t>2312 KINGWOOD ST</t>
  </si>
  <si>
    <t xml:space="preserve">FRIEDMAN BRADLEY </t>
  </si>
  <si>
    <t>220 PROVOST RD</t>
  </si>
  <si>
    <t>LORENZ HERBERT M &amp; VIRGINIA A (W)</t>
  </si>
  <si>
    <t>226 PROVOST RD</t>
  </si>
  <si>
    <t xml:space="preserve">HINDMARCH LINDA L </t>
  </si>
  <si>
    <t>230 PROVOST RD</t>
  </si>
  <si>
    <t>PASLOW ALBERT  &amp; ADELE (W)</t>
  </si>
  <si>
    <t>1859 SEATON ST</t>
  </si>
  <si>
    <t xml:space="preserve">PETRONE PATRICK L </t>
  </si>
  <si>
    <t>1913 CREEDMOOR PL</t>
  </si>
  <si>
    <t>CREEDMOOR PL</t>
  </si>
  <si>
    <t xml:space="preserve">BRAGANO FRANCIS J                               </t>
  </si>
  <si>
    <t>2485 MCNEILLY RD</t>
  </si>
  <si>
    <t xml:space="preserve">COLLAZO LUIS </t>
  </si>
  <si>
    <t>143 MCNEILLY RD</t>
  </si>
  <si>
    <t>BUTLER FRANCIS M &amp; BERNADETTE</t>
  </si>
  <si>
    <t>1758 EBEN ST</t>
  </si>
  <si>
    <t xml:space="preserve">PRIORE HAROLD </t>
  </si>
  <si>
    <t>1798 EBEN ST</t>
  </si>
  <si>
    <t>MILLER LISA A &amp; WAYNE HEIDEKAMP</t>
  </si>
  <si>
    <t>1792 HARCOR DR</t>
  </si>
  <si>
    <t>MILLER LISA A &amp; WAYNE</t>
  </si>
  <si>
    <t>KRCHMAR MARK J &amp; ALYSSA R (W)</t>
  </si>
  <si>
    <t>300 RICHFIELD ST</t>
  </si>
  <si>
    <t>KRCHMAR MARK J &amp; ALYS</t>
  </si>
  <si>
    <t xml:space="preserve">CONTI RENAI   L </t>
  </si>
  <si>
    <t>RENAI L CONTI</t>
  </si>
  <si>
    <t xml:space="preserve">KALSEK JONATHAN </t>
  </si>
  <si>
    <t>2330 BERNARD ST</t>
  </si>
  <si>
    <t xml:space="preserve">BOXWELL JONATHAN R </t>
  </si>
  <si>
    <t>271 KOHEN ST</t>
  </si>
  <si>
    <t>KOHEN ST</t>
  </si>
  <si>
    <t>AVERY HARVEY C JR &amp; MARY R</t>
  </si>
  <si>
    <t>232 RICHFIELD ST</t>
  </si>
  <si>
    <t>DYER GREGORY S JR &amp; JENNIFER M (W)</t>
  </si>
  <si>
    <t>2336 PARKLYN ST</t>
  </si>
  <si>
    <t xml:space="preserve">FOSTER ADRIAN </t>
  </si>
  <si>
    <t>212 ALSTEAD ST</t>
  </si>
  <si>
    <t>FOSTER ADRIAN</t>
  </si>
  <si>
    <t>ALSTEAD ST</t>
  </si>
  <si>
    <t xml:space="preserve">SNYDER CHRISTA M </t>
  </si>
  <si>
    <t>2406 MORTON ST</t>
  </si>
  <si>
    <t>MORTON ST</t>
  </si>
  <si>
    <t xml:space="preserve">BARVILCHAK GEORGE </t>
  </si>
  <si>
    <t>2372 GROVELAND ST</t>
  </si>
  <si>
    <t>GEORGE BARVILCHAK</t>
  </si>
  <si>
    <t xml:space="preserve">JIANSANTE PATRICIA A </t>
  </si>
  <si>
    <t>208 PINECASTLE AVE</t>
  </si>
  <si>
    <t>PINECASTLE AVE</t>
  </si>
  <si>
    <t xml:space="preserve">SHEKEL SHEKEL LLC </t>
  </si>
  <si>
    <t>206 PINECASTLE AVE</t>
  </si>
  <si>
    <t>4TH ST FL 14</t>
  </si>
  <si>
    <t>1928 SEATON ST</t>
  </si>
  <si>
    <t xml:space="preserve">DEPREZ NATASHA GONZALEZ </t>
  </si>
  <si>
    <t>179 AIDAN CT</t>
  </si>
  <si>
    <t xml:space="preserve">ADAMS BRIAN J </t>
  </si>
  <si>
    <t>134 AIDAN CT</t>
  </si>
  <si>
    <t>NOVAKOWSKI JOSEPH E II &amp; YOUNG HEE (W)</t>
  </si>
  <si>
    <t>123 AIDAN CT</t>
  </si>
  <si>
    <t xml:space="preserve">DITTLER ERIC S                                  </t>
  </si>
  <si>
    <t>106 AIDAN CT</t>
  </si>
  <si>
    <t xml:space="preserve">GRACE MICHAEL </t>
  </si>
  <si>
    <t>325 RICHFIELD ST</t>
  </si>
  <si>
    <t xml:space="preserve">AREVALO PEDRO A </t>
  </si>
  <si>
    <t>0 PINECASTLE AVE</t>
  </si>
  <si>
    <t>0 GEORGETTE ST</t>
  </si>
  <si>
    <t xml:space="preserve">EBELING MARSHALL </t>
  </si>
  <si>
    <t>2644 LIBRARY RD</t>
  </si>
  <si>
    <t>S ROBERT STONE WAY</t>
  </si>
  <si>
    <t>REEDSVILLE</t>
  </si>
  <si>
    <t xml:space="preserve">KADUCK ALEXANDRA </t>
  </si>
  <si>
    <t>2646 LIBRARY RD</t>
  </si>
  <si>
    <t>SCABILLONI ALAN N &amp; DEANN (W)</t>
  </si>
  <si>
    <t>GILKESON RD</t>
  </si>
  <si>
    <t>GOLDSBOROUGH &amp; VANSANT INC</t>
  </si>
  <si>
    <t>GOLDSBOROUGH &amp; VANSAN</t>
  </si>
  <si>
    <t>BROWNSVILLE RD EXT STE 108</t>
  </si>
  <si>
    <t>2702 KINGWOOD ST</t>
  </si>
  <si>
    <t>SCABILLONI ALAN N &amp; D</t>
  </si>
  <si>
    <t>BRUNNER VIONA J          ETAL</t>
  </si>
  <si>
    <t>2821 FERNLAND ST</t>
  </si>
  <si>
    <t>FERNLAND ST</t>
  </si>
  <si>
    <t>OFARRELL THOMAS R &amp; CATHERINE J (W)</t>
  </si>
  <si>
    <t>2826 FERNLAND ST</t>
  </si>
  <si>
    <t>PUSATERI ANGELO  &amp; VINCENZA</t>
  </si>
  <si>
    <t>0 FERNLAND ST</t>
  </si>
  <si>
    <t>PUSATERI ANGELO  &amp; VI</t>
  </si>
  <si>
    <t>3 MCNEILLY RD</t>
  </si>
  <si>
    <t>2809 HOMEHURST AVE</t>
  </si>
  <si>
    <t xml:space="preserve">FINNEGAN KENNETH  MICHAEL &amp; MELANIE ANN ( </t>
  </si>
  <si>
    <t>2811 HOMEHURST AVE</t>
  </si>
  <si>
    <t>FINNEGAN KENNETH MICH</t>
  </si>
  <si>
    <t>GILLENBERGER JOHN H &amp; CATHERINE L (W)</t>
  </si>
  <si>
    <t>2848 BELLEVILLE ST</t>
  </si>
  <si>
    <t xml:space="preserve">RAUBER J J </t>
  </si>
  <si>
    <t>0 ELWYN AVE</t>
  </si>
  <si>
    <t>RAUBER J J</t>
  </si>
  <si>
    <t>WASHINGTON PIKE STE 103</t>
  </si>
  <si>
    <t xml:space="preserve">PLEWINSKI HENRY F </t>
  </si>
  <si>
    <t>204 ELWYN AVE</t>
  </si>
  <si>
    <t>FIRST NATIONAL BANK</t>
  </si>
  <si>
    <t>P. O. BOX 980</t>
  </si>
  <si>
    <t>GANSTER WILLIAM J &amp; CECELIA M</t>
  </si>
  <si>
    <t>ELWYN AVE</t>
  </si>
  <si>
    <t>GANSTER WILLIAM J &amp; CECELIA</t>
  </si>
  <si>
    <t>205 ELWYN AVE</t>
  </si>
  <si>
    <t xml:space="preserve">SCHMIDT DAWN N </t>
  </si>
  <si>
    <t>2919 HOMEHURST AVE</t>
  </si>
  <si>
    <t xml:space="preserve">ASPEN ASSOCIATES LLC </t>
  </si>
  <si>
    <t>2903 HOMEHURST AVE</t>
  </si>
  <si>
    <t>ASPEN ASSOCIATES LLC</t>
  </si>
  <si>
    <t xml:space="preserve">CLOVER LEAF PARK LLC </t>
  </si>
  <si>
    <t>1800 WHITED ST UNIT 35</t>
  </si>
  <si>
    <t>HARBAUGH ST</t>
  </si>
  <si>
    <t xml:space="preserve">BUCKHOLTZ FRANK </t>
  </si>
  <si>
    <t xml:space="preserve">1741 EDGEBROOK AVE UNIT </t>
  </si>
  <si>
    <t>MONTROSE TER</t>
  </si>
  <si>
    <t xml:space="preserve">DOTY-JASEK SHARON M </t>
  </si>
  <si>
    <t xml:space="preserve">NOAK WILLIAM </t>
  </si>
  <si>
    <t xml:space="preserve">RITTER JOSEPH </t>
  </si>
  <si>
    <t xml:space="preserve">DOUGHERTY CHALLIN </t>
  </si>
  <si>
    <t>1800 WHITED ST UNIT 40</t>
  </si>
  <si>
    <t>WHITED ST TRLR 40</t>
  </si>
  <si>
    <t xml:space="preserve">CLOVERLEAF PARK LLC </t>
  </si>
  <si>
    <t>1800 WHITED ST UNIT 9</t>
  </si>
  <si>
    <t>CLOVER LEAF PARK LLC</t>
  </si>
  <si>
    <t>1800 WHITED ST UNIT 24</t>
  </si>
  <si>
    <t>HARBAU HARBAUGH ST TRLR 24</t>
  </si>
  <si>
    <t xml:space="preserve">DALESANDRO MIKE </t>
  </si>
  <si>
    <t xml:space="preserve">VARGO TOM </t>
  </si>
  <si>
    <t xml:space="preserve">PELESS STEVEN </t>
  </si>
  <si>
    <t>1741 EDGEBROOK AVE</t>
  </si>
  <si>
    <t xml:space="preserve">DECOURVILLE TOM </t>
  </si>
  <si>
    <t xml:space="preserve">WATERS JAMES KELLY </t>
  </si>
  <si>
    <t xml:space="preserve">CLOVER LEAF PARK </t>
  </si>
  <si>
    <t>1800 WHITED ST UNIT 48</t>
  </si>
  <si>
    <t xml:space="preserve">VALERIANI ANGELA </t>
  </si>
  <si>
    <t>1800 WHITED ST UNIT 20</t>
  </si>
  <si>
    <t>WHITED ST TRLR 20</t>
  </si>
  <si>
    <t xml:space="preserve">ROLLINS HOLLI </t>
  </si>
  <si>
    <t>1800 WHITED ST UNIT 23</t>
  </si>
  <si>
    <t>WHITED ST UNIT 23</t>
  </si>
  <si>
    <t xml:space="preserve">DEMINO GEMMA </t>
  </si>
  <si>
    <t>1800 WHITED ST UNIT 17</t>
  </si>
  <si>
    <t>HARBAU HARBAUGH ST TRLR 17</t>
  </si>
  <si>
    <t>1800 WHITED ST UNIT 51</t>
  </si>
  <si>
    <t>HARBAU HARBAUGH ST</t>
  </si>
  <si>
    <t>WHITED ST TRLR 15</t>
  </si>
  <si>
    <t>1800 WHITED ST UNIT 46</t>
  </si>
  <si>
    <t>HARBAU HARBAUGH ST TRLR 46</t>
  </si>
  <si>
    <t xml:space="preserve">FALONEY DOROTHY A </t>
  </si>
  <si>
    <t>FALONEY DOROTHY A</t>
  </si>
  <si>
    <t>PARY AVE</t>
  </si>
  <si>
    <t xml:space="preserve">SIRAZETDINOVA KARINA </t>
  </si>
  <si>
    <t>110 FREDERICK ST</t>
  </si>
  <si>
    <t>SIRAZETDINOVA KARINA</t>
  </si>
  <si>
    <t>E ST</t>
  </si>
  <si>
    <t>BELMAR</t>
  </si>
  <si>
    <t xml:space="preserve">ZMF PROPERTIES IV LP </t>
  </si>
  <si>
    <t>144 FREDERICK ST</t>
  </si>
  <si>
    <t>ZMF PROPERTIES IV LP</t>
  </si>
  <si>
    <t>` PO BOX 19741</t>
  </si>
  <si>
    <t xml:space="preserve">BURSTIEN R LLC </t>
  </si>
  <si>
    <t>210 FREDERICK ST</t>
  </si>
  <si>
    <t>BURSTIEN R LLC</t>
  </si>
  <si>
    <t>DEAMES ST</t>
  </si>
  <si>
    <t xml:space="preserve">BEDARD-WEBB LADORISE </t>
  </si>
  <si>
    <t>112 DAWES ST</t>
  </si>
  <si>
    <t>107 DAWES ST</t>
  </si>
  <si>
    <t>LINDA BROWN</t>
  </si>
  <si>
    <t xml:space="preserve">SAULNIER GEORGE J 3RD </t>
  </si>
  <si>
    <t>210 PENN AVE</t>
  </si>
  <si>
    <t>MB FINANCIAL BANK N A</t>
  </si>
  <si>
    <t>GREEN RD</t>
  </si>
  <si>
    <t>ANN ARBOR</t>
  </si>
  <si>
    <t xml:space="preserve">CASTLE INVESTMENTS </t>
  </si>
  <si>
    <t>GROUSE DR</t>
  </si>
  <si>
    <t>220 PENN AVE</t>
  </si>
  <si>
    <t xml:space="preserve">MABRA LOUIS </t>
  </si>
  <si>
    <t>226 PENN AVE</t>
  </si>
  <si>
    <t>VAN MAREN LN</t>
  </si>
  <si>
    <t>CITRUS HEIGHTS</t>
  </si>
  <si>
    <t>215 PENN AVE</t>
  </si>
  <si>
    <t xml:space="preserve">TRIPLE D'S ESTATE LLC </t>
  </si>
  <si>
    <t>112 AMANDA AVE</t>
  </si>
  <si>
    <t>TRIPLE D'S ESTATE LLC</t>
  </si>
  <si>
    <t>FORWARD AVE STE 110</t>
  </si>
  <si>
    <t xml:space="preserve">GREEN LARRY                                     </t>
  </si>
  <si>
    <t>110 AMANDA AVE</t>
  </si>
  <si>
    <t>IMMANUEL JORDAN REED</t>
  </si>
  <si>
    <t>107 JOHN ST</t>
  </si>
  <si>
    <t xml:space="preserve">GRMUSA DUSAN </t>
  </si>
  <si>
    <t>104 AMANDA AVE</t>
  </si>
  <si>
    <t xml:space="preserve">PRUDENT INVESTOR LLC </t>
  </si>
  <si>
    <t>BRACKIN TRCE</t>
  </si>
  <si>
    <t>GRAYSON</t>
  </si>
  <si>
    <t xml:space="preserve">STIEFVATER WILLIAM E </t>
  </si>
  <si>
    <t>1608 ARLINGTON AVE</t>
  </si>
  <si>
    <t>412 PROPERTY INVESTMENT  &amp; MANAGEMT LLC</t>
  </si>
  <si>
    <t>1606 ARLINGTON AVE</t>
  </si>
  <si>
    <t>412 PROPERTY INVESTME</t>
  </si>
  <si>
    <t xml:space="preserve">GERLACH JOERG C </t>
  </si>
  <si>
    <t>15 CHARLES ST</t>
  </si>
  <si>
    <t>18TH ST EXT</t>
  </si>
  <si>
    <t>11 CHARLES ST</t>
  </si>
  <si>
    <t xml:space="preserve">GERLACH JOERG </t>
  </si>
  <si>
    <t>202 AMANDA AVE</t>
  </si>
  <si>
    <t xml:space="preserve">BARBARA L HARTMAN  REVOCABLE TRUST         </t>
  </si>
  <si>
    <t>130 BROWNSVILLE RD</t>
  </si>
  <si>
    <t>BARBARA L HARTMAN REV</t>
  </si>
  <si>
    <t>MAPLEVUE DR</t>
  </si>
  <si>
    <t>126 BROWNSVILLE RD</t>
  </si>
  <si>
    <t>124 BROWNSVILLE RD</t>
  </si>
  <si>
    <t xml:space="preserve">FLAHERTY MICHA R </t>
  </si>
  <si>
    <t>COUNTY FOREST DR</t>
  </si>
  <si>
    <t>FORT WAYNE</t>
  </si>
  <si>
    <t xml:space="preserve">FLAHERTY JANET ANN </t>
  </si>
  <si>
    <t>123 FREDERICK ST</t>
  </si>
  <si>
    <t xml:space="preserve">KIRBY JONATHAN RICHARD </t>
  </si>
  <si>
    <t>113 FREDERICK ST</t>
  </si>
  <si>
    <t>KIRBY JONATHAN RICHAR</t>
  </si>
  <si>
    <t xml:space="preserve">MILBEE JEREMY A </t>
  </si>
  <si>
    <t xml:space="preserve">GARVEY JAMES E </t>
  </si>
  <si>
    <t>1786 ARLINGTON AVE</t>
  </si>
  <si>
    <t>CASTLEVIEW DR</t>
  </si>
  <si>
    <t xml:space="preserve">CZAP THOMAS D </t>
  </si>
  <si>
    <t xml:space="preserve">2021 FUNDING INC </t>
  </si>
  <si>
    <t>112 FREMONT ST</t>
  </si>
  <si>
    <t>2021 FUNDING INC</t>
  </si>
  <si>
    <t xml:space="preserve">JANSSEN MARY LOU </t>
  </si>
  <si>
    <t>0 FREMONT ST</t>
  </si>
  <si>
    <t>FOREFRONT INVESTMENTS  LLC</t>
  </si>
  <si>
    <t>COPPER BEECH CIR</t>
  </si>
  <si>
    <t xml:space="preserve">BOSCO LINDA J </t>
  </si>
  <si>
    <t>133 FREMONT ST</t>
  </si>
  <si>
    <t>TRUST OF ARTHUR VERBIT   ETAL</t>
  </si>
  <si>
    <t>129 FREMONT ST</t>
  </si>
  <si>
    <t>TRUST OF ARTHUR VERBI</t>
  </si>
  <si>
    <t>DUNDEE DR</t>
  </si>
  <si>
    <t xml:space="preserve">MCDERMOTT CHRISTINA E </t>
  </si>
  <si>
    <t>127 FREMONT ST</t>
  </si>
  <si>
    <t>BOGGS AVE APT 912</t>
  </si>
  <si>
    <t xml:space="preserve">SIEGWORTH PATRICK </t>
  </si>
  <si>
    <t>125 FREMONT ST</t>
  </si>
  <si>
    <t>FREEMONT ST</t>
  </si>
  <si>
    <t>MCTAGGART MICHELE  ANNETTE</t>
  </si>
  <si>
    <t>123 FREMONT ST</t>
  </si>
  <si>
    <t>MCTAGGART MICHELE ANN</t>
  </si>
  <si>
    <t>ELLIS WAY</t>
  </si>
  <si>
    <t xml:space="preserve">DIETRICH EDWARD </t>
  </si>
  <si>
    <t>117 FREMONT ST</t>
  </si>
  <si>
    <t>113 FREMONT ST</t>
  </si>
  <si>
    <t xml:space="preserve">OAKLAND LLC </t>
  </si>
  <si>
    <t>110 KOEHLER ST</t>
  </si>
  <si>
    <t>OAKLAND LLC</t>
  </si>
  <si>
    <t>CATO ST</t>
  </si>
  <si>
    <t xml:space="preserve">ALL PRO BROS LLC </t>
  </si>
  <si>
    <t>112 KOEHLER ST</t>
  </si>
  <si>
    <t>FORWARD AVE UNIT 160</t>
  </si>
  <si>
    <t>DELLOSTRETTO GERARDO  &amp; MARY</t>
  </si>
  <si>
    <t>116 KOEHLER ST</t>
  </si>
  <si>
    <t>MICHAEL DELLOSTRETTO</t>
  </si>
  <si>
    <t>PO BOX 278</t>
  </si>
  <si>
    <t>SHIPPENVILLE</t>
  </si>
  <si>
    <t xml:space="preserve">DOLBY BERNITA L </t>
  </si>
  <si>
    <t>130 KOEHLER ST</t>
  </si>
  <si>
    <t xml:space="preserve">HOWARD DAVID JR </t>
  </si>
  <si>
    <t>0 KOEHLER ST</t>
  </si>
  <si>
    <t>HOWARD DAVID JR</t>
  </si>
  <si>
    <t>KOEHLER ST</t>
  </si>
  <si>
    <t>VENUSIAN MANAGEMENT  GROUP I</t>
  </si>
  <si>
    <t>125 KOEHLER ST</t>
  </si>
  <si>
    <t>GRAYSON MILDRED L &amp; GAIL ROBBIN GRAYSON</t>
  </si>
  <si>
    <t>123 KOEHLER ST</t>
  </si>
  <si>
    <t>GRAYSON MILDRED L &amp; G</t>
  </si>
  <si>
    <t>KOELLER ST</t>
  </si>
  <si>
    <t>1740 ARLINGTON AVE</t>
  </si>
  <si>
    <t xml:space="preserve">MAHMOD LAETH ABDLRAZQ </t>
  </si>
  <si>
    <t>1738 ARLINGTON AVE</t>
  </si>
  <si>
    <t>MAHMOD LAETH ABDLRAZQ</t>
  </si>
  <si>
    <t xml:space="preserve">WARDZINSKI JAMES J </t>
  </si>
  <si>
    <t>1730 ARLINGTON AVE</t>
  </si>
  <si>
    <t>WARDZINSKI JAMES J</t>
  </si>
  <si>
    <t>PAYNE HILL RD APT 226</t>
  </si>
  <si>
    <t>GIRISH MCKEE LLC &amp; CG STAMM LLC</t>
  </si>
  <si>
    <t>108 STAMM AVE</t>
  </si>
  <si>
    <t>GIRISH MCKEE LLC &amp; CG</t>
  </si>
  <si>
    <t xml:space="preserve">STAM 120 LLC </t>
  </si>
  <si>
    <t>120 STAMM AVE</t>
  </si>
  <si>
    <t>STAM 120 LLC</t>
  </si>
  <si>
    <t>CENTERSHORE RD</t>
  </si>
  <si>
    <t>CENTERPORT</t>
  </si>
  <si>
    <t xml:space="preserve">COBRA PROPERTIES AT 128  STAMM LLC               </t>
  </si>
  <si>
    <t>128 STAMM AVE</t>
  </si>
  <si>
    <t>137 STAMM AVE</t>
  </si>
  <si>
    <t xml:space="preserve">FRANTZ JEREMY </t>
  </si>
  <si>
    <t>120 LOCUST ST</t>
  </si>
  <si>
    <t xml:space="preserve">JACKSON THEODORE L </t>
  </si>
  <si>
    <t>110 LOCUST ST</t>
  </si>
  <si>
    <t xml:space="preserve">ROBERTS SADIK </t>
  </si>
  <si>
    <t>105 STAMM AVE</t>
  </si>
  <si>
    <t xml:space="preserve">SHUMPERT CORY JOSEPH </t>
  </si>
  <si>
    <t>108 LOCUST ST</t>
  </si>
  <si>
    <t>MANNING AVE</t>
  </si>
  <si>
    <t xml:space="preserve">WIEDMANN JOHN </t>
  </si>
  <si>
    <t>119 BROWNSVILLE RD</t>
  </si>
  <si>
    <t>HIGHPOINT RD</t>
  </si>
  <si>
    <t xml:space="preserve">NEM PROPERTIES LLC </t>
  </si>
  <si>
    <t>131 BROWNSVILLE RD</t>
  </si>
  <si>
    <t>NEM PROPERTIES LLC</t>
  </si>
  <si>
    <t>CARRINGTON AVE</t>
  </si>
  <si>
    <t xml:space="preserve">IZAJ JOSEPH R </t>
  </si>
  <si>
    <t>135 BROWNSVILLE RD</t>
  </si>
  <si>
    <t xml:space="preserve">VISNIC JOSEPH A </t>
  </si>
  <si>
    <t>143 BROWNSVILLE RD</t>
  </si>
  <si>
    <t xml:space="preserve">104 BROWNSVILLE ROAD LLC </t>
  </si>
  <si>
    <t>102 BROWNSVILLE RD</t>
  </si>
  <si>
    <t xml:space="preserve">104 BROWNSVILLE ROAD </t>
  </si>
  <si>
    <t>E 35TH ST APT 11M</t>
  </si>
  <si>
    <t>MT OLIVER PROPERTIES  GROUP LLC</t>
  </si>
  <si>
    <t>311 BROWNSVILLE RD</t>
  </si>
  <si>
    <t xml:space="preserve">MT OLIVER PROPERTIES </t>
  </si>
  <si>
    <t>HAYS AVE</t>
  </si>
  <si>
    <t>MOUNT OLIVER PROPERTIES  GROUP LLC</t>
  </si>
  <si>
    <t>309 BROWNSVILLE RD</t>
  </si>
  <si>
    <t>MOUNT OLIVER PROPERTI</t>
  </si>
  <si>
    <t xml:space="preserve">GIRISH GOVIND </t>
  </si>
  <si>
    <t>222 AMANDA AVE</t>
  </si>
  <si>
    <t>218 AMANDA AVE</t>
  </si>
  <si>
    <t xml:space="preserve">BRISTOL CHARLES                                 </t>
  </si>
  <si>
    <t>216 AMANDA AVE</t>
  </si>
  <si>
    <t xml:space="preserve">DAYIEB GEORGE                                   </t>
  </si>
  <si>
    <t>160 BROWNSVILLE RD</t>
  </si>
  <si>
    <t>THE BOROUGH PROPERTIES  LLC</t>
  </si>
  <si>
    <t>200 BROWNSVILLE RD</t>
  </si>
  <si>
    <t>THE BOROUGH PROPERTIE</t>
  </si>
  <si>
    <t xml:space="preserve">FULLHOUSE MANAGEMENT LLC </t>
  </si>
  <si>
    <t>206 BROWNSVILLE RD</t>
  </si>
  <si>
    <t xml:space="preserve">FULLHOUSE MANAGEMENT </t>
  </si>
  <si>
    <t xml:space="preserve">TOOTIKIAN GAYANE </t>
  </si>
  <si>
    <t>214 BROWNSVILLE RD</t>
  </si>
  <si>
    <t xml:space="preserve">JDS HOLDINGS LLC </t>
  </si>
  <si>
    <t>215 BROWNSVILLE RD</t>
  </si>
  <si>
    <t>S TWELFTH ST</t>
  </si>
  <si>
    <t xml:space="preserve">GERLACH JOERG                                   </t>
  </si>
  <si>
    <t>221 BROWNSVILLE RD</t>
  </si>
  <si>
    <t xml:space="preserve">MATHEWS ERIC D </t>
  </si>
  <si>
    <t>229 LOCUST ST</t>
  </si>
  <si>
    <t xml:space="preserve">MARTORELLA LOUIS J JR </t>
  </si>
  <si>
    <t>227 LOCUST ST</t>
  </si>
  <si>
    <t>MARTORELLA LOUIS J JR</t>
  </si>
  <si>
    <t>MILLER STEPHEN M &amp; JONA L (W)</t>
  </si>
  <si>
    <t>233 BROWNSVILLE RD</t>
  </si>
  <si>
    <t>FRANKLIN DR</t>
  </si>
  <si>
    <t xml:space="preserve">MILLER JOHN W </t>
  </si>
  <si>
    <t>237 BROWNSVILLE RD</t>
  </si>
  <si>
    <t>149 BROWNSVILLE RD</t>
  </si>
  <si>
    <t xml:space="preserve">BOROUGH OF MOUNT OLIVER </t>
  </si>
  <si>
    <t>0 STAMM AVE</t>
  </si>
  <si>
    <t>BOROUGH OF MOUNT OLIV</t>
  </si>
  <si>
    <t xml:space="preserve">NESZPAUL ERIN N                                 </t>
  </si>
  <si>
    <t>502 WALNUT ST</t>
  </si>
  <si>
    <t xml:space="preserve">MCCLENDON CORTEZ H </t>
  </si>
  <si>
    <t>141 FREMONT ST</t>
  </si>
  <si>
    <t>0 LUTHER ST</t>
  </si>
  <si>
    <t xml:space="preserve">CHURCH 216 LLC                                  </t>
  </si>
  <si>
    <t>423 WALNUT ST</t>
  </si>
  <si>
    <t>200 MOYE PL</t>
  </si>
  <si>
    <t xml:space="preserve">MCLUCKIE FOUR LLC                               </t>
  </si>
  <si>
    <t>212 MOYE PL</t>
  </si>
  <si>
    <t>216 MOYE PL</t>
  </si>
  <si>
    <t>226 MOYE PL</t>
  </si>
  <si>
    <t>REDEVELOPMENT AUTH OF</t>
  </si>
  <si>
    <t>WASHINGTON PL STE 900</t>
  </si>
  <si>
    <t>SANJA 2003-2 PIT LLC     ETAL</t>
  </si>
  <si>
    <t>228 STAMM AVE</t>
  </si>
  <si>
    <t>AEGIS REALTY PARTNERS</t>
  </si>
  <si>
    <t>GRANDVIEW AVE STE 1136</t>
  </si>
  <si>
    <t>222 LOCUST ST</t>
  </si>
  <si>
    <t>SCHNEIDER WILLIAM</t>
  </si>
  <si>
    <t xml:space="preserve">DEMINO ROSEMARIE                                </t>
  </si>
  <si>
    <t>203 BROWNSVILLE RD</t>
  </si>
  <si>
    <t>205 BROWNSVILLE RD</t>
  </si>
  <si>
    <t xml:space="preserve">STEVENSON WAYNE S </t>
  </si>
  <si>
    <t>0 SHERMAN ST</t>
  </si>
  <si>
    <t xml:space="preserve">SULAMI BAT-AMI </t>
  </si>
  <si>
    <t>136 SHERMAN ST</t>
  </si>
  <si>
    <t xml:space="preserve">GERLACH JORG C </t>
  </si>
  <si>
    <t xml:space="preserve">CCR GROUP LLC </t>
  </si>
  <si>
    <t>122 PENN AVE</t>
  </si>
  <si>
    <t>134 PENN AVE</t>
  </si>
  <si>
    <t xml:space="preserve">PRIMOS CUTS LLC </t>
  </si>
  <si>
    <t>136 PENN AVE</t>
  </si>
  <si>
    <t xml:space="preserve">HUSSIEN MUHAMMED A </t>
  </si>
  <si>
    <t>ROCKNE DR</t>
  </si>
  <si>
    <t xml:space="preserve">JEFFERSON MICHELLE M </t>
  </si>
  <si>
    <t>202 PENN AVE</t>
  </si>
  <si>
    <t xml:space="preserve">CARDONA CAPITAL LLC </t>
  </si>
  <si>
    <t>206 PENN AVE</t>
  </si>
  <si>
    <t>CARDONA CAPITAL LLC</t>
  </si>
  <si>
    <t>PO BOX 59297 ST</t>
  </si>
  <si>
    <t>THOMPSON CARL Z &amp; MARY ANN (W)</t>
  </si>
  <si>
    <t>205 PENN AVE</t>
  </si>
  <si>
    <t>THOMPSON CARL Z &amp; MAR</t>
  </si>
  <si>
    <t xml:space="preserve">GREEN LALAINA </t>
  </si>
  <si>
    <t>WIEDERSTEIN DONALD A &amp; JULIA (W)</t>
  </si>
  <si>
    <t xml:space="preserve">WIEDERSTEIN DONALD A </t>
  </si>
  <si>
    <t>PO BOX 39</t>
  </si>
  <si>
    <t>ELCO</t>
  </si>
  <si>
    <t xml:space="preserve">KUSHNER ARKADY </t>
  </si>
  <si>
    <t>KUSHNER ARKADY</t>
  </si>
  <si>
    <t>HENSLEY JOHN W &amp; KATHRYN R (W)</t>
  </si>
  <si>
    <t xml:space="preserve">WEST PENN INVEST CO </t>
  </si>
  <si>
    <t>202 SAINT JOSEPH ST</t>
  </si>
  <si>
    <t>E GREEN ST APT 7A</t>
  </si>
  <si>
    <t>PASADENA</t>
  </si>
  <si>
    <t xml:space="preserve">BRUNICK WILLIAM                                 </t>
  </si>
  <si>
    <t>310 OTTILLIA ST</t>
  </si>
  <si>
    <t xml:space="preserve">CUNNINGHAM JAMES ALLEN </t>
  </si>
  <si>
    <t>217 SAINT JOSEPH ST</t>
  </si>
  <si>
    <t xml:space="preserve">VERONA PARTNERS LLC </t>
  </si>
  <si>
    <t>215 SAINT JOSEPH ST</t>
  </si>
  <si>
    <t>N BAYSHORE DR APT 2902</t>
  </si>
  <si>
    <t>211 SAINT JOSEPH ST</t>
  </si>
  <si>
    <t xml:space="preserve">FLANNERY CAROL M </t>
  </si>
  <si>
    <t>212 ORMSBY AVE</t>
  </si>
  <si>
    <t xml:space="preserve">HOUTZ BRENDA </t>
  </si>
  <si>
    <t>214 ORMSBY AVE</t>
  </si>
  <si>
    <t>201 ORMSBY AVE</t>
  </si>
  <si>
    <t>WEAVER GLENDA A ETAL</t>
  </si>
  <si>
    <t>TAYLOR BRANDON T &amp; JOANNA E (W)</t>
  </si>
  <si>
    <t>335 CHURCH AVE</t>
  </si>
  <si>
    <t>TAYLOR BRANDON T &amp; JO</t>
  </si>
  <si>
    <t xml:space="preserve">CHILESKI CHAD AARON </t>
  </si>
  <si>
    <t>329 ANTHONY ST</t>
  </si>
  <si>
    <t xml:space="preserve">SANCHEZ FRIDAH ISELLA </t>
  </si>
  <si>
    <t>335 ANTHONY ST</t>
  </si>
  <si>
    <t>BELL SAMUEL J &amp; SALYNIA S GATES (W)</t>
  </si>
  <si>
    <t>343 ANTHONY ST</t>
  </si>
  <si>
    <t>ROSCOE RICHARD F &amp; KATHLEEN M</t>
  </si>
  <si>
    <t>108 HORN ST</t>
  </si>
  <si>
    <t>HORN ST</t>
  </si>
  <si>
    <t xml:space="preserve">ZORN JOSEPH </t>
  </si>
  <si>
    <t>0 HORN ST</t>
  </si>
  <si>
    <t>ST LUCAS ST</t>
  </si>
  <si>
    <t xml:space="preserve">DSQUAREDC  LLC </t>
  </si>
  <si>
    <t>0 WALTER AVE</t>
  </si>
  <si>
    <t>ALBERMARLE ST APT 634</t>
  </si>
  <si>
    <t xml:space="preserve">NAZAREK VINCENT J </t>
  </si>
  <si>
    <t>102 HORN ST</t>
  </si>
  <si>
    <t xml:space="preserve">ROSCOE RICHARD </t>
  </si>
  <si>
    <t>331 JACOB ST</t>
  </si>
  <si>
    <t xml:space="preserve">DAVIS KEITH G </t>
  </si>
  <si>
    <t>JAIN PRAMODINI           ETAL</t>
  </si>
  <si>
    <t>516 OTTILLIA ST</t>
  </si>
  <si>
    <t xml:space="preserve">DAVIS KEITH SR </t>
  </si>
  <si>
    <t>518 OTTILLIA ST</t>
  </si>
  <si>
    <t xml:space="preserve">KUEHNER NICHOLAS G </t>
  </si>
  <si>
    <t xml:space="preserve">MAZUR ERIKA LEIGH </t>
  </si>
  <si>
    <t>348 ANTHONY ST</t>
  </si>
  <si>
    <t xml:space="preserve">CHAPLA ALIVIA </t>
  </si>
  <si>
    <t>0 ANTHONY ST</t>
  </si>
  <si>
    <t>RESACA PL APT C</t>
  </si>
  <si>
    <t>PEIFER TIMOTHY H &amp; LISA MARIE (W)</t>
  </si>
  <si>
    <t xml:space="preserve">VALDISERRI DOROTHY E </t>
  </si>
  <si>
    <t>POCOCEN DR</t>
  </si>
  <si>
    <t xml:space="preserve">ORMSBY LAND CO </t>
  </si>
  <si>
    <t>HUETHER RALPH A &amp; VIOLA (W)</t>
  </si>
  <si>
    <t>0 KESSLER ST</t>
  </si>
  <si>
    <t xml:space="preserve">ADAMS KEVIN J </t>
  </si>
  <si>
    <t>680 KESSLER ST</t>
  </si>
  <si>
    <t>KESSLER ST</t>
  </si>
  <si>
    <t xml:space="preserve">MUELLER GENEVA V </t>
  </si>
  <si>
    <t xml:space="preserve">KOVEL JOSHUA &amp; CHESMIR </t>
  </si>
  <si>
    <t>700 OTTILLIA ST</t>
  </si>
  <si>
    <t>KOVEL JOSHUA &amp; CHESMI</t>
  </si>
  <si>
    <t>OTTILLIA ST</t>
  </si>
  <si>
    <t xml:space="preserve">ETON PIKA LLC </t>
  </si>
  <si>
    <t>315 BROWNSVILLE RD</t>
  </si>
  <si>
    <t>BURGETTSTOWN RD</t>
  </si>
  <si>
    <t>FRANKLIN CREDIT  MORTGAGE CORPORATION</t>
  </si>
  <si>
    <t>FRANKLIN CREDIT MORTG</t>
  </si>
  <si>
    <t>HUDSON ST FL 25</t>
  </si>
  <si>
    <t xml:space="preserve">PASLOW ADELE M </t>
  </si>
  <si>
    <t>513 BROWNSVILLE RD</t>
  </si>
  <si>
    <t>PASLOW ADELE M</t>
  </si>
  <si>
    <t>0 LOUISA ST</t>
  </si>
  <si>
    <t xml:space="preserve">WALKER JUSTIN </t>
  </si>
  <si>
    <t>421 CARL ST</t>
  </si>
  <si>
    <t>WALKER JUSTIN</t>
  </si>
  <si>
    <t>MILL CIR</t>
  </si>
  <si>
    <t>LAYTON</t>
  </si>
  <si>
    <t xml:space="preserve">LASISI NURUDEEN </t>
  </si>
  <si>
    <t>419 CARL ST</t>
  </si>
  <si>
    <t>VICTORIA DR</t>
  </si>
  <si>
    <t>DAYIEB GEORGE C FAMILY  TRUST U/A DTD</t>
  </si>
  <si>
    <t>315 HAYS AVE</t>
  </si>
  <si>
    <t>311 HAYS AVE</t>
  </si>
  <si>
    <t>TAYLOR BRANDON &amp; JOANNA (W)</t>
  </si>
  <si>
    <t>0 HAYS AVE</t>
  </si>
  <si>
    <t>TAYLOR BRANDON &amp; JOAN</t>
  </si>
  <si>
    <t>322 HAYS AVE</t>
  </si>
  <si>
    <t>MIANZO GUY J &amp; SUSAN E (W)</t>
  </si>
  <si>
    <t>414 HAYS AVE</t>
  </si>
  <si>
    <t>0 SCHOOL WAY</t>
  </si>
  <si>
    <t>0 PENN  AVE</t>
  </si>
  <si>
    <t>107 PENN AVE</t>
  </si>
  <si>
    <t>S 18 TH ST EXT</t>
  </si>
  <si>
    <t xml:space="preserve">RAGO TAMARAH </t>
  </si>
  <si>
    <t>100 SAINT JOSEPH ST</t>
  </si>
  <si>
    <t>SAINT JOSEPH ST FL 2</t>
  </si>
  <si>
    <t xml:space="preserve">MAC &amp; MAC PROPERTIES LLC </t>
  </si>
  <si>
    <t>108 ORMSBY AVE</t>
  </si>
  <si>
    <t xml:space="preserve">MAC &amp; MAC PROPERTIES </t>
  </si>
  <si>
    <t>BREISINGER THOMAS G &amp; BARBARA J (W)</t>
  </si>
  <si>
    <t>131 PENN AVE</t>
  </si>
  <si>
    <t>WOMEN &amp; WEALTH INVESTING GROUP L</t>
  </si>
  <si>
    <t>159 PENN AVE</t>
  </si>
  <si>
    <t>WOMEN &amp; WEALTH INVEST</t>
  </si>
  <si>
    <t>MINCH JOHN C &amp; SHARON L (W)</t>
  </si>
  <si>
    <t>MINCH JOHN C &amp; SHARON</t>
  </si>
  <si>
    <t xml:space="preserve">ADAMS TOWANDA </t>
  </si>
  <si>
    <t>191 PENN AVE</t>
  </si>
  <si>
    <t>MUTSCHLER PAUL J &amp; MARIE A</t>
  </si>
  <si>
    <t xml:space="preserve">BESELER KATIE                                   </t>
  </si>
  <si>
    <t>184 SAINT JOSEPH ST</t>
  </si>
  <si>
    <t xml:space="preserve">BURNS ROBERT </t>
  </si>
  <si>
    <t>150 SAINT JOSEPH ST</t>
  </si>
  <si>
    <t xml:space="preserve">TEATER TINA M </t>
  </si>
  <si>
    <t>111 SAINT JOSEPH ST</t>
  </si>
  <si>
    <t xml:space="preserve">GUYTON JOSEPH M </t>
  </si>
  <si>
    <t>123 SAINT JOSEPH ST</t>
  </si>
  <si>
    <t>125 SAINT JOSEPH ST</t>
  </si>
  <si>
    <t xml:space="preserve">WEST ROBERT EARL </t>
  </si>
  <si>
    <t>131 SAINT JOSEPH ST</t>
  </si>
  <si>
    <t>157 SAINT JOSEPH ST</t>
  </si>
  <si>
    <t>IMPELLICCEIRI DOMENIC  JOSEPH</t>
  </si>
  <si>
    <t>177 SAINT JOSEPH ST</t>
  </si>
  <si>
    <t>183 SAINT JOSEPH ST</t>
  </si>
  <si>
    <t xml:space="preserve">SELF THOMAS K </t>
  </si>
  <si>
    <t>192 ORMSBY AVE</t>
  </si>
  <si>
    <t>DAVIS TIMOTHY &amp; DEBORAH L (W)</t>
  </si>
  <si>
    <t xml:space="preserve">HARDY FRANKLIN </t>
  </si>
  <si>
    <t>174 ORMSBY AVE</t>
  </si>
  <si>
    <t xml:space="preserve">EMBRY MARY T </t>
  </si>
  <si>
    <t>172 ORMSBY AVE</t>
  </si>
  <si>
    <t xml:space="preserve">CITYLIFE HILLTOP LLC </t>
  </si>
  <si>
    <t>170 ORMSBY AVE</t>
  </si>
  <si>
    <t xml:space="preserve">BARNES KENVIL </t>
  </si>
  <si>
    <t>162 ORMSBY AVE</t>
  </si>
  <si>
    <t xml:space="preserve">HENDERSON JUAN V </t>
  </si>
  <si>
    <t>115 ORMSBY AVE</t>
  </si>
  <si>
    <t xml:space="preserve">OMP INVESTMENTS LLC </t>
  </si>
  <si>
    <t>119 ORMSBY AVE</t>
  </si>
  <si>
    <t>MOHAMMADI AKBAR GUL &amp; SHAKILA (W)</t>
  </si>
  <si>
    <t>137 ORMSBY AVE</t>
  </si>
  <si>
    <t xml:space="preserve">HICKS TERI L </t>
  </si>
  <si>
    <t>147 ORMSBY AVE</t>
  </si>
  <si>
    <t xml:space="preserve">DAAD PROPERTIES LLC </t>
  </si>
  <si>
    <t>163 ORMSBY AVE</t>
  </si>
  <si>
    <t>DAAD PROPERTIES LLC</t>
  </si>
  <si>
    <t>P O BOX  81051</t>
  </si>
  <si>
    <t>NAVCHERP21 LLC           ETAL</t>
  </si>
  <si>
    <t>WOODLAND HILLS WAY</t>
  </si>
  <si>
    <t xml:space="preserve">BOROUGH OF MT OLIVER </t>
  </si>
  <si>
    <t>BOTTI MATTHEW C &amp; STEPHANIE A (W)</t>
  </si>
  <si>
    <t>323 CHURCH AVE</t>
  </si>
  <si>
    <t>267 CHURCH AVE</t>
  </si>
  <si>
    <t>NOAH KATHLEEN  &amp; ROBERT E NOAH JR</t>
  </si>
  <si>
    <t>265 CHURCH AVE</t>
  </si>
  <si>
    <t xml:space="preserve">NATHANIEL DAVID </t>
  </si>
  <si>
    <t>255 CHURCH AVE</t>
  </si>
  <si>
    <t>FOXHILL MORTGAGE INC</t>
  </si>
  <si>
    <t>LEECHBURGH RD</t>
  </si>
  <si>
    <t xml:space="preserve">KANA PITSHOU </t>
  </si>
  <si>
    <t>106 CHURCH AVE</t>
  </si>
  <si>
    <t>KANA PITSHOU</t>
  </si>
  <si>
    <t xml:space="preserve">HURLEY MICHAEL L </t>
  </si>
  <si>
    <t>217 ANTHONY ST</t>
  </si>
  <si>
    <t>206 ANTHONY ST</t>
  </si>
  <si>
    <t xml:space="preserve">HICKS DOMONIC </t>
  </si>
  <si>
    <t>103 CHURCH AVE</t>
  </si>
  <si>
    <t>FORWARD AVE UNIT 148</t>
  </si>
  <si>
    <t xml:space="preserve">MONSCH RICHELLE L </t>
  </si>
  <si>
    <t>107 CHURCH AVE</t>
  </si>
  <si>
    <t xml:space="preserve">PIVIROTTO J </t>
  </si>
  <si>
    <t>0 CHURCH AVE</t>
  </si>
  <si>
    <t xml:space="preserve">KORBE GAIL </t>
  </si>
  <si>
    <t>256 CHURCH AVE</t>
  </si>
  <si>
    <t>GAIL KORBE</t>
  </si>
  <si>
    <t xml:space="preserve">GRUBER TIMOTHY W </t>
  </si>
  <si>
    <t>260 CHURCH AVE</t>
  </si>
  <si>
    <t xml:space="preserve">ROTHHAAR PAIGE </t>
  </si>
  <si>
    <t>323 ANTHONY ST</t>
  </si>
  <si>
    <t>ROTHHAAR PAIGE</t>
  </si>
  <si>
    <t xml:space="preserve">TIDWELL TREY </t>
  </si>
  <si>
    <t>317 ANTHONY ST</t>
  </si>
  <si>
    <t>TIDWELL TREY</t>
  </si>
  <si>
    <t>SOUTH EAST AVE</t>
  </si>
  <si>
    <t>PEMBROKE PROPERTIES II LLC</t>
  </si>
  <si>
    <t>313 ANTHONY ST</t>
  </si>
  <si>
    <t>PEMBROKE PROPERTIES I</t>
  </si>
  <si>
    <t>PO BOX 90157</t>
  </si>
  <si>
    <t>305 ANTHONY ST</t>
  </si>
  <si>
    <t xml:space="preserve">LITTLE JODY </t>
  </si>
  <si>
    <t>303 ANTHONY ST</t>
  </si>
  <si>
    <t xml:space="preserve">SOLORZANO JAVIER </t>
  </si>
  <si>
    <t>OAK ST NW</t>
  </si>
  <si>
    <t xml:space="preserve">SCIULLI OTTAVIO                                 </t>
  </si>
  <si>
    <t>715 BROWNSVILLE RD</t>
  </si>
  <si>
    <t>98 RUSTIC AVE</t>
  </si>
  <si>
    <t xml:space="preserve">108 FULTON LLC </t>
  </si>
  <si>
    <t>108 FULTON PL</t>
  </si>
  <si>
    <t>PO BOX 480</t>
  </si>
  <si>
    <t>WATER MILL</t>
  </si>
  <si>
    <t>117 GIFFIN AVE</t>
  </si>
  <si>
    <t>CJ REAL ESTATE  MANAGEMENT</t>
  </si>
  <si>
    <t>205 GIFFIN AVE</t>
  </si>
  <si>
    <t>CJ REAL ESTATE MANAGE</t>
  </si>
  <si>
    <t>PO BOX 52</t>
  </si>
  <si>
    <t>CLYMO JUSTIN G &amp; AMELIA (W)</t>
  </si>
  <si>
    <t>213 GIFFIN AVE</t>
  </si>
  <si>
    <t xml:space="preserve">DANH ANDY </t>
  </si>
  <si>
    <t>215 GIFFIN AVE</t>
  </si>
  <si>
    <t xml:space="preserve">JOHNSON JAMES E II                              </t>
  </si>
  <si>
    <t>310 GIFFIN AVE</t>
  </si>
  <si>
    <t xml:space="preserve">JOHNSON JAMES E II &amp; </t>
  </si>
  <si>
    <t>GRIFFIN AVE</t>
  </si>
  <si>
    <t>506 HAYS AVE</t>
  </si>
  <si>
    <t>AXIS REAL ESTATE  HOLDINGS LLC</t>
  </si>
  <si>
    <t>509 HAYS AVE</t>
  </si>
  <si>
    <t>AXIS REAL ESTATE HOLD</t>
  </si>
  <si>
    <t>PO BOX 1805</t>
  </si>
  <si>
    <t xml:space="preserve">FOREMAN IKEA </t>
  </si>
  <si>
    <t>511 HAYS AVE</t>
  </si>
  <si>
    <t>IKEA FOREMAN</t>
  </si>
  <si>
    <t>212 GIFFIN AVE</t>
  </si>
  <si>
    <t>STEVEN MITTS</t>
  </si>
  <si>
    <t xml:space="preserve">MITCHELL HEATHER L </t>
  </si>
  <si>
    <t>116 GIFFIN AVE</t>
  </si>
  <si>
    <t>MITCHELL HEATHER L</t>
  </si>
  <si>
    <t>BROWNSVILLE ROAD  RESIDENCES LLC</t>
  </si>
  <si>
    <t>BROWNSVILLE ROAD RESI</t>
  </si>
  <si>
    <t>VIETMEIER DONALD R &amp; PATRICIA A (W)</t>
  </si>
  <si>
    <t>117 MARGARET ST</t>
  </si>
  <si>
    <t>125 MARGARET ST</t>
  </si>
  <si>
    <t xml:space="preserve">RILEY JACOB </t>
  </si>
  <si>
    <t>135 MARGARET ST</t>
  </si>
  <si>
    <t>RILEY JACOB</t>
  </si>
  <si>
    <t>PENNSYLVANIA HOUSING  FINANCE AGENCY</t>
  </si>
  <si>
    <t>523 BROWNSVILLE RD</t>
  </si>
  <si>
    <t xml:space="preserve">BROWNSVILLE HOMES LLC </t>
  </si>
  <si>
    <t>529 BROWNSVILLE RD</t>
  </si>
  <si>
    <t>HARMONY RD</t>
  </si>
  <si>
    <t xml:space="preserve">KREIL JOSEPH R SR </t>
  </si>
  <si>
    <t>433 CARL ST</t>
  </si>
  <si>
    <t>CARL ST</t>
  </si>
  <si>
    <t>429 CARL ST</t>
  </si>
  <si>
    <t>RUBIO KARA MICHELLE  DAVID</t>
  </si>
  <si>
    <t>438 CARL ST</t>
  </si>
  <si>
    <t>124 MARGARET ST</t>
  </si>
  <si>
    <t>130 MARGARET ST</t>
  </si>
  <si>
    <t xml:space="preserve">PEREZ YOLANDA VASQUEZ                           </t>
  </si>
  <si>
    <t>132 MARGARET ST</t>
  </si>
  <si>
    <t>EIGHTY SEVEN PROPERTIES  LLC</t>
  </si>
  <si>
    <t>134 MARGARET ST</t>
  </si>
  <si>
    <t>EIGHTY SEVEN PROPERTI</t>
  </si>
  <si>
    <t>PO BOX 755</t>
  </si>
  <si>
    <t>THE BOROUGH OF MT.  OLIVER</t>
  </si>
  <si>
    <t>THE BOROUGH OF MT. OL</t>
  </si>
  <si>
    <t xml:space="preserve">OAM PROPERTIES LLC                              </t>
  </si>
  <si>
    <t>447 HAYS AVE</t>
  </si>
  <si>
    <t>450 WILLIAM ST</t>
  </si>
  <si>
    <t>ANDREWS EQUITY  INVESTMENTS LLC</t>
  </si>
  <si>
    <t>451 HAYS AVE</t>
  </si>
  <si>
    <t>ANDREWS EQUITY INVEST</t>
  </si>
  <si>
    <t>BELVUE SCHOOL RD</t>
  </si>
  <si>
    <t>TRAVELERS REST</t>
  </si>
  <si>
    <t xml:space="preserve">SLAGLE WALLACE W </t>
  </si>
  <si>
    <t>454 WILLIAM ST</t>
  </si>
  <si>
    <t>FRIEL JOSEPH W &amp; MARIE M (W)</t>
  </si>
  <si>
    <t>FRIEL JOSEPH W &amp; MARI</t>
  </si>
  <si>
    <t>CHEVY CHASE DR</t>
  </si>
  <si>
    <t>459 HAYS AVE</t>
  </si>
  <si>
    <t xml:space="preserve">ALLIANCE PA HOLDINGS </t>
  </si>
  <si>
    <t>NE 191ST ST</t>
  </si>
  <si>
    <t xml:space="preserve">KOLVITZ LLC </t>
  </si>
  <si>
    <t>462 HAYS AVE</t>
  </si>
  <si>
    <t>KIMBERTON</t>
  </si>
  <si>
    <t xml:space="preserve">SMITH RAYMOND P III                             </t>
  </si>
  <si>
    <t>456 HAYS AVE</t>
  </si>
  <si>
    <t>SMITH RAYMOND P III</t>
  </si>
  <si>
    <t>CRYSTAL BROOK HOLLOW DR</t>
  </si>
  <si>
    <t>PORT JEFFERSON</t>
  </si>
  <si>
    <t xml:space="preserve">SIMMONS ROBERT </t>
  </si>
  <si>
    <t xml:space="preserve">MANN ERIK                                       </t>
  </si>
  <si>
    <t xml:space="preserve">GRAYSON ERIC </t>
  </si>
  <si>
    <t>243 ANTHONY ST</t>
  </si>
  <si>
    <t xml:space="preserve">FOSTER MATTHEW </t>
  </si>
  <si>
    <t>238 ANTHONY ST</t>
  </si>
  <si>
    <t>MATTHEW FOSTER</t>
  </si>
  <si>
    <t>S DOBSOB RD # 149</t>
  </si>
  <si>
    <t>MESA</t>
  </si>
  <si>
    <t xml:space="preserve">KRUGER SHARON LEE </t>
  </si>
  <si>
    <t>106 HOLZER ST</t>
  </si>
  <si>
    <t>HOLZER ST</t>
  </si>
  <si>
    <t>454 HAYS AVE REAR</t>
  </si>
  <si>
    <t xml:space="preserve">SHAW JONATHAN                                   </t>
  </si>
  <si>
    <t>107 HOLZER ST</t>
  </si>
  <si>
    <t xml:space="preserve">PLOT-USA-HS-00031 LLC </t>
  </si>
  <si>
    <t>111 HOLZER ST</t>
  </si>
  <si>
    <t>CIVIC FINANCIAL SERVI</t>
  </si>
  <si>
    <t>MANHATTAN BEACH BLVD STE 106</t>
  </si>
  <si>
    <t xml:space="preserve">OGBEHA FELIX </t>
  </si>
  <si>
    <t>240 ANTHONY ST</t>
  </si>
  <si>
    <t xml:space="preserve">FRAUENS ROBERT C &amp; AGNES </t>
  </si>
  <si>
    <t xml:space="preserve">BECK DE ANN A </t>
  </si>
  <si>
    <t>2 ELIZABETH ST</t>
  </si>
  <si>
    <t>CHALUPCZYNSKI CHARLES  DOUGLAS</t>
  </si>
  <si>
    <t>8 ELIZABETH ST</t>
  </si>
  <si>
    <t xml:space="preserve">WADE LINDA </t>
  </si>
  <si>
    <t>12 ELIZABETH ST</t>
  </si>
  <si>
    <t xml:space="preserve">RICHARDSON JESSE </t>
  </si>
  <si>
    <t>22 ELIZABETH ST</t>
  </si>
  <si>
    <t xml:space="preserve">MORROW JAMES W                                  </t>
  </si>
  <si>
    <t>24 ELIZABETH ST</t>
  </si>
  <si>
    <t xml:space="preserve">MARLEX PROPERTIES LLC </t>
  </si>
  <si>
    <t>6 VERENA ST</t>
  </si>
  <si>
    <t xml:space="preserve">REASON JIMMY JAMAL </t>
  </si>
  <si>
    <t>515 MARGARET ST</t>
  </si>
  <si>
    <t>507 MARGARET ST</t>
  </si>
  <si>
    <t xml:space="preserve">REBHOLZ PHILIP </t>
  </si>
  <si>
    <t>505 HERVEY ST</t>
  </si>
  <si>
    <t xml:space="preserve">TUAN NGUYEN HOANG </t>
  </si>
  <si>
    <t>507 HERVEY ST</t>
  </si>
  <si>
    <t xml:space="preserve">FROEHLICH JOHN                                  </t>
  </si>
  <si>
    <t>509 HERVEY ST</t>
  </si>
  <si>
    <t>LINDA FARMER</t>
  </si>
  <si>
    <t xml:space="preserve">LEACH THOMAS </t>
  </si>
  <si>
    <t>513 HERVEY ST</t>
  </si>
  <si>
    <t xml:space="preserve">CYPRYCH GINA </t>
  </si>
  <si>
    <t>500 HERVEY ST</t>
  </si>
  <si>
    <t>CYPRYCH GINA</t>
  </si>
  <si>
    <t>HERVEY ST</t>
  </si>
  <si>
    <t xml:space="preserve">PA FLIPS LLC </t>
  </si>
  <si>
    <t>629 MARGARET ST</t>
  </si>
  <si>
    <t>PA FLIPS LLC</t>
  </si>
  <si>
    <t>PO BOX 806</t>
  </si>
  <si>
    <t>CASSIDY JAMES M &amp; TINA M (W)</t>
  </si>
  <si>
    <t>210 ELIZABETH ST</t>
  </si>
  <si>
    <t>CASSIDY JAMES M &amp; TIN</t>
  </si>
  <si>
    <t>MT. OLIVER</t>
  </si>
  <si>
    <t>HEIDKAMP CARL  &amp; ROSEMARY</t>
  </si>
  <si>
    <t>0 ELIZABETH ST</t>
  </si>
  <si>
    <t>HEIDKAMP CARL  &amp; ROSEMARY (W)</t>
  </si>
  <si>
    <t>MCMAHON JOHN E &amp; LINDA K (W)</t>
  </si>
  <si>
    <t>40 ELIZABETH ST</t>
  </si>
  <si>
    <t>MCMAHON JOHN E &amp; LIND</t>
  </si>
  <si>
    <t xml:space="preserve">WILLIAMS ONDREI M </t>
  </si>
  <si>
    <t>9 ELIZABETH ST</t>
  </si>
  <si>
    <t>5 ELIZABETH ST</t>
  </si>
  <si>
    <t xml:space="preserve">BARAK NOY </t>
  </si>
  <si>
    <t>260 ANTHONY ST</t>
  </si>
  <si>
    <t>VENUSIAN MGMT GROUP I L  P</t>
  </si>
  <si>
    <t>343 WALTER AVE</t>
  </si>
  <si>
    <t xml:space="preserve">HOOD THOMAS J </t>
  </si>
  <si>
    <t>260 STRASSBURGER WAY</t>
  </si>
  <si>
    <t xml:space="preserve">COLON DENISE                                    </t>
  </si>
  <si>
    <t>VERNON BLVD APT 6C</t>
  </si>
  <si>
    <t xml:space="preserve">JOHNSON MICHAEL </t>
  </si>
  <si>
    <t>111 OVERHILL ST</t>
  </si>
  <si>
    <t>OVERHILL ST</t>
  </si>
  <si>
    <t xml:space="preserve">PLATER JAMES N SR </t>
  </si>
  <si>
    <t>412 NICHOLAS ST</t>
  </si>
  <si>
    <t>NICHOLAS ST</t>
  </si>
  <si>
    <t xml:space="preserve">SHREVE SAMUEL </t>
  </si>
  <si>
    <t>321 JACOB ST</t>
  </si>
  <si>
    <t xml:space="preserve">RIGO ADAM </t>
  </si>
  <si>
    <t>317 JACOB ST</t>
  </si>
  <si>
    <t>RIGO ADAM</t>
  </si>
  <si>
    <t xml:space="preserve">RANSOM MATTHEW TERRY </t>
  </si>
  <si>
    <t>315 JACOB ST</t>
  </si>
  <si>
    <t xml:space="preserve">SMITHLINE GILLIAN B </t>
  </si>
  <si>
    <t>322 ANTHONY ST</t>
  </si>
  <si>
    <t>QUINCY AVENUE HOLDINGS  LP</t>
  </si>
  <si>
    <t>109 QUINCY AVE</t>
  </si>
  <si>
    <t>QUINCY AVENUE HOLDING</t>
  </si>
  <si>
    <t>PO BOX 3927</t>
  </si>
  <si>
    <t>811 BROWNSVILLE RD</t>
  </si>
  <si>
    <t>BRADLEY CHRISTOPHER &amp; NADIA BEY (W)</t>
  </si>
  <si>
    <t>737 BROWNSVILLE RD</t>
  </si>
  <si>
    <t xml:space="preserve">WOMACK RAYMOND D </t>
  </si>
  <si>
    <t>118 QUINCY AVE</t>
  </si>
  <si>
    <t>SNYDER ST</t>
  </si>
  <si>
    <t xml:space="preserve">ALLEN ANTONIS </t>
  </si>
  <si>
    <t>124 QUINCY AVE</t>
  </si>
  <si>
    <t>ALLEN ANTONIS</t>
  </si>
  <si>
    <t>200 QUINCY AVE</t>
  </si>
  <si>
    <t>BEECHVIEW AVE #3</t>
  </si>
  <si>
    <t xml:space="preserve">BROWN RAYSHELL </t>
  </si>
  <si>
    <t>206 QUINCY AVE</t>
  </si>
  <si>
    <t xml:space="preserve">THOMPSON DANINA </t>
  </si>
  <si>
    <t>339 QUINCY AVE</t>
  </si>
  <si>
    <t xml:space="preserve">LEVON INVESTMENTS LLC </t>
  </si>
  <si>
    <t>327 QUINCY AVE</t>
  </si>
  <si>
    <t>S 50TH ST</t>
  </si>
  <si>
    <t>TACOMA</t>
  </si>
  <si>
    <t>RUBICAN RICHARD A &amp; KATHLEEN M HEIL</t>
  </si>
  <si>
    <t>305 QUINCY AVE</t>
  </si>
  <si>
    <t xml:space="preserve">HOHMAN WILLIAM ALLEN </t>
  </si>
  <si>
    <t>0 QUINCY AVE</t>
  </si>
  <si>
    <t xml:space="preserve">STEVENS RONALD                                  </t>
  </si>
  <si>
    <t>221 QUINCY AVE</t>
  </si>
  <si>
    <t>STEVENS RONALD</t>
  </si>
  <si>
    <t xml:space="preserve">BERASTAIN JOE CASTILLO                          </t>
  </si>
  <si>
    <t>207 QUINCY AVE</t>
  </si>
  <si>
    <t>BERASTAIN JOE CASTILL</t>
  </si>
  <si>
    <t>NW 39TH AVE LOT 475</t>
  </si>
  <si>
    <t>SMITH SAMUEL II &amp; SARAH (W)</t>
  </si>
  <si>
    <t>205 QUINCY AVE</t>
  </si>
  <si>
    <t>NORWICH COMMERCIAL GR</t>
  </si>
  <si>
    <t>SECURITY DR</t>
  </si>
  <si>
    <t>AVON</t>
  </si>
  <si>
    <t>125 QUINCY AVE</t>
  </si>
  <si>
    <t xml:space="preserve">WILBUR GIDGET </t>
  </si>
  <si>
    <t>206 ONYX AVE</t>
  </si>
  <si>
    <t>LIBERTY HOME MORTGAGE</t>
  </si>
  <si>
    <t xml:space="preserve">SCOTT JAKWUAN </t>
  </si>
  <si>
    <t>208 ONYX AVE</t>
  </si>
  <si>
    <t>JAKWUAN SCOTT</t>
  </si>
  <si>
    <t>LAURE GEORGE M JR &amp; DEBORAH (W)</t>
  </si>
  <si>
    <t>212 ONYX AVE</t>
  </si>
  <si>
    <t>LAURE GEORGE M JR &amp; D</t>
  </si>
  <si>
    <t>KNOBVUE DR</t>
  </si>
  <si>
    <t xml:space="preserve">KAUKMAS PAUL </t>
  </si>
  <si>
    <t>214 ONYX AVE</t>
  </si>
  <si>
    <t>ONYX AVE</t>
  </si>
  <si>
    <t xml:space="preserve">PRIME PROPERTIES </t>
  </si>
  <si>
    <t>216 ONYX AVE</t>
  </si>
  <si>
    <t>PRIME PROPERTIES</t>
  </si>
  <si>
    <t xml:space="preserve">DIMITRIC RADOSLAV </t>
  </si>
  <si>
    <t>302 ONYX AVE</t>
  </si>
  <si>
    <t>DIMITRIC RADOSLAV</t>
  </si>
  <si>
    <t xml:space="preserve">ANKER KARL M </t>
  </si>
  <si>
    <t>312 ONYX AVE</t>
  </si>
  <si>
    <t xml:space="preserve">HULEE HOLDINGS LLC </t>
  </si>
  <si>
    <t>316 ONYX AVE</t>
  </si>
  <si>
    <t>HULEE HOLDINGS LLC</t>
  </si>
  <si>
    <t>ARLINGTON WAY</t>
  </si>
  <si>
    <t>MENLO PARK</t>
  </si>
  <si>
    <t xml:space="preserve">BEAM EDWARD J &amp; NORMA J </t>
  </si>
  <si>
    <t>0 ONYX AVE</t>
  </si>
  <si>
    <t>BEAM EDWARD J &amp; NORMA</t>
  </si>
  <si>
    <t>MAKOWSKI ROBERT L JR &amp; LISA M (W)</t>
  </si>
  <si>
    <t>315 ONYX AVE</t>
  </si>
  <si>
    <t>NIECGORSKI WALTER L &amp; VICTORIA S (W)</t>
  </si>
  <si>
    <t>ONYX ST</t>
  </si>
  <si>
    <t>ZGURICH MICHAEL  &amp; KATHLEEN A ZGURICH</t>
  </si>
  <si>
    <t>201 ONYX AVE</t>
  </si>
  <si>
    <t>VASIL KEVIN CHRISTIAN &amp; DIANE M (W)</t>
  </si>
  <si>
    <t>103 ONYX AVE</t>
  </si>
  <si>
    <t>111 RUSTIC AVE</t>
  </si>
  <si>
    <t xml:space="preserve">DAVIS TRICIA </t>
  </si>
  <si>
    <t>203 RUSTIC AVE</t>
  </si>
  <si>
    <t>HILLCREAST DR</t>
  </si>
  <si>
    <t>BARD ALEXANDER D BARD MELISSA M</t>
  </si>
  <si>
    <t>705 HAYS AVE</t>
  </si>
  <si>
    <t xml:space="preserve">SEXTUPLETS HOLDINGS LLC </t>
  </si>
  <si>
    <t>325 RUSTIC AVE</t>
  </si>
  <si>
    <t>SEXTUPLETS HOLDINGS L</t>
  </si>
  <si>
    <t>COLOMBO LN</t>
  </si>
  <si>
    <t xml:space="preserve">LAUTERBACH JOSEPH </t>
  </si>
  <si>
    <t>600 HAYS AVE</t>
  </si>
  <si>
    <t xml:space="preserve">DEADERICK TASHA </t>
  </si>
  <si>
    <t>204 RUSTIC AVE</t>
  </si>
  <si>
    <t xml:space="preserve">GUIDO VILMA I JOVEL </t>
  </si>
  <si>
    <t>200 RUSTIC AVE</t>
  </si>
  <si>
    <t>OAKLYNN CT</t>
  </si>
  <si>
    <t xml:space="preserve">CONNORS TIMOTHY J </t>
  </si>
  <si>
    <t>112 FULTON PL</t>
  </si>
  <si>
    <t>FULTON PL</t>
  </si>
  <si>
    <t xml:space="preserve">EPPERSON EDWARD L                               </t>
  </si>
  <si>
    <t>305 GIFFIN AVE</t>
  </si>
  <si>
    <t>RITSON JAMES J &amp; LINDA L MCCULLOUGH</t>
  </si>
  <si>
    <t>315 GIFFIN AVE</t>
  </si>
  <si>
    <t xml:space="preserve">LENE DUCKINSON </t>
  </si>
  <si>
    <t>641 MARGARET ST</t>
  </si>
  <si>
    <t>REINHEIMER THOMAS  FREDERICK</t>
  </si>
  <si>
    <t>635 MARGARET ST</t>
  </si>
  <si>
    <t>REINHEIMER THOMAS FRE</t>
  </si>
  <si>
    <t>WELLSVILLE</t>
  </si>
  <si>
    <t xml:space="preserve">KOCH KASSANDRA </t>
  </si>
  <si>
    <t>622 MARGARET ST</t>
  </si>
  <si>
    <t>KOCH KASSANDRA</t>
  </si>
  <si>
    <t xml:space="preserve">GMUER JASON </t>
  </si>
  <si>
    <t>656 MARGARET ST</t>
  </si>
  <si>
    <t>BENEDIK EUGENE A &amp; CAROL ANN</t>
  </si>
  <si>
    <t>656 MARGARET ST REAR</t>
  </si>
  <si>
    <t>MARGARET ST REAR</t>
  </si>
  <si>
    <t xml:space="preserve">WILSON JACOB </t>
  </si>
  <si>
    <t>517 HERVEY ST</t>
  </si>
  <si>
    <t xml:space="preserve">VILLA FRANK C </t>
  </si>
  <si>
    <t>535 GIFFIN AVE</t>
  </si>
  <si>
    <t xml:space="preserve">QUIDETTO SHAWN </t>
  </si>
  <si>
    <t>533 GIFFIN AVE</t>
  </si>
  <si>
    <t>GIFFIN ST</t>
  </si>
  <si>
    <t xml:space="preserve">LUFFY MELISSA ANN </t>
  </si>
  <si>
    <t>531 GIFFIN AVE</t>
  </si>
  <si>
    <t xml:space="preserve">WORTHY TANISHA </t>
  </si>
  <si>
    <t>527 GIFFIN AVE</t>
  </si>
  <si>
    <t xml:space="preserve">MALLOY RITA A                                   </t>
  </si>
  <si>
    <t>519 GIFFIN AVE</t>
  </si>
  <si>
    <t xml:space="preserve">FINE BRIANNA                                    </t>
  </si>
  <si>
    <t>517 GIFFIN AVE</t>
  </si>
  <si>
    <t>409 GIFFIN AVE</t>
  </si>
  <si>
    <t xml:space="preserve">JOSEPHS SOPHIE A </t>
  </si>
  <si>
    <t>401 GIFFIN AVE</t>
  </si>
  <si>
    <t>JOSEPHS SOPHIE A</t>
  </si>
  <si>
    <t xml:space="preserve">GILL JASON </t>
  </si>
  <si>
    <t>612 TRANSVERSE AVE</t>
  </si>
  <si>
    <t xml:space="preserve">LEDDY ROBERT N &amp; NANCY L </t>
  </si>
  <si>
    <t>0 TRANSVERSE AVE</t>
  </si>
  <si>
    <t>LEDDY ROBERT N &amp; NANC</t>
  </si>
  <si>
    <t xml:space="preserve">HARR LYNNE E </t>
  </si>
  <si>
    <t>803 TRANSVERSE AVE</t>
  </si>
  <si>
    <t xml:space="preserve">HOPKINSON RICHARD </t>
  </si>
  <si>
    <t>715 TRANSVERSE AVE</t>
  </si>
  <si>
    <t xml:space="preserve">LOVE NICOLE </t>
  </si>
  <si>
    <t>312 QUINCY AVE</t>
  </si>
  <si>
    <t>LOVE NICOLE</t>
  </si>
  <si>
    <t>BEDFORD SQ STE 101</t>
  </si>
  <si>
    <t xml:space="preserve">POTTS NOELLE                                    </t>
  </si>
  <si>
    <t>316 QUINCY AVE</t>
  </si>
  <si>
    <t>W CAPITOL DR</t>
  </si>
  <si>
    <t>BROOKFIELD</t>
  </si>
  <si>
    <t xml:space="preserve">REICHARD LISA H </t>
  </si>
  <si>
    <t>920 TRANSVERSE AVE</t>
  </si>
  <si>
    <t>912 TRANSVERSE AVE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</si>
</sst>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33" borderId="0" xfId="0" applyFill="1"/>
    <xf numFmtId="164" fontId="0" fillId="33" borderId="0" xfId="0" applyNumberFormat="1" applyFill="1"/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283"/>
  <sheetViews>
    <sheetView tabSelected="1" workbookViewId="0">
      <selection activeCell="A2" sqref="A2"/>
    </sheetView>
  </sheetViews>
  <sheetFormatPr defaultRowHeight="15" x14ac:dyDescent="0.25"/>
  <cols>
    <col min="1" max="1" width="21.5703125" bestFit="1" customWidth="1"/>
    <col min="2" max="2" width="56.7109375" bestFit="1" customWidth="1"/>
    <col min="3" max="3" width="33.85546875" bestFit="1" customWidth="1"/>
    <col min="4" max="4" width="9.85546875" bestFit="1" customWidth="1"/>
    <col min="5" max="5" width="19.28515625" bestFit="1" customWidth="1"/>
    <col min="6" max="6" width="19.42578125" bestFit="1" customWidth="1"/>
    <col min="7" max="7" width="17.7109375" bestFit="1" customWidth="1"/>
    <col min="8" max="8" width="12.85546875" bestFit="1" customWidth="1"/>
    <col min="9" max="9" width="16.5703125" style="3" bestFit="1" customWidth="1"/>
    <col min="10" max="10" width="14.85546875" style="3" bestFit="1" customWidth="1"/>
    <col min="11" max="11" width="27.7109375" bestFit="1" customWidth="1"/>
    <col min="12" max="12" width="15.42578125" bestFit="1" customWidth="1"/>
    <col min="13" max="13" width="35" bestFit="1" customWidth="1"/>
    <col min="14" max="14" width="18.85546875" bestFit="1" customWidth="1"/>
    <col min="15" max="15" width="10.7109375" bestFit="1" customWidth="1"/>
    <col min="16" max="16" width="8.140625" bestFit="1" customWidth="1"/>
    <col min="17" max="17" width="16.140625" bestFit="1" customWidth="1"/>
    <col min="18" max="18" width="16.28515625" bestFit="1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</row>
    <row r="2" spans="1:18" x14ac:dyDescent="0.25">
      <c r="A2" t="str">
        <f>"1010001C00224    00"</f>
        <v>1010001C00224    00</v>
      </c>
      <c r="B2" t="s">
        <v>18</v>
      </c>
      <c r="C2" t="s">
        <v>19</v>
      </c>
      <c r="D2" t="s">
        <v>20</v>
      </c>
      <c r="E2" t="s">
        <v>21</v>
      </c>
      <c r="F2">
        <v>0</v>
      </c>
      <c r="G2">
        <v>0</v>
      </c>
      <c r="H2">
        <v>3</v>
      </c>
      <c r="I2" s="3">
        <v>22397.72</v>
      </c>
      <c r="J2" s="3">
        <v>0.02</v>
      </c>
      <c r="K2" t="s">
        <v>22</v>
      </c>
      <c r="M2" t="s">
        <v>23</v>
      </c>
      <c r="N2" t="s">
        <v>24</v>
      </c>
      <c r="O2" t="s">
        <v>25</v>
      </c>
      <c r="P2" t="str">
        <f>"43218"</f>
        <v>43218</v>
      </c>
    </row>
    <row r="3" spans="1:18" x14ac:dyDescent="0.25">
      <c r="A3" t="str">
        <f>"1010001C00228000100"</f>
        <v>1010001C00228000100</v>
      </c>
      <c r="B3" t="s">
        <v>26</v>
      </c>
      <c r="C3" t="s">
        <v>27</v>
      </c>
      <c r="E3" t="s">
        <v>21</v>
      </c>
      <c r="F3">
        <v>0</v>
      </c>
      <c r="G3">
        <v>0</v>
      </c>
      <c r="H3">
        <v>1</v>
      </c>
      <c r="I3" s="3">
        <v>2047.17</v>
      </c>
      <c r="J3" s="3">
        <v>870.01</v>
      </c>
      <c r="K3" t="s">
        <v>28</v>
      </c>
      <c r="L3">
        <v>11</v>
      </c>
      <c r="M3" t="s">
        <v>29</v>
      </c>
      <c r="N3" t="s">
        <v>30</v>
      </c>
      <c r="O3" t="s">
        <v>31</v>
      </c>
      <c r="P3" t="str">
        <f>"15220"</f>
        <v>15220</v>
      </c>
    </row>
    <row r="4" spans="1:18" x14ac:dyDescent="0.25">
      <c r="A4" t="str">
        <f>"1010001C00228000200"</f>
        <v>1010001C00228000200</v>
      </c>
      <c r="B4" t="s">
        <v>26</v>
      </c>
      <c r="C4" t="s">
        <v>32</v>
      </c>
      <c r="E4" t="s">
        <v>21</v>
      </c>
      <c r="F4">
        <v>0</v>
      </c>
      <c r="G4">
        <v>0</v>
      </c>
      <c r="H4">
        <v>1</v>
      </c>
      <c r="I4" s="3">
        <v>14443.62</v>
      </c>
      <c r="J4" s="3">
        <v>6138.3</v>
      </c>
      <c r="K4" t="s">
        <v>28</v>
      </c>
      <c r="L4">
        <v>11</v>
      </c>
      <c r="M4" t="s">
        <v>29</v>
      </c>
      <c r="N4" t="s">
        <v>30</v>
      </c>
      <c r="O4" t="s">
        <v>31</v>
      </c>
      <c r="P4" t="str">
        <f>"15220"</f>
        <v>15220</v>
      </c>
    </row>
    <row r="5" spans="1:18" x14ac:dyDescent="0.25">
      <c r="A5" t="str">
        <f>"1010001C00228000400"</f>
        <v>1010001C00228000400</v>
      </c>
      <c r="B5" t="s">
        <v>26</v>
      </c>
      <c r="C5" t="s">
        <v>32</v>
      </c>
      <c r="D5" t="s">
        <v>33</v>
      </c>
      <c r="E5" t="s">
        <v>21</v>
      </c>
      <c r="F5">
        <v>0</v>
      </c>
      <c r="G5">
        <v>0</v>
      </c>
      <c r="H5">
        <v>1</v>
      </c>
      <c r="I5" s="3">
        <v>32735.42</v>
      </c>
      <c r="J5" s="3">
        <v>2455.06</v>
      </c>
      <c r="K5" t="s">
        <v>28</v>
      </c>
      <c r="L5">
        <v>11</v>
      </c>
      <c r="M5" t="s">
        <v>29</v>
      </c>
      <c r="N5" t="s">
        <v>30</v>
      </c>
      <c r="O5" t="s">
        <v>31</v>
      </c>
      <c r="P5" t="str">
        <f>"15220"</f>
        <v>15220</v>
      </c>
    </row>
    <row r="6" spans="1:18" x14ac:dyDescent="0.25">
      <c r="A6" t="str">
        <f>"1010001G00080    01"</f>
        <v>1010001G00080    01</v>
      </c>
      <c r="B6" t="s">
        <v>34</v>
      </c>
      <c r="C6" t="s">
        <v>35</v>
      </c>
      <c r="D6" t="s">
        <v>20</v>
      </c>
      <c r="E6" t="s">
        <v>21</v>
      </c>
      <c r="F6">
        <v>0</v>
      </c>
      <c r="G6">
        <v>0</v>
      </c>
      <c r="H6">
        <v>1</v>
      </c>
      <c r="I6" s="3">
        <v>2670.51</v>
      </c>
      <c r="J6" s="3">
        <v>0</v>
      </c>
      <c r="L6">
        <v>111</v>
      </c>
      <c r="M6" t="s">
        <v>36</v>
      </c>
      <c r="N6" t="s">
        <v>30</v>
      </c>
      <c r="O6" t="s">
        <v>31</v>
      </c>
      <c r="P6" t="str">
        <f t="shared" ref="P6:P14" si="0">"15222"</f>
        <v>15222</v>
      </c>
    </row>
    <row r="7" spans="1:18" x14ac:dyDescent="0.25">
      <c r="A7" t="str">
        <f>"1010001G00112    00"</f>
        <v>1010001G00112    00</v>
      </c>
      <c r="B7" t="s">
        <v>37</v>
      </c>
      <c r="C7" t="s">
        <v>38</v>
      </c>
      <c r="D7" t="s">
        <v>20</v>
      </c>
      <c r="E7" t="s">
        <v>39</v>
      </c>
      <c r="F7">
        <v>0</v>
      </c>
      <c r="G7">
        <v>0</v>
      </c>
      <c r="H7">
        <v>1</v>
      </c>
      <c r="I7" s="3">
        <v>27394.19</v>
      </c>
      <c r="J7" s="3">
        <v>0</v>
      </c>
      <c r="K7" t="s">
        <v>40</v>
      </c>
      <c r="L7">
        <v>101</v>
      </c>
      <c r="M7" t="s">
        <v>41</v>
      </c>
      <c r="N7" t="s">
        <v>30</v>
      </c>
      <c r="O7" t="s">
        <v>31</v>
      </c>
      <c r="P7" t="str">
        <f t="shared" si="0"/>
        <v>15222</v>
      </c>
    </row>
    <row r="8" spans="1:18" x14ac:dyDescent="0.25">
      <c r="A8" t="str">
        <f>"1010001G00224040300"</f>
        <v>1010001G00224040300</v>
      </c>
      <c r="B8" t="s">
        <v>42</v>
      </c>
      <c r="C8" t="s">
        <v>43</v>
      </c>
      <c r="E8" t="s">
        <v>39</v>
      </c>
      <c r="F8">
        <v>0</v>
      </c>
      <c r="G8">
        <v>0</v>
      </c>
      <c r="H8">
        <v>2</v>
      </c>
      <c r="I8" s="3">
        <v>14924.21</v>
      </c>
      <c r="J8" s="3">
        <v>3431.73</v>
      </c>
      <c r="L8">
        <v>151</v>
      </c>
      <c r="M8" t="s">
        <v>44</v>
      </c>
      <c r="N8" t="s">
        <v>30</v>
      </c>
      <c r="O8" t="s">
        <v>31</v>
      </c>
      <c r="P8" t="str">
        <f t="shared" si="0"/>
        <v>15222</v>
      </c>
    </row>
    <row r="9" spans="1:18" x14ac:dyDescent="0.25">
      <c r="A9" t="str">
        <f>"1010001G00224040500"</f>
        <v>1010001G00224040500</v>
      </c>
      <c r="B9" t="s">
        <v>45</v>
      </c>
      <c r="C9" t="s">
        <v>46</v>
      </c>
      <c r="D9" t="s">
        <v>20</v>
      </c>
      <c r="E9" t="s">
        <v>39</v>
      </c>
      <c r="F9">
        <v>0</v>
      </c>
      <c r="G9">
        <v>0</v>
      </c>
      <c r="H9">
        <v>2</v>
      </c>
      <c r="I9" s="3">
        <v>8910.9</v>
      </c>
      <c r="J9" s="3">
        <v>0</v>
      </c>
      <c r="L9">
        <v>151</v>
      </c>
      <c r="M9" t="s">
        <v>47</v>
      </c>
      <c r="N9" t="s">
        <v>30</v>
      </c>
      <c r="O9" t="s">
        <v>31</v>
      </c>
      <c r="P9" t="str">
        <f t="shared" si="0"/>
        <v>15222</v>
      </c>
    </row>
    <row r="10" spans="1:18" x14ac:dyDescent="0.25">
      <c r="A10" t="str">
        <f>"1010001G00224040600"</f>
        <v>1010001G00224040600</v>
      </c>
      <c r="B10" t="s">
        <v>48</v>
      </c>
      <c r="C10" t="s">
        <v>49</v>
      </c>
      <c r="E10" t="s">
        <v>39</v>
      </c>
      <c r="F10">
        <v>0</v>
      </c>
      <c r="G10">
        <v>0</v>
      </c>
      <c r="H10">
        <v>1</v>
      </c>
      <c r="I10" s="3">
        <v>308.35000000000002</v>
      </c>
      <c r="J10" s="3">
        <v>0</v>
      </c>
      <c r="L10">
        <v>151</v>
      </c>
      <c r="M10" t="s">
        <v>50</v>
      </c>
      <c r="N10" t="s">
        <v>30</v>
      </c>
      <c r="O10" t="s">
        <v>31</v>
      </c>
      <c r="P10" t="str">
        <f t="shared" si="0"/>
        <v>15222</v>
      </c>
    </row>
    <row r="11" spans="1:18" x14ac:dyDescent="0.25">
      <c r="A11" t="str">
        <f>"1010001G00224100100"</f>
        <v>1010001G00224100100</v>
      </c>
      <c r="B11" t="s">
        <v>51</v>
      </c>
      <c r="C11" t="s">
        <v>52</v>
      </c>
      <c r="D11" t="s">
        <v>20</v>
      </c>
      <c r="E11" t="s">
        <v>39</v>
      </c>
      <c r="F11">
        <v>0</v>
      </c>
      <c r="G11">
        <v>0</v>
      </c>
      <c r="H11">
        <v>1</v>
      </c>
      <c r="I11" s="3">
        <v>7393.84</v>
      </c>
      <c r="J11" s="3">
        <v>0</v>
      </c>
      <c r="L11">
        <v>151</v>
      </c>
      <c r="M11" t="s">
        <v>53</v>
      </c>
      <c r="N11" t="s">
        <v>30</v>
      </c>
      <c r="O11" t="s">
        <v>31</v>
      </c>
      <c r="P11" t="str">
        <f t="shared" si="0"/>
        <v>15222</v>
      </c>
    </row>
    <row r="12" spans="1:18" x14ac:dyDescent="0.25">
      <c r="A12" t="str">
        <f>"1010001G00224100200"</f>
        <v>1010001G00224100200</v>
      </c>
      <c r="B12" t="s">
        <v>51</v>
      </c>
      <c r="C12" t="s">
        <v>54</v>
      </c>
      <c r="D12" t="s">
        <v>20</v>
      </c>
      <c r="E12" t="s">
        <v>39</v>
      </c>
      <c r="F12">
        <v>0</v>
      </c>
      <c r="G12">
        <v>0</v>
      </c>
      <c r="H12">
        <v>1</v>
      </c>
      <c r="I12" s="3">
        <v>5813.3</v>
      </c>
      <c r="J12" s="3">
        <v>0</v>
      </c>
      <c r="L12">
        <v>151</v>
      </c>
      <c r="M12" t="s">
        <v>53</v>
      </c>
      <c r="N12" t="s">
        <v>30</v>
      </c>
      <c r="O12" t="s">
        <v>31</v>
      </c>
      <c r="P12" t="str">
        <f t="shared" si="0"/>
        <v>15222</v>
      </c>
    </row>
    <row r="13" spans="1:18" x14ac:dyDescent="0.25">
      <c r="A13" t="str">
        <f>"1010001G00224150100"</f>
        <v>1010001G00224150100</v>
      </c>
      <c r="B13" t="s">
        <v>55</v>
      </c>
      <c r="C13" t="s">
        <v>56</v>
      </c>
      <c r="D13" t="s">
        <v>57</v>
      </c>
      <c r="E13" t="s">
        <v>39</v>
      </c>
      <c r="F13">
        <v>0</v>
      </c>
      <c r="G13">
        <v>0</v>
      </c>
      <c r="H13">
        <v>1</v>
      </c>
      <c r="I13" s="3">
        <v>157.13</v>
      </c>
      <c r="J13" s="3">
        <v>40.590000000000003</v>
      </c>
      <c r="K13" t="s">
        <v>58</v>
      </c>
      <c r="L13">
        <v>151</v>
      </c>
      <c r="M13" t="s">
        <v>59</v>
      </c>
      <c r="N13" t="s">
        <v>30</v>
      </c>
      <c r="O13" t="s">
        <v>31</v>
      </c>
      <c r="P13" t="str">
        <f t="shared" si="0"/>
        <v>15222</v>
      </c>
    </row>
    <row r="14" spans="1:18" x14ac:dyDescent="0.25">
      <c r="A14" t="str">
        <f>"1010001G00224150500"</f>
        <v>1010001G00224150500</v>
      </c>
      <c r="B14" t="s">
        <v>60</v>
      </c>
      <c r="C14" t="s">
        <v>61</v>
      </c>
      <c r="E14" t="s">
        <v>39</v>
      </c>
      <c r="F14">
        <v>0</v>
      </c>
      <c r="G14">
        <v>0</v>
      </c>
      <c r="H14">
        <v>1</v>
      </c>
      <c r="I14" s="3">
        <v>895.84</v>
      </c>
      <c r="J14" s="3">
        <v>649.46</v>
      </c>
      <c r="K14" t="s">
        <v>62</v>
      </c>
      <c r="L14">
        <v>151</v>
      </c>
      <c r="M14" t="s">
        <v>63</v>
      </c>
      <c r="N14" t="s">
        <v>30</v>
      </c>
      <c r="O14" t="s">
        <v>31</v>
      </c>
      <c r="P14" t="str">
        <f t="shared" si="0"/>
        <v>15222</v>
      </c>
    </row>
    <row r="15" spans="1:18" x14ac:dyDescent="0.25">
      <c r="A15" t="str">
        <f>"1010001H00139    00"</f>
        <v>1010001H00139    00</v>
      </c>
      <c r="B15" t="s">
        <v>64</v>
      </c>
      <c r="C15" t="s">
        <v>65</v>
      </c>
      <c r="D15" t="s">
        <v>20</v>
      </c>
      <c r="E15" t="s">
        <v>66</v>
      </c>
      <c r="F15">
        <v>0</v>
      </c>
      <c r="G15">
        <v>0</v>
      </c>
      <c r="H15">
        <v>2</v>
      </c>
      <c r="I15" s="3">
        <v>210718.3</v>
      </c>
      <c r="J15" s="3">
        <v>0</v>
      </c>
      <c r="K15" t="s">
        <v>67</v>
      </c>
      <c r="L15">
        <v>31700</v>
      </c>
      <c r="M15" t="s">
        <v>68</v>
      </c>
      <c r="N15" t="s">
        <v>69</v>
      </c>
      <c r="O15" t="s">
        <v>70</v>
      </c>
      <c r="P15" t="str">
        <f>"48334"</f>
        <v>48334</v>
      </c>
    </row>
    <row r="16" spans="1:18" x14ac:dyDescent="0.25">
      <c r="A16" t="str">
        <f>"1010001H00217    00"</f>
        <v>1010001H00217    00</v>
      </c>
      <c r="B16" t="s">
        <v>71</v>
      </c>
      <c r="C16" t="s">
        <v>72</v>
      </c>
      <c r="E16" t="s">
        <v>21</v>
      </c>
      <c r="F16">
        <v>0</v>
      </c>
      <c r="G16">
        <v>0</v>
      </c>
      <c r="H16">
        <v>1</v>
      </c>
      <c r="I16" s="3">
        <v>2208.88</v>
      </c>
      <c r="J16" s="3">
        <v>0</v>
      </c>
      <c r="K16" t="s">
        <v>73</v>
      </c>
      <c r="L16">
        <v>1135</v>
      </c>
      <c r="M16" t="s">
        <v>74</v>
      </c>
      <c r="N16" t="s">
        <v>30</v>
      </c>
      <c r="O16" t="s">
        <v>31</v>
      </c>
      <c r="P16" t="str">
        <f>"15220"</f>
        <v>15220</v>
      </c>
    </row>
    <row r="17" spans="1:16" x14ac:dyDescent="0.25">
      <c r="A17" t="str">
        <f>"1010001H00303    00"</f>
        <v>1010001H00303    00</v>
      </c>
      <c r="B17" t="s">
        <v>75</v>
      </c>
      <c r="C17" t="s">
        <v>76</v>
      </c>
      <c r="D17" t="s">
        <v>20</v>
      </c>
      <c r="E17" t="s">
        <v>21</v>
      </c>
      <c r="F17">
        <v>0</v>
      </c>
      <c r="G17">
        <v>0</v>
      </c>
      <c r="H17">
        <v>2</v>
      </c>
      <c r="I17" s="3">
        <v>3264.57</v>
      </c>
      <c r="J17" s="3">
        <v>25.03</v>
      </c>
      <c r="K17" t="s">
        <v>77</v>
      </c>
      <c r="L17">
        <v>425</v>
      </c>
      <c r="M17" t="s">
        <v>78</v>
      </c>
      <c r="N17" t="s">
        <v>79</v>
      </c>
      <c r="O17" t="s">
        <v>31</v>
      </c>
      <c r="P17" t="str">
        <f>"15668"</f>
        <v>15668</v>
      </c>
    </row>
    <row r="18" spans="1:16" x14ac:dyDescent="0.25">
      <c r="A18" t="str">
        <f>"1010001H00327020200"</f>
        <v>1010001H00327020200</v>
      </c>
      <c r="B18" t="s">
        <v>80</v>
      </c>
      <c r="C18" t="s">
        <v>81</v>
      </c>
      <c r="D18" t="s">
        <v>20</v>
      </c>
      <c r="E18" t="s">
        <v>39</v>
      </c>
      <c r="F18">
        <v>0</v>
      </c>
      <c r="G18">
        <v>0</v>
      </c>
      <c r="H18">
        <v>2</v>
      </c>
      <c r="I18" s="3">
        <v>9631.56</v>
      </c>
      <c r="J18" s="3">
        <v>0</v>
      </c>
      <c r="K18" t="s">
        <v>82</v>
      </c>
      <c r="L18">
        <v>306</v>
      </c>
      <c r="M18" t="s">
        <v>83</v>
      </c>
      <c r="N18" t="s">
        <v>30</v>
      </c>
      <c r="O18" t="s">
        <v>31</v>
      </c>
      <c r="P18" t="str">
        <f>"15222"</f>
        <v>15222</v>
      </c>
    </row>
    <row r="19" spans="1:16" x14ac:dyDescent="0.25">
      <c r="A19" t="str">
        <f>"1010001H00327070400"</f>
        <v>1010001H00327070400</v>
      </c>
      <c r="B19" t="s">
        <v>84</v>
      </c>
      <c r="C19" t="s">
        <v>85</v>
      </c>
      <c r="D19" t="s">
        <v>20</v>
      </c>
      <c r="E19" t="s">
        <v>39</v>
      </c>
      <c r="F19">
        <v>0</v>
      </c>
      <c r="G19">
        <v>0</v>
      </c>
      <c r="H19">
        <v>1</v>
      </c>
      <c r="I19" s="3">
        <v>667.1</v>
      </c>
      <c r="J19" s="3">
        <v>0</v>
      </c>
      <c r="L19">
        <v>300</v>
      </c>
      <c r="M19" t="s">
        <v>86</v>
      </c>
      <c r="N19" t="s">
        <v>30</v>
      </c>
      <c r="O19" t="s">
        <v>31</v>
      </c>
      <c r="P19" t="str">
        <f>"15222"</f>
        <v>15222</v>
      </c>
    </row>
    <row r="20" spans="1:16" x14ac:dyDescent="0.25">
      <c r="A20" t="str">
        <f>"1010001H00327090100"</f>
        <v>1010001H00327090100</v>
      </c>
      <c r="B20" t="s">
        <v>87</v>
      </c>
      <c r="C20" t="s">
        <v>88</v>
      </c>
      <c r="E20" t="s">
        <v>39</v>
      </c>
      <c r="F20">
        <v>0</v>
      </c>
      <c r="G20">
        <v>0</v>
      </c>
      <c r="H20">
        <v>1</v>
      </c>
      <c r="I20" s="3">
        <v>2282.56</v>
      </c>
      <c r="J20" s="3">
        <v>19.02</v>
      </c>
      <c r="K20" t="s">
        <v>89</v>
      </c>
      <c r="L20">
        <v>306</v>
      </c>
      <c r="M20" t="s">
        <v>90</v>
      </c>
      <c r="N20" t="s">
        <v>30</v>
      </c>
      <c r="O20" t="s">
        <v>31</v>
      </c>
      <c r="P20" t="str">
        <f>"15222"</f>
        <v>15222</v>
      </c>
    </row>
    <row r="21" spans="1:16" x14ac:dyDescent="0.25">
      <c r="A21" t="str">
        <f>"1010001H00327090300"</f>
        <v>1010001H00327090300</v>
      </c>
      <c r="B21" t="s">
        <v>91</v>
      </c>
      <c r="C21" t="s">
        <v>92</v>
      </c>
      <c r="E21" t="s">
        <v>39</v>
      </c>
      <c r="F21">
        <v>0</v>
      </c>
      <c r="G21">
        <v>0</v>
      </c>
      <c r="H21">
        <v>2</v>
      </c>
      <c r="I21" s="3">
        <v>1714.38</v>
      </c>
      <c r="J21" s="3">
        <v>442.88</v>
      </c>
      <c r="K21" t="s">
        <v>93</v>
      </c>
      <c r="L21">
        <v>306</v>
      </c>
      <c r="M21" t="s">
        <v>94</v>
      </c>
      <c r="N21" t="s">
        <v>30</v>
      </c>
      <c r="O21" t="s">
        <v>31</v>
      </c>
      <c r="P21" t="str">
        <f>"15222"</f>
        <v>15222</v>
      </c>
    </row>
    <row r="22" spans="1:16" x14ac:dyDescent="0.25">
      <c r="A22" t="str">
        <f>"1010001H00327100200"</f>
        <v>1010001H00327100200</v>
      </c>
      <c r="B22" t="s">
        <v>95</v>
      </c>
      <c r="C22" t="s">
        <v>96</v>
      </c>
      <c r="D22" t="s">
        <v>20</v>
      </c>
      <c r="E22" t="s">
        <v>39</v>
      </c>
      <c r="F22">
        <v>0</v>
      </c>
      <c r="G22">
        <v>0</v>
      </c>
      <c r="H22">
        <v>3</v>
      </c>
      <c r="I22" s="3">
        <v>9831.41</v>
      </c>
      <c r="J22" s="3">
        <v>346.72</v>
      </c>
      <c r="L22">
        <v>306</v>
      </c>
      <c r="M22" t="s">
        <v>97</v>
      </c>
      <c r="N22" t="s">
        <v>30</v>
      </c>
      <c r="O22" t="s">
        <v>31</v>
      </c>
      <c r="P22" t="str">
        <f>"15222"</f>
        <v>15222</v>
      </c>
    </row>
    <row r="23" spans="1:16" x14ac:dyDescent="0.25">
      <c r="A23" t="str">
        <f>"1010001H00363    00"</f>
        <v>1010001H00363    00</v>
      </c>
      <c r="B23" t="s">
        <v>98</v>
      </c>
      <c r="C23" t="s">
        <v>99</v>
      </c>
      <c r="D23" t="s">
        <v>20</v>
      </c>
      <c r="E23" t="s">
        <v>21</v>
      </c>
      <c r="F23">
        <v>0</v>
      </c>
      <c r="G23">
        <v>0</v>
      </c>
      <c r="H23">
        <v>1</v>
      </c>
      <c r="I23" s="3">
        <v>6269.01</v>
      </c>
      <c r="J23" s="3">
        <v>2559.7399999999998</v>
      </c>
      <c r="K23" t="s">
        <v>100</v>
      </c>
      <c r="L23">
        <v>200</v>
      </c>
      <c r="M23" t="s">
        <v>101</v>
      </c>
      <c r="N23" t="s">
        <v>102</v>
      </c>
      <c r="O23" t="s">
        <v>31</v>
      </c>
      <c r="P23" t="str">
        <f>"19025"</f>
        <v>19025</v>
      </c>
    </row>
    <row r="24" spans="1:16" x14ac:dyDescent="0.25">
      <c r="A24" t="str">
        <f>"1010001H00365    00"</f>
        <v>1010001H00365    00</v>
      </c>
      <c r="B24" t="s">
        <v>103</v>
      </c>
      <c r="C24" t="s">
        <v>104</v>
      </c>
      <c r="E24" t="s">
        <v>21</v>
      </c>
      <c r="F24">
        <v>0</v>
      </c>
      <c r="G24">
        <v>0</v>
      </c>
      <c r="H24">
        <v>1</v>
      </c>
      <c r="I24" s="3">
        <v>4555.34</v>
      </c>
      <c r="J24" s="3">
        <v>0</v>
      </c>
      <c r="K24" t="s">
        <v>105</v>
      </c>
      <c r="L24">
        <v>2727</v>
      </c>
      <c r="M24" t="s">
        <v>106</v>
      </c>
      <c r="N24" t="s">
        <v>107</v>
      </c>
      <c r="O24" t="s">
        <v>108</v>
      </c>
      <c r="P24" t="str">
        <f>"75234"</f>
        <v>75234</v>
      </c>
    </row>
    <row r="25" spans="1:16" x14ac:dyDescent="0.25">
      <c r="A25" t="str">
        <f>"1010001H00370CU  00"</f>
        <v>1010001H00370CU  00</v>
      </c>
      <c r="B25" t="s">
        <v>109</v>
      </c>
      <c r="C25" t="s">
        <v>110</v>
      </c>
      <c r="D25" t="s">
        <v>20</v>
      </c>
      <c r="E25" t="s">
        <v>21</v>
      </c>
      <c r="F25">
        <v>0</v>
      </c>
      <c r="G25">
        <v>0</v>
      </c>
      <c r="H25">
        <v>1</v>
      </c>
      <c r="I25" s="3">
        <v>968.42</v>
      </c>
      <c r="J25" s="3">
        <v>0</v>
      </c>
      <c r="K25" t="s">
        <v>111</v>
      </c>
      <c r="L25">
        <v>425</v>
      </c>
      <c r="M25" t="s">
        <v>112</v>
      </c>
      <c r="N25" t="s">
        <v>30</v>
      </c>
      <c r="O25" t="s">
        <v>31</v>
      </c>
      <c r="P25" t="str">
        <f>"15219"</f>
        <v>15219</v>
      </c>
    </row>
    <row r="26" spans="1:16" x14ac:dyDescent="0.25">
      <c r="A26" t="str">
        <f>"1010001L00008    00"</f>
        <v>1010001L00008    00</v>
      </c>
      <c r="B26" t="s">
        <v>113</v>
      </c>
      <c r="C26" t="s">
        <v>114</v>
      </c>
      <c r="D26" t="s">
        <v>20</v>
      </c>
      <c r="E26" t="s">
        <v>21</v>
      </c>
      <c r="F26">
        <v>0</v>
      </c>
      <c r="G26">
        <v>0</v>
      </c>
      <c r="H26">
        <v>1</v>
      </c>
      <c r="I26" s="3">
        <v>46273.87</v>
      </c>
      <c r="J26" s="3">
        <v>0</v>
      </c>
      <c r="K26" t="s">
        <v>115</v>
      </c>
      <c r="L26">
        <v>7440</v>
      </c>
      <c r="M26" t="s">
        <v>116</v>
      </c>
      <c r="N26" t="s">
        <v>30</v>
      </c>
      <c r="O26" t="s">
        <v>31</v>
      </c>
      <c r="P26" t="str">
        <f>"15237"</f>
        <v>15237</v>
      </c>
    </row>
    <row r="27" spans="1:16" x14ac:dyDescent="0.25">
      <c r="A27" t="str">
        <f>"1010001M00001    00"</f>
        <v>1010001M00001    00</v>
      </c>
      <c r="B27" t="s">
        <v>117</v>
      </c>
      <c r="C27" t="s">
        <v>118</v>
      </c>
      <c r="D27" t="s">
        <v>20</v>
      </c>
      <c r="E27" t="s">
        <v>21</v>
      </c>
      <c r="F27">
        <v>0</v>
      </c>
      <c r="G27">
        <v>0</v>
      </c>
      <c r="H27">
        <v>1</v>
      </c>
      <c r="I27" s="3">
        <v>13624.09</v>
      </c>
      <c r="J27" s="3">
        <v>0</v>
      </c>
      <c r="K27" t="s">
        <v>115</v>
      </c>
      <c r="L27">
        <v>7440</v>
      </c>
      <c r="M27" t="s">
        <v>116</v>
      </c>
      <c r="N27" t="s">
        <v>30</v>
      </c>
      <c r="O27" t="s">
        <v>31</v>
      </c>
      <c r="P27" t="str">
        <f>"15237"</f>
        <v>15237</v>
      </c>
    </row>
    <row r="28" spans="1:16" x14ac:dyDescent="0.25">
      <c r="A28" t="str">
        <f>"1010001M00005000100"</f>
        <v>1010001M00005000100</v>
      </c>
      <c r="B28" t="s">
        <v>119</v>
      </c>
      <c r="C28" t="s">
        <v>120</v>
      </c>
      <c r="E28" t="s">
        <v>21</v>
      </c>
      <c r="F28">
        <v>0</v>
      </c>
      <c r="G28">
        <v>0</v>
      </c>
      <c r="H28">
        <v>1</v>
      </c>
      <c r="I28" s="3">
        <v>4091.8</v>
      </c>
      <c r="J28" s="3">
        <v>0</v>
      </c>
      <c r="K28" t="s">
        <v>121</v>
      </c>
      <c r="L28">
        <v>345</v>
      </c>
      <c r="M28" t="s">
        <v>122</v>
      </c>
      <c r="N28" t="s">
        <v>24</v>
      </c>
      <c r="O28" t="s">
        <v>25</v>
      </c>
      <c r="P28" t="str">
        <f>"43201"</f>
        <v>43201</v>
      </c>
    </row>
    <row r="29" spans="1:16" x14ac:dyDescent="0.25">
      <c r="A29" t="str">
        <f>"1010001M00005000200"</f>
        <v>1010001M00005000200</v>
      </c>
      <c r="B29" t="s">
        <v>119</v>
      </c>
      <c r="C29" t="s">
        <v>123</v>
      </c>
      <c r="E29" t="s">
        <v>21</v>
      </c>
      <c r="F29">
        <v>0</v>
      </c>
      <c r="G29">
        <v>0</v>
      </c>
      <c r="H29">
        <v>1</v>
      </c>
      <c r="I29" s="3">
        <v>4091.8</v>
      </c>
      <c r="J29" s="3">
        <v>0</v>
      </c>
      <c r="K29" t="s">
        <v>121</v>
      </c>
      <c r="L29">
        <v>345</v>
      </c>
      <c r="M29" t="s">
        <v>122</v>
      </c>
      <c r="N29" t="s">
        <v>24</v>
      </c>
      <c r="O29" t="s">
        <v>25</v>
      </c>
      <c r="P29" t="str">
        <f>"43201"</f>
        <v>43201</v>
      </c>
    </row>
    <row r="30" spans="1:16" x14ac:dyDescent="0.25">
      <c r="A30" t="str">
        <f>"1010001M00005000300"</f>
        <v>1010001M00005000300</v>
      </c>
      <c r="B30" t="s">
        <v>119</v>
      </c>
      <c r="C30" t="s">
        <v>124</v>
      </c>
      <c r="E30" t="s">
        <v>21</v>
      </c>
      <c r="F30">
        <v>0</v>
      </c>
      <c r="G30">
        <v>0</v>
      </c>
      <c r="H30">
        <v>1</v>
      </c>
      <c r="I30" s="3">
        <v>4091.8</v>
      </c>
      <c r="J30" s="3">
        <v>0</v>
      </c>
      <c r="K30" t="s">
        <v>121</v>
      </c>
      <c r="L30">
        <v>345</v>
      </c>
      <c r="M30" t="s">
        <v>122</v>
      </c>
      <c r="N30" t="s">
        <v>24</v>
      </c>
      <c r="O30" t="s">
        <v>25</v>
      </c>
      <c r="P30" t="str">
        <f>"43201"</f>
        <v>43201</v>
      </c>
    </row>
    <row r="31" spans="1:16" x14ac:dyDescent="0.25">
      <c r="A31" t="str">
        <f>"1010001M00005000400"</f>
        <v>1010001M00005000400</v>
      </c>
      <c r="B31" t="s">
        <v>119</v>
      </c>
      <c r="C31" t="s">
        <v>125</v>
      </c>
      <c r="E31" t="s">
        <v>21</v>
      </c>
      <c r="F31">
        <v>0</v>
      </c>
      <c r="G31">
        <v>0</v>
      </c>
      <c r="H31">
        <v>1</v>
      </c>
      <c r="I31" s="3">
        <v>2324.6999999999998</v>
      </c>
      <c r="J31" s="3">
        <v>0</v>
      </c>
      <c r="K31" t="s">
        <v>121</v>
      </c>
      <c r="L31">
        <v>345</v>
      </c>
      <c r="M31" t="s">
        <v>122</v>
      </c>
      <c r="N31" t="s">
        <v>24</v>
      </c>
      <c r="O31" t="s">
        <v>25</v>
      </c>
      <c r="P31" t="str">
        <f>"43201"</f>
        <v>43201</v>
      </c>
    </row>
    <row r="32" spans="1:16" x14ac:dyDescent="0.25">
      <c r="A32" t="str">
        <f>"1010001M00007    00"</f>
        <v>1010001M00007    00</v>
      </c>
      <c r="B32" t="s">
        <v>126</v>
      </c>
      <c r="C32" t="s">
        <v>127</v>
      </c>
      <c r="E32" t="s">
        <v>21</v>
      </c>
      <c r="F32">
        <v>0</v>
      </c>
      <c r="G32">
        <v>0</v>
      </c>
      <c r="H32">
        <v>3</v>
      </c>
      <c r="I32" s="3">
        <v>24611.84</v>
      </c>
      <c r="J32" s="3">
        <v>322.72000000000003</v>
      </c>
      <c r="K32" t="s">
        <v>128</v>
      </c>
      <c r="L32">
        <v>4249</v>
      </c>
      <c r="M32" t="s">
        <v>129</v>
      </c>
      <c r="N32" t="s">
        <v>24</v>
      </c>
      <c r="O32" t="s">
        <v>25</v>
      </c>
      <c r="P32" t="str">
        <f>"43219"</f>
        <v>43219</v>
      </c>
    </row>
    <row r="33" spans="1:16" x14ac:dyDescent="0.25">
      <c r="A33" t="str">
        <f>"1010001M00010    00"</f>
        <v>1010001M00010    00</v>
      </c>
      <c r="B33" t="s">
        <v>130</v>
      </c>
      <c r="C33" t="s">
        <v>131</v>
      </c>
      <c r="D33" t="s">
        <v>20</v>
      </c>
      <c r="E33" t="s">
        <v>21</v>
      </c>
      <c r="F33">
        <v>0</v>
      </c>
      <c r="G33">
        <v>0</v>
      </c>
      <c r="H33">
        <v>3</v>
      </c>
      <c r="I33" s="3">
        <v>117406.66</v>
      </c>
      <c r="J33" s="3">
        <v>8730.89</v>
      </c>
      <c r="K33" t="s">
        <v>132</v>
      </c>
      <c r="L33">
        <v>315</v>
      </c>
      <c r="M33" t="s">
        <v>133</v>
      </c>
      <c r="N33" t="s">
        <v>134</v>
      </c>
      <c r="O33" t="s">
        <v>31</v>
      </c>
      <c r="P33" t="str">
        <f>"15037"</f>
        <v>15037</v>
      </c>
    </row>
    <row r="34" spans="1:16" x14ac:dyDescent="0.25">
      <c r="A34" t="str">
        <f>"1010001M00038    00"</f>
        <v>1010001M00038    00</v>
      </c>
      <c r="B34" t="s">
        <v>135</v>
      </c>
      <c r="C34" t="s">
        <v>136</v>
      </c>
      <c r="D34" t="s">
        <v>57</v>
      </c>
      <c r="E34" t="s">
        <v>21</v>
      </c>
      <c r="F34">
        <v>0</v>
      </c>
      <c r="G34">
        <v>0</v>
      </c>
      <c r="H34">
        <v>1</v>
      </c>
      <c r="I34" s="3">
        <v>1822.14</v>
      </c>
      <c r="J34" s="3">
        <v>121.47</v>
      </c>
      <c r="K34" t="s">
        <v>137</v>
      </c>
      <c r="L34">
        <v>105</v>
      </c>
      <c r="M34" t="s">
        <v>138</v>
      </c>
      <c r="N34" t="s">
        <v>139</v>
      </c>
      <c r="O34" t="s">
        <v>31</v>
      </c>
      <c r="P34" t="str">
        <f>"15090"</f>
        <v>15090</v>
      </c>
    </row>
    <row r="35" spans="1:16" x14ac:dyDescent="0.25">
      <c r="A35" t="str">
        <f>"1010001M00041    00"</f>
        <v>1010001M00041    00</v>
      </c>
      <c r="B35" t="s">
        <v>135</v>
      </c>
      <c r="C35" t="s">
        <v>140</v>
      </c>
      <c r="D35" t="s">
        <v>57</v>
      </c>
      <c r="E35" t="s">
        <v>21</v>
      </c>
      <c r="F35">
        <v>0</v>
      </c>
      <c r="G35">
        <v>0</v>
      </c>
      <c r="H35">
        <v>2</v>
      </c>
      <c r="I35" s="3">
        <v>11611.35</v>
      </c>
      <c r="J35" s="3">
        <v>488.29</v>
      </c>
      <c r="K35" t="s">
        <v>137</v>
      </c>
      <c r="L35">
        <v>105</v>
      </c>
      <c r="M35" t="s">
        <v>138</v>
      </c>
      <c r="N35" t="s">
        <v>139</v>
      </c>
      <c r="O35" t="s">
        <v>31</v>
      </c>
      <c r="P35" t="str">
        <f>"15090"</f>
        <v>15090</v>
      </c>
    </row>
    <row r="36" spans="1:16" x14ac:dyDescent="0.25">
      <c r="A36" t="str">
        <f>"1010001M00052    00"</f>
        <v>1010001M00052    00</v>
      </c>
      <c r="B36" t="s">
        <v>141</v>
      </c>
      <c r="C36" t="s">
        <v>142</v>
      </c>
      <c r="D36" t="s">
        <v>20</v>
      </c>
      <c r="E36" t="s">
        <v>21</v>
      </c>
      <c r="F36">
        <v>0</v>
      </c>
      <c r="G36">
        <v>0</v>
      </c>
      <c r="H36">
        <v>4</v>
      </c>
      <c r="I36" s="3">
        <v>59199.14</v>
      </c>
      <c r="J36" s="3">
        <v>4613.83</v>
      </c>
      <c r="K36" t="s">
        <v>143</v>
      </c>
      <c r="L36">
        <v>1315</v>
      </c>
      <c r="M36" t="s">
        <v>144</v>
      </c>
      <c r="N36" t="s">
        <v>30</v>
      </c>
      <c r="O36" t="s">
        <v>31</v>
      </c>
      <c r="P36" t="str">
        <f>"15212"</f>
        <v>15212</v>
      </c>
    </row>
    <row r="37" spans="1:16" x14ac:dyDescent="0.25">
      <c r="A37" t="str">
        <f>"1010001M00054    00"</f>
        <v>1010001M00054    00</v>
      </c>
      <c r="B37" t="s">
        <v>135</v>
      </c>
      <c r="C37" t="s">
        <v>145</v>
      </c>
      <c r="D37" t="s">
        <v>57</v>
      </c>
      <c r="E37" t="s">
        <v>21</v>
      </c>
      <c r="F37">
        <v>0</v>
      </c>
      <c r="G37">
        <v>0</v>
      </c>
      <c r="H37">
        <v>1</v>
      </c>
      <c r="I37" s="3">
        <v>2296.7399999999998</v>
      </c>
      <c r="J37" s="3">
        <v>229.66</v>
      </c>
      <c r="K37" t="s">
        <v>137</v>
      </c>
      <c r="L37">
        <v>105</v>
      </c>
      <c r="M37" t="s">
        <v>138</v>
      </c>
      <c r="N37" t="s">
        <v>139</v>
      </c>
      <c r="O37" t="s">
        <v>31</v>
      </c>
      <c r="P37" t="str">
        <f>"15090"</f>
        <v>15090</v>
      </c>
    </row>
    <row r="38" spans="1:16" x14ac:dyDescent="0.25">
      <c r="A38" t="str">
        <f>"1010001M00055000100"</f>
        <v>1010001M00055000100</v>
      </c>
      <c r="B38" t="s">
        <v>135</v>
      </c>
      <c r="C38" t="s">
        <v>145</v>
      </c>
      <c r="D38" t="s">
        <v>57</v>
      </c>
      <c r="E38" t="s">
        <v>21</v>
      </c>
      <c r="F38">
        <v>0</v>
      </c>
      <c r="G38">
        <v>0</v>
      </c>
      <c r="H38">
        <v>1</v>
      </c>
      <c r="I38" s="3">
        <v>928.31</v>
      </c>
      <c r="J38" s="3">
        <v>92.82</v>
      </c>
      <c r="K38" t="s">
        <v>137</v>
      </c>
      <c r="L38">
        <v>105</v>
      </c>
      <c r="M38" t="s">
        <v>138</v>
      </c>
      <c r="N38" t="s">
        <v>139</v>
      </c>
      <c r="O38" t="s">
        <v>31</v>
      </c>
      <c r="P38" t="str">
        <f>"15090"</f>
        <v>15090</v>
      </c>
    </row>
    <row r="39" spans="1:16" x14ac:dyDescent="0.25">
      <c r="A39" t="str">
        <f>"1010001M00122    00"</f>
        <v>1010001M00122    00</v>
      </c>
      <c r="B39" t="s">
        <v>146</v>
      </c>
      <c r="C39" t="s">
        <v>147</v>
      </c>
      <c r="E39" t="s">
        <v>21</v>
      </c>
      <c r="F39">
        <v>0</v>
      </c>
      <c r="G39">
        <v>0</v>
      </c>
      <c r="H39">
        <v>1</v>
      </c>
      <c r="I39" s="3">
        <v>832.38</v>
      </c>
      <c r="J39" s="3">
        <v>173.4</v>
      </c>
      <c r="L39">
        <v>540</v>
      </c>
      <c r="M39" t="s">
        <v>148</v>
      </c>
      <c r="N39" t="s">
        <v>149</v>
      </c>
      <c r="O39" t="s">
        <v>31</v>
      </c>
      <c r="P39" t="str">
        <f>"15106"</f>
        <v>15106</v>
      </c>
    </row>
    <row r="40" spans="1:16" x14ac:dyDescent="0.25">
      <c r="A40" t="str">
        <f>"1010001M00176    00"</f>
        <v>1010001M00176    00</v>
      </c>
      <c r="B40" t="s">
        <v>150</v>
      </c>
      <c r="C40" t="s">
        <v>151</v>
      </c>
      <c r="D40" t="s">
        <v>20</v>
      </c>
      <c r="E40" t="s">
        <v>21</v>
      </c>
      <c r="F40">
        <v>0</v>
      </c>
      <c r="G40">
        <v>0</v>
      </c>
      <c r="H40">
        <v>2</v>
      </c>
      <c r="I40" s="3">
        <v>48091.839999999997</v>
      </c>
      <c r="J40" s="3">
        <v>0</v>
      </c>
      <c r="K40" t="s">
        <v>152</v>
      </c>
      <c r="L40">
        <v>213</v>
      </c>
      <c r="M40" t="s">
        <v>153</v>
      </c>
      <c r="N40" t="s">
        <v>30</v>
      </c>
      <c r="O40" t="s">
        <v>31</v>
      </c>
      <c r="P40" t="str">
        <f>"15222"</f>
        <v>15222</v>
      </c>
    </row>
    <row r="41" spans="1:16" x14ac:dyDescent="0.25">
      <c r="A41" t="str">
        <f>"1010002F00304000300"</f>
        <v>1010002F00304000300</v>
      </c>
      <c r="B41" t="s">
        <v>154</v>
      </c>
      <c r="C41" t="s">
        <v>155</v>
      </c>
      <c r="D41" t="s">
        <v>20</v>
      </c>
      <c r="E41" t="s">
        <v>21</v>
      </c>
      <c r="F41">
        <v>0</v>
      </c>
      <c r="G41">
        <v>0</v>
      </c>
      <c r="H41">
        <v>1</v>
      </c>
      <c r="I41" s="3">
        <v>6312.67</v>
      </c>
      <c r="J41" s="3">
        <v>0</v>
      </c>
      <c r="K41" t="s">
        <v>156</v>
      </c>
      <c r="L41">
        <v>1422</v>
      </c>
      <c r="M41" t="s">
        <v>157</v>
      </c>
      <c r="N41" t="s">
        <v>158</v>
      </c>
      <c r="O41" t="s">
        <v>31</v>
      </c>
      <c r="P41" t="str">
        <f>"18974"</f>
        <v>18974</v>
      </c>
    </row>
    <row r="42" spans="1:16" x14ac:dyDescent="0.25">
      <c r="A42" t="str">
        <f>"1010002G00006    00"</f>
        <v>1010002G00006    00</v>
      </c>
      <c r="B42" t="s">
        <v>159</v>
      </c>
      <c r="C42" t="s">
        <v>160</v>
      </c>
      <c r="D42" t="s">
        <v>57</v>
      </c>
      <c r="E42" t="s">
        <v>21</v>
      </c>
      <c r="F42">
        <v>0</v>
      </c>
      <c r="G42">
        <v>0</v>
      </c>
      <c r="H42">
        <v>2</v>
      </c>
      <c r="I42" s="3">
        <v>113.56</v>
      </c>
      <c r="J42" s="3">
        <v>0</v>
      </c>
      <c r="K42" t="s">
        <v>161</v>
      </c>
      <c r="L42">
        <v>1000</v>
      </c>
      <c r="M42" t="s">
        <v>162</v>
      </c>
      <c r="N42" t="s">
        <v>163</v>
      </c>
      <c r="O42" t="s">
        <v>31</v>
      </c>
      <c r="P42" t="str">
        <f>"19406"</f>
        <v>19406</v>
      </c>
    </row>
    <row r="43" spans="1:16" x14ac:dyDescent="0.25">
      <c r="A43" t="str">
        <f>"1010002G00022    00"</f>
        <v>1010002G00022    00</v>
      </c>
      <c r="B43" t="s">
        <v>164</v>
      </c>
      <c r="C43" t="s">
        <v>165</v>
      </c>
      <c r="D43" t="s">
        <v>20</v>
      </c>
      <c r="E43" t="s">
        <v>21</v>
      </c>
      <c r="F43">
        <v>0</v>
      </c>
      <c r="G43">
        <v>0</v>
      </c>
      <c r="H43">
        <v>3</v>
      </c>
      <c r="I43" s="3">
        <v>1509.54</v>
      </c>
      <c r="J43" s="3">
        <v>0</v>
      </c>
      <c r="L43">
        <v>1900</v>
      </c>
      <c r="M43" t="s">
        <v>166</v>
      </c>
      <c r="N43" t="s">
        <v>30</v>
      </c>
      <c r="O43" t="s">
        <v>31</v>
      </c>
      <c r="P43" t="str">
        <f>"15217"</f>
        <v>15217</v>
      </c>
    </row>
    <row r="44" spans="1:16" x14ac:dyDescent="0.25">
      <c r="A44" t="str">
        <f>"1010002G00023    00"</f>
        <v>1010002G00023    00</v>
      </c>
      <c r="B44" t="s">
        <v>164</v>
      </c>
      <c r="C44" t="s">
        <v>167</v>
      </c>
      <c r="D44" t="s">
        <v>20</v>
      </c>
      <c r="E44" t="s">
        <v>21</v>
      </c>
      <c r="F44">
        <v>0</v>
      </c>
      <c r="G44">
        <v>0</v>
      </c>
      <c r="H44">
        <v>3</v>
      </c>
      <c r="I44" s="3">
        <v>1097.8499999999999</v>
      </c>
      <c r="J44" s="3">
        <v>0</v>
      </c>
      <c r="L44">
        <v>1900</v>
      </c>
      <c r="M44" t="s">
        <v>166</v>
      </c>
      <c r="N44" t="s">
        <v>30</v>
      </c>
      <c r="O44" t="s">
        <v>31</v>
      </c>
      <c r="P44" t="str">
        <f>"15217"</f>
        <v>15217</v>
      </c>
    </row>
    <row r="45" spans="1:16" x14ac:dyDescent="0.25">
      <c r="A45" t="str">
        <f>"1010002G00025    00"</f>
        <v>1010002G00025    00</v>
      </c>
      <c r="B45" t="s">
        <v>168</v>
      </c>
      <c r="C45" t="s">
        <v>169</v>
      </c>
      <c r="D45" t="s">
        <v>20</v>
      </c>
      <c r="E45" t="s">
        <v>21</v>
      </c>
      <c r="F45">
        <v>0</v>
      </c>
      <c r="G45">
        <v>0</v>
      </c>
      <c r="H45">
        <v>1</v>
      </c>
      <c r="I45" s="3">
        <v>1915.54</v>
      </c>
      <c r="J45" s="3">
        <v>0</v>
      </c>
      <c r="L45">
        <v>111</v>
      </c>
      <c r="M45" t="s">
        <v>170</v>
      </c>
      <c r="N45" t="s">
        <v>171</v>
      </c>
      <c r="O45" t="s">
        <v>31</v>
      </c>
      <c r="P45" t="str">
        <f>"15057"</f>
        <v>15057</v>
      </c>
    </row>
    <row r="46" spans="1:16" x14ac:dyDescent="0.25">
      <c r="A46" t="str">
        <f>"1010002G00051    00"</f>
        <v>1010002G00051    00</v>
      </c>
      <c r="B46" t="s">
        <v>172</v>
      </c>
      <c r="C46" t="s">
        <v>173</v>
      </c>
      <c r="E46" t="s">
        <v>21</v>
      </c>
      <c r="F46">
        <v>0</v>
      </c>
      <c r="G46">
        <v>0</v>
      </c>
      <c r="H46">
        <v>1</v>
      </c>
      <c r="I46" s="3">
        <v>5083.3100000000004</v>
      </c>
      <c r="J46" s="3">
        <v>0</v>
      </c>
      <c r="L46">
        <v>1344</v>
      </c>
      <c r="M46" t="s">
        <v>174</v>
      </c>
      <c r="N46" t="s">
        <v>30</v>
      </c>
      <c r="O46" t="s">
        <v>31</v>
      </c>
      <c r="P46" t="str">
        <f>"15219"</f>
        <v>15219</v>
      </c>
    </row>
    <row r="47" spans="1:16" x14ac:dyDescent="0.25">
      <c r="A47" t="str">
        <f>"1010002H00033    00"</f>
        <v>1010002H00033    00</v>
      </c>
      <c r="B47" t="s">
        <v>175</v>
      </c>
      <c r="C47" t="s">
        <v>176</v>
      </c>
      <c r="E47" t="s">
        <v>21</v>
      </c>
      <c r="F47">
        <v>0</v>
      </c>
      <c r="G47">
        <v>0</v>
      </c>
      <c r="H47">
        <v>1</v>
      </c>
      <c r="I47" s="3">
        <v>4283.3999999999996</v>
      </c>
      <c r="J47" s="3">
        <v>2105.92</v>
      </c>
      <c r="K47" t="s">
        <v>177</v>
      </c>
      <c r="L47">
        <v>10040</v>
      </c>
      <c r="M47" t="s">
        <v>178</v>
      </c>
      <c r="N47" t="s">
        <v>179</v>
      </c>
      <c r="O47" t="s">
        <v>180</v>
      </c>
      <c r="P47" t="str">
        <f>"80111"</f>
        <v>80111</v>
      </c>
    </row>
    <row r="48" spans="1:16" x14ac:dyDescent="0.25">
      <c r="A48" t="str">
        <f>"1010002H00035    00"</f>
        <v>1010002H00035    00</v>
      </c>
      <c r="B48" t="s">
        <v>175</v>
      </c>
      <c r="C48" t="s">
        <v>181</v>
      </c>
      <c r="E48" t="s">
        <v>21</v>
      </c>
      <c r="F48">
        <v>0</v>
      </c>
      <c r="G48">
        <v>0</v>
      </c>
      <c r="H48">
        <v>1</v>
      </c>
      <c r="I48" s="3">
        <v>2855</v>
      </c>
      <c r="J48" s="3">
        <v>1403.66</v>
      </c>
      <c r="K48" t="s">
        <v>177</v>
      </c>
      <c r="L48">
        <v>10040</v>
      </c>
      <c r="M48" t="s">
        <v>178</v>
      </c>
      <c r="N48" t="s">
        <v>179</v>
      </c>
      <c r="O48" t="s">
        <v>180</v>
      </c>
      <c r="P48" t="str">
        <f>"80111"</f>
        <v>80111</v>
      </c>
    </row>
    <row r="49" spans="1:16" x14ac:dyDescent="0.25">
      <c r="A49" t="str">
        <f>"1010002H00035A   00"</f>
        <v>1010002H00035A   00</v>
      </c>
      <c r="B49" t="s">
        <v>182</v>
      </c>
      <c r="C49" t="s">
        <v>183</v>
      </c>
      <c r="D49" t="s">
        <v>20</v>
      </c>
      <c r="E49" t="s">
        <v>21</v>
      </c>
      <c r="F49">
        <v>0</v>
      </c>
      <c r="G49">
        <v>0</v>
      </c>
      <c r="H49">
        <v>4</v>
      </c>
      <c r="I49" s="3">
        <v>6779.77</v>
      </c>
      <c r="J49" s="3">
        <v>1146.17</v>
      </c>
      <c r="L49">
        <v>410</v>
      </c>
      <c r="M49" t="s">
        <v>184</v>
      </c>
      <c r="N49" t="s">
        <v>30</v>
      </c>
      <c r="O49" t="s">
        <v>31</v>
      </c>
      <c r="P49" t="str">
        <f>"15243"</f>
        <v>15243</v>
      </c>
    </row>
    <row r="50" spans="1:16" x14ac:dyDescent="0.25">
      <c r="A50" t="str">
        <f>"1010002J00056    00"</f>
        <v>1010002J00056    00</v>
      </c>
      <c r="B50" t="s">
        <v>185</v>
      </c>
      <c r="C50" t="s">
        <v>186</v>
      </c>
      <c r="D50" t="s">
        <v>20</v>
      </c>
      <c r="E50" t="s">
        <v>21</v>
      </c>
      <c r="F50">
        <v>0</v>
      </c>
      <c r="G50">
        <v>0</v>
      </c>
      <c r="H50">
        <v>1</v>
      </c>
      <c r="I50" s="3">
        <v>263.02999999999997</v>
      </c>
      <c r="J50" s="3">
        <v>0</v>
      </c>
      <c r="K50" t="s">
        <v>187</v>
      </c>
      <c r="M50" t="s">
        <v>188</v>
      </c>
      <c r="N50" t="s">
        <v>30</v>
      </c>
      <c r="O50" t="s">
        <v>31</v>
      </c>
      <c r="P50" t="str">
        <f>"15213"</f>
        <v>15213</v>
      </c>
    </row>
    <row r="51" spans="1:16" x14ac:dyDescent="0.25">
      <c r="A51" t="str">
        <f>"1010002J00113    00"</f>
        <v>1010002J00113    00</v>
      </c>
      <c r="B51" t="s">
        <v>189</v>
      </c>
      <c r="C51" t="s">
        <v>190</v>
      </c>
      <c r="E51" t="s">
        <v>21</v>
      </c>
      <c r="F51">
        <v>0</v>
      </c>
      <c r="G51">
        <v>0</v>
      </c>
      <c r="H51">
        <v>1</v>
      </c>
      <c r="I51" s="3">
        <v>26518.19</v>
      </c>
      <c r="J51" s="3">
        <v>883.9</v>
      </c>
      <c r="K51" t="s">
        <v>191</v>
      </c>
      <c r="L51">
        <v>453</v>
      </c>
      <c r="M51" t="s">
        <v>36</v>
      </c>
      <c r="N51" t="s">
        <v>30</v>
      </c>
      <c r="O51" t="s">
        <v>31</v>
      </c>
      <c r="P51" t="str">
        <f>"15219"</f>
        <v>15219</v>
      </c>
    </row>
    <row r="52" spans="1:16" x14ac:dyDescent="0.25">
      <c r="A52" t="str">
        <f>"1010002J00177    00"</f>
        <v>1010002J00177    00</v>
      </c>
      <c r="B52" t="s">
        <v>192</v>
      </c>
      <c r="C52" t="s">
        <v>193</v>
      </c>
      <c r="D52" t="s">
        <v>20</v>
      </c>
      <c r="E52" t="s">
        <v>21</v>
      </c>
      <c r="F52">
        <v>0</v>
      </c>
      <c r="G52">
        <v>0</v>
      </c>
      <c r="H52">
        <v>2</v>
      </c>
      <c r="I52" s="3">
        <v>18991.38</v>
      </c>
      <c r="J52" s="3">
        <v>0</v>
      </c>
      <c r="L52">
        <v>1852</v>
      </c>
      <c r="M52" t="s">
        <v>194</v>
      </c>
      <c r="N52" t="s">
        <v>195</v>
      </c>
      <c r="O52" t="s">
        <v>31</v>
      </c>
      <c r="P52" t="str">
        <f>"15101"</f>
        <v>15101</v>
      </c>
    </row>
    <row r="53" spans="1:16" x14ac:dyDescent="0.25">
      <c r="A53" t="str">
        <f>"1010002J00261    00"</f>
        <v>1010002J00261    00</v>
      </c>
      <c r="B53" t="s">
        <v>196</v>
      </c>
      <c r="C53" t="s">
        <v>197</v>
      </c>
      <c r="D53" t="s">
        <v>20</v>
      </c>
      <c r="E53" t="s">
        <v>21</v>
      </c>
      <c r="F53">
        <v>0</v>
      </c>
      <c r="G53">
        <v>0</v>
      </c>
      <c r="H53">
        <v>2</v>
      </c>
      <c r="I53" s="3">
        <v>933.96</v>
      </c>
      <c r="J53" s="3">
        <v>0</v>
      </c>
      <c r="L53">
        <v>11</v>
      </c>
      <c r="M53" t="s">
        <v>198</v>
      </c>
      <c r="N53" t="s">
        <v>199</v>
      </c>
      <c r="O53" t="s">
        <v>200</v>
      </c>
      <c r="P53" t="str">
        <f>"10017"</f>
        <v>10017</v>
      </c>
    </row>
    <row r="54" spans="1:16" x14ac:dyDescent="0.25">
      <c r="A54" t="str">
        <f>"1010002J00279    00"</f>
        <v>1010002J00279    00</v>
      </c>
      <c r="B54" t="s">
        <v>201</v>
      </c>
      <c r="C54" t="s">
        <v>202</v>
      </c>
      <c r="D54" t="s">
        <v>20</v>
      </c>
      <c r="E54" t="s">
        <v>21</v>
      </c>
      <c r="F54">
        <v>0</v>
      </c>
      <c r="G54">
        <v>0</v>
      </c>
      <c r="H54">
        <v>1</v>
      </c>
      <c r="I54" s="3">
        <v>921.25</v>
      </c>
      <c r="J54" s="3">
        <v>0</v>
      </c>
      <c r="K54" t="s">
        <v>203</v>
      </c>
      <c r="L54">
        <v>445</v>
      </c>
      <c r="M54" t="s">
        <v>204</v>
      </c>
      <c r="N54" t="s">
        <v>30</v>
      </c>
      <c r="O54" t="s">
        <v>31</v>
      </c>
      <c r="P54" t="str">
        <f>"15219"</f>
        <v>15219</v>
      </c>
    </row>
    <row r="55" spans="1:16" x14ac:dyDescent="0.25">
      <c r="A55" t="str">
        <f>"1010002L00025    00"</f>
        <v>1010002L00025    00</v>
      </c>
      <c r="B55" t="s">
        <v>205</v>
      </c>
      <c r="C55" t="s">
        <v>206</v>
      </c>
      <c r="E55" t="s">
        <v>207</v>
      </c>
      <c r="F55">
        <v>0</v>
      </c>
      <c r="G55">
        <v>0</v>
      </c>
      <c r="H55">
        <v>1</v>
      </c>
      <c r="I55" s="3">
        <v>489278.01</v>
      </c>
      <c r="J55" s="3">
        <v>0</v>
      </c>
      <c r="L55">
        <v>600</v>
      </c>
      <c r="M55" t="s">
        <v>208</v>
      </c>
      <c r="N55" t="s">
        <v>30</v>
      </c>
      <c r="O55" t="s">
        <v>31</v>
      </c>
      <c r="P55" t="str">
        <f>"15282"</f>
        <v>15282</v>
      </c>
    </row>
    <row r="56" spans="1:16" x14ac:dyDescent="0.25">
      <c r="A56" t="str">
        <f>"1010002M00196    00"</f>
        <v>1010002M00196    00</v>
      </c>
      <c r="B56" t="s">
        <v>209</v>
      </c>
      <c r="C56" t="s">
        <v>210</v>
      </c>
      <c r="D56" t="s">
        <v>20</v>
      </c>
      <c r="E56" t="s">
        <v>39</v>
      </c>
      <c r="F56">
        <v>0</v>
      </c>
      <c r="G56">
        <v>0</v>
      </c>
      <c r="H56">
        <v>3</v>
      </c>
      <c r="I56" s="3">
        <v>436.84</v>
      </c>
      <c r="J56" s="3">
        <v>70.34</v>
      </c>
      <c r="L56">
        <v>9621</v>
      </c>
      <c r="M56" t="s">
        <v>211</v>
      </c>
      <c r="N56" t="s">
        <v>212</v>
      </c>
      <c r="O56" t="s">
        <v>25</v>
      </c>
      <c r="P56" t="str">
        <f>"44105"</f>
        <v>44105</v>
      </c>
    </row>
    <row r="57" spans="1:16" x14ac:dyDescent="0.25">
      <c r="A57" t="str">
        <f>"1010002M00197    00"</f>
        <v>1010002M00197    00</v>
      </c>
      <c r="B57" t="s">
        <v>209</v>
      </c>
      <c r="C57" t="s">
        <v>213</v>
      </c>
      <c r="D57" t="s">
        <v>20</v>
      </c>
      <c r="E57" t="s">
        <v>39</v>
      </c>
      <c r="F57">
        <v>0</v>
      </c>
      <c r="G57">
        <v>0</v>
      </c>
      <c r="H57">
        <v>3</v>
      </c>
      <c r="I57" s="3">
        <v>1097.82</v>
      </c>
      <c r="J57" s="3">
        <v>173.14</v>
      </c>
      <c r="L57">
        <v>9621</v>
      </c>
      <c r="M57" t="s">
        <v>211</v>
      </c>
      <c r="N57" t="s">
        <v>212</v>
      </c>
      <c r="O57" t="s">
        <v>25</v>
      </c>
      <c r="P57" t="str">
        <f>"44105"</f>
        <v>44105</v>
      </c>
    </row>
    <row r="58" spans="1:16" x14ac:dyDescent="0.25">
      <c r="A58" t="str">
        <f>"1010002M00215B   00"</f>
        <v>1010002M00215B   00</v>
      </c>
      <c r="B58" t="s">
        <v>214</v>
      </c>
      <c r="C58" t="s">
        <v>215</v>
      </c>
      <c r="D58" t="s">
        <v>20</v>
      </c>
      <c r="E58" t="s">
        <v>21</v>
      </c>
      <c r="F58">
        <v>0</v>
      </c>
      <c r="G58">
        <v>0</v>
      </c>
      <c r="H58">
        <v>1</v>
      </c>
      <c r="I58" s="3">
        <v>781.8</v>
      </c>
      <c r="J58" s="3">
        <v>0</v>
      </c>
      <c r="K58" t="s">
        <v>216</v>
      </c>
      <c r="L58">
        <v>1401</v>
      </c>
      <c r="M58" t="s">
        <v>217</v>
      </c>
      <c r="N58" t="s">
        <v>30</v>
      </c>
      <c r="O58" t="s">
        <v>31</v>
      </c>
      <c r="P58" t="str">
        <f>"15219"</f>
        <v>15219</v>
      </c>
    </row>
    <row r="59" spans="1:16" x14ac:dyDescent="0.25">
      <c r="A59" t="str">
        <f>"1010002P00109    00"</f>
        <v>1010002P00109    00</v>
      </c>
      <c r="B59" t="s">
        <v>218</v>
      </c>
      <c r="C59" t="s">
        <v>219</v>
      </c>
      <c r="E59" t="s">
        <v>207</v>
      </c>
      <c r="F59">
        <v>0</v>
      </c>
      <c r="G59">
        <v>0</v>
      </c>
      <c r="H59">
        <v>1</v>
      </c>
      <c r="I59" s="3">
        <v>266.83999999999997</v>
      </c>
      <c r="J59" s="3">
        <v>53.37</v>
      </c>
      <c r="K59" t="s">
        <v>220</v>
      </c>
      <c r="L59">
        <v>412</v>
      </c>
      <c r="M59" t="s">
        <v>221</v>
      </c>
      <c r="N59" t="s">
        <v>30</v>
      </c>
      <c r="O59" t="s">
        <v>31</v>
      </c>
      <c r="P59" t="str">
        <f>"15219"</f>
        <v>15219</v>
      </c>
    </row>
    <row r="60" spans="1:16" x14ac:dyDescent="0.25">
      <c r="A60" t="str">
        <f>"1010002P00110    00"</f>
        <v>1010002P00110    00</v>
      </c>
      <c r="B60" t="s">
        <v>222</v>
      </c>
      <c r="C60" t="s">
        <v>223</v>
      </c>
      <c r="E60" t="s">
        <v>21</v>
      </c>
      <c r="F60">
        <v>0</v>
      </c>
      <c r="G60">
        <v>0</v>
      </c>
      <c r="H60">
        <v>1</v>
      </c>
      <c r="I60" s="3">
        <v>1535.68</v>
      </c>
      <c r="J60" s="3">
        <v>460.69</v>
      </c>
      <c r="L60">
        <v>412</v>
      </c>
      <c r="M60" t="s">
        <v>36</v>
      </c>
      <c r="N60" t="s">
        <v>30</v>
      </c>
      <c r="O60" t="s">
        <v>31</v>
      </c>
      <c r="P60" t="str">
        <f>"15219"</f>
        <v>15219</v>
      </c>
    </row>
    <row r="61" spans="1:16" x14ac:dyDescent="0.25">
      <c r="A61" t="str">
        <f>"1010002P00120    00"</f>
        <v>1010002P00120    00</v>
      </c>
      <c r="B61" t="s">
        <v>224</v>
      </c>
      <c r="C61" t="s">
        <v>225</v>
      </c>
      <c r="E61" t="s">
        <v>66</v>
      </c>
      <c r="F61">
        <v>0</v>
      </c>
      <c r="G61">
        <v>0</v>
      </c>
      <c r="H61">
        <v>1</v>
      </c>
      <c r="I61" s="3">
        <v>2735.12</v>
      </c>
      <c r="J61" s="3">
        <v>0</v>
      </c>
      <c r="K61" t="s">
        <v>226</v>
      </c>
      <c r="L61">
        <v>611</v>
      </c>
      <c r="M61" t="s">
        <v>227</v>
      </c>
      <c r="N61" t="s">
        <v>30</v>
      </c>
      <c r="O61" t="s">
        <v>31</v>
      </c>
      <c r="P61" t="str">
        <f>"15219"</f>
        <v>15219</v>
      </c>
    </row>
    <row r="62" spans="1:16" x14ac:dyDescent="0.25">
      <c r="A62" t="str">
        <f>"1010011J00002000100"</f>
        <v>1010011J00002000100</v>
      </c>
      <c r="B62" t="s">
        <v>228</v>
      </c>
      <c r="C62" t="s">
        <v>229</v>
      </c>
      <c r="E62" t="s">
        <v>21</v>
      </c>
      <c r="F62">
        <v>0</v>
      </c>
      <c r="G62">
        <v>0</v>
      </c>
      <c r="H62">
        <v>2</v>
      </c>
      <c r="I62" s="3">
        <v>55.93</v>
      </c>
      <c r="J62" s="3">
        <v>81.900000000000006</v>
      </c>
      <c r="L62">
        <v>121</v>
      </c>
      <c r="M62" t="s">
        <v>230</v>
      </c>
      <c r="N62" t="s">
        <v>30</v>
      </c>
      <c r="O62" t="s">
        <v>31</v>
      </c>
      <c r="P62" t="str">
        <f>"15218"</f>
        <v>15218</v>
      </c>
    </row>
    <row r="63" spans="1:16" x14ac:dyDescent="0.25">
      <c r="A63" t="str">
        <f>"1010011J00035    00"</f>
        <v>1010011J00035    00</v>
      </c>
      <c r="B63" t="s">
        <v>231</v>
      </c>
      <c r="C63" t="s">
        <v>232</v>
      </c>
      <c r="D63" t="s">
        <v>20</v>
      </c>
      <c r="E63" t="s">
        <v>39</v>
      </c>
      <c r="F63">
        <v>0</v>
      </c>
      <c r="G63">
        <v>0</v>
      </c>
      <c r="H63">
        <v>9</v>
      </c>
      <c r="I63" s="3">
        <v>33.229999999999997</v>
      </c>
      <c r="J63" s="3">
        <v>10.45</v>
      </c>
      <c r="K63" t="s">
        <v>233</v>
      </c>
      <c r="P63" t="str">
        <f>""</f>
        <v/>
      </c>
    </row>
    <row r="64" spans="1:16" x14ac:dyDescent="0.25">
      <c r="A64" t="str">
        <f>"1010011J00045    00"</f>
        <v>1010011J00045    00</v>
      </c>
      <c r="B64" t="s">
        <v>234</v>
      </c>
      <c r="C64" t="s">
        <v>235</v>
      </c>
      <c r="D64" t="s">
        <v>20</v>
      </c>
      <c r="E64" t="s">
        <v>39</v>
      </c>
      <c r="F64">
        <v>0</v>
      </c>
      <c r="G64">
        <v>0</v>
      </c>
      <c r="H64">
        <v>2</v>
      </c>
      <c r="I64" s="3">
        <v>19.079999999999998</v>
      </c>
      <c r="J64" s="3">
        <v>0</v>
      </c>
      <c r="K64" t="s">
        <v>236</v>
      </c>
      <c r="L64">
        <v>121</v>
      </c>
      <c r="M64" t="s">
        <v>237</v>
      </c>
      <c r="N64" t="s">
        <v>238</v>
      </c>
      <c r="O64" t="s">
        <v>31</v>
      </c>
      <c r="P64" t="str">
        <f>"15132"</f>
        <v>15132</v>
      </c>
    </row>
    <row r="65" spans="1:16" x14ac:dyDescent="0.25">
      <c r="A65" t="str">
        <f>"1010011J00068    00"</f>
        <v>1010011J00068    00</v>
      </c>
      <c r="B65" t="s">
        <v>239</v>
      </c>
      <c r="C65" t="s">
        <v>240</v>
      </c>
      <c r="D65" t="s">
        <v>20</v>
      </c>
      <c r="E65" t="s">
        <v>21</v>
      </c>
      <c r="F65">
        <v>0</v>
      </c>
      <c r="G65">
        <v>0</v>
      </c>
      <c r="H65">
        <v>1</v>
      </c>
      <c r="I65" s="3">
        <v>53604.34</v>
      </c>
      <c r="J65" s="3">
        <v>0</v>
      </c>
      <c r="K65" t="s">
        <v>241</v>
      </c>
      <c r="L65">
        <v>5824</v>
      </c>
      <c r="M65" t="s">
        <v>242</v>
      </c>
      <c r="N65" t="s">
        <v>30</v>
      </c>
      <c r="O65" t="s">
        <v>31</v>
      </c>
      <c r="P65" t="str">
        <f>"15217"</f>
        <v>15217</v>
      </c>
    </row>
    <row r="66" spans="1:16" x14ac:dyDescent="0.25">
      <c r="A66" t="str">
        <f>"1010011J00086    00"</f>
        <v>1010011J00086    00</v>
      </c>
      <c r="B66" t="s">
        <v>243</v>
      </c>
      <c r="C66" t="s">
        <v>244</v>
      </c>
      <c r="E66" t="s">
        <v>21</v>
      </c>
      <c r="F66">
        <v>0</v>
      </c>
      <c r="G66">
        <v>0</v>
      </c>
      <c r="H66">
        <v>1</v>
      </c>
      <c r="I66" s="3">
        <v>280.44</v>
      </c>
      <c r="J66" s="3">
        <v>28.04</v>
      </c>
      <c r="K66" t="s">
        <v>245</v>
      </c>
      <c r="L66">
        <v>6311</v>
      </c>
      <c r="M66" t="s">
        <v>246</v>
      </c>
      <c r="N66" t="s">
        <v>30</v>
      </c>
      <c r="O66" t="s">
        <v>31</v>
      </c>
      <c r="P66" t="str">
        <f>"15217"</f>
        <v>15217</v>
      </c>
    </row>
    <row r="67" spans="1:16" x14ac:dyDescent="0.25">
      <c r="A67" t="str">
        <f>"1010011J00094    00"</f>
        <v>1010011J00094    00</v>
      </c>
      <c r="B67" t="s">
        <v>247</v>
      </c>
      <c r="C67" t="s">
        <v>248</v>
      </c>
      <c r="D67" t="s">
        <v>20</v>
      </c>
      <c r="E67" t="s">
        <v>39</v>
      </c>
      <c r="F67">
        <v>0</v>
      </c>
      <c r="G67">
        <v>0</v>
      </c>
      <c r="H67">
        <v>13</v>
      </c>
      <c r="I67" s="3">
        <v>4244.8900000000003</v>
      </c>
      <c r="J67" s="3">
        <v>3255.71</v>
      </c>
      <c r="L67">
        <v>1721</v>
      </c>
      <c r="M67" t="s">
        <v>249</v>
      </c>
      <c r="N67" t="s">
        <v>30</v>
      </c>
      <c r="O67" t="s">
        <v>31</v>
      </c>
      <c r="P67" t="str">
        <f>"15219"</f>
        <v>15219</v>
      </c>
    </row>
    <row r="68" spans="1:16" x14ac:dyDescent="0.25">
      <c r="A68" t="str">
        <f>"1010011J00105    00"</f>
        <v>1010011J00105    00</v>
      </c>
      <c r="B68" t="s">
        <v>250</v>
      </c>
      <c r="C68" t="s">
        <v>251</v>
      </c>
      <c r="D68" t="s">
        <v>20</v>
      </c>
      <c r="E68" t="s">
        <v>39</v>
      </c>
      <c r="F68">
        <v>0</v>
      </c>
      <c r="G68">
        <v>0</v>
      </c>
      <c r="H68">
        <v>1</v>
      </c>
      <c r="I68" s="3">
        <v>566.09</v>
      </c>
      <c r="J68" s="3">
        <v>0</v>
      </c>
      <c r="L68">
        <v>3475</v>
      </c>
      <c r="M68" t="s">
        <v>252</v>
      </c>
      <c r="N68" t="s">
        <v>79</v>
      </c>
      <c r="O68" t="s">
        <v>31</v>
      </c>
      <c r="P68" t="str">
        <f>"15668"</f>
        <v>15668</v>
      </c>
    </row>
    <row r="69" spans="1:16" x14ac:dyDescent="0.25">
      <c r="A69" t="str">
        <f>"1010011J00106    00"</f>
        <v>1010011J00106    00</v>
      </c>
      <c r="B69" t="s">
        <v>250</v>
      </c>
      <c r="C69" t="s">
        <v>253</v>
      </c>
      <c r="D69" t="s">
        <v>20</v>
      </c>
      <c r="E69" t="s">
        <v>39</v>
      </c>
      <c r="F69">
        <v>0</v>
      </c>
      <c r="G69">
        <v>0</v>
      </c>
      <c r="H69">
        <v>1</v>
      </c>
      <c r="I69" s="3">
        <v>575.63</v>
      </c>
      <c r="J69" s="3">
        <v>0</v>
      </c>
      <c r="L69">
        <v>3475</v>
      </c>
      <c r="M69" t="s">
        <v>252</v>
      </c>
      <c r="N69" t="s">
        <v>79</v>
      </c>
      <c r="O69" t="s">
        <v>31</v>
      </c>
      <c r="P69" t="str">
        <f>"15668"</f>
        <v>15668</v>
      </c>
    </row>
    <row r="70" spans="1:16" x14ac:dyDescent="0.25">
      <c r="A70" t="str">
        <f>"1010011J00165B   00"</f>
        <v>1010011J00165B   00</v>
      </c>
      <c r="B70" t="s">
        <v>254</v>
      </c>
      <c r="C70" t="s">
        <v>255</v>
      </c>
      <c r="D70" t="s">
        <v>20</v>
      </c>
      <c r="E70" t="s">
        <v>39</v>
      </c>
      <c r="F70">
        <v>0</v>
      </c>
      <c r="G70">
        <v>0</v>
      </c>
      <c r="H70">
        <v>2</v>
      </c>
      <c r="I70" s="3">
        <v>59.92</v>
      </c>
      <c r="J70" s="3">
        <v>0</v>
      </c>
      <c r="L70">
        <v>49</v>
      </c>
      <c r="M70" t="s">
        <v>256</v>
      </c>
      <c r="N70" t="s">
        <v>30</v>
      </c>
      <c r="O70" t="s">
        <v>31</v>
      </c>
      <c r="P70" t="str">
        <f>"15219"</f>
        <v>15219</v>
      </c>
    </row>
    <row r="71" spans="1:16" x14ac:dyDescent="0.25">
      <c r="A71" t="str">
        <f>"1010011J00167    00"</f>
        <v>1010011J00167    00</v>
      </c>
      <c r="B71" t="s">
        <v>257</v>
      </c>
      <c r="C71" t="s">
        <v>258</v>
      </c>
      <c r="E71" t="s">
        <v>39</v>
      </c>
      <c r="F71">
        <v>0</v>
      </c>
      <c r="G71">
        <v>0</v>
      </c>
      <c r="H71">
        <v>1</v>
      </c>
      <c r="I71" s="3">
        <v>42.97</v>
      </c>
      <c r="J71" s="3">
        <v>8.59</v>
      </c>
      <c r="L71">
        <v>898</v>
      </c>
      <c r="M71" t="s">
        <v>259</v>
      </c>
      <c r="N71" t="s">
        <v>30</v>
      </c>
      <c r="O71" t="s">
        <v>31</v>
      </c>
      <c r="P71" t="str">
        <f>"15217"</f>
        <v>15217</v>
      </c>
    </row>
    <row r="72" spans="1:16" x14ac:dyDescent="0.25">
      <c r="A72" t="str">
        <f>"1010011J00170A   00"</f>
        <v>1010011J00170A   00</v>
      </c>
      <c r="B72" t="s">
        <v>260</v>
      </c>
      <c r="C72" t="s">
        <v>261</v>
      </c>
      <c r="D72" t="s">
        <v>20</v>
      </c>
      <c r="E72" t="s">
        <v>39</v>
      </c>
      <c r="F72">
        <v>0</v>
      </c>
      <c r="G72">
        <v>0</v>
      </c>
      <c r="H72">
        <v>1</v>
      </c>
      <c r="I72" s="3">
        <v>2801.82</v>
      </c>
      <c r="J72" s="3">
        <v>0</v>
      </c>
      <c r="K72" t="s">
        <v>262</v>
      </c>
      <c r="L72">
        <v>8805</v>
      </c>
      <c r="M72" t="s">
        <v>263</v>
      </c>
      <c r="N72" t="s">
        <v>264</v>
      </c>
      <c r="O72" t="s">
        <v>25</v>
      </c>
      <c r="P72" t="str">
        <f>"45249"</f>
        <v>45249</v>
      </c>
    </row>
    <row r="73" spans="1:16" x14ac:dyDescent="0.25">
      <c r="A73" t="str">
        <f>"1010011J00170B   00"</f>
        <v>1010011J00170B   00</v>
      </c>
      <c r="B73" t="s">
        <v>260</v>
      </c>
      <c r="C73" t="s">
        <v>265</v>
      </c>
      <c r="D73" t="s">
        <v>20</v>
      </c>
      <c r="E73" t="s">
        <v>39</v>
      </c>
      <c r="F73">
        <v>0</v>
      </c>
      <c r="G73">
        <v>0</v>
      </c>
      <c r="H73">
        <v>1</v>
      </c>
      <c r="I73" s="3">
        <v>2575.02</v>
      </c>
      <c r="J73" s="3">
        <v>0</v>
      </c>
      <c r="K73" t="s">
        <v>266</v>
      </c>
      <c r="L73">
        <v>1707</v>
      </c>
      <c r="M73" t="s">
        <v>267</v>
      </c>
      <c r="N73" t="s">
        <v>30</v>
      </c>
      <c r="O73" t="s">
        <v>31</v>
      </c>
      <c r="P73" t="str">
        <f>"15219"</f>
        <v>15219</v>
      </c>
    </row>
    <row r="74" spans="1:16" x14ac:dyDescent="0.25">
      <c r="A74" t="str">
        <f>"1010011J00208    00"</f>
        <v>1010011J00208    00</v>
      </c>
      <c r="B74" t="s">
        <v>268</v>
      </c>
      <c r="C74" t="s">
        <v>269</v>
      </c>
      <c r="D74" t="s">
        <v>20</v>
      </c>
      <c r="E74" t="s">
        <v>39</v>
      </c>
      <c r="F74">
        <v>0</v>
      </c>
      <c r="G74">
        <v>0</v>
      </c>
      <c r="H74">
        <v>3</v>
      </c>
      <c r="I74" s="3">
        <v>8622.66</v>
      </c>
      <c r="J74" s="3">
        <v>353.75</v>
      </c>
      <c r="K74" t="s">
        <v>270</v>
      </c>
      <c r="M74" t="s">
        <v>271</v>
      </c>
      <c r="N74" t="s">
        <v>272</v>
      </c>
      <c r="O74" t="s">
        <v>273</v>
      </c>
      <c r="P74" t="str">
        <f>"29603"</f>
        <v>29603</v>
      </c>
    </row>
    <row r="75" spans="1:16" x14ac:dyDescent="0.25">
      <c r="A75" t="str">
        <f>"1010011J00209    00"</f>
        <v>1010011J00209    00</v>
      </c>
      <c r="B75" t="s">
        <v>274</v>
      </c>
      <c r="C75" t="s">
        <v>275</v>
      </c>
      <c r="E75" t="s">
        <v>39</v>
      </c>
      <c r="F75">
        <v>0</v>
      </c>
      <c r="G75">
        <v>0</v>
      </c>
      <c r="H75">
        <v>2</v>
      </c>
      <c r="I75" s="3">
        <v>195.58</v>
      </c>
      <c r="J75" s="3">
        <v>26.89</v>
      </c>
      <c r="L75">
        <v>1837</v>
      </c>
      <c r="M75" t="s">
        <v>267</v>
      </c>
      <c r="N75" t="s">
        <v>30</v>
      </c>
      <c r="O75" t="s">
        <v>31</v>
      </c>
      <c r="P75" t="str">
        <f>"15219"</f>
        <v>15219</v>
      </c>
    </row>
    <row r="76" spans="1:16" x14ac:dyDescent="0.25">
      <c r="A76" t="str">
        <f>"1010011J00210    00"</f>
        <v>1010011J00210    00</v>
      </c>
      <c r="B76" t="s">
        <v>276</v>
      </c>
      <c r="C76" t="s">
        <v>277</v>
      </c>
      <c r="D76" t="s">
        <v>20</v>
      </c>
      <c r="E76" t="s">
        <v>39</v>
      </c>
      <c r="F76">
        <v>0</v>
      </c>
      <c r="G76">
        <v>0</v>
      </c>
      <c r="H76">
        <v>1</v>
      </c>
      <c r="I76" s="3">
        <v>16.920000000000002</v>
      </c>
      <c r="J76" s="3">
        <v>0</v>
      </c>
      <c r="L76">
        <v>1839</v>
      </c>
      <c r="M76" t="s">
        <v>267</v>
      </c>
      <c r="N76" t="s">
        <v>30</v>
      </c>
      <c r="O76" t="s">
        <v>31</v>
      </c>
      <c r="P76" t="str">
        <f>"15219"</f>
        <v>15219</v>
      </c>
    </row>
    <row r="77" spans="1:16" x14ac:dyDescent="0.25">
      <c r="A77" t="str">
        <f>"1010011J00212    00"</f>
        <v>1010011J00212    00</v>
      </c>
      <c r="B77" t="s">
        <v>278</v>
      </c>
      <c r="C77" t="s">
        <v>279</v>
      </c>
      <c r="D77" t="s">
        <v>20</v>
      </c>
      <c r="E77" t="s">
        <v>39</v>
      </c>
      <c r="F77">
        <v>0</v>
      </c>
      <c r="G77">
        <v>0</v>
      </c>
      <c r="H77">
        <v>8</v>
      </c>
      <c r="I77" s="3">
        <v>3856.96</v>
      </c>
      <c r="J77" s="3">
        <v>1162.24</v>
      </c>
      <c r="K77" t="s">
        <v>280</v>
      </c>
      <c r="L77">
        <v>1551</v>
      </c>
      <c r="M77" t="s">
        <v>281</v>
      </c>
      <c r="N77" t="s">
        <v>134</v>
      </c>
      <c r="O77" t="s">
        <v>31</v>
      </c>
      <c r="P77" t="str">
        <f>"15037"</f>
        <v>15037</v>
      </c>
    </row>
    <row r="78" spans="1:16" x14ac:dyDescent="0.25">
      <c r="A78" t="str">
        <f>"1010011J00273    00"</f>
        <v>1010011J00273    00</v>
      </c>
      <c r="B78" t="s">
        <v>282</v>
      </c>
      <c r="C78" t="s">
        <v>283</v>
      </c>
      <c r="D78" t="s">
        <v>20</v>
      </c>
      <c r="E78" t="s">
        <v>39</v>
      </c>
      <c r="F78">
        <v>0</v>
      </c>
      <c r="G78">
        <v>0</v>
      </c>
      <c r="H78">
        <v>8</v>
      </c>
      <c r="I78" s="3">
        <v>14359.56</v>
      </c>
      <c r="J78" s="3">
        <v>4698.66</v>
      </c>
      <c r="M78" t="s">
        <v>284</v>
      </c>
      <c r="N78" t="s">
        <v>285</v>
      </c>
      <c r="O78" t="s">
        <v>31</v>
      </c>
      <c r="P78" t="str">
        <f>"15120"</f>
        <v>15120</v>
      </c>
    </row>
    <row r="79" spans="1:16" x14ac:dyDescent="0.25">
      <c r="A79" t="str">
        <f>"1010011K00008    00"</f>
        <v>1010011K00008    00</v>
      </c>
      <c r="B79" t="s">
        <v>286</v>
      </c>
      <c r="C79" t="s">
        <v>287</v>
      </c>
      <c r="D79" t="s">
        <v>20</v>
      </c>
      <c r="E79" t="s">
        <v>21</v>
      </c>
      <c r="F79">
        <v>0</v>
      </c>
      <c r="G79">
        <v>0</v>
      </c>
      <c r="H79">
        <v>1</v>
      </c>
      <c r="I79" s="3">
        <v>960.62</v>
      </c>
      <c r="J79" s="3">
        <v>0</v>
      </c>
      <c r="L79">
        <v>1940</v>
      </c>
      <c r="M79" t="s">
        <v>174</v>
      </c>
      <c r="N79" t="s">
        <v>30</v>
      </c>
      <c r="O79" t="s">
        <v>31</v>
      </c>
      <c r="P79" t="str">
        <f>"15219"</f>
        <v>15219</v>
      </c>
    </row>
    <row r="80" spans="1:16" x14ac:dyDescent="0.25">
      <c r="A80" t="str">
        <f>"1010011K00094    00"</f>
        <v>1010011K00094    00</v>
      </c>
      <c r="B80" t="s">
        <v>288</v>
      </c>
      <c r="C80" t="s">
        <v>289</v>
      </c>
      <c r="D80" t="s">
        <v>20</v>
      </c>
      <c r="E80" t="s">
        <v>290</v>
      </c>
      <c r="F80">
        <v>0</v>
      </c>
      <c r="G80">
        <v>0</v>
      </c>
      <c r="H80">
        <v>5</v>
      </c>
      <c r="I80" s="3">
        <v>3557.38</v>
      </c>
      <c r="J80" s="3">
        <v>542.96</v>
      </c>
      <c r="M80" t="s">
        <v>291</v>
      </c>
      <c r="N80" t="s">
        <v>30</v>
      </c>
      <c r="O80" t="s">
        <v>31</v>
      </c>
      <c r="P80" t="str">
        <f>"15213"</f>
        <v>15213</v>
      </c>
    </row>
    <row r="81" spans="1:16" x14ac:dyDescent="0.25">
      <c r="A81" t="str">
        <f>"1010011K00101    00"</f>
        <v>1010011K00101    00</v>
      </c>
      <c r="B81" t="s">
        <v>292</v>
      </c>
      <c r="C81" t="s">
        <v>293</v>
      </c>
      <c r="D81" t="s">
        <v>20</v>
      </c>
      <c r="E81" t="s">
        <v>39</v>
      </c>
      <c r="F81">
        <v>0</v>
      </c>
      <c r="G81">
        <v>0</v>
      </c>
      <c r="H81">
        <v>2</v>
      </c>
      <c r="I81" s="3">
        <v>820.2</v>
      </c>
      <c r="J81" s="3">
        <v>163.91</v>
      </c>
      <c r="L81">
        <v>4445</v>
      </c>
      <c r="M81" t="s">
        <v>294</v>
      </c>
      <c r="N81" t="s">
        <v>295</v>
      </c>
      <c r="O81" t="s">
        <v>31</v>
      </c>
      <c r="P81" t="str">
        <f>"15146"</f>
        <v>15146</v>
      </c>
    </row>
    <row r="82" spans="1:16" x14ac:dyDescent="0.25">
      <c r="A82" t="str">
        <f>"1010011K00119    00"</f>
        <v>1010011K00119    00</v>
      </c>
      <c r="B82" t="s">
        <v>296</v>
      </c>
      <c r="C82" t="s">
        <v>297</v>
      </c>
      <c r="D82" t="s">
        <v>20</v>
      </c>
      <c r="E82" t="s">
        <v>21</v>
      </c>
      <c r="F82">
        <v>0</v>
      </c>
      <c r="G82">
        <v>0</v>
      </c>
      <c r="H82">
        <v>1</v>
      </c>
      <c r="I82" s="3">
        <v>6392.73</v>
      </c>
      <c r="J82" s="3">
        <v>0</v>
      </c>
      <c r="K82" t="s">
        <v>298</v>
      </c>
      <c r="L82">
        <v>5637</v>
      </c>
      <c r="M82" t="s">
        <v>299</v>
      </c>
      <c r="N82" t="s">
        <v>30</v>
      </c>
      <c r="O82" t="s">
        <v>31</v>
      </c>
      <c r="P82" t="str">
        <f>"15217"</f>
        <v>15217</v>
      </c>
    </row>
    <row r="83" spans="1:16" x14ac:dyDescent="0.25">
      <c r="A83" t="str">
        <f>"1010011K00122    00"</f>
        <v>1010011K00122    00</v>
      </c>
      <c r="B83" t="s">
        <v>300</v>
      </c>
      <c r="C83" t="s">
        <v>301</v>
      </c>
      <c r="E83" t="s">
        <v>21</v>
      </c>
      <c r="F83">
        <v>0</v>
      </c>
      <c r="G83">
        <v>0</v>
      </c>
      <c r="H83">
        <v>1</v>
      </c>
      <c r="I83" s="3">
        <v>77.36</v>
      </c>
      <c r="J83" s="3">
        <v>61.24</v>
      </c>
      <c r="K83" t="s">
        <v>302</v>
      </c>
      <c r="L83">
        <v>1919</v>
      </c>
      <c r="M83" t="s">
        <v>208</v>
      </c>
      <c r="N83" t="s">
        <v>30</v>
      </c>
      <c r="O83" t="s">
        <v>31</v>
      </c>
      <c r="P83" t="str">
        <f>"15219"</f>
        <v>15219</v>
      </c>
    </row>
    <row r="84" spans="1:16" x14ac:dyDescent="0.25">
      <c r="A84" t="str">
        <f>"1010011K00139    00"</f>
        <v>1010011K00139    00</v>
      </c>
      <c r="B84" t="s">
        <v>303</v>
      </c>
      <c r="C84" t="s">
        <v>304</v>
      </c>
      <c r="D84" t="s">
        <v>20</v>
      </c>
      <c r="E84" t="s">
        <v>39</v>
      </c>
      <c r="F84">
        <v>0</v>
      </c>
      <c r="G84">
        <v>0</v>
      </c>
      <c r="H84">
        <v>1</v>
      </c>
      <c r="I84" s="3">
        <v>274.45999999999998</v>
      </c>
      <c r="J84" s="3">
        <v>0</v>
      </c>
      <c r="M84" t="s">
        <v>305</v>
      </c>
      <c r="N84" t="s">
        <v>30</v>
      </c>
      <c r="O84" t="s">
        <v>31</v>
      </c>
      <c r="P84" t="str">
        <f>"15243"</f>
        <v>15243</v>
      </c>
    </row>
    <row r="85" spans="1:16" x14ac:dyDescent="0.25">
      <c r="A85" t="str">
        <f>"1010011K00140B   00"</f>
        <v>1010011K00140B   00</v>
      </c>
      <c r="B85" t="s">
        <v>306</v>
      </c>
      <c r="C85" t="s">
        <v>307</v>
      </c>
      <c r="E85" t="s">
        <v>39</v>
      </c>
      <c r="F85">
        <v>0</v>
      </c>
      <c r="G85">
        <v>0</v>
      </c>
      <c r="H85">
        <v>7</v>
      </c>
      <c r="I85" s="3">
        <v>1154.9000000000001</v>
      </c>
      <c r="J85" s="3">
        <v>1114.69</v>
      </c>
      <c r="K85" t="s">
        <v>308</v>
      </c>
      <c r="L85">
        <v>6435</v>
      </c>
      <c r="M85" t="s">
        <v>309</v>
      </c>
      <c r="N85" t="s">
        <v>30</v>
      </c>
      <c r="O85" t="s">
        <v>31</v>
      </c>
      <c r="P85" t="str">
        <f>"15206"</f>
        <v>15206</v>
      </c>
    </row>
    <row r="86" spans="1:16" x14ac:dyDescent="0.25">
      <c r="A86" t="str">
        <f>"1010011K00145    00"</f>
        <v>1010011K00145    00</v>
      </c>
      <c r="B86" t="s">
        <v>310</v>
      </c>
      <c r="C86" t="s">
        <v>311</v>
      </c>
      <c r="D86" t="s">
        <v>20</v>
      </c>
      <c r="E86" t="s">
        <v>39</v>
      </c>
      <c r="F86">
        <v>0</v>
      </c>
      <c r="G86">
        <v>0</v>
      </c>
      <c r="H86">
        <v>2</v>
      </c>
      <c r="I86" s="3">
        <v>199.12</v>
      </c>
      <c r="J86" s="3">
        <v>0</v>
      </c>
      <c r="L86">
        <v>2012</v>
      </c>
      <c r="M86" t="s">
        <v>208</v>
      </c>
      <c r="N86" t="s">
        <v>30</v>
      </c>
      <c r="O86" t="s">
        <v>31</v>
      </c>
      <c r="P86" t="str">
        <f>"15219"</f>
        <v>15219</v>
      </c>
    </row>
    <row r="87" spans="1:16" x14ac:dyDescent="0.25">
      <c r="A87" t="str">
        <f>"1010011K00147    00"</f>
        <v>1010011K00147    00</v>
      </c>
      <c r="B87" t="s">
        <v>312</v>
      </c>
      <c r="C87" t="s">
        <v>313</v>
      </c>
      <c r="D87" t="s">
        <v>20</v>
      </c>
      <c r="E87" t="s">
        <v>39</v>
      </c>
      <c r="F87">
        <v>0</v>
      </c>
      <c r="G87">
        <v>0</v>
      </c>
      <c r="H87">
        <v>3</v>
      </c>
      <c r="I87" s="3">
        <v>332.14</v>
      </c>
      <c r="J87" s="3">
        <v>1.29</v>
      </c>
      <c r="L87">
        <v>2017</v>
      </c>
      <c r="M87" t="s">
        <v>249</v>
      </c>
      <c r="N87" t="s">
        <v>30</v>
      </c>
      <c r="O87" t="s">
        <v>31</v>
      </c>
      <c r="P87" t="str">
        <f>"15219"</f>
        <v>15219</v>
      </c>
    </row>
    <row r="88" spans="1:16" x14ac:dyDescent="0.25">
      <c r="A88" t="str">
        <f>"1010011K00148    00"</f>
        <v>1010011K00148    00</v>
      </c>
      <c r="B88" t="s">
        <v>312</v>
      </c>
      <c r="C88" t="s">
        <v>314</v>
      </c>
      <c r="D88" t="s">
        <v>20</v>
      </c>
      <c r="E88" t="s">
        <v>207</v>
      </c>
      <c r="F88">
        <v>0</v>
      </c>
      <c r="G88">
        <v>0</v>
      </c>
      <c r="H88">
        <v>2</v>
      </c>
      <c r="I88" s="3">
        <v>240.6</v>
      </c>
      <c r="J88" s="3">
        <v>1.84</v>
      </c>
      <c r="L88">
        <v>2017</v>
      </c>
      <c r="M88" t="s">
        <v>249</v>
      </c>
      <c r="N88" t="s">
        <v>30</v>
      </c>
      <c r="O88" t="s">
        <v>31</v>
      </c>
      <c r="P88" t="str">
        <f>"15219"</f>
        <v>15219</v>
      </c>
    </row>
    <row r="89" spans="1:16" x14ac:dyDescent="0.25">
      <c r="A89" t="str">
        <f>"1010011K00148A   00"</f>
        <v>1010011K00148A   00</v>
      </c>
      <c r="B89" t="s">
        <v>315</v>
      </c>
      <c r="C89" t="s">
        <v>316</v>
      </c>
      <c r="E89" t="s">
        <v>39</v>
      </c>
      <c r="F89">
        <v>0</v>
      </c>
      <c r="G89">
        <v>0</v>
      </c>
      <c r="H89">
        <v>2</v>
      </c>
      <c r="I89" s="3">
        <v>813.23</v>
      </c>
      <c r="J89" s="3">
        <v>826.76</v>
      </c>
      <c r="L89">
        <v>2015</v>
      </c>
      <c r="M89" t="s">
        <v>208</v>
      </c>
      <c r="N89" t="s">
        <v>30</v>
      </c>
      <c r="O89" t="s">
        <v>31</v>
      </c>
      <c r="P89" t="str">
        <f>"15219"</f>
        <v>15219</v>
      </c>
    </row>
    <row r="90" spans="1:16" x14ac:dyDescent="0.25">
      <c r="A90" t="str">
        <f>"1010011K00171    00"</f>
        <v>1010011K00171    00</v>
      </c>
      <c r="B90" t="s">
        <v>317</v>
      </c>
      <c r="C90" t="s">
        <v>318</v>
      </c>
      <c r="D90" t="s">
        <v>20</v>
      </c>
      <c r="E90" t="s">
        <v>39</v>
      </c>
      <c r="F90">
        <v>0</v>
      </c>
      <c r="G90">
        <v>0</v>
      </c>
      <c r="H90">
        <v>2</v>
      </c>
      <c r="I90" s="3">
        <v>1406.64</v>
      </c>
      <c r="J90" s="3">
        <v>0</v>
      </c>
      <c r="K90" t="s">
        <v>319</v>
      </c>
      <c r="L90">
        <v>2034</v>
      </c>
      <c r="M90" t="s">
        <v>320</v>
      </c>
      <c r="N90" t="s">
        <v>321</v>
      </c>
      <c r="O90" t="s">
        <v>31</v>
      </c>
      <c r="P90" t="str">
        <f>"15001"</f>
        <v>15001</v>
      </c>
    </row>
    <row r="91" spans="1:16" x14ac:dyDescent="0.25">
      <c r="A91" t="str">
        <f>"1010011K00270    00"</f>
        <v>1010011K00270    00</v>
      </c>
      <c r="B91" t="s">
        <v>322</v>
      </c>
      <c r="C91" t="s">
        <v>323</v>
      </c>
      <c r="E91" t="s">
        <v>39</v>
      </c>
      <c r="F91">
        <v>0</v>
      </c>
      <c r="G91">
        <v>0</v>
      </c>
      <c r="H91">
        <v>9</v>
      </c>
      <c r="I91" s="3">
        <v>3619.62</v>
      </c>
      <c r="J91" s="3">
        <v>4342.8999999999996</v>
      </c>
      <c r="L91">
        <v>128</v>
      </c>
      <c r="M91" t="s">
        <v>324</v>
      </c>
      <c r="N91" t="s">
        <v>30</v>
      </c>
      <c r="O91" t="s">
        <v>31</v>
      </c>
      <c r="P91" t="str">
        <f>"15235"</f>
        <v>15235</v>
      </c>
    </row>
    <row r="92" spans="1:16" x14ac:dyDescent="0.25">
      <c r="A92" t="str">
        <f>"1010011K00276    00"</f>
        <v>1010011K00276    00</v>
      </c>
      <c r="B92" t="s">
        <v>325</v>
      </c>
      <c r="C92" t="s">
        <v>326</v>
      </c>
      <c r="D92" t="s">
        <v>20</v>
      </c>
      <c r="E92" t="s">
        <v>21</v>
      </c>
      <c r="F92">
        <v>0</v>
      </c>
      <c r="G92">
        <v>0</v>
      </c>
      <c r="H92">
        <v>2</v>
      </c>
      <c r="I92" s="3">
        <v>84153.72</v>
      </c>
      <c r="J92" s="3">
        <v>0</v>
      </c>
      <c r="K92" t="s">
        <v>298</v>
      </c>
      <c r="L92">
        <v>5637</v>
      </c>
      <c r="M92" t="s">
        <v>299</v>
      </c>
      <c r="N92" t="s">
        <v>30</v>
      </c>
      <c r="O92" t="s">
        <v>31</v>
      </c>
      <c r="P92" t="str">
        <f>"15217"</f>
        <v>15217</v>
      </c>
    </row>
    <row r="93" spans="1:16" x14ac:dyDescent="0.25">
      <c r="A93" t="str">
        <f>"1010011K00281    00"</f>
        <v>1010011K00281    00</v>
      </c>
      <c r="B93" t="s">
        <v>327</v>
      </c>
      <c r="C93" t="s">
        <v>328</v>
      </c>
      <c r="D93" t="s">
        <v>20</v>
      </c>
      <c r="E93" t="s">
        <v>39</v>
      </c>
      <c r="F93">
        <v>0</v>
      </c>
      <c r="G93">
        <v>0</v>
      </c>
      <c r="H93">
        <v>2</v>
      </c>
      <c r="I93" s="3">
        <v>236.91</v>
      </c>
      <c r="J93" s="3">
        <v>0</v>
      </c>
      <c r="K93" t="s">
        <v>329</v>
      </c>
      <c r="L93">
        <v>3001</v>
      </c>
      <c r="M93" t="s">
        <v>330</v>
      </c>
      <c r="N93" t="s">
        <v>331</v>
      </c>
      <c r="O93" t="s">
        <v>108</v>
      </c>
      <c r="P93" t="str">
        <f>"75063"</f>
        <v>75063</v>
      </c>
    </row>
    <row r="94" spans="1:16" x14ac:dyDescent="0.25">
      <c r="A94" t="str">
        <f>"1020001C01661    00"</f>
        <v>1020001C01661    00</v>
      </c>
      <c r="B94" t="s">
        <v>332</v>
      </c>
      <c r="C94" t="s">
        <v>333</v>
      </c>
      <c r="D94" t="s">
        <v>20</v>
      </c>
      <c r="E94" t="s">
        <v>21</v>
      </c>
      <c r="F94">
        <v>0</v>
      </c>
      <c r="G94">
        <v>0</v>
      </c>
      <c r="H94">
        <v>6</v>
      </c>
      <c r="I94" s="3">
        <v>29072.5</v>
      </c>
      <c r="J94" s="3">
        <v>5582.15</v>
      </c>
      <c r="K94" t="s">
        <v>334</v>
      </c>
      <c r="L94">
        <v>320</v>
      </c>
      <c r="M94" t="s">
        <v>335</v>
      </c>
      <c r="N94" t="s">
        <v>30</v>
      </c>
      <c r="O94" t="s">
        <v>31</v>
      </c>
      <c r="P94" t="str">
        <f>"15222"</f>
        <v>15222</v>
      </c>
    </row>
    <row r="95" spans="1:16" x14ac:dyDescent="0.25">
      <c r="A95" t="str">
        <f>"1020001C01661A38 00"</f>
        <v>1020001C01661A38 00</v>
      </c>
      <c r="B95" t="s">
        <v>336</v>
      </c>
      <c r="C95" t="s">
        <v>337</v>
      </c>
      <c r="E95" t="s">
        <v>21</v>
      </c>
      <c r="F95">
        <v>0</v>
      </c>
      <c r="G95">
        <v>0</v>
      </c>
      <c r="H95">
        <v>12</v>
      </c>
      <c r="I95" s="3">
        <v>49975.96</v>
      </c>
      <c r="J95" s="3">
        <v>33649.19</v>
      </c>
      <c r="K95" t="s">
        <v>338</v>
      </c>
      <c r="L95">
        <v>4101</v>
      </c>
      <c r="M95" t="s">
        <v>339</v>
      </c>
      <c r="N95" t="s">
        <v>30</v>
      </c>
      <c r="O95" t="s">
        <v>31</v>
      </c>
      <c r="P95" t="str">
        <f>"15227"</f>
        <v>15227</v>
      </c>
    </row>
    <row r="96" spans="1:16" x14ac:dyDescent="0.25">
      <c r="A96" t="str">
        <f>"1020001C01661A57 00"</f>
        <v>1020001C01661A57 00</v>
      </c>
      <c r="B96" t="s">
        <v>340</v>
      </c>
      <c r="C96" t="s">
        <v>341</v>
      </c>
      <c r="D96" t="s">
        <v>20</v>
      </c>
      <c r="E96" t="s">
        <v>21</v>
      </c>
      <c r="F96">
        <v>0</v>
      </c>
      <c r="G96">
        <v>0</v>
      </c>
      <c r="H96">
        <v>1</v>
      </c>
      <c r="I96" s="3">
        <v>1658.22</v>
      </c>
      <c r="J96" s="3">
        <v>0</v>
      </c>
      <c r="L96">
        <v>320</v>
      </c>
      <c r="M96" t="s">
        <v>342</v>
      </c>
      <c r="N96" t="s">
        <v>30</v>
      </c>
      <c r="O96" t="s">
        <v>31</v>
      </c>
      <c r="P96" t="str">
        <f>"15222"</f>
        <v>15222</v>
      </c>
    </row>
    <row r="97" spans="1:16" x14ac:dyDescent="0.25">
      <c r="A97" t="str">
        <f>"1020001C01661B38 00"</f>
        <v>1020001C01661B38 00</v>
      </c>
      <c r="B97" t="s">
        <v>336</v>
      </c>
      <c r="C97" t="s">
        <v>343</v>
      </c>
      <c r="E97" t="s">
        <v>21</v>
      </c>
      <c r="F97">
        <v>0</v>
      </c>
      <c r="G97">
        <v>0</v>
      </c>
      <c r="H97">
        <v>10</v>
      </c>
      <c r="I97" s="3">
        <v>25882.52</v>
      </c>
      <c r="J97" s="3">
        <v>16498.96</v>
      </c>
      <c r="K97" t="s">
        <v>338</v>
      </c>
      <c r="L97">
        <v>4101</v>
      </c>
      <c r="M97" t="s">
        <v>339</v>
      </c>
      <c r="N97" t="s">
        <v>30</v>
      </c>
      <c r="O97" t="s">
        <v>31</v>
      </c>
      <c r="P97" t="str">
        <f>"15227"</f>
        <v>15227</v>
      </c>
    </row>
    <row r="98" spans="1:16" x14ac:dyDescent="0.25">
      <c r="A98" t="str">
        <f>"1020001C01661E31 00"</f>
        <v>1020001C01661E31 00</v>
      </c>
      <c r="B98" t="s">
        <v>336</v>
      </c>
      <c r="C98" t="s">
        <v>337</v>
      </c>
      <c r="E98" t="s">
        <v>21</v>
      </c>
      <c r="F98">
        <v>0</v>
      </c>
      <c r="G98">
        <v>0</v>
      </c>
      <c r="H98">
        <v>12</v>
      </c>
      <c r="I98" s="3">
        <v>28203.15</v>
      </c>
      <c r="J98" s="3">
        <v>19445.14</v>
      </c>
      <c r="K98" t="s">
        <v>338</v>
      </c>
      <c r="L98">
        <v>4101</v>
      </c>
      <c r="M98" t="s">
        <v>339</v>
      </c>
      <c r="N98" t="s">
        <v>30</v>
      </c>
      <c r="O98" t="s">
        <v>31</v>
      </c>
      <c r="P98" t="str">
        <f>"15227"</f>
        <v>15227</v>
      </c>
    </row>
    <row r="99" spans="1:16" x14ac:dyDescent="0.25">
      <c r="A99" t="str">
        <f>"1020001C01662006100"</f>
        <v>1020001C01662006100</v>
      </c>
      <c r="B99" t="s">
        <v>344</v>
      </c>
      <c r="C99" t="s">
        <v>345</v>
      </c>
      <c r="D99" t="s">
        <v>20</v>
      </c>
      <c r="E99" t="s">
        <v>39</v>
      </c>
      <c r="F99">
        <v>0</v>
      </c>
      <c r="G99">
        <v>0</v>
      </c>
      <c r="H99">
        <v>1</v>
      </c>
      <c r="I99" s="3">
        <v>1283.2</v>
      </c>
      <c r="J99" s="3">
        <v>0</v>
      </c>
      <c r="L99">
        <v>320</v>
      </c>
      <c r="M99" t="s">
        <v>346</v>
      </c>
      <c r="N99" t="s">
        <v>30</v>
      </c>
      <c r="O99" t="s">
        <v>31</v>
      </c>
      <c r="P99" t="str">
        <f>"15222"</f>
        <v>15222</v>
      </c>
    </row>
    <row r="100" spans="1:16" x14ac:dyDescent="0.25">
      <c r="A100" t="str">
        <f>"1020001C01662019500"</f>
        <v>1020001C01662019500</v>
      </c>
      <c r="B100" t="s">
        <v>347</v>
      </c>
      <c r="C100" t="s">
        <v>348</v>
      </c>
      <c r="D100" t="s">
        <v>20</v>
      </c>
      <c r="E100" t="s">
        <v>39</v>
      </c>
      <c r="F100">
        <v>0</v>
      </c>
      <c r="G100">
        <v>0</v>
      </c>
      <c r="H100">
        <v>6</v>
      </c>
      <c r="I100" s="3">
        <v>10844.25</v>
      </c>
      <c r="J100" s="3">
        <v>1884.78</v>
      </c>
      <c r="L100">
        <v>310</v>
      </c>
      <c r="M100" t="s">
        <v>349</v>
      </c>
      <c r="N100" t="s">
        <v>30</v>
      </c>
      <c r="O100" t="s">
        <v>31</v>
      </c>
      <c r="P100" t="str">
        <f>"15219"</f>
        <v>15219</v>
      </c>
    </row>
    <row r="101" spans="1:16" x14ac:dyDescent="0.25">
      <c r="A101" t="str">
        <f>"1020001C01662021300"</f>
        <v>1020001C01662021300</v>
      </c>
      <c r="B101" t="s">
        <v>350</v>
      </c>
      <c r="C101" t="s">
        <v>351</v>
      </c>
      <c r="E101" t="s">
        <v>39</v>
      </c>
      <c r="F101">
        <v>0</v>
      </c>
      <c r="G101">
        <v>0</v>
      </c>
      <c r="H101">
        <v>1</v>
      </c>
      <c r="I101" s="3">
        <v>19.46</v>
      </c>
      <c r="J101" s="3">
        <v>2.74</v>
      </c>
      <c r="K101" t="s">
        <v>352</v>
      </c>
      <c r="L101">
        <v>320</v>
      </c>
      <c r="M101" t="s">
        <v>353</v>
      </c>
      <c r="N101" t="s">
        <v>30</v>
      </c>
      <c r="O101" t="s">
        <v>31</v>
      </c>
      <c r="P101" t="str">
        <f>"15222"</f>
        <v>15222</v>
      </c>
    </row>
    <row r="102" spans="1:16" x14ac:dyDescent="0.25">
      <c r="A102" t="str">
        <f>"1020001C01662021800"</f>
        <v>1020001C01662021800</v>
      </c>
      <c r="B102" t="s">
        <v>354</v>
      </c>
      <c r="C102" t="s">
        <v>355</v>
      </c>
      <c r="E102" t="s">
        <v>39</v>
      </c>
      <c r="F102">
        <v>0</v>
      </c>
      <c r="G102">
        <v>0</v>
      </c>
      <c r="H102">
        <v>2</v>
      </c>
      <c r="I102" s="3">
        <v>2141.02</v>
      </c>
      <c r="J102" s="3">
        <v>222.97</v>
      </c>
      <c r="L102">
        <v>320</v>
      </c>
      <c r="M102" t="s">
        <v>356</v>
      </c>
      <c r="N102" t="s">
        <v>30</v>
      </c>
      <c r="O102" t="s">
        <v>31</v>
      </c>
      <c r="P102" t="str">
        <f>"15222"</f>
        <v>15222</v>
      </c>
    </row>
    <row r="103" spans="1:16" x14ac:dyDescent="0.25">
      <c r="A103" t="str">
        <f>"1020001C01662022200"</f>
        <v>1020001C01662022200</v>
      </c>
      <c r="B103" t="s">
        <v>357</v>
      </c>
      <c r="C103" t="s">
        <v>358</v>
      </c>
      <c r="D103" t="s">
        <v>20</v>
      </c>
      <c r="E103" t="s">
        <v>39</v>
      </c>
      <c r="F103">
        <v>0</v>
      </c>
      <c r="G103">
        <v>0</v>
      </c>
      <c r="H103">
        <v>3</v>
      </c>
      <c r="I103" s="3">
        <v>4460.04</v>
      </c>
      <c r="J103" s="3">
        <v>297.32</v>
      </c>
      <c r="K103" t="s">
        <v>359</v>
      </c>
      <c r="L103">
        <v>320</v>
      </c>
      <c r="M103" t="s">
        <v>360</v>
      </c>
      <c r="N103" t="s">
        <v>30</v>
      </c>
      <c r="O103" t="s">
        <v>31</v>
      </c>
      <c r="P103" t="str">
        <f>"15222"</f>
        <v>15222</v>
      </c>
    </row>
    <row r="104" spans="1:16" x14ac:dyDescent="0.25">
      <c r="A104" t="str">
        <f>"1020001C01662022300"</f>
        <v>1020001C01662022300</v>
      </c>
      <c r="B104" t="s">
        <v>361</v>
      </c>
      <c r="C104" t="s">
        <v>362</v>
      </c>
      <c r="E104" t="s">
        <v>39</v>
      </c>
      <c r="F104">
        <v>0</v>
      </c>
      <c r="G104">
        <v>0</v>
      </c>
      <c r="H104">
        <v>2</v>
      </c>
      <c r="I104" s="3">
        <v>2824.72</v>
      </c>
      <c r="J104" s="3">
        <v>58.84</v>
      </c>
      <c r="K104" t="s">
        <v>363</v>
      </c>
      <c r="L104">
        <v>320</v>
      </c>
      <c r="M104" t="s">
        <v>364</v>
      </c>
      <c r="N104" t="s">
        <v>30</v>
      </c>
      <c r="O104" t="s">
        <v>31</v>
      </c>
      <c r="P104" t="str">
        <f>"15222"</f>
        <v>15222</v>
      </c>
    </row>
    <row r="105" spans="1:16" x14ac:dyDescent="0.25">
      <c r="A105" t="str">
        <f>"1020001C01662022400"</f>
        <v>1020001C01662022400</v>
      </c>
      <c r="B105" t="s">
        <v>361</v>
      </c>
      <c r="C105" t="s">
        <v>365</v>
      </c>
      <c r="E105" t="s">
        <v>39</v>
      </c>
      <c r="F105">
        <v>0</v>
      </c>
      <c r="G105">
        <v>0</v>
      </c>
      <c r="H105">
        <v>2</v>
      </c>
      <c r="I105" s="3">
        <v>2275.7800000000002</v>
      </c>
      <c r="J105" s="3">
        <v>47.41</v>
      </c>
      <c r="K105" t="s">
        <v>363</v>
      </c>
      <c r="L105">
        <v>320</v>
      </c>
      <c r="M105" t="s">
        <v>364</v>
      </c>
      <c r="N105" t="s">
        <v>30</v>
      </c>
      <c r="O105" t="s">
        <v>31</v>
      </c>
      <c r="P105" t="str">
        <f>"15222"</f>
        <v>15222</v>
      </c>
    </row>
    <row r="106" spans="1:16" x14ac:dyDescent="0.25">
      <c r="A106" t="str">
        <f>"1020001C01662023400"</f>
        <v>1020001C01662023400</v>
      </c>
      <c r="B106" t="s">
        <v>366</v>
      </c>
      <c r="C106" t="s">
        <v>367</v>
      </c>
      <c r="E106" t="s">
        <v>39</v>
      </c>
      <c r="F106">
        <v>0</v>
      </c>
      <c r="G106">
        <v>0</v>
      </c>
      <c r="H106">
        <v>1</v>
      </c>
      <c r="I106" s="3">
        <v>1180.01</v>
      </c>
      <c r="J106" s="3">
        <v>324.49</v>
      </c>
      <c r="L106">
        <v>6810</v>
      </c>
      <c r="M106" t="s">
        <v>368</v>
      </c>
      <c r="N106" t="s">
        <v>369</v>
      </c>
      <c r="O106" t="s">
        <v>370</v>
      </c>
      <c r="P106" t="str">
        <f>"33040"</f>
        <v>33040</v>
      </c>
    </row>
    <row r="107" spans="1:16" x14ac:dyDescent="0.25">
      <c r="A107" t="str">
        <f>"1020001C01662081100"</f>
        <v>1020001C01662081100</v>
      </c>
      <c r="B107" t="s">
        <v>371</v>
      </c>
      <c r="C107" t="s">
        <v>372</v>
      </c>
      <c r="D107" t="s">
        <v>20</v>
      </c>
      <c r="E107" t="s">
        <v>39</v>
      </c>
      <c r="F107">
        <v>0</v>
      </c>
      <c r="G107">
        <v>0</v>
      </c>
      <c r="H107">
        <v>1</v>
      </c>
      <c r="I107" s="3">
        <v>19.97</v>
      </c>
      <c r="J107" s="3">
        <v>0</v>
      </c>
      <c r="K107" t="s">
        <v>373</v>
      </c>
      <c r="L107">
        <v>320</v>
      </c>
      <c r="M107" t="s">
        <v>374</v>
      </c>
      <c r="N107" t="s">
        <v>30</v>
      </c>
      <c r="O107" t="s">
        <v>31</v>
      </c>
      <c r="P107" t="str">
        <f>"15222"</f>
        <v>15222</v>
      </c>
    </row>
    <row r="108" spans="1:16" x14ac:dyDescent="0.25">
      <c r="A108" t="str">
        <f>"1020001C01662101100"</f>
        <v>1020001C01662101100</v>
      </c>
      <c r="B108" t="s">
        <v>375</v>
      </c>
      <c r="C108" t="s">
        <v>376</v>
      </c>
      <c r="D108" t="s">
        <v>20</v>
      </c>
      <c r="E108" t="s">
        <v>39</v>
      </c>
      <c r="F108">
        <v>0</v>
      </c>
      <c r="G108">
        <v>0</v>
      </c>
      <c r="H108">
        <v>2</v>
      </c>
      <c r="I108" s="3">
        <v>2187.91</v>
      </c>
      <c r="J108" s="3">
        <v>0</v>
      </c>
      <c r="L108">
        <v>920</v>
      </c>
      <c r="M108" t="s">
        <v>377</v>
      </c>
      <c r="N108" t="s">
        <v>30</v>
      </c>
      <c r="O108" t="s">
        <v>31</v>
      </c>
      <c r="P108" t="str">
        <f>"15222"</f>
        <v>15222</v>
      </c>
    </row>
    <row r="109" spans="1:16" x14ac:dyDescent="0.25">
      <c r="A109" t="str">
        <f>"1020001C01662101400"</f>
        <v>1020001C01662101400</v>
      </c>
      <c r="B109" t="s">
        <v>378</v>
      </c>
      <c r="C109" t="s">
        <v>379</v>
      </c>
      <c r="D109" t="s">
        <v>20</v>
      </c>
      <c r="E109" t="s">
        <v>39</v>
      </c>
      <c r="F109">
        <v>0</v>
      </c>
      <c r="G109">
        <v>0</v>
      </c>
      <c r="H109">
        <v>3</v>
      </c>
      <c r="I109" s="3">
        <v>7798.29</v>
      </c>
      <c r="J109" s="3">
        <v>1229.8900000000001</v>
      </c>
      <c r="L109">
        <v>26</v>
      </c>
      <c r="M109" t="s">
        <v>380</v>
      </c>
      <c r="N109" t="s">
        <v>381</v>
      </c>
      <c r="O109" t="s">
        <v>200</v>
      </c>
      <c r="P109" t="str">
        <f>"10591"</f>
        <v>10591</v>
      </c>
    </row>
    <row r="110" spans="1:16" x14ac:dyDescent="0.25">
      <c r="A110" t="str">
        <f>"1020001C01662201100"</f>
        <v>1020001C01662201100</v>
      </c>
      <c r="B110" t="s">
        <v>382</v>
      </c>
      <c r="C110" t="s">
        <v>383</v>
      </c>
      <c r="E110" t="s">
        <v>39</v>
      </c>
      <c r="F110">
        <v>0</v>
      </c>
      <c r="G110">
        <v>0</v>
      </c>
      <c r="H110">
        <v>2</v>
      </c>
      <c r="I110" s="3">
        <v>3301.2</v>
      </c>
      <c r="J110" s="3">
        <v>41.26</v>
      </c>
      <c r="K110" t="s">
        <v>384</v>
      </c>
      <c r="L110">
        <v>320</v>
      </c>
      <c r="M110" t="s">
        <v>385</v>
      </c>
      <c r="N110" t="s">
        <v>30</v>
      </c>
      <c r="O110" t="s">
        <v>31</v>
      </c>
      <c r="P110" t="str">
        <f>"15222"</f>
        <v>15222</v>
      </c>
    </row>
    <row r="111" spans="1:16" x14ac:dyDescent="0.25">
      <c r="A111" t="str">
        <f>"1020001C01662A19 00"</f>
        <v>1020001C01662A19 00</v>
      </c>
      <c r="B111" t="s">
        <v>386</v>
      </c>
      <c r="C111" t="s">
        <v>387</v>
      </c>
      <c r="E111" t="s">
        <v>39</v>
      </c>
      <c r="F111">
        <v>0</v>
      </c>
      <c r="G111">
        <v>0</v>
      </c>
      <c r="H111">
        <v>1</v>
      </c>
      <c r="I111" s="3">
        <v>1024.6099999999999</v>
      </c>
      <c r="J111" s="3">
        <v>0</v>
      </c>
      <c r="L111">
        <v>320</v>
      </c>
      <c r="M111" t="s">
        <v>388</v>
      </c>
      <c r="N111" t="s">
        <v>30</v>
      </c>
      <c r="O111" t="s">
        <v>31</v>
      </c>
      <c r="P111" t="str">
        <f>"15222"</f>
        <v>15222</v>
      </c>
    </row>
    <row r="112" spans="1:16" x14ac:dyDescent="0.25">
      <c r="A112" t="str">
        <f>"1020001C01662A20 00"</f>
        <v>1020001C01662A20 00</v>
      </c>
      <c r="B112" t="s">
        <v>389</v>
      </c>
      <c r="C112" t="s">
        <v>390</v>
      </c>
      <c r="D112" t="s">
        <v>20</v>
      </c>
      <c r="E112" t="s">
        <v>39</v>
      </c>
      <c r="F112">
        <v>0</v>
      </c>
      <c r="G112">
        <v>0</v>
      </c>
      <c r="H112">
        <v>1</v>
      </c>
      <c r="I112" s="3">
        <v>2502.59</v>
      </c>
      <c r="J112" s="3">
        <v>0</v>
      </c>
      <c r="K112" t="s">
        <v>391</v>
      </c>
      <c r="L112">
        <v>1</v>
      </c>
      <c r="M112" t="s">
        <v>392</v>
      </c>
      <c r="N112" t="s">
        <v>393</v>
      </c>
      <c r="O112" t="s">
        <v>394</v>
      </c>
      <c r="P112" t="str">
        <f>"50328"</f>
        <v>50328</v>
      </c>
    </row>
    <row r="113" spans="1:16" x14ac:dyDescent="0.25">
      <c r="A113" t="str">
        <f>"1020001C01662A23 00"</f>
        <v>1020001C01662A23 00</v>
      </c>
      <c r="B113" t="s">
        <v>395</v>
      </c>
      <c r="C113" t="s">
        <v>396</v>
      </c>
      <c r="D113" t="s">
        <v>20</v>
      </c>
      <c r="E113" t="s">
        <v>39</v>
      </c>
      <c r="F113">
        <v>0</v>
      </c>
      <c r="G113">
        <v>0</v>
      </c>
      <c r="H113">
        <v>2</v>
      </c>
      <c r="I113" s="3">
        <v>2589.04</v>
      </c>
      <c r="J113" s="3">
        <v>41.12</v>
      </c>
      <c r="L113">
        <v>320</v>
      </c>
      <c r="M113" t="s">
        <v>397</v>
      </c>
      <c r="N113" t="s">
        <v>30</v>
      </c>
      <c r="O113" t="s">
        <v>31</v>
      </c>
      <c r="P113" t="str">
        <f>"15222"</f>
        <v>15222</v>
      </c>
    </row>
    <row r="114" spans="1:16" x14ac:dyDescent="0.25">
      <c r="A114" t="str">
        <f>"1020001C01662A26 00"</f>
        <v>1020001C01662A26 00</v>
      </c>
      <c r="B114" t="s">
        <v>398</v>
      </c>
      <c r="C114" t="s">
        <v>399</v>
      </c>
      <c r="D114" t="s">
        <v>20</v>
      </c>
      <c r="E114" t="s">
        <v>39</v>
      </c>
      <c r="F114">
        <v>0</v>
      </c>
      <c r="G114">
        <v>0</v>
      </c>
      <c r="H114">
        <v>2</v>
      </c>
      <c r="I114" s="3">
        <v>5108.08</v>
      </c>
      <c r="J114" s="3">
        <v>0</v>
      </c>
      <c r="K114" t="s">
        <v>400</v>
      </c>
      <c r="L114">
        <v>3001</v>
      </c>
      <c r="M114" t="s">
        <v>330</v>
      </c>
      <c r="N114" t="s">
        <v>331</v>
      </c>
      <c r="O114" t="s">
        <v>108</v>
      </c>
      <c r="P114" t="str">
        <f>"75063"</f>
        <v>75063</v>
      </c>
    </row>
    <row r="115" spans="1:16" x14ac:dyDescent="0.25">
      <c r="A115" t="str">
        <f>"1020001C01662A7  00"</f>
        <v>1020001C01662A7  00</v>
      </c>
      <c r="B115" t="s">
        <v>401</v>
      </c>
      <c r="C115" t="s">
        <v>402</v>
      </c>
      <c r="D115" t="s">
        <v>20</v>
      </c>
      <c r="E115" t="s">
        <v>39</v>
      </c>
      <c r="F115">
        <v>0</v>
      </c>
      <c r="G115">
        <v>0</v>
      </c>
      <c r="H115">
        <v>2</v>
      </c>
      <c r="I115" s="3">
        <v>3671.94</v>
      </c>
      <c r="J115" s="3">
        <v>0</v>
      </c>
      <c r="K115" t="s">
        <v>403</v>
      </c>
      <c r="L115">
        <v>3001</v>
      </c>
      <c r="M115" t="s">
        <v>404</v>
      </c>
      <c r="N115" t="s">
        <v>331</v>
      </c>
      <c r="O115" t="s">
        <v>108</v>
      </c>
      <c r="P115" t="str">
        <f>"75063"</f>
        <v>75063</v>
      </c>
    </row>
    <row r="116" spans="1:16" x14ac:dyDescent="0.25">
      <c r="A116" t="str">
        <f>"1020001C01662B26 00"</f>
        <v>1020001C01662B26 00</v>
      </c>
      <c r="B116" t="s">
        <v>398</v>
      </c>
      <c r="C116" t="s">
        <v>405</v>
      </c>
      <c r="D116" t="s">
        <v>20</v>
      </c>
      <c r="E116" t="s">
        <v>39</v>
      </c>
      <c r="F116">
        <v>0</v>
      </c>
      <c r="G116">
        <v>0</v>
      </c>
      <c r="H116">
        <v>2</v>
      </c>
      <c r="I116" s="3">
        <v>3678.6</v>
      </c>
      <c r="J116" s="3">
        <v>0</v>
      </c>
      <c r="K116" t="s">
        <v>400</v>
      </c>
      <c r="L116">
        <v>3001</v>
      </c>
      <c r="M116" t="s">
        <v>330</v>
      </c>
      <c r="N116" t="s">
        <v>331</v>
      </c>
      <c r="O116" t="s">
        <v>108</v>
      </c>
      <c r="P116" t="str">
        <f>"75063"</f>
        <v>75063</v>
      </c>
    </row>
    <row r="117" spans="1:16" x14ac:dyDescent="0.25">
      <c r="A117" t="str">
        <f>"1020001C01662D19 00"</f>
        <v>1020001C01662D19 00</v>
      </c>
      <c r="B117" t="s">
        <v>406</v>
      </c>
      <c r="C117" t="s">
        <v>407</v>
      </c>
      <c r="D117" t="s">
        <v>20</v>
      </c>
      <c r="E117" t="s">
        <v>39</v>
      </c>
      <c r="F117">
        <v>0</v>
      </c>
      <c r="G117">
        <v>0</v>
      </c>
      <c r="H117">
        <v>2</v>
      </c>
      <c r="I117" s="3">
        <v>13723.2</v>
      </c>
      <c r="J117" s="3">
        <v>0</v>
      </c>
      <c r="K117" t="s">
        <v>408</v>
      </c>
      <c r="M117" t="s">
        <v>409</v>
      </c>
      <c r="N117" t="s">
        <v>410</v>
      </c>
      <c r="O117" t="s">
        <v>31</v>
      </c>
      <c r="P117" t="str">
        <f>"15701"</f>
        <v>15701</v>
      </c>
    </row>
    <row r="118" spans="1:16" x14ac:dyDescent="0.25">
      <c r="A118" t="str">
        <f>"1020001C01662F19 00"</f>
        <v>1020001C01662F19 00</v>
      </c>
      <c r="B118" t="s">
        <v>411</v>
      </c>
      <c r="C118" t="s">
        <v>412</v>
      </c>
      <c r="D118" t="s">
        <v>57</v>
      </c>
      <c r="E118" t="s">
        <v>39</v>
      </c>
      <c r="F118">
        <v>0</v>
      </c>
      <c r="G118">
        <v>0</v>
      </c>
      <c r="H118">
        <v>1</v>
      </c>
      <c r="I118" s="3">
        <v>1183.19</v>
      </c>
      <c r="J118" s="3">
        <v>0</v>
      </c>
      <c r="K118" t="s">
        <v>413</v>
      </c>
      <c r="L118">
        <v>320</v>
      </c>
      <c r="M118" t="s">
        <v>414</v>
      </c>
      <c r="N118" t="s">
        <v>30</v>
      </c>
      <c r="O118" t="s">
        <v>31</v>
      </c>
      <c r="P118" t="str">
        <f>"15222"</f>
        <v>15222</v>
      </c>
    </row>
    <row r="119" spans="1:16" x14ac:dyDescent="0.25">
      <c r="A119" t="str">
        <f>"1020001C01662J5  00"</f>
        <v>1020001C01662J5  00</v>
      </c>
      <c r="B119" t="s">
        <v>415</v>
      </c>
      <c r="C119" t="s">
        <v>416</v>
      </c>
      <c r="D119" t="s">
        <v>20</v>
      </c>
      <c r="E119" t="s">
        <v>39</v>
      </c>
      <c r="F119">
        <v>0</v>
      </c>
      <c r="G119">
        <v>0</v>
      </c>
      <c r="H119">
        <v>1</v>
      </c>
      <c r="I119" s="3">
        <v>2744.64</v>
      </c>
      <c r="J119" s="3">
        <v>0</v>
      </c>
      <c r="K119" t="s">
        <v>417</v>
      </c>
      <c r="L119">
        <v>3001</v>
      </c>
      <c r="M119" t="s">
        <v>330</v>
      </c>
      <c r="N119" t="s">
        <v>331</v>
      </c>
      <c r="O119" t="s">
        <v>108</v>
      </c>
      <c r="P119" t="str">
        <f>"75063"</f>
        <v>75063</v>
      </c>
    </row>
    <row r="120" spans="1:16" x14ac:dyDescent="0.25">
      <c r="A120" t="str">
        <f>"1020001C01662J7  00"</f>
        <v>1020001C01662J7  00</v>
      </c>
      <c r="B120" t="s">
        <v>418</v>
      </c>
      <c r="C120" t="s">
        <v>419</v>
      </c>
      <c r="D120" t="s">
        <v>20</v>
      </c>
      <c r="E120" t="s">
        <v>39</v>
      </c>
      <c r="F120">
        <v>0</v>
      </c>
      <c r="G120">
        <v>0</v>
      </c>
      <c r="H120">
        <v>1</v>
      </c>
      <c r="I120" s="3">
        <v>2255.2600000000002</v>
      </c>
      <c r="J120" s="3">
        <v>0</v>
      </c>
      <c r="K120" t="s">
        <v>420</v>
      </c>
      <c r="L120">
        <v>3</v>
      </c>
      <c r="M120" t="s">
        <v>421</v>
      </c>
      <c r="N120" t="s">
        <v>422</v>
      </c>
      <c r="O120" t="s">
        <v>423</v>
      </c>
      <c r="P120" t="str">
        <f>"08002"</f>
        <v>08002</v>
      </c>
    </row>
    <row r="121" spans="1:16" x14ac:dyDescent="0.25">
      <c r="A121" t="str">
        <f>"1020001C01662J9  00"</f>
        <v>1020001C01662J9  00</v>
      </c>
      <c r="B121" t="s">
        <v>424</v>
      </c>
      <c r="C121" t="s">
        <v>425</v>
      </c>
      <c r="D121" t="s">
        <v>20</v>
      </c>
      <c r="E121" t="s">
        <v>39</v>
      </c>
      <c r="F121">
        <v>0</v>
      </c>
      <c r="G121">
        <v>0</v>
      </c>
      <c r="H121">
        <v>1</v>
      </c>
      <c r="I121" s="3">
        <v>2029.9</v>
      </c>
      <c r="J121" s="3">
        <v>0</v>
      </c>
      <c r="K121" t="s">
        <v>426</v>
      </c>
      <c r="L121">
        <v>2570</v>
      </c>
      <c r="M121" t="s">
        <v>427</v>
      </c>
      <c r="N121" t="s">
        <v>30</v>
      </c>
      <c r="O121" t="s">
        <v>31</v>
      </c>
      <c r="P121" t="str">
        <f>"15241"</f>
        <v>15241</v>
      </c>
    </row>
    <row r="122" spans="1:16" x14ac:dyDescent="0.25">
      <c r="A122" t="str">
        <f>"1020001C01662L25 00"</f>
        <v>1020001C01662L25 00</v>
      </c>
      <c r="B122" t="s">
        <v>428</v>
      </c>
      <c r="C122" t="s">
        <v>429</v>
      </c>
      <c r="E122" t="s">
        <v>39</v>
      </c>
      <c r="F122">
        <v>0</v>
      </c>
      <c r="G122">
        <v>0</v>
      </c>
      <c r="H122">
        <v>1</v>
      </c>
      <c r="I122" s="3">
        <v>808.5</v>
      </c>
      <c r="J122" s="3">
        <v>0</v>
      </c>
      <c r="K122" t="s">
        <v>430</v>
      </c>
      <c r="L122">
        <v>320</v>
      </c>
      <c r="M122" t="s">
        <v>431</v>
      </c>
      <c r="N122" t="s">
        <v>30</v>
      </c>
      <c r="O122" t="s">
        <v>31</v>
      </c>
      <c r="P122" t="str">
        <f>"15222"</f>
        <v>15222</v>
      </c>
    </row>
    <row r="123" spans="1:16" x14ac:dyDescent="0.25">
      <c r="A123" t="str">
        <f>"1020001C01662M9  00"</f>
        <v>1020001C01662M9  00</v>
      </c>
      <c r="B123" t="s">
        <v>432</v>
      </c>
      <c r="C123" t="s">
        <v>433</v>
      </c>
      <c r="D123" t="s">
        <v>20</v>
      </c>
      <c r="E123" t="s">
        <v>39</v>
      </c>
      <c r="F123">
        <v>0</v>
      </c>
      <c r="G123">
        <v>0</v>
      </c>
      <c r="H123">
        <v>1</v>
      </c>
      <c r="I123" s="3">
        <v>2685.56</v>
      </c>
      <c r="J123" s="3">
        <v>0</v>
      </c>
      <c r="L123">
        <v>320</v>
      </c>
      <c r="M123" t="s">
        <v>434</v>
      </c>
      <c r="N123" t="s">
        <v>30</v>
      </c>
      <c r="O123" t="s">
        <v>31</v>
      </c>
      <c r="P123" t="str">
        <f>"15222"</f>
        <v>15222</v>
      </c>
    </row>
    <row r="124" spans="1:16" x14ac:dyDescent="0.25">
      <c r="A124" t="str">
        <f>"1020001C01662N12 00"</f>
        <v>1020001C01662N12 00</v>
      </c>
      <c r="B124" t="s">
        <v>435</v>
      </c>
      <c r="C124" t="s">
        <v>436</v>
      </c>
      <c r="D124" t="s">
        <v>20</v>
      </c>
      <c r="E124" t="s">
        <v>39</v>
      </c>
      <c r="F124">
        <v>0</v>
      </c>
      <c r="G124">
        <v>0</v>
      </c>
      <c r="H124">
        <v>2</v>
      </c>
      <c r="I124" s="3">
        <v>5409.24</v>
      </c>
      <c r="J124" s="3">
        <v>0</v>
      </c>
      <c r="K124" t="s">
        <v>437</v>
      </c>
      <c r="M124" t="s">
        <v>438</v>
      </c>
      <c r="N124" t="s">
        <v>439</v>
      </c>
      <c r="O124" t="s">
        <v>440</v>
      </c>
      <c r="P124" t="str">
        <f>"01535"</f>
        <v>01535</v>
      </c>
    </row>
    <row r="125" spans="1:16" x14ac:dyDescent="0.25">
      <c r="A125" t="str">
        <f>"1020001D00023002A00"</f>
        <v>1020001D00023002A00</v>
      </c>
      <c r="B125" t="s">
        <v>441</v>
      </c>
      <c r="C125" t="s">
        <v>442</v>
      </c>
      <c r="E125" t="s">
        <v>39</v>
      </c>
      <c r="F125">
        <v>0</v>
      </c>
      <c r="G125">
        <v>0</v>
      </c>
      <c r="H125">
        <v>1</v>
      </c>
      <c r="I125" s="3">
        <v>44.23</v>
      </c>
      <c r="J125" s="3">
        <v>11.42</v>
      </c>
      <c r="K125" t="s">
        <v>400</v>
      </c>
      <c r="L125">
        <v>3001</v>
      </c>
      <c r="M125" t="s">
        <v>330</v>
      </c>
      <c r="N125" t="s">
        <v>331</v>
      </c>
      <c r="O125" t="s">
        <v>108</v>
      </c>
      <c r="P125" t="str">
        <f>"75063"</f>
        <v>75063</v>
      </c>
    </row>
    <row r="126" spans="1:16" x14ac:dyDescent="0.25">
      <c r="A126" t="str">
        <f>"1020001D00023004B00"</f>
        <v>1020001D00023004B00</v>
      </c>
      <c r="B126" t="s">
        <v>443</v>
      </c>
      <c r="C126" t="s">
        <v>444</v>
      </c>
      <c r="D126" t="s">
        <v>20</v>
      </c>
      <c r="E126" t="s">
        <v>39</v>
      </c>
      <c r="F126">
        <v>0</v>
      </c>
      <c r="G126">
        <v>0</v>
      </c>
      <c r="H126">
        <v>2</v>
      </c>
      <c r="I126" s="3">
        <v>2381.08</v>
      </c>
      <c r="J126" s="3">
        <v>22.3</v>
      </c>
      <c r="K126" t="s">
        <v>445</v>
      </c>
      <c r="L126">
        <v>3001</v>
      </c>
      <c r="M126" t="s">
        <v>330</v>
      </c>
      <c r="N126" t="s">
        <v>331</v>
      </c>
      <c r="O126" t="s">
        <v>108</v>
      </c>
      <c r="P126" t="str">
        <f>"75063"</f>
        <v>75063</v>
      </c>
    </row>
    <row r="127" spans="1:16" x14ac:dyDescent="0.25">
      <c r="A127" t="str">
        <f>"1020001D00259C70300"</f>
        <v>1020001D00259C70300</v>
      </c>
      <c r="B127" t="s">
        <v>446</v>
      </c>
      <c r="C127" t="s">
        <v>447</v>
      </c>
      <c r="D127" t="s">
        <v>20</v>
      </c>
      <c r="E127" t="s">
        <v>39</v>
      </c>
      <c r="F127">
        <v>0</v>
      </c>
      <c r="G127">
        <v>0</v>
      </c>
      <c r="H127">
        <v>5</v>
      </c>
      <c r="I127" s="3">
        <v>33956.120000000003</v>
      </c>
      <c r="J127" s="3">
        <v>4219.95</v>
      </c>
      <c r="L127">
        <v>301</v>
      </c>
      <c r="M127" t="s">
        <v>448</v>
      </c>
      <c r="N127" t="s">
        <v>30</v>
      </c>
      <c r="O127" t="s">
        <v>31</v>
      </c>
      <c r="P127" t="str">
        <f>"15222"</f>
        <v>15222</v>
      </c>
    </row>
    <row r="128" spans="1:16" x14ac:dyDescent="0.25">
      <c r="A128" t="str">
        <f>"1020001D00259C71300"</f>
        <v>1020001D00259C71300</v>
      </c>
      <c r="B128" t="s">
        <v>449</v>
      </c>
      <c r="C128" t="s">
        <v>450</v>
      </c>
      <c r="D128" t="s">
        <v>20</v>
      </c>
      <c r="E128" t="s">
        <v>39</v>
      </c>
      <c r="F128">
        <v>0</v>
      </c>
      <c r="G128">
        <v>0</v>
      </c>
      <c r="H128">
        <v>1</v>
      </c>
      <c r="I128" s="3">
        <v>6960.71</v>
      </c>
      <c r="J128" s="3">
        <v>0</v>
      </c>
      <c r="K128" t="s">
        <v>451</v>
      </c>
      <c r="L128">
        <v>5563</v>
      </c>
      <c r="M128" t="s">
        <v>452</v>
      </c>
      <c r="N128" t="s">
        <v>30</v>
      </c>
      <c r="O128" t="s">
        <v>31</v>
      </c>
      <c r="P128" t="str">
        <f>"15217"</f>
        <v>15217</v>
      </c>
    </row>
    <row r="129" spans="1:16" x14ac:dyDescent="0.25">
      <c r="A129" t="str">
        <f>"1020001D00259C71400"</f>
        <v>1020001D00259C71400</v>
      </c>
      <c r="B129" t="s">
        <v>453</v>
      </c>
      <c r="C129" t="s">
        <v>454</v>
      </c>
      <c r="D129" t="s">
        <v>20</v>
      </c>
      <c r="E129" t="s">
        <v>39</v>
      </c>
      <c r="F129">
        <v>0</v>
      </c>
      <c r="G129">
        <v>0</v>
      </c>
      <c r="H129">
        <v>2</v>
      </c>
      <c r="I129" s="3">
        <v>8978.44</v>
      </c>
      <c r="J129" s="3">
        <v>3261.13</v>
      </c>
      <c r="K129" t="s">
        <v>451</v>
      </c>
      <c r="L129">
        <v>5563</v>
      </c>
      <c r="M129" t="s">
        <v>455</v>
      </c>
      <c r="N129" t="s">
        <v>30</v>
      </c>
      <c r="O129" t="s">
        <v>31</v>
      </c>
      <c r="P129" t="str">
        <f>"15217"</f>
        <v>15217</v>
      </c>
    </row>
    <row r="130" spans="1:16" x14ac:dyDescent="0.25">
      <c r="A130" t="str">
        <f>"1020001D00259C71500"</f>
        <v>1020001D00259C71500</v>
      </c>
      <c r="B130" t="s">
        <v>449</v>
      </c>
      <c r="C130" t="s">
        <v>456</v>
      </c>
      <c r="D130" t="s">
        <v>20</v>
      </c>
      <c r="E130" t="s">
        <v>39</v>
      </c>
      <c r="F130">
        <v>0</v>
      </c>
      <c r="G130">
        <v>0</v>
      </c>
      <c r="H130">
        <v>1</v>
      </c>
      <c r="I130" s="3">
        <v>8416.9</v>
      </c>
      <c r="J130" s="3">
        <v>0</v>
      </c>
      <c r="K130" t="s">
        <v>451</v>
      </c>
      <c r="L130">
        <v>5563</v>
      </c>
      <c r="M130" t="s">
        <v>455</v>
      </c>
      <c r="N130" t="s">
        <v>30</v>
      </c>
      <c r="O130" t="s">
        <v>31</v>
      </c>
      <c r="P130" t="str">
        <f>"15217"</f>
        <v>15217</v>
      </c>
    </row>
    <row r="131" spans="1:16" x14ac:dyDescent="0.25">
      <c r="A131" t="str">
        <f>"1020001H00240    00"</f>
        <v>1020001H00240    00</v>
      </c>
      <c r="B131" t="s">
        <v>457</v>
      </c>
      <c r="C131" t="s">
        <v>458</v>
      </c>
      <c r="E131" t="s">
        <v>21</v>
      </c>
      <c r="F131">
        <v>0</v>
      </c>
      <c r="G131">
        <v>0</v>
      </c>
      <c r="H131">
        <v>1</v>
      </c>
      <c r="I131" s="3">
        <v>475.27</v>
      </c>
      <c r="J131" s="3">
        <v>0</v>
      </c>
      <c r="K131" t="s">
        <v>459</v>
      </c>
      <c r="M131" t="s">
        <v>460</v>
      </c>
      <c r="N131" t="s">
        <v>461</v>
      </c>
      <c r="O131" t="s">
        <v>25</v>
      </c>
      <c r="P131" t="str">
        <f>"44202"</f>
        <v>44202</v>
      </c>
    </row>
    <row r="132" spans="1:16" x14ac:dyDescent="0.25">
      <c r="A132" t="str">
        <f>"1020002A00013    00"</f>
        <v>1020002A00013    00</v>
      </c>
      <c r="B132" t="s">
        <v>462</v>
      </c>
      <c r="C132" t="s">
        <v>463</v>
      </c>
      <c r="D132" t="s">
        <v>57</v>
      </c>
      <c r="E132" t="s">
        <v>21</v>
      </c>
      <c r="F132">
        <v>0</v>
      </c>
      <c r="G132">
        <v>0</v>
      </c>
      <c r="H132">
        <v>1</v>
      </c>
      <c r="I132" s="3">
        <v>3268.8</v>
      </c>
      <c r="J132" s="3">
        <v>108.95</v>
      </c>
      <c r="K132" t="s">
        <v>464</v>
      </c>
      <c r="L132">
        <v>824</v>
      </c>
      <c r="M132" t="s">
        <v>465</v>
      </c>
      <c r="N132" t="s">
        <v>30</v>
      </c>
      <c r="O132" t="s">
        <v>31</v>
      </c>
      <c r="P132" t="str">
        <f>"15222"</f>
        <v>15222</v>
      </c>
    </row>
    <row r="133" spans="1:16" x14ac:dyDescent="0.25">
      <c r="A133" t="str">
        <f>"1020002A00025    00"</f>
        <v>1020002A00025    00</v>
      </c>
      <c r="B133" t="s">
        <v>466</v>
      </c>
      <c r="C133" t="s">
        <v>467</v>
      </c>
      <c r="D133" t="s">
        <v>57</v>
      </c>
      <c r="E133" t="s">
        <v>21</v>
      </c>
      <c r="F133">
        <v>0</v>
      </c>
      <c r="G133">
        <v>0</v>
      </c>
      <c r="H133">
        <v>1</v>
      </c>
      <c r="I133" s="3">
        <v>7458.97</v>
      </c>
      <c r="J133" s="3">
        <v>0</v>
      </c>
      <c r="K133" t="s">
        <v>468</v>
      </c>
      <c r="M133" t="s">
        <v>469</v>
      </c>
      <c r="N133" t="s">
        <v>30</v>
      </c>
      <c r="O133" t="s">
        <v>31</v>
      </c>
      <c r="P133" t="str">
        <f>"15206"</f>
        <v>15206</v>
      </c>
    </row>
    <row r="134" spans="1:16" x14ac:dyDescent="0.25">
      <c r="A134" t="str">
        <f>"1020002A00046    00"</f>
        <v>1020002A00046    00</v>
      </c>
      <c r="B134" t="s">
        <v>470</v>
      </c>
      <c r="C134" t="s">
        <v>471</v>
      </c>
      <c r="D134" t="s">
        <v>20</v>
      </c>
      <c r="E134" t="s">
        <v>21</v>
      </c>
      <c r="F134">
        <v>0</v>
      </c>
      <c r="G134">
        <v>0</v>
      </c>
      <c r="H134">
        <v>1</v>
      </c>
      <c r="I134" s="3">
        <v>24244.32</v>
      </c>
      <c r="J134" s="3">
        <v>0</v>
      </c>
      <c r="L134">
        <v>1407</v>
      </c>
      <c r="M134" t="s">
        <v>472</v>
      </c>
      <c r="N134" t="s">
        <v>199</v>
      </c>
      <c r="O134" t="s">
        <v>200</v>
      </c>
      <c r="P134" t="str">
        <f>"10018"</f>
        <v>10018</v>
      </c>
    </row>
    <row r="135" spans="1:16" x14ac:dyDescent="0.25">
      <c r="A135" t="str">
        <f>"1020002A00047    00"</f>
        <v>1020002A00047    00</v>
      </c>
      <c r="B135" t="s">
        <v>473</v>
      </c>
      <c r="C135" t="s">
        <v>474</v>
      </c>
      <c r="D135" t="s">
        <v>20</v>
      </c>
      <c r="E135" t="s">
        <v>21</v>
      </c>
      <c r="F135">
        <v>0</v>
      </c>
      <c r="G135">
        <v>0</v>
      </c>
      <c r="H135">
        <v>4</v>
      </c>
      <c r="I135" s="3">
        <v>10859.42</v>
      </c>
      <c r="J135" s="3">
        <v>1282.81</v>
      </c>
      <c r="L135">
        <v>834</v>
      </c>
      <c r="M135" t="s">
        <v>475</v>
      </c>
      <c r="N135" t="s">
        <v>30</v>
      </c>
      <c r="O135" t="s">
        <v>31</v>
      </c>
      <c r="P135" t="str">
        <f>"15228"</f>
        <v>15228</v>
      </c>
    </row>
    <row r="136" spans="1:16" x14ac:dyDescent="0.25">
      <c r="A136" t="str">
        <f>"1020002A00127080400"</f>
        <v>1020002A00127080400</v>
      </c>
      <c r="B136" t="s">
        <v>476</v>
      </c>
      <c r="C136" t="s">
        <v>477</v>
      </c>
      <c r="D136" t="s">
        <v>20</v>
      </c>
      <c r="E136" t="s">
        <v>39</v>
      </c>
      <c r="F136">
        <v>0</v>
      </c>
      <c r="G136">
        <v>0</v>
      </c>
      <c r="H136">
        <v>1</v>
      </c>
      <c r="I136" s="3">
        <v>2161.86</v>
      </c>
      <c r="J136" s="3">
        <v>0</v>
      </c>
      <c r="K136" t="s">
        <v>478</v>
      </c>
      <c r="L136">
        <v>350</v>
      </c>
      <c r="M136" t="s">
        <v>479</v>
      </c>
      <c r="N136" t="s">
        <v>30</v>
      </c>
      <c r="O136" t="s">
        <v>31</v>
      </c>
      <c r="P136" t="str">
        <f>"15222"</f>
        <v>15222</v>
      </c>
    </row>
    <row r="137" spans="1:16" x14ac:dyDescent="0.25">
      <c r="A137" t="str">
        <f>"1020002A00127110900"</f>
        <v>1020002A00127110900</v>
      </c>
      <c r="B137" t="s">
        <v>480</v>
      </c>
      <c r="C137" t="s">
        <v>481</v>
      </c>
      <c r="D137" t="s">
        <v>57</v>
      </c>
      <c r="E137" t="s">
        <v>39</v>
      </c>
      <c r="F137">
        <v>0</v>
      </c>
      <c r="G137">
        <v>0</v>
      </c>
      <c r="H137">
        <v>1</v>
      </c>
      <c r="I137" s="3">
        <v>5682.23</v>
      </c>
      <c r="J137" s="3">
        <v>0</v>
      </c>
      <c r="K137" t="s">
        <v>400</v>
      </c>
      <c r="L137">
        <v>3001</v>
      </c>
      <c r="M137" t="s">
        <v>330</v>
      </c>
      <c r="N137" t="s">
        <v>331</v>
      </c>
      <c r="O137" t="s">
        <v>108</v>
      </c>
      <c r="P137" t="str">
        <f>"75063"</f>
        <v>75063</v>
      </c>
    </row>
    <row r="138" spans="1:16" x14ac:dyDescent="0.25">
      <c r="A138" t="str">
        <f>"1020002A00127120200"</f>
        <v>1020002A00127120200</v>
      </c>
      <c r="B138" t="s">
        <v>482</v>
      </c>
      <c r="C138" t="s">
        <v>483</v>
      </c>
      <c r="D138" t="s">
        <v>20</v>
      </c>
      <c r="E138" t="s">
        <v>39</v>
      </c>
      <c r="F138">
        <v>0</v>
      </c>
      <c r="G138">
        <v>0</v>
      </c>
      <c r="H138">
        <v>1</v>
      </c>
      <c r="I138" s="3">
        <v>2386.77</v>
      </c>
      <c r="J138" s="3">
        <v>0</v>
      </c>
      <c r="K138" t="s">
        <v>484</v>
      </c>
      <c r="L138">
        <v>3001</v>
      </c>
      <c r="M138" t="s">
        <v>330</v>
      </c>
      <c r="N138" t="s">
        <v>331</v>
      </c>
      <c r="O138" t="s">
        <v>108</v>
      </c>
      <c r="P138" t="str">
        <f>"75063"</f>
        <v>75063</v>
      </c>
    </row>
    <row r="139" spans="1:16" x14ac:dyDescent="0.25">
      <c r="A139" t="str">
        <f>"1020002A00127120700"</f>
        <v>1020002A00127120700</v>
      </c>
      <c r="B139" t="s">
        <v>485</v>
      </c>
      <c r="C139" t="s">
        <v>486</v>
      </c>
      <c r="D139" t="s">
        <v>20</v>
      </c>
      <c r="E139" t="s">
        <v>39</v>
      </c>
      <c r="F139">
        <v>0</v>
      </c>
      <c r="G139">
        <v>0</v>
      </c>
      <c r="H139">
        <v>1</v>
      </c>
      <c r="I139" s="3">
        <v>795.25</v>
      </c>
      <c r="J139" s="3">
        <v>0</v>
      </c>
      <c r="K139" t="s">
        <v>487</v>
      </c>
      <c r="L139">
        <v>204</v>
      </c>
      <c r="M139" t="s">
        <v>488</v>
      </c>
      <c r="N139" t="s">
        <v>489</v>
      </c>
      <c r="O139" t="s">
        <v>31</v>
      </c>
      <c r="P139" t="str">
        <f>"17053"</f>
        <v>17053</v>
      </c>
    </row>
    <row r="140" spans="1:16" x14ac:dyDescent="0.25">
      <c r="A140" t="str">
        <f>"1020002A00127160400"</f>
        <v>1020002A00127160400</v>
      </c>
      <c r="B140" t="s">
        <v>490</v>
      </c>
      <c r="C140" t="s">
        <v>491</v>
      </c>
      <c r="E140" t="s">
        <v>39</v>
      </c>
      <c r="F140">
        <v>0</v>
      </c>
      <c r="G140">
        <v>0</v>
      </c>
      <c r="H140">
        <v>1</v>
      </c>
      <c r="I140" s="3">
        <v>1243.8699999999999</v>
      </c>
      <c r="J140" s="3">
        <v>122.34</v>
      </c>
      <c r="K140" t="s">
        <v>492</v>
      </c>
      <c r="L140">
        <v>901</v>
      </c>
      <c r="M140" t="s">
        <v>493</v>
      </c>
      <c r="N140" t="s">
        <v>494</v>
      </c>
      <c r="O140" t="s">
        <v>495</v>
      </c>
      <c r="P140" t="str">
        <f>"91768"</f>
        <v>91768</v>
      </c>
    </row>
    <row r="141" spans="1:16" x14ac:dyDescent="0.25">
      <c r="A141" t="str">
        <f>"1020002A00127805 00"</f>
        <v>1020002A00127805 00</v>
      </c>
      <c r="B141" t="s">
        <v>496</v>
      </c>
      <c r="C141" t="s">
        <v>497</v>
      </c>
      <c r="D141" t="s">
        <v>20</v>
      </c>
      <c r="E141" t="s">
        <v>39</v>
      </c>
      <c r="F141">
        <v>0</v>
      </c>
      <c r="G141">
        <v>0</v>
      </c>
      <c r="H141">
        <v>1</v>
      </c>
      <c r="I141" s="3">
        <v>3599.86</v>
      </c>
      <c r="J141" s="3">
        <v>999.95</v>
      </c>
      <c r="K141" t="s">
        <v>400</v>
      </c>
      <c r="L141">
        <v>3001</v>
      </c>
      <c r="M141" t="s">
        <v>330</v>
      </c>
      <c r="N141" t="s">
        <v>331</v>
      </c>
      <c r="O141" t="s">
        <v>108</v>
      </c>
      <c r="P141" t="str">
        <f>"75063"</f>
        <v>75063</v>
      </c>
    </row>
    <row r="142" spans="1:16" x14ac:dyDescent="0.25">
      <c r="A142" t="str">
        <f>"1020002A00172    00"</f>
        <v>1020002A00172    00</v>
      </c>
      <c r="B142" t="s">
        <v>498</v>
      </c>
      <c r="C142" t="s">
        <v>499</v>
      </c>
      <c r="D142" t="s">
        <v>20</v>
      </c>
      <c r="E142" t="s">
        <v>21</v>
      </c>
      <c r="F142">
        <v>0</v>
      </c>
      <c r="G142">
        <v>0</v>
      </c>
      <c r="H142">
        <v>1</v>
      </c>
      <c r="I142" s="3">
        <v>1297.98</v>
      </c>
      <c r="J142" s="3">
        <v>0</v>
      </c>
      <c r="L142">
        <v>643</v>
      </c>
      <c r="M142" t="s">
        <v>500</v>
      </c>
      <c r="N142" t="s">
        <v>30</v>
      </c>
      <c r="O142" t="s">
        <v>31</v>
      </c>
      <c r="P142" t="str">
        <f>"15222"</f>
        <v>15222</v>
      </c>
    </row>
    <row r="143" spans="1:16" x14ac:dyDescent="0.25">
      <c r="A143" t="str">
        <f>"1020002A00175    00"</f>
        <v>1020002A00175    00</v>
      </c>
      <c r="B143" t="s">
        <v>498</v>
      </c>
      <c r="C143" t="s">
        <v>499</v>
      </c>
      <c r="D143" t="s">
        <v>20</v>
      </c>
      <c r="E143" t="s">
        <v>21</v>
      </c>
      <c r="F143">
        <v>0</v>
      </c>
      <c r="G143">
        <v>0</v>
      </c>
      <c r="H143">
        <v>1</v>
      </c>
      <c r="I143" s="3">
        <v>2855.19</v>
      </c>
      <c r="J143" s="3">
        <v>0</v>
      </c>
      <c r="L143">
        <v>643</v>
      </c>
      <c r="M143" t="s">
        <v>500</v>
      </c>
      <c r="N143" t="s">
        <v>30</v>
      </c>
      <c r="O143" t="s">
        <v>31</v>
      </c>
      <c r="P143" t="str">
        <f>"15222"</f>
        <v>15222</v>
      </c>
    </row>
    <row r="144" spans="1:16" x14ac:dyDescent="0.25">
      <c r="A144" t="str">
        <f>"1020002A00199    00"</f>
        <v>1020002A00199    00</v>
      </c>
      <c r="B144" t="s">
        <v>501</v>
      </c>
      <c r="C144" t="s">
        <v>502</v>
      </c>
      <c r="E144" t="s">
        <v>21</v>
      </c>
      <c r="F144">
        <v>0</v>
      </c>
      <c r="G144">
        <v>0</v>
      </c>
      <c r="H144">
        <v>1</v>
      </c>
      <c r="I144" s="3">
        <v>48.87</v>
      </c>
      <c r="J144" s="3">
        <v>0</v>
      </c>
      <c r="K144" t="s">
        <v>503</v>
      </c>
      <c r="L144">
        <v>1000</v>
      </c>
      <c r="M144" t="s">
        <v>504</v>
      </c>
      <c r="N144" t="s">
        <v>30</v>
      </c>
      <c r="O144" t="s">
        <v>31</v>
      </c>
      <c r="P144" t="str">
        <f>"15275"</f>
        <v>15275</v>
      </c>
    </row>
    <row r="145" spans="1:16" x14ac:dyDescent="0.25">
      <c r="A145" t="str">
        <f>"1020002A00240A   00"</f>
        <v>1020002A00240A   00</v>
      </c>
      <c r="B145" t="s">
        <v>505</v>
      </c>
      <c r="C145" t="s">
        <v>506</v>
      </c>
      <c r="D145" t="s">
        <v>20</v>
      </c>
      <c r="E145" t="s">
        <v>21</v>
      </c>
      <c r="F145">
        <v>0</v>
      </c>
      <c r="G145">
        <v>0</v>
      </c>
      <c r="H145">
        <v>1</v>
      </c>
      <c r="I145" s="3">
        <v>95300</v>
      </c>
      <c r="J145" s="3">
        <v>0</v>
      </c>
      <c r="K145" t="s">
        <v>507</v>
      </c>
      <c r="L145">
        <v>1608</v>
      </c>
      <c r="M145" t="s">
        <v>508</v>
      </c>
      <c r="N145" t="s">
        <v>509</v>
      </c>
      <c r="O145" t="s">
        <v>31</v>
      </c>
      <c r="P145" t="str">
        <f>"19103"</f>
        <v>19103</v>
      </c>
    </row>
    <row r="146" spans="1:16" x14ac:dyDescent="0.25">
      <c r="A146" t="str">
        <f>"1020002A00240B   00"</f>
        <v>1020002A00240B   00</v>
      </c>
      <c r="B146" t="s">
        <v>510</v>
      </c>
      <c r="C146" t="s">
        <v>506</v>
      </c>
      <c r="D146" t="s">
        <v>20</v>
      </c>
      <c r="E146" t="s">
        <v>21</v>
      </c>
      <c r="F146">
        <v>0</v>
      </c>
      <c r="G146">
        <v>0</v>
      </c>
      <c r="H146">
        <v>1</v>
      </c>
      <c r="I146" s="3">
        <v>198384.15</v>
      </c>
      <c r="J146" s="3">
        <v>0</v>
      </c>
      <c r="K146" t="s">
        <v>507</v>
      </c>
      <c r="L146">
        <v>1608</v>
      </c>
      <c r="M146" t="s">
        <v>508</v>
      </c>
      <c r="N146" t="s">
        <v>509</v>
      </c>
      <c r="O146" t="s">
        <v>31</v>
      </c>
      <c r="P146" t="str">
        <f>"19103"</f>
        <v>19103</v>
      </c>
    </row>
    <row r="147" spans="1:16" x14ac:dyDescent="0.25">
      <c r="A147" t="str">
        <f>"1020002B00351    01"</f>
        <v>1020002B00351    01</v>
      </c>
      <c r="B147" t="s">
        <v>511</v>
      </c>
      <c r="C147" t="s">
        <v>512</v>
      </c>
      <c r="E147" t="s">
        <v>513</v>
      </c>
      <c r="F147">
        <v>0</v>
      </c>
      <c r="G147">
        <v>0</v>
      </c>
      <c r="H147">
        <v>1</v>
      </c>
      <c r="I147" s="3">
        <v>7743.69</v>
      </c>
      <c r="J147" s="3">
        <v>11489.41</v>
      </c>
      <c r="L147">
        <v>345</v>
      </c>
      <c r="M147" t="s">
        <v>514</v>
      </c>
      <c r="N147" t="s">
        <v>30</v>
      </c>
      <c r="O147" t="s">
        <v>31</v>
      </c>
      <c r="P147" t="str">
        <f>"15222"</f>
        <v>15222</v>
      </c>
    </row>
    <row r="148" spans="1:16" x14ac:dyDescent="0.25">
      <c r="A148" t="str">
        <f>"1020002E00012    00"</f>
        <v>1020002E00012    00</v>
      </c>
      <c r="B148" t="s">
        <v>515</v>
      </c>
      <c r="C148" t="s">
        <v>516</v>
      </c>
      <c r="E148" t="s">
        <v>21</v>
      </c>
      <c r="F148">
        <v>0</v>
      </c>
      <c r="G148">
        <v>0</v>
      </c>
      <c r="H148">
        <v>1</v>
      </c>
      <c r="I148" s="3">
        <v>2638.22</v>
      </c>
      <c r="J148" s="3">
        <v>1165.18</v>
      </c>
      <c r="L148">
        <v>629</v>
      </c>
      <c r="M148" t="s">
        <v>517</v>
      </c>
      <c r="N148" t="s">
        <v>212</v>
      </c>
      <c r="O148" t="s">
        <v>25</v>
      </c>
      <c r="P148" t="str">
        <f>"44114"</f>
        <v>44114</v>
      </c>
    </row>
    <row r="149" spans="1:16" x14ac:dyDescent="0.25">
      <c r="A149" t="str">
        <f>"1020002F00230    00"</f>
        <v>1020002F00230    00</v>
      </c>
      <c r="B149" t="s">
        <v>518</v>
      </c>
      <c r="C149" t="s">
        <v>519</v>
      </c>
      <c r="D149" t="s">
        <v>57</v>
      </c>
      <c r="E149" t="s">
        <v>21</v>
      </c>
      <c r="F149">
        <v>0</v>
      </c>
      <c r="G149">
        <v>0</v>
      </c>
      <c r="H149">
        <v>1</v>
      </c>
      <c r="I149" s="3">
        <v>93209.13</v>
      </c>
      <c r="J149" s="3">
        <v>0</v>
      </c>
      <c r="K149" t="s">
        <v>520</v>
      </c>
      <c r="L149">
        <v>500</v>
      </c>
      <c r="M149" t="s">
        <v>521</v>
      </c>
      <c r="N149" t="s">
        <v>30</v>
      </c>
      <c r="O149" t="s">
        <v>31</v>
      </c>
      <c r="P149" t="str">
        <f>"15262"</f>
        <v>15262</v>
      </c>
    </row>
    <row r="150" spans="1:16" x14ac:dyDescent="0.25">
      <c r="A150" t="str">
        <f>"1020008S00078    00"</f>
        <v>1020008S00078    00</v>
      </c>
      <c r="B150" t="s">
        <v>522</v>
      </c>
      <c r="C150" t="s">
        <v>523</v>
      </c>
      <c r="D150" t="s">
        <v>20</v>
      </c>
      <c r="E150" t="s">
        <v>21</v>
      </c>
      <c r="F150">
        <v>0</v>
      </c>
      <c r="G150">
        <v>0</v>
      </c>
      <c r="H150">
        <v>1</v>
      </c>
      <c r="I150" s="3">
        <v>50826.66</v>
      </c>
      <c r="J150" s="3">
        <v>0</v>
      </c>
      <c r="K150" t="s">
        <v>524</v>
      </c>
      <c r="L150">
        <v>655</v>
      </c>
      <c r="M150" t="s">
        <v>525</v>
      </c>
      <c r="N150" t="s">
        <v>526</v>
      </c>
      <c r="O150" t="s">
        <v>527</v>
      </c>
      <c r="P150" t="str">
        <f>"20001"</f>
        <v>20001</v>
      </c>
    </row>
    <row r="151" spans="1:16" x14ac:dyDescent="0.25">
      <c r="A151" t="str">
        <f>"1020008S00137    00"</f>
        <v>1020008S00137    00</v>
      </c>
      <c r="B151" t="s">
        <v>528</v>
      </c>
      <c r="C151" t="s">
        <v>529</v>
      </c>
      <c r="D151" t="s">
        <v>20</v>
      </c>
      <c r="E151" t="s">
        <v>21</v>
      </c>
      <c r="F151">
        <v>0</v>
      </c>
      <c r="G151">
        <v>0</v>
      </c>
      <c r="H151">
        <v>3</v>
      </c>
      <c r="I151" s="3">
        <v>153132.29999999999</v>
      </c>
      <c r="J151" s="3">
        <v>2935.98</v>
      </c>
      <c r="K151" t="s">
        <v>530</v>
      </c>
      <c r="L151">
        <v>7500</v>
      </c>
      <c r="M151" t="s">
        <v>531</v>
      </c>
      <c r="N151" t="s">
        <v>139</v>
      </c>
      <c r="O151" t="s">
        <v>31</v>
      </c>
      <c r="P151" t="str">
        <f>"15090"</f>
        <v>15090</v>
      </c>
    </row>
    <row r="152" spans="1:16" x14ac:dyDescent="0.25">
      <c r="A152" t="str">
        <f>"1020009D00042    00"</f>
        <v>1020009D00042    00</v>
      </c>
      <c r="B152" t="s">
        <v>532</v>
      </c>
      <c r="C152" t="s">
        <v>533</v>
      </c>
      <c r="E152" t="s">
        <v>21</v>
      </c>
      <c r="F152">
        <v>0</v>
      </c>
      <c r="G152">
        <v>0</v>
      </c>
      <c r="H152">
        <v>2</v>
      </c>
      <c r="I152" s="3">
        <v>381.44</v>
      </c>
      <c r="J152" s="3">
        <v>235.21</v>
      </c>
      <c r="L152">
        <v>1732</v>
      </c>
      <c r="M152" t="s">
        <v>534</v>
      </c>
      <c r="N152" t="s">
        <v>199</v>
      </c>
      <c r="O152" t="s">
        <v>200</v>
      </c>
      <c r="P152" t="str">
        <f>"10128"</f>
        <v>10128</v>
      </c>
    </row>
    <row r="153" spans="1:16" x14ac:dyDescent="0.25">
      <c r="A153" t="str">
        <f>"1020009D00043    00"</f>
        <v>1020009D00043    00</v>
      </c>
      <c r="B153" t="s">
        <v>532</v>
      </c>
      <c r="C153" t="s">
        <v>535</v>
      </c>
      <c r="E153" t="s">
        <v>21</v>
      </c>
      <c r="F153">
        <v>0</v>
      </c>
      <c r="G153">
        <v>0</v>
      </c>
      <c r="H153">
        <v>2</v>
      </c>
      <c r="I153" s="3">
        <v>1869.9</v>
      </c>
      <c r="J153" s="3">
        <v>1153.06</v>
      </c>
      <c r="L153">
        <v>1732</v>
      </c>
      <c r="M153" t="s">
        <v>534</v>
      </c>
      <c r="N153" t="s">
        <v>199</v>
      </c>
      <c r="O153" t="s">
        <v>200</v>
      </c>
      <c r="P153" t="str">
        <f>"10128"</f>
        <v>10128</v>
      </c>
    </row>
    <row r="154" spans="1:16" x14ac:dyDescent="0.25">
      <c r="A154" t="str">
        <f>"1020009D00054    00"</f>
        <v>1020009D00054    00</v>
      </c>
      <c r="B154" t="s">
        <v>532</v>
      </c>
      <c r="C154" t="s">
        <v>536</v>
      </c>
      <c r="D154" t="s">
        <v>20</v>
      </c>
      <c r="E154" t="s">
        <v>21</v>
      </c>
      <c r="F154">
        <v>0</v>
      </c>
      <c r="G154">
        <v>0</v>
      </c>
      <c r="H154">
        <v>1</v>
      </c>
      <c r="I154" s="3">
        <v>4569.82</v>
      </c>
      <c r="J154" s="3">
        <v>2894.1</v>
      </c>
      <c r="L154">
        <v>1732</v>
      </c>
      <c r="M154" t="s">
        <v>534</v>
      </c>
      <c r="N154" t="s">
        <v>199</v>
      </c>
      <c r="O154" t="s">
        <v>200</v>
      </c>
      <c r="P154" t="str">
        <f>"10128"</f>
        <v>10128</v>
      </c>
    </row>
    <row r="155" spans="1:16" x14ac:dyDescent="0.25">
      <c r="A155" t="str">
        <f>"1020009D00081    00"</f>
        <v>1020009D00081    00</v>
      </c>
      <c r="B155" t="s">
        <v>537</v>
      </c>
      <c r="C155" t="s">
        <v>538</v>
      </c>
      <c r="D155" t="s">
        <v>20</v>
      </c>
      <c r="E155" t="s">
        <v>21</v>
      </c>
      <c r="F155">
        <v>0</v>
      </c>
      <c r="G155">
        <v>0</v>
      </c>
      <c r="H155">
        <v>2</v>
      </c>
      <c r="I155" s="3">
        <v>9345.98</v>
      </c>
      <c r="J155" s="3">
        <v>390.12</v>
      </c>
      <c r="K155" t="s">
        <v>539</v>
      </c>
      <c r="L155">
        <v>520</v>
      </c>
      <c r="M155" t="s">
        <v>540</v>
      </c>
      <c r="N155" t="s">
        <v>541</v>
      </c>
      <c r="O155" t="s">
        <v>31</v>
      </c>
      <c r="P155" t="str">
        <f>"15071"</f>
        <v>15071</v>
      </c>
    </row>
    <row r="156" spans="1:16" x14ac:dyDescent="0.25">
      <c r="A156" t="str">
        <f>"1020009D00159    00"</f>
        <v>1020009D00159    00</v>
      </c>
      <c r="B156" t="s">
        <v>542</v>
      </c>
      <c r="C156" t="s">
        <v>543</v>
      </c>
      <c r="D156" t="s">
        <v>20</v>
      </c>
      <c r="E156" t="s">
        <v>21</v>
      </c>
      <c r="F156">
        <v>0</v>
      </c>
      <c r="G156">
        <v>0</v>
      </c>
      <c r="H156">
        <v>5</v>
      </c>
      <c r="I156" s="3">
        <v>13698.65</v>
      </c>
      <c r="J156" s="3">
        <v>2087.1999999999998</v>
      </c>
      <c r="K156" t="s">
        <v>544</v>
      </c>
      <c r="L156">
        <v>5525</v>
      </c>
      <c r="M156" t="s">
        <v>545</v>
      </c>
      <c r="N156" t="s">
        <v>546</v>
      </c>
      <c r="O156" t="s">
        <v>31</v>
      </c>
      <c r="P156" t="str">
        <f>"15044"</f>
        <v>15044</v>
      </c>
    </row>
    <row r="157" spans="1:16" x14ac:dyDescent="0.25">
      <c r="A157" t="str">
        <f>"1020009D00264    00"</f>
        <v>1020009D00264    00</v>
      </c>
      <c r="B157" t="s">
        <v>547</v>
      </c>
      <c r="C157" t="s">
        <v>548</v>
      </c>
      <c r="D157" t="s">
        <v>20</v>
      </c>
      <c r="E157" t="s">
        <v>21</v>
      </c>
      <c r="F157">
        <v>0</v>
      </c>
      <c r="G157">
        <v>0</v>
      </c>
      <c r="H157">
        <v>4</v>
      </c>
      <c r="I157" s="3">
        <v>615611.69999999995</v>
      </c>
      <c r="J157" s="3">
        <v>117987.49</v>
      </c>
      <c r="K157" t="s">
        <v>161</v>
      </c>
      <c r="L157">
        <v>1000</v>
      </c>
      <c r="M157" t="s">
        <v>162</v>
      </c>
      <c r="N157" t="s">
        <v>163</v>
      </c>
      <c r="O157" t="s">
        <v>31</v>
      </c>
      <c r="P157" t="str">
        <f>"19406"</f>
        <v>19406</v>
      </c>
    </row>
    <row r="158" spans="1:16" x14ac:dyDescent="0.25">
      <c r="A158" t="str">
        <f>"1020009D00271    00"</f>
        <v>1020009D00271    00</v>
      </c>
      <c r="B158" t="s">
        <v>549</v>
      </c>
      <c r="C158" t="s">
        <v>550</v>
      </c>
      <c r="D158" t="s">
        <v>20</v>
      </c>
      <c r="E158" t="s">
        <v>39</v>
      </c>
      <c r="F158">
        <v>0</v>
      </c>
      <c r="G158">
        <v>0</v>
      </c>
      <c r="H158">
        <v>1</v>
      </c>
      <c r="I158" s="3">
        <v>358.92</v>
      </c>
      <c r="J158" s="3">
        <v>8.9700000000000006</v>
      </c>
      <c r="K158" t="s">
        <v>551</v>
      </c>
      <c r="L158">
        <v>459</v>
      </c>
      <c r="M158" t="s">
        <v>552</v>
      </c>
      <c r="N158" t="s">
        <v>553</v>
      </c>
      <c r="O158" t="s">
        <v>554</v>
      </c>
      <c r="P158" t="str">
        <f>"26330"</f>
        <v>26330</v>
      </c>
    </row>
    <row r="159" spans="1:16" x14ac:dyDescent="0.25">
      <c r="A159" t="str">
        <f>"1020009D00278    00"</f>
        <v>1020009D00278    00</v>
      </c>
      <c r="B159" t="s">
        <v>555</v>
      </c>
      <c r="C159" t="s">
        <v>556</v>
      </c>
      <c r="E159" t="s">
        <v>39</v>
      </c>
      <c r="F159">
        <v>0</v>
      </c>
      <c r="G159">
        <v>0</v>
      </c>
      <c r="H159">
        <v>1</v>
      </c>
      <c r="I159" s="3">
        <v>1191.27</v>
      </c>
      <c r="J159" s="3">
        <v>327.58999999999997</v>
      </c>
      <c r="K159" t="s">
        <v>557</v>
      </c>
      <c r="L159">
        <v>3001</v>
      </c>
      <c r="M159" t="s">
        <v>330</v>
      </c>
      <c r="N159" t="s">
        <v>331</v>
      </c>
      <c r="O159" t="s">
        <v>108</v>
      </c>
      <c r="P159" t="str">
        <f>"75063"</f>
        <v>75063</v>
      </c>
    </row>
    <row r="160" spans="1:16" x14ac:dyDescent="0.25">
      <c r="A160" t="str">
        <f>"1020009D00284    00"</f>
        <v>1020009D00284    00</v>
      </c>
      <c r="B160" t="s">
        <v>558</v>
      </c>
      <c r="C160" t="s">
        <v>559</v>
      </c>
      <c r="E160" t="s">
        <v>39</v>
      </c>
      <c r="F160">
        <v>0</v>
      </c>
      <c r="G160">
        <v>0</v>
      </c>
      <c r="H160">
        <v>1</v>
      </c>
      <c r="I160" s="3">
        <v>10716.8</v>
      </c>
      <c r="J160" s="3">
        <v>1250.25</v>
      </c>
      <c r="L160">
        <v>1914</v>
      </c>
      <c r="M160" t="s">
        <v>560</v>
      </c>
      <c r="N160" t="s">
        <v>30</v>
      </c>
      <c r="O160" t="s">
        <v>31</v>
      </c>
      <c r="P160" t="str">
        <f>"15222"</f>
        <v>15222</v>
      </c>
    </row>
    <row r="161" spans="1:16" x14ac:dyDescent="0.25">
      <c r="A161" t="str">
        <f>"1020009D00292    00"</f>
        <v>1020009D00292    00</v>
      </c>
      <c r="B161" t="s">
        <v>561</v>
      </c>
      <c r="C161" t="s">
        <v>562</v>
      </c>
      <c r="E161" t="s">
        <v>39</v>
      </c>
      <c r="F161">
        <v>0</v>
      </c>
      <c r="G161">
        <v>0</v>
      </c>
      <c r="H161">
        <v>2</v>
      </c>
      <c r="I161" s="3">
        <v>686.16</v>
      </c>
      <c r="J161" s="3">
        <v>5.71</v>
      </c>
      <c r="K161" t="s">
        <v>563</v>
      </c>
      <c r="L161">
        <v>3001</v>
      </c>
      <c r="M161" t="s">
        <v>330</v>
      </c>
      <c r="N161" t="s">
        <v>331</v>
      </c>
      <c r="O161" t="s">
        <v>108</v>
      </c>
      <c r="P161" t="str">
        <f>"75063"</f>
        <v>75063</v>
      </c>
    </row>
    <row r="162" spans="1:16" x14ac:dyDescent="0.25">
      <c r="A162" t="str">
        <f>"1020009D00295    00"</f>
        <v>1020009D00295    00</v>
      </c>
      <c r="B162" t="s">
        <v>564</v>
      </c>
      <c r="C162" t="s">
        <v>565</v>
      </c>
      <c r="E162" t="s">
        <v>39</v>
      </c>
      <c r="F162">
        <v>0</v>
      </c>
      <c r="G162">
        <v>0</v>
      </c>
      <c r="H162">
        <v>1</v>
      </c>
      <c r="I162" s="3">
        <v>8005.18</v>
      </c>
      <c r="J162" s="3">
        <v>133.41999999999999</v>
      </c>
      <c r="K162" t="s">
        <v>566</v>
      </c>
      <c r="L162">
        <v>1750</v>
      </c>
      <c r="M162" t="s">
        <v>560</v>
      </c>
      <c r="N162" t="s">
        <v>30</v>
      </c>
      <c r="O162" t="s">
        <v>31</v>
      </c>
      <c r="P162" t="str">
        <f>"15222"</f>
        <v>15222</v>
      </c>
    </row>
    <row r="163" spans="1:16" x14ac:dyDescent="0.25">
      <c r="A163" t="str">
        <f>"1020009D00299    00"</f>
        <v>1020009D00299    00</v>
      </c>
      <c r="B163" t="s">
        <v>567</v>
      </c>
      <c r="C163" t="s">
        <v>568</v>
      </c>
      <c r="E163" t="s">
        <v>39</v>
      </c>
      <c r="F163">
        <v>0</v>
      </c>
      <c r="G163">
        <v>0</v>
      </c>
      <c r="H163">
        <v>3</v>
      </c>
      <c r="I163" s="3">
        <v>9137.4599999999991</v>
      </c>
      <c r="J163" s="3">
        <v>855.76</v>
      </c>
      <c r="K163" t="s">
        <v>569</v>
      </c>
      <c r="M163" t="s">
        <v>570</v>
      </c>
      <c r="N163" t="s">
        <v>571</v>
      </c>
      <c r="O163" t="s">
        <v>423</v>
      </c>
      <c r="P163" t="str">
        <f>"07101"</f>
        <v>07101</v>
      </c>
    </row>
    <row r="164" spans="1:16" x14ac:dyDescent="0.25">
      <c r="A164" t="str">
        <f>"1020009D00301    00"</f>
        <v>1020009D00301    00</v>
      </c>
      <c r="B164" t="s">
        <v>572</v>
      </c>
      <c r="C164" t="s">
        <v>573</v>
      </c>
      <c r="E164" t="s">
        <v>39</v>
      </c>
      <c r="F164">
        <v>0</v>
      </c>
      <c r="G164">
        <v>0</v>
      </c>
      <c r="H164">
        <v>1</v>
      </c>
      <c r="I164" s="3">
        <v>814.18</v>
      </c>
      <c r="J164" s="3">
        <v>223.89</v>
      </c>
      <c r="L164">
        <v>6456</v>
      </c>
      <c r="M164" t="s">
        <v>574</v>
      </c>
      <c r="N164" t="s">
        <v>30</v>
      </c>
      <c r="O164" t="s">
        <v>31</v>
      </c>
      <c r="P164" t="str">
        <f>"15206"</f>
        <v>15206</v>
      </c>
    </row>
    <row r="165" spans="1:16" x14ac:dyDescent="0.25">
      <c r="A165" t="str">
        <f>"1020009D00303    00"</f>
        <v>1020009D00303    00</v>
      </c>
      <c r="B165" t="s">
        <v>575</v>
      </c>
      <c r="C165" t="s">
        <v>576</v>
      </c>
      <c r="D165" t="s">
        <v>20</v>
      </c>
      <c r="E165" t="s">
        <v>39</v>
      </c>
      <c r="F165">
        <v>0</v>
      </c>
      <c r="G165">
        <v>0</v>
      </c>
      <c r="H165">
        <v>1</v>
      </c>
      <c r="I165" s="3">
        <v>172.68</v>
      </c>
      <c r="J165" s="3">
        <v>50.36</v>
      </c>
      <c r="K165" t="s">
        <v>577</v>
      </c>
      <c r="L165">
        <v>436</v>
      </c>
      <c r="M165" t="s">
        <v>578</v>
      </c>
      <c r="N165" t="s">
        <v>579</v>
      </c>
      <c r="O165" t="s">
        <v>273</v>
      </c>
      <c r="P165" t="str">
        <f>"29682"</f>
        <v>29682</v>
      </c>
    </row>
    <row r="166" spans="1:16" x14ac:dyDescent="0.25">
      <c r="A166" t="str">
        <f>"1020009D00305    00"</f>
        <v>1020009D00305    00</v>
      </c>
      <c r="B166" t="s">
        <v>580</v>
      </c>
      <c r="C166" t="s">
        <v>581</v>
      </c>
      <c r="E166" t="s">
        <v>39</v>
      </c>
      <c r="F166">
        <v>0</v>
      </c>
      <c r="G166">
        <v>0</v>
      </c>
      <c r="H166">
        <v>1</v>
      </c>
      <c r="I166" s="3">
        <v>45.25</v>
      </c>
      <c r="J166" s="3">
        <v>12.82</v>
      </c>
      <c r="K166" t="s">
        <v>582</v>
      </c>
      <c r="L166">
        <v>1712</v>
      </c>
      <c r="M166" t="s">
        <v>560</v>
      </c>
      <c r="N166" t="s">
        <v>30</v>
      </c>
      <c r="O166" t="s">
        <v>31</v>
      </c>
      <c r="P166" t="str">
        <f>"15222"</f>
        <v>15222</v>
      </c>
    </row>
    <row r="167" spans="1:16" x14ac:dyDescent="0.25">
      <c r="A167" t="str">
        <f>"1020009H00011    00"</f>
        <v>1020009H00011    00</v>
      </c>
      <c r="B167" t="s">
        <v>583</v>
      </c>
      <c r="C167" t="s">
        <v>584</v>
      </c>
      <c r="E167" t="s">
        <v>21</v>
      </c>
      <c r="F167">
        <v>0</v>
      </c>
      <c r="G167">
        <v>0</v>
      </c>
      <c r="H167">
        <v>1</v>
      </c>
      <c r="I167" s="3">
        <v>10240.82</v>
      </c>
      <c r="J167" s="3">
        <v>2816.12</v>
      </c>
      <c r="L167">
        <v>1649</v>
      </c>
      <c r="M167" t="s">
        <v>585</v>
      </c>
      <c r="N167" t="s">
        <v>30</v>
      </c>
      <c r="O167" t="s">
        <v>31</v>
      </c>
      <c r="P167" t="str">
        <f>"15222"</f>
        <v>15222</v>
      </c>
    </row>
    <row r="168" spans="1:16" x14ac:dyDescent="0.25">
      <c r="A168" t="str">
        <f>"1020009H00072    00"</f>
        <v>1020009H00072    00</v>
      </c>
      <c r="B168" t="s">
        <v>586</v>
      </c>
      <c r="C168" t="s">
        <v>587</v>
      </c>
      <c r="E168" t="s">
        <v>21</v>
      </c>
      <c r="F168">
        <v>0</v>
      </c>
      <c r="G168">
        <v>0</v>
      </c>
      <c r="H168">
        <v>1</v>
      </c>
      <c r="I168" s="3">
        <v>4924.53</v>
      </c>
      <c r="J168" s="3">
        <v>0</v>
      </c>
      <c r="K168" t="s">
        <v>588</v>
      </c>
      <c r="L168">
        <v>2127</v>
      </c>
      <c r="M168" t="s">
        <v>585</v>
      </c>
      <c r="N168" t="s">
        <v>30</v>
      </c>
      <c r="O168" t="s">
        <v>31</v>
      </c>
      <c r="P168" t="str">
        <f>"15222"</f>
        <v>15222</v>
      </c>
    </row>
    <row r="169" spans="1:16" x14ac:dyDescent="0.25">
      <c r="A169" t="str">
        <f>"1020009H00101    00"</f>
        <v>1020009H00101    00</v>
      </c>
      <c r="B169" t="s">
        <v>589</v>
      </c>
      <c r="C169" t="s">
        <v>590</v>
      </c>
      <c r="D169" t="s">
        <v>20</v>
      </c>
      <c r="E169" t="s">
        <v>21</v>
      </c>
      <c r="F169">
        <v>0</v>
      </c>
      <c r="G169">
        <v>0</v>
      </c>
      <c r="H169">
        <v>1</v>
      </c>
      <c r="I169" s="3">
        <v>11794.33</v>
      </c>
      <c r="J169" s="3">
        <v>0</v>
      </c>
      <c r="K169" t="s">
        <v>591</v>
      </c>
      <c r="L169">
        <v>4091</v>
      </c>
      <c r="M169" t="s">
        <v>592</v>
      </c>
      <c r="N169" t="s">
        <v>195</v>
      </c>
      <c r="O169" t="s">
        <v>31</v>
      </c>
      <c r="P169" t="str">
        <f>"15101"</f>
        <v>15101</v>
      </c>
    </row>
    <row r="170" spans="1:16" x14ac:dyDescent="0.25">
      <c r="A170" t="str">
        <f>"1020009H00104    00"</f>
        <v>1020009H00104    00</v>
      </c>
      <c r="B170" t="s">
        <v>589</v>
      </c>
      <c r="C170" t="s">
        <v>590</v>
      </c>
      <c r="D170" t="s">
        <v>20</v>
      </c>
      <c r="E170" t="s">
        <v>21</v>
      </c>
      <c r="F170">
        <v>0</v>
      </c>
      <c r="G170">
        <v>0</v>
      </c>
      <c r="H170">
        <v>1</v>
      </c>
      <c r="I170" s="3">
        <v>557.51</v>
      </c>
      <c r="J170" s="3">
        <v>0</v>
      </c>
      <c r="K170" t="s">
        <v>591</v>
      </c>
      <c r="L170">
        <v>4091</v>
      </c>
      <c r="M170" t="s">
        <v>593</v>
      </c>
      <c r="N170" t="s">
        <v>195</v>
      </c>
      <c r="O170" t="s">
        <v>31</v>
      </c>
      <c r="P170" t="str">
        <f>"15101"</f>
        <v>15101</v>
      </c>
    </row>
    <row r="171" spans="1:16" x14ac:dyDescent="0.25">
      <c r="A171" t="str">
        <f>"1020009H00105    00"</f>
        <v>1020009H00105    00</v>
      </c>
      <c r="B171" t="s">
        <v>589</v>
      </c>
      <c r="C171" t="s">
        <v>590</v>
      </c>
      <c r="D171" t="s">
        <v>20</v>
      </c>
      <c r="E171" t="s">
        <v>21</v>
      </c>
      <c r="F171">
        <v>0</v>
      </c>
      <c r="G171">
        <v>0</v>
      </c>
      <c r="H171">
        <v>1</v>
      </c>
      <c r="I171" s="3">
        <v>557.51</v>
      </c>
      <c r="J171" s="3">
        <v>0</v>
      </c>
      <c r="K171" t="s">
        <v>591</v>
      </c>
      <c r="L171">
        <v>4091</v>
      </c>
      <c r="M171" t="s">
        <v>593</v>
      </c>
      <c r="N171" t="s">
        <v>195</v>
      </c>
      <c r="O171" t="s">
        <v>31</v>
      </c>
      <c r="P171" t="str">
        <f>"15101"</f>
        <v>15101</v>
      </c>
    </row>
    <row r="172" spans="1:16" x14ac:dyDescent="0.25">
      <c r="A172" t="str">
        <f>"1020009H00106    00"</f>
        <v>1020009H00106    00</v>
      </c>
      <c r="B172" t="s">
        <v>589</v>
      </c>
      <c r="C172" t="s">
        <v>590</v>
      </c>
      <c r="D172" t="s">
        <v>20</v>
      </c>
      <c r="E172" t="s">
        <v>21</v>
      </c>
      <c r="F172">
        <v>0</v>
      </c>
      <c r="G172">
        <v>0</v>
      </c>
      <c r="H172">
        <v>1</v>
      </c>
      <c r="I172" s="3">
        <v>895.82</v>
      </c>
      <c r="J172" s="3">
        <v>0</v>
      </c>
      <c r="K172" t="s">
        <v>591</v>
      </c>
      <c r="L172">
        <v>4091</v>
      </c>
      <c r="M172" t="s">
        <v>593</v>
      </c>
      <c r="N172" t="s">
        <v>195</v>
      </c>
      <c r="O172" t="s">
        <v>31</v>
      </c>
      <c r="P172" t="str">
        <f>"15101"</f>
        <v>15101</v>
      </c>
    </row>
    <row r="173" spans="1:16" x14ac:dyDescent="0.25">
      <c r="A173" t="str">
        <f>"1020009K00056    00"</f>
        <v>1020009K00056    00</v>
      </c>
      <c r="B173" t="s">
        <v>594</v>
      </c>
      <c r="C173" t="s">
        <v>595</v>
      </c>
      <c r="E173" t="s">
        <v>21</v>
      </c>
      <c r="F173">
        <v>0</v>
      </c>
      <c r="G173">
        <v>0</v>
      </c>
      <c r="H173">
        <v>1</v>
      </c>
      <c r="I173" s="3">
        <v>49.51</v>
      </c>
      <c r="J173" s="3">
        <v>0</v>
      </c>
      <c r="K173" t="s">
        <v>596</v>
      </c>
      <c r="L173">
        <v>1125</v>
      </c>
      <c r="M173" t="s">
        <v>597</v>
      </c>
      <c r="N173" t="s">
        <v>30</v>
      </c>
      <c r="O173" t="s">
        <v>31</v>
      </c>
      <c r="P173" t="str">
        <f>"15222"</f>
        <v>15222</v>
      </c>
    </row>
    <row r="174" spans="1:16" x14ac:dyDescent="0.25">
      <c r="A174" t="str">
        <f>"1020009K00062    00"</f>
        <v>1020009K00062    00</v>
      </c>
      <c r="B174" t="s">
        <v>598</v>
      </c>
      <c r="C174" t="s">
        <v>599</v>
      </c>
      <c r="D174" t="s">
        <v>20</v>
      </c>
      <c r="E174" t="s">
        <v>21</v>
      </c>
      <c r="F174">
        <v>0</v>
      </c>
      <c r="G174">
        <v>0</v>
      </c>
      <c r="H174">
        <v>1</v>
      </c>
      <c r="I174" s="3">
        <v>6432.76</v>
      </c>
      <c r="J174" s="3">
        <v>0</v>
      </c>
      <c r="K174" t="s">
        <v>600</v>
      </c>
      <c r="L174">
        <v>2639</v>
      </c>
      <c r="M174" t="s">
        <v>601</v>
      </c>
      <c r="N174" t="s">
        <v>30</v>
      </c>
      <c r="O174" t="s">
        <v>31</v>
      </c>
      <c r="P174" t="str">
        <f>"15222"</f>
        <v>15222</v>
      </c>
    </row>
    <row r="175" spans="1:16" x14ac:dyDescent="0.25">
      <c r="A175" t="str">
        <f>"1020009L00150    01"</f>
        <v>1020009L00150    01</v>
      </c>
      <c r="B175" t="s">
        <v>602</v>
      </c>
      <c r="C175" t="s">
        <v>512</v>
      </c>
      <c r="D175" t="s">
        <v>20</v>
      </c>
      <c r="E175" t="s">
        <v>513</v>
      </c>
      <c r="F175">
        <v>0</v>
      </c>
      <c r="G175">
        <v>0</v>
      </c>
      <c r="H175">
        <v>19</v>
      </c>
      <c r="I175" s="3">
        <v>6937.34</v>
      </c>
      <c r="J175" s="3">
        <v>1176.4100000000001</v>
      </c>
      <c r="K175" t="s">
        <v>603</v>
      </c>
      <c r="L175">
        <v>650</v>
      </c>
      <c r="M175" t="s">
        <v>604</v>
      </c>
      <c r="N175" t="s">
        <v>605</v>
      </c>
      <c r="O175" t="s">
        <v>606</v>
      </c>
      <c r="P175" t="str">
        <f>"30308"</f>
        <v>30308</v>
      </c>
    </row>
    <row r="176" spans="1:16" x14ac:dyDescent="0.25">
      <c r="A176" t="str">
        <f>"1020009M00073B   00"</f>
        <v>1020009M00073B   00</v>
      </c>
      <c r="B176" t="s">
        <v>607</v>
      </c>
      <c r="C176" t="s">
        <v>608</v>
      </c>
      <c r="E176" t="s">
        <v>39</v>
      </c>
      <c r="F176">
        <v>0</v>
      </c>
      <c r="G176">
        <v>0</v>
      </c>
      <c r="H176">
        <v>11</v>
      </c>
      <c r="I176" s="3">
        <v>917.15</v>
      </c>
      <c r="J176" s="3">
        <v>1437.84</v>
      </c>
      <c r="K176" t="s">
        <v>609</v>
      </c>
      <c r="L176">
        <v>406</v>
      </c>
      <c r="M176" t="s">
        <v>610</v>
      </c>
      <c r="N176" t="s">
        <v>30</v>
      </c>
      <c r="O176" t="s">
        <v>31</v>
      </c>
      <c r="P176" t="str">
        <f>"15241"</f>
        <v>15241</v>
      </c>
    </row>
    <row r="177" spans="1:16" x14ac:dyDescent="0.25">
      <c r="A177" t="str">
        <f>"1020009N00030    00"</f>
        <v>1020009N00030    00</v>
      </c>
      <c r="B177" t="s">
        <v>611</v>
      </c>
      <c r="C177" t="s">
        <v>612</v>
      </c>
      <c r="D177" t="s">
        <v>20</v>
      </c>
      <c r="E177" t="s">
        <v>21</v>
      </c>
      <c r="F177">
        <v>0</v>
      </c>
      <c r="G177">
        <v>0</v>
      </c>
      <c r="H177">
        <v>1</v>
      </c>
      <c r="I177" s="3">
        <v>6232.62</v>
      </c>
      <c r="J177" s="3">
        <v>0</v>
      </c>
      <c r="K177" t="s">
        <v>613</v>
      </c>
      <c r="L177">
        <v>967</v>
      </c>
      <c r="M177" t="s">
        <v>614</v>
      </c>
      <c r="N177" t="s">
        <v>30</v>
      </c>
      <c r="O177" t="s">
        <v>31</v>
      </c>
      <c r="P177" t="str">
        <f>"15222"</f>
        <v>15222</v>
      </c>
    </row>
    <row r="178" spans="1:16" x14ac:dyDescent="0.25">
      <c r="A178" t="str">
        <f>"1020009N000391B  00"</f>
        <v>1020009N000391B  00</v>
      </c>
      <c r="B178" t="s">
        <v>615</v>
      </c>
      <c r="C178" t="s">
        <v>616</v>
      </c>
      <c r="D178" t="s">
        <v>20</v>
      </c>
      <c r="E178" t="s">
        <v>21</v>
      </c>
      <c r="F178">
        <v>0</v>
      </c>
      <c r="G178">
        <v>0</v>
      </c>
      <c r="H178">
        <v>1</v>
      </c>
      <c r="I178" s="3">
        <v>2973.36</v>
      </c>
      <c r="J178" s="3">
        <v>0</v>
      </c>
      <c r="K178" t="s">
        <v>617</v>
      </c>
      <c r="L178">
        <v>112</v>
      </c>
      <c r="M178" t="s">
        <v>618</v>
      </c>
      <c r="N178" t="s">
        <v>30</v>
      </c>
      <c r="O178" t="s">
        <v>31</v>
      </c>
      <c r="P178" t="str">
        <f>"15241"</f>
        <v>15241</v>
      </c>
    </row>
    <row r="179" spans="1:16" x14ac:dyDescent="0.25">
      <c r="A179" t="str">
        <f>"1020009N00040    00"</f>
        <v>1020009N00040    00</v>
      </c>
      <c r="B179" t="s">
        <v>619</v>
      </c>
      <c r="C179" t="s">
        <v>620</v>
      </c>
      <c r="D179" t="s">
        <v>20</v>
      </c>
      <c r="E179" t="s">
        <v>21</v>
      </c>
      <c r="F179">
        <v>0</v>
      </c>
      <c r="G179">
        <v>0</v>
      </c>
      <c r="H179">
        <v>8</v>
      </c>
      <c r="I179" s="3">
        <v>52590.89</v>
      </c>
      <c r="J179" s="3">
        <v>15450.89</v>
      </c>
      <c r="L179">
        <v>949</v>
      </c>
      <c r="M179" t="s">
        <v>614</v>
      </c>
      <c r="N179" t="s">
        <v>30</v>
      </c>
      <c r="O179" t="s">
        <v>31</v>
      </c>
      <c r="P179" t="str">
        <f>"15222"</f>
        <v>15222</v>
      </c>
    </row>
    <row r="180" spans="1:16" x14ac:dyDescent="0.25">
      <c r="A180" t="str">
        <f>"1020009N00059    00"</f>
        <v>1020009N00059    00</v>
      </c>
      <c r="B180" t="s">
        <v>621</v>
      </c>
      <c r="C180" t="s">
        <v>622</v>
      </c>
      <c r="D180" t="s">
        <v>57</v>
      </c>
      <c r="E180" t="s">
        <v>21</v>
      </c>
      <c r="F180">
        <v>0</v>
      </c>
      <c r="G180">
        <v>0</v>
      </c>
      <c r="H180">
        <v>2</v>
      </c>
      <c r="I180" s="3">
        <v>2843.55</v>
      </c>
      <c r="J180" s="3">
        <v>717.83</v>
      </c>
      <c r="K180" t="s">
        <v>623</v>
      </c>
      <c r="L180">
        <v>612</v>
      </c>
      <c r="M180" t="s">
        <v>624</v>
      </c>
      <c r="N180" t="s">
        <v>625</v>
      </c>
      <c r="O180" t="s">
        <v>31</v>
      </c>
      <c r="P180" t="str">
        <f>"15108"</f>
        <v>15108</v>
      </c>
    </row>
    <row r="181" spans="1:16" x14ac:dyDescent="0.25">
      <c r="A181" t="str">
        <f>"1020009N00066    00"</f>
        <v>1020009N00066    00</v>
      </c>
      <c r="B181" t="s">
        <v>626</v>
      </c>
      <c r="C181" t="s">
        <v>627</v>
      </c>
      <c r="E181" t="s">
        <v>21</v>
      </c>
      <c r="F181">
        <v>0</v>
      </c>
      <c r="G181">
        <v>0</v>
      </c>
      <c r="H181">
        <v>1</v>
      </c>
      <c r="I181" s="3">
        <v>2345.0100000000002</v>
      </c>
      <c r="J181" s="3">
        <v>0</v>
      </c>
      <c r="L181">
        <v>819</v>
      </c>
      <c r="M181" t="s">
        <v>614</v>
      </c>
      <c r="N181" t="s">
        <v>30</v>
      </c>
      <c r="O181" t="s">
        <v>31</v>
      </c>
      <c r="P181" t="str">
        <f>"15222"</f>
        <v>15222</v>
      </c>
    </row>
    <row r="182" spans="1:16" x14ac:dyDescent="0.25">
      <c r="A182" t="str">
        <f>"1020009N00076    00"</f>
        <v>1020009N00076    00</v>
      </c>
      <c r="B182" t="s">
        <v>628</v>
      </c>
      <c r="C182" t="s">
        <v>629</v>
      </c>
      <c r="D182" t="s">
        <v>20</v>
      </c>
      <c r="E182" t="s">
        <v>21</v>
      </c>
      <c r="F182">
        <v>0</v>
      </c>
      <c r="G182">
        <v>0</v>
      </c>
      <c r="H182">
        <v>2</v>
      </c>
      <c r="I182" s="3">
        <v>59235.31</v>
      </c>
      <c r="J182" s="3">
        <v>7520.63</v>
      </c>
      <c r="K182" t="s">
        <v>630</v>
      </c>
      <c r="L182">
        <v>901</v>
      </c>
      <c r="M182" t="s">
        <v>631</v>
      </c>
      <c r="N182" t="s">
        <v>509</v>
      </c>
      <c r="O182" t="s">
        <v>31</v>
      </c>
      <c r="P182" t="str">
        <f>"19123"</f>
        <v>19123</v>
      </c>
    </row>
    <row r="183" spans="1:16" x14ac:dyDescent="0.25">
      <c r="A183" t="str">
        <f>"1020009N00078    00"</f>
        <v>1020009N00078    00</v>
      </c>
      <c r="B183" t="s">
        <v>632</v>
      </c>
      <c r="C183" t="s">
        <v>633</v>
      </c>
      <c r="D183" t="s">
        <v>20</v>
      </c>
      <c r="E183" t="s">
        <v>21</v>
      </c>
      <c r="F183">
        <v>0</v>
      </c>
      <c r="G183">
        <v>0</v>
      </c>
      <c r="H183">
        <v>2</v>
      </c>
      <c r="I183" s="3">
        <v>24903.82</v>
      </c>
      <c r="J183" s="3">
        <v>0</v>
      </c>
      <c r="K183" t="s">
        <v>634</v>
      </c>
      <c r="L183">
        <v>300</v>
      </c>
      <c r="M183" t="s">
        <v>635</v>
      </c>
      <c r="N183" t="s">
        <v>636</v>
      </c>
      <c r="O183" t="s">
        <v>31</v>
      </c>
      <c r="P183" t="str">
        <f>"15104"</f>
        <v>15104</v>
      </c>
    </row>
    <row r="184" spans="1:16" x14ac:dyDescent="0.25">
      <c r="A184" t="str">
        <f>"1020009N00079    00"</f>
        <v>1020009N00079    00</v>
      </c>
      <c r="B184" t="s">
        <v>637</v>
      </c>
      <c r="C184" t="s">
        <v>638</v>
      </c>
      <c r="E184" t="s">
        <v>39</v>
      </c>
      <c r="F184">
        <v>0</v>
      </c>
      <c r="G184">
        <v>0</v>
      </c>
      <c r="H184">
        <v>1</v>
      </c>
      <c r="I184" s="3">
        <v>164.12</v>
      </c>
      <c r="J184" s="3">
        <v>179.16</v>
      </c>
      <c r="K184" t="s">
        <v>639</v>
      </c>
      <c r="L184">
        <v>806</v>
      </c>
      <c r="M184" t="s">
        <v>585</v>
      </c>
      <c r="N184" t="s">
        <v>30</v>
      </c>
      <c r="O184" t="s">
        <v>31</v>
      </c>
      <c r="P184" t="str">
        <f>"15222"</f>
        <v>15222</v>
      </c>
    </row>
    <row r="185" spans="1:16" x14ac:dyDescent="0.25">
      <c r="A185" t="str">
        <f>"1020009N00092    00"</f>
        <v>1020009N00092    00</v>
      </c>
      <c r="B185" t="s">
        <v>640</v>
      </c>
      <c r="C185" t="s">
        <v>641</v>
      </c>
      <c r="D185" t="s">
        <v>20</v>
      </c>
      <c r="E185" t="s">
        <v>21</v>
      </c>
      <c r="F185">
        <v>0</v>
      </c>
      <c r="G185">
        <v>0</v>
      </c>
      <c r="H185">
        <v>1</v>
      </c>
      <c r="I185" s="3">
        <v>31064.43</v>
      </c>
      <c r="J185" s="3">
        <v>0</v>
      </c>
      <c r="K185" t="s">
        <v>642</v>
      </c>
      <c r="L185">
        <v>901</v>
      </c>
      <c r="M185" t="s">
        <v>643</v>
      </c>
      <c r="N185" t="s">
        <v>509</v>
      </c>
      <c r="O185" t="s">
        <v>31</v>
      </c>
      <c r="P185" t="str">
        <f>"19123"</f>
        <v>19123</v>
      </c>
    </row>
    <row r="186" spans="1:16" x14ac:dyDescent="0.25">
      <c r="A186" t="str">
        <f>"1020009N00115    00"</f>
        <v>1020009N00115    00</v>
      </c>
      <c r="B186" t="s">
        <v>644</v>
      </c>
      <c r="C186" t="s">
        <v>645</v>
      </c>
      <c r="E186" t="s">
        <v>21</v>
      </c>
      <c r="F186">
        <v>0</v>
      </c>
      <c r="G186">
        <v>0</v>
      </c>
      <c r="H186">
        <v>3</v>
      </c>
      <c r="I186" s="3">
        <v>23060.18</v>
      </c>
      <c r="J186" s="3">
        <v>277.83</v>
      </c>
      <c r="K186" t="s">
        <v>646</v>
      </c>
      <c r="L186">
        <v>204</v>
      </c>
      <c r="M186" t="s">
        <v>647</v>
      </c>
      <c r="N186" t="s">
        <v>30</v>
      </c>
      <c r="O186" t="s">
        <v>31</v>
      </c>
      <c r="P186" t="str">
        <f>"15222"</f>
        <v>15222</v>
      </c>
    </row>
    <row r="187" spans="1:16" x14ac:dyDescent="0.25">
      <c r="A187" t="str">
        <f>"1020009N00122    00"</f>
        <v>1020009N00122    00</v>
      </c>
      <c r="B187" t="s">
        <v>648</v>
      </c>
      <c r="C187" t="s">
        <v>649</v>
      </c>
      <c r="E187" t="s">
        <v>21</v>
      </c>
      <c r="F187">
        <v>0</v>
      </c>
      <c r="G187">
        <v>0</v>
      </c>
      <c r="H187">
        <v>4</v>
      </c>
      <c r="I187" s="3">
        <v>32.020000000000003</v>
      </c>
      <c r="J187" s="3">
        <v>0</v>
      </c>
      <c r="K187" t="s">
        <v>650</v>
      </c>
      <c r="L187">
        <v>9294</v>
      </c>
      <c r="M187" t="s">
        <v>651</v>
      </c>
      <c r="N187" t="s">
        <v>652</v>
      </c>
      <c r="O187" t="s">
        <v>108</v>
      </c>
      <c r="P187" t="str">
        <f>"77024"</f>
        <v>77024</v>
      </c>
    </row>
    <row r="188" spans="1:16" x14ac:dyDescent="0.25">
      <c r="A188" t="str">
        <f>"1020009N00133    00"</f>
        <v>1020009N00133    00</v>
      </c>
      <c r="B188" t="s">
        <v>653</v>
      </c>
      <c r="C188" t="s">
        <v>654</v>
      </c>
      <c r="D188" t="s">
        <v>57</v>
      </c>
      <c r="E188" t="s">
        <v>21</v>
      </c>
      <c r="F188">
        <v>0</v>
      </c>
      <c r="G188">
        <v>0</v>
      </c>
      <c r="H188">
        <v>1</v>
      </c>
      <c r="I188" s="3">
        <v>5512.67</v>
      </c>
      <c r="J188" s="3">
        <v>0</v>
      </c>
      <c r="K188" t="s">
        <v>655</v>
      </c>
      <c r="L188">
        <v>12600</v>
      </c>
      <c r="M188" t="s">
        <v>656</v>
      </c>
      <c r="N188" t="s">
        <v>657</v>
      </c>
      <c r="O188" t="s">
        <v>658</v>
      </c>
      <c r="P188" t="str">
        <f>"73738"</f>
        <v>73738</v>
      </c>
    </row>
    <row r="189" spans="1:16" x14ac:dyDescent="0.25">
      <c r="A189" t="str">
        <f>"1020009N00137030100"</f>
        <v>1020009N00137030100</v>
      </c>
      <c r="B189" t="s">
        <v>659</v>
      </c>
      <c r="C189" t="s">
        <v>660</v>
      </c>
      <c r="E189" t="s">
        <v>39</v>
      </c>
      <c r="F189">
        <v>0</v>
      </c>
      <c r="G189">
        <v>0</v>
      </c>
      <c r="H189">
        <v>1</v>
      </c>
      <c r="I189" s="3">
        <v>4561.25</v>
      </c>
      <c r="J189" s="3">
        <v>0</v>
      </c>
      <c r="K189" t="s">
        <v>661</v>
      </c>
      <c r="L189">
        <v>1740</v>
      </c>
      <c r="M189" t="s">
        <v>662</v>
      </c>
      <c r="N189" t="s">
        <v>30</v>
      </c>
      <c r="O189" t="s">
        <v>31</v>
      </c>
      <c r="P189" t="str">
        <f>"15222"</f>
        <v>15222</v>
      </c>
    </row>
    <row r="190" spans="1:16" x14ac:dyDescent="0.25">
      <c r="A190" t="str">
        <f>"1020009N00137080100"</f>
        <v>1020009N00137080100</v>
      </c>
      <c r="B190" t="s">
        <v>663</v>
      </c>
      <c r="C190" t="s">
        <v>664</v>
      </c>
      <c r="E190" t="s">
        <v>39</v>
      </c>
      <c r="F190">
        <v>0</v>
      </c>
      <c r="G190">
        <v>0</v>
      </c>
      <c r="H190">
        <v>1</v>
      </c>
      <c r="I190" s="3">
        <v>1809.56</v>
      </c>
      <c r="J190" s="3">
        <v>1447.59</v>
      </c>
      <c r="L190">
        <v>114</v>
      </c>
      <c r="M190" t="s">
        <v>665</v>
      </c>
      <c r="N190" t="s">
        <v>666</v>
      </c>
      <c r="O190" t="s">
        <v>31</v>
      </c>
      <c r="P190" t="str">
        <f>"16002"</f>
        <v>16002</v>
      </c>
    </row>
    <row r="191" spans="1:16" x14ac:dyDescent="0.25">
      <c r="A191" t="str">
        <f>"1020009N00141    00"</f>
        <v>1020009N00141    00</v>
      </c>
      <c r="B191" t="s">
        <v>667</v>
      </c>
      <c r="C191" t="s">
        <v>668</v>
      </c>
      <c r="D191" t="s">
        <v>20</v>
      </c>
      <c r="E191" t="s">
        <v>21</v>
      </c>
      <c r="F191">
        <v>0</v>
      </c>
      <c r="G191">
        <v>0</v>
      </c>
      <c r="H191">
        <v>2</v>
      </c>
      <c r="I191" s="3">
        <v>45210.36</v>
      </c>
      <c r="J191" s="3">
        <v>0</v>
      </c>
      <c r="K191" t="s">
        <v>669</v>
      </c>
      <c r="L191">
        <v>5544</v>
      </c>
      <c r="M191" t="s">
        <v>246</v>
      </c>
      <c r="N191" t="s">
        <v>30</v>
      </c>
      <c r="O191" t="s">
        <v>31</v>
      </c>
      <c r="P191" t="str">
        <f>"15217"</f>
        <v>15217</v>
      </c>
    </row>
    <row r="192" spans="1:16" x14ac:dyDescent="0.25">
      <c r="A192" t="str">
        <f>"1020009N00148    00"</f>
        <v>1020009N00148    00</v>
      </c>
      <c r="B192" t="s">
        <v>670</v>
      </c>
      <c r="C192" t="s">
        <v>671</v>
      </c>
      <c r="D192" t="s">
        <v>20</v>
      </c>
      <c r="E192" t="s">
        <v>21</v>
      </c>
      <c r="F192">
        <v>0</v>
      </c>
      <c r="G192">
        <v>0</v>
      </c>
      <c r="H192">
        <v>13</v>
      </c>
      <c r="I192" s="3">
        <v>31985.279999999999</v>
      </c>
      <c r="J192" s="3">
        <v>17019.55</v>
      </c>
      <c r="O192" t="s">
        <v>31</v>
      </c>
      <c r="P192" t="str">
        <f>"15222"</f>
        <v>15222</v>
      </c>
    </row>
    <row r="193" spans="1:16" x14ac:dyDescent="0.25">
      <c r="A193" t="str">
        <f>"1020009N00158    00"</f>
        <v>1020009N00158    00</v>
      </c>
      <c r="B193" t="s">
        <v>672</v>
      </c>
      <c r="C193" t="s">
        <v>673</v>
      </c>
      <c r="D193" t="s">
        <v>20</v>
      </c>
      <c r="E193" t="s">
        <v>21</v>
      </c>
      <c r="F193">
        <v>0</v>
      </c>
      <c r="G193">
        <v>0</v>
      </c>
      <c r="H193">
        <v>5</v>
      </c>
      <c r="I193" s="3">
        <v>151336.54999999999</v>
      </c>
      <c r="J193" s="3">
        <v>22793.27</v>
      </c>
      <c r="L193">
        <v>1315</v>
      </c>
      <c r="M193" t="s">
        <v>144</v>
      </c>
      <c r="N193" t="s">
        <v>30</v>
      </c>
      <c r="O193" t="s">
        <v>31</v>
      </c>
      <c r="P193" t="str">
        <f>"15212"</f>
        <v>15212</v>
      </c>
    </row>
    <row r="194" spans="1:16" x14ac:dyDescent="0.25">
      <c r="A194" t="str">
        <f>"1020009N00239    00"</f>
        <v>1020009N00239    00</v>
      </c>
      <c r="B194" t="s">
        <v>674</v>
      </c>
      <c r="C194" t="s">
        <v>675</v>
      </c>
      <c r="E194" t="s">
        <v>21</v>
      </c>
      <c r="F194">
        <v>0</v>
      </c>
      <c r="G194">
        <v>0</v>
      </c>
      <c r="H194">
        <v>1</v>
      </c>
      <c r="I194" s="3">
        <v>12631.2</v>
      </c>
      <c r="J194" s="3">
        <v>3789.21</v>
      </c>
      <c r="K194" t="s">
        <v>676</v>
      </c>
      <c r="L194">
        <v>1</v>
      </c>
      <c r="M194" t="s">
        <v>677</v>
      </c>
      <c r="N194" t="s">
        <v>30</v>
      </c>
      <c r="O194" t="s">
        <v>31</v>
      </c>
      <c r="P194" t="str">
        <f>"15219"</f>
        <v>15219</v>
      </c>
    </row>
    <row r="195" spans="1:16" x14ac:dyDescent="0.25">
      <c r="A195" t="str">
        <f>"1020009N00407    00"</f>
        <v>1020009N00407    00</v>
      </c>
      <c r="B195" t="s">
        <v>678</v>
      </c>
      <c r="C195" t="s">
        <v>679</v>
      </c>
      <c r="E195" t="s">
        <v>39</v>
      </c>
      <c r="F195">
        <v>0</v>
      </c>
      <c r="G195">
        <v>0</v>
      </c>
      <c r="H195">
        <v>2</v>
      </c>
      <c r="I195" s="3">
        <v>10348.56</v>
      </c>
      <c r="J195" s="3">
        <v>5.08</v>
      </c>
      <c r="K195" t="s">
        <v>680</v>
      </c>
      <c r="L195">
        <v>109</v>
      </c>
      <c r="M195" t="s">
        <v>681</v>
      </c>
      <c r="N195" t="s">
        <v>682</v>
      </c>
      <c r="O195" t="s">
        <v>31</v>
      </c>
      <c r="P195" t="str">
        <f>"16137"</f>
        <v>16137</v>
      </c>
    </row>
    <row r="196" spans="1:16" x14ac:dyDescent="0.25">
      <c r="A196" t="str">
        <f>"1020009P00050000100"</f>
        <v>1020009P00050000100</v>
      </c>
      <c r="B196" t="s">
        <v>683</v>
      </c>
      <c r="C196" t="s">
        <v>684</v>
      </c>
      <c r="D196" t="s">
        <v>20</v>
      </c>
      <c r="E196" t="s">
        <v>21</v>
      </c>
      <c r="F196">
        <v>0</v>
      </c>
      <c r="G196">
        <v>0</v>
      </c>
      <c r="H196">
        <v>1</v>
      </c>
      <c r="I196" s="3">
        <v>560935.80000000005</v>
      </c>
      <c r="J196" s="3">
        <v>0</v>
      </c>
      <c r="K196" t="s">
        <v>685</v>
      </c>
      <c r="L196">
        <v>400</v>
      </c>
      <c r="M196" t="s">
        <v>686</v>
      </c>
      <c r="N196" t="s">
        <v>605</v>
      </c>
      <c r="O196" t="s">
        <v>606</v>
      </c>
      <c r="P196" t="str">
        <f>"30339"</f>
        <v>30339</v>
      </c>
    </row>
    <row r="197" spans="1:16" x14ac:dyDescent="0.25">
      <c r="A197" t="str">
        <f>"1020009P00170A   03"</f>
        <v>1020009P00170A   03</v>
      </c>
      <c r="B197" t="s">
        <v>687</v>
      </c>
      <c r="C197" t="s">
        <v>688</v>
      </c>
      <c r="E197" t="s">
        <v>513</v>
      </c>
      <c r="F197">
        <v>0</v>
      </c>
      <c r="G197">
        <v>0</v>
      </c>
      <c r="H197">
        <v>6</v>
      </c>
      <c r="I197" s="3">
        <v>125696.12</v>
      </c>
      <c r="J197" s="3">
        <v>191114.36</v>
      </c>
      <c r="K197" t="s">
        <v>603</v>
      </c>
      <c r="L197">
        <v>650</v>
      </c>
      <c r="M197" t="s">
        <v>604</v>
      </c>
      <c r="N197" t="s">
        <v>605</v>
      </c>
      <c r="O197" t="s">
        <v>606</v>
      </c>
      <c r="P197" t="str">
        <f>"30308"</f>
        <v>30308</v>
      </c>
    </row>
    <row r="198" spans="1:16" x14ac:dyDescent="0.25">
      <c r="A198" t="str">
        <f>"1020009P00202    01"</f>
        <v>1020009P00202    01</v>
      </c>
      <c r="B198" t="s">
        <v>689</v>
      </c>
      <c r="C198" t="s">
        <v>512</v>
      </c>
      <c r="E198" t="s">
        <v>513</v>
      </c>
      <c r="F198">
        <v>0</v>
      </c>
      <c r="G198">
        <v>0</v>
      </c>
      <c r="H198">
        <v>8</v>
      </c>
      <c r="I198" s="3">
        <v>31660.03</v>
      </c>
      <c r="J198" s="3">
        <v>44743.51</v>
      </c>
      <c r="K198" t="s">
        <v>603</v>
      </c>
      <c r="L198">
        <v>3</v>
      </c>
      <c r="M198" t="s">
        <v>690</v>
      </c>
      <c r="N198" t="s">
        <v>691</v>
      </c>
      <c r="O198" t="s">
        <v>692</v>
      </c>
      <c r="P198" t="str">
        <f>"23510"</f>
        <v>23510</v>
      </c>
    </row>
    <row r="199" spans="1:16" x14ac:dyDescent="0.25">
      <c r="A199" t="str">
        <f>"1020010A00026    00"</f>
        <v>1020010A00026    00</v>
      </c>
      <c r="B199" t="s">
        <v>693</v>
      </c>
      <c r="C199" t="s">
        <v>694</v>
      </c>
      <c r="E199" t="s">
        <v>21</v>
      </c>
      <c r="F199">
        <v>0</v>
      </c>
      <c r="G199">
        <v>0</v>
      </c>
      <c r="H199">
        <v>2</v>
      </c>
      <c r="I199" s="3">
        <v>2377.1999999999998</v>
      </c>
      <c r="J199" s="3">
        <v>27</v>
      </c>
      <c r="K199" t="s">
        <v>695</v>
      </c>
      <c r="L199">
        <v>99</v>
      </c>
      <c r="M199" t="s">
        <v>696</v>
      </c>
      <c r="N199" t="s">
        <v>625</v>
      </c>
      <c r="O199" t="s">
        <v>31</v>
      </c>
      <c r="P199" t="str">
        <f>"15108"</f>
        <v>15108</v>
      </c>
    </row>
    <row r="200" spans="1:16" x14ac:dyDescent="0.25">
      <c r="A200" t="str">
        <f>"1020025J00150    00"</f>
        <v>1020025J00150    00</v>
      </c>
      <c r="B200" t="s">
        <v>697</v>
      </c>
      <c r="C200" t="s">
        <v>698</v>
      </c>
      <c r="E200" t="s">
        <v>21</v>
      </c>
      <c r="F200">
        <v>0</v>
      </c>
      <c r="G200">
        <v>0</v>
      </c>
      <c r="H200">
        <v>2</v>
      </c>
      <c r="I200" s="3">
        <v>22012.93</v>
      </c>
      <c r="J200" s="3">
        <v>727.73</v>
      </c>
      <c r="K200" t="s">
        <v>699</v>
      </c>
      <c r="L200">
        <v>1</v>
      </c>
      <c r="M200" t="s">
        <v>700</v>
      </c>
      <c r="N200" t="s">
        <v>199</v>
      </c>
      <c r="O200" t="s">
        <v>200</v>
      </c>
      <c r="P200" t="str">
        <f>"10013"</f>
        <v>10013</v>
      </c>
    </row>
    <row r="201" spans="1:16" x14ac:dyDescent="0.25">
      <c r="A201" t="str">
        <f>"1020025J00187    00"</f>
        <v>1020025J00187    00</v>
      </c>
      <c r="B201" t="s">
        <v>701</v>
      </c>
      <c r="C201" t="s">
        <v>702</v>
      </c>
      <c r="E201" t="s">
        <v>21</v>
      </c>
      <c r="F201">
        <v>0</v>
      </c>
      <c r="G201">
        <v>0</v>
      </c>
      <c r="H201">
        <v>2</v>
      </c>
      <c r="I201" s="3">
        <v>100.25</v>
      </c>
      <c r="J201" s="3">
        <v>31.73</v>
      </c>
      <c r="L201">
        <v>1</v>
      </c>
      <c r="M201" t="s">
        <v>703</v>
      </c>
      <c r="N201" t="s">
        <v>30</v>
      </c>
      <c r="O201" t="s">
        <v>31</v>
      </c>
      <c r="P201" t="str">
        <f>"15203"</f>
        <v>15203</v>
      </c>
    </row>
    <row r="202" spans="1:16" x14ac:dyDescent="0.25">
      <c r="A202" t="str">
        <f>"1020025K00162020100"</f>
        <v>1020025K00162020100</v>
      </c>
      <c r="B202" t="s">
        <v>704</v>
      </c>
      <c r="C202" t="s">
        <v>705</v>
      </c>
      <c r="E202" t="s">
        <v>39</v>
      </c>
      <c r="F202">
        <v>0</v>
      </c>
      <c r="G202">
        <v>0</v>
      </c>
      <c r="H202">
        <v>1</v>
      </c>
      <c r="I202" s="3">
        <v>173.46</v>
      </c>
      <c r="J202" s="3">
        <v>0</v>
      </c>
      <c r="K202" t="s">
        <v>706</v>
      </c>
      <c r="L202">
        <v>2635</v>
      </c>
      <c r="M202" t="s">
        <v>707</v>
      </c>
      <c r="N202" t="s">
        <v>30</v>
      </c>
      <c r="O202" t="s">
        <v>31</v>
      </c>
      <c r="P202" t="str">
        <f>"15222"</f>
        <v>15222</v>
      </c>
    </row>
    <row r="203" spans="1:16" x14ac:dyDescent="0.25">
      <c r="A203" t="str">
        <f>"1020025K00162020300"</f>
        <v>1020025K00162020300</v>
      </c>
      <c r="B203" t="s">
        <v>708</v>
      </c>
      <c r="C203" t="s">
        <v>709</v>
      </c>
      <c r="E203" t="s">
        <v>39</v>
      </c>
      <c r="F203">
        <v>0</v>
      </c>
      <c r="G203">
        <v>0</v>
      </c>
      <c r="H203">
        <v>1</v>
      </c>
      <c r="I203" s="3">
        <v>6122.07</v>
      </c>
      <c r="J203" s="3">
        <v>0</v>
      </c>
      <c r="K203" t="s">
        <v>710</v>
      </c>
      <c r="L203">
        <v>4140</v>
      </c>
      <c r="M203" t="s">
        <v>711</v>
      </c>
      <c r="N203" t="s">
        <v>712</v>
      </c>
      <c r="O203" t="s">
        <v>31</v>
      </c>
      <c r="P203" t="str">
        <f>"16148"</f>
        <v>16148</v>
      </c>
    </row>
    <row r="204" spans="1:16" x14ac:dyDescent="0.25">
      <c r="A204" t="str">
        <f>"1020025K00162021200"</f>
        <v>1020025K00162021200</v>
      </c>
      <c r="B204" t="s">
        <v>713</v>
      </c>
      <c r="C204" t="s">
        <v>714</v>
      </c>
      <c r="E204" t="s">
        <v>39</v>
      </c>
      <c r="F204">
        <v>0</v>
      </c>
      <c r="G204">
        <v>0</v>
      </c>
      <c r="H204">
        <v>1</v>
      </c>
      <c r="I204" s="3">
        <v>173.46</v>
      </c>
      <c r="J204" s="3">
        <v>0</v>
      </c>
      <c r="K204" t="s">
        <v>715</v>
      </c>
      <c r="L204">
        <v>2635</v>
      </c>
      <c r="M204" t="s">
        <v>716</v>
      </c>
      <c r="N204" t="s">
        <v>30</v>
      </c>
      <c r="O204" t="s">
        <v>31</v>
      </c>
      <c r="P204" t="str">
        <f>"15222"</f>
        <v>15222</v>
      </c>
    </row>
    <row r="205" spans="1:16" x14ac:dyDescent="0.25">
      <c r="A205" t="str">
        <f>"1020025K00162031500"</f>
        <v>1020025K00162031500</v>
      </c>
      <c r="B205" t="s">
        <v>717</v>
      </c>
      <c r="C205" t="s">
        <v>718</v>
      </c>
      <c r="E205" t="s">
        <v>39</v>
      </c>
      <c r="F205">
        <v>0</v>
      </c>
      <c r="G205">
        <v>0</v>
      </c>
      <c r="H205">
        <v>1</v>
      </c>
      <c r="I205" s="3">
        <v>93.28</v>
      </c>
      <c r="J205" s="3">
        <v>0</v>
      </c>
      <c r="L205">
        <v>2635</v>
      </c>
      <c r="M205" t="s">
        <v>719</v>
      </c>
      <c r="N205" t="s">
        <v>30</v>
      </c>
      <c r="O205" t="s">
        <v>31</v>
      </c>
      <c r="P205" t="str">
        <f>"15222"</f>
        <v>15222</v>
      </c>
    </row>
    <row r="206" spans="1:16" x14ac:dyDescent="0.25">
      <c r="A206" t="str">
        <f>"1020025K00162040400"</f>
        <v>1020025K00162040400</v>
      </c>
      <c r="B206" t="s">
        <v>720</v>
      </c>
      <c r="C206" t="s">
        <v>721</v>
      </c>
      <c r="E206" t="s">
        <v>39</v>
      </c>
      <c r="F206">
        <v>0</v>
      </c>
      <c r="G206">
        <v>0</v>
      </c>
      <c r="H206">
        <v>1</v>
      </c>
      <c r="I206" s="3">
        <v>173.46</v>
      </c>
      <c r="J206" s="3">
        <v>0</v>
      </c>
      <c r="L206">
        <v>1301</v>
      </c>
      <c r="M206" t="s">
        <v>722</v>
      </c>
      <c r="N206" t="s">
        <v>30</v>
      </c>
      <c r="O206" t="s">
        <v>31</v>
      </c>
      <c r="P206" t="str">
        <f>"15211"</f>
        <v>15211</v>
      </c>
    </row>
    <row r="207" spans="1:16" x14ac:dyDescent="0.25">
      <c r="A207" t="str">
        <f>"1020025K00162041000"</f>
        <v>1020025K00162041000</v>
      </c>
      <c r="B207" t="s">
        <v>723</v>
      </c>
      <c r="C207" t="s">
        <v>724</v>
      </c>
      <c r="E207" t="s">
        <v>39</v>
      </c>
      <c r="F207">
        <v>0</v>
      </c>
      <c r="G207">
        <v>0</v>
      </c>
      <c r="H207">
        <v>1</v>
      </c>
      <c r="I207" s="3">
        <v>173.45</v>
      </c>
      <c r="J207" s="3">
        <v>0</v>
      </c>
      <c r="K207" t="s">
        <v>725</v>
      </c>
      <c r="L207">
        <v>1301</v>
      </c>
      <c r="M207" t="s">
        <v>722</v>
      </c>
      <c r="N207" t="s">
        <v>30</v>
      </c>
      <c r="O207" t="s">
        <v>31</v>
      </c>
      <c r="P207" t="str">
        <f>"15211"</f>
        <v>15211</v>
      </c>
    </row>
    <row r="208" spans="1:16" x14ac:dyDescent="0.25">
      <c r="A208" t="str">
        <f>"1020025K00162041500"</f>
        <v>1020025K00162041500</v>
      </c>
      <c r="B208" t="s">
        <v>726</v>
      </c>
      <c r="C208" t="s">
        <v>727</v>
      </c>
      <c r="E208" t="s">
        <v>39</v>
      </c>
      <c r="F208">
        <v>0</v>
      </c>
      <c r="G208">
        <v>0</v>
      </c>
      <c r="H208">
        <v>1</v>
      </c>
      <c r="I208" s="3">
        <v>173.46</v>
      </c>
      <c r="J208" s="3">
        <v>0</v>
      </c>
      <c r="K208" t="s">
        <v>728</v>
      </c>
      <c r="L208">
        <v>3001</v>
      </c>
      <c r="M208" t="s">
        <v>330</v>
      </c>
      <c r="N208" t="s">
        <v>331</v>
      </c>
      <c r="O208" t="s">
        <v>108</v>
      </c>
      <c r="P208" t="str">
        <f>"75063"</f>
        <v>75063</v>
      </c>
    </row>
    <row r="209" spans="1:16" x14ac:dyDescent="0.25">
      <c r="A209" t="str">
        <f>"1020025K00162050200"</f>
        <v>1020025K00162050200</v>
      </c>
      <c r="B209" t="s">
        <v>729</v>
      </c>
      <c r="C209" t="s">
        <v>730</v>
      </c>
      <c r="E209" t="s">
        <v>39</v>
      </c>
      <c r="F209">
        <v>0</v>
      </c>
      <c r="G209">
        <v>0</v>
      </c>
      <c r="H209">
        <v>1</v>
      </c>
      <c r="I209" s="3">
        <v>173.46</v>
      </c>
      <c r="J209" s="3">
        <v>0</v>
      </c>
      <c r="K209" t="s">
        <v>731</v>
      </c>
      <c r="L209">
        <v>2635</v>
      </c>
      <c r="M209" t="s">
        <v>732</v>
      </c>
      <c r="N209" t="s">
        <v>30</v>
      </c>
      <c r="O209" t="s">
        <v>31</v>
      </c>
      <c r="P209" t="str">
        <f>"15222"</f>
        <v>15222</v>
      </c>
    </row>
    <row r="210" spans="1:16" x14ac:dyDescent="0.25">
      <c r="A210" t="str">
        <f>"1020025K00162214 00"</f>
        <v>1020025K00162214 00</v>
      </c>
      <c r="B210" t="s">
        <v>733</v>
      </c>
      <c r="C210" t="s">
        <v>734</v>
      </c>
      <c r="D210" t="s">
        <v>20</v>
      </c>
      <c r="E210" t="s">
        <v>39</v>
      </c>
      <c r="F210">
        <v>0</v>
      </c>
      <c r="G210">
        <v>0</v>
      </c>
      <c r="H210">
        <v>1</v>
      </c>
      <c r="I210" s="3">
        <v>6903.53</v>
      </c>
      <c r="J210" s="3">
        <v>0</v>
      </c>
      <c r="K210" t="s">
        <v>735</v>
      </c>
      <c r="L210">
        <v>2635</v>
      </c>
      <c r="M210" t="s">
        <v>736</v>
      </c>
      <c r="N210" t="s">
        <v>30</v>
      </c>
      <c r="O210" t="s">
        <v>31</v>
      </c>
      <c r="P210" t="str">
        <f>"15222"</f>
        <v>15222</v>
      </c>
    </row>
    <row r="211" spans="1:16" x14ac:dyDescent="0.25">
      <c r="A211" t="str">
        <f>"1020025K00162CU  00"</f>
        <v>1020025K00162CU  00</v>
      </c>
      <c r="B211" t="s">
        <v>737</v>
      </c>
      <c r="C211" t="s">
        <v>738</v>
      </c>
      <c r="E211" t="s">
        <v>21</v>
      </c>
      <c r="F211">
        <v>0</v>
      </c>
      <c r="G211">
        <v>0</v>
      </c>
      <c r="H211">
        <v>1</v>
      </c>
      <c r="I211" s="3">
        <v>100.43</v>
      </c>
      <c r="J211" s="3">
        <v>0</v>
      </c>
      <c r="L211">
        <v>825</v>
      </c>
      <c r="M211" t="s">
        <v>739</v>
      </c>
      <c r="N211" t="s">
        <v>30</v>
      </c>
      <c r="O211" t="s">
        <v>31</v>
      </c>
      <c r="P211" t="str">
        <f>"15233"</f>
        <v>15233</v>
      </c>
    </row>
    <row r="212" spans="1:16" x14ac:dyDescent="0.25">
      <c r="A212" t="str">
        <f>"1020025K00268    00"</f>
        <v>1020025K00268    00</v>
      </c>
      <c r="B212" t="s">
        <v>740</v>
      </c>
      <c r="C212" t="s">
        <v>741</v>
      </c>
      <c r="D212" t="s">
        <v>20</v>
      </c>
      <c r="E212" t="s">
        <v>290</v>
      </c>
      <c r="F212">
        <v>0</v>
      </c>
      <c r="G212">
        <v>0</v>
      </c>
      <c r="H212">
        <v>2</v>
      </c>
      <c r="I212" s="3">
        <v>5134.78</v>
      </c>
      <c r="J212" s="3">
        <v>0</v>
      </c>
      <c r="K212" t="s">
        <v>742</v>
      </c>
      <c r="L212">
        <v>2737</v>
      </c>
      <c r="M212" t="s">
        <v>585</v>
      </c>
      <c r="N212" t="s">
        <v>30</v>
      </c>
      <c r="O212" t="s">
        <v>31</v>
      </c>
      <c r="P212" t="str">
        <f>"15222"</f>
        <v>15222</v>
      </c>
    </row>
    <row r="213" spans="1:16" x14ac:dyDescent="0.25">
      <c r="A213" t="str">
        <f>"1020025K00269    00"</f>
        <v>1020025K00269    00</v>
      </c>
      <c r="B213" t="s">
        <v>740</v>
      </c>
      <c r="C213" t="s">
        <v>743</v>
      </c>
      <c r="D213" t="s">
        <v>20</v>
      </c>
      <c r="E213" t="s">
        <v>290</v>
      </c>
      <c r="F213">
        <v>0</v>
      </c>
      <c r="G213">
        <v>0</v>
      </c>
      <c r="H213">
        <v>2</v>
      </c>
      <c r="I213" s="3">
        <v>2218.62</v>
      </c>
      <c r="J213" s="3">
        <v>0</v>
      </c>
      <c r="K213" t="s">
        <v>742</v>
      </c>
      <c r="L213">
        <v>2737</v>
      </c>
      <c r="M213" t="s">
        <v>585</v>
      </c>
      <c r="N213" t="s">
        <v>30</v>
      </c>
      <c r="O213" t="s">
        <v>31</v>
      </c>
      <c r="P213" t="str">
        <f>"15222"</f>
        <v>15222</v>
      </c>
    </row>
    <row r="214" spans="1:16" x14ac:dyDescent="0.25">
      <c r="A214" t="str">
        <f>"1020025N00030010100"</f>
        <v>1020025N00030010100</v>
      </c>
      <c r="B214" t="s">
        <v>744</v>
      </c>
      <c r="C214" t="s">
        <v>745</v>
      </c>
      <c r="E214" t="s">
        <v>39</v>
      </c>
      <c r="F214">
        <v>0</v>
      </c>
      <c r="G214">
        <v>0</v>
      </c>
      <c r="H214">
        <v>1</v>
      </c>
      <c r="I214" s="3">
        <v>1266.31</v>
      </c>
      <c r="J214" s="3">
        <v>339.75</v>
      </c>
      <c r="L214">
        <v>2419</v>
      </c>
      <c r="M214" t="s">
        <v>746</v>
      </c>
      <c r="N214" t="s">
        <v>30</v>
      </c>
      <c r="O214" t="s">
        <v>31</v>
      </c>
      <c r="P214" t="str">
        <f>"15222"</f>
        <v>15222</v>
      </c>
    </row>
    <row r="215" spans="1:16" x14ac:dyDescent="0.25">
      <c r="A215" t="str">
        <f>"1020025N00030020200"</f>
        <v>1020025N00030020200</v>
      </c>
      <c r="B215" t="s">
        <v>747</v>
      </c>
      <c r="C215" t="s">
        <v>748</v>
      </c>
      <c r="E215" t="s">
        <v>39</v>
      </c>
      <c r="F215">
        <v>0</v>
      </c>
      <c r="G215">
        <v>0</v>
      </c>
      <c r="H215">
        <v>1</v>
      </c>
      <c r="I215" s="3">
        <v>2420.66</v>
      </c>
      <c r="J215" s="3">
        <v>630.34</v>
      </c>
      <c r="K215" t="s">
        <v>728</v>
      </c>
      <c r="L215">
        <v>3001</v>
      </c>
      <c r="M215" t="s">
        <v>330</v>
      </c>
      <c r="N215" t="s">
        <v>331</v>
      </c>
      <c r="O215" t="s">
        <v>108</v>
      </c>
      <c r="P215" t="str">
        <f>"75063"</f>
        <v>75063</v>
      </c>
    </row>
    <row r="216" spans="1:16" x14ac:dyDescent="0.25">
      <c r="A216" t="str">
        <f>"1020025N00030030200"</f>
        <v>1020025N00030030200</v>
      </c>
      <c r="B216" t="s">
        <v>749</v>
      </c>
      <c r="C216" t="s">
        <v>750</v>
      </c>
      <c r="E216" t="s">
        <v>39</v>
      </c>
      <c r="F216">
        <v>0</v>
      </c>
      <c r="G216">
        <v>0</v>
      </c>
      <c r="H216">
        <v>1</v>
      </c>
      <c r="I216" s="3">
        <v>43.24</v>
      </c>
      <c r="J216" s="3">
        <v>11.17</v>
      </c>
      <c r="K216" t="s">
        <v>391</v>
      </c>
      <c r="L216">
        <v>1</v>
      </c>
      <c r="M216" t="s">
        <v>392</v>
      </c>
      <c r="N216" t="s">
        <v>393</v>
      </c>
      <c r="O216" t="s">
        <v>394</v>
      </c>
      <c r="P216" t="str">
        <f>"50328"</f>
        <v>50328</v>
      </c>
    </row>
    <row r="217" spans="1:16" x14ac:dyDescent="0.25">
      <c r="A217" t="str">
        <f>"1020025N00040    00"</f>
        <v>1020025N00040    00</v>
      </c>
      <c r="B217" t="s">
        <v>751</v>
      </c>
      <c r="C217" t="s">
        <v>752</v>
      </c>
      <c r="E217" t="s">
        <v>21</v>
      </c>
      <c r="F217">
        <v>0</v>
      </c>
      <c r="G217">
        <v>0</v>
      </c>
      <c r="H217">
        <v>2</v>
      </c>
      <c r="I217" s="3">
        <v>25632.84</v>
      </c>
      <c r="J217" s="3">
        <v>6194.37</v>
      </c>
      <c r="L217">
        <v>1267</v>
      </c>
      <c r="M217" t="s">
        <v>753</v>
      </c>
      <c r="N217" t="s">
        <v>30</v>
      </c>
      <c r="O217" t="s">
        <v>31</v>
      </c>
      <c r="P217" t="str">
        <f>"15217"</f>
        <v>15217</v>
      </c>
    </row>
    <row r="218" spans="1:16" x14ac:dyDescent="0.25">
      <c r="A218" t="str">
        <f>"1020025N00080021100"</f>
        <v>1020025N00080021100</v>
      </c>
      <c r="B218" t="s">
        <v>754</v>
      </c>
      <c r="C218" t="s">
        <v>755</v>
      </c>
      <c r="E218" t="s">
        <v>39</v>
      </c>
      <c r="F218">
        <v>0</v>
      </c>
      <c r="G218">
        <v>0</v>
      </c>
      <c r="H218">
        <v>1</v>
      </c>
      <c r="I218" s="3">
        <v>41.08</v>
      </c>
      <c r="J218" s="3">
        <v>10.61</v>
      </c>
      <c r="K218" t="s">
        <v>756</v>
      </c>
      <c r="L218">
        <v>3001</v>
      </c>
      <c r="M218" t="s">
        <v>330</v>
      </c>
      <c r="N218" t="s">
        <v>331</v>
      </c>
      <c r="O218" t="s">
        <v>108</v>
      </c>
      <c r="P218" t="str">
        <f>"75063"</f>
        <v>75063</v>
      </c>
    </row>
    <row r="219" spans="1:16" x14ac:dyDescent="0.25">
      <c r="A219" t="str">
        <f>"1020025N00080021700"</f>
        <v>1020025N00080021700</v>
      </c>
      <c r="B219" t="s">
        <v>757</v>
      </c>
      <c r="C219" t="s">
        <v>758</v>
      </c>
      <c r="E219" t="s">
        <v>39</v>
      </c>
      <c r="F219">
        <v>0</v>
      </c>
      <c r="G219">
        <v>0</v>
      </c>
      <c r="H219">
        <v>1</v>
      </c>
      <c r="I219" s="3">
        <v>132.69</v>
      </c>
      <c r="J219" s="3">
        <v>98.41</v>
      </c>
      <c r="K219" t="s">
        <v>759</v>
      </c>
      <c r="L219">
        <v>3001</v>
      </c>
      <c r="M219" t="s">
        <v>404</v>
      </c>
      <c r="N219" t="s">
        <v>331</v>
      </c>
      <c r="O219" t="s">
        <v>108</v>
      </c>
      <c r="P219" t="str">
        <f>"75063"</f>
        <v>75063</v>
      </c>
    </row>
    <row r="220" spans="1:16" x14ac:dyDescent="0.25">
      <c r="A220" t="str">
        <f>"1020025N00080022200"</f>
        <v>1020025N00080022200</v>
      </c>
      <c r="B220" t="s">
        <v>760</v>
      </c>
      <c r="C220" t="s">
        <v>761</v>
      </c>
      <c r="D220" t="s">
        <v>20</v>
      </c>
      <c r="E220" t="s">
        <v>39</v>
      </c>
      <c r="F220">
        <v>0</v>
      </c>
      <c r="G220">
        <v>0</v>
      </c>
      <c r="H220">
        <v>2</v>
      </c>
      <c r="I220" s="3">
        <v>8500.35</v>
      </c>
      <c r="J220" s="3">
        <v>0</v>
      </c>
      <c r="K220" t="s">
        <v>762</v>
      </c>
      <c r="L220">
        <v>6850</v>
      </c>
      <c r="M220" t="s">
        <v>763</v>
      </c>
      <c r="N220" t="s">
        <v>764</v>
      </c>
      <c r="O220" t="s">
        <v>25</v>
      </c>
      <c r="P220" t="str">
        <f>"44141"</f>
        <v>44141</v>
      </c>
    </row>
    <row r="221" spans="1:16" x14ac:dyDescent="0.25">
      <c r="A221" t="str">
        <f>"1020025N00080061200"</f>
        <v>1020025N00080061200</v>
      </c>
      <c r="B221" t="s">
        <v>765</v>
      </c>
      <c r="C221" t="s">
        <v>766</v>
      </c>
      <c r="D221" t="s">
        <v>57</v>
      </c>
      <c r="E221" t="s">
        <v>39</v>
      </c>
      <c r="F221">
        <v>0</v>
      </c>
      <c r="G221">
        <v>0</v>
      </c>
      <c r="H221">
        <v>1</v>
      </c>
      <c r="I221" s="3">
        <v>1404.2</v>
      </c>
      <c r="J221" s="3">
        <v>362.74</v>
      </c>
      <c r="K221" t="s">
        <v>767</v>
      </c>
      <c r="L221">
        <v>3001</v>
      </c>
      <c r="M221" t="s">
        <v>330</v>
      </c>
      <c r="N221" t="s">
        <v>331</v>
      </c>
      <c r="O221" t="s">
        <v>108</v>
      </c>
      <c r="P221" t="str">
        <f>"75063"</f>
        <v>75063</v>
      </c>
    </row>
    <row r="222" spans="1:16" x14ac:dyDescent="0.25">
      <c r="A222" t="str">
        <f>"1020025N00080519 00"</f>
        <v>1020025N00080519 00</v>
      </c>
      <c r="B222" t="s">
        <v>768</v>
      </c>
      <c r="C222" t="s">
        <v>769</v>
      </c>
      <c r="D222" t="s">
        <v>20</v>
      </c>
      <c r="E222" t="s">
        <v>39</v>
      </c>
      <c r="F222">
        <v>0</v>
      </c>
      <c r="G222">
        <v>0</v>
      </c>
      <c r="H222">
        <v>1</v>
      </c>
      <c r="I222" s="3">
        <v>141.04</v>
      </c>
      <c r="J222" s="3">
        <v>0</v>
      </c>
      <c r="K222" t="s">
        <v>770</v>
      </c>
      <c r="L222">
        <v>2434</v>
      </c>
      <c r="M222" t="s">
        <v>771</v>
      </c>
      <c r="N222" t="s">
        <v>30</v>
      </c>
      <c r="O222" t="s">
        <v>31</v>
      </c>
      <c r="P222" t="str">
        <f>"15222"</f>
        <v>15222</v>
      </c>
    </row>
    <row r="223" spans="1:16" x14ac:dyDescent="0.25">
      <c r="A223" t="str">
        <f>"1020025N00080522 00"</f>
        <v>1020025N00080522 00</v>
      </c>
      <c r="B223" t="s">
        <v>772</v>
      </c>
      <c r="C223" t="s">
        <v>773</v>
      </c>
      <c r="D223" t="s">
        <v>57</v>
      </c>
      <c r="E223" t="s">
        <v>39</v>
      </c>
      <c r="F223">
        <v>0</v>
      </c>
      <c r="G223">
        <v>0</v>
      </c>
      <c r="H223">
        <v>1</v>
      </c>
      <c r="I223" s="3">
        <v>1226.8</v>
      </c>
      <c r="J223" s="3">
        <v>224.9</v>
      </c>
      <c r="K223" t="s">
        <v>774</v>
      </c>
      <c r="L223">
        <v>2434</v>
      </c>
      <c r="M223" t="s">
        <v>775</v>
      </c>
      <c r="N223" t="s">
        <v>30</v>
      </c>
      <c r="O223" t="s">
        <v>31</v>
      </c>
      <c r="P223" t="str">
        <f>"15222"</f>
        <v>15222</v>
      </c>
    </row>
    <row r="224" spans="1:16" x14ac:dyDescent="0.25">
      <c r="A224" t="str">
        <f>"1020025N00090000900"</f>
        <v>1020025N00090000900</v>
      </c>
      <c r="B224" t="s">
        <v>776</v>
      </c>
      <c r="C224" t="s">
        <v>777</v>
      </c>
      <c r="D224" t="s">
        <v>20</v>
      </c>
      <c r="E224" t="s">
        <v>39</v>
      </c>
      <c r="F224">
        <v>0</v>
      </c>
      <c r="G224">
        <v>0</v>
      </c>
      <c r="H224">
        <v>1</v>
      </c>
      <c r="I224" s="3">
        <v>11872.7</v>
      </c>
      <c r="J224" s="3">
        <v>4649.95</v>
      </c>
      <c r="K224" t="s">
        <v>778</v>
      </c>
      <c r="L224">
        <v>215</v>
      </c>
      <c r="M224" t="s">
        <v>779</v>
      </c>
      <c r="N224" t="s">
        <v>30</v>
      </c>
      <c r="O224" t="s">
        <v>31</v>
      </c>
      <c r="P224" t="str">
        <f>"15222"</f>
        <v>15222</v>
      </c>
    </row>
    <row r="225" spans="1:16" x14ac:dyDescent="0.25">
      <c r="A225" t="str">
        <f>"1020025N00101204 00"</f>
        <v>1020025N00101204 00</v>
      </c>
      <c r="B225" t="s">
        <v>780</v>
      </c>
      <c r="C225" t="s">
        <v>781</v>
      </c>
      <c r="D225" t="s">
        <v>20</v>
      </c>
      <c r="E225" t="s">
        <v>39</v>
      </c>
      <c r="F225">
        <v>0</v>
      </c>
      <c r="G225">
        <v>0</v>
      </c>
      <c r="H225">
        <v>2</v>
      </c>
      <c r="I225" s="3">
        <v>5880.69</v>
      </c>
      <c r="J225" s="3">
        <v>110.52</v>
      </c>
      <c r="L225">
        <v>2554</v>
      </c>
      <c r="M225" t="s">
        <v>782</v>
      </c>
      <c r="N225" t="s">
        <v>30</v>
      </c>
      <c r="O225" t="s">
        <v>31</v>
      </c>
      <c r="P225" t="str">
        <f>"15222"</f>
        <v>15222</v>
      </c>
    </row>
    <row r="226" spans="1:16" x14ac:dyDescent="0.25">
      <c r="A226" t="str">
        <f>"1020025N00101402 00"</f>
        <v>1020025N00101402 00</v>
      </c>
      <c r="B226" t="s">
        <v>783</v>
      </c>
      <c r="C226" t="s">
        <v>784</v>
      </c>
      <c r="D226" t="s">
        <v>20</v>
      </c>
      <c r="E226" t="s">
        <v>39</v>
      </c>
      <c r="F226">
        <v>0</v>
      </c>
      <c r="G226">
        <v>0</v>
      </c>
      <c r="H226">
        <v>1</v>
      </c>
      <c r="I226" s="3">
        <v>3610.74</v>
      </c>
      <c r="J226" s="3">
        <v>812.38</v>
      </c>
      <c r="K226" t="s">
        <v>400</v>
      </c>
      <c r="L226">
        <v>3001</v>
      </c>
      <c r="M226" t="s">
        <v>330</v>
      </c>
      <c r="N226" t="s">
        <v>331</v>
      </c>
      <c r="O226" t="s">
        <v>108</v>
      </c>
      <c r="P226" t="str">
        <f>"75063"</f>
        <v>75063</v>
      </c>
    </row>
    <row r="227" spans="1:16" x14ac:dyDescent="0.25">
      <c r="A227" t="str">
        <f>"1020025N00101406 00"</f>
        <v>1020025N00101406 00</v>
      </c>
      <c r="B227" t="s">
        <v>785</v>
      </c>
      <c r="C227" t="s">
        <v>786</v>
      </c>
      <c r="E227" t="s">
        <v>39</v>
      </c>
      <c r="F227">
        <v>0</v>
      </c>
      <c r="G227">
        <v>0</v>
      </c>
      <c r="H227">
        <v>1</v>
      </c>
      <c r="I227" s="3">
        <v>3471.19</v>
      </c>
      <c r="J227" s="3">
        <v>954.54</v>
      </c>
      <c r="K227" t="s">
        <v>400</v>
      </c>
      <c r="L227">
        <v>3001</v>
      </c>
      <c r="M227" t="s">
        <v>330</v>
      </c>
      <c r="N227" t="s">
        <v>331</v>
      </c>
      <c r="O227" t="s">
        <v>108</v>
      </c>
      <c r="P227" t="str">
        <f>"75063"</f>
        <v>75063</v>
      </c>
    </row>
    <row r="228" spans="1:16" x14ac:dyDescent="0.25">
      <c r="A228" t="str">
        <f>"1020025N00101501 00"</f>
        <v>1020025N00101501 00</v>
      </c>
      <c r="B228" t="s">
        <v>787</v>
      </c>
      <c r="C228" t="s">
        <v>788</v>
      </c>
      <c r="D228" t="s">
        <v>20</v>
      </c>
      <c r="E228" t="s">
        <v>39</v>
      </c>
      <c r="F228">
        <v>0</v>
      </c>
      <c r="G228">
        <v>0</v>
      </c>
      <c r="H228">
        <v>3</v>
      </c>
      <c r="I228" s="3">
        <v>20270.580000000002</v>
      </c>
      <c r="J228" s="3">
        <v>1351.32</v>
      </c>
      <c r="K228" t="s">
        <v>789</v>
      </c>
      <c r="L228">
        <v>335</v>
      </c>
      <c r="M228" t="s">
        <v>790</v>
      </c>
      <c r="N228" t="s">
        <v>285</v>
      </c>
      <c r="O228" t="s">
        <v>31</v>
      </c>
      <c r="P228" t="str">
        <f>"15120"</f>
        <v>15120</v>
      </c>
    </row>
    <row r="229" spans="1:16" x14ac:dyDescent="0.25">
      <c r="A229" t="str">
        <f>"1020025N00101506 00"</f>
        <v>1020025N00101506 00</v>
      </c>
      <c r="B229" t="s">
        <v>791</v>
      </c>
      <c r="C229" t="s">
        <v>792</v>
      </c>
      <c r="E229" t="s">
        <v>39</v>
      </c>
      <c r="F229">
        <v>0</v>
      </c>
      <c r="G229">
        <v>0</v>
      </c>
      <c r="H229">
        <v>1</v>
      </c>
      <c r="I229" s="3">
        <v>368.44</v>
      </c>
      <c r="J229" s="3">
        <v>181.15</v>
      </c>
      <c r="L229">
        <v>2554</v>
      </c>
      <c r="M229" t="s">
        <v>793</v>
      </c>
      <c r="N229" t="s">
        <v>30</v>
      </c>
      <c r="O229" t="s">
        <v>31</v>
      </c>
      <c r="P229" t="str">
        <f>"15222"</f>
        <v>15222</v>
      </c>
    </row>
    <row r="230" spans="1:16" x14ac:dyDescent="0.25">
      <c r="A230" t="str">
        <f>"1020025N00101A1  00"</f>
        <v>1020025N00101A1  00</v>
      </c>
      <c r="B230" t="s">
        <v>794</v>
      </c>
      <c r="C230" t="s">
        <v>795</v>
      </c>
      <c r="E230" t="s">
        <v>21</v>
      </c>
      <c r="F230">
        <v>0</v>
      </c>
      <c r="G230">
        <v>0</v>
      </c>
      <c r="H230">
        <v>1</v>
      </c>
      <c r="I230" s="3">
        <v>368.44</v>
      </c>
      <c r="J230" s="3">
        <v>181.15</v>
      </c>
      <c r="K230" t="s">
        <v>796</v>
      </c>
      <c r="L230">
        <v>3945</v>
      </c>
      <c r="M230" t="s">
        <v>797</v>
      </c>
      <c r="N230" t="s">
        <v>30</v>
      </c>
      <c r="O230" t="s">
        <v>31</v>
      </c>
      <c r="P230" t="str">
        <f>"15213"</f>
        <v>15213</v>
      </c>
    </row>
    <row r="231" spans="1:16" x14ac:dyDescent="0.25">
      <c r="A231" t="str">
        <f>"1020025N00101A2  00"</f>
        <v>1020025N00101A2  00</v>
      </c>
      <c r="B231" t="s">
        <v>794</v>
      </c>
      <c r="C231" t="s">
        <v>798</v>
      </c>
      <c r="D231" t="s">
        <v>57</v>
      </c>
      <c r="E231" t="s">
        <v>21</v>
      </c>
      <c r="F231">
        <v>0</v>
      </c>
      <c r="G231">
        <v>0</v>
      </c>
      <c r="H231">
        <v>1</v>
      </c>
      <c r="I231" s="3">
        <v>368.44</v>
      </c>
      <c r="J231" s="3">
        <v>116.67</v>
      </c>
      <c r="K231" t="s">
        <v>796</v>
      </c>
      <c r="L231">
        <v>3945</v>
      </c>
      <c r="M231" t="s">
        <v>797</v>
      </c>
      <c r="N231" t="s">
        <v>30</v>
      </c>
      <c r="O231" t="s">
        <v>31</v>
      </c>
      <c r="P231" t="str">
        <f>"15213"</f>
        <v>15213</v>
      </c>
    </row>
    <row r="232" spans="1:16" x14ac:dyDescent="0.25">
      <c r="A232" t="str">
        <f>"1020025N00181    00"</f>
        <v>1020025N00181    00</v>
      </c>
      <c r="B232" t="s">
        <v>799</v>
      </c>
      <c r="C232" t="s">
        <v>800</v>
      </c>
      <c r="D232" t="s">
        <v>20</v>
      </c>
      <c r="E232" t="s">
        <v>21</v>
      </c>
      <c r="F232">
        <v>0</v>
      </c>
      <c r="G232">
        <v>0</v>
      </c>
      <c r="H232">
        <v>3</v>
      </c>
      <c r="I232" s="3">
        <v>34652.9</v>
      </c>
      <c r="J232" s="3">
        <v>0</v>
      </c>
      <c r="K232" t="s">
        <v>801</v>
      </c>
      <c r="L232">
        <v>2545</v>
      </c>
      <c r="M232" t="s">
        <v>802</v>
      </c>
      <c r="N232" t="s">
        <v>30</v>
      </c>
      <c r="O232" t="s">
        <v>31</v>
      </c>
      <c r="P232" t="str">
        <f>"15222"</f>
        <v>15222</v>
      </c>
    </row>
    <row r="233" spans="1:16" x14ac:dyDescent="0.25">
      <c r="A233" t="str">
        <f>"1020025N00218020500"</f>
        <v>1020025N00218020500</v>
      </c>
      <c r="B233" t="s">
        <v>803</v>
      </c>
      <c r="C233" t="s">
        <v>804</v>
      </c>
      <c r="E233" t="s">
        <v>39</v>
      </c>
      <c r="F233">
        <v>0</v>
      </c>
      <c r="G233">
        <v>0</v>
      </c>
      <c r="H233">
        <v>1</v>
      </c>
      <c r="I233" s="3">
        <v>635.25</v>
      </c>
      <c r="J233" s="3">
        <v>58.23</v>
      </c>
      <c r="K233" t="s">
        <v>805</v>
      </c>
      <c r="L233">
        <v>3001</v>
      </c>
      <c r="M233" t="s">
        <v>330</v>
      </c>
      <c r="N233" t="s">
        <v>331</v>
      </c>
      <c r="O233" t="s">
        <v>108</v>
      </c>
      <c r="P233" t="str">
        <f>"75063"</f>
        <v>75063</v>
      </c>
    </row>
    <row r="234" spans="1:16" x14ac:dyDescent="0.25">
      <c r="A234" t="str">
        <f>"1020025N00218030100"</f>
        <v>1020025N00218030100</v>
      </c>
      <c r="B234" t="s">
        <v>780</v>
      </c>
      <c r="C234" t="s">
        <v>806</v>
      </c>
      <c r="D234" t="s">
        <v>20</v>
      </c>
      <c r="E234" t="s">
        <v>39</v>
      </c>
      <c r="F234">
        <v>0</v>
      </c>
      <c r="G234">
        <v>0</v>
      </c>
      <c r="H234">
        <v>1</v>
      </c>
      <c r="I234" s="3">
        <v>4130.75</v>
      </c>
      <c r="J234" s="3">
        <v>0</v>
      </c>
      <c r="K234" t="s">
        <v>807</v>
      </c>
      <c r="L234">
        <v>2545</v>
      </c>
      <c r="M234" t="s">
        <v>808</v>
      </c>
      <c r="N234" t="s">
        <v>30</v>
      </c>
      <c r="O234" t="s">
        <v>31</v>
      </c>
      <c r="P234" t="str">
        <f>"15222"</f>
        <v>15222</v>
      </c>
    </row>
    <row r="235" spans="1:16" x14ac:dyDescent="0.25">
      <c r="A235" t="str">
        <f>"1020025N00218030300"</f>
        <v>1020025N00218030300</v>
      </c>
      <c r="B235" t="s">
        <v>809</v>
      </c>
      <c r="C235" t="s">
        <v>810</v>
      </c>
      <c r="E235" t="s">
        <v>39</v>
      </c>
      <c r="F235">
        <v>0</v>
      </c>
      <c r="G235">
        <v>0</v>
      </c>
      <c r="H235">
        <v>1</v>
      </c>
      <c r="I235" s="3">
        <v>635.25</v>
      </c>
      <c r="J235" s="3">
        <v>317.60000000000002</v>
      </c>
      <c r="L235">
        <v>2545</v>
      </c>
      <c r="M235" t="s">
        <v>811</v>
      </c>
      <c r="N235" t="s">
        <v>30</v>
      </c>
      <c r="O235" t="s">
        <v>31</v>
      </c>
      <c r="P235" t="str">
        <f>"15222"</f>
        <v>15222</v>
      </c>
    </row>
    <row r="236" spans="1:16" x14ac:dyDescent="0.25">
      <c r="A236" t="str">
        <f>"1020025N00218030400"</f>
        <v>1020025N00218030400</v>
      </c>
      <c r="B236" t="s">
        <v>812</v>
      </c>
      <c r="C236" t="s">
        <v>813</v>
      </c>
      <c r="D236" t="s">
        <v>20</v>
      </c>
      <c r="E236" t="s">
        <v>39</v>
      </c>
      <c r="F236">
        <v>0</v>
      </c>
      <c r="G236">
        <v>0</v>
      </c>
      <c r="H236">
        <v>1</v>
      </c>
      <c r="I236" s="3">
        <v>1844.02</v>
      </c>
      <c r="J236" s="3">
        <v>0</v>
      </c>
      <c r="L236">
        <v>2454</v>
      </c>
      <c r="M236" t="s">
        <v>814</v>
      </c>
      <c r="N236" t="s">
        <v>30</v>
      </c>
      <c r="O236" t="s">
        <v>31</v>
      </c>
      <c r="P236" t="str">
        <f>"15222"</f>
        <v>15222</v>
      </c>
    </row>
    <row r="237" spans="1:16" x14ac:dyDescent="0.25">
      <c r="A237" t="str">
        <f>"1020025N00218040100"</f>
        <v>1020025N00218040100</v>
      </c>
      <c r="B237" t="s">
        <v>815</v>
      </c>
      <c r="C237" t="s">
        <v>816</v>
      </c>
      <c r="D237" t="s">
        <v>20</v>
      </c>
      <c r="E237" t="s">
        <v>39</v>
      </c>
      <c r="F237">
        <v>0</v>
      </c>
      <c r="G237">
        <v>0</v>
      </c>
      <c r="H237">
        <v>1</v>
      </c>
      <c r="I237" s="3">
        <v>4130.75</v>
      </c>
      <c r="J237" s="3">
        <v>0</v>
      </c>
      <c r="K237" t="s">
        <v>805</v>
      </c>
      <c r="L237">
        <v>3001</v>
      </c>
      <c r="M237" t="s">
        <v>330</v>
      </c>
      <c r="N237" t="s">
        <v>331</v>
      </c>
      <c r="O237" t="s">
        <v>108</v>
      </c>
      <c r="P237" t="str">
        <f>"75063"</f>
        <v>75063</v>
      </c>
    </row>
    <row r="238" spans="1:16" x14ac:dyDescent="0.25">
      <c r="A238" t="str">
        <f>"1020025N00218060100"</f>
        <v>1020025N00218060100</v>
      </c>
      <c r="B238" t="s">
        <v>817</v>
      </c>
      <c r="C238" t="s">
        <v>818</v>
      </c>
      <c r="D238" t="s">
        <v>33</v>
      </c>
      <c r="E238" t="s">
        <v>39</v>
      </c>
      <c r="F238">
        <v>0</v>
      </c>
      <c r="G238">
        <v>0</v>
      </c>
      <c r="H238">
        <v>1</v>
      </c>
      <c r="I238" s="3">
        <v>2917.95</v>
      </c>
      <c r="J238" s="3">
        <v>753.78</v>
      </c>
      <c r="L238">
        <v>61</v>
      </c>
      <c r="M238" t="s">
        <v>819</v>
      </c>
      <c r="N238" t="s">
        <v>820</v>
      </c>
      <c r="O238" t="s">
        <v>31</v>
      </c>
      <c r="P238" t="str">
        <f>"15314"</f>
        <v>15314</v>
      </c>
    </row>
    <row r="239" spans="1:16" x14ac:dyDescent="0.25">
      <c r="A239" t="str">
        <f>"1020025N00218060300"</f>
        <v>1020025N00218060300</v>
      </c>
      <c r="B239" t="s">
        <v>821</v>
      </c>
      <c r="C239" t="s">
        <v>822</v>
      </c>
      <c r="E239" t="s">
        <v>39</v>
      </c>
      <c r="F239">
        <v>0</v>
      </c>
      <c r="G239">
        <v>0</v>
      </c>
      <c r="H239">
        <v>1</v>
      </c>
      <c r="I239" s="3">
        <v>6859.36</v>
      </c>
      <c r="J239" s="3">
        <v>1771.93</v>
      </c>
      <c r="K239" t="s">
        <v>400</v>
      </c>
      <c r="L239">
        <v>3001</v>
      </c>
      <c r="M239" t="s">
        <v>330</v>
      </c>
      <c r="N239" t="s">
        <v>331</v>
      </c>
      <c r="O239" t="s">
        <v>108</v>
      </c>
      <c r="P239" t="str">
        <f>"75063"</f>
        <v>75063</v>
      </c>
    </row>
    <row r="240" spans="1:16" x14ac:dyDescent="0.25">
      <c r="A240" t="str">
        <f>"1020025N00229    00"</f>
        <v>1020025N00229    00</v>
      </c>
      <c r="B240" t="s">
        <v>823</v>
      </c>
      <c r="C240" t="s">
        <v>824</v>
      </c>
      <c r="D240" t="s">
        <v>20</v>
      </c>
      <c r="E240" t="s">
        <v>39</v>
      </c>
      <c r="F240">
        <v>0</v>
      </c>
      <c r="G240">
        <v>0</v>
      </c>
      <c r="H240">
        <v>6</v>
      </c>
      <c r="I240" s="3">
        <v>5608.53</v>
      </c>
      <c r="J240" s="3">
        <v>805.72</v>
      </c>
      <c r="L240">
        <v>703</v>
      </c>
      <c r="M240" t="s">
        <v>825</v>
      </c>
      <c r="N240" t="s">
        <v>826</v>
      </c>
      <c r="O240" t="s">
        <v>31</v>
      </c>
      <c r="P240" t="str">
        <f>"15601"</f>
        <v>15601</v>
      </c>
    </row>
    <row r="241" spans="1:16" x14ac:dyDescent="0.25">
      <c r="A241" t="str">
        <f>"1020025N00230    00"</f>
        <v>1020025N00230    00</v>
      </c>
      <c r="B241" t="s">
        <v>823</v>
      </c>
      <c r="C241" t="s">
        <v>824</v>
      </c>
      <c r="D241" t="s">
        <v>20</v>
      </c>
      <c r="E241" t="s">
        <v>39</v>
      </c>
      <c r="F241">
        <v>0</v>
      </c>
      <c r="G241">
        <v>0</v>
      </c>
      <c r="H241">
        <v>2</v>
      </c>
      <c r="I241" s="3">
        <v>44.6</v>
      </c>
      <c r="J241" s="3">
        <v>0</v>
      </c>
      <c r="L241">
        <v>703</v>
      </c>
      <c r="M241" t="s">
        <v>825</v>
      </c>
      <c r="N241" t="s">
        <v>826</v>
      </c>
      <c r="O241" t="s">
        <v>31</v>
      </c>
      <c r="P241" t="str">
        <f>"15601"</f>
        <v>15601</v>
      </c>
    </row>
    <row r="242" spans="1:16" x14ac:dyDescent="0.25">
      <c r="A242" t="str">
        <f>"1020025P00015    00"</f>
        <v>1020025P00015    00</v>
      </c>
      <c r="B242" t="s">
        <v>827</v>
      </c>
      <c r="C242" t="s">
        <v>828</v>
      </c>
      <c r="E242" t="s">
        <v>21</v>
      </c>
      <c r="F242">
        <v>0</v>
      </c>
      <c r="G242">
        <v>0</v>
      </c>
      <c r="H242">
        <v>2</v>
      </c>
      <c r="I242" s="3">
        <v>1974.62</v>
      </c>
      <c r="J242" s="3">
        <v>98.72</v>
      </c>
      <c r="K242" t="s">
        <v>829</v>
      </c>
      <c r="L242">
        <v>3945</v>
      </c>
      <c r="M242" t="s">
        <v>830</v>
      </c>
      <c r="N242" t="s">
        <v>30</v>
      </c>
      <c r="O242" t="s">
        <v>31</v>
      </c>
      <c r="P242" t="str">
        <f>"15213"</f>
        <v>15213</v>
      </c>
    </row>
    <row r="243" spans="1:16" x14ac:dyDescent="0.25">
      <c r="A243" t="str">
        <f>"1020025P00016    00"</f>
        <v>1020025P00016    00</v>
      </c>
      <c r="B243" t="s">
        <v>827</v>
      </c>
      <c r="C243" t="s">
        <v>828</v>
      </c>
      <c r="E243" t="s">
        <v>290</v>
      </c>
      <c r="F243">
        <v>0</v>
      </c>
      <c r="G243">
        <v>0</v>
      </c>
      <c r="H243">
        <v>2</v>
      </c>
      <c r="I243" s="3">
        <v>6270.76</v>
      </c>
      <c r="J243" s="3">
        <v>313.52</v>
      </c>
      <c r="K243" t="s">
        <v>829</v>
      </c>
      <c r="L243">
        <v>3945</v>
      </c>
      <c r="M243" t="s">
        <v>830</v>
      </c>
      <c r="N243" t="s">
        <v>30</v>
      </c>
      <c r="O243" t="s">
        <v>31</v>
      </c>
      <c r="P243" t="str">
        <f>"15213"</f>
        <v>15213</v>
      </c>
    </row>
    <row r="244" spans="1:16" x14ac:dyDescent="0.25">
      <c r="A244" t="str">
        <f>"1020025P00075    00"</f>
        <v>1020025P00075    00</v>
      </c>
      <c r="B244" t="s">
        <v>831</v>
      </c>
      <c r="C244" t="s">
        <v>832</v>
      </c>
      <c r="E244" t="s">
        <v>39</v>
      </c>
      <c r="F244">
        <v>0</v>
      </c>
      <c r="G244">
        <v>0</v>
      </c>
      <c r="H244">
        <v>1</v>
      </c>
      <c r="I244" s="3">
        <v>20.85</v>
      </c>
      <c r="J244" s="3">
        <v>0</v>
      </c>
      <c r="L244">
        <v>253</v>
      </c>
      <c r="M244" t="s">
        <v>833</v>
      </c>
      <c r="N244" t="s">
        <v>30</v>
      </c>
      <c r="O244" t="s">
        <v>31</v>
      </c>
      <c r="P244" t="str">
        <f>"15219"</f>
        <v>15219</v>
      </c>
    </row>
    <row r="245" spans="1:16" x14ac:dyDescent="0.25">
      <c r="A245" t="str">
        <f>"1020025P00076    00"</f>
        <v>1020025P00076    00</v>
      </c>
      <c r="B245" t="s">
        <v>834</v>
      </c>
      <c r="C245" t="s">
        <v>835</v>
      </c>
      <c r="D245" t="s">
        <v>20</v>
      </c>
      <c r="E245" t="s">
        <v>39</v>
      </c>
      <c r="F245">
        <v>0</v>
      </c>
      <c r="G245">
        <v>0</v>
      </c>
      <c r="H245">
        <v>10</v>
      </c>
      <c r="I245" s="3">
        <v>110.69</v>
      </c>
      <c r="J245" s="3">
        <v>47.7</v>
      </c>
      <c r="M245" t="s">
        <v>833</v>
      </c>
      <c r="P245" t="str">
        <f>""</f>
        <v/>
      </c>
    </row>
    <row r="246" spans="1:16" x14ac:dyDescent="0.25">
      <c r="A246" t="str">
        <f>"1020025P0027500T101"</f>
        <v>1020025P0027500T101</v>
      </c>
      <c r="B246" t="s">
        <v>836</v>
      </c>
      <c r="C246" t="s">
        <v>837</v>
      </c>
      <c r="E246" t="s">
        <v>21</v>
      </c>
      <c r="F246">
        <v>0</v>
      </c>
      <c r="G246">
        <v>0</v>
      </c>
      <c r="H246">
        <v>1</v>
      </c>
      <c r="I246" s="3">
        <v>1468.48</v>
      </c>
      <c r="J246" s="3">
        <v>1260.3900000000001</v>
      </c>
      <c r="M246" t="s">
        <v>838</v>
      </c>
      <c r="N246" t="s">
        <v>30</v>
      </c>
      <c r="O246" t="s">
        <v>31</v>
      </c>
      <c r="P246" t="str">
        <f>"15230"</f>
        <v>15230</v>
      </c>
    </row>
    <row r="247" spans="1:16" x14ac:dyDescent="0.25">
      <c r="A247" t="str">
        <f>"1020026F00305000000"</f>
        <v>1020026F00305000000</v>
      </c>
      <c r="B247" t="s">
        <v>839</v>
      </c>
      <c r="C247" t="s">
        <v>840</v>
      </c>
      <c r="E247" t="s">
        <v>21</v>
      </c>
      <c r="F247">
        <v>0</v>
      </c>
      <c r="G247">
        <v>0</v>
      </c>
      <c r="H247">
        <v>1</v>
      </c>
      <c r="I247" s="3">
        <v>920.61</v>
      </c>
      <c r="J247" s="3">
        <v>0</v>
      </c>
      <c r="L247">
        <v>5170</v>
      </c>
      <c r="M247" t="s">
        <v>841</v>
      </c>
      <c r="N247" t="s">
        <v>30</v>
      </c>
      <c r="O247" t="s">
        <v>31</v>
      </c>
      <c r="P247" t="str">
        <f>"15201"</f>
        <v>15201</v>
      </c>
    </row>
    <row r="248" spans="1:16" x14ac:dyDescent="0.25">
      <c r="A248" t="str">
        <f>"1030002D00005    02"</f>
        <v>1030002D00005    02</v>
      </c>
      <c r="B248" t="s">
        <v>842</v>
      </c>
      <c r="C248" t="s">
        <v>843</v>
      </c>
      <c r="D248" t="s">
        <v>20</v>
      </c>
      <c r="E248" t="s">
        <v>39</v>
      </c>
      <c r="F248">
        <v>0</v>
      </c>
      <c r="G248">
        <v>0</v>
      </c>
      <c r="H248">
        <v>2</v>
      </c>
      <c r="I248" s="3">
        <v>1641.33</v>
      </c>
      <c r="J248" s="3">
        <v>50.29</v>
      </c>
      <c r="K248" t="s">
        <v>710</v>
      </c>
      <c r="L248">
        <v>4140</v>
      </c>
      <c r="M248" t="s">
        <v>711</v>
      </c>
      <c r="N248" t="s">
        <v>712</v>
      </c>
      <c r="O248" t="s">
        <v>31</v>
      </c>
      <c r="P248" t="str">
        <f>"16148"</f>
        <v>16148</v>
      </c>
    </row>
    <row r="249" spans="1:16" x14ac:dyDescent="0.25">
      <c r="A249" t="str">
        <f>"1030002D00032    00"</f>
        <v>1030002D00032    00</v>
      </c>
      <c r="B249" t="s">
        <v>844</v>
      </c>
      <c r="C249" t="s">
        <v>845</v>
      </c>
      <c r="D249" t="s">
        <v>20</v>
      </c>
      <c r="E249" t="s">
        <v>39</v>
      </c>
      <c r="F249">
        <v>0</v>
      </c>
      <c r="G249">
        <v>0</v>
      </c>
      <c r="H249">
        <v>1</v>
      </c>
      <c r="I249" s="3">
        <v>2251.4499999999998</v>
      </c>
      <c r="J249" s="3">
        <v>0</v>
      </c>
      <c r="L249">
        <v>517</v>
      </c>
      <c r="M249" t="s">
        <v>846</v>
      </c>
      <c r="N249" t="s">
        <v>30</v>
      </c>
      <c r="O249" t="s">
        <v>31</v>
      </c>
      <c r="P249" t="str">
        <f t="shared" ref="P249:P256" si="1">"15219"</f>
        <v>15219</v>
      </c>
    </row>
    <row r="250" spans="1:16" x14ac:dyDescent="0.25">
      <c r="A250" t="str">
        <f>"1030002D00042    00"</f>
        <v>1030002D00042    00</v>
      </c>
      <c r="B250" t="s">
        <v>847</v>
      </c>
      <c r="C250" t="s">
        <v>848</v>
      </c>
      <c r="E250" t="s">
        <v>39</v>
      </c>
      <c r="F250">
        <v>0</v>
      </c>
      <c r="G250">
        <v>0</v>
      </c>
      <c r="H250">
        <v>2</v>
      </c>
      <c r="I250" s="3">
        <v>987.49</v>
      </c>
      <c r="J250" s="3">
        <v>417.12</v>
      </c>
      <c r="L250">
        <v>522</v>
      </c>
      <c r="M250" t="s">
        <v>849</v>
      </c>
      <c r="N250" t="s">
        <v>30</v>
      </c>
      <c r="O250" t="s">
        <v>31</v>
      </c>
      <c r="P250" t="str">
        <f t="shared" si="1"/>
        <v>15219</v>
      </c>
    </row>
    <row r="251" spans="1:16" x14ac:dyDescent="0.25">
      <c r="A251" t="str">
        <f>"1030002D00083    00"</f>
        <v>1030002D00083    00</v>
      </c>
      <c r="B251" t="s">
        <v>850</v>
      </c>
      <c r="C251" t="s">
        <v>851</v>
      </c>
      <c r="D251" t="s">
        <v>20</v>
      </c>
      <c r="E251" t="s">
        <v>39</v>
      </c>
      <c r="F251">
        <v>0</v>
      </c>
      <c r="G251">
        <v>0</v>
      </c>
      <c r="H251">
        <v>1</v>
      </c>
      <c r="I251" s="3">
        <v>3501.33</v>
      </c>
      <c r="J251" s="3">
        <v>0</v>
      </c>
      <c r="L251">
        <v>515</v>
      </c>
      <c r="M251" t="s">
        <v>849</v>
      </c>
      <c r="N251" t="s">
        <v>30</v>
      </c>
      <c r="O251" t="s">
        <v>31</v>
      </c>
      <c r="P251" t="str">
        <f t="shared" si="1"/>
        <v>15219</v>
      </c>
    </row>
    <row r="252" spans="1:16" x14ac:dyDescent="0.25">
      <c r="A252" t="str">
        <f>"1030002D00372    00"</f>
        <v>1030002D00372    00</v>
      </c>
      <c r="B252" t="s">
        <v>852</v>
      </c>
      <c r="C252" t="s">
        <v>853</v>
      </c>
      <c r="D252" t="s">
        <v>20</v>
      </c>
      <c r="E252" t="s">
        <v>21</v>
      </c>
      <c r="F252">
        <v>0</v>
      </c>
      <c r="G252">
        <v>0</v>
      </c>
      <c r="H252">
        <v>4</v>
      </c>
      <c r="I252" s="3">
        <v>29996.3</v>
      </c>
      <c r="J252" s="3">
        <v>3543.41</v>
      </c>
      <c r="L252">
        <v>1435</v>
      </c>
      <c r="M252" t="s">
        <v>854</v>
      </c>
      <c r="N252" t="s">
        <v>30</v>
      </c>
      <c r="O252" t="s">
        <v>31</v>
      </c>
      <c r="P252" t="str">
        <f t="shared" si="1"/>
        <v>15219</v>
      </c>
    </row>
    <row r="253" spans="1:16" x14ac:dyDescent="0.25">
      <c r="A253" t="str">
        <f>"1030002D00390    00"</f>
        <v>1030002D00390    00</v>
      </c>
      <c r="B253" t="s">
        <v>855</v>
      </c>
      <c r="C253" t="s">
        <v>856</v>
      </c>
      <c r="E253" t="s">
        <v>21</v>
      </c>
      <c r="F253">
        <v>0</v>
      </c>
      <c r="G253">
        <v>0</v>
      </c>
      <c r="H253">
        <v>1</v>
      </c>
      <c r="I253" s="3">
        <v>9530.02</v>
      </c>
      <c r="J253" s="3">
        <v>1905.93</v>
      </c>
      <c r="K253" t="s">
        <v>857</v>
      </c>
      <c r="L253">
        <v>319</v>
      </c>
      <c r="M253" t="s">
        <v>858</v>
      </c>
      <c r="N253" t="s">
        <v>30</v>
      </c>
      <c r="O253" t="s">
        <v>31</v>
      </c>
      <c r="P253" t="str">
        <f t="shared" si="1"/>
        <v>15219</v>
      </c>
    </row>
    <row r="254" spans="1:16" x14ac:dyDescent="0.25">
      <c r="A254" t="str">
        <f>"1030002D00412    00"</f>
        <v>1030002D00412    00</v>
      </c>
      <c r="B254" t="s">
        <v>859</v>
      </c>
      <c r="C254" t="s">
        <v>860</v>
      </c>
      <c r="D254" t="s">
        <v>33</v>
      </c>
      <c r="E254" t="s">
        <v>39</v>
      </c>
      <c r="F254">
        <v>0</v>
      </c>
      <c r="G254">
        <v>0</v>
      </c>
      <c r="H254">
        <v>7</v>
      </c>
      <c r="I254" s="3">
        <v>4113.79</v>
      </c>
      <c r="J254" s="3">
        <v>235.66</v>
      </c>
      <c r="L254">
        <v>516</v>
      </c>
      <c r="M254" t="s">
        <v>846</v>
      </c>
      <c r="N254" t="s">
        <v>30</v>
      </c>
      <c r="O254" t="s">
        <v>31</v>
      </c>
      <c r="P254" t="str">
        <f t="shared" si="1"/>
        <v>15219</v>
      </c>
    </row>
    <row r="255" spans="1:16" x14ac:dyDescent="0.25">
      <c r="A255" t="str">
        <f>"1030002F00175002500"</f>
        <v>1030002F00175002500</v>
      </c>
      <c r="B255" t="s">
        <v>861</v>
      </c>
      <c r="C255" t="s">
        <v>862</v>
      </c>
      <c r="E255" t="s">
        <v>39</v>
      </c>
      <c r="F255">
        <v>0</v>
      </c>
      <c r="G255">
        <v>0</v>
      </c>
      <c r="H255">
        <v>2</v>
      </c>
      <c r="I255" s="3">
        <v>116.13</v>
      </c>
      <c r="J255" s="3">
        <v>27</v>
      </c>
      <c r="K255" t="s">
        <v>863</v>
      </c>
      <c r="L255">
        <v>112</v>
      </c>
      <c r="M255" t="s">
        <v>864</v>
      </c>
      <c r="N255" t="s">
        <v>30</v>
      </c>
      <c r="O255" t="s">
        <v>31</v>
      </c>
      <c r="P255" t="str">
        <f t="shared" si="1"/>
        <v>15219</v>
      </c>
    </row>
    <row r="256" spans="1:16" x14ac:dyDescent="0.25">
      <c r="A256" t="str">
        <f>"1030002F00175004500"</f>
        <v>1030002F00175004500</v>
      </c>
      <c r="B256" t="s">
        <v>865</v>
      </c>
      <c r="C256" t="s">
        <v>866</v>
      </c>
      <c r="D256" t="s">
        <v>20</v>
      </c>
      <c r="E256" t="s">
        <v>39</v>
      </c>
      <c r="F256">
        <v>0</v>
      </c>
      <c r="G256">
        <v>0</v>
      </c>
      <c r="H256">
        <v>4</v>
      </c>
      <c r="I256" s="3">
        <v>5129.92</v>
      </c>
      <c r="J256" s="3">
        <v>631.69000000000005</v>
      </c>
      <c r="K256" t="s">
        <v>867</v>
      </c>
      <c r="L256">
        <v>112</v>
      </c>
      <c r="M256" t="s">
        <v>868</v>
      </c>
      <c r="N256" t="s">
        <v>30</v>
      </c>
      <c r="O256" t="s">
        <v>31</v>
      </c>
      <c r="P256" t="str">
        <f t="shared" si="1"/>
        <v>15219</v>
      </c>
    </row>
    <row r="257" spans="1:16" x14ac:dyDescent="0.25">
      <c r="A257" t="str">
        <f>"1030002F00175007600"</f>
        <v>1030002F00175007600</v>
      </c>
      <c r="B257" t="s">
        <v>869</v>
      </c>
      <c r="C257" t="s">
        <v>870</v>
      </c>
      <c r="E257" t="s">
        <v>39</v>
      </c>
      <c r="F257">
        <v>0</v>
      </c>
      <c r="G257">
        <v>0</v>
      </c>
      <c r="H257">
        <v>1</v>
      </c>
      <c r="I257" s="3">
        <v>1530.53</v>
      </c>
      <c r="J257" s="3">
        <v>0</v>
      </c>
      <c r="K257" t="s">
        <v>871</v>
      </c>
      <c r="L257">
        <v>6901</v>
      </c>
      <c r="M257" t="s">
        <v>872</v>
      </c>
      <c r="N257" t="s">
        <v>30</v>
      </c>
      <c r="O257" t="s">
        <v>31</v>
      </c>
      <c r="P257" t="str">
        <f>"15208"</f>
        <v>15208</v>
      </c>
    </row>
    <row r="258" spans="1:16" x14ac:dyDescent="0.25">
      <c r="A258" t="str">
        <f>"1030002F00175009800"</f>
        <v>1030002F00175009800</v>
      </c>
      <c r="B258" t="s">
        <v>873</v>
      </c>
      <c r="C258" t="s">
        <v>874</v>
      </c>
      <c r="D258" t="s">
        <v>20</v>
      </c>
      <c r="E258" t="s">
        <v>39</v>
      </c>
      <c r="F258">
        <v>0</v>
      </c>
      <c r="G258">
        <v>0</v>
      </c>
      <c r="H258">
        <v>1</v>
      </c>
      <c r="I258" s="3">
        <v>1486.68</v>
      </c>
      <c r="J258" s="3">
        <v>0</v>
      </c>
      <c r="L258">
        <v>112</v>
      </c>
      <c r="M258" t="s">
        <v>875</v>
      </c>
      <c r="N258" t="s">
        <v>30</v>
      </c>
      <c r="O258" t="s">
        <v>31</v>
      </c>
      <c r="P258" t="str">
        <f>"15219"</f>
        <v>15219</v>
      </c>
    </row>
    <row r="259" spans="1:16" x14ac:dyDescent="0.25">
      <c r="A259" t="str">
        <f>"1030002F00175010500"</f>
        <v>1030002F00175010500</v>
      </c>
      <c r="B259" t="s">
        <v>876</v>
      </c>
      <c r="C259" t="s">
        <v>877</v>
      </c>
      <c r="D259" t="s">
        <v>20</v>
      </c>
      <c r="E259" t="s">
        <v>39</v>
      </c>
      <c r="F259">
        <v>0</v>
      </c>
      <c r="G259">
        <v>0</v>
      </c>
      <c r="H259">
        <v>3</v>
      </c>
      <c r="I259" s="3">
        <v>3602.34</v>
      </c>
      <c r="J259" s="3">
        <v>240.14</v>
      </c>
      <c r="L259">
        <v>112</v>
      </c>
      <c r="M259" t="s">
        <v>878</v>
      </c>
      <c r="N259" t="s">
        <v>30</v>
      </c>
      <c r="O259" t="s">
        <v>31</v>
      </c>
      <c r="P259" t="str">
        <f>"15219"</f>
        <v>15219</v>
      </c>
    </row>
    <row r="260" spans="1:16" x14ac:dyDescent="0.25">
      <c r="A260" t="str">
        <f>"1030002F00175016500"</f>
        <v>1030002F00175016500</v>
      </c>
      <c r="B260" t="s">
        <v>879</v>
      </c>
      <c r="C260" t="s">
        <v>880</v>
      </c>
      <c r="D260" t="s">
        <v>20</v>
      </c>
      <c r="E260" t="s">
        <v>39</v>
      </c>
      <c r="F260">
        <v>0</v>
      </c>
      <c r="G260">
        <v>0</v>
      </c>
      <c r="H260">
        <v>1</v>
      </c>
      <c r="I260" s="3">
        <v>3217.8</v>
      </c>
      <c r="J260" s="3">
        <v>0</v>
      </c>
      <c r="K260" t="s">
        <v>881</v>
      </c>
      <c r="L260">
        <v>3001</v>
      </c>
      <c r="M260" t="s">
        <v>330</v>
      </c>
      <c r="N260" t="s">
        <v>331</v>
      </c>
      <c r="O260" t="s">
        <v>108</v>
      </c>
      <c r="P260" t="str">
        <f>"75063"</f>
        <v>75063</v>
      </c>
    </row>
    <row r="261" spans="1:16" x14ac:dyDescent="0.25">
      <c r="A261" t="str">
        <f>"1030002F00175020800"</f>
        <v>1030002F00175020800</v>
      </c>
      <c r="B261" t="s">
        <v>882</v>
      </c>
      <c r="C261" t="s">
        <v>883</v>
      </c>
      <c r="D261" t="s">
        <v>20</v>
      </c>
      <c r="E261" t="s">
        <v>39</v>
      </c>
      <c r="F261">
        <v>0</v>
      </c>
      <c r="G261">
        <v>0</v>
      </c>
      <c r="H261">
        <v>1</v>
      </c>
      <c r="I261" s="3">
        <v>2136.64</v>
      </c>
      <c r="J261" s="3">
        <v>0</v>
      </c>
      <c r="K261" t="s">
        <v>884</v>
      </c>
      <c r="L261">
        <v>112</v>
      </c>
      <c r="M261" t="s">
        <v>885</v>
      </c>
      <c r="N261" t="s">
        <v>30</v>
      </c>
      <c r="O261" t="s">
        <v>31</v>
      </c>
      <c r="P261" t="str">
        <f>"15219"</f>
        <v>15219</v>
      </c>
    </row>
    <row r="262" spans="1:16" x14ac:dyDescent="0.25">
      <c r="A262" t="str">
        <f>"1030002F00175071000"</f>
        <v>1030002F00175071000</v>
      </c>
      <c r="B262" t="s">
        <v>886</v>
      </c>
      <c r="C262" t="s">
        <v>887</v>
      </c>
      <c r="E262" t="s">
        <v>39</v>
      </c>
      <c r="F262">
        <v>0</v>
      </c>
      <c r="G262">
        <v>0</v>
      </c>
      <c r="H262">
        <v>1</v>
      </c>
      <c r="I262" s="3">
        <v>1334.2</v>
      </c>
      <c r="J262" s="3">
        <v>0</v>
      </c>
      <c r="L262">
        <v>225</v>
      </c>
      <c r="M262" t="s">
        <v>888</v>
      </c>
      <c r="N262" t="s">
        <v>30</v>
      </c>
      <c r="O262" t="s">
        <v>31</v>
      </c>
      <c r="P262" t="str">
        <f>"15211"</f>
        <v>15211</v>
      </c>
    </row>
    <row r="263" spans="1:16" x14ac:dyDescent="0.25">
      <c r="A263" t="str">
        <f>"1030002G00058    00"</f>
        <v>1030002G00058    00</v>
      </c>
      <c r="B263" t="s">
        <v>889</v>
      </c>
      <c r="C263" t="s">
        <v>890</v>
      </c>
      <c r="D263" t="s">
        <v>20</v>
      </c>
      <c r="E263" t="s">
        <v>21</v>
      </c>
      <c r="F263">
        <v>0</v>
      </c>
      <c r="G263">
        <v>0</v>
      </c>
      <c r="H263">
        <v>1</v>
      </c>
      <c r="I263" s="3">
        <v>3091.56</v>
      </c>
      <c r="J263" s="3">
        <v>0</v>
      </c>
      <c r="K263" t="s">
        <v>891</v>
      </c>
      <c r="L263">
        <v>2834</v>
      </c>
      <c r="M263" t="s">
        <v>854</v>
      </c>
      <c r="N263" t="s">
        <v>30</v>
      </c>
      <c r="O263" t="s">
        <v>31</v>
      </c>
      <c r="P263" t="str">
        <f>"15219"</f>
        <v>15219</v>
      </c>
    </row>
    <row r="264" spans="1:16" x14ac:dyDescent="0.25">
      <c r="A264" t="str">
        <f>"1030002G00322    00"</f>
        <v>1030002G00322    00</v>
      </c>
      <c r="B264" t="s">
        <v>892</v>
      </c>
      <c r="C264" t="s">
        <v>893</v>
      </c>
      <c r="E264" t="s">
        <v>21</v>
      </c>
      <c r="F264">
        <v>0</v>
      </c>
      <c r="G264">
        <v>0</v>
      </c>
      <c r="H264">
        <v>2</v>
      </c>
      <c r="I264" s="3">
        <v>118.2</v>
      </c>
      <c r="J264" s="3">
        <v>11.83</v>
      </c>
      <c r="L264">
        <v>111</v>
      </c>
      <c r="M264" t="s">
        <v>894</v>
      </c>
      <c r="N264" t="s">
        <v>30</v>
      </c>
      <c r="O264" t="s">
        <v>31</v>
      </c>
      <c r="P264" t="str">
        <f>"15222"</f>
        <v>15222</v>
      </c>
    </row>
    <row r="265" spans="1:16" x14ac:dyDescent="0.25">
      <c r="A265" t="str">
        <f>"1030002G00323    00"</f>
        <v>1030002G00323    00</v>
      </c>
      <c r="B265" t="s">
        <v>892</v>
      </c>
      <c r="C265" t="s">
        <v>893</v>
      </c>
      <c r="E265" t="s">
        <v>21</v>
      </c>
      <c r="F265">
        <v>0</v>
      </c>
      <c r="G265">
        <v>0</v>
      </c>
      <c r="H265">
        <v>3</v>
      </c>
      <c r="I265" s="3">
        <v>22.54</v>
      </c>
      <c r="J265" s="3">
        <v>3.71</v>
      </c>
      <c r="L265">
        <v>111</v>
      </c>
      <c r="M265" t="s">
        <v>894</v>
      </c>
      <c r="N265" t="s">
        <v>30</v>
      </c>
      <c r="O265" t="s">
        <v>31</v>
      </c>
      <c r="P265" t="str">
        <f>"15222"</f>
        <v>15222</v>
      </c>
    </row>
    <row r="266" spans="1:16" x14ac:dyDescent="0.25">
      <c r="A266" t="str">
        <f>"1030002H00077    00"</f>
        <v>1030002H00077    00</v>
      </c>
      <c r="B266" t="s">
        <v>895</v>
      </c>
      <c r="C266" t="s">
        <v>896</v>
      </c>
      <c r="E266" t="s">
        <v>21</v>
      </c>
      <c r="F266">
        <v>0</v>
      </c>
      <c r="G266">
        <v>0</v>
      </c>
      <c r="H266">
        <v>1</v>
      </c>
      <c r="I266" s="3">
        <v>22.71</v>
      </c>
      <c r="J266" s="3">
        <v>24.79</v>
      </c>
      <c r="L266">
        <v>1507</v>
      </c>
      <c r="M266" t="s">
        <v>174</v>
      </c>
      <c r="N266" t="s">
        <v>30</v>
      </c>
      <c r="O266" t="s">
        <v>31</v>
      </c>
      <c r="P266" t="str">
        <f>"15219"</f>
        <v>15219</v>
      </c>
    </row>
    <row r="267" spans="1:16" x14ac:dyDescent="0.25">
      <c r="A267" t="str">
        <f>"1030002H00130    00"</f>
        <v>1030002H00130    00</v>
      </c>
      <c r="B267" t="s">
        <v>897</v>
      </c>
      <c r="C267" t="s">
        <v>898</v>
      </c>
      <c r="E267" t="s">
        <v>39</v>
      </c>
      <c r="F267">
        <v>0</v>
      </c>
      <c r="G267">
        <v>0</v>
      </c>
      <c r="H267">
        <v>4</v>
      </c>
      <c r="I267" s="3">
        <v>134</v>
      </c>
      <c r="J267" s="3">
        <v>97.24</v>
      </c>
      <c r="L267">
        <v>1536</v>
      </c>
      <c r="M267" t="s">
        <v>899</v>
      </c>
      <c r="N267" t="s">
        <v>30</v>
      </c>
      <c r="O267" t="s">
        <v>31</v>
      </c>
      <c r="P267" t="str">
        <f>"15219"</f>
        <v>15219</v>
      </c>
    </row>
    <row r="268" spans="1:16" x14ac:dyDescent="0.25">
      <c r="A268" t="str">
        <f>"1030002H00131000200"</f>
        <v>1030002H00131000200</v>
      </c>
      <c r="B268" t="s">
        <v>900</v>
      </c>
      <c r="C268" t="s">
        <v>901</v>
      </c>
      <c r="D268" t="s">
        <v>20</v>
      </c>
      <c r="E268" t="s">
        <v>39</v>
      </c>
      <c r="F268">
        <v>0</v>
      </c>
      <c r="G268">
        <v>0</v>
      </c>
      <c r="H268">
        <v>4</v>
      </c>
      <c r="I268" s="3">
        <v>7772.38</v>
      </c>
      <c r="J268" s="3">
        <v>952.6</v>
      </c>
      <c r="L268">
        <v>223</v>
      </c>
      <c r="M268" t="s">
        <v>902</v>
      </c>
      <c r="N268" t="s">
        <v>903</v>
      </c>
      <c r="O268" t="s">
        <v>31</v>
      </c>
      <c r="P268" t="str">
        <f>"15136"</f>
        <v>15136</v>
      </c>
    </row>
    <row r="269" spans="1:16" x14ac:dyDescent="0.25">
      <c r="A269" t="str">
        <f>"1030002H00131000300"</f>
        <v>1030002H00131000300</v>
      </c>
      <c r="B269" t="s">
        <v>904</v>
      </c>
      <c r="C269" t="s">
        <v>905</v>
      </c>
      <c r="D269" t="s">
        <v>20</v>
      </c>
      <c r="E269" t="s">
        <v>39</v>
      </c>
      <c r="F269">
        <v>0</v>
      </c>
      <c r="G269">
        <v>0</v>
      </c>
      <c r="H269">
        <v>1</v>
      </c>
      <c r="I269" s="3">
        <v>3861.56</v>
      </c>
      <c r="J269" s="3">
        <v>0</v>
      </c>
      <c r="L269">
        <v>1536</v>
      </c>
      <c r="M269" t="s">
        <v>906</v>
      </c>
      <c r="N269" t="s">
        <v>30</v>
      </c>
      <c r="O269" t="s">
        <v>31</v>
      </c>
      <c r="P269" t="str">
        <f>"15219"</f>
        <v>15219</v>
      </c>
    </row>
    <row r="270" spans="1:16" x14ac:dyDescent="0.25">
      <c r="A270" t="str">
        <f>"1030002H00131000700"</f>
        <v>1030002H00131000700</v>
      </c>
      <c r="B270" t="s">
        <v>907</v>
      </c>
      <c r="C270" t="s">
        <v>908</v>
      </c>
      <c r="D270" t="s">
        <v>20</v>
      </c>
      <c r="E270" t="s">
        <v>39</v>
      </c>
      <c r="F270">
        <v>0</v>
      </c>
      <c r="G270">
        <v>0</v>
      </c>
      <c r="H270">
        <v>2</v>
      </c>
      <c r="I270" s="3">
        <v>2375.5</v>
      </c>
      <c r="J270" s="3">
        <v>0</v>
      </c>
      <c r="K270" t="s">
        <v>909</v>
      </c>
      <c r="L270">
        <v>3001</v>
      </c>
      <c r="M270" t="s">
        <v>330</v>
      </c>
      <c r="N270" t="s">
        <v>331</v>
      </c>
      <c r="O270" t="s">
        <v>108</v>
      </c>
      <c r="P270" t="str">
        <f>"75063"</f>
        <v>75063</v>
      </c>
    </row>
    <row r="271" spans="1:16" x14ac:dyDescent="0.25">
      <c r="A271" t="str">
        <f>"1030002H00150    00"</f>
        <v>1030002H00150    00</v>
      </c>
      <c r="B271" t="s">
        <v>218</v>
      </c>
      <c r="C271" t="s">
        <v>898</v>
      </c>
      <c r="E271" t="s">
        <v>207</v>
      </c>
      <c r="F271">
        <v>0</v>
      </c>
      <c r="G271">
        <v>0</v>
      </c>
      <c r="H271">
        <v>6</v>
      </c>
      <c r="I271" s="3">
        <v>76.34</v>
      </c>
      <c r="J271" s="3">
        <v>49.17</v>
      </c>
      <c r="K271" t="s">
        <v>220</v>
      </c>
      <c r="L271">
        <v>412</v>
      </c>
      <c r="M271" t="s">
        <v>221</v>
      </c>
      <c r="N271" t="s">
        <v>30</v>
      </c>
      <c r="O271" t="s">
        <v>31</v>
      </c>
      <c r="P271" t="str">
        <f>"15219"</f>
        <v>15219</v>
      </c>
    </row>
    <row r="272" spans="1:16" x14ac:dyDescent="0.25">
      <c r="A272" t="str">
        <f>"1030002H00252    00"</f>
        <v>1030002H00252    00</v>
      </c>
      <c r="B272" t="s">
        <v>910</v>
      </c>
      <c r="C272" t="s">
        <v>911</v>
      </c>
      <c r="D272" t="s">
        <v>20</v>
      </c>
      <c r="E272" t="s">
        <v>39</v>
      </c>
      <c r="F272">
        <v>0</v>
      </c>
      <c r="G272">
        <v>0</v>
      </c>
      <c r="H272">
        <v>2</v>
      </c>
      <c r="I272" s="3">
        <v>384.4</v>
      </c>
      <c r="J272" s="3">
        <v>0</v>
      </c>
      <c r="K272" t="s">
        <v>912</v>
      </c>
      <c r="L272">
        <v>46</v>
      </c>
      <c r="M272" t="s">
        <v>913</v>
      </c>
      <c r="N272" t="s">
        <v>914</v>
      </c>
      <c r="O272" t="s">
        <v>200</v>
      </c>
      <c r="P272" t="str">
        <f>"10952"</f>
        <v>10952</v>
      </c>
    </row>
    <row r="273" spans="1:16" x14ac:dyDescent="0.25">
      <c r="A273" t="str">
        <f>"1030002H00257    00"</f>
        <v>1030002H00257    00</v>
      </c>
      <c r="B273" t="s">
        <v>915</v>
      </c>
      <c r="C273" t="s">
        <v>916</v>
      </c>
      <c r="D273" t="s">
        <v>33</v>
      </c>
      <c r="E273" t="s">
        <v>39</v>
      </c>
      <c r="F273">
        <v>0</v>
      </c>
      <c r="G273">
        <v>0</v>
      </c>
      <c r="H273">
        <v>15</v>
      </c>
      <c r="I273" s="3">
        <v>8026.06</v>
      </c>
      <c r="J273" s="3">
        <v>6237.96</v>
      </c>
      <c r="K273" t="s">
        <v>917</v>
      </c>
      <c r="M273" t="s">
        <v>305</v>
      </c>
      <c r="N273" t="s">
        <v>30</v>
      </c>
      <c r="O273" t="s">
        <v>31</v>
      </c>
      <c r="P273" t="str">
        <f>"15243"</f>
        <v>15243</v>
      </c>
    </row>
    <row r="274" spans="1:16" x14ac:dyDescent="0.25">
      <c r="A274" t="str">
        <f>"1030002H00258    00"</f>
        <v>1030002H00258    00</v>
      </c>
      <c r="B274" t="s">
        <v>918</v>
      </c>
      <c r="C274" t="s">
        <v>919</v>
      </c>
      <c r="D274" t="s">
        <v>20</v>
      </c>
      <c r="E274" t="s">
        <v>39</v>
      </c>
      <c r="F274">
        <v>0</v>
      </c>
      <c r="G274">
        <v>0</v>
      </c>
      <c r="H274">
        <v>1</v>
      </c>
      <c r="I274" s="3">
        <v>247.8</v>
      </c>
      <c r="J274" s="3">
        <v>0</v>
      </c>
      <c r="K274" t="s">
        <v>920</v>
      </c>
      <c r="L274">
        <v>46</v>
      </c>
      <c r="M274" t="s">
        <v>913</v>
      </c>
      <c r="N274" t="s">
        <v>914</v>
      </c>
      <c r="O274" t="s">
        <v>200</v>
      </c>
      <c r="P274" t="str">
        <f>"10952"</f>
        <v>10952</v>
      </c>
    </row>
    <row r="275" spans="1:16" x14ac:dyDescent="0.25">
      <c r="A275" t="str">
        <f>"1030002H00259    00"</f>
        <v>1030002H00259    00</v>
      </c>
      <c r="B275" t="s">
        <v>921</v>
      </c>
      <c r="C275" t="s">
        <v>922</v>
      </c>
      <c r="D275" t="s">
        <v>20</v>
      </c>
      <c r="E275" t="s">
        <v>39</v>
      </c>
      <c r="F275">
        <v>0</v>
      </c>
      <c r="G275">
        <v>0</v>
      </c>
      <c r="H275">
        <v>1</v>
      </c>
      <c r="I275" s="3">
        <v>419.34</v>
      </c>
      <c r="J275" s="3">
        <v>0</v>
      </c>
      <c r="L275">
        <v>46</v>
      </c>
      <c r="M275" t="s">
        <v>913</v>
      </c>
      <c r="N275" t="s">
        <v>914</v>
      </c>
      <c r="O275" t="s">
        <v>200</v>
      </c>
      <c r="P275" t="str">
        <f>"10952"</f>
        <v>10952</v>
      </c>
    </row>
    <row r="276" spans="1:16" x14ac:dyDescent="0.25">
      <c r="A276" t="str">
        <f>"1030002H00262    00"</f>
        <v>1030002H00262    00</v>
      </c>
      <c r="B276" t="s">
        <v>923</v>
      </c>
      <c r="C276" t="s">
        <v>924</v>
      </c>
      <c r="E276" t="s">
        <v>39</v>
      </c>
      <c r="F276">
        <v>0</v>
      </c>
      <c r="G276">
        <v>0</v>
      </c>
      <c r="H276">
        <v>1</v>
      </c>
      <c r="I276" s="3">
        <v>284.81</v>
      </c>
      <c r="J276" s="3">
        <v>0</v>
      </c>
      <c r="K276" t="s">
        <v>925</v>
      </c>
      <c r="L276">
        <v>1511</v>
      </c>
      <c r="M276" t="s">
        <v>899</v>
      </c>
      <c r="N276" t="s">
        <v>30</v>
      </c>
      <c r="O276" t="s">
        <v>31</v>
      </c>
      <c r="P276" t="str">
        <f>"15219"</f>
        <v>15219</v>
      </c>
    </row>
    <row r="277" spans="1:16" x14ac:dyDescent="0.25">
      <c r="A277" t="str">
        <f>"1030002H00264    00"</f>
        <v>1030002H00264    00</v>
      </c>
      <c r="B277" t="s">
        <v>915</v>
      </c>
      <c r="C277" t="s">
        <v>926</v>
      </c>
      <c r="D277" t="s">
        <v>20</v>
      </c>
      <c r="E277" t="s">
        <v>39</v>
      </c>
      <c r="F277">
        <v>0</v>
      </c>
      <c r="G277">
        <v>0</v>
      </c>
      <c r="H277">
        <v>2</v>
      </c>
      <c r="I277" s="3">
        <v>22.3</v>
      </c>
      <c r="J277" s="3">
        <v>0</v>
      </c>
      <c r="L277">
        <v>27</v>
      </c>
      <c r="M277" t="s">
        <v>927</v>
      </c>
      <c r="N277" t="s">
        <v>30</v>
      </c>
      <c r="O277" t="s">
        <v>31</v>
      </c>
      <c r="P277" t="str">
        <f>"15219"</f>
        <v>15219</v>
      </c>
    </row>
    <row r="278" spans="1:16" x14ac:dyDescent="0.25">
      <c r="A278" t="str">
        <f>"1030002H00299    00"</f>
        <v>1030002H00299    00</v>
      </c>
      <c r="B278" t="s">
        <v>921</v>
      </c>
      <c r="C278" t="s">
        <v>928</v>
      </c>
      <c r="D278" t="s">
        <v>20</v>
      </c>
      <c r="E278" t="s">
        <v>39</v>
      </c>
      <c r="F278">
        <v>0</v>
      </c>
      <c r="G278">
        <v>0</v>
      </c>
      <c r="H278">
        <v>1</v>
      </c>
      <c r="I278" s="3">
        <v>628.98</v>
      </c>
      <c r="J278" s="3">
        <v>0</v>
      </c>
      <c r="L278">
        <v>46</v>
      </c>
      <c r="M278" t="s">
        <v>913</v>
      </c>
      <c r="N278" t="s">
        <v>914</v>
      </c>
      <c r="O278" t="s">
        <v>200</v>
      </c>
      <c r="P278" t="str">
        <f>"10952"</f>
        <v>10952</v>
      </c>
    </row>
    <row r="279" spans="1:16" x14ac:dyDescent="0.25">
      <c r="A279" t="str">
        <f>"1030002H00317    00"</f>
        <v>1030002H00317    00</v>
      </c>
      <c r="B279" t="s">
        <v>918</v>
      </c>
      <c r="C279" t="s">
        <v>929</v>
      </c>
      <c r="D279" t="s">
        <v>20</v>
      </c>
      <c r="E279" t="s">
        <v>39</v>
      </c>
      <c r="F279">
        <v>0</v>
      </c>
      <c r="G279">
        <v>0</v>
      </c>
      <c r="H279">
        <v>1</v>
      </c>
      <c r="I279" s="3">
        <v>743.34</v>
      </c>
      <c r="J279" s="3">
        <v>0</v>
      </c>
      <c r="K279" t="s">
        <v>920</v>
      </c>
      <c r="L279">
        <v>46</v>
      </c>
      <c r="M279" t="s">
        <v>913</v>
      </c>
      <c r="N279" t="s">
        <v>914</v>
      </c>
      <c r="O279" t="s">
        <v>200</v>
      </c>
      <c r="P279" t="str">
        <f>"10952"</f>
        <v>10952</v>
      </c>
    </row>
    <row r="280" spans="1:16" x14ac:dyDescent="0.25">
      <c r="A280" t="str">
        <f>"1030002H00330    01"</f>
        <v>1030002H00330    01</v>
      </c>
      <c r="B280" t="s">
        <v>218</v>
      </c>
      <c r="C280" t="s">
        <v>930</v>
      </c>
      <c r="E280" t="s">
        <v>207</v>
      </c>
      <c r="F280">
        <v>0</v>
      </c>
      <c r="G280">
        <v>0</v>
      </c>
      <c r="H280">
        <v>1</v>
      </c>
      <c r="I280" s="3">
        <v>659.21</v>
      </c>
      <c r="J280" s="3">
        <v>774.53</v>
      </c>
      <c r="K280" t="s">
        <v>220</v>
      </c>
      <c r="L280">
        <v>412</v>
      </c>
      <c r="M280" t="s">
        <v>221</v>
      </c>
      <c r="N280" t="s">
        <v>30</v>
      </c>
      <c r="O280" t="s">
        <v>31</v>
      </c>
      <c r="P280" t="str">
        <f>"15219"</f>
        <v>15219</v>
      </c>
    </row>
    <row r="281" spans="1:16" x14ac:dyDescent="0.25">
      <c r="A281" t="str">
        <f>"1030002H00339    00"</f>
        <v>1030002H00339    00</v>
      </c>
      <c r="B281" t="s">
        <v>918</v>
      </c>
      <c r="C281" t="s">
        <v>931</v>
      </c>
      <c r="D281" t="s">
        <v>20</v>
      </c>
      <c r="E281" t="s">
        <v>39</v>
      </c>
      <c r="F281">
        <v>0</v>
      </c>
      <c r="G281">
        <v>0</v>
      </c>
      <c r="H281">
        <v>2</v>
      </c>
      <c r="I281" s="3">
        <v>20.99</v>
      </c>
      <c r="J281" s="3">
        <v>0</v>
      </c>
      <c r="K281" t="s">
        <v>920</v>
      </c>
      <c r="L281">
        <v>46</v>
      </c>
      <c r="M281" t="s">
        <v>913</v>
      </c>
      <c r="N281" t="s">
        <v>914</v>
      </c>
      <c r="O281" t="s">
        <v>200</v>
      </c>
      <c r="P281" t="str">
        <f>"10952"</f>
        <v>10952</v>
      </c>
    </row>
    <row r="282" spans="1:16" x14ac:dyDescent="0.25">
      <c r="A282" t="str">
        <f>"1030009M00087    00"</f>
        <v>1030009M00087    00</v>
      </c>
      <c r="B282" t="s">
        <v>932</v>
      </c>
      <c r="C282" t="s">
        <v>933</v>
      </c>
      <c r="E282" t="s">
        <v>39</v>
      </c>
      <c r="F282">
        <v>0</v>
      </c>
      <c r="G282">
        <v>0</v>
      </c>
      <c r="H282">
        <v>1</v>
      </c>
      <c r="I282" s="3">
        <v>697.6</v>
      </c>
      <c r="J282" s="3">
        <v>139.52000000000001</v>
      </c>
      <c r="K282" t="s">
        <v>934</v>
      </c>
      <c r="L282">
        <v>806</v>
      </c>
      <c r="M282" t="s">
        <v>935</v>
      </c>
      <c r="N282" t="s">
        <v>30</v>
      </c>
      <c r="O282" t="s">
        <v>31</v>
      </c>
      <c r="P282" t="str">
        <f>"15203"</f>
        <v>15203</v>
      </c>
    </row>
    <row r="283" spans="1:16" x14ac:dyDescent="0.25">
      <c r="A283" t="str">
        <f>"1030009M00091    00"</f>
        <v>1030009M00091    00</v>
      </c>
      <c r="B283" t="s">
        <v>936</v>
      </c>
      <c r="C283" t="s">
        <v>937</v>
      </c>
      <c r="D283" t="s">
        <v>20</v>
      </c>
      <c r="E283" t="s">
        <v>39</v>
      </c>
      <c r="F283">
        <v>0</v>
      </c>
      <c r="G283">
        <v>0</v>
      </c>
      <c r="H283">
        <v>2</v>
      </c>
      <c r="I283" s="3">
        <v>34.32</v>
      </c>
      <c r="J283" s="3">
        <v>0</v>
      </c>
      <c r="L283">
        <v>2302</v>
      </c>
      <c r="M283" t="s">
        <v>938</v>
      </c>
      <c r="N283" t="s">
        <v>939</v>
      </c>
      <c r="O283" t="s">
        <v>200</v>
      </c>
      <c r="P283" t="str">
        <f>"11105"</f>
        <v>11105</v>
      </c>
    </row>
    <row r="284" spans="1:16" x14ac:dyDescent="0.25">
      <c r="A284" t="str">
        <f>"1030009M00106    00"</f>
        <v>1030009M00106    00</v>
      </c>
      <c r="B284" t="s">
        <v>940</v>
      </c>
      <c r="C284" t="s">
        <v>941</v>
      </c>
      <c r="D284" t="s">
        <v>20</v>
      </c>
      <c r="E284" t="s">
        <v>39</v>
      </c>
      <c r="F284">
        <v>0</v>
      </c>
      <c r="G284">
        <v>0</v>
      </c>
      <c r="H284">
        <v>3</v>
      </c>
      <c r="I284" s="3">
        <v>1493.71</v>
      </c>
      <c r="J284" s="3">
        <v>7.26</v>
      </c>
      <c r="L284">
        <v>1733</v>
      </c>
      <c r="M284" t="s">
        <v>942</v>
      </c>
      <c r="N284" t="s">
        <v>30</v>
      </c>
      <c r="O284" t="s">
        <v>31</v>
      </c>
      <c r="P284" t="str">
        <f>"15219"</f>
        <v>15219</v>
      </c>
    </row>
    <row r="285" spans="1:16" x14ac:dyDescent="0.25">
      <c r="A285" t="str">
        <f>"1030009M00126    00"</f>
        <v>1030009M00126    00</v>
      </c>
      <c r="B285" t="s">
        <v>918</v>
      </c>
      <c r="C285" t="s">
        <v>943</v>
      </c>
      <c r="D285" t="s">
        <v>20</v>
      </c>
      <c r="E285" t="s">
        <v>39</v>
      </c>
      <c r="F285">
        <v>0</v>
      </c>
      <c r="G285">
        <v>0</v>
      </c>
      <c r="H285">
        <v>1</v>
      </c>
      <c r="I285" s="3">
        <v>247.78</v>
      </c>
      <c r="J285" s="3">
        <v>0</v>
      </c>
      <c r="K285" t="s">
        <v>920</v>
      </c>
      <c r="L285">
        <v>46</v>
      </c>
      <c r="M285" t="s">
        <v>913</v>
      </c>
      <c r="N285" t="s">
        <v>914</v>
      </c>
      <c r="O285" t="s">
        <v>200</v>
      </c>
      <c r="P285" t="str">
        <f>"10952"</f>
        <v>10952</v>
      </c>
    </row>
    <row r="286" spans="1:16" x14ac:dyDescent="0.25">
      <c r="A286" t="str">
        <f>"1030009M00127    00"</f>
        <v>1030009M00127    00</v>
      </c>
      <c r="B286" t="s">
        <v>944</v>
      </c>
      <c r="C286" t="s">
        <v>945</v>
      </c>
      <c r="E286" t="s">
        <v>39</v>
      </c>
      <c r="F286">
        <v>0</v>
      </c>
      <c r="G286">
        <v>0</v>
      </c>
      <c r="H286">
        <v>9</v>
      </c>
      <c r="I286" s="3">
        <v>466.26</v>
      </c>
      <c r="J286" s="3">
        <v>649.52</v>
      </c>
      <c r="L286">
        <v>200</v>
      </c>
      <c r="M286" t="s">
        <v>946</v>
      </c>
      <c r="N286" t="s">
        <v>30</v>
      </c>
      <c r="O286" t="s">
        <v>31</v>
      </c>
      <c r="P286" t="str">
        <f>"15219"</f>
        <v>15219</v>
      </c>
    </row>
    <row r="287" spans="1:16" x14ac:dyDescent="0.25">
      <c r="A287" t="str">
        <f>"1030009M00128    00"</f>
        <v>1030009M00128    00</v>
      </c>
      <c r="B287" t="s">
        <v>910</v>
      </c>
      <c r="C287" t="s">
        <v>947</v>
      </c>
      <c r="D287" t="s">
        <v>20</v>
      </c>
      <c r="E287" t="s">
        <v>39</v>
      </c>
      <c r="F287">
        <v>0</v>
      </c>
      <c r="G287">
        <v>0</v>
      </c>
      <c r="H287">
        <v>2</v>
      </c>
      <c r="I287" s="3">
        <v>384.4</v>
      </c>
      <c r="J287" s="3">
        <v>0</v>
      </c>
      <c r="K287" t="s">
        <v>912</v>
      </c>
      <c r="L287">
        <v>46</v>
      </c>
      <c r="M287" t="s">
        <v>913</v>
      </c>
      <c r="N287" t="s">
        <v>914</v>
      </c>
      <c r="O287" t="s">
        <v>200</v>
      </c>
      <c r="P287" t="str">
        <f>"10952"</f>
        <v>10952</v>
      </c>
    </row>
    <row r="288" spans="1:16" x14ac:dyDescent="0.25">
      <c r="A288" t="str">
        <f>"1030009M00137    00"</f>
        <v>1030009M00137    00</v>
      </c>
      <c r="B288" t="s">
        <v>944</v>
      </c>
      <c r="C288" t="s">
        <v>948</v>
      </c>
      <c r="E288" t="s">
        <v>39</v>
      </c>
      <c r="F288">
        <v>0</v>
      </c>
      <c r="G288">
        <v>0</v>
      </c>
      <c r="H288">
        <v>9</v>
      </c>
      <c r="I288" s="3">
        <v>1153.74</v>
      </c>
      <c r="J288" s="3">
        <v>1296.8699999999999</v>
      </c>
      <c r="L288">
        <v>200</v>
      </c>
      <c r="M288" t="s">
        <v>946</v>
      </c>
      <c r="N288" t="s">
        <v>30</v>
      </c>
      <c r="O288" t="s">
        <v>31</v>
      </c>
      <c r="P288" t="str">
        <f>"15219"</f>
        <v>15219</v>
      </c>
    </row>
    <row r="289" spans="1:16" x14ac:dyDescent="0.25">
      <c r="A289" t="str">
        <f>"1030009M00142    00"</f>
        <v>1030009M00142    00</v>
      </c>
      <c r="B289" t="s">
        <v>949</v>
      </c>
      <c r="C289" t="s">
        <v>950</v>
      </c>
      <c r="E289" t="s">
        <v>39</v>
      </c>
      <c r="F289">
        <v>0</v>
      </c>
      <c r="G289">
        <v>0</v>
      </c>
      <c r="H289">
        <v>3</v>
      </c>
      <c r="I289" s="3">
        <v>1015.83</v>
      </c>
      <c r="J289" s="3">
        <v>687.44</v>
      </c>
      <c r="K289" t="s">
        <v>951</v>
      </c>
      <c r="L289">
        <v>1833</v>
      </c>
      <c r="M289" t="s">
        <v>942</v>
      </c>
      <c r="N289" t="s">
        <v>30</v>
      </c>
      <c r="O289" t="s">
        <v>31</v>
      </c>
      <c r="P289" t="str">
        <f>"15219"</f>
        <v>15219</v>
      </c>
    </row>
    <row r="290" spans="1:16" x14ac:dyDescent="0.25">
      <c r="A290" t="str">
        <f>"1030009M00143    00"</f>
        <v>1030009M00143    00</v>
      </c>
      <c r="B290" t="s">
        <v>944</v>
      </c>
      <c r="C290" t="s">
        <v>952</v>
      </c>
      <c r="E290" t="s">
        <v>39</v>
      </c>
      <c r="F290">
        <v>0</v>
      </c>
      <c r="G290">
        <v>0</v>
      </c>
      <c r="H290">
        <v>10</v>
      </c>
      <c r="I290" s="3">
        <v>710.97</v>
      </c>
      <c r="J290" s="3">
        <v>849.46</v>
      </c>
      <c r="L290">
        <v>200</v>
      </c>
      <c r="M290" t="s">
        <v>946</v>
      </c>
      <c r="N290" t="s">
        <v>30</v>
      </c>
      <c r="O290" t="s">
        <v>31</v>
      </c>
      <c r="P290" t="str">
        <f>"15219"</f>
        <v>15219</v>
      </c>
    </row>
    <row r="291" spans="1:16" x14ac:dyDescent="0.25">
      <c r="A291" t="str">
        <f>"1030009M00146    00"</f>
        <v>1030009M00146    00</v>
      </c>
      <c r="B291" t="s">
        <v>944</v>
      </c>
      <c r="C291" t="s">
        <v>937</v>
      </c>
      <c r="E291" t="s">
        <v>39</v>
      </c>
      <c r="F291">
        <v>0</v>
      </c>
      <c r="G291">
        <v>0</v>
      </c>
      <c r="H291">
        <v>10</v>
      </c>
      <c r="I291" s="3">
        <v>688.26</v>
      </c>
      <c r="J291" s="3">
        <v>818.85</v>
      </c>
      <c r="L291">
        <v>200</v>
      </c>
      <c r="M291" t="s">
        <v>946</v>
      </c>
      <c r="N291" t="s">
        <v>30</v>
      </c>
      <c r="O291" t="s">
        <v>31</v>
      </c>
      <c r="P291" t="str">
        <f>"15219"</f>
        <v>15219</v>
      </c>
    </row>
    <row r="292" spans="1:16" x14ac:dyDescent="0.25">
      <c r="A292" t="str">
        <f>"1030009M00147    00"</f>
        <v>1030009M00147    00</v>
      </c>
      <c r="B292" t="s">
        <v>944</v>
      </c>
      <c r="C292" t="s">
        <v>953</v>
      </c>
      <c r="E292" t="s">
        <v>39</v>
      </c>
      <c r="F292">
        <v>0</v>
      </c>
      <c r="G292">
        <v>0</v>
      </c>
      <c r="H292">
        <v>9</v>
      </c>
      <c r="I292" s="3">
        <v>785.09</v>
      </c>
      <c r="J292" s="3">
        <v>939.16</v>
      </c>
      <c r="L292">
        <v>200</v>
      </c>
      <c r="M292" t="s">
        <v>946</v>
      </c>
      <c r="N292" t="s">
        <v>30</v>
      </c>
      <c r="O292" t="s">
        <v>31</v>
      </c>
      <c r="P292" t="str">
        <f>"15219"</f>
        <v>15219</v>
      </c>
    </row>
    <row r="293" spans="1:16" x14ac:dyDescent="0.25">
      <c r="A293" t="str">
        <f>"1030009M00149    00"</f>
        <v>1030009M00149    00</v>
      </c>
      <c r="B293" t="s">
        <v>910</v>
      </c>
      <c r="C293" t="s">
        <v>954</v>
      </c>
      <c r="D293" t="s">
        <v>20</v>
      </c>
      <c r="E293" t="s">
        <v>39</v>
      </c>
      <c r="F293">
        <v>0</v>
      </c>
      <c r="G293">
        <v>0</v>
      </c>
      <c r="H293">
        <v>2</v>
      </c>
      <c r="I293" s="3">
        <v>1153.1500000000001</v>
      </c>
      <c r="J293" s="3">
        <v>0</v>
      </c>
      <c r="K293" t="s">
        <v>912</v>
      </c>
      <c r="L293">
        <v>46</v>
      </c>
      <c r="M293" t="s">
        <v>913</v>
      </c>
      <c r="N293" t="s">
        <v>914</v>
      </c>
      <c r="O293" t="s">
        <v>200</v>
      </c>
      <c r="P293" t="str">
        <f>"10952"</f>
        <v>10952</v>
      </c>
    </row>
    <row r="294" spans="1:16" x14ac:dyDescent="0.25">
      <c r="A294" t="str">
        <f>"1030009M00154000300"</f>
        <v>1030009M00154000300</v>
      </c>
      <c r="B294" t="s">
        <v>955</v>
      </c>
      <c r="C294" t="s">
        <v>956</v>
      </c>
      <c r="D294" t="s">
        <v>20</v>
      </c>
      <c r="E294" t="s">
        <v>39</v>
      </c>
      <c r="F294">
        <v>0</v>
      </c>
      <c r="G294">
        <v>0</v>
      </c>
      <c r="H294">
        <v>3</v>
      </c>
      <c r="I294" s="3">
        <v>3652.52</v>
      </c>
      <c r="J294" s="3">
        <v>255.33</v>
      </c>
      <c r="L294">
        <v>1848</v>
      </c>
      <c r="M294" t="s">
        <v>957</v>
      </c>
      <c r="N294" t="s">
        <v>30</v>
      </c>
      <c r="O294" t="s">
        <v>31</v>
      </c>
      <c r="P294" t="str">
        <f>"15219"</f>
        <v>15219</v>
      </c>
    </row>
    <row r="295" spans="1:16" x14ac:dyDescent="0.25">
      <c r="A295" t="str">
        <f>"1030009M00154000500"</f>
        <v>1030009M00154000500</v>
      </c>
      <c r="B295" t="s">
        <v>958</v>
      </c>
      <c r="C295" t="s">
        <v>959</v>
      </c>
      <c r="E295" t="s">
        <v>39</v>
      </c>
      <c r="F295">
        <v>0</v>
      </c>
      <c r="G295">
        <v>0</v>
      </c>
      <c r="H295">
        <v>1</v>
      </c>
      <c r="I295" s="3">
        <v>140.37</v>
      </c>
      <c r="J295" s="3">
        <v>38.6</v>
      </c>
      <c r="L295">
        <v>1852</v>
      </c>
      <c r="M295" t="s">
        <v>957</v>
      </c>
      <c r="N295" t="s">
        <v>30</v>
      </c>
      <c r="O295" t="s">
        <v>31</v>
      </c>
      <c r="P295" t="str">
        <f>"15219"</f>
        <v>15219</v>
      </c>
    </row>
    <row r="296" spans="1:16" x14ac:dyDescent="0.25">
      <c r="A296" t="str">
        <f>"1030009M00159000300"</f>
        <v>1030009M00159000300</v>
      </c>
      <c r="B296" t="s">
        <v>960</v>
      </c>
      <c r="C296" t="s">
        <v>961</v>
      </c>
      <c r="D296" t="s">
        <v>20</v>
      </c>
      <c r="E296" t="s">
        <v>39</v>
      </c>
      <c r="F296">
        <v>0</v>
      </c>
      <c r="G296">
        <v>0</v>
      </c>
      <c r="H296">
        <v>8</v>
      </c>
      <c r="I296" s="3">
        <v>17444.64</v>
      </c>
      <c r="J296" s="3">
        <v>6722.16</v>
      </c>
      <c r="L296">
        <v>705</v>
      </c>
      <c r="M296" t="s">
        <v>962</v>
      </c>
      <c r="N296" t="s">
        <v>30</v>
      </c>
      <c r="O296" t="s">
        <v>31</v>
      </c>
      <c r="P296" t="str">
        <f>"15219"</f>
        <v>15219</v>
      </c>
    </row>
    <row r="297" spans="1:16" x14ac:dyDescent="0.25">
      <c r="A297" t="str">
        <f>"1030009M00159000400"</f>
        <v>1030009M00159000400</v>
      </c>
      <c r="B297" t="s">
        <v>963</v>
      </c>
      <c r="C297" t="s">
        <v>964</v>
      </c>
      <c r="D297" t="s">
        <v>20</v>
      </c>
      <c r="E297" t="s">
        <v>39</v>
      </c>
      <c r="F297">
        <v>0</v>
      </c>
      <c r="G297">
        <v>0</v>
      </c>
      <c r="H297">
        <v>4</v>
      </c>
      <c r="I297" s="3">
        <v>4549.88</v>
      </c>
      <c r="J297" s="3">
        <v>321.17</v>
      </c>
      <c r="K297" t="s">
        <v>965</v>
      </c>
      <c r="L297">
        <v>707</v>
      </c>
      <c r="M297" t="s">
        <v>962</v>
      </c>
      <c r="N297" t="s">
        <v>30</v>
      </c>
      <c r="O297" t="s">
        <v>31</v>
      </c>
      <c r="P297" t="str">
        <f>"15219"</f>
        <v>15219</v>
      </c>
    </row>
    <row r="298" spans="1:16" x14ac:dyDescent="0.25">
      <c r="A298" t="str">
        <f>"1030009M00166    00"</f>
        <v>1030009M00166    00</v>
      </c>
      <c r="B298" t="s">
        <v>910</v>
      </c>
      <c r="C298" t="s">
        <v>966</v>
      </c>
      <c r="D298" t="s">
        <v>20</v>
      </c>
      <c r="E298" t="s">
        <v>39</v>
      </c>
      <c r="F298">
        <v>0</v>
      </c>
      <c r="G298">
        <v>0</v>
      </c>
      <c r="H298">
        <v>2</v>
      </c>
      <c r="I298" s="3">
        <v>31.78</v>
      </c>
      <c r="J298" s="3">
        <v>0</v>
      </c>
      <c r="K298" t="s">
        <v>912</v>
      </c>
      <c r="L298">
        <v>46</v>
      </c>
      <c r="M298" t="s">
        <v>913</v>
      </c>
      <c r="N298" t="s">
        <v>914</v>
      </c>
      <c r="O298" t="s">
        <v>200</v>
      </c>
      <c r="P298" t="str">
        <f>"10952"</f>
        <v>10952</v>
      </c>
    </row>
    <row r="299" spans="1:16" x14ac:dyDescent="0.25">
      <c r="A299" t="str">
        <f>"1030009M00169    00"</f>
        <v>1030009M00169    00</v>
      </c>
      <c r="B299" t="s">
        <v>967</v>
      </c>
      <c r="C299" t="s">
        <v>968</v>
      </c>
      <c r="D299" t="s">
        <v>20</v>
      </c>
      <c r="E299" t="s">
        <v>39</v>
      </c>
      <c r="F299">
        <v>0</v>
      </c>
      <c r="G299">
        <v>0</v>
      </c>
      <c r="H299">
        <v>2</v>
      </c>
      <c r="I299" s="3">
        <v>48.44</v>
      </c>
      <c r="J299" s="3">
        <v>0</v>
      </c>
      <c r="K299" t="s">
        <v>969</v>
      </c>
      <c r="L299">
        <v>713</v>
      </c>
      <c r="M299" t="s">
        <v>970</v>
      </c>
      <c r="N299" t="s">
        <v>30</v>
      </c>
      <c r="O299" t="s">
        <v>31</v>
      </c>
      <c r="P299" t="str">
        <f>"15219"</f>
        <v>15219</v>
      </c>
    </row>
    <row r="300" spans="1:16" x14ac:dyDescent="0.25">
      <c r="A300" t="str">
        <f>"1030009M00170    00"</f>
        <v>1030009M00170    00</v>
      </c>
      <c r="B300" t="s">
        <v>921</v>
      </c>
      <c r="C300" t="s">
        <v>966</v>
      </c>
      <c r="D300" t="s">
        <v>20</v>
      </c>
      <c r="E300" t="s">
        <v>39</v>
      </c>
      <c r="F300">
        <v>0</v>
      </c>
      <c r="G300">
        <v>0</v>
      </c>
      <c r="H300">
        <v>1</v>
      </c>
      <c r="I300" s="3">
        <v>20.98</v>
      </c>
      <c r="J300" s="3">
        <v>0</v>
      </c>
      <c r="L300">
        <v>46</v>
      </c>
      <c r="M300" t="s">
        <v>913</v>
      </c>
      <c r="N300" t="s">
        <v>914</v>
      </c>
      <c r="O300" t="s">
        <v>200</v>
      </c>
      <c r="P300" t="str">
        <f>"10952"</f>
        <v>10952</v>
      </c>
    </row>
    <row r="301" spans="1:16" x14ac:dyDescent="0.25">
      <c r="A301" t="str">
        <f>"1030009M00173    00"</f>
        <v>1030009M00173    00</v>
      </c>
      <c r="B301" t="s">
        <v>944</v>
      </c>
      <c r="C301" t="s">
        <v>971</v>
      </c>
      <c r="E301" t="s">
        <v>39</v>
      </c>
      <c r="F301">
        <v>0</v>
      </c>
      <c r="G301">
        <v>0</v>
      </c>
      <c r="H301">
        <v>10</v>
      </c>
      <c r="I301" s="3">
        <v>465.96</v>
      </c>
      <c r="J301" s="3">
        <v>574.75</v>
      </c>
      <c r="L301">
        <v>200</v>
      </c>
      <c r="M301" t="s">
        <v>946</v>
      </c>
      <c r="N301" t="s">
        <v>30</v>
      </c>
      <c r="O301" t="s">
        <v>31</v>
      </c>
      <c r="P301" t="str">
        <f t="shared" ref="P301:P310" si="2">"15219"</f>
        <v>15219</v>
      </c>
    </row>
    <row r="302" spans="1:16" x14ac:dyDescent="0.25">
      <c r="A302" t="str">
        <f>"1030009M00180    00"</f>
        <v>1030009M00180    00</v>
      </c>
      <c r="B302" t="s">
        <v>944</v>
      </c>
      <c r="C302" t="s">
        <v>972</v>
      </c>
      <c r="E302" t="s">
        <v>39</v>
      </c>
      <c r="F302">
        <v>0</v>
      </c>
      <c r="G302">
        <v>0</v>
      </c>
      <c r="H302">
        <v>6</v>
      </c>
      <c r="I302" s="3">
        <v>823.56</v>
      </c>
      <c r="J302" s="3">
        <v>860.14</v>
      </c>
      <c r="L302">
        <v>200</v>
      </c>
      <c r="M302" t="s">
        <v>946</v>
      </c>
      <c r="N302" t="s">
        <v>30</v>
      </c>
      <c r="O302" t="s">
        <v>31</v>
      </c>
      <c r="P302" t="str">
        <f t="shared" si="2"/>
        <v>15219</v>
      </c>
    </row>
    <row r="303" spans="1:16" x14ac:dyDescent="0.25">
      <c r="A303" t="str">
        <f>"1030009M00186    00"</f>
        <v>1030009M00186    00</v>
      </c>
      <c r="B303" t="s">
        <v>944</v>
      </c>
      <c r="C303" t="s">
        <v>973</v>
      </c>
      <c r="E303" t="s">
        <v>39</v>
      </c>
      <c r="F303">
        <v>0</v>
      </c>
      <c r="G303">
        <v>0</v>
      </c>
      <c r="H303">
        <v>10</v>
      </c>
      <c r="I303" s="3">
        <v>596.41</v>
      </c>
      <c r="J303" s="3">
        <v>719.98</v>
      </c>
      <c r="L303">
        <v>200</v>
      </c>
      <c r="M303" t="s">
        <v>946</v>
      </c>
      <c r="N303" t="s">
        <v>30</v>
      </c>
      <c r="O303" t="s">
        <v>31</v>
      </c>
      <c r="P303" t="str">
        <f t="shared" si="2"/>
        <v>15219</v>
      </c>
    </row>
    <row r="304" spans="1:16" x14ac:dyDescent="0.25">
      <c r="A304" t="str">
        <f>"1030009M00186A   00"</f>
        <v>1030009M00186A   00</v>
      </c>
      <c r="B304" t="s">
        <v>944</v>
      </c>
      <c r="C304" t="s">
        <v>974</v>
      </c>
      <c r="E304" t="s">
        <v>39</v>
      </c>
      <c r="F304">
        <v>0</v>
      </c>
      <c r="G304">
        <v>0</v>
      </c>
      <c r="H304">
        <v>10</v>
      </c>
      <c r="I304" s="3">
        <v>596.41</v>
      </c>
      <c r="J304" s="3">
        <v>719.98</v>
      </c>
      <c r="L304">
        <v>200</v>
      </c>
      <c r="M304" t="s">
        <v>946</v>
      </c>
      <c r="N304" t="s">
        <v>30</v>
      </c>
      <c r="O304" t="s">
        <v>31</v>
      </c>
      <c r="P304" t="str">
        <f t="shared" si="2"/>
        <v>15219</v>
      </c>
    </row>
    <row r="305" spans="1:16" x14ac:dyDescent="0.25">
      <c r="A305" t="str">
        <f>"1030009M00187    00"</f>
        <v>1030009M00187    00</v>
      </c>
      <c r="B305" t="s">
        <v>944</v>
      </c>
      <c r="C305" t="s">
        <v>975</v>
      </c>
      <c r="E305" t="s">
        <v>39</v>
      </c>
      <c r="F305">
        <v>0</v>
      </c>
      <c r="G305">
        <v>0</v>
      </c>
      <c r="H305">
        <v>10</v>
      </c>
      <c r="I305" s="3">
        <v>813.48</v>
      </c>
      <c r="J305" s="3">
        <v>958.84</v>
      </c>
      <c r="L305">
        <v>200</v>
      </c>
      <c r="M305" t="s">
        <v>946</v>
      </c>
      <c r="N305" t="s">
        <v>30</v>
      </c>
      <c r="O305" t="s">
        <v>31</v>
      </c>
      <c r="P305" t="str">
        <f t="shared" si="2"/>
        <v>15219</v>
      </c>
    </row>
    <row r="306" spans="1:16" x14ac:dyDescent="0.25">
      <c r="A306" t="str">
        <f>"1030009M00188    00"</f>
        <v>1030009M00188    00</v>
      </c>
      <c r="B306" t="s">
        <v>944</v>
      </c>
      <c r="C306" t="s">
        <v>976</v>
      </c>
      <c r="E306" t="s">
        <v>39</v>
      </c>
      <c r="F306">
        <v>0</v>
      </c>
      <c r="G306">
        <v>0</v>
      </c>
      <c r="H306">
        <v>10</v>
      </c>
      <c r="I306" s="3">
        <v>545.6</v>
      </c>
      <c r="J306" s="3">
        <v>689.53</v>
      </c>
      <c r="L306">
        <v>200</v>
      </c>
      <c r="M306" t="s">
        <v>946</v>
      </c>
      <c r="N306" t="s">
        <v>30</v>
      </c>
      <c r="O306" t="s">
        <v>31</v>
      </c>
      <c r="P306" t="str">
        <f t="shared" si="2"/>
        <v>15219</v>
      </c>
    </row>
    <row r="307" spans="1:16" x14ac:dyDescent="0.25">
      <c r="A307" t="str">
        <f>"1030009M00189    00"</f>
        <v>1030009M00189    00</v>
      </c>
      <c r="B307" t="s">
        <v>977</v>
      </c>
      <c r="C307" t="s">
        <v>978</v>
      </c>
      <c r="D307" t="s">
        <v>20</v>
      </c>
      <c r="E307" t="s">
        <v>39</v>
      </c>
      <c r="F307">
        <v>0</v>
      </c>
      <c r="G307">
        <v>0</v>
      </c>
      <c r="H307">
        <v>1</v>
      </c>
      <c r="I307" s="3">
        <v>234.9</v>
      </c>
      <c r="J307" s="3">
        <v>0</v>
      </c>
      <c r="K307" t="s">
        <v>979</v>
      </c>
      <c r="L307">
        <v>1842</v>
      </c>
      <c r="M307" t="s">
        <v>942</v>
      </c>
      <c r="N307" t="s">
        <v>30</v>
      </c>
      <c r="O307" t="s">
        <v>31</v>
      </c>
      <c r="P307" t="str">
        <f t="shared" si="2"/>
        <v>15219</v>
      </c>
    </row>
    <row r="308" spans="1:16" x14ac:dyDescent="0.25">
      <c r="A308" t="str">
        <f>"1030009M00190    00"</f>
        <v>1030009M00190    00</v>
      </c>
      <c r="B308" t="s">
        <v>980</v>
      </c>
      <c r="C308" t="s">
        <v>981</v>
      </c>
      <c r="D308" t="s">
        <v>20</v>
      </c>
      <c r="E308" t="s">
        <v>39</v>
      </c>
      <c r="F308">
        <v>0</v>
      </c>
      <c r="G308">
        <v>0</v>
      </c>
      <c r="H308">
        <v>5</v>
      </c>
      <c r="I308" s="3">
        <v>5325.25</v>
      </c>
      <c r="J308" s="3">
        <v>723.57</v>
      </c>
      <c r="L308">
        <v>1844</v>
      </c>
      <c r="M308" t="s">
        <v>942</v>
      </c>
      <c r="N308" t="s">
        <v>30</v>
      </c>
      <c r="O308" t="s">
        <v>31</v>
      </c>
      <c r="P308" t="str">
        <f t="shared" si="2"/>
        <v>15219</v>
      </c>
    </row>
    <row r="309" spans="1:16" x14ac:dyDescent="0.25">
      <c r="A309" t="str">
        <f>"1030009M00191    00"</f>
        <v>1030009M00191    00</v>
      </c>
      <c r="B309" t="s">
        <v>980</v>
      </c>
      <c r="C309" t="s">
        <v>982</v>
      </c>
      <c r="D309" t="s">
        <v>20</v>
      </c>
      <c r="E309" t="s">
        <v>39</v>
      </c>
      <c r="F309">
        <v>0</v>
      </c>
      <c r="G309">
        <v>0</v>
      </c>
      <c r="H309">
        <v>3</v>
      </c>
      <c r="I309" s="3">
        <v>3215.61</v>
      </c>
      <c r="J309" s="3">
        <v>114.98</v>
      </c>
      <c r="L309">
        <v>1844</v>
      </c>
      <c r="M309" t="s">
        <v>942</v>
      </c>
      <c r="N309" t="s">
        <v>30</v>
      </c>
      <c r="O309" t="s">
        <v>31</v>
      </c>
      <c r="P309" t="str">
        <f t="shared" si="2"/>
        <v>15219</v>
      </c>
    </row>
    <row r="310" spans="1:16" x14ac:dyDescent="0.25">
      <c r="A310" t="str">
        <f>"1030009M00194    00"</f>
        <v>1030009M00194    00</v>
      </c>
      <c r="B310" t="s">
        <v>944</v>
      </c>
      <c r="C310" t="s">
        <v>983</v>
      </c>
      <c r="E310" t="s">
        <v>39</v>
      </c>
      <c r="F310">
        <v>0</v>
      </c>
      <c r="G310">
        <v>0</v>
      </c>
      <c r="H310">
        <v>10</v>
      </c>
      <c r="I310" s="3">
        <v>1041.08</v>
      </c>
      <c r="J310" s="3">
        <v>1208.17</v>
      </c>
      <c r="L310">
        <v>200</v>
      </c>
      <c r="M310" t="s">
        <v>984</v>
      </c>
      <c r="N310" t="s">
        <v>30</v>
      </c>
      <c r="O310" t="s">
        <v>31</v>
      </c>
      <c r="P310" t="str">
        <f t="shared" si="2"/>
        <v>15219</v>
      </c>
    </row>
    <row r="311" spans="1:16" x14ac:dyDescent="0.25">
      <c r="A311" t="str">
        <f>"1030009M00197    00"</f>
        <v>1030009M00197    00</v>
      </c>
      <c r="B311" t="s">
        <v>985</v>
      </c>
      <c r="C311" t="s">
        <v>937</v>
      </c>
      <c r="E311" t="s">
        <v>39</v>
      </c>
      <c r="F311">
        <v>0</v>
      </c>
      <c r="G311">
        <v>0</v>
      </c>
      <c r="H311">
        <v>3</v>
      </c>
      <c r="I311" s="3">
        <v>21.83</v>
      </c>
      <c r="J311" s="3">
        <v>1.96</v>
      </c>
      <c r="L311">
        <v>440</v>
      </c>
      <c r="M311" t="s">
        <v>986</v>
      </c>
      <c r="N311" t="s">
        <v>30</v>
      </c>
      <c r="O311" t="s">
        <v>31</v>
      </c>
      <c r="P311" t="str">
        <f>"15214"</f>
        <v>15214</v>
      </c>
    </row>
    <row r="312" spans="1:16" x14ac:dyDescent="0.25">
      <c r="A312" t="str">
        <f>"1030009M00197A   00"</f>
        <v>1030009M00197A   00</v>
      </c>
      <c r="B312" t="s">
        <v>985</v>
      </c>
      <c r="C312" t="s">
        <v>937</v>
      </c>
      <c r="D312" t="s">
        <v>20</v>
      </c>
      <c r="E312" t="s">
        <v>39</v>
      </c>
      <c r="F312">
        <v>0</v>
      </c>
      <c r="G312">
        <v>0</v>
      </c>
      <c r="H312">
        <v>2</v>
      </c>
      <c r="I312" s="3">
        <v>20.53</v>
      </c>
      <c r="J312" s="3">
        <v>0</v>
      </c>
      <c r="L312">
        <v>440</v>
      </c>
      <c r="M312" t="s">
        <v>986</v>
      </c>
      <c r="N312" t="s">
        <v>30</v>
      </c>
      <c r="O312" t="s">
        <v>31</v>
      </c>
      <c r="P312" t="str">
        <f>"15214"</f>
        <v>15214</v>
      </c>
    </row>
    <row r="313" spans="1:16" x14ac:dyDescent="0.25">
      <c r="A313" t="str">
        <f>"1030009M00198    00"</f>
        <v>1030009M00198    00</v>
      </c>
      <c r="B313" t="s">
        <v>985</v>
      </c>
      <c r="C313" t="s">
        <v>937</v>
      </c>
      <c r="E313" t="s">
        <v>39</v>
      </c>
      <c r="F313">
        <v>0</v>
      </c>
      <c r="G313">
        <v>0</v>
      </c>
      <c r="H313">
        <v>6</v>
      </c>
      <c r="I313" s="3">
        <v>1404.16</v>
      </c>
      <c r="J313" s="3">
        <v>454.71</v>
      </c>
      <c r="L313">
        <v>440</v>
      </c>
      <c r="M313" t="s">
        <v>986</v>
      </c>
      <c r="N313" t="s">
        <v>30</v>
      </c>
      <c r="O313" t="s">
        <v>31</v>
      </c>
      <c r="P313" t="str">
        <f>"15214"</f>
        <v>15214</v>
      </c>
    </row>
    <row r="314" spans="1:16" x14ac:dyDescent="0.25">
      <c r="A314" t="str">
        <f>"1030009M00202    00"</f>
        <v>1030009M00202    00</v>
      </c>
      <c r="B314" t="s">
        <v>944</v>
      </c>
      <c r="C314" t="s">
        <v>974</v>
      </c>
      <c r="E314" t="s">
        <v>39</v>
      </c>
      <c r="F314">
        <v>0</v>
      </c>
      <c r="G314">
        <v>0</v>
      </c>
      <c r="H314">
        <v>10</v>
      </c>
      <c r="I314" s="3">
        <v>591.1</v>
      </c>
      <c r="J314" s="3">
        <v>714.74</v>
      </c>
      <c r="L314">
        <v>200</v>
      </c>
      <c r="M314" t="s">
        <v>946</v>
      </c>
      <c r="N314" t="s">
        <v>30</v>
      </c>
      <c r="O314" t="s">
        <v>31</v>
      </c>
      <c r="P314" t="str">
        <f>"15219"</f>
        <v>15219</v>
      </c>
    </row>
    <row r="315" spans="1:16" x14ac:dyDescent="0.25">
      <c r="A315" t="str">
        <f>"1030009M00203    00"</f>
        <v>1030009M00203    00</v>
      </c>
      <c r="B315" t="s">
        <v>944</v>
      </c>
      <c r="C315" t="s">
        <v>974</v>
      </c>
      <c r="E315" t="s">
        <v>39</v>
      </c>
      <c r="F315">
        <v>0</v>
      </c>
      <c r="G315">
        <v>0</v>
      </c>
      <c r="H315">
        <v>10</v>
      </c>
      <c r="I315" s="3">
        <v>640.35</v>
      </c>
      <c r="J315" s="3">
        <v>771.56</v>
      </c>
      <c r="L315">
        <v>200</v>
      </c>
      <c r="M315" t="s">
        <v>946</v>
      </c>
      <c r="N315" t="s">
        <v>30</v>
      </c>
      <c r="O315" t="s">
        <v>31</v>
      </c>
      <c r="P315" t="str">
        <f>"15219"</f>
        <v>15219</v>
      </c>
    </row>
    <row r="316" spans="1:16" x14ac:dyDescent="0.25">
      <c r="A316" t="str">
        <f>"1030009M00204    00"</f>
        <v>1030009M00204    00</v>
      </c>
      <c r="B316" t="s">
        <v>944</v>
      </c>
      <c r="C316" t="s">
        <v>974</v>
      </c>
      <c r="E316" t="s">
        <v>39</v>
      </c>
      <c r="F316">
        <v>0</v>
      </c>
      <c r="G316">
        <v>0</v>
      </c>
      <c r="H316">
        <v>10</v>
      </c>
      <c r="I316" s="3">
        <v>384.76</v>
      </c>
      <c r="J316" s="3">
        <v>486.38</v>
      </c>
      <c r="L316">
        <v>200</v>
      </c>
      <c r="M316" t="s">
        <v>946</v>
      </c>
      <c r="N316" t="s">
        <v>30</v>
      </c>
      <c r="O316" t="s">
        <v>31</v>
      </c>
      <c r="P316" t="str">
        <f>"15219"</f>
        <v>15219</v>
      </c>
    </row>
    <row r="317" spans="1:16" x14ac:dyDescent="0.25">
      <c r="A317" t="str">
        <f>"1030009M00206    00"</f>
        <v>1030009M00206    00</v>
      </c>
      <c r="B317" t="s">
        <v>944</v>
      </c>
      <c r="C317" t="s">
        <v>987</v>
      </c>
      <c r="E317" t="s">
        <v>39</v>
      </c>
      <c r="F317">
        <v>0</v>
      </c>
      <c r="G317">
        <v>0</v>
      </c>
      <c r="H317">
        <v>10</v>
      </c>
      <c r="I317" s="3">
        <v>384.76</v>
      </c>
      <c r="J317" s="3">
        <v>486.38</v>
      </c>
      <c r="L317">
        <v>200</v>
      </c>
      <c r="M317" t="s">
        <v>946</v>
      </c>
      <c r="N317" t="s">
        <v>30</v>
      </c>
      <c r="O317" t="s">
        <v>31</v>
      </c>
      <c r="P317" t="str">
        <f>"15219"</f>
        <v>15219</v>
      </c>
    </row>
    <row r="318" spans="1:16" x14ac:dyDescent="0.25">
      <c r="A318" t="str">
        <f>"1030009M00207    00"</f>
        <v>1030009M00207    00</v>
      </c>
      <c r="B318" t="s">
        <v>944</v>
      </c>
      <c r="C318" t="s">
        <v>988</v>
      </c>
      <c r="E318" t="s">
        <v>39</v>
      </c>
      <c r="F318">
        <v>0</v>
      </c>
      <c r="G318">
        <v>0</v>
      </c>
      <c r="H318">
        <v>10</v>
      </c>
      <c r="I318" s="3">
        <v>395.41</v>
      </c>
      <c r="J318" s="3">
        <v>496.92</v>
      </c>
      <c r="L318">
        <v>200</v>
      </c>
      <c r="M318" t="s">
        <v>946</v>
      </c>
      <c r="N318" t="s">
        <v>30</v>
      </c>
      <c r="O318" t="s">
        <v>31</v>
      </c>
      <c r="P318" t="str">
        <f>"15219"</f>
        <v>15219</v>
      </c>
    </row>
    <row r="319" spans="1:16" x14ac:dyDescent="0.25">
      <c r="A319" t="str">
        <f>"1030009M00209    00"</f>
        <v>1030009M00209    00</v>
      </c>
      <c r="B319" t="s">
        <v>910</v>
      </c>
      <c r="C319" t="s">
        <v>989</v>
      </c>
      <c r="D319" t="s">
        <v>20</v>
      </c>
      <c r="E319" t="s">
        <v>39</v>
      </c>
      <c r="F319">
        <v>0</v>
      </c>
      <c r="G319">
        <v>0</v>
      </c>
      <c r="H319">
        <v>2</v>
      </c>
      <c r="I319" s="3">
        <v>384.4</v>
      </c>
      <c r="J319" s="3">
        <v>0</v>
      </c>
      <c r="K319" t="s">
        <v>912</v>
      </c>
      <c r="L319">
        <v>46</v>
      </c>
      <c r="M319" t="s">
        <v>913</v>
      </c>
      <c r="N319" t="s">
        <v>914</v>
      </c>
      <c r="O319" t="s">
        <v>200</v>
      </c>
      <c r="P319" t="str">
        <f>"10952"</f>
        <v>10952</v>
      </c>
    </row>
    <row r="320" spans="1:16" x14ac:dyDescent="0.25">
      <c r="A320" t="str">
        <f>"1030009M00219    00"</f>
        <v>1030009M00219    00</v>
      </c>
      <c r="B320" t="s">
        <v>944</v>
      </c>
      <c r="C320" t="s">
        <v>990</v>
      </c>
      <c r="E320" t="s">
        <v>39</v>
      </c>
      <c r="F320">
        <v>0</v>
      </c>
      <c r="G320">
        <v>0</v>
      </c>
      <c r="H320">
        <v>9</v>
      </c>
      <c r="I320" s="3">
        <v>842.91</v>
      </c>
      <c r="J320" s="3">
        <v>1059.31</v>
      </c>
      <c r="L320">
        <v>200</v>
      </c>
      <c r="M320" t="s">
        <v>946</v>
      </c>
      <c r="N320" t="s">
        <v>30</v>
      </c>
      <c r="O320" t="s">
        <v>31</v>
      </c>
      <c r="P320" t="str">
        <f>"15219"</f>
        <v>15219</v>
      </c>
    </row>
    <row r="321" spans="1:16" x14ac:dyDescent="0.25">
      <c r="A321" t="str">
        <f>"1030009M00221    00"</f>
        <v>1030009M00221    00</v>
      </c>
      <c r="B321" t="s">
        <v>991</v>
      </c>
      <c r="C321" t="s">
        <v>992</v>
      </c>
      <c r="E321" t="s">
        <v>39</v>
      </c>
      <c r="F321">
        <v>0</v>
      </c>
      <c r="G321">
        <v>0</v>
      </c>
      <c r="H321">
        <v>1</v>
      </c>
      <c r="I321" s="3">
        <v>990.29</v>
      </c>
      <c r="J321" s="3">
        <v>0</v>
      </c>
      <c r="L321">
        <v>1730</v>
      </c>
      <c r="M321" t="s">
        <v>942</v>
      </c>
      <c r="N321" t="s">
        <v>30</v>
      </c>
      <c r="O321" t="s">
        <v>31</v>
      </c>
      <c r="P321" t="str">
        <f>"15219"</f>
        <v>15219</v>
      </c>
    </row>
    <row r="322" spans="1:16" x14ac:dyDescent="0.25">
      <c r="A322" t="str">
        <f>"1030009M00224    00"</f>
        <v>1030009M00224    00</v>
      </c>
      <c r="B322" t="s">
        <v>993</v>
      </c>
      <c r="C322" t="s">
        <v>994</v>
      </c>
      <c r="E322" t="s">
        <v>39</v>
      </c>
      <c r="F322">
        <v>0</v>
      </c>
      <c r="G322">
        <v>0</v>
      </c>
      <c r="H322">
        <v>2</v>
      </c>
      <c r="I322" s="3">
        <v>3428.51</v>
      </c>
      <c r="J322" s="3">
        <v>305.54000000000002</v>
      </c>
      <c r="K322" t="s">
        <v>995</v>
      </c>
      <c r="L322">
        <v>1724</v>
      </c>
      <c r="M322" t="s">
        <v>942</v>
      </c>
      <c r="N322" t="s">
        <v>30</v>
      </c>
      <c r="O322" t="s">
        <v>31</v>
      </c>
      <c r="P322" t="str">
        <f>"15219"</f>
        <v>15219</v>
      </c>
    </row>
    <row r="323" spans="1:16" x14ac:dyDescent="0.25">
      <c r="A323" t="str">
        <f>"1030009M00227    00"</f>
        <v>1030009M00227    00</v>
      </c>
      <c r="B323" t="s">
        <v>996</v>
      </c>
      <c r="C323" t="s">
        <v>997</v>
      </c>
      <c r="E323" t="s">
        <v>39</v>
      </c>
      <c r="F323">
        <v>0</v>
      </c>
      <c r="G323">
        <v>0</v>
      </c>
      <c r="H323">
        <v>1</v>
      </c>
      <c r="I323" s="3">
        <v>345.98</v>
      </c>
      <c r="J323" s="3">
        <v>0</v>
      </c>
      <c r="L323">
        <v>1716</v>
      </c>
      <c r="M323" t="s">
        <v>942</v>
      </c>
      <c r="N323" t="s">
        <v>30</v>
      </c>
      <c r="O323" t="s">
        <v>31</v>
      </c>
      <c r="P323" t="str">
        <f>"15219"</f>
        <v>15219</v>
      </c>
    </row>
    <row r="324" spans="1:16" x14ac:dyDescent="0.25">
      <c r="A324" t="str">
        <f>"1030009M00240    00"</f>
        <v>1030009M00240    00</v>
      </c>
      <c r="B324" t="s">
        <v>921</v>
      </c>
      <c r="C324" t="s">
        <v>998</v>
      </c>
      <c r="D324" t="s">
        <v>20</v>
      </c>
      <c r="E324" t="s">
        <v>39</v>
      </c>
      <c r="F324">
        <v>0</v>
      </c>
      <c r="G324">
        <v>0</v>
      </c>
      <c r="H324">
        <v>1</v>
      </c>
      <c r="I324" s="3">
        <v>209.68</v>
      </c>
      <c r="J324" s="3">
        <v>0</v>
      </c>
      <c r="L324">
        <v>46</v>
      </c>
      <c r="M324" t="s">
        <v>913</v>
      </c>
      <c r="N324" t="s">
        <v>914</v>
      </c>
      <c r="O324" t="s">
        <v>200</v>
      </c>
      <c r="P324" t="str">
        <f>"10952"</f>
        <v>10952</v>
      </c>
    </row>
    <row r="325" spans="1:16" x14ac:dyDescent="0.25">
      <c r="A325" t="str">
        <f>"1030009M00241    00"</f>
        <v>1030009M00241    00</v>
      </c>
      <c r="B325" t="s">
        <v>910</v>
      </c>
      <c r="C325" t="s">
        <v>999</v>
      </c>
      <c r="D325" t="s">
        <v>20</v>
      </c>
      <c r="E325" t="s">
        <v>39</v>
      </c>
      <c r="F325">
        <v>0</v>
      </c>
      <c r="G325">
        <v>0</v>
      </c>
      <c r="H325">
        <v>2</v>
      </c>
      <c r="I325" s="3">
        <v>384.4</v>
      </c>
      <c r="J325" s="3">
        <v>0</v>
      </c>
      <c r="K325" t="s">
        <v>912</v>
      </c>
      <c r="L325">
        <v>46</v>
      </c>
      <c r="M325" t="s">
        <v>913</v>
      </c>
      <c r="N325" t="s">
        <v>914</v>
      </c>
      <c r="O325" t="s">
        <v>200</v>
      </c>
      <c r="P325" t="str">
        <f>"10952"</f>
        <v>10952</v>
      </c>
    </row>
    <row r="326" spans="1:16" x14ac:dyDescent="0.25">
      <c r="A326" t="str">
        <f>"1030009M00242    00"</f>
        <v>1030009M00242    00</v>
      </c>
      <c r="B326" t="s">
        <v>1000</v>
      </c>
      <c r="C326" t="s">
        <v>1001</v>
      </c>
      <c r="E326" t="s">
        <v>39</v>
      </c>
      <c r="F326">
        <v>0</v>
      </c>
      <c r="G326">
        <v>0</v>
      </c>
      <c r="H326">
        <v>1</v>
      </c>
      <c r="I326" s="3">
        <v>536.08000000000004</v>
      </c>
      <c r="J326" s="3">
        <v>0</v>
      </c>
      <c r="K326" t="s">
        <v>1002</v>
      </c>
      <c r="L326">
        <v>19210</v>
      </c>
      <c r="M326" t="s">
        <v>1003</v>
      </c>
      <c r="N326" t="s">
        <v>1004</v>
      </c>
      <c r="O326" t="s">
        <v>1005</v>
      </c>
      <c r="P326" t="str">
        <f>"85027"</f>
        <v>85027</v>
      </c>
    </row>
    <row r="327" spans="1:16" x14ac:dyDescent="0.25">
      <c r="A327" t="str">
        <f>"1030009M00243    00"</f>
        <v>1030009M00243    00</v>
      </c>
      <c r="B327" t="s">
        <v>1006</v>
      </c>
      <c r="C327" t="s">
        <v>1007</v>
      </c>
      <c r="D327" t="s">
        <v>20</v>
      </c>
      <c r="E327" t="s">
        <v>39</v>
      </c>
      <c r="F327">
        <v>0</v>
      </c>
      <c r="G327">
        <v>0</v>
      </c>
      <c r="H327">
        <v>19</v>
      </c>
      <c r="I327" s="3">
        <v>22983.08</v>
      </c>
      <c r="J327" s="3">
        <v>26572.21</v>
      </c>
      <c r="K327" t="s">
        <v>1008</v>
      </c>
      <c r="P327" t="str">
        <f>""</f>
        <v/>
      </c>
    </row>
    <row r="328" spans="1:16" x14ac:dyDescent="0.25">
      <c r="A328" t="str">
        <f>"1030009M00244    00"</f>
        <v>1030009M00244    00</v>
      </c>
      <c r="B328" t="s">
        <v>910</v>
      </c>
      <c r="C328" t="s">
        <v>1009</v>
      </c>
      <c r="D328" t="s">
        <v>20</v>
      </c>
      <c r="E328" t="s">
        <v>39</v>
      </c>
      <c r="F328">
        <v>0</v>
      </c>
      <c r="G328">
        <v>0</v>
      </c>
      <c r="H328">
        <v>2</v>
      </c>
      <c r="I328" s="3">
        <v>384.4</v>
      </c>
      <c r="J328" s="3">
        <v>0</v>
      </c>
      <c r="K328" t="s">
        <v>912</v>
      </c>
      <c r="L328">
        <v>46</v>
      </c>
      <c r="M328" t="s">
        <v>913</v>
      </c>
      <c r="N328" t="s">
        <v>914</v>
      </c>
      <c r="O328" t="s">
        <v>200</v>
      </c>
      <c r="P328" t="str">
        <f>"10952"</f>
        <v>10952</v>
      </c>
    </row>
    <row r="329" spans="1:16" x14ac:dyDescent="0.25">
      <c r="A329" t="str">
        <f>"1030009M00245    00"</f>
        <v>1030009M00245    00</v>
      </c>
      <c r="B329" t="s">
        <v>1010</v>
      </c>
      <c r="C329" t="s">
        <v>1011</v>
      </c>
      <c r="E329" t="s">
        <v>21</v>
      </c>
      <c r="F329">
        <v>0</v>
      </c>
      <c r="G329">
        <v>0</v>
      </c>
      <c r="H329">
        <v>5</v>
      </c>
      <c r="I329" s="3">
        <v>800.79</v>
      </c>
      <c r="J329" s="3">
        <v>818.74</v>
      </c>
      <c r="K329" t="s">
        <v>1012</v>
      </c>
      <c r="L329">
        <v>1621</v>
      </c>
      <c r="M329" t="s">
        <v>854</v>
      </c>
      <c r="N329" t="s">
        <v>30</v>
      </c>
      <c r="O329" t="s">
        <v>31</v>
      </c>
      <c r="P329" t="str">
        <f>"15219"</f>
        <v>15219</v>
      </c>
    </row>
    <row r="330" spans="1:16" x14ac:dyDescent="0.25">
      <c r="A330" t="str">
        <f>"1030009M00246    00"</f>
        <v>1030009M00246    00</v>
      </c>
      <c r="B330" t="s">
        <v>944</v>
      </c>
      <c r="C330" t="s">
        <v>1013</v>
      </c>
      <c r="E330" t="s">
        <v>39</v>
      </c>
      <c r="F330">
        <v>0</v>
      </c>
      <c r="G330">
        <v>0</v>
      </c>
      <c r="H330">
        <v>9</v>
      </c>
      <c r="I330" s="3">
        <v>1038.8900000000001</v>
      </c>
      <c r="J330" s="3">
        <v>1170.8800000000001</v>
      </c>
      <c r="L330">
        <v>200</v>
      </c>
      <c r="M330" t="s">
        <v>946</v>
      </c>
      <c r="N330" t="s">
        <v>30</v>
      </c>
      <c r="O330" t="s">
        <v>31</v>
      </c>
      <c r="P330" t="str">
        <f>"15219"</f>
        <v>15219</v>
      </c>
    </row>
    <row r="331" spans="1:16" x14ac:dyDescent="0.25">
      <c r="A331" t="str">
        <f>"1030009M00251    00"</f>
        <v>1030009M00251    00</v>
      </c>
      <c r="B331" t="s">
        <v>944</v>
      </c>
      <c r="C331" t="s">
        <v>1014</v>
      </c>
      <c r="E331" t="s">
        <v>39</v>
      </c>
      <c r="F331">
        <v>0</v>
      </c>
      <c r="G331">
        <v>0</v>
      </c>
      <c r="H331">
        <v>10</v>
      </c>
      <c r="I331" s="3">
        <v>677.61</v>
      </c>
      <c r="J331" s="3">
        <v>808.34</v>
      </c>
      <c r="L331">
        <v>200</v>
      </c>
      <c r="M331" t="s">
        <v>946</v>
      </c>
      <c r="N331" t="s">
        <v>30</v>
      </c>
      <c r="O331" t="s">
        <v>31</v>
      </c>
      <c r="P331" t="str">
        <f>"15219"</f>
        <v>15219</v>
      </c>
    </row>
    <row r="332" spans="1:16" x14ac:dyDescent="0.25">
      <c r="A332" t="str">
        <f>"1030009M00251A   00"</f>
        <v>1030009M00251A   00</v>
      </c>
      <c r="B332" t="s">
        <v>944</v>
      </c>
      <c r="C332" t="s">
        <v>1015</v>
      </c>
      <c r="E332" t="s">
        <v>39</v>
      </c>
      <c r="F332">
        <v>0</v>
      </c>
      <c r="G332">
        <v>0</v>
      </c>
      <c r="H332">
        <v>10</v>
      </c>
      <c r="I332" s="3">
        <v>390.11</v>
      </c>
      <c r="J332" s="3">
        <v>491.66</v>
      </c>
      <c r="L332">
        <v>200</v>
      </c>
      <c r="M332" t="s">
        <v>946</v>
      </c>
      <c r="N332" t="s">
        <v>30</v>
      </c>
      <c r="O332" t="s">
        <v>31</v>
      </c>
      <c r="P332" t="str">
        <f>"15219"</f>
        <v>15219</v>
      </c>
    </row>
    <row r="333" spans="1:16" x14ac:dyDescent="0.25">
      <c r="A333" t="str">
        <f>"1030009M00254    00"</f>
        <v>1030009M00254    00</v>
      </c>
      <c r="B333" t="s">
        <v>910</v>
      </c>
      <c r="C333" t="s">
        <v>1016</v>
      </c>
      <c r="D333" t="s">
        <v>20</v>
      </c>
      <c r="E333" t="s">
        <v>39</v>
      </c>
      <c r="F333">
        <v>0</v>
      </c>
      <c r="G333">
        <v>0</v>
      </c>
      <c r="H333">
        <v>2</v>
      </c>
      <c r="I333" s="3">
        <v>768.77</v>
      </c>
      <c r="J333" s="3">
        <v>0</v>
      </c>
      <c r="K333" t="s">
        <v>912</v>
      </c>
      <c r="L333">
        <v>46</v>
      </c>
      <c r="M333" t="s">
        <v>913</v>
      </c>
      <c r="N333" t="s">
        <v>914</v>
      </c>
      <c r="O333" t="s">
        <v>200</v>
      </c>
      <c r="P333" t="str">
        <f>"10952"</f>
        <v>10952</v>
      </c>
    </row>
    <row r="334" spans="1:16" x14ac:dyDescent="0.25">
      <c r="A334" t="str">
        <f>"1030009M00255    00"</f>
        <v>1030009M00255    00</v>
      </c>
      <c r="B334" t="s">
        <v>910</v>
      </c>
      <c r="C334" t="s">
        <v>1017</v>
      </c>
      <c r="D334" t="s">
        <v>20</v>
      </c>
      <c r="E334" t="s">
        <v>39</v>
      </c>
      <c r="F334">
        <v>0</v>
      </c>
      <c r="G334">
        <v>0</v>
      </c>
      <c r="H334">
        <v>3</v>
      </c>
      <c r="I334" s="3">
        <v>768.78</v>
      </c>
      <c r="J334" s="3">
        <v>0</v>
      </c>
      <c r="K334" t="s">
        <v>912</v>
      </c>
      <c r="L334">
        <v>46</v>
      </c>
      <c r="M334" t="s">
        <v>913</v>
      </c>
      <c r="N334" t="s">
        <v>914</v>
      </c>
      <c r="O334" t="s">
        <v>200</v>
      </c>
      <c r="P334" t="str">
        <f>"10952"</f>
        <v>10952</v>
      </c>
    </row>
    <row r="335" spans="1:16" x14ac:dyDescent="0.25">
      <c r="A335" t="str">
        <f>"1030009M00256    00"</f>
        <v>1030009M00256    00</v>
      </c>
      <c r="B335" t="s">
        <v>1018</v>
      </c>
      <c r="C335" t="s">
        <v>1019</v>
      </c>
      <c r="D335" t="s">
        <v>20</v>
      </c>
      <c r="E335" t="s">
        <v>39</v>
      </c>
      <c r="F335">
        <v>0</v>
      </c>
      <c r="G335">
        <v>0</v>
      </c>
      <c r="H335">
        <v>1</v>
      </c>
      <c r="I335" s="3">
        <v>213.47</v>
      </c>
      <c r="J335" s="3">
        <v>0</v>
      </c>
      <c r="L335">
        <v>408</v>
      </c>
      <c r="M335" t="s">
        <v>1020</v>
      </c>
      <c r="N335" t="s">
        <v>30</v>
      </c>
      <c r="O335" t="s">
        <v>31</v>
      </c>
      <c r="P335" t="str">
        <f>"15207"</f>
        <v>15207</v>
      </c>
    </row>
    <row r="336" spans="1:16" x14ac:dyDescent="0.25">
      <c r="A336" t="str">
        <f>"1030009M00257B   00"</f>
        <v>1030009M00257B   00</v>
      </c>
      <c r="B336" t="s">
        <v>1021</v>
      </c>
      <c r="C336" t="s">
        <v>1022</v>
      </c>
      <c r="E336" t="s">
        <v>39</v>
      </c>
      <c r="F336">
        <v>0</v>
      </c>
      <c r="G336">
        <v>0</v>
      </c>
      <c r="H336">
        <v>1</v>
      </c>
      <c r="I336" s="3">
        <v>403.5</v>
      </c>
      <c r="J336" s="3">
        <v>0</v>
      </c>
      <c r="L336">
        <v>16</v>
      </c>
      <c r="M336" t="s">
        <v>1023</v>
      </c>
      <c r="N336" t="s">
        <v>30</v>
      </c>
      <c r="O336" t="s">
        <v>31</v>
      </c>
      <c r="P336" t="str">
        <f>"15219"</f>
        <v>15219</v>
      </c>
    </row>
    <row r="337" spans="1:16" x14ac:dyDescent="0.25">
      <c r="A337" t="str">
        <f>"1030009M00258    00"</f>
        <v>1030009M00258    00</v>
      </c>
      <c r="B337" t="s">
        <v>944</v>
      </c>
      <c r="C337" t="s">
        <v>1019</v>
      </c>
      <c r="E337" t="s">
        <v>39</v>
      </c>
      <c r="F337">
        <v>0</v>
      </c>
      <c r="G337">
        <v>0</v>
      </c>
      <c r="H337">
        <v>10</v>
      </c>
      <c r="I337" s="3">
        <v>384.76</v>
      </c>
      <c r="J337" s="3">
        <v>486.38</v>
      </c>
      <c r="L337">
        <v>200</v>
      </c>
      <c r="M337" t="s">
        <v>946</v>
      </c>
      <c r="N337" t="s">
        <v>30</v>
      </c>
      <c r="O337" t="s">
        <v>31</v>
      </c>
      <c r="P337" t="str">
        <f>"15219"</f>
        <v>15219</v>
      </c>
    </row>
    <row r="338" spans="1:16" x14ac:dyDescent="0.25">
      <c r="A338" t="str">
        <f>"1030009M00259000200"</f>
        <v>1030009M00259000200</v>
      </c>
      <c r="B338" t="s">
        <v>1024</v>
      </c>
      <c r="C338" t="s">
        <v>1025</v>
      </c>
      <c r="D338" t="s">
        <v>20</v>
      </c>
      <c r="E338" t="s">
        <v>39</v>
      </c>
      <c r="F338">
        <v>0</v>
      </c>
      <c r="G338">
        <v>0</v>
      </c>
      <c r="H338">
        <v>3</v>
      </c>
      <c r="I338" s="3">
        <v>2275.06</v>
      </c>
      <c r="J338" s="3">
        <v>156.29</v>
      </c>
      <c r="L338">
        <v>1829</v>
      </c>
      <c r="M338" t="s">
        <v>854</v>
      </c>
      <c r="N338" t="s">
        <v>30</v>
      </c>
      <c r="O338" t="s">
        <v>31</v>
      </c>
      <c r="P338" t="str">
        <f>"15219"</f>
        <v>15219</v>
      </c>
    </row>
    <row r="339" spans="1:16" x14ac:dyDescent="0.25">
      <c r="A339" t="str">
        <f>"1030009M00259000500"</f>
        <v>1030009M00259000500</v>
      </c>
      <c r="B339" t="s">
        <v>1026</v>
      </c>
      <c r="C339" t="s">
        <v>1027</v>
      </c>
      <c r="D339" t="s">
        <v>20</v>
      </c>
      <c r="E339" t="s">
        <v>39</v>
      </c>
      <c r="F339">
        <v>0</v>
      </c>
      <c r="G339">
        <v>0</v>
      </c>
      <c r="H339">
        <v>2</v>
      </c>
      <c r="I339" s="3">
        <v>310.26</v>
      </c>
      <c r="J339" s="3">
        <v>0.64</v>
      </c>
      <c r="L339">
        <v>1841</v>
      </c>
      <c r="M339" t="s">
        <v>854</v>
      </c>
      <c r="N339" t="s">
        <v>30</v>
      </c>
      <c r="O339" t="s">
        <v>31</v>
      </c>
      <c r="P339" t="str">
        <f>"15219"</f>
        <v>15219</v>
      </c>
    </row>
    <row r="340" spans="1:16" x14ac:dyDescent="0.25">
      <c r="A340" t="str">
        <f>"1030009M00259000700"</f>
        <v>1030009M00259000700</v>
      </c>
      <c r="B340" t="s">
        <v>1028</v>
      </c>
      <c r="C340" t="s">
        <v>1029</v>
      </c>
      <c r="E340" t="s">
        <v>39</v>
      </c>
      <c r="F340">
        <v>0</v>
      </c>
      <c r="G340">
        <v>0</v>
      </c>
      <c r="H340">
        <v>1</v>
      </c>
      <c r="I340" s="3">
        <v>427.42</v>
      </c>
      <c r="J340" s="3">
        <v>117.53</v>
      </c>
      <c r="K340" t="s">
        <v>1030</v>
      </c>
      <c r="M340" t="s">
        <v>1031</v>
      </c>
      <c r="N340" t="s">
        <v>1032</v>
      </c>
      <c r="O340" t="s">
        <v>25</v>
      </c>
      <c r="P340" t="str">
        <f>"44711"</f>
        <v>44711</v>
      </c>
    </row>
    <row r="341" spans="1:16" x14ac:dyDescent="0.25">
      <c r="A341" t="str">
        <f>"1030009M00259001000"</f>
        <v>1030009M00259001000</v>
      </c>
      <c r="B341" t="s">
        <v>1033</v>
      </c>
      <c r="C341" t="s">
        <v>1034</v>
      </c>
      <c r="D341" t="s">
        <v>20</v>
      </c>
      <c r="E341" t="s">
        <v>39</v>
      </c>
      <c r="F341">
        <v>0</v>
      </c>
      <c r="G341">
        <v>0</v>
      </c>
      <c r="H341">
        <v>3</v>
      </c>
      <c r="I341" s="3">
        <v>1759.45</v>
      </c>
      <c r="J341" s="3">
        <v>22.12</v>
      </c>
      <c r="L341">
        <v>1835</v>
      </c>
      <c r="M341" t="s">
        <v>854</v>
      </c>
      <c r="N341" t="s">
        <v>30</v>
      </c>
      <c r="O341" t="s">
        <v>31</v>
      </c>
      <c r="P341" t="str">
        <f>"15219"</f>
        <v>15219</v>
      </c>
    </row>
    <row r="342" spans="1:16" x14ac:dyDescent="0.25">
      <c r="A342" t="str">
        <f>"1030009M00277    00"</f>
        <v>1030009M00277    00</v>
      </c>
      <c r="B342" t="s">
        <v>944</v>
      </c>
      <c r="C342" t="s">
        <v>1035</v>
      </c>
      <c r="E342" t="s">
        <v>39</v>
      </c>
      <c r="F342">
        <v>0</v>
      </c>
      <c r="G342">
        <v>0</v>
      </c>
      <c r="H342">
        <v>10</v>
      </c>
      <c r="I342" s="3">
        <v>471.31</v>
      </c>
      <c r="J342" s="3">
        <v>580.04</v>
      </c>
      <c r="L342">
        <v>200</v>
      </c>
      <c r="M342" t="s">
        <v>946</v>
      </c>
      <c r="N342" t="s">
        <v>30</v>
      </c>
      <c r="O342" t="s">
        <v>31</v>
      </c>
      <c r="P342" t="str">
        <f>"15219"</f>
        <v>15219</v>
      </c>
    </row>
    <row r="343" spans="1:16" x14ac:dyDescent="0.25">
      <c r="A343" t="str">
        <f>"1030009M00278    00"</f>
        <v>1030009M00278    00</v>
      </c>
      <c r="B343" t="s">
        <v>1036</v>
      </c>
      <c r="C343" t="s">
        <v>974</v>
      </c>
      <c r="D343" t="s">
        <v>20</v>
      </c>
      <c r="E343" t="s">
        <v>39</v>
      </c>
      <c r="F343">
        <v>0</v>
      </c>
      <c r="G343">
        <v>0</v>
      </c>
      <c r="H343">
        <v>17</v>
      </c>
      <c r="I343" s="3">
        <v>696.15</v>
      </c>
      <c r="J343" s="3">
        <v>953.79</v>
      </c>
      <c r="K343" t="s">
        <v>1037</v>
      </c>
      <c r="L343">
        <v>402</v>
      </c>
      <c r="M343" t="s">
        <v>1038</v>
      </c>
      <c r="N343" t="s">
        <v>30</v>
      </c>
      <c r="O343" t="s">
        <v>31</v>
      </c>
      <c r="P343" t="str">
        <f>"15219"</f>
        <v>15219</v>
      </c>
    </row>
    <row r="344" spans="1:16" x14ac:dyDescent="0.25">
      <c r="A344" t="str">
        <f>"1030009M00279    00"</f>
        <v>1030009M00279    00</v>
      </c>
      <c r="B344" t="s">
        <v>944</v>
      </c>
      <c r="C344" t="s">
        <v>966</v>
      </c>
      <c r="E344" t="s">
        <v>39</v>
      </c>
      <c r="F344">
        <v>0</v>
      </c>
      <c r="G344">
        <v>0</v>
      </c>
      <c r="H344">
        <v>10</v>
      </c>
      <c r="I344" s="3">
        <v>455.31</v>
      </c>
      <c r="J344" s="3">
        <v>564.24</v>
      </c>
      <c r="L344">
        <v>200</v>
      </c>
      <c r="M344" t="s">
        <v>946</v>
      </c>
      <c r="N344" t="s">
        <v>30</v>
      </c>
      <c r="O344" t="s">
        <v>31</v>
      </c>
      <c r="P344" t="str">
        <f>"15219"</f>
        <v>15219</v>
      </c>
    </row>
    <row r="345" spans="1:16" x14ac:dyDescent="0.25">
      <c r="A345" t="str">
        <f>"1030009M00279A   00"</f>
        <v>1030009M00279A   00</v>
      </c>
      <c r="B345" t="s">
        <v>910</v>
      </c>
      <c r="C345" t="s">
        <v>1039</v>
      </c>
      <c r="D345" t="s">
        <v>20</v>
      </c>
      <c r="E345" t="s">
        <v>39</v>
      </c>
      <c r="F345">
        <v>0</v>
      </c>
      <c r="G345">
        <v>0</v>
      </c>
      <c r="H345">
        <v>2</v>
      </c>
      <c r="I345" s="3">
        <v>768.77</v>
      </c>
      <c r="J345" s="3">
        <v>0</v>
      </c>
      <c r="K345" t="s">
        <v>912</v>
      </c>
      <c r="L345">
        <v>46</v>
      </c>
      <c r="M345" t="s">
        <v>913</v>
      </c>
      <c r="N345" t="s">
        <v>914</v>
      </c>
      <c r="O345" t="s">
        <v>200</v>
      </c>
      <c r="P345" t="str">
        <f>"10952"</f>
        <v>10952</v>
      </c>
    </row>
    <row r="346" spans="1:16" x14ac:dyDescent="0.25">
      <c r="A346" t="str">
        <f>"1030009M00299    00"</f>
        <v>1030009M00299    00</v>
      </c>
      <c r="B346" t="s">
        <v>1040</v>
      </c>
      <c r="C346" t="s">
        <v>1041</v>
      </c>
      <c r="D346" t="s">
        <v>20</v>
      </c>
      <c r="E346" t="s">
        <v>39</v>
      </c>
      <c r="F346">
        <v>0</v>
      </c>
      <c r="G346">
        <v>0</v>
      </c>
      <c r="H346">
        <v>2</v>
      </c>
      <c r="I346" s="3">
        <v>2469.67</v>
      </c>
      <c r="J346" s="3">
        <v>0</v>
      </c>
      <c r="L346">
        <v>1908</v>
      </c>
      <c r="M346" t="s">
        <v>854</v>
      </c>
      <c r="N346" t="s">
        <v>30</v>
      </c>
      <c r="O346" t="s">
        <v>31</v>
      </c>
      <c r="P346" t="str">
        <f>"15219"</f>
        <v>15219</v>
      </c>
    </row>
    <row r="347" spans="1:16" x14ac:dyDescent="0.25">
      <c r="A347" t="str">
        <f>"1030009M00312    00"</f>
        <v>1030009M00312    00</v>
      </c>
      <c r="B347" t="s">
        <v>944</v>
      </c>
      <c r="C347" t="s">
        <v>1042</v>
      </c>
      <c r="E347" t="s">
        <v>39</v>
      </c>
      <c r="F347">
        <v>0</v>
      </c>
      <c r="G347">
        <v>0</v>
      </c>
      <c r="H347">
        <v>9</v>
      </c>
      <c r="I347" s="3">
        <v>792.31</v>
      </c>
      <c r="J347" s="3">
        <v>965.16</v>
      </c>
      <c r="L347">
        <v>200</v>
      </c>
      <c r="M347" t="s">
        <v>946</v>
      </c>
      <c r="N347" t="s">
        <v>30</v>
      </c>
      <c r="O347" t="s">
        <v>31</v>
      </c>
      <c r="P347" t="str">
        <f>"15219"</f>
        <v>15219</v>
      </c>
    </row>
    <row r="348" spans="1:16" x14ac:dyDescent="0.25">
      <c r="A348" t="str">
        <f>"1030009M00323    00"</f>
        <v>1030009M00323    00</v>
      </c>
      <c r="B348" t="s">
        <v>1043</v>
      </c>
      <c r="C348" t="s">
        <v>1044</v>
      </c>
      <c r="D348" t="s">
        <v>20</v>
      </c>
      <c r="E348" t="s">
        <v>39</v>
      </c>
      <c r="F348">
        <v>0</v>
      </c>
      <c r="G348">
        <v>0</v>
      </c>
      <c r="H348">
        <v>14</v>
      </c>
      <c r="I348" s="3">
        <v>561.28</v>
      </c>
      <c r="J348" s="3">
        <v>710.5</v>
      </c>
      <c r="L348">
        <v>148</v>
      </c>
      <c r="M348" t="s">
        <v>1045</v>
      </c>
      <c r="N348" t="s">
        <v>1046</v>
      </c>
      <c r="O348" t="s">
        <v>31</v>
      </c>
      <c r="P348" t="str">
        <f>"15147"</f>
        <v>15147</v>
      </c>
    </row>
    <row r="349" spans="1:16" x14ac:dyDescent="0.25">
      <c r="A349" t="str">
        <f>"1030009M00330    00"</f>
        <v>1030009M00330    00</v>
      </c>
      <c r="B349" t="s">
        <v>944</v>
      </c>
      <c r="C349" t="s">
        <v>1047</v>
      </c>
      <c r="E349" t="s">
        <v>21</v>
      </c>
      <c r="F349">
        <v>0</v>
      </c>
      <c r="G349">
        <v>0</v>
      </c>
      <c r="H349">
        <v>1</v>
      </c>
      <c r="I349" s="3">
        <v>662.5</v>
      </c>
      <c r="J349" s="3">
        <v>353.32</v>
      </c>
      <c r="L349">
        <v>200</v>
      </c>
      <c r="M349" t="s">
        <v>946</v>
      </c>
      <c r="N349" t="s">
        <v>30</v>
      </c>
      <c r="O349" t="s">
        <v>31</v>
      </c>
      <c r="P349" t="str">
        <f>"15219"</f>
        <v>15219</v>
      </c>
    </row>
    <row r="350" spans="1:16" x14ac:dyDescent="0.25">
      <c r="A350" t="str">
        <f>"1030009R00139    00"</f>
        <v>1030009R00139    00</v>
      </c>
      <c r="B350" t="s">
        <v>918</v>
      </c>
      <c r="C350" t="s">
        <v>1048</v>
      </c>
      <c r="D350" t="s">
        <v>20</v>
      </c>
      <c r="E350" t="s">
        <v>39</v>
      </c>
      <c r="F350">
        <v>0</v>
      </c>
      <c r="G350">
        <v>0</v>
      </c>
      <c r="H350">
        <v>1</v>
      </c>
      <c r="I350" s="3">
        <v>247.8</v>
      </c>
      <c r="J350" s="3">
        <v>0</v>
      </c>
      <c r="K350" t="s">
        <v>920</v>
      </c>
      <c r="L350">
        <v>46</v>
      </c>
      <c r="M350" t="s">
        <v>913</v>
      </c>
      <c r="N350" t="s">
        <v>914</v>
      </c>
      <c r="O350" t="s">
        <v>200</v>
      </c>
      <c r="P350" t="str">
        <f>"10952"</f>
        <v>10952</v>
      </c>
    </row>
    <row r="351" spans="1:16" x14ac:dyDescent="0.25">
      <c r="A351" t="str">
        <f>"1030009R00141    00"</f>
        <v>1030009R00141    00</v>
      </c>
      <c r="B351" t="s">
        <v>918</v>
      </c>
      <c r="C351" t="s">
        <v>1049</v>
      </c>
      <c r="D351" t="s">
        <v>20</v>
      </c>
      <c r="E351" t="s">
        <v>39</v>
      </c>
      <c r="F351">
        <v>0</v>
      </c>
      <c r="G351">
        <v>0</v>
      </c>
      <c r="H351">
        <v>1</v>
      </c>
      <c r="I351" s="3">
        <v>247.78</v>
      </c>
      <c r="J351" s="3">
        <v>0</v>
      </c>
      <c r="K351" t="s">
        <v>920</v>
      </c>
      <c r="L351">
        <v>46</v>
      </c>
      <c r="M351" t="s">
        <v>913</v>
      </c>
      <c r="N351" t="s">
        <v>914</v>
      </c>
      <c r="O351" t="s">
        <v>200</v>
      </c>
      <c r="P351" t="str">
        <f>"10952"</f>
        <v>10952</v>
      </c>
    </row>
    <row r="352" spans="1:16" x14ac:dyDescent="0.25">
      <c r="A352" t="str">
        <f>"1030009R00146    00"</f>
        <v>1030009R00146    00</v>
      </c>
      <c r="B352" t="s">
        <v>1050</v>
      </c>
      <c r="C352" t="s">
        <v>1051</v>
      </c>
      <c r="D352" t="s">
        <v>20</v>
      </c>
      <c r="E352" t="s">
        <v>21</v>
      </c>
      <c r="F352">
        <v>0</v>
      </c>
      <c r="G352">
        <v>0</v>
      </c>
      <c r="H352">
        <v>3</v>
      </c>
      <c r="I352" s="3">
        <v>8851.5300000000007</v>
      </c>
      <c r="J352" s="3">
        <v>344.22</v>
      </c>
      <c r="L352">
        <v>1539</v>
      </c>
      <c r="M352" t="s">
        <v>854</v>
      </c>
      <c r="N352" t="s">
        <v>30</v>
      </c>
      <c r="O352" t="s">
        <v>31</v>
      </c>
      <c r="P352" t="str">
        <f>"15219"</f>
        <v>15219</v>
      </c>
    </row>
    <row r="353" spans="1:16" x14ac:dyDescent="0.25">
      <c r="A353" t="str">
        <f>"1030009R00152    00"</f>
        <v>1030009R00152    00</v>
      </c>
      <c r="B353" t="s">
        <v>921</v>
      </c>
      <c r="C353" t="s">
        <v>1052</v>
      </c>
      <c r="D353" t="s">
        <v>20</v>
      </c>
      <c r="E353" t="s">
        <v>39</v>
      </c>
      <c r="F353">
        <v>0</v>
      </c>
      <c r="G353">
        <v>0</v>
      </c>
      <c r="H353">
        <v>1</v>
      </c>
      <c r="I353" s="3">
        <v>209.68</v>
      </c>
      <c r="J353" s="3">
        <v>0</v>
      </c>
      <c r="L353">
        <v>46</v>
      </c>
      <c r="M353" t="s">
        <v>913</v>
      </c>
      <c r="N353" t="s">
        <v>914</v>
      </c>
      <c r="O353" t="s">
        <v>200</v>
      </c>
      <c r="P353" t="str">
        <f>"10952"</f>
        <v>10952</v>
      </c>
    </row>
    <row r="354" spans="1:16" x14ac:dyDescent="0.25">
      <c r="A354" t="str">
        <f>"1030009R00153    00"</f>
        <v>1030009R00153    00</v>
      </c>
      <c r="B354" t="s">
        <v>921</v>
      </c>
      <c r="C354" t="s">
        <v>1053</v>
      </c>
      <c r="D354" t="s">
        <v>20</v>
      </c>
      <c r="E354" t="s">
        <v>39</v>
      </c>
      <c r="F354">
        <v>0</v>
      </c>
      <c r="G354">
        <v>0</v>
      </c>
      <c r="H354">
        <v>1</v>
      </c>
      <c r="I354" s="3">
        <v>209.68</v>
      </c>
      <c r="J354" s="3">
        <v>0</v>
      </c>
      <c r="L354">
        <v>46</v>
      </c>
      <c r="M354" t="s">
        <v>913</v>
      </c>
      <c r="N354" t="s">
        <v>914</v>
      </c>
      <c r="O354" t="s">
        <v>200</v>
      </c>
      <c r="P354" t="str">
        <f>"10952"</f>
        <v>10952</v>
      </c>
    </row>
    <row r="355" spans="1:16" x14ac:dyDescent="0.25">
      <c r="A355" t="str">
        <f>"1030009R00154    00"</f>
        <v>1030009R00154    00</v>
      </c>
      <c r="B355" t="s">
        <v>921</v>
      </c>
      <c r="C355" t="s">
        <v>1054</v>
      </c>
      <c r="D355" t="s">
        <v>20</v>
      </c>
      <c r="E355" t="s">
        <v>39</v>
      </c>
      <c r="F355">
        <v>0</v>
      </c>
      <c r="G355">
        <v>0</v>
      </c>
      <c r="H355">
        <v>1</v>
      </c>
      <c r="I355" s="3">
        <v>209.68</v>
      </c>
      <c r="J355" s="3">
        <v>0</v>
      </c>
      <c r="L355">
        <v>46</v>
      </c>
      <c r="M355" t="s">
        <v>913</v>
      </c>
      <c r="N355" t="s">
        <v>914</v>
      </c>
      <c r="O355" t="s">
        <v>200</v>
      </c>
      <c r="P355" t="str">
        <f>"10952"</f>
        <v>10952</v>
      </c>
    </row>
    <row r="356" spans="1:16" x14ac:dyDescent="0.25">
      <c r="A356" t="str">
        <f>"1030009R00155    00"</f>
        <v>1030009R00155    00</v>
      </c>
      <c r="B356" t="s">
        <v>921</v>
      </c>
      <c r="C356" t="s">
        <v>1019</v>
      </c>
      <c r="D356" t="s">
        <v>20</v>
      </c>
      <c r="E356" t="s">
        <v>39</v>
      </c>
      <c r="F356">
        <v>0</v>
      </c>
      <c r="G356">
        <v>0</v>
      </c>
      <c r="H356">
        <v>1</v>
      </c>
      <c r="I356" s="3">
        <v>20.98</v>
      </c>
      <c r="J356" s="3">
        <v>0</v>
      </c>
      <c r="L356">
        <v>46</v>
      </c>
      <c r="M356" t="s">
        <v>913</v>
      </c>
      <c r="N356" t="s">
        <v>914</v>
      </c>
      <c r="O356" t="s">
        <v>200</v>
      </c>
      <c r="P356" t="str">
        <f>"10952"</f>
        <v>10952</v>
      </c>
    </row>
    <row r="357" spans="1:16" x14ac:dyDescent="0.25">
      <c r="A357" t="str">
        <f>"1030009R00160    00"</f>
        <v>1030009R00160    00</v>
      </c>
      <c r="B357" t="s">
        <v>218</v>
      </c>
      <c r="C357" t="s">
        <v>1055</v>
      </c>
      <c r="E357" t="s">
        <v>207</v>
      </c>
      <c r="F357">
        <v>0</v>
      </c>
      <c r="G357">
        <v>0</v>
      </c>
      <c r="H357">
        <v>1</v>
      </c>
      <c r="I357" s="3">
        <v>75.900000000000006</v>
      </c>
      <c r="J357" s="3">
        <v>75.27</v>
      </c>
      <c r="K357" t="s">
        <v>220</v>
      </c>
      <c r="L357">
        <v>412</v>
      </c>
      <c r="M357" t="s">
        <v>221</v>
      </c>
      <c r="N357" t="s">
        <v>30</v>
      </c>
      <c r="O357" t="s">
        <v>31</v>
      </c>
      <c r="P357" t="str">
        <f>"15219"</f>
        <v>15219</v>
      </c>
    </row>
    <row r="358" spans="1:16" x14ac:dyDescent="0.25">
      <c r="A358" t="str">
        <f>"1030009R00161    00"</f>
        <v>1030009R00161    00</v>
      </c>
      <c r="B358" t="s">
        <v>921</v>
      </c>
      <c r="C358" t="s">
        <v>1056</v>
      </c>
      <c r="D358" t="s">
        <v>20</v>
      </c>
      <c r="E358" t="s">
        <v>39</v>
      </c>
      <c r="F358">
        <v>0</v>
      </c>
      <c r="G358">
        <v>0</v>
      </c>
      <c r="H358">
        <v>1</v>
      </c>
      <c r="I358" s="3">
        <v>209.68</v>
      </c>
      <c r="J358" s="3">
        <v>0</v>
      </c>
      <c r="L358">
        <v>46</v>
      </c>
      <c r="M358" t="s">
        <v>913</v>
      </c>
      <c r="N358" t="s">
        <v>914</v>
      </c>
      <c r="O358" t="s">
        <v>200</v>
      </c>
      <c r="P358" t="str">
        <f>"10952"</f>
        <v>10952</v>
      </c>
    </row>
    <row r="359" spans="1:16" x14ac:dyDescent="0.25">
      <c r="A359" t="str">
        <f>"1030009R00162    00"</f>
        <v>1030009R00162    00</v>
      </c>
      <c r="B359" t="s">
        <v>910</v>
      </c>
      <c r="C359" t="s">
        <v>1057</v>
      </c>
      <c r="D359" t="s">
        <v>20</v>
      </c>
      <c r="E359" t="s">
        <v>39</v>
      </c>
      <c r="F359">
        <v>0</v>
      </c>
      <c r="G359">
        <v>0</v>
      </c>
      <c r="H359">
        <v>2</v>
      </c>
      <c r="I359" s="3">
        <v>384.4</v>
      </c>
      <c r="J359" s="3">
        <v>0</v>
      </c>
      <c r="K359" t="s">
        <v>912</v>
      </c>
      <c r="L359">
        <v>46</v>
      </c>
      <c r="M359" t="s">
        <v>913</v>
      </c>
      <c r="N359" t="s">
        <v>914</v>
      </c>
      <c r="O359" t="s">
        <v>200</v>
      </c>
      <c r="P359" t="str">
        <f>"10952"</f>
        <v>10952</v>
      </c>
    </row>
    <row r="360" spans="1:16" x14ac:dyDescent="0.25">
      <c r="A360" t="str">
        <f>"1030009R00164    00"</f>
        <v>1030009R00164    00</v>
      </c>
      <c r="B360" t="s">
        <v>218</v>
      </c>
      <c r="C360" t="s">
        <v>937</v>
      </c>
      <c r="E360" t="s">
        <v>207</v>
      </c>
      <c r="F360">
        <v>0</v>
      </c>
      <c r="G360">
        <v>0</v>
      </c>
      <c r="H360">
        <v>1</v>
      </c>
      <c r="I360" s="3">
        <v>97.08</v>
      </c>
      <c r="J360" s="3">
        <v>96.27</v>
      </c>
      <c r="K360" t="s">
        <v>220</v>
      </c>
      <c r="L360">
        <v>412</v>
      </c>
      <c r="M360" t="s">
        <v>221</v>
      </c>
      <c r="N360" t="s">
        <v>30</v>
      </c>
      <c r="O360" t="s">
        <v>31</v>
      </c>
      <c r="P360" t="str">
        <f>"15219"</f>
        <v>15219</v>
      </c>
    </row>
    <row r="361" spans="1:16" x14ac:dyDescent="0.25">
      <c r="A361" t="str">
        <f>"1030009R00165    00"</f>
        <v>1030009R00165    00</v>
      </c>
      <c r="B361" t="s">
        <v>218</v>
      </c>
      <c r="C361" t="s">
        <v>937</v>
      </c>
      <c r="E361" t="s">
        <v>207</v>
      </c>
      <c r="F361">
        <v>0</v>
      </c>
      <c r="G361">
        <v>0</v>
      </c>
      <c r="H361">
        <v>1</v>
      </c>
      <c r="I361" s="3">
        <v>58.25</v>
      </c>
      <c r="J361" s="3">
        <v>57.76</v>
      </c>
      <c r="K361" t="s">
        <v>220</v>
      </c>
      <c r="L361">
        <v>412</v>
      </c>
      <c r="M361" t="s">
        <v>221</v>
      </c>
      <c r="N361" t="s">
        <v>30</v>
      </c>
      <c r="O361" t="s">
        <v>31</v>
      </c>
      <c r="P361" t="str">
        <f>"15219"</f>
        <v>15219</v>
      </c>
    </row>
    <row r="362" spans="1:16" x14ac:dyDescent="0.25">
      <c r="A362" t="str">
        <f>"1030009R00166    00"</f>
        <v>1030009R00166    00</v>
      </c>
      <c r="B362" t="s">
        <v>218</v>
      </c>
      <c r="C362" t="s">
        <v>937</v>
      </c>
      <c r="E362" t="s">
        <v>207</v>
      </c>
      <c r="F362">
        <v>0</v>
      </c>
      <c r="G362">
        <v>0</v>
      </c>
      <c r="H362">
        <v>1</v>
      </c>
      <c r="I362" s="3">
        <v>97.08</v>
      </c>
      <c r="J362" s="3">
        <v>96.27</v>
      </c>
      <c r="K362" t="s">
        <v>220</v>
      </c>
      <c r="L362">
        <v>412</v>
      </c>
      <c r="M362" t="s">
        <v>221</v>
      </c>
      <c r="N362" t="s">
        <v>30</v>
      </c>
      <c r="O362" t="s">
        <v>31</v>
      </c>
      <c r="P362" t="str">
        <f>"15219"</f>
        <v>15219</v>
      </c>
    </row>
    <row r="363" spans="1:16" x14ac:dyDescent="0.25">
      <c r="A363" t="str">
        <f>"1030009S00002    00"</f>
        <v>1030009S00002    00</v>
      </c>
      <c r="B363" t="s">
        <v>1058</v>
      </c>
      <c r="C363" t="s">
        <v>1059</v>
      </c>
      <c r="D363" t="s">
        <v>20</v>
      </c>
      <c r="E363" t="s">
        <v>39</v>
      </c>
      <c r="F363">
        <v>0</v>
      </c>
      <c r="G363">
        <v>0</v>
      </c>
      <c r="H363">
        <v>6</v>
      </c>
      <c r="I363" s="3">
        <v>6834.11</v>
      </c>
      <c r="J363" s="3">
        <v>1559.09</v>
      </c>
      <c r="L363">
        <v>1924</v>
      </c>
      <c r="M363" t="s">
        <v>1060</v>
      </c>
      <c r="N363" t="s">
        <v>1061</v>
      </c>
      <c r="O363" t="s">
        <v>495</v>
      </c>
      <c r="P363" t="str">
        <f>"90025"</f>
        <v>90025</v>
      </c>
    </row>
    <row r="364" spans="1:16" x14ac:dyDescent="0.25">
      <c r="A364" t="str">
        <f>"1030009S00022    00"</f>
        <v>1030009S00022    00</v>
      </c>
      <c r="B364" t="s">
        <v>910</v>
      </c>
      <c r="C364" t="s">
        <v>1062</v>
      </c>
      <c r="D364" t="s">
        <v>20</v>
      </c>
      <c r="E364" t="s">
        <v>21</v>
      </c>
      <c r="F364">
        <v>0</v>
      </c>
      <c r="G364">
        <v>0</v>
      </c>
      <c r="H364">
        <v>2</v>
      </c>
      <c r="I364" s="3">
        <v>2306.29</v>
      </c>
      <c r="J364" s="3">
        <v>0</v>
      </c>
      <c r="K364" t="s">
        <v>912</v>
      </c>
      <c r="L364">
        <v>46</v>
      </c>
      <c r="M364" t="s">
        <v>913</v>
      </c>
      <c r="N364" t="s">
        <v>914</v>
      </c>
      <c r="O364" t="s">
        <v>200</v>
      </c>
      <c r="P364" t="str">
        <f>"10952"</f>
        <v>10952</v>
      </c>
    </row>
    <row r="365" spans="1:16" x14ac:dyDescent="0.25">
      <c r="A365" t="str">
        <f>"1030009S00025    00"</f>
        <v>1030009S00025    00</v>
      </c>
      <c r="B365" t="s">
        <v>910</v>
      </c>
      <c r="C365" t="s">
        <v>1063</v>
      </c>
      <c r="D365" t="s">
        <v>20</v>
      </c>
      <c r="E365" t="s">
        <v>39</v>
      </c>
      <c r="F365">
        <v>0</v>
      </c>
      <c r="G365">
        <v>0</v>
      </c>
      <c r="H365">
        <v>2</v>
      </c>
      <c r="I365" s="3">
        <v>768.77</v>
      </c>
      <c r="J365" s="3">
        <v>0</v>
      </c>
      <c r="K365" t="s">
        <v>912</v>
      </c>
      <c r="L365">
        <v>46</v>
      </c>
      <c r="M365" t="s">
        <v>913</v>
      </c>
      <c r="N365" t="s">
        <v>914</v>
      </c>
      <c r="O365" t="s">
        <v>200</v>
      </c>
      <c r="P365" t="str">
        <f>"10952"</f>
        <v>10952</v>
      </c>
    </row>
    <row r="366" spans="1:16" x14ac:dyDescent="0.25">
      <c r="A366" t="str">
        <f>"1030009S00030    00"</f>
        <v>1030009S00030    00</v>
      </c>
      <c r="B366" t="s">
        <v>1064</v>
      </c>
      <c r="C366" t="s">
        <v>1065</v>
      </c>
      <c r="D366" t="s">
        <v>20</v>
      </c>
      <c r="E366" t="s">
        <v>39</v>
      </c>
      <c r="F366">
        <v>0</v>
      </c>
      <c r="G366">
        <v>0</v>
      </c>
      <c r="H366">
        <v>6</v>
      </c>
      <c r="I366" s="3">
        <v>7156.74</v>
      </c>
      <c r="J366" s="3">
        <v>1605.1</v>
      </c>
      <c r="L366">
        <v>785</v>
      </c>
      <c r="M366" t="s">
        <v>1066</v>
      </c>
      <c r="N366" t="s">
        <v>1067</v>
      </c>
      <c r="O366" t="s">
        <v>31</v>
      </c>
      <c r="P366" t="str">
        <f>"15143"</f>
        <v>15143</v>
      </c>
    </row>
    <row r="367" spans="1:16" x14ac:dyDescent="0.25">
      <c r="A367" t="str">
        <f>"1030009S00033    00"</f>
        <v>1030009S00033    00</v>
      </c>
      <c r="B367" t="s">
        <v>1068</v>
      </c>
      <c r="C367" t="s">
        <v>1069</v>
      </c>
      <c r="D367" t="s">
        <v>20</v>
      </c>
      <c r="E367" t="s">
        <v>39</v>
      </c>
      <c r="F367">
        <v>0</v>
      </c>
      <c r="G367">
        <v>0</v>
      </c>
      <c r="H367">
        <v>6</v>
      </c>
      <c r="I367" s="3">
        <v>3101.78</v>
      </c>
      <c r="J367" s="3">
        <v>1123.58</v>
      </c>
      <c r="L367">
        <v>800</v>
      </c>
      <c r="M367" t="s">
        <v>1070</v>
      </c>
      <c r="N367" t="s">
        <v>30</v>
      </c>
      <c r="O367" t="s">
        <v>31</v>
      </c>
      <c r="P367" t="str">
        <f>"15219"</f>
        <v>15219</v>
      </c>
    </row>
    <row r="368" spans="1:16" x14ac:dyDescent="0.25">
      <c r="A368" t="str">
        <f>"1030009S00035    00"</f>
        <v>1030009S00035    00</v>
      </c>
      <c r="B368" t="s">
        <v>1071</v>
      </c>
      <c r="C368" t="s">
        <v>1072</v>
      </c>
      <c r="E368" t="s">
        <v>21</v>
      </c>
      <c r="F368">
        <v>0</v>
      </c>
      <c r="G368">
        <v>0</v>
      </c>
      <c r="H368">
        <v>2</v>
      </c>
      <c r="I368" s="3">
        <v>701.1</v>
      </c>
      <c r="J368" s="3">
        <v>682.56</v>
      </c>
      <c r="K368" t="s">
        <v>1012</v>
      </c>
      <c r="L368">
        <v>1621</v>
      </c>
      <c r="M368" t="s">
        <v>854</v>
      </c>
      <c r="N368" t="s">
        <v>30</v>
      </c>
      <c r="O368" t="s">
        <v>31</v>
      </c>
      <c r="P368" t="str">
        <f>"15219"</f>
        <v>15219</v>
      </c>
    </row>
    <row r="369" spans="1:16" x14ac:dyDescent="0.25">
      <c r="A369" t="str">
        <f>"1030009S00036    00"</f>
        <v>1030009S00036    00</v>
      </c>
      <c r="B369" t="s">
        <v>1071</v>
      </c>
      <c r="C369" t="s">
        <v>1073</v>
      </c>
      <c r="E369" t="s">
        <v>66</v>
      </c>
      <c r="F369">
        <v>0</v>
      </c>
      <c r="G369">
        <v>0</v>
      </c>
      <c r="H369">
        <v>1</v>
      </c>
      <c r="I369" s="3">
        <v>1084.3399999999999</v>
      </c>
      <c r="J369" s="3">
        <v>298.19</v>
      </c>
      <c r="L369">
        <v>1621</v>
      </c>
      <c r="M369" t="s">
        <v>854</v>
      </c>
      <c r="N369" t="s">
        <v>30</v>
      </c>
      <c r="O369" t="s">
        <v>31</v>
      </c>
      <c r="P369" t="str">
        <f>"15219"</f>
        <v>15219</v>
      </c>
    </row>
    <row r="370" spans="1:16" x14ac:dyDescent="0.25">
      <c r="A370" t="str">
        <f>"1030009S00038    00"</f>
        <v>1030009S00038    00</v>
      </c>
      <c r="B370" t="s">
        <v>1010</v>
      </c>
      <c r="C370" t="s">
        <v>1019</v>
      </c>
      <c r="E370" t="s">
        <v>39</v>
      </c>
      <c r="F370">
        <v>0</v>
      </c>
      <c r="G370">
        <v>0</v>
      </c>
      <c r="H370">
        <v>10</v>
      </c>
      <c r="I370" s="3">
        <v>675.58</v>
      </c>
      <c r="J370" s="3">
        <v>777.95</v>
      </c>
      <c r="K370" t="s">
        <v>1012</v>
      </c>
      <c r="L370">
        <v>1621</v>
      </c>
      <c r="M370" t="s">
        <v>854</v>
      </c>
      <c r="N370" t="s">
        <v>30</v>
      </c>
      <c r="O370" t="s">
        <v>31</v>
      </c>
      <c r="P370" t="str">
        <f>"15219"</f>
        <v>15219</v>
      </c>
    </row>
    <row r="371" spans="1:16" x14ac:dyDescent="0.25">
      <c r="A371" t="str">
        <f>"1030009S00071    00"</f>
        <v>1030009S00071    00</v>
      </c>
      <c r="B371" t="s">
        <v>918</v>
      </c>
      <c r="C371" t="s">
        <v>1074</v>
      </c>
      <c r="D371" t="s">
        <v>20</v>
      </c>
      <c r="E371" t="s">
        <v>39</v>
      </c>
      <c r="F371">
        <v>0</v>
      </c>
      <c r="G371">
        <v>0</v>
      </c>
      <c r="H371">
        <v>1</v>
      </c>
      <c r="I371" s="3">
        <v>247.8</v>
      </c>
      <c r="J371" s="3">
        <v>0</v>
      </c>
      <c r="K371" t="s">
        <v>920</v>
      </c>
      <c r="L371">
        <v>46</v>
      </c>
      <c r="M371" t="s">
        <v>913</v>
      </c>
      <c r="N371" t="s">
        <v>914</v>
      </c>
      <c r="O371" t="s">
        <v>200</v>
      </c>
      <c r="P371" t="str">
        <f>"10952"</f>
        <v>10952</v>
      </c>
    </row>
    <row r="372" spans="1:16" x14ac:dyDescent="0.25">
      <c r="A372" t="str">
        <f>"1030009S00072    00"</f>
        <v>1030009S00072    00</v>
      </c>
      <c r="B372" t="s">
        <v>910</v>
      </c>
      <c r="C372" t="s">
        <v>1075</v>
      </c>
      <c r="D372" t="s">
        <v>20</v>
      </c>
      <c r="E372" t="s">
        <v>39</v>
      </c>
      <c r="F372">
        <v>0</v>
      </c>
      <c r="G372">
        <v>0</v>
      </c>
      <c r="H372">
        <v>2</v>
      </c>
      <c r="I372" s="3">
        <v>384.4</v>
      </c>
      <c r="J372" s="3">
        <v>0</v>
      </c>
      <c r="K372" t="s">
        <v>912</v>
      </c>
      <c r="L372">
        <v>46</v>
      </c>
      <c r="M372" t="s">
        <v>913</v>
      </c>
      <c r="N372" t="s">
        <v>914</v>
      </c>
      <c r="O372" t="s">
        <v>200</v>
      </c>
      <c r="P372" t="str">
        <f>"10952"</f>
        <v>10952</v>
      </c>
    </row>
    <row r="373" spans="1:16" x14ac:dyDescent="0.25">
      <c r="A373" t="str">
        <f>"1030009S00073    00"</f>
        <v>1030009S00073    00</v>
      </c>
      <c r="B373" t="s">
        <v>1076</v>
      </c>
      <c r="C373" t="s">
        <v>1019</v>
      </c>
      <c r="D373" t="s">
        <v>20</v>
      </c>
      <c r="E373" t="s">
        <v>39</v>
      </c>
      <c r="F373">
        <v>0</v>
      </c>
      <c r="G373">
        <v>0</v>
      </c>
      <c r="H373">
        <v>7</v>
      </c>
      <c r="I373" s="3">
        <v>91.05</v>
      </c>
      <c r="J373" s="3">
        <v>26.67</v>
      </c>
      <c r="L373">
        <v>3512</v>
      </c>
      <c r="M373" t="s">
        <v>1077</v>
      </c>
      <c r="N373" t="s">
        <v>195</v>
      </c>
      <c r="O373" t="s">
        <v>31</v>
      </c>
      <c r="P373" t="str">
        <f>"15101"</f>
        <v>15101</v>
      </c>
    </row>
    <row r="374" spans="1:16" x14ac:dyDescent="0.25">
      <c r="A374" t="str">
        <f>"1030009S00074    00"</f>
        <v>1030009S00074    00</v>
      </c>
      <c r="B374" t="s">
        <v>1076</v>
      </c>
      <c r="C374" t="s">
        <v>1019</v>
      </c>
      <c r="D374" t="s">
        <v>20</v>
      </c>
      <c r="E374" t="s">
        <v>39</v>
      </c>
      <c r="F374">
        <v>0</v>
      </c>
      <c r="G374">
        <v>0</v>
      </c>
      <c r="H374">
        <v>7</v>
      </c>
      <c r="I374" s="3">
        <v>91.05</v>
      </c>
      <c r="J374" s="3">
        <v>26.67</v>
      </c>
      <c r="L374">
        <v>3512</v>
      </c>
      <c r="M374" t="s">
        <v>1077</v>
      </c>
      <c r="N374" t="s">
        <v>195</v>
      </c>
      <c r="O374" t="s">
        <v>31</v>
      </c>
      <c r="P374" t="str">
        <f>"15101"</f>
        <v>15101</v>
      </c>
    </row>
    <row r="375" spans="1:16" x14ac:dyDescent="0.25">
      <c r="A375" t="str">
        <f>"1030009S00075    00"</f>
        <v>1030009S00075    00</v>
      </c>
      <c r="B375" t="s">
        <v>910</v>
      </c>
      <c r="C375" t="s">
        <v>1078</v>
      </c>
      <c r="D375" t="s">
        <v>20</v>
      </c>
      <c r="E375" t="s">
        <v>39</v>
      </c>
      <c r="F375">
        <v>0</v>
      </c>
      <c r="G375">
        <v>0</v>
      </c>
      <c r="H375">
        <v>2</v>
      </c>
      <c r="I375" s="3">
        <v>1397.73</v>
      </c>
      <c r="J375" s="3">
        <v>0</v>
      </c>
      <c r="K375" t="s">
        <v>912</v>
      </c>
      <c r="L375">
        <v>46</v>
      </c>
      <c r="M375" t="s">
        <v>913</v>
      </c>
      <c r="N375" t="s">
        <v>914</v>
      </c>
      <c r="O375" t="s">
        <v>200</v>
      </c>
      <c r="P375" t="str">
        <f>"10952"</f>
        <v>10952</v>
      </c>
    </row>
    <row r="376" spans="1:16" x14ac:dyDescent="0.25">
      <c r="A376" t="str">
        <f>"1030009S00077    00"</f>
        <v>1030009S00077    00</v>
      </c>
      <c r="B376" t="s">
        <v>921</v>
      </c>
      <c r="C376" t="s">
        <v>1079</v>
      </c>
      <c r="D376" t="s">
        <v>20</v>
      </c>
      <c r="E376" t="s">
        <v>21</v>
      </c>
      <c r="F376">
        <v>0</v>
      </c>
      <c r="G376">
        <v>0</v>
      </c>
      <c r="H376">
        <v>1</v>
      </c>
      <c r="I376" s="3">
        <v>2306.2600000000002</v>
      </c>
      <c r="J376" s="3">
        <v>0</v>
      </c>
      <c r="L376">
        <v>46</v>
      </c>
      <c r="M376" t="s">
        <v>913</v>
      </c>
      <c r="N376" t="s">
        <v>914</v>
      </c>
      <c r="O376" t="s">
        <v>200</v>
      </c>
      <c r="P376" t="str">
        <f>"10952"</f>
        <v>10952</v>
      </c>
    </row>
    <row r="377" spans="1:16" x14ac:dyDescent="0.25">
      <c r="A377" t="str">
        <f>"1030009S00081    00"</f>
        <v>1030009S00081    00</v>
      </c>
      <c r="B377" t="s">
        <v>1080</v>
      </c>
      <c r="C377" t="s">
        <v>1081</v>
      </c>
      <c r="D377" t="s">
        <v>20</v>
      </c>
      <c r="E377" t="s">
        <v>39</v>
      </c>
      <c r="F377">
        <v>0</v>
      </c>
      <c r="G377">
        <v>0</v>
      </c>
      <c r="H377">
        <v>3</v>
      </c>
      <c r="I377" s="3">
        <v>6564.83</v>
      </c>
      <c r="J377" s="3">
        <v>54.5</v>
      </c>
      <c r="L377">
        <v>707</v>
      </c>
      <c r="M377" t="s">
        <v>846</v>
      </c>
      <c r="N377" t="s">
        <v>30</v>
      </c>
      <c r="O377" t="s">
        <v>31</v>
      </c>
      <c r="P377" t="str">
        <f>"15219"</f>
        <v>15219</v>
      </c>
    </row>
    <row r="378" spans="1:16" x14ac:dyDescent="0.25">
      <c r="A378" t="str">
        <f>"1030009S00105    00"</f>
        <v>1030009S00105    00</v>
      </c>
      <c r="B378" t="s">
        <v>921</v>
      </c>
      <c r="C378" t="s">
        <v>1082</v>
      </c>
      <c r="D378" t="s">
        <v>20</v>
      </c>
      <c r="E378" t="s">
        <v>39</v>
      </c>
      <c r="F378">
        <v>0</v>
      </c>
      <c r="G378">
        <v>0</v>
      </c>
      <c r="H378">
        <v>1</v>
      </c>
      <c r="I378" s="3">
        <v>628.98</v>
      </c>
      <c r="J378" s="3">
        <v>0</v>
      </c>
      <c r="L378">
        <v>46</v>
      </c>
      <c r="M378" t="s">
        <v>913</v>
      </c>
      <c r="N378" t="s">
        <v>914</v>
      </c>
      <c r="O378" t="s">
        <v>200</v>
      </c>
      <c r="P378" t="str">
        <f>"10952"</f>
        <v>10952</v>
      </c>
    </row>
    <row r="379" spans="1:16" x14ac:dyDescent="0.25">
      <c r="A379" t="str">
        <f>"1030009S00107    00"</f>
        <v>1030009S00107    00</v>
      </c>
      <c r="B379" t="s">
        <v>910</v>
      </c>
      <c r="C379" t="s">
        <v>1083</v>
      </c>
      <c r="D379" t="s">
        <v>20</v>
      </c>
      <c r="E379" t="s">
        <v>39</v>
      </c>
      <c r="F379">
        <v>0</v>
      </c>
      <c r="G379">
        <v>0</v>
      </c>
      <c r="H379">
        <v>2</v>
      </c>
      <c r="I379" s="3">
        <v>384.4</v>
      </c>
      <c r="J379" s="3">
        <v>0</v>
      </c>
      <c r="K379" t="s">
        <v>912</v>
      </c>
      <c r="L379">
        <v>46</v>
      </c>
      <c r="M379" t="s">
        <v>913</v>
      </c>
      <c r="N379" t="s">
        <v>914</v>
      </c>
      <c r="O379" t="s">
        <v>200</v>
      </c>
      <c r="P379" t="str">
        <f>"10952"</f>
        <v>10952</v>
      </c>
    </row>
    <row r="380" spans="1:16" x14ac:dyDescent="0.25">
      <c r="A380" t="str">
        <f>"1030009S00108    00"</f>
        <v>1030009S00108    00</v>
      </c>
      <c r="B380" t="s">
        <v>1084</v>
      </c>
      <c r="C380" t="s">
        <v>1019</v>
      </c>
      <c r="D380" t="s">
        <v>20</v>
      </c>
      <c r="E380" t="s">
        <v>39</v>
      </c>
      <c r="F380">
        <v>0</v>
      </c>
      <c r="G380">
        <v>0</v>
      </c>
      <c r="H380">
        <v>17</v>
      </c>
      <c r="I380" s="3">
        <v>696.15</v>
      </c>
      <c r="J380" s="3">
        <v>953.79</v>
      </c>
      <c r="K380" t="s">
        <v>1008</v>
      </c>
      <c r="P380" t="str">
        <f>""</f>
        <v/>
      </c>
    </row>
    <row r="381" spans="1:16" x14ac:dyDescent="0.25">
      <c r="A381" t="str">
        <f>"1030009S00153    00"</f>
        <v>1030009S00153    00</v>
      </c>
      <c r="B381" t="s">
        <v>910</v>
      </c>
      <c r="C381" t="s">
        <v>1085</v>
      </c>
      <c r="D381" t="s">
        <v>20</v>
      </c>
      <c r="E381" t="s">
        <v>21</v>
      </c>
      <c r="F381">
        <v>0</v>
      </c>
      <c r="G381">
        <v>0</v>
      </c>
      <c r="H381">
        <v>2</v>
      </c>
      <c r="I381" s="3">
        <v>4612.53</v>
      </c>
      <c r="J381" s="3">
        <v>0</v>
      </c>
      <c r="K381" t="s">
        <v>912</v>
      </c>
      <c r="L381">
        <v>46</v>
      </c>
      <c r="M381" t="s">
        <v>913</v>
      </c>
      <c r="N381" t="s">
        <v>914</v>
      </c>
      <c r="O381" t="s">
        <v>200</v>
      </c>
      <c r="P381" t="str">
        <f>"10952"</f>
        <v>10952</v>
      </c>
    </row>
    <row r="382" spans="1:16" x14ac:dyDescent="0.25">
      <c r="A382" t="str">
        <f>"1030009S00168A   00"</f>
        <v>1030009S00168A   00</v>
      </c>
      <c r="B382" t="s">
        <v>1086</v>
      </c>
      <c r="C382" t="s">
        <v>1087</v>
      </c>
      <c r="D382" t="s">
        <v>20</v>
      </c>
      <c r="E382" t="s">
        <v>39</v>
      </c>
      <c r="F382">
        <v>0</v>
      </c>
      <c r="G382">
        <v>0</v>
      </c>
      <c r="H382">
        <v>3</v>
      </c>
      <c r="I382" s="3">
        <v>1187.94</v>
      </c>
      <c r="J382" s="3">
        <v>100.19</v>
      </c>
      <c r="L382">
        <v>712</v>
      </c>
      <c r="M382" t="s">
        <v>846</v>
      </c>
      <c r="N382" t="s">
        <v>30</v>
      </c>
      <c r="O382" t="s">
        <v>31</v>
      </c>
      <c r="P382" t="str">
        <f t="shared" ref="P382:P387" si="3">"15219"</f>
        <v>15219</v>
      </c>
    </row>
    <row r="383" spans="1:16" x14ac:dyDescent="0.25">
      <c r="A383" t="str">
        <f>"1030009S00170    00"</f>
        <v>1030009S00170    00</v>
      </c>
      <c r="B383" t="s">
        <v>1088</v>
      </c>
      <c r="C383" t="s">
        <v>1089</v>
      </c>
      <c r="D383" t="s">
        <v>20</v>
      </c>
      <c r="E383" t="s">
        <v>39</v>
      </c>
      <c r="F383">
        <v>0</v>
      </c>
      <c r="G383">
        <v>0</v>
      </c>
      <c r="H383">
        <v>5</v>
      </c>
      <c r="I383" s="3">
        <v>11146.47</v>
      </c>
      <c r="J383" s="3">
        <v>2869.26</v>
      </c>
      <c r="L383">
        <v>1811</v>
      </c>
      <c r="M383" t="s">
        <v>1090</v>
      </c>
      <c r="N383" t="s">
        <v>30</v>
      </c>
      <c r="O383" t="s">
        <v>31</v>
      </c>
      <c r="P383" t="str">
        <f t="shared" si="3"/>
        <v>15219</v>
      </c>
    </row>
    <row r="384" spans="1:16" x14ac:dyDescent="0.25">
      <c r="A384" t="str">
        <f>"1030009S00196    00"</f>
        <v>1030009S00196    00</v>
      </c>
      <c r="B384" t="s">
        <v>944</v>
      </c>
      <c r="C384" t="s">
        <v>1091</v>
      </c>
      <c r="E384" t="s">
        <v>207</v>
      </c>
      <c r="F384">
        <v>0</v>
      </c>
      <c r="G384">
        <v>0</v>
      </c>
      <c r="H384">
        <v>9</v>
      </c>
      <c r="I384" s="3">
        <v>1032.1600000000001</v>
      </c>
      <c r="J384" s="3">
        <v>1435.28</v>
      </c>
      <c r="L384">
        <v>200</v>
      </c>
      <c r="M384" t="s">
        <v>946</v>
      </c>
      <c r="N384" t="s">
        <v>30</v>
      </c>
      <c r="O384" t="s">
        <v>31</v>
      </c>
      <c r="P384" t="str">
        <f t="shared" si="3"/>
        <v>15219</v>
      </c>
    </row>
    <row r="385" spans="1:16" x14ac:dyDescent="0.25">
      <c r="A385" t="str">
        <f>"1030009S00197    00"</f>
        <v>1030009S00197    00</v>
      </c>
      <c r="B385" t="s">
        <v>1092</v>
      </c>
      <c r="C385" t="s">
        <v>1093</v>
      </c>
      <c r="E385" t="s">
        <v>207</v>
      </c>
      <c r="F385">
        <v>0</v>
      </c>
      <c r="G385">
        <v>0</v>
      </c>
      <c r="H385">
        <v>1</v>
      </c>
      <c r="I385" s="3">
        <v>202.7</v>
      </c>
      <c r="J385" s="3">
        <v>334.44</v>
      </c>
      <c r="K385" t="s">
        <v>1094</v>
      </c>
      <c r="L385">
        <v>200</v>
      </c>
      <c r="M385" t="s">
        <v>946</v>
      </c>
      <c r="N385" t="s">
        <v>30</v>
      </c>
      <c r="O385" t="s">
        <v>31</v>
      </c>
      <c r="P385" t="str">
        <f t="shared" si="3"/>
        <v>15219</v>
      </c>
    </row>
    <row r="386" spans="1:16" x14ac:dyDescent="0.25">
      <c r="A386" t="str">
        <f>"1030009S00201    00"</f>
        <v>1030009S00201    00</v>
      </c>
      <c r="B386" t="s">
        <v>1095</v>
      </c>
      <c r="C386" t="s">
        <v>1096</v>
      </c>
      <c r="E386" t="s">
        <v>39</v>
      </c>
      <c r="F386">
        <v>0</v>
      </c>
      <c r="G386">
        <v>0</v>
      </c>
      <c r="H386">
        <v>2</v>
      </c>
      <c r="I386" s="3">
        <v>548.16</v>
      </c>
      <c r="J386" s="3">
        <v>110.41</v>
      </c>
      <c r="L386">
        <v>1845</v>
      </c>
      <c r="M386" t="s">
        <v>1090</v>
      </c>
      <c r="N386" t="s">
        <v>30</v>
      </c>
      <c r="O386" t="s">
        <v>31</v>
      </c>
      <c r="P386" t="str">
        <f t="shared" si="3"/>
        <v>15219</v>
      </c>
    </row>
    <row r="387" spans="1:16" x14ac:dyDescent="0.25">
      <c r="A387" t="str">
        <f>"1030009S00204    00"</f>
        <v>1030009S00204    00</v>
      </c>
      <c r="B387" t="s">
        <v>1097</v>
      </c>
      <c r="C387" t="s">
        <v>1098</v>
      </c>
      <c r="D387" t="s">
        <v>20</v>
      </c>
      <c r="E387" t="s">
        <v>39</v>
      </c>
      <c r="F387">
        <v>0</v>
      </c>
      <c r="G387">
        <v>0</v>
      </c>
      <c r="H387">
        <v>1</v>
      </c>
      <c r="I387" s="3">
        <v>21.88</v>
      </c>
      <c r="J387" s="3">
        <v>0</v>
      </c>
      <c r="L387">
        <v>1851</v>
      </c>
      <c r="M387" t="s">
        <v>1090</v>
      </c>
      <c r="N387" t="s">
        <v>30</v>
      </c>
      <c r="O387" t="s">
        <v>31</v>
      </c>
      <c r="P387" t="str">
        <f t="shared" si="3"/>
        <v>15219</v>
      </c>
    </row>
    <row r="388" spans="1:16" x14ac:dyDescent="0.25">
      <c r="A388" t="str">
        <f>"1030009S00212    00"</f>
        <v>1030009S00212    00</v>
      </c>
      <c r="B388" t="s">
        <v>1099</v>
      </c>
      <c r="C388" t="s">
        <v>1091</v>
      </c>
      <c r="D388" t="s">
        <v>20</v>
      </c>
      <c r="E388" t="s">
        <v>39</v>
      </c>
      <c r="F388">
        <v>0</v>
      </c>
      <c r="G388">
        <v>0</v>
      </c>
      <c r="H388">
        <v>19</v>
      </c>
      <c r="I388" s="3">
        <v>13183.2</v>
      </c>
      <c r="J388" s="3">
        <v>15333.72</v>
      </c>
      <c r="K388" t="s">
        <v>1100</v>
      </c>
      <c r="L388">
        <v>7988</v>
      </c>
      <c r="M388" t="s">
        <v>1101</v>
      </c>
      <c r="N388" t="s">
        <v>1046</v>
      </c>
      <c r="O388" t="s">
        <v>31</v>
      </c>
      <c r="P388" t="str">
        <f>"15147"</f>
        <v>15147</v>
      </c>
    </row>
    <row r="389" spans="1:16" x14ac:dyDescent="0.25">
      <c r="A389" t="str">
        <f>"1030009S00214    00"</f>
        <v>1030009S00214    00</v>
      </c>
      <c r="B389" t="s">
        <v>1102</v>
      </c>
      <c r="C389" t="s">
        <v>1091</v>
      </c>
      <c r="D389" t="s">
        <v>20</v>
      </c>
      <c r="E389" t="s">
        <v>39</v>
      </c>
      <c r="F389">
        <v>0</v>
      </c>
      <c r="G389">
        <v>0</v>
      </c>
      <c r="H389">
        <v>16</v>
      </c>
      <c r="I389" s="3">
        <v>6756.5</v>
      </c>
      <c r="J389" s="3">
        <v>3781.27</v>
      </c>
      <c r="L389">
        <v>1846</v>
      </c>
      <c r="M389" t="s">
        <v>1090</v>
      </c>
      <c r="N389" t="s">
        <v>30</v>
      </c>
      <c r="O389" t="s">
        <v>31</v>
      </c>
      <c r="P389" t="str">
        <f>"15219"</f>
        <v>15219</v>
      </c>
    </row>
    <row r="390" spans="1:16" x14ac:dyDescent="0.25">
      <c r="A390" t="str">
        <f>"1030009S00218    00"</f>
        <v>1030009S00218    00</v>
      </c>
      <c r="B390" t="s">
        <v>1103</v>
      </c>
      <c r="C390" t="s">
        <v>1104</v>
      </c>
      <c r="D390" t="s">
        <v>20</v>
      </c>
      <c r="E390" t="s">
        <v>39</v>
      </c>
      <c r="F390">
        <v>0</v>
      </c>
      <c r="G390">
        <v>0</v>
      </c>
      <c r="H390">
        <v>6</v>
      </c>
      <c r="I390" s="3">
        <v>4775.87</v>
      </c>
      <c r="J390" s="3">
        <v>990.85</v>
      </c>
      <c r="K390" t="s">
        <v>1105</v>
      </c>
      <c r="L390">
        <v>1838</v>
      </c>
      <c r="M390" t="s">
        <v>1090</v>
      </c>
      <c r="N390" t="s">
        <v>30</v>
      </c>
      <c r="O390" t="s">
        <v>31</v>
      </c>
      <c r="P390" t="str">
        <f>"15219"</f>
        <v>15219</v>
      </c>
    </row>
    <row r="391" spans="1:16" x14ac:dyDescent="0.25">
      <c r="A391" t="str">
        <f>"1030009S00221    00"</f>
        <v>1030009S00221    00</v>
      </c>
      <c r="B391" t="s">
        <v>1106</v>
      </c>
      <c r="C391" t="s">
        <v>1107</v>
      </c>
      <c r="E391" t="s">
        <v>39</v>
      </c>
      <c r="F391">
        <v>0</v>
      </c>
      <c r="G391">
        <v>0</v>
      </c>
      <c r="H391">
        <v>1</v>
      </c>
      <c r="I391" s="3">
        <v>1950.17</v>
      </c>
      <c r="J391" s="3">
        <v>780.04</v>
      </c>
      <c r="K391" t="s">
        <v>1108</v>
      </c>
      <c r="L391">
        <v>8241</v>
      </c>
      <c r="M391" t="s">
        <v>1109</v>
      </c>
      <c r="N391" t="s">
        <v>1110</v>
      </c>
      <c r="O391" t="s">
        <v>25</v>
      </c>
      <c r="P391" t="str">
        <f>"44136"</f>
        <v>44136</v>
      </c>
    </row>
    <row r="392" spans="1:16" x14ac:dyDescent="0.25">
      <c r="A392" t="str">
        <f>"1030009S00228    00"</f>
        <v>1030009S00228    00</v>
      </c>
      <c r="B392" t="s">
        <v>1111</v>
      </c>
      <c r="C392" t="s">
        <v>1091</v>
      </c>
      <c r="D392" t="s">
        <v>20</v>
      </c>
      <c r="E392" t="s">
        <v>39</v>
      </c>
      <c r="F392">
        <v>0</v>
      </c>
      <c r="G392">
        <v>0</v>
      </c>
      <c r="H392">
        <v>14</v>
      </c>
      <c r="I392" s="3">
        <v>6701.18</v>
      </c>
      <c r="J392" s="3">
        <v>3626.29</v>
      </c>
      <c r="L392">
        <v>421</v>
      </c>
      <c r="M392" t="s">
        <v>1112</v>
      </c>
      <c r="N392" t="s">
        <v>30</v>
      </c>
      <c r="O392" t="s">
        <v>31</v>
      </c>
      <c r="P392" t="str">
        <f>"15221"</f>
        <v>15221</v>
      </c>
    </row>
    <row r="393" spans="1:16" x14ac:dyDescent="0.25">
      <c r="A393" t="str">
        <f>"1030009S00230B   00"</f>
        <v>1030009S00230B   00</v>
      </c>
      <c r="B393" t="s">
        <v>1113</v>
      </c>
      <c r="C393" t="s">
        <v>1114</v>
      </c>
      <c r="D393" t="s">
        <v>20</v>
      </c>
      <c r="E393" t="s">
        <v>39</v>
      </c>
      <c r="F393">
        <v>0</v>
      </c>
      <c r="G393">
        <v>0</v>
      </c>
      <c r="H393">
        <v>18</v>
      </c>
      <c r="I393" s="3">
        <v>18852.64</v>
      </c>
      <c r="J393" s="3">
        <v>14254.97</v>
      </c>
      <c r="L393">
        <v>1816</v>
      </c>
      <c r="M393" t="s">
        <v>1090</v>
      </c>
      <c r="N393" t="s">
        <v>30</v>
      </c>
      <c r="O393" t="s">
        <v>31</v>
      </c>
      <c r="P393" t="str">
        <f>"15219"</f>
        <v>15219</v>
      </c>
    </row>
    <row r="394" spans="1:16" x14ac:dyDescent="0.25">
      <c r="A394" t="str">
        <f>"1030009S00241    00"</f>
        <v>1030009S00241    00</v>
      </c>
      <c r="B394" t="s">
        <v>918</v>
      </c>
      <c r="C394" t="s">
        <v>1115</v>
      </c>
      <c r="D394" t="s">
        <v>20</v>
      </c>
      <c r="E394" t="s">
        <v>39</v>
      </c>
      <c r="F394">
        <v>0</v>
      </c>
      <c r="G394">
        <v>0</v>
      </c>
      <c r="H394">
        <v>2</v>
      </c>
      <c r="I394" s="3">
        <v>20.99</v>
      </c>
      <c r="J394" s="3">
        <v>0</v>
      </c>
      <c r="L394">
        <v>46</v>
      </c>
      <c r="M394" t="s">
        <v>913</v>
      </c>
      <c r="N394" t="s">
        <v>914</v>
      </c>
      <c r="O394" t="s">
        <v>200</v>
      </c>
      <c r="P394" t="str">
        <f>"10952"</f>
        <v>10952</v>
      </c>
    </row>
    <row r="395" spans="1:16" x14ac:dyDescent="0.25">
      <c r="A395" t="str">
        <f>"1030009S00242    00"</f>
        <v>1030009S00242    00</v>
      </c>
      <c r="B395" t="s">
        <v>1116</v>
      </c>
      <c r="C395" t="s">
        <v>1115</v>
      </c>
      <c r="D395" t="s">
        <v>20</v>
      </c>
      <c r="E395" t="s">
        <v>39</v>
      </c>
      <c r="F395">
        <v>0</v>
      </c>
      <c r="G395">
        <v>0</v>
      </c>
      <c r="H395">
        <v>1</v>
      </c>
      <c r="I395" s="3">
        <v>693.78</v>
      </c>
      <c r="J395" s="3">
        <v>0</v>
      </c>
      <c r="L395">
        <v>1801</v>
      </c>
      <c r="M395" t="s">
        <v>1117</v>
      </c>
      <c r="N395" t="s">
        <v>30</v>
      </c>
      <c r="O395" t="s">
        <v>31</v>
      </c>
      <c r="P395" t="str">
        <f>"15219"</f>
        <v>15219</v>
      </c>
    </row>
    <row r="396" spans="1:16" x14ac:dyDescent="0.25">
      <c r="A396" t="str">
        <f>"1030009S00252    00"</f>
        <v>1030009S00252    00</v>
      </c>
      <c r="B396" t="s">
        <v>1118</v>
      </c>
      <c r="C396" t="s">
        <v>1119</v>
      </c>
      <c r="E396" t="s">
        <v>39</v>
      </c>
      <c r="F396">
        <v>0</v>
      </c>
      <c r="G396">
        <v>0</v>
      </c>
      <c r="H396">
        <v>3</v>
      </c>
      <c r="I396" s="3">
        <v>1396.23</v>
      </c>
      <c r="J396" s="3">
        <v>216.62</v>
      </c>
      <c r="L396">
        <v>1852</v>
      </c>
      <c r="M396" t="s">
        <v>1120</v>
      </c>
      <c r="N396" t="s">
        <v>30</v>
      </c>
      <c r="O396" t="s">
        <v>31</v>
      </c>
      <c r="P396" t="str">
        <f>"15219"</f>
        <v>15219</v>
      </c>
    </row>
    <row r="397" spans="1:16" x14ac:dyDescent="0.25">
      <c r="A397" t="str">
        <f>"1030009S00252B   00"</f>
        <v>1030009S00252B   00</v>
      </c>
      <c r="B397" t="s">
        <v>1121</v>
      </c>
      <c r="C397" t="s">
        <v>1122</v>
      </c>
      <c r="D397" t="s">
        <v>20</v>
      </c>
      <c r="E397" t="s">
        <v>39</v>
      </c>
      <c r="F397">
        <v>0</v>
      </c>
      <c r="G397">
        <v>0</v>
      </c>
      <c r="H397">
        <v>19</v>
      </c>
      <c r="I397" s="3">
        <v>2900.8</v>
      </c>
      <c r="J397" s="3">
        <v>4216.01</v>
      </c>
      <c r="L397">
        <v>1814</v>
      </c>
      <c r="M397" t="s">
        <v>1120</v>
      </c>
      <c r="N397" t="s">
        <v>30</v>
      </c>
      <c r="O397" t="s">
        <v>31</v>
      </c>
      <c r="P397" t="str">
        <f>"15219"</f>
        <v>15219</v>
      </c>
    </row>
    <row r="398" spans="1:16" x14ac:dyDescent="0.25">
      <c r="A398" t="str">
        <f>"1030009S00253A   00"</f>
        <v>1030009S00253A   00</v>
      </c>
      <c r="B398" t="s">
        <v>1123</v>
      </c>
      <c r="C398" t="s">
        <v>1124</v>
      </c>
      <c r="E398" t="s">
        <v>39</v>
      </c>
      <c r="F398">
        <v>0</v>
      </c>
      <c r="G398">
        <v>0</v>
      </c>
      <c r="H398">
        <v>1</v>
      </c>
      <c r="I398" s="3">
        <v>76.239999999999995</v>
      </c>
      <c r="J398" s="3">
        <v>0</v>
      </c>
      <c r="L398">
        <v>2701</v>
      </c>
      <c r="M398" t="s">
        <v>1117</v>
      </c>
      <c r="N398" t="s">
        <v>30</v>
      </c>
      <c r="O398" t="s">
        <v>31</v>
      </c>
      <c r="P398" t="str">
        <f>"15219"</f>
        <v>15219</v>
      </c>
    </row>
    <row r="399" spans="1:16" x14ac:dyDescent="0.25">
      <c r="A399" t="str">
        <f>"1030009S00264C   00"</f>
        <v>1030009S00264C   00</v>
      </c>
      <c r="B399" t="s">
        <v>1125</v>
      </c>
      <c r="C399" t="s">
        <v>1126</v>
      </c>
      <c r="D399" t="s">
        <v>20</v>
      </c>
      <c r="E399" t="s">
        <v>39</v>
      </c>
      <c r="F399">
        <v>0</v>
      </c>
      <c r="G399">
        <v>0</v>
      </c>
      <c r="H399">
        <v>5</v>
      </c>
      <c r="I399" s="3">
        <v>8332.52</v>
      </c>
      <c r="J399" s="3">
        <v>995.54</v>
      </c>
      <c r="K399" t="s">
        <v>1127</v>
      </c>
      <c r="M399" t="s">
        <v>1128</v>
      </c>
      <c r="N399" t="s">
        <v>1129</v>
      </c>
      <c r="O399" t="s">
        <v>108</v>
      </c>
      <c r="P399" t="str">
        <f>"76161"</f>
        <v>76161</v>
      </c>
    </row>
    <row r="400" spans="1:16" x14ac:dyDescent="0.25">
      <c r="A400" t="str">
        <f>"1030009S00266A   00"</f>
        <v>1030009S00266A   00</v>
      </c>
      <c r="B400" t="s">
        <v>1130</v>
      </c>
      <c r="C400" t="s">
        <v>1131</v>
      </c>
      <c r="D400" t="s">
        <v>20</v>
      </c>
      <c r="E400" t="s">
        <v>39</v>
      </c>
      <c r="F400">
        <v>0</v>
      </c>
      <c r="G400">
        <v>0</v>
      </c>
      <c r="H400">
        <v>2</v>
      </c>
      <c r="I400" s="3">
        <v>1753.79</v>
      </c>
      <c r="J400" s="3">
        <v>0.14000000000000001</v>
      </c>
      <c r="L400">
        <v>1817</v>
      </c>
      <c r="M400" t="s">
        <v>1132</v>
      </c>
      <c r="N400" t="s">
        <v>30</v>
      </c>
      <c r="O400" t="s">
        <v>31</v>
      </c>
      <c r="P400" t="str">
        <f>"15219"</f>
        <v>15219</v>
      </c>
    </row>
    <row r="401" spans="1:16" x14ac:dyDescent="0.25">
      <c r="A401" t="str">
        <f>"1030009S00285    00"</f>
        <v>1030009S00285    00</v>
      </c>
      <c r="B401" t="s">
        <v>1133</v>
      </c>
      <c r="C401" t="s">
        <v>1134</v>
      </c>
      <c r="E401" t="s">
        <v>39</v>
      </c>
      <c r="F401">
        <v>0</v>
      </c>
      <c r="G401">
        <v>0</v>
      </c>
      <c r="H401">
        <v>1</v>
      </c>
      <c r="I401" s="3">
        <v>2375.41</v>
      </c>
      <c r="J401" s="3">
        <v>0</v>
      </c>
      <c r="K401" t="s">
        <v>1135</v>
      </c>
      <c r="L401">
        <v>3001</v>
      </c>
      <c r="M401" t="s">
        <v>330</v>
      </c>
      <c r="N401" t="s">
        <v>331</v>
      </c>
      <c r="O401" t="s">
        <v>108</v>
      </c>
      <c r="P401" t="str">
        <f>"75063"</f>
        <v>75063</v>
      </c>
    </row>
    <row r="402" spans="1:16" x14ac:dyDescent="0.25">
      <c r="A402" t="str">
        <f>"1030009S00289    00"</f>
        <v>1030009S00289    00</v>
      </c>
      <c r="B402" t="s">
        <v>1136</v>
      </c>
      <c r="C402" t="s">
        <v>1137</v>
      </c>
      <c r="E402" t="s">
        <v>39</v>
      </c>
      <c r="F402">
        <v>0</v>
      </c>
      <c r="G402">
        <v>0</v>
      </c>
      <c r="H402">
        <v>1</v>
      </c>
      <c r="I402" s="3">
        <v>53.36</v>
      </c>
      <c r="J402" s="3">
        <v>42.68</v>
      </c>
      <c r="K402" t="s">
        <v>417</v>
      </c>
      <c r="L402">
        <v>3001</v>
      </c>
      <c r="M402" t="s">
        <v>330</v>
      </c>
      <c r="N402" t="s">
        <v>331</v>
      </c>
      <c r="O402" t="s">
        <v>108</v>
      </c>
      <c r="P402" t="str">
        <f>"75063"</f>
        <v>75063</v>
      </c>
    </row>
    <row r="403" spans="1:16" x14ac:dyDescent="0.25">
      <c r="A403" t="str">
        <f>"1030009S00307    00"</f>
        <v>1030009S00307    00</v>
      </c>
      <c r="B403" t="s">
        <v>1138</v>
      </c>
      <c r="C403" t="s">
        <v>1139</v>
      </c>
      <c r="E403" t="s">
        <v>39</v>
      </c>
      <c r="F403">
        <v>0</v>
      </c>
      <c r="G403">
        <v>0</v>
      </c>
      <c r="H403">
        <v>1</v>
      </c>
      <c r="I403" s="3">
        <v>703.55</v>
      </c>
      <c r="J403" s="3">
        <v>128.97999999999999</v>
      </c>
      <c r="K403" t="s">
        <v>1140</v>
      </c>
      <c r="L403">
        <v>609</v>
      </c>
      <c r="M403" t="s">
        <v>846</v>
      </c>
      <c r="N403" t="s">
        <v>30</v>
      </c>
      <c r="O403" t="s">
        <v>31</v>
      </c>
      <c r="P403" t="str">
        <f>"15219"</f>
        <v>15219</v>
      </c>
    </row>
    <row r="404" spans="1:16" x14ac:dyDescent="0.25">
      <c r="A404" t="str">
        <f>"1030009S00379    00"</f>
        <v>1030009S00379    00</v>
      </c>
      <c r="B404" t="s">
        <v>1141</v>
      </c>
      <c r="C404" t="s">
        <v>1142</v>
      </c>
      <c r="D404" t="s">
        <v>20</v>
      </c>
      <c r="E404" t="s">
        <v>39</v>
      </c>
      <c r="F404">
        <v>0</v>
      </c>
      <c r="G404">
        <v>0</v>
      </c>
      <c r="H404">
        <v>4</v>
      </c>
      <c r="I404" s="3">
        <v>6516.34</v>
      </c>
      <c r="J404" s="3">
        <v>18.95</v>
      </c>
      <c r="K404" t="s">
        <v>1143</v>
      </c>
      <c r="L404">
        <v>1823</v>
      </c>
      <c r="M404" t="s">
        <v>1144</v>
      </c>
      <c r="N404" t="s">
        <v>30</v>
      </c>
      <c r="O404" t="s">
        <v>31</v>
      </c>
      <c r="P404" t="str">
        <f>"15219"</f>
        <v>15219</v>
      </c>
    </row>
    <row r="405" spans="1:16" x14ac:dyDescent="0.25">
      <c r="A405" t="str">
        <f>"1030009S00415    00"</f>
        <v>1030009S00415    00</v>
      </c>
      <c r="B405" t="s">
        <v>1145</v>
      </c>
      <c r="C405" t="s">
        <v>1146</v>
      </c>
      <c r="D405" t="s">
        <v>20</v>
      </c>
      <c r="E405" t="s">
        <v>39</v>
      </c>
      <c r="F405">
        <v>0</v>
      </c>
      <c r="G405">
        <v>0</v>
      </c>
      <c r="H405">
        <v>4</v>
      </c>
      <c r="I405" s="3">
        <v>8378.23</v>
      </c>
      <c r="J405" s="3">
        <v>1010.47</v>
      </c>
      <c r="L405">
        <v>543</v>
      </c>
      <c r="M405" t="s">
        <v>846</v>
      </c>
      <c r="N405" t="s">
        <v>30</v>
      </c>
      <c r="O405" t="s">
        <v>31</v>
      </c>
      <c r="P405" t="str">
        <f>"15219"</f>
        <v>15219</v>
      </c>
    </row>
    <row r="406" spans="1:16" x14ac:dyDescent="0.25">
      <c r="A406" t="str">
        <f>"1030010J00167    00"</f>
        <v>1030010J00167    00</v>
      </c>
      <c r="B406" t="s">
        <v>1147</v>
      </c>
      <c r="C406" t="s">
        <v>1148</v>
      </c>
      <c r="D406" t="s">
        <v>20</v>
      </c>
      <c r="E406" t="s">
        <v>39</v>
      </c>
      <c r="F406">
        <v>0</v>
      </c>
      <c r="G406">
        <v>0</v>
      </c>
      <c r="H406">
        <v>5</v>
      </c>
      <c r="I406" s="3">
        <v>7025.19</v>
      </c>
      <c r="J406" s="3">
        <v>132.09</v>
      </c>
      <c r="L406">
        <v>1913</v>
      </c>
      <c r="M406" t="s">
        <v>1090</v>
      </c>
      <c r="N406" t="s">
        <v>30</v>
      </c>
      <c r="O406" t="s">
        <v>31</v>
      </c>
      <c r="P406" t="str">
        <f>"15219"</f>
        <v>15219</v>
      </c>
    </row>
    <row r="407" spans="1:16" x14ac:dyDescent="0.25">
      <c r="A407" t="str">
        <f>"1030010J00172    00"</f>
        <v>1030010J00172    00</v>
      </c>
      <c r="B407" t="s">
        <v>1149</v>
      </c>
      <c r="C407" t="s">
        <v>1091</v>
      </c>
      <c r="D407" t="s">
        <v>20</v>
      </c>
      <c r="E407" t="s">
        <v>39</v>
      </c>
      <c r="F407">
        <v>0</v>
      </c>
      <c r="G407">
        <v>0</v>
      </c>
      <c r="H407">
        <v>19</v>
      </c>
      <c r="I407" s="3">
        <v>2814.14</v>
      </c>
      <c r="J407" s="3">
        <v>3968.46</v>
      </c>
      <c r="K407" t="s">
        <v>1150</v>
      </c>
      <c r="L407">
        <v>403</v>
      </c>
      <c r="M407" t="s">
        <v>1151</v>
      </c>
      <c r="N407" t="s">
        <v>509</v>
      </c>
      <c r="O407" t="s">
        <v>31</v>
      </c>
      <c r="P407" t="str">
        <f>"19119"</f>
        <v>19119</v>
      </c>
    </row>
    <row r="408" spans="1:16" x14ac:dyDescent="0.25">
      <c r="A408" t="str">
        <f>"1030010J00180    00"</f>
        <v>1030010J00180    00</v>
      </c>
      <c r="B408" t="s">
        <v>1152</v>
      </c>
      <c r="C408" t="s">
        <v>1153</v>
      </c>
      <c r="D408" t="s">
        <v>20</v>
      </c>
      <c r="E408" t="s">
        <v>39</v>
      </c>
      <c r="F408">
        <v>0</v>
      </c>
      <c r="G408">
        <v>0</v>
      </c>
      <c r="H408">
        <v>17</v>
      </c>
      <c r="I408" s="3">
        <v>9739.56</v>
      </c>
      <c r="J408" s="3">
        <v>13967.65</v>
      </c>
      <c r="L408">
        <v>201</v>
      </c>
      <c r="M408" t="s">
        <v>1154</v>
      </c>
      <c r="N408" t="s">
        <v>30</v>
      </c>
      <c r="O408" t="s">
        <v>31</v>
      </c>
      <c r="P408" t="str">
        <f>"15219"</f>
        <v>15219</v>
      </c>
    </row>
    <row r="409" spans="1:16" x14ac:dyDescent="0.25">
      <c r="A409" t="str">
        <f>"1030010J00181    00"</f>
        <v>1030010J00181    00</v>
      </c>
      <c r="B409" t="s">
        <v>1155</v>
      </c>
      <c r="C409" t="s">
        <v>1153</v>
      </c>
      <c r="D409" t="s">
        <v>20</v>
      </c>
      <c r="E409" t="s">
        <v>39</v>
      </c>
      <c r="F409">
        <v>0</v>
      </c>
      <c r="G409">
        <v>0</v>
      </c>
      <c r="H409">
        <v>13</v>
      </c>
      <c r="I409" s="3">
        <v>3488.77</v>
      </c>
      <c r="J409" s="3">
        <v>4480.1000000000004</v>
      </c>
      <c r="L409">
        <v>2927</v>
      </c>
      <c r="M409" t="s">
        <v>854</v>
      </c>
      <c r="N409" t="s">
        <v>30</v>
      </c>
      <c r="O409" t="s">
        <v>31</v>
      </c>
      <c r="P409" t="str">
        <f>"15219"</f>
        <v>15219</v>
      </c>
    </row>
    <row r="410" spans="1:16" x14ac:dyDescent="0.25">
      <c r="A410" t="str">
        <f>"1030010J00182    00"</f>
        <v>1030010J00182    00</v>
      </c>
      <c r="B410" t="s">
        <v>1156</v>
      </c>
      <c r="C410" t="s">
        <v>1153</v>
      </c>
      <c r="D410" t="s">
        <v>20</v>
      </c>
      <c r="E410" t="s">
        <v>39</v>
      </c>
      <c r="F410">
        <v>0</v>
      </c>
      <c r="G410">
        <v>0</v>
      </c>
      <c r="H410">
        <v>17</v>
      </c>
      <c r="I410" s="3">
        <v>5802.84</v>
      </c>
      <c r="J410" s="3">
        <v>8445.5</v>
      </c>
      <c r="L410">
        <v>2715</v>
      </c>
      <c r="M410" t="s">
        <v>1157</v>
      </c>
      <c r="N410" t="s">
        <v>1158</v>
      </c>
      <c r="O410" t="s">
        <v>370</v>
      </c>
      <c r="P410" t="str">
        <f>"33407"</f>
        <v>33407</v>
      </c>
    </row>
    <row r="411" spans="1:16" x14ac:dyDescent="0.25">
      <c r="A411" t="str">
        <f>"1030010J00187    00"</f>
        <v>1030010J00187    00</v>
      </c>
      <c r="B411" t="s">
        <v>944</v>
      </c>
      <c r="C411" t="s">
        <v>1159</v>
      </c>
      <c r="E411" t="s">
        <v>39</v>
      </c>
      <c r="F411">
        <v>0</v>
      </c>
      <c r="G411">
        <v>0</v>
      </c>
      <c r="H411">
        <v>1</v>
      </c>
      <c r="I411" s="3">
        <v>79.099999999999994</v>
      </c>
      <c r="J411" s="3">
        <v>122.6</v>
      </c>
      <c r="L411">
        <v>200</v>
      </c>
      <c r="M411" t="s">
        <v>946</v>
      </c>
      <c r="N411" t="s">
        <v>30</v>
      </c>
      <c r="O411" t="s">
        <v>31</v>
      </c>
      <c r="P411" t="str">
        <f>"15219"</f>
        <v>15219</v>
      </c>
    </row>
    <row r="412" spans="1:16" x14ac:dyDescent="0.25">
      <c r="A412" t="str">
        <f>"1030010J00222    00"</f>
        <v>1030010J00222    00</v>
      </c>
      <c r="B412" t="s">
        <v>944</v>
      </c>
      <c r="C412" t="s">
        <v>1160</v>
      </c>
      <c r="E412" t="s">
        <v>207</v>
      </c>
      <c r="F412">
        <v>0</v>
      </c>
      <c r="G412">
        <v>0</v>
      </c>
      <c r="H412">
        <v>8</v>
      </c>
      <c r="I412" s="3">
        <v>56766.98</v>
      </c>
      <c r="J412" s="3">
        <v>73853.149999999994</v>
      </c>
      <c r="L412">
        <v>200</v>
      </c>
      <c r="M412" t="s">
        <v>946</v>
      </c>
      <c r="N412" t="s">
        <v>30</v>
      </c>
      <c r="O412" t="s">
        <v>31</v>
      </c>
      <c r="P412" t="str">
        <f>"15219"</f>
        <v>15219</v>
      </c>
    </row>
    <row r="413" spans="1:16" x14ac:dyDescent="0.25">
      <c r="A413" t="str">
        <f>"1030010J00223    00"</f>
        <v>1030010J00223    00</v>
      </c>
      <c r="B413" t="s">
        <v>944</v>
      </c>
      <c r="C413" t="s">
        <v>1161</v>
      </c>
      <c r="E413" t="s">
        <v>21</v>
      </c>
      <c r="F413">
        <v>0</v>
      </c>
      <c r="G413">
        <v>0</v>
      </c>
      <c r="H413">
        <v>1</v>
      </c>
      <c r="I413" s="3">
        <v>16021.03</v>
      </c>
      <c r="J413" s="3">
        <v>29393</v>
      </c>
      <c r="K413" t="s">
        <v>1162</v>
      </c>
      <c r="L413">
        <v>1</v>
      </c>
      <c r="M413" t="s">
        <v>1163</v>
      </c>
      <c r="N413" t="s">
        <v>1164</v>
      </c>
      <c r="O413" t="s">
        <v>108</v>
      </c>
      <c r="P413" t="str">
        <f>"76262"</f>
        <v>76262</v>
      </c>
    </row>
    <row r="414" spans="1:16" x14ac:dyDescent="0.25">
      <c r="A414" t="str">
        <f>"1030010N00098B   00"</f>
        <v>1030010N00098B   00</v>
      </c>
      <c r="B414" t="s">
        <v>1165</v>
      </c>
      <c r="C414" t="s">
        <v>1166</v>
      </c>
      <c r="E414" t="s">
        <v>39</v>
      </c>
      <c r="F414">
        <v>0</v>
      </c>
      <c r="G414">
        <v>0</v>
      </c>
      <c r="H414">
        <v>2</v>
      </c>
      <c r="I414" s="3">
        <v>662.42</v>
      </c>
      <c r="J414" s="3">
        <v>192.21</v>
      </c>
      <c r="L414">
        <v>1926</v>
      </c>
      <c r="M414" t="s">
        <v>1090</v>
      </c>
      <c r="N414" t="s">
        <v>30</v>
      </c>
      <c r="O414" t="s">
        <v>31</v>
      </c>
      <c r="P414" t="str">
        <f>"15219"</f>
        <v>15219</v>
      </c>
    </row>
    <row r="415" spans="1:16" x14ac:dyDescent="0.25">
      <c r="A415" t="str">
        <f>"1030010N00114    01"</f>
        <v>1030010N00114    01</v>
      </c>
      <c r="B415" t="s">
        <v>1167</v>
      </c>
      <c r="C415" t="s">
        <v>1168</v>
      </c>
      <c r="D415" t="s">
        <v>20</v>
      </c>
      <c r="E415" t="s">
        <v>39</v>
      </c>
      <c r="F415">
        <v>0</v>
      </c>
      <c r="G415">
        <v>0</v>
      </c>
      <c r="H415">
        <v>19</v>
      </c>
      <c r="I415" s="3">
        <v>12712.68</v>
      </c>
      <c r="J415" s="3">
        <v>10521.28</v>
      </c>
      <c r="L415">
        <v>19709</v>
      </c>
      <c r="M415" t="s">
        <v>1169</v>
      </c>
      <c r="N415" t="s">
        <v>1170</v>
      </c>
      <c r="O415" t="s">
        <v>1005</v>
      </c>
      <c r="P415" t="str">
        <f>"85340"</f>
        <v>85340</v>
      </c>
    </row>
    <row r="416" spans="1:16" x14ac:dyDescent="0.25">
      <c r="A416" t="str">
        <f>"1030010N00137    00"</f>
        <v>1030010N00137    00</v>
      </c>
      <c r="B416" t="s">
        <v>1171</v>
      </c>
      <c r="C416" t="s">
        <v>1172</v>
      </c>
      <c r="D416" t="s">
        <v>20</v>
      </c>
      <c r="E416" t="s">
        <v>39</v>
      </c>
      <c r="F416">
        <v>0</v>
      </c>
      <c r="G416">
        <v>0</v>
      </c>
      <c r="H416">
        <v>4</v>
      </c>
      <c r="I416" s="3">
        <v>5815.45</v>
      </c>
      <c r="J416" s="3">
        <v>139.5</v>
      </c>
      <c r="K416" t="s">
        <v>1173</v>
      </c>
      <c r="L416">
        <v>161</v>
      </c>
      <c r="M416" t="s">
        <v>1154</v>
      </c>
      <c r="N416" t="s">
        <v>30</v>
      </c>
      <c r="O416" t="s">
        <v>31</v>
      </c>
      <c r="P416" t="str">
        <f>"15219"</f>
        <v>15219</v>
      </c>
    </row>
    <row r="417" spans="1:16" x14ac:dyDescent="0.25">
      <c r="A417" t="str">
        <f>"1030010N00146    00"</f>
        <v>1030010N00146    00</v>
      </c>
      <c r="B417" t="s">
        <v>1174</v>
      </c>
      <c r="C417" t="s">
        <v>1175</v>
      </c>
      <c r="D417" t="s">
        <v>20</v>
      </c>
      <c r="E417" t="s">
        <v>39</v>
      </c>
      <c r="F417">
        <v>0</v>
      </c>
      <c r="G417">
        <v>0</v>
      </c>
      <c r="H417">
        <v>1</v>
      </c>
      <c r="I417" s="3">
        <v>1942.69</v>
      </c>
      <c r="J417" s="3">
        <v>0</v>
      </c>
      <c r="L417">
        <v>174</v>
      </c>
      <c r="M417" t="s">
        <v>1176</v>
      </c>
      <c r="N417" t="s">
        <v>30</v>
      </c>
      <c r="O417" t="s">
        <v>31</v>
      </c>
      <c r="P417" t="str">
        <f>"15219"</f>
        <v>15219</v>
      </c>
    </row>
    <row r="418" spans="1:16" x14ac:dyDescent="0.25">
      <c r="A418" t="str">
        <f>"1030010N00148    01"</f>
        <v>1030010N00148    01</v>
      </c>
      <c r="B418" t="s">
        <v>1177</v>
      </c>
      <c r="C418" t="s">
        <v>1178</v>
      </c>
      <c r="D418" t="s">
        <v>20</v>
      </c>
      <c r="E418" t="s">
        <v>39</v>
      </c>
      <c r="F418">
        <v>0</v>
      </c>
      <c r="G418">
        <v>0</v>
      </c>
      <c r="H418">
        <v>9</v>
      </c>
      <c r="I418" s="3">
        <v>6504.07</v>
      </c>
      <c r="J418" s="3">
        <v>153.96</v>
      </c>
      <c r="K418" t="s">
        <v>1179</v>
      </c>
      <c r="L418">
        <v>178</v>
      </c>
      <c r="M418" t="s">
        <v>1176</v>
      </c>
      <c r="N418" t="s">
        <v>30</v>
      </c>
      <c r="O418" t="s">
        <v>31</v>
      </c>
      <c r="P418" t="str">
        <f>"15219"</f>
        <v>15219</v>
      </c>
    </row>
    <row r="419" spans="1:16" x14ac:dyDescent="0.25">
      <c r="A419" t="str">
        <f>"1030010N00157    00"</f>
        <v>1030010N00157    00</v>
      </c>
      <c r="B419" t="s">
        <v>1180</v>
      </c>
      <c r="C419" t="s">
        <v>1181</v>
      </c>
      <c r="D419" t="s">
        <v>20</v>
      </c>
      <c r="E419" t="s">
        <v>39</v>
      </c>
      <c r="F419">
        <v>0</v>
      </c>
      <c r="G419">
        <v>0</v>
      </c>
      <c r="H419">
        <v>5</v>
      </c>
      <c r="I419" s="3">
        <v>12990.21</v>
      </c>
      <c r="J419" s="3">
        <v>2244.2399999999998</v>
      </c>
      <c r="L419">
        <v>14806</v>
      </c>
      <c r="M419" t="s">
        <v>1182</v>
      </c>
      <c r="N419" t="s">
        <v>1183</v>
      </c>
      <c r="O419" t="s">
        <v>1184</v>
      </c>
      <c r="P419" t="str">
        <f>"20774"</f>
        <v>20774</v>
      </c>
    </row>
    <row r="420" spans="1:16" x14ac:dyDescent="0.25">
      <c r="A420" t="str">
        <f>"1030010N00169    00"</f>
        <v>1030010N00169    00</v>
      </c>
      <c r="B420" t="s">
        <v>1118</v>
      </c>
      <c r="C420" t="s">
        <v>1185</v>
      </c>
      <c r="E420" t="s">
        <v>39</v>
      </c>
      <c r="F420">
        <v>0</v>
      </c>
      <c r="G420">
        <v>0</v>
      </c>
      <c r="H420">
        <v>1</v>
      </c>
      <c r="I420" s="3">
        <v>51.47</v>
      </c>
      <c r="J420" s="3">
        <v>0</v>
      </c>
      <c r="K420" t="s">
        <v>1186</v>
      </c>
      <c r="L420">
        <v>2701</v>
      </c>
      <c r="M420" t="s">
        <v>1117</v>
      </c>
      <c r="N420" t="s">
        <v>30</v>
      </c>
      <c r="O420" t="s">
        <v>31</v>
      </c>
      <c r="P420" t="str">
        <f>"15219"</f>
        <v>15219</v>
      </c>
    </row>
    <row r="421" spans="1:16" x14ac:dyDescent="0.25">
      <c r="A421" t="str">
        <f>"1030010N00174    00"</f>
        <v>1030010N00174    00</v>
      </c>
      <c r="B421" t="s">
        <v>1187</v>
      </c>
      <c r="C421" t="s">
        <v>1188</v>
      </c>
      <c r="D421" t="s">
        <v>20</v>
      </c>
      <c r="E421" t="s">
        <v>39</v>
      </c>
      <c r="F421">
        <v>0</v>
      </c>
      <c r="G421">
        <v>0</v>
      </c>
      <c r="H421">
        <v>7</v>
      </c>
      <c r="I421" s="3">
        <v>5441.9</v>
      </c>
      <c r="J421" s="3">
        <v>1498.54</v>
      </c>
      <c r="K421" t="s">
        <v>1189</v>
      </c>
      <c r="L421">
        <v>1703</v>
      </c>
      <c r="M421" t="s">
        <v>1090</v>
      </c>
      <c r="N421" t="s">
        <v>30</v>
      </c>
      <c r="O421" t="s">
        <v>31</v>
      </c>
      <c r="P421" t="str">
        <f>"15219"</f>
        <v>15219</v>
      </c>
    </row>
    <row r="422" spans="1:16" x14ac:dyDescent="0.25">
      <c r="A422" t="str">
        <f>"1030010N00208    00"</f>
        <v>1030010N00208    00</v>
      </c>
      <c r="B422" t="s">
        <v>1190</v>
      </c>
      <c r="C422" t="s">
        <v>1191</v>
      </c>
      <c r="D422" t="s">
        <v>20</v>
      </c>
      <c r="E422" t="s">
        <v>39</v>
      </c>
      <c r="F422">
        <v>0</v>
      </c>
      <c r="G422">
        <v>0</v>
      </c>
      <c r="H422">
        <v>1</v>
      </c>
      <c r="I422" s="3">
        <v>1532.58</v>
      </c>
      <c r="J422" s="3">
        <v>0</v>
      </c>
      <c r="L422">
        <v>1851</v>
      </c>
      <c r="M422" t="s">
        <v>1144</v>
      </c>
      <c r="N422" t="s">
        <v>30</v>
      </c>
      <c r="O422" t="s">
        <v>31</v>
      </c>
      <c r="P422" t="str">
        <f>"15219"</f>
        <v>15219</v>
      </c>
    </row>
    <row r="423" spans="1:16" x14ac:dyDescent="0.25">
      <c r="A423" t="str">
        <f>"1030010N00230    00"</f>
        <v>1030010N00230    00</v>
      </c>
      <c r="B423" t="s">
        <v>1192</v>
      </c>
      <c r="C423" t="s">
        <v>1193</v>
      </c>
      <c r="D423" t="s">
        <v>20</v>
      </c>
      <c r="E423" t="s">
        <v>66</v>
      </c>
      <c r="F423">
        <v>0</v>
      </c>
      <c r="G423">
        <v>0</v>
      </c>
      <c r="H423">
        <v>2</v>
      </c>
      <c r="I423" s="3">
        <v>924.35</v>
      </c>
      <c r="J423" s="3">
        <v>663.34</v>
      </c>
      <c r="L423">
        <v>4735</v>
      </c>
      <c r="M423" t="s">
        <v>841</v>
      </c>
      <c r="N423" t="s">
        <v>30</v>
      </c>
      <c r="O423" t="s">
        <v>31</v>
      </c>
      <c r="P423" t="str">
        <f>"15201"</f>
        <v>15201</v>
      </c>
    </row>
    <row r="424" spans="1:16" x14ac:dyDescent="0.25">
      <c r="A424" t="str">
        <f>"1030010N00234    00"</f>
        <v>1030010N00234    00</v>
      </c>
      <c r="B424" t="s">
        <v>1194</v>
      </c>
      <c r="C424" t="s">
        <v>1195</v>
      </c>
      <c r="D424" t="s">
        <v>20</v>
      </c>
      <c r="E424" t="s">
        <v>21</v>
      </c>
      <c r="F424">
        <v>0</v>
      </c>
      <c r="G424">
        <v>0</v>
      </c>
      <c r="H424">
        <v>3</v>
      </c>
      <c r="I424" s="3">
        <v>169.13</v>
      </c>
      <c r="J424" s="3">
        <v>44.61</v>
      </c>
      <c r="L424">
        <v>4735</v>
      </c>
      <c r="M424" t="s">
        <v>841</v>
      </c>
      <c r="N424" t="s">
        <v>30</v>
      </c>
      <c r="O424" t="s">
        <v>31</v>
      </c>
      <c r="P424" t="str">
        <f>"15201"</f>
        <v>15201</v>
      </c>
    </row>
    <row r="425" spans="1:16" x14ac:dyDescent="0.25">
      <c r="A425" t="str">
        <f>"1030010N00235    00"</f>
        <v>1030010N00235    00</v>
      </c>
      <c r="B425" t="s">
        <v>1194</v>
      </c>
      <c r="C425" t="s">
        <v>1195</v>
      </c>
      <c r="D425" t="s">
        <v>20</v>
      </c>
      <c r="E425" t="s">
        <v>21</v>
      </c>
      <c r="F425">
        <v>0</v>
      </c>
      <c r="G425">
        <v>0</v>
      </c>
      <c r="H425">
        <v>1</v>
      </c>
      <c r="I425" s="3">
        <v>841.51</v>
      </c>
      <c r="J425" s="3">
        <v>0</v>
      </c>
      <c r="K425" t="s">
        <v>1196</v>
      </c>
      <c r="L425">
        <v>1835</v>
      </c>
      <c r="M425" t="s">
        <v>1117</v>
      </c>
      <c r="N425" t="s">
        <v>30</v>
      </c>
      <c r="O425" t="s">
        <v>31</v>
      </c>
      <c r="P425" t="str">
        <f>"15219"</f>
        <v>15219</v>
      </c>
    </row>
    <row r="426" spans="1:16" x14ac:dyDescent="0.25">
      <c r="A426" t="str">
        <f>"1030010N00236    00"</f>
        <v>1030010N00236    00</v>
      </c>
      <c r="B426" t="s">
        <v>1194</v>
      </c>
      <c r="C426" t="s">
        <v>1195</v>
      </c>
      <c r="D426" t="s">
        <v>20</v>
      </c>
      <c r="E426" t="s">
        <v>21</v>
      </c>
      <c r="F426">
        <v>0</v>
      </c>
      <c r="G426">
        <v>0</v>
      </c>
      <c r="H426">
        <v>3</v>
      </c>
      <c r="I426" s="3">
        <v>856.78</v>
      </c>
      <c r="J426" s="3">
        <v>288.67</v>
      </c>
      <c r="L426">
        <v>4735</v>
      </c>
      <c r="M426" t="s">
        <v>841</v>
      </c>
      <c r="N426" t="s">
        <v>30</v>
      </c>
      <c r="O426" t="s">
        <v>31</v>
      </c>
      <c r="P426" t="str">
        <f t="shared" ref="P426:P432" si="4">"15201"</f>
        <v>15201</v>
      </c>
    </row>
    <row r="427" spans="1:16" x14ac:dyDescent="0.25">
      <c r="A427" t="str">
        <f>"1030010N00238    00"</f>
        <v>1030010N00238    00</v>
      </c>
      <c r="B427" t="s">
        <v>1194</v>
      </c>
      <c r="C427" t="s">
        <v>1195</v>
      </c>
      <c r="D427" t="s">
        <v>20</v>
      </c>
      <c r="E427" t="s">
        <v>21</v>
      </c>
      <c r="F427">
        <v>0</v>
      </c>
      <c r="G427">
        <v>0</v>
      </c>
      <c r="H427">
        <v>2</v>
      </c>
      <c r="I427" s="3">
        <v>820.02</v>
      </c>
      <c r="J427" s="3">
        <v>154.69</v>
      </c>
      <c r="L427">
        <v>4735</v>
      </c>
      <c r="M427" t="s">
        <v>841</v>
      </c>
      <c r="N427" t="s">
        <v>30</v>
      </c>
      <c r="O427" t="s">
        <v>31</v>
      </c>
      <c r="P427" t="str">
        <f t="shared" si="4"/>
        <v>15201</v>
      </c>
    </row>
    <row r="428" spans="1:16" x14ac:dyDescent="0.25">
      <c r="A428" t="str">
        <f>"1030010N00239    00"</f>
        <v>1030010N00239    00</v>
      </c>
      <c r="B428" t="s">
        <v>1194</v>
      </c>
      <c r="C428" t="s">
        <v>1195</v>
      </c>
      <c r="D428" t="s">
        <v>20</v>
      </c>
      <c r="E428" t="s">
        <v>21</v>
      </c>
      <c r="F428">
        <v>0</v>
      </c>
      <c r="G428">
        <v>0</v>
      </c>
      <c r="H428">
        <v>3</v>
      </c>
      <c r="I428" s="3">
        <v>827.47</v>
      </c>
      <c r="J428" s="3">
        <v>278.81</v>
      </c>
      <c r="L428">
        <v>4735</v>
      </c>
      <c r="M428" t="s">
        <v>841</v>
      </c>
      <c r="N428" t="s">
        <v>30</v>
      </c>
      <c r="O428" t="s">
        <v>31</v>
      </c>
      <c r="P428" t="str">
        <f t="shared" si="4"/>
        <v>15201</v>
      </c>
    </row>
    <row r="429" spans="1:16" x14ac:dyDescent="0.25">
      <c r="A429" t="str">
        <f>"1030010N00240    00"</f>
        <v>1030010N00240    00</v>
      </c>
      <c r="B429" t="s">
        <v>1194</v>
      </c>
      <c r="C429" t="s">
        <v>1195</v>
      </c>
      <c r="D429" t="s">
        <v>20</v>
      </c>
      <c r="E429" t="s">
        <v>21</v>
      </c>
      <c r="F429">
        <v>0</v>
      </c>
      <c r="G429">
        <v>0</v>
      </c>
      <c r="H429">
        <v>1</v>
      </c>
      <c r="I429" s="3">
        <v>3106.78</v>
      </c>
      <c r="J429" s="3">
        <v>0</v>
      </c>
      <c r="L429">
        <v>4735</v>
      </c>
      <c r="M429" t="s">
        <v>841</v>
      </c>
      <c r="N429" t="s">
        <v>30</v>
      </c>
      <c r="O429" t="s">
        <v>31</v>
      </c>
      <c r="P429" t="str">
        <f t="shared" si="4"/>
        <v>15201</v>
      </c>
    </row>
    <row r="430" spans="1:16" x14ac:dyDescent="0.25">
      <c r="A430" t="str">
        <f>"1030010N00242    00"</f>
        <v>1030010N00242    00</v>
      </c>
      <c r="B430" t="s">
        <v>1194</v>
      </c>
      <c r="C430" t="s">
        <v>1195</v>
      </c>
      <c r="D430" t="s">
        <v>20</v>
      </c>
      <c r="E430" t="s">
        <v>21</v>
      </c>
      <c r="F430">
        <v>0</v>
      </c>
      <c r="G430">
        <v>0</v>
      </c>
      <c r="H430">
        <v>1</v>
      </c>
      <c r="I430" s="3">
        <v>1059.74</v>
      </c>
      <c r="J430" s="3">
        <v>0</v>
      </c>
      <c r="L430">
        <v>4735</v>
      </c>
      <c r="M430" t="s">
        <v>841</v>
      </c>
      <c r="N430" t="s">
        <v>30</v>
      </c>
      <c r="O430" t="s">
        <v>31</v>
      </c>
      <c r="P430" t="str">
        <f t="shared" si="4"/>
        <v>15201</v>
      </c>
    </row>
    <row r="431" spans="1:16" x14ac:dyDescent="0.25">
      <c r="A431" t="str">
        <f>"1030010N00243    00"</f>
        <v>1030010N00243    00</v>
      </c>
      <c r="B431" t="s">
        <v>1197</v>
      </c>
      <c r="C431" t="s">
        <v>1198</v>
      </c>
      <c r="D431" t="s">
        <v>20</v>
      </c>
      <c r="E431" t="s">
        <v>21</v>
      </c>
      <c r="F431">
        <v>0</v>
      </c>
      <c r="G431">
        <v>0</v>
      </c>
      <c r="H431">
        <v>2</v>
      </c>
      <c r="I431" s="3">
        <v>23535.94</v>
      </c>
      <c r="J431" s="3">
        <v>0</v>
      </c>
      <c r="L431">
        <v>4735</v>
      </c>
      <c r="M431" t="s">
        <v>841</v>
      </c>
      <c r="N431" t="s">
        <v>30</v>
      </c>
      <c r="O431" t="s">
        <v>31</v>
      </c>
      <c r="P431" t="str">
        <f t="shared" si="4"/>
        <v>15201</v>
      </c>
    </row>
    <row r="432" spans="1:16" x14ac:dyDescent="0.25">
      <c r="A432" t="str">
        <f>"1030010N00246    00"</f>
        <v>1030010N00246    00</v>
      </c>
      <c r="B432" t="s">
        <v>1199</v>
      </c>
      <c r="C432" t="s">
        <v>1200</v>
      </c>
      <c r="D432" t="s">
        <v>20</v>
      </c>
      <c r="E432" t="s">
        <v>66</v>
      </c>
      <c r="F432">
        <v>0</v>
      </c>
      <c r="G432">
        <v>0</v>
      </c>
      <c r="H432">
        <v>6</v>
      </c>
      <c r="I432" s="3">
        <v>86895.26</v>
      </c>
      <c r="J432" s="3">
        <v>18840.04</v>
      </c>
      <c r="L432">
        <v>4735</v>
      </c>
      <c r="M432" t="s">
        <v>841</v>
      </c>
      <c r="N432" t="s">
        <v>30</v>
      </c>
      <c r="O432" t="s">
        <v>31</v>
      </c>
      <c r="P432" t="str">
        <f t="shared" si="4"/>
        <v>15201</v>
      </c>
    </row>
    <row r="433" spans="1:16" x14ac:dyDescent="0.25">
      <c r="A433" t="str">
        <f>"1030011A00003    00"</f>
        <v>1030011A00003    00</v>
      </c>
      <c r="B433" t="s">
        <v>921</v>
      </c>
      <c r="C433" t="s">
        <v>1201</v>
      </c>
      <c r="D433" t="s">
        <v>20</v>
      </c>
      <c r="E433" t="s">
        <v>39</v>
      </c>
      <c r="F433">
        <v>0</v>
      </c>
      <c r="G433">
        <v>0</v>
      </c>
      <c r="H433">
        <v>1</v>
      </c>
      <c r="I433" s="3">
        <v>419.34</v>
      </c>
      <c r="J433" s="3">
        <v>0</v>
      </c>
      <c r="L433">
        <v>46</v>
      </c>
      <c r="M433" t="s">
        <v>913</v>
      </c>
      <c r="N433" t="s">
        <v>914</v>
      </c>
      <c r="O433" t="s">
        <v>200</v>
      </c>
      <c r="P433" t="str">
        <f t="shared" ref="P433:P439" si="5">"10952"</f>
        <v>10952</v>
      </c>
    </row>
    <row r="434" spans="1:16" x14ac:dyDescent="0.25">
      <c r="A434" t="str">
        <f>"1030011A00004    00"</f>
        <v>1030011A00004    00</v>
      </c>
      <c r="B434" t="s">
        <v>921</v>
      </c>
      <c r="C434" t="s">
        <v>1202</v>
      </c>
      <c r="D434" t="s">
        <v>20</v>
      </c>
      <c r="E434" t="s">
        <v>39</v>
      </c>
      <c r="F434">
        <v>0</v>
      </c>
      <c r="G434">
        <v>0</v>
      </c>
      <c r="H434">
        <v>1</v>
      </c>
      <c r="I434" s="3">
        <v>419.34</v>
      </c>
      <c r="J434" s="3">
        <v>0</v>
      </c>
      <c r="L434">
        <v>46</v>
      </c>
      <c r="M434" t="s">
        <v>913</v>
      </c>
      <c r="N434" t="s">
        <v>914</v>
      </c>
      <c r="O434" t="s">
        <v>200</v>
      </c>
      <c r="P434" t="str">
        <f t="shared" si="5"/>
        <v>10952</v>
      </c>
    </row>
    <row r="435" spans="1:16" x14ac:dyDescent="0.25">
      <c r="A435" t="str">
        <f>"1030011A00005    00"</f>
        <v>1030011A00005    00</v>
      </c>
      <c r="B435" t="s">
        <v>921</v>
      </c>
      <c r="C435" t="s">
        <v>1203</v>
      </c>
      <c r="D435" t="s">
        <v>20</v>
      </c>
      <c r="E435" t="s">
        <v>39</v>
      </c>
      <c r="F435">
        <v>0</v>
      </c>
      <c r="G435">
        <v>0</v>
      </c>
      <c r="H435">
        <v>1</v>
      </c>
      <c r="I435" s="3">
        <v>419.34</v>
      </c>
      <c r="J435" s="3">
        <v>0</v>
      </c>
      <c r="L435">
        <v>46</v>
      </c>
      <c r="M435" t="s">
        <v>913</v>
      </c>
      <c r="N435" t="s">
        <v>914</v>
      </c>
      <c r="O435" t="s">
        <v>200</v>
      </c>
      <c r="P435" t="str">
        <f t="shared" si="5"/>
        <v>10952</v>
      </c>
    </row>
    <row r="436" spans="1:16" x14ac:dyDescent="0.25">
      <c r="A436" t="str">
        <f>"1030011A00006    00"</f>
        <v>1030011A00006    00</v>
      </c>
      <c r="B436" t="s">
        <v>921</v>
      </c>
      <c r="C436" t="s">
        <v>1204</v>
      </c>
      <c r="D436" t="s">
        <v>20</v>
      </c>
      <c r="E436" t="s">
        <v>39</v>
      </c>
      <c r="F436">
        <v>0</v>
      </c>
      <c r="G436">
        <v>0</v>
      </c>
      <c r="H436">
        <v>1</v>
      </c>
      <c r="I436" s="3">
        <v>419.34</v>
      </c>
      <c r="J436" s="3">
        <v>0</v>
      </c>
      <c r="L436">
        <v>46</v>
      </c>
      <c r="M436" t="s">
        <v>913</v>
      </c>
      <c r="N436" t="s">
        <v>914</v>
      </c>
      <c r="O436" t="s">
        <v>200</v>
      </c>
      <c r="P436" t="str">
        <f t="shared" si="5"/>
        <v>10952</v>
      </c>
    </row>
    <row r="437" spans="1:16" x14ac:dyDescent="0.25">
      <c r="A437" t="str">
        <f>"1030011A00007    00"</f>
        <v>1030011A00007    00</v>
      </c>
      <c r="B437" t="s">
        <v>921</v>
      </c>
      <c r="C437" t="s">
        <v>1205</v>
      </c>
      <c r="D437" t="s">
        <v>20</v>
      </c>
      <c r="E437" t="s">
        <v>39</v>
      </c>
      <c r="F437">
        <v>0</v>
      </c>
      <c r="G437">
        <v>0</v>
      </c>
      <c r="H437">
        <v>1</v>
      </c>
      <c r="I437" s="3">
        <v>419.34</v>
      </c>
      <c r="J437" s="3">
        <v>0</v>
      </c>
      <c r="L437">
        <v>46</v>
      </c>
      <c r="M437" t="s">
        <v>913</v>
      </c>
      <c r="N437" t="s">
        <v>914</v>
      </c>
      <c r="O437" t="s">
        <v>200</v>
      </c>
      <c r="P437" t="str">
        <f t="shared" si="5"/>
        <v>10952</v>
      </c>
    </row>
    <row r="438" spans="1:16" x14ac:dyDescent="0.25">
      <c r="A438" t="str">
        <f>"1030011A00013    00"</f>
        <v>1030011A00013    00</v>
      </c>
      <c r="B438" t="s">
        <v>918</v>
      </c>
      <c r="C438" t="s">
        <v>1206</v>
      </c>
      <c r="D438" t="s">
        <v>20</v>
      </c>
      <c r="E438" t="s">
        <v>39</v>
      </c>
      <c r="F438">
        <v>0</v>
      </c>
      <c r="G438">
        <v>0</v>
      </c>
      <c r="H438">
        <v>1</v>
      </c>
      <c r="I438" s="3">
        <v>495.56</v>
      </c>
      <c r="J438" s="3">
        <v>0</v>
      </c>
      <c r="K438" t="s">
        <v>920</v>
      </c>
      <c r="L438">
        <v>46</v>
      </c>
      <c r="M438" t="s">
        <v>913</v>
      </c>
      <c r="N438" t="s">
        <v>914</v>
      </c>
      <c r="O438" t="s">
        <v>200</v>
      </c>
      <c r="P438" t="str">
        <f t="shared" si="5"/>
        <v>10952</v>
      </c>
    </row>
    <row r="439" spans="1:16" x14ac:dyDescent="0.25">
      <c r="A439" t="str">
        <f>"1030011A00016    00"</f>
        <v>1030011A00016    00</v>
      </c>
      <c r="B439" t="s">
        <v>921</v>
      </c>
      <c r="C439" t="s">
        <v>1207</v>
      </c>
      <c r="D439" t="s">
        <v>20</v>
      </c>
      <c r="E439" t="s">
        <v>39</v>
      </c>
      <c r="F439">
        <v>0</v>
      </c>
      <c r="G439">
        <v>0</v>
      </c>
      <c r="H439">
        <v>1</v>
      </c>
      <c r="I439" s="3">
        <v>838.64</v>
      </c>
      <c r="J439" s="3">
        <v>0</v>
      </c>
      <c r="L439">
        <v>46</v>
      </c>
      <c r="M439" t="s">
        <v>913</v>
      </c>
      <c r="N439" t="s">
        <v>914</v>
      </c>
      <c r="O439" t="s">
        <v>200</v>
      </c>
      <c r="P439" t="str">
        <f t="shared" si="5"/>
        <v>10952</v>
      </c>
    </row>
    <row r="440" spans="1:16" x14ac:dyDescent="0.25">
      <c r="A440" t="str">
        <f>"1030011A00022    00"</f>
        <v>1030011A00022    00</v>
      </c>
      <c r="B440" t="s">
        <v>1208</v>
      </c>
      <c r="C440" t="s">
        <v>1115</v>
      </c>
      <c r="D440" t="s">
        <v>20</v>
      </c>
      <c r="E440" t="s">
        <v>39</v>
      </c>
      <c r="F440">
        <v>0</v>
      </c>
      <c r="G440">
        <v>0</v>
      </c>
      <c r="H440">
        <v>1</v>
      </c>
      <c r="I440" s="3">
        <v>36.85</v>
      </c>
      <c r="J440" s="3">
        <v>0</v>
      </c>
      <c r="L440">
        <v>1334</v>
      </c>
      <c r="M440" t="s">
        <v>1209</v>
      </c>
      <c r="N440" t="s">
        <v>1210</v>
      </c>
      <c r="O440" t="s">
        <v>495</v>
      </c>
      <c r="P440" t="str">
        <f>"94110"</f>
        <v>94110</v>
      </c>
    </row>
    <row r="441" spans="1:16" x14ac:dyDescent="0.25">
      <c r="A441" t="str">
        <f>"1030011A00023    00"</f>
        <v>1030011A00023    00</v>
      </c>
      <c r="B441" t="s">
        <v>1208</v>
      </c>
      <c r="C441" t="s">
        <v>1115</v>
      </c>
      <c r="D441" t="s">
        <v>20</v>
      </c>
      <c r="E441" t="s">
        <v>39</v>
      </c>
      <c r="F441">
        <v>0</v>
      </c>
      <c r="G441">
        <v>0</v>
      </c>
      <c r="H441">
        <v>1</v>
      </c>
      <c r="I441" s="3">
        <v>36.85</v>
      </c>
      <c r="J441" s="3">
        <v>0</v>
      </c>
      <c r="L441">
        <v>16105</v>
      </c>
      <c r="M441" t="s">
        <v>1211</v>
      </c>
      <c r="N441" t="s">
        <v>1212</v>
      </c>
      <c r="O441" t="s">
        <v>495</v>
      </c>
      <c r="P441" t="str">
        <f>"95465"</f>
        <v>95465</v>
      </c>
    </row>
    <row r="442" spans="1:16" x14ac:dyDescent="0.25">
      <c r="A442" t="str">
        <f>"1030011A00025    00"</f>
        <v>1030011A00025    00</v>
      </c>
      <c r="B442" t="s">
        <v>1213</v>
      </c>
      <c r="C442" t="s">
        <v>1115</v>
      </c>
      <c r="D442" t="s">
        <v>20</v>
      </c>
      <c r="E442" t="s">
        <v>39</v>
      </c>
      <c r="F442">
        <v>0</v>
      </c>
      <c r="G442">
        <v>0</v>
      </c>
      <c r="H442">
        <v>1</v>
      </c>
      <c r="I442" s="3">
        <v>152.47999999999999</v>
      </c>
      <c r="J442" s="3">
        <v>0</v>
      </c>
      <c r="L442">
        <v>311</v>
      </c>
      <c r="M442" t="s">
        <v>846</v>
      </c>
      <c r="N442" t="s">
        <v>30</v>
      </c>
      <c r="O442" t="s">
        <v>31</v>
      </c>
      <c r="P442" t="str">
        <f>"15219"</f>
        <v>15219</v>
      </c>
    </row>
    <row r="443" spans="1:16" x14ac:dyDescent="0.25">
      <c r="A443" t="str">
        <f>"1030011A00039    00"</f>
        <v>1030011A00039    00</v>
      </c>
      <c r="B443" t="s">
        <v>910</v>
      </c>
      <c r="C443" t="s">
        <v>1214</v>
      </c>
      <c r="D443" t="s">
        <v>20</v>
      </c>
      <c r="E443" t="s">
        <v>39</v>
      </c>
      <c r="F443">
        <v>0</v>
      </c>
      <c r="G443">
        <v>0</v>
      </c>
      <c r="H443">
        <v>2</v>
      </c>
      <c r="I443" s="3">
        <v>384.4</v>
      </c>
      <c r="J443" s="3">
        <v>0</v>
      </c>
      <c r="K443" t="s">
        <v>1215</v>
      </c>
      <c r="L443">
        <v>46</v>
      </c>
      <c r="M443" t="s">
        <v>913</v>
      </c>
      <c r="N443" t="s">
        <v>914</v>
      </c>
      <c r="O443" t="s">
        <v>200</v>
      </c>
      <c r="P443" t="str">
        <f>"10952"</f>
        <v>10952</v>
      </c>
    </row>
    <row r="444" spans="1:16" x14ac:dyDescent="0.25">
      <c r="A444" t="str">
        <f>"1030011A00059    00"</f>
        <v>1030011A00059    00</v>
      </c>
      <c r="B444" t="s">
        <v>1216</v>
      </c>
      <c r="C444" t="s">
        <v>1217</v>
      </c>
      <c r="D444" t="s">
        <v>20</v>
      </c>
      <c r="E444" t="s">
        <v>39</v>
      </c>
      <c r="F444">
        <v>0</v>
      </c>
      <c r="G444">
        <v>0</v>
      </c>
      <c r="H444">
        <v>3</v>
      </c>
      <c r="I444" s="3">
        <v>30.16</v>
      </c>
      <c r="J444" s="3">
        <v>4.4400000000000004</v>
      </c>
      <c r="L444">
        <v>1801</v>
      </c>
      <c r="M444" t="s">
        <v>1117</v>
      </c>
      <c r="N444" t="s">
        <v>30</v>
      </c>
      <c r="O444" t="s">
        <v>31</v>
      </c>
      <c r="P444" t="str">
        <f>"15219"</f>
        <v>15219</v>
      </c>
    </row>
    <row r="445" spans="1:16" x14ac:dyDescent="0.25">
      <c r="A445" t="str">
        <f>"1030011A00110    00"</f>
        <v>1030011A00110    00</v>
      </c>
      <c r="B445" t="s">
        <v>1218</v>
      </c>
      <c r="C445" t="s">
        <v>1219</v>
      </c>
      <c r="D445" t="s">
        <v>20</v>
      </c>
      <c r="E445" t="s">
        <v>21</v>
      </c>
      <c r="F445">
        <v>0</v>
      </c>
      <c r="G445">
        <v>0</v>
      </c>
      <c r="H445">
        <v>1</v>
      </c>
      <c r="I445" s="3">
        <v>29072.86</v>
      </c>
      <c r="J445" s="3">
        <v>0</v>
      </c>
      <c r="L445">
        <v>1</v>
      </c>
      <c r="M445" t="s">
        <v>1220</v>
      </c>
      <c r="N445" t="s">
        <v>666</v>
      </c>
      <c r="O445" t="s">
        <v>31</v>
      </c>
      <c r="P445" t="str">
        <f>"16001"</f>
        <v>16001</v>
      </c>
    </row>
    <row r="446" spans="1:16" x14ac:dyDescent="0.25">
      <c r="A446" t="str">
        <f>"1030011A00123    00"</f>
        <v>1030011A00123    00</v>
      </c>
      <c r="B446" t="s">
        <v>1221</v>
      </c>
      <c r="C446" t="s">
        <v>1222</v>
      </c>
      <c r="D446" t="s">
        <v>20</v>
      </c>
      <c r="E446" t="s">
        <v>21</v>
      </c>
      <c r="F446">
        <v>0</v>
      </c>
      <c r="G446">
        <v>0</v>
      </c>
      <c r="H446">
        <v>1</v>
      </c>
      <c r="I446" s="3">
        <v>40026</v>
      </c>
      <c r="J446" s="3">
        <v>0</v>
      </c>
      <c r="L446">
        <v>2923</v>
      </c>
      <c r="M446" t="s">
        <v>585</v>
      </c>
      <c r="N446" t="s">
        <v>30</v>
      </c>
      <c r="O446" t="s">
        <v>31</v>
      </c>
      <c r="P446" t="str">
        <f>"15201"</f>
        <v>15201</v>
      </c>
    </row>
    <row r="447" spans="1:16" x14ac:dyDescent="0.25">
      <c r="A447" t="str">
        <f>"1030011A00171    00"</f>
        <v>1030011A00171    00</v>
      </c>
      <c r="B447" t="s">
        <v>1223</v>
      </c>
      <c r="C447" t="s">
        <v>1224</v>
      </c>
      <c r="D447" t="s">
        <v>20</v>
      </c>
      <c r="E447" t="s">
        <v>39</v>
      </c>
      <c r="F447">
        <v>0</v>
      </c>
      <c r="G447">
        <v>0</v>
      </c>
      <c r="H447">
        <v>2</v>
      </c>
      <c r="I447" s="3">
        <v>3049.64</v>
      </c>
      <c r="J447" s="3">
        <v>304.95</v>
      </c>
      <c r="K447" t="s">
        <v>1225</v>
      </c>
      <c r="L447">
        <v>201</v>
      </c>
      <c r="M447" t="s">
        <v>1226</v>
      </c>
      <c r="N447" t="s">
        <v>272</v>
      </c>
      <c r="O447" t="s">
        <v>273</v>
      </c>
      <c r="P447" t="str">
        <f>"29601"</f>
        <v>29601</v>
      </c>
    </row>
    <row r="448" spans="1:16" x14ac:dyDescent="0.25">
      <c r="A448" t="str">
        <f>"1030011A00174    00"</f>
        <v>1030011A00174    00</v>
      </c>
      <c r="B448" t="s">
        <v>1227</v>
      </c>
      <c r="C448" t="s">
        <v>1228</v>
      </c>
      <c r="D448" t="s">
        <v>20</v>
      </c>
      <c r="E448" t="s">
        <v>39</v>
      </c>
      <c r="F448">
        <v>0</v>
      </c>
      <c r="G448">
        <v>0</v>
      </c>
      <c r="H448">
        <v>1</v>
      </c>
      <c r="I448" s="3">
        <v>1225.25</v>
      </c>
      <c r="J448" s="3">
        <v>479.87</v>
      </c>
      <c r="L448">
        <v>130</v>
      </c>
      <c r="M448" t="s">
        <v>1229</v>
      </c>
      <c r="N448" t="s">
        <v>30</v>
      </c>
      <c r="O448" t="s">
        <v>31</v>
      </c>
      <c r="P448" t="str">
        <f>"15222"</f>
        <v>15222</v>
      </c>
    </row>
    <row r="449" spans="1:16" x14ac:dyDescent="0.25">
      <c r="A449" t="str">
        <f>"1030011A00188    00"</f>
        <v>1030011A00188    00</v>
      </c>
      <c r="B449" t="s">
        <v>1230</v>
      </c>
      <c r="C449" t="s">
        <v>1231</v>
      </c>
      <c r="D449" t="s">
        <v>20</v>
      </c>
      <c r="E449" t="s">
        <v>39</v>
      </c>
      <c r="F449">
        <v>0</v>
      </c>
      <c r="G449">
        <v>0</v>
      </c>
      <c r="H449">
        <v>1</v>
      </c>
      <c r="I449" s="3">
        <v>657.91</v>
      </c>
      <c r="J449" s="3">
        <v>0</v>
      </c>
      <c r="L449">
        <v>271</v>
      </c>
      <c r="M449" t="s">
        <v>1232</v>
      </c>
      <c r="N449" t="s">
        <v>30</v>
      </c>
      <c r="O449" t="s">
        <v>31</v>
      </c>
      <c r="P449" t="str">
        <f>"15219"</f>
        <v>15219</v>
      </c>
    </row>
    <row r="450" spans="1:16" x14ac:dyDescent="0.25">
      <c r="A450" t="str">
        <f>"1030011A00189    00"</f>
        <v>1030011A00189    00</v>
      </c>
      <c r="B450" t="s">
        <v>1230</v>
      </c>
      <c r="C450" t="s">
        <v>1233</v>
      </c>
      <c r="D450" t="s">
        <v>20</v>
      </c>
      <c r="E450" t="s">
        <v>39</v>
      </c>
      <c r="F450">
        <v>0</v>
      </c>
      <c r="G450">
        <v>0</v>
      </c>
      <c r="H450">
        <v>9</v>
      </c>
      <c r="I450" s="3">
        <v>1338.84</v>
      </c>
      <c r="J450" s="3">
        <v>724.08</v>
      </c>
      <c r="L450">
        <v>271</v>
      </c>
      <c r="M450" t="s">
        <v>1232</v>
      </c>
      <c r="N450" t="s">
        <v>30</v>
      </c>
      <c r="O450" t="s">
        <v>31</v>
      </c>
      <c r="P450" t="str">
        <f>"15219"</f>
        <v>15219</v>
      </c>
    </row>
    <row r="451" spans="1:16" x14ac:dyDescent="0.25">
      <c r="A451" t="str">
        <f>"1030011A00190A   00"</f>
        <v>1030011A00190A   00</v>
      </c>
      <c r="B451" t="s">
        <v>1234</v>
      </c>
      <c r="C451" t="s">
        <v>1235</v>
      </c>
      <c r="D451" t="s">
        <v>20</v>
      </c>
      <c r="E451" t="s">
        <v>39</v>
      </c>
      <c r="F451">
        <v>0</v>
      </c>
      <c r="G451">
        <v>0</v>
      </c>
      <c r="H451">
        <v>4</v>
      </c>
      <c r="I451" s="3">
        <v>2159.71</v>
      </c>
      <c r="J451" s="3">
        <v>957.55</v>
      </c>
      <c r="L451">
        <v>267</v>
      </c>
      <c r="M451" t="s">
        <v>1232</v>
      </c>
      <c r="N451" t="s">
        <v>30</v>
      </c>
      <c r="O451" t="s">
        <v>31</v>
      </c>
      <c r="P451" t="str">
        <f>"15219"</f>
        <v>15219</v>
      </c>
    </row>
    <row r="452" spans="1:16" x14ac:dyDescent="0.25">
      <c r="A452" t="str">
        <f>"1030011A00199    00"</f>
        <v>1030011A00199    00</v>
      </c>
      <c r="B452" t="s">
        <v>921</v>
      </c>
      <c r="C452" t="s">
        <v>1236</v>
      </c>
      <c r="D452" t="s">
        <v>20</v>
      </c>
      <c r="E452" t="s">
        <v>39</v>
      </c>
      <c r="F452">
        <v>0</v>
      </c>
      <c r="G452">
        <v>0</v>
      </c>
      <c r="H452">
        <v>1</v>
      </c>
      <c r="I452" s="3">
        <v>628.98</v>
      </c>
      <c r="J452" s="3">
        <v>0</v>
      </c>
      <c r="L452">
        <v>46</v>
      </c>
      <c r="M452" t="s">
        <v>913</v>
      </c>
      <c r="N452" t="s">
        <v>914</v>
      </c>
      <c r="O452" t="s">
        <v>200</v>
      </c>
      <c r="P452" t="str">
        <f>"10952"</f>
        <v>10952</v>
      </c>
    </row>
    <row r="453" spans="1:16" x14ac:dyDescent="0.25">
      <c r="A453" t="str">
        <f>"1030011A00201    00"</f>
        <v>1030011A00201    00</v>
      </c>
      <c r="B453" t="s">
        <v>218</v>
      </c>
      <c r="C453" t="s">
        <v>1237</v>
      </c>
      <c r="E453" t="s">
        <v>39</v>
      </c>
      <c r="F453">
        <v>0</v>
      </c>
      <c r="G453">
        <v>0</v>
      </c>
      <c r="H453">
        <v>1</v>
      </c>
      <c r="I453" s="3">
        <v>47.66</v>
      </c>
      <c r="J453" s="3">
        <v>47.26</v>
      </c>
      <c r="K453" t="s">
        <v>220</v>
      </c>
      <c r="L453">
        <v>412</v>
      </c>
      <c r="M453" t="s">
        <v>221</v>
      </c>
      <c r="N453" t="s">
        <v>30</v>
      </c>
      <c r="O453" t="s">
        <v>31</v>
      </c>
      <c r="P453" t="str">
        <f>"15219"</f>
        <v>15219</v>
      </c>
    </row>
    <row r="454" spans="1:16" x14ac:dyDescent="0.25">
      <c r="A454" t="str">
        <f>"1030011A00232    00"</f>
        <v>1030011A00232    00</v>
      </c>
      <c r="B454" t="s">
        <v>1238</v>
      </c>
      <c r="C454" t="s">
        <v>1239</v>
      </c>
      <c r="D454" t="s">
        <v>20</v>
      </c>
      <c r="E454" t="s">
        <v>39</v>
      </c>
      <c r="F454">
        <v>0</v>
      </c>
      <c r="G454">
        <v>0</v>
      </c>
      <c r="H454">
        <v>1</v>
      </c>
      <c r="I454" s="3">
        <v>467.45</v>
      </c>
      <c r="J454" s="3">
        <v>0</v>
      </c>
      <c r="L454">
        <v>276</v>
      </c>
      <c r="M454" t="s">
        <v>1240</v>
      </c>
      <c r="N454" t="s">
        <v>30</v>
      </c>
      <c r="O454" t="s">
        <v>31</v>
      </c>
      <c r="P454" t="str">
        <f>"15219"</f>
        <v>15219</v>
      </c>
    </row>
    <row r="455" spans="1:16" x14ac:dyDescent="0.25">
      <c r="A455" t="str">
        <f>"1030011A00234    00"</f>
        <v>1030011A00234    00</v>
      </c>
      <c r="B455" t="s">
        <v>1241</v>
      </c>
      <c r="C455" t="s">
        <v>1242</v>
      </c>
      <c r="D455" t="s">
        <v>20</v>
      </c>
      <c r="E455" t="s">
        <v>39</v>
      </c>
      <c r="F455">
        <v>0</v>
      </c>
      <c r="G455">
        <v>0</v>
      </c>
      <c r="H455">
        <v>19</v>
      </c>
      <c r="I455" s="3">
        <v>11872.6</v>
      </c>
      <c r="J455" s="3">
        <v>10390.52</v>
      </c>
      <c r="L455">
        <v>280</v>
      </c>
      <c r="M455" t="s">
        <v>1240</v>
      </c>
      <c r="N455" t="s">
        <v>30</v>
      </c>
      <c r="O455" t="s">
        <v>31</v>
      </c>
      <c r="P455" t="str">
        <f>"15219"</f>
        <v>15219</v>
      </c>
    </row>
    <row r="456" spans="1:16" x14ac:dyDescent="0.25">
      <c r="A456" t="str">
        <f>"1030011A00235    00"</f>
        <v>1030011A00235    00</v>
      </c>
      <c r="B456" t="s">
        <v>1243</v>
      </c>
      <c r="C456" t="s">
        <v>1242</v>
      </c>
      <c r="D456" t="s">
        <v>20</v>
      </c>
      <c r="E456" t="s">
        <v>39</v>
      </c>
      <c r="F456">
        <v>0</v>
      </c>
      <c r="G456">
        <v>0</v>
      </c>
      <c r="H456">
        <v>19</v>
      </c>
      <c r="I456" s="3">
        <v>19729.46</v>
      </c>
      <c r="J456" s="3">
        <v>22090.12</v>
      </c>
      <c r="L456">
        <v>282</v>
      </c>
      <c r="M456" t="s">
        <v>1240</v>
      </c>
      <c r="N456" t="s">
        <v>30</v>
      </c>
      <c r="O456" t="s">
        <v>31</v>
      </c>
      <c r="P456" t="str">
        <f>"15219"</f>
        <v>15219</v>
      </c>
    </row>
    <row r="457" spans="1:16" x14ac:dyDescent="0.25">
      <c r="A457" t="str">
        <f>"1030011A00246    00"</f>
        <v>1030011A00246    00</v>
      </c>
      <c r="B457" t="s">
        <v>1244</v>
      </c>
      <c r="C457" t="s">
        <v>1245</v>
      </c>
      <c r="E457" t="s">
        <v>39</v>
      </c>
      <c r="F457">
        <v>0</v>
      </c>
      <c r="G457">
        <v>0</v>
      </c>
      <c r="H457">
        <v>3</v>
      </c>
      <c r="I457" s="3">
        <v>2407.35</v>
      </c>
      <c r="J457" s="3">
        <v>2377.2399999999998</v>
      </c>
      <c r="K457" t="s">
        <v>1246</v>
      </c>
      <c r="L457">
        <v>130</v>
      </c>
      <c r="M457" t="s">
        <v>1247</v>
      </c>
      <c r="N457" t="s">
        <v>30</v>
      </c>
      <c r="O457" t="s">
        <v>31</v>
      </c>
      <c r="P457" t="str">
        <f>"15222"</f>
        <v>15222</v>
      </c>
    </row>
    <row r="458" spans="1:16" x14ac:dyDescent="0.25">
      <c r="A458" t="str">
        <f>"1030011A00248    00"</f>
        <v>1030011A00248    00</v>
      </c>
      <c r="B458" t="s">
        <v>1244</v>
      </c>
      <c r="C458" t="s">
        <v>1248</v>
      </c>
      <c r="E458" t="s">
        <v>39</v>
      </c>
      <c r="F458">
        <v>0</v>
      </c>
      <c r="G458">
        <v>0</v>
      </c>
      <c r="H458">
        <v>3</v>
      </c>
      <c r="I458" s="3">
        <v>958.68</v>
      </c>
      <c r="J458" s="3">
        <v>946.68</v>
      </c>
      <c r="K458" t="s">
        <v>1246</v>
      </c>
      <c r="L458">
        <v>130</v>
      </c>
      <c r="M458" t="s">
        <v>1247</v>
      </c>
      <c r="N458" t="s">
        <v>30</v>
      </c>
      <c r="O458" t="s">
        <v>31</v>
      </c>
      <c r="P458" t="str">
        <f>"15222"</f>
        <v>15222</v>
      </c>
    </row>
    <row r="459" spans="1:16" x14ac:dyDescent="0.25">
      <c r="A459" t="str">
        <f>"1030011A00250    00"</f>
        <v>1030011A00250    00</v>
      </c>
      <c r="B459" t="s">
        <v>1249</v>
      </c>
      <c r="C459" t="s">
        <v>1250</v>
      </c>
      <c r="E459" t="s">
        <v>39</v>
      </c>
      <c r="F459">
        <v>0</v>
      </c>
      <c r="G459">
        <v>0</v>
      </c>
      <c r="H459">
        <v>3</v>
      </c>
      <c r="I459" s="3">
        <v>479.34</v>
      </c>
      <c r="J459" s="3">
        <v>473.34</v>
      </c>
      <c r="K459" t="s">
        <v>1251</v>
      </c>
      <c r="L459">
        <v>130</v>
      </c>
      <c r="M459" t="s">
        <v>1247</v>
      </c>
      <c r="N459" t="s">
        <v>30</v>
      </c>
      <c r="O459" t="s">
        <v>31</v>
      </c>
      <c r="P459" t="str">
        <f>"15222"</f>
        <v>15222</v>
      </c>
    </row>
    <row r="460" spans="1:16" x14ac:dyDescent="0.25">
      <c r="A460" t="str">
        <f>"1030011A00251    00"</f>
        <v>1030011A00251    00</v>
      </c>
      <c r="B460" t="s">
        <v>1244</v>
      </c>
      <c r="C460" t="s">
        <v>1252</v>
      </c>
      <c r="E460" t="s">
        <v>39</v>
      </c>
      <c r="F460">
        <v>0</v>
      </c>
      <c r="G460">
        <v>0</v>
      </c>
      <c r="H460">
        <v>3</v>
      </c>
      <c r="I460" s="3">
        <v>335.56</v>
      </c>
      <c r="J460" s="3">
        <v>331.36</v>
      </c>
      <c r="K460" t="s">
        <v>1246</v>
      </c>
      <c r="L460">
        <v>130</v>
      </c>
      <c r="M460" t="s">
        <v>1247</v>
      </c>
      <c r="N460" t="s">
        <v>30</v>
      </c>
      <c r="O460" t="s">
        <v>31</v>
      </c>
      <c r="P460" t="str">
        <f>"15222"</f>
        <v>15222</v>
      </c>
    </row>
    <row r="461" spans="1:16" x14ac:dyDescent="0.25">
      <c r="A461" t="str">
        <f>"1030011A00252    00"</f>
        <v>1030011A00252    00</v>
      </c>
      <c r="B461" t="s">
        <v>1253</v>
      </c>
      <c r="C461" t="s">
        <v>1254</v>
      </c>
      <c r="E461" t="s">
        <v>39</v>
      </c>
      <c r="F461">
        <v>0</v>
      </c>
      <c r="G461">
        <v>0</v>
      </c>
      <c r="H461">
        <v>3</v>
      </c>
      <c r="I461" s="3">
        <v>335.56</v>
      </c>
      <c r="J461" s="3">
        <v>331.36</v>
      </c>
      <c r="K461" t="s">
        <v>1246</v>
      </c>
      <c r="L461">
        <v>130</v>
      </c>
      <c r="M461" t="s">
        <v>1247</v>
      </c>
      <c r="N461" t="s">
        <v>30</v>
      </c>
      <c r="O461" t="s">
        <v>31</v>
      </c>
      <c r="P461" t="str">
        <f>"15222"</f>
        <v>15222</v>
      </c>
    </row>
    <row r="462" spans="1:16" x14ac:dyDescent="0.25">
      <c r="A462" t="str">
        <f>"1030011E00019    00"</f>
        <v>1030011E00019    00</v>
      </c>
      <c r="B462" t="s">
        <v>218</v>
      </c>
      <c r="C462" t="s">
        <v>1255</v>
      </c>
      <c r="E462" t="s">
        <v>207</v>
      </c>
      <c r="F462">
        <v>0</v>
      </c>
      <c r="G462">
        <v>0</v>
      </c>
      <c r="H462">
        <v>4</v>
      </c>
      <c r="I462" s="3">
        <v>2690.08</v>
      </c>
      <c r="J462" s="3">
        <v>2745.36</v>
      </c>
      <c r="K462" t="s">
        <v>220</v>
      </c>
      <c r="L462">
        <v>412</v>
      </c>
      <c r="M462" t="s">
        <v>221</v>
      </c>
      <c r="N462" t="s">
        <v>30</v>
      </c>
      <c r="O462" t="s">
        <v>31</v>
      </c>
      <c r="P462" t="str">
        <f t="shared" ref="P462:P473" si="6">"15219"</f>
        <v>15219</v>
      </c>
    </row>
    <row r="463" spans="1:16" x14ac:dyDescent="0.25">
      <c r="A463" t="str">
        <f>"1030011E00020    00"</f>
        <v>1030011E00020    00</v>
      </c>
      <c r="B463" t="s">
        <v>218</v>
      </c>
      <c r="C463" t="s">
        <v>1256</v>
      </c>
      <c r="E463" t="s">
        <v>21</v>
      </c>
      <c r="F463">
        <v>0</v>
      </c>
      <c r="G463">
        <v>0</v>
      </c>
      <c r="H463">
        <v>4</v>
      </c>
      <c r="I463" s="3">
        <v>2348.39</v>
      </c>
      <c r="J463" s="3">
        <v>2333.5300000000002</v>
      </c>
      <c r="K463" t="s">
        <v>220</v>
      </c>
      <c r="L463">
        <v>412</v>
      </c>
      <c r="M463" t="s">
        <v>221</v>
      </c>
      <c r="N463" t="s">
        <v>30</v>
      </c>
      <c r="O463" t="s">
        <v>31</v>
      </c>
      <c r="P463" t="str">
        <f t="shared" si="6"/>
        <v>15219</v>
      </c>
    </row>
    <row r="464" spans="1:16" x14ac:dyDescent="0.25">
      <c r="A464" t="str">
        <f>"1030011E00022    00"</f>
        <v>1030011E00022    00</v>
      </c>
      <c r="B464" t="s">
        <v>218</v>
      </c>
      <c r="C464" t="s">
        <v>1257</v>
      </c>
      <c r="E464" t="s">
        <v>21</v>
      </c>
      <c r="F464">
        <v>0</v>
      </c>
      <c r="G464">
        <v>0</v>
      </c>
      <c r="H464">
        <v>4</v>
      </c>
      <c r="I464" s="3">
        <v>4830.09</v>
      </c>
      <c r="J464" s="3">
        <v>4831.46</v>
      </c>
      <c r="K464" t="s">
        <v>220</v>
      </c>
      <c r="L464">
        <v>412</v>
      </c>
      <c r="M464" t="s">
        <v>221</v>
      </c>
      <c r="N464" t="s">
        <v>30</v>
      </c>
      <c r="O464" t="s">
        <v>31</v>
      </c>
      <c r="P464" t="str">
        <f t="shared" si="6"/>
        <v>15219</v>
      </c>
    </row>
    <row r="465" spans="1:16" x14ac:dyDescent="0.25">
      <c r="A465" t="str">
        <f>"1030011E00024    00"</f>
        <v>1030011E00024    00</v>
      </c>
      <c r="B465" t="s">
        <v>218</v>
      </c>
      <c r="C465" t="s">
        <v>1258</v>
      </c>
      <c r="E465" t="s">
        <v>21</v>
      </c>
      <c r="F465">
        <v>0</v>
      </c>
      <c r="G465">
        <v>0</v>
      </c>
      <c r="H465">
        <v>4</v>
      </c>
      <c r="I465" s="3">
        <v>1557.72</v>
      </c>
      <c r="J465" s="3">
        <v>1554.37</v>
      </c>
      <c r="K465" t="s">
        <v>1259</v>
      </c>
      <c r="L465">
        <v>200</v>
      </c>
      <c r="M465" t="s">
        <v>946</v>
      </c>
      <c r="N465" t="s">
        <v>30</v>
      </c>
      <c r="O465" t="s">
        <v>31</v>
      </c>
      <c r="P465" t="str">
        <f t="shared" si="6"/>
        <v>15219</v>
      </c>
    </row>
    <row r="466" spans="1:16" x14ac:dyDescent="0.25">
      <c r="A466" t="str">
        <f>"1030011E00026    00"</f>
        <v>1030011E00026    00</v>
      </c>
      <c r="B466" t="s">
        <v>218</v>
      </c>
      <c r="C466" t="s">
        <v>287</v>
      </c>
      <c r="E466" t="s">
        <v>21</v>
      </c>
      <c r="F466">
        <v>0</v>
      </c>
      <c r="G466">
        <v>0</v>
      </c>
      <c r="H466">
        <v>4</v>
      </c>
      <c r="I466" s="3">
        <v>1677.3</v>
      </c>
      <c r="J466" s="3">
        <v>1670.83</v>
      </c>
      <c r="K466" t="s">
        <v>220</v>
      </c>
      <c r="L466">
        <v>412</v>
      </c>
      <c r="M466" t="s">
        <v>221</v>
      </c>
      <c r="N466" t="s">
        <v>30</v>
      </c>
      <c r="O466" t="s">
        <v>31</v>
      </c>
      <c r="P466" t="str">
        <f t="shared" si="6"/>
        <v>15219</v>
      </c>
    </row>
    <row r="467" spans="1:16" x14ac:dyDescent="0.25">
      <c r="A467" t="str">
        <f>"1030011E00027    00"</f>
        <v>1030011E00027    00</v>
      </c>
      <c r="B467" t="s">
        <v>218</v>
      </c>
      <c r="C467" t="s">
        <v>287</v>
      </c>
      <c r="E467" t="s">
        <v>21</v>
      </c>
      <c r="F467">
        <v>0</v>
      </c>
      <c r="G467">
        <v>0</v>
      </c>
      <c r="H467">
        <v>4</v>
      </c>
      <c r="I467" s="3">
        <v>1586.74</v>
      </c>
      <c r="J467" s="3">
        <v>1581.41</v>
      </c>
      <c r="K467" t="s">
        <v>220</v>
      </c>
      <c r="L467">
        <v>412</v>
      </c>
      <c r="M467" t="s">
        <v>221</v>
      </c>
      <c r="N467" t="s">
        <v>30</v>
      </c>
      <c r="O467" t="s">
        <v>31</v>
      </c>
      <c r="P467" t="str">
        <f t="shared" si="6"/>
        <v>15219</v>
      </c>
    </row>
    <row r="468" spans="1:16" x14ac:dyDescent="0.25">
      <c r="A468" t="str">
        <f>"1030011E00028    00"</f>
        <v>1030011E00028    00</v>
      </c>
      <c r="B468" t="s">
        <v>218</v>
      </c>
      <c r="C468" t="s">
        <v>287</v>
      </c>
      <c r="E468" t="s">
        <v>21</v>
      </c>
      <c r="F468">
        <v>0</v>
      </c>
      <c r="G468">
        <v>0</v>
      </c>
      <c r="H468">
        <v>4</v>
      </c>
      <c r="I468" s="3">
        <v>1884.63</v>
      </c>
      <c r="J468" s="3">
        <v>1876.53</v>
      </c>
      <c r="K468" t="s">
        <v>220</v>
      </c>
      <c r="L468">
        <v>412</v>
      </c>
      <c r="M468" t="s">
        <v>221</v>
      </c>
      <c r="N468" t="s">
        <v>30</v>
      </c>
      <c r="O468" t="s">
        <v>31</v>
      </c>
      <c r="P468" t="str">
        <f t="shared" si="6"/>
        <v>15219</v>
      </c>
    </row>
    <row r="469" spans="1:16" x14ac:dyDescent="0.25">
      <c r="A469" t="str">
        <f>"1030011E00029    00"</f>
        <v>1030011E00029    00</v>
      </c>
      <c r="B469" t="s">
        <v>218</v>
      </c>
      <c r="C469" t="s">
        <v>1260</v>
      </c>
      <c r="E469" t="s">
        <v>21</v>
      </c>
      <c r="F469">
        <v>0</v>
      </c>
      <c r="G469">
        <v>0</v>
      </c>
      <c r="H469">
        <v>4</v>
      </c>
      <c r="I469" s="3">
        <v>2373.11</v>
      </c>
      <c r="J469" s="3">
        <v>2362.79</v>
      </c>
      <c r="K469" t="s">
        <v>220</v>
      </c>
      <c r="L469">
        <v>412</v>
      </c>
      <c r="M469" t="s">
        <v>221</v>
      </c>
      <c r="N469" t="s">
        <v>30</v>
      </c>
      <c r="O469" t="s">
        <v>31</v>
      </c>
      <c r="P469" t="str">
        <f t="shared" si="6"/>
        <v>15219</v>
      </c>
    </row>
    <row r="470" spans="1:16" x14ac:dyDescent="0.25">
      <c r="A470" t="str">
        <f>"1030011E00030    00"</f>
        <v>1030011E00030    00</v>
      </c>
      <c r="B470" t="s">
        <v>218</v>
      </c>
      <c r="C470" t="s">
        <v>287</v>
      </c>
      <c r="E470" t="s">
        <v>21</v>
      </c>
      <c r="F470">
        <v>0</v>
      </c>
      <c r="G470">
        <v>0</v>
      </c>
      <c r="H470">
        <v>4</v>
      </c>
      <c r="I470" s="3">
        <v>2373.11</v>
      </c>
      <c r="J470" s="3">
        <v>2362.79</v>
      </c>
      <c r="K470" t="s">
        <v>220</v>
      </c>
      <c r="L470">
        <v>412</v>
      </c>
      <c r="M470" t="s">
        <v>221</v>
      </c>
      <c r="N470" t="s">
        <v>30</v>
      </c>
      <c r="O470" t="s">
        <v>31</v>
      </c>
      <c r="P470" t="str">
        <f t="shared" si="6"/>
        <v>15219</v>
      </c>
    </row>
    <row r="471" spans="1:16" x14ac:dyDescent="0.25">
      <c r="A471" t="str">
        <f>"1030011E00031    00"</f>
        <v>1030011E00031    00</v>
      </c>
      <c r="B471" t="s">
        <v>218</v>
      </c>
      <c r="C471" t="s">
        <v>1261</v>
      </c>
      <c r="E471" t="s">
        <v>21</v>
      </c>
      <c r="F471">
        <v>0</v>
      </c>
      <c r="G471">
        <v>0</v>
      </c>
      <c r="H471">
        <v>4</v>
      </c>
      <c r="I471" s="3">
        <v>3018.77</v>
      </c>
      <c r="J471" s="3">
        <v>3081.65</v>
      </c>
      <c r="K471" t="s">
        <v>220</v>
      </c>
      <c r="L471">
        <v>412</v>
      </c>
      <c r="M471" t="s">
        <v>221</v>
      </c>
      <c r="N471" t="s">
        <v>30</v>
      </c>
      <c r="O471" t="s">
        <v>31</v>
      </c>
      <c r="P471" t="str">
        <f t="shared" si="6"/>
        <v>15219</v>
      </c>
    </row>
    <row r="472" spans="1:16" x14ac:dyDescent="0.25">
      <c r="A472" t="str">
        <f>"1030011E00032    00"</f>
        <v>1030011E00032    00</v>
      </c>
      <c r="B472" t="s">
        <v>218</v>
      </c>
      <c r="C472" t="s">
        <v>1262</v>
      </c>
      <c r="E472" t="s">
        <v>21</v>
      </c>
      <c r="F472">
        <v>0</v>
      </c>
      <c r="G472">
        <v>0</v>
      </c>
      <c r="H472">
        <v>1</v>
      </c>
      <c r="I472" s="3">
        <v>1761.14</v>
      </c>
      <c r="J472" s="3">
        <v>352.21</v>
      </c>
      <c r="K472" t="s">
        <v>220</v>
      </c>
      <c r="L472">
        <v>412</v>
      </c>
      <c r="M472" t="s">
        <v>221</v>
      </c>
      <c r="N472" t="s">
        <v>30</v>
      </c>
      <c r="O472" t="s">
        <v>31</v>
      </c>
      <c r="P472" t="str">
        <f t="shared" si="6"/>
        <v>15219</v>
      </c>
    </row>
    <row r="473" spans="1:16" x14ac:dyDescent="0.25">
      <c r="A473" t="str">
        <f>"1030011E00033    00"</f>
        <v>1030011E00033    00</v>
      </c>
      <c r="B473" t="s">
        <v>218</v>
      </c>
      <c r="C473" t="s">
        <v>1263</v>
      </c>
      <c r="E473" t="s">
        <v>21</v>
      </c>
      <c r="F473">
        <v>0</v>
      </c>
      <c r="G473">
        <v>0</v>
      </c>
      <c r="H473">
        <v>1</v>
      </c>
      <c r="I473" s="3">
        <v>1524.8</v>
      </c>
      <c r="J473" s="3">
        <v>304.94</v>
      </c>
      <c r="K473" t="s">
        <v>220</v>
      </c>
      <c r="L473">
        <v>412</v>
      </c>
      <c r="M473" t="s">
        <v>221</v>
      </c>
      <c r="N473" t="s">
        <v>30</v>
      </c>
      <c r="O473" t="s">
        <v>31</v>
      </c>
      <c r="P473" t="str">
        <f t="shared" si="6"/>
        <v>15219</v>
      </c>
    </row>
    <row r="474" spans="1:16" x14ac:dyDescent="0.25">
      <c r="A474" t="str">
        <f>"1030011E00037    00"</f>
        <v>1030011E00037    00</v>
      </c>
      <c r="B474" t="s">
        <v>1264</v>
      </c>
      <c r="C474" t="s">
        <v>1265</v>
      </c>
      <c r="D474" t="s">
        <v>20</v>
      </c>
      <c r="E474" t="s">
        <v>21</v>
      </c>
      <c r="F474">
        <v>0</v>
      </c>
      <c r="G474">
        <v>0</v>
      </c>
      <c r="H474">
        <v>1</v>
      </c>
      <c r="I474" s="3">
        <v>10145.26</v>
      </c>
      <c r="J474" s="3">
        <v>4057.94</v>
      </c>
      <c r="K474" t="s">
        <v>1266</v>
      </c>
      <c r="L474">
        <v>10</v>
      </c>
      <c r="M474" t="s">
        <v>1267</v>
      </c>
      <c r="N474" t="s">
        <v>1268</v>
      </c>
      <c r="O474" t="s">
        <v>1269</v>
      </c>
      <c r="P474" t="str">
        <f>"06880"</f>
        <v>06880</v>
      </c>
    </row>
    <row r="475" spans="1:16" x14ac:dyDescent="0.25">
      <c r="A475" t="str">
        <f>"1030011E00047    00"</f>
        <v>1030011E00047    00</v>
      </c>
      <c r="B475" t="s">
        <v>918</v>
      </c>
      <c r="C475" t="s">
        <v>1270</v>
      </c>
      <c r="D475" t="s">
        <v>20</v>
      </c>
      <c r="E475" t="s">
        <v>39</v>
      </c>
      <c r="F475">
        <v>0</v>
      </c>
      <c r="G475">
        <v>0</v>
      </c>
      <c r="H475">
        <v>1</v>
      </c>
      <c r="I475" s="3">
        <v>495.58</v>
      </c>
      <c r="J475" s="3">
        <v>0</v>
      </c>
      <c r="K475" t="s">
        <v>920</v>
      </c>
      <c r="L475">
        <v>46</v>
      </c>
      <c r="M475" t="s">
        <v>913</v>
      </c>
      <c r="N475" t="s">
        <v>914</v>
      </c>
      <c r="O475" t="s">
        <v>200</v>
      </c>
      <c r="P475" t="str">
        <f>"10952"</f>
        <v>10952</v>
      </c>
    </row>
    <row r="476" spans="1:16" x14ac:dyDescent="0.25">
      <c r="A476" t="str">
        <f>"1030011E00049    00"</f>
        <v>1030011E00049    00</v>
      </c>
      <c r="B476" t="s">
        <v>1271</v>
      </c>
      <c r="C476" t="s">
        <v>1272</v>
      </c>
      <c r="D476" t="s">
        <v>20</v>
      </c>
      <c r="E476" t="s">
        <v>39</v>
      </c>
      <c r="F476">
        <v>0</v>
      </c>
      <c r="G476">
        <v>0</v>
      </c>
      <c r="H476">
        <v>1</v>
      </c>
      <c r="I476" s="3">
        <v>154.4</v>
      </c>
      <c r="J476" s="3">
        <v>0</v>
      </c>
      <c r="L476">
        <v>1711</v>
      </c>
      <c r="M476" t="s">
        <v>1273</v>
      </c>
      <c r="N476" t="s">
        <v>30</v>
      </c>
      <c r="O476" t="s">
        <v>31</v>
      </c>
      <c r="P476" t="str">
        <f>"15219"</f>
        <v>15219</v>
      </c>
    </row>
    <row r="477" spans="1:16" x14ac:dyDescent="0.25">
      <c r="A477" t="str">
        <f>"1030011E00050    00"</f>
        <v>1030011E00050    00</v>
      </c>
      <c r="B477" t="s">
        <v>1271</v>
      </c>
      <c r="C477" t="s">
        <v>1274</v>
      </c>
      <c r="D477" t="s">
        <v>20</v>
      </c>
      <c r="E477" t="s">
        <v>39</v>
      </c>
      <c r="F477">
        <v>0</v>
      </c>
      <c r="G477">
        <v>0</v>
      </c>
      <c r="H477">
        <v>1</v>
      </c>
      <c r="I477" s="3">
        <v>154.4</v>
      </c>
      <c r="J477" s="3">
        <v>0</v>
      </c>
      <c r="L477">
        <v>1711</v>
      </c>
      <c r="M477" t="s">
        <v>1273</v>
      </c>
      <c r="N477" t="s">
        <v>30</v>
      </c>
      <c r="O477" t="s">
        <v>31</v>
      </c>
      <c r="P477" t="str">
        <f>"15219"</f>
        <v>15219</v>
      </c>
    </row>
    <row r="478" spans="1:16" x14ac:dyDescent="0.25">
      <c r="A478" t="str">
        <f>"1030011E00053    00"</f>
        <v>1030011E00053    00</v>
      </c>
      <c r="B478" t="s">
        <v>1275</v>
      </c>
      <c r="C478" t="s">
        <v>1274</v>
      </c>
      <c r="D478" t="s">
        <v>20</v>
      </c>
      <c r="E478" t="s">
        <v>290</v>
      </c>
      <c r="F478">
        <v>0</v>
      </c>
      <c r="G478">
        <v>0</v>
      </c>
      <c r="H478">
        <v>1</v>
      </c>
      <c r="I478" s="3">
        <v>242.07</v>
      </c>
      <c r="J478" s="3">
        <v>0</v>
      </c>
      <c r="L478">
        <v>1711</v>
      </c>
      <c r="M478" t="s">
        <v>1273</v>
      </c>
      <c r="N478" t="s">
        <v>30</v>
      </c>
      <c r="O478" t="s">
        <v>31</v>
      </c>
      <c r="P478" t="str">
        <f>"15219"</f>
        <v>15219</v>
      </c>
    </row>
    <row r="479" spans="1:16" x14ac:dyDescent="0.25">
      <c r="A479" t="str">
        <f>"1030011E00055    00"</f>
        <v>1030011E00055    00</v>
      </c>
      <c r="B479" t="s">
        <v>910</v>
      </c>
      <c r="C479" t="s">
        <v>1276</v>
      </c>
      <c r="D479" t="s">
        <v>20</v>
      </c>
      <c r="E479" t="s">
        <v>39</v>
      </c>
      <c r="F479">
        <v>0</v>
      </c>
      <c r="G479">
        <v>0</v>
      </c>
      <c r="H479">
        <v>2</v>
      </c>
      <c r="I479" s="3">
        <v>384.4</v>
      </c>
      <c r="J479" s="3">
        <v>0</v>
      </c>
      <c r="K479" t="s">
        <v>912</v>
      </c>
      <c r="L479">
        <v>46</v>
      </c>
      <c r="M479" t="s">
        <v>913</v>
      </c>
      <c r="N479" t="s">
        <v>914</v>
      </c>
      <c r="O479" t="s">
        <v>200</v>
      </c>
      <c r="P479" t="str">
        <f>"10952"</f>
        <v>10952</v>
      </c>
    </row>
    <row r="480" spans="1:16" x14ac:dyDescent="0.25">
      <c r="A480" t="str">
        <f>"1030011E00085    00"</f>
        <v>1030011E00085    00</v>
      </c>
      <c r="B480" t="s">
        <v>218</v>
      </c>
      <c r="C480" t="s">
        <v>1277</v>
      </c>
      <c r="D480" t="s">
        <v>20</v>
      </c>
      <c r="E480" t="s">
        <v>207</v>
      </c>
      <c r="F480">
        <v>0</v>
      </c>
      <c r="G480">
        <v>0</v>
      </c>
      <c r="H480">
        <v>1</v>
      </c>
      <c r="I480" s="3">
        <v>22218.25</v>
      </c>
      <c r="J480" s="3">
        <v>0</v>
      </c>
      <c r="K480" t="s">
        <v>220</v>
      </c>
      <c r="L480">
        <v>412</v>
      </c>
      <c r="M480" t="s">
        <v>221</v>
      </c>
      <c r="N480" t="s">
        <v>30</v>
      </c>
      <c r="O480" t="s">
        <v>31</v>
      </c>
      <c r="P480" t="str">
        <f>"15219"</f>
        <v>15219</v>
      </c>
    </row>
    <row r="481" spans="1:16" x14ac:dyDescent="0.25">
      <c r="A481" t="str">
        <f>"1030011E00093    00"</f>
        <v>1030011E00093    00</v>
      </c>
      <c r="B481" t="s">
        <v>1278</v>
      </c>
      <c r="C481" t="s">
        <v>1279</v>
      </c>
      <c r="D481" t="s">
        <v>20</v>
      </c>
      <c r="E481" t="s">
        <v>39</v>
      </c>
      <c r="F481">
        <v>0</v>
      </c>
      <c r="G481">
        <v>0</v>
      </c>
      <c r="H481">
        <v>2</v>
      </c>
      <c r="I481" s="3">
        <v>2115.6799999999998</v>
      </c>
      <c r="J481" s="3">
        <v>0</v>
      </c>
      <c r="K481" t="s">
        <v>1280</v>
      </c>
      <c r="L481">
        <v>17402</v>
      </c>
      <c r="M481" t="s">
        <v>1281</v>
      </c>
      <c r="N481" t="s">
        <v>1282</v>
      </c>
      <c r="O481" t="s">
        <v>108</v>
      </c>
      <c r="P481" t="str">
        <f>"77379"</f>
        <v>77379</v>
      </c>
    </row>
    <row r="482" spans="1:16" x14ac:dyDescent="0.25">
      <c r="A482" t="str">
        <f>"1030011E00149    00"</f>
        <v>1030011E00149    00</v>
      </c>
      <c r="B482" t="s">
        <v>1283</v>
      </c>
      <c r="C482" t="s">
        <v>1284</v>
      </c>
      <c r="D482" t="s">
        <v>20</v>
      </c>
      <c r="E482" t="s">
        <v>39</v>
      </c>
      <c r="F482">
        <v>0</v>
      </c>
      <c r="G482">
        <v>0</v>
      </c>
      <c r="H482">
        <v>2</v>
      </c>
      <c r="I482" s="3">
        <v>817.59</v>
      </c>
      <c r="J482" s="3">
        <v>160.9</v>
      </c>
      <c r="L482">
        <v>228</v>
      </c>
      <c r="M482" t="s">
        <v>1240</v>
      </c>
      <c r="N482" t="s">
        <v>30</v>
      </c>
      <c r="O482" t="s">
        <v>31</v>
      </c>
      <c r="P482" t="str">
        <f>"15219"</f>
        <v>15219</v>
      </c>
    </row>
    <row r="483" spans="1:16" x14ac:dyDescent="0.25">
      <c r="A483" t="str">
        <f>"1030011E00151    00"</f>
        <v>1030011E00151    00</v>
      </c>
      <c r="B483" t="s">
        <v>1285</v>
      </c>
      <c r="C483" t="s">
        <v>1286</v>
      </c>
      <c r="E483" t="s">
        <v>39</v>
      </c>
      <c r="F483">
        <v>0</v>
      </c>
      <c r="G483">
        <v>0</v>
      </c>
      <c r="H483">
        <v>3</v>
      </c>
      <c r="I483" s="3">
        <v>859.99</v>
      </c>
      <c r="J483" s="3">
        <v>210.36</v>
      </c>
      <c r="L483">
        <v>232</v>
      </c>
      <c r="M483" t="s">
        <v>1240</v>
      </c>
      <c r="N483" t="s">
        <v>30</v>
      </c>
      <c r="O483" t="s">
        <v>31</v>
      </c>
      <c r="P483" t="str">
        <f>"15219"</f>
        <v>15219</v>
      </c>
    </row>
    <row r="484" spans="1:16" x14ac:dyDescent="0.25">
      <c r="A484" t="str">
        <f>"1030011E00156    00"</f>
        <v>1030011E00156    00</v>
      </c>
      <c r="B484" t="s">
        <v>1287</v>
      </c>
      <c r="C484" t="s">
        <v>1242</v>
      </c>
      <c r="D484" t="s">
        <v>20</v>
      </c>
      <c r="E484" t="s">
        <v>39</v>
      </c>
      <c r="F484">
        <v>0</v>
      </c>
      <c r="G484">
        <v>0</v>
      </c>
      <c r="H484">
        <v>19</v>
      </c>
      <c r="I484" s="3">
        <v>11156.27</v>
      </c>
      <c r="J484" s="3">
        <v>9532.8799999999992</v>
      </c>
      <c r="K484" t="s">
        <v>1288</v>
      </c>
      <c r="L484">
        <v>1513</v>
      </c>
      <c r="M484" t="s">
        <v>1289</v>
      </c>
      <c r="N484" t="s">
        <v>30</v>
      </c>
      <c r="O484" t="s">
        <v>31</v>
      </c>
      <c r="P484" t="str">
        <f>"15208"</f>
        <v>15208</v>
      </c>
    </row>
    <row r="485" spans="1:16" x14ac:dyDescent="0.25">
      <c r="A485" t="str">
        <f>"1030011E00159    00"</f>
        <v>1030011E00159    00</v>
      </c>
      <c r="B485" t="s">
        <v>1290</v>
      </c>
      <c r="C485" t="s">
        <v>1242</v>
      </c>
      <c r="D485" t="s">
        <v>20</v>
      </c>
      <c r="E485" t="s">
        <v>39</v>
      </c>
      <c r="F485">
        <v>0</v>
      </c>
      <c r="G485">
        <v>0</v>
      </c>
      <c r="H485">
        <v>19</v>
      </c>
      <c r="I485" s="3">
        <v>868.9</v>
      </c>
      <c r="J485" s="3">
        <v>1111.6600000000001</v>
      </c>
      <c r="L485">
        <v>2415</v>
      </c>
      <c r="M485" t="s">
        <v>1291</v>
      </c>
      <c r="N485" t="s">
        <v>30</v>
      </c>
      <c r="O485" t="s">
        <v>31</v>
      </c>
      <c r="P485" t="str">
        <f>"15213"</f>
        <v>15213</v>
      </c>
    </row>
    <row r="486" spans="1:16" x14ac:dyDescent="0.25">
      <c r="A486" t="str">
        <f>"1030011E00160    00"</f>
        <v>1030011E00160    00</v>
      </c>
      <c r="B486" t="s">
        <v>1292</v>
      </c>
      <c r="C486" t="s">
        <v>1242</v>
      </c>
      <c r="D486" t="s">
        <v>20</v>
      </c>
      <c r="E486" t="s">
        <v>39</v>
      </c>
      <c r="F486">
        <v>0</v>
      </c>
      <c r="G486">
        <v>0</v>
      </c>
      <c r="H486">
        <v>7</v>
      </c>
      <c r="I486" s="3">
        <v>65</v>
      </c>
      <c r="J486" s="3">
        <v>23.65</v>
      </c>
      <c r="M486" t="s">
        <v>1293</v>
      </c>
      <c r="P486" t="str">
        <f>""</f>
        <v/>
      </c>
    </row>
    <row r="487" spans="1:16" x14ac:dyDescent="0.25">
      <c r="A487" t="str">
        <f>"1030011E00161    00"</f>
        <v>1030011E00161    00</v>
      </c>
      <c r="B487" t="s">
        <v>1294</v>
      </c>
      <c r="C487" t="s">
        <v>1242</v>
      </c>
      <c r="D487" t="s">
        <v>20</v>
      </c>
      <c r="E487" t="s">
        <v>39</v>
      </c>
      <c r="F487">
        <v>0</v>
      </c>
      <c r="G487">
        <v>0</v>
      </c>
      <c r="H487">
        <v>19</v>
      </c>
      <c r="I487" s="3">
        <v>893.54</v>
      </c>
      <c r="J487" s="3">
        <v>1147.2</v>
      </c>
      <c r="K487" t="s">
        <v>1037</v>
      </c>
      <c r="L487">
        <v>248</v>
      </c>
      <c r="M487" t="s">
        <v>1240</v>
      </c>
      <c r="N487" t="s">
        <v>1295</v>
      </c>
      <c r="O487" t="s">
        <v>31</v>
      </c>
      <c r="P487" t="str">
        <f>"15219"</f>
        <v>15219</v>
      </c>
    </row>
    <row r="488" spans="1:16" x14ac:dyDescent="0.25">
      <c r="A488" t="str">
        <f>"1030011E00162    00"</f>
        <v>1030011E00162    00</v>
      </c>
      <c r="B488" t="s">
        <v>1296</v>
      </c>
      <c r="C488" t="s">
        <v>1242</v>
      </c>
      <c r="D488" t="s">
        <v>20</v>
      </c>
      <c r="E488" t="s">
        <v>39</v>
      </c>
      <c r="F488">
        <v>0</v>
      </c>
      <c r="G488">
        <v>0</v>
      </c>
      <c r="H488">
        <v>19</v>
      </c>
      <c r="I488" s="3">
        <v>1241.78</v>
      </c>
      <c r="J488" s="3">
        <v>1488.73</v>
      </c>
      <c r="L488">
        <v>2415</v>
      </c>
      <c r="M488" t="s">
        <v>1291</v>
      </c>
      <c r="N488" t="s">
        <v>30</v>
      </c>
      <c r="O488" t="s">
        <v>31</v>
      </c>
      <c r="P488" t="str">
        <f>"15213"</f>
        <v>15213</v>
      </c>
    </row>
    <row r="489" spans="1:16" x14ac:dyDescent="0.25">
      <c r="A489" t="str">
        <f>"1030011E00164    00"</f>
        <v>1030011E00164    00</v>
      </c>
      <c r="B489" t="s">
        <v>1297</v>
      </c>
      <c r="C489" t="s">
        <v>1242</v>
      </c>
      <c r="D489" t="s">
        <v>20</v>
      </c>
      <c r="E489" t="s">
        <v>39</v>
      </c>
      <c r="F489">
        <v>0</v>
      </c>
      <c r="G489">
        <v>0</v>
      </c>
      <c r="H489">
        <v>19</v>
      </c>
      <c r="I489" s="3">
        <v>12044.49</v>
      </c>
      <c r="J489" s="3">
        <v>9591.75</v>
      </c>
      <c r="P489" t="str">
        <f>""</f>
        <v/>
      </c>
    </row>
    <row r="490" spans="1:16" x14ac:dyDescent="0.25">
      <c r="A490" t="str">
        <f>"1030011E00166    00"</f>
        <v>1030011E00166    00</v>
      </c>
      <c r="B490" t="s">
        <v>1298</v>
      </c>
      <c r="C490" t="s">
        <v>1299</v>
      </c>
      <c r="D490" t="s">
        <v>20</v>
      </c>
      <c r="E490" t="s">
        <v>39</v>
      </c>
      <c r="F490">
        <v>0</v>
      </c>
      <c r="G490">
        <v>0</v>
      </c>
      <c r="H490">
        <v>6</v>
      </c>
      <c r="I490" s="3">
        <v>4751.32</v>
      </c>
      <c r="J490" s="3">
        <v>739.51</v>
      </c>
      <c r="L490">
        <v>241</v>
      </c>
      <c r="M490" t="s">
        <v>1240</v>
      </c>
      <c r="N490" t="s">
        <v>30</v>
      </c>
      <c r="O490" t="s">
        <v>31</v>
      </c>
      <c r="P490" t="str">
        <f>"15219"</f>
        <v>15219</v>
      </c>
    </row>
    <row r="491" spans="1:16" x14ac:dyDescent="0.25">
      <c r="A491" t="str">
        <f>"1030011E00172    00"</f>
        <v>1030011E00172    00</v>
      </c>
      <c r="B491" t="s">
        <v>1300</v>
      </c>
      <c r="C491" t="s">
        <v>1301</v>
      </c>
      <c r="D491" t="s">
        <v>20</v>
      </c>
      <c r="E491" t="s">
        <v>39</v>
      </c>
      <c r="F491">
        <v>0</v>
      </c>
      <c r="G491">
        <v>0</v>
      </c>
      <c r="H491">
        <v>3</v>
      </c>
      <c r="I491" s="3">
        <v>702.48</v>
      </c>
      <c r="J491" s="3">
        <v>3.26</v>
      </c>
      <c r="L491">
        <v>2415</v>
      </c>
      <c r="M491" t="s">
        <v>1302</v>
      </c>
      <c r="N491" t="s">
        <v>30</v>
      </c>
      <c r="O491" t="s">
        <v>31</v>
      </c>
      <c r="P491" t="str">
        <f>"15213"</f>
        <v>15213</v>
      </c>
    </row>
    <row r="492" spans="1:16" x14ac:dyDescent="0.25">
      <c r="A492" t="str">
        <f>"1030011E00173    00"</f>
        <v>1030011E00173    00</v>
      </c>
      <c r="B492" t="s">
        <v>1303</v>
      </c>
      <c r="C492" t="s">
        <v>1304</v>
      </c>
      <c r="D492" t="s">
        <v>20</v>
      </c>
      <c r="E492" t="s">
        <v>39</v>
      </c>
      <c r="F492">
        <v>0</v>
      </c>
      <c r="G492">
        <v>0</v>
      </c>
      <c r="H492">
        <v>2</v>
      </c>
      <c r="I492" s="3">
        <v>865.34</v>
      </c>
      <c r="J492" s="3">
        <v>0</v>
      </c>
      <c r="L492">
        <v>10557</v>
      </c>
      <c r="M492" t="s">
        <v>1305</v>
      </c>
      <c r="N492" t="s">
        <v>139</v>
      </c>
      <c r="O492" t="s">
        <v>31</v>
      </c>
      <c r="P492" t="str">
        <f>"15090"</f>
        <v>15090</v>
      </c>
    </row>
    <row r="493" spans="1:16" x14ac:dyDescent="0.25">
      <c r="A493" t="str">
        <f>"1030011E00186    00"</f>
        <v>1030011E00186    00</v>
      </c>
      <c r="B493" t="s">
        <v>1306</v>
      </c>
      <c r="C493" t="s">
        <v>1307</v>
      </c>
      <c r="D493" t="s">
        <v>20</v>
      </c>
      <c r="E493" t="s">
        <v>39</v>
      </c>
      <c r="F493">
        <v>0</v>
      </c>
      <c r="G493">
        <v>0</v>
      </c>
      <c r="H493">
        <v>10</v>
      </c>
      <c r="I493" s="3">
        <v>6982.18</v>
      </c>
      <c r="J493" s="3">
        <v>2959.39</v>
      </c>
      <c r="K493" t="s">
        <v>1308</v>
      </c>
      <c r="L493">
        <v>115</v>
      </c>
      <c r="M493" t="s">
        <v>1309</v>
      </c>
      <c r="N493" t="s">
        <v>30</v>
      </c>
      <c r="O493" t="s">
        <v>31</v>
      </c>
      <c r="P493" t="str">
        <f>"15235"</f>
        <v>15235</v>
      </c>
    </row>
    <row r="494" spans="1:16" x14ac:dyDescent="0.25">
      <c r="A494" t="str">
        <f>"1030011E00196000300"</f>
        <v>1030011E00196000300</v>
      </c>
      <c r="B494" t="s">
        <v>1310</v>
      </c>
      <c r="C494" t="s">
        <v>1311</v>
      </c>
      <c r="D494" t="s">
        <v>20</v>
      </c>
      <c r="E494" t="s">
        <v>39</v>
      </c>
      <c r="F494">
        <v>0</v>
      </c>
      <c r="G494">
        <v>0</v>
      </c>
      <c r="H494">
        <v>10</v>
      </c>
      <c r="I494" s="3">
        <v>7194.13</v>
      </c>
      <c r="J494" s="3">
        <v>5837.23</v>
      </c>
      <c r="L494">
        <v>234</v>
      </c>
      <c r="M494" t="s">
        <v>1312</v>
      </c>
      <c r="N494" t="s">
        <v>30</v>
      </c>
      <c r="O494" t="s">
        <v>31</v>
      </c>
      <c r="P494" t="str">
        <f>"15219"</f>
        <v>15219</v>
      </c>
    </row>
    <row r="495" spans="1:16" x14ac:dyDescent="0.25">
      <c r="A495" t="str">
        <f>"1030011E00196A   00"</f>
        <v>1030011E00196A   00</v>
      </c>
      <c r="B495" t="s">
        <v>1313</v>
      </c>
      <c r="C495" t="s">
        <v>1314</v>
      </c>
      <c r="D495" t="s">
        <v>20</v>
      </c>
      <c r="E495" t="s">
        <v>39</v>
      </c>
      <c r="F495">
        <v>0</v>
      </c>
      <c r="G495">
        <v>0</v>
      </c>
      <c r="H495">
        <v>1</v>
      </c>
      <c r="I495" s="3">
        <v>600.4</v>
      </c>
      <c r="J495" s="3">
        <v>0</v>
      </c>
      <c r="L495">
        <v>639</v>
      </c>
      <c r="M495" t="s">
        <v>1315</v>
      </c>
      <c r="N495" t="s">
        <v>30</v>
      </c>
      <c r="O495" t="s">
        <v>31</v>
      </c>
      <c r="P495" t="str">
        <f>"15206"</f>
        <v>15206</v>
      </c>
    </row>
    <row r="496" spans="1:16" x14ac:dyDescent="0.25">
      <c r="A496" t="str">
        <f>"1030011E00201    00"</f>
        <v>1030011E00201    00</v>
      </c>
      <c r="B496" t="s">
        <v>1316</v>
      </c>
      <c r="C496" t="s">
        <v>1242</v>
      </c>
      <c r="D496" t="s">
        <v>20</v>
      </c>
      <c r="E496" t="s">
        <v>39</v>
      </c>
      <c r="F496">
        <v>0</v>
      </c>
      <c r="G496">
        <v>0</v>
      </c>
      <c r="H496">
        <v>19</v>
      </c>
      <c r="I496" s="3">
        <v>2189.61</v>
      </c>
      <c r="J496" s="3">
        <v>1805.97</v>
      </c>
      <c r="K496" t="s">
        <v>1008</v>
      </c>
      <c r="P496" t="str">
        <f>""</f>
        <v/>
      </c>
    </row>
    <row r="497" spans="1:16" x14ac:dyDescent="0.25">
      <c r="A497" t="str">
        <f>"1030011E00202    00"</f>
        <v>1030011E00202    00</v>
      </c>
      <c r="B497" t="s">
        <v>1317</v>
      </c>
      <c r="C497" t="s">
        <v>1318</v>
      </c>
      <c r="D497" t="s">
        <v>20</v>
      </c>
      <c r="E497" t="s">
        <v>39</v>
      </c>
      <c r="F497">
        <v>0</v>
      </c>
      <c r="G497">
        <v>0</v>
      </c>
      <c r="H497">
        <v>12</v>
      </c>
      <c r="I497" s="3">
        <v>867.12</v>
      </c>
      <c r="J497" s="3">
        <v>1095.32</v>
      </c>
      <c r="L497">
        <v>9029</v>
      </c>
      <c r="M497" t="s">
        <v>1319</v>
      </c>
      <c r="N497" t="s">
        <v>1320</v>
      </c>
      <c r="O497" t="s">
        <v>1321</v>
      </c>
      <c r="P497" t="str">
        <f>"89131"</f>
        <v>89131</v>
      </c>
    </row>
    <row r="498" spans="1:16" x14ac:dyDescent="0.25">
      <c r="A498" t="str">
        <f>"1030011E00204    00"</f>
        <v>1030011E00204    00</v>
      </c>
      <c r="B498" t="s">
        <v>1322</v>
      </c>
      <c r="C498" t="s">
        <v>1242</v>
      </c>
      <c r="D498" t="s">
        <v>20</v>
      </c>
      <c r="E498" t="s">
        <v>39</v>
      </c>
      <c r="F498">
        <v>0</v>
      </c>
      <c r="G498">
        <v>0</v>
      </c>
      <c r="H498">
        <v>19</v>
      </c>
      <c r="I498" s="3">
        <v>868.9</v>
      </c>
      <c r="J498" s="3">
        <v>1111.6600000000001</v>
      </c>
      <c r="K498" t="s">
        <v>1037</v>
      </c>
      <c r="L498">
        <v>259</v>
      </c>
      <c r="M498" t="s">
        <v>1240</v>
      </c>
      <c r="N498" t="s">
        <v>30</v>
      </c>
      <c r="O498" t="s">
        <v>31</v>
      </c>
      <c r="P498" t="str">
        <f>"15219"</f>
        <v>15219</v>
      </c>
    </row>
    <row r="499" spans="1:16" x14ac:dyDescent="0.25">
      <c r="A499" t="str">
        <f>"1030011E00207    00"</f>
        <v>1030011E00207    00</v>
      </c>
      <c r="B499" t="s">
        <v>1323</v>
      </c>
      <c r="C499" t="s">
        <v>1318</v>
      </c>
      <c r="D499" t="s">
        <v>20</v>
      </c>
      <c r="E499" t="s">
        <v>39</v>
      </c>
      <c r="F499">
        <v>0</v>
      </c>
      <c r="G499">
        <v>0</v>
      </c>
      <c r="H499">
        <v>17</v>
      </c>
      <c r="I499" s="3">
        <v>8102.91</v>
      </c>
      <c r="J499" s="3">
        <v>12117.63</v>
      </c>
      <c r="P499" t="str">
        <f>""</f>
        <v/>
      </c>
    </row>
    <row r="500" spans="1:16" x14ac:dyDescent="0.25">
      <c r="A500" t="str">
        <f>"1030011E00207A   00"</f>
        <v>1030011E00207A   00</v>
      </c>
      <c r="B500" t="s">
        <v>1324</v>
      </c>
      <c r="C500" t="s">
        <v>1318</v>
      </c>
      <c r="D500" t="s">
        <v>20</v>
      </c>
      <c r="E500" t="s">
        <v>39</v>
      </c>
      <c r="F500">
        <v>0</v>
      </c>
      <c r="G500">
        <v>0</v>
      </c>
      <c r="H500">
        <v>14</v>
      </c>
      <c r="I500" s="3">
        <v>1518.99</v>
      </c>
      <c r="J500" s="3">
        <v>1846.42</v>
      </c>
      <c r="L500">
        <v>121</v>
      </c>
      <c r="M500" t="s">
        <v>1325</v>
      </c>
      <c r="N500" t="s">
        <v>285</v>
      </c>
      <c r="O500" t="s">
        <v>31</v>
      </c>
      <c r="P500" t="str">
        <f>"15120"</f>
        <v>15120</v>
      </c>
    </row>
    <row r="501" spans="1:16" x14ac:dyDescent="0.25">
      <c r="A501" t="str">
        <f>"1030011E00207B   00"</f>
        <v>1030011E00207B   00</v>
      </c>
      <c r="B501" t="s">
        <v>1326</v>
      </c>
      <c r="C501" t="s">
        <v>1318</v>
      </c>
      <c r="D501" t="s">
        <v>20</v>
      </c>
      <c r="E501" t="s">
        <v>39</v>
      </c>
      <c r="F501">
        <v>0</v>
      </c>
      <c r="G501">
        <v>0</v>
      </c>
      <c r="H501">
        <v>17</v>
      </c>
      <c r="I501" s="3">
        <v>3920.08</v>
      </c>
      <c r="J501" s="3">
        <v>5539.4</v>
      </c>
      <c r="P501" t="str">
        <f>""</f>
        <v/>
      </c>
    </row>
    <row r="502" spans="1:16" x14ac:dyDescent="0.25">
      <c r="A502" t="str">
        <f>"1030011E00207D   00"</f>
        <v>1030011E00207D   00</v>
      </c>
      <c r="B502" t="s">
        <v>1327</v>
      </c>
      <c r="C502" t="s">
        <v>1242</v>
      </c>
      <c r="D502" t="s">
        <v>20</v>
      </c>
      <c r="E502" t="s">
        <v>39</v>
      </c>
      <c r="F502">
        <v>0</v>
      </c>
      <c r="G502">
        <v>0</v>
      </c>
      <c r="H502">
        <v>17</v>
      </c>
      <c r="I502" s="3">
        <v>782.14</v>
      </c>
      <c r="J502" s="3">
        <v>1044.83</v>
      </c>
      <c r="K502" t="s">
        <v>1037</v>
      </c>
      <c r="L502">
        <v>6290</v>
      </c>
      <c r="M502" t="s">
        <v>1328</v>
      </c>
      <c r="N502" t="s">
        <v>30</v>
      </c>
      <c r="O502" t="s">
        <v>31</v>
      </c>
      <c r="P502" t="str">
        <f>"15206"</f>
        <v>15206</v>
      </c>
    </row>
    <row r="503" spans="1:16" x14ac:dyDescent="0.25">
      <c r="A503" t="str">
        <f>"1030011E00208    00"</f>
        <v>1030011E00208    00</v>
      </c>
      <c r="B503" t="s">
        <v>1329</v>
      </c>
      <c r="C503" t="s">
        <v>1318</v>
      </c>
      <c r="D503" t="s">
        <v>20</v>
      </c>
      <c r="E503" t="s">
        <v>39</v>
      </c>
      <c r="F503">
        <v>0</v>
      </c>
      <c r="G503">
        <v>0</v>
      </c>
      <c r="H503">
        <v>19</v>
      </c>
      <c r="I503" s="3">
        <v>5830.79</v>
      </c>
      <c r="J503" s="3">
        <v>6766</v>
      </c>
      <c r="L503">
        <v>341</v>
      </c>
      <c r="M503" t="s">
        <v>1330</v>
      </c>
      <c r="N503" t="s">
        <v>30</v>
      </c>
      <c r="O503" t="s">
        <v>31</v>
      </c>
      <c r="P503" t="str">
        <f>"15213"</f>
        <v>15213</v>
      </c>
    </row>
    <row r="504" spans="1:16" x14ac:dyDescent="0.25">
      <c r="A504" t="str">
        <f>"1030011E00214    00"</f>
        <v>1030011E00214    00</v>
      </c>
      <c r="B504" t="s">
        <v>1331</v>
      </c>
      <c r="C504" t="s">
        <v>1332</v>
      </c>
      <c r="E504" t="s">
        <v>39</v>
      </c>
      <c r="F504">
        <v>0</v>
      </c>
      <c r="G504">
        <v>0</v>
      </c>
      <c r="H504">
        <v>3</v>
      </c>
      <c r="I504" s="3">
        <v>1299.52</v>
      </c>
      <c r="J504" s="3">
        <v>155.83000000000001</v>
      </c>
      <c r="L504">
        <v>237</v>
      </c>
      <c r="M504" t="s">
        <v>1312</v>
      </c>
      <c r="N504" t="s">
        <v>30</v>
      </c>
      <c r="O504" t="s">
        <v>31</v>
      </c>
      <c r="P504" t="str">
        <f>"15219"</f>
        <v>15219</v>
      </c>
    </row>
    <row r="505" spans="1:16" x14ac:dyDescent="0.25">
      <c r="A505" t="str">
        <f>"1030011E00221    00"</f>
        <v>1030011E00221    00</v>
      </c>
      <c r="B505" t="s">
        <v>1333</v>
      </c>
      <c r="C505" t="s">
        <v>1318</v>
      </c>
      <c r="D505" t="s">
        <v>20</v>
      </c>
      <c r="E505" t="s">
        <v>39</v>
      </c>
      <c r="F505">
        <v>0</v>
      </c>
      <c r="G505">
        <v>0</v>
      </c>
      <c r="H505">
        <v>15</v>
      </c>
      <c r="I505" s="3">
        <v>2099.17</v>
      </c>
      <c r="J505" s="3">
        <v>2726.41</v>
      </c>
      <c r="L505">
        <v>227</v>
      </c>
      <c r="M505" t="s">
        <v>1312</v>
      </c>
      <c r="N505" t="s">
        <v>30</v>
      </c>
      <c r="O505" t="s">
        <v>31</v>
      </c>
      <c r="P505" t="str">
        <f>"15219"</f>
        <v>15219</v>
      </c>
    </row>
    <row r="506" spans="1:16" x14ac:dyDescent="0.25">
      <c r="A506" t="str">
        <f>"1030011E00227    00"</f>
        <v>1030011E00227    00</v>
      </c>
      <c r="B506" t="s">
        <v>1334</v>
      </c>
      <c r="C506" t="s">
        <v>1335</v>
      </c>
      <c r="D506" t="s">
        <v>20</v>
      </c>
      <c r="E506" t="s">
        <v>39</v>
      </c>
      <c r="F506">
        <v>0</v>
      </c>
      <c r="G506">
        <v>0</v>
      </c>
      <c r="H506">
        <v>10</v>
      </c>
      <c r="I506" s="3">
        <v>6959.49</v>
      </c>
      <c r="J506" s="3">
        <v>2539.1</v>
      </c>
      <c r="M506" t="s">
        <v>1336</v>
      </c>
      <c r="N506" t="s">
        <v>30</v>
      </c>
      <c r="O506" t="s">
        <v>31</v>
      </c>
      <c r="P506" t="str">
        <f>"15217"</f>
        <v>15217</v>
      </c>
    </row>
    <row r="507" spans="1:16" x14ac:dyDescent="0.25">
      <c r="A507" t="str">
        <f>"1030011E00232    00"</f>
        <v>1030011E00232    00</v>
      </c>
      <c r="B507" t="s">
        <v>1337</v>
      </c>
      <c r="C507" t="s">
        <v>1318</v>
      </c>
      <c r="D507" t="s">
        <v>20</v>
      </c>
      <c r="E507" t="s">
        <v>39</v>
      </c>
      <c r="F507">
        <v>0</v>
      </c>
      <c r="G507">
        <v>0</v>
      </c>
      <c r="H507">
        <v>17</v>
      </c>
      <c r="I507" s="3">
        <v>714.36</v>
      </c>
      <c r="J507" s="3">
        <v>963.7</v>
      </c>
      <c r="K507" t="s">
        <v>1037</v>
      </c>
      <c r="L507">
        <v>207</v>
      </c>
      <c r="M507" t="s">
        <v>1312</v>
      </c>
      <c r="N507" t="s">
        <v>30</v>
      </c>
      <c r="O507" t="s">
        <v>31</v>
      </c>
      <c r="P507" t="str">
        <f>"15219"</f>
        <v>15219</v>
      </c>
    </row>
    <row r="508" spans="1:16" x14ac:dyDescent="0.25">
      <c r="A508" t="str">
        <f>"1030011E00247    00"</f>
        <v>1030011E00247    00</v>
      </c>
      <c r="B508" t="s">
        <v>921</v>
      </c>
      <c r="C508" t="s">
        <v>1338</v>
      </c>
      <c r="D508" t="s">
        <v>20</v>
      </c>
      <c r="E508" t="s">
        <v>39</v>
      </c>
      <c r="F508">
        <v>0</v>
      </c>
      <c r="G508">
        <v>0</v>
      </c>
      <c r="H508">
        <v>1</v>
      </c>
      <c r="I508" s="3">
        <v>419.34</v>
      </c>
      <c r="J508" s="3">
        <v>0</v>
      </c>
      <c r="L508">
        <v>46</v>
      </c>
      <c r="M508" t="s">
        <v>913</v>
      </c>
      <c r="N508" t="s">
        <v>914</v>
      </c>
      <c r="O508" t="s">
        <v>200</v>
      </c>
      <c r="P508" t="str">
        <f>"10952"</f>
        <v>10952</v>
      </c>
    </row>
    <row r="509" spans="1:16" x14ac:dyDescent="0.25">
      <c r="A509" t="str">
        <f>"1030011E00253    00"</f>
        <v>1030011E00253    00</v>
      </c>
      <c r="B509" t="s">
        <v>921</v>
      </c>
      <c r="C509" t="s">
        <v>1339</v>
      </c>
      <c r="D509" t="s">
        <v>20</v>
      </c>
      <c r="E509" t="s">
        <v>39</v>
      </c>
      <c r="F509">
        <v>0</v>
      </c>
      <c r="G509">
        <v>0</v>
      </c>
      <c r="H509">
        <v>1</v>
      </c>
      <c r="I509" s="3">
        <v>419.34</v>
      </c>
      <c r="J509" s="3">
        <v>0</v>
      </c>
      <c r="L509">
        <v>46</v>
      </c>
      <c r="M509" t="s">
        <v>913</v>
      </c>
      <c r="N509" t="s">
        <v>914</v>
      </c>
      <c r="O509" t="s">
        <v>200</v>
      </c>
      <c r="P509" t="str">
        <f>"10952"</f>
        <v>10952</v>
      </c>
    </row>
    <row r="510" spans="1:16" x14ac:dyDescent="0.25">
      <c r="A510" t="str">
        <f>"1030011E00267    00"</f>
        <v>1030011E00267    00</v>
      </c>
      <c r="B510" t="s">
        <v>918</v>
      </c>
      <c r="C510" t="s">
        <v>1340</v>
      </c>
      <c r="D510" t="s">
        <v>20</v>
      </c>
      <c r="E510" t="s">
        <v>39</v>
      </c>
      <c r="F510">
        <v>0</v>
      </c>
      <c r="G510">
        <v>0</v>
      </c>
      <c r="H510">
        <v>2</v>
      </c>
      <c r="I510" s="3">
        <v>495.58</v>
      </c>
      <c r="J510" s="3">
        <v>0</v>
      </c>
      <c r="K510" t="s">
        <v>920</v>
      </c>
      <c r="L510">
        <v>46</v>
      </c>
      <c r="M510" t="s">
        <v>913</v>
      </c>
      <c r="N510" t="s">
        <v>914</v>
      </c>
      <c r="O510" t="s">
        <v>200</v>
      </c>
      <c r="P510" t="str">
        <f>"10952"</f>
        <v>10952</v>
      </c>
    </row>
    <row r="511" spans="1:16" x14ac:dyDescent="0.25">
      <c r="A511" t="str">
        <f>"1030011E00290    00"</f>
        <v>1030011E00290    00</v>
      </c>
      <c r="B511" t="s">
        <v>921</v>
      </c>
      <c r="C511" t="s">
        <v>1341</v>
      </c>
      <c r="D511" t="s">
        <v>20</v>
      </c>
      <c r="E511" t="s">
        <v>39</v>
      </c>
      <c r="F511">
        <v>0</v>
      </c>
      <c r="G511">
        <v>0</v>
      </c>
      <c r="H511">
        <v>1</v>
      </c>
      <c r="I511" s="3">
        <v>419.34</v>
      </c>
      <c r="J511" s="3">
        <v>0</v>
      </c>
      <c r="L511">
        <v>46</v>
      </c>
      <c r="M511" t="s">
        <v>913</v>
      </c>
      <c r="N511" t="s">
        <v>914</v>
      </c>
      <c r="O511" t="s">
        <v>200</v>
      </c>
      <c r="P511" t="str">
        <f>"10952"</f>
        <v>10952</v>
      </c>
    </row>
    <row r="512" spans="1:16" x14ac:dyDescent="0.25">
      <c r="A512" t="str">
        <f>"1030011E00300    00"</f>
        <v>1030011E00300    00</v>
      </c>
      <c r="B512" t="s">
        <v>1342</v>
      </c>
      <c r="C512" t="s">
        <v>898</v>
      </c>
      <c r="E512" t="s">
        <v>39</v>
      </c>
      <c r="F512">
        <v>0</v>
      </c>
      <c r="G512">
        <v>0</v>
      </c>
      <c r="H512">
        <v>2</v>
      </c>
      <c r="I512" s="3">
        <v>21.78</v>
      </c>
      <c r="J512" s="3">
        <v>14.06</v>
      </c>
      <c r="L512">
        <v>7146</v>
      </c>
      <c r="M512" t="s">
        <v>872</v>
      </c>
      <c r="N512" t="s">
        <v>30</v>
      </c>
      <c r="O512" t="s">
        <v>31</v>
      </c>
      <c r="P512" t="str">
        <f>"15208"</f>
        <v>15208</v>
      </c>
    </row>
    <row r="513" spans="1:16" x14ac:dyDescent="0.25">
      <c r="A513" t="str">
        <f>"1030011E00317    00"</f>
        <v>1030011E00317    00</v>
      </c>
      <c r="B513" t="s">
        <v>1343</v>
      </c>
      <c r="C513" t="s">
        <v>1344</v>
      </c>
      <c r="D513" t="s">
        <v>20</v>
      </c>
      <c r="E513" t="s">
        <v>39</v>
      </c>
      <c r="F513">
        <v>0</v>
      </c>
      <c r="G513">
        <v>0</v>
      </c>
      <c r="H513">
        <v>1</v>
      </c>
      <c r="I513" s="3">
        <v>230.64</v>
      </c>
      <c r="J513" s="3">
        <v>46.14</v>
      </c>
      <c r="K513" t="s">
        <v>1345</v>
      </c>
      <c r="L513">
        <v>130</v>
      </c>
      <c r="M513" t="s">
        <v>1346</v>
      </c>
      <c r="N513" t="s">
        <v>30</v>
      </c>
      <c r="O513" t="s">
        <v>31</v>
      </c>
      <c r="P513" t="str">
        <f>"15222"</f>
        <v>15222</v>
      </c>
    </row>
    <row r="514" spans="1:16" x14ac:dyDescent="0.25">
      <c r="A514" t="str">
        <f>"1030011E00364    00"</f>
        <v>1030011E00364    00</v>
      </c>
      <c r="B514" t="s">
        <v>1347</v>
      </c>
      <c r="C514" t="s">
        <v>898</v>
      </c>
      <c r="D514" t="s">
        <v>20</v>
      </c>
      <c r="E514" t="s">
        <v>39</v>
      </c>
      <c r="F514">
        <v>0</v>
      </c>
      <c r="G514">
        <v>0</v>
      </c>
      <c r="H514">
        <v>2</v>
      </c>
      <c r="I514" s="3">
        <v>1749.72</v>
      </c>
      <c r="J514" s="3">
        <v>0</v>
      </c>
      <c r="L514">
        <v>72</v>
      </c>
      <c r="M514" t="s">
        <v>858</v>
      </c>
      <c r="N514" t="s">
        <v>30</v>
      </c>
      <c r="O514" t="s">
        <v>31</v>
      </c>
      <c r="P514" t="str">
        <f>"15219"</f>
        <v>15219</v>
      </c>
    </row>
    <row r="515" spans="1:16" x14ac:dyDescent="0.25">
      <c r="A515" t="str">
        <f>"1030011F00085    00"</f>
        <v>1030011F00085    00</v>
      </c>
      <c r="B515" t="s">
        <v>921</v>
      </c>
      <c r="C515" t="s">
        <v>1348</v>
      </c>
      <c r="D515" t="s">
        <v>20</v>
      </c>
      <c r="E515" t="s">
        <v>21</v>
      </c>
      <c r="F515">
        <v>0</v>
      </c>
      <c r="G515">
        <v>0</v>
      </c>
      <c r="H515">
        <v>1</v>
      </c>
      <c r="I515" s="3">
        <v>1257.98</v>
      </c>
      <c r="J515" s="3">
        <v>0</v>
      </c>
      <c r="L515">
        <v>46</v>
      </c>
      <c r="M515" t="s">
        <v>913</v>
      </c>
      <c r="N515" t="s">
        <v>914</v>
      </c>
      <c r="O515" t="s">
        <v>200</v>
      </c>
      <c r="P515" t="str">
        <f>"10952"</f>
        <v>10952</v>
      </c>
    </row>
    <row r="516" spans="1:16" x14ac:dyDescent="0.25">
      <c r="A516" t="str">
        <f>"1040011D00006    00"</f>
        <v>1040011D00006    00</v>
      </c>
      <c r="B516" t="s">
        <v>1349</v>
      </c>
      <c r="C516" t="s">
        <v>1350</v>
      </c>
      <c r="D516" t="s">
        <v>20</v>
      </c>
      <c r="E516" t="s">
        <v>39</v>
      </c>
      <c r="F516">
        <v>0</v>
      </c>
      <c r="G516">
        <v>0</v>
      </c>
      <c r="H516">
        <v>2</v>
      </c>
      <c r="I516" s="3">
        <v>1023.53</v>
      </c>
      <c r="J516" s="3">
        <v>0</v>
      </c>
      <c r="K516" t="s">
        <v>1351</v>
      </c>
      <c r="L516">
        <v>422</v>
      </c>
      <c r="M516" t="s">
        <v>1352</v>
      </c>
      <c r="N516" t="s">
        <v>1353</v>
      </c>
      <c r="O516" t="s">
        <v>31</v>
      </c>
      <c r="P516" t="str">
        <f>"15085"</f>
        <v>15085</v>
      </c>
    </row>
    <row r="517" spans="1:16" x14ac:dyDescent="0.25">
      <c r="A517" t="str">
        <f>"1040011D00007    00"</f>
        <v>1040011D00007    00</v>
      </c>
      <c r="B517" t="s">
        <v>1354</v>
      </c>
      <c r="C517" t="s">
        <v>1355</v>
      </c>
      <c r="D517" t="s">
        <v>20</v>
      </c>
      <c r="E517" t="s">
        <v>39</v>
      </c>
      <c r="F517">
        <v>0</v>
      </c>
      <c r="G517">
        <v>0</v>
      </c>
      <c r="H517">
        <v>3</v>
      </c>
      <c r="I517" s="3">
        <v>135.91999999999999</v>
      </c>
      <c r="J517" s="3">
        <v>39.93</v>
      </c>
      <c r="K517" t="s">
        <v>1356</v>
      </c>
      <c r="M517" t="s">
        <v>1357</v>
      </c>
      <c r="N517" t="s">
        <v>1358</v>
      </c>
      <c r="O517" t="s">
        <v>495</v>
      </c>
      <c r="P517" t="str">
        <f>"90630"</f>
        <v>90630</v>
      </c>
    </row>
    <row r="518" spans="1:16" x14ac:dyDescent="0.25">
      <c r="A518" t="str">
        <f>"1040011D00057    00"</f>
        <v>1040011D00057    00</v>
      </c>
      <c r="B518" t="s">
        <v>1359</v>
      </c>
      <c r="C518" t="s">
        <v>1360</v>
      </c>
      <c r="E518" t="s">
        <v>39</v>
      </c>
      <c r="F518">
        <v>0</v>
      </c>
      <c r="G518">
        <v>0</v>
      </c>
      <c r="H518">
        <v>1</v>
      </c>
      <c r="I518" s="3">
        <v>127.05</v>
      </c>
      <c r="J518" s="3">
        <v>60.35</v>
      </c>
      <c r="K518" t="s">
        <v>1361</v>
      </c>
      <c r="L518">
        <v>316</v>
      </c>
      <c r="M518" t="s">
        <v>1362</v>
      </c>
      <c r="N518" t="s">
        <v>30</v>
      </c>
      <c r="O518" t="s">
        <v>31</v>
      </c>
      <c r="P518" t="str">
        <f>"15228"</f>
        <v>15228</v>
      </c>
    </row>
    <row r="519" spans="1:16" x14ac:dyDescent="0.25">
      <c r="A519" t="str">
        <f>"1040011F00125    00"</f>
        <v>1040011F00125    00</v>
      </c>
      <c r="B519" t="s">
        <v>1363</v>
      </c>
      <c r="C519" t="s">
        <v>1364</v>
      </c>
      <c r="D519" t="s">
        <v>20</v>
      </c>
      <c r="E519" t="s">
        <v>21</v>
      </c>
      <c r="F519">
        <v>0</v>
      </c>
      <c r="G519">
        <v>0</v>
      </c>
      <c r="H519">
        <v>1</v>
      </c>
      <c r="I519" s="3">
        <v>857.72</v>
      </c>
      <c r="J519" s="3">
        <v>0</v>
      </c>
      <c r="L519">
        <v>46</v>
      </c>
      <c r="M519" t="s">
        <v>913</v>
      </c>
      <c r="N519" t="s">
        <v>914</v>
      </c>
      <c r="O519" t="s">
        <v>200</v>
      </c>
      <c r="P519" t="str">
        <f t="shared" ref="P519:P525" si="7">"10952"</f>
        <v>10952</v>
      </c>
    </row>
    <row r="520" spans="1:16" x14ac:dyDescent="0.25">
      <c r="A520" t="str">
        <f>"1040011F00126    00"</f>
        <v>1040011F00126    00</v>
      </c>
      <c r="B520" t="s">
        <v>1363</v>
      </c>
      <c r="C520" t="s">
        <v>1365</v>
      </c>
      <c r="D520" t="s">
        <v>20</v>
      </c>
      <c r="E520" t="s">
        <v>21</v>
      </c>
      <c r="F520">
        <v>0</v>
      </c>
      <c r="G520">
        <v>0</v>
      </c>
      <c r="H520">
        <v>1</v>
      </c>
      <c r="I520" s="3">
        <v>1143.6199999999999</v>
      </c>
      <c r="J520" s="3">
        <v>0</v>
      </c>
      <c r="L520">
        <v>46</v>
      </c>
      <c r="M520" t="s">
        <v>913</v>
      </c>
      <c r="N520" t="s">
        <v>914</v>
      </c>
      <c r="O520" t="s">
        <v>200</v>
      </c>
      <c r="P520" t="str">
        <f t="shared" si="7"/>
        <v>10952</v>
      </c>
    </row>
    <row r="521" spans="1:16" x14ac:dyDescent="0.25">
      <c r="A521" t="str">
        <f>"1040011F00130    00"</f>
        <v>1040011F00130    00</v>
      </c>
      <c r="B521" t="s">
        <v>1363</v>
      </c>
      <c r="C521" t="s">
        <v>1366</v>
      </c>
      <c r="D521" t="s">
        <v>20</v>
      </c>
      <c r="E521" t="s">
        <v>21</v>
      </c>
      <c r="F521">
        <v>0</v>
      </c>
      <c r="G521">
        <v>0</v>
      </c>
      <c r="H521">
        <v>1</v>
      </c>
      <c r="I521" s="3">
        <v>2401.58</v>
      </c>
      <c r="J521" s="3">
        <v>0</v>
      </c>
      <c r="L521">
        <v>46</v>
      </c>
      <c r="M521" t="s">
        <v>913</v>
      </c>
      <c r="N521" t="s">
        <v>914</v>
      </c>
      <c r="O521" t="s">
        <v>200</v>
      </c>
      <c r="P521" t="str">
        <f t="shared" si="7"/>
        <v>10952</v>
      </c>
    </row>
    <row r="522" spans="1:16" x14ac:dyDescent="0.25">
      <c r="A522" t="str">
        <f>"1040011F00134    00"</f>
        <v>1040011F00134    00</v>
      </c>
      <c r="B522" t="s">
        <v>1363</v>
      </c>
      <c r="C522" t="s">
        <v>1367</v>
      </c>
      <c r="D522" t="s">
        <v>20</v>
      </c>
      <c r="E522" t="s">
        <v>21</v>
      </c>
      <c r="F522">
        <v>0</v>
      </c>
      <c r="G522">
        <v>0</v>
      </c>
      <c r="H522">
        <v>1</v>
      </c>
      <c r="I522" s="3">
        <v>1751.63</v>
      </c>
      <c r="J522" s="3">
        <v>0</v>
      </c>
      <c r="L522">
        <v>46</v>
      </c>
      <c r="M522" t="s">
        <v>913</v>
      </c>
      <c r="N522" t="s">
        <v>914</v>
      </c>
      <c r="O522" t="s">
        <v>200</v>
      </c>
      <c r="P522" t="str">
        <f t="shared" si="7"/>
        <v>10952</v>
      </c>
    </row>
    <row r="523" spans="1:16" x14ac:dyDescent="0.25">
      <c r="A523" t="str">
        <f>"1040011F00136    00"</f>
        <v>1040011F00136    00</v>
      </c>
      <c r="B523" t="s">
        <v>1363</v>
      </c>
      <c r="C523" t="s">
        <v>1368</v>
      </c>
      <c r="D523" t="s">
        <v>20</v>
      </c>
      <c r="E523" t="s">
        <v>39</v>
      </c>
      <c r="F523">
        <v>0</v>
      </c>
      <c r="G523">
        <v>0</v>
      </c>
      <c r="H523">
        <v>1</v>
      </c>
      <c r="I523" s="3">
        <v>343.1</v>
      </c>
      <c r="J523" s="3">
        <v>0</v>
      </c>
      <c r="L523">
        <v>46</v>
      </c>
      <c r="M523" t="s">
        <v>913</v>
      </c>
      <c r="N523" t="s">
        <v>914</v>
      </c>
      <c r="O523" t="s">
        <v>200</v>
      </c>
      <c r="P523" t="str">
        <f t="shared" si="7"/>
        <v>10952</v>
      </c>
    </row>
    <row r="524" spans="1:16" x14ac:dyDescent="0.25">
      <c r="A524" t="str">
        <f>"1040011F00137    00"</f>
        <v>1040011F00137    00</v>
      </c>
      <c r="B524" t="s">
        <v>1363</v>
      </c>
      <c r="C524" t="s">
        <v>1369</v>
      </c>
      <c r="D524" t="s">
        <v>20</v>
      </c>
      <c r="E524" t="s">
        <v>39</v>
      </c>
      <c r="F524">
        <v>0</v>
      </c>
      <c r="G524">
        <v>0</v>
      </c>
      <c r="H524">
        <v>1</v>
      </c>
      <c r="I524" s="3">
        <v>343.1</v>
      </c>
      <c r="J524" s="3">
        <v>0</v>
      </c>
      <c r="L524">
        <v>46</v>
      </c>
      <c r="M524" t="s">
        <v>913</v>
      </c>
      <c r="N524" t="s">
        <v>914</v>
      </c>
      <c r="O524" t="s">
        <v>200</v>
      </c>
      <c r="P524" t="str">
        <f t="shared" si="7"/>
        <v>10952</v>
      </c>
    </row>
    <row r="525" spans="1:16" x14ac:dyDescent="0.25">
      <c r="A525" t="str">
        <f>"1040011F00138    00"</f>
        <v>1040011F00138    00</v>
      </c>
      <c r="B525" t="s">
        <v>1363</v>
      </c>
      <c r="C525" t="s">
        <v>1370</v>
      </c>
      <c r="D525" t="s">
        <v>20</v>
      </c>
      <c r="E525" t="s">
        <v>21</v>
      </c>
      <c r="F525">
        <v>0</v>
      </c>
      <c r="G525">
        <v>0</v>
      </c>
      <c r="H525">
        <v>1</v>
      </c>
      <c r="I525" s="3">
        <v>2401.58</v>
      </c>
      <c r="J525" s="3">
        <v>0</v>
      </c>
      <c r="L525">
        <v>46</v>
      </c>
      <c r="M525" t="s">
        <v>913</v>
      </c>
      <c r="N525" t="s">
        <v>914</v>
      </c>
      <c r="O525" t="s">
        <v>200</v>
      </c>
      <c r="P525" t="str">
        <f t="shared" si="7"/>
        <v>10952</v>
      </c>
    </row>
    <row r="526" spans="1:16" x14ac:dyDescent="0.25">
      <c r="A526" t="str">
        <f>"1040011F00170    00"</f>
        <v>1040011F00170    00</v>
      </c>
      <c r="B526" t="s">
        <v>1371</v>
      </c>
      <c r="C526" t="s">
        <v>1372</v>
      </c>
      <c r="E526" t="s">
        <v>39</v>
      </c>
      <c r="F526">
        <v>0</v>
      </c>
      <c r="G526">
        <v>0</v>
      </c>
      <c r="H526">
        <v>1</v>
      </c>
      <c r="I526" s="3">
        <v>97.22</v>
      </c>
      <c r="J526" s="3">
        <v>0</v>
      </c>
      <c r="K526" t="s">
        <v>1373</v>
      </c>
      <c r="L526">
        <v>715</v>
      </c>
      <c r="M526" t="s">
        <v>1374</v>
      </c>
      <c r="N526" t="s">
        <v>30</v>
      </c>
      <c r="O526" t="s">
        <v>31</v>
      </c>
      <c r="P526" t="str">
        <f>"15219"</f>
        <v>15219</v>
      </c>
    </row>
    <row r="527" spans="1:16" x14ac:dyDescent="0.25">
      <c r="A527" t="str">
        <f>"1040011F00171    00"</f>
        <v>1040011F00171    00</v>
      </c>
      <c r="B527" t="s">
        <v>1375</v>
      </c>
      <c r="C527" t="s">
        <v>1376</v>
      </c>
      <c r="D527" t="s">
        <v>20</v>
      </c>
      <c r="E527" t="s">
        <v>39</v>
      </c>
      <c r="F527">
        <v>0</v>
      </c>
      <c r="G527">
        <v>0</v>
      </c>
      <c r="H527">
        <v>19</v>
      </c>
      <c r="I527" s="3">
        <v>1566.23</v>
      </c>
      <c r="J527" s="3">
        <v>1229.81</v>
      </c>
      <c r="K527" t="s">
        <v>1037</v>
      </c>
      <c r="L527">
        <v>338</v>
      </c>
      <c r="M527" t="s">
        <v>1377</v>
      </c>
      <c r="N527" t="s">
        <v>30</v>
      </c>
      <c r="O527" t="s">
        <v>31</v>
      </c>
      <c r="P527" t="str">
        <f>"15210"</f>
        <v>15210</v>
      </c>
    </row>
    <row r="528" spans="1:16" x14ac:dyDescent="0.25">
      <c r="A528" t="str">
        <f>"1040011F00185    00"</f>
        <v>1040011F00185    00</v>
      </c>
      <c r="B528" t="s">
        <v>1378</v>
      </c>
      <c r="C528" t="s">
        <v>1379</v>
      </c>
      <c r="D528" t="s">
        <v>20</v>
      </c>
      <c r="E528" t="s">
        <v>39</v>
      </c>
      <c r="F528">
        <v>0</v>
      </c>
      <c r="G528">
        <v>0</v>
      </c>
      <c r="H528">
        <v>16</v>
      </c>
      <c r="I528" s="3">
        <v>865.28</v>
      </c>
      <c r="J528" s="3">
        <v>898.09</v>
      </c>
      <c r="L528">
        <v>525</v>
      </c>
      <c r="M528" t="s">
        <v>1380</v>
      </c>
      <c r="N528" t="s">
        <v>30</v>
      </c>
      <c r="O528" t="s">
        <v>31</v>
      </c>
      <c r="P528" t="str">
        <f>"15206"</f>
        <v>15206</v>
      </c>
    </row>
    <row r="529" spans="1:16" x14ac:dyDescent="0.25">
      <c r="A529" t="str">
        <f>"1040011G00022    00"</f>
        <v>1040011G00022    00</v>
      </c>
      <c r="B529" t="s">
        <v>1381</v>
      </c>
      <c r="C529" t="s">
        <v>1382</v>
      </c>
      <c r="D529" t="s">
        <v>20</v>
      </c>
      <c r="E529" t="s">
        <v>39</v>
      </c>
      <c r="F529">
        <v>0</v>
      </c>
      <c r="G529">
        <v>0</v>
      </c>
      <c r="H529">
        <v>14</v>
      </c>
      <c r="I529" s="3">
        <v>2910.42</v>
      </c>
      <c r="J529" s="3">
        <v>1969.23</v>
      </c>
      <c r="L529">
        <v>127</v>
      </c>
      <c r="M529" t="s">
        <v>1383</v>
      </c>
      <c r="N529" t="s">
        <v>30</v>
      </c>
      <c r="O529" t="s">
        <v>31</v>
      </c>
      <c r="P529" t="str">
        <f t="shared" ref="P529:P534" si="8">"15219"</f>
        <v>15219</v>
      </c>
    </row>
    <row r="530" spans="1:16" x14ac:dyDescent="0.25">
      <c r="A530" t="str">
        <f>"1040011G00024    00"</f>
        <v>1040011G00024    00</v>
      </c>
      <c r="B530" t="s">
        <v>1384</v>
      </c>
      <c r="C530" t="s">
        <v>1385</v>
      </c>
      <c r="D530" t="s">
        <v>20</v>
      </c>
      <c r="E530" t="s">
        <v>39</v>
      </c>
      <c r="F530">
        <v>0</v>
      </c>
      <c r="G530">
        <v>0</v>
      </c>
      <c r="H530">
        <v>3</v>
      </c>
      <c r="I530" s="3">
        <v>8009.06</v>
      </c>
      <c r="J530" s="3">
        <v>0</v>
      </c>
      <c r="L530">
        <v>123</v>
      </c>
      <c r="M530" t="s">
        <v>1383</v>
      </c>
      <c r="N530" t="s">
        <v>30</v>
      </c>
      <c r="O530" t="s">
        <v>31</v>
      </c>
      <c r="P530" t="str">
        <f t="shared" si="8"/>
        <v>15219</v>
      </c>
    </row>
    <row r="531" spans="1:16" x14ac:dyDescent="0.25">
      <c r="A531" t="str">
        <f>"1040011G00025    00"</f>
        <v>1040011G00025    00</v>
      </c>
      <c r="B531" t="s">
        <v>1384</v>
      </c>
      <c r="C531" t="s">
        <v>1386</v>
      </c>
      <c r="D531" t="s">
        <v>20</v>
      </c>
      <c r="E531" t="s">
        <v>39</v>
      </c>
      <c r="F531">
        <v>0</v>
      </c>
      <c r="G531">
        <v>0</v>
      </c>
      <c r="H531">
        <v>2</v>
      </c>
      <c r="I531" s="3">
        <v>19.079999999999998</v>
      </c>
      <c r="J531" s="3">
        <v>0</v>
      </c>
      <c r="L531">
        <v>123</v>
      </c>
      <c r="M531" t="s">
        <v>1383</v>
      </c>
      <c r="N531" t="s">
        <v>30</v>
      </c>
      <c r="O531" t="s">
        <v>31</v>
      </c>
      <c r="P531" t="str">
        <f t="shared" si="8"/>
        <v>15219</v>
      </c>
    </row>
    <row r="532" spans="1:16" x14ac:dyDescent="0.25">
      <c r="A532" t="str">
        <f>"1040011G00037    00"</f>
        <v>1040011G00037    00</v>
      </c>
      <c r="B532" t="s">
        <v>1387</v>
      </c>
      <c r="C532" t="s">
        <v>1388</v>
      </c>
      <c r="D532" t="s">
        <v>20</v>
      </c>
      <c r="E532" t="s">
        <v>39</v>
      </c>
      <c r="F532">
        <v>0</v>
      </c>
      <c r="G532">
        <v>0</v>
      </c>
      <c r="H532">
        <v>5</v>
      </c>
      <c r="I532" s="3">
        <v>238.27</v>
      </c>
      <c r="J532" s="3">
        <v>36.659999999999997</v>
      </c>
      <c r="L532">
        <v>136</v>
      </c>
      <c r="M532" t="s">
        <v>1383</v>
      </c>
      <c r="N532" t="s">
        <v>30</v>
      </c>
      <c r="O532" t="s">
        <v>31</v>
      </c>
      <c r="P532" t="str">
        <f t="shared" si="8"/>
        <v>15219</v>
      </c>
    </row>
    <row r="533" spans="1:16" x14ac:dyDescent="0.25">
      <c r="A533" t="str">
        <f>"1040011G00038    00"</f>
        <v>1040011G00038    00</v>
      </c>
      <c r="B533" t="s">
        <v>1389</v>
      </c>
      <c r="C533" t="s">
        <v>1390</v>
      </c>
      <c r="E533" t="s">
        <v>39</v>
      </c>
      <c r="F533">
        <v>0</v>
      </c>
      <c r="G533">
        <v>0</v>
      </c>
      <c r="H533">
        <v>1</v>
      </c>
      <c r="I533" s="3">
        <v>24.11</v>
      </c>
      <c r="J533" s="3">
        <v>7.23</v>
      </c>
      <c r="L533">
        <v>134</v>
      </c>
      <c r="M533" t="s">
        <v>1383</v>
      </c>
      <c r="N533" t="s">
        <v>30</v>
      </c>
      <c r="O533" t="s">
        <v>31</v>
      </c>
      <c r="P533" t="str">
        <f t="shared" si="8"/>
        <v>15219</v>
      </c>
    </row>
    <row r="534" spans="1:16" x14ac:dyDescent="0.25">
      <c r="A534" t="str">
        <f>"1040011G00039    00"</f>
        <v>1040011G00039    00</v>
      </c>
      <c r="B534" t="s">
        <v>1391</v>
      </c>
      <c r="C534" t="s">
        <v>1392</v>
      </c>
      <c r="D534" t="s">
        <v>20</v>
      </c>
      <c r="E534" t="s">
        <v>39</v>
      </c>
      <c r="F534">
        <v>0</v>
      </c>
      <c r="G534">
        <v>0</v>
      </c>
      <c r="H534">
        <v>8</v>
      </c>
      <c r="I534" s="3">
        <v>1328.19</v>
      </c>
      <c r="J534" s="3">
        <v>1412.21</v>
      </c>
      <c r="L534">
        <v>132</v>
      </c>
      <c r="M534" t="s">
        <v>1383</v>
      </c>
      <c r="N534" t="s">
        <v>30</v>
      </c>
      <c r="O534" t="s">
        <v>31</v>
      </c>
      <c r="P534" t="str">
        <f t="shared" si="8"/>
        <v>15219</v>
      </c>
    </row>
    <row r="535" spans="1:16" x14ac:dyDescent="0.25">
      <c r="A535" t="str">
        <f>"1040011G00043000100"</f>
        <v>1040011G00043000100</v>
      </c>
      <c r="B535" t="s">
        <v>1393</v>
      </c>
      <c r="C535" t="s">
        <v>1386</v>
      </c>
      <c r="E535" t="s">
        <v>39</v>
      </c>
      <c r="F535">
        <v>0</v>
      </c>
      <c r="G535">
        <v>0</v>
      </c>
      <c r="H535">
        <v>1</v>
      </c>
      <c r="I535" s="3">
        <v>122.07</v>
      </c>
      <c r="J535" s="3">
        <v>219.62</v>
      </c>
      <c r="L535">
        <v>3619</v>
      </c>
      <c r="M535" t="s">
        <v>1394</v>
      </c>
      <c r="N535" t="s">
        <v>30</v>
      </c>
      <c r="O535" t="s">
        <v>31</v>
      </c>
      <c r="P535" t="str">
        <f>"15204"</f>
        <v>15204</v>
      </c>
    </row>
    <row r="536" spans="1:16" x14ac:dyDescent="0.25">
      <c r="A536" t="str">
        <f>"1040011G00048    00"</f>
        <v>1040011G00048    00</v>
      </c>
      <c r="B536" t="s">
        <v>1395</v>
      </c>
      <c r="C536" t="s">
        <v>1396</v>
      </c>
      <c r="D536" t="s">
        <v>20</v>
      </c>
      <c r="E536" t="s">
        <v>39</v>
      </c>
      <c r="F536">
        <v>0</v>
      </c>
      <c r="G536">
        <v>0</v>
      </c>
      <c r="H536">
        <v>2</v>
      </c>
      <c r="I536" s="3">
        <v>1014.49</v>
      </c>
      <c r="J536" s="3">
        <v>0</v>
      </c>
      <c r="K536" t="s">
        <v>1397</v>
      </c>
      <c r="L536">
        <v>114</v>
      </c>
      <c r="M536" t="s">
        <v>1383</v>
      </c>
      <c r="N536" t="s">
        <v>30</v>
      </c>
      <c r="O536" t="s">
        <v>31</v>
      </c>
      <c r="P536" t="str">
        <f>"15219"</f>
        <v>15219</v>
      </c>
    </row>
    <row r="537" spans="1:16" x14ac:dyDescent="0.25">
      <c r="A537" t="str">
        <f>"1040011G00051    00"</f>
        <v>1040011G00051    00</v>
      </c>
      <c r="B537" t="s">
        <v>1398</v>
      </c>
      <c r="C537" t="s">
        <v>1399</v>
      </c>
      <c r="E537" t="s">
        <v>39</v>
      </c>
      <c r="F537">
        <v>0</v>
      </c>
      <c r="G537">
        <v>0</v>
      </c>
      <c r="H537">
        <v>1</v>
      </c>
      <c r="I537" s="3">
        <v>10.25</v>
      </c>
      <c r="J537" s="3">
        <v>0</v>
      </c>
      <c r="K537" t="s">
        <v>128</v>
      </c>
      <c r="L537">
        <v>4249</v>
      </c>
      <c r="M537" t="s">
        <v>129</v>
      </c>
      <c r="N537" t="s">
        <v>24</v>
      </c>
      <c r="O537" t="s">
        <v>25</v>
      </c>
      <c r="P537" t="str">
        <f t="shared" ref="P537:P544" si="9">"43219"</f>
        <v>43219</v>
      </c>
    </row>
    <row r="538" spans="1:16" x14ac:dyDescent="0.25">
      <c r="A538" t="str">
        <f>"1040011G00054    00"</f>
        <v>1040011G00054    00</v>
      </c>
      <c r="B538" t="s">
        <v>1398</v>
      </c>
      <c r="C538" t="s">
        <v>1399</v>
      </c>
      <c r="E538" t="s">
        <v>39</v>
      </c>
      <c r="F538">
        <v>0</v>
      </c>
      <c r="G538">
        <v>0</v>
      </c>
      <c r="H538">
        <v>1</v>
      </c>
      <c r="I538" s="3">
        <v>10.25</v>
      </c>
      <c r="J538" s="3">
        <v>0</v>
      </c>
      <c r="K538" t="s">
        <v>128</v>
      </c>
      <c r="L538">
        <v>4249</v>
      </c>
      <c r="M538" t="s">
        <v>129</v>
      </c>
      <c r="N538" t="s">
        <v>24</v>
      </c>
      <c r="O538" t="s">
        <v>25</v>
      </c>
      <c r="P538" t="str">
        <f t="shared" si="9"/>
        <v>43219</v>
      </c>
    </row>
    <row r="539" spans="1:16" x14ac:dyDescent="0.25">
      <c r="A539" t="str">
        <f>"1040011G00055    00"</f>
        <v>1040011G00055    00</v>
      </c>
      <c r="B539" t="s">
        <v>1398</v>
      </c>
      <c r="C539" t="s">
        <v>1400</v>
      </c>
      <c r="E539" t="s">
        <v>21</v>
      </c>
      <c r="F539">
        <v>0</v>
      </c>
      <c r="G539">
        <v>0</v>
      </c>
      <c r="H539">
        <v>1</v>
      </c>
      <c r="I539" s="3">
        <v>2027.45</v>
      </c>
      <c r="J539" s="3">
        <v>0</v>
      </c>
      <c r="K539" t="s">
        <v>128</v>
      </c>
      <c r="L539">
        <v>4249</v>
      </c>
      <c r="M539" t="s">
        <v>129</v>
      </c>
      <c r="N539" t="s">
        <v>24</v>
      </c>
      <c r="O539" t="s">
        <v>25</v>
      </c>
      <c r="P539" t="str">
        <f t="shared" si="9"/>
        <v>43219</v>
      </c>
    </row>
    <row r="540" spans="1:16" x14ac:dyDescent="0.25">
      <c r="A540" t="str">
        <f>"1040011G00056    00"</f>
        <v>1040011G00056    00</v>
      </c>
      <c r="B540" t="s">
        <v>1398</v>
      </c>
      <c r="C540" t="s">
        <v>1400</v>
      </c>
      <c r="E540" t="s">
        <v>290</v>
      </c>
      <c r="F540">
        <v>0</v>
      </c>
      <c r="G540">
        <v>0</v>
      </c>
      <c r="H540">
        <v>2</v>
      </c>
      <c r="I540" s="3">
        <v>5369.14</v>
      </c>
      <c r="J540" s="3">
        <v>0.97</v>
      </c>
      <c r="K540" t="s">
        <v>128</v>
      </c>
      <c r="L540">
        <v>4249</v>
      </c>
      <c r="M540" t="s">
        <v>129</v>
      </c>
      <c r="N540" t="s">
        <v>24</v>
      </c>
      <c r="O540" t="s">
        <v>25</v>
      </c>
      <c r="P540" t="str">
        <f t="shared" si="9"/>
        <v>43219</v>
      </c>
    </row>
    <row r="541" spans="1:16" x14ac:dyDescent="0.25">
      <c r="A541" t="str">
        <f>"1040011G00062    00"</f>
        <v>1040011G00062    00</v>
      </c>
      <c r="B541" t="s">
        <v>1398</v>
      </c>
      <c r="C541" t="s">
        <v>1400</v>
      </c>
      <c r="E541" t="s">
        <v>21</v>
      </c>
      <c r="F541">
        <v>0</v>
      </c>
      <c r="G541">
        <v>0</v>
      </c>
      <c r="H541">
        <v>2</v>
      </c>
      <c r="I541" s="3">
        <v>4951.09</v>
      </c>
      <c r="J541" s="3">
        <v>37.92</v>
      </c>
      <c r="K541" t="s">
        <v>128</v>
      </c>
      <c r="L541">
        <v>4249</v>
      </c>
      <c r="M541" t="s">
        <v>129</v>
      </c>
      <c r="N541" t="s">
        <v>24</v>
      </c>
      <c r="O541" t="s">
        <v>25</v>
      </c>
      <c r="P541" t="str">
        <f t="shared" si="9"/>
        <v>43219</v>
      </c>
    </row>
    <row r="542" spans="1:16" x14ac:dyDescent="0.25">
      <c r="A542" t="str">
        <f>"1040011G00075    00"</f>
        <v>1040011G00075    00</v>
      </c>
      <c r="B542" t="s">
        <v>1398</v>
      </c>
      <c r="C542" t="s">
        <v>1400</v>
      </c>
      <c r="E542" t="s">
        <v>21</v>
      </c>
      <c r="F542">
        <v>0</v>
      </c>
      <c r="G542">
        <v>0</v>
      </c>
      <c r="H542">
        <v>1</v>
      </c>
      <c r="I542" s="3">
        <v>152.72999999999999</v>
      </c>
      <c r="J542" s="3">
        <v>0</v>
      </c>
      <c r="K542" t="s">
        <v>128</v>
      </c>
      <c r="L542">
        <v>4249</v>
      </c>
      <c r="M542" t="s">
        <v>129</v>
      </c>
      <c r="N542" t="s">
        <v>24</v>
      </c>
      <c r="O542" t="s">
        <v>25</v>
      </c>
      <c r="P542" t="str">
        <f t="shared" si="9"/>
        <v>43219</v>
      </c>
    </row>
    <row r="543" spans="1:16" x14ac:dyDescent="0.25">
      <c r="A543" t="str">
        <f>"1040011G00077    00"</f>
        <v>1040011G00077    00</v>
      </c>
      <c r="B543" t="s">
        <v>1398</v>
      </c>
      <c r="C543" t="s">
        <v>1400</v>
      </c>
      <c r="E543" t="s">
        <v>21</v>
      </c>
      <c r="F543">
        <v>0</v>
      </c>
      <c r="G543">
        <v>0</v>
      </c>
      <c r="H543">
        <v>2</v>
      </c>
      <c r="I543" s="3">
        <v>343.99</v>
      </c>
      <c r="J543" s="3">
        <v>1.26</v>
      </c>
      <c r="K543" t="s">
        <v>128</v>
      </c>
      <c r="L543">
        <v>4249</v>
      </c>
      <c r="M543" t="s">
        <v>129</v>
      </c>
      <c r="N543" t="s">
        <v>24</v>
      </c>
      <c r="O543" t="s">
        <v>25</v>
      </c>
      <c r="P543" t="str">
        <f t="shared" si="9"/>
        <v>43219</v>
      </c>
    </row>
    <row r="544" spans="1:16" x14ac:dyDescent="0.25">
      <c r="A544" t="str">
        <f>"1040011G00082    00"</f>
        <v>1040011G00082    00</v>
      </c>
      <c r="B544" t="s">
        <v>1398</v>
      </c>
      <c r="C544" t="s">
        <v>1401</v>
      </c>
      <c r="E544" t="s">
        <v>39</v>
      </c>
      <c r="F544">
        <v>0</v>
      </c>
      <c r="G544">
        <v>0</v>
      </c>
      <c r="H544">
        <v>1</v>
      </c>
      <c r="I544" s="3">
        <v>11.28</v>
      </c>
      <c r="J544" s="3">
        <v>0</v>
      </c>
      <c r="K544" t="s">
        <v>128</v>
      </c>
      <c r="L544">
        <v>4249</v>
      </c>
      <c r="M544" t="s">
        <v>129</v>
      </c>
      <c r="N544" t="s">
        <v>24</v>
      </c>
      <c r="O544" t="s">
        <v>25</v>
      </c>
      <c r="P544" t="str">
        <f t="shared" si="9"/>
        <v>43219</v>
      </c>
    </row>
    <row r="545" spans="1:16" x14ac:dyDescent="0.25">
      <c r="A545" t="str">
        <f>"1040011G00110    00"</f>
        <v>1040011G00110    00</v>
      </c>
      <c r="B545" t="s">
        <v>1402</v>
      </c>
      <c r="C545" t="s">
        <v>1403</v>
      </c>
      <c r="E545" t="s">
        <v>39</v>
      </c>
      <c r="F545">
        <v>0</v>
      </c>
      <c r="G545">
        <v>0</v>
      </c>
      <c r="H545">
        <v>7</v>
      </c>
      <c r="I545" s="3">
        <v>1369.98</v>
      </c>
      <c r="J545" s="3">
        <v>566.14</v>
      </c>
      <c r="L545">
        <v>28</v>
      </c>
      <c r="M545" t="s">
        <v>1404</v>
      </c>
      <c r="N545" t="s">
        <v>30</v>
      </c>
      <c r="O545" t="s">
        <v>31</v>
      </c>
      <c r="P545" t="str">
        <f>"15213"</f>
        <v>15213</v>
      </c>
    </row>
    <row r="546" spans="1:16" x14ac:dyDescent="0.25">
      <c r="A546" t="str">
        <f>"1040011G00144    00"</f>
        <v>1040011G00144    00</v>
      </c>
      <c r="B546" t="s">
        <v>1405</v>
      </c>
      <c r="C546" t="s">
        <v>1406</v>
      </c>
      <c r="E546" t="s">
        <v>39</v>
      </c>
      <c r="F546">
        <v>0</v>
      </c>
      <c r="G546">
        <v>0</v>
      </c>
      <c r="H546">
        <v>7</v>
      </c>
      <c r="I546" s="3">
        <v>1615.57</v>
      </c>
      <c r="J546" s="3">
        <v>455.56</v>
      </c>
      <c r="L546">
        <v>69</v>
      </c>
      <c r="M546" t="s">
        <v>1407</v>
      </c>
      <c r="N546" t="s">
        <v>30</v>
      </c>
      <c r="O546" t="s">
        <v>31</v>
      </c>
      <c r="P546" t="str">
        <f>"15210"</f>
        <v>15210</v>
      </c>
    </row>
    <row r="547" spans="1:16" x14ac:dyDescent="0.25">
      <c r="A547" t="str">
        <f>"1040011G00146    00"</f>
        <v>1040011G00146    00</v>
      </c>
      <c r="B547" t="s">
        <v>1408</v>
      </c>
      <c r="C547" t="s">
        <v>1409</v>
      </c>
      <c r="D547" t="s">
        <v>20</v>
      </c>
      <c r="E547" t="s">
        <v>39</v>
      </c>
      <c r="F547">
        <v>0</v>
      </c>
      <c r="G547">
        <v>0</v>
      </c>
      <c r="H547">
        <v>10</v>
      </c>
      <c r="I547" s="3">
        <v>1271.08</v>
      </c>
      <c r="J547" s="3">
        <v>685.79</v>
      </c>
      <c r="K547" t="s">
        <v>1410</v>
      </c>
      <c r="L547">
        <v>4004</v>
      </c>
      <c r="M547" t="s">
        <v>1411</v>
      </c>
      <c r="N547" t="s">
        <v>1412</v>
      </c>
      <c r="O547" t="s">
        <v>1413</v>
      </c>
      <c r="P547" t="str">
        <f>"28217"</f>
        <v>28217</v>
      </c>
    </row>
    <row r="548" spans="1:16" x14ac:dyDescent="0.25">
      <c r="A548" t="str">
        <f>"1040011H00038    00"</f>
        <v>1040011H00038    00</v>
      </c>
      <c r="B548" t="s">
        <v>1414</v>
      </c>
      <c r="C548" t="s">
        <v>1415</v>
      </c>
      <c r="D548" t="s">
        <v>20</v>
      </c>
      <c r="E548" t="s">
        <v>39</v>
      </c>
      <c r="F548">
        <v>0</v>
      </c>
      <c r="G548">
        <v>0</v>
      </c>
      <c r="H548">
        <v>1</v>
      </c>
      <c r="I548" s="3">
        <v>3686.2</v>
      </c>
      <c r="J548" s="3">
        <v>0</v>
      </c>
      <c r="K548" t="s">
        <v>484</v>
      </c>
      <c r="L548">
        <v>3001</v>
      </c>
      <c r="M548" t="s">
        <v>330</v>
      </c>
      <c r="N548" t="s">
        <v>331</v>
      </c>
      <c r="O548" t="s">
        <v>108</v>
      </c>
      <c r="P548" t="str">
        <f>"75063"</f>
        <v>75063</v>
      </c>
    </row>
    <row r="549" spans="1:16" x14ac:dyDescent="0.25">
      <c r="A549" t="str">
        <f>"1040011H00056    00"</f>
        <v>1040011H00056    00</v>
      </c>
      <c r="B549" t="s">
        <v>1416</v>
      </c>
      <c r="C549" t="s">
        <v>1417</v>
      </c>
      <c r="E549" t="s">
        <v>39</v>
      </c>
      <c r="F549">
        <v>0</v>
      </c>
      <c r="G549">
        <v>0</v>
      </c>
      <c r="H549">
        <v>1</v>
      </c>
      <c r="I549" s="3">
        <v>181.5</v>
      </c>
      <c r="J549" s="3">
        <v>125.54</v>
      </c>
      <c r="K549" t="s">
        <v>1418</v>
      </c>
      <c r="L549">
        <v>1</v>
      </c>
      <c r="M549" t="s">
        <v>700</v>
      </c>
      <c r="N549" t="s">
        <v>199</v>
      </c>
      <c r="O549" t="s">
        <v>200</v>
      </c>
      <c r="P549" t="str">
        <f>"10013"</f>
        <v>10013</v>
      </c>
    </row>
    <row r="550" spans="1:16" x14ac:dyDescent="0.25">
      <c r="A550" t="str">
        <f>"1040011H00062    00"</f>
        <v>1040011H00062    00</v>
      </c>
      <c r="B550" t="s">
        <v>1419</v>
      </c>
      <c r="C550" t="s">
        <v>1420</v>
      </c>
      <c r="E550" t="s">
        <v>39</v>
      </c>
      <c r="F550">
        <v>0</v>
      </c>
      <c r="G550">
        <v>0</v>
      </c>
      <c r="H550">
        <v>8</v>
      </c>
      <c r="I550" s="3">
        <v>3334.68</v>
      </c>
      <c r="J550" s="3">
        <v>4682.1400000000003</v>
      </c>
      <c r="K550" t="s">
        <v>1421</v>
      </c>
      <c r="L550">
        <v>294</v>
      </c>
      <c r="M550" t="s">
        <v>1422</v>
      </c>
      <c r="N550" t="s">
        <v>30</v>
      </c>
      <c r="O550" t="s">
        <v>31</v>
      </c>
      <c r="P550" t="str">
        <f>"15213"</f>
        <v>15213</v>
      </c>
    </row>
    <row r="551" spans="1:16" x14ac:dyDescent="0.25">
      <c r="A551" t="str">
        <f>"1040011H00412    00"</f>
        <v>1040011H00412    00</v>
      </c>
      <c r="B551" t="s">
        <v>1423</v>
      </c>
      <c r="C551" t="s">
        <v>1424</v>
      </c>
      <c r="E551" t="s">
        <v>39</v>
      </c>
      <c r="F551">
        <v>0</v>
      </c>
      <c r="G551">
        <v>0</v>
      </c>
      <c r="H551">
        <v>1</v>
      </c>
      <c r="I551" s="3">
        <v>3146.82</v>
      </c>
      <c r="J551" s="3">
        <v>0</v>
      </c>
      <c r="K551" t="s">
        <v>756</v>
      </c>
      <c r="L551">
        <v>3001</v>
      </c>
      <c r="M551" t="s">
        <v>330</v>
      </c>
      <c r="N551" t="s">
        <v>331</v>
      </c>
      <c r="O551" t="s">
        <v>108</v>
      </c>
      <c r="P551" t="str">
        <f>"75063"</f>
        <v>75063</v>
      </c>
    </row>
    <row r="552" spans="1:16" x14ac:dyDescent="0.25">
      <c r="A552" t="str">
        <f>"1040011H00414    00"</f>
        <v>1040011H00414    00</v>
      </c>
      <c r="B552" t="s">
        <v>1425</v>
      </c>
      <c r="C552" t="s">
        <v>1426</v>
      </c>
      <c r="D552" t="s">
        <v>20</v>
      </c>
      <c r="E552" t="s">
        <v>39</v>
      </c>
      <c r="F552">
        <v>0</v>
      </c>
      <c r="G552">
        <v>0</v>
      </c>
      <c r="H552">
        <v>2</v>
      </c>
      <c r="I552" s="3">
        <v>5058.54</v>
      </c>
      <c r="J552" s="3">
        <v>0</v>
      </c>
      <c r="K552" t="s">
        <v>1427</v>
      </c>
      <c r="L552">
        <v>3001</v>
      </c>
      <c r="M552" t="s">
        <v>330</v>
      </c>
      <c r="N552" t="s">
        <v>331</v>
      </c>
      <c r="O552" t="s">
        <v>108</v>
      </c>
      <c r="P552" t="str">
        <f>"75063"</f>
        <v>75063</v>
      </c>
    </row>
    <row r="553" spans="1:16" x14ac:dyDescent="0.25">
      <c r="A553" t="str">
        <f>"1040011H00416    00"</f>
        <v>1040011H00416    00</v>
      </c>
      <c r="B553" t="s">
        <v>1428</v>
      </c>
      <c r="C553" t="s">
        <v>1429</v>
      </c>
      <c r="E553" t="s">
        <v>39</v>
      </c>
      <c r="F553">
        <v>0</v>
      </c>
      <c r="G553">
        <v>0</v>
      </c>
      <c r="H553">
        <v>1</v>
      </c>
      <c r="I553" s="3">
        <v>2407.29</v>
      </c>
      <c r="J553" s="3">
        <v>0</v>
      </c>
      <c r="K553" t="s">
        <v>881</v>
      </c>
      <c r="L553">
        <v>3001</v>
      </c>
      <c r="M553" t="s">
        <v>330</v>
      </c>
      <c r="N553" t="s">
        <v>331</v>
      </c>
      <c r="O553" t="s">
        <v>108</v>
      </c>
      <c r="P553" t="str">
        <f>"75063"</f>
        <v>75063</v>
      </c>
    </row>
    <row r="554" spans="1:16" x14ac:dyDescent="0.25">
      <c r="A554" t="str">
        <f>"1040011H00418    00"</f>
        <v>1040011H00418    00</v>
      </c>
      <c r="B554" t="s">
        <v>1430</v>
      </c>
      <c r="C554" t="s">
        <v>1431</v>
      </c>
      <c r="E554" t="s">
        <v>39</v>
      </c>
      <c r="F554">
        <v>0</v>
      </c>
      <c r="G554">
        <v>0</v>
      </c>
      <c r="H554">
        <v>1</v>
      </c>
      <c r="I554" s="3">
        <v>3135.38</v>
      </c>
      <c r="J554" s="3">
        <v>0</v>
      </c>
      <c r="L554">
        <v>128</v>
      </c>
      <c r="M554" t="s">
        <v>1432</v>
      </c>
      <c r="N554" t="s">
        <v>30</v>
      </c>
      <c r="O554" t="s">
        <v>31</v>
      </c>
      <c r="P554" t="str">
        <f>"15213"</f>
        <v>15213</v>
      </c>
    </row>
    <row r="555" spans="1:16" x14ac:dyDescent="0.25">
      <c r="A555" t="str">
        <f>"1040011H00422    00"</f>
        <v>1040011H00422    00</v>
      </c>
      <c r="B555" t="s">
        <v>1433</v>
      </c>
      <c r="C555" t="s">
        <v>1434</v>
      </c>
      <c r="D555" t="s">
        <v>20</v>
      </c>
      <c r="E555" t="s">
        <v>39</v>
      </c>
      <c r="F555">
        <v>0</v>
      </c>
      <c r="G555">
        <v>0</v>
      </c>
      <c r="H555">
        <v>2</v>
      </c>
      <c r="I555" s="3">
        <v>5125.24</v>
      </c>
      <c r="J555" s="3">
        <v>0</v>
      </c>
      <c r="K555" t="s">
        <v>1435</v>
      </c>
      <c r="M555" t="s">
        <v>271</v>
      </c>
      <c r="N555" t="s">
        <v>272</v>
      </c>
      <c r="O555" t="s">
        <v>273</v>
      </c>
      <c r="P555" t="str">
        <f>"29603"</f>
        <v>29603</v>
      </c>
    </row>
    <row r="556" spans="1:16" x14ac:dyDescent="0.25">
      <c r="A556" t="str">
        <f>"1040011H00426    00"</f>
        <v>1040011H00426    00</v>
      </c>
      <c r="B556" t="s">
        <v>1436</v>
      </c>
      <c r="C556" t="s">
        <v>1437</v>
      </c>
      <c r="D556" t="s">
        <v>20</v>
      </c>
      <c r="E556" t="s">
        <v>39</v>
      </c>
      <c r="F556">
        <v>0</v>
      </c>
      <c r="G556">
        <v>0</v>
      </c>
      <c r="H556">
        <v>2</v>
      </c>
      <c r="I556" s="3">
        <v>4814.58</v>
      </c>
      <c r="J556" s="3">
        <v>0</v>
      </c>
      <c r="K556" t="s">
        <v>1438</v>
      </c>
      <c r="M556" t="s">
        <v>1439</v>
      </c>
      <c r="N556" t="s">
        <v>1440</v>
      </c>
      <c r="O556" t="s">
        <v>70</v>
      </c>
      <c r="P556" t="str">
        <f>"48501"</f>
        <v>48501</v>
      </c>
    </row>
    <row r="557" spans="1:16" x14ac:dyDescent="0.25">
      <c r="A557" t="str">
        <f>"1040011H00428    00"</f>
        <v>1040011H00428    00</v>
      </c>
      <c r="B557" t="s">
        <v>1441</v>
      </c>
      <c r="C557" t="s">
        <v>1442</v>
      </c>
      <c r="E557" t="s">
        <v>39</v>
      </c>
      <c r="F557">
        <v>0</v>
      </c>
      <c r="G557">
        <v>0</v>
      </c>
      <c r="H557">
        <v>1</v>
      </c>
      <c r="I557" s="3">
        <v>3202.08</v>
      </c>
      <c r="J557" s="3">
        <v>0</v>
      </c>
      <c r="L557">
        <v>138</v>
      </c>
      <c r="M557" t="s">
        <v>1432</v>
      </c>
      <c r="N557" t="s">
        <v>30</v>
      </c>
      <c r="O557" t="s">
        <v>31</v>
      </c>
      <c r="P557" t="str">
        <f>"15213"</f>
        <v>15213</v>
      </c>
    </row>
    <row r="558" spans="1:16" x14ac:dyDescent="0.25">
      <c r="A558" t="str">
        <f>"1040011K00046    00"</f>
        <v>1040011K00046    00</v>
      </c>
      <c r="B558" t="s">
        <v>1443</v>
      </c>
      <c r="C558" t="s">
        <v>1444</v>
      </c>
      <c r="D558" t="s">
        <v>20</v>
      </c>
      <c r="E558" t="s">
        <v>39</v>
      </c>
      <c r="F558">
        <v>0</v>
      </c>
      <c r="G558">
        <v>0</v>
      </c>
      <c r="H558">
        <v>5</v>
      </c>
      <c r="I558" s="3">
        <v>2310.39</v>
      </c>
      <c r="J558" s="3">
        <v>385</v>
      </c>
      <c r="L558">
        <v>2114</v>
      </c>
      <c r="M558" t="s">
        <v>174</v>
      </c>
      <c r="N558" t="s">
        <v>30</v>
      </c>
      <c r="O558" t="s">
        <v>31</v>
      </c>
      <c r="P558" t="str">
        <f>"15219"</f>
        <v>15219</v>
      </c>
    </row>
    <row r="559" spans="1:16" x14ac:dyDescent="0.25">
      <c r="A559" t="str">
        <f>"1040011K00060    00"</f>
        <v>1040011K00060    00</v>
      </c>
      <c r="B559" t="s">
        <v>918</v>
      </c>
      <c r="C559" t="s">
        <v>1445</v>
      </c>
      <c r="D559" t="s">
        <v>20</v>
      </c>
      <c r="E559" t="s">
        <v>39</v>
      </c>
      <c r="F559">
        <v>0</v>
      </c>
      <c r="G559">
        <v>0</v>
      </c>
      <c r="H559">
        <v>2</v>
      </c>
      <c r="I559" s="3">
        <v>743.38</v>
      </c>
      <c r="J559" s="3">
        <v>0</v>
      </c>
      <c r="K559" t="s">
        <v>920</v>
      </c>
      <c r="L559">
        <v>46</v>
      </c>
      <c r="M559" t="s">
        <v>913</v>
      </c>
      <c r="N559" t="s">
        <v>914</v>
      </c>
      <c r="O559" t="s">
        <v>200</v>
      </c>
      <c r="P559" t="str">
        <f>"10952"</f>
        <v>10952</v>
      </c>
    </row>
    <row r="560" spans="1:16" x14ac:dyDescent="0.25">
      <c r="A560" t="str">
        <f>"1040011K00065    00"</f>
        <v>1040011K00065    00</v>
      </c>
      <c r="B560" t="s">
        <v>1446</v>
      </c>
      <c r="C560" t="s">
        <v>1447</v>
      </c>
      <c r="D560" t="s">
        <v>20</v>
      </c>
      <c r="E560" t="s">
        <v>39</v>
      </c>
      <c r="F560">
        <v>0</v>
      </c>
      <c r="G560">
        <v>0</v>
      </c>
      <c r="H560">
        <v>2</v>
      </c>
      <c r="I560" s="3">
        <v>110.56</v>
      </c>
      <c r="J560" s="3">
        <v>0</v>
      </c>
      <c r="K560" t="s">
        <v>1448</v>
      </c>
      <c r="L560">
        <v>3027</v>
      </c>
      <c r="M560" t="s">
        <v>1449</v>
      </c>
      <c r="N560" t="s">
        <v>30</v>
      </c>
      <c r="O560" t="s">
        <v>31</v>
      </c>
      <c r="P560" t="str">
        <f>"15219"</f>
        <v>15219</v>
      </c>
    </row>
    <row r="561" spans="1:16" x14ac:dyDescent="0.25">
      <c r="A561" t="str">
        <f>"1040011K00067    00"</f>
        <v>1040011K00067    00</v>
      </c>
      <c r="B561" t="s">
        <v>910</v>
      </c>
      <c r="C561" t="s">
        <v>1450</v>
      </c>
      <c r="D561" t="s">
        <v>20</v>
      </c>
      <c r="E561" t="s">
        <v>21</v>
      </c>
      <c r="F561">
        <v>0</v>
      </c>
      <c r="G561">
        <v>0</v>
      </c>
      <c r="H561">
        <v>2</v>
      </c>
      <c r="I561" s="3">
        <v>2111.86</v>
      </c>
      <c r="J561" s="3">
        <v>0</v>
      </c>
      <c r="K561" t="s">
        <v>912</v>
      </c>
      <c r="L561">
        <v>46</v>
      </c>
      <c r="M561" t="s">
        <v>1451</v>
      </c>
      <c r="N561" t="s">
        <v>914</v>
      </c>
      <c r="O561" t="s">
        <v>200</v>
      </c>
      <c r="P561" t="str">
        <f>"10952"</f>
        <v>10952</v>
      </c>
    </row>
    <row r="562" spans="1:16" x14ac:dyDescent="0.25">
      <c r="A562" t="str">
        <f>"1040011K00179    00"</f>
        <v>1040011K00179    00</v>
      </c>
      <c r="B562" t="s">
        <v>1452</v>
      </c>
      <c r="C562" t="s">
        <v>1453</v>
      </c>
      <c r="D562" t="s">
        <v>20</v>
      </c>
      <c r="E562" t="s">
        <v>21</v>
      </c>
      <c r="F562">
        <v>0</v>
      </c>
      <c r="G562">
        <v>0</v>
      </c>
      <c r="H562">
        <v>3</v>
      </c>
      <c r="I562" s="3">
        <v>114.36</v>
      </c>
      <c r="J562" s="3">
        <v>7.62</v>
      </c>
      <c r="L562">
        <v>410</v>
      </c>
      <c r="M562" t="s">
        <v>184</v>
      </c>
      <c r="N562" t="s">
        <v>30</v>
      </c>
      <c r="O562" t="s">
        <v>31</v>
      </c>
      <c r="P562" t="str">
        <f t="shared" ref="P562:P575" si="10">"15243"</f>
        <v>15243</v>
      </c>
    </row>
    <row r="563" spans="1:16" x14ac:dyDescent="0.25">
      <c r="A563" t="str">
        <f>"1040011K00180    00"</f>
        <v>1040011K00180    00</v>
      </c>
      <c r="B563" t="s">
        <v>1452</v>
      </c>
      <c r="C563" t="s">
        <v>1453</v>
      </c>
      <c r="D563" t="s">
        <v>20</v>
      </c>
      <c r="E563" t="s">
        <v>21</v>
      </c>
      <c r="F563">
        <v>0</v>
      </c>
      <c r="G563">
        <v>0</v>
      </c>
      <c r="H563">
        <v>3</v>
      </c>
      <c r="I563" s="3">
        <v>114.36</v>
      </c>
      <c r="J563" s="3">
        <v>7.62</v>
      </c>
      <c r="L563">
        <v>410</v>
      </c>
      <c r="M563" t="s">
        <v>184</v>
      </c>
      <c r="N563" t="s">
        <v>30</v>
      </c>
      <c r="O563" t="s">
        <v>31</v>
      </c>
      <c r="P563" t="str">
        <f t="shared" si="10"/>
        <v>15243</v>
      </c>
    </row>
    <row r="564" spans="1:16" x14ac:dyDescent="0.25">
      <c r="A564" t="str">
        <f>"1040011K00182    00"</f>
        <v>1040011K00182    00</v>
      </c>
      <c r="B564" t="s">
        <v>1452</v>
      </c>
      <c r="C564" t="s">
        <v>1453</v>
      </c>
      <c r="D564" t="s">
        <v>20</v>
      </c>
      <c r="E564" t="s">
        <v>21</v>
      </c>
      <c r="F564">
        <v>0</v>
      </c>
      <c r="G564">
        <v>0</v>
      </c>
      <c r="H564">
        <v>6</v>
      </c>
      <c r="I564" s="3">
        <v>13220.45</v>
      </c>
      <c r="J564" s="3">
        <v>2885.26</v>
      </c>
      <c r="L564">
        <v>410</v>
      </c>
      <c r="M564" t="s">
        <v>184</v>
      </c>
      <c r="N564" t="s">
        <v>30</v>
      </c>
      <c r="O564" t="s">
        <v>31</v>
      </c>
      <c r="P564" t="str">
        <f t="shared" si="10"/>
        <v>15243</v>
      </c>
    </row>
    <row r="565" spans="1:16" x14ac:dyDescent="0.25">
      <c r="A565" t="str">
        <f>"1040011K00184    00"</f>
        <v>1040011K00184    00</v>
      </c>
      <c r="B565" t="s">
        <v>1452</v>
      </c>
      <c r="C565" t="s">
        <v>235</v>
      </c>
      <c r="D565" t="s">
        <v>20</v>
      </c>
      <c r="E565" t="s">
        <v>21</v>
      </c>
      <c r="F565">
        <v>0</v>
      </c>
      <c r="G565">
        <v>0</v>
      </c>
      <c r="H565">
        <v>3</v>
      </c>
      <c r="I565" s="3">
        <v>114.36</v>
      </c>
      <c r="J565" s="3">
        <v>7.62</v>
      </c>
      <c r="L565">
        <v>410</v>
      </c>
      <c r="M565" t="s">
        <v>184</v>
      </c>
      <c r="N565" t="s">
        <v>30</v>
      </c>
      <c r="O565" t="s">
        <v>31</v>
      </c>
      <c r="P565" t="str">
        <f t="shared" si="10"/>
        <v>15243</v>
      </c>
    </row>
    <row r="566" spans="1:16" x14ac:dyDescent="0.25">
      <c r="A566" t="str">
        <f>"1040011K00185    00"</f>
        <v>1040011K00185    00</v>
      </c>
      <c r="B566" t="s">
        <v>1452</v>
      </c>
      <c r="C566" t="s">
        <v>1453</v>
      </c>
      <c r="D566" t="s">
        <v>20</v>
      </c>
      <c r="E566" t="s">
        <v>21</v>
      </c>
      <c r="F566">
        <v>0</v>
      </c>
      <c r="G566">
        <v>0</v>
      </c>
      <c r="H566">
        <v>3</v>
      </c>
      <c r="I566" s="3">
        <v>114.36</v>
      </c>
      <c r="J566" s="3">
        <v>7.62</v>
      </c>
      <c r="L566">
        <v>410</v>
      </c>
      <c r="M566" t="s">
        <v>184</v>
      </c>
      <c r="N566" t="s">
        <v>30</v>
      </c>
      <c r="O566" t="s">
        <v>31</v>
      </c>
      <c r="P566" t="str">
        <f t="shared" si="10"/>
        <v>15243</v>
      </c>
    </row>
    <row r="567" spans="1:16" x14ac:dyDescent="0.25">
      <c r="A567" t="str">
        <f>"1040011K00186    00"</f>
        <v>1040011K00186    00</v>
      </c>
      <c r="B567" t="s">
        <v>1452</v>
      </c>
      <c r="C567" t="s">
        <v>1453</v>
      </c>
      <c r="D567" t="s">
        <v>20</v>
      </c>
      <c r="E567" t="s">
        <v>21</v>
      </c>
      <c r="F567">
        <v>0</v>
      </c>
      <c r="G567">
        <v>0</v>
      </c>
      <c r="H567">
        <v>3</v>
      </c>
      <c r="I567" s="3">
        <v>114.36</v>
      </c>
      <c r="J567" s="3">
        <v>7.62</v>
      </c>
      <c r="L567">
        <v>410</v>
      </c>
      <c r="M567" t="s">
        <v>184</v>
      </c>
      <c r="N567" t="s">
        <v>30</v>
      </c>
      <c r="O567" t="s">
        <v>31</v>
      </c>
      <c r="P567" t="str">
        <f t="shared" si="10"/>
        <v>15243</v>
      </c>
    </row>
    <row r="568" spans="1:16" x14ac:dyDescent="0.25">
      <c r="A568" t="str">
        <f>"1040011K00187    00"</f>
        <v>1040011K00187    00</v>
      </c>
      <c r="B568" t="s">
        <v>1452</v>
      </c>
      <c r="C568" t="s">
        <v>1453</v>
      </c>
      <c r="D568" t="s">
        <v>20</v>
      </c>
      <c r="E568" t="s">
        <v>21</v>
      </c>
      <c r="F568">
        <v>0</v>
      </c>
      <c r="G568">
        <v>0</v>
      </c>
      <c r="H568">
        <v>3</v>
      </c>
      <c r="I568" s="3">
        <v>114.36</v>
      </c>
      <c r="J568" s="3">
        <v>7.62</v>
      </c>
      <c r="L568">
        <v>410</v>
      </c>
      <c r="M568" t="s">
        <v>184</v>
      </c>
      <c r="N568" t="s">
        <v>30</v>
      </c>
      <c r="O568" t="s">
        <v>31</v>
      </c>
      <c r="P568" t="str">
        <f t="shared" si="10"/>
        <v>15243</v>
      </c>
    </row>
    <row r="569" spans="1:16" x14ac:dyDescent="0.25">
      <c r="A569" t="str">
        <f>"1040011K00188    00"</f>
        <v>1040011K00188    00</v>
      </c>
      <c r="B569" t="s">
        <v>1454</v>
      </c>
      <c r="C569" t="s">
        <v>1453</v>
      </c>
      <c r="D569" t="s">
        <v>20</v>
      </c>
      <c r="E569" t="s">
        <v>21</v>
      </c>
      <c r="F569">
        <v>0</v>
      </c>
      <c r="G569">
        <v>0</v>
      </c>
      <c r="H569">
        <v>3</v>
      </c>
      <c r="I569" s="3">
        <v>114.36</v>
      </c>
      <c r="J569" s="3">
        <v>7.62</v>
      </c>
      <c r="K569" t="s">
        <v>1455</v>
      </c>
      <c r="L569">
        <v>410</v>
      </c>
      <c r="M569" t="s">
        <v>184</v>
      </c>
      <c r="N569" t="s">
        <v>30</v>
      </c>
      <c r="O569" t="s">
        <v>31</v>
      </c>
      <c r="P569" t="str">
        <f t="shared" si="10"/>
        <v>15243</v>
      </c>
    </row>
    <row r="570" spans="1:16" x14ac:dyDescent="0.25">
      <c r="A570" t="str">
        <f>"1040011K00189    00"</f>
        <v>1040011K00189    00</v>
      </c>
      <c r="B570" t="s">
        <v>1452</v>
      </c>
      <c r="C570" t="s">
        <v>1453</v>
      </c>
      <c r="D570" t="s">
        <v>20</v>
      </c>
      <c r="E570" t="s">
        <v>21</v>
      </c>
      <c r="F570">
        <v>0</v>
      </c>
      <c r="G570">
        <v>0</v>
      </c>
      <c r="H570">
        <v>3</v>
      </c>
      <c r="I570" s="3">
        <v>114.36</v>
      </c>
      <c r="J570" s="3">
        <v>7.62</v>
      </c>
      <c r="L570">
        <v>410</v>
      </c>
      <c r="M570" t="s">
        <v>184</v>
      </c>
      <c r="N570" t="s">
        <v>30</v>
      </c>
      <c r="O570" t="s">
        <v>31</v>
      </c>
      <c r="P570" t="str">
        <f t="shared" si="10"/>
        <v>15243</v>
      </c>
    </row>
    <row r="571" spans="1:16" x14ac:dyDescent="0.25">
      <c r="A571" t="str">
        <f>"1040011K00190    00"</f>
        <v>1040011K00190    00</v>
      </c>
      <c r="B571" t="s">
        <v>1452</v>
      </c>
      <c r="C571" t="s">
        <v>1453</v>
      </c>
      <c r="D571" t="s">
        <v>20</v>
      </c>
      <c r="E571" t="s">
        <v>21</v>
      </c>
      <c r="F571">
        <v>0</v>
      </c>
      <c r="G571">
        <v>0</v>
      </c>
      <c r="H571">
        <v>3</v>
      </c>
      <c r="I571" s="3">
        <v>114.36</v>
      </c>
      <c r="J571" s="3">
        <v>7.62</v>
      </c>
      <c r="L571">
        <v>410</v>
      </c>
      <c r="M571" t="s">
        <v>184</v>
      </c>
      <c r="N571" t="s">
        <v>30</v>
      </c>
      <c r="O571" t="s">
        <v>31</v>
      </c>
      <c r="P571" t="str">
        <f t="shared" si="10"/>
        <v>15243</v>
      </c>
    </row>
    <row r="572" spans="1:16" x14ac:dyDescent="0.25">
      <c r="A572" t="str">
        <f>"1040011K00193    00"</f>
        <v>1040011K00193    00</v>
      </c>
      <c r="B572" t="s">
        <v>1452</v>
      </c>
      <c r="C572" t="s">
        <v>1453</v>
      </c>
      <c r="D572" t="s">
        <v>20</v>
      </c>
      <c r="E572" t="s">
        <v>21</v>
      </c>
      <c r="F572">
        <v>0</v>
      </c>
      <c r="G572">
        <v>0</v>
      </c>
      <c r="H572">
        <v>3</v>
      </c>
      <c r="I572" s="3">
        <v>114.36</v>
      </c>
      <c r="J572" s="3">
        <v>7.62</v>
      </c>
      <c r="L572">
        <v>410</v>
      </c>
      <c r="M572" t="s">
        <v>184</v>
      </c>
      <c r="N572" t="s">
        <v>30</v>
      </c>
      <c r="O572" t="s">
        <v>31</v>
      </c>
      <c r="P572" t="str">
        <f t="shared" si="10"/>
        <v>15243</v>
      </c>
    </row>
    <row r="573" spans="1:16" x14ac:dyDescent="0.25">
      <c r="A573" t="str">
        <f>"1040011K00195    00"</f>
        <v>1040011K00195    00</v>
      </c>
      <c r="B573" t="s">
        <v>1452</v>
      </c>
      <c r="C573" t="s">
        <v>1453</v>
      </c>
      <c r="D573" t="s">
        <v>20</v>
      </c>
      <c r="E573" t="s">
        <v>21</v>
      </c>
      <c r="F573">
        <v>0</v>
      </c>
      <c r="G573">
        <v>0</v>
      </c>
      <c r="H573">
        <v>3</v>
      </c>
      <c r="I573" s="3">
        <v>114.36</v>
      </c>
      <c r="J573" s="3">
        <v>7.62</v>
      </c>
      <c r="L573">
        <v>410</v>
      </c>
      <c r="M573" t="s">
        <v>184</v>
      </c>
      <c r="N573" t="s">
        <v>30</v>
      </c>
      <c r="O573" t="s">
        <v>31</v>
      </c>
      <c r="P573" t="str">
        <f t="shared" si="10"/>
        <v>15243</v>
      </c>
    </row>
    <row r="574" spans="1:16" x14ac:dyDescent="0.25">
      <c r="A574" t="str">
        <f>"1040011K00196    00"</f>
        <v>1040011K00196    00</v>
      </c>
      <c r="B574" t="s">
        <v>1452</v>
      </c>
      <c r="C574" t="s">
        <v>1453</v>
      </c>
      <c r="D574" t="s">
        <v>20</v>
      </c>
      <c r="E574" t="s">
        <v>21</v>
      </c>
      <c r="F574">
        <v>0</v>
      </c>
      <c r="G574">
        <v>0</v>
      </c>
      <c r="H574">
        <v>3</v>
      </c>
      <c r="I574" s="3">
        <v>114.36</v>
      </c>
      <c r="J574" s="3">
        <v>7.62</v>
      </c>
      <c r="L574">
        <v>410</v>
      </c>
      <c r="M574" t="s">
        <v>184</v>
      </c>
      <c r="N574" t="s">
        <v>30</v>
      </c>
      <c r="O574" t="s">
        <v>31</v>
      </c>
      <c r="P574" t="str">
        <f t="shared" si="10"/>
        <v>15243</v>
      </c>
    </row>
    <row r="575" spans="1:16" x14ac:dyDescent="0.25">
      <c r="A575" t="str">
        <f>"1040011K00219    00"</f>
        <v>1040011K00219    00</v>
      </c>
      <c r="B575" t="s">
        <v>1452</v>
      </c>
      <c r="C575" t="s">
        <v>1456</v>
      </c>
      <c r="D575" t="s">
        <v>20</v>
      </c>
      <c r="E575" t="s">
        <v>21</v>
      </c>
      <c r="F575">
        <v>0</v>
      </c>
      <c r="G575">
        <v>0</v>
      </c>
      <c r="H575">
        <v>3</v>
      </c>
      <c r="I575" s="3">
        <v>114.36</v>
      </c>
      <c r="J575" s="3">
        <v>7.62</v>
      </c>
      <c r="L575">
        <v>410</v>
      </c>
      <c r="M575" t="s">
        <v>184</v>
      </c>
      <c r="N575" t="s">
        <v>30</v>
      </c>
      <c r="O575" t="s">
        <v>31</v>
      </c>
      <c r="P575" t="str">
        <f t="shared" si="10"/>
        <v>15243</v>
      </c>
    </row>
    <row r="576" spans="1:16" x14ac:dyDescent="0.25">
      <c r="A576" t="str">
        <f>"1040011L00015    00"</f>
        <v>1040011L00015    00</v>
      </c>
      <c r="B576" t="s">
        <v>1457</v>
      </c>
      <c r="C576" t="s">
        <v>1458</v>
      </c>
      <c r="D576" t="s">
        <v>20</v>
      </c>
      <c r="E576" t="s">
        <v>39</v>
      </c>
      <c r="F576">
        <v>0</v>
      </c>
      <c r="G576">
        <v>0</v>
      </c>
      <c r="H576">
        <v>8</v>
      </c>
      <c r="I576" s="3">
        <v>459.35</v>
      </c>
      <c r="J576" s="3">
        <v>14.19</v>
      </c>
      <c r="L576">
        <v>7425</v>
      </c>
      <c r="M576" t="s">
        <v>1459</v>
      </c>
      <c r="N576" t="s">
        <v>30</v>
      </c>
      <c r="O576" t="s">
        <v>31</v>
      </c>
      <c r="P576" t="str">
        <f>"15208"</f>
        <v>15208</v>
      </c>
    </row>
    <row r="577" spans="1:16" x14ac:dyDescent="0.25">
      <c r="A577" t="str">
        <f>"1040011L00016    00"</f>
        <v>1040011L00016    00</v>
      </c>
      <c r="B577" t="s">
        <v>1457</v>
      </c>
      <c r="C577" t="s">
        <v>1458</v>
      </c>
      <c r="D577" t="s">
        <v>20</v>
      </c>
      <c r="E577" t="s">
        <v>39</v>
      </c>
      <c r="F577">
        <v>0</v>
      </c>
      <c r="G577">
        <v>0</v>
      </c>
      <c r="H577">
        <v>8</v>
      </c>
      <c r="I577" s="3">
        <v>459.35</v>
      </c>
      <c r="J577" s="3">
        <v>14.19</v>
      </c>
      <c r="L577">
        <v>7425</v>
      </c>
      <c r="M577" t="s">
        <v>1459</v>
      </c>
      <c r="N577" t="s">
        <v>30</v>
      </c>
      <c r="O577" t="s">
        <v>31</v>
      </c>
      <c r="P577" t="str">
        <f>"15208"</f>
        <v>15208</v>
      </c>
    </row>
    <row r="578" spans="1:16" x14ac:dyDescent="0.25">
      <c r="A578" t="str">
        <f>"1040011L00017    00"</f>
        <v>1040011L00017    00</v>
      </c>
      <c r="B578" t="s">
        <v>1457</v>
      </c>
      <c r="C578" t="s">
        <v>1458</v>
      </c>
      <c r="D578" t="s">
        <v>20</v>
      </c>
      <c r="E578" t="s">
        <v>39</v>
      </c>
      <c r="F578">
        <v>0</v>
      </c>
      <c r="G578">
        <v>0</v>
      </c>
      <c r="H578">
        <v>8</v>
      </c>
      <c r="I578" s="3">
        <v>474.07</v>
      </c>
      <c r="J578" s="3">
        <v>14.63</v>
      </c>
      <c r="L578">
        <v>7425</v>
      </c>
      <c r="M578" t="s">
        <v>1459</v>
      </c>
      <c r="N578" t="s">
        <v>30</v>
      </c>
      <c r="O578" t="s">
        <v>31</v>
      </c>
      <c r="P578" t="str">
        <f>"15208"</f>
        <v>15208</v>
      </c>
    </row>
    <row r="579" spans="1:16" x14ac:dyDescent="0.25">
      <c r="A579" t="str">
        <f>"1040011L00019    00"</f>
        <v>1040011L00019    00</v>
      </c>
      <c r="B579" t="s">
        <v>1457</v>
      </c>
      <c r="C579" t="s">
        <v>1458</v>
      </c>
      <c r="D579" t="s">
        <v>20</v>
      </c>
      <c r="E579" t="s">
        <v>39</v>
      </c>
      <c r="F579">
        <v>0</v>
      </c>
      <c r="G579">
        <v>0</v>
      </c>
      <c r="H579">
        <v>8</v>
      </c>
      <c r="I579" s="3">
        <v>474.07</v>
      </c>
      <c r="J579" s="3">
        <v>14.63</v>
      </c>
      <c r="L579">
        <v>7425</v>
      </c>
      <c r="M579" t="s">
        <v>1459</v>
      </c>
      <c r="N579" t="s">
        <v>30</v>
      </c>
      <c r="O579" t="s">
        <v>31</v>
      </c>
      <c r="P579" t="str">
        <f>"15208"</f>
        <v>15208</v>
      </c>
    </row>
    <row r="580" spans="1:16" x14ac:dyDescent="0.25">
      <c r="A580" t="str">
        <f>"1040011L00059    00"</f>
        <v>1040011L00059    00</v>
      </c>
      <c r="B580" t="s">
        <v>1460</v>
      </c>
      <c r="C580" t="s">
        <v>1461</v>
      </c>
      <c r="D580" t="s">
        <v>20</v>
      </c>
      <c r="E580" t="s">
        <v>39</v>
      </c>
      <c r="F580">
        <v>0</v>
      </c>
      <c r="G580">
        <v>0</v>
      </c>
      <c r="H580">
        <v>8</v>
      </c>
      <c r="I580" s="3">
        <v>936.52</v>
      </c>
      <c r="J580" s="3">
        <v>306.44</v>
      </c>
      <c r="L580">
        <v>2312</v>
      </c>
      <c r="M580" t="s">
        <v>1462</v>
      </c>
      <c r="N580" t="s">
        <v>30</v>
      </c>
      <c r="O580" t="s">
        <v>31</v>
      </c>
      <c r="P580" t="str">
        <f>"15213"</f>
        <v>15213</v>
      </c>
    </row>
    <row r="581" spans="1:16" x14ac:dyDescent="0.25">
      <c r="A581" t="str">
        <f>"1040011L00061    00"</f>
        <v>1040011L00061    00</v>
      </c>
      <c r="B581" t="s">
        <v>1463</v>
      </c>
      <c r="C581" t="s">
        <v>1464</v>
      </c>
      <c r="D581" t="s">
        <v>20</v>
      </c>
      <c r="E581" t="s">
        <v>39</v>
      </c>
      <c r="F581">
        <v>0</v>
      </c>
      <c r="G581">
        <v>0</v>
      </c>
      <c r="H581">
        <v>3</v>
      </c>
      <c r="I581" s="3">
        <v>1115.04</v>
      </c>
      <c r="J581" s="3">
        <v>74.33</v>
      </c>
      <c r="K581" t="s">
        <v>1465</v>
      </c>
      <c r="L581">
        <v>112</v>
      </c>
      <c r="M581" t="s">
        <v>1466</v>
      </c>
      <c r="N581" t="s">
        <v>30</v>
      </c>
      <c r="O581" t="s">
        <v>31</v>
      </c>
      <c r="P581" t="str">
        <f>"15219"</f>
        <v>15219</v>
      </c>
    </row>
    <row r="582" spans="1:16" x14ac:dyDescent="0.25">
      <c r="A582" t="str">
        <f>"1040011L00062    00"</f>
        <v>1040011L00062    00</v>
      </c>
      <c r="B582" t="s">
        <v>1463</v>
      </c>
      <c r="C582" t="s">
        <v>1467</v>
      </c>
      <c r="D582" t="s">
        <v>20</v>
      </c>
      <c r="E582" t="s">
        <v>39</v>
      </c>
      <c r="F582">
        <v>0</v>
      </c>
      <c r="G582">
        <v>0</v>
      </c>
      <c r="H582">
        <v>3</v>
      </c>
      <c r="I582" s="3">
        <v>1160.76</v>
      </c>
      <c r="J582" s="3">
        <v>77.38</v>
      </c>
      <c r="K582" t="s">
        <v>1465</v>
      </c>
      <c r="L582">
        <v>110</v>
      </c>
      <c r="M582" t="s">
        <v>1466</v>
      </c>
      <c r="N582" t="s">
        <v>30</v>
      </c>
      <c r="O582" t="s">
        <v>31</v>
      </c>
      <c r="P582" t="str">
        <f>"15219"</f>
        <v>15219</v>
      </c>
    </row>
    <row r="583" spans="1:16" x14ac:dyDescent="0.25">
      <c r="A583" t="str">
        <f>"1040011L00067    00"</f>
        <v>1040011L00067    00</v>
      </c>
      <c r="B583" t="s">
        <v>1398</v>
      </c>
      <c r="C583" t="s">
        <v>1400</v>
      </c>
      <c r="E583" t="s">
        <v>21</v>
      </c>
      <c r="F583">
        <v>0</v>
      </c>
      <c r="G583">
        <v>0</v>
      </c>
      <c r="H583">
        <v>1</v>
      </c>
      <c r="I583" s="3">
        <v>72.78</v>
      </c>
      <c r="J583" s="3">
        <v>0</v>
      </c>
      <c r="K583" t="s">
        <v>128</v>
      </c>
      <c r="L583">
        <v>4249</v>
      </c>
      <c r="M583" t="s">
        <v>129</v>
      </c>
      <c r="N583" t="s">
        <v>24</v>
      </c>
      <c r="O583" t="s">
        <v>25</v>
      </c>
      <c r="P583" t="str">
        <f>"43219"</f>
        <v>43219</v>
      </c>
    </row>
    <row r="584" spans="1:16" x14ac:dyDescent="0.25">
      <c r="A584" t="str">
        <f>"1040011L00068    00"</f>
        <v>1040011L00068    00</v>
      </c>
      <c r="B584" t="s">
        <v>1398</v>
      </c>
      <c r="C584" t="s">
        <v>1400</v>
      </c>
      <c r="E584" t="s">
        <v>21</v>
      </c>
      <c r="F584">
        <v>0</v>
      </c>
      <c r="G584">
        <v>0</v>
      </c>
      <c r="H584">
        <v>1</v>
      </c>
      <c r="I584" s="3">
        <v>22.55</v>
      </c>
      <c r="J584" s="3">
        <v>0</v>
      </c>
      <c r="K584" t="s">
        <v>128</v>
      </c>
      <c r="L584">
        <v>4249</v>
      </c>
      <c r="M584" t="s">
        <v>129</v>
      </c>
      <c r="N584" t="s">
        <v>24</v>
      </c>
      <c r="O584" t="s">
        <v>25</v>
      </c>
      <c r="P584" t="str">
        <f>"43219"</f>
        <v>43219</v>
      </c>
    </row>
    <row r="585" spans="1:16" x14ac:dyDescent="0.25">
      <c r="A585" t="str">
        <f>"1040011L00070    00"</f>
        <v>1040011L00070    00</v>
      </c>
      <c r="B585" t="s">
        <v>1398</v>
      </c>
      <c r="C585" t="s">
        <v>1400</v>
      </c>
      <c r="E585" t="s">
        <v>21</v>
      </c>
      <c r="F585">
        <v>0</v>
      </c>
      <c r="G585">
        <v>0</v>
      </c>
      <c r="H585">
        <v>2</v>
      </c>
      <c r="I585" s="3">
        <v>115.56</v>
      </c>
      <c r="J585" s="3">
        <v>1.04</v>
      </c>
      <c r="K585" t="s">
        <v>128</v>
      </c>
      <c r="L585">
        <v>4249</v>
      </c>
      <c r="M585" t="s">
        <v>129</v>
      </c>
      <c r="N585" t="s">
        <v>24</v>
      </c>
      <c r="O585" t="s">
        <v>25</v>
      </c>
      <c r="P585" t="str">
        <f>"43219"</f>
        <v>43219</v>
      </c>
    </row>
    <row r="586" spans="1:16" x14ac:dyDescent="0.25">
      <c r="A586" t="str">
        <f>"1040011L00072    00"</f>
        <v>1040011L00072    00</v>
      </c>
      <c r="B586" t="s">
        <v>1398</v>
      </c>
      <c r="C586" t="s">
        <v>1400</v>
      </c>
      <c r="E586" t="s">
        <v>21</v>
      </c>
      <c r="F586">
        <v>0</v>
      </c>
      <c r="G586">
        <v>0</v>
      </c>
      <c r="H586">
        <v>2</v>
      </c>
      <c r="I586" s="3">
        <v>55.05</v>
      </c>
      <c r="J586" s="3">
        <v>0.46</v>
      </c>
      <c r="K586" t="s">
        <v>128</v>
      </c>
      <c r="L586">
        <v>4249</v>
      </c>
      <c r="M586" t="s">
        <v>129</v>
      </c>
      <c r="N586" t="s">
        <v>24</v>
      </c>
      <c r="O586" t="s">
        <v>25</v>
      </c>
      <c r="P586" t="str">
        <f>"43219"</f>
        <v>43219</v>
      </c>
    </row>
    <row r="587" spans="1:16" x14ac:dyDescent="0.25">
      <c r="A587" t="str">
        <f>"1040011M00126    00"</f>
        <v>1040011M00126    00</v>
      </c>
      <c r="B587" t="s">
        <v>1457</v>
      </c>
      <c r="C587" t="s">
        <v>287</v>
      </c>
      <c r="D587" t="s">
        <v>20</v>
      </c>
      <c r="E587" t="s">
        <v>39</v>
      </c>
      <c r="F587">
        <v>0</v>
      </c>
      <c r="G587">
        <v>0</v>
      </c>
      <c r="H587">
        <v>7</v>
      </c>
      <c r="I587" s="3">
        <v>25.97</v>
      </c>
      <c r="J587" s="3">
        <v>0.76</v>
      </c>
      <c r="L587">
        <v>7425</v>
      </c>
      <c r="M587" t="s">
        <v>1459</v>
      </c>
      <c r="N587" t="s">
        <v>30</v>
      </c>
      <c r="O587" t="s">
        <v>31</v>
      </c>
      <c r="P587" t="str">
        <f>"15208"</f>
        <v>15208</v>
      </c>
    </row>
    <row r="588" spans="1:16" x14ac:dyDescent="0.25">
      <c r="A588" t="str">
        <f>"1040011M00139    00"</f>
        <v>1040011M00139    00</v>
      </c>
      <c r="B588" t="s">
        <v>1468</v>
      </c>
      <c r="C588" t="s">
        <v>287</v>
      </c>
      <c r="D588" t="s">
        <v>20</v>
      </c>
      <c r="E588" t="s">
        <v>39</v>
      </c>
      <c r="F588">
        <v>0</v>
      </c>
      <c r="G588">
        <v>0</v>
      </c>
      <c r="H588">
        <v>3</v>
      </c>
      <c r="I588" s="3">
        <v>34.32</v>
      </c>
      <c r="J588" s="3">
        <v>2.29</v>
      </c>
      <c r="M588" t="s">
        <v>1469</v>
      </c>
      <c r="N588" t="s">
        <v>1470</v>
      </c>
      <c r="O588" t="s">
        <v>200</v>
      </c>
      <c r="P588" t="str">
        <f>"10523"</f>
        <v>10523</v>
      </c>
    </row>
    <row r="589" spans="1:16" x14ac:dyDescent="0.25">
      <c r="A589" t="str">
        <f>"1040011M00140    00"</f>
        <v>1040011M00140    00</v>
      </c>
      <c r="B589" t="s">
        <v>1468</v>
      </c>
      <c r="C589" t="s">
        <v>287</v>
      </c>
      <c r="D589" t="s">
        <v>20</v>
      </c>
      <c r="E589" t="s">
        <v>39</v>
      </c>
      <c r="F589">
        <v>0</v>
      </c>
      <c r="G589">
        <v>0</v>
      </c>
      <c r="H589">
        <v>3</v>
      </c>
      <c r="I589" s="3">
        <v>34.32</v>
      </c>
      <c r="J589" s="3">
        <v>2.29</v>
      </c>
      <c r="M589" t="s">
        <v>1469</v>
      </c>
      <c r="N589" t="s">
        <v>1470</v>
      </c>
      <c r="O589" t="s">
        <v>200</v>
      </c>
      <c r="P589" t="str">
        <f>"10523"</f>
        <v>10523</v>
      </c>
    </row>
    <row r="590" spans="1:16" x14ac:dyDescent="0.25">
      <c r="A590" t="str">
        <f>"1040011M00171    00"</f>
        <v>1040011M00171    00</v>
      </c>
      <c r="B590" t="s">
        <v>1471</v>
      </c>
      <c r="C590" t="s">
        <v>287</v>
      </c>
      <c r="E590" t="s">
        <v>21</v>
      </c>
      <c r="F590">
        <v>0</v>
      </c>
      <c r="G590">
        <v>0</v>
      </c>
      <c r="H590">
        <v>3</v>
      </c>
      <c r="I590" s="3">
        <v>74.16</v>
      </c>
      <c r="J590" s="3">
        <v>94.55</v>
      </c>
      <c r="K590" t="s">
        <v>1472</v>
      </c>
      <c r="L590">
        <v>45</v>
      </c>
      <c r="M590" t="s">
        <v>1473</v>
      </c>
      <c r="N590" t="s">
        <v>1474</v>
      </c>
      <c r="O590" t="s">
        <v>31</v>
      </c>
      <c r="P590" t="str">
        <f>"15017"</f>
        <v>15017</v>
      </c>
    </row>
    <row r="591" spans="1:16" x14ac:dyDescent="0.25">
      <c r="A591" t="str">
        <f>"1040011M00173    00"</f>
        <v>1040011M00173    00</v>
      </c>
      <c r="B591" t="s">
        <v>1471</v>
      </c>
      <c r="C591" t="s">
        <v>287</v>
      </c>
      <c r="E591" t="s">
        <v>21</v>
      </c>
      <c r="F591">
        <v>0</v>
      </c>
      <c r="G591">
        <v>0</v>
      </c>
      <c r="H591">
        <v>3</v>
      </c>
      <c r="I591" s="3">
        <v>133.5</v>
      </c>
      <c r="J591" s="3">
        <v>170.2</v>
      </c>
      <c r="K591" t="s">
        <v>1472</v>
      </c>
      <c r="L591">
        <v>45</v>
      </c>
      <c r="M591" t="s">
        <v>1473</v>
      </c>
      <c r="N591" t="s">
        <v>1474</v>
      </c>
      <c r="O591" t="s">
        <v>31</v>
      </c>
      <c r="P591" t="str">
        <f>"15017"</f>
        <v>15017</v>
      </c>
    </row>
    <row r="592" spans="1:16" x14ac:dyDescent="0.25">
      <c r="A592" t="str">
        <f>"1040011M00177    00"</f>
        <v>1040011M00177    00</v>
      </c>
      <c r="B592" t="s">
        <v>1471</v>
      </c>
      <c r="C592" t="s">
        <v>287</v>
      </c>
      <c r="E592" t="s">
        <v>21</v>
      </c>
      <c r="F592">
        <v>0</v>
      </c>
      <c r="G592">
        <v>0</v>
      </c>
      <c r="H592">
        <v>3</v>
      </c>
      <c r="I592" s="3">
        <v>170.58</v>
      </c>
      <c r="J592" s="3">
        <v>217.48</v>
      </c>
      <c r="K592" t="s">
        <v>1472</v>
      </c>
      <c r="L592">
        <v>45</v>
      </c>
      <c r="M592" t="s">
        <v>1473</v>
      </c>
      <c r="N592" t="s">
        <v>1474</v>
      </c>
      <c r="O592" t="s">
        <v>31</v>
      </c>
      <c r="P592" t="str">
        <f>"15017"</f>
        <v>15017</v>
      </c>
    </row>
    <row r="593" spans="1:16" x14ac:dyDescent="0.25">
      <c r="A593" t="str">
        <f>"1040011M00201    00"</f>
        <v>1040011M00201    00</v>
      </c>
      <c r="B593" t="s">
        <v>1475</v>
      </c>
      <c r="C593" t="s">
        <v>1476</v>
      </c>
      <c r="D593" t="s">
        <v>20</v>
      </c>
      <c r="E593" t="s">
        <v>39</v>
      </c>
      <c r="F593">
        <v>0</v>
      </c>
      <c r="G593">
        <v>0</v>
      </c>
      <c r="H593">
        <v>17</v>
      </c>
      <c r="I593" s="3">
        <v>3262.1</v>
      </c>
      <c r="J593" s="3">
        <v>1923.24</v>
      </c>
      <c r="L593">
        <v>2432</v>
      </c>
      <c r="M593" t="s">
        <v>174</v>
      </c>
      <c r="N593" t="s">
        <v>30</v>
      </c>
      <c r="O593" t="s">
        <v>31</v>
      </c>
      <c r="P593" t="str">
        <f>"15213"</f>
        <v>15213</v>
      </c>
    </row>
    <row r="594" spans="1:16" x14ac:dyDescent="0.25">
      <c r="A594" t="str">
        <f>"1040011M00209    00"</f>
        <v>1040011M00209    00</v>
      </c>
      <c r="B594" t="s">
        <v>1477</v>
      </c>
      <c r="C594" t="s">
        <v>287</v>
      </c>
      <c r="E594" t="s">
        <v>21</v>
      </c>
      <c r="F594">
        <v>0</v>
      </c>
      <c r="G594">
        <v>0</v>
      </c>
      <c r="H594">
        <v>2</v>
      </c>
      <c r="I594" s="3">
        <v>1194.72</v>
      </c>
      <c r="J594" s="3">
        <v>1739.18</v>
      </c>
      <c r="L594">
        <v>2412</v>
      </c>
      <c r="M594" t="s">
        <v>174</v>
      </c>
      <c r="N594" t="s">
        <v>30</v>
      </c>
      <c r="O594" t="s">
        <v>31</v>
      </c>
      <c r="P594" t="str">
        <f>"15213"</f>
        <v>15213</v>
      </c>
    </row>
    <row r="595" spans="1:16" x14ac:dyDescent="0.25">
      <c r="A595" t="str">
        <f>"1040027D00008    00"</f>
        <v>1040027D00008    00</v>
      </c>
      <c r="B595" t="s">
        <v>1478</v>
      </c>
      <c r="C595" t="s">
        <v>1479</v>
      </c>
      <c r="D595" t="s">
        <v>20</v>
      </c>
      <c r="E595" t="s">
        <v>39</v>
      </c>
      <c r="F595">
        <v>0</v>
      </c>
      <c r="G595">
        <v>0</v>
      </c>
      <c r="H595">
        <v>1</v>
      </c>
      <c r="I595" s="3">
        <v>6289.8</v>
      </c>
      <c r="J595" s="3">
        <v>0</v>
      </c>
      <c r="K595" t="s">
        <v>1480</v>
      </c>
      <c r="L595">
        <v>413</v>
      </c>
      <c r="M595" t="s">
        <v>1481</v>
      </c>
      <c r="N595" t="s">
        <v>30</v>
      </c>
      <c r="O595" t="s">
        <v>31</v>
      </c>
      <c r="P595" t="str">
        <f>"15213"</f>
        <v>15213</v>
      </c>
    </row>
    <row r="596" spans="1:16" x14ac:dyDescent="0.25">
      <c r="A596" t="str">
        <f>"1040027D00027    00"</f>
        <v>1040027D00027    00</v>
      </c>
      <c r="B596" t="s">
        <v>1478</v>
      </c>
      <c r="C596" t="s">
        <v>1482</v>
      </c>
      <c r="D596" t="s">
        <v>20</v>
      </c>
      <c r="E596" t="s">
        <v>39</v>
      </c>
      <c r="F596">
        <v>0</v>
      </c>
      <c r="G596">
        <v>0</v>
      </c>
      <c r="H596">
        <v>1</v>
      </c>
      <c r="I596" s="3">
        <v>5718</v>
      </c>
      <c r="J596" s="3">
        <v>0</v>
      </c>
      <c r="K596" t="s">
        <v>1483</v>
      </c>
      <c r="L596">
        <v>2333</v>
      </c>
      <c r="M596" t="s">
        <v>1484</v>
      </c>
      <c r="N596" t="s">
        <v>30</v>
      </c>
      <c r="O596" t="s">
        <v>31</v>
      </c>
      <c r="P596" t="str">
        <f>"15203"</f>
        <v>15203</v>
      </c>
    </row>
    <row r="597" spans="1:16" x14ac:dyDescent="0.25">
      <c r="A597" t="str">
        <f>"1040027D00173    00"</f>
        <v>1040027D00173    00</v>
      </c>
      <c r="B597" t="s">
        <v>1485</v>
      </c>
      <c r="C597" t="s">
        <v>1486</v>
      </c>
      <c r="D597" t="s">
        <v>20</v>
      </c>
      <c r="E597" t="s">
        <v>21</v>
      </c>
      <c r="F597">
        <v>0</v>
      </c>
      <c r="G597">
        <v>0</v>
      </c>
      <c r="H597">
        <v>1</v>
      </c>
      <c r="I597" s="3">
        <v>1012.5</v>
      </c>
      <c r="J597" s="3">
        <v>0</v>
      </c>
      <c r="K597" t="s">
        <v>1487</v>
      </c>
      <c r="M597" t="s">
        <v>1488</v>
      </c>
      <c r="N597" t="s">
        <v>1489</v>
      </c>
      <c r="O597" t="s">
        <v>1184</v>
      </c>
      <c r="P597" t="str">
        <f>"21030"</f>
        <v>21030</v>
      </c>
    </row>
    <row r="598" spans="1:16" x14ac:dyDescent="0.25">
      <c r="A598" t="str">
        <f>"1040027D00241    00"</f>
        <v>1040027D00241    00</v>
      </c>
      <c r="B598" t="s">
        <v>1490</v>
      </c>
      <c r="C598" t="s">
        <v>1491</v>
      </c>
      <c r="D598" t="s">
        <v>20</v>
      </c>
      <c r="E598" t="s">
        <v>21</v>
      </c>
      <c r="F598">
        <v>0</v>
      </c>
      <c r="G598">
        <v>0</v>
      </c>
      <c r="H598">
        <v>3</v>
      </c>
      <c r="I598" s="3">
        <v>29582.89</v>
      </c>
      <c r="J598" s="3">
        <v>1205.1199999999999</v>
      </c>
      <c r="K598" t="s">
        <v>1492</v>
      </c>
      <c r="L598">
        <v>106</v>
      </c>
      <c r="M598" t="s">
        <v>1493</v>
      </c>
      <c r="N598" t="s">
        <v>30</v>
      </c>
      <c r="O598" t="s">
        <v>31</v>
      </c>
      <c r="P598" t="str">
        <f>"15216"</f>
        <v>15216</v>
      </c>
    </row>
    <row r="599" spans="1:16" x14ac:dyDescent="0.25">
      <c r="A599" t="str">
        <f>"1040027G00054    00"</f>
        <v>1040027G00054    00</v>
      </c>
      <c r="B599" t="s">
        <v>1494</v>
      </c>
      <c r="C599" t="s">
        <v>1495</v>
      </c>
      <c r="E599" t="s">
        <v>39</v>
      </c>
      <c r="F599">
        <v>0</v>
      </c>
      <c r="G599">
        <v>0</v>
      </c>
      <c r="H599">
        <v>1</v>
      </c>
      <c r="I599" s="3">
        <v>1435.24</v>
      </c>
      <c r="J599" s="3">
        <v>454.48</v>
      </c>
      <c r="K599" t="s">
        <v>1496</v>
      </c>
      <c r="L599">
        <v>4216</v>
      </c>
      <c r="M599" t="s">
        <v>1117</v>
      </c>
      <c r="N599" t="s">
        <v>30</v>
      </c>
      <c r="O599" t="s">
        <v>31</v>
      </c>
      <c r="P599" t="str">
        <f>"15213"</f>
        <v>15213</v>
      </c>
    </row>
    <row r="600" spans="1:16" x14ac:dyDescent="0.25">
      <c r="A600" t="str">
        <f>"1040027G00063    00"</f>
        <v>1040027G00063    00</v>
      </c>
      <c r="B600" t="s">
        <v>1497</v>
      </c>
      <c r="C600" t="s">
        <v>1498</v>
      </c>
      <c r="E600" t="s">
        <v>39</v>
      </c>
      <c r="F600">
        <v>0</v>
      </c>
      <c r="G600">
        <v>0</v>
      </c>
      <c r="H600">
        <v>1</v>
      </c>
      <c r="I600" s="3">
        <v>1674.45</v>
      </c>
      <c r="J600" s="3">
        <v>530.22</v>
      </c>
      <c r="K600" t="s">
        <v>1499</v>
      </c>
      <c r="L600">
        <v>4300</v>
      </c>
      <c r="M600" t="s">
        <v>1117</v>
      </c>
      <c r="N600" t="s">
        <v>30</v>
      </c>
      <c r="O600" t="s">
        <v>31</v>
      </c>
      <c r="P600" t="str">
        <f>"15213"</f>
        <v>15213</v>
      </c>
    </row>
    <row r="601" spans="1:16" x14ac:dyDescent="0.25">
      <c r="A601" t="str">
        <f>"1040027G00197    00"</f>
        <v>1040027G00197    00</v>
      </c>
      <c r="B601" t="s">
        <v>1500</v>
      </c>
      <c r="C601" t="s">
        <v>1501</v>
      </c>
      <c r="E601" t="s">
        <v>39</v>
      </c>
      <c r="F601">
        <v>0</v>
      </c>
      <c r="G601">
        <v>0</v>
      </c>
      <c r="H601">
        <v>1</v>
      </c>
      <c r="I601" s="3">
        <v>2119.6999999999998</v>
      </c>
      <c r="J601" s="3">
        <v>0</v>
      </c>
      <c r="K601" t="s">
        <v>1502</v>
      </c>
      <c r="L601">
        <v>901</v>
      </c>
      <c r="M601" t="s">
        <v>1503</v>
      </c>
      <c r="N601" t="s">
        <v>494</v>
      </c>
      <c r="O601" t="s">
        <v>495</v>
      </c>
      <c r="P601" t="str">
        <f>"91768"</f>
        <v>91768</v>
      </c>
    </row>
    <row r="602" spans="1:16" x14ac:dyDescent="0.25">
      <c r="A602" t="str">
        <f>"1040027H00047030400"</f>
        <v>1040027H00047030400</v>
      </c>
      <c r="B602" t="s">
        <v>1504</v>
      </c>
      <c r="C602" t="s">
        <v>1505</v>
      </c>
      <c r="E602" t="s">
        <v>39</v>
      </c>
      <c r="F602">
        <v>0</v>
      </c>
      <c r="G602">
        <v>0</v>
      </c>
      <c r="H602">
        <v>1</v>
      </c>
      <c r="I602" s="3">
        <v>4810.0600000000004</v>
      </c>
      <c r="J602" s="3">
        <v>1322.72</v>
      </c>
      <c r="L602">
        <v>220</v>
      </c>
      <c r="M602" t="s">
        <v>1506</v>
      </c>
      <c r="N602" t="s">
        <v>30</v>
      </c>
      <c r="O602" t="s">
        <v>31</v>
      </c>
      <c r="P602" t="str">
        <f t="shared" ref="P602:P610" si="11">"15213"</f>
        <v>15213</v>
      </c>
    </row>
    <row r="603" spans="1:16" x14ac:dyDescent="0.25">
      <c r="A603" t="str">
        <f>"1040027H00047050100"</f>
        <v>1040027H00047050100</v>
      </c>
      <c r="B603" t="s">
        <v>1507</v>
      </c>
      <c r="C603" t="s">
        <v>1508</v>
      </c>
      <c r="E603" t="s">
        <v>39</v>
      </c>
      <c r="F603">
        <v>0</v>
      </c>
      <c r="G603">
        <v>0</v>
      </c>
      <c r="H603">
        <v>2</v>
      </c>
      <c r="I603" s="3">
        <v>73.56</v>
      </c>
      <c r="J603" s="3">
        <v>1.53</v>
      </c>
      <c r="K603" t="s">
        <v>1509</v>
      </c>
      <c r="L603">
        <v>220</v>
      </c>
      <c r="M603" t="s">
        <v>1510</v>
      </c>
      <c r="N603" t="s">
        <v>30</v>
      </c>
      <c r="O603" t="s">
        <v>31</v>
      </c>
      <c r="P603" t="str">
        <f t="shared" si="11"/>
        <v>15213</v>
      </c>
    </row>
    <row r="604" spans="1:16" x14ac:dyDescent="0.25">
      <c r="A604" t="str">
        <f>"1040027H00047090300"</f>
        <v>1040027H00047090300</v>
      </c>
      <c r="B604" t="s">
        <v>1511</v>
      </c>
      <c r="C604" t="s">
        <v>1512</v>
      </c>
      <c r="D604" t="s">
        <v>20</v>
      </c>
      <c r="E604" t="s">
        <v>39</v>
      </c>
      <c r="F604">
        <v>0</v>
      </c>
      <c r="G604">
        <v>0</v>
      </c>
      <c r="H604">
        <v>3</v>
      </c>
      <c r="I604" s="3">
        <v>7802.45</v>
      </c>
      <c r="J604" s="3">
        <v>0.09</v>
      </c>
      <c r="L604">
        <v>220</v>
      </c>
      <c r="M604" t="s">
        <v>1513</v>
      </c>
      <c r="N604" t="s">
        <v>30</v>
      </c>
      <c r="O604" t="s">
        <v>31</v>
      </c>
      <c r="P604" t="str">
        <f t="shared" si="11"/>
        <v>15213</v>
      </c>
    </row>
    <row r="605" spans="1:16" x14ac:dyDescent="0.25">
      <c r="A605" t="str">
        <f>"1040027H00047120300"</f>
        <v>1040027H00047120300</v>
      </c>
      <c r="B605" t="s">
        <v>1514</v>
      </c>
      <c r="C605" t="s">
        <v>1515</v>
      </c>
      <c r="D605" t="s">
        <v>20</v>
      </c>
      <c r="E605" t="s">
        <v>39</v>
      </c>
      <c r="F605">
        <v>0</v>
      </c>
      <c r="G605">
        <v>0</v>
      </c>
      <c r="H605">
        <v>1</v>
      </c>
      <c r="I605" s="3">
        <v>11264.46</v>
      </c>
      <c r="J605" s="3">
        <v>0</v>
      </c>
      <c r="K605" t="s">
        <v>1516</v>
      </c>
      <c r="L605">
        <v>220</v>
      </c>
      <c r="M605" t="s">
        <v>1517</v>
      </c>
      <c r="N605" t="s">
        <v>30</v>
      </c>
      <c r="O605" t="s">
        <v>31</v>
      </c>
      <c r="P605" t="str">
        <f t="shared" si="11"/>
        <v>15213</v>
      </c>
    </row>
    <row r="606" spans="1:16" x14ac:dyDescent="0.25">
      <c r="A606" t="str">
        <f>"1040027H00074030100"</f>
        <v>1040027H00074030100</v>
      </c>
      <c r="B606" t="s">
        <v>1518</v>
      </c>
      <c r="C606" t="s">
        <v>1519</v>
      </c>
      <c r="E606" t="s">
        <v>39</v>
      </c>
      <c r="F606">
        <v>0</v>
      </c>
      <c r="G606">
        <v>0</v>
      </c>
      <c r="H606">
        <v>2</v>
      </c>
      <c r="I606" s="3">
        <v>2191.92</v>
      </c>
      <c r="J606" s="3">
        <v>109.59</v>
      </c>
      <c r="K606" t="s">
        <v>1520</v>
      </c>
      <c r="L606">
        <v>146</v>
      </c>
      <c r="M606" t="s">
        <v>1521</v>
      </c>
      <c r="N606" t="s">
        <v>30</v>
      </c>
      <c r="O606" t="s">
        <v>31</v>
      </c>
      <c r="P606" t="str">
        <f t="shared" si="11"/>
        <v>15213</v>
      </c>
    </row>
    <row r="607" spans="1:16" x14ac:dyDescent="0.25">
      <c r="A607" t="str">
        <f>"1040027H00074050100"</f>
        <v>1040027H00074050100</v>
      </c>
      <c r="B607" t="s">
        <v>1522</v>
      </c>
      <c r="C607" t="s">
        <v>1523</v>
      </c>
      <c r="D607" t="s">
        <v>57</v>
      </c>
      <c r="E607" t="s">
        <v>39</v>
      </c>
      <c r="F607">
        <v>0</v>
      </c>
      <c r="G607">
        <v>0</v>
      </c>
      <c r="H607">
        <v>2</v>
      </c>
      <c r="I607" s="3">
        <v>4745.6099999999997</v>
      </c>
      <c r="J607" s="3">
        <v>116.31</v>
      </c>
      <c r="K607" t="s">
        <v>1524</v>
      </c>
      <c r="L607">
        <v>146</v>
      </c>
      <c r="M607" t="s">
        <v>1525</v>
      </c>
      <c r="N607" t="s">
        <v>30</v>
      </c>
      <c r="O607" t="s">
        <v>31</v>
      </c>
      <c r="P607" t="str">
        <f t="shared" si="11"/>
        <v>15213</v>
      </c>
    </row>
    <row r="608" spans="1:16" x14ac:dyDescent="0.25">
      <c r="A608" t="str">
        <f>"1040027H00074060300"</f>
        <v>1040027H00074060300</v>
      </c>
      <c r="B608" t="s">
        <v>1526</v>
      </c>
      <c r="C608" t="s">
        <v>1527</v>
      </c>
      <c r="E608" t="s">
        <v>39</v>
      </c>
      <c r="F608">
        <v>0</v>
      </c>
      <c r="G608">
        <v>0</v>
      </c>
      <c r="H608">
        <v>1</v>
      </c>
      <c r="I608" s="3">
        <v>3372.63</v>
      </c>
      <c r="J608" s="3">
        <v>1067.96</v>
      </c>
      <c r="K608" t="s">
        <v>1528</v>
      </c>
      <c r="L608">
        <v>146</v>
      </c>
      <c r="M608" t="s">
        <v>1529</v>
      </c>
      <c r="N608" t="s">
        <v>30</v>
      </c>
      <c r="O608" t="s">
        <v>31</v>
      </c>
      <c r="P608" t="str">
        <f t="shared" si="11"/>
        <v>15213</v>
      </c>
    </row>
    <row r="609" spans="1:16" x14ac:dyDescent="0.25">
      <c r="A609" t="str">
        <f>"1040027H00074070100"</f>
        <v>1040027H00074070100</v>
      </c>
      <c r="B609" t="s">
        <v>1530</v>
      </c>
      <c r="C609" t="s">
        <v>1531</v>
      </c>
      <c r="E609" t="s">
        <v>39</v>
      </c>
      <c r="F609">
        <v>0</v>
      </c>
      <c r="G609">
        <v>0</v>
      </c>
      <c r="H609">
        <v>1</v>
      </c>
      <c r="I609" s="3">
        <v>171.96</v>
      </c>
      <c r="J609" s="3">
        <v>137.56</v>
      </c>
      <c r="K609" t="s">
        <v>1532</v>
      </c>
      <c r="L609">
        <v>146</v>
      </c>
      <c r="M609" t="s">
        <v>1533</v>
      </c>
      <c r="N609" t="s">
        <v>30</v>
      </c>
      <c r="O609" t="s">
        <v>31</v>
      </c>
      <c r="P609" t="str">
        <f t="shared" si="11"/>
        <v>15213</v>
      </c>
    </row>
    <row r="610" spans="1:16" x14ac:dyDescent="0.25">
      <c r="A610" t="str">
        <f>"1040027H00074120300"</f>
        <v>1040027H00074120300</v>
      </c>
      <c r="B610" t="s">
        <v>1534</v>
      </c>
      <c r="C610" t="s">
        <v>1535</v>
      </c>
      <c r="E610" t="s">
        <v>39</v>
      </c>
      <c r="F610">
        <v>0</v>
      </c>
      <c r="G610">
        <v>0</v>
      </c>
      <c r="H610">
        <v>1</v>
      </c>
      <c r="I610" s="3">
        <v>2563.71</v>
      </c>
      <c r="J610" s="3">
        <v>811.81</v>
      </c>
      <c r="K610" t="s">
        <v>1536</v>
      </c>
      <c r="L610">
        <v>146</v>
      </c>
      <c r="M610" t="s">
        <v>1537</v>
      </c>
      <c r="N610" t="s">
        <v>30</v>
      </c>
      <c r="O610" t="s">
        <v>31</v>
      </c>
      <c r="P610" t="str">
        <f t="shared" si="11"/>
        <v>15213</v>
      </c>
    </row>
    <row r="611" spans="1:16" x14ac:dyDescent="0.25">
      <c r="A611" t="str">
        <f>"1040027H00074P2  00"</f>
        <v>1040027H00074P2  00</v>
      </c>
      <c r="B611" t="s">
        <v>1538</v>
      </c>
      <c r="C611" t="s">
        <v>1539</v>
      </c>
      <c r="D611" t="s">
        <v>20</v>
      </c>
      <c r="E611" t="s">
        <v>39</v>
      </c>
      <c r="F611">
        <v>0</v>
      </c>
      <c r="G611">
        <v>0</v>
      </c>
      <c r="H611">
        <v>1</v>
      </c>
      <c r="I611" s="3">
        <v>6663.38</v>
      </c>
      <c r="J611" s="3">
        <v>0</v>
      </c>
      <c r="K611" t="s">
        <v>1540</v>
      </c>
      <c r="L611">
        <v>1201</v>
      </c>
      <c r="M611" t="s">
        <v>1541</v>
      </c>
      <c r="N611" t="s">
        <v>30</v>
      </c>
      <c r="O611" t="s">
        <v>31</v>
      </c>
      <c r="P611" t="str">
        <f>"15206"</f>
        <v>15206</v>
      </c>
    </row>
    <row r="612" spans="1:16" x14ac:dyDescent="0.25">
      <c r="A612" t="str">
        <f>"1040027H00074P3  00"</f>
        <v>1040027H00074P3  00</v>
      </c>
      <c r="B612" t="s">
        <v>1542</v>
      </c>
      <c r="C612" t="s">
        <v>1543</v>
      </c>
      <c r="E612" t="s">
        <v>39</v>
      </c>
      <c r="F612">
        <v>0</v>
      </c>
      <c r="G612">
        <v>0</v>
      </c>
      <c r="H612">
        <v>1</v>
      </c>
      <c r="I612" s="3">
        <v>3492.06</v>
      </c>
      <c r="J612" s="3">
        <v>1658.66</v>
      </c>
      <c r="K612" t="s">
        <v>1544</v>
      </c>
      <c r="L612">
        <v>146</v>
      </c>
      <c r="M612" t="s">
        <v>1545</v>
      </c>
      <c r="N612" t="s">
        <v>30</v>
      </c>
      <c r="O612" t="s">
        <v>31</v>
      </c>
      <c r="P612" t="str">
        <f>"15213"</f>
        <v>15213</v>
      </c>
    </row>
    <row r="613" spans="1:16" x14ac:dyDescent="0.25">
      <c r="A613" t="str">
        <f>"1040027H00117030000"</f>
        <v>1040027H00117030000</v>
      </c>
      <c r="B613" t="s">
        <v>1546</v>
      </c>
      <c r="C613" t="s">
        <v>1547</v>
      </c>
      <c r="D613" t="s">
        <v>20</v>
      </c>
      <c r="E613" t="s">
        <v>39</v>
      </c>
      <c r="F613">
        <v>0</v>
      </c>
      <c r="G613">
        <v>0</v>
      </c>
      <c r="H613">
        <v>2</v>
      </c>
      <c r="I613" s="3">
        <v>7076.08</v>
      </c>
      <c r="J613" s="3">
        <v>0</v>
      </c>
      <c r="L613">
        <v>220</v>
      </c>
      <c r="M613" t="s">
        <v>1548</v>
      </c>
      <c r="N613" t="s">
        <v>30</v>
      </c>
      <c r="O613" t="s">
        <v>31</v>
      </c>
      <c r="P613" t="str">
        <f>"15213"</f>
        <v>15213</v>
      </c>
    </row>
    <row r="614" spans="1:16" x14ac:dyDescent="0.25">
      <c r="A614" t="str">
        <f>"1040027H00117030500"</f>
        <v>1040027H00117030500</v>
      </c>
      <c r="B614" t="s">
        <v>1549</v>
      </c>
      <c r="C614" t="s">
        <v>1550</v>
      </c>
      <c r="D614" t="s">
        <v>20</v>
      </c>
      <c r="E614" t="s">
        <v>39</v>
      </c>
      <c r="F614">
        <v>0</v>
      </c>
      <c r="G614">
        <v>0</v>
      </c>
      <c r="H614">
        <v>1</v>
      </c>
      <c r="I614" s="3">
        <v>3432.72</v>
      </c>
      <c r="J614" s="3">
        <v>0</v>
      </c>
      <c r="K614" t="s">
        <v>1551</v>
      </c>
      <c r="L614">
        <v>220</v>
      </c>
      <c r="M614" t="s">
        <v>1552</v>
      </c>
      <c r="N614" t="s">
        <v>30</v>
      </c>
      <c r="O614" t="s">
        <v>31</v>
      </c>
      <c r="P614" t="str">
        <f>"15213"</f>
        <v>15213</v>
      </c>
    </row>
    <row r="615" spans="1:16" x14ac:dyDescent="0.25">
      <c r="A615" t="str">
        <f>"1040027H00117030700"</f>
        <v>1040027H00117030700</v>
      </c>
      <c r="B615" t="s">
        <v>1553</v>
      </c>
      <c r="C615" t="s">
        <v>1554</v>
      </c>
      <c r="E615" t="s">
        <v>39</v>
      </c>
      <c r="F615">
        <v>0</v>
      </c>
      <c r="G615">
        <v>0</v>
      </c>
      <c r="H615">
        <v>1</v>
      </c>
      <c r="I615" s="3">
        <v>1354.98</v>
      </c>
      <c r="J615" s="3">
        <v>0</v>
      </c>
      <c r="L615">
        <v>5463</v>
      </c>
      <c r="M615" t="s">
        <v>1555</v>
      </c>
      <c r="N615" t="s">
        <v>30</v>
      </c>
      <c r="O615" t="s">
        <v>31</v>
      </c>
      <c r="P615" t="str">
        <f>"15217"</f>
        <v>15217</v>
      </c>
    </row>
    <row r="616" spans="1:16" x14ac:dyDescent="0.25">
      <c r="A616" t="str">
        <f>"1040027H00117080100"</f>
        <v>1040027H00117080100</v>
      </c>
      <c r="B616" t="s">
        <v>1556</v>
      </c>
      <c r="C616" t="s">
        <v>1557</v>
      </c>
      <c r="D616" t="s">
        <v>20</v>
      </c>
      <c r="E616" t="s">
        <v>39</v>
      </c>
      <c r="F616">
        <v>0</v>
      </c>
      <c r="G616">
        <v>0</v>
      </c>
      <c r="H616">
        <v>3</v>
      </c>
      <c r="I616" s="3">
        <v>7319.47</v>
      </c>
      <c r="J616" s="3">
        <v>86.08</v>
      </c>
      <c r="L616">
        <v>220</v>
      </c>
      <c r="M616" t="s">
        <v>1558</v>
      </c>
      <c r="N616" t="s">
        <v>30</v>
      </c>
      <c r="O616" t="s">
        <v>31</v>
      </c>
      <c r="P616" t="str">
        <f>"15213"</f>
        <v>15213</v>
      </c>
    </row>
    <row r="617" spans="1:16" x14ac:dyDescent="0.25">
      <c r="A617" t="str">
        <f>"1040027H00117080700"</f>
        <v>1040027H00117080700</v>
      </c>
      <c r="B617" t="s">
        <v>1559</v>
      </c>
      <c r="C617" t="s">
        <v>1560</v>
      </c>
      <c r="E617" t="s">
        <v>39</v>
      </c>
      <c r="F617">
        <v>0</v>
      </c>
      <c r="G617">
        <v>0</v>
      </c>
      <c r="H617">
        <v>1</v>
      </c>
      <c r="I617" s="3">
        <v>3400.3</v>
      </c>
      <c r="J617" s="3">
        <v>0</v>
      </c>
      <c r="L617">
        <v>220</v>
      </c>
      <c r="M617" t="s">
        <v>1561</v>
      </c>
      <c r="N617" t="s">
        <v>30</v>
      </c>
      <c r="O617" t="s">
        <v>31</v>
      </c>
      <c r="P617" t="str">
        <f>"15213"</f>
        <v>15213</v>
      </c>
    </row>
    <row r="618" spans="1:16" x14ac:dyDescent="0.25">
      <c r="A618" t="str">
        <f>"1040027H00117110000"</f>
        <v>1040027H00117110000</v>
      </c>
      <c r="B618" t="s">
        <v>1562</v>
      </c>
      <c r="C618" t="s">
        <v>1563</v>
      </c>
      <c r="E618" t="s">
        <v>39</v>
      </c>
      <c r="F618">
        <v>0</v>
      </c>
      <c r="G618">
        <v>0</v>
      </c>
      <c r="H618">
        <v>1</v>
      </c>
      <c r="I618" s="3">
        <v>371.68</v>
      </c>
      <c r="J618" s="3">
        <v>0</v>
      </c>
      <c r="K618" t="s">
        <v>1564</v>
      </c>
      <c r="L618">
        <v>220</v>
      </c>
      <c r="M618" t="s">
        <v>1565</v>
      </c>
      <c r="N618" t="s">
        <v>30</v>
      </c>
      <c r="O618" t="s">
        <v>31</v>
      </c>
      <c r="P618" t="str">
        <f>"15213"</f>
        <v>15213</v>
      </c>
    </row>
    <row r="619" spans="1:16" x14ac:dyDescent="0.25">
      <c r="A619" t="str">
        <f>"1040027H00144001200"</f>
        <v>1040027H00144001200</v>
      </c>
      <c r="B619" t="s">
        <v>1566</v>
      </c>
      <c r="C619" t="s">
        <v>1567</v>
      </c>
      <c r="D619" t="s">
        <v>20</v>
      </c>
      <c r="E619" t="s">
        <v>39</v>
      </c>
      <c r="F619">
        <v>0</v>
      </c>
      <c r="G619">
        <v>0</v>
      </c>
      <c r="H619">
        <v>2</v>
      </c>
      <c r="I619" s="3">
        <v>3545.94</v>
      </c>
      <c r="J619" s="3">
        <v>0</v>
      </c>
      <c r="L619">
        <v>166</v>
      </c>
      <c r="M619" t="s">
        <v>1568</v>
      </c>
      <c r="N619" t="s">
        <v>30</v>
      </c>
      <c r="O619" t="s">
        <v>31</v>
      </c>
      <c r="P619" t="str">
        <f>"15213"</f>
        <v>15213</v>
      </c>
    </row>
    <row r="620" spans="1:16" x14ac:dyDescent="0.25">
      <c r="A620" t="str">
        <f>"1040027H00144001500"</f>
        <v>1040027H00144001500</v>
      </c>
      <c r="B620" t="s">
        <v>1569</v>
      </c>
      <c r="C620" t="s">
        <v>1570</v>
      </c>
      <c r="E620" t="s">
        <v>39</v>
      </c>
      <c r="F620">
        <v>0</v>
      </c>
      <c r="G620">
        <v>0</v>
      </c>
      <c r="H620">
        <v>2</v>
      </c>
      <c r="I620" s="3">
        <v>5927.96</v>
      </c>
      <c r="J620" s="3">
        <v>405.39</v>
      </c>
      <c r="K620" t="s">
        <v>1571</v>
      </c>
      <c r="L620">
        <v>166</v>
      </c>
      <c r="M620" t="s">
        <v>1572</v>
      </c>
      <c r="N620" t="s">
        <v>30</v>
      </c>
      <c r="O620" t="s">
        <v>31</v>
      </c>
      <c r="P620" t="str">
        <f>"15213"</f>
        <v>15213</v>
      </c>
    </row>
    <row r="621" spans="1:16" x14ac:dyDescent="0.25">
      <c r="A621" t="str">
        <f>"1040027H00144011200"</f>
        <v>1040027H00144011200</v>
      </c>
      <c r="B621" t="s">
        <v>1573</v>
      </c>
      <c r="C621" t="s">
        <v>1574</v>
      </c>
      <c r="D621" t="s">
        <v>20</v>
      </c>
      <c r="E621" t="s">
        <v>39</v>
      </c>
      <c r="F621">
        <v>0</v>
      </c>
      <c r="G621">
        <v>0</v>
      </c>
      <c r="H621">
        <v>9</v>
      </c>
      <c r="I621" s="3">
        <v>22499.8</v>
      </c>
      <c r="J621" s="3">
        <v>7394.67</v>
      </c>
      <c r="L621">
        <v>629</v>
      </c>
      <c r="M621" t="s">
        <v>1575</v>
      </c>
      <c r="N621" t="s">
        <v>30</v>
      </c>
      <c r="O621" t="s">
        <v>31</v>
      </c>
      <c r="P621" t="str">
        <f>"15232"</f>
        <v>15232</v>
      </c>
    </row>
    <row r="622" spans="1:16" x14ac:dyDescent="0.25">
      <c r="A622" t="str">
        <f>"1040027H00144012500"</f>
        <v>1040027H00144012500</v>
      </c>
      <c r="B622" t="s">
        <v>1576</v>
      </c>
      <c r="C622" t="s">
        <v>1577</v>
      </c>
      <c r="D622" t="s">
        <v>20</v>
      </c>
      <c r="E622" t="s">
        <v>39</v>
      </c>
      <c r="F622">
        <v>0</v>
      </c>
      <c r="G622">
        <v>0</v>
      </c>
      <c r="H622">
        <v>1</v>
      </c>
      <c r="I622" s="3">
        <v>930.6</v>
      </c>
      <c r="J622" s="3">
        <v>0</v>
      </c>
      <c r="K622" t="s">
        <v>1578</v>
      </c>
      <c r="L622">
        <v>20975</v>
      </c>
      <c r="M622" t="s">
        <v>1579</v>
      </c>
      <c r="N622" t="s">
        <v>1580</v>
      </c>
      <c r="O622" t="s">
        <v>495</v>
      </c>
      <c r="P622" t="str">
        <f>"95033"</f>
        <v>95033</v>
      </c>
    </row>
    <row r="623" spans="1:16" x14ac:dyDescent="0.25">
      <c r="A623" t="str">
        <f>"1040027H00160000300"</f>
        <v>1040027H00160000300</v>
      </c>
      <c r="B623" t="s">
        <v>1581</v>
      </c>
      <c r="C623" t="s">
        <v>1582</v>
      </c>
      <c r="D623" t="s">
        <v>20</v>
      </c>
      <c r="E623" t="s">
        <v>39</v>
      </c>
      <c r="F623">
        <v>0</v>
      </c>
      <c r="G623">
        <v>0</v>
      </c>
      <c r="H623">
        <v>1</v>
      </c>
      <c r="I623" s="3">
        <v>1992.23</v>
      </c>
      <c r="J623" s="3">
        <v>0</v>
      </c>
      <c r="K623" t="s">
        <v>759</v>
      </c>
      <c r="L623">
        <v>3001</v>
      </c>
      <c r="M623" t="s">
        <v>404</v>
      </c>
      <c r="N623" t="s">
        <v>331</v>
      </c>
      <c r="O623" t="s">
        <v>108</v>
      </c>
      <c r="P623" t="str">
        <f>"75063"</f>
        <v>75063</v>
      </c>
    </row>
    <row r="624" spans="1:16" x14ac:dyDescent="0.25">
      <c r="A624" t="str">
        <f>"1040027H00160004500"</f>
        <v>1040027H00160004500</v>
      </c>
      <c r="B624" t="s">
        <v>1583</v>
      </c>
      <c r="C624" t="s">
        <v>1584</v>
      </c>
      <c r="D624" t="s">
        <v>57</v>
      </c>
      <c r="E624" t="s">
        <v>39</v>
      </c>
      <c r="F624">
        <v>0</v>
      </c>
      <c r="G624">
        <v>0</v>
      </c>
      <c r="H624">
        <v>1</v>
      </c>
      <c r="I624" s="3">
        <v>73.48</v>
      </c>
      <c r="J624" s="3">
        <v>0.61</v>
      </c>
      <c r="L624">
        <v>144</v>
      </c>
      <c r="M624" t="s">
        <v>1585</v>
      </c>
      <c r="N624" t="s">
        <v>30</v>
      </c>
      <c r="O624" t="s">
        <v>31</v>
      </c>
      <c r="P624" t="str">
        <f>"15213"</f>
        <v>15213</v>
      </c>
    </row>
    <row r="625" spans="1:16" x14ac:dyDescent="0.25">
      <c r="A625" t="str">
        <f>"1040027H00160005500"</f>
        <v>1040027H00160005500</v>
      </c>
      <c r="B625" t="s">
        <v>1586</v>
      </c>
      <c r="C625" t="s">
        <v>1587</v>
      </c>
      <c r="D625" t="s">
        <v>20</v>
      </c>
      <c r="E625" t="s">
        <v>39</v>
      </c>
      <c r="F625">
        <v>0</v>
      </c>
      <c r="G625">
        <v>0</v>
      </c>
      <c r="H625">
        <v>2</v>
      </c>
      <c r="I625" s="3">
        <v>4185.58</v>
      </c>
      <c r="J625" s="3">
        <v>418.54</v>
      </c>
      <c r="K625" t="s">
        <v>1588</v>
      </c>
      <c r="L625">
        <v>165</v>
      </c>
      <c r="M625" t="s">
        <v>1589</v>
      </c>
      <c r="N625" t="s">
        <v>1590</v>
      </c>
      <c r="O625" t="s">
        <v>200</v>
      </c>
      <c r="P625" t="str">
        <f>"14701"</f>
        <v>14701</v>
      </c>
    </row>
    <row r="626" spans="1:16" x14ac:dyDescent="0.25">
      <c r="A626" t="str">
        <f>"1040027H00160007000"</f>
        <v>1040027H00160007000</v>
      </c>
      <c r="B626" t="s">
        <v>1591</v>
      </c>
      <c r="C626" t="s">
        <v>1592</v>
      </c>
      <c r="D626" t="s">
        <v>20</v>
      </c>
      <c r="E626" t="s">
        <v>39</v>
      </c>
      <c r="F626">
        <v>0</v>
      </c>
      <c r="G626">
        <v>0</v>
      </c>
      <c r="H626">
        <v>2</v>
      </c>
      <c r="I626" s="3">
        <v>1908</v>
      </c>
      <c r="J626" s="3">
        <v>199.67</v>
      </c>
      <c r="L626">
        <v>144</v>
      </c>
      <c r="M626" t="s">
        <v>1593</v>
      </c>
      <c r="N626" t="s">
        <v>30</v>
      </c>
      <c r="O626" t="s">
        <v>31</v>
      </c>
      <c r="P626" t="str">
        <f>"15213"</f>
        <v>15213</v>
      </c>
    </row>
    <row r="627" spans="1:16" x14ac:dyDescent="0.25">
      <c r="A627" t="str">
        <f>"1040027H00160008400"</f>
        <v>1040027H00160008400</v>
      </c>
      <c r="B627" t="s">
        <v>1594</v>
      </c>
      <c r="C627" t="s">
        <v>1595</v>
      </c>
      <c r="D627" t="s">
        <v>20</v>
      </c>
      <c r="E627" t="s">
        <v>39</v>
      </c>
      <c r="F627">
        <v>0</v>
      </c>
      <c r="G627">
        <v>0</v>
      </c>
      <c r="H627">
        <v>3</v>
      </c>
      <c r="I627" s="3">
        <v>4414.29</v>
      </c>
      <c r="J627" s="3">
        <v>294.27</v>
      </c>
      <c r="K627" t="s">
        <v>391</v>
      </c>
      <c r="L627">
        <v>1</v>
      </c>
      <c r="M627" t="s">
        <v>392</v>
      </c>
      <c r="N627" t="s">
        <v>393</v>
      </c>
      <c r="O627" t="s">
        <v>394</v>
      </c>
      <c r="P627" t="str">
        <f>"50328"</f>
        <v>50328</v>
      </c>
    </row>
    <row r="628" spans="1:16" x14ac:dyDescent="0.25">
      <c r="A628" t="str">
        <f>"1040027H00160008500"</f>
        <v>1040027H00160008500</v>
      </c>
      <c r="B628" t="s">
        <v>1596</v>
      </c>
      <c r="C628" t="s">
        <v>1597</v>
      </c>
      <c r="D628" t="s">
        <v>20</v>
      </c>
      <c r="E628" t="s">
        <v>39</v>
      </c>
      <c r="F628">
        <v>0</v>
      </c>
      <c r="G628">
        <v>0</v>
      </c>
      <c r="H628">
        <v>2</v>
      </c>
      <c r="I628" s="3">
        <v>2997.24</v>
      </c>
      <c r="J628" s="3">
        <v>0</v>
      </c>
      <c r="L628">
        <v>144</v>
      </c>
      <c r="M628" t="s">
        <v>1598</v>
      </c>
      <c r="N628" t="s">
        <v>30</v>
      </c>
      <c r="O628" t="s">
        <v>31</v>
      </c>
      <c r="P628" t="str">
        <f>"15213"</f>
        <v>15213</v>
      </c>
    </row>
    <row r="629" spans="1:16" x14ac:dyDescent="0.25">
      <c r="A629" t="str">
        <f>"1040027H00199    00"</f>
        <v>1040027H00199    00</v>
      </c>
      <c r="B629" t="s">
        <v>1599</v>
      </c>
      <c r="C629" t="s">
        <v>1600</v>
      </c>
      <c r="E629" t="s">
        <v>21</v>
      </c>
      <c r="F629">
        <v>0</v>
      </c>
      <c r="G629">
        <v>0</v>
      </c>
      <c r="H629">
        <v>1</v>
      </c>
      <c r="I629" s="3">
        <v>252.18</v>
      </c>
      <c r="J629" s="3">
        <v>123.99</v>
      </c>
      <c r="K629" t="s">
        <v>1601</v>
      </c>
      <c r="L629">
        <v>195</v>
      </c>
      <c r="M629" t="s">
        <v>1602</v>
      </c>
      <c r="N629" t="s">
        <v>30</v>
      </c>
      <c r="O629" t="s">
        <v>31</v>
      </c>
      <c r="P629" t="str">
        <f>"15213"</f>
        <v>15213</v>
      </c>
    </row>
    <row r="630" spans="1:16" x14ac:dyDescent="0.25">
      <c r="A630" t="str">
        <f>"1040027L00147    00"</f>
        <v>1040027L00147    00</v>
      </c>
      <c r="B630" t="s">
        <v>1603</v>
      </c>
      <c r="C630" t="s">
        <v>1604</v>
      </c>
      <c r="E630" t="s">
        <v>39</v>
      </c>
      <c r="F630">
        <v>0</v>
      </c>
      <c r="G630">
        <v>0</v>
      </c>
      <c r="H630">
        <v>1</v>
      </c>
      <c r="I630" s="3">
        <v>2874.12</v>
      </c>
      <c r="J630" s="3">
        <v>910.1</v>
      </c>
      <c r="K630" t="s">
        <v>881</v>
      </c>
      <c r="L630">
        <v>3001</v>
      </c>
      <c r="M630" t="s">
        <v>330</v>
      </c>
      <c r="N630" t="s">
        <v>331</v>
      </c>
      <c r="O630" t="s">
        <v>108</v>
      </c>
      <c r="P630" t="str">
        <f>"75063"</f>
        <v>75063</v>
      </c>
    </row>
    <row r="631" spans="1:16" x14ac:dyDescent="0.25">
      <c r="A631" t="str">
        <f>"1040027L00153    00"</f>
        <v>1040027L00153    00</v>
      </c>
      <c r="B631" t="s">
        <v>1605</v>
      </c>
      <c r="C631" t="s">
        <v>1606</v>
      </c>
      <c r="E631" t="s">
        <v>39</v>
      </c>
      <c r="F631">
        <v>0</v>
      </c>
      <c r="G631">
        <v>0</v>
      </c>
      <c r="H631">
        <v>2</v>
      </c>
      <c r="I631" s="3">
        <v>2968.17</v>
      </c>
      <c r="J631" s="3">
        <v>50.75</v>
      </c>
      <c r="K631" t="s">
        <v>1607</v>
      </c>
      <c r="L631">
        <v>901</v>
      </c>
      <c r="M631" t="s">
        <v>1503</v>
      </c>
      <c r="N631" t="s">
        <v>494</v>
      </c>
      <c r="O631" t="s">
        <v>495</v>
      </c>
      <c r="P631" t="str">
        <f>"91768"</f>
        <v>91768</v>
      </c>
    </row>
    <row r="632" spans="1:16" x14ac:dyDescent="0.25">
      <c r="A632" t="str">
        <f>"1040027L00182    00"</f>
        <v>1040027L00182    00</v>
      </c>
      <c r="B632" t="s">
        <v>1608</v>
      </c>
      <c r="C632" t="s">
        <v>1609</v>
      </c>
      <c r="D632" t="s">
        <v>20</v>
      </c>
      <c r="E632" t="s">
        <v>39</v>
      </c>
      <c r="F632">
        <v>0</v>
      </c>
      <c r="G632">
        <v>0</v>
      </c>
      <c r="H632">
        <v>5</v>
      </c>
      <c r="I632" s="3">
        <v>39588.9</v>
      </c>
      <c r="J632" s="3">
        <v>9570.2000000000007</v>
      </c>
      <c r="L632">
        <v>5871</v>
      </c>
      <c r="M632" t="s">
        <v>1610</v>
      </c>
      <c r="N632" t="s">
        <v>30</v>
      </c>
      <c r="O632" t="s">
        <v>31</v>
      </c>
      <c r="P632" t="str">
        <f>"15217"</f>
        <v>15217</v>
      </c>
    </row>
    <row r="633" spans="1:16" x14ac:dyDescent="0.25">
      <c r="A633" t="str">
        <f>"1040027L00188    00"</f>
        <v>1040027L00188    00</v>
      </c>
      <c r="B633" t="s">
        <v>1611</v>
      </c>
      <c r="C633" t="s">
        <v>1612</v>
      </c>
      <c r="E633" t="s">
        <v>39</v>
      </c>
      <c r="F633">
        <v>0</v>
      </c>
      <c r="G633">
        <v>0</v>
      </c>
      <c r="H633">
        <v>1</v>
      </c>
      <c r="I633" s="3">
        <v>145.66999999999999</v>
      </c>
      <c r="J633" s="3">
        <v>46.13</v>
      </c>
      <c r="K633" t="s">
        <v>1613</v>
      </c>
      <c r="L633">
        <v>320</v>
      </c>
      <c r="M633" t="s">
        <v>1614</v>
      </c>
      <c r="N633" t="s">
        <v>1615</v>
      </c>
      <c r="O633" t="s">
        <v>1616</v>
      </c>
      <c r="P633" t="str">
        <f>"57049"</f>
        <v>57049</v>
      </c>
    </row>
    <row r="634" spans="1:16" x14ac:dyDescent="0.25">
      <c r="A634" t="str">
        <f>"1040027L00258    00"</f>
        <v>1040027L00258    00</v>
      </c>
      <c r="B634" t="s">
        <v>1617</v>
      </c>
      <c r="C634" t="s">
        <v>1618</v>
      </c>
      <c r="D634" t="s">
        <v>20</v>
      </c>
      <c r="E634" t="s">
        <v>39</v>
      </c>
      <c r="F634">
        <v>0</v>
      </c>
      <c r="G634">
        <v>0</v>
      </c>
      <c r="H634">
        <v>3</v>
      </c>
      <c r="I634" s="3">
        <v>6432.78</v>
      </c>
      <c r="J634" s="3">
        <v>53.61</v>
      </c>
      <c r="K634" t="s">
        <v>759</v>
      </c>
      <c r="L634">
        <v>3001</v>
      </c>
      <c r="M634" t="s">
        <v>404</v>
      </c>
      <c r="N634" t="s">
        <v>331</v>
      </c>
      <c r="O634" t="s">
        <v>108</v>
      </c>
      <c r="P634" t="str">
        <f>"75063"</f>
        <v>75063</v>
      </c>
    </row>
    <row r="635" spans="1:16" x14ac:dyDescent="0.25">
      <c r="A635" t="str">
        <f>"1040027L00272    00"</f>
        <v>1040027L00272    00</v>
      </c>
      <c r="B635" t="s">
        <v>1619</v>
      </c>
      <c r="C635" t="s">
        <v>1620</v>
      </c>
      <c r="E635" t="s">
        <v>39</v>
      </c>
      <c r="F635">
        <v>0</v>
      </c>
      <c r="G635">
        <v>0</v>
      </c>
      <c r="H635">
        <v>1</v>
      </c>
      <c r="I635" s="3">
        <v>5667.06</v>
      </c>
      <c r="J635" s="3">
        <v>0</v>
      </c>
      <c r="L635">
        <v>252</v>
      </c>
      <c r="M635" t="s">
        <v>1621</v>
      </c>
      <c r="N635" t="s">
        <v>30</v>
      </c>
      <c r="O635" t="s">
        <v>31</v>
      </c>
      <c r="P635" t="str">
        <f>"15213"</f>
        <v>15213</v>
      </c>
    </row>
    <row r="636" spans="1:16" x14ac:dyDescent="0.25">
      <c r="A636" t="str">
        <f>"1040027M00246030200"</f>
        <v>1040027M00246030200</v>
      </c>
      <c r="B636" t="s">
        <v>1622</v>
      </c>
      <c r="C636" t="s">
        <v>1623</v>
      </c>
      <c r="D636" t="s">
        <v>20</v>
      </c>
      <c r="E636" t="s">
        <v>39</v>
      </c>
      <c r="F636">
        <v>0</v>
      </c>
      <c r="G636">
        <v>0</v>
      </c>
      <c r="H636">
        <v>1</v>
      </c>
      <c r="I636" s="3">
        <v>78.13</v>
      </c>
      <c r="J636" s="3">
        <v>0</v>
      </c>
      <c r="K636" t="s">
        <v>1624</v>
      </c>
      <c r="L636">
        <v>1605</v>
      </c>
      <c r="M636" t="s">
        <v>1625</v>
      </c>
      <c r="N636" t="s">
        <v>1626</v>
      </c>
      <c r="O636" t="s">
        <v>370</v>
      </c>
      <c r="P636" t="str">
        <f>"33957"</f>
        <v>33957</v>
      </c>
    </row>
    <row r="637" spans="1:16" x14ac:dyDescent="0.25">
      <c r="A637" t="str">
        <f>"1040027M00246060400"</f>
        <v>1040027M00246060400</v>
      </c>
      <c r="B637" t="s">
        <v>1627</v>
      </c>
      <c r="C637" t="s">
        <v>1628</v>
      </c>
      <c r="D637" t="s">
        <v>20</v>
      </c>
      <c r="E637" t="s">
        <v>39</v>
      </c>
      <c r="F637">
        <v>0</v>
      </c>
      <c r="G637">
        <v>0</v>
      </c>
      <c r="H637">
        <v>2</v>
      </c>
      <c r="I637" s="3">
        <v>5768.54</v>
      </c>
      <c r="J637" s="3">
        <v>0</v>
      </c>
      <c r="L637">
        <v>307</v>
      </c>
      <c r="M637" t="s">
        <v>1629</v>
      </c>
      <c r="N637" t="s">
        <v>30</v>
      </c>
      <c r="O637" t="s">
        <v>31</v>
      </c>
      <c r="P637" t="str">
        <f>"15213"</f>
        <v>15213</v>
      </c>
    </row>
    <row r="638" spans="1:16" x14ac:dyDescent="0.25">
      <c r="A638" t="str">
        <f>"1040027M00246061100"</f>
        <v>1040027M00246061100</v>
      </c>
      <c r="B638" t="s">
        <v>1630</v>
      </c>
      <c r="C638" t="s">
        <v>1631</v>
      </c>
      <c r="D638" t="s">
        <v>20</v>
      </c>
      <c r="E638" t="s">
        <v>39</v>
      </c>
      <c r="F638">
        <v>0</v>
      </c>
      <c r="G638">
        <v>0</v>
      </c>
      <c r="H638">
        <v>1</v>
      </c>
      <c r="I638" s="3">
        <v>3817.73</v>
      </c>
      <c r="J638" s="3">
        <v>0</v>
      </c>
      <c r="K638" t="s">
        <v>1632</v>
      </c>
      <c r="M638" t="s">
        <v>1633</v>
      </c>
      <c r="N638" t="s">
        <v>1634</v>
      </c>
      <c r="O638" t="s">
        <v>25</v>
      </c>
      <c r="P638" t="str">
        <f>"45401"</f>
        <v>45401</v>
      </c>
    </row>
    <row r="639" spans="1:16" x14ac:dyDescent="0.25">
      <c r="A639" t="str">
        <f>"1040027M00246071400"</f>
        <v>1040027M00246071400</v>
      </c>
      <c r="B639" t="s">
        <v>1635</v>
      </c>
      <c r="C639" t="s">
        <v>1636</v>
      </c>
      <c r="D639" t="s">
        <v>20</v>
      </c>
      <c r="E639" t="s">
        <v>39</v>
      </c>
      <c r="F639">
        <v>0</v>
      </c>
      <c r="G639">
        <v>0</v>
      </c>
      <c r="H639">
        <v>4</v>
      </c>
      <c r="I639" s="3">
        <v>16543.72</v>
      </c>
      <c r="J639" s="3">
        <v>1958.65</v>
      </c>
      <c r="L639">
        <v>307</v>
      </c>
      <c r="M639" t="s">
        <v>1637</v>
      </c>
      <c r="N639" t="s">
        <v>30</v>
      </c>
      <c r="O639" t="s">
        <v>31</v>
      </c>
      <c r="P639" t="str">
        <f>"15213"</f>
        <v>15213</v>
      </c>
    </row>
    <row r="640" spans="1:16" x14ac:dyDescent="0.25">
      <c r="A640" t="str">
        <f>"1040027M00246081400"</f>
        <v>1040027M00246081400</v>
      </c>
      <c r="B640" t="s">
        <v>1638</v>
      </c>
      <c r="C640" t="s">
        <v>1639</v>
      </c>
      <c r="E640" t="s">
        <v>39</v>
      </c>
      <c r="F640">
        <v>0</v>
      </c>
      <c r="G640">
        <v>0</v>
      </c>
      <c r="H640">
        <v>2</v>
      </c>
      <c r="I640" s="3">
        <v>4238.9399999999996</v>
      </c>
      <c r="J640" s="3">
        <v>176.62</v>
      </c>
      <c r="K640" t="s">
        <v>1640</v>
      </c>
      <c r="L640">
        <v>307</v>
      </c>
      <c r="M640" t="s">
        <v>1641</v>
      </c>
      <c r="N640" t="s">
        <v>30</v>
      </c>
      <c r="O640" t="s">
        <v>31</v>
      </c>
      <c r="P640" t="str">
        <f>"15213"</f>
        <v>15213</v>
      </c>
    </row>
    <row r="641" spans="1:16" x14ac:dyDescent="0.25">
      <c r="A641" t="str">
        <f>"1040028A00022    00"</f>
        <v>1040028A00022    00</v>
      </c>
      <c r="B641" t="s">
        <v>1642</v>
      </c>
      <c r="C641" t="s">
        <v>1643</v>
      </c>
      <c r="D641" t="s">
        <v>20</v>
      </c>
      <c r="E641" t="s">
        <v>39</v>
      </c>
      <c r="F641">
        <v>0</v>
      </c>
      <c r="G641">
        <v>0</v>
      </c>
      <c r="H641">
        <v>1</v>
      </c>
      <c r="I641" s="3">
        <v>433.12</v>
      </c>
      <c r="J641" s="3">
        <v>0</v>
      </c>
      <c r="L641">
        <v>215</v>
      </c>
      <c r="M641" t="s">
        <v>1644</v>
      </c>
      <c r="N641" t="s">
        <v>30</v>
      </c>
      <c r="O641" t="s">
        <v>31</v>
      </c>
      <c r="P641" t="str">
        <f>"15213"</f>
        <v>15213</v>
      </c>
    </row>
    <row r="642" spans="1:16" x14ac:dyDescent="0.25">
      <c r="A642" t="str">
        <f>"1040028A00023    00"</f>
        <v>1040028A00023    00</v>
      </c>
      <c r="B642" t="s">
        <v>1645</v>
      </c>
      <c r="C642" t="s">
        <v>1646</v>
      </c>
      <c r="D642" t="s">
        <v>20</v>
      </c>
      <c r="E642" t="s">
        <v>39</v>
      </c>
      <c r="F642">
        <v>0</v>
      </c>
      <c r="G642">
        <v>0</v>
      </c>
      <c r="H642">
        <v>7</v>
      </c>
      <c r="I642" s="3">
        <v>7081.97</v>
      </c>
      <c r="J642" s="3">
        <v>1931.73</v>
      </c>
      <c r="L642">
        <v>217</v>
      </c>
      <c r="M642" t="s">
        <v>1644</v>
      </c>
      <c r="N642" t="s">
        <v>30</v>
      </c>
      <c r="O642" t="s">
        <v>31</v>
      </c>
      <c r="P642" t="str">
        <f>"15213"</f>
        <v>15213</v>
      </c>
    </row>
    <row r="643" spans="1:16" x14ac:dyDescent="0.25">
      <c r="A643" t="str">
        <f>"1040028A00049    00"</f>
        <v>1040028A00049    00</v>
      </c>
      <c r="B643" t="s">
        <v>1647</v>
      </c>
      <c r="C643" t="s">
        <v>1648</v>
      </c>
      <c r="D643" t="s">
        <v>20</v>
      </c>
      <c r="E643" t="s">
        <v>39</v>
      </c>
      <c r="F643">
        <v>0</v>
      </c>
      <c r="G643">
        <v>0</v>
      </c>
      <c r="H643">
        <v>3</v>
      </c>
      <c r="I643" s="3">
        <v>2104.56</v>
      </c>
      <c r="J643" s="3">
        <v>331.92</v>
      </c>
      <c r="L643">
        <v>1767</v>
      </c>
      <c r="M643" t="s">
        <v>1649</v>
      </c>
      <c r="N643" t="s">
        <v>30</v>
      </c>
      <c r="O643" t="s">
        <v>31</v>
      </c>
      <c r="P643" t="str">
        <f>"15217"</f>
        <v>15217</v>
      </c>
    </row>
    <row r="644" spans="1:16" x14ac:dyDescent="0.25">
      <c r="A644" t="str">
        <f>"1040028A00050    00"</f>
        <v>1040028A00050    00</v>
      </c>
      <c r="B644" t="s">
        <v>1647</v>
      </c>
      <c r="C644" t="s">
        <v>1650</v>
      </c>
      <c r="D644" t="s">
        <v>20</v>
      </c>
      <c r="E644" t="s">
        <v>39</v>
      </c>
      <c r="F644">
        <v>0</v>
      </c>
      <c r="G644">
        <v>0</v>
      </c>
      <c r="H644">
        <v>3</v>
      </c>
      <c r="I644" s="3">
        <v>4049.85</v>
      </c>
      <c r="J644" s="3">
        <v>638.70000000000005</v>
      </c>
      <c r="L644">
        <v>8</v>
      </c>
      <c r="M644" t="s">
        <v>1651</v>
      </c>
      <c r="N644" t="s">
        <v>1652</v>
      </c>
      <c r="O644" t="s">
        <v>440</v>
      </c>
      <c r="P644" t="str">
        <f>"02464"</f>
        <v>02464</v>
      </c>
    </row>
    <row r="645" spans="1:16" x14ac:dyDescent="0.25">
      <c r="A645" t="str">
        <f>"1040028A00070    00"</f>
        <v>1040028A00070    00</v>
      </c>
      <c r="B645" t="s">
        <v>1653</v>
      </c>
      <c r="C645" t="s">
        <v>1654</v>
      </c>
      <c r="E645" t="s">
        <v>39</v>
      </c>
      <c r="F645">
        <v>0</v>
      </c>
      <c r="G645">
        <v>0</v>
      </c>
      <c r="H645">
        <v>2</v>
      </c>
      <c r="I645" s="3">
        <v>1014.38</v>
      </c>
      <c r="J645" s="3">
        <v>109.37</v>
      </c>
      <c r="L645">
        <v>242</v>
      </c>
      <c r="M645" t="s">
        <v>1644</v>
      </c>
      <c r="N645" t="s">
        <v>30</v>
      </c>
      <c r="O645" t="s">
        <v>31</v>
      </c>
      <c r="P645" t="str">
        <f>"15213"</f>
        <v>15213</v>
      </c>
    </row>
    <row r="646" spans="1:16" x14ac:dyDescent="0.25">
      <c r="A646" t="str">
        <f>"1040028A00071    00"</f>
        <v>1040028A00071    00</v>
      </c>
      <c r="B646" t="s">
        <v>1655</v>
      </c>
      <c r="C646" t="s">
        <v>1656</v>
      </c>
      <c r="E646" t="s">
        <v>39</v>
      </c>
      <c r="F646">
        <v>0</v>
      </c>
      <c r="G646">
        <v>0</v>
      </c>
      <c r="H646">
        <v>1</v>
      </c>
      <c r="I646" s="3">
        <v>1425.69</v>
      </c>
      <c r="J646" s="3">
        <v>285.12</v>
      </c>
      <c r="K646" t="s">
        <v>1657</v>
      </c>
      <c r="L646">
        <v>271</v>
      </c>
      <c r="M646" t="s">
        <v>1644</v>
      </c>
      <c r="N646" t="s">
        <v>30</v>
      </c>
      <c r="O646" t="s">
        <v>31</v>
      </c>
      <c r="P646" t="str">
        <f>"15213"</f>
        <v>15213</v>
      </c>
    </row>
    <row r="647" spans="1:16" x14ac:dyDescent="0.25">
      <c r="A647" t="str">
        <f>"1040028A00074    00"</f>
        <v>1040028A00074    00</v>
      </c>
      <c r="B647" t="s">
        <v>1658</v>
      </c>
      <c r="C647" t="s">
        <v>1659</v>
      </c>
      <c r="D647" t="s">
        <v>20</v>
      </c>
      <c r="E647" t="s">
        <v>39</v>
      </c>
      <c r="F647">
        <v>0</v>
      </c>
      <c r="G647">
        <v>0</v>
      </c>
      <c r="H647">
        <v>5</v>
      </c>
      <c r="I647" s="3">
        <v>2956.16</v>
      </c>
      <c r="J647" s="3">
        <v>230.26</v>
      </c>
      <c r="K647" t="s">
        <v>1660</v>
      </c>
      <c r="L647">
        <v>234</v>
      </c>
      <c r="M647" t="s">
        <v>1644</v>
      </c>
      <c r="N647" t="s">
        <v>30</v>
      </c>
      <c r="O647" t="s">
        <v>31</v>
      </c>
      <c r="P647" t="str">
        <f>"15213"</f>
        <v>15213</v>
      </c>
    </row>
    <row r="648" spans="1:16" x14ac:dyDescent="0.25">
      <c r="A648" t="str">
        <f>"1040028A00085    00"</f>
        <v>1040028A00085    00</v>
      </c>
      <c r="B648" t="s">
        <v>1661</v>
      </c>
      <c r="C648" t="s">
        <v>1662</v>
      </c>
      <c r="E648" t="s">
        <v>39</v>
      </c>
      <c r="F648">
        <v>0</v>
      </c>
      <c r="G648">
        <v>0</v>
      </c>
      <c r="H648">
        <v>1</v>
      </c>
      <c r="I648" s="3">
        <v>138.72</v>
      </c>
      <c r="J648" s="3">
        <v>0</v>
      </c>
      <c r="L648">
        <v>212</v>
      </c>
      <c r="M648" t="s">
        <v>1644</v>
      </c>
      <c r="N648" t="s">
        <v>30</v>
      </c>
      <c r="O648" t="s">
        <v>31</v>
      </c>
      <c r="P648" t="str">
        <f>"15213"</f>
        <v>15213</v>
      </c>
    </row>
    <row r="649" spans="1:16" x14ac:dyDescent="0.25">
      <c r="A649" t="str">
        <f>"1040028A00086    00"</f>
        <v>1040028A00086    00</v>
      </c>
      <c r="B649" t="s">
        <v>1663</v>
      </c>
      <c r="C649" t="s">
        <v>1664</v>
      </c>
      <c r="E649" t="s">
        <v>39</v>
      </c>
      <c r="F649">
        <v>0</v>
      </c>
      <c r="G649">
        <v>0</v>
      </c>
      <c r="H649">
        <v>16</v>
      </c>
      <c r="I649" s="3">
        <v>15884.27</v>
      </c>
      <c r="J649" s="3">
        <v>13569.1</v>
      </c>
      <c r="L649">
        <v>432</v>
      </c>
      <c r="M649" t="s">
        <v>1665</v>
      </c>
      <c r="N649" t="s">
        <v>30</v>
      </c>
      <c r="O649" t="s">
        <v>31</v>
      </c>
      <c r="P649" t="str">
        <f>"15234"</f>
        <v>15234</v>
      </c>
    </row>
    <row r="650" spans="1:16" x14ac:dyDescent="0.25">
      <c r="A650" t="str">
        <f>"1040028A00113    00"</f>
        <v>1040028A00113    00</v>
      </c>
      <c r="B650" t="s">
        <v>1666</v>
      </c>
      <c r="C650" t="s">
        <v>1667</v>
      </c>
      <c r="D650" t="s">
        <v>20</v>
      </c>
      <c r="E650" t="s">
        <v>39</v>
      </c>
      <c r="F650">
        <v>0</v>
      </c>
      <c r="G650">
        <v>0</v>
      </c>
      <c r="H650">
        <v>6</v>
      </c>
      <c r="I650" s="3">
        <v>8803.75</v>
      </c>
      <c r="J650" s="3">
        <v>49.42</v>
      </c>
      <c r="L650">
        <v>249</v>
      </c>
      <c r="M650" t="s">
        <v>1668</v>
      </c>
      <c r="N650" t="s">
        <v>30</v>
      </c>
      <c r="O650" t="s">
        <v>31</v>
      </c>
      <c r="P650" t="str">
        <f t="shared" ref="P650:P656" si="12">"15213"</f>
        <v>15213</v>
      </c>
    </row>
    <row r="651" spans="1:16" x14ac:dyDescent="0.25">
      <c r="A651" t="str">
        <f>"1040028A00116    00"</f>
        <v>1040028A00116    00</v>
      </c>
      <c r="B651" t="s">
        <v>1669</v>
      </c>
      <c r="C651" t="s">
        <v>1670</v>
      </c>
      <c r="D651" t="s">
        <v>20</v>
      </c>
      <c r="E651" t="s">
        <v>39</v>
      </c>
      <c r="F651">
        <v>0</v>
      </c>
      <c r="G651">
        <v>0</v>
      </c>
      <c r="H651">
        <v>2</v>
      </c>
      <c r="I651" s="3">
        <v>1768.28</v>
      </c>
      <c r="J651" s="3">
        <v>6</v>
      </c>
      <c r="L651">
        <v>255</v>
      </c>
      <c r="M651" t="s">
        <v>1668</v>
      </c>
      <c r="N651" t="s">
        <v>30</v>
      </c>
      <c r="O651" t="s">
        <v>31</v>
      </c>
      <c r="P651" t="str">
        <f t="shared" si="12"/>
        <v>15213</v>
      </c>
    </row>
    <row r="652" spans="1:16" x14ac:dyDescent="0.25">
      <c r="A652" t="str">
        <f>"1040028A00131    00"</f>
        <v>1040028A00131    00</v>
      </c>
      <c r="B652" t="s">
        <v>1671</v>
      </c>
      <c r="C652" t="s">
        <v>1672</v>
      </c>
      <c r="D652" t="s">
        <v>20</v>
      </c>
      <c r="E652" t="s">
        <v>39</v>
      </c>
      <c r="F652">
        <v>0</v>
      </c>
      <c r="G652">
        <v>0</v>
      </c>
      <c r="H652">
        <v>1</v>
      </c>
      <c r="I652" s="3">
        <v>37.700000000000003</v>
      </c>
      <c r="J652" s="3">
        <v>0</v>
      </c>
      <c r="K652" t="s">
        <v>1673</v>
      </c>
      <c r="L652">
        <v>274</v>
      </c>
      <c r="M652" t="s">
        <v>1668</v>
      </c>
      <c r="N652" t="s">
        <v>30</v>
      </c>
      <c r="O652" t="s">
        <v>31</v>
      </c>
      <c r="P652" t="str">
        <f t="shared" si="12"/>
        <v>15213</v>
      </c>
    </row>
    <row r="653" spans="1:16" x14ac:dyDescent="0.25">
      <c r="A653" t="str">
        <f>"1040028A00141    00"</f>
        <v>1040028A00141    00</v>
      </c>
      <c r="B653" t="s">
        <v>1674</v>
      </c>
      <c r="C653" t="s">
        <v>1675</v>
      </c>
      <c r="D653" t="s">
        <v>20</v>
      </c>
      <c r="E653" t="s">
        <v>39</v>
      </c>
      <c r="F653">
        <v>0</v>
      </c>
      <c r="G653">
        <v>0</v>
      </c>
      <c r="H653">
        <v>1</v>
      </c>
      <c r="I653" s="3">
        <v>1454.76</v>
      </c>
      <c r="J653" s="3">
        <v>0</v>
      </c>
      <c r="L653">
        <v>252</v>
      </c>
      <c r="M653" t="s">
        <v>1668</v>
      </c>
      <c r="N653" t="s">
        <v>30</v>
      </c>
      <c r="O653" t="s">
        <v>31</v>
      </c>
      <c r="P653" t="str">
        <f t="shared" si="12"/>
        <v>15213</v>
      </c>
    </row>
    <row r="654" spans="1:16" x14ac:dyDescent="0.25">
      <c r="A654" t="str">
        <f>"1040028A00142    00"</f>
        <v>1040028A00142    00</v>
      </c>
      <c r="B654" t="s">
        <v>1676</v>
      </c>
      <c r="C654" t="s">
        <v>1675</v>
      </c>
      <c r="E654" t="s">
        <v>39</v>
      </c>
      <c r="F654">
        <v>0</v>
      </c>
      <c r="G654">
        <v>0</v>
      </c>
      <c r="H654">
        <v>2</v>
      </c>
      <c r="I654" s="3">
        <v>25.42</v>
      </c>
      <c r="J654" s="3">
        <v>16.41</v>
      </c>
      <c r="L654">
        <v>252</v>
      </c>
      <c r="M654" t="s">
        <v>1668</v>
      </c>
      <c r="N654" t="s">
        <v>30</v>
      </c>
      <c r="O654" t="s">
        <v>31</v>
      </c>
      <c r="P654" t="str">
        <f t="shared" si="12"/>
        <v>15213</v>
      </c>
    </row>
    <row r="655" spans="1:16" x14ac:dyDescent="0.25">
      <c r="A655" t="str">
        <f>"1040028A00143    00"</f>
        <v>1040028A00143    00</v>
      </c>
      <c r="B655" t="s">
        <v>1677</v>
      </c>
      <c r="C655" t="s">
        <v>1675</v>
      </c>
      <c r="E655" t="s">
        <v>39</v>
      </c>
      <c r="F655">
        <v>0</v>
      </c>
      <c r="G655">
        <v>0</v>
      </c>
      <c r="H655">
        <v>2</v>
      </c>
      <c r="I655" s="3">
        <v>1092.6400000000001</v>
      </c>
      <c r="J655" s="3">
        <v>705.64</v>
      </c>
      <c r="L655">
        <v>252</v>
      </c>
      <c r="M655" t="s">
        <v>1668</v>
      </c>
      <c r="N655" t="s">
        <v>30</v>
      </c>
      <c r="O655" t="s">
        <v>31</v>
      </c>
      <c r="P655" t="str">
        <f t="shared" si="12"/>
        <v>15213</v>
      </c>
    </row>
    <row r="656" spans="1:16" x14ac:dyDescent="0.25">
      <c r="A656" t="str">
        <f>"1040028A00144L   00"</f>
        <v>1040028A00144L   00</v>
      </c>
      <c r="B656" t="s">
        <v>1678</v>
      </c>
      <c r="C656" t="s">
        <v>1679</v>
      </c>
      <c r="E656" t="s">
        <v>39</v>
      </c>
      <c r="F656">
        <v>0</v>
      </c>
      <c r="G656">
        <v>0</v>
      </c>
      <c r="H656">
        <v>1</v>
      </c>
      <c r="I656" s="3">
        <v>315.7</v>
      </c>
      <c r="J656" s="3">
        <v>0</v>
      </c>
      <c r="K656" t="s">
        <v>1421</v>
      </c>
      <c r="L656">
        <v>246</v>
      </c>
      <c r="M656" t="s">
        <v>1668</v>
      </c>
      <c r="N656" t="s">
        <v>30</v>
      </c>
      <c r="O656" t="s">
        <v>31</v>
      </c>
      <c r="P656" t="str">
        <f t="shared" si="12"/>
        <v>15213</v>
      </c>
    </row>
    <row r="657" spans="1:16" x14ac:dyDescent="0.25">
      <c r="A657" t="str">
        <f>"1040028A00145B   00"</f>
        <v>1040028A00145B   00</v>
      </c>
      <c r="B657" t="s">
        <v>1680</v>
      </c>
      <c r="C657" t="s">
        <v>1681</v>
      </c>
      <c r="D657" t="s">
        <v>20</v>
      </c>
      <c r="E657" t="s">
        <v>39</v>
      </c>
      <c r="F657">
        <v>0</v>
      </c>
      <c r="G657">
        <v>0</v>
      </c>
      <c r="H657">
        <v>1</v>
      </c>
      <c r="I657" s="3">
        <v>2615.0300000000002</v>
      </c>
      <c r="J657" s="3">
        <v>0</v>
      </c>
      <c r="K657" t="s">
        <v>563</v>
      </c>
      <c r="L657">
        <v>3001</v>
      </c>
      <c r="M657" t="s">
        <v>330</v>
      </c>
      <c r="N657" t="s">
        <v>331</v>
      </c>
      <c r="O657" t="s">
        <v>108</v>
      </c>
      <c r="P657" t="str">
        <f>"75063"</f>
        <v>75063</v>
      </c>
    </row>
    <row r="658" spans="1:16" x14ac:dyDescent="0.25">
      <c r="A658" t="str">
        <f>"1040028A00154    00"</f>
        <v>1040028A00154    00</v>
      </c>
      <c r="B658" t="s">
        <v>1682</v>
      </c>
      <c r="C658" t="s">
        <v>1683</v>
      </c>
      <c r="D658" t="s">
        <v>20</v>
      </c>
      <c r="E658" t="s">
        <v>39</v>
      </c>
      <c r="F658">
        <v>0</v>
      </c>
      <c r="G658">
        <v>0</v>
      </c>
      <c r="H658">
        <v>1</v>
      </c>
      <c r="I658" s="3">
        <v>1498.12</v>
      </c>
      <c r="J658" s="3">
        <v>0</v>
      </c>
      <c r="K658" t="s">
        <v>1684</v>
      </c>
      <c r="L658">
        <v>226</v>
      </c>
      <c r="M658" t="s">
        <v>1668</v>
      </c>
      <c r="N658" t="s">
        <v>30</v>
      </c>
      <c r="O658" t="s">
        <v>31</v>
      </c>
      <c r="P658" t="str">
        <f>"15213"</f>
        <v>15213</v>
      </c>
    </row>
    <row r="659" spans="1:16" x14ac:dyDescent="0.25">
      <c r="A659" t="str">
        <f>"1040028A00355    00"</f>
        <v>1040028A00355    00</v>
      </c>
      <c r="B659" t="s">
        <v>1685</v>
      </c>
      <c r="C659" t="s">
        <v>1686</v>
      </c>
      <c r="E659" t="s">
        <v>39</v>
      </c>
      <c r="F659">
        <v>0</v>
      </c>
      <c r="G659">
        <v>0</v>
      </c>
      <c r="H659">
        <v>4</v>
      </c>
      <c r="I659" s="3">
        <v>3350.19</v>
      </c>
      <c r="J659" s="3">
        <v>1115.8499999999999</v>
      </c>
      <c r="K659" t="s">
        <v>1687</v>
      </c>
      <c r="L659">
        <v>2114</v>
      </c>
      <c r="M659" t="s">
        <v>1688</v>
      </c>
      <c r="N659" t="s">
        <v>546</v>
      </c>
      <c r="O659" t="s">
        <v>31</v>
      </c>
      <c r="P659" t="str">
        <f>"15044"</f>
        <v>15044</v>
      </c>
    </row>
    <row r="660" spans="1:16" x14ac:dyDescent="0.25">
      <c r="A660" t="str">
        <f>"1040028A00363    00"</f>
        <v>1040028A00363    00</v>
      </c>
      <c r="B660" t="s">
        <v>1689</v>
      </c>
      <c r="C660" t="s">
        <v>1690</v>
      </c>
      <c r="E660" t="s">
        <v>39</v>
      </c>
      <c r="F660">
        <v>0</v>
      </c>
      <c r="G660">
        <v>0</v>
      </c>
      <c r="H660">
        <v>3</v>
      </c>
      <c r="I660" s="3">
        <v>64.48</v>
      </c>
      <c r="J660" s="3">
        <v>31.81</v>
      </c>
      <c r="L660">
        <v>108</v>
      </c>
      <c r="M660" t="s">
        <v>1691</v>
      </c>
      <c r="N660" t="s">
        <v>1692</v>
      </c>
      <c r="O660" t="s">
        <v>31</v>
      </c>
      <c r="P660" t="str">
        <f>"15005"</f>
        <v>15005</v>
      </c>
    </row>
    <row r="661" spans="1:16" x14ac:dyDescent="0.25">
      <c r="A661" t="str">
        <f>"1040028C00058    00"</f>
        <v>1040028C00058    00</v>
      </c>
      <c r="B661" t="s">
        <v>1693</v>
      </c>
      <c r="C661" t="s">
        <v>1694</v>
      </c>
      <c r="D661" t="s">
        <v>20</v>
      </c>
      <c r="E661" t="s">
        <v>21</v>
      </c>
      <c r="F661">
        <v>0</v>
      </c>
      <c r="G661">
        <v>0</v>
      </c>
      <c r="H661">
        <v>3</v>
      </c>
      <c r="I661" s="3">
        <v>15462.09</v>
      </c>
      <c r="J661" s="3">
        <v>2065.4499999999998</v>
      </c>
      <c r="L661">
        <v>2554</v>
      </c>
      <c r="M661" t="s">
        <v>1695</v>
      </c>
      <c r="N661" t="s">
        <v>30</v>
      </c>
      <c r="O661" t="s">
        <v>31</v>
      </c>
      <c r="P661" t="str">
        <f>"15217"</f>
        <v>15217</v>
      </c>
    </row>
    <row r="662" spans="1:16" x14ac:dyDescent="0.25">
      <c r="A662" t="str">
        <f>"1040028C00166    00"</f>
        <v>1040028C00166    00</v>
      </c>
      <c r="B662" t="s">
        <v>1696</v>
      </c>
      <c r="C662" t="s">
        <v>1697</v>
      </c>
      <c r="E662" t="s">
        <v>21</v>
      </c>
      <c r="F662">
        <v>0</v>
      </c>
      <c r="G662">
        <v>0</v>
      </c>
      <c r="H662">
        <v>2</v>
      </c>
      <c r="I662" s="3">
        <v>43.81</v>
      </c>
      <c r="J662" s="3">
        <v>3</v>
      </c>
      <c r="K662" t="s">
        <v>22</v>
      </c>
      <c r="M662" t="s">
        <v>23</v>
      </c>
      <c r="N662" t="s">
        <v>24</v>
      </c>
      <c r="O662" t="s">
        <v>25</v>
      </c>
      <c r="P662" t="str">
        <f>"43218"</f>
        <v>43218</v>
      </c>
    </row>
    <row r="663" spans="1:16" x14ac:dyDescent="0.25">
      <c r="A663" t="str">
        <f>"1040028E00057    00"</f>
        <v>1040028E00057    00</v>
      </c>
      <c r="B663" t="s">
        <v>1698</v>
      </c>
      <c r="C663" t="s">
        <v>1699</v>
      </c>
      <c r="D663" t="s">
        <v>20</v>
      </c>
      <c r="E663" t="s">
        <v>39</v>
      </c>
      <c r="F663">
        <v>0</v>
      </c>
      <c r="G663">
        <v>0</v>
      </c>
      <c r="H663">
        <v>1</v>
      </c>
      <c r="I663" s="3">
        <v>249.53</v>
      </c>
      <c r="J663" s="3">
        <v>99.81</v>
      </c>
      <c r="K663" t="s">
        <v>1700</v>
      </c>
      <c r="L663">
        <v>789</v>
      </c>
      <c r="M663" t="s">
        <v>1701</v>
      </c>
      <c r="N663" t="s">
        <v>1702</v>
      </c>
      <c r="O663" t="s">
        <v>692</v>
      </c>
      <c r="P663" t="str">
        <f>"20135"</f>
        <v>20135</v>
      </c>
    </row>
    <row r="664" spans="1:16" x14ac:dyDescent="0.25">
      <c r="A664" t="str">
        <f>"1040028E00065    00"</f>
        <v>1040028E00065    00</v>
      </c>
      <c r="B664" t="s">
        <v>1703</v>
      </c>
      <c r="C664" t="s">
        <v>1704</v>
      </c>
      <c r="D664" t="s">
        <v>57</v>
      </c>
      <c r="E664" t="s">
        <v>39</v>
      </c>
      <c r="F664">
        <v>0</v>
      </c>
      <c r="G664">
        <v>0</v>
      </c>
      <c r="H664">
        <v>1</v>
      </c>
      <c r="I664" s="3">
        <v>987.31</v>
      </c>
      <c r="J664" s="3">
        <v>0</v>
      </c>
      <c r="K664" t="s">
        <v>1705</v>
      </c>
      <c r="L664">
        <v>3530</v>
      </c>
      <c r="M664" t="s">
        <v>1706</v>
      </c>
      <c r="N664" t="s">
        <v>1412</v>
      </c>
      <c r="O664" t="s">
        <v>1413</v>
      </c>
      <c r="P664" t="str">
        <f>"28277"</f>
        <v>28277</v>
      </c>
    </row>
    <row r="665" spans="1:16" x14ac:dyDescent="0.25">
      <c r="A665" t="str">
        <f>"1040028E00074    00"</f>
        <v>1040028E00074    00</v>
      </c>
      <c r="B665" t="s">
        <v>1707</v>
      </c>
      <c r="C665" t="s">
        <v>1708</v>
      </c>
      <c r="D665" t="s">
        <v>20</v>
      </c>
      <c r="E665" t="s">
        <v>39</v>
      </c>
      <c r="F665">
        <v>0</v>
      </c>
      <c r="G665">
        <v>0</v>
      </c>
      <c r="H665">
        <v>2</v>
      </c>
      <c r="I665" s="3">
        <v>1860.26</v>
      </c>
      <c r="J665" s="3">
        <v>0</v>
      </c>
      <c r="K665" t="s">
        <v>1483</v>
      </c>
      <c r="L665">
        <v>2333</v>
      </c>
      <c r="M665" t="s">
        <v>1484</v>
      </c>
      <c r="N665" t="s">
        <v>30</v>
      </c>
      <c r="O665" t="s">
        <v>31</v>
      </c>
      <c r="P665" t="str">
        <f>"15203"</f>
        <v>15203</v>
      </c>
    </row>
    <row r="666" spans="1:16" x14ac:dyDescent="0.25">
      <c r="A666" t="str">
        <f>"1040028E00085    00"</f>
        <v>1040028E00085    00</v>
      </c>
      <c r="B666" t="s">
        <v>1709</v>
      </c>
      <c r="C666" t="s">
        <v>1710</v>
      </c>
      <c r="D666" t="s">
        <v>20</v>
      </c>
      <c r="E666" t="s">
        <v>39</v>
      </c>
      <c r="F666">
        <v>0</v>
      </c>
      <c r="G666">
        <v>0</v>
      </c>
      <c r="H666">
        <v>1</v>
      </c>
      <c r="I666" s="3">
        <v>1393.75</v>
      </c>
      <c r="J666" s="3">
        <v>0</v>
      </c>
      <c r="L666">
        <v>159</v>
      </c>
      <c r="M666" t="s">
        <v>1711</v>
      </c>
      <c r="N666" t="s">
        <v>30</v>
      </c>
      <c r="O666" t="s">
        <v>31</v>
      </c>
      <c r="P666" t="str">
        <f>"15241"</f>
        <v>15241</v>
      </c>
    </row>
    <row r="667" spans="1:16" x14ac:dyDescent="0.25">
      <c r="A667" t="str">
        <f>"1040028E00140    00"</f>
        <v>1040028E00140    00</v>
      </c>
      <c r="B667" t="s">
        <v>1712</v>
      </c>
      <c r="C667" t="s">
        <v>1713</v>
      </c>
      <c r="D667" t="s">
        <v>20</v>
      </c>
      <c r="E667" t="s">
        <v>207</v>
      </c>
      <c r="F667">
        <v>0</v>
      </c>
      <c r="G667">
        <v>0</v>
      </c>
      <c r="H667">
        <v>1</v>
      </c>
      <c r="I667" s="3">
        <v>304.95999999999998</v>
      </c>
      <c r="J667" s="3">
        <v>0</v>
      </c>
      <c r="L667">
        <v>3333</v>
      </c>
      <c r="M667" t="s">
        <v>174</v>
      </c>
      <c r="N667" t="s">
        <v>30</v>
      </c>
      <c r="O667" t="s">
        <v>31</v>
      </c>
      <c r="P667" t="str">
        <f>"15213"</f>
        <v>15213</v>
      </c>
    </row>
    <row r="668" spans="1:16" x14ac:dyDescent="0.25">
      <c r="A668" t="str">
        <f>"1040028E00148    00"</f>
        <v>1040028E00148    00</v>
      </c>
      <c r="B668" t="s">
        <v>1712</v>
      </c>
      <c r="C668" t="s">
        <v>1714</v>
      </c>
      <c r="D668" t="s">
        <v>20</v>
      </c>
      <c r="E668" t="s">
        <v>39</v>
      </c>
      <c r="F668">
        <v>0</v>
      </c>
      <c r="G668">
        <v>0</v>
      </c>
      <c r="H668">
        <v>1</v>
      </c>
      <c r="I668" s="3">
        <v>975.87</v>
      </c>
      <c r="J668" s="3">
        <v>0</v>
      </c>
      <c r="L668">
        <v>3333</v>
      </c>
      <c r="M668" t="s">
        <v>1715</v>
      </c>
      <c r="N668" t="s">
        <v>30</v>
      </c>
      <c r="O668" t="s">
        <v>31</v>
      </c>
      <c r="P668" t="str">
        <f>"15213"</f>
        <v>15213</v>
      </c>
    </row>
    <row r="669" spans="1:16" x14ac:dyDescent="0.25">
      <c r="A669" t="str">
        <f>"1040028E00151    00"</f>
        <v>1040028E00151    00</v>
      </c>
      <c r="B669" t="s">
        <v>1712</v>
      </c>
      <c r="C669" t="s">
        <v>1713</v>
      </c>
      <c r="D669" t="s">
        <v>20</v>
      </c>
      <c r="E669" t="s">
        <v>39</v>
      </c>
      <c r="F669">
        <v>0</v>
      </c>
      <c r="G669">
        <v>0</v>
      </c>
      <c r="H669">
        <v>1</v>
      </c>
      <c r="I669" s="3">
        <v>383.12</v>
      </c>
      <c r="J669" s="3">
        <v>0</v>
      </c>
      <c r="L669">
        <v>3333</v>
      </c>
      <c r="M669" t="s">
        <v>1715</v>
      </c>
      <c r="N669" t="s">
        <v>30</v>
      </c>
      <c r="O669" t="s">
        <v>31</v>
      </c>
      <c r="P669" t="str">
        <f>"15213"</f>
        <v>15213</v>
      </c>
    </row>
    <row r="670" spans="1:16" x14ac:dyDescent="0.25">
      <c r="A670" t="str">
        <f>"1040028E00156    00"</f>
        <v>1040028E00156    00</v>
      </c>
      <c r="B670" t="s">
        <v>1716</v>
      </c>
      <c r="C670" t="s">
        <v>1717</v>
      </c>
      <c r="D670" t="s">
        <v>20</v>
      </c>
      <c r="E670" t="s">
        <v>39</v>
      </c>
      <c r="F670">
        <v>0</v>
      </c>
      <c r="G670">
        <v>0</v>
      </c>
      <c r="H670">
        <v>1</v>
      </c>
      <c r="I670" s="3">
        <v>2460.66</v>
      </c>
      <c r="J670" s="3">
        <v>0</v>
      </c>
      <c r="K670" t="s">
        <v>1632</v>
      </c>
      <c r="L670">
        <v>3001</v>
      </c>
      <c r="M670" t="s">
        <v>330</v>
      </c>
      <c r="N670" t="s">
        <v>331</v>
      </c>
      <c r="O670" t="s">
        <v>108</v>
      </c>
      <c r="P670" t="str">
        <f>"75063"</f>
        <v>75063</v>
      </c>
    </row>
    <row r="671" spans="1:16" x14ac:dyDescent="0.25">
      <c r="A671" t="str">
        <f>"1040028E00161    00"</f>
        <v>1040028E00161    00</v>
      </c>
      <c r="B671" t="s">
        <v>1718</v>
      </c>
      <c r="C671" t="s">
        <v>1719</v>
      </c>
      <c r="D671" t="s">
        <v>20</v>
      </c>
      <c r="E671" t="s">
        <v>39</v>
      </c>
      <c r="F671">
        <v>0</v>
      </c>
      <c r="G671">
        <v>0</v>
      </c>
      <c r="H671">
        <v>1</v>
      </c>
      <c r="I671" s="3">
        <v>216.79</v>
      </c>
      <c r="J671" s="3">
        <v>63.22</v>
      </c>
      <c r="L671">
        <v>158</v>
      </c>
      <c r="M671" t="s">
        <v>1644</v>
      </c>
      <c r="N671" t="s">
        <v>30</v>
      </c>
      <c r="O671" t="s">
        <v>31</v>
      </c>
      <c r="P671" t="str">
        <f>"15213"</f>
        <v>15213</v>
      </c>
    </row>
    <row r="672" spans="1:16" x14ac:dyDescent="0.25">
      <c r="A672" t="str">
        <f>"1040028E00202    00"</f>
        <v>1040028E00202    00</v>
      </c>
      <c r="B672" t="s">
        <v>1720</v>
      </c>
      <c r="C672" t="s">
        <v>1721</v>
      </c>
      <c r="D672" t="s">
        <v>20</v>
      </c>
      <c r="E672" t="s">
        <v>39</v>
      </c>
      <c r="F672">
        <v>0</v>
      </c>
      <c r="G672">
        <v>0</v>
      </c>
      <c r="H672">
        <v>2</v>
      </c>
      <c r="I672" s="3">
        <v>1521.74</v>
      </c>
      <c r="J672" s="3">
        <v>0</v>
      </c>
      <c r="K672" t="s">
        <v>1722</v>
      </c>
      <c r="M672" t="s">
        <v>1723</v>
      </c>
      <c r="N672" t="s">
        <v>410</v>
      </c>
      <c r="O672" t="s">
        <v>31</v>
      </c>
      <c r="P672" t="str">
        <f>"15701"</f>
        <v>15701</v>
      </c>
    </row>
    <row r="673" spans="1:16" x14ac:dyDescent="0.25">
      <c r="A673" t="str">
        <f>"1040028F00192    00"</f>
        <v>1040028F00192    00</v>
      </c>
      <c r="B673" t="s">
        <v>1724</v>
      </c>
      <c r="C673" t="s">
        <v>1725</v>
      </c>
      <c r="D673" t="s">
        <v>20</v>
      </c>
      <c r="E673" t="s">
        <v>21</v>
      </c>
      <c r="F673">
        <v>0</v>
      </c>
      <c r="G673">
        <v>0</v>
      </c>
      <c r="H673">
        <v>2</v>
      </c>
      <c r="I673" s="3">
        <v>54397.279999999999</v>
      </c>
      <c r="J673" s="3">
        <v>0</v>
      </c>
      <c r="L673">
        <v>121</v>
      </c>
      <c r="M673" t="s">
        <v>1726</v>
      </c>
      <c r="N673" t="s">
        <v>295</v>
      </c>
      <c r="O673" t="s">
        <v>31</v>
      </c>
      <c r="P673" t="str">
        <f>"15146"</f>
        <v>15146</v>
      </c>
    </row>
    <row r="674" spans="1:16" x14ac:dyDescent="0.25">
      <c r="A674" t="str">
        <f>"1040028G00015    00"</f>
        <v>1040028G00015    00</v>
      </c>
      <c r="B674" t="s">
        <v>1727</v>
      </c>
      <c r="C674" t="s">
        <v>1728</v>
      </c>
      <c r="E674" t="s">
        <v>39</v>
      </c>
      <c r="F674">
        <v>0</v>
      </c>
      <c r="G674">
        <v>0</v>
      </c>
      <c r="H674">
        <v>1</v>
      </c>
      <c r="I674" s="3">
        <v>3332.34</v>
      </c>
      <c r="J674" s="3">
        <v>1582.8</v>
      </c>
      <c r="K674" t="s">
        <v>1729</v>
      </c>
      <c r="M674" t="s">
        <v>1730</v>
      </c>
      <c r="N674" t="s">
        <v>30</v>
      </c>
      <c r="O674" t="s">
        <v>31</v>
      </c>
      <c r="P674" t="str">
        <f>"15236"</f>
        <v>15236</v>
      </c>
    </row>
    <row r="675" spans="1:16" x14ac:dyDescent="0.25">
      <c r="A675" t="str">
        <f>"1040028G00031    00"</f>
        <v>1040028G00031    00</v>
      </c>
      <c r="B675" t="s">
        <v>1731</v>
      </c>
      <c r="C675" t="s">
        <v>1732</v>
      </c>
      <c r="D675" t="s">
        <v>20</v>
      </c>
      <c r="E675" t="s">
        <v>39</v>
      </c>
      <c r="F675">
        <v>0</v>
      </c>
      <c r="G675">
        <v>0</v>
      </c>
      <c r="H675">
        <v>8</v>
      </c>
      <c r="I675" s="3">
        <v>88.91</v>
      </c>
      <c r="J675" s="3">
        <v>29.37</v>
      </c>
      <c r="K675" t="s">
        <v>1733</v>
      </c>
      <c r="L675">
        <v>3455</v>
      </c>
      <c r="M675" t="s">
        <v>1734</v>
      </c>
      <c r="N675" t="s">
        <v>30</v>
      </c>
      <c r="O675" t="s">
        <v>31</v>
      </c>
      <c r="P675" t="str">
        <f>"15213"</f>
        <v>15213</v>
      </c>
    </row>
    <row r="676" spans="1:16" x14ac:dyDescent="0.25">
      <c r="A676" t="str">
        <f>"1040028G00047    00"</f>
        <v>1040028G00047    00</v>
      </c>
      <c r="B676" t="s">
        <v>1735</v>
      </c>
      <c r="C676" t="s">
        <v>1736</v>
      </c>
      <c r="D676" t="s">
        <v>20</v>
      </c>
      <c r="E676" t="s">
        <v>39</v>
      </c>
      <c r="F676">
        <v>0</v>
      </c>
      <c r="G676">
        <v>0</v>
      </c>
      <c r="H676">
        <v>2</v>
      </c>
      <c r="I676" s="3">
        <v>2035.62</v>
      </c>
      <c r="J676" s="3">
        <v>0</v>
      </c>
      <c r="L676">
        <v>303</v>
      </c>
      <c r="M676" t="s">
        <v>1422</v>
      </c>
      <c r="N676" t="s">
        <v>30</v>
      </c>
      <c r="O676" t="s">
        <v>31</v>
      </c>
      <c r="P676" t="str">
        <f>"15213"</f>
        <v>15213</v>
      </c>
    </row>
    <row r="677" spans="1:16" x14ac:dyDescent="0.25">
      <c r="A677" t="str">
        <f>"1040028G00048    00"</f>
        <v>1040028G00048    00</v>
      </c>
      <c r="B677" t="s">
        <v>1737</v>
      </c>
      <c r="C677" t="s">
        <v>1738</v>
      </c>
      <c r="D677" t="s">
        <v>20</v>
      </c>
      <c r="E677" t="s">
        <v>39</v>
      </c>
      <c r="F677">
        <v>0</v>
      </c>
      <c r="G677">
        <v>0</v>
      </c>
      <c r="H677">
        <v>4</v>
      </c>
      <c r="I677" s="3">
        <v>16256.34</v>
      </c>
      <c r="J677" s="3">
        <v>390.9</v>
      </c>
      <c r="K677" t="s">
        <v>1739</v>
      </c>
      <c r="L677">
        <v>5881</v>
      </c>
      <c r="M677" t="s">
        <v>1740</v>
      </c>
      <c r="N677" t="s">
        <v>30</v>
      </c>
      <c r="O677" t="s">
        <v>31</v>
      </c>
      <c r="P677" t="str">
        <f>"15232"</f>
        <v>15232</v>
      </c>
    </row>
    <row r="678" spans="1:16" x14ac:dyDescent="0.25">
      <c r="A678" t="str">
        <f>"1040028G00124    00"</f>
        <v>1040028G00124    00</v>
      </c>
      <c r="B678" t="s">
        <v>1741</v>
      </c>
      <c r="C678" t="s">
        <v>1742</v>
      </c>
      <c r="D678" t="s">
        <v>20</v>
      </c>
      <c r="E678" t="s">
        <v>39</v>
      </c>
      <c r="F678">
        <v>0</v>
      </c>
      <c r="G678">
        <v>0</v>
      </c>
      <c r="H678">
        <v>1</v>
      </c>
      <c r="I678" s="3">
        <v>3487.98</v>
      </c>
      <c r="J678" s="3">
        <v>0</v>
      </c>
      <c r="K678" t="s">
        <v>1743</v>
      </c>
      <c r="L678">
        <v>4</v>
      </c>
      <c r="M678" t="s">
        <v>1744</v>
      </c>
      <c r="N678" t="s">
        <v>1745</v>
      </c>
      <c r="O678" t="s">
        <v>495</v>
      </c>
      <c r="P678" t="str">
        <f>"92707"</f>
        <v>92707</v>
      </c>
    </row>
    <row r="679" spans="1:16" x14ac:dyDescent="0.25">
      <c r="A679" t="str">
        <f>"1040028G00130    00"</f>
        <v>1040028G00130    00</v>
      </c>
      <c r="B679" t="s">
        <v>1746</v>
      </c>
      <c r="C679" t="s">
        <v>1747</v>
      </c>
      <c r="E679" t="s">
        <v>39</v>
      </c>
      <c r="F679">
        <v>0</v>
      </c>
      <c r="G679">
        <v>0</v>
      </c>
      <c r="H679">
        <v>1</v>
      </c>
      <c r="I679" s="3">
        <v>3419.94</v>
      </c>
      <c r="J679" s="3">
        <v>940.44</v>
      </c>
      <c r="L679">
        <v>154</v>
      </c>
      <c r="M679" t="s">
        <v>1748</v>
      </c>
      <c r="N679" t="s">
        <v>321</v>
      </c>
      <c r="O679" t="s">
        <v>31</v>
      </c>
      <c r="P679" t="str">
        <f>"15001"</f>
        <v>15001</v>
      </c>
    </row>
    <row r="680" spans="1:16" x14ac:dyDescent="0.25">
      <c r="A680" t="str">
        <f>"1040028G00151    00"</f>
        <v>1040028G00151    00</v>
      </c>
      <c r="B680" t="s">
        <v>1749</v>
      </c>
      <c r="C680" t="s">
        <v>1750</v>
      </c>
      <c r="E680" t="s">
        <v>21</v>
      </c>
      <c r="F680">
        <v>0</v>
      </c>
      <c r="G680">
        <v>0</v>
      </c>
      <c r="H680">
        <v>1</v>
      </c>
      <c r="I680" s="3">
        <v>788.2</v>
      </c>
      <c r="J680" s="3">
        <v>0</v>
      </c>
      <c r="L680">
        <v>360</v>
      </c>
      <c r="M680" t="s">
        <v>1751</v>
      </c>
      <c r="N680" t="s">
        <v>30</v>
      </c>
      <c r="O680" t="s">
        <v>31</v>
      </c>
      <c r="P680" t="str">
        <f>"15213"</f>
        <v>15213</v>
      </c>
    </row>
    <row r="681" spans="1:16" x14ac:dyDescent="0.25">
      <c r="A681" t="str">
        <f>"1040028G00152    00"</f>
        <v>1040028G00152    00</v>
      </c>
      <c r="B681" t="s">
        <v>1752</v>
      </c>
      <c r="C681" t="s">
        <v>1753</v>
      </c>
      <c r="E681" t="s">
        <v>39</v>
      </c>
      <c r="F681">
        <v>0</v>
      </c>
      <c r="G681">
        <v>0</v>
      </c>
      <c r="H681">
        <v>1</v>
      </c>
      <c r="I681" s="3">
        <v>520.37</v>
      </c>
      <c r="J681" s="3">
        <v>0</v>
      </c>
      <c r="L681">
        <v>360</v>
      </c>
      <c r="M681" t="s">
        <v>1751</v>
      </c>
      <c r="N681" t="s">
        <v>30</v>
      </c>
      <c r="O681" t="s">
        <v>31</v>
      </c>
      <c r="P681" t="str">
        <f>"15213"</f>
        <v>15213</v>
      </c>
    </row>
    <row r="682" spans="1:16" x14ac:dyDescent="0.25">
      <c r="A682" t="str">
        <f>"1040028G00177    00"</f>
        <v>1040028G00177    00</v>
      </c>
      <c r="B682" t="s">
        <v>1727</v>
      </c>
      <c r="C682" t="s">
        <v>1754</v>
      </c>
      <c r="D682" t="s">
        <v>20</v>
      </c>
      <c r="E682" t="s">
        <v>39</v>
      </c>
      <c r="F682">
        <v>0</v>
      </c>
      <c r="G682">
        <v>0</v>
      </c>
      <c r="H682">
        <v>1</v>
      </c>
      <c r="I682" s="3">
        <v>143.29</v>
      </c>
      <c r="J682" s="3">
        <v>34.630000000000003</v>
      </c>
      <c r="K682" t="s">
        <v>1729</v>
      </c>
      <c r="M682" t="s">
        <v>1730</v>
      </c>
      <c r="N682" t="s">
        <v>30</v>
      </c>
      <c r="O682" t="s">
        <v>31</v>
      </c>
      <c r="P682" t="str">
        <f>"15236"</f>
        <v>15236</v>
      </c>
    </row>
    <row r="683" spans="1:16" x14ac:dyDescent="0.25">
      <c r="A683" t="str">
        <f>"1040028G00181    00"</f>
        <v>1040028G00181    00</v>
      </c>
      <c r="B683" t="s">
        <v>1755</v>
      </c>
      <c r="C683" t="s">
        <v>1756</v>
      </c>
      <c r="D683" t="s">
        <v>20</v>
      </c>
      <c r="E683" t="s">
        <v>21</v>
      </c>
      <c r="F683">
        <v>0</v>
      </c>
      <c r="G683">
        <v>0</v>
      </c>
      <c r="H683">
        <v>3</v>
      </c>
      <c r="I683" s="3">
        <v>66.22</v>
      </c>
      <c r="J683" s="3">
        <v>0.06</v>
      </c>
      <c r="K683" t="s">
        <v>1757</v>
      </c>
      <c r="L683">
        <v>3750</v>
      </c>
      <c r="M683" t="s">
        <v>1758</v>
      </c>
      <c r="N683" t="s">
        <v>30</v>
      </c>
      <c r="O683" t="s">
        <v>31</v>
      </c>
      <c r="P683" t="str">
        <f>"15213"</f>
        <v>15213</v>
      </c>
    </row>
    <row r="684" spans="1:16" x14ac:dyDescent="0.25">
      <c r="A684" t="str">
        <f>"1040028G00244    00"</f>
        <v>1040028G00244    00</v>
      </c>
      <c r="B684" t="s">
        <v>1759</v>
      </c>
      <c r="C684" t="s">
        <v>1760</v>
      </c>
      <c r="D684" t="s">
        <v>20</v>
      </c>
      <c r="E684" t="s">
        <v>39</v>
      </c>
      <c r="F684">
        <v>0</v>
      </c>
      <c r="G684">
        <v>0</v>
      </c>
      <c r="H684">
        <v>1</v>
      </c>
      <c r="I684" s="3">
        <v>1864.07</v>
      </c>
      <c r="J684" s="3">
        <v>0</v>
      </c>
      <c r="K684" t="s">
        <v>1483</v>
      </c>
      <c r="L684">
        <v>2333</v>
      </c>
      <c r="M684" t="s">
        <v>1484</v>
      </c>
      <c r="N684" t="s">
        <v>30</v>
      </c>
      <c r="O684" t="s">
        <v>31</v>
      </c>
      <c r="P684" t="str">
        <f>"15203"</f>
        <v>15203</v>
      </c>
    </row>
    <row r="685" spans="1:16" x14ac:dyDescent="0.25">
      <c r="A685" t="str">
        <f>"1040028G00245    00"</f>
        <v>1040028G00245    00</v>
      </c>
      <c r="B685" t="s">
        <v>1759</v>
      </c>
      <c r="C685" t="s">
        <v>1761</v>
      </c>
      <c r="D685" t="s">
        <v>20</v>
      </c>
      <c r="E685" t="s">
        <v>39</v>
      </c>
      <c r="F685">
        <v>0</v>
      </c>
      <c r="G685">
        <v>0</v>
      </c>
      <c r="H685">
        <v>1</v>
      </c>
      <c r="I685" s="3">
        <v>3812.02</v>
      </c>
      <c r="J685" s="3">
        <v>0</v>
      </c>
      <c r="K685" t="s">
        <v>1483</v>
      </c>
      <c r="L685">
        <v>2333</v>
      </c>
      <c r="M685" t="s">
        <v>1484</v>
      </c>
      <c r="N685" t="s">
        <v>30</v>
      </c>
      <c r="O685" t="s">
        <v>31</v>
      </c>
      <c r="P685" t="str">
        <f>"15203"</f>
        <v>15203</v>
      </c>
    </row>
    <row r="686" spans="1:16" x14ac:dyDescent="0.25">
      <c r="A686" t="str">
        <f>"1040028G00251    00"</f>
        <v>1040028G00251    00</v>
      </c>
      <c r="B686" t="s">
        <v>1762</v>
      </c>
      <c r="C686" t="s">
        <v>1763</v>
      </c>
      <c r="E686" t="s">
        <v>39</v>
      </c>
      <c r="F686">
        <v>0</v>
      </c>
      <c r="G686">
        <v>0</v>
      </c>
      <c r="H686">
        <v>2</v>
      </c>
      <c r="I686" s="3">
        <v>7082.7</v>
      </c>
      <c r="J686" s="3">
        <v>59.02</v>
      </c>
      <c r="K686" t="s">
        <v>1764</v>
      </c>
      <c r="L686">
        <v>209</v>
      </c>
      <c r="M686" t="s">
        <v>1765</v>
      </c>
      <c r="N686" t="s">
        <v>1766</v>
      </c>
      <c r="O686" t="s">
        <v>31</v>
      </c>
      <c r="P686" t="str">
        <f>"15367"</f>
        <v>15367</v>
      </c>
    </row>
    <row r="687" spans="1:16" x14ac:dyDescent="0.25">
      <c r="A687" t="str">
        <f>"1040028G00260    00"</f>
        <v>1040028G00260    00</v>
      </c>
      <c r="B687" t="s">
        <v>182</v>
      </c>
      <c r="C687" t="s">
        <v>1767</v>
      </c>
      <c r="D687" t="s">
        <v>20</v>
      </c>
      <c r="E687" t="s">
        <v>21</v>
      </c>
      <c r="F687">
        <v>0</v>
      </c>
      <c r="G687">
        <v>0</v>
      </c>
      <c r="H687">
        <v>4</v>
      </c>
      <c r="I687" s="3">
        <v>9430</v>
      </c>
      <c r="J687" s="3">
        <v>1161.2</v>
      </c>
      <c r="L687">
        <v>410</v>
      </c>
      <c r="M687" t="s">
        <v>184</v>
      </c>
      <c r="N687" t="s">
        <v>30</v>
      </c>
      <c r="O687" t="s">
        <v>31</v>
      </c>
      <c r="P687" t="str">
        <f>"15243"</f>
        <v>15243</v>
      </c>
    </row>
    <row r="688" spans="1:16" x14ac:dyDescent="0.25">
      <c r="A688" t="str">
        <f>"1040028G00263    00"</f>
        <v>1040028G00263    00</v>
      </c>
      <c r="B688" t="s">
        <v>1768</v>
      </c>
      <c r="C688" t="s">
        <v>1769</v>
      </c>
      <c r="E688" t="s">
        <v>39</v>
      </c>
      <c r="F688">
        <v>0</v>
      </c>
      <c r="G688">
        <v>0</v>
      </c>
      <c r="H688">
        <v>1</v>
      </c>
      <c r="I688" s="3">
        <v>1689.77</v>
      </c>
      <c r="J688" s="3">
        <v>830.78</v>
      </c>
      <c r="K688" t="s">
        <v>1770</v>
      </c>
      <c r="M688" t="s">
        <v>1771</v>
      </c>
      <c r="N688" t="s">
        <v>1772</v>
      </c>
      <c r="O688" t="s">
        <v>495</v>
      </c>
      <c r="P688" t="str">
        <f>"95070"</f>
        <v>95070</v>
      </c>
    </row>
    <row r="689" spans="1:16" x14ac:dyDescent="0.25">
      <c r="A689" t="str">
        <f>"1040028G00273    00"</f>
        <v>1040028G00273    00</v>
      </c>
      <c r="B689" t="s">
        <v>1773</v>
      </c>
      <c r="C689" t="s">
        <v>1774</v>
      </c>
      <c r="E689" t="s">
        <v>39</v>
      </c>
      <c r="F689">
        <v>0</v>
      </c>
      <c r="G689">
        <v>0</v>
      </c>
      <c r="H689">
        <v>2</v>
      </c>
      <c r="I689" s="3">
        <v>223.54</v>
      </c>
      <c r="J689" s="3">
        <v>2.79</v>
      </c>
      <c r="K689" t="s">
        <v>1775</v>
      </c>
      <c r="L689">
        <v>3015</v>
      </c>
      <c r="M689" t="s">
        <v>1776</v>
      </c>
      <c r="N689" t="s">
        <v>30</v>
      </c>
      <c r="O689" t="s">
        <v>31</v>
      </c>
      <c r="P689" t="str">
        <f>"15260"</f>
        <v>15260</v>
      </c>
    </row>
    <row r="690" spans="1:16" x14ac:dyDescent="0.25">
      <c r="A690" t="str">
        <f>"1040028G00276    00"</f>
        <v>1040028G00276    00</v>
      </c>
      <c r="B690" t="s">
        <v>1773</v>
      </c>
      <c r="C690" t="s">
        <v>1777</v>
      </c>
      <c r="E690" t="s">
        <v>39</v>
      </c>
      <c r="F690">
        <v>0</v>
      </c>
      <c r="G690">
        <v>0</v>
      </c>
      <c r="H690">
        <v>2</v>
      </c>
      <c r="I690" s="3">
        <v>223.54</v>
      </c>
      <c r="J690" s="3">
        <v>2.79</v>
      </c>
      <c r="K690" t="s">
        <v>1775</v>
      </c>
      <c r="L690">
        <v>3015</v>
      </c>
      <c r="M690" t="s">
        <v>1776</v>
      </c>
      <c r="N690" t="s">
        <v>30</v>
      </c>
      <c r="O690" t="s">
        <v>31</v>
      </c>
      <c r="P690" t="str">
        <f>"15260"</f>
        <v>15260</v>
      </c>
    </row>
    <row r="691" spans="1:16" x14ac:dyDescent="0.25">
      <c r="A691" t="str">
        <f>"1040028G00306    00"</f>
        <v>1040028G00306    00</v>
      </c>
      <c r="B691" t="s">
        <v>1773</v>
      </c>
      <c r="C691" t="s">
        <v>1778</v>
      </c>
      <c r="E691" t="s">
        <v>39</v>
      </c>
      <c r="F691">
        <v>0</v>
      </c>
      <c r="G691">
        <v>0</v>
      </c>
      <c r="H691">
        <v>2</v>
      </c>
      <c r="I691" s="3">
        <v>7698.72</v>
      </c>
      <c r="J691" s="3">
        <v>3.78</v>
      </c>
      <c r="K691" t="s">
        <v>1775</v>
      </c>
      <c r="L691">
        <v>3015</v>
      </c>
      <c r="M691" t="s">
        <v>1776</v>
      </c>
      <c r="N691" t="s">
        <v>30</v>
      </c>
      <c r="O691" t="s">
        <v>31</v>
      </c>
      <c r="P691" t="str">
        <f>"15260"</f>
        <v>15260</v>
      </c>
    </row>
    <row r="692" spans="1:16" x14ac:dyDescent="0.25">
      <c r="A692" t="str">
        <f>"1040028G00318    00"</f>
        <v>1040028G00318    00</v>
      </c>
      <c r="B692" t="s">
        <v>1779</v>
      </c>
      <c r="C692" t="s">
        <v>1780</v>
      </c>
      <c r="E692" t="s">
        <v>39</v>
      </c>
      <c r="F692">
        <v>0</v>
      </c>
      <c r="G692">
        <v>0</v>
      </c>
      <c r="H692">
        <v>1</v>
      </c>
      <c r="I692" s="3">
        <v>3038.31</v>
      </c>
      <c r="J692" s="3">
        <v>1493.78</v>
      </c>
      <c r="M692" t="s">
        <v>1771</v>
      </c>
      <c r="N692" t="s">
        <v>1772</v>
      </c>
      <c r="O692" t="s">
        <v>495</v>
      </c>
      <c r="P692" t="str">
        <f>"95070"</f>
        <v>95070</v>
      </c>
    </row>
    <row r="693" spans="1:16" x14ac:dyDescent="0.25">
      <c r="A693" t="str">
        <f>"1040028G00326    00"</f>
        <v>1040028G00326    00</v>
      </c>
      <c r="B693" t="s">
        <v>1781</v>
      </c>
      <c r="C693" t="s">
        <v>1782</v>
      </c>
      <c r="D693" t="s">
        <v>20</v>
      </c>
      <c r="E693" t="s">
        <v>39</v>
      </c>
      <c r="F693">
        <v>0</v>
      </c>
      <c r="G693">
        <v>0</v>
      </c>
      <c r="H693">
        <v>1</v>
      </c>
      <c r="I693" s="3">
        <v>1946.04</v>
      </c>
      <c r="J693" s="3">
        <v>0</v>
      </c>
      <c r="K693" t="s">
        <v>1783</v>
      </c>
      <c r="L693">
        <v>1623</v>
      </c>
      <c r="M693" t="s">
        <v>1784</v>
      </c>
      <c r="N693" t="s">
        <v>1067</v>
      </c>
      <c r="O693" t="s">
        <v>31</v>
      </c>
      <c r="P693" t="str">
        <f>"15143"</f>
        <v>15143</v>
      </c>
    </row>
    <row r="694" spans="1:16" x14ac:dyDescent="0.25">
      <c r="A694" t="str">
        <f>"1040028H00017    00"</f>
        <v>1040028H00017    00</v>
      </c>
      <c r="B694" t="s">
        <v>1785</v>
      </c>
      <c r="C694" t="s">
        <v>1786</v>
      </c>
      <c r="D694" t="s">
        <v>20</v>
      </c>
      <c r="E694" t="s">
        <v>39</v>
      </c>
      <c r="F694">
        <v>0</v>
      </c>
      <c r="G694">
        <v>0</v>
      </c>
      <c r="H694">
        <v>1</v>
      </c>
      <c r="I694" s="3">
        <v>405.5</v>
      </c>
      <c r="J694" s="3">
        <v>0</v>
      </c>
      <c r="L694">
        <v>3816</v>
      </c>
      <c r="M694" t="s">
        <v>1787</v>
      </c>
      <c r="N694" t="s">
        <v>30</v>
      </c>
      <c r="O694" t="s">
        <v>31</v>
      </c>
      <c r="P694" t="str">
        <f>"15213"</f>
        <v>15213</v>
      </c>
    </row>
    <row r="695" spans="1:16" x14ac:dyDescent="0.25">
      <c r="A695" t="str">
        <f>"1040028H00037    00"</f>
        <v>1040028H00037    00</v>
      </c>
      <c r="B695" t="s">
        <v>1737</v>
      </c>
      <c r="C695" t="s">
        <v>1788</v>
      </c>
      <c r="E695" t="s">
        <v>39</v>
      </c>
      <c r="F695">
        <v>0</v>
      </c>
      <c r="G695">
        <v>0</v>
      </c>
      <c r="H695">
        <v>1</v>
      </c>
      <c r="I695" s="3">
        <v>4743.95</v>
      </c>
      <c r="J695" s="3">
        <v>1502.19</v>
      </c>
      <c r="K695" t="s">
        <v>1739</v>
      </c>
      <c r="L695">
        <v>5881</v>
      </c>
      <c r="M695" t="s">
        <v>1740</v>
      </c>
      <c r="N695" t="s">
        <v>30</v>
      </c>
      <c r="O695" t="s">
        <v>31</v>
      </c>
      <c r="P695" t="str">
        <f>"15232"</f>
        <v>15232</v>
      </c>
    </row>
    <row r="696" spans="1:16" x14ac:dyDescent="0.25">
      <c r="A696" t="str">
        <f>"1040028H00126    00"</f>
        <v>1040028H00126    00</v>
      </c>
      <c r="B696" t="s">
        <v>1789</v>
      </c>
      <c r="C696" t="s">
        <v>1790</v>
      </c>
      <c r="E696" t="s">
        <v>39</v>
      </c>
      <c r="F696">
        <v>0</v>
      </c>
      <c r="G696">
        <v>0</v>
      </c>
      <c r="H696">
        <v>1</v>
      </c>
      <c r="I696" s="3">
        <v>658.11</v>
      </c>
      <c r="J696" s="3">
        <v>0</v>
      </c>
      <c r="L696">
        <v>49</v>
      </c>
      <c r="M696" t="s">
        <v>1791</v>
      </c>
      <c r="N696" t="s">
        <v>30</v>
      </c>
      <c r="O696" t="s">
        <v>31</v>
      </c>
      <c r="P696" t="str">
        <f>"15213"</f>
        <v>15213</v>
      </c>
    </row>
    <row r="697" spans="1:16" x14ac:dyDescent="0.25">
      <c r="A697" t="str">
        <f>"1040028H00148    00"</f>
        <v>1040028H00148    00</v>
      </c>
      <c r="B697" t="s">
        <v>1792</v>
      </c>
      <c r="C697" t="s">
        <v>1793</v>
      </c>
      <c r="E697" t="s">
        <v>39</v>
      </c>
      <c r="F697">
        <v>0</v>
      </c>
      <c r="G697">
        <v>0</v>
      </c>
      <c r="H697">
        <v>1</v>
      </c>
      <c r="I697" s="3">
        <v>484.55</v>
      </c>
      <c r="J697" s="3">
        <v>0</v>
      </c>
      <c r="K697" t="s">
        <v>1794</v>
      </c>
      <c r="L697">
        <v>41</v>
      </c>
      <c r="M697" t="s">
        <v>1791</v>
      </c>
      <c r="N697" t="s">
        <v>30</v>
      </c>
      <c r="O697" t="s">
        <v>31</v>
      </c>
      <c r="P697" t="str">
        <f>"15213"</f>
        <v>15213</v>
      </c>
    </row>
    <row r="698" spans="1:16" x14ac:dyDescent="0.25">
      <c r="A698" t="str">
        <f>"1040028H00149000100"</f>
        <v>1040028H00149000100</v>
      </c>
      <c r="B698" t="s">
        <v>1795</v>
      </c>
      <c r="C698" t="s">
        <v>1796</v>
      </c>
      <c r="E698" t="s">
        <v>39</v>
      </c>
      <c r="F698">
        <v>0</v>
      </c>
      <c r="G698">
        <v>0</v>
      </c>
      <c r="H698">
        <v>1</v>
      </c>
      <c r="I698" s="3">
        <v>467.51</v>
      </c>
      <c r="J698" s="3">
        <v>0</v>
      </c>
      <c r="L698">
        <v>41</v>
      </c>
      <c r="M698" t="s">
        <v>1791</v>
      </c>
      <c r="N698" t="s">
        <v>30</v>
      </c>
      <c r="O698" t="s">
        <v>31</v>
      </c>
      <c r="P698" t="str">
        <f>"15213"</f>
        <v>15213</v>
      </c>
    </row>
    <row r="699" spans="1:16" x14ac:dyDescent="0.25">
      <c r="A699" t="str">
        <f>"1040028H00153    00"</f>
        <v>1040028H00153    00</v>
      </c>
      <c r="B699" t="s">
        <v>1792</v>
      </c>
      <c r="C699" t="s">
        <v>1797</v>
      </c>
      <c r="E699" t="s">
        <v>39</v>
      </c>
      <c r="F699">
        <v>0</v>
      </c>
      <c r="G699">
        <v>0</v>
      </c>
      <c r="H699">
        <v>2</v>
      </c>
      <c r="I699" s="3">
        <v>572.66999999999996</v>
      </c>
      <c r="J699" s="3">
        <v>0</v>
      </c>
      <c r="K699" t="s">
        <v>1794</v>
      </c>
      <c r="L699">
        <v>5881</v>
      </c>
      <c r="M699" t="s">
        <v>1740</v>
      </c>
      <c r="N699" t="s">
        <v>30</v>
      </c>
      <c r="O699" t="s">
        <v>31</v>
      </c>
      <c r="P699" t="str">
        <f>"15232"</f>
        <v>15232</v>
      </c>
    </row>
    <row r="700" spans="1:16" x14ac:dyDescent="0.25">
      <c r="A700" t="str">
        <f>"1040028H00154    00"</f>
        <v>1040028H00154    00</v>
      </c>
      <c r="B700" t="s">
        <v>1737</v>
      </c>
      <c r="C700" t="s">
        <v>1798</v>
      </c>
      <c r="D700" t="s">
        <v>20</v>
      </c>
      <c r="E700" t="s">
        <v>39</v>
      </c>
      <c r="F700">
        <v>0</v>
      </c>
      <c r="G700">
        <v>0</v>
      </c>
      <c r="H700">
        <v>1</v>
      </c>
      <c r="I700" s="3">
        <v>1551.5</v>
      </c>
      <c r="J700" s="3">
        <v>0</v>
      </c>
      <c r="K700" t="s">
        <v>1739</v>
      </c>
      <c r="L700">
        <v>4605</v>
      </c>
      <c r="M700" t="s">
        <v>1799</v>
      </c>
      <c r="N700" t="s">
        <v>30</v>
      </c>
      <c r="O700" t="s">
        <v>31</v>
      </c>
      <c r="P700" t="str">
        <f>"15207"</f>
        <v>15207</v>
      </c>
    </row>
    <row r="701" spans="1:16" x14ac:dyDescent="0.25">
      <c r="A701" t="str">
        <f>"1040028H00168    00"</f>
        <v>1040028H00168    00</v>
      </c>
      <c r="B701" t="s">
        <v>1800</v>
      </c>
      <c r="C701" t="s">
        <v>1801</v>
      </c>
      <c r="D701" t="s">
        <v>57</v>
      </c>
      <c r="E701" t="s">
        <v>39</v>
      </c>
      <c r="F701">
        <v>0</v>
      </c>
      <c r="G701">
        <v>0</v>
      </c>
      <c r="H701">
        <v>1</v>
      </c>
      <c r="I701" s="3">
        <v>35.24</v>
      </c>
      <c r="J701" s="3">
        <v>0</v>
      </c>
      <c r="K701" t="s">
        <v>1802</v>
      </c>
      <c r="L701">
        <v>901</v>
      </c>
      <c r="M701" t="s">
        <v>1503</v>
      </c>
      <c r="N701" t="s">
        <v>494</v>
      </c>
      <c r="O701" t="s">
        <v>495</v>
      </c>
      <c r="P701" t="str">
        <f>"91768"</f>
        <v>91768</v>
      </c>
    </row>
    <row r="702" spans="1:16" x14ac:dyDescent="0.25">
      <c r="A702" t="str">
        <f>"1040028H00173    00"</f>
        <v>1040028H00173    00</v>
      </c>
      <c r="B702" t="s">
        <v>1792</v>
      </c>
      <c r="C702" t="s">
        <v>1803</v>
      </c>
      <c r="E702" t="s">
        <v>39</v>
      </c>
      <c r="F702">
        <v>0</v>
      </c>
      <c r="G702">
        <v>0</v>
      </c>
      <c r="H702">
        <v>2</v>
      </c>
      <c r="I702" s="3">
        <v>1466.01</v>
      </c>
      <c r="J702" s="3">
        <v>0</v>
      </c>
      <c r="K702" t="s">
        <v>1794</v>
      </c>
      <c r="L702">
        <v>5881</v>
      </c>
      <c r="M702" t="s">
        <v>1740</v>
      </c>
      <c r="N702" t="s">
        <v>30</v>
      </c>
      <c r="O702" t="s">
        <v>31</v>
      </c>
      <c r="P702" t="str">
        <f>"15232"</f>
        <v>15232</v>
      </c>
    </row>
    <row r="703" spans="1:16" x14ac:dyDescent="0.25">
      <c r="A703" t="str">
        <f>"1040028H00189    00"</f>
        <v>1040028H00189    00</v>
      </c>
      <c r="B703" t="s">
        <v>1800</v>
      </c>
      <c r="C703" t="s">
        <v>1804</v>
      </c>
      <c r="D703" t="s">
        <v>20</v>
      </c>
      <c r="E703" t="s">
        <v>39</v>
      </c>
      <c r="F703">
        <v>0</v>
      </c>
      <c r="G703">
        <v>0</v>
      </c>
      <c r="H703">
        <v>2</v>
      </c>
      <c r="I703" s="3">
        <v>1764.36</v>
      </c>
      <c r="J703" s="3">
        <v>0</v>
      </c>
      <c r="K703" t="s">
        <v>1802</v>
      </c>
      <c r="L703">
        <v>901</v>
      </c>
      <c r="M703" t="s">
        <v>1503</v>
      </c>
      <c r="N703" t="s">
        <v>494</v>
      </c>
      <c r="O703" t="s">
        <v>495</v>
      </c>
      <c r="P703" t="str">
        <f>"91768"</f>
        <v>91768</v>
      </c>
    </row>
    <row r="704" spans="1:16" x14ac:dyDescent="0.25">
      <c r="A704" t="str">
        <f>"1040028H00210    00"</f>
        <v>1040028H00210    00</v>
      </c>
      <c r="B704" t="s">
        <v>1805</v>
      </c>
      <c r="C704" t="s">
        <v>1806</v>
      </c>
      <c r="D704" t="s">
        <v>20</v>
      </c>
      <c r="E704" t="s">
        <v>39</v>
      </c>
      <c r="F704">
        <v>0</v>
      </c>
      <c r="G704">
        <v>0</v>
      </c>
      <c r="H704">
        <v>1</v>
      </c>
      <c r="I704" s="3">
        <v>1294.18</v>
      </c>
      <c r="J704" s="3">
        <v>0</v>
      </c>
      <c r="K704" t="s">
        <v>1807</v>
      </c>
      <c r="L704">
        <v>850</v>
      </c>
      <c r="M704" t="s">
        <v>1808</v>
      </c>
      <c r="N704" t="s">
        <v>1809</v>
      </c>
      <c r="O704" t="s">
        <v>31</v>
      </c>
      <c r="P704" t="str">
        <f>"15009"</f>
        <v>15009</v>
      </c>
    </row>
    <row r="705" spans="1:16" x14ac:dyDescent="0.25">
      <c r="A705" t="str">
        <f>"1040028H00240    00"</f>
        <v>1040028H00240    00</v>
      </c>
      <c r="B705" t="s">
        <v>1810</v>
      </c>
      <c r="C705" t="s">
        <v>1811</v>
      </c>
      <c r="D705" t="s">
        <v>20</v>
      </c>
      <c r="E705" t="s">
        <v>39</v>
      </c>
      <c r="F705">
        <v>0</v>
      </c>
      <c r="G705">
        <v>0</v>
      </c>
      <c r="H705">
        <v>6</v>
      </c>
      <c r="I705" s="3">
        <v>11077.79</v>
      </c>
      <c r="J705" s="3">
        <v>2484.52</v>
      </c>
      <c r="L705">
        <v>418</v>
      </c>
      <c r="M705" t="s">
        <v>1812</v>
      </c>
      <c r="N705" t="s">
        <v>30</v>
      </c>
      <c r="O705" t="s">
        <v>31</v>
      </c>
      <c r="P705" t="str">
        <f>"15213"</f>
        <v>15213</v>
      </c>
    </row>
    <row r="706" spans="1:16" x14ac:dyDescent="0.25">
      <c r="A706" t="str">
        <f>"1040028H00247    00"</f>
        <v>1040028H00247    00</v>
      </c>
      <c r="B706" t="s">
        <v>1813</v>
      </c>
      <c r="C706" t="s">
        <v>1814</v>
      </c>
      <c r="D706" t="s">
        <v>57</v>
      </c>
      <c r="E706" t="s">
        <v>39</v>
      </c>
      <c r="F706">
        <v>0</v>
      </c>
      <c r="G706">
        <v>0</v>
      </c>
      <c r="H706">
        <v>1</v>
      </c>
      <c r="I706" s="3">
        <v>240.04</v>
      </c>
      <c r="J706" s="3">
        <v>0</v>
      </c>
      <c r="L706">
        <v>524</v>
      </c>
      <c r="M706" t="s">
        <v>1791</v>
      </c>
      <c r="N706" t="s">
        <v>30</v>
      </c>
      <c r="O706" t="s">
        <v>31</v>
      </c>
      <c r="P706" t="str">
        <f>"15213"</f>
        <v>15213</v>
      </c>
    </row>
    <row r="707" spans="1:16" x14ac:dyDescent="0.25">
      <c r="A707" t="str">
        <f>"1040028H00259    00"</f>
        <v>1040028H00259    00</v>
      </c>
      <c r="B707" t="s">
        <v>288</v>
      </c>
      <c r="C707" t="s">
        <v>1815</v>
      </c>
      <c r="D707" t="s">
        <v>20</v>
      </c>
      <c r="E707" t="s">
        <v>39</v>
      </c>
      <c r="F707">
        <v>0</v>
      </c>
      <c r="G707">
        <v>0</v>
      </c>
      <c r="H707">
        <v>7</v>
      </c>
      <c r="I707" s="3">
        <v>2131.7199999999998</v>
      </c>
      <c r="J707" s="3">
        <v>528.29999999999995</v>
      </c>
      <c r="L707">
        <v>1</v>
      </c>
      <c r="M707" t="s">
        <v>1816</v>
      </c>
      <c r="N707" t="s">
        <v>30</v>
      </c>
      <c r="O707" t="s">
        <v>31</v>
      </c>
      <c r="P707" t="str">
        <f>"15213"</f>
        <v>15213</v>
      </c>
    </row>
    <row r="708" spans="1:16" x14ac:dyDescent="0.25">
      <c r="A708" t="str">
        <f>"1040028H00268    00"</f>
        <v>1040028H00268    00</v>
      </c>
      <c r="B708" t="s">
        <v>1737</v>
      </c>
      <c r="C708" t="s">
        <v>1817</v>
      </c>
      <c r="D708" t="s">
        <v>20</v>
      </c>
      <c r="E708" t="s">
        <v>39</v>
      </c>
      <c r="F708">
        <v>0</v>
      </c>
      <c r="G708">
        <v>0</v>
      </c>
      <c r="H708">
        <v>1</v>
      </c>
      <c r="I708" s="3">
        <v>2113.7600000000002</v>
      </c>
      <c r="J708" s="3">
        <v>0</v>
      </c>
      <c r="L708">
        <v>4605</v>
      </c>
      <c r="M708" t="s">
        <v>1818</v>
      </c>
      <c r="N708" t="s">
        <v>30</v>
      </c>
      <c r="O708" t="s">
        <v>31</v>
      </c>
      <c r="P708" t="str">
        <f>"15207"</f>
        <v>15207</v>
      </c>
    </row>
    <row r="709" spans="1:16" x14ac:dyDescent="0.25">
      <c r="A709" t="str">
        <f>"1040028J00023    00"</f>
        <v>1040028J00023    00</v>
      </c>
      <c r="B709" t="s">
        <v>1712</v>
      </c>
      <c r="C709" t="s">
        <v>1713</v>
      </c>
      <c r="D709" t="s">
        <v>20</v>
      </c>
      <c r="E709" t="s">
        <v>39</v>
      </c>
      <c r="F709">
        <v>0</v>
      </c>
      <c r="G709">
        <v>0</v>
      </c>
      <c r="H709">
        <v>1</v>
      </c>
      <c r="I709" s="3">
        <v>152.47999999999999</v>
      </c>
      <c r="J709" s="3">
        <v>0</v>
      </c>
      <c r="L709">
        <v>3333</v>
      </c>
      <c r="M709" t="s">
        <v>174</v>
      </c>
      <c r="N709" t="s">
        <v>30</v>
      </c>
      <c r="O709" t="s">
        <v>31</v>
      </c>
      <c r="P709" t="str">
        <f>"15213"</f>
        <v>15213</v>
      </c>
    </row>
    <row r="710" spans="1:16" x14ac:dyDescent="0.25">
      <c r="A710" t="str">
        <f>"1040028J00025    00"</f>
        <v>1040028J00025    00</v>
      </c>
      <c r="B710" t="s">
        <v>1712</v>
      </c>
      <c r="C710" t="s">
        <v>1713</v>
      </c>
      <c r="D710" t="s">
        <v>20</v>
      </c>
      <c r="E710" t="s">
        <v>39</v>
      </c>
      <c r="F710">
        <v>0</v>
      </c>
      <c r="G710">
        <v>0</v>
      </c>
      <c r="H710">
        <v>1</v>
      </c>
      <c r="I710" s="3">
        <v>152.47999999999999</v>
      </c>
      <c r="J710" s="3">
        <v>0</v>
      </c>
      <c r="L710">
        <v>3333</v>
      </c>
      <c r="M710" t="s">
        <v>174</v>
      </c>
      <c r="N710" t="s">
        <v>30</v>
      </c>
      <c r="O710" t="s">
        <v>31</v>
      </c>
      <c r="P710" t="str">
        <f>"15213"</f>
        <v>15213</v>
      </c>
    </row>
    <row r="711" spans="1:16" x14ac:dyDescent="0.25">
      <c r="A711" t="str">
        <f>"1040028J00057    00"</f>
        <v>1040028J00057    00</v>
      </c>
      <c r="B711" t="s">
        <v>1819</v>
      </c>
      <c r="C711" t="s">
        <v>1820</v>
      </c>
      <c r="E711" t="s">
        <v>21</v>
      </c>
      <c r="F711">
        <v>0</v>
      </c>
      <c r="G711">
        <v>0</v>
      </c>
      <c r="H711">
        <v>1</v>
      </c>
      <c r="I711" s="3">
        <v>466.98</v>
      </c>
      <c r="J711" s="3">
        <v>0</v>
      </c>
      <c r="L711">
        <v>225</v>
      </c>
      <c r="M711" t="s">
        <v>841</v>
      </c>
      <c r="N711" t="s">
        <v>30</v>
      </c>
      <c r="O711" t="s">
        <v>31</v>
      </c>
      <c r="P711" t="str">
        <f>"15223"</f>
        <v>15223</v>
      </c>
    </row>
    <row r="712" spans="1:16" x14ac:dyDescent="0.25">
      <c r="A712" t="str">
        <f>"1040028J00191    00"</f>
        <v>1040028J00191    00</v>
      </c>
      <c r="B712" t="s">
        <v>1819</v>
      </c>
      <c r="C712" t="s">
        <v>1821</v>
      </c>
      <c r="D712" t="s">
        <v>20</v>
      </c>
      <c r="E712" t="s">
        <v>21</v>
      </c>
      <c r="F712">
        <v>0</v>
      </c>
      <c r="G712">
        <v>0</v>
      </c>
      <c r="H712">
        <v>2</v>
      </c>
      <c r="I712" s="3">
        <v>75355.62</v>
      </c>
      <c r="J712" s="3">
        <v>0</v>
      </c>
      <c r="L712">
        <v>336</v>
      </c>
      <c r="M712" t="s">
        <v>1822</v>
      </c>
      <c r="N712" t="s">
        <v>1823</v>
      </c>
      <c r="O712" t="s">
        <v>31</v>
      </c>
      <c r="P712" t="str">
        <f>"15024"</f>
        <v>15024</v>
      </c>
    </row>
    <row r="713" spans="1:16" x14ac:dyDescent="0.25">
      <c r="A713" t="str">
        <f>"1040028J00226    00"</f>
        <v>1040028J00226    00</v>
      </c>
      <c r="B713" t="s">
        <v>1824</v>
      </c>
      <c r="C713" t="s">
        <v>1825</v>
      </c>
      <c r="D713" t="s">
        <v>20</v>
      </c>
      <c r="E713" t="s">
        <v>21</v>
      </c>
      <c r="F713">
        <v>0</v>
      </c>
      <c r="G713">
        <v>0</v>
      </c>
      <c r="H713">
        <v>1</v>
      </c>
      <c r="I713" s="3">
        <v>49.93</v>
      </c>
      <c r="J713" s="3">
        <v>0</v>
      </c>
      <c r="L713">
        <v>814</v>
      </c>
      <c r="M713" t="s">
        <v>1826</v>
      </c>
      <c r="N713" t="s">
        <v>1827</v>
      </c>
      <c r="O713" t="s">
        <v>692</v>
      </c>
      <c r="P713" t="str">
        <f>"23219"</f>
        <v>23219</v>
      </c>
    </row>
    <row r="714" spans="1:16" x14ac:dyDescent="0.25">
      <c r="A714" t="str">
        <f>"1040028K00030    00"</f>
        <v>1040028K00030    00</v>
      </c>
      <c r="B714" t="s">
        <v>1703</v>
      </c>
      <c r="C714" t="s">
        <v>1828</v>
      </c>
      <c r="D714" t="s">
        <v>20</v>
      </c>
      <c r="E714" t="s">
        <v>39</v>
      </c>
      <c r="F714">
        <v>0</v>
      </c>
      <c r="G714">
        <v>0</v>
      </c>
      <c r="H714">
        <v>1</v>
      </c>
      <c r="I714" s="3">
        <v>2066.1</v>
      </c>
      <c r="J714" s="3">
        <v>0</v>
      </c>
      <c r="K714" t="s">
        <v>1705</v>
      </c>
      <c r="L714">
        <v>3530</v>
      </c>
      <c r="M714" t="s">
        <v>1829</v>
      </c>
      <c r="N714" t="s">
        <v>1412</v>
      </c>
      <c r="O714" t="s">
        <v>1413</v>
      </c>
      <c r="P714" t="str">
        <f>"28277"</f>
        <v>28277</v>
      </c>
    </row>
    <row r="715" spans="1:16" x14ac:dyDescent="0.25">
      <c r="A715" t="str">
        <f>"1040028K00031    00"</f>
        <v>1040028K00031    00</v>
      </c>
      <c r="B715" t="s">
        <v>1703</v>
      </c>
      <c r="C715" t="s">
        <v>1830</v>
      </c>
      <c r="D715" t="s">
        <v>20</v>
      </c>
      <c r="E715" t="s">
        <v>39</v>
      </c>
      <c r="F715">
        <v>0</v>
      </c>
      <c r="G715">
        <v>0</v>
      </c>
      <c r="H715">
        <v>1</v>
      </c>
      <c r="I715" s="3">
        <v>2353.92</v>
      </c>
      <c r="J715" s="3">
        <v>0</v>
      </c>
      <c r="K715" t="s">
        <v>1705</v>
      </c>
      <c r="L715">
        <v>3530</v>
      </c>
      <c r="M715" t="s">
        <v>1829</v>
      </c>
      <c r="N715" t="s">
        <v>1412</v>
      </c>
      <c r="O715" t="s">
        <v>1413</v>
      </c>
      <c r="P715" t="str">
        <f>"28277"</f>
        <v>28277</v>
      </c>
    </row>
    <row r="716" spans="1:16" x14ac:dyDescent="0.25">
      <c r="A716" t="str">
        <f>"1040028K00043    00"</f>
        <v>1040028K00043    00</v>
      </c>
      <c r="B716" t="s">
        <v>1737</v>
      </c>
      <c r="C716" t="s">
        <v>1831</v>
      </c>
      <c r="D716" t="s">
        <v>20</v>
      </c>
      <c r="E716" t="s">
        <v>39</v>
      </c>
      <c r="F716">
        <v>0</v>
      </c>
      <c r="G716">
        <v>0</v>
      </c>
      <c r="H716">
        <v>1</v>
      </c>
      <c r="I716" s="3">
        <v>1892.67</v>
      </c>
      <c r="J716" s="3">
        <v>0</v>
      </c>
      <c r="L716">
        <v>4605</v>
      </c>
      <c r="M716" t="s">
        <v>1818</v>
      </c>
      <c r="N716" t="s">
        <v>30</v>
      </c>
      <c r="O716" t="s">
        <v>31</v>
      </c>
      <c r="P716" t="str">
        <f>"15207"</f>
        <v>15207</v>
      </c>
    </row>
    <row r="717" spans="1:16" x14ac:dyDescent="0.25">
      <c r="A717" t="str">
        <f>"1040028K00048B   00"</f>
        <v>1040028K00048B   00</v>
      </c>
      <c r="B717" t="s">
        <v>1832</v>
      </c>
      <c r="C717" t="s">
        <v>1833</v>
      </c>
      <c r="E717" t="s">
        <v>39</v>
      </c>
      <c r="F717">
        <v>0</v>
      </c>
      <c r="G717">
        <v>0</v>
      </c>
      <c r="H717">
        <v>1</v>
      </c>
      <c r="I717" s="3">
        <v>940.03</v>
      </c>
      <c r="J717" s="3">
        <v>0</v>
      </c>
      <c r="K717" t="s">
        <v>1834</v>
      </c>
      <c r="L717">
        <v>334</v>
      </c>
      <c r="M717" t="s">
        <v>1835</v>
      </c>
      <c r="N717" t="s">
        <v>30</v>
      </c>
      <c r="O717" t="s">
        <v>31</v>
      </c>
      <c r="P717" t="str">
        <f>"15213"</f>
        <v>15213</v>
      </c>
    </row>
    <row r="718" spans="1:16" x14ac:dyDescent="0.25">
      <c r="A718" t="str">
        <f>"1040028K00070    00"</f>
        <v>1040028K00070    00</v>
      </c>
      <c r="B718" t="s">
        <v>1836</v>
      </c>
      <c r="C718" t="s">
        <v>1837</v>
      </c>
      <c r="E718" t="s">
        <v>39</v>
      </c>
      <c r="F718">
        <v>0</v>
      </c>
      <c r="G718">
        <v>0</v>
      </c>
      <c r="H718">
        <v>2</v>
      </c>
      <c r="I718" s="3">
        <v>345.34</v>
      </c>
      <c r="J718" s="3">
        <v>85.8</v>
      </c>
      <c r="L718">
        <v>253</v>
      </c>
      <c r="M718" t="s">
        <v>1838</v>
      </c>
      <c r="N718" t="s">
        <v>30</v>
      </c>
      <c r="O718" t="s">
        <v>31</v>
      </c>
      <c r="P718" t="str">
        <f>"15213"</f>
        <v>15213</v>
      </c>
    </row>
    <row r="719" spans="1:16" x14ac:dyDescent="0.25">
      <c r="A719" t="str">
        <f>"1040028K00135    00"</f>
        <v>1040028K00135    00</v>
      </c>
      <c r="B719" t="s">
        <v>1839</v>
      </c>
      <c r="C719" t="s">
        <v>1840</v>
      </c>
      <c r="D719" t="s">
        <v>20</v>
      </c>
      <c r="E719" t="s">
        <v>39</v>
      </c>
      <c r="F719">
        <v>0</v>
      </c>
      <c r="G719">
        <v>0</v>
      </c>
      <c r="H719">
        <v>3</v>
      </c>
      <c r="I719" s="3">
        <v>2294.64</v>
      </c>
      <c r="J719" s="3">
        <v>130.32</v>
      </c>
      <c r="L719">
        <v>3334</v>
      </c>
      <c r="M719" t="s">
        <v>1841</v>
      </c>
      <c r="N719" t="s">
        <v>30</v>
      </c>
      <c r="O719" t="s">
        <v>31</v>
      </c>
      <c r="P719" t="str">
        <f>"15213"</f>
        <v>15213</v>
      </c>
    </row>
    <row r="720" spans="1:16" x14ac:dyDescent="0.25">
      <c r="A720" t="str">
        <f>"1040028L00007    00"</f>
        <v>1040028L00007    00</v>
      </c>
      <c r="B720" t="s">
        <v>1842</v>
      </c>
      <c r="C720" t="s">
        <v>1843</v>
      </c>
      <c r="E720" t="s">
        <v>39</v>
      </c>
      <c r="F720">
        <v>0</v>
      </c>
      <c r="G720">
        <v>0</v>
      </c>
      <c r="H720">
        <v>1</v>
      </c>
      <c r="I720" s="3">
        <v>1294.0999999999999</v>
      </c>
      <c r="J720" s="3">
        <v>1143.07</v>
      </c>
      <c r="K720" t="s">
        <v>1844</v>
      </c>
      <c r="L720">
        <v>5500</v>
      </c>
      <c r="M720" t="s">
        <v>1845</v>
      </c>
      <c r="N720" t="s">
        <v>30</v>
      </c>
      <c r="O720" t="s">
        <v>31</v>
      </c>
      <c r="P720" t="str">
        <f>"15232"</f>
        <v>15232</v>
      </c>
    </row>
    <row r="721" spans="1:16" x14ac:dyDescent="0.25">
      <c r="A721" t="str">
        <f>"1040028L00016    00"</f>
        <v>1040028L00016    00</v>
      </c>
      <c r="B721" t="s">
        <v>1846</v>
      </c>
      <c r="C721" t="s">
        <v>1847</v>
      </c>
      <c r="D721" t="s">
        <v>20</v>
      </c>
      <c r="E721" t="s">
        <v>39</v>
      </c>
      <c r="F721">
        <v>0</v>
      </c>
      <c r="G721">
        <v>0</v>
      </c>
      <c r="H721">
        <v>2</v>
      </c>
      <c r="I721" s="3">
        <v>4551.5200000000004</v>
      </c>
      <c r="J721" s="3">
        <v>0</v>
      </c>
      <c r="K721" t="s">
        <v>1848</v>
      </c>
      <c r="L721">
        <v>439</v>
      </c>
      <c r="M721" t="s">
        <v>1849</v>
      </c>
      <c r="N721" t="s">
        <v>30</v>
      </c>
      <c r="O721" t="s">
        <v>31</v>
      </c>
      <c r="P721" t="str">
        <f>"15224"</f>
        <v>15224</v>
      </c>
    </row>
    <row r="722" spans="1:16" x14ac:dyDescent="0.25">
      <c r="A722" t="str">
        <f>"1040028L00018    00"</f>
        <v>1040028L00018    00</v>
      </c>
      <c r="B722" t="s">
        <v>1850</v>
      </c>
      <c r="C722" t="s">
        <v>1851</v>
      </c>
      <c r="D722" t="s">
        <v>20</v>
      </c>
      <c r="E722" t="s">
        <v>39</v>
      </c>
      <c r="F722">
        <v>0</v>
      </c>
      <c r="G722">
        <v>0</v>
      </c>
      <c r="H722">
        <v>3</v>
      </c>
      <c r="I722" s="3">
        <v>4714.3900000000003</v>
      </c>
      <c r="J722" s="3">
        <v>156.63</v>
      </c>
      <c r="L722">
        <v>336</v>
      </c>
      <c r="M722" t="s">
        <v>1835</v>
      </c>
      <c r="N722" t="s">
        <v>30</v>
      </c>
      <c r="O722" t="s">
        <v>31</v>
      </c>
      <c r="P722" t="str">
        <f>"15213"</f>
        <v>15213</v>
      </c>
    </row>
    <row r="723" spans="1:16" x14ac:dyDescent="0.25">
      <c r="A723" t="str">
        <f>"1040028L00045    00"</f>
        <v>1040028L00045    00</v>
      </c>
      <c r="B723" t="s">
        <v>1852</v>
      </c>
      <c r="C723" t="s">
        <v>1853</v>
      </c>
      <c r="D723" t="s">
        <v>20</v>
      </c>
      <c r="E723" t="s">
        <v>39</v>
      </c>
      <c r="F723">
        <v>0</v>
      </c>
      <c r="G723">
        <v>0</v>
      </c>
      <c r="H723">
        <v>1</v>
      </c>
      <c r="I723" s="3">
        <v>1528.62</v>
      </c>
      <c r="J723" s="3">
        <v>0</v>
      </c>
      <c r="K723" t="s">
        <v>1854</v>
      </c>
      <c r="L723">
        <v>3439</v>
      </c>
      <c r="M723" t="s">
        <v>1855</v>
      </c>
      <c r="N723" t="s">
        <v>30</v>
      </c>
      <c r="O723" t="s">
        <v>31</v>
      </c>
      <c r="P723" t="str">
        <f>"15213"</f>
        <v>15213</v>
      </c>
    </row>
    <row r="724" spans="1:16" x14ac:dyDescent="0.25">
      <c r="A724" t="str">
        <f>"1040028L00126    00"</f>
        <v>1040028L00126    00</v>
      </c>
      <c r="B724" t="s">
        <v>1856</v>
      </c>
      <c r="C724" t="s">
        <v>1857</v>
      </c>
      <c r="E724" t="s">
        <v>39</v>
      </c>
      <c r="F724">
        <v>0</v>
      </c>
      <c r="G724">
        <v>0</v>
      </c>
      <c r="H724">
        <v>1</v>
      </c>
      <c r="I724" s="3">
        <v>2569.31</v>
      </c>
      <c r="J724" s="3">
        <v>513.84</v>
      </c>
      <c r="K724" t="s">
        <v>1722</v>
      </c>
      <c r="M724" t="s">
        <v>1723</v>
      </c>
      <c r="N724" t="s">
        <v>410</v>
      </c>
      <c r="O724" t="s">
        <v>31</v>
      </c>
      <c r="P724" t="str">
        <f>"15701"</f>
        <v>15701</v>
      </c>
    </row>
    <row r="725" spans="1:16" x14ac:dyDescent="0.25">
      <c r="A725" t="str">
        <f>"1040028L00133    00"</f>
        <v>1040028L00133    00</v>
      </c>
      <c r="B725" t="s">
        <v>1858</v>
      </c>
      <c r="C725" t="s">
        <v>1859</v>
      </c>
      <c r="D725" t="s">
        <v>20</v>
      </c>
      <c r="E725" t="s">
        <v>39</v>
      </c>
      <c r="F725">
        <v>0</v>
      </c>
      <c r="G725">
        <v>0</v>
      </c>
      <c r="H725">
        <v>7</v>
      </c>
      <c r="I725" s="3">
        <v>9203.2800000000007</v>
      </c>
      <c r="J725" s="3">
        <v>3079.53</v>
      </c>
      <c r="L725">
        <v>345</v>
      </c>
      <c r="M725" t="s">
        <v>1481</v>
      </c>
      <c r="N725" t="s">
        <v>30</v>
      </c>
      <c r="O725" t="s">
        <v>31</v>
      </c>
      <c r="P725" t="str">
        <f>"15213"</f>
        <v>15213</v>
      </c>
    </row>
    <row r="726" spans="1:16" x14ac:dyDescent="0.25">
      <c r="A726" t="str">
        <f>"1040028L00142    00"</f>
        <v>1040028L00142    00</v>
      </c>
      <c r="B726" t="s">
        <v>1860</v>
      </c>
      <c r="C726" t="s">
        <v>1861</v>
      </c>
      <c r="D726" t="s">
        <v>20</v>
      </c>
      <c r="E726" t="s">
        <v>39</v>
      </c>
      <c r="F726">
        <v>0</v>
      </c>
      <c r="G726">
        <v>0</v>
      </c>
      <c r="H726">
        <v>1</v>
      </c>
      <c r="I726" s="3">
        <v>1328.94</v>
      </c>
      <c r="J726" s="3">
        <v>0</v>
      </c>
      <c r="L726">
        <v>325</v>
      </c>
      <c r="M726" t="s">
        <v>1481</v>
      </c>
      <c r="N726" t="s">
        <v>30</v>
      </c>
      <c r="O726" t="s">
        <v>31</v>
      </c>
      <c r="P726" t="str">
        <f>"15213"</f>
        <v>15213</v>
      </c>
    </row>
    <row r="727" spans="1:16" x14ac:dyDescent="0.25">
      <c r="A727" t="str">
        <f>"1040028L00222    00"</f>
        <v>1040028L00222    00</v>
      </c>
      <c r="B727" t="s">
        <v>1746</v>
      </c>
      <c r="C727" t="s">
        <v>1862</v>
      </c>
      <c r="E727" t="s">
        <v>39</v>
      </c>
      <c r="F727">
        <v>0</v>
      </c>
      <c r="G727">
        <v>0</v>
      </c>
      <c r="H727">
        <v>2</v>
      </c>
      <c r="I727" s="3">
        <v>136.06</v>
      </c>
      <c r="J727" s="3">
        <v>1.69</v>
      </c>
      <c r="K727" t="s">
        <v>1863</v>
      </c>
      <c r="L727">
        <v>154</v>
      </c>
      <c r="M727" t="s">
        <v>1748</v>
      </c>
      <c r="N727" t="s">
        <v>321</v>
      </c>
      <c r="O727" t="s">
        <v>31</v>
      </c>
      <c r="P727" t="str">
        <f>"15001"</f>
        <v>15001</v>
      </c>
    </row>
    <row r="728" spans="1:16" x14ac:dyDescent="0.25">
      <c r="A728" t="str">
        <f>"1040028L00239    00"</f>
        <v>1040028L00239    00</v>
      </c>
      <c r="B728" t="s">
        <v>1746</v>
      </c>
      <c r="C728" t="s">
        <v>1864</v>
      </c>
      <c r="D728" t="s">
        <v>20</v>
      </c>
      <c r="E728" t="s">
        <v>39</v>
      </c>
      <c r="F728">
        <v>0</v>
      </c>
      <c r="G728">
        <v>0</v>
      </c>
      <c r="H728">
        <v>3</v>
      </c>
      <c r="I728" s="3">
        <v>151.16999999999999</v>
      </c>
      <c r="J728" s="3">
        <v>1.26</v>
      </c>
      <c r="K728" t="s">
        <v>1863</v>
      </c>
      <c r="M728" t="s">
        <v>1865</v>
      </c>
      <c r="N728" t="s">
        <v>625</v>
      </c>
      <c r="O728" t="s">
        <v>31</v>
      </c>
      <c r="P728" t="str">
        <f>"15108"</f>
        <v>15108</v>
      </c>
    </row>
    <row r="729" spans="1:16" x14ac:dyDescent="0.25">
      <c r="A729" t="str">
        <f>"1040028L00263    00"</f>
        <v>1040028L00263    00</v>
      </c>
      <c r="B729" t="s">
        <v>1866</v>
      </c>
      <c r="C729" t="s">
        <v>1867</v>
      </c>
      <c r="D729" t="s">
        <v>20</v>
      </c>
      <c r="E729" t="s">
        <v>39</v>
      </c>
      <c r="F729">
        <v>0</v>
      </c>
      <c r="G729">
        <v>0</v>
      </c>
      <c r="H729">
        <v>1</v>
      </c>
      <c r="I729" s="3">
        <v>272.45</v>
      </c>
      <c r="J729" s="3">
        <v>0</v>
      </c>
      <c r="L729">
        <v>4307</v>
      </c>
      <c r="M729" t="s">
        <v>1868</v>
      </c>
      <c r="N729" t="s">
        <v>30</v>
      </c>
      <c r="O729" t="s">
        <v>31</v>
      </c>
      <c r="P729" t="str">
        <f>"15213"</f>
        <v>15213</v>
      </c>
    </row>
    <row r="730" spans="1:16" x14ac:dyDescent="0.25">
      <c r="A730" t="str">
        <f>"1040028L00299    00"</f>
        <v>1040028L00299    00</v>
      </c>
      <c r="B730" t="s">
        <v>1869</v>
      </c>
      <c r="C730" t="s">
        <v>1870</v>
      </c>
      <c r="D730" t="s">
        <v>20</v>
      </c>
      <c r="E730" t="s">
        <v>39</v>
      </c>
      <c r="F730">
        <v>0</v>
      </c>
      <c r="G730">
        <v>0</v>
      </c>
      <c r="H730">
        <v>2</v>
      </c>
      <c r="I730" s="3">
        <v>2157.5</v>
      </c>
      <c r="J730" s="3">
        <v>0</v>
      </c>
      <c r="K730" t="s">
        <v>1802</v>
      </c>
      <c r="L730">
        <v>901</v>
      </c>
      <c r="M730" t="s">
        <v>1503</v>
      </c>
      <c r="N730" t="s">
        <v>494</v>
      </c>
      <c r="O730" t="s">
        <v>495</v>
      </c>
      <c r="P730" t="str">
        <f>"91768"</f>
        <v>91768</v>
      </c>
    </row>
    <row r="731" spans="1:16" x14ac:dyDescent="0.25">
      <c r="A731" t="str">
        <f>"1040028L00300    00"</f>
        <v>1040028L00300    00</v>
      </c>
      <c r="B731" t="s">
        <v>1871</v>
      </c>
      <c r="C731" t="s">
        <v>1872</v>
      </c>
      <c r="D731" t="s">
        <v>20</v>
      </c>
      <c r="E731" t="s">
        <v>39</v>
      </c>
      <c r="F731">
        <v>0</v>
      </c>
      <c r="G731">
        <v>0</v>
      </c>
      <c r="H731">
        <v>2</v>
      </c>
      <c r="I731" s="3">
        <v>2026</v>
      </c>
      <c r="J731" s="3">
        <v>0</v>
      </c>
      <c r="K731" t="s">
        <v>1802</v>
      </c>
      <c r="L731">
        <v>901</v>
      </c>
      <c r="M731" t="s">
        <v>1503</v>
      </c>
      <c r="N731" t="s">
        <v>494</v>
      </c>
      <c r="O731" t="s">
        <v>495</v>
      </c>
      <c r="P731" t="str">
        <f>"91768"</f>
        <v>91768</v>
      </c>
    </row>
    <row r="732" spans="1:16" x14ac:dyDescent="0.25">
      <c r="A732" t="str">
        <f>"1040028L00311    00"</f>
        <v>1040028L00311    00</v>
      </c>
      <c r="B732" t="s">
        <v>1873</v>
      </c>
      <c r="C732" t="s">
        <v>1874</v>
      </c>
      <c r="D732" t="s">
        <v>20</v>
      </c>
      <c r="E732" t="s">
        <v>21</v>
      </c>
      <c r="F732">
        <v>0</v>
      </c>
      <c r="G732">
        <v>0</v>
      </c>
      <c r="H732">
        <v>2</v>
      </c>
      <c r="I732" s="3">
        <v>4479.0200000000004</v>
      </c>
      <c r="J732" s="3">
        <v>0</v>
      </c>
      <c r="K732" t="s">
        <v>1802</v>
      </c>
      <c r="L732">
        <v>901</v>
      </c>
      <c r="M732" t="s">
        <v>1503</v>
      </c>
      <c r="N732" t="s">
        <v>494</v>
      </c>
      <c r="O732" t="s">
        <v>495</v>
      </c>
      <c r="P732" t="str">
        <f>"91768"</f>
        <v>91768</v>
      </c>
    </row>
    <row r="733" spans="1:16" x14ac:dyDescent="0.25">
      <c r="A733" t="str">
        <f>"1040028L00311A   00"</f>
        <v>1040028L00311A   00</v>
      </c>
      <c r="B733" t="s">
        <v>1875</v>
      </c>
      <c r="C733" t="s">
        <v>1876</v>
      </c>
      <c r="D733" t="s">
        <v>20</v>
      </c>
      <c r="E733" t="s">
        <v>21</v>
      </c>
      <c r="F733">
        <v>0</v>
      </c>
      <c r="G733">
        <v>0</v>
      </c>
      <c r="H733">
        <v>2</v>
      </c>
      <c r="I733" s="3">
        <v>5104.28</v>
      </c>
      <c r="J733" s="3">
        <v>0</v>
      </c>
      <c r="K733" t="s">
        <v>1483</v>
      </c>
      <c r="L733">
        <v>2333</v>
      </c>
      <c r="M733" t="s">
        <v>1484</v>
      </c>
      <c r="N733" t="s">
        <v>30</v>
      </c>
      <c r="O733" t="s">
        <v>31</v>
      </c>
      <c r="P733" t="str">
        <f>"15203"</f>
        <v>15203</v>
      </c>
    </row>
    <row r="734" spans="1:16" x14ac:dyDescent="0.25">
      <c r="A734" t="str">
        <f>"1040028L00317    00"</f>
        <v>1040028L00317    00</v>
      </c>
      <c r="B734" t="s">
        <v>1877</v>
      </c>
      <c r="C734" t="s">
        <v>1878</v>
      </c>
      <c r="D734" t="s">
        <v>20</v>
      </c>
      <c r="E734" t="s">
        <v>39</v>
      </c>
      <c r="F734">
        <v>0</v>
      </c>
      <c r="G734">
        <v>0</v>
      </c>
      <c r="H734">
        <v>3</v>
      </c>
      <c r="I734" s="3">
        <v>3524.45</v>
      </c>
      <c r="J734" s="3">
        <v>286.27999999999997</v>
      </c>
      <c r="K734" t="s">
        <v>1802</v>
      </c>
      <c r="L734">
        <v>901</v>
      </c>
      <c r="M734" t="s">
        <v>1503</v>
      </c>
      <c r="N734" t="s">
        <v>494</v>
      </c>
      <c r="O734" t="s">
        <v>495</v>
      </c>
      <c r="P734" t="str">
        <f>"91768"</f>
        <v>91768</v>
      </c>
    </row>
    <row r="735" spans="1:16" x14ac:dyDescent="0.25">
      <c r="A735" t="str">
        <f>"1040028L00329    00"</f>
        <v>1040028L00329    00</v>
      </c>
      <c r="B735" t="s">
        <v>1879</v>
      </c>
      <c r="C735" t="s">
        <v>1880</v>
      </c>
      <c r="D735" t="s">
        <v>20</v>
      </c>
      <c r="E735" t="s">
        <v>39</v>
      </c>
      <c r="F735">
        <v>0</v>
      </c>
      <c r="G735">
        <v>0</v>
      </c>
      <c r="H735">
        <v>2</v>
      </c>
      <c r="I735" s="3">
        <v>6488.08</v>
      </c>
      <c r="J735" s="3">
        <v>0</v>
      </c>
      <c r="K735" t="s">
        <v>1483</v>
      </c>
      <c r="L735">
        <v>2333</v>
      </c>
      <c r="M735" t="s">
        <v>1484</v>
      </c>
      <c r="N735" t="s">
        <v>30</v>
      </c>
      <c r="O735" t="s">
        <v>31</v>
      </c>
      <c r="P735" t="str">
        <f>"15203"</f>
        <v>15203</v>
      </c>
    </row>
    <row r="736" spans="1:16" x14ac:dyDescent="0.25">
      <c r="A736" t="str">
        <f>"1040028L00331    00"</f>
        <v>1040028L00331    00</v>
      </c>
      <c r="B736" t="s">
        <v>1881</v>
      </c>
      <c r="C736" t="s">
        <v>1882</v>
      </c>
      <c r="D736" t="s">
        <v>20</v>
      </c>
      <c r="E736" t="s">
        <v>39</v>
      </c>
      <c r="F736">
        <v>0</v>
      </c>
      <c r="G736">
        <v>0</v>
      </c>
      <c r="H736">
        <v>2</v>
      </c>
      <c r="I736" s="3">
        <v>4818.3999999999996</v>
      </c>
      <c r="J736" s="3">
        <v>0</v>
      </c>
      <c r="K736" t="s">
        <v>1483</v>
      </c>
      <c r="L736">
        <v>2333</v>
      </c>
      <c r="M736" t="s">
        <v>1484</v>
      </c>
      <c r="N736" t="s">
        <v>30</v>
      </c>
      <c r="O736" t="s">
        <v>31</v>
      </c>
      <c r="P736" t="str">
        <f>"15203"</f>
        <v>15203</v>
      </c>
    </row>
    <row r="737" spans="1:16" x14ac:dyDescent="0.25">
      <c r="A737" t="str">
        <f>"1040028L00337    00"</f>
        <v>1040028L00337    00</v>
      </c>
      <c r="B737" t="s">
        <v>1881</v>
      </c>
      <c r="C737" t="s">
        <v>1883</v>
      </c>
      <c r="D737" t="s">
        <v>20</v>
      </c>
      <c r="E737" t="s">
        <v>39</v>
      </c>
      <c r="F737">
        <v>0</v>
      </c>
      <c r="G737">
        <v>0</v>
      </c>
      <c r="H737">
        <v>2</v>
      </c>
      <c r="I737" s="3">
        <v>4406.66</v>
      </c>
      <c r="J737" s="3">
        <v>0</v>
      </c>
      <c r="K737" t="s">
        <v>1483</v>
      </c>
      <c r="L737">
        <v>2333</v>
      </c>
      <c r="M737" t="s">
        <v>1484</v>
      </c>
      <c r="N737" t="s">
        <v>30</v>
      </c>
      <c r="O737" t="s">
        <v>31</v>
      </c>
      <c r="P737" t="str">
        <f>"15203"</f>
        <v>15203</v>
      </c>
    </row>
    <row r="738" spans="1:16" x14ac:dyDescent="0.25">
      <c r="A738" t="str">
        <f>"1040028L00341    00"</f>
        <v>1040028L00341    00</v>
      </c>
      <c r="B738" t="s">
        <v>1884</v>
      </c>
      <c r="C738" t="s">
        <v>1885</v>
      </c>
      <c r="D738" t="s">
        <v>20</v>
      </c>
      <c r="E738" t="s">
        <v>39</v>
      </c>
      <c r="F738">
        <v>0</v>
      </c>
      <c r="G738">
        <v>0</v>
      </c>
      <c r="H738">
        <v>1</v>
      </c>
      <c r="I738" s="3">
        <v>1515.28</v>
      </c>
      <c r="J738" s="3">
        <v>0</v>
      </c>
      <c r="K738" t="s">
        <v>1886</v>
      </c>
      <c r="L738">
        <v>806</v>
      </c>
      <c r="M738" t="s">
        <v>1887</v>
      </c>
      <c r="N738" t="s">
        <v>30</v>
      </c>
      <c r="O738" t="s">
        <v>31</v>
      </c>
      <c r="P738" t="str">
        <f>"15217"</f>
        <v>15217</v>
      </c>
    </row>
    <row r="739" spans="1:16" x14ac:dyDescent="0.25">
      <c r="A739" t="str">
        <f>"1040028L00374    00"</f>
        <v>1040028L00374    00</v>
      </c>
      <c r="B739" t="s">
        <v>1888</v>
      </c>
      <c r="C739" t="s">
        <v>1889</v>
      </c>
      <c r="D739" t="s">
        <v>20</v>
      </c>
      <c r="E739" t="s">
        <v>39</v>
      </c>
      <c r="F739">
        <v>0</v>
      </c>
      <c r="G739">
        <v>0</v>
      </c>
      <c r="H739">
        <v>2</v>
      </c>
      <c r="I739" s="3">
        <v>3330.48</v>
      </c>
      <c r="J739" s="3">
        <v>0</v>
      </c>
      <c r="L739">
        <v>307</v>
      </c>
      <c r="M739" t="s">
        <v>1890</v>
      </c>
      <c r="N739" t="s">
        <v>1766</v>
      </c>
      <c r="O739" t="s">
        <v>31</v>
      </c>
      <c r="P739" t="str">
        <f>"15367"</f>
        <v>15367</v>
      </c>
    </row>
    <row r="740" spans="1:16" x14ac:dyDescent="0.25">
      <c r="A740" t="str">
        <f>"1040028M00055    00"</f>
        <v>1040028M00055    00</v>
      </c>
      <c r="B740" t="s">
        <v>1891</v>
      </c>
      <c r="C740" t="s">
        <v>1892</v>
      </c>
      <c r="D740" t="s">
        <v>20</v>
      </c>
      <c r="E740" t="s">
        <v>39</v>
      </c>
      <c r="F740">
        <v>0</v>
      </c>
      <c r="G740">
        <v>0</v>
      </c>
      <c r="H740">
        <v>1</v>
      </c>
      <c r="I740" s="3">
        <v>3577.14</v>
      </c>
      <c r="J740" s="3">
        <v>1430.79</v>
      </c>
      <c r="L740">
        <v>5101</v>
      </c>
      <c r="M740" t="s">
        <v>1893</v>
      </c>
      <c r="N740" t="s">
        <v>30</v>
      </c>
      <c r="O740" t="s">
        <v>31</v>
      </c>
      <c r="P740" t="str">
        <f>"15201"</f>
        <v>15201</v>
      </c>
    </row>
    <row r="741" spans="1:16" x14ac:dyDescent="0.25">
      <c r="A741" t="str">
        <f>"1040028M00055A   00"</f>
        <v>1040028M00055A   00</v>
      </c>
      <c r="B741" t="s">
        <v>1891</v>
      </c>
      <c r="C741" t="s">
        <v>1892</v>
      </c>
      <c r="D741" t="s">
        <v>20</v>
      </c>
      <c r="E741" t="s">
        <v>39</v>
      </c>
      <c r="F741">
        <v>0</v>
      </c>
      <c r="G741">
        <v>0</v>
      </c>
      <c r="H741">
        <v>1</v>
      </c>
      <c r="I741" s="3">
        <v>3779.82</v>
      </c>
      <c r="J741" s="3">
        <v>1511.87</v>
      </c>
      <c r="L741">
        <v>5101</v>
      </c>
      <c r="M741" t="s">
        <v>1893</v>
      </c>
      <c r="N741" t="s">
        <v>30</v>
      </c>
      <c r="O741" t="s">
        <v>31</v>
      </c>
      <c r="P741" t="str">
        <f>"15201"</f>
        <v>15201</v>
      </c>
    </row>
    <row r="742" spans="1:16" x14ac:dyDescent="0.25">
      <c r="A742" t="str">
        <f>"1040028M00056    00"</f>
        <v>1040028M00056    00</v>
      </c>
      <c r="B742" t="s">
        <v>1894</v>
      </c>
      <c r="C742" t="s">
        <v>1895</v>
      </c>
      <c r="D742" t="s">
        <v>20</v>
      </c>
      <c r="E742" t="s">
        <v>39</v>
      </c>
      <c r="F742">
        <v>0</v>
      </c>
      <c r="G742">
        <v>0</v>
      </c>
      <c r="H742">
        <v>1</v>
      </c>
      <c r="I742" s="3">
        <v>4535.8</v>
      </c>
      <c r="J742" s="3">
        <v>1814.25</v>
      </c>
      <c r="L742">
        <v>5101</v>
      </c>
      <c r="M742" t="s">
        <v>1893</v>
      </c>
      <c r="N742" t="s">
        <v>30</v>
      </c>
      <c r="O742" t="s">
        <v>31</v>
      </c>
      <c r="P742" t="str">
        <f>"15201"</f>
        <v>15201</v>
      </c>
    </row>
    <row r="743" spans="1:16" x14ac:dyDescent="0.25">
      <c r="A743" t="str">
        <f>"1040028M00080    00"</f>
        <v>1040028M00080    00</v>
      </c>
      <c r="B743" t="s">
        <v>1896</v>
      </c>
      <c r="C743" t="s">
        <v>1897</v>
      </c>
      <c r="D743" t="s">
        <v>20</v>
      </c>
      <c r="E743" t="s">
        <v>39</v>
      </c>
      <c r="F743">
        <v>0</v>
      </c>
      <c r="G743">
        <v>0</v>
      </c>
      <c r="H743">
        <v>7</v>
      </c>
      <c r="I743" s="3">
        <v>25.97</v>
      </c>
      <c r="J743" s="3">
        <v>9.44</v>
      </c>
      <c r="L743">
        <v>4814</v>
      </c>
      <c r="M743" t="s">
        <v>1898</v>
      </c>
      <c r="N743" t="s">
        <v>546</v>
      </c>
      <c r="O743" t="s">
        <v>31</v>
      </c>
      <c r="P743" t="str">
        <f>"15044"</f>
        <v>15044</v>
      </c>
    </row>
    <row r="744" spans="1:16" x14ac:dyDescent="0.25">
      <c r="A744" t="str">
        <f>"1040028M00131    00"</f>
        <v>1040028M00131    00</v>
      </c>
      <c r="B744" t="s">
        <v>1899</v>
      </c>
      <c r="C744" t="s">
        <v>1900</v>
      </c>
      <c r="D744" t="s">
        <v>20</v>
      </c>
      <c r="E744" t="s">
        <v>39</v>
      </c>
      <c r="F744">
        <v>0</v>
      </c>
      <c r="G744">
        <v>0</v>
      </c>
      <c r="H744">
        <v>3</v>
      </c>
      <c r="I744" s="3">
        <v>11853.45</v>
      </c>
      <c r="J744" s="3">
        <v>98.78</v>
      </c>
      <c r="K744" t="s">
        <v>1722</v>
      </c>
      <c r="M744" t="s">
        <v>1723</v>
      </c>
      <c r="N744" t="s">
        <v>410</v>
      </c>
      <c r="O744" t="s">
        <v>31</v>
      </c>
      <c r="P744" t="str">
        <f>"15701"</f>
        <v>15701</v>
      </c>
    </row>
    <row r="745" spans="1:16" x14ac:dyDescent="0.25">
      <c r="A745" t="str">
        <f>"1040028M00140    00"</f>
        <v>1040028M00140    00</v>
      </c>
      <c r="B745" t="s">
        <v>1746</v>
      </c>
      <c r="C745" t="s">
        <v>1901</v>
      </c>
      <c r="E745" t="s">
        <v>39</v>
      </c>
      <c r="F745">
        <v>0</v>
      </c>
      <c r="G745">
        <v>0</v>
      </c>
      <c r="H745">
        <v>1</v>
      </c>
      <c r="I745" s="3">
        <v>1736.76</v>
      </c>
      <c r="J745" s="3">
        <v>1722.21</v>
      </c>
      <c r="L745">
        <v>154</v>
      </c>
      <c r="M745" t="s">
        <v>1748</v>
      </c>
      <c r="N745" t="s">
        <v>321</v>
      </c>
      <c r="O745" t="s">
        <v>31</v>
      </c>
      <c r="P745" t="str">
        <f>"15001"</f>
        <v>15001</v>
      </c>
    </row>
    <row r="746" spans="1:16" x14ac:dyDescent="0.25">
      <c r="A746" t="str">
        <f>"1040028M00158    00"</f>
        <v>1040028M00158    00</v>
      </c>
      <c r="B746" t="s">
        <v>1902</v>
      </c>
      <c r="C746" t="s">
        <v>1903</v>
      </c>
      <c r="D746" t="s">
        <v>20</v>
      </c>
      <c r="E746" t="s">
        <v>39</v>
      </c>
      <c r="F746">
        <v>0</v>
      </c>
      <c r="G746">
        <v>0</v>
      </c>
      <c r="H746">
        <v>1</v>
      </c>
      <c r="I746" s="3">
        <v>1652.51</v>
      </c>
      <c r="J746" s="3">
        <v>0</v>
      </c>
      <c r="K746" t="s">
        <v>1904</v>
      </c>
      <c r="L746">
        <v>3608</v>
      </c>
      <c r="M746" t="s">
        <v>1905</v>
      </c>
      <c r="N746" t="s">
        <v>30</v>
      </c>
      <c r="O746" t="s">
        <v>31</v>
      </c>
      <c r="P746" t="str">
        <f>"15213"</f>
        <v>15213</v>
      </c>
    </row>
    <row r="747" spans="1:16" x14ac:dyDescent="0.25">
      <c r="A747" t="str">
        <f>"1040028M00159    00"</f>
        <v>1040028M00159    00</v>
      </c>
      <c r="B747" t="s">
        <v>1906</v>
      </c>
      <c r="C747" t="s">
        <v>1907</v>
      </c>
      <c r="D747" t="s">
        <v>20</v>
      </c>
      <c r="E747" t="s">
        <v>39</v>
      </c>
      <c r="F747">
        <v>0</v>
      </c>
      <c r="G747">
        <v>0</v>
      </c>
      <c r="H747">
        <v>1</v>
      </c>
      <c r="I747" s="3">
        <v>1620.12</v>
      </c>
      <c r="J747" s="3">
        <v>0</v>
      </c>
      <c r="K747" t="s">
        <v>1904</v>
      </c>
      <c r="L747">
        <v>3608</v>
      </c>
      <c r="M747" t="s">
        <v>1905</v>
      </c>
      <c r="N747" t="s">
        <v>30</v>
      </c>
      <c r="O747" t="s">
        <v>31</v>
      </c>
      <c r="P747" t="str">
        <f>"15213"</f>
        <v>15213</v>
      </c>
    </row>
    <row r="748" spans="1:16" x14ac:dyDescent="0.25">
      <c r="A748" t="str">
        <f>"1040028M00266    00"</f>
        <v>1040028M00266    00</v>
      </c>
      <c r="B748" t="s">
        <v>1899</v>
      </c>
      <c r="C748" t="s">
        <v>1908</v>
      </c>
      <c r="E748" t="s">
        <v>39</v>
      </c>
      <c r="F748">
        <v>0</v>
      </c>
      <c r="G748">
        <v>0</v>
      </c>
      <c r="H748">
        <v>2</v>
      </c>
      <c r="I748" s="3">
        <v>8394.02</v>
      </c>
      <c r="J748" s="3">
        <v>104.92</v>
      </c>
      <c r="K748" t="s">
        <v>1722</v>
      </c>
      <c r="M748" t="s">
        <v>1723</v>
      </c>
      <c r="N748" t="s">
        <v>410</v>
      </c>
      <c r="O748" t="s">
        <v>31</v>
      </c>
      <c r="P748" t="str">
        <f>"15701"</f>
        <v>15701</v>
      </c>
    </row>
    <row r="749" spans="1:16" x14ac:dyDescent="0.25">
      <c r="A749" t="str">
        <f>"1040028N00055    00"</f>
        <v>1040028N00055    00</v>
      </c>
      <c r="B749" t="s">
        <v>1909</v>
      </c>
      <c r="C749" t="s">
        <v>1910</v>
      </c>
      <c r="D749" t="s">
        <v>20</v>
      </c>
      <c r="E749" t="s">
        <v>39</v>
      </c>
      <c r="F749">
        <v>0</v>
      </c>
      <c r="G749">
        <v>0</v>
      </c>
      <c r="H749">
        <v>2</v>
      </c>
      <c r="I749" s="3">
        <v>3430.8</v>
      </c>
      <c r="J749" s="3">
        <v>0</v>
      </c>
      <c r="K749" t="s">
        <v>1483</v>
      </c>
      <c r="L749">
        <v>2333</v>
      </c>
      <c r="M749" t="s">
        <v>1484</v>
      </c>
      <c r="N749" t="s">
        <v>30</v>
      </c>
      <c r="O749" t="s">
        <v>31</v>
      </c>
      <c r="P749" t="str">
        <f>"15203"</f>
        <v>15203</v>
      </c>
    </row>
    <row r="750" spans="1:16" x14ac:dyDescent="0.25">
      <c r="A750" t="str">
        <f>"1040028N00080B   00"</f>
        <v>1040028N00080B   00</v>
      </c>
      <c r="B750" t="s">
        <v>1911</v>
      </c>
      <c r="C750" t="s">
        <v>1912</v>
      </c>
      <c r="D750" t="s">
        <v>20</v>
      </c>
      <c r="E750" t="s">
        <v>39</v>
      </c>
      <c r="F750">
        <v>0</v>
      </c>
      <c r="G750">
        <v>0</v>
      </c>
      <c r="H750">
        <v>2</v>
      </c>
      <c r="I750" s="3">
        <v>840.24</v>
      </c>
      <c r="J750" s="3">
        <v>0</v>
      </c>
      <c r="K750" t="s">
        <v>1913</v>
      </c>
      <c r="L750">
        <v>3109</v>
      </c>
      <c r="M750" t="s">
        <v>1914</v>
      </c>
      <c r="N750" t="s">
        <v>30</v>
      </c>
      <c r="O750" t="s">
        <v>31</v>
      </c>
      <c r="P750" t="str">
        <f>"15213"</f>
        <v>15213</v>
      </c>
    </row>
    <row r="751" spans="1:16" x14ac:dyDescent="0.25">
      <c r="A751" t="str">
        <f>"1040028N00080L   00"</f>
        <v>1040028N00080L   00</v>
      </c>
      <c r="B751" t="s">
        <v>1915</v>
      </c>
      <c r="C751" t="s">
        <v>1912</v>
      </c>
      <c r="D751" t="s">
        <v>20</v>
      </c>
      <c r="E751" t="s">
        <v>39</v>
      </c>
      <c r="F751">
        <v>0</v>
      </c>
      <c r="G751">
        <v>0</v>
      </c>
      <c r="H751">
        <v>2</v>
      </c>
      <c r="I751" s="3">
        <v>1059.74</v>
      </c>
      <c r="J751" s="3">
        <v>0</v>
      </c>
      <c r="L751">
        <v>3109</v>
      </c>
      <c r="M751" t="s">
        <v>1914</v>
      </c>
      <c r="N751" t="s">
        <v>30</v>
      </c>
      <c r="O751" t="s">
        <v>31</v>
      </c>
      <c r="P751" t="str">
        <f>"15213"</f>
        <v>15213</v>
      </c>
    </row>
    <row r="752" spans="1:16" x14ac:dyDescent="0.25">
      <c r="A752" t="str">
        <f>"1040028N00086    00"</f>
        <v>1040028N00086    00</v>
      </c>
      <c r="B752" t="s">
        <v>1916</v>
      </c>
      <c r="C752" t="s">
        <v>1917</v>
      </c>
      <c r="E752" t="s">
        <v>39</v>
      </c>
      <c r="F752">
        <v>0</v>
      </c>
      <c r="G752">
        <v>0</v>
      </c>
      <c r="H752">
        <v>1</v>
      </c>
      <c r="I752" s="3">
        <v>1143.5999999999999</v>
      </c>
      <c r="J752" s="3">
        <v>0</v>
      </c>
      <c r="K752" t="s">
        <v>1918</v>
      </c>
      <c r="L752">
        <v>108</v>
      </c>
      <c r="M752" t="s">
        <v>1919</v>
      </c>
      <c r="N752" t="s">
        <v>30</v>
      </c>
      <c r="O752" t="s">
        <v>31</v>
      </c>
      <c r="P752" t="str">
        <f>"15238"</f>
        <v>15238</v>
      </c>
    </row>
    <row r="753" spans="1:16" x14ac:dyDescent="0.25">
      <c r="A753" t="str">
        <f>"1040028N00100    00"</f>
        <v>1040028N00100    00</v>
      </c>
      <c r="B753" t="s">
        <v>1920</v>
      </c>
      <c r="C753" t="s">
        <v>1921</v>
      </c>
      <c r="E753" t="s">
        <v>39</v>
      </c>
      <c r="F753">
        <v>0</v>
      </c>
      <c r="G753">
        <v>0</v>
      </c>
      <c r="H753">
        <v>1</v>
      </c>
      <c r="I753" s="3">
        <v>290.33999999999997</v>
      </c>
      <c r="J753" s="3">
        <v>101.61</v>
      </c>
      <c r="K753" t="s">
        <v>1922</v>
      </c>
      <c r="L753">
        <v>235</v>
      </c>
      <c r="M753" t="s">
        <v>1923</v>
      </c>
      <c r="N753" t="s">
        <v>30</v>
      </c>
      <c r="O753" t="s">
        <v>31</v>
      </c>
      <c r="P753" t="str">
        <f>"15237"</f>
        <v>15237</v>
      </c>
    </row>
    <row r="754" spans="1:16" x14ac:dyDescent="0.25">
      <c r="A754" t="str">
        <f>"1040028N00126    00"</f>
        <v>1040028N00126    00</v>
      </c>
      <c r="B754" t="s">
        <v>1924</v>
      </c>
      <c r="C754" t="s">
        <v>1925</v>
      </c>
      <c r="D754" t="s">
        <v>20</v>
      </c>
      <c r="E754" t="s">
        <v>39</v>
      </c>
      <c r="F754">
        <v>0</v>
      </c>
      <c r="G754">
        <v>0</v>
      </c>
      <c r="H754">
        <v>1</v>
      </c>
      <c r="I754" s="3">
        <v>2727.49</v>
      </c>
      <c r="J754" s="3">
        <v>0</v>
      </c>
      <c r="K754" t="s">
        <v>1926</v>
      </c>
      <c r="L754">
        <v>106</v>
      </c>
      <c r="M754" t="s">
        <v>1927</v>
      </c>
      <c r="N754" t="s">
        <v>1928</v>
      </c>
      <c r="O754" t="s">
        <v>31</v>
      </c>
      <c r="P754" t="str">
        <f>"15317"</f>
        <v>15317</v>
      </c>
    </row>
    <row r="755" spans="1:16" x14ac:dyDescent="0.25">
      <c r="A755" t="str">
        <f>"1040028N00137    00"</f>
        <v>1040028N00137    00</v>
      </c>
      <c r="B755" t="s">
        <v>1929</v>
      </c>
      <c r="C755" t="s">
        <v>1930</v>
      </c>
      <c r="D755" t="s">
        <v>20</v>
      </c>
      <c r="E755" t="s">
        <v>39</v>
      </c>
      <c r="F755">
        <v>0</v>
      </c>
      <c r="G755">
        <v>0</v>
      </c>
      <c r="H755">
        <v>4</v>
      </c>
      <c r="I755" s="3">
        <v>5110.7700000000004</v>
      </c>
      <c r="J755" s="3">
        <v>603.72</v>
      </c>
      <c r="L755">
        <v>1212</v>
      </c>
      <c r="M755" t="s">
        <v>1931</v>
      </c>
      <c r="N755" t="s">
        <v>30</v>
      </c>
      <c r="O755" t="s">
        <v>31</v>
      </c>
      <c r="P755" t="str">
        <f>"15237"</f>
        <v>15237</v>
      </c>
    </row>
    <row r="756" spans="1:16" x14ac:dyDescent="0.25">
      <c r="A756" t="str">
        <f>"1040028N00140    00"</f>
        <v>1040028N00140    00</v>
      </c>
      <c r="B756" t="s">
        <v>1932</v>
      </c>
      <c r="C756" t="s">
        <v>1933</v>
      </c>
      <c r="D756" t="s">
        <v>20</v>
      </c>
      <c r="E756" t="s">
        <v>39</v>
      </c>
      <c r="F756">
        <v>0</v>
      </c>
      <c r="G756">
        <v>0</v>
      </c>
      <c r="H756">
        <v>3</v>
      </c>
      <c r="I756" s="3">
        <v>3493.71</v>
      </c>
      <c r="J756" s="3">
        <v>232.91</v>
      </c>
      <c r="M756" t="s">
        <v>1934</v>
      </c>
      <c r="N756" t="s">
        <v>30</v>
      </c>
      <c r="O756" t="s">
        <v>31</v>
      </c>
      <c r="P756" t="str">
        <f>"15224"</f>
        <v>15224</v>
      </c>
    </row>
    <row r="757" spans="1:16" x14ac:dyDescent="0.25">
      <c r="A757" t="str">
        <f>"1040028N00146    00"</f>
        <v>1040028N00146    00</v>
      </c>
      <c r="B757" t="s">
        <v>1935</v>
      </c>
      <c r="C757" t="s">
        <v>1936</v>
      </c>
      <c r="D757" t="s">
        <v>20</v>
      </c>
      <c r="E757" t="s">
        <v>39</v>
      </c>
      <c r="F757">
        <v>0</v>
      </c>
      <c r="G757">
        <v>0</v>
      </c>
      <c r="H757">
        <v>1</v>
      </c>
      <c r="I757" s="3">
        <v>304.98</v>
      </c>
      <c r="J757" s="3">
        <v>0</v>
      </c>
      <c r="K757" t="s">
        <v>1937</v>
      </c>
      <c r="L757">
        <v>544</v>
      </c>
      <c r="M757" t="s">
        <v>1938</v>
      </c>
      <c r="N757" t="s">
        <v>30</v>
      </c>
      <c r="O757" t="s">
        <v>31</v>
      </c>
      <c r="P757" t="str">
        <f>"15227"</f>
        <v>15227</v>
      </c>
    </row>
    <row r="758" spans="1:16" x14ac:dyDescent="0.25">
      <c r="A758" t="str">
        <f>"1040028N00153    00"</f>
        <v>1040028N00153    00</v>
      </c>
      <c r="B758" t="s">
        <v>1939</v>
      </c>
      <c r="C758" t="s">
        <v>1940</v>
      </c>
      <c r="D758" t="s">
        <v>20</v>
      </c>
      <c r="E758" t="s">
        <v>39</v>
      </c>
      <c r="F758">
        <v>0</v>
      </c>
      <c r="G758">
        <v>0</v>
      </c>
      <c r="H758">
        <v>2</v>
      </c>
      <c r="I758" s="3">
        <v>3213.54</v>
      </c>
      <c r="J758" s="3">
        <v>0</v>
      </c>
      <c r="K758" t="s">
        <v>1483</v>
      </c>
      <c r="L758">
        <v>2333</v>
      </c>
      <c r="M758" t="s">
        <v>1484</v>
      </c>
      <c r="N758" t="s">
        <v>30</v>
      </c>
      <c r="O758" t="s">
        <v>31</v>
      </c>
      <c r="P758" t="str">
        <f>"15203"</f>
        <v>15203</v>
      </c>
    </row>
    <row r="759" spans="1:16" x14ac:dyDescent="0.25">
      <c r="A759" t="str">
        <f>"1040028P00003    00"</f>
        <v>1040028P00003    00</v>
      </c>
      <c r="B759" t="s">
        <v>1941</v>
      </c>
      <c r="C759" t="s">
        <v>1942</v>
      </c>
      <c r="D759" t="s">
        <v>20</v>
      </c>
      <c r="E759" t="s">
        <v>21</v>
      </c>
      <c r="F759">
        <v>0</v>
      </c>
      <c r="G759">
        <v>0</v>
      </c>
      <c r="H759">
        <v>2</v>
      </c>
      <c r="I759" s="3">
        <v>489.63</v>
      </c>
      <c r="J759" s="3">
        <v>8.02</v>
      </c>
      <c r="K759" t="s">
        <v>1943</v>
      </c>
      <c r="L759">
        <v>108</v>
      </c>
      <c r="M759" t="s">
        <v>1944</v>
      </c>
      <c r="N759" t="s">
        <v>30</v>
      </c>
      <c r="O759" t="s">
        <v>31</v>
      </c>
      <c r="P759" t="str">
        <f>"15243"</f>
        <v>15243</v>
      </c>
    </row>
    <row r="760" spans="1:16" x14ac:dyDescent="0.25">
      <c r="A760" t="str">
        <f>"1040028P00044    00"</f>
        <v>1040028P00044    00</v>
      </c>
      <c r="B760" t="s">
        <v>1945</v>
      </c>
      <c r="C760" t="s">
        <v>1946</v>
      </c>
      <c r="E760" t="s">
        <v>39</v>
      </c>
      <c r="F760">
        <v>0</v>
      </c>
      <c r="G760">
        <v>0</v>
      </c>
      <c r="H760">
        <v>1</v>
      </c>
      <c r="I760" s="3">
        <v>2096.6</v>
      </c>
      <c r="J760" s="3">
        <v>0</v>
      </c>
      <c r="K760" t="s">
        <v>1947</v>
      </c>
      <c r="M760" t="s">
        <v>1948</v>
      </c>
      <c r="N760" t="s">
        <v>30</v>
      </c>
      <c r="O760" t="s">
        <v>31</v>
      </c>
      <c r="P760" t="str">
        <f>"15203"</f>
        <v>15203</v>
      </c>
    </row>
    <row r="761" spans="1:16" x14ac:dyDescent="0.25">
      <c r="A761" t="str">
        <f>"1040028P00051    00"</f>
        <v>1040028P00051    00</v>
      </c>
      <c r="B761" t="s">
        <v>1949</v>
      </c>
      <c r="C761" t="s">
        <v>1950</v>
      </c>
      <c r="E761" t="s">
        <v>39</v>
      </c>
      <c r="F761">
        <v>0</v>
      </c>
      <c r="G761">
        <v>0</v>
      </c>
      <c r="H761">
        <v>1</v>
      </c>
      <c r="I761" s="3">
        <v>2100.41</v>
      </c>
      <c r="J761" s="3">
        <v>52.51</v>
      </c>
      <c r="L761">
        <v>4747</v>
      </c>
      <c r="M761" t="s">
        <v>1951</v>
      </c>
      <c r="N761" t="s">
        <v>30</v>
      </c>
      <c r="O761" t="s">
        <v>31</v>
      </c>
      <c r="P761" t="str">
        <f>"15213"</f>
        <v>15213</v>
      </c>
    </row>
    <row r="762" spans="1:16" x14ac:dyDescent="0.25">
      <c r="A762" t="str">
        <f>"1040028P00052    00"</f>
        <v>1040028P00052    00</v>
      </c>
      <c r="B762" t="s">
        <v>1949</v>
      </c>
      <c r="C762" t="s">
        <v>1952</v>
      </c>
      <c r="E762" t="s">
        <v>39</v>
      </c>
      <c r="F762">
        <v>0</v>
      </c>
      <c r="G762">
        <v>0</v>
      </c>
      <c r="H762">
        <v>2</v>
      </c>
      <c r="I762" s="3">
        <v>2183.25</v>
      </c>
      <c r="J762" s="3">
        <v>53.51</v>
      </c>
      <c r="L762">
        <v>4747</v>
      </c>
      <c r="M762" t="s">
        <v>1951</v>
      </c>
      <c r="N762" t="s">
        <v>30</v>
      </c>
      <c r="O762" t="s">
        <v>31</v>
      </c>
      <c r="P762" t="str">
        <f>"15213"</f>
        <v>15213</v>
      </c>
    </row>
    <row r="763" spans="1:16" x14ac:dyDescent="0.25">
      <c r="A763" t="str">
        <f>"1040028P00059    00"</f>
        <v>1040028P00059    00</v>
      </c>
      <c r="B763" t="s">
        <v>1953</v>
      </c>
      <c r="C763" t="s">
        <v>1954</v>
      </c>
      <c r="D763" t="s">
        <v>20</v>
      </c>
      <c r="E763" t="s">
        <v>39</v>
      </c>
      <c r="F763">
        <v>0</v>
      </c>
      <c r="G763">
        <v>0</v>
      </c>
      <c r="H763">
        <v>1</v>
      </c>
      <c r="I763" s="3">
        <v>25.3</v>
      </c>
      <c r="J763" s="3">
        <v>0</v>
      </c>
      <c r="K763" t="s">
        <v>1955</v>
      </c>
      <c r="L763">
        <v>3105</v>
      </c>
      <c r="M763" t="s">
        <v>1956</v>
      </c>
      <c r="N763" t="s">
        <v>30</v>
      </c>
      <c r="O763" t="s">
        <v>31</v>
      </c>
      <c r="P763" t="str">
        <f>"15213"</f>
        <v>15213</v>
      </c>
    </row>
    <row r="764" spans="1:16" x14ac:dyDescent="0.25">
      <c r="A764" t="str">
        <f>"1040028P00088    00"</f>
        <v>1040028P00088    00</v>
      </c>
      <c r="B764" t="s">
        <v>1957</v>
      </c>
      <c r="C764" t="s">
        <v>1958</v>
      </c>
      <c r="D764" t="s">
        <v>20</v>
      </c>
      <c r="E764" t="s">
        <v>39</v>
      </c>
      <c r="F764">
        <v>0</v>
      </c>
      <c r="G764">
        <v>0</v>
      </c>
      <c r="H764">
        <v>10</v>
      </c>
      <c r="I764" s="3">
        <v>9759.68</v>
      </c>
      <c r="J764" s="3">
        <v>3859.49</v>
      </c>
      <c r="L764">
        <v>115</v>
      </c>
      <c r="M764" t="s">
        <v>1959</v>
      </c>
      <c r="N764" t="s">
        <v>30</v>
      </c>
      <c r="O764" t="s">
        <v>31</v>
      </c>
      <c r="P764" t="str">
        <f>"15213"</f>
        <v>15213</v>
      </c>
    </row>
    <row r="765" spans="1:16" x14ac:dyDescent="0.25">
      <c r="A765" t="str">
        <f>"1040028P00125    00"</f>
        <v>1040028P00125    00</v>
      </c>
      <c r="B765" t="s">
        <v>1960</v>
      </c>
      <c r="C765" t="s">
        <v>1961</v>
      </c>
      <c r="D765" t="s">
        <v>20</v>
      </c>
      <c r="E765" t="s">
        <v>39</v>
      </c>
      <c r="F765">
        <v>0</v>
      </c>
      <c r="G765">
        <v>0</v>
      </c>
      <c r="H765">
        <v>3</v>
      </c>
      <c r="I765" s="3">
        <v>3225.15</v>
      </c>
      <c r="J765" s="3">
        <v>508.65</v>
      </c>
      <c r="L765">
        <v>1767</v>
      </c>
      <c r="M765" t="s">
        <v>1649</v>
      </c>
      <c r="N765" t="s">
        <v>30</v>
      </c>
      <c r="O765" t="s">
        <v>31</v>
      </c>
      <c r="P765" t="str">
        <f>"15217"</f>
        <v>15217</v>
      </c>
    </row>
    <row r="766" spans="1:16" x14ac:dyDescent="0.25">
      <c r="A766" t="str">
        <f>"1040028P00126014200"</f>
        <v>1040028P00126014200</v>
      </c>
      <c r="B766" t="s">
        <v>1962</v>
      </c>
      <c r="C766" t="s">
        <v>1963</v>
      </c>
      <c r="D766" t="s">
        <v>20</v>
      </c>
      <c r="E766" t="s">
        <v>39</v>
      </c>
      <c r="F766">
        <v>0</v>
      </c>
      <c r="G766">
        <v>0</v>
      </c>
      <c r="H766">
        <v>1</v>
      </c>
      <c r="I766" s="3">
        <v>1339.93</v>
      </c>
      <c r="J766" s="3">
        <v>0</v>
      </c>
      <c r="L766">
        <v>3325</v>
      </c>
      <c r="M766" t="s">
        <v>1964</v>
      </c>
      <c r="N766" t="s">
        <v>264</v>
      </c>
      <c r="O766" t="s">
        <v>25</v>
      </c>
      <c r="P766" t="str">
        <f>"45211"</f>
        <v>45211</v>
      </c>
    </row>
    <row r="767" spans="1:16" x14ac:dyDescent="0.25">
      <c r="A767" t="str">
        <f>"1040028P00126025100"</f>
        <v>1040028P00126025100</v>
      </c>
      <c r="B767" t="s">
        <v>1965</v>
      </c>
      <c r="C767" t="s">
        <v>1966</v>
      </c>
      <c r="D767" t="s">
        <v>20</v>
      </c>
      <c r="E767" t="s">
        <v>39</v>
      </c>
      <c r="F767">
        <v>0</v>
      </c>
      <c r="G767">
        <v>0</v>
      </c>
      <c r="H767">
        <v>5</v>
      </c>
      <c r="I767" s="3">
        <v>5548.41</v>
      </c>
      <c r="J767" s="3">
        <v>958.56</v>
      </c>
      <c r="L767">
        <v>1556</v>
      </c>
      <c r="M767" t="s">
        <v>1967</v>
      </c>
      <c r="N767" t="s">
        <v>30</v>
      </c>
      <c r="O767" t="s">
        <v>31</v>
      </c>
      <c r="P767" t="str">
        <f>"15216"</f>
        <v>15216</v>
      </c>
    </row>
    <row r="768" spans="1:16" x14ac:dyDescent="0.25">
      <c r="A768" t="str">
        <f>"1040028P00126026100"</f>
        <v>1040028P00126026100</v>
      </c>
      <c r="B768" t="s">
        <v>1968</v>
      </c>
      <c r="C768" t="s">
        <v>1969</v>
      </c>
      <c r="D768" t="s">
        <v>20</v>
      </c>
      <c r="E768" t="s">
        <v>39</v>
      </c>
      <c r="F768">
        <v>0</v>
      </c>
      <c r="G768">
        <v>0</v>
      </c>
      <c r="H768">
        <v>1</v>
      </c>
      <c r="I768" s="3">
        <v>595.14</v>
      </c>
      <c r="J768" s="3">
        <v>0</v>
      </c>
      <c r="K768" t="s">
        <v>1970</v>
      </c>
      <c r="L768">
        <v>52</v>
      </c>
      <c r="M768" t="s">
        <v>1971</v>
      </c>
      <c r="N768" t="s">
        <v>30</v>
      </c>
      <c r="O768" t="s">
        <v>31</v>
      </c>
      <c r="P768" t="str">
        <f>"15217"</f>
        <v>15217</v>
      </c>
    </row>
    <row r="769" spans="1:16" x14ac:dyDescent="0.25">
      <c r="A769" t="str">
        <f>"1040028P00126036200"</f>
        <v>1040028P00126036200</v>
      </c>
      <c r="B769" t="s">
        <v>1972</v>
      </c>
      <c r="C769" t="s">
        <v>1973</v>
      </c>
      <c r="E769" t="s">
        <v>39</v>
      </c>
      <c r="F769">
        <v>0</v>
      </c>
      <c r="G769">
        <v>0</v>
      </c>
      <c r="H769">
        <v>1</v>
      </c>
      <c r="I769" s="3">
        <v>28.21</v>
      </c>
      <c r="J769" s="3">
        <v>0</v>
      </c>
      <c r="K769" t="s">
        <v>1974</v>
      </c>
      <c r="L769">
        <v>3299</v>
      </c>
      <c r="M769" t="s">
        <v>1956</v>
      </c>
      <c r="N769" t="s">
        <v>30</v>
      </c>
      <c r="O769" t="s">
        <v>31</v>
      </c>
      <c r="P769" t="str">
        <f>"15213"</f>
        <v>15213</v>
      </c>
    </row>
    <row r="770" spans="1:16" x14ac:dyDescent="0.25">
      <c r="A770" t="str">
        <f>"1040028P00126043100"</f>
        <v>1040028P00126043100</v>
      </c>
      <c r="B770" t="s">
        <v>1975</v>
      </c>
      <c r="C770" t="s">
        <v>1976</v>
      </c>
      <c r="D770" t="s">
        <v>20</v>
      </c>
      <c r="E770" t="s">
        <v>39</v>
      </c>
      <c r="F770">
        <v>0</v>
      </c>
      <c r="G770">
        <v>0</v>
      </c>
      <c r="H770">
        <v>3</v>
      </c>
      <c r="I770" s="3">
        <v>2653.14</v>
      </c>
      <c r="J770" s="3">
        <v>176.87</v>
      </c>
      <c r="K770" t="s">
        <v>1977</v>
      </c>
      <c r="L770">
        <v>3001</v>
      </c>
      <c r="M770" t="s">
        <v>330</v>
      </c>
      <c r="N770" t="s">
        <v>331</v>
      </c>
      <c r="O770" t="s">
        <v>108</v>
      </c>
      <c r="P770" t="str">
        <f>"75063"</f>
        <v>75063</v>
      </c>
    </row>
    <row r="771" spans="1:16" x14ac:dyDescent="0.25">
      <c r="A771" t="str">
        <f>"1040028P00165015200"</f>
        <v>1040028P00165015200</v>
      </c>
      <c r="B771" t="s">
        <v>1975</v>
      </c>
      <c r="C771" t="s">
        <v>1978</v>
      </c>
      <c r="D771" t="s">
        <v>20</v>
      </c>
      <c r="E771" t="s">
        <v>39</v>
      </c>
      <c r="F771">
        <v>0</v>
      </c>
      <c r="G771">
        <v>0</v>
      </c>
      <c r="H771">
        <v>3</v>
      </c>
      <c r="I771" s="3">
        <v>3465.12</v>
      </c>
      <c r="J771" s="3">
        <v>231</v>
      </c>
      <c r="K771" t="s">
        <v>445</v>
      </c>
      <c r="L771">
        <v>1</v>
      </c>
      <c r="M771" t="s">
        <v>1163</v>
      </c>
      <c r="N771" t="s">
        <v>1164</v>
      </c>
      <c r="O771" t="s">
        <v>108</v>
      </c>
      <c r="P771" t="str">
        <f>"76262"</f>
        <v>76262</v>
      </c>
    </row>
    <row r="772" spans="1:16" x14ac:dyDescent="0.25">
      <c r="A772" t="str">
        <f>"1040028P00165020100"</f>
        <v>1040028P00165020100</v>
      </c>
      <c r="B772" t="s">
        <v>1979</v>
      </c>
      <c r="C772" t="s">
        <v>1980</v>
      </c>
      <c r="D772" t="s">
        <v>20</v>
      </c>
      <c r="E772" t="s">
        <v>39</v>
      </c>
      <c r="F772">
        <v>0</v>
      </c>
      <c r="G772">
        <v>0</v>
      </c>
      <c r="H772">
        <v>2</v>
      </c>
      <c r="I772" s="3">
        <v>1004.2</v>
      </c>
      <c r="J772" s="3">
        <v>0</v>
      </c>
      <c r="K772" t="s">
        <v>1632</v>
      </c>
      <c r="L772">
        <v>3001</v>
      </c>
      <c r="M772" t="s">
        <v>330</v>
      </c>
      <c r="N772" t="s">
        <v>331</v>
      </c>
      <c r="O772" t="s">
        <v>108</v>
      </c>
      <c r="P772" t="str">
        <f>"75063"</f>
        <v>75063</v>
      </c>
    </row>
    <row r="773" spans="1:16" x14ac:dyDescent="0.25">
      <c r="A773" t="str">
        <f>"1040028P00165045100"</f>
        <v>1040028P00165045100</v>
      </c>
      <c r="B773" t="s">
        <v>1981</v>
      </c>
      <c r="C773" t="s">
        <v>1982</v>
      </c>
      <c r="D773" t="s">
        <v>20</v>
      </c>
      <c r="E773" t="s">
        <v>39</v>
      </c>
      <c r="F773">
        <v>0</v>
      </c>
      <c r="G773">
        <v>0</v>
      </c>
      <c r="H773">
        <v>3</v>
      </c>
      <c r="I773" s="3">
        <v>2753</v>
      </c>
      <c r="J773" s="3">
        <v>179.77</v>
      </c>
      <c r="K773" t="s">
        <v>1983</v>
      </c>
      <c r="L773">
        <v>2635</v>
      </c>
      <c r="M773" t="s">
        <v>1984</v>
      </c>
      <c r="N773" t="s">
        <v>1067</v>
      </c>
      <c r="O773" t="s">
        <v>31</v>
      </c>
      <c r="P773" t="str">
        <f>"15143"</f>
        <v>15143</v>
      </c>
    </row>
    <row r="774" spans="1:16" x14ac:dyDescent="0.25">
      <c r="A774" t="str">
        <f>"1040028P00178    00"</f>
        <v>1040028P00178    00</v>
      </c>
      <c r="B774" t="s">
        <v>1647</v>
      </c>
      <c r="C774" t="s">
        <v>1985</v>
      </c>
      <c r="D774" t="s">
        <v>20</v>
      </c>
      <c r="E774" t="s">
        <v>39</v>
      </c>
      <c r="F774">
        <v>0</v>
      </c>
      <c r="G774">
        <v>0</v>
      </c>
      <c r="H774">
        <v>3</v>
      </c>
      <c r="I774" s="3">
        <v>10659.3</v>
      </c>
      <c r="J774" s="3">
        <v>1681.09</v>
      </c>
      <c r="L774">
        <v>8</v>
      </c>
      <c r="M774" t="s">
        <v>1651</v>
      </c>
      <c r="N774" t="s">
        <v>1652</v>
      </c>
      <c r="O774" t="s">
        <v>440</v>
      </c>
      <c r="P774" t="str">
        <f>"02464"</f>
        <v>02464</v>
      </c>
    </row>
    <row r="775" spans="1:16" x14ac:dyDescent="0.25">
      <c r="A775" t="str">
        <f>"1040028P00199    00"</f>
        <v>1040028P00199    00</v>
      </c>
      <c r="B775" t="s">
        <v>1986</v>
      </c>
      <c r="C775" t="s">
        <v>1987</v>
      </c>
      <c r="D775" t="s">
        <v>20</v>
      </c>
      <c r="E775" t="s">
        <v>39</v>
      </c>
      <c r="F775">
        <v>0</v>
      </c>
      <c r="G775">
        <v>0</v>
      </c>
      <c r="H775">
        <v>2</v>
      </c>
      <c r="I775" s="3">
        <v>2420.64</v>
      </c>
      <c r="J775" s="3">
        <v>0</v>
      </c>
      <c r="K775" t="s">
        <v>1632</v>
      </c>
      <c r="L775">
        <v>3001</v>
      </c>
      <c r="M775" t="s">
        <v>330</v>
      </c>
      <c r="N775" t="s">
        <v>331</v>
      </c>
      <c r="O775" t="s">
        <v>108</v>
      </c>
      <c r="P775" t="str">
        <f>"75063"</f>
        <v>75063</v>
      </c>
    </row>
    <row r="776" spans="1:16" x14ac:dyDescent="0.25">
      <c r="A776" t="str">
        <f>"1040028P00240    00"</f>
        <v>1040028P00240    00</v>
      </c>
      <c r="B776" t="s">
        <v>1988</v>
      </c>
      <c r="C776" t="s">
        <v>1989</v>
      </c>
      <c r="E776" t="s">
        <v>39</v>
      </c>
      <c r="F776">
        <v>0</v>
      </c>
      <c r="G776">
        <v>0</v>
      </c>
      <c r="H776">
        <v>2</v>
      </c>
      <c r="I776" s="3">
        <v>679.2</v>
      </c>
      <c r="J776" s="3">
        <v>136.38999999999999</v>
      </c>
      <c r="L776">
        <v>962</v>
      </c>
      <c r="M776" t="s">
        <v>1990</v>
      </c>
      <c r="N776" t="s">
        <v>30</v>
      </c>
      <c r="O776" t="s">
        <v>31</v>
      </c>
      <c r="P776" t="str">
        <f>"15226"</f>
        <v>15226</v>
      </c>
    </row>
    <row r="777" spans="1:16" x14ac:dyDescent="0.25">
      <c r="A777" t="str">
        <f>"1040028P00262    00"</f>
        <v>1040028P00262    00</v>
      </c>
      <c r="B777" t="s">
        <v>1991</v>
      </c>
      <c r="C777" t="s">
        <v>1992</v>
      </c>
      <c r="D777" t="s">
        <v>20</v>
      </c>
      <c r="E777" t="s">
        <v>39</v>
      </c>
      <c r="F777">
        <v>0</v>
      </c>
      <c r="G777">
        <v>0</v>
      </c>
      <c r="H777">
        <v>5</v>
      </c>
      <c r="I777" s="3">
        <v>4483.9399999999996</v>
      </c>
      <c r="J777" s="3">
        <v>774.66</v>
      </c>
      <c r="L777">
        <v>8</v>
      </c>
      <c r="M777" t="s">
        <v>1993</v>
      </c>
      <c r="N777" t="s">
        <v>30</v>
      </c>
      <c r="O777" t="s">
        <v>31</v>
      </c>
      <c r="P777" t="str">
        <f>"15213"</f>
        <v>15213</v>
      </c>
    </row>
    <row r="778" spans="1:16" x14ac:dyDescent="0.25">
      <c r="A778" t="str">
        <f>"1040028P00321    00"</f>
        <v>1040028P00321    00</v>
      </c>
      <c r="B778" t="s">
        <v>1994</v>
      </c>
      <c r="C778" t="s">
        <v>1995</v>
      </c>
      <c r="D778" t="s">
        <v>20</v>
      </c>
      <c r="E778" t="s">
        <v>39</v>
      </c>
      <c r="F778">
        <v>0</v>
      </c>
      <c r="G778">
        <v>0</v>
      </c>
      <c r="H778">
        <v>8</v>
      </c>
      <c r="I778" s="3">
        <v>4759.4799999999996</v>
      </c>
      <c r="J778" s="3">
        <v>673.8</v>
      </c>
      <c r="L778">
        <v>2441</v>
      </c>
      <c r="M778" t="s">
        <v>1996</v>
      </c>
      <c r="N778" t="s">
        <v>295</v>
      </c>
      <c r="O778" t="s">
        <v>31</v>
      </c>
      <c r="P778" t="str">
        <f>"15146"</f>
        <v>15146</v>
      </c>
    </row>
    <row r="779" spans="1:16" x14ac:dyDescent="0.25">
      <c r="A779" t="str">
        <f>"1040028P00333    00"</f>
        <v>1040028P00333    00</v>
      </c>
      <c r="B779" t="s">
        <v>1997</v>
      </c>
      <c r="C779" t="s">
        <v>1998</v>
      </c>
      <c r="E779" t="s">
        <v>39</v>
      </c>
      <c r="F779">
        <v>0</v>
      </c>
      <c r="G779">
        <v>0</v>
      </c>
      <c r="H779">
        <v>17</v>
      </c>
      <c r="I779" s="3">
        <v>15282.94</v>
      </c>
      <c r="J779" s="3">
        <v>16614.45</v>
      </c>
      <c r="L779">
        <v>412</v>
      </c>
      <c r="M779" t="s">
        <v>221</v>
      </c>
      <c r="N779" t="s">
        <v>30</v>
      </c>
      <c r="O779" t="s">
        <v>31</v>
      </c>
      <c r="P779" t="str">
        <f>"15219"</f>
        <v>15219</v>
      </c>
    </row>
    <row r="780" spans="1:16" x14ac:dyDescent="0.25">
      <c r="A780" t="str">
        <f>"1040028P00353    00"</f>
        <v>1040028P00353    00</v>
      </c>
      <c r="B780" t="s">
        <v>1999</v>
      </c>
      <c r="C780" t="s">
        <v>2000</v>
      </c>
      <c r="D780" t="s">
        <v>20</v>
      </c>
      <c r="E780" t="s">
        <v>21</v>
      </c>
      <c r="F780">
        <v>0</v>
      </c>
      <c r="G780">
        <v>0</v>
      </c>
      <c r="H780">
        <v>1</v>
      </c>
      <c r="I780" s="3">
        <v>7909.9</v>
      </c>
      <c r="J780" s="3">
        <v>0</v>
      </c>
      <c r="K780" t="s">
        <v>2001</v>
      </c>
      <c r="L780">
        <v>290</v>
      </c>
      <c r="M780" t="s">
        <v>2002</v>
      </c>
      <c r="N780" t="s">
        <v>30</v>
      </c>
      <c r="O780" t="s">
        <v>31</v>
      </c>
      <c r="P780" t="str">
        <f>"15205"</f>
        <v>15205</v>
      </c>
    </row>
    <row r="781" spans="1:16" x14ac:dyDescent="0.25">
      <c r="A781" t="str">
        <f>"1040028R00032    00"</f>
        <v>1040028R00032    00</v>
      </c>
      <c r="B781" t="s">
        <v>2003</v>
      </c>
      <c r="C781" t="s">
        <v>2004</v>
      </c>
      <c r="E781" t="s">
        <v>39</v>
      </c>
      <c r="F781">
        <v>0</v>
      </c>
      <c r="G781">
        <v>0</v>
      </c>
      <c r="H781">
        <v>1</v>
      </c>
      <c r="I781" s="3">
        <v>663.18</v>
      </c>
      <c r="J781" s="3">
        <v>0</v>
      </c>
      <c r="L781">
        <v>3611</v>
      </c>
      <c r="M781" t="s">
        <v>36</v>
      </c>
      <c r="N781" t="s">
        <v>30</v>
      </c>
      <c r="O781" t="s">
        <v>31</v>
      </c>
      <c r="P781" t="str">
        <f>"15213"</f>
        <v>15213</v>
      </c>
    </row>
    <row r="782" spans="1:16" x14ac:dyDescent="0.25">
      <c r="A782" t="str">
        <f>"1040028R00083    00"</f>
        <v>1040028R00083    00</v>
      </c>
      <c r="B782" t="s">
        <v>2005</v>
      </c>
      <c r="C782" t="s">
        <v>2006</v>
      </c>
      <c r="D782" t="s">
        <v>20</v>
      </c>
      <c r="E782" t="s">
        <v>39</v>
      </c>
      <c r="F782">
        <v>0</v>
      </c>
      <c r="G782">
        <v>0</v>
      </c>
      <c r="H782">
        <v>1</v>
      </c>
      <c r="I782" s="3">
        <v>989.22</v>
      </c>
      <c r="J782" s="3">
        <v>0</v>
      </c>
      <c r="L782">
        <v>122</v>
      </c>
      <c r="M782" t="s">
        <v>2007</v>
      </c>
      <c r="N782" t="s">
        <v>2008</v>
      </c>
      <c r="O782" t="s">
        <v>31</v>
      </c>
      <c r="P782" t="str">
        <f>"16066"</f>
        <v>16066</v>
      </c>
    </row>
    <row r="783" spans="1:16" x14ac:dyDescent="0.25">
      <c r="A783" t="str">
        <f>"1040028R00089    00"</f>
        <v>1040028R00089    00</v>
      </c>
      <c r="B783" t="s">
        <v>2009</v>
      </c>
      <c r="C783" t="s">
        <v>2010</v>
      </c>
      <c r="D783" t="s">
        <v>20</v>
      </c>
      <c r="E783" t="s">
        <v>39</v>
      </c>
      <c r="F783">
        <v>0</v>
      </c>
      <c r="G783">
        <v>0</v>
      </c>
      <c r="H783">
        <v>2</v>
      </c>
      <c r="I783" s="3">
        <v>4804.12</v>
      </c>
      <c r="J783" s="3">
        <v>0</v>
      </c>
      <c r="L783">
        <v>3316</v>
      </c>
      <c r="M783" t="s">
        <v>2011</v>
      </c>
      <c r="N783" t="s">
        <v>30</v>
      </c>
      <c r="O783" t="s">
        <v>31</v>
      </c>
      <c r="P783" t="str">
        <f>"15213"</f>
        <v>15213</v>
      </c>
    </row>
    <row r="784" spans="1:16" x14ac:dyDescent="0.25">
      <c r="A784" t="str">
        <f>"1040028R00100    00"</f>
        <v>1040028R00100    00</v>
      </c>
      <c r="B784" t="s">
        <v>2012</v>
      </c>
      <c r="C784" t="s">
        <v>2013</v>
      </c>
      <c r="D784" t="s">
        <v>20</v>
      </c>
      <c r="E784" t="s">
        <v>39</v>
      </c>
      <c r="F784">
        <v>0</v>
      </c>
      <c r="G784">
        <v>0</v>
      </c>
      <c r="H784">
        <v>2</v>
      </c>
      <c r="I784" s="3">
        <v>4875.5600000000004</v>
      </c>
      <c r="J784" s="3">
        <v>0</v>
      </c>
      <c r="L784">
        <v>3316</v>
      </c>
      <c r="M784" t="s">
        <v>2011</v>
      </c>
      <c r="N784" t="s">
        <v>30</v>
      </c>
      <c r="O784" t="s">
        <v>31</v>
      </c>
      <c r="P784" t="str">
        <f>"15213"</f>
        <v>15213</v>
      </c>
    </row>
    <row r="785" spans="1:16" x14ac:dyDescent="0.25">
      <c r="A785" t="str">
        <f>"1040028R00129    00"</f>
        <v>1040028R00129    00</v>
      </c>
      <c r="B785" t="s">
        <v>2014</v>
      </c>
      <c r="C785" t="s">
        <v>2015</v>
      </c>
      <c r="D785" t="s">
        <v>20</v>
      </c>
      <c r="E785" t="s">
        <v>39</v>
      </c>
      <c r="F785">
        <v>0</v>
      </c>
      <c r="G785">
        <v>0</v>
      </c>
      <c r="H785">
        <v>3</v>
      </c>
      <c r="I785" s="3">
        <v>9394.7099999999991</v>
      </c>
      <c r="J785" s="3">
        <v>78.290000000000006</v>
      </c>
      <c r="K785" t="s">
        <v>2016</v>
      </c>
      <c r="L785">
        <v>1411</v>
      </c>
      <c r="M785" t="s">
        <v>2017</v>
      </c>
      <c r="N785" t="s">
        <v>30</v>
      </c>
      <c r="O785" t="s">
        <v>31</v>
      </c>
      <c r="P785" t="str">
        <f>"15205"</f>
        <v>15205</v>
      </c>
    </row>
    <row r="786" spans="1:16" x14ac:dyDescent="0.25">
      <c r="A786" t="str">
        <f>"1040028R00137    00"</f>
        <v>1040028R00137    00</v>
      </c>
      <c r="B786" t="s">
        <v>2018</v>
      </c>
      <c r="C786" t="s">
        <v>2019</v>
      </c>
      <c r="D786" t="s">
        <v>20</v>
      </c>
      <c r="E786" t="s">
        <v>39</v>
      </c>
      <c r="F786">
        <v>0</v>
      </c>
      <c r="G786">
        <v>0</v>
      </c>
      <c r="H786">
        <v>1</v>
      </c>
      <c r="I786" s="3">
        <v>1549.59</v>
      </c>
      <c r="J786" s="3">
        <v>0</v>
      </c>
      <c r="L786">
        <v>3310</v>
      </c>
      <c r="M786" t="s">
        <v>2020</v>
      </c>
      <c r="N786" t="s">
        <v>30</v>
      </c>
      <c r="O786" t="s">
        <v>31</v>
      </c>
      <c r="P786" t="str">
        <f>"15213"</f>
        <v>15213</v>
      </c>
    </row>
    <row r="787" spans="1:16" x14ac:dyDescent="0.25">
      <c r="A787" t="str">
        <f>"1040028R00187    00"</f>
        <v>1040028R00187    00</v>
      </c>
      <c r="B787" t="s">
        <v>2021</v>
      </c>
      <c r="C787" t="s">
        <v>2022</v>
      </c>
      <c r="D787" t="s">
        <v>20</v>
      </c>
      <c r="E787" t="s">
        <v>39</v>
      </c>
      <c r="F787">
        <v>0</v>
      </c>
      <c r="G787">
        <v>0</v>
      </c>
      <c r="H787">
        <v>1</v>
      </c>
      <c r="I787" s="3">
        <v>2763.7</v>
      </c>
      <c r="J787" s="3">
        <v>0</v>
      </c>
      <c r="K787" t="s">
        <v>1705</v>
      </c>
      <c r="L787">
        <v>3530</v>
      </c>
      <c r="M787" t="s">
        <v>1706</v>
      </c>
      <c r="N787" t="s">
        <v>1412</v>
      </c>
      <c r="O787" t="s">
        <v>1413</v>
      </c>
      <c r="P787" t="str">
        <f>"28277"</f>
        <v>28277</v>
      </c>
    </row>
    <row r="788" spans="1:16" x14ac:dyDescent="0.25">
      <c r="A788" t="str">
        <f>"1040028R00216    00"</f>
        <v>1040028R00216    00</v>
      </c>
      <c r="B788" t="s">
        <v>2023</v>
      </c>
      <c r="C788" t="s">
        <v>2024</v>
      </c>
      <c r="D788" t="s">
        <v>20</v>
      </c>
      <c r="E788" t="s">
        <v>39</v>
      </c>
      <c r="F788">
        <v>0</v>
      </c>
      <c r="G788">
        <v>0</v>
      </c>
      <c r="H788">
        <v>2</v>
      </c>
      <c r="I788" s="3">
        <v>1370.36</v>
      </c>
      <c r="J788" s="3">
        <v>0</v>
      </c>
      <c r="K788" t="s">
        <v>2025</v>
      </c>
      <c r="L788">
        <v>193</v>
      </c>
      <c r="M788" t="s">
        <v>2026</v>
      </c>
      <c r="N788" t="s">
        <v>30</v>
      </c>
      <c r="O788" t="s">
        <v>31</v>
      </c>
      <c r="P788" t="str">
        <f>"15241"</f>
        <v>15241</v>
      </c>
    </row>
    <row r="789" spans="1:16" x14ac:dyDescent="0.25">
      <c r="A789" t="str">
        <f>"1040028R00218    00"</f>
        <v>1040028R00218    00</v>
      </c>
      <c r="B789" t="s">
        <v>1909</v>
      </c>
      <c r="C789" t="s">
        <v>2027</v>
      </c>
      <c r="D789" t="s">
        <v>20</v>
      </c>
      <c r="E789" t="s">
        <v>39</v>
      </c>
      <c r="F789">
        <v>0</v>
      </c>
      <c r="G789">
        <v>0</v>
      </c>
      <c r="H789">
        <v>2</v>
      </c>
      <c r="I789" s="3">
        <v>4986.1400000000003</v>
      </c>
      <c r="J789" s="3">
        <v>0</v>
      </c>
      <c r="K789" t="s">
        <v>1483</v>
      </c>
      <c r="L789">
        <v>2333</v>
      </c>
      <c r="M789" t="s">
        <v>1484</v>
      </c>
      <c r="N789" t="s">
        <v>30</v>
      </c>
      <c r="O789" t="s">
        <v>31</v>
      </c>
      <c r="P789" t="str">
        <f>"15203"</f>
        <v>15203</v>
      </c>
    </row>
    <row r="790" spans="1:16" x14ac:dyDescent="0.25">
      <c r="A790" t="str">
        <f>"1040028R00232A   00"</f>
        <v>1040028R00232A   00</v>
      </c>
      <c r="B790" t="s">
        <v>1909</v>
      </c>
      <c r="C790" t="s">
        <v>2028</v>
      </c>
      <c r="D790" t="s">
        <v>20</v>
      </c>
      <c r="E790" t="s">
        <v>39</v>
      </c>
      <c r="F790">
        <v>0</v>
      </c>
      <c r="G790">
        <v>0</v>
      </c>
      <c r="H790">
        <v>2</v>
      </c>
      <c r="I790" s="3">
        <v>3747.22</v>
      </c>
      <c r="J790" s="3">
        <v>0</v>
      </c>
      <c r="K790" t="s">
        <v>1483</v>
      </c>
      <c r="L790">
        <v>2333</v>
      </c>
      <c r="M790" t="s">
        <v>1484</v>
      </c>
      <c r="N790" t="s">
        <v>30</v>
      </c>
      <c r="O790" t="s">
        <v>31</v>
      </c>
      <c r="P790" t="str">
        <f>"15203"</f>
        <v>15203</v>
      </c>
    </row>
    <row r="791" spans="1:16" x14ac:dyDescent="0.25">
      <c r="A791" t="str">
        <f>"1040028R00241    00"</f>
        <v>1040028R00241    00</v>
      </c>
      <c r="B791" t="s">
        <v>1909</v>
      </c>
      <c r="C791" t="s">
        <v>2029</v>
      </c>
      <c r="D791" t="s">
        <v>20</v>
      </c>
      <c r="E791" t="s">
        <v>39</v>
      </c>
      <c r="F791">
        <v>0</v>
      </c>
      <c r="G791">
        <v>0</v>
      </c>
      <c r="H791">
        <v>2</v>
      </c>
      <c r="I791" s="3">
        <v>1456.18</v>
      </c>
      <c r="J791" s="3">
        <v>0</v>
      </c>
      <c r="K791" t="s">
        <v>1483</v>
      </c>
      <c r="L791">
        <v>2333</v>
      </c>
      <c r="M791" t="s">
        <v>1484</v>
      </c>
      <c r="N791" t="s">
        <v>30</v>
      </c>
      <c r="O791" t="s">
        <v>31</v>
      </c>
      <c r="P791" t="str">
        <f>"15203"</f>
        <v>15203</v>
      </c>
    </row>
    <row r="792" spans="1:16" x14ac:dyDescent="0.25">
      <c r="A792" t="str">
        <f>"1040028S00040    00"</f>
        <v>1040028S00040    00</v>
      </c>
      <c r="B792" t="s">
        <v>1746</v>
      </c>
      <c r="C792" t="s">
        <v>2030</v>
      </c>
      <c r="E792" t="s">
        <v>39</v>
      </c>
      <c r="F792">
        <v>0</v>
      </c>
      <c r="G792">
        <v>0</v>
      </c>
      <c r="H792">
        <v>2</v>
      </c>
      <c r="I792" s="3">
        <v>6430.86</v>
      </c>
      <c r="J792" s="3">
        <v>0</v>
      </c>
      <c r="K792" t="s">
        <v>2031</v>
      </c>
      <c r="L792">
        <v>2200</v>
      </c>
      <c r="M792" t="s">
        <v>2032</v>
      </c>
      <c r="N792" t="s">
        <v>2033</v>
      </c>
      <c r="O792" t="s">
        <v>495</v>
      </c>
      <c r="P792" t="str">
        <f>"94608"</f>
        <v>94608</v>
      </c>
    </row>
    <row r="793" spans="1:16" x14ac:dyDescent="0.25">
      <c r="A793" t="str">
        <f>"1040028S00042    00"</f>
        <v>1040028S00042    00</v>
      </c>
      <c r="B793" t="s">
        <v>1746</v>
      </c>
      <c r="C793" t="s">
        <v>2034</v>
      </c>
      <c r="D793" t="s">
        <v>20</v>
      </c>
      <c r="E793" t="s">
        <v>39</v>
      </c>
      <c r="F793">
        <v>0</v>
      </c>
      <c r="G793">
        <v>0</v>
      </c>
      <c r="H793">
        <v>3</v>
      </c>
      <c r="I793" s="3">
        <v>9800.64</v>
      </c>
      <c r="J793" s="3">
        <v>81.67</v>
      </c>
      <c r="K793" t="s">
        <v>2031</v>
      </c>
      <c r="L793">
        <v>2100</v>
      </c>
      <c r="M793" t="s">
        <v>2035</v>
      </c>
      <c r="N793" t="s">
        <v>2033</v>
      </c>
      <c r="O793" t="s">
        <v>495</v>
      </c>
      <c r="P793" t="str">
        <f>"94608"</f>
        <v>94608</v>
      </c>
    </row>
    <row r="794" spans="1:16" x14ac:dyDescent="0.25">
      <c r="A794" t="str">
        <f>"1040028S00063    00"</f>
        <v>1040028S00063    00</v>
      </c>
      <c r="B794" t="s">
        <v>2036</v>
      </c>
      <c r="C794" t="s">
        <v>2037</v>
      </c>
      <c r="E794" t="s">
        <v>39</v>
      </c>
      <c r="F794">
        <v>0</v>
      </c>
      <c r="G794">
        <v>0</v>
      </c>
      <c r="H794">
        <v>1</v>
      </c>
      <c r="I794" s="3">
        <v>1719.95</v>
      </c>
      <c r="J794" s="3">
        <v>0</v>
      </c>
      <c r="L794">
        <v>159</v>
      </c>
      <c r="M794" t="s">
        <v>2038</v>
      </c>
      <c r="N794" t="s">
        <v>30</v>
      </c>
      <c r="O794" t="s">
        <v>31</v>
      </c>
      <c r="P794" t="str">
        <f>"15241"</f>
        <v>15241</v>
      </c>
    </row>
    <row r="795" spans="1:16" x14ac:dyDescent="0.25">
      <c r="A795" t="str">
        <f>"1040028S00072    00"</f>
        <v>1040028S00072    00</v>
      </c>
      <c r="B795" t="s">
        <v>2039</v>
      </c>
      <c r="C795" t="s">
        <v>2040</v>
      </c>
      <c r="E795" t="s">
        <v>39</v>
      </c>
      <c r="F795">
        <v>0</v>
      </c>
      <c r="G795">
        <v>0</v>
      </c>
      <c r="H795">
        <v>1</v>
      </c>
      <c r="I795" s="3">
        <v>895.82</v>
      </c>
      <c r="J795" s="3">
        <v>0</v>
      </c>
      <c r="K795" t="s">
        <v>2041</v>
      </c>
      <c r="L795">
        <v>224</v>
      </c>
      <c r="M795" t="s">
        <v>2042</v>
      </c>
      <c r="N795" t="s">
        <v>30</v>
      </c>
      <c r="O795" t="s">
        <v>31</v>
      </c>
      <c r="P795" t="str">
        <f>"15205"</f>
        <v>15205</v>
      </c>
    </row>
    <row r="796" spans="1:16" x14ac:dyDescent="0.25">
      <c r="A796" t="str">
        <f>"1040028S00079    00"</f>
        <v>1040028S00079    00</v>
      </c>
      <c r="B796" t="s">
        <v>2043</v>
      </c>
      <c r="C796" t="s">
        <v>2044</v>
      </c>
      <c r="D796" t="s">
        <v>20</v>
      </c>
      <c r="E796" t="s">
        <v>39</v>
      </c>
      <c r="F796">
        <v>0</v>
      </c>
      <c r="G796">
        <v>0</v>
      </c>
      <c r="H796">
        <v>1</v>
      </c>
      <c r="I796" s="3">
        <v>2595.9699999999998</v>
      </c>
      <c r="J796" s="3">
        <v>0</v>
      </c>
      <c r="L796">
        <v>3375</v>
      </c>
      <c r="M796" t="s">
        <v>1905</v>
      </c>
      <c r="N796" t="s">
        <v>30</v>
      </c>
      <c r="O796" t="s">
        <v>31</v>
      </c>
      <c r="P796" t="str">
        <f>"15213"</f>
        <v>15213</v>
      </c>
    </row>
    <row r="797" spans="1:16" x14ac:dyDescent="0.25">
      <c r="A797" t="str">
        <f>"1040028S00082L   00"</f>
        <v>1040028S00082L   00</v>
      </c>
      <c r="B797" t="s">
        <v>1419</v>
      </c>
      <c r="C797" t="s">
        <v>2045</v>
      </c>
      <c r="D797" t="s">
        <v>20</v>
      </c>
      <c r="E797" t="s">
        <v>39</v>
      </c>
      <c r="F797">
        <v>0</v>
      </c>
      <c r="G797">
        <v>0</v>
      </c>
      <c r="H797">
        <v>1</v>
      </c>
      <c r="I797" s="3">
        <v>385.01</v>
      </c>
      <c r="J797" s="3">
        <v>0</v>
      </c>
      <c r="K797" t="s">
        <v>1421</v>
      </c>
      <c r="L797">
        <v>294</v>
      </c>
      <c r="M797" t="s">
        <v>1422</v>
      </c>
      <c r="N797" t="s">
        <v>30</v>
      </c>
      <c r="O797" t="s">
        <v>31</v>
      </c>
      <c r="P797" t="str">
        <f>"15213"</f>
        <v>15213</v>
      </c>
    </row>
    <row r="798" spans="1:16" x14ac:dyDescent="0.25">
      <c r="A798" t="str">
        <f>"1040028S00096    00"</f>
        <v>1040028S00096    00</v>
      </c>
      <c r="B798" t="s">
        <v>2046</v>
      </c>
      <c r="C798" t="s">
        <v>2047</v>
      </c>
      <c r="D798" t="s">
        <v>20</v>
      </c>
      <c r="E798" t="s">
        <v>39</v>
      </c>
      <c r="F798">
        <v>0</v>
      </c>
      <c r="G798">
        <v>0</v>
      </c>
      <c r="H798">
        <v>1</v>
      </c>
      <c r="I798" s="3">
        <v>2091.36</v>
      </c>
      <c r="J798" s="3">
        <v>0</v>
      </c>
      <c r="L798">
        <v>3415</v>
      </c>
      <c r="M798" t="s">
        <v>1905</v>
      </c>
      <c r="N798" t="s">
        <v>30</v>
      </c>
      <c r="O798" t="s">
        <v>31</v>
      </c>
      <c r="P798" t="str">
        <f>"15213"</f>
        <v>15213</v>
      </c>
    </row>
    <row r="799" spans="1:16" x14ac:dyDescent="0.25">
      <c r="A799" t="str">
        <f>"1040028S00147    00"</f>
        <v>1040028S00147    00</v>
      </c>
      <c r="B799" t="s">
        <v>2048</v>
      </c>
      <c r="C799" t="s">
        <v>2049</v>
      </c>
      <c r="E799" t="s">
        <v>39</v>
      </c>
      <c r="F799">
        <v>0</v>
      </c>
      <c r="G799">
        <v>0</v>
      </c>
      <c r="H799">
        <v>1</v>
      </c>
      <c r="I799" s="3">
        <v>726.92</v>
      </c>
      <c r="J799" s="3">
        <v>0</v>
      </c>
      <c r="K799" t="s">
        <v>2050</v>
      </c>
      <c r="L799">
        <v>2546</v>
      </c>
      <c r="M799" t="s">
        <v>1695</v>
      </c>
      <c r="N799" t="s">
        <v>30</v>
      </c>
      <c r="O799" t="s">
        <v>31</v>
      </c>
      <c r="P799" t="str">
        <f>"15217"</f>
        <v>15217</v>
      </c>
    </row>
    <row r="800" spans="1:16" x14ac:dyDescent="0.25">
      <c r="A800" t="str">
        <f>"1040029B00020    00"</f>
        <v>1040029B00020    00</v>
      </c>
      <c r="B800" t="s">
        <v>2051</v>
      </c>
      <c r="C800" t="s">
        <v>2052</v>
      </c>
      <c r="D800" t="s">
        <v>20</v>
      </c>
      <c r="E800" t="s">
        <v>39</v>
      </c>
      <c r="F800">
        <v>0</v>
      </c>
      <c r="G800">
        <v>0</v>
      </c>
      <c r="H800">
        <v>7</v>
      </c>
      <c r="I800" s="3">
        <v>2936.31</v>
      </c>
      <c r="J800" s="3">
        <v>811.98</v>
      </c>
      <c r="L800">
        <v>408</v>
      </c>
      <c r="M800" t="s">
        <v>2053</v>
      </c>
      <c r="N800" t="s">
        <v>30</v>
      </c>
      <c r="O800" t="s">
        <v>31</v>
      </c>
      <c r="P800" t="str">
        <f>"15213"</f>
        <v>15213</v>
      </c>
    </row>
    <row r="801" spans="1:16" x14ac:dyDescent="0.25">
      <c r="A801" t="str">
        <f>"1040029B00022    00"</f>
        <v>1040029B00022    00</v>
      </c>
      <c r="B801" t="s">
        <v>2054</v>
      </c>
      <c r="C801" t="s">
        <v>2052</v>
      </c>
      <c r="D801" t="s">
        <v>20</v>
      </c>
      <c r="E801" t="s">
        <v>39</v>
      </c>
      <c r="F801">
        <v>0</v>
      </c>
      <c r="G801">
        <v>0</v>
      </c>
      <c r="H801">
        <v>7</v>
      </c>
      <c r="I801" s="3">
        <v>6834.85</v>
      </c>
      <c r="J801" s="3">
        <v>1938.13</v>
      </c>
      <c r="L801">
        <v>408</v>
      </c>
      <c r="M801" t="s">
        <v>2053</v>
      </c>
      <c r="N801" t="s">
        <v>30</v>
      </c>
      <c r="O801" t="s">
        <v>31</v>
      </c>
      <c r="P801" t="str">
        <f>"15213"</f>
        <v>15213</v>
      </c>
    </row>
    <row r="802" spans="1:16" x14ac:dyDescent="0.25">
      <c r="A802" t="str">
        <f>"1040029B00044    00"</f>
        <v>1040029B00044    00</v>
      </c>
      <c r="B802" t="s">
        <v>2055</v>
      </c>
      <c r="C802" t="s">
        <v>2056</v>
      </c>
      <c r="D802" t="s">
        <v>20</v>
      </c>
      <c r="E802" t="s">
        <v>39</v>
      </c>
      <c r="F802">
        <v>0</v>
      </c>
      <c r="G802">
        <v>0</v>
      </c>
      <c r="H802">
        <v>1</v>
      </c>
      <c r="I802" s="3">
        <v>2481.63</v>
      </c>
      <c r="J802" s="3">
        <v>0</v>
      </c>
      <c r="K802" t="s">
        <v>2057</v>
      </c>
      <c r="L802">
        <v>531</v>
      </c>
      <c r="M802" t="s">
        <v>2058</v>
      </c>
      <c r="N802" t="s">
        <v>2059</v>
      </c>
      <c r="O802" t="s">
        <v>31</v>
      </c>
      <c r="P802" t="str">
        <f>"15642"</f>
        <v>15642</v>
      </c>
    </row>
    <row r="803" spans="1:16" x14ac:dyDescent="0.25">
      <c r="A803" t="str">
        <f>"1040029B00045    00"</f>
        <v>1040029B00045    00</v>
      </c>
      <c r="B803" t="s">
        <v>2060</v>
      </c>
      <c r="C803" t="s">
        <v>2061</v>
      </c>
      <c r="D803" t="s">
        <v>20</v>
      </c>
      <c r="E803" t="s">
        <v>39</v>
      </c>
      <c r="F803">
        <v>0</v>
      </c>
      <c r="G803">
        <v>0</v>
      </c>
      <c r="H803">
        <v>4</v>
      </c>
      <c r="I803" s="3">
        <v>158.19999999999999</v>
      </c>
      <c r="J803" s="3">
        <v>19.760000000000002</v>
      </c>
      <c r="K803" t="s">
        <v>2062</v>
      </c>
      <c r="L803">
        <v>2</v>
      </c>
      <c r="M803" t="s">
        <v>2063</v>
      </c>
      <c r="N803" t="s">
        <v>30</v>
      </c>
      <c r="O803" t="s">
        <v>31</v>
      </c>
      <c r="P803" t="str">
        <f>"15213"</f>
        <v>15213</v>
      </c>
    </row>
    <row r="804" spans="1:16" x14ac:dyDescent="0.25">
      <c r="A804" t="str">
        <f>"1040029B00058    00"</f>
        <v>1040029B00058    00</v>
      </c>
      <c r="B804" t="s">
        <v>2064</v>
      </c>
      <c r="C804" t="s">
        <v>2065</v>
      </c>
      <c r="D804" t="s">
        <v>20</v>
      </c>
      <c r="E804" t="s">
        <v>39</v>
      </c>
      <c r="F804">
        <v>0</v>
      </c>
      <c r="G804">
        <v>0</v>
      </c>
      <c r="H804">
        <v>15</v>
      </c>
      <c r="I804" s="3">
        <v>8172.26</v>
      </c>
      <c r="J804" s="3">
        <v>7280.17</v>
      </c>
      <c r="L804">
        <v>170</v>
      </c>
      <c r="M804" t="s">
        <v>2066</v>
      </c>
      <c r="N804" t="s">
        <v>30</v>
      </c>
      <c r="O804" t="s">
        <v>31</v>
      </c>
      <c r="P804" t="str">
        <f>"15220"</f>
        <v>15220</v>
      </c>
    </row>
    <row r="805" spans="1:16" x14ac:dyDescent="0.25">
      <c r="A805" t="str">
        <f>"1040029B00123    00"</f>
        <v>1040029B00123    00</v>
      </c>
      <c r="B805" t="s">
        <v>2067</v>
      </c>
      <c r="C805" t="s">
        <v>2068</v>
      </c>
      <c r="E805" t="s">
        <v>39</v>
      </c>
      <c r="F805">
        <v>0</v>
      </c>
      <c r="G805">
        <v>0</v>
      </c>
      <c r="H805">
        <v>3</v>
      </c>
      <c r="I805" s="3">
        <v>2326.58</v>
      </c>
      <c r="J805" s="3">
        <v>3712.63</v>
      </c>
      <c r="L805">
        <v>3535</v>
      </c>
      <c r="M805" t="s">
        <v>2069</v>
      </c>
      <c r="N805" t="s">
        <v>30</v>
      </c>
      <c r="O805" t="s">
        <v>31</v>
      </c>
      <c r="P805" t="str">
        <f>"15213"</f>
        <v>15213</v>
      </c>
    </row>
    <row r="806" spans="1:16" x14ac:dyDescent="0.25">
      <c r="A806" t="str">
        <f>"1040029C00056    00"</f>
        <v>1040029C00056    00</v>
      </c>
      <c r="B806" t="s">
        <v>2070</v>
      </c>
      <c r="C806" t="s">
        <v>2071</v>
      </c>
      <c r="E806" t="s">
        <v>39</v>
      </c>
      <c r="F806">
        <v>0</v>
      </c>
      <c r="G806">
        <v>0</v>
      </c>
      <c r="H806">
        <v>2</v>
      </c>
      <c r="I806" s="3">
        <v>4158.92</v>
      </c>
      <c r="J806" s="3">
        <v>190.6</v>
      </c>
      <c r="K806" t="s">
        <v>2072</v>
      </c>
      <c r="L806">
        <v>2510</v>
      </c>
      <c r="M806" t="s">
        <v>2073</v>
      </c>
      <c r="N806" t="s">
        <v>1745</v>
      </c>
      <c r="O806" t="s">
        <v>495</v>
      </c>
      <c r="P806" t="str">
        <f>"92705"</f>
        <v>92705</v>
      </c>
    </row>
    <row r="807" spans="1:16" x14ac:dyDescent="0.25">
      <c r="A807" t="str">
        <f>"1040029C00057    00"</f>
        <v>1040029C00057    00</v>
      </c>
      <c r="B807" t="s">
        <v>2070</v>
      </c>
      <c r="C807" t="s">
        <v>2074</v>
      </c>
      <c r="E807" t="s">
        <v>39</v>
      </c>
      <c r="F807">
        <v>0</v>
      </c>
      <c r="G807">
        <v>0</v>
      </c>
      <c r="H807">
        <v>2</v>
      </c>
      <c r="I807" s="3">
        <v>5180.5200000000004</v>
      </c>
      <c r="J807" s="3">
        <v>64.75</v>
      </c>
      <c r="K807" t="s">
        <v>2072</v>
      </c>
      <c r="L807">
        <v>2510</v>
      </c>
      <c r="M807" t="s">
        <v>2073</v>
      </c>
      <c r="N807" t="s">
        <v>1745</v>
      </c>
      <c r="O807" t="s">
        <v>495</v>
      </c>
      <c r="P807" t="str">
        <f>"92705"</f>
        <v>92705</v>
      </c>
    </row>
    <row r="808" spans="1:16" x14ac:dyDescent="0.25">
      <c r="A808" t="str">
        <f>"1040029C00058    00"</f>
        <v>1040029C00058    00</v>
      </c>
      <c r="B808" t="s">
        <v>2070</v>
      </c>
      <c r="C808" t="s">
        <v>2075</v>
      </c>
      <c r="D808" t="s">
        <v>20</v>
      </c>
      <c r="E808" t="s">
        <v>39</v>
      </c>
      <c r="F808">
        <v>0</v>
      </c>
      <c r="G808">
        <v>0</v>
      </c>
      <c r="H808">
        <v>2</v>
      </c>
      <c r="I808" s="3">
        <v>228.72</v>
      </c>
      <c r="J808" s="3">
        <v>0</v>
      </c>
      <c r="K808" t="s">
        <v>2072</v>
      </c>
      <c r="L808">
        <v>2510</v>
      </c>
      <c r="M808" t="s">
        <v>2073</v>
      </c>
      <c r="N808" t="s">
        <v>1745</v>
      </c>
      <c r="O808" t="s">
        <v>495</v>
      </c>
      <c r="P808" t="str">
        <f>"92705"</f>
        <v>92705</v>
      </c>
    </row>
    <row r="809" spans="1:16" x14ac:dyDescent="0.25">
      <c r="A809" t="str">
        <f>"1040029C00064    00"</f>
        <v>1040029C00064    00</v>
      </c>
      <c r="B809" t="s">
        <v>2076</v>
      </c>
      <c r="C809" t="s">
        <v>2077</v>
      </c>
      <c r="D809" t="s">
        <v>20</v>
      </c>
      <c r="E809" t="s">
        <v>39</v>
      </c>
      <c r="F809">
        <v>0</v>
      </c>
      <c r="G809">
        <v>0</v>
      </c>
      <c r="H809">
        <v>3</v>
      </c>
      <c r="I809" s="3">
        <v>45.75</v>
      </c>
      <c r="J809" s="3">
        <v>3.05</v>
      </c>
      <c r="K809" t="s">
        <v>2078</v>
      </c>
      <c r="L809">
        <v>174</v>
      </c>
      <c r="M809" t="s">
        <v>2079</v>
      </c>
      <c r="N809" t="s">
        <v>30</v>
      </c>
      <c r="O809" t="s">
        <v>31</v>
      </c>
      <c r="P809" t="str">
        <f>"15207"</f>
        <v>15207</v>
      </c>
    </row>
    <row r="810" spans="1:16" x14ac:dyDescent="0.25">
      <c r="A810" t="str">
        <f>"1040029C00086000100"</f>
        <v>1040029C00086000100</v>
      </c>
      <c r="B810" t="s">
        <v>2080</v>
      </c>
      <c r="C810" t="s">
        <v>2081</v>
      </c>
      <c r="E810" t="s">
        <v>39</v>
      </c>
      <c r="F810">
        <v>0</v>
      </c>
      <c r="G810">
        <v>0</v>
      </c>
      <c r="H810">
        <v>2</v>
      </c>
      <c r="I810" s="3">
        <v>316.55</v>
      </c>
      <c r="J810" s="3">
        <v>8.57</v>
      </c>
      <c r="L810">
        <v>3231</v>
      </c>
      <c r="M810" t="s">
        <v>2082</v>
      </c>
      <c r="N810" t="s">
        <v>30</v>
      </c>
      <c r="O810" t="s">
        <v>31</v>
      </c>
      <c r="P810" t="str">
        <f>"15213"</f>
        <v>15213</v>
      </c>
    </row>
    <row r="811" spans="1:16" x14ac:dyDescent="0.25">
      <c r="A811" t="str">
        <f>"1040029C00086000200"</f>
        <v>1040029C00086000200</v>
      </c>
      <c r="B811" t="s">
        <v>2080</v>
      </c>
      <c r="C811" t="s">
        <v>2081</v>
      </c>
      <c r="E811" t="s">
        <v>39</v>
      </c>
      <c r="F811">
        <v>0</v>
      </c>
      <c r="G811">
        <v>0</v>
      </c>
      <c r="H811">
        <v>2</v>
      </c>
      <c r="I811" s="3">
        <v>472.68</v>
      </c>
      <c r="J811" s="3">
        <v>9.85</v>
      </c>
      <c r="L811">
        <v>3231</v>
      </c>
      <c r="M811" t="s">
        <v>2082</v>
      </c>
      <c r="N811" t="s">
        <v>30</v>
      </c>
      <c r="O811" t="s">
        <v>31</v>
      </c>
      <c r="P811" t="str">
        <f>"15213"</f>
        <v>15213</v>
      </c>
    </row>
    <row r="812" spans="1:16" x14ac:dyDescent="0.25">
      <c r="A812" t="str">
        <f>"1040029C00087    00"</f>
        <v>1040029C00087    00</v>
      </c>
      <c r="B812" t="s">
        <v>2080</v>
      </c>
      <c r="C812" t="s">
        <v>2083</v>
      </c>
      <c r="E812" t="s">
        <v>39</v>
      </c>
      <c r="F812">
        <v>0</v>
      </c>
      <c r="G812">
        <v>0</v>
      </c>
      <c r="H812">
        <v>4</v>
      </c>
      <c r="I812" s="3">
        <v>3832.49</v>
      </c>
      <c r="J812" s="3">
        <v>129.66999999999999</v>
      </c>
      <c r="L812">
        <v>3231</v>
      </c>
      <c r="M812" t="s">
        <v>2082</v>
      </c>
      <c r="N812" t="s">
        <v>30</v>
      </c>
      <c r="O812" t="s">
        <v>31</v>
      </c>
      <c r="P812" t="str">
        <f>"15213"</f>
        <v>15213</v>
      </c>
    </row>
    <row r="813" spans="1:16" x14ac:dyDescent="0.25">
      <c r="A813" t="str">
        <f>"1040029C00091    00"</f>
        <v>1040029C00091    00</v>
      </c>
      <c r="B813" t="s">
        <v>2084</v>
      </c>
      <c r="C813" t="s">
        <v>2081</v>
      </c>
      <c r="D813" t="s">
        <v>20</v>
      </c>
      <c r="E813" t="s">
        <v>39</v>
      </c>
      <c r="F813">
        <v>0</v>
      </c>
      <c r="G813">
        <v>0</v>
      </c>
      <c r="H813">
        <v>1</v>
      </c>
      <c r="I813" s="3">
        <v>430.76</v>
      </c>
      <c r="J813" s="3">
        <v>0</v>
      </c>
      <c r="K813" t="s">
        <v>2085</v>
      </c>
      <c r="L813">
        <v>5686</v>
      </c>
      <c r="M813" t="s">
        <v>2086</v>
      </c>
      <c r="N813" t="s">
        <v>30</v>
      </c>
      <c r="O813" t="s">
        <v>31</v>
      </c>
      <c r="P813" t="str">
        <f>"15217"</f>
        <v>15217</v>
      </c>
    </row>
    <row r="814" spans="1:16" x14ac:dyDescent="0.25">
      <c r="A814" t="str">
        <f>"1040029C00115    00"</f>
        <v>1040029C00115    00</v>
      </c>
      <c r="B814" t="s">
        <v>2087</v>
      </c>
      <c r="C814" t="s">
        <v>2088</v>
      </c>
      <c r="E814" t="s">
        <v>39</v>
      </c>
      <c r="F814">
        <v>0</v>
      </c>
      <c r="G814">
        <v>0</v>
      </c>
      <c r="H814">
        <v>2</v>
      </c>
      <c r="I814" s="3">
        <v>6133.51</v>
      </c>
      <c r="J814" s="3">
        <v>79</v>
      </c>
      <c r="K814" t="s">
        <v>728</v>
      </c>
      <c r="L814">
        <v>3001</v>
      </c>
      <c r="M814" t="s">
        <v>330</v>
      </c>
      <c r="N814" t="s">
        <v>331</v>
      </c>
      <c r="O814" t="s">
        <v>108</v>
      </c>
      <c r="P814" t="str">
        <f>"75063"</f>
        <v>75063</v>
      </c>
    </row>
    <row r="815" spans="1:16" x14ac:dyDescent="0.25">
      <c r="A815" t="str">
        <f>"1040029C00120A   00"</f>
        <v>1040029C00120A   00</v>
      </c>
      <c r="B815" t="s">
        <v>2089</v>
      </c>
      <c r="C815" t="s">
        <v>2090</v>
      </c>
      <c r="D815" t="s">
        <v>20</v>
      </c>
      <c r="E815" t="s">
        <v>39</v>
      </c>
      <c r="F815">
        <v>0</v>
      </c>
      <c r="G815">
        <v>0</v>
      </c>
      <c r="H815">
        <v>2</v>
      </c>
      <c r="I815" s="3">
        <v>787.66</v>
      </c>
      <c r="J815" s="3">
        <v>0</v>
      </c>
      <c r="L815">
        <v>3517</v>
      </c>
      <c r="M815" t="s">
        <v>2091</v>
      </c>
      <c r="N815" t="s">
        <v>30</v>
      </c>
      <c r="O815" t="s">
        <v>31</v>
      </c>
      <c r="P815" t="str">
        <f>"15213"</f>
        <v>15213</v>
      </c>
    </row>
    <row r="816" spans="1:16" x14ac:dyDescent="0.25">
      <c r="A816" t="str">
        <f>"1040029C00129    00"</f>
        <v>1040029C00129    00</v>
      </c>
      <c r="B816" t="s">
        <v>2092</v>
      </c>
      <c r="C816" t="s">
        <v>2093</v>
      </c>
      <c r="E816" t="s">
        <v>39</v>
      </c>
      <c r="F816">
        <v>0</v>
      </c>
      <c r="G816">
        <v>0</v>
      </c>
      <c r="H816">
        <v>1</v>
      </c>
      <c r="I816" s="3">
        <v>1283.28</v>
      </c>
      <c r="J816" s="3">
        <v>0</v>
      </c>
      <c r="K816" t="s">
        <v>1435</v>
      </c>
      <c r="M816" t="s">
        <v>271</v>
      </c>
      <c r="N816" t="s">
        <v>272</v>
      </c>
      <c r="O816" t="s">
        <v>273</v>
      </c>
      <c r="P816" t="str">
        <f>"29603"</f>
        <v>29603</v>
      </c>
    </row>
    <row r="817" spans="1:16" x14ac:dyDescent="0.25">
      <c r="A817" t="str">
        <f>"1040029C00168    00"</f>
        <v>1040029C00168    00</v>
      </c>
      <c r="B817" t="s">
        <v>2094</v>
      </c>
      <c r="C817" t="s">
        <v>2077</v>
      </c>
      <c r="D817" t="s">
        <v>20</v>
      </c>
      <c r="E817" t="s">
        <v>39</v>
      </c>
      <c r="F817">
        <v>0</v>
      </c>
      <c r="G817">
        <v>0</v>
      </c>
      <c r="H817">
        <v>17</v>
      </c>
      <c r="I817" s="3">
        <v>387.52</v>
      </c>
      <c r="J817" s="3">
        <v>476.25</v>
      </c>
      <c r="K817" t="s">
        <v>1037</v>
      </c>
      <c r="L817">
        <v>1310</v>
      </c>
      <c r="M817" t="s">
        <v>2095</v>
      </c>
      <c r="N817" t="s">
        <v>2096</v>
      </c>
      <c r="O817" t="s">
        <v>2097</v>
      </c>
      <c r="P817" t="str">
        <f>"37902"</f>
        <v>37902</v>
      </c>
    </row>
    <row r="818" spans="1:16" x14ac:dyDescent="0.25">
      <c r="A818" t="str">
        <f>"1040029C00218    00"</f>
        <v>1040029C00218    00</v>
      </c>
      <c r="B818" t="s">
        <v>2098</v>
      </c>
      <c r="C818" t="s">
        <v>2099</v>
      </c>
      <c r="E818" t="s">
        <v>39</v>
      </c>
      <c r="F818">
        <v>0</v>
      </c>
      <c r="G818">
        <v>0</v>
      </c>
      <c r="H818">
        <v>3</v>
      </c>
      <c r="I818" s="3">
        <v>1657.33</v>
      </c>
      <c r="J818" s="3">
        <v>447.86</v>
      </c>
      <c r="K818" t="s">
        <v>2100</v>
      </c>
      <c r="L818">
        <v>3243</v>
      </c>
      <c r="M818" t="s">
        <v>2011</v>
      </c>
      <c r="N818" t="s">
        <v>30</v>
      </c>
      <c r="O818" t="s">
        <v>31</v>
      </c>
      <c r="P818" t="str">
        <f>"15213"</f>
        <v>15213</v>
      </c>
    </row>
    <row r="819" spans="1:16" x14ac:dyDescent="0.25">
      <c r="A819" t="str">
        <f>"1040029C00220    00"</f>
        <v>1040029C00220    00</v>
      </c>
      <c r="B819" t="s">
        <v>2101</v>
      </c>
      <c r="C819" t="s">
        <v>2102</v>
      </c>
      <c r="D819" t="s">
        <v>20</v>
      </c>
      <c r="E819" t="s">
        <v>39</v>
      </c>
      <c r="F819">
        <v>0</v>
      </c>
      <c r="G819">
        <v>0</v>
      </c>
      <c r="H819">
        <v>5</v>
      </c>
      <c r="I819" s="3">
        <v>4248.49</v>
      </c>
      <c r="J819" s="3">
        <v>733.98</v>
      </c>
      <c r="L819">
        <v>3238</v>
      </c>
      <c r="M819" t="s">
        <v>2103</v>
      </c>
      <c r="N819" t="s">
        <v>30</v>
      </c>
      <c r="O819" t="s">
        <v>31</v>
      </c>
      <c r="P819" t="str">
        <f>"15213"</f>
        <v>15213</v>
      </c>
    </row>
    <row r="820" spans="1:16" x14ac:dyDescent="0.25">
      <c r="A820" t="str">
        <f>"1040029C00232    00"</f>
        <v>1040029C00232    00</v>
      </c>
      <c r="B820" t="s">
        <v>2104</v>
      </c>
      <c r="C820" t="s">
        <v>2105</v>
      </c>
      <c r="D820" t="s">
        <v>20</v>
      </c>
      <c r="E820" t="s">
        <v>39</v>
      </c>
      <c r="F820">
        <v>0</v>
      </c>
      <c r="G820">
        <v>0</v>
      </c>
      <c r="H820">
        <v>3</v>
      </c>
      <c r="I820" s="3">
        <v>5373.68</v>
      </c>
      <c r="J820" s="3">
        <v>370.07</v>
      </c>
      <c r="K820" t="s">
        <v>2106</v>
      </c>
      <c r="L820">
        <v>6053</v>
      </c>
      <c r="M820" t="s">
        <v>2107</v>
      </c>
      <c r="N820" t="s">
        <v>2108</v>
      </c>
      <c r="O820" t="s">
        <v>2109</v>
      </c>
      <c r="P820" t="str">
        <f>"84107"</f>
        <v>84107</v>
      </c>
    </row>
    <row r="821" spans="1:16" x14ac:dyDescent="0.25">
      <c r="A821" t="str">
        <f>"1040029C00238A   00"</f>
        <v>1040029C00238A   00</v>
      </c>
      <c r="B821" t="s">
        <v>2110</v>
      </c>
      <c r="C821" t="s">
        <v>2111</v>
      </c>
      <c r="D821" t="s">
        <v>20</v>
      </c>
      <c r="E821" t="s">
        <v>39</v>
      </c>
      <c r="F821">
        <v>0</v>
      </c>
      <c r="G821">
        <v>0</v>
      </c>
      <c r="H821">
        <v>5</v>
      </c>
      <c r="I821" s="3">
        <v>3541.87</v>
      </c>
      <c r="J821" s="3">
        <v>590.13</v>
      </c>
      <c r="K821" t="s">
        <v>2112</v>
      </c>
      <c r="L821">
        <v>3205</v>
      </c>
      <c r="M821" t="s">
        <v>2011</v>
      </c>
      <c r="N821" t="s">
        <v>30</v>
      </c>
      <c r="O821" t="s">
        <v>31</v>
      </c>
      <c r="P821" t="str">
        <f>"15213"</f>
        <v>15213</v>
      </c>
    </row>
    <row r="822" spans="1:16" x14ac:dyDescent="0.25">
      <c r="A822" t="str">
        <f>"1040029C00249A   00"</f>
        <v>1040029C00249A   00</v>
      </c>
      <c r="B822" t="s">
        <v>2113</v>
      </c>
      <c r="C822" t="s">
        <v>2114</v>
      </c>
      <c r="D822" t="s">
        <v>20</v>
      </c>
      <c r="E822" t="s">
        <v>39</v>
      </c>
      <c r="F822">
        <v>0</v>
      </c>
      <c r="G822">
        <v>0</v>
      </c>
      <c r="H822">
        <v>2</v>
      </c>
      <c r="I822" s="3">
        <v>1067.98</v>
      </c>
      <c r="J822" s="3">
        <v>0</v>
      </c>
      <c r="K822" t="s">
        <v>2115</v>
      </c>
      <c r="L822">
        <v>107</v>
      </c>
      <c r="M822" t="s">
        <v>2116</v>
      </c>
      <c r="N822" t="s">
        <v>30</v>
      </c>
      <c r="O822" t="s">
        <v>31</v>
      </c>
      <c r="P822" t="str">
        <f>"15213"</f>
        <v>15213</v>
      </c>
    </row>
    <row r="823" spans="1:16" x14ac:dyDescent="0.25">
      <c r="A823" t="str">
        <f>"1040029C00251    00"</f>
        <v>1040029C00251    00</v>
      </c>
      <c r="B823" t="s">
        <v>2117</v>
      </c>
      <c r="C823" t="s">
        <v>2118</v>
      </c>
      <c r="D823" t="s">
        <v>20</v>
      </c>
      <c r="E823" t="s">
        <v>39</v>
      </c>
      <c r="F823">
        <v>0</v>
      </c>
      <c r="G823">
        <v>0</v>
      </c>
      <c r="H823">
        <v>4</v>
      </c>
      <c r="I823" s="3">
        <v>22.68</v>
      </c>
      <c r="J823" s="3">
        <v>2.8</v>
      </c>
      <c r="L823">
        <v>226</v>
      </c>
      <c r="M823" t="s">
        <v>2119</v>
      </c>
      <c r="N823" t="s">
        <v>30</v>
      </c>
      <c r="O823" t="s">
        <v>31</v>
      </c>
      <c r="P823" t="str">
        <f>"15207"</f>
        <v>15207</v>
      </c>
    </row>
    <row r="824" spans="1:16" x14ac:dyDescent="0.25">
      <c r="A824" t="str">
        <f>"1040029C00251A   00"</f>
        <v>1040029C00251A   00</v>
      </c>
      <c r="B824" t="s">
        <v>2117</v>
      </c>
      <c r="C824" t="s">
        <v>2120</v>
      </c>
      <c r="D824" t="s">
        <v>20</v>
      </c>
      <c r="E824" t="s">
        <v>39</v>
      </c>
      <c r="F824">
        <v>0</v>
      </c>
      <c r="G824">
        <v>0</v>
      </c>
      <c r="H824">
        <v>6</v>
      </c>
      <c r="I824" s="3">
        <v>6145.64</v>
      </c>
      <c r="J824" s="3">
        <v>1378.33</v>
      </c>
      <c r="L824">
        <v>226</v>
      </c>
      <c r="M824" t="s">
        <v>2119</v>
      </c>
      <c r="N824" t="s">
        <v>30</v>
      </c>
      <c r="O824" t="s">
        <v>31</v>
      </c>
      <c r="P824" t="str">
        <f>"15207"</f>
        <v>15207</v>
      </c>
    </row>
    <row r="825" spans="1:16" x14ac:dyDescent="0.25">
      <c r="A825" t="str">
        <f>"1040029C00254A   00"</f>
        <v>1040029C00254A   00</v>
      </c>
      <c r="B825" t="s">
        <v>2121</v>
      </c>
      <c r="C825" t="s">
        <v>2122</v>
      </c>
      <c r="D825" t="s">
        <v>20</v>
      </c>
      <c r="E825" t="s">
        <v>39</v>
      </c>
      <c r="F825">
        <v>0</v>
      </c>
      <c r="G825">
        <v>0</v>
      </c>
      <c r="H825">
        <v>1</v>
      </c>
      <c r="I825" s="3">
        <v>336.3</v>
      </c>
      <c r="J825" s="3">
        <v>0</v>
      </c>
      <c r="K825" t="s">
        <v>2123</v>
      </c>
      <c r="L825">
        <v>113</v>
      </c>
      <c r="M825" t="s">
        <v>2116</v>
      </c>
      <c r="N825" t="s">
        <v>30</v>
      </c>
      <c r="O825" t="s">
        <v>31</v>
      </c>
      <c r="P825" t="str">
        <f>"15213"</f>
        <v>15213</v>
      </c>
    </row>
    <row r="826" spans="1:16" x14ac:dyDescent="0.25">
      <c r="A826" t="str">
        <f>"1040029C00261    00"</f>
        <v>1040029C00261    00</v>
      </c>
      <c r="B826" t="s">
        <v>2124</v>
      </c>
      <c r="C826" t="s">
        <v>2118</v>
      </c>
      <c r="D826" t="s">
        <v>20</v>
      </c>
      <c r="E826" t="s">
        <v>39</v>
      </c>
      <c r="F826">
        <v>0</v>
      </c>
      <c r="G826">
        <v>0</v>
      </c>
      <c r="H826">
        <v>6</v>
      </c>
      <c r="I826" s="3">
        <v>33.58</v>
      </c>
      <c r="J826" s="3">
        <v>9.84</v>
      </c>
      <c r="L826">
        <v>2251</v>
      </c>
      <c r="M826" t="s">
        <v>2125</v>
      </c>
      <c r="N826" t="s">
        <v>2126</v>
      </c>
      <c r="O826" t="s">
        <v>606</v>
      </c>
      <c r="P826" t="str">
        <f>"30236"</f>
        <v>30236</v>
      </c>
    </row>
    <row r="827" spans="1:16" x14ac:dyDescent="0.25">
      <c r="A827" t="str">
        <f>"1040029C00273000700"</f>
        <v>1040029C00273000700</v>
      </c>
      <c r="B827" t="s">
        <v>2127</v>
      </c>
      <c r="C827" t="s">
        <v>2128</v>
      </c>
      <c r="D827" t="s">
        <v>20</v>
      </c>
      <c r="E827" t="s">
        <v>39</v>
      </c>
      <c r="F827">
        <v>0</v>
      </c>
      <c r="G827">
        <v>0</v>
      </c>
      <c r="H827">
        <v>2</v>
      </c>
      <c r="I827" s="3">
        <v>2888.56</v>
      </c>
      <c r="J827" s="3">
        <v>0</v>
      </c>
      <c r="L827">
        <v>3266</v>
      </c>
      <c r="M827" t="s">
        <v>2129</v>
      </c>
      <c r="N827" t="s">
        <v>30</v>
      </c>
      <c r="O827" t="s">
        <v>31</v>
      </c>
      <c r="P827" t="str">
        <f>"15213"</f>
        <v>15213</v>
      </c>
    </row>
    <row r="828" spans="1:16" x14ac:dyDescent="0.25">
      <c r="A828" t="str">
        <f>"1040029C00275A   00"</f>
        <v>1040029C00275A   00</v>
      </c>
      <c r="B828" t="s">
        <v>2130</v>
      </c>
      <c r="C828" t="s">
        <v>2131</v>
      </c>
      <c r="D828" t="s">
        <v>20</v>
      </c>
      <c r="E828" t="s">
        <v>39</v>
      </c>
      <c r="F828">
        <v>0</v>
      </c>
      <c r="G828">
        <v>0</v>
      </c>
      <c r="H828">
        <v>5</v>
      </c>
      <c r="I828" s="3">
        <v>8273.52</v>
      </c>
      <c r="J828" s="3">
        <v>1235.1300000000001</v>
      </c>
      <c r="K828" t="s">
        <v>2132</v>
      </c>
      <c r="L828">
        <v>403</v>
      </c>
      <c r="M828" t="s">
        <v>2133</v>
      </c>
      <c r="N828" t="s">
        <v>30</v>
      </c>
      <c r="O828" t="s">
        <v>31</v>
      </c>
      <c r="P828" t="str">
        <f>"15241"</f>
        <v>15241</v>
      </c>
    </row>
    <row r="829" spans="1:16" x14ac:dyDescent="0.25">
      <c r="A829" t="str">
        <f>"1040029C00281    00"</f>
        <v>1040029C00281    00</v>
      </c>
      <c r="B829" t="s">
        <v>2134</v>
      </c>
      <c r="C829" t="s">
        <v>2135</v>
      </c>
      <c r="D829" t="s">
        <v>20</v>
      </c>
      <c r="E829" t="s">
        <v>39</v>
      </c>
      <c r="F829">
        <v>0</v>
      </c>
      <c r="G829">
        <v>0</v>
      </c>
      <c r="H829">
        <v>3</v>
      </c>
      <c r="I829" s="3">
        <v>3111.36</v>
      </c>
      <c r="J829" s="3">
        <v>490.7</v>
      </c>
      <c r="L829">
        <v>162</v>
      </c>
      <c r="M829" t="s">
        <v>2136</v>
      </c>
      <c r="N829" t="s">
        <v>30</v>
      </c>
      <c r="O829" t="s">
        <v>31</v>
      </c>
      <c r="P829" t="str">
        <f>"15228"</f>
        <v>15228</v>
      </c>
    </row>
    <row r="830" spans="1:16" x14ac:dyDescent="0.25">
      <c r="A830" t="str">
        <f>"1040029C00293    00"</f>
        <v>1040029C00293    00</v>
      </c>
      <c r="B830" t="s">
        <v>2137</v>
      </c>
      <c r="C830" t="s">
        <v>2138</v>
      </c>
      <c r="E830" t="s">
        <v>39</v>
      </c>
      <c r="F830">
        <v>0</v>
      </c>
      <c r="G830">
        <v>0</v>
      </c>
      <c r="H830">
        <v>1</v>
      </c>
      <c r="I830" s="3">
        <v>862.73</v>
      </c>
      <c r="J830" s="3">
        <v>1509.72</v>
      </c>
      <c r="M830" t="s">
        <v>2139</v>
      </c>
      <c r="N830" t="s">
        <v>199</v>
      </c>
      <c r="O830" t="s">
        <v>200</v>
      </c>
      <c r="P830" t="str">
        <f>"10101"</f>
        <v>10101</v>
      </c>
    </row>
    <row r="831" spans="1:16" x14ac:dyDescent="0.25">
      <c r="A831" t="str">
        <f>"1040029C00302    00"</f>
        <v>1040029C00302    00</v>
      </c>
      <c r="B831" t="s">
        <v>2140</v>
      </c>
      <c r="C831" t="s">
        <v>2141</v>
      </c>
      <c r="D831" t="s">
        <v>20</v>
      </c>
      <c r="E831" t="s">
        <v>39</v>
      </c>
      <c r="F831">
        <v>0</v>
      </c>
      <c r="G831">
        <v>0</v>
      </c>
      <c r="H831">
        <v>3</v>
      </c>
      <c r="I831" s="3">
        <v>3070.59</v>
      </c>
      <c r="J831" s="3">
        <v>204.7</v>
      </c>
      <c r="L831">
        <v>760</v>
      </c>
      <c r="M831" t="s">
        <v>1944</v>
      </c>
      <c r="N831" t="s">
        <v>295</v>
      </c>
      <c r="O831" t="s">
        <v>31</v>
      </c>
      <c r="P831" t="str">
        <f>"15146"</f>
        <v>15146</v>
      </c>
    </row>
    <row r="832" spans="1:16" x14ac:dyDescent="0.25">
      <c r="A832" t="str">
        <f>"1040029C00309    00"</f>
        <v>1040029C00309    00</v>
      </c>
      <c r="B832" t="s">
        <v>2142</v>
      </c>
      <c r="C832" t="s">
        <v>2143</v>
      </c>
      <c r="E832" t="s">
        <v>39</v>
      </c>
      <c r="F832">
        <v>0</v>
      </c>
      <c r="G832">
        <v>0</v>
      </c>
      <c r="H832">
        <v>2</v>
      </c>
      <c r="I832" s="3">
        <v>5260.56</v>
      </c>
      <c r="J832" s="3">
        <v>263.01</v>
      </c>
      <c r="L832">
        <v>1862</v>
      </c>
      <c r="M832" t="s">
        <v>2144</v>
      </c>
      <c r="N832" t="s">
        <v>30</v>
      </c>
      <c r="O832" t="s">
        <v>31</v>
      </c>
      <c r="P832" t="str">
        <f>"15217"</f>
        <v>15217</v>
      </c>
    </row>
    <row r="833" spans="1:16" x14ac:dyDescent="0.25">
      <c r="A833" t="str">
        <f>"1040029C00312    00"</f>
        <v>1040029C00312    00</v>
      </c>
      <c r="B833" t="s">
        <v>2145</v>
      </c>
      <c r="C833" t="s">
        <v>2146</v>
      </c>
      <c r="D833" t="s">
        <v>20</v>
      </c>
      <c r="E833" t="s">
        <v>39</v>
      </c>
      <c r="F833">
        <v>0</v>
      </c>
      <c r="G833">
        <v>0</v>
      </c>
      <c r="H833">
        <v>3</v>
      </c>
      <c r="I833" s="3">
        <v>4561.7700000000004</v>
      </c>
      <c r="J833" s="3">
        <v>719.45</v>
      </c>
      <c r="K833" t="s">
        <v>2147</v>
      </c>
      <c r="L833">
        <v>162</v>
      </c>
      <c r="M833" t="s">
        <v>2136</v>
      </c>
      <c r="N833" t="s">
        <v>30</v>
      </c>
      <c r="O833" t="s">
        <v>31</v>
      </c>
      <c r="P833" t="str">
        <f>"15228"</f>
        <v>15228</v>
      </c>
    </row>
    <row r="834" spans="1:16" x14ac:dyDescent="0.25">
      <c r="A834" t="str">
        <f>"1040029C00336    00"</f>
        <v>1040029C00336    00</v>
      </c>
      <c r="B834" t="s">
        <v>2148</v>
      </c>
      <c r="C834" t="s">
        <v>2149</v>
      </c>
      <c r="D834" t="s">
        <v>20</v>
      </c>
      <c r="E834" t="s">
        <v>39</v>
      </c>
      <c r="F834">
        <v>0</v>
      </c>
      <c r="G834">
        <v>0</v>
      </c>
      <c r="H834">
        <v>4</v>
      </c>
      <c r="I834" s="3">
        <v>1264.06</v>
      </c>
      <c r="J834" s="3">
        <v>163.80000000000001</v>
      </c>
      <c r="L834">
        <v>16</v>
      </c>
      <c r="M834" t="s">
        <v>2150</v>
      </c>
      <c r="N834" t="s">
        <v>30</v>
      </c>
      <c r="O834" t="s">
        <v>31</v>
      </c>
      <c r="P834" t="str">
        <f>"15213"</f>
        <v>15213</v>
      </c>
    </row>
    <row r="835" spans="1:16" x14ac:dyDescent="0.25">
      <c r="A835" t="str">
        <f>"1040029C00362    00"</f>
        <v>1040029C00362    00</v>
      </c>
      <c r="B835" t="s">
        <v>1703</v>
      </c>
      <c r="C835" t="s">
        <v>2151</v>
      </c>
      <c r="D835" t="s">
        <v>20</v>
      </c>
      <c r="E835" t="s">
        <v>39</v>
      </c>
      <c r="F835">
        <v>0</v>
      </c>
      <c r="G835">
        <v>0</v>
      </c>
      <c r="H835">
        <v>1</v>
      </c>
      <c r="I835" s="3">
        <v>1875.5</v>
      </c>
      <c r="J835" s="3">
        <v>0</v>
      </c>
      <c r="K835" t="s">
        <v>1705</v>
      </c>
      <c r="L835">
        <v>3530</v>
      </c>
      <c r="M835" t="s">
        <v>1706</v>
      </c>
      <c r="N835" t="s">
        <v>1412</v>
      </c>
      <c r="O835" t="s">
        <v>1413</v>
      </c>
      <c r="P835" t="str">
        <f>"28277"</f>
        <v>28277</v>
      </c>
    </row>
    <row r="836" spans="1:16" x14ac:dyDescent="0.25">
      <c r="A836" t="str">
        <f>"1040029C00364    00"</f>
        <v>1040029C00364    00</v>
      </c>
      <c r="B836" t="s">
        <v>2152</v>
      </c>
      <c r="C836" t="s">
        <v>2153</v>
      </c>
      <c r="D836" t="s">
        <v>20</v>
      </c>
      <c r="E836" t="s">
        <v>39</v>
      </c>
      <c r="F836">
        <v>0</v>
      </c>
      <c r="G836">
        <v>0</v>
      </c>
      <c r="H836">
        <v>5</v>
      </c>
      <c r="I836" s="3">
        <v>5522.49</v>
      </c>
      <c r="J836" s="3">
        <v>1130.72</v>
      </c>
      <c r="L836">
        <v>3233</v>
      </c>
      <c r="M836" t="s">
        <v>2154</v>
      </c>
      <c r="N836" t="s">
        <v>30</v>
      </c>
      <c r="O836" t="s">
        <v>31</v>
      </c>
      <c r="P836" t="str">
        <f>"15213"</f>
        <v>15213</v>
      </c>
    </row>
    <row r="837" spans="1:16" x14ac:dyDescent="0.25">
      <c r="A837" t="str">
        <f>"1040029C00368    00"</f>
        <v>1040029C00368    00</v>
      </c>
      <c r="B837" t="s">
        <v>2155</v>
      </c>
      <c r="C837" t="s">
        <v>2156</v>
      </c>
      <c r="D837" t="s">
        <v>20</v>
      </c>
      <c r="E837" t="s">
        <v>39</v>
      </c>
      <c r="F837">
        <v>0</v>
      </c>
      <c r="G837">
        <v>0</v>
      </c>
      <c r="H837">
        <v>1</v>
      </c>
      <c r="I837" s="3">
        <v>527.33000000000004</v>
      </c>
      <c r="J837" s="3">
        <v>0</v>
      </c>
      <c r="L837">
        <v>3333</v>
      </c>
      <c r="M837" t="s">
        <v>2157</v>
      </c>
      <c r="N837" t="s">
        <v>30</v>
      </c>
      <c r="O837" t="s">
        <v>31</v>
      </c>
      <c r="P837" t="str">
        <f>"15213"</f>
        <v>15213</v>
      </c>
    </row>
    <row r="838" spans="1:16" x14ac:dyDescent="0.25">
      <c r="A838" t="str">
        <f>"1040029D00064    00"</f>
        <v>1040029D00064    00</v>
      </c>
      <c r="B838" t="s">
        <v>2158</v>
      </c>
      <c r="C838" t="s">
        <v>2159</v>
      </c>
      <c r="D838" t="s">
        <v>20</v>
      </c>
      <c r="E838" t="s">
        <v>39</v>
      </c>
      <c r="F838">
        <v>0</v>
      </c>
      <c r="G838">
        <v>0</v>
      </c>
      <c r="H838">
        <v>2</v>
      </c>
      <c r="I838" s="3">
        <v>1886.96</v>
      </c>
      <c r="J838" s="3">
        <v>0</v>
      </c>
      <c r="K838" t="s">
        <v>2160</v>
      </c>
      <c r="L838">
        <v>5867</v>
      </c>
      <c r="M838" t="s">
        <v>2161</v>
      </c>
      <c r="N838" t="s">
        <v>30</v>
      </c>
      <c r="O838" t="s">
        <v>31</v>
      </c>
      <c r="P838" t="str">
        <f>"15217"</f>
        <v>15217</v>
      </c>
    </row>
    <row r="839" spans="1:16" x14ac:dyDescent="0.25">
      <c r="A839" t="str">
        <f>"1040029D00066    00"</f>
        <v>1040029D00066    00</v>
      </c>
      <c r="B839" t="s">
        <v>2162</v>
      </c>
      <c r="C839" t="s">
        <v>2163</v>
      </c>
      <c r="E839" t="s">
        <v>39</v>
      </c>
      <c r="F839">
        <v>0</v>
      </c>
      <c r="G839">
        <v>0</v>
      </c>
      <c r="H839">
        <v>1</v>
      </c>
      <c r="I839" s="3">
        <v>324.38</v>
      </c>
      <c r="J839" s="3">
        <v>0</v>
      </c>
      <c r="K839" t="s">
        <v>2164</v>
      </c>
      <c r="L839">
        <v>3321</v>
      </c>
      <c r="M839" t="s">
        <v>1905</v>
      </c>
      <c r="N839" t="s">
        <v>30</v>
      </c>
      <c r="O839" t="s">
        <v>31</v>
      </c>
      <c r="P839" t="str">
        <f>"15213"</f>
        <v>15213</v>
      </c>
    </row>
    <row r="840" spans="1:16" x14ac:dyDescent="0.25">
      <c r="A840" t="str">
        <f>"1040029D00072    01"</f>
        <v>1040029D00072    01</v>
      </c>
      <c r="B840" t="s">
        <v>2165</v>
      </c>
      <c r="C840" t="s">
        <v>2166</v>
      </c>
      <c r="D840" t="s">
        <v>20</v>
      </c>
      <c r="E840" t="s">
        <v>39</v>
      </c>
      <c r="F840">
        <v>0</v>
      </c>
      <c r="G840">
        <v>0</v>
      </c>
      <c r="H840">
        <v>3</v>
      </c>
      <c r="I840" s="3">
        <v>2731.37</v>
      </c>
      <c r="J840" s="3">
        <v>221.85</v>
      </c>
      <c r="K840" t="s">
        <v>1802</v>
      </c>
      <c r="L840">
        <v>901</v>
      </c>
      <c r="M840" t="s">
        <v>1503</v>
      </c>
      <c r="N840" t="s">
        <v>494</v>
      </c>
      <c r="O840" t="s">
        <v>495</v>
      </c>
      <c r="P840" t="str">
        <f>"91768"</f>
        <v>91768</v>
      </c>
    </row>
    <row r="841" spans="1:16" x14ac:dyDescent="0.25">
      <c r="A841" t="str">
        <f>"1040029D00133    00"</f>
        <v>1040029D00133    00</v>
      </c>
      <c r="B841" t="s">
        <v>2167</v>
      </c>
      <c r="C841" t="s">
        <v>2168</v>
      </c>
      <c r="E841" t="s">
        <v>39</v>
      </c>
      <c r="F841">
        <v>0</v>
      </c>
      <c r="G841">
        <v>0</v>
      </c>
      <c r="H841">
        <v>1</v>
      </c>
      <c r="I841" s="3">
        <v>793.79</v>
      </c>
      <c r="J841" s="3">
        <v>0</v>
      </c>
      <c r="L841">
        <v>558</v>
      </c>
      <c r="M841" t="s">
        <v>2169</v>
      </c>
      <c r="N841" t="s">
        <v>2170</v>
      </c>
      <c r="O841" t="s">
        <v>2171</v>
      </c>
      <c r="P841" t="str">
        <f>"87505"</f>
        <v>87505</v>
      </c>
    </row>
    <row r="842" spans="1:16" x14ac:dyDescent="0.25">
      <c r="A842" t="str">
        <f>"1040029D00148    00"</f>
        <v>1040029D00148    00</v>
      </c>
      <c r="B842" t="s">
        <v>2172</v>
      </c>
      <c r="C842" t="s">
        <v>2173</v>
      </c>
      <c r="D842" t="s">
        <v>20</v>
      </c>
      <c r="E842" t="s">
        <v>39</v>
      </c>
      <c r="F842">
        <v>0</v>
      </c>
      <c r="G842">
        <v>0</v>
      </c>
      <c r="H842">
        <v>17</v>
      </c>
      <c r="I842" s="3">
        <v>12043.06</v>
      </c>
      <c r="J842" s="3">
        <v>8770.51</v>
      </c>
      <c r="K842" t="s">
        <v>2174</v>
      </c>
      <c r="L842">
        <v>2181</v>
      </c>
      <c r="M842" t="s">
        <v>2175</v>
      </c>
      <c r="N842" t="s">
        <v>2176</v>
      </c>
      <c r="O842" t="s">
        <v>273</v>
      </c>
      <c r="P842" t="str">
        <f>"29575"</f>
        <v>29575</v>
      </c>
    </row>
    <row r="843" spans="1:16" x14ac:dyDescent="0.25">
      <c r="A843" t="str">
        <f>"1040029G00008    00"</f>
        <v>1040029G00008    00</v>
      </c>
      <c r="B843" t="s">
        <v>2177</v>
      </c>
      <c r="C843" t="s">
        <v>2178</v>
      </c>
      <c r="E843" t="s">
        <v>39</v>
      </c>
      <c r="F843">
        <v>0</v>
      </c>
      <c r="G843">
        <v>0</v>
      </c>
      <c r="H843">
        <v>3</v>
      </c>
      <c r="I843" s="3">
        <v>1737.9</v>
      </c>
      <c r="J843" s="3">
        <v>178.29</v>
      </c>
      <c r="L843">
        <v>408</v>
      </c>
      <c r="M843" t="s">
        <v>2179</v>
      </c>
      <c r="N843" t="s">
        <v>30</v>
      </c>
      <c r="O843" t="s">
        <v>31</v>
      </c>
      <c r="P843" t="str">
        <f>"15221"</f>
        <v>15221</v>
      </c>
    </row>
    <row r="844" spans="1:16" x14ac:dyDescent="0.25">
      <c r="A844" t="str">
        <f>"1040029G00015    00"</f>
        <v>1040029G00015    00</v>
      </c>
      <c r="B844" t="s">
        <v>2180</v>
      </c>
      <c r="C844" t="s">
        <v>2181</v>
      </c>
      <c r="D844" t="s">
        <v>20</v>
      </c>
      <c r="E844" t="s">
        <v>39</v>
      </c>
      <c r="F844">
        <v>0</v>
      </c>
      <c r="G844">
        <v>0</v>
      </c>
      <c r="H844">
        <v>11</v>
      </c>
      <c r="I844" s="3">
        <v>10069.290000000001</v>
      </c>
      <c r="J844" s="3">
        <v>4805.74</v>
      </c>
      <c r="L844">
        <v>3131</v>
      </c>
      <c r="M844" t="s">
        <v>2182</v>
      </c>
      <c r="N844" t="s">
        <v>30</v>
      </c>
      <c r="O844" t="s">
        <v>31</v>
      </c>
      <c r="P844" t="str">
        <f>"15213"</f>
        <v>15213</v>
      </c>
    </row>
    <row r="845" spans="1:16" x14ac:dyDescent="0.25">
      <c r="A845" t="str">
        <f>"1040029G00017    00"</f>
        <v>1040029G00017    00</v>
      </c>
      <c r="B845" t="s">
        <v>2183</v>
      </c>
      <c r="C845" t="s">
        <v>2184</v>
      </c>
      <c r="D845" t="s">
        <v>20</v>
      </c>
      <c r="E845" t="s">
        <v>39</v>
      </c>
      <c r="F845">
        <v>0</v>
      </c>
      <c r="G845">
        <v>0</v>
      </c>
      <c r="H845">
        <v>11</v>
      </c>
      <c r="I845" s="3">
        <v>10028.780000000001</v>
      </c>
      <c r="J845" s="3">
        <v>4786.38</v>
      </c>
      <c r="P845" t="str">
        <f>""</f>
        <v/>
      </c>
    </row>
    <row r="846" spans="1:16" x14ac:dyDescent="0.25">
      <c r="A846" t="str">
        <f>"1040029G00018    00"</f>
        <v>1040029G00018    00</v>
      </c>
      <c r="B846" t="s">
        <v>2185</v>
      </c>
      <c r="C846" t="s">
        <v>2178</v>
      </c>
      <c r="D846" t="s">
        <v>20</v>
      </c>
      <c r="E846" t="s">
        <v>39</v>
      </c>
      <c r="F846">
        <v>0</v>
      </c>
      <c r="G846">
        <v>0</v>
      </c>
      <c r="H846">
        <v>12</v>
      </c>
      <c r="I846" s="3">
        <v>9902.7000000000007</v>
      </c>
      <c r="J846" s="3">
        <v>5208.93</v>
      </c>
      <c r="L846">
        <v>1148</v>
      </c>
      <c r="M846" t="s">
        <v>2186</v>
      </c>
      <c r="N846" t="s">
        <v>2187</v>
      </c>
      <c r="O846" t="s">
        <v>31</v>
      </c>
      <c r="P846" t="str">
        <f>"15133"</f>
        <v>15133</v>
      </c>
    </row>
    <row r="847" spans="1:16" x14ac:dyDescent="0.25">
      <c r="A847" t="str">
        <f>"1040029G00020    00"</f>
        <v>1040029G00020    00</v>
      </c>
      <c r="B847" t="s">
        <v>2188</v>
      </c>
      <c r="C847" t="s">
        <v>2178</v>
      </c>
      <c r="D847" t="s">
        <v>20</v>
      </c>
      <c r="E847" t="s">
        <v>39</v>
      </c>
      <c r="F847">
        <v>0</v>
      </c>
      <c r="G847">
        <v>0</v>
      </c>
      <c r="H847">
        <v>7</v>
      </c>
      <c r="I847" s="3">
        <v>2660.07</v>
      </c>
      <c r="J847" s="3">
        <v>814.61</v>
      </c>
      <c r="K847" t="s">
        <v>2189</v>
      </c>
      <c r="L847">
        <v>3154</v>
      </c>
      <c r="M847" t="s">
        <v>2182</v>
      </c>
      <c r="N847" t="s">
        <v>30</v>
      </c>
      <c r="O847" t="s">
        <v>31</v>
      </c>
      <c r="P847" t="str">
        <f>"15213"</f>
        <v>15213</v>
      </c>
    </row>
    <row r="848" spans="1:16" x14ac:dyDescent="0.25">
      <c r="A848" t="str">
        <f>"1040029G00023    00"</f>
        <v>1040029G00023    00</v>
      </c>
      <c r="B848" t="s">
        <v>2190</v>
      </c>
      <c r="C848" t="s">
        <v>2191</v>
      </c>
      <c r="D848" t="s">
        <v>20</v>
      </c>
      <c r="E848" t="s">
        <v>39</v>
      </c>
      <c r="F848">
        <v>0</v>
      </c>
      <c r="G848">
        <v>0</v>
      </c>
      <c r="H848">
        <v>8</v>
      </c>
      <c r="I848" s="3">
        <v>6120.96</v>
      </c>
      <c r="J848" s="3">
        <v>467.51</v>
      </c>
      <c r="K848" t="s">
        <v>2189</v>
      </c>
      <c r="L848">
        <v>3154</v>
      </c>
      <c r="M848" t="s">
        <v>2182</v>
      </c>
      <c r="N848" t="s">
        <v>30</v>
      </c>
      <c r="O848" t="s">
        <v>31</v>
      </c>
      <c r="P848" t="str">
        <f>"15213"</f>
        <v>15213</v>
      </c>
    </row>
    <row r="849" spans="1:16" x14ac:dyDescent="0.25">
      <c r="A849" t="str">
        <f>"1040029G00026    00"</f>
        <v>1040029G00026    00</v>
      </c>
      <c r="B849" t="s">
        <v>2192</v>
      </c>
      <c r="C849" t="s">
        <v>2193</v>
      </c>
      <c r="D849" t="s">
        <v>20</v>
      </c>
      <c r="E849" t="s">
        <v>39</v>
      </c>
      <c r="F849">
        <v>0</v>
      </c>
      <c r="G849">
        <v>0</v>
      </c>
      <c r="H849">
        <v>6</v>
      </c>
      <c r="I849" s="3">
        <v>7036.63</v>
      </c>
      <c r="J849" s="3">
        <v>1374.12</v>
      </c>
      <c r="K849" t="s">
        <v>1351</v>
      </c>
      <c r="L849">
        <v>422</v>
      </c>
      <c r="M849" t="s">
        <v>1352</v>
      </c>
      <c r="N849" t="s">
        <v>1353</v>
      </c>
      <c r="O849" t="s">
        <v>31</v>
      </c>
      <c r="P849" t="str">
        <f>"15085"</f>
        <v>15085</v>
      </c>
    </row>
    <row r="850" spans="1:16" x14ac:dyDescent="0.25">
      <c r="A850" t="str">
        <f>"1040029G00164    00"</f>
        <v>1040029G00164    00</v>
      </c>
      <c r="B850" t="s">
        <v>2194</v>
      </c>
      <c r="C850" t="s">
        <v>2195</v>
      </c>
      <c r="E850" t="s">
        <v>39</v>
      </c>
      <c r="F850">
        <v>0</v>
      </c>
      <c r="G850">
        <v>0</v>
      </c>
      <c r="H850">
        <v>2</v>
      </c>
      <c r="I850" s="3">
        <v>1500.26</v>
      </c>
      <c r="J850" s="3">
        <v>134.57</v>
      </c>
      <c r="K850" t="s">
        <v>2196</v>
      </c>
      <c r="L850">
        <v>815</v>
      </c>
      <c r="M850" t="s">
        <v>585</v>
      </c>
      <c r="N850" t="s">
        <v>30</v>
      </c>
      <c r="O850" t="s">
        <v>31</v>
      </c>
      <c r="P850" t="str">
        <f>"15221"</f>
        <v>15221</v>
      </c>
    </row>
    <row r="851" spans="1:16" x14ac:dyDescent="0.25">
      <c r="A851" t="str">
        <f>"1040029G00186    00"</f>
        <v>1040029G00186    00</v>
      </c>
      <c r="B851" t="s">
        <v>2197</v>
      </c>
      <c r="C851" t="s">
        <v>2198</v>
      </c>
      <c r="E851" t="s">
        <v>39</v>
      </c>
      <c r="F851">
        <v>0</v>
      </c>
      <c r="G851">
        <v>0</v>
      </c>
      <c r="H851">
        <v>1</v>
      </c>
      <c r="I851" s="3">
        <v>99.56</v>
      </c>
      <c r="J851" s="3">
        <v>0</v>
      </c>
      <c r="L851">
        <v>1211</v>
      </c>
      <c r="M851" t="s">
        <v>2199</v>
      </c>
      <c r="N851" t="s">
        <v>30</v>
      </c>
      <c r="O851" t="s">
        <v>31</v>
      </c>
      <c r="P851" t="str">
        <f>"15218"</f>
        <v>15218</v>
      </c>
    </row>
    <row r="852" spans="1:16" x14ac:dyDescent="0.25">
      <c r="A852" t="str">
        <f>"1040029G00187    00"</f>
        <v>1040029G00187    00</v>
      </c>
      <c r="B852" t="s">
        <v>2197</v>
      </c>
      <c r="C852" t="s">
        <v>2200</v>
      </c>
      <c r="E852" t="s">
        <v>39</v>
      </c>
      <c r="F852">
        <v>0</v>
      </c>
      <c r="G852">
        <v>0</v>
      </c>
      <c r="H852">
        <v>1</v>
      </c>
      <c r="I852" s="3">
        <v>697.75</v>
      </c>
      <c r="J852" s="3">
        <v>0</v>
      </c>
      <c r="L852">
        <v>1211</v>
      </c>
      <c r="M852" t="s">
        <v>2199</v>
      </c>
      <c r="N852" t="s">
        <v>30</v>
      </c>
      <c r="O852" t="s">
        <v>31</v>
      </c>
      <c r="P852" t="str">
        <f>"15218"</f>
        <v>15218</v>
      </c>
    </row>
    <row r="853" spans="1:16" x14ac:dyDescent="0.25">
      <c r="A853" t="str">
        <f>"1040029G00188    00"</f>
        <v>1040029G00188    00</v>
      </c>
      <c r="B853" t="s">
        <v>2197</v>
      </c>
      <c r="C853" t="s">
        <v>2198</v>
      </c>
      <c r="E853" t="s">
        <v>39</v>
      </c>
      <c r="F853">
        <v>0</v>
      </c>
      <c r="G853">
        <v>0</v>
      </c>
      <c r="H853">
        <v>1</v>
      </c>
      <c r="I853" s="3">
        <v>99.56</v>
      </c>
      <c r="J853" s="3">
        <v>0</v>
      </c>
      <c r="L853">
        <v>1211</v>
      </c>
      <c r="M853" t="s">
        <v>2199</v>
      </c>
      <c r="N853" t="s">
        <v>30</v>
      </c>
      <c r="O853" t="s">
        <v>31</v>
      </c>
      <c r="P853" t="str">
        <f>"15218"</f>
        <v>15218</v>
      </c>
    </row>
    <row r="854" spans="1:16" x14ac:dyDescent="0.25">
      <c r="A854" t="str">
        <f>"1040029G00189    00"</f>
        <v>1040029G00189    00</v>
      </c>
      <c r="B854" t="s">
        <v>2201</v>
      </c>
      <c r="C854" t="s">
        <v>2198</v>
      </c>
      <c r="E854" t="s">
        <v>39</v>
      </c>
      <c r="F854">
        <v>0</v>
      </c>
      <c r="G854">
        <v>0</v>
      </c>
      <c r="H854">
        <v>2</v>
      </c>
      <c r="I854" s="3">
        <v>22.88</v>
      </c>
      <c r="J854" s="3">
        <v>2.29</v>
      </c>
      <c r="K854" t="s">
        <v>2202</v>
      </c>
      <c r="L854">
        <v>408</v>
      </c>
      <c r="M854" t="s">
        <v>2179</v>
      </c>
      <c r="N854" t="s">
        <v>30</v>
      </c>
      <c r="O854" t="s">
        <v>31</v>
      </c>
      <c r="P854" t="str">
        <f>"15221"</f>
        <v>15221</v>
      </c>
    </row>
    <row r="855" spans="1:16" x14ac:dyDescent="0.25">
      <c r="A855" t="str">
        <f>"1040029G00191    00"</f>
        <v>1040029G00191    00</v>
      </c>
      <c r="B855" t="s">
        <v>2203</v>
      </c>
      <c r="C855" t="s">
        <v>2198</v>
      </c>
      <c r="D855" t="s">
        <v>20</v>
      </c>
      <c r="E855" t="s">
        <v>39</v>
      </c>
      <c r="F855">
        <v>0</v>
      </c>
      <c r="G855">
        <v>0</v>
      </c>
      <c r="H855">
        <v>5</v>
      </c>
      <c r="I855" s="3">
        <v>854.66</v>
      </c>
      <c r="J855" s="3">
        <v>216.81</v>
      </c>
      <c r="K855" t="s">
        <v>2189</v>
      </c>
      <c r="L855">
        <v>3154</v>
      </c>
      <c r="M855" t="s">
        <v>2182</v>
      </c>
      <c r="N855" t="s">
        <v>30</v>
      </c>
      <c r="O855" t="s">
        <v>31</v>
      </c>
      <c r="P855" t="str">
        <f>"15213"</f>
        <v>15213</v>
      </c>
    </row>
    <row r="856" spans="1:16" x14ac:dyDescent="0.25">
      <c r="A856" t="str">
        <f>"1040029G00199    00"</f>
        <v>1040029G00199    00</v>
      </c>
      <c r="B856" t="s">
        <v>2204</v>
      </c>
      <c r="C856" t="s">
        <v>2205</v>
      </c>
      <c r="D856" t="s">
        <v>20</v>
      </c>
      <c r="E856" t="s">
        <v>39</v>
      </c>
      <c r="F856">
        <v>0</v>
      </c>
      <c r="G856">
        <v>0</v>
      </c>
      <c r="H856">
        <v>2</v>
      </c>
      <c r="I856" s="3">
        <v>2474.02</v>
      </c>
      <c r="J856" s="3">
        <v>0</v>
      </c>
      <c r="L856">
        <v>6016</v>
      </c>
      <c r="M856" t="s">
        <v>2206</v>
      </c>
      <c r="N856" t="s">
        <v>30</v>
      </c>
      <c r="O856" t="s">
        <v>31</v>
      </c>
      <c r="P856" t="str">
        <f>"15220"</f>
        <v>15220</v>
      </c>
    </row>
    <row r="857" spans="1:16" x14ac:dyDescent="0.25">
      <c r="A857" t="str">
        <f>"1040029G00200    00"</f>
        <v>1040029G00200    00</v>
      </c>
      <c r="B857" t="s">
        <v>2204</v>
      </c>
      <c r="C857" t="s">
        <v>2195</v>
      </c>
      <c r="D857" t="s">
        <v>20</v>
      </c>
      <c r="E857" t="s">
        <v>39</v>
      </c>
      <c r="F857">
        <v>0</v>
      </c>
      <c r="G857">
        <v>0</v>
      </c>
      <c r="H857">
        <v>2</v>
      </c>
      <c r="I857" s="3">
        <v>430.78</v>
      </c>
      <c r="J857" s="3">
        <v>0</v>
      </c>
      <c r="L857">
        <v>6016</v>
      </c>
      <c r="M857" t="s">
        <v>2206</v>
      </c>
      <c r="N857" t="s">
        <v>30</v>
      </c>
      <c r="O857" t="s">
        <v>31</v>
      </c>
      <c r="P857" t="str">
        <f>"15220"</f>
        <v>15220</v>
      </c>
    </row>
    <row r="858" spans="1:16" x14ac:dyDescent="0.25">
      <c r="A858" t="str">
        <f>"1040029G00201    00"</f>
        <v>1040029G00201    00</v>
      </c>
      <c r="B858" t="s">
        <v>2204</v>
      </c>
      <c r="C858" t="s">
        <v>2195</v>
      </c>
      <c r="D858" t="s">
        <v>20</v>
      </c>
      <c r="E858" t="s">
        <v>39</v>
      </c>
      <c r="F858">
        <v>0</v>
      </c>
      <c r="G858">
        <v>0</v>
      </c>
      <c r="H858">
        <v>2</v>
      </c>
      <c r="I858" s="3">
        <v>430.78</v>
      </c>
      <c r="J858" s="3">
        <v>0</v>
      </c>
      <c r="L858">
        <v>6016</v>
      </c>
      <c r="M858" t="s">
        <v>2206</v>
      </c>
      <c r="N858" t="s">
        <v>30</v>
      </c>
      <c r="O858" t="s">
        <v>31</v>
      </c>
      <c r="P858" t="str">
        <f>"15220"</f>
        <v>15220</v>
      </c>
    </row>
    <row r="859" spans="1:16" x14ac:dyDescent="0.25">
      <c r="A859" t="str">
        <f>"1040029G00205    00"</f>
        <v>1040029G00205    00</v>
      </c>
      <c r="B859" t="s">
        <v>2204</v>
      </c>
      <c r="C859" t="s">
        <v>2195</v>
      </c>
      <c r="D859" t="s">
        <v>20</v>
      </c>
      <c r="E859" t="s">
        <v>39</v>
      </c>
      <c r="F859">
        <v>0</v>
      </c>
      <c r="G859">
        <v>0</v>
      </c>
      <c r="H859">
        <v>2</v>
      </c>
      <c r="I859" s="3">
        <v>285.92</v>
      </c>
      <c r="J859" s="3">
        <v>0</v>
      </c>
      <c r="L859">
        <v>6016</v>
      </c>
      <c r="M859" t="s">
        <v>2206</v>
      </c>
      <c r="N859" t="s">
        <v>30</v>
      </c>
      <c r="O859" t="s">
        <v>31</v>
      </c>
      <c r="P859" t="str">
        <f>"15220"</f>
        <v>15220</v>
      </c>
    </row>
    <row r="860" spans="1:16" x14ac:dyDescent="0.25">
      <c r="A860" t="str">
        <f>"1040029G00206    00"</f>
        <v>1040029G00206    00</v>
      </c>
      <c r="B860" t="s">
        <v>2204</v>
      </c>
      <c r="C860" t="s">
        <v>2195</v>
      </c>
      <c r="D860" t="s">
        <v>20</v>
      </c>
      <c r="E860" t="s">
        <v>39</v>
      </c>
      <c r="F860">
        <v>0</v>
      </c>
      <c r="G860">
        <v>0</v>
      </c>
      <c r="H860">
        <v>2</v>
      </c>
      <c r="I860" s="3">
        <v>430.78</v>
      </c>
      <c r="J860" s="3">
        <v>0</v>
      </c>
      <c r="L860">
        <v>6016</v>
      </c>
      <c r="M860" t="s">
        <v>2206</v>
      </c>
      <c r="N860" t="s">
        <v>30</v>
      </c>
      <c r="O860" t="s">
        <v>31</v>
      </c>
      <c r="P860" t="str">
        <f>"15220"</f>
        <v>15220</v>
      </c>
    </row>
    <row r="861" spans="1:16" x14ac:dyDescent="0.25">
      <c r="A861" t="str">
        <f>"1040029G00220    00"</f>
        <v>1040029G00220    00</v>
      </c>
      <c r="B861" t="s">
        <v>2207</v>
      </c>
      <c r="C861" t="s">
        <v>2208</v>
      </c>
      <c r="D861" t="s">
        <v>20</v>
      </c>
      <c r="E861" t="s">
        <v>39</v>
      </c>
      <c r="F861">
        <v>0</v>
      </c>
      <c r="G861">
        <v>0</v>
      </c>
      <c r="H861">
        <v>1</v>
      </c>
      <c r="I861" s="3">
        <v>1496.69</v>
      </c>
      <c r="J861" s="3">
        <v>0</v>
      </c>
      <c r="K861" t="s">
        <v>2209</v>
      </c>
      <c r="L861">
        <v>3600</v>
      </c>
      <c r="M861" t="s">
        <v>2091</v>
      </c>
      <c r="N861" t="s">
        <v>30</v>
      </c>
      <c r="O861" t="s">
        <v>31</v>
      </c>
      <c r="P861" t="str">
        <f>"15213"</f>
        <v>15213</v>
      </c>
    </row>
    <row r="862" spans="1:16" x14ac:dyDescent="0.25">
      <c r="A862" t="str">
        <f>"1040029G00222    00"</f>
        <v>1040029G00222    00</v>
      </c>
      <c r="B862" t="s">
        <v>2207</v>
      </c>
      <c r="C862" t="s">
        <v>2208</v>
      </c>
      <c r="D862" t="s">
        <v>20</v>
      </c>
      <c r="E862" t="s">
        <v>39</v>
      </c>
      <c r="F862">
        <v>0</v>
      </c>
      <c r="G862">
        <v>0</v>
      </c>
      <c r="H862">
        <v>1</v>
      </c>
      <c r="I862" s="3">
        <v>634.71</v>
      </c>
      <c r="J862" s="3">
        <v>0</v>
      </c>
      <c r="K862" t="s">
        <v>2209</v>
      </c>
      <c r="L862">
        <v>3600</v>
      </c>
      <c r="M862" t="s">
        <v>2091</v>
      </c>
      <c r="N862" t="s">
        <v>30</v>
      </c>
      <c r="O862" t="s">
        <v>31</v>
      </c>
      <c r="P862" t="str">
        <f>"15213"</f>
        <v>15213</v>
      </c>
    </row>
    <row r="863" spans="1:16" x14ac:dyDescent="0.25">
      <c r="A863" t="str">
        <f>"1040029G00237    00"</f>
        <v>1040029G00237    00</v>
      </c>
      <c r="B863" t="s">
        <v>2210</v>
      </c>
      <c r="C863" t="s">
        <v>2211</v>
      </c>
      <c r="E863" t="s">
        <v>39</v>
      </c>
      <c r="F863">
        <v>0</v>
      </c>
      <c r="G863">
        <v>0</v>
      </c>
      <c r="H863">
        <v>1</v>
      </c>
      <c r="I863" s="3">
        <v>379.45</v>
      </c>
      <c r="J863" s="3">
        <v>104.34</v>
      </c>
      <c r="M863" t="s">
        <v>2212</v>
      </c>
      <c r="N863" t="s">
        <v>30</v>
      </c>
      <c r="O863" t="s">
        <v>31</v>
      </c>
      <c r="P863" t="str">
        <f>"15213"</f>
        <v>15213</v>
      </c>
    </row>
    <row r="864" spans="1:16" x14ac:dyDescent="0.25">
      <c r="A864" t="str">
        <f>"1040029G00258    00"</f>
        <v>1040029G00258    00</v>
      </c>
      <c r="B864" t="s">
        <v>2213</v>
      </c>
      <c r="C864" t="s">
        <v>2214</v>
      </c>
      <c r="D864" t="s">
        <v>20</v>
      </c>
      <c r="E864" t="s">
        <v>39</v>
      </c>
      <c r="F864">
        <v>0</v>
      </c>
      <c r="G864">
        <v>0</v>
      </c>
      <c r="H864">
        <v>1</v>
      </c>
      <c r="I864" s="3">
        <v>2245.27</v>
      </c>
      <c r="J864" s="3">
        <v>0</v>
      </c>
      <c r="K864" t="s">
        <v>2215</v>
      </c>
      <c r="L864">
        <v>237</v>
      </c>
      <c r="M864" t="s">
        <v>2042</v>
      </c>
      <c r="N864" t="s">
        <v>30</v>
      </c>
      <c r="O864" t="s">
        <v>31</v>
      </c>
      <c r="P864" t="str">
        <f>"15205"</f>
        <v>15205</v>
      </c>
    </row>
    <row r="865" spans="1:16" x14ac:dyDescent="0.25">
      <c r="A865" t="str">
        <f>"1040029G00286    00"</f>
        <v>1040029G00286    00</v>
      </c>
      <c r="B865" t="s">
        <v>2216</v>
      </c>
      <c r="C865" t="s">
        <v>2217</v>
      </c>
      <c r="D865" t="s">
        <v>20</v>
      </c>
      <c r="E865" t="s">
        <v>39</v>
      </c>
      <c r="F865">
        <v>0</v>
      </c>
      <c r="G865">
        <v>0</v>
      </c>
      <c r="H865">
        <v>19</v>
      </c>
      <c r="I865" s="3">
        <v>29113.39</v>
      </c>
      <c r="J865" s="3">
        <v>22996.1</v>
      </c>
      <c r="L865">
        <v>3200</v>
      </c>
      <c r="M865" t="s">
        <v>2154</v>
      </c>
      <c r="N865" t="s">
        <v>30</v>
      </c>
      <c r="O865" t="s">
        <v>31</v>
      </c>
      <c r="P865" t="str">
        <f>"15213"</f>
        <v>15213</v>
      </c>
    </row>
    <row r="866" spans="1:16" x14ac:dyDescent="0.25">
      <c r="A866" t="str">
        <f>"1040029G00291    00"</f>
        <v>1040029G00291    00</v>
      </c>
      <c r="B866" t="s">
        <v>2216</v>
      </c>
      <c r="C866" t="s">
        <v>2217</v>
      </c>
      <c r="D866" t="s">
        <v>20</v>
      </c>
      <c r="E866" t="s">
        <v>39</v>
      </c>
      <c r="F866">
        <v>0</v>
      </c>
      <c r="G866">
        <v>0</v>
      </c>
      <c r="H866">
        <v>9</v>
      </c>
      <c r="I866" s="3">
        <v>2518.77</v>
      </c>
      <c r="J866" s="3">
        <v>953.73</v>
      </c>
      <c r="L866">
        <v>3200</v>
      </c>
      <c r="M866" t="s">
        <v>2154</v>
      </c>
      <c r="N866" t="s">
        <v>30</v>
      </c>
      <c r="O866" t="s">
        <v>31</v>
      </c>
      <c r="P866" t="str">
        <f>"15213"</f>
        <v>15213</v>
      </c>
    </row>
    <row r="867" spans="1:16" x14ac:dyDescent="0.25">
      <c r="A867" t="str">
        <f>"1040029G00292    00"</f>
        <v>1040029G00292    00</v>
      </c>
      <c r="B867" t="s">
        <v>2218</v>
      </c>
      <c r="C867" t="s">
        <v>2219</v>
      </c>
      <c r="D867" t="s">
        <v>20</v>
      </c>
      <c r="E867" t="s">
        <v>21</v>
      </c>
      <c r="F867">
        <v>0</v>
      </c>
      <c r="G867">
        <v>0</v>
      </c>
      <c r="H867">
        <v>1</v>
      </c>
      <c r="I867" s="3">
        <v>4148.7299999999996</v>
      </c>
      <c r="J867" s="3">
        <v>0</v>
      </c>
      <c r="K867" t="s">
        <v>2220</v>
      </c>
      <c r="L867">
        <v>620</v>
      </c>
      <c r="M867" t="s">
        <v>2221</v>
      </c>
      <c r="N867" t="s">
        <v>2222</v>
      </c>
      <c r="O867" t="s">
        <v>31</v>
      </c>
      <c r="P867" t="str">
        <f>"15015"</f>
        <v>15015</v>
      </c>
    </row>
    <row r="868" spans="1:16" x14ac:dyDescent="0.25">
      <c r="A868" t="str">
        <f>"1040029G00293    00"</f>
        <v>1040029G00293    00</v>
      </c>
      <c r="B868" t="s">
        <v>2204</v>
      </c>
      <c r="C868" t="s">
        <v>2195</v>
      </c>
      <c r="D868" t="s">
        <v>20</v>
      </c>
      <c r="E868" t="s">
        <v>39</v>
      </c>
      <c r="F868">
        <v>0</v>
      </c>
      <c r="G868">
        <v>0</v>
      </c>
      <c r="H868">
        <v>2</v>
      </c>
      <c r="I868" s="3">
        <v>430.78</v>
      </c>
      <c r="J868" s="3">
        <v>0</v>
      </c>
      <c r="L868">
        <v>6016</v>
      </c>
      <c r="M868" t="s">
        <v>2206</v>
      </c>
      <c r="N868" t="s">
        <v>30</v>
      </c>
      <c r="O868" t="s">
        <v>31</v>
      </c>
      <c r="P868" t="str">
        <f>"15220"</f>
        <v>15220</v>
      </c>
    </row>
    <row r="869" spans="1:16" x14ac:dyDescent="0.25">
      <c r="A869" t="str">
        <f>"1040029G00294    00"</f>
        <v>1040029G00294    00</v>
      </c>
      <c r="B869" t="s">
        <v>2204</v>
      </c>
      <c r="C869" t="s">
        <v>2195</v>
      </c>
      <c r="D869" t="s">
        <v>20</v>
      </c>
      <c r="E869" t="s">
        <v>39</v>
      </c>
      <c r="F869">
        <v>0</v>
      </c>
      <c r="G869">
        <v>0</v>
      </c>
      <c r="H869">
        <v>2</v>
      </c>
      <c r="I869" s="3">
        <v>430.78</v>
      </c>
      <c r="J869" s="3">
        <v>0</v>
      </c>
      <c r="L869">
        <v>6016</v>
      </c>
      <c r="M869" t="s">
        <v>2206</v>
      </c>
      <c r="N869" t="s">
        <v>30</v>
      </c>
      <c r="O869" t="s">
        <v>31</v>
      </c>
      <c r="P869" t="str">
        <f>"15220"</f>
        <v>15220</v>
      </c>
    </row>
    <row r="870" spans="1:16" x14ac:dyDescent="0.25">
      <c r="A870" t="str">
        <f>"1040029H00004    00"</f>
        <v>1040029H00004    00</v>
      </c>
      <c r="B870" t="s">
        <v>2223</v>
      </c>
      <c r="C870" t="s">
        <v>2224</v>
      </c>
      <c r="D870" t="s">
        <v>20</v>
      </c>
      <c r="E870" t="s">
        <v>39</v>
      </c>
      <c r="F870">
        <v>0</v>
      </c>
      <c r="G870">
        <v>0</v>
      </c>
      <c r="H870">
        <v>6</v>
      </c>
      <c r="I870" s="3">
        <v>6640.68</v>
      </c>
      <c r="J870" s="3">
        <v>2011.89</v>
      </c>
      <c r="L870">
        <v>3154</v>
      </c>
      <c r="M870" t="s">
        <v>2182</v>
      </c>
      <c r="N870" t="s">
        <v>30</v>
      </c>
      <c r="O870" t="s">
        <v>31</v>
      </c>
      <c r="P870" t="str">
        <f>"15213"</f>
        <v>15213</v>
      </c>
    </row>
    <row r="871" spans="1:16" x14ac:dyDescent="0.25">
      <c r="A871" t="str">
        <f>"1040029H00006    00"</f>
        <v>1040029H00006    00</v>
      </c>
      <c r="B871" t="s">
        <v>2225</v>
      </c>
      <c r="C871" t="s">
        <v>2226</v>
      </c>
      <c r="D871" t="s">
        <v>20</v>
      </c>
      <c r="E871" t="s">
        <v>39</v>
      </c>
      <c r="F871">
        <v>0</v>
      </c>
      <c r="G871">
        <v>0</v>
      </c>
      <c r="H871">
        <v>7</v>
      </c>
      <c r="I871" s="3">
        <v>5680.31</v>
      </c>
      <c r="J871" s="3">
        <v>79.650000000000006</v>
      </c>
      <c r="K871" t="s">
        <v>2189</v>
      </c>
      <c r="L871">
        <v>3154</v>
      </c>
      <c r="M871" t="s">
        <v>2182</v>
      </c>
      <c r="N871" t="s">
        <v>30</v>
      </c>
      <c r="O871" t="s">
        <v>31</v>
      </c>
      <c r="P871" t="str">
        <f>"15213"</f>
        <v>15213</v>
      </c>
    </row>
    <row r="872" spans="1:16" x14ac:dyDescent="0.25">
      <c r="A872" t="str">
        <f>"1040029H00018    00"</f>
        <v>1040029H00018    00</v>
      </c>
      <c r="B872" t="s">
        <v>2227</v>
      </c>
      <c r="C872" t="s">
        <v>2228</v>
      </c>
      <c r="D872" t="s">
        <v>20</v>
      </c>
      <c r="E872" t="s">
        <v>39</v>
      </c>
      <c r="F872">
        <v>0</v>
      </c>
      <c r="G872">
        <v>0</v>
      </c>
      <c r="H872">
        <v>7</v>
      </c>
      <c r="I872" s="3">
        <v>8499.9</v>
      </c>
      <c r="J872" s="3">
        <v>1637.37</v>
      </c>
      <c r="L872">
        <v>3746</v>
      </c>
      <c r="M872" t="s">
        <v>2091</v>
      </c>
      <c r="N872" t="s">
        <v>30</v>
      </c>
      <c r="O872" t="s">
        <v>31</v>
      </c>
      <c r="P872" t="str">
        <f>"15213"</f>
        <v>15213</v>
      </c>
    </row>
    <row r="873" spans="1:16" x14ac:dyDescent="0.25">
      <c r="A873" t="str">
        <f>"1040029H00020    00"</f>
        <v>1040029H00020    00</v>
      </c>
      <c r="B873" t="s">
        <v>2229</v>
      </c>
      <c r="C873" t="s">
        <v>2230</v>
      </c>
      <c r="E873" t="s">
        <v>39</v>
      </c>
      <c r="F873">
        <v>0</v>
      </c>
      <c r="G873">
        <v>0</v>
      </c>
      <c r="H873">
        <v>1</v>
      </c>
      <c r="I873" s="3">
        <v>1035.3499999999999</v>
      </c>
      <c r="J873" s="3">
        <v>414.12</v>
      </c>
      <c r="L873">
        <v>5104</v>
      </c>
      <c r="M873" t="s">
        <v>2231</v>
      </c>
      <c r="N873" t="s">
        <v>30</v>
      </c>
      <c r="O873" t="s">
        <v>31</v>
      </c>
      <c r="P873" t="str">
        <f>"15229"</f>
        <v>15229</v>
      </c>
    </row>
    <row r="874" spans="1:16" x14ac:dyDescent="0.25">
      <c r="A874" t="str">
        <f>"1040029H00021    00"</f>
        <v>1040029H00021    00</v>
      </c>
      <c r="B874" t="s">
        <v>2232</v>
      </c>
      <c r="C874" t="s">
        <v>2233</v>
      </c>
      <c r="D874" t="s">
        <v>20</v>
      </c>
      <c r="E874" t="s">
        <v>39</v>
      </c>
      <c r="F874">
        <v>0</v>
      </c>
      <c r="G874">
        <v>0</v>
      </c>
      <c r="H874">
        <v>3</v>
      </c>
      <c r="I874" s="3">
        <v>45.75</v>
      </c>
      <c r="J874" s="3">
        <v>3.05</v>
      </c>
      <c r="L874">
        <v>3746</v>
      </c>
      <c r="M874" t="s">
        <v>2091</v>
      </c>
      <c r="N874" t="s">
        <v>30</v>
      </c>
      <c r="O874" t="s">
        <v>31</v>
      </c>
      <c r="P874" t="str">
        <f t="shared" ref="P874:P879" si="13">"15213"</f>
        <v>15213</v>
      </c>
    </row>
    <row r="875" spans="1:16" x14ac:dyDescent="0.25">
      <c r="A875" t="str">
        <f>"1040029H00027    00"</f>
        <v>1040029H00027    00</v>
      </c>
      <c r="B875" t="s">
        <v>2234</v>
      </c>
      <c r="C875" t="s">
        <v>2235</v>
      </c>
      <c r="D875" t="s">
        <v>20</v>
      </c>
      <c r="E875" t="s">
        <v>39</v>
      </c>
      <c r="F875">
        <v>0</v>
      </c>
      <c r="G875">
        <v>0</v>
      </c>
      <c r="H875">
        <v>2</v>
      </c>
      <c r="I875" s="3">
        <v>2679.56</v>
      </c>
      <c r="J875" s="3">
        <v>17.53</v>
      </c>
      <c r="K875" t="s">
        <v>2236</v>
      </c>
      <c r="L875">
        <v>3600</v>
      </c>
      <c r="M875" t="s">
        <v>2091</v>
      </c>
      <c r="N875" t="s">
        <v>30</v>
      </c>
      <c r="O875" t="s">
        <v>31</v>
      </c>
      <c r="P875" t="str">
        <f t="shared" si="13"/>
        <v>15213</v>
      </c>
    </row>
    <row r="876" spans="1:16" x14ac:dyDescent="0.25">
      <c r="A876" t="str">
        <f>"1040029H00032    00"</f>
        <v>1040029H00032    00</v>
      </c>
      <c r="B876" t="s">
        <v>2237</v>
      </c>
      <c r="C876" t="s">
        <v>2077</v>
      </c>
      <c r="E876" t="s">
        <v>39</v>
      </c>
      <c r="F876">
        <v>0</v>
      </c>
      <c r="G876">
        <v>0</v>
      </c>
      <c r="H876">
        <v>2</v>
      </c>
      <c r="I876" s="3">
        <v>1440.98</v>
      </c>
      <c r="J876" s="3">
        <v>144.09</v>
      </c>
      <c r="L876">
        <v>3712</v>
      </c>
      <c r="M876" t="s">
        <v>2238</v>
      </c>
      <c r="N876" t="s">
        <v>30</v>
      </c>
      <c r="O876" t="s">
        <v>31</v>
      </c>
      <c r="P876" t="str">
        <f t="shared" si="13"/>
        <v>15213</v>
      </c>
    </row>
    <row r="877" spans="1:16" x14ac:dyDescent="0.25">
      <c r="A877" t="str">
        <f>"1040029H00036    00"</f>
        <v>1040029H00036    00</v>
      </c>
      <c r="B877" t="s">
        <v>2239</v>
      </c>
      <c r="C877" t="s">
        <v>2240</v>
      </c>
      <c r="D877" t="s">
        <v>20</v>
      </c>
      <c r="E877" t="s">
        <v>39</v>
      </c>
      <c r="F877">
        <v>0</v>
      </c>
      <c r="G877">
        <v>0</v>
      </c>
      <c r="H877">
        <v>5</v>
      </c>
      <c r="I877" s="3">
        <v>1155.5999999999999</v>
      </c>
      <c r="J877" s="3">
        <v>178.05</v>
      </c>
      <c r="L877">
        <v>3743</v>
      </c>
      <c r="M877" t="s">
        <v>2091</v>
      </c>
      <c r="N877" t="s">
        <v>30</v>
      </c>
      <c r="O877" t="s">
        <v>31</v>
      </c>
      <c r="P877" t="str">
        <f t="shared" si="13"/>
        <v>15213</v>
      </c>
    </row>
    <row r="878" spans="1:16" x14ac:dyDescent="0.25">
      <c r="A878" t="str">
        <f>"1040029H00052    00"</f>
        <v>1040029H00052    00</v>
      </c>
      <c r="B878" t="s">
        <v>2241</v>
      </c>
      <c r="C878" t="s">
        <v>2242</v>
      </c>
      <c r="D878" t="s">
        <v>20</v>
      </c>
      <c r="E878" t="s">
        <v>39</v>
      </c>
      <c r="F878">
        <v>0</v>
      </c>
      <c r="G878">
        <v>0</v>
      </c>
      <c r="H878">
        <v>1</v>
      </c>
      <c r="I878" s="3">
        <v>580.04</v>
      </c>
      <c r="J878" s="3">
        <v>0</v>
      </c>
      <c r="L878">
        <v>3768</v>
      </c>
      <c r="M878" t="s">
        <v>2238</v>
      </c>
      <c r="N878" t="s">
        <v>30</v>
      </c>
      <c r="O878" t="s">
        <v>31</v>
      </c>
      <c r="P878" t="str">
        <f t="shared" si="13"/>
        <v>15213</v>
      </c>
    </row>
    <row r="879" spans="1:16" x14ac:dyDescent="0.25">
      <c r="A879" t="str">
        <f>"1040029H00077    00"</f>
        <v>1040029H00077    00</v>
      </c>
      <c r="B879" t="s">
        <v>2243</v>
      </c>
      <c r="C879" t="s">
        <v>2244</v>
      </c>
      <c r="E879" t="s">
        <v>39</v>
      </c>
      <c r="F879">
        <v>0</v>
      </c>
      <c r="G879">
        <v>0</v>
      </c>
      <c r="H879">
        <v>2</v>
      </c>
      <c r="I879" s="3">
        <v>3198.3</v>
      </c>
      <c r="J879" s="3">
        <v>319.82</v>
      </c>
      <c r="K879" t="s">
        <v>2245</v>
      </c>
      <c r="L879">
        <v>3712</v>
      </c>
      <c r="M879" t="s">
        <v>2238</v>
      </c>
      <c r="N879" t="s">
        <v>30</v>
      </c>
      <c r="O879" t="s">
        <v>31</v>
      </c>
      <c r="P879" t="str">
        <f t="shared" si="13"/>
        <v>15213</v>
      </c>
    </row>
    <row r="880" spans="1:16" x14ac:dyDescent="0.25">
      <c r="A880" t="str">
        <f>"1040029H00079    00"</f>
        <v>1040029H00079    00</v>
      </c>
      <c r="B880" t="s">
        <v>2246</v>
      </c>
      <c r="C880" t="s">
        <v>2247</v>
      </c>
      <c r="D880" t="s">
        <v>57</v>
      </c>
      <c r="E880" t="s">
        <v>39</v>
      </c>
      <c r="F880">
        <v>0</v>
      </c>
      <c r="G880">
        <v>0</v>
      </c>
      <c r="H880">
        <v>1</v>
      </c>
      <c r="I880" s="3">
        <v>19.059999999999999</v>
      </c>
      <c r="J880" s="3">
        <v>0</v>
      </c>
      <c r="K880" t="s">
        <v>2248</v>
      </c>
      <c r="M880" t="s">
        <v>2249</v>
      </c>
      <c r="N880" t="s">
        <v>30</v>
      </c>
      <c r="O880" t="s">
        <v>31</v>
      </c>
      <c r="P880" t="str">
        <f>"15237"</f>
        <v>15237</v>
      </c>
    </row>
    <row r="881" spans="1:16" x14ac:dyDescent="0.25">
      <c r="A881" t="str">
        <f>"1040029H00080    00"</f>
        <v>1040029H00080    00</v>
      </c>
      <c r="B881" t="s">
        <v>2250</v>
      </c>
      <c r="C881" t="s">
        <v>2251</v>
      </c>
      <c r="E881" t="s">
        <v>39</v>
      </c>
      <c r="F881">
        <v>0</v>
      </c>
      <c r="G881">
        <v>0</v>
      </c>
      <c r="H881">
        <v>1</v>
      </c>
      <c r="I881" s="3">
        <v>3261.18</v>
      </c>
      <c r="J881" s="3">
        <v>0</v>
      </c>
      <c r="K881" t="s">
        <v>2252</v>
      </c>
      <c r="M881" t="s">
        <v>2249</v>
      </c>
      <c r="N881" t="s">
        <v>30</v>
      </c>
      <c r="O881" t="s">
        <v>31</v>
      </c>
      <c r="P881" t="str">
        <f>"15237"</f>
        <v>15237</v>
      </c>
    </row>
    <row r="882" spans="1:16" x14ac:dyDescent="0.25">
      <c r="A882" t="str">
        <f>"1040029H00081    00"</f>
        <v>1040029H00081    00</v>
      </c>
      <c r="B882" t="s">
        <v>2246</v>
      </c>
      <c r="C882" t="s">
        <v>2253</v>
      </c>
      <c r="E882" t="s">
        <v>39</v>
      </c>
      <c r="F882">
        <v>0</v>
      </c>
      <c r="G882">
        <v>0</v>
      </c>
      <c r="H882">
        <v>1</v>
      </c>
      <c r="I882" s="3">
        <v>2435.86</v>
      </c>
      <c r="J882" s="3">
        <v>0</v>
      </c>
      <c r="M882" t="s">
        <v>2249</v>
      </c>
      <c r="N882" t="s">
        <v>30</v>
      </c>
      <c r="O882" t="s">
        <v>31</v>
      </c>
      <c r="P882" t="str">
        <f>"15237"</f>
        <v>15237</v>
      </c>
    </row>
    <row r="883" spans="1:16" x14ac:dyDescent="0.25">
      <c r="A883" t="str">
        <f>"1040029H00089    00"</f>
        <v>1040029H00089    00</v>
      </c>
      <c r="B883" t="s">
        <v>2254</v>
      </c>
      <c r="C883" t="s">
        <v>2255</v>
      </c>
      <c r="D883" t="s">
        <v>20</v>
      </c>
      <c r="E883" t="s">
        <v>39</v>
      </c>
      <c r="F883">
        <v>0</v>
      </c>
      <c r="G883">
        <v>0</v>
      </c>
      <c r="H883">
        <v>2</v>
      </c>
      <c r="I883" s="3">
        <v>1967</v>
      </c>
      <c r="J883" s="3">
        <v>0</v>
      </c>
      <c r="L883">
        <v>3219</v>
      </c>
      <c r="M883" t="s">
        <v>1905</v>
      </c>
      <c r="N883" t="s">
        <v>30</v>
      </c>
      <c r="O883" t="s">
        <v>31</v>
      </c>
      <c r="P883" t="str">
        <f>"15213"</f>
        <v>15213</v>
      </c>
    </row>
    <row r="884" spans="1:16" x14ac:dyDescent="0.25">
      <c r="A884" t="str">
        <f>"1040029H00094B   00"</f>
        <v>1040029H00094B   00</v>
      </c>
      <c r="B884" t="s">
        <v>2256</v>
      </c>
      <c r="C884" t="s">
        <v>2257</v>
      </c>
      <c r="D884" t="s">
        <v>20</v>
      </c>
      <c r="E884" t="s">
        <v>39</v>
      </c>
      <c r="F884">
        <v>0</v>
      </c>
      <c r="G884">
        <v>0</v>
      </c>
      <c r="H884">
        <v>2</v>
      </c>
      <c r="I884" s="3">
        <v>1450.8</v>
      </c>
      <c r="J884" s="3">
        <v>0</v>
      </c>
      <c r="K884" t="s">
        <v>2258</v>
      </c>
      <c r="L884">
        <v>3231</v>
      </c>
      <c r="M884" t="s">
        <v>1905</v>
      </c>
      <c r="N884" t="s">
        <v>30</v>
      </c>
      <c r="O884" t="s">
        <v>31</v>
      </c>
      <c r="P884" t="str">
        <f>"15213"</f>
        <v>15213</v>
      </c>
    </row>
    <row r="885" spans="1:16" x14ac:dyDescent="0.25">
      <c r="A885" t="str">
        <f>"1040029H00094L   00"</f>
        <v>1040029H00094L   00</v>
      </c>
      <c r="B885" t="s">
        <v>2259</v>
      </c>
      <c r="C885" t="s">
        <v>2257</v>
      </c>
      <c r="D885" t="s">
        <v>20</v>
      </c>
      <c r="E885" t="s">
        <v>39</v>
      </c>
      <c r="F885">
        <v>0</v>
      </c>
      <c r="G885">
        <v>0</v>
      </c>
      <c r="H885">
        <v>2</v>
      </c>
      <c r="I885" s="3">
        <v>647.41</v>
      </c>
      <c r="J885" s="3">
        <v>0</v>
      </c>
      <c r="K885" t="s">
        <v>2260</v>
      </c>
      <c r="L885">
        <v>3231</v>
      </c>
      <c r="M885" t="s">
        <v>1905</v>
      </c>
      <c r="N885" t="s">
        <v>30</v>
      </c>
      <c r="O885" t="s">
        <v>31</v>
      </c>
      <c r="P885" t="str">
        <f>"15213"</f>
        <v>15213</v>
      </c>
    </row>
    <row r="886" spans="1:16" x14ac:dyDescent="0.25">
      <c r="A886" t="str">
        <f>"1040029H00096    00"</f>
        <v>1040029H00096    00</v>
      </c>
      <c r="B886" t="s">
        <v>2261</v>
      </c>
      <c r="C886" t="s">
        <v>2262</v>
      </c>
      <c r="D886" t="s">
        <v>20</v>
      </c>
      <c r="E886" t="s">
        <v>39</v>
      </c>
      <c r="F886">
        <v>0</v>
      </c>
      <c r="G886">
        <v>0</v>
      </c>
      <c r="H886">
        <v>1</v>
      </c>
      <c r="I886" s="3">
        <v>56.38</v>
      </c>
      <c r="J886" s="3">
        <v>0</v>
      </c>
      <c r="K886" t="s">
        <v>2263</v>
      </c>
      <c r="L886">
        <v>6000</v>
      </c>
      <c r="M886" t="s">
        <v>2264</v>
      </c>
      <c r="N886" t="s">
        <v>212</v>
      </c>
      <c r="O886" t="s">
        <v>25</v>
      </c>
      <c r="P886" t="str">
        <f>"44124"</f>
        <v>44124</v>
      </c>
    </row>
    <row r="887" spans="1:16" x14ac:dyDescent="0.25">
      <c r="A887" t="str">
        <f>"1040029H00130    00"</f>
        <v>1040029H00130    00</v>
      </c>
      <c r="B887" t="s">
        <v>2265</v>
      </c>
      <c r="C887" t="s">
        <v>2266</v>
      </c>
      <c r="D887" t="s">
        <v>20</v>
      </c>
      <c r="E887" t="s">
        <v>39</v>
      </c>
      <c r="F887">
        <v>0</v>
      </c>
      <c r="G887">
        <v>0</v>
      </c>
      <c r="H887">
        <v>2</v>
      </c>
      <c r="I887" s="3">
        <v>1480.8</v>
      </c>
      <c r="J887" s="3">
        <v>0</v>
      </c>
      <c r="K887" t="s">
        <v>445</v>
      </c>
      <c r="L887">
        <v>1</v>
      </c>
      <c r="M887" t="s">
        <v>1163</v>
      </c>
      <c r="N887" t="s">
        <v>1164</v>
      </c>
      <c r="O887" t="s">
        <v>108</v>
      </c>
      <c r="P887" t="str">
        <f>"76262"</f>
        <v>76262</v>
      </c>
    </row>
    <row r="888" spans="1:16" x14ac:dyDescent="0.25">
      <c r="A888" t="str">
        <f>"1040029H00131    00"</f>
        <v>1040029H00131    00</v>
      </c>
      <c r="B888" t="s">
        <v>2267</v>
      </c>
      <c r="C888" t="s">
        <v>2268</v>
      </c>
      <c r="D888" t="s">
        <v>20</v>
      </c>
      <c r="E888" t="s">
        <v>39</v>
      </c>
      <c r="F888">
        <v>0</v>
      </c>
      <c r="G888">
        <v>0</v>
      </c>
      <c r="H888">
        <v>1</v>
      </c>
      <c r="I888" s="3">
        <v>1635.82</v>
      </c>
      <c r="J888" s="3">
        <v>0</v>
      </c>
      <c r="L888">
        <v>3731</v>
      </c>
      <c r="M888" t="s">
        <v>2238</v>
      </c>
      <c r="N888" t="s">
        <v>30</v>
      </c>
      <c r="O888" t="s">
        <v>31</v>
      </c>
      <c r="P888" t="str">
        <f>"15213"</f>
        <v>15213</v>
      </c>
    </row>
    <row r="889" spans="1:16" x14ac:dyDescent="0.25">
      <c r="A889" t="str">
        <f>"1040029H00183    00"</f>
        <v>1040029H00183    00</v>
      </c>
      <c r="B889" t="s">
        <v>2269</v>
      </c>
      <c r="C889" t="s">
        <v>2270</v>
      </c>
      <c r="D889" t="s">
        <v>20</v>
      </c>
      <c r="E889" t="s">
        <v>39</v>
      </c>
      <c r="F889">
        <v>0</v>
      </c>
      <c r="G889">
        <v>0</v>
      </c>
      <c r="H889">
        <v>19</v>
      </c>
      <c r="I889" s="3">
        <v>14001.04</v>
      </c>
      <c r="J889" s="3">
        <v>11054.25</v>
      </c>
      <c r="L889">
        <v>3729</v>
      </c>
      <c r="M889" t="s">
        <v>1758</v>
      </c>
      <c r="N889" t="s">
        <v>30</v>
      </c>
      <c r="O889" t="s">
        <v>31</v>
      </c>
      <c r="P889" t="str">
        <f>"15213"</f>
        <v>15213</v>
      </c>
    </row>
    <row r="890" spans="1:16" x14ac:dyDescent="0.25">
      <c r="A890" t="str">
        <f>"1040029M00151    02"</f>
        <v>1040029M00151    02</v>
      </c>
      <c r="B890" t="s">
        <v>2271</v>
      </c>
      <c r="C890" t="s">
        <v>2272</v>
      </c>
      <c r="E890" t="s">
        <v>207</v>
      </c>
      <c r="F890">
        <v>0</v>
      </c>
      <c r="G890">
        <v>0</v>
      </c>
      <c r="H890">
        <v>2</v>
      </c>
      <c r="I890" s="3">
        <v>368.18</v>
      </c>
      <c r="J890" s="3">
        <v>404.81</v>
      </c>
      <c r="K890" t="s">
        <v>2273</v>
      </c>
      <c r="L890">
        <v>414</v>
      </c>
      <c r="M890" t="s">
        <v>2274</v>
      </c>
      <c r="N890" t="s">
        <v>30</v>
      </c>
      <c r="O890" t="s">
        <v>31</v>
      </c>
      <c r="P890" t="str">
        <f>"15219"</f>
        <v>15219</v>
      </c>
    </row>
    <row r="891" spans="1:16" x14ac:dyDescent="0.25">
      <c r="A891" t="str">
        <f>"1040029M00242    00"</f>
        <v>1040029M00242    00</v>
      </c>
      <c r="B891" t="s">
        <v>2275</v>
      </c>
      <c r="C891" t="s">
        <v>2276</v>
      </c>
      <c r="D891" t="s">
        <v>20</v>
      </c>
      <c r="E891" t="s">
        <v>39</v>
      </c>
      <c r="F891">
        <v>0</v>
      </c>
      <c r="G891">
        <v>0</v>
      </c>
      <c r="H891">
        <v>19</v>
      </c>
      <c r="I891" s="3">
        <v>9419.82</v>
      </c>
      <c r="J891" s="3">
        <v>7210.76</v>
      </c>
      <c r="L891">
        <v>313</v>
      </c>
      <c r="M891" t="s">
        <v>2277</v>
      </c>
      <c r="N891" t="s">
        <v>546</v>
      </c>
      <c r="O891" t="s">
        <v>31</v>
      </c>
      <c r="P891" t="str">
        <f>"15044"</f>
        <v>15044</v>
      </c>
    </row>
    <row r="892" spans="1:16" x14ac:dyDescent="0.25">
      <c r="A892" t="str">
        <f>"1040029M00246    00"</f>
        <v>1040029M00246    00</v>
      </c>
      <c r="B892" t="s">
        <v>2278</v>
      </c>
      <c r="C892" t="s">
        <v>2276</v>
      </c>
      <c r="D892" t="s">
        <v>20</v>
      </c>
      <c r="E892" t="s">
        <v>39</v>
      </c>
      <c r="F892">
        <v>0</v>
      </c>
      <c r="G892">
        <v>0</v>
      </c>
      <c r="H892">
        <v>19</v>
      </c>
      <c r="I892" s="3">
        <v>13344.31</v>
      </c>
      <c r="J892" s="3">
        <v>10087.25</v>
      </c>
      <c r="L892">
        <v>3144</v>
      </c>
      <c r="M892" t="s">
        <v>2182</v>
      </c>
      <c r="N892" t="s">
        <v>30</v>
      </c>
      <c r="O892" t="s">
        <v>31</v>
      </c>
      <c r="P892" t="str">
        <f>"15213"</f>
        <v>15213</v>
      </c>
    </row>
    <row r="893" spans="1:16" x14ac:dyDescent="0.25">
      <c r="A893" t="str">
        <f>"1040029M00250    00"</f>
        <v>1040029M00250    00</v>
      </c>
      <c r="B893" t="s">
        <v>2279</v>
      </c>
      <c r="C893" t="s">
        <v>2276</v>
      </c>
      <c r="E893" t="s">
        <v>39</v>
      </c>
      <c r="F893">
        <v>0</v>
      </c>
      <c r="G893">
        <v>0</v>
      </c>
      <c r="H893">
        <v>3</v>
      </c>
      <c r="I893" s="3">
        <v>1741.79</v>
      </c>
      <c r="J893" s="3">
        <v>178.68</v>
      </c>
      <c r="L893">
        <v>408</v>
      </c>
      <c r="M893" t="s">
        <v>2179</v>
      </c>
      <c r="N893" t="s">
        <v>30</v>
      </c>
      <c r="O893" t="s">
        <v>31</v>
      </c>
      <c r="P893" t="str">
        <f>"15221"</f>
        <v>15221</v>
      </c>
    </row>
    <row r="894" spans="1:16" x14ac:dyDescent="0.25">
      <c r="A894" t="str">
        <f>"1040029M00263    00"</f>
        <v>1040029M00263    00</v>
      </c>
      <c r="B894" t="s">
        <v>2269</v>
      </c>
      <c r="C894" t="s">
        <v>2077</v>
      </c>
      <c r="D894" t="s">
        <v>20</v>
      </c>
      <c r="E894" t="s">
        <v>39</v>
      </c>
      <c r="F894">
        <v>0</v>
      </c>
      <c r="G894">
        <v>0</v>
      </c>
      <c r="H894">
        <v>19</v>
      </c>
      <c r="I894" s="3">
        <v>8058.46</v>
      </c>
      <c r="J894" s="3">
        <v>7081.23</v>
      </c>
      <c r="L894">
        <v>3729</v>
      </c>
      <c r="M894" t="s">
        <v>1758</v>
      </c>
      <c r="N894" t="s">
        <v>30</v>
      </c>
      <c r="O894" t="s">
        <v>31</v>
      </c>
      <c r="P894" t="str">
        <f>"15213"</f>
        <v>15213</v>
      </c>
    </row>
    <row r="895" spans="1:16" x14ac:dyDescent="0.25">
      <c r="A895" t="str">
        <f>"1040029M00270    00"</f>
        <v>1040029M00270    00</v>
      </c>
      <c r="B895" t="s">
        <v>2280</v>
      </c>
      <c r="C895" t="s">
        <v>2281</v>
      </c>
      <c r="D895" t="s">
        <v>20</v>
      </c>
      <c r="E895" t="s">
        <v>39</v>
      </c>
      <c r="F895">
        <v>0</v>
      </c>
      <c r="G895">
        <v>0</v>
      </c>
      <c r="H895">
        <v>6</v>
      </c>
      <c r="I895" s="3">
        <v>5560.12</v>
      </c>
      <c r="J895" s="3">
        <v>1038.8499999999999</v>
      </c>
      <c r="L895">
        <v>1722</v>
      </c>
      <c r="M895" t="s">
        <v>2282</v>
      </c>
      <c r="N895" t="s">
        <v>30</v>
      </c>
      <c r="O895" t="s">
        <v>31</v>
      </c>
      <c r="P895" t="str">
        <f>"15203"</f>
        <v>15203</v>
      </c>
    </row>
    <row r="896" spans="1:16" x14ac:dyDescent="0.25">
      <c r="A896" t="str">
        <f>"1040029M00308    00"</f>
        <v>1040029M00308    00</v>
      </c>
      <c r="B896" t="s">
        <v>2283</v>
      </c>
      <c r="C896" t="s">
        <v>2284</v>
      </c>
      <c r="E896" t="s">
        <v>21</v>
      </c>
      <c r="F896">
        <v>0</v>
      </c>
      <c r="G896">
        <v>0</v>
      </c>
      <c r="H896">
        <v>13</v>
      </c>
      <c r="I896" s="3">
        <v>2790.07</v>
      </c>
      <c r="J896" s="3">
        <v>4042.38</v>
      </c>
      <c r="L896">
        <v>5847</v>
      </c>
      <c r="M896" t="s">
        <v>2285</v>
      </c>
      <c r="N896" t="s">
        <v>30</v>
      </c>
      <c r="O896" t="s">
        <v>31</v>
      </c>
      <c r="P896" t="str">
        <f>"15217"</f>
        <v>15217</v>
      </c>
    </row>
    <row r="897" spans="1:16" x14ac:dyDescent="0.25">
      <c r="A897" t="str">
        <f>"1040052A00172030500"</f>
        <v>1040052A00172030500</v>
      </c>
      <c r="B897" t="s">
        <v>2286</v>
      </c>
      <c r="C897" t="s">
        <v>2287</v>
      </c>
      <c r="D897" t="s">
        <v>57</v>
      </c>
      <c r="E897" t="s">
        <v>39</v>
      </c>
      <c r="F897">
        <v>0</v>
      </c>
      <c r="G897">
        <v>0</v>
      </c>
      <c r="H897">
        <v>1</v>
      </c>
      <c r="I897" s="3">
        <v>43.61</v>
      </c>
      <c r="J897" s="3">
        <v>0</v>
      </c>
      <c r="L897">
        <v>4677</v>
      </c>
      <c r="M897" t="s">
        <v>2288</v>
      </c>
      <c r="N897" t="s">
        <v>30</v>
      </c>
      <c r="O897" t="s">
        <v>31</v>
      </c>
      <c r="P897" t="str">
        <f>"15213"</f>
        <v>15213</v>
      </c>
    </row>
    <row r="898" spans="1:16" x14ac:dyDescent="0.25">
      <c r="A898" t="str">
        <f>"1040052E00011030500"</f>
        <v>1040052E00011030500</v>
      </c>
      <c r="B898" t="s">
        <v>2289</v>
      </c>
      <c r="C898" t="s">
        <v>2290</v>
      </c>
      <c r="D898" t="s">
        <v>20</v>
      </c>
      <c r="E898" t="s">
        <v>39</v>
      </c>
      <c r="F898">
        <v>0</v>
      </c>
      <c r="G898">
        <v>0</v>
      </c>
      <c r="H898">
        <v>2</v>
      </c>
      <c r="I898" s="3">
        <v>2036.62</v>
      </c>
      <c r="J898" s="3">
        <v>0</v>
      </c>
      <c r="K898" t="s">
        <v>2291</v>
      </c>
      <c r="L898">
        <v>128</v>
      </c>
      <c r="M898" t="s">
        <v>2292</v>
      </c>
      <c r="N898" t="s">
        <v>30</v>
      </c>
      <c r="O898" t="s">
        <v>31</v>
      </c>
      <c r="P898" t="str">
        <f>"15213"</f>
        <v>15213</v>
      </c>
    </row>
    <row r="899" spans="1:16" x14ac:dyDescent="0.25">
      <c r="A899" t="str">
        <f>"1040052E00011050700"</f>
        <v>1040052E00011050700</v>
      </c>
      <c r="B899" t="s">
        <v>2293</v>
      </c>
      <c r="C899" t="s">
        <v>2294</v>
      </c>
      <c r="D899" t="s">
        <v>20</v>
      </c>
      <c r="E899" t="s">
        <v>39</v>
      </c>
      <c r="F899">
        <v>0</v>
      </c>
      <c r="G899">
        <v>0</v>
      </c>
      <c r="H899">
        <v>1</v>
      </c>
      <c r="I899" s="3">
        <v>978.24</v>
      </c>
      <c r="J899" s="3">
        <v>0</v>
      </c>
      <c r="L899">
        <v>6953</v>
      </c>
      <c r="M899" t="s">
        <v>585</v>
      </c>
      <c r="N899" t="s">
        <v>30</v>
      </c>
      <c r="O899" t="s">
        <v>31</v>
      </c>
      <c r="P899" t="str">
        <f>"15208"</f>
        <v>15208</v>
      </c>
    </row>
    <row r="900" spans="1:16" x14ac:dyDescent="0.25">
      <c r="A900" t="str">
        <f>"1040052E00011060800"</f>
        <v>1040052E00011060800</v>
      </c>
      <c r="B900" t="s">
        <v>2295</v>
      </c>
      <c r="C900" t="s">
        <v>2296</v>
      </c>
      <c r="D900" t="s">
        <v>20</v>
      </c>
      <c r="E900" t="s">
        <v>39</v>
      </c>
      <c r="F900">
        <v>0</v>
      </c>
      <c r="G900">
        <v>0</v>
      </c>
      <c r="H900">
        <v>2</v>
      </c>
      <c r="I900" s="3">
        <v>550.76</v>
      </c>
      <c r="J900" s="3">
        <v>0</v>
      </c>
      <c r="K900" t="s">
        <v>2297</v>
      </c>
      <c r="L900">
        <v>2233</v>
      </c>
      <c r="M900" t="s">
        <v>2298</v>
      </c>
      <c r="N900" t="s">
        <v>2299</v>
      </c>
      <c r="O900" t="s">
        <v>31</v>
      </c>
      <c r="P900" t="str">
        <f>"19446"</f>
        <v>19446</v>
      </c>
    </row>
    <row r="901" spans="1:16" x14ac:dyDescent="0.25">
      <c r="A901" t="str">
        <f>"1040052E00033005600"</f>
        <v>1040052E00033005600</v>
      </c>
      <c r="B901" t="s">
        <v>2300</v>
      </c>
      <c r="C901" t="s">
        <v>2301</v>
      </c>
      <c r="D901" t="s">
        <v>20</v>
      </c>
      <c r="E901" t="s">
        <v>39</v>
      </c>
      <c r="F901">
        <v>0</v>
      </c>
      <c r="G901">
        <v>0</v>
      </c>
      <c r="H901">
        <v>1</v>
      </c>
      <c r="I901" s="3">
        <v>1635.82</v>
      </c>
      <c r="J901" s="3">
        <v>0</v>
      </c>
      <c r="K901" t="s">
        <v>2302</v>
      </c>
      <c r="L901">
        <v>3001</v>
      </c>
      <c r="M901" t="s">
        <v>330</v>
      </c>
      <c r="N901" t="s">
        <v>331</v>
      </c>
      <c r="O901" t="s">
        <v>108</v>
      </c>
      <c r="P901" t="str">
        <f>"75063"</f>
        <v>75063</v>
      </c>
    </row>
    <row r="902" spans="1:16" x14ac:dyDescent="0.25">
      <c r="A902" t="str">
        <f>"1040052E00033007600"</f>
        <v>1040052E00033007600</v>
      </c>
      <c r="B902" t="s">
        <v>2303</v>
      </c>
      <c r="C902" t="s">
        <v>2304</v>
      </c>
      <c r="D902" t="s">
        <v>20</v>
      </c>
      <c r="E902" t="s">
        <v>39</v>
      </c>
      <c r="F902">
        <v>0</v>
      </c>
      <c r="G902">
        <v>0</v>
      </c>
      <c r="H902">
        <v>2</v>
      </c>
      <c r="I902" s="3">
        <v>4376.18</v>
      </c>
      <c r="J902" s="3">
        <v>0</v>
      </c>
      <c r="K902" t="s">
        <v>2305</v>
      </c>
      <c r="L902">
        <v>552</v>
      </c>
      <c r="M902" t="s">
        <v>2306</v>
      </c>
      <c r="N902" t="s">
        <v>30</v>
      </c>
      <c r="O902" t="s">
        <v>31</v>
      </c>
      <c r="P902" t="str">
        <f>"15213"</f>
        <v>15213</v>
      </c>
    </row>
    <row r="903" spans="1:16" x14ac:dyDescent="0.25">
      <c r="A903" t="str">
        <f>"1040052E00047060100"</f>
        <v>1040052E00047060100</v>
      </c>
      <c r="B903" t="s">
        <v>2307</v>
      </c>
      <c r="C903" t="s">
        <v>2308</v>
      </c>
      <c r="D903" t="s">
        <v>20</v>
      </c>
      <c r="E903" t="s">
        <v>39</v>
      </c>
      <c r="F903">
        <v>0</v>
      </c>
      <c r="G903">
        <v>0</v>
      </c>
      <c r="H903">
        <v>1</v>
      </c>
      <c r="I903" s="3">
        <v>117.05</v>
      </c>
      <c r="J903" s="3">
        <v>0</v>
      </c>
      <c r="L903">
        <v>540</v>
      </c>
      <c r="M903" t="s">
        <v>2309</v>
      </c>
      <c r="N903" t="s">
        <v>30</v>
      </c>
      <c r="O903" t="s">
        <v>31</v>
      </c>
      <c r="P903" t="str">
        <f>"15213"</f>
        <v>15213</v>
      </c>
    </row>
    <row r="904" spans="1:16" x14ac:dyDescent="0.25">
      <c r="A904" t="str">
        <f>"1040052J00161    00"</f>
        <v>1040052J00161    00</v>
      </c>
      <c r="B904" t="s">
        <v>2310</v>
      </c>
      <c r="C904" t="s">
        <v>2311</v>
      </c>
      <c r="D904" t="s">
        <v>20</v>
      </c>
      <c r="E904" t="s">
        <v>21</v>
      </c>
      <c r="F904">
        <v>0</v>
      </c>
      <c r="G904">
        <v>0</v>
      </c>
      <c r="H904">
        <v>3</v>
      </c>
      <c r="I904" s="3">
        <v>16830.330000000002</v>
      </c>
      <c r="J904" s="3">
        <v>606.79999999999995</v>
      </c>
      <c r="L904">
        <v>6617</v>
      </c>
      <c r="M904" t="s">
        <v>2312</v>
      </c>
      <c r="N904" t="s">
        <v>30</v>
      </c>
      <c r="O904" t="s">
        <v>31</v>
      </c>
      <c r="P904" t="str">
        <f>"15217"</f>
        <v>15217</v>
      </c>
    </row>
    <row r="905" spans="1:16" x14ac:dyDescent="0.25">
      <c r="A905" t="str">
        <f>"1040052J00173    00"</f>
        <v>1040052J00173    00</v>
      </c>
      <c r="B905" t="s">
        <v>2313</v>
      </c>
      <c r="C905" t="s">
        <v>2314</v>
      </c>
      <c r="E905" t="s">
        <v>207</v>
      </c>
      <c r="F905">
        <v>0</v>
      </c>
      <c r="G905">
        <v>0</v>
      </c>
      <c r="H905">
        <v>2</v>
      </c>
      <c r="I905" s="3">
        <v>2488.6999999999998</v>
      </c>
      <c r="J905" s="3">
        <v>1019.15</v>
      </c>
      <c r="K905" t="s">
        <v>2315</v>
      </c>
      <c r="L905">
        <v>5000</v>
      </c>
      <c r="M905" t="s">
        <v>208</v>
      </c>
      <c r="N905" t="s">
        <v>30</v>
      </c>
      <c r="O905" t="s">
        <v>31</v>
      </c>
      <c r="P905" t="str">
        <f>"15213"</f>
        <v>15213</v>
      </c>
    </row>
    <row r="906" spans="1:16" x14ac:dyDescent="0.25">
      <c r="A906" t="str">
        <f>"1040052J00307    00"</f>
        <v>1040052J00307    00</v>
      </c>
      <c r="B906" t="s">
        <v>2313</v>
      </c>
      <c r="C906" t="s">
        <v>2316</v>
      </c>
      <c r="D906" t="s">
        <v>20</v>
      </c>
      <c r="E906" t="s">
        <v>39</v>
      </c>
      <c r="F906">
        <v>0</v>
      </c>
      <c r="G906">
        <v>0</v>
      </c>
      <c r="H906">
        <v>1</v>
      </c>
      <c r="I906" s="3">
        <v>143.57</v>
      </c>
      <c r="J906" s="3">
        <v>57.43</v>
      </c>
      <c r="K906" t="s">
        <v>2315</v>
      </c>
      <c r="L906">
        <v>5000</v>
      </c>
      <c r="M906" t="s">
        <v>208</v>
      </c>
      <c r="N906" t="s">
        <v>30</v>
      </c>
      <c r="O906" t="s">
        <v>31</v>
      </c>
      <c r="P906" t="str">
        <f>"15213"</f>
        <v>15213</v>
      </c>
    </row>
    <row r="907" spans="1:16" x14ac:dyDescent="0.25">
      <c r="A907" t="str">
        <f>"1040052N00261    00"</f>
        <v>1040052N00261    00</v>
      </c>
      <c r="B907" t="s">
        <v>2317</v>
      </c>
      <c r="C907" t="s">
        <v>2318</v>
      </c>
      <c r="E907" t="s">
        <v>21</v>
      </c>
      <c r="F907">
        <v>0</v>
      </c>
      <c r="G907">
        <v>0</v>
      </c>
      <c r="H907">
        <v>1</v>
      </c>
      <c r="I907" s="3">
        <v>6851.17</v>
      </c>
      <c r="J907" s="3">
        <v>1256</v>
      </c>
      <c r="K907" t="s">
        <v>2319</v>
      </c>
      <c r="L907">
        <v>902</v>
      </c>
      <c r="M907" t="s">
        <v>2320</v>
      </c>
      <c r="N907" t="s">
        <v>2222</v>
      </c>
      <c r="O907" t="s">
        <v>31</v>
      </c>
      <c r="P907" t="str">
        <f>"15015"</f>
        <v>15015</v>
      </c>
    </row>
    <row r="908" spans="1:16" x14ac:dyDescent="0.25">
      <c r="A908" t="str">
        <f>"1040052N00267    00"</f>
        <v>1040052N00267    00</v>
      </c>
      <c r="B908" t="s">
        <v>2321</v>
      </c>
      <c r="C908" t="s">
        <v>2322</v>
      </c>
      <c r="E908" t="s">
        <v>21</v>
      </c>
      <c r="F908">
        <v>0</v>
      </c>
      <c r="G908">
        <v>0</v>
      </c>
      <c r="H908">
        <v>2</v>
      </c>
      <c r="I908" s="3">
        <v>12143.13</v>
      </c>
      <c r="J908" s="3">
        <v>672.83</v>
      </c>
      <c r="K908" t="s">
        <v>2315</v>
      </c>
      <c r="L908">
        <v>5000</v>
      </c>
      <c r="M908" t="s">
        <v>208</v>
      </c>
      <c r="N908" t="s">
        <v>30</v>
      </c>
      <c r="O908" t="s">
        <v>31</v>
      </c>
      <c r="P908" t="str">
        <f>"15213"</f>
        <v>15213</v>
      </c>
    </row>
    <row r="909" spans="1:16" x14ac:dyDescent="0.25">
      <c r="A909" t="str">
        <f>"1040052N00269    00"</f>
        <v>1040052N00269    00</v>
      </c>
      <c r="B909" t="s">
        <v>2321</v>
      </c>
      <c r="C909" t="s">
        <v>2323</v>
      </c>
      <c r="E909" t="s">
        <v>21</v>
      </c>
      <c r="F909">
        <v>0</v>
      </c>
      <c r="G909">
        <v>0</v>
      </c>
      <c r="H909">
        <v>2</v>
      </c>
      <c r="I909" s="3">
        <v>5031.07</v>
      </c>
      <c r="J909" s="3">
        <v>278.77</v>
      </c>
      <c r="K909" t="s">
        <v>2315</v>
      </c>
      <c r="L909">
        <v>5000</v>
      </c>
      <c r="M909" t="s">
        <v>208</v>
      </c>
      <c r="N909" t="s">
        <v>30</v>
      </c>
      <c r="O909" t="s">
        <v>31</v>
      </c>
      <c r="P909" t="str">
        <f>"15213"</f>
        <v>15213</v>
      </c>
    </row>
    <row r="910" spans="1:16" x14ac:dyDescent="0.25">
      <c r="A910" t="str">
        <f>"1040052N00270    00"</f>
        <v>1040052N00270    00</v>
      </c>
      <c r="B910" t="s">
        <v>2313</v>
      </c>
      <c r="C910" t="s">
        <v>2324</v>
      </c>
      <c r="E910" t="s">
        <v>39</v>
      </c>
      <c r="F910">
        <v>0</v>
      </c>
      <c r="G910">
        <v>0</v>
      </c>
      <c r="H910">
        <v>2</v>
      </c>
      <c r="I910" s="3">
        <v>12328</v>
      </c>
      <c r="J910" s="3">
        <v>410.92</v>
      </c>
      <c r="K910" t="s">
        <v>2315</v>
      </c>
      <c r="L910">
        <v>5000</v>
      </c>
      <c r="M910" t="s">
        <v>208</v>
      </c>
      <c r="N910" t="s">
        <v>30</v>
      </c>
      <c r="O910" t="s">
        <v>31</v>
      </c>
      <c r="P910" t="str">
        <f>"15213"</f>
        <v>15213</v>
      </c>
    </row>
    <row r="911" spans="1:16" x14ac:dyDescent="0.25">
      <c r="A911" t="str">
        <f>"1050010C00003    00"</f>
        <v>1050010C00003    00</v>
      </c>
      <c r="B911" t="s">
        <v>2325</v>
      </c>
      <c r="C911" t="s">
        <v>1019</v>
      </c>
      <c r="D911" t="s">
        <v>20</v>
      </c>
      <c r="E911" t="s">
        <v>39</v>
      </c>
      <c r="F911">
        <v>0</v>
      </c>
      <c r="G911">
        <v>0</v>
      </c>
      <c r="H911">
        <v>19</v>
      </c>
      <c r="I911" s="3">
        <v>4313.0200000000004</v>
      </c>
      <c r="J911" s="3">
        <v>3059.28</v>
      </c>
      <c r="L911">
        <v>60</v>
      </c>
      <c r="M911" t="s">
        <v>2326</v>
      </c>
      <c r="N911" t="s">
        <v>2327</v>
      </c>
      <c r="O911" t="s">
        <v>1269</v>
      </c>
      <c r="P911" t="str">
        <f>"06112"</f>
        <v>06112</v>
      </c>
    </row>
    <row r="912" spans="1:16" x14ac:dyDescent="0.25">
      <c r="A912" t="str">
        <f>"1050010C00004    00"</f>
        <v>1050010C00004    00</v>
      </c>
      <c r="B912" t="s">
        <v>2328</v>
      </c>
      <c r="C912" t="s">
        <v>1019</v>
      </c>
      <c r="D912" t="s">
        <v>20</v>
      </c>
      <c r="E912" t="s">
        <v>39</v>
      </c>
      <c r="F912">
        <v>0</v>
      </c>
      <c r="G912">
        <v>0</v>
      </c>
      <c r="H912">
        <v>13</v>
      </c>
      <c r="I912" s="3">
        <v>1024.5999999999999</v>
      </c>
      <c r="J912" s="3">
        <v>678.74</v>
      </c>
      <c r="L912">
        <v>2512</v>
      </c>
      <c r="M912" t="s">
        <v>854</v>
      </c>
      <c r="N912" t="s">
        <v>30</v>
      </c>
      <c r="O912" t="s">
        <v>31</v>
      </c>
      <c r="P912" t="str">
        <f>"15219"</f>
        <v>15219</v>
      </c>
    </row>
    <row r="913" spans="1:16" x14ac:dyDescent="0.25">
      <c r="A913" t="str">
        <f>"1050010C00005    00"</f>
        <v>1050010C00005    00</v>
      </c>
      <c r="B913" t="s">
        <v>2328</v>
      </c>
      <c r="C913" t="s">
        <v>1019</v>
      </c>
      <c r="D913" t="s">
        <v>20</v>
      </c>
      <c r="E913" t="s">
        <v>39</v>
      </c>
      <c r="F913">
        <v>0</v>
      </c>
      <c r="G913">
        <v>0</v>
      </c>
      <c r="H913">
        <v>10</v>
      </c>
      <c r="I913" s="3">
        <v>834.95</v>
      </c>
      <c r="J913" s="3">
        <v>430.79</v>
      </c>
      <c r="L913">
        <v>2512</v>
      </c>
      <c r="M913" t="s">
        <v>854</v>
      </c>
      <c r="N913" t="s">
        <v>30</v>
      </c>
      <c r="O913" t="s">
        <v>31</v>
      </c>
      <c r="P913" t="str">
        <f>"15219"</f>
        <v>15219</v>
      </c>
    </row>
    <row r="914" spans="1:16" x14ac:dyDescent="0.25">
      <c r="A914" t="str">
        <f>"1050010C00006    00"</f>
        <v>1050010C00006    00</v>
      </c>
      <c r="B914" t="s">
        <v>2328</v>
      </c>
      <c r="C914" t="s">
        <v>2329</v>
      </c>
      <c r="D914" t="s">
        <v>20</v>
      </c>
      <c r="E914" t="s">
        <v>39</v>
      </c>
      <c r="F914">
        <v>0</v>
      </c>
      <c r="G914">
        <v>0</v>
      </c>
      <c r="H914">
        <v>5</v>
      </c>
      <c r="I914" s="3">
        <v>2039.45</v>
      </c>
      <c r="J914" s="3">
        <v>94.44</v>
      </c>
      <c r="L914">
        <v>2512</v>
      </c>
      <c r="M914" t="s">
        <v>854</v>
      </c>
      <c r="N914" t="s">
        <v>30</v>
      </c>
      <c r="O914" t="s">
        <v>31</v>
      </c>
      <c r="P914" t="str">
        <f>"15219"</f>
        <v>15219</v>
      </c>
    </row>
    <row r="915" spans="1:16" x14ac:dyDescent="0.25">
      <c r="A915" t="str">
        <f>"1050010C00012    00"</f>
        <v>1050010C00012    00</v>
      </c>
      <c r="B915" t="s">
        <v>2330</v>
      </c>
      <c r="C915" t="s">
        <v>2331</v>
      </c>
      <c r="D915" t="s">
        <v>20</v>
      </c>
      <c r="E915" t="s">
        <v>39</v>
      </c>
      <c r="F915">
        <v>0</v>
      </c>
      <c r="G915">
        <v>0</v>
      </c>
      <c r="H915">
        <v>2</v>
      </c>
      <c r="I915" s="3">
        <v>937.76</v>
      </c>
      <c r="J915" s="3">
        <v>0</v>
      </c>
      <c r="K915" t="s">
        <v>2332</v>
      </c>
      <c r="L915">
        <v>714</v>
      </c>
      <c r="M915" t="s">
        <v>2333</v>
      </c>
      <c r="N915" t="s">
        <v>30</v>
      </c>
      <c r="O915" t="s">
        <v>31</v>
      </c>
      <c r="P915" t="str">
        <f>"15219"</f>
        <v>15219</v>
      </c>
    </row>
    <row r="916" spans="1:16" x14ac:dyDescent="0.25">
      <c r="A916" t="str">
        <f>"1050010C00017    00"</f>
        <v>1050010C00017    00</v>
      </c>
      <c r="B916" t="s">
        <v>2334</v>
      </c>
      <c r="C916" t="s">
        <v>2335</v>
      </c>
      <c r="D916" t="s">
        <v>20</v>
      </c>
      <c r="E916" t="s">
        <v>39</v>
      </c>
      <c r="F916">
        <v>0</v>
      </c>
      <c r="G916">
        <v>0</v>
      </c>
      <c r="H916">
        <v>7</v>
      </c>
      <c r="I916" s="3">
        <v>4104.75</v>
      </c>
      <c r="J916" s="3">
        <v>1166.82</v>
      </c>
      <c r="L916">
        <v>4927</v>
      </c>
      <c r="M916" t="s">
        <v>841</v>
      </c>
      <c r="N916" t="s">
        <v>30</v>
      </c>
      <c r="O916" t="s">
        <v>31</v>
      </c>
      <c r="P916" t="str">
        <f>"15201"</f>
        <v>15201</v>
      </c>
    </row>
    <row r="917" spans="1:16" x14ac:dyDescent="0.25">
      <c r="A917" t="str">
        <f>"1050010C00018    00"</f>
        <v>1050010C00018    00</v>
      </c>
      <c r="B917" t="s">
        <v>2330</v>
      </c>
      <c r="C917" t="s">
        <v>2336</v>
      </c>
      <c r="D917" t="s">
        <v>20</v>
      </c>
      <c r="E917" t="s">
        <v>39</v>
      </c>
      <c r="F917">
        <v>0</v>
      </c>
      <c r="G917">
        <v>0</v>
      </c>
      <c r="H917">
        <v>3</v>
      </c>
      <c r="I917" s="3">
        <v>979.3</v>
      </c>
      <c r="J917" s="3">
        <v>5.05</v>
      </c>
      <c r="L917">
        <v>714</v>
      </c>
      <c r="M917" t="s">
        <v>2333</v>
      </c>
      <c r="N917" t="s">
        <v>30</v>
      </c>
      <c r="O917" t="s">
        <v>31</v>
      </c>
      <c r="P917" t="str">
        <f t="shared" ref="P917:P923" si="14">"15219"</f>
        <v>15219</v>
      </c>
    </row>
    <row r="918" spans="1:16" x14ac:dyDescent="0.25">
      <c r="A918" t="str">
        <f>"1050010C00022    00"</f>
        <v>1050010C00022    00</v>
      </c>
      <c r="B918" t="s">
        <v>2337</v>
      </c>
      <c r="C918" t="s">
        <v>2338</v>
      </c>
      <c r="D918" t="s">
        <v>20</v>
      </c>
      <c r="E918" t="s">
        <v>21</v>
      </c>
      <c r="F918">
        <v>0</v>
      </c>
      <c r="G918">
        <v>0</v>
      </c>
      <c r="H918">
        <v>2</v>
      </c>
      <c r="I918" s="3">
        <v>1129.95</v>
      </c>
      <c r="J918" s="3">
        <v>0</v>
      </c>
      <c r="L918">
        <v>1801</v>
      </c>
      <c r="M918" t="s">
        <v>1117</v>
      </c>
      <c r="N918" t="s">
        <v>30</v>
      </c>
      <c r="O918" t="s">
        <v>31</v>
      </c>
      <c r="P918" t="str">
        <f t="shared" si="14"/>
        <v>15219</v>
      </c>
    </row>
    <row r="919" spans="1:16" x14ac:dyDescent="0.25">
      <c r="A919" t="str">
        <f>"1050010C00027    00"</f>
        <v>1050010C00027    00</v>
      </c>
      <c r="B919" t="s">
        <v>2339</v>
      </c>
      <c r="C919" t="s">
        <v>2340</v>
      </c>
      <c r="D919" t="s">
        <v>20</v>
      </c>
      <c r="E919" t="s">
        <v>39</v>
      </c>
      <c r="F919">
        <v>0</v>
      </c>
      <c r="G919">
        <v>0</v>
      </c>
      <c r="H919">
        <v>4</v>
      </c>
      <c r="I919" s="3">
        <v>859.62</v>
      </c>
      <c r="J919" s="3">
        <v>116.07</v>
      </c>
      <c r="L919">
        <v>2528</v>
      </c>
      <c r="M919" t="s">
        <v>854</v>
      </c>
      <c r="N919" t="s">
        <v>30</v>
      </c>
      <c r="O919" t="s">
        <v>31</v>
      </c>
      <c r="P919" t="str">
        <f t="shared" si="14"/>
        <v>15219</v>
      </c>
    </row>
    <row r="920" spans="1:16" x14ac:dyDescent="0.25">
      <c r="A920" t="str">
        <f>"1050010C00051    00"</f>
        <v>1050010C00051    00</v>
      </c>
      <c r="B920" t="s">
        <v>2341</v>
      </c>
      <c r="C920" t="s">
        <v>2342</v>
      </c>
      <c r="D920" t="s">
        <v>20</v>
      </c>
      <c r="E920" t="s">
        <v>39</v>
      </c>
      <c r="F920">
        <v>0</v>
      </c>
      <c r="G920">
        <v>0</v>
      </c>
      <c r="H920">
        <v>2</v>
      </c>
      <c r="I920" s="3">
        <v>1649.9</v>
      </c>
      <c r="J920" s="3">
        <v>0</v>
      </c>
      <c r="L920">
        <v>2621</v>
      </c>
      <c r="M920" t="s">
        <v>1090</v>
      </c>
      <c r="N920" t="s">
        <v>30</v>
      </c>
      <c r="O920" t="s">
        <v>31</v>
      </c>
      <c r="P920" t="str">
        <f t="shared" si="14"/>
        <v>15219</v>
      </c>
    </row>
    <row r="921" spans="1:16" x14ac:dyDescent="0.25">
      <c r="A921" t="str">
        <f>"1050010C00054    00"</f>
        <v>1050010C00054    00</v>
      </c>
      <c r="B921" t="s">
        <v>2343</v>
      </c>
      <c r="C921" t="s">
        <v>2344</v>
      </c>
      <c r="D921" t="s">
        <v>20</v>
      </c>
      <c r="E921" t="s">
        <v>39</v>
      </c>
      <c r="F921">
        <v>0</v>
      </c>
      <c r="G921">
        <v>0</v>
      </c>
      <c r="H921">
        <v>2</v>
      </c>
      <c r="I921" s="3">
        <v>710.7</v>
      </c>
      <c r="J921" s="3">
        <v>0</v>
      </c>
      <c r="L921">
        <v>2621</v>
      </c>
      <c r="M921" t="s">
        <v>1090</v>
      </c>
      <c r="N921" t="s">
        <v>30</v>
      </c>
      <c r="O921" t="s">
        <v>31</v>
      </c>
      <c r="P921" t="str">
        <f t="shared" si="14"/>
        <v>15219</v>
      </c>
    </row>
    <row r="922" spans="1:16" x14ac:dyDescent="0.25">
      <c r="A922" t="str">
        <f>"1050010C00074    00"</f>
        <v>1050010C00074    00</v>
      </c>
      <c r="B922" t="s">
        <v>2345</v>
      </c>
      <c r="C922" t="s">
        <v>2346</v>
      </c>
      <c r="E922" t="s">
        <v>39</v>
      </c>
      <c r="F922">
        <v>0</v>
      </c>
      <c r="G922">
        <v>0</v>
      </c>
      <c r="H922">
        <v>2</v>
      </c>
      <c r="I922" s="3">
        <v>915.3</v>
      </c>
      <c r="J922" s="3">
        <v>194.38</v>
      </c>
      <c r="L922">
        <v>1804</v>
      </c>
      <c r="M922" t="s">
        <v>208</v>
      </c>
      <c r="N922" t="s">
        <v>30</v>
      </c>
      <c r="O922" t="s">
        <v>31</v>
      </c>
      <c r="P922" t="str">
        <f t="shared" si="14"/>
        <v>15219</v>
      </c>
    </row>
    <row r="923" spans="1:16" x14ac:dyDescent="0.25">
      <c r="A923" t="str">
        <f>"1050010C00078    00"</f>
        <v>1050010C00078    00</v>
      </c>
      <c r="B923" t="s">
        <v>2347</v>
      </c>
      <c r="C923" t="s">
        <v>2348</v>
      </c>
      <c r="E923" t="s">
        <v>39</v>
      </c>
      <c r="F923">
        <v>0</v>
      </c>
      <c r="G923">
        <v>0</v>
      </c>
      <c r="H923">
        <v>1</v>
      </c>
      <c r="I923" s="3">
        <v>482.57</v>
      </c>
      <c r="J923" s="3">
        <v>96.51</v>
      </c>
      <c r="L923">
        <v>1804</v>
      </c>
      <c r="M923" t="s">
        <v>208</v>
      </c>
      <c r="N923" t="s">
        <v>30</v>
      </c>
      <c r="O923" t="s">
        <v>31</v>
      </c>
      <c r="P923" t="str">
        <f t="shared" si="14"/>
        <v>15219</v>
      </c>
    </row>
    <row r="924" spans="1:16" x14ac:dyDescent="0.25">
      <c r="A924" t="str">
        <f>"1050010C00083    00"</f>
        <v>1050010C00083    00</v>
      </c>
      <c r="B924" t="s">
        <v>2349</v>
      </c>
      <c r="C924" t="s">
        <v>1019</v>
      </c>
      <c r="E924" t="s">
        <v>39</v>
      </c>
      <c r="F924">
        <v>0</v>
      </c>
      <c r="G924">
        <v>0</v>
      </c>
      <c r="H924">
        <v>2</v>
      </c>
      <c r="I924" s="3">
        <v>26.14</v>
      </c>
      <c r="J924" s="3">
        <v>6.51</v>
      </c>
      <c r="L924">
        <v>7131</v>
      </c>
      <c r="M924" t="s">
        <v>2350</v>
      </c>
      <c r="N924" t="s">
        <v>30</v>
      </c>
      <c r="O924" t="s">
        <v>31</v>
      </c>
      <c r="P924" t="str">
        <f>"15208"</f>
        <v>15208</v>
      </c>
    </row>
    <row r="925" spans="1:16" x14ac:dyDescent="0.25">
      <c r="A925" t="str">
        <f>"1050010D00049    00"</f>
        <v>1050010D00049    00</v>
      </c>
      <c r="B925" t="s">
        <v>2351</v>
      </c>
      <c r="C925" t="s">
        <v>2352</v>
      </c>
      <c r="D925" t="s">
        <v>20</v>
      </c>
      <c r="E925" t="s">
        <v>39</v>
      </c>
      <c r="F925">
        <v>0</v>
      </c>
      <c r="G925">
        <v>0</v>
      </c>
      <c r="H925">
        <v>17</v>
      </c>
      <c r="I925" s="3">
        <v>2166.4699999999998</v>
      </c>
      <c r="J925" s="3">
        <v>3219.52</v>
      </c>
      <c r="K925" t="s">
        <v>1008</v>
      </c>
      <c r="P925" t="str">
        <f>""</f>
        <v/>
      </c>
    </row>
    <row r="926" spans="1:16" x14ac:dyDescent="0.25">
      <c r="A926" t="str">
        <f>"1050010D00049A   00"</f>
        <v>1050010D00049A   00</v>
      </c>
      <c r="B926" t="s">
        <v>2353</v>
      </c>
      <c r="C926" t="s">
        <v>2352</v>
      </c>
      <c r="D926" t="s">
        <v>20</v>
      </c>
      <c r="E926" t="s">
        <v>39</v>
      </c>
      <c r="F926">
        <v>0</v>
      </c>
      <c r="G926">
        <v>0</v>
      </c>
      <c r="H926">
        <v>6</v>
      </c>
      <c r="I926" s="3">
        <v>33.58</v>
      </c>
      <c r="J926" s="3">
        <v>9.84</v>
      </c>
      <c r="L926">
        <v>9921</v>
      </c>
      <c r="M926" t="s">
        <v>2354</v>
      </c>
      <c r="N926" t="s">
        <v>2355</v>
      </c>
      <c r="O926" t="s">
        <v>1413</v>
      </c>
      <c r="P926" t="str">
        <f>"28078"</f>
        <v>28078</v>
      </c>
    </row>
    <row r="927" spans="1:16" x14ac:dyDescent="0.25">
      <c r="A927" t="str">
        <f>"1050010D00050A   00"</f>
        <v>1050010D00050A   00</v>
      </c>
      <c r="B927" t="s">
        <v>2356</v>
      </c>
      <c r="C927" t="s">
        <v>2352</v>
      </c>
      <c r="D927" t="s">
        <v>20</v>
      </c>
      <c r="E927" t="s">
        <v>39</v>
      </c>
      <c r="F927">
        <v>0</v>
      </c>
      <c r="G927">
        <v>0</v>
      </c>
      <c r="H927">
        <v>10</v>
      </c>
      <c r="I927" s="3">
        <v>1000.66</v>
      </c>
      <c r="J927" s="3">
        <v>1674.75</v>
      </c>
      <c r="L927">
        <v>2029</v>
      </c>
      <c r="M927" t="s">
        <v>2357</v>
      </c>
      <c r="N927" t="s">
        <v>30</v>
      </c>
      <c r="O927" t="s">
        <v>31</v>
      </c>
      <c r="P927" t="str">
        <f>"15221"</f>
        <v>15221</v>
      </c>
    </row>
    <row r="928" spans="1:16" x14ac:dyDescent="0.25">
      <c r="A928" t="str">
        <f>"1050010D00050B   00"</f>
        <v>1050010D00050B   00</v>
      </c>
      <c r="B928" t="s">
        <v>2358</v>
      </c>
      <c r="C928" t="s">
        <v>2352</v>
      </c>
      <c r="D928" t="s">
        <v>20</v>
      </c>
      <c r="E928" t="s">
        <v>39</v>
      </c>
      <c r="F928">
        <v>0</v>
      </c>
      <c r="G928">
        <v>0</v>
      </c>
      <c r="H928">
        <v>17</v>
      </c>
      <c r="I928" s="3">
        <v>2335.61</v>
      </c>
      <c r="J928" s="3">
        <v>3413.58</v>
      </c>
      <c r="K928" t="s">
        <v>1037</v>
      </c>
      <c r="L928">
        <v>720</v>
      </c>
      <c r="M928" t="s">
        <v>2359</v>
      </c>
      <c r="N928" t="s">
        <v>30</v>
      </c>
      <c r="O928" t="s">
        <v>31</v>
      </c>
      <c r="P928" t="str">
        <f>"15219"</f>
        <v>15219</v>
      </c>
    </row>
    <row r="929" spans="1:16" x14ac:dyDescent="0.25">
      <c r="A929" t="str">
        <f>"1050010D00051    00"</f>
        <v>1050010D00051    00</v>
      </c>
      <c r="B929" t="s">
        <v>1997</v>
      </c>
      <c r="C929" t="s">
        <v>2360</v>
      </c>
      <c r="E929" t="s">
        <v>39</v>
      </c>
      <c r="F929">
        <v>0</v>
      </c>
      <c r="G929">
        <v>0</v>
      </c>
      <c r="H929">
        <v>17</v>
      </c>
      <c r="I929" s="3">
        <v>6371.49</v>
      </c>
      <c r="J929" s="3">
        <v>7595.1</v>
      </c>
      <c r="K929" t="s">
        <v>2361</v>
      </c>
      <c r="L929">
        <v>412</v>
      </c>
      <c r="M929" t="s">
        <v>221</v>
      </c>
      <c r="N929" t="s">
        <v>30</v>
      </c>
      <c r="O929" t="s">
        <v>31</v>
      </c>
      <c r="P929" t="str">
        <f>"15219"</f>
        <v>15219</v>
      </c>
    </row>
    <row r="930" spans="1:16" x14ac:dyDescent="0.25">
      <c r="A930" t="str">
        <f>"1050010D00051A   00"</f>
        <v>1050010D00051A   00</v>
      </c>
      <c r="B930" t="s">
        <v>2362</v>
      </c>
      <c r="C930" t="s">
        <v>2363</v>
      </c>
      <c r="D930" t="s">
        <v>20</v>
      </c>
      <c r="E930" t="s">
        <v>39</v>
      </c>
      <c r="F930">
        <v>0</v>
      </c>
      <c r="G930">
        <v>0</v>
      </c>
      <c r="H930">
        <v>9</v>
      </c>
      <c r="I930" s="3">
        <v>2467.35</v>
      </c>
      <c r="J930" s="3">
        <v>1139.68</v>
      </c>
      <c r="L930">
        <v>824</v>
      </c>
      <c r="M930" t="s">
        <v>1070</v>
      </c>
      <c r="N930" t="s">
        <v>30</v>
      </c>
      <c r="O930" t="s">
        <v>31</v>
      </c>
      <c r="P930" t="str">
        <f>"15219"</f>
        <v>15219</v>
      </c>
    </row>
    <row r="931" spans="1:16" x14ac:dyDescent="0.25">
      <c r="A931" t="str">
        <f>"1050010D00052    00"</f>
        <v>1050010D00052    00</v>
      </c>
      <c r="B931" t="s">
        <v>2362</v>
      </c>
      <c r="C931" t="s">
        <v>2364</v>
      </c>
      <c r="D931" t="s">
        <v>20</v>
      </c>
      <c r="E931" t="s">
        <v>39</v>
      </c>
      <c r="F931">
        <v>0</v>
      </c>
      <c r="G931">
        <v>0</v>
      </c>
      <c r="H931">
        <v>9</v>
      </c>
      <c r="I931" s="3">
        <v>1484.73</v>
      </c>
      <c r="J931" s="3">
        <v>527.08000000000004</v>
      </c>
      <c r="L931">
        <v>824</v>
      </c>
      <c r="M931" t="s">
        <v>1070</v>
      </c>
      <c r="N931" t="s">
        <v>30</v>
      </c>
      <c r="O931" t="s">
        <v>31</v>
      </c>
      <c r="P931" t="str">
        <f>"15219"</f>
        <v>15219</v>
      </c>
    </row>
    <row r="932" spans="1:16" x14ac:dyDescent="0.25">
      <c r="A932" t="str">
        <f>"1050010D00056    00"</f>
        <v>1050010D00056    00</v>
      </c>
      <c r="B932" t="s">
        <v>2365</v>
      </c>
      <c r="C932" t="s">
        <v>2366</v>
      </c>
      <c r="D932" t="s">
        <v>20</v>
      </c>
      <c r="E932" t="s">
        <v>39</v>
      </c>
      <c r="F932">
        <v>0</v>
      </c>
      <c r="G932">
        <v>0</v>
      </c>
      <c r="H932">
        <v>1</v>
      </c>
      <c r="I932" s="3">
        <v>474.6</v>
      </c>
      <c r="J932" s="3">
        <v>0</v>
      </c>
      <c r="L932">
        <v>834</v>
      </c>
      <c r="M932" t="s">
        <v>1070</v>
      </c>
      <c r="N932" t="s">
        <v>30</v>
      </c>
      <c r="O932" t="s">
        <v>31</v>
      </c>
      <c r="P932" t="str">
        <f>"15219"</f>
        <v>15219</v>
      </c>
    </row>
    <row r="933" spans="1:16" x14ac:dyDescent="0.25">
      <c r="A933" t="str">
        <f>"1050010D00056A   00"</f>
        <v>1050010D00056A   00</v>
      </c>
      <c r="B933" t="s">
        <v>910</v>
      </c>
      <c r="C933" t="s">
        <v>2367</v>
      </c>
      <c r="D933" t="s">
        <v>20</v>
      </c>
      <c r="E933" t="s">
        <v>21</v>
      </c>
      <c r="F933">
        <v>0</v>
      </c>
      <c r="G933">
        <v>0</v>
      </c>
      <c r="H933">
        <v>3</v>
      </c>
      <c r="I933" s="3">
        <v>2751.14</v>
      </c>
      <c r="J933" s="3">
        <v>29.74</v>
      </c>
      <c r="K933" t="s">
        <v>912</v>
      </c>
      <c r="L933">
        <v>46</v>
      </c>
      <c r="M933" t="s">
        <v>913</v>
      </c>
      <c r="N933" t="s">
        <v>914</v>
      </c>
      <c r="O933" t="s">
        <v>200</v>
      </c>
      <c r="P933" t="str">
        <f>"10952"</f>
        <v>10952</v>
      </c>
    </row>
    <row r="934" spans="1:16" x14ac:dyDescent="0.25">
      <c r="A934" t="str">
        <f>"1050010D00060    00"</f>
        <v>1050010D00060    00</v>
      </c>
      <c r="B934" t="s">
        <v>2368</v>
      </c>
      <c r="C934" t="s">
        <v>2369</v>
      </c>
      <c r="D934" t="s">
        <v>20</v>
      </c>
      <c r="E934" t="s">
        <v>39</v>
      </c>
      <c r="F934">
        <v>0</v>
      </c>
      <c r="G934">
        <v>0</v>
      </c>
      <c r="H934">
        <v>8</v>
      </c>
      <c r="I934" s="3">
        <v>527.47</v>
      </c>
      <c r="J934" s="3">
        <v>438.94</v>
      </c>
      <c r="K934" t="s">
        <v>2370</v>
      </c>
      <c r="L934">
        <v>714</v>
      </c>
      <c r="M934" t="s">
        <v>2371</v>
      </c>
      <c r="N934" t="s">
        <v>30</v>
      </c>
      <c r="O934" t="s">
        <v>31</v>
      </c>
      <c r="P934" t="str">
        <f>"15219"</f>
        <v>15219</v>
      </c>
    </row>
    <row r="935" spans="1:16" x14ac:dyDescent="0.25">
      <c r="A935" t="str">
        <f>"1050010D00060A   00"</f>
        <v>1050010D00060A   00</v>
      </c>
      <c r="B935" t="s">
        <v>2372</v>
      </c>
      <c r="C935" t="s">
        <v>2369</v>
      </c>
      <c r="D935" t="s">
        <v>20</v>
      </c>
      <c r="E935" t="s">
        <v>39</v>
      </c>
      <c r="F935">
        <v>0</v>
      </c>
      <c r="G935">
        <v>0</v>
      </c>
      <c r="H935">
        <v>17</v>
      </c>
      <c r="I935" s="3">
        <v>4929.7299999999996</v>
      </c>
      <c r="J935" s="3">
        <v>5124.58</v>
      </c>
      <c r="L935">
        <v>1615</v>
      </c>
      <c r="M935" t="s">
        <v>2373</v>
      </c>
      <c r="N935" t="s">
        <v>30</v>
      </c>
      <c r="O935" t="s">
        <v>31</v>
      </c>
      <c r="P935" t="str">
        <f>"15205"</f>
        <v>15205</v>
      </c>
    </row>
    <row r="936" spans="1:16" x14ac:dyDescent="0.25">
      <c r="A936" t="str">
        <f>"1050010D00060B   00"</f>
        <v>1050010D00060B   00</v>
      </c>
      <c r="B936" t="s">
        <v>2374</v>
      </c>
      <c r="C936" t="s">
        <v>2369</v>
      </c>
      <c r="D936" t="s">
        <v>20</v>
      </c>
      <c r="E936" t="s">
        <v>39</v>
      </c>
      <c r="F936">
        <v>0</v>
      </c>
      <c r="G936">
        <v>0</v>
      </c>
      <c r="H936">
        <v>7</v>
      </c>
      <c r="I936" s="3">
        <v>39.03</v>
      </c>
      <c r="J936" s="3">
        <v>14.2</v>
      </c>
      <c r="L936">
        <v>717</v>
      </c>
      <c r="M936" t="s">
        <v>2371</v>
      </c>
      <c r="N936" t="s">
        <v>30</v>
      </c>
      <c r="O936" t="s">
        <v>31</v>
      </c>
      <c r="P936" t="str">
        <f>"15219"</f>
        <v>15219</v>
      </c>
    </row>
    <row r="937" spans="1:16" x14ac:dyDescent="0.25">
      <c r="A937" t="str">
        <f>"1050010D00067    00"</f>
        <v>1050010D00067    00</v>
      </c>
      <c r="B937" t="s">
        <v>2375</v>
      </c>
      <c r="C937" t="s">
        <v>1019</v>
      </c>
      <c r="D937" t="s">
        <v>20</v>
      </c>
      <c r="E937" t="s">
        <v>39</v>
      </c>
      <c r="F937">
        <v>0</v>
      </c>
      <c r="G937">
        <v>0</v>
      </c>
      <c r="H937">
        <v>17</v>
      </c>
      <c r="I937" s="3">
        <v>170.77</v>
      </c>
      <c r="J937" s="3">
        <v>169.44</v>
      </c>
      <c r="L937">
        <v>2700</v>
      </c>
      <c r="M937" t="s">
        <v>2376</v>
      </c>
      <c r="N937" t="s">
        <v>30</v>
      </c>
      <c r="O937" t="s">
        <v>31</v>
      </c>
      <c r="P937" t="str">
        <f>"15219"</f>
        <v>15219</v>
      </c>
    </row>
    <row r="938" spans="1:16" x14ac:dyDescent="0.25">
      <c r="A938" t="str">
        <f>"1050010D00080    00"</f>
        <v>1050010D00080    00</v>
      </c>
      <c r="B938" t="s">
        <v>2377</v>
      </c>
      <c r="C938" t="s">
        <v>1019</v>
      </c>
      <c r="D938" t="s">
        <v>20</v>
      </c>
      <c r="E938" t="s">
        <v>39</v>
      </c>
      <c r="F938">
        <v>0</v>
      </c>
      <c r="G938">
        <v>0</v>
      </c>
      <c r="H938">
        <v>19</v>
      </c>
      <c r="I938" s="3">
        <v>5164.0200000000004</v>
      </c>
      <c r="J938" s="3">
        <v>3776.61</v>
      </c>
      <c r="L938">
        <v>2820</v>
      </c>
      <c r="M938" t="s">
        <v>854</v>
      </c>
      <c r="N938" t="s">
        <v>30</v>
      </c>
      <c r="O938" t="s">
        <v>31</v>
      </c>
      <c r="P938" t="str">
        <f>"15219"</f>
        <v>15219</v>
      </c>
    </row>
    <row r="939" spans="1:16" x14ac:dyDescent="0.25">
      <c r="A939" t="str">
        <f>"1050010D00093    02"</f>
        <v>1050010D00093    02</v>
      </c>
      <c r="B939" t="s">
        <v>2378</v>
      </c>
      <c r="C939" t="s">
        <v>2379</v>
      </c>
      <c r="E939" t="s">
        <v>21</v>
      </c>
      <c r="F939">
        <v>0</v>
      </c>
      <c r="G939">
        <v>0</v>
      </c>
      <c r="H939">
        <v>1</v>
      </c>
      <c r="I939" s="3">
        <v>4768.8100000000004</v>
      </c>
      <c r="J939" s="3">
        <v>0</v>
      </c>
      <c r="K939" t="s">
        <v>2380</v>
      </c>
      <c r="L939">
        <v>2900</v>
      </c>
      <c r="M939" t="s">
        <v>2381</v>
      </c>
      <c r="N939" t="s">
        <v>30</v>
      </c>
      <c r="O939" t="s">
        <v>31</v>
      </c>
      <c r="P939" t="str">
        <f>"15219"</f>
        <v>15219</v>
      </c>
    </row>
    <row r="940" spans="1:16" x14ac:dyDescent="0.25">
      <c r="A940" t="str">
        <f>"1050010D00099    00"</f>
        <v>1050010D00099    00</v>
      </c>
      <c r="B940" t="s">
        <v>2382</v>
      </c>
      <c r="C940" t="s">
        <v>2383</v>
      </c>
      <c r="D940" t="s">
        <v>20</v>
      </c>
      <c r="E940" t="s">
        <v>39</v>
      </c>
      <c r="F940">
        <v>0</v>
      </c>
      <c r="G940">
        <v>0</v>
      </c>
      <c r="H940">
        <v>3</v>
      </c>
      <c r="I940" s="3">
        <v>895.98</v>
      </c>
      <c r="J940" s="3">
        <v>3.48</v>
      </c>
      <c r="L940">
        <v>74</v>
      </c>
      <c r="M940" t="s">
        <v>2384</v>
      </c>
      <c r="N940" t="s">
        <v>199</v>
      </c>
      <c r="O940" t="s">
        <v>200</v>
      </c>
      <c r="P940" t="str">
        <f>"10025"</f>
        <v>10025</v>
      </c>
    </row>
    <row r="941" spans="1:16" x14ac:dyDescent="0.25">
      <c r="A941" t="str">
        <f>"1050010D00110    00"</f>
        <v>1050010D00110    00</v>
      </c>
      <c r="B941" t="s">
        <v>2385</v>
      </c>
      <c r="C941" t="s">
        <v>2386</v>
      </c>
      <c r="D941" t="s">
        <v>20</v>
      </c>
      <c r="E941" t="s">
        <v>39</v>
      </c>
      <c r="F941">
        <v>0</v>
      </c>
      <c r="G941">
        <v>0</v>
      </c>
      <c r="H941">
        <v>1</v>
      </c>
      <c r="I941" s="3">
        <v>1402.81</v>
      </c>
      <c r="J941" s="3">
        <v>0</v>
      </c>
      <c r="L941">
        <v>806</v>
      </c>
      <c r="M941" t="s">
        <v>2387</v>
      </c>
      <c r="N941" t="s">
        <v>30</v>
      </c>
      <c r="O941" t="s">
        <v>31</v>
      </c>
      <c r="P941" t="str">
        <f>"15219"</f>
        <v>15219</v>
      </c>
    </row>
    <row r="942" spans="1:16" x14ac:dyDescent="0.25">
      <c r="A942" t="str">
        <f>"1050010D00118    00"</f>
        <v>1050010D00118    00</v>
      </c>
      <c r="B942" t="s">
        <v>2388</v>
      </c>
      <c r="C942" t="s">
        <v>1091</v>
      </c>
      <c r="D942" t="s">
        <v>20</v>
      </c>
      <c r="E942" t="s">
        <v>39</v>
      </c>
      <c r="F942">
        <v>0</v>
      </c>
      <c r="G942">
        <v>0</v>
      </c>
      <c r="H942">
        <v>19</v>
      </c>
      <c r="I942" s="3">
        <v>12291.13</v>
      </c>
      <c r="J942" s="3">
        <v>10947.38</v>
      </c>
      <c r="L942">
        <v>9389</v>
      </c>
      <c r="M942" t="s">
        <v>2389</v>
      </c>
      <c r="N942" t="s">
        <v>2390</v>
      </c>
      <c r="O942" t="s">
        <v>180</v>
      </c>
      <c r="P942" t="str">
        <f>"80129"</f>
        <v>80129</v>
      </c>
    </row>
    <row r="943" spans="1:16" x14ac:dyDescent="0.25">
      <c r="A943" t="str">
        <f>"1050010D00121    00"</f>
        <v>1050010D00121    00</v>
      </c>
      <c r="B943" t="s">
        <v>2391</v>
      </c>
      <c r="C943" t="s">
        <v>1091</v>
      </c>
      <c r="D943" t="s">
        <v>20</v>
      </c>
      <c r="E943" t="s">
        <v>39</v>
      </c>
      <c r="F943">
        <v>0</v>
      </c>
      <c r="G943">
        <v>0</v>
      </c>
      <c r="H943">
        <v>15</v>
      </c>
      <c r="I943" s="3">
        <v>4920.32</v>
      </c>
      <c r="J943" s="3">
        <v>7253.28</v>
      </c>
      <c r="L943">
        <v>2845</v>
      </c>
      <c r="M943" t="s">
        <v>1090</v>
      </c>
      <c r="N943" t="s">
        <v>30</v>
      </c>
      <c r="O943" t="s">
        <v>31</v>
      </c>
      <c r="P943" t="str">
        <f>"15219"</f>
        <v>15219</v>
      </c>
    </row>
    <row r="944" spans="1:16" x14ac:dyDescent="0.25">
      <c r="A944" t="str">
        <f>"1050010D00123    00"</f>
        <v>1050010D00123    00</v>
      </c>
      <c r="B944" t="s">
        <v>2392</v>
      </c>
      <c r="C944" t="s">
        <v>2393</v>
      </c>
      <c r="D944" t="s">
        <v>20</v>
      </c>
      <c r="E944" t="s">
        <v>39</v>
      </c>
      <c r="F944">
        <v>0</v>
      </c>
      <c r="G944">
        <v>0</v>
      </c>
      <c r="H944">
        <v>13</v>
      </c>
      <c r="I944" s="3">
        <v>8171.06</v>
      </c>
      <c r="J944" s="3">
        <v>4659.45</v>
      </c>
      <c r="L944">
        <v>613</v>
      </c>
      <c r="M944" t="s">
        <v>2394</v>
      </c>
      <c r="N944" t="s">
        <v>30</v>
      </c>
      <c r="O944" t="s">
        <v>31</v>
      </c>
      <c r="P944" t="str">
        <f>"15219"</f>
        <v>15219</v>
      </c>
    </row>
    <row r="945" spans="1:16" x14ac:dyDescent="0.25">
      <c r="A945" t="str">
        <f>"1050010D00124    00"</f>
        <v>1050010D00124    00</v>
      </c>
      <c r="B945" t="s">
        <v>2392</v>
      </c>
      <c r="C945" t="s">
        <v>2395</v>
      </c>
      <c r="D945" t="s">
        <v>20</v>
      </c>
      <c r="E945" t="s">
        <v>39</v>
      </c>
      <c r="F945">
        <v>0</v>
      </c>
      <c r="G945">
        <v>0</v>
      </c>
      <c r="H945">
        <v>13</v>
      </c>
      <c r="I945" s="3">
        <v>8251.6200000000008</v>
      </c>
      <c r="J945" s="3">
        <v>4696.92</v>
      </c>
      <c r="L945">
        <v>613</v>
      </c>
      <c r="M945" t="s">
        <v>2394</v>
      </c>
      <c r="N945" t="s">
        <v>30</v>
      </c>
      <c r="O945" t="s">
        <v>31</v>
      </c>
      <c r="P945" t="str">
        <f>"15219"</f>
        <v>15219</v>
      </c>
    </row>
    <row r="946" spans="1:16" x14ac:dyDescent="0.25">
      <c r="A946" t="str">
        <f>"1050010D00127    00"</f>
        <v>1050010D00127    00</v>
      </c>
      <c r="B946" t="s">
        <v>2396</v>
      </c>
      <c r="C946" t="s">
        <v>2397</v>
      </c>
      <c r="D946" t="s">
        <v>20</v>
      </c>
      <c r="E946" t="s">
        <v>39</v>
      </c>
      <c r="F946">
        <v>0</v>
      </c>
      <c r="G946">
        <v>0</v>
      </c>
      <c r="H946">
        <v>19</v>
      </c>
      <c r="I946" s="3">
        <v>8738.76</v>
      </c>
      <c r="J946" s="3">
        <v>6785.77</v>
      </c>
      <c r="L946">
        <v>7721</v>
      </c>
      <c r="M946" t="s">
        <v>2398</v>
      </c>
      <c r="N946" t="s">
        <v>1046</v>
      </c>
      <c r="O946" t="s">
        <v>31</v>
      </c>
      <c r="P946" t="str">
        <f>"15147"</f>
        <v>15147</v>
      </c>
    </row>
    <row r="947" spans="1:16" x14ac:dyDescent="0.25">
      <c r="A947" t="str">
        <f>"1050010D00132    00"</f>
        <v>1050010D00132    00</v>
      </c>
      <c r="B947" t="s">
        <v>2392</v>
      </c>
      <c r="C947" t="s">
        <v>2399</v>
      </c>
      <c r="D947" t="s">
        <v>20</v>
      </c>
      <c r="E947" t="s">
        <v>39</v>
      </c>
      <c r="F947">
        <v>0</v>
      </c>
      <c r="G947">
        <v>0</v>
      </c>
      <c r="H947">
        <v>13</v>
      </c>
      <c r="I947" s="3">
        <v>5132.93</v>
      </c>
      <c r="J947" s="3">
        <v>2703.47</v>
      </c>
      <c r="L947">
        <v>613</v>
      </c>
      <c r="M947" t="s">
        <v>2394</v>
      </c>
      <c r="N947" t="s">
        <v>30</v>
      </c>
      <c r="O947" t="s">
        <v>31</v>
      </c>
      <c r="P947" t="str">
        <f>"15219"</f>
        <v>15219</v>
      </c>
    </row>
    <row r="948" spans="1:16" x14ac:dyDescent="0.25">
      <c r="A948" t="str">
        <f>"1050010D00133    00"</f>
        <v>1050010D00133    00</v>
      </c>
      <c r="B948" t="s">
        <v>2400</v>
      </c>
      <c r="C948" t="s">
        <v>2401</v>
      </c>
      <c r="D948" t="s">
        <v>20</v>
      </c>
      <c r="E948" t="s">
        <v>39</v>
      </c>
      <c r="F948">
        <v>0</v>
      </c>
      <c r="G948">
        <v>0</v>
      </c>
      <c r="H948">
        <v>1</v>
      </c>
      <c r="I948" s="3">
        <v>516.53</v>
      </c>
      <c r="J948" s="3">
        <v>0</v>
      </c>
      <c r="K948" t="s">
        <v>2402</v>
      </c>
      <c r="L948">
        <v>161</v>
      </c>
      <c r="M948" t="s">
        <v>1154</v>
      </c>
      <c r="N948" t="s">
        <v>30</v>
      </c>
      <c r="O948" t="s">
        <v>31</v>
      </c>
      <c r="P948" t="str">
        <f>"15219"</f>
        <v>15219</v>
      </c>
    </row>
    <row r="949" spans="1:16" x14ac:dyDescent="0.25">
      <c r="A949" t="str">
        <f>"1050010D00135    00"</f>
        <v>1050010D00135    00</v>
      </c>
      <c r="B949" t="s">
        <v>2392</v>
      </c>
      <c r="C949" t="s">
        <v>2403</v>
      </c>
      <c r="D949" t="s">
        <v>20</v>
      </c>
      <c r="E949" t="s">
        <v>39</v>
      </c>
      <c r="F949">
        <v>0</v>
      </c>
      <c r="G949">
        <v>0</v>
      </c>
      <c r="H949">
        <v>13</v>
      </c>
      <c r="I949" s="3">
        <v>5742.9</v>
      </c>
      <c r="J949" s="3">
        <v>3377.35</v>
      </c>
      <c r="L949">
        <v>613</v>
      </c>
      <c r="M949" t="s">
        <v>2394</v>
      </c>
      <c r="N949" t="s">
        <v>30</v>
      </c>
      <c r="O949" t="s">
        <v>31</v>
      </c>
      <c r="P949" t="str">
        <f>"15219"</f>
        <v>15219</v>
      </c>
    </row>
    <row r="950" spans="1:16" x14ac:dyDescent="0.25">
      <c r="A950" t="str">
        <f>"1050010D00139    00"</f>
        <v>1050010D00139    00</v>
      </c>
      <c r="B950" t="s">
        <v>2404</v>
      </c>
      <c r="C950" t="s">
        <v>1091</v>
      </c>
      <c r="D950" t="s">
        <v>20</v>
      </c>
      <c r="E950" t="s">
        <v>39</v>
      </c>
      <c r="F950">
        <v>0</v>
      </c>
      <c r="G950">
        <v>0</v>
      </c>
      <c r="H950">
        <v>19</v>
      </c>
      <c r="I950" s="3">
        <v>13736.86</v>
      </c>
      <c r="J950" s="3">
        <v>16852.919999999998</v>
      </c>
      <c r="L950">
        <v>206</v>
      </c>
      <c r="M950" t="s">
        <v>2405</v>
      </c>
      <c r="N950" t="s">
        <v>30</v>
      </c>
      <c r="O950" t="s">
        <v>31</v>
      </c>
      <c r="P950" t="str">
        <f>"15224"</f>
        <v>15224</v>
      </c>
    </row>
    <row r="951" spans="1:16" x14ac:dyDescent="0.25">
      <c r="A951" t="str">
        <f>"1050010D00144    00"</f>
        <v>1050010D00144    00</v>
      </c>
      <c r="B951" t="s">
        <v>2406</v>
      </c>
      <c r="C951" t="s">
        <v>2407</v>
      </c>
      <c r="D951" t="s">
        <v>20</v>
      </c>
      <c r="E951" t="s">
        <v>39</v>
      </c>
      <c r="F951">
        <v>0</v>
      </c>
      <c r="G951">
        <v>0</v>
      </c>
      <c r="H951">
        <v>19</v>
      </c>
      <c r="I951" s="3">
        <v>11847.85</v>
      </c>
      <c r="J951" s="3">
        <v>10608.54</v>
      </c>
      <c r="L951">
        <v>770</v>
      </c>
      <c r="M951" t="s">
        <v>2408</v>
      </c>
      <c r="N951" t="s">
        <v>30</v>
      </c>
      <c r="O951" t="s">
        <v>31</v>
      </c>
      <c r="P951" t="str">
        <f>"15219"</f>
        <v>15219</v>
      </c>
    </row>
    <row r="952" spans="1:16" x14ac:dyDescent="0.25">
      <c r="A952" t="str">
        <f>"1050010D00145    00"</f>
        <v>1050010D00145    00</v>
      </c>
      <c r="B952" t="s">
        <v>2409</v>
      </c>
      <c r="C952" t="s">
        <v>1091</v>
      </c>
      <c r="D952" t="s">
        <v>20</v>
      </c>
      <c r="E952" t="s">
        <v>39</v>
      </c>
      <c r="F952">
        <v>0</v>
      </c>
      <c r="G952">
        <v>0</v>
      </c>
      <c r="H952">
        <v>19</v>
      </c>
      <c r="I952" s="3">
        <v>4157.96</v>
      </c>
      <c r="J952" s="3">
        <v>3112.06</v>
      </c>
      <c r="K952" t="s">
        <v>1008</v>
      </c>
      <c r="P952" t="str">
        <f>""</f>
        <v/>
      </c>
    </row>
    <row r="953" spans="1:16" x14ac:dyDescent="0.25">
      <c r="A953" t="str">
        <f>"1050010D00149    00"</f>
        <v>1050010D00149    00</v>
      </c>
      <c r="B953" t="s">
        <v>921</v>
      </c>
      <c r="C953" t="s">
        <v>2410</v>
      </c>
      <c r="D953" t="s">
        <v>20</v>
      </c>
      <c r="E953" t="s">
        <v>21</v>
      </c>
      <c r="F953">
        <v>0</v>
      </c>
      <c r="G953">
        <v>0</v>
      </c>
      <c r="H953">
        <v>1</v>
      </c>
      <c r="I953" s="3">
        <v>1257.98</v>
      </c>
      <c r="J953" s="3">
        <v>0</v>
      </c>
      <c r="L953">
        <v>46</v>
      </c>
      <c r="M953" t="s">
        <v>913</v>
      </c>
      <c r="N953" t="s">
        <v>914</v>
      </c>
      <c r="O953" t="s">
        <v>200</v>
      </c>
      <c r="P953" t="str">
        <f>"10952"</f>
        <v>10952</v>
      </c>
    </row>
    <row r="954" spans="1:16" x14ac:dyDescent="0.25">
      <c r="A954" t="str">
        <f>"1050010D00151    00"</f>
        <v>1050010D00151    00</v>
      </c>
      <c r="B954" t="s">
        <v>2411</v>
      </c>
      <c r="C954" t="s">
        <v>1091</v>
      </c>
      <c r="D954" t="s">
        <v>20</v>
      </c>
      <c r="E954" t="s">
        <v>39</v>
      </c>
      <c r="F954">
        <v>0</v>
      </c>
      <c r="G954">
        <v>0</v>
      </c>
      <c r="H954">
        <v>19</v>
      </c>
      <c r="I954" s="3">
        <v>4621.8500000000004</v>
      </c>
      <c r="J954" s="3">
        <v>3559.15</v>
      </c>
      <c r="K954" t="s">
        <v>2412</v>
      </c>
      <c r="L954">
        <v>6529</v>
      </c>
      <c r="M954" t="s">
        <v>2413</v>
      </c>
      <c r="N954" t="s">
        <v>30</v>
      </c>
      <c r="O954" t="s">
        <v>31</v>
      </c>
      <c r="P954" t="str">
        <f>"15206"</f>
        <v>15206</v>
      </c>
    </row>
    <row r="955" spans="1:16" x14ac:dyDescent="0.25">
      <c r="A955" t="str">
        <f>"1050010D00152    00"</f>
        <v>1050010D00152    00</v>
      </c>
      <c r="B955" t="s">
        <v>2414</v>
      </c>
      <c r="C955" t="s">
        <v>1091</v>
      </c>
      <c r="D955" t="s">
        <v>20</v>
      </c>
      <c r="E955" t="s">
        <v>39</v>
      </c>
      <c r="F955">
        <v>0</v>
      </c>
      <c r="G955">
        <v>0</v>
      </c>
      <c r="H955">
        <v>15</v>
      </c>
      <c r="I955" s="3">
        <v>3161.92</v>
      </c>
      <c r="J955" s="3">
        <v>1690.99</v>
      </c>
      <c r="M955" t="s">
        <v>2415</v>
      </c>
      <c r="N955" t="s">
        <v>2416</v>
      </c>
      <c r="O955" t="s">
        <v>423</v>
      </c>
      <c r="P955" t="str">
        <f>"08260"</f>
        <v>08260</v>
      </c>
    </row>
    <row r="956" spans="1:16" x14ac:dyDescent="0.25">
      <c r="A956" t="str">
        <f>"1050010D00155    00"</f>
        <v>1050010D00155    00</v>
      </c>
      <c r="B956" t="s">
        <v>2417</v>
      </c>
      <c r="C956" t="s">
        <v>1091</v>
      </c>
      <c r="D956" t="s">
        <v>20</v>
      </c>
      <c r="E956" t="s">
        <v>39</v>
      </c>
      <c r="F956">
        <v>0</v>
      </c>
      <c r="G956">
        <v>0</v>
      </c>
      <c r="H956">
        <v>19</v>
      </c>
      <c r="I956" s="3">
        <v>8551.67</v>
      </c>
      <c r="J956" s="3">
        <v>9794.5400000000009</v>
      </c>
      <c r="L956">
        <v>306</v>
      </c>
      <c r="M956" t="s">
        <v>585</v>
      </c>
      <c r="N956" t="s">
        <v>30</v>
      </c>
      <c r="O956" t="s">
        <v>31</v>
      </c>
      <c r="P956" t="str">
        <f>"15221"</f>
        <v>15221</v>
      </c>
    </row>
    <row r="957" spans="1:16" x14ac:dyDescent="0.25">
      <c r="A957" t="str">
        <f>"1050010D00156    00"</f>
        <v>1050010D00156    00</v>
      </c>
      <c r="B957" t="s">
        <v>2418</v>
      </c>
      <c r="C957" t="s">
        <v>1091</v>
      </c>
      <c r="D957" t="s">
        <v>20</v>
      </c>
      <c r="E957" t="s">
        <v>39</v>
      </c>
      <c r="F957">
        <v>0</v>
      </c>
      <c r="G957">
        <v>0</v>
      </c>
      <c r="H957">
        <v>19</v>
      </c>
      <c r="I957" s="3">
        <v>4179.84</v>
      </c>
      <c r="J957" s="3">
        <v>3123.6</v>
      </c>
      <c r="L957">
        <v>2801</v>
      </c>
      <c r="M957" t="s">
        <v>1090</v>
      </c>
      <c r="N957" t="s">
        <v>30</v>
      </c>
      <c r="O957" t="s">
        <v>31</v>
      </c>
      <c r="P957" t="str">
        <f>"15219"</f>
        <v>15219</v>
      </c>
    </row>
    <row r="958" spans="1:16" x14ac:dyDescent="0.25">
      <c r="A958" t="str">
        <f>"1050010D00160    00"</f>
        <v>1050010D00160    00</v>
      </c>
      <c r="B958" t="s">
        <v>2419</v>
      </c>
      <c r="C958" t="s">
        <v>1091</v>
      </c>
      <c r="D958" t="s">
        <v>20</v>
      </c>
      <c r="E958" t="s">
        <v>39</v>
      </c>
      <c r="F958">
        <v>0</v>
      </c>
      <c r="G958">
        <v>0</v>
      </c>
      <c r="H958">
        <v>17</v>
      </c>
      <c r="I958" s="3">
        <v>114.39</v>
      </c>
      <c r="J958" s="3">
        <v>119.62</v>
      </c>
      <c r="L958">
        <v>3121</v>
      </c>
      <c r="M958" t="s">
        <v>2420</v>
      </c>
      <c r="N958" t="s">
        <v>30</v>
      </c>
      <c r="O958" t="s">
        <v>31</v>
      </c>
      <c r="P958" t="str">
        <f>"15219"</f>
        <v>15219</v>
      </c>
    </row>
    <row r="959" spans="1:16" x14ac:dyDescent="0.25">
      <c r="A959" t="str">
        <f>"1050010D00161    00"</f>
        <v>1050010D00161    00</v>
      </c>
      <c r="B959" t="s">
        <v>2421</v>
      </c>
      <c r="C959" t="s">
        <v>1091</v>
      </c>
      <c r="D959" t="s">
        <v>20</v>
      </c>
      <c r="E959" t="s">
        <v>39</v>
      </c>
      <c r="F959">
        <v>0</v>
      </c>
      <c r="G959">
        <v>0</v>
      </c>
      <c r="H959">
        <v>17</v>
      </c>
      <c r="I959" s="3">
        <v>114.39</v>
      </c>
      <c r="J959" s="3">
        <v>119.62</v>
      </c>
      <c r="L959">
        <v>2727</v>
      </c>
      <c r="M959" t="s">
        <v>1090</v>
      </c>
      <c r="N959" t="s">
        <v>30</v>
      </c>
      <c r="O959" t="s">
        <v>31</v>
      </c>
      <c r="P959" t="str">
        <f>"15219"</f>
        <v>15219</v>
      </c>
    </row>
    <row r="960" spans="1:16" x14ac:dyDescent="0.25">
      <c r="A960" t="str">
        <f>"1050010D00166    00"</f>
        <v>1050010D00166    00</v>
      </c>
      <c r="B960" t="s">
        <v>2422</v>
      </c>
      <c r="C960" t="s">
        <v>1091</v>
      </c>
      <c r="D960" t="s">
        <v>20</v>
      </c>
      <c r="E960" t="s">
        <v>39</v>
      </c>
      <c r="F960">
        <v>0</v>
      </c>
      <c r="G960">
        <v>0</v>
      </c>
      <c r="H960">
        <v>17</v>
      </c>
      <c r="I960" s="3">
        <v>114.39</v>
      </c>
      <c r="J960" s="3">
        <v>119.62</v>
      </c>
      <c r="K960" t="s">
        <v>2423</v>
      </c>
      <c r="L960">
        <v>501</v>
      </c>
      <c r="M960" t="s">
        <v>2387</v>
      </c>
      <c r="N960" t="s">
        <v>30</v>
      </c>
      <c r="O960" t="s">
        <v>31</v>
      </c>
      <c r="P960" t="str">
        <f>"15219"</f>
        <v>15219</v>
      </c>
    </row>
    <row r="961" spans="1:16" x14ac:dyDescent="0.25">
      <c r="A961" t="str">
        <f>"1050010D00166B   00"</f>
        <v>1050010D00166B   00</v>
      </c>
      <c r="B961" t="s">
        <v>2424</v>
      </c>
      <c r="C961" t="s">
        <v>2425</v>
      </c>
      <c r="D961" t="s">
        <v>20</v>
      </c>
      <c r="E961" t="s">
        <v>39</v>
      </c>
      <c r="F961">
        <v>0</v>
      </c>
      <c r="G961">
        <v>0</v>
      </c>
      <c r="H961">
        <v>19</v>
      </c>
      <c r="I961" s="3">
        <v>11265.16</v>
      </c>
      <c r="J961" s="3">
        <v>9985.44</v>
      </c>
      <c r="K961" t="s">
        <v>2426</v>
      </c>
      <c r="L961">
        <v>551</v>
      </c>
      <c r="M961" t="s">
        <v>2427</v>
      </c>
      <c r="N961" t="s">
        <v>30</v>
      </c>
      <c r="O961" t="s">
        <v>31</v>
      </c>
      <c r="P961" t="str">
        <f>"15206"</f>
        <v>15206</v>
      </c>
    </row>
    <row r="962" spans="1:16" x14ac:dyDescent="0.25">
      <c r="A962" t="str">
        <f>"1050010D00168A   00"</f>
        <v>1050010D00168A   00</v>
      </c>
      <c r="B962" t="s">
        <v>2428</v>
      </c>
      <c r="C962" t="s">
        <v>1091</v>
      </c>
      <c r="D962" t="s">
        <v>20</v>
      </c>
      <c r="E962" t="s">
        <v>39</v>
      </c>
      <c r="F962">
        <v>0</v>
      </c>
      <c r="G962">
        <v>0</v>
      </c>
      <c r="H962">
        <v>17</v>
      </c>
      <c r="I962" s="3">
        <v>114.39</v>
      </c>
      <c r="J962" s="3">
        <v>119.62</v>
      </c>
      <c r="L962">
        <v>8103</v>
      </c>
      <c r="M962" t="s">
        <v>2429</v>
      </c>
      <c r="N962" t="s">
        <v>30</v>
      </c>
      <c r="O962" t="s">
        <v>31</v>
      </c>
      <c r="P962" t="str">
        <f>"15221"</f>
        <v>15221</v>
      </c>
    </row>
    <row r="963" spans="1:16" x14ac:dyDescent="0.25">
      <c r="A963" t="str">
        <f>"1050010D00170    00"</f>
        <v>1050010D00170    00</v>
      </c>
      <c r="B963" t="s">
        <v>2430</v>
      </c>
      <c r="C963" t="s">
        <v>2352</v>
      </c>
      <c r="D963" t="s">
        <v>20</v>
      </c>
      <c r="E963" t="s">
        <v>39</v>
      </c>
      <c r="F963">
        <v>0</v>
      </c>
      <c r="G963">
        <v>0</v>
      </c>
      <c r="H963">
        <v>17</v>
      </c>
      <c r="I963" s="3">
        <v>158.47999999999999</v>
      </c>
      <c r="J963" s="3">
        <v>178.11</v>
      </c>
      <c r="L963">
        <v>736</v>
      </c>
      <c r="M963" t="s">
        <v>2431</v>
      </c>
      <c r="N963" t="s">
        <v>2432</v>
      </c>
      <c r="O963" t="s">
        <v>25</v>
      </c>
      <c r="P963" t="str">
        <f>"44077"</f>
        <v>44077</v>
      </c>
    </row>
    <row r="964" spans="1:16" x14ac:dyDescent="0.25">
      <c r="A964" t="str">
        <f>"1050010D00170A   00"</f>
        <v>1050010D00170A   00</v>
      </c>
      <c r="B964" t="s">
        <v>2433</v>
      </c>
      <c r="C964" t="s">
        <v>2352</v>
      </c>
      <c r="D964" t="s">
        <v>20</v>
      </c>
      <c r="E964" t="s">
        <v>39</v>
      </c>
      <c r="F964">
        <v>0</v>
      </c>
      <c r="G964">
        <v>0</v>
      </c>
      <c r="H964">
        <v>17</v>
      </c>
      <c r="I964" s="3">
        <v>272.94</v>
      </c>
      <c r="J964" s="3">
        <v>320.75</v>
      </c>
      <c r="L964">
        <v>1730</v>
      </c>
      <c r="M964" t="s">
        <v>2434</v>
      </c>
      <c r="N964" t="s">
        <v>30</v>
      </c>
      <c r="O964" t="s">
        <v>31</v>
      </c>
      <c r="P964" t="str">
        <f>"15215"</f>
        <v>15215</v>
      </c>
    </row>
    <row r="965" spans="1:16" x14ac:dyDescent="0.25">
      <c r="A965" t="str">
        <f>"1050010D00170B   00"</f>
        <v>1050010D00170B   00</v>
      </c>
      <c r="B965" t="s">
        <v>2435</v>
      </c>
      <c r="C965" t="s">
        <v>2352</v>
      </c>
      <c r="D965" t="s">
        <v>20</v>
      </c>
      <c r="E965" t="s">
        <v>39</v>
      </c>
      <c r="F965">
        <v>0</v>
      </c>
      <c r="G965">
        <v>0</v>
      </c>
      <c r="H965">
        <v>17</v>
      </c>
      <c r="I965" s="3">
        <v>232.54</v>
      </c>
      <c r="J965" s="3">
        <v>279.67</v>
      </c>
      <c r="K965" t="s">
        <v>1008</v>
      </c>
      <c r="P965" t="str">
        <f>""</f>
        <v/>
      </c>
    </row>
    <row r="966" spans="1:16" x14ac:dyDescent="0.25">
      <c r="A966" t="str">
        <f>"1050010D00170C   00"</f>
        <v>1050010D00170C   00</v>
      </c>
      <c r="B966" t="s">
        <v>2436</v>
      </c>
      <c r="C966" t="s">
        <v>2352</v>
      </c>
      <c r="D966" t="s">
        <v>20</v>
      </c>
      <c r="E966" t="s">
        <v>39</v>
      </c>
      <c r="F966">
        <v>0</v>
      </c>
      <c r="G966">
        <v>0</v>
      </c>
      <c r="H966">
        <v>16</v>
      </c>
      <c r="I966" s="3">
        <v>831.07</v>
      </c>
      <c r="J966" s="3">
        <v>1182.51</v>
      </c>
      <c r="L966">
        <v>702</v>
      </c>
      <c r="M966" t="s">
        <v>2359</v>
      </c>
      <c r="N966" t="s">
        <v>30</v>
      </c>
      <c r="O966" t="s">
        <v>31</v>
      </c>
      <c r="P966" t="str">
        <f>"15219"</f>
        <v>15219</v>
      </c>
    </row>
    <row r="967" spans="1:16" x14ac:dyDescent="0.25">
      <c r="A967" t="str">
        <f>"1050010D00171    00"</f>
        <v>1050010D00171    00</v>
      </c>
      <c r="B967" t="s">
        <v>2437</v>
      </c>
      <c r="C967" t="s">
        <v>1091</v>
      </c>
      <c r="D967" t="s">
        <v>20</v>
      </c>
      <c r="E967" t="s">
        <v>39</v>
      </c>
      <c r="F967">
        <v>0</v>
      </c>
      <c r="G967">
        <v>0</v>
      </c>
      <c r="H967">
        <v>12</v>
      </c>
      <c r="I967" s="3">
        <v>69.87</v>
      </c>
      <c r="J967" s="3">
        <v>48.32</v>
      </c>
      <c r="K967" t="s">
        <v>2438</v>
      </c>
      <c r="L967">
        <v>2021</v>
      </c>
      <c r="M967" t="s">
        <v>2439</v>
      </c>
      <c r="N967" t="s">
        <v>1210</v>
      </c>
      <c r="O967" t="s">
        <v>495</v>
      </c>
      <c r="P967" t="str">
        <f>"94115"</f>
        <v>94115</v>
      </c>
    </row>
    <row r="968" spans="1:16" x14ac:dyDescent="0.25">
      <c r="A968" t="str">
        <f>"1050010D00171A   00"</f>
        <v>1050010D00171A   00</v>
      </c>
      <c r="B968" t="s">
        <v>2440</v>
      </c>
      <c r="C968" t="s">
        <v>1091</v>
      </c>
      <c r="D968" t="s">
        <v>20</v>
      </c>
      <c r="E968" t="s">
        <v>39</v>
      </c>
      <c r="F968">
        <v>0</v>
      </c>
      <c r="G968">
        <v>0</v>
      </c>
      <c r="H968">
        <v>19</v>
      </c>
      <c r="I968" s="3">
        <v>5933.17</v>
      </c>
      <c r="J968" s="3">
        <v>5978.64</v>
      </c>
      <c r="K968" t="s">
        <v>2441</v>
      </c>
      <c r="L968">
        <v>1177</v>
      </c>
      <c r="M968" t="s">
        <v>2442</v>
      </c>
      <c r="N968" t="s">
        <v>30</v>
      </c>
      <c r="O968" t="s">
        <v>31</v>
      </c>
      <c r="P968" t="str">
        <f>"15208"</f>
        <v>15208</v>
      </c>
    </row>
    <row r="969" spans="1:16" x14ac:dyDescent="0.25">
      <c r="A969" t="str">
        <f>"1050010D00174    00"</f>
        <v>1050010D00174    00</v>
      </c>
      <c r="B969" t="s">
        <v>2443</v>
      </c>
      <c r="C969" t="s">
        <v>2352</v>
      </c>
      <c r="D969" t="s">
        <v>20</v>
      </c>
      <c r="E969" t="s">
        <v>39</v>
      </c>
      <c r="F969">
        <v>0</v>
      </c>
      <c r="G969">
        <v>0</v>
      </c>
      <c r="H969">
        <v>18</v>
      </c>
      <c r="I969" s="3">
        <v>1381.2</v>
      </c>
      <c r="J969" s="3">
        <v>2067.44</v>
      </c>
      <c r="L969">
        <v>5161</v>
      </c>
      <c r="M969" t="s">
        <v>2444</v>
      </c>
      <c r="N969" t="s">
        <v>30</v>
      </c>
      <c r="O969" t="s">
        <v>31</v>
      </c>
      <c r="P969" t="str">
        <f>"15201"</f>
        <v>15201</v>
      </c>
    </row>
    <row r="970" spans="1:16" x14ac:dyDescent="0.25">
      <c r="A970" t="str">
        <f>"1050010D00175    00"</f>
        <v>1050010D00175    00</v>
      </c>
      <c r="B970" t="s">
        <v>2445</v>
      </c>
      <c r="C970" t="s">
        <v>2446</v>
      </c>
      <c r="D970" t="s">
        <v>20</v>
      </c>
      <c r="E970" t="s">
        <v>39</v>
      </c>
      <c r="F970">
        <v>0</v>
      </c>
      <c r="G970">
        <v>0</v>
      </c>
      <c r="H970">
        <v>14</v>
      </c>
      <c r="I970" s="3">
        <v>2830.52</v>
      </c>
      <c r="J970" s="3">
        <v>1809.43</v>
      </c>
      <c r="L970">
        <v>703</v>
      </c>
      <c r="M970" t="s">
        <v>2359</v>
      </c>
      <c r="N970" t="s">
        <v>30</v>
      </c>
      <c r="O970" t="s">
        <v>31</v>
      </c>
      <c r="P970" t="str">
        <f>"15219"</f>
        <v>15219</v>
      </c>
    </row>
    <row r="971" spans="1:16" x14ac:dyDescent="0.25">
      <c r="A971" t="str">
        <f>"1050010D00230    00"</f>
        <v>1050010D00230    00</v>
      </c>
      <c r="B971" t="s">
        <v>2447</v>
      </c>
      <c r="C971" t="s">
        <v>2448</v>
      </c>
      <c r="D971" t="s">
        <v>20</v>
      </c>
      <c r="E971" t="s">
        <v>39</v>
      </c>
      <c r="F971">
        <v>0</v>
      </c>
      <c r="G971">
        <v>0</v>
      </c>
      <c r="H971">
        <v>1</v>
      </c>
      <c r="I971" s="3">
        <v>234.92</v>
      </c>
      <c r="J971" s="3">
        <v>0</v>
      </c>
      <c r="L971">
        <v>626</v>
      </c>
      <c r="M971" t="s">
        <v>2371</v>
      </c>
      <c r="N971" t="s">
        <v>30</v>
      </c>
      <c r="O971" t="s">
        <v>31</v>
      </c>
      <c r="P971" t="str">
        <f>"15219"</f>
        <v>15219</v>
      </c>
    </row>
    <row r="972" spans="1:16" x14ac:dyDescent="0.25">
      <c r="A972" t="str">
        <f>"1050010D00234    00"</f>
        <v>1050010D00234    00</v>
      </c>
      <c r="B972" t="s">
        <v>2449</v>
      </c>
      <c r="C972" t="s">
        <v>2369</v>
      </c>
      <c r="D972" t="s">
        <v>20</v>
      </c>
      <c r="E972" t="s">
        <v>39</v>
      </c>
      <c r="F972">
        <v>0</v>
      </c>
      <c r="G972">
        <v>0</v>
      </c>
      <c r="H972">
        <v>19</v>
      </c>
      <c r="I972" s="3">
        <v>4738.03</v>
      </c>
      <c r="J972" s="3">
        <v>3484.87</v>
      </c>
      <c r="K972" t="s">
        <v>2450</v>
      </c>
      <c r="L972">
        <v>7231</v>
      </c>
      <c r="M972" t="s">
        <v>2451</v>
      </c>
      <c r="N972" t="s">
        <v>30</v>
      </c>
      <c r="O972" t="s">
        <v>31</v>
      </c>
      <c r="P972" t="str">
        <f>"15218"</f>
        <v>15218</v>
      </c>
    </row>
    <row r="973" spans="1:16" x14ac:dyDescent="0.25">
      <c r="A973" t="str">
        <f>"1050010D00235    00"</f>
        <v>1050010D00235    00</v>
      </c>
      <c r="B973" t="s">
        <v>2452</v>
      </c>
      <c r="C973" t="s">
        <v>2453</v>
      </c>
      <c r="D973" t="s">
        <v>20</v>
      </c>
      <c r="E973" t="s">
        <v>39</v>
      </c>
      <c r="F973">
        <v>0</v>
      </c>
      <c r="G973">
        <v>0</v>
      </c>
      <c r="H973">
        <v>4</v>
      </c>
      <c r="I973" s="3">
        <v>1976.98</v>
      </c>
      <c r="J973" s="3">
        <v>225.76</v>
      </c>
      <c r="L973">
        <v>634</v>
      </c>
      <c r="M973" t="s">
        <v>2371</v>
      </c>
      <c r="N973" t="s">
        <v>30</v>
      </c>
      <c r="O973" t="s">
        <v>31</v>
      </c>
      <c r="P973" t="str">
        <f>"15219"</f>
        <v>15219</v>
      </c>
    </row>
    <row r="974" spans="1:16" x14ac:dyDescent="0.25">
      <c r="A974" t="str">
        <f>"1050010D00236    00"</f>
        <v>1050010D00236    00</v>
      </c>
      <c r="B974" t="s">
        <v>2454</v>
      </c>
      <c r="C974" t="s">
        <v>2369</v>
      </c>
      <c r="D974" t="s">
        <v>20</v>
      </c>
      <c r="E974" t="s">
        <v>39</v>
      </c>
      <c r="F974">
        <v>0</v>
      </c>
      <c r="G974">
        <v>0</v>
      </c>
      <c r="H974">
        <v>18</v>
      </c>
      <c r="I974" s="3">
        <v>5931.93</v>
      </c>
      <c r="J974" s="3">
        <v>7746.73</v>
      </c>
      <c r="K974" t="s">
        <v>2455</v>
      </c>
      <c r="L974">
        <v>605</v>
      </c>
      <c r="M974" t="s">
        <v>849</v>
      </c>
      <c r="N974" t="s">
        <v>30</v>
      </c>
      <c r="O974" t="s">
        <v>31</v>
      </c>
      <c r="P974" t="str">
        <f>"15219"</f>
        <v>15219</v>
      </c>
    </row>
    <row r="975" spans="1:16" x14ac:dyDescent="0.25">
      <c r="A975" t="str">
        <f>"1050010D00238    00"</f>
        <v>1050010D00238    00</v>
      </c>
      <c r="B975" t="s">
        <v>2456</v>
      </c>
      <c r="C975" t="s">
        <v>2369</v>
      </c>
      <c r="D975" t="s">
        <v>20</v>
      </c>
      <c r="E975" t="s">
        <v>39</v>
      </c>
      <c r="F975">
        <v>0</v>
      </c>
      <c r="G975">
        <v>0</v>
      </c>
      <c r="H975">
        <v>19</v>
      </c>
      <c r="I975" s="3">
        <v>210.88</v>
      </c>
      <c r="J975" s="3">
        <v>189.11</v>
      </c>
      <c r="K975" t="s">
        <v>1008</v>
      </c>
      <c r="P975" t="str">
        <f>""</f>
        <v/>
      </c>
    </row>
    <row r="976" spans="1:16" x14ac:dyDescent="0.25">
      <c r="A976" t="str">
        <f>"1050010D00240    00"</f>
        <v>1050010D00240    00</v>
      </c>
      <c r="B976" t="s">
        <v>2457</v>
      </c>
      <c r="C976" t="s">
        <v>2458</v>
      </c>
      <c r="E976" t="s">
        <v>39</v>
      </c>
      <c r="F976">
        <v>0</v>
      </c>
      <c r="G976">
        <v>0</v>
      </c>
      <c r="H976">
        <v>1</v>
      </c>
      <c r="I976" s="3">
        <v>374.36</v>
      </c>
      <c r="J976" s="3">
        <v>74.87</v>
      </c>
      <c r="L976">
        <v>642</v>
      </c>
      <c r="M976" t="s">
        <v>2371</v>
      </c>
      <c r="N976" t="s">
        <v>30</v>
      </c>
      <c r="O976" t="s">
        <v>31</v>
      </c>
      <c r="P976" t="str">
        <f>"15219"</f>
        <v>15219</v>
      </c>
    </row>
    <row r="977" spans="1:16" x14ac:dyDescent="0.25">
      <c r="A977" t="str">
        <f>"1050010D00241    00"</f>
        <v>1050010D00241    00</v>
      </c>
      <c r="B977" t="s">
        <v>2459</v>
      </c>
      <c r="C977" t="s">
        <v>2460</v>
      </c>
      <c r="D977" t="s">
        <v>20</v>
      </c>
      <c r="E977" t="s">
        <v>39</v>
      </c>
      <c r="F977">
        <v>0</v>
      </c>
      <c r="G977">
        <v>0</v>
      </c>
      <c r="H977">
        <v>4</v>
      </c>
      <c r="I977" s="3">
        <v>1076.0999999999999</v>
      </c>
      <c r="J977" s="3">
        <v>160.37</v>
      </c>
      <c r="K977" t="s">
        <v>2461</v>
      </c>
      <c r="L977">
        <v>2413</v>
      </c>
      <c r="M977" t="s">
        <v>2462</v>
      </c>
      <c r="N977" t="s">
        <v>295</v>
      </c>
      <c r="O977" t="s">
        <v>31</v>
      </c>
      <c r="P977" t="str">
        <f>"15146"</f>
        <v>15146</v>
      </c>
    </row>
    <row r="978" spans="1:16" x14ac:dyDescent="0.25">
      <c r="A978" t="str">
        <f>"1050010D00244    00"</f>
        <v>1050010D00244    00</v>
      </c>
      <c r="B978" t="s">
        <v>2463</v>
      </c>
      <c r="C978" t="s">
        <v>1091</v>
      </c>
      <c r="D978" t="s">
        <v>20</v>
      </c>
      <c r="E978" t="s">
        <v>39</v>
      </c>
      <c r="F978">
        <v>0</v>
      </c>
      <c r="G978">
        <v>0</v>
      </c>
      <c r="H978">
        <v>19</v>
      </c>
      <c r="I978" s="3">
        <v>6399.15</v>
      </c>
      <c r="J978" s="3">
        <v>6113.93</v>
      </c>
      <c r="L978">
        <v>2806</v>
      </c>
      <c r="M978" t="s">
        <v>1090</v>
      </c>
      <c r="N978" t="s">
        <v>30</v>
      </c>
      <c r="O978" t="s">
        <v>31</v>
      </c>
      <c r="P978" t="str">
        <f>"15219"</f>
        <v>15219</v>
      </c>
    </row>
    <row r="979" spans="1:16" x14ac:dyDescent="0.25">
      <c r="A979" t="str">
        <f>"1050010D00250    00"</f>
        <v>1050010D00250    00</v>
      </c>
      <c r="B979" t="s">
        <v>2464</v>
      </c>
      <c r="C979" t="s">
        <v>2465</v>
      </c>
      <c r="D979" t="s">
        <v>20</v>
      </c>
      <c r="E979" t="s">
        <v>39</v>
      </c>
      <c r="F979">
        <v>0</v>
      </c>
      <c r="G979">
        <v>0</v>
      </c>
      <c r="H979">
        <v>15</v>
      </c>
      <c r="I979" s="3">
        <v>3810.83</v>
      </c>
      <c r="J979" s="3">
        <v>3033.92</v>
      </c>
      <c r="K979" t="s">
        <v>2466</v>
      </c>
      <c r="L979">
        <v>647</v>
      </c>
      <c r="M979" t="s">
        <v>2467</v>
      </c>
      <c r="N979" t="s">
        <v>30</v>
      </c>
      <c r="O979" t="s">
        <v>31</v>
      </c>
      <c r="P979" t="str">
        <f>"15219"</f>
        <v>15219</v>
      </c>
    </row>
    <row r="980" spans="1:16" x14ac:dyDescent="0.25">
      <c r="A980" t="str">
        <f>"1050010D00251    00"</f>
        <v>1050010D00251    00</v>
      </c>
      <c r="B980" t="s">
        <v>2468</v>
      </c>
      <c r="C980" t="s">
        <v>2469</v>
      </c>
      <c r="D980" t="s">
        <v>20</v>
      </c>
      <c r="E980" t="s">
        <v>39</v>
      </c>
      <c r="F980">
        <v>0</v>
      </c>
      <c r="G980">
        <v>0</v>
      </c>
      <c r="H980">
        <v>17</v>
      </c>
      <c r="I980" s="3">
        <v>4161.66</v>
      </c>
      <c r="J980" s="3">
        <v>5872.14</v>
      </c>
      <c r="L980">
        <v>233</v>
      </c>
      <c r="M980" t="s">
        <v>2470</v>
      </c>
      <c r="N980" t="s">
        <v>2471</v>
      </c>
      <c r="O980" t="s">
        <v>370</v>
      </c>
      <c r="P980" t="str">
        <f>"32725"</f>
        <v>32725</v>
      </c>
    </row>
    <row r="981" spans="1:16" x14ac:dyDescent="0.25">
      <c r="A981" t="str">
        <f>"1050010D00252    00"</f>
        <v>1050010D00252    00</v>
      </c>
      <c r="B981" t="s">
        <v>2472</v>
      </c>
      <c r="C981" t="s">
        <v>2473</v>
      </c>
      <c r="D981" t="s">
        <v>20</v>
      </c>
      <c r="E981" t="s">
        <v>39</v>
      </c>
      <c r="F981">
        <v>0</v>
      </c>
      <c r="G981">
        <v>0</v>
      </c>
      <c r="H981">
        <v>12</v>
      </c>
      <c r="I981" s="3">
        <v>2524.13</v>
      </c>
      <c r="J981" s="3">
        <v>1662.63</v>
      </c>
      <c r="K981" t="s">
        <v>2474</v>
      </c>
      <c r="L981">
        <v>931</v>
      </c>
      <c r="M981" t="s">
        <v>2475</v>
      </c>
      <c r="N981" t="s">
        <v>30</v>
      </c>
      <c r="O981" t="s">
        <v>31</v>
      </c>
      <c r="P981" t="str">
        <f>"15210"</f>
        <v>15210</v>
      </c>
    </row>
    <row r="982" spans="1:16" x14ac:dyDescent="0.25">
      <c r="A982" t="str">
        <f>"1050010D00253    00"</f>
        <v>1050010D00253    00</v>
      </c>
      <c r="B982" t="s">
        <v>2476</v>
      </c>
      <c r="C982" t="s">
        <v>2477</v>
      </c>
      <c r="D982" t="s">
        <v>20</v>
      </c>
      <c r="E982" t="s">
        <v>39</v>
      </c>
      <c r="F982">
        <v>0</v>
      </c>
      <c r="G982">
        <v>0</v>
      </c>
      <c r="H982">
        <v>19</v>
      </c>
      <c r="I982" s="3">
        <v>3611.37</v>
      </c>
      <c r="J982" s="3">
        <v>3167.52</v>
      </c>
      <c r="K982" t="s">
        <v>2478</v>
      </c>
      <c r="L982">
        <v>605</v>
      </c>
      <c r="M982" t="s">
        <v>849</v>
      </c>
      <c r="N982" t="s">
        <v>30</v>
      </c>
      <c r="O982" t="s">
        <v>31</v>
      </c>
      <c r="P982" t="str">
        <f>"15219"</f>
        <v>15219</v>
      </c>
    </row>
    <row r="983" spans="1:16" x14ac:dyDescent="0.25">
      <c r="A983" t="str">
        <f>"1050010D00254    00"</f>
        <v>1050010D00254    00</v>
      </c>
      <c r="B983" t="s">
        <v>2479</v>
      </c>
      <c r="C983" t="s">
        <v>2480</v>
      </c>
      <c r="D983" t="s">
        <v>20</v>
      </c>
      <c r="E983" t="s">
        <v>39</v>
      </c>
      <c r="F983">
        <v>0</v>
      </c>
      <c r="G983">
        <v>0</v>
      </c>
      <c r="H983">
        <v>14</v>
      </c>
      <c r="I983" s="3">
        <v>948.65</v>
      </c>
      <c r="J983" s="3">
        <v>773.75</v>
      </c>
      <c r="K983" t="s">
        <v>2481</v>
      </c>
      <c r="L983">
        <v>635</v>
      </c>
      <c r="M983" t="s">
        <v>2467</v>
      </c>
      <c r="N983" t="s">
        <v>30</v>
      </c>
      <c r="O983" t="s">
        <v>31</v>
      </c>
      <c r="P983" t="str">
        <f>"15219"</f>
        <v>15219</v>
      </c>
    </row>
    <row r="984" spans="1:16" x14ac:dyDescent="0.25">
      <c r="A984" t="str">
        <f>"1050010D00255    00"</f>
        <v>1050010D00255    00</v>
      </c>
      <c r="B984" t="s">
        <v>2482</v>
      </c>
      <c r="C984" t="s">
        <v>2469</v>
      </c>
      <c r="D984" t="s">
        <v>20</v>
      </c>
      <c r="E984" t="s">
        <v>39</v>
      </c>
      <c r="F984">
        <v>0</v>
      </c>
      <c r="G984">
        <v>0</v>
      </c>
      <c r="H984">
        <v>17</v>
      </c>
      <c r="I984" s="3">
        <v>112.76</v>
      </c>
      <c r="J984" s="3">
        <v>99.57</v>
      </c>
      <c r="K984" t="s">
        <v>1037</v>
      </c>
      <c r="L984">
        <v>637</v>
      </c>
      <c r="M984" t="s">
        <v>2467</v>
      </c>
      <c r="N984" t="s">
        <v>30</v>
      </c>
      <c r="O984" t="s">
        <v>31</v>
      </c>
      <c r="P984" t="str">
        <f>"15219"</f>
        <v>15219</v>
      </c>
    </row>
    <row r="985" spans="1:16" x14ac:dyDescent="0.25">
      <c r="A985" t="str">
        <f>"1050010D00256    00"</f>
        <v>1050010D00256    00</v>
      </c>
      <c r="B985" t="s">
        <v>2483</v>
      </c>
      <c r="C985" t="s">
        <v>2484</v>
      </c>
      <c r="D985" t="s">
        <v>20</v>
      </c>
      <c r="E985" t="s">
        <v>39</v>
      </c>
      <c r="F985">
        <v>0</v>
      </c>
      <c r="G985">
        <v>0</v>
      </c>
      <c r="H985">
        <v>18</v>
      </c>
      <c r="I985" s="3">
        <v>7163.58</v>
      </c>
      <c r="J985" s="3">
        <v>5132</v>
      </c>
      <c r="L985">
        <v>639</v>
      </c>
      <c r="M985" t="s">
        <v>2467</v>
      </c>
      <c r="N985" t="s">
        <v>30</v>
      </c>
      <c r="O985" t="s">
        <v>31</v>
      </c>
      <c r="P985" t="str">
        <f>"15219"</f>
        <v>15219</v>
      </c>
    </row>
    <row r="986" spans="1:16" x14ac:dyDescent="0.25">
      <c r="A986" t="str">
        <f>"1050010D00257    00"</f>
        <v>1050010D00257    00</v>
      </c>
      <c r="B986" t="s">
        <v>2485</v>
      </c>
      <c r="C986" t="s">
        <v>2469</v>
      </c>
      <c r="D986" t="s">
        <v>20</v>
      </c>
      <c r="E986" t="s">
        <v>39</v>
      </c>
      <c r="F986">
        <v>0</v>
      </c>
      <c r="G986">
        <v>0</v>
      </c>
      <c r="H986">
        <v>19</v>
      </c>
      <c r="I986" s="3">
        <v>9839.6200000000008</v>
      </c>
      <c r="J986" s="3">
        <v>8668.7800000000007</v>
      </c>
      <c r="L986">
        <v>633</v>
      </c>
      <c r="M986" t="s">
        <v>2467</v>
      </c>
      <c r="N986" t="s">
        <v>30</v>
      </c>
      <c r="O986" t="s">
        <v>31</v>
      </c>
      <c r="P986" t="str">
        <f>"15219"</f>
        <v>15219</v>
      </c>
    </row>
    <row r="987" spans="1:16" x14ac:dyDescent="0.25">
      <c r="A987" t="str">
        <f>"1050010D00258    00"</f>
        <v>1050010D00258    00</v>
      </c>
      <c r="B987" t="s">
        <v>2486</v>
      </c>
      <c r="C987" t="s">
        <v>2469</v>
      </c>
      <c r="D987" t="s">
        <v>20</v>
      </c>
      <c r="E987" t="s">
        <v>39</v>
      </c>
      <c r="F987">
        <v>0</v>
      </c>
      <c r="G987">
        <v>0</v>
      </c>
      <c r="H987">
        <v>17</v>
      </c>
      <c r="I987" s="3">
        <v>2145.8000000000002</v>
      </c>
      <c r="J987" s="3">
        <v>3160.73</v>
      </c>
      <c r="L987">
        <v>1018</v>
      </c>
      <c r="M987" t="s">
        <v>2487</v>
      </c>
      <c r="N987" t="s">
        <v>509</v>
      </c>
      <c r="O987" t="s">
        <v>31</v>
      </c>
      <c r="P987" t="str">
        <f>"19150"</f>
        <v>19150</v>
      </c>
    </row>
    <row r="988" spans="1:16" x14ac:dyDescent="0.25">
      <c r="A988" t="str">
        <f>"1050010D00261    00"</f>
        <v>1050010D00261    00</v>
      </c>
      <c r="B988" t="s">
        <v>2488</v>
      </c>
      <c r="C988" t="s">
        <v>2489</v>
      </c>
      <c r="D988" t="s">
        <v>20</v>
      </c>
      <c r="E988" t="s">
        <v>39</v>
      </c>
      <c r="F988">
        <v>0</v>
      </c>
      <c r="G988">
        <v>0</v>
      </c>
      <c r="H988">
        <v>14</v>
      </c>
      <c r="I988" s="3">
        <v>6278.22</v>
      </c>
      <c r="J988" s="3">
        <v>3882.91</v>
      </c>
      <c r="L988">
        <v>125</v>
      </c>
      <c r="M988" t="s">
        <v>2490</v>
      </c>
      <c r="N988" t="s">
        <v>30</v>
      </c>
      <c r="O988" t="s">
        <v>31</v>
      </c>
      <c r="P988" t="str">
        <f>"15211"</f>
        <v>15211</v>
      </c>
    </row>
    <row r="989" spans="1:16" x14ac:dyDescent="0.25">
      <c r="A989" t="str">
        <f>"1050010D00264    00"</f>
        <v>1050010D00264    00</v>
      </c>
      <c r="B989" t="s">
        <v>2491</v>
      </c>
      <c r="C989" t="s">
        <v>2492</v>
      </c>
      <c r="D989" t="s">
        <v>20</v>
      </c>
      <c r="E989" t="s">
        <v>39</v>
      </c>
      <c r="F989">
        <v>0</v>
      </c>
      <c r="G989">
        <v>0</v>
      </c>
      <c r="H989">
        <v>15</v>
      </c>
      <c r="I989" s="3">
        <v>4107.17</v>
      </c>
      <c r="J989" s="3">
        <v>5210.8900000000003</v>
      </c>
      <c r="L989">
        <v>619</v>
      </c>
      <c r="M989" t="s">
        <v>2467</v>
      </c>
      <c r="N989" t="s">
        <v>30</v>
      </c>
      <c r="O989" t="s">
        <v>31</v>
      </c>
      <c r="P989" t="str">
        <f>"15219"</f>
        <v>15219</v>
      </c>
    </row>
    <row r="990" spans="1:16" x14ac:dyDescent="0.25">
      <c r="A990" t="str">
        <f>"1050010D00265    00"</f>
        <v>1050010D00265    00</v>
      </c>
      <c r="B990" t="s">
        <v>2493</v>
      </c>
      <c r="C990" t="s">
        <v>2469</v>
      </c>
      <c r="D990" t="s">
        <v>20</v>
      </c>
      <c r="E990" t="s">
        <v>39</v>
      </c>
      <c r="F990">
        <v>0</v>
      </c>
      <c r="G990">
        <v>0</v>
      </c>
      <c r="H990">
        <v>17</v>
      </c>
      <c r="I990" s="3">
        <v>132.6</v>
      </c>
      <c r="J990" s="3">
        <v>129.53</v>
      </c>
      <c r="K990" t="s">
        <v>1037</v>
      </c>
      <c r="L990">
        <v>617</v>
      </c>
      <c r="M990" t="s">
        <v>2467</v>
      </c>
      <c r="N990" t="s">
        <v>30</v>
      </c>
      <c r="O990" t="s">
        <v>31</v>
      </c>
      <c r="P990" t="str">
        <f>"15219"</f>
        <v>15219</v>
      </c>
    </row>
    <row r="991" spans="1:16" x14ac:dyDescent="0.25">
      <c r="A991" t="str">
        <f>"1050010D00266    00"</f>
        <v>1050010D00266    00</v>
      </c>
      <c r="B991" t="s">
        <v>2494</v>
      </c>
      <c r="C991" t="s">
        <v>2495</v>
      </c>
      <c r="D991" t="s">
        <v>20</v>
      </c>
      <c r="E991" t="s">
        <v>39</v>
      </c>
      <c r="F991">
        <v>0</v>
      </c>
      <c r="G991">
        <v>0</v>
      </c>
      <c r="H991">
        <v>4</v>
      </c>
      <c r="I991" s="3">
        <v>392.59</v>
      </c>
      <c r="J991" s="3">
        <v>66.09</v>
      </c>
      <c r="L991">
        <v>615</v>
      </c>
      <c r="M991" t="s">
        <v>2467</v>
      </c>
      <c r="N991" t="s">
        <v>30</v>
      </c>
      <c r="O991" t="s">
        <v>31</v>
      </c>
      <c r="P991" t="str">
        <f>"15219"</f>
        <v>15219</v>
      </c>
    </row>
    <row r="992" spans="1:16" x14ac:dyDescent="0.25">
      <c r="A992" t="str">
        <f>"1050010D00272    00"</f>
        <v>1050010D00272    00</v>
      </c>
      <c r="B992" t="s">
        <v>2496</v>
      </c>
      <c r="C992" t="s">
        <v>1188</v>
      </c>
      <c r="D992" t="s">
        <v>20</v>
      </c>
      <c r="E992" t="s">
        <v>39</v>
      </c>
      <c r="F992">
        <v>0</v>
      </c>
      <c r="G992">
        <v>0</v>
      </c>
      <c r="H992">
        <v>17</v>
      </c>
      <c r="I992" s="3">
        <v>170.77</v>
      </c>
      <c r="J992" s="3">
        <v>169.44</v>
      </c>
      <c r="L992">
        <v>2841</v>
      </c>
      <c r="M992" t="s">
        <v>1132</v>
      </c>
      <c r="N992" t="s">
        <v>30</v>
      </c>
      <c r="O992" t="s">
        <v>31</v>
      </c>
      <c r="P992" t="str">
        <f>"15219"</f>
        <v>15219</v>
      </c>
    </row>
    <row r="993" spans="1:16" x14ac:dyDescent="0.25">
      <c r="A993" t="str">
        <f>"1050010D00273    00"</f>
        <v>1050010D00273    00</v>
      </c>
      <c r="B993" t="s">
        <v>2497</v>
      </c>
      <c r="C993" t="s">
        <v>1188</v>
      </c>
      <c r="D993" t="s">
        <v>20</v>
      </c>
      <c r="E993" t="s">
        <v>39</v>
      </c>
      <c r="F993">
        <v>0</v>
      </c>
      <c r="G993">
        <v>0</v>
      </c>
      <c r="H993">
        <v>14</v>
      </c>
      <c r="I993" s="3">
        <v>131.21</v>
      </c>
      <c r="J993" s="3">
        <v>103.14</v>
      </c>
      <c r="L993">
        <v>1060</v>
      </c>
      <c r="M993" t="s">
        <v>2498</v>
      </c>
      <c r="N993" t="s">
        <v>30</v>
      </c>
      <c r="O993" t="s">
        <v>31</v>
      </c>
      <c r="P993" t="str">
        <f>"15216"</f>
        <v>15216</v>
      </c>
    </row>
    <row r="994" spans="1:16" x14ac:dyDescent="0.25">
      <c r="A994" t="str">
        <f>"1050010D00274    00"</f>
        <v>1050010D00274    00</v>
      </c>
      <c r="B994" t="s">
        <v>2499</v>
      </c>
      <c r="C994" t="s">
        <v>2500</v>
      </c>
      <c r="D994" t="s">
        <v>20</v>
      </c>
      <c r="E994" t="s">
        <v>39</v>
      </c>
      <c r="F994">
        <v>0</v>
      </c>
      <c r="G994">
        <v>0</v>
      </c>
      <c r="H994">
        <v>2</v>
      </c>
      <c r="I994" s="3">
        <v>39.590000000000003</v>
      </c>
      <c r="J994" s="3">
        <v>0</v>
      </c>
      <c r="L994">
        <v>2839</v>
      </c>
      <c r="M994" t="s">
        <v>1132</v>
      </c>
      <c r="N994" t="s">
        <v>30</v>
      </c>
      <c r="O994" t="s">
        <v>31</v>
      </c>
      <c r="P994" t="str">
        <f>"15219"</f>
        <v>15219</v>
      </c>
    </row>
    <row r="995" spans="1:16" x14ac:dyDescent="0.25">
      <c r="A995" t="str">
        <f>"1050010D00280    00"</f>
        <v>1050010D00280    00</v>
      </c>
      <c r="B995" t="s">
        <v>2501</v>
      </c>
      <c r="C995" t="s">
        <v>1188</v>
      </c>
      <c r="D995" t="s">
        <v>20</v>
      </c>
      <c r="E995" t="s">
        <v>39</v>
      </c>
      <c r="F995">
        <v>0</v>
      </c>
      <c r="G995">
        <v>0</v>
      </c>
      <c r="H995">
        <v>19</v>
      </c>
      <c r="I995" s="3">
        <v>4424.54</v>
      </c>
      <c r="J995" s="3">
        <v>3274.79</v>
      </c>
      <c r="K995" t="s">
        <v>2502</v>
      </c>
      <c r="L995">
        <v>2833</v>
      </c>
      <c r="M995" t="s">
        <v>1132</v>
      </c>
      <c r="N995" t="s">
        <v>30</v>
      </c>
      <c r="O995" t="s">
        <v>31</v>
      </c>
      <c r="P995" t="str">
        <f>"15219"</f>
        <v>15219</v>
      </c>
    </row>
    <row r="996" spans="1:16" x14ac:dyDescent="0.25">
      <c r="A996" t="str">
        <f>"1050010D00281    00"</f>
        <v>1050010D00281    00</v>
      </c>
      <c r="B996" t="s">
        <v>2503</v>
      </c>
      <c r="C996" t="s">
        <v>2504</v>
      </c>
      <c r="D996" t="s">
        <v>20</v>
      </c>
      <c r="E996" t="s">
        <v>39</v>
      </c>
      <c r="F996">
        <v>0</v>
      </c>
      <c r="G996">
        <v>0</v>
      </c>
      <c r="H996">
        <v>2</v>
      </c>
      <c r="I996" s="3">
        <v>1280.8599999999999</v>
      </c>
      <c r="J996" s="3">
        <v>0</v>
      </c>
      <c r="L996">
        <v>1420</v>
      </c>
      <c r="M996" t="s">
        <v>2505</v>
      </c>
      <c r="N996" t="s">
        <v>30</v>
      </c>
      <c r="O996" t="s">
        <v>31</v>
      </c>
      <c r="P996" t="str">
        <f>"15204"</f>
        <v>15204</v>
      </c>
    </row>
    <row r="997" spans="1:16" x14ac:dyDescent="0.25">
      <c r="A997" t="str">
        <f>"1050010D00281B   00"</f>
        <v>1050010D00281B   00</v>
      </c>
      <c r="B997" t="s">
        <v>2506</v>
      </c>
      <c r="C997" t="s">
        <v>2469</v>
      </c>
      <c r="D997" t="s">
        <v>20</v>
      </c>
      <c r="E997" t="s">
        <v>39</v>
      </c>
      <c r="F997">
        <v>0</v>
      </c>
      <c r="G997">
        <v>0</v>
      </c>
      <c r="H997">
        <v>19</v>
      </c>
      <c r="I997" s="3">
        <v>498.48</v>
      </c>
      <c r="J997" s="3">
        <v>321.77999999999997</v>
      </c>
      <c r="L997">
        <v>7005</v>
      </c>
      <c r="M997" t="s">
        <v>2507</v>
      </c>
      <c r="N997" t="s">
        <v>30</v>
      </c>
      <c r="O997" t="s">
        <v>31</v>
      </c>
      <c r="P997" t="str">
        <f>"15206"</f>
        <v>15206</v>
      </c>
    </row>
    <row r="998" spans="1:16" x14ac:dyDescent="0.25">
      <c r="A998" t="str">
        <f>"1050010D00288    00"</f>
        <v>1050010D00288    00</v>
      </c>
      <c r="B998" t="s">
        <v>2508</v>
      </c>
      <c r="C998" t="s">
        <v>2509</v>
      </c>
      <c r="D998" t="s">
        <v>20</v>
      </c>
      <c r="E998" t="s">
        <v>39</v>
      </c>
      <c r="F998">
        <v>0</v>
      </c>
      <c r="G998">
        <v>0</v>
      </c>
      <c r="H998">
        <v>2</v>
      </c>
      <c r="I998" s="3">
        <v>1036.8599999999999</v>
      </c>
      <c r="J998" s="3">
        <v>0</v>
      </c>
      <c r="L998">
        <v>624</v>
      </c>
      <c r="M998" t="s">
        <v>2467</v>
      </c>
      <c r="N998" t="s">
        <v>30</v>
      </c>
      <c r="O998" t="s">
        <v>31</v>
      </c>
      <c r="P998" t="str">
        <f>"15219"</f>
        <v>15219</v>
      </c>
    </row>
    <row r="999" spans="1:16" x14ac:dyDescent="0.25">
      <c r="A999" t="str">
        <f>"1050010D00290    00"</f>
        <v>1050010D00290    00</v>
      </c>
      <c r="B999" t="s">
        <v>2510</v>
      </c>
      <c r="C999" t="s">
        <v>2511</v>
      </c>
      <c r="D999" t="s">
        <v>20</v>
      </c>
      <c r="E999" t="s">
        <v>39</v>
      </c>
      <c r="F999">
        <v>0</v>
      </c>
      <c r="G999">
        <v>0</v>
      </c>
      <c r="H999">
        <v>19</v>
      </c>
      <c r="I999" s="3">
        <v>5668.37</v>
      </c>
      <c r="J999" s="3">
        <v>5176.84</v>
      </c>
      <c r="L999">
        <v>6125</v>
      </c>
      <c r="M999" t="s">
        <v>2512</v>
      </c>
      <c r="N999" t="s">
        <v>691</v>
      </c>
      <c r="O999" t="s">
        <v>692</v>
      </c>
      <c r="P999" t="str">
        <f>"23513"</f>
        <v>23513</v>
      </c>
    </row>
    <row r="1000" spans="1:16" x14ac:dyDescent="0.25">
      <c r="A1000" t="str">
        <f>"1050010D00291    00"</f>
        <v>1050010D00291    00</v>
      </c>
      <c r="B1000" t="s">
        <v>2513</v>
      </c>
      <c r="C1000" t="s">
        <v>2514</v>
      </c>
      <c r="D1000" t="s">
        <v>20</v>
      </c>
      <c r="E1000" t="s">
        <v>39</v>
      </c>
      <c r="F1000">
        <v>0</v>
      </c>
      <c r="G1000">
        <v>0</v>
      </c>
      <c r="H1000">
        <v>19</v>
      </c>
      <c r="I1000" s="3">
        <v>5453.09</v>
      </c>
      <c r="J1000" s="3">
        <v>5048.3999999999996</v>
      </c>
      <c r="L1000">
        <v>2308</v>
      </c>
      <c r="M1000" t="s">
        <v>2515</v>
      </c>
      <c r="N1000" t="s">
        <v>30</v>
      </c>
      <c r="O1000" t="s">
        <v>31</v>
      </c>
      <c r="P1000" t="str">
        <f>"15218"</f>
        <v>15218</v>
      </c>
    </row>
    <row r="1001" spans="1:16" x14ac:dyDescent="0.25">
      <c r="A1001" t="str">
        <f>"1050010D00293    00"</f>
        <v>1050010D00293    00</v>
      </c>
      <c r="B1001" t="s">
        <v>2516</v>
      </c>
      <c r="C1001" t="s">
        <v>2469</v>
      </c>
      <c r="D1001" t="s">
        <v>20</v>
      </c>
      <c r="E1001" t="s">
        <v>39</v>
      </c>
      <c r="F1001">
        <v>0</v>
      </c>
      <c r="G1001">
        <v>0</v>
      </c>
      <c r="H1001">
        <v>2</v>
      </c>
      <c r="I1001" s="3">
        <v>30.5</v>
      </c>
      <c r="J1001" s="3">
        <v>0</v>
      </c>
      <c r="K1001" t="s">
        <v>2517</v>
      </c>
      <c r="L1001">
        <v>632</v>
      </c>
      <c r="M1001" t="s">
        <v>2467</v>
      </c>
      <c r="N1001" t="s">
        <v>30</v>
      </c>
      <c r="O1001" t="s">
        <v>31</v>
      </c>
      <c r="P1001" t="str">
        <f>"15219"</f>
        <v>15219</v>
      </c>
    </row>
    <row r="1002" spans="1:16" x14ac:dyDescent="0.25">
      <c r="A1002" t="str">
        <f>"1050010D00294000100"</f>
        <v>1050010D00294000100</v>
      </c>
      <c r="B1002" t="s">
        <v>2518</v>
      </c>
      <c r="C1002" t="s">
        <v>2519</v>
      </c>
      <c r="D1002" t="s">
        <v>20</v>
      </c>
      <c r="E1002" t="s">
        <v>39</v>
      </c>
      <c r="F1002">
        <v>0</v>
      </c>
      <c r="G1002">
        <v>0</v>
      </c>
      <c r="H1002">
        <v>2</v>
      </c>
      <c r="I1002" s="3">
        <v>732.75</v>
      </c>
      <c r="J1002" s="3">
        <v>0</v>
      </c>
      <c r="K1002" t="s">
        <v>2520</v>
      </c>
      <c r="L1002">
        <v>608</v>
      </c>
      <c r="M1002" t="s">
        <v>2521</v>
      </c>
      <c r="N1002" t="s">
        <v>30</v>
      </c>
      <c r="O1002" t="s">
        <v>31</v>
      </c>
      <c r="P1002" t="str">
        <f>"15212"</f>
        <v>15212</v>
      </c>
    </row>
    <row r="1003" spans="1:16" x14ac:dyDescent="0.25">
      <c r="A1003" t="str">
        <f>"1050010D00294000200"</f>
        <v>1050010D00294000200</v>
      </c>
      <c r="B1003" t="s">
        <v>2518</v>
      </c>
      <c r="C1003" t="s">
        <v>2522</v>
      </c>
      <c r="D1003" t="s">
        <v>20</v>
      </c>
      <c r="E1003" t="s">
        <v>39</v>
      </c>
      <c r="F1003">
        <v>0</v>
      </c>
      <c r="G1003">
        <v>0</v>
      </c>
      <c r="H1003">
        <v>2</v>
      </c>
      <c r="I1003" s="3">
        <v>539.42999999999995</v>
      </c>
      <c r="J1003" s="3">
        <v>13.73</v>
      </c>
      <c r="K1003" t="s">
        <v>2520</v>
      </c>
      <c r="L1003">
        <v>608</v>
      </c>
      <c r="M1003" t="s">
        <v>2523</v>
      </c>
      <c r="N1003" t="s">
        <v>30</v>
      </c>
      <c r="O1003" t="s">
        <v>31</v>
      </c>
      <c r="P1003" t="str">
        <f>"15212"</f>
        <v>15212</v>
      </c>
    </row>
    <row r="1004" spans="1:16" x14ac:dyDescent="0.25">
      <c r="A1004" t="str">
        <f>"1050010D00295    00"</f>
        <v>1050010D00295    00</v>
      </c>
      <c r="B1004" t="s">
        <v>2524</v>
      </c>
      <c r="C1004" t="s">
        <v>2525</v>
      </c>
      <c r="D1004" t="s">
        <v>20</v>
      </c>
      <c r="E1004" t="s">
        <v>39</v>
      </c>
      <c r="F1004">
        <v>0</v>
      </c>
      <c r="G1004">
        <v>0</v>
      </c>
      <c r="H1004">
        <v>5</v>
      </c>
      <c r="I1004" s="3">
        <v>642.04999999999995</v>
      </c>
      <c r="J1004" s="3">
        <v>258.54000000000002</v>
      </c>
      <c r="K1004" t="s">
        <v>2526</v>
      </c>
      <c r="L1004">
        <v>642</v>
      </c>
      <c r="M1004" t="s">
        <v>2467</v>
      </c>
      <c r="N1004" t="s">
        <v>30</v>
      </c>
      <c r="O1004" t="s">
        <v>31</v>
      </c>
      <c r="P1004" t="str">
        <f>"15219"</f>
        <v>15219</v>
      </c>
    </row>
    <row r="1005" spans="1:16" x14ac:dyDescent="0.25">
      <c r="A1005" t="str">
        <f>"1050010D00298000200"</f>
        <v>1050010D00298000200</v>
      </c>
      <c r="B1005" t="s">
        <v>2527</v>
      </c>
      <c r="C1005" t="s">
        <v>2528</v>
      </c>
      <c r="D1005" t="s">
        <v>20</v>
      </c>
      <c r="E1005" t="s">
        <v>39</v>
      </c>
      <c r="F1005">
        <v>0</v>
      </c>
      <c r="G1005">
        <v>0</v>
      </c>
      <c r="H1005">
        <v>9</v>
      </c>
      <c r="I1005" s="3">
        <v>825.32</v>
      </c>
      <c r="J1005" s="3">
        <v>514.47</v>
      </c>
      <c r="L1005">
        <v>646</v>
      </c>
      <c r="M1005" t="s">
        <v>2467</v>
      </c>
      <c r="N1005" t="s">
        <v>30</v>
      </c>
      <c r="O1005" t="s">
        <v>31</v>
      </c>
      <c r="P1005" t="str">
        <f>"15219"</f>
        <v>15219</v>
      </c>
    </row>
    <row r="1006" spans="1:16" x14ac:dyDescent="0.25">
      <c r="A1006" t="str">
        <f>"1050010D00298000400"</f>
        <v>1050010D00298000400</v>
      </c>
      <c r="B1006" t="s">
        <v>2529</v>
      </c>
      <c r="C1006" t="s">
        <v>2530</v>
      </c>
      <c r="D1006" t="s">
        <v>20</v>
      </c>
      <c r="E1006" t="s">
        <v>39</v>
      </c>
      <c r="F1006">
        <v>0</v>
      </c>
      <c r="G1006">
        <v>0</v>
      </c>
      <c r="H1006">
        <v>15</v>
      </c>
      <c r="I1006" s="3">
        <v>1062.57</v>
      </c>
      <c r="J1006" s="3">
        <v>828.11</v>
      </c>
      <c r="L1006">
        <v>648</v>
      </c>
      <c r="M1006" t="s">
        <v>2467</v>
      </c>
      <c r="N1006" t="s">
        <v>30</v>
      </c>
      <c r="O1006" t="s">
        <v>31</v>
      </c>
      <c r="P1006" t="str">
        <f>"15219"</f>
        <v>15219</v>
      </c>
    </row>
    <row r="1007" spans="1:16" x14ac:dyDescent="0.25">
      <c r="A1007" t="str">
        <f>"1050010D00299    00"</f>
        <v>1050010D00299    00</v>
      </c>
      <c r="B1007" t="s">
        <v>2531</v>
      </c>
      <c r="C1007" t="s">
        <v>2532</v>
      </c>
      <c r="E1007" t="s">
        <v>21</v>
      </c>
      <c r="F1007">
        <v>0</v>
      </c>
      <c r="G1007">
        <v>0</v>
      </c>
      <c r="H1007">
        <v>1</v>
      </c>
      <c r="I1007" s="3">
        <v>25.92</v>
      </c>
      <c r="J1007" s="3">
        <v>0</v>
      </c>
      <c r="L1007">
        <v>6804</v>
      </c>
      <c r="M1007" t="s">
        <v>2533</v>
      </c>
      <c r="N1007" t="s">
        <v>2534</v>
      </c>
      <c r="O1007" t="s">
        <v>1184</v>
      </c>
      <c r="P1007" t="str">
        <f>"21204"</f>
        <v>21204</v>
      </c>
    </row>
    <row r="1008" spans="1:16" x14ac:dyDescent="0.25">
      <c r="A1008" t="str">
        <f>"1050010D00300    00"</f>
        <v>1050010D00300    00</v>
      </c>
      <c r="B1008" t="s">
        <v>921</v>
      </c>
      <c r="C1008" t="s">
        <v>2535</v>
      </c>
      <c r="D1008" t="s">
        <v>20</v>
      </c>
      <c r="E1008" t="s">
        <v>39</v>
      </c>
      <c r="F1008">
        <v>0</v>
      </c>
      <c r="G1008">
        <v>0</v>
      </c>
      <c r="H1008">
        <v>1</v>
      </c>
      <c r="I1008" s="3">
        <v>419.34</v>
      </c>
      <c r="J1008" s="3">
        <v>0</v>
      </c>
      <c r="L1008">
        <v>46</v>
      </c>
      <c r="M1008" t="s">
        <v>913</v>
      </c>
      <c r="N1008" t="s">
        <v>914</v>
      </c>
      <c r="O1008" t="s">
        <v>200</v>
      </c>
      <c r="P1008" t="str">
        <f>"10952"</f>
        <v>10952</v>
      </c>
    </row>
    <row r="1009" spans="1:16" x14ac:dyDescent="0.25">
      <c r="A1009" t="str">
        <f>"1050010D00301    00"</f>
        <v>1050010D00301    00</v>
      </c>
      <c r="B1009" t="s">
        <v>2536</v>
      </c>
      <c r="C1009" t="s">
        <v>2537</v>
      </c>
      <c r="D1009" t="s">
        <v>20</v>
      </c>
      <c r="E1009" t="s">
        <v>39</v>
      </c>
      <c r="F1009">
        <v>0</v>
      </c>
      <c r="G1009">
        <v>0</v>
      </c>
      <c r="H1009">
        <v>9</v>
      </c>
      <c r="I1009" s="3">
        <v>4067.56</v>
      </c>
      <c r="J1009" s="3">
        <v>1385.31</v>
      </c>
      <c r="L1009">
        <v>2828</v>
      </c>
      <c r="M1009" t="s">
        <v>1090</v>
      </c>
      <c r="N1009" t="s">
        <v>30</v>
      </c>
      <c r="O1009" t="s">
        <v>31</v>
      </c>
      <c r="P1009" t="str">
        <f>"15219"</f>
        <v>15219</v>
      </c>
    </row>
    <row r="1010" spans="1:16" x14ac:dyDescent="0.25">
      <c r="A1010" t="str">
        <f>"1050010D00302    00"</f>
        <v>1050010D00302    00</v>
      </c>
      <c r="B1010" t="s">
        <v>2536</v>
      </c>
      <c r="C1010" t="s">
        <v>2538</v>
      </c>
      <c r="D1010" t="s">
        <v>20</v>
      </c>
      <c r="E1010" t="s">
        <v>39</v>
      </c>
      <c r="F1010">
        <v>0</v>
      </c>
      <c r="G1010">
        <v>0</v>
      </c>
      <c r="H1010">
        <v>6</v>
      </c>
      <c r="I1010" s="3">
        <v>2988.53</v>
      </c>
      <c r="J1010" s="3">
        <v>670.27</v>
      </c>
      <c r="L1010">
        <v>2828</v>
      </c>
      <c r="M1010" t="s">
        <v>1090</v>
      </c>
      <c r="N1010" t="s">
        <v>30</v>
      </c>
      <c r="O1010" t="s">
        <v>31</v>
      </c>
      <c r="P1010" t="str">
        <f>"15219"</f>
        <v>15219</v>
      </c>
    </row>
    <row r="1011" spans="1:16" x14ac:dyDescent="0.25">
      <c r="A1011" t="str">
        <f>"1050010D00303    00"</f>
        <v>1050010D00303    00</v>
      </c>
      <c r="B1011" t="s">
        <v>2539</v>
      </c>
      <c r="C1011" t="s">
        <v>1091</v>
      </c>
      <c r="D1011" t="s">
        <v>20</v>
      </c>
      <c r="E1011" t="s">
        <v>39</v>
      </c>
      <c r="F1011">
        <v>0</v>
      </c>
      <c r="G1011">
        <v>0</v>
      </c>
      <c r="H1011">
        <v>17</v>
      </c>
      <c r="I1011" s="3">
        <v>3032.33</v>
      </c>
      <c r="J1011" s="3">
        <v>4303.51</v>
      </c>
      <c r="L1011">
        <v>2832</v>
      </c>
      <c r="M1011" t="s">
        <v>1090</v>
      </c>
      <c r="N1011" t="s">
        <v>30</v>
      </c>
      <c r="O1011" t="s">
        <v>31</v>
      </c>
      <c r="P1011" t="str">
        <f>"15219"</f>
        <v>15219</v>
      </c>
    </row>
    <row r="1012" spans="1:16" x14ac:dyDescent="0.25">
      <c r="A1012" t="str">
        <f>"1050010D00303A   00"</f>
        <v>1050010D00303A   00</v>
      </c>
      <c r="B1012" t="s">
        <v>2540</v>
      </c>
      <c r="C1012" t="s">
        <v>1091</v>
      </c>
      <c r="D1012" t="s">
        <v>20</v>
      </c>
      <c r="E1012" t="s">
        <v>39</v>
      </c>
      <c r="F1012">
        <v>0</v>
      </c>
      <c r="G1012">
        <v>0</v>
      </c>
      <c r="H1012">
        <v>17</v>
      </c>
      <c r="I1012" s="3">
        <v>4677.5600000000004</v>
      </c>
      <c r="J1012" s="3">
        <v>6509.71</v>
      </c>
      <c r="L1012">
        <v>314</v>
      </c>
      <c r="M1012" t="s">
        <v>2541</v>
      </c>
      <c r="N1012" t="s">
        <v>1067</v>
      </c>
      <c r="O1012" t="s">
        <v>31</v>
      </c>
      <c r="P1012" t="str">
        <f>"15143"</f>
        <v>15143</v>
      </c>
    </row>
    <row r="1013" spans="1:16" x14ac:dyDescent="0.25">
      <c r="A1013" t="str">
        <f>"1050010D00304    00"</f>
        <v>1050010D00304    00</v>
      </c>
      <c r="B1013" t="s">
        <v>921</v>
      </c>
      <c r="C1013" t="s">
        <v>2542</v>
      </c>
      <c r="D1013" t="s">
        <v>20</v>
      </c>
      <c r="E1013" t="s">
        <v>39</v>
      </c>
      <c r="F1013">
        <v>0</v>
      </c>
      <c r="G1013">
        <v>0</v>
      </c>
      <c r="H1013">
        <v>1</v>
      </c>
      <c r="I1013" s="3">
        <v>419.34</v>
      </c>
      <c r="J1013" s="3">
        <v>0</v>
      </c>
      <c r="L1013">
        <v>46</v>
      </c>
      <c r="M1013" t="s">
        <v>913</v>
      </c>
      <c r="N1013" t="s">
        <v>914</v>
      </c>
      <c r="O1013" t="s">
        <v>200</v>
      </c>
      <c r="P1013" t="str">
        <f>"10952"</f>
        <v>10952</v>
      </c>
    </row>
    <row r="1014" spans="1:16" x14ac:dyDescent="0.25">
      <c r="A1014" t="str">
        <f>"1050010D00306    00"</f>
        <v>1050010D00306    00</v>
      </c>
      <c r="B1014" t="s">
        <v>1118</v>
      </c>
      <c r="C1014" t="s">
        <v>2543</v>
      </c>
      <c r="E1014" t="s">
        <v>21</v>
      </c>
      <c r="F1014">
        <v>0</v>
      </c>
      <c r="G1014">
        <v>0</v>
      </c>
      <c r="H1014">
        <v>2</v>
      </c>
      <c r="I1014" s="3">
        <v>1867.88</v>
      </c>
      <c r="J1014" s="3">
        <v>186.78</v>
      </c>
      <c r="L1014">
        <v>2701</v>
      </c>
      <c r="M1014" t="s">
        <v>1117</v>
      </c>
      <c r="N1014" t="s">
        <v>30</v>
      </c>
      <c r="O1014" t="s">
        <v>31</v>
      </c>
      <c r="P1014" t="str">
        <f>"15219"</f>
        <v>15219</v>
      </c>
    </row>
    <row r="1015" spans="1:16" x14ac:dyDescent="0.25">
      <c r="A1015" t="str">
        <f>"1050010D00338A   00"</f>
        <v>1050010D00338A   00</v>
      </c>
      <c r="B1015" t="s">
        <v>2544</v>
      </c>
      <c r="C1015" t="s">
        <v>2545</v>
      </c>
      <c r="D1015" t="s">
        <v>20</v>
      </c>
      <c r="E1015" t="s">
        <v>39</v>
      </c>
      <c r="F1015">
        <v>0</v>
      </c>
      <c r="G1015">
        <v>0</v>
      </c>
      <c r="H1015">
        <v>19</v>
      </c>
      <c r="I1015" s="3">
        <v>11134.86</v>
      </c>
      <c r="J1015" s="3">
        <v>9848.9599999999991</v>
      </c>
      <c r="P1015" t="str">
        <f>""</f>
        <v/>
      </c>
    </row>
    <row r="1016" spans="1:16" x14ac:dyDescent="0.25">
      <c r="A1016" t="str">
        <f>"1050010D00352    00"</f>
        <v>1050010D00352    00</v>
      </c>
      <c r="B1016" t="s">
        <v>2546</v>
      </c>
      <c r="C1016" t="s">
        <v>2547</v>
      </c>
      <c r="D1016" t="s">
        <v>20</v>
      </c>
      <c r="E1016" t="s">
        <v>39</v>
      </c>
      <c r="F1016">
        <v>0</v>
      </c>
      <c r="G1016">
        <v>0</v>
      </c>
      <c r="H1016">
        <v>5</v>
      </c>
      <c r="I1016" s="3">
        <v>1217.1099999999999</v>
      </c>
      <c r="J1016" s="3">
        <v>183.98</v>
      </c>
      <c r="L1016">
        <v>2919</v>
      </c>
      <c r="M1016" t="s">
        <v>2548</v>
      </c>
      <c r="N1016" t="s">
        <v>30</v>
      </c>
      <c r="O1016" t="s">
        <v>31</v>
      </c>
      <c r="P1016" t="str">
        <f>"15219"</f>
        <v>15219</v>
      </c>
    </row>
    <row r="1017" spans="1:16" x14ac:dyDescent="0.25">
      <c r="A1017" t="str">
        <f>"1050010D00353    00"</f>
        <v>1050010D00353    00</v>
      </c>
      <c r="B1017" t="s">
        <v>2549</v>
      </c>
      <c r="C1017" t="s">
        <v>2550</v>
      </c>
      <c r="D1017" t="s">
        <v>20</v>
      </c>
      <c r="E1017" t="s">
        <v>39</v>
      </c>
      <c r="F1017">
        <v>0</v>
      </c>
      <c r="G1017">
        <v>0</v>
      </c>
      <c r="H1017">
        <v>7</v>
      </c>
      <c r="I1017" s="3">
        <v>1134.08</v>
      </c>
      <c r="J1017" s="3">
        <v>325</v>
      </c>
      <c r="L1017">
        <v>2917</v>
      </c>
      <c r="M1017" t="s">
        <v>2548</v>
      </c>
      <c r="N1017" t="s">
        <v>30</v>
      </c>
      <c r="O1017" t="s">
        <v>31</v>
      </c>
      <c r="P1017" t="str">
        <f>"15219"</f>
        <v>15219</v>
      </c>
    </row>
    <row r="1018" spans="1:16" x14ac:dyDescent="0.25">
      <c r="A1018" t="str">
        <f>"1050010D00354    00"</f>
        <v>1050010D00354    00</v>
      </c>
      <c r="B1018" t="s">
        <v>2551</v>
      </c>
      <c r="C1018" t="s">
        <v>2547</v>
      </c>
      <c r="D1018" t="s">
        <v>20</v>
      </c>
      <c r="E1018" t="s">
        <v>39</v>
      </c>
      <c r="F1018">
        <v>0</v>
      </c>
      <c r="G1018">
        <v>0</v>
      </c>
      <c r="H1018">
        <v>8</v>
      </c>
      <c r="I1018" s="3">
        <v>44.48</v>
      </c>
      <c r="J1018" s="3">
        <v>19.02</v>
      </c>
      <c r="K1018" t="s">
        <v>2552</v>
      </c>
      <c r="L1018">
        <v>3915</v>
      </c>
      <c r="M1018" t="s">
        <v>2548</v>
      </c>
      <c r="N1018" t="s">
        <v>30</v>
      </c>
      <c r="O1018" t="s">
        <v>31</v>
      </c>
      <c r="P1018" t="str">
        <f>"15219"</f>
        <v>15219</v>
      </c>
    </row>
    <row r="1019" spans="1:16" x14ac:dyDescent="0.25">
      <c r="A1019" t="str">
        <f>"1050010D00374    00"</f>
        <v>1050010D00374    00</v>
      </c>
      <c r="B1019" t="s">
        <v>2553</v>
      </c>
      <c r="C1019" t="s">
        <v>2554</v>
      </c>
      <c r="D1019" t="s">
        <v>20</v>
      </c>
      <c r="E1019" t="s">
        <v>39</v>
      </c>
      <c r="F1019">
        <v>0</v>
      </c>
      <c r="G1019">
        <v>0</v>
      </c>
      <c r="H1019">
        <v>14</v>
      </c>
      <c r="I1019" s="3">
        <v>8136.77</v>
      </c>
      <c r="J1019" s="3">
        <v>4658.29</v>
      </c>
      <c r="L1019">
        <v>2910</v>
      </c>
      <c r="M1019" t="s">
        <v>1090</v>
      </c>
      <c r="N1019" t="s">
        <v>30</v>
      </c>
      <c r="O1019" t="s">
        <v>31</v>
      </c>
      <c r="P1019" t="str">
        <f>"15219"</f>
        <v>15219</v>
      </c>
    </row>
    <row r="1020" spans="1:16" x14ac:dyDescent="0.25">
      <c r="A1020" t="str">
        <f>"1050010F00005    00"</f>
        <v>1050010F00005    00</v>
      </c>
      <c r="B1020" t="s">
        <v>2555</v>
      </c>
      <c r="C1020" t="s">
        <v>2556</v>
      </c>
      <c r="D1020" t="s">
        <v>20</v>
      </c>
      <c r="E1020" t="s">
        <v>39</v>
      </c>
      <c r="F1020">
        <v>0</v>
      </c>
      <c r="G1020">
        <v>0</v>
      </c>
      <c r="H1020">
        <v>19</v>
      </c>
      <c r="I1020" s="3">
        <v>4169.25</v>
      </c>
      <c r="J1020" s="3">
        <v>3027.7</v>
      </c>
      <c r="L1020">
        <v>56</v>
      </c>
      <c r="M1020" t="s">
        <v>2557</v>
      </c>
      <c r="N1020" t="s">
        <v>30</v>
      </c>
      <c r="O1020" t="s">
        <v>31</v>
      </c>
      <c r="P1020" t="str">
        <f>"15205"</f>
        <v>15205</v>
      </c>
    </row>
    <row r="1021" spans="1:16" x14ac:dyDescent="0.25">
      <c r="A1021" t="str">
        <f>"1050010F00006    00"</f>
        <v>1050010F00006    00</v>
      </c>
      <c r="B1021" t="s">
        <v>2558</v>
      </c>
      <c r="C1021" t="s">
        <v>2556</v>
      </c>
      <c r="D1021" t="s">
        <v>20</v>
      </c>
      <c r="E1021" t="s">
        <v>39</v>
      </c>
      <c r="F1021">
        <v>0</v>
      </c>
      <c r="G1021">
        <v>0</v>
      </c>
      <c r="H1021">
        <v>15</v>
      </c>
      <c r="I1021" s="3">
        <v>3531.28</v>
      </c>
      <c r="J1021" s="3">
        <v>2062.9699999999998</v>
      </c>
      <c r="L1021">
        <v>5704</v>
      </c>
      <c r="M1021" t="s">
        <v>585</v>
      </c>
      <c r="N1021" t="s">
        <v>30</v>
      </c>
      <c r="O1021" t="s">
        <v>31</v>
      </c>
      <c r="P1021" t="str">
        <f>"15206"</f>
        <v>15206</v>
      </c>
    </row>
    <row r="1022" spans="1:16" x14ac:dyDescent="0.25">
      <c r="A1022" t="str">
        <f>"1050010F00007    00"</f>
        <v>1050010F00007    00</v>
      </c>
      <c r="B1022" t="s">
        <v>2559</v>
      </c>
      <c r="C1022" t="s">
        <v>2556</v>
      </c>
      <c r="D1022" t="s">
        <v>20</v>
      </c>
      <c r="E1022" t="s">
        <v>39</v>
      </c>
      <c r="F1022">
        <v>0</v>
      </c>
      <c r="G1022">
        <v>0</v>
      </c>
      <c r="H1022">
        <v>19</v>
      </c>
      <c r="I1022" s="3">
        <v>4169.25</v>
      </c>
      <c r="J1022" s="3">
        <v>3027.7</v>
      </c>
      <c r="K1022" t="s">
        <v>1037</v>
      </c>
      <c r="L1022">
        <v>34</v>
      </c>
      <c r="M1022" t="s">
        <v>2560</v>
      </c>
      <c r="N1022" t="s">
        <v>30</v>
      </c>
      <c r="O1022" t="s">
        <v>31</v>
      </c>
      <c r="P1022" t="str">
        <f>"15219"</f>
        <v>15219</v>
      </c>
    </row>
    <row r="1023" spans="1:16" x14ac:dyDescent="0.25">
      <c r="A1023" t="str">
        <f>"1050010F00008    00"</f>
        <v>1050010F00008    00</v>
      </c>
      <c r="B1023" t="s">
        <v>2561</v>
      </c>
      <c r="C1023" t="s">
        <v>2556</v>
      </c>
      <c r="D1023" t="s">
        <v>20</v>
      </c>
      <c r="E1023" t="s">
        <v>39</v>
      </c>
      <c r="F1023">
        <v>0</v>
      </c>
      <c r="G1023">
        <v>0</v>
      </c>
      <c r="H1023">
        <v>19</v>
      </c>
      <c r="I1023" s="3">
        <v>2064.9</v>
      </c>
      <c r="J1023" s="3">
        <v>2013.9</v>
      </c>
      <c r="L1023">
        <v>630</v>
      </c>
      <c r="M1023" t="s">
        <v>2560</v>
      </c>
      <c r="N1023" t="s">
        <v>30</v>
      </c>
      <c r="O1023" t="s">
        <v>31</v>
      </c>
      <c r="P1023" t="str">
        <f>"15219"</f>
        <v>15219</v>
      </c>
    </row>
    <row r="1024" spans="1:16" x14ac:dyDescent="0.25">
      <c r="A1024" t="str">
        <f>"1050010F00009    00"</f>
        <v>1050010F00009    00</v>
      </c>
      <c r="B1024" t="s">
        <v>2561</v>
      </c>
      <c r="C1024" t="s">
        <v>2556</v>
      </c>
      <c r="D1024" t="s">
        <v>20</v>
      </c>
      <c r="E1024" t="s">
        <v>39</v>
      </c>
      <c r="F1024">
        <v>0</v>
      </c>
      <c r="G1024">
        <v>0</v>
      </c>
      <c r="H1024">
        <v>19</v>
      </c>
      <c r="I1024" s="3">
        <v>2064.9</v>
      </c>
      <c r="J1024" s="3">
        <v>2013.9</v>
      </c>
      <c r="L1024">
        <v>630</v>
      </c>
      <c r="M1024" t="s">
        <v>2560</v>
      </c>
      <c r="N1024" t="s">
        <v>30</v>
      </c>
      <c r="O1024" t="s">
        <v>31</v>
      </c>
      <c r="P1024" t="str">
        <f>"15219"</f>
        <v>15219</v>
      </c>
    </row>
    <row r="1025" spans="1:16" x14ac:dyDescent="0.25">
      <c r="A1025" t="str">
        <f>"1050010F00011    00"</f>
        <v>1050010F00011    00</v>
      </c>
      <c r="B1025" t="s">
        <v>2562</v>
      </c>
      <c r="C1025" t="s">
        <v>2563</v>
      </c>
      <c r="D1025" t="s">
        <v>20</v>
      </c>
      <c r="E1025" t="s">
        <v>39</v>
      </c>
      <c r="F1025">
        <v>0</v>
      </c>
      <c r="G1025">
        <v>0</v>
      </c>
      <c r="H1025">
        <v>16</v>
      </c>
      <c r="I1025" s="3">
        <v>6702.74</v>
      </c>
      <c r="J1025" s="3">
        <v>6669.04</v>
      </c>
      <c r="L1025">
        <v>624</v>
      </c>
      <c r="M1025" t="s">
        <v>2560</v>
      </c>
      <c r="N1025" t="s">
        <v>30</v>
      </c>
      <c r="O1025" t="s">
        <v>31</v>
      </c>
      <c r="P1025" t="str">
        <f>"15219"</f>
        <v>15219</v>
      </c>
    </row>
    <row r="1026" spans="1:16" x14ac:dyDescent="0.25">
      <c r="A1026" t="str">
        <f>"1050010F00013    00"</f>
        <v>1050010F00013    00</v>
      </c>
      <c r="B1026" t="s">
        <v>2564</v>
      </c>
      <c r="C1026" t="s">
        <v>2556</v>
      </c>
      <c r="D1026" t="s">
        <v>20</v>
      </c>
      <c r="E1026" t="s">
        <v>39</v>
      </c>
      <c r="F1026">
        <v>0</v>
      </c>
      <c r="G1026">
        <v>0</v>
      </c>
      <c r="H1026">
        <v>6</v>
      </c>
      <c r="I1026" s="3">
        <v>321.44</v>
      </c>
      <c r="J1026" s="3">
        <v>109.75</v>
      </c>
      <c r="L1026">
        <v>495</v>
      </c>
      <c r="M1026" t="s">
        <v>2565</v>
      </c>
      <c r="N1026" t="s">
        <v>2566</v>
      </c>
      <c r="O1026" t="s">
        <v>423</v>
      </c>
      <c r="P1026" t="str">
        <f>"08807"</f>
        <v>08807</v>
      </c>
    </row>
    <row r="1027" spans="1:16" x14ac:dyDescent="0.25">
      <c r="A1027" t="str">
        <f>"1050010F00013A   00"</f>
        <v>1050010F00013A   00</v>
      </c>
      <c r="B1027" t="s">
        <v>2564</v>
      </c>
      <c r="C1027" t="s">
        <v>2556</v>
      </c>
      <c r="D1027" t="s">
        <v>20</v>
      </c>
      <c r="E1027" t="s">
        <v>39</v>
      </c>
      <c r="F1027">
        <v>0</v>
      </c>
      <c r="G1027">
        <v>0</v>
      </c>
      <c r="H1027">
        <v>6</v>
      </c>
      <c r="I1027" s="3">
        <v>332.49</v>
      </c>
      <c r="J1027" s="3">
        <v>113.52</v>
      </c>
      <c r="K1027" t="s">
        <v>2567</v>
      </c>
      <c r="L1027">
        <v>495</v>
      </c>
      <c r="M1027" t="s">
        <v>2565</v>
      </c>
      <c r="N1027" t="s">
        <v>2566</v>
      </c>
      <c r="O1027" t="s">
        <v>423</v>
      </c>
      <c r="P1027" t="str">
        <f>"08807"</f>
        <v>08807</v>
      </c>
    </row>
    <row r="1028" spans="1:16" x14ac:dyDescent="0.25">
      <c r="A1028" t="str">
        <f>"1050010F00015000100"</f>
        <v>1050010F00015000100</v>
      </c>
      <c r="B1028" t="s">
        <v>2568</v>
      </c>
      <c r="C1028" t="s">
        <v>2569</v>
      </c>
      <c r="E1028" t="s">
        <v>21</v>
      </c>
      <c r="F1028">
        <v>0</v>
      </c>
      <c r="G1028">
        <v>0</v>
      </c>
      <c r="H1028">
        <v>1</v>
      </c>
      <c r="I1028" s="3">
        <v>372.06</v>
      </c>
      <c r="J1028" s="3">
        <v>0</v>
      </c>
      <c r="K1028" t="s">
        <v>2570</v>
      </c>
      <c r="L1028">
        <v>901</v>
      </c>
      <c r="M1028" t="s">
        <v>1503</v>
      </c>
      <c r="N1028" t="s">
        <v>494</v>
      </c>
      <c r="O1028" t="s">
        <v>495</v>
      </c>
      <c r="P1028" t="str">
        <f>"91768"</f>
        <v>91768</v>
      </c>
    </row>
    <row r="1029" spans="1:16" x14ac:dyDescent="0.25">
      <c r="A1029" t="str">
        <f>"1050010F00016    00"</f>
        <v>1050010F00016    00</v>
      </c>
      <c r="B1029" t="s">
        <v>2571</v>
      </c>
      <c r="C1029" t="s">
        <v>2572</v>
      </c>
      <c r="D1029" t="s">
        <v>20</v>
      </c>
      <c r="E1029" t="s">
        <v>39</v>
      </c>
      <c r="F1029">
        <v>0</v>
      </c>
      <c r="G1029">
        <v>0</v>
      </c>
      <c r="H1029">
        <v>14</v>
      </c>
      <c r="I1029" s="3">
        <v>9988.0499999999993</v>
      </c>
      <c r="J1029" s="3">
        <v>6643.74</v>
      </c>
      <c r="L1029">
        <v>2312</v>
      </c>
      <c r="M1029" t="s">
        <v>1090</v>
      </c>
      <c r="N1029" t="s">
        <v>30</v>
      </c>
      <c r="O1029" t="s">
        <v>31</v>
      </c>
      <c r="P1029" t="str">
        <f>"15219"</f>
        <v>15219</v>
      </c>
    </row>
    <row r="1030" spans="1:16" x14ac:dyDescent="0.25">
      <c r="A1030" t="str">
        <f>"1050010F00018    00"</f>
        <v>1050010F00018    00</v>
      </c>
      <c r="B1030" t="s">
        <v>2573</v>
      </c>
      <c r="C1030" t="s">
        <v>2574</v>
      </c>
      <c r="D1030" t="s">
        <v>20</v>
      </c>
      <c r="E1030" t="s">
        <v>39</v>
      </c>
      <c r="F1030">
        <v>0</v>
      </c>
      <c r="G1030">
        <v>0</v>
      </c>
      <c r="H1030">
        <v>19</v>
      </c>
      <c r="I1030" s="3">
        <v>23966.45</v>
      </c>
      <c r="J1030" s="3">
        <v>16317.48</v>
      </c>
      <c r="L1030">
        <v>2308</v>
      </c>
      <c r="M1030" t="s">
        <v>1090</v>
      </c>
      <c r="N1030" t="s">
        <v>30</v>
      </c>
      <c r="O1030" t="s">
        <v>31</v>
      </c>
      <c r="P1030" t="str">
        <f>"15219"</f>
        <v>15219</v>
      </c>
    </row>
    <row r="1031" spans="1:16" x14ac:dyDescent="0.25">
      <c r="A1031" t="str">
        <f>"1050010F00022    00"</f>
        <v>1050010F00022    00</v>
      </c>
      <c r="B1031" t="s">
        <v>2575</v>
      </c>
      <c r="C1031" t="s">
        <v>2576</v>
      </c>
      <c r="D1031" t="s">
        <v>20</v>
      </c>
      <c r="E1031" t="s">
        <v>39</v>
      </c>
      <c r="F1031">
        <v>0</v>
      </c>
      <c r="G1031">
        <v>0</v>
      </c>
      <c r="H1031">
        <v>19</v>
      </c>
      <c r="I1031" s="3">
        <v>14918.22</v>
      </c>
      <c r="J1031" s="3">
        <v>13576</v>
      </c>
      <c r="L1031">
        <v>2298</v>
      </c>
      <c r="M1031" t="s">
        <v>1090</v>
      </c>
      <c r="N1031" t="s">
        <v>30</v>
      </c>
      <c r="O1031" t="s">
        <v>31</v>
      </c>
      <c r="P1031" t="str">
        <f>"15219"</f>
        <v>15219</v>
      </c>
    </row>
    <row r="1032" spans="1:16" x14ac:dyDescent="0.25">
      <c r="A1032" t="str">
        <f>"1050010F00024    00"</f>
        <v>1050010F00024    00</v>
      </c>
      <c r="B1032" t="s">
        <v>2568</v>
      </c>
      <c r="C1032" t="s">
        <v>2577</v>
      </c>
      <c r="D1032" t="s">
        <v>20</v>
      </c>
      <c r="E1032" t="s">
        <v>39</v>
      </c>
      <c r="F1032">
        <v>0</v>
      </c>
      <c r="G1032">
        <v>0</v>
      </c>
      <c r="H1032">
        <v>19</v>
      </c>
      <c r="I1032" s="3">
        <v>19678.14</v>
      </c>
      <c r="J1032" s="3">
        <v>16500.509999999998</v>
      </c>
      <c r="L1032">
        <v>2309</v>
      </c>
      <c r="M1032" t="s">
        <v>1090</v>
      </c>
      <c r="N1032" t="s">
        <v>30</v>
      </c>
      <c r="O1032" t="s">
        <v>31</v>
      </c>
      <c r="P1032" t="str">
        <f>"15219"</f>
        <v>15219</v>
      </c>
    </row>
    <row r="1033" spans="1:16" x14ac:dyDescent="0.25">
      <c r="A1033" t="str">
        <f>"1050010F00025    00"</f>
        <v>1050010F00025    00</v>
      </c>
      <c r="B1033" t="s">
        <v>2578</v>
      </c>
      <c r="C1033" t="s">
        <v>1091</v>
      </c>
      <c r="D1033" t="s">
        <v>20</v>
      </c>
      <c r="E1033" t="s">
        <v>39</v>
      </c>
      <c r="F1033">
        <v>0</v>
      </c>
      <c r="G1033">
        <v>0</v>
      </c>
      <c r="H1033">
        <v>18</v>
      </c>
      <c r="I1033" s="3">
        <v>7035.33</v>
      </c>
      <c r="J1033" s="3">
        <v>7855.22</v>
      </c>
      <c r="L1033">
        <v>2254</v>
      </c>
      <c r="M1033" t="s">
        <v>1090</v>
      </c>
      <c r="N1033" t="s">
        <v>30</v>
      </c>
      <c r="O1033" t="s">
        <v>31</v>
      </c>
      <c r="P1033" t="str">
        <f>"15219"</f>
        <v>15219</v>
      </c>
    </row>
    <row r="1034" spans="1:16" x14ac:dyDescent="0.25">
      <c r="A1034" t="str">
        <f>"1050010F00026    00"</f>
        <v>1050010F00026    00</v>
      </c>
      <c r="B1034" t="s">
        <v>2579</v>
      </c>
      <c r="C1034" t="s">
        <v>1091</v>
      </c>
      <c r="D1034" t="s">
        <v>20</v>
      </c>
      <c r="E1034" t="s">
        <v>39</v>
      </c>
      <c r="F1034">
        <v>0</v>
      </c>
      <c r="G1034">
        <v>0</v>
      </c>
      <c r="H1034">
        <v>12</v>
      </c>
      <c r="I1034" s="3">
        <v>2635.24</v>
      </c>
      <c r="J1034" s="3">
        <v>1345.65</v>
      </c>
      <c r="L1034">
        <v>1012</v>
      </c>
      <c r="M1034" t="s">
        <v>2580</v>
      </c>
      <c r="N1034" t="s">
        <v>30</v>
      </c>
      <c r="O1034" t="s">
        <v>31</v>
      </c>
      <c r="P1034" t="str">
        <f>"15204"</f>
        <v>15204</v>
      </c>
    </row>
    <row r="1035" spans="1:16" x14ac:dyDescent="0.25">
      <c r="A1035" t="str">
        <f>"1050010F00028    00"</f>
        <v>1050010F00028    00</v>
      </c>
      <c r="B1035" t="s">
        <v>2581</v>
      </c>
      <c r="C1035" t="s">
        <v>2582</v>
      </c>
      <c r="D1035" t="s">
        <v>20</v>
      </c>
      <c r="E1035" t="s">
        <v>39</v>
      </c>
      <c r="F1035">
        <v>0</v>
      </c>
      <c r="G1035">
        <v>0</v>
      </c>
      <c r="H1035">
        <v>4</v>
      </c>
      <c r="I1035" s="3">
        <v>2565.16</v>
      </c>
      <c r="J1035" s="3">
        <v>435.12</v>
      </c>
      <c r="K1035" t="s">
        <v>2583</v>
      </c>
      <c r="L1035">
        <v>614</v>
      </c>
      <c r="M1035" t="s">
        <v>2371</v>
      </c>
      <c r="N1035" t="s">
        <v>30</v>
      </c>
      <c r="O1035" t="s">
        <v>31</v>
      </c>
      <c r="P1035" t="str">
        <f>"15219"</f>
        <v>15219</v>
      </c>
    </row>
    <row r="1036" spans="1:16" x14ac:dyDescent="0.25">
      <c r="A1036" t="str">
        <f>"1050010F00030    00"</f>
        <v>1050010F00030    00</v>
      </c>
      <c r="B1036" t="s">
        <v>2584</v>
      </c>
      <c r="C1036" t="s">
        <v>1091</v>
      </c>
      <c r="E1036" t="s">
        <v>39</v>
      </c>
      <c r="F1036">
        <v>0</v>
      </c>
      <c r="G1036">
        <v>0</v>
      </c>
      <c r="H1036">
        <v>6</v>
      </c>
      <c r="I1036" s="3">
        <v>2908.95</v>
      </c>
      <c r="J1036" s="3">
        <v>3929.62</v>
      </c>
      <c r="L1036">
        <v>1621</v>
      </c>
      <c r="M1036" t="s">
        <v>854</v>
      </c>
      <c r="N1036" t="s">
        <v>30</v>
      </c>
      <c r="O1036" t="s">
        <v>31</v>
      </c>
      <c r="P1036" t="str">
        <f>"15219"</f>
        <v>15219</v>
      </c>
    </row>
    <row r="1037" spans="1:16" x14ac:dyDescent="0.25">
      <c r="A1037" t="str">
        <f>"1050010F00063    00"</f>
        <v>1050010F00063    00</v>
      </c>
      <c r="B1037" t="s">
        <v>2568</v>
      </c>
      <c r="C1037" t="s">
        <v>2585</v>
      </c>
      <c r="D1037" t="s">
        <v>20</v>
      </c>
      <c r="E1037" t="s">
        <v>39</v>
      </c>
      <c r="F1037">
        <v>0</v>
      </c>
      <c r="G1037">
        <v>0</v>
      </c>
      <c r="H1037">
        <v>19</v>
      </c>
      <c r="I1037" s="3">
        <v>1929.29</v>
      </c>
      <c r="J1037" s="3">
        <v>1645.55</v>
      </c>
      <c r="L1037">
        <v>2309</v>
      </c>
      <c r="M1037" t="s">
        <v>1090</v>
      </c>
      <c r="N1037" t="s">
        <v>30</v>
      </c>
      <c r="O1037" t="s">
        <v>31</v>
      </c>
      <c r="P1037" t="str">
        <f>"15219"</f>
        <v>15219</v>
      </c>
    </row>
    <row r="1038" spans="1:16" x14ac:dyDescent="0.25">
      <c r="A1038" t="str">
        <f>"1050010F00064    00"</f>
        <v>1050010F00064    00</v>
      </c>
      <c r="B1038" t="s">
        <v>2568</v>
      </c>
      <c r="C1038" t="s">
        <v>2585</v>
      </c>
      <c r="D1038" t="s">
        <v>20</v>
      </c>
      <c r="E1038" t="s">
        <v>39</v>
      </c>
      <c r="F1038">
        <v>0</v>
      </c>
      <c r="G1038">
        <v>0</v>
      </c>
      <c r="H1038">
        <v>12</v>
      </c>
      <c r="I1038" s="3">
        <v>17516.919999999998</v>
      </c>
      <c r="J1038" s="3">
        <v>9214.08</v>
      </c>
      <c r="L1038">
        <v>2309</v>
      </c>
      <c r="M1038" t="s">
        <v>1090</v>
      </c>
      <c r="N1038" t="s">
        <v>30</v>
      </c>
      <c r="O1038" t="s">
        <v>31</v>
      </c>
      <c r="P1038" t="str">
        <f>"15219"</f>
        <v>15219</v>
      </c>
    </row>
    <row r="1039" spans="1:16" x14ac:dyDescent="0.25">
      <c r="A1039" t="str">
        <f>"1050010F00065    00"</f>
        <v>1050010F00065    00</v>
      </c>
      <c r="B1039" t="s">
        <v>2568</v>
      </c>
      <c r="C1039" t="s">
        <v>2586</v>
      </c>
      <c r="D1039" t="s">
        <v>20</v>
      </c>
      <c r="E1039" t="s">
        <v>39</v>
      </c>
      <c r="F1039">
        <v>0</v>
      </c>
      <c r="G1039">
        <v>0</v>
      </c>
      <c r="H1039">
        <v>19</v>
      </c>
      <c r="I1039" s="3">
        <v>23157.02</v>
      </c>
      <c r="J1039" s="3">
        <v>22059.7</v>
      </c>
      <c r="L1039">
        <v>2309</v>
      </c>
      <c r="M1039" t="s">
        <v>1090</v>
      </c>
      <c r="N1039" t="s">
        <v>30</v>
      </c>
      <c r="O1039" t="s">
        <v>31</v>
      </c>
      <c r="P1039" t="str">
        <f>"15219"</f>
        <v>15219</v>
      </c>
    </row>
    <row r="1040" spans="1:16" x14ac:dyDescent="0.25">
      <c r="A1040" t="str">
        <f>"1050010F00068    00"</f>
        <v>1050010F00068    00</v>
      </c>
      <c r="B1040" t="s">
        <v>2587</v>
      </c>
      <c r="C1040" t="s">
        <v>2588</v>
      </c>
      <c r="D1040" t="s">
        <v>20</v>
      </c>
      <c r="E1040" t="s">
        <v>66</v>
      </c>
      <c r="F1040">
        <v>0</v>
      </c>
      <c r="G1040">
        <v>0</v>
      </c>
      <c r="H1040">
        <v>19</v>
      </c>
      <c r="I1040" s="3">
        <v>13508.14</v>
      </c>
      <c r="J1040" s="3">
        <v>12904.47</v>
      </c>
      <c r="P1040" t="str">
        <f>""</f>
        <v/>
      </c>
    </row>
    <row r="1041" spans="1:16" x14ac:dyDescent="0.25">
      <c r="A1041" t="str">
        <f>"1050010F00069    00"</f>
        <v>1050010F00069    00</v>
      </c>
      <c r="B1041" t="s">
        <v>2589</v>
      </c>
      <c r="C1041" t="s">
        <v>2556</v>
      </c>
      <c r="D1041" t="s">
        <v>20</v>
      </c>
      <c r="E1041" t="s">
        <v>39</v>
      </c>
      <c r="F1041">
        <v>0</v>
      </c>
      <c r="G1041">
        <v>0</v>
      </c>
      <c r="H1041">
        <v>17</v>
      </c>
      <c r="I1041" s="3">
        <v>132.6</v>
      </c>
      <c r="J1041" s="3">
        <v>129.53</v>
      </c>
      <c r="K1041" t="s">
        <v>1008</v>
      </c>
      <c r="P1041" t="str">
        <f>""</f>
        <v/>
      </c>
    </row>
    <row r="1042" spans="1:16" x14ac:dyDescent="0.25">
      <c r="A1042" t="str">
        <f>"1050010F00072    00"</f>
        <v>1050010F00072    00</v>
      </c>
      <c r="B1042" t="s">
        <v>2590</v>
      </c>
      <c r="C1042" t="s">
        <v>2591</v>
      </c>
      <c r="E1042" t="s">
        <v>39</v>
      </c>
      <c r="F1042">
        <v>0</v>
      </c>
      <c r="G1042">
        <v>0</v>
      </c>
      <c r="H1042">
        <v>2</v>
      </c>
      <c r="I1042" s="3">
        <v>34.71</v>
      </c>
      <c r="J1042" s="3">
        <v>57.11</v>
      </c>
      <c r="L1042">
        <v>8353</v>
      </c>
      <c r="M1042" t="s">
        <v>2592</v>
      </c>
      <c r="N1042" t="s">
        <v>30</v>
      </c>
      <c r="O1042" t="s">
        <v>31</v>
      </c>
      <c r="P1042" t="str">
        <f>"15221"</f>
        <v>15221</v>
      </c>
    </row>
    <row r="1043" spans="1:16" x14ac:dyDescent="0.25">
      <c r="A1043" t="str">
        <f>"1050010F00075    00"</f>
        <v>1050010F00075    00</v>
      </c>
      <c r="B1043" t="s">
        <v>2593</v>
      </c>
      <c r="C1043" t="s">
        <v>2556</v>
      </c>
      <c r="E1043" t="s">
        <v>39</v>
      </c>
      <c r="F1043">
        <v>0</v>
      </c>
      <c r="G1043">
        <v>0</v>
      </c>
      <c r="H1043">
        <v>7</v>
      </c>
      <c r="I1043" s="3">
        <v>59.53</v>
      </c>
      <c r="J1043" s="3">
        <v>88.51</v>
      </c>
      <c r="L1043">
        <v>8353</v>
      </c>
      <c r="M1043" t="s">
        <v>2592</v>
      </c>
      <c r="N1043" t="s">
        <v>30</v>
      </c>
      <c r="O1043" t="s">
        <v>31</v>
      </c>
      <c r="P1043" t="str">
        <f>"15221"</f>
        <v>15221</v>
      </c>
    </row>
    <row r="1044" spans="1:16" x14ac:dyDescent="0.25">
      <c r="A1044" t="str">
        <f>"1050010F00085    00"</f>
        <v>1050010F00085    00</v>
      </c>
      <c r="B1044" t="s">
        <v>2594</v>
      </c>
      <c r="C1044" t="s">
        <v>2595</v>
      </c>
      <c r="D1044" t="s">
        <v>20</v>
      </c>
      <c r="E1044" t="s">
        <v>39</v>
      </c>
      <c r="F1044">
        <v>0</v>
      </c>
      <c r="G1044">
        <v>0</v>
      </c>
      <c r="H1044">
        <v>3</v>
      </c>
      <c r="I1044" s="3">
        <v>397.36</v>
      </c>
      <c r="J1044" s="3">
        <v>26.61</v>
      </c>
      <c r="L1044">
        <v>2335</v>
      </c>
      <c r="M1044" t="s">
        <v>1090</v>
      </c>
      <c r="N1044" t="s">
        <v>30</v>
      </c>
      <c r="O1044" t="s">
        <v>31</v>
      </c>
      <c r="P1044" t="str">
        <f>"15219"</f>
        <v>15219</v>
      </c>
    </row>
    <row r="1045" spans="1:16" x14ac:dyDescent="0.25">
      <c r="A1045" t="str">
        <f>"1050010F00086    00"</f>
        <v>1050010F00086    00</v>
      </c>
      <c r="B1045" t="s">
        <v>2596</v>
      </c>
      <c r="C1045" t="s">
        <v>1091</v>
      </c>
      <c r="D1045" t="s">
        <v>20</v>
      </c>
      <c r="E1045" t="s">
        <v>39</v>
      </c>
      <c r="F1045">
        <v>0</v>
      </c>
      <c r="G1045">
        <v>0</v>
      </c>
      <c r="H1045">
        <v>14</v>
      </c>
      <c r="I1045" s="3">
        <v>118.26</v>
      </c>
      <c r="J1045" s="3">
        <v>97.82</v>
      </c>
      <c r="M1045" t="s">
        <v>2597</v>
      </c>
      <c r="N1045" t="s">
        <v>30</v>
      </c>
      <c r="O1045" t="s">
        <v>31</v>
      </c>
      <c r="P1045" t="str">
        <f>"15230"</f>
        <v>15230</v>
      </c>
    </row>
    <row r="1046" spans="1:16" x14ac:dyDescent="0.25">
      <c r="A1046" t="str">
        <f>"1050010F00087    00"</f>
        <v>1050010F00087    00</v>
      </c>
      <c r="B1046" t="s">
        <v>2598</v>
      </c>
      <c r="C1046" t="s">
        <v>1091</v>
      </c>
      <c r="D1046" t="s">
        <v>20</v>
      </c>
      <c r="E1046" t="s">
        <v>39</v>
      </c>
      <c r="F1046">
        <v>0</v>
      </c>
      <c r="G1046">
        <v>0</v>
      </c>
      <c r="H1046">
        <v>6</v>
      </c>
      <c r="I1046" s="3">
        <v>43.56</v>
      </c>
      <c r="J1046" s="3">
        <v>26.34</v>
      </c>
      <c r="K1046" t="s">
        <v>2599</v>
      </c>
      <c r="L1046">
        <v>1204</v>
      </c>
      <c r="M1046" t="s">
        <v>2600</v>
      </c>
      <c r="N1046" t="s">
        <v>2601</v>
      </c>
      <c r="O1046" t="s">
        <v>370</v>
      </c>
      <c r="P1046" t="str">
        <f>"32922"</f>
        <v>32922</v>
      </c>
    </row>
    <row r="1047" spans="1:16" x14ac:dyDescent="0.25">
      <c r="A1047" t="str">
        <f>"1050010F00088    00"</f>
        <v>1050010F00088    00</v>
      </c>
      <c r="B1047" t="s">
        <v>2598</v>
      </c>
      <c r="C1047" t="s">
        <v>1091</v>
      </c>
      <c r="D1047" t="s">
        <v>20</v>
      </c>
      <c r="E1047" t="s">
        <v>39</v>
      </c>
      <c r="F1047">
        <v>0</v>
      </c>
      <c r="G1047">
        <v>0</v>
      </c>
      <c r="H1047">
        <v>7</v>
      </c>
      <c r="I1047" s="3">
        <v>38.520000000000003</v>
      </c>
      <c r="J1047" s="3">
        <v>19.829999999999998</v>
      </c>
      <c r="K1047" t="s">
        <v>2599</v>
      </c>
      <c r="L1047">
        <v>914</v>
      </c>
      <c r="M1047" t="s">
        <v>2602</v>
      </c>
      <c r="N1047" t="s">
        <v>625</v>
      </c>
      <c r="O1047" t="s">
        <v>31</v>
      </c>
      <c r="P1047" t="str">
        <f>"15108"</f>
        <v>15108</v>
      </c>
    </row>
    <row r="1048" spans="1:16" x14ac:dyDescent="0.25">
      <c r="A1048" t="str">
        <f>"1050010F00089    00"</f>
        <v>1050010F00089    00</v>
      </c>
      <c r="B1048" t="s">
        <v>2603</v>
      </c>
      <c r="C1048" t="s">
        <v>2604</v>
      </c>
      <c r="D1048" t="s">
        <v>20</v>
      </c>
      <c r="E1048" t="s">
        <v>39</v>
      </c>
      <c r="F1048">
        <v>0</v>
      </c>
      <c r="G1048">
        <v>0</v>
      </c>
      <c r="H1048">
        <v>1</v>
      </c>
      <c r="I1048" s="3">
        <v>257.95999999999998</v>
      </c>
      <c r="J1048" s="3">
        <v>0</v>
      </c>
      <c r="L1048">
        <v>2325</v>
      </c>
      <c r="M1048" t="s">
        <v>1090</v>
      </c>
      <c r="N1048" t="s">
        <v>30</v>
      </c>
      <c r="O1048" t="s">
        <v>31</v>
      </c>
      <c r="P1048" t="str">
        <f>"15219"</f>
        <v>15219</v>
      </c>
    </row>
    <row r="1049" spans="1:16" x14ac:dyDescent="0.25">
      <c r="A1049" t="str">
        <f>"1050010F00091    00"</f>
        <v>1050010F00091    00</v>
      </c>
      <c r="B1049" t="s">
        <v>2605</v>
      </c>
      <c r="C1049" t="s">
        <v>2606</v>
      </c>
      <c r="D1049" t="s">
        <v>20</v>
      </c>
      <c r="E1049" t="s">
        <v>39</v>
      </c>
      <c r="F1049">
        <v>0</v>
      </c>
      <c r="G1049">
        <v>0</v>
      </c>
      <c r="H1049">
        <v>10</v>
      </c>
      <c r="I1049" s="3">
        <v>1721.56</v>
      </c>
      <c r="J1049" s="3">
        <v>645.5</v>
      </c>
      <c r="L1049">
        <v>711</v>
      </c>
      <c r="M1049" t="s">
        <v>2607</v>
      </c>
      <c r="N1049" t="s">
        <v>30</v>
      </c>
      <c r="O1049" t="s">
        <v>31</v>
      </c>
      <c r="P1049" t="str">
        <f>"15219"</f>
        <v>15219</v>
      </c>
    </row>
    <row r="1050" spans="1:16" x14ac:dyDescent="0.25">
      <c r="A1050" t="str">
        <f>"1050010F00092    00"</f>
        <v>1050010F00092    00</v>
      </c>
      <c r="B1050" t="s">
        <v>2608</v>
      </c>
      <c r="C1050" t="s">
        <v>2609</v>
      </c>
      <c r="D1050" t="s">
        <v>20</v>
      </c>
      <c r="E1050" t="s">
        <v>39</v>
      </c>
      <c r="F1050">
        <v>0</v>
      </c>
      <c r="G1050">
        <v>0</v>
      </c>
      <c r="H1050">
        <v>19</v>
      </c>
      <c r="I1050" s="3">
        <v>7308.74</v>
      </c>
      <c r="J1050" s="3">
        <v>8129.86</v>
      </c>
      <c r="M1050" t="s">
        <v>2610</v>
      </c>
      <c r="P1050" t="str">
        <f>""</f>
        <v/>
      </c>
    </row>
    <row r="1051" spans="1:16" x14ac:dyDescent="0.25">
      <c r="A1051" t="str">
        <f>"1050010F00100    00"</f>
        <v>1050010F00100    00</v>
      </c>
      <c r="B1051" t="s">
        <v>2611</v>
      </c>
      <c r="C1051" t="s">
        <v>2604</v>
      </c>
      <c r="D1051" t="s">
        <v>20</v>
      </c>
      <c r="E1051" t="s">
        <v>39</v>
      </c>
      <c r="F1051">
        <v>0</v>
      </c>
      <c r="G1051">
        <v>0</v>
      </c>
      <c r="H1051">
        <v>19</v>
      </c>
      <c r="I1051" s="3">
        <v>586.28</v>
      </c>
      <c r="J1051" s="3">
        <v>368.14</v>
      </c>
      <c r="K1051" t="s">
        <v>1008</v>
      </c>
      <c r="P1051" t="str">
        <f>""</f>
        <v/>
      </c>
    </row>
    <row r="1052" spans="1:16" x14ac:dyDescent="0.25">
      <c r="A1052" t="str">
        <f>"1050010F00102    00"</f>
        <v>1050010F00102    00</v>
      </c>
      <c r="B1052" t="s">
        <v>2612</v>
      </c>
      <c r="C1052" t="s">
        <v>2613</v>
      </c>
      <c r="D1052" t="s">
        <v>20</v>
      </c>
      <c r="E1052" t="s">
        <v>21</v>
      </c>
      <c r="F1052">
        <v>0</v>
      </c>
      <c r="G1052">
        <v>0</v>
      </c>
      <c r="H1052">
        <v>9</v>
      </c>
      <c r="I1052" s="3">
        <v>5171.05</v>
      </c>
      <c r="J1052" s="3">
        <v>1856.28</v>
      </c>
      <c r="L1052">
        <v>3366</v>
      </c>
      <c r="M1052" t="s">
        <v>2614</v>
      </c>
      <c r="N1052" t="s">
        <v>30</v>
      </c>
      <c r="O1052" t="s">
        <v>31</v>
      </c>
      <c r="P1052" t="str">
        <f>"15213"</f>
        <v>15213</v>
      </c>
    </row>
    <row r="1053" spans="1:16" x14ac:dyDescent="0.25">
      <c r="A1053" t="str">
        <f>"1050010F00106    00"</f>
        <v>1050010F00106    00</v>
      </c>
      <c r="B1053" t="s">
        <v>2615</v>
      </c>
      <c r="C1053" t="s">
        <v>1019</v>
      </c>
      <c r="D1053" t="s">
        <v>20</v>
      </c>
      <c r="E1053" t="s">
        <v>39</v>
      </c>
      <c r="F1053">
        <v>0</v>
      </c>
      <c r="G1053">
        <v>0</v>
      </c>
      <c r="H1053">
        <v>11</v>
      </c>
      <c r="I1053" s="3">
        <v>109.18</v>
      </c>
      <c r="J1053" s="3">
        <v>46.85</v>
      </c>
      <c r="L1053">
        <v>147</v>
      </c>
      <c r="M1053" t="s">
        <v>2616</v>
      </c>
      <c r="N1053" t="s">
        <v>30</v>
      </c>
      <c r="O1053" t="s">
        <v>31</v>
      </c>
      <c r="P1053" t="str">
        <f>"15219"</f>
        <v>15219</v>
      </c>
    </row>
    <row r="1054" spans="1:16" x14ac:dyDescent="0.25">
      <c r="A1054" t="str">
        <f>"1050010F00107    00"</f>
        <v>1050010F00107    00</v>
      </c>
      <c r="B1054" t="s">
        <v>2617</v>
      </c>
      <c r="C1054" t="s">
        <v>2618</v>
      </c>
      <c r="D1054" t="s">
        <v>20</v>
      </c>
      <c r="E1054" t="s">
        <v>39</v>
      </c>
      <c r="F1054">
        <v>0</v>
      </c>
      <c r="G1054">
        <v>0</v>
      </c>
      <c r="H1054">
        <v>8</v>
      </c>
      <c r="I1054" s="3">
        <v>1292.26</v>
      </c>
      <c r="J1054" s="3">
        <v>481.11</v>
      </c>
      <c r="K1054" t="s">
        <v>2619</v>
      </c>
      <c r="L1054">
        <v>147</v>
      </c>
      <c r="M1054" t="s">
        <v>2616</v>
      </c>
      <c r="N1054" t="s">
        <v>30</v>
      </c>
      <c r="O1054" t="s">
        <v>31</v>
      </c>
      <c r="P1054" t="str">
        <f>"15219"</f>
        <v>15219</v>
      </c>
    </row>
    <row r="1055" spans="1:16" x14ac:dyDescent="0.25">
      <c r="A1055" t="str">
        <f>"1050010F00110    00"</f>
        <v>1050010F00110    00</v>
      </c>
      <c r="B1055" t="s">
        <v>2620</v>
      </c>
      <c r="C1055" t="s">
        <v>2591</v>
      </c>
      <c r="D1055" t="s">
        <v>20</v>
      </c>
      <c r="E1055" t="s">
        <v>39</v>
      </c>
      <c r="F1055">
        <v>0</v>
      </c>
      <c r="G1055">
        <v>0</v>
      </c>
      <c r="H1055">
        <v>17</v>
      </c>
      <c r="I1055" s="3">
        <v>151.01</v>
      </c>
      <c r="J1055" s="3">
        <v>139.57</v>
      </c>
      <c r="L1055">
        <v>137</v>
      </c>
      <c r="M1055" t="s">
        <v>2621</v>
      </c>
      <c r="N1055" t="s">
        <v>1823</v>
      </c>
      <c r="O1055" t="s">
        <v>31</v>
      </c>
      <c r="P1055" t="str">
        <f>"15024"</f>
        <v>15024</v>
      </c>
    </row>
    <row r="1056" spans="1:16" x14ac:dyDescent="0.25">
      <c r="A1056" t="str">
        <f>"1050010F00111    00"</f>
        <v>1050010F00111    00</v>
      </c>
      <c r="B1056" t="s">
        <v>2622</v>
      </c>
      <c r="C1056" t="s">
        <v>2623</v>
      </c>
      <c r="D1056" t="s">
        <v>20</v>
      </c>
      <c r="E1056" t="s">
        <v>39</v>
      </c>
      <c r="F1056">
        <v>0</v>
      </c>
      <c r="G1056">
        <v>0</v>
      </c>
      <c r="H1056">
        <v>2</v>
      </c>
      <c r="I1056" s="3">
        <v>366.5</v>
      </c>
      <c r="J1056" s="3">
        <v>0</v>
      </c>
      <c r="K1056" t="s">
        <v>2624</v>
      </c>
      <c r="L1056">
        <v>2344</v>
      </c>
      <c r="M1056" t="s">
        <v>854</v>
      </c>
      <c r="N1056" t="s">
        <v>30</v>
      </c>
      <c r="O1056" t="s">
        <v>31</v>
      </c>
      <c r="P1056" t="str">
        <f>"15219"</f>
        <v>15219</v>
      </c>
    </row>
    <row r="1057" spans="1:16" x14ac:dyDescent="0.25">
      <c r="A1057" t="str">
        <f>"1050010F00121A   00"</f>
        <v>1050010F00121A   00</v>
      </c>
      <c r="B1057" t="s">
        <v>2625</v>
      </c>
      <c r="C1057" t="s">
        <v>2591</v>
      </c>
      <c r="D1057" t="s">
        <v>20</v>
      </c>
      <c r="E1057" t="s">
        <v>39</v>
      </c>
      <c r="F1057">
        <v>0</v>
      </c>
      <c r="G1057">
        <v>0</v>
      </c>
      <c r="H1057">
        <v>19</v>
      </c>
      <c r="I1057" s="3">
        <v>5546.82</v>
      </c>
      <c r="J1057" s="3">
        <v>4687.58</v>
      </c>
      <c r="L1057">
        <v>1914</v>
      </c>
      <c r="M1057" t="s">
        <v>2626</v>
      </c>
      <c r="N1057" t="s">
        <v>30</v>
      </c>
      <c r="O1057" t="s">
        <v>31</v>
      </c>
      <c r="P1057" t="str">
        <f>"15219"</f>
        <v>15219</v>
      </c>
    </row>
    <row r="1058" spans="1:16" x14ac:dyDescent="0.25">
      <c r="A1058" t="str">
        <f>"1050010F00124    00"</f>
        <v>1050010F00124    00</v>
      </c>
      <c r="B1058" t="s">
        <v>1300</v>
      </c>
      <c r="C1058" t="s">
        <v>2627</v>
      </c>
      <c r="D1058" t="s">
        <v>20</v>
      </c>
      <c r="E1058" t="s">
        <v>39</v>
      </c>
      <c r="F1058">
        <v>0</v>
      </c>
      <c r="G1058">
        <v>0</v>
      </c>
      <c r="H1058">
        <v>3</v>
      </c>
      <c r="I1058" s="3">
        <v>82.21</v>
      </c>
      <c r="J1058" s="3">
        <v>0.12</v>
      </c>
      <c r="M1058" t="s">
        <v>2628</v>
      </c>
      <c r="N1058" t="s">
        <v>30</v>
      </c>
      <c r="O1058" t="s">
        <v>31</v>
      </c>
      <c r="P1058" t="str">
        <f>"15213"</f>
        <v>15213</v>
      </c>
    </row>
    <row r="1059" spans="1:16" x14ac:dyDescent="0.25">
      <c r="A1059" t="str">
        <f>"1050010F00125    00"</f>
        <v>1050010F00125    00</v>
      </c>
      <c r="B1059" t="s">
        <v>2629</v>
      </c>
      <c r="C1059" t="s">
        <v>2630</v>
      </c>
      <c r="D1059" t="s">
        <v>20</v>
      </c>
      <c r="E1059" t="s">
        <v>39</v>
      </c>
      <c r="F1059">
        <v>0</v>
      </c>
      <c r="G1059">
        <v>0</v>
      </c>
      <c r="H1059">
        <v>3</v>
      </c>
      <c r="I1059" s="3">
        <v>26.08</v>
      </c>
      <c r="J1059" s="3">
        <v>0.28000000000000003</v>
      </c>
      <c r="L1059">
        <v>2415</v>
      </c>
      <c r="M1059" t="s">
        <v>1302</v>
      </c>
      <c r="N1059" t="s">
        <v>30</v>
      </c>
      <c r="O1059" t="s">
        <v>31</v>
      </c>
      <c r="P1059" t="str">
        <f>"15213"</f>
        <v>15213</v>
      </c>
    </row>
    <row r="1060" spans="1:16" x14ac:dyDescent="0.25">
      <c r="A1060" t="str">
        <f>"1050010F00126    00"</f>
        <v>1050010F00126    00</v>
      </c>
      <c r="B1060" t="s">
        <v>2631</v>
      </c>
      <c r="C1060" t="s">
        <v>2632</v>
      </c>
      <c r="D1060" t="s">
        <v>20</v>
      </c>
      <c r="E1060" t="s">
        <v>39</v>
      </c>
      <c r="F1060">
        <v>0</v>
      </c>
      <c r="G1060">
        <v>0</v>
      </c>
      <c r="H1060">
        <v>6</v>
      </c>
      <c r="I1060" s="3">
        <v>2224.54</v>
      </c>
      <c r="J1060" s="3">
        <v>498.92</v>
      </c>
      <c r="L1060">
        <v>2084</v>
      </c>
      <c r="M1060" t="s">
        <v>2633</v>
      </c>
      <c r="N1060" t="s">
        <v>30</v>
      </c>
      <c r="O1060" t="s">
        <v>31</v>
      </c>
      <c r="P1060" t="str">
        <f>"15221"</f>
        <v>15221</v>
      </c>
    </row>
    <row r="1061" spans="1:16" x14ac:dyDescent="0.25">
      <c r="A1061" t="str">
        <f>"1050010F00137B   00"</f>
        <v>1050010F00137B   00</v>
      </c>
      <c r="B1061" t="s">
        <v>2634</v>
      </c>
      <c r="C1061" t="s">
        <v>2635</v>
      </c>
      <c r="D1061" t="s">
        <v>20</v>
      </c>
      <c r="E1061" t="s">
        <v>39</v>
      </c>
      <c r="F1061">
        <v>0</v>
      </c>
      <c r="G1061">
        <v>0</v>
      </c>
      <c r="H1061">
        <v>6</v>
      </c>
      <c r="I1061" s="3">
        <v>2156.6799999999998</v>
      </c>
      <c r="J1061" s="3">
        <v>388.45</v>
      </c>
      <c r="L1061">
        <v>2260</v>
      </c>
      <c r="M1061" t="s">
        <v>854</v>
      </c>
      <c r="N1061" t="s">
        <v>30</v>
      </c>
      <c r="O1061" t="s">
        <v>31</v>
      </c>
      <c r="P1061" t="str">
        <f>"15219"</f>
        <v>15219</v>
      </c>
    </row>
    <row r="1062" spans="1:16" x14ac:dyDescent="0.25">
      <c r="A1062" t="str">
        <f>"1050010F00138    00"</f>
        <v>1050010F00138    00</v>
      </c>
      <c r="B1062" t="s">
        <v>2636</v>
      </c>
      <c r="C1062" t="s">
        <v>1019</v>
      </c>
      <c r="D1062" t="s">
        <v>20</v>
      </c>
      <c r="E1062" t="s">
        <v>39</v>
      </c>
      <c r="F1062">
        <v>0</v>
      </c>
      <c r="G1062">
        <v>0</v>
      </c>
      <c r="H1062">
        <v>17</v>
      </c>
      <c r="I1062" s="3">
        <v>3385.1</v>
      </c>
      <c r="J1062" s="3">
        <v>5048.29</v>
      </c>
      <c r="K1062" t="s">
        <v>2637</v>
      </c>
      <c r="M1062" t="s">
        <v>2638</v>
      </c>
      <c r="N1062" t="s">
        <v>30</v>
      </c>
      <c r="O1062" t="s">
        <v>31</v>
      </c>
      <c r="P1062" t="str">
        <f>"15230"</f>
        <v>15230</v>
      </c>
    </row>
    <row r="1063" spans="1:16" x14ac:dyDescent="0.25">
      <c r="A1063" t="str">
        <f>"1050010F00141    00"</f>
        <v>1050010F00141    00</v>
      </c>
      <c r="B1063" t="s">
        <v>2639</v>
      </c>
      <c r="C1063" t="s">
        <v>2640</v>
      </c>
      <c r="D1063" t="s">
        <v>20</v>
      </c>
      <c r="E1063" t="s">
        <v>39</v>
      </c>
      <c r="F1063">
        <v>0</v>
      </c>
      <c r="G1063">
        <v>0</v>
      </c>
      <c r="H1063">
        <v>2</v>
      </c>
      <c r="I1063" s="3">
        <v>151.56</v>
      </c>
      <c r="J1063" s="3">
        <v>0</v>
      </c>
      <c r="L1063">
        <v>2248</v>
      </c>
      <c r="M1063" t="s">
        <v>854</v>
      </c>
      <c r="N1063" t="s">
        <v>30</v>
      </c>
      <c r="O1063" t="s">
        <v>31</v>
      </c>
      <c r="P1063" t="str">
        <f>"15219"</f>
        <v>15219</v>
      </c>
    </row>
    <row r="1064" spans="1:16" x14ac:dyDescent="0.25">
      <c r="A1064" t="str">
        <f>"1050010F00143A   00"</f>
        <v>1050010F00143A   00</v>
      </c>
      <c r="B1064" t="s">
        <v>2641</v>
      </c>
      <c r="C1064" t="s">
        <v>2642</v>
      </c>
      <c r="D1064" t="s">
        <v>20</v>
      </c>
      <c r="E1064" t="s">
        <v>39</v>
      </c>
      <c r="F1064">
        <v>0</v>
      </c>
      <c r="G1064">
        <v>0</v>
      </c>
      <c r="H1064">
        <v>19</v>
      </c>
      <c r="I1064" s="3">
        <v>12857.32</v>
      </c>
      <c r="J1064" s="3">
        <v>12425.35</v>
      </c>
      <c r="L1064">
        <v>4520</v>
      </c>
      <c r="M1064" t="s">
        <v>2643</v>
      </c>
      <c r="N1064" t="s">
        <v>2644</v>
      </c>
      <c r="O1064" t="s">
        <v>1005</v>
      </c>
      <c r="P1064" t="str">
        <f>"85301"</f>
        <v>85301</v>
      </c>
    </row>
    <row r="1065" spans="1:16" x14ac:dyDescent="0.25">
      <c r="A1065" t="str">
        <f>"1050010F00144    00"</f>
        <v>1050010F00144    00</v>
      </c>
      <c r="B1065" t="s">
        <v>2645</v>
      </c>
      <c r="C1065" t="s">
        <v>2646</v>
      </c>
      <c r="D1065" t="s">
        <v>20</v>
      </c>
      <c r="E1065" t="s">
        <v>39</v>
      </c>
      <c r="F1065">
        <v>0</v>
      </c>
      <c r="G1065">
        <v>0</v>
      </c>
      <c r="H1065">
        <v>10</v>
      </c>
      <c r="I1065" s="3">
        <v>3273.98</v>
      </c>
      <c r="J1065" s="3">
        <v>1334.17</v>
      </c>
      <c r="L1065">
        <v>3340</v>
      </c>
      <c r="M1065" t="s">
        <v>2647</v>
      </c>
      <c r="N1065" t="s">
        <v>30</v>
      </c>
      <c r="O1065" t="s">
        <v>31</v>
      </c>
      <c r="P1065" t="str">
        <f>"15214"</f>
        <v>15214</v>
      </c>
    </row>
    <row r="1066" spans="1:16" x14ac:dyDescent="0.25">
      <c r="A1066" t="str">
        <f>"1050010F00144B   00"</f>
        <v>1050010F00144B   00</v>
      </c>
      <c r="B1066" t="s">
        <v>2648</v>
      </c>
      <c r="C1066" t="s">
        <v>2649</v>
      </c>
      <c r="D1066" t="s">
        <v>20</v>
      </c>
      <c r="E1066" t="s">
        <v>39</v>
      </c>
      <c r="F1066">
        <v>0</v>
      </c>
      <c r="G1066">
        <v>0</v>
      </c>
      <c r="H1066">
        <v>9</v>
      </c>
      <c r="I1066" s="3">
        <v>2991.51</v>
      </c>
      <c r="J1066" s="3">
        <v>1093.95</v>
      </c>
      <c r="K1066" t="s">
        <v>2650</v>
      </c>
      <c r="L1066">
        <v>3840</v>
      </c>
      <c r="M1066" t="s">
        <v>2651</v>
      </c>
      <c r="N1066" t="s">
        <v>2652</v>
      </c>
      <c r="O1066" t="s">
        <v>606</v>
      </c>
      <c r="P1066" t="str">
        <f>"30156"</f>
        <v>30156</v>
      </c>
    </row>
    <row r="1067" spans="1:16" x14ac:dyDescent="0.25">
      <c r="A1067" t="str">
        <f>"1050010F00144D   00"</f>
        <v>1050010F00144D   00</v>
      </c>
      <c r="B1067" t="s">
        <v>2568</v>
      </c>
      <c r="C1067" t="s">
        <v>2591</v>
      </c>
      <c r="D1067" t="s">
        <v>20</v>
      </c>
      <c r="E1067" t="s">
        <v>39</v>
      </c>
      <c r="F1067">
        <v>0</v>
      </c>
      <c r="G1067">
        <v>0</v>
      </c>
      <c r="H1067">
        <v>19</v>
      </c>
      <c r="I1067" s="3">
        <v>915.8</v>
      </c>
      <c r="J1067" s="3">
        <v>736.27</v>
      </c>
      <c r="L1067">
        <v>2309</v>
      </c>
      <c r="M1067" t="s">
        <v>1090</v>
      </c>
      <c r="N1067" t="s">
        <v>30</v>
      </c>
      <c r="O1067" t="s">
        <v>31</v>
      </c>
      <c r="P1067" t="str">
        <f>"15219"</f>
        <v>15219</v>
      </c>
    </row>
    <row r="1068" spans="1:16" x14ac:dyDescent="0.25">
      <c r="A1068" t="str">
        <f>"1050010F00148    00"</f>
        <v>1050010F00148    00</v>
      </c>
      <c r="B1068" t="s">
        <v>2653</v>
      </c>
      <c r="C1068" t="s">
        <v>2591</v>
      </c>
      <c r="D1068" t="s">
        <v>20</v>
      </c>
      <c r="E1068" t="s">
        <v>39</v>
      </c>
      <c r="F1068">
        <v>0</v>
      </c>
      <c r="G1068">
        <v>0</v>
      </c>
      <c r="H1068">
        <v>1</v>
      </c>
      <c r="I1068" s="3">
        <v>304.95</v>
      </c>
      <c r="J1068" s="3">
        <v>91.48</v>
      </c>
      <c r="K1068" t="s">
        <v>2654</v>
      </c>
      <c r="M1068" t="s">
        <v>2655</v>
      </c>
      <c r="N1068" t="s">
        <v>2656</v>
      </c>
      <c r="O1068" t="s">
        <v>31</v>
      </c>
      <c r="P1068" t="str">
        <f>"15907"</f>
        <v>15907</v>
      </c>
    </row>
    <row r="1069" spans="1:16" x14ac:dyDescent="0.25">
      <c r="A1069" t="str">
        <f>"1050010F00164    00"</f>
        <v>1050010F00164    00</v>
      </c>
      <c r="B1069" t="s">
        <v>2657</v>
      </c>
      <c r="C1069" t="s">
        <v>2658</v>
      </c>
      <c r="E1069" t="s">
        <v>39</v>
      </c>
      <c r="F1069">
        <v>0</v>
      </c>
      <c r="G1069">
        <v>0</v>
      </c>
      <c r="H1069">
        <v>6</v>
      </c>
      <c r="I1069" s="3">
        <v>2752.19</v>
      </c>
      <c r="J1069" s="3">
        <v>4080.96</v>
      </c>
      <c r="L1069">
        <v>2225</v>
      </c>
      <c r="M1069" t="s">
        <v>2659</v>
      </c>
      <c r="N1069" t="s">
        <v>30</v>
      </c>
      <c r="O1069" t="s">
        <v>31</v>
      </c>
      <c r="P1069" t="str">
        <f>"15219"</f>
        <v>15219</v>
      </c>
    </row>
    <row r="1070" spans="1:16" x14ac:dyDescent="0.25">
      <c r="A1070" t="str">
        <f>"1050010F00176    00"</f>
        <v>1050010F00176    00</v>
      </c>
      <c r="B1070" t="s">
        <v>2660</v>
      </c>
      <c r="C1070" t="s">
        <v>2661</v>
      </c>
      <c r="D1070" t="s">
        <v>20</v>
      </c>
      <c r="E1070" t="s">
        <v>39</v>
      </c>
      <c r="F1070">
        <v>0</v>
      </c>
      <c r="G1070">
        <v>0</v>
      </c>
      <c r="H1070">
        <v>11</v>
      </c>
      <c r="I1070" s="3">
        <v>3718.44</v>
      </c>
      <c r="J1070" s="3">
        <v>2742.71</v>
      </c>
      <c r="L1070">
        <v>2218</v>
      </c>
      <c r="M1070" t="s">
        <v>854</v>
      </c>
      <c r="N1070" t="s">
        <v>30</v>
      </c>
      <c r="O1070" t="s">
        <v>31</v>
      </c>
      <c r="P1070" t="str">
        <f>"15219"</f>
        <v>15219</v>
      </c>
    </row>
    <row r="1071" spans="1:16" x14ac:dyDescent="0.25">
      <c r="A1071" t="str">
        <f>"1050010F00180    00"</f>
        <v>1050010F00180    00</v>
      </c>
      <c r="B1071" t="s">
        <v>2662</v>
      </c>
      <c r="C1071" t="s">
        <v>2663</v>
      </c>
      <c r="D1071" t="s">
        <v>20</v>
      </c>
      <c r="E1071" t="s">
        <v>39</v>
      </c>
      <c r="F1071">
        <v>0</v>
      </c>
      <c r="G1071">
        <v>0</v>
      </c>
      <c r="H1071">
        <v>6</v>
      </c>
      <c r="I1071" s="3">
        <v>2313.19</v>
      </c>
      <c r="J1071" s="3">
        <v>362.99</v>
      </c>
      <c r="L1071">
        <v>2216</v>
      </c>
      <c r="M1071" t="s">
        <v>854</v>
      </c>
      <c r="N1071" t="s">
        <v>30</v>
      </c>
      <c r="O1071" t="s">
        <v>31</v>
      </c>
      <c r="P1071" t="str">
        <f>"15219"</f>
        <v>15219</v>
      </c>
    </row>
    <row r="1072" spans="1:16" x14ac:dyDescent="0.25">
      <c r="A1072" t="str">
        <f>"1050010G00002    00"</f>
        <v>1050010G00002    00</v>
      </c>
      <c r="B1072" t="s">
        <v>2664</v>
      </c>
      <c r="C1072" t="s">
        <v>2665</v>
      </c>
      <c r="D1072" t="s">
        <v>20</v>
      </c>
      <c r="E1072" t="s">
        <v>39</v>
      </c>
      <c r="F1072">
        <v>0</v>
      </c>
      <c r="G1072">
        <v>0</v>
      </c>
      <c r="H1072">
        <v>14</v>
      </c>
      <c r="I1072" s="3">
        <v>12043.12</v>
      </c>
      <c r="J1072" s="3">
        <v>7560.62</v>
      </c>
      <c r="L1072">
        <v>2519</v>
      </c>
      <c r="M1072" t="s">
        <v>2666</v>
      </c>
      <c r="N1072" t="s">
        <v>30</v>
      </c>
      <c r="O1072" t="s">
        <v>31</v>
      </c>
      <c r="P1072" t="str">
        <f>"15219"</f>
        <v>15219</v>
      </c>
    </row>
    <row r="1073" spans="1:16" x14ac:dyDescent="0.25">
      <c r="A1073" t="str">
        <f>"1050010G00003    00"</f>
        <v>1050010G00003    00</v>
      </c>
      <c r="B1073" t="s">
        <v>2667</v>
      </c>
      <c r="C1073" t="s">
        <v>2668</v>
      </c>
      <c r="E1073" t="s">
        <v>39</v>
      </c>
      <c r="F1073">
        <v>0</v>
      </c>
      <c r="G1073">
        <v>0</v>
      </c>
      <c r="H1073">
        <v>2</v>
      </c>
      <c r="I1073" s="3">
        <v>480.64</v>
      </c>
      <c r="J1073" s="3">
        <v>69.17</v>
      </c>
      <c r="L1073">
        <v>3200</v>
      </c>
      <c r="M1073" t="s">
        <v>2669</v>
      </c>
      <c r="N1073" t="s">
        <v>30</v>
      </c>
      <c r="O1073" t="s">
        <v>31</v>
      </c>
      <c r="P1073" t="str">
        <f>"15204"</f>
        <v>15204</v>
      </c>
    </row>
    <row r="1074" spans="1:16" x14ac:dyDescent="0.25">
      <c r="A1074" t="str">
        <f>"1050010G00007    00"</f>
        <v>1050010G00007    00</v>
      </c>
      <c r="B1074" t="s">
        <v>2670</v>
      </c>
      <c r="C1074" t="s">
        <v>2671</v>
      </c>
      <c r="E1074" t="s">
        <v>39</v>
      </c>
      <c r="F1074">
        <v>0</v>
      </c>
      <c r="G1074">
        <v>0</v>
      </c>
      <c r="H1074">
        <v>1</v>
      </c>
      <c r="I1074" s="3">
        <v>51.13</v>
      </c>
      <c r="J1074" s="3">
        <v>20.45</v>
      </c>
      <c r="L1074">
        <v>556</v>
      </c>
      <c r="M1074" t="s">
        <v>2672</v>
      </c>
      <c r="N1074" t="s">
        <v>1928</v>
      </c>
      <c r="O1074" t="s">
        <v>31</v>
      </c>
      <c r="P1074" t="str">
        <f>"15317"</f>
        <v>15317</v>
      </c>
    </row>
    <row r="1075" spans="1:16" x14ac:dyDescent="0.25">
      <c r="A1075" t="str">
        <f>"1050010G00008    00"</f>
        <v>1050010G00008    00</v>
      </c>
      <c r="B1075" t="s">
        <v>2670</v>
      </c>
      <c r="C1075" t="s">
        <v>2671</v>
      </c>
      <c r="E1075" t="s">
        <v>39</v>
      </c>
      <c r="F1075">
        <v>0</v>
      </c>
      <c r="G1075">
        <v>0</v>
      </c>
      <c r="H1075">
        <v>3</v>
      </c>
      <c r="I1075" s="3">
        <v>698.37</v>
      </c>
      <c r="J1075" s="3">
        <v>347.09</v>
      </c>
      <c r="L1075">
        <v>556</v>
      </c>
      <c r="M1075" t="s">
        <v>2672</v>
      </c>
      <c r="N1075" t="s">
        <v>1928</v>
      </c>
      <c r="O1075" t="s">
        <v>31</v>
      </c>
      <c r="P1075" t="str">
        <f>"15317"</f>
        <v>15317</v>
      </c>
    </row>
    <row r="1076" spans="1:16" x14ac:dyDescent="0.25">
      <c r="A1076" t="str">
        <f>"1050010G00009    00"</f>
        <v>1050010G00009    00</v>
      </c>
      <c r="B1076" t="s">
        <v>2673</v>
      </c>
      <c r="C1076" t="s">
        <v>2674</v>
      </c>
      <c r="E1076" t="s">
        <v>39</v>
      </c>
      <c r="F1076">
        <v>0</v>
      </c>
      <c r="G1076">
        <v>0</v>
      </c>
      <c r="H1076">
        <v>1</v>
      </c>
      <c r="I1076" s="3">
        <v>93.91</v>
      </c>
      <c r="J1076" s="3">
        <v>46.17</v>
      </c>
      <c r="L1076">
        <v>2533</v>
      </c>
      <c r="M1076" t="s">
        <v>2666</v>
      </c>
      <c r="N1076" t="s">
        <v>30</v>
      </c>
      <c r="O1076" t="s">
        <v>31</v>
      </c>
      <c r="P1076" t="str">
        <f>"15219"</f>
        <v>15219</v>
      </c>
    </row>
    <row r="1077" spans="1:16" x14ac:dyDescent="0.25">
      <c r="A1077" t="str">
        <f>"1050010G00016    00"</f>
        <v>1050010G00016    00</v>
      </c>
      <c r="B1077" t="s">
        <v>2675</v>
      </c>
      <c r="C1077" t="s">
        <v>1188</v>
      </c>
      <c r="D1077" t="s">
        <v>20</v>
      </c>
      <c r="E1077" t="s">
        <v>39</v>
      </c>
      <c r="F1077">
        <v>0</v>
      </c>
      <c r="G1077">
        <v>0</v>
      </c>
      <c r="H1077">
        <v>11</v>
      </c>
      <c r="I1077" s="3">
        <v>767.99</v>
      </c>
      <c r="J1077" s="3">
        <v>368.65</v>
      </c>
      <c r="L1077">
        <v>2526</v>
      </c>
      <c r="M1077" t="s">
        <v>1132</v>
      </c>
      <c r="N1077" t="s">
        <v>30</v>
      </c>
      <c r="O1077" t="s">
        <v>31</v>
      </c>
      <c r="P1077" t="str">
        <f>"15219"</f>
        <v>15219</v>
      </c>
    </row>
    <row r="1078" spans="1:16" x14ac:dyDescent="0.25">
      <c r="A1078" t="str">
        <f>"1050010G00017    00"</f>
        <v>1050010G00017    00</v>
      </c>
      <c r="B1078" t="s">
        <v>2675</v>
      </c>
      <c r="C1078" t="s">
        <v>1188</v>
      </c>
      <c r="D1078" t="s">
        <v>20</v>
      </c>
      <c r="E1078" t="s">
        <v>39</v>
      </c>
      <c r="F1078">
        <v>0</v>
      </c>
      <c r="G1078">
        <v>0</v>
      </c>
      <c r="H1078">
        <v>11</v>
      </c>
      <c r="I1078" s="3">
        <v>767.99</v>
      </c>
      <c r="J1078" s="3">
        <v>368.65</v>
      </c>
      <c r="L1078">
        <v>2524</v>
      </c>
      <c r="M1078" t="s">
        <v>1132</v>
      </c>
      <c r="N1078" t="s">
        <v>30</v>
      </c>
      <c r="O1078" t="s">
        <v>31</v>
      </c>
      <c r="P1078" t="str">
        <f>"15219"</f>
        <v>15219</v>
      </c>
    </row>
    <row r="1079" spans="1:16" x14ac:dyDescent="0.25">
      <c r="A1079" t="str">
        <f>"1050010G00037    00"</f>
        <v>1050010G00037    00</v>
      </c>
      <c r="B1079" t="s">
        <v>2676</v>
      </c>
      <c r="C1079" t="s">
        <v>2677</v>
      </c>
      <c r="D1079" t="s">
        <v>20</v>
      </c>
      <c r="E1079" t="s">
        <v>21</v>
      </c>
      <c r="F1079">
        <v>0</v>
      </c>
      <c r="G1079">
        <v>0</v>
      </c>
      <c r="H1079">
        <v>1</v>
      </c>
      <c r="I1079" s="3">
        <v>1244.6300000000001</v>
      </c>
      <c r="J1079" s="3">
        <v>0</v>
      </c>
      <c r="L1079">
        <v>1400</v>
      </c>
      <c r="M1079" t="s">
        <v>2678</v>
      </c>
      <c r="N1079" t="s">
        <v>30</v>
      </c>
      <c r="O1079" t="s">
        <v>31</v>
      </c>
      <c r="P1079" t="str">
        <f>"15212"</f>
        <v>15212</v>
      </c>
    </row>
    <row r="1080" spans="1:16" x14ac:dyDescent="0.25">
      <c r="A1080" t="str">
        <f>"1050010G00039    00"</f>
        <v>1050010G00039    00</v>
      </c>
      <c r="B1080" t="s">
        <v>2679</v>
      </c>
      <c r="C1080" t="s">
        <v>2680</v>
      </c>
      <c r="D1080" t="s">
        <v>20</v>
      </c>
      <c r="E1080" t="s">
        <v>21</v>
      </c>
      <c r="F1080">
        <v>0</v>
      </c>
      <c r="G1080">
        <v>0</v>
      </c>
      <c r="H1080">
        <v>5</v>
      </c>
      <c r="I1080" s="3">
        <v>3001.35</v>
      </c>
      <c r="J1080" s="3">
        <v>592.23</v>
      </c>
      <c r="M1080" t="s">
        <v>2628</v>
      </c>
      <c r="N1080" t="s">
        <v>30</v>
      </c>
      <c r="O1080" t="s">
        <v>31</v>
      </c>
      <c r="P1080" t="str">
        <f>"15213"</f>
        <v>15213</v>
      </c>
    </row>
    <row r="1081" spans="1:16" x14ac:dyDescent="0.25">
      <c r="A1081" t="str">
        <f>"1050010G00047    00"</f>
        <v>1050010G00047    00</v>
      </c>
      <c r="B1081" t="s">
        <v>2681</v>
      </c>
      <c r="C1081" t="s">
        <v>1188</v>
      </c>
      <c r="D1081" t="s">
        <v>20</v>
      </c>
      <c r="E1081" t="s">
        <v>39</v>
      </c>
      <c r="F1081">
        <v>0</v>
      </c>
      <c r="G1081">
        <v>0</v>
      </c>
      <c r="H1081">
        <v>11</v>
      </c>
      <c r="I1081" s="3">
        <v>2297.71</v>
      </c>
      <c r="J1081" s="3">
        <v>1095.06</v>
      </c>
      <c r="L1081">
        <v>611</v>
      </c>
      <c r="M1081" t="s">
        <v>2682</v>
      </c>
      <c r="N1081" t="s">
        <v>30</v>
      </c>
      <c r="O1081" t="s">
        <v>31</v>
      </c>
      <c r="P1081" t="str">
        <f>"15219"</f>
        <v>15219</v>
      </c>
    </row>
    <row r="1082" spans="1:16" x14ac:dyDescent="0.25">
      <c r="A1082" t="str">
        <f>"1050010G00069    00"</f>
        <v>1050010G00069    00</v>
      </c>
      <c r="B1082" t="s">
        <v>2683</v>
      </c>
      <c r="C1082" t="s">
        <v>1091</v>
      </c>
      <c r="D1082" t="s">
        <v>20</v>
      </c>
      <c r="E1082" t="s">
        <v>39</v>
      </c>
      <c r="F1082">
        <v>0</v>
      </c>
      <c r="G1082">
        <v>0</v>
      </c>
      <c r="H1082">
        <v>19</v>
      </c>
      <c r="I1082" s="3">
        <v>210.88</v>
      </c>
      <c r="J1082" s="3">
        <v>189.11</v>
      </c>
      <c r="K1082" t="s">
        <v>2684</v>
      </c>
      <c r="L1082">
        <v>254</v>
      </c>
      <c r="M1082" t="s">
        <v>2685</v>
      </c>
      <c r="N1082" t="s">
        <v>2686</v>
      </c>
      <c r="O1082" t="s">
        <v>180</v>
      </c>
      <c r="P1082" t="str">
        <f>"81007"</f>
        <v>81007</v>
      </c>
    </row>
    <row r="1083" spans="1:16" x14ac:dyDescent="0.25">
      <c r="A1083" t="str">
        <f>"1050010G00069A   00"</f>
        <v>1050010G00069A   00</v>
      </c>
      <c r="B1083" t="s">
        <v>2341</v>
      </c>
      <c r="C1083" t="s">
        <v>2687</v>
      </c>
      <c r="D1083" t="s">
        <v>20</v>
      </c>
      <c r="E1083" t="s">
        <v>39</v>
      </c>
      <c r="F1083">
        <v>0</v>
      </c>
      <c r="G1083">
        <v>0</v>
      </c>
      <c r="H1083">
        <v>2</v>
      </c>
      <c r="I1083" s="3">
        <v>886.28</v>
      </c>
      <c r="J1083" s="3">
        <v>0</v>
      </c>
      <c r="L1083">
        <v>2612</v>
      </c>
      <c r="M1083" t="s">
        <v>1090</v>
      </c>
      <c r="N1083" t="s">
        <v>30</v>
      </c>
      <c r="O1083" t="s">
        <v>31</v>
      </c>
      <c r="P1083" t="str">
        <f>"15219"</f>
        <v>15219</v>
      </c>
    </row>
    <row r="1084" spans="1:16" x14ac:dyDescent="0.25">
      <c r="A1084" t="str">
        <f>"1050010G00070    00"</f>
        <v>1050010G00070    00</v>
      </c>
      <c r="B1084" t="s">
        <v>2688</v>
      </c>
      <c r="C1084" t="s">
        <v>2687</v>
      </c>
      <c r="D1084" t="s">
        <v>20</v>
      </c>
      <c r="E1084" t="s">
        <v>39</v>
      </c>
      <c r="F1084">
        <v>0</v>
      </c>
      <c r="G1084">
        <v>0</v>
      </c>
      <c r="H1084">
        <v>7</v>
      </c>
      <c r="I1084" s="3">
        <v>796.62</v>
      </c>
      <c r="J1084" s="3">
        <v>169.6</v>
      </c>
      <c r="L1084">
        <v>2612</v>
      </c>
      <c r="M1084" t="s">
        <v>1090</v>
      </c>
      <c r="N1084" t="s">
        <v>30</v>
      </c>
      <c r="O1084" t="s">
        <v>31</v>
      </c>
      <c r="P1084" t="str">
        <f>"15219"</f>
        <v>15219</v>
      </c>
    </row>
    <row r="1085" spans="1:16" x14ac:dyDescent="0.25">
      <c r="A1085" t="str">
        <f>"1050010G00072    00"</f>
        <v>1050010G00072    00</v>
      </c>
      <c r="B1085" t="s">
        <v>2689</v>
      </c>
      <c r="C1085" t="s">
        <v>1091</v>
      </c>
      <c r="D1085" t="s">
        <v>20</v>
      </c>
      <c r="E1085" t="s">
        <v>39</v>
      </c>
      <c r="F1085">
        <v>0</v>
      </c>
      <c r="G1085">
        <v>0</v>
      </c>
      <c r="H1085">
        <v>19</v>
      </c>
      <c r="I1085" s="3">
        <v>5432.2</v>
      </c>
      <c r="J1085" s="3">
        <v>4138.7299999999996</v>
      </c>
      <c r="M1085" t="s">
        <v>2690</v>
      </c>
      <c r="N1085" t="s">
        <v>30</v>
      </c>
      <c r="O1085" t="s">
        <v>31</v>
      </c>
      <c r="P1085" t="str">
        <f>"15206"</f>
        <v>15206</v>
      </c>
    </row>
    <row r="1086" spans="1:16" x14ac:dyDescent="0.25">
      <c r="A1086" t="str">
        <f>"1050010G00081    00"</f>
        <v>1050010G00081    00</v>
      </c>
      <c r="B1086" t="s">
        <v>2691</v>
      </c>
      <c r="C1086" t="s">
        <v>2692</v>
      </c>
      <c r="D1086" t="s">
        <v>20</v>
      </c>
      <c r="E1086" t="s">
        <v>39</v>
      </c>
      <c r="F1086">
        <v>0</v>
      </c>
      <c r="G1086">
        <v>0</v>
      </c>
      <c r="H1086">
        <v>17</v>
      </c>
      <c r="I1086" s="3">
        <v>7007.27</v>
      </c>
      <c r="J1086" s="3">
        <v>5550.36</v>
      </c>
      <c r="L1086">
        <v>3210</v>
      </c>
      <c r="M1086" t="s">
        <v>2693</v>
      </c>
      <c r="N1086" t="s">
        <v>605</v>
      </c>
      <c r="O1086" t="s">
        <v>606</v>
      </c>
      <c r="P1086" t="str">
        <f>"30311"</f>
        <v>30311</v>
      </c>
    </row>
    <row r="1087" spans="1:16" x14ac:dyDescent="0.25">
      <c r="A1087" t="str">
        <f>"1050010G00085    00"</f>
        <v>1050010G00085    00</v>
      </c>
      <c r="B1087" t="s">
        <v>921</v>
      </c>
      <c r="C1087" t="s">
        <v>2694</v>
      </c>
      <c r="D1087" t="s">
        <v>20</v>
      </c>
      <c r="E1087" t="s">
        <v>21</v>
      </c>
      <c r="F1087">
        <v>0</v>
      </c>
      <c r="G1087">
        <v>0</v>
      </c>
      <c r="H1087">
        <v>1</v>
      </c>
      <c r="I1087" s="3">
        <v>1677.28</v>
      </c>
      <c r="J1087" s="3">
        <v>0</v>
      </c>
      <c r="L1087">
        <v>46</v>
      </c>
      <c r="M1087" t="s">
        <v>913</v>
      </c>
      <c r="N1087" t="s">
        <v>914</v>
      </c>
      <c r="O1087" t="s">
        <v>200</v>
      </c>
      <c r="P1087" t="str">
        <f>"10952"</f>
        <v>10952</v>
      </c>
    </row>
    <row r="1088" spans="1:16" x14ac:dyDescent="0.25">
      <c r="A1088" t="str">
        <f>"1050010G00089    00"</f>
        <v>1050010G00089    00</v>
      </c>
      <c r="B1088" t="s">
        <v>918</v>
      </c>
      <c r="C1088" t="s">
        <v>2695</v>
      </c>
      <c r="D1088" t="s">
        <v>20</v>
      </c>
      <c r="E1088" t="s">
        <v>21</v>
      </c>
      <c r="F1088">
        <v>0</v>
      </c>
      <c r="G1088">
        <v>0</v>
      </c>
      <c r="H1088">
        <v>1</v>
      </c>
      <c r="I1088" s="3">
        <v>1734.46</v>
      </c>
      <c r="J1088" s="3">
        <v>0</v>
      </c>
      <c r="K1088" t="s">
        <v>920</v>
      </c>
      <c r="L1088">
        <v>46</v>
      </c>
      <c r="M1088" t="s">
        <v>913</v>
      </c>
      <c r="N1088" t="s">
        <v>914</v>
      </c>
      <c r="O1088" t="s">
        <v>200</v>
      </c>
      <c r="P1088" t="str">
        <f>"10952"</f>
        <v>10952</v>
      </c>
    </row>
    <row r="1089" spans="1:16" x14ac:dyDescent="0.25">
      <c r="A1089" t="str">
        <f>"1050010G00122    00"</f>
        <v>1050010G00122    00</v>
      </c>
      <c r="B1089" t="s">
        <v>2696</v>
      </c>
      <c r="C1089" t="s">
        <v>1091</v>
      </c>
      <c r="D1089" t="s">
        <v>20</v>
      </c>
      <c r="E1089" t="s">
        <v>39</v>
      </c>
      <c r="F1089">
        <v>0</v>
      </c>
      <c r="G1089">
        <v>0</v>
      </c>
      <c r="H1089">
        <v>19</v>
      </c>
      <c r="I1089" s="3">
        <v>4314.6000000000004</v>
      </c>
      <c r="J1089" s="3">
        <v>3216.95</v>
      </c>
      <c r="K1089" t="s">
        <v>1008</v>
      </c>
      <c r="P1089" t="str">
        <f>""</f>
        <v/>
      </c>
    </row>
    <row r="1090" spans="1:16" x14ac:dyDescent="0.25">
      <c r="A1090" t="str">
        <f>"1050010G00125    00"</f>
        <v>1050010G00125    00</v>
      </c>
      <c r="B1090" t="s">
        <v>2697</v>
      </c>
      <c r="C1090" t="s">
        <v>2698</v>
      </c>
      <c r="D1090" t="s">
        <v>20</v>
      </c>
      <c r="E1090" t="s">
        <v>39</v>
      </c>
      <c r="F1090">
        <v>0</v>
      </c>
      <c r="G1090">
        <v>0</v>
      </c>
      <c r="H1090">
        <v>17</v>
      </c>
      <c r="I1090" s="3">
        <v>4833.8999999999996</v>
      </c>
      <c r="J1090" s="3">
        <v>4065.26</v>
      </c>
      <c r="L1090">
        <v>1821</v>
      </c>
      <c r="M1090" t="s">
        <v>2699</v>
      </c>
      <c r="N1090" t="s">
        <v>30</v>
      </c>
      <c r="O1090" t="s">
        <v>31</v>
      </c>
      <c r="P1090" t="str">
        <f>"15219"</f>
        <v>15219</v>
      </c>
    </row>
    <row r="1091" spans="1:16" x14ac:dyDescent="0.25">
      <c r="A1091" t="str">
        <f>"1050010G00145    00"</f>
        <v>1050010G00145    00</v>
      </c>
      <c r="B1091" t="s">
        <v>2700</v>
      </c>
      <c r="C1091" t="s">
        <v>2701</v>
      </c>
      <c r="D1091" t="s">
        <v>20</v>
      </c>
      <c r="E1091" t="s">
        <v>39</v>
      </c>
      <c r="F1091">
        <v>0</v>
      </c>
      <c r="G1091">
        <v>0</v>
      </c>
      <c r="H1091">
        <v>10</v>
      </c>
      <c r="I1091" s="3">
        <v>3980.35</v>
      </c>
      <c r="J1091" s="3">
        <v>2201.2399999999998</v>
      </c>
      <c r="L1091">
        <v>2519</v>
      </c>
      <c r="M1091" t="s">
        <v>2702</v>
      </c>
      <c r="N1091" t="s">
        <v>30</v>
      </c>
      <c r="O1091" t="s">
        <v>31</v>
      </c>
      <c r="P1091" t="str">
        <f>"15219"</f>
        <v>15219</v>
      </c>
    </row>
    <row r="1092" spans="1:16" x14ac:dyDescent="0.25">
      <c r="A1092" t="str">
        <f>"1050010G00173    00"</f>
        <v>1050010G00173    00</v>
      </c>
      <c r="B1092" t="s">
        <v>2703</v>
      </c>
      <c r="C1092" t="s">
        <v>1091</v>
      </c>
      <c r="E1092" t="s">
        <v>39</v>
      </c>
      <c r="F1092">
        <v>0</v>
      </c>
      <c r="G1092">
        <v>0</v>
      </c>
      <c r="H1092">
        <v>12</v>
      </c>
      <c r="I1092" s="3">
        <v>104.17</v>
      </c>
      <c r="J1092" s="3">
        <v>129.46</v>
      </c>
      <c r="K1092" t="s">
        <v>2704</v>
      </c>
      <c r="L1092">
        <v>2240</v>
      </c>
      <c r="M1092" t="s">
        <v>2705</v>
      </c>
      <c r="N1092" t="s">
        <v>30</v>
      </c>
      <c r="O1092" t="s">
        <v>31</v>
      </c>
      <c r="P1092" t="str">
        <f>"15221"</f>
        <v>15221</v>
      </c>
    </row>
    <row r="1093" spans="1:16" x14ac:dyDescent="0.25">
      <c r="A1093" t="str">
        <f>"1050010G00174B   00"</f>
        <v>1050010G00174B   00</v>
      </c>
      <c r="B1093" t="s">
        <v>2706</v>
      </c>
      <c r="C1093" t="s">
        <v>1091</v>
      </c>
      <c r="D1093" t="s">
        <v>20</v>
      </c>
      <c r="E1093" t="s">
        <v>39</v>
      </c>
      <c r="F1093">
        <v>0</v>
      </c>
      <c r="G1093">
        <v>0</v>
      </c>
      <c r="H1093">
        <v>17</v>
      </c>
      <c r="I1093" s="3">
        <v>132.6</v>
      </c>
      <c r="J1093" s="3">
        <v>129.53</v>
      </c>
      <c r="L1093">
        <v>2404</v>
      </c>
      <c r="M1093" t="s">
        <v>1090</v>
      </c>
      <c r="N1093" t="s">
        <v>30</v>
      </c>
      <c r="O1093" t="s">
        <v>31</v>
      </c>
      <c r="P1093" t="str">
        <f>"15219"</f>
        <v>15219</v>
      </c>
    </row>
    <row r="1094" spans="1:16" x14ac:dyDescent="0.25">
      <c r="A1094" t="str">
        <f>"1050010G00178    00"</f>
        <v>1050010G00178    00</v>
      </c>
      <c r="B1094" t="s">
        <v>2568</v>
      </c>
      <c r="C1094" t="s">
        <v>1091</v>
      </c>
      <c r="D1094" t="s">
        <v>20</v>
      </c>
      <c r="E1094" t="s">
        <v>39</v>
      </c>
      <c r="F1094">
        <v>0</v>
      </c>
      <c r="G1094">
        <v>0</v>
      </c>
      <c r="H1094">
        <v>19</v>
      </c>
      <c r="I1094" s="3">
        <v>6295.02</v>
      </c>
      <c r="J1094" s="3">
        <v>6367.67</v>
      </c>
      <c r="L1094">
        <v>2309</v>
      </c>
      <c r="M1094" t="s">
        <v>1090</v>
      </c>
      <c r="N1094" t="s">
        <v>30</v>
      </c>
      <c r="O1094" t="s">
        <v>31</v>
      </c>
      <c r="P1094" t="str">
        <f>"15219"</f>
        <v>15219</v>
      </c>
    </row>
    <row r="1095" spans="1:16" x14ac:dyDescent="0.25">
      <c r="A1095" t="str">
        <f>"1050010G00180    00"</f>
        <v>1050010G00180    00</v>
      </c>
      <c r="B1095" t="s">
        <v>2707</v>
      </c>
      <c r="C1095" t="s">
        <v>2708</v>
      </c>
      <c r="D1095" t="s">
        <v>20</v>
      </c>
      <c r="E1095" t="s">
        <v>39</v>
      </c>
      <c r="F1095">
        <v>0</v>
      </c>
      <c r="G1095">
        <v>0</v>
      </c>
      <c r="H1095">
        <v>2</v>
      </c>
      <c r="I1095" s="3">
        <v>1349.44</v>
      </c>
      <c r="J1095" s="3">
        <v>134.94</v>
      </c>
      <c r="K1095" t="s">
        <v>2709</v>
      </c>
      <c r="L1095">
        <v>2306</v>
      </c>
      <c r="M1095" t="s">
        <v>1132</v>
      </c>
      <c r="N1095" t="s">
        <v>30</v>
      </c>
      <c r="O1095" t="s">
        <v>31</v>
      </c>
      <c r="P1095" t="str">
        <f>"15219"</f>
        <v>15219</v>
      </c>
    </row>
    <row r="1096" spans="1:16" x14ac:dyDescent="0.25">
      <c r="A1096" t="str">
        <f>"1050010G00193    00"</f>
        <v>1050010G00193    00</v>
      </c>
      <c r="B1096" t="s">
        <v>2710</v>
      </c>
      <c r="C1096" t="s">
        <v>2711</v>
      </c>
      <c r="D1096" t="s">
        <v>20</v>
      </c>
      <c r="E1096" t="s">
        <v>39</v>
      </c>
      <c r="F1096">
        <v>0</v>
      </c>
      <c r="G1096">
        <v>0</v>
      </c>
      <c r="H1096">
        <v>1</v>
      </c>
      <c r="I1096" s="3">
        <v>72.430000000000007</v>
      </c>
      <c r="J1096" s="3">
        <v>0</v>
      </c>
      <c r="K1096" t="s">
        <v>2712</v>
      </c>
      <c r="L1096">
        <v>1795</v>
      </c>
      <c r="M1096" t="s">
        <v>2713</v>
      </c>
      <c r="N1096" t="s">
        <v>2714</v>
      </c>
      <c r="O1096" t="s">
        <v>1184</v>
      </c>
      <c r="P1096" t="str">
        <f>"20639"</f>
        <v>20639</v>
      </c>
    </row>
    <row r="1097" spans="1:16" x14ac:dyDescent="0.25">
      <c r="A1097" t="str">
        <f>"1050010G00195    00"</f>
        <v>1050010G00195    00</v>
      </c>
      <c r="B1097" t="s">
        <v>2715</v>
      </c>
      <c r="C1097" t="s">
        <v>2711</v>
      </c>
      <c r="D1097" t="s">
        <v>20</v>
      </c>
      <c r="E1097" t="s">
        <v>39</v>
      </c>
      <c r="F1097">
        <v>0</v>
      </c>
      <c r="G1097">
        <v>0</v>
      </c>
      <c r="H1097">
        <v>2</v>
      </c>
      <c r="I1097" s="3">
        <v>111.92</v>
      </c>
      <c r="J1097" s="3">
        <v>2.97</v>
      </c>
      <c r="K1097" t="s">
        <v>2716</v>
      </c>
      <c r="L1097">
        <v>608</v>
      </c>
      <c r="M1097" t="s">
        <v>2717</v>
      </c>
      <c r="N1097" t="s">
        <v>30</v>
      </c>
      <c r="O1097" t="s">
        <v>31</v>
      </c>
      <c r="P1097" t="str">
        <f>"15219"</f>
        <v>15219</v>
      </c>
    </row>
    <row r="1098" spans="1:16" x14ac:dyDescent="0.25">
      <c r="A1098" t="str">
        <f>"1050010G00201    00"</f>
        <v>1050010G00201    00</v>
      </c>
      <c r="B1098" t="s">
        <v>2718</v>
      </c>
      <c r="C1098" t="s">
        <v>2719</v>
      </c>
      <c r="D1098" t="s">
        <v>20</v>
      </c>
      <c r="E1098" t="s">
        <v>21</v>
      </c>
      <c r="F1098">
        <v>0</v>
      </c>
      <c r="G1098">
        <v>0</v>
      </c>
      <c r="H1098">
        <v>1</v>
      </c>
      <c r="I1098" s="3">
        <v>61.5</v>
      </c>
      <c r="J1098" s="3">
        <v>0</v>
      </c>
      <c r="L1098">
        <v>5915</v>
      </c>
      <c r="M1098" t="s">
        <v>2720</v>
      </c>
      <c r="N1098" t="s">
        <v>30</v>
      </c>
      <c r="O1098" t="s">
        <v>31</v>
      </c>
      <c r="P1098" t="str">
        <f>"15206"</f>
        <v>15206</v>
      </c>
    </row>
    <row r="1099" spans="1:16" x14ac:dyDescent="0.25">
      <c r="A1099" t="str">
        <f>"1050010G00208    00"</f>
        <v>1050010G00208    00</v>
      </c>
      <c r="B1099" t="s">
        <v>2721</v>
      </c>
      <c r="C1099" t="s">
        <v>2722</v>
      </c>
      <c r="D1099" t="s">
        <v>20</v>
      </c>
      <c r="E1099" t="s">
        <v>39</v>
      </c>
      <c r="F1099">
        <v>0</v>
      </c>
      <c r="G1099">
        <v>0</v>
      </c>
      <c r="H1099">
        <v>6</v>
      </c>
      <c r="I1099" s="3">
        <v>77.62</v>
      </c>
      <c r="J1099" s="3">
        <v>27.86</v>
      </c>
      <c r="L1099">
        <v>629</v>
      </c>
      <c r="M1099" t="s">
        <v>2717</v>
      </c>
      <c r="N1099" t="s">
        <v>30</v>
      </c>
      <c r="O1099" t="s">
        <v>31</v>
      </c>
      <c r="P1099" t="str">
        <f>"15219"</f>
        <v>15219</v>
      </c>
    </row>
    <row r="1100" spans="1:16" x14ac:dyDescent="0.25">
      <c r="A1100" t="str">
        <f>"1050010G00209    00"</f>
        <v>1050010G00209    00</v>
      </c>
      <c r="B1100" t="s">
        <v>2723</v>
      </c>
      <c r="C1100" t="s">
        <v>2722</v>
      </c>
      <c r="D1100" t="s">
        <v>20</v>
      </c>
      <c r="E1100" t="s">
        <v>39</v>
      </c>
      <c r="F1100">
        <v>0</v>
      </c>
      <c r="G1100">
        <v>0</v>
      </c>
      <c r="H1100">
        <v>6</v>
      </c>
      <c r="I1100" s="3">
        <v>1830.56</v>
      </c>
      <c r="J1100" s="3">
        <v>506.23</v>
      </c>
      <c r="L1100">
        <v>629</v>
      </c>
      <c r="M1100" t="s">
        <v>2717</v>
      </c>
      <c r="N1100" t="s">
        <v>30</v>
      </c>
      <c r="O1100" t="s">
        <v>31</v>
      </c>
      <c r="P1100" t="str">
        <f>"15219"</f>
        <v>15219</v>
      </c>
    </row>
    <row r="1101" spans="1:16" x14ac:dyDescent="0.25">
      <c r="A1101" t="str">
        <f>"1050010G00210    00"</f>
        <v>1050010G00210    00</v>
      </c>
      <c r="B1101" t="s">
        <v>921</v>
      </c>
      <c r="C1101" t="s">
        <v>2724</v>
      </c>
      <c r="D1101" t="s">
        <v>20</v>
      </c>
      <c r="E1101" t="s">
        <v>39</v>
      </c>
      <c r="F1101">
        <v>0</v>
      </c>
      <c r="G1101">
        <v>0</v>
      </c>
      <c r="H1101">
        <v>1</v>
      </c>
      <c r="I1101" s="3">
        <v>209.66</v>
      </c>
      <c r="J1101" s="3">
        <v>0</v>
      </c>
      <c r="L1101">
        <v>46</v>
      </c>
      <c r="M1101" t="s">
        <v>913</v>
      </c>
      <c r="N1101" t="s">
        <v>914</v>
      </c>
      <c r="O1101" t="s">
        <v>200</v>
      </c>
      <c r="P1101" t="str">
        <f>"10952"</f>
        <v>10952</v>
      </c>
    </row>
    <row r="1102" spans="1:16" x14ac:dyDescent="0.25">
      <c r="A1102" t="str">
        <f>"1050010G00213    00"</f>
        <v>1050010G00213    00</v>
      </c>
      <c r="B1102" t="s">
        <v>2725</v>
      </c>
      <c r="C1102" t="s">
        <v>2726</v>
      </c>
      <c r="D1102" t="s">
        <v>20</v>
      </c>
      <c r="E1102" t="s">
        <v>39</v>
      </c>
      <c r="F1102">
        <v>0</v>
      </c>
      <c r="G1102">
        <v>0</v>
      </c>
      <c r="H1102">
        <v>19</v>
      </c>
      <c r="I1102" s="3">
        <v>11337.04</v>
      </c>
      <c r="J1102" s="3">
        <v>10499.53</v>
      </c>
      <c r="L1102">
        <v>637</v>
      </c>
      <c r="M1102" t="s">
        <v>2717</v>
      </c>
      <c r="N1102" t="s">
        <v>30</v>
      </c>
      <c r="O1102" t="s">
        <v>31</v>
      </c>
      <c r="P1102" t="str">
        <f>"15219"</f>
        <v>15219</v>
      </c>
    </row>
    <row r="1103" spans="1:16" x14ac:dyDescent="0.25">
      <c r="A1103" t="str">
        <f>"1050010G00218    00"</f>
        <v>1050010G00218    00</v>
      </c>
      <c r="B1103" t="s">
        <v>2727</v>
      </c>
      <c r="C1103" t="s">
        <v>2728</v>
      </c>
      <c r="D1103" t="s">
        <v>20</v>
      </c>
      <c r="E1103" t="s">
        <v>39</v>
      </c>
      <c r="F1103">
        <v>0</v>
      </c>
      <c r="G1103">
        <v>0</v>
      </c>
      <c r="H1103">
        <v>2</v>
      </c>
      <c r="I1103" s="3">
        <v>175.44</v>
      </c>
      <c r="J1103" s="3">
        <v>0</v>
      </c>
      <c r="M1103" t="s">
        <v>2628</v>
      </c>
      <c r="N1103" t="s">
        <v>30</v>
      </c>
      <c r="O1103" t="s">
        <v>31</v>
      </c>
      <c r="P1103" t="str">
        <f>"15213"</f>
        <v>15213</v>
      </c>
    </row>
    <row r="1104" spans="1:16" x14ac:dyDescent="0.25">
      <c r="A1104" t="str">
        <f>"1050010G00225    00"</f>
        <v>1050010G00225    00</v>
      </c>
      <c r="B1104" t="s">
        <v>2729</v>
      </c>
      <c r="C1104" t="s">
        <v>2730</v>
      </c>
      <c r="D1104" t="s">
        <v>20</v>
      </c>
      <c r="E1104" t="s">
        <v>21</v>
      </c>
      <c r="F1104">
        <v>0</v>
      </c>
      <c r="G1104">
        <v>0</v>
      </c>
      <c r="H1104">
        <v>11</v>
      </c>
      <c r="I1104" s="3">
        <v>25949.3</v>
      </c>
      <c r="J1104" s="3">
        <v>12061.05</v>
      </c>
      <c r="K1104" t="s">
        <v>2731</v>
      </c>
      <c r="L1104">
        <v>3422</v>
      </c>
      <c r="M1104" t="s">
        <v>2732</v>
      </c>
      <c r="N1104" t="s">
        <v>30</v>
      </c>
      <c r="O1104" t="s">
        <v>31</v>
      </c>
      <c r="P1104" t="str">
        <f>"15219"</f>
        <v>15219</v>
      </c>
    </row>
    <row r="1105" spans="1:16" x14ac:dyDescent="0.25">
      <c r="A1105" t="str">
        <f>"1050010G00227    00"</f>
        <v>1050010G00227    00</v>
      </c>
      <c r="B1105" t="s">
        <v>2733</v>
      </c>
      <c r="C1105" t="s">
        <v>2734</v>
      </c>
      <c r="D1105" t="s">
        <v>20</v>
      </c>
      <c r="E1105" t="s">
        <v>39</v>
      </c>
      <c r="F1105">
        <v>0</v>
      </c>
      <c r="G1105">
        <v>0</v>
      </c>
      <c r="H1105">
        <v>8</v>
      </c>
      <c r="I1105" s="3">
        <v>7129.31</v>
      </c>
      <c r="J1105" s="3">
        <v>2911.92</v>
      </c>
      <c r="L1105">
        <v>2400</v>
      </c>
      <c r="M1105" t="s">
        <v>1090</v>
      </c>
      <c r="N1105" t="s">
        <v>30</v>
      </c>
      <c r="O1105" t="s">
        <v>31</v>
      </c>
      <c r="P1105" t="str">
        <f>"15219"</f>
        <v>15219</v>
      </c>
    </row>
    <row r="1106" spans="1:16" x14ac:dyDescent="0.25">
      <c r="A1106" t="str">
        <f>"1050010G00232    00"</f>
        <v>1050010G00232    00</v>
      </c>
      <c r="B1106" t="s">
        <v>2735</v>
      </c>
      <c r="C1106" t="s">
        <v>2604</v>
      </c>
      <c r="D1106" t="s">
        <v>20</v>
      </c>
      <c r="E1106" t="s">
        <v>39</v>
      </c>
      <c r="F1106">
        <v>0</v>
      </c>
      <c r="G1106">
        <v>0</v>
      </c>
      <c r="H1106">
        <v>4</v>
      </c>
      <c r="I1106" s="3">
        <v>730.27</v>
      </c>
      <c r="J1106" s="3">
        <v>42.05</v>
      </c>
      <c r="K1106" t="s">
        <v>2736</v>
      </c>
      <c r="L1106">
        <v>619</v>
      </c>
      <c r="M1106" t="s">
        <v>2737</v>
      </c>
      <c r="N1106" t="s">
        <v>30</v>
      </c>
      <c r="O1106" t="s">
        <v>31</v>
      </c>
      <c r="P1106" t="str">
        <f>"15210"</f>
        <v>15210</v>
      </c>
    </row>
    <row r="1107" spans="1:16" x14ac:dyDescent="0.25">
      <c r="A1107" t="str">
        <f>"1050010G00233    00"</f>
        <v>1050010G00233    00</v>
      </c>
      <c r="B1107" t="s">
        <v>2738</v>
      </c>
      <c r="C1107" t="s">
        <v>2739</v>
      </c>
      <c r="D1107" t="s">
        <v>20</v>
      </c>
      <c r="E1107" t="s">
        <v>39</v>
      </c>
      <c r="F1107">
        <v>0</v>
      </c>
      <c r="G1107">
        <v>0</v>
      </c>
      <c r="H1107">
        <v>18</v>
      </c>
      <c r="I1107" s="3">
        <v>10189.01</v>
      </c>
      <c r="J1107" s="3">
        <v>8474.4599999999991</v>
      </c>
      <c r="L1107">
        <v>289</v>
      </c>
      <c r="M1107" t="s">
        <v>2740</v>
      </c>
      <c r="N1107" t="s">
        <v>2741</v>
      </c>
      <c r="O1107" t="s">
        <v>200</v>
      </c>
      <c r="P1107" t="str">
        <f>"12060"</f>
        <v>12060</v>
      </c>
    </row>
    <row r="1108" spans="1:16" x14ac:dyDescent="0.25">
      <c r="A1108" t="str">
        <f>"1050010G00234    00"</f>
        <v>1050010G00234    00</v>
      </c>
      <c r="B1108" t="s">
        <v>2742</v>
      </c>
      <c r="C1108" t="s">
        <v>2604</v>
      </c>
      <c r="D1108" t="s">
        <v>20</v>
      </c>
      <c r="E1108" t="s">
        <v>39</v>
      </c>
      <c r="F1108">
        <v>0</v>
      </c>
      <c r="G1108">
        <v>0</v>
      </c>
      <c r="H1108">
        <v>19</v>
      </c>
      <c r="I1108" s="3">
        <v>3555.47</v>
      </c>
      <c r="J1108" s="3">
        <v>2044.77</v>
      </c>
      <c r="K1108" t="s">
        <v>2743</v>
      </c>
      <c r="L1108">
        <v>632</v>
      </c>
      <c r="M1108" t="s">
        <v>2607</v>
      </c>
      <c r="N1108" t="s">
        <v>30</v>
      </c>
      <c r="O1108" t="s">
        <v>31</v>
      </c>
      <c r="P1108" t="str">
        <f>"15219"</f>
        <v>15219</v>
      </c>
    </row>
    <row r="1109" spans="1:16" x14ac:dyDescent="0.25">
      <c r="A1109" t="str">
        <f>"1050010G00235000100"</f>
        <v>1050010G00235000100</v>
      </c>
      <c r="B1109" t="s">
        <v>2744</v>
      </c>
      <c r="C1109" t="s">
        <v>2604</v>
      </c>
      <c r="D1109" t="s">
        <v>20</v>
      </c>
      <c r="E1109" t="s">
        <v>39</v>
      </c>
      <c r="F1109">
        <v>0</v>
      </c>
      <c r="G1109">
        <v>0</v>
      </c>
      <c r="H1109">
        <v>15</v>
      </c>
      <c r="I1109" s="3">
        <v>642.11</v>
      </c>
      <c r="J1109" s="3">
        <v>667.93</v>
      </c>
      <c r="L1109">
        <v>630</v>
      </c>
      <c r="M1109" t="s">
        <v>2607</v>
      </c>
      <c r="N1109" t="s">
        <v>30</v>
      </c>
      <c r="O1109" t="s">
        <v>31</v>
      </c>
      <c r="P1109" t="str">
        <f>"15219"</f>
        <v>15219</v>
      </c>
    </row>
    <row r="1110" spans="1:16" x14ac:dyDescent="0.25">
      <c r="A1110" t="str">
        <f>"1050010G00235000201"</f>
        <v>1050010G00235000201</v>
      </c>
      <c r="B1110" t="s">
        <v>2745</v>
      </c>
      <c r="C1110" t="s">
        <v>2604</v>
      </c>
      <c r="D1110" t="s">
        <v>20</v>
      </c>
      <c r="E1110" t="s">
        <v>39</v>
      </c>
      <c r="F1110">
        <v>0</v>
      </c>
      <c r="G1110">
        <v>0</v>
      </c>
      <c r="H1110">
        <v>19</v>
      </c>
      <c r="I1110" s="3">
        <v>4675.67</v>
      </c>
      <c r="J1110" s="3">
        <v>4608.79</v>
      </c>
      <c r="K1110" t="s">
        <v>2746</v>
      </c>
      <c r="L1110">
        <v>207</v>
      </c>
      <c r="M1110" t="s">
        <v>2747</v>
      </c>
      <c r="N1110" t="s">
        <v>2748</v>
      </c>
      <c r="O1110" t="s">
        <v>692</v>
      </c>
      <c r="P1110" t="str">
        <f>"23607"</f>
        <v>23607</v>
      </c>
    </row>
    <row r="1111" spans="1:16" x14ac:dyDescent="0.25">
      <c r="A1111" t="str">
        <f>"1050010G00245    00"</f>
        <v>1050010G00245    00</v>
      </c>
      <c r="B1111" t="s">
        <v>2749</v>
      </c>
      <c r="C1111" t="s">
        <v>2604</v>
      </c>
      <c r="D1111" t="s">
        <v>20</v>
      </c>
      <c r="E1111" t="s">
        <v>39</v>
      </c>
      <c r="F1111">
        <v>0</v>
      </c>
      <c r="G1111">
        <v>0</v>
      </c>
      <c r="H1111">
        <v>16</v>
      </c>
      <c r="I1111" s="3">
        <v>3662.3</v>
      </c>
      <c r="J1111" s="3">
        <v>2247.7600000000002</v>
      </c>
      <c r="K1111" t="s">
        <v>2750</v>
      </c>
      <c r="L1111">
        <v>8520</v>
      </c>
      <c r="M1111" t="s">
        <v>2751</v>
      </c>
      <c r="N1111" t="s">
        <v>30</v>
      </c>
      <c r="O1111" t="s">
        <v>31</v>
      </c>
      <c r="P1111" t="str">
        <f>"15235"</f>
        <v>15235</v>
      </c>
    </row>
    <row r="1112" spans="1:16" x14ac:dyDescent="0.25">
      <c r="A1112" t="str">
        <f>"1050010G00246    00"</f>
        <v>1050010G00246    00</v>
      </c>
      <c r="B1112" t="s">
        <v>2752</v>
      </c>
      <c r="C1112" t="s">
        <v>2604</v>
      </c>
      <c r="D1112" t="s">
        <v>20</v>
      </c>
      <c r="E1112" t="s">
        <v>39</v>
      </c>
      <c r="F1112">
        <v>0</v>
      </c>
      <c r="G1112">
        <v>0</v>
      </c>
      <c r="H1112">
        <v>17</v>
      </c>
      <c r="I1112" s="3">
        <v>3936.51</v>
      </c>
      <c r="J1112" s="3">
        <v>2697.08</v>
      </c>
      <c r="K1112" t="s">
        <v>2753</v>
      </c>
      <c r="P1112" t="str">
        <f>""</f>
        <v/>
      </c>
    </row>
    <row r="1113" spans="1:16" x14ac:dyDescent="0.25">
      <c r="A1113" t="str">
        <f>"1050010G00247    00"</f>
        <v>1050010G00247    00</v>
      </c>
      <c r="B1113" t="s">
        <v>2754</v>
      </c>
      <c r="C1113" t="s">
        <v>2604</v>
      </c>
      <c r="D1113" t="s">
        <v>20</v>
      </c>
      <c r="E1113" t="s">
        <v>39</v>
      </c>
      <c r="F1113">
        <v>0</v>
      </c>
      <c r="G1113">
        <v>0</v>
      </c>
      <c r="H1113">
        <v>18</v>
      </c>
      <c r="I1113" s="3">
        <v>6056.65</v>
      </c>
      <c r="J1113" s="3">
        <v>5937.51</v>
      </c>
      <c r="L1113">
        <v>621</v>
      </c>
      <c r="M1113" t="s">
        <v>2607</v>
      </c>
      <c r="N1113" t="s">
        <v>30</v>
      </c>
      <c r="O1113" t="s">
        <v>31</v>
      </c>
      <c r="P1113" t="str">
        <f>"15219"</f>
        <v>15219</v>
      </c>
    </row>
    <row r="1114" spans="1:16" x14ac:dyDescent="0.25">
      <c r="A1114" t="str">
        <f>"1050010G00251    00"</f>
        <v>1050010G00251    00</v>
      </c>
      <c r="B1114" t="s">
        <v>2755</v>
      </c>
      <c r="C1114" t="s">
        <v>2604</v>
      </c>
      <c r="D1114" t="s">
        <v>20</v>
      </c>
      <c r="E1114" t="s">
        <v>39</v>
      </c>
      <c r="F1114">
        <v>0</v>
      </c>
      <c r="G1114">
        <v>0</v>
      </c>
      <c r="H1114">
        <v>18</v>
      </c>
      <c r="I1114" s="3">
        <v>6979.69</v>
      </c>
      <c r="J1114" s="3">
        <v>8112.92</v>
      </c>
      <c r="L1114">
        <v>106</v>
      </c>
      <c r="M1114" t="s">
        <v>2756</v>
      </c>
      <c r="N1114" t="s">
        <v>2757</v>
      </c>
      <c r="O1114" t="s">
        <v>31</v>
      </c>
      <c r="P1114" t="str">
        <f>"15690"</f>
        <v>15690</v>
      </c>
    </row>
    <row r="1115" spans="1:16" x14ac:dyDescent="0.25">
      <c r="A1115" t="str">
        <f>"1050010G00254    00"</f>
        <v>1050010G00254    00</v>
      </c>
      <c r="B1115" t="s">
        <v>2758</v>
      </c>
      <c r="C1115" t="s">
        <v>2759</v>
      </c>
      <c r="E1115" t="s">
        <v>39</v>
      </c>
      <c r="F1115">
        <v>0</v>
      </c>
      <c r="G1115">
        <v>0</v>
      </c>
      <c r="H1115">
        <v>1</v>
      </c>
      <c r="I1115" s="3">
        <v>479.7</v>
      </c>
      <c r="J1115" s="3">
        <v>0</v>
      </c>
      <c r="K1115" t="s">
        <v>2760</v>
      </c>
      <c r="L1115">
        <v>112</v>
      </c>
      <c r="M1115" t="s">
        <v>2761</v>
      </c>
      <c r="N1115" t="s">
        <v>30</v>
      </c>
      <c r="O1115" t="s">
        <v>31</v>
      </c>
      <c r="P1115" t="str">
        <f>"15219"</f>
        <v>15219</v>
      </c>
    </row>
    <row r="1116" spans="1:16" x14ac:dyDescent="0.25">
      <c r="A1116" t="str">
        <f>"1050010G00260    00"</f>
        <v>1050010G00260    00</v>
      </c>
      <c r="B1116" t="s">
        <v>2762</v>
      </c>
      <c r="C1116" t="s">
        <v>2763</v>
      </c>
      <c r="D1116" t="s">
        <v>20</v>
      </c>
      <c r="E1116" t="s">
        <v>21</v>
      </c>
      <c r="F1116">
        <v>0</v>
      </c>
      <c r="G1116">
        <v>0</v>
      </c>
      <c r="H1116">
        <v>2</v>
      </c>
      <c r="I1116" s="3">
        <v>6577.35</v>
      </c>
      <c r="J1116" s="3">
        <v>0</v>
      </c>
      <c r="K1116" t="s">
        <v>2764</v>
      </c>
      <c r="L1116">
        <v>108</v>
      </c>
      <c r="M1116" t="s">
        <v>2765</v>
      </c>
      <c r="N1116" t="s">
        <v>2766</v>
      </c>
      <c r="O1116" t="s">
        <v>2767</v>
      </c>
      <c r="P1116" t="str">
        <f>"35749"</f>
        <v>35749</v>
      </c>
    </row>
    <row r="1117" spans="1:16" x14ac:dyDescent="0.25">
      <c r="A1117" t="str">
        <f>"1050010G00263    00"</f>
        <v>1050010G00263    00</v>
      </c>
      <c r="B1117" t="s">
        <v>2768</v>
      </c>
      <c r="C1117" t="s">
        <v>2769</v>
      </c>
      <c r="D1117" t="s">
        <v>20</v>
      </c>
      <c r="E1117" t="s">
        <v>39</v>
      </c>
      <c r="F1117">
        <v>0</v>
      </c>
      <c r="G1117">
        <v>0</v>
      </c>
      <c r="H1117">
        <v>3</v>
      </c>
      <c r="I1117" s="3">
        <v>988.01</v>
      </c>
      <c r="J1117" s="3">
        <v>12.95</v>
      </c>
      <c r="L1117">
        <v>2535</v>
      </c>
      <c r="M1117" t="s">
        <v>1090</v>
      </c>
      <c r="N1117" t="s">
        <v>30</v>
      </c>
      <c r="O1117" t="s">
        <v>31</v>
      </c>
      <c r="P1117" t="str">
        <f>"15219"</f>
        <v>15219</v>
      </c>
    </row>
    <row r="1118" spans="1:16" x14ac:dyDescent="0.25">
      <c r="A1118" t="str">
        <f>"1050010G00271    00"</f>
        <v>1050010G00271    00</v>
      </c>
      <c r="B1118" t="s">
        <v>2770</v>
      </c>
      <c r="C1118" t="s">
        <v>2771</v>
      </c>
      <c r="E1118" t="s">
        <v>39</v>
      </c>
      <c r="F1118">
        <v>0</v>
      </c>
      <c r="G1118">
        <v>0</v>
      </c>
      <c r="H1118">
        <v>5</v>
      </c>
      <c r="I1118" s="3">
        <v>55.82</v>
      </c>
      <c r="J1118" s="3">
        <v>14.12</v>
      </c>
      <c r="L1118">
        <v>7892</v>
      </c>
      <c r="M1118" t="s">
        <v>2398</v>
      </c>
      <c r="N1118" t="s">
        <v>1046</v>
      </c>
      <c r="O1118" t="s">
        <v>31</v>
      </c>
      <c r="P1118" t="str">
        <f>"15147"</f>
        <v>15147</v>
      </c>
    </row>
    <row r="1119" spans="1:16" x14ac:dyDescent="0.25">
      <c r="A1119" t="str">
        <f>"1050010G00272    00"</f>
        <v>1050010G00272    00</v>
      </c>
      <c r="B1119" t="s">
        <v>2772</v>
      </c>
      <c r="C1119" t="s">
        <v>2773</v>
      </c>
      <c r="D1119" t="s">
        <v>20</v>
      </c>
      <c r="E1119" t="s">
        <v>39</v>
      </c>
      <c r="F1119">
        <v>0</v>
      </c>
      <c r="G1119">
        <v>0</v>
      </c>
      <c r="H1119">
        <v>1</v>
      </c>
      <c r="I1119" s="3">
        <v>144.55000000000001</v>
      </c>
      <c r="J1119" s="3">
        <v>0</v>
      </c>
      <c r="L1119">
        <v>516</v>
      </c>
      <c r="M1119" t="s">
        <v>2774</v>
      </c>
      <c r="N1119" t="s">
        <v>30</v>
      </c>
      <c r="O1119" t="s">
        <v>31</v>
      </c>
      <c r="P1119" t="str">
        <f>"15221"</f>
        <v>15221</v>
      </c>
    </row>
    <row r="1120" spans="1:16" x14ac:dyDescent="0.25">
      <c r="A1120" t="str">
        <f>"1050010G00275    00"</f>
        <v>1050010G00275    00</v>
      </c>
      <c r="B1120" t="s">
        <v>2775</v>
      </c>
      <c r="C1120" t="s">
        <v>2776</v>
      </c>
      <c r="D1120" t="s">
        <v>20</v>
      </c>
      <c r="E1120" t="s">
        <v>39</v>
      </c>
      <c r="F1120">
        <v>0</v>
      </c>
      <c r="G1120">
        <v>0</v>
      </c>
      <c r="H1120">
        <v>7</v>
      </c>
      <c r="I1120" s="3">
        <v>3366.91</v>
      </c>
      <c r="J1120" s="3">
        <v>1118.3599999999999</v>
      </c>
      <c r="L1120">
        <v>584</v>
      </c>
      <c r="M1120" t="s">
        <v>2777</v>
      </c>
      <c r="N1120" t="s">
        <v>30</v>
      </c>
      <c r="O1120" t="s">
        <v>31</v>
      </c>
      <c r="P1120" t="str">
        <f>"15235"</f>
        <v>15235</v>
      </c>
    </row>
    <row r="1121" spans="1:16" x14ac:dyDescent="0.25">
      <c r="A1121" t="str">
        <f>"1050010G00276    00"</f>
        <v>1050010G00276    00</v>
      </c>
      <c r="B1121" t="s">
        <v>2778</v>
      </c>
      <c r="C1121" t="s">
        <v>2779</v>
      </c>
      <c r="E1121" t="s">
        <v>39</v>
      </c>
      <c r="F1121">
        <v>0</v>
      </c>
      <c r="G1121">
        <v>0</v>
      </c>
      <c r="H1121">
        <v>2</v>
      </c>
      <c r="I1121" s="3">
        <v>426.91</v>
      </c>
      <c r="J1121" s="3">
        <v>652.92999999999995</v>
      </c>
      <c r="L1121">
        <v>703</v>
      </c>
      <c r="M1121" t="s">
        <v>2333</v>
      </c>
      <c r="N1121" t="s">
        <v>30</v>
      </c>
      <c r="O1121" t="s">
        <v>31</v>
      </c>
      <c r="P1121" t="str">
        <f>"15219"</f>
        <v>15219</v>
      </c>
    </row>
    <row r="1122" spans="1:16" x14ac:dyDescent="0.25">
      <c r="A1122" t="str">
        <f>"1050010G00282    00"</f>
        <v>1050010G00282    00</v>
      </c>
      <c r="B1122" t="s">
        <v>2780</v>
      </c>
      <c r="C1122" t="s">
        <v>2781</v>
      </c>
      <c r="D1122" t="s">
        <v>20</v>
      </c>
      <c r="E1122" t="s">
        <v>39</v>
      </c>
      <c r="F1122">
        <v>0</v>
      </c>
      <c r="G1122">
        <v>0</v>
      </c>
      <c r="H1122">
        <v>1</v>
      </c>
      <c r="I1122" s="3">
        <v>236.49</v>
      </c>
      <c r="J1122" s="3">
        <v>0</v>
      </c>
      <c r="L1122">
        <v>808</v>
      </c>
      <c r="M1122" t="s">
        <v>1070</v>
      </c>
      <c r="N1122" t="s">
        <v>30</v>
      </c>
      <c r="O1122" t="s">
        <v>31</v>
      </c>
      <c r="P1122" t="str">
        <f>"15219"</f>
        <v>15219</v>
      </c>
    </row>
    <row r="1123" spans="1:16" x14ac:dyDescent="0.25">
      <c r="A1123" t="str">
        <f>"1050010G00288    00"</f>
        <v>1050010G00288    00</v>
      </c>
      <c r="B1123" t="s">
        <v>918</v>
      </c>
      <c r="C1123" t="s">
        <v>2782</v>
      </c>
      <c r="D1123" t="s">
        <v>20</v>
      </c>
      <c r="E1123" t="s">
        <v>21</v>
      </c>
      <c r="F1123">
        <v>0</v>
      </c>
      <c r="G1123">
        <v>0</v>
      </c>
      <c r="H1123">
        <v>1</v>
      </c>
      <c r="I1123" s="3">
        <v>5203.38</v>
      </c>
      <c r="J1123" s="3">
        <v>0</v>
      </c>
      <c r="K1123" t="s">
        <v>920</v>
      </c>
      <c r="L1123">
        <v>46</v>
      </c>
      <c r="M1123" t="s">
        <v>913</v>
      </c>
      <c r="N1123" t="s">
        <v>914</v>
      </c>
      <c r="O1123" t="s">
        <v>200</v>
      </c>
      <c r="P1123" t="str">
        <f>"10952"</f>
        <v>10952</v>
      </c>
    </row>
    <row r="1124" spans="1:16" x14ac:dyDescent="0.25">
      <c r="A1124" t="str">
        <f>"1050010G00296    00"</f>
        <v>1050010G00296    00</v>
      </c>
      <c r="B1124" t="s">
        <v>2783</v>
      </c>
      <c r="C1124" t="s">
        <v>2784</v>
      </c>
      <c r="D1124" t="s">
        <v>20</v>
      </c>
      <c r="E1124" t="s">
        <v>39</v>
      </c>
      <c r="F1124">
        <v>0</v>
      </c>
      <c r="G1124">
        <v>0</v>
      </c>
      <c r="H1124">
        <v>18</v>
      </c>
      <c r="I1124" s="3">
        <v>4317.3100000000004</v>
      </c>
      <c r="J1124" s="3">
        <v>4756.58</v>
      </c>
      <c r="L1124">
        <v>2448</v>
      </c>
      <c r="M1124" t="s">
        <v>854</v>
      </c>
      <c r="N1124" t="s">
        <v>30</v>
      </c>
      <c r="O1124" t="s">
        <v>31</v>
      </c>
      <c r="P1124" t="str">
        <f>"15219"</f>
        <v>15219</v>
      </c>
    </row>
    <row r="1125" spans="1:16" x14ac:dyDescent="0.25">
      <c r="A1125" t="str">
        <f>"1050010G00298    00"</f>
        <v>1050010G00298    00</v>
      </c>
      <c r="B1125" t="s">
        <v>2785</v>
      </c>
      <c r="C1125" t="s">
        <v>1019</v>
      </c>
      <c r="D1125" t="s">
        <v>20</v>
      </c>
      <c r="E1125" t="s">
        <v>39</v>
      </c>
      <c r="F1125">
        <v>0</v>
      </c>
      <c r="G1125">
        <v>0</v>
      </c>
      <c r="H1125">
        <v>19</v>
      </c>
      <c r="I1125" s="3">
        <v>402.99</v>
      </c>
      <c r="J1125" s="3">
        <v>460.53</v>
      </c>
      <c r="K1125" t="s">
        <v>1008</v>
      </c>
      <c r="P1125" t="str">
        <f>""</f>
        <v/>
      </c>
    </row>
    <row r="1126" spans="1:16" x14ac:dyDescent="0.25">
      <c r="A1126" t="str">
        <f>"1050010G00317    00"</f>
        <v>1050010G00317    00</v>
      </c>
      <c r="B1126" t="s">
        <v>2786</v>
      </c>
      <c r="C1126" t="s">
        <v>2787</v>
      </c>
      <c r="E1126" t="s">
        <v>39</v>
      </c>
      <c r="F1126">
        <v>0</v>
      </c>
      <c r="G1126">
        <v>0</v>
      </c>
      <c r="H1126">
        <v>2</v>
      </c>
      <c r="I1126" s="3">
        <v>482.96</v>
      </c>
      <c r="J1126" s="3">
        <v>105.37</v>
      </c>
      <c r="K1126" t="s">
        <v>2788</v>
      </c>
      <c r="L1126">
        <v>1407</v>
      </c>
      <c r="M1126" t="s">
        <v>2789</v>
      </c>
      <c r="N1126" t="s">
        <v>30</v>
      </c>
      <c r="O1126" t="s">
        <v>31</v>
      </c>
      <c r="P1126" t="str">
        <f>"15206"</f>
        <v>15206</v>
      </c>
    </row>
    <row r="1127" spans="1:16" x14ac:dyDescent="0.25">
      <c r="A1127" t="str">
        <f>"1050010G00322    00"</f>
        <v>1050010G00322    00</v>
      </c>
      <c r="B1127" t="s">
        <v>2790</v>
      </c>
      <c r="C1127" t="s">
        <v>2791</v>
      </c>
      <c r="D1127" t="s">
        <v>20</v>
      </c>
      <c r="E1127" t="s">
        <v>21</v>
      </c>
      <c r="F1127">
        <v>0</v>
      </c>
      <c r="G1127">
        <v>0</v>
      </c>
      <c r="H1127">
        <v>2</v>
      </c>
      <c r="I1127" s="3">
        <v>2989.54</v>
      </c>
      <c r="J1127" s="3">
        <v>0</v>
      </c>
      <c r="K1127" t="s">
        <v>2792</v>
      </c>
      <c r="L1127">
        <v>10235</v>
      </c>
      <c r="M1127" t="s">
        <v>2793</v>
      </c>
      <c r="N1127" t="s">
        <v>1412</v>
      </c>
      <c r="O1127" t="s">
        <v>1413</v>
      </c>
      <c r="P1127" t="str">
        <f>"28278"</f>
        <v>28278</v>
      </c>
    </row>
    <row r="1128" spans="1:16" x14ac:dyDescent="0.25">
      <c r="A1128" t="str">
        <f>"1050010G00325    00"</f>
        <v>1050010G00325    00</v>
      </c>
      <c r="B1128" t="s">
        <v>2568</v>
      </c>
      <c r="C1128" t="s">
        <v>2719</v>
      </c>
      <c r="D1128" t="s">
        <v>20</v>
      </c>
      <c r="E1128" t="s">
        <v>39</v>
      </c>
      <c r="F1128">
        <v>0</v>
      </c>
      <c r="G1128">
        <v>0</v>
      </c>
      <c r="H1128">
        <v>19</v>
      </c>
      <c r="I1128" s="3">
        <v>13113.69</v>
      </c>
      <c r="J1128" s="3">
        <v>10784.72</v>
      </c>
      <c r="L1128">
        <v>2309</v>
      </c>
      <c r="M1128" t="s">
        <v>1090</v>
      </c>
      <c r="N1128" t="s">
        <v>30</v>
      </c>
      <c r="O1128" t="s">
        <v>31</v>
      </c>
      <c r="P1128" t="str">
        <f>"15219"</f>
        <v>15219</v>
      </c>
    </row>
    <row r="1129" spans="1:16" x14ac:dyDescent="0.25">
      <c r="A1129" t="str">
        <f>"1050010G00328    00"</f>
        <v>1050010G00328    00</v>
      </c>
      <c r="B1129" t="s">
        <v>2794</v>
      </c>
      <c r="C1129" t="s">
        <v>2719</v>
      </c>
      <c r="D1129" t="s">
        <v>20</v>
      </c>
      <c r="E1129" t="s">
        <v>39</v>
      </c>
      <c r="F1129">
        <v>0</v>
      </c>
      <c r="G1129">
        <v>0</v>
      </c>
      <c r="H1129">
        <v>19</v>
      </c>
      <c r="I1129" s="3">
        <v>3182.2</v>
      </c>
      <c r="J1129" s="3">
        <v>1786.59</v>
      </c>
      <c r="K1129" t="s">
        <v>2795</v>
      </c>
      <c r="L1129">
        <v>710</v>
      </c>
      <c r="M1129" t="s">
        <v>2717</v>
      </c>
      <c r="N1129" t="s">
        <v>30</v>
      </c>
      <c r="O1129" t="s">
        <v>31</v>
      </c>
      <c r="P1129" t="str">
        <f>"15219"</f>
        <v>15219</v>
      </c>
    </row>
    <row r="1130" spans="1:16" x14ac:dyDescent="0.25">
      <c r="A1130" t="str">
        <f>"1050010G00329    00"</f>
        <v>1050010G00329    00</v>
      </c>
      <c r="B1130" t="s">
        <v>2796</v>
      </c>
      <c r="C1130" t="s">
        <v>2719</v>
      </c>
      <c r="D1130" t="s">
        <v>20</v>
      </c>
      <c r="E1130" t="s">
        <v>39</v>
      </c>
      <c r="F1130">
        <v>0</v>
      </c>
      <c r="G1130">
        <v>0</v>
      </c>
      <c r="H1130">
        <v>19</v>
      </c>
      <c r="I1130" s="3">
        <v>4045.26</v>
      </c>
      <c r="J1130" s="3">
        <v>3030.23</v>
      </c>
      <c r="K1130" t="s">
        <v>1008</v>
      </c>
      <c r="P1130" t="str">
        <f>""</f>
        <v/>
      </c>
    </row>
    <row r="1131" spans="1:16" x14ac:dyDescent="0.25">
      <c r="A1131" t="str">
        <f>"1050010G00330    00"</f>
        <v>1050010G00330    00</v>
      </c>
      <c r="B1131" t="s">
        <v>2797</v>
      </c>
      <c r="C1131" t="s">
        <v>2719</v>
      </c>
      <c r="D1131" t="s">
        <v>20</v>
      </c>
      <c r="E1131" t="s">
        <v>39</v>
      </c>
      <c r="F1131">
        <v>0</v>
      </c>
      <c r="G1131">
        <v>0</v>
      </c>
      <c r="H1131">
        <v>19</v>
      </c>
      <c r="I1131" s="3">
        <v>4336.54</v>
      </c>
      <c r="J1131" s="3">
        <v>3228.5</v>
      </c>
      <c r="K1131" t="s">
        <v>1037</v>
      </c>
      <c r="L1131">
        <v>714</v>
      </c>
      <c r="M1131" t="s">
        <v>2717</v>
      </c>
      <c r="N1131" t="s">
        <v>30</v>
      </c>
      <c r="O1131" t="s">
        <v>31</v>
      </c>
      <c r="P1131" t="str">
        <f>"15219"</f>
        <v>15219</v>
      </c>
    </row>
    <row r="1132" spans="1:16" x14ac:dyDescent="0.25">
      <c r="A1132" t="str">
        <f>"1050010G00341A   00"</f>
        <v>1050010G00341A   00</v>
      </c>
      <c r="B1132" t="s">
        <v>2798</v>
      </c>
      <c r="C1132" t="s">
        <v>2799</v>
      </c>
      <c r="D1132" t="s">
        <v>20</v>
      </c>
      <c r="E1132" t="s">
        <v>39</v>
      </c>
      <c r="F1132">
        <v>0</v>
      </c>
      <c r="G1132">
        <v>0</v>
      </c>
      <c r="H1132">
        <v>3</v>
      </c>
      <c r="I1132" s="3">
        <v>857.76</v>
      </c>
      <c r="J1132" s="3">
        <v>57.18</v>
      </c>
      <c r="L1132">
        <v>2615</v>
      </c>
      <c r="M1132" t="s">
        <v>2800</v>
      </c>
      <c r="N1132" t="s">
        <v>30</v>
      </c>
      <c r="O1132" t="s">
        <v>31</v>
      </c>
      <c r="P1132" t="str">
        <f>"15219"</f>
        <v>15219</v>
      </c>
    </row>
    <row r="1133" spans="1:16" x14ac:dyDescent="0.25">
      <c r="A1133" t="str">
        <f>"1050010G00341C   00"</f>
        <v>1050010G00341C   00</v>
      </c>
      <c r="B1133" t="s">
        <v>2094</v>
      </c>
      <c r="C1133" t="s">
        <v>2719</v>
      </c>
      <c r="D1133" t="s">
        <v>20</v>
      </c>
      <c r="E1133" t="s">
        <v>39</v>
      </c>
      <c r="F1133">
        <v>0</v>
      </c>
      <c r="G1133">
        <v>0</v>
      </c>
      <c r="H1133">
        <v>17</v>
      </c>
      <c r="I1133" s="3">
        <v>94.55</v>
      </c>
      <c r="J1133" s="3">
        <v>89.66</v>
      </c>
      <c r="L1133">
        <v>709</v>
      </c>
      <c r="M1133" t="s">
        <v>2717</v>
      </c>
      <c r="N1133" t="s">
        <v>30</v>
      </c>
      <c r="O1133" t="s">
        <v>31</v>
      </c>
      <c r="P1133" t="str">
        <f>"15219"</f>
        <v>15219</v>
      </c>
    </row>
    <row r="1134" spans="1:16" x14ac:dyDescent="0.25">
      <c r="A1134" t="str">
        <f>"1050010G00341D   00"</f>
        <v>1050010G00341D   00</v>
      </c>
      <c r="B1134" t="s">
        <v>2801</v>
      </c>
      <c r="C1134" t="s">
        <v>2719</v>
      </c>
      <c r="D1134" t="s">
        <v>20</v>
      </c>
      <c r="E1134" t="s">
        <v>39</v>
      </c>
      <c r="F1134">
        <v>0</v>
      </c>
      <c r="G1134">
        <v>0</v>
      </c>
      <c r="H1134">
        <v>17</v>
      </c>
      <c r="I1134" s="3">
        <v>94.55</v>
      </c>
      <c r="J1134" s="3">
        <v>89.66</v>
      </c>
      <c r="K1134" t="s">
        <v>1037</v>
      </c>
      <c r="L1134">
        <v>574</v>
      </c>
      <c r="M1134" t="s">
        <v>2802</v>
      </c>
      <c r="N1134" t="s">
        <v>30</v>
      </c>
      <c r="O1134" t="s">
        <v>31</v>
      </c>
      <c r="P1134" t="str">
        <f>"15208"</f>
        <v>15208</v>
      </c>
    </row>
    <row r="1135" spans="1:16" x14ac:dyDescent="0.25">
      <c r="A1135" t="str">
        <f>"1050010G00343    00"</f>
        <v>1050010G00343    00</v>
      </c>
      <c r="B1135" t="s">
        <v>2803</v>
      </c>
      <c r="C1135" t="s">
        <v>2719</v>
      </c>
      <c r="D1135" t="s">
        <v>20</v>
      </c>
      <c r="E1135" t="s">
        <v>39</v>
      </c>
      <c r="F1135">
        <v>0</v>
      </c>
      <c r="G1135">
        <v>0</v>
      </c>
      <c r="H1135">
        <v>14</v>
      </c>
      <c r="I1135" s="3">
        <v>179.92</v>
      </c>
      <c r="J1135" s="3">
        <v>206.16</v>
      </c>
      <c r="L1135">
        <v>9</v>
      </c>
      <c r="M1135" t="s">
        <v>2804</v>
      </c>
      <c r="N1135" t="s">
        <v>30</v>
      </c>
      <c r="O1135" t="s">
        <v>31</v>
      </c>
      <c r="P1135" t="str">
        <f>"15219"</f>
        <v>15219</v>
      </c>
    </row>
    <row r="1136" spans="1:16" x14ac:dyDescent="0.25">
      <c r="A1136" t="str">
        <f>"1050010G00344    00"</f>
        <v>1050010G00344    00</v>
      </c>
      <c r="B1136" t="s">
        <v>2805</v>
      </c>
      <c r="C1136" t="s">
        <v>2719</v>
      </c>
      <c r="D1136" t="s">
        <v>20</v>
      </c>
      <c r="E1136" t="s">
        <v>39</v>
      </c>
      <c r="F1136">
        <v>0</v>
      </c>
      <c r="G1136">
        <v>0</v>
      </c>
      <c r="H1136">
        <v>17</v>
      </c>
      <c r="I1136" s="3">
        <v>132.6</v>
      </c>
      <c r="J1136" s="3">
        <v>129.53</v>
      </c>
      <c r="K1136" t="s">
        <v>1008</v>
      </c>
      <c r="P1136" t="str">
        <f>""</f>
        <v/>
      </c>
    </row>
    <row r="1137" spans="1:16" x14ac:dyDescent="0.25">
      <c r="A1137" t="str">
        <f>"1050010G00348    00"</f>
        <v>1050010G00348    00</v>
      </c>
      <c r="B1137" t="s">
        <v>2806</v>
      </c>
      <c r="C1137" t="s">
        <v>1091</v>
      </c>
      <c r="D1137" t="s">
        <v>20</v>
      </c>
      <c r="E1137" t="s">
        <v>39</v>
      </c>
      <c r="F1137">
        <v>0</v>
      </c>
      <c r="G1137">
        <v>0</v>
      </c>
      <c r="H1137">
        <v>17</v>
      </c>
      <c r="I1137" s="3">
        <v>3565.56</v>
      </c>
      <c r="J1137" s="3">
        <v>5187.49</v>
      </c>
      <c r="K1137" t="s">
        <v>2807</v>
      </c>
      <c r="L1137">
        <v>2421</v>
      </c>
      <c r="M1137" t="s">
        <v>1090</v>
      </c>
      <c r="N1137" t="s">
        <v>30</v>
      </c>
      <c r="O1137" t="s">
        <v>31</v>
      </c>
      <c r="P1137" t="str">
        <f>"15219"</f>
        <v>15219</v>
      </c>
    </row>
    <row r="1138" spans="1:16" x14ac:dyDescent="0.25">
      <c r="A1138" t="str">
        <f>"1050010G00349    00"</f>
        <v>1050010G00349    00</v>
      </c>
      <c r="B1138" t="s">
        <v>2808</v>
      </c>
      <c r="C1138" t="s">
        <v>1091</v>
      </c>
      <c r="D1138" t="s">
        <v>20</v>
      </c>
      <c r="E1138" t="s">
        <v>39</v>
      </c>
      <c r="F1138">
        <v>0</v>
      </c>
      <c r="G1138">
        <v>0</v>
      </c>
      <c r="H1138">
        <v>17</v>
      </c>
      <c r="I1138" s="3">
        <v>1303.19</v>
      </c>
      <c r="J1138" s="3">
        <v>1772.56</v>
      </c>
      <c r="L1138">
        <v>2419</v>
      </c>
      <c r="M1138" t="s">
        <v>1090</v>
      </c>
      <c r="N1138" t="s">
        <v>30</v>
      </c>
      <c r="O1138" t="s">
        <v>31</v>
      </c>
      <c r="P1138" t="str">
        <f>"15219"</f>
        <v>15219</v>
      </c>
    </row>
    <row r="1139" spans="1:16" x14ac:dyDescent="0.25">
      <c r="A1139" t="str">
        <f>"1050010G00358    00"</f>
        <v>1050010G00358    00</v>
      </c>
      <c r="B1139" t="s">
        <v>2598</v>
      </c>
      <c r="C1139" t="s">
        <v>2809</v>
      </c>
      <c r="D1139" t="s">
        <v>20</v>
      </c>
      <c r="E1139" t="s">
        <v>39</v>
      </c>
      <c r="F1139">
        <v>0</v>
      </c>
      <c r="G1139">
        <v>0</v>
      </c>
      <c r="H1139">
        <v>4</v>
      </c>
      <c r="I1139" s="3">
        <v>437.38</v>
      </c>
      <c r="J1139" s="3">
        <v>102.92</v>
      </c>
      <c r="K1139" t="s">
        <v>2599</v>
      </c>
      <c r="L1139">
        <v>1204</v>
      </c>
      <c r="M1139" t="s">
        <v>2600</v>
      </c>
      <c r="N1139" t="s">
        <v>2601</v>
      </c>
      <c r="O1139" t="s">
        <v>370</v>
      </c>
      <c r="P1139" t="str">
        <f>"32922"</f>
        <v>32922</v>
      </c>
    </row>
    <row r="1140" spans="1:16" x14ac:dyDescent="0.25">
      <c r="A1140" t="str">
        <f>"1050010G00359    00"</f>
        <v>1050010G00359    00</v>
      </c>
      <c r="B1140" t="s">
        <v>2810</v>
      </c>
      <c r="C1140" t="s">
        <v>1091</v>
      </c>
      <c r="D1140" t="s">
        <v>20</v>
      </c>
      <c r="E1140" t="s">
        <v>39</v>
      </c>
      <c r="F1140">
        <v>0</v>
      </c>
      <c r="G1140">
        <v>0</v>
      </c>
      <c r="H1140">
        <v>17</v>
      </c>
      <c r="I1140" s="3">
        <v>151.01</v>
      </c>
      <c r="J1140" s="3">
        <v>139.57</v>
      </c>
      <c r="L1140">
        <v>2343</v>
      </c>
      <c r="M1140" t="s">
        <v>739</v>
      </c>
      <c r="N1140" t="s">
        <v>30</v>
      </c>
      <c r="O1140" t="s">
        <v>31</v>
      </c>
      <c r="P1140" t="str">
        <f>"15219"</f>
        <v>15219</v>
      </c>
    </row>
    <row r="1141" spans="1:16" x14ac:dyDescent="0.25">
      <c r="A1141" t="str">
        <f>"1050010H00051    00"</f>
        <v>1050010H00051    00</v>
      </c>
      <c r="B1141" t="s">
        <v>2811</v>
      </c>
      <c r="C1141" t="s">
        <v>2812</v>
      </c>
      <c r="D1141" t="s">
        <v>20</v>
      </c>
      <c r="E1141" t="s">
        <v>39</v>
      </c>
      <c r="F1141">
        <v>0</v>
      </c>
      <c r="G1141">
        <v>0</v>
      </c>
      <c r="H1141">
        <v>1</v>
      </c>
      <c r="I1141" s="3">
        <v>718.57</v>
      </c>
      <c r="J1141" s="3">
        <v>0</v>
      </c>
      <c r="L1141">
        <v>1525</v>
      </c>
      <c r="M1141" t="s">
        <v>2813</v>
      </c>
      <c r="N1141" t="s">
        <v>30</v>
      </c>
      <c r="O1141" t="s">
        <v>31</v>
      </c>
      <c r="P1141" t="str">
        <f>"15205"</f>
        <v>15205</v>
      </c>
    </row>
    <row r="1142" spans="1:16" x14ac:dyDescent="0.25">
      <c r="A1142" t="str">
        <f>"1050010H00064    00"</f>
        <v>1050010H00064    00</v>
      </c>
      <c r="B1142" t="s">
        <v>2814</v>
      </c>
      <c r="C1142" t="s">
        <v>1188</v>
      </c>
      <c r="D1142" t="s">
        <v>20</v>
      </c>
      <c r="E1142" t="s">
        <v>39</v>
      </c>
      <c r="F1142">
        <v>0</v>
      </c>
      <c r="G1142">
        <v>0</v>
      </c>
      <c r="H1142">
        <v>19</v>
      </c>
      <c r="I1142" s="3">
        <v>8781.0300000000007</v>
      </c>
      <c r="J1142" s="3">
        <v>10737.56</v>
      </c>
      <c r="K1142" t="s">
        <v>2815</v>
      </c>
      <c r="L1142">
        <v>2610</v>
      </c>
      <c r="M1142" t="s">
        <v>1132</v>
      </c>
      <c r="N1142" t="s">
        <v>30</v>
      </c>
      <c r="O1142" t="s">
        <v>31</v>
      </c>
      <c r="P1142" t="str">
        <f t="shared" ref="P1142:P1149" si="15">"15219"</f>
        <v>15219</v>
      </c>
    </row>
    <row r="1143" spans="1:16" x14ac:dyDescent="0.25">
      <c r="A1143" t="str">
        <f>"1050010H00065    00"</f>
        <v>1050010H00065    00</v>
      </c>
      <c r="B1143" t="s">
        <v>2816</v>
      </c>
      <c r="C1143" t="s">
        <v>1188</v>
      </c>
      <c r="D1143" t="s">
        <v>20</v>
      </c>
      <c r="E1143" t="s">
        <v>39</v>
      </c>
      <c r="F1143">
        <v>0</v>
      </c>
      <c r="G1143">
        <v>0</v>
      </c>
      <c r="H1143">
        <v>12</v>
      </c>
      <c r="I1143" s="3">
        <v>3991.74</v>
      </c>
      <c r="J1143" s="3">
        <v>3058.25</v>
      </c>
      <c r="L1143">
        <v>2612</v>
      </c>
      <c r="M1143" t="s">
        <v>1132</v>
      </c>
      <c r="N1143" t="s">
        <v>30</v>
      </c>
      <c r="O1143" t="s">
        <v>31</v>
      </c>
      <c r="P1143" t="str">
        <f t="shared" si="15"/>
        <v>15219</v>
      </c>
    </row>
    <row r="1144" spans="1:16" x14ac:dyDescent="0.25">
      <c r="A1144" t="str">
        <f>"1050010H00080    00"</f>
        <v>1050010H00080    00</v>
      </c>
      <c r="B1144" t="s">
        <v>2817</v>
      </c>
      <c r="C1144" t="s">
        <v>2818</v>
      </c>
      <c r="D1144" t="s">
        <v>20</v>
      </c>
      <c r="E1144" t="s">
        <v>39</v>
      </c>
      <c r="F1144">
        <v>0</v>
      </c>
      <c r="G1144">
        <v>0</v>
      </c>
      <c r="H1144">
        <v>6</v>
      </c>
      <c r="I1144" s="3">
        <v>5038.95</v>
      </c>
      <c r="J1144" s="3">
        <v>1355.4</v>
      </c>
      <c r="L1144">
        <v>563</v>
      </c>
      <c r="M1144" t="s">
        <v>2359</v>
      </c>
      <c r="N1144" t="s">
        <v>30</v>
      </c>
      <c r="O1144" t="s">
        <v>31</v>
      </c>
      <c r="P1144" t="str">
        <f t="shared" si="15"/>
        <v>15219</v>
      </c>
    </row>
    <row r="1145" spans="1:16" x14ac:dyDescent="0.25">
      <c r="A1145" t="str">
        <f>"1050010H00102    00"</f>
        <v>1050010H00102    00</v>
      </c>
      <c r="B1145" t="s">
        <v>2819</v>
      </c>
      <c r="C1145" t="s">
        <v>2820</v>
      </c>
      <c r="D1145" t="s">
        <v>20</v>
      </c>
      <c r="E1145" t="s">
        <v>39</v>
      </c>
      <c r="F1145">
        <v>0</v>
      </c>
      <c r="G1145">
        <v>0</v>
      </c>
      <c r="H1145">
        <v>8</v>
      </c>
      <c r="I1145" s="3">
        <v>1902.73</v>
      </c>
      <c r="J1145" s="3">
        <v>622.59</v>
      </c>
      <c r="K1145" t="s">
        <v>2821</v>
      </c>
      <c r="L1145">
        <v>2503</v>
      </c>
      <c r="M1145" t="s">
        <v>2822</v>
      </c>
      <c r="N1145" t="s">
        <v>30</v>
      </c>
      <c r="O1145" t="s">
        <v>31</v>
      </c>
      <c r="P1145" t="str">
        <f t="shared" si="15"/>
        <v>15219</v>
      </c>
    </row>
    <row r="1146" spans="1:16" x14ac:dyDescent="0.25">
      <c r="A1146" t="str">
        <f>"1050010H00103    00"</f>
        <v>1050010H00103    00</v>
      </c>
      <c r="B1146" t="s">
        <v>2823</v>
      </c>
      <c r="C1146" t="s">
        <v>2824</v>
      </c>
      <c r="D1146" t="s">
        <v>20</v>
      </c>
      <c r="E1146" t="s">
        <v>39</v>
      </c>
      <c r="F1146">
        <v>0</v>
      </c>
      <c r="G1146">
        <v>0</v>
      </c>
      <c r="H1146">
        <v>17</v>
      </c>
      <c r="I1146" s="3">
        <v>6813.5</v>
      </c>
      <c r="J1146" s="3">
        <v>6317.23</v>
      </c>
      <c r="L1146">
        <v>2535</v>
      </c>
      <c r="M1146" t="s">
        <v>2666</v>
      </c>
      <c r="N1146" t="s">
        <v>30</v>
      </c>
      <c r="O1146" t="s">
        <v>31</v>
      </c>
      <c r="P1146" t="str">
        <f t="shared" si="15"/>
        <v>15219</v>
      </c>
    </row>
    <row r="1147" spans="1:16" x14ac:dyDescent="0.25">
      <c r="A1147" t="str">
        <f>"1050010H00112    00"</f>
        <v>1050010H00112    00</v>
      </c>
      <c r="B1147" t="s">
        <v>2825</v>
      </c>
      <c r="C1147" t="s">
        <v>2826</v>
      </c>
      <c r="D1147" t="s">
        <v>20</v>
      </c>
      <c r="E1147" t="s">
        <v>39</v>
      </c>
      <c r="F1147">
        <v>0</v>
      </c>
      <c r="G1147">
        <v>0</v>
      </c>
      <c r="H1147">
        <v>1</v>
      </c>
      <c r="I1147" s="3">
        <v>415.98</v>
      </c>
      <c r="J1147" s="3">
        <v>0</v>
      </c>
      <c r="K1147" t="s">
        <v>2827</v>
      </c>
      <c r="L1147">
        <v>559</v>
      </c>
      <c r="M1147" t="s">
        <v>2828</v>
      </c>
      <c r="N1147" t="s">
        <v>30</v>
      </c>
      <c r="O1147" t="s">
        <v>31</v>
      </c>
      <c r="P1147" t="str">
        <f t="shared" si="15"/>
        <v>15219</v>
      </c>
    </row>
    <row r="1148" spans="1:16" x14ac:dyDescent="0.25">
      <c r="A1148" t="str">
        <f>"1050010H00113    00"</f>
        <v>1050010H00113    00</v>
      </c>
      <c r="B1148" t="s">
        <v>2829</v>
      </c>
      <c r="C1148" t="s">
        <v>2830</v>
      </c>
      <c r="E1148" t="s">
        <v>39</v>
      </c>
      <c r="F1148">
        <v>0</v>
      </c>
      <c r="G1148">
        <v>0</v>
      </c>
      <c r="H1148">
        <v>1</v>
      </c>
      <c r="I1148" s="3">
        <v>2071.83</v>
      </c>
      <c r="J1148" s="3">
        <v>0</v>
      </c>
      <c r="L1148">
        <v>2644</v>
      </c>
      <c r="M1148" t="s">
        <v>1132</v>
      </c>
      <c r="N1148" t="s">
        <v>30</v>
      </c>
      <c r="O1148" t="s">
        <v>31</v>
      </c>
      <c r="P1148" t="str">
        <f t="shared" si="15"/>
        <v>15219</v>
      </c>
    </row>
    <row r="1149" spans="1:16" x14ac:dyDescent="0.25">
      <c r="A1149" t="str">
        <f>"1050010H00123    00"</f>
        <v>1050010H00123    00</v>
      </c>
      <c r="B1149" t="s">
        <v>2831</v>
      </c>
      <c r="C1149" t="s">
        <v>2832</v>
      </c>
      <c r="D1149" t="s">
        <v>20</v>
      </c>
      <c r="E1149" t="s">
        <v>39</v>
      </c>
      <c r="F1149">
        <v>0</v>
      </c>
      <c r="G1149">
        <v>0</v>
      </c>
      <c r="H1149">
        <v>15</v>
      </c>
      <c r="I1149" s="3">
        <v>7396.49</v>
      </c>
      <c r="J1149" s="3">
        <v>5030.8</v>
      </c>
      <c r="L1149">
        <v>513</v>
      </c>
      <c r="M1149" t="s">
        <v>2833</v>
      </c>
      <c r="N1149" t="s">
        <v>30</v>
      </c>
      <c r="O1149" t="s">
        <v>31</v>
      </c>
      <c r="P1149" t="str">
        <f t="shared" si="15"/>
        <v>15219</v>
      </c>
    </row>
    <row r="1150" spans="1:16" x14ac:dyDescent="0.25">
      <c r="A1150" t="str">
        <f>"1050010H00129    00"</f>
        <v>1050010H00129    00</v>
      </c>
      <c r="B1150" t="s">
        <v>2834</v>
      </c>
      <c r="C1150" t="s">
        <v>2352</v>
      </c>
      <c r="D1150" t="s">
        <v>20</v>
      </c>
      <c r="E1150" t="s">
        <v>39</v>
      </c>
      <c r="F1150">
        <v>0</v>
      </c>
      <c r="G1150">
        <v>0</v>
      </c>
      <c r="H1150">
        <v>19</v>
      </c>
      <c r="I1150" s="3">
        <v>14059.3</v>
      </c>
      <c r="J1150" s="3">
        <v>15176.81</v>
      </c>
      <c r="K1150" t="s">
        <v>1008</v>
      </c>
      <c r="P1150" t="str">
        <f>""</f>
        <v/>
      </c>
    </row>
    <row r="1151" spans="1:16" x14ac:dyDescent="0.25">
      <c r="A1151" t="str">
        <f>"1050010H00130    00"</f>
        <v>1050010H00130    00</v>
      </c>
      <c r="B1151" t="s">
        <v>2835</v>
      </c>
      <c r="C1151" t="s">
        <v>2836</v>
      </c>
      <c r="D1151" t="s">
        <v>20</v>
      </c>
      <c r="E1151" t="s">
        <v>39</v>
      </c>
      <c r="F1151">
        <v>0</v>
      </c>
      <c r="G1151">
        <v>0</v>
      </c>
      <c r="H1151">
        <v>4</v>
      </c>
      <c r="I1151" s="3">
        <v>4412.13</v>
      </c>
      <c r="J1151" s="3">
        <v>521.20000000000005</v>
      </c>
      <c r="L1151">
        <v>2450</v>
      </c>
      <c r="M1151" t="s">
        <v>2837</v>
      </c>
      <c r="N1151" t="s">
        <v>30</v>
      </c>
      <c r="O1151" t="s">
        <v>31</v>
      </c>
      <c r="P1151" t="str">
        <f>"15226"</f>
        <v>15226</v>
      </c>
    </row>
    <row r="1152" spans="1:16" x14ac:dyDescent="0.25">
      <c r="A1152" t="str">
        <f>"1050010H00138    00"</f>
        <v>1050010H00138    00</v>
      </c>
      <c r="B1152" t="s">
        <v>2838</v>
      </c>
      <c r="C1152" t="s">
        <v>2839</v>
      </c>
      <c r="D1152" t="s">
        <v>20</v>
      </c>
      <c r="E1152" t="s">
        <v>39</v>
      </c>
      <c r="F1152">
        <v>0</v>
      </c>
      <c r="G1152">
        <v>0</v>
      </c>
      <c r="H1152">
        <v>1</v>
      </c>
      <c r="I1152" s="3">
        <v>320.76</v>
      </c>
      <c r="J1152" s="3">
        <v>0</v>
      </c>
      <c r="K1152" t="s">
        <v>2840</v>
      </c>
      <c r="L1152">
        <v>526</v>
      </c>
      <c r="M1152" t="s">
        <v>2359</v>
      </c>
      <c r="N1152" t="s">
        <v>30</v>
      </c>
      <c r="O1152" t="s">
        <v>31</v>
      </c>
      <c r="P1152" t="str">
        <f>"15219"</f>
        <v>15219</v>
      </c>
    </row>
    <row r="1153" spans="1:16" x14ac:dyDescent="0.25">
      <c r="A1153" t="str">
        <f>"1050010H00140    00"</f>
        <v>1050010H00140    00</v>
      </c>
      <c r="B1153" t="s">
        <v>2841</v>
      </c>
      <c r="C1153" t="s">
        <v>2352</v>
      </c>
      <c r="D1153" t="s">
        <v>20</v>
      </c>
      <c r="E1153" t="s">
        <v>39</v>
      </c>
      <c r="F1153">
        <v>0</v>
      </c>
      <c r="G1153">
        <v>0</v>
      </c>
      <c r="H1153">
        <v>19</v>
      </c>
      <c r="I1153" s="3">
        <v>4828.74</v>
      </c>
      <c r="J1153" s="3">
        <v>3555.03</v>
      </c>
      <c r="L1153">
        <v>7530</v>
      </c>
      <c r="M1153" t="s">
        <v>2842</v>
      </c>
      <c r="N1153" t="s">
        <v>30</v>
      </c>
      <c r="O1153" t="s">
        <v>31</v>
      </c>
      <c r="P1153" t="str">
        <f>"15218"</f>
        <v>15218</v>
      </c>
    </row>
    <row r="1154" spans="1:16" x14ac:dyDescent="0.25">
      <c r="A1154" t="str">
        <f>"1050010H00142    00"</f>
        <v>1050010H00142    00</v>
      </c>
      <c r="B1154" t="s">
        <v>2843</v>
      </c>
      <c r="C1154" t="s">
        <v>2844</v>
      </c>
      <c r="E1154" t="s">
        <v>39</v>
      </c>
      <c r="F1154">
        <v>0</v>
      </c>
      <c r="G1154">
        <v>0</v>
      </c>
      <c r="H1154">
        <v>1</v>
      </c>
      <c r="I1154" s="3">
        <v>25.37</v>
      </c>
      <c r="J1154" s="3">
        <v>36.36</v>
      </c>
      <c r="K1154" t="s">
        <v>2845</v>
      </c>
      <c r="L1154">
        <v>1749</v>
      </c>
      <c r="M1154" t="s">
        <v>2846</v>
      </c>
      <c r="N1154" t="s">
        <v>2847</v>
      </c>
      <c r="O1154" t="s">
        <v>70</v>
      </c>
      <c r="P1154" t="str">
        <f>"48098"</f>
        <v>48098</v>
      </c>
    </row>
    <row r="1155" spans="1:16" x14ac:dyDescent="0.25">
      <c r="A1155" t="str">
        <f>"1050010H00152    00"</f>
        <v>1050010H00152    00</v>
      </c>
      <c r="B1155" t="s">
        <v>2848</v>
      </c>
      <c r="C1155" t="s">
        <v>2849</v>
      </c>
      <c r="D1155" t="s">
        <v>20</v>
      </c>
      <c r="E1155" t="s">
        <v>39</v>
      </c>
      <c r="F1155">
        <v>0</v>
      </c>
      <c r="G1155">
        <v>0</v>
      </c>
      <c r="H1155">
        <v>19</v>
      </c>
      <c r="I1155" s="3">
        <v>15016.02</v>
      </c>
      <c r="J1155" s="3">
        <v>12455.44</v>
      </c>
      <c r="K1155" t="s">
        <v>1008</v>
      </c>
      <c r="P1155" t="str">
        <f>""</f>
        <v/>
      </c>
    </row>
    <row r="1156" spans="1:16" x14ac:dyDescent="0.25">
      <c r="A1156" t="str">
        <f>"1050010H00154    00"</f>
        <v>1050010H00154    00</v>
      </c>
      <c r="B1156" t="s">
        <v>2850</v>
      </c>
      <c r="C1156" t="s">
        <v>2851</v>
      </c>
      <c r="D1156" t="s">
        <v>20</v>
      </c>
      <c r="E1156" t="s">
        <v>39</v>
      </c>
      <c r="F1156">
        <v>0</v>
      </c>
      <c r="G1156">
        <v>0</v>
      </c>
      <c r="H1156">
        <v>17</v>
      </c>
      <c r="I1156" s="3">
        <v>37572.67</v>
      </c>
      <c r="J1156" s="3">
        <v>25645.3</v>
      </c>
      <c r="L1156">
        <v>314</v>
      </c>
      <c r="M1156" t="s">
        <v>2852</v>
      </c>
      <c r="N1156" t="s">
        <v>509</v>
      </c>
      <c r="O1156" t="s">
        <v>31</v>
      </c>
      <c r="P1156" t="str">
        <f>"19107"</f>
        <v>19107</v>
      </c>
    </row>
    <row r="1157" spans="1:16" x14ac:dyDescent="0.25">
      <c r="A1157" t="str">
        <f>"1050010H00168    00"</f>
        <v>1050010H00168    00</v>
      </c>
      <c r="B1157" t="s">
        <v>2853</v>
      </c>
      <c r="C1157" t="s">
        <v>2854</v>
      </c>
      <c r="E1157" t="s">
        <v>39</v>
      </c>
      <c r="F1157">
        <v>0</v>
      </c>
      <c r="G1157">
        <v>0</v>
      </c>
      <c r="H1157">
        <v>3</v>
      </c>
      <c r="I1157" s="3">
        <v>1641.21</v>
      </c>
      <c r="J1157" s="3">
        <v>490.06</v>
      </c>
      <c r="L1157">
        <v>559</v>
      </c>
      <c r="M1157" t="s">
        <v>2371</v>
      </c>
      <c r="N1157" t="s">
        <v>30</v>
      </c>
      <c r="O1157" t="s">
        <v>31</v>
      </c>
      <c r="P1157" t="str">
        <f>"15219"</f>
        <v>15219</v>
      </c>
    </row>
    <row r="1158" spans="1:16" x14ac:dyDescent="0.25">
      <c r="A1158" t="str">
        <f>"1050010H00169    00"</f>
        <v>1050010H00169    00</v>
      </c>
      <c r="B1158" t="s">
        <v>2855</v>
      </c>
      <c r="C1158" t="s">
        <v>2856</v>
      </c>
      <c r="E1158" t="s">
        <v>39</v>
      </c>
      <c r="F1158">
        <v>0</v>
      </c>
      <c r="G1158">
        <v>0</v>
      </c>
      <c r="H1158">
        <v>1</v>
      </c>
      <c r="I1158" s="3">
        <v>105.73</v>
      </c>
      <c r="J1158" s="3">
        <v>29.08</v>
      </c>
      <c r="L1158">
        <v>557</v>
      </c>
      <c r="M1158" t="s">
        <v>2371</v>
      </c>
      <c r="N1158" t="s">
        <v>30</v>
      </c>
      <c r="O1158" t="s">
        <v>31</v>
      </c>
      <c r="P1158" t="str">
        <f>"15219"</f>
        <v>15219</v>
      </c>
    </row>
    <row r="1159" spans="1:16" x14ac:dyDescent="0.25">
      <c r="A1159" t="str">
        <f>"1050010H00170    00"</f>
        <v>1050010H00170    00</v>
      </c>
      <c r="B1159" t="s">
        <v>2857</v>
      </c>
      <c r="C1159" t="s">
        <v>2858</v>
      </c>
      <c r="D1159" t="s">
        <v>20</v>
      </c>
      <c r="E1159" t="s">
        <v>39</v>
      </c>
      <c r="F1159">
        <v>0</v>
      </c>
      <c r="G1159">
        <v>0</v>
      </c>
      <c r="H1159">
        <v>19</v>
      </c>
      <c r="I1159" s="3">
        <v>8385.84</v>
      </c>
      <c r="J1159" s="3">
        <v>8539.43</v>
      </c>
      <c r="K1159" t="s">
        <v>2859</v>
      </c>
      <c r="L1159">
        <v>555</v>
      </c>
      <c r="M1159" t="s">
        <v>2371</v>
      </c>
      <c r="N1159" t="s">
        <v>30</v>
      </c>
      <c r="O1159" t="s">
        <v>31</v>
      </c>
      <c r="P1159" t="str">
        <f>"15219"</f>
        <v>15219</v>
      </c>
    </row>
    <row r="1160" spans="1:16" x14ac:dyDescent="0.25">
      <c r="A1160" t="str">
        <f>"1050010H00171    00"</f>
        <v>1050010H00171    00</v>
      </c>
      <c r="B1160" t="s">
        <v>2860</v>
      </c>
      <c r="C1160" t="s">
        <v>2861</v>
      </c>
      <c r="D1160" t="s">
        <v>20</v>
      </c>
      <c r="E1160" t="s">
        <v>39</v>
      </c>
      <c r="F1160">
        <v>0</v>
      </c>
      <c r="G1160">
        <v>0</v>
      </c>
      <c r="H1160">
        <v>13</v>
      </c>
      <c r="I1160" s="3">
        <v>5540.66</v>
      </c>
      <c r="J1160" s="3">
        <v>3040.67</v>
      </c>
      <c r="L1160">
        <v>540</v>
      </c>
      <c r="M1160" t="s">
        <v>2862</v>
      </c>
      <c r="N1160" t="s">
        <v>30</v>
      </c>
      <c r="O1160" t="s">
        <v>31</v>
      </c>
      <c r="P1160" t="str">
        <f>"15235"</f>
        <v>15235</v>
      </c>
    </row>
    <row r="1161" spans="1:16" x14ac:dyDescent="0.25">
      <c r="A1161" t="str">
        <f>"1050010H00173    00"</f>
        <v>1050010H00173    00</v>
      </c>
      <c r="B1161" t="s">
        <v>2863</v>
      </c>
      <c r="C1161" t="s">
        <v>2369</v>
      </c>
      <c r="D1161" t="s">
        <v>20</v>
      </c>
      <c r="E1161" t="s">
        <v>39</v>
      </c>
      <c r="F1161">
        <v>0</v>
      </c>
      <c r="G1161">
        <v>0</v>
      </c>
      <c r="H1161">
        <v>19</v>
      </c>
      <c r="I1161" s="3">
        <v>210.88</v>
      </c>
      <c r="J1161" s="3">
        <v>189.11</v>
      </c>
      <c r="K1161" t="s">
        <v>2864</v>
      </c>
      <c r="P1161" t="str">
        <f>""</f>
        <v/>
      </c>
    </row>
    <row r="1162" spans="1:16" x14ac:dyDescent="0.25">
      <c r="A1162" t="str">
        <f>"1050010H00174    00"</f>
        <v>1050010H00174    00</v>
      </c>
      <c r="B1162" t="s">
        <v>2865</v>
      </c>
      <c r="C1162" t="s">
        <v>2369</v>
      </c>
      <c r="D1162" t="s">
        <v>20</v>
      </c>
      <c r="E1162" t="s">
        <v>39</v>
      </c>
      <c r="F1162">
        <v>0</v>
      </c>
      <c r="G1162">
        <v>0</v>
      </c>
      <c r="H1162">
        <v>19</v>
      </c>
      <c r="I1162" s="3">
        <v>5826.65</v>
      </c>
      <c r="J1162" s="3">
        <v>5960.97</v>
      </c>
      <c r="K1162" t="s">
        <v>2866</v>
      </c>
      <c r="L1162">
        <v>547</v>
      </c>
      <c r="M1162" t="s">
        <v>2371</v>
      </c>
      <c r="N1162" t="s">
        <v>30</v>
      </c>
      <c r="O1162" t="s">
        <v>31</v>
      </c>
      <c r="P1162" t="str">
        <f>"15219"</f>
        <v>15219</v>
      </c>
    </row>
    <row r="1163" spans="1:16" x14ac:dyDescent="0.25">
      <c r="A1163" t="str">
        <f>"1050010H00176    00"</f>
        <v>1050010H00176    00</v>
      </c>
      <c r="B1163" t="s">
        <v>2867</v>
      </c>
      <c r="C1163" t="s">
        <v>2868</v>
      </c>
      <c r="D1163" t="s">
        <v>20</v>
      </c>
      <c r="E1163" t="s">
        <v>39</v>
      </c>
      <c r="F1163">
        <v>0</v>
      </c>
      <c r="G1163">
        <v>0</v>
      </c>
      <c r="H1163">
        <v>7</v>
      </c>
      <c r="I1163" s="3">
        <v>3542.8</v>
      </c>
      <c r="J1163" s="3">
        <v>865.84</v>
      </c>
      <c r="L1163">
        <v>543</v>
      </c>
      <c r="M1163" t="s">
        <v>2371</v>
      </c>
      <c r="N1163" t="s">
        <v>30</v>
      </c>
      <c r="O1163" t="s">
        <v>31</v>
      </c>
      <c r="P1163" t="str">
        <f>"15219"</f>
        <v>15219</v>
      </c>
    </row>
    <row r="1164" spans="1:16" x14ac:dyDescent="0.25">
      <c r="A1164" t="str">
        <f>"1050010H00177    00"</f>
        <v>1050010H00177    00</v>
      </c>
      <c r="B1164" t="s">
        <v>2869</v>
      </c>
      <c r="C1164" t="s">
        <v>2870</v>
      </c>
      <c r="D1164" t="s">
        <v>20</v>
      </c>
      <c r="E1164" t="s">
        <v>39</v>
      </c>
      <c r="F1164">
        <v>0</v>
      </c>
      <c r="G1164">
        <v>0</v>
      </c>
      <c r="H1164">
        <v>16</v>
      </c>
      <c r="I1164" s="3">
        <v>5782.69</v>
      </c>
      <c r="J1164" s="3">
        <v>4342.1499999999996</v>
      </c>
      <c r="L1164">
        <v>541</v>
      </c>
      <c r="M1164" t="s">
        <v>2371</v>
      </c>
      <c r="N1164" t="s">
        <v>30</v>
      </c>
      <c r="O1164" t="s">
        <v>31</v>
      </c>
      <c r="P1164" t="str">
        <f>"15219"</f>
        <v>15219</v>
      </c>
    </row>
    <row r="1165" spans="1:16" x14ac:dyDescent="0.25">
      <c r="A1165" t="str">
        <f>"1050010H00178    00"</f>
        <v>1050010H00178    00</v>
      </c>
      <c r="B1165" t="s">
        <v>2855</v>
      </c>
      <c r="C1165" t="s">
        <v>2369</v>
      </c>
      <c r="D1165" t="s">
        <v>20</v>
      </c>
      <c r="E1165" t="s">
        <v>39</v>
      </c>
      <c r="F1165">
        <v>0</v>
      </c>
      <c r="G1165">
        <v>0</v>
      </c>
      <c r="H1165">
        <v>18</v>
      </c>
      <c r="I1165" s="3">
        <v>4238.45</v>
      </c>
      <c r="J1165" s="3">
        <v>3743.69</v>
      </c>
      <c r="L1165">
        <v>557</v>
      </c>
      <c r="M1165" t="s">
        <v>2371</v>
      </c>
      <c r="N1165" t="s">
        <v>30</v>
      </c>
      <c r="O1165" t="s">
        <v>31</v>
      </c>
      <c r="P1165" t="str">
        <f>"15219"</f>
        <v>15219</v>
      </c>
    </row>
    <row r="1166" spans="1:16" x14ac:dyDescent="0.25">
      <c r="A1166" t="str">
        <f>"1050010H00180    00"</f>
        <v>1050010H00180    00</v>
      </c>
      <c r="B1166" t="s">
        <v>2871</v>
      </c>
      <c r="C1166" t="s">
        <v>2872</v>
      </c>
      <c r="D1166" t="s">
        <v>20</v>
      </c>
      <c r="E1166" t="s">
        <v>39</v>
      </c>
      <c r="F1166">
        <v>0</v>
      </c>
      <c r="G1166">
        <v>0</v>
      </c>
      <c r="H1166">
        <v>4</v>
      </c>
      <c r="I1166" s="3">
        <v>1689.88</v>
      </c>
      <c r="J1166" s="3">
        <v>208.09</v>
      </c>
      <c r="K1166" t="s">
        <v>2873</v>
      </c>
      <c r="L1166">
        <v>2026</v>
      </c>
      <c r="M1166" t="s">
        <v>2874</v>
      </c>
      <c r="N1166" t="s">
        <v>30</v>
      </c>
      <c r="O1166" t="s">
        <v>31</v>
      </c>
      <c r="P1166" t="str">
        <f>"15221"</f>
        <v>15221</v>
      </c>
    </row>
    <row r="1167" spans="1:16" x14ac:dyDescent="0.25">
      <c r="A1167" t="str">
        <f>"1050010H00186    00"</f>
        <v>1050010H00186    00</v>
      </c>
      <c r="B1167" t="s">
        <v>2875</v>
      </c>
      <c r="C1167" t="s">
        <v>2369</v>
      </c>
      <c r="D1167" t="s">
        <v>20</v>
      </c>
      <c r="E1167" t="s">
        <v>39</v>
      </c>
      <c r="F1167">
        <v>0</v>
      </c>
      <c r="G1167">
        <v>0</v>
      </c>
      <c r="H1167">
        <v>19</v>
      </c>
      <c r="I1167" s="3">
        <v>4471.3900000000003</v>
      </c>
      <c r="J1167" s="3">
        <v>3322.13</v>
      </c>
      <c r="L1167">
        <v>520</v>
      </c>
      <c r="M1167" t="s">
        <v>2371</v>
      </c>
      <c r="N1167" t="s">
        <v>30</v>
      </c>
      <c r="O1167" t="s">
        <v>31</v>
      </c>
      <c r="P1167" t="str">
        <f>"15219"</f>
        <v>15219</v>
      </c>
    </row>
    <row r="1168" spans="1:16" x14ac:dyDescent="0.25">
      <c r="A1168" t="str">
        <f>"1050010H00187    00"</f>
        <v>1050010H00187    00</v>
      </c>
      <c r="B1168" t="s">
        <v>2876</v>
      </c>
      <c r="C1168" t="s">
        <v>2877</v>
      </c>
      <c r="E1168" t="s">
        <v>39</v>
      </c>
      <c r="F1168">
        <v>0</v>
      </c>
      <c r="G1168">
        <v>0</v>
      </c>
      <c r="H1168">
        <v>3</v>
      </c>
      <c r="I1168" s="3">
        <v>1054.17</v>
      </c>
      <c r="J1168" s="3">
        <v>463</v>
      </c>
      <c r="K1168" t="s">
        <v>2878</v>
      </c>
      <c r="M1168" t="s">
        <v>2879</v>
      </c>
      <c r="N1168" t="s">
        <v>903</v>
      </c>
      <c r="O1168" t="s">
        <v>31</v>
      </c>
      <c r="P1168" t="str">
        <f>"15136"</f>
        <v>15136</v>
      </c>
    </row>
    <row r="1169" spans="1:16" x14ac:dyDescent="0.25">
      <c r="A1169" t="str">
        <f>"1050010H00190    00"</f>
        <v>1050010H00190    00</v>
      </c>
      <c r="B1169" t="s">
        <v>1118</v>
      </c>
      <c r="C1169" t="s">
        <v>2880</v>
      </c>
      <c r="E1169" t="s">
        <v>39</v>
      </c>
      <c r="F1169">
        <v>0</v>
      </c>
      <c r="G1169">
        <v>0</v>
      </c>
      <c r="H1169">
        <v>1</v>
      </c>
      <c r="I1169" s="3">
        <v>1021.63</v>
      </c>
      <c r="J1169" s="3">
        <v>0</v>
      </c>
      <c r="L1169">
        <v>2701</v>
      </c>
      <c r="M1169" t="s">
        <v>1117</v>
      </c>
      <c r="N1169" t="s">
        <v>30</v>
      </c>
      <c r="O1169" t="s">
        <v>31</v>
      </c>
      <c r="P1169" t="str">
        <f t="shared" ref="P1169:P1175" si="16">"15219"</f>
        <v>15219</v>
      </c>
    </row>
    <row r="1170" spans="1:16" x14ac:dyDescent="0.25">
      <c r="A1170" t="str">
        <f>"1050010H00191    00"</f>
        <v>1050010H00191    00</v>
      </c>
      <c r="B1170" t="s">
        <v>1118</v>
      </c>
      <c r="C1170" t="s">
        <v>2369</v>
      </c>
      <c r="E1170" t="s">
        <v>39</v>
      </c>
      <c r="F1170">
        <v>0</v>
      </c>
      <c r="G1170">
        <v>0</v>
      </c>
      <c r="H1170">
        <v>1</v>
      </c>
      <c r="I1170" s="3">
        <v>81.97</v>
      </c>
      <c r="J1170" s="3">
        <v>0</v>
      </c>
      <c r="L1170">
        <v>2701</v>
      </c>
      <c r="M1170" t="s">
        <v>1117</v>
      </c>
      <c r="N1170" t="s">
        <v>30</v>
      </c>
      <c r="O1170" t="s">
        <v>31</v>
      </c>
      <c r="P1170" t="str">
        <f t="shared" si="16"/>
        <v>15219</v>
      </c>
    </row>
    <row r="1171" spans="1:16" x14ac:dyDescent="0.25">
      <c r="A1171" t="str">
        <f>"1050010H00201    00"</f>
        <v>1050010H00201    00</v>
      </c>
      <c r="B1171" t="s">
        <v>2881</v>
      </c>
      <c r="C1171" t="s">
        <v>2882</v>
      </c>
      <c r="D1171" t="s">
        <v>20</v>
      </c>
      <c r="E1171" t="s">
        <v>39</v>
      </c>
      <c r="F1171">
        <v>0</v>
      </c>
      <c r="G1171">
        <v>0</v>
      </c>
      <c r="H1171">
        <v>19</v>
      </c>
      <c r="I1171" s="3">
        <v>8826.2900000000009</v>
      </c>
      <c r="J1171" s="3">
        <v>7388.05</v>
      </c>
      <c r="L1171">
        <v>613</v>
      </c>
      <c r="M1171" t="s">
        <v>2467</v>
      </c>
      <c r="N1171" t="s">
        <v>30</v>
      </c>
      <c r="O1171" t="s">
        <v>31</v>
      </c>
      <c r="P1171" t="str">
        <f t="shared" si="16"/>
        <v>15219</v>
      </c>
    </row>
    <row r="1172" spans="1:16" x14ac:dyDescent="0.25">
      <c r="A1172" t="str">
        <f>"1050010H00202    00"</f>
        <v>1050010H00202    00</v>
      </c>
      <c r="B1172" t="s">
        <v>2883</v>
      </c>
      <c r="C1172" t="s">
        <v>2469</v>
      </c>
      <c r="D1172" t="s">
        <v>20</v>
      </c>
      <c r="E1172" t="s">
        <v>39</v>
      </c>
      <c r="F1172">
        <v>0</v>
      </c>
      <c r="G1172">
        <v>0</v>
      </c>
      <c r="H1172">
        <v>19</v>
      </c>
      <c r="I1172" s="3">
        <v>3619.19</v>
      </c>
      <c r="J1172" s="3">
        <v>2738.36</v>
      </c>
      <c r="K1172" t="s">
        <v>1037</v>
      </c>
      <c r="L1172">
        <v>611</v>
      </c>
      <c r="M1172" t="s">
        <v>2467</v>
      </c>
      <c r="N1172" t="s">
        <v>30</v>
      </c>
      <c r="O1172" t="s">
        <v>31</v>
      </c>
      <c r="P1172" t="str">
        <f t="shared" si="16"/>
        <v>15219</v>
      </c>
    </row>
    <row r="1173" spans="1:16" x14ac:dyDescent="0.25">
      <c r="A1173" t="str">
        <f>"1050010H00203    00"</f>
        <v>1050010H00203    00</v>
      </c>
      <c r="B1173" t="s">
        <v>2884</v>
      </c>
      <c r="C1173" t="s">
        <v>2469</v>
      </c>
      <c r="D1173" t="s">
        <v>20</v>
      </c>
      <c r="E1173" t="s">
        <v>39</v>
      </c>
      <c r="F1173">
        <v>0</v>
      </c>
      <c r="G1173">
        <v>0</v>
      </c>
      <c r="H1173">
        <v>14</v>
      </c>
      <c r="I1173" s="3">
        <v>1118.78</v>
      </c>
      <c r="J1173" s="3">
        <v>1629.68</v>
      </c>
      <c r="L1173">
        <v>609</v>
      </c>
      <c r="M1173" t="s">
        <v>2467</v>
      </c>
      <c r="N1173" t="s">
        <v>30</v>
      </c>
      <c r="O1173" t="s">
        <v>31</v>
      </c>
      <c r="P1173" t="str">
        <f t="shared" si="16"/>
        <v>15219</v>
      </c>
    </row>
    <row r="1174" spans="1:16" x14ac:dyDescent="0.25">
      <c r="A1174" t="str">
        <f>"1050010H00209    00"</f>
        <v>1050010H00209    00</v>
      </c>
      <c r="B1174" t="s">
        <v>2885</v>
      </c>
      <c r="C1174" t="s">
        <v>2886</v>
      </c>
      <c r="D1174" t="s">
        <v>20</v>
      </c>
      <c r="E1174" t="s">
        <v>39</v>
      </c>
      <c r="F1174">
        <v>0</v>
      </c>
      <c r="G1174">
        <v>0</v>
      </c>
      <c r="H1174">
        <v>4</v>
      </c>
      <c r="I1174" s="3">
        <v>2351.69</v>
      </c>
      <c r="J1174" s="3">
        <v>283.10000000000002</v>
      </c>
      <c r="L1174">
        <v>614</v>
      </c>
      <c r="M1174" t="s">
        <v>2371</v>
      </c>
      <c r="N1174" t="s">
        <v>30</v>
      </c>
      <c r="O1174" t="s">
        <v>31</v>
      </c>
      <c r="P1174" t="str">
        <f t="shared" si="16"/>
        <v>15219</v>
      </c>
    </row>
    <row r="1175" spans="1:16" x14ac:dyDescent="0.25">
      <c r="A1175" t="str">
        <f>"1050010H00217000200"</f>
        <v>1050010H00217000200</v>
      </c>
      <c r="B1175" t="s">
        <v>2887</v>
      </c>
      <c r="C1175" t="s">
        <v>2888</v>
      </c>
      <c r="E1175" t="s">
        <v>39</v>
      </c>
      <c r="F1175">
        <v>0</v>
      </c>
      <c r="G1175">
        <v>0</v>
      </c>
      <c r="H1175">
        <v>2</v>
      </c>
      <c r="I1175" s="3">
        <v>723.45</v>
      </c>
      <c r="J1175" s="3">
        <v>15.08</v>
      </c>
      <c r="L1175">
        <v>2803</v>
      </c>
      <c r="M1175" t="s">
        <v>1132</v>
      </c>
      <c r="N1175" t="s">
        <v>30</v>
      </c>
      <c r="O1175" t="s">
        <v>31</v>
      </c>
      <c r="P1175" t="str">
        <f t="shared" si="16"/>
        <v>15219</v>
      </c>
    </row>
    <row r="1176" spans="1:16" x14ac:dyDescent="0.25">
      <c r="A1176" t="str">
        <f>"1050010H00220    00"</f>
        <v>1050010H00220    00</v>
      </c>
      <c r="B1176" t="s">
        <v>2889</v>
      </c>
      <c r="C1176" t="s">
        <v>2890</v>
      </c>
      <c r="D1176" t="s">
        <v>20</v>
      </c>
      <c r="E1176" t="s">
        <v>39</v>
      </c>
      <c r="F1176">
        <v>0</v>
      </c>
      <c r="G1176">
        <v>0</v>
      </c>
      <c r="H1176">
        <v>14</v>
      </c>
      <c r="I1176" s="3">
        <v>9343.35</v>
      </c>
      <c r="J1176" s="3">
        <v>4401.78</v>
      </c>
      <c r="K1176" t="s">
        <v>2891</v>
      </c>
      <c r="L1176">
        <v>109</v>
      </c>
      <c r="M1176" t="s">
        <v>2892</v>
      </c>
      <c r="N1176" t="s">
        <v>1046</v>
      </c>
      <c r="O1176" t="s">
        <v>31</v>
      </c>
      <c r="P1176" t="str">
        <f>"15147"</f>
        <v>15147</v>
      </c>
    </row>
    <row r="1177" spans="1:16" x14ac:dyDescent="0.25">
      <c r="A1177" t="str">
        <f>"1050010H00231    00"</f>
        <v>1050010H00231    00</v>
      </c>
      <c r="B1177" t="s">
        <v>2893</v>
      </c>
      <c r="C1177" t="s">
        <v>2369</v>
      </c>
      <c r="D1177" t="s">
        <v>20</v>
      </c>
      <c r="E1177" t="s">
        <v>39</v>
      </c>
      <c r="F1177">
        <v>0</v>
      </c>
      <c r="G1177">
        <v>0</v>
      </c>
      <c r="H1177">
        <v>16</v>
      </c>
      <c r="I1177" s="3">
        <v>4230.24</v>
      </c>
      <c r="J1177" s="3">
        <v>3724.31</v>
      </c>
      <c r="L1177">
        <v>3348</v>
      </c>
      <c r="M1177" t="s">
        <v>2894</v>
      </c>
      <c r="N1177" t="s">
        <v>30</v>
      </c>
      <c r="O1177" t="s">
        <v>31</v>
      </c>
      <c r="P1177" t="str">
        <f>"15219"</f>
        <v>15219</v>
      </c>
    </row>
    <row r="1178" spans="1:16" x14ac:dyDescent="0.25">
      <c r="A1178" t="str">
        <f>"1050010H00232    00"</f>
        <v>1050010H00232    00</v>
      </c>
      <c r="B1178" t="s">
        <v>2895</v>
      </c>
      <c r="C1178" t="s">
        <v>2369</v>
      </c>
      <c r="D1178" t="s">
        <v>20</v>
      </c>
      <c r="E1178" t="s">
        <v>39</v>
      </c>
      <c r="F1178">
        <v>0</v>
      </c>
      <c r="G1178">
        <v>0</v>
      </c>
      <c r="H1178">
        <v>19</v>
      </c>
      <c r="I1178" s="3">
        <v>10972.54</v>
      </c>
      <c r="J1178" s="3">
        <v>12810.06</v>
      </c>
      <c r="P1178" t="str">
        <f>""</f>
        <v/>
      </c>
    </row>
    <row r="1179" spans="1:16" x14ac:dyDescent="0.25">
      <c r="A1179" t="str">
        <f>"1050010H00233    00"</f>
        <v>1050010H00233    00</v>
      </c>
      <c r="B1179" t="s">
        <v>2896</v>
      </c>
      <c r="C1179" t="s">
        <v>2369</v>
      </c>
      <c r="D1179" t="s">
        <v>20</v>
      </c>
      <c r="E1179" t="s">
        <v>39</v>
      </c>
      <c r="F1179">
        <v>0</v>
      </c>
      <c r="G1179">
        <v>0</v>
      </c>
      <c r="H1179">
        <v>19</v>
      </c>
      <c r="I1179" s="3">
        <v>8654.57</v>
      </c>
      <c r="J1179" s="3">
        <v>9470.2000000000007</v>
      </c>
      <c r="K1179" t="s">
        <v>2897</v>
      </c>
      <c r="P1179" t="str">
        <f>""</f>
        <v/>
      </c>
    </row>
    <row r="1180" spans="1:16" x14ac:dyDescent="0.25">
      <c r="A1180" t="str">
        <f>"1050010H00236    00"</f>
        <v>1050010H00236    00</v>
      </c>
      <c r="B1180" t="s">
        <v>2898</v>
      </c>
      <c r="C1180" t="s">
        <v>2899</v>
      </c>
      <c r="D1180" t="s">
        <v>20</v>
      </c>
      <c r="E1180" t="s">
        <v>39</v>
      </c>
      <c r="F1180">
        <v>0</v>
      </c>
      <c r="G1180">
        <v>0</v>
      </c>
      <c r="H1180">
        <v>19</v>
      </c>
      <c r="I1180" s="3">
        <v>11752.11</v>
      </c>
      <c r="J1180" s="3">
        <v>11008.34</v>
      </c>
      <c r="K1180" t="s">
        <v>2900</v>
      </c>
      <c r="L1180">
        <v>5455</v>
      </c>
      <c r="M1180" t="s">
        <v>2901</v>
      </c>
      <c r="N1180" t="s">
        <v>30</v>
      </c>
      <c r="O1180" t="s">
        <v>31</v>
      </c>
      <c r="P1180" t="str">
        <f>"15206"</f>
        <v>15206</v>
      </c>
    </row>
    <row r="1181" spans="1:16" x14ac:dyDescent="0.25">
      <c r="A1181" t="str">
        <f>"1050010H00237    00"</f>
        <v>1050010H00237    00</v>
      </c>
      <c r="B1181" t="s">
        <v>2902</v>
      </c>
      <c r="C1181" t="s">
        <v>2903</v>
      </c>
      <c r="D1181" t="s">
        <v>20</v>
      </c>
      <c r="E1181" t="s">
        <v>39</v>
      </c>
      <c r="F1181">
        <v>0</v>
      </c>
      <c r="G1181">
        <v>0</v>
      </c>
      <c r="H1181">
        <v>3</v>
      </c>
      <c r="I1181" s="3">
        <v>3321.84</v>
      </c>
      <c r="J1181" s="3">
        <v>523.9</v>
      </c>
      <c r="K1181" t="s">
        <v>2904</v>
      </c>
      <c r="L1181">
        <v>3211</v>
      </c>
      <c r="M1181" t="s">
        <v>2905</v>
      </c>
      <c r="N1181" t="s">
        <v>30</v>
      </c>
      <c r="O1181" t="s">
        <v>31</v>
      </c>
      <c r="P1181" t="str">
        <f>"15235"</f>
        <v>15235</v>
      </c>
    </row>
    <row r="1182" spans="1:16" x14ac:dyDescent="0.25">
      <c r="A1182" t="str">
        <f>"1050010H00239    00"</f>
        <v>1050010H00239    00</v>
      </c>
      <c r="B1182" t="s">
        <v>2906</v>
      </c>
      <c r="C1182" t="s">
        <v>2907</v>
      </c>
      <c r="D1182" t="s">
        <v>20</v>
      </c>
      <c r="E1182" t="s">
        <v>39</v>
      </c>
      <c r="F1182">
        <v>0</v>
      </c>
      <c r="G1182">
        <v>0</v>
      </c>
      <c r="H1182">
        <v>9</v>
      </c>
      <c r="I1182" s="3">
        <v>4655.42</v>
      </c>
      <c r="J1182" s="3">
        <v>1661.56</v>
      </c>
      <c r="K1182" t="s">
        <v>2908</v>
      </c>
      <c r="L1182">
        <v>540</v>
      </c>
      <c r="M1182" t="s">
        <v>2371</v>
      </c>
      <c r="N1182" t="s">
        <v>30</v>
      </c>
      <c r="O1182" t="s">
        <v>31</v>
      </c>
      <c r="P1182" t="str">
        <f>"15219"</f>
        <v>15219</v>
      </c>
    </row>
    <row r="1183" spans="1:16" x14ac:dyDescent="0.25">
      <c r="A1183" t="str">
        <f>"1050010H00241    00"</f>
        <v>1050010H00241    00</v>
      </c>
      <c r="B1183" t="s">
        <v>2909</v>
      </c>
      <c r="C1183" t="s">
        <v>2369</v>
      </c>
      <c r="D1183" t="s">
        <v>20</v>
      </c>
      <c r="E1183" t="s">
        <v>39</v>
      </c>
      <c r="F1183">
        <v>0</v>
      </c>
      <c r="G1183">
        <v>0</v>
      </c>
      <c r="H1183">
        <v>4</v>
      </c>
      <c r="I1183" s="3">
        <v>51.02</v>
      </c>
      <c r="J1183" s="3">
        <v>1.06</v>
      </c>
      <c r="K1183" t="s">
        <v>2910</v>
      </c>
      <c r="L1183">
        <v>10</v>
      </c>
      <c r="M1183" t="s">
        <v>2911</v>
      </c>
      <c r="N1183" t="s">
        <v>30</v>
      </c>
      <c r="O1183" t="s">
        <v>31</v>
      </c>
      <c r="P1183" t="str">
        <f>"15203"</f>
        <v>15203</v>
      </c>
    </row>
    <row r="1184" spans="1:16" x14ac:dyDescent="0.25">
      <c r="A1184" t="str">
        <f>"1050010H00242    00"</f>
        <v>1050010H00242    00</v>
      </c>
      <c r="B1184" t="s">
        <v>2909</v>
      </c>
      <c r="C1184" t="s">
        <v>2912</v>
      </c>
      <c r="D1184" t="s">
        <v>20</v>
      </c>
      <c r="E1184" t="s">
        <v>39</v>
      </c>
      <c r="F1184">
        <v>0</v>
      </c>
      <c r="G1184">
        <v>0</v>
      </c>
      <c r="H1184">
        <v>1</v>
      </c>
      <c r="I1184" s="3">
        <v>259.33</v>
      </c>
      <c r="J1184" s="3">
        <v>0</v>
      </c>
      <c r="K1184" t="s">
        <v>2910</v>
      </c>
      <c r="L1184">
        <v>10</v>
      </c>
      <c r="M1184" t="s">
        <v>2911</v>
      </c>
      <c r="N1184" t="s">
        <v>30</v>
      </c>
      <c r="O1184" t="s">
        <v>31</v>
      </c>
      <c r="P1184" t="str">
        <f>"15203"</f>
        <v>15203</v>
      </c>
    </row>
    <row r="1185" spans="1:16" x14ac:dyDescent="0.25">
      <c r="A1185" t="str">
        <f>"1050010H00244    00"</f>
        <v>1050010H00244    00</v>
      </c>
      <c r="B1185" t="s">
        <v>2913</v>
      </c>
      <c r="C1185" t="s">
        <v>2369</v>
      </c>
      <c r="D1185" t="s">
        <v>20</v>
      </c>
      <c r="E1185" t="s">
        <v>39</v>
      </c>
      <c r="F1185">
        <v>0</v>
      </c>
      <c r="G1185">
        <v>0</v>
      </c>
      <c r="H1185">
        <v>19</v>
      </c>
      <c r="I1185" s="3">
        <v>4135.17</v>
      </c>
      <c r="J1185" s="3">
        <v>3016.96</v>
      </c>
      <c r="L1185">
        <v>530</v>
      </c>
      <c r="M1185" t="s">
        <v>2371</v>
      </c>
      <c r="N1185" t="s">
        <v>30</v>
      </c>
      <c r="O1185" t="s">
        <v>31</v>
      </c>
      <c r="P1185" t="str">
        <f>"15219"</f>
        <v>15219</v>
      </c>
    </row>
    <row r="1186" spans="1:16" x14ac:dyDescent="0.25">
      <c r="A1186" t="str">
        <f>"1050010H00245    00"</f>
        <v>1050010H00245    00</v>
      </c>
      <c r="B1186" t="s">
        <v>2914</v>
      </c>
      <c r="C1186" t="s">
        <v>2915</v>
      </c>
      <c r="E1186" t="s">
        <v>39</v>
      </c>
      <c r="F1186">
        <v>0</v>
      </c>
      <c r="G1186">
        <v>0</v>
      </c>
      <c r="H1186">
        <v>1</v>
      </c>
      <c r="I1186" s="3">
        <v>348.08</v>
      </c>
      <c r="J1186" s="3">
        <v>171.13</v>
      </c>
      <c r="L1186">
        <v>174</v>
      </c>
      <c r="M1186" t="s">
        <v>1176</v>
      </c>
      <c r="N1186" t="s">
        <v>30</v>
      </c>
      <c r="O1186" t="s">
        <v>31</v>
      </c>
      <c r="P1186" t="str">
        <f>"15219"</f>
        <v>15219</v>
      </c>
    </row>
    <row r="1187" spans="1:16" x14ac:dyDescent="0.25">
      <c r="A1187" t="str">
        <f>"1050010H00249    00"</f>
        <v>1050010H00249    00</v>
      </c>
      <c r="B1187" t="s">
        <v>2916</v>
      </c>
      <c r="C1187" t="s">
        <v>2917</v>
      </c>
      <c r="D1187" t="s">
        <v>20</v>
      </c>
      <c r="E1187" t="s">
        <v>39</v>
      </c>
      <c r="F1187">
        <v>0</v>
      </c>
      <c r="G1187">
        <v>0</v>
      </c>
      <c r="H1187">
        <v>19</v>
      </c>
      <c r="I1187" s="3">
        <v>11519.25</v>
      </c>
      <c r="J1187" s="3">
        <v>10074.709999999999</v>
      </c>
      <c r="L1187">
        <v>520</v>
      </c>
      <c r="M1187" t="s">
        <v>2371</v>
      </c>
      <c r="N1187" t="s">
        <v>30</v>
      </c>
      <c r="O1187" t="s">
        <v>31</v>
      </c>
      <c r="P1187" t="str">
        <f>"15219"</f>
        <v>15219</v>
      </c>
    </row>
    <row r="1188" spans="1:16" x14ac:dyDescent="0.25">
      <c r="A1188" t="str">
        <f>"1050010H00251    00"</f>
        <v>1050010H00251    00</v>
      </c>
      <c r="B1188" t="s">
        <v>2918</v>
      </c>
      <c r="C1188" t="s">
        <v>2919</v>
      </c>
      <c r="D1188" t="s">
        <v>20</v>
      </c>
      <c r="E1188" t="s">
        <v>39</v>
      </c>
      <c r="F1188">
        <v>0</v>
      </c>
      <c r="G1188">
        <v>0</v>
      </c>
      <c r="H1188">
        <v>2</v>
      </c>
      <c r="I1188" s="3">
        <v>1826.73</v>
      </c>
      <c r="J1188" s="3">
        <v>249.17</v>
      </c>
      <c r="L1188">
        <v>514</v>
      </c>
      <c r="M1188" t="s">
        <v>2371</v>
      </c>
      <c r="N1188" t="s">
        <v>30</v>
      </c>
      <c r="O1188" t="s">
        <v>31</v>
      </c>
      <c r="P1188" t="str">
        <f>"15219"</f>
        <v>15219</v>
      </c>
    </row>
    <row r="1189" spans="1:16" x14ac:dyDescent="0.25">
      <c r="A1189" t="str">
        <f>"1050010H00257    00"</f>
        <v>1050010H00257    00</v>
      </c>
      <c r="B1189" t="s">
        <v>2920</v>
      </c>
      <c r="C1189" t="s">
        <v>2921</v>
      </c>
      <c r="D1189" t="s">
        <v>20</v>
      </c>
      <c r="E1189" t="s">
        <v>39</v>
      </c>
      <c r="F1189">
        <v>0</v>
      </c>
      <c r="G1189">
        <v>0</v>
      </c>
      <c r="H1189">
        <v>16</v>
      </c>
      <c r="I1189" s="3">
        <v>14307.95</v>
      </c>
      <c r="J1189" s="3">
        <v>9790.07</v>
      </c>
      <c r="K1189" t="s">
        <v>2922</v>
      </c>
      <c r="L1189">
        <v>103</v>
      </c>
      <c r="M1189" t="s">
        <v>2923</v>
      </c>
      <c r="N1189" t="s">
        <v>321</v>
      </c>
      <c r="O1189" t="s">
        <v>31</v>
      </c>
      <c r="P1189" t="str">
        <f>"15001"</f>
        <v>15001</v>
      </c>
    </row>
    <row r="1190" spans="1:16" x14ac:dyDescent="0.25">
      <c r="A1190" t="str">
        <f>"1050010H00258    00"</f>
        <v>1050010H00258    00</v>
      </c>
      <c r="B1190" t="s">
        <v>2924</v>
      </c>
      <c r="C1190" t="s">
        <v>2925</v>
      </c>
      <c r="D1190" t="s">
        <v>20</v>
      </c>
      <c r="E1190" t="s">
        <v>39</v>
      </c>
      <c r="F1190">
        <v>0</v>
      </c>
      <c r="G1190">
        <v>0</v>
      </c>
      <c r="H1190">
        <v>16</v>
      </c>
      <c r="I1190" s="3">
        <v>3782.3</v>
      </c>
      <c r="J1190" s="3">
        <v>2346.37</v>
      </c>
      <c r="L1190">
        <v>1167</v>
      </c>
      <c r="M1190" t="s">
        <v>2926</v>
      </c>
      <c r="N1190" t="s">
        <v>2927</v>
      </c>
      <c r="O1190" t="s">
        <v>2928</v>
      </c>
      <c r="P1190" t="str">
        <f>"82633"</f>
        <v>82633</v>
      </c>
    </row>
    <row r="1191" spans="1:16" x14ac:dyDescent="0.25">
      <c r="A1191" t="str">
        <f>"1050010H00306    00"</f>
        <v>1050010H00306    00</v>
      </c>
      <c r="B1191" t="s">
        <v>2929</v>
      </c>
      <c r="C1191" t="s">
        <v>2930</v>
      </c>
      <c r="D1191" t="s">
        <v>20</v>
      </c>
      <c r="E1191" t="s">
        <v>39</v>
      </c>
      <c r="F1191">
        <v>0</v>
      </c>
      <c r="G1191">
        <v>0</v>
      </c>
      <c r="H1191">
        <v>14</v>
      </c>
      <c r="I1191" s="3">
        <v>163.79</v>
      </c>
      <c r="J1191" s="3">
        <v>173.48</v>
      </c>
      <c r="M1191" t="s">
        <v>2931</v>
      </c>
      <c r="N1191" t="s">
        <v>30</v>
      </c>
      <c r="O1191" t="s">
        <v>31</v>
      </c>
      <c r="P1191" t="str">
        <f>"15219"</f>
        <v>15219</v>
      </c>
    </row>
    <row r="1192" spans="1:16" x14ac:dyDescent="0.25">
      <c r="A1192" t="str">
        <f>"1050010H00313    00"</f>
        <v>1050010H00313    00</v>
      </c>
      <c r="B1192" t="s">
        <v>2932</v>
      </c>
      <c r="C1192" t="s">
        <v>2933</v>
      </c>
      <c r="D1192" t="s">
        <v>20</v>
      </c>
      <c r="E1192" t="s">
        <v>39</v>
      </c>
      <c r="F1192">
        <v>0</v>
      </c>
      <c r="G1192">
        <v>0</v>
      </c>
      <c r="H1192">
        <v>9</v>
      </c>
      <c r="I1192" s="3">
        <v>9726.83</v>
      </c>
      <c r="J1192" s="3">
        <v>3424.17</v>
      </c>
      <c r="L1192">
        <v>2836</v>
      </c>
      <c r="M1192" t="s">
        <v>1132</v>
      </c>
      <c r="N1192" t="s">
        <v>30</v>
      </c>
      <c r="O1192" t="s">
        <v>31</v>
      </c>
      <c r="P1192" t="str">
        <f>"15219"</f>
        <v>15219</v>
      </c>
    </row>
    <row r="1193" spans="1:16" x14ac:dyDescent="0.25">
      <c r="A1193" t="str">
        <f>"1050010H00319    00"</f>
        <v>1050010H00319    00</v>
      </c>
      <c r="B1193" t="s">
        <v>2934</v>
      </c>
      <c r="C1193" t="s">
        <v>2935</v>
      </c>
      <c r="E1193" t="s">
        <v>39</v>
      </c>
      <c r="F1193">
        <v>0</v>
      </c>
      <c r="G1193">
        <v>0</v>
      </c>
      <c r="H1193">
        <v>1</v>
      </c>
      <c r="I1193" s="3">
        <v>697.6</v>
      </c>
      <c r="J1193" s="3">
        <v>0</v>
      </c>
      <c r="L1193">
        <v>2644</v>
      </c>
      <c r="M1193" t="s">
        <v>1132</v>
      </c>
      <c r="N1193" t="s">
        <v>30</v>
      </c>
      <c r="O1193" t="s">
        <v>31</v>
      </c>
      <c r="P1193" t="str">
        <f>"15219"</f>
        <v>15219</v>
      </c>
    </row>
    <row r="1194" spans="1:16" x14ac:dyDescent="0.25">
      <c r="A1194" t="str">
        <f>"1050010H00320    00"</f>
        <v>1050010H00320    00</v>
      </c>
      <c r="B1194" t="s">
        <v>2936</v>
      </c>
      <c r="C1194" t="s">
        <v>2937</v>
      </c>
      <c r="D1194" t="s">
        <v>20</v>
      </c>
      <c r="E1194" t="s">
        <v>39</v>
      </c>
      <c r="F1194">
        <v>0</v>
      </c>
      <c r="G1194">
        <v>0</v>
      </c>
      <c r="H1194">
        <v>1</v>
      </c>
      <c r="I1194" s="3">
        <v>294.79000000000002</v>
      </c>
      <c r="J1194" s="3">
        <v>0</v>
      </c>
      <c r="L1194">
        <v>6901</v>
      </c>
      <c r="M1194" t="s">
        <v>872</v>
      </c>
      <c r="N1194" t="s">
        <v>30</v>
      </c>
      <c r="O1194" t="s">
        <v>31</v>
      </c>
      <c r="P1194" t="str">
        <f>"15208"</f>
        <v>15208</v>
      </c>
    </row>
    <row r="1195" spans="1:16" x14ac:dyDescent="0.25">
      <c r="A1195" t="str">
        <f>"1050010H00324    00"</f>
        <v>1050010H00324    00</v>
      </c>
      <c r="B1195" t="s">
        <v>2938</v>
      </c>
      <c r="C1195" t="s">
        <v>1188</v>
      </c>
      <c r="D1195" t="s">
        <v>20</v>
      </c>
      <c r="E1195" t="s">
        <v>39</v>
      </c>
      <c r="F1195">
        <v>0</v>
      </c>
      <c r="G1195">
        <v>0</v>
      </c>
      <c r="H1195">
        <v>17</v>
      </c>
      <c r="I1195" s="3">
        <v>132.6</v>
      </c>
      <c r="J1195" s="3">
        <v>129.53</v>
      </c>
      <c r="L1195">
        <v>2819</v>
      </c>
      <c r="M1195" t="s">
        <v>1132</v>
      </c>
      <c r="N1195" t="s">
        <v>30</v>
      </c>
      <c r="O1195" t="s">
        <v>31</v>
      </c>
      <c r="P1195" t="str">
        <f>"15219"</f>
        <v>15219</v>
      </c>
    </row>
    <row r="1196" spans="1:16" x14ac:dyDescent="0.25">
      <c r="A1196" t="str">
        <f>"1050010H00325    00"</f>
        <v>1050010H00325    00</v>
      </c>
      <c r="B1196" t="s">
        <v>2506</v>
      </c>
      <c r="C1196" t="s">
        <v>2469</v>
      </c>
      <c r="D1196" t="s">
        <v>20</v>
      </c>
      <c r="E1196" t="s">
        <v>39</v>
      </c>
      <c r="F1196">
        <v>0</v>
      </c>
      <c r="G1196">
        <v>0</v>
      </c>
      <c r="H1196">
        <v>19</v>
      </c>
      <c r="I1196" s="3">
        <v>498.48</v>
      </c>
      <c r="J1196" s="3">
        <v>321.77999999999997</v>
      </c>
      <c r="L1196">
        <v>7005</v>
      </c>
      <c r="M1196" t="s">
        <v>2507</v>
      </c>
      <c r="N1196" t="s">
        <v>30</v>
      </c>
      <c r="O1196" t="s">
        <v>31</v>
      </c>
      <c r="P1196" t="str">
        <f>"15206"</f>
        <v>15206</v>
      </c>
    </row>
    <row r="1197" spans="1:16" x14ac:dyDescent="0.25">
      <c r="A1197" t="str">
        <f>"1050010H00326    00"</f>
        <v>1050010H00326    00</v>
      </c>
      <c r="B1197" t="s">
        <v>2939</v>
      </c>
      <c r="C1197" t="s">
        <v>2940</v>
      </c>
      <c r="D1197" t="s">
        <v>20</v>
      </c>
      <c r="E1197" t="s">
        <v>39</v>
      </c>
      <c r="F1197">
        <v>0</v>
      </c>
      <c r="G1197">
        <v>0</v>
      </c>
      <c r="H1197">
        <v>16</v>
      </c>
      <c r="I1197" s="3">
        <v>7743.36</v>
      </c>
      <c r="J1197" s="3">
        <v>4051.05</v>
      </c>
      <c r="K1197" t="s">
        <v>2941</v>
      </c>
      <c r="L1197">
        <v>451</v>
      </c>
      <c r="M1197" t="s">
        <v>2942</v>
      </c>
      <c r="N1197" t="s">
        <v>2943</v>
      </c>
      <c r="O1197" t="s">
        <v>31</v>
      </c>
      <c r="P1197" t="str">
        <f>"15025"</f>
        <v>15025</v>
      </c>
    </row>
    <row r="1198" spans="1:16" x14ac:dyDescent="0.25">
      <c r="A1198" t="str">
        <f>"1050010H00337    00"</f>
        <v>1050010H00337    00</v>
      </c>
      <c r="B1198" t="s">
        <v>2944</v>
      </c>
      <c r="C1198" t="s">
        <v>2945</v>
      </c>
      <c r="D1198" t="s">
        <v>20</v>
      </c>
      <c r="E1198" t="s">
        <v>39</v>
      </c>
      <c r="F1198">
        <v>0</v>
      </c>
      <c r="G1198">
        <v>0</v>
      </c>
      <c r="H1198">
        <v>2</v>
      </c>
      <c r="I1198" s="3">
        <v>2263.92</v>
      </c>
      <c r="J1198" s="3">
        <v>0</v>
      </c>
      <c r="L1198">
        <v>614</v>
      </c>
      <c r="M1198" t="s">
        <v>2682</v>
      </c>
      <c r="N1198" t="s">
        <v>30</v>
      </c>
      <c r="O1198" t="s">
        <v>31</v>
      </c>
      <c r="P1198" t="str">
        <f>"15219"</f>
        <v>15219</v>
      </c>
    </row>
    <row r="1199" spans="1:16" x14ac:dyDescent="0.25">
      <c r="A1199" t="str">
        <f>"1050010H00349    00"</f>
        <v>1050010H00349    00</v>
      </c>
      <c r="B1199" t="s">
        <v>2946</v>
      </c>
      <c r="C1199" t="s">
        <v>2947</v>
      </c>
      <c r="D1199" t="s">
        <v>20</v>
      </c>
      <c r="E1199" t="s">
        <v>39</v>
      </c>
      <c r="F1199">
        <v>0</v>
      </c>
      <c r="G1199">
        <v>0</v>
      </c>
      <c r="H1199">
        <v>2</v>
      </c>
      <c r="I1199" s="3">
        <v>3059.14</v>
      </c>
      <c r="J1199" s="3">
        <v>0</v>
      </c>
      <c r="L1199">
        <v>627</v>
      </c>
      <c r="M1199" t="s">
        <v>2682</v>
      </c>
      <c r="N1199" t="s">
        <v>30</v>
      </c>
      <c r="O1199" t="s">
        <v>31</v>
      </c>
      <c r="P1199" t="str">
        <f>"15219"</f>
        <v>15219</v>
      </c>
    </row>
    <row r="1200" spans="1:16" x14ac:dyDescent="0.25">
      <c r="A1200" t="str">
        <f>"1050010H00353    00"</f>
        <v>1050010H00353    00</v>
      </c>
      <c r="B1200" t="s">
        <v>2948</v>
      </c>
      <c r="C1200" t="s">
        <v>2949</v>
      </c>
      <c r="E1200" t="s">
        <v>39</v>
      </c>
      <c r="F1200">
        <v>0</v>
      </c>
      <c r="G1200">
        <v>0</v>
      </c>
      <c r="H1200">
        <v>2</v>
      </c>
      <c r="I1200" s="3">
        <v>2645.04</v>
      </c>
      <c r="J1200" s="3">
        <v>3234.91</v>
      </c>
      <c r="L1200">
        <v>619</v>
      </c>
      <c r="M1200" t="s">
        <v>2682</v>
      </c>
      <c r="N1200" t="s">
        <v>30</v>
      </c>
      <c r="O1200" t="s">
        <v>31</v>
      </c>
      <c r="P1200" t="str">
        <f>"15219"</f>
        <v>15219</v>
      </c>
    </row>
    <row r="1201" spans="1:16" x14ac:dyDescent="0.25">
      <c r="A1201" t="str">
        <f>"1050010J00051    00"</f>
        <v>1050010J00051    00</v>
      </c>
      <c r="B1201" t="s">
        <v>2950</v>
      </c>
      <c r="C1201" t="s">
        <v>2951</v>
      </c>
      <c r="E1201" t="s">
        <v>39</v>
      </c>
      <c r="F1201">
        <v>0</v>
      </c>
      <c r="G1201">
        <v>0</v>
      </c>
      <c r="H1201">
        <v>1</v>
      </c>
      <c r="I1201" s="3">
        <v>1835.6</v>
      </c>
      <c r="J1201" s="3">
        <v>1735.76</v>
      </c>
      <c r="K1201" t="s">
        <v>1632</v>
      </c>
      <c r="L1201">
        <v>3001</v>
      </c>
      <c r="M1201" t="s">
        <v>330</v>
      </c>
      <c r="N1201" t="s">
        <v>331</v>
      </c>
      <c r="O1201" t="s">
        <v>108</v>
      </c>
      <c r="P1201" t="str">
        <f>"75063"</f>
        <v>75063</v>
      </c>
    </row>
    <row r="1202" spans="1:16" x14ac:dyDescent="0.25">
      <c r="A1202" t="str">
        <f>"1050010J00062    00"</f>
        <v>1050010J00062    00</v>
      </c>
      <c r="B1202" t="s">
        <v>2952</v>
      </c>
      <c r="C1202" t="s">
        <v>2953</v>
      </c>
      <c r="D1202" t="s">
        <v>20</v>
      </c>
      <c r="E1202" t="s">
        <v>39</v>
      </c>
      <c r="F1202">
        <v>0</v>
      </c>
      <c r="G1202">
        <v>0</v>
      </c>
      <c r="H1202">
        <v>2</v>
      </c>
      <c r="I1202" s="3">
        <v>1219.8800000000001</v>
      </c>
      <c r="J1202" s="3">
        <v>0</v>
      </c>
      <c r="K1202" t="s">
        <v>2954</v>
      </c>
      <c r="L1202">
        <v>6611</v>
      </c>
      <c r="M1202" t="s">
        <v>2955</v>
      </c>
      <c r="N1202" t="s">
        <v>30</v>
      </c>
      <c r="O1202" t="s">
        <v>31</v>
      </c>
      <c r="P1202" t="str">
        <f>"15217"</f>
        <v>15217</v>
      </c>
    </row>
    <row r="1203" spans="1:16" x14ac:dyDescent="0.25">
      <c r="A1203" t="str">
        <f>"1050010J00079    00"</f>
        <v>1050010J00079    00</v>
      </c>
      <c r="B1203" t="s">
        <v>2956</v>
      </c>
      <c r="C1203" t="s">
        <v>2957</v>
      </c>
      <c r="D1203" t="s">
        <v>20</v>
      </c>
      <c r="E1203" t="s">
        <v>39</v>
      </c>
      <c r="F1203">
        <v>0</v>
      </c>
      <c r="G1203">
        <v>0</v>
      </c>
      <c r="H1203">
        <v>12</v>
      </c>
      <c r="I1203" s="3">
        <v>106.49</v>
      </c>
      <c r="J1203" s="3">
        <v>68.27</v>
      </c>
      <c r="K1203" t="s">
        <v>2958</v>
      </c>
      <c r="L1203">
        <v>617</v>
      </c>
      <c r="M1203" t="s">
        <v>1154</v>
      </c>
      <c r="N1203" t="s">
        <v>30</v>
      </c>
      <c r="O1203" t="s">
        <v>31</v>
      </c>
      <c r="P1203" t="str">
        <f>"15219"</f>
        <v>15219</v>
      </c>
    </row>
    <row r="1204" spans="1:16" x14ac:dyDescent="0.25">
      <c r="A1204" t="str">
        <f>"1050010J00081    00"</f>
        <v>1050010J00081    00</v>
      </c>
      <c r="B1204" t="s">
        <v>2959</v>
      </c>
      <c r="C1204" t="s">
        <v>2957</v>
      </c>
      <c r="D1204" t="s">
        <v>20</v>
      </c>
      <c r="E1204" t="s">
        <v>21</v>
      </c>
      <c r="F1204">
        <v>0</v>
      </c>
      <c r="G1204">
        <v>0</v>
      </c>
      <c r="H1204">
        <v>6</v>
      </c>
      <c r="I1204" s="3">
        <v>2820.06</v>
      </c>
      <c r="J1204" s="3">
        <v>632.49</v>
      </c>
      <c r="K1204" t="s">
        <v>2960</v>
      </c>
      <c r="L1204">
        <v>133</v>
      </c>
      <c r="M1204" t="s">
        <v>2961</v>
      </c>
      <c r="N1204" t="s">
        <v>30</v>
      </c>
      <c r="O1204" t="s">
        <v>31</v>
      </c>
      <c r="P1204" t="str">
        <f>"15219"</f>
        <v>15219</v>
      </c>
    </row>
    <row r="1205" spans="1:16" x14ac:dyDescent="0.25">
      <c r="A1205" t="str">
        <f>"1050010J00082    00"</f>
        <v>1050010J00082    00</v>
      </c>
      <c r="B1205" t="s">
        <v>944</v>
      </c>
      <c r="C1205" t="s">
        <v>2957</v>
      </c>
      <c r="E1205" t="s">
        <v>39</v>
      </c>
      <c r="F1205">
        <v>0</v>
      </c>
      <c r="G1205">
        <v>0</v>
      </c>
      <c r="H1205">
        <v>4</v>
      </c>
      <c r="I1205" s="3">
        <v>2012.84</v>
      </c>
      <c r="J1205" s="3">
        <v>1591.7</v>
      </c>
      <c r="K1205" t="s">
        <v>2962</v>
      </c>
      <c r="L1205">
        <v>200</v>
      </c>
      <c r="M1205" t="s">
        <v>984</v>
      </c>
      <c r="N1205" t="s">
        <v>30</v>
      </c>
      <c r="O1205" t="s">
        <v>31</v>
      </c>
      <c r="P1205" t="str">
        <f>"15219"</f>
        <v>15219</v>
      </c>
    </row>
    <row r="1206" spans="1:16" x14ac:dyDescent="0.25">
      <c r="A1206" t="str">
        <f>"1050010J00087    00"</f>
        <v>1050010J00087    00</v>
      </c>
      <c r="B1206" t="s">
        <v>2571</v>
      </c>
      <c r="C1206" t="s">
        <v>2963</v>
      </c>
      <c r="D1206" t="s">
        <v>20</v>
      </c>
      <c r="E1206" t="s">
        <v>39</v>
      </c>
      <c r="F1206">
        <v>0</v>
      </c>
      <c r="G1206">
        <v>0</v>
      </c>
      <c r="H1206">
        <v>11</v>
      </c>
      <c r="I1206" s="3">
        <v>6678.26</v>
      </c>
      <c r="J1206" s="3">
        <v>2906.13</v>
      </c>
      <c r="L1206">
        <v>2316</v>
      </c>
      <c r="M1206" t="s">
        <v>1090</v>
      </c>
      <c r="N1206" t="s">
        <v>30</v>
      </c>
      <c r="O1206" t="s">
        <v>31</v>
      </c>
      <c r="P1206" t="str">
        <f>"15219"</f>
        <v>15219</v>
      </c>
    </row>
    <row r="1207" spans="1:16" x14ac:dyDescent="0.25">
      <c r="A1207" t="str">
        <f>"1050010J00097    00"</f>
        <v>1050010J00097    00</v>
      </c>
      <c r="B1207" t="s">
        <v>2964</v>
      </c>
      <c r="C1207" t="s">
        <v>2965</v>
      </c>
      <c r="D1207" t="s">
        <v>20</v>
      </c>
      <c r="E1207" t="s">
        <v>39</v>
      </c>
      <c r="F1207">
        <v>0</v>
      </c>
      <c r="G1207">
        <v>0</v>
      </c>
      <c r="H1207">
        <v>3</v>
      </c>
      <c r="I1207" s="3">
        <v>1431.07</v>
      </c>
      <c r="J1207" s="3">
        <v>44.52</v>
      </c>
      <c r="L1207">
        <v>2526</v>
      </c>
      <c r="M1207" t="s">
        <v>2966</v>
      </c>
      <c r="N1207" t="s">
        <v>30</v>
      </c>
      <c r="O1207" t="s">
        <v>31</v>
      </c>
      <c r="P1207" t="str">
        <f>"15226"</f>
        <v>15226</v>
      </c>
    </row>
    <row r="1208" spans="1:16" x14ac:dyDescent="0.25">
      <c r="A1208" t="str">
        <f>"1050010J00206    00"</f>
        <v>1050010J00206    00</v>
      </c>
      <c r="B1208" t="s">
        <v>944</v>
      </c>
      <c r="C1208" t="s">
        <v>2967</v>
      </c>
      <c r="E1208" t="s">
        <v>39</v>
      </c>
      <c r="F1208">
        <v>0</v>
      </c>
      <c r="G1208">
        <v>0</v>
      </c>
      <c r="H1208">
        <v>7</v>
      </c>
      <c r="I1208" s="3">
        <v>663.7</v>
      </c>
      <c r="J1208" s="3">
        <v>699.15</v>
      </c>
      <c r="L1208">
        <v>200</v>
      </c>
      <c r="M1208" t="s">
        <v>946</v>
      </c>
      <c r="N1208" t="s">
        <v>30</v>
      </c>
      <c r="O1208" t="s">
        <v>31</v>
      </c>
      <c r="P1208" t="str">
        <f>"15219"</f>
        <v>15219</v>
      </c>
    </row>
    <row r="1209" spans="1:16" x14ac:dyDescent="0.25">
      <c r="A1209" t="str">
        <f>"1050010J00231    00"</f>
        <v>1050010J00231    00</v>
      </c>
      <c r="B1209" t="s">
        <v>2968</v>
      </c>
      <c r="C1209" t="s">
        <v>2969</v>
      </c>
      <c r="D1209" t="s">
        <v>20</v>
      </c>
      <c r="E1209" t="s">
        <v>39</v>
      </c>
      <c r="F1209">
        <v>0</v>
      </c>
      <c r="G1209">
        <v>0</v>
      </c>
      <c r="H1209">
        <v>8</v>
      </c>
      <c r="I1209" s="3">
        <v>3899.37</v>
      </c>
      <c r="J1209" s="3">
        <v>1334.88</v>
      </c>
      <c r="M1209" t="s">
        <v>2970</v>
      </c>
      <c r="N1209" t="s">
        <v>30</v>
      </c>
      <c r="O1209" t="s">
        <v>31</v>
      </c>
      <c r="P1209" t="str">
        <f>"15230"</f>
        <v>15230</v>
      </c>
    </row>
    <row r="1210" spans="1:16" x14ac:dyDescent="0.25">
      <c r="A1210" t="str">
        <f>"1050010J00264    00"</f>
        <v>1050010J00264    00</v>
      </c>
      <c r="B1210" t="s">
        <v>2971</v>
      </c>
      <c r="C1210" t="s">
        <v>2972</v>
      </c>
      <c r="D1210" t="s">
        <v>20</v>
      </c>
      <c r="E1210" t="s">
        <v>21</v>
      </c>
      <c r="F1210">
        <v>0</v>
      </c>
      <c r="G1210">
        <v>0</v>
      </c>
      <c r="H1210">
        <v>3</v>
      </c>
      <c r="I1210" s="3">
        <v>11213.04</v>
      </c>
      <c r="J1210" s="3">
        <v>747.51</v>
      </c>
      <c r="K1210" t="s">
        <v>2973</v>
      </c>
      <c r="L1210">
        <v>3100</v>
      </c>
      <c r="M1210" t="s">
        <v>2974</v>
      </c>
      <c r="N1210" t="s">
        <v>30</v>
      </c>
      <c r="O1210" t="s">
        <v>31</v>
      </c>
      <c r="P1210" t="str">
        <f>"15216"</f>
        <v>15216</v>
      </c>
    </row>
    <row r="1211" spans="1:16" x14ac:dyDescent="0.25">
      <c r="A1211" t="str">
        <f>"1050010K00001    00"</f>
        <v>1050010K00001    00</v>
      </c>
      <c r="B1211" t="s">
        <v>2975</v>
      </c>
      <c r="C1211" t="s">
        <v>2976</v>
      </c>
      <c r="E1211" t="s">
        <v>39</v>
      </c>
      <c r="F1211">
        <v>0</v>
      </c>
      <c r="G1211">
        <v>0</v>
      </c>
      <c r="H1211">
        <v>1</v>
      </c>
      <c r="I1211" s="3">
        <v>202.98</v>
      </c>
      <c r="J1211" s="3">
        <v>201.28</v>
      </c>
      <c r="L1211">
        <v>200</v>
      </c>
      <c r="M1211" t="s">
        <v>946</v>
      </c>
      <c r="N1211" t="s">
        <v>30</v>
      </c>
      <c r="O1211" t="s">
        <v>31</v>
      </c>
      <c r="P1211" t="str">
        <f>"15219"</f>
        <v>15219</v>
      </c>
    </row>
    <row r="1212" spans="1:16" x14ac:dyDescent="0.25">
      <c r="A1212" t="str">
        <f>"1050010K00003    00"</f>
        <v>1050010K00003    00</v>
      </c>
      <c r="B1212" t="s">
        <v>2975</v>
      </c>
      <c r="C1212" t="s">
        <v>2977</v>
      </c>
      <c r="E1212" t="s">
        <v>39</v>
      </c>
      <c r="F1212">
        <v>0</v>
      </c>
      <c r="G1212">
        <v>0</v>
      </c>
      <c r="H1212">
        <v>1</v>
      </c>
      <c r="I1212" s="3">
        <v>19.420000000000002</v>
      </c>
      <c r="J1212" s="3">
        <v>19.260000000000002</v>
      </c>
      <c r="L1212">
        <v>200</v>
      </c>
      <c r="M1212" t="s">
        <v>946</v>
      </c>
      <c r="N1212" t="s">
        <v>30</v>
      </c>
      <c r="O1212" t="s">
        <v>31</v>
      </c>
      <c r="P1212" t="str">
        <f>"15219"</f>
        <v>15219</v>
      </c>
    </row>
    <row r="1213" spans="1:16" x14ac:dyDescent="0.25">
      <c r="A1213" t="str">
        <f>"1050010K00052    00"</f>
        <v>1050010K00052    00</v>
      </c>
      <c r="B1213" t="s">
        <v>2978</v>
      </c>
      <c r="C1213" t="s">
        <v>2979</v>
      </c>
      <c r="D1213" t="s">
        <v>20</v>
      </c>
      <c r="E1213" t="s">
        <v>21</v>
      </c>
      <c r="F1213">
        <v>0</v>
      </c>
      <c r="G1213">
        <v>0</v>
      </c>
      <c r="H1213">
        <v>17</v>
      </c>
      <c r="I1213" s="3">
        <v>26627.17</v>
      </c>
      <c r="J1213" s="3">
        <v>13881.98</v>
      </c>
      <c r="L1213">
        <v>221</v>
      </c>
      <c r="M1213" t="s">
        <v>2980</v>
      </c>
      <c r="N1213" t="s">
        <v>285</v>
      </c>
      <c r="O1213" t="s">
        <v>31</v>
      </c>
      <c r="P1213" t="str">
        <f>"15120"</f>
        <v>15120</v>
      </c>
    </row>
    <row r="1214" spans="1:16" x14ac:dyDescent="0.25">
      <c r="A1214" t="str">
        <f>"1050010K00053    00"</f>
        <v>1050010K00053    00</v>
      </c>
      <c r="B1214" t="s">
        <v>2978</v>
      </c>
      <c r="C1214" t="s">
        <v>1188</v>
      </c>
      <c r="D1214" t="s">
        <v>20</v>
      </c>
      <c r="E1214" t="s">
        <v>39</v>
      </c>
      <c r="F1214">
        <v>0</v>
      </c>
      <c r="G1214">
        <v>0</v>
      </c>
      <c r="H1214">
        <v>9</v>
      </c>
      <c r="I1214" s="3">
        <v>4295.6000000000004</v>
      </c>
      <c r="J1214" s="3">
        <v>2194.85</v>
      </c>
      <c r="L1214">
        <v>221</v>
      </c>
      <c r="M1214" t="s">
        <v>2980</v>
      </c>
      <c r="N1214" t="s">
        <v>285</v>
      </c>
      <c r="O1214" t="s">
        <v>31</v>
      </c>
      <c r="P1214" t="str">
        <f>"15120"</f>
        <v>15120</v>
      </c>
    </row>
    <row r="1215" spans="1:16" x14ac:dyDescent="0.25">
      <c r="A1215" t="str">
        <f>"1050010K00103    00"</f>
        <v>1050010K00103    00</v>
      </c>
      <c r="B1215" t="s">
        <v>921</v>
      </c>
      <c r="C1215" t="s">
        <v>2981</v>
      </c>
      <c r="D1215" t="s">
        <v>20</v>
      </c>
      <c r="E1215" t="s">
        <v>39</v>
      </c>
      <c r="F1215">
        <v>0</v>
      </c>
      <c r="G1215">
        <v>0</v>
      </c>
      <c r="H1215">
        <v>1</v>
      </c>
      <c r="I1215" s="3">
        <v>419.34</v>
      </c>
      <c r="J1215" s="3">
        <v>0</v>
      </c>
      <c r="L1215">
        <v>46</v>
      </c>
      <c r="M1215" t="s">
        <v>913</v>
      </c>
      <c r="N1215" t="s">
        <v>914</v>
      </c>
      <c r="O1215" t="s">
        <v>200</v>
      </c>
      <c r="P1215" t="str">
        <f>"10952"</f>
        <v>10952</v>
      </c>
    </row>
    <row r="1216" spans="1:16" x14ac:dyDescent="0.25">
      <c r="A1216" t="str">
        <f>"1050010K00106B   00"</f>
        <v>1050010K00106B   00</v>
      </c>
      <c r="B1216" t="s">
        <v>2982</v>
      </c>
      <c r="C1216" t="s">
        <v>1091</v>
      </c>
      <c r="D1216" t="s">
        <v>20</v>
      </c>
      <c r="E1216" t="s">
        <v>39</v>
      </c>
      <c r="F1216">
        <v>0</v>
      </c>
      <c r="G1216">
        <v>0</v>
      </c>
      <c r="H1216">
        <v>11</v>
      </c>
      <c r="I1216" s="3">
        <v>57.17</v>
      </c>
      <c r="J1216" s="3">
        <v>32.549999999999997</v>
      </c>
      <c r="L1216">
        <v>2160</v>
      </c>
      <c r="M1216" t="s">
        <v>1090</v>
      </c>
      <c r="N1216" t="s">
        <v>30</v>
      </c>
      <c r="O1216" t="s">
        <v>31</v>
      </c>
      <c r="P1216" t="str">
        <f>"15219"</f>
        <v>15219</v>
      </c>
    </row>
    <row r="1217" spans="1:16" x14ac:dyDescent="0.25">
      <c r="A1217" t="str">
        <f>"1050010K00108    00"</f>
        <v>1050010K00108    00</v>
      </c>
      <c r="B1217" t="s">
        <v>918</v>
      </c>
      <c r="C1217" t="s">
        <v>2983</v>
      </c>
      <c r="D1217" t="s">
        <v>20</v>
      </c>
      <c r="E1217" t="s">
        <v>39</v>
      </c>
      <c r="F1217">
        <v>0</v>
      </c>
      <c r="G1217">
        <v>0</v>
      </c>
      <c r="H1217">
        <v>1</v>
      </c>
      <c r="I1217" s="3">
        <v>743.34</v>
      </c>
      <c r="J1217" s="3">
        <v>0</v>
      </c>
      <c r="K1217" t="s">
        <v>920</v>
      </c>
      <c r="L1217">
        <v>46</v>
      </c>
      <c r="M1217" t="s">
        <v>913</v>
      </c>
      <c r="N1217" t="s">
        <v>914</v>
      </c>
      <c r="O1217" t="s">
        <v>200</v>
      </c>
      <c r="P1217" t="str">
        <f>"10952"</f>
        <v>10952</v>
      </c>
    </row>
    <row r="1218" spans="1:16" x14ac:dyDescent="0.25">
      <c r="A1218" t="str">
        <f>"1050010K00111    00"</f>
        <v>1050010K00111    00</v>
      </c>
      <c r="B1218" t="s">
        <v>2984</v>
      </c>
      <c r="C1218" t="s">
        <v>2985</v>
      </c>
      <c r="D1218" t="s">
        <v>20</v>
      </c>
      <c r="E1218" t="s">
        <v>39</v>
      </c>
      <c r="F1218">
        <v>0</v>
      </c>
      <c r="G1218">
        <v>0</v>
      </c>
      <c r="H1218">
        <v>2</v>
      </c>
      <c r="I1218" s="3">
        <v>141.06</v>
      </c>
      <c r="J1218" s="3">
        <v>0</v>
      </c>
      <c r="K1218" t="s">
        <v>417</v>
      </c>
      <c r="L1218">
        <v>3001</v>
      </c>
      <c r="M1218" t="s">
        <v>330</v>
      </c>
      <c r="N1218" t="s">
        <v>331</v>
      </c>
      <c r="O1218" t="s">
        <v>108</v>
      </c>
      <c r="P1218" t="str">
        <f>"75063"</f>
        <v>75063</v>
      </c>
    </row>
    <row r="1219" spans="1:16" x14ac:dyDescent="0.25">
      <c r="A1219" t="str">
        <f>"1050010K00112    00"</f>
        <v>1050010K00112    00</v>
      </c>
      <c r="B1219" t="s">
        <v>2984</v>
      </c>
      <c r="C1219" t="s">
        <v>2985</v>
      </c>
      <c r="D1219" t="s">
        <v>20</v>
      </c>
      <c r="E1219" t="s">
        <v>39</v>
      </c>
      <c r="F1219">
        <v>0</v>
      </c>
      <c r="G1219">
        <v>0</v>
      </c>
      <c r="H1219">
        <v>2</v>
      </c>
      <c r="I1219" s="3">
        <v>83.86</v>
      </c>
      <c r="J1219" s="3">
        <v>0</v>
      </c>
      <c r="K1219" t="s">
        <v>2986</v>
      </c>
      <c r="L1219">
        <v>630</v>
      </c>
      <c r="M1219" t="s">
        <v>2987</v>
      </c>
      <c r="N1219" t="s">
        <v>30</v>
      </c>
      <c r="O1219" t="s">
        <v>31</v>
      </c>
      <c r="P1219" t="str">
        <f>"15219"</f>
        <v>15219</v>
      </c>
    </row>
    <row r="1220" spans="1:16" x14ac:dyDescent="0.25">
      <c r="A1220" t="str">
        <f>"1050010K00114    00"</f>
        <v>1050010K00114    00</v>
      </c>
      <c r="B1220" t="s">
        <v>2984</v>
      </c>
      <c r="C1220" t="s">
        <v>2988</v>
      </c>
      <c r="D1220" t="s">
        <v>20</v>
      </c>
      <c r="E1220" t="s">
        <v>39</v>
      </c>
      <c r="F1220">
        <v>0</v>
      </c>
      <c r="G1220">
        <v>0</v>
      </c>
      <c r="H1220">
        <v>2</v>
      </c>
      <c r="I1220" s="3">
        <v>683.34</v>
      </c>
      <c r="J1220" s="3">
        <v>0</v>
      </c>
      <c r="K1220" t="s">
        <v>2986</v>
      </c>
      <c r="L1220">
        <v>630</v>
      </c>
      <c r="M1220" t="s">
        <v>2987</v>
      </c>
      <c r="N1220" t="s">
        <v>30</v>
      </c>
      <c r="O1220" t="s">
        <v>31</v>
      </c>
      <c r="P1220" t="str">
        <f>"15219"</f>
        <v>15219</v>
      </c>
    </row>
    <row r="1221" spans="1:16" x14ac:dyDescent="0.25">
      <c r="A1221" t="str">
        <f>"1050010K00123    00"</f>
        <v>1050010K00123    00</v>
      </c>
      <c r="B1221" t="s">
        <v>2989</v>
      </c>
      <c r="C1221" t="s">
        <v>2985</v>
      </c>
      <c r="E1221" t="s">
        <v>39</v>
      </c>
      <c r="F1221">
        <v>0</v>
      </c>
      <c r="G1221">
        <v>0</v>
      </c>
      <c r="H1221">
        <v>10</v>
      </c>
      <c r="I1221" s="3">
        <v>1764.49</v>
      </c>
      <c r="J1221" s="3">
        <v>2786.56</v>
      </c>
      <c r="L1221">
        <v>6311</v>
      </c>
      <c r="M1221" t="s">
        <v>2990</v>
      </c>
      <c r="N1221" t="s">
        <v>30</v>
      </c>
      <c r="O1221" t="s">
        <v>31</v>
      </c>
      <c r="P1221" t="str">
        <f>"15206"</f>
        <v>15206</v>
      </c>
    </row>
    <row r="1222" spans="1:16" x14ac:dyDescent="0.25">
      <c r="A1222" t="str">
        <f>"1050010K00125    00"</f>
        <v>1050010K00125    00</v>
      </c>
      <c r="B1222" t="s">
        <v>2991</v>
      </c>
      <c r="C1222" t="s">
        <v>2992</v>
      </c>
      <c r="D1222" t="s">
        <v>20</v>
      </c>
      <c r="E1222" t="s">
        <v>21</v>
      </c>
      <c r="F1222">
        <v>0</v>
      </c>
      <c r="G1222">
        <v>0</v>
      </c>
      <c r="H1222">
        <v>3</v>
      </c>
      <c r="I1222" s="3">
        <v>2444.77</v>
      </c>
      <c r="J1222" s="3">
        <v>183.35</v>
      </c>
      <c r="K1222" t="s">
        <v>2993</v>
      </c>
      <c r="L1222">
        <v>615</v>
      </c>
      <c r="M1222" t="s">
        <v>2987</v>
      </c>
      <c r="N1222" t="s">
        <v>30</v>
      </c>
      <c r="O1222" t="s">
        <v>31</v>
      </c>
      <c r="P1222" t="str">
        <f>"15219"</f>
        <v>15219</v>
      </c>
    </row>
    <row r="1223" spans="1:16" x14ac:dyDescent="0.25">
      <c r="A1223" t="str">
        <f>"1050010K00126A   00"</f>
        <v>1050010K00126A   00</v>
      </c>
      <c r="B1223" t="s">
        <v>918</v>
      </c>
      <c r="C1223" t="s">
        <v>2994</v>
      </c>
      <c r="D1223" t="s">
        <v>20</v>
      </c>
      <c r="E1223" t="s">
        <v>39</v>
      </c>
      <c r="F1223">
        <v>0</v>
      </c>
      <c r="G1223">
        <v>0</v>
      </c>
      <c r="H1223">
        <v>2</v>
      </c>
      <c r="I1223" s="3">
        <v>495.58</v>
      </c>
      <c r="J1223" s="3">
        <v>0</v>
      </c>
      <c r="K1223" t="s">
        <v>920</v>
      </c>
      <c r="L1223">
        <v>46</v>
      </c>
      <c r="M1223" t="s">
        <v>913</v>
      </c>
      <c r="N1223" t="s">
        <v>914</v>
      </c>
      <c r="O1223" t="s">
        <v>200</v>
      </c>
      <c r="P1223" t="str">
        <f>"10952"</f>
        <v>10952</v>
      </c>
    </row>
    <row r="1224" spans="1:16" x14ac:dyDescent="0.25">
      <c r="A1224" t="str">
        <f>"1050010K00130    00"</f>
        <v>1050010K00130    00</v>
      </c>
      <c r="B1224" t="s">
        <v>2995</v>
      </c>
      <c r="C1224" t="s">
        <v>2996</v>
      </c>
      <c r="D1224" t="s">
        <v>20</v>
      </c>
      <c r="E1224" t="s">
        <v>21</v>
      </c>
      <c r="F1224">
        <v>0</v>
      </c>
      <c r="G1224">
        <v>0</v>
      </c>
      <c r="H1224">
        <v>2</v>
      </c>
      <c r="I1224" s="3">
        <v>6918.8</v>
      </c>
      <c r="J1224" s="3">
        <v>0</v>
      </c>
      <c r="K1224" t="s">
        <v>2997</v>
      </c>
      <c r="L1224">
        <v>2155</v>
      </c>
      <c r="M1224" t="s">
        <v>1132</v>
      </c>
      <c r="N1224" t="s">
        <v>30</v>
      </c>
      <c r="O1224" t="s">
        <v>31</v>
      </c>
      <c r="P1224" t="str">
        <f>"15219"</f>
        <v>15219</v>
      </c>
    </row>
    <row r="1225" spans="1:16" x14ac:dyDescent="0.25">
      <c r="A1225" t="str">
        <f>"1050010K00145    00"</f>
        <v>1050010K00145    00</v>
      </c>
      <c r="B1225" t="s">
        <v>921</v>
      </c>
      <c r="C1225" t="s">
        <v>2998</v>
      </c>
      <c r="D1225" t="s">
        <v>20</v>
      </c>
      <c r="E1225" t="s">
        <v>21</v>
      </c>
      <c r="F1225">
        <v>0</v>
      </c>
      <c r="G1225">
        <v>0</v>
      </c>
      <c r="H1225">
        <v>1</v>
      </c>
      <c r="I1225" s="3">
        <v>1686.82</v>
      </c>
      <c r="J1225" s="3">
        <v>0</v>
      </c>
      <c r="L1225">
        <v>46</v>
      </c>
      <c r="M1225" t="s">
        <v>913</v>
      </c>
      <c r="N1225" t="s">
        <v>914</v>
      </c>
      <c r="O1225" t="s">
        <v>200</v>
      </c>
      <c r="P1225" t="str">
        <f>"10952"</f>
        <v>10952</v>
      </c>
    </row>
    <row r="1226" spans="1:16" x14ac:dyDescent="0.25">
      <c r="A1226" t="str">
        <f>"1050010K00149    00"</f>
        <v>1050010K00149    00</v>
      </c>
      <c r="B1226" t="s">
        <v>2999</v>
      </c>
      <c r="C1226" t="s">
        <v>3000</v>
      </c>
      <c r="D1226" t="s">
        <v>20</v>
      </c>
      <c r="E1226" t="s">
        <v>39</v>
      </c>
      <c r="F1226">
        <v>0</v>
      </c>
      <c r="G1226">
        <v>0</v>
      </c>
      <c r="H1226">
        <v>12</v>
      </c>
      <c r="I1226" s="3">
        <v>3373.53</v>
      </c>
      <c r="J1226" s="3">
        <v>1868.59</v>
      </c>
      <c r="L1226">
        <v>3109</v>
      </c>
      <c r="M1226" t="s">
        <v>3001</v>
      </c>
      <c r="N1226" t="s">
        <v>3002</v>
      </c>
      <c r="O1226" t="s">
        <v>495</v>
      </c>
      <c r="P1226" t="str">
        <f>"90305"</f>
        <v>90305</v>
      </c>
    </row>
    <row r="1227" spans="1:16" x14ac:dyDescent="0.25">
      <c r="A1227" t="str">
        <f>"1050010K00149C   00"</f>
        <v>1050010K00149C   00</v>
      </c>
      <c r="B1227" t="s">
        <v>3003</v>
      </c>
      <c r="C1227" t="s">
        <v>3004</v>
      </c>
      <c r="D1227" t="s">
        <v>20</v>
      </c>
      <c r="E1227" t="s">
        <v>39</v>
      </c>
      <c r="F1227">
        <v>0</v>
      </c>
      <c r="G1227">
        <v>0</v>
      </c>
      <c r="H1227">
        <v>5</v>
      </c>
      <c r="I1227" s="3">
        <v>2754.95</v>
      </c>
      <c r="J1227" s="3">
        <v>333.53</v>
      </c>
      <c r="K1227" t="s">
        <v>3005</v>
      </c>
      <c r="L1227">
        <v>19</v>
      </c>
      <c r="M1227" t="s">
        <v>2987</v>
      </c>
      <c r="N1227" t="s">
        <v>30</v>
      </c>
      <c r="O1227" t="s">
        <v>31</v>
      </c>
      <c r="P1227" t="str">
        <f>"15219"</f>
        <v>15219</v>
      </c>
    </row>
    <row r="1228" spans="1:16" x14ac:dyDescent="0.25">
      <c r="A1228" t="str">
        <f>"1050010K00149D   00"</f>
        <v>1050010K00149D   00</v>
      </c>
      <c r="B1228" t="s">
        <v>3006</v>
      </c>
      <c r="C1228" t="s">
        <v>3000</v>
      </c>
      <c r="D1228" t="s">
        <v>20</v>
      </c>
      <c r="E1228" t="s">
        <v>39</v>
      </c>
      <c r="F1228">
        <v>0</v>
      </c>
      <c r="G1228">
        <v>0</v>
      </c>
      <c r="H1228">
        <v>4</v>
      </c>
      <c r="I1228" s="3">
        <v>37.76</v>
      </c>
      <c r="J1228" s="3">
        <v>4.66</v>
      </c>
      <c r="L1228">
        <v>717</v>
      </c>
      <c r="M1228" t="s">
        <v>3007</v>
      </c>
      <c r="N1228" t="s">
        <v>30</v>
      </c>
      <c r="O1228" t="s">
        <v>31</v>
      </c>
      <c r="P1228" t="str">
        <f>"15235"</f>
        <v>15235</v>
      </c>
    </row>
    <row r="1229" spans="1:16" x14ac:dyDescent="0.25">
      <c r="A1229" t="str">
        <f>"1050010K00153    00"</f>
        <v>1050010K00153    00</v>
      </c>
      <c r="B1229" t="s">
        <v>3008</v>
      </c>
      <c r="C1229" t="s">
        <v>3009</v>
      </c>
      <c r="D1229" t="s">
        <v>20</v>
      </c>
      <c r="E1229" t="s">
        <v>39</v>
      </c>
      <c r="F1229">
        <v>0</v>
      </c>
      <c r="G1229">
        <v>0</v>
      </c>
      <c r="H1229">
        <v>3</v>
      </c>
      <c r="I1229" s="3">
        <v>20.34</v>
      </c>
      <c r="J1229" s="3">
        <v>0.09</v>
      </c>
      <c r="M1229" t="s">
        <v>2628</v>
      </c>
      <c r="N1229" t="s">
        <v>30</v>
      </c>
      <c r="O1229" t="s">
        <v>31</v>
      </c>
      <c r="P1229" t="str">
        <f>"15213"</f>
        <v>15213</v>
      </c>
    </row>
    <row r="1230" spans="1:16" x14ac:dyDescent="0.25">
      <c r="A1230" t="str">
        <f>"1050010K00168    00"</f>
        <v>1050010K00168    00</v>
      </c>
      <c r="B1230" t="s">
        <v>3010</v>
      </c>
      <c r="C1230" t="s">
        <v>1091</v>
      </c>
      <c r="D1230" t="s">
        <v>20</v>
      </c>
      <c r="E1230" t="s">
        <v>39</v>
      </c>
      <c r="F1230">
        <v>0</v>
      </c>
      <c r="G1230">
        <v>0</v>
      </c>
      <c r="H1230">
        <v>9</v>
      </c>
      <c r="I1230" s="3">
        <v>4541.26</v>
      </c>
      <c r="J1230" s="3">
        <v>3572.34</v>
      </c>
      <c r="L1230">
        <v>2080</v>
      </c>
      <c r="M1230" t="s">
        <v>3011</v>
      </c>
      <c r="N1230" t="s">
        <v>30</v>
      </c>
      <c r="O1230" t="s">
        <v>31</v>
      </c>
      <c r="P1230" t="str">
        <f>"15219"</f>
        <v>15219</v>
      </c>
    </row>
    <row r="1231" spans="1:16" x14ac:dyDescent="0.25">
      <c r="A1231" t="str">
        <f>"1050010K00178    00"</f>
        <v>1050010K00178    00</v>
      </c>
      <c r="B1231" t="s">
        <v>3012</v>
      </c>
      <c r="C1231" t="s">
        <v>3013</v>
      </c>
      <c r="D1231" t="s">
        <v>20</v>
      </c>
      <c r="E1231" t="s">
        <v>21</v>
      </c>
      <c r="F1231">
        <v>0</v>
      </c>
      <c r="G1231">
        <v>0</v>
      </c>
      <c r="H1231">
        <v>1</v>
      </c>
      <c r="I1231" s="3">
        <v>780.22</v>
      </c>
      <c r="J1231" s="3">
        <v>0</v>
      </c>
      <c r="K1231" t="s">
        <v>3014</v>
      </c>
      <c r="L1231">
        <v>155</v>
      </c>
      <c r="M1231" t="s">
        <v>3015</v>
      </c>
      <c r="N1231" t="s">
        <v>30</v>
      </c>
      <c r="O1231" t="s">
        <v>31</v>
      </c>
      <c r="P1231" t="str">
        <f>"15210"</f>
        <v>15210</v>
      </c>
    </row>
    <row r="1232" spans="1:16" x14ac:dyDescent="0.25">
      <c r="A1232" t="str">
        <f>"1050010K00200    00"</f>
        <v>1050010K00200    00</v>
      </c>
      <c r="B1232" t="s">
        <v>3016</v>
      </c>
      <c r="C1232" t="s">
        <v>1091</v>
      </c>
      <c r="D1232" t="s">
        <v>20</v>
      </c>
      <c r="E1232" t="s">
        <v>21</v>
      </c>
      <c r="F1232">
        <v>0</v>
      </c>
      <c r="G1232">
        <v>0</v>
      </c>
      <c r="H1232">
        <v>5</v>
      </c>
      <c r="I1232" s="3">
        <v>74.88</v>
      </c>
      <c r="J1232" s="3">
        <v>14.57</v>
      </c>
      <c r="L1232">
        <v>2216</v>
      </c>
      <c r="M1232" t="s">
        <v>1090</v>
      </c>
      <c r="N1232" t="s">
        <v>30</v>
      </c>
      <c r="O1232" t="s">
        <v>31</v>
      </c>
      <c r="P1232" t="str">
        <f>"15219"</f>
        <v>15219</v>
      </c>
    </row>
    <row r="1233" spans="1:16" x14ac:dyDescent="0.25">
      <c r="A1233" t="str">
        <f>"1050010K00203    00"</f>
        <v>1050010K00203    00</v>
      </c>
      <c r="B1233" t="s">
        <v>3017</v>
      </c>
      <c r="C1233" t="s">
        <v>3018</v>
      </c>
      <c r="D1233" t="s">
        <v>33</v>
      </c>
      <c r="E1233" t="s">
        <v>21</v>
      </c>
      <c r="F1233">
        <v>0</v>
      </c>
      <c r="G1233">
        <v>0</v>
      </c>
      <c r="H1233">
        <v>7</v>
      </c>
      <c r="I1233" s="3">
        <v>4786.21</v>
      </c>
      <c r="J1233" s="3">
        <v>69.099999999999994</v>
      </c>
      <c r="K1233" t="s">
        <v>3019</v>
      </c>
      <c r="L1233">
        <v>2222</v>
      </c>
      <c r="M1233" t="s">
        <v>1090</v>
      </c>
      <c r="N1233" t="s">
        <v>30</v>
      </c>
      <c r="O1233" t="s">
        <v>31</v>
      </c>
      <c r="P1233" t="str">
        <f>"15219"</f>
        <v>15219</v>
      </c>
    </row>
    <row r="1234" spans="1:16" x14ac:dyDescent="0.25">
      <c r="A1234" t="str">
        <f>"1050010K00204    00"</f>
        <v>1050010K00204    00</v>
      </c>
      <c r="B1234" t="s">
        <v>3020</v>
      </c>
      <c r="C1234" t="s">
        <v>3021</v>
      </c>
      <c r="D1234" t="s">
        <v>20</v>
      </c>
      <c r="E1234" t="s">
        <v>21</v>
      </c>
      <c r="F1234">
        <v>0</v>
      </c>
      <c r="G1234">
        <v>0</v>
      </c>
      <c r="H1234">
        <v>18</v>
      </c>
      <c r="I1234" s="3">
        <v>29944.03</v>
      </c>
      <c r="J1234" s="3">
        <v>25839.59</v>
      </c>
      <c r="L1234">
        <v>1410</v>
      </c>
      <c r="M1234" t="s">
        <v>3022</v>
      </c>
      <c r="N1234" t="s">
        <v>30</v>
      </c>
      <c r="O1234" t="s">
        <v>31</v>
      </c>
      <c r="P1234" t="str">
        <f>"15233"</f>
        <v>15233</v>
      </c>
    </row>
    <row r="1235" spans="1:16" x14ac:dyDescent="0.25">
      <c r="A1235" t="str">
        <f>"1050010K00207    00"</f>
        <v>1050010K00207    00</v>
      </c>
      <c r="B1235" t="s">
        <v>3023</v>
      </c>
      <c r="C1235" t="s">
        <v>3024</v>
      </c>
      <c r="D1235" t="s">
        <v>20</v>
      </c>
      <c r="E1235" t="s">
        <v>39</v>
      </c>
      <c r="F1235">
        <v>0</v>
      </c>
      <c r="G1235">
        <v>0</v>
      </c>
      <c r="H1235">
        <v>15</v>
      </c>
      <c r="I1235" s="3">
        <v>6026.36</v>
      </c>
      <c r="J1235" s="3">
        <v>4853.8900000000003</v>
      </c>
      <c r="L1235">
        <v>636</v>
      </c>
      <c r="M1235" t="s">
        <v>3025</v>
      </c>
      <c r="N1235" t="s">
        <v>30</v>
      </c>
      <c r="O1235" t="s">
        <v>31</v>
      </c>
      <c r="P1235" t="str">
        <f>"15219"</f>
        <v>15219</v>
      </c>
    </row>
    <row r="1236" spans="1:16" x14ac:dyDescent="0.25">
      <c r="A1236" t="str">
        <f>"1050010K00211    00"</f>
        <v>1050010K00211    00</v>
      </c>
      <c r="B1236" t="s">
        <v>3026</v>
      </c>
      <c r="C1236" t="s">
        <v>3027</v>
      </c>
      <c r="D1236" t="s">
        <v>20</v>
      </c>
      <c r="E1236" t="s">
        <v>39</v>
      </c>
      <c r="F1236">
        <v>0</v>
      </c>
      <c r="G1236">
        <v>0</v>
      </c>
      <c r="H1236">
        <v>19</v>
      </c>
      <c r="I1236" s="3">
        <v>14001.79</v>
      </c>
      <c r="J1236" s="3">
        <v>17390.240000000002</v>
      </c>
      <c r="L1236">
        <v>1852</v>
      </c>
      <c r="M1236" t="s">
        <v>957</v>
      </c>
      <c r="N1236" t="s">
        <v>30</v>
      </c>
      <c r="O1236" t="s">
        <v>31</v>
      </c>
      <c r="P1236" t="str">
        <f>"15219"</f>
        <v>15219</v>
      </c>
    </row>
    <row r="1237" spans="1:16" x14ac:dyDescent="0.25">
      <c r="A1237" t="str">
        <f>"1050010K00214    00"</f>
        <v>1050010K00214    00</v>
      </c>
      <c r="B1237" t="s">
        <v>3028</v>
      </c>
      <c r="C1237" t="s">
        <v>3027</v>
      </c>
      <c r="D1237" t="s">
        <v>20</v>
      </c>
      <c r="E1237" t="s">
        <v>39</v>
      </c>
      <c r="F1237">
        <v>0</v>
      </c>
      <c r="G1237">
        <v>0</v>
      </c>
      <c r="H1237">
        <v>5</v>
      </c>
      <c r="I1237" s="3">
        <v>316.55</v>
      </c>
      <c r="J1237" s="3">
        <v>76.28</v>
      </c>
      <c r="K1237" t="s">
        <v>3029</v>
      </c>
      <c r="M1237" t="s">
        <v>3030</v>
      </c>
      <c r="N1237" t="s">
        <v>30</v>
      </c>
      <c r="O1237" t="s">
        <v>31</v>
      </c>
      <c r="P1237" t="str">
        <f>"15218"</f>
        <v>15218</v>
      </c>
    </row>
    <row r="1238" spans="1:16" x14ac:dyDescent="0.25">
      <c r="A1238" t="str">
        <f>"1050010K00217    00"</f>
        <v>1050010K00217    00</v>
      </c>
      <c r="B1238" t="s">
        <v>3031</v>
      </c>
      <c r="C1238" t="s">
        <v>3027</v>
      </c>
      <c r="D1238" t="s">
        <v>20</v>
      </c>
      <c r="E1238" t="s">
        <v>39</v>
      </c>
      <c r="F1238">
        <v>0</v>
      </c>
      <c r="G1238">
        <v>0</v>
      </c>
      <c r="H1238">
        <v>4</v>
      </c>
      <c r="I1238" s="3">
        <v>301.76</v>
      </c>
      <c r="J1238" s="3">
        <v>37.159999999999997</v>
      </c>
      <c r="M1238" t="s">
        <v>3030</v>
      </c>
      <c r="N1238" t="s">
        <v>30</v>
      </c>
      <c r="O1238" t="s">
        <v>31</v>
      </c>
      <c r="P1238" t="str">
        <f>"15218"</f>
        <v>15218</v>
      </c>
    </row>
    <row r="1239" spans="1:16" x14ac:dyDescent="0.25">
      <c r="A1239" t="str">
        <f>"1050010K00218    00"</f>
        <v>1050010K00218    00</v>
      </c>
      <c r="B1239" t="s">
        <v>3031</v>
      </c>
      <c r="C1239" t="s">
        <v>3027</v>
      </c>
      <c r="D1239" t="s">
        <v>20</v>
      </c>
      <c r="E1239" t="s">
        <v>39</v>
      </c>
      <c r="F1239">
        <v>0</v>
      </c>
      <c r="G1239">
        <v>0</v>
      </c>
      <c r="H1239">
        <v>4</v>
      </c>
      <c r="I1239" s="3">
        <v>301.76</v>
      </c>
      <c r="J1239" s="3">
        <v>37.159999999999997</v>
      </c>
      <c r="M1239" t="s">
        <v>3030</v>
      </c>
      <c r="N1239" t="s">
        <v>30</v>
      </c>
      <c r="O1239" t="s">
        <v>31</v>
      </c>
      <c r="P1239" t="str">
        <f>"15218"</f>
        <v>15218</v>
      </c>
    </row>
    <row r="1240" spans="1:16" x14ac:dyDescent="0.25">
      <c r="A1240" t="str">
        <f>"1050010K00219    00"</f>
        <v>1050010K00219    00</v>
      </c>
      <c r="B1240" t="s">
        <v>3031</v>
      </c>
      <c r="C1240" t="s">
        <v>3032</v>
      </c>
      <c r="D1240" t="s">
        <v>20</v>
      </c>
      <c r="E1240" t="s">
        <v>39</v>
      </c>
      <c r="F1240">
        <v>0</v>
      </c>
      <c r="G1240">
        <v>0</v>
      </c>
      <c r="H1240">
        <v>4</v>
      </c>
      <c r="I1240" s="3">
        <v>301.76</v>
      </c>
      <c r="J1240" s="3">
        <v>37.159999999999997</v>
      </c>
      <c r="M1240" t="s">
        <v>3030</v>
      </c>
      <c r="N1240" t="s">
        <v>30</v>
      </c>
      <c r="O1240" t="s">
        <v>31</v>
      </c>
      <c r="P1240" t="str">
        <f>"15218"</f>
        <v>15218</v>
      </c>
    </row>
    <row r="1241" spans="1:16" x14ac:dyDescent="0.25">
      <c r="A1241" t="str">
        <f>"1050010K00219000100"</f>
        <v>1050010K00219000100</v>
      </c>
      <c r="B1241" t="s">
        <v>3033</v>
      </c>
      <c r="C1241" t="s">
        <v>3032</v>
      </c>
      <c r="D1241" t="s">
        <v>20</v>
      </c>
      <c r="E1241" t="s">
        <v>39</v>
      </c>
      <c r="F1241">
        <v>0</v>
      </c>
      <c r="G1241">
        <v>0</v>
      </c>
      <c r="H1241">
        <v>10</v>
      </c>
      <c r="I1241" s="3">
        <v>5393.97</v>
      </c>
      <c r="J1241" s="3">
        <v>1616.74</v>
      </c>
      <c r="K1241" t="s">
        <v>3034</v>
      </c>
      <c r="M1241" t="s">
        <v>3030</v>
      </c>
      <c r="N1241" t="s">
        <v>30</v>
      </c>
      <c r="O1241" t="s">
        <v>31</v>
      </c>
      <c r="P1241" t="str">
        <f>"15218"</f>
        <v>15218</v>
      </c>
    </row>
    <row r="1242" spans="1:16" x14ac:dyDescent="0.25">
      <c r="A1242" t="str">
        <f>"1050010K00228    00"</f>
        <v>1050010K00228    00</v>
      </c>
      <c r="B1242" t="s">
        <v>944</v>
      </c>
      <c r="C1242" t="s">
        <v>3035</v>
      </c>
      <c r="E1242" t="s">
        <v>39</v>
      </c>
      <c r="F1242">
        <v>0</v>
      </c>
      <c r="G1242">
        <v>0</v>
      </c>
      <c r="H1242">
        <v>1</v>
      </c>
      <c r="I1242" s="3">
        <v>2442.9899999999998</v>
      </c>
      <c r="J1242" s="3">
        <v>1669.31</v>
      </c>
      <c r="L1242">
        <v>200</v>
      </c>
      <c r="M1242" t="s">
        <v>946</v>
      </c>
      <c r="N1242" t="s">
        <v>30</v>
      </c>
      <c r="O1242" t="s">
        <v>31</v>
      </c>
      <c r="P1242" t="str">
        <f>"15219"</f>
        <v>15219</v>
      </c>
    </row>
    <row r="1243" spans="1:16" x14ac:dyDescent="0.25">
      <c r="A1243" t="str">
        <f>"1050010K00236    00"</f>
        <v>1050010K00236    00</v>
      </c>
      <c r="B1243" t="s">
        <v>944</v>
      </c>
      <c r="C1243" t="s">
        <v>3036</v>
      </c>
      <c r="E1243" t="s">
        <v>207</v>
      </c>
      <c r="F1243">
        <v>0</v>
      </c>
      <c r="G1243">
        <v>0</v>
      </c>
      <c r="H1243">
        <v>1</v>
      </c>
      <c r="I1243" s="3">
        <v>76.63</v>
      </c>
      <c r="J1243" s="3">
        <v>53.01</v>
      </c>
      <c r="L1243">
        <v>200</v>
      </c>
      <c r="M1243" t="s">
        <v>946</v>
      </c>
      <c r="N1243" t="s">
        <v>30</v>
      </c>
      <c r="O1243" t="s">
        <v>31</v>
      </c>
      <c r="P1243" t="str">
        <f>"15219"</f>
        <v>15219</v>
      </c>
    </row>
    <row r="1244" spans="1:16" x14ac:dyDescent="0.25">
      <c r="A1244" t="str">
        <f>"1050010K00258    00"</f>
        <v>1050010K00258    00</v>
      </c>
      <c r="B1244" t="s">
        <v>3037</v>
      </c>
      <c r="C1244" t="s">
        <v>3038</v>
      </c>
      <c r="D1244" t="s">
        <v>20</v>
      </c>
      <c r="E1244" t="s">
        <v>39</v>
      </c>
      <c r="F1244">
        <v>0</v>
      </c>
      <c r="G1244">
        <v>0</v>
      </c>
      <c r="H1244">
        <v>19</v>
      </c>
      <c r="I1244" s="3">
        <v>16368.72</v>
      </c>
      <c r="J1244" s="3">
        <v>15552.33</v>
      </c>
      <c r="K1244" t="s">
        <v>3039</v>
      </c>
      <c r="L1244">
        <v>2224</v>
      </c>
      <c r="M1244" t="s">
        <v>1090</v>
      </c>
      <c r="N1244" t="s">
        <v>30</v>
      </c>
      <c r="O1244" t="s">
        <v>31</v>
      </c>
      <c r="P1244" t="str">
        <f>"15219"</f>
        <v>15219</v>
      </c>
    </row>
    <row r="1245" spans="1:16" x14ac:dyDescent="0.25">
      <c r="A1245" t="str">
        <f>"1050010K00261    00"</f>
        <v>1050010K00261    00</v>
      </c>
      <c r="B1245" t="s">
        <v>2571</v>
      </c>
      <c r="C1245" t="s">
        <v>3040</v>
      </c>
      <c r="D1245" t="s">
        <v>20</v>
      </c>
      <c r="E1245" t="s">
        <v>39</v>
      </c>
      <c r="F1245">
        <v>0</v>
      </c>
      <c r="G1245">
        <v>0</v>
      </c>
      <c r="H1245">
        <v>15</v>
      </c>
      <c r="I1245" s="3">
        <v>11042.99</v>
      </c>
      <c r="J1245" s="3">
        <v>7512.51</v>
      </c>
      <c r="L1245">
        <v>2309</v>
      </c>
      <c r="M1245" t="s">
        <v>1090</v>
      </c>
      <c r="N1245" t="s">
        <v>30</v>
      </c>
      <c r="O1245" t="s">
        <v>31</v>
      </c>
      <c r="P1245" t="str">
        <f>"15219"</f>
        <v>15219</v>
      </c>
    </row>
    <row r="1246" spans="1:16" x14ac:dyDescent="0.25">
      <c r="A1246" t="str">
        <f>"1050010K00263    00"</f>
        <v>1050010K00263    00</v>
      </c>
      <c r="B1246" t="s">
        <v>3041</v>
      </c>
      <c r="C1246" t="s">
        <v>3042</v>
      </c>
      <c r="D1246" t="s">
        <v>20</v>
      </c>
      <c r="E1246" t="s">
        <v>39</v>
      </c>
      <c r="F1246">
        <v>0</v>
      </c>
      <c r="G1246">
        <v>0</v>
      </c>
      <c r="H1246">
        <v>14</v>
      </c>
      <c r="I1246" s="3">
        <v>9440.4500000000007</v>
      </c>
      <c r="J1246" s="3">
        <v>5992.32</v>
      </c>
      <c r="L1246">
        <v>2234</v>
      </c>
      <c r="M1246" t="s">
        <v>1090</v>
      </c>
      <c r="N1246" t="s">
        <v>30</v>
      </c>
      <c r="O1246" t="s">
        <v>31</v>
      </c>
      <c r="P1246" t="str">
        <f>"15219"</f>
        <v>15219</v>
      </c>
    </row>
    <row r="1247" spans="1:16" x14ac:dyDescent="0.25">
      <c r="A1247" t="str">
        <f>"1050010K00264    00"</f>
        <v>1050010K00264    00</v>
      </c>
      <c r="B1247" t="s">
        <v>3043</v>
      </c>
      <c r="C1247" t="s">
        <v>3042</v>
      </c>
      <c r="D1247" t="s">
        <v>20</v>
      </c>
      <c r="E1247" t="s">
        <v>39</v>
      </c>
      <c r="F1247">
        <v>0</v>
      </c>
      <c r="G1247">
        <v>0</v>
      </c>
      <c r="H1247">
        <v>12</v>
      </c>
      <c r="I1247" s="3">
        <v>9264.64</v>
      </c>
      <c r="J1247" s="3">
        <v>4873.2700000000004</v>
      </c>
      <c r="L1247">
        <v>1350</v>
      </c>
      <c r="M1247" t="s">
        <v>3044</v>
      </c>
      <c r="N1247" t="s">
        <v>30</v>
      </c>
      <c r="O1247" t="s">
        <v>31</v>
      </c>
      <c r="P1247" t="str">
        <f>"15206"</f>
        <v>15206</v>
      </c>
    </row>
    <row r="1248" spans="1:16" x14ac:dyDescent="0.25">
      <c r="A1248" t="str">
        <f>"1050010K00266    00"</f>
        <v>1050010K00266    00</v>
      </c>
      <c r="B1248" t="s">
        <v>3045</v>
      </c>
      <c r="C1248" t="s">
        <v>3046</v>
      </c>
      <c r="D1248" t="s">
        <v>20</v>
      </c>
      <c r="E1248" t="s">
        <v>39</v>
      </c>
      <c r="F1248">
        <v>0</v>
      </c>
      <c r="G1248">
        <v>0</v>
      </c>
      <c r="H1248">
        <v>2</v>
      </c>
      <c r="I1248" s="3">
        <v>1181.73</v>
      </c>
      <c r="J1248" s="3">
        <v>0</v>
      </c>
      <c r="L1248">
        <v>614</v>
      </c>
      <c r="M1248" t="s">
        <v>2371</v>
      </c>
      <c r="N1248" t="s">
        <v>30</v>
      </c>
      <c r="O1248" t="s">
        <v>31</v>
      </c>
      <c r="P1248" t="str">
        <f>"15219"</f>
        <v>15219</v>
      </c>
    </row>
    <row r="1249" spans="1:16" x14ac:dyDescent="0.25">
      <c r="A1249" t="str">
        <f>"1050010K00268    00"</f>
        <v>1050010K00268    00</v>
      </c>
      <c r="B1249" t="s">
        <v>1234</v>
      </c>
      <c r="C1249" t="s">
        <v>3047</v>
      </c>
      <c r="D1249" t="s">
        <v>20</v>
      </c>
      <c r="E1249" t="s">
        <v>39</v>
      </c>
      <c r="F1249">
        <v>0</v>
      </c>
      <c r="G1249">
        <v>0</v>
      </c>
      <c r="H1249">
        <v>1</v>
      </c>
      <c r="I1249" s="3">
        <v>911.09</v>
      </c>
      <c r="J1249" s="3">
        <v>0</v>
      </c>
      <c r="L1249">
        <v>639</v>
      </c>
      <c r="M1249" t="s">
        <v>1315</v>
      </c>
      <c r="N1249" t="s">
        <v>30</v>
      </c>
      <c r="O1249" t="s">
        <v>31</v>
      </c>
      <c r="P1249" t="str">
        <f>"15206"</f>
        <v>15206</v>
      </c>
    </row>
    <row r="1250" spans="1:16" x14ac:dyDescent="0.25">
      <c r="A1250" t="str">
        <f>"1050010K00279    00"</f>
        <v>1050010K00279    00</v>
      </c>
      <c r="B1250" t="s">
        <v>3048</v>
      </c>
      <c r="C1250" t="s">
        <v>3049</v>
      </c>
      <c r="D1250" t="s">
        <v>20</v>
      </c>
      <c r="E1250" t="s">
        <v>39</v>
      </c>
      <c r="F1250">
        <v>0</v>
      </c>
      <c r="G1250">
        <v>0</v>
      </c>
      <c r="H1250">
        <v>1</v>
      </c>
      <c r="I1250" s="3">
        <v>465.76</v>
      </c>
      <c r="J1250" s="3">
        <v>3.88</v>
      </c>
      <c r="L1250">
        <v>2243</v>
      </c>
      <c r="M1250" t="s">
        <v>3050</v>
      </c>
      <c r="N1250" t="s">
        <v>30</v>
      </c>
      <c r="O1250" t="s">
        <v>31</v>
      </c>
      <c r="P1250" t="str">
        <f>"15219"</f>
        <v>15219</v>
      </c>
    </row>
    <row r="1251" spans="1:16" x14ac:dyDescent="0.25">
      <c r="A1251" t="str">
        <f>"1050010K00281    00"</f>
        <v>1050010K00281    00</v>
      </c>
      <c r="B1251" t="s">
        <v>3051</v>
      </c>
      <c r="C1251" t="s">
        <v>3052</v>
      </c>
      <c r="D1251" t="s">
        <v>20</v>
      </c>
      <c r="E1251" t="s">
        <v>39</v>
      </c>
      <c r="F1251">
        <v>0</v>
      </c>
      <c r="G1251">
        <v>0</v>
      </c>
      <c r="H1251">
        <v>4</v>
      </c>
      <c r="I1251" s="3">
        <v>3246.98</v>
      </c>
      <c r="J1251" s="3">
        <v>334.36</v>
      </c>
      <c r="K1251" t="s">
        <v>3053</v>
      </c>
      <c r="L1251">
        <v>3219</v>
      </c>
      <c r="M1251" t="s">
        <v>1905</v>
      </c>
      <c r="N1251" t="s">
        <v>30</v>
      </c>
      <c r="O1251" t="s">
        <v>31</v>
      </c>
      <c r="P1251" t="str">
        <f>"15213"</f>
        <v>15213</v>
      </c>
    </row>
    <row r="1252" spans="1:16" x14ac:dyDescent="0.25">
      <c r="A1252" t="str">
        <f>"1050010K00293    00"</f>
        <v>1050010K00293    00</v>
      </c>
      <c r="B1252" t="s">
        <v>3054</v>
      </c>
      <c r="C1252" t="s">
        <v>3055</v>
      </c>
      <c r="D1252" t="s">
        <v>20</v>
      </c>
      <c r="E1252" t="s">
        <v>39</v>
      </c>
      <c r="F1252">
        <v>0</v>
      </c>
      <c r="G1252">
        <v>0</v>
      </c>
      <c r="H1252">
        <v>1</v>
      </c>
      <c r="I1252" s="3">
        <v>446.62</v>
      </c>
      <c r="J1252" s="3">
        <v>0</v>
      </c>
      <c r="L1252">
        <v>2240</v>
      </c>
      <c r="M1252" t="s">
        <v>3050</v>
      </c>
      <c r="N1252" t="s">
        <v>30</v>
      </c>
      <c r="O1252" t="s">
        <v>31</v>
      </c>
      <c r="P1252" t="str">
        <f>"15219"</f>
        <v>15219</v>
      </c>
    </row>
    <row r="1253" spans="1:16" x14ac:dyDescent="0.25">
      <c r="A1253" t="str">
        <f>"1050010K00331    00"</f>
        <v>1050010K00331    00</v>
      </c>
      <c r="B1253" t="s">
        <v>3056</v>
      </c>
      <c r="C1253" t="s">
        <v>3057</v>
      </c>
      <c r="D1253" t="s">
        <v>20</v>
      </c>
      <c r="E1253" t="s">
        <v>39</v>
      </c>
      <c r="F1253">
        <v>0</v>
      </c>
      <c r="G1253">
        <v>0</v>
      </c>
      <c r="H1253">
        <v>4</v>
      </c>
      <c r="I1253" s="3">
        <v>1583.74</v>
      </c>
      <c r="J1253" s="3">
        <v>136.41999999999999</v>
      </c>
      <c r="L1253">
        <v>626</v>
      </c>
      <c r="M1253" t="s">
        <v>3050</v>
      </c>
      <c r="N1253" t="s">
        <v>30</v>
      </c>
      <c r="O1253" t="s">
        <v>31</v>
      </c>
      <c r="P1253" t="str">
        <f>"15219"</f>
        <v>15219</v>
      </c>
    </row>
    <row r="1254" spans="1:16" x14ac:dyDescent="0.25">
      <c r="A1254" t="str">
        <f>"1050010K00342    00"</f>
        <v>1050010K00342    00</v>
      </c>
      <c r="B1254" t="s">
        <v>3058</v>
      </c>
      <c r="C1254" t="s">
        <v>3059</v>
      </c>
      <c r="D1254" t="s">
        <v>20</v>
      </c>
      <c r="E1254" t="s">
        <v>39</v>
      </c>
      <c r="F1254">
        <v>0</v>
      </c>
      <c r="G1254">
        <v>0</v>
      </c>
      <c r="H1254">
        <v>18</v>
      </c>
      <c r="I1254" s="3">
        <v>11806.55</v>
      </c>
      <c r="J1254" s="3">
        <v>10113.91</v>
      </c>
      <c r="L1254">
        <v>470</v>
      </c>
      <c r="M1254" t="s">
        <v>3060</v>
      </c>
      <c r="N1254" t="s">
        <v>30</v>
      </c>
      <c r="O1254" t="s">
        <v>31</v>
      </c>
      <c r="P1254" t="str">
        <f>"15206"</f>
        <v>15206</v>
      </c>
    </row>
    <row r="1255" spans="1:16" x14ac:dyDescent="0.25">
      <c r="A1255" t="str">
        <f>"1050010K00344    00"</f>
        <v>1050010K00344    00</v>
      </c>
      <c r="B1255" t="s">
        <v>2803</v>
      </c>
      <c r="C1255" t="s">
        <v>3061</v>
      </c>
      <c r="E1255" t="s">
        <v>39</v>
      </c>
      <c r="F1255">
        <v>0</v>
      </c>
      <c r="G1255">
        <v>0</v>
      </c>
      <c r="H1255">
        <v>7</v>
      </c>
      <c r="I1255" s="3">
        <v>6795.44</v>
      </c>
      <c r="J1255" s="3">
        <v>9753.59</v>
      </c>
      <c r="L1255">
        <v>7</v>
      </c>
      <c r="M1255" t="s">
        <v>2804</v>
      </c>
      <c r="N1255" t="s">
        <v>30</v>
      </c>
      <c r="O1255" t="s">
        <v>31</v>
      </c>
      <c r="P1255" t="str">
        <f>"15219"</f>
        <v>15219</v>
      </c>
    </row>
    <row r="1256" spans="1:16" x14ac:dyDescent="0.25">
      <c r="A1256" t="str">
        <f>"1050010K00354    00"</f>
        <v>1050010K00354    00</v>
      </c>
      <c r="B1256" t="s">
        <v>3062</v>
      </c>
      <c r="C1256" t="s">
        <v>1188</v>
      </c>
      <c r="E1256" t="s">
        <v>39</v>
      </c>
      <c r="F1256">
        <v>0</v>
      </c>
      <c r="G1256">
        <v>0</v>
      </c>
      <c r="H1256">
        <v>3</v>
      </c>
      <c r="I1256" s="3">
        <v>790.65</v>
      </c>
      <c r="J1256" s="3">
        <v>124.7</v>
      </c>
      <c r="L1256">
        <v>135</v>
      </c>
      <c r="M1256" t="s">
        <v>3063</v>
      </c>
      <c r="N1256" t="s">
        <v>553</v>
      </c>
      <c r="O1256" t="s">
        <v>1269</v>
      </c>
      <c r="P1256" t="str">
        <f>"06606"</f>
        <v>06606</v>
      </c>
    </row>
    <row r="1257" spans="1:16" x14ac:dyDescent="0.25">
      <c r="A1257" t="str">
        <f>"1050010K00367    00"</f>
        <v>1050010K00367    00</v>
      </c>
      <c r="B1257" t="s">
        <v>2564</v>
      </c>
      <c r="C1257" t="s">
        <v>2556</v>
      </c>
      <c r="D1257" t="s">
        <v>20</v>
      </c>
      <c r="E1257" t="s">
        <v>39</v>
      </c>
      <c r="F1257">
        <v>0</v>
      </c>
      <c r="G1257">
        <v>0</v>
      </c>
      <c r="H1257">
        <v>13</v>
      </c>
      <c r="I1257" s="3">
        <v>6131.04</v>
      </c>
      <c r="J1257" s="3">
        <v>5996.51</v>
      </c>
      <c r="K1257" t="s">
        <v>2567</v>
      </c>
      <c r="L1257">
        <v>495</v>
      </c>
      <c r="M1257" t="s">
        <v>2565</v>
      </c>
      <c r="N1257" t="s">
        <v>2566</v>
      </c>
      <c r="O1257" t="s">
        <v>423</v>
      </c>
      <c r="P1257" t="str">
        <f>"08807"</f>
        <v>08807</v>
      </c>
    </row>
    <row r="1258" spans="1:16" x14ac:dyDescent="0.25">
      <c r="A1258" t="str">
        <f>"1050010K00400    00"</f>
        <v>1050010K00400    00</v>
      </c>
      <c r="B1258" t="s">
        <v>944</v>
      </c>
      <c r="C1258" t="s">
        <v>3064</v>
      </c>
      <c r="E1258" t="s">
        <v>207</v>
      </c>
      <c r="F1258">
        <v>0</v>
      </c>
      <c r="G1258">
        <v>0</v>
      </c>
      <c r="H1258">
        <v>1</v>
      </c>
      <c r="I1258" s="3">
        <v>1027.29</v>
      </c>
      <c r="J1258" s="3">
        <v>710.52</v>
      </c>
      <c r="K1258" t="s">
        <v>2962</v>
      </c>
      <c r="L1258">
        <v>200</v>
      </c>
      <c r="M1258" t="s">
        <v>984</v>
      </c>
      <c r="N1258" t="s">
        <v>30</v>
      </c>
      <c r="O1258" t="s">
        <v>31</v>
      </c>
      <c r="P1258" t="str">
        <f>"15219"</f>
        <v>15219</v>
      </c>
    </row>
    <row r="1259" spans="1:16" x14ac:dyDescent="0.25">
      <c r="A1259" t="str">
        <f>"1050010K00402    00"</f>
        <v>1050010K00402    00</v>
      </c>
      <c r="B1259" t="s">
        <v>944</v>
      </c>
      <c r="C1259" t="s">
        <v>3065</v>
      </c>
      <c r="E1259" t="s">
        <v>39</v>
      </c>
      <c r="F1259">
        <v>0</v>
      </c>
      <c r="G1259">
        <v>0</v>
      </c>
      <c r="H1259">
        <v>1</v>
      </c>
      <c r="I1259" s="3">
        <v>1119.8599999999999</v>
      </c>
      <c r="J1259" s="3">
        <v>774.53</v>
      </c>
      <c r="K1259" t="s">
        <v>2962</v>
      </c>
      <c r="L1259">
        <v>200</v>
      </c>
      <c r="M1259" t="s">
        <v>984</v>
      </c>
      <c r="N1259" t="s">
        <v>30</v>
      </c>
      <c r="O1259" t="s">
        <v>31</v>
      </c>
      <c r="P1259" t="str">
        <f>"15219"</f>
        <v>15219</v>
      </c>
    </row>
    <row r="1260" spans="1:16" x14ac:dyDescent="0.25">
      <c r="A1260" t="str">
        <f>"1050010K00404    00"</f>
        <v>1050010K00404    00</v>
      </c>
      <c r="B1260" t="s">
        <v>944</v>
      </c>
      <c r="C1260" t="s">
        <v>3066</v>
      </c>
      <c r="E1260" t="s">
        <v>39</v>
      </c>
      <c r="F1260">
        <v>0</v>
      </c>
      <c r="G1260">
        <v>0</v>
      </c>
      <c r="H1260">
        <v>1</v>
      </c>
      <c r="I1260" s="3">
        <v>608.03</v>
      </c>
      <c r="J1260" s="3">
        <v>420.54</v>
      </c>
      <c r="K1260" t="s">
        <v>2962</v>
      </c>
      <c r="L1260">
        <v>200</v>
      </c>
      <c r="M1260" t="s">
        <v>984</v>
      </c>
      <c r="N1260" t="s">
        <v>30</v>
      </c>
      <c r="O1260" t="s">
        <v>31</v>
      </c>
      <c r="P1260" t="str">
        <f>"15219"</f>
        <v>15219</v>
      </c>
    </row>
    <row r="1261" spans="1:16" x14ac:dyDescent="0.25">
      <c r="A1261" t="str">
        <f>"1050010L00003    00"</f>
        <v>1050010L00003    00</v>
      </c>
      <c r="B1261" t="s">
        <v>3067</v>
      </c>
      <c r="C1261" t="s">
        <v>3068</v>
      </c>
      <c r="D1261" t="s">
        <v>20</v>
      </c>
      <c r="E1261" t="s">
        <v>21</v>
      </c>
      <c r="F1261">
        <v>0</v>
      </c>
      <c r="G1261">
        <v>0</v>
      </c>
      <c r="H1261">
        <v>1</v>
      </c>
      <c r="I1261" s="3">
        <v>3535.64</v>
      </c>
      <c r="J1261" s="3">
        <v>0</v>
      </c>
      <c r="K1261" t="s">
        <v>2001</v>
      </c>
      <c r="L1261">
        <v>290</v>
      </c>
      <c r="M1261" t="s">
        <v>2002</v>
      </c>
      <c r="N1261" t="s">
        <v>30</v>
      </c>
      <c r="O1261" t="s">
        <v>31</v>
      </c>
      <c r="P1261" t="str">
        <f>"15205"</f>
        <v>15205</v>
      </c>
    </row>
    <row r="1262" spans="1:16" x14ac:dyDescent="0.25">
      <c r="A1262" t="str">
        <f>"1050010L00012    00"</f>
        <v>1050010L00012    00</v>
      </c>
      <c r="B1262" t="s">
        <v>3067</v>
      </c>
      <c r="C1262" t="s">
        <v>3068</v>
      </c>
      <c r="D1262" t="s">
        <v>20</v>
      </c>
      <c r="E1262" t="s">
        <v>21</v>
      </c>
      <c r="F1262">
        <v>0</v>
      </c>
      <c r="G1262">
        <v>0</v>
      </c>
      <c r="H1262">
        <v>1</v>
      </c>
      <c r="I1262" s="3">
        <v>6852.08</v>
      </c>
      <c r="J1262" s="3">
        <v>0</v>
      </c>
      <c r="K1262" t="s">
        <v>2001</v>
      </c>
      <c r="L1262">
        <v>290</v>
      </c>
      <c r="M1262" t="s">
        <v>2002</v>
      </c>
      <c r="N1262" t="s">
        <v>30</v>
      </c>
      <c r="O1262" t="s">
        <v>31</v>
      </c>
      <c r="P1262" t="str">
        <f>"15205"</f>
        <v>15205</v>
      </c>
    </row>
    <row r="1263" spans="1:16" x14ac:dyDescent="0.25">
      <c r="A1263" t="str">
        <f>"1050010L00063    00"</f>
        <v>1050010L00063    00</v>
      </c>
      <c r="B1263" t="s">
        <v>218</v>
      </c>
      <c r="C1263" t="s">
        <v>2671</v>
      </c>
      <c r="E1263" t="s">
        <v>39</v>
      </c>
      <c r="F1263">
        <v>0</v>
      </c>
      <c r="G1263">
        <v>0</v>
      </c>
      <c r="H1263">
        <v>1</v>
      </c>
      <c r="I1263" s="3">
        <v>234.84</v>
      </c>
      <c r="J1263" s="3">
        <v>318.98</v>
      </c>
      <c r="K1263" t="s">
        <v>220</v>
      </c>
      <c r="L1263">
        <v>412</v>
      </c>
      <c r="M1263" t="s">
        <v>221</v>
      </c>
      <c r="N1263" t="s">
        <v>30</v>
      </c>
      <c r="O1263" t="s">
        <v>31</v>
      </c>
      <c r="P1263" t="str">
        <f>"15219"</f>
        <v>15219</v>
      </c>
    </row>
    <row r="1264" spans="1:16" x14ac:dyDescent="0.25">
      <c r="A1264" t="str">
        <f>"1050010L00095000600"</f>
        <v>1050010L00095000600</v>
      </c>
      <c r="B1264" t="s">
        <v>3069</v>
      </c>
      <c r="C1264" t="s">
        <v>3070</v>
      </c>
      <c r="D1264" t="s">
        <v>20</v>
      </c>
      <c r="E1264" t="s">
        <v>39</v>
      </c>
      <c r="F1264">
        <v>0</v>
      </c>
      <c r="G1264">
        <v>0</v>
      </c>
      <c r="H1264">
        <v>1</v>
      </c>
      <c r="I1264" s="3">
        <v>371.68</v>
      </c>
      <c r="J1264" s="3">
        <v>0</v>
      </c>
      <c r="K1264" t="s">
        <v>3071</v>
      </c>
      <c r="L1264">
        <v>6850</v>
      </c>
      <c r="M1264" t="s">
        <v>763</v>
      </c>
      <c r="N1264" t="s">
        <v>764</v>
      </c>
      <c r="O1264" t="s">
        <v>25</v>
      </c>
      <c r="P1264" t="str">
        <f>"44141"</f>
        <v>44141</v>
      </c>
    </row>
    <row r="1265" spans="1:16" x14ac:dyDescent="0.25">
      <c r="A1265" t="str">
        <f>"1050010L00102    00"</f>
        <v>1050010L00102    00</v>
      </c>
      <c r="B1265" t="s">
        <v>3072</v>
      </c>
      <c r="C1265" t="s">
        <v>1188</v>
      </c>
      <c r="D1265" t="s">
        <v>20</v>
      </c>
      <c r="E1265" t="s">
        <v>39</v>
      </c>
      <c r="F1265">
        <v>0</v>
      </c>
      <c r="G1265">
        <v>0</v>
      </c>
      <c r="H1265">
        <v>4</v>
      </c>
      <c r="I1265" s="3">
        <v>37.76</v>
      </c>
      <c r="J1265" s="3">
        <v>4.66</v>
      </c>
      <c r="K1265" t="s">
        <v>3073</v>
      </c>
      <c r="L1265">
        <v>112</v>
      </c>
      <c r="M1265" t="s">
        <v>3074</v>
      </c>
      <c r="N1265" t="s">
        <v>30</v>
      </c>
      <c r="O1265" t="s">
        <v>31</v>
      </c>
      <c r="P1265" t="str">
        <f t="shared" ref="P1265:P1270" si="17">"15219"</f>
        <v>15219</v>
      </c>
    </row>
    <row r="1266" spans="1:16" x14ac:dyDescent="0.25">
      <c r="A1266" t="str">
        <f>"1050010L00104    00"</f>
        <v>1050010L00104    00</v>
      </c>
      <c r="B1266" t="s">
        <v>3075</v>
      </c>
      <c r="C1266" t="s">
        <v>1188</v>
      </c>
      <c r="E1266" t="s">
        <v>39</v>
      </c>
      <c r="F1266">
        <v>0</v>
      </c>
      <c r="G1266">
        <v>0</v>
      </c>
      <c r="H1266">
        <v>16</v>
      </c>
      <c r="I1266" s="3">
        <v>12000.52</v>
      </c>
      <c r="J1266" s="3">
        <v>15197.02</v>
      </c>
      <c r="L1266">
        <v>2621</v>
      </c>
      <c r="M1266" t="s">
        <v>2800</v>
      </c>
      <c r="N1266" t="s">
        <v>30</v>
      </c>
      <c r="O1266" t="s">
        <v>31</v>
      </c>
      <c r="P1266" t="str">
        <f t="shared" si="17"/>
        <v>15219</v>
      </c>
    </row>
    <row r="1267" spans="1:16" x14ac:dyDescent="0.25">
      <c r="A1267" t="str">
        <f>"1050010L00105    01"</f>
        <v>1050010L00105    01</v>
      </c>
      <c r="B1267" t="s">
        <v>3076</v>
      </c>
      <c r="C1267" t="s">
        <v>3077</v>
      </c>
      <c r="D1267" t="s">
        <v>20</v>
      </c>
      <c r="E1267" t="s">
        <v>39</v>
      </c>
      <c r="F1267">
        <v>0</v>
      </c>
      <c r="G1267">
        <v>0</v>
      </c>
      <c r="H1267">
        <v>1</v>
      </c>
      <c r="I1267" s="3">
        <v>549</v>
      </c>
      <c r="J1267" s="3">
        <v>0</v>
      </c>
      <c r="L1267">
        <v>2310</v>
      </c>
      <c r="M1267" t="s">
        <v>1132</v>
      </c>
      <c r="N1267" t="s">
        <v>30</v>
      </c>
      <c r="O1267" t="s">
        <v>31</v>
      </c>
      <c r="P1267" t="str">
        <f t="shared" si="17"/>
        <v>15219</v>
      </c>
    </row>
    <row r="1268" spans="1:16" x14ac:dyDescent="0.25">
      <c r="A1268" t="str">
        <f>"1050010L00121    00"</f>
        <v>1050010L00121    00</v>
      </c>
      <c r="B1268" t="s">
        <v>3078</v>
      </c>
      <c r="C1268" t="s">
        <v>1188</v>
      </c>
      <c r="E1268" t="s">
        <v>39</v>
      </c>
      <c r="F1268">
        <v>0</v>
      </c>
      <c r="G1268">
        <v>0</v>
      </c>
      <c r="H1268">
        <v>1</v>
      </c>
      <c r="I1268" s="3">
        <v>274.45999999999998</v>
      </c>
      <c r="J1268" s="3">
        <v>54.89</v>
      </c>
      <c r="L1268">
        <v>2401</v>
      </c>
      <c r="M1268" t="s">
        <v>1132</v>
      </c>
      <c r="N1268" t="s">
        <v>30</v>
      </c>
      <c r="O1268" t="s">
        <v>31</v>
      </c>
      <c r="P1268" t="str">
        <f t="shared" si="17"/>
        <v>15219</v>
      </c>
    </row>
    <row r="1269" spans="1:16" x14ac:dyDescent="0.25">
      <c r="A1269" t="str">
        <f>"1050010L00124    00"</f>
        <v>1050010L00124    00</v>
      </c>
      <c r="B1269" t="s">
        <v>3079</v>
      </c>
      <c r="C1269" t="s">
        <v>1188</v>
      </c>
      <c r="D1269" t="s">
        <v>20</v>
      </c>
      <c r="E1269" t="s">
        <v>21</v>
      </c>
      <c r="F1269">
        <v>0</v>
      </c>
      <c r="G1269">
        <v>0</v>
      </c>
      <c r="H1269">
        <v>5</v>
      </c>
      <c r="I1269" s="3">
        <v>855.76</v>
      </c>
      <c r="J1269" s="3">
        <v>166.99</v>
      </c>
      <c r="K1269" t="s">
        <v>3080</v>
      </c>
      <c r="L1269">
        <v>2315</v>
      </c>
      <c r="M1269" t="s">
        <v>1132</v>
      </c>
      <c r="N1269" t="s">
        <v>30</v>
      </c>
      <c r="O1269" t="s">
        <v>31</v>
      </c>
      <c r="P1269" t="str">
        <f t="shared" si="17"/>
        <v>15219</v>
      </c>
    </row>
    <row r="1270" spans="1:16" x14ac:dyDescent="0.25">
      <c r="A1270" t="str">
        <f>"1050010L00127    00"</f>
        <v>1050010L00127    00</v>
      </c>
      <c r="B1270" t="s">
        <v>3081</v>
      </c>
      <c r="C1270" t="s">
        <v>3082</v>
      </c>
      <c r="D1270" t="s">
        <v>20</v>
      </c>
      <c r="E1270" t="s">
        <v>21</v>
      </c>
      <c r="F1270">
        <v>0</v>
      </c>
      <c r="G1270">
        <v>0</v>
      </c>
      <c r="H1270">
        <v>16</v>
      </c>
      <c r="I1270" s="3">
        <v>31250.78</v>
      </c>
      <c r="J1270" s="3">
        <v>31615.17</v>
      </c>
      <c r="L1270">
        <v>2315</v>
      </c>
      <c r="M1270" t="s">
        <v>1132</v>
      </c>
      <c r="N1270" t="s">
        <v>30</v>
      </c>
      <c r="O1270" t="s">
        <v>31</v>
      </c>
      <c r="P1270" t="str">
        <f t="shared" si="17"/>
        <v>15219</v>
      </c>
    </row>
    <row r="1271" spans="1:16" x14ac:dyDescent="0.25">
      <c r="A1271" t="str">
        <f>"1050010L00134    00"</f>
        <v>1050010L00134    00</v>
      </c>
      <c r="B1271" t="s">
        <v>3083</v>
      </c>
      <c r="C1271" t="s">
        <v>3084</v>
      </c>
      <c r="D1271" t="s">
        <v>20</v>
      </c>
      <c r="E1271" t="s">
        <v>39</v>
      </c>
      <c r="F1271">
        <v>0</v>
      </c>
      <c r="G1271">
        <v>0</v>
      </c>
      <c r="H1271">
        <v>9</v>
      </c>
      <c r="I1271" s="3">
        <v>4517.24</v>
      </c>
      <c r="J1271" s="3">
        <v>678.07</v>
      </c>
      <c r="K1271" t="s">
        <v>3085</v>
      </c>
      <c r="L1271">
        <v>4345</v>
      </c>
      <c r="M1271" t="s">
        <v>3086</v>
      </c>
      <c r="N1271" t="s">
        <v>1320</v>
      </c>
      <c r="O1271" t="s">
        <v>1321</v>
      </c>
      <c r="P1271" t="str">
        <f>"89115"</f>
        <v>89115</v>
      </c>
    </row>
    <row r="1272" spans="1:16" x14ac:dyDescent="0.25">
      <c r="A1272" t="str">
        <f>"1050010L00139    00"</f>
        <v>1050010L00139    00</v>
      </c>
      <c r="B1272" t="s">
        <v>3087</v>
      </c>
      <c r="C1272" t="s">
        <v>1188</v>
      </c>
      <c r="D1272" t="s">
        <v>20</v>
      </c>
      <c r="E1272" t="s">
        <v>39</v>
      </c>
      <c r="F1272">
        <v>0</v>
      </c>
      <c r="G1272">
        <v>0</v>
      </c>
      <c r="H1272">
        <v>19</v>
      </c>
      <c r="I1272" s="3">
        <v>5241.28</v>
      </c>
      <c r="J1272" s="3">
        <v>5093.37</v>
      </c>
      <c r="K1272" t="s">
        <v>3088</v>
      </c>
      <c r="L1272">
        <v>6706</v>
      </c>
      <c r="M1272" t="s">
        <v>3089</v>
      </c>
      <c r="N1272" t="s">
        <v>30</v>
      </c>
      <c r="O1272" t="s">
        <v>31</v>
      </c>
      <c r="P1272" t="str">
        <f>"15206"</f>
        <v>15206</v>
      </c>
    </row>
    <row r="1273" spans="1:16" x14ac:dyDescent="0.25">
      <c r="A1273" t="str">
        <f>"1050010L00150    00"</f>
        <v>1050010L00150    00</v>
      </c>
      <c r="B1273" t="s">
        <v>3090</v>
      </c>
      <c r="C1273" t="s">
        <v>3091</v>
      </c>
      <c r="D1273" t="s">
        <v>20</v>
      </c>
      <c r="E1273" t="s">
        <v>39</v>
      </c>
      <c r="F1273">
        <v>0</v>
      </c>
      <c r="G1273">
        <v>0</v>
      </c>
      <c r="H1273">
        <v>7</v>
      </c>
      <c r="I1273" s="3">
        <v>2463.09</v>
      </c>
      <c r="J1273" s="3">
        <v>729.21</v>
      </c>
      <c r="L1273">
        <v>28</v>
      </c>
      <c r="M1273" t="s">
        <v>3092</v>
      </c>
      <c r="N1273" t="s">
        <v>30</v>
      </c>
      <c r="O1273" t="s">
        <v>31</v>
      </c>
      <c r="P1273" t="str">
        <f>"15219"</f>
        <v>15219</v>
      </c>
    </row>
    <row r="1274" spans="1:16" x14ac:dyDescent="0.25">
      <c r="A1274" t="str">
        <f>"1050010L00154    00"</f>
        <v>1050010L00154    00</v>
      </c>
      <c r="B1274" t="s">
        <v>3093</v>
      </c>
      <c r="C1274" t="s">
        <v>3094</v>
      </c>
      <c r="D1274" t="s">
        <v>20</v>
      </c>
      <c r="E1274" t="s">
        <v>21</v>
      </c>
      <c r="F1274">
        <v>0</v>
      </c>
      <c r="G1274">
        <v>0</v>
      </c>
      <c r="H1274">
        <v>8</v>
      </c>
      <c r="I1274" s="3">
        <v>2307.92</v>
      </c>
      <c r="J1274" s="3">
        <v>70.400000000000006</v>
      </c>
      <c r="L1274">
        <v>3325</v>
      </c>
      <c r="M1274" t="s">
        <v>3095</v>
      </c>
      <c r="N1274" t="s">
        <v>30</v>
      </c>
      <c r="O1274" t="s">
        <v>31</v>
      </c>
      <c r="P1274" t="str">
        <f>"15235"</f>
        <v>15235</v>
      </c>
    </row>
    <row r="1275" spans="1:16" x14ac:dyDescent="0.25">
      <c r="A1275" t="str">
        <f>"1050010L00154A   00"</f>
        <v>1050010L00154A   00</v>
      </c>
      <c r="B1275" t="s">
        <v>3096</v>
      </c>
      <c r="C1275" t="s">
        <v>3097</v>
      </c>
      <c r="E1275" t="s">
        <v>21</v>
      </c>
      <c r="F1275">
        <v>0</v>
      </c>
      <c r="G1275">
        <v>0</v>
      </c>
      <c r="H1275">
        <v>1</v>
      </c>
      <c r="I1275" s="3">
        <v>1803.07</v>
      </c>
      <c r="J1275" s="3">
        <v>360.6</v>
      </c>
      <c r="K1275" t="s">
        <v>3098</v>
      </c>
      <c r="L1275">
        <v>465</v>
      </c>
      <c r="M1275" t="s">
        <v>3099</v>
      </c>
      <c r="N1275" t="s">
        <v>605</v>
      </c>
      <c r="O1275" t="s">
        <v>606</v>
      </c>
      <c r="P1275" t="str">
        <f>"30331"</f>
        <v>30331</v>
      </c>
    </row>
    <row r="1276" spans="1:16" x14ac:dyDescent="0.25">
      <c r="A1276" t="str">
        <f>"1050010L00156    00"</f>
        <v>1050010L00156    00</v>
      </c>
      <c r="B1276" t="s">
        <v>3100</v>
      </c>
      <c r="C1276" t="s">
        <v>3101</v>
      </c>
      <c r="D1276" t="s">
        <v>20</v>
      </c>
      <c r="E1276" t="s">
        <v>21</v>
      </c>
      <c r="F1276">
        <v>0</v>
      </c>
      <c r="G1276">
        <v>0</v>
      </c>
      <c r="H1276">
        <v>12</v>
      </c>
      <c r="I1276" s="3">
        <v>11201.18</v>
      </c>
      <c r="J1276" s="3">
        <v>5891.92</v>
      </c>
      <c r="K1276" t="s">
        <v>3102</v>
      </c>
      <c r="L1276">
        <v>4537</v>
      </c>
      <c r="M1276" t="s">
        <v>3103</v>
      </c>
      <c r="N1276" t="s">
        <v>2644</v>
      </c>
      <c r="O1276" t="s">
        <v>1005</v>
      </c>
      <c r="P1276" t="str">
        <f>"85301"</f>
        <v>85301</v>
      </c>
    </row>
    <row r="1277" spans="1:16" x14ac:dyDescent="0.25">
      <c r="A1277" t="str">
        <f>"1050010L00159    00"</f>
        <v>1050010L00159    00</v>
      </c>
      <c r="B1277" t="s">
        <v>2679</v>
      </c>
      <c r="C1277" t="s">
        <v>1188</v>
      </c>
      <c r="D1277" t="s">
        <v>20</v>
      </c>
      <c r="E1277" t="s">
        <v>21</v>
      </c>
      <c r="F1277">
        <v>0</v>
      </c>
      <c r="G1277">
        <v>0</v>
      </c>
      <c r="H1277">
        <v>6</v>
      </c>
      <c r="I1277" s="3">
        <v>1969.36</v>
      </c>
      <c r="J1277" s="3">
        <v>682.02</v>
      </c>
      <c r="M1277" t="s">
        <v>2628</v>
      </c>
      <c r="N1277" t="s">
        <v>30</v>
      </c>
      <c r="O1277" t="s">
        <v>31</v>
      </c>
      <c r="P1277" t="str">
        <f>"15213"</f>
        <v>15213</v>
      </c>
    </row>
    <row r="1278" spans="1:16" x14ac:dyDescent="0.25">
      <c r="A1278" t="str">
        <f>"1050010L00167    00"</f>
        <v>1050010L00167    00</v>
      </c>
      <c r="B1278" t="s">
        <v>3104</v>
      </c>
      <c r="C1278" t="s">
        <v>3105</v>
      </c>
      <c r="D1278" t="s">
        <v>20</v>
      </c>
      <c r="E1278" t="s">
        <v>21</v>
      </c>
      <c r="F1278">
        <v>0</v>
      </c>
      <c r="G1278">
        <v>0</v>
      </c>
      <c r="H1278">
        <v>19</v>
      </c>
      <c r="I1278" s="3">
        <v>19478.560000000001</v>
      </c>
      <c r="J1278" s="3">
        <v>13087.52</v>
      </c>
      <c r="K1278" t="s">
        <v>3106</v>
      </c>
      <c r="L1278">
        <v>8376</v>
      </c>
      <c r="M1278" t="s">
        <v>3107</v>
      </c>
      <c r="N1278" t="s">
        <v>30</v>
      </c>
      <c r="O1278" t="s">
        <v>31</v>
      </c>
      <c r="P1278" t="str">
        <f>"15221"</f>
        <v>15221</v>
      </c>
    </row>
    <row r="1279" spans="1:16" x14ac:dyDescent="0.25">
      <c r="A1279" t="str">
        <f>"1050010L00171    00"</f>
        <v>1050010L00171    00</v>
      </c>
      <c r="B1279" t="s">
        <v>3108</v>
      </c>
      <c r="C1279" t="s">
        <v>3109</v>
      </c>
      <c r="D1279" t="s">
        <v>20</v>
      </c>
      <c r="E1279" t="s">
        <v>21</v>
      </c>
      <c r="F1279">
        <v>0</v>
      </c>
      <c r="G1279">
        <v>0</v>
      </c>
      <c r="H1279">
        <v>8</v>
      </c>
      <c r="I1279" s="3">
        <v>21778.05</v>
      </c>
      <c r="J1279" s="3">
        <v>7102.7</v>
      </c>
      <c r="K1279" t="s">
        <v>3110</v>
      </c>
      <c r="L1279">
        <v>522</v>
      </c>
      <c r="M1279" t="s">
        <v>2359</v>
      </c>
      <c r="N1279" t="s">
        <v>30</v>
      </c>
      <c r="O1279" t="s">
        <v>31</v>
      </c>
      <c r="P1279" t="str">
        <f>"15219"</f>
        <v>15219</v>
      </c>
    </row>
    <row r="1280" spans="1:16" x14ac:dyDescent="0.25">
      <c r="A1280" t="str">
        <f>"1050010L00173    00"</f>
        <v>1050010L00173    00</v>
      </c>
      <c r="B1280" t="s">
        <v>3108</v>
      </c>
      <c r="C1280" t="s">
        <v>3111</v>
      </c>
      <c r="D1280" t="s">
        <v>20</v>
      </c>
      <c r="E1280" t="s">
        <v>21</v>
      </c>
      <c r="F1280">
        <v>0</v>
      </c>
      <c r="G1280">
        <v>0</v>
      </c>
      <c r="H1280">
        <v>6</v>
      </c>
      <c r="I1280" s="3">
        <v>16515.45</v>
      </c>
      <c r="J1280" s="3">
        <v>3704.07</v>
      </c>
      <c r="K1280" t="s">
        <v>3110</v>
      </c>
      <c r="L1280">
        <v>1028</v>
      </c>
      <c r="M1280" t="s">
        <v>3112</v>
      </c>
      <c r="N1280" t="s">
        <v>30</v>
      </c>
      <c r="O1280" t="s">
        <v>31</v>
      </c>
      <c r="P1280" t="str">
        <f>"15201"</f>
        <v>15201</v>
      </c>
    </row>
    <row r="1281" spans="1:16" x14ac:dyDescent="0.25">
      <c r="A1281" t="str">
        <f>"1050010L00175    00"</f>
        <v>1050010L00175    00</v>
      </c>
      <c r="B1281" t="s">
        <v>3108</v>
      </c>
      <c r="C1281" t="s">
        <v>3113</v>
      </c>
      <c r="D1281" t="s">
        <v>20</v>
      </c>
      <c r="E1281" t="s">
        <v>21</v>
      </c>
      <c r="F1281">
        <v>0</v>
      </c>
      <c r="G1281">
        <v>0</v>
      </c>
      <c r="H1281">
        <v>7</v>
      </c>
      <c r="I1281" s="3">
        <v>16515.560000000001</v>
      </c>
      <c r="J1281" s="3">
        <v>3962.86</v>
      </c>
      <c r="L1281">
        <v>522</v>
      </c>
      <c r="M1281" t="s">
        <v>2359</v>
      </c>
      <c r="N1281" t="s">
        <v>30</v>
      </c>
      <c r="O1281" t="s">
        <v>31</v>
      </c>
      <c r="P1281" t="str">
        <f>"15219"</f>
        <v>15219</v>
      </c>
    </row>
    <row r="1282" spans="1:16" x14ac:dyDescent="0.25">
      <c r="A1282" t="str">
        <f>"1050010L00177    00"</f>
        <v>1050010L00177    00</v>
      </c>
      <c r="B1282" t="s">
        <v>3114</v>
      </c>
      <c r="C1282" t="s">
        <v>3115</v>
      </c>
      <c r="E1282" t="s">
        <v>21</v>
      </c>
      <c r="F1282">
        <v>0</v>
      </c>
      <c r="G1282">
        <v>0</v>
      </c>
      <c r="H1282">
        <v>1</v>
      </c>
      <c r="I1282" s="3">
        <v>1671.11</v>
      </c>
      <c r="J1282" s="3">
        <v>0</v>
      </c>
      <c r="K1282" t="s">
        <v>3116</v>
      </c>
      <c r="L1282">
        <v>1852</v>
      </c>
      <c r="M1282" t="s">
        <v>957</v>
      </c>
      <c r="N1282" t="s">
        <v>30</v>
      </c>
      <c r="O1282" t="s">
        <v>31</v>
      </c>
      <c r="P1282" t="str">
        <f>"15219"</f>
        <v>15219</v>
      </c>
    </row>
    <row r="1283" spans="1:16" x14ac:dyDescent="0.25">
      <c r="A1283" t="str">
        <f>"1050010L00246    00"</f>
        <v>1050010L00246    00</v>
      </c>
      <c r="B1283" t="s">
        <v>3117</v>
      </c>
      <c r="C1283" t="s">
        <v>2925</v>
      </c>
      <c r="D1283" t="s">
        <v>20</v>
      </c>
      <c r="E1283" t="s">
        <v>39</v>
      </c>
      <c r="F1283">
        <v>0</v>
      </c>
      <c r="G1283">
        <v>0</v>
      </c>
      <c r="H1283">
        <v>16</v>
      </c>
      <c r="I1283" s="3">
        <v>1706</v>
      </c>
      <c r="J1283" s="3">
        <v>1203.06</v>
      </c>
      <c r="L1283">
        <v>3025</v>
      </c>
      <c r="M1283" t="s">
        <v>3118</v>
      </c>
      <c r="N1283" t="s">
        <v>30</v>
      </c>
      <c r="O1283" t="s">
        <v>31</v>
      </c>
      <c r="P1283" t="str">
        <f>"15219"</f>
        <v>15219</v>
      </c>
    </row>
    <row r="1284" spans="1:16" x14ac:dyDescent="0.25">
      <c r="A1284" t="str">
        <f>"1050010L00247    00"</f>
        <v>1050010L00247    00</v>
      </c>
      <c r="B1284" t="s">
        <v>3117</v>
      </c>
      <c r="C1284" t="s">
        <v>3119</v>
      </c>
      <c r="D1284" t="s">
        <v>20</v>
      </c>
      <c r="E1284" t="s">
        <v>21</v>
      </c>
      <c r="F1284">
        <v>0</v>
      </c>
      <c r="G1284">
        <v>0</v>
      </c>
      <c r="H1284">
        <v>8</v>
      </c>
      <c r="I1284" s="3">
        <v>13601.54</v>
      </c>
      <c r="J1284" s="3">
        <v>4450.62</v>
      </c>
      <c r="L1284">
        <v>3025</v>
      </c>
      <c r="M1284" t="s">
        <v>3118</v>
      </c>
      <c r="N1284" t="s">
        <v>30</v>
      </c>
      <c r="O1284" t="s">
        <v>31</v>
      </c>
      <c r="P1284" t="str">
        <f>"15219"</f>
        <v>15219</v>
      </c>
    </row>
    <row r="1285" spans="1:16" x14ac:dyDescent="0.25">
      <c r="A1285" t="str">
        <f>"1050010L00262    00"</f>
        <v>1050010L00262    00</v>
      </c>
      <c r="B1285" t="s">
        <v>3120</v>
      </c>
      <c r="C1285" t="s">
        <v>3121</v>
      </c>
      <c r="D1285" t="s">
        <v>20</v>
      </c>
      <c r="E1285" t="s">
        <v>21</v>
      </c>
      <c r="F1285">
        <v>0</v>
      </c>
      <c r="G1285">
        <v>0</v>
      </c>
      <c r="H1285">
        <v>6</v>
      </c>
      <c r="I1285" s="3">
        <v>3830</v>
      </c>
      <c r="J1285" s="3">
        <v>742.33</v>
      </c>
      <c r="K1285" t="s">
        <v>3122</v>
      </c>
      <c r="L1285">
        <v>304</v>
      </c>
      <c r="M1285" t="s">
        <v>3123</v>
      </c>
      <c r="N1285" t="s">
        <v>30</v>
      </c>
      <c r="O1285" t="s">
        <v>31</v>
      </c>
      <c r="P1285" t="str">
        <f>"15210"</f>
        <v>15210</v>
      </c>
    </row>
    <row r="1286" spans="1:16" x14ac:dyDescent="0.25">
      <c r="A1286" t="str">
        <f>"1050010L00285    00"</f>
        <v>1050010L00285    00</v>
      </c>
      <c r="B1286" t="s">
        <v>3124</v>
      </c>
      <c r="C1286" t="s">
        <v>3125</v>
      </c>
      <c r="D1286" t="s">
        <v>20</v>
      </c>
      <c r="E1286" t="s">
        <v>39</v>
      </c>
      <c r="F1286">
        <v>0</v>
      </c>
      <c r="G1286">
        <v>0</v>
      </c>
      <c r="H1286">
        <v>7</v>
      </c>
      <c r="I1286" s="3">
        <v>6251.24</v>
      </c>
      <c r="J1286" s="3">
        <v>1848.17</v>
      </c>
      <c r="L1286">
        <v>511</v>
      </c>
      <c r="M1286" t="s">
        <v>3126</v>
      </c>
      <c r="N1286" t="s">
        <v>30</v>
      </c>
      <c r="O1286" t="s">
        <v>31</v>
      </c>
      <c r="P1286" t="str">
        <f>"15219"</f>
        <v>15219</v>
      </c>
    </row>
    <row r="1287" spans="1:16" x14ac:dyDescent="0.25">
      <c r="A1287" t="str">
        <f>"1050010L00300    00"</f>
        <v>1050010L00300    00</v>
      </c>
      <c r="B1287" t="s">
        <v>3127</v>
      </c>
      <c r="C1287" t="s">
        <v>3128</v>
      </c>
      <c r="D1287" t="s">
        <v>20</v>
      </c>
      <c r="E1287" t="s">
        <v>39</v>
      </c>
      <c r="F1287">
        <v>0</v>
      </c>
      <c r="G1287">
        <v>0</v>
      </c>
      <c r="H1287">
        <v>19</v>
      </c>
      <c r="I1287" s="3">
        <v>2327.65</v>
      </c>
      <c r="J1287" s="3">
        <v>2318.9899999999998</v>
      </c>
      <c r="L1287">
        <v>845</v>
      </c>
      <c r="M1287" t="s">
        <v>3129</v>
      </c>
      <c r="N1287" t="s">
        <v>903</v>
      </c>
      <c r="O1287" t="s">
        <v>31</v>
      </c>
      <c r="P1287" t="str">
        <f>"15136"</f>
        <v>15136</v>
      </c>
    </row>
    <row r="1288" spans="1:16" x14ac:dyDescent="0.25">
      <c r="A1288" t="str">
        <f>"1050010L00304    00"</f>
        <v>1050010L00304    00</v>
      </c>
      <c r="B1288" t="s">
        <v>3130</v>
      </c>
      <c r="C1288" t="s">
        <v>3131</v>
      </c>
      <c r="D1288" t="s">
        <v>20</v>
      </c>
      <c r="E1288" t="s">
        <v>39</v>
      </c>
      <c r="F1288">
        <v>0</v>
      </c>
      <c r="G1288">
        <v>0</v>
      </c>
      <c r="H1288">
        <v>1</v>
      </c>
      <c r="I1288" s="3">
        <v>50</v>
      </c>
      <c r="J1288" s="3">
        <v>0</v>
      </c>
      <c r="L1288">
        <v>510</v>
      </c>
      <c r="M1288" t="s">
        <v>3132</v>
      </c>
      <c r="N1288" t="s">
        <v>30</v>
      </c>
      <c r="O1288" t="s">
        <v>31</v>
      </c>
      <c r="P1288" t="str">
        <f>"15219"</f>
        <v>15219</v>
      </c>
    </row>
    <row r="1289" spans="1:16" x14ac:dyDescent="0.25">
      <c r="A1289" t="str">
        <f>"1050010L00305    00"</f>
        <v>1050010L00305    00</v>
      </c>
      <c r="B1289" t="s">
        <v>3133</v>
      </c>
      <c r="C1289" t="s">
        <v>3134</v>
      </c>
      <c r="D1289" t="s">
        <v>20</v>
      </c>
      <c r="E1289" t="s">
        <v>39</v>
      </c>
      <c r="F1289">
        <v>0</v>
      </c>
      <c r="G1289">
        <v>0</v>
      </c>
      <c r="H1289">
        <v>3</v>
      </c>
      <c r="I1289" s="3">
        <v>2291.3000000000002</v>
      </c>
      <c r="J1289" s="3">
        <v>150.99</v>
      </c>
      <c r="K1289" t="s">
        <v>3135</v>
      </c>
      <c r="L1289">
        <v>512</v>
      </c>
      <c r="M1289" t="s">
        <v>3126</v>
      </c>
      <c r="N1289" t="s">
        <v>30</v>
      </c>
      <c r="O1289" t="s">
        <v>31</v>
      </c>
      <c r="P1289" t="str">
        <f>"15219"</f>
        <v>15219</v>
      </c>
    </row>
    <row r="1290" spans="1:16" x14ac:dyDescent="0.25">
      <c r="A1290" t="str">
        <f>"1050010L00306    00"</f>
        <v>1050010L00306    00</v>
      </c>
      <c r="B1290" t="s">
        <v>3108</v>
      </c>
      <c r="C1290" t="s">
        <v>3136</v>
      </c>
      <c r="D1290" t="s">
        <v>20</v>
      </c>
      <c r="E1290" t="s">
        <v>39</v>
      </c>
      <c r="F1290">
        <v>0</v>
      </c>
      <c r="G1290">
        <v>0</v>
      </c>
      <c r="H1290">
        <v>7</v>
      </c>
      <c r="I1290" s="3">
        <v>2074.9899999999998</v>
      </c>
      <c r="J1290" s="3">
        <v>573.79999999999995</v>
      </c>
      <c r="K1290" t="s">
        <v>3137</v>
      </c>
      <c r="L1290">
        <v>522</v>
      </c>
      <c r="M1290" t="s">
        <v>2359</v>
      </c>
      <c r="N1290" t="s">
        <v>30</v>
      </c>
      <c r="O1290" t="s">
        <v>31</v>
      </c>
      <c r="P1290" t="str">
        <f>"15219"</f>
        <v>15219</v>
      </c>
    </row>
    <row r="1291" spans="1:16" x14ac:dyDescent="0.25">
      <c r="A1291" t="str">
        <f>"1050010L00308    00"</f>
        <v>1050010L00308    00</v>
      </c>
      <c r="B1291" t="s">
        <v>3138</v>
      </c>
      <c r="C1291" t="s">
        <v>3139</v>
      </c>
      <c r="D1291" t="s">
        <v>20</v>
      </c>
      <c r="E1291" t="s">
        <v>39</v>
      </c>
      <c r="F1291">
        <v>0</v>
      </c>
      <c r="G1291">
        <v>0</v>
      </c>
      <c r="H1291">
        <v>6</v>
      </c>
      <c r="I1291" s="3">
        <v>1847.1</v>
      </c>
      <c r="J1291" s="3">
        <v>328.79</v>
      </c>
      <c r="L1291">
        <v>518</v>
      </c>
      <c r="M1291" t="s">
        <v>3126</v>
      </c>
      <c r="N1291" t="s">
        <v>30</v>
      </c>
      <c r="O1291" t="s">
        <v>31</v>
      </c>
      <c r="P1291" t="str">
        <f>"15219"</f>
        <v>15219</v>
      </c>
    </row>
    <row r="1292" spans="1:16" x14ac:dyDescent="0.25">
      <c r="A1292" t="str">
        <f>"1050010L00309    00"</f>
        <v>1050010L00309    00</v>
      </c>
      <c r="B1292" t="s">
        <v>3138</v>
      </c>
      <c r="C1292" t="s">
        <v>3139</v>
      </c>
      <c r="D1292" t="s">
        <v>20</v>
      </c>
      <c r="E1292" t="s">
        <v>39</v>
      </c>
      <c r="F1292">
        <v>0</v>
      </c>
      <c r="G1292">
        <v>0</v>
      </c>
      <c r="H1292">
        <v>2</v>
      </c>
      <c r="I1292" s="3">
        <v>69.69</v>
      </c>
      <c r="J1292" s="3">
        <v>0</v>
      </c>
      <c r="L1292">
        <v>518</v>
      </c>
      <c r="M1292" t="s">
        <v>3126</v>
      </c>
      <c r="N1292" t="s">
        <v>30</v>
      </c>
      <c r="O1292" t="s">
        <v>31</v>
      </c>
      <c r="P1292" t="str">
        <f>"15219"</f>
        <v>15219</v>
      </c>
    </row>
    <row r="1293" spans="1:16" x14ac:dyDescent="0.25">
      <c r="A1293" t="str">
        <f>"1050010L00321    00"</f>
        <v>1050010L00321    00</v>
      </c>
      <c r="B1293" t="s">
        <v>3140</v>
      </c>
      <c r="C1293" t="s">
        <v>3128</v>
      </c>
      <c r="E1293" t="s">
        <v>39</v>
      </c>
      <c r="F1293">
        <v>0</v>
      </c>
      <c r="G1293">
        <v>0</v>
      </c>
      <c r="H1293">
        <v>5</v>
      </c>
      <c r="I1293" s="3">
        <v>41.97</v>
      </c>
      <c r="J1293" s="3">
        <v>16.39</v>
      </c>
      <c r="L1293">
        <v>385</v>
      </c>
      <c r="M1293" t="s">
        <v>3141</v>
      </c>
      <c r="N1293" t="s">
        <v>3142</v>
      </c>
      <c r="O1293" t="s">
        <v>606</v>
      </c>
      <c r="P1293" t="str">
        <f>"30016"</f>
        <v>30016</v>
      </c>
    </row>
    <row r="1294" spans="1:16" x14ac:dyDescent="0.25">
      <c r="A1294" t="str">
        <f>"1050010L00324    00"</f>
        <v>1050010L00324    00</v>
      </c>
      <c r="B1294" t="s">
        <v>3143</v>
      </c>
      <c r="C1294" t="s">
        <v>2671</v>
      </c>
      <c r="D1294" t="s">
        <v>20</v>
      </c>
      <c r="E1294" t="s">
        <v>39</v>
      </c>
      <c r="F1294">
        <v>0</v>
      </c>
      <c r="G1294">
        <v>0</v>
      </c>
      <c r="H1294">
        <v>19</v>
      </c>
      <c r="I1294" s="3">
        <v>8480.7800000000007</v>
      </c>
      <c r="J1294" s="3">
        <v>9611.4599999999991</v>
      </c>
      <c r="K1294" t="s">
        <v>3144</v>
      </c>
      <c r="L1294">
        <v>715</v>
      </c>
      <c r="M1294" t="s">
        <v>3145</v>
      </c>
      <c r="N1294" t="s">
        <v>30</v>
      </c>
      <c r="O1294" t="s">
        <v>31</v>
      </c>
      <c r="P1294" t="str">
        <f t="shared" ref="P1294:P1299" si="18">"15219"</f>
        <v>15219</v>
      </c>
    </row>
    <row r="1295" spans="1:16" x14ac:dyDescent="0.25">
      <c r="A1295" t="str">
        <f>"1050010L00325    00"</f>
        <v>1050010L00325    00</v>
      </c>
      <c r="B1295" t="s">
        <v>3146</v>
      </c>
      <c r="C1295" t="s">
        <v>3147</v>
      </c>
      <c r="E1295" t="s">
        <v>39</v>
      </c>
      <c r="F1295">
        <v>0</v>
      </c>
      <c r="G1295">
        <v>0</v>
      </c>
      <c r="H1295">
        <v>1</v>
      </c>
      <c r="I1295" s="3">
        <v>165.4</v>
      </c>
      <c r="J1295" s="3">
        <v>33.07</v>
      </c>
      <c r="L1295">
        <v>2522</v>
      </c>
      <c r="M1295" t="s">
        <v>2666</v>
      </c>
      <c r="N1295" t="s">
        <v>30</v>
      </c>
      <c r="O1295" t="s">
        <v>31</v>
      </c>
      <c r="P1295" t="str">
        <f t="shared" si="18"/>
        <v>15219</v>
      </c>
    </row>
    <row r="1296" spans="1:16" x14ac:dyDescent="0.25">
      <c r="A1296" t="str">
        <f>"1050010L00326    00"</f>
        <v>1050010L00326    00</v>
      </c>
      <c r="B1296" t="s">
        <v>3146</v>
      </c>
      <c r="C1296" t="s">
        <v>3147</v>
      </c>
      <c r="E1296" t="s">
        <v>39</v>
      </c>
      <c r="F1296">
        <v>0</v>
      </c>
      <c r="G1296">
        <v>0</v>
      </c>
      <c r="H1296">
        <v>3</v>
      </c>
      <c r="I1296" s="3">
        <v>384.41</v>
      </c>
      <c r="J1296" s="3">
        <v>64.17</v>
      </c>
      <c r="L1296">
        <v>2522</v>
      </c>
      <c r="M1296" t="s">
        <v>2666</v>
      </c>
      <c r="N1296" t="s">
        <v>30</v>
      </c>
      <c r="O1296" t="s">
        <v>31</v>
      </c>
      <c r="P1296" t="str">
        <f t="shared" si="18"/>
        <v>15219</v>
      </c>
    </row>
    <row r="1297" spans="1:16" x14ac:dyDescent="0.25">
      <c r="A1297" t="str">
        <f>"1050010L00327    00"</f>
        <v>1050010L00327    00</v>
      </c>
      <c r="B1297" t="s">
        <v>3148</v>
      </c>
      <c r="C1297" t="s">
        <v>3149</v>
      </c>
      <c r="D1297" t="s">
        <v>20</v>
      </c>
      <c r="E1297" t="s">
        <v>39</v>
      </c>
      <c r="F1297">
        <v>0</v>
      </c>
      <c r="G1297">
        <v>0</v>
      </c>
      <c r="H1297">
        <v>4</v>
      </c>
      <c r="I1297" s="3">
        <v>2191.9299999999998</v>
      </c>
      <c r="J1297" s="3">
        <v>318.52</v>
      </c>
      <c r="L1297">
        <v>2518</v>
      </c>
      <c r="M1297" t="s">
        <v>2666</v>
      </c>
      <c r="N1297" t="s">
        <v>30</v>
      </c>
      <c r="O1297" t="s">
        <v>31</v>
      </c>
      <c r="P1297" t="str">
        <f t="shared" si="18"/>
        <v>15219</v>
      </c>
    </row>
    <row r="1298" spans="1:16" x14ac:dyDescent="0.25">
      <c r="A1298" t="str">
        <f>"1050010L00332    00"</f>
        <v>1050010L00332    00</v>
      </c>
      <c r="B1298" t="s">
        <v>3150</v>
      </c>
      <c r="C1298" t="s">
        <v>3151</v>
      </c>
      <c r="D1298" t="s">
        <v>20</v>
      </c>
      <c r="E1298" t="s">
        <v>39</v>
      </c>
      <c r="F1298">
        <v>0</v>
      </c>
      <c r="G1298">
        <v>0</v>
      </c>
      <c r="H1298">
        <v>1</v>
      </c>
      <c r="I1298" s="3">
        <v>191.18</v>
      </c>
      <c r="J1298" s="3">
        <v>0</v>
      </c>
      <c r="L1298">
        <v>2503</v>
      </c>
      <c r="M1298" t="s">
        <v>2822</v>
      </c>
      <c r="N1298" t="s">
        <v>30</v>
      </c>
      <c r="O1298" t="s">
        <v>31</v>
      </c>
      <c r="P1298" t="str">
        <f t="shared" si="18"/>
        <v>15219</v>
      </c>
    </row>
    <row r="1299" spans="1:16" x14ac:dyDescent="0.25">
      <c r="A1299" t="str">
        <f>"1050010L00335    00"</f>
        <v>1050010L00335    00</v>
      </c>
      <c r="B1299" t="s">
        <v>3152</v>
      </c>
      <c r="C1299" t="s">
        <v>3153</v>
      </c>
      <c r="D1299" t="s">
        <v>20</v>
      </c>
      <c r="E1299" t="s">
        <v>39</v>
      </c>
      <c r="F1299">
        <v>0</v>
      </c>
      <c r="G1299">
        <v>0</v>
      </c>
      <c r="H1299">
        <v>2</v>
      </c>
      <c r="I1299" s="3">
        <v>1158.8599999999999</v>
      </c>
      <c r="J1299" s="3">
        <v>0</v>
      </c>
      <c r="L1299">
        <v>2509</v>
      </c>
      <c r="M1299" t="s">
        <v>2822</v>
      </c>
      <c r="N1299" t="s">
        <v>30</v>
      </c>
      <c r="O1299" t="s">
        <v>31</v>
      </c>
      <c r="P1299" t="str">
        <f t="shared" si="18"/>
        <v>15219</v>
      </c>
    </row>
    <row r="1300" spans="1:16" x14ac:dyDescent="0.25">
      <c r="A1300" t="str">
        <f>"1050010M00005    00"</f>
        <v>1050010M00005    00</v>
      </c>
      <c r="B1300" t="s">
        <v>3154</v>
      </c>
      <c r="C1300" t="s">
        <v>3155</v>
      </c>
      <c r="D1300" t="s">
        <v>20</v>
      </c>
      <c r="E1300" t="s">
        <v>39</v>
      </c>
      <c r="F1300">
        <v>0</v>
      </c>
      <c r="G1300">
        <v>0</v>
      </c>
      <c r="H1300">
        <v>19</v>
      </c>
      <c r="I1300" s="3">
        <v>4169.25</v>
      </c>
      <c r="J1300" s="3">
        <v>3027.7</v>
      </c>
      <c r="K1300" t="s">
        <v>3156</v>
      </c>
      <c r="L1300">
        <v>5704</v>
      </c>
      <c r="M1300" t="s">
        <v>3157</v>
      </c>
      <c r="N1300" t="s">
        <v>30</v>
      </c>
      <c r="O1300" t="s">
        <v>31</v>
      </c>
      <c r="P1300" t="str">
        <f>"15206"</f>
        <v>15206</v>
      </c>
    </row>
    <row r="1301" spans="1:16" x14ac:dyDescent="0.25">
      <c r="A1301" t="str">
        <f>"1050010M00006    00"</f>
        <v>1050010M00006    00</v>
      </c>
      <c r="B1301" t="s">
        <v>3158</v>
      </c>
      <c r="C1301" t="s">
        <v>3159</v>
      </c>
      <c r="D1301" t="s">
        <v>20</v>
      </c>
      <c r="E1301" t="s">
        <v>39</v>
      </c>
      <c r="F1301">
        <v>0</v>
      </c>
      <c r="G1301">
        <v>0</v>
      </c>
      <c r="H1301">
        <v>3</v>
      </c>
      <c r="I1301" s="3">
        <v>1062.3499999999999</v>
      </c>
      <c r="J1301" s="3">
        <v>174.11</v>
      </c>
      <c r="L1301">
        <v>2515</v>
      </c>
      <c r="M1301" t="s">
        <v>2822</v>
      </c>
      <c r="N1301" t="s">
        <v>30</v>
      </c>
      <c r="O1301" t="s">
        <v>31</v>
      </c>
      <c r="P1301" t="str">
        <f>"15219"</f>
        <v>15219</v>
      </c>
    </row>
    <row r="1302" spans="1:16" x14ac:dyDescent="0.25">
      <c r="A1302" t="str">
        <f>"1050010M00007    00"</f>
        <v>1050010M00007    00</v>
      </c>
      <c r="B1302" t="s">
        <v>3160</v>
      </c>
      <c r="C1302" t="s">
        <v>3155</v>
      </c>
      <c r="D1302" t="s">
        <v>20</v>
      </c>
      <c r="E1302" t="s">
        <v>39</v>
      </c>
      <c r="F1302">
        <v>0</v>
      </c>
      <c r="G1302">
        <v>0</v>
      </c>
      <c r="H1302">
        <v>19</v>
      </c>
      <c r="I1302" s="3">
        <v>4169.25</v>
      </c>
      <c r="J1302" s="3">
        <v>3027.7</v>
      </c>
      <c r="K1302" t="s">
        <v>1008</v>
      </c>
      <c r="P1302" t="str">
        <f>""</f>
        <v/>
      </c>
    </row>
    <row r="1303" spans="1:16" x14ac:dyDescent="0.25">
      <c r="A1303" t="str">
        <f>"1050010M00008    00"</f>
        <v>1050010M00008    00</v>
      </c>
      <c r="B1303" t="s">
        <v>3161</v>
      </c>
      <c r="C1303" t="s">
        <v>3155</v>
      </c>
      <c r="D1303" t="s">
        <v>20</v>
      </c>
      <c r="E1303" t="s">
        <v>39</v>
      </c>
      <c r="F1303">
        <v>0</v>
      </c>
      <c r="G1303">
        <v>0</v>
      </c>
      <c r="H1303">
        <v>19</v>
      </c>
      <c r="I1303" s="3">
        <v>4103.3100000000004</v>
      </c>
      <c r="J1303" s="3">
        <v>2993.01</v>
      </c>
      <c r="K1303" t="s">
        <v>1008</v>
      </c>
      <c r="P1303" t="str">
        <f>""</f>
        <v/>
      </c>
    </row>
    <row r="1304" spans="1:16" x14ac:dyDescent="0.25">
      <c r="A1304" t="str">
        <f>"1050010M00011    00"</f>
        <v>1050010M00011    00</v>
      </c>
      <c r="B1304" t="s">
        <v>3162</v>
      </c>
      <c r="C1304" t="s">
        <v>3163</v>
      </c>
      <c r="E1304" t="s">
        <v>39</v>
      </c>
      <c r="F1304">
        <v>0</v>
      </c>
      <c r="G1304">
        <v>0</v>
      </c>
      <c r="H1304">
        <v>2</v>
      </c>
      <c r="I1304" s="3">
        <v>628.20000000000005</v>
      </c>
      <c r="J1304" s="3">
        <v>5.23</v>
      </c>
      <c r="L1304">
        <v>2522</v>
      </c>
      <c r="M1304" t="s">
        <v>2822</v>
      </c>
      <c r="N1304" t="s">
        <v>30</v>
      </c>
      <c r="O1304" t="s">
        <v>31</v>
      </c>
      <c r="P1304" t="str">
        <f>"15219"</f>
        <v>15219</v>
      </c>
    </row>
    <row r="1305" spans="1:16" x14ac:dyDescent="0.25">
      <c r="A1305" t="str">
        <f>"1050010M00013    00"</f>
        <v>1050010M00013    00</v>
      </c>
      <c r="B1305" t="s">
        <v>3164</v>
      </c>
      <c r="C1305" t="s">
        <v>3155</v>
      </c>
      <c r="D1305" t="s">
        <v>20</v>
      </c>
      <c r="E1305" t="s">
        <v>39</v>
      </c>
      <c r="F1305">
        <v>0</v>
      </c>
      <c r="G1305">
        <v>0</v>
      </c>
      <c r="H1305">
        <v>19</v>
      </c>
      <c r="I1305" s="3">
        <v>210.88</v>
      </c>
      <c r="J1305" s="3">
        <v>189.11</v>
      </c>
      <c r="K1305" t="s">
        <v>3165</v>
      </c>
      <c r="L1305">
        <v>1721</v>
      </c>
      <c r="M1305" t="s">
        <v>174</v>
      </c>
      <c r="N1305" t="s">
        <v>30</v>
      </c>
      <c r="O1305" t="s">
        <v>31</v>
      </c>
      <c r="P1305" t="str">
        <f>"15219"</f>
        <v>15219</v>
      </c>
    </row>
    <row r="1306" spans="1:16" x14ac:dyDescent="0.25">
      <c r="A1306" t="str">
        <f>"1050010M00014    00"</f>
        <v>1050010M00014    00</v>
      </c>
      <c r="B1306" t="s">
        <v>3166</v>
      </c>
      <c r="C1306" t="s">
        <v>3167</v>
      </c>
      <c r="D1306" t="s">
        <v>20</v>
      </c>
      <c r="E1306" t="s">
        <v>39</v>
      </c>
      <c r="F1306">
        <v>0</v>
      </c>
      <c r="G1306">
        <v>0</v>
      </c>
      <c r="H1306">
        <v>13</v>
      </c>
      <c r="I1306" s="3">
        <v>7799.28</v>
      </c>
      <c r="J1306" s="3">
        <v>6277.84</v>
      </c>
      <c r="K1306" t="s">
        <v>3168</v>
      </c>
      <c r="L1306">
        <v>5135</v>
      </c>
      <c r="M1306" t="s">
        <v>3169</v>
      </c>
      <c r="N1306" t="s">
        <v>30</v>
      </c>
      <c r="O1306" t="s">
        <v>31</v>
      </c>
      <c r="P1306" t="str">
        <f>"15207"</f>
        <v>15207</v>
      </c>
    </row>
    <row r="1307" spans="1:16" x14ac:dyDescent="0.25">
      <c r="A1307" t="str">
        <f>"1050010M00015    00"</f>
        <v>1050010M00015    00</v>
      </c>
      <c r="B1307" t="s">
        <v>3170</v>
      </c>
      <c r="C1307" t="s">
        <v>3167</v>
      </c>
      <c r="D1307" t="s">
        <v>20</v>
      </c>
      <c r="E1307" t="s">
        <v>39</v>
      </c>
      <c r="F1307">
        <v>0</v>
      </c>
      <c r="G1307">
        <v>0</v>
      </c>
      <c r="H1307">
        <v>4</v>
      </c>
      <c r="I1307" s="3">
        <v>2075.7800000000002</v>
      </c>
      <c r="J1307" s="3">
        <v>1789.24</v>
      </c>
      <c r="L1307">
        <v>2516</v>
      </c>
      <c r="M1307" t="s">
        <v>3171</v>
      </c>
      <c r="N1307" t="s">
        <v>30</v>
      </c>
      <c r="O1307" t="s">
        <v>31</v>
      </c>
      <c r="P1307" t="str">
        <f>"15219"</f>
        <v>15219</v>
      </c>
    </row>
    <row r="1308" spans="1:16" x14ac:dyDescent="0.25">
      <c r="A1308" t="str">
        <f>"1050010M00016    00"</f>
        <v>1050010M00016    00</v>
      </c>
      <c r="B1308" t="s">
        <v>3172</v>
      </c>
      <c r="C1308" t="s">
        <v>3155</v>
      </c>
      <c r="D1308" t="s">
        <v>20</v>
      </c>
      <c r="E1308" t="s">
        <v>39</v>
      </c>
      <c r="F1308">
        <v>0</v>
      </c>
      <c r="G1308">
        <v>0</v>
      </c>
      <c r="H1308">
        <v>19</v>
      </c>
      <c r="I1308" s="3">
        <v>3071.5</v>
      </c>
      <c r="J1308" s="3">
        <v>4582.6400000000003</v>
      </c>
      <c r="K1308" t="s">
        <v>3173</v>
      </c>
      <c r="L1308">
        <v>420</v>
      </c>
      <c r="M1308" t="s">
        <v>3174</v>
      </c>
      <c r="N1308" t="s">
        <v>30</v>
      </c>
      <c r="O1308" t="s">
        <v>31</v>
      </c>
      <c r="P1308" t="str">
        <f>"15219"</f>
        <v>15219</v>
      </c>
    </row>
    <row r="1309" spans="1:16" x14ac:dyDescent="0.25">
      <c r="A1309" t="str">
        <f>"1050010M00020    00"</f>
        <v>1050010M00020    00</v>
      </c>
      <c r="B1309" t="s">
        <v>3175</v>
      </c>
      <c r="C1309" t="s">
        <v>3176</v>
      </c>
      <c r="D1309" t="s">
        <v>20</v>
      </c>
      <c r="E1309" t="s">
        <v>39</v>
      </c>
      <c r="F1309">
        <v>0</v>
      </c>
      <c r="G1309">
        <v>0</v>
      </c>
      <c r="H1309">
        <v>19</v>
      </c>
      <c r="I1309" s="3">
        <v>3803.95</v>
      </c>
      <c r="J1309" s="3">
        <v>2722.73</v>
      </c>
      <c r="L1309">
        <v>2517</v>
      </c>
      <c r="M1309" t="s">
        <v>2800</v>
      </c>
      <c r="N1309" t="s">
        <v>30</v>
      </c>
      <c r="O1309" t="s">
        <v>31</v>
      </c>
      <c r="P1309" t="str">
        <f>"15219"</f>
        <v>15219</v>
      </c>
    </row>
    <row r="1310" spans="1:16" x14ac:dyDescent="0.25">
      <c r="A1310" t="str">
        <f>"1050010M00021    00"</f>
        <v>1050010M00021    00</v>
      </c>
      <c r="B1310" t="s">
        <v>3177</v>
      </c>
      <c r="C1310" t="s">
        <v>3176</v>
      </c>
      <c r="D1310" t="s">
        <v>20</v>
      </c>
      <c r="E1310" t="s">
        <v>39</v>
      </c>
      <c r="F1310">
        <v>0</v>
      </c>
      <c r="G1310">
        <v>0</v>
      </c>
      <c r="H1310">
        <v>19</v>
      </c>
      <c r="I1310" s="3">
        <v>232.89</v>
      </c>
      <c r="J1310" s="3">
        <v>200.76</v>
      </c>
      <c r="K1310" t="s">
        <v>1037</v>
      </c>
      <c r="L1310">
        <v>2519</v>
      </c>
      <c r="M1310" t="s">
        <v>2800</v>
      </c>
      <c r="N1310" t="s">
        <v>30</v>
      </c>
      <c r="O1310" t="s">
        <v>31</v>
      </c>
      <c r="P1310" t="str">
        <f>"15219"</f>
        <v>15219</v>
      </c>
    </row>
    <row r="1311" spans="1:16" x14ac:dyDescent="0.25">
      <c r="A1311" t="str">
        <f>"1050010M00022    00"</f>
        <v>1050010M00022    00</v>
      </c>
      <c r="B1311" t="s">
        <v>3178</v>
      </c>
      <c r="C1311" t="s">
        <v>3176</v>
      </c>
      <c r="D1311" t="s">
        <v>20</v>
      </c>
      <c r="E1311" t="s">
        <v>39</v>
      </c>
      <c r="F1311">
        <v>0</v>
      </c>
      <c r="G1311">
        <v>0</v>
      </c>
      <c r="H1311">
        <v>12</v>
      </c>
      <c r="I1311" s="3">
        <v>2882.9</v>
      </c>
      <c r="J1311" s="3">
        <v>1516.41</v>
      </c>
      <c r="K1311" t="s">
        <v>3179</v>
      </c>
      <c r="L1311">
        <v>832</v>
      </c>
      <c r="M1311" t="s">
        <v>3180</v>
      </c>
      <c r="N1311" t="s">
        <v>30</v>
      </c>
      <c r="O1311" t="s">
        <v>31</v>
      </c>
      <c r="P1311" t="str">
        <f>"15210"</f>
        <v>15210</v>
      </c>
    </row>
    <row r="1312" spans="1:16" x14ac:dyDescent="0.25">
      <c r="A1312" t="str">
        <f>"1050010M00023    00"</f>
        <v>1050010M00023    00</v>
      </c>
      <c r="B1312" t="s">
        <v>3181</v>
      </c>
      <c r="C1312" t="s">
        <v>3176</v>
      </c>
      <c r="D1312" t="s">
        <v>20</v>
      </c>
      <c r="E1312" t="s">
        <v>39</v>
      </c>
      <c r="F1312">
        <v>0</v>
      </c>
      <c r="G1312">
        <v>0</v>
      </c>
      <c r="H1312">
        <v>19</v>
      </c>
      <c r="I1312" s="3">
        <v>4849.5</v>
      </c>
      <c r="J1312" s="3">
        <v>4895.9799999999996</v>
      </c>
      <c r="K1312" t="s">
        <v>3182</v>
      </c>
      <c r="L1312">
        <v>2523</v>
      </c>
      <c r="M1312" t="s">
        <v>2800</v>
      </c>
      <c r="N1312" t="s">
        <v>30</v>
      </c>
      <c r="O1312" t="s">
        <v>31</v>
      </c>
      <c r="P1312" t="str">
        <f>"15219"</f>
        <v>15219</v>
      </c>
    </row>
    <row r="1313" spans="1:16" x14ac:dyDescent="0.25">
      <c r="A1313" t="str">
        <f>"1050010M00024    00"</f>
        <v>1050010M00024    00</v>
      </c>
      <c r="B1313" t="s">
        <v>3183</v>
      </c>
      <c r="C1313" t="s">
        <v>3176</v>
      </c>
      <c r="D1313" t="s">
        <v>20</v>
      </c>
      <c r="E1313" t="s">
        <v>39</v>
      </c>
      <c r="F1313">
        <v>0</v>
      </c>
      <c r="G1313">
        <v>0</v>
      </c>
      <c r="H1313">
        <v>19</v>
      </c>
      <c r="I1313" s="3">
        <v>7347.9</v>
      </c>
      <c r="J1313" s="3">
        <v>7924.91</v>
      </c>
      <c r="K1313" t="s">
        <v>3184</v>
      </c>
      <c r="M1313" t="s">
        <v>2638</v>
      </c>
      <c r="N1313" t="s">
        <v>30</v>
      </c>
      <c r="O1313" t="s">
        <v>31</v>
      </c>
      <c r="P1313" t="str">
        <f>"15230"</f>
        <v>15230</v>
      </c>
    </row>
    <row r="1314" spans="1:16" x14ac:dyDescent="0.25">
      <c r="A1314" t="str">
        <f>"1050010M00025    00"</f>
        <v>1050010M00025    00</v>
      </c>
      <c r="B1314" t="s">
        <v>3185</v>
      </c>
      <c r="C1314" t="s">
        <v>3176</v>
      </c>
      <c r="D1314" t="s">
        <v>20</v>
      </c>
      <c r="E1314" t="s">
        <v>39</v>
      </c>
      <c r="F1314">
        <v>0</v>
      </c>
      <c r="G1314">
        <v>0</v>
      </c>
      <c r="H1314">
        <v>19</v>
      </c>
      <c r="I1314" s="3">
        <v>4756.5200000000004</v>
      </c>
      <c r="J1314" s="3">
        <v>6531.88</v>
      </c>
      <c r="K1314" t="s">
        <v>3186</v>
      </c>
      <c r="L1314">
        <v>707</v>
      </c>
      <c r="M1314" t="s">
        <v>3187</v>
      </c>
      <c r="N1314" t="s">
        <v>295</v>
      </c>
      <c r="O1314" t="s">
        <v>31</v>
      </c>
      <c r="P1314" t="str">
        <f>"15146"</f>
        <v>15146</v>
      </c>
    </row>
    <row r="1315" spans="1:16" x14ac:dyDescent="0.25">
      <c r="A1315" t="str">
        <f>"1050010M00026    00"</f>
        <v>1050010M00026    00</v>
      </c>
      <c r="B1315" t="s">
        <v>3188</v>
      </c>
      <c r="C1315" t="s">
        <v>3176</v>
      </c>
      <c r="D1315" t="s">
        <v>20</v>
      </c>
      <c r="E1315" t="s">
        <v>39</v>
      </c>
      <c r="F1315">
        <v>0</v>
      </c>
      <c r="G1315">
        <v>0</v>
      </c>
      <c r="H1315">
        <v>18</v>
      </c>
      <c r="I1315" s="3">
        <v>3789.62</v>
      </c>
      <c r="J1315" s="3">
        <v>4119.3599999999997</v>
      </c>
      <c r="L1315">
        <v>2439</v>
      </c>
      <c r="M1315" t="s">
        <v>3189</v>
      </c>
      <c r="N1315" t="s">
        <v>30</v>
      </c>
      <c r="O1315" t="s">
        <v>31</v>
      </c>
      <c r="P1315" t="str">
        <f>"15214"</f>
        <v>15214</v>
      </c>
    </row>
    <row r="1316" spans="1:16" x14ac:dyDescent="0.25">
      <c r="A1316" t="str">
        <f>"1050010M00027    00"</f>
        <v>1050010M00027    00</v>
      </c>
      <c r="B1316" t="s">
        <v>3190</v>
      </c>
      <c r="C1316" t="s">
        <v>3176</v>
      </c>
      <c r="E1316" t="s">
        <v>39</v>
      </c>
      <c r="F1316">
        <v>0</v>
      </c>
      <c r="G1316">
        <v>0</v>
      </c>
      <c r="H1316">
        <v>17</v>
      </c>
      <c r="I1316" s="3">
        <v>188</v>
      </c>
      <c r="J1316" s="3">
        <v>186.82</v>
      </c>
      <c r="L1316">
        <v>1724</v>
      </c>
      <c r="M1316" t="s">
        <v>942</v>
      </c>
      <c r="N1316" t="s">
        <v>30</v>
      </c>
      <c r="O1316" t="s">
        <v>31</v>
      </c>
      <c r="P1316" t="str">
        <f>"15219"</f>
        <v>15219</v>
      </c>
    </row>
    <row r="1317" spans="1:16" x14ac:dyDescent="0.25">
      <c r="A1317" t="str">
        <f>"1050010M00028    00"</f>
        <v>1050010M00028    00</v>
      </c>
      <c r="B1317" t="s">
        <v>3191</v>
      </c>
      <c r="C1317" t="s">
        <v>3176</v>
      </c>
      <c r="D1317" t="s">
        <v>20</v>
      </c>
      <c r="E1317" t="s">
        <v>39</v>
      </c>
      <c r="F1317">
        <v>0</v>
      </c>
      <c r="G1317">
        <v>0</v>
      </c>
      <c r="H1317">
        <v>8</v>
      </c>
      <c r="I1317" s="3">
        <v>144.03</v>
      </c>
      <c r="J1317" s="3">
        <v>169.21</v>
      </c>
      <c r="L1317">
        <v>110</v>
      </c>
      <c r="M1317" t="s">
        <v>3192</v>
      </c>
      <c r="N1317" t="s">
        <v>30</v>
      </c>
      <c r="O1317" t="s">
        <v>31</v>
      </c>
      <c r="P1317" t="str">
        <f>"15224"</f>
        <v>15224</v>
      </c>
    </row>
    <row r="1318" spans="1:16" x14ac:dyDescent="0.25">
      <c r="A1318" t="str">
        <f>"1050010M00029    00"</f>
        <v>1050010M00029    00</v>
      </c>
      <c r="B1318" t="s">
        <v>3193</v>
      </c>
      <c r="C1318" t="s">
        <v>3194</v>
      </c>
      <c r="D1318" t="s">
        <v>20</v>
      </c>
      <c r="E1318" t="s">
        <v>39</v>
      </c>
      <c r="F1318">
        <v>0</v>
      </c>
      <c r="G1318">
        <v>0</v>
      </c>
      <c r="H1318">
        <v>15</v>
      </c>
      <c r="I1318" s="3">
        <v>4911.95</v>
      </c>
      <c r="J1318" s="3">
        <v>2582.81</v>
      </c>
      <c r="L1318">
        <v>2535</v>
      </c>
      <c r="M1318" t="s">
        <v>2800</v>
      </c>
      <c r="N1318" t="s">
        <v>30</v>
      </c>
      <c r="O1318" t="s">
        <v>31</v>
      </c>
      <c r="P1318" t="str">
        <f>"15219"</f>
        <v>15219</v>
      </c>
    </row>
    <row r="1319" spans="1:16" x14ac:dyDescent="0.25">
      <c r="A1319" t="str">
        <f>"1050010M00030    00"</f>
        <v>1050010M00030    00</v>
      </c>
      <c r="B1319" t="s">
        <v>3195</v>
      </c>
      <c r="C1319" t="s">
        <v>3196</v>
      </c>
      <c r="D1319" t="s">
        <v>20</v>
      </c>
      <c r="E1319" t="s">
        <v>39</v>
      </c>
      <c r="F1319">
        <v>0</v>
      </c>
      <c r="G1319">
        <v>0</v>
      </c>
      <c r="H1319">
        <v>13</v>
      </c>
      <c r="I1319" s="3">
        <v>5924.23</v>
      </c>
      <c r="J1319" s="3">
        <v>3119.13</v>
      </c>
      <c r="K1319" t="s">
        <v>3197</v>
      </c>
      <c r="L1319">
        <v>2537</v>
      </c>
      <c r="M1319" t="s">
        <v>2800</v>
      </c>
      <c r="N1319" t="s">
        <v>30</v>
      </c>
      <c r="O1319" t="s">
        <v>31</v>
      </c>
      <c r="P1319" t="str">
        <f>"15219"</f>
        <v>15219</v>
      </c>
    </row>
    <row r="1320" spans="1:16" x14ac:dyDescent="0.25">
      <c r="A1320" t="str">
        <f>"1050010M00031    00"</f>
        <v>1050010M00031    00</v>
      </c>
      <c r="B1320" t="s">
        <v>3198</v>
      </c>
      <c r="C1320" t="s">
        <v>3199</v>
      </c>
      <c r="D1320" t="s">
        <v>20</v>
      </c>
      <c r="E1320" t="s">
        <v>39</v>
      </c>
      <c r="F1320">
        <v>0</v>
      </c>
      <c r="G1320">
        <v>0</v>
      </c>
      <c r="H1320">
        <v>11</v>
      </c>
      <c r="I1320" s="3">
        <v>2794.66</v>
      </c>
      <c r="J1320" s="3">
        <v>1437.29</v>
      </c>
      <c r="L1320">
        <v>715</v>
      </c>
      <c r="M1320" t="s">
        <v>3200</v>
      </c>
      <c r="N1320" t="s">
        <v>30</v>
      </c>
      <c r="O1320" t="s">
        <v>31</v>
      </c>
      <c r="P1320" t="str">
        <f>"15219"</f>
        <v>15219</v>
      </c>
    </row>
    <row r="1321" spans="1:16" x14ac:dyDescent="0.25">
      <c r="A1321" t="str">
        <f>"1050010M00032    00"</f>
        <v>1050010M00032    00</v>
      </c>
      <c r="B1321" t="s">
        <v>3201</v>
      </c>
      <c r="C1321" t="s">
        <v>3176</v>
      </c>
      <c r="D1321" t="s">
        <v>20</v>
      </c>
      <c r="E1321" t="s">
        <v>39</v>
      </c>
      <c r="F1321">
        <v>0</v>
      </c>
      <c r="G1321">
        <v>0</v>
      </c>
      <c r="H1321">
        <v>19</v>
      </c>
      <c r="I1321" s="3">
        <v>7417.33</v>
      </c>
      <c r="J1321" s="3">
        <v>8029.83</v>
      </c>
      <c r="L1321">
        <v>2541</v>
      </c>
      <c r="M1321" t="s">
        <v>2800</v>
      </c>
      <c r="N1321" t="s">
        <v>30</v>
      </c>
      <c r="O1321" t="s">
        <v>31</v>
      </c>
      <c r="P1321" t="str">
        <f>"15219"</f>
        <v>15219</v>
      </c>
    </row>
    <row r="1322" spans="1:16" x14ac:dyDescent="0.25">
      <c r="A1322" t="str">
        <f>"1050010M00035    00"</f>
        <v>1050010M00035    00</v>
      </c>
      <c r="B1322" t="s">
        <v>3202</v>
      </c>
      <c r="C1322" t="s">
        <v>3176</v>
      </c>
      <c r="D1322" t="s">
        <v>20</v>
      </c>
      <c r="E1322" t="s">
        <v>39</v>
      </c>
      <c r="F1322">
        <v>0</v>
      </c>
      <c r="G1322">
        <v>0</v>
      </c>
      <c r="H1322">
        <v>19</v>
      </c>
      <c r="I1322" s="3">
        <v>7348.69</v>
      </c>
      <c r="J1322" s="3">
        <v>7971.21</v>
      </c>
      <c r="K1322" t="s">
        <v>1008</v>
      </c>
      <c r="P1322" t="str">
        <f>""</f>
        <v/>
      </c>
    </row>
    <row r="1323" spans="1:16" x14ac:dyDescent="0.25">
      <c r="A1323" t="str">
        <f>"1050010M00043    00"</f>
        <v>1050010M00043    00</v>
      </c>
      <c r="B1323" t="s">
        <v>3203</v>
      </c>
      <c r="C1323" t="s">
        <v>3204</v>
      </c>
      <c r="D1323" t="s">
        <v>20</v>
      </c>
      <c r="E1323" t="s">
        <v>39</v>
      </c>
      <c r="F1323">
        <v>0</v>
      </c>
      <c r="G1323">
        <v>0</v>
      </c>
      <c r="H1323">
        <v>6</v>
      </c>
      <c r="I1323" s="3">
        <v>1022.46</v>
      </c>
      <c r="J1323" s="3">
        <v>229.32</v>
      </c>
      <c r="L1323">
        <v>6364</v>
      </c>
      <c r="M1323" t="s">
        <v>3205</v>
      </c>
      <c r="N1323" t="s">
        <v>1158</v>
      </c>
      <c r="O1323" t="s">
        <v>370</v>
      </c>
      <c r="P1323" t="str">
        <f>"33417"</f>
        <v>33417</v>
      </c>
    </row>
    <row r="1324" spans="1:16" x14ac:dyDescent="0.25">
      <c r="A1324" t="str">
        <f>"1050010M00046    00"</f>
        <v>1050010M00046    00</v>
      </c>
      <c r="B1324" t="s">
        <v>3203</v>
      </c>
      <c r="C1324" t="s">
        <v>3206</v>
      </c>
      <c r="D1324" t="s">
        <v>20</v>
      </c>
      <c r="E1324" t="s">
        <v>39</v>
      </c>
      <c r="F1324">
        <v>0</v>
      </c>
      <c r="G1324">
        <v>0</v>
      </c>
      <c r="H1324">
        <v>6</v>
      </c>
      <c r="I1324" s="3">
        <v>7010.62</v>
      </c>
      <c r="J1324" s="3">
        <v>1572.33</v>
      </c>
      <c r="L1324">
        <v>6364</v>
      </c>
      <c r="M1324" t="s">
        <v>3205</v>
      </c>
      <c r="N1324" t="s">
        <v>1158</v>
      </c>
      <c r="O1324" t="s">
        <v>370</v>
      </c>
      <c r="P1324" t="str">
        <f>"33417"</f>
        <v>33417</v>
      </c>
    </row>
    <row r="1325" spans="1:16" x14ac:dyDescent="0.25">
      <c r="A1325" t="str">
        <f>"1050010M00047    00"</f>
        <v>1050010M00047    00</v>
      </c>
      <c r="B1325" t="s">
        <v>3203</v>
      </c>
      <c r="C1325" t="s">
        <v>3204</v>
      </c>
      <c r="D1325" t="s">
        <v>20</v>
      </c>
      <c r="E1325" t="s">
        <v>39</v>
      </c>
      <c r="F1325">
        <v>0</v>
      </c>
      <c r="G1325">
        <v>0</v>
      </c>
      <c r="H1325">
        <v>6</v>
      </c>
      <c r="I1325" s="3">
        <v>1224.6500000000001</v>
      </c>
      <c r="J1325" s="3">
        <v>274.67</v>
      </c>
      <c r="L1325">
        <v>6364</v>
      </c>
      <c r="M1325" t="s">
        <v>3205</v>
      </c>
      <c r="N1325" t="s">
        <v>1158</v>
      </c>
      <c r="O1325" t="s">
        <v>370</v>
      </c>
      <c r="P1325" t="str">
        <f>"33417"</f>
        <v>33417</v>
      </c>
    </row>
    <row r="1326" spans="1:16" x14ac:dyDescent="0.25">
      <c r="A1326" t="str">
        <f>"1050010M00091    00"</f>
        <v>1050010M00091    00</v>
      </c>
      <c r="B1326" t="s">
        <v>3108</v>
      </c>
      <c r="C1326" t="s">
        <v>3207</v>
      </c>
      <c r="D1326" t="s">
        <v>20</v>
      </c>
      <c r="E1326" t="s">
        <v>39</v>
      </c>
      <c r="F1326">
        <v>0</v>
      </c>
      <c r="G1326">
        <v>0</v>
      </c>
      <c r="H1326">
        <v>5</v>
      </c>
      <c r="I1326" s="3">
        <v>5678.29</v>
      </c>
      <c r="J1326" s="3">
        <v>1005.56</v>
      </c>
      <c r="L1326">
        <v>522</v>
      </c>
      <c r="M1326" t="s">
        <v>2359</v>
      </c>
      <c r="N1326" t="s">
        <v>30</v>
      </c>
      <c r="O1326" t="s">
        <v>31</v>
      </c>
      <c r="P1326" t="str">
        <f>"15219"</f>
        <v>15219</v>
      </c>
    </row>
    <row r="1327" spans="1:16" x14ac:dyDescent="0.25">
      <c r="A1327" t="str">
        <f>"1050010M00102    00"</f>
        <v>1050010M00102    00</v>
      </c>
      <c r="B1327" t="s">
        <v>3208</v>
      </c>
      <c r="C1327" t="s">
        <v>3209</v>
      </c>
      <c r="D1327" t="s">
        <v>20</v>
      </c>
      <c r="E1327" t="s">
        <v>39</v>
      </c>
      <c r="F1327">
        <v>0</v>
      </c>
      <c r="G1327">
        <v>0</v>
      </c>
      <c r="H1327">
        <v>14</v>
      </c>
      <c r="I1327" s="3">
        <v>4801.32</v>
      </c>
      <c r="J1327" s="3">
        <v>4513.5200000000004</v>
      </c>
      <c r="L1327">
        <v>2522</v>
      </c>
      <c r="M1327" t="s">
        <v>2800</v>
      </c>
      <c r="N1327" t="s">
        <v>30</v>
      </c>
      <c r="O1327" t="s">
        <v>31</v>
      </c>
      <c r="P1327" t="str">
        <f>"15219"</f>
        <v>15219</v>
      </c>
    </row>
    <row r="1328" spans="1:16" x14ac:dyDescent="0.25">
      <c r="A1328" t="str">
        <f>"1050010M00113    00"</f>
        <v>1050010M00113    00</v>
      </c>
      <c r="B1328" t="s">
        <v>3210</v>
      </c>
      <c r="C1328" t="s">
        <v>2925</v>
      </c>
      <c r="D1328" t="s">
        <v>20</v>
      </c>
      <c r="E1328" t="s">
        <v>39</v>
      </c>
      <c r="F1328">
        <v>0</v>
      </c>
      <c r="G1328">
        <v>0</v>
      </c>
      <c r="H1328">
        <v>2</v>
      </c>
      <c r="I1328" s="3">
        <v>602.29999999999995</v>
      </c>
      <c r="J1328" s="3">
        <v>0</v>
      </c>
      <c r="L1328">
        <v>1824</v>
      </c>
      <c r="M1328" t="s">
        <v>2357</v>
      </c>
      <c r="N1328" t="s">
        <v>30</v>
      </c>
      <c r="O1328" t="s">
        <v>31</v>
      </c>
      <c r="P1328" t="str">
        <f>"15221"</f>
        <v>15221</v>
      </c>
    </row>
    <row r="1329" spans="1:16" x14ac:dyDescent="0.25">
      <c r="A1329" t="str">
        <f>"1050010M00117    00"</f>
        <v>1050010M00117    00</v>
      </c>
      <c r="B1329" t="s">
        <v>3211</v>
      </c>
      <c r="C1329" t="s">
        <v>3212</v>
      </c>
      <c r="E1329" t="s">
        <v>39</v>
      </c>
      <c r="F1329">
        <v>0</v>
      </c>
      <c r="G1329">
        <v>0</v>
      </c>
      <c r="H1329">
        <v>2</v>
      </c>
      <c r="I1329" s="3">
        <v>525.95000000000005</v>
      </c>
      <c r="J1329" s="3">
        <v>478.59</v>
      </c>
      <c r="L1329">
        <v>539</v>
      </c>
      <c r="M1329" t="s">
        <v>2828</v>
      </c>
      <c r="N1329" t="s">
        <v>30</v>
      </c>
      <c r="O1329" t="s">
        <v>31</v>
      </c>
      <c r="P1329" t="str">
        <f>"15219"</f>
        <v>15219</v>
      </c>
    </row>
    <row r="1330" spans="1:16" x14ac:dyDescent="0.25">
      <c r="A1330" t="str">
        <f>"1050010M00120    00"</f>
        <v>1050010M00120    00</v>
      </c>
      <c r="B1330" t="s">
        <v>3213</v>
      </c>
      <c r="C1330" t="s">
        <v>3214</v>
      </c>
      <c r="E1330" t="s">
        <v>39</v>
      </c>
      <c r="F1330">
        <v>0</v>
      </c>
      <c r="G1330">
        <v>0</v>
      </c>
      <c r="H1330">
        <v>9</v>
      </c>
      <c r="I1330" s="3">
        <v>5256.97</v>
      </c>
      <c r="J1330" s="3">
        <v>6459.07</v>
      </c>
      <c r="L1330">
        <v>2531</v>
      </c>
      <c r="M1330" t="s">
        <v>1117</v>
      </c>
      <c r="N1330" t="s">
        <v>30</v>
      </c>
      <c r="O1330" t="s">
        <v>31</v>
      </c>
      <c r="P1330" t="str">
        <f>"15219"</f>
        <v>15219</v>
      </c>
    </row>
    <row r="1331" spans="1:16" x14ac:dyDescent="0.25">
      <c r="A1331" t="str">
        <f>"1050010M00131    00"</f>
        <v>1050010M00131    00</v>
      </c>
      <c r="B1331" t="s">
        <v>3215</v>
      </c>
      <c r="C1331" t="s">
        <v>3176</v>
      </c>
      <c r="D1331" t="s">
        <v>20</v>
      </c>
      <c r="E1331" t="s">
        <v>39</v>
      </c>
      <c r="F1331">
        <v>0</v>
      </c>
      <c r="G1331">
        <v>0</v>
      </c>
      <c r="H1331">
        <v>17</v>
      </c>
      <c r="I1331" s="3">
        <v>3052.08</v>
      </c>
      <c r="J1331" s="3">
        <v>4555.1899999999996</v>
      </c>
      <c r="M1331" t="s">
        <v>3216</v>
      </c>
      <c r="N1331" t="s">
        <v>30</v>
      </c>
      <c r="O1331" t="s">
        <v>31</v>
      </c>
      <c r="P1331" t="str">
        <f>"15232"</f>
        <v>15232</v>
      </c>
    </row>
    <row r="1332" spans="1:16" x14ac:dyDescent="0.25">
      <c r="A1332" t="str">
        <f>"1050010M00154    00"</f>
        <v>1050010M00154    00</v>
      </c>
      <c r="B1332" t="s">
        <v>3217</v>
      </c>
      <c r="C1332" t="s">
        <v>3218</v>
      </c>
      <c r="E1332" t="s">
        <v>21</v>
      </c>
      <c r="F1332">
        <v>0</v>
      </c>
      <c r="G1332">
        <v>0</v>
      </c>
      <c r="H1332">
        <v>1</v>
      </c>
      <c r="I1332" s="3">
        <v>109.7</v>
      </c>
      <c r="J1332" s="3">
        <v>40.22</v>
      </c>
      <c r="L1332">
        <v>611</v>
      </c>
      <c r="M1332" t="s">
        <v>227</v>
      </c>
      <c r="N1332" t="s">
        <v>30</v>
      </c>
      <c r="O1332" t="s">
        <v>31</v>
      </c>
      <c r="P1332" t="str">
        <f>"15219"</f>
        <v>15219</v>
      </c>
    </row>
    <row r="1333" spans="1:16" x14ac:dyDescent="0.25">
      <c r="A1333" t="str">
        <f>"1050010M00167    00"</f>
        <v>1050010M00167    00</v>
      </c>
      <c r="B1333" t="s">
        <v>3219</v>
      </c>
      <c r="C1333" t="s">
        <v>2925</v>
      </c>
      <c r="E1333" t="s">
        <v>39</v>
      </c>
      <c r="F1333">
        <v>0</v>
      </c>
      <c r="G1333">
        <v>0</v>
      </c>
      <c r="H1333">
        <v>2</v>
      </c>
      <c r="I1333" s="3">
        <v>766.24</v>
      </c>
      <c r="J1333" s="3">
        <v>76.62</v>
      </c>
      <c r="L1333">
        <v>2701</v>
      </c>
      <c r="M1333" t="s">
        <v>1117</v>
      </c>
      <c r="N1333" t="s">
        <v>30</v>
      </c>
      <c r="O1333" t="s">
        <v>31</v>
      </c>
      <c r="P1333" t="str">
        <f>"15219"</f>
        <v>15219</v>
      </c>
    </row>
    <row r="1334" spans="1:16" x14ac:dyDescent="0.25">
      <c r="A1334" t="str">
        <f>"1050010M00170    00"</f>
        <v>1050010M00170    00</v>
      </c>
      <c r="B1334" t="s">
        <v>3220</v>
      </c>
      <c r="C1334" t="s">
        <v>2925</v>
      </c>
      <c r="E1334" t="s">
        <v>39</v>
      </c>
      <c r="F1334">
        <v>0</v>
      </c>
      <c r="G1334">
        <v>0</v>
      </c>
      <c r="H1334">
        <v>2</v>
      </c>
      <c r="I1334" s="3">
        <v>299.27</v>
      </c>
      <c r="J1334" s="3">
        <v>59.85</v>
      </c>
      <c r="L1334">
        <v>2701</v>
      </c>
      <c r="M1334" t="s">
        <v>1117</v>
      </c>
      <c r="N1334" t="s">
        <v>30</v>
      </c>
      <c r="O1334" t="s">
        <v>31</v>
      </c>
      <c r="P1334" t="str">
        <f>"15219"</f>
        <v>15219</v>
      </c>
    </row>
    <row r="1335" spans="1:16" x14ac:dyDescent="0.25">
      <c r="A1335" t="str">
        <f>"1050010M00171    00"</f>
        <v>1050010M00171    00</v>
      </c>
      <c r="B1335" t="s">
        <v>3221</v>
      </c>
      <c r="C1335" t="s">
        <v>3222</v>
      </c>
      <c r="D1335" t="s">
        <v>20</v>
      </c>
      <c r="E1335" t="s">
        <v>39</v>
      </c>
      <c r="F1335">
        <v>0</v>
      </c>
      <c r="G1335">
        <v>0</v>
      </c>
      <c r="H1335">
        <v>6</v>
      </c>
      <c r="I1335" s="3">
        <v>2079.91</v>
      </c>
      <c r="J1335" s="3">
        <v>401.95</v>
      </c>
      <c r="L1335">
        <v>2727</v>
      </c>
      <c r="M1335" t="s">
        <v>1117</v>
      </c>
      <c r="N1335" t="s">
        <v>30</v>
      </c>
      <c r="O1335" t="s">
        <v>31</v>
      </c>
      <c r="P1335" t="str">
        <f>"15219"</f>
        <v>15219</v>
      </c>
    </row>
    <row r="1336" spans="1:16" x14ac:dyDescent="0.25">
      <c r="A1336" t="str">
        <f>"1050010M00177    00"</f>
        <v>1050010M00177    00</v>
      </c>
      <c r="B1336" t="s">
        <v>3223</v>
      </c>
      <c r="C1336" t="s">
        <v>3224</v>
      </c>
      <c r="E1336" t="s">
        <v>21</v>
      </c>
      <c r="F1336">
        <v>0</v>
      </c>
      <c r="G1336">
        <v>0</v>
      </c>
      <c r="H1336">
        <v>2</v>
      </c>
      <c r="I1336" s="3">
        <v>13434.05</v>
      </c>
      <c r="J1336" s="3">
        <v>1074.67</v>
      </c>
      <c r="L1336">
        <v>2701</v>
      </c>
      <c r="M1336" t="s">
        <v>1117</v>
      </c>
      <c r="N1336" t="s">
        <v>30</v>
      </c>
      <c r="O1336" t="s">
        <v>31</v>
      </c>
      <c r="P1336" t="str">
        <f>"15219"</f>
        <v>15219</v>
      </c>
    </row>
    <row r="1337" spans="1:16" x14ac:dyDescent="0.25">
      <c r="A1337" t="str">
        <f>"1050010M00186    00"</f>
        <v>1050010M00186    00</v>
      </c>
      <c r="B1337" t="s">
        <v>3225</v>
      </c>
      <c r="C1337" t="s">
        <v>3226</v>
      </c>
      <c r="D1337" t="s">
        <v>20</v>
      </c>
      <c r="E1337" t="s">
        <v>39</v>
      </c>
      <c r="F1337">
        <v>0</v>
      </c>
      <c r="G1337">
        <v>0</v>
      </c>
      <c r="H1337">
        <v>2</v>
      </c>
      <c r="I1337" s="3">
        <v>341.84</v>
      </c>
      <c r="J1337" s="3">
        <v>0</v>
      </c>
      <c r="K1337" t="s">
        <v>1127</v>
      </c>
      <c r="M1337" t="s">
        <v>1128</v>
      </c>
      <c r="N1337" t="s">
        <v>1129</v>
      </c>
      <c r="O1337" t="s">
        <v>108</v>
      </c>
      <c r="P1337" t="str">
        <f>"76161"</f>
        <v>76161</v>
      </c>
    </row>
    <row r="1338" spans="1:16" x14ac:dyDescent="0.25">
      <c r="A1338" t="str">
        <f>"1050010M00187    00"</f>
        <v>1050010M00187    00</v>
      </c>
      <c r="B1338" t="s">
        <v>3227</v>
      </c>
      <c r="C1338" t="s">
        <v>3228</v>
      </c>
      <c r="D1338" t="s">
        <v>20</v>
      </c>
      <c r="E1338" t="s">
        <v>39</v>
      </c>
      <c r="F1338">
        <v>0</v>
      </c>
      <c r="G1338">
        <v>0</v>
      </c>
      <c r="H1338">
        <v>3</v>
      </c>
      <c r="I1338" s="3">
        <v>389.3</v>
      </c>
      <c r="J1338" s="3">
        <v>37.78</v>
      </c>
      <c r="L1338">
        <v>2713</v>
      </c>
      <c r="M1338" t="s">
        <v>3229</v>
      </c>
      <c r="N1338" t="s">
        <v>30</v>
      </c>
      <c r="O1338" t="s">
        <v>31</v>
      </c>
      <c r="P1338" t="str">
        <f>"15219"</f>
        <v>15219</v>
      </c>
    </row>
    <row r="1339" spans="1:16" x14ac:dyDescent="0.25">
      <c r="A1339" t="str">
        <f>"1050010M00188    00"</f>
        <v>1050010M00188    00</v>
      </c>
      <c r="B1339" t="s">
        <v>3230</v>
      </c>
      <c r="C1339" t="s">
        <v>3231</v>
      </c>
      <c r="D1339" t="s">
        <v>20</v>
      </c>
      <c r="E1339" t="s">
        <v>39</v>
      </c>
      <c r="F1339">
        <v>0</v>
      </c>
      <c r="G1339">
        <v>0</v>
      </c>
      <c r="H1339">
        <v>8</v>
      </c>
      <c r="I1339" s="3">
        <v>1532.29</v>
      </c>
      <c r="J1339" s="3">
        <v>530.76</v>
      </c>
      <c r="K1339" t="s">
        <v>3232</v>
      </c>
      <c r="L1339">
        <v>2711</v>
      </c>
      <c r="M1339" t="s">
        <v>3229</v>
      </c>
      <c r="N1339" t="s">
        <v>30</v>
      </c>
      <c r="O1339" t="s">
        <v>31</v>
      </c>
      <c r="P1339" t="str">
        <f>"15219"</f>
        <v>15219</v>
      </c>
    </row>
    <row r="1340" spans="1:16" x14ac:dyDescent="0.25">
      <c r="A1340" t="str">
        <f>"1050010M00191    00"</f>
        <v>1050010M00191    00</v>
      </c>
      <c r="B1340" t="s">
        <v>3233</v>
      </c>
      <c r="C1340" t="s">
        <v>3234</v>
      </c>
      <c r="D1340" t="s">
        <v>20</v>
      </c>
      <c r="E1340" t="s">
        <v>39</v>
      </c>
      <c r="F1340">
        <v>0</v>
      </c>
      <c r="G1340">
        <v>0</v>
      </c>
      <c r="H1340">
        <v>7</v>
      </c>
      <c r="I1340" s="3">
        <v>1195.07</v>
      </c>
      <c r="J1340" s="3">
        <v>297.31</v>
      </c>
      <c r="L1340">
        <v>2705</v>
      </c>
      <c r="M1340" t="s">
        <v>3229</v>
      </c>
      <c r="N1340" t="s">
        <v>30</v>
      </c>
      <c r="O1340" t="s">
        <v>31</v>
      </c>
      <c r="P1340" t="str">
        <f>"15219"</f>
        <v>15219</v>
      </c>
    </row>
    <row r="1341" spans="1:16" x14ac:dyDescent="0.25">
      <c r="A1341" t="str">
        <f>"1050010M00196    00"</f>
        <v>1050010M00196    00</v>
      </c>
      <c r="B1341" t="s">
        <v>3235</v>
      </c>
      <c r="C1341" t="s">
        <v>3236</v>
      </c>
      <c r="D1341" t="s">
        <v>20</v>
      </c>
      <c r="E1341" t="s">
        <v>39</v>
      </c>
      <c r="F1341">
        <v>0</v>
      </c>
      <c r="G1341">
        <v>0</v>
      </c>
      <c r="H1341">
        <v>1</v>
      </c>
      <c r="I1341" s="3">
        <v>170.04</v>
      </c>
      <c r="J1341" s="3">
        <v>0</v>
      </c>
      <c r="L1341">
        <v>715</v>
      </c>
      <c r="M1341" t="s">
        <v>3237</v>
      </c>
      <c r="N1341" t="s">
        <v>30</v>
      </c>
      <c r="O1341" t="s">
        <v>31</v>
      </c>
      <c r="P1341" t="str">
        <f>"15219"</f>
        <v>15219</v>
      </c>
    </row>
    <row r="1342" spans="1:16" x14ac:dyDescent="0.25">
      <c r="A1342" t="str">
        <f>"1050010M00259    00"</f>
        <v>1050010M00259    00</v>
      </c>
      <c r="B1342" t="s">
        <v>3238</v>
      </c>
      <c r="C1342" t="s">
        <v>3239</v>
      </c>
      <c r="D1342" t="s">
        <v>20</v>
      </c>
      <c r="E1342" t="s">
        <v>39</v>
      </c>
      <c r="F1342">
        <v>0</v>
      </c>
      <c r="G1342">
        <v>0</v>
      </c>
      <c r="H1342">
        <v>3</v>
      </c>
      <c r="I1342" s="3">
        <v>3506.86</v>
      </c>
      <c r="J1342" s="3">
        <v>577.80999999999995</v>
      </c>
      <c r="K1342" t="s">
        <v>3240</v>
      </c>
      <c r="L1342">
        <v>514</v>
      </c>
      <c r="M1342" t="s">
        <v>3241</v>
      </c>
      <c r="N1342" t="s">
        <v>3242</v>
      </c>
      <c r="O1342" t="s">
        <v>1616</v>
      </c>
      <c r="P1342" t="str">
        <f>"57719"</f>
        <v>57719</v>
      </c>
    </row>
    <row r="1343" spans="1:16" x14ac:dyDescent="0.25">
      <c r="A1343" t="str">
        <f>"1050010M00264    00"</f>
        <v>1050010M00264    00</v>
      </c>
      <c r="B1343" t="s">
        <v>3243</v>
      </c>
      <c r="C1343" t="s">
        <v>3244</v>
      </c>
      <c r="D1343" t="s">
        <v>20</v>
      </c>
      <c r="E1343" t="s">
        <v>39</v>
      </c>
      <c r="F1343">
        <v>0</v>
      </c>
      <c r="G1343">
        <v>0</v>
      </c>
      <c r="H1343">
        <v>19</v>
      </c>
      <c r="I1343" s="3">
        <v>19098.88</v>
      </c>
      <c r="J1343" s="3">
        <v>16949.189999999999</v>
      </c>
      <c r="K1343" t="s">
        <v>1008</v>
      </c>
      <c r="P1343" t="str">
        <f>""</f>
        <v/>
      </c>
    </row>
    <row r="1344" spans="1:16" x14ac:dyDescent="0.25">
      <c r="A1344" t="str">
        <f>"1050010M00267    00"</f>
        <v>1050010M00267    00</v>
      </c>
      <c r="B1344" t="s">
        <v>3245</v>
      </c>
      <c r="C1344" t="s">
        <v>3246</v>
      </c>
      <c r="D1344" t="s">
        <v>20</v>
      </c>
      <c r="E1344" t="s">
        <v>39</v>
      </c>
      <c r="F1344">
        <v>0</v>
      </c>
      <c r="G1344">
        <v>0</v>
      </c>
      <c r="H1344">
        <v>11</v>
      </c>
      <c r="I1344" s="3">
        <v>6223.23</v>
      </c>
      <c r="J1344" s="3">
        <v>2976.83</v>
      </c>
      <c r="L1344">
        <v>2568</v>
      </c>
      <c r="M1344" t="s">
        <v>3229</v>
      </c>
      <c r="N1344" t="s">
        <v>30</v>
      </c>
      <c r="O1344" t="s">
        <v>31</v>
      </c>
      <c r="P1344" t="str">
        <f>"15219"</f>
        <v>15219</v>
      </c>
    </row>
    <row r="1345" spans="1:16" x14ac:dyDescent="0.25">
      <c r="A1345" t="str">
        <f>"1050010M00269    00"</f>
        <v>1050010M00269    00</v>
      </c>
      <c r="B1345" t="s">
        <v>3247</v>
      </c>
      <c r="C1345" t="s">
        <v>3248</v>
      </c>
      <c r="D1345" t="s">
        <v>20</v>
      </c>
      <c r="E1345" t="s">
        <v>39</v>
      </c>
      <c r="F1345">
        <v>0</v>
      </c>
      <c r="G1345">
        <v>0</v>
      </c>
      <c r="H1345">
        <v>4</v>
      </c>
      <c r="I1345" s="3">
        <v>2970.72</v>
      </c>
      <c r="J1345" s="3">
        <v>423.33</v>
      </c>
      <c r="L1345">
        <v>6389</v>
      </c>
      <c r="M1345" t="s">
        <v>3249</v>
      </c>
      <c r="N1345" t="s">
        <v>30</v>
      </c>
      <c r="O1345" t="s">
        <v>31</v>
      </c>
      <c r="P1345" t="str">
        <f>"15206"</f>
        <v>15206</v>
      </c>
    </row>
    <row r="1346" spans="1:16" x14ac:dyDescent="0.25">
      <c r="A1346" t="str">
        <f>"1050010M00296    00"</f>
        <v>1050010M00296    00</v>
      </c>
      <c r="B1346" t="s">
        <v>3250</v>
      </c>
      <c r="C1346" t="s">
        <v>3251</v>
      </c>
      <c r="D1346" t="s">
        <v>20</v>
      </c>
      <c r="E1346" t="s">
        <v>39</v>
      </c>
      <c r="F1346">
        <v>0</v>
      </c>
      <c r="G1346">
        <v>0</v>
      </c>
      <c r="H1346">
        <v>19</v>
      </c>
      <c r="I1346" s="3">
        <v>17448.25</v>
      </c>
      <c r="J1346" s="3">
        <v>18804.87</v>
      </c>
      <c r="L1346">
        <v>6</v>
      </c>
      <c r="M1346" t="s">
        <v>3252</v>
      </c>
      <c r="N1346" t="s">
        <v>30</v>
      </c>
      <c r="O1346" t="s">
        <v>31</v>
      </c>
      <c r="P1346" t="str">
        <f>"15219"</f>
        <v>15219</v>
      </c>
    </row>
    <row r="1347" spans="1:16" x14ac:dyDescent="0.25">
      <c r="A1347" t="str">
        <f>"1050010M00298    00"</f>
        <v>1050010M00298    00</v>
      </c>
      <c r="B1347" t="s">
        <v>3253</v>
      </c>
      <c r="C1347" t="s">
        <v>3254</v>
      </c>
      <c r="D1347" t="s">
        <v>20</v>
      </c>
      <c r="E1347" t="s">
        <v>39</v>
      </c>
      <c r="F1347">
        <v>0</v>
      </c>
      <c r="G1347">
        <v>0</v>
      </c>
      <c r="H1347">
        <v>19</v>
      </c>
      <c r="I1347" s="3">
        <v>13443</v>
      </c>
      <c r="J1347" s="3">
        <v>14570.72</v>
      </c>
      <c r="P1347" t="str">
        <f>""</f>
        <v/>
      </c>
    </row>
    <row r="1348" spans="1:16" x14ac:dyDescent="0.25">
      <c r="A1348" t="str">
        <f>"1050010N00021    00"</f>
        <v>1050010N00021    00</v>
      </c>
      <c r="B1348" t="s">
        <v>3255</v>
      </c>
      <c r="C1348" t="s">
        <v>3256</v>
      </c>
      <c r="D1348" t="s">
        <v>20</v>
      </c>
      <c r="E1348" t="s">
        <v>39</v>
      </c>
      <c r="F1348">
        <v>0</v>
      </c>
      <c r="G1348">
        <v>0</v>
      </c>
      <c r="H1348">
        <v>1</v>
      </c>
      <c r="I1348" s="3">
        <v>46.56</v>
      </c>
      <c r="J1348" s="3">
        <v>0</v>
      </c>
      <c r="L1348">
        <v>119</v>
      </c>
      <c r="M1348" t="s">
        <v>3257</v>
      </c>
      <c r="N1348" t="s">
        <v>30</v>
      </c>
      <c r="O1348" t="s">
        <v>31</v>
      </c>
      <c r="P1348" t="str">
        <f>"15219"</f>
        <v>15219</v>
      </c>
    </row>
    <row r="1349" spans="1:16" x14ac:dyDescent="0.25">
      <c r="A1349" t="str">
        <f>"1050010N00050    00"</f>
        <v>1050010N00050    00</v>
      </c>
      <c r="B1349" t="s">
        <v>3258</v>
      </c>
      <c r="C1349" t="s">
        <v>3259</v>
      </c>
      <c r="D1349" t="s">
        <v>20</v>
      </c>
      <c r="E1349" t="s">
        <v>39</v>
      </c>
      <c r="F1349">
        <v>0</v>
      </c>
      <c r="G1349">
        <v>0</v>
      </c>
      <c r="H1349">
        <v>1</v>
      </c>
      <c r="I1349" s="3">
        <v>2100.88</v>
      </c>
      <c r="J1349" s="3">
        <v>0</v>
      </c>
      <c r="K1349" t="s">
        <v>3260</v>
      </c>
      <c r="M1349" t="s">
        <v>3261</v>
      </c>
      <c r="N1349" t="s">
        <v>3262</v>
      </c>
      <c r="O1349" t="s">
        <v>3263</v>
      </c>
      <c r="P1349" t="str">
        <f>"97281"</f>
        <v>97281</v>
      </c>
    </row>
    <row r="1350" spans="1:16" x14ac:dyDescent="0.25">
      <c r="A1350" t="str">
        <f>"1050010N00060    00"</f>
        <v>1050010N00060    00</v>
      </c>
      <c r="B1350" t="s">
        <v>3264</v>
      </c>
      <c r="C1350" t="s">
        <v>3265</v>
      </c>
      <c r="E1350" t="s">
        <v>39</v>
      </c>
      <c r="F1350">
        <v>0</v>
      </c>
      <c r="G1350">
        <v>0</v>
      </c>
      <c r="H1350">
        <v>3</v>
      </c>
      <c r="I1350" s="3">
        <v>2384.21</v>
      </c>
      <c r="J1350" s="3">
        <v>556.71</v>
      </c>
      <c r="L1350">
        <v>129</v>
      </c>
      <c r="M1350" t="s">
        <v>2616</v>
      </c>
      <c r="N1350" t="s">
        <v>30</v>
      </c>
      <c r="O1350" t="s">
        <v>31</v>
      </c>
      <c r="P1350" t="str">
        <f>"15219"</f>
        <v>15219</v>
      </c>
    </row>
    <row r="1351" spans="1:16" x14ac:dyDescent="0.25">
      <c r="A1351" t="str">
        <f>"1050010N00300    00"</f>
        <v>1050010N00300    00</v>
      </c>
      <c r="B1351" t="s">
        <v>944</v>
      </c>
      <c r="C1351" t="s">
        <v>3266</v>
      </c>
      <c r="E1351" t="s">
        <v>21</v>
      </c>
      <c r="F1351">
        <v>0</v>
      </c>
      <c r="G1351">
        <v>0</v>
      </c>
      <c r="H1351">
        <v>1</v>
      </c>
      <c r="I1351" s="3">
        <v>6281.35</v>
      </c>
      <c r="J1351" s="3">
        <v>8845.8799999999992</v>
      </c>
      <c r="L1351">
        <v>200</v>
      </c>
      <c r="M1351" t="s">
        <v>946</v>
      </c>
      <c r="N1351" t="s">
        <v>30</v>
      </c>
      <c r="O1351" t="s">
        <v>31</v>
      </c>
      <c r="P1351" t="str">
        <f>"15219"</f>
        <v>15219</v>
      </c>
    </row>
    <row r="1352" spans="1:16" x14ac:dyDescent="0.25">
      <c r="A1352" t="str">
        <f>"1050010N00301    00"</f>
        <v>1050010N00301    00</v>
      </c>
      <c r="B1352" t="s">
        <v>944</v>
      </c>
      <c r="C1352" t="s">
        <v>3267</v>
      </c>
      <c r="E1352" t="s">
        <v>21</v>
      </c>
      <c r="F1352">
        <v>0</v>
      </c>
      <c r="G1352">
        <v>0</v>
      </c>
      <c r="H1352">
        <v>7</v>
      </c>
      <c r="I1352" s="3">
        <v>1835.77</v>
      </c>
      <c r="J1352" s="3">
        <v>2179.67</v>
      </c>
      <c r="L1352">
        <v>200</v>
      </c>
      <c r="M1352" t="s">
        <v>946</v>
      </c>
      <c r="N1352" t="s">
        <v>30</v>
      </c>
      <c r="O1352" t="s">
        <v>31</v>
      </c>
      <c r="P1352" t="str">
        <f>"15219"</f>
        <v>15219</v>
      </c>
    </row>
    <row r="1353" spans="1:16" x14ac:dyDescent="0.25">
      <c r="A1353" t="str">
        <f>"1050010N00307    00"</f>
        <v>1050010N00307    00</v>
      </c>
      <c r="B1353" t="s">
        <v>3268</v>
      </c>
      <c r="C1353" t="s">
        <v>2925</v>
      </c>
      <c r="E1353" t="s">
        <v>21</v>
      </c>
      <c r="F1353">
        <v>0</v>
      </c>
      <c r="G1353">
        <v>0</v>
      </c>
      <c r="H1353">
        <v>8</v>
      </c>
      <c r="I1353" s="3">
        <v>8153.09</v>
      </c>
      <c r="J1353" s="3">
        <v>4749.3599999999997</v>
      </c>
      <c r="K1353" t="s">
        <v>3269</v>
      </c>
      <c r="L1353">
        <v>710</v>
      </c>
      <c r="M1353" t="s">
        <v>3270</v>
      </c>
      <c r="N1353" t="s">
        <v>30</v>
      </c>
      <c r="O1353" t="s">
        <v>31</v>
      </c>
      <c r="P1353" t="str">
        <f>"15206"</f>
        <v>15206</v>
      </c>
    </row>
    <row r="1354" spans="1:16" x14ac:dyDescent="0.25">
      <c r="A1354" t="str">
        <f>"1050010N00322    00"</f>
        <v>1050010N00322    00</v>
      </c>
      <c r="B1354" t="s">
        <v>921</v>
      </c>
      <c r="C1354" t="s">
        <v>3271</v>
      </c>
      <c r="D1354" t="s">
        <v>20</v>
      </c>
      <c r="E1354" t="s">
        <v>39</v>
      </c>
      <c r="F1354">
        <v>0</v>
      </c>
      <c r="G1354">
        <v>0</v>
      </c>
      <c r="H1354">
        <v>1</v>
      </c>
      <c r="I1354" s="3">
        <v>838.64</v>
      </c>
      <c r="J1354" s="3">
        <v>0</v>
      </c>
      <c r="L1354">
        <v>46</v>
      </c>
      <c r="M1354" t="s">
        <v>913</v>
      </c>
      <c r="N1354" t="s">
        <v>914</v>
      </c>
      <c r="O1354" t="s">
        <v>200</v>
      </c>
      <c r="P1354" t="str">
        <f>"10952"</f>
        <v>10952</v>
      </c>
    </row>
    <row r="1355" spans="1:16" x14ac:dyDescent="0.25">
      <c r="A1355" t="str">
        <f>"1050010N00341    00"</f>
        <v>1050010N00341    00</v>
      </c>
      <c r="B1355" t="s">
        <v>1116</v>
      </c>
      <c r="C1355" t="s">
        <v>3272</v>
      </c>
      <c r="D1355" t="s">
        <v>20</v>
      </c>
      <c r="E1355" t="s">
        <v>39</v>
      </c>
      <c r="F1355">
        <v>0</v>
      </c>
      <c r="G1355">
        <v>0</v>
      </c>
      <c r="H1355">
        <v>2</v>
      </c>
      <c r="I1355" s="3">
        <v>87.5</v>
      </c>
      <c r="J1355" s="3">
        <v>0.34</v>
      </c>
      <c r="L1355">
        <v>1801</v>
      </c>
      <c r="M1355" t="s">
        <v>3273</v>
      </c>
      <c r="N1355" t="s">
        <v>30</v>
      </c>
      <c r="O1355" t="s">
        <v>31</v>
      </c>
      <c r="P1355" t="str">
        <f t="shared" ref="P1355:P1367" si="19">"15219"</f>
        <v>15219</v>
      </c>
    </row>
    <row r="1356" spans="1:16" x14ac:dyDescent="0.25">
      <c r="A1356" t="str">
        <f>"1050010N00342    00"</f>
        <v>1050010N00342    00</v>
      </c>
      <c r="B1356" t="s">
        <v>1116</v>
      </c>
      <c r="C1356" t="s">
        <v>3272</v>
      </c>
      <c r="D1356" t="s">
        <v>20</v>
      </c>
      <c r="E1356" t="s">
        <v>39</v>
      </c>
      <c r="F1356">
        <v>0</v>
      </c>
      <c r="G1356">
        <v>0</v>
      </c>
      <c r="H1356">
        <v>2</v>
      </c>
      <c r="I1356" s="3">
        <v>87.5</v>
      </c>
      <c r="J1356" s="3">
        <v>0.34</v>
      </c>
      <c r="L1356">
        <v>1801</v>
      </c>
      <c r="M1356" t="s">
        <v>3273</v>
      </c>
      <c r="N1356" t="s">
        <v>30</v>
      </c>
      <c r="O1356" t="s">
        <v>31</v>
      </c>
      <c r="P1356" t="str">
        <f t="shared" si="19"/>
        <v>15219</v>
      </c>
    </row>
    <row r="1357" spans="1:16" x14ac:dyDescent="0.25">
      <c r="A1357" t="str">
        <f>"1050010N00343    00"</f>
        <v>1050010N00343    00</v>
      </c>
      <c r="B1357" t="s">
        <v>1116</v>
      </c>
      <c r="C1357" t="s">
        <v>3272</v>
      </c>
      <c r="D1357" t="s">
        <v>20</v>
      </c>
      <c r="E1357" t="s">
        <v>39</v>
      </c>
      <c r="F1357">
        <v>0</v>
      </c>
      <c r="G1357">
        <v>0</v>
      </c>
      <c r="H1357">
        <v>2</v>
      </c>
      <c r="I1357" s="3">
        <v>50.55</v>
      </c>
      <c r="J1357" s="3">
        <v>0.2</v>
      </c>
      <c r="L1357">
        <v>1801</v>
      </c>
      <c r="M1357" t="s">
        <v>3273</v>
      </c>
      <c r="N1357" t="s">
        <v>30</v>
      </c>
      <c r="O1357" t="s">
        <v>31</v>
      </c>
      <c r="P1357" t="str">
        <f t="shared" si="19"/>
        <v>15219</v>
      </c>
    </row>
    <row r="1358" spans="1:16" x14ac:dyDescent="0.25">
      <c r="A1358" t="str">
        <f>"1050010N00344    00"</f>
        <v>1050010N00344    00</v>
      </c>
      <c r="B1358" t="s">
        <v>218</v>
      </c>
      <c r="C1358" t="s">
        <v>3274</v>
      </c>
      <c r="E1358" t="s">
        <v>39</v>
      </c>
      <c r="F1358">
        <v>0</v>
      </c>
      <c r="G1358">
        <v>0</v>
      </c>
      <c r="H1358">
        <v>1</v>
      </c>
      <c r="I1358" s="3">
        <v>533.21</v>
      </c>
      <c r="J1358" s="3">
        <v>213.28</v>
      </c>
      <c r="K1358" t="s">
        <v>220</v>
      </c>
      <c r="L1358">
        <v>412</v>
      </c>
      <c r="M1358" t="s">
        <v>221</v>
      </c>
      <c r="N1358" t="s">
        <v>30</v>
      </c>
      <c r="O1358" t="s">
        <v>31</v>
      </c>
      <c r="P1358" t="str">
        <f t="shared" si="19"/>
        <v>15219</v>
      </c>
    </row>
    <row r="1359" spans="1:16" x14ac:dyDescent="0.25">
      <c r="A1359" t="str">
        <f>"1050010N00346    00"</f>
        <v>1050010N00346    00</v>
      </c>
      <c r="B1359" t="s">
        <v>1116</v>
      </c>
      <c r="C1359" t="s">
        <v>3272</v>
      </c>
      <c r="D1359" t="s">
        <v>20</v>
      </c>
      <c r="E1359" t="s">
        <v>39</v>
      </c>
      <c r="F1359">
        <v>0</v>
      </c>
      <c r="G1359">
        <v>0</v>
      </c>
      <c r="H1359">
        <v>2</v>
      </c>
      <c r="I1359" s="3">
        <v>36.950000000000003</v>
      </c>
      <c r="J1359" s="3">
        <v>0.14000000000000001</v>
      </c>
      <c r="L1359">
        <v>1801</v>
      </c>
      <c r="M1359" t="s">
        <v>3273</v>
      </c>
      <c r="N1359" t="s">
        <v>30</v>
      </c>
      <c r="O1359" t="s">
        <v>31</v>
      </c>
      <c r="P1359" t="str">
        <f t="shared" si="19"/>
        <v>15219</v>
      </c>
    </row>
    <row r="1360" spans="1:16" x14ac:dyDescent="0.25">
      <c r="A1360" t="str">
        <f>"1050010P00017    00"</f>
        <v>1050010P00017    00</v>
      </c>
      <c r="B1360" t="s">
        <v>3275</v>
      </c>
      <c r="C1360" t="s">
        <v>1188</v>
      </c>
      <c r="E1360" t="s">
        <v>207</v>
      </c>
      <c r="F1360">
        <v>0</v>
      </c>
      <c r="G1360">
        <v>0</v>
      </c>
      <c r="H1360">
        <v>1</v>
      </c>
      <c r="I1360" s="3">
        <v>237.38</v>
      </c>
      <c r="J1360" s="3">
        <v>71.2</v>
      </c>
      <c r="K1360" t="s">
        <v>3276</v>
      </c>
      <c r="L1360">
        <v>2015</v>
      </c>
      <c r="M1360" t="s">
        <v>3277</v>
      </c>
      <c r="N1360" t="s">
        <v>30</v>
      </c>
      <c r="O1360" t="s">
        <v>31</v>
      </c>
      <c r="P1360" t="str">
        <f t="shared" si="19"/>
        <v>15219</v>
      </c>
    </row>
    <row r="1361" spans="1:16" x14ac:dyDescent="0.25">
      <c r="A1361" t="str">
        <f>"1050010P00025    00"</f>
        <v>1050010P00025    00</v>
      </c>
      <c r="B1361" t="s">
        <v>967</v>
      </c>
      <c r="C1361" t="s">
        <v>3278</v>
      </c>
      <c r="D1361" t="s">
        <v>20</v>
      </c>
      <c r="E1361" t="s">
        <v>21</v>
      </c>
      <c r="F1361">
        <v>0</v>
      </c>
      <c r="G1361">
        <v>0</v>
      </c>
      <c r="H1361">
        <v>2</v>
      </c>
      <c r="I1361" s="3">
        <v>284.66000000000003</v>
      </c>
      <c r="J1361" s="3">
        <v>0</v>
      </c>
      <c r="K1361" t="s">
        <v>969</v>
      </c>
      <c r="L1361">
        <v>733</v>
      </c>
      <c r="M1361" t="s">
        <v>3279</v>
      </c>
      <c r="N1361" t="s">
        <v>30</v>
      </c>
      <c r="O1361" t="s">
        <v>31</v>
      </c>
      <c r="P1361" t="str">
        <f t="shared" si="19"/>
        <v>15219</v>
      </c>
    </row>
    <row r="1362" spans="1:16" x14ac:dyDescent="0.25">
      <c r="A1362" t="str">
        <f>"1050010P00029    00"</f>
        <v>1050010P00029    00</v>
      </c>
      <c r="B1362" t="s">
        <v>3280</v>
      </c>
      <c r="C1362" t="s">
        <v>3281</v>
      </c>
      <c r="D1362" t="s">
        <v>20</v>
      </c>
      <c r="E1362" t="s">
        <v>21</v>
      </c>
      <c r="F1362">
        <v>0</v>
      </c>
      <c r="G1362">
        <v>0</v>
      </c>
      <c r="H1362">
        <v>2</v>
      </c>
      <c r="I1362" s="3">
        <v>1845.92</v>
      </c>
      <c r="J1362" s="3">
        <v>66.45</v>
      </c>
      <c r="L1362">
        <v>2155</v>
      </c>
      <c r="M1362" t="s">
        <v>1117</v>
      </c>
      <c r="N1362" t="s">
        <v>30</v>
      </c>
      <c r="O1362" t="s">
        <v>31</v>
      </c>
      <c r="P1362" t="str">
        <f t="shared" si="19"/>
        <v>15219</v>
      </c>
    </row>
    <row r="1363" spans="1:16" x14ac:dyDescent="0.25">
      <c r="A1363" t="str">
        <f>"1050010P00081    00"</f>
        <v>1050010P00081    00</v>
      </c>
      <c r="B1363" t="s">
        <v>944</v>
      </c>
      <c r="C1363" t="s">
        <v>3282</v>
      </c>
      <c r="E1363" t="s">
        <v>207</v>
      </c>
      <c r="F1363">
        <v>0</v>
      </c>
      <c r="G1363">
        <v>0</v>
      </c>
      <c r="H1363">
        <v>1</v>
      </c>
      <c r="I1363" s="3">
        <v>2434.58</v>
      </c>
      <c r="J1363" s="3">
        <v>2860.53</v>
      </c>
      <c r="L1363">
        <v>200</v>
      </c>
      <c r="M1363" t="s">
        <v>984</v>
      </c>
      <c r="N1363" t="s">
        <v>30</v>
      </c>
      <c r="O1363" t="s">
        <v>31</v>
      </c>
      <c r="P1363" t="str">
        <f t="shared" si="19"/>
        <v>15219</v>
      </c>
    </row>
    <row r="1364" spans="1:16" x14ac:dyDescent="0.25">
      <c r="A1364" t="str">
        <f>"1050010P00083    00"</f>
        <v>1050010P00083    00</v>
      </c>
      <c r="B1364" t="s">
        <v>3283</v>
      </c>
      <c r="C1364" t="s">
        <v>3284</v>
      </c>
      <c r="E1364" t="s">
        <v>39</v>
      </c>
      <c r="F1364">
        <v>0</v>
      </c>
      <c r="G1364">
        <v>0</v>
      </c>
      <c r="H1364">
        <v>1</v>
      </c>
      <c r="I1364" s="3">
        <v>31.34</v>
      </c>
      <c r="J1364" s="3">
        <v>57.98</v>
      </c>
      <c r="K1364" t="s">
        <v>3285</v>
      </c>
      <c r="L1364">
        <v>200</v>
      </c>
      <c r="M1364" t="s">
        <v>946</v>
      </c>
      <c r="N1364" t="s">
        <v>30</v>
      </c>
      <c r="O1364" t="s">
        <v>31</v>
      </c>
      <c r="P1364" t="str">
        <f t="shared" si="19"/>
        <v>15219</v>
      </c>
    </row>
    <row r="1365" spans="1:16" x14ac:dyDescent="0.25">
      <c r="A1365" t="str">
        <f>"1050010P00109    00"</f>
        <v>1050010P00109    00</v>
      </c>
      <c r="B1365" t="s">
        <v>3286</v>
      </c>
      <c r="C1365" t="s">
        <v>3287</v>
      </c>
      <c r="D1365" t="s">
        <v>20</v>
      </c>
      <c r="E1365" t="s">
        <v>21</v>
      </c>
      <c r="F1365">
        <v>0</v>
      </c>
      <c r="G1365">
        <v>0</v>
      </c>
      <c r="H1365">
        <v>3</v>
      </c>
      <c r="I1365" s="3">
        <v>4206.8</v>
      </c>
      <c r="J1365" s="3">
        <v>639.54</v>
      </c>
      <c r="L1365">
        <v>1801</v>
      </c>
      <c r="M1365" t="s">
        <v>1117</v>
      </c>
      <c r="N1365" t="s">
        <v>30</v>
      </c>
      <c r="O1365" t="s">
        <v>31</v>
      </c>
      <c r="P1365" t="str">
        <f t="shared" si="19"/>
        <v>15219</v>
      </c>
    </row>
    <row r="1366" spans="1:16" x14ac:dyDescent="0.25">
      <c r="A1366" t="str">
        <f>"1050010P00113B   00"</f>
        <v>1050010P00113B   00</v>
      </c>
      <c r="B1366" t="s">
        <v>3288</v>
      </c>
      <c r="C1366" t="s">
        <v>3289</v>
      </c>
      <c r="D1366" t="s">
        <v>20</v>
      </c>
      <c r="E1366" t="s">
        <v>21</v>
      </c>
      <c r="F1366">
        <v>0</v>
      </c>
      <c r="G1366">
        <v>0</v>
      </c>
      <c r="H1366">
        <v>3</v>
      </c>
      <c r="I1366" s="3">
        <v>3755.36</v>
      </c>
      <c r="J1366" s="3">
        <v>501.69</v>
      </c>
      <c r="K1366" t="s">
        <v>3290</v>
      </c>
      <c r="L1366">
        <v>1805</v>
      </c>
      <c r="M1366" t="s">
        <v>3291</v>
      </c>
      <c r="N1366" t="s">
        <v>30</v>
      </c>
      <c r="O1366" t="s">
        <v>31</v>
      </c>
      <c r="P1366" t="str">
        <f t="shared" si="19"/>
        <v>15219</v>
      </c>
    </row>
    <row r="1367" spans="1:16" x14ac:dyDescent="0.25">
      <c r="A1367" t="str">
        <f>"1050010P00113C   00"</f>
        <v>1050010P00113C   00</v>
      </c>
      <c r="B1367" t="s">
        <v>218</v>
      </c>
      <c r="C1367" t="s">
        <v>3292</v>
      </c>
      <c r="E1367" t="s">
        <v>39</v>
      </c>
      <c r="F1367">
        <v>0</v>
      </c>
      <c r="G1367">
        <v>0</v>
      </c>
      <c r="H1367">
        <v>1</v>
      </c>
      <c r="I1367" s="3">
        <v>1420.8</v>
      </c>
      <c r="J1367" s="3">
        <v>1669.37</v>
      </c>
      <c r="K1367" t="s">
        <v>220</v>
      </c>
      <c r="L1367">
        <v>412</v>
      </c>
      <c r="M1367" t="s">
        <v>221</v>
      </c>
      <c r="N1367" t="s">
        <v>30</v>
      </c>
      <c r="O1367" t="s">
        <v>31</v>
      </c>
      <c r="P1367" t="str">
        <f t="shared" si="19"/>
        <v>15219</v>
      </c>
    </row>
    <row r="1368" spans="1:16" x14ac:dyDescent="0.25">
      <c r="A1368" t="str">
        <f>"1050010P00117    00"</f>
        <v>1050010P00117    00</v>
      </c>
      <c r="B1368" t="s">
        <v>3293</v>
      </c>
      <c r="C1368" t="s">
        <v>3294</v>
      </c>
      <c r="D1368" t="s">
        <v>20</v>
      </c>
      <c r="E1368" t="s">
        <v>21</v>
      </c>
      <c r="F1368">
        <v>0</v>
      </c>
      <c r="G1368">
        <v>0</v>
      </c>
      <c r="H1368">
        <v>7</v>
      </c>
      <c r="I1368" s="3">
        <v>6146.62</v>
      </c>
      <c r="J1368" s="3">
        <v>1699.71</v>
      </c>
      <c r="L1368">
        <v>414</v>
      </c>
      <c r="M1368" t="s">
        <v>3295</v>
      </c>
      <c r="N1368" t="s">
        <v>30</v>
      </c>
      <c r="O1368" t="s">
        <v>31</v>
      </c>
      <c r="P1368" t="str">
        <f>"15210"</f>
        <v>15210</v>
      </c>
    </row>
    <row r="1369" spans="1:16" x14ac:dyDescent="0.25">
      <c r="A1369" t="str">
        <f>"1050010P00132    00"</f>
        <v>1050010P00132    00</v>
      </c>
      <c r="B1369" t="s">
        <v>3296</v>
      </c>
      <c r="C1369" t="s">
        <v>2925</v>
      </c>
      <c r="E1369" t="s">
        <v>21</v>
      </c>
      <c r="F1369">
        <v>0</v>
      </c>
      <c r="G1369">
        <v>0</v>
      </c>
      <c r="H1369">
        <v>1</v>
      </c>
      <c r="I1369" s="3">
        <v>171.54</v>
      </c>
      <c r="J1369" s="3">
        <v>0</v>
      </c>
      <c r="L1369">
        <v>1169</v>
      </c>
      <c r="M1369" t="s">
        <v>3297</v>
      </c>
      <c r="N1369" t="s">
        <v>30</v>
      </c>
      <c r="O1369" t="s">
        <v>31</v>
      </c>
      <c r="P1369" t="str">
        <f>"15212"</f>
        <v>15212</v>
      </c>
    </row>
    <row r="1370" spans="1:16" x14ac:dyDescent="0.25">
      <c r="A1370" t="str">
        <f>"1050010P00140    00"</f>
        <v>1050010P00140    00</v>
      </c>
      <c r="B1370" t="s">
        <v>3298</v>
      </c>
      <c r="C1370" t="s">
        <v>2925</v>
      </c>
      <c r="D1370" t="s">
        <v>20</v>
      </c>
      <c r="E1370" t="s">
        <v>21</v>
      </c>
      <c r="F1370">
        <v>0</v>
      </c>
      <c r="G1370">
        <v>0</v>
      </c>
      <c r="H1370">
        <v>3</v>
      </c>
      <c r="I1370" s="3">
        <v>1801.2</v>
      </c>
      <c r="J1370" s="3">
        <v>120.08</v>
      </c>
      <c r="L1370">
        <v>975</v>
      </c>
      <c r="M1370" t="s">
        <v>3299</v>
      </c>
      <c r="N1370" t="s">
        <v>295</v>
      </c>
      <c r="O1370" t="s">
        <v>31</v>
      </c>
      <c r="P1370" t="str">
        <f>"15146"</f>
        <v>15146</v>
      </c>
    </row>
    <row r="1371" spans="1:16" x14ac:dyDescent="0.25">
      <c r="A1371" t="str">
        <f>"1050010P00141    00"</f>
        <v>1050010P00141    00</v>
      </c>
      <c r="B1371" t="s">
        <v>3300</v>
      </c>
      <c r="C1371" t="s">
        <v>2925</v>
      </c>
      <c r="D1371" t="s">
        <v>20</v>
      </c>
      <c r="E1371" t="s">
        <v>39</v>
      </c>
      <c r="F1371">
        <v>0</v>
      </c>
      <c r="G1371">
        <v>0</v>
      </c>
      <c r="H1371">
        <v>3</v>
      </c>
      <c r="I1371" s="3">
        <v>903.45</v>
      </c>
      <c r="J1371" s="3">
        <v>60.23</v>
      </c>
      <c r="L1371">
        <v>975</v>
      </c>
      <c r="M1371" t="s">
        <v>3299</v>
      </c>
      <c r="N1371" t="s">
        <v>295</v>
      </c>
      <c r="O1371" t="s">
        <v>31</v>
      </c>
      <c r="P1371" t="str">
        <f>"15146"</f>
        <v>15146</v>
      </c>
    </row>
    <row r="1372" spans="1:16" x14ac:dyDescent="0.25">
      <c r="A1372" t="str">
        <f>"1050010P00142    00"</f>
        <v>1050010P00142    00</v>
      </c>
      <c r="B1372" t="s">
        <v>3300</v>
      </c>
      <c r="C1372" t="s">
        <v>2925</v>
      </c>
      <c r="D1372" t="s">
        <v>20</v>
      </c>
      <c r="E1372" t="s">
        <v>21</v>
      </c>
      <c r="F1372">
        <v>0</v>
      </c>
      <c r="G1372">
        <v>0</v>
      </c>
      <c r="H1372">
        <v>3</v>
      </c>
      <c r="I1372" s="3">
        <v>1475.25</v>
      </c>
      <c r="J1372" s="3">
        <v>98.35</v>
      </c>
      <c r="L1372">
        <v>975</v>
      </c>
      <c r="M1372" t="s">
        <v>3299</v>
      </c>
      <c r="N1372" t="s">
        <v>295</v>
      </c>
      <c r="O1372" t="s">
        <v>31</v>
      </c>
      <c r="P1372" t="str">
        <f>"15146"</f>
        <v>15146</v>
      </c>
    </row>
    <row r="1373" spans="1:16" x14ac:dyDescent="0.25">
      <c r="A1373" t="str">
        <f>"1050010P00143    00"</f>
        <v>1050010P00143    00</v>
      </c>
      <c r="B1373" t="s">
        <v>3300</v>
      </c>
      <c r="C1373" t="s">
        <v>2925</v>
      </c>
      <c r="D1373" t="s">
        <v>20</v>
      </c>
      <c r="E1373" t="s">
        <v>21</v>
      </c>
      <c r="F1373">
        <v>0</v>
      </c>
      <c r="G1373">
        <v>0</v>
      </c>
      <c r="H1373">
        <v>3</v>
      </c>
      <c r="I1373" s="3">
        <v>1309.44</v>
      </c>
      <c r="J1373" s="3">
        <v>87.29</v>
      </c>
      <c r="L1373">
        <v>975</v>
      </c>
      <c r="M1373" t="s">
        <v>3299</v>
      </c>
      <c r="N1373" t="s">
        <v>295</v>
      </c>
      <c r="O1373" t="s">
        <v>31</v>
      </c>
      <c r="P1373" t="str">
        <f>"15146"</f>
        <v>15146</v>
      </c>
    </row>
    <row r="1374" spans="1:16" x14ac:dyDescent="0.25">
      <c r="A1374" t="str">
        <f>"1050010P00143A   00"</f>
        <v>1050010P00143A   00</v>
      </c>
      <c r="B1374" t="s">
        <v>3300</v>
      </c>
      <c r="C1374" t="s">
        <v>3301</v>
      </c>
      <c r="D1374" t="s">
        <v>20</v>
      </c>
      <c r="E1374" t="s">
        <v>39</v>
      </c>
      <c r="F1374">
        <v>0</v>
      </c>
      <c r="G1374">
        <v>0</v>
      </c>
      <c r="H1374">
        <v>3</v>
      </c>
      <c r="I1374" s="3">
        <v>80.040000000000006</v>
      </c>
      <c r="J1374" s="3">
        <v>5.34</v>
      </c>
      <c r="L1374">
        <v>975</v>
      </c>
      <c r="M1374" t="s">
        <v>3299</v>
      </c>
      <c r="N1374" t="s">
        <v>295</v>
      </c>
      <c r="O1374" t="s">
        <v>31</v>
      </c>
      <c r="P1374" t="str">
        <f>"15146"</f>
        <v>15146</v>
      </c>
    </row>
    <row r="1375" spans="1:16" x14ac:dyDescent="0.25">
      <c r="A1375" t="str">
        <f>"1050010P00152    00"</f>
        <v>1050010P00152    00</v>
      </c>
      <c r="B1375" t="s">
        <v>3302</v>
      </c>
      <c r="C1375" t="s">
        <v>3303</v>
      </c>
      <c r="E1375" t="s">
        <v>39</v>
      </c>
      <c r="F1375">
        <v>0</v>
      </c>
      <c r="G1375">
        <v>0</v>
      </c>
      <c r="H1375">
        <v>1</v>
      </c>
      <c r="I1375" s="3">
        <v>115.77</v>
      </c>
      <c r="J1375" s="3">
        <v>0</v>
      </c>
      <c r="L1375">
        <v>2166</v>
      </c>
      <c r="M1375" t="s">
        <v>3304</v>
      </c>
      <c r="N1375" t="s">
        <v>30</v>
      </c>
      <c r="O1375" t="s">
        <v>31</v>
      </c>
      <c r="P1375" t="str">
        <f>"15219"</f>
        <v>15219</v>
      </c>
    </row>
    <row r="1376" spans="1:16" x14ac:dyDescent="0.25">
      <c r="A1376" t="str">
        <f>"1050010P00174    00"</f>
        <v>1050010P00174    00</v>
      </c>
      <c r="B1376" t="s">
        <v>3305</v>
      </c>
      <c r="C1376" t="s">
        <v>3306</v>
      </c>
      <c r="D1376" t="s">
        <v>20</v>
      </c>
      <c r="E1376" t="s">
        <v>39</v>
      </c>
      <c r="F1376">
        <v>0</v>
      </c>
      <c r="G1376">
        <v>0</v>
      </c>
      <c r="H1376">
        <v>14</v>
      </c>
      <c r="I1376" s="3">
        <v>10945.54</v>
      </c>
      <c r="J1376" s="3">
        <v>7000.74</v>
      </c>
      <c r="L1376">
        <v>1248</v>
      </c>
      <c r="M1376" t="s">
        <v>3307</v>
      </c>
      <c r="N1376" t="s">
        <v>30</v>
      </c>
      <c r="O1376" t="s">
        <v>31</v>
      </c>
      <c r="P1376" t="str">
        <f>"15221"</f>
        <v>15221</v>
      </c>
    </row>
    <row r="1377" spans="1:16" x14ac:dyDescent="0.25">
      <c r="A1377" t="str">
        <f>"1050010P00177    00"</f>
        <v>1050010P00177    00</v>
      </c>
      <c r="B1377" t="s">
        <v>3308</v>
      </c>
      <c r="C1377" t="s">
        <v>3309</v>
      </c>
      <c r="D1377" t="s">
        <v>20</v>
      </c>
      <c r="E1377" t="s">
        <v>39</v>
      </c>
      <c r="F1377">
        <v>0</v>
      </c>
      <c r="G1377">
        <v>0</v>
      </c>
      <c r="H1377">
        <v>5</v>
      </c>
      <c r="I1377" s="3">
        <v>1712.27</v>
      </c>
      <c r="J1377" s="3">
        <v>306.93</v>
      </c>
      <c r="L1377">
        <v>2106</v>
      </c>
      <c r="M1377" t="s">
        <v>3304</v>
      </c>
      <c r="N1377" t="s">
        <v>30</v>
      </c>
      <c r="O1377" t="s">
        <v>31</v>
      </c>
      <c r="P1377" t="str">
        <f>"15219"</f>
        <v>15219</v>
      </c>
    </row>
    <row r="1378" spans="1:16" x14ac:dyDescent="0.25">
      <c r="A1378" t="str">
        <f>"1050010P00179    00"</f>
        <v>1050010P00179    00</v>
      </c>
      <c r="B1378" t="s">
        <v>3310</v>
      </c>
      <c r="C1378" t="s">
        <v>3311</v>
      </c>
      <c r="E1378" t="s">
        <v>39</v>
      </c>
      <c r="F1378">
        <v>0</v>
      </c>
      <c r="G1378">
        <v>0</v>
      </c>
      <c r="H1378">
        <v>2</v>
      </c>
      <c r="I1378" s="3">
        <v>285.14999999999998</v>
      </c>
      <c r="J1378" s="3">
        <v>81.790000000000006</v>
      </c>
      <c r="K1378" t="s">
        <v>3312</v>
      </c>
      <c r="M1378" t="s">
        <v>3313</v>
      </c>
      <c r="N1378" t="s">
        <v>30</v>
      </c>
      <c r="O1378" t="s">
        <v>31</v>
      </c>
      <c r="P1378" t="str">
        <f>"15230"</f>
        <v>15230</v>
      </c>
    </row>
    <row r="1379" spans="1:16" x14ac:dyDescent="0.25">
      <c r="A1379" t="str">
        <f>"1050010P00192E   00"</f>
        <v>1050010P00192E   00</v>
      </c>
      <c r="B1379" t="s">
        <v>3314</v>
      </c>
      <c r="C1379" t="s">
        <v>3315</v>
      </c>
      <c r="D1379" t="s">
        <v>20</v>
      </c>
      <c r="E1379" t="s">
        <v>39</v>
      </c>
      <c r="F1379">
        <v>0</v>
      </c>
      <c r="G1379">
        <v>0</v>
      </c>
      <c r="H1379">
        <v>9</v>
      </c>
      <c r="I1379" s="3">
        <v>2034.95</v>
      </c>
      <c r="J1379" s="3">
        <v>770.56</v>
      </c>
      <c r="K1379" t="s">
        <v>3316</v>
      </c>
      <c r="L1379">
        <v>9595</v>
      </c>
      <c r="M1379" t="s">
        <v>3317</v>
      </c>
      <c r="N1379" t="s">
        <v>264</v>
      </c>
      <c r="O1379" t="s">
        <v>25</v>
      </c>
      <c r="P1379" t="str">
        <f>"45231"</f>
        <v>45231</v>
      </c>
    </row>
    <row r="1380" spans="1:16" x14ac:dyDescent="0.25">
      <c r="A1380" t="str">
        <f>"1050010P00198    00"</f>
        <v>1050010P00198    00</v>
      </c>
      <c r="B1380" t="s">
        <v>3318</v>
      </c>
      <c r="C1380" t="s">
        <v>3319</v>
      </c>
      <c r="D1380" t="s">
        <v>20</v>
      </c>
      <c r="E1380" t="s">
        <v>39</v>
      </c>
      <c r="F1380">
        <v>0</v>
      </c>
      <c r="G1380">
        <v>0</v>
      </c>
      <c r="H1380">
        <v>1</v>
      </c>
      <c r="I1380" s="3">
        <v>85.78</v>
      </c>
      <c r="J1380" s="3">
        <v>0</v>
      </c>
      <c r="L1380">
        <v>2143</v>
      </c>
      <c r="M1380" t="s">
        <v>3320</v>
      </c>
      <c r="N1380" t="s">
        <v>30</v>
      </c>
      <c r="O1380" t="s">
        <v>31</v>
      </c>
      <c r="P1380" t="str">
        <f>"15219"</f>
        <v>15219</v>
      </c>
    </row>
    <row r="1381" spans="1:16" x14ac:dyDescent="0.25">
      <c r="A1381" t="str">
        <f>"1050010P00199    00"</f>
        <v>1050010P00199    00</v>
      </c>
      <c r="B1381" t="s">
        <v>3318</v>
      </c>
      <c r="C1381" t="s">
        <v>3319</v>
      </c>
      <c r="D1381" t="s">
        <v>20</v>
      </c>
      <c r="E1381" t="s">
        <v>39</v>
      </c>
      <c r="F1381">
        <v>0</v>
      </c>
      <c r="G1381">
        <v>0</v>
      </c>
      <c r="H1381">
        <v>1</v>
      </c>
      <c r="I1381" s="3">
        <v>179.74</v>
      </c>
      <c r="J1381" s="3">
        <v>0</v>
      </c>
      <c r="L1381">
        <v>2143</v>
      </c>
      <c r="M1381" t="s">
        <v>3320</v>
      </c>
      <c r="N1381" t="s">
        <v>30</v>
      </c>
      <c r="O1381" t="s">
        <v>31</v>
      </c>
      <c r="P1381" t="str">
        <f>"15219"</f>
        <v>15219</v>
      </c>
    </row>
    <row r="1382" spans="1:16" x14ac:dyDescent="0.25">
      <c r="A1382" t="str">
        <f>"1050010R00023    00"</f>
        <v>1050010R00023    00</v>
      </c>
      <c r="B1382" t="s">
        <v>3321</v>
      </c>
      <c r="C1382" t="s">
        <v>3322</v>
      </c>
      <c r="D1382" t="s">
        <v>20</v>
      </c>
      <c r="E1382" t="s">
        <v>39</v>
      </c>
      <c r="F1382">
        <v>0</v>
      </c>
      <c r="G1382">
        <v>0</v>
      </c>
      <c r="H1382">
        <v>8</v>
      </c>
      <c r="I1382" s="3">
        <v>3761.6</v>
      </c>
      <c r="J1382" s="3">
        <v>4727.54</v>
      </c>
      <c r="L1382">
        <v>301</v>
      </c>
      <c r="M1382" t="s">
        <v>3323</v>
      </c>
      <c r="N1382" t="s">
        <v>3324</v>
      </c>
      <c r="O1382" t="s">
        <v>273</v>
      </c>
      <c r="P1382" t="str">
        <f>"29445"</f>
        <v>29445</v>
      </c>
    </row>
    <row r="1383" spans="1:16" x14ac:dyDescent="0.25">
      <c r="A1383" t="str">
        <f>"1050010R00024    00"</f>
        <v>1050010R00024    00</v>
      </c>
      <c r="B1383" t="s">
        <v>3325</v>
      </c>
      <c r="C1383" t="s">
        <v>3326</v>
      </c>
      <c r="D1383" t="s">
        <v>20</v>
      </c>
      <c r="E1383" t="s">
        <v>39</v>
      </c>
      <c r="F1383">
        <v>0</v>
      </c>
      <c r="G1383">
        <v>0</v>
      </c>
      <c r="H1383">
        <v>11</v>
      </c>
      <c r="I1383" s="3">
        <v>7329.09</v>
      </c>
      <c r="J1383" s="3">
        <v>3121.26</v>
      </c>
      <c r="L1383">
        <v>2424</v>
      </c>
      <c r="M1383" t="s">
        <v>3327</v>
      </c>
      <c r="N1383" t="s">
        <v>30</v>
      </c>
      <c r="O1383" t="s">
        <v>31</v>
      </c>
      <c r="P1383" t="str">
        <f>"15219"</f>
        <v>15219</v>
      </c>
    </row>
    <row r="1384" spans="1:16" x14ac:dyDescent="0.25">
      <c r="A1384" t="str">
        <f>"1050010R00025A   00"</f>
        <v>1050010R00025A   00</v>
      </c>
      <c r="B1384" t="s">
        <v>3328</v>
      </c>
      <c r="C1384" t="s">
        <v>3329</v>
      </c>
      <c r="D1384" t="s">
        <v>20</v>
      </c>
      <c r="E1384" t="s">
        <v>39</v>
      </c>
      <c r="F1384">
        <v>0</v>
      </c>
      <c r="G1384">
        <v>0</v>
      </c>
      <c r="H1384">
        <v>15</v>
      </c>
      <c r="I1384" s="3">
        <v>5514.73</v>
      </c>
      <c r="J1384" s="3">
        <v>2893.19</v>
      </c>
      <c r="L1384">
        <v>2299</v>
      </c>
      <c r="M1384" t="s">
        <v>1117</v>
      </c>
      <c r="N1384" t="s">
        <v>30</v>
      </c>
      <c r="O1384" t="s">
        <v>31</v>
      </c>
      <c r="P1384" t="str">
        <f>"15219"</f>
        <v>15219</v>
      </c>
    </row>
    <row r="1385" spans="1:16" x14ac:dyDescent="0.25">
      <c r="A1385" t="str">
        <f>"1050010R00026    00"</f>
        <v>1050010R00026    00</v>
      </c>
      <c r="B1385" t="s">
        <v>3330</v>
      </c>
      <c r="C1385" t="s">
        <v>3322</v>
      </c>
      <c r="E1385" t="s">
        <v>39</v>
      </c>
      <c r="F1385">
        <v>0</v>
      </c>
      <c r="G1385">
        <v>0</v>
      </c>
      <c r="H1385">
        <v>1</v>
      </c>
      <c r="I1385" s="3">
        <v>43.56</v>
      </c>
      <c r="J1385" s="3">
        <v>34.85</v>
      </c>
      <c r="K1385" t="s">
        <v>3331</v>
      </c>
      <c r="L1385">
        <v>2502</v>
      </c>
      <c r="M1385" t="s">
        <v>1117</v>
      </c>
      <c r="N1385" t="s">
        <v>30</v>
      </c>
      <c r="O1385" t="s">
        <v>31</v>
      </c>
      <c r="P1385" t="str">
        <f>"15219"</f>
        <v>15219</v>
      </c>
    </row>
    <row r="1386" spans="1:16" x14ac:dyDescent="0.25">
      <c r="A1386" t="str">
        <f>"1050010R00029    00"</f>
        <v>1050010R00029    00</v>
      </c>
      <c r="B1386" t="s">
        <v>3332</v>
      </c>
      <c r="C1386" t="s">
        <v>3322</v>
      </c>
      <c r="E1386" t="s">
        <v>39</v>
      </c>
      <c r="F1386">
        <v>0</v>
      </c>
      <c r="G1386">
        <v>0</v>
      </c>
      <c r="H1386">
        <v>2</v>
      </c>
      <c r="I1386" s="3">
        <v>302.56</v>
      </c>
      <c r="J1386" s="3">
        <v>2.52</v>
      </c>
      <c r="L1386">
        <v>2408</v>
      </c>
      <c r="M1386" t="s">
        <v>3327</v>
      </c>
      <c r="N1386" t="s">
        <v>30</v>
      </c>
      <c r="O1386" t="s">
        <v>31</v>
      </c>
      <c r="P1386" t="str">
        <f>"15219"</f>
        <v>15219</v>
      </c>
    </row>
    <row r="1387" spans="1:16" x14ac:dyDescent="0.25">
      <c r="A1387" t="str">
        <f>"1050010R00030    00"</f>
        <v>1050010R00030    00</v>
      </c>
      <c r="B1387" t="s">
        <v>3332</v>
      </c>
      <c r="C1387" t="s">
        <v>3322</v>
      </c>
      <c r="E1387" t="s">
        <v>39</v>
      </c>
      <c r="F1387">
        <v>0</v>
      </c>
      <c r="G1387">
        <v>0</v>
      </c>
      <c r="H1387">
        <v>2</v>
      </c>
      <c r="I1387" s="3">
        <v>130.63999999999999</v>
      </c>
      <c r="J1387" s="3">
        <v>1.1000000000000001</v>
      </c>
      <c r="L1387">
        <v>2408</v>
      </c>
      <c r="M1387" t="s">
        <v>3327</v>
      </c>
      <c r="N1387" t="s">
        <v>30</v>
      </c>
      <c r="O1387" t="s">
        <v>31</v>
      </c>
      <c r="P1387" t="str">
        <f>"15219"</f>
        <v>15219</v>
      </c>
    </row>
    <row r="1388" spans="1:16" x14ac:dyDescent="0.25">
      <c r="A1388" t="str">
        <f>"1050010R00084    00"</f>
        <v>1050010R00084    00</v>
      </c>
      <c r="B1388" t="s">
        <v>3333</v>
      </c>
      <c r="C1388" t="s">
        <v>3322</v>
      </c>
      <c r="D1388" t="s">
        <v>20</v>
      </c>
      <c r="E1388" t="s">
        <v>39</v>
      </c>
      <c r="F1388">
        <v>0</v>
      </c>
      <c r="G1388">
        <v>0</v>
      </c>
      <c r="H1388">
        <v>1</v>
      </c>
      <c r="I1388" s="3">
        <v>209.66</v>
      </c>
      <c r="J1388" s="3">
        <v>0</v>
      </c>
      <c r="L1388">
        <v>12595</v>
      </c>
      <c r="M1388" t="s">
        <v>3334</v>
      </c>
      <c r="N1388" t="s">
        <v>3335</v>
      </c>
      <c r="O1388" t="s">
        <v>3263</v>
      </c>
      <c r="P1388" t="str">
        <f>"97111"</f>
        <v>97111</v>
      </c>
    </row>
    <row r="1389" spans="1:16" x14ac:dyDescent="0.25">
      <c r="A1389" t="str">
        <f>"1050010R00085    00"</f>
        <v>1050010R00085    00</v>
      </c>
      <c r="B1389" t="s">
        <v>3333</v>
      </c>
      <c r="C1389" t="s">
        <v>3322</v>
      </c>
      <c r="D1389" t="s">
        <v>20</v>
      </c>
      <c r="E1389" t="s">
        <v>39</v>
      </c>
      <c r="F1389">
        <v>0</v>
      </c>
      <c r="G1389">
        <v>0</v>
      </c>
      <c r="H1389">
        <v>1</v>
      </c>
      <c r="I1389" s="3">
        <v>251.59</v>
      </c>
      <c r="J1389" s="3">
        <v>0</v>
      </c>
      <c r="L1389">
        <v>12595</v>
      </c>
      <c r="M1389" t="s">
        <v>3334</v>
      </c>
      <c r="N1389" t="s">
        <v>3335</v>
      </c>
      <c r="O1389" t="s">
        <v>3263</v>
      </c>
      <c r="P1389" t="str">
        <f>"97111"</f>
        <v>97111</v>
      </c>
    </row>
    <row r="1390" spans="1:16" x14ac:dyDescent="0.25">
      <c r="A1390" t="str">
        <f>"1050010R00096    00"</f>
        <v>1050010R00096    00</v>
      </c>
      <c r="B1390" t="s">
        <v>3336</v>
      </c>
      <c r="C1390" t="s">
        <v>3322</v>
      </c>
      <c r="D1390" t="s">
        <v>20</v>
      </c>
      <c r="E1390" t="s">
        <v>39</v>
      </c>
      <c r="F1390">
        <v>0</v>
      </c>
      <c r="G1390">
        <v>0</v>
      </c>
      <c r="H1390">
        <v>19</v>
      </c>
      <c r="I1390" s="3">
        <v>7777.39</v>
      </c>
      <c r="J1390" s="3">
        <v>11012.71</v>
      </c>
      <c r="K1390" t="s">
        <v>1008</v>
      </c>
      <c r="P1390" t="str">
        <f>""</f>
        <v/>
      </c>
    </row>
    <row r="1391" spans="1:16" x14ac:dyDescent="0.25">
      <c r="A1391" t="str">
        <f>"1050010R00101    00"</f>
        <v>1050010R00101    00</v>
      </c>
      <c r="B1391" t="s">
        <v>3337</v>
      </c>
      <c r="C1391" t="s">
        <v>2925</v>
      </c>
      <c r="D1391" t="s">
        <v>20</v>
      </c>
      <c r="E1391" t="s">
        <v>21</v>
      </c>
      <c r="F1391">
        <v>0</v>
      </c>
      <c r="G1391">
        <v>0</v>
      </c>
      <c r="H1391">
        <v>19</v>
      </c>
      <c r="I1391" s="3">
        <v>13916.79</v>
      </c>
      <c r="J1391" s="3">
        <v>10952.42</v>
      </c>
      <c r="K1391" t="s">
        <v>3338</v>
      </c>
      <c r="L1391">
        <v>2420</v>
      </c>
      <c r="M1391" t="s">
        <v>1117</v>
      </c>
      <c r="N1391" t="s">
        <v>30</v>
      </c>
      <c r="O1391" t="s">
        <v>31</v>
      </c>
      <c r="P1391" t="str">
        <f>"15219"</f>
        <v>15219</v>
      </c>
    </row>
    <row r="1392" spans="1:16" x14ac:dyDescent="0.25">
      <c r="A1392" t="str">
        <f>"1050010R00103    00"</f>
        <v>1050010R00103    00</v>
      </c>
      <c r="B1392" t="s">
        <v>3339</v>
      </c>
      <c r="C1392" t="s">
        <v>3340</v>
      </c>
      <c r="D1392" t="s">
        <v>20</v>
      </c>
      <c r="E1392" t="s">
        <v>21</v>
      </c>
      <c r="F1392">
        <v>0</v>
      </c>
      <c r="G1392">
        <v>0</v>
      </c>
      <c r="H1392">
        <v>3</v>
      </c>
      <c r="I1392" s="3">
        <v>5277.75</v>
      </c>
      <c r="J1392" s="3">
        <v>351.84</v>
      </c>
      <c r="L1392">
        <v>630</v>
      </c>
      <c r="M1392" t="s">
        <v>3341</v>
      </c>
      <c r="N1392" t="s">
        <v>30</v>
      </c>
      <c r="O1392" t="s">
        <v>31</v>
      </c>
      <c r="P1392" t="str">
        <f>"15219"</f>
        <v>15219</v>
      </c>
    </row>
    <row r="1393" spans="1:16" x14ac:dyDescent="0.25">
      <c r="A1393" t="str">
        <f>"1050010R00108    00"</f>
        <v>1050010R00108    00</v>
      </c>
      <c r="B1393" t="s">
        <v>3342</v>
      </c>
      <c r="C1393" t="s">
        <v>3343</v>
      </c>
      <c r="D1393" t="s">
        <v>20</v>
      </c>
      <c r="E1393" t="s">
        <v>21</v>
      </c>
      <c r="F1393">
        <v>0</v>
      </c>
      <c r="G1393">
        <v>0</v>
      </c>
      <c r="H1393">
        <v>19</v>
      </c>
      <c r="I1393" s="3">
        <v>21453.1</v>
      </c>
      <c r="J1393" s="3">
        <v>16116.56</v>
      </c>
      <c r="L1393">
        <v>2306</v>
      </c>
      <c r="M1393" t="s">
        <v>1090</v>
      </c>
      <c r="N1393" t="s">
        <v>30</v>
      </c>
      <c r="O1393" t="s">
        <v>31</v>
      </c>
      <c r="P1393" t="str">
        <f>"15219"</f>
        <v>15219</v>
      </c>
    </row>
    <row r="1394" spans="1:16" x14ac:dyDescent="0.25">
      <c r="A1394" t="str">
        <f>"1050010R00119    00"</f>
        <v>1050010R00119    00</v>
      </c>
      <c r="B1394" t="s">
        <v>3344</v>
      </c>
      <c r="C1394" t="s">
        <v>2925</v>
      </c>
      <c r="D1394" t="s">
        <v>20</v>
      </c>
      <c r="E1394" t="s">
        <v>39</v>
      </c>
      <c r="F1394">
        <v>0</v>
      </c>
      <c r="G1394">
        <v>0</v>
      </c>
      <c r="H1394">
        <v>1</v>
      </c>
      <c r="I1394" s="3">
        <v>383.12</v>
      </c>
      <c r="J1394" s="3">
        <v>0</v>
      </c>
      <c r="K1394" t="s">
        <v>3345</v>
      </c>
      <c r="L1394">
        <v>2325</v>
      </c>
      <c r="M1394" t="s">
        <v>3346</v>
      </c>
      <c r="N1394" t="s">
        <v>30</v>
      </c>
      <c r="O1394" t="s">
        <v>31</v>
      </c>
      <c r="P1394" t="str">
        <f>"15219"</f>
        <v>15219</v>
      </c>
    </row>
    <row r="1395" spans="1:16" x14ac:dyDescent="0.25">
      <c r="A1395" t="str">
        <f>"1050010R00120000200"</f>
        <v>1050010R00120000200</v>
      </c>
      <c r="B1395" t="s">
        <v>1326</v>
      </c>
      <c r="C1395" t="s">
        <v>2925</v>
      </c>
      <c r="D1395" t="s">
        <v>20</v>
      </c>
      <c r="E1395" t="s">
        <v>39</v>
      </c>
      <c r="F1395">
        <v>0</v>
      </c>
      <c r="G1395">
        <v>0</v>
      </c>
      <c r="H1395">
        <v>17</v>
      </c>
      <c r="I1395" s="3">
        <v>8087.41</v>
      </c>
      <c r="J1395" s="3">
        <v>11587.15</v>
      </c>
      <c r="K1395" t="s">
        <v>3347</v>
      </c>
      <c r="L1395">
        <v>1530</v>
      </c>
      <c r="M1395" t="s">
        <v>3348</v>
      </c>
      <c r="N1395" t="s">
        <v>1158</v>
      </c>
      <c r="O1395" t="s">
        <v>370</v>
      </c>
      <c r="P1395" t="str">
        <f>"33409"</f>
        <v>33409</v>
      </c>
    </row>
    <row r="1396" spans="1:16" x14ac:dyDescent="0.25">
      <c r="A1396" t="str">
        <f>"1050010R00120A   00"</f>
        <v>1050010R00120A   00</v>
      </c>
      <c r="B1396" t="s">
        <v>3349</v>
      </c>
      <c r="C1396" t="s">
        <v>3350</v>
      </c>
      <c r="D1396" t="s">
        <v>20</v>
      </c>
      <c r="E1396" t="s">
        <v>39</v>
      </c>
      <c r="F1396">
        <v>0</v>
      </c>
      <c r="G1396">
        <v>0</v>
      </c>
      <c r="H1396">
        <v>1</v>
      </c>
      <c r="I1396" s="3">
        <v>545.58000000000004</v>
      </c>
      <c r="J1396" s="3">
        <v>0</v>
      </c>
      <c r="L1396">
        <v>2322</v>
      </c>
      <c r="M1396" t="s">
        <v>1117</v>
      </c>
      <c r="N1396" t="s">
        <v>30</v>
      </c>
      <c r="O1396" t="s">
        <v>31</v>
      </c>
      <c r="P1396" t="str">
        <f t="shared" ref="P1396:P1402" si="20">"15219"</f>
        <v>15219</v>
      </c>
    </row>
    <row r="1397" spans="1:16" x14ac:dyDescent="0.25">
      <c r="A1397" t="str">
        <f>"1050010R00125A   00"</f>
        <v>1050010R00125A   00</v>
      </c>
      <c r="B1397" t="s">
        <v>3349</v>
      </c>
      <c r="C1397" t="s">
        <v>3350</v>
      </c>
      <c r="D1397" t="s">
        <v>20</v>
      </c>
      <c r="E1397" t="s">
        <v>39</v>
      </c>
      <c r="F1397">
        <v>0</v>
      </c>
      <c r="G1397">
        <v>0</v>
      </c>
      <c r="H1397">
        <v>1</v>
      </c>
      <c r="I1397" s="3">
        <v>40.04</v>
      </c>
      <c r="J1397" s="3">
        <v>0</v>
      </c>
      <c r="L1397">
        <v>2322</v>
      </c>
      <c r="M1397" t="s">
        <v>1117</v>
      </c>
      <c r="N1397" t="s">
        <v>30</v>
      </c>
      <c r="O1397" t="s">
        <v>31</v>
      </c>
      <c r="P1397" t="str">
        <f t="shared" si="20"/>
        <v>15219</v>
      </c>
    </row>
    <row r="1398" spans="1:16" x14ac:dyDescent="0.25">
      <c r="A1398" t="str">
        <f>"1050010R00126    00"</f>
        <v>1050010R00126    00</v>
      </c>
      <c r="B1398" t="s">
        <v>3351</v>
      </c>
      <c r="C1398" t="s">
        <v>3352</v>
      </c>
      <c r="D1398" t="s">
        <v>20</v>
      </c>
      <c r="E1398" t="s">
        <v>21</v>
      </c>
      <c r="F1398">
        <v>0</v>
      </c>
      <c r="G1398">
        <v>0</v>
      </c>
      <c r="H1398">
        <v>6</v>
      </c>
      <c r="I1398" s="3">
        <v>1005.5</v>
      </c>
      <c r="J1398" s="3">
        <v>343.54</v>
      </c>
      <c r="L1398">
        <v>2312</v>
      </c>
      <c r="M1398" t="s">
        <v>1117</v>
      </c>
      <c r="N1398" t="s">
        <v>30</v>
      </c>
      <c r="O1398" t="s">
        <v>31</v>
      </c>
      <c r="P1398" t="str">
        <f t="shared" si="20"/>
        <v>15219</v>
      </c>
    </row>
    <row r="1399" spans="1:16" x14ac:dyDescent="0.25">
      <c r="A1399" t="str">
        <f>"1050010R00152    00"</f>
        <v>1050010R00152    00</v>
      </c>
      <c r="B1399" t="s">
        <v>1997</v>
      </c>
      <c r="C1399" t="s">
        <v>2925</v>
      </c>
      <c r="D1399" t="s">
        <v>20</v>
      </c>
      <c r="E1399" t="s">
        <v>39</v>
      </c>
      <c r="F1399">
        <v>0</v>
      </c>
      <c r="G1399">
        <v>0</v>
      </c>
      <c r="H1399">
        <v>3</v>
      </c>
      <c r="I1399" s="3">
        <v>35.76</v>
      </c>
      <c r="J1399" s="3">
        <v>3.34</v>
      </c>
      <c r="L1399">
        <v>412</v>
      </c>
      <c r="M1399" t="s">
        <v>3353</v>
      </c>
      <c r="N1399" t="s">
        <v>30</v>
      </c>
      <c r="O1399" t="s">
        <v>31</v>
      </c>
      <c r="P1399" t="str">
        <f t="shared" si="20"/>
        <v>15219</v>
      </c>
    </row>
    <row r="1400" spans="1:16" x14ac:dyDescent="0.25">
      <c r="A1400" t="str">
        <f>"1050010S00005    00"</f>
        <v>1050010S00005    00</v>
      </c>
      <c r="B1400" t="s">
        <v>3354</v>
      </c>
      <c r="C1400" t="s">
        <v>3355</v>
      </c>
      <c r="D1400" t="s">
        <v>20</v>
      </c>
      <c r="E1400" t="s">
        <v>39</v>
      </c>
      <c r="F1400">
        <v>0</v>
      </c>
      <c r="G1400">
        <v>0</v>
      </c>
      <c r="H1400">
        <v>19</v>
      </c>
      <c r="I1400" s="3">
        <v>26867.98</v>
      </c>
      <c r="J1400" s="3">
        <v>24560.65</v>
      </c>
      <c r="L1400">
        <v>2514</v>
      </c>
      <c r="M1400" t="s">
        <v>1117</v>
      </c>
      <c r="N1400" t="s">
        <v>30</v>
      </c>
      <c r="O1400" t="s">
        <v>31</v>
      </c>
      <c r="P1400" t="str">
        <f t="shared" si="20"/>
        <v>15219</v>
      </c>
    </row>
    <row r="1401" spans="1:16" x14ac:dyDescent="0.25">
      <c r="A1401" t="str">
        <f>"1050010S00006    00"</f>
        <v>1050010S00006    00</v>
      </c>
      <c r="B1401" t="s">
        <v>3356</v>
      </c>
      <c r="C1401" t="s">
        <v>3357</v>
      </c>
      <c r="D1401" t="s">
        <v>20</v>
      </c>
      <c r="E1401" t="s">
        <v>39</v>
      </c>
      <c r="F1401">
        <v>0</v>
      </c>
      <c r="G1401">
        <v>0</v>
      </c>
      <c r="H1401">
        <v>3</v>
      </c>
      <c r="I1401" s="3">
        <v>1959.98</v>
      </c>
      <c r="J1401" s="3">
        <v>142.49</v>
      </c>
      <c r="L1401">
        <v>2516</v>
      </c>
      <c r="M1401" t="s">
        <v>1117</v>
      </c>
      <c r="N1401" t="s">
        <v>30</v>
      </c>
      <c r="O1401" t="s">
        <v>31</v>
      </c>
      <c r="P1401" t="str">
        <f t="shared" si="20"/>
        <v>15219</v>
      </c>
    </row>
    <row r="1402" spans="1:16" x14ac:dyDescent="0.25">
      <c r="A1402" t="str">
        <f>"1050010S00111    00"</f>
        <v>1050010S00111    00</v>
      </c>
      <c r="B1402" t="s">
        <v>944</v>
      </c>
      <c r="C1402" t="s">
        <v>3358</v>
      </c>
      <c r="E1402" t="s">
        <v>21</v>
      </c>
      <c r="F1402">
        <v>0</v>
      </c>
      <c r="G1402">
        <v>0</v>
      </c>
      <c r="H1402">
        <v>1</v>
      </c>
      <c r="I1402" s="3">
        <v>319.47000000000003</v>
      </c>
      <c r="J1402" s="3">
        <v>316.79000000000002</v>
      </c>
      <c r="K1402" t="s">
        <v>2962</v>
      </c>
      <c r="L1402">
        <v>200</v>
      </c>
      <c r="M1402" t="s">
        <v>984</v>
      </c>
      <c r="N1402" t="s">
        <v>30</v>
      </c>
      <c r="O1402" t="s">
        <v>31</v>
      </c>
      <c r="P1402" t="str">
        <f t="shared" si="20"/>
        <v>15219</v>
      </c>
    </row>
    <row r="1403" spans="1:16" x14ac:dyDescent="0.25">
      <c r="A1403" t="str">
        <f>"1050011D00090    00"</f>
        <v>1050011D00090    00</v>
      </c>
      <c r="B1403" t="s">
        <v>3359</v>
      </c>
      <c r="C1403" t="s">
        <v>3360</v>
      </c>
      <c r="D1403" t="s">
        <v>20</v>
      </c>
      <c r="E1403" t="s">
        <v>39</v>
      </c>
      <c r="F1403">
        <v>0</v>
      </c>
      <c r="G1403">
        <v>0</v>
      </c>
      <c r="H1403">
        <v>8</v>
      </c>
      <c r="I1403" s="3">
        <v>6268.32</v>
      </c>
      <c r="J1403" s="3">
        <v>2391.4899999999998</v>
      </c>
      <c r="L1403">
        <v>2541</v>
      </c>
      <c r="M1403" t="s">
        <v>3361</v>
      </c>
      <c r="N1403" t="s">
        <v>30</v>
      </c>
      <c r="O1403" t="s">
        <v>31</v>
      </c>
      <c r="P1403" t="str">
        <f>"15213"</f>
        <v>15213</v>
      </c>
    </row>
    <row r="1404" spans="1:16" x14ac:dyDescent="0.25">
      <c r="A1404" t="str">
        <f>"1050011D00094    00"</f>
        <v>1050011D00094    00</v>
      </c>
      <c r="B1404" t="s">
        <v>3362</v>
      </c>
      <c r="C1404" t="s">
        <v>3363</v>
      </c>
      <c r="E1404" t="s">
        <v>39</v>
      </c>
      <c r="F1404">
        <v>0</v>
      </c>
      <c r="G1404">
        <v>0</v>
      </c>
      <c r="H1404">
        <v>5</v>
      </c>
      <c r="I1404" s="3">
        <v>2532.5700000000002</v>
      </c>
      <c r="J1404" s="3">
        <v>752.03</v>
      </c>
      <c r="L1404">
        <v>2539</v>
      </c>
      <c r="M1404" t="s">
        <v>3361</v>
      </c>
      <c r="N1404" t="s">
        <v>30</v>
      </c>
      <c r="O1404" t="s">
        <v>31</v>
      </c>
      <c r="P1404" t="str">
        <f>"15213"</f>
        <v>15213</v>
      </c>
    </row>
    <row r="1405" spans="1:16" x14ac:dyDescent="0.25">
      <c r="A1405" t="str">
        <f>"1050011D00119    00"</f>
        <v>1050011D00119    00</v>
      </c>
      <c r="B1405" t="s">
        <v>3364</v>
      </c>
      <c r="C1405" t="s">
        <v>3365</v>
      </c>
      <c r="D1405" t="s">
        <v>20</v>
      </c>
      <c r="E1405" t="s">
        <v>39</v>
      </c>
      <c r="F1405">
        <v>0</v>
      </c>
      <c r="G1405">
        <v>0</v>
      </c>
      <c r="H1405">
        <v>16</v>
      </c>
      <c r="I1405" s="3">
        <v>6596.66</v>
      </c>
      <c r="J1405" s="3">
        <v>5179.5</v>
      </c>
      <c r="K1405" t="s">
        <v>3366</v>
      </c>
      <c r="L1405">
        <v>2452</v>
      </c>
      <c r="M1405" t="s">
        <v>3367</v>
      </c>
      <c r="N1405" t="s">
        <v>3368</v>
      </c>
      <c r="O1405" t="s">
        <v>606</v>
      </c>
      <c r="P1405" t="str">
        <f>"30519"</f>
        <v>30519</v>
      </c>
    </row>
    <row r="1406" spans="1:16" x14ac:dyDescent="0.25">
      <c r="A1406" t="str">
        <f>"1050011D00120    00"</f>
        <v>1050011D00120    00</v>
      </c>
      <c r="B1406" t="s">
        <v>3369</v>
      </c>
      <c r="C1406" t="s">
        <v>3370</v>
      </c>
      <c r="D1406" t="s">
        <v>20</v>
      </c>
      <c r="E1406" t="s">
        <v>39</v>
      </c>
      <c r="F1406">
        <v>0</v>
      </c>
      <c r="G1406">
        <v>0</v>
      </c>
      <c r="H1406">
        <v>19</v>
      </c>
      <c r="I1406" s="3">
        <v>8947.4599999999991</v>
      </c>
      <c r="J1406" s="3">
        <v>7435.99</v>
      </c>
      <c r="L1406">
        <v>28</v>
      </c>
      <c r="M1406" t="s">
        <v>3371</v>
      </c>
      <c r="N1406" t="s">
        <v>30</v>
      </c>
      <c r="O1406" t="s">
        <v>31</v>
      </c>
      <c r="P1406" t="str">
        <f>"15213"</f>
        <v>15213</v>
      </c>
    </row>
    <row r="1407" spans="1:16" x14ac:dyDescent="0.25">
      <c r="A1407" t="str">
        <f>"1050011D00122    00"</f>
        <v>1050011D00122    00</v>
      </c>
      <c r="B1407" t="s">
        <v>3372</v>
      </c>
      <c r="C1407" t="s">
        <v>3373</v>
      </c>
      <c r="D1407" t="s">
        <v>20</v>
      </c>
      <c r="E1407" t="s">
        <v>39</v>
      </c>
      <c r="F1407">
        <v>0</v>
      </c>
      <c r="G1407">
        <v>0</v>
      </c>
      <c r="H1407">
        <v>19</v>
      </c>
      <c r="I1407" s="3">
        <v>7337.1</v>
      </c>
      <c r="J1407" s="3">
        <v>7491.39</v>
      </c>
      <c r="L1407">
        <v>30</v>
      </c>
      <c r="M1407" t="s">
        <v>3374</v>
      </c>
      <c r="N1407" t="s">
        <v>30</v>
      </c>
      <c r="O1407" t="s">
        <v>31</v>
      </c>
      <c r="P1407" t="str">
        <f>"15212"</f>
        <v>15212</v>
      </c>
    </row>
    <row r="1408" spans="1:16" x14ac:dyDescent="0.25">
      <c r="A1408" t="str">
        <f>"1050011D00123    00"</f>
        <v>1050011D00123    00</v>
      </c>
      <c r="B1408" t="s">
        <v>3375</v>
      </c>
      <c r="C1408" t="s">
        <v>3376</v>
      </c>
      <c r="D1408" t="s">
        <v>20</v>
      </c>
      <c r="E1408" t="s">
        <v>39</v>
      </c>
      <c r="F1408">
        <v>0</v>
      </c>
      <c r="G1408">
        <v>0</v>
      </c>
      <c r="H1408">
        <v>1</v>
      </c>
      <c r="I1408" s="3">
        <v>207.91</v>
      </c>
      <c r="J1408" s="3">
        <v>0</v>
      </c>
      <c r="K1408" t="s">
        <v>3377</v>
      </c>
      <c r="L1408">
        <v>1151</v>
      </c>
      <c r="M1408" t="s">
        <v>3378</v>
      </c>
      <c r="N1408" t="s">
        <v>30</v>
      </c>
      <c r="O1408" t="s">
        <v>31</v>
      </c>
      <c r="P1408" t="str">
        <f>"15238"</f>
        <v>15238</v>
      </c>
    </row>
    <row r="1409" spans="1:16" x14ac:dyDescent="0.25">
      <c r="A1409" t="str">
        <f>"1050011D00127    00"</f>
        <v>1050011D00127    00</v>
      </c>
      <c r="B1409" t="s">
        <v>3379</v>
      </c>
      <c r="C1409" t="s">
        <v>3380</v>
      </c>
      <c r="D1409" t="s">
        <v>20</v>
      </c>
      <c r="E1409" t="s">
        <v>39</v>
      </c>
      <c r="F1409">
        <v>0</v>
      </c>
      <c r="G1409">
        <v>0</v>
      </c>
      <c r="H1409">
        <v>19</v>
      </c>
      <c r="I1409" s="3">
        <v>5122.09</v>
      </c>
      <c r="J1409" s="3">
        <v>5303.18</v>
      </c>
      <c r="K1409" t="s">
        <v>3381</v>
      </c>
      <c r="L1409">
        <v>2514</v>
      </c>
      <c r="M1409" t="s">
        <v>3382</v>
      </c>
      <c r="N1409" t="s">
        <v>30</v>
      </c>
      <c r="O1409" t="s">
        <v>31</v>
      </c>
      <c r="P1409" t="str">
        <f>"15213"</f>
        <v>15213</v>
      </c>
    </row>
    <row r="1410" spans="1:16" x14ac:dyDescent="0.25">
      <c r="A1410" t="str">
        <f>"1050011D00128    00"</f>
        <v>1050011D00128    00</v>
      </c>
      <c r="B1410" t="s">
        <v>3383</v>
      </c>
      <c r="C1410" t="s">
        <v>3380</v>
      </c>
      <c r="D1410" t="s">
        <v>20</v>
      </c>
      <c r="E1410" t="s">
        <v>39</v>
      </c>
      <c r="F1410">
        <v>0</v>
      </c>
      <c r="G1410">
        <v>0</v>
      </c>
      <c r="H1410">
        <v>19</v>
      </c>
      <c r="I1410" s="3">
        <v>3599.12</v>
      </c>
      <c r="J1410" s="3">
        <v>2398.1799999999998</v>
      </c>
      <c r="L1410">
        <v>2514</v>
      </c>
      <c r="M1410" t="s">
        <v>3382</v>
      </c>
      <c r="N1410" t="s">
        <v>30</v>
      </c>
      <c r="O1410" t="s">
        <v>31</v>
      </c>
      <c r="P1410" t="str">
        <f>"15213"</f>
        <v>15213</v>
      </c>
    </row>
    <row r="1411" spans="1:16" x14ac:dyDescent="0.25">
      <c r="A1411" t="str">
        <f>"1050011D00136    00"</f>
        <v>1050011D00136    00</v>
      </c>
      <c r="B1411" t="s">
        <v>3384</v>
      </c>
      <c r="C1411" t="s">
        <v>3373</v>
      </c>
      <c r="D1411" t="s">
        <v>20</v>
      </c>
      <c r="E1411" t="s">
        <v>39</v>
      </c>
      <c r="F1411">
        <v>0</v>
      </c>
      <c r="G1411">
        <v>0</v>
      </c>
      <c r="H1411">
        <v>6</v>
      </c>
      <c r="I1411" s="3">
        <v>313.19</v>
      </c>
      <c r="J1411" s="3">
        <v>71.44</v>
      </c>
      <c r="L1411">
        <v>4800</v>
      </c>
      <c r="M1411" t="s">
        <v>3385</v>
      </c>
      <c r="N1411" t="s">
        <v>30</v>
      </c>
      <c r="O1411" t="s">
        <v>31</v>
      </c>
      <c r="P1411" t="str">
        <f>"15201"</f>
        <v>15201</v>
      </c>
    </row>
    <row r="1412" spans="1:16" x14ac:dyDescent="0.25">
      <c r="A1412" t="str">
        <f>"1050011D00137    00"</f>
        <v>1050011D00137    00</v>
      </c>
      <c r="B1412" t="s">
        <v>3384</v>
      </c>
      <c r="C1412" t="s">
        <v>3373</v>
      </c>
      <c r="D1412" t="s">
        <v>20</v>
      </c>
      <c r="E1412" t="s">
        <v>39</v>
      </c>
      <c r="F1412">
        <v>0</v>
      </c>
      <c r="G1412">
        <v>0</v>
      </c>
      <c r="H1412">
        <v>6</v>
      </c>
      <c r="I1412" s="3">
        <v>324.39999999999998</v>
      </c>
      <c r="J1412" s="3">
        <v>74.010000000000005</v>
      </c>
      <c r="L1412">
        <v>4800</v>
      </c>
      <c r="M1412" t="s">
        <v>3385</v>
      </c>
      <c r="N1412" t="s">
        <v>30</v>
      </c>
      <c r="O1412" t="s">
        <v>31</v>
      </c>
      <c r="P1412" t="str">
        <f>"15201"</f>
        <v>15201</v>
      </c>
    </row>
    <row r="1413" spans="1:16" x14ac:dyDescent="0.25">
      <c r="A1413" t="str">
        <f>"1050011D00138    00"</f>
        <v>1050011D00138    00</v>
      </c>
      <c r="B1413" t="s">
        <v>3386</v>
      </c>
      <c r="C1413" t="s">
        <v>3387</v>
      </c>
      <c r="E1413" t="s">
        <v>39</v>
      </c>
      <c r="F1413">
        <v>0</v>
      </c>
      <c r="G1413">
        <v>0</v>
      </c>
      <c r="H1413">
        <v>5</v>
      </c>
      <c r="I1413" s="3">
        <v>3865.65</v>
      </c>
      <c r="J1413" s="3">
        <v>1420.52</v>
      </c>
      <c r="L1413">
        <v>2527</v>
      </c>
      <c r="M1413" t="s">
        <v>3382</v>
      </c>
      <c r="N1413" t="s">
        <v>30</v>
      </c>
      <c r="O1413" t="s">
        <v>31</v>
      </c>
      <c r="P1413" t="str">
        <f>"15213"</f>
        <v>15213</v>
      </c>
    </row>
    <row r="1414" spans="1:16" x14ac:dyDescent="0.25">
      <c r="A1414" t="str">
        <f>"1050011D00139    00"</f>
        <v>1050011D00139    00</v>
      </c>
      <c r="B1414" t="s">
        <v>3388</v>
      </c>
      <c r="C1414" t="s">
        <v>3373</v>
      </c>
      <c r="D1414" t="s">
        <v>20</v>
      </c>
      <c r="E1414" t="s">
        <v>39</v>
      </c>
      <c r="F1414">
        <v>0</v>
      </c>
      <c r="G1414">
        <v>0</v>
      </c>
      <c r="H1414">
        <v>3</v>
      </c>
      <c r="I1414" s="3">
        <v>163.19999999999999</v>
      </c>
      <c r="J1414" s="3">
        <v>31.58</v>
      </c>
      <c r="K1414" t="s">
        <v>3389</v>
      </c>
      <c r="L1414">
        <v>101</v>
      </c>
      <c r="M1414" t="s">
        <v>3390</v>
      </c>
      <c r="N1414" t="s">
        <v>3391</v>
      </c>
      <c r="O1414" t="s">
        <v>3392</v>
      </c>
      <c r="P1414" t="str">
        <f>"19801"</f>
        <v>19801</v>
      </c>
    </row>
    <row r="1415" spans="1:16" x14ac:dyDescent="0.25">
      <c r="A1415" t="str">
        <f>"1050011D00140    00"</f>
        <v>1050011D00140    00</v>
      </c>
      <c r="B1415" t="s">
        <v>3388</v>
      </c>
      <c r="C1415" t="s">
        <v>3373</v>
      </c>
      <c r="D1415" t="s">
        <v>20</v>
      </c>
      <c r="E1415" t="s">
        <v>39</v>
      </c>
      <c r="F1415">
        <v>0</v>
      </c>
      <c r="G1415">
        <v>0</v>
      </c>
      <c r="H1415">
        <v>3</v>
      </c>
      <c r="I1415" s="3">
        <v>174.47</v>
      </c>
      <c r="J1415" s="3">
        <v>33.76</v>
      </c>
      <c r="K1415" t="s">
        <v>3389</v>
      </c>
      <c r="L1415">
        <v>101</v>
      </c>
      <c r="M1415" t="s">
        <v>3393</v>
      </c>
      <c r="N1415" t="s">
        <v>3391</v>
      </c>
      <c r="O1415" t="s">
        <v>3392</v>
      </c>
      <c r="P1415" t="str">
        <f>"19801"</f>
        <v>19801</v>
      </c>
    </row>
    <row r="1416" spans="1:16" x14ac:dyDescent="0.25">
      <c r="A1416" t="str">
        <f>"1050011D00143    00"</f>
        <v>1050011D00143    00</v>
      </c>
      <c r="B1416" t="s">
        <v>3388</v>
      </c>
      <c r="C1416" t="s">
        <v>3373</v>
      </c>
      <c r="D1416" t="s">
        <v>20</v>
      </c>
      <c r="E1416" t="s">
        <v>39</v>
      </c>
      <c r="F1416">
        <v>0</v>
      </c>
      <c r="G1416">
        <v>0</v>
      </c>
      <c r="H1416">
        <v>4</v>
      </c>
      <c r="I1416" s="3">
        <v>397.39</v>
      </c>
      <c r="J1416" s="3">
        <v>77.28</v>
      </c>
      <c r="K1416" t="s">
        <v>3389</v>
      </c>
      <c r="L1416">
        <v>101</v>
      </c>
      <c r="M1416" t="s">
        <v>3394</v>
      </c>
      <c r="N1416" t="s">
        <v>3391</v>
      </c>
      <c r="O1416" t="s">
        <v>3392</v>
      </c>
      <c r="P1416" t="str">
        <f>"19801"</f>
        <v>19801</v>
      </c>
    </row>
    <row r="1417" spans="1:16" x14ac:dyDescent="0.25">
      <c r="A1417" t="str">
        <f>"1050011D00341    00"</f>
        <v>1050011D00341    00</v>
      </c>
      <c r="B1417" t="s">
        <v>3395</v>
      </c>
      <c r="C1417" t="s">
        <v>3396</v>
      </c>
      <c r="E1417" t="s">
        <v>39</v>
      </c>
      <c r="F1417">
        <v>0</v>
      </c>
      <c r="G1417">
        <v>0</v>
      </c>
      <c r="H1417">
        <v>1</v>
      </c>
      <c r="I1417" s="3">
        <v>2287.02</v>
      </c>
      <c r="J1417" s="3">
        <v>628.9</v>
      </c>
      <c r="K1417" t="s">
        <v>3397</v>
      </c>
      <c r="L1417">
        <v>213</v>
      </c>
      <c r="M1417" t="s">
        <v>3398</v>
      </c>
      <c r="N1417" t="s">
        <v>30</v>
      </c>
      <c r="O1417" t="s">
        <v>31</v>
      </c>
      <c r="P1417" t="str">
        <f>"15213"</f>
        <v>15213</v>
      </c>
    </row>
    <row r="1418" spans="1:16" x14ac:dyDescent="0.25">
      <c r="A1418" t="str">
        <f>"1050011D00346    00"</f>
        <v>1050011D00346    00</v>
      </c>
      <c r="B1418" t="s">
        <v>3399</v>
      </c>
      <c r="C1418" t="s">
        <v>3400</v>
      </c>
      <c r="D1418" t="s">
        <v>20</v>
      </c>
      <c r="E1418" t="s">
        <v>39</v>
      </c>
      <c r="F1418">
        <v>0</v>
      </c>
      <c r="G1418">
        <v>0</v>
      </c>
      <c r="H1418">
        <v>2</v>
      </c>
      <c r="I1418" s="3">
        <v>1734.98</v>
      </c>
      <c r="J1418" s="3">
        <v>13.3</v>
      </c>
      <c r="L1418">
        <v>203</v>
      </c>
      <c r="M1418" t="s">
        <v>3398</v>
      </c>
      <c r="N1418" t="s">
        <v>30</v>
      </c>
      <c r="O1418" t="s">
        <v>31</v>
      </c>
      <c r="P1418" t="str">
        <f>"15213"</f>
        <v>15213</v>
      </c>
    </row>
    <row r="1419" spans="1:16" x14ac:dyDescent="0.25">
      <c r="A1419" t="str">
        <f>"1050011F00054    00"</f>
        <v>1050011F00054    00</v>
      </c>
      <c r="B1419" t="s">
        <v>3401</v>
      </c>
      <c r="C1419" t="s">
        <v>898</v>
      </c>
      <c r="D1419" t="s">
        <v>20</v>
      </c>
      <c r="E1419" t="s">
        <v>39</v>
      </c>
      <c r="F1419">
        <v>0</v>
      </c>
      <c r="G1419">
        <v>0</v>
      </c>
      <c r="H1419">
        <v>6</v>
      </c>
      <c r="I1419" s="3">
        <v>464.22</v>
      </c>
      <c r="J1419" s="3">
        <v>89.81</v>
      </c>
      <c r="L1419">
        <v>88</v>
      </c>
      <c r="M1419" t="s">
        <v>3402</v>
      </c>
      <c r="N1419" t="s">
        <v>149</v>
      </c>
      <c r="O1419" t="s">
        <v>31</v>
      </c>
      <c r="P1419" t="str">
        <f>"15106"</f>
        <v>15106</v>
      </c>
    </row>
    <row r="1420" spans="1:16" x14ac:dyDescent="0.25">
      <c r="A1420" t="str">
        <f>"1050011F00055    00"</f>
        <v>1050011F00055    00</v>
      </c>
      <c r="B1420" t="s">
        <v>3403</v>
      </c>
      <c r="C1420" t="s">
        <v>898</v>
      </c>
      <c r="D1420" t="s">
        <v>20</v>
      </c>
      <c r="E1420" t="s">
        <v>39</v>
      </c>
      <c r="F1420">
        <v>0</v>
      </c>
      <c r="G1420">
        <v>0</v>
      </c>
      <c r="H1420">
        <v>1</v>
      </c>
      <c r="I1420" s="3">
        <v>60.99</v>
      </c>
      <c r="J1420" s="3">
        <v>0</v>
      </c>
      <c r="L1420">
        <v>2043</v>
      </c>
      <c r="M1420" t="s">
        <v>3382</v>
      </c>
      <c r="N1420" t="s">
        <v>30</v>
      </c>
      <c r="O1420" t="s">
        <v>31</v>
      </c>
      <c r="P1420" t="str">
        <f>"15219"</f>
        <v>15219</v>
      </c>
    </row>
    <row r="1421" spans="1:16" x14ac:dyDescent="0.25">
      <c r="A1421" t="str">
        <f>"1050011F00056    00"</f>
        <v>1050011F00056    00</v>
      </c>
      <c r="B1421" t="s">
        <v>3403</v>
      </c>
      <c r="C1421" t="s">
        <v>3404</v>
      </c>
      <c r="D1421" t="s">
        <v>20</v>
      </c>
      <c r="E1421" t="s">
        <v>39</v>
      </c>
      <c r="F1421">
        <v>0</v>
      </c>
      <c r="G1421">
        <v>0</v>
      </c>
      <c r="H1421">
        <v>1</v>
      </c>
      <c r="I1421" s="3">
        <v>47.66</v>
      </c>
      <c r="J1421" s="3">
        <v>0</v>
      </c>
      <c r="L1421">
        <v>2043</v>
      </c>
      <c r="M1421" t="s">
        <v>3382</v>
      </c>
      <c r="N1421" t="s">
        <v>30</v>
      </c>
      <c r="O1421" t="s">
        <v>31</v>
      </c>
      <c r="P1421" t="str">
        <f>"15219"</f>
        <v>15219</v>
      </c>
    </row>
    <row r="1422" spans="1:16" x14ac:dyDescent="0.25">
      <c r="A1422" t="str">
        <f>"1050011F00057    00"</f>
        <v>1050011F00057    00</v>
      </c>
      <c r="B1422" t="s">
        <v>3403</v>
      </c>
      <c r="C1422" t="s">
        <v>3404</v>
      </c>
      <c r="D1422" t="s">
        <v>20</v>
      </c>
      <c r="E1422" t="s">
        <v>39</v>
      </c>
      <c r="F1422">
        <v>0</v>
      </c>
      <c r="G1422">
        <v>0</v>
      </c>
      <c r="H1422">
        <v>1</v>
      </c>
      <c r="I1422" s="3">
        <v>501.29</v>
      </c>
      <c r="J1422" s="3">
        <v>0</v>
      </c>
      <c r="L1422">
        <v>2043</v>
      </c>
      <c r="M1422" t="s">
        <v>3382</v>
      </c>
      <c r="N1422" t="s">
        <v>30</v>
      </c>
      <c r="O1422" t="s">
        <v>31</v>
      </c>
      <c r="P1422" t="str">
        <f>"15219"</f>
        <v>15219</v>
      </c>
    </row>
    <row r="1423" spans="1:16" x14ac:dyDescent="0.25">
      <c r="A1423" t="str">
        <f>"1050025S00173    00"</f>
        <v>1050025S00173    00</v>
      </c>
      <c r="B1423" t="s">
        <v>3405</v>
      </c>
      <c r="C1423" t="s">
        <v>3406</v>
      </c>
      <c r="D1423" t="s">
        <v>20</v>
      </c>
      <c r="E1423" t="s">
        <v>39</v>
      </c>
      <c r="F1423">
        <v>0</v>
      </c>
      <c r="G1423">
        <v>0</v>
      </c>
      <c r="H1423">
        <v>19</v>
      </c>
      <c r="I1423" s="3">
        <v>6633.46</v>
      </c>
      <c r="J1423" s="3">
        <v>6580.02</v>
      </c>
      <c r="L1423">
        <v>404</v>
      </c>
      <c r="M1423" t="s">
        <v>514</v>
      </c>
      <c r="N1423" t="s">
        <v>321</v>
      </c>
      <c r="O1423" t="s">
        <v>31</v>
      </c>
      <c r="P1423" t="str">
        <f>"15001"</f>
        <v>15001</v>
      </c>
    </row>
    <row r="1424" spans="1:16" x14ac:dyDescent="0.25">
      <c r="A1424" t="str">
        <f>"1050025S00173A   00"</f>
        <v>1050025S00173A   00</v>
      </c>
      <c r="B1424" t="s">
        <v>3407</v>
      </c>
      <c r="C1424" t="s">
        <v>3408</v>
      </c>
      <c r="E1424" t="s">
        <v>39</v>
      </c>
      <c r="F1424">
        <v>0</v>
      </c>
      <c r="G1424">
        <v>0</v>
      </c>
      <c r="H1424">
        <v>18</v>
      </c>
      <c r="I1424" s="3">
        <v>11406.6</v>
      </c>
      <c r="J1424" s="3">
        <v>460.76</v>
      </c>
      <c r="K1424" t="s">
        <v>3409</v>
      </c>
      <c r="L1424">
        <v>48</v>
      </c>
      <c r="M1424" t="s">
        <v>3410</v>
      </c>
      <c r="N1424" t="s">
        <v>3411</v>
      </c>
      <c r="O1424" t="s">
        <v>31</v>
      </c>
      <c r="P1424" t="str">
        <f>"15626"</f>
        <v>15626</v>
      </c>
    </row>
    <row r="1425" spans="1:16" x14ac:dyDescent="0.25">
      <c r="A1425" t="str">
        <f>"1050025S00175    00"</f>
        <v>1050025S00175    00</v>
      </c>
      <c r="B1425" t="s">
        <v>3412</v>
      </c>
      <c r="C1425" t="s">
        <v>3413</v>
      </c>
      <c r="D1425" t="s">
        <v>20</v>
      </c>
      <c r="E1425" t="s">
        <v>39</v>
      </c>
      <c r="F1425">
        <v>0</v>
      </c>
      <c r="G1425">
        <v>0</v>
      </c>
      <c r="H1425">
        <v>1</v>
      </c>
      <c r="I1425" s="3">
        <v>646.15</v>
      </c>
      <c r="J1425" s="3">
        <v>0</v>
      </c>
      <c r="L1425">
        <v>2908</v>
      </c>
      <c r="M1425" t="s">
        <v>3414</v>
      </c>
      <c r="N1425" t="s">
        <v>30</v>
      </c>
      <c r="O1425" t="s">
        <v>31</v>
      </c>
      <c r="P1425" t="str">
        <f>"15219"</f>
        <v>15219</v>
      </c>
    </row>
    <row r="1426" spans="1:16" x14ac:dyDescent="0.25">
      <c r="A1426" t="str">
        <f>"1050025S00177    00"</f>
        <v>1050025S00177    00</v>
      </c>
      <c r="B1426" t="s">
        <v>3415</v>
      </c>
      <c r="C1426" t="s">
        <v>3416</v>
      </c>
      <c r="E1426" t="s">
        <v>39</v>
      </c>
      <c r="F1426">
        <v>0</v>
      </c>
      <c r="G1426">
        <v>0</v>
      </c>
      <c r="H1426">
        <v>1</v>
      </c>
      <c r="I1426" s="3">
        <v>202.64</v>
      </c>
      <c r="J1426" s="3">
        <v>0</v>
      </c>
      <c r="L1426">
        <v>614</v>
      </c>
      <c r="M1426" t="s">
        <v>2371</v>
      </c>
      <c r="N1426" t="s">
        <v>30</v>
      </c>
      <c r="O1426" t="s">
        <v>31</v>
      </c>
      <c r="P1426" t="str">
        <f>"15219"</f>
        <v>15219</v>
      </c>
    </row>
    <row r="1427" spans="1:16" x14ac:dyDescent="0.25">
      <c r="A1427" t="str">
        <f>"1050025S00189    00"</f>
        <v>1050025S00189    00</v>
      </c>
      <c r="B1427" t="s">
        <v>3417</v>
      </c>
      <c r="C1427" t="s">
        <v>3418</v>
      </c>
      <c r="D1427" t="s">
        <v>20</v>
      </c>
      <c r="E1427" t="s">
        <v>39</v>
      </c>
      <c r="F1427">
        <v>0</v>
      </c>
      <c r="G1427">
        <v>0</v>
      </c>
      <c r="H1427">
        <v>1</v>
      </c>
      <c r="I1427" s="3">
        <v>472.69</v>
      </c>
      <c r="J1427" s="3">
        <v>0</v>
      </c>
      <c r="K1427" t="s">
        <v>3419</v>
      </c>
      <c r="L1427">
        <v>500</v>
      </c>
      <c r="M1427" t="s">
        <v>3420</v>
      </c>
      <c r="N1427" t="s">
        <v>30</v>
      </c>
      <c r="O1427" t="s">
        <v>31</v>
      </c>
      <c r="P1427" t="str">
        <f>"15221"</f>
        <v>15221</v>
      </c>
    </row>
    <row r="1428" spans="1:16" x14ac:dyDescent="0.25">
      <c r="A1428" t="str">
        <f>"1050025S00190    00"</f>
        <v>1050025S00190    00</v>
      </c>
      <c r="B1428" t="s">
        <v>3108</v>
      </c>
      <c r="C1428" t="s">
        <v>3421</v>
      </c>
      <c r="D1428" t="s">
        <v>20</v>
      </c>
      <c r="E1428" t="s">
        <v>39</v>
      </c>
      <c r="F1428">
        <v>0</v>
      </c>
      <c r="G1428">
        <v>0</v>
      </c>
      <c r="H1428">
        <v>9</v>
      </c>
      <c r="I1428" s="3">
        <v>6878.05</v>
      </c>
      <c r="J1428" s="3">
        <v>2276.59</v>
      </c>
      <c r="L1428">
        <v>522</v>
      </c>
      <c r="M1428" t="s">
        <v>2359</v>
      </c>
      <c r="N1428" t="s">
        <v>30</v>
      </c>
      <c r="O1428" t="s">
        <v>31</v>
      </c>
      <c r="P1428" t="str">
        <f>"15219"</f>
        <v>15219</v>
      </c>
    </row>
    <row r="1429" spans="1:16" x14ac:dyDescent="0.25">
      <c r="A1429" t="str">
        <f>"1050025S00191    00"</f>
        <v>1050025S00191    00</v>
      </c>
      <c r="B1429" t="s">
        <v>3422</v>
      </c>
      <c r="C1429" t="s">
        <v>3423</v>
      </c>
      <c r="E1429" t="s">
        <v>39</v>
      </c>
      <c r="F1429">
        <v>0</v>
      </c>
      <c r="G1429">
        <v>0</v>
      </c>
      <c r="H1429">
        <v>4</v>
      </c>
      <c r="I1429" s="3">
        <v>1685.88</v>
      </c>
      <c r="J1429" s="3">
        <v>970.75</v>
      </c>
      <c r="M1429" t="s">
        <v>3424</v>
      </c>
      <c r="N1429" t="s">
        <v>3425</v>
      </c>
      <c r="O1429" t="s">
        <v>31</v>
      </c>
      <c r="P1429" t="str">
        <f>"16365"</f>
        <v>16365</v>
      </c>
    </row>
    <row r="1430" spans="1:16" x14ac:dyDescent="0.25">
      <c r="A1430" t="str">
        <f>"1050025S00195    00"</f>
        <v>1050025S00195    00</v>
      </c>
      <c r="B1430" t="s">
        <v>3426</v>
      </c>
      <c r="C1430" t="s">
        <v>3427</v>
      </c>
      <c r="D1430" t="s">
        <v>20</v>
      </c>
      <c r="E1430" t="s">
        <v>39</v>
      </c>
      <c r="F1430">
        <v>0</v>
      </c>
      <c r="G1430">
        <v>0</v>
      </c>
      <c r="H1430">
        <v>14</v>
      </c>
      <c r="I1430" s="3">
        <v>11605.26</v>
      </c>
      <c r="J1430" s="3">
        <v>7040.72</v>
      </c>
      <c r="L1430">
        <v>2923</v>
      </c>
      <c r="M1430" t="s">
        <v>854</v>
      </c>
      <c r="N1430" t="s">
        <v>30</v>
      </c>
      <c r="O1430" t="s">
        <v>31</v>
      </c>
      <c r="P1430" t="str">
        <f>"15219"</f>
        <v>15219</v>
      </c>
    </row>
    <row r="1431" spans="1:16" x14ac:dyDescent="0.25">
      <c r="A1431" t="str">
        <f>"1050025S00205    00"</f>
        <v>1050025S00205    00</v>
      </c>
      <c r="B1431" t="s">
        <v>3428</v>
      </c>
      <c r="C1431" t="s">
        <v>3429</v>
      </c>
      <c r="D1431" t="s">
        <v>20</v>
      </c>
      <c r="E1431" t="s">
        <v>39</v>
      </c>
      <c r="F1431">
        <v>0</v>
      </c>
      <c r="G1431">
        <v>0</v>
      </c>
      <c r="H1431">
        <v>2</v>
      </c>
      <c r="I1431" s="3">
        <v>28.56</v>
      </c>
      <c r="J1431" s="3">
        <v>0</v>
      </c>
      <c r="L1431">
        <v>2903</v>
      </c>
      <c r="M1431" t="s">
        <v>854</v>
      </c>
      <c r="N1431" t="s">
        <v>30</v>
      </c>
      <c r="O1431" t="s">
        <v>31</v>
      </c>
      <c r="P1431" t="str">
        <f>"15219"</f>
        <v>15219</v>
      </c>
    </row>
    <row r="1432" spans="1:16" x14ac:dyDescent="0.25">
      <c r="A1432" t="str">
        <f>"1050025S00210    00"</f>
        <v>1050025S00210    00</v>
      </c>
      <c r="B1432" t="s">
        <v>3430</v>
      </c>
      <c r="C1432" t="s">
        <v>3431</v>
      </c>
      <c r="E1432" t="s">
        <v>207</v>
      </c>
      <c r="F1432">
        <v>0</v>
      </c>
      <c r="G1432">
        <v>0</v>
      </c>
      <c r="H1432">
        <v>2</v>
      </c>
      <c r="I1432" s="3">
        <v>4180.5</v>
      </c>
      <c r="J1432" s="3">
        <v>571.78</v>
      </c>
      <c r="L1432">
        <v>2015</v>
      </c>
      <c r="M1432" t="s">
        <v>3432</v>
      </c>
      <c r="N1432" t="s">
        <v>30</v>
      </c>
      <c r="O1432" t="s">
        <v>31</v>
      </c>
      <c r="P1432" t="str">
        <f>"15219"</f>
        <v>15219</v>
      </c>
    </row>
    <row r="1433" spans="1:16" x14ac:dyDescent="0.25">
      <c r="A1433" t="str">
        <f>"1050025S00221    00"</f>
        <v>1050025S00221    00</v>
      </c>
      <c r="B1433" t="s">
        <v>3433</v>
      </c>
      <c r="C1433" t="s">
        <v>1019</v>
      </c>
      <c r="E1433" t="s">
        <v>39</v>
      </c>
      <c r="F1433">
        <v>0</v>
      </c>
      <c r="G1433">
        <v>0</v>
      </c>
      <c r="H1433">
        <v>15</v>
      </c>
      <c r="I1433" s="3">
        <v>3615.85</v>
      </c>
      <c r="J1433" s="3">
        <v>3868.32</v>
      </c>
      <c r="L1433">
        <v>18</v>
      </c>
      <c r="M1433" t="s">
        <v>3434</v>
      </c>
      <c r="N1433" t="s">
        <v>3435</v>
      </c>
      <c r="O1433" t="s">
        <v>31</v>
      </c>
      <c r="P1433" t="str">
        <f>"15104"</f>
        <v>15104</v>
      </c>
    </row>
    <row r="1434" spans="1:16" x14ac:dyDescent="0.25">
      <c r="A1434" t="str">
        <f>"1050025S00222    00"</f>
        <v>1050025S00222    00</v>
      </c>
      <c r="B1434" t="s">
        <v>3436</v>
      </c>
      <c r="C1434" t="s">
        <v>1019</v>
      </c>
      <c r="D1434" t="s">
        <v>20</v>
      </c>
      <c r="E1434" t="s">
        <v>39</v>
      </c>
      <c r="F1434">
        <v>0</v>
      </c>
      <c r="G1434">
        <v>0</v>
      </c>
      <c r="H1434">
        <v>7</v>
      </c>
      <c r="I1434" s="3">
        <v>1613.46</v>
      </c>
      <c r="J1434" s="3">
        <v>624.32000000000005</v>
      </c>
      <c r="L1434">
        <v>2930</v>
      </c>
      <c r="M1434" t="s">
        <v>854</v>
      </c>
      <c r="N1434" t="s">
        <v>30</v>
      </c>
      <c r="O1434" t="s">
        <v>31</v>
      </c>
      <c r="P1434" t="str">
        <f>"15219"</f>
        <v>15219</v>
      </c>
    </row>
    <row r="1435" spans="1:16" x14ac:dyDescent="0.25">
      <c r="A1435" t="str">
        <f>"1050025S00226    00"</f>
        <v>1050025S00226    00</v>
      </c>
      <c r="B1435" t="s">
        <v>3437</v>
      </c>
      <c r="C1435" t="s">
        <v>1019</v>
      </c>
      <c r="D1435" t="s">
        <v>20</v>
      </c>
      <c r="E1435" t="s">
        <v>39</v>
      </c>
      <c r="F1435">
        <v>0</v>
      </c>
      <c r="G1435">
        <v>0</v>
      </c>
      <c r="H1435">
        <v>14</v>
      </c>
      <c r="I1435" s="3">
        <v>360.92</v>
      </c>
      <c r="J1435" s="3">
        <v>494.77</v>
      </c>
      <c r="K1435" t="s">
        <v>3438</v>
      </c>
      <c r="P1435" t="str">
        <f>""</f>
        <v/>
      </c>
    </row>
    <row r="1436" spans="1:16" x14ac:dyDescent="0.25">
      <c r="A1436" t="str">
        <f>"1050025S00226B   00"</f>
        <v>1050025S00226B   00</v>
      </c>
      <c r="B1436" t="s">
        <v>3439</v>
      </c>
      <c r="C1436" t="s">
        <v>1019</v>
      </c>
      <c r="D1436" t="s">
        <v>20</v>
      </c>
      <c r="E1436" t="s">
        <v>39</v>
      </c>
      <c r="F1436">
        <v>0</v>
      </c>
      <c r="G1436">
        <v>0</v>
      </c>
      <c r="H1436">
        <v>17</v>
      </c>
      <c r="I1436" s="3">
        <v>151.01</v>
      </c>
      <c r="J1436" s="3">
        <v>139.57</v>
      </c>
      <c r="M1436" t="s">
        <v>3440</v>
      </c>
      <c r="N1436" t="s">
        <v>3441</v>
      </c>
      <c r="O1436" t="s">
        <v>606</v>
      </c>
      <c r="P1436" t="str">
        <f>"30224"</f>
        <v>30224</v>
      </c>
    </row>
    <row r="1437" spans="1:16" x14ac:dyDescent="0.25">
      <c r="A1437" t="str">
        <f>"1050026F00328    00"</f>
        <v>1050026F00328    00</v>
      </c>
      <c r="B1437" t="s">
        <v>3442</v>
      </c>
      <c r="C1437" t="s">
        <v>3443</v>
      </c>
      <c r="D1437" t="s">
        <v>20</v>
      </c>
      <c r="E1437" t="s">
        <v>39</v>
      </c>
      <c r="F1437">
        <v>0</v>
      </c>
      <c r="G1437">
        <v>0</v>
      </c>
      <c r="H1437">
        <v>1</v>
      </c>
      <c r="I1437" s="3">
        <v>385.01</v>
      </c>
      <c r="J1437" s="3">
        <v>0</v>
      </c>
      <c r="L1437">
        <v>3532</v>
      </c>
      <c r="M1437" t="s">
        <v>3444</v>
      </c>
      <c r="N1437" t="s">
        <v>30</v>
      </c>
      <c r="O1437" t="s">
        <v>31</v>
      </c>
      <c r="P1437" t="str">
        <f>"15213"</f>
        <v>15213</v>
      </c>
    </row>
    <row r="1438" spans="1:16" x14ac:dyDescent="0.25">
      <c r="A1438" t="str">
        <f>"1050026F00334    00"</f>
        <v>1050026F00334    00</v>
      </c>
      <c r="B1438" t="s">
        <v>3445</v>
      </c>
      <c r="C1438" t="s">
        <v>3446</v>
      </c>
      <c r="D1438" t="s">
        <v>20</v>
      </c>
      <c r="E1438" t="s">
        <v>39</v>
      </c>
      <c r="F1438">
        <v>0</v>
      </c>
      <c r="G1438">
        <v>0</v>
      </c>
      <c r="H1438">
        <v>2</v>
      </c>
      <c r="I1438" s="3">
        <v>1124.56</v>
      </c>
      <c r="J1438" s="3">
        <v>0</v>
      </c>
      <c r="L1438">
        <v>3000</v>
      </c>
      <c r="M1438" t="s">
        <v>3447</v>
      </c>
      <c r="N1438" t="s">
        <v>139</v>
      </c>
      <c r="O1438" t="s">
        <v>31</v>
      </c>
      <c r="P1438" t="str">
        <f>"15090"</f>
        <v>15090</v>
      </c>
    </row>
    <row r="1439" spans="1:16" x14ac:dyDescent="0.25">
      <c r="A1439" t="str">
        <f>"1050026F00336    00"</f>
        <v>1050026F00336    00</v>
      </c>
      <c r="B1439" t="s">
        <v>3445</v>
      </c>
      <c r="C1439" t="s">
        <v>3448</v>
      </c>
      <c r="D1439" t="s">
        <v>20</v>
      </c>
      <c r="E1439" t="s">
        <v>39</v>
      </c>
      <c r="F1439">
        <v>0</v>
      </c>
      <c r="G1439">
        <v>0</v>
      </c>
      <c r="H1439">
        <v>2</v>
      </c>
      <c r="I1439" s="3">
        <v>385.04</v>
      </c>
      <c r="J1439" s="3">
        <v>0</v>
      </c>
      <c r="L1439">
        <v>3000</v>
      </c>
      <c r="M1439" t="s">
        <v>3447</v>
      </c>
      <c r="N1439" t="s">
        <v>139</v>
      </c>
      <c r="O1439" t="s">
        <v>31</v>
      </c>
      <c r="P1439" t="str">
        <f>"15090"</f>
        <v>15090</v>
      </c>
    </row>
    <row r="1440" spans="1:16" x14ac:dyDescent="0.25">
      <c r="A1440" t="str">
        <f>"1050026F00339    00"</f>
        <v>1050026F00339    00</v>
      </c>
      <c r="B1440" t="s">
        <v>3449</v>
      </c>
      <c r="C1440" t="s">
        <v>3443</v>
      </c>
      <c r="D1440" t="s">
        <v>20</v>
      </c>
      <c r="E1440" t="s">
        <v>39</v>
      </c>
      <c r="F1440">
        <v>0</v>
      </c>
      <c r="G1440">
        <v>0</v>
      </c>
      <c r="H1440">
        <v>19</v>
      </c>
      <c r="I1440" s="3">
        <v>210.88</v>
      </c>
      <c r="J1440" s="3">
        <v>189.11</v>
      </c>
      <c r="K1440" t="s">
        <v>3450</v>
      </c>
      <c r="P1440" t="str">
        <f>""</f>
        <v/>
      </c>
    </row>
    <row r="1441" spans="1:16" x14ac:dyDescent="0.25">
      <c r="A1441" t="str">
        <f>"1050026F00340    00"</f>
        <v>1050026F00340    00</v>
      </c>
      <c r="B1441" t="s">
        <v>3451</v>
      </c>
      <c r="C1441" t="s">
        <v>3443</v>
      </c>
      <c r="D1441" t="s">
        <v>20</v>
      </c>
      <c r="E1441" t="s">
        <v>39</v>
      </c>
      <c r="F1441">
        <v>0</v>
      </c>
      <c r="G1441">
        <v>0</v>
      </c>
      <c r="H1441">
        <v>1</v>
      </c>
      <c r="I1441" s="3">
        <v>85.78</v>
      </c>
      <c r="J1441" s="3">
        <v>0</v>
      </c>
      <c r="K1441" t="s">
        <v>3452</v>
      </c>
      <c r="L1441">
        <v>150</v>
      </c>
      <c r="M1441" t="s">
        <v>3453</v>
      </c>
      <c r="N1441" t="s">
        <v>149</v>
      </c>
      <c r="O1441" t="s">
        <v>31</v>
      </c>
      <c r="P1441" t="str">
        <f>"15106"</f>
        <v>15106</v>
      </c>
    </row>
    <row r="1442" spans="1:16" x14ac:dyDescent="0.25">
      <c r="A1442" t="str">
        <f>"1050026F00341    00"</f>
        <v>1050026F00341    00</v>
      </c>
      <c r="B1442" t="s">
        <v>3451</v>
      </c>
      <c r="C1442" t="s">
        <v>3454</v>
      </c>
      <c r="D1442" t="s">
        <v>20</v>
      </c>
      <c r="E1442" t="s">
        <v>39</v>
      </c>
      <c r="F1442">
        <v>0</v>
      </c>
      <c r="G1442">
        <v>0</v>
      </c>
      <c r="H1442">
        <v>1</v>
      </c>
      <c r="I1442" s="3">
        <v>762.4</v>
      </c>
      <c r="J1442" s="3">
        <v>0</v>
      </c>
      <c r="K1442" t="s">
        <v>3452</v>
      </c>
      <c r="L1442">
        <v>150</v>
      </c>
      <c r="M1442" t="s">
        <v>3453</v>
      </c>
      <c r="N1442" t="s">
        <v>149</v>
      </c>
      <c r="O1442" t="s">
        <v>31</v>
      </c>
      <c r="P1442" t="str">
        <f>"15106"</f>
        <v>15106</v>
      </c>
    </row>
    <row r="1443" spans="1:16" x14ac:dyDescent="0.25">
      <c r="A1443" t="str">
        <f>"1050026G00169    00"</f>
        <v>1050026G00169    00</v>
      </c>
      <c r="B1443" t="s">
        <v>3455</v>
      </c>
      <c r="C1443" t="s">
        <v>3456</v>
      </c>
      <c r="D1443" t="s">
        <v>20</v>
      </c>
      <c r="E1443" t="s">
        <v>39</v>
      </c>
      <c r="F1443">
        <v>0</v>
      </c>
      <c r="G1443">
        <v>0</v>
      </c>
      <c r="H1443">
        <v>3</v>
      </c>
      <c r="I1443" s="3">
        <v>251.1</v>
      </c>
      <c r="J1443" s="3">
        <v>16.739999999999998</v>
      </c>
      <c r="L1443">
        <v>635</v>
      </c>
      <c r="M1443" t="s">
        <v>3457</v>
      </c>
      <c r="N1443" t="s">
        <v>30</v>
      </c>
      <c r="O1443" t="s">
        <v>31</v>
      </c>
      <c r="P1443" t="str">
        <f>"15213"</f>
        <v>15213</v>
      </c>
    </row>
    <row r="1444" spans="1:16" x14ac:dyDescent="0.25">
      <c r="A1444" t="str">
        <f>"1050026G00171    00"</f>
        <v>1050026G00171    00</v>
      </c>
      <c r="B1444" t="s">
        <v>3458</v>
      </c>
      <c r="C1444" t="s">
        <v>3459</v>
      </c>
      <c r="D1444" t="s">
        <v>20</v>
      </c>
      <c r="E1444" t="s">
        <v>39</v>
      </c>
      <c r="F1444">
        <v>0</v>
      </c>
      <c r="G1444">
        <v>0</v>
      </c>
      <c r="H1444">
        <v>2</v>
      </c>
      <c r="I1444" s="3">
        <v>250.2</v>
      </c>
      <c r="J1444" s="3">
        <v>0</v>
      </c>
      <c r="L1444">
        <v>631</v>
      </c>
      <c r="M1444" t="s">
        <v>3457</v>
      </c>
      <c r="N1444" t="s">
        <v>30</v>
      </c>
      <c r="O1444" t="s">
        <v>31</v>
      </c>
      <c r="P1444" t="str">
        <f>"15213"</f>
        <v>15213</v>
      </c>
    </row>
    <row r="1445" spans="1:16" x14ac:dyDescent="0.25">
      <c r="A1445" t="str">
        <f>"1050026G00174    00"</f>
        <v>1050026G00174    00</v>
      </c>
      <c r="B1445" t="s">
        <v>3460</v>
      </c>
      <c r="C1445" t="s">
        <v>3461</v>
      </c>
      <c r="D1445" t="s">
        <v>20</v>
      </c>
      <c r="E1445" t="s">
        <v>39</v>
      </c>
      <c r="F1445">
        <v>0</v>
      </c>
      <c r="G1445">
        <v>0</v>
      </c>
      <c r="H1445">
        <v>3</v>
      </c>
      <c r="I1445" s="3">
        <v>228.72</v>
      </c>
      <c r="J1445" s="3">
        <v>15.25</v>
      </c>
      <c r="K1445" t="s">
        <v>3462</v>
      </c>
      <c r="L1445">
        <v>428</v>
      </c>
      <c r="M1445" t="s">
        <v>3463</v>
      </c>
      <c r="N1445" t="s">
        <v>30</v>
      </c>
      <c r="O1445" t="s">
        <v>31</v>
      </c>
      <c r="P1445" t="str">
        <f>"15219"</f>
        <v>15219</v>
      </c>
    </row>
    <row r="1446" spans="1:16" x14ac:dyDescent="0.25">
      <c r="A1446" t="str">
        <f>"1050026J00230    00"</f>
        <v>1050026J00230    00</v>
      </c>
      <c r="B1446" t="s">
        <v>3464</v>
      </c>
      <c r="C1446" t="s">
        <v>3465</v>
      </c>
      <c r="D1446" t="s">
        <v>20</v>
      </c>
      <c r="E1446" t="s">
        <v>39</v>
      </c>
      <c r="F1446">
        <v>0</v>
      </c>
      <c r="G1446">
        <v>0</v>
      </c>
      <c r="H1446">
        <v>2</v>
      </c>
      <c r="I1446" s="3">
        <v>1784.1</v>
      </c>
      <c r="J1446" s="3">
        <v>0</v>
      </c>
      <c r="L1446">
        <v>3382</v>
      </c>
      <c r="M1446" t="s">
        <v>3444</v>
      </c>
      <c r="N1446" t="s">
        <v>30</v>
      </c>
      <c r="O1446" t="s">
        <v>31</v>
      </c>
      <c r="P1446" t="str">
        <f>"15213"</f>
        <v>15213</v>
      </c>
    </row>
    <row r="1447" spans="1:16" x14ac:dyDescent="0.25">
      <c r="A1447" t="str">
        <f>"1050026J00235    00"</f>
        <v>1050026J00235    00</v>
      </c>
      <c r="B1447" t="s">
        <v>3464</v>
      </c>
      <c r="C1447" t="s">
        <v>3465</v>
      </c>
      <c r="D1447" t="s">
        <v>20</v>
      </c>
      <c r="E1447" t="s">
        <v>39</v>
      </c>
      <c r="F1447">
        <v>0</v>
      </c>
      <c r="G1447">
        <v>0</v>
      </c>
      <c r="H1447">
        <v>2</v>
      </c>
      <c r="I1447" s="3">
        <v>1649.58</v>
      </c>
      <c r="J1447" s="3">
        <v>0</v>
      </c>
      <c r="L1447">
        <v>3382</v>
      </c>
      <c r="M1447" t="s">
        <v>3444</v>
      </c>
      <c r="N1447" t="s">
        <v>30</v>
      </c>
      <c r="O1447" t="s">
        <v>31</v>
      </c>
      <c r="P1447" t="str">
        <f>"15213"</f>
        <v>15213</v>
      </c>
    </row>
    <row r="1448" spans="1:16" x14ac:dyDescent="0.25">
      <c r="A1448" t="str">
        <f>"1050026J00249    00"</f>
        <v>1050026J00249    00</v>
      </c>
      <c r="B1448" t="s">
        <v>3466</v>
      </c>
      <c r="C1448" t="s">
        <v>3443</v>
      </c>
      <c r="D1448" t="s">
        <v>20</v>
      </c>
      <c r="E1448" t="s">
        <v>39</v>
      </c>
      <c r="F1448">
        <v>0</v>
      </c>
      <c r="G1448">
        <v>0</v>
      </c>
      <c r="H1448">
        <v>6</v>
      </c>
      <c r="I1448" s="3">
        <v>2280.77</v>
      </c>
      <c r="J1448" s="3">
        <v>511.53</v>
      </c>
      <c r="L1448">
        <v>400</v>
      </c>
      <c r="M1448" t="s">
        <v>3467</v>
      </c>
      <c r="N1448" t="s">
        <v>903</v>
      </c>
      <c r="O1448" t="s">
        <v>31</v>
      </c>
      <c r="P1448" t="str">
        <f>"15136"</f>
        <v>15136</v>
      </c>
    </row>
    <row r="1449" spans="1:16" x14ac:dyDescent="0.25">
      <c r="A1449" t="str">
        <f>"1050026J00252    00"</f>
        <v>1050026J00252    00</v>
      </c>
      <c r="B1449" t="s">
        <v>3468</v>
      </c>
      <c r="C1449" t="s">
        <v>3443</v>
      </c>
      <c r="D1449" t="s">
        <v>20</v>
      </c>
      <c r="E1449" t="s">
        <v>39</v>
      </c>
      <c r="F1449">
        <v>0</v>
      </c>
      <c r="G1449">
        <v>0</v>
      </c>
      <c r="H1449">
        <v>15</v>
      </c>
      <c r="I1449" s="3">
        <v>4361.32</v>
      </c>
      <c r="J1449" s="3">
        <v>3726.68</v>
      </c>
      <c r="L1449">
        <v>4015</v>
      </c>
      <c r="M1449" t="s">
        <v>3469</v>
      </c>
      <c r="N1449" t="s">
        <v>30</v>
      </c>
      <c r="O1449" t="s">
        <v>31</v>
      </c>
      <c r="P1449" t="str">
        <f>"15224"</f>
        <v>15224</v>
      </c>
    </row>
    <row r="1450" spans="1:16" x14ac:dyDescent="0.25">
      <c r="A1450" t="str">
        <f>"1050026J00255    00"</f>
        <v>1050026J00255    00</v>
      </c>
      <c r="B1450" t="s">
        <v>3470</v>
      </c>
      <c r="C1450" t="s">
        <v>3471</v>
      </c>
      <c r="E1450" t="s">
        <v>39</v>
      </c>
      <c r="F1450">
        <v>0</v>
      </c>
      <c r="G1450">
        <v>0</v>
      </c>
      <c r="H1450">
        <v>1</v>
      </c>
      <c r="I1450" s="3">
        <v>998.77</v>
      </c>
      <c r="J1450" s="3">
        <v>0</v>
      </c>
      <c r="L1450">
        <v>3362</v>
      </c>
      <c r="M1450" t="s">
        <v>3444</v>
      </c>
      <c r="N1450" t="s">
        <v>30</v>
      </c>
      <c r="O1450" t="s">
        <v>31</v>
      </c>
      <c r="P1450" t="str">
        <f>"15213"</f>
        <v>15213</v>
      </c>
    </row>
    <row r="1451" spans="1:16" x14ac:dyDescent="0.25">
      <c r="A1451" t="str">
        <f>"1050026J00257    00"</f>
        <v>1050026J00257    00</v>
      </c>
      <c r="B1451" t="s">
        <v>3472</v>
      </c>
      <c r="C1451" t="s">
        <v>3473</v>
      </c>
      <c r="D1451" t="s">
        <v>20</v>
      </c>
      <c r="E1451" t="s">
        <v>39</v>
      </c>
      <c r="F1451">
        <v>0</v>
      </c>
      <c r="G1451">
        <v>0</v>
      </c>
      <c r="H1451">
        <v>15</v>
      </c>
      <c r="I1451" s="3">
        <v>7438.59</v>
      </c>
      <c r="J1451" s="3">
        <v>5676.29</v>
      </c>
      <c r="L1451">
        <v>3356</v>
      </c>
      <c r="M1451" t="s">
        <v>3444</v>
      </c>
      <c r="N1451" t="s">
        <v>30</v>
      </c>
      <c r="O1451" t="s">
        <v>31</v>
      </c>
      <c r="P1451" t="str">
        <f>"15213"</f>
        <v>15213</v>
      </c>
    </row>
    <row r="1452" spans="1:16" x14ac:dyDescent="0.25">
      <c r="A1452" t="str">
        <f>"1050026J00260    00"</f>
        <v>1050026J00260    00</v>
      </c>
      <c r="B1452" t="s">
        <v>3474</v>
      </c>
      <c r="C1452" t="s">
        <v>3475</v>
      </c>
      <c r="E1452" t="s">
        <v>39</v>
      </c>
      <c r="F1452">
        <v>0</v>
      </c>
      <c r="G1452">
        <v>0</v>
      </c>
      <c r="H1452">
        <v>2</v>
      </c>
      <c r="I1452" s="3">
        <v>1171.3800000000001</v>
      </c>
      <c r="J1452" s="3">
        <v>159.34</v>
      </c>
      <c r="L1452">
        <v>3352</v>
      </c>
      <c r="M1452" t="s">
        <v>3476</v>
      </c>
      <c r="N1452" t="s">
        <v>30</v>
      </c>
      <c r="O1452" t="s">
        <v>31</v>
      </c>
      <c r="P1452" t="str">
        <f>"15213"</f>
        <v>15213</v>
      </c>
    </row>
    <row r="1453" spans="1:16" x14ac:dyDescent="0.25">
      <c r="A1453" t="str">
        <f>"1050026J00263    00"</f>
        <v>1050026J00263    00</v>
      </c>
      <c r="B1453" t="s">
        <v>3477</v>
      </c>
      <c r="C1453" t="s">
        <v>3478</v>
      </c>
      <c r="E1453" t="s">
        <v>39</v>
      </c>
      <c r="F1453">
        <v>0</v>
      </c>
      <c r="G1453">
        <v>0</v>
      </c>
      <c r="H1453">
        <v>1</v>
      </c>
      <c r="I1453" s="3">
        <v>421.18</v>
      </c>
      <c r="J1453" s="3">
        <v>0</v>
      </c>
      <c r="K1453" t="s">
        <v>3479</v>
      </c>
      <c r="L1453">
        <v>3348</v>
      </c>
      <c r="M1453" t="s">
        <v>3476</v>
      </c>
      <c r="N1453" t="s">
        <v>30</v>
      </c>
      <c r="O1453" t="s">
        <v>31</v>
      </c>
      <c r="P1453" t="str">
        <f>"15213"</f>
        <v>15213</v>
      </c>
    </row>
    <row r="1454" spans="1:16" x14ac:dyDescent="0.25">
      <c r="A1454" t="str">
        <f>"1050026J00265    00"</f>
        <v>1050026J00265    00</v>
      </c>
      <c r="B1454" t="s">
        <v>3480</v>
      </c>
      <c r="C1454" t="s">
        <v>3443</v>
      </c>
      <c r="D1454" t="s">
        <v>20</v>
      </c>
      <c r="E1454" t="s">
        <v>39</v>
      </c>
      <c r="F1454">
        <v>0</v>
      </c>
      <c r="G1454">
        <v>0</v>
      </c>
      <c r="H1454">
        <v>19</v>
      </c>
      <c r="I1454" s="3">
        <v>5093.63</v>
      </c>
      <c r="J1454" s="3">
        <v>3765.84</v>
      </c>
      <c r="L1454">
        <v>210</v>
      </c>
      <c r="M1454" t="s">
        <v>3481</v>
      </c>
      <c r="N1454" t="s">
        <v>30</v>
      </c>
      <c r="O1454" t="s">
        <v>31</v>
      </c>
      <c r="P1454" t="str">
        <f>"15219"</f>
        <v>15219</v>
      </c>
    </row>
    <row r="1455" spans="1:16" x14ac:dyDescent="0.25">
      <c r="A1455" t="str">
        <f>"1050026J00274    00"</f>
        <v>1050026J00274    00</v>
      </c>
      <c r="B1455" t="s">
        <v>3482</v>
      </c>
      <c r="C1455" t="s">
        <v>3443</v>
      </c>
      <c r="D1455" t="s">
        <v>20</v>
      </c>
      <c r="E1455" t="s">
        <v>39</v>
      </c>
      <c r="F1455">
        <v>0</v>
      </c>
      <c r="G1455">
        <v>0</v>
      </c>
      <c r="H1455">
        <v>18</v>
      </c>
      <c r="I1455" s="3">
        <v>1663.94</v>
      </c>
      <c r="J1455" s="3">
        <v>1374.84</v>
      </c>
      <c r="K1455" t="s">
        <v>3483</v>
      </c>
      <c r="L1455">
        <v>242</v>
      </c>
      <c r="M1455" t="s">
        <v>3484</v>
      </c>
      <c r="N1455" t="s">
        <v>3485</v>
      </c>
      <c r="O1455" t="s">
        <v>3486</v>
      </c>
      <c r="P1455" t="str">
        <f>"60126"</f>
        <v>60126</v>
      </c>
    </row>
    <row r="1456" spans="1:16" x14ac:dyDescent="0.25">
      <c r="A1456" t="str">
        <f>"1050026J00277    00"</f>
        <v>1050026J00277    00</v>
      </c>
      <c r="B1456" t="s">
        <v>3487</v>
      </c>
      <c r="C1456" t="s">
        <v>3443</v>
      </c>
      <c r="D1456" t="s">
        <v>20</v>
      </c>
      <c r="E1456" t="s">
        <v>39</v>
      </c>
      <c r="F1456">
        <v>0</v>
      </c>
      <c r="G1456">
        <v>0</v>
      </c>
      <c r="H1456">
        <v>19</v>
      </c>
      <c r="I1456" s="3">
        <v>2037.38</v>
      </c>
      <c r="J1456" s="3">
        <v>1928.91</v>
      </c>
      <c r="P1456" t="str">
        <f>""</f>
        <v/>
      </c>
    </row>
    <row r="1457" spans="1:16" x14ac:dyDescent="0.25">
      <c r="A1457" t="str">
        <f>"1050026J00282    00"</f>
        <v>1050026J00282    00</v>
      </c>
      <c r="B1457" t="s">
        <v>3488</v>
      </c>
      <c r="C1457" t="s">
        <v>3489</v>
      </c>
      <c r="D1457" t="s">
        <v>20</v>
      </c>
      <c r="E1457" t="s">
        <v>39</v>
      </c>
      <c r="F1457">
        <v>0</v>
      </c>
      <c r="G1457">
        <v>0</v>
      </c>
      <c r="H1457">
        <v>5</v>
      </c>
      <c r="I1457" s="3">
        <v>4406.42</v>
      </c>
      <c r="J1457" s="3">
        <v>468.33</v>
      </c>
      <c r="L1457">
        <v>1100</v>
      </c>
      <c r="M1457" t="s">
        <v>2387</v>
      </c>
      <c r="N1457" t="s">
        <v>30</v>
      </c>
      <c r="O1457" t="s">
        <v>31</v>
      </c>
      <c r="P1457" t="str">
        <f>"15219"</f>
        <v>15219</v>
      </c>
    </row>
    <row r="1458" spans="1:16" x14ac:dyDescent="0.25">
      <c r="A1458" t="str">
        <f>"1050026J00285    00"</f>
        <v>1050026J00285    00</v>
      </c>
      <c r="B1458" t="s">
        <v>3488</v>
      </c>
      <c r="C1458" t="s">
        <v>3490</v>
      </c>
      <c r="D1458" t="s">
        <v>20</v>
      </c>
      <c r="E1458" t="s">
        <v>39</v>
      </c>
      <c r="F1458">
        <v>0</v>
      </c>
      <c r="G1458">
        <v>0</v>
      </c>
      <c r="H1458">
        <v>3</v>
      </c>
      <c r="I1458" s="3">
        <v>476.63</v>
      </c>
      <c r="J1458" s="3">
        <v>19.09</v>
      </c>
      <c r="L1458">
        <v>1100</v>
      </c>
      <c r="M1458" t="s">
        <v>2387</v>
      </c>
      <c r="N1458" t="s">
        <v>30</v>
      </c>
      <c r="O1458" t="s">
        <v>31</v>
      </c>
      <c r="P1458" t="str">
        <f>"15219"</f>
        <v>15219</v>
      </c>
    </row>
    <row r="1459" spans="1:16" x14ac:dyDescent="0.25">
      <c r="A1459" t="str">
        <f>"1050026J00287    00"</f>
        <v>1050026J00287    00</v>
      </c>
      <c r="B1459" t="s">
        <v>3491</v>
      </c>
      <c r="C1459" t="s">
        <v>3490</v>
      </c>
      <c r="D1459" t="s">
        <v>20</v>
      </c>
      <c r="E1459" t="s">
        <v>39</v>
      </c>
      <c r="F1459">
        <v>0</v>
      </c>
      <c r="G1459">
        <v>0</v>
      </c>
      <c r="H1459">
        <v>19</v>
      </c>
      <c r="I1459" s="3">
        <v>2103.5</v>
      </c>
      <c r="J1459" s="3">
        <v>1963.69</v>
      </c>
      <c r="P1459" t="str">
        <f>""</f>
        <v/>
      </c>
    </row>
    <row r="1460" spans="1:16" x14ac:dyDescent="0.25">
      <c r="A1460" t="str">
        <f>"1050026J00288    00"</f>
        <v>1050026J00288    00</v>
      </c>
      <c r="B1460" t="s">
        <v>1300</v>
      </c>
      <c r="C1460" t="s">
        <v>3492</v>
      </c>
      <c r="D1460" t="s">
        <v>20</v>
      </c>
      <c r="E1460" t="s">
        <v>39</v>
      </c>
      <c r="F1460">
        <v>0</v>
      </c>
      <c r="G1460">
        <v>0</v>
      </c>
      <c r="H1460">
        <v>2</v>
      </c>
      <c r="I1460" s="3">
        <v>494.78</v>
      </c>
      <c r="J1460" s="3">
        <v>0</v>
      </c>
      <c r="M1460" t="s">
        <v>2628</v>
      </c>
      <c r="N1460" t="s">
        <v>30</v>
      </c>
      <c r="O1460" t="s">
        <v>31</v>
      </c>
      <c r="P1460" t="str">
        <f>"15213"</f>
        <v>15213</v>
      </c>
    </row>
    <row r="1461" spans="1:16" x14ac:dyDescent="0.25">
      <c r="A1461" t="str">
        <f>"1050026J00289    00"</f>
        <v>1050026J00289    00</v>
      </c>
      <c r="B1461" t="s">
        <v>3493</v>
      </c>
      <c r="C1461" t="s">
        <v>3494</v>
      </c>
      <c r="D1461" t="s">
        <v>20</v>
      </c>
      <c r="E1461" t="s">
        <v>39</v>
      </c>
      <c r="F1461">
        <v>0</v>
      </c>
      <c r="G1461">
        <v>0</v>
      </c>
      <c r="H1461">
        <v>2</v>
      </c>
      <c r="I1461" s="3">
        <v>812.98</v>
      </c>
      <c r="J1461" s="3">
        <v>0</v>
      </c>
      <c r="K1461" t="s">
        <v>3495</v>
      </c>
      <c r="L1461">
        <v>3351</v>
      </c>
      <c r="M1461" t="s">
        <v>2614</v>
      </c>
      <c r="N1461" t="s">
        <v>30</v>
      </c>
      <c r="O1461" t="s">
        <v>31</v>
      </c>
      <c r="P1461" t="str">
        <f>"15213"</f>
        <v>15213</v>
      </c>
    </row>
    <row r="1462" spans="1:16" x14ac:dyDescent="0.25">
      <c r="A1462" t="str">
        <f>"1050026J00295    00"</f>
        <v>1050026J00295    00</v>
      </c>
      <c r="B1462" t="s">
        <v>3496</v>
      </c>
      <c r="C1462" t="s">
        <v>3497</v>
      </c>
      <c r="D1462" t="s">
        <v>20</v>
      </c>
      <c r="E1462" t="s">
        <v>39</v>
      </c>
      <c r="F1462">
        <v>0</v>
      </c>
      <c r="G1462">
        <v>0</v>
      </c>
      <c r="H1462">
        <v>16</v>
      </c>
      <c r="I1462" s="3">
        <v>1935.93</v>
      </c>
      <c r="J1462" s="3">
        <v>2444.39</v>
      </c>
      <c r="L1462">
        <v>152</v>
      </c>
      <c r="M1462" t="s">
        <v>3498</v>
      </c>
      <c r="N1462" t="s">
        <v>3499</v>
      </c>
      <c r="O1462" t="s">
        <v>31</v>
      </c>
      <c r="P1462" t="str">
        <f>"15557"</f>
        <v>15557</v>
      </c>
    </row>
    <row r="1463" spans="1:16" x14ac:dyDescent="0.25">
      <c r="A1463" t="str">
        <f>"1050026J00296    00"</f>
        <v>1050026J00296    00</v>
      </c>
      <c r="B1463" t="s">
        <v>3500</v>
      </c>
      <c r="C1463" t="s">
        <v>3501</v>
      </c>
      <c r="D1463" t="s">
        <v>20</v>
      </c>
      <c r="E1463" t="s">
        <v>39</v>
      </c>
      <c r="F1463">
        <v>0</v>
      </c>
      <c r="G1463">
        <v>0</v>
      </c>
      <c r="H1463">
        <v>15</v>
      </c>
      <c r="I1463" s="3">
        <v>6084.7</v>
      </c>
      <c r="J1463" s="3">
        <v>3702.38</v>
      </c>
      <c r="L1463">
        <v>3346</v>
      </c>
      <c r="M1463" t="s">
        <v>2614</v>
      </c>
      <c r="N1463" t="s">
        <v>30</v>
      </c>
      <c r="O1463" t="s">
        <v>31</v>
      </c>
      <c r="P1463" t="str">
        <f>"15213"</f>
        <v>15213</v>
      </c>
    </row>
    <row r="1464" spans="1:16" x14ac:dyDescent="0.25">
      <c r="A1464" t="str">
        <f>"1050026J00305    00"</f>
        <v>1050026J00305    00</v>
      </c>
      <c r="B1464" t="s">
        <v>3502</v>
      </c>
      <c r="C1464" t="s">
        <v>3497</v>
      </c>
      <c r="D1464" t="s">
        <v>20</v>
      </c>
      <c r="E1464" t="s">
        <v>39</v>
      </c>
      <c r="F1464">
        <v>0</v>
      </c>
      <c r="G1464">
        <v>0</v>
      </c>
      <c r="H1464">
        <v>19</v>
      </c>
      <c r="I1464" s="3">
        <v>6128.78</v>
      </c>
      <c r="J1464" s="3">
        <v>6187.03</v>
      </c>
      <c r="L1464">
        <v>3450</v>
      </c>
      <c r="M1464" t="s">
        <v>3503</v>
      </c>
      <c r="N1464" t="s">
        <v>30</v>
      </c>
      <c r="O1464" t="s">
        <v>31</v>
      </c>
      <c r="P1464" t="str">
        <f>"15219"</f>
        <v>15219</v>
      </c>
    </row>
    <row r="1465" spans="1:16" x14ac:dyDescent="0.25">
      <c r="A1465" t="str">
        <f>"1050026J00307    00"</f>
        <v>1050026J00307    00</v>
      </c>
      <c r="B1465" t="s">
        <v>3504</v>
      </c>
      <c r="C1465" t="s">
        <v>3497</v>
      </c>
      <c r="D1465" t="s">
        <v>20</v>
      </c>
      <c r="E1465" t="s">
        <v>39</v>
      </c>
      <c r="F1465">
        <v>0</v>
      </c>
      <c r="G1465">
        <v>0</v>
      </c>
      <c r="H1465">
        <v>19</v>
      </c>
      <c r="I1465" s="3">
        <v>6500</v>
      </c>
      <c r="J1465" s="3">
        <v>6311.39</v>
      </c>
      <c r="L1465">
        <v>3364</v>
      </c>
      <c r="M1465" t="s">
        <v>2614</v>
      </c>
      <c r="N1465" t="s">
        <v>30</v>
      </c>
      <c r="O1465" t="s">
        <v>31</v>
      </c>
      <c r="P1465" t="str">
        <f>"15213"</f>
        <v>15213</v>
      </c>
    </row>
    <row r="1466" spans="1:16" x14ac:dyDescent="0.25">
      <c r="A1466" t="str">
        <f>"1050026J00323    00"</f>
        <v>1050026J00323    00</v>
      </c>
      <c r="B1466" t="s">
        <v>3505</v>
      </c>
      <c r="C1466" t="s">
        <v>3506</v>
      </c>
      <c r="D1466" t="s">
        <v>20</v>
      </c>
      <c r="E1466" t="s">
        <v>39</v>
      </c>
      <c r="F1466">
        <v>0</v>
      </c>
      <c r="G1466">
        <v>0</v>
      </c>
      <c r="H1466">
        <v>8</v>
      </c>
      <c r="I1466" s="3">
        <v>588.88</v>
      </c>
      <c r="J1466" s="3">
        <v>192</v>
      </c>
      <c r="L1466">
        <v>3366</v>
      </c>
      <c r="M1466" t="s">
        <v>2614</v>
      </c>
      <c r="N1466" t="s">
        <v>30</v>
      </c>
      <c r="O1466" t="s">
        <v>31</v>
      </c>
      <c r="P1466" t="str">
        <f>"15213"</f>
        <v>15213</v>
      </c>
    </row>
    <row r="1467" spans="1:16" x14ac:dyDescent="0.25">
      <c r="A1467" t="str">
        <f>"1050026J00324    00"</f>
        <v>1050026J00324    00</v>
      </c>
      <c r="B1467" t="s">
        <v>3504</v>
      </c>
      <c r="C1467" t="s">
        <v>3507</v>
      </c>
      <c r="D1467" t="s">
        <v>20</v>
      </c>
      <c r="E1467" t="s">
        <v>39</v>
      </c>
      <c r="F1467">
        <v>0</v>
      </c>
      <c r="G1467">
        <v>0</v>
      </c>
      <c r="H1467">
        <v>19</v>
      </c>
      <c r="I1467" s="3">
        <v>586.28</v>
      </c>
      <c r="J1467" s="3">
        <v>368.14</v>
      </c>
      <c r="L1467">
        <v>3364</v>
      </c>
      <c r="M1467" t="s">
        <v>2614</v>
      </c>
      <c r="N1467" t="s">
        <v>30</v>
      </c>
      <c r="O1467" t="s">
        <v>31</v>
      </c>
      <c r="P1467" t="str">
        <f>"15213"</f>
        <v>15213</v>
      </c>
    </row>
    <row r="1468" spans="1:16" x14ac:dyDescent="0.25">
      <c r="A1468" t="str">
        <f>"1050026J00327    00"</f>
        <v>1050026J00327    00</v>
      </c>
      <c r="B1468" t="s">
        <v>3502</v>
      </c>
      <c r="C1468" t="s">
        <v>3507</v>
      </c>
      <c r="D1468" t="s">
        <v>20</v>
      </c>
      <c r="E1468" t="s">
        <v>39</v>
      </c>
      <c r="F1468">
        <v>0</v>
      </c>
      <c r="G1468">
        <v>0</v>
      </c>
      <c r="H1468">
        <v>19</v>
      </c>
      <c r="I1468" s="3">
        <v>1845.88</v>
      </c>
      <c r="J1468" s="3">
        <v>1585.52</v>
      </c>
      <c r="L1468">
        <v>3450</v>
      </c>
      <c r="M1468" t="s">
        <v>3503</v>
      </c>
      <c r="N1468" t="s">
        <v>30</v>
      </c>
      <c r="O1468" t="s">
        <v>31</v>
      </c>
      <c r="P1468" t="str">
        <f>"15219"</f>
        <v>15219</v>
      </c>
    </row>
    <row r="1469" spans="1:16" x14ac:dyDescent="0.25">
      <c r="A1469" t="str">
        <f>"1050026J00328    00"</f>
        <v>1050026J00328    00</v>
      </c>
      <c r="B1469" t="s">
        <v>3508</v>
      </c>
      <c r="C1469" t="s">
        <v>3509</v>
      </c>
      <c r="D1469" t="s">
        <v>20</v>
      </c>
      <c r="E1469" t="s">
        <v>39</v>
      </c>
      <c r="F1469">
        <v>0</v>
      </c>
      <c r="G1469">
        <v>0</v>
      </c>
      <c r="H1469">
        <v>13</v>
      </c>
      <c r="I1469" s="3">
        <v>7006.78</v>
      </c>
      <c r="J1469" s="3">
        <v>4034.01</v>
      </c>
      <c r="L1469">
        <v>3391</v>
      </c>
      <c r="M1469" t="s">
        <v>3510</v>
      </c>
      <c r="N1469" t="s">
        <v>30</v>
      </c>
      <c r="O1469" t="s">
        <v>31</v>
      </c>
      <c r="P1469" t="str">
        <f>"15213"</f>
        <v>15213</v>
      </c>
    </row>
    <row r="1470" spans="1:16" x14ac:dyDescent="0.25">
      <c r="A1470" t="str">
        <f>"1050026J00329    00"</f>
        <v>1050026J00329    00</v>
      </c>
      <c r="B1470" t="s">
        <v>3511</v>
      </c>
      <c r="C1470" t="s">
        <v>3512</v>
      </c>
      <c r="D1470" t="s">
        <v>20</v>
      </c>
      <c r="E1470" t="s">
        <v>39</v>
      </c>
      <c r="F1470">
        <v>0</v>
      </c>
      <c r="G1470">
        <v>0</v>
      </c>
      <c r="H1470">
        <v>2</v>
      </c>
      <c r="I1470" s="3">
        <v>546.77</v>
      </c>
      <c r="J1470" s="3">
        <v>0</v>
      </c>
      <c r="L1470">
        <v>3389</v>
      </c>
      <c r="M1470" t="s">
        <v>3510</v>
      </c>
      <c r="N1470" t="s">
        <v>30</v>
      </c>
      <c r="O1470" t="s">
        <v>31</v>
      </c>
      <c r="P1470" t="str">
        <f>"15213"</f>
        <v>15213</v>
      </c>
    </row>
    <row r="1471" spans="1:16" x14ac:dyDescent="0.25">
      <c r="A1471" t="str">
        <f>"1050026J00362    00"</f>
        <v>1050026J00362    00</v>
      </c>
      <c r="B1471" t="s">
        <v>3513</v>
      </c>
      <c r="C1471" t="s">
        <v>3514</v>
      </c>
      <c r="E1471" t="s">
        <v>39</v>
      </c>
      <c r="F1471">
        <v>0</v>
      </c>
      <c r="G1471">
        <v>0</v>
      </c>
      <c r="H1471">
        <v>1</v>
      </c>
      <c r="I1471" s="3">
        <v>1412.36</v>
      </c>
      <c r="J1471" s="3">
        <v>0</v>
      </c>
      <c r="L1471">
        <v>3515</v>
      </c>
      <c r="M1471" t="s">
        <v>3515</v>
      </c>
      <c r="N1471" t="s">
        <v>30</v>
      </c>
      <c r="O1471" t="s">
        <v>31</v>
      </c>
      <c r="P1471" t="str">
        <f>"15219"</f>
        <v>15219</v>
      </c>
    </row>
    <row r="1472" spans="1:16" x14ac:dyDescent="0.25">
      <c r="A1472" t="str">
        <f>"1050026K00078    00"</f>
        <v>1050026K00078    00</v>
      </c>
      <c r="B1472" t="s">
        <v>3516</v>
      </c>
      <c r="C1472" t="s">
        <v>3443</v>
      </c>
      <c r="D1472" t="s">
        <v>20</v>
      </c>
      <c r="E1472" t="s">
        <v>39</v>
      </c>
      <c r="F1472">
        <v>0</v>
      </c>
      <c r="G1472">
        <v>0</v>
      </c>
      <c r="H1472">
        <v>19</v>
      </c>
      <c r="I1472" s="3">
        <v>5930.92</v>
      </c>
      <c r="J1472" s="3">
        <v>4337.92</v>
      </c>
      <c r="L1472">
        <v>3531</v>
      </c>
      <c r="M1472" t="s">
        <v>3444</v>
      </c>
      <c r="N1472" t="s">
        <v>30</v>
      </c>
      <c r="O1472" t="s">
        <v>31</v>
      </c>
      <c r="P1472" t="str">
        <f>"15213"</f>
        <v>15213</v>
      </c>
    </row>
    <row r="1473" spans="1:16" x14ac:dyDescent="0.25">
      <c r="A1473" t="str">
        <f>"1050026K00098    00"</f>
        <v>1050026K00098    00</v>
      </c>
      <c r="B1473" t="s">
        <v>3517</v>
      </c>
      <c r="C1473" t="s">
        <v>3518</v>
      </c>
      <c r="D1473" t="s">
        <v>20</v>
      </c>
      <c r="E1473" t="s">
        <v>39</v>
      </c>
      <c r="F1473">
        <v>0</v>
      </c>
      <c r="G1473">
        <v>0</v>
      </c>
      <c r="H1473">
        <v>19</v>
      </c>
      <c r="I1473" s="3">
        <v>22719.08</v>
      </c>
      <c r="J1473" s="3">
        <v>20071.71</v>
      </c>
      <c r="P1473" t="str">
        <f>""</f>
        <v/>
      </c>
    </row>
    <row r="1474" spans="1:16" x14ac:dyDescent="0.25">
      <c r="A1474" t="str">
        <f>"1050026K00101    00"</f>
        <v>1050026K00101    00</v>
      </c>
      <c r="B1474" t="s">
        <v>3519</v>
      </c>
      <c r="C1474" t="s">
        <v>3507</v>
      </c>
      <c r="E1474" t="s">
        <v>39</v>
      </c>
      <c r="F1474">
        <v>0</v>
      </c>
      <c r="G1474">
        <v>0</v>
      </c>
      <c r="H1474">
        <v>1</v>
      </c>
      <c r="I1474" s="3">
        <v>96.41</v>
      </c>
      <c r="J1474" s="3">
        <v>114.08</v>
      </c>
      <c r="L1474">
        <v>3424</v>
      </c>
      <c r="M1474" t="s">
        <v>3510</v>
      </c>
      <c r="N1474" t="s">
        <v>30</v>
      </c>
      <c r="O1474" t="s">
        <v>31</v>
      </c>
      <c r="P1474" t="str">
        <f>"15213"</f>
        <v>15213</v>
      </c>
    </row>
    <row r="1475" spans="1:16" x14ac:dyDescent="0.25">
      <c r="A1475" t="str">
        <f>"1050026K00105    00"</f>
        <v>1050026K00105    00</v>
      </c>
      <c r="B1475" t="s">
        <v>3519</v>
      </c>
      <c r="C1475" t="s">
        <v>3520</v>
      </c>
      <c r="D1475" t="s">
        <v>20</v>
      </c>
      <c r="E1475" t="s">
        <v>39</v>
      </c>
      <c r="F1475">
        <v>0</v>
      </c>
      <c r="G1475">
        <v>0</v>
      </c>
      <c r="H1475">
        <v>19</v>
      </c>
      <c r="I1475" s="3">
        <v>6942.28</v>
      </c>
      <c r="J1475" s="3">
        <v>6358.77</v>
      </c>
      <c r="L1475">
        <v>3428</v>
      </c>
      <c r="M1475" t="s">
        <v>3510</v>
      </c>
      <c r="N1475" t="s">
        <v>30</v>
      </c>
      <c r="O1475" t="s">
        <v>31</v>
      </c>
      <c r="P1475" t="str">
        <f>"15213"</f>
        <v>15213</v>
      </c>
    </row>
    <row r="1476" spans="1:16" x14ac:dyDescent="0.25">
      <c r="A1476" t="str">
        <f>"1050026K00119    00"</f>
        <v>1050026K00119    00</v>
      </c>
      <c r="B1476" t="s">
        <v>3521</v>
      </c>
      <c r="C1476" t="s">
        <v>3443</v>
      </c>
      <c r="D1476" t="s">
        <v>20</v>
      </c>
      <c r="E1476" t="s">
        <v>39</v>
      </c>
      <c r="F1476">
        <v>0</v>
      </c>
      <c r="G1476">
        <v>0</v>
      </c>
      <c r="H1476">
        <v>19</v>
      </c>
      <c r="I1476" s="3">
        <v>1380.3</v>
      </c>
      <c r="J1476" s="3">
        <v>861.4</v>
      </c>
      <c r="L1476">
        <v>2537</v>
      </c>
      <c r="M1476" t="s">
        <v>3522</v>
      </c>
      <c r="N1476" t="s">
        <v>30</v>
      </c>
      <c r="O1476" t="s">
        <v>31</v>
      </c>
      <c r="P1476" t="str">
        <f>"15226"</f>
        <v>15226</v>
      </c>
    </row>
    <row r="1477" spans="1:16" x14ac:dyDescent="0.25">
      <c r="A1477" t="str">
        <f>"1050026K00120    00"</f>
        <v>1050026K00120    00</v>
      </c>
      <c r="B1477" t="s">
        <v>3521</v>
      </c>
      <c r="C1477" t="s">
        <v>3443</v>
      </c>
      <c r="D1477" t="s">
        <v>20</v>
      </c>
      <c r="E1477" t="s">
        <v>39</v>
      </c>
      <c r="F1477">
        <v>0</v>
      </c>
      <c r="G1477">
        <v>0</v>
      </c>
      <c r="H1477">
        <v>19</v>
      </c>
      <c r="I1477" s="3">
        <v>2930.97</v>
      </c>
      <c r="J1477" s="3">
        <v>2511.84</v>
      </c>
      <c r="L1477">
        <v>2537</v>
      </c>
      <c r="M1477" t="s">
        <v>3522</v>
      </c>
      <c r="N1477" t="s">
        <v>30</v>
      </c>
      <c r="O1477" t="s">
        <v>31</v>
      </c>
      <c r="P1477" t="str">
        <f>"15226"</f>
        <v>15226</v>
      </c>
    </row>
    <row r="1478" spans="1:16" x14ac:dyDescent="0.25">
      <c r="A1478" t="str">
        <f>"1050026K00122    00"</f>
        <v>1050026K00122    00</v>
      </c>
      <c r="B1478" t="s">
        <v>3523</v>
      </c>
      <c r="C1478" t="s">
        <v>3443</v>
      </c>
      <c r="D1478" t="s">
        <v>20</v>
      </c>
      <c r="E1478" t="s">
        <v>39</v>
      </c>
      <c r="F1478">
        <v>0</v>
      </c>
      <c r="G1478">
        <v>0</v>
      </c>
      <c r="H1478">
        <v>17</v>
      </c>
      <c r="I1478" s="3">
        <v>76.14</v>
      </c>
      <c r="J1478" s="3">
        <v>79.59</v>
      </c>
      <c r="K1478" t="s">
        <v>1037</v>
      </c>
      <c r="M1478" t="s">
        <v>3524</v>
      </c>
      <c r="N1478" t="s">
        <v>30</v>
      </c>
      <c r="O1478" t="s">
        <v>31</v>
      </c>
      <c r="P1478" t="str">
        <f>"15206"</f>
        <v>15206</v>
      </c>
    </row>
    <row r="1479" spans="1:16" x14ac:dyDescent="0.25">
      <c r="A1479" t="str">
        <f>"1050026K00123    00"</f>
        <v>1050026K00123    00</v>
      </c>
      <c r="B1479" t="s">
        <v>3521</v>
      </c>
      <c r="C1479" t="s">
        <v>3443</v>
      </c>
      <c r="D1479" t="s">
        <v>20</v>
      </c>
      <c r="E1479" t="s">
        <v>39</v>
      </c>
      <c r="F1479">
        <v>0</v>
      </c>
      <c r="G1479">
        <v>0</v>
      </c>
      <c r="H1479">
        <v>19</v>
      </c>
      <c r="I1479" s="3">
        <v>2774.18</v>
      </c>
      <c r="J1479" s="3">
        <v>2406.6799999999998</v>
      </c>
      <c r="L1479">
        <v>322</v>
      </c>
      <c r="M1479" t="s">
        <v>3525</v>
      </c>
      <c r="N1479" t="s">
        <v>30</v>
      </c>
      <c r="O1479" t="s">
        <v>31</v>
      </c>
      <c r="P1479" t="str">
        <f>"15203"</f>
        <v>15203</v>
      </c>
    </row>
    <row r="1480" spans="1:16" x14ac:dyDescent="0.25">
      <c r="A1480" t="str">
        <f>"1050026K00134    00"</f>
        <v>1050026K00134    00</v>
      </c>
      <c r="B1480" t="s">
        <v>3526</v>
      </c>
      <c r="C1480" t="s">
        <v>3527</v>
      </c>
      <c r="E1480" t="s">
        <v>39</v>
      </c>
      <c r="F1480">
        <v>0</v>
      </c>
      <c r="G1480">
        <v>0</v>
      </c>
      <c r="H1480">
        <v>2</v>
      </c>
      <c r="I1480" s="3">
        <v>308.98</v>
      </c>
      <c r="J1480" s="3">
        <v>3.81</v>
      </c>
      <c r="L1480">
        <v>3518</v>
      </c>
      <c r="M1480" t="s">
        <v>3528</v>
      </c>
      <c r="N1480" t="s">
        <v>30</v>
      </c>
      <c r="O1480" t="s">
        <v>31</v>
      </c>
      <c r="P1480" t="str">
        <f>"15213"</f>
        <v>15213</v>
      </c>
    </row>
    <row r="1481" spans="1:16" x14ac:dyDescent="0.25">
      <c r="A1481" t="str">
        <f>"1050026K00220    00"</f>
        <v>1050026K00220    00</v>
      </c>
      <c r="B1481" t="s">
        <v>3529</v>
      </c>
      <c r="C1481" t="s">
        <v>3530</v>
      </c>
      <c r="E1481" t="s">
        <v>39</v>
      </c>
      <c r="F1481">
        <v>0</v>
      </c>
      <c r="G1481">
        <v>0</v>
      </c>
      <c r="H1481">
        <v>1</v>
      </c>
      <c r="I1481" s="3">
        <v>127.75</v>
      </c>
      <c r="J1481" s="3">
        <v>0</v>
      </c>
      <c r="L1481">
        <v>3431</v>
      </c>
      <c r="M1481" t="s">
        <v>1090</v>
      </c>
      <c r="N1481" t="s">
        <v>30</v>
      </c>
      <c r="O1481" t="s">
        <v>31</v>
      </c>
      <c r="P1481" t="str">
        <f t="shared" ref="P1481:P1489" si="21">"15219"</f>
        <v>15219</v>
      </c>
    </row>
    <row r="1482" spans="1:16" x14ac:dyDescent="0.25">
      <c r="A1482" t="str">
        <f>"1050026K00221    00"</f>
        <v>1050026K00221    00</v>
      </c>
      <c r="B1482" t="s">
        <v>3529</v>
      </c>
      <c r="C1482" t="s">
        <v>3530</v>
      </c>
      <c r="E1482" t="s">
        <v>39</v>
      </c>
      <c r="F1482">
        <v>0</v>
      </c>
      <c r="G1482">
        <v>0</v>
      </c>
      <c r="H1482">
        <v>1</v>
      </c>
      <c r="I1482" s="3">
        <v>31.72</v>
      </c>
      <c r="J1482" s="3">
        <v>0</v>
      </c>
      <c r="L1482">
        <v>3431</v>
      </c>
      <c r="M1482" t="s">
        <v>1090</v>
      </c>
      <c r="N1482" t="s">
        <v>30</v>
      </c>
      <c r="O1482" t="s">
        <v>31</v>
      </c>
      <c r="P1482" t="str">
        <f t="shared" si="21"/>
        <v>15219</v>
      </c>
    </row>
    <row r="1483" spans="1:16" x14ac:dyDescent="0.25">
      <c r="A1483" t="str">
        <f>"1050026K00222    00"</f>
        <v>1050026K00222    00</v>
      </c>
      <c r="B1483" t="s">
        <v>3529</v>
      </c>
      <c r="C1483" t="s">
        <v>3530</v>
      </c>
      <c r="E1483" t="s">
        <v>39</v>
      </c>
      <c r="F1483">
        <v>0</v>
      </c>
      <c r="G1483">
        <v>0</v>
      </c>
      <c r="H1483">
        <v>1</v>
      </c>
      <c r="I1483" s="3">
        <v>32.6</v>
      </c>
      <c r="J1483" s="3">
        <v>0</v>
      </c>
      <c r="L1483">
        <v>3431</v>
      </c>
      <c r="M1483" t="s">
        <v>1090</v>
      </c>
      <c r="N1483" t="s">
        <v>30</v>
      </c>
      <c r="O1483" t="s">
        <v>31</v>
      </c>
      <c r="P1483" t="str">
        <f t="shared" si="21"/>
        <v>15219</v>
      </c>
    </row>
    <row r="1484" spans="1:16" x14ac:dyDescent="0.25">
      <c r="A1484" t="str">
        <f>"1050026K00229    00"</f>
        <v>1050026K00229    00</v>
      </c>
      <c r="B1484" t="s">
        <v>3531</v>
      </c>
      <c r="C1484" t="s">
        <v>1091</v>
      </c>
      <c r="D1484" t="s">
        <v>20</v>
      </c>
      <c r="E1484" t="s">
        <v>39</v>
      </c>
      <c r="F1484">
        <v>0</v>
      </c>
      <c r="G1484">
        <v>0</v>
      </c>
      <c r="H1484">
        <v>4</v>
      </c>
      <c r="I1484" s="3">
        <v>1346.68</v>
      </c>
      <c r="J1484" s="3">
        <v>183.9</v>
      </c>
      <c r="L1484">
        <v>3225</v>
      </c>
      <c r="M1484" t="s">
        <v>3532</v>
      </c>
      <c r="N1484" t="s">
        <v>30</v>
      </c>
      <c r="O1484" t="s">
        <v>31</v>
      </c>
      <c r="P1484" t="str">
        <f t="shared" si="21"/>
        <v>15219</v>
      </c>
    </row>
    <row r="1485" spans="1:16" x14ac:dyDescent="0.25">
      <c r="A1485" t="str">
        <f>"1050026K00234    00"</f>
        <v>1050026K00234    00</v>
      </c>
      <c r="B1485" t="s">
        <v>3533</v>
      </c>
      <c r="C1485" t="s">
        <v>3534</v>
      </c>
      <c r="D1485" t="s">
        <v>20</v>
      </c>
      <c r="E1485" t="s">
        <v>39</v>
      </c>
      <c r="F1485">
        <v>0</v>
      </c>
      <c r="G1485">
        <v>0</v>
      </c>
      <c r="H1485">
        <v>7</v>
      </c>
      <c r="I1485" s="3">
        <v>3919.66</v>
      </c>
      <c r="J1485" s="3">
        <v>981.07</v>
      </c>
      <c r="L1485">
        <v>3413</v>
      </c>
      <c r="M1485" t="s">
        <v>1090</v>
      </c>
      <c r="N1485" t="s">
        <v>30</v>
      </c>
      <c r="O1485" t="s">
        <v>31</v>
      </c>
      <c r="P1485" t="str">
        <f t="shared" si="21"/>
        <v>15219</v>
      </c>
    </row>
    <row r="1486" spans="1:16" x14ac:dyDescent="0.25">
      <c r="A1486" t="str">
        <f>"1050026K00257    00"</f>
        <v>1050026K00257    00</v>
      </c>
      <c r="B1486" t="s">
        <v>3535</v>
      </c>
      <c r="C1486" t="s">
        <v>3536</v>
      </c>
      <c r="D1486" t="s">
        <v>20</v>
      </c>
      <c r="E1486" t="s">
        <v>39</v>
      </c>
      <c r="F1486">
        <v>0</v>
      </c>
      <c r="G1486">
        <v>0</v>
      </c>
      <c r="H1486">
        <v>3</v>
      </c>
      <c r="I1486" s="3">
        <v>580.79999999999995</v>
      </c>
      <c r="J1486" s="3">
        <v>45.67</v>
      </c>
      <c r="L1486">
        <v>3452</v>
      </c>
      <c r="M1486" t="s">
        <v>1090</v>
      </c>
      <c r="N1486" t="s">
        <v>30</v>
      </c>
      <c r="O1486" t="s">
        <v>31</v>
      </c>
      <c r="P1486" t="str">
        <f t="shared" si="21"/>
        <v>15219</v>
      </c>
    </row>
    <row r="1487" spans="1:16" x14ac:dyDescent="0.25">
      <c r="A1487" t="str">
        <f>"1050026K00258    00"</f>
        <v>1050026K00258    00</v>
      </c>
      <c r="B1487" t="s">
        <v>3537</v>
      </c>
      <c r="C1487" t="s">
        <v>3538</v>
      </c>
      <c r="D1487" t="s">
        <v>20</v>
      </c>
      <c r="E1487" t="s">
        <v>39</v>
      </c>
      <c r="F1487">
        <v>0</v>
      </c>
      <c r="G1487">
        <v>0</v>
      </c>
      <c r="H1487">
        <v>3</v>
      </c>
      <c r="I1487" s="3">
        <v>107.14</v>
      </c>
      <c r="J1487" s="3">
        <v>17.649999999999999</v>
      </c>
      <c r="L1487">
        <v>3456</v>
      </c>
      <c r="M1487" t="s">
        <v>1090</v>
      </c>
      <c r="N1487" t="s">
        <v>30</v>
      </c>
      <c r="O1487" t="s">
        <v>31</v>
      </c>
      <c r="P1487" t="str">
        <f t="shared" si="21"/>
        <v>15219</v>
      </c>
    </row>
    <row r="1488" spans="1:16" x14ac:dyDescent="0.25">
      <c r="A1488" t="str">
        <f>"1050026K00259    00"</f>
        <v>1050026K00259    00</v>
      </c>
      <c r="B1488" t="s">
        <v>3537</v>
      </c>
      <c r="C1488" t="s">
        <v>3538</v>
      </c>
      <c r="D1488" t="s">
        <v>20</v>
      </c>
      <c r="E1488" t="s">
        <v>39</v>
      </c>
      <c r="F1488">
        <v>0</v>
      </c>
      <c r="G1488">
        <v>0</v>
      </c>
      <c r="H1488">
        <v>4</v>
      </c>
      <c r="I1488" s="3">
        <v>228.14</v>
      </c>
      <c r="J1488" s="3">
        <v>33.93</v>
      </c>
      <c r="L1488">
        <v>3456</v>
      </c>
      <c r="M1488" t="s">
        <v>1090</v>
      </c>
      <c r="N1488" t="s">
        <v>30</v>
      </c>
      <c r="O1488" t="s">
        <v>31</v>
      </c>
      <c r="P1488" t="str">
        <f t="shared" si="21"/>
        <v>15219</v>
      </c>
    </row>
    <row r="1489" spans="1:16" x14ac:dyDescent="0.25">
      <c r="A1489" t="str">
        <f>"1050026K00260    00"</f>
        <v>1050026K00260    00</v>
      </c>
      <c r="B1489" t="s">
        <v>3539</v>
      </c>
      <c r="C1489" t="s">
        <v>3540</v>
      </c>
      <c r="E1489" t="s">
        <v>39</v>
      </c>
      <c r="F1489">
        <v>0</v>
      </c>
      <c r="G1489">
        <v>0</v>
      </c>
      <c r="H1489">
        <v>12</v>
      </c>
      <c r="I1489" s="3">
        <v>17252.97</v>
      </c>
      <c r="J1489" s="3">
        <v>11344.85</v>
      </c>
      <c r="K1489" t="s">
        <v>3541</v>
      </c>
      <c r="L1489">
        <v>3460</v>
      </c>
      <c r="M1489" t="s">
        <v>1090</v>
      </c>
      <c r="N1489" t="s">
        <v>30</v>
      </c>
      <c r="O1489" t="s">
        <v>31</v>
      </c>
      <c r="P1489" t="str">
        <f t="shared" si="21"/>
        <v>15219</v>
      </c>
    </row>
    <row r="1490" spans="1:16" x14ac:dyDescent="0.25">
      <c r="A1490" t="str">
        <f>"1050026K00263    00"</f>
        <v>1050026K00263    00</v>
      </c>
      <c r="B1490" t="s">
        <v>3542</v>
      </c>
      <c r="C1490" t="s">
        <v>3540</v>
      </c>
      <c r="D1490" t="s">
        <v>20</v>
      </c>
      <c r="E1490" t="s">
        <v>39</v>
      </c>
      <c r="F1490">
        <v>0</v>
      </c>
      <c r="G1490">
        <v>0</v>
      </c>
      <c r="H1490">
        <v>3</v>
      </c>
      <c r="I1490" s="3">
        <v>187.33</v>
      </c>
      <c r="J1490" s="3">
        <v>0.88</v>
      </c>
      <c r="K1490" t="s">
        <v>3543</v>
      </c>
      <c r="M1490" t="s">
        <v>2628</v>
      </c>
      <c r="N1490" t="s">
        <v>30</v>
      </c>
      <c r="O1490" t="s">
        <v>31</v>
      </c>
      <c r="P1490" t="str">
        <f>"15213"</f>
        <v>15213</v>
      </c>
    </row>
    <row r="1491" spans="1:16" x14ac:dyDescent="0.25">
      <c r="A1491" t="str">
        <f>"1050026K00271    00"</f>
        <v>1050026K00271    00</v>
      </c>
      <c r="B1491" t="s">
        <v>3544</v>
      </c>
      <c r="C1491" t="s">
        <v>3545</v>
      </c>
      <c r="D1491" t="s">
        <v>20</v>
      </c>
      <c r="E1491" t="s">
        <v>39</v>
      </c>
      <c r="F1491">
        <v>0</v>
      </c>
      <c r="G1491">
        <v>0</v>
      </c>
      <c r="H1491">
        <v>19</v>
      </c>
      <c r="I1491" s="3">
        <v>20734.02</v>
      </c>
      <c r="J1491" s="3">
        <v>18337.05</v>
      </c>
      <c r="L1491">
        <v>3478</v>
      </c>
      <c r="M1491" t="s">
        <v>1090</v>
      </c>
      <c r="N1491" t="s">
        <v>30</v>
      </c>
      <c r="O1491" t="s">
        <v>31</v>
      </c>
      <c r="P1491" t="str">
        <f>"15219"</f>
        <v>15219</v>
      </c>
    </row>
    <row r="1492" spans="1:16" x14ac:dyDescent="0.25">
      <c r="A1492" t="str">
        <f>"1050026K00273    00"</f>
        <v>1050026K00273    00</v>
      </c>
      <c r="B1492" t="s">
        <v>3008</v>
      </c>
      <c r="C1492" t="s">
        <v>3546</v>
      </c>
      <c r="D1492" t="s">
        <v>20</v>
      </c>
      <c r="E1492" t="s">
        <v>39</v>
      </c>
      <c r="F1492">
        <v>0</v>
      </c>
      <c r="G1492">
        <v>0</v>
      </c>
      <c r="H1492">
        <v>2</v>
      </c>
      <c r="I1492" s="3">
        <v>1021.08</v>
      </c>
      <c r="J1492" s="3">
        <v>0</v>
      </c>
      <c r="M1492" t="s">
        <v>2628</v>
      </c>
      <c r="N1492" t="s">
        <v>30</v>
      </c>
      <c r="O1492" t="s">
        <v>31</v>
      </c>
      <c r="P1492" t="str">
        <f>"15213"</f>
        <v>15213</v>
      </c>
    </row>
    <row r="1493" spans="1:16" x14ac:dyDescent="0.25">
      <c r="A1493" t="str">
        <f>"1050026K00276    01"</f>
        <v>1050026K00276    01</v>
      </c>
      <c r="B1493" t="s">
        <v>3547</v>
      </c>
      <c r="C1493" t="s">
        <v>3548</v>
      </c>
      <c r="D1493" t="s">
        <v>20</v>
      </c>
      <c r="E1493" t="s">
        <v>39</v>
      </c>
      <c r="F1493">
        <v>0</v>
      </c>
      <c r="G1493">
        <v>0</v>
      </c>
      <c r="H1493">
        <v>3</v>
      </c>
      <c r="I1493" s="3">
        <v>2199.66</v>
      </c>
      <c r="J1493" s="3">
        <v>54.72</v>
      </c>
      <c r="L1493">
        <v>3504</v>
      </c>
      <c r="M1493" t="s">
        <v>1090</v>
      </c>
      <c r="N1493" t="s">
        <v>30</v>
      </c>
      <c r="O1493" t="s">
        <v>31</v>
      </c>
      <c r="P1493" t="str">
        <f>"15219"</f>
        <v>15219</v>
      </c>
    </row>
    <row r="1494" spans="1:16" x14ac:dyDescent="0.25">
      <c r="A1494" t="str">
        <f>"1050026K00288    00"</f>
        <v>1050026K00288    00</v>
      </c>
      <c r="B1494" t="s">
        <v>3549</v>
      </c>
      <c r="C1494" t="s">
        <v>3550</v>
      </c>
      <c r="D1494" t="s">
        <v>20</v>
      </c>
      <c r="E1494" t="s">
        <v>39</v>
      </c>
      <c r="F1494">
        <v>0</v>
      </c>
      <c r="G1494">
        <v>0</v>
      </c>
      <c r="H1494">
        <v>2</v>
      </c>
      <c r="I1494" s="3">
        <v>1061.28</v>
      </c>
      <c r="J1494" s="3">
        <v>79.510000000000005</v>
      </c>
      <c r="K1494" t="s">
        <v>3551</v>
      </c>
      <c r="L1494">
        <v>3528</v>
      </c>
      <c r="M1494" t="s">
        <v>1090</v>
      </c>
      <c r="N1494" t="s">
        <v>30</v>
      </c>
      <c r="O1494" t="s">
        <v>31</v>
      </c>
      <c r="P1494" t="str">
        <f>"15219"</f>
        <v>15219</v>
      </c>
    </row>
    <row r="1495" spans="1:16" x14ac:dyDescent="0.25">
      <c r="A1495" t="str">
        <f>"1050026K00290    00"</f>
        <v>1050026K00290    00</v>
      </c>
      <c r="B1495" t="s">
        <v>3552</v>
      </c>
      <c r="C1495" t="s">
        <v>3553</v>
      </c>
      <c r="D1495" t="s">
        <v>20</v>
      </c>
      <c r="E1495" t="s">
        <v>39</v>
      </c>
      <c r="F1495">
        <v>0</v>
      </c>
      <c r="G1495">
        <v>0</v>
      </c>
      <c r="H1495">
        <v>1</v>
      </c>
      <c r="I1495" s="3">
        <v>793.37</v>
      </c>
      <c r="J1495" s="3">
        <v>0</v>
      </c>
      <c r="K1495" t="s">
        <v>3554</v>
      </c>
      <c r="L1495">
        <v>600</v>
      </c>
      <c r="M1495" t="s">
        <v>3555</v>
      </c>
      <c r="N1495" t="s">
        <v>3556</v>
      </c>
      <c r="O1495" t="s">
        <v>31</v>
      </c>
      <c r="P1495" t="str">
        <f>"16117"</f>
        <v>16117</v>
      </c>
    </row>
    <row r="1496" spans="1:16" x14ac:dyDescent="0.25">
      <c r="A1496" t="str">
        <f>"1050026K00312    00"</f>
        <v>1050026K00312    00</v>
      </c>
      <c r="B1496" t="s">
        <v>3557</v>
      </c>
      <c r="C1496" t="s">
        <v>3558</v>
      </c>
      <c r="D1496" t="s">
        <v>20</v>
      </c>
      <c r="E1496" t="s">
        <v>39</v>
      </c>
      <c r="F1496">
        <v>0</v>
      </c>
      <c r="G1496">
        <v>0</v>
      </c>
      <c r="H1496">
        <v>2</v>
      </c>
      <c r="I1496" s="3">
        <v>3164.96</v>
      </c>
      <c r="J1496" s="3">
        <v>0</v>
      </c>
      <c r="L1496">
        <v>703</v>
      </c>
      <c r="M1496" t="s">
        <v>3559</v>
      </c>
      <c r="N1496" t="s">
        <v>30</v>
      </c>
      <c r="O1496" t="s">
        <v>31</v>
      </c>
      <c r="P1496" t="str">
        <f>"15219"</f>
        <v>15219</v>
      </c>
    </row>
    <row r="1497" spans="1:16" x14ac:dyDescent="0.25">
      <c r="A1497" t="str">
        <f>"1050026K00315    00"</f>
        <v>1050026K00315    00</v>
      </c>
      <c r="B1497" t="s">
        <v>3560</v>
      </c>
      <c r="C1497" t="s">
        <v>3561</v>
      </c>
      <c r="D1497" t="s">
        <v>20</v>
      </c>
      <c r="E1497" t="s">
        <v>39</v>
      </c>
      <c r="F1497">
        <v>0</v>
      </c>
      <c r="G1497">
        <v>0</v>
      </c>
      <c r="H1497">
        <v>2</v>
      </c>
      <c r="I1497" s="3">
        <v>243.96</v>
      </c>
      <c r="J1497" s="3">
        <v>0</v>
      </c>
      <c r="L1497">
        <v>3504</v>
      </c>
      <c r="M1497" t="s">
        <v>1090</v>
      </c>
      <c r="N1497" t="s">
        <v>30</v>
      </c>
      <c r="O1497" t="s">
        <v>31</v>
      </c>
      <c r="P1497" t="str">
        <f>"15219"</f>
        <v>15219</v>
      </c>
    </row>
    <row r="1498" spans="1:16" x14ac:dyDescent="0.25">
      <c r="A1498" t="str">
        <f>"1050026K00318    00"</f>
        <v>1050026K00318    00</v>
      </c>
      <c r="B1498" t="s">
        <v>3562</v>
      </c>
      <c r="C1498" t="s">
        <v>3563</v>
      </c>
      <c r="D1498" t="s">
        <v>20</v>
      </c>
      <c r="E1498" t="s">
        <v>39</v>
      </c>
      <c r="F1498">
        <v>0</v>
      </c>
      <c r="G1498">
        <v>0</v>
      </c>
      <c r="H1498">
        <v>7</v>
      </c>
      <c r="I1498" s="3">
        <v>2162.4</v>
      </c>
      <c r="J1498" s="3">
        <v>2283.42</v>
      </c>
      <c r="L1498">
        <v>3487</v>
      </c>
      <c r="M1498" t="s">
        <v>2732</v>
      </c>
      <c r="N1498" t="s">
        <v>30</v>
      </c>
      <c r="O1498" t="s">
        <v>31</v>
      </c>
      <c r="P1498" t="str">
        <f>"15219"</f>
        <v>15219</v>
      </c>
    </row>
    <row r="1499" spans="1:16" x14ac:dyDescent="0.25">
      <c r="A1499" t="str">
        <f>"1050026K00329    00"</f>
        <v>1050026K00329    00</v>
      </c>
      <c r="B1499" t="s">
        <v>3564</v>
      </c>
      <c r="C1499" t="s">
        <v>3565</v>
      </c>
      <c r="D1499" t="s">
        <v>20</v>
      </c>
      <c r="E1499" t="s">
        <v>39</v>
      </c>
      <c r="F1499">
        <v>0</v>
      </c>
      <c r="G1499">
        <v>0</v>
      </c>
      <c r="H1499">
        <v>2</v>
      </c>
      <c r="I1499" s="3">
        <v>418.05</v>
      </c>
      <c r="J1499" s="3">
        <v>0</v>
      </c>
      <c r="K1499" t="s">
        <v>3566</v>
      </c>
      <c r="L1499">
        <v>18</v>
      </c>
      <c r="M1499" t="s">
        <v>3567</v>
      </c>
      <c r="N1499" t="s">
        <v>3568</v>
      </c>
      <c r="O1499" t="s">
        <v>200</v>
      </c>
      <c r="P1499" t="str">
        <f>"11030"</f>
        <v>11030</v>
      </c>
    </row>
    <row r="1500" spans="1:16" x14ac:dyDescent="0.25">
      <c r="A1500" t="str">
        <f>"1050026K00330    00"</f>
        <v>1050026K00330    00</v>
      </c>
      <c r="B1500" t="s">
        <v>3564</v>
      </c>
      <c r="C1500" t="s">
        <v>3565</v>
      </c>
      <c r="D1500" t="s">
        <v>20</v>
      </c>
      <c r="E1500" t="s">
        <v>39</v>
      </c>
      <c r="F1500">
        <v>0</v>
      </c>
      <c r="G1500">
        <v>0</v>
      </c>
      <c r="H1500">
        <v>2</v>
      </c>
      <c r="I1500" s="3">
        <v>418.05</v>
      </c>
      <c r="J1500" s="3">
        <v>0</v>
      </c>
      <c r="K1500" t="s">
        <v>3566</v>
      </c>
      <c r="L1500">
        <v>18</v>
      </c>
      <c r="M1500" t="s">
        <v>3569</v>
      </c>
      <c r="N1500" t="s">
        <v>3568</v>
      </c>
      <c r="O1500" t="s">
        <v>200</v>
      </c>
      <c r="P1500" t="str">
        <f>"11030"</f>
        <v>11030</v>
      </c>
    </row>
    <row r="1501" spans="1:16" x14ac:dyDescent="0.25">
      <c r="A1501" t="str">
        <f>"1050026K00335    00"</f>
        <v>1050026K00335    00</v>
      </c>
      <c r="B1501" t="s">
        <v>3570</v>
      </c>
      <c r="C1501" t="s">
        <v>3571</v>
      </c>
      <c r="D1501" t="s">
        <v>20</v>
      </c>
      <c r="E1501" t="s">
        <v>39</v>
      </c>
      <c r="F1501">
        <v>0</v>
      </c>
      <c r="G1501">
        <v>0</v>
      </c>
      <c r="H1501">
        <v>1</v>
      </c>
      <c r="I1501" s="3">
        <v>394.22</v>
      </c>
      <c r="J1501" s="3">
        <v>0</v>
      </c>
      <c r="K1501" t="s">
        <v>3572</v>
      </c>
      <c r="L1501">
        <v>3449</v>
      </c>
      <c r="M1501" t="s">
        <v>2732</v>
      </c>
      <c r="N1501" t="s">
        <v>30</v>
      </c>
      <c r="O1501" t="s">
        <v>31</v>
      </c>
      <c r="P1501" t="str">
        <f>"15219"</f>
        <v>15219</v>
      </c>
    </row>
    <row r="1502" spans="1:16" x14ac:dyDescent="0.25">
      <c r="A1502" t="str">
        <f>"1050026K00339    00"</f>
        <v>1050026K00339    00</v>
      </c>
      <c r="B1502" t="s">
        <v>3573</v>
      </c>
      <c r="C1502" t="s">
        <v>3565</v>
      </c>
      <c r="D1502" t="s">
        <v>20</v>
      </c>
      <c r="E1502" t="s">
        <v>39</v>
      </c>
      <c r="F1502">
        <v>0</v>
      </c>
      <c r="G1502">
        <v>0</v>
      </c>
      <c r="H1502">
        <v>2</v>
      </c>
      <c r="I1502" s="3">
        <v>34.32</v>
      </c>
      <c r="J1502" s="3">
        <v>0</v>
      </c>
      <c r="L1502">
        <v>548</v>
      </c>
      <c r="M1502" t="s">
        <v>3574</v>
      </c>
      <c r="N1502" t="s">
        <v>30</v>
      </c>
      <c r="O1502" t="s">
        <v>31</v>
      </c>
      <c r="P1502" t="str">
        <f>"15213"</f>
        <v>15213</v>
      </c>
    </row>
    <row r="1503" spans="1:16" x14ac:dyDescent="0.25">
      <c r="A1503" t="str">
        <f>"1050026L00010    00"</f>
        <v>1050026L00010    00</v>
      </c>
      <c r="B1503" t="s">
        <v>3575</v>
      </c>
      <c r="C1503" t="s">
        <v>3576</v>
      </c>
      <c r="D1503" t="s">
        <v>20</v>
      </c>
      <c r="E1503" t="s">
        <v>290</v>
      </c>
      <c r="F1503">
        <v>0</v>
      </c>
      <c r="G1503">
        <v>0</v>
      </c>
      <c r="H1503">
        <v>3</v>
      </c>
      <c r="I1503" s="3">
        <v>7600.32</v>
      </c>
      <c r="J1503" s="3">
        <v>42.02</v>
      </c>
      <c r="L1503">
        <v>518</v>
      </c>
      <c r="M1503" t="s">
        <v>3457</v>
      </c>
      <c r="N1503" t="s">
        <v>30</v>
      </c>
      <c r="O1503" t="s">
        <v>31</v>
      </c>
      <c r="P1503" t="str">
        <f>"15213"</f>
        <v>15213</v>
      </c>
    </row>
    <row r="1504" spans="1:16" x14ac:dyDescent="0.25">
      <c r="A1504" t="str">
        <f>"1050026L00013    00"</f>
        <v>1050026L00013    00</v>
      </c>
      <c r="B1504" t="s">
        <v>3575</v>
      </c>
      <c r="C1504" t="s">
        <v>3577</v>
      </c>
      <c r="D1504" t="s">
        <v>20</v>
      </c>
      <c r="E1504" t="s">
        <v>21</v>
      </c>
      <c r="F1504">
        <v>0</v>
      </c>
      <c r="G1504">
        <v>0</v>
      </c>
      <c r="H1504">
        <v>4</v>
      </c>
      <c r="I1504" s="3">
        <v>11602.76</v>
      </c>
      <c r="J1504" s="3">
        <v>95.65</v>
      </c>
      <c r="L1504">
        <v>518</v>
      </c>
      <c r="M1504" t="s">
        <v>3457</v>
      </c>
      <c r="N1504" t="s">
        <v>30</v>
      </c>
      <c r="O1504" t="s">
        <v>31</v>
      </c>
      <c r="P1504" t="str">
        <f>"15213"</f>
        <v>15213</v>
      </c>
    </row>
    <row r="1505" spans="1:16" x14ac:dyDescent="0.25">
      <c r="A1505" t="str">
        <f>"1050026L00029    00"</f>
        <v>1050026L00029    00</v>
      </c>
      <c r="B1505" t="s">
        <v>3578</v>
      </c>
      <c r="C1505" t="s">
        <v>3579</v>
      </c>
      <c r="D1505" t="s">
        <v>20</v>
      </c>
      <c r="E1505" t="s">
        <v>21</v>
      </c>
      <c r="F1505">
        <v>0</v>
      </c>
      <c r="G1505">
        <v>0</v>
      </c>
      <c r="H1505">
        <v>1</v>
      </c>
      <c r="I1505" s="3">
        <v>312.58999999999997</v>
      </c>
      <c r="J1505" s="3">
        <v>0</v>
      </c>
      <c r="L1505">
        <v>1265</v>
      </c>
      <c r="M1505" t="s">
        <v>3580</v>
      </c>
      <c r="N1505" t="s">
        <v>30</v>
      </c>
      <c r="O1505" t="s">
        <v>31</v>
      </c>
      <c r="P1505" t="str">
        <f>"15232"</f>
        <v>15232</v>
      </c>
    </row>
    <row r="1506" spans="1:16" x14ac:dyDescent="0.25">
      <c r="A1506" t="str">
        <f>"1050026L00037    00"</f>
        <v>1050026L00037    00</v>
      </c>
      <c r="B1506" t="s">
        <v>3575</v>
      </c>
      <c r="C1506" t="s">
        <v>3581</v>
      </c>
      <c r="D1506" t="s">
        <v>20</v>
      </c>
      <c r="E1506" t="s">
        <v>290</v>
      </c>
      <c r="F1506">
        <v>0</v>
      </c>
      <c r="G1506">
        <v>0</v>
      </c>
      <c r="H1506">
        <v>4</v>
      </c>
      <c r="I1506" s="3">
        <v>4194.4399999999996</v>
      </c>
      <c r="J1506" s="3">
        <v>34.58</v>
      </c>
      <c r="L1506">
        <v>518</v>
      </c>
      <c r="M1506" t="s">
        <v>3457</v>
      </c>
      <c r="N1506" t="s">
        <v>30</v>
      </c>
      <c r="O1506" t="s">
        <v>31</v>
      </c>
      <c r="P1506" t="str">
        <f>"15213"</f>
        <v>15213</v>
      </c>
    </row>
    <row r="1507" spans="1:16" x14ac:dyDescent="0.25">
      <c r="A1507" t="str">
        <f>"1050026L00142    00"</f>
        <v>1050026L00142    00</v>
      </c>
      <c r="B1507" t="s">
        <v>3582</v>
      </c>
      <c r="C1507" t="s">
        <v>512</v>
      </c>
      <c r="D1507" t="s">
        <v>20</v>
      </c>
      <c r="E1507" t="s">
        <v>39</v>
      </c>
      <c r="F1507">
        <v>0</v>
      </c>
      <c r="G1507">
        <v>0</v>
      </c>
      <c r="H1507">
        <v>8</v>
      </c>
      <c r="I1507" s="3">
        <v>459.06</v>
      </c>
      <c r="J1507" s="3">
        <v>591.77</v>
      </c>
      <c r="L1507">
        <v>3235</v>
      </c>
      <c r="M1507" t="s">
        <v>3532</v>
      </c>
      <c r="N1507" t="s">
        <v>30</v>
      </c>
      <c r="O1507" t="s">
        <v>31</v>
      </c>
      <c r="P1507" t="str">
        <f>"15219"</f>
        <v>15219</v>
      </c>
    </row>
    <row r="1508" spans="1:16" x14ac:dyDescent="0.25">
      <c r="A1508" t="str">
        <f>"1050026L00148    00"</f>
        <v>1050026L00148    00</v>
      </c>
      <c r="B1508" t="s">
        <v>3583</v>
      </c>
      <c r="C1508" t="s">
        <v>512</v>
      </c>
      <c r="D1508" t="s">
        <v>20</v>
      </c>
      <c r="E1508" t="s">
        <v>39</v>
      </c>
      <c r="F1508">
        <v>0</v>
      </c>
      <c r="G1508">
        <v>0</v>
      </c>
      <c r="H1508">
        <v>2</v>
      </c>
      <c r="I1508" s="3">
        <v>76.239999999999995</v>
      </c>
      <c r="J1508" s="3">
        <v>0</v>
      </c>
      <c r="K1508" t="s">
        <v>3584</v>
      </c>
      <c r="L1508">
        <v>440</v>
      </c>
      <c r="M1508" t="s">
        <v>3585</v>
      </c>
      <c r="N1508" t="s">
        <v>295</v>
      </c>
      <c r="O1508" t="s">
        <v>31</v>
      </c>
      <c r="P1508" t="str">
        <f>"15146"</f>
        <v>15146</v>
      </c>
    </row>
    <row r="1509" spans="1:16" x14ac:dyDescent="0.25">
      <c r="A1509" t="str">
        <f>"1050026L00160    00"</f>
        <v>1050026L00160    00</v>
      </c>
      <c r="B1509" t="s">
        <v>3586</v>
      </c>
      <c r="C1509" t="s">
        <v>3587</v>
      </c>
      <c r="E1509" t="s">
        <v>39</v>
      </c>
      <c r="F1509">
        <v>0</v>
      </c>
      <c r="G1509">
        <v>0</v>
      </c>
      <c r="H1509">
        <v>1</v>
      </c>
      <c r="I1509" s="3">
        <v>476.5</v>
      </c>
      <c r="J1509" s="3">
        <v>0</v>
      </c>
      <c r="L1509">
        <v>5014</v>
      </c>
      <c r="M1509" t="s">
        <v>3588</v>
      </c>
      <c r="N1509" t="s">
        <v>30</v>
      </c>
      <c r="O1509" t="s">
        <v>31</v>
      </c>
      <c r="P1509" t="str">
        <f>"15201"</f>
        <v>15201</v>
      </c>
    </row>
    <row r="1510" spans="1:16" x14ac:dyDescent="0.25">
      <c r="A1510" t="str">
        <f>"1050026L00196    00"</f>
        <v>1050026L00196    00</v>
      </c>
      <c r="B1510" t="s">
        <v>3589</v>
      </c>
      <c r="C1510" t="s">
        <v>3590</v>
      </c>
      <c r="D1510" t="s">
        <v>20</v>
      </c>
      <c r="E1510" t="s">
        <v>39</v>
      </c>
      <c r="F1510">
        <v>0</v>
      </c>
      <c r="G1510">
        <v>0</v>
      </c>
      <c r="H1510">
        <v>2</v>
      </c>
      <c r="I1510" s="3">
        <v>2616.04</v>
      </c>
      <c r="J1510" s="3">
        <v>0</v>
      </c>
      <c r="L1510">
        <v>803</v>
      </c>
      <c r="M1510" t="s">
        <v>3559</v>
      </c>
      <c r="N1510" t="s">
        <v>30</v>
      </c>
      <c r="O1510" t="s">
        <v>31</v>
      </c>
      <c r="P1510" t="str">
        <f>"15219"</f>
        <v>15219</v>
      </c>
    </row>
    <row r="1511" spans="1:16" x14ac:dyDescent="0.25">
      <c r="A1511" t="str">
        <f>"1050026L00207    00"</f>
        <v>1050026L00207    00</v>
      </c>
      <c r="B1511" t="s">
        <v>3591</v>
      </c>
      <c r="C1511" t="s">
        <v>3592</v>
      </c>
      <c r="D1511" t="s">
        <v>20</v>
      </c>
      <c r="E1511" t="s">
        <v>39</v>
      </c>
      <c r="F1511">
        <v>0</v>
      </c>
      <c r="G1511">
        <v>0</v>
      </c>
      <c r="H1511">
        <v>4</v>
      </c>
      <c r="I1511" s="3">
        <v>2626.09</v>
      </c>
      <c r="J1511" s="3">
        <v>373.77</v>
      </c>
      <c r="L1511">
        <v>2012</v>
      </c>
      <c r="M1511" t="s">
        <v>3593</v>
      </c>
      <c r="N1511" t="s">
        <v>3594</v>
      </c>
      <c r="O1511" t="s">
        <v>31</v>
      </c>
      <c r="P1511" t="str">
        <f>"18411"</f>
        <v>18411</v>
      </c>
    </row>
    <row r="1512" spans="1:16" x14ac:dyDescent="0.25">
      <c r="A1512" t="str">
        <f>"1050026L00261    00"</f>
        <v>1050026L00261    00</v>
      </c>
      <c r="B1512" t="s">
        <v>3595</v>
      </c>
      <c r="C1512" t="s">
        <v>3596</v>
      </c>
      <c r="D1512" t="s">
        <v>20</v>
      </c>
      <c r="E1512" t="s">
        <v>39</v>
      </c>
      <c r="F1512">
        <v>0</v>
      </c>
      <c r="G1512">
        <v>0</v>
      </c>
      <c r="H1512">
        <v>19</v>
      </c>
      <c r="I1512" s="3">
        <v>1174.1099999999999</v>
      </c>
      <c r="J1512" s="3">
        <v>890.58</v>
      </c>
      <c r="M1512" t="s">
        <v>3597</v>
      </c>
      <c r="N1512" t="s">
        <v>3598</v>
      </c>
      <c r="O1512" t="s">
        <v>200</v>
      </c>
      <c r="P1512" t="str">
        <f>"14806"</f>
        <v>14806</v>
      </c>
    </row>
    <row r="1513" spans="1:16" x14ac:dyDescent="0.25">
      <c r="A1513" t="str">
        <f>"1050026L00262    00"</f>
        <v>1050026L00262    00</v>
      </c>
      <c r="B1513" t="s">
        <v>3599</v>
      </c>
      <c r="C1513" t="s">
        <v>3596</v>
      </c>
      <c r="D1513" t="s">
        <v>20</v>
      </c>
      <c r="E1513" t="s">
        <v>39</v>
      </c>
      <c r="F1513">
        <v>0</v>
      </c>
      <c r="G1513">
        <v>0</v>
      </c>
      <c r="H1513">
        <v>19</v>
      </c>
      <c r="I1513" s="3">
        <v>1174.1099999999999</v>
      </c>
      <c r="J1513" s="3">
        <v>890.58</v>
      </c>
      <c r="L1513">
        <v>1200</v>
      </c>
      <c r="M1513" t="s">
        <v>3600</v>
      </c>
      <c r="N1513" t="s">
        <v>30</v>
      </c>
      <c r="O1513" t="s">
        <v>31</v>
      </c>
      <c r="P1513" t="str">
        <f>"15221"</f>
        <v>15221</v>
      </c>
    </row>
    <row r="1514" spans="1:16" x14ac:dyDescent="0.25">
      <c r="A1514" t="str">
        <f>"1050026L00263    00"</f>
        <v>1050026L00263    00</v>
      </c>
      <c r="B1514" t="s">
        <v>3601</v>
      </c>
      <c r="C1514" t="s">
        <v>3602</v>
      </c>
      <c r="D1514" t="s">
        <v>20</v>
      </c>
      <c r="E1514" t="s">
        <v>39</v>
      </c>
      <c r="F1514">
        <v>0</v>
      </c>
      <c r="G1514">
        <v>0</v>
      </c>
      <c r="H1514">
        <v>4</v>
      </c>
      <c r="I1514" s="3">
        <v>967.53</v>
      </c>
      <c r="J1514" s="3">
        <v>79.569999999999993</v>
      </c>
      <c r="L1514">
        <v>518</v>
      </c>
      <c r="M1514" t="s">
        <v>3603</v>
      </c>
      <c r="N1514" t="s">
        <v>30</v>
      </c>
      <c r="O1514" t="s">
        <v>31</v>
      </c>
      <c r="P1514" t="str">
        <f>"15213"</f>
        <v>15213</v>
      </c>
    </row>
    <row r="1515" spans="1:16" x14ac:dyDescent="0.25">
      <c r="A1515" t="str">
        <f>"1050026L00266    00"</f>
        <v>1050026L00266    00</v>
      </c>
      <c r="B1515" t="s">
        <v>3604</v>
      </c>
      <c r="C1515" t="s">
        <v>3596</v>
      </c>
      <c r="D1515" t="s">
        <v>20</v>
      </c>
      <c r="E1515" t="s">
        <v>39</v>
      </c>
      <c r="F1515">
        <v>0</v>
      </c>
      <c r="G1515">
        <v>0</v>
      </c>
      <c r="H1515">
        <v>19</v>
      </c>
      <c r="I1515" s="3">
        <v>449.64</v>
      </c>
      <c r="J1515" s="3">
        <v>507.57</v>
      </c>
      <c r="K1515" t="s">
        <v>1008</v>
      </c>
      <c r="P1515" t="str">
        <f>""</f>
        <v/>
      </c>
    </row>
    <row r="1516" spans="1:16" x14ac:dyDescent="0.25">
      <c r="A1516" t="str">
        <f>"1050026L00273    00"</f>
        <v>1050026L00273    00</v>
      </c>
      <c r="B1516" t="s">
        <v>3605</v>
      </c>
      <c r="C1516" t="s">
        <v>3606</v>
      </c>
      <c r="E1516" t="s">
        <v>39</v>
      </c>
      <c r="F1516">
        <v>0</v>
      </c>
      <c r="G1516">
        <v>0</v>
      </c>
      <c r="H1516">
        <v>1</v>
      </c>
      <c r="I1516" s="3">
        <v>140.96</v>
      </c>
      <c r="J1516" s="3">
        <v>0</v>
      </c>
      <c r="L1516">
        <v>589</v>
      </c>
      <c r="M1516" t="s">
        <v>3603</v>
      </c>
      <c r="N1516" t="s">
        <v>30</v>
      </c>
      <c r="O1516" t="s">
        <v>31</v>
      </c>
      <c r="P1516" t="str">
        <f>"15213"</f>
        <v>15213</v>
      </c>
    </row>
    <row r="1517" spans="1:16" x14ac:dyDescent="0.25">
      <c r="A1517" t="str">
        <f>"1050026L00279    00"</f>
        <v>1050026L00279    00</v>
      </c>
      <c r="B1517" t="s">
        <v>3607</v>
      </c>
      <c r="C1517" t="s">
        <v>3608</v>
      </c>
      <c r="E1517" t="s">
        <v>39</v>
      </c>
      <c r="F1517">
        <v>0</v>
      </c>
      <c r="G1517">
        <v>0</v>
      </c>
      <c r="H1517">
        <v>2</v>
      </c>
      <c r="I1517" s="3">
        <v>56.49</v>
      </c>
      <c r="J1517" s="3">
        <v>91.46</v>
      </c>
      <c r="K1517" t="s">
        <v>3609</v>
      </c>
      <c r="L1517">
        <v>50</v>
      </c>
      <c r="M1517" t="s">
        <v>3610</v>
      </c>
      <c r="N1517" t="s">
        <v>3611</v>
      </c>
      <c r="O1517" t="s">
        <v>370</v>
      </c>
      <c r="P1517" t="str">
        <f>"32459"</f>
        <v>32459</v>
      </c>
    </row>
    <row r="1518" spans="1:16" x14ac:dyDescent="0.25">
      <c r="A1518" t="str">
        <f>"1050026L00280    00"</f>
        <v>1050026L00280    00</v>
      </c>
      <c r="B1518" t="s">
        <v>3612</v>
      </c>
      <c r="C1518" t="s">
        <v>3448</v>
      </c>
      <c r="D1518" t="s">
        <v>20</v>
      </c>
      <c r="E1518" t="s">
        <v>39</v>
      </c>
      <c r="F1518">
        <v>0</v>
      </c>
      <c r="G1518">
        <v>0</v>
      </c>
      <c r="H1518">
        <v>18</v>
      </c>
      <c r="I1518" s="3">
        <v>1626</v>
      </c>
      <c r="J1518" s="3">
        <v>1375.36</v>
      </c>
      <c r="L1518">
        <v>3620</v>
      </c>
      <c r="M1518" t="s">
        <v>3613</v>
      </c>
      <c r="N1518" t="s">
        <v>30</v>
      </c>
      <c r="O1518" t="s">
        <v>31</v>
      </c>
      <c r="P1518" t="str">
        <f>"15213"</f>
        <v>15213</v>
      </c>
    </row>
    <row r="1519" spans="1:16" x14ac:dyDescent="0.25">
      <c r="A1519" t="str">
        <f>"1050026L00285    00"</f>
        <v>1050026L00285    00</v>
      </c>
      <c r="B1519" t="s">
        <v>3614</v>
      </c>
      <c r="C1519" t="s">
        <v>3615</v>
      </c>
      <c r="D1519" t="s">
        <v>20</v>
      </c>
      <c r="E1519" t="s">
        <v>39</v>
      </c>
      <c r="F1519">
        <v>0</v>
      </c>
      <c r="G1519">
        <v>0</v>
      </c>
      <c r="H1519">
        <v>7</v>
      </c>
      <c r="I1519" s="3">
        <v>1072.6300000000001</v>
      </c>
      <c r="J1519" s="3">
        <v>287.64999999999998</v>
      </c>
      <c r="L1519">
        <v>3925</v>
      </c>
      <c r="M1519" t="s">
        <v>3616</v>
      </c>
      <c r="N1519" t="s">
        <v>30</v>
      </c>
      <c r="O1519" t="s">
        <v>31</v>
      </c>
      <c r="P1519" t="str">
        <f>"15213"</f>
        <v>15213</v>
      </c>
    </row>
    <row r="1520" spans="1:16" x14ac:dyDescent="0.25">
      <c r="A1520" t="str">
        <f>"1050026L00286    00"</f>
        <v>1050026L00286    00</v>
      </c>
      <c r="B1520" t="s">
        <v>3617</v>
      </c>
      <c r="C1520" t="s">
        <v>3618</v>
      </c>
      <c r="D1520" t="s">
        <v>20</v>
      </c>
      <c r="E1520" t="s">
        <v>39</v>
      </c>
      <c r="F1520">
        <v>0</v>
      </c>
      <c r="G1520">
        <v>0</v>
      </c>
      <c r="H1520">
        <v>2</v>
      </c>
      <c r="I1520" s="3">
        <v>285.89</v>
      </c>
      <c r="J1520" s="3">
        <v>38.909999999999997</v>
      </c>
      <c r="L1520">
        <v>3926</v>
      </c>
      <c r="M1520" t="s">
        <v>3616</v>
      </c>
      <c r="N1520" t="s">
        <v>30</v>
      </c>
      <c r="O1520" t="s">
        <v>31</v>
      </c>
      <c r="P1520" t="str">
        <f>"15213"</f>
        <v>15213</v>
      </c>
    </row>
    <row r="1521" spans="1:16" x14ac:dyDescent="0.25">
      <c r="A1521" t="str">
        <f>"1050026L00287    00"</f>
        <v>1050026L00287    00</v>
      </c>
      <c r="B1521" t="s">
        <v>3619</v>
      </c>
      <c r="C1521" t="s">
        <v>3620</v>
      </c>
      <c r="E1521" t="s">
        <v>39</v>
      </c>
      <c r="F1521">
        <v>0</v>
      </c>
      <c r="G1521">
        <v>0</v>
      </c>
      <c r="H1521">
        <v>1</v>
      </c>
      <c r="I1521" s="3">
        <v>690.23</v>
      </c>
      <c r="J1521" s="3">
        <v>207.06</v>
      </c>
      <c r="K1521" t="s">
        <v>3621</v>
      </c>
      <c r="L1521">
        <v>211</v>
      </c>
      <c r="M1521" t="s">
        <v>3622</v>
      </c>
      <c r="N1521" t="s">
        <v>3623</v>
      </c>
      <c r="O1521" t="s">
        <v>31</v>
      </c>
      <c r="P1521" t="str">
        <f>"17101"</f>
        <v>17101</v>
      </c>
    </row>
    <row r="1522" spans="1:16" x14ac:dyDescent="0.25">
      <c r="A1522" t="str">
        <f>"1050026L00296    00"</f>
        <v>1050026L00296    00</v>
      </c>
      <c r="B1522" t="s">
        <v>3614</v>
      </c>
      <c r="C1522" t="s">
        <v>3624</v>
      </c>
      <c r="D1522" t="s">
        <v>20</v>
      </c>
      <c r="E1522" t="s">
        <v>39</v>
      </c>
      <c r="F1522">
        <v>0</v>
      </c>
      <c r="G1522">
        <v>0</v>
      </c>
      <c r="H1522">
        <v>8</v>
      </c>
      <c r="I1522" s="3">
        <v>1039.71</v>
      </c>
      <c r="J1522" s="3">
        <v>319.81</v>
      </c>
      <c r="L1522">
        <v>3925</v>
      </c>
      <c r="M1522" t="s">
        <v>3616</v>
      </c>
      <c r="N1522" t="s">
        <v>30</v>
      </c>
      <c r="O1522" t="s">
        <v>31</v>
      </c>
      <c r="P1522" t="str">
        <f t="shared" ref="P1522:P1527" si="22">"15213"</f>
        <v>15213</v>
      </c>
    </row>
    <row r="1523" spans="1:16" x14ac:dyDescent="0.25">
      <c r="A1523" t="str">
        <f>"1050026L00298    00"</f>
        <v>1050026L00298    00</v>
      </c>
      <c r="B1523" t="s">
        <v>3614</v>
      </c>
      <c r="C1523" t="s">
        <v>3624</v>
      </c>
      <c r="D1523" t="s">
        <v>20</v>
      </c>
      <c r="E1523" t="s">
        <v>39</v>
      </c>
      <c r="F1523">
        <v>0</v>
      </c>
      <c r="G1523">
        <v>0</v>
      </c>
      <c r="H1523">
        <v>8</v>
      </c>
      <c r="I1523" s="3">
        <v>3028.77</v>
      </c>
      <c r="J1523" s="3">
        <v>986.66</v>
      </c>
      <c r="L1523">
        <v>3925</v>
      </c>
      <c r="M1523" t="s">
        <v>3616</v>
      </c>
      <c r="N1523" t="s">
        <v>30</v>
      </c>
      <c r="O1523" t="s">
        <v>31</v>
      </c>
      <c r="P1523" t="str">
        <f t="shared" si="22"/>
        <v>15213</v>
      </c>
    </row>
    <row r="1524" spans="1:16" x14ac:dyDescent="0.25">
      <c r="A1524" t="str">
        <f>"1050026L00299    00"</f>
        <v>1050026L00299    00</v>
      </c>
      <c r="B1524" t="s">
        <v>3614</v>
      </c>
      <c r="C1524" t="s">
        <v>3615</v>
      </c>
      <c r="D1524" t="s">
        <v>20</v>
      </c>
      <c r="E1524" t="s">
        <v>39</v>
      </c>
      <c r="F1524">
        <v>0</v>
      </c>
      <c r="G1524">
        <v>0</v>
      </c>
      <c r="H1524">
        <v>12</v>
      </c>
      <c r="I1524" s="3">
        <v>2069.35</v>
      </c>
      <c r="J1524" s="3">
        <v>2510.98</v>
      </c>
      <c r="L1524">
        <v>3925</v>
      </c>
      <c r="M1524" t="s">
        <v>3616</v>
      </c>
      <c r="N1524" t="s">
        <v>30</v>
      </c>
      <c r="O1524" t="s">
        <v>31</v>
      </c>
      <c r="P1524" t="str">
        <f t="shared" si="22"/>
        <v>15213</v>
      </c>
    </row>
    <row r="1525" spans="1:16" x14ac:dyDescent="0.25">
      <c r="A1525" t="str">
        <f>"1050026L00311    00"</f>
        <v>1050026L00311    00</v>
      </c>
      <c r="B1525" t="s">
        <v>3625</v>
      </c>
      <c r="C1525" t="s">
        <v>3626</v>
      </c>
      <c r="E1525" t="s">
        <v>39</v>
      </c>
      <c r="F1525">
        <v>0</v>
      </c>
      <c r="G1525">
        <v>0</v>
      </c>
      <c r="H1525">
        <v>1</v>
      </c>
      <c r="I1525" s="3">
        <v>70.790000000000006</v>
      </c>
      <c r="J1525" s="3">
        <v>34.799999999999997</v>
      </c>
      <c r="K1525" t="s">
        <v>3627</v>
      </c>
      <c r="L1525">
        <v>632</v>
      </c>
      <c r="M1525" t="s">
        <v>3628</v>
      </c>
      <c r="N1525" t="s">
        <v>30</v>
      </c>
      <c r="O1525" t="s">
        <v>31</v>
      </c>
      <c r="P1525" t="str">
        <f t="shared" si="22"/>
        <v>15213</v>
      </c>
    </row>
    <row r="1526" spans="1:16" x14ac:dyDescent="0.25">
      <c r="A1526" t="str">
        <f>"1050026L00313    00"</f>
        <v>1050026L00313    00</v>
      </c>
      <c r="B1526" t="s">
        <v>3625</v>
      </c>
      <c r="C1526" t="s">
        <v>3629</v>
      </c>
      <c r="E1526" t="s">
        <v>39</v>
      </c>
      <c r="F1526">
        <v>0</v>
      </c>
      <c r="G1526">
        <v>0</v>
      </c>
      <c r="H1526">
        <v>1</v>
      </c>
      <c r="I1526" s="3">
        <v>58.08</v>
      </c>
      <c r="J1526" s="3">
        <v>28.55</v>
      </c>
      <c r="K1526" t="s">
        <v>3627</v>
      </c>
      <c r="L1526">
        <v>632</v>
      </c>
      <c r="M1526" t="s">
        <v>3628</v>
      </c>
      <c r="N1526" t="s">
        <v>30</v>
      </c>
      <c r="O1526" t="s">
        <v>31</v>
      </c>
      <c r="P1526" t="str">
        <f t="shared" si="22"/>
        <v>15213</v>
      </c>
    </row>
    <row r="1527" spans="1:16" x14ac:dyDescent="0.25">
      <c r="A1527" t="str">
        <f>"1050026M00056    00"</f>
        <v>1050026M00056    00</v>
      </c>
      <c r="B1527" t="s">
        <v>3630</v>
      </c>
      <c r="C1527" t="s">
        <v>3631</v>
      </c>
      <c r="D1527" t="s">
        <v>20</v>
      </c>
      <c r="E1527" t="s">
        <v>290</v>
      </c>
      <c r="F1527">
        <v>0</v>
      </c>
      <c r="G1527">
        <v>0</v>
      </c>
      <c r="H1527">
        <v>2</v>
      </c>
      <c r="I1527" s="3">
        <v>11724</v>
      </c>
      <c r="J1527" s="3">
        <v>0</v>
      </c>
      <c r="K1527" t="s">
        <v>3632</v>
      </c>
      <c r="L1527">
        <v>461</v>
      </c>
      <c r="M1527" t="s">
        <v>3457</v>
      </c>
      <c r="N1527" t="s">
        <v>30</v>
      </c>
      <c r="O1527" t="s">
        <v>31</v>
      </c>
      <c r="P1527" t="str">
        <f t="shared" si="22"/>
        <v>15213</v>
      </c>
    </row>
    <row r="1528" spans="1:16" x14ac:dyDescent="0.25">
      <c r="A1528" t="str">
        <f>"1050026N00020    00"</f>
        <v>1050026N00020    00</v>
      </c>
      <c r="B1528" t="s">
        <v>3633</v>
      </c>
      <c r="C1528" t="s">
        <v>3565</v>
      </c>
      <c r="D1528" t="s">
        <v>20</v>
      </c>
      <c r="E1528" t="s">
        <v>39</v>
      </c>
      <c r="F1528">
        <v>0</v>
      </c>
      <c r="G1528">
        <v>0</v>
      </c>
      <c r="H1528">
        <v>9</v>
      </c>
      <c r="I1528" s="3">
        <v>149.72</v>
      </c>
      <c r="J1528" s="3">
        <v>57.15</v>
      </c>
      <c r="L1528">
        <v>1381</v>
      </c>
      <c r="M1528" t="s">
        <v>3634</v>
      </c>
      <c r="N1528" t="s">
        <v>30</v>
      </c>
      <c r="O1528" t="s">
        <v>31</v>
      </c>
      <c r="P1528" t="str">
        <f>"15206"</f>
        <v>15206</v>
      </c>
    </row>
    <row r="1529" spans="1:16" x14ac:dyDescent="0.25">
      <c r="A1529" t="str">
        <f>"1050026N00021    00"</f>
        <v>1050026N00021    00</v>
      </c>
      <c r="B1529" t="s">
        <v>3635</v>
      </c>
      <c r="C1529" t="s">
        <v>3636</v>
      </c>
      <c r="E1529" t="s">
        <v>39</v>
      </c>
      <c r="F1529">
        <v>0</v>
      </c>
      <c r="G1529">
        <v>0</v>
      </c>
      <c r="H1529">
        <v>2</v>
      </c>
      <c r="I1529" s="3">
        <v>201.37</v>
      </c>
      <c r="J1529" s="3">
        <v>80.959999999999994</v>
      </c>
      <c r="K1529" t="s">
        <v>3637</v>
      </c>
      <c r="L1529">
        <v>901</v>
      </c>
      <c r="M1529" t="s">
        <v>1503</v>
      </c>
      <c r="N1529" t="s">
        <v>494</v>
      </c>
      <c r="O1529" t="s">
        <v>495</v>
      </c>
      <c r="P1529" t="str">
        <f>"91768"</f>
        <v>91768</v>
      </c>
    </row>
    <row r="1530" spans="1:16" x14ac:dyDescent="0.25">
      <c r="A1530" t="str">
        <f>"1050026N00022    00"</f>
        <v>1050026N00022    00</v>
      </c>
      <c r="B1530" t="s">
        <v>3638</v>
      </c>
      <c r="C1530" t="s">
        <v>3636</v>
      </c>
      <c r="D1530" t="s">
        <v>20</v>
      </c>
      <c r="E1530" t="s">
        <v>39</v>
      </c>
      <c r="F1530">
        <v>0</v>
      </c>
      <c r="G1530">
        <v>0</v>
      </c>
      <c r="H1530">
        <v>18</v>
      </c>
      <c r="I1530" s="3">
        <v>299.14999999999998</v>
      </c>
      <c r="J1530" s="3">
        <v>280.11</v>
      </c>
      <c r="K1530" t="s">
        <v>3639</v>
      </c>
      <c r="L1530">
        <v>2</v>
      </c>
      <c r="M1530" t="s">
        <v>3640</v>
      </c>
      <c r="N1530" t="s">
        <v>30</v>
      </c>
      <c r="O1530" t="s">
        <v>31</v>
      </c>
      <c r="P1530" t="str">
        <f>"15235"</f>
        <v>15235</v>
      </c>
    </row>
    <row r="1531" spans="1:16" x14ac:dyDescent="0.25">
      <c r="A1531" t="str">
        <f>"1050026N00043    00"</f>
        <v>1050026N00043    00</v>
      </c>
      <c r="B1531" t="s">
        <v>3641</v>
      </c>
      <c r="C1531" t="s">
        <v>3565</v>
      </c>
      <c r="D1531" t="s">
        <v>20</v>
      </c>
      <c r="E1531" t="s">
        <v>39</v>
      </c>
      <c r="F1531">
        <v>0</v>
      </c>
      <c r="G1531">
        <v>0</v>
      </c>
      <c r="H1531">
        <v>12</v>
      </c>
      <c r="I1531" s="3">
        <v>5750.2</v>
      </c>
      <c r="J1531" s="3">
        <v>7565.15</v>
      </c>
      <c r="L1531">
        <v>713</v>
      </c>
      <c r="M1531" t="s">
        <v>970</v>
      </c>
      <c r="N1531" t="s">
        <v>30</v>
      </c>
      <c r="O1531" t="s">
        <v>31</v>
      </c>
      <c r="P1531" t="str">
        <f>"15219"</f>
        <v>15219</v>
      </c>
    </row>
    <row r="1532" spans="1:16" x14ac:dyDescent="0.25">
      <c r="A1532" t="str">
        <f>"1050026N00045    00"</f>
        <v>1050026N00045    00</v>
      </c>
      <c r="B1532" t="s">
        <v>3108</v>
      </c>
      <c r="C1532" t="s">
        <v>3642</v>
      </c>
      <c r="D1532" t="s">
        <v>20</v>
      </c>
      <c r="E1532" t="s">
        <v>39</v>
      </c>
      <c r="F1532">
        <v>0</v>
      </c>
      <c r="G1532">
        <v>0</v>
      </c>
      <c r="H1532">
        <v>7</v>
      </c>
      <c r="I1532" s="3">
        <v>5818.69</v>
      </c>
      <c r="J1532" s="3">
        <v>1473.48</v>
      </c>
      <c r="K1532" t="s">
        <v>3137</v>
      </c>
      <c r="L1532">
        <v>522</v>
      </c>
      <c r="M1532" t="s">
        <v>2359</v>
      </c>
      <c r="N1532" t="s">
        <v>30</v>
      </c>
      <c r="O1532" t="s">
        <v>31</v>
      </c>
      <c r="P1532" t="str">
        <f>"15219"</f>
        <v>15219</v>
      </c>
    </row>
    <row r="1533" spans="1:16" x14ac:dyDescent="0.25">
      <c r="A1533" t="str">
        <f>"1050026N00049    00"</f>
        <v>1050026N00049    00</v>
      </c>
      <c r="B1533" t="s">
        <v>3643</v>
      </c>
      <c r="C1533" t="s">
        <v>3644</v>
      </c>
      <c r="D1533" t="s">
        <v>20</v>
      </c>
      <c r="E1533" t="s">
        <v>39</v>
      </c>
      <c r="F1533">
        <v>0</v>
      </c>
      <c r="G1533">
        <v>0</v>
      </c>
      <c r="H1533">
        <v>2</v>
      </c>
      <c r="I1533" s="3">
        <v>475.72</v>
      </c>
      <c r="J1533" s="3">
        <v>0</v>
      </c>
      <c r="L1533">
        <v>3323</v>
      </c>
      <c r="M1533" t="s">
        <v>2732</v>
      </c>
      <c r="N1533" t="s">
        <v>30</v>
      </c>
      <c r="O1533" t="s">
        <v>31</v>
      </c>
      <c r="P1533" t="str">
        <f>"15219"</f>
        <v>15219</v>
      </c>
    </row>
    <row r="1534" spans="1:16" x14ac:dyDescent="0.25">
      <c r="A1534" t="str">
        <f>"1050026N00051    00"</f>
        <v>1050026N00051    00</v>
      </c>
      <c r="B1534" t="s">
        <v>218</v>
      </c>
      <c r="C1534" t="s">
        <v>3565</v>
      </c>
      <c r="D1534" t="s">
        <v>20</v>
      </c>
      <c r="E1534" t="s">
        <v>207</v>
      </c>
      <c r="F1534">
        <v>0</v>
      </c>
      <c r="G1534">
        <v>0</v>
      </c>
      <c r="H1534">
        <v>1</v>
      </c>
      <c r="I1534" s="3">
        <v>373.58</v>
      </c>
      <c r="J1534" s="3">
        <v>0</v>
      </c>
      <c r="K1534" t="s">
        <v>220</v>
      </c>
      <c r="L1534">
        <v>412</v>
      </c>
      <c r="M1534" t="s">
        <v>221</v>
      </c>
      <c r="N1534" t="s">
        <v>30</v>
      </c>
      <c r="O1534" t="s">
        <v>31</v>
      </c>
      <c r="P1534" t="str">
        <f>"15219"</f>
        <v>15219</v>
      </c>
    </row>
    <row r="1535" spans="1:16" x14ac:dyDescent="0.25">
      <c r="A1535" t="str">
        <f>"1050026N00054    00"</f>
        <v>1050026N00054    00</v>
      </c>
      <c r="B1535" t="s">
        <v>218</v>
      </c>
      <c r="C1535" t="s">
        <v>3645</v>
      </c>
      <c r="E1535" t="s">
        <v>39</v>
      </c>
      <c r="F1535">
        <v>0</v>
      </c>
      <c r="G1535">
        <v>0</v>
      </c>
      <c r="H1535">
        <v>1</v>
      </c>
      <c r="I1535" s="3">
        <v>277.64999999999998</v>
      </c>
      <c r="J1535" s="3">
        <v>76.34</v>
      </c>
      <c r="K1535" t="s">
        <v>220</v>
      </c>
      <c r="L1535">
        <v>412</v>
      </c>
      <c r="M1535" t="s">
        <v>221</v>
      </c>
      <c r="N1535" t="s">
        <v>30</v>
      </c>
      <c r="O1535" t="s">
        <v>31</v>
      </c>
      <c r="P1535" t="str">
        <f>"15219"</f>
        <v>15219</v>
      </c>
    </row>
    <row r="1536" spans="1:16" x14ac:dyDescent="0.25">
      <c r="A1536" t="str">
        <f>"1050026N00055    00"</f>
        <v>1050026N00055    00</v>
      </c>
      <c r="B1536" t="s">
        <v>3646</v>
      </c>
      <c r="C1536" t="s">
        <v>3647</v>
      </c>
      <c r="D1536" t="s">
        <v>20</v>
      </c>
      <c r="E1536" t="s">
        <v>39</v>
      </c>
      <c r="F1536">
        <v>0</v>
      </c>
      <c r="G1536">
        <v>0</v>
      </c>
      <c r="H1536">
        <v>4</v>
      </c>
      <c r="I1536" s="3">
        <v>971.93</v>
      </c>
      <c r="J1536" s="3">
        <v>132.56</v>
      </c>
      <c r="K1536" t="s">
        <v>3648</v>
      </c>
      <c r="L1536">
        <v>407</v>
      </c>
      <c r="M1536" t="s">
        <v>3649</v>
      </c>
      <c r="N1536" t="s">
        <v>30</v>
      </c>
      <c r="O1536" t="s">
        <v>31</v>
      </c>
      <c r="P1536" t="str">
        <f>"15218"</f>
        <v>15218</v>
      </c>
    </row>
    <row r="1537" spans="1:16" x14ac:dyDescent="0.25">
      <c r="A1537" t="str">
        <f>"1050026N00064    00"</f>
        <v>1050026N00064    00</v>
      </c>
      <c r="B1537" t="s">
        <v>3650</v>
      </c>
      <c r="C1537" t="s">
        <v>1091</v>
      </c>
      <c r="D1537" t="s">
        <v>20</v>
      </c>
      <c r="E1537" t="s">
        <v>39</v>
      </c>
      <c r="F1537">
        <v>0</v>
      </c>
      <c r="G1537">
        <v>0</v>
      </c>
      <c r="H1537">
        <v>9</v>
      </c>
      <c r="I1537" s="3">
        <v>1781.94</v>
      </c>
      <c r="J1537" s="3">
        <v>1278.18</v>
      </c>
      <c r="L1537">
        <v>3308</v>
      </c>
      <c r="M1537" t="s">
        <v>1090</v>
      </c>
      <c r="N1537" t="s">
        <v>30</v>
      </c>
      <c r="O1537" t="s">
        <v>31</v>
      </c>
      <c r="P1537" t="str">
        <f>"15219"</f>
        <v>15219</v>
      </c>
    </row>
    <row r="1538" spans="1:16" x14ac:dyDescent="0.25">
      <c r="A1538" t="str">
        <f>"1050026N00065    00"</f>
        <v>1050026N00065    00</v>
      </c>
      <c r="B1538" t="s">
        <v>3651</v>
      </c>
      <c r="C1538" t="s">
        <v>1091</v>
      </c>
      <c r="D1538" t="s">
        <v>20</v>
      </c>
      <c r="E1538" t="s">
        <v>39</v>
      </c>
      <c r="F1538">
        <v>0</v>
      </c>
      <c r="G1538">
        <v>0</v>
      </c>
      <c r="H1538">
        <v>6</v>
      </c>
      <c r="I1538" s="3">
        <v>2662.84</v>
      </c>
      <c r="J1538" s="3">
        <v>1490.47</v>
      </c>
      <c r="L1538">
        <v>3363</v>
      </c>
      <c r="M1538" t="s">
        <v>1090</v>
      </c>
      <c r="N1538" t="s">
        <v>30</v>
      </c>
      <c r="O1538" t="s">
        <v>31</v>
      </c>
      <c r="P1538" t="str">
        <f>"15219"</f>
        <v>15219</v>
      </c>
    </row>
    <row r="1539" spans="1:16" x14ac:dyDescent="0.25">
      <c r="A1539" t="str">
        <f>"1050026N00066    00"</f>
        <v>1050026N00066    00</v>
      </c>
      <c r="B1539" t="s">
        <v>2499</v>
      </c>
      <c r="C1539" t="s">
        <v>3652</v>
      </c>
      <c r="D1539" t="s">
        <v>20</v>
      </c>
      <c r="E1539" t="s">
        <v>39</v>
      </c>
      <c r="F1539">
        <v>0</v>
      </c>
      <c r="G1539">
        <v>0</v>
      </c>
      <c r="H1539">
        <v>3</v>
      </c>
      <c r="I1539" s="3">
        <v>409.82</v>
      </c>
      <c r="J1539" s="3">
        <v>85.92</v>
      </c>
      <c r="L1539">
        <v>3310</v>
      </c>
      <c r="M1539" t="s">
        <v>1090</v>
      </c>
      <c r="N1539" t="s">
        <v>30</v>
      </c>
      <c r="O1539" t="s">
        <v>31</v>
      </c>
      <c r="P1539" t="str">
        <f>"15219"</f>
        <v>15219</v>
      </c>
    </row>
    <row r="1540" spans="1:16" x14ac:dyDescent="0.25">
      <c r="A1540" t="str">
        <f>"1050026N00067    00"</f>
        <v>1050026N00067    00</v>
      </c>
      <c r="B1540" t="s">
        <v>3653</v>
      </c>
      <c r="C1540" t="s">
        <v>1091</v>
      </c>
      <c r="D1540" t="s">
        <v>20</v>
      </c>
      <c r="E1540" t="s">
        <v>39</v>
      </c>
      <c r="F1540">
        <v>0</v>
      </c>
      <c r="G1540">
        <v>0</v>
      </c>
      <c r="H1540">
        <v>19</v>
      </c>
      <c r="I1540" s="3">
        <v>6504.17</v>
      </c>
      <c r="J1540" s="3">
        <v>6628.39</v>
      </c>
      <c r="L1540">
        <v>3316</v>
      </c>
      <c r="M1540" t="s">
        <v>1090</v>
      </c>
      <c r="N1540" t="s">
        <v>30</v>
      </c>
      <c r="O1540" t="s">
        <v>31</v>
      </c>
      <c r="P1540" t="str">
        <f>"15219"</f>
        <v>15219</v>
      </c>
    </row>
    <row r="1541" spans="1:16" x14ac:dyDescent="0.25">
      <c r="A1541" t="str">
        <f>"1050026N00068    00"</f>
        <v>1050026N00068    00</v>
      </c>
      <c r="B1541" t="s">
        <v>3654</v>
      </c>
      <c r="C1541" t="s">
        <v>3655</v>
      </c>
      <c r="D1541" t="s">
        <v>20</v>
      </c>
      <c r="E1541" t="s">
        <v>39</v>
      </c>
      <c r="F1541">
        <v>0</v>
      </c>
      <c r="G1541">
        <v>0</v>
      </c>
      <c r="H1541">
        <v>1</v>
      </c>
      <c r="I1541" s="3">
        <v>1299.8900000000001</v>
      </c>
      <c r="J1541" s="3">
        <v>0</v>
      </c>
      <c r="K1541" t="s">
        <v>3656</v>
      </c>
      <c r="L1541">
        <v>14</v>
      </c>
      <c r="M1541" t="s">
        <v>3657</v>
      </c>
      <c r="N1541" t="s">
        <v>30</v>
      </c>
      <c r="O1541" t="s">
        <v>31</v>
      </c>
      <c r="P1541" t="str">
        <f>"15238"</f>
        <v>15238</v>
      </c>
    </row>
    <row r="1542" spans="1:16" x14ac:dyDescent="0.25">
      <c r="A1542" t="str">
        <f>"1050026N00071    00"</f>
        <v>1050026N00071    00</v>
      </c>
      <c r="B1542" t="s">
        <v>3658</v>
      </c>
      <c r="C1542" t="s">
        <v>3659</v>
      </c>
      <c r="D1542" t="s">
        <v>20</v>
      </c>
      <c r="E1542" t="s">
        <v>39</v>
      </c>
      <c r="F1542">
        <v>0</v>
      </c>
      <c r="G1542">
        <v>0</v>
      </c>
      <c r="H1542">
        <v>9</v>
      </c>
      <c r="I1542" s="3">
        <v>4847.8100000000004</v>
      </c>
      <c r="J1542" s="3">
        <v>1904.57</v>
      </c>
      <c r="L1542">
        <v>3324</v>
      </c>
      <c r="M1542" t="s">
        <v>1090</v>
      </c>
      <c r="N1542" t="s">
        <v>30</v>
      </c>
      <c r="O1542" t="s">
        <v>31</v>
      </c>
      <c r="P1542" t="str">
        <f>"15219"</f>
        <v>15219</v>
      </c>
    </row>
    <row r="1543" spans="1:16" x14ac:dyDescent="0.25">
      <c r="A1543" t="str">
        <f>"1050026N00075    00"</f>
        <v>1050026N00075    00</v>
      </c>
      <c r="B1543" t="s">
        <v>3660</v>
      </c>
      <c r="C1543" t="s">
        <v>1091</v>
      </c>
      <c r="D1543" t="s">
        <v>20</v>
      </c>
      <c r="E1543" t="s">
        <v>39</v>
      </c>
      <c r="F1543">
        <v>0</v>
      </c>
      <c r="G1543">
        <v>0</v>
      </c>
      <c r="H1543">
        <v>19</v>
      </c>
      <c r="I1543" s="3">
        <v>320.97000000000003</v>
      </c>
      <c r="J1543" s="3">
        <v>282.08999999999997</v>
      </c>
      <c r="L1543">
        <v>2615</v>
      </c>
      <c r="M1543" t="s">
        <v>3661</v>
      </c>
      <c r="N1543" t="s">
        <v>139</v>
      </c>
      <c r="O1543" t="s">
        <v>31</v>
      </c>
      <c r="P1543" t="str">
        <f>"15090"</f>
        <v>15090</v>
      </c>
    </row>
    <row r="1544" spans="1:16" x14ac:dyDescent="0.25">
      <c r="A1544" t="str">
        <f>"1050026N00076    00"</f>
        <v>1050026N00076    00</v>
      </c>
      <c r="B1544" t="s">
        <v>3662</v>
      </c>
      <c r="C1544" t="s">
        <v>3663</v>
      </c>
      <c r="E1544" t="s">
        <v>39</v>
      </c>
      <c r="F1544">
        <v>0</v>
      </c>
      <c r="G1544">
        <v>0</v>
      </c>
      <c r="H1544">
        <v>16</v>
      </c>
      <c r="I1544" s="3">
        <v>257.13</v>
      </c>
      <c r="J1544" s="3">
        <v>271.31</v>
      </c>
      <c r="L1544">
        <v>3335</v>
      </c>
      <c r="M1544" t="s">
        <v>2894</v>
      </c>
      <c r="N1544" t="s">
        <v>30</v>
      </c>
      <c r="O1544" t="s">
        <v>31</v>
      </c>
      <c r="P1544" t="str">
        <f>"15219"</f>
        <v>15219</v>
      </c>
    </row>
    <row r="1545" spans="1:16" x14ac:dyDescent="0.25">
      <c r="A1545" t="str">
        <f>"1050026N00078    00"</f>
        <v>1050026N00078    00</v>
      </c>
      <c r="B1545" t="s">
        <v>3664</v>
      </c>
      <c r="C1545" t="s">
        <v>3665</v>
      </c>
      <c r="D1545" t="s">
        <v>20</v>
      </c>
      <c r="E1545" t="s">
        <v>39</v>
      </c>
      <c r="F1545">
        <v>0</v>
      </c>
      <c r="G1545">
        <v>0</v>
      </c>
      <c r="H1545">
        <v>1</v>
      </c>
      <c r="I1545" s="3">
        <v>815.77</v>
      </c>
      <c r="J1545" s="3">
        <v>0</v>
      </c>
      <c r="L1545">
        <v>3340</v>
      </c>
      <c r="M1545" t="s">
        <v>1090</v>
      </c>
      <c r="N1545" t="s">
        <v>30</v>
      </c>
      <c r="O1545" t="s">
        <v>31</v>
      </c>
      <c r="P1545" t="str">
        <f>"15219"</f>
        <v>15219</v>
      </c>
    </row>
    <row r="1546" spans="1:16" x14ac:dyDescent="0.25">
      <c r="A1546" t="str">
        <f>"1050026N00079    00"</f>
        <v>1050026N00079    00</v>
      </c>
      <c r="B1546" t="s">
        <v>3664</v>
      </c>
      <c r="C1546" t="s">
        <v>1091</v>
      </c>
      <c r="D1546" t="s">
        <v>20</v>
      </c>
      <c r="E1546" t="s">
        <v>39</v>
      </c>
      <c r="F1546">
        <v>0</v>
      </c>
      <c r="G1546">
        <v>0</v>
      </c>
      <c r="H1546">
        <v>1</v>
      </c>
      <c r="I1546" s="3">
        <v>261.13</v>
      </c>
      <c r="J1546" s="3">
        <v>0</v>
      </c>
      <c r="K1546" t="s">
        <v>3666</v>
      </c>
      <c r="L1546">
        <v>3340</v>
      </c>
      <c r="M1546" t="s">
        <v>1090</v>
      </c>
      <c r="N1546" t="s">
        <v>30</v>
      </c>
      <c r="O1546" t="s">
        <v>31</v>
      </c>
      <c r="P1546" t="str">
        <f>"15219"</f>
        <v>15219</v>
      </c>
    </row>
    <row r="1547" spans="1:16" x14ac:dyDescent="0.25">
      <c r="A1547" t="str">
        <f>"1050026N00082    00"</f>
        <v>1050026N00082    00</v>
      </c>
      <c r="B1547" t="s">
        <v>3667</v>
      </c>
      <c r="C1547" t="s">
        <v>3668</v>
      </c>
      <c r="D1547" t="s">
        <v>20</v>
      </c>
      <c r="E1547" t="s">
        <v>39</v>
      </c>
      <c r="F1547">
        <v>0</v>
      </c>
      <c r="G1547">
        <v>0</v>
      </c>
      <c r="H1547">
        <v>2</v>
      </c>
      <c r="I1547" s="3">
        <v>1135.17</v>
      </c>
      <c r="J1547" s="3">
        <v>0</v>
      </c>
      <c r="L1547">
        <v>3348</v>
      </c>
      <c r="M1547" t="s">
        <v>1090</v>
      </c>
      <c r="N1547" t="s">
        <v>30</v>
      </c>
      <c r="O1547" t="s">
        <v>31</v>
      </c>
      <c r="P1547" t="str">
        <f>"15219"</f>
        <v>15219</v>
      </c>
    </row>
    <row r="1548" spans="1:16" x14ac:dyDescent="0.25">
      <c r="A1548" t="str">
        <f>"1050026N00090    00"</f>
        <v>1050026N00090    00</v>
      </c>
      <c r="B1548" t="s">
        <v>3669</v>
      </c>
      <c r="C1548" t="s">
        <v>3670</v>
      </c>
      <c r="D1548" t="s">
        <v>20</v>
      </c>
      <c r="E1548" t="s">
        <v>39</v>
      </c>
      <c r="F1548">
        <v>0</v>
      </c>
      <c r="G1548">
        <v>0</v>
      </c>
      <c r="H1548">
        <v>1</v>
      </c>
      <c r="I1548" s="3">
        <v>476.5</v>
      </c>
      <c r="J1548" s="3">
        <v>0</v>
      </c>
      <c r="L1548">
        <v>639</v>
      </c>
      <c r="M1548" t="s">
        <v>1315</v>
      </c>
      <c r="N1548" t="s">
        <v>30</v>
      </c>
      <c r="O1548" t="s">
        <v>31</v>
      </c>
      <c r="P1548" t="str">
        <f>"15206"</f>
        <v>15206</v>
      </c>
    </row>
    <row r="1549" spans="1:16" x14ac:dyDescent="0.25">
      <c r="A1549" t="str">
        <f>"1050026N00092    00"</f>
        <v>1050026N00092    00</v>
      </c>
      <c r="B1549" t="s">
        <v>3671</v>
      </c>
      <c r="C1549" t="s">
        <v>3672</v>
      </c>
      <c r="D1549" t="s">
        <v>20</v>
      </c>
      <c r="E1549" t="s">
        <v>39</v>
      </c>
      <c r="F1549">
        <v>0</v>
      </c>
      <c r="G1549">
        <v>0</v>
      </c>
      <c r="H1549">
        <v>12</v>
      </c>
      <c r="I1549" s="3">
        <v>4218.54</v>
      </c>
      <c r="J1549" s="3">
        <v>2174.4299999999998</v>
      </c>
      <c r="L1549">
        <v>3368</v>
      </c>
      <c r="M1549" t="s">
        <v>1090</v>
      </c>
      <c r="N1549" t="s">
        <v>30</v>
      </c>
      <c r="O1549" t="s">
        <v>31</v>
      </c>
      <c r="P1549" t="str">
        <f>"15219"</f>
        <v>15219</v>
      </c>
    </row>
    <row r="1550" spans="1:16" x14ac:dyDescent="0.25">
      <c r="A1550" t="str">
        <f>"1050026N00093    00"</f>
        <v>1050026N00093    00</v>
      </c>
      <c r="B1550" t="s">
        <v>3673</v>
      </c>
      <c r="C1550" t="s">
        <v>3674</v>
      </c>
      <c r="D1550" t="s">
        <v>33</v>
      </c>
      <c r="E1550" t="s">
        <v>39</v>
      </c>
      <c r="F1550">
        <v>0</v>
      </c>
      <c r="G1550">
        <v>0</v>
      </c>
      <c r="H1550">
        <v>1</v>
      </c>
      <c r="I1550" s="3">
        <v>520</v>
      </c>
      <c r="J1550" s="3">
        <v>0</v>
      </c>
      <c r="L1550">
        <v>3370</v>
      </c>
      <c r="M1550" t="s">
        <v>1090</v>
      </c>
      <c r="N1550" t="s">
        <v>30</v>
      </c>
      <c r="O1550" t="s">
        <v>31</v>
      </c>
      <c r="P1550" t="str">
        <f>"15219"</f>
        <v>15219</v>
      </c>
    </row>
    <row r="1551" spans="1:16" x14ac:dyDescent="0.25">
      <c r="A1551" t="str">
        <f>"1050026N00112    00"</f>
        <v>1050026N00112    00</v>
      </c>
      <c r="B1551" t="s">
        <v>3675</v>
      </c>
      <c r="C1551" t="s">
        <v>3676</v>
      </c>
      <c r="E1551" t="s">
        <v>21</v>
      </c>
      <c r="F1551">
        <v>0</v>
      </c>
      <c r="G1551">
        <v>0</v>
      </c>
      <c r="H1551">
        <v>1</v>
      </c>
      <c r="I1551" s="3">
        <v>2502.59</v>
      </c>
      <c r="J1551" s="3">
        <v>0</v>
      </c>
      <c r="L1551">
        <v>3515</v>
      </c>
      <c r="M1551" t="s">
        <v>3515</v>
      </c>
      <c r="N1551" t="s">
        <v>30</v>
      </c>
      <c r="O1551" t="s">
        <v>31</v>
      </c>
      <c r="P1551" t="str">
        <f>"15219"</f>
        <v>15219</v>
      </c>
    </row>
    <row r="1552" spans="1:16" x14ac:dyDescent="0.25">
      <c r="A1552" t="str">
        <f>"1050026N00114    00"</f>
        <v>1050026N00114    00</v>
      </c>
      <c r="B1552" t="s">
        <v>3677</v>
      </c>
      <c r="C1552" t="s">
        <v>3678</v>
      </c>
      <c r="D1552" t="s">
        <v>20</v>
      </c>
      <c r="E1552" t="s">
        <v>39</v>
      </c>
      <c r="F1552">
        <v>0</v>
      </c>
      <c r="G1552">
        <v>0</v>
      </c>
      <c r="H1552">
        <v>2</v>
      </c>
      <c r="I1552" s="3">
        <v>1575.34</v>
      </c>
      <c r="J1552" s="3">
        <v>0</v>
      </c>
      <c r="K1552" t="s">
        <v>3679</v>
      </c>
      <c r="L1552">
        <v>10655</v>
      </c>
      <c r="M1552" t="s">
        <v>3680</v>
      </c>
      <c r="N1552" t="s">
        <v>3681</v>
      </c>
      <c r="O1552" t="s">
        <v>1184</v>
      </c>
      <c r="P1552" t="str">
        <f>"21044"</f>
        <v>21044</v>
      </c>
    </row>
    <row r="1553" spans="1:16" x14ac:dyDescent="0.25">
      <c r="A1553" t="str">
        <f>"1050026N00116    00"</f>
        <v>1050026N00116    00</v>
      </c>
      <c r="B1553" t="s">
        <v>3682</v>
      </c>
      <c r="C1553" t="s">
        <v>3683</v>
      </c>
      <c r="D1553" t="s">
        <v>20</v>
      </c>
      <c r="E1553" t="s">
        <v>39</v>
      </c>
      <c r="F1553">
        <v>0</v>
      </c>
      <c r="G1553">
        <v>0</v>
      </c>
      <c r="H1553">
        <v>7</v>
      </c>
      <c r="I1553" s="3">
        <v>6838.23</v>
      </c>
      <c r="J1553" s="3">
        <v>1890.97</v>
      </c>
      <c r="L1553">
        <v>3373</v>
      </c>
      <c r="M1553" t="s">
        <v>1090</v>
      </c>
      <c r="N1553" t="s">
        <v>30</v>
      </c>
      <c r="O1553" t="s">
        <v>31</v>
      </c>
      <c r="P1553" t="str">
        <f>"15219"</f>
        <v>15219</v>
      </c>
    </row>
    <row r="1554" spans="1:16" x14ac:dyDescent="0.25">
      <c r="A1554" t="str">
        <f>"1050026N00117    00"</f>
        <v>1050026N00117    00</v>
      </c>
      <c r="B1554" t="s">
        <v>1278</v>
      </c>
      <c r="C1554" t="s">
        <v>1091</v>
      </c>
      <c r="D1554" t="s">
        <v>20</v>
      </c>
      <c r="E1554" t="s">
        <v>39</v>
      </c>
      <c r="F1554">
        <v>0</v>
      </c>
      <c r="G1554">
        <v>0</v>
      </c>
      <c r="H1554">
        <v>19</v>
      </c>
      <c r="I1554" s="3">
        <v>5652.75</v>
      </c>
      <c r="J1554" s="3">
        <v>4842.58</v>
      </c>
      <c r="M1554" t="s">
        <v>3684</v>
      </c>
      <c r="N1554" t="s">
        <v>652</v>
      </c>
      <c r="O1554" t="s">
        <v>108</v>
      </c>
      <c r="P1554" t="str">
        <f>"77227"</f>
        <v>77227</v>
      </c>
    </row>
    <row r="1555" spans="1:16" x14ac:dyDescent="0.25">
      <c r="A1555" t="str">
        <f>"1050026N00118A   00"</f>
        <v>1050026N00118A   00</v>
      </c>
      <c r="B1555" t="s">
        <v>3685</v>
      </c>
      <c r="C1555" t="s">
        <v>3686</v>
      </c>
      <c r="D1555" t="s">
        <v>20</v>
      </c>
      <c r="E1555" t="s">
        <v>39</v>
      </c>
      <c r="F1555">
        <v>0</v>
      </c>
      <c r="G1555">
        <v>0</v>
      </c>
      <c r="H1555">
        <v>11</v>
      </c>
      <c r="I1555" s="3">
        <v>8140.94</v>
      </c>
      <c r="J1555" s="3">
        <v>3662.45</v>
      </c>
      <c r="L1555">
        <v>3369</v>
      </c>
      <c r="M1555" t="s">
        <v>1090</v>
      </c>
      <c r="N1555" t="s">
        <v>30</v>
      </c>
      <c r="O1555" t="s">
        <v>31</v>
      </c>
      <c r="P1555" t="str">
        <f>"15219"</f>
        <v>15219</v>
      </c>
    </row>
    <row r="1556" spans="1:16" x14ac:dyDescent="0.25">
      <c r="A1556" t="str">
        <f>"1050026N00120    00"</f>
        <v>1050026N00120    00</v>
      </c>
      <c r="B1556" t="s">
        <v>3687</v>
      </c>
      <c r="C1556" t="s">
        <v>3688</v>
      </c>
      <c r="D1556" t="s">
        <v>20</v>
      </c>
      <c r="E1556" t="s">
        <v>39</v>
      </c>
      <c r="F1556">
        <v>0</v>
      </c>
      <c r="G1556">
        <v>0</v>
      </c>
      <c r="H1556">
        <v>19</v>
      </c>
      <c r="I1556" s="3">
        <v>891.57</v>
      </c>
      <c r="J1556" s="3">
        <v>763.7</v>
      </c>
      <c r="L1556">
        <v>718</v>
      </c>
      <c r="M1556" t="s">
        <v>3689</v>
      </c>
      <c r="N1556" t="s">
        <v>30</v>
      </c>
      <c r="O1556" t="s">
        <v>31</v>
      </c>
      <c r="P1556" t="str">
        <f>"15219"</f>
        <v>15219</v>
      </c>
    </row>
    <row r="1557" spans="1:16" x14ac:dyDescent="0.25">
      <c r="A1557" t="str">
        <f>"1050026N00121    00"</f>
        <v>1050026N00121    00</v>
      </c>
      <c r="B1557" t="s">
        <v>3690</v>
      </c>
      <c r="C1557" t="s">
        <v>3691</v>
      </c>
      <c r="E1557" t="s">
        <v>39</v>
      </c>
      <c r="F1557">
        <v>0</v>
      </c>
      <c r="G1557">
        <v>0</v>
      </c>
      <c r="H1557">
        <v>7</v>
      </c>
      <c r="I1557" s="3">
        <v>4482.18</v>
      </c>
      <c r="J1557" s="3">
        <v>4004.85</v>
      </c>
      <c r="L1557">
        <v>720</v>
      </c>
      <c r="M1557" t="s">
        <v>2894</v>
      </c>
      <c r="N1557" t="s">
        <v>30</v>
      </c>
      <c r="O1557" t="s">
        <v>31</v>
      </c>
      <c r="P1557" t="str">
        <f>"15219"</f>
        <v>15219</v>
      </c>
    </row>
    <row r="1558" spans="1:16" x14ac:dyDescent="0.25">
      <c r="A1558" t="str">
        <f>"1050026N00122    00"</f>
        <v>1050026N00122    00</v>
      </c>
      <c r="B1558" t="s">
        <v>3692</v>
      </c>
      <c r="C1558" t="s">
        <v>3693</v>
      </c>
      <c r="D1558" t="s">
        <v>20</v>
      </c>
      <c r="E1558" t="s">
        <v>39</v>
      </c>
      <c r="F1558">
        <v>0</v>
      </c>
      <c r="G1558">
        <v>0</v>
      </c>
      <c r="H1558">
        <v>19</v>
      </c>
      <c r="I1558" s="3">
        <v>759.81</v>
      </c>
      <c r="J1558" s="3">
        <v>694.07</v>
      </c>
      <c r="K1558" t="s">
        <v>1008</v>
      </c>
      <c r="P1558" t="str">
        <f>""</f>
        <v/>
      </c>
    </row>
    <row r="1559" spans="1:16" x14ac:dyDescent="0.25">
      <c r="A1559" t="str">
        <f>"1050026N00123    00"</f>
        <v>1050026N00123    00</v>
      </c>
      <c r="B1559" t="s">
        <v>3694</v>
      </c>
      <c r="C1559" t="s">
        <v>3695</v>
      </c>
      <c r="E1559" t="s">
        <v>39</v>
      </c>
      <c r="F1559">
        <v>0</v>
      </c>
      <c r="G1559">
        <v>0</v>
      </c>
      <c r="H1559">
        <v>3</v>
      </c>
      <c r="I1559" s="3">
        <v>38.97</v>
      </c>
      <c r="J1559" s="3">
        <v>32.82</v>
      </c>
      <c r="L1559">
        <v>3346</v>
      </c>
      <c r="M1559" t="s">
        <v>2894</v>
      </c>
      <c r="N1559" t="s">
        <v>30</v>
      </c>
      <c r="O1559" t="s">
        <v>31</v>
      </c>
      <c r="P1559" t="str">
        <f>"15219"</f>
        <v>15219</v>
      </c>
    </row>
    <row r="1560" spans="1:16" x14ac:dyDescent="0.25">
      <c r="A1560" t="str">
        <f>"1050026N00124    00"</f>
        <v>1050026N00124    00</v>
      </c>
      <c r="B1560" t="s">
        <v>3696</v>
      </c>
      <c r="C1560" t="s">
        <v>3697</v>
      </c>
      <c r="D1560" t="s">
        <v>20</v>
      </c>
      <c r="E1560" t="s">
        <v>39</v>
      </c>
      <c r="F1560">
        <v>0</v>
      </c>
      <c r="G1560">
        <v>0</v>
      </c>
      <c r="H1560">
        <v>12</v>
      </c>
      <c r="I1560" s="3">
        <v>900.31</v>
      </c>
      <c r="J1560" s="3">
        <v>475.94</v>
      </c>
      <c r="K1560" t="s">
        <v>3698</v>
      </c>
      <c r="L1560">
        <v>730</v>
      </c>
      <c r="M1560" t="s">
        <v>2894</v>
      </c>
      <c r="N1560" t="s">
        <v>30</v>
      </c>
      <c r="O1560" t="s">
        <v>31</v>
      </c>
      <c r="P1560" t="str">
        <f>"15219"</f>
        <v>15219</v>
      </c>
    </row>
    <row r="1561" spans="1:16" x14ac:dyDescent="0.25">
      <c r="A1561" t="str">
        <f>"1050026N00149    00"</f>
        <v>1050026N00149    00</v>
      </c>
      <c r="B1561" t="s">
        <v>3699</v>
      </c>
      <c r="C1561" t="s">
        <v>3700</v>
      </c>
      <c r="D1561" t="s">
        <v>20</v>
      </c>
      <c r="E1561" t="s">
        <v>39</v>
      </c>
      <c r="F1561">
        <v>0</v>
      </c>
      <c r="G1561">
        <v>0</v>
      </c>
      <c r="H1561">
        <v>3</v>
      </c>
      <c r="I1561" s="3">
        <v>1047.18</v>
      </c>
      <c r="J1561" s="3">
        <v>17.8</v>
      </c>
      <c r="K1561" t="s">
        <v>3701</v>
      </c>
      <c r="L1561">
        <v>7196</v>
      </c>
      <c r="M1561" t="s">
        <v>3702</v>
      </c>
      <c r="N1561" t="s">
        <v>30</v>
      </c>
      <c r="O1561" t="s">
        <v>31</v>
      </c>
      <c r="P1561" t="str">
        <f>"15206"</f>
        <v>15206</v>
      </c>
    </row>
    <row r="1562" spans="1:16" x14ac:dyDescent="0.25">
      <c r="A1562" t="str">
        <f>"1050026N00151    00"</f>
        <v>1050026N00151    00</v>
      </c>
      <c r="B1562" t="s">
        <v>3703</v>
      </c>
      <c r="C1562" t="s">
        <v>3704</v>
      </c>
      <c r="D1562" t="s">
        <v>20</v>
      </c>
      <c r="E1562" t="s">
        <v>39</v>
      </c>
      <c r="F1562">
        <v>0</v>
      </c>
      <c r="G1562">
        <v>0</v>
      </c>
      <c r="H1562">
        <v>5</v>
      </c>
      <c r="I1562" s="3">
        <v>2643.15</v>
      </c>
      <c r="J1562" s="3">
        <v>486.64</v>
      </c>
      <c r="L1562">
        <v>3337</v>
      </c>
      <c r="M1562" t="s">
        <v>1090</v>
      </c>
      <c r="N1562" t="s">
        <v>30</v>
      </c>
      <c r="O1562" t="s">
        <v>31</v>
      </c>
      <c r="P1562" t="str">
        <f>"15219"</f>
        <v>15219</v>
      </c>
    </row>
    <row r="1563" spans="1:16" x14ac:dyDescent="0.25">
      <c r="A1563" t="str">
        <f>"1050026N00152    00"</f>
        <v>1050026N00152    00</v>
      </c>
      <c r="B1563" t="s">
        <v>3705</v>
      </c>
      <c r="C1563" t="s">
        <v>3706</v>
      </c>
      <c r="D1563" t="s">
        <v>57</v>
      </c>
      <c r="E1563" t="s">
        <v>39</v>
      </c>
      <c r="F1563">
        <v>0</v>
      </c>
      <c r="G1563">
        <v>0</v>
      </c>
      <c r="H1563">
        <v>1</v>
      </c>
      <c r="I1563" s="3">
        <v>186.18</v>
      </c>
      <c r="J1563" s="3">
        <v>27.93</v>
      </c>
      <c r="L1563">
        <v>3335</v>
      </c>
      <c r="M1563" t="s">
        <v>1090</v>
      </c>
      <c r="N1563" t="s">
        <v>30</v>
      </c>
      <c r="O1563" t="s">
        <v>31</v>
      </c>
      <c r="P1563" t="str">
        <f>"15219"</f>
        <v>15219</v>
      </c>
    </row>
    <row r="1564" spans="1:16" x14ac:dyDescent="0.25">
      <c r="A1564" t="str">
        <f>"1050026N00162    00"</f>
        <v>1050026N00162    00</v>
      </c>
      <c r="B1564" t="s">
        <v>3707</v>
      </c>
      <c r="C1564" t="s">
        <v>3708</v>
      </c>
      <c r="D1564" t="s">
        <v>20</v>
      </c>
      <c r="E1564" t="s">
        <v>39</v>
      </c>
      <c r="F1564">
        <v>0</v>
      </c>
      <c r="G1564">
        <v>0</v>
      </c>
      <c r="H1564">
        <v>1</v>
      </c>
      <c r="I1564" s="3">
        <v>1065.47</v>
      </c>
      <c r="J1564" s="3">
        <v>0</v>
      </c>
      <c r="K1564" t="s">
        <v>3709</v>
      </c>
      <c r="L1564">
        <v>3328</v>
      </c>
      <c r="M1564" t="s">
        <v>2894</v>
      </c>
      <c r="N1564" t="s">
        <v>30</v>
      </c>
      <c r="O1564" t="s">
        <v>31</v>
      </c>
      <c r="P1564" t="str">
        <f>"15219"</f>
        <v>15219</v>
      </c>
    </row>
    <row r="1565" spans="1:16" x14ac:dyDescent="0.25">
      <c r="A1565" t="str">
        <f>"1050026N00166A   00"</f>
        <v>1050026N00166A   00</v>
      </c>
      <c r="B1565" t="s">
        <v>3710</v>
      </c>
      <c r="C1565" t="s">
        <v>3711</v>
      </c>
      <c r="D1565" t="s">
        <v>20</v>
      </c>
      <c r="E1565" t="s">
        <v>39</v>
      </c>
      <c r="F1565">
        <v>0</v>
      </c>
      <c r="G1565">
        <v>0</v>
      </c>
      <c r="H1565">
        <v>8</v>
      </c>
      <c r="I1565" s="3">
        <v>5947.18</v>
      </c>
      <c r="J1565" s="3">
        <v>3120.35</v>
      </c>
      <c r="L1565">
        <v>3338</v>
      </c>
      <c r="M1565" t="s">
        <v>2894</v>
      </c>
      <c r="N1565" t="s">
        <v>30</v>
      </c>
      <c r="O1565" t="s">
        <v>31</v>
      </c>
      <c r="P1565" t="str">
        <f>"15219"</f>
        <v>15219</v>
      </c>
    </row>
    <row r="1566" spans="1:16" x14ac:dyDescent="0.25">
      <c r="A1566" t="str">
        <f>"1050026N00171    00"</f>
        <v>1050026N00171    00</v>
      </c>
      <c r="B1566" t="s">
        <v>3712</v>
      </c>
      <c r="C1566" t="s">
        <v>3713</v>
      </c>
      <c r="D1566" t="s">
        <v>20</v>
      </c>
      <c r="E1566" t="s">
        <v>39</v>
      </c>
      <c r="F1566">
        <v>0</v>
      </c>
      <c r="G1566">
        <v>0</v>
      </c>
      <c r="H1566">
        <v>19</v>
      </c>
      <c r="I1566" s="3">
        <v>1548.95</v>
      </c>
      <c r="J1566" s="3">
        <v>1830.99</v>
      </c>
      <c r="L1566">
        <v>3349</v>
      </c>
      <c r="M1566" t="s">
        <v>1090</v>
      </c>
      <c r="N1566" t="s">
        <v>30</v>
      </c>
      <c r="O1566" t="s">
        <v>31</v>
      </c>
      <c r="P1566" t="str">
        <f>"15219"</f>
        <v>15219</v>
      </c>
    </row>
    <row r="1567" spans="1:16" x14ac:dyDescent="0.25">
      <c r="A1567" t="str">
        <f>"1050026N00175    00"</f>
        <v>1050026N00175    00</v>
      </c>
      <c r="B1567" t="s">
        <v>3714</v>
      </c>
      <c r="C1567" t="s">
        <v>3715</v>
      </c>
      <c r="E1567" t="s">
        <v>39</v>
      </c>
      <c r="F1567">
        <v>0</v>
      </c>
      <c r="G1567">
        <v>0</v>
      </c>
      <c r="H1567">
        <v>1</v>
      </c>
      <c r="I1567" s="3">
        <v>975.9</v>
      </c>
      <c r="J1567" s="3">
        <v>0</v>
      </c>
      <c r="K1567" t="s">
        <v>3716</v>
      </c>
      <c r="L1567">
        <v>5818</v>
      </c>
      <c r="M1567" t="s">
        <v>3717</v>
      </c>
      <c r="N1567" t="s">
        <v>30</v>
      </c>
      <c r="O1567" t="s">
        <v>31</v>
      </c>
      <c r="P1567" t="str">
        <f>"15217"</f>
        <v>15217</v>
      </c>
    </row>
    <row r="1568" spans="1:16" x14ac:dyDescent="0.25">
      <c r="A1568" t="str">
        <f>"1050026N00175A   00"</f>
        <v>1050026N00175A   00</v>
      </c>
      <c r="B1568" t="s">
        <v>3718</v>
      </c>
      <c r="C1568" t="s">
        <v>3719</v>
      </c>
      <c r="D1568" t="s">
        <v>20</v>
      </c>
      <c r="E1568" t="s">
        <v>39</v>
      </c>
      <c r="F1568">
        <v>0</v>
      </c>
      <c r="G1568">
        <v>0</v>
      </c>
      <c r="H1568">
        <v>2</v>
      </c>
      <c r="I1568" s="3">
        <v>1626.5</v>
      </c>
      <c r="J1568" s="3">
        <v>0</v>
      </c>
      <c r="K1568" t="s">
        <v>3720</v>
      </c>
      <c r="L1568">
        <v>3335</v>
      </c>
      <c r="M1568" t="s">
        <v>2894</v>
      </c>
      <c r="N1568" t="s">
        <v>30</v>
      </c>
      <c r="O1568" t="s">
        <v>31</v>
      </c>
      <c r="P1568" t="str">
        <f>"15219"</f>
        <v>15219</v>
      </c>
    </row>
    <row r="1569" spans="1:16" x14ac:dyDescent="0.25">
      <c r="A1569" t="str">
        <f>"1050026N00176A   00"</f>
        <v>1050026N00176A   00</v>
      </c>
      <c r="B1569" t="s">
        <v>3721</v>
      </c>
      <c r="C1569" t="s">
        <v>3722</v>
      </c>
      <c r="D1569" t="s">
        <v>20</v>
      </c>
      <c r="E1569" t="s">
        <v>39</v>
      </c>
      <c r="F1569">
        <v>0</v>
      </c>
      <c r="G1569">
        <v>0</v>
      </c>
      <c r="H1569">
        <v>1</v>
      </c>
      <c r="I1569" s="3">
        <v>956.81</v>
      </c>
      <c r="J1569" s="3">
        <v>0</v>
      </c>
      <c r="K1569" t="s">
        <v>3723</v>
      </c>
      <c r="L1569">
        <v>6435</v>
      </c>
      <c r="M1569" t="s">
        <v>3724</v>
      </c>
      <c r="N1569" t="s">
        <v>3725</v>
      </c>
      <c r="O1569" t="s">
        <v>606</v>
      </c>
      <c r="P1569" t="str">
        <f>"30005"</f>
        <v>30005</v>
      </c>
    </row>
    <row r="1570" spans="1:16" x14ac:dyDescent="0.25">
      <c r="A1570" t="str">
        <f>"1050026N00180    00"</f>
        <v>1050026N00180    00</v>
      </c>
      <c r="B1570" t="s">
        <v>3726</v>
      </c>
      <c r="C1570" t="s">
        <v>3727</v>
      </c>
      <c r="D1570" t="s">
        <v>20</v>
      </c>
      <c r="E1570" t="s">
        <v>39</v>
      </c>
      <c r="F1570">
        <v>0</v>
      </c>
      <c r="G1570">
        <v>0</v>
      </c>
      <c r="H1570">
        <v>2</v>
      </c>
      <c r="I1570" s="3">
        <v>76.28</v>
      </c>
      <c r="J1570" s="3">
        <v>0</v>
      </c>
      <c r="L1570">
        <v>2100</v>
      </c>
      <c r="M1570" t="s">
        <v>3728</v>
      </c>
      <c r="N1570" t="s">
        <v>30</v>
      </c>
      <c r="O1570" t="s">
        <v>31</v>
      </c>
      <c r="P1570" t="str">
        <f>"15235"</f>
        <v>15235</v>
      </c>
    </row>
    <row r="1571" spans="1:16" x14ac:dyDescent="0.25">
      <c r="A1571" t="str">
        <f>"1050026N00182    00"</f>
        <v>1050026N00182    00</v>
      </c>
      <c r="B1571" t="s">
        <v>1316</v>
      </c>
      <c r="C1571" t="s">
        <v>3729</v>
      </c>
      <c r="D1571" t="s">
        <v>20</v>
      </c>
      <c r="E1571" t="s">
        <v>39</v>
      </c>
      <c r="F1571">
        <v>0</v>
      </c>
      <c r="G1571">
        <v>0</v>
      </c>
      <c r="H1571">
        <v>2</v>
      </c>
      <c r="I1571" s="3">
        <v>76.28</v>
      </c>
      <c r="J1571" s="3">
        <v>0</v>
      </c>
      <c r="K1571" t="s">
        <v>3730</v>
      </c>
      <c r="L1571">
        <v>2931</v>
      </c>
      <c r="M1571" t="s">
        <v>854</v>
      </c>
      <c r="N1571" t="s">
        <v>30</v>
      </c>
      <c r="O1571" t="s">
        <v>31</v>
      </c>
      <c r="P1571" t="str">
        <f>"15219"</f>
        <v>15219</v>
      </c>
    </row>
    <row r="1572" spans="1:16" x14ac:dyDescent="0.25">
      <c r="A1572" t="str">
        <f>"1050026N00183    00"</f>
        <v>1050026N00183    00</v>
      </c>
      <c r="B1572" t="s">
        <v>3731</v>
      </c>
      <c r="C1572" t="s">
        <v>3732</v>
      </c>
      <c r="D1572" t="s">
        <v>20</v>
      </c>
      <c r="E1572" t="s">
        <v>39</v>
      </c>
      <c r="F1572">
        <v>0</v>
      </c>
      <c r="G1572">
        <v>0</v>
      </c>
      <c r="H1572">
        <v>19</v>
      </c>
      <c r="I1572" s="3">
        <v>607.55999999999995</v>
      </c>
      <c r="J1572" s="3">
        <v>498.65</v>
      </c>
      <c r="K1572" t="s">
        <v>3733</v>
      </c>
      <c r="L1572">
        <v>3114</v>
      </c>
      <c r="M1572" t="s">
        <v>3515</v>
      </c>
      <c r="N1572" t="s">
        <v>30</v>
      </c>
      <c r="O1572" t="s">
        <v>31</v>
      </c>
      <c r="P1572" t="str">
        <f>"15219"</f>
        <v>15219</v>
      </c>
    </row>
    <row r="1573" spans="1:16" x14ac:dyDescent="0.25">
      <c r="A1573" t="str">
        <f>"1050026N00183A   00"</f>
        <v>1050026N00183A   00</v>
      </c>
      <c r="B1573" t="s">
        <v>3734</v>
      </c>
      <c r="C1573" t="s">
        <v>3735</v>
      </c>
      <c r="D1573" t="s">
        <v>20</v>
      </c>
      <c r="E1573" t="s">
        <v>39</v>
      </c>
      <c r="F1573">
        <v>0</v>
      </c>
      <c r="G1573">
        <v>0</v>
      </c>
      <c r="H1573">
        <v>2</v>
      </c>
      <c r="I1573" s="3">
        <v>1285.6199999999999</v>
      </c>
      <c r="J1573" s="3">
        <v>0</v>
      </c>
      <c r="L1573">
        <v>730</v>
      </c>
      <c r="M1573" t="s">
        <v>2894</v>
      </c>
      <c r="N1573" t="s">
        <v>30</v>
      </c>
      <c r="O1573" t="s">
        <v>31</v>
      </c>
      <c r="P1573" t="str">
        <f>"15219"</f>
        <v>15219</v>
      </c>
    </row>
    <row r="1574" spans="1:16" x14ac:dyDescent="0.25">
      <c r="A1574" t="str">
        <f>"1050026N00183B   00"</f>
        <v>1050026N00183B   00</v>
      </c>
      <c r="B1574" t="s">
        <v>3736</v>
      </c>
      <c r="C1574" t="s">
        <v>3737</v>
      </c>
      <c r="D1574" t="s">
        <v>20</v>
      </c>
      <c r="E1574" t="s">
        <v>39</v>
      </c>
      <c r="F1574">
        <v>0</v>
      </c>
      <c r="G1574">
        <v>0</v>
      </c>
      <c r="H1574">
        <v>1</v>
      </c>
      <c r="I1574" s="3">
        <v>38.14</v>
      </c>
      <c r="J1574" s="3">
        <v>0</v>
      </c>
      <c r="L1574">
        <v>5062</v>
      </c>
      <c r="M1574" t="s">
        <v>3738</v>
      </c>
      <c r="N1574" t="s">
        <v>30</v>
      </c>
      <c r="O1574" t="s">
        <v>31</v>
      </c>
      <c r="P1574" t="str">
        <f>"15201"</f>
        <v>15201</v>
      </c>
    </row>
    <row r="1575" spans="1:16" x14ac:dyDescent="0.25">
      <c r="A1575" t="str">
        <f>"1050026N00183D   00"</f>
        <v>1050026N00183D   00</v>
      </c>
      <c r="B1575" t="s">
        <v>3726</v>
      </c>
      <c r="C1575" t="s">
        <v>3739</v>
      </c>
      <c r="D1575" t="s">
        <v>20</v>
      </c>
      <c r="E1575" t="s">
        <v>39</v>
      </c>
      <c r="F1575">
        <v>0</v>
      </c>
      <c r="G1575">
        <v>0</v>
      </c>
      <c r="H1575">
        <v>4</v>
      </c>
      <c r="I1575" s="3">
        <v>128.09</v>
      </c>
      <c r="J1575" s="3">
        <v>21.67</v>
      </c>
      <c r="L1575">
        <v>819</v>
      </c>
      <c r="M1575" t="s">
        <v>2408</v>
      </c>
      <c r="N1575" t="s">
        <v>30</v>
      </c>
      <c r="O1575" t="s">
        <v>31</v>
      </c>
      <c r="P1575" t="str">
        <f>"15219"</f>
        <v>15219</v>
      </c>
    </row>
    <row r="1576" spans="1:16" x14ac:dyDescent="0.25">
      <c r="A1576" t="str">
        <f>"1050026N00183E   00"</f>
        <v>1050026N00183E   00</v>
      </c>
      <c r="B1576" t="s">
        <v>3740</v>
      </c>
      <c r="C1576" t="s">
        <v>3741</v>
      </c>
      <c r="D1576" t="s">
        <v>20</v>
      </c>
      <c r="E1576" t="s">
        <v>39</v>
      </c>
      <c r="F1576">
        <v>0</v>
      </c>
      <c r="G1576">
        <v>0</v>
      </c>
      <c r="H1576">
        <v>5</v>
      </c>
      <c r="I1576" s="3">
        <v>177.64</v>
      </c>
      <c r="J1576" s="3">
        <v>51.8</v>
      </c>
      <c r="L1576">
        <v>819</v>
      </c>
      <c r="M1576" t="s">
        <v>2408</v>
      </c>
      <c r="N1576" t="s">
        <v>30</v>
      </c>
      <c r="O1576" t="s">
        <v>31</v>
      </c>
      <c r="P1576" t="str">
        <f>"15219"</f>
        <v>15219</v>
      </c>
    </row>
    <row r="1577" spans="1:16" x14ac:dyDescent="0.25">
      <c r="A1577" t="str">
        <f>"1050026N00183G   00"</f>
        <v>1050026N00183G   00</v>
      </c>
      <c r="B1577" t="s">
        <v>3742</v>
      </c>
      <c r="C1577" t="s">
        <v>3743</v>
      </c>
      <c r="D1577" t="s">
        <v>20</v>
      </c>
      <c r="E1577" t="s">
        <v>39</v>
      </c>
      <c r="F1577">
        <v>0</v>
      </c>
      <c r="G1577">
        <v>0</v>
      </c>
      <c r="H1577">
        <v>19</v>
      </c>
      <c r="I1577" s="3">
        <v>1008.17</v>
      </c>
      <c r="J1577" s="3">
        <v>940.25</v>
      </c>
      <c r="L1577">
        <v>3343</v>
      </c>
      <c r="M1577" t="s">
        <v>1090</v>
      </c>
      <c r="N1577" t="s">
        <v>30</v>
      </c>
      <c r="O1577" t="s">
        <v>31</v>
      </c>
      <c r="P1577" t="str">
        <f>"15219"</f>
        <v>15219</v>
      </c>
    </row>
    <row r="1578" spans="1:16" x14ac:dyDescent="0.25">
      <c r="A1578" t="str">
        <f>"1050026N00197    00"</f>
        <v>1050026N00197    00</v>
      </c>
      <c r="B1578" t="s">
        <v>3744</v>
      </c>
      <c r="C1578" t="s">
        <v>3745</v>
      </c>
      <c r="D1578" t="s">
        <v>20</v>
      </c>
      <c r="E1578" t="s">
        <v>39</v>
      </c>
      <c r="F1578">
        <v>0</v>
      </c>
      <c r="G1578">
        <v>0</v>
      </c>
      <c r="H1578">
        <v>16</v>
      </c>
      <c r="I1578" s="3">
        <v>3669.24</v>
      </c>
      <c r="J1578" s="3">
        <v>2262.62</v>
      </c>
      <c r="K1578" t="s">
        <v>3746</v>
      </c>
      <c r="L1578">
        <v>4137</v>
      </c>
      <c r="M1578" t="s">
        <v>3747</v>
      </c>
      <c r="N1578" t="s">
        <v>3748</v>
      </c>
      <c r="O1578" t="s">
        <v>1184</v>
      </c>
      <c r="P1578" t="str">
        <f>"21104"</f>
        <v>21104</v>
      </c>
    </row>
    <row r="1579" spans="1:16" x14ac:dyDescent="0.25">
      <c r="A1579" t="str">
        <f>"1050026N00204    00"</f>
        <v>1050026N00204    00</v>
      </c>
      <c r="B1579" t="s">
        <v>3749</v>
      </c>
      <c r="C1579" t="s">
        <v>3507</v>
      </c>
      <c r="D1579" t="s">
        <v>20</v>
      </c>
      <c r="E1579" t="s">
        <v>39</v>
      </c>
      <c r="F1579">
        <v>0</v>
      </c>
      <c r="G1579">
        <v>0</v>
      </c>
      <c r="H1579">
        <v>2</v>
      </c>
      <c r="I1579" s="3">
        <v>19.079999999999998</v>
      </c>
      <c r="J1579" s="3">
        <v>0</v>
      </c>
      <c r="L1579">
        <v>3363</v>
      </c>
      <c r="M1579" t="s">
        <v>3510</v>
      </c>
      <c r="N1579" t="s">
        <v>30</v>
      </c>
      <c r="O1579" t="s">
        <v>31</v>
      </c>
      <c r="P1579" t="str">
        <f>"15213"</f>
        <v>15213</v>
      </c>
    </row>
    <row r="1580" spans="1:16" x14ac:dyDescent="0.25">
      <c r="A1580" t="str">
        <f>"1050026N00231    00"</f>
        <v>1050026N00231    00</v>
      </c>
      <c r="B1580" t="s">
        <v>3750</v>
      </c>
      <c r="C1580" t="s">
        <v>3751</v>
      </c>
      <c r="D1580" t="s">
        <v>20</v>
      </c>
      <c r="E1580" t="s">
        <v>39</v>
      </c>
      <c r="F1580">
        <v>0</v>
      </c>
      <c r="G1580">
        <v>0</v>
      </c>
      <c r="H1580">
        <v>2</v>
      </c>
      <c r="I1580" s="3">
        <v>320.7</v>
      </c>
      <c r="J1580" s="3">
        <v>0</v>
      </c>
      <c r="L1580">
        <v>3327</v>
      </c>
      <c r="M1580" t="s">
        <v>3752</v>
      </c>
      <c r="N1580" t="s">
        <v>30</v>
      </c>
      <c r="O1580" t="s">
        <v>31</v>
      </c>
      <c r="P1580" t="str">
        <f>"15219"</f>
        <v>15219</v>
      </c>
    </row>
    <row r="1581" spans="1:16" x14ac:dyDescent="0.25">
      <c r="A1581" t="str">
        <f>"1050026N00236    00"</f>
        <v>1050026N00236    00</v>
      </c>
      <c r="B1581" t="s">
        <v>3753</v>
      </c>
      <c r="C1581" t="s">
        <v>3754</v>
      </c>
      <c r="D1581" t="s">
        <v>20</v>
      </c>
      <c r="E1581" t="s">
        <v>39</v>
      </c>
      <c r="F1581">
        <v>0</v>
      </c>
      <c r="G1581">
        <v>0</v>
      </c>
      <c r="H1581">
        <v>9</v>
      </c>
      <c r="I1581" s="3">
        <v>4728.91</v>
      </c>
      <c r="J1581" s="3">
        <v>1680.24</v>
      </c>
      <c r="K1581" t="s">
        <v>3755</v>
      </c>
      <c r="L1581">
        <v>800</v>
      </c>
      <c r="M1581" t="s">
        <v>1070</v>
      </c>
      <c r="N1581" t="s">
        <v>30</v>
      </c>
      <c r="O1581" t="s">
        <v>31</v>
      </c>
      <c r="P1581" t="str">
        <f>"15219"</f>
        <v>15219</v>
      </c>
    </row>
    <row r="1582" spans="1:16" x14ac:dyDescent="0.25">
      <c r="A1582" t="str">
        <f>"1050026N00240    00"</f>
        <v>1050026N00240    00</v>
      </c>
      <c r="B1582" t="s">
        <v>3756</v>
      </c>
      <c r="C1582" t="s">
        <v>3757</v>
      </c>
      <c r="D1582" t="s">
        <v>20</v>
      </c>
      <c r="E1582" t="s">
        <v>39</v>
      </c>
      <c r="F1582">
        <v>0</v>
      </c>
      <c r="G1582">
        <v>0</v>
      </c>
      <c r="H1582">
        <v>2</v>
      </c>
      <c r="I1582" s="3">
        <v>1052.28</v>
      </c>
      <c r="J1582" s="3">
        <v>202.67</v>
      </c>
      <c r="L1582">
        <v>711</v>
      </c>
      <c r="M1582" t="s">
        <v>3758</v>
      </c>
      <c r="N1582" t="s">
        <v>30</v>
      </c>
      <c r="O1582" t="s">
        <v>31</v>
      </c>
      <c r="P1582" t="str">
        <f>"15219"</f>
        <v>15219</v>
      </c>
    </row>
    <row r="1583" spans="1:16" x14ac:dyDescent="0.25">
      <c r="A1583" t="str">
        <f>"1050026N00241    00"</f>
        <v>1050026N00241    00</v>
      </c>
      <c r="B1583" t="s">
        <v>2835</v>
      </c>
      <c r="C1583" t="s">
        <v>3759</v>
      </c>
      <c r="D1583" t="s">
        <v>20</v>
      </c>
      <c r="E1583" t="s">
        <v>39</v>
      </c>
      <c r="F1583">
        <v>0</v>
      </c>
      <c r="G1583">
        <v>0</v>
      </c>
      <c r="H1583">
        <v>4</v>
      </c>
      <c r="I1583" s="3">
        <v>3804.65</v>
      </c>
      <c r="J1583" s="3">
        <v>449.44</v>
      </c>
      <c r="L1583">
        <v>709</v>
      </c>
      <c r="M1583" t="s">
        <v>3758</v>
      </c>
      <c r="N1583" t="s">
        <v>30</v>
      </c>
      <c r="O1583" t="s">
        <v>31</v>
      </c>
      <c r="P1583" t="str">
        <f>"15219"</f>
        <v>15219</v>
      </c>
    </row>
    <row r="1584" spans="1:16" x14ac:dyDescent="0.25">
      <c r="A1584" t="str">
        <f>"1050026N00251    00"</f>
        <v>1050026N00251    00</v>
      </c>
      <c r="B1584" t="s">
        <v>3760</v>
      </c>
      <c r="C1584" t="s">
        <v>3761</v>
      </c>
      <c r="D1584" t="s">
        <v>20</v>
      </c>
      <c r="E1584" t="s">
        <v>39</v>
      </c>
      <c r="F1584">
        <v>0</v>
      </c>
      <c r="G1584">
        <v>0</v>
      </c>
      <c r="H1584">
        <v>2</v>
      </c>
      <c r="I1584" s="3">
        <v>26.7</v>
      </c>
      <c r="J1584" s="3">
        <v>0</v>
      </c>
      <c r="L1584">
        <v>3009</v>
      </c>
      <c r="M1584" t="s">
        <v>3762</v>
      </c>
      <c r="N1584" t="s">
        <v>30</v>
      </c>
      <c r="O1584" t="s">
        <v>31</v>
      </c>
      <c r="P1584" t="str">
        <f>"15235"</f>
        <v>15235</v>
      </c>
    </row>
    <row r="1585" spans="1:16" x14ac:dyDescent="0.25">
      <c r="A1585" t="str">
        <f>"1050026N00263    00"</f>
        <v>1050026N00263    00</v>
      </c>
      <c r="B1585" t="s">
        <v>3763</v>
      </c>
      <c r="C1585" t="s">
        <v>3764</v>
      </c>
      <c r="D1585" t="s">
        <v>20</v>
      </c>
      <c r="E1585" t="s">
        <v>39</v>
      </c>
      <c r="F1585">
        <v>0</v>
      </c>
      <c r="G1585">
        <v>0</v>
      </c>
      <c r="H1585">
        <v>1</v>
      </c>
      <c r="I1585" s="3">
        <v>968.27</v>
      </c>
      <c r="J1585" s="3">
        <v>0</v>
      </c>
      <c r="L1585">
        <v>806</v>
      </c>
      <c r="M1585" t="s">
        <v>2387</v>
      </c>
      <c r="N1585" t="s">
        <v>30</v>
      </c>
      <c r="O1585" t="s">
        <v>31</v>
      </c>
      <c r="P1585" t="str">
        <f>"15219"</f>
        <v>15219</v>
      </c>
    </row>
    <row r="1586" spans="1:16" x14ac:dyDescent="0.25">
      <c r="A1586" t="str">
        <f>"1050026N00264    00"</f>
        <v>1050026N00264    00</v>
      </c>
      <c r="B1586" t="s">
        <v>3763</v>
      </c>
      <c r="C1586" t="s">
        <v>3761</v>
      </c>
      <c r="D1586" t="s">
        <v>20</v>
      </c>
      <c r="E1586" t="s">
        <v>39</v>
      </c>
      <c r="F1586">
        <v>0</v>
      </c>
      <c r="G1586">
        <v>0</v>
      </c>
      <c r="H1586">
        <v>1</v>
      </c>
      <c r="I1586" s="3">
        <v>114.36</v>
      </c>
      <c r="J1586" s="3">
        <v>0</v>
      </c>
      <c r="L1586">
        <v>806</v>
      </c>
      <c r="M1586" t="s">
        <v>2387</v>
      </c>
      <c r="N1586" t="s">
        <v>30</v>
      </c>
      <c r="O1586" t="s">
        <v>31</v>
      </c>
      <c r="P1586" t="str">
        <f>"15219"</f>
        <v>15219</v>
      </c>
    </row>
    <row r="1587" spans="1:16" x14ac:dyDescent="0.25">
      <c r="A1587" t="str">
        <f>"1050026N00265    00"</f>
        <v>1050026N00265    00</v>
      </c>
      <c r="B1587" t="s">
        <v>3763</v>
      </c>
      <c r="C1587" t="s">
        <v>3765</v>
      </c>
      <c r="D1587" t="s">
        <v>20</v>
      </c>
      <c r="E1587" t="s">
        <v>39</v>
      </c>
      <c r="F1587">
        <v>0</v>
      </c>
      <c r="G1587">
        <v>0</v>
      </c>
      <c r="H1587">
        <v>1</v>
      </c>
      <c r="I1587" s="3">
        <v>158.21</v>
      </c>
      <c r="J1587" s="3">
        <v>0</v>
      </c>
      <c r="L1587">
        <v>806</v>
      </c>
      <c r="M1587" t="s">
        <v>2387</v>
      </c>
      <c r="N1587" t="s">
        <v>30</v>
      </c>
      <c r="O1587" t="s">
        <v>31</v>
      </c>
      <c r="P1587" t="str">
        <f>"15219"</f>
        <v>15219</v>
      </c>
    </row>
    <row r="1588" spans="1:16" x14ac:dyDescent="0.25">
      <c r="A1588" t="str">
        <f>"1050026N00266    00"</f>
        <v>1050026N00266    00</v>
      </c>
      <c r="B1588" t="s">
        <v>3766</v>
      </c>
      <c r="C1588" t="s">
        <v>3767</v>
      </c>
      <c r="D1588" t="s">
        <v>20</v>
      </c>
      <c r="E1588" t="s">
        <v>39</v>
      </c>
      <c r="F1588">
        <v>0</v>
      </c>
      <c r="G1588">
        <v>0</v>
      </c>
      <c r="H1588">
        <v>19</v>
      </c>
      <c r="I1588" s="3">
        <v>16149.61</v>
      </c>
      <c r="J1588" s="3">
        <v>15137.51</v>
      </c>
      <c r="L1588">
        <v>816</v>
      </c>
      <c r="M1588" t="s">
        <v>2387</v>
      </c>
      <c r="N1588" t="s">
        <v>30</v>
      </c>
      <c r="O1588" t="s">
        <v>31</v>
      </c>
      <c r="P1588" t="str">
        <f>"15219"</f>
        <v>15219</v>
      </c>
    </row>
    <row r="1589" spans="1:16" x14ac:dyDescent="0.25">
      <c r="A1589" t="str">
        <f>"1050026N00273    00"</f>
        <v>1050026N00273    00</v>
      </c>
      <c r="B1589" t="s">
        <v>3768</v>
      </c>
      <c r="C1589" t="s">
        <v>3761</v>
      </c>
      <c r="E1589" t="s">
        <v>39</v>
      </c>
      <c r="F1589">
        <v>0</v>
      </c>
      <c r="G1589">
        <v>0</v>
      </c>
      <c r="H1589">
        <v>1</v>
      </c>
      <c r="I1589" s="3">
        <v>140.96</v>
      </c>
      <c r="J1589" s="3">
        <v>0</v>
      </c>
      <c r="K1589" t="s">
        <v>3769</v>
      </c>
      <c r="L1589">
        <v>834</v>
      </c>
      <c r="M1589" t="s">
        <v>2387</v>
      </c>
      <c r="N1589" t="s">
        <v>30</v>
      </c>
      <c r="O1589" t="s">
        <v>31</v>
      </c>
      <c r="P1589" t="str">
        <f>"15219"</f>
        <v>15219</v>
      </c>
    </row>
    <row r="1590" spans="1:16" x14ac:dyDescent="0.25">
      <c r="A1590" t="str">
        <f>"1050026P00005    00"</f>
        <v>1050026P00005    00</v>
      </c>
      <c r="B1590" t="s">
        <v>3770</v>
      </c>
      <c r="C1590" t="s">
        <v>3771</v>
      </c>
      <c r="D1590" t="s">
        <v>20</v>
      </c>
      <c r="E1590" t="s">
        <v>39</v>
      </c>
      <c r="F1590">
        <v>0</v>
      </c>
      <c r="G1590">
        <v>0</v>
      </c>
      <c r="H1590">
        <v>3</v>
      </c>
      <c r="I1590" s="3">
        <v>3318.89</v>
      </c>
      <c r="J1590" s="3">
        <v>239.68</v>
      </c>
      <c r="L1590">
        <v>236</v>
      </c>
      <c r="M1590" t="s">
        <v>3772</v>
      </c>
      <c r="N1590" t="s">
        <v>30</v>
      </c>
      <c r="O1590" t="s">
        <v>31</v>
      </c>
      <c r="P1590" t="str">
        <f>"15235"</f>
        <v>15235</v>
      </c>
    </row>
    <row r="1591" spans="1:16" x14ac:dyDescent="0.25">
      <c r="A1591" t="str">
        <f>"1050026P00006    00"</f>
        <v>1050026P00006    00</v>
      </c>
      <c r="B1591" t="s">
        <v>3770</v>
      </c>
      <c r="C1591" t="s">
        <v>3773</v>
      </c>
      <c r="D1591" t="s">
        <v>20</v>
      </c>
      <c r="E1591" t="s">
        <v>39</v>
      </c>
      <c r="F1591">
        <v>0</v>
      </c>
      <c r="G1591">
        <v>0</v>
      </c>
      <c r="H1591">
        <v>3</v>
      </c>
      <c r="I1591" s="3">
        <v>932.82</v>
      </c>
      <c r="J1591" s="3">
        <v>84.6</v>
      </c>
      <c r="L1591">
        <v>236</v>
      </c>
      <c r="M1591" t="s">
        <v>3772</v>
      </c>
      <c r="N1591" t="s">
        <v>30</v>
      </c>
      <c r="O1591" t="s">
        <v>31</v>
      </c>
      <c r="P1591" t="str">
        <f>"15235"</f>
        <v>15235</v>
      </c>
    </row>
    <row r="1592" spans="1:16" x14ac:dyDescent="0.25">
      <c r="A1592" t="str">
        <f>"1050026P00015    00"</f>
        <v>1050026P00015    00</v>
      </c>
      <c r="B1592" t="s">
        <v>3774</v>
      </c>
      <c r="C1592" t="s">
        <v>3775</v>
      </c>
      <c r="D1592" t="s">
        <v>20</v>
      </c>
      <c r="E1592" t="s">
        <v>39</v>
      </c>
      <c r="F1592">
        <v>0</v>
      </c>
      <c r="G1592">
        <v>0</v>
      </c>
      <c r="H1592">
        <v>12</v>
      </c>
      <c r="I1592" s="3">
        <v>1372.86</v>
      </c>
      <c r="J1592" s="3">
        <v>807.14</v>
      </c>
      <c r="K1592" t="s">
        <v>3776</v>
      </c>
      <c r="L1592">
        <v>2612</v>
      </c>
      <c r="M1592" t="s">
        <v>3777</v>
      </c>
      <c r="N1592" t="s">
        <v>238</v>
      </c>
      <c r="O1592" t="s">
        <v>31</v>
      </c>
      <c r="P1592" t="str">
        <f>"15132"</f>
        <v>15132</v>
      </c>
    </row>
    <row r="1593" spans="1:16" x14ac:dyDescent="0.25">
      <c r="A1593" t="str">
        <f>"1050026P00018    00"</f>
        <v>1050026P00018    00</v>
      </c>
      <c r="B1593" t="s">
        <v>3778</v>
      </c>
      <c r="C1593" t="s">
        <v>3779</v>
      </c>
      <c r="D1593" t="s">
        <v>20</v>
      </c>
      <c r="E1593" t="s">
        <v>39</v>
      </c>
      <c r="F1593">
        <v>0</v>
      </c>
      <c r="G1593">
        <v>0</v>
      </c>
      <c r="H1593">
        <v>3</v>
      </c>
      <c r="I1593" s="3">
        <v>3064.89</v>
      </c>
      <c r="J1593" s="3">
        <v>204.32</v>
      </c>
      <c r="L1593">
        <v>765</v>
      </c>
      <c r="M1593" t="s">
        <v>2408</v>
      </c>
      <c r="N1593" t="s">
        <v>30</v>
      </c>
      <c r="O1593" t="s">
        <v>31</v>
      </c>
      <c r="P1593" t="str">
        <f t="shared" ref="P1593:P1599" si="23">"15219"</f>
        <v>15219</v>
      </c>
    </row>
    <row r="1594" spans="1:16" x14ac:dyDescent="0.25">
      <c r="A1594" t="str">
        <f>"1050026P00030    00"</f>
        <v>1050026P00030    00</v>
      </c>
      <c r="B1594" t="s">
        <v>3780</v>
      </c>
      <c r="C1594" t="s">
        <v>3781</v>
      </c>
      <c r="D1594" t="s">
        <v>20</v>
      </c>
      <c r="E1594" t="s">
        <v>39</v>
      </c>
      <c r="F1594">
        <v>0</v>
      </c>
      <c r="G1594">
        <v>0</v>
      </c>
      <c r="H1594">
        <v>15</v>
      </c>
      <c r="I1594" s="3">
        <v>11378.74</v>
      </c>
      <c r="J1594" s="3">
        <v>6937.2</v>
      </c>
      <c r="L1594">
        <v>739</v>
      </c>
      <c r="M1594" t="s">
        <v>2408</v>
      </c>
      <c r="N1594" t="s">
        <v>30</v>
      </c>
      <c r="O1594" t="s">
        <v>31</v>
      </c>
      <c r="P1594" t="str">
        <f t="shared" si="23"/>
        <v>15219</v>
      </c>
    </row>
    <row r="1595" spans="1:16" x14ac:dyDescent="0.25">
      <c r="A1595" t="str">
        <f>"1050026P00041    00"</f>
        <v>1050026P00041    00</v>
      </c>
      <c r="B1595" t="s">
        <v>3782</v>
      </c>
      <c r="C1595" t="s">
        <v>3783</v>
      </c>
      <c r="E1595" t="s">
        <v>39</v>
      </c>
      <c r="F1595">
        <v>0</v>
      </c>
      <c r="G1595">
        <v>0</v>
      </c>
      <c r="H1595">
        <v>1</v>
      </c>
      <c r="I1595" s="3">
        <v>85.46</v>
      </c>
      <c r="J1595" s="3">
        <v>23.5</v>
      </c>
      <c r="L1595">
        <v>3372</v>
      </c>
      <c r="M1595" t="s">
        <v>2732</v>
      </c>
      <c r="N1595" t="s">
        <v>30</v>
      </c>
      <c r="O1595" t="s">
        <v>31</v>
      </c>
      <c r="P1595" t="str">
        <f t="shared" si="23"/>
        <v>15219</v>
      </c>
    </row>
    <row r="1596" spans="1:16" x14ac:dyDescent="0.25">
      <c r="A1596" t="str">
        <f>"1050026P00041A   00"</f>
        <v>1050026P00041A   00</v>
      </c>
      <c r="B1596" t="s">
        <v>3784</v>
      </c>
      <c r="C1596" t="s">
        <v>3783</v>
      </c>
      <c r="E1596" t="s">
        <v>39</v>
      </c>
      <c r="F1596">
        <v>0</v>
      </c>
      <c r="G1596">
        <v>0</v>
      </c>
      <c r="H1596">
        <v>1</v>
      </c>
      <c r="I1596" s="3">
        <v>117.17</v>
      </c>
      <c r="J1596" s="3">
        <v>32.229999999999997</v>
      </c>
      <c r="L1596">
        <v>3372</v>
      </c>
      <c r="M1596" t="s">
        <v>2732</v>
      </c>
      <c r="N1596" t="s">
        <v>30</v>
      </c>
      <c r="O1596" t="s">
        <v>31</v>
      </c>
      <c r="P1596" t="str">
        <f t="shared" si="23"/>
        <v>15219</v>
      </c>
    </row>
    <row r="1597" spans="1:16" x14ac:dyDescent="0.25">
      <c r="A1597" t="str">
        <f>"1050026P00059    00"</f>
        <v>1050026P00059    00</v>
      </c>
      <c r="B1597" t="s">
        <v>3785</v>
      </c>
      <c r="C1597" t="s">
        <v>3786</v>
      </c>
      <c r="D1597" t="s">
        <v>20</v>
      </c>
      <c r="E1597" t="s">
        <v>39</v>
      </c>
      <c r="F1597">
        <v>0</v>
      </c>
      <c r="G1597">
        <v>0</v>
      </c>
      <c r="H1597">
        <v>5</v>
      </c>
      <c r="I1597" s="3">
        <v>291.33999999999997</v>
      </c>
      <c r="J1597" s="3">
        <v>37.840000000000003</v>
      </c>
      <c r="K1597" t="s">
        <v>3787</v>
      </c>
      <c r="L1597">
        <v>732</v>
      </c>
      <c r="M1597" t="s">
        <v>970</v>
      </c>
      <c r="N1597" t="s">
        <v>30</v>
      </c>
      <c r="O1597" t="s">
        <v>31</v>
      </c>
      <c r="P1597" t="str">
        <f t="shared" si="23"/>
        <v>15219</v>
      </c>
    </row>
    <row r="1598" spans="1:16" x14ac:dyDescent="0.25">
      <c r="A1598" t="str">
        <f>"1050026P00068    00"</f>
        <v>1050026P00068    00</v>
      </c>
      <c r="B1598" t="s">
        <v>3788</v>
      </c>
      <c r="C1598" t="s">
        <v>3789</v>
      </c>
      <c r="D1598" t="s">
        <v>20</v>
      </c>
      <c r="E1598" t="s">
        <v>39</v>
      </c>
      <c r="F1598">
        <v>0</v>
      </c>
      <c r="G1598">
        <v>0</v>
      </c>
      <c r="H1598">
        <v>5</v>
      </c>
      <c r="I1598" s="3">
        <v>944.72</v>
      </c>
      <c r="J1598" s="3">
        <v>208.38</v>
      </c>
      <c r="K1598" t="s">
        <v>3790</v>
      </c>
      <c r="L1598">
        <v>730</v>
      </c>
      <c r="M1598" t="s">
        <v>970</v>
      </c>
      <c r="N1598" t="s">
        <v>30</v>
      </c>
      <c r="O1598" t="s">
        <v>31</v>
      </c>
      <c r="P1598" t="str">
        <f t="shared" si="23"/>
        <v>15219</v>
      </c>
    </row>
    <row r="1599" spans="1:16" x14ac:dyDescent="0.25">
      <c r="A1599" t="str">
        <f>"1050026P00069    00"</f>
        <v>1050026P00069    00</v>
      </c>
      <c r="B1599" t="s">
        <v>3791</v>
      </c>
      <c r="C1599" t="s">
        <v>3786</v>
      </c>
      <c r="D1599" t="s">
        <v>20</v>
      </c>
      <c r="E1599" t="s">
        <v>39</v>
      </c>
      <c r="F1599">
        <v>0</v>
      </c>
      <c r="G1599">
        <v>0</v>
      </c>
      <c r="H1599">
        <v>2</v>
      </c>
      <c r="I1599" s="3">
        <v>786.28</v>
      </c>
      <c r="J1599" s="3">
        <v>0</v>
      </c>
      <c r="K1599" t="s">
        <v>3792</v>
      </c>
      <c r="L1599">
        <v>732</v>
      </c>
      <c r="M1599" t="s">
        <v>970</v>
      </c>
      <c r="N1599" t="s">
        <v>30</v>
      </c>
      <c r="O1599" t="s">
        <v>31</v>
      </c>
      <c r="P1599" t="str">
        <f t="shared" si="23"/>
        <v>15219</v>
      </c>
    </row>
    <row r="1600" spans="1:16" x14ac:dyDescent="0.25">
      <c r="A1600" t="str">
        <f>"1050026P00073    00"</f>
        <v>1050026P00073    00</v>
      </c>
      <c r="B1600" t="s">
        <v>3793</v>
      </c>
      <c r="C1600" t="s">
        <v>3794</v>
      </c>
      <c r="D1600" t="s">
        <v>20</v>
      </c>
      <c r="E1600" t="s">
        <v>39</v>
      </c>
      <c r="F1600">
        <v>0</v>
      </c>
      <c r="G1600">
        <v>0</v>
      </c>
      <c r="H1600">
        <v>2</v>
      </c>
      <c r="I1600" s="3">
        <v>34.32</v>
      </c>
      <c r="J1600" s="3">
        <v>0</v>
      </c>
      <c r="K1600" t="s">
        <v>3795</v>
      </c>
      <c r="L1600">
        <v>348</v>
      </c>
      <c r="M1600" t="s">
        <v>3796</v>
      </c>
      <c r="N1600" t="s">
        <v>24</v>
      </c>
      <c r="O1600" t="s">
        <v>25</v>
      </c>
      <c r="P1600" t="str">
        <f>"43201"</f>
        <v>43201</v>
      </c>
    </row>
    <row r="1601" spans="1:16" x14ac:dyDescent="0.25">
      <c r="A1601" t="str">
        <f>"1050026P00075    00"</f>
        <v>1050026P00075    00</v>
      </c>
      <c r="B1601" t="s">
        <v>3797</v>
      </c>
      <c r="C1601" t="s">
        <v>3798</v>
      </c>
      <c r="E1601" t="s">
        <v>39</v>
      </c>
      <c r="F1601">
        <v>0</v>
      </c>
      <c r="G1601">
        <v>0</v>
      </c>
      <c r="H1601">
        <v>6</v>
      </c>
      <c r="I1601" s="3">
        <v>3803.85</v>
      </c>
      <c r="J1601" s="3">
        <v>2059.4</v>
      </c>
      <c r="L1601">
        <v>2444</v>
      </c>
      <c r="M1601" t="s">
        <v>3799</v>
      </c>
      <c r="N1601" t="s">
        <v>1067</v>
      </c>
      <c r="O1601" t="s">
        <v>31</v>
      </c>
      <c r="P1601" t="str">
        <f>"15143"</f>
        <v>15143</v>
      </c>
    </row>
    <row r="1602" spans="1:16" x14ac:dyDescent="0.25">
      <c r="A1602" t="str">
        <f>"1050026P00077    00"</f>
        <v>1050026P00077    00</v>
      </c>
      <c r="B1602" t="s">
        <v>3800</v>
      </c>
      <c r="C1602" t="s">
        <v>3801</v>
      </c>
      <c r="D1602" t="s">
        <v>20</v>
      </c>
      <c r="E1602" t="s">
        <v>39</v>
      </c>
      <c r="F1602">
        <v>0</v>
      </c>
      <c r="G1602">
        <v>0</v>
      </c>
      <c r="H1602">
        <v>15</v>
      </c>
      <c r="I1602" s="3">
        <v>7489.31</v>
      </c>
      <c r="J1602" s="3">
        <v>5477.28</v>
      </c>
      <c r="L1602">
        <v>748</v>
      </c>
      <c r="M1602" t="s">
        <v>970</v>
      </c>
      <c r="N1602" t="s">
        <v>30</v>
      </c>
      <c r="O1602" t="s">
        <v>31</v>
      </c>
      <c r="P1602" t="str">
        <f>"15219"</f>
        <v>15219</v>
      </c>
    </row>
    <row r="1603" spans="1:16" x14ac:dyDescent="0.25">
      <c r="A1603" t="str">
        <f>"1050026P00078    00"</f>
        <v>1050026P00078    00</v>
      </c>
      <c r="B1603" t="s">
        <v>3802</v>
      </c>
      <c r="C1603" t="s">
        <v>3803</v>
      </c>
      <c r="D1603" t="s">
        <v>20</v>
      </c>
      <c r="E1603" t="s">
        <v>21</v>
      </c>
      <c r="F1603">
        <v>0</v>
      </c>
      <c r="G1603">
        <v>0</v>
      </c>
      <c r="H1603">
        <v>7</v>
      </c>
      <c r="I1603" s="3">
        <v>32723.7</v>
      </c>
      <c r="J1603" s="3">
        <v>9217.65</v>
      </c>
      <c r="K1603" t="s">
        <v>3804</v>
      </c>
      <c r="L1603">
        <v>1801</v>
      </c>
      <c r="M1603" t="s">
        <v>3273</v>
      </c>
      <c r="N1603" t="s">
        <v>30</v>
      </c>
      <c r="O1603" t="s">
        <v>31</v>
      </c>
      <c r="P1603" t="str">
        <f>"15219"</f>
        <v>15219</v>
      </c>
    </row>
    <row r="1604" spans="1:16" x14ac:dyDescent="0.25">
      <c r="A1604" t="str">
        <f>"1050026P00088    00"</f>
        <v>1050026P00088    00</v>
      </c>
      <c r="B1604" t="s">
        <v>2629</v>
      </c>
      <c r="C1604" t="s">
        <v>3805</v>
      </c>
      <c r="D1604" t="s">
        <v>20</v>
      </c>
      <c r="E1604" t="s">
        <v>39</v>
      </c>
      <c r="F1604">
        <v>0</v>
      </c>
      <c r="G1604">
        <v>0</v>
      </c>
      <c r="H1604">
        <v>3</v>
      </c>
      <c r="I1604" s="3">
        <v>780.6</v>
      </c>
      <c r="J1604" s="3">
        <v>3.62</v>
      </c>
      <c r="K1604" t="s">
        <v>3806</v>
      </c>
      <c r="L1604">
        <v>2415</v>
      </c>
      <c r="M1604" t="s">
        <v>1302</v>
      </c>
      <c r="N1604" t="s">
        <v>30</v>
      </c>
      <c r="O1604" t="s">
        <v>31</v>
      </c>
      <c r="P1604" t="str">
        <f>"15213"</f>
        <v>15213</v>
      </c>
    </row>
    <row r="1605" spans="1:16" x14ac:dyDescent="0.25">
      <c r="A1605" t="str">
        <f>"1050026P00089    00"</f>
        <v>1050026P00089    00</v>
      </c>
      <c r="B1605" t="s">
        <v>3807</v>
      </c>
      <c r="C1605" t="s">
        <v>3808</v>
      </c>
      <c r="E1605" t="s">
        <v>39</v>
      </c>
      <c r="F1605">
        <v>0</v>
      </c>
      <c r="G1605">
        <v>0</v>
      </c>
      <c r="H1605">
        <v>8</v>
      </c>
      <c r="I1605" s="3">
        <v>6631.82</v>
      </c>
      <c r="J1605" s="3">
        <v>3097.58</v>
      </c>
      <c r="L1605">
        <v>839</v>
      </c>
      <c r="M1605" t="s">
        <v>970</v>
      </c>
      <c r="N1605" t="s">
        <v>30</v>
      </c>
      <c r="O1605" t="s">
        <v>31</v>
      </c>
      <c r="P1605" t="str">
        <f t="shared" ref="P1605:P1612" si="24">"15219"</f>
        <v>15219</v>
      </c>
    </row>
    <row r="1606" spans="1:16" x14ac:dyDescent="0.25">
      <c r="A1606" t="str">
        <f>"1050026P00098    00"</f>
        <v>1050026P00098    00</v>
      </c>
      <c r="B1606" t="s">
        <v>3809</v>
      </c>
      <c r="C1606" t="s">
        <v>3810</v>
      </c>
      <c r="D1606" t="s">
        <v>20</v>
      </c>
      <c r="E1606" t="s">
        <v>39</v>
      </c>
      <c r="F1606">
        <v>0</v>
      </c>
      <c r="G1606">
        <v>0</v>
      </c>
      <c r="H1606">
        <v>13</v>
      </c>
      <c r="I1606" s="3">
        <v>10592.47</v>
      </c>
      <c r="J1606" s="3">
        <v>6512.81</v>
      </c>
      <c r="L1606">
        <v>833</v>
      </c>
      <c r="M1606" t="s">
        <v>970</v>
      </c>
      <c r="N1606" t="s">
        <v>30</v>
      </c>
      <c r="O1606" t="s">
        <v>31</v>
      </c>
      <c r="P1606" t="str">
        <f t="shared" si="24"/>
        <v>15219</v>
      </c>
    </row>
    <row r="1607" spans="1:16" x14ac:dyDescent="0.25">
      <c r="A1607" t="str">
        <f>"1050026P00101    00"</f>
        <v>1050026P00101    00</v>
      </c>
      <c r="B1607" t="s">
        <v>3811</v>
      </c>
      <c r="C1607" t="s">
        <v>3812</v>
      </c>
      <c r="D1607" t="s">
        <v>20</v>
      </c>
      <c r="E1607" t="s">
        <v>39</v>
      </c>
      <c r="F1607">
        <v>0</v>
      </c>
      <c r="G1607">
        <v>0</v>
      </c>
      <c r="H1607">
        <v>2</v>
      </c>
      <c r="I1607" s="3">
        <v>1795.48</v>
      </c>
      <c r="J1607" s="3">
        <v>0</v>
      </c>
      <c r="K1607" t="s">
        <v>3813</v>
      </c>
      <c r="L1607">
        <v>825</v>
      </c>
      <c r="M1607" t="s">
        <v>970</v>
      </c>
      <c r="N1607" t="s">
        <v>30</v>
      </c>
      <c r="O1607" t="s">
        <v>31</v>
      </c>
      <c r="P1607" t="str">
        <f t="shared" si="24"/>
        <v>15219</v>
      </c>
    </row>
    <row r="1608" spans="1:16" x14ac:dyDescent="0.25">
      <c r="A1608" t="str">
        <f>"1050026P00123    00"</f>
        <v>1050026P00123    00</v>
      </c>
      <c r="B1608" t="s">
        <v>3814</v>
      </c>
      <c r="C1608" t="s">
        <v>3815</v>
      </c>
      <c r="D1608" t="s">
        <v>20</v>
      </c>
      <c r="E1608" t="s">
        <v>39</v>
      </c>
      <c r="F1608">
        <v>0</v>
      </c>
      <c r="G1608">
        <v>0</v>
      </c>
      <c r="H1608">
        <v>5</v>
      </c>
      <c r="I1608" s="3">
        <v>5607.76</v>
      </c>
      <c r="J1608" s="3">
        <v>927.99</v>
      </c>
      <c r="K1608" t="s">
        <v>3816</v>
      </c>
      <c r="L1608">
        <v>769</v>
      </c>
      <c r="M1608" t="s">
        <v>970</v>
      </c>
      <c r="N1608" t="s">
        <v>30</v>
      </c>
      <c r="O1608" t="s">
        <v>31</v>
      </c>
      <c r="P1608" t="str">
        <f t="shared" si="24"/>
        <v>15219</v>
      </c>
    </row>
    <row r="1609" spans="1:16" x14ac:dyDescent="0.25">
      <c r="A1609" t="str">
        <f>"1050026P00129    00"</f>
        <v>1050026P00129    00</v>
      </c>
      <c r="B1609" t="s">
        <v>3817</v>
      </c>
      <c r="C1609" t="s">
        <v>3818</v>
      </c>
      <c r="D1609" t="s">
        <v>20</v>
      </c>
      <c r="E1609" t="s">
        <v>39</v>
      </c>
      <c r="F1609">
        <v>0</v>
      </c>
      <c r="G1609">
        <v>0</v>
      </c>
      <c r="H1609">
        <v>2</v>
      </c>
      <c r="I1609" s="3">
        <v>909.45</v>
      </c>
      <c r="J1609" s="3">
        <v>0</v>
      </c>
      <c r="L1609">
        <v>733</v>
      </c>
      <c r="M1609" t="s">
        <v>970</v>
      </c>
      <c r="N1609" t="s">
        <v>30</v>
      </c>
      <c r="O1609" t="s">
        <v>31</v>
      </c>
      <c r="P1609" t="str">
        <f t="shared" si="24"/>
        <v>15219</v>
      </c>
    </row>
    <row r="1610" spans="1:16" x14ac:dyDescent="0.25">
      <c r="A1610" t="str">
        <f>"1050026P00130    00"</f>
        <v>1050026P00130    00</v>
      </c>
      <c r="B1610" t="s">
        <v>3817</v>
      </c>
      <c r="C1610" t="s">
        <v>3794</v>
      </c>
      <c r="D1610" t="s">
        <v>20</v>
      </c>
      <c r="E1610" t="s">
        <v>39</v>
      </c>
      <c r="F1610">
        <v>0</v>
      </c>
      <c r="G1610">
        <v>0</v>
      </c>
      <c r="H1610">
        <v>2</v>
      </c>
      <c r="I1610" s="3">
        <v>122.62</v>
      </c>
      <c r="J1610" s="3">
        <v>0</v>
      </c>
      <c r="L1610">
        <v>733</v>
      </c>
      <c r="M1610" t="s">
        <v>970</v>
      </c>
      <c r="N1610" t="s">
        <v>30</v>
      </c>
      <c r="O1610" t="s">
        <v>31</v>
      </c>
      <c r="P1610" t="str">
        <f t="shared" si="24"/>
        <v>15219</v>
      </c>
    </row>
    <row r="1611" spans="1:16" x14ac:dyDescent="0.25">
      <c r="A1611" t="str">
        <f>"1050026P00131    00"</f>
        <v>1050026P00131    00</v>
      </c>
      <c r="B1611" t="s">
        <v>3819</v>
      </c>
      <c r="C1611" t="s">
        <v>3820</v>
      </c>
      <c r="D1611" t="s">
        <v>20</v>
      </c>
      <c r="E1611" t="s">
        <v>39</v>
      </c>
      <c r="F1611">
        <v>0</v>
      </c>
      <c r="G1611">
        <v>0</v>
      </c>
      <c r="H1611">
        <v>4</v>
      </c>
      <c r="I1611" s="3">
        <v>4214.71</v>
      </c>
      <c r="J1611" s="3">
        <v>497.88</v>
      </c>
      <c r="L1611">
        <v>727</v>
      </c>
      <c r="M1611" t="s">
        <v>970</v>
      </c>
      <c r="N1611" t="s">
        <v>30</v>
      </c>
      <c r="O1611" t="s">
        <v>31</v>
      </c>
      <c r="P1611" t="str">
        <f t="shared" si="24"/>
        <v>15219</v>
      </c>
    </row>
    <row r="1612" spans="1:16" x14ac:dyDescent="0.25">
      <c r="A1612" t="str">
        <f>"1050026P00142    00"</f>
        <v>1050026P00142    00</v>
      </c>
      <c r="B1612" t="s">
        <v>3821</v>
      </c>
      <c r="C1612" t="s">
        <v>3822</v>
      </c>
      <c r="E1612" t="s">
        <v>39</v>
      </c>
      <c r="F1612">
        <v>0</v>
      </c>
      <c r="G1612">
        <v>0</v>
      </c>
      <c r="H1612">
        <v>8</v>
      </c>
      <c r="I1612" s="3">
        <v>2921.27</v>
      </c>
      <c r="J1612" s="3">
        <v>2784.01</v>
      </c>
      <c r="K1612" t="s">
        <v>3823</v>
      </c>
      <c r="L1612">
        <v>3412</v>
      </c>
      <c r="M1612" t="s">
        <v>2732</v>
      </c>
      <c r="N1612" t="s">
        <v>30</v>
      </c>
      <c r="O1612" t="s">
        <v>31</v>
      </c>
      <c r="P1612" t="str">
        <f t="shared" si="24"/>
        <v>15219</v>
      </c>
    </row>
    <row r="1613" spans="1:16" x14ac:dyDescent="0.25">
      <c r="A1613" t="str">
        <f>"1050026P00144    00"</f>
        <v>1050026P00144    00</v>
      </c>
      <c r="B1613" t="s">
        <v>3824</v>
      </c>
      <c r="C1613" t="s">
        <v>3825</v>
      </c>
      <c r="D1613" t="s">
        <v>20</v>
      </c>
      <c r="E1613" t="s">
        <v>39</v>
      </c>
      <c r="F1613">
        <v>0</v>
      </c>
      <c r="G1613">
        <v>0</v>
      </c>
      <c r="H1613">
        <v>5</v>
      </c>
      <c r="I1613" s="3">
        <v>3142.71</v>
      </c>
      <c r="J1613" s="3">
        <v>390.66</v>
      </c>
      <c r="L1613">
        <v>19785</v>
      </c>
      <c r="M1613" t="s">
        <v>3826</v>
      </c>
      <c r="N1613" t="s">
        <v>3827</v>
      </c>
      <c r="O1613" t="s">
        <v>70</v>
      </c>
      <c r="P1613" t="str">
        <f>"48235"</f>
        <v>48235</v>
      </c>
    </row>
    <row r="1614" spans="1:16" x14ac:dyDescent="0.25">
      <c r="A1614" t="str">
        <f>"1050026P00147    00"</f>
        <v>1050026P00147    00</v>
      </c>
      <c r="B1614" t="s">
        <v>3828</v>
      </c>
      <c r="C1614" t="s">
        <v>3829</v>
      </c>
      <c r="D1614" t="s">
        <v>20</v>
      </c>
      <c r="E1614" t="s">
        <v>21</v>
      </c>
      <c r="F1614">
        <v>0</v>
      </c>
      <c r="G1614">
        <v>0</v>
      </c>
      <c r="H1614">
        <v>1</v>
      </c>
      <c r="I1614" s="3">
        <v>651.94000000000005</v>
      </c>
      <c r="J1614" s="3">
        <v>0</v>
      </c>
      <c r="K1614" t="s">
        <v>3830</v>
      </c>
      <c r="L1614">
        <v>804</v>
      </c>
      <c r="M1614" t="s">
        <v>2387</v>
      </c>
      <c r="N1614" t="s">
        <v>30</v>
      </c>
      <c r="O1614" t="s">
        <v>31</v>
      </c>
      <c r="P1614" t="str">
        <f t="shared" ref="P1614:P1620" si="25">"15219"</f>
        <v>15219</v>
      </c>
    </row>
    <row r="1615" spans="1:16" x14ac:dyDescent="0.25">
      <c r="A1615" t="str">
        <f>"1050026P00151    00"</f>
        <v>1050026P00151    00</v>
      </c>
      <c r="B1615" t="s">
        <v>3831</v>
      </c>
      <c r="C1615" t="s">
        <v>3832</v>
      </c>
      <c r="D1615" t="s">
        <v>20</v>
      </c>
      <c r="E1615" t="s">
        <v>39</v>
      </c>
      <c r="F1615">
        <v>0</v>
      </c>
      <c r="G1615">
        <v>0</v>
      </c>
      <c r="H1615">
        <v>14</v>
      </c>
      <c r="I1615" s="3">
        <v>3363.72</v>
      </c>
      <c r="J1615" s="3">
        <v>1978.64</v>
      </c>
      <c r="L1615">
        <v>712</v>
      </c>
      <c r="M1615" t="s">
        <v>3833</v>
      </c>
      <c r="N1615" t="s">
        <v>30</v>
      </c>
      <c r="O1615" t="s">
        <v>31</v>
      </c>
      <c r="P1615" t="str">
        <f t="shared" si="25"/>
        <v>15219</v>
      </c>
    </row>
    <row r="1616" spans="1:16" x14ac:dyDescent="0.25">
      <c r="A1616" t="str">
        <f>"1050026P00154    00"</f>
        <v>1050026P00154    00</v>
      </c>
      <c r="B1616" t="s">
        <v>3834</v>
      </c>
      <c r="C1616" t="s">
        <v>3835</v>
      </c>
      <c r="D1616" t="s">
        <v>20</v>
      </c>
      <c r="E1616" t="s">
        <v>39</v>
      </c>
      <c r="F1616">
        <v>0</v>
      </c>
      <c r="G1616">
        <v>0</v>
      </c>
      <c r="H1616">
        <v>8</v>
      </c>
      <c r="I1616" s="3">
        <v>8030.51</v>
      </c>
      <c r="J1616" s="3">
        <v>1529.93</v>
      </c>
      <c r="L1616">
        <v>718</v>
      </c>
      <c r="M1616" t="s">
        <v>3833</v>
      </c>
      <c r="N1616" t="s">
        <v>30</v>
      </c>
      <c r="O1616" t="s">
        <v>31</v>
      </c>
      <c r="P1616" t="str">
        <f t="shared" si="25"/>
        <v>15219</v>
      </c>
    </row>
    <row r="1617" spans="1:16" x14ac:dyDescent="0.25">
      <c r="A1617" t="str">
        <f>"1050026P00156    00"</f>
        <v>1050026P00156    00</v>
      </c>
      <c r="B1617" t="s">
        <v>1997</v>
      </c>
      <c r="C1617" t="s">
        <v>3832</v>
      </c>
      <c r="E1617" t="s">
        <v>39</v>
      </c>
      <c r="F1617">
        <v>0</v>
      </c>
      <c r="G1617">
        <v>0</v>
      </c>
      <c r="H1617">
        <v>8</v>
      </c>
      <c r="I1617" s="3">
        <v>200.12</v>
      </c>
      <c r="J1617" s="3">
        <v>261.45</v>
      </c>
      <c r="K1617" t="s">
        <v>2361</v>
      </c>
      <c r="L1617">
        <v>412</v>
      </c>
      <c r="M1617" t="s">
        <v>221</v>
      </c>
      <c r="N1617" t="s">
        <v>30</v>
      </c>
      <c r="O1617" t="s">
        <v>31</v>
      </c>
      <c r="P1617" t="str">
        <f t="shared" si="25"/>
        <v>15219</v>
      </c>
    </row>
    <row r="1618" spans="1:16" x14ac:dyDescent="0.25">
      <c r="A1618" t="str">
        <f>"1050026P00157    00"</f>
        <v>1050026P00157    00</v>
      </c>
      <c r="B1618" t="s">
        <v>1997</v>
      </c>
      <c r="C1618" t="s">
        <v>3832</v>
      </c>
      <c r="E1618" t="s">
        <v>39</v>
      </c>
      <c r="F1618">
        <v>0</v>
      </c>
      <c r="G1618">
        <v>0</v>
      </c>
      <c r="H1618">
        <v>8</v>
      </c>
      <c r="I1618" s="3">
        <v>11207.45</v>
      </c>
      <c r="J1618" s="3">
        <v>15980.84</v>
      </c>
      <c r="K1618" t="s">
        <v>2361</v>
      </c>
      <c r="L1618">
        <v>412</v>
      </c>
      <c r="M1618" t="s">
        <v>221</v>
      </c>
      <c r="N1618" t="s">
        <v>30</v>
      </c>
      <c r="O1618" t="s">
        <v>31</v>
      </c>
      <c r="P1618" t="str">
        <f t="shared" si="25"/>
        <v>15219</v>
      </c>
    </row>
    <row r="1619" spans="1:16" x14ac:dyDescent="0.25">
      <c r="A1619" t="str">
        <f>"1050026P00163    00"</f>
        <v>1050026P00163    00</v>
      </c>
      <c r="B1619" t="s">
        <v>3836</v>
      </c>
      <c r="C1619" t="s">
        <v>3837</v>
      </c>
      <c r="D1619" t="s">
        <v>20</v>
      </c>
      <c r="E1619" t="s">
        <v>39</v>
      </c>
      <c r="F1619">
        <v>0</v>
      </c>
      <c r="G1619">
        <v>0</v>
      </c>
      <c r="H1619">
        <v>12</v>
      </c>
      <c r="I1619" s="3">
        <v>4636.8900000000003</v>
      </c>
      <c r="J1619" s="3">
        <v>1813.91</v>
      </c>
      <c r="K1619" t="s">
        <v>3838</v>
      </c>
      <c r="L1619">
        <v>734</v>
      </c>
      <c r="M1619" t="s">
        <v>3833</v>
      </c>
      <c r="N1619" t="s">
        <v>30</v>
      </c>
      <c r="O1619" t="s">
        <v>31</v>
      </c>
      <c r="P1619" t="str">
        <f t="shared" si="25"/>
        <v>15219</v>
      </c>
    </row>
    <row r="1620" spans="1:16" x14ac:dyDescent="0.25">
      <c r="A1620" t="str">
        <f>"1050026P00164    00"</f>
        <v>1050026P00164    00</v>
      </c>
      <c r="B1620" t="s">
        <v>1997</v>
      </c>
      <c r="C1620" t="s">
        <v>3832</v>
      </c>
      <c r="E1620" t="s">
        <v>39</v>
      </c>
      <c r="F1620">
        <v>0</v>
      </c>
      <c r="G1620">
        <v>0</v>
      </c>
      <c r="H1620">
        <v>8</v>
      </c>
      <c r="I1620" s="3">
        <v>193.14</v>
      </c>
      <c r="J1620" s="3">
        <v>253.83</v>
      </c>
      <c r="K1620" t="s">
        <v>2361</v>
      </c>
      <c r="L1620">
        <v>412</v>
      </c>
      <c r="M1620" t="s">
        <v>221</v>
      </c>
      <c r="N1620" t="s">
        <v>30</v>
      </c>
      <c r="O1620" t="s">
        <v>31</v>
      </c>
      <c r="P1620" t="str">
        <f t="shared" si="25"/>
        <v>15219</v>
      </c>
    </row>
    <row r="1621" spans="1:16" x14ac:dyDescent="0.25">
      <c r="A1621" t="str">
        <f>"1050026P00168    00"</f>
        <v>1050026P00168    00</v>
      </c>
      <c r="B1621" t="s">
        <v>3839</v>
      </c>
      <c r="C1621" t="s">
        <v>3840</v>
      </c>
      <c r="D1621" t="s">
        <v>20</v>
      </c>
      <c r="E1621" t="s">
        <v>39</v>
      </c>
      <c r="F1621">
        <v>0</v>
      </c>
      <c r="G1621">
        <v>0</v>
      </c>
      <c r="H1621">
        <v>3</v>
      </c>
      <c r="I1621" s="3">
        <v>280.23</v>
      </c>
      <c r="J1621" s="3">
        <v>18.690000000000001</v>
      </c>
      <c r="K1621" t="s">
        <v>1632</v>
      </c>
      <c r="L1621">
        <v>3001</v>
      </c>
      <c r="M1621" t="s">
        <v>330</v>
      </c>
      <c r="N1621" t="s">
        <v>331</v>
      </c>
      <c r="O1621" t="s">
        <v>108</v>
      </c>
      <c r="P1621" t="str">
        <f>"75063"</f>
        <v>75063</v>
      </c>
    </row>
    <row r="1622" spans="1:16" x14ac:dyDescent="0.25">
      <c r="A1622" t="str">
        <f>"1050026P00169    00"</f>
        <v>1050026P00169    00</v>
      </c>
      <c r="B1622" t="s">
        <v>3839</v>
      </c>
      <c r="C1622" t="s">
        <v>3840</v>
      </c>
      <c r="D1622" t="s">
        <v>20</v>
      </c>
      <c r="E1622" t="s">
        <v>39</v>
      </c>
      <c r="F1622">
        <v>0</v>
      </c>
      <c r="G1622">
        <v>0</v>
      </c>
      <c r="H1622">
        <v>3</v>
      </c>
      <c r="I1622" s="3">
        <v>1010.78</v>
      </c>
      <c r="J1622" s="3">
        <v>79.209999999999994</v>
      </c>
      <c r="K1622" t="s">
        <v>1632</v>
      </c>
      <c r="L1622">
        <v>3001</v>
      </c>
      <c r="M1622" t="s">
        <v>330</v>
      </c>
      <c r="N1622" t="s">
        <v>331</v>
      </c>
      <c r="O1622" t="s">
        <v>108</v>
      </c>
      <c r="P1622" t="str">
        <f>"75063"</f>
        <v>75063</v>
      </c>
    </row>
    <row r="1623" spans="1:16" x14ac:dyDescent="0.25">
      <c r="A1623" t="str">
        <f>"1050026P00170    00"</f>
        <v>1050026P00170    00</v>
      </c>
      <c r="B1623" t="s">
        <v>3841</v>
      </c>
      <c r="C1623" t="s">
        <v>3842</v>
      </c>
      <c r="D1623" t="s">
        <v>20</v>
      </c>
      <c r="E1623" t="s">
        <v>39</v>
      </c>
      <c r="F1623">
        <v>0</v>
      </c>
      <c r="G1623">
        <v>0</v>
      </c>
      <c r="H1623">
        <v>2</v>
      </c>
      <c r="I1623" s="3">
        <v>998.94</v>
      </c>
      <c r="J1623" s="3">
        <v>0</v>
      </c>
      <c r="L1623">
        <v>748</v>
      </c>
      <c r="M1623" t="s">
        <v>3833</v>
      </c>
      <c r="N1623" t="s">
        <v>30</v>
      </c>
      <c r="O1623" t="s">
        <v>31</v>
      </c>
      <c r="P1623" t="str">
        <f>"15219"</f>
        <v>15219</v>
      </c>
    </row>
    <row r="1624" spans="1:16" x14ac:dyDescent="0.25">
      <c r="A1624" t="str">
        <f>"1050026P00171    00"</f>
        <v>1050026P00171    00</v>
      </c>
      <c r="B1624" t="s">
        <v>3843</v>
      </c>
      <c r="C1624" t="s">
        <v>3832</v>
      </c>
      <c r="D1624" t="s">
        <v>20</v>
      </c>
      <c r="E1624" t="s">
        <v>39</v>
      </c>
      <c r="F1624">
        <v>0</v>
      </c>
      <c r="G1624">
        <v>0</v>
      </c>
      <c r="H1624">
        <v>10</v>
      </c>
      <c r="I1624" s="3">
        <v>885.65</v>
      </c>
      <c r="J1624" s="3">
        <v>848.72</v>
      </c>
      <c r="L1624">
        <v>600</v>
      </c>
      <c r="M1624" t="s">
        <v>3844</v>
      </c>
      <c r="N1624" t="s">
        <v>3845</v>
      </c>
      <c r="O1624" t="s">
        <v>200</v>
      </c>
      <c r="P1624" t="str">
        <f>"11530"</f>
        <v>11530</v>
      </c>
    </row>
    <row r="1625" spans="1:16" x14ac:dyDescent="0.25">
      <c r="A1625" t="str">
        <f>"1050026P00173    00"</f>
        <v>1050026P00173    00</v>
      </c>
      <c r="B1625" t="s">
        <v>3846</v>
      </c>
      <c r="C1625" t="s">
        <v>3832</v>
      </c>
      <c r="D1625" t="s">
        <v>20</v>
      </c>
      <c r="E1625" t="s">
        <v>39</v>
      </c>
      <c r="F1625">
        <v>0</v>
      </c>
      <c r="G1625">
        <v>0</v>
      </c>
      <c r="H1625">
        <v>7</v>
      </c>
      <c r="I1625" s="3">
        <v>3832.75</v>
      </c>
      <c r="J1625" s="3">
        <v>1486.79</v>
      </c>
      <c r="L1625">
        <v>752</v>
      </c>
      <c r="M1625" t="s">
        <v>3833</v>
      </c>
      <c r="N1625" t="s">
        <v>30</v>
      </c>
      <c r="O1625" t="s">
        <v>31</v>
      </c>
      <c r="P1625" t="str">
        <f t="shared" ref="P1625:P1633" si="26">"15219"</f>
        <v>15219</v>
      </c>
    </row>
    <row r="1626" spans="1:16" x14ac:dyDescent="0.25">
      <c r="A1626" t="str">
        <f>"1050026P00179    00"</f>
        <v>1050026P00179    00</v>
      </c>
      <c r="B1626" t="s">
        <v>3847</v>
      </c>
      <c r="C1626" t="s">
        <v>3848</v>
      </c>
      <c r="E1626" t="s">
        <v>39</v>
      </c>
      <c r="F1626">
        <v>0</v>
      </c>
      <c r="G1626">
        <v>0</v>
      </c>
      <c r="H1626">
        <v>1</v>
      </c>
      <c r="I1626" s="3">
        <v>283.54000000000002</v>
      </c>
      <c r="J1626" s="3">
        <v>0</v>
      </c>
      <c r="L1626">
        <v>818</v>
      </c>
      <c r="M1626" t="s">
        <v>3833</v>
      </c>
      <c r="N1626" t="s">
        <v>30</v>
      </c>
      <c r="O1626" t="s">
        <v>31</v>
      </c>
      <c r="P1626" t="str">
        <f t="shared" si="26"/>
        <v>15219</v>
      </c>
    </row>
    <row r="1627" spans="1:16" x14ac:dyDescent="0.25">
      <c r="A1627" t="str">
        <f>"1050026P00180    00"</f>
        <v>1050026P00180    00</v>
      </c>
      <c r="B1627" t="s">
        <v>3849</v>
      </c>
      <c r="C1627" t="s">
        <v>3850</v>
      </c>
      <c r="D1627" t="s">
        <v>20</v>
      </c>
      <c r="E1627" t="s">
        <v>39</v>
      </c>
      <c r="F1627">
        <v>0</v>
      </c>
      <c r="G1627">
        <v>0</v>
      </c>
      <c r="H1627">
        <v>3</v>
      </c>
      <c r="I1627" s="3">
        <v>2607.4299999999998</v>
      </c>
      <c r="J1627" s="3">
        <v>27.16</v>
      </c>
      <c r="K1627" t="s">
        <v>3851</v>
      </c>
      <c r="L1627">
        <v>754</v>
      </c>
      <c r="M1627" t="s">
        <v>3852</v>
      </c>
      <c r="N1627" t="s">
        <v>30</v>
      </c>
      <c r="O1627" t="s">
        <v>31</v>
      </c>
      <c r="P1627" t="str">
        <f t="shared" si="26"/>
        <v>15219</v>
      </c>
    </row>
    <row r="1628" spans="1:16" x14ac:dyDescent="0.25">
      <c r="A1628" t="str">
        <f>"1050026P00182    00"</f>
        <v>1050026P00182    00</v>
      </c>
      <c r="B1628" t="s">
        <v>3853</v>
      </c>
      <c r="C1628" t="s">
        <v>3854</v>
      </c>
      <c r="D1628" t="s">
        <v>20</v>
      </c>
      <c r="E1628" t="s">
        <v>39</v>
      </c>
      <c r="F1628">
        <v>0</v>
      </c>
      <c r="G1628">
        <v>0</v>
      </c>
      <c r="H1628">
        <v>2</v>
      </c>
      <c r="I1628" s="3">
        <v>2420.64</v>
      </c>
      <c r="J1628" s="3">
        <v>0</v>
      </c>
      <c r="K1628" t="s">
        <v>3855</v>
      </c>
      <c r="L1628">
        <v>1801</v>
      </c>
      <c r="M1628" t="s">
        <v>3273</v>
      </c>
      <c r="N1628" t="s">
        <v>30</v>
      </c>
      <c r="O1628" t="s">
        <v>31</v>
      </c>
      <c r="P1628" t="str">
        <f t="shared" si="26"/>
        <v>15219</v>
      </c>
    </row>
    <row r="1629" spans="1:16" x14ac:dyDescent="0.25">
      <c r="A1629" t="str">
        <f>"1050026P00183    00"</f>
        <v>1050026P00183    00</v>
      </c>
      <c r="B1629" t="s">
        <v>3856</v>
      </c>
      <c r="C1629" t="s">
        <v>3857</v>
      </c>
      <c r="E1629" t="s">
        <v>39</v>
      </c>
      <c r="F1629">
        <v>0</v>
      </c>
      <c r="G1629">
        <v>0</v>
      </c>
      <c r="H1629">
        <v>1</v>
      </c>
      <c r="I1629" s="3">
        <v>461.78</v>
      </c>
      <c r="J1629" s="3">
        <v>0</v>
      </c>
      <c r="L1629">
        <v>826</v>
      </c>
      <c r="M1629" t="s">
        <v>3833</v>
      </c>
      <c r="N1629" t="s">
        <v>30</v>
      </c>
      <c r="O1629" t="s">
        <v>31</v>
      </c>
      <c r="P1629" t="str">
        <f t="shared" si="26"/>
        <v>15219</v>
      </c>
    </row>
    <row r="1630" spans="1:16" x14ac:dyDescent="0.25">
      <c r="A1630" t="str">
        <f>"1050026P00184    00"</f>
        <v>1050026P00184    00</v>
      </c>
      <c r="B1630" t="s">
        <v>3858</v>
      </c>
      <c r="C1630" t="s">
        <v>3859</v>
      </c>
      <c r="D1630" t="s">
        <v>20</v>
      </c>
      <c r="E1630" t="s">
        <v>39</v>
      </c>
      <c r="F1630">
        <v>0</v>
      </c>
      <c r="G1630">
        <v>0</v>
      </c>
      <c r="H1630">
        <v>1</v>
      </c>
      <c r="I1630" s="3">
        <v>1002.56</v>
      </c>
      <c r="J1630" s="3">
        <v>0</v>
      </c>
      <c r="K1630" t="s">
        <v>3860</v>
      </c>
      <c r="L1630">
        <v>828</v>
      </c>
      <c r="M1630" t="s">
        <v>3833</v>
      </c>
      <c r="N1630" t="s">
        <v>30</v>
      </c>
      <c r="O1630" t="s">
        <v>31</v>
      </c>
      <c r="P1630" t="str">
        <f t="shared" si="26"/>
        <v>15219</v>
      </c>
    </row>
    <row r="1631" spans="1:16" x14ac:dyDescent="0.25">
      <c r="A1631" t="str">
        <f>"1050026P00190    00"</f>
        <v>1050026P00190    00</v>
      </c>
      <c r="B1631" t="s">
        <v>3861</v>
      </c>
      <c r="C1631" t="s">
        <v>3862</v>
      </c>
      <c r="D1631" t="s">
        <v>20</v>
      </c>
      <c r="E1631" t="s">
        <v>39</v>
      </c>
      <c r="F1631">
        <v>0</v>
      </c>
      <c r="G1631">
        <v>0</v>
      </c>
      <c r="H1631">
        <v>5</v>
      </c>
      <c r="I1631" s="3">
        <v>169.62</v>
      </c>
      <c r="J1631" s="3">
        <v>121.22</v>
      </c>
      <c r="L1631">
        <v>3408</v>
      </c>
      <c r="M1631" t="s">
        <v>3863</v>
      </c>
      <c r="N1631" t="s">
        <v>30</v>
      </c>
      <c r="O1631" t="s">
        <v>31</v>
      </c>
      <c r="P1631" t="str">
        <f t="shared" si="26"/>
        <v>15219</v>
      </c>
    </row>
    <row r="1632" spans="1:16" x14ac:dyDescent="0.25">
      <c r="A1632" t="str">
        <f>"1050026P00191    00"</f>
        <v>1050026P00191    00</v>
      </c>
      <c r="B1632" t="s">
        <v>3861</v>
      </c>
      <c r="C1632" t="s">
        <v>3862</v>
      </c>
      <c r="D1632" t="s">
        <v>20</v>
      </c>
      <c r="E1632" t="s">
        <v>39</v>
      </c>
      <c r="F1632">
        <v>0</v>
      </c>
      <c r="G1632">
        <v>0</v>
      </c>
      <c r="H1632">
        <v>5</v>
      </c>
      <c r="I1632" s="3">
        <v>254.42</v>
      </c>
      <c r="J1632" s="3">
        <v>181.81</v>
      </c>
      <c r="L1632">
        <v>3408</v>
      </c>
      <c r="M1632" t="s">
        <v>3863</v>
      </c>
      <c r="N1632" t="s">
        <v>30</v>
      </c>
      <c r="O1632" t="s">
        <v>31</v>
      </c>
      <c r="P1632" t="str">
        <f t="shared" si="26"/>
        <v>15219</v>
      </c>
    </row>
    <row r="1633" spans="1:16" x14ac:dyDescent="0.25">
      <c r="A1633" t="str">
        <f>"1050026P00193    00"</f>
        <v>1050026P00193    00</v>
      </c>
      <c r="B1633" t="s">
        <v>3864</v>
      </c>
      <c r="C1633" t="s">
        <v>3865</v>
      </c>
      <c r="D1633" t="s">
        <v>20</v>
      </c>
      <c r="E1633" t="s">
        <v>39</v>
      </c>
      <c r="F1633">
        <v>0</v>
      </c>
      <c r="G1633">
        <v>0</v>
      </c>
      <c r="H1633">
        <v>1</v>
      </c>
      <c r="I1633" s="3">
        <v>661.06</v>
      </c>
      <c r="J1633" s="3">
        <v>0</v>
      </c>
      <c r="L1633">
        <v>3408</v>
      </c>
      <c r="M1633" t="s">
        <v>3863</v>
      </c>
      <c r="N1633" t="s">
        <v>30</v>
      </c>
      <c r="O1633" t="s">
        <v>31</v>
      </c>
      <c r="P1633" t="str">
        <f t="shared" si="26"/>
        <v>15219</v>
      </c>
    </row>
    <row r="1634" spans="1:16" x14ac:dyDescent="0.25">
      <c r="A1634" t="str">
        <f>"1050026P00201    00"</f>
        <v>1050026P00201    00</v>
      </c>
      <c r="B1634" t="s">
        <v>3866</v>
      </c>
      <c r="C1634" t="s">
        <v>3867</v>
      </c>
      <c r="D1634" t="s">
        <v>20</v>
      </c>
      <c r="E1634" t="s">
        <v>39</v>
      </c>
      <c r="F1634">
        <v>0</v>
      </c>
      <c r="G1634">
        <v>0</v>
      </c>
      <c r="H1634">
        <v>2</v>
      </c>
      <c r="I1634" s="3">
        <v>1291.71</v>
      </c>
      <c r="J1634" s="3">
        <v>10.81</v>
      </c>
      <c r="K1634" t="s">
        <v>391</v>
      </c>
      <c r="L1634">
        <v>1</v>
      </c>
      <c r="M1634" t="s">
        <v>392</v>
      </c>
      <c r="N1634" t="s">
        <v>393</v>
      </c>
      <c r="O1634" t="s">
        <v>394</v>
      </c>
      <c r="P1634" t="str">
        <f>"50328"</f>
        <v>50328</v>
      </c>
    </row>
    <row r="1635" spans="1:16" x14ac:dyDescent="0.25">
      <c r="A1635" t="str">
        <f>"1050026P00280    00"</f>
        <v>1050026P00280    00</v>
      </c>
      <c r="B1635" t="s">
        <v>3868</v>
      </c>
      <c r="C1635" t="s">
        <v>3869</v>
      </c>
      <c r="E1635" t="s">
        <v>207</v>
      </c>
      <c r="F1635">
        <v>0</v>
      </c>
      <c r="G1635">
        <v>0</v>
      </c>
      <c r="H1635">
        <v>3</v>
      </c>
      <c r="I1635" s="3">
        <v>1998.2</v>
      </c>
      <c r="J1635" s="3">
        <v>1952.98</v>
      </c>
      <c r="K1635" t="s">
        <v>3870</v>
      </c>
      <c r="L1635">
        <v>3515</v>
      </c>
      <c r="M1635" t="s">
        <v>3515</v>
      </c>
      <c r="N1635" t="s">
        <v>30</v>
      </c>
      <c r="O1635" t="s">
        <v>31</v>
      </c>
      <c r="P1635" t="str">
        <f>"15219"</f>
        <v>15219</v>
      </c>
    </row>
    <row r="1636" spans="1:16" x14ac:dyDescent="0.25">
      <c r="A1636" t="str">
        <f>"1050026P00297    00"</f>
        <v>1050026P00297    00</v>
      </c>
      <c r="B1636" t="s">
        <v>3871</v>
      </c>
      <c r="C1636" t="s">
        <v>3872</v>
      </c>
      <c r="D1636" t="s">
        <v>20</v>
      </c>
      <c r="E1636" t="s">
        <v>39</v>
      </c>
      <c r="F1636">
        <v>0</v>
      </c>
      <c r="G1636">
        <v>0</v>
      </c>
      <c r="H1636">
        <v>19</v>
      </c>
      <c r="I1636" s="3">
        <v>4639.82</v>
      </c>
      <c r="J1636" s="3">
        <v>3237.91</v>
      </c>
      <c r="L1636">
        <v>3401</v>
      </c>
      <c r="M1636" t="s">
        <v>1090</v>
      </c>
      <c r="N1636" t="s">
        <v>30</v>
      </c>
      <c r="O1636" t="s">
        <v>31</v>
      </c>
      <c r="P1636" t="str">
        <f>"15219"</f>
        <v>15219</v>
      </c>
    </row>
    <row r="1637" spans="1:16" x14ac:dyDescent="0.25">
      <c r="A1637" t="str">
        <f>"1050026P00299    00"</f>
        <v>1050026P00299    00</v>
      </c>
      <c r="B1637" t="s">
        <v>3873</v>
      </c>
      <c r="C1637" t="s">
        <v>3874</v>
      </c>
      <c r="D1637" t="s">
        <v>20</v>
      </c>
      <c r="E1637" t="s">
        <v>39</v>
      </c>
      <c r="F1637">
        <v>0</v>
      </c>
      <c r="G1637">
        <v>0</v>
      </c>
      <c r="H1637">
        <v>7</v>
      </c>
      <c r="I1637" s="3">
        <v>8618.85</v>
      </c>
      <c r="J1637" s="3">
        <v>1934.73</v>
      </c>
      <c r="L1637">
        <v>3410</v>
      </c>
      <c r="M1637" t="s">
        <v>1090</v>
      </c>
      <c r="N1637" t="s">
        <v>30</v>
      </c>
      <c r="O1637" t="s">
        <v>31</v>
      </c>
      <c r="P1637" t="str">
        <f>"15219"</f>
        <v>15219</v>
      </c>
    </row>
    <row r="1638" spans="1:16" x14ac:dyDescent="0.25">
      <c r="A1638" t="str">
        <f>"1050026R00004    00"</f>
        <v>1050026R00004    00</v>
      </c>
      <c r="B1638" t="s">
        <v>3641</v>
      </c>
      <c r="C1638" t="s">
        <v>3875</v>
      </c>
      <c r="E1638" t="s">
        <v>39</v>
      </c>
      <c r="F1638">
        <v>0</v>
      </c>
      <c r="G1638">
        <v>0</v>
      </c>
      <c r="H1638">
        <v>11</v>
      </c>
      <c r="I1638" s="3">
        <v>15112.37</v>
      </c>
      <c r="J1638" s="3">
        <v>20590.36</v>
      </c>
      <c r="L1638">
        <v>713</v>
      </c>
      <c r="M1638" t="s">
        <v>970</v>
      </c>
      <c r="N1638" t="s">
        <v>30</v>
      </c>
      <c r="O1638" t="s">
        <v>31</v>
      </c>
      <c r="P1638" t="str">
        <f>"15219"</f>
        <v>15219</v>
      </c>
    </row>
    <row r="1639" spans="1:16" x14ac:dyDescent="0.25">
      <c r="A1639" t="str">
        <f>"1050026R00007    00"</f>
        <v>1050026R00007    00</v>
      </c>
      <c r="B1639" t="s">
        <v>3876</v>
      </c>
      <c r="C1639" t="s">
        <v>3877</v>
      </c>
      <c r="D1639" t="s">
        <v>20</v>
      </c>
      <c r="E1639" t="s">
        <v>39</v>
      </c>
      <c r="F1639">
        <v>0</v>
      </c>
      <c r="G1639">
        <v>0</v>
      </c>
      <c r="H1639">
        <v>3</v>
      </c>
      <c r="I1639" s="3">
        <v>2331.09</v>
      </c>
      <c r="J1639" s="3">
        <v>14.95</v>
      </c>
      <c r="K1639" t="s">
        <v>3878</v>
      </c>
      <c r="L1639">
        <v>2601</v>
      </c>
      <c r="M1639" t="s">
        <v>3879</v>
      </c>
      <c r="N1639" t="s">
        <v>30</v>
      </c>
      <c r="O1639" t="s">
        <v>31</v>
      </c>
      <c r="P1639" t="str">
        <f>"15241"</f>
        <v>15241</v>
      </c>
    </row>
    <row r="1640" spans="1:16" x14ac:dyDescent="0.25">
      <c r="A1640" t="str">
        <f>"1050026R00009    00"</f>
        <v>1050026R00009    00</v>
      </c>
      <c r="B1640" t="s">
        <v>3880</v>
      </c>
      <c r="C1640" t="s">
        <v>3881</v>
      </c>
      <c r="D1640" t="s">
        <v>20</v>
      </c>
      <c r="E1640" t="s">
        <v>39</v>
      </c>
      <c r="F1640">
        <v>0</v>
      </c>
      <c r="G1640">
        <v>0</v>
      </c>
      <c r="H1640">
        <v>4</v>
      </c>
      <c r="I1640" s="3">
        <v>6902.97</v>
      </c>
      <c r="J1640" s="3">
        <v>815.44</v>
      </c>
      <c r="L1640">
        <v>916</v>
      </c>
      <c r="M1640" t="s">
        <v>3833</v>
      </c>
      <c r="N1640" t="s">
        <v>30</v>
      </c>
      <c r="O1640" t="s">
        <v>31</v>
      </c>
      <c r="P1640" t="str">
        <f>"15219"</f>
        <v>15219</v>
      </c>
    </row>
    <row r="1641" spans="1:16" x14ac:dyDescent="0.25">
      <c r="A1641" t="str">
        <f>"1050026R00026    00"</f>
        <v>1050026R00026    00</v>
      </c>
      <c r="B1641" t="s">
        <v>3882</v>
      </c>
      <c r="C1641" t="s">
        <v>3883</v>
      </c>
      <c r="D1641" t="s">
        <v>20</v>
      </c>
      <c r="E1641" t="s">
        <v>39</v>
      </c>
      <c r="F1641">
        <v>0</v>
      </c>
      <c r="G1641">
        <v>0</v>
      </c>
      <c r="H1641">
        <v>15</v>
      </c>
      <c r="I1641" s="3">
        <v>19184.8</v>
      </c>
      <c r="J1641" s="3">
        <v>11597.89</v>
      </c>
      <c r="K1641" t="s">
        <v>3884</v>
      </c>
      <c r="M1641" t="s">
        <v>3885</v>
      </c>
      <c r="N1641" t="s">
        <v>509</v>
      </c>
      <c r="O1641" t="s">
        <v>31</v>
      </c>
      <c r="P1641" t="str">
        <f>"19101"</f>
        <v>19101</v>
      </c>
    </row>
    <row r="1642" spans="1:16" x14ac:dyDescent="0.25">
      <c r="A1642" t="str">
        <f>"1050026R00028    00"</f>
        <v>1050026R00028    00</v>
      </c>
      <c r="B1642" t="s">
        <v>3513</v>
      </c>
      <c r="C1642" t="s">
        <v>3886</v>
      </c>
      <c r="E1642" t="s">
        <v>39</v>
      </c>
      <c r="F1642">
        <v>0</v>
      </c>
      <c r="G1642">
        <v>0</v>
      </c>
      <c r="H1642">
        <v>1</v>
      </c>
      <c r="I1642" s="3">
        <v>1225.57</v>
      </c>
      <c r="J1642" s="3">
        <v>0</v>
      </c>
      <c r="L1642">
        <v>3515</v>
      </c>
      <c r="M1642" t="s">
        <v>3515</v>
      </c>
      <c r="N1642" t="s">
        <v>30</v>
      </c>
      <c r="O1642" t="s">
        <v>31</v>
      </c>
      <c r="P1642" t="str">
        <f>"15219"</f>
        <v>15219</v>
      </c>
    </row>
    <row r="1643" spans="1:16" x14ac:dyDescent="0.25">
      <c r="A1643" t="str">
        <f>"1050026R00033000400"</f>
        <v>1050026R00033000400</v>
      </c>
      <c r="B1643" t="s">
        <v>3887</v>
      </c>
      <c r="C1643" t="s">
        <v>3888</v>
      </c>
      <c r="D1643" t="s">
        <v>20</v>
      </c>
      <c r="E1643" t="s">
        <v>39</v>
      </c>
      <c r="F1643">
        <v>0</v>
      </c>
      <c r="G1643">
        <v>0</v>
      </c>
      <c r="H1643">
        <v>1</v>
      </c>
      <c r="I1643" s="3">
        <v>311.14</v>
      </c>
      <c r="J1643" s="3">
        <v>0</v>
      </c>
      <c r="K1643" t="s">
        <v>417</v>
      </c>
      <c r="L1643">
        <v>3001</v>
      </c>
      <c r="M1643" t="s">
        <v>330</v>
      </c>
      <c r="N1643" t="s">
        <v>331</v>
      </c>
      <c r="O1643" t="s">
        <v>108</v>
      </c>
      <c r="P1643" t="str">
        <f>"75063"</f>
        <v>75063</v>
      </c>
    </row>
    <row r="1644" spans="1:16" x14ac:dyDescent="0.25">
      <c r="A1644" t="str">
        <f>"1050026R00044    00"</f>
        <v>1050026R00044    00</v>
      </c>
      <c r="B1644" t="s">
        <v>3889</v>
      </c>
      <c r="C1644" t="s">
        <v>3890</v>
      </c>
      <c r="E1644" t="s">
        <v>39</v>
      </c>
      <c r="F1644">
        <v>0</v>
      </c>
      <c r="G1644">
        <v>0</v>
      </c>
      <c r="H1644">
        <v>1</v>
      </c>
      <c r="I1644" s="3">
        <v>1309.29</v>
      </c>
      <c r="J1644" s="3">
        <v>0</v>
      </c>
      <c r="L1644">
        <v>3534</v>
      </c>
      <c r="M1644" t="s">
        <v>3863</v>
      </c>
      <c r="N1644" t="s">
        <v>30</v>
      </c>
      <c r="O1644" t="s">
        <v>31</v>
      </c>
      <c r="P1644" t="str">
        <f>"15219"</f>
        <v>15219</v>
      </c>
    </row>
    <row r="1645" spans="1:16" x14ac:dyDescent="0.25">
      <c r="A1645" t="str">
        <f>"1050026R00054    00"</f>
        <v>1050026R00054    00</v>
      </c>
      <c r="B1645" t="s">
        <v>3891</v>
      </c>
      <c r="C1645" t="s">
        <v>3892</v>
      </c>
      <c r="E1645" t="s">
        <v>39</v>
      </c>
      <c r="F1645">
        <v>0</v>
      </c>
      <c r="G1645">
        <v>0</v>
      </c>
      <c r="H1645">
        <v>1</v>
      </c>
      <c r="I1645" s="3">
        <v>2965.76</v>
      </c>
      <c r="J1645" s="3">
        <v>0</v>
      </c>
      <c r="K1645" t="s">
        <v>3893</v>
      </c>
      <c r="L1645">
        <v>3515</v>
      </c>
      <c r="M1645" t="s">
        <v>3515</v>
      </c>
      <c r="N1645" t="s">
        <v>30</v>
      </c>
      <c r="O1645" t="s">
        <v>31</v>
      </c>
      <c r="P1645" t="str">
        <f>"15219"</f>
        <v>15219</v>
      </c>
    </row>
    <row r="1646" spans="1:16" x14ac:dyDescent="0.25">
      <c r="A1646" t="str">
        <f>"1050026R00090    00"</f>
        <v>1050026R00090    00</v>
      </c>
      <c r="B1646" t="s">
        <v>3894</v>
      </c>
      <c r="C1646" t="s">
        <v>3895</v>
      </c>
      <c r="D1646" t="s">
        <v>20</v>
      </c>
      <c r="E1646" t="s">
        <v>39</v>
      </c>
      <c r="F1646">
        <v>0</v>
      </c>
      <c r="G1646">
        <v>0</v>
      </c>
      <c r="H1646">
        <v>1</v>
      </c>
      <c r="I1646" s="3">
        <v>1886.94</v>
      </c>
      <c r="J1646" s="3">
        <v>0</v>
      </c>
      <c r="K1646" t="s">
        <v>3896</v>
      </c>
      <c r="L1646">
        <v>806</v>
      </c>
      <c r="M1646" t="s">
        <v>2387</v>
      </c>
      <c r="N1646" t="s">
        <v>30</v>
      </c>
      <c r="O1646" t="s">
        <v>31</v>
      </c>
      <c r="P1646" t="str">
        <f>"15219"</f>
        <v>15219</v>
      </c>
    </row>
    <row r="1647" spans="1:16" x14ac:dyDescent="0.25">
      <c r="A1647" t="str">
        <f>"1050026R00099    00"</f>
        <v>1050026R00099    00</v>
      </c>
      <c r="B1647" t="s">
        <v>3897</v>
      </c>
      <c r="C1647" t="s">
        <v>3898</v>
      </c>
      <c r="E1647" t="s">
        <v>39</v>
      </c>
      <c r="F1647">
        <v>0</v>
      </c>
      <c r="G1647">
        <v>0</v>
      </c>
      <c r="H1647">
        <v>1</v>
      </c>
      <c r="I1647" s="3">
        <v>872.96</v>
      </c>
      <c r="J1647" s="3">
        <v>0</v>
      </c>
      <c r="K1647" t="s">
        <v>3899</v>
      </c>
      <c r="L1647">
        <v>912</v>
      </c>
      <c r="M1647" t="s">
        <v>3559</v>
      </c>
      <c r="N1647" t="s">
        <v>30</v>
      </c>
      <c r="O1647" t="s">
        <v>31</v>
      </c>
      <c r="P1647" t="str">
        <f>"15219"</f>
        <v>15219</v>
      </c>
    </row>
    <row r="1648" spans="1:16" x14ac:dyDescent="0.25">
      <c r="A1648" t="str">
        <f>"1050026R00193    00"</f>
        <v>1050026R00193    00</v>
      </c>
      <c r="B1648" t="s">
        <v>3900</v>
      </c>
      <c r="C1648" t="s">
        <v>3901</v>
      </c>
      <c r="D1648" t="s">
        <v>20</v>
      </c>
      <c r="E1648" t="s">
        <v>39</v>
      </c>
      <c r="F1648">
        <v>0</v>
      </c>
      <c r="G1648">
        <v>0</v>
      </c>
      <c r="H1648">
        <v>19</v>
      </c>
      <c r="I1648" s="3">
        <v>7804.74</v>
      </c>
      <c r="J1648" s="3">
        <v>5165.62</v>
      </c>
      <c r="L1648">
        <v>907</v>
      </c>
      <c r="M1648" t="s">
        <v>2408</v>
      </c>
      <c r="N1648" t="s">
        <v>30</v>
      </c>
      <c r="O1648" t="s">
        <v>31</v>
      </c>
      <c r="P1648" t="str">
        <f>"15219"</f>
        <v>15219</v>
      </c>
    </row>
    <row r="1649" spans="1:16" x14ac:dyDescent="0.25">
      <c r="A1649" t="str">
        <f>"1050026S00030    00"</f>
        <v>1050026S00030    00</v>
      </c>
      <c r="B1649" t="s">
        <v>3902</v>
      </c>
      <c r="C1649" t="s">
        <v>3903</v>
      </c>
      <c r="D1649" t="s">
        <v>20</v>
      </c>
      <c r="E1649" t="s">
        <v>21</v>
      </c>
      <c r="F1649">
        <v>0</v>
      </c>
      <c r="G1649">
        <v>0</v>
      </c>
      <c r="H1649">
        <v>1</v>
      </c>
      <c r="I1649" s="3">
        <v>3378.96</v>
      </c>
      <c r="J1649" s="3">
        <v>0</v>
      </c>
      <c r="L1649">
        <v>5</v>
      </c>
      <c r="M1649" t="s">
        <v>3904</v>
      </c>
      <c r="N1649" t="s">
        <v>3905</v>
      </c>
      <c r="O1649" t="s">
        <v>423</v>
      </c>
      <c r="P1649" t="str">
        <f>"07740"</f>
        <v>07740</v>
      </c>
    </row>
    <row r="1650" spans="1:16" x14ac:dyDescent="0.25">
      <c r="A1650" t="str">
        <f>"1050026S00051000100"</f>
        <v>1050026S00051000100</v>
      </c>
      <c r="B1650" t="s">
        <v>3906</v>
      </c>
      <c r="C1650" t="s">
        <v>3907</v>
      </c>
      <c r="D1650" t="s">
        <v>20</v>
      </c>
      <c r="E1650" t="s">
        <v>21</v>
      </c>
      <c r="F1650">
        <v>0</v>
      </c>
      <c r="G1650">
        <v>0</v>
      </c>
      <c r="H1650">
        <v>5</v>
      </c>
      <c r="I1650" s="3">
        <v>17541.990000000002</v>
      </c>
      <c r="J1650" s="3">
        <v>6262.59</v>
      </c>
      <c r="L1650">
        <v>1265</v>
      </c>
      <c r="M1650" t="s">
        <v>3580</v>
      </c>
      <c r="N1650" t="s">
        <v>30</v>
      </c>
      <c r="O1650" t="s">
        <v>31</v>
      </c>
      <c r="P1650" t="str">
        <f>"15232"</f>
        <v>15232</v>
      </c>
    </row>
    <row r="1651" spans="1:16" x14ac:dyDescent="0.25">
      <c r="A1651" t="str">
        <f>"1050026S00051000200"</f>
        <v>1050026S00051000200</v>
      </c>
      <c r="B1651" t="s">
        <v>3908</v>
      </c>
      <c r="C1651" t="s">
        <v>3907</v>
      </c>
      <c r="D1651" t="s">
        <v>20</v>
      </c>
      <c r="E1651" t="s">
        <v>21</v>
      </c>
      <c r="F1651">
        <v>0</v>
      </c>
      <c r="G1651">
        <v>0</v>
      </c>
      <c r="H1651">
        <v>1</v>
      </c>
      <c r="I1651" s="3">
        <v>2744.64</v>
      </c>
      <c r="J1651" s="3">
        <v>0</v>
      </c>
      <c r="L1651">
        <v>1265</v>
      </c>
      <c r="M1651" t="s">
        <v>3580</v>
      </c>
      <c r="N1651" t="s">
        <v>30</v>
      </c>
      <c r="O1651" t="s">
        <v>31</v>
      </c>
      <c r="P1651" t="str">
        <f>"15232"</f>
        <v>15232</v>
      </c>
    </row>
    <row r="1652" spans="1:16" x14ac:dyDescent="0.25">
      <c r="A1652" t="str">
        <f>"1050026S00051000300"</f>
        <v>1050026S00051000300</v>
      </c>
      <c r="B1652" t="s">
        <v>3578</v>
      </c>
      <c r="C1652" t="s">
        <v>3907</v>
      </c>
      <c r="D1652" t="s">
        <v>20</v>
      </c>
      <c r="E1652" t="s">
        <v>39</v>
      </c>
      <c r="F1652">
        <v>0</v>
      </c>
      <c r="G1652">
        <v>0</v>
      </c>
      <c r="H1652">
        <v>3</v>
      </c>
      <c r="I1652" s="3">
        <v>3392.68</v>
      </c>
      <c r="J1652" s="3">
        <v>0</v>
      </c>
      <c r="L1652">
        <v>1265</v>
      </c>
      <c r="M1652" t="s">
        <v>3580</v>
      </c>
      <c r="N1652" t="s">
        <v>30</v>
      </c>
      <c r="O1652" t="s">
        <v>31</v>
      </c>
      <c r="P1652" t="str">
        <f>"15232"</f>
        <v>15232</v>
      </c>
    </row>
    <row r="1653" spans="1:16" x14ac:dyDescent="0.25">
      <c r="A1653" t="str">
        <f>"1050026S00054000100"</f>
        <v>1050026S00054000100</v>
      </c>
      <c r="B1653" t="s">
        <v>3909</v>
      </c>
      <c r="C1653" t="s">
        <v>3910</v>
      </c>
      <c r="D1653" t="s">
        <v>20</v>
      </c>
      <c r="E1653" t="s">
        <v>21</v>
      </c>
      <c r="F1653">
        <v>0</v>
      </c>
      <c r="G1653">
        <v>0</v>
      </c>
      <c r="H1653">
        <v>2</v>
      </c>
      <c r="I1653" s="3">
        <v>9956.94</v>
      </c>
      <c r="J1653" s="3">
        <v>0</v>
      </c>
      <c r="K1653" t="s">
        <v>3911</v>
      </c>
      <c r="L1653">
        <v>461</v>
      </c>
      <c r="M1653" t="s">
        <v>3457</v>
      </c>
      <c r="N1653" t="s">
        <v>30</v>
      </c>
      <c r="O1653" t="s">
        <v>31</v>
      </c>
      <c r="P1653" t="str">
        <f>"15213"</f>
        <v>15213</v>
      </c>
    </row>
    <row r="1654" spans="1:16" x14ac:dyDescent="0.25">
      <c r="A1654" t="str">
        <f>"1050026S00054000200"</f>
        <v>1050026S00054000200</v>
      </c>
      <c r="B1654" t="s">
        <v>3909</v>
      </c>
      <c r="C1654" t="s">
        <v>3912</v>
      </c>
      <c r="D1654" t="s">
        <v>20</v>
      </c>
      <c r="E1654" t="s">
        <v>21</v>
      </c>
      <c r="F1654">
        <v>0</v>
      </c>
      <c r="G1654">
        <v>0</v>
      </c>
      <c r="H1654">
        <v>2</v>
      </c>
      <c r="I1654" s="3">
        <v>8157.68</v>
      </c>
      <c r="J1654" s="3">
        <v>0</v>
      </c>
      <c r="K1654" t="s">
        <v>3911</v>
      </c>
      <c r="L1654">
        <v>461</v>
      </c>
      <c r="M1654" t="s">
        <v>3457</v>
      </c>
      <c r="N1654" t="s">
        <v>30</v>
      </c>
      <c r="O1654" t="s">
        <v>31</v>
      </c>
      <c r="P1654" t="str">
        <f>"15213"</f>
        <v>15213</v>
      </c>
    </row>
    <row r="1655" spans="1:16" x14ac:dyDescent="0.25">
      <c r="A1655" t="str">
        <f>"1050026S00054000300"</f>
        <v>1050026S00054000300</v>
      </c>
      <c r="B1655" t="s">
        <v>3909</v>
      </c>
      <c r="C1655" t="s">
        <v>3910</v>
      </c>
      <c r="D1655" t="s">
        <v>20</v>
      </c>
      <c r="E1655" t="s">
        <v>21</v>
      </c>
      <c r="F1655">
        <v>0</v>
      </c>
      <c r="G1655">
        <v>0</v>
      </c>
      <c r="H1655">
        <v>2</v>
      </c>
      <c r="I1655" s="3">
        <v>11527.48</v>
      </c>
      <c r="J1655" s="3">
        <v>0</v>
      </c>
      <c r="K1655" t="s">
        <v>3911</v>
      </c>
      <c r="L1655">
        <v>461</v>
      </c>
      <c r="M1655" t="s">
        <v>3457</v>
      </c>
      <c r="N1655" t="s">
        <v>30</v>
      </c>
      <c r="O1655" t="s">
        <v>31</v>
      </c>
      <c r="P1655" t="str">
        <f>"15213"</f>
        <v>15213</v>
      </c>
    </row>
    <row r="1656" spans="1:16" x14ac:dyDescent="0.25">
      <c r="A1656" t="str">
        <f>"1050026S00054000400"</f>
        <v>1050026S00054000400</v>
      </c>
      <c r="B1656" t="s">
        <v>3909</v>
      </c>
      <c r="C1656" t="s">
        <v>3910</v>
      </c>
      <c r="D1656" t="s">
        <v>20</v>
      </c>
      <c r="E1656" t="s">
        <v>21</v>
      </c>
      <c r="F1656">
        <v>0</v>
      </c>
      <c r="G1656">
        <v>0</v>
      </c>
      <c r="H1656">
        <v>2</v>
      </c>
      <c r="I1656" s="3">
        <v>14184.48</v>
      </c>
      <c r="J1656" s="3">
        <v>0</v>
      </c>
      <c r="K1656" t="s">
        <v>3911</v>
      </c>
      <c r="L1656">
        <v>461</v>
      </c>
      <c r="M1656" t="s">
        <v>3457</v>
      </c>
      <c r="N1656" t="s">
        <v>30</v>
      </c>
      <c r="O1656" t="s">
        <v>31</v>
      </c>
      <c r="P1656" t="str">
        <f>"15213"</f>
        <v>15213</v>
      </c>
    </row>
    <row r="1657" spans="1:16" x14ac:dyDescent="0.25">
      <c r="A1657" t="str">
        <f>"1050026S00135    00"</f>
        <v>1050026S00135    00</v>
      </c>
      <c r="B1657" t="s">
        <v>3913</v>
      </c>
      <c r="C1657" t="s">
        <v>3914</v>
      </c>
      <c r="E1657" t="s">
        <v>290</v>
      </c>
      <c r="F1657">
        <v>0</v>
      </c>
      <c r="G1657">
        <v>0</v>
      </c>
      <c r="H1657">
        <v>2</v>
      </c>
      <c r="I1657" s="3">
        <v>21919</v>
      </c>
      <c r="J1657" s="3">
        <v>273.98</v>
      </c>
      <c r="L1657">
        <v>2450</v>
      </c>
      <c r="M1657" t="s">
        <v>3915</v>
      </c>
      <c r="N1657" t="s">
        <v>712</v>
      </c>
      <c r="O1657" t="s">
        <v>31</v>
      </c>
      <c r="P1657" t="str">
        <f>"16148"</f>
        <v>16148</v>
      </c>
    </row>
    <row r="1658" spans="1:16" x14ac:dyDescent="0.25">
      <c r="A1658" t="str">
        <f>"1050026S00141    00"</f>
        <v>1050026S00141    00</v>
      </c>
      <c r="B1658" t="s">
        <v>3916</v>
      </c>
      <c r="C1658" t="s">
        <v>3917</v>
      </c>
      <c r="D1658" t="s">
        <v>20</v>
      </c>
      <c r="E1658" t="s">
        <v>21</v>
      </c>
      <c r="F1658">
        <v>0</v>
      </c>
      <c r="G1658">
        <v>0</v>
      </c>
      <c r="H1658">
        <v>1</v>
      </c>
      <c r="I1658" s="3">
        <v>820.97</v>
      </c>
      <c r="J1658" s="3">
        <v>328.38</v>
      </c>
      <c r="L1658">
        <v>7220</v>
      </c>
      <c r="M1658" t="s">
        <v>3918</v>
      </c>
      <c r="N1658" t="s">
        <v>3919</v>
      </c>
      <c r="O1658" t="s">
        <v>370</v>
      </c>
      <c r="P1658" t="str">
        <f>"32244"</f>
        <v>32244</v>
      </c>
    </row>
    <row r="1659" spans="1:16" x14ac:dyDescent="0.25">
      <c r="A1659" t="str">
        <f>"1050026S00147    00"</f>
        <v>1050026S00147    00</v>
      </c>
      <c r="B1659" t="s">
        <v>3920</v>
      </c>
      <c r="C1659" t="s">
        <v>3921</v>
      </c>
      <c r="E1659" t="s">
        <v>39</v>
      </c>
      <c r="F1659">
        <v>0</v>
      </c>
      <c r="G1659">
        <v>0</v>
      </c>
      <c r="H1659">
        <v>1</v>
      </c>
      <c r="I1659" s="3">
        <v>84.98</v>
      </c>
      <c r="J1659" s="3">
        <v>40.36</v>
      </c>
      <c r="K1659" t="s">
        <v>3922</v>
      </c>
      <c r="M1659" t="s">
        <v>188</v>
      </c>
      <c r="N1659" t="s">
        <v>30</v>
      </c>
      <c r="O1659" t="s">
        <v>31</v>
      </c>
      <c r="P1659" t="str">
        <f>"15213"</f>
        <v>15213</v>
      </c>
    </row>
    <row r="1660" spans="1:16" x14ac:dyDescent="0.25">
      <c r="A1660" t="str">
        <f>"1050026S00148    00"</f>
        <v>1050026S00148    00</v>
      </c>
      <c r="B1660" t="s">
        <v>3920</v>
      </c>
      <c r="C1660" t="s">
        <v>3923</v>
      </c>
      <c r="E1660" t="s">
        <v>39</v>
      </c>
      <c r="F1660">
        <v>0</v>
      </c>
      <c r="G1660">
        <v>0</v>
      </c>
      <c r="H1660">
        <v>1</v>
      </c>
      <c r="I1660" s="3">
        <v>76.44</v>
      </c>
      <c r="J1660" s="3">
        <v>36.31</v>
      </c>
      <c r="K1660" t="s">
        <v>3922</v>
      </c>
      <c r="M1660" t="s">
        <v>188</v>
      </c>
      <c r="N1660" t="s">
        <v>30</v>
      </c>
      <c r="O1660" t="s">
        <v>31</v>
      </c>
      <c r="P1660" t="str">
        <f>"15213"</f>
        <v>15213</v>
      </c>
    </row>
    <row r="1661" spans="1:16" x14ac:dyDescent="0.25">
      <c r="A1661" t="str">
        <f>"1050026S00225    00"</f>
        <v>1050026S00225    00</v>
      </c>
      <c r="B1661" t="s">
        <v>3916</v>
      </c>
      <c r="C1661" t="s">
        <v>3924</v>
      </c>
      <c r="D1661" t="s">
        <v>20</v>
      </c>
      <c r="E1661" t="s">
        <v>21</v>
      </c>
      <c r="F1661">
        <v>0</v>
      </c>
      <c r="G1661">
        <v>0</v>
      </c>
      <c r="H1661">
        <v>1</v>
      </c>
      <c r="I1661" s="3">
        <v>647.22</v>
      </c>
      <c r="J1661" s="3">
        <v>258.88</v>
      </c>
      <c r="L1661">
        <v>7220</v>
      </c>
      <c r="M1661" t="s">
        <v>3918</v>
      </c>
      <c r="N1661" t="s">
        <v>3919</v>
      </c>
      <c r="O1661" t="s">
        <v>370</v>
      </c>
      <c r="P1661" t="str">
        <f>"32244"</f>
        <v>32244</v>
      </c>
    </row>
    <row r="1662" spans="1:16" x14ac:dyDescent="0.25">
      <c r="A1662" t="str">
        <f>"1050027A00001    00"</f>
        <v>1050027A00001    00</v>
      </c>
      <c r="B1662" t="s">
        <v>3763</v>
      </c>
      <c r="C1662" t="s">
        <v>3925</v>
      </c>
      <c r="D1662" t="s">
        <v>20</v>
      </c>
      <c r="E1662" t="s">
        <v>21</v>
      </c>
      <c r="F1662">
        <v>0</v>
      </c>
      <c r="G1662">
        <v>0</v>
      </c>
      <c r="H1662">
        <v>1</v>
      </c>
      <c r="I1662" s="3">
        <v>4002.62</v>
      </c>
      <c r="J1662" s="3">
        <v>0</v>
      </c>
      <c r="L1662">
        <v>806</v>
      </c>
      <c r="M1662" t="s">
        <v>2387</v>
      </c>
      <c r="N1662" t="s">
        <v>30</v>
      </c>
      <c r="O1662" t="s">
        <v>31</v>
      </c>
      <c r="P1662" t="str">
        <f>"15219"</f>
        <v>15219</v>
      </c>
    </row>
    <row r="1663" spans="1:16" x14ac:dyDescent="0.25">
      <c r="A1663" t="str">
        <f>"1050027A00010    00"</f>
        <v>1050027A00010    00</v>
      </c>
      <c r="B1663" t="s">
        <v>921</v>
      </c>
      <c r="C1663" t="s">
        <v>3926</v>
      </c>
      <c r="D1663" t="s">
        <v>20</v>
      </c>
      <c r="E1663" t="s">
        <v>39</v>
      </c>
      <c r="F1663">
        <v>0</v>
      </c>
      <c r="G1663">
        <v>0</v>
      </c>
      <c r="H1663">
        <v>1</v>
      </c>
      <c r="I1663" s="3">
        <v>419.34</v>
      </c>
      <c r="J1663" s="3">
        <v>0</v>
      </c>
      <c r="L1663">
        <v>46</v>
      </c>
      <c r="M1663" t="s">
        <v>913</v>
      </c>
      <c r="N1663" t="s">
        <v>914</v>
      </c>
      <c r="O1663" t="s">
        <v>200</v>
      </c>
      <c r="P1663" t="str">
        <f>"10952"</f>
        <v>10952</v>
      </c>
    </row>
    <row r="1664" spans="1:16" x14ac:dyDescent="0.25">
      <c r="A1664" t="str">
        <f>"1050027A00021    00"</f>
        <v>1050027A00021    00</v>
      </c>
      <c r="B1664" t="s">
        <v>3927</v>
      </c>
      <c r="C1664" t="s">
        <v>3928</v>
      </c>
      <c r="D1664" t="s">
        <v>20</v>
      </c>
      <c r="E1664" t="s">
        <v>39</v>
      </c>
      <c r="F1664">
        <v>0</v>
      </c>
      <c r="G1664">
        <v>0</v>
      </c>
      <c r="H1664">
        <v>15</v>
      </c>
      <c r="I1664" s="3">
        <v>6765.83</v>
      </c>
      <c r="J1664" s="3">
        <v>4469.0600000000004</v>
      </c>
      <c r="L1664">
        <v>4333</v>
      </c>
      <c r="M1664" t="s">
        <v>3929</v>
      </c>
      <c r="N1664" t="s">
        <v>30</v>
      </c>
      <c r="O1664" t="s">
        <v>31</v>
      </c>
      <c r="P1664" t="str">
        <f>"15213"</f>
        <v>15213</v>
      </c>
    </row>
    <row r="1665" spans="1:16" x14ac:dyDescent="0.25">
      <c r="A1665" t="str">
        <f>"1050027A00022    00"</f>
        <v>1050027A00022    00</v>
      </c>
      <c r="B1665" t="s">
        <v>3930</v>
      </c>
      <c r="C1665" t="s">
        <v>1091</v>
      </c>
      <c r="D1665" t="s">
        <v>20</v>
      </c>
      <c r="E1665" t="s">
        <v>39</v>
      </c>
      <c r="F1665">
        <v>0</v>
      </c>
      <c r="G1665">
        <v>0</v>
      </c>
      <c r="H1665">
        <v>19</v>
      </c>
      <c r="I1665" s="3">
        <v>6628.23</v>
      </c>
      <c r="J1665" s="3">
        <v>6319.37</v>
      </c>
      <c r="P1665" t="str">
        <f>""</f>
        <v/>
      </c>
    </row>
    <row r="1666" spans="1:16" x14ac:dyDescent="0.25">
      <c r="A1666" t="str">
        <f>"1050027A00024    00"</f>
        <v>1050027A00024    00</v>
      </c>
      <c r="B1666" t="s">
        <v>3931</v>
      </c>
      <c r="C1666" t="s">
        <v>3932</v>
      </c>
      <c r="E1666" t="s">
        <v>39</v>
      </c>
      <c r="F1666">
        <v>0</v>
      </c>
      <c r="G1666">
        <v>0</v>
      </c>
      <c r="H1666">
        <v>1</v>
      </c>
      <c r="I1666" s="3">
        <v>248.06</v>
      </c>
      <c r="J1666" s="3">
        <v>0</v>
      </c>
      <c r="L1666">
        <v>1688</v>
      </c>
      <c r="M1666" t="s">
        <v>3933</v>
      </c>
      <c r="N1666" t="s">
        <v>3934</v>
      </c>
      <c r="O1666" t="s">
        <v>31</v>
      </c>
      <c r="P1666" t="str">
        <f>"15102"</f>
        <v>15102</v>
      </c>
    </row>
    <row r="1667" spans="1:16" x14ac:dyDescent="0.25">
      <c r="A1667" t="str">
        <f>"1050027A00026    00"</f>
        <v>1050027A00026    00</v>
      </c>
      <c r="B1667" t="s">
        <v>3935</v>
      </c>
      <c r="C1667" t="s">
        <v>3936</v>
      </c>
      <c r="D1667" t="s">
        <v>20</v>
      </c>
      <c r="E1667" t="s">
        <v>39</v>
      </c>
      <c r="F1667">
        <v>0</v>
      </c>
      <c r="G1667">
        <v>0</v>
      </c>
      <c r="H1667">
        <v>2</v>
      </c>
      <c r="I1667" s="3">
        <v>914.92</v>
      </c>
      <c r="J1667" s="3">
        <v>91.49</v>
      </c>
      <c r="K1667" t="s">
        <v>3937</v>
      </c>
      <c r="L1667">
        <v>1247</v>
      </c>
      <c r="M1667" t="s">
        <v>3938</v>
      </c>
      <c r="N1667" t="s">
        <v>30</v>
      </c>
      <c r="O1667" t="s">
        <v>31</v>
      </c>
      <c r="P1667" t="str">
        <f>"15212"</f>
        <v>15212</v>
      </c>
    </row>
    <row r="1668" spans="1:16" x14ac:dyDescent="0.25">
      <c r="A1668" t="str">
        <f>"1050027A00027    00"</f>
        <v>1050027A00027    00</v>
      </c>
      <c r="B1668" t="s">
        <v>3939</v>
      </c>
      <c r="C1668" t="s">
        <v>3940</v>
      </c>
      <c r="D1668" t="s">
        <v>20</v>
      </c>
      <c r="E1668" t="s">
        <v>39</v>
      </c>
      <c r="F1668">
        <v>0</v>
      </c>
      <c r="G1668">
        <v>0</v>
      </c>
      <c r="H1668">
        <v>1</v>
      </c>
      <c r="I1668" s="3">
        <v>77.53</v>
      </c>
      <c r="J1668" s="3">
        <v>0</v>
      </c>
      <c r="L1668">
        <v>2948</v>
      </c>
      <c r="M1668" t="s">
        <v>1090</v>
      </c>
      <c r="N1668" t="s">
        <v>30</v>
      </c>
      <c r="O1668" t="s">
        <v>31</v>
      </c>
      <c r="P1668" t="str">
        <f>"15219"</f>
        <v>15219</v>
      </c>
    </row>
    <row r="1669" spans="1:16" x14ac:dyDescent="0.25">
      <c r="A1669" t="str">
        <f>"1050027A00028    00"</f>
        <v>1050027A00028    00</v>
      </c>
      <c r="B1669" t="s">
        <v>3941</v>
      </c>
      <c r="C1669" t="s">
        <v>1091</v>
      </c>
      <c r="D1669" t="s">
        <v>20</v>
      </c>
      <c r="E1669" t="s">
        <v>39</v>
      </c>
      <c r="F1669">
        <v>0</v>
      </c>
      <c r="G1669">
        <v>0</v>
      </c>
      <c r="H1669">
        <v>6</v>
      </c>
      <c r="I1669" s="3">
        <v>1090.1199999999999</v>
      </c>
      <c r="J1669" s="3">
        <v>582.24</v>
      </c>
      <c r="L1669">
        <v>304</v>
      </c>
      <c r="M1669" t="s">
        <v>3942</v>
      </c>
      <c r="N1669" t="s">
        <v>30</v>
      </c>
      <c r="O1669" t="s">
        <v>31</v>
      </c>
      <c r="P1669" t="str">
        <f>"15208"</f>
        <v>15208</v>
      </c>
    </row>
    <row r="1670" spans="1:16" x14ac:dyDescent="0.25">
      <c r="A1670" t="str">
        <f>"1050027A00029    00"</f>
        <v>1050027A00029    00</v>
      </c>
      <c r="B1670" t="s">
        <v>3943</v>
      </c>
      <c r="C1670" t="s">
        <v>1091</v>
      </c>
      <c r="D1670" t="s">
        <v>20</v>
      </c>
      <c r="E1670" t="s">
        <v>39</v>
      </c>
      <c r="F1670">
        <v>0</v>
      </c>
      <c r="G1670">
        <v>0</v>
      </c>
      <c r="H1670">
        <v>19</v>
      </c>
      <c r="I1670" s="3">
        <v>11122.62</v>
      </c>
      <c r="J1670" s="3">
        <v>12704.05</v>
      </c>
      <c r="L1670">
        <v>1900</v>
      </c>
      <c r="M1670" t="s">
        <v>3944</v>
      </c>
      <c r="N1670" t="s">
        <v>285</v>
      </c>
      <c r="O1670" t="s">
        <v>31</v>
      </c>
      <c r="P1670" t="str">
        <f>"15120"</f>
        <v>15120</v>
      </c>
    </row>
    <row r="1671" spans="1:16" x14ac:dyDescent="0.25">
      <c r="A1671" t="str">
        <f>"1050027A00039    00"</f>
        <v>1050027A00039    00</v>
      </c>
      <c r="B1671" t="s">
        <v>3945</v>
      </c>
      <c r="C1671" t="s">
        <v>3946</v>
      </c>
      <c r="D1671" t="s">
        <v>20</v>
      </c>
      <c r="E1671" t="s">
        <v>39</v>
      </c>
      <c r="F1671">
        <v>0</v>
      </c>
      <c r="G1671">
        <v>0</v>
      </c>
      <c r="H1671">
        <v>3</v>
      </c>
      <c r="I1671" s="3">
        <v>1028.8</v>
      </c>
      <c r="J1671" s="3">
        <v>18.079999999999998</v>
      </c>
      <c r="L1671">
        <v>653</v>
      </c>
      <c r="M1671" t="s">
        <v>2387</v>
      </c>
      <c r="N1671" t="s">
        <v>30</v>
      </c>
      <c r="O1671" t="s">
        <v>31</v>
      </c>
      <c r="P1671" t="str">
        <f>"15219"</f>
        <v>15219</v>
      </c>
    </row>
    <row r="1672" spans="1:16" x14ac:dyDescent="0.25">
      <c r="A1672" t="str">
        <f>"1050027A00043    00"</f>
        <v>1050027A00043    00</v>
      </c>
      <c r="B1672" t="s">
        <v>3947</v>
      </c>
      <c r="C1672" t="s">
        <v>3948</v>
      </c>
      <c r="D1672" t="s">
        <v>20</v>
      </c>
      <c r="E1672" t="s">
        <v>39</v>
      </c>
      <c r="F1672">
        <v>0</v>
      </c>
      <c r="G1672">
        <v>0</v>
      </c>
      <c r="H1672">
        <v>12</v>
      </c>
      <c r="I1672" s="3">
        <v>12236.44</v>
      </c>
      <c r="J1672" s="3">
        <v>7038.97</v>
      </c>
      <c r="K1672" t="s">
        <v>3949</v>
      </c>
      <c r="L1672">
        <v>3510</v>
      </c>
      <c r="M1672" t="s">
        <v>3950</v>
      </c>
      <c r="N1672" t="s">
        <v>3951</v>
      </c>
      <c r="O1672" t="s">
        <v>370</v>
      </c>
      <c r="P1672" t="str">
        <f>"33605"</f>
        <v>33605</v>
      </c>
    </row>
    <row r="1673" spans="1:16" x14ac:dyDescent="0.25">
      <c r="A1673" t="str">
        <f>"1050027A00048    00"</f>
        <v>1050027A00048    00</v>
      </c>
      <c r="B1673" t="s">
        <v>1300</v>
      </c>
      <c r="C1673" t="s">
        <v>3761</v>
      </c>
      <c r="D1673" t="s">
        <v>20</v>
      </c>
      <c r="E1673" t="s">
        <v>39</v>
      </c>
      <c r="F1673">
        <v>0</v>
      </c>
      <c r="G1673">
        <v>0</v>
      </c>
      <c r="H1673">
        <v>3</v>
      </c>
      <c r="I1673" s="3">
        <v>119.43</v>
      </c>
      <c r="J1673" s="3">
        <v>0.66</v>
      </c>
      <c r="M1673" t="s">
        <v>2628</v>
      </c>
      <c r="N1673" t="s">
        <v>30</v>
      </c>
      <c r="O1673" t="s">
        <v>31</v>
      </c>
      <c r="P1673" t="str">
        <f>"15213"</f>
        <v>15213</v>
      </c>
    </row>
    <row r="1674" spans="1:16" x14ac:dyDescent="0.25">
      <c r="A1674" t="str">
        <f>"1050027A00069    00"</f>
        <v>1050027A00069    00</v>
      </c>
      <c r="B1674" t="s">
        <v>3952</v>
      </c>
      <c r="C1674" t="s">
        <v>2547</v>
      </c>
      <c r="D1674" t="s">
        <v>20</v>
      </c>
      <c r="E1674" t="s">
        <v>39</v>
      </c>
      <c r="F1674">
        <v>0</v>
      </c>
      <c r="G1674">
        <v>0</v>
      </c>
      <c r="H1674">
        <v>19</v>
      </c>
      <c r="I1674" s="3">
        <v>5276.81</v>
      </c>
      <c r="J1674" s="3">
        <v>3858.54</v>
      </c>
      <c r="K1674" t="s">
        <v>1008</v>
      </c>
      <c r="P1674" t="str">
        <f>""</f>
        <v/>
      </c>
    </row>
    <row r="1675" spans="1:16" x14ac:dyDescent="0.25">
      <c r="A1675" t="str">
        <f>"1050027A00080    00"</f>
        <v>1050027A00080    00</v>
      </c>
      <c r="B1675" t="s">
        <v>3953</v>
      </c>
      <c r="C1675" t="s">
        <v>3954</v>
      </c>
      <c r="D1675" t="s">
        <v>20</v>
      </c>
      <c r="E1675" t="s">
        <v>39</v>
      </c>
      <c r="F1675">
        <v>0</v>
      </c>
      <c r="G1675">
        <v>0</v>
      </c>
      <c r="H1675">
        <v>19</v>
      </c>
      <c r="I1675" s="3">
        <v>8143.97</v>
      </c>
      <c r="J1675" s="3">
        <v>7363.52</v>
      </c>
      <c r="L1675">
        <v>2923</v>
      </c>
      <c r="M1675" t="s">
        <v>2548</v>
      </c>
      <c r="N1675" t="s">
        <v>30</v>
      </c>
      <c r="O1675" t="s">
        <v>31</v>
      </c>
      <c r="P1675" t="str">
        <f>"15219"</f>
        <v>15219</v>
      </c>
    </row>
    <row r="1676" spans="1:16" x14ac:dyDescent="0.25">
      <c r="A1676" t="str">
        <f>"1050027A00083    00"</f>
        <v>1050027A00083    00</v>
      </c>
      <c r="B1676" t="s">
        <v>3955</v>
      </c>
      <c r="C1676" t="s">
        <v>3956</v>
      </c>
      <c r="D1676" t="s">
        <v>20</v>
      </c>
      <c r="E1676" t="s">
        <v>39</v>
      </c>
      <c r="F1676">
        <v>0</v>
      </c>
      <c r="G1676">
        <v>0</v>
      </c>
      <c r="H1676">
        <v>17</v>
      </c>
      <c r="I1676" s="3">
        <v>151.01</v>
      </c>
      <c r="J1676" s="3">
        <v>139.57</v>
      </c>
      <c r="K1676" t="s">
        <v>1037</v>
      </c>
      <c r="L1676">
        <v>1</v>
      </c>
      <c r="M1676" t="s">
        <v>3957</v>
      </c>
      <c r="N1676" t="s">
        <v>30</v>
      </c>
      <c r="O1676" t="s">
        <v>31</v>
      </c>
      <c r="P1676" t="str">
        <f>"15202"</f>
        <v>15202</v>
      </c>
    </row>
    <row r="1677" spans="1:16" x14ac:dyDescent="0.25">
      <c r="A1677" t="str">
        <f>"1050027A00088    00"</f>
        <v>1050027A00088    00</v>
      </c>
      <c r="B1677" t="s">
        <v>3958</v>
      </c>
      <c r="C1677" t="s">
        <v>2547</v>
      </c>
      <c r="D1677" t="s">
        <v>20</v>
      </c>
      <c r="E1677" t="s">
        <v>39</v>
      </c>
      <c r="F1677">
        <v>0</v>
      </c>
      <c r="G1677">
        <v>0</v>
      </c>
      <c r="H1677">
        <v>5</v>
      </c>
      <c r="I1677" s="3">
        <v>372.68</v>
      </c>
      <c r="J1677" s="3">
        <v>58.11</v>
      </c>
      <c r="L1677">
        <v>1216</v>
      </c>
      <c r="M1677" t="s">
        <v>3959</v>
      </c>
      <c r="N1677" t="s">
        <v>30</v>
      </c>
      <c r="O1677" t="s">
        <v>31</v>
      </c>
      <c r="P1677" t="str">
        <f>"15221"</f>
        <v>15221</v>
      </c>
    </row>
    <row r="1678" spans="1:16" x14ac:dyDescent="0.25">
      <c r="A1678" t="str">
        <f>"1050027A00089    00"</f>
        <v>1050027A00089    00</v>
      </c>
      <c r="B1678" t="s">
        <v>3958</v>
      </c>
      <c r="C1678" t="s">
        <v>3960</v>
      </c>
      <c r="D1678" t="s">
        <v>20</v>
      </c>
      <c r="E1678" t="s">
        <v>39</v>
      </c>
      <c r="F1678">
        <v>0</v>
      </c>
      <c r="G1678">
        <v>0</v>
      </c>
      <c r="H1678">
        <v>9</v>
      </c>
      <c r="I1678" s="3">
        <v>1504.22</v>
      </c>
      <c r="J1678" s="3">
        <v>854.75</v>
      </c>
      <c r="L1678">
        <v>1216</v>
      </c>
      <c r="M1678" t="s">
        <v>3959</v>
      </c>
      <c r="N1678" t="s">
        <v>30</v>
      </c>
      <c r="O1678" t="s">
        <v>31</v>
      </c>
      <c r="P1678" t="str">
        <f>"15221"</f>
        <v>15221</v>
      </c>
    </row>
    <row r="1679" spans="1:16" x14ac:dyDescent="0.25">
      <c r="A1679" t="str">
        <f>"1050027A00091    00"</f>
        <v>1050027A00091    00</v>
      </c>
      <c r="B1679" t="s">
        <v>3961</v>
      </c>
      <c r="C1679" t="s">
        <v>2547</v>
      </c>
      <c r="D1679" t="s">
        <v>20</v>
      </c>
      <c r="E1679" t="s">
        <v>39</v>
      </c>
      <c r="F1679">
        <v>0</v>
      </c>
      <c r="G1679">
        <v>0</v>
      </c>
      <c r="H1679">
        <v>19</v>
      </c>
      <c r="I1679" s="3">
        <v>1999.11</v>
      </c>
      <c r="J1679" s="3">
        <v>1979.13</v>
      </c>
      <c r="L1679">
        <v>2934</v>
      </c>
      <c r="M1679" t="s">
        <v>2548</v>
      </c>
      <c r="N1679" t="s">
        <v>30</v>
      </c>
      <c r="O1679" t="s">
        <v>31</v>
      </c>
      <c r="P1679" t="str">
        <f>"15219"</f>
        <v>15219</v>
      </c>
    </row>
    <row r="1680" spans="1:16" x14ac:dyDescent="0.25">
      <c r="A1680" t="str">
        <f>"1050027A00092    00"</f>
        <v>1050027A00092    00</v>
      </c>
      <c r="B1680" t="s">
        <v>3962</v>
      </c>
      <c r="C1680" t="s">
        <v>2547</v>
      </c>
      <c r="D1680" t="s">
        <v>20</v>
      </c>
      <c r="E1680" t="s">
        <v>39</v>
      </c>
      <c r="F1680">
        <v>0</v>
      </c>
      <c r="G1680">
        <v>0</v>
      </c>
      <c r="H1680">
        <v>19</v>
      </c>
      <c r="I1680" s="3">
        <v>7740.11</v>
      </c>
      <c r="J1680" s="3">
        <v>9585.2800000000007</v>
      </c>
      <c r="L1680">
        <v>2936</v>
      </c>
      <c r="M1680" t="s">
        <v>2548</v>
      </c>
      <c r="N1680" t="s">
        <v>30</v>
      </c>
      <c r="O1680" t="s">
        <v>31</v>
      </c>
      <c r="P1680" t="str">
        <f>"15219"</f>
        <v>15219</v>
      </c>
    </row>
    <row r="1681" spans="1:16" x14ac:dyDescent="0.25">
      <c r="A1681" t="str">
        <f>"1050027A00093    00"</f>
        <v>1050027A00093    00</v>
      </c>
      <c r="B1681" t="s">
        <v>3963</v>
      </c>
      <c r="C1681" t="s">
        <v>2547</v>
      </c>
      <c r="D1681" t="s">
        <v>20</v>
      </c>
      <c r="E1681" t="s">
        <v>39</v>
      </c>
      <c r="F1681">
        <v>0</v>
      </c>
      <c r="G1681">
        <v>0</v>
      </c>
      <c r="H1681">
        <v>19</v>
      </c>
      <c r="I1681" s="3">
        <v>5760.69</v>
      </c>
      <c r="J1681" s="3">
        <v>5831.55</v>
      </c>
      <c r="L1681">
        <v>2938</v>
      </c>
      <c r="M1681" t="s">
        <v>2548</v>
      </c>
      <c r="N1681" t="s">
        <v>30</v>
      </c>
      <c r="O1681" t="s">
        <v>31</v>
      </c>
      <c r="P1681" t="str">
        <f>"15219"</f>
        <v>15219</v>
      </c>
    </row>
    <row r="1682" spans="1:16" x14ac:dyDescent="0.25">
      <c r="A1682" t="str">
        <f>"1050027A00096    00"</f>
        <v>1050027A00096    00</v>
      </c>
      <c r="B1682" t="s">
        <v>3964</v>
      </c>
      <c r="C1682" t="s">
        <v>3965</v>
      </c>
      <c r="D1682" t="s">
        <v>20</v>
      </c>
      <c r="E1682" t="s">
        <v>39</v>
      </c>
      <c r="F1682">
        <v>0</v>
      </c>
      <c r="G1682">
        <v>0</v>
      </c>
      <c r="H1682">
        <v>3</v>
      </c>
      <c r="I1682" s="3">
        <v>1682.65</v>
      </c>
      <c r="J1682" s="3">
        <v>53.68</v>
      </c>
      <c r="K1682" t="s">
        <v>3966</v>
      </c>
      <c r="L1682">
        <v>3439</v>
      </c>
      <c r="M1682" t="s">
        <v>3457</v>
      </c>
      <c r="N1682" t="s">
        <v>30</v>
      </c>
      <c r="O1682" t="s">
        <v>31</v>
      </c>
      <c r="P1682" t="str">
        <f>"15219"</f>
        <v>15219</v>
      </c>
    </row>
    <row r="1683" spans="1:16" x14ac:dyDescent="0.25">
      <c r="A1683" t="str">
        <f>"1050027A00123A   00"</f>
        <v>1050027A00123A   00</v>
      </c>
      <c r="B1683" t="s">
        <v>3967</v>
      </c>
      <c r="C1683" t="s">
        <v>1188</v>
      </c>
      <c r="D1683" t="s">
        <v>20</v>
      </c>
      <c r="E1683" t="s">
        <v>39</v>
      </c>
      <c r="F1683">
        <v>0</v>
      </c>
      <c r="G1683">
        <v>0</v>
      </c>
      <c r="H1683">
        <v>17</v>
      </c>
      <c r="I1683" s="3">
        <v>94.55</v>
      </c>
      <c r="J1683" s="3">
        <v>89.66</v>
      </c>
      <c r="L1683">
        <v>301</v>
      </c>
      <c r="M1683" t="s">
        <v>3968</v>
      </c>
      <c r="N1683" t="s">
        <v>30</v>
      </c>
      <c r="O1683" t="s">
        <v>31</v>
      </c>
      <c r="P1683" t="str">
        <f>"15222"</f>
        <v>15222</v>
      </c>
    </row>
    <row r="1684" spans="1:16" x14ac:dyDescent="0.25">
      <c r="A1684" t="str">
        <f>"1050027A00127    00"</f>
        <v>1050027A00127    00</v>
      </c>
      <c r="B1684" t="s">
        <v>3969</v>
      </c>
      <c r="C1684" t="s">
        <v>3970</v>
      </c>
      <c r="D1684" t="s">
        <v>20</v>
      </c>
      <c r="E1684" t="s">
        <v>39</v>
      </c>
      <c r="F1684">
        <v>0</v>
      </c>
      <c r="G1684">
        <v>0</v>
      </c>
      <c r="H1684">
        <v>1</v>
      </c>
      <c r="I1684" s="3">
        <v>825.31</v>
      </c>
      <c r="J1684" s="3">
        <v>0</v>
      </c>
      <c r="K1684" t="s">
        <v>3971</v>
      </c>
      <c r="L1684">
        <v>606</v>
      </c>
      <c r="M1684" t="s">
        <v>614</v>
      </c>
      <c r="N1684" t="s">
        <v>30</v>
      </c>
      <c r="O1684" t="s">
        <v>31</v>
      </c>
      <c r="P1684" t="str">
        <f>"15222"</f>
        <v>15222</v>
      </c>
    </row>
    <row r="1685" spans="1:16" x14ac:dyDescent="0.25">
      <c r="A1685" t="str">
        <f>"1050027A00128    00"</f>
        <v>1050027A00128    00</v>
      </c>
      <c r="B1685" t="s">
        <v>3969</v>
      </c>
      <c r="C1685" t="s">
        <v>3972</v>
      </c>
      <c r="D1685" t="s">
        <v>20</v>
      </c>
      <c r="E1685" t="s">
        <v>39</v>
      </c>
      <c r="F1685">
        <v>0</v>
      </c>
      <c r="G1685">
        <v>0</v>
      </c>
      <c r="H1685">
        <v>1</v>
      </c>
      <c r="I1685" s="3">
        <v>709.03</v>
      </c>
      <c r="J1685" s="3">
        <v>0</v>
      </c>
      <c r="K1685" t="s">
        <v>3971</v>
      </c>
      <c r="L1685">
        <v>606</v>
      </c>
      <c r="M1685" t="s">
        <v>614</v>
      </c>
      <c r="N1685" t="s">
        <v>30</v>
      </c>
      <c r="O1685" t="s">
        <v>31</v>
      </c>
      <c r="P1685" t="str">
        <f>"15222"</f>
        <v>15222</v>
      </c>
    </row>
    <row r="1686" spans="1:16" x14ac:dyDescent="0.25">
      <c r="A1686" t="str">
        <f>"1050027A00141    00"</f>
        <v>1050027A00141    00</v>
      </c>
      <c r="B1686" t="s">
        <v>3973</v>
      </c>
      <c r="C1686" t="s">
        <v>3974</v>
      </c>
      <c r="E1686" t="s">
        <v>39</v>
      </c>
      <c r="F1686">
        <v>0</v>
      </c>
      <c r="G1686">
        <v>0</v>
      </c>
      <c r="H1686">
        <v>2</v>
      </c>
      <c r="I1686" s="3">
        <v>708.08</v>
      </c>
      <c r="J1686" s="3">
        <v>791.23</v>
      </c>
      <c r="K1686" t="s">
        <v>3975</v>
      </c>
      <c r="L1686">
        <v>3026</v>
      </c>
      <c r="M1686" t="s">
        <v>3118</v>
      </c>
      <c r="N1686" t="s">
        <v>30</v>
      </c>
      <c r="O1686" t="s">
        <v>31</v>
      </c>
      <c r="P1686" t="str">
        <f>"15219"</f>
        <v>15219</v>
      </c>
    </row>
    <row r="1687" spans="1:16" x14ac:dyDescent="0.25">
      <c r="A1687" t="str">
        <f>"1050027A00162    00"</f>
        <v>1050027A00162    00</v>
      </c>
      <c r="B1687" t="s">
        <v>3976</v>
      </c>
      <c r="C1687" t="s">
        <v>3761</v>
      </c>
      <c r="D1687" t="s">
        <v>20</v>
      </c>
      <c r="E1687" t="s">
        <v>39</v>
      </c>
      <c r="F1687">
        <v>0</v>
      </c>
      <c r="G1687">
        <v>0</v>
      </c>
      <c r="H1687">
        <v>6</v>
      </c>
      <c r="I1687" s="3">
        <v>110.94</v>
      </c>
      <c r="J1687" s="3">
        <v>32.58</v>
      </c>
      <c r="L1687">
        <v>827</v>
      </c>
      <c r="M1687" t="s">
        <v>3977</v>
      </c>
      <c r="N1687" t="s">
        <v>30</v>
      </c>
      <c r="O1687" t="s">
        <v>31</v>
      </c>
      <c r="P1687" t="str">
        <f>"15210"</f>
        <v>15210</v>
      </c>
    </row>
    <row r="1688" spans="1:16" x14ac:dyDescent="0.25">
      <c r="A1688" t="str">
        <f>"1050027A00257    00"</f>
        <v>1050027A00257    00</v>
      </c>
      <c r="B1688" t="s">
        <v>3978</v>
      </c>
      <c r="C1688" t="s">
        <v>3979</v>
      </c>
      <c r="D1688" t="s">
        <v>20</v>
      </c>
      <c r="E1688" t="s">
        <v>39</v>
      </c>
      <c r="F1688">
        <v>0</v>
      </c>
      <c r="G1688">
        <v>0</v>
      </c>
      <c r="H1688">
        <v>4</v>
      </c>
      <c r="I1688" s="3">
        <v>1533.98</v>
      </c>
      <c r="J1688" s="3">
        <v>181.21</v>
      </c>
      <c r="L1688">
        <v>7220</v>
      </c>
      <c r="M1688" t="s">
        <v>3980</v>
      </c>
      <c r="N1688" t="s">
        <v>30</v>
      </c>
      <c r="O1688" t="s">
        <v>31</v>
      </c>
      <c r="P1688" t="str">
        <f>"15208"</f>
        <v>15208</v>
      </c>
    </row>
    <row r="1689" spans="1:16" x14ac:dyDescent="0.25">
      <c r="A1689" t="str">
        <f>"1050027A00261    00"</f>
        <v>1050027A00261    00</v>
      </c>
      <c r="B1689" t="s">
        <v>3981</v>
      </c>
      <c r="C1689" t="s">
        <v>3982</v>
      </c>
      <c r="D1689" t="s">
        <v>20</v>
      </c>
      <c r="E1689" t="s">
        <v>39</v>
      </c>
      <c r="F1689">
        <v>0</v>
      </c>
      <c r="G1689">
        <v>0</v>
      </c>
      <c r="H1689">
        <v>4</v>
      </c>
      <c r="I1689" s="3">
        <v>3171.44</v>
      </c>
      <c r="J1689" s="3">
        <v>618.94000000000005</v>
      </c>
      <c r="L1689">
        <v>630</v>
      </c>
      <c r="M1689" t="s">
        <v>3983</v>
      </c>
      <c r="N1689" t="s">
        <v>30</v>
      </c>
      <c r="O1689" t="s">
        <v>31</v>
      </c>
      <c r="P1689" t="str">
        <f>"15219"</f>
        <v>15219</v>
      </c>
    </row>
    <row r="1690" spans="1:16" x14ac:dyDescent="0.25">
      <c r="A1690" t="str">
        <f>"1050027A00263    00"</f>
        <v>1050027A00263    00</v>
      </c>
      <c r="B1690" t="s">
        <v>3984</v>
      </c>
      <c r="C1690" t="s">
        <v>3985</v>
      </c>
      <c r="D1690" t="s">
        <v>20</v>
      </c>
      <c r="E1690" t="s">
        <v>39</v>
      </c>
      <c r="F1690">
        <v>0</v>
      </c>
      <c r="G1690">
        <v>0</v>
      </c>
      <c r="H1690">
        <v>3</v>
      </c>
      <c r="I1690" s="3">
        <v>2080.1</v>
      </c>
      <c r="J1690" s="3">
        <v>150.51</v>
      </c>
      <c r="L1690">
        <v>630</v>
      </c>
      <c r="M1690" t="s">
        <v>3983</v>
      </c>
      <c r="N1690" t="s">
        <v>30</v>
      </c>
      <c r="O1690" t="s">
        <v>31</v>
      </c>
      <c r="P1690" t="str">
        <f>"15219"</f>
        <v>15219</v>
      </c>
    </row>
    <row r="1691" spans="1:16" x14ac:dyDescent="0.25">
      <c r="A1691" t="str">
        <f>"1050027A00270    00"</f>
        <v>1050027A00270    00</v>
      </c>
      <c r="B1691" t="s">
        <v>3986</v>
      </c>
      <c r="C1691" t="s">
        <v>3987</v>
      </c>
      <c r="D1691" t="s">
        <v>20</v>
      </c>
      <c r="E1691" t="s">
        <v>39</v>
      </c>
      <c r="F1691">
        <v>0</v>
      </c>
      <c r="G1691">
        <v>0</v>
      </c>
      <c r="H1691">
        <v>1</v>
      </c>
      <c r="I1691" s="3">
        <v>625.62</v>
      </c>
      <c r="J1691" s="3">
        <v>0</v>
      </c>
      <c r="L1691">
        <v>700</v>
      </c>
      <c r="M1691" t="s">
        <v>3988</v>
      </c>
      <c r="N1691" t="s">
        <v>30</v>
      </c>
      <c r="O1691" t="s">
        <v>31</v>
      </c>
      <c r="P1691" t="str">
        <f>"15219"</f>
        <v>15219</v>
      </c>
    </row>
    <row r="1692" spans="1:16" x14ac:dyDescent="0.25">
      <c r="A1692" t="str">
        <f>"1050027A00276    00"</f>
        <v>1050027A00276    00</v>
      </c>
      <c r="B1692" t="s">
        <v>3989</v>
      </c>
      <c r="C1692" t="s">
        <v>3990</v>
      </c>
      <c r="D1692" t="s">
        <v>20</v>
      </c>
      <c r="E1692" t="s">
        <v>39</v>
      </c>
      <c r="F1692">
        <v>0</v>
      </c>
      <c r="G1692">
        <v>0</v>
      </c>
      <c r="H1692">
        <v>19</v>
      </c>
      <c r="I1692" s="3">
        <v>12308.85</v>
      </c>
      <c r="J1692" s="3">
        <v>12654.49</v>
      </c>
      <c r="L1692">
        <v>720</v>
      </c>
      <c r="M1692" t="s">
        <v>3988</v>
      </c>
      <c r="N1692" t="s">
        <v>30</v>
      </c>
      <c r="O1692" t="s">
        <v>31</v>
      </c>
      <c r="P1692" t="str">
        <f>"15219"</f>
        <v>15219</v>
      </c>
    </row>
    <row r="1693" spans="1:16" x14ac:dyDescent="0.25">
      <c r="A1693" t="str">
        <f>"1050027A00276A   00"</f>
        <v>1050027A00276A   00</v>
      </c>
      <c r="B1693" t="s">
        <v>3991</v>
      </c>
      <c r="C1693" t="s">
        <v>3992</v>
      </c>
      <c r="D1693" t="s">
        <v>20</v>
      </c>
      <c r="E1693" t="s">
        <v>39</v>
      </c>
      <c r="F1693">
        <v>0</v>
      </c>
      <c r="G1693">
        <v>0</v>
      </c>
      <c r="H1693">
        <v>3</v>
      </c>
      <c r="I1693" s="3">
        <v>1440.93</v>
      </c>
      <c r="J1693" s="3">
        <v>96.06</v>
      </c>
      <c r="L1693">
        <v>2428</v>
      </c>
      <c r="M1693" t="s">
        <v>3993</v>
      </c>
      <c r="N1693" t="s">
        <v>30</v>
      </c>
      <c r="O1693" t="s">
        <v>31</v>
      </c>
      <c r="P1693" t="str">
        <f>"15221"</f>
        <v>15221</v>
      </c>
    </row>
    <row r="1694" spans="1:16" x14ac:dyDescent="0.25">
      <c r="A1694" t="str">
        <f>"1050027A00278    00"</f>
        <v>1050027A00278    00</v>
      </c>
      <c r="B1694" t="s">
        <v>3994</v>
      </c>
      <c r="C1694" t="s">
        <v>3995</v>
      </c>
      <c r="D1694" t="s">
        <v>20</v>
      </c>
      <c r="E1694" t="s">
        <v>39</v>
      </c>
      <c r="F1694">
        <v>0</v>
      </c>
      <c r="G1694">
        <v>0</v>
      </c>
      <c r="H1694">
        <v>12</v>
      </c>
      <c r="I1694" s="3">
        <v>364.42</v>
      </c>
      <c r="J1694" s="3">
        <v>205.86</v>
      </c>
      <c r="L1694">
        <v>743</v>
      </c>
      <c r="M1694" t="s">
        <v>3988</v>
      </c>
      <c r="N1694" t="s">
        <v>30</v>
      </c>
      <c r="O1694" t="s">
        <v>31</v>
      </c>
      <c r="P1694" t="str">
        <f>"15219"</f>
        <v>15219</v>
      </c>
    </row>
    <row r="1695" spans="1:16" x14ac:dyDescent="0.25">
      <c r="A1695" t="str">
        <f>"1050027A00279    00"</f>
        <v>1050027A00279    00</v>
      </c>
      <c r="B1695" t="s">
        <v>3994</v>
      </c>
      <c r="C1695" t="s">
        <v>3995</v>
      </c>
      <c r="D1695" t="s">
        <v>20</v>
      </c>
      <c r="E1695" t="s">
        <v>39</v>
      </c>
      <c r="F1695">
        <v>0</v>
      </c>
      <c r="G1695">
        <v>0</v>
      </c>
      <c r="H1695">
        <v>12</v>
      </c>
      <c r="I1695" s="3">
        <v>376.29</v>
      </c>
      <c r="J1695" s="3">
        <v>212.62</v>
      </c>
      <c r="L1695">
        <v>743</v>
      </c>
      <c r="M1695" t="s">
        <v>3988</v>
      </c>
      <c r="N1695" t="s">
        <v>30</v>
      </c>
      <c r="O1695" t="s">
        <v>31</v>
      </c>
      <c r="P1695" t="str">
        <f>"15219"</f>
        <v>15219</v>
      </c>
    </row>
    <row r="1696" spans="1:16" x14ac:dyDescent="0.25">
      <c r="A1696" t="str">
        <f>"1050027A00280    00"</f>
        <v>1050027A00280    00</v>
      </c>
      <c r="B1696" t="s">
        <v>3994</v>
      </c>
      <c r="C1696" t="s">
        <v>3995</v>
      </c>
      <c r="D1696" t="s">
        <v>20</v>
      </c>
      <c r="E1696" t="s">
        <v>39</v>
      </c>
      <c r="F1696">
        <v>0</v>
      </c>
      <c r="G1696">
        <v>0</v>
      </c>
      <c r="H1696">
        <v>7</v>
      </c>
      <c r="I1696" s="3">
        <v>1751.78</v>
      </c>
      <c r="J1696" s="3">
        <v>270.94</v>
      </c>
      <c r="L1696">
        <v>743</v>
      </c>
      <c r="M1696" t="s">
        <v>3988</v>
      </c>
      <c r="N1696" t="s">
        <v>30</v>
      </c>
      <c r="O1696" t="s">
        <v>31</v>
      </c>
      <c r="P1696" t="str">
        <f>"15219"</f>
        <v>15219</v>
      </c>
    </row>
    <row r="1697" spans="1:16" x14ac:dyDescent="0.25">
      <c r="A1697" t="str">
        <f>"1050027A00291    00"</f>
        <v>1050027A00291    00</v>
      </c>
      <c r="B1697" t="s">
        <v>3996</v>
      </c>
      <c r="C1697" t="s">
        <v>3995</v>
      </c>
      <c r="E1697" t="s">
        <v>39</v>
      </c>
      <c r="F1697">
        <v>0</v>
      </c>
      <c r="G1697">
        <v>0</v>
      </c>
      <c r="H1697">
        <v>6</v>
      </c>
      <c r="I1697" s="3">
        <v>260.66000000000003</v>
      </c>
      <c r="J1697" s="3">
        <v>234.76</v>
      </c>
      <c r="L1697">
        <v>10103</v>
      </c>
      <c r="M1697" t="s">
        <v>3997</v>
      </c>
      <c r="N1697" t="s">
        <v>3998</v>
      </c>
      <c r="O1697" t="s">
        <v>1413</v>
      </c>
      <c r="P1697" t="str">
        <f>"27519"</f>
        <v>27519</v>
      </c>
    </row>
    <row r="1698" spans="1:16" x14ac:dyDescent="0.25">
      <c r="A1698" t="str">
        <f>"1050027A00309    00"</f>
        <v>1050027A00309    00</v>
      </c>
      <c r="B1698" t="s">
        <v>3999</v>
      </c>
      <c r="C1698" t="s">
        <v>4000</v>
      </c>
      <c r="D1698" t="s">
        <v>20</v>
      </c>
      <c r="E1698" t="s">
        <v>39</v>
      </c>
      <c r="F1698">
        <v>0</v>
      </c>
      <c r="G1698">
        <v>0</v>
      </c>
      <c r="H1698">
        <v>15</v>
      </c>
      <c r="I1698" s="3">
        <v>9057.33</v>
      </c>
      <c r="J1698" s="3">
        <v>5963.37</v>
      </c>
      <c r="L1698">
        <v>710</v>
      </c>
      <c r="M1698" t="s">
        <v>1070</v>
      </c>
      <c r="N1698" t="s">
        <v>30</v>
      </c>
      <c r="O1698" t="s">
        <v>31</v>
      </c>
      <c r="P1698" t="str">
        <f>"15219"</f>
        <v>15219</v>
      </c>
    </row>
    <row r="1699" spans="1:16" x14ac:dyDescent="0.25">
      <c r="A1699" t="str">
        <f>"1050027A00316    00"</f>
        <v>1050027A00316    00</v>
      </c>
      <c r="B1699" t="s">
        <v>4001</v>
      </c>
      <c r="C1699" t="s">
        <v>4002</v>
      </c>
      <c r="D1699" t="s">
        <v>20</v>
      </c>
      <c r="E1699" t="s">
        <v>39</v>
      </c>
      <c r="F1699">
        <v>0</v>
      </c>
      <c r="G1699">
        <v>0</v>
      </c>
      <c r="H1699">
        <v>5</v>
      </c>
      <c r="I1699" s="3">
        <v>2651.84</v>
      </c>
      <c r="J1699" s="3">
        <v>327.16000000000003</v>
      </c>
      <c r="L1699">
        <v>726</v>
      </c>
      <c r="M1699" t="s">
        <v>1070</v>
      </c>
      <c r="N1699" t="s">
        <v>30</v>
      </c>
      <c r="O1699" t="s">
        <v>31</v>
      </c>
      <c r="P1699" t="str">
        <f>"15219"</f>
        <v>15219</v>
      </c>
    </row>
    <row r="1700" spans="1:16" x14ac:dyDescent="0.25">
      <c r="A1700" t="str">
        <f>"1050027A00317    00"</f>
        <v>1050027A00317    00</v>
      </c>
      <c r="B1700" t="s">
        <v>2629</v>
      </c>
      <c r="C1700" t="s">
        <v>4003</v>
      </c>
      <c r="D1700" t="s">
        <v>20</v>
      </c>
      <c r="E1700" t="s">
        <v>39</v>
      </c>
      <c r="F1700">
        <v>0</v>
      </c>
      <c r="G1700">
        <v>0</v>
      </c>
      <c r="H1700">
        <v>3</v>
      </c>
      <c r="I1700" s="3">
        <v>780.56</v>
      </c>
      <c r="J1700" s="3">
        <v>3.62</v>
      </c>
      <c r="L1700">
        <v>2415</v>
      </c>
      <c r="M1700" t="s">
        <v>1302</v>
      </c>
      <c r="N1700" t="s">
        <v>30</v>
      </c>
      <c r="O1700" t="s">
        <v>31</v>
      </c>
      <c r="P1700" t="str">
        <f>"15213"</f>
        <v>15213</v>
      </c>
    </row>
    <row r="1701" spans="1:16" x14ac:dyDescent="0.25">
      <c r="A1701" t="str">
        <f>"1050027A00323    00"</f>
        <v>1050027A00323    00</v>
      </c>
      <c r="B1701" t="s">
        <v>4004</v>
      </c>
      <c r="C1701" t="s">
        <v>4005</v>
      </c>
      <c r="D1701" t="s">
        <v>20</v>
      </c>
      <c r="E1701" t="s">
        <v>39</v>
      </c>
      <c r="F1701">
        <v>0</v>
      </c>
      <c r="G1701">
        <v>0</v>
      </c>
      <c r="H1701">
        <v>3</v>
      </c>
      <c r="I1701" s="3">
        <v>2562.7600000000002</v>
      </c>
      <c r="J1701" s="3">
        <v>749.69</v>
      </c>
      <c r="L1701">
        <v>3521</v>
      </c>
      <c r="M1701" t="s">
        <v>4006</v>
      </c>
      <c r="N1701" t="s">
        <v>4007</v>
      </c>
      <c r="O1701" t="s">
        <v>1184</v>
      </c>
      <c r="P1701" t="str">
        <f>"20721"</f>
        <v>20721</v>
      </c>
    </row>
    <row r="1702" spans="1:16" x14ac:dyDescent="0.25">
      <c r="A1702" t="str">
        <f>"1050027A00331    00"</f>
        <v>1050027A00331    00</v>
      </c>
      <c r="B1702" t="s">
        <v>4008</v>
      </c>
      <c r="C1702" t="s">
        <v>4009</v>
      </c>
      <c r="D1702" t="s">
        <v>20</v>
      </c>
      <c r="E1702" t="s">
        <v>39</v>
      </c>
      <c r="F1702">
        <v>0</v>
      </c>
      <c r="G1702">
        <v>0</v>
      </c>
      <c r="H1702">
        <v>8</v>
      </c>
      <c r="I1702" s="3">
        <v>59.2</v>
      </c>
      <c r="J1702" s="3">
        <v>25.31</v>
      </c>
      <c r="L1702">
        <v>671</v>
      </c>
      <c r="M1702" t="s">
        <v>2408</v>
      </c>
      <c r="N1702" t="s">
        <v>30</v>
      </c>
      <c r="O1702" t="s">
        <v>31</v>
      </c>
      <c r="P1702" t="str">
        <f>"15219"</f>
        <v>15219</v>
      </c>
    </row>
    <row r="1703" spans="1:16" x14ac:dyDescent="0.25">
      <c r="A1703" t="str">
        <f>"1050027A00352    00"</f>
        <v>1050027A00352    00</v>
      </c>
      <c r="B1703" t="s">
        <v>4010</v>
      </c>
      <c r="C1703" t="s">
        <v>4011</v>
      </c>
      <c r="E1703" t="s">
        <v>21</v>
      </c>
      <c r="F1703">
        <v>0</v>
      </c>
      <c r="G1703">
        <v>0</v>
      </c>
      <c r="H1703">
        <v>1</v>
      </c>
      <c r="I1703" s="3">
        <v>3615.48</v>
      </c>
      <c r="J1703" s="3">
        <v>1476.25</v>
      </c>
      <c r="L1703">
        <v>740</v>
      </c>
      <c r="M1703" t="s">
        <v>4012</v>
      </c>
      <c r="N1703" t="s">
        <v>30</v>
      </c>
      <c r="O1703" t="s">
        <v>31</v>
      </c>
      <c r="P1703" t="str">
        <f>"15235"</f>
        <v>15235</v>
      </c>
    </row>
    <row r="1704" spans="1:16" x14ac:dyDescent="0.25">
      <c r="A1704" t="str">
        <f>"1050027A00362    00"</f>
        <v>1050027A00362    00</v>
      </c>
      <c r="B1704" t="s">
        <v>4013</v>
      </c>
      <c r="C1704" t="s">
        <v>3761</v>
      </c>
      <c r="E1704" t="s">
        <v>39</v>
      </c>
      <c r="F1704">
        <v>0</v>
      </c>
      <c r="G1704">
        <v>0</v>
      </c>
      <c r="H1704">
        <v>1</v>
      </c>
      <c r="I1704" s="3">
        <v>386.93</v>
      </c>
      <c r="J1704" s="3">
        <v>77.38</v>
      </c>
      <c r="L1704">
        <v>510</v>
      </c>
      <c r="M1704" t="s">
        <v>4014</v>
      </c>
      <c r="N1704" t="s">
        <v>30</v>
      </c>
      <c r="O1704" t="s">
        <v>31</v>
      </c>
      <c r="P1704" t="str">
        <f>"15219"</f>
        <v>15219</v>
      </c>
    </row>
    <row r="1705" spans="1:16" x14ac:dyDescent="0.25">
      <c r="A1705" t="str">
        <f>"1050027B00002    00"</f>
        <v>1050027B00002    00</v>
      </c>
      <c r="B1705" t="s">
        <v>4015</v>
      </c>
      <c r="C1705" t="s">
        <v>3794</v>
      </c>
      <c r="D1705" t="s">
        <v>20</v>
      </c>
      <c r="E1705" t="s">
        <v>39</v>
      </c>
      <c r="F1705">
        <v>0</v>
      </c>
      <c r="G1705">
        <v>0</v>
      </c>
      <c r="H1705">
        <v>19</v>
      </c>
      <c r="I1705" s="3">
        <v>7625.28</v>
      </c>
      <c r="J1705" s="3">
        <v>7894.42</v>
      </c>
      <c r="K1705" t="s">
        <v>1008</v>
      </c>
      <c r="P1705" t="str">
        <f>""</f>
        <v/>
      </c>
    </row>
    <row r="1706" spans="1:16" x14ac:dyDescent="0.25">
      <c r="A1706" t="str">
        <f>"1050027B00003    00"</f>
        <v>1050027B00003    00</v>
      </c>
      <c r="B1706" t="s">
        <v>3861</v>
      </c>
      <c r="C1706" t="s">
        <v>3862</v>
      </c>
      <c r="D1706" t="s">
        <v>20</v>
      </c>
      <c r="E1706" t="s">
        <v>39</v>
      </c>
      <c r="F1706">
        <v>0</v>
      </c>
      <c r="G1706">
        <v>0</v>
      </c>
      <c r="H1706">
        <v>1</v>
      </c>
      <c r="I1706" s="3">
        <v>25.42</v>
      </c>
      <c r="J1706" s="3">
        <v>0</v>
      </c>
      <c r="L1706">
        <v>3408</v>
      </c>
      <c r="M1706" t="s">
        <v>3863</v>
      </c>
      <c r="N1706" t="s">
        <v>30</v>
      </c>
      <c r="O1706" t="s">
        <v>31</v>
      </c>
      <c r="P1706" t="str">
        <f>"15219"</f>
        <v>15219</v>
      </c>
    </row>
    <row r="1707" spans="1:16" x14ac:dyDescent="0.25">
      <c r="A1707" t="str">
        <f>"1050027B00004    00"</f>
        <v>1050027B00004    00</v>
      </c>
      <c r="B1707" t="s">
        <v>4016</v>
      </c>
      <c r="C1707" t="s">
        <v>4017</v>
      </c>
      <c r="D1707" t="s">
        <v>20</v>
      </c>
      <c r="E1707" t="s">
        <v>39</v>
      </c>
      <c r="F1707">
        <v>0</v>
      </c>
      <c r="G1707">
        <v>0</v>
      </c>
      <c r="H1707">
        <v>2</v>
      </c>
      <c r="I1707" s="3">
        <v>357.28</v>
      </c>
      <c r="J1707" s="3">
        <v>55.8</v>
      </c>
      <c r="L1707">
        <v>820</v>
      </c>
      <c r="M1707" t="s">
        <v>970</v>
      </c>
      <c r="N1707" t="s">
        <v>30</v>
      </c>
      <c r="O1707" t="s">
        <v>31</v>
      </c>
      <c r="P1707" t="str">
        <f>"15219"</f>
        <v>15219</v>
      </c>
    </row>
    <row r="1708" spans="1:16" x14ac:dyDescent="0.25">
      <c r="A1708" t="str">
        <f>"1050027B00005    00"</f>
        <v>1050027B00005    00</v>
      </c>
      <c r="B1708" t="s">
        <v>4018</v>
      </c>
      <c r="C1708" t="s">
        <v>4019</v>
      </c>
      <c r="D1708" t="s">
        <v>20</v>
      </c>
      <c r="E1708" t="s">
        <v>39</v>
      </c>
      <c r="F1708">
        <v>0</v>
      </c>
      <c r="G1708">
        <v>0</v>
      </c>
      <c r="H1708">
        <v>13</v>
      </c>
      <c r="I1708" s="3">
        <v>2469.6999999999998</v>
      </c>
      <c r="J1708" s="3">
        <v>1492.55</v>
      </c>
      <c r="L1708">
        <v>822</v>
      </c>
      <c r="M1708" t="s">
        <v>970</v>
      </c>
      <c r="N1708" t="s">
        <v>30</v>
      </c>
      <c r="O1708" t="s">
        <v>31</v>
      </c>
      <c r="P1708" t="str">
        <f>"15219"</f>
        <v>15219</v>
      </c>
    </row>
    <row r="1709" spans="1:16" x14ac:dyDescent="0.25">
      <c r="A1709" t="str">
        <f>"1050027B00006A   00"</f>
        <v>1050027B00006A   00</v>
      </c>
      <c r="B1709" t="s">
        <v>4020</v>
      </c>
      <c r="C1709" t="s">
        <v>4021</v>
      </c>
      <c r="D1709" t="s">
        <v>20</v>
      </c>
      <c r="E1709" t="s">
        <v>39</v>
      </c>
      <c r="F1709">
        <v>0</v>
      </c>
      <c r="G1709">
        <v>0</v>
      </c>
      <c r="H1709">
        <v>2</v>
      </c>
      <c r="I1709" s="3">
        <v>546.1</v>
      </c>
      <c r="J1709" s="3">
        <v>0</v>
      </c>
      <c r="L1709">
        <v>824</v>
      </c>
      <c r="M1709" t="s">
        <v>970</v>
      </c>
      <c r="N1709" t="s">
        <v>30</v>
      </c>
      <c r="O1709" t="s">
        <v>31</v>
      </c>
      <c r="P1709" t="str">
        <f>"15219"</f>
        <v>15219</v>
      </c>
    </row>
    <row r="1710" spans="1:16" x14ac:dyDescent="0.25">
      <c r="A1710" t="str">
        <f>"1050027B00012    00"</f>
        <v>1050027B00012    00</v>
      </c>
      <c r="B1710" t="s">
        <v>4022</v>
      </c>
      <c r="C1710" t="s">
        <v>3794</v>
      </c>
      <c r="D1710" t="s">
        <v>20</v>
      </c>
      <c r="E1710" t="s">
        <v>39</v>
      </c>
      <c r="F1710">
        <v>0</v>
      </c>
      <c r="G1710">
        <v>0</v>
      </c>
      <c r="H1710">
        <v>17</v>
      </c>
      <c r="I1710" s="3">
        <v>2966.46</v>
      </c>
      <c r="J1710" s="3">
        <v>4307.1099999999997</v>
      </c>
      <c r="K1710" t="s">
        <v>1008</v>
      </c>
      <c r="P1710" t="str">
        <f>""</f>
        <v/>
      </c>
    </row>
    <row r="1711" spans="1:16" x14ac:dyDescent="0.25">
      <c r="A1711" t="str">
        <f>"1050027B00014    00"</f>
        <v>1050027B00014    00</v>
      </c>
      <c r="B1711" t="s">
        <v>4023</v>
      </c>
      <c r="C1711" t="s">
        <v>3862</v>
      </c>
      <c r="D1711" t="s">
        <v>20</v>
      </c>
      <c r="E1711" t="s">
        <v>39</v>
      </c>
      <c r="F1711">
        <v>0</v>
      </c>
      <c r="G1711">
        <v>0</v>
      </c>
      <c r="H1711">
        <v>2</v>
      </c>
      <c r="I1711" s="3">
        <v>32.69</v>
      </c>
      <c r="J1711" s="3">
        <v>0</v>
      </c>
      <c r="K1711" t="s">
        <v>1094</v>
      </c>
      <c r="L1711">
        <v>412</v>
      </c>
      <c r="M1711" t="s">
        <v>36</v>
      </c>
      <c r="N1711" t="s">
        <v>30</v>
      </c>
      <c r="O1711" t="s">
        <v>31</v>
      </c>
      <c r="P1711" t="str">
        <f>"15219"</f>
        <v>15219</v>
      </c>
    </row>
    <row r="1712" spans="1:16" x14ac:dyDescent="0.25">
      <c r="A1712" t="str">
        <f>"1050027B00015    00"</f>
        <v>1050027B00015    00</v>
      </c>
      <c r="B1712" t="s">
        <v>4023</v>
      </c>
      <c r="C1712" t="s">
        <v>3862</v>
      </c>
      <c r="E1712" t="s">
        <v>39</v>
      </c>
      <c r="F1712">
        <v>0</v>
      </c>
      <c r="G1712">
        <v>0</v>
      </c>
      <c r="H1712">
        <v>1</v>
      </c>
      <c r="I1712" s="3">
        <v>28.19</v>
      </c>
      <c r="J1712" s="3">
        <v>0</v>
      </c>
      <c r="K1712" t="s">
        <v>1094</v>
      </c>
      <c r="L1712">
        <v>412</v>
      </c>
      <c r="M1712" t="s">
        <v>36</v>
      </c>
      <c r="N1712" t="s">
        <v>30</v>
      </c>
      <c r="O1712" t="s">
        <v>31</v>
      </c>
      <c r="P1712" t="str">
        <f>"15219"</f>
        <v>15219</v>
      </c>
    </row>
    <row r="1713" spans="1:16" x14ac:dyDescent="0.25">
      <c r="A1713" t="str">
        <f>"1050027B00016    00"</f>
        <v>1050027B00016    00</v>
      </c>
      <c r="B1713" t="s">
        <v>4024</v>
      </c>
      <c r="C1713" t="s">
        <v>4025</v>
      </c>
      <c r="E1713" t="s">
        <v>39</v>
      </c>
      <c r="F1713">
        <v>0</v>
      </c>
      <c r="G1713">
        <v>0</v>
      </c>
      <c r="H1713">
        <v>1</v>
      </c>
      <c r="I1713" s="3">
        <v>762.42</v>
      </c>
      <c r="J1713" s="3">
        <v>0</v>
      </c>
      <c r="L1713">
        <v>7728</v>
      </c>
      <c r="M1713" t="s">
        <v>4026</v>
      </c>
      <c r="N1713" t="s">
        <v>30</v>
      </c>
      <c r="O1713" t="s">
        <v>31</v>
      </c>
      <c r="P1713" t="str">
        <f>"15235"</f>
        <v>15235</v>
      </c>
    </row>
    <row r="1714" spans="1:16" x14ac:dyDescent="0.25">
      <c r="A1714" t="str">
        <f>"1050027B00017    00"</f>
        <v>1050027B00017    00</v>
      </c>
      <c r="B1714" t="s">
        <v>4027</v>
      </c>
      <c r="C1714" t="s">
        <v>4028</v>
      </c>
      <c r="E1714" t="s">
        <v>39</v>
      </c>
      <c r="F1714">
        <v>0</v>
      </c>
      <c r="G1714">
        <v>0</v>
      </c>
      <c r="H1714">
        <v>9</v>
      </c>
      <c r="I1714" s="3">
        <v>220.51</v>
      </c>
      <c r="J1714" s="3">
        <v>247.81</v>
      </c>
      <c r="K1714" t="s">
        <v>4029</v>
      </c>
      <c r="L1714">
        <v>1000</v>
      </c>
      <c r="M1714" t="s">
        <v>2408</v>
      </c>
      <c r="N1714" t="s">
        <v>30</v>
      </c>
      <c r="O1714" t="s">
        <v>31</v>
      </c>
      <c r="P1714" t="str">
        <f t="shared" ref="P1714:P1722" si="27">"15219"</f>
        <v>15219</v>
      </c>
    </row>
    <row r="1715" spans="1:16" x14ac:dyDescent="0.25">
      <c r="A1715" t="str">
        <f>"1050027B00018    00"</f>
        <v>1050027B00018    00</v>
      </c>
      <c r="B1715" t="s">
        <v>218</v>
      </c>
      <c r="C1715" t="s">
        <v>4030</v>
      </c>
      <c r="E1715" t="s">
        <v>39</v>
      </c>
      <c r="F1715">
        <v>0</v>
      </c>
      <c r="G1715">
        <v>0</v>
      </c>
      <c r="H1715">
        <v>10</v>
      </c>
      <c r="I1715" s="3">
        <v>4756.57</v>
      </c>
      <c r="J1715" s="3">
        <v>6725.87</v>
      </c>
      <c r="K1715" t="s">
        <v>220</v>
      </c>
      <c r="L1715">
        <v>412</v>
      </c>
      <c r="M1715" t="s">
        <v>221</v>
      </c>
      <c r="N1715" t="s">
        <v>30</v>
      </c>
      <c r="O1715" t="s">
        <v>31</v>
      </c>
      <c r="P1715" t="str">
        <f t="shared" si="27"/>
        <v>15219</v>
      </c>
    </row>
    <row r="1716" spans="1:16" x14ac:dyDescent="0.25">
      <c r="A1716" t="str">
        <f>"1050027B00019    00"</f>
        <v>1050027B00019    00</v>
      </c>
      <c r="B1716" t="s">
        <v>218</v>
      </c>
      <c r="C1716" t="s">
        <v>3862</v>
      </c>
      <c r="E1716" t="s">
        <v>39</v>
      </c>
      <c r="F1716">
        <v>0</v>
      </c>
      <c r="G1716">
        <v>0</v>
      </c>
      <c r="H1716">
        <v>17</v>
      </c>
      <c r="I1716" s="3">
        <v>6364.8</v>
      </c>
      <c r="J1716" s="3">
        <v>9568.93</v>
      </c>
      <c r="K1716" t="s">
        <v>220</v>
      </c>
      <c r="L1716">
        <v>412</v>
      </c>
      <c r="M1716" t="s">
        <v>221</v>
      </c>
      <c r="N1716" t="s">
        <v>30</v>
      </c>
      <c r="O1716" t="s">
        <v>31</v>
      </c>
      <c r="P1716" t="str">
        <f t="shared" si="27"/>
        <v>15219</v>
      </c>
    </row>
    <row r="1717" spans="1:16" x14ac:dyDescent="0.25">
      <c r="A1717" t="str">
        <f>"1050027B00024    00"</f>
        <v>1050027B00024    00</v>
      </c>
      <c r="B1717" t="s">
        <v>4031</v>
      </c>
      <c r="C1717" t="s">
        <v>4032</v>
      </c>
      <c r="D1717" t="s">
        <v>20</v>
      </c>
      <c r="E1717" t="s">
        <v>39</v>
      </c>
      <c r="F1717">
        <v>0</v>
      </c>
      <c r="G1717">
        <v>0</v>
      </c>
      <c r="H1717">
        <v>5</v>
      </c>
      <c r="I1717" s="3">
        <v>1136.9000000000001</v>
      </c>
      <c r="J1717" s="3">
        <v>387.63</v>
      </c>
      <c r="L1717">
        <v>912</v>
      </c>
      <c r="M1717" t="s">
        <v>970</v>
      </c>
      <c r="N1717" t="s">
        <v>30</v>
      </c>
      <c r="O1717" t="s">
        <v>31</v>
      </c>
      <c r="P1717" t="str">
        <f t="shared" si="27"/>
        <v>15219</v>
      </c>
    </row>
    <row r="1718" spans="1:16" x14ac:dyDescent="0.25">
      <c r="A1718" t="str">
        <f>"1050027B00025    00"</f>
        <v>1050027B00025    00</v>
      </c>
      <c r="B1718" t="s">
        <v>4031</v>
      </c>
      <c r="C1718" t="s">
        <v>3794</v>
      </c>
      <c r="E1718" t="s">
        <v>39</v>
      </c>
      <c r="F1718">
        <v>0</v>
      </c>
      <c r="G1718">
        <v>0</v>
      </c>
      <c r="H1718">
        <v>5</v>
      </c>
      <c r="I1718" s="3">
        <v>1287.94</v>
      </c>
      <c r="J1718" s="3">
        <v>361.27</v>
      </c>
      <c r="L1718">
        <v>912</v>
      </c>
      <c r="M1718" t="s">
        <v>970</v>
      </c>
      <c r="N1718" t="s">
        <v>30</v>
      </c>
      <c r="O1718" t="s">
        <v>31</v>
      </c>
      <c r="P1718" t="str">
        <f t="shared" si="27"/>
        <v>15219</v>
      </c>
    </row>
    <row r="1719" spans="1:16" x14ac:dyDescent="0.25">
      <c r="A1719" t="str">
        <f>"1050027B00027    00"</f>
        <v>1050027B00027    00</v>
      </c>
      <c r="B1719" t="s">
        <v>4033</v>
      </c>
      <c r="C1719" t="s">
        <v>4034</v>
      </c>
      <c r="D1719" t="s">
        <v>20</v>
      </c>
      <c r="E1719" t="s">
        <v>39</v>
      </c>
      <c r="F1719">
        <v>0</v>
      </c>
      <c r="G1719">
        <v>0</v>
      </c>
      <c r="H1719">
        <v>11</v>
      </c>
      <c r="I1719" s="3">
        <v>13943.97</v>
      </c>
      <c r="J1719" s="3">
        <v>6358.5</v>
      </c>
      <c r="L1719">
        <v>918</v>
      </c>
      <c r="M1719" t="s">
        <v>970</v>
      </c>
      <c r="N1719" t="s">
        <v>30</v>
      </c>
      <c r="O1719" t="s">
        <v>31</v>
      </c>
      <c r="P1719" t="str">
        <f t="shared" si="27"/>
        <v>15219</v>
      </c>
    </row>
    <row r="1720" spans="1:16" x14ac:dyDescent="0.25">
      <c r="A1720" t="str">
        <f>"1050027B00031    00"</f>
        <v>1050027B00031    00</v>
      </c>
      <c r="B1720" t="s">
        <v>4035</v>
      </c>
      <c r="C1720" t="s">
        <v>3773</v>
      </c>
      <c r="D1720" t="s">
        <v>20</v>
      </c>
      <c r="E1720" t="s">
        <v>39</v>
      </c>
      <c r="F1720">
        <v>0</v>
      </c>
      <c r="G1720">
        <v>0</v>
      </c>
      <c r="H1720">
        <v>3</v>
      </c>
      <c r="I1720" s="3">
        <v>232.14</v>
      </c>
      <c r="J1720" s="3">
        <v>138.08000000000001</v>
      </c>
      <c r="L1720">
        <v>919</v>
      </c>
      <c r="M1720" t="s">
        <v>2408</v>
      </c>
      <c r="N1720" t="s">
        <v>30</v>
      </c>
      <c r="O1720" t="s">
        <v>31</v>
      </c>
      <c r="P1720" t="str">
        <f t="shared" si="27"/>
        <v>15219</v>
      </c>
    </row>
    <row r="1721" spans="1:16" x14ac:dyDescent="0.25">
      <c r="A1721" t="str">
        <f>"1050027B00033    00"</f>
        <v>1050027B00033    00</v>
      </c>
      <c r="B1721" t="s">
        <v>4036</v>
      </c>
      <c r="C1721" t="s">
        <v>4037</v>
      </c>
      <c r="D1721" t="s">
        <v>20</v>
      </c>
      <c r="E1721" t="s">
        <v>39</v>
      </c>
      <c r="F1721">
        <v>0</v>
      </c>
      <c r="G1721">
        <v>0</v>
      </c>
      <c r="H1721">
        <v>4</v>
      </c>
      <c r="I1721" s="3">
        <v>2228.6</v>
      </c>
      <c r="J1721" s="3">
        <v>130.66</v>
      </c>
      <c r="L1721">
        <v>913</v>
      </c>
      <c r="M1721" t="s">
        <v>2408</v>
      </c>
      <c r="N1721" t="s">
        <v>30</v>
      </c>
      <c r="O1721" t="s">
        <v>31</v>
      </c>
      <c r="P1721" t="str">
        <f t="shared" si="27"/>
        <v>15219</v>
      </c>
    </row>
    <row r="1722" spans="1:16" x14ac:dyDescent="0.25">
      <c r="A1722" t="str">
        <f>"1050027B00034    00"</f>
        <v>1050027B00034    00</v>
      </c>
      <c r="B1722" t="s">
        <v>4038</v>
      </c>
      <c r="C1722" t="s">
        <v>4039</v>
      </c>
      <c r="D1722" t="s">
        <v>20</v>
      </c>
      <c r="E1722" t="s">
        <v>39</v>
      </c>
      <c r="F1722">
        <v>0</v>
      </c>
      <c r="G1722">
        <v>0</v>
      </c>
      <c r="H1722">
        <v>2</v>
      </c>
      <c r="I1722" s="3">
        <v>796.8</v>
      </c>
      <c r="J1722" s="3">
        <v>0</v>
      </c>
      <c r="L1722">
        <v>911</v>
      </c>
      <c r="M1722" t="s">
        <v>2408</v>
      </c>
      <c r="N1722" t="s">
        <v>30</v>
      </c>
      <c r="O1722" t="s">
        <v>31</v>
      </c>
      <c r="P1722" t="str">
        <f t="shared" si="27"/>
        <v>15219</v>
      </c>
    </row>
    <row r="1723" spans="1:16" x14ac:dyDescent="0.25">
      <c r="A1723" t="str">
        <f>"1050027B00036    00"</f>
        <v>1050027B00036    00</v>
      </c>
      <c r="B1723" t="s">
        <v>4040</v>
      </c>
      <c r="C1723" t="s">
        <v>4041</v>
      </c>
      <c r="E1723" t="s">
        <v>39</v>
      </c>
      <c r="F1723">
        <v>0</v>
      </c>
      <c r="G1723">
        <v>0</v>
      </c>
      <c r="H1723">
        <v>1</v>
      </c>
      <c r="I1723" s="3">
        <v>177.69</v>
      </c>
      <c r="J1723" s="3">
        <v>0</v>
      </c>
      <c r="K1723" t="s">
        <v>391</v>
      </c>
      <c r="L1723">
        <v>1</v>
      </c>
      <c r="M1723" t="s">
        <v>392</v>
      </c>
      <c r="N1723" t="s">
        <v>393</v>
      </c>
      <c r="O1723" t="s">
        <v>394</v>
      </c>
      <c r="P1723" t="str">
        <f>"50328"</f>
        <v>50328</v>
      </c>
    </row>
    <row r="1724" spans="1:16" x14ac:dyDescent="0.25">
      <c r="A1724" t="str">
        <f>"1050027B00045    00"</f>
        <v>1050027B00045    00</v>
      </c>
      <c r="B1724" t="s">
        <v>4042</v>
      </c>
      <c r="C1724" t="s">
        <v>3773</v>
      </c>
      <c r="D1724" t="s">
        <v>20</v>
      </c>
      <c r="E1724" t="s">
        <v>39</v>
      </c>
      <c r="F1724">
        <v>0</v>
      </c>
      <c r="G1724">
        <v>0</v>
      </c>
      <c r="H1724">
        <v>4</v>
      </c>
      <c r="I1724" s="3">
        <v>34.64</v>
      </c>
      <c r="J1724" s="3">
        <v>10.49</v>
      </c>
      <c r="L1724">
        <v>7760</v>
      </c>
      <c r="M1724" t="s">
        <v>4043</v>
      </c>
      <c r="N1724" t="s">
        <v>4044</v>
      </c>
      <c r="O1724" t="s">
        <v>692</v>
      </c>
      <c r="P1724" t="str">
        <f>"20112"</f>
        <v>20112</v>
      </c>
    </row>
    <row r="1725" spans="1:16" x14ac:dyDescent="0.25">
      <c r="A1725" t="str">
        <f>"1050027B00051    00"</f>
        <v>1050027B00051    00</v>
      </c>
      <c r="B1725" t="s">
        <v>4045</v>
      </c>
      <c r="C1725" t="s">
        <v>4046</v>
      </c>
      <c r="D1725" t="s">
        <v>20</v>
      </c>
      <c r="E1725" t="s">
        <v>39</v>
      </c>
      <c r="F1725">
        <v>0</v>
      </c>
      <c r="G1725">
        <v>0</v>
      </c>
      <c r="H1725">
        <v>2</v>
      </c>
      <c r="I1725" s="3">
        <v>1316.12</v>
      </c>
      <c r="J1725" s="3">
        <v>0</v>
      </c>
      <c r="L1725">
        <v>817</v>
      </c>
      <c r="M1725" t="s">
        <v>2408</v>
      </c>
      <c r="N1725" t="s">
        <v>30</v>
      </c>
      <c r="O1725" t="s">
        <v>31</v>
      </c>
      <c r="P1725" t="str">
        <f>"15219"</f>
        <v>15219</v>
      </c>
    </row>
    <row r="1726" spans="1:16" x14ac:dyDescent="0.25">
      <c r="A1726" t="str">
        <f>"1050027B00053    00"</f>
        <v>1050027B00053    00</v>
      </c>
      <c r="B1726" t="s">
        <v>4047</v>
      </c>
      <c r="C1726" t="s">
        <v>4048</v>
      </c>
      <c r="E1726" t="s">
        <v>39</v>
      </c>
      <c r="F1726">
        <v>0</v>
      </c>
      <c r="G1726">
        <v>0</v>
      </c>
      <c r="H1726">
        <v>1</v>
      </c>
      <c r="I1726" s="3">
        <v>1249.42</v>
      </c>
      <c r="J1726" s="3">
        <v>343.58</v>
      </c>
      <c r="K1726" t="s">
        <v>1094</v>
      </c>
      <c r="L1726">
        <v>412</v>
      </c>
      <c r="M1726" t="s">
        <v>221</v>
      </c>
      <c r="N1726" t="s">
        <v>30</v>
      </c>
      <c r="O1726" t="s">
        <v>31</v>
      </c>
      <c r="P1726" t="str">
        <f>"15219"</f>
        <v>15219</v>
      </c>
    </row>
    <row r="1727" spans="1:16" x14ac:dyDescent="0.25">
      <c r="A1727" t="str">
        <f>"1050027B00054    00"</f>
        <v>1050027B00054    00</v>
      </c>
      <c r="B1727" t="s">
        <v>4047</v>
      </c>
      <c r="C1727" t="s">
        <v>3773</v>
      </c>
      <c r="E1727" t="s">
        <v>39</v>
      </c>
      <c r="F1727">
        <v>0</v>
      </c>
      <c r="G1727">
        <v>0</v>
      </c>
      <c r="H1727">
        <v>1</v>
      </c>
      <c r="I1727" s="3">
        <v>255.64</v>
      </c>
      <c r="J1727" s="3">
        <v>76.69</v>
      </c>
      <c r="K1727" t="s">
        <v>1094</v>
      </c>
      <c r="L1727">
        <v>412</v>
      </c>
      <c r="M1727" t="s">
        <v>221</v>
      </c>
      <c r="N1727" t="s">
        <v>30</v>
      </c>
      <c r="O1727" t="s">
        <v>31</v>
      </c>
      <c r="P1727" t="str">
        <f>"15219"</f>
        <v>15219</v>
      </c>
    </row>
    <row r="1728" spans="1:16" x14ac:dyDescent="0.25">
      <c r="A1728" t="str">
        <f>"1050027B00076    00"</f>
        <v>1050027B00076    00</v>
      </c>
      <c r="B1728" t="s">
        <v>4049</v>
      </c>
      <c r="C1728" t="s">
        <v>4050</v>
      </c>
      <c r="D1728" t="s">
        <v>20</v>
      </c>
      <c r="E1728" t="s">
        <v>39</v>
      </c>
      <c r="F1728">
        <v>0</v>
      </c>
      <c r="G1728">
        <v>0</v>
      </c>
      <c r="H1728">
        <v>7</v>
      </c>
      <c r="I1728" s="3">
        <v>4196.12</v>
      </c>
      <c r="J1728" s="3">
        <v>1128.1400000000001</v>
      </c>
      <c r="L1728">
        <v>3453</v>
      </c>
      <c r="M1728" t="s">
        <v>2732</v>
      </c>
      <c r="N1728" t="s">
        <v>30</v>
      </c>
      <c r="O1728" t="s">
        <v>31</v>
      </c>
      <c r="P1728" t="str">
        <f>"15219"</f>
        <v>15219</v>
      </c>
    </row>
    <row r="1729" spans="1:16" x14ac:dyDescent="0.25">
      <c r="A1729" t="str">
        <f>"1050027B00077    00"</f>
        <v>1050027B00077    00</v>
      </c>
      <c r="B1729" t="s">
        <v>4051</v>
      </c>
      <c r="C1729" t="s">
        <v>4052</v>
      </c>
      <c r="D1729" t="s">
        <v>20</v>
      </c>
      <c r="E1729" t="s">
        <v>39</v>
      </c>
      <c r="F1729">
        <v>0</v>
      </c>
      <c r="G1729">
        <v>0</v>
      </c>
      <c r="H1729">
        <v>2</v>
      </c>
      <c r="I1729" s="3">
        <v>1304.8399999999999</v>
      </c>
      <c r="J1729" s="3">
        <v>0</v>
      </c>
      <c r="L1729">
        <v>1028</v>
      </c>
      <c r="M1729" t="s">
        <v>4053</v>
      </c>
      <c r="N1729" t="s">
        <v>30</v>
      </c>
      <c r="O1729" t="s">
        <v>31</v>
      </c>
      <c r="P1729" t="str">
        <f>"15201"</f>
        <v>15201</v>
      </c>
    </row>
    <row r="1730" spans="1:16" x14ac:dyDescent="0.25">
      <c r="A1730" t="str">
        <f>"1050027B00085    00"</f>
        <v>1050027B00085    00</v>
      </c>
      <c r="B1730" t="s">
        <v>4054</v>
      </c>
      <c r="C1730" t="s">
        <v>4055</v>
      </c>
      <c r="D1730" t="s">
        <v>20</v>
      </c>
      <c r="E1730" t="s">
        <v>39</v>
      </c>
      <c r="F1730">
        <v>0</v>
      </c>
      <c r="G1730">
        <v>0</v>
      </c>
      <c r="H1730">
        <v>1</v>
      </c>
      <c r="I1730" s="3">
        <v>533.62</v>
      </c>
      <c r="J1730" s="3">
        <v>0</v>
      </c>
      <c r="K1730" t="s">
        <v>4056</v>
      </c>
      <c r="L1730">
        <v>804</v>
      </c>
      <c r="M1730" t="s">
        <v>2387</v>
      </c>
      <c r="N1730" t="s">
        <v>30</v>
      </c>
      <c r="O1730" t="s">
        <v>31</v>
      </c>
      <c r="P1730" t="str">
        <f>"15219"</f>
        <v>15219</v>
      </c>
    </row>
    <row r="1731" spans="1:16" x14ac:dyDescent="0.25">
      <c r="A1731" t="str">
        <f>"1050027B00095    00"</f>
        <v>1050027B00095    00</v>
      </c>
      <c r="B1731" t="s">
        <v>4057</v>
      </c>
      <c r="C1731" t="s">
        <v>4058</v>
      </c>
      <c r="D1731" t="s">
        <v>20</v>
      </c>
      <c r="E1731" t="s">
        <v>39</v>
      </c>
      <c r="F1731">
        <v>0</v>
      </c>
      <c r="G1731">
        <v>0</v>
      </c>
      <c r="H1731">
        <v>12</v>
      </c>
      <c r="I1731" s="3">
        <v>2087.4299999999998</v>
      </c>
      <c r="J1731" s="3">
        <v>1005.38</v>
      </c>
      <c r="L1731">
        <v>501</v>
      </c>
      <c r="M1731" t="s">
        <v>4059</v>
      </c>
      <c r="N1731" t="s">
        <v>30</v>
      </c>
      <c r="O1731" t="s">
        <v>31</v>
      </c>
      <c r="P1731" t="str">
        <f>"15204"</f>
        <v>15204</v>
      </c>
    </row>
    <row r="1732" spans="1:16" x14ac:dyDescent="0.25">
      <c r="A1732" t="str">
        <f>"1050027B00097    00"</f>
        <v>1050027B00097    00</v>
      </c>
      <c r="B1732" t="s">
        <v>3675</v>
      </c>
      <c r="C1732" t="s">
        <v>4060</v>
      </c>
      <c r="E1732" t="s">
        <v>39</v>
      </c>
      <c r="F1732">
        <v>0</v>
      </c>
      <c r="G1732">
        <v>0</v>
      </c>
      <c r="H1732">
        <v>3</v>
      </c>
      <c r="I1732" s="3">
        <v>828.81</v>
      </c>
      <c r="J1732" s="3">
        <v>136.56</v>
      </c>
      <c r="L1732">
        <v>3515</v>
      </c>
      <c r="M1732" t="s">
        <v>3515</v>
      </c>
      <c r="N1732" t="s">
        <v>30</v>
      </c>
      <c r="O1732" t="s">
        <v>31</v>
      </c>
      <c r="P1732" t="str">
        <f>"15219"</f>
        <v>15219</v>
      </c>
    </row>
    <row r="1733" spans="1:16" x14ac:dyDescent="0.25">
      <c r="A1733" t="str">
        <f>"1050027B00098    00"</f>
        <v>1050027B00098    00</v>
      </c>
      <c r="B1733" t="s">
        <v>3675</v>
      </c>
      <c r="C1733" t="s">
        <v>4061</v>
      </c>
      <c r="D1733" t="s">
        <v>20</v>
      </c>
      <c r="E1733" t="s">
        <v>21</v>
      </c>
      <c r="F1733">
        <v>0</v>
      </c>
      <c r="G1733">
        <v>0</v>
      </c>
      <c r="H1733">
        <v>4</v>
      </c>
      <c r="I1733" s="3">
        <v>3598.56</v>
      </c>
      <c r="J1733" s="3">
        <v>443.13</v>
      </c>
      <c r="L1733">
        <v>3515</v>
      </c>
      <c r="M1733" t="s">
        <v>3515</v>
      </c>
      <c r="N1733" t="s">
        <v>30</v>
      </c>
      <c r="O1733" t="s">
        <v>31</v>
      </c>
      <c r="P1733" t="str">
        <f>"15219"</f>
        <v>15219</v>
      </c>
    </row>
    <row r="1734" spans="1:16" x14ac:dyDescent="0.25">
      <c r="A1734" t="str">
        <f>"1050027B00101    00"</f>
        <v>1050027B00101    00</v>
      </c>
      <c r="B1734" t="s">
        <v>4062</v>
      </c>
      <c r="C1734" t="s">
        <v>4063</v>
      </c>
      <c r="D1734" t="s">
        <v>20</v>
      </c>
      <c r="E1734" t="s">
        <v>39</v>
      </c>
      <c r="F1734">
        <v>0</v>
      </c>
      <c r="G1734">
        <v>0</v>
      </c>
      <c r="H1734">
        <v>1</v>
      </c>
      <c r="I1734" s="3">
        <v>43.85</v>
      </c>
      <c r="J1734" s="3">
        <v>0</v>
      </c>
      <c r="K1734" t="s">
        <v>4064</v>
      </c>
      <c r="L1734">
        <v>4377</v>
      </c>
      <c r="M1734" t="s">
        <v>3385</v>
      </c>
      <c r="N1734" t="s">
        <v>30</v>
      </c>
      <c r="O1734" t="s">
        <v>31</v>
      </c>
      <c r="P1734" t="str">
        <f>"15201"</f>
        <v>15201</v>
      </c>
    </row>
    <row r="1735" spans="1:16" x14ac:dyDescent="0.25">
      <c r="A1735" t="str">
        <f>"1050027B00110    00"</f>
        <v>1050027B00110    00</v>
      </c>
      <c r="B1735" t="s">
        <v>4065</v>
      </c>
      <c r="C1735" t="s">
        <v>4066</v>
      </c>
      <c r="D1735" t="s">
        <v>20</v>
      </c>
      <c r="E1735" t="s">
        <v>39</v>
      </c>
      <c r="F1735">
        <v>0</v>
      </c>
      <c r="G1735">
        <v>0</v>
      </c>
      <c r="H1735">
        <v>1</v>
      </c>
      <c r="I1735" s="3">
        <v>667.57</v>
      </c>
      <c r="J1735" s="3">
        <v>0</v>
      </c>
      <c r="L1735">
        <v>930</v>
      </c>
      <c r="M1735" t="s">
        <v>2408</v>
      </c>
      <c r="N1735" t="s">
        <v>30</v>
      </c>
      <c r="O1735" t="s">
        <v>31</v>
      </c>
      <c r="P1735" t="str">
        <f>"15219"</f>
        <v>15219</v>
      </c>
    </row>
    <row r="1736" spans="1:16" x14ac:dyDescent="0.25">
      <c r="A1736" t="str">
        <f>"1050027B00122    00"</f>
        <v>1050027B00122    00</v>
      </c>
      <c r="B1736" t="s">
        <v>4067</v>
      </c>
      <c r="C1736" t="s">
        <v>4068</v>
      </c>
      <c r="D1736" t="s">
        <v>20</v>
      </c>
      <c r="E1736" t="s">
        <v>39</v>
      </c>
      <c r="F1736">
        <v>0</v>
      </c>
      <c r="G1736">
        <v>0</v>
      </c>
      <c r="H1736">
        <v>7</v>
      </c>
      <c r="I1736" s="3">
        <v>2312.86</v>
      </c>
      <c r="J1736" s="3">
        <v>570.32000000000005</v>
      </c>
      <c r="L1736">
        <v>536</v>
      </c>
      <c r="M1736" t="s">
        <v>4069</v>
      </c>
      <c r="N1736" t="s">
        <v>30</v>
      </c>
      <c r="O1736" t="s">
        <v>31</v>
      </c>
      <c r="P1736" t="str">
        <f>"15208"</f>
        <v>15208</v>
      </c>
    </row>
    <row r="1737" spans="1:16" x14ac:dyDescent="0.25">
      <c r="A1737" t="str">
        <f>"1050027B00123    00"</f>
        <v>1050027B00123    00</v>
      </c>
      <c r="B1737" t="s">
        <v>4070</v>
      </c>
      <c r="C1737" t="s">
        <v>4071</v>
      </c>
      <c r="D1737" t="s">
        <v>20</v>
      </c>
      <c r="E1737" t="s">
        <v>39</v>
      </c>
      <c r="F1737">
        <v>0</v>
      </c>
      <c r="G1737">
        <v>0</v>
      </c>
      <c r="H1737">
        <v>7</v>
      </c>
      <c r="I1737" s="3">
        <v>2357.77</v>
      </c>
      <c r="J1737" s="3">
        <v>587.30999999999995</v>
      </c>
      <c r="L1737">
        <v>3206</v>
      </c>
      <c r="M1737" t="s">
        <v>3863</v>
      </c>
      <c r="N1737" t="s">
        <v>30</v>
      </c>
      <c r="O1737" t="s">
        <v>31</v>
      </c>
      <c r="P1737" t="str">
        <f>"15219"</f>
        <v>15219</v>
      </c>
    </row>
    <row r="1738" spans="1:16" x14ac:dyDescent="0.25">
      <c r="A1738" t="str">
        <f>"1050027B00139    00"</f>
        <v>1050027B00139    00</v>
      </c>
      <c r="B1738" t="s">
        <v>2780</v>
      </c>
      <c r="C1738" t="s">
        <v>4072</v>
      </c>
      <c r="D1738" t="s">
        <v>20</v>
      </c>
      <c r="E1738" t="s">
        <v>39</v>
      </c>
      <c r="F1738">
        <v>0</v>
      </c>
      <c r="G1738">
        <v>0</v>
      </c>
      <c r="H1738">
        <v>1</v>
      </c>
      <c r="I1738" s="3">
        <v>477.15</v>
      </c>
      <c r="J1738" s="3">
        <v>0</v>
      </c>
      <c r="L1738">
        <v>808</v>
      </c>
      <c r="M1738" t="s">
        <v>1070</v>
      </c>
      <c r="N1738" t="s">
        <v>30</v>
      </c>
      <c r="O1738" t="s">
        <v>31</v>
      </c>
      <c r="P1738" t="str">
        <f>"15219"</f>
        <v>15219</v>
      </c>
    </row>
    <row r="1739" spans="1:16" x14ac:dyDescent="0.25">
      <c r="A1739" t="str">
        <f>"1050027B00140    00"</f>
        <v>1050027B00140    00</v>
      </c>
      <c r="B1739" t="s">
        <v>2780</v>
      </c>
      <c r="C1739" t="s">
        <v>4072</v>
      </c>
      <c r="D1739" t="s">
        <v>20</v>
      </c>
      <c r="E1739" t="s">
        <v>39</v>
      </c>
      <c r="F1739">
        <v>0</v>
      </c>
      <c r="G1739">
        <v>0</v>
      </c>
      <c r="H1739">
        <v>2</v>
      </c>
      <c r="I1739" s="3">
        <v>224.64</v>
      </c>
      <c r="J1739" s="3">
        <v>0</v>
      </c>
      <c r="L1739">
        <v>808</v>
      </c>
      <c r="M1739" t="s">
        <v>1070</v>
      </c>
      <c r="N1739" t="s">
        <v>30</v>
      </c>
      <c r="O1739" t="s">
        <v>31</v>
      </c>
      <c r="P1739" t="str">
        <f>"15219"</f>
        <v>15219</v>
      </c>
    </row>
    <row r="1740" spans="1:16" x14ac:dyDescent="0.25">
      <c r="A1740" t="str">
        <f>"1050027B00141    00"</f>
        <v>1050027B00141    00</v>
      </c>
      <c r="B1740" t="s">
        <v>4073</v>
      </c>
      <c r="C1740" t="s">
        <v>4009</v>
      </c>
      <c r="D1740" t="s">
        <v>20</v>
      </c>
      <c r="E1740" t="s">
        <v>39</v>
      </c>
      <c r="F1740">
        <v>0</v>
      </c>
      <c r="G1740">
        <v>0</v>
      </c>
      <c r="H1740">
        <v>17</v>
      </c>
      <c r="I1740" s="3">
        <v>9532.51</v>
      </c>
      <c r="J1740" s="3">
        <v>9865.9699999999993</v>
      </c>
      <c r="L1740">
        <v>805</v>
      </c>
      <c r="M1740" t="s">
        <v>1070</v>
      </c>
      <c r="N1740" t="s">
        <v>30</v>
      </c>
      <c r="O1740" t="s">
        <v>31</v>
      </c>
      <c r="P1740" t="str">
        <f>"15219"</f>
        <v>15219</v>
      </c>
    </row>
    <row r="1741" spans="1:16" x14ac:dyDescent="0.25">
      <c r="A1741" t="str">
        <f>"1050027B00148    00"</f>
        <v>1050027B00148    00</v>
      </c>
      <c r="B1741" t="s">
        <v>4074</v>
      </c>
      <c r="C1741" t="s">
        <v>4075</v>
      </c>
      <c r="D1741" t="s">
        <v>20</v>
      </c>
      <c r="E1741" t="s">
        <v>39</v>
      </c>
      <c r="F1741">
        <v>0</v>
      </c>
      <c r="G1741">
        <v>0</v>
      </c>
      <c r="H1741">
        <v>4</v>
      </c>
      <c r="I1741" s="3">
        <v>5467.76</v>
      </c>
      <c r="J1741" s="3">
        <v>645.89</v>
      </c>
      <c r="L1741">
        <v>644</v>
      </c>
      <c r="M1741" t="s">
        <v>4076</v>
      </c>
      <c r="N1741" t="s">
        <v>4077</v>
      </c>
      <c r="O1741" t="s">
        <v>273</v>
      </c>
      <c r="P1741" t="str">
        <f>"29302"</f>
        <v>29302</v>
      </c>
    </row>
    <row r="1742" spans="1:16" x14ac:dyDescent="0.25">
      <c r="A1742" t="str">
        <f>"1050027B00150    00"</f>
        <v>1050027B00150    00</v>
      </c>
      <c r="B1742" t="s">
        <v>4078</v>
      </c>
      <c r="C1742" t="s">
        <v>4079</v>
      </c>
      <c r="E1742" t="s">
        <v>39</v>
      </c>
      <c r="F1742">
        <v>0</v>
      </c>
      <c r="G1742">
        <v>0</v>
      </c>
      <c r="H1742">
        <v>1</v>
      </c>
      <c r="I1742" s="3">
        <v>734.84</v>
      </c>
      <c r="J1742" s="3">
        <v>0</v>
      </c>
      <c r="L1742">
        <v>745</v>
      </c>
      <c r="M1742" t="s">
        <v>1070</v>
      </c>
      <c r="N1742" t="s">
        <v>30</v>
      </c>
      <c r="O1742" t="s">
        <v>31</v>
      </c>
      <c r="P1742" t="str">
        <f>"15219"</f>
        <v>15219</v>
      </c>
    </row>
    <row r="1743" spans="1:16" x14ac:dyDescent="0.25">
      <c r="A1743" t="str">
        <f>"1050027B00154    00"</f>
        <v>1050027B00154    00</v>
      </c>
      <c r="B1743" t="s">
        <v>4080</v>
      </c>
      <c r="C1743" t="s">
        <v>4081</v>
      </c>
      <c r="D1743" t="s">
        <v>20</v>
      </c>
      <c r="E1743" t="s">
        <v>39</v>
      </c>
      <c r="F1743">
        <v>0</v>
      </c>
      <c r="G1743">
        <v>0</v>
      </c>
      <c r="H1743">
        <v>13</v>
      </c>
      <c r="I1743" s="3">
        <v>6775.77</v>
      </c>
      <c r="J1743" s="3">
        <v>2732.74</v>
      </c>
      <c r="K1743" t="s">
        <v>4082</v>
      </c>
      <c r="M1743" t="s">
        <v>4083</v>
      </c>
      <c r="N1743" t="s">
        <v>30</v>
      </c>
      <c r="O1743" t="s">
        <v>31</v>
      </c>
      <c r="P1743" t="str">
        <f>"15224"</f>
        <v>15224</v>
      </c>
    </row>
    <row r="1744" spans="1:16" x14ac:dyDescent="0.25">
      <c r="A1744" t="str">
        <f>"1050027B00160    00"</f>
        <v>1050027B00160    00</v>
      </c>
      <c r="B1744" t="s">
        <v>4084</v>
      </c>
      <c r="C1744" t="s">
        <v>4085</v>
      </c>
      <c r="D1744" t="s">
        <v>20</v>
      </c>
      <c r="E1744" t="s">
        <v>39</v>
      </c>
      <c r="F1744">
        <v>0</v>
      </c>
      <c r="G1744">
        <v>0</v>
      </c>
      <c r="H1744">
        <v>2</v>
      </c>
      <c r="I1744" s="3">
        <v>2029.93</v>
      </c>
      <c r="J1744" s="3">
        <v>0</v>
      </c>
      <c r="L1744">
        <v>721</v>
      </c>
      <c r="M1744" t="s">
        <v>1070</v>
      </c>
      <c r="N1744" t="s">
        <v>30</v>
      </c>
      <c r="O1744" t="s">
        <v>31</v>
      </c>
      <c r="P1744" t="str">
        <f t="shared" ref="P1744:P1750" si="28">"15219"</f>
        <v>15219</v>
      </c>
    </row>
    <row r="1745" spans="1:16" x14ac:dyDescent="0.25">
      <c r="A1745" t="str">
        <f>"1050027B00161    00"</f>
        <v>1050027B00161    00</v>
      </c>
      <c r="B1745" t="s">
        <v>4086</v>
      </c>
      <c r="C1745" t="s">
        <v>4087</v>
      </c>
      <c r="D1745" t="s">
        <v>20</v>
      </c>
      <c r="E1745" t="s">
        <v>39</v>
      </c>
      <c r="F1745">
        <v>0</v>
      </c>
      <c r="G1745">
        <v>0</v>
      </c>
      <c r="H1745">
        <v>13</v>
      </c>
      <c r="I1745" s="3">
        <v>18106.07</v>
      </c>
      <c r="J1745" s="3">
        <v>9969.15</v>
      </c>
      <c r="L1745">
        <v>738</v>
      </c>
      <c r="M1745" t="s">
        <v>1070</v>
      </c>
      <c r="N1745" t="s">
        <v>30</v>
      </c>
      <c r="O1745" t="s">
        <v>31</v>
      </c>
      <c r="P1745" t="str">
        <f t="shared" si="28"/>
        <v>15219</v>
      </c>
    </row>
    <row r="1746" spans="1:16" x14ac:dyDescent="0.25">
      <c r="A1746" t="str">
        <f>"1050027B00162    00"</f>
        <v>1050027B00162    00</v>
      </c>
      <c r="B1746" t="s">
        <v>4088</v>
      </c>
      <c r="C1746" t="s">
        <v>4089</v>
      </c>
      <c r="D1746" t="s">
        <v>20</v>
      </c>
      <c r="E1746" t="s">
        <v>39</v>
      </c>
      <c r="F1746">
        <v>0</v>
      </c>
      <c r="G1746">
        <v>0</v>
      </c>
      <c r="H1746">
        <v>5</v>
      </c>
      <c r="I1746" s="3">
        <v>2251.88</v>
      </c>
      <c r="J1746" s="3">
        <v>286.25</v>
      </c>
      <c r="L1746">
        <v>740</v>
      </c>
      <c r="M1746" t="s">
        <v>1070</v>
      </c>
      <c r="N1746" t="s">
        <v>30</v>
      </c>
      <c r="O1746" t="s">
        <v>31</v>
      </c>
      <c r="P1746" t="str">
        <f t="shared" si="28"/>
        <v>15219</v>
      </c>
    </row>
    <row r="1747" spans="1:16" x14ac:dyDescent="0.25">
      <c r="A1747" t="str">
        <f>"1050027B00166    00"</f>
        <v>1050027B00166    00</v>
      </c>
      <c r="B1747" t="s">
        <v>4090</v>
      </c>
      <c r="C1747" t="s">
        <v>4091</v>
      </c>
      <c r="E1747" t="s">
        <v>39</v>
      </c>
      <c r="F1747">
        <v>0</v>
      </c>
      <c r="G1747">
        <v>0</v>
      </c>
      <c r="H1747">
        <v>3</v>
      </c>
      <c r="I1747" s="3">
        <v>1579.72</v>
      </c>
      <c r="J1747" s="3">
        <v>1250.99</v>
      </c>
      <c r="K1747" t="s">
        <v>4092</v>
      </c>
      <c r="L1747">
        <v>412</v>
      </c>
      <c r="M1747" t="s">
        <v>221</v>
      </c>
      <c r="N1747" t="s">
        <v>30</v>
      </c>
      <c r="O1747" t="s">
        <v>31</v>
      </c>
      <c r="P1747" t="str">
        <f t="shared" si="28"/>
        <v>15219</v>
      </c>
    </row>
    <row r="1748" spans="1:16" x14ac:dyDescent="0.25">
      <c r="A1748" t="str">
        <f>"1050027B00170    00"</f>
        <v>1050027B00170    00</v>
      </c>
      <c r="B1748" t="s">
        <v>4004</v>
      </c>
      <c r="C1748" t="s">
        <v>4093</v>
      </c>
      <c r="D1748" t="s">
        <v>20</v>
      </c>
      <c r="E1748" t="s">
        <v>39</v>
      </c>
      <c r="F1748">
        <v>0</v>
      </c>
      <c r="G1748">
        <v>0</v>
      </c>
      <c r="H1748">
        <v>6</v>
      </c>
      <c r="I1748" s="3">
        <v>3482.24</v>
      </c>
      <c r="J1748" s="3">
        <v>951.67</v>
      </c>
      <c r="K1748" t="s">
        <v>4094</v>
      </c>
      <c r="L1748">
        <v>758</v>
      </c>
      <c r="M1748" t="s">
        <v>1070</v>
      </c>
      <c r="N1748" t="s">
        <v>30</v>
      </c>
      <c r="O1748" t="s">
        <v>31</v>
      </c>
      <c r="P1748" t="str">
        <f t="shared" si="28"/>
        <v>15219</v>
      </c>
    </row>
    <row r="1749" spans="1:16" x14ac:dyDescent="0.25">
      <c r="A1749" t="str">
        <f>"1050027B00171C   00"</f>
        <v>1050027B00171C   00</v>
      </c>
      <c r="B1749" t="s">
        <v>4095</v>
      </c>
      <c r="C1749" t="s">
        <v>4009</v>
      </c>
      <c r="D1749" t="s">
        <v>20</v>
      </c>
      <c r="E1749" t="s">
        <v>39</v>
      </c>
      <c r="F1749">
        <v>0</v>
      </c>
      <c r="G1749">
        <v>0</v>
      </c>
      <c r="H1749">
        <v>17</v>
      </c>
      <c r="I1749" s="3">
        <v>2640.4</v>
      </c>
      <c r="J1749" s="3">
        <v>3736</v>
      </c>
      <c r="L1749">
        <v>745</v>
      </c>
      <c r="M1749" t="s">
        <v>1070</v>
      </c>
      <c r="N1749" t="s">
        <v>30</v>
      </c>
      <c r="O1749" t="s">
        <v>31</v>
      </c>
      <c r="P1749" t="str">
        <f t="shared" si="28"/>
        <v>15219</v>
      </c>
    </row>
    <row r="1750" spans="1:16" x14ac:dyDescent="0.25">
      <c r="A1750" t="str">
        <f>"1050027B00172A   00"</f>
        <v>1050027B00172A   00</v>
      </c>
      <c r="B1750" t="s">
        <v>4096</v>
      </c>
      <c r="C1750" t="s">
        <v>4097</v>
      </c>
      <c r="D1750" t="s">
        <v>20</v>
      </c>
      <c r="E1750" t="s">
        <v>39</v>
      </c>
      <c r="F1750">
        <v>0</v>
      </c>
      <c r="G1750">
        <v>0</v>
      </c>
      <c r="H1750">
        <v>7</v>
      </c>
      <c r="I1750" s="3">
        <v>516.16</v>
      </c>
      <c r="J1750" s="3">
        <v>165.18</v>
      </c>
      <c r="L1750">
        <v>766</v>
      </c>
      <c r="M1750" t="s">
        <v>1070</v>
      </c>
      <c r="N1750" t="s">
        <v>30</v>
      </c>
      <c r="O1750" t="s">
        <v>31</v>
      </c>
      <c r="P1750" t="str">
        <f t="shared" si="28"/>
        <v>15219</v>
      </c>
    </row>
    <row r="1751" spans="1:16" x14ac:dyDescent="0.25">
      <c r="A1751" t="str">
        <f>"1050027B00179    00"</f>
        <v>1050027B00179    00</v>
      </c>
      <c r="B1751" t="s">
        <v>4098</v>
      </c>
      <c r="C1751" t="s">
        <v>4099</v>
      </c>
      <c r="D1751" t="s">
        <v>20</v>
      </c>
      <c r="E1751" t="s">
        <v>39</v>
      </c>
      <c r="F1751">
        <v>0</v>
      </c>
      <c r="G1751">
        <v>0</v>
      </c>
      <c r="H1751">
        <v>1</v>
      </c>
      <c r="I1751" s="3">
        <v>435.85</v>
      </c>
      <c r="J1751" s="3">
        <v>0</v>
      </c>
      <c r="M1751" t="s">
        <v>4100</v>
      </c>
      <c r="N1751" t="s">
        <v>826</v>
      </c>
      <c r="O1751" t="s">
        <v>31</v>
      </c>
      <c r="P1751" t="str">
        <f>"15601"</f>
        <v>15601</v>
      </c>
    </row>
    <row r="1752" spans="1:16" x14ac:dyDescent="0.25">
      <c r="A1752" t="str">
        <f>"1050027B00186    00"</f>
        <v>1050027B00186    00</v>
      </c>
      <c r="B1752" t="s">
        <v>4101</v>
      </c>
      <c r="C1752" t="s">
        <v>4102</v>
      </c>
      <c r="D1752" t="s">
        <v>20</v>
      </c>
      <c r="E1752" t="s">
        <v>39</v>
      </c>
      <c r="F1752">
        <v>0</v>
      </c>
      <c r="G1752">
        <v>0</v>
      </c>
      <c r="H1752">
        <v>15</v>
      </c>
      <c r="I1752" s="3">
        <v>8133.79</v>
      </c>
      <c r="J1752" s="3">
        <v>4977.8599999999997</v>
      </c>
      <c r="K1752" t="s">
        <v>4103</v>
      </c>
      <c r="L1752">
        <v>2050</v>
      </c>
      <c r="M1752" t="s">
        <v>2633</v>
      </c>
      <c r="N1752" t="s">
        <v>30</v>
      </c>
      <c r="O1752" t="s">
        <v>31</v>
      </c>
      <c r="P1752" t="str">
        <f>"15221"</f>
        <v>15221</v>
      </c>
    </row>
    <row r="1753" spans="1:16" x14ac:dyDescent="0.25">
      <c r="A1753" t="str">
        <f>"1050027B00188    00"</f>
        <v>1050027B00188    00</v>
      </c>
      <c r="B1753" t="s">
        <v>4104</v>
      </c>
      <c r="C1753" t="s">
        <v>4105</v>
      </c>
      <c r="D1753" t="s">
        <v>20</v>
      </c>
      <c r="E1753" t="s">
        <v>39</v>
      </c>
      <c r="F1753">
        <v>0</v>
      </c>
      <c r="G1753">
        <v>0</v>
      </c>
      <c r="H1753">
        <v>3</v>
      </c>
      <c r="I1753" s="3">
        <v>4247.18</v>
      </c>
      <c r="J1753" s="3">
        <v>294.97000000000003</v>
      </c>
      <c r="L1753">
        <v>820</v>
      </c>
      <c r="M1753" t="s">
        <v>1070</v>
      </c>
      <c r="N1753" t="s">
        <v>30</v>
      </c>
      <c r="O1753" t="s">
        <v>31</v>
      </c>
      <c r="P1753" t="str">
        <f>"15219"</f>
        <v>15219</v>
      </c>
    </row>
    <row r="1754" spans="1:16" x14ac:dyDescent="0.25">
      <c r="A1754" t="str">
        <f>"1050027B00192    00"</f>
        <v>1050027B00192    00</v>
      </c>
      <c r="B1754" t="s">
        <v>4106</v>
      </c>
      <c r="C1754" t="s">
        <v>4107</v>
      </c>
      <c r="E1754" t="s">
        <v>39</v>
      </c>
      <c r="F1754">
        <v>0</v>
      </c>
      <c r="G1754">
        <v>0</v>
      </c>
      <c r="H1754">
        <v>1</v>
      </c>
      <c r="I1754" s="3">
        <v>56.38</v>
      </c>
      <c r="J1754" s="3">
        <v>0</v>
      </c>
      <c r="L1754">
        <v>824</v>
      </c>
      <c r="M1754" t="s">
        <v>1070</v>
      </c>
      <c r="N1754" t="s">
        <v>30</v>
      </c>
      <c r="O1754" t="s">
        <v>31</v>
      </c>
      <c r="P1754" t="str">
        <f>"15219"</f>
        <v>15219</v>
      </c>
    </row>
    <row r="1755" spans="1:16" x14ac:dyDescent="0.25">
      <c r="A1755" t="str">
        <f>"1050027B00203    00"</f>
        <v>1050027B00203    00</v>
      </c>
      <c r="B1755" t="s">
        <v>4108</v>
      </c>
      <c r="C1755" t="s">
        <v>4109</v>
      </c>
      <c r="D1755" t="s">
        <v>20</v>
      </c>
      <c r="E1755" t="s">
        <v>39</v>
      </c>
      <c r="F1755">
        <v>0</v>
      </c>
      <c r="G1755">
        <v>0</v>
      </c>
      <c r="H1755">
        <v>2</v>
      </c>
      <c r="I1755" s="3">
        <v>1023.78</v>
      </c>
      <c r="J1755" s="3">
        <v>0</v>
      </c>
      <c r="L1755">
        <v>4735</v>
      </c>
      <c r="M1755" t="s">
        <v>841</v>
      </c>
      <c r="N1755" t="s">
        <v>30</v>
      </c>
      <c r="O1755" t="s">
        <v>31</v>
      </c>
      <c r="P1755" t="str">
        <f>"15201"</f>
        <v>15201</v>
      </c>
    </row>
    <row r="1756" spans="1:16" x14ac:dyDescent="0.25">
      <c r="A1756" t="str">
        <f>"1050027B00205    00"</f>
        <v>1050027B00205    00</v>
      </c>
      <c r="B1756" t="s">
        <v>4110</v>
      </c>
      <c r="C1756" t="s">
        <v>4111</v>
      </c>
      <c r="D1756" t="s">
        <v>20</v>
      </c>
      <c r="E1756" t="s">
        <v>39</v>
      </c>
      <c r="F1756">
        <v>0</v>
      </c>
      <c r="G1756">
        <v>0</v>
      </c>
      <c r="H1756">
        <v>3</v>
      </c>
      <c r="I1756" s="3">
        <v>1266.6600000000001</v>
      </c>
      <c r="J1756" s="3">
        <v>141.91999999999999</v>
      </c>
      <c r="L1756">
        <v>914</v>
      </c>
      <c r="M1756" t="s">
        <v>1070</v>
      </c>
      <c r="N1756" t="s">
        <v>30</v>
      </c>
      <c r="O1756" t="s">
        <v>31</v>
      </c>
      <c r="P1756" t="str">
        <f>"15219"</f>
        <v>15219</v>
      </c>
    </row>
    <row r="1757" spans="1:16" x14ac:dyDescent="0.25">
      <c r="A1757" t="str">
        <f>"1050027B00206    00"</f>
        <v>1050027B00206    00</v>
      </c>
      <c r="B1757" t="s">
        <v>4112</v>
      </c>
      <c r="C1757" t="s">
        <v>4113</v>
      </c>
      <c r="D1757" t="s">
        <v>20</v>
      </c>
      <c r="E1757" t="s">
        <v>39</v>
      </c>
      <c r="F1757">
        <v>0</v>
      </c>
      <c r="G1757">
        <v>0</v>
      </c>
      <c r="H1757">
        <v>2</v>
      </c>
      <c r="I1757" s="3">
        <v>862.42</v>
      </c>
      <c r="J1757" s="3">
        <v>0</v>
      </c>
      <c r="L1757">
        <v>310</v>
      </c>
      <c r="M1757" t="s">
        <v>4114</v>
      </c>
      <c r="N1757" t="s">
        <v>30</v>
      </c>
      <c r="O1757" t="s">
        <v>31</v>
      </c>
      <c r="P1757" t="str">
        <f>"15206"</f>
        <v>15206</v>
      </c>
    </row>
    <row r="1758" spans="1:16" x14ac:dyDescent="0.25">
      <c r="A1758" t="str">
        <f>"1050027B00208    00"</f>
        <v>1050027B00208    00</v>
      </c>
      <c r="B1758" t="s">
        <v>4115</v>
      </c>
      <c r="C1758" t="s">
        <v>4116</v>
      </c>
      <c r="D1758" t="s">
        <v>20</v>
      </c>
      <c r="E1758" t="s">
        <v>39</v>
      </c>
      <c r="F1758">
        <v>0</v>
      </c>
      <c r="G1758">
        <v>0</v>
      </c>
      <c r="H1758">
        <v>4</v>
      </c>
      <c r="I1758" s="3">
        <v>1153.5999999999999</v>
      </c>
      <c r="J1758" s="3">
        <v>79.239999999999995</v>
      </c>
      <c r="K1758" t="s">
        <v>4117</v>
      </c>
      <c r="L1758">
        <v>6375</v>
      </c>
      <c r="M1758" t="s">
        <v>4118</v>
      </c>
      <c r="N1758" t="s">
        <v>30</v>
      </c>
      <c r="O1758" t="s">
        <v>31</v>
      </c>
      <c r="P1758" t="str">
        <f>"15206"</f>
        <v>15206</v>
      </c>
    </row>
    <row r="1759" spans="1:16" x14ac:dyDescent="0.25">
      <c r="A1759" t="str">
        <f>"1050027B00210    00"</f>
        <v>1050027B00210    00</v>
      </c>
      <c r="B1759" t="s">
        <v>4119</v>
      </c>
      <c r="C1759" t="s">
        <v>4120</v>
      </c>
      <c r="D1759" t="s">
        <v>20</v>
      </c>
      <c r="E1759" t="s">
        <v>39</v>
      </c>
      <c r="F1759">
        <v>0</v>
      </c>
      <c r="G1759">
        <v>0</v>
      </c>
      <c r="H1759">
        <v>1</v>
      </c>
      <c r="I1759" s="3">
        <v>316.87</v>
      </c>
      <c r="J1759" s="3">
        <v>0</v>
      </c>
      <c r="L1759">
        <v>932</v>
      </c>
      <c r="M1759" t="s">
        <v>4121</v>
      </c>
      <c r="N1759" t="s">
        <v>30</v>
      </c>
      <c r="O1759" t="s">
        <v>31</v>
      </c>
      <c r="P1759" t="str">
        <f>"15219"</f>
        <v>15219</v>
      </c>
    </row>
    <row r="1760" spans="1:16" x14ac:dyDescent="0.25">
      <c r="A1760" t="str">
        <f>"1050027B00229    00"</f>
        <v>1050027B00229    00</v>
      </c>
      <c r="B1760" t="s">
        <v>4122</v>
      </c>
      <c r="C1760" t="s">
        <v>4123</v>
      </c>
      <c r="D1760" t="s">
        <v>20</v>
      </c>
      <c r="E1760" t="s">
        <v>39</v>
      </c>
      <c r="F1760">
        <v>0</v>
      </c>
      <c r="G1760">
        <v>0</v>
      </c>
      <c r="H1760">
        <v>3</v>
      </c>
      <c r="I1760" s="3">
        <v>4500.09</v>
      </c>
      <c r="J1760" s="3">
        <v>300</v>
      </c>
      <c r="K1760" t="s">
        <v>4124</v>
      </c>
      <c r="L1760">
        <v>11</v>
      </c>
      <c r="M1760" t="s">
        <v>4125</v>
      </c>
      <c r="N1760" t="s">
        <v>4126</v>
      </c>
      <c r="O1760" t="s">
        <v>440</v>
      </c>
      <c r="P1760" t="str">
        <f>"02446"</f>
        <v>02446</v>
      </c>
    </row>
    <row r="1761" spans="1:16" x14ac:dyDescent="0.25">
      <c r="A1761" t="str">
        <f>"1050027B00234    00"</f>
        <v>1050027B00234    00</v>
      </c>
      <c r="B1761" t="s">
        <v>4127</v>
      </c>
      <c r="C1761" t="s">
        <v>3995</v>
      </c>
      <c r="D1761" t="s">
        <v>20</v>
      </c>
      <c r="E1761" t="s">
        <v>39</v>
      </c>
      <c r="F1761">
        <v>0</v>
      </c>
      <c r="G1761">
        <v>0</v>
      </c>
      <c r="H1761">
        <v>19</v>
      </c>
      <c r="I1761" s="3">
        <v>210.88</v>
      </c>
      <c r="J1761" s="3">
        <v>189.11</v>
      </c>
      <c r="L1761">
        <v>860</v>
      </c>
      <c r="M1761" t="s">
        <v>4128</v>
      </c>
      <c r="N1761" t="s">
        <v>691</v>
      </c>
      <c r="O1761" t="s">
        <v>692</v>
      </c>
      <c r="P1761" t="str">
        <f>"23504"</f>
        <v>23504</v>
      </c>
    </row>
    <row r="1762" spans="1:16" x14ac:dyDescent="0.25">
      <c r="A1762" t="str">
        <f>"1050027B00246    00"</f>
        <v>1050027B00246    00</v>
      </c>
      <c r="B1762" t="s">
        <v>4129</v>
      </c>
      <c r="C1762" t="s">
        <v>4130</v>
      </c>
      <c r="E1762" t="s">
        <v>39</v>
      </c>
      <c r="F1762">
        <v>0</v>
      </c>
      <c r="G1762">
        <v>0</v>
      </c>
      <c r="H1762">
        <v>1</v>
      </c>
      <c r="I1762" s="3">
        <v>168.27</v>
      </c>
      <c r="J1762" s="3">
        <v>0</v>
      </c>
      <c r="L1762">
        <v>819</v>
      </c>
      <c r="M1762" t="s">
        <v>3988</v>
      </c>
      <c r="N1762" t="s">
        <v>30</v>
      </c>
      <c r="O1762" t="s">
        <v>31</v>
      </c>
      <c r="P1762" t="str">
        <f>"15219"</f>
        <v>15219</v>
      </c>
    </row>
    <row r="1763" spans="1:16" x14ac:dyDescent="0.25">
      <c r="A1763" t="str">
        <f>"1050027B00247    00"</f>
        <v>1050027B00247    00</v>
      </c>
      <c r="B1763" t="s">
        <v>4131</v>
      </c>
      <c r="C1763" t="s">
        <v>4132</v>
      </c>
      <c r="D1763" t="s">
        <v>20</v>
      </c>
      <c r="E1763" t="s">
        <v>39</v>
      </c>
      <c r="F1763">
        <v>0</v>
      </c>
      <c r="G1763">
        <v>0</v>
      </c>
      <c r="H1763">
        <v>17</v>
      </c>
      <c r="I1763" s="3">
        <v>9523.58</v>
      </c>
      <c r="J1763" s="3">
        <v>6761.01</v>
      </c>
      <c r="K1763" t="s">
        <v>4133</v>
      </c>
      <c r="L1763">
        <v>817</v>
      </c>
      <c r="M1763" t="s">
        <v>3988</v>
      </c>
      <c r="N1763" t="s">
        <v>30</v>
      </c>
      <c r="O1763" t="s">
        <v>31</v>
      </c>
      <c r="P1763" t="str">
        <f>"15219"</f>
        <v>15219</v>
      </c>
    </row>
    <row r="1764" spans="1:16" x14ac:dyDescent="0.25">
      <c r="A1764" t="str">
        <f>"1050027B00258    00"</f>
        <v>1050027B00258    00</v>
      </c>
      <c r="B1764" t="s">
        <v>4134</v>
      </c>
      <c r="C1764" t="s">
        <v>4135</v>
      </c>
      <c r="D1764" t="s">
        <v>20</v>
      </c>
      <c r="E1764" t="s">
        <v>39</v>
      </c>
      <c r="F1764">
        <v>0</v>
      </c>
      <c r="G1764">
        <v>0</v>
      </c>
      <c r="H1764">
        <v>1</v>
      </c>
      <c r="I1764" s="3">
        <v>665.2</v>
      </c>
      <c r="J1764" s="3">
        <v>0</v>
      </c>
      <c r="L1764">
        <v>3104</v>
      </c>
      <c r="M1764" t="s">
        <v>4136</v>
      </c>
      <c r="N1764" t="s">
        <v>30</v>
      </c>
      <c r="O1764" t="s">
        <v>31</v>
      </c>
      <c r="P1764" t="str">
        <f>"15219"</f>
        <v>15219</v>
      </c>
    </row>
    <row r="1765" spans="1:16" x14ac:dyDescent="0.25">
      <c r="A1765" t="str">
        <f>"1050027B00272    00"</f>
        <v>1050027B00272    00</v>
      </c>
      <c r="B1765" t="s">
        <v>3994</v>
      </c>
      <c r="C1765" t="s">
        <v>4137</v>
      </c>
      <c r="D1765" t="s">
        <v>20</v>
      </c>
      <c r="E1765" t="s">
        <v>39</v>
      </c>
      <c r="F1765">
        <v>0</v>
      </c>
      <c r="G1765">
        <v>0</v>
      </c>
      <c r="H1765">
        <v>4</v>
      </c>
      <c r="I1765" s="3">
        <v>2487.0700000000002</v>
      </c>
      <c r="J1765" s="3">
        <v>157.58000000000001</v>
      </c>
      <c r="L1765">
        <v>743</v>
      </c>
      <c r="M1765" t="s">
        <v>3988</v>
      </c>
      <c r="N1765" t="s">
        <v>30</v>
      </c>
      <c r="O1765" t="s">
        <v>31</v>
      </c>
      <c r="P1765" t="str">
        <f>"15219"</f>
        <v>15219</v>
      </c>
    </row>
    <row r="1766" spans="1:16" x14ac:dyDescent="0.25">
      <c r="A1766" t="str">
        <f>"1050027B00278    00"</f>
        <v>1050027B00278    00</v>
      </c>
      <c r="B1766" t="s">
        <v>3238</v>
      </c>
      <c r="C1766" t="s">
        <v>4138</v>
      </c>
      <c r="D1766" t="s">
        <v>20</v>
      </c>
      <c r="E1766" t="s">
        <v>39</v>
      </c>
      <c r="F1766">
        <v>0</v>
      </c>
      <c r="G1766">
        <v>0</v>
      </c>
      <c r="H1766">
        <v>2</v>
      </c>
      <c r="I1766" s="3">
        <v>1738.32</v>
      </c>
      <c r="J1766" s="3">
        <v>173.83</v>
      </c>
      <c r="K1766" t="s">
        <v>3240</v>
      </c>
      <c r="L1766">
        <v>514</v>
      </c>
      <c r="M1766" t="s">
        <v>3241</v>
      </c>
      <c r="N1766" t="s">
        <v>3242</v>
      </c>
      <c r="O1766" t="s">
        <v>273</v>
      </c>
      <c r="P1766" t="str">
        <f>"57719"</f>
        <v>57719</v>
      </c>
    </row>
    <row r="1767" spans="1:16" x14ac:dyDescent="0.25">
      <c r="A1767" t="str">
        <f>"1050027B00283    00"</f>
        <v>1050027B00283    00</v>
      </c>
      <c r="B1767" t="s">
        <v>4139</v>
      </c>
      <c r="C1767" t="s">
        <v>3995</v>
      </c>
      <c r="D1767" t="s">
        <v>20</v>
      </c>
      <c r="E1767" t="s">
        <v>39</v>
      </c>
      <c r="F1767">
        <v>0</v>
      </c>
      <c r="G1767">
        <v>0</v>
      </c>
      <c r="H1767">
        <v>19</v>
      </c>
      <c r="I1767" s="3">
        <v>12980.24</v>
      </c>
      <c r="J1767" s="3">
        <v>13220.29</v>
      </c>
      <c r="L1767">
        <v>6503</v>
      </c>
      <c r="M1767" t="s">
        <v>4140</v>
      </c>
      <c r="N1767" t="s">
        <v>4141</v>
      </c>
      <c r="O1767" t="s">
        <v>108</v>
      </c>
      <c r="P1767" t="str">
        <f>"78744"</f>
        <v>78744</v>
      </c>
    </row>
    <row r="1768" spans="1:16" x14ac:dyDescent="0.25">
      <c r="A1768" t="str">
        <f>"1050027B00285    00"</f>
        <v>1050027B00285    00</v>
      </c>
      <c r="B1768" t="s">
        <v>4142</v>
      </c>
      <c r="C1768" t="s">
        <v>4143</v>
      </c>
      <c r="D1768" t="s">
        <v>20</v>
      </c>
      <c r="E1768" t="s">
        <v>39</v>
      </c>
      <c r="F1768">
        <v>0</v>
      </c>
      <c r="G1768">
        <v>0</v>
      </c>
      <c r="H1768">
        <v>19</v>
      </c>
      <c r="I1768" s="3">
        <v>12941.68</v>
      </c>
      <c r="J1768" s="3">
        <v>12063.72</v>
      </c>
      <c r="N1768" t="s">
        <v>30</v>
      </c>
      <c r="O1768" t="s">
        <v>31</v>
      </c>
      <c r="P1768" t="str">
        <f>"15219"</f>
        <v>15219</v>
      </c>
    </row>
    <row r="1769" spans="1:16" x14ac:dyDescent="0.25">
      <c r="A1769" t="str">
        <f>"1050027B00293    00"</f>
        <v>1050027B00293    00</v>
      </c>
      <c r="B1769" t="s">
        <v>4047</v>
      </c>
      <c r="C1769" t="s">
        <v>4144</v>
      </c>
      <c r="E1769" t="s">
        <v>39</v>
      </c>
      <c r="F1769">
        <v>0</v>
      </c>
      <c r="G1769">
        <v>0</v>
      </c>
      <c r="H1769">
        <v>1</v>
      </c>
      <c r="I1769" s="3">
        <v>1324.68</v>
      </c>
      <c r="J1769" s="3">
        <v>0</v>
      </c>
      <c r="K1769" t="s">
        <v>1094</v>
      </c>
      <c r="L1769">
        <v>412</v>
      </c>
      <c r="M1769" t="s">
        <v>36</v>
      </c>
      <c r="N1769" t="s">
        <v>30</v>
      </c>
      <c r="O1769" t="s">
        <v>31</v>
      </c>
      <c r="P1769" t="str">
        <f>"15219"</f>
        <v>15219</v>
      </c>
    </row>
    <row r="1770" spans="1:16" x14ac:dyDescent="0.25">
      <c r="A1770" t="str">
        <f>"1050027B00297    00"</f>
        <v>1050027B00297    00</v>
      </c>
      <c r="B1770" t="s">
        <v>4145</v>
      </c>
      <c r="C1770" t="s">
        <v>4146</v>
      </c>
      <c r="D1770" t="s">
        <v>20</v>
      </c>
      <c r="E1770" t="s">
        <v>39</v>
      </c>
      <c r="F1770">
        <v>0</v>
      </c>
      <c r="G1770">
        <v>0</v>
      </c>
      <c r="H1770">
        <v>4</v>
      </c>
      <c r="I1770" s="3">
        <v>1903.44</v>
      </c>
      <c r="J1770" s="3">
        <v>130.74</v>
      </c>
      <c r="K1770" t="s">
        <v>4147</v>
      </c>
      <c r="L1770">
        <v>2210</v>
      </c>
      <c r="M1770" t="s">
        <v>1484</v>
      </c>
      <c r="N1770" t="s">
        <v>30</v>
      </c>
      <c r="O1770" t="s">
        <v>31</v>
      </c>
      <c r="P1770" t="str">
        <f>"15203"</f>
        <v>15203</v>
      </c>
    </row>
    <row r="1771" spans="1:16" x14ac:dyDescent="0.25">
      <c r="A1771" t="str">
        <f>"1050027B00298    00"</f>
        <v>1050027B00298    00</v>
      </c>
      <c r="B1771" t="s">
        <v>4148</v>
      </c>
      <c r="C1771" t="s">
        <v>4146</v>
      </c>
      <c r="D1771" t="s">
        <v>20</v>
      </c>
      <c r="E1771" t="s">
        <v>39</v>
      </c>
      <c r="F1771">
        <v>0</v>
      </c>
      <c r="G1771">
        <v>0</v>
      </c>
      <c r="H1771">
        <v>7</v>
      </c>
      <c r="I1771" s="3">
        <v>4306.5</v>
      </c>
      <c r="J1771" s="3">
        <v>1190.8800000000001</v>
      </c>
      <c r="L1771">
        <v>132</v>
      </c>
      <c r="M1771" t="s">
        <v>4149</v>
      </c>
      <c r="N1771" t="s">
        <v>4150</v>
      </c>
      <c r="O1771" t="s">
        <v>31</v>
      </c>
      <c r="P1771" t="str">
        <f>"15116"</f>
        <v>15116</v>
      </c>
    </row>
    <row r="1772" spans="1:16" x14ac:dyDescent="0.25">
      <c r="A1772" t="str">
        <f>"1050027B00299A   00"</f>
        <v>1050027B00299A   00</v>
      </c>
      <c r="B1772" t="s">
        <v>4151</v>
      </c>
      <c r="C1772" t="s">
        <v>4152</v>
      </c>
      <c r="D1772" t="s">
        <v>20</v>
      </c>
      <c r="E1772" t="s">
        <v>39</v>
      </c>
      <c r="F1772">
        <v>0</v>
      </c>
      <c r="G1772">
        <v>0</v>
      </c>
      <c r="H1772">
        <v>18</v>
      </c>
      <c r="I1772" s="3">
        <v>10901.95</v>
      </c>
      <c r="J1772" s="3">
        <v>8954.64</v>
      </c>
      <c r="L1772">
        <v>40</v>
      </c>
      <c r="M1772" t="s">
        <v>4153</v>
      </c>
      <c r="N1772" t="s">
        <v>636</v>
      </c>
      <c r="O1772" t="s">
        <v>31</v>
      </c>
      <c r="P1772" t="str">
        <f>"15104"</f>
        <v>15104</v>
      </c>
    </row>
    <row r="1773" spans="1:16" x14ac:dyDescent="0.25">
      <c r="A1773" t="str">
        <f>"1050027B00301    00"</f>
        <v>1050027B00301    00</v>
      </c>
      <c r="B1773" t="s">
        <v>4154</v>
      </c>
      <c r="C1773" t="s">
        <v>4155</v>
      </c>
      <c r="D1773" t="s">
        <v>20</v>
      </c>
      <c r="E1773" t="s">
        <v>39</v>
      </c>
      <c r="F1773">
        <v>0</v>
      </c>
      <c r="G1773">
        <v>0</v>
      </c>
      <c r="H1773">
        <v>7</v>
      </c>
      <c r="I1773" s="3">
        <v>1233.01</v>
      </c>
      <c r="J1773" s="3">
        <v>357.47</v>
      </c>
      <c r="K1773" t="s">
        <v>4156</v>
      </c>
      <c r="L1773">
        <v>706</v>
      </c>
      <c r="M1773" t="s">
        <v>4157</v>
      </c>
      <c r="N1773" t="s">
        <v>4158</v>
      </c>
      <c r="O1773" t="s">
        <v>31</v>
      </c>
      <c r="P1773" t="str">
        <f>"15034"</f>
        <v>15034</v>
      </c>
    </row>
    <row r="1774" spans="1:16" x14ac:dyDescent="0.25">
      <c r="A1774" t="str">
        <f>"1050027B00301A   00"</f>
        <v>1050027B00301A   00</v>
      </c>
      <c r="B1774" t="s">
        <v>4159</v>
      </c>
      <c r="C1774" t="s">
        <v>4160</v>
      </c>
      <c r="D1774" t="s">
        <v>20</v>
      </c>
      <c r="E1774" t="s">
        <v>39</v>
      </c>
      <c r="F1774">
        <v>0</v>
      </c>
      <c r="G1774">
        <v>0</v>
      </c>
      <c r="H1774">
        <v>11</v>
      </c>
      <c r="I1774" s="3">
        <v>6429.47</v>
      </c>
      <c r="J1774" s="3">
        <v>2761.66</v>
      </c>
      <c r="L1774">
        <v>828</v>
      </c>
      <c r="M1774" t="s">
        <v>3988</v>
      </c>
      <c r="N1774" t="s">
        <v>30</v>
      </c>
      <c r="O1774" t="s">
        <v>31</v>
      </c>
      <c r="P1774" t="str">
        <f>"15219"</f>
        <v>15219</v>
      </c>
    </row>
    <row r="1775" spans="1:16" x14ac:dyDescent="0.25">
      <c r="A1775" t="str">
        <f>"1050027B00313    00"</f>
        <v>1050027B00313    00</v>
      </c>
      <c r="B1775" t="s">
        <v>4161</v>
      </c>
      <c r="C1775" t="s">
        <v>4162</v>
      </c>
      <c r="D1775" t="s">
        <v>20</v>
      </c>
      <c r="E1775" t="s">
        <v>39</v>
      </c>
      <c r="F1775">
        <v>0</v>
      </c>
      <c r="G1775">
        <v>0</v>
      </c>
      <c r="H1775">
        <v>2</v>
      </c>
      <c r="I1775" s="3">
        <v>1837.38</v>
      </c>
      <c r="J1775" s="3">
        <v>0</v>
      </c>
      <c r="L1775">
        <v>904</v>
      </c>
      <c r="M1775" t="s">
        <v>3988</v>
      </c>
      <c r="N1775" t="s">
        <v>30</v>
      </c>
      <c r="O1775" t="s">
        <v>31</v>
      </c>
      <c r="P1775" t="str">
        <f>"15219"</f>
        <v>15219</v>
      </c>
    </row>
    <row r="1776" spans="1:16" x14ac:dyDescent="0.25">
      <c r="A1776" t="str">
        <f>"1050027B00316    00"</f>
        <v>1050027B00316    00</v>
      </c>
      <c r="B1776" t="s">
        <v>4163</v>
      </c>
      <c r="C1776" t="s">
        <v>3995</v>
      </c>
      <c r="D1776" t="s">
        <v>20</v>
      </c>
      <c r="E1776" t="s">
        <v>39</v>
      </c>
      <c r="F1776">
        <v>0</v>
      </c>
      <c r="G1776">
        <v>0</v>
      </c>
      <c r="H1776">
        <v>5</v>
      </c>
      <c r="I1776" s="3">
        <v>253.03</v>
      </c>
      <c r="J1776" s="3">
        <v>44.81</v>
      </c>
      <c r="L1776">
        <v>910</v>
      </c>
      <c r="M1776" t="s">
        <v>3988</v>
      </c>
      <c r="N1776" t="s">
        <v>30</v>
      </c>
      <c r="O1776" t="s">
        <v>31</v>
      </c>
      <c r="P1776" t="str">
        <f>"15219"</f>
        <v>15219</v>
      </c>
    </row>
    <row r="1777" spans="1:16" x14ac:dyDescent="0.25">
      <c r="A1777" t="str">
        <f>"1050027B00317    00"</f>
        <v>1050027B00317    00</v>
      </c>
      <c r="B1777" t="s">
        <v>4163</v>
      </c>
      <c r="C1777" t="s">
        <v>4164</v>
      </c>
      <c r="D1777" t="s">
        <v>20</v>
      </c>
      <c r="E1777" t="s">
        <v>39</v>
      </c>
      <c r="F1777">
        <v>0</v>
      </c>
      <c r="G1777">
        <v>0</v>
      </c>
      <c r="H1777">
        <v>4</v>
      </c>
      <c r="I1777" s="3">
        <v>529.55999999999995</v>
      </c>
      <c r="J1777" s="3">
        <v>62.95</v>
      </c>
      <c r="L1777">
        <v>910</v>
      </c>
      <c r="M1777" t="s">
        <v>3988</v>
      </c>
      <c r="N1777" t="s">
        <v>30</v>
      </c>
      <c r="O1777" t="s">
        <v>31</v>
      </c>
      <c r="P1777" t="str">
        <f>"15219"</f>
        <v>15219</v>
      </c>
    </row>
    <row r="1778" spans="1:16" x14ac:dyDescent="0.25">
      <c r="A1778" t="str">
        <f>"1050027B00321    00"</f>
        <v>1050027B00321    00</v>
      </c>
      <c r="B1778" t="s">
        <v>4165</v>
      </c>
      <c r="C1778" t="s">
        <v>4166</v>
      </c>
      <c r="D1778" t="s">
        <v>20</v>
      </c>
      <c r="E1778" t="s">
        <v>39</v>
      </c>
      <c r="F1778">
        <v>0</v>
      </c>
      <c r="G1778">
        <v>0</v>
      </c>
      <c r="H1778">
        <v>2</v>
      </c>
      <c r="I1778" s="3">
        <v>3103.02</v>
      </c>
      <c r="J1778" s="3">
        <v>0</v>
      </c>
      <c r="L1778">
        <v>149</v>
      </c>
      <c r="M1778" t="s">
        <v>4167</v>
      </c>
      <c r="N1778" t="s">
        <v>30</v>
      </c>
      <c r="O1778" t="s">
        <v>31</v>
      </c>
      <c r="P1778" t="str">
        <f>"15214"</f>
        <v>15214</v>
      </c>
    </row>
    <row r="1779" spans="1:16" x14ac:dyDescent="0.25">
      <c r="A1779" t="str">
        <f>"1050027B00322    00"</f>
        <v>1050027B00322    00</v>
      </c>
      <c r="B1779" t="s">
        <v>4168</v>
      </c>
      <c r="C1779" t="s">
        <v>4169</v>
      </c>
      <c r="D1779" t="s">
        <v>20</v>
      </c>
      <c r="E1779" t="s">
        <v>39</v>
      </c>
      <c r="F1779">
        <v>0</v>
      </c>
      <c r="G1779">
        <v>0</v>
      </c>
      <c r="H1779">
        <v>3</v>
      </c>
      <c r="I1779" s="3">
        <v>3755.45</v>
      </c>
      <c r="J1779" s="3">
        <v>262.19</v>
      </c>
      <c r="L1779">
        <v>920</v>
      </c>
      <c r="M1779" t="s">
        <v>3988</v>
      </c>
      <c r="N1779" t="s">
        <v>30</v>
      </c>
      <c r="O1779" t="s">
        <v>31</v>
      </c>
      <c r="P1779" t="str">
        <f>"15219"</f>
        <v>15219</v>
      </c>
    </row>
    <row r="1780" spans="1:16" x14ac:dyDescent="0.25">
      <c r="A1780" t="str">
        <f>"1050027B00342    00"</f>
        <v>1050027B00342    00</v>
      </c>
      <c r="B1780" t="s">
        <v>4170</v>
      </c>
      <c r="C1780" t="s">
        <v>3862</v>
      </c>
      <c r="E1780" t="s">
        <v>39</v>
      </c>
      <c r="F1780">
        <v>0</v>
      </c>
      <c r="G1780">
        <v>0</v>
      </c>
      <c r="H1780">
        <v>2</v>
      </c>
      <c r="I1780" s="3">
        <v>15.61</v>
      </c>
      <c r="J1780" s="3">
        <v>3.2</v>
      </c>
      <c r="L1780">
        <v>2912</v>
      </c>
      <c r="M1780" t="s">
        <v>4171</v>
      </c>
      <c r="N1780" t="s">
        <v>1210</v>
      </c>
      <c r="O1780" t="s">
        <v>495</v>
      </c>
      <c r="P1780" t="str">
        <f>"94131"</f>
        <v>94131</v>
      </c>
    </row>
    <row r="1781" spans="1:16" x14ac:dyDescent="0.25">
      <c r="A1781" t="str">
        <f>"1050027B00346    00"</f>
        <v>1050027B00346    00</v>
      </c>
      <c r="B1781" t="s">
        <v>4172</v>
      </c>
      <c r="C1781" t="s">
        <v>4173</v>
      </c>
      <c r="E1781" t="s">
        <v>39</v>
      </c>
      <c r="F1781">
        <v>0</v>
      </c>
      <c r="G1781">
        <v>0</v>
      </c>
      <c r="H1781">
        <v>1</v>
      </c>
      <c r="I1781" s="3">
        <v>32.770000000000003</v>
      </c>
      <c r="J1781" s="3">
        <v>32.5</v>
      </c>
      <c r="L1781">
        <v>833</v>
      </c>
      <c r="M1781" t="s">
        <v>4174</v>
      </c>
      <c r="N1781" t="s">
        <v>30</v>
      </c>
      <c r="O1781" t="s">
        <v>31</v>
      </c>
      <c r="P1781" t="str">
        <f>"15219"</f>
        <v>15219</v>
      </c>
    </row>
    <row r="1782" spans="1:16" x14ac:dyDescent="0.25">
      <c r="A1782" t="str">
        <f>"1050027B00351    00"</f>
        <v>1050027B00351    00</v>
      </c>
      <c r="B1782" t="s">
        <v>4175</v>
      </c>
      <c r="C1782" t="s">
        <v>4176</v>
      </c>
      <c r="D1782" t="s">
        <v>20</v>
      </c>
      <c r="E1782" t="s">
        <v>39</v>
      </c>
      <c r="F1782">
        <v>0</v>
      </c>
      <c r="G1782">
        <v>0</v>
      </c>
      <c r="H1782">
        <v>3</v>
      </c>
      <c r="I1782" s="3">
        <v>1149.9000000000001</v>
      </c>
      <c r="J1782" s="3">
        <v>10.16</v>
      </c>
      <c r="L1782">
        <v>825</v>
      </c>
      <c r="M1782" t="s">
        <v>4174</v>
      </c>
      <c r="N1782" t="s">
        <v>30</v>
      </c>
      <c r="O1782" t="s">
        <v>31</v>
      </c>
      <c r="P1782" t="str">
        <f>"15219"</f>
        <v>15219</v>
      </c>
    </row>
    <row r="1783" spans="1:16" x14ac:dyDescent="0.25">
      <c r="A1783" t="str">
        <f>"1050027B00360    00"</f>
        <v>1050027B00360    00</v>
      </c>
      <c r="B1783" t="s">
        <v>4177</v>
      </c>
      <c r="C1783" t="s">
        <v>4178</v>
      </c>
      <c r="D1783" t="s">
        <v>20</v>
      </c>
      <c r="E1783" t="s">
        <v>39</v>
      </c>
      <c r="F1783">
        <v>0</v>
      </c>
      <c r="G1783">
        <v>0</v>
      </c>
      <c r="H1783">
        <v>1</v>
      </c>
      <c r="I1783" s="3">
        <v>249</v>
      </c>
      <c r="J1783" s="3">
        <v>0</v>
      </c>
      <c r="L1783">
        <v>803</v>
      </c>
      <c r="M1783" t="s">
        <v>4174</v>
      </c>
      <c r="N1783" t="s">
        <v>30</v>
      </c>
      <c r="O1783" t="s">
        <v>31</v>
      </c>
      <c r="P1783" t="str">
        <f>"15219"</f>
        <v>15219</v>
      </c>
    </row>
    <row r="1784" spans="1:16" x14ac:dyDescent="0.25">
      <c r="A1784" t="str">
        <f>"1050027B00392    00"</f>
        <v>1050027B00392    00</v>
      </c>
      <c r="B1784" t="s">
        <v>1997</v>
      </c>
      <c r="C1784" t="s">
        <v>4179</v>
      </c>
      <c r="E1784" t="s">
        <v>39</v>
      </c>
      <c r="F1784">
        <v>0</v>
      </c>
      <c r="G1784">
        <v>0</v>
      </c>
      <c r="H1784">
        <v>4</v>
      </c>
      <c r="I1784" s="3">
        <v>3302.18</v>
      </c>
      <c r="J1784" s="3">
        <v>2775.79</v>
      </c>
      <c r="K1784" t="s">
        <v>2361</v>
      </c>
      <c r="L1784">
        <v>412</v>
      </c>
      <c r="M1784" t="s">
        <v>221</v>
      </c>
      <c r="N1784" t="s">
        <v>30</v>
      </c>
      <c r="O1784" t="s">
        <v>31</v>
      </c>
      <c r="P1784" t="str">
        <f>"15219"</f>
        <v>15219</v>
      </c>
    </row>
    <row r="1785" spans="1:16" x14ac:dyDescent="0.25">
      <c r="A1785" t="str">
        <f>"1050027B00393    00"</f>
        <v>1050027B00393    00</v>
      </c>
      <c r="B1785" t="s">
        <v>1997</v>
      </c>
      <c r="C1785" t="s">
        <v>4180</v>
      </c>
      <c r="E1785" t="s">
        <v>39</v>
      </c>
      <c r="F1785">
        <v>0</v>
      </c>
      <c r="G1785">
        <v>0</v>
      </c>
      <c r="H1785">
        <v>12</v>
      </c>
      <c r="I1785" s="3">
        <v>9137.6200000000008</v>
      </c>
      <c r="J1785" s="3">
        <v>11801.23</v>
      </c>
      <c r="K1785" t="s">
        <v>2361</v>
      </c>
      <c r="L1785">
        <v>412</v>
      </c>
      <c r="M1785" t="s">
        <v>221</v>
      </c>
      <c r="N1785" t="s">
        <v>30</v>
      </c>
      <c r="O1785" t="s">
        <v>31</v>
      </c>
      <c r="P1785" t="str">
        <f>"15219"</f>
        <v>15219</v>
      </c>
    </row>
    <row r="1786" spans="1:16" x14ac:dyDescent="0.25">
      <c r="A1786" t="str">
        <f>"1050027B00398    00"</f>
        <v>1050027B00398    00</v>
      </c>
      <c r="B1786" t="s">
        <v>4181</v>
      </c>
      <c r="C1786" t="s">
        <v>4182</v>
      </c>
      <c r="E1786" t="s">
        <v>39</v>
      </c>
      <c r="F1786">
        <v>0</v>
      </c>
      <c r="G1786">
        <v>0</v>
      </c>
      <c r="H1786">
        <v>1</v>
      </c>
      <c r="I1786" s="3">
        <v>1348.9</v>
      </c>
      <c r="J1786" s="3">
        <v>0</v>
      </c>
      <c r="K1786" t="s">
        <v>4183</v>
      </c>
      <c r="L1786">
        <v>208</v>
      </c>
      <c r="M1786" t="s">
        <v>3320</v>
      </c>
      <c r="N1786" t="s">
        <v>1210</v>
      </c>
      <c r="O1786" t="s">
        <v>495</v>
      </c>
      <c r="P1786" t="str">
        <f>"94102"</f>
        <v>94102</v>
      </c>
    </row>
    <row r="1787" spans="1:16" x14ac:dyDescent="0.25">
      <c r="A1787" t="str">
        <f>"1050027C00004    00"</f>
        <v>1050027C00004    00</v>
      </c>
      <c r="B1787" t="s">
        <v>4184</v>
      </c>
      <c r="C1787" t="s">
        <v>4185</v>
      </c>
      <c r="D1787" t="s">
        <v>20</v>
      </c>
      <c r="E1787" t="s">
        <v>39</v>
      </c>
      <c r="F1787">
        <v>0</v>
      </c>
      <c r="G1787">
        <v>0</v>
      </c>
      <c r="H1787">
        <v>2</v>
      </c>
      <c r="I1787" s="3">
        <v>1919.46</v>
      </c>
      <c r="J1787" s="3">
        <v>200.81</v>
      </c>
      <c r="K1787" t="s">
        <v>4186</v>
      </c>
      <c r="L1787">
        <v>3409</v>
      </c>
      <c r="M1787" t="s">
        <v>4187</v>
      </c>
      <c r="N1787" t="s">
        <v>30</v>
      </c>
      <c r="O1787" t="s">
        <v>31</v>
      </c>
      <c r="P1787" t="str">
        <f>"15219"</f>
        <v>15219</v>
      </c>
    </row>
    <row r="1788" spans="1:16" x14ac:dyDescent="0.25">
      <c r="A1788" t="str">
        <f>"1050027C00008A   00"</f>
        <v>1050027C00008A   00</v>
      </c>
      <c r="B1788" t="s">
        <v>4188</v>
      </c>
      <c r="C1788" t="s">
        <v>4189</v>
      </c>
      <c r="D1788" t="s">
        <v>20</v>
      </c>
      <c r="E1788" t="s">
        <v>39</v>
      </c>
      <c r="F1788">
        <v>0</v>
      </c>
      <c r="G1788">
        <v>0</v>
      </c>
      <c r="H1788">
        <v>1</v>
      </c>
      <c r="I1788" s="3">
        <v>33.83</v>
      </c>
      <c r="J1788" s="3">
        <v>0</v>
      </c>
      <c r="L1788">
        <v>48</v>
      </c>
      <c r="M1788" t="s">
        <v>4190</v>
      </c>
      <c r="N1788" t="s">
        <v>30</v>
      </c>
      <c r="O1788" t="s">
        <v>31</v>
      </c>
      <c r="P1788" t="str">
        <f>"15235"</f>
        <v>15235</v>
      </c>
    </row>
    <row r="1789" spans="1:16" x14ac:dyDescent="0.25">
      <c r="A1789" t="str">
        <f>"1050027C00010A   00"</f>
        <v>1050027C00010A   00</v>
      </c>
      <c r="B1789" t="s">
        <v>4191</v>
      </c>
      <c r="C1789" t="s">
        <v>4192</v>
      </c>
      <c r="D1789" t="s">
        <v>20</v>
      </c>
      <c r="E1789" t="s">
        <v>39</v>
      </c>
      <c r="F1789">
        <v>0</v>
      </c>
      <c r="G1789">
        <v>0</v>
      </c>
      <c r="H1789">
        <v>2</v>
      </c>
      <c r="I1789" s="3">
        <v>1042.3599999999999</v>
      </c>
      <c r="J1789" s="3">
        <v>0</v>
      </c>
      <c r="L1789">
        <v>925</v>
      </c>
      <c r="M1789" t="s">
        <v>970</v>
      </c>
      <c r="N1789" t="s">
        <v>30</v>
      </c>
      <c r="O1789" t="s">
        <v>31</v>
      </c>
      <c r="P1789" t="str">
        <f t="shared" ref="P1789:P1797" si="29">"15219"</f>
        <v>15219</v>
      </c>
    </row>
    <row r="1790" spans="1:16" x14ac:dyDescent="0.25">
      <c r="A1790" t="str">
        <f>"1050027C00012    00"</f>
        <v>1050027C00012    00</v>
      </c>
      <c r="B1790" t="s">
        <v>4193</v>
      </c>
      <c r="C1790" t="s">
        <v>4194</v>
      </c>
      <c r="D1790" t="s">
        <v>20</v>
      </c>
      <c r="E1790" t="s">
        <v>39</v>
      </c>
      <c r="F1790">
        <v>0</v>
      </c>
      <c r="G1790">
        <v>0</v>
      </c>
      <c r="H1790">
        <v>11</v>
      </c>
      <c r="I1790" s="3">
        <v>6743.94</v>
      </c>
      <c r="J1790" s="3">
        <v>3330.78</v>
      </c>
      <c r="L1790">
        <v>3409</v>
      </c>
      <c r="M1790" t="s">
        <v>3515</v>
      </c>
      <c r="N1790" t="s">
        <v>30</v>
      </c>
      <c r="O1790" t="s">
        <v>31</v>
      </c>
      <c r="P1790" t="str">
        <f t="shared" si="29"/>
        <v>15219</v>
      </c>
    </row>
    <row r="1791" spans="1:16" x14ac:dyDescent="0.25">
      <c r="A1791" t="str">
        <f>"1050027C00019    00"</f>
        <v>1050027C00019    00</v>
      </c>
      <c r="B1791" t="s">
        <v>4195</v>
      </c>
      <c r="C1791" t="s">
        <v>4196</v>
      </c>
      <c r="E1791" t="s">
        <v>39</v>
      </c>
      <c r="F1791">
        <v>0</v>
      </c>
      <c r="G1791">
        <v>0</v>
      </c>
      <c r="H1791">
        <v>1</v>
      </c>
      <c r="I1791" s="3">
        <v>1476.8</v>
      </c>
      <c r="J1791" s="3">
        <v>12.31</v>
      </c>
      <c r="L1791">
        <v>928</v>
      </c>
      <c r="M1791" t="s">
        <v>970</v>
      </c>
      <c r="N1791" t="s">
        <v>30</v>
      </c>
      <c r="O1791" t="s">
        <v>31</v>
      </c>
      <c r="P1791" t="str">
        <f t="shared" si="29"/>
        <v>15219</v>
      </c>
    </row>
    <row r="1792" spans="1:16" x14ac:dyDescent="0.25">
      <c r="A1792" t="str">
        <f>"1050027C00041    00"</f>
        <v>1050027C00041    00</v>
      </c>
      <c r="B1792" t="s">
        <v>4197</v>
      </c>
      <c r="C1792" t="s">
        <v>4198</v>
      </c>
      <c r="E1792" t="s">
        <v>21</v>
      </c>
      <c r="F1792">
        <v>0</v>
      </c>
      <c r="G1792">
        <v>0</v>
      </c>
      <c r="H1792">
        <v>1</v>
      </c>
      <c r="I1792" s="3">
        <v>151.91</v>
      </c>
      <c r="J1792" s="3">
        <v>165.83</v>
      </c>
      <c r="L1792">
        <v>1000</v>
      </c>
      <c r="M1792" t="s">
        <v>2408</v>
      </c>
      <c r="N1792" t="s">
        <v>30</v>
      </c>
      <c r="O1792" t="s">
        <v>31</v>
      </c>
      <c r="P1792" t="str">
        <f t="shared" si="29"/>
        <v>15219</v>
      </c>
    </row>
    <row r="1793" spans="1:16" x14ac:dyDescent="0.25">
      <c r="A1793" t="str">
        <f>"1050027C00044    00"</f>
        <v>1050027C00044    00</v>
      </c>
      <c r="B1793" t="s">
        <v>4199</v>
      </c>
      <c r="C1793" t="s">
        <v>4200</v>
      </c>
      <c r="D1793" t="s">
        <v>20</v>
      </c>
      <c r="E1793" t="s">
        <v>39</v>
      </c>
      <c r="F1793">
        <v>0</v>
      </c>
      <c r="G1793">
        <v>0</v>
      </c>
      <c r="H1793">
        <v>1</v>
      </c>
      <c r="I1793" s="3">
        <v>1062.0899999999999</v>
      </c>
      <c r="J1793" s="3">
        <v>734.58</v>
      </c>
      <c r="L1793">
        <v>3108</v>
      </c>
      <c r="M1793" t="s">
        <v>3515</v>
      </c>
      <c r="N1793" t="s">
        <v>30</v>
      </c>
      <c r="O1793" t="s">
        <v>31</v>
      </c>
      <c r="P1793" t="str">
        <f t="shared" si="29"/>
        <v>15219</v>
      </c>
    </row>
    <row r="1794" spans="1:16" x14ac:dyDescent="0.25">
      <c r="A1794" t="str">
        <f>"1050027C00048    00"</f>
        <v>1050027C00048    00</v>
      </c>
      <c r="B1794" t="s">
        <v>4201</v>
      </c>
      <c r="C1794" t="s">
        <v>4202</v>
      </c>
      <c r="D1794" t="s">
        <v>20</v>
      </c>
      <c r="E1794" t="s">
        <v>39</v>
      </c>
      <c r="F1794">
        <v>0</v>
      </c>
      <c r="G1794">
        <v>0</v>
      </c>
      <c r="H1794">
        <v>2</v>
      </c>
      <c r="I1794" s="3">
        <v>1604.13</v>
      </c>
      <c r="J1794" s="3">
        <v>0</v>
      </c>
      <c r="L1794">
        <v>3118</v>
      </c>
      <c r="M1794" t="s">
        <v>3515</v>
      </c>
      <c r="N1794" t="s">
        <v>30</v>
      </c>
      <c r="O1794" t="s">
        <v>31</v>
      </c>
      <c r="P1794" t="str">
        <f t="shared" si="29"/>
        <v>15219</v>
      </c>
    </row>
    <row r="1795" spans="1:16" x14ac:dyDescent="0.25">
      <c r="A1795" t="str">
        <f>"1050027C00049B   00"</f>
        <v>1050027C00049B   00</v>
      </c>
      <c r="B1795" t="s">
        <v>4203</v>
      </c>
      <c r="C1795" t="s">
        <v>4204</v>
      </c>
      <c r="E1795" t="s">
        <v>39</v>
      </c>
      <c r="F1795">
        <v>0</v>
      </c>
      <c r="G1795">
        <v>0</v>
      </c>
      <c r="H1795">
        <v>2</v>
      </c>
      <c r="I1795" s="3">
        <v>232.75</v>
      </c>
      <c r="J1795" s="3">
        <v>0</v>
      </c>
      <c r="L1795">
        <v>3122</v>
      </c>
      <c r="M1795" t="s">
        <v>3515</v>
      </c>
      <c r="N1795" t="s">
        <v>30</v>
      </c>
      <c r="O1795" t="s">
        <v>31</v>
      </c>
      <c r="P1795" t="str">
        <f t="shared" si="29"/>
        <v>15219</v>
      </c>
    </row>
    <row r="1796" spans="1:16" x14ac:dyDescent="0.25">
      <c r="A1796" t="str">
        <f>"1050027C00053    00"</f>
        <v>1050027C00053    00</v>
      </c>
      <c r="B1796" t="s">
        <v>4197</v>
      </c>
      <c r="C1796" t="s">
        <v>4205</v>
      </c>
      <c r="E1796" t="s">
        <v>21</v>
      </c>
      <c r="F1796">
        <v>0</v>
      </c>
      <c r="G1796">
        <v>0</v>
      </c>
      <c r="H1796">
        <v>7</v>
      </c>
      <c r="I1796" s="3">
        <v>8609.91</v>
      </c>
      <c r="J1796" s="3">
        <v>11013.26</v>
      </c>
      <c r="L1796">
        <v>1000</v>
      </c>
      <c r="M1796" t="s">
        <v>2408</v>
      </c>
      <c r="N1796" t="s">
        <v>30</v>
      </c>
      <c r="O1796" t="s">
        <v>31</v>
      </c>
      <c r="P1796" t="str">
        <f t="shared" si="29"/>
        <v>15219</v>
      </c>
    </row>
    <row r="1797" spans="1:16" x14ac:dyDescent="0.25">
      <c r="A1797" t="str">
        <f>"1050027C00059    00"</f>
        <v>1050027C00059    00</v>
      </c>
      <c r="B1797" t="s">
        <v>4206</v>
      </c>
      <c r="C1797" t="s">
        <v>4207</v>
      </c>
      <c r="D1797" t="s">
        <v>20</v>
      </c>
      <c r="E1797" t="s">
        <v>39</v>
      </c>
      <c r="F1797">
        <v>0</v>
      </c>
      <c r="G1797">
        <v>0</v>
      </c>
      <c r="H1797">
        <v>5</v>
      </c>
      <c r="I1797" s="3">
        <v>18116.46</v>
      </c>
      <c r="J1797" s="3">
        <v>2359.75</v>
      </c>
      <c r="L1797">
        <v>1801</v>
      </c>
      <c r="M1797" t="s">
        <v>3273</v>
      </c>
      <c r="N1797" t="s">
        <v>30</v>
      </c>
      <c r="O1797" t="s">
        <v>31</v>
      </c>
      <c r="P1797" t="str">
        <f t="shared" si="29"/>
        <v>15219</v>
      </c>
    </row>
    <row r="1798" spans="1:16" x14ac:dyDescent="0.25">
      <c r="A1798" t="str">
        <f>"1050027C00061    00"</f>
        <v>1050027C00061    00</v>
      </c>
      <c r="B1798" t="s">
        <v>4208</v>
      </c>
      <c r="C1798" t="s">
        <v>4209</v>
      </c>
      <c r="D1798" t="s">
        <v>20</v>
      </c>
      <c r="E1798" t="s">
        <v>39</v>
      </c>
      <c r="F1798">
        <v>0</v>
      </c>
      <c r="G1798">
        <v>0</v>
      </c>
      <c r="H1798">
        <v>1</v>
      </c>
      <c r="I1798" s="3">
        <v>560.83000000000004</v>
      </c>
      <c r="J1798" s="3">
        <v>0</v>
      </c>
      <c r="L1798">
        <v>4281</v>
      </c>
      <c r="M1798" t="s">
        <v>4210</v>
      </c>
      <c r="N1798" t="s">
        <v>30</v>
      </c>
      <c r="O1798" t="s">
        <v>31</v>
      </c>
      <c r="P1798" t="str">
        <f>"15213"</f>
        <v>15213</v>
      </c>
    </row>
    <row r="1799" spans="1:16" x14ac:dyDescent="0.25">
      <c r="A1799" t="str">
        <f>"1050027C00081    00"</f>
        <v>1050027C00081    00</v>
      </c>
      <c r="B1799" t="s">
        <v>4211</v>
      </c>
      <c r="C1799" t="s">
        <v>4212</v>
      </c>
      <c r="D1799" t="s">
        <v>20</v>
      </c>
      <c r="E1799" t="s">
        <v>39</v>
      </c>
      <c r="F1799">
        <v>0</v>
      </c>
      <c r="G1799">
        <v>0</v>
      </c>
      <c r="H1799">
        <v>1</v>
      </c>
      <c r="I1799" s="3">
        <v>265.87</v>
      </c>
      <c r="J1799" s="3">
        <v>0</v>
      </c>
      <c r="K1799" t="s">
        <v>4213</v>
      </c>
      <c r="L1799">
        <v>4333</v>
      </c>
      <c r="M1799" t="s">
        <v>4210</v>
      </c>
      <c r="N1799" t="s">
        <v>30</v>
      </c>
      <c r="O1799" t="s">
        <v>31</v>
      </c>
      <c r="P1799" t="str">
        <f>"15213"</f>
        <v>15213</v>
      </c>
    </row>
    <row r="1800" spans="1:16" x14ac:dyDescent="0.25">
      <c r="A1800" t="str">
        <f>"1050027C00085    00"</f>
        <v>1050027C00085    00</v>
      </c>
      <c r="B1800" t="s">
        <v>4214</v>
      </c>
      <c r="C1800" t="s">
        <v>4215</v>
      </c>
      <c r="E1800" t="s">
        <v>39</v>
      </c>
      <c r="F1800">
        <v>0</v>
      </c>
      <c r="G1800">
        <v>0</v>
      </c>
      <c r="H1800">
        <v>2</v>
      </c>
      <c r="I1800" s="3">
        <v>483.93</v>
      </c>
      <c r="J1800" s="3">
        <v>1.37</v>
      </c>
      <c r="K1800" t="s">
        <v>1094</v>
      </c>
      <c r="L1800">
        <v>412</v>
      </c>
      <c r="M1800" t="s">
        <v>36</v>
      </c>
      <c r="N1800" t="s">
        <v>30</v>
      </c>
      <c r="O1800" t="s">
        <v>31</v>
      </c>
      <c r="P1800" t="str">
        <f>"15219"</f>
        <v>15219</v>
      </c>
    </row>
    <row r="1801" spans="1:16" x14ac:dyDescent="0.25">
      <c r="A1801" t="str">
        <f>"1050027C00134    00"</f>
        <v>1050027C00134    00</v>
      </c>
      <c r="B1801" t="s">
        <v>4216</v>
      </c>
      <c r="C1801" t="s">
        <v>4217</v>
      </c>
      <c r="E1801" t="s">
        <v>39</v>
      </c>
      <c r="F1801">
        <v>0</v>
      </c>
      <c r="G1801">
        <v>0</v>
      </c>
      <c r="H1801">
        <v>1</v>
      </c>
      <c r="I1801" s="3">
        <v>200.87</v>
      </c>
      <c r="J1801" s="3">
        <v>0</v>
      </c>
      <c r="K1801" t="s">
        <v>4218</v>
      </c>
      <c r="L1801">
        <v>324</v>
      </c>
      <c r="M1801" t="s">
        <v>4219</v>
      </c>
      <c r="N1801" t="s">
        <v>30</v>
      </c>
      <c r="O1801" t="s">
        <v>31</v>
      </c>
      <c r="P1801" t="str">
        <f>"15232"</f>
        <v>15232</v>
      </c>
    </row>
    <row r="1802" spans="1:16" x14ac:dyDescent="0.25">
      <c r="A1802" t="str">
        <f>"1050027C00136    00"</f>
        <v>1050027C00136    00</v>
      </c>
      <c r="B1802" t="s">
        <v>4216</v>
      </c>
      <c r="C1802" t="s">
        <v>4220</v>
      </c>
      <c r="E1802" t="s">
        <v>39</v>
      </c>
      <c r="F1802">
        <v>0</v>
      </c>
      <c r="G1802">
        <v>0</v>
      </c>
      <c r="H1802">
        <v>1</v>
      </c>
      <c r="I1802" s="3">
        <v>1931.16</v>
      </c>
      <c r="J1802" s="3">
        <v>0</v>
      </c>
      <c r="K1802" t="s">
        <v>4218</v>
      </c>
      <c r="L1802">
        <v>4283</v>
      </c>
      <c r="M1802" t="s">
        <v>4221</v>
      </c>
      <c r="N1802" t="s">
        <v>30</v>
      </c>
      <c r="O1802" t="s">
        <v>31</v>
      </c>
      <c r="P1802" t="str">
        <f>"15213"</f>
        <v>15213</v>
      </c>
    </row>
    <row r="1803" spans="1:16" x14ac:dyDescent="0.25">
      <c r="A1803" t="str">
        <f>"1050027C00157    00"</f>
        <v>1050027C00157    00</v>
      </c>
      <c r="B1803" t="s">
        <v>4222</v>
      </c>
      <c r="C1803" t="s">
        <v>4223</v>
      </c>
      <c r="D1803" t="s">
        <v>20</v>
      </c>
      <c r="E1803" t="s">
        <v>39</v>
      </c>
      <c r="F1803">
        <v>0</v>
      </c>
      <c r="G1803">
        <v>0</v>
      </c>
      <c r="H1803">
        <v>2</v>
      </c>
      <c r="I1803" s="3">
        <v>4353.34</v>
      </c>
      <c r="J1803" s="3">
        <v>0</v>
      </c>
      <c r="K1803" t="s">
        <v>4224</v>
      </c>
      <c r="L1803">
        <v>4335</v>
      </c>
      <c r="M1803" t="s">
        <v>4221</v>
      </c>
      <c r="N1803" t="s">
        <v>30</v>
      </c>
      <c r="O1803" t="s">
        <v>31</v>
      </c>
      <c r="P1803" t="str">
        <f>"15213"</f>
        <v>15213</v>
      </c>
    </row>
    <row r="1804" spans="1:16" x14ac:dyDescent="0.25">
      <c r="A1804" t="str">
        <f>"1050027C00229    00"</f>
        <v>1050027C00229    00</v>
      </c>
      <c r="B1804" t="s">
        <v>4225</v>
      </c>
      <c r="C1804" t="s">
        <v>4217</v>
      </c>
      <c r="D1804" t="s">
        <v>20</v>
      </c>
      <c r="E1804" t="s">
        <v>39</v>
      </c>
      <c r="F1804">
        <v>0</v>
      </c>
      <c r="G1804">
        <v>0</v>
      </c>
      <c r="H1804">
        <v>9</v>
      </c>
      <c r="I1804" s="3">
        <v>9226.32</v>
      </c>
      <c r="J1804" s="3">
        <v>13288.2</v>
      </c>
      <c r="K1804" t="s">
        <v>1037</v>
      </c>
      <c r="M1804" t="s">
        <v>4221</v>
      </c>
      <c r="N1804" t="s">
        <v>30</v>
      </c>
      <c r="O1804" t="s">
        <v>31</v>
      </c>
      <c r="P1804" t="str">
        <f>"15213"</f>
        <v>15213</v>
      </c>
    </row>
    <row r="1805" spans="1:16" x14ac:dyDescent="0.25">
      <c r="A1805" t="str">
        <f>"1050027C00236    00"</f>
        <v>1050027C00236    00</v>
      </c>
      <c r="B1805" t="s">
        <v>4226</v>
      </c>
      <c r="C1805" t="s">
        <v>4217</v>
      </c>
      <c r="D1805" t="s">
        <v>20</v>
      </c>
      <c r="E1805" t="s">
        <v>39</v>
      </c>
      <c r="F1805">
        <v>0</v>
      </c>
      <c r="G1805">
        <v>0</v>
      </c>
      <c r="H1805">
        <v>9</v>
      </c>
      <c r="I1805" s="3">
        <v>9275.61</v>
      </c>
      <c r="J1805" s="3">
        <v>13359.18</v>
      </c>
      <c r="K1805" t="s">
        <v>1008</v>
      </c>
      <c r="P1805" t="str">
        <f>""</f>
        <v/>
      </c>
    </row>
    <row r="1806" spans="1:16" x14ac:dyDescent="0.25">
      <c r="A1806" t="str">
        <f>"1050027C00244    00"</f>
        <v>1050027C00244    00</v>
      </c>
      <c r="B1806" t="s">
        <v>4226</v>
      </c>
      <c r="C1806" t="s">
        <v>512</v>
      </c>
      <c r="D1806" t="s">
        <v>20</v>
      </c>
      <c r="E1806" t="s">
        <v>39</v>
      </c>
      <c r="F1806">
        <v>0</v>
      </c>
      <c r="G1806">
        <v>0</v>
      </c>
      <c r="H1806">
        <v>19</v>
      </c>
      <c r="I1806" s="3">
        <v>14782.03</v>
      </c>
      <c r="J1806" s="3">
        <v>16144.87</v>
      </c>
      <c r="P1806" t="str">
        <f>""</f>
        <v/>
      </c>
    </row>
    <row r="1807" spans="1:16" x14ac:dyDescent="0.25">
      <c r="A1807" t="str">
        <f>"1050027C00248    00"</f>
        <v>1050027C00248    00</v>
      </c>
      <c r="B1807" t="s">
        <v>4227</v>
      </c>
      <c r="C1807" t="s">
        <v>4228</v>
      </c>
      <c r="E1807" t="s">
        <v>39</v>
      </c>
      <c r="F1807">
        <v>0</v>
      </c>
      <c r="G1807">
        <v>0</v>
      </c>
      <c r="H1807">
        <v>2</v>
      </c>
      <c r="I1807" s="3">
        <v>4066.24</v>
      </c>
      <c r="J1807" s="3">
        <v>278.07</v>
      </c>
      <c r="K1807" t="s">
        <v>4229</v>
      </c>
      <c r="L1807">
        <v>4435</v>
      </c>
      <c r="M1807" t="s">
        <v>3929</v>
      </c>
      <c r="N1807" t="s">
        <v>30</v>
      </c>
      <c r="O1807" t="s">
        <v>31</v>
      </c>
      <c r="P1807" t="str">
        <f>"15213"</f>
        <v>15213</v>
      </c>
    </row>
    <row r="1808" spans="1:16" x14ac:dyDescent="0.25">
      <c r="A1808" t="str">
        <f>"1050027D00113    00"</f>
        <v>1050027D00113    00</v>
      </c>
      <c r="B1808" t="s">
        <v>1909</v>
      </c>
      <c r="C1808" t="s">
        <v>4230</v>
      </c>
      <c r="D1808" t="s">
        <v>20</v>
      </c>
      <c r="E1808" t="s">
        <v>21</v>
      </c>
      <c r="F1808">
        <v>0</v>
      </c>
      <c r="G1808">
        <v>0</v>
      </c>
      <c r="H1808">
        <v>2</v>
      </c>
      <c r="I1808" s="3">
        <v>6610</v>
      </c>
      <c r="J1808" s="3">
        <v>0</v>
      </c>
      <c r="K1808" t="s">
        <v>1483</v>
      </c>
      <c r="L1808">
        <v>2333</v>
      </c>
      <c r="M1808" t="s">
        <v>1484</v>
      </c>
      <c r="N1808" t="s">
        <v>30</v>
      </c>
      <c r="O1808" t="s">
        <v>31</v>
      </c>
      <c r="P1808" t="str">
        <f>"15203"</f>
        <v>15203</v>
      </c>
    </row>
    <row r="1809" spans="1:16" x14ac:dyDescent="0.25">
      <c r="A1809" t="str">
        <f>"1050027D00115    00"</f>
        <v>1050027D00115    00</v>
      </c>
      <c r="B1809" t="s">
        <v>1909</v>
      </c>
      <c r="C1809" t="s">
        <v>4231</v>
      </c>
      <c r="D1809" t="s">
        <v>20</v>
      </c>
      <c r="E1809" t="s">
        <v>21</v>
      </c>
      <c r="F1809">
        <v>0</v>
      </c>
      <c r="G1809">
        <v>0</v>
      </c>
      <c r="H1809">
        <v>2</v>
      </c>
      <c r="I1809" s="3">
        <v>6610.06</v>
      </c>
      <c r="J1809" s="3">
        <v>0</v>
      </c>
      <c r="K1809" t="s">
        <v>1483</v>
      </c>
      <c r="L1809">
        <v>2333</v>
      </c>
      <c r="M1809" t="s">
        <v>1484</v>
      </c>
      <c r="N1809" t="s">
        <v>30</v>
      </c>
      <c r="O1809" t="s">
        <v>31</v>
      </c>
      <c r="P1809" t="str">
        <f>"15203"</f>
        <v>15203</v>
      </c>
    </row>
    <row r="1810" spans="1:16" x14ac:dyDescent="0.25">
      <c r="A1810" t="str">
        <f>"1050027D00116    00"</f>
        <v>1050027D00116    00</v>
      </c>
      <c r="B1810" t="s">
        <v>4232</v>
      </c>
      <c r="C1810" t="s">
        <v>4233</v>
      </c>
      <c r="D1810" t="s">
        <v>20</v>
      </c>
      <c r="E1810" t="s">
        <v>21</v>
      </c>
      <c r="F1810">
        <v>0</v>
      </c>
      <c r="G1810">
        <v>0</v>
      </c>
      <c r="H1810">
        <v>1</v>
      </c>
      <c r="I1810" s="3">
        <v>1803.1</v>
      </c>
      <c r="J1810" s="3">
        <v>0</v>
      </c>
      <c r="K1810" t="s">
        <v>4234</v>
      </c>
      <c r="L1810">
        <v>2804</v>
      </c>
      <c r="M1810" t="s">
        <v>4235</v>
      </c>
      <c r="N1810" t="s">
        <v>30</v>
      </c>
      <c r="O1810" t="s">
        <v>31</v>
      </c>
      <c r="P1810" t="str">
        <f>"15203"</f>
        <v>15203</v>
      </c>
    </row>
    <row r="1811" spans="1:16" x14ac:dyDescent="0.25">
      <c r="A1811" t="str">
        <f>"1050027D00117    00"</f>
        <v>1050027D00117    00</v>
      </c>
      <c r="B1811" t="s">
        <v>4232</v>
      </c>
      <c r="C1811" t="s">
        <v>4236</v>
      </c>
      <c r="D1811" t="s">
        <v>20</v>
      </c>
      <c r="E1811" t="s">
        <v>21</v>
      </c>
      <c r="F1811">
        <v>0</v>
      </c>
      <c r="G1811">
        <v>0</v>
      </c>
      <c r="H1811">
        <v>1</v>
      </c>
      <c r="I1811" s="3">
        <v>1650.61</v>
      </c>
      <c r="J1811" s="3">
        <v>0</v>
      </c>
      <c r="K1811" t="s">
        <v>4234</v>
      </c>
      <c r="L1811">
        <v>2804</v>
      </c>
      <c r="M1811" t="s">
        <v>4235</v>
      </c>
      <c r="N1811" t="s">
        <v>30</v>
      </c>
      <c r="O1811" t="s">
        <v>31</v>
      </c>
      <c r="P1811" t="str">
        <f>"15203"</f>
        <v>15203</v>
      </c>
    </row>
    <row r="1812" spans="1:16" x14ac:dyDescent="0.25">
      <c r="A1812" t="str">
        <f>"1050027D00119    00"</f>
        <v>1050027D00119    00</v>
      </c>
      <c r="B1812" t="s">
        <v>4237</v>
      </c>
      <c r="C1812" t="s">
        <v>4238</v>
      </c>
      <c r="D1812" t="s">
        <v>20</v>
      </c>
      <c r="E1812" t="s">
        <v>21</v>
      </c>
      <c r="F1812">
        <v>0</v>
      </c>
      <c r="G1812">
        <v>0</v>
      </c>
      <c r="H1812">
        <v>2</v>
      </c>
      <c r="I1812" s="3">
        <v>4209.1099999999997</v>
      </c>
      <c r="J1812" s="3">
        <v>0</v>
      </c>
      <c r="L1812">
        <v>307</v>
      </c>
      <c r="M1812" t="s">
        <v>1602</v>
      </c>
      <c r="N1812" t="s">
        <v>30</v>
      </c>
      <c r="O1812" t="s">
        <v>31</v>
      </c>
      <c r="P1812" t="str">
        <f>"15213"</f>
        <v>15213</v>
      </c>
    </row>
    <row r="1813" spans="1:16" x14ac:dyDescent="0.25">
      <c r="A1813" t="str">
        <f>"1050027D00142    00"</f>
        <v>1050027D00142    00</v>
      </c>
      <c r="B1813" t="s">
        <v>4239</v>
      </c>
      <c r="C1813" t="s">
        <v>4240</v>
      </c>
      <c r="E1813" t="s">
        <v>21</v>
      </c>
      <c r="F1813">
        <v>0</v>
      </c>
      <c r="G1813">
        <v>0</v>
      </c>
      <c r="H1813">
        <v>1</v>
      </c>
      <c r="I1813" s="3">
        <v>93.97</v>
      </c>
      <c r="J1813" s="3">
        <v>0</v>
      </c>
      <c r="K1813" t="s">
        <v>4241</v>
      </c>
      <c r="L1813">
        <v>252</v>
      </c>
      <c r="M1813" t="s">
        <v>1621</v>
      </c>
      <c r="N1813" t="s">
        <v>30</v>
      </c>
      <c r="O1813" t="s">
        <v>31</v>
      </c>
      <c r="P1813" t="str">
        <f>"15213"</f>
        <v>15213</v>
      </c>
    </row>
    <row r="1814" spans="1:16" x14ac:dyDescent="0.25">
      <c r="A1814" t="str">
        <f>"1050027D00157    00"</f>
        <v>1050027D00157    00</v>
      </c>
      <c r="B1814" t="s">
        <v>4242</v>
      </c>
      <c r="C1814" t="s">
        <v>4243</v>
      </c>
      <c r="E1814" t="s">
        <v>21</v>
      </c>
      <c r="F1814">
        <v>0</v>
      </c>
      <c r="G1814">
        <v>0</v>
      </c>
      <c r="H1814">
        <v>1</v>
      </c>
      <c r="I1814" s="3">
        <v>1551.4</v>
      </c>
      <c r="J1814" s="3">
        <v>310.27</v>
      </c>
      <c r="K1814" t="s">
        <v>4244</v>
      </c>
      <c r="L1814">
        <v>252</v>
      </c>
      <c r="M1814" t="s">
        <v>1621</v>
      </c>
      <c r="N1814" t="s">
        <v>30</v>
      </c>
      <c r="O1814" t="s">
        <v>31</v>
      </c>
      <c r="P1814" t="str">
        <f>"15213"</f>
        <v>15213</v>
      </c>
    </row>
    <row r="1815" spans="1:16" x14ac:dyDescent="0.25">
      <c r="A1815" t="str">
        <f>"1050027D00160    00"</f>
        <v>1050027D00160    00</v>
      </c>
      <c r="B1815" t="s">
        <v>1619</v>
      </c>
      <c r="C1815" t="s">
        <v>4245</v>
      </c>
      <c r="E1815" t="s">
        <v>21</v>
      </c>
      <c r="F1815">
        <v>0</v>
      </c>
      <c r="G1815">
        <v>0</v>
      </c>
      <c r="H1815">
        <v>1</v>
      </c>
      <c r="I1815" s="3">
        <v>2308.17</v>
      </c>
      <c r="J1815" s="3">
        <v>0</v>
      </c>
      <c r="L1815">
        <v>252</v>
      </c>
      <c r="M1815" t="s">
        <v>1621</v>
      </c>
      <c r="N1815" t="s">
        <v>30</v>
      </c>
      <c r="O1815" t="s">
        <v>31</v>
      </c>
      <c r="P1815" t="str">
        <f>"15213"</f>
        <v>15213</v>
      </c>
    </row>
    <row r="1816" spans="1:16" x14ac:dyDescent="0.25">
      <c r="A1816" t="str">
        <f>"1050027E00002    00"</f>
        <v>1050027E00002    00</v>
      </c>
      <c r="B1816" t="s">
        <v>4246</v>
      </c>
      <c r="C1816" t="s">
        <v>2930</v>
      </c>
      <c r="D1816" t="s">
        <v>20</v>
      </c>
      <c r="E1816" t="s">
        <v>39</v>
      </c>
      <c r="F1816">
        <v>0</v>
      </c>
      <c r="G1816">
        <v>0</v>
      </c>
      <c r="H1816">
        <v>15</v>
      </c>
      <c r="I1816" s="3">
        <v>1064.29</v>
      </c>
      <c r="J1816" s="3">
        <v>791.22</v>
      </c>
      <c r="L1816">
        <v>2833</v>
      </c>
      <c r="M1816" t="s">
        <v>1117</v>
      </c>
      <c r="N1816" t="s">
        <v>30</v>
      </c>
      <c r="O1816" t="s">
        <v>31</v>
      </c>
      <c r="P1816" t="str">
        <f>"15219"</f>
        <v>15219</v>
      </c>
    </row>
    <row r="1817" spans="1:16" x14ac:dyDescent="0.25">
      <c r="A1817" t="str">
        <f>"1050027E00023    00"</f>
        <v>1050027E00023    00</v>
      </c>
      <c r="B1817" t="s">
        <v>921</v>
      </c>
      <c r="C1817" t="s">
        <v>4247</v>
      </c>
      <c r="D1817" t="s">
        <v>20</v>
      </c>
      <c r="E1817" t="s">
        <v>39</v>
      </c>
      <c r="F1817">
        <v>0</v>
      </c>
      <c r="G1817">
        <v>0</v>
      </c>
      <c r="H1817">
        <v>1</v>
      </c>
      <c r="I1817" s="3">
        <v>507.02</v>
      </c>
      <c r="J1817" s="3">
        <v>0</v>
      </c>
      <c r="L1817">
        <v>46</v>
      </c>
      <c r="M1817" t="s">
        <v>913</v>
      </c>
      <c r="N1817" t="s">
        <v>914</v>
      </c>
      <c r="O1817" t="s">
        <v>200</v>
      </c>
      <c r="P1817" t="str">
        <f>"10952"</f>
        <v>10952</v>
      </c>
    </row>
    <row r="1818" spans="1:16" x14ac:dyDescent="0.25">
      <c r="A1818" t="str">
        <f>"1050027E00025    00"</f>
        <v>1050027E00025    00</v>
      </c>
      <c r="B1818" t="s">
        <v>4248</v>
      </c>
      <c r="C1818" t="s">
        <v>2925</v>
      </c>
      <c r="D1818" t="s">
        <v>20</v>
      </c>
      <c r="E1818" t="s">
        <v>39</v>
      </c>
      <c r="F1818">
        <v>0</v>
      </c>
      <c r="G1818">
        <v>0</v>
      </c>
      <c r="H1818">
        <v>11</v>
      </c>
      <c r="I1818" s="3">
        <v>268.75</v>
      </c>
      <c r="J1818" s="3">
        <v>154.38999999999999</v>
      </c>
      <c r="L1818">
        <v>1981</v>
      </c>
      <c r="M1818" t="s">
        <v>4249</v>
      </c>
      <c r="N1818" t="s">
        <v>4250</v>
      </c>
      <c r="O1818" t="s">
        <v>200</v>
      </c>
      <c r="P1818" t="str">
        <f>"11566"</f>
        <v>11566</v>
      </c>
    </row>
    <row r="1819" spans="1:16" x14ac:dyDescent="0.25">
      <c r="A1819" t="str">
        <f>"1050027E00026    00"</f>
        <v>1050027E00026    00</v>
      </c>
      <c r="B1819" t="s">
        <v>4248</v>
      </c>
      <c r="C1819" t="s">
        <v>2925</v>
      </c>
      <c r="D1819" t="s">
        <v>20</v>
      </c>
      <c r="E1819" t="s">
        <v>39</v>
      </c>
      <c r="F1819">
        <v>0</v>
      </c>
      <c r="G1819">
        <v>0</v>
      </c>
      <c r="H1819">
        <v>10</v>
      </c>
      <c r="I1819" s="3">
        <v>293.06</v>
      </c>
      <c r="J1819" s="3">
        <v>159.76</v>
      </c>
      <c r="L1819">
        <v>1981</v>
      </c>
      <c r="M1819" t="s">
        <v>4249</v>
      </c>
      <c r="N1819" t="s">
        <v>4250</v>
      </c>
      <c r="O1819" t="s">
        <v>200</v>
      </c>
      <c r="P1819" t="str">
        <f>"11566"</f>
        <v>11566</v>
      </c>
    </row>
    <row r="1820" spans="1:16" x14ac:dyDescent="0.25">
      <c r="A1820" t="str">
        <f>"1050027E00027    00"</f>
        <v>1050027E00027    00</v>
      </c>
      <c r="B1820" t="s">
        <v>4246</v>
      </c>
      <c r="C1820" t="s">
        <v>4251</v>
      </c>
      <c r="D1820" t="s">
        <v>20</v>
      </c>
      <c r="E1820" t="s">
        <v>39</v>
      </c>
      <c r="F1820">
        <v>0</v>
      </c>
      <c r="G1820">
        <v>0</v>
      </c>
      <c r="H1820">
        <v>16</v>
      </c>
      <c r="I1820" s="3">
        <v>5739.62</v>
      </c>
      <c r="J1820" s="3">
        <v>5336.9</v>
      </c>
      <c r="L1820">
        <v>2833</v>
      </c>
      <c r="M1820" t="s">
        <v>1117</v>
      </c>
      <c r="N1820" t="s">
        <v>30</v>
      </c>
      <c r="O1820" t="s">
        <v>31</v>
      </c>
      <c r="P1820" t="str">
        <f>"15219"</f>
        <v>15219</v>
      </c>
    </row>
    <row r="1821" spans="1:16" x14ac:dyDescent="0.25">
      <c r="A1821" t="str">
        <f>"1050027E00027A   00"</f>
        <v>1050027E00027A   00</v>
      </c>
      <c r="B1821" t="s">
        <v>4248</v>
      </c>
      <c r="C1821" t="s">
        <v>2925</v>
      </c>
      <c r="D1821" t="s">
        <v>20</v>
      </c>
      <c r="E1821" t="s">
        <v>39</v>
      </c>
      <c r="F1821">
        <v>0</v>
      </c>
      <c r="G1821">
        <v>0</v>
      </c>
      <c r="H1821">
        <v>10</v>
      </c>
      <c r="I1821" s="3">
        <v>109.91</v>
      </c>
      <c r="J1821" s="3">
        <v>59.9</v>
      </c>
      <c r="L1821">
        <v>1981</v>
      </c>
      <c r="M1821" t="s">
        <v>4249</v>
      </c>
      <c r="N1821" t="s">
        <v>4250</v>
      </c>
      <c r="O1821" t="s">
        <v>200</v>
      </c>
      <c r="P1821" t="str">
        <f>"11566"</f>
        <v>11566</v>
      </c>
    </row>
    <row r="1822" spans="1:16" x14ac:dyDescent="0.25">
      <c r="A1822" t="str">
        <f>"1050027E00028    00"</f>
        <v>1050027E00028    00</v>
      </c>
      <c r="B1822" t="s">
        <v>4252</v>
      </c>
      <c r="C1822" t="s">
        <v>2925</v>
      </c>
      <c r="D1822" t="s">
        <v>20</v>
      </c>
      <c r="E1822" t="s">
        <v>39</v>
      </c>
      <c r="F1822">
        <v>0</v>
      </c>
      <c r="G1822">
        <v>0</v>
      </c>
      <c r="H1822">
        <v>5</v>
      </c>
      <c r="I1822" s="3">
        <v>65.63</v>
      </c>
      <c r="J1822" s="3">
        <v>11.63</v>
      </c>
      <c r="L1822">
        <v>3337</v>
      </c>
      <c r="M1822" t="s">
        <v>1090</v>
      </c>
      <c r="N1822" t="s">
        <v>30</v>
      </c>
      <c r="O1822" t="s">
        <v>31</v>
      </c>
      <c r="P1822" t="str">
        <f>"15219"</f>
        <v>15219</v>
      </c>
    </row>
    <row r="1823" spans="1:16" x14ac:dyDescent="0.25">
      <c r="A1823" t="str">
        <f>"1050027E00029    00"</f>
        <v>1050027E00029    00</v>
      </c>
      <c r="B1823" t="s">
        <v>4253</v>
      </c>
      <c r="C1823" t="s">
        <v>4254</v>
      </c>
      <c r="D1823" t="s">
        <v>20</v>
      </c>
      <c r="E1823" t="s">
        <v>21</v>
      </c>
      <c r="F1823">
        <v>0</v>
      </c>
      <c r="G1823">
        <v>0</v>
      </c>
      <c r="H1823">
        <v>3</v>
      </c>
      <c r="I1823" s="3">
        <v>10711.78</v>
      </c>
      <c r="J1823" s="3">
        <v>122.22</v>
      </c>
      <c r="K1823" t="s">
        <v>4255</v>
      </c>
      <c r="M1823" t="s">
        <v>4256</v>
      </c>
      <c r="N1823" t="s">
        <v>30</v>
      </c>
      <c r="O1823" t="s">
        <v>31</v>
      </c>
      <c r="P1823" t="str">
        <f>"15232"</f>
        <v>15232</v>
      </c>
    </row>
    <row r="1824" spans="1:16" x14ac:dyDescent="0.25">
      <c r="A1824" t="str">
        <f>"1050027E00033    00"</f>
        <v>1050027E00033    00</v>
      </c>
      <c r="B1824" t="s">
        <v>4253</v>
      </c>
      <c r="C1824" t="s">
        <v>4257</v>
      </c>
      <c r="E1824" t="s">
        <v>21</v>
      </c>
      <c r="F1824">
        <v>0</v>
      </c>
      <c r="G1824">
        <v>0</v>
      </c>
      <c r="H1824">
        <v>2</v>
      </c>
      <c r="I1824" s="3">
        <v>275.92</v>
      </c>
      <c r="J1824" s="3">
        <v>7.86</v>
      </c>
      <c r="M1824" t="s">
        <v>4256</v>
      </c>
      <c r="N1824" t="s">
        <v>30</v>
      </c>
      <c r="O1824" t="s">
        <v>31</v>
      </c>
      <c r="P1824" t="str">
        <f>"15232"</f>
        <v>15232</v>
      </c>
    </row>
    <row r="1825" spans="1:16" x14ac:dyDescent="0.25">
      <c r="A1825" t="str">
        <f>"1050027E00060    00"</f>
        <v>1050027E00060    00</v>
      </c>
      <c r="B1825" t="s">
        <v>4258</v>
      </c>
      <c r="C1825" t="s">
        <v>3761</v>
      </c>
      <c r="E1825" t="s">
        <v>21</v>
      </c>
      <c r="F1825">
        <v>0</v>
      </c>
      <c r="G1825">
        <v>0</v>
      </c>
      <c r="H1825">
        <v>1</v>
      </c>
      <c r="I1825" s="3">
        <v>973.98</v>
      </c>
      <c r="J1825" s="3">
        <v>194.79</v>
      </c>
      <c r="L1825">
        <v>276</v>
      </c>
      <c r="M1825" t="s">
        <v>4259</v>
      </c>
      <c r="N1825" t="s">
        <v>30</v>
      </c>
      <c r="O1825" t="s">
        <v>31</v>
      </c>
      <c r="P1825" t="str">
        <f>"15206"</f>
        <v>15206</v>
      </c>
    </row>
    <row r="1826" spans="1:16" x14ac:dyDescent="0.25">
      <c r="A1826" t="str">
        <f>"1050027E00079    00"</f>
        <v>1050027E00079    00</v>
      </c>
      <c r="B1826" t="s">
        <v>4260</v>
      </c>
      <c r="C1826" t="s">
        <v>1188</v>
      </c>
      <c r="D1826" t="s">
        <v>20</v>
      </c>
      <c r="E1826" t="s">
        <v>39</v>
      </c>
      <c r="F1826">
        <v>0</v>
      </c>
      <c r="G1826">
        <v>0</v>
      </c>
      <c r="H1826">
        <v>9</v>
      </c>
      <c r="I1826" s="3">
        <v>4153.21</v>
      </c>
      <c r="J1826" s="3">
        <v>3264.94</v>
      </c>
      <c r="L1826">
        <v>446</v>
      </c>
      <c r="M1826" t="s">
        <v>4261</v>
      </c>
      <c r="N1826" t="s">
        <v>30</v>
      </c>
      <c r="O1826" t="s">
        <v>31</v>
      </c>
      <c r="P1826" t="str">
        <f>"15211"</f>
        <v>15211</v>
      </c>
    </row>
    <row r="1827" spans="1:16" x14ac:dyDescent="0.25">
      <c r="A1827" t="str">
        <f>"1050027E00120    00"</f>
        <v>1050027E00120    00</v>
      </c>
      <c r="B1827" t="s">
        <v>4262</v>
      </c>
      <c r="C1827" t="s">
        <v>4263</v>
      </c>
      <c r="D1827" t="s">
        <v>20</v>
      </c>
      <c r="E1827" t="s">
        <v>39</v>
      </c>
      <c r="F1827">
        <v>0</v>
      </c>
      <c r="G1827">
        <v>0</v>
      </c>
      <c r="H1827">
        <v>1</v>
      </c>
      <c r="I1827" s="3">
        <v>1034.97</v>
      </c>
      <c r="J1827" s="3">
        <v>0</v>
      </c>
      <c r="L1827">
        <v>195</v>
      </c>
      <c r="M1827" t="s">
        <v>4264</v>
      </c>
      <c r="N1827" t="s">
        <v>4265</v>
      </c>
      <c r="O1827" t="s">
        <v>31</v>
      </c>
      <c r="P1827" t="str">
        <f>"16803"</f>
        <v>16803</v>
      </c>
    </row>
    <row r="1828" spans="1:16" x14ac:dyDescent="0.25">
      <c r="A1828" t="str">
        <f>"1050027E00133    00"</f>
        <v>1050027E00133    00</v>
      </c>
      <c r="B1828" t="s">
        <v>4266</v>
      </c>
      <c r="C1828" t="s">
        <v>4267</v>
      </c>
      <c r="D1828" t="s">
        <v>20</v>
      </c>
      <c r="E1828" t="s">
        <v>39</v>
      </c>
      <c r="F1828">
        <v>0</v>
      </c>
      <c r="G1828">
        <v>0</v>
      </c>
      <c r="H1828">
        <v>1</v>
      </c>
      <c r="I1828" s="3">
        <v>1035.97</v>
      </c>
      <c r="J1828" s="3">
        <v>0</v>
      </c>
      <c r="L1828">
        <v>834</v>
      </c>
      <c r="M1828" t="s">
        <v>1070</v>
      </c>
      <c r="N1828" t="s">
        <v>30</v>
      </c>
      <c r="O1828" t="s">
        <v>31</v>
      </c>
      <c r="P1828" t="str">
        <f>"15219"</f>
        <v>15219</v>
      </c>
    </row>
    <row r="1829" spans="1:16" x14ac:dyDescent="0.25">
      <c r="A1829" t="str">
        <f>"1050027E00135    00"</f>
        <v>1050027E00135    00</v>
      </c>
      <c r="B1829" t="s">
        <v>4268</v>
      </c>
      <c r="C1829" t="s">
        <v>4269</v>
      </c>
      <c r="D1829" t="s">
        <v>20</v>
      </c>
      <c r="E1829" t="s">
        <v>39</v>
      </c>
      <c r="F1829">
        <v>0</v>
      </c>
      <c r="G1829">
        <v>0</v>
      </c>
      <c r="H1829">
        <v>7</v>
      </c>
      <c r="I1829" s="3">
        <v>6194.63</v>
      </c>
      <c r="J1829" s="3">
        <v>1571.24</v>
      </c>
      <c r="L1829">
        <v>531</v>
      </c>
      <c r="M1829" t="s">
        <v>2058</v>
      </c>
      <c r="N1829" t="s">
        <v>2059</v>
      </c>
      <c r="O1829" t="s">
        <v>31</v>
      </c>
      <c r="P1829" t="str">
        <f>"15642"</f>
        <v>15642</v>
      </c>
    </row>
    <row r="1830" spans="1:16" x14ac:dyDescent="0.25">
      <c r="A1830" t="str">
        <f>"1050027E00138    00"</f>
        <v>1050027E00138    00</v>
      </c>
      <c r="B1830" t="s">
        <v>4270</v>
      </c>
      <c r="C1830" t="s">
        <v>4271</v>
      </c>
      <c r="D1830" t="s">
        <v>20</v>
      </c>
      <c r="E1830" t="s">
        <v>39</v>
      </c>
      <c r="F1830">
        <v>0</v>
      </c>
      <c r="G1830">
        <v>0</v>
      </c>
      <c r="H1830">
        <v>2</v>
      </c>
      <c r="I1830" s="3">
        <v>2378.6799999999998</v>
      </c>
      <c r="J1830" s="3">
        <v>0</v>
      </c>
      <c r="L1830">
        <v>7947</v>
      </c>
      <c r="M1830" t="s">
        <v>4272</v>
      </c>
      <c r="N1830" t="s">
        <v>4273</v>
      </c>
      <c r="O1830" t="s">
        <v>31</v>
      </c>
      <c r="P1830" t="str">
        <f>"19027"</f>
        <v>19027</v>
      </c>
    </row>
    <row r="1831" spans="1:16" x14ac:dyDescent="0.25">
      <c r="A1831" t="str">
        <f>"1050027E00170    00"</f>
        <v>1050027E00170    00</v>
      </c>
      <c r="B1831" t="s">
        <v>4274</v>
      </c>
      <c r="C1831" t="s">
        <v>4275</v>
      </c>
      <c r="E1831" t="s">
        <v>39</v>
      </c>
      <c r="F1831">
        <v>0</v>
      </c>
      <c r="G1831">
        <v>0</v>
      </c>
      <c r="H1831">
        <v>1</v>
      </c>
      <c r="I1831" s="3">
        <v>3093.45</v>
      </c>
      <c r="J1831" s="3">
        <v>0</v>
      </c>
      <c r="L1831">
        <v>3047</v>
      </c>
      <c r="M1831" t="s">
        <v>1117</v>
      </c>
      <c r="N1831" t="s">
        <v>30</v>
      </c>
      <c r="O1831" t="s">
        <v>31</v>
      </c>
      <c r="P1831" t="str">
        <f>"15219"</f>
        <v>15219</v>
      </c>
    </row>
    <row r="1832" spans="1:16" x14ac:dyDescent="0.25">
      <c r="A1832" t="str">
        <f>"1050027E00187    00"</f>
        <v>1050027E00187    00</v>
      </c>
      <c r="B1832" t="s">
        <v>4276</v>
      </c>
      <c r="C1832" t="s">
        <v>4277</v>
      </c>
      <c r="D1832" t="s">
        <v>20</v>
      </c>
      <c r="E1832" t="s">
        <v>39</v>
      </c>
      <c r="F1832">
        <v>0</v>
      </c>
      <c r="G1832">
        <v>0</v>
      </c>
      <c r="H1832">
        <v>1</v>
      </c>
      <c r="I1832" s="3">
        <v>373</v>
      </c>
      <c r="J1832" s="3">
        <v>0</v>
      </c>
      <c r="L1832">
        <v>3106</v>
      </c>
      <c r="M1832" t="s">
        <v>4278</v>
      </c>
      <c r="N1832" t="s">
        <v>30</v>
      </c>
      <c r="O1832" t="s">
        <v>31</v>
      </c>
      <c r="P1832" t="str">
        <f>"15219"</f>
        <v>15219</v>
      </c>
    </row>
    <row r="1833" spans="1:16" x14ac:dyDescent="0.25">
      <c r="A1833" t="str">
        <f>"1050027F00004    00"</f>
        <v>1050027F00004    00</v>
      </c>
      <c r="B1833" t="s">
        <v>4279</v>
      </c>
      <c r="C1833" t="s">
        <v>4280</v>
      </c>
      <c r="D1833" t="s">
        <v>20</v>
      </c>
      <c r="E1833" t="s">
        <v>39</v>
      </c>
      <c r="F1833">
        <v>0</v>
      </c>
      <c r="G1833">
        <v>0</v>
      </c>
      <c r="H1833">
        <v>6</v>
      </c>
      <c r="I1833" s="3">
        <v>7832.86</v>
      </c>
      <c r="J1833" s="3">
        <v>1393.04</v>
      </c>
      <c r="K1833" t="s">
        <v>4281</v>
      </c>
      <c r="L1833">
        <v>404</v>
      </c>
      <c r="M1833" t="s">
        <v>4282</v>
      </c>
      <c r="N1833" t="s">
        <v>30</v>
      </c>
      <c r="O1833" t="s">
        <v>31</v>
      </c>
      <c r="P1833" t="str">
        <f>"15210"</f>
        <v>15210</v>
      </c>
    </row>
    <row r="1834" spans="1:16" x14ac:dyDescent="0.25">
      <c r="A1834" t="str">
        <f>"1050027F00009    00"</f>
        <v>1050027F00009    00</v>
      </c>
      <c r="B1834" t="s">
        <v>2829</v>
      </c>
      <c r="C1834" t="s">
        <v>4283</v>
      </c>
      <c r="E1834" t="s">
        <v>39</v>
      </c>
      <c r="F1834">
        <v>0</v>
      </c>
      <c r="G1834">
        <v>0</v>
      </c>
      <c r="H1834">
        <v>1</v>
      </c>
      <c r="I1834" s="3">
        <v>1200.78</v>
      </c>
      <c r="J1834" s="3">
        <v>0</v>
      </c>
      <c r="L1834">
        <v>2644</v>
      </c>
      <c r="M1834" t="s">
        <v>1132</v>
      </c>
      <c r="N1834" t="s">
        <v>30</v>
      </c>
      <c r="O1834" t="s">
        <v>31</v>
      </c>
      <c r="P1834" t="str">
        <f>"15219"</f>
        <v>15219</v>
      </c>
    </row>
    <row r="1835" spans="1:16" x14ac:dyDescent="0.25">
      <c r="A1835" t="str">
        <f>"1050027F00012    00"</f>
        <v>1050027F00012    00</v>
      </c>
      <c r="B1835" t="s">
        <v>4284</v>
      </c>
      <c r="C1835" t="s">
        <v>4285</v>
      </c>
      <c r="D1835" t="s">
        <v>20</v>
      </c>
      <c r="E1835" t="s">
        <v>39</v>
      </c>
      <c r="F1835">
        <v>0</v>
      </c>
      <c r="G1835">
        <v>0</v>
      </c>
      <c r="H1835">
        <v>4</v>
      </c>
      <c r="I1835" s="3">
        <v>2667.03</v>
      </c>
      <c r="J1835" s="3">
        <v>311.02</v>
      </c>
      <c r="L1835">
        <v>3129</v>
      </c>
      <c r="M1835" t="s">
        <v>3229</v>
      </c>
      <c r="N1835" t="s">
        <v>30</v>
      </c>
      <c r="O1835" t="s">
        <v>31</v>
      </c>
      <c r="P1835" t="str">
        <f>"15219"</f>
        <v>15219</v>
      </c>
    </row>
    <row r="1836" spans="1:16" x14ac:dyDescent="0.25">
      <c r="A1836" t="str">
        <f>"1050027F00023    00"</f>
        <v>1050027F00023    00</v>
      </c>
      <c r="B1836" t="s">
        <v>3255</v>
      </c>
      <c r="C1836" t="s">
        <v>4286</v>
      </c>
      <c r="D1836" t="s">
        <v>20</v>
      </c>
      <c r="E1836" t="s">
        <v>39</v>
      </c>
      <c r="F1836">
        <v>0</v>
      </c>
      <c r="G1836">
        <v>0</v>
      </c>
      <c r="H1836">
        <v>1</v>
      </c>
      <c r="I1836" s="3">
        <v>987.78</v>
      </c>
      <c r="J1836" s="3">
        <v>0</v>
      </c>
      <c r="L1836">
        <v>3150</v>
      </c>
      <c r="M1836" t="s">
        <v>4278</v>
      </c>
      <c r="N1836" t="s">
        <v>30</v>
      </c>
      <c r="O1836" t="s">
        <v>31</v>
      </c>
      <c r="P1836" t="str">
        <f>"15219"</f>
        <v>15219</v>
      </c>
    </row>
    <row r="1837" spans="1:16" x14ac:dyDescent="0.25">
      <c r="A1837" t="str">
        <f>"1050027F00030    00"</f>
        <v>1050027F00030    00</v>
      </c>
      <c r="B1837" t="s">
        <v>4287</v>
      </c>
      <c r="C1837" t="s">
        <v>4288</v>
      </c>
      <c r="D1837" t="s">
        <v>20</v>
      </c>
      <c r="E1837" t="s">
        <v>39</v>
      </c>
      <c r="F1837">
        <v>0</v>
      </c>
      <c r="G1837">
        <v>0</v>
      </c>
      <c r="H1837">
        <v>1</v>
      </c>
      <c r="I1837" s="3">
        <v>951.57</v>
      </c>
      <c r="J1837" s="3">
        <v>0</v>
      </c>
      <c r="L1837">
        <v>3136</v>
      </c>
      <c r="M1837" t="s">
        <v>4278</v>
      </c>
      <c r="N1837" t="s">
        <v>30</v>
      </c>
      <c r="O1837" t="s">
        <v>31</v>
      </c>
      <c r="P1837" t="str">
        <f>"15219"</f>
        <v>15219</v>
      </c>
    </row>
    <row r="1838" spans="1:16" x14ac:dyDescent="0.25">
      <c r="A1838" t="str">
        <f>"1050027F00033    00"</f>
        <v>1050027F00033    00</v>
      </c>
      <c r="B1838" t="s">
        <v>4289</v>
      </c>
      <c r="C1838" t="s">
        <v>4290</v>
      </c>
      <c r="D1838" t="s">
        <v>20</v>
      </c>
      <c r="E1838" t="s">
        <v>39</v>
      </c>
      <c r="F1838">
        <v>0</v>
      </c>
      <c r="G1838">
        <v>0</v>
      </c>
      <c r="H1838">
        <v>2</v>
      </c>
      <c r="I1838" s="3">
        <v>998.63</v>
      </c>
      <c r="J1838" s="3">
        <v>0</v>
      </c>
      <c r="L1838">
        <v>3130</v>
      </c>
      <c r="M1838" t="s">
        <v>4278</v>
      </c>
      <c r="N1838" t="s">
        <v>30</v>
      </c>
      <c r="O1838" t="s">
        <v>31</v>
      </c>
      <c r="P1838" t="str">
        <f>"15219"</f>
        <v>15219</v>
      </c>
    </row>
    <row r="1839" spans="1:16" x14ac:dyDescent="0.25">
      <c r="A1839" t="str">
        <f>"1050027F00035    00"</f>
        <v>1050027F00035    00</v>
      </c>
      <c r="B1839" t="s">
        <v>4291</v>
      </c>
      <c r="C1839" t="s">
        <v>4292</v>
      </c>
      <c r="D1839" t="s">
        <v>20</v>
      </c>
      <c r="E1839" t="s">
        <v>39</v>
      </c>
      <c r="F1839">
        <v>0</v>
      </c>
      <c r="G1839">
        <v>0</v>
      </c>
      <c r="H1839">
        <v>1</v>
      </c>
      <c r="I1839" s="3">
        <v>2687.46</v>
      </c>
      <c r="J1839" s="3">
        <v>0</v>
      </c>
      <c r="K1839" t="s">
        <v>4293</v>
      </c>
      <c r="L1839">
        <v>411</v>
      </c>
      <c r="M1839" t="s">
        <v>4294</v>
      </c>
      <c r="N1839" t="s">
        <v>3934</v>
      </c>
      <c r="O1839" t="s">
        <v>31</v>
      </c>
      <c r="P1839" t="str">
        <f>"15102"</f>
        <v>15102</v>
      </c>
    </row>
    <row r="1840" spans="1:16" x14ac:dyDescent="0.25">
      <c r="A1840" t="str">
        <f>"1050027F00037    00"</f>
        <v>1050027F00037    00</v>
      </c>
      <c r="B1840" t="s">
        <v>4295</v>
      </c>
      <c r="C1840" t="s">
        <v>4296</v>
      </c>
      <c r="D1840" t="s">
        <v>20</v>
      </c>
      <c r="E1840" t="s">
        <v>39</v>
      </c>
      <c r="F1840">
        <v>0</v>
      </c>
      <c r="G1840">
        <v>0</v>
      </c>
      <c r="H1840">
        <v>1</v>
      </c>
      <c r="I1840" s="3">
        <v>2744.64</v>
      </c>
      <c r="J1840" s="3">
        <v>0</v>
      </c>
      <c r="K1840" t="s">
        <v>4293</v>
      </c>
      <c r="L1840">
        <v>411</v>
      </c>
      <c r="M1840" t="s">
        <v>4294</v>
      </c>
      <c r="N1840" t="s">
        <v>3934</v>
      </c>
      <c r="O1840" t="s">
        <v>31</v>
      </c>
      <c r="P1840" t="str">
        <f>"15102"</f>
        <v>15102</v>
      </c>
    </row>
    <row r="1841" spans="1:16" x14ac:dyDescent="0.25">
      <c r="A1841" t="str">
        <f>"1050027F00039    00"</f>
        <v>1050027F00039    00</v>
      </c>
      <c r="B1841" t="s">
        <v>4297</v>
      </c>
      <c r="C1841" t="s">
        <v>4298</v>
      </c>
      <c r="D1841" t="s">
        <v>20</v>
      </c>
      <c r="E1841" t="s">
        <v>39</v>
      </c>
      <c r="F1841">
        <v>0</v>
      </c>
      <c r="G1841">
        <v>0</v>
      </c>
      <c r="H1841">
        <v>6</v>
      </c>
      <c r="I1841" s="3">
        <v>7163.12</v>
      </c>
      <c r="J1841" s="3">
        <v>1290.3900000000001</v>
      </c>
      <c r="L1841">
        <v>715</v>
      </c>
      <c r="M1841" t="s">
        <v>4299</v>
      </c>
      <c r="N1841" t="s">
        <v>30</v>
      </c>
      <c r="O1841" t="s">
        <v>31</v>
      </c>
      <c r="P1841" t="str">
        <f>"15219"</f>
        <v>15219</v>
      </c>
    </row>
    <row r="1842" spans="1:16" x14ac:dyDescent="0.25">
      <c r="A1842" t="str">
        <f>"1050027F00045    00"</f>
        <v>1050027F00045    00</v>
      </c>
      <c r="B1842" t="s">
        <v>3811</v>
      </c>
      <c r="C1842" t="s">
        <v>4300</v>
      </c>
      <c r="D1842" t="s">
        <v>20</v>
      </c>
      <c r="E1842" t="s">
        <v>39</v>
      </c>
      <c r="F1842">
        <v>0</v>
      </c>
      <c r="G1842">
        <v>0</v>
      </c>
      <c r="H1842">
        <v>2</v>
      </c>
      <c r="I1842" s="3">
        <v>4723.08</v>
      </c>
      <c r="J1842" s="3">
        <v>0</v>
      </c>
      <c r="K1842" t="s">
        <v>3813</v>
      </c>
      <c r="L1842">
        <v>825</v>
      </c>
      <c r="M1842" t="s">
        <v>970</v>
      </c>
      <c r="N1842" t="s">
        <v>30</v>
      </c>
      <c r="O1842" t="s">
        <v>31</v>
      </c>
      <c r="P1842" t="str">
        <f>"15219"</f>
        <v>15219</v>
      </c>
    </row>
    <row r="1843" spans="1:16" x14ac:dyDescent="0.25">
      <c r="A1843" t="str">
        <f>"1050027F00084    00"</f>
        <v>1050027F00084    00</v>
      </c>
      <c r="B1843" t="s">
        <v>4301</v>
      </c>
      <c r="C1843" t="s">
        <v>4302</v>
      </c>
      <c r="D1843" t="s">
        <v>20</v>
      </c>
      <c r="E1843" t="s">
        <v>39</v>
      </c>
      <c r="F1843">
        <v>0</v>
      </c>
      <c r="G1843">
        <v>0</v>
      </c>
      <c r="H1843">
        <v>1</v>
      </c>
      <c r="I1843" s="3">
        <v>340.99</v>
      </c>
      <c r="J1843" s="3">
        <v>0</v>
      </c>
      <c r="L1843">
        <v>3040</v>
      </c>
      <c r="M1843" t="s">
        <v>3515</v>
      </c>
      <c r="N1843" t="s">
        <v>30</v>
      </c>
      <c r="O1843" t="s">
        <v>31</v>
      </c>
      <c r="P1843" t="str">
        <f>"15219"</f>
        <v>15219</v>
      </c>
    </row>
    <row r="1844" spans="1:16" x14ac:dyDescent="0.25">
      <c r="A1844" t="str">
        <f>"1050027F00086    00"</f>
        <v>1050027F00086    00</v>
      </c>
      <c r="B1844" t="s">
        <v>4303</v>
      </c>
      <c r="C1844" t="s">
        <v>4304</v>
      </c>
      <c r="E1844" t="s">
        <v>39</v>
      </c>
      <c r="F1844">
        <v>0</v>
      </c>
      <c r="G1844">
        <v>0</v>
      </c>
      <c r="H1844">
        <v>1</v>
      </c>
      <c r="I1844" s="3">
        <v>68.62</v>
      </c>
      <c r="J1844" s="3">
        <v>13.72</v>
      </c>
      <c r="K1844" t="s">
        <v>4305</v>
      </c>
      <c r="L1844">
        <v>3001</v>
      </c>
      <c r="M1844" t="s">
        <v>330</v>
      </c>
      <c r="N1844" t="s">
        <v>331</v>
      </c>
      <c r="O1844" t="s">
        <v>108</v>
      </c>
      <c r="P1844" t="str">
        <f>"75063"</f>
        <v>75063</v>
      </c>
    </row>
    <row r="1845" spans="1:16" x14ac:dyDescent="0.25">
      <c r="A1845" t="str">
        <f>"1050027F00142    00"</f>
        <v>1050027F00142    00</v>
      </c>
      <c r="B1845" t="s">
        <v>4306</v>
      </c>
      <c r="C1845" t="s">
        <v>4307</v>
      </c>
      <c r="D1845" t="s">
        <v>20</v>
      </c>
      <c r="E1845" t="s">
        <v>39</v>
      </c>
      <c r="F1845">
        <v>0</v>
      </c>
      <c r="G1845">
        <v>0</v>
      </c>
      <c r="H1845">
        <v>2</v>
      </c>
      <c r="I1845" s="3">
        <v>2805.68</v>
      </c>
      <c r="J1845" s="3">
        <v>0</v>
      </c>
      <c r="K1845" t="s">
        <v>4308</v>
      </c>
      <c r="L1845">
        <v>3129</v>
      </c>
      <c r="M1845" t="s">
        <v>2420</v>
      </c>
      <c r="N1845" t="s">
        <v>30</v>
      </c>
      <c r="O1845" t="s">
        <v>31</v>
      </c>
      <c r="P1845" t="str">
        <f>"15219"</f>
        <v>15219</v>
      </c>
    </row>
    <row r="1846" spans="1:16" x14ac:dyDescent="0.25">
      <c r="A1846" t="str">
        <f>"1050027F00144    00"</f>
        <v>1050027F00144    00</v>
      </c>
      <c r="B1846" t="s">
        <v>4309</v>
      </c>
      <c r="C1846" t="s">
        <v>4310</v>
      </c>
      <c r="E1846" t="s">
        <v>39</v>
      </c>
      <c r="F1846">
        <v>0</v>
      </c>
      <c r="G1846">
        <v>0</v>
      </c>
      <c r="H1846">
        <v>2</v>
      </c>
      <c r="I1846" s="3">
        <v>4269.4399999999996</v>
      </c>
      <c r="J1846" s="3">
        <v>426.93</v>
      </c>
      <c r="L1846">
        <v>2701</v>
      </c>
      <c r="M1846" t="s">
        <v>1117</v>
      </c>
      <c r="N1846" t="s">
        <v>30</v>
      </c>
      <c r="O1846" t="s">
        <v>31</v>
      </c>
      <c r="P1846" t="str">
        <f>"15219"</f>
        <v>15219</v>
      </c>
    </row>
    <row r="1847" spans="1:16" x14ac:dyDescent="0.25">
      <c r="A1847" t="str">
        <f>"1050027F00162    02"</f>
        <v>1050027F00162    02</v>
      </c>
      <c r="B1847" t="s">
        <v>4311</v>
      </c>
      <c r="C1847" t="s">
        <v>4312</v>
      </c>
      <c r="E1847" t="s">
        <v>207</v>
      </c>
      <c r="F1847">
        <v>0</v>
      </c>
      <c r="G1847">
        <v>0</v>
      </c>
      <c r="H1847">
        <v>2</v>
      </c>
      <c r="I1847" s="3">
        <v>9611.9</v>
      </c>
      <c r="J1847" s="3">
        <v>9771.7199999999993</v>
      </c>
      <c r="K1847" t="s">
        <v>4313</v>
      </c>
      <c r="L1847">
        <v>3171</v>
      </c>
      <c r="M1847" t="s">
        <v>2420</v>
      </c>
      <c r="N1847" t="s">
        <v>30</v>
      </c>
      <c r="O1847" t="s">
        <v>31</v>
      </c>
      <c r="P1847" t="str">
        <f>"15219"</f>
        <v>15219</v>
      </c>
    </row>
    <row r="1848" spans="1:16" x14ac:dyDescent="0.25">
      <c r="A1848" t="str">
        <f>"1050027G00010    00"</f>
        <v>1050027G00010    00</v>
      </c>
      <c r="B1848" t="s">
        <v>4314</v>
      </c>
      <c r="C1848" t="s">
        <v>4315</v>
      </c>
      <c r="D1848" t="s">
        <v>20</v>
      </c>
      <c r="E1848" t="s">
        <v>39</v>
      </c>
      <c r="F1848">
        <v>0</v>
      </c>
      <c r="G1848">
        <v>0</v>
      </c>
      <c r="H1848">
        <v>5</v>
      </c>
      <c r="I1848" s="3">
        <v>6856.43</v>
      </c>
      <c r="J1848" s="3">
        <v>11489.51</v>
      </c>
      <c r="K1848" t="s">
        <v>4316</v>
      </c>
      <c r="L1848">
        <v>913</v>
      </c>
      <c r="M1848" t="s">
        <v>4317</v>
      </c>
      <c r="N1848" t="s">
        <v>4318</v>
      </c>
      <c r="O1848" t="s">
        <v>31</v>
      </c>
      <c r="P1848" t="str">
        <f>"16046"</f>
        <v>16046</v>
      </c>
    </row>
    <row r="1849" spans="1:16" x14ac:dyDescent="0.25">
      <c r="A1849" t="str">
        <f>"1050027G00024    00"</f>
        <v>1050027G00024    00</v>
      </c>
      <c r="B1849" t="s">
        <v>4319</v>
      </c>
      <c r="C1849" t="s">
        <v>3773</v>
      </c>
      <c r="D1849" t="s">
        <v>20</v>
      </c>
      <c r="E1849" t="s">
        <v>39</v>
      </c>
      <c r="F1849">
        <v>0</v>
      </c>
      <c r="G1849">
        <v>0</v>
      </c>
      <c r="H1849">
        <v>11</v>
      </c>
      <c r="I1849" s="3">
        <v>464.92</v>
      </c>
      <c r="J1849" s="3">
        <v>223.18</v>
      </c>
      <c r="L1849">
        <v>3147</v>
      </c>
      <c r="M1849" t="s">
        <v>2420</v>
      </c>
      <c r="N1849" t="s">
        <v>30</v>
      </c>
      <c r="O1849" t="s">
        <v>31</v>
      </c>
      <c r="P1849" t="str">
        <f>"15219"</f>
        <v>15219</v>
      </c>
    </row>
    <row r="1850" spans="1:16" x14ac:dyDescent="0.25">
      <c r="A1850" t="str">
        <f>"1050027K00014    00"</f>
        <v>1050027K00014    00</v>
      </c>
      <c r="B1850" t="s">
        <v>4320</v>
      </c>
      <c r="C1850" t="s">
        <v>4321</v>
      </c>
      <c r="D1850" t="s">
        <v>20</v>
      </c>
      <c r="E1850" t="s">
        <v>39</v>
      </c>
      <c r="F1850">
        <v>0</v>
      </c>
      <c r="G1850">
        <v>0</v>
      </c>
      <c r="H1850">
        <v>2</v>
      </c>
      <c r="I1850" s="3">
        <v>2162.42</v>
      </c>
      <c r="J1850" s="3">
        <v>0</v>
      </c>
      <c r="L1850">
        <v>3157</v>
      </c>
      <c r="M1850" t="s">
        <v>3229</v>
      </c>
      <c r="N1850" t="s">
        <v>30</v>
      </c>
      <c r="O1850" t="s">
        <v>31</v>
      </c>
      <c r="P1850" t="str">
        <f>"15219"</f>
        <v>15219</v>
      </c>
    </row>
    <row r="1851" spans="1:16" x14ac:dyDescent="0.25">
      <c r="A1851" t="str">
        <f>"1050027K00015    00"</f>
        <v>1050027K00015    00</v>
      </c>
      <c r="B1851" t="s">
        <v>4322</v>
      </c>
      <c r="C1851" t="s">
        <v>4323</v>
      </c>
      <c r="E1851" t="s">
        <v>39</v>
      </c>
      <c r="F1851">
        <v>0</v>
      </c>
      <c r="G1851">
        <v>0</v>
      </c>
      <c r="H1851">
        <v>4</v>
      </c>
      <c r="I1851" s="3">
        <v>8304.76</v>
      </c>
      <c r="J1851" s="3">
        <v>12694.2</v>
      </c>
      <c r="L1851">
        <v>3756</v>
      </c>
      <c r="M1851" t="s">
        <v>4324</v>
      </c>
      <c r="N1851" t="s">
        <v>30</v>
      </c>
      <c r="O1851" t="s">
        <v>31</v>
      </c>
      <c r="P1851" t="str">
        <f>"15204"</f>
        <v>15204</v>
      </c>
    </row>
    <row r="1852" spans="1:16" x14ac:dyDescent="0.25">
      <c r="A1852" t="str">
        <f>"1050027K00017    00"</f>
        <v>1050027K00017    00</v>
      </c>
      <c r="B1852" t="s">
        <v>4325</v>
      </c>
      <c r="C1852" t="s">
        <v>4326</v>
      </c>
      <c r="D1852" t="s">
        <v>20</v>
      </c>
      <c r="E1852" t="s">
        <v>39</v>
      </c>
      <c r="F1852">
        <v>0</v>
      </c>
      <c r="G1852">
        <v>0</v>
      </c>
      <c r="H1852">
        <v>2</v>
      </c>
      <c r="I1852" s="3">
        <v>1724.76</v>
      </c>
      <c r="J1852" s="3">
        <v>435.13</v>
      </c>
      <c r="L1852">
        <v>1390</v>
      </c>
      <c r="M1852" t="s">
        <v>4327</v>
      </c>
      <c r="N1852" t="s">
        <v>30</v>
      </c>
      <c r="O1852" t="s">
        <v>31</v>
      </c>
      <c r="P1852" t="str">
        <f>"15204"</f>
        <v>15204</v>
      </c>
    </row>
    <row r="1853" spans="1:16" x14ac:dyDescent="0.25">
      <c r="A1853" t="str">
        <f>"1050027K00019    00"</f>
        <v>1050027K00019    00</v>
      </c>
      <c r="B1853" t="s">
        <v>4328</v>
      </c>
      <c r="C1853" t="s">
        <v>4329</v>
      </c>
      <c r="E1853" t="s">
        <v>39</v>
      </c>
      <c r="F1853">
        <v>0</v>
      </c>
      <c r="G1853">
        <v>0</v>
      </c>
      <c r="H1853">
        <v>5</v>
      </c>
      <c r="I1853" s="3">
        <v>8430.7000000000007</v>
      </c>
      <c r="J1853" s="3">
        <v>5845.04</v>
      </c>
      <c r="K1853" t="s">
        <v>4330</v>
      </c>
      <c r="L1853">
        <v>6191</v>
      </c>
      <c r="M1853" t="s">
        <v>4331</v>
      </c>
      <c r="N1853" t="s">
        <v>331</v>
      </c>
      <c r="O1853" t="s">
        <v>108</v>
      </c>
      <c r="P1853" t="str">
        <f>"75038"</f>
        <v>75038</v>
      </c>
    </row>
    <row r="1854" spans="1:16" x14ac:dyDescent="0.25">
      <c r="A1854" t="str">
        <f>"1050027K00027000300"</f>
        <v>1050027K00027000300</v>
      </c>
      <c r="B1854" t="s">
        <v>4332</v>
      </c>
      <c r="C1854" t="s">
        <v>4333</v>
      </c>
      <c r="D1854" t="s">
        <v>20</v>
      </c>
      <c r="E1854" t="s">
        <v>39</v>
      </c>
      <c r="F1854">
        <v>0</v>
      </c>
      <c r="G1854">
        <v>0</v>
      </c>
      <c r="H1854">
        <v>4</v>
      </c>
      <c r="I1854" s="3">
        <v>3658.29</v>
      </c>
      <c r="J1854" s="3">
        <v>381.2</v>
      </c>
      <c r="L1854">
        <v>3135</v>
      </c>
      <c r="M1854" t="s">
        <v>3229</v>
      </c>
      <c r="N1854" t="s">
        <v>30</v>
      </c>
      <c r="O1854" t="s">
        <v>31</v>
      </c>
      <c r="P1854" t="str">
        <f>"15219"</f>
        <v>15219</v>
      </c>
    </row>
    <row r="1855" spans="1:16" x14ac:dyDescent="0.25">
      <c r="A1855" t="str">
        <f>"1060025C00172    00"</f>
        <v>1060025C00172    00</v>
      </c>
      <c r="B1855" t="s">
        <v>4334</v>
      </c>
      <c r="C1855" t="s">
        <v>4335</v>
      </c>
      <c r="E1855" t="s">
        <v>21</v>
      </c>
      <c r="F1855">
        <v>0</v>
      </c>
      <c r="G1855">
        <v>0</v>
      </c>
      <c r="H1855">
        <v>1</v>
      </c>
      <c r="I1855" s="3">
        <v>877.34</v>
      </c>
      <c r="J1855" s="3">
        <v>431.34</v>
      </c>
      <c r="L1855">
        <v>3201</v>
      </c>
      <c r="M1855" t="s">
        <v>601</v>
      </c>
      <c r="N1855" t="s">
        <v>30</v>
      </c>
      <c r="O1855" t="s">
        <v>31</v>
      </c>
      <c r="P1855" t="str">
        <f>"15201"</f>
        <v>15201</v>
      </c>
    </row>
    <row r="1856" spans="1:16" x14ac:dyDescent="0.25">
      <c r="A1856" t="str">
        <f>"1060025C00177    00"</f>
        <v>1060025C00177    00</v>
      </c>
      <c r="B1856" t="s">
        <v>4334</v>
      </c>
      <c r="C1856" t="s">
        <v>4335</v>
      </c>
      <c r="E1856" t="s">
        <v>290</v>
      </c>
      <c r="F1856">
        <v>0</v>
      </c>
      <c r="G1856">
        <v>0</v>
      </c>
      <c r="H1856">
        <v>1</v>
      </c>
      <c r="I1856" s="3">
        <v>593.4</v>
      </c>
      <c r="J1856" s="3">
        <v>291.75</v>
      </c>
      <c r="L1856">
        <v>3201</v>
      </c>
      <c r="M1856" t="s">
        <v>601</v>
      </c>
      <c r="N1856" t="s">
        <v>30</v>
      </c>
      <c r="O1856" t="s">
        <v>31</v>
      </c>
      <c r="P1856" t="str">
        <f>"15201"</f>
        <v>15201</v>
      </c>
    </row>
    <row r="1857" spans="1:16" x14ac:dyDescent="0.25">
      <c r="A1857" t="str">
        <f>"1060025C00183    00"</f>
        <v>1060025C00183    00</v>
      </c>
      <c r="B1857" t="s">
        <v>4334</v>
      </c>
      <c r="C1857" t="s">
        <v>4335</v>
      </c>
      <c r="E1857" t="s">
        <v>290</v>
      </c>
      <c r="F1857">
        <v>0</v>
      </c>
      <c r="G1857">
        <v>0</v>
      </c>
      <c r="H1857">
        <v>1</v>
      </c>
      <c r="I1857" s="3">
        <v>113.47</v>
      </c>
      <c r="J1857" s="3">
        <v>55.79</v>
      </c>
      <c r="L1857">
        <v>3201</v>
      </c>
      <c r="M1857" t="s">
        <v>601</v>
      </c>
      <c r="N1857" t="s">
        <v>30</v>
      </c>
      <c r="O1857" t="s">
        <v>31</v>
      </c>
      <c r="P1857" t="str">
        <f>"15201"</f>
        <v>15201</v>
      </c>
    </row>
    <row r="1858" spans="1:16" x14ac:dyDescent="0.25">
      <c r="A1858" t="str">
        <f>"1060025C00203    00"</f>
        <v>1060025C00203    00</v>
      </c>
      <c r="B1858" t="s">
        <v>4336</v>
      </c>
      <c r="C1858" t="s">
        <v>4337</v>
      </c>
      <c r="D1858" t="s">
        <v>20</v>
      </c>
      <c r="E1858" t="s">
        <v>290</v>
      </c>
      <c r="F1858">
        <v>0</v>
      </c>
      <c r="G1858">
        <v>0</v>
      </c>
      <c r="H1858">
        <v>2</v>
      </c>
      <c r="I1858" s="3">
        <v>22288.78</v>
      </c>
      <c r="J1858" s="3">
        <v>0</v>
      </c>
      <c r="K1858" t="s">
        <v>4338</v>
      </c>
      <c r="L1858">
        <v>2740</v>
      </c>
      <c r="M1858" t="s">
        <v>4339</v>
      </c>
      <c r="N1858" t="s">
        <v>30</v>
      </c>
      <c r="O1858" t="s">
        <v>31</v>
      </c>
      <c r="P1858" t="str">
        <f>"15222"</f>
        <v>15222</v>
      </c>
    </row>
    <row r="1859" spans="1:16" x14ac:dyDescent="0.25">
      <c r="A1859" t="str">
        <f>"1060025C00205    00"</f>
        <v>1060025C00205    00</v>
      </c>
      <c r="B1859" t="s">
        <v>4336</v>
      </c>
      <c r="C1859" t="s">
        <v>4340</v>
      </c>
      <c r="D1859" t="s">
        <v>20</v>
      </c>
      <c r="E1859" t="s">
        <v>21</v>
      </c>
      <c r="F1859">
        <v>0</v>
      </c>
      <c r="G1859">
        <v>0</v>
      </c>
      <c r="H1859">
        <v>2</v>
      </c>
      <c r="I1859" s="3">
        <v>7997.58</v>
      </c>
      <c r="J1859" s="3">
        <v>0</v>
      </c>
      <c r="K1859" t="s">
        <v>4338</v>
      </c>
      <c r="L1859">
        <v>2740</v>
      </c>
      <c r="M1859" t="s">
        <v>4339</v>
      </c>
      <c r="N1859" t="s">
        <v>30</v>
      </c>
      <c r="O1859" t="s">
        <v>31</v>
      </c>
      <c r="P1859" t="str">
        <f>"15222"</f>
        <v>15222</v>
      </c>
    </row>
    <row r="1860" spans="1:16" x14ac:dyDescent="0.25">
      <c r="A1860" t="str">
        <f>"1060025C00210    00"</f>
        <v>1060025C00210    00</v>
      </c>
      <c r="B1860" t="s">
        <v>4336</v>
      </c>
      <c r="C1860" t="s">
        <v>4341</v>
      </c>
      <c r="D1860" t="s">
        <v>20</v>
      </c>
      <c r="E1860" t="s">
        <v>290</v>
      </c>
      <c r="F1860">
        <v>0</v>
      </c>
      <c r="G1860">
        <v>0</v>
      </c>
      <c r="H1860">
        <v>2</v>
      </c>
      <c r="I1860" s="3">
        <v>11054.8</v>
      </c>
      <c r="J1860" s="3">
        <v>0</v>
      </c>
      <c r="K1860" t="s">
        <v>4338</v>
      </c>
      <c r="L1860">
        <v>2740</v>
      </c>
      <c r="M1860" t="s">
        <v>4339</v>
      </c>
      <c r="N1860" t="s">
        <v>30</v>
      </c>
      <c r="O1860" t="s">
        <v>31</v>
      </c>
      <c r="P1860" t="str">
        <f>"15222"</f>
        <v>15222</v>
      </c>
    </row>
    <row r="1861" spans="1:16" x14ac:dyDescent="0.25">
      <c r="A1861" t="str">
        <f>"1060025C00211    00"</f>
        <v>1060025C00211    00</v>
      </c>
      <c r="B1861" t="s">
        <v>4336</v>
      </c>
      <c r="C1861" t="s">
        <v>4342</v>
      </c>
      <c r="D1861" t="s">
        <v>20</v>
      </c>
      <c r="E1861" t="s">
        <v>21</v>
      </c>
      <c r="F1861">
        <v>0</v>
      </c>
      <c r="G1861">
        <v>0</v>
      </c>
      <c r="H1861">
        <v>2</v>
      </c>
      <c r="I1861" s="3">
        <v>5222.4399999999996</v>
      </c>
      <c r="J1861" s="3">
        <v>0</v>
      </c>
      <c r="K1861" t="s">
        <v>4338</v>
      </c>
      <c r="L1861">
        <v>2740</v>
      </c>
      <c r="M1861" t="s">
        <v>4339</v>
      </c>
      <c r="N1861" t="s">
        <v>30</v>
      </c>
      <c r="O1861" t="s">
        <v>31</v>
      </c>
      <c r="P1861" t="str">
        <f>"15222"</f>
        <v>15222</v>
      </c>
    </row>
    <row r="1862" spans="1:16" x14ac:dyDescent="0.25">
      <c r="A1862" t="str">
        <f>"1060025D00093    00"</f>
        <v>1060025D00093    00</v>
      </c>
      <c r="B1862" t="s">
        <v>4343</v>
      </c>
      <c r="C1862" t="s">
        <v>4344</v>
      </c>
      <c r="D1862" t="s">
        <v>20</v>
      </c>
      <c r="E1862" t="s">
        <v>21</v>
      </c>
      <c r="F1862">
        <v>0</v>
      </c>
      <c r="G1862">
        <v>0</v>
      </c>
      <c r="H1862">
        <v>5</v>
      </c>
      <c r="I1862" s="3">
        <v>3850.19</v>
      </c>
      <c r="J1862" s="3">
        <v>571.16</v>
      </c>
      <c r="M1862" t="s">
        <v>4345</v>
      </c>
      <c r="N1862" t="s">
        <v>30</v>
      </c>
      <c r="O1862" t="s">
        <v>31</v>
      </c>
      <c r="P1862" t="str">
        <f>"15212"</f>
        <v>15212</v>
      </c>
    </row>
    <row r="1863" spans="1:16" x14ac:dyDescent="0.25">
      <c r="A1863" t="str">
        <f>"1060025D00189    00"</f>
        <v>1060025D00189    00</v>
      </c>
      <c r="B1863" t="s">
        <v>4346</v>
      </c>
      <c r="C1863" t="s">
        <v>4347</v>
      </c>
      <c r="D1863" t="s">
        <v>20</v>
      </c>
      <c r="E1863" t="s">
        <v>21</v>
      </c>
      <c r="F1863">
        <v>0</v>
      </c>
      <c r="G1863">
        <v>0</v>
      </c>
      <c r="H1863">
        <v>2</v>
      </c>
      <c r="I1863" s="3">
        <v>5024.24</v>
      </c>
      <c r="J1863" s="3">
        <v>0</v>
      </c>
      <c r="L1863">
        <v>111</v>
      </c>
      <c r="M1863" t="s">
        <v>4348</v>
      </c>
      <c r="N1863" t="s">
        <v>625</v>
      </c>
      <c r="O1863" t="s">
        <v>31</v>
      </c>
      <c r="P1863" t="str">
        <f>"15108"</f>
        <v>15108</v>
      </c>
    </row>
    <row r="1864" spans="1:16" x14ac:dyDescent="0.25">
      <c r="A1864" t="str">
        <f>"1060025D00195    00"</f>
        <v>1060025D00195    00</v>
      </c>
      <c r="B1864" t="s">
        <v>4349</v>
      </c>
      <c r="C1864" t="s">
        <v>4350</v>
      </c>
      <c r="D1864" t="s">
        <v>20</v>
      </c>
      <c r="E1864" t="s">
        <v>21</v>
      </c>
      <c r="F1864">
        <v>0</v>
      </c>
      <c r="G1864">
        <v>0</v>
      </c>
      <c r="H1864">
        <v>1</v>
      </c>
      <c r="I1864" s="3">
        <v>2655.07</v>
      </c>
      <c r="J1864" s="3">
        <v>0</v>
      </c>
      <c r="M1864" t="s">
        <v>4351</v>
      </c>
      <c r="N1864" t="s">
        <v>30</v>
      </c>
      <c r="O1864" t="s">
        <v>31</v>
      </c>
      <c r="P1864" t="str">
        <f>"15201"</f>
        <v>15201</v>
      </c>
    </row>
    <row r="1865" spans="1:16" x14ac:dyDescent="0.25">
      <c r="A1865" t="str">
        <f>"1060025F00110    00"</f>
        <v>1060025F00110    00</v>
      </c>
      <c r="B1865" t="s">
        <v>4352</v>
      </c>
      <c r="C1865" t="s">
        <v>4353</v>
      </c>
      <c r="D1865" t="s">
        <v>20</v>
      </c>
      <c r="E1865" t="s">
        <v>290</v>
      </c>
      <c r="F1865">
        <v>0</v>
      </c>
      <c r="G1865">
        <v>0</v>
      </c>
      <c r="H1865">
        <v>3</v>
      </c>
      <c r="I1865" s="3">
        <v>66814.86</v>
      </c>
      <c r="J1865" s="3">
        <v>927.95</v>
      </c>
      <c r="L1865">
        <v>2450</v>
      </c>
      <c r="M1865" t="s">
        <v>4354</v>
      </c>
      <c r="N1865" t="s">
        <v>712</v>
      </c>
      <c r="O1865" t="s">
        <v>31</v>
      </c>
      <c r="P1865" t="str">
        <f>"16148"</f>
        <v>16148</v>
      </c>
    </row>
    <row r="1866" spans="1:16" x14ac:dyDescent="0.25">
      <c r="A1866" t="str">
        <f>"1060025F00115    00"</f>
        <v>1060025F00115    00</v>
      </c>
      <c r="B1866" t="s">
        <v>4355</v>
      </c>
      <c r="C1866" t="s">
        <v>4356</v>
      </c>
      <c r="D1866" t="s">
        <v>20</v>
      </c>
      <c r="E1866" t="s">
        <v>290</v>
      </c>
      <c r="F1866">
        <v>0</v>
      </c>
      <c r="G1866">
        <v>0</v>
      </c>
      <c r="H1866">
        <v>3</v>
      </c>
      <c r="I1866" s="3">
        <v>8577</v>
      </c>
      <c r="J1866" s="3">
        <v>47.64</v>
      </c>
      <c r="L1866">
        <v>4735</v>
      </c>
      <c r="M1866" t="s">
        <v>841</v>
      </c>
      <c r="N1866" t="s">
        <v>30</v>
      </c>
      <c r="O1866" t="s">
        <v>31</v>
      </c>
      <c r="P1866" t="str">
        <f>"15201"</f>
        <v>15201</v>
      </c>
    </row>
    <row r="1867" spans="1:16" x14ac:dyDescent="0.25">
      <c r="A1867" t="str">
        <f>"1060025F00117    00"</f>
        <v>1060025F00117    00</v>
      </c>
      <c r="B1867" t="s">
        <v>4355</v>
      </c>
      <c r="C1867" t="s">
        <v>4356</v>
      </c>
      <c r="D1867" t="s">
        <v>20</v>
      </c>
      <c r="E1867" t="s">
        <v>290</v>
      </c>
      <c r="F1867">
        <v>0</v>
      </c>
      <c r="G1867">
        <v>0</v>
      </c>
      <c r="H1867">
        <v>3</v>
      </c>
      <c r="I1867" s="3">
        <v>17610.36</v>
      </c>
      <c r="J1867" s="3">
        <v>138.16999999999999</v>
      </c>
      <c r="K1867" t="s">
        <v>4357</v>
      </c>
      <c r="L1867">
        <v>4735</v>
      </c>
      <c r="M1867" t="s">
        <v>841</v>
      </c>
      <c r="N1867" t="s">
        <v>30</v>
      </c>
      <c r="O1867" t="s">
        <v>31</v>
      </c>
      <c r="P1867" t="str">
        <f>"15201"</f>
        <v>15201</v>
      </c>
    </row>
    <row r="1868" spans="1:16" x14ac:dyDescent="0.25">
      <c r="A1868" t="str">
        <f>"1060025F00121    00"</f>
        <v>1060025F00121    00</v>
      </c>
      <c r="B1868" t="s">
        <v>4355</v>
      </c>
      <c r="C1868" t="s">
        <v>4356</v>
      </c>
      <c r="D1868" t="s">
        <v>20</v>
      </c>
      <c r="E1868" t="s">
        <v>290</v>
      </c>
      <c r="F1868">
        <v>0</v>
      </c>
      <c r="G1868">
        <v>0</v>
      </c>
      <c r="H1868">
        <v>3</v>
      </c>
      <c r="I1868" s="3">
        <v>31672.22</v>
      </c>
      <c r="J1868" s="3">
        <v>287.35000000000002</v>
      </c>
      <c r="L1868">
        <v>4735</v>
      </c>
      <c r="M1868" t="s">
        <v>841</v>
      </c>
      <c r="N1868" t="s">
        <v>30</v>
      </c>
      <c r="O1868" t="s">
        <v>31</v>
      </c>
      <c r="P1868" t="str">
        <f>"15201"</f>
        <v>15201</v>
      </c>
    </row>
    <row r="1869" spans="1:16" x14ac:dyDescent="0.25">
      <c r="A1869" t="str">
        <f>"1060025F00159    00"</f>
        <v>1060025F00159    00</v>
      </c>
      <c r="B1869" t="s">
        <v>4358</v>
      </c>
      <c r="C1869" t="s">
        <v>4359</v>
      </c>
      <c r="D1869" t="s">
        <v>20</v>
      </c>
      <c r="E1869" t="s">
        <v>21</v>
      </c>
      <c r="F1869">
        <v>0</v>
      </c>
      <c r="G1869">
        <v>0</v>
      </c>
      <c r="H1869">
        <v>1</v>
      </c>
      <c r="I1869" s="3">
        <v>6653.17</v>
      </c>
      <c r="J1869" s="3">
        <v>0</v>
      </c>
      <c r="K1869" t="s">
        <v>4360</v>
      </c>
      <c r="L1869">
        <v>2545</v>
      </c>
      <c r="M1869" t="s">
        <v>4361</v>
      </c>
      <c r="N1869" t="s">
        <v>30</v>
      </c>
      <c r="O1869" t="s">
        <v>31</v>
      </c>
      <c r="P1869" t="str">
        <f>"15222"</f>
        <v>15222</v>
      </c>
    </row>
    <row r="1870" spans="1:16" x14ac:dyDescent="0.25">
      <c r="A1870" t="str">
        <f>"1060025F00184    00"</f>
        <v>1060025F00184    00</v>
      </c>
      <c r="B1870" t="s">
        <v>4362</v>
      </c>
      <c r="C1870" t="s">
        <v>4363</v>
      </c>
      <c r="E1870" t="s">
        <v>290</v>
      </c>
      <c r="F1870">
        <v>0</v>
      </c>
      <c r="G1870">
        <v>0</v>
      </c>
      <c r="H1870">
        <v>2</v>
      </c>
      <c r="I1870" s="3">
        <v>21168.06</v>
      </c>
      <c r="J1870" s="3">
        <v>440.98</v>
      </c>
      <c r="K1870" t="s">
        <v>4364</v>
      </c>
      <c r="L1870">
        <v>2450</v>
      </c>
      <c r="M1870" t="s">
        <v>3915</v>
      </c>
      <c r="N1870" t="s">
        <v>712</v>
      </c>
      <c r="O1870" t="s">
        <v>31</v>
      </c>
      <c r="P1870" t="str">
        <f>"16148"</f>
        <v>16148</v>
      </c>
    </row>
    <row r="1871" spans="1:16" x14ac:dyDescent="0.25">
      <c r="A1871" t="str">
        <f>"1060025G00003    00"</f>
        <v>1060025G00003    00</v>
      </c>
      <c r="B1871" t="s">
        <v>4362</v>
      </c>
      <c r="C1871" t="s">
        <v>4365</v>
      </c>
      <c r="E1871" t="s">
        <v>290</v>
      </c>
      <c r="F1871">
        <v>0</v>
      </c>
      <c r="G1871">
        <v>0</v>
      </c>
      <c r="H1871">
        <v>2</v>
      </c>
      <c r="I1871" s="3">
        <v>25441.279999999999</v>
      </c>
      <c r="J1871" s="3">
        <v>318</v>
      </c>
      <c r="K1871" t="s">
        <v>4364</v>
      </c>
      <c r="L1871">
        <v>2450</v>
      </c>
      <c r="M1871" t="s">
        <v>3915</v>
      </c>
      <c r="N1871" t="s">
        <v>712</v>
      </c>
      <c r="O1871" t="s">
        <v>31</v>
      </c>
      <c r="P1871" t="str">
        <f>"16148"</f>
        <v>16148</v>
      </c>
    </row>
    <row r="1872" spans="1:16" x14ac:dyDescent="0.25">
      <c r="A1872" t="str">
        <f>"1060025G00007    00"</f>
        <v>1060025G00007    00</v>
      </c>
      <c r="B1872" t="s">
        <v>4366</v>
      </c>
      <c r="C1872" t="s">
        <v>4367</v>
      </c>
      <c r="D1872" t="s">
        <v>20</v>
      </c>
      <c r="E1872" t="s">
        <v>290</v>
      </c>
      <c r="F1872">
        <v>0</v>
      </c>
      <c r="G1872">
        <v>0</v>
      </c>
      <c r="H1872">
        <v>4</v>
      </c>
      <c r="I1872" s="3">
        <v>16570.18</v>
      </c>
      <c r="J1872" s="3">
        <v>343.85</v>
      </c>
      <c r="K1872" t="s">
        <v>4368</v>
      </c>
      <c r="L1872">
        <v>256</v>
      </c>
      <c r="M1872" t="s">
        <v>4369</v>
      </c>
      <c r="N1872" t="s">
        <v>199</v>
      </c>
      <c r="O1872" t="s">
        <v>200</v>
      </c>
      <c r="P1872" t="str">
        <f>"10018"</f>
        <v>10018</v>
      </c>
    </row>
    <row r="1873" spans="1:16" x14ac:dyDescent="0.25">
      <c r="A1873" t="str">
        <f>"1060025G00011    00"</f>
        <v>1060025G00011    00</v>
      </c>
      <c r="B1873" t="s">
        <v>4370</v>
      </c>
      <c r="C1873" t="s">
        <v>4371</v>
      </c>
      <c r="D1873" t="s">
        <v>20</v>
      </c>
      <c r="E1873" t="s">
        <v>21</v>
      </c>
      <c r="F1873">
        <v>0</v>
      </c>
      <c r="G1873">
        <v>0</v>
      </c>
      <c r="H1873">
        <v>6</v>
      </c>
      <c r="I1873" s="3">
        <v>81387.899999999994</v>
      </c>
      <c r="J1873" s="3">
        <v>1913.63</v>
      </c>
      <c r="L1873">
        <v>2951</v>
      </c>
      <c r="M1873" t="s">
        <v>601</v>
      </c>
      <c r="N1873" t="s">
        <v>30</v>
      </c>
      <c r="O1873" t="s">
        <v>31</v>
      </c>
      <c r="P1873" t="str">
        <f>"15201"</f>
        <v>15201</v>
      </c>
    </row>
    <row r="1874" spans="1:16" x14ac:dyDescent="0.25">
      <c r="A1874" t="str">
        <f>"1060025G00039    00"</f>
        <v>1060025G00039    00</v>
      </c>
      <c r="B1874" t="s">
        <v>4372</v>
      </c>
      <c r="C1874" t="s">
        <v>4373</v>
      </c>
      <c r="D1874" t="s">
        <v>20</v>
      </c>
      <c r="E1874" t="s">
        <v>21</v>
      </c>
      <c r="F1874">
        <v>0</v>
      </c>
      <c r="G1874">
        <v>0</v>
      </c>
      <c r="H1874">
        <v>1</v>
      </c>
      <c r="I1874" s="3">
        <v>59.16</v>
      </c>
      <c r="J1874" s="3">
        <v>23.66</v>
      </c>
      <c r="L1874">
        <v>450</v>
      </c>
      <c r="M1874" t="s">
        <v>4374</v>
      </c>
      <c r="N1874" t="s">
        <v>4375</v>
      </c>
      <c r="O1874" t="s">
        <v>31</v>
      </c>
      <c r="P1874" t="str">
        <f>"19072"</f>
        <v>19072</v>
      </c>
    </row>
    <row r="1875" spans="1:16" x14ac:dyDescent="0.25">
      <c r="A1875" t="str">
        <f>"1060025G00040    00"</f>
        <v>1060025G00040    00</v>
      </c>
      <c r="B1875" t="s">
        <v>4376</v>
      </c>
      <c r="C1875" t="s">
        <v>4377</v>
      </c>
      <c r="D1875" t="s">
        <v>20</v>
      </c>
      <c r="E1875" t="s">
        <v>21</v>
      </c>
      <c r="F1875">
        <v>0</v>
      </c>
      <c r="G1875">
        <v>0</v>
      </c>
      <c r="H1875">
        <v>1</v>
      </c>
      <c r="I1875" s="3">
        <v>292.16000000000003</v>
      </c>
      <c r="J1875" s="3">
        <v>116.86</v>
      </c>
      <c r="L1875">
        <v>437</v>
      </c>
      <c r="M1875" t="s">
        <v>4378</v>
      </c>
      <c r="N1875" t="s">
        <v>30</v>
      </c>
      <c r="O1875" t="s">
        <v>31</v>
      </c>
      <c r="P1875" t="str">
        <f>"15219"</f>
        <v>15219</v>
      </c>
    </row>
    <row r="1876" spans="1:16" x14ac:dyDescent="0.25">
      <c r="A1876" t="str">
        <f>"1060025G00117    00"</f>
        <v>1060025G00117    00</v>
      </c>
      <c r="B1876" t="s">
        <v>4379</v>
      </c>
      <c r="C1876" t="s">
        <v>4380</v>
      </c>
      <c r="E1876" t="s">
        <v>21</v>
      </c>
      <c r="F1876">
        <v>0</v>
      </c>
      <c r="G1876">
        <v>0</v>
      </c>
      <c r="H1876">
        <v>1</v>
      </c>
      <c r="I1876" s="3">
        <v>20.43</v>
      </c>
      <c r="J1876" s="3">
        <v>24.35</v>
      </c>
      <c r="K1876" t="s">
        <v>4381</v>
      </c>
      <c r="L1876">
        <v>2923</v>
      </c>
      <c r="M1876" t="s">
        <v>585</v>
      </c>
      <c r="N1876" t="s">
        <v>30</v>
      </c>
      <c r="O1876" t="s">
        <v>31</v>
      </c>
      <c r="P1876" t="str">
        <f>"15201"</f>
        <v>15201</v>
      </c>
    </row>
    <row r="1877" spans="1:16" x14ac:dyDescent="0.25">
      <c r="A1877" t="str">
        <f>"1060025G00135    00"</f>
        <v>1060025G00135    00</v>
      </c>
      <c r="B1877" t="s">
        <v>4382</v>
      </c>
      <c r="C1877" t="s">
        <v>4383</v>
      </c>
      <c r="D1877" t="s">
        <v>20</v>
      </c>
      <c r="E1877" t="s">
        <v>21</v>
      </c>
      <c r="F1877">
        <v>0</v>
      </c>
      <c r="G1877">
        <v>0</v>
      </c>
      <c r="H1877">
        <v>1</v>
      </c>
      <c r="I1877" s="3">
        <v>484.12</v>
      </c>
      <c r="J1877" s="3">
        <v>0</v>
      </c>
      <c r="L1877">
        <v>204</v>
      </c>
      <c r="M1877" t="s">
        <v>4384</v>
      </c>
      <c r="N1877" t="s">
        <v>139</v>
      </c>
      <c r="O1877" t="s">
        <v>31</v>
      </c>
      <c r="P1877" t="str">
        <f>"15090"</f>
        <v>15090</v>
      </c>
    </row>
    <row r="1878" spans="1:16" x14ac:dyDescent="0.25">
      <c r="A1878" t="str">
        <f>"1060025G00136    00"</f>
        <v>1060025G00136    00</v>
      </c>
      <c r="B1878" t="s">
        <v>4382</v>
      </c>
      <c r="C1878" t="s">
        <v>4383</v>
      </c>
      <c r="D1878" t="s">
        <v>20</v>
      </c>
      <c r="E1878" t="s">
        <v>21</v>
      </c>
      <c r="F1878">
        <v>0</v>
      </c>
      <c r="G1878">
        <v>0</v>
      </c>
      <c r="H1878">
        <v>1</v>
      </c>
      <c r="I1878" s="3">
        <v>966.35</v>
      </c>
      <c r="J1878" s="3">
        <v>0</v>
      </c>
      <c r="L1878">
        <v>204</v>
      </c>
      <c r="M1878" t="s">
        <v>4384</v>
      </c>
      <c r="N1878" t="s">
        <v>139</v>
      </c>
      <c r="O1878" t="s">
        <v>31</v>
      </c>
      <c r="P1878" t="str">
        <f>"15090"</f>
        <v>15090</v>
      </c>
    </row>
    <row r="1879" spans="1:16" x14ac:dyDescent="0.25">
      <c r="A1879" t="str">
        <f>"1060025G00139    00"</f>
        <v>1060025G00139    00</v>
      </c>
      <c r="B1879" t="s">
        <v>4382</v>
      </c>
      <c r="C1879" t="s">
        <v>4383</v>
      </c>
      <c r="D1879" t="s">
        <v>20</v>
      </c>
      <c r="E1879" t="s">
        <v>21</v>
      </c>
      <c r="F1879">
        <v>0</v>
      </c>
      <c r="G1879">
        <v>0</v>
      </c>
      <c r="H1879">
        <v>1</v>
      </c>
      <c r="I1879" s="3">
        <v>484.12</v>
      </c>
      <c r="J1879" s="3">
        <v>0</v>
      </c>
      <c r="L1879">
        <v>204</v>
      </c>
      <c r="M1879" t="s">
        <v>4384</v>
      </c>
      <c r="N1879" t="s">
        <v>139</v>
      </c>
      <c r="O1879" t="s">
        <v>31</v>
      </c>
      <c r="P1879" t="str">
        <f>"15090"</f>
        <v>15090</v>
      </c>
    </row>
    <row r="1880" spans="1:16" x14ac:dyDescent="0.25">
      <c r="A1880" t="str">
        <f>"1060025G00141    00"</f>
        <v>1060025G00141    00</v>
      </c>
      <c r="B1880" t="s">
        <v>4382</v>
      </c>
      <c r="C1880" t="s">
        <v>4383</v>
      </c>
      <c r="D1880" t="s">
        <v>20</v>
      </c>
      <c r="E1880" t="s">
        <v>21</v>
      </c>
      <c r="F1880">
        <v>0</v>
      </c>
      <c r="G1880">
        <v>0</v>
      </c>
      <c r="H1880">
        <v>1</v>
      </c>
      <c r="I1880" s="3">
        <v>476.5</v>
      </c>
      <c r="J1880" s="3">
        <v>0</v>
      </c>
      <c r="L1880">
        <v>3015</v>
      </c>
      <c r="M1880" t="s">
        <v>614</v>
      </c>
      <c r="N1880" t="s">
        <v>30</v>
      </c>
      <c r="O1880" t="s">
        <v>31</v>
      </c>
      <c r="P1880" t="str">
        <f>"15201"</f>
        <v>15201</v>
      </c>
    </row>
    <row r="1881" spans="1:16" x14ac:dyDescent="0.25">
      <c r="A1881" t="str">
        <f>"1060025G00205    00"</f>
        <v>1060025G00205    00</v>
      </c>
      <c r="B1881" t="s">
        <v>4382</v>
      </c>
      <c r="C1881" t="s">
        <v>4385</v>
      </c>
      <c r="D1881" t="s">
        <v>20</v>
      </c>
      <c r="E1881" t="s">
        <v>21</v>
      </c>
      <c r="F1881">
        <v>0</v>
      </c>
      <c r="G1881">
        <v>0</v>
      </c>
      <c r="H1881">
        <v>1</v>
      </c>
      <c r="I1881" s="3">
        <v>1926.98</v>
      </c>
      <c r="J1881" s="3">
        <v>0</v>
      </c>
      <c r="L1881">
        <v>204</v>
      </c>
      <c r="M1881" t="s">
        <v>4384</v>
      </c>
      <c r="N1881" t="s">
        <v>139</v>
      </c>
      <c r="O1881" t="s">
        <v>31</v>
      </c>
      <c r="P1881" t="str">
        <f>"15090"</f>
        <v>15090</v>
      </c>
    </row>
    <row r="1882" spans="1:16" x14ac:dyDescent="0.25">
      <c r="A1882" t="str">
        <f>"1060025G00210    00"</f>
        <v>1060025G00210    00</v>
      </c>
      <c r="B1882" t="s">
        <v>4382</v>
      </c>
      <c r="C1882" t="s">
        <v>4385</v>
      </c>
      <c r="D1882" t="s">
        <v>20</v>
      </c>
      <c r="E1882" t="s">
        <v>21</v>
      </c>
      <c r="F1882">
        <v>0</v>
      </c>
      <c r="G1882">
        <v>0</v>
      </c>
      <c r="H1882">
        <v>1</v>
      </c>
      <c r="I1882" s="3">
        <v>16906.22</v>
      </c>
      <c r="J1882" s="3">
        <v>0</v>
      </c>
      <c r="L1882">
        <v>204</v>
      </c>
      <c r="M1882" t="s">
        <v>4384</v>
      </c>
      <c r="N1882" t="s">
        <v>139</v>
      </c>
      <c r="O1882" t="s">
        <v>31</v>
      </c>
      <c r="P1882" t="str">
        <f>"15090"</f>
        <v>15090</v>
      </c>
    </row>
    <row r="1883" spans="1:16" x14ac:dyDescent="0.25">
      <c r="A1883" t="str">
        <f>"1060025G00246    00"</f>
        <v>1060025G00246    00</v>
      </c>
      <c r="B1883" t="s">
        <v>4382</v>
      </c>
      <c r="C1883" t="s">
        <v>4386</v>
      </c>
      <c r="D1883" t="s">
        <v>20</v>
      </c>
      <c r="E1883" t="s">
        <v>21</v>
      </c>
      <c r="F1883">
        <v>0</v>
      </c>
      <c r="G1883">
        <v>0</v>
      </c>
      <c r="H1883">
        <v>1</v>
      </c>
      <c r="I1883" s="3">
        <v>9042.08</v>
      </c>
      <c r="J1883" s="3">
        <v>0</v>
      </c>
      <c r="L1883">
        <v>204</v>
      </c>
      <c r="M1883" t="s">
        <v>4384</v>
      </c>
      <c r="N1883" t="s">
        <v>139</v>
      </c>
      <c r="O1883" t="s">
        <v>31</v>
      </c>
      <c r="P1883" t="str">
        <f>"15090"</f>
        <v>15090</v>
      </c>
    </row>
    <row r="1884" spans="1:16" x14ac:dyDescent="0.25">
      <c r="A1884" t="str">
        <f>"1060025H00117    00"</f>
        <v>1060025H00117    00</v>
      </c>
      <c r="B1884" t="s">
        <v>4387</v>
      </c>
      <c r="C1884" t="s">
        <v>4388</v>
      </c>
      <c r="D1884" t="s">
        <v>20</v>
      </c>
      <c r="E1884" t="s">
        <v>39</v>
      </c>
      <c r="F1884">
        <v>0</v>
      </c>
      <c r="G1884">
        <v>0</v>
      </c>
      <c r="H1884">
        <v>1</v>
      </c>
      <c r="I1884" s="3">
        <v>253.16</v>
      </c>
      <c r="J1884" s="3">
        <v>276.36</v>
      </c>
      <c r="L1884">
        <v>334</v>
      </c>
      <c r="M1884" t="s">
        <v>4389</v>
      </c>
      <c r="N1884" t="s">
        <v>30</v>
      </c>
      <c r="O1884" t="s">
        <v>31</v>
      </c>
      <c r="P1884" t="str">
        <f>"15219"</f>
        <v>15219</v>
      </c>
    </row>
    <row r="1885" spans="1:16" x14ac:dyDescent="0.25">
      <c r="A1885" t="str">
        <f>"1060025H00140    00"</f>
        <v>1060025H00140    00</v>
      </c>
      <c r="B1885" t="s">
        <v>4390</v>
      </c>
      <c r="C1885" t="s">
        <v>4391</v>
      </c>
      <c r="D1885" t="s">
        <v>20</v>
      </c>
      <c r="E1885" t="s">
        <v>39</v>
      </c>
      <c r="F1885">
        <v>0</v>
      </c>
      <c r="G1885">
        <v>0</v>
      </c>
      <c r="H1885">
        <v>4</v>
      </c>
      <c r="I1885" s="3">
        <v>2741.64</v>
      </c>
      <c r="J1885" s="3">
        <v>222.26</v>
      </c>
      <c r="L1885">
        <v>329</v>
      </c>
      <c r="M1885" t="s">
        <v>4389</v>
      </c>
      <c r="N1885" t="s">
        <v>30</v>
      </c>
      <c r="O1885" t="s">
        <v>31</v>
      </c>
      <c r="P1885" t="str">
        <f>"15219"</f>
        <v>15219</v>
      </c>
    </row>
    <row r="1886" spans="1:16" x14ac:dyDescent="0.25">
      <c r="A1886" t="str">
        <f>"1060025H00160    00"</f>
        <v>1060025H00160    00</v>
      </c>
      <c r="B1886" t="s">
        <v>4392</v>
      </c>
      <c r="C1886" t="s">
        <v>4393</v>
      </c>
      <c r="D1886" t="s">
        <v>20</v>
      </c>
      <c r="E1886" t="s">
        <v>39</v>
      </c>
      <c r="F1886">
        <v>0</v>
      </c>
      <c r="G1886">
        <v>0</v>
      </c>
      <c r="H1886">
        <v>4</v>
      </c>
      <c r="I1886" s="3">
        <v>890.49</v>
      </c>
      <c r="J1886" s="3">
        <v>151.97</v>
      </c>
      <c r="L1886">
        <v>34</v>
      </c>
      <c r="M1886" t="s">
        <v>4394</v>
      </c>
      <c r="N1886" t="s">
        <v>30</v>
      </c>
      <c r="O1886" t="s">
        <v>31</v>
      </c>
      <c r="P1886" t="str">
        <f>"15219"</f>
        <v>15219</v>
      </c>
    </row>
    <row r="1887" spans="1:16" x14ac:dyDescent="0.25">
      <c r="A1887" t="str">
        <f>"1060025H00176    00"</f>
        <v>1060025H00176    00</v>
      </c>
      <c r="B1887" t="s">
        <v>4395</v>
      </c>
      <c r="C1887" t="s">
        <v>4396</v>
      </c>
      <c r="D1887" t="s">
        <v>20</v>
      </c>
      <c r="E1887" t="s">
        <v>39</v>
      </c>
      <c r="F1887">
        <v>0</v>
      </c>
      <c r="G1887">
        <v>0</v>
      </c>
      <c r="H1887">
        <v>1</v>
      </c>
      <c r="I1887" s="3">
        <v>384.47</v>
      </c>
      <c r="J1887" s="3">
        <v>0</v>
      </c>
      <c r="K1887" t="s">
        <v>4397</v>
      </c>
      <c r="L1887">
        <v>1050</v>
      </c>
      <c r="M1887" t="s">
        <v>3522</v>
      </c>
      <c r="N1887" t="s">
        <v>3827</v>
      </c>
      <c r="O1887" t="s">
        <v>70</v>
      </c>
      <c r="P1887" t="str">
        <f>"48226"</f>
        <v>48226</v>
      </c>
    </row>
    <row r="1888" spans="1:16" x14ac:dyDescent="0.25">
      <c r="A1888" t="str">
        <f>"1060025H00180    00"</f>
        <v>1060025H00180    00</v>
      </c>
      <c r="B1888" t="s">
        <v>4398</v>
      </c>
      <c r="C1888" t="s">
        <v>4399</v>
      </c>
      <c r="D1888" t="s">
        <v>20</v>
      </c>
      <c r="E1888" t="s">
        <v>39</v>
      </c>
      <c r="F1888">
        <v>0</v>
      </c>
      <c r="G1888">
        <v>0</v>
      </c>
      <c r="H1888">
        <v>10</v>
      </c>
      <c r="I1888" s="3">
        <v>10101.52</v>
      </c>
      <c r="J1888" s="3">
        <v>4814.93</v>
      </c>
      <c r="L1888">
        <v>326</v>
      </c>
      <c r="M1888" t="s">
        <v>4400</v>
      </c>
      <c r="N1888" t="s">
        <v>30</v>
      </c>
      <c r="O1888" t="s">
        <v>31</v>
      </c>
      <c r="P1888" t="str">
        <f>"15219"</f>
        <v>15219</v>
      </c>
    </row>
    <row r="1889" spans="1:16" x14ac:dyDescent="0.25">
      <c r="A1889" t="str">
        <f>"1060025H00193    00"</f>
        <v>1060025H00193    00</v>
      </c>
      <c r="B1889" t="s">
        <v>4401</v>
      </c>
      <c r="C1889" t="s">
        <v>4402</v>
      </c>
      <c r="D1889" t="s">
        <v>20</v>
      </c>
      <c r="E1889" t="s">
        <v>39</v>
      </c>
      <c r="F1889">
        <v>0</v>
      </c>
      <c r="G1889">
        <v>0</v>
      </c>
      <c r="H1889">
        <v>2</v>
      </c>
      <c r="I1889" s="3">
        <v>871.75</v>
      </c>
      <c r="J1889" s="3">
        <v>111.96</v>
      </c>
      <c r="L1889">
        <v>2402</v>
      </c>
      <c r="M1889" t="s">
        <v>4403</v>
      </c>
      <c r="N1889" t="s">
        <v>30</v>
      </c>
      <c r="O1889" t="s">
        <v>31</v>
      </c>
      <c r="P1889" t="str">
        <f>"15216"</f>
        <v>15216</v>
      </c>
    </row>
    <row r="1890" spans="1:16" x14ac:dyDescent="0.25">
      <c r="A1890" t="str">
        <f>"1060025K00036    00"</f>
        <v>1060025K00036    00</v>
      </c>
      <c r="B1890" t="s">
        <v>4404</v>
      </c>
      <c r="C1890" t="s">
        <v>4405</v>
      </c>
      <c r="D1890" t="s">
        <v>20</v>
      </c>
      <c r="E1890" t="s">
        <v>21</v>
      </c>
      <c r="F1890">
        <v>0</v>
      </c>
      <c r="G1890">
        <v>0</v>
      </c>
      <c r="H1890">
        <v>1</v>
      </c>
      <c r="I1890" s="3">
        <v>27152.89</v>
      </c>
      <c r="J1890" s="3">
        <v>0</v>
      </c>
      <c r="M1890" t="s">
        <v>4406</v>
      </c>
      <c r="N1890" t="s">
        <v>4407</v>
      </c>
      <c r="O1890" t="s">
        <v>31</v>
      </c>
      <c r="P1890" t="str">
        <f>"15317"</f>
        <v>15317</v>
      </c>
    </row>
    <row r="1891" spans="1:16" x14ac:dyDescent="0.25">
      <c r="A1891" t="str">
        <f>"1060025K00180    00"</f>
        <v>1060025K00180    00</v>
      </c>
      <c r="B1891" t="s">
        <v>4408</v>
      </c>
      <c r="C1891" t="s">
        <v>4409</v>
      </c>
      <c r="E1891" t="s">
        <v>21</v>
      </c>
      <c r="F1891">
        <v>0</v>
      </c>
      <c r="G1891">
        <v>0</v>
      </c>
      <c r="H1891">
        <v>1</v>
      </c>
      <c r="I1891" s="3">
        <v>9718.7099999999991</v>
      </c>
      <c r="J1891" s="3">
        <v>1943.66</v>
      </c>
      <c r="K1891" t="s">
        <v>4410</v>
      </c>
      <c r="L1891">
        <v>1800</v>
      </c>
      <c r="M1891" t="s">
        <v>4411</v>
      </c>
      <c r="N1891" t="s">
        <v>4412</v>
      </c>
      <c r="O1891" t="s">
        <v>370</v>
      </c>
      <c r="P1891" t="str">
        <f>"33172"</f>
        <v>33172</v>
      </c>
    </row>
    <row r="1892" spans="1:16" x14ac:dyDescent="0.25">
      <c r="A1892" t="str">
        <f>"1060025K00185    00"</f>
        <v>1060025K00185    00</v>
      </c>
      <c r="B1892" t="s">
        <v>4408</v>
      </c>
      <c r="C1892" t="s">
        <v>4409</v>
      </c>
      <c r="E1892" t="s">
        <v>290</v>
      </c>
      <c r="F1892">
        <v>0</v>
      </c>
      <c r="G1892">
        <v>0</v>
      </c>
      <c r="H1892">
        <v>1</v>
      </c>
      <c r="I1892" s="3">
        <v>552.74</v>
      </c>
      <c r="J1892" s="3">
        <v>110.55</v>
      </c>
      <c r="K1892" t="s">
        <v>4410</v>
      </c>
      <c r="L1892">
        <v>1800</v>
      </c>
      <c r="M1892" t="s">
        <v>4411</v>
      </c>
      <c r="N1892" t="s">
        <v>4412</v>
      </c>
      <c r="O1892" t="s">
        <v>370</v>
      </c>
      <c r="P1892" t="str">
        <f>"33172"</f>
        <v>33172</v>
      </c>
    </row>
    <row r="1893" spans="1:16" x14ac:dyDescent="0.25">
      <c r="A1893" t="str">
        <f>"1060025K00189    00"</f>
        <v>1060025K00189    00</v>
      </c>
      <c r="B1893" t="s">
        <v>4413</v>
      </c>
      <c r="C1893" t="s">
        <v>4414</v>
      </c>
      <c r="D1893" t="s">
        <v>20</v>
      </c>
      <c r="E1893" t="s">
        <v>290</v>
      </c>
      <c r="F1893">
        <v>0</v>
      </c>
      <c r="G1893">
        <v>0</v>
      </c>
      <c r="H1893">
        <v>2</v>
      </c>
      <c r="I1893" s="3">
        <v>49746.6</v>
      </c>
      <c r="J1893" s="3">
        <v>0</v>
      </c>
      <c r="K1893" t="s">
        <v>742</v>
      </c>
      <c r="L1893">
        <v>2737</v>
      </c>
      <c r="M1893" t="s">
        <v>585</v>
      </c>
      <c r="N1893" t="s">
        <v>30</v>
      </c>
      <c r="O1893" t="s">
        <v>31</v>
      </c>
      <c r="P1893" t="str">
        <f>"15222"</f>
        <v>15222</v>
      </c>
    </row>
    <row r="1894" spans="1:16" x14ac:dyDescent="0.25">
      <c r="A1894" t="str">
        <f>"1060025K00200    00"</f>
        <v>1060025K00200    00</v>
      </c>
      <c r="B1894" t="s">
        <v>4415</v>
      </c>
      <c r="C1894" t="s">
        <v>4416</v>
      </c>
      <c r="D1894" t="s">
        <v>20</v>
      </c>
      <c r="E1894" t="s">
        <v>21</v>
      </c>
      <c r="F1894">
        <v>0</v>
      </c>
      <c r="G1894">
        <v>0</v>
      </c>
      <c r="H1894">
        <v>2</v>
      </c>
      <c r="I1894" s="3">
        <v>8443.6</v>
      </c>
      <c r="J1894" s="3">
        <v>0</v>
      </c>
      <c r="L1894">
        <v>22</v>
      </c>
      <c r="M1894" t="s">
        <v>4417</v>
      </c>
      <c r="N1894" t="s">
        <v>30</v>
      </c>
      <c r="O1894" t="s">
        <v>31</v>
      </c>
      <c r="P1894" t="str">
        <f>"15215"</f>
        <v>15215</v>
      </c>
    </row>
    <row r="1895" spans="1:16" x14ac:dyDescent="0.25">
      <c r="A1895" t="str">
        <f>"1060025K00221    00"</f>
        <v>1060025K00221    00</v>
      </c>
      <c r="B1895" t="s">
        <v>4418</v>
      </c>
      <c r="C1895" t="s">
        <v>4419</v>
      </c>
      <c r="E1895" t="s">
        <v>21</v>
      </c>
      <c r="F1895">
        <v>0</v>
      </c>
      <c r="G1895">
        <v>0</v>
      </c>
      <c r="H1895">
        <v>1</v>
      </c>
      <c r="I1895" s="3">
        <v>2811.65</v>
      </c>
      <c r="J1895" s="3">
        <v>2788.12</v>
      </c>
      <c r="K1895" t="s">
        <v>4420</v>
      </c>
      <c r="L1895">
        <v>600</v>
      </c>
      <c r="M1895" t="s">
        <v>4421</v>
      </c>
      <c r="N1895" t="s">
        <v>1412</v>
      </c>
      <c r="O1895" t="s">
        <v>1413</v>
      </c>
      <c r="P1895" t="str">
        <f>"28273"</f>
        <v>28273</v>
      </c>
    </row>
    <row r="1896" spans="1:16" x14ac:dyDescent="0.25">
      <c r="A1896" t="str">
        <f>"1060025K00245    00"</f>
        <v>1060025K00245    00</v>
      </c>
      <c r="B1896" t="s">
        <v>4422</v>
      </c>
      <c r="C1896" t="s">
        <v>4423</v>
      </c>
      <c r="D1896" t="s">
        <v>20</v>
      </c>
      <c r="E1896" t="s">
        <v>21</v>
      </c>
      <c r="F1896">
        <v>0</v>
      </c>
      <c r="G1896">
        <v>0</v>
      </c>
      <c r="H1896">
        <v>3</v>
      </c>
      <c r="I1896" s="3">
        <v>3613.8</v>
      </c>
      <c r="J1896" s="3">
        <v>240.91</v>
      </c>
      <c r="K1896" t="s">
        <v>4424</v>
      </c>
      <c r="L1896">
        <v>3001</v>
      </c>
      <c r="M1896" t="s">
        <v>330</v>
      </c>
      <c r="N1896" t="s">
        <v>331</v>
      </c>
      <c r="O1896" t="s">
        <v>108</v>
      </c>
      <c r="P1896" t="str">
        <f>"75063"</f>
        <v>75063</v>
      </c>
    </row>
    <row r="1897" spans="1:16" x14ac:dyDescent="0.25">
      <c r="A1897" t="str">
        <f>"1060025K00246    00"</f>
        <v>1060025K00246    00</v>
      </c>
      <c r="B1897" t="s">
        <v>4422</v>
      </c>
      <c r="C1897" t="s">
        <v>4423</v>
      </c>
      <c r="D1897" t="s">
        <v>20</v>
      </c>
      <c r="E1897" t="s">
        <v>21</v>
      </c>
      <c r="F1897">
        <v>0</v>
      </c>
      <c r="G1897">
        <v>0</v>
      </c>
      <c r="H1897">
        <v>3</v>
      </c>
      <c r="I1897" s="3">
        <v>1126.5</v>
      </c>
      <c r="J1897" s="3">
        <v>75.099999999999994</v>
      </c>
      <c r="K1897" t="s">
        <v>4424</v>
      </c>
      <c r="L1897">
        <v>3001</v>
      </c>
      <c r="M1897" t="s">
        <v>330</v>
      </c>
      <c r="N1897" t="s">
        <v>331</v>
      </c>
      <c r="O1897" t="s">
        <v>108</v>
      </c>
      <c r="P1897" t="str">
        <f>"75063"</f>
        <v>75063</v>
      </c>
    </row>
    <row r="1898" spans="1:16" x14ac:dyDescent="0.25">
      <c r="A1898" t="str">
        <f>"1060025K00248    00"</f>
        <v>1060025K00248    00</v>
      </c>
      <c r="B1898" t="s">
        <v>4425</v>
      </c>
      <c r="C1898" t="s">
        <v>4426</v>
      </c>
      <c r="E1898" t="s">
        <v>290</v>
      </c>
      <c r="F1898">
        <v>0</v>
      </c>
      <c r="G1898">
        <v>0</v>
      </c>
      <c r="H1898">
        <v>1</v>
      </c>
      <c r="I1898" s="3">
        <v>407.88</v>
      </c>
      <c r="J1898" s="3">
        <v>81.569999999999993</v>
      </c>
      <c r="L1898">
        <v>1800</v>
      </c>
      <c r="M1898" t="s">
        <v>4411</v>
      </c>
      <c r="N1898" t="s">
        <v>4412</v>
      </c>
      <c r="O1898" t="s">
        <v>370</v>
      </c>
      <c r="P1898" t="str">
        <f>"33172"</f>
        <v>33172</v>
      </c>
    </row>
    <row r="1899" spans="1:16" x14ac:dyDescent="0.25">
      <c r="A1899" t="str">
        <f>"1060025K00249    00"</f>
        <v>1060025K00249    00</v>
      </c>
      <c r="B1899" t="s">
        <v>4425</v>
      </c>
      <c r="C1899" t="s">
        <v>4426</v>
      </c>
      <c r="E1899" t="s">
        <v>290</v>
      </c>
      <c r="F1899">
        <v>0</v>
      </c>
      <c r="G1899">
        <v>0</v>
      </c>
      <c r="H1899">
        <v>1</v>
      </c>
      <c r="I1899" s="3">
        <v>425.05</v>
      </c>
      <c r="J1899" s="3">
        <v>85.01</v>
      </c>
      <c r="L1899">
        <v>1800</v>
      </c>
      <c r="M1899" t="s">
        <v>4411</v>
      </c>
      <c r="N1899" t="s">
        <v>4412</v>
      </c>
      <c r="O1899" t="s">
        <v>370</v>
      </c>
      <c r="P1899" t="str">
        <f>"33172"</f>
        <v>33172</v>
      </c>
    </row>
    <row r="1900" spans="1:16" x14ac:dyDescent="0.25">
      <c r="A1900" t="str">
        <f>"1060025K00250    00"</f>
        <v>1060025K00250    00</v>
      </c>
      <c r="B1900" t="s">
        <v>4427</v>
      </c>
      <c r="C1900" t="s">
        <v>4428</v>
      </c>
      <c r="D1900" t="s">
        <v>20</v>
      </c>
      <c r="E1900" t="s">
        <v>21</v>
      </c>
      <c r="F1900">
        <v>0</v>
      </c>
      <c r="G1900">
        <v>0</v>
      </c>
      <c r="H1900">
        <v>4</v>
      </c>
      <c r="I1900" s="3">
        <v>17104.45</v>
      </c>
      <c r="J1900" s="3">
        <v>224.58</v>
      </c>
      <c r="K1900" t="s">
        <v>4429</v>
      </c>
      <c r="L1900">
        <v>2722</v>
      </c>
      <c r="M1900" t="s">
        <v>585</v>
      </c>
      <c r="N1900" t="s">
        <v>30</v>
      </c>
      <c r="O1900" t="s">
        <v>31</v>
      </c>
      <c r="P1900" t="str">
        <f>"15222"</f>
        <v>15222</v>
      </c>
    </row>
    <row r="1901" spans="1:16" x14ac:dyDescent="0.25">
      <c r="A1901" t="str">
        <f>"1060025K00251    00"</f>
        <v>1060025K00251    00</v>
      </c>
      <c r="B1901" t="s">
        <v>4430</v>
      </c>
      <c r="C1901" t="s">
        <v>4431</v>
      </c>
      <c r="E1901" t="s">
        <v>21</v>
      </c>
      <c r="F1901">
        <v>0</v>
      </c>
      <c r="G1901">
        <v>0</v>
      </c>
      <c r="H1901">
        <v>1</v>
      </c>
      <c r="I1901" s="3">
        <v>1835.78</v>
      </c>
      <c r="J1901" s="3">
        <v>0</v>
      </c>
      <c r="K1901" t="s">
        <v>4432</v>
      </c>
      <c r="L1901">
        <v>528</v>
      </c>
      <c r="M1901" t="s">
        <v>4433</v>
      </c>
      <c r="N1901" t="s">
        <v>4434</v>
      </c>
      <c r="O1901" t="s">
        <v>4435</v>
      </c>
      <c r="P1901" t="str">
        <f>"70117"</f>
        <v>70117</v>
      </c>
    </row>
    <row r="1902" spans="1:16" x14ac:dyDescent="0.25">
      <c r="A1902" t="str">
        <f>"1060025K00302    00"</f>
        <v>1060025K00302    00</v>
      </c>
      <c r="B1902" t="s">
        <v>4422</v>
      </c>
      <c r="C1902" t="s">
        <v>4436</v>
      </c>
      <c r="E1902" t="s">
        <v>21</v>
      </c>
      <c r="F1902">
        <v>0</v>
      </c>
      <c r="G1902">
        <v>0</v>
      </c>
      <c r="H1902">
        <v>2</v>
      </c>
      <c r="I1902" s="3">
        <v>43102.3</v>
      </c>
      <c r="J1902" s="3">
        <v>538.76</v>
      </c>
      <c r="K1902" t="s">
        <v>4437</v>
      </c>
      <c r="L1902">
        <v>2767</v>
      </c>
      <c r="M1902" t="s">
        <v>614</v>
      </c>
      <c r="N1902" t="s">
        <v>30</v>
      </c>
      <c r="O1902" t="s">
        <v>31</v>
      </c>
      <c r="P1902" t="str">
        <f>"15222"</f>
        <v>15222</v>
      </c>
    </row>
    <row r="1903" spans="1:16" x14ac:dyDescent="0.25">
      <c r="A1903" t="str">
        <f>"1060025M00018    00"</f>
        <v>1060025M00018    00</v>
      </c>
      <c r="B1903" t="s">
        <v>4438</v>
      </c>
      <c r="C1903" t="s">
        <v>4439</v>
      </c>
      <c r="E1903" t="s">
        <v>39</v>
      </c>
      <c r="F1903">
        <v>0</v>
      </c>
      <c r="G1903">
        <v>0</v>
      </c>
      <c r="H1903">
        <v>2</v>
      </c>
      <c r="I1903" s="3">
        <v>3244.04</v>
      </c>
      <c r="J1903" s="3">
        <v>324.39999999999998</v>
      </c>
      <c r="L1903">
        <v>3030</v>
      </c>
      <c r="M1903" t="s">
        <v>4440</v>
      </c>
      <c r="N1903" t="s">
        <v>30</v>
      </c>
      <c r="O1903" t="s">
        <v>31</v>
      </c>
      <c r="P1903" t="str">
        <f>"15219"</f>
        <v>15219</v>
      </c>
    </row>
    <row r="1904" spans="1:16" x14ac:dyDescent="0.25">
      <c r="A1904" t="str">
        <f>"1060025M00044    00"</f>
        <v>1060025M00044    00</v>
      </c>
      <c r="B1904" t="s">
        <v>4441</v>
      </c>
      <c r="C1904" t="s">
        <v>4442</v>
      </c>
      <c r="E1904" t="s">
        <v>39</v>
      </c>
      <c r="F1904">
        <v>0</v>
      </c>
      <c r="G1904">
        <v>0</v>
      </c>
      <c r="H1904">
        <v>1</v>
      </c>
      <c r="I1904" s="3">
        <v>388.48</v>
      </c>
      <c r="J1904" s="3">
        <v>0</v>
      </c>
      <c r="K1904" t="s">
        <v>4443</v>
      </c>
      <c r="L1904">
        <v>3031</v>
      </c>
      <c r="M1904" t="s">
        <v>4444</v>
      </c>
      <c r="N1904" t="s">
        <v>30</v>
      </c>
      <c r="O1904" t="s">
        <v>31</v>
      </c>
      <c r="P1904" t="str">
        <f>"15219"</f>
        <v>15219</v>
      </c>
    </row>
    <row r="1905" spans="1:16" x14ac:dyDescent="0.25">
      <c r="A1905" t="str">
        <f>"1060025M00058    00"</f>
        <v>1060025M00058    00</v>
      </c>
      <c r="B1905" t="s">
        <v>4445</v>
      </c>
      <c r="C1905" t="s">
        <v>4446</v>
      </c>
      <c r="D1905" t="s">
        <v>20</v>
      </c>
      <c r="E1905" t="s">
        <v>39</v>
      </c>
      <c r="F1905">
        <v>0</v>
      </c>
      <c r="G1905">
        <v>0</v>
      </c>
      <c r="H1905">
        <v>5</v>
      </c>
      <c r="I1905" s="3">
        <v>3774.34</v>
      </c>
      <c r="J1905" s="3">
        <v>620.19000000000005</v>
      </c>
      <c r="L1905">
        <v>204</v>
      </c>
      <c r="M1905" t="s">
        <v>4447</v>
      </c>
      <c r="N1905" t="s">
        <v>30</v>
      </c>
      <c r="O1905" t="s">
        <v>31</v>
      </c>
      <c r="P1905" t="str">
        <f>"15238"</f>
        <v>15238</v>
      </c>
    </row>
    <row r="1906" spans="1:16" x14ac:dyDescent="0.25">
      <c r="A1906" t="str">
        <f>"1060025M00061    00"</f>
        <v>1060025M00061    00</v>
      </c>
      <c r="B1906" t="s">
        <v>4448</v>
      </c>
      <c r="C1906" t="s">
        <v>4449</v>
      </c>
      <c r="E1906" t="s">
        <v>39</v>
      </c>
      <c r="F1906">
        <v>0</v>
      </c>
      <c r="G1906">
        <v>0</v>
      </c>
      <c r="H1906">
        <v>1</v>
      </c>
      <c r="I1906" s="3">
        <v>1900.29</v>
      </c>
      <c r="J1906" s="3">
        <v>47.51</v>
      </c>
      <c r="K1906" t="s">
        <v>4293</v>
      </c>
      <c r="L1906">
        <v>411</v>
      </c>
      <c r="M1906" t="s">
        <v>4294</v>
      </c>
      <c r="N1906" t="s">
        <v>3934</v>
      </c>
      <c r="O1906" t="s">
        <v>31</v>
      </c>
      <c r="P1906" t="str">
        <f>"15102"</f>
        <v>15102</v>
      </c>
    </row>
    <row r="1907" spans="1:16" x14ac:dyDescent="0.25">
      <c r="A1907" t="str">
        <f>"1060025M00062    00"</f>
        <v>1060025M00062    00</v>
      </c>
      <c r="B1907" t="s">
        <v>4450</v>
      </c>
      <c r="C1907" t="s">
        <v>4451</v>
      </c>
      <c r="D1907" t="s">
        <v>20</v>
      </c>
      <c r="E1907" t="s">
        <v>21</v>
      </c>
      <c r="F1907">
        <v>0</v>
      </c>
      <c r="G1907">
        <v>0</v>
      </c>
      <c r="H1907">
        <v>2</v>
      </c>
      <c r="I1907" s="3">
        <v>3829.18</v>
      </c>
      <c r="J1907" s="3">
        <v>0</v>
      </c>
      <c r="L1907">
        <v>7901</v>
      </c>
      <c r="M1907" t="s">
        <v>4452</v>
      </c>
      <c r="N1907" t="s">
        <v>30</v>
      </c>
      <c r="O1907" t="s">
        <v>31</v>
      </c>
      <c r="P1907" t="str">
        <f>"15221"</f>
        <v>15221</v>
      </c>
    </row>
    <row r="1908" spans="1:16" x14ac:dyDescent="0.25">
      <c r="A1908" t="str">
        <f>"1060025M00073000100"</f>
        <v>1060025M00073000100</v>
      </c>
      <c r="B1908" t="s">
        <v>4453</v>
      </c>
      <c r="C1908" t="s">
        <v>4454</v>
      </c>
      <c r="D1908" t="s">
        <v>20</v>
      </c>
      <c r="E1908" t="s">
        <v>39</v>
      </c>
      <c r="F1908">
        <v>0</v>
      </c>
      <c r="G1908">
        <v>0</v>
      </c>
      <c r="H1908">
        <v>1</v>
      </c>
      <c r="I1908" s="3">
        <v>341.65</v>
      </c>
      <c r="J1908" s="3">
        <v>0</v>
      </c>
      <c r="L1908">
        <v>344</v>
      </c>
      <c r="M1908" t="s">
        <v>4455</v>
      </c>
      <c r="N1908" t="s">
        <v>30</v>
      </c>
      <c r="O1908" t="s">
        <v>31</v>
      </c>
      <c r="P1908" t="str">
        <f>"15219"</f>
        <v>15219</v>
      </c>
    </row>
    <row r="1909" spans="1:16" x14ac:dyDescent="0.25">
      <c r="A1909" t="str">
        <f>"1060025M00077    00"</f>
        <v>1060025M00077    00</v>
      </c>
      <c r="B1909" t="s">
        <v>4456</v>
      </c>
      <c r="C1909" t="s">
        <v>4457</v>
      </c>
      <c r="D1909" t="s">
        <v>20</v>
      </c>
      <c r="E1909" t="s">
        <v>39</v>
      </c>
      <c r="F1909">
        <v>0</v>
      </c>
      <c r="G1909">
        <v>0</v>
      </c>
      <c r="H1909">
        <v>1</v>
      </c>
      <c r="I1909" s="3">
        <v>364.92</v>
      </c>
      <c r="J1909" s="3">
        <v>398.34</v>
      </c>
      <c r="L1909">
        <v>336</v>
      </c>
      <c r="M1909" t="s">
        <v>4389</v>
      </c>
      <c r="N1909" t="s">
        <v>30</v>
      </c>
      <c r="O1909" t="s">
        <v>31</v>
      </c>
      <c r="P1909" t="str">
        <f>"15219"</f>
        <v>15219</v>
      </c>
    </row>
    <row r="1910" spans="1:16" x14ac:dyDescent="0.25">
      <c r="A1910" t="str">
        <f>"1060025M00097    00"</f>
        <v>1060025M00097    00</v>
      </c>
      <c r="B1910" t="s">
        <v>4458</v>
      </c>
      <c r="C1910" t="s">
        <v>4459</v>
      </c>
      <c r="D1910" t="s">
        <v>20</v>
      </c>
      <c r="E1910" t="s">
        <v>39</v>
      </c>
      <c r="F1910">
        <v>0</v>
      </c>
      <c r="G1910">
        <v>0</v>
      </c>
      <c r="H1910">
        <v>1</v>
      </c>
      <c r="I1910" s="3">
        <v>3047.7</v>
      </c>
      <c r="J1910" s="3">
        <v>0</v>
      </c>
      <c r="K1910" t="s">
        <v>4460</v>
      </c>
      <c r="L1910">
        <v>901</v>
      </c>
      <c r="M1910" t="s">
        <v>1503</v>
      </c>
      <c r="N1910" t="s">
        <v>494</v>
      </c>
      <c r="O1910" t="s">
        <v>495</v>
      </c>
      <c r="P1910" t="str">
        <f>"91768"</f>
        <v>91768</v>
      </c>
    </row>
    <row r="1911" spans="1:16" x14ac:dyDescent="0.25">
      <c r="A1911" t="str">
        <f>"1060025M00103    00"</f>
        <v>1060025M00103    00</v>
      </c>
      <c r="B1911" t="s">
        <v>4461</v>
      </c>
      <c r="C1911" t="s">
        <v>4462</v>
      </c>
      <c r="D1911" t="s">
        <v>20</v>
      </c>
      <c r="E1911" t="s">
        <v>21</v>
      </c>
      <c r="F1911">
        <v>0</v>
      </c>
      <c r="G1911">
        <v>0</v>
      </c>
      <c r="H1911">
        <v>2</v>
      </c>
      <c r="I1911" s="3">
        <v>4359.9399999999996</v>
      </c>
      <c r="J1911" s="3">
        <v>33.43</v>
      </c>
      <c r="L1911">
        <v>443</v>
      </c>
      <c r="M1911" t="s">
        <v>4463</v>
      </c>
      <c r="N1911" t="s">
        <v>30</v>
      </c>
      <c r="O1911" t="s">
        <v>31</v>
      </c>
      <c r="P1911" t="str">
        <f>"15228"</f>
        <v>15228</v>
      </c>
    </row>
    <row r="1912" spans="1:16" x14ac:dyDescent="0.25">
      <c r="A1912" t="str">
        <f>"1060025M00157    00"</f>
        <v>1060025M00157    00</v>
      </c>
      <c r="B1912" t="s">
        <v>4464</v>
      </c>
      <c r="C1912" t="s">
        <v>4465</v>
      </c>
      <c r="D1912" t="s">
        <v>20</v>
      </c>
      <c r="E1912" t="s">
        <v>39</v>
      </c>
      <c r="F1912">
        <v>0</v>
      </c>
      <c r="G1912">
        <v>0</v>
      </c>
      <c r="H1912">
        <v>2</v>
      </c>
      <c r="I1912" s="3">
        <v>3269.48</v>
      </c>
      <c r="J1912" s="3">
        <v>0</v>
      </c>
      <c r="L1912">
        <v>3118</v>
      </c>
      <c r="M1912" t="s">
        <v>4466</v>
      </c>
      <c r="N1912" t="s">
        <v>30</v>
      </c>
      <c r="O1912" t="s">
        <v>31</v>
      </c>
      <c r="P1912" t="str">
        <f>"15219"</f>
        <v>15219</v>
      </c>
    </row>
    <row r="1913" spans="1:16" x14ac:dyDescent="0.25">
      <c r="A1913" t="str">
        <f>"1060025M00161    00"</f>
        <v>1060025M00161    00</v>
      </c>
      <c r="B1913" t="s">
        <v>4467</v>
      </c>
      <c r="C1913" t="s">
        <v>4468</v>
      </c>
      <c r="E1913" t="s">
        <v>39</v>
      </c>
      <c r="F1913">
        <v>0</v>
      </c>
      <c r="G1913">
        <v>0</v>
      </c>
      <c r="H1913">
        <v>1</v>
      </c>
      <c r="I1913" s="3">
        <v>2596.38</v>
      </c>
      <c r="J1913" s="3">
        <v>713.97</v>
      </c>
      <c r="L1913">
        <v>3005</v>
      </c>
      <c r="M1913" t="s">
        <v>833</v>
      </c>
      <c r="N1913" t="s">
        <v>30</v>
      </c>
      <c r="O1913" t="s">
        <v>31</v>
      </c>
      <c r="P1913" t="str">
        <f>"15219"</f>
        <v>15219</v>
      </c>
    </row>
    <row r="1914" spans="1:16" x14ac:dyDescent="0.25">
      <c r="A1914" t="str">
        <f>"1060025M00210    00"</f>
        <v>1060025M00210    00</v>
      </c>
      <c r="B1914" t="s">
        <v>4469</v>
      </c>
      <c r="C1914" t="s">
        <v>4470</v>
      </c>
      <c r="E1914" t="s">
        <v>39</v>
      </c>
      <c r="F1914">
        <v>0</v>
      </c>
      <c r="G1914">
        <v>0</v>
      </c>
      <c r="H1914">
        <v>2</v>
      </c>
      <c r="I1914" s="3">
        <v>120</v>
      </c>
      <c r="J1914" s="3">
        <v>1.5</v>
      </c>
      <c r="K1914" t="s">
        <v>4471</v>
      </c>
      <c r="L1914">
        <v>4808</v>
      </c>
      <c r="M1914" t="s">
        <v>1898</v>
      </c>
      <c r="N1914" t="s">
        <v>546</v>
      </c>
      <c r="O1914" t="s">
        <v>31</v>
      </c>
      <c r="P1914" t="str">
        <f>"15044"</f>
        <v>15044</v>
      </c>
    </row>
    <row r="1915" spans="1:16" x14ac:dyDescent="0.25">
      <c r="A1915" t="str">
        <f>"1060025M00233    00"</f>
        <v>1060025M00233    00</v>
      </c>
      <c r="B1915" t="s">
        <v>4472</v>
      </c>
      <c r="C1915" t="s">
        <v>4473</v>
      </c>
      <c r="D1915" t="s">
        <v>20</v>
      </c>
      <c r="E1915" t="s">
        <v>39</v>
      </c>
      <c r="F1915">
        <v>0</v>
      </c>
      <c r="G1915">
        <v>0</v>
      </c>
      <c r="H1915">
        <v>1</v>
      </c>
      <c r="I1915" s="3">
        <v>4856.51</v>
      </c>
      <c r="J1915" s="3">
        <v>0</v>
      </c>
      <c r="K1915" t="s">
        <v>4474</v>
      </c>
      <c r="L1915">
        <v>3052</v>
      </c>
      <c r="M1915" t="s">
        <v>4466</v>
      </c>
      <c r="N1915" t="s">
        <v>30</v>
      </c>
      <c r="O1915" t="s">
        <v>31</v>
      </c>
      <c r="P1915" t="str">
        <f>"15219"</f>
        <v>15219</v>
      </c>
    </row>
    <row r="1916" spans="1:16" x14ac:dyDescent="0.25">
      <c r="A1916" t="str">
        <f>"1060025M00234    00"</f>
        <v>1060025M00234    00</v>
      </c>
      <c r="B1916" t="s">
        <v>4475</v>
      </c>
      <c r="C1916" t="s">
        <v>4476</v>
      </c>
      <c r="D1916" t="s">
        <v>20</v>
      </c>
      <c r="E1916" t="s">
        <v>66</v>
      </c>
      <c r="F1916">
        <v>0</v>
      </c>
      <c r="G1916">
        <v>0</v>
      </c>
      <c r="H1916">
        <v>2</v>
      </c>
      <c r="I1916" s="3">
        <v>7242.8</v>
      </c>
      <c r="J1916" s="3">
        <v>0</v>
      </c>
      <c r="L1916">
        <v>1155</v>
      </c>
      <c r="M1916" t="s">
        <v>3580</v>
      </c>
      <c r="N1916" t="s">
        <v>30</v>
      </c>
      <c r="O1916" t="s">
        <v>31</v>
      </c>
      <c r="P1916" t="str">
        <f>"15232"</f>
        <v>15232</v>
      </c>
    </row>
    <row r="1917" spans="1:16" x14ac:dyDescent="0.25">
      <c r="A1917" t="str">
        <f>"1060025M00235    00"</f>
        <v>1060025M00235    00</v>
      </c>
      <c r="B1917" t="s">
        <v>4477</v>
      </c>
      <c r="C1917" t="s">
        <v>4478</v>
      </c>
      <c r="D1917" t="s">
        <v>20</v>
      </c>
      <c r="E1917" t="s">
        <v>39</v>
      </c>
      <c r="F1917">
        <v>0</v>
      </c>
      <c r="G1917">
        <v>0</v>
      </c>
      <c r="H1917">
        <v>4</v>
      </c>
      <c r="I1917" s="3">
        <v>2293.46</v>
      </c>
      <c r="J1917" s="3">
        <v>270.92</v>
      </c>
      <c r="L1917">
        <v>3027</v>
      </c>
      <c r="M1917" t="s">
        <v>4479</v>
      </c>
      <c r="N1917" t="s">
        <v>30</v>
      </c>
      <c r="O1917" t="s">
        <v>31</v>
      </c>
      <c r="P1917" t="str">
        <f>"15219"</f>
        <v>15219</v>
      </c>
    </row>
    <row r="1918" spans="1:16" x14ac:dyDescent="0.25">
      <c r="A1918" t="str">
        <f>"1060025M00239    00"</f>
        <v>1060025M00239    00</v>
      </c>
      <c r="B1918" t="s">
        <v>4480</v>
      </c>
      <c r="C1918" t="s">
        <v>4481</v>
      </c>
      <c r="D1918" t="s">
        <v>20</v>
      </c>
      <c r="E1918" t="s">
        <v>39</v>
      </c>
      <c r="F1918">
        <v>0</v>
      </c>
      <c r="G1918">
        <v>0</v>
      </c>
      <c r="H1918">
        <v>4</v>
      </c>
      <c r="I1918" s="3">
        <v>7880.62</v>
      </c>
      <c r="J1918" s="3">
        <v>13.33</v>
      </c>
      <c r="K1918" t="s">
        <v>4482</v>
      </c>
      <c r="L1918">
        <v>615</v>
      </c>
      <c r="M1918" t="s">
        <v>4483</v>
      </c>
      <c r="N1918" t="s">
        <v>4484</v>
      </c>
      <c r="O1918" t="s">
        <v>200</v>
      </c>
      <c r="P1918" t="str">
        <f>"11576"</f>
        <v>11576</v>
      </c>
    </row>
    <row r="1919" spans="1:16" x14ac:dyDescent="0.25">
      <c r="A1919" t="str">
        <f>"1060025M00240    00"</f>
        <v>1060025M00240    00</v>
      </c>
      <c r="B1919" t="s">
        <v>4485</v>
      </c>
      <c r="C1919" t="s">
        <v>4486</v>
      </c>
      <c r="D1919" t="s">
        <v>20</v>
      </c>
      <c r="E1919" t="s">
        <v>39</v>
      </c>
      <c r="F1919">
        <v>0</v>
      </c>
      <c r="G1919">
        <v>0</v>
      </c>
      <c r="H1919">
        <v>19</v>
      </c>
      <c r="I1919" s="3">
        <v>19645.349999999999</v>
      </c>
      <c r="J1919" s="3">
        <v>13040.21</v>
      </c>
      <c r="L1919">
        <v>411</v>
      </c>
      <c r="M1919" t="s">
        <v>4487</v>
      </c>
      <c r="N1919" t="s">
        <v>195</v>
      </c>
      <c r="O1919" t="s">
        <v>31</v>
      </c>
      <c r="P1919" t="str">
        <f>"15101"</f>
        <v>15101</v>
      </c>
    </row>
    <row r="1920" spans="1:16" x14ac:dyDescent="0.25">
      <c r="A1920" t="str">
        <f>"1060025M00261    00"</f>
        <v>1060025M00261    00</v>
      </c>
      <c r="B1920" t="s">
        <v>4488</v>
      </c>
      <c r="C1920" t="s">
        <v>4489</v>
      </c>
      <c r="D1920" t="s">
        <v>20</v>
      </c>
      <c r="E1920" t="s">
        <v>39</v>
      </c>
      <c r="F1920">
        <v>0</v>
      </c>
      <c r="G1920">
        <v>0</v>
      </c>
      <c r="H1920">
        <v>2</v>
      </c>
      <c r="I1920" s="3">
        <v>70.13</v>
      </c>
      <c r="J1920" s="3">
        <v>15.58</v>
      </c>
      <c r="L1920">
        <v>463</v>
      </c>
      <c r="M1920" t="s">
        <v>4490</v>
      </c>
      <c r="N1920" t="s">
        <v>30</v>
      </c>
      <c r="O1920" t="s">
        <v>31</v>
      </c>
      <c r="P1920" t="str">
        <f>"15219"</f>
        <v>15219</v>
      </c>
    </row>
    <row r="1921" spans="1:16" x14ac:dyDescent="0.25">
      <c r="A1921" t="str">
        <f>"1060025M00275    00"</f>
        <v>1060025M00275    00</v>
      </c>
      <c r="B1921" t="s">
        <v>4491</v>
      </c>
      <c r="C1921" t="s">
        <v>4492</v>
      </c>
      <c r="D1921" t="s">
        <v>20</v>
      </c>
      <c r="E1921" t="s">
        <v>39</v>
      </c>
      <c r="F1921">
        <v>0</v>
      </c>
      <c r="G1921">
        <v>0</v>
      </c>
      <c r="H1921">
        <v>2</v>
      </c>
      <c r="I1921" s="3">
        <v>1379.58</v>
      </c>
      <c r="J1921" s="3">
        <v>0</v>
      </c>
      <c r="L1921">
        <v>1004</v>
      </c>
      <c r="M1921" t="s">
        <v>4493</v>
      </c>
      <c r="N1921" t="s">
        <v>30</v>
      </c>
      <c r="O1921" t="s">
        <v>31</v>
      </c>
      <c r="P1921" t="str">
        <f>"15220"</f>
        <v>15220</v>
      </c>
    </row>
    <row r="1922" spans="1:16" x14ac:dyDescent="0.25">
      <c r="A1922" t="str">
        <f>"1060025M00320    00"</f>
        <v>1060025M00320    00</v>
      </c>
      <c r="B1922" t="s">
        <v>4494</v>
      </c>
      <c r="C1922" t="s">
        <v>4495</v>
      </c>
      <c r="E1922" t="s">
        <v>290</v>
      </c>
      <c r="F1922">
        <v>0</v>
      </c>
      <c r="G1922">
        <v>0</v>
      </c>
      <c r="H1922">
        <v>5</v>
      </c>
      <c r="I1922" s="3">
        <v>6828.82</v>
      </c>
      <c r="J1922" s="3">
        <v>1844.47</v>
      </c>
      <c r="K1922" t="s">
        <v>4496</v>
      </c>
      <c r="L1922">
        <v>875</v>
      </c>
      <c r="M1922" t="s">
        <v>2387</v>
      </c>
      <c r="N1922" t="s">
        <v>30</v>
      </c>
      <c r="O1922" t="s">
        <v>31</v>
      </c>
      <c r="P1922" t="str">
        <f>"15219"</f>
        <v>15219</v>
      </c>
    </row>
    <row r="1923" spans="1:16" x14ac:dyDescent="0.25">
      <c r="A1923" t="str">
        <f>"1060025M00332    00"</f>
        <v>1060025M00332    00</v>
      </c>
      <c r="B1923" t="s">
        <v>4494</v>
      </c>
      <c r="C1923" t="s">
        <v>4497</v>
      </c>
      <c r="E1923" t="s">
        <v>21</v>
      </c>
      <c r="F1923">
        <v>0</v>
      </c>
      <c r="G1923">
        <v>0</v>
      </c>
      <c r="H1923">
        <v>1</v>
      </c>
      <c r="I1923" s="3">
        <v>22.91</v>
      </c>
      <c r="J1923" s="3">
        <v>0</v>
      </c>
      <c r="K1923" t="s">
        <v>4496</v>
      </c>
      <c r="L1923">
        <v>875</v>
      </c>
      <c r="M1923" t="s">
        <v>2387</v>
      </c>
      <c r="N1923" t="s">
        <v>30</v>
      </c>
      <c r="O1923" t="s">
        <v>31</v>
      </c>
      <c r="P1923" t="str">
        <f>"15219"</f>
        <v>15219</v>
      </c>
    </row>
    <row r="1924" spans="1:16" x14ac:dyDescent="0.25">
      <c r="A1924" t="str">
        <f>"1060025M00346    00"</f>
        <v>1060025M00346    00</v>
      </c>
      <c r="B1924" t="s">
        <v>4498</v>
      </c>
      <c r="C1924" t="s">
        <v>4499</v>
      </c>
      <c r="D1924" t="s">
        <v>20</v>
      </c>
      <c r="E1924" t="s">
        <v>39</v>
      </c>
      <c r="F1924">
        <v>0</v>
      </c>
      <c r="G1924">
        <v>0</v>
      </c>
      <c r="H1924">
        <v>1</v>
      </c>
      <c r="I1924" s="3">
        <v>5556</v>
      </c>
      <c r="J1924" s="3">
        <v>0</v>
      </c>
      <c r="K1924" t="s">
        <v>4500</v>
      </c>
      <c r="L1924">
        <v>3001</v>
      </c>
      <c r="M1924" t="s">
        <v>330</v>
      </c>
      <c r="N1924" t="s">
        <v>331</v>
      </c>
      <c r="O1924" t="s">
        <v>108</v>
      </c>
      <c r="P1924" t="str">
        <f>"75063"</f>
        <v>75063</v>
      </c>
    </row>
    <row r="1925" spans="1:16" x14ac:dyDescent="0.25">
      <c r="A1925" t="str">
        <f>"1060025P00170000901"</f>
        <v>1060025P00170000901</v>
      </c>
      <c r="B1925" t="s">
        <v>4501</v>
      </c>
      <c r="C1925" t="s">
        <v>4502</v>
      </c>
      <c r="E1925" t="s">
        <v>513</v>
      </c>
      <c r="F1925">
        <v>0</v>
      </c>
      <c r="G1925">
        <v>0</v>
      </c>
      <c r="H1925">
        <v>1</v>
      </c>
      <c r="I1925" s="3">
        <v>284.66000000000003</v>
      </c>
      <c r="J1925" s="3">
        <v>291.77</v>
      </c>
      <c r="K1925" t="s">
        <v>603</v>
      </c>
      <c r="L1925">
        <v>650</v>
      </c>
      <c r="M1925" t="s">
        <v>604</v>
      </c>
      <c r="N1925" t="s">
        <v>605</v>
      </c>
      <c r="O1925" t="s">
        <v>606</v>
      </c>
      <c r="P1925" t="str">
        <f>"30308"</f>
        <v>30308</v>
      </c>
    </row>
    <row r="1926" spans="1:16" x14ac:dyDescent="0.25">
      <c r="A1926" t="str">
        <f>"1060025P001709   01"</f>
        <v>1060025P001709   01</v>
      </c>
      <c r="B1926" t="s">
        <v>4503</v>
      </c>
      <c r="C1926" t="s">
        <v>4502</v>
      </c>
      <c r="E1926" t="s">
        <v>513</v>
      </c>
      <c r="F1926">
        <v>0</v>
      </c>
      <c r="G1926">
        <v>0</v>
      </c>
      <c r="H1926">
        <v>3</v>
      </c>
      <c r="I1926" s="3">
        <v>1681.21</v>
      </c>
      <c r="J1926" s="3">
        <v>1921.88</v>
      </c>
      <c r="K1926" t="s">
        <v>603</v>
      </c>
      <c r="L1926">
        <v>110</v>
      </c>
      <c r="M1926" t="s">
        <v>4504</v>
      </c>
      <c r="N1926" t="s">
        <v>4505</v>
      </c>
      <c r="O1926" t="s">
        <v>692</v>
      </c>
      <c r="P1926" t="str">
        <f>"24042"</f>
        <v>24042</v>
      </c>
    </row>
    <row r="1927" spans="1:16" x14ac:dyDescent="0.25">
      <c r="A1927" t="str">
        <f>"1060025R00052    00"</f>
        <v>1060025R00052    00</v>
      </c>
      <c r="B1927" t="s">
        <v>4506</v>
      </c>
      <c r="C1927" t="s">
        <v>4507</v>
      </c>
      <c r="E1927" t="s">
        <v>39</v>
      </c>
      <c r="F1927">
        <v>0</v>
      </c>
      <c r="G1927">
        <v>0</v>
      </c>
      <c r="H1927">
        <v>1</v>
      </c>
      <c r="I1927" s="3">
        <v>28.17</v>
      </c>
      <c r="J1927" s="3">
        <v>0</v>
      </c>
      <c r="L1927">
        <v>253</v>
      </c>
      <c r="M1927" t="s">
        <v>833</v>
      </c>
      <c r="N1927" t="s">
        <v>30</v>
      </c>
      <c r="O1927" t="s">
        <v>31</v>
      </c>
      <c r="P1927" t="str">
        <f>"15219"</f>
        <v>15219</v>
      </c>
    </row>
    <row r="1928" spans="1:16" x14ac:dyDescent="0.25">
      <c r="A1928" t="str">
        <f>"1060025S00071    00"</f>
        <v>1060025S00071    00</v>
      </c>
      <c r="B1928" t="s">
        <v>4508</v>
      </c>
      <c r="C1928" t="s">
        <v>4509</v>
      </c>
      <c r="D1928" t="s">
        <v>20</v>
      </c>
      <c r="E1928" t="s">
        <v>39</v>
      </c>
      <c r="F1928">
        <v>0</v>
      </c>
      <c r="G1928">
        <v>0</v>
      </c>
      <c r="H1928">
        <v>13</v>
      </c>
      <c r="I1928" s="3">
        <v>729.02</v>
      </c>
      <c r="J1928" s="3">
        <v>376.14</v>
      </c>
      <c r="L1928">
        <v>2920</v>
      </c>
      <c r="M1928" t="s">
        <v>4510</v>
      </c>
      <c r="N1928" t="s">
        <v>30</v>
      </c>
      <c r="O1928" t="s">
        <v>31</v>
      </c>
      <c r="P1928" t="str">
        <f>"15219"</f>
        <v>15219</v>
      </c>
    </row>
    <row r="1929" spans="1:16" x14ac:dyDescent="0.25">
      <c r="A1929" t="str">
        <f>"1060026A00046    00"</f>
        <v>1060026A00046    00</v>
      </c>
      <c r="B1929" t="s">
        <v>4511</v>
      </c>
      <c r="C1929" t="s">
        <v>4512</v>
      </c>
      <c r="E1929" t="s">
        <v>290</v>
      </c>
      <c r="F1929">
        <v>0</v>
      </c>
      <c r="G1929">
        <v>0</v>
      </c>
      <c r="H1929">
        <v>1</v>
      </c>
      <c r="I1929" s="3">
        <v>3053.43</v>
      </c>
      <c r="J1929" s="3">
        <v>0</v>
      </c>
      <c r="K1929" t="s">
        <v>4513</v>
      </c>
      <c r="L1929">
        <v>2014</v>
      </c>
      <c r="M1929" t="s">
        <v>4514</v>
      </c>
      <c r="N1929" t="s">
        <v>30</v>
      </c>
      <c r="O1929" t="s">
        <v>31</v>
      </c>
      <c r="P1929" t="str">
        <f>"15214"</f>
        <v>15214</v>
      </c>
    </row>
    <row r="1930" spans="1:16" x14ac:dyDescent="0.25">
      <c r="A1930" t="str">
        <f>"1060026A00092    00"</f>
        <v>1060026A00092    00</v>
      </c>
      <c r="B1930" t="s">
        <v>4515</v>
      </c>
      <c r="C1930" t="s">
        <v>4516</v>
      </c>
      <c r="E1930" t="s">
        <v>39</v>
      </c>
      <c r="F1930">
        <v>0</v>
      </c>
      <c r="G1930">
        <v>0</v>
      </c>
      <c r="H1930">
        <v>3</v>
      </c>
      <c r="I1930" s="3">
        <v>1443.44</v>
      </c>
      <c r="J1930" s="3">
        <v>580.46</v>
      </c>
      <c r="L1930">
        <v>1330</v>
      </c>
      <c r="M1930" t="s">
        <v>1695</v>
      </c>
      <c r="N1930" t="s">
        <v>30</v>
      </c>
      <c r="O1930" t="s">
        <v>31</v>
      </c>
      <c r="P1930" t="str">
        <f>"15217"</f>
        <v>15217</v>
      </c>
    </row>
    <row r="1931" spans="1:16" x14ac:dyDescent="0.25">
      <c r="A1931" t="str">
        <f>"1060026A00093    00"</f>
        <v>1060026A00093    00</v>
      </c>
      <c r="B1931" t="s">
        <v>4517</v>
      </c>
      <c r="C1931" t="s">
        <v>4518</v>
      </c>
      <c r="E1931" t="s">
        <v>39</v>
      </c>
      <c r="F1931">
        <v>0</v>
      </c>
      <c r="G1931">
        <v>0</v>
      </c>
      <c r="H1931">
        <v>2</v>
      </c>
      <c r="I1931" s="3">
        <v>78</v>
      </c>
      <c r="J1931" s="3">
        <v>42.3</v>
      </c>
      <c r="L1931">
        <v>1330</v>
      </c>
      <c r="M1931" t="s">
        <v>1695</v>
      </c>
      <c r="N1931" t="s">
        <v>30</v>
      </c>
      <c r="O1931" t="s">
        <v>31</v>
      </c>
      <c r="P1931" t="str">
        <f>"15217"</f>
        <v>15217</v>
      </c>
    </row>
    <row r="1932" spans="1:16" x14ac:dyDescent="0.25">
      <c r="A1932" t="str">
        <f>"1060026A00094    00"</f>
        <v>1060026A00094    00</v>
      </c>
      <c r="B1932" t="s">
        <v>4519</v>
      </c>
      <c r="C1932" t="s">
        <v>4518</v>
      </c>
      <c r="E1932" t="s">
        <v>39</v>
      </c>
      <c r="F1932">
        <v>0</v>
      </c>
      <c r="G1932">
        <v>0</v>
      </c>
      <c r="H1932">
        <v>4</v>
      </c>
      <c r="I1932" s="3">
        <v>57.28</v>
      </c>
      <c r="J1932" s="3">
        <v>63.41</v>
      </c>
      <c r="L1932">
        <v>1330</v>
      </c>
      <c r="M1932" t="s">
        <v>1695</v>
      </c>
      <c r="N1932" t="s">
        <v>30</v>
      </c>
      <c r="O1932" t="s">
        <v>31</v>
      </c>
      <c r="P1932" t="str">
        <f>"15217"</f>
        <v>15217</v>
      </c>
    </row>
    <row r="1933" spans="1:16" x14ac:dyDescent="0.25">
      <c r="A1933" t="str">
        <f>"1060026A00095    00"</f>
        <v>1060026A00095    00</v>
      </c>
      <c r="B1933" t="s">
        <v>4520</v>
      </c>
      <c r="C1933" t="s">
        <v>4521</v>
      </c>
      <c r="D1933" t="s">
        <v>20</v>
      </c>
      <c r="E1933" t="s">
        <v>39</v>
      </c>
      <c r="F1933">
        <v>0</v>
      </c>
      <c r="G1933">
        <v>0</v>
      </c>
      <c r="H1933">
        <v>8</v>
      </c>
      <c r="I1933" s="3">
        <v>3776.16</v>
      </c>
      <c r="J1933" s="3">
        <v>95.85</v>
      </c>
      <c r="L1933">
        <v>3636</v>
      </c>
      <c r="M1933" t="s">
        <v>614</v>
      </c>
      <c r="N1933" t="s">
        <v>30</v>
      </c>
      <c r="O1933" t="s">
        <v>31</v>
      </c>
      <c r="P1933" t="str">
        <f>"15201"</f>
        <v>15201</v>
      </c>
    </row>
    <row r="1934" spans="1:16" x14ac:dyDescent="0.25">
      <c r="A1934" t="str">
        <f>"1060026A00100    00"</f>
        <v>1060026A00100    00</v>
      </c>
      <c r="B1934" t="s">
        <v>4522</v>
      </c>
      <c r="C1934" t="s">
        <v>4523</v>
      </c>
      <c r="E1934" t="s">
        <v>39</v>
      </c>
      <c r="F1934">
        <v>0</v>
      </c>
      <c r="G1934">
        <v>0</v>
      </c>
      <c r="H1934">
        <v>1</v>
      </c>
      <c r="I1934" s="3">
        <v>562.82000000000005</v>
      </c>
      <c r="J1934" s="3">
        <v>154.77000000000001</v>
      </c>
      <c r="L1934">
        <v>1330</v>
      </c>
      <c r="M1934" t="s">
        <v>1695</v>
      </c>
      <c r="N1934" t="s">
        <v>30</v>
      </c>
      <c r="O1934" t="s">
        <v>31</v>
      </c>
      <c r="P1934" t="str">
        <f>"15217"</f>
        <v>15217</v>
      </c>
    </row>
    <row r="1935" spans="1:16" x14ac:dyDescent="0.25">
      <c r="A1935" t="str">
        <f>"1060026B00014    00"</f>
        <v>1060026B00014    00</v>
      </c>
      <c r="B1935" t="s">
        <v>4524</v>
      </c>
      <c r="C1935" t="s">
        <v>4525</v>
      </c>
      <c r="D1935" t="s">
        <v>57</v>
      </c>
      <c r="E1935" t="s">
        <v>39</v>
      </c>
      <c r="F1935">
        <v>0</v>
      </c>
      <c r="G1935">
        <v>0</v>
      </c>
      <c r="H1935">
        <v>1</v>
      </c>
      <c r="I1935" s="3">
        <v>442.8</v>
      </c>
      <c r="J1935" s="3">
        <v>0</v>
      </c>
      <c r="K1935" t="s">
        <v>4526</v>
      </c>
      <c r="L1935">
        <v>4759</v>
      </c>
      <c r="M1935" t="s">
        <v>614</v>
      </c>
      <c r="N1935" t="s">
        <v>30</v>
      </c>
      <c r="O1935" t="s">
        <v>31</v>
      </c>
      <c r="P1935" t="str">
        <f>"15224"</f>
        <v>15224</v>
      </c>
    </row>
    <row r="1936" spans="1:16" x14ac:dyDescent="0.25">
      <c r="A1936" t="str">
        <f>"1060026B00017AL  00"</f>
        <v>1060026B00017AL  00</v>
      </c>
      <c r="B1936" t="s">
        <v>4527</v>
      </c>
      <c r="C1936" t="s">
        <v>4528</v>
      </c>
      <c r="D1936" t="s">
        <v>20</v>
      </c>
      <c r="E1936" t="s">
        <v>39</v>
      </c>
      <c r="F1936">
        <v>0</v>
      </c>
      <c r="G1936">
        <v>0</v>
      </c>
      <c r="H1936">
        <v>1</v>
      </c>
      <c r="I1936" s="3">
        <v>224.91</v>
      </c>
      <c r="J1936" s="3">
        <v>0</v>
      </c>
      <c r="K1936" t="s">
        <v>4529</v>
      </c>
      <c r="L1936">
        <v>3734</v>
      </c>
      <c r="M1936" t="s">
        <v>614</v>
      </c>
      <c r="N1936" t="s">
        <v>30</v>
      </c>
      <c r="O1936" t="s">
        <v>31</v>
      </c>
      <c r="P1936" t="str">
        <f>"15201"</f>
        <v>15201</v>
      </c>
    </row>
    <row r="1937" spans="1:16" x14ac:dyDescent="0.25">
      <c r="A1937" t="str">
        <f>"1060026B00029    00"</f>
        <v>1060026B00029    00</v>
      </c>
      <c r="B1937" t="s">
        <v>4530</v>
      </c>
      <c r="C1937" t="s">
        <v>4531</v>
      </c>
      <c r="D1937" t="s">
        <v>20</v>
      </c>
      <c r="E1937" t="s">
        <v>21</v>
      </c>
      <c r="F1937">
        <v>0</v>
      </c>
      <c r="G1937">
        <v>0</v>
      </c>
      <c r="H1937">
        <v>2</v>
      </c>
      <c r="I1937" s="3">
        <v>6325.7</v>
      </c>
      <c r="J1937" s="3">
        <v>48.51</v>
      </c>
      <c r="L1937">
        <v>5508</v>
      </c>
      <c r="M1937" t="s">
        <v>4532</v>
      </c>
      <c r="N1937" t="s">
        <v>30</v>
      </c>
      <c r="O1937" t="s">
        <v>31</v>
      </c>
      <c r="P1937" t="str">
        <f>"15232"</f>
        <v>15232</v>
      </c>
    </row>
    <row r="1938" spans="1:16" x14ac:dyDescent="0.25">
      <c r="A1938" t="str">
        <f>"1060026B00048    00"</f>
        <v>1060026B00048    00</v>
      </c>
      <c r="B1938" t="s">
        <v>4533</v>
      </c>
      <c r="C1938" t="s">
        <v>4534</v>
      </c>
      <c r="D1938" t="s">
        <v>20</v>
      </c>
      <c r="E1938" t="s">
        <v>39</v>
      </c>
      <c r="F1938">
        <v>0</v>
      </c>
      <c r="G1938">
        <v>0</v>
      </c>
      <c r="H1938">
        <v>4</v>
      </c>
      <c r="I1938" s="3">
        <v>6198.02</v>
      </c>
      <c r="J1938" s="3">
        <v>295.68</v>
      </c>
      <c r="L1938">
        <v>531</v>
      </c>
      <c r="M1938" t="s">
        <v>2058</v>
      </c>
      <c r="N1938" t="s">
        <v>2059</v>
      </c>
      <c r="O1938" t="s">
        <v>31</v>
      </c>
      <c r="P1938" t="str">
        <f>"15642"</f>
        <v>15642</v>
      </c>
    </row>
    <row r="1939" spans="1:16" x14ac:dyDescent="0.25">
      <c r="A1939" t="str">
        <f>"1060026B00049    00"</f>
        <v>1060026B00049    00</v>
      </c>
      <c r="B1939" t="s">
        <v>4535</v>
      </c>
      <c r="C1939" t="s">
        <v>4536</v>
      </c>
      <c r="D1939" t="s">
        <v>20</v>
      </c>
      <c r="E1939" t="s">
        <v>39</v>
      </c>
      <c r="F1939">
        <v>0</v>
      </c>
      <c r="G1939">
        <v>0</v>
      </c>
      <c r="H1939">
        <v>1</v>
      </c>
      <c r="I1939" s="3">
        <v>419.32</v>
      </c>
      <c r="J1939" s="3">
        <v>0</v>
      </c>
      <c r="L1939">
        <v>1185</v>
      </c>
      <c r="M1939" t="s">
        <v>4537</v>
      </c>
      <c r="N1939" t="s">
        <v>30</v>
      </c>
      <c r="O1939" t="s">
        <v>31</v>
      </c>
      <c r="P1939" t="str">
        <f>"15220"</f>
        <v>15220</v>
      </c>
    </row>
    <row r="1940" spans="1:16" x14ac:dyDescent="0.25">
      <c r="A1940" t="str">
        <f>"1060026B00050    00"</f>
        <v>1060026B00050    00</v>
      </c>
      <c r="B1940" t="s">
        <v>4538</v>
      </c>
      <c r="C1940" t="s">
        <v>4539</v>
      </c>
      <c r="D1940" t="s">
        <v>20</v>
      </c>
      <c r="E1940" t="s">
        <v>39</v>
      </c>
      <c r="F1940">
        <v>0</v>
      </c>
      <c r="G1940">
        <v>0</v>
      </c>
      <c r="H1940">
        <v>1</v>
      </c>
      <c r="I1940" s="3">
        <v>353.07</v>
      </c>
      <c r="J1940" s="3">
        <v>0</v>
      </c>
      <c r="K1940" t="s">
        <v>417</v>
      </c>
      <c r="L1940">
        <v>3001</v>
      </c>
      <c r="M1940" t="s">
        <v>330</v>
      </c>
      <c r="N1940" t="s">
        <v>331</v>
      </c>
      <c r="O1940" t="s">
        <v>108</v>
      </c>
      <c r="P1940" t="str">
        <f>"75063"</f>
        <v>75063</v>
      </c>
    </row>
    <row r="1941" spans="1:16" x14ac:dyDescent="0.25">
      <c r="A1941" t="str">
        <f>"1060026B00051    00"</f>
        <v>1060026B00051    00</v>
      </c>
      <c r="B1941" t="s">
        <v>4540</v>
      </c>
      <c r="C1941" t="s">
        <v>4541</v>
      </c>
      <c r="D1941" t="s">
        <v>20</v>
      </c>
      <c r="E1941" t="s">
        <v>39</v>
      </c>
      <c r="F1941">
        <v>0</v>
      </c>
      <c r="G1941">
        <v>0</v>
      </c>
      <c r="H1941">
        <v>4</v>
      </c>
      <c r="I1941" s="3">
        <v>2259.52</v>
      </c>
      <c r="J1941" s="3">
        <v>237.29</v>
      </c>
      <c r="L1941">
        <v>3908</v>
      </c>
      <c r="M1941" t="s">
        <v>614</v>
      </c>
      <c r="N1941" t="s">
        <v>30</v>
      </c>
      <c r="O1941" t="s">
        <v>31</v>
      </c>
      <c r="P1941" t="str">
        <f>"15224"</f>
        <v>15224</v>
      </c>
    </row>
    <row r="1942" spans="1:16" x14ac:dyDescent="0.25">
      <c r="A1942" t="str">
        <f>"1060026B00322    00"</f>
        <v>1060026B00322    00</v>
      </c>
      <c r="B1942" t="s">
        <v>4542</v>
      </c>
      <c r="C1942" t="s">
        <v>4543</v>
      </c>
      <c r="D1942" t="s">
        <v>57</v>
      </c>
      <c r="E1942" t="s">
        <v>39</v>
      </c>
      <c r="F1942">
        <v>0</v>
      </c>
      <c r="G1942">
        <v>0</v>
      </c>
      <c r="H1942">
        <v>1</v>
      </c>
      <c r="I1942" s="3">
        <v>2193.2199999999998</v>
      </c>
      <c r="J1942" s="3">
        <v>610.62</v>
      </c>
      <c r="K1942" t="s">
        <v>400</v>
      </c>
      <c r="L1942">
        <v>3001</v>
      </c>
      <c r="M1942" t="s">
        <v>330</v>
      </c>
      <c r="N1942" t="s">
        <v>331</v>
      </c>
      <c r="O1942" t="s">
        <v>108</v>
      </c>
      <c r="P1942" t="str">
        <f>"75063"</f>
        <v>75063</v>
      </c>
    </row>
    <row r="1943" spans="1:16" x14ac:dyDescent="0.25">
      <c r="A1943" t="str">
        <f>"1060026C00130    00"</f>
        <v>1060026C00130    00</v>
      </c>
      <c r="B1943" t="s">
        <v>4544</v>
      </c>
      <c r="C1943" t="s">
        <v>4545</v>
      </c>
      <c r="D1943" t="s">
        <v>20</v>
      </c>
      <c r="E1943" t="s">
        <v>39</v>
      </c>
      <c r="F1943">
        <v>0</v>
      </c>
      <c r="G1943">
        <v>0</v>
      </c>
      <c r="H1943">
        <v>1</v>
      </c>
      <c r="I1943" s="3">
        <v>30.5</v>
      </c>
      <c r="J1943" s="3">
        <v>0</v>
      </c>
      <c r="L1943">
        <v>4740</v>
      </c>
      <c r="M1943" t="s">
        <v>4546</v>
      </c>
      <c r="N1943" t="s">
        <v>509</v>
      </c>
      <c r="O1943" t="s">
        <v>31</v>
      </c>
      <c r="P1943" t="str">
        <f>"19143"</f>
        <v>19143</v>
      </c>
    </row>
    <row r="1944" spans="1:16" x14ac:dyDescent="0.25">
      <c r="A1944" t="str">
        <f>"1060026C00132    00"</f>
        <v>1060026C00132    00</v>
      </c>
      <c r="B1944" t="s">
        <v>4544</v>
      </c>
      <c r="C1944" t="s">
        <v>4545</v>
      </c>
      <c r="D1944" t="s">
        <v>20</v>
      </c>
      <c r="E1944" t="s">
        <v>21</v>
      </c>
      <c r="F1944">
        <v>0</v>
      </c>
      <c r="G1944">
        <v>0</v>
      </c>
      <c r="H1944">
        <v>1</v>
      </c>
      <c r="I1944" s="3">
        <v>209.66</v>
      </c>
      <c r="J1944" s="3">
        <v>0</v>
      </c>
      <c r="L1944">
        <v>4740</v>
      </c>
      <c r="M1944" t="s">
        <v>4546</v>
      </c>
      <c r="N1944" t="s">
        <v>509</v>
      </c>
      <c r="O1944" t="s">
        <v>31</v>
      </c>
      <c r="P1944" t="str">
        <f>"19143"</f>
        <v>19143</v>
      </c>
    </row>
    <row r="1945" spans="1:16" x14ac:dyDescent="0.25">
      <c r="A1945" t="str">
        <f>"1060026C00141    00"</f>
        <v>1060026C00141    00</v>
      </c>
      <c r="B1945" t="s">
        <v>4547</v>
      </c>
      <c r="C1945" t="s">
        <v>4548</v>
      </c>
      <c r="D1945" t="s">
        <v>20</v>
      </c>
      <c r="E1945" t="s">
        <v>21</v>
      </c>
      <c r="F1945">
        <v>0</v>
      </c>
      <c r="G1945">
        <v>0</v>
      </c>
      <c r="H1945">
        <v>1</v>
      </c>
      <c r="I1945" s="3">
        <v>45.74</v>
      </c>
      <c r="J1945" s="3">
        <v>0</v>
      </c>
      <c r="K1945" t="s">
        <v>4549</v>
      </c>
      <c r="L1945">
        <v>2096</v>
      </c>
      <c r="M1945" t="s">
        <v>2837</v>
      </c>
      <c r="N1945" t="s">
        <v>30</v>
      </c>
      <c r="O1945" t="s">
        <v>31</v>
      </c>
      <c r="P1945" t="str">
        <f>"15226"</f>
        <v>15226</v>
      </c>
    </row>
    <row r="1946" spans="1:16" x14ac:dyDescent="0.25">
      <c r="A1946" t="str">
        <f>"1060026C00145    00"</f>
        <v>1060026C00145    00</v>
      </c>
      <c r="B1946" t="s">
        <v>4547</v>
      </c>
      <c r="C1946" t="s">
        <v>4550</v>
      </c>
      <c r="D1946" t="s">
        <v>20</v>
      </c>
      <c r="E1946" t="s">
        <v>21</v>
      </c>
      <c r="F1946">
        <v>0</v>
      </c>
      <c r="G1946">
        <v>0</v>
      </c>
      <c r="H1946">
        <v>1</v>
      </c>
      <c r="I1946" s="3">
        <v>285.92</v>
      </c>
      <c r="J1946" s="3">
        <v>0</v>
      </c>
      <c r="K1946" t="s">
        <v>4549</v>
      </c>
      <c r="L1946">
        <v>2096</v>
      </c>
      <c r="M1946" t="s">
        <v>2837</v>
      </c>
      <c r="N1946" t="s">
        <v>30</v>
      </c>
      <c r="O1946" t="s">
        <v>31</v>
      </c>
      <c r="P1946" t="str">
        <f>"15226"</f>
        <v>15226</v>
      </c>
    </row>
    <row r="1947" spans="1:16" x14ac:dyDescent="0.25">
      <c r="A1947" t="str">
        <f>"1060026C00146    00"</f>
        <v>1060026C00146    00</v>
      </c>
      <c r="B1947" t="s">
        <v>4547</v>
      </c>
      <c r="C1947" t="s">
        <v>4550</v>
      </c>
      <c r="D1947" t="s">
        <v>20</v>
      </c>
      <c r="E1947" t="s">
        <v>21</v>
      </c>
      <c r="F1947">
        <v>0</v>
      </c>
      <c r="G1947">
        <v>0</v>
      </c>
      <c r="H1947">
        <v>1</v>
      </c>
      <c r="I1947" s="3">
        <v>386.93</v>
      </c>
      <c r="J1947" s="3">
        <v>0</v>
      </c>
      <c r="K1947" t="s">
        <v>4549</v>
      </c>
      <c r="L1947">
        <v>5000</v>
      </c>
      <c r="M1947" t="s">
        <v>4551</v>
      </c>
      <c r="N1947" t="s">
        <v>3934</v>
      </c>
      <c r="O1947" t="s">
        <v>31</v>
      </c>
      <c r="P1947" t="str">
        <f>"15102"</f>
        <v>15102</v>
      </c>
    </row>
    <row r="1948" spans="1:16" x14ac:dyDescent="0.25">
      <c r="A1948" t="str">
        <f>"1060026E00039    00"</f>
        <v>1060026E00039    00</v>
      </c>
      <c r="B1948" t="s">
        <v>4552</v>
      </c>
      <c r="C1948" t="s">
        <v>4553</v>
      </c>
      <c r="E1948" t="s">
        <v>39</v>
      </c>
      <c r="F1948">
        <v>0</v>
      </c>
      <c r="G1948">
        <v>0</v>
      </c>
      <c r="H1948">
        <v>1</v>
      </c>
      <c r="I1948" s="3">
        <v>240.16</v>
      </c>
      <c r="J1948" s="3">
        <v>48.03</v>
      </c>
      <c r="K1948" t="s">
        <v>4554</v>
      </c>
      <c r="L1948">
        <v>25</v>
      </c>
      <c r="M1948" t="s">
        <v>4555</v>
      </c>
      <c r="N1948" t="s">
        <v>30</v>
      </c>
      <c r="O1948" t="s">
        <v>31</v>
      </c>
      <c r="P1948" t="str">
        <f>"15235"</f>
        <v>15235</v>
      </c>
    </row>
    <row r="1949" spans="1:16" x14ac:dyDescent="0.25">
      <c r="A1949" t="str">
        <f>"1060026E00041    00"</f>
        <v>1060026E00041    00</v>
      </c>
      <c r="B1949" t="s">
        <v>4556</v>
      </c>
      <c r="C1949" t="s">
        <v>4557</v>
      </c>
      <c r="D1949" t="s">
        <v>20</v>
      </c>
      <c r="E1949" t="s">
        <v>39</v>
      </c>
      <c r="F1949">
        <v>0</v>
      </c>
      <c r="G1949">
        <v>0</v>
      </c>
      <c r="H1949">
        <v>3</v>
      </c>
      <c r="I1949" s="3">
        <v>2904.77</v>
      </c>
      <c r="J1949" s="3">
        <v>3.05</v>
      </c>
      <c r="L1949">
        <v>25</v>
      </c>
      <c r="M1949" t="s">
        <v>4555</v>
      </c>
      <c r="N1949" t="s">
        <v>30</v>
      </c>
      <c r="O1949" t="s">
        <v>31</v>
      </c>
      <c r="P1949" t="str">
        <f>"15235"</f>
        <v>15235</v>
      </c>
    </row>
    <row r="1950" spans="1:16" x14ac:dyDescent="0.25">
      <c r="A1950" t="str">
        <f>"1060026E00042    00"</f>
        <v>1060026E00042    00</v>
      </c>
      <c r="B1950" t="s">
        <v>4558</v>
      </c>
      <c r="C1950" t="s">
        <v>4559</v>
      </c>
      <c r="D1950" t="s">
        <v>20</v>
      </c>
      <c r="E1950" t="s">
        <v>39</v>
      </c>
      <c r="F1950">
        <v>0</v>
      </c>
      <c r="G1950">
        <v>0</v>
      </c>
      <c r="H1950">
        <v>1</v>
      </c>
      <c r="I1950" s="3">
        <v>365.83</v>
      </c>
      <c r="J1950" s="3">
        <v>0</v>
      </c>
      <c r="L1950">
        <v>103</v>
      </c>
      <c r="M1950" t="s">
        <v>4560</v>
      </c>
      <c r="N1950" t="s">
        <v>30</v>
      </c>
      <c r="O1950" t="s">
        <v>31</v>
      </c>
      <c r="P1950" t="str">
        <f>"15239"</f>
        <v>15239</v>
      </c>
    </row>
    <row r="1951" spans="1:16" x14ac:dyDescent="0.25">
      <c r="A1951" t="str">
        <f>"1060026E00046    00"</f>
        <v>1060026E00046    00</v>
      </c>
      <c r="B1951" t="s">
        <v>4561</v>
      </c>
      <c r="C1951" t="s">
        <v>3761</v>
      </c>
      <c r="E1951" t="s">
        <v>21</v>
      </c>
      <c r="F1951">
        <v>0</v>
      </c>
      <c r="G1951">
        <v>0</v>
      </c>
      <c r="H1951">
        <v>4</v>
      </c>
      <c r="I1951" s="3">
        <v>445.38</v>
      </c>
      <c r="J1951" s="3">
        <v>128.32</v>
      </c>
      <c r="K1951" t="s">
        <v>4562</v>
      </c>
      <c r="L1951">
        <v>1226</v>
      </c>
      <c r="M1951" t="s">
        <v>2387</v>
      </c>
      <c r="N1951" t="s">
        <v>30</v>
      </c>
      <c r="O1951" t="s">
        <v>31</v>
      </c>
      <c r="P1951" t="str">
        <f>"15219"</f>
        <v>15219</v>
      </c>
    </row>
    <row r="1952" spans="1:16" x14ac:dyDescent="0.25">
      <c r="A1952" t="str">
        <f>"1060026E00053    00"</f>
        <v>1060026E00053    00</v>
      </c>
      <c r="B1952" t="s">
        <v>4563</v>
      </c>
      <c r="C1952" t="s">
        <v>3761</v>
      </c>
      <c r="D1952" t="s">
        <v>20</v>
      </c>
      <c r="E1952" t="s">
        <v>21</v>
      </c>
      <c r="F1952">
        <v>0</v>
      </c>
      <c r="G1952">
        <v>0</v>
      </c>
      <c r="H1952">
        <v>4</v>
      </c>
      <c r="I1952" s="3">
        <v>143.36000000000001</v>
      </c>
      <c r="J1952" s="3">
        <v>17.649999999999999</v>
      </c>
      <c r="L1952">
        <v>2037</v>
      </c>
      <c r="M1952" t="s">
        <v>4479</v>
      </c>
      <c r="N1952" t="s">
        <v>30</v>
      </c>
      <c r="O1952" t="s">
        <v>31</v>
      </c>
      <c r="P1952" t="str">
        <f>"15219"</f>
        <v>15219</v>
      </c>
    </row>
    <row r="1953" spans="1:16" x14ac:dyDescent="0.25">
      <c r="A1953" t="str">
        <f>"1060026E00061    00"</f>
        <v>1060026E00061    00</v>
      </c>
      <c r="B1953" t="s">
        <v>4564</v>
      </c>
      <c r="C1953" t="s">
        <v>4565</v>
      </c>
      <c r="D1953" t="s">
        <v>20</v>
      </c>
      <c r="E1953" t="s">
        <v>39</v>
      </c>
      <c r="F1953">
        <v>0</v>
      </c>
      <c r="G1953">
        <v>0</v>
      </c>
      <c r="H1953">
        <v>1</v>
      </c>
      <c r="I1953" s="3">
        <v>962.54</v>
      </c>
      <c r="J1953" s="3">
        <v>0</v>
      </c>
      <c r="K1953" t="s">
        <v>4566</v>
      </c>
      <c r="L1953">
        <v>5525</v>
      </c>
      <c r="M1953" t="s">
        <v>4567</v>
      </c>
      <c r="N1953" t="s">
        <v>30</v>
      </c>
      <c r="O1953" t="s">
        <v>31</v>
      </c>
      <c r="P1953" t="str">
        <f>"15206"</f>
        <v>15206</v>
      </c>
    </row>
    <row r="1954" spans="1:16" x14ac:dyDescent="0.25">
      <c r="A1954" t="str">
        <f>"1060026E00062    00"</f>
        <v>1060026E00062    00</v>
      </c>
      <c r="B1954" t="s">
        <v>4568</v>
      </c>
      <c r="C1954" t="s">
        <v>4569</v>
      </c>
      <c r="D1954" t="s">
        <v>20</v>
      </c>
      <c r="E1954" t="s">
        <v>39</v>
      </c>
      <c r="F1954">
        <v>0</v>
      </c>
      <c r="G1954">
        <v>0</v>
      </c>
      <c r="H1954">
        <v>2</v>
      </c>
      <c r="I1954" s="3">
        <v>1509.56</v>
      </c>
      <c r="J1954" s="3">
        <v>0</v>
      </c>
      <c r="K1954" t="s">
        <v>4570</v>
      </c>
      <c r="L1954">
        <v>3235</v>
      </c>
      <c r="M1954" t="s">
        <v>3532</v>
      </c>
      <c r="N1954" t="s">
        <v>30</v>
      </c>
      <c r="O1954" t="s">
        <v>31</v>
      </c>
      <c r="P1954" t="str">
        <f>"15219"</f>
        <v>15219</v>
      </c>
    </row>
    <row r="1955" spans="1:16" x14ac:dyDescent="0.25">
      <c r="A1955" t="str">
        <f>"1060026E00063    00"</f>
        <v>1060026E00063    00</v>
      </c>
      <c r="B1955" t="s">
        <v>4571</v>
      </c>
      <c r="C1955" t="s">
        <v>4572</v>
      </c>
      <c r="D1955" t="s">
        <v>20</v>
      </c>
      <c r="E1955" t="s">
        <v>39</v>
      </c>
      <c r="F1955">
        <v>0</v>
      </c>
      <c r="G1955">
        <v>0</v>
      </c>
      <c r="H1955">
        <v>2</v>
      </c>
      <c r="I1955" s="3">
        <v>19.079999999999998</v>
      </c>
      <c r="J1955" s="3">
        <v>0</v>
      </c>
      <c r="K1955" t="s">
        <v>4570</v>
      </c>
      <c r="L1955">
        <v>3235</v>
      </c>
      <c r="M1955" t="s">
        <v>3532</v>
      </c>
      <c r="N1955" t="s">
        <v>30</v>
      </c>
      <c r="O1955" t="s">
        <v>31</v>
      </c>
      <c r="P1955" t="str">
        <f>"15219"</f>
        <v>15219</v>
      </c>
    </row>
    <row r="1956" spans="1:16" x14ac:dyDescent="0.25">
      <c r="A1956" t="str">
        <f>"1060026E00070    00"</f>
        <v>1060026E00070    00</v>
      </c>
      <c r="B1956" t="s">
        <v>4573</v>
      </c>
      <c r="C1956" t="s">
        <v>4574</v>
      </c>
      <c r="D1956" t="s">
        <v>20</v>
      </c>
      <c r="E1956" t="s">
        <v>39</v>
      </c>
      <c r="F1956">
        <v>0</v>
      </c>
      <c r="G1956">
        <v>0</v>
      </c>
      <c r="H1956">
        <v>3</v>
      </c>
      <c r="I1956" s="3">
        <v>2413.86</v>
      </c>
      <c r="J1956" s="3">
        <v>234.77</v>
      </c>
      <c r="L1956">
        <v>3225</v>
      </c>
      <c r="M1956" t="s">
        <v>3532</v>
      </c>
      <c r="N1956" t="s">
        <v>30</v>
      </c>
      <c r="O1956" t="s">
        <v>31</v>
      </c>
      <c r="P1956" t="str">
        <f>"15219"</f>
        <v>15219</v>
      </c>
    </row>
    <row r="1957" spans="1:16" x14ac:dyDescent="0.25">
      <c r="A1957" t="str">
        <f>"1060026E00101    00"</f>
        <v>1060026E00101    00</v>
      </c>
      <c r="B1957" t="s">
        <v>4575</v>
      </c>
      <c r="C1957" t="s">
        <v>4576</v>
      </c>
      <c r="D1957" t="s">
        <v>20</v>
      </c>
      <c r="E1957" t="s">
        <v>39</v>
      </c>
      <c r="F1957">
        <v>0</v>
      </c>
      <c r="G1957">
        <v>0</v>
      </c>
      <c r="H1957">
        <v>6</v>
      </c>
      <c r="I1957" s="3">
        <v>1438.12</v>
      </c>
      <c r="J1957" s="3">
        <v>322.52</v>
      </c>
      <c r="L1957">
        <v>1027</v>
      </c>
      <c r="M1957" t="s">
        <v>2387</v>
      </c>
      <c r="N1957" t="s">
        <v>30</v>
      </c>
      <c r="O1957" t="s">
        <v>31</v>
      </c>
      <c r="P1957" t="str">
        <f>"15219"</f>
        <v>15219</v>
      </c>
    </row>
    <row r="1958" spans="1:16" x14ac:dyDescent="0.25">
      <c r="A1958" t="str">
        <f>"1060026E00114    00"</f>
        <v>1060026E00114    00</v>
      </c>
      <c r="B1958" t="s">
        <v>4577</v>
      </c>
      <c r="C1958" t="s">
        <v>512</v>
      </c>
      <c r="D1958" t="s">
        <v>20</v>
      </c>
      <c r="E1958" t="s">
        <v>21</v>
      </c>
      <c r="F1958">
        <v>0</v>
      </c>
      <c r="G1958">
        <v>0</v>
      </c>
      <c r="H1958">
        <v>12</v>
      </c>
      <c r="I1958" s="3">
        <v>1071.24</v>
      </c>
      <c r="J1958" s="3">
        <v>749.15</v>
      </c>
      <c r="L1958">
        <v>3428</v>
      </c>
      <c r="M1958" t="s">
        <v>3503</v>
      </c>
      <c r="N1958" t="s">
        <v>30</v>
      </c>
      <c r="O1958" t="s">
        <v>31</v>
      </c>
      <c r="P1958" t="str">
        <f>"15219"</f>
        <v>15219</v>
      </c>
    </row>
    <row r="1959" spans="1:16" x14ac:dyDescent="0.25">
      <c r="A1959" t="str">
        <f>"1060026E00156    00"</f>
        <v>1060026E00156    00</v>
      </c>
      <c r="B1959" t="s">
        <v>3488</v>
      </c>
      <c r="C1959" t="s">
        <v>4578</v>
      </c>
      <c r="D1959" t="s">
        <v>20</v>
      </c>
      <c r="E1959" t="s">
        <v>39</v>
      </c>
      <c r="F1959">
        <v>0</v>
      </c>
      <c r="G1959">
        <v>0</v>
      </c>
      <c r="H1959">
        <v>5</v>
      </c>
      <c r="I1959" s="3">
        <v>2488.4499999999998</v>
      </c>
      <c r="J1959" s="3">
        <v>341.86</v>
      </c>
      <c r="L1959">
        <v>309</v>
      </c>
      <c r="M1959" t="s">
        <v>4579</v>
      </c>
      <c r="N1959" t="s">
        <v>30</v>
      </c>
      <c r="O1959" t="s">
        <v>31</v>
      </c>
      <c r="P1959" t="str">
        <f>"15216"</f>
        <v>15216</v>
      </c>
    </row>
    <row r="1960" spans="1:16" x14ac:dyDescent="0.25">
      <c r="A1960" t="str">
        <f>"1060026E00157    00"</f>
        <v>1060026E00157    00</v>
      </c>
      <c r="B1960" t="s">
        <v>4580</v>
      </c>
      <c r="C1960" t="s">
        <v>4581</v>
      </c>
      <c r="D1960" t="s">
        <v>20</v>
      </c>
      <c r="E1960" t="s">
        <v>39</v>
      </c>
      <c r="F1960">
        <v>0</v>
      </c>
      <c r="G1960">
        <v>0</v>
      </c>
      <c r="H1960">
        <v>1</v>
      </c>
      <c r="I1960" s="3">
        <v>983.51</v>
      </c>
      <c r="J1960" s="3">
        <v>0</v>
      </c>
      <c r="L1960">
        <v>1102</v>
      </c>
      <c r="M1960" t="s">
        <v>2387</v>
      </c>
      <c r="N1960" t="s">
        <v>30</v>
      </c>
      <c r="O1960" t="s">
        <v>31</v>
      </c>
      <c r="P1960" t="str">
        <f t="shared" ref="P1960:P1974" si="30">"15219"</f>
        <v>15219</v>
      </c>
    </row>
    <row r="1961" spans="1:16" x14ac:dyDescent="0.25">
      <c r="A1961" t="str">
        <f>"1060026E00170    00"</f>
        <v>1060026E00170    00</v>
      </c>
      <c r="B1961" t="s">
        <v>4582</v>
      </c>
      <c r="C1961" t="s">
        <v>3761</v>
      </c>
      <c r="E1961" t="s">
        <v>39</v>
      </c>
      <c r="F1961">
        <v>0</v>
      </c>
      <c r="G1961">
        <v>0</v>
      </c>
      <c r="H1961">
        <v>4</v>
      </c>
      <c r="I1961" s="3">
        <v>51.64</v>
      </c>
      <c r="J1961" s="3">
        <v>15.2</v>
      </c>
      <c r="K1961" t="s">
        <v>4562</v>
      </c>
      <c r="L1961">
        <v>1226</v>
      </c>
      <c r="M1961" t="s">
        <v>2387</v>
      </c>
      <c r="N1961" t="s">
        <v>30</v>
      </c>
      <c r="O1961" t="s">
        <v>31</v>
      </c>
      <c r="P1961" t="str">
        <f t="shared" si="30"/>
        <v>15219</v>
      </c>
    </row>
    <row r="1962" spans="1:16" x14ac:dyDescent="0.25">
      <c r="A1962" t="str">
        <f>"1060026E00171    00"</f>
        <v>1060026E00171    00</v>
      </c>
      <c r="B1962" t="s">
        <v>4582</v>
      </c>
      <c r="C1962" t="s">
        <v>4583</v>
      </c>
      <c r="E1962" t="s">
        <v>39</v>
      </c>
      <c r="F1962">
        <v>0</v>
      </c>
      <c r="G1962">
        <v>0</v>
      </c>
      <c r="H1962">
        <v>4</v>
      </c>
      <c r="I1962" s="3">
        <v>51.64</v>
      </c>
      <c r="J1962" s="3">
        <v>15.2</v>
      </c>
      <c r="K1962" t="s">
        <v>4562</v>
      </c>
      <c r="L1962">
        <v>1226</v>
      </c>
      <c r="M1962" t="s">
        <v>2387</v>
      </c>
      <c r="N1962" t="s">
        <v>30</v>
      </c>
      <c r="O1962" t="s">
        <v>31</v>
      </c>
      <c r="P1962" t="str">
        <f t="shared" si="30"/>
        <v>15219</v>
      </c>
    </row>
    <row r="1963" spans="1:16" x14ac:dyDescent="0.25">
      <c r="A1963" t="str">
        <f>"1060026E00173    00"</f>
        <v>1060026E00173    00</v>
      </c>
      <c r="B1963" t="s">
        <v>4582</v>
      </c>
      <c r="C1963" t="s">
        <v>4583</v>
      </c>
      <c r="E1963" t="s">
        <v>39</v>
      </c>
      <c r="F1963">
        <v>0</v>
      </c>
      <c r="G1963">
        <v>0</v>
      </c>
      <c r="H1963">
        <v>4</v>
      </c>
      <c r="I1963" s="3">
        <v>70.069999999999993</v>
      </c>
      <c r="J1963" s="3">
        <v>20.63</v>
      </c>
      <c r="K1963" t="s">
        <v>4562</v>
      </c>
      <c r="L1963">
        <v>1226</v>
      </c>
      <c r="M1963" t="s">
        <v>2387</v>
      </c>
      <c r="N1963" t="s">
        <v>30</v>
      </c>
      <c r="O1963" t="s">
        <v>31</v>
      </c>
      <c r="P1963" t="str">
        <f t="shared" si="30"/>
        <v>15219</v>
      </c>
    </row>
    <row r="1964" spans="1:16" x14ac:dyDescent="0.25">
      <c r="A1964" t="str">
        <f>"1060026E00174    00"</f>
        <v>1060026E00174    00</v>
      </c>
      <c r="B1964" t="s">
        <v>4582</v>
      </c>
      <c r="C1964" t="s">
        <v>4583</v>
      </c>
      <c r="E1964" t="s">
        <v>39</v>
      </c>
      <c r="F1964">
        <v>0</v>
      </c>
      <c r="G1964">
        <v>0</v>
      </c>
      <c r="H1964">
        <v>4</v>
      </c>
      <c r="I1964" s="3">
        <v>51.64</v>
      </c>
      <c r="J1964" s="3">
        <v>15.2</v>
      </c>
      <c r="K1964" t="s">
        <v>4562</v>
      </c>
      <c r="L1964">
        <v>1226</v>
      </c>
      <c r="M1964" t="s">
        <v>2387</v>
      </c>
      <c r="N1964" t="s">
        <v>30</v>
      </c>
      <c r="O1964" t="s">
        <v>31</v>
      </c>
      <c r="P1964" t="str">
        <f t="shared" si="30"/>
        <v>15219</v>
      </c>
    </row>
    <row r="1965" spans="1:16" x14ac:dyDescent="0.25">
      <c r="A1965" t="str">
        <f>"1060026E00175    00"</f>
        <v>1060026E00175    00</v>
      </c>
      <c r="B1965" t="s">
        <v>4582</v>
      </c>
      <c r="C1965" t="s">
        <v>3761</v>
      </c>
      <c r="E1965" t="s">
        <v>39</v>
      </c>
      <c r="F1965">
        <v>0</v>
      </c>
      <c r="G1965">
        <v>0</v>
      </c>
      <c r="H1965">
        <v>4</v>
      </c>
      <c r="I1965" s="3">
        <v>51.64</v>
      </c>
      <c r="J1965" s="3">
        <v>15.2</v>
      </c>
      <c r="K1965" t="s">
        <v>4562</v>
      </c>
      <c r="L1965">
        <v>1226</v>
      </c>
      <c r="M1965" t="s">
        <v>2387</v>
      </c>
      <c r="N1965" t="s">
        <v>30</v>
      </c>
      <c r="O1965" t="s">
        <v>31</v>
      </c>
      <c r="P1965" t="str">
        <f t="shared" si="30"/>
        <v>15219</v>
      </c>
    </row>
    <row r="1966" spans="1:16" x14ac:dyDescent="0.25">
      <c r="A1966" t="str">
        <f>"1060026E00178    00"</f>
        <v>1060026E00178    00</v>
      </c>
      <c r="B1966" t="s">
        <v>4584</v>
      </c>
      <c r="C1966" t="s">
        <v>4585</v>
      </c>
      <c r="D1966" t="s">
        <v>20</v>
      </c>
      <c r="E1966" t="s">
        <v>39</v>
      </c>
      <c r="F1966">
        <v>0</v>
      </c>
      <c r="G1966">
        <v>0</v>
      </c>
      <c r="H1966">
        <v>13</v>
      </c>
      <c r="I1966" s="3">
        <v>403.29</v>
      </c>
      <c r="J1966" s="3">
        <v>384.47</v>
      </c>
      <c r="L1966">
        <v>3312</v>
      </c>
      <c r="M1966" t="s">
        <v>4586</v>
      </c>
      <c r="N1966" t="s">
        <v>30</v>
      </c>
      <c r="O1966" t="s">
        <v>31</v>
      </c>
      <c r="P1966" t="str">
        <f t="shared" si="30"/>
        <v>15219</v>
      </c>
    </row>
    <row r="1967" spans="1:16" x14ac:dyDescent="0.25">
      <c r="A1967" t="str">
        <f>"1060026E00179    00"</f>
        <v>1060026E00179    00</v>
      </c>
      <c r="B1967" t="s">
        <v>4561</v>
      </c>
      <c r="C1967" t="s">
        <v>3761</v>
      </c>
      <c r="E1967" t="s">
        <v>39</v>
      </c>
      <c r="F1967">
        <v>0</v>
      </c>
      <c r="G1967">
        <v>0</v>
      </c>
      <c r="H1967">
        <v>4</v>
      </c>
      <c r="I1967" s="3">
        <v>73.73</v>
      </c>
      <c r="J1967" s="3">
        <v>21.69</v>
      </c>
      <c r="K1967" t="s">
        <v>4562</v>
      </c>
      <c r="L1967">
        <v>1226</v>
      </c>
      <c r="M1967" t="s">
        <v>2387</v>
      </c>
      <c r="N1967" t="s">
        <v>30</v>
      </c>
      <c r="O1967" t="s">
        <v>31</v>
      </c>
      <c r="P1967" t="str">
        <f t="shared" si="30"/>
        <v>15219</v>
      </c>
    </row>
    <row r="1968" spans="1:16" x14ac:dyDescent="0.25">
      <c r="A1968" t="str">
        <f>"1060026E00180    00"</f>
        <v>1060026E00180    00</v>
      </c>
      <c r="B1968" t="s">
        <v>4561</v>
      </c>
      <c r="C1968" t="s">
        <v>4585</v>
      </c>
      <c r="E1968" t="s">
        <v>39</v>
      </c>
      <c r="F1968">
        <v>0</v>
      </c>
      <c r="G1968">
        <v>0</v>
      </c>
      <c r="H1968">
        <v>4</v>
      </c>
      <c r="I1968" s="3">
        <v>81.150000000000006</v>
      </c>
      <c r="J1968" s="3">
        <v>23.88</v>
      </c>
      <c r="K1968" t="s">
        <v>4562</v>
      </c>
      <c r="L1968">
        <v>1226</v>
      </c>
      <c r="M1968" t="s">
        <v>2387</v>
      </c>
      <c r="N1968" t="s">
        <v>30</v>
      </c>
      <c r="O1968" t="s">
        <v>31</v>
      </c>
      <c r="P1968" t="str">
        <f t="shared" si="30"/>
        <v>15219</v>
      </c>
    </row>
    <row r="1969" spans="1:16" x14ac:dyDescent="0.25">
      <c r="A1969" t="str">
        <f>"1060026E00181    00"</f>
        <v>1060026E00181    00</v>
      </c>
      <c r="B1969" t="s">
        <v>4582</v>
      </c>
      <c r="C1969" t="s">
        <v>4585</v>
      </c>
      <c r="E1969" t="s">
        <v>39</v>
      </c>
      <c r="F1969">
        <v>0</v>
      </c>
      <c r="G1969">
        <v>0</v>
      </c>
      <c r="H1969">
        <v>4</v>
      </c>
      <c r="I1969" s="3">
        <v>73.73</v>
      </c>
      <c r="J1969" s="3">
        <v>21.69</v>
      </c>
      <c r="K1969" t="s">
        <v>4562</v>
      </c>
      <c r="L1969">
        <v>1226</v>
      </c>
      <c r="M1969" t="s">
        <v>2387</v>
      </c>
      <c r="N1969" t="s">
        <v>30</v>
      </c>
      <c r="O1969" t="s">
        <v>31</v>
      </c>
      <c r="P1969" t="str">
        <f t="shared" si="30"/>
        <v>15219</v>
      </c>
    </row>
    <row r="1970" spans="1:16" x14ac:dyDescent="0.25">
      <c r="A1970" t="str">
        <f>"1060026E00182    00"</f>
        <v>1060026E00182    00</v>
      </c>
      <c r="B1970" t="s">
        <v>4582</v>
      </c>
      <c r="C1970" t="s">
        <v>4585</v>
      </c>
      <c r="E1970" t="s">
        <v>39</v>
      </c>
      <c r="F1970">
        <v>0</v>
      </c>
      <c r="G1970">
        <v>0</v>
      </c>
      <c r="H1970">
        <v>4</v>
      </c>
      <c r="I1970" s="3">
        <v>81.150000000000006</v>
      </c>
      <c r="J1970" s="3">
        <v>23.88</v>
      </c>
      <c r="K1970" t="s">
        <v>4562</v>
      </c>
      <c r="L1970">
        <v>1226</v>
      </c>
      <c r="M1970" t="s">
        <v>2387</v>
      </c>
      <c r="N1970" t="s">
        <v>30</v>
      </c>
      <c r="O1970" t="s">
        <v>31</v>
      </c>
      <c r="P1970" t="str">
        <f t="shared" si="30"/>
        <v>15219</v>
      </c>
    </row>
    <row r="1971" spans="1:16" x14ac:dyDescent="0.25">
      <c r="A1971" t="str">
        <f>"1060026E00185    00"</f>
        <v>1060026E00185    00</v>
      </c>
      <c r="B1971" t="s">
        <v>4561</v>
      </c>
      <c r="C1971" t="s">
        <v>4587</v>
      </c>
      <c r="E1971" t="s">
        <v>39</v>
      </c>
      <c r="F1971">
        <v>0</v>
      </c>
      <c r="G1971">
        <v>0</v>
      </c>
      <c r="H1971">
        <v>4</v>
      </c>
      <c r="I1971" s="3">
        <v>423.14</v>
      </c>
      <c r="J1971" s="3">
        <v>121.91</v>
      </c>
      <c r="K1971" t="s">
        <v>4562</v>
      </c>
      <c r="L1971">
        <v>1226</v>
      </c>
      <c r="M1971" t="s">
        <v>2387</v>
      </c>
      <c r="N1971" t="s">
        <v>30</v>
      </c>
      <c r="O1971" t="s">
        <v>31</v>
      </c>
      <c r="P1971" t="str">
        <f t="shared" si="30"/>
        <v>15219</v>
      </c>
    </row>
    <row r="1972" spans="1:16" x14ac:dyDescent="0.25">
      <c r="A1972" t="str">
        <f>"1060026E00186A   00"</f>
        <v>1060026E00186A   00</v>
      </c>
      <c r="B1972" t="s">
        <v>4561</v>
      </c>
      <c r="C1972" t="s">
        <v>3761</v>
      </c>
      <c r="E1972" t="s">
        <v>39</v>
      </c>
      <c r="F1972">
        <v>0</v>
      </c>
      <c r="G1972">
        <v>0</v>
      </c>
      <c r="H1972">
        <v>4</v>
      </c>
      <c r="I1972" s="3">
        <v>58.99</v>
      </c>
      <c r="J1972" s="3">
        <v>17.36</v>
      </c>
      <c r="K1972" t="s">
        <v>4562</v>
      </c>
      <c r="L1972">
        <v>1226</v>
      </c>
      <c r="M1972" t="s">
        <v>2387</v>
      </c>
      <c r="N1972" t="s">
        <v>30</v>
      </c>
      <c r="O1972" t="s">
        <v>31</v>
      </c>
      <c r="P1972" t="str">
        <f t="shared" si="30"/>
        <v>15219</v>
      </c>
    </row>
    <row r="1973" spans="1:16" x14ac:dyDescent="0.25">
      <c r="A1973" t="str">
        <f>"1060026E00187    00"</f>
        <v>1060026E00187    00</v>
      </c>
      <c r="B1973" t="s">
        <v>4588</v>
      </c>
      <c r="C1973" t="s">
        <v>3761</v>
      </c>
      <c r="D1973" t="s">
        <v>20</v>
      </c>
      <c r="E1973" t="s">
        <v>39</v>
      </c>
      <c r="F1973">
        <v>0</v>
      </c>
      <c r="G1973">
        <v>0</v>
      </c>
      <c r="H1973">
        <v>5</v>
      </c>
      <c r="I1973" s="3">
        <v>83.54</v>
      </c>
      <c r="J1973" s="3">
        <v>19.53</v>
      </c>
      <c r="L1973">
        <v>1226</v>
      </c>
      <c r="M1973" t="s">
        <v>2387</v>
      </c>
      <c r="N1973" t="s">
        <v>30</v>
      </c>
      <c r="O1973" t="s">
        <v>31</v>
      </c>
      <c r="P1973" t="str">
        <f t="shared" si="30"/>
        <v>15219</v>
      </c>
    </row>
    <row r="1974" spans="1:16" x14ac:dyDescent="0.25">
      <c r="A1974" t="str">
        <f>"1060026E00188    00"</f>
        <v>1060026E00188    00</v>
      </c>
      <c r="B1974" t="s">
        <v>4561</v>
      </c>
      <c r="C1974" t="s">
        <v>3761</v>
      </c>
      <c r="E1974" t="s">
        <v>39</v>
      </c>
      <c r="F1974">
        <v>0</v>
      </c>
      <c r="G1974">
        <v>0</v>
      </c>
      <c r="H1974">
        <v>4</v>
      </c>
      <c r="I1974" s="3">
        <v>66.38</v>
      </c>
      <c r="J1974" s="3">
        <v>19.53</v>
      </c>
      <c r="K1974" t="s">
        <v>4562</v>
      </c>
      <c r="L1974">
        <v>1226</v>
      </c>
      <c r="M1974" t="s">
        <v>2387</v>
      </c>
      <c r="N1974" t="s">
        <v>30</v>
      </c>
      <c r="O1974" t="s">
        <v>31</v>
      </c>
      <c r="P1974" t="str">
        <f t="shared" si="30"/>
        <v>15219</v>
      </c>
    </row>
    <row r="1975" spans="1:16" x14ac:dyDescent="0.25">
      <c r="A1975" t="str">
        <f>"1060026E00189    00"</f>
        <v>1060026E00189    00</v>
      </c>
      <c r="B1975" t="s">
        <v>4582</v>
      </c>
      <c r="C1975" t="s">
        <v>4589</v>
      </c>
      <c r="D1975" t="s">
        <v>20</v>
      </c>
      <c r="E1975" t="s">
        <v>39</v>
      </c>
      <c r="F1975">
        <v>0</v>
      </c>
      <c r="G1975">
        <v>0</v>
      </c>
      <c r="H1975">
        <v>6</v>
      </c>
      <c r="I1975" s="3">
        <v>8516.25</v>
      </c>
      <c r="J1975" s="3">
        <v>1910</v>
      </c>
      <c r="L1975">
        <v>5632</v>
      </c>
      <c r="M1975" t="s">
        <v>4590</v>
      </c>
      <c r="N1975" t="s">
        <v>30</v>
      </c>
      <c r="O1975" t="s">
        <v>31</v>
      </c>
      <c r="P1975" t="str">
        <f>"15201"</f>
        <v>15201</v>
      </c>
    </row>
    <row r="1976" spans="1:16" x14ac:dyDescent="0.25">
      <c r="A1976" t="str">
        <f>"1060026E00190    00"</f>
        <v>1060026E00190    00</v>
      </c>
      <c r="B1976" t="s">
        <v>4561</v>
      </c>
      <c r="C1976" t="s">
        <v>4591</v>
      </c>
      <c r="E1976" t="s">
        <v>21</v>
      </c>
      <c r="F1976">
        <v>0</v>
      </c>
      <c r="G1976">
        <v>0</v>
      </c>
      <c r="H1976">
        <v>4</v>
      </c>
      <c r="I1976" s="3">
        <v>393.46</v>
      </c>
      <c r="J1976" s="3">
        <v>113.36</v>
      </c>
      <c r="K1976" t="s">
        <v>4562</v>
      </c>
      <c r="L1976">
        <v>1226</v>
      </c>
      <c r="M1976" t="s">
        <v>2387</v>
      </c>
      <c r="N1976" t="s">
        <v>30</v>
      </c>
      <c r="O1976" t="s">
        <v>31</v>
      </c>
      <c r="P1976" t="str">
        <f t="shared" ref="P1976:P1986" si="31">"15219"</f>
        <v>15219</v>
      </c>
    </row>
    <row r="1977" spans="1:16" x14ac:dyDescent="0.25">
      <c r="A1977" t="str">
        <f>"1060026E00191    00"</f>
        <v>1060026E00191    00</v>
      </c>
      <c r="B1977" t="s">
        <v>4561</v>
      </c>
      <c r="C1977" t="s">
        <v>4591</v>
      </c>
      <c r="E1977" t="s">
        <v>21</v>
      </c>
      <c r="F1977">
        <v>0</v>
      </c>
      <c r="G1977">
        <v>0</v>
      </c>
      <c r="H1977">
        <v>4</v>
      </c>
      <c r="I1977" s="3">
        <v>393.46</v>
      </c>
      <c r="J1977" s="3">
        <v>113.36</v>
      </c>
      <c r="K1977" t="s">
        <v>4562</v>
      </c>
      <c r="L1977">
        <v>1226</v>
      </c>
      <c r="M1977" t="s">
        <v>2387</v>
      </c>
      <c r="N1977" t="s">
        <v>30</v>
      </c>
      <c r="O1977" t="s">
        <v>31</v>
      </c>
      <c r="P1977" t="str">
        <f t="shared" si="31"/>
        <v>15219</v>
      </c>
    </row>
    <row r="1978" spans="1:16" x14ac:dyDescent="0.25">
      <c r="A1978" t="str">
        <f>"1060026E00192    00"</f>
        <v>1060026E00192    00</v>
      </c>
      <c r="B1978" t="s">
        <v>4561</v>
      </c>
      <c r="C1978" t="s">
        <v>4591</v>
      </c>
      <c r="E1978" t="s">
        <v>21</v>
      </c>
      <c r="F1978">
        <v>0</v>
      </c>
      <c r="G1978">
        <v>0</v>
      </c>
      <c r="H1978">
        <v>4</v>
      </c>
      <c r="I1978" s="3">
        <v>423.14</v>
      </c>
      <c r="J1978" s="3">
        <v>121.91</v>
      </c>
      <c r="K1978" t="s">
        <v>4562</v>
      </c>
      <c r="L1978">
        <v>1226</v>
      </c>
      <c r="M1978" t="s">
        <v>2387</v>
      </c>
      <c r="N1978" t="s">
        <v>30</v>
      </c>
      <c r="O1978" t="s">
        <v>31</v>
      </c>
      <c r="P1978" t="str">
        <f t="shared" si="31"/>
        <v>15219</v>
      </c>
    </row>
    <row r="1979" spans="1:16" x14ac:dyDescent="0.25">
      <c r="A1979" t="str">
        <f>"1060026E00194    00"</f>
        <v>1060026E00194    00</v>
      </c>
      <c r="B1979" t="s">
        <v>4561</v>
      </c>
      <c r="C1979" t="s">
        <v>4591</v>
      </c>
      <c r="E1979" t="s">
        <v>21</v>
      </c>
      <c r="F1979">
        <v>0</v>
      </c>
      <c r="G1979">
        <v>0</v>
      </c>
      <c r="H1979">
        <v>4</v>
      </c>
      <c r="I1979" s="3">
        <v>452.85</v>
      </c>
      <c r="J1979" s="3">
        <v>130.46</v>
      </c>
      <c r="K1979" t="s">
        <v>4562</v>
      </c>
      <c r="L1979">
        <v>1226</v>
      </c>
      <c r="M1979" t="s">
        <v>2387</v>
      </c>
      <c r="N1979" t="s">
        <v>30</v>
      </c>
      <c r="O1979" t="s">
        <v>31</v>
      </c>
      <c r="P1979" t="str">
        <f t="shared" si="31"/>
        <v>15219</v>
      </c>
    </row>
    <row r="1980" spans="1:16" x14ac:dyDescent="0.25">
      <c r="A1980" t="str">
        <f>"1060026E00195    00"</f>
        <v>1060026E00195    00</v>
      </c>
      <c r="B1980" t="s">
        <v>4561</v>
      </c>
      <c r="C1980" t="s">
        <v>4591</v>
      </c>
      <c r="E1980" t="s">
        <v>21</v>
      </c>
      <c r="F1980">
        <v>0</v>
      </c>
      <c r="G1980">
        <v>0</v>
      </c>
      <c r="H1980">
        <v>4</v>
      </c>
      <c r="I1980" s="3">
        <v>816.53</v>
      </c>
      <c r="J1980" s="3">
        <v>235.25</v>
      </c>
      <c r="K1980" t="s">
        <v>4562</v>
      </c>
      <c r="L1980">
        <v>1226</v>
      </c>
      <c r="M1980" t="s">
        <v>2387</v>
      </c>
      <c r="N1980" t="s">
        <v>30</v>
      </c>
      <c r="O1980" t="s">
        <v>31</v>
      </c>
      <c r="P1980" t="str">
        <f t="shared" si="31"/>
        <v>15219</v>
      </c>
    </row>
    <row r="1981" spans="1:16" x14ac:dyDescent="0.25">
      <c r="A1981" t="str">
        <f>"1060026E00196    00"</f>
        <v>1060026E00196    00</v>
      </c>
      <c r="B1981" t="s">
        <v>4561</v>
      </c>
      <c r="C1981" t="s">
        <v>3761</v>
      </c>
      <c r="E1981" t="s">
        <v>39</v>
      </c>
      <c r="F1981">
        <v>0</v>
      </c>
      <c r="G1981">
        <v>0</v>
      </c>
      <c r="H1981">
        <v>4</v>
      </c>
      <c r="I1981" s="3">
        <v>73.73</v>
      </c>
      <c r="J1981" s="3">
        <v>21.69</v>
      </c>
      <c r="K1981" t="s">
        <v>4562</v>
      </c>
      <c r="L1981">
        <v>1226</v>
      </c>
      <c r="M1981" t="s">
        <v>2387</v>
      </c>
      <c r="N1981" t="s">
        <v>30</v>
      </c>
      <c r="O1981" t="s">
        <v>31</v>
      </c>
      <c r="P1981" t="str">
        <f t="shared" si="31"/>
        <v>15219</v>
      </c>
    </row>
    <row r="1982" spans="1:16" x14ac:dyDescent="0.25">
      <c r="A1982" t="str">
        <f>"1060026E00197    00"</f>
        <v>1060026E00197    00</v>
      </c>
      <c r="B1982" t="s">
        <v>4582</v>
      </c>
      <c r="C1982" t="s">
        <v>4591</v>
      </c>
      <c r="E1982" t="s">
        <v>21</v>
      </c>
      <c r="F1982">
        <v>0</v>
      </c>
      <c r="G1982">
        <v>0</v>
      </c>
      <c r="H1982">
        <v>4</v>
      </c>
      <c r="I1982" s="3">
        <v>645.83000000000004</v>
      </c>
      <c r="J1982" s="3">
        <v>186.07</v>
      </c>
      <c r="K1982" t="s">
        <v>4562</v>
      </c>
      <c r="L1982">
        <v>1226</v>
      </c>
      <c r="M1982" t="s">
        <v>2387</v>
      </c>
      <c r="N1982" t="s">
        <v>30</v>
      </c>
      <c r="O1982" t="s">
        <v>31</v>
      </c>
      <c r="P1982" t="str">
        <f t="shared" si="31"/>
        <v>15219</v>
      </c>
    </row>
    <row r="1983" spans="1:16" x14ac:dyDescent="0.25">
      <c r="A1983" t="str">
        <f>"1060026E00198    00"</f>
        <v>1060026E00198    00</v>
      </c>
      <c r="B1983" t="s">
        <v>4561</v>
      </c>
      <c r="C1983" t="s">
        <v>4592</v>
      </c>
      <c r="E1983" t="s">
        <v>21</v>
      </c>
      <c r="F1983">
        <v>0</v>
      </c>
      <c r="G1983">
        <v>0</v>
      </c>
      <c r="H1983">
        <v>4</v>
      </c>
      <c r="I1983" s="3">
        <v>9575.67</v>
      </c>
      <c r="J1983" s="3">
        <v>2758.8</v>
      </c>
      <c r="K1983" t="s">
        <v>4562</v>
      </c>
      <c r="L1983">
        <v>1226</v>
      </c>
      <c r="M1983" t="s">
        <v>2387</v>
      </c>
      <c r="N1983" t="s">
        <v>30</v>
      </c>
      <c r="O1983" t="s">
        <v>31</v>
      </c>
      <c r="P1983" t="str">
        <f t="shared" si="31"/>
        <v>15219</v>
      </c>
    </row>
    <row r="1984" spans="1:16" x14ac:dyDescent="0.25">
      <c r="A1984" t="str">
        <f>"1060026E00199    00"</f>
        <v>1060026E00199    00</v>
      </c>
      <c r="B1984" t="s">
        <v>4582</v>
      </c>
      <c r="C1984" t="s">
        <v>3761</v>
      </c>
      <c r="E1984" t="s">
        <v>21</v>
      </c>
      <c r="F1984">
        <v>0</v>
      </c>
      <c r="G1984">
        <v>0</v>
      </c>
      <c r="H1984">
        <v>4</v>
      </c>
      <c r="I1984" s="3">
        <v>497.37</v>
      </c>
      <c r="J1984" s="3">
        <v>143.29</v>
      </c>
      <c r="K1984" t="s">
        <v>4562</v>
      </c>
      <c r="L1984">
        <v>1226</v>
      </c>
      <c r="M1984" t="s">
        <v>2387</v>
      </c>
      <c r="N1984" t="s">
        <v>30</v>
      </c>
      <c r="O1984" t="s">
        <v>31</v>
      </c>
      <c r="P1984" t="str">
        <f t="shared" si="31"/>
        <v>15219</v>
      </c>
    </row>
    <row r="1985" spans="1:16" x14ac:dyDescent="0.25">
      <c r="A1985" t="str">
        <f>"1060026E00200    01"</f>
        <v>1060026E00200    01</v>
      </c>
      <c r="B1985" t="s">
        <v>4561</v>
      </c>
      <c r="C1985" t="s">
        <v>4585</v>
      </c>
      <c r="E1985" t="s">
        <v>21</v>
      </c>
      <c r="F1985">
        <v>0</v>
      </c>
      <c r="G1985">
        <v>0</v>
      </c>
      <c r="H1985">
        <v>4</v>
      </c>
      <c r="I1985" s="3">
        <v>478.72</v>
      </c>
      <c r="J1985" s="3">
        <v>139.03</v>
      </c>
      <c r="K1985" t="s">
        <v>4562</v>
      </c>
      <c r="L1985">
        <v>1226</v>
      </c>
      <c r="M1985" t="s">
        <v>2387</v>
      </c>
      <c r="N1985" t="s">
        <v>30</v>
      </c>
      <c r="O1985" t="s">
        <v>31</v>
      </c>
      <c r="P1985" t="str">
        <f t="shared" si="31"/>
        <v>15219</v>
      </c>
    </row>
    <row r="1986" spans="1:16" x14ac:dyDescent="0.25">
      <c r="A1986" t="str">
        <f>"1060026E00200000100"</f>
        <v>1060026E00200000100</v>
      </c>
      <c r="B1986" t="s">
        <v>4582</v>
      </c>
      <c r="C1986" t="s">
        <v>4591</v>
      </c>
      <c r="E1986" t="s">
        <v>21</v>
      </c>
      <c r="F1986">
        <v>0</v>
      </c>
      <c r="G1986">
        <v>0</v>
      </c>
      <c r="H1986">
        <v>4</v>
      </c>
      <c r="I1986" s="3">
        <v>309.76</v>
      </c>
      <c r="J1986" s="3">
        <v>91.18</v>
      </c>
      <c r="K1986" t="s">
        <v>4562</v>
      </c>
      <c r="L1986">
        <v>1226</v>
      </c>
      <c r="M1986" t="s">
        <v>2387</v>
      </c>
      <c r="N1986" t="s">
        <v>30</v>
      </c>
      <c r="O1986" t="s">
        <v>31</v>
      </c>
      <c r="P1986" t="str">
        <f t="shared" si="31"/>
        <v>15219</v>
      </c>
    </row>
    <row r="1987" spans="1:16" x14ac:dyDescent="0.25">
      <c r="A1987" t="str">
        <f>"1060026E00200A   00"</f>
        <v>1060026E00200A   00</v>
      </c>
      <c r="B1987" t="s">
        <v>4582</v>
      </c>
      <c r="C1987" t="s">
        <v>3761</v>
      </c>
      <c r="D1987" t="s">
        <v>20</v>
      </c>
      <c r="E1987" t="s">
        <v>39</v>
      </c>
      <c r="F1987">
        <v>0</v>
      </c>
      <c r="G1987">
        <v>0</v>
      </c>
      <c r="H1987">
        <v>4</v>
      </c>
      <c r="I1987" s="3">
        <v>37.76</v>
      </c>
      <c r="J1987" s="3">
        <v>4.66</v>
      </c>
      <c r="L1987">
        <v>5632</v>
      </c>
      <c r="M1987" t="s">
        <v>4590</v>
      </c>
      <c r="N1987" t="s">
        <v>30</v>
      </c>
      <c r="O1987" t="s">
        <v>31</v>
      </c>
      <c r="P1987" t="str">
        <f>"15201"</f>
        <v>15201</v>
      </c>
    </row>
    <row r="1988" spans="1:16" x14ac:dyDescent="0.25">
      <c r="A1988" t="str">
        <f>"1060026E00206    00"</f>
        <v>1060026E00206    00</v>
      </c>
      <c r="B1988" t="s">
        <v>4582</v>
      </c>
      <c r="C1988" t="s">
        <v>4593</v>
      </c>
      <c r="D1988" t="s">
        <v>20</v>
      </c>
      <c r="E1988" t="s">
        <v>39</v>
      </c>
      <c r="F1988">
        <v>0</v>
      </c>
      <c r="G1988">
        <v>0</v>
      </c>
      <c r="H1988">
        <v>6</v>
      </c>
      <c r="I1988" s="3">
        <v>4662.58</v>
      </c>
      <c r="J1988" s="3">
        <v>1045.72</v>
      </c>
      <c r="L1988">
        <v>5632</v>
      </c>
      <c r="M1988" t="s">
        <v>4590</v>
      </c>
      <c r="N1988" t="s">
        <v>30</v>
      </c>
      <c r="O1988" t="s">
        <v>31</v>
      </c>
      <c r="P1988" t="str">
        <f>"15201"</f>
        <v>15201</v>
      </c>
    </row>
    <row r="1989" spans="1:16" x14ac:dyDescent="0.25">
      <c r="A1989" t="str">
        <f>"1060026E00208    00"</f>
        <v>1060026E00208    00</v>
      </c>
      <c r="B1989" t="s">
        <v>4582</v>
      </c>
      <c r="C1989" t="s">
        <v>4585</v>
      </c>
      <c r="E1989" t="s">
        <v>39</v>
      </c>
      <c r="F1989">
        <v>0</v>
      </c>
      <c r="G1989">
        <v>0</v>
      </c>
      <c r="H1989">
        <v>4</v>
      </c>
      <c r="I1989" s="3">
        <v>73.73</v>
      </c>
      <c r="J1989" s="3">
        <v>21.69</v>
      </c>
      <c r="K1989" t="s">
        <v>4562</v>
      </c>
      <c r="L1989">
        <v>1226</v>
      </c>
      <c r="M1989" t="s">
        <v>2387</v>
      </c>
      <c r="N1989" t="s">
        <v>30</v>
      </c>
      <c r="O1989" t="s">
        <v>31</v>
      </c>
      <c r="P1989" t="str">
        <f>"15219"</f>
        <v>15219</v>
      </c>
    </row>
    <row r="1990" spans="1:16" x14ac:dyDescent="0.25">
      <c r="A1990" t="str">
        <f>"1060026E00209    00"</f>
        <v>1060026E00209    00</v>
      </c>
      <c r="B1990" t="s">
        <v>4588</v>
      </c>
      <c r="C1990" t="s">
        <v>4585</v>
      </c>
      <c r="D1990" t="s">
        <v>20</v>
      </c>
      <c r="E1990" t="s">
        <v>39</v>
      </c>
      <c r="F1990">
        <v>0</v>
      </c>
      <c r="G1990">
        <v>0</v>
      </c>
      <c r="H1990">
        <v>5</v>
      </c>
      <c r="I1990" s="3">
        <v>102.13</v>
      </c>
      <c r="J1990" s="3">
        <v>23.88</v>
      </c>
      <c r="L1990">
        <v>1226</v>
      </c>
      <c r="M1990" t="s">
        <v>2387</v>
      </c>
      <c r="N1990" t="s">
        <v>30</v>
      </c>
      <c r="O1990" t="s">
        <v>31</v>
      </c>
      <c r="P1990" t="str">
        <f>"15219"</f>
        <v>15219</v>
      </c>
    </row>
    <row r="1991" spans="1:16" x14ac:dyDescent="0.25">
      <c r="A1991" t="str">
        <f>"1060026E00210    00"</f>
        <v>1060026E00210    00</v>
      </c>
      <c r="B1991" t="s">
        <v>4561</v>
      </c>
      <c r="C1991" t="s">
        <v>4585</v>
      </c>
      <c r="E1991" t="s">
        <v>39</v>
      </c>
      <c r="F1991">
        <v>0</v>
      </c>
      <c r="G1991">
        <v>0</v>
      </c>
      <c r="H1991">
        <v>4</v>
      </c>
      <c r="I1991" s="3">
        <v>73.73</v>
      </c>
      <c r="J1991" s="3">
        <v>21.69</v>
      </c>
      <c r="K1991" t="s">
        <v>4562</v>
      </c>
      <c r="L1991">
        <v>1226</v>
      </c>
      <c r="M1991" t="s">
        <v>2387</v>
      </c>
      <c r="N1991" t="s">
        <v>30</v>
      </c>
      <c r="O1991" t="s">
        <v>31</v>
      </c>
      <c r="P1991" t="str">
        <f>"15219"</f>
        <v>15219</v>
      </c>
    </row>
    <row r="1992" spans="1:16" x14ac:dyDescent="0.25">
      <c r="A1992" t="str">
        <f>"1060026E00211    00"</f>
        <v>1060026E00211    00</v>
      </c>
      <c r="B1992" t="s">
        <v>4561</v>
      </c>
      <c r="C1992" t="s">
        <v>4585</v>
      </c>
      <c r="D1992" t="s">
        <v>20</v>
      </c>
      <c r="E1992" t="s">
        <v>39</v>
      </c>
      <c r="F1992">
        <v>0</v>
      </c>
      <c r="G1992">
        <v>0</v>
      </c>
      <c r="H1992">
        <v>5</v>
      </c>
      <c r="I1992" s="3">
        <v>74.12</v>
      </c>
      <c r="J1992" s="3">
        <v>21.69</v>
      </c>
      <c r="K1992" t="s">
        <v>4562</v>
      </c>
      <c r="L1992">
        <v>1226</v>
      </c>
      <c r="M1992" t="s">
        <v>2387</v>
      </c>
      <c r="N1992" t="s">
        <v>30</v>
      </c>
      <c r="O1992" t="s">
        <v>31</v>
      </c>
      <c r="P1992" t="str">
        <f>"15219"</f>
        <v>15219</v>
      </c>
    </row>
    <row r="1993" spans="1:16" x14ac:dyDescent="0.25">
      <c r="A1993" t="str">
        <f>"1060026E00212    00"</f>
        <v>1060026E00212    00</v>
      </c>
      <c r="B1993" t="s">
        <v>4561</v>
      </c>
      <c r="C1993" t="s">
        <v>4585</v>
      </c>
      <c r="E1993" t="s">
        <v>39</v>
      </c>
      <c r="F1993">
        <v>0</v>
      </c>
      <c r="G1993">
        <v>0</v>
      </c>
      <c r="H1993">
        <v>4</v>
      </c>
      <c r="I1993" s="3">
        <v>73.73</v>
      </c>
      <c r="J1993" s="3">
        <v>21.69</v>
      </c>
      <c r="K1993" t="s">
        <v>4562</v>
      </c>
      <c r="L1993">
        <v>1226</v>
      </c>
      <c r="M1993" t="s">
        <v>2387</v>
      </c>
      <c r="N1993" t="s">
        <v>30</v>
      </c>
      <c r="O1993" t="s">
        <v>31</v>
      </c>
      <c r="P1993" t="str">
        <f>"15219"</f>
        <v>15219</v>
      </c>
    </row>
    <row r="1994" spans="1:16" x14ac:dyDescent="0.25">
      <c r="A1994" t="str">
        <f>"1060026E00214    00"</f>
        <v>1060026E00214    00</v>
      </c>
      <c r="B1994" t="s">
        <v>4594</v>
      </c>
      <c r="C1994" t="s">
        <v>4595</v>
      </c>
      <c r="D1994" t="s">
        <v>20</v>
      </c>
      <c r="E1994" t="s">
        <v>39</v>
      </c>
      <c r="F1994">
        <v>0</v>
      </c>
      <c r="G1994">
        <v>0</v>
      </c>
      <c r="H1994">
        <v>3</v>
      </c>
      <c r="I1994" s="3">
        <v>3165.74</v>
      </c>
      <c r="J1994" s="3">
        <v>109.65</v>
      </c>
      <c r="K1994" t="s">
        <v>4596</v>
      </c>
      <c r="L1994">
        <v>84</v>
      </c>
      <c r="M1994" t="s">
        <v>4597</v>
      </c>
      <c r="N1994" t="s">
        <v>4598</v>
      </c>
      <c r="O1994" t="s">
        <v>31</v>
      </c>
      <c r="P1994" t="str">
        <f>"15401"</f>
        <v>15401</v>
      </c>
    </row>
    <row r="1995" spans="1:16" x14ac:dyDescent="0.25">
      <c r="A1995" t="str">
        <f>"1060026E00255    00"</f>
        <v>1060026E00255    00</v>
      </c>
      <c r="B1995" t="s">
        <v>4599</v>
      </c>
      <c r="C1995" t="s">
        <v>4600</v>
      </c>
      <c r="E1995" t="s">
        <v>39</v>
      </c>
      <c r="F1995">
        <v>0</v>
      </c>
      <c r="G1995">
        <v>0</v>
      </c>
      <c r="H1995">
        <v>1</v>
      </c>
      <c r="I1995" s="3">
        <v>954.92</v>
      </c>
      <c r="J1995" s="3">
        <v>190.98</v>
      </c>
      <c r="K1995" t="s">
        <v>4601</v>
      </c>
      <c r="L1995">
        <v>3359</v>
      </c>
      <c r="M1995" t="s">
        <v>3457</v>
      </c>
      <c r="N1995" t="s">
        <v>30</v>
      </c>
      <c r="O1995" t="s">
        <v>31</v>
      </c>
      <c r="P1995" t="str">
        <f>"15219"</f>
        <v>15219</v>
      </c>
    </row>
    <row r="1996" spans="1:16" x14ac:dyDescent="0.25">
      <c r="A1996" t="str">
        <f>"1060026F00030    00"</f>
        <v>1060026F00030    00</v>
      </c>
      <c r="B1996" t="s">
        <v>4602</v>
      </c>
      <c r="C1996" t="s">
        <v>4603</v>
      </c>
      <c r="D1996" t="s">
        <v>20</v>
      </c>
      <c r="E1996" t="s">
        <v>39</v>
      </c>
      <c r="F1996">
        <v>0</v>
      </c>
      <c r="G1996">
        <v>0</v>
      </c>
      <c r="H1996">
        <v>4</v>
      </c>
      <c r="I1996" s="3">
        <v>1308.1600000000001</v>
      </c>
      <c r="J1996" s="3">
        <v>175.28</v>
      </c>
      <c r="L1996">
        <v>3446</v>
      </c>
      <c r="M1996" t="s">
        <v>4604</v>
      </c>
      <c r="N1996" t="s">
        <v>30</v>
      </c>
      <c r="O1996" t="s">
        <v>31</v>
      </c>
      <c r="P1996" t="str">
        <f>"15219"</f>
        <v>15219</v>
      </c>
    </row>
    <row r="1997" spans="1:16" x14ac:dyDescent="0.25">
      <c r="A1997" t="str">
        <f>"1060026F00032    00"</f>
        <v>1060026F00032    00</v>
      </c>
      <c r="B1997" t="s">
        <v>4605</v>
      </c>
      <c r="C1997" t="s">
        <v>4606</v>
      </c>
      <c r="D1997" t="s">
        <v>20</v>
      </c>
      <c r="E1997" t="s">
        <v>39</v>
      </c>
      <c r="F1997">
        <v>0</v>
      </c>
      <c r="G1997">
        <v>0</v>
      </c>
      <c r="H1997">
        <v>3</v>
      </c>
      <c r="I1997" s="3">
        <v>1805.63</v>
      </c>
      <c r="J1997" s="3">
        <v>22.03</v>
      </c>
      <c r="L1997">
        <v>3439</v>
      </c>
      <c r="M1997" t="s">
        <v>3457</v>
      </c>
      <c r="N1997" t="s">
        <v>30</v>
      </c>
      <c r="O1997" t="s">
        <v>31</v>
      </c>
      <c r="P1997" t="str">
        <f>"15219"</f>
        <v>15219</v>
      </c>
    </row>
    <row r="1998" spans="1:16" x14ac:dyDescent="0.25">
      <c r="A1998" t="str">
        <f>"1060026F00042    00"</f>
        <v>1060026F00042    00</v>
      </c>
      <c r="B1998" t="s">
        <v>4607</v>
      </c>
      <c r="C1998" t="s">
        <v>4608</v>
      </c>
      <c r="D1998" t="s">
        <v>20</v>
      </c>
      <c r="E1998" t="s">
        <v>39</v>
      </c>
      <c r="F1998">
        <v>0</v>
      </c>
      <c r="G1998">
        <v>0</v>
      </c>
      <c r="H1998">
        <v>15</v>
      </c>
      <c r="I1998" s="3">
        <v>9971.61</v>
      </c>
      <c r="J1998" s="3">
        <v>6262.94</v>
      </c>
      <c r="L1998">
        <v>3507</v>
      </c>
      <c r="M1998" t="s">
        <v>3457</v>
      </c>
      <c r="N1998" t="s">
        <v>30</v>
      </c>
      <c r="O1998" t="s">
        <v>31</v>
      </c>
      <c r="P1998" t="str">
        <f>"15213"</f>
        <v>15213</v>
      </c>
    </row>
    <row r="1999" spans="1:16" x14ac:dyDescent="0.25">
      <c r="A1999" t="str">
        <f>"1060026F00092000100"</f>
        <v>1060026F00092000100</v>
      </c>
      <c r="B1999" t="s">
        <v>4609</v>
      </c>
      <c r="C1999" t="s">
        <v>4610</v>
      </c>
      <c r="D1999" t="s">
        <v>20</v>
      </c>
      <c r="E1999" t="s">
        <v>39</v>
      </c>
      <c r="F1999">
        <v>0</v>
      </c>
      <c r="G1999">
        <v>0</v>
      </c>
      <c r="H1999">
        <v>3</v>
      </c>
      <c r="I1999" s="3">
        <v>2903.66</v>
      </c>
      <c r="J1999" s="3">
        <v>85.92</v>
      </c>
      <c r="L1999">
        <v>3548</v>
      </c>
      <c r="M1999" t="s">
        <v>3457</v>
      </c>
      <c r="N1999" t="s">
        <v>30</v>
      </c>
      <c r="O1999" t="s">
        <v>31</v>
      </c>
      <c r="P1999" t="str">
        <f>"15213"</f>
        <v>15213</v>
      </c>
    </row>
    <row r="2000" spans="1:16" x14ac:dyDescent="0.25">
      <c r="A2000" t="str">
        <f>"1060026F00108    00"</f>
        <v>1060026F00108    00</v>
      </c>
      <c r="B2000" t="s">
        <v>4611</v>
      </c>
      <c r="C2000" t="s">
        <v>4612</v>
      </c>
      <c r="D2000" t="s">
        <v>20</v>
      </c>
      <c r="E2000" t="s">
        <v>39</v>
      </c>
      <c r="F2000">
        <v>0</v>
      </c>
      <c r="G2000">
        <v>0</v>
      </c>
      <c r="H2000">
        <v>1</v>
      </c>
      <c r="I2000" s="3">
        <v>2115.66</v>
      </c>
      <c r="J2000" s="3">
        <v>0</v>
      </c>
      <c r="K2000" t="s">
        <v>881</v>
      </c>
      <c r="L2000">
        <v>3001</v>
      </c>
      <c r="M2000" t="s">
        <v>330</v>
      </c>
      <c r="N2000" t="s">
        <v>331</v>
      </c>
      <c r="O2000" t="s">
        <v>108</v>
      </c>
      <c r="P2000" t="str">
        <f>"75063"</f>
        <v>75063</v>
      </c>
    </row>
    <row r="2001" spans="1:16" x14ac:dyDescent="0.25">
      <c r="A2001" t="str">
        <f>"1060026F00118    00"</f>
        <v>1060026F00118    00</v>
      </c>
      <c r="B2001" t="s">
        <v>4613</v>
      </c>
      <c r="C2001" t="s">
        <v>4614</v>
      </c>
      <c r="D2001" t="s">
        <v>20</v>
      </c>
      <c r="E2001" t="s">
        <v>39</v>
      </c>
      <c r="F2001">
        <v>0</v>
      </c>
      <c r="G2001">
        <v>0</v>
      </c>
      <c r="H2001">
        <v>1</v>
      </c>
      <c r="I2001" s="3">
        <v>745.72</v>
      </c>
      <c r="J2001" s="3">
        <v>0</v>
      </c>
      <c r="L2001">
        <v>3508</v>
      </c>
      <c r="M2001" t="s">
        <v>3457</v>
      </c>
      <c r="N2001" t="s">
        <v>30</v>
      </c>
      <c r="O2001" t="s">
        <v>31</v>
      </c>
      <c r="P2001" t="str">
        <f>"15213"</f>
        <v>15213</v>
      </c>
    </row>
    <row r="2002" spans="1:16" x14ac:dyDescent="0.25">
      <c r="A2002" t="str">
        <f>"1060026F00119    00"</f>
        <v>1060026F00119    00</v>
      </c>
      <c r="B2002" t="s">
        <v>4613</v>
      </c>
      <c r="C2002" t="s">
        <v>4614</v>
      </c>
      <c r="D2002" t="s">
        <v>20</v>
      </c>
      <c r="E2002" t="s">
        <v>39</v>
      </c>
      <c r="F2002">
        <v>0</v>
      </c>
      <c r="G2002">
        <v>0</v>
      </c>
      <c r="H2002">
        <v>2</v>
      </c>
      <c r="I2002" s="3">
        <v>436.58</v>
      </c>
      <c r="J2002" s="3">
        <v>0</v>
      </c>
      <c r="L2002">
        <v>3506</v>
      </c>
      <c r="M2002" t="s">
        <v>3457</v>
      </c>
      <c r="N2002" t="s">
        <v>30</v>
      </c>
      <c r="O2002" t="s">
        <v>31</v>
      </c>
      <c r="P2002" t="str">
        <f>"15213"</f>
        <v>15213</v>
      </c>
    </row>
    <row r="2003" spans="1:16" x14ac:dyDescent="0.25">
      <c r="A2003" t="str">
        <f>"1060026F00143    00"</f>
        <v>1060026F00143    00</v>
      </c>
      <c r="B2003" t="s">
        <v>4615</v>
      </c>
      <c r="C2003" t="s">
        <v>4616</v>
      </c>
      <c r="D2003" t="s">
        <v>20</v>
      </c>
      <c r="E2003" t="s">
        <v>39</v>
      </c>
      <c r="F2003">
        <v>0</v>
      </c>
      <c r="G2003">
        <v>0</v>
      </c>
      <c r="H2003">
        <v>1</v>
      </c>
      <c r="I2003" s="3">
        <v>916.8</v>
      </c>
      <c r="J2003" s="3">
        <v>0</v>
      </c>
      <c r="L2003">
        <v>3425</v>
      </c>
      <c r="M2003" t="s">
        <v>3503</v>
      </c>
      <c r="N2003" t="s">
        <v>30</v>
      </c>
      <c r="O2003" t="s">
        <v>31</v>
      </c>
      <c r="P2003" t="str">
        <f>"15219"</f>
        <v>15219</v>
      </c>
    </row>
    <row r="2004" spans="1:16" x14ac:dyDescent="0.25">
      <c r="A2004" t="str">
        <f>"1060026F00200    00"</f>
        <v>1060026F00200    00</v>
      </c>
      <c r="B2004" t="s">
        <v>4617</v>
      </c>
      <c r="C2004" t="s">
        <v>4618</v>
      </c>
      <c r="E2004" t="s">
        <v>39</v>
      </c>
      <c r="F2004">
        <v>0</v>
      </c>
      <c r="G2004">
        <v>0</v>
      </c>
      <c r="H2004">
        <v>1</v>
      </c>
      <c r="I2004" s="3">
        <v>44</v>
      </c>
      <c r="J2004" s="3">
        <v>20.9</v>
      </c>
      <c r="L2004">
        <v>3612</v>
      </c>
      <c r="M2004" t="s">
        <v>3503</v>
      </c>
      <c r="N2004" t="s">
        <v>30</v>
      </c>
      <c r="O2004" t="s">
        <v>31</v>
      </c>
      <c r="P2004" t="str">
        <f>"15213"</f>
        <v>15213</v>
      </c>
    </row>
    <row r="2005" spans="1:16" x14ac:dyDescent="0.25">
      <c r="A2005" t="str">
        <f>"1060026F00209    00"</f>
        <v>1060026F00209    00</v>
      </c>
      <c r="B2005" t="s">
        <v>4619</v>
      </c>
      <c r="C2005" t="s">
        <v>4620</v>
      </c>
      <c r="E2005" t="s">
        <v>21</v>
      </c>
      <c r="F2005">
        <v>0</v>
      </c>
      <c r="G2005">
        <v>0</v>
      </c>
      <c r="H2005">
        <v>2</v>
      </c>
      <c r="I2005" s="3">
        <v>67.430000000000007</v>
      </c>
      <c r="J2005" s="3">
        <v>8.7799999999999994</v>
      </c>
      <c r="L2005">
        <v>3567</v>
      </c>
      <c r="M2005" t="s">
        <v>1868</v>
      </c>
      <c r="N2005" t="s">
        <v>30</v>
      </c>
      <c r="O2005" t="s">
        <v>31</v>
      </c>
      <c r="P2005" t="str">
        <f>"15213"</f>
        <v>15213</v>
      </c>
    </row>
    <row r="2006" spans="1:16" x14ac:dyDescent="0.25">
      <c r="A2006" t="str">
        <f>"1060026F00255    00"</f>
        <v>1060026F00255    00</v>
      </c>
      <c r="B2006" t="s">
        <v>4621</v>
      </c>
      <c r="C2006" t="s">
        <v>512</v>
      </c>
      <c r="D2006" t="s">
        <v>20</v>
      </c>
      <c r="E2006" t="s">
        <v>39</v>
      </c>
      <c r="F2006">
        <v>0</v>
      </c>
      <c r="G2006">
        <v>0</v>
      </c>
      <c r="H2006">
        <v>2</v>
      </c>
      <c r="I2006" s="3">
        <v>125.82</v>
      </c>
      <c r="J2006" s="3">
        <v>0</v>
      </c>
      <c r="K2006" t="s">
        <v>1135</v>
      </c>
      <c r="L2006">
        <v>3001</v>
      </c>
      <c r="M2006" t="s">
        <v>330</v>
      </c>
      <c r="N2006" t="s">
        <v>331</v>
      </c>
      <c r="O2006" t="s">
        <v>108</v>
      </c>
      <c r="P2006" t="str">
        <f>"75063"</f>
        <v>75063</v>
      </c>
    </row>
    <row r="2007" spans="1:16" x14ac:dyDescent="0.25">
      <c r="A2007" t="str">
        <f>"1060026F00255A   00"</f>
        <v>1060026F00255A   00</v>
      </c>
      <c r="B2007" t="s">
        <v>4622</v>
      </c>
      <c r="C2007" t="s">
        <v>4623</v>
      </c>
      <c r="D2007" t="s">
        <v>20</v>
      </c>
      <c r="E2007" t="s">
        <v>39</v>
      </c>
      <c r="F2007">
        <v>0</v>
      </c>
      <c r="G2007">
        <v>0</v>
      </c>
      <c r="H2007">
        <v>1</v>
      </c>
      <c r="I2007" s="3">
        <v>150.59</v>
      </c>
      <c r="J2007" s="3">
        <v>0</v>
      </c>
      <c r="L2007">
        <v>3432</v>
      </c>
      <c r="M2007" t="s">
        <v>3503</v>
      </c>
      <c r="N2007" t="s">
        <v>30</v>
      </c>
      <c r="O2007" t="s">
        <v>31</v>
      </c>
      <c r="P2007" t="str">
        <f>"15219"</f>
        <v>15219</v>
      </c>
    </row>
    <row r="2008" spans="1:16" x14ac:dyDescent="0.25">
      <c r="A2008" t="str">
        <f>"1060026F00259    00"</f>
        <v>1060026F00259    00</v>
      </c>
      <c r="B2008" t="s">
        <v>4577</v>
      </c>
      <c r="C2008" t="s">
        <v>512</v>
      </c>
      <c r="D2008" t="s">
        <v>20</v>
      </c>
      <c r="E2008" t="s">
        <v>21</v>
      </c>
      <c r="F2008">
        <v>0</v>
      </c>
      <c r="G2008">
        <v>0</v>
      </c>
      <c r="H2008">
        <v>12</v>
      </c>
      <c r="I2008" s="3">
        <v>718.1</v>
      </c>
      <c r="J2008" s="3">
        <v>499.55</v>
      </c>
      <c r="L2008">
        <v>3428</v>
      </c>
      <c r="M2008" t="s">
        <v>3503</v>
      </c>
      <c r="N2008" t="s">
        <v>30</v>
      </c>
      <c r="O2008" t="s">
        <v>31</v>
      </c>
      <c r="P2008" t="str">
        <f>"15219"</f>
        <v>15219</v>
      </c>
    </row>
    <row r="2009" spans="1:16" x14ac:dyDescent="0.25">
      <c r="A2009" t="str">
        <f>"1060026F00320    00"</f>
        <v>1060026F00320    00</v>
      </c>
      <c r="B2009" t="s">
        <v>4624</v>
      </c>
      <c r="C2009" t="s">
        <v>4625</v>
      </c>
      <c r="E2009" t="s">
        <v>39</v>
      </c>
      <c r="F2009">
        <v>0</v>
      </c>
      <c r="G2009">
        <v>0</v>
      </c>
      <c r="H2009">
        <v>8</v>
      </c>
      <c r="I2009" s="3">
        <v>1552.74</v>
      </c>
      <c r="J2009" s="3">
        <v>2065.37</v>
      </c>
      <c r="L2009">
        <v>3463</v>
      </c>
      <c r="M2009" t="s">
        <v>3444</v>
      </c>
      <c r="N2009" t="s">
        <v>30</v>
      </c>
      <c r="O2009" t="s">
        <v>31</v>
      </c>
      <c r="P2009" t="str">
        <f>"15213"</f>
        <v>15213</v>
      </c>
    </row>
    <row r="2010" spans="1:16" x14ac:dyDescent="0.25">
      <c r="A2010" t="str">
        <f>"1060026J00001    00"</f>
        <v>1060026J00001    00</v>
      </c>
      <c r="B2010" t="s">
        <v>4626</v>
      </c>
      <c r="C2010" t="s">
        <v>4627</v>
      </c>
      <c r="D2010" t="s">
        <v>20</v>
      </c>
      <c r="E2010" t="s">
        <v>39</v>
      </c>
      <c r="F2010">
        <v>0</v>
      </c>
      <c r="G2010">
        <v>0</v>
      </c>
      <c r="H2010">
        <v>1</v>
      </c>
      <c r="I2010" s="3">
        <v>1111.21</v>
      </c>
      <c r="J2010" s="3">
        <v>0</v>
      </c>
      <c r="K2010" t="s">
        <v>4628</v>
      </c>
      <c r="L2010">
        <v>445</v>
      </c>
      <c r="M2010" t="s">
        <v>4629</v>
      </c>
      <c r="N2010" t="s">
        <v>30</v>
      </c>
      <c r="O2010" t="s">
        <v>31</v>
      </c>
      <c r="P2010" t="str">
        <f t="shared" ref="P2010:P2015" si="32">"15219"</f>
        <v>15219</v>
      </c>
    </row>
    <row r="2011" spans="1:16" x14ac:dyDescent="0.25">
      <c r="A2011" t="str">
        <f>"1060026J00003    00"</f>
        <v>1060026J00003    00</v>
      </c>
      <c r="B2011" t="s">
        <v>4630</v>
      </c>
      <c r="C2011" t="s">
        <v>4631</v>
      </c>
      <c r="E2011" t="s">
        <v>39</v>
      </c>
      <c r="F2011">
        <v>0</v>
      </c>
      <c r="G2011">
        <v>0</v>
      </c>
      <c r="H2011">
        <v>1</v>
      </c>
      <c r="I2011" s="3">
        <v>585.87</v>
      </c>
      <c r="J2011" s="3">
        <v>0</v>
      </c>
      <c r="L2011">
        <v>3209</v>
      </c>
      <c r="M2011" t="s">
        <v>833</v>
      </c>
      <c r="N2011" t="s">
        <v>30</v>
      </c>
      <c r="O2011" t="s">
        <v>31</v>
      </c>
      <c r="P2011" t="str">
        <f t="shared" si="32"/>
        <v>15219</v>
      </c>
    </row>
    <row r="2012" spans="1:16" x14ac:dyDescent="0.25">
      <c r="A2012" t="str">
        <f>"1060026J00015    00"</f>
        <v>1060026J00015    00</v>
      </c>
      <c r="B2012" t="s">
        <v>4632</v>
      </c>
      <c r="C2012" t="s">
        <v>4633</v>
      </c>
      <c r="D2012" t="s">
        <v>20</v>
      </c>
      <c r="E2012" t="s">
        <v>39</v>
      </c>
      <c r="F2012">
        <v>0</v>
      </c>
      <c r="G2012">
        <v>0</v>
      </c>
      <c r="H2012">
        <v>8</v>
      </c>
      <c r="I2012" s="3">
        <v>5371.98</v>
      </c>
      <c r="J2012" s="3">
        <v>1814.74</v>
      </c>
      <c r="L2012">
        <v>406</v>
      </c>
      <c r="M2012" t="s">
        <v>4400</v>
      </c>
      <c r="N2012" t="s">
        <v>30</v>
      </c>
      <c r="O2012" t="s">
        <v>31</v>
      </c>
      <c r="P2012" t="str">
        <f t="shared" si="32"/>
        <v>15219</v>
      </c>
    </row>
    <row r="2013" spans="1:16" x14ac:dyDescent="0.25">
      <c r="A2013" t="str">
        <f>"1060026J00018    00"</f>
        <v>1060026J00018    00</v>
      </c>
      <c r="B2013" t="s">
        <v>4634</v>
      </c>
      <c r="C2013" t="s">
        <v>4635</v>
      </c>
      <c r="D2013" t="s">
        <v>20</v>
      </c>
      <c r="E2013" t="s">
        <v>39</v>
      </c>
      <c r="F2013">
        <v>0</v>
      </c>
      <c r="G2013">
        <v>0</v>
      </c>
      <c r="H2013">
        <v>1</v>
      </c>
      <c r="I2013" s="3">
        <v>951.1</v>
      </c>
      <c r="J2013" s="3">
        <v>0</v>
      </c>
      <c r="L2013">
        <v>400</v>
      </c>
      <c r="M2013" t="s">
        <v>4400</v>
      </c>
      <c r="N2013" t="s">
        <v>30</v>
      </c>
      <c r="O2013" t="s">
        <v>31</v>
      </c>
      <c r="P2013" t="str">
        <f t="shared" si="32"/>
        <v>15219</v>
      </c>
    </row>
    <row r="2014" spans="1:16" x14ac:dyDescent="0.25">
      <c r="A2014" t="str">
        <f>"1060026J00035    00"</f>
        <v>1060026J00035    00</v>
      </c>
      <c r="B2014" t="s">
        <v>4575</v>
      </c>
      <c r="C2014" t="s">
        <v>4576</v>
      </c>
      <c r="D2014" t="s">
        <v>20</v>
      </c>
      <c r="E2014" t="s">
        <v>39</v>
      </c>
      <c r="F2014">
        <v>0</v>
      </c>
      <c r="G2014">
        <v>0</v>
      </c>
      <c r="H2014">
        <v>6</v>
      </c>
      <c r="I2014" s="3">
        <v>6737.78</v>
      </c>
      <c r="J2014" s="3">
        <v>1399.12</v>
      </c>
      <c r="L2014">
        <v>1027</v>
      </c>
      <c r="M2014" t="s">
        <v>2387</v>
      </c>
      <c r="N2014" t="s">
        <v>30</v>
      </c>
      <c r="O2014" t="s">
        <v>31</v>
      </c>
      <c r="P2014" t="str">
        <f t="shared" si="32"/>
        <v>15219</v>
      </c>
    </row>
    <row r="2015" spans="1:16" x14ac:dyDescent="0.25">
      <c r="A2015" t="str">
        <f>"1060026J00044    00"</f>
        <v>1060026J00044    00</v>
      </c>
      <c r="B2015" t="s">
        <v>4636</v>
      </c>
      <c r="C2015" t="s">
        <v>4637</v>
      </c>
      <c r="D2015" t="s">
        <v>20</v>
      </c>
      <c r="E2015" t="s">
        <v>21</v>
      </c>
      <c r="F2015">
        <v>0</v>
      </c>
      <c r="G2015">
        <v>0</v>
      </c>
      <c r="H2015">
        <v>2</v>
      </c>
      <c r="I2015" s="3">
        <v>14217.46</v>
      </c>
      <c r="J2015" s="3">
        <v>4146.58</v>
      </c>
      <c r="L2015">
        <v>1005</v>
      </c>
      <c r="M2015" t="s">
        <v>2387</v>
      </c>
      <c r="N2015" t="s">
        <v>30</v>
      </c>
      <c r="O2015" t="s">
        <v>31</v>
      </c>
      <c r="P2015" t="str">
        <f t="shared" si="32"/>
        <v>15219</v>
      </c>
    </row>
    <row r="2016" spans="1:16" x14ac:dyDescent="0.25">
      <c r="A2016" t="str">
        <f>"1060026J00046    00"</f>
        <v>1060026J00046    00</v>
      </c>
      <c r="B2016" t="s">
        <v>4638</v>
      </c>
      <c r="C2016" t="s">
        <v>835</v>
      </c>
      <c r="E2016" t="s">
        <v>39</v>
      </c>
      <c r="F2016">
        <v>0</v>
      </c>
      <c r="G2016">
        <v>0</v>
      </c>
      <c r="H2016">
        <v>1</v>
      </c>
      <c r="I2016" s="3">
        <v>22.25</v>
      </c>
      <c r="J2016" s="3">
        <v>28.55</v>
      </c>
      <c r="L2016">
        <v>353</v>
      </c>
      <c r="M2016" t="s">
        <v>4639</v>
      </c>
      <c r="N2016" t="s">
        <v>30</v>
      </c>
      <c r="O2016" t="s">
        <v>31</v>
      </c>
      <c r="P2016" t="str">
        <f>"15237"</f>
        <v>15237</v>
      </c>
    </row>
    <row r="2017" spans="1:16" x14ac:dyDescent="0.25">
      <c r="A2017" t="str">
        <f>"1060026J00047    00"</f>
        <v>1060026J00047    00</v>
      </c>
      <c r="B2017" t="s">
        <v>4640</v>
      </c>
      <c r="C2017" t="s">
        <v>4641</v>
      </c>
      <c r="E2017" t="s">
        <v>207</v>
      </c>
      <c r="F2017">
        <v>0</v>
      </c>
      <c r="G2017">
        <v>0</v>
      </c>
      <c r="H2017">
        <v>2</v>
      </c>
      <c r="I2017" s="3">
        <v>25.42</v>
      </c>
      <c r="J2017" s="3">
        <v>18.95</v>
      </c>
      <c r="L2017">
        <v>9689</v>
      </c>
      <c r="M2017" t="s">
        <v>4642</v>
      </c>
      <c r="N2017" t="s">
        <v>195</v>
      </c>
      <c r="O2017" t="s">
        <v>31</v>
      </c>
      <c r="P2017" t="str">
        <f>"15101"</f>
        <v>15101</v>
      </c>
    </row>
    <row r="2018" spans="1:16" x14ac:dyDescent="0.25">
      <c r="A2018" t="str">
        <f>"1060026J00050    00"</f>
        <v>1060026J00050    00</v>
      </c>
      <c r="B2018" t="s">
        <v>4643</v>
      </c>
      <c r="C2018" t="s">
        <v>4644</v>
      </c>
      <c r="D2018" t="s">
        <v>20</v>
      </c>
      <c r="E2018" t="s">
        <v>39</v>
      </c>
      <c r="F2018">
        <v>0</v>
      </c>
      <c r="G2018">
        <v>0</v>
      </c>
      <c r="H2018">
        <v>2</v>
      </c>
      <c r="I2018" s="3">
        <v>2672.22</v>
      </c>
      <c r="J2018" s="3">
        <v>0</v>
      </c>
      <c r="K2018" t="s">
        <v>391</v>
      </c>
      <c r="L2018">
        <v>1</v>
      </c>
      <c r="M2018" t="s">
        <v>392</v>
      </c>
      <c r="N2018" t="s">
        <v>393</v>
      </c>
      <c r="O2018" t="s">
        <v>394</v>
      </c>
      <c r="P2018" t="str">
        <f>"50328"</f>
        <v>50328</v>
      </c>
    </row>
    <row r="2019" spans="1:16" x14ac:dyDescent="0.25">
      <c r="A2019" t="str">
        <f>"1060026J00068    00"</f>
        <v>1060026J00068    00</v>
      </c>
      <c r="B2019" t="s">
        <v>4645</v>
      </c>
      <c r="C2019" t="s">
        <v>4646</v>
      </c>
      <c r="D2019" t="s">
        <v>20</v>
      </c>
      <c r="E2019" t="s">
        <v>39</v>
      </c>
      <c r="F2019">
        <v>0</v>
      </c>
      <c r="G2019">
        <v>0</v>
      </c>
      <c r="H2019">
        <v>4</v>
      </c>
      <c r="I2019" s="3">
        <v>5566.41</v>
      </c>
      <c r="J2019" s="3">
        <v>657.55</v>
      </c>
      <c r="K2019" t="s">
        <v>4647</v>
      </c>
      <c r="L2019">
        <v>4607</v>
      </c>
      <c r="M2019" t="s">
        <v>4648</v>
      </c>
      <c r="N2019" t="s">
        <v>3934</v>
      </c>
      <c r="O2019" t="s">
        <v>31</v>
      </c>
      <c r="P2019" t="str">
        <f>"15102"</f>
        <v>15102</v>
      </c>
    </row>
    <row r="2020" spans="1:16" x14ac:dyDescent="0.25">
      <c r="A2020" t="str">
        <f>"1060026J00086    00"</f>
        <v>1060026J00086    00</v>
      </c>
      <c r="B2020" t="s">
        <v>4649</v>
      </c>
      <c r="C2020" t="s">
        <v>4650</v>
      </c>
      <c r="D2020" t="s">
        <v>20</v>
      </c>
      <c r="E2020" t="s">
        <v>39</v>
      </c>
      <c r="F2020">
        <v>0</v>
      </c>
      <c r="G2020">
        <v>0</v>
      </c>
      <c r="H2020">
        <v>1</v>
      </c>
      <c r="I2020" s="3">
        <v>443.51</v>
      </c>
      <c r="J2020" s="3">
        <v>0</v>
      </c>
      <c r="L2020">
        <v>1035</v>
      </c>
      <c r="M2020" t="s">
        <v>4651</v>
      </c>
      <c r="N2020" t="s">
        <v>4652</v>
      </c>
      <c r="O2020" t="s">
        <v>370</v>
      </c>
      <c r="P2020" t="str">
        <f>"33161"</f>
        <v>33161</v>
      </c>
    </row>
    <row r="2021" spans="1:16" x14ac:dyDescent="0.25">
      <c r="A2021" t="str">
        <f>"1060026J00088    00"</f>
        <v>1060026J00088    00</v>
      </c>
      <c r="B2021" t="s">
        <v>4653</v>
      </c>
      <c r="C2021" t="s">
        <v>4654</v>
      </c>
      <c r="E2021" t="s">
        <v>39</v>
      </c>
      <c r="F2021">
        <v>0</v>
      </c>
      <c r="G2021">
        <v>0</v>
      </c>
      <c r="H2021">
        <v>1</v>
      </c>
      <c r="I2021" s="3">
        <v>321.23</v>
      </c>
      <c r="J2021" s="3">
        <v>297.13</v>
      </c>
      <c r="K2021" t="s">
        <v>4655</v>
      </c>
      <c r="L2021">
        <v>1020</v>
      </c>
      <c r="M2021" t="s">
        <v>2387</v>
      </c>
      <c r="N2021" t="s">
        <v>30</v>
      </c>
      <c r="O2021" t="s">
        <v>31</v>
      </c>
      <c r="P2021" t="str">
        <f>"15219"</f>
        <v>15219</v>
      </c>
    </row>
    <row r="2022" spans="1:16" x14ac:dyDescent="0.25">
      <c r="A2022" t="str">
        <f>"1060026J00102    00"</f>
        <v>1060026J00102    00</v>
      </c>
      <c r="B2022" t="s">
        <v>4656</v>
      </c>
      <c r="C2022" t="s">
        <v>4657</v>
      </c>
      <c r="D2022" t="s">
        <v>20</v>
      </c>
      <c r="E2022" t="s">
        <v>39</v>
      </c>
      <c r="F2022">
        <v>0</v>
      </c>
      <c r="G2022">
        <v>0</v>
      </c>
      <c r="H2022">
        <v>6</v>
      </c>
      <c r="I2022" s="3">
        <v>6139.86</v>
      </c>
      <c r="J2022" s="3">
        <v>1222.0899999999999</v>
      </c>
      <c r="L2022">
        <v>3302</v>
      </c>
      <c r="M2022" t="s">
        <v>4658</v>
      </c>
      <c r="N2022" t="s">
        <v>30</v>
      </c>
      <c r="O2022" t="s">
        <v>31</v>
      </c>
      <c r="P2022" t="str">
        <f>"15219"</f>
        <v>15219</v>
      </c>
    </row>
    <row r="2023" spans="1:16" x14ac:dyDescent="0.25">
      <c r="A2023" t="str">
        <f>"1060026J00117    00"</f>
        <v>1060026J00117    00</v>
      </c>
      <c r="B2023" t="s">
        <v>4577</v>
      </c>
      <c r="C2023" t="s">
        <v>512</v>
      </c>
      <c r="D2023" t="s">
        <v>20</v>
      </c>
      <c r="E2023" t="s">
        <v>21</v>
      </c>
      <c r="F2023">
        <v>0</v>
      </c>
      <c r="G2023">
        <v>0</v>
      </c>
      <c r="H2023">
        <v>12</v>
      </c>
      <c r="I2023" s="3">
        <v>1071.24</v>
      </c>
      <c r="J2023" s="3">
        <v>749.15</v>
      </c>
      <c r="L2023">
        <v>3428</v>
      </c>
      <c r="M2023" t="s">
        <v>3503</v>
      </c>
      <c r="N2023" t="s">
        <v>30</v>
      </c>
      <c r="O2023" t="s">
        <v>31</v>
      </c>
      <c r="P2023" t="str">
        <f>"15219"</f>
        <v>15219</v>
      </c>
    </row>
    <row r="2024" spans="1:16" x14ac:dyDescent="0.25">
      <c r="A2024" t="str">
        <f>"1060026J00121    00"</f>
        <v>1060026J00121    00</v>
      </c>
      <c r="B2024" t="s">
        <v>4659</v>
      </c>
      <c r="C2024" t="s">
        <v>4660</v>
      </c>
      <c r="D2024" t="s">
        <v>20</v>
      </c>
      <c r="E2024" t="s">
        <v>290</v>
      </c>
      <c r="F2024">
        <v>0</v>
      </c>
      <c r="G2024">
        <v>0</v>
      </c>
      <c r="H2024">
        <v>5</v>
      </c>
      <c r="I2024" s="3">
        <v>3768</v>
      </c>
      <c r="J2024" s="3">
        <v>0</v>
      </c>
      <c r="L2024">
        <v>6604</v>
      </c>
      <c r="M2024" t="s">
        <v>4661</v>
      </c>
      <c r="N2024" t="s">
        <v>30</v>
      </c>
      <c r="O2024" t="s">
        <v>31</v>
      </c>
      <c r="P2024" t="str">
        <f>"15217"</f>
        <v>15217</v>
      </c>
    </row>
    <row r="2025" spans="1:16" x14ac:dyDescent="0.25">
      <c r="A2025" t="str">
        <f>"1060026J00125    00"</f>
        <v>1060026J00125    00</v>
      </c>
      <c r="B2025" t="s">
        <v>4577</v>
      </c>
      <c r="C2025" t="s">
        <v>512</v>
      </c>
      <c r="D2025" t="s">
        <v>20</v>
      </c>
      <c r="E2025" t="s">
        <v>21</v>
      </c>
      <c r="F2025">
        <v>0</v>
      </c>
      <c r="G2025">
        <v>0</v>
      </c>
      <c r="H2025">
        <v>12</v>
      </c>
      <c r="I2025" s="3">
        <v>1071.24</v>
      </c>
      <c r="J2025" s="3">
        <v>749.15</v>
      </c>
      <c r="L2025">
        <v>3428</v>
      </c>
      <c r="M2025" t="s">
        <v>3503</v>
      </c>
      <c r="N2025" t="s">
        <v>30</v>
      </c>
      <c r="O2025" t="s">
        <v>31</v>
      </c>
      <c r="P2025" t="str">
        <f>"15219"</f>
        <v>15219</v>
      </c>
    </row>
    <row r="2026" spans="1:16" x14ac:dyDescent="0.25">
      <c r="A2026" t="str">
        <f>"1060026J00128    00"</f>
        <v>1060026J00128    00</v>
      </c>
      <c r="B2026" t="s">
        <v>4577</v>
      </c>
      <c r="C2026" t="s">
        <v>512</v>
      </c>
      <c r="D2026" t="s">
        <v>20</v>
      </c>
      <c r="E2026" t="s">
        <v>21</v>
      </c>
      <c r="F2026">
        <v>0</v>
      </c>
      <c r="G2026">
        <v>0</v>
      </c>
      <c r="H2026">
        <v>12</v>
      </c>
      <c r="I2026" s="3">
        <v>813.58</v>
      </c>
      <c r="J2026" s="3">
        <v>566.73</v>
      </c>
      <c r="L2026">
        <v>3428</v>
      </c>
      <c r="M2026" t="s">
        <v>3503</v>
      </c>
      <c r="N2026" t="s">
        <v>30</v>
      </c>
      <c r="O2026" t="s">
        <v>31</v>
      </c>
      <c r="P2026" t="str">
        <f>"15219"</f>
        <v>15219</v>
      </c>
    </row>
    <row r="2027" spans="1:16" x14ac:dyDescent="0.25">
      <c r="A2027" t="str">
        <f>"1060026J00162    00"</f>
        <v>1060026J00162    00</v>
      </c>
      <c r="B2027" t="s">
        <v>4662</v>
      </c>
      <c r="C2027" t="s">
        <v>4663</v>
      </c>
      <c r="D2027" t="s">
        <v>20</v>
      </c>
      <c r="E2027" t="s">
        <v>39</v>
      </c>
      <c r="F2027">
        <v>0</v>
      </c>
      <c r="G2027">
        <v>0</v>
      </c>
      <c r="H2027">
        <v>5</v>
      </c>
      <c r="I2027" s="3">
        <v>4130.37</v>
      </c>
      <c r="J2027" s="3">
        <v>530.34</v>
      </c>
      <c r="K2027" t="s">
        <v>4664</v>
      </c>
      <c r="L2027">
        <v>3317</v>
      </c>
      <c r="M2027" t="s">
        <v>3476</v>
      </c>
      <c r="N2027" t="s">
        <v>30</v>
      </c>
      <c r="O2027" t="s">
        <v>31</v>
      </c>
      <c r="P2027" t="str">
        <f>"15213"</f>
        <v>15213</v>
      </c>
    </row>
    <row r="2028" spans="1:16" x14ac:dyDescent="0.25">
      <c r="A2028" t="str">
        <f>"1060026J00168    00"</f>
        <v>1060026J00168    00</v>
      </c>
      <c r="B2028" t="s">
        <v>4665</v>
      </c>
      <c r="C2028" t="s">
        <v>3443</v>
      </c>
      <c r="D2028" t="s">
        <v>20</v>
      </c>
      <c r="E2028" t="s">
        <v>39</v>
      </c>
      <c r="F2028">
        <v>0</v>
      </c>
      <c r="G2028">
        <v>0</v>
      </c>
      <c r="H2028">
        <v>3</v>
      </c>
      <c r="I2028" s="3">
        <v>1138.46</v>
      </c>
      <c r="J2028" s="3">
        <v>253</v>
      </c>
      <c r="L2028">
        <v>5535</v>
      </c>
      <c r="M2028" t="s">
        <v>4666</v>
      </c>
      <c r="N2028" t="s">
        <v>30</v>
      </c>
      <c r="O2028" t="s">
        <v>31</v>
      </c>
      <c r="P2028" t="str">
        <f>"15232"</f>
        <v>15232</v>
      </c>
    </row>
    <row r="2029" spans="1:16" x14ac:dyDescent="0.25">
      <c r="A2029" t="str">
        <f>"1060026J00170    00"</f>
        <v>1060026J00170    00</v>
      </c>
      <c r="B2029" t="s">
        <v>910</v>
      </c>
      <c r="C2029" t="s">
        <v>4667</v>
      </c>
      <c r="D2029" t="s">
        <v>20</v>
      </c>
      <c r="E2029" t="s">
        <v>39</v>
      </c>
      <c r="F2029">
        <v>0</v>
      </c>
      <c r="G2029">
        <v>0</v>
      </c>
      <c r="H2029">
        <v>2</v>
      </c>
      <c r="I2029" s="3">
        <v>384.4</v>
      </c>
      <c r="J2029" s="3">
        <v>0</v>
      </c>
      <c r="K2029" t="s">
        <v>912</v>
      </c>
      <c r="L2029">
        <v>46</v>
      </c>
      <c r="M2029" t="s">
        <v>1451</v>
      </c>
      <c r="N2029" t="s">
        <v>914</v>
      </c>
      <c r="O2029" t="s">
        <v>200</v>
      </c>
      <c r="P2029" t="str">
        <f>"10952"</f>
        <v>10952</v>
      </c>
    </row>
    <row r="2030" spans="1:16" x14ac:dyDescent="0.25">
      <c r="A2030" t="str">
        <f>"1060026J00170B   00"</f>
        <v>1060026J00170B   00</v>
      </c>
      <c r="B2030" t="s">
        <v>4668</v>
      </c>
      <c r="C2030" t="s">
        <v>3443</v>
      </c>
      <c r="D2030" t="s">
        <v>20</v>
      </c>
      <c r="E2030" t="s">
        <v>39</v>
      </c>
      <c r="F2030">
        <v>0</v>
      </c>
      <c r="G2030">
        <v>0</v>
      </c>
      <c r="H2030">
        <v>19</v>
      </c>
      <c r="I2030" s="3">
        <v>5533.87</v>
      </c>
      <c r="J2030" s="3">
        <v>4088.07</v>
      </c>
      <c r="L2030">
        <v>552</v>
      </c>
      <c r="M2030" t="s">
        <v>2359</v>
      </c>
      <c r="N2030" t="s">
        <v>30</v>
      </c>
      <c r="O2030" t="s">
        <v>31</v>
      </c>
      <c r="P2030" t="str">
        <f>"15219"</f>
        <v>15219</v>
      </c>
    </row>
    <row r="2031" spans="1:16" x14ac:dyDescent="0.25">
      <c r="A2031" t="str">
        <f>"1060026J00171    00"</f>
        <v>1060026J00171    00</v>
      </c>
      <c r="B2031" t="s">
        <v>910</v>
      </c>
      <c r="C2031" t="s">
        <v>4669</v>
      </c>
      <c r="D2031" t="s">
        <v>20</v>
      </c>
      <c r="E2031" t="s">
        <v>39</v>
      </c>
      <c r="F2031">
        <v>0</v>
      </c>
      <c r="G2031">
        <v>0</v>
      </c>
      <c r="H2031">
        <v>2</v>
      </c>
      <c r="I2031" s="3">
        <v>768.75</v>
      </c>
      <c r="J2031" s="3">
        <v>0</v>
      </c>
      <c r="K2031" t="s">
        <v>4670</v>
      </c>
      <c r="L2031">
        <v>46</v>
      </c>
      <c r="M2031" t="s">
        <v>913</v>
      </c>
      <c r="N2031" t="s">
        <v>914</v>
      </c>
      <c r="O2031" t="s">
        <v>200</v>
      </c>
      <c r="P2031" t="str">
        <f>"10952"</f>
        <v>10952</v>
      </c>
    </row>
    <row r="2032" spans="1:16" x14ac:dyDescent="0.25">
      <c r="A2032" t="str">
        <f>"1060026J00172    00"</f>
        <v>1060026J00172    00</v>
      </c>
      <c r="B2032" t="s">
        <v>910</v>
      </c>
      <c r="C2032" t="s">
        <v>4671</v>
      </c>
      <c r="D2032" t="s">
        <v>20</v>
      </c>
      <c r="E2032" t="s">
        <v>39</v>
      </c>
      <c r="F2032">
        <v>0</v>
      </c>
      <c r="G2032">
        <v>0</v>
      </c>
      <c r="H2032">
        <v>2</v>
      </c>
      <c r="I2032" s="3">
        <v>384.4</v>
      </c>
      <c r="J2032" s="3">
        <v>0</v>
      </c>
      <c r="K2032" t="s">
        <v>912</v>
      </c>
      <c r="L2032">
        <v>46</v>
      </c>
      <c r="M2032" t="s">
        <v>913</v>
      </c>
      <c r="N2032" t="s">
        <v>914</v>
      </c>
      <c r="O2032" t="s">
        <v>200</v>
      </c>
      <c r="P2032" t="str">
        <f>"10952"</f>
        <v>10952</v>
      </c>
    </row>
    <row r="2033" spans="1:16" x14ac:dyDescent="0.25">
      <c r="A2033" t="str">
        <f>"1060026J00173    00"</f>
        <v>1060026J00173    00</v>
      </c>
      <c r="B2033" t="s">
        <v>910</v>
      </c>
      <c r="C2033" t="s">
        <v>4672</v>
      </c>
      <c r="D2033" t="s">
        <v>20</v>
      </c>
      <c r="E2033" t="s">
        <v>39</v>
      </c>
      <c r="F2033">
        <v>0</v>
      </c>
      <c r="G2033">
        <v>0</v>
      </c>
      <c r="H2033">
        <v>2</v>
      </c>
      <c r="I2033" s="3">
        <v>384.4</v>
      </c>
      <c r="J2033" s="3">
        <v>0</v>
      </c>
      <c r="K2033" t="s">
        <v>912</v>
      </c>
      <c r="L2033">
        <v>46</v>
      </c>
      <c r="M2033" t="s">
        <v>913</v>
      </c>
      <c r="N2033" t="s">
        <v>914</v>
      </c>
      <c r="O2033" t="s">
        <v>200</v>
      </c>
      <c r="P2033" t="str">
        <f>"10952"</f>
        <v>10952</v>
      </c>
    </row>
    <row r="2034" spans="1:16" x14ac:dyDescent="0.25">
      <c r="A2034" t="str">
        <f>"1060026J00180    00"</f>
        <v>1060026J00180    00</v>
      </c>
      <c r="B2034" t="s">
        <v>4673</v>
      </c>
      <c r="C2034" t="s">
        <v>4674</v>
      </c>
      <c r="E2034" t="s">
        <v>21</v>
      </c>
      <c r="F2034">
        <v>0</v>
      </c>
      <c r="G2034">
        <v>0</v>
      </c>
      <c r="H2034">
        <v>1</v>
      </c>
      <c r="I2034" s="3">
        <v>1069.27</v>
      </c>
      <c r="J2034" s="3">
        <v>0</v>
      </c>
      <c r="L2034">
        <v>941</v>
      </c>
      <c r="M2034" t="s">
        <v>4675</v>
      </c>
      <c r="N2034" t="s">
        <v>30</v>
      </c>
      <c r="O2034" t="s">
        <v>31</v>
      </c>
      <c r="P2034" t="str">
        <f>"15222"</f>
        <v>15222</v>
      </c>
    </row>
    <row r="2035" spans="1:16" x14ac:dyDescent="0.25">
      <c r="A2035" t="str">
        <f>"1060026J00181    00"</f>
        <v>1060026J00181    00</v>
      </c>
      <c r="B2035" t="s">
        <v>4673</v>
      </c>
      <c r="C2035" t="s">
        <v>3443</v>
      </c>
      <c r="E2035" t="s">
        <v>21</v>
      </c>
      <c r="F2035">
        <v>0</v>
      </c>
      <c r="G2035">
        <v>0</v>
      </c>
      <c r="H2035">
        <v>1</v>
      </c>
      <c r="I2035" s="3">
        <v>43.85</v>
      </c>
      <c r="J2035" s="3">
        <v>0</v>
      </c>
      <c r="L2035">
        <v>941</v>
      </c>
      <c r="M2035" t="s">
        <v>4675</v>
      </c>
      <c r="N2035" t="s">
        <v>30</v>
      </c>
      <c r="O2035" t="s">
        <v>31</v>
      </c>
      <c r="P2035" t="str">
        <f>"15222"</f>
        <v>15222</v>
      </c>
    </row>
    <row r="2036" spans="1:16" x14ac:dyDescent="0.25">
      <c r="A2036" t="str">
        <f>"1060026J00190    00"</f>
        <v>1060026J00190    00</v>
      </c>
      <c r="B2036" t="s">
        <v>4676</v>
      </c>
      <c r="C2036" t="s">
        <v>512</v>
      </c>
      <c r="D2036" t="s">
        <v>20</v>
      </c>
      <c r="E2036" t="s">
        <v>39</v>
      </c>
      <c r="F2036">
        <v>0</v>
      </c>
      <c r="G2036">
        <v>0</v>
      </c>
      <c r="H2036">
        <v>3</v>
      </c>
      <c r="I2036" s="3">
        <v>377.4</v>
      </c>
      <c r="J2036" s="3">
        <v>25.16</v>
      </c>
      <c r="K2036" t="s">
        <v>4677</v>
      </c>
      <c r="L2036">
        <v>804</v>
      </c>
      <c r="M2036" t="s">
        <v>2387</v>
      </c>
      <c r="N2036" t="s">
        <v>30</v>
      </c>
      <c r="O2036" t="s">
        <v>31</v>
      </c>
      <c r="P2036" t="str">
        <f>"15219"</f>
        <v>15219</v>
      </c>
    </row>
    <row r="2037" spans="1:16" x14ac:dyDescent="0.25">
      <c r="A2037" t="str">
        <f>"1060026J00226    00"</f>
        <v>1060026J00226    00</v>
      </c>
      <c r="B2037" t="s">
        <v>4678</v>
      </c>
      <c r="C2037" t="s">
        <v>4679</v>
      </c>
      <c r="D2037" t="s">
        <v>20</v>
      </c>
      <c r="E2037" t="s">
        <v>39</v>
      </c>
      <c r="F2037">
        <v>0</v>
      </c>
      <c r="G2037">
        <v>0</v>
      </c>
      <c r="H2037">
        <v>2</v>
      </c>
      <c r="I2037" s="3">
        <v>1906</v>
      </c>
      <c r="J2037" s="3">
        <v>0</v>
      </c>
      <c r="K2037" t="s">
        <v>4680</v>
      </c>
      <c r="L2037">
        <v>3401</v>
      </c>
      <c r="M2037" t="s">
        <v>3444</v>
      </c>
      <c r="N2037" t="s">
        <v>30</v>
      </c>
      <c r="O2037" t="s">
        <v>31</v>
      </c>
      <c r="P2037" t="str">
        <f t="shared" ref="P2037:P2042" si="33">"15213"</f>
        <v>15213</v>
      </c>
    </row>
    <row r="2038" spans="1:16" x14ac:dyDescent="0.25">
      <c r="A2038" t="str">
        <f>"1060026K00017    00"</f>
        <v>1060026K00017    00</v>
      </c>
      <c r="B2038" t="s">
        <v>4681</v>
      </c>
      <c r="C2038" t="s">
        <v>3561</v>
      </c>
      <c r="D2038" t="s">
        <v>20</v>
      </c>
      <c r="E2038" t="s">
        <v>39</v>
      </c>
      <c r="F2038">
        <v>0</v>
      </c>
      <c r="G2038">
        <v>0</v>
      </c>
      <c r="H2038">
        <v>1</v>
      </c>
      <c r="I2038" s="3">
        <v>87.68</v>
      </c>
      <c r="J2038" s="3">
        <v>0</v>
      </c>
      <c r="L2038">
        <v>3448</v>
      </c>
      <c r="M2038" t="s">
        <v>4682</v>
      </c>
      <c r="N2038" t="s">
        <v>30</v>
      </c>
      <c r="O2038" t="s">
        <v>31</v>
      </c>
      <c r="P2038" t="str">
        <f t="shared" si="33"/>
        <v>15213</v>
      </c>
    </row>
    <row r="2039" spans="1:16" x14ac:dyDescent="0.25">
      <c r="A2039" t="str">
        <f>"1060026K00018    00"</f>
        <v>1060026K00018    00</v>
      </c>
      <c r="B2039" t="s">
        <v>4681</v>
      </c>
      <c r="C2039" t="s">
        <v>4683</v>
      </c>
      <c r="D2039" t="s">
        <v>20</v>
      </c>
      <c r="E2039" t="s">
        <v>39</v>
      </c>
      <c r="F2039">
        <v>0</v>
      </c>
      <c r="G2039">
        <v>0</v>
      </c>
      <c r="H2039">
        <v>2</v>
      </c>
      <c r="I2039" s="3">
        <v>1251.44</v>
      </c>
      <c r="J2039" s="3">
        <v>0</v>
      </c>
      <c r="L2039">
        <v>3448</v>
      </c>
      <c r="M2039" t="s">
        <v>4682</v>
      </c>
      <c r="N2039" t="s">
        <v>30</v>
      </c>
      <c r="O2039" t="s">
        <v>31</v>
      </c>
      <c r="P2039" t="str">
        <f t="shared" si="33"/>
        <v>15213</v>
      </c>
    </row>
    <row r="2040" spans="1:16" x14ac:dyDescent="0.25">
      <c r="A2040" t="str">
        <f>"1060026K00045    00"</f>
        <v>1060026K00045    00</v>
      </c>
      <c r="B2040" t="s">
        <v>4684</v>
      </c>
      <c r="C2040" t="s">
        <v>3443</v>
      </c>
      <c r="D2040" t="s">
        <v>20</v>
      </c>
      <c r="E2040" t="s">
        <v>39</v>
      </c>
      <c r="F2040">
        <v>0</v>
      </c>
      <c r="G2040">
        <v>0</v>
      </c>
      <c r="H2040">
        <v>6</v>
      </c>
      <c r="I2040" s="3">
        <v>933.36</v>
      </c>
      <c r="J2040" s="3">
        <v>287.83999999999997</v>
      </c>
      <c r="L2040">
        <v>3425</v>
      </c>
      <c r="M2040" t="s">
        <v>4682</v>
      </c>
      <c r="N2040" t="s">
        <v>30</v>
      </c>
      <c r="O2040" t="s">
        <v>31</v>
      </c>
      <c r="P2040" t="str">
        <f t="shared" si="33"/>
        <v>15213</v>
      </c>
    </row>
    <row r="2041" spans="1:16" x14ac:dyDescent="0.25">
      <c r="A2041" t="str">
        <f>"1060026K00046    00"</f>
        <v>1060026K00046    00</v>
      </c>
      <c r="B2041" t="s">
        <v>4684</v>
      </c>
      <c r="C2041" t="s">
        <v>3443</v>
      </c>
      <c r="D2041" t="s">
        <v>20</v>
      </c>
      <c r="E2041" t="s">
        <v>39</v>
      </c>
      <c r="F2041">
        <v>0</v>
      </c>
      <c r="G2041">
        <v>0</v>
      </c>
      <c r="H2041">
        <v>6</v>
      </c>
      <c r="I2041" s="3">
        <v>454.94</v>
      </c>
      <c r="J2041" s="3">
        <v>142.63</v>
      </c>
      <c r="L2041">
        <v>3425</v>
      </c>
      <c r="M2041" t="s">
        <v>4682</v>
      </c>
      <c r="N2041" t="s">
        <v>30</v>
      </c>
      <c r="O2041" t="s">
        <v>31</v>
      </c>
      <c r="P2041" t="str">
        <f t="shared" si="33"/>
        <v>15213</v>
      </c>
    </row>
    <row r="2042" spans="1:16" x14ac:dyDescent="0.25">
      <c r="A2042" t="str">
        <f>"1060026K00047    00"</f>
        <v>1060026K00047    00</v>
      </c>
      <c r="B2042" t="s">
        <v>4684</v>
      </c>
      <c r="C2042" t="s">
        <v>4685</v>
      </c>
      <c r="D2042" t="s">
        <v>20</v>
      </c>
      <c r="E2042" t="s">
        <v>39</v>
      </c>
      <c r="F2042">
        <v>0</v>
      </c>
      <c r="G2042">
        <v>0</v>
      </c>
      <c r="H2042">
        <v>5</v>
      </c>
      <c r="I2042" s="3">
        <v>2946.86</v>
      </c>
      <c r="J2042" s="3">
        <v>991.39</v>
      </c>
      <c r="L2042">
        <v>3425</v>
      </c>
      <c r="M2042" t="s">
        <v>4682</v>
      </c>
      <c r="N2042" t="s">
        <v>30</v>
      </c>
      <c r="O2042" t="s">
        <v>31</v>
      </c>
      <c r="P2042" t="str">
        <f t="shared" si="33"/>
        <v>15213</v>
      </c>
    </row>
    <row r="2043" spans="1:16" x14ac:dyDescent="0.25">
      <c r="A2043" t="str">
        <f>"1060026K00052    00"</f>
        <v>1060026K00052    00</v>
      </c>
      <c r="B2043" t="s">
        <v>4686</v>
      </c>
      <c r="C2043" t="s">
        <v>3443</v>
      </c>
      <c r="D2043" t="s">
        <v>20</v>
      </c>
      <c r="E2043" t="s">
        <v>39</v>
      </c>
      <c r="F2043">
        <v>0</v>
      </c>
      <c r="G2043">
        <v>0</v>
      </c>
      <c r="H2043">
        <v>15</v>
      </c>
      <c r="I2043" s="3">
        <v>4596.03</v>
      </c>
      <c r="J2043" s="3">
        <v>2551.92</v>
      </c>
      <c r="L2043">
        <v>7087</v>
      </c>
      <c r="M2043" t="s">
        <v>4687</v>
      </c>
      <c r="N2043" t="s">
        <v>3934</v>
      </c>
      <c r="O2043" t="s">
        <v>31</v>
      </c>
      <c r="P2043" t="str">
        <f>"15102"</f>
        <v>15102</v>
      </c>
    </row>
    <row r="2044" spans="1:16" x14ac:dyDescent="0.25">
      <c r="A2044" t="str">
        <f>"1060026K00053    00"</f>
        <v>1060026K00053    00</v>
      </c>
      <c r="B2044" t="s">
        <v>4688</v>
      </c>
      <c r="C2044" t="s">
        <v>4689</v>
      </c>
      <c r="D2044" t="s">
        <v>20</v>
      </c>
      <c r="E2044" t="s">
        <v>39</v>
      </c>
      <c r="F2044">
        <v>0</v>
      </c>
      <c r="G2044">
        <v>0</v>
      </c>
      <c r="H2044">
        <v>12</v>
      </c>
      <c r="I2044" s="3">
        <v>6646.35</v>
      </c>
      <c r="J2044" s="3">
        <v>3596.43</v>
      </c>
      <c r="L2044">
        <v>3431</v>
      </c>
      <c r="M2044" t="s">
        <v>3444</v>
      </c>
      <c r="N2044" t="s">
        <v>30</v>
      </c>
      <c r="O2044" t="s">
        <v>31</v>
      </c>
      <c r="P2044" t="str">
        <f>"15213"</f>
        <v>15213</v>
      </c>
    </row>
    <row r="2045" spans="1:16" x14ac:dyDescent="0.25">
      <c r="A2045" t="str">
        <f>"1060026K00055    00"</f>
        <v>1060026K00055    00</v>
      </c>
      <c r="B2045" t="s">
        <v>4690</v>
      </c>
      <c r="C2045" t="s">
        <v>3443</v>
      </c>
      <c r="D2045" t="s">
        <v>20</v>
      </c>
      <c r="E2045" t="s">
        <v>39</v>
      </c>
      <c r="F2045">
        <v>0</v>
      </c>
      <c r="G2045">
        <v>0</v>
      </c>
      <c r="H2045">
        <v>15</v>
      </c>
      <c r="I2045" s="3">
        <v>1265.8699999999999</v>
      </c>
      <c r="J2045" s="3">
        <v>1764.99</v>
      </c>
      <c r="L2045">
        <v>3425</v>
      </c>
      <c r="M2045" t="s">
        <v>3444</v>
      </c>
      <c r="N2045" t="s">
        <v>30</v>
      </c>
      <c r="O2045" t="s">
        <v>31</v>
      </c>
      <c r="P2045" t="str">
        <f>"15213"</f>
        <v>15213</v>
      </c>
    </row>
    <row r="2046" spans="1:16" x14ac:dyDescent="0.25">
      <c r="A2046" t="str">
        <f>"1060026K00067    00"</f>
        <v>1060026K00067    00</v>
      </c>
      <c r="B2046" t="s">
        <v>4691</v>
      </c>
      <c r="C2046" t="s">
        <v>4692</v>
      </c>
      <c r="D2046" t="s">
        <v>20</v>
      </c>
      <c r="E2046" t="s">
        <v>39</v>
      </c>
      <c r="F2046">
        <v>0</v>
      </c>
      <c r="G2046">
        <v>0</v>
      </c>
      <c r="H2046">
        <v>5</v>
      </c>
      <c r="I2046" s="3">
        <v>2709.18</v>
      </c>
      <c r="J2046" s="3">
        <v>498.06</v>
      </c>
      <c r="L2046">
        <v>189</v>
      </c>
      <c r="M2046" t="s">
        <v>4693</v>
      </c>
      <c r="N2046" t="s">
        <v>30</v>
      </c>
      <c r="O2046" t="s">
        <v>31</v>
      </c>
      <c r="P2046" t="str">
        <f>"15201"</f>
        <v>15201</v>
      </c>
    </row>
    <row r="2047" spans="1:16" x14ac:dyDescent="0.25">
      <c r="A2047" t="str">
        <f>"1060048H00036    00"</f>
        <v>1060048H00036    00</v>
      </c>
      <c r="B2047" t="s">
        <v>4694</v>
      </c>
      <c r="C2047" t="s">
        <v>4695</v>
      </c>
      <c r="D2047" t="s">
        <v>20</v>
      </c>
      <c r="E2047" t="s">
        <v>513</v>
      </c>
      <c r="F2047">
        <v>0</v>
      </c>
      <c r="G2047">
        <v>0</v>
      </c>
      <c r="H2047">
        <v>4</v>
      </c>
      <c r="I2047" s="3">
        <v>38.44</v>
      </c>
      <c r="J2047" s="3">
        <v>42.68</v>
      </c>
      <c r="K2047" t="s">
        <v>4696</v>
      </c>
      <c r="L2047">
        <v>25</v>
      </c>
      <c r="M2047" t="s">
        <v>4697</v>
      </c>
      <c r="N2047" t="s">
        <v>4698</v>
      </c>
      <c r="O2047" t="s">
        <v>31</v>
      </c>
      <c r="P2047" t="str">
        <f>"15683"</f>
        <v>15683</v>
      </c>
    </row>
    <row r="2048" spans="1:16" x14ac:dyDescent="0.25">
      <c r="A2048" t="str">
        <f>"1060048H00088    00"</f>
        <v>1060048H00088    00</v>
      </c>
      <c r="B2048" t="s">
        <v>4699</v>
      </c>
      <c r="C2048" t="s">
        <v>4700</v>
      </c>
      <c r="D2048" t="s">
        <v>20</v>
      </c>
      <c r="E2048" t="s">
        <v>21</v>
      </c>
      <c r="F2048">
        <v>0</v>
      </c>
      <c r="G2048">
        <v>0</v>
      </c>
      <c r="H2048">
        <v>2</v>
      </c>
      <c r="I2048" s="3">
        <v>38898.17</v>
      </c>
      <c r="J2048" s="3">
        <v>0</v>
      </c>
      <c r="K2048" t="s">
        <v>4701</v>
      </c>
      <c r="L2048">
        <v>50</v>
      </c>
      <c r="M2048" t="s">
        <v>4702</v>
      </c>
      <c r="N2048" t="s">
        <v>30</v>
      </c>
      <c r="O2048" t="s">
        <v>31</v>
      </c>
      <c r="P2048" t="str">
        <f>"15201"</f>
        <v>15201</v>
      </c>
    </row>
    <row r="2049" spans="1:16" x14ac:dyDescent="0.25">
      <c r="A2049" t="str">
        <f>"1060048H00200    01"</f>
        <v>1060048H00200    01</v>
      </c>
      <c r="B2049" t="s">
        <v>4703</v>
      </c>
      <c r="C2049" t="s">
        <v>4704</v>
      </c>
      <c r="E2049" t="s">
        <v>513</v>
      </c>
      <c r="F2049">
        <v>0</v>
      </c>
      <c r="G2049">
        <v>0</v>
      </c>
      <c r="H2049">
        <v>4</v>
      </c>
      <c r="I2049" s="3">
        <v>25744.93</v>
      </c>
      <c r="J2049" s="3">
        <v>37426.160000000003</v>
      </c>
      <c r="K2049" t="s">
        <v>2273</v>
      </c>
      <c r="L2049">
        <v>500</v>
      </c>
      <c r="M2049" t="s">
        <v>4705</v>
      </c>
      <c r="N2049" t="s">
        <v>3919</v>
      </c>
      <c r="O2049" t="s">
        <v>370</v>
      </c>
      <c r="P2049" t="str">
        <f>"32202"</f>
        <v>32202</v>
      </c>
    </row>
    <row r="2050" spans="1:16" x14ac:dyDescent="0.25">
      <c r="A2050" t="str">
        <f>"1060048M00007    00"</f>
        <v>1060048M00007    00</v>
      </c>
      <c r="B2050" t="s">
        <v>4706</v>
      </c>
      <c r="C2050" t="s">
        <v>4707</v>
      </c>
      <c r="D2050" t="s">
        <v>20</v>
      </c>
      <c r="E2050" t="s">
        <v>39</v>
      </c>
      <c r="F2050">
        <v>0</v>
      </c>
      <c r="G2050">
        <v>0</v>
      </c>
      <c r="H2050">
        <v>1</v>
      </c>
      <c r="I2050" s="3">
        <v>2782.76</v>
      </c>
      <c r="J2050" s="3">
        <v>0</v>
      </c>
      <c r="K2050" t="s">
        <v>426</v>
      </c>
      <c r="L2050">
        <v>2570</v>
      </c>
      <c r="M2050" t="s">
        <v>427</v>
      </c>
      <c r="N2050" t="s">
        <v>30</v>
      </c>
      <c r="O2050" t="s">
        <v>31</v>
      </c>
      <c r="P2050" t="str">
        <f>"15241"</f>
        <v>15241</v>
      </c>
    </row>
    <row r="2051" spans="1:16" x14ac:dyDescent="0.25">
      <c r="A2051" t="str">
        <f>"1060048M00013    00"</f>
        <v>1060048M00013    00</v>
      </c>
      <c r="B2051" t="s">
        <v>4708</v>
      </c>
      <c r="C2051" t="s">
        <v>4709</v>
      </c>
      <c r="D2051" t="s">
        <v>57</v>
      </c>
      <c r="E2051" t="s">
        <v>39</v>
      </c>
      <c r="F2051">
        <v>0</v>
      </c>
      <c r="G2051">
        <v>0</v>
      </c>
      <c r="H2051">
        <v>1</v>
      </c>
      <c r="I2051" s="3">
        <v>1969.97</v>
      </c>
      <c r="J2051" s="3">
        <v>722.29</v>
      </c>
      <c r="K2051" t="s">
        <v>4710</v>
      </c>
      <c r="L2051">
        <v>7</v>
      </c>
      <c r="M2051" t="s">
        <v>4711</v>
      </c>
      <c r="N2051" t="s">
        <v>4712</v>
      </c>
      <c r="O2051" t="s">
        <v>31</v>
      </c>
      <c r="P2051" t="str">
        <f>"19004"</f>
        <v>19004</v>
      </c>
    </row>
    <row r="2052" spans="1:16" x14ac:dyDescent="0.25">
      <c r="A2052" t="str">
        <f>"1060048M00014    00"</f>
        <v>1060048M00014    00</v>
      </c>
      <c r="B2052" t="s">
        <v>4713</v>
      </c>
      <c r="C2052" t="s">
        <v>4714</v>
      </c>
      <c r="E2052" t="s">
        <v>39</v>
      </c>
      <c r="F2052">
        <v>0</v>
      </c>
      <c r="G2052">
        <v>0</v>
      </c>
      <c r="H2052">
        <v>1</v>
      </c>
      <c r="I2052" s="3">
        <v>2274.1999999999998</v>
      </c>
      <c r="J2052" s="3">
        <v>1004.4</v>
      </c>
      <c r="K2052" t="s">
        <v>4715</v>
      </c>
      <c r="L2052">
        <v>600</v>
      </c>
      <c r="M2052" t="s">
        <v>4716</v>
      </c>
      <c r="N2052" t="s">
        <v>4717</v>
      </c>
      <c r="O2052" t="s">
        <v>4718</v>
      </c>
      <c r="P2052" t="str">
        <f>"55426"</f>
        <v>55426</v>
      </c>
    </row>
    <row r="2053" spans="1:16" x14ac:dyDescent="0.25">
      <c r="A2053" t="str">
        <f>"1060048M00021    00"</f>
        <v>1060048M00021    00</v>
      </c>
      <c r="B2053" t="s">
        <v>4719</v>
      </c>
      <c r="C2053" t="s">
        <v>4720</v>
      </c>
      <c r="D2053" t="s">
        <v>20</v>
      </c>
      <c r="E2053" t="s">
        <v>39</v>
      </c>
      <c r="F2053">
        <v>0</v>
      </c>
      <c r="G2053">
        <v>0</v>
      </c>
      <c r="H2053">
        <v>3</v>
      </c>
      <c r="I2053" s="3">
        <v>11777.19</v>
      </c>
      <c r="J2053" s="3">
        <v>134.69999999999999</v>
      </c>
      <c r="K2053" t="s">
        <v>484</v>
      </c>
      <c r="L2053">
        <v>3001</v>
      </c>
      <c r="M2053" t="s">
        <v>330</v>
      </c>
      <c r="N2053" t="s">
        <v>331</v>
      </c>
      <c r="O2053" t="s">
        <v>108</v>
      </c>
      <c r="P2053" t="str">
        <f>"75063"</f>
        <v>75063</v>
      </c>
    </row>
    <row r="2054" spans="1:16" x14ac:dyDescent="0.25">
      <c r="A2054" t="str">
        <f>"1060048R00160    00"</f>
        <v>1060048R00160    00</v>
      </c>
      <c r="B2054" t="s">
        <v>4721</v>
      </c>
      <c r="C2054" t="s">
        <v>4722</v>
      </c>
      <c r="D2054" t="s">
        <v>20</v>
      </c>
      <c r="E2054" t="s">
        <v>290</v>
      </c>
      <c r="F2054">
        <v>0</v>
      </c>
      <c r="G2054">
        <v>0</v>
      </c>
      <c r="H2054">
        <v>1</v>
      </c>
      <c r="I2054" s="3">
        <v>74.06</v>
      </c>
      <c r="J2054" s="3">
        <v>0</v>
      </c>
      <c r="L2054">
        <v>22806</v>
      </c>
      <c r="M2054" t="s">
        <v>4723</v>
      </c>
      <c r="N2054" t="s">
        <v>652</v>
      </c>
      <c r="O2054" t="s">
        <v>108</v>
      </c>
      <c r="P2054" t="str">
        <f>"77095"</f>
        <v>77095</v>
      </c>
    </row>
    <row r="2055" spans="1:16" x14ac:dyDescent="0.25">
      <c r="A2055" t="str">
        <f>"1060048S00055    00"</f>
        <v>1060048S00055    00</v>
      </c>
      <c r="B2055" t="s">
        <v>4724</v>
      </c>
      <c r="C2055" t="s">
        <v>4725</v>
      </c>
      <c r="D2055" t="s">
        <v>20</v>
      </c>
      <c r="E2055" t="s">
        <v>290</v>
      </c>
      <c r="F2055">
        <v>0</v>
      </c>
      <c r="G2055">
        <v>0</v>
      </c>
      <c r="H2055">
        <v>1</v>
      </c>
      <c r="I2055" s="3">
        <v>4341.87</v>
      </c>
      <c r="J2055" s="3">
        <v>0</v>
      </c>
      <c r="K2055" t="s">
        <v>4726</v>
      </c>
      <c r="L2055">
        <v>3509</v>
      </c>
      <c r="M2055" t="s">
        <v>601</v>
      </c>
      <c r="N2055" t="s">
        <v>30</v>
      </c>
      <c r="O2055" t="s">
        <v>31</v>
      </c>
      <c r="P2055" t="str">
        <f>"15201"</f>
        <v>15201</v>
      </c>
    </row>
    <row r="2056" spans="1:16" x14ac:dyDescent="0.25">
      <c r="A2056" t="str">
        <f>"1060048S00120    00"</f>
        <v>1060048S00120    00</v>
      </c>
      <c r="B2056" t="s">
        <v>4727</v>
      </c>
      <c r="C2056" t="s">
        <v>4728</v>
      </c>
      <c r="D2056" t="s">
        <v>20</v>
      </c>
      <c r="E2056" t="s">
        <v>39</v>
      </c>
      <c r="F2056">
        <v>0</v>
      </c>
      <c r="G2056">
        <v>0</v>
      </c>
      <c r="H2056">
        <v>3</v>
      </c>
      <c r="I2056" s="3">
        <v>909.18</v>
      </c>
      <c r="J2056" s="3">
        <v>60.61</v>
      </c>
      <c r="K2056" t="s">
        <v>4729</v>
      </c>
      <c r="L2056">
        <v>239</v>
      </c>
      <c r="M2056" t="s">
        <v>4730</v>
      </c>
      <c r="N2056" t="s">
        <v>30</v>
      </c>
      <c r="O2056" t="s">
        <v>31</v>
      </c>
      <c r="P2056" t="str">
        <f>"15222"</f>
        <v>15222</v>
      </c>
    </row>
    <row r="2057" spans="1:16" x14ac:dyDescent="0.25">
      <c r="A2057" t="str">
        <f>"1060048S00136    00"</f>
        <v>1060048S00136    00</v>
      </c>
      <c r="B2057" t="s">
        <v>4382</v>
      </c>
      <c r="C2057" t="s">
        <v>4731</v>
      </c>
      <c r="D2057" t="s">
        <v>20</v>
      </c>
      <c r="E2057" t="s">
        <v>21</v>
      </c>
      <c r="F2057">
        <v>0</v>
      </c>
      <c r="G2057">
        <v>0</v>
      </c>
      <c r="H2057">
        <v>1</v>
      </c>
      <c r="I2057" s="3">
        <v>1286.56</v>
      </c>
      <c r="J2057" s="3">
        <v>0</v>
      </c>
      <c r="L2057">
        <v>204</v>
      </c>
      <c r="M2057" t="s">
        <v>4384</v>
      </c>
      <c r="N2057" t="s">
        <v>139</v>
      </c>
      <c r="O2057" t="s">
        <v>31</v>
      </c>
      <c r="P2057" t="str">
        <f>"15090"</f>
        <v>15090</v>
      </c>
    </row>
    <row r="2058" spans="1:16" x14ac:dyDescent="0.25">
      <c r="A2058" t="str">
        <f>"1060048S00163000300"</f>
        <v>1060048S00163000300</v>
      </c>
      <c r="B2058" t="s">
        <v>4732</v>
      </c>
      <c r="C2058" t="s">
        <v>4733</v>
      </c>
      <c r="D2058" t="s">
        <v>20</v>
      </c>
      <c r="E2058" t="s">
        <v>39</v>
      </c>
      <c r="F2058">
        <v>0</v>
      </c>
      <c r="G2058">
        <v>0</v>
      </c>
      <c r="H2058">
        <v>2</v>
      </c>
      <c r="I2058" s="3">
        <v>153.30000000000001</v>
      </c>
      <c r="J2058" s="3">
        <v>0</v>
      </c>
      <c r="L2058">
        <v>129</v>
      </c>
      <c r="M2058" t="s">
        <v>4734</v>
      </c>
      <c r="N2058" t="s">
        <v>30</v>
      </c>
      <c r="O2058" t="s">
        <v>31</v>
      </c>
      <c r="P2058" t="str">
        <f>"15203"</f>
        <v>15203</v>
      </c>
    </row>
    <row r="2059" spans="1:16" x14ac:dyDescent="0.25">
      <c r="A2059" t="str">
        <f>"1060048S00163000500"</f>
        <v>1060048S00163000500</v>
      </c>
      <c r="B2059" t="s">
        <v>4735</v>
      </c>
      <c r="C2059" t="s">
        <v>4733</v>
      </c>
      <c r="D2059" t="s">
        <v>20</v>
      </c>
      <c r="E2059" t="s">
        <v>39</v>
      </c>
      <c r="F2059">
        <v>0</v>
      </c>
      <c r="G2059">
        <v>0</v>
      </c>
      <c r="H2059">
        <v>2</v>
      </c>
      <c r="I2059" s="3">
        <v>27.87</v>
      </c>
      <c r="J2059" s="3">
        <v>0</v>
      </c>
      <c r="L2059">
        <v>129</v>
      </c>
      <c r="M2059" t="s">
        <v>4734</v>
      </c>
      <c r="N2059" t="s">
        <v>30</v>
      </c>
      <c r="O2059" t="s">
        <v>31</v>
      </c>
      <c r="P2059" t="str">
        <f>"15203"</f>
        <v>15203</v>
      </c>
    </row>
    <row r="2060" spans="1:16" x14ac:dyDescent="0.25">
      <c r="A2060" t="str">
        <f>"1060048S00165    00"</f>
        <v>1060048S00165    00</v>
      </c>
      <c r="B2060" t="s">
        <v>4736</v>
      </c>
      <c r="C2060" t="s">
        <v>4737</v>
      </c>
      <c r="D2060" t="s">
        <v>20</v>
      </c>
      <c r="E2060" t="s">
        <v>39</v>
      </c>
      <c r="F2060">
        <v>0</v>
      </c>
      <c r="G2060">
        <v>0</v>
      </c>
      <c r="H2060">
        <v>1</v>
      </c>
      <c r="I2060" s="3">
        <v>2865.2</v>
      </c>
      <c r="J2060" s="3">
        <v>0</v>
      </c>
      <c r="K2060" t="s">
        <v>445</v>
      </c>
      <c r="L2060">
        <v>1</v>
      </c>
      <c r="M2060" t="s">
        <v>1163</v>
      </c>
      <c r="N2060" t="s">
        <v>1164</v>
      </c>
      <c r="O2060" t="s">
        <v>108</v>
      </c>
      <c r="P2060" t="str">
        <f>"76262"</f>
        <v>76262</v>
      </c>
    </row>
    <row r="2061" spans="1:16" x14ac:dyDescent="0.25">
      <c r="A2061" t="str">
        <f>"1060048S00191    00"</f>
        <v>1060048S00191    00</v>
      </c>
      <c r="B2061" t="s">
        <v>4738</v>
      </c>
      <c r="C2061" t="s">
        <v>4739</v>
      </c>
      <c r="E2061" t="s">
        <v>39</v>
      </c>
      <c r="F2061">
        <v>0</v>
      </c>
      <c r="G2061">
        <v>0</v>
      </c>
      <c r="H2061">
        <v>1</v>
      </c>
      <c r="I2061" s="3">
        <v>5508.36</v>
      </c>
      <c r="J2061" s="3">
        <v>1101.6300000000001</v>
      </c>
      <c r="L2061">
        <v>343</v>
      </c>
      <c r="M2061" t="s">
        <v>1835</v>
      </c>
      <c r="N2061" t="s">
        <v>30</v>
      </c>
      <c r="O2061" t="s">
        <v>31</v>
      </c>
      <c r="P2061" t="str">
        <f>"15213"</f>
        <v>15213</v>
      </c>
    </row>
    <row r="2062" spans="1:16" x14ac:dyDescent="0.25">
      <c r="A2062" t="str">
        <f>"1060048S00204    00"</f>
        <v>1060048S00204    00</v>
      </c>
      <c r="B2062" t="s">
        <v>4740</v>
      </c>
      <c r="C2062" t="s">
        <v>4741</v>
      </c>
      <c r="D2062" t="s">
        <v>20</v>
      </c>
      <c r="E2062" t="s">
        <v>21</v>
      </c>
      <c r="F2062">
        <v>0</v>
      </c>
      <c r="G2062">
        <v>0</v>
      </c>
      <c r="H2062">
        <v>1</v>
      </c>
      <c r="I2062" s="3">
        <v>59953.24</v>
      </c>
      <c r="J2062" s="3">
        <v>0</v>
      </c>
      <c r="L2062">
        <v>4605</v>
      </c>
      <c r="M2062" t="s">
        <v>1818</v>
      </c>
      <c r="N2062" t="s">
        <v>30</v>
      </c>
      <c r="O2062" t="s">
        <v>31</v>
      </c>
      <c r="P2062" t="str">
        <f>"15207"</f>
        <v>15207</v>
      </c>
    </row>
    <row r="2063" spans="1:16" x14ac:dyDescent="0.25">
      <c r="A2063" t="str">
        <f>"1060048S0022000RA00"</f>
        <v>1060048S0022000RA00</v>
      </c>
      <c r="B2063" t="s">
        <v>4742</v>
      </c>
      <c r="C2063" t="s">
        <v>4743</v>
      </c>
      <c r="E2063" t="s">
        <v>21</v>
      </c>
      <c r="F2063">
        <v>0</v>
      </c>
      <c r="G2063">
        <v>0</v>
      </c>
      <c r="H2063">
        <v>1</v>
      </c>
      <c r="I2063" s="3">
        <v>3425.58</v>
      </c>
      <c r="J2063" s="3">
        <v>742.18</v>
      </c>
      <c r="L2063">
        <v>3400</v>
      </c>
      <c r="M2063" t="s">
        <v>841</v>
      </c>
      <c r="N2063" t="s">
        <v>30</v>
      </c>
      <c r="O2063" t="s">
        <v>31</v>
      </c>
      <c r="P2063" t="str">
        <f t="shared" ref="P2063:P2075" si="34">"15201"</f>
        <v>15201</v>
      </c>
    </row>
    <row r="2064" spans="1:16" x14ac:dyDescent="0.25">
      <c r="A2064" t="str">
        <f>"1060048S0022000RB00"</f>
        <v>1060048S0022000RB00</v>
      </c>
      <c r="B2064" t="s">
        <v>4742</v>
      </c>
      <c r="C2064" t="s">
        <v>4744</v>
      </c>
      <c r="E2064" t="s">
        <v>21</v>
      </c>
      <c r="F2064">
        <v>0</v>
      </c>
      <c r="G2064">
        <v>0</v>
      </c>
      <c r="H2064">
        <v>1</v>
      </c>
      <c r="I2064" s="3">
        <v>5729.99</v>
      </c>
      <c r="J2064" s="3">
        <v>1241.45</v>
      </c>
      <c r="L2064">
        <v>3400</v>
      </c>
      <c r="M2064" t="s">
        <v>841</v>
      </c>
      <c r="N2064" t="s">
        <v>30</v>
      </c>
      <c r="O2064" t="s">
        <v>31</v>
      </c>
      <c r="P2064" t="str">
        <f t="shared" si="34"/>
        <v>15201</v>
      </c>
    </row>
    <row r="2065" spans="1:16" x14ac:dyDescent="0.25">
      <c r="A2065" t="str">
        <f>"1060048S00220020100"</f>
        <v>1060048S00220020100</v>
      </c>
      <c r="B2065" t="s">
        <v>4742</v>
      </c>
      <c r="C2065" t="s">
        <v>4745</v>
      </c>
      <c r="E2065" t="s">
        <v>39</v>
      </c>
      <c r="F2065">
        <v>0</v>
      </c>
      <c r="G2065">
        <v>0</v>
      </c>
      <c r="H2065">
        <v>1</v>
      </c>
      <c r="I2065" s="3">
        <v>2200.34</v>
      </c>
      <c r="J2065" s="3">
        <v>476.72</v>
      </c>
      <c r="L2065">
        <v>3400</v>
      </c>
      <c r="M2065" t="s">
        <v>841</v>
      </c>
      <c r="N2065" t="s">
        <v>30</v>
      </c>
      <c r="O2065" t="s">
        <v>31</v>
      </c>
      <c r="P2065" t="str">
        <f t="shared" si="34"/>
        <v>15201</v>
      </c>
    </row>
    <row r="2066" spans="1:16" x14ac:dyDescent="0.25">
      <c r="A2066" t="str">
        <f>"1060048S00220020200"</f>
        <v>1060048S00220020200</v>
      </c>
      <c r="B2066" t="s">
        <v>4742</v>
      </c>
      <c r="C2066" t="s">
        <v>4746</v>
      </c>
      <c r="E2066" t="s">
        <v>39</v>
      </c>
      <c r="F2066">
        <v>0</v>
      </c>
      <c r="G2066">
        <v>0</v>
      </c>
      <c r="H2066">
        <v>1</v>
      </c>
      <c r="I2066" s="3">
        <v>3033</v>
      </c>
      <c r="J2066" s="3">
        <v>657.13</v>
      </c>
      <c r="L2066">
        <v>3400</v>
      </c>
      <c r="M2066" t="s">
        <v>841</v>
      </c>
      <c r="N2066" t="s">
        <v>30</v>
      </c>
      <c r="O2066" t="s">
        <v>31</v>
      </c>
      <c r="P2066" t="str">
        <f t="shared" si="34"/>
        <v>15201</v>
      </c>
    </row>
    <row r="2067" spans="1:16" x14ac:dyDescent="0.25">
      <c r="A2067" t="str">
        <f>"1060048S00220030100"</f>
        <v>1060048S00220030100</v>
      </c>
      <c r="B2067" t="s">
        <v>4742</v>
      </c>
      <c r="C2067" t="s">
        <v>4747</v>
      </c>
      <c r="E2067" t="s">
        <v>39</v>
      </c>
      <c r="F2067">
        <v>0</v>
      </c>
      <c r="G2067">
        <v>0</v>
      </c>
      <c r="H2067">
        <v>1</v>
      </c>
      <c r="I2067" s="3">
        <v>2200.34</v>
      </c>
      <c r="J2067" s="3">
        <v>476.72</v>
      </c>
      <c r="L2067">
        <v>3400</v>
      </c>
      <c r="M2067" t="s">
        <v>841</v>
      </c>
      <c r="N2067" t="s">
        <v>30</v>
      </c>
      <c r="O2067" t="s">
        <v>31</v>
      </c>
      <c r="P2067" t="str">
        <f t="shared" si="34"/>
        <v>15201</v>
      </c>
    </row>
    <row r="2068" spans="1:16" x14ac:dyDescent="0.25">
      <c r="A2068" t="str">
        <f>"1060048S00220030200"</f>
        <v>1060048S00220030200</v>
      </c>
      <c r="B2068" t="s">
        <v>4742</v>
      </c>
      <c r="C2068" t="s">
        <v>4748</v>
      </c>
      <c r="E2068" t="s">
        <v>39</v>
      </c>
      <c r="F2068">
        <v>0</v>
      </c>
      <c r="G2068">
        <v>0</v>
      </c>
      <c r="H2068">
        <v>1</v>
      </c>
      <c r="I2068" s="3">
        <v>3033</v>
      </c>
      <c r="J2068" s="3">
        <v>657.13</v>
      </c>
      <c r="L2068">
        <v>3400</v>
      </c>
      <c r="M2068" t="s">
        <v>841</v>
      </c>
      <c r="N2068" t="s">
        <v>30</v>
      </c>
      <c r="O2068" t="s">
        <v>31</v>
      </c>
      <c r="P2068" t="str">
        <f t="shared" si="34"/>
        <v>15201</v>
      </c>
    </row>
    <row r="2069" spans="1:16" x14ac:dyDescent="0.25">
      <c r="A2069" t="str">
        <f>"1060048S00220030300"</f>
        <v>1060048S00220030300</v>
      </c>
      <c r="B2069" t="s">
        <v>4742</v>
      </c>
      <c r="C2069" t="s">
        <v>4749</v>
      </c>
      <c r="E2069" t="s">
        <v>39</v>
      </c>
      <c r="F2069">
        <v>0</v>
      </c>
      <c r="G2069">
        <v>0</v>
      </c>
      <c r="H2069">
        <v>1</v>
      </c>
      <c r="I2069" s="3">
        <v>3217.41</v>
      </c>
      <c r="J2069" s="3">
        <v>697.07</v>
      </c>
      <c r="L2069">
        <v>3400</v>
      </c>
      <c r="M2069" t="s">
        <v>841</v>
      </c>
      <c r="N2069" t="s">
        <v>30</v>
      </c>
      <c r="O2069" t="s">
        <v>31</v>
      </c>
      <c r="P2069" t="str">
        <f t="shared" si="34"/>
        <v>15201</v>
      </c>
    </row>
    <row r="2070" spans="1:16" x14ac:dyDescent="0.25">
      <c r="A2070" t="str">
        <f>"1060048S00220030400"</f>
        <v>1060048S00220030400</v>
      </c>
      <c r="B2070" t="s">
        <v>4742</v>
      </c>
      <c r="C2070" t="s">
        <v>4750</v>
      </c>
      <c r="E2070" t="s">
        <v>39</v>
      </c>
      <c r="F2070">
        <v>0</v>
      </c>
      <c r="G2070">
        <v>0</v>
      </c>
      <c r="H2070">
        <v>1</v>
      </c>
      <c r="I2070" s="3">
        <v>2616.67</v>
      </c>
      <c r="J2070" s="3">
        <v>566.91999999999996</v>
      </c>
      <c r="L2070">
        <v>3400</v>
      </c>
      <c r="M2070" t="s">
        <v>841</v>
      </c>
      <c r="N2070" t="s">
        <v>30</v>
      </c>
      <c r="O2070" t="s">
        <v>31</v>
      </c>
      <c r="P2070" t="str">
        <f t="shared" si="34"/>
        <v>15201</v>
      </c>
    </row>
    <row r="2071" spans="1:16" x14ac:dyDescent="0.25">
      <c r="A2071" t="str">
        <f>"1060048S00220040100"</f>
        <v>1060048S00220040100</v>
      </c>
      <c r="B2071" t="s">
        <v>4742</v>
      </c>
      <c r="C2071" t="s">
        <v>4751</v>
      </c>
      <c r="E2071" t="s">
        <v>39</v>
      </c>
      <c r="F2071">
        <v>0</v>
      </c>
      <c r="G2071">
        <v>0</v>
      </c>
      <c r="H2071">
        <v>1</v>
      </c>
      <c r="I2071" s="3">
        <v>2200.34</v>
      </c>
      <c r="J2071" s="3">
        <v>476.72</v>
      </c>
      <c r="L2071">
        <v>3400</v>
      </c>
      <c r="M2071" t="s">
        <v>841</v>
      </c>
      <c r="N2071" t="s">
        <v>30</v>
      </c>
      <c r="O2071" t="s">
        <v>31</v>
      </c>
      <c r="P2071" t="str">
        <f t="shared" si="34"/>
        <v>15201</v>
      </c>
    </row>
    <row r="2072" spans="1:16" x14ac:dyDescent="0.25">
      <c r="A2072" t="str">
        <f>"1060048S00220040200"</f>
        <v>1060048S00220040200</v>
      </c>
      <c r="B2072" t="s">
        <v>4742</v>
      </c>
      <c r="C2072" t="s">
        <v>4752</v>
      </c>
      <c r="E2072" t="s">
        <v>39</v>
      </c>
      <c r="F2072">
        <v>0</v>
      </c>
      <c r="G2072">
        <v>0</v>
      </c>
      <c r="H2072">
        <v>1</v>
      </c>
      <c r="I2072" s="3">
        <v>3033</v>
      </c>
      <c r="J2072" s="3">
        <v>657.13</v>
      </c>
      <c r="L2072">
        <v>3400</v>
      </c>
      <c r="M2072" t="s">
        <v>841</v>
      </c>
      <c r="N2072" t="s">
        <v>30</v>
      </c>
      <c r="O2072" t="s">
        <v>31</v>
      </c>
      <c r="P2072" t="str">
        <f t="shared" si="34"/>
        <v>15201</v>
      </c>
    </row>
    <row r="2073" spans="1:16" x14ac:dyDescent="0.25">
      <c r="A2073" t="str">
        <f>"1060048S00220040300"</f>
        <v>1060048S00220040300</v>
      </c>
      <c r="B2073" t="s">
        <v>4742</v>
      </c>
      <c r="C2073" t="s">
        <v>4753</v>
      </c>
      <c r="E2073" t="s">
        <v>39</v>
      </c>
      <c r="F2073">
        <v>0</v>
      </c>
      <c r="G2073">
        <v>0</v>
      </c>
      <c r="H2073">
        <v>1</v>
      </c>
      <c r="I2073" s="3">
        <v>3217.41</v>
      </c>
      <c r="J2073" s="3">
        <v>697.07</v>
      </c>
      <c r="L2073">
        <v>3400</v>
      </c>
      <c r="M2073" t="s">
        <v>841</v>
      </c>
      <c r="N2073" t="s">
        <v>30</v>
      </c>
      <c r="O2073" t="s">
        <v>31</v>
      </c>
      <c r="P2073" t="str">
        <f t="shared" si="34"/>
        <v>15201</v>
      </c>
    </row>
    <row r="2074" spans="1:16" x14ac:dyDescent="0.25">
      <c r="A2074" t="str">
        <f>"1060048S00220040400"</f>
        <v>1060048S00220040400</v>
      </c>
      <c r="B2074" t="s">
        <v>4742</v>
      </c>
      <c r="C2074" t="s">
        <v>4754</v>
      </c>
      <c r="E2074" t="s">
        <v>39</v>
      </c>
      <c r="F2074">
        <v>0</v>
      </c>
      <c r="G2074">
        <v>0</v>
      </c>
      <c r="H2074">
        <v>1</v>
      </c>
      <c r="I2074" s="3">
        <v>2616.67</v>
      </c>
      <c r="J2074" s="3">
        <v>566.91999999999996</v>
      </c>
      <c r="L2074">
        <v>3400</v>
      </c>
      <c r="M2074" t="s">
        <v>841</v>
      </c>
      <c r="N2074" t="s">
        <v>30</v>
      </c>
      <c r="O2074" t="s">
        <v>31</v>
      </c>
      <c r="P2074" t="str">
        <f t="shared" si="34"/>
        <v>15201</v>
      </c>
    </row>
    <row r="2075" spans="1:16" x14ac:dyDescent="0.25">
      <c r="A2075" t="str">
        <f>"1060048S00239000300"</f>
        <v>1060048S00239000300</v>
      </c>
      <c r="B2075" t="s">
        <v>4732</v>
      </c>
      <c r="C2075" t="s">
        <v>4755</v>
      </c>
      <c r="D2075" t="s">
        <v>20</v>
      </c>
      <c r="E2075" t="s">
        <v>39</v>
      </c>
      <c r="F2075">
        <v>0</v>
      </c>
      <c r="G2075">
        <v>0</v>
      </c>
      <c r="H2075">
        <v>2</v>
      </c>
      <c r="I2075" s="3">
        <v>5897.3</v>
      </c>
      <c r="J2075" s="3">
        <v>0</v>
      </c>
      <c r="L2075">
        <v>3501</v>
      </c>
      <c r="M2075" t="s">
        <v>4756</v>
      </c>
      <c r="N2075" t="s">
        <v>30</v>
      </c>
      <c r="O2075" t="s">
        <v>31</v>
      </c>
      <c r="P2075" t="str">
        <f t="shared" si="34"/>
        <v>15201</v>
      </c>
    </row>
    <row r="2076" spans="1:16" x14ac:dyDescent="0.25">
      <c r="A2076" t="str">
        <f>"1060048S00239000500"</f>
        <v>1060048S00239000500</v>
      </c>
      <c r="B2076" t="s">
        <v>4735</v>
      </c>
      <c r="C2076" t="s">
        <v>4757</v>
      </c>
      <c r="D2076" t="s">
        <v>20</v>
      </c>
      <c r="E2076" t="s">
        <v>39</v>
      </c>
      <c r="F2076">
        <v>0</v>
      </c>
      <c r="G2076">
        <v>0</v>
      </c>
      <c r="H2076">
        <v>2</v>
      </c>
      <c r="I2076" s="3">
        <v>8034.94</v>
      </c>
      <c r="J2076" s="3">
        <v>0</v>
      </c>
      <c r="L2076">
        <v>301</v>
      </c>
      <c r="M2076" t="s">
        <v>4758</v>
      </c>
      <c r="N2076" t="s">
        <v>30</v>
      </c>
      <c r="O2076" t="s">
        <v>31</v>
      </c>
      <c r="P2076" t="str">
        <f>"15219"</f>
        <v>15219</v>
      </c>
    </row>
    <row r="2077" spans="1:16" x14ac:dyDescent="0.25">
      <c r="A2077" t="str">
        <f>"1060048S00246000100"</f>
        <v>1060048S00246000100</v>
      </c>
      <c r="B2077" t="s">
        <v>4759</v>
      </c>
      <c r="C2077" t="s">
        <v>4760</v>
      </c>
      <c r="E2077" t="s">
        <v>21</v>
      </c>
      <c r="F2077">
        <v>0</v>
      </c>
      <c r="G2077">
        <v>0</v>
      </c>
      <c r="H2077">
        <v>2</v>
      </c>
      <c r="I2077" s="3">
        <v>1480.72</v>
      </c>
      <c r="J2077" s="3">
        <v>6.14</v>
      </c>
      <c r="L2077">
        <v>329</v>
      </c>
      <c r="M2077" t="s">
        <v>4761</v>
      </c>
      <c r="N2077" t="s">
        <v>139</v>
      </c>
      <c r="O2077" t="s">
        <v>31</v>
      </c>
      <c r="P2077" t="str">
        <f>"15090"</f>
        <v>15090</v>
      </c>
    </row>
    <row r="2078" spans="1:16" x14ac:dyDescent="0.25">
      <c r="A2078" t="str">
        <f>"1060048S00246B   00"</f>
        <v>1060048S00246B   00</v>
      </c>
      <c r="B2078" t="s">
        <v>4759</v>
      </c>
      <c r="C2078" t="s">
        <v>4762</v>
      </c>
      <c r="E2078" t="s">
        <v>39</v>
      </c>
      <c r="F2078">
        <v>0</v>
      </c>
      <c r="G2078">
        <v>0</v>
      </c>
      <c r="H2078">
        <v>2</v>
      </c>
      <c r="I2078" s="3">
        <v>1089.1500000000001</v>
      </c>
      <c r="J2078" s="3">
        <v>4.5199999999999996</v>
      </c>
      <c r="L2078">
        <v>631</v>
      </c>
      <c r="M2078" t="s">
        <v>4763</v>
      </c>
      <c r="N2078" t="s">
        <v>4318</v>
      </c>
      <c r="O2078" t="s">
        <v>31</v>
      </c>
      <c r="P2078" t="str">
        <f>"16046"</f>
        <v>16046</v>
      </c>
    </row>
    <row r="2079" spans="1:16" x14ac:dyDescent="0.25">
      <c r="A2079" t="str">
        <f>"1060048S00250    00"</f>
        <v>1060048S00250    00</v>
      </c>
      <c r="B2079" t="s">
        <v>4764</v>
      </c>
      <c r="C2079" t="s">
        <v>4765</v>
      </c>
      <c r="E2079" t="s">
        <v>21</v>
      </c>
      <c r="F2079">
        <v>0</v>
      </c>
      <c r="G2079">
        <v>0</v>
      </c>
      <c r="H2079">
        <v>4</v>
      </c>
      <c r="I2079" s="3">
        <v>869.52</v>
      </c>
      <c r="J2079" s="3">
        <v>21.72</v>
      </c>
      <c r="K2079" t="s">
        <v>4766</v>
      </c>
      <c r="L2079">
        <v>357</v>
      </c>
      <c r="M2079" t="s">
        <v>4767</v>
      </c>
      <c r="N2079" t="s">
        <v>4768</v>
      </c>
      <c r="O2079" t="s">
        <v>31</v>
      </c>
      <c r="P2079" t="str">
        <f>"15137"</f>
        <v>15137</v>
      </c>
    </row>
    <row r="2080" spans="1:16" x14ac:dyDescent="0.25">
      <c r="A2080" t="str">
        <f>"1060048S00254    00"</f>
        <v>1060048S00254    00</v>
      </c>
      <c r="B2080" t="s">
        <v>4769</v>
      </c>
      <c r="C2080" t="s">
        <v>4770</v>
      </c>
      <c r="E2080" t="s">
        <v>39</v>
      </c>
      <c r="F2080">
        <v>0</v>
      </c>
      <c r="G2080">
        <v>0</v>
      </c>
      <c r="H2080">
        <v>2</v>
      </c>
      <c r="I2080" s="3">
        <v>38.06</v>
      </c>
      <c r="J2080" s="3">
        <v>3.81</v>
      </c>
      <c r="L2080">
        <v>3406</v>
      </c>
      <c r="M2080" t="s">
        <v>4771</v>
      </c>
      <c r="N2080" t="s">
        <v>30</v>
      </c>
      <c r="O2080" t="s">
        <v>31</v>
      </c>
      <c r="P2080" t="str">
        <f>"15201"</f>
        <v>15201</v>
      </c>
    </row>
    <row r="2081" spans="1:16" x14ac:dyDescent="0.25">
      <c r="A2081" t="str">
        <f>"1060048S00278    00"</f>
        <v>1060048S00278    00</v>
      </c>
      <c r="B2081" t="s">
        <v>4772</v>
      </c>
      <c r="C2081" t="s">
        <v>4773</v>
      </c>
      <c r="D2081" t="s">
        <v>20</v>
      </c>
      <c r="E2081" t="s">
        <v>21</v>
      </c>
      <c r="F2081">
        <v>0</v>
      </c>
      <c r="G2081">
        <v>0</v>
      </c>
      <c r="H2081">
        <v>1</v>
      </c>
      <c r="I2081" s="3">
        <v>665.2</v>
      </c>
      <c r="J2081" s="3">
        <v>0</v>
      </c>
      <c r="K2081" t="s">
        <v>241</v>
      </c>
      <c r="L2081">
        <v>5824</v>
      </c>
      <c r="M2081" t="s">
        <v>242</v>
      </c>
      <c r="N2081" t="s">
        <v>30</v>
      </c>
      <c r="O2081" t="s">
        <v>31</v>
      </c>
      <c r="P2081" t="str">
        <f>"15217"</f>
        <v>15217</v>
      </c>
    </row>
    <row r="2082" spans="1:16" x14ac:dyDescent="0.25">
      <c r="A2082" t="str">
        <f>"1060048S00279    00"</f>
        <v>1060048S00279    00</v>
      </c>
      <c r="B2082" t="s">
        <v>4774</v>
      </c>
      <c r="C2082" t="s">
        <v>4775</v>
      </c>
      <c r="D2082" t="s">
        <v>20</v>
      </c>
      <c r="E2082" t="s">
        <v>21</v>
      </c>
      <c r="F2082">
        <v>0</v>
      </c>
      <c r="G2082">
        <v>0</v>
      </c>
      <c r="H2082">
        <v>3</v>
      </c>
      <c r="I2082" s="3">
        <v>4259.9399999999996</v>
      </c>
      <c r="J2082" s="3">
        <v>283.99</v>
      </c>
      <c r="L2082">
        <v>3984</v>
      </c>
      <c r="M2082" t="s">
        <v>4776</v>
      </c>
      <c r="N2082" t="s">
        <v>195</v>
      </c>
      <c r="O2082" t="s">
        <v>31</v>
      </c>
      <c r="P2082" t="str">
        <f>"15101"</f>
        <v>15101</v>
      </c>
    </row>
    <row r="2083" spans="1:16" x14ac:dyDescent="0.25">
      <c r="A2083" t="str">
        <f>"1060049E00010    00"</f>
        <v>1060049E00010    00</v>
      </c>
      <c r="B2083" t="s">
        <v>4777</v>
      </c>
      <c r="C2083" t="s">
        <v>4778</v>
      </c>
      <c r="E2083" t="s">
        <v>39</v>
      </c>
      <c r="F2083">
        <v>0</v>
      </c>
      <c r="G2083">
        <v>0</v>
      </c>
      <c r="H2083">
        <v>1</v>
      </c>
      <c r="I2083" s="3">
        <v>2300.59</v>
      </c>
      <c r="J2083" s="3">
        <v>1840.4</v>
      </c>
      <c r="L2083">
        <v>5170</v>
      </c>
      <c r="M2083" t="s">
        <v>841</v>
      </c>
      <c r="N2083" t="s">
        <v>30</v>
      </c>
      <c r="O2083" t="s">
        <v>31</v>
      </c>
      <c r="P2083" t="str">
        <f>"15201"</f>
        <v>15201</v>
      </c>
    </row>
    <row r="2084" spans="1:16" x14ac:dyDescent="0.25">
      <c r="A2084" t="str">
        <f>"1060049E00017    00"</f>
        <v>1060049E00017    00</v>
      </c>
      <c r="B2084" t="s">
        <v>4779</v>
      </c>
      <c r="C2084" t="s">
        <v>4780</v>
      </c>
      <c r="E2084" t="s">
        <v>39</v>
      </c>
      <c r="F2084">
        <v>0</v>
      </c>
      <c r="G2084">
        <v>0</v>
      </c>
      <c r="H2084">
        <v>1</v>
      </c>
      <c r="I2084" s="3">
        <v>2725.6</v>
      </c>
      <c r="J2084" s="3">
        <v>545.1</v>
      </c>
      <c r="K2084" t="s">
        <v>4781</v>
      </c>
      <c r="L2084">
        <v>111</v>
      </c>
      <c r="M2084" t="s">
        <v>4782</v>
      </c>
      <c r="N2084" t="s">
        <v>4783</v>
      </c>
      <c r="O2084" t="s">
        <v>4784</v>
      </c>
      <c r="P2084" t="str">
        <f>"63146"</f>
        <v>63146</v>
      </c>
    </row>
    <row r="2085" spans="1:16" x14ac:dyDescent="0.25">
      <c r="A2085" t="str">
        <f>"1060049E00021    00"</f>
        <v>1060049E00021    00</v>
      </c>
      <c r="B2085" t="s">
        <v>4785</v>
      </c>
      <c r="C2085" t="s">
        <v>4786</v>
      </c>
      <c r="E2085" t="s">
        <v>39</v>
      </c>
      <c r="F2085">
        <v>0</v>
      </c>
      <c r="G2085">
        <v>0</v>
      </c>
      <c r="H2085">
        <v>1</v>
      </c>
      <c r="I2085" s="3">
        <v>900.65</v>
      </c>
      <c r="J2085" s="3">
        <v>247.67</v>
      </c>
      <c r="K2085" t="s">
        <v>4787</v>
      </c>
      <c r="L2085">
        <v>6200</v>
      </c>
      <c r="M2085" t="s">
        <v>4788</v>
      </c>
      <c r="N2085" t="s">
        <v>212</v>
      </c>
      <c r="O2085" t="s">
        <v>25</v>
      </c>
      <c r="P2085" t="str">
        <f>"44131"</f>
        <v>44131</v>
      </c>
    </row>
    <row r="2086" spans="1:16" x14ac:dyDescent="0.25">
      <c r="A2086" t="str">
        <f>"1060049E00054    00"</f>
        <v>1060049E00054    00</v>
      </c>
      <c r="B2086" t="s">
        <v>4789</v>
      </c>
      <c r="C2086" t="s">
        <v>4790</v>
      </c>
      <c r="E2086" t="s">
        <v>39</v>
      </c>
      <c r="F2086">
        <v>0</v>
      </c>
      <c r="G2086">
        <v>0</v>
      </c>
      <c r="H2086">
        <v>1</v>
      </c>
      <c r="I2086" s="3">
        <v>95.82</v>
      </c>
      <c r="J2086" s="3">
        <v>180.45</v>
      </c>
      <c r="K2086" t="s">
        <v>4791</v>
      </c>
      <c r="L2086">
        <v>3001</v>
      </c>
      <c r="M2086" t="s">
        <v>404</v>
      </c>
      <c r="N2086" t="s">
        <v>331</v>
      </c>
      <c r="O2086" t="s">
        <v>108</v>
      </c>
      <c r="P2086" t="str">
        <f>"75063"</f>
        <v>75063</v>
      </c>
    </row>
    <row r="2087" spans="1:16" x14ac:dyDescent="0.25">
      <c r="A2087" t="str">
        <f>"1060049E00057    00"</f>
        <v>1060049E00057    00</v>
      </c>
      <c r="B2087" t="s">
        <v>4792</v>
      </c>
      <c r="C2087" t="s">
        <v>4793</v>
      </c>
      <c r="D2087" t="s">
        <v>20</v>
      </c>
      <c r="E2087" t="s">
        <v>39</v>
      </c>
      <c r="F2087">
        <v>0</v>
      </c>
      <c r="G2087">
        <v>0</v>
      </c>
      <c r="H2087">
        <v>1</v>
      </c>
      <c r="I2087" s="3">
        <v>120.26</v>
      </c>
      <c r="J2087" s="3">
        <v>48.1</v>
      </c>
      <c r="K2087" t="s">
        <v>391</v>
      </c>
      <c r="L2087">
        <v>1</v>
      </c>
      <c r="M2087" t="s">
        <v>392</v>
      </c>
      <c r="N2087" t="s">
        <v>393</v>
      </c>
      <c r="O2087" t="s">
        <v>394</v>
      </c>
      <c r="P2087" t="str">
        <f>"50328"</f>
        <v>50328</v>
      </c>
    </row>
    <row r="2088" spans="1:16" x14ac:dyDescent="0.25">
      <c r="A2088" t="str">
        <f>"1060049E00065    00"</f>
        <v>1060049E00065    00</v>
      </c>
      <c r="B2088" t="s">
        <v>4794</v>
      </c>
      <c r="C2088" t="s">
        <v>4795</v>
      </c>
      <c r="D2088" t="s">
        <v>20</v>
      </c>
      <c r="E2088" t="s">
        <v>39</v>
      </c>
      <c r="F2088">
        <v>0</v>
      </c>
      <c r="G2088">
        <v>0</v>
      </c>
      <c r="H2088">
        <v>3</v>
      </c>
      <c r="I2088" s="3">
        <v>2980.54</v>
      </c>
      <c r="J2088" s="3">
        <v>158.47</v>
      </c>
      <c r="K2088" t="s">
        <v>4796</v>
      </c>
      <c r="L2088">
        <v>122</v>
      </c>
      <c r="M2088" t="s">
        <v>4797</v>
      </c>
      <c r="N2088" t="s">
        <v>30</v>
      </c>
      <c r="O2088" t="s">
        <v>31</v>
      </c>
      <c r="P2088" t="str">
        <f>"15209"</f>
        <v>15209</v>
      </c>
    </row>
    <row r="2089" spans="1:16" x14ac:dyDescent="0.25">
      <c r="A2089" t="str">
        <f>"1060049E00068    00"</f>
        <v>1060049E00068    00</v>
      </c>
      <c r="B2089" t="s">
        <v>4794</v>
      </c>
      <c r="C2089" t="s">
        <v>4798</v>
      </c>
      <c r="D2089" t="s">
        <v>20</v>
      </c>
      <c r="E2089" t="s">
        <v>39</v>
      </c>
      <c r="F2089">
        <v>0</v>
      </c>
      <c r="G2089">
        <v>0</v>
      </c>
      <c r="H2089">
        <v>3</v>
      </c>
      <c r="I2089" s="3">
        <v>3137.57</v>
      </c>
      <c r="J2089" s="3">
        <v>164.72</v>
      </c>
      <c r="L2089">
        <v>122</v>
      </c>
      <c r="M2089" t="s">
        <v>4797</v>
      </c>
      <c r="N2089" t="s">
        <v>30</v>
      </c>
      <c r="O2089" t="s">
        <v>31</v>
      </c>
      <c r="P2089" t="str">
        <f>"15209"</f>
        <v>15209</v>
      </c>
    </row>
    <row r="2090" spans="1:16" x14ac:dyDescent="0.25">
      <c r="A2090" t="str">
        <f>"1060049E00074    00"</f>
        <v>1060049E00074    00</v>
      </c>
      <c r="B2090" t="s">
        <v>4799</v>
      </c>
      <c r="C2090" t="s">
        <v>4800</v>
      </c>
      <c r="E2090" t="s">
        <v>39</v>
      </c>
      <c r="F2090">
        <v>0</v>
      </c>
      <c r="G2090">
        <v>0</v>
      </c>
      <c r="H2090">
        <v>1</v>
      </c>
      <c r="I2090" s="3">
        <v>1428.1</v>
      </c>
      <c r="J2090" s="3">
        <v>392.7</v>
      </c>
      <c r="K2090" t="s">
        <v>4801</v>
      </c>
      <c r="L2090">
        <v>1</v>
      </c>
      <c r="M2090" t="s">
        <v>4802</v>
      </c>
      <c r="N2090" t="s">
        <v>4803</v>
      </c>
      <c r="O2090" t="s">
        <v>554</v>
      </c>
      <c r="P2090" t="str">
        <f>"26003"</f>
        <v>26003</v>
      </c>
    </row>
    <row r="2091" spans="1:16" x14ac:dyDescent="0.25">
      <c r="A2091" t="str">
        <f>"1060049E00075    00"</f>
        <v>1060049E00075    00</v>
      </c>
      <c r="B2091" t="s">
        <v>4804</v>
      </c>
      <c r="C2091" t="s">
        <v>4805</v>
      </c>
      <c r="D2091" t="s">
        <v>20</v>
      </c>
      <c r="E2091" t="s">
        <v>39</v>
      </c>
      <c r="F2091">
        <v>0</v>
      </c>
      <c r="G2091">
        <v>0</v>
      </c>
      <c r="H2091">
        <v>2</v>
      </c>
      <c r="I2091" s="3">
        <v>1422.9</v>
      </c>
      <c r="J2091" s="3">
        <v>0</v>
      </c>
      <c r="L2091">
        <v>195</v>
      </c>
      <c r="M2091" t="s">
        <v>4806</v>
      </c>
      <c r="N2091" t="s">
        <v>30</v>
      </c>
      <c r="O2091" t="s">
        <v>31</v>
      </c>
      <c r="P2091" t="str">
        <f>"15201"</f>
        <v>15201</v>
      </c>
    </row>
    <row r="2092" spans="1:16" x14ac:dyDescent="0.25">
      <c r="A2092" t="str">
        <f>"1060049E00076    00"</f>
        <v>1060049E00076    00</v>
      </c>
      <c r="B2092" t="s">
        <v>4804</v>
      </c>
      <c r="C2092" t="s">
        <v>4807</v>
      </c>
      <c r="D2092" t="s">
        <v>20</v>
      </c>
      <c r="E2092" t="s">
        <v>39</v>
      </c>
      <c r="F2092">
        <v>0</v>
      </c>
      <c r="G2092">
        <v>0</v>
      </c>
      <c r="H2092">
        <v>3</v>
      </c>
      <c r="I2092" s="3">
        <v>3387.56</v>
      </c>
      <c r="J2092" s="3">
        <v>228.71</v>
      </c>
      <c r="L2092">
        <v>197</v>
      </c>
      <c r="M2092" t="s">
        <v>4806</v>
      </c>
      <c r="N2092" t="s">
        <v>30</v>
      </c>
      <c r="O2092" t="s">
        <v>31</v>
      </c>
      <c r="P2092" t="str">
        <f>"15201"</f>
        <v>15201</v>
      </c>
    </row>
    <row r="2093" spans="1:16" x14ac:dyDescent="0.25">
      <c r="A2093" t="str">
        <f>"1060049E00096A   00"</f>
        <v>1060049E00096A   00</v>
      </c>
      <c r="B2093" t="s">
        <v>4808</v>
      </c>
      <c r="C2093" t="s">
        <v>4809</v>
      </c>
      <c r="D2093" t="s">
        <v>57</v>
      </c>
      <c r="E2093" t="s">
        <v>39</v>
      </c>
      <c r="F2093">
        <v>0</v>
      </c>
      <c r="G2093">
        <v>0</v>
      </c>
      <c r="H2093">
        <v>2</v>
      </c>
      <c r="I2093" s="3">
        <v>3338.7</v>
      </c>
      <c r="J2093" s="3">
        <v>50.08</v>
      </c>
      <c r="L2093">
        <v>675</v>
      </c>
      <c r="M2093" t="s">
        <v>4810</v>
      </c>
      <c r="N2093" t="s">
        <v>4811</v>
      </c>
      <c r="O2093" t="s">
        <v>692</v>
      </c>
      <c r="P2093" t="str">
        <f>"22936"</f>
        <v>22936</v>
      </c>
    </row>
    <row r="2094" spans="1:16" x14ac:dyDescent="0.25">
      <c r="A2094" t="str">
        <f>"1060049E00106    00"</f>
        <v>1060049E00106    00</v>
      </c>
      <c r="B2094" t="s">
        <v>4812</v>
      </c>
      <c r="C2094" t="s">
        <v>4813</v>
      </c>
      <c r="D2094" t="s">
        <v>20</v>
      </c>
      <c r="E2094" t="s">
        <v>21</v>
      </c>
      <c r="F2094">
        <v>0</v>
      </c>
      <c r="G2094">
        <v>0</v>
      </c>
      <c r="H2094">
        <v>1</v>
      </c>
      <c r="I2094" s="3">
        <v>19.21</v>
      </c>
      <c r="J2094" s="3">
        <v>4.1399999999999997</v>
      </c>
      <c r="K2094" t="s">
        <v>4814</v>
      </c>
      <c r="L2094">
        <v>166</v>
      </c>
      <c r="M2094" t="s">
        <v>4815</v>
      </c>
      <c r="N2094" t="s">
        <v>30</v>
      </c>
      <c r="O2094" t="s">
        <v>31</v>
      </c>
      <c r="P2094" t="str">
        <f>"15201"</f>
        <v>15201</v>
      </c>
    </row>
    <row r="2095" spans="1:16" x14ac:dyDescent="0.25">
      <c r="A2095" t="str">
        <f>"1060049J00027    00"</f>
        <v>1060049J00027    00</v>
      </c>
      <c r="B2095" t="s">
        <v>4816</v>
      </c>
      <c r="C2095" t="s">
        <v>4817</v>
      </c>
      <c r="D2095" t="s">
        <v>20</v>
      </c>
      <c r="E2095" t="s">
        <v>21</v>
      </c>
      <c r="F2095">
        <v>0</v>
      </c>
      <c r="G2095">
        <v>0</v>
      </c>
      <c r="H2095">
        <v>1</v>
      </c>
      <c r="I2095" s="3">
        <v>2224.06</v>
      </c>
      <c r="J2095" s="3">
        <v>0</v>
      </c>
      <c r="K2095" t="s">
        <v>1802</v>
      </c>
      <c r="L2095">
        <v>901</v>
      </c>
      <c r="M2095" t="s">
        <v>1503</v>
      </c>
      <c r="N2095" t="s">
        <v>494</v>
      </c>
      <c r="O2095" t="s">
        <v>495</v>
      </c>
      <c r="P2095" t="str">
        <f>"91768"</f>
        <v>91768</v>
      </c>
    </row>
    <row r="2096" spans="1:16" x14ac:dyDescent="0.25">
      <c r="A2096" t="str">
        <f>"1060049J00070    00"</f>
        <v>1060049J00070    00</v>
      </c>
      <c r="B2096" t="s">
        <v>4818</v>
      </c>
      <c r="C2096" t="s">
        <v>4819</v>
      </c>
      <c r="E2096" t="s">
        <v>39</v>
      </c>
      <c r="F2096">
        <v>0</v>
      </c>
      <c r="G2096">
        <v>0</v>
      </c>
      <c r="H2096">
        <v>1</v>
      </c>
      <c r="I2096" s="3">
        <v>4079.28</v>
      </c>
      <c r="J2096" s="3">
        <v>1019.78</v>
      </c>
      <c r="K2096" t="s">
        <v>4820</v>
      </c>
      <c r="L2096">
        <v>3722</v>
      </c>
      <c r="M2096" t="s">
        <v>4771</v>
      </c>
      <c r="N2096" t="s">
        <v>30</v>
      </c>
      <c r="O2096" t="s">
        <v>31</v>
      </c>
      <c r="P2096" t="str">
        <f>"15201"</f>
        <v>15201</v>
      </c>
    </row>
    <row r="2097" spans="1:16" x14ac:dyDescent="0.25">
      <c r="A2097" t="str">
        <f>"1060049J00089010100"</f>
        <v>1060049J00089010100</v>
      </c>
      <c r="B2097" t="s">
        <v>4821</v>
      </c>
      <c r="C2097" t="s">
        <v>4822</v>
      </c>
      <c r="D2097" t="s">
        <v>20</v>
      </c>
      <c r="E2097" t="s">
        <v>21</v>
      </c>
      <c r="F2097">
        <v>0</v>
      </c>
      <c r="G2097">
        <v>0</v>
      </c>
      <c r="H2097">
        <v>2</v>
      </c>
      <c r="I2097" s="3">
        <v>1101.3399999999999</v>
      </c>
      <c r="J2097" s="3">
        <v>180.55</v>
      </c>
      <c r="K2097" t="s">
        <v>4823</v>
      </c>
      <c r="L2097">
        <v>4735</v>
      </c>
      <c r="M2097" t="s">
        <v>841</v>
      </c>
      <c r="N2097" t="s">
        <v>30</v>
      </c>
      <c r="O2097" t="s">
        <v>31</v>
      </c>
      <c r="P2097" t="str">
        <f>"15201"</f>
        <v>15201</v>
      </c>
    </row>
    <row r="2098" spans="1:16" x14ac:dyDescent="0.25">
      <c r="A2098" t="str">
        <f>"1060049J00089020900"</f>
        <v>1060049J00089020900</v>
      </c>
      <c r="B2098" t="s">
        <v>4824</v>
      </c>
      <c r="C2098" t="s">
        <v>4825</v>
      </c>
      <c r="D2098" t="s">
        <v>57</v>
      </c>
      <c r="E2098" t="s">
        <v>39</v>
      </c>
      <c r="F2098">
        <v>0</v>
      </c>
      <c r="G2098">
        <v>0</v>
      </c>
      <c r="H2098">
        <v>1</v>
      </c>
      <c r="I2098" s="3">
        <v>4085.92</v>
      </c>
      <c r="J2098" s="3">
        <v>0</v>
      </c>
      <c r="K2098" t="s">
        <v>4826</v>
      </c>
      <c r="L2098">
        <v>3725</v>
      </c>
      <c r="M2098" t="s">
        <v>4827</v>
      </c>
      <c r="N2098" t="s">
        <v>30</v>
      </c>
      <c r="O2098" t="s">
        <v>31</v>
      </c>
      <c r="P2098" t="str">
        <f>"15201"</f>
        <v>15201</v>
      </c>
    </row>
    <row r="2099" spans="1:16" x14ac:dyDescent="0.25">
      <c r="A2099" t="str">
        <f>"1060049J00089030200"</f>
        <v>1060049J00089030200</v>
      </c>
      <c r="B2099" t="s">
        <v>4828</v>
      </c>
      <c r="C2099" t="s">
        <v>4829</v>
      </c>
      <c r="E2099" t="s">
        <v>39</v>
      </c>
      <c r="F2099">
        <v>0</v>
      </c>
      <c r="G2099">
        <v>0</v>
      </c>
      <c r="H2099">
        <v>1</v>
      </c>
      <c r="I2099" s="3">
        <v>30.43</v>
      </c>
      <c r="J2099" s="3">
        <v>8.8800000000000008</v>
      </c>
      <c r="K2099" t="s">
        <v>563</v>
      </c>
      <c r="L2099">
        <v>3001</v>
      </c>
      <c r="M2099" t="s">
        <v>330</v>
      </c>
      <c r="N2099" t="s">
        <v>331</v>
      </c>
      <c r="O2099" t="s">
        <v>108</v>
      </c>
      <c r="P2099" t="str">
        <f>"75063"</f>
        <v>75063</v>
      </c>
    </row>
    <row r="2100" spans="1:16" x14ac:dyDescent="0.25">
      <c r="A2100" t="str">
        <f>"1060049J00089050300"</f>
        <v>1060049J00089050300</v>
      </c>
      <c r="B2100" t="s">
        <v>4830</v>
      </c>
      <c r="C2100" t="s">
        <v>4831</v>
      </c>
      <c r="D2100" t="s">
        <v>57</v>
      </c>
      <c r="E2100" t="s">
        <v>39</v>
      </c>
      <c r="F2100">
        <v>0</v>
      </c>
      <c r="G2100">
        <v>0</v>
      </c>
      <c r="H2100">
        <v>1</v>
      </c>
      <c r="I2100" s="3">
        <v>656.6</v>
      </c>
      <c r="J2100" s="3">
        <v>180.55</v>
      </c>
      <c r="K2100" t="s">
        <v>4832</v>
      </c>
      <c r="L2100">
        <v>3725</v>
      </c>
      <c r="M2100" t="s">
        <v>4833</v>
      </c>
      <c r="N2100" t="s">
        <v>30</v>
      </c>
      <c r="O2100" t="s">
        <v>31</v>
      </c>
      <c r="P2100" t="str">
        <f>"15201"</f>
        <v>15201</v>
      </c>
    </row>
    <row r="2101" spans="1:16" x14ac:dyDescent="0.25">
      <c r="A2101" t="str">
        <f>"1060049J00089206 00"</f>
        <v>1060049J00089206 00</v>
      </c>
      <c r="B2101" t="s">
        <v>4821</v>
      </c>
      <c r="C2101" t="s">
        <v>4834</v>
      </c>
      <c r="E2101" t="s">
        <v>39</v>
      </c>
      <c r="F2101">
        <v>0</v>
      </c>
      <c r="G2101">
        <v>0</v>
      </c>
      <c r="H2101">
        <v>1</v>
      </c>
      <c r="I2101" s="3">
        <v>639.1</v>
      </c>
      <c r="J2101" s="3">
        <v>186.4</v>
      </c>
      <c r="L2101">
        <v>4735</v>
      </c>
      <c r="M2101" t="s">
        <v>841</v>
      </c>
      <c r="N2101" t="s">
        <v>30</v>
      </c>
      <c r="O2101" t="s">
        <v>31</v>
      </c>
      <c r="P2101" t="str">
        <f>"15201"</f>
        <v>15201</v>
      </c>
    </row>
    <row r="2102" spans="1:16" x14ac:dyDescent="0.25">
      <c r="A2102" t="str">
        <f>"1060049J00089406 00"</f>
        <v>1060049J00089406 00</v>
      </c>
      <c r="B2102" t="s">
        <v>4835</v>
      </c>
      <c r="C2102" t="s">
        <v>4836</v>
      </c>
      <c r="D2102" t="s">
        <v>20</v>
      </c>
      <c r="E2102" t="s">
        <v>39</v>
      </c>
      <c r="F2102">
        <v>0</v>
      </c>
      <c r="G2102">
        <v>0</v>
      </c>
      <c r="H2102">
        <v>2</v>
      </c>
      <c r="I2102" s="3">
        <v>5643.8</v>
      </c>
      <c r="J2102" s="3">
        <v>0</v>
      </c>
      <c r="K2102" t="s">
        <v>484</v>
      </c>
      <c r="L2102">
        <v>3001</v>
      </c>
      <c r="M2102" t="s">
        <v>330</v>
      </c>
      <c r="N2102" t="s">
        <v>331</v>
      </c>
      <c r="O2102" t="s">
        <v>108</v>
      </c>
      <c r="P2102" t="str">
        <f>"75063"</f>
        <v>75063</v>
      </c>
    </row>
    <row r="2103" spans="1:16" x14ac:dyDescent="0.25">
      <c r="A2103" t="str">
        <f>"1060049J00099    00"</f>
        <v>1060049J00099    00</v>
      </c>
      <c r="B2103" t="s">
        <v>4837</v>
      </c>
      <c r="C2103" t="s">
        <v>4838</v>
      </c>
      <c r="E2103" t="s">
        <v>21</v>
      </c>
      <c r="F2103">
        <v>0</v>
      </c>
      <c r="G2103">
        <v>0</v>
      </c>
      <c r="H2103">
        <v>1</v>
      </c>
      <c r="I2103" s="3">
        <v>1473.31</v>
      </c>
      <c r="J2103" s="3">
        <v>1866.11</v>
      </c>
      <c r="L2103">
        <v>23</v>
      </c>
      <c r="M2103" t="s">
        <v>4839</v>
      </c>
      <c r="N2103" t="s">
        <v>30</v>
      </c>
      <c r="O2103" t="s">
        <v>31</v>
      </c>
      <c r="P2103" t="str">
        <f>"15222"</f>
        <v>15222</v>
      </c>
    </row>
    <row r="2104" spans="1:16" x14ac:dyDescent="0.25">
      <c r="A2104" t="str">
        <f>"1060049J00112    00"</f>
        <v>1060049J00112    00</v>
      </c>
      <c r="B2104" t="s">
        <v>4840</v>
      </c>
      <c r="C2104" t="s">
        <v>4841</v>
      </c>
      <c r="E2104" t="s">
        <v>21</v>
      </c>
      <c r="F2104">
        <v>0</v>
      </c>
      <c r="G2104">
        <v>0</v>
      </c>
      <c r="H2104">
        <v>4</v>
      </c>
      <c r="I2104" s="3">
        <v>330.8</v>
      </c>
      <c r="J2104" s="3">
        <v>8.26</v>
      </c>
      <c r="K2104" t="s">
        <v>4842</v>
      </c>
      <c r="L2104">
        <v>357</v>
      </c>
      <c r="M2104" t="s">
        <v>4767</v>
      </c>
      <c r="N2104" t="s">
        <v>4768</v>
      </c>
      <c r="O2104" t="s">
        <v>31</v>
      </c>
      <c r="P2104" t="str">
        <f>"15137"</f>
        <v>15137</v>
      </c>
    </row>
    <row r="2105" spans="1:16" x14ac:dyDescent="0.25">
      <c r="A2105" t="str">
        <f>"1060049J00123003B00"</f>
        <v>1060049J00123003B00</v>
      </c>
      <c r="B2105" t="s">
        <v>4843</v>
      </c>
      <c r="C2105" t="s">
        <v>4844</v>
      </c>
      <c r="E2105" t="s">
        <v>39</v>
      </c>
      <c r="F2105">
        <v>0</v>
      </c>
      <c r="G2105">
        <v>0</v>
      </c>
      <c r="H2105">
        <v>1</v>
      </c>
      <c r="I2105" s="3">
        <v>4526.66</v>
      </c>
      <c r="J2105" s="3">
        <v>1018.46</v>
      </c>
      <c r="L2105">
        <v>196</v>
      </c>
      <c r="M2105" t="s">
        <v>4845</v>
      </c>
      <c r="N2105" t="s">
        <v>30</v>
      </c>
      <c r="O2105" t="s">
        <v>31</v>
      </c>
      <c r="P2105" t="str">
        <f>"15201"</f>
        <v>15201</v>
      </c>
    </row>
    <row r="2106" spans="1:16" x14ac:dyDescent="0.25">
      <c r="A2106" t="str">
        <f>"1060049J00176    00"</f>
        <v>1060049J00176    00</v>
      </c>
      <c r="B2106" t="s">
        <v>4846</v>
      </c>
      <c r="C2106" t="s">
        <v>4847</v>
      </c>
      <c r="D2106" t="s">
        <v>20</v>
      </c>
      <c r="E2106" t="s">
        <v>39</v>
      </c>
      <c r="F2106">
        <v>0</v>
      </c>
      <c r="G2106">
        <v>0</v>
      </c>
      <c r="H2106">
        <v>1</v>
      </c>
      <c r="I2106" s="3">
        <v>909.18</v>
      </c>
      <c r="J2106" s="3">
        <v>0</v>
      </c>
      <c r="K2106" t="s">
        <v>4848</v>
      </c>
      <c r="L2106">
        <v>429</v>
      </c>
      <c r="M2106" t="s">
        <v>4849</v>
      </c>
      <c r="N2106" t="s">
        <v>30</v>
      </c>
      <c r="O2106" t="s">
        <v>31</v>
      </c>
      <c r="P2106" t="str">
        <f>"15219"</f>
        <v>15219</v>
      </c>
    </row>
    <row r="2107" spans="1:16" x14ac:dyDescent="0.25">
      <c r="A2107" t="str">
        <f>"1060049J00181    00"</f>
        <v>1060049J00181    00</v>
      </c>
      <c r="B2107" t="s">
        <v>4850</v>
      </c>
      <c r="C2107" t="s">
        <v>4851</v>
      </c>
      <c r="D2107" t="s">
        <v>20</v>
      </c>
      <c r="E2107" t="s">
        <v>39</v>
      </c>
      <c r="F2107">
        <v>0</v>
      </c>
      <c r="G2107">
        <v>0</v>
      </c>
      <c r="H2107">
        <v>2</v>
      </c>
      <c r="I2107" s="3">
        <v>255.42</v>
      </c>
      <c r="J2107" s="3">
        <v>0</v>
      </c>
      <c r="L2107">
        <v>3823</v>
      </c>
      <c r="M2107" t="s">
        <v>3469</v>
      </c>
      <c r="N2107" t="s">
        <v>30</v>
      </c>
      <c r="O2107" t="s">
        <v>31</v>
      </c>
      <c r="P2107" t="str">
        <f>"15201"</f>
        <v>15201</v>
      </c>
    </row>
    <row r="2108" spans="1:16" x14ac:dyDescent="0.25">
      <c r="A2108" t="str">
        <f>"1060049J00191B   00"</f>
        <v>1060049J00191B   00</v>
      </c>
      <c r="B2108" t="s">
        <v>4852</v>
      </c>
      <c r="C2108" t="s">
        <v>4853</v>
      </c>
      <c r="D2108" t="s">
        <v>20</v>
      </c>
      <c r="E2108" t="s">
        <v>39</v>
      </c>
      <c r="F2108">
        <v>0</v>
      </c>
      <c r="G2108">
        <v>0</v>
      </c>
      <c r="H2108">
        <v>3</v>
      </c>
      <c r="I2108" s="3">
        <v>2597.2399999999998</v>
      </c>
      <c r="J2108" s="3">
        <v>0</v>
      </c>
      <c r="K2108" t="s">
        <v>4854</v>
      </c>
      <c r="L2108">
        <v>4</v>
      </c>
      <c r="M2108" t="s">
        <v>4855</v>
      </c>
      <c r="N2108" t="s">
        <v>4856</v>
      </c>
      <c r="O2108" t="s">
        <v>200</v>
      </c>
      <c r="P2108" t="str">
        <f>"10977"</f>
        <v>10977</v>
      </c>
    </row>
    <row r="2109" spans="1:16" x14ac:dyDescent="0.25">
      <c r="A2109" t="str">
        <f>"1060049J00211    00"</f>
        <v>1060049J00211    00</v>
      </c>
      <c r="B2109" t="s">
        <v>4857</v>
      </c>
      <c r="C2109" t="s">
        <v>4858</v>
      </c>
      <c r="D2109" t="s">
        <v>20</v>
      </c>
      <c r="E2109" t="s">
        <v>21</v>
      </c>
      <c r="F2109">
        <v>0</v>
      </c>
      <c r="G2109">
        <v>0</v>
      </c>
      <c r="H2109">
        <v>1</v>
      </c>
      <c r="I2109" s="3">
        <v>131.16</v>
      </c>
      <c r="J2109" s="3">
        <v>26.23</v>
      </c>
      <c r="K2109" t="s">
        <v>4859</v>
      </c>
      <c r="L2109">
        <v>828</v>
      </c>
      <c r="M2109" t="s">
        <v>4860</v>
      </c>
      <c r="N2109" t="s">
        <v>30</v>
      </c>
      <c r="O2109" t="s">
        <v>31</v>
      </c>
      <c r="P2109" t="str">
        <f>"15233"</f>
        <v>15233</v>
      </c>
    </row>
    <row r="2110" spans="1:16" x14ac:dyDescent="0.25">
      <c r="A2110" t="str">
        <f>"1060049J00219    00"</f>
        <v>1060049J00219    00</v>
      </c>
      <c r="B2110" t="s">
        <v>4861</v>
      </c>
      <c r="C2110" t="s">
        <v>4862</v>
      </c>
      <c r="D2110" t="s">
        <v>20</v>
      </c>
      <c r="E2110" t="s">
        <v>21</v>
      </c>
      <c r="F2110">
        <v>0</v>
      </c>
      <c r="G2110">
        <v>0</v>
      </c>
      <c r="H2110">
        <v>3</v>
      </c>
      <c r="I2110" s="3">
        <v>17073.96</v>
      </c>
      <c r="J2110" s="3">
        <v>1138.22</v>
      </c>
      <c r="K2110" t="s">
        <v>4863</v>
      </c>
      <c r="L2110">
        <v>139</v>
      </c>
      <c r="M2110" t="s">
        <v>4864</v>
      </c>
      <c r="N2110" t="s">
        <v>30</v>
      </c>
      <c r="O2110" t="s">
        <v>31</v>
      </c>
      <c r="P2110" t="str">
        <f>"15201"</f>
        <v>15201</v>
      </c>
    </row>
    <row r="2111" spans="1:16" x14ac:dyDescent="0.25">
      <c r="A2111" t="str">
        <f>"1060049J00225    00"</f>
        <v>1060049J00225    00</v>
      </c>
      <c r="B2111" t="s">
        <v>4865</v>
      </c>
      <c r="C2111" t="s">
        <v>4866</v>
      </c>
      <c r="E2111" t="s">
        <v>39</v>
      </c>
      <c r="F2111">
        <v>0</v>
      </c>
      <c r="G2111">
        <v>0</v>
      </c>
      <c r="H2111">
        <v>1</v>
      </c>
      <c r="I2111" s="3">
        <v>7183.21</v>
      </c>
      <c r="J2111" s="3">
        <v>1855.59</v>
      </c>
      <c r="L2111">
        <v>220</v>
      </c>
      <c r="M2111" t="s">
        <v>4806</v>
      </c>
      <c r="N2111" t="s">
        <v>30</v>
      </c>
      <c r="O2111" t="s">
        <v>31</v>
      </c>
      <c r="P2111" t="str">
        <f>"15201"</f>
        <v>15201</v>
      </c>
    </row>
    <row r="2112" spans="1:16" x14ac:dyDescent="0.25">
      <c r="A2112" t="str">
        <f>"1060049J00235    00"</f>
        <v>1060049J00235    00</v>
      </c>
      <c r="B2112" t="s">
        <v>4867</v>
      </c>
      <c r="C2112" t="s">
        <v>4868</v>
      </c>
      <c r="E2112" t="s">
        <v>39</v>
      </c>
      <c r="F2112">
        <v>0</v>
      </c>
      <c r="G2112">
        <v>0</v>
      </c>
      <c r="H2112">
        <v>1</v>
      </c>
      <c r="I2112" s="3">
        <v>3657.08</v>
      </c>
      <c r="J2112" s="3">
        <v>2712.23</v>
      </c>
      <c r="K2112" t="s">
        <v>2106</v>
      </c>
      <c r="L2112">
        <v>6053</v>
      </c>
      <c r="M2112" t="s">
        <v>2107</v>
      </c>
      <c r="N2112" t="s">
        <v>2108</v>
      </c>
      <c r="O2112" t="s">
        <v>2109</v>
      </c>
      <c r="P2112" t="str">
        <f>"84107"</f>
        <v>84107</v>
      </c>
    </row>
    <row r="2113" spans="1:16" x14ac:dyDescent="0.25">
      <c r="A2113" t="str">
        <f>"1060049J00245    00"</f>
        <v>1060049J00245    00</v>
      </c>
      <c r="B2113" t="s">
        <v>4869</v>
      </c>
      <c r="C2113" t="s">
        <v>4870</v>
      </c>
      <c r="D2113" t="s">
        <v>20</v>
      </c>
      <c r="E2113" t="s">
        <v>39</v>
      </c>
      <c r="F2113">
        <v>0</v>
      </c>
      <c r="G2113">
        <v>0</v>
      </c>
      <c r="H2113">
        <v>2</v>
      </c>
      <c r="I2113" s="3">
        <v>1827.95</v>
      </c>
      <c r="J2113" s="3">
        <v>0</v>
      </c>
      <c r="K2113" t="s">
        <v>4871</v>
      </c>
      <c r="L2113">
        <v>252</v>
      </c>
      <c r="M2113" t="s">
        <v>4806</v>
      </c>
      <c r="N2113" t="s">
        <v>30</v>
      </c>
      <c r="O2113" t="s">
        <v>31</v>
      </c>
      <c r="P2113" t="str">
        <f>"15201"</f>
        <v>15201</v>
      </c>
    </row>
    <row r="2114" spans="1:16" x14ac:dyDescent="0.25">
      <c r="A2114" t="str">
        <f>"1060049J00249    00"</f>
        <v>1060049J00249    00</v>
      </c>
      <c r="B2114" t="s">
        <v>4872</v>
      </c>
      <c r="C2114" t="s">
        <v>4873</v>
      </c>
      <c r="D2114" t="s">
        <v>20</v>
      </c>
      <c r="E2114" t="s">
        <v>39</v>
      </c>
      <c r="F2114">
        <v>0</v>
      </c>
      <c r="G2114">
        <v>0</v>
      </c>
      <c r="H2114">
        <v>1</v>
      </c>
      <c r="I2114" s="3">
        <v>972.08</v>
      </c>
      <c r="J2114" s="3">
        <v>0</v>
      </c>
      <c r="M2114" t="s">
        <v>4874</v>
      </c>
      <c r="N2114" t="s">
        <v>1353</v>
      </c>
      <c r="O2114" t="s">
        <v>31</v>
      </c>
      <c r="P2114" t="str">
        <f>"15085"</f>
        <v>15085</v>
      </c>
    </row>
    <row r="2115" spans="1:16" x14ac:dyDescent="0.25">
      <c r="A2115" t="str">
        <f>"1060049J00260    00"</f>
        <v>1060049J00260    00</v>
      </c>
      <c r="B2115" t="s">
        <v>4875</v>
      </c>
      <c r="C2115" t="s">
        <v>4876</v>
      </c>
      <c r="D2115" t="s">
        <v>20</v>
      </c>
      <c r="E2115" t="s">
        <v>39</v>
      </c>
      <c r="F2115">
        <v>0</v>
      </c>
      <c r="G2115">
        <v>0</v>
      </c>
      <c r="H2115">
        <v>3</v>
      </c>
      <c r="I2115" s="3">
        <v>10460.14</v>
      </c>
      <c r="J2115" s="3">
        <v>119.78</v>
      </c>
      <c r="K2115" t="s">
        <v>4877</v>
      </c>
      <c r="L2115">
        <v>1</v>
      </c>
      <c r="M2115" t="s">
        <v>4878</v>
      </c>
      <c r="N2115" t="s">
        <v>4879</v>
      </c>
      <c r="O2115" t="s">
        <v>31</v>
      </c>
      <c r="P2115" t="str">
        <f>"19428"</f>
        <v>19428</v>
      </c>
    </row>
    <row r="2116" spans="1:16" x14ac:dyDescent="0.25">
      <c r="A2116" t="str">
        <f>"1060049J00265    00"</f>
        <v>1060049J00265    00</v>
      </c>
      <c r="B2116" t="s">
        <v>4880</v>
      </c>
      <c r="C2116" t="s">
        <v>4881</v>
      </c>
      <c r="E2116" t="s">
        <v>39</v>
      </c>
      <c r="F2116">
        <v>0</v>
      </c>
      <c r="G2116">
        <v>0</v>
      </c>
      <c r="H2116">
        <v>1</v>
      </c>
      <c r="I2116" s="3">
        <v>2161.98</v>
      </c>
      <c r="J2116" s="3">
        <v>324.27999999999997</v>
      </c>
      <c r="K2116" t="s">
        <v>4882</v>
      </c>
      <c r="L2116">
        <v>275</v>
      </c>
      <c r="M2116" t="s">
        <v>4806</v>
      </c>
      <c r="N2116" t="s">
        <v>30</v>
      </c>
      <c r="O2116" t="s">
        <v>31</v>
      </c>
      <c r="P2116" t="str">
        <f>"15201"</f>
        <v>15201</v>
      </c>
    </row>
    <row r="2117" spans="1:16" x14ac:dyDescent="0.25">
      <c r="A2117" t="str">
        <f>"1060049J00282    00"</f>
        <v>1060049J00282    00</v>
      </c>
      <c r="B2117" t="s">
        <v>4883</v>
      </c>
      <c r="C2117" t="s">
        <v>4884</v>
      </c>
      <c r="D2117" t="s">
        <v>20</v>
      </c>
      <c r="E2117" t="s">
        <v>39</v>
      </c>
      <c r="F2117">
        <v>0</v>
      </c>
      <c r="G2117">
        <v>0</v>
      </c>
      <c r="H2117">
        <v>8</v>
      </c>
      <c r="I2117" s="3">
        <v>7310.66</v>
      </c>
      <c r="J2117" s="3">
        <v>3205.42</v>
      </c>
      <c r="L2117">
        <v>247</v>
      </c>
      <c r="M2117" t="s">
        <v>4806</v>
      </c>
      <c r="N2117" t="s">
        <v>30</v>
      </c>
      <c r="O2117" t="s">
        <v>31</v>
      </c>
      <c r="P2117" t="str">
        <f>"15201"</f>
        <v>15201</v>
      </c>
    </row>
    <row r="2118" spans="1:16" x14ac:dyDescent="0.25">
      <c r="A2118" t="str">
        <f>"1060049J00302    00"</f>
        <v>1060049J00302    00</v>
      </c>
      <c r="B2118" t="s">
        <v>4885</v>
      </c>
      <c r="C2118" t="s">
        <v>4886</v>
      </c>
      <c r="E2118" t="s">
        <v>39</v>
      </c>
      <c r="F2118">
        <v>0</v>
      </c>
      <c r="G2118">
        <v>0</v>
      </c>
      <c r="H2118">
        <v>2</v>
      </c>
      <c r="I2118" s="3">
        <v>9554.89</v>
      </c>
      <c r="J2118" s="3">
        <v>2388.62</v>
      </c>
      <c r="L2118">
        <v>219</v>
      </c>
      <c r="M2118" t="s">
        <v>4806</v>
      </c>
      <c r="N2118" t="s">
        <v>30</v>
      </c>
      <c r="O2118" t="s">
        <v>31</v>
      </c>
      <c r="P2118" t="str">
        <f>"15201"</f>
        <v>15201</v>
      </c>
    </row>
    <row r="2119" spans="1:16" x14ac:dyDescent="0.25">
      <c r="A2119" t="str">
        <f>"1060049J00311    00"</f>
        <v>1060049J00311    00</v>
      </c>
      <c r="B2119" t="s">
        <v>4843</v>
      </c>
      <c r="C2119" t="s">
        <v>4887</v>
      </c>
      <c r="E2119" t="s">
        <v>39</v>
      </c>
      <c r="F2119">
        <v>0</v>
      </c>
      <c r="G2119">
        <v>0</v>
      </c>
      <c r="H2119">
        <v>1</v>
      </c>
      <c r="I2119" s="3">
        <v>4500.7</v>
      </c>
      <c r="J2119" s="3">
        <v>1167.6500000000001</v>
      </c>
      <c r="K2119" t="s">
        <v>1632</v>
      </c>
      <c r="M2119" t="s">
        <v>1633</v>
      </c>
      <c r="N2119" t="s">
        <v>1634</v>
      </c>
      <c r="O2119" t="s">
        <v>25</v>
      </c>
      <c r="P2119" t="str">
        <f>"45401"</f>
        <v>45401</v>
      </c>
    </row>
    <row r="2120" spans="1:16" x14ac:dyDescent="0.25">
      <c r="A2120" t="str">
        <f>"1060049J00312    00"</f>
        <v>1060049J00312    00</v>
      </c>
      <c r="B2120" t="s">
        <v>4888</v>
      </c>
      <c r="C2120" t="s">
        <v>4889</v>
      </c>
      <c r="E2120" t="s">
        <v>39</v>
      </c>
      <c r="F2120">
        <v>0</v>
      </c>
      <c r="G2120">
        <v>0</v>
      </c>
      <c r="H2120">
        <v>1</v>
      </c>
      <c r="I2120" s="3">
        <v>4690</v>
      </c>
      <c r="J2120" s="3">
        <v>1211.54</v>
      </c>
      <c r="L2120">
        <v>213</v>
      </c>
      <c r="M2120" t="s">
        <v>4806</v>
      </c>
      <c r="N2120" t="s">
        <v>30</v>
      </c>
      <c r="O2120" t="s">
        <v>31</v>
      </c>
      <c r="P2120" t="str">
        <f>"15201"</f>
        <v>15201</v>
      </c>
    </row>
    <row r="2121" spans="1:16" x14ac:dyDescent="0.25">
      <c r="A2121" t="str">
        <f>"1060049J00313    00"</f>
        <v>1060049J00313    00</v>
      </c>
      <c r="B2121" t="s">
        <v>1737</v>
      </c>
      <c r="C2121" t="s">
        <v>4890</v>
      </c>
      <c r="D2121" t="s">
        <v>20</v>
      </c>
      <c r="E2121" t="s">
        <v>21</v>
      </c>
      <c r="F2121">
        <v>0</v>
      </c>
      <c r="G2121">
        <v>0</v>
      </c>
      <c r="H2121">
        <v>1</v>
      </c>
      <c r="I2121" s="3">
        <v>15434.78</v>
      </c>
      <c r="J2121" s="3">
        <v>0</v>
      </c>
      <c r="L2121">
        <v>4605</v>
      </c>
      <c r="M2121" t="s">
        <v>1818</v>
      </c>
      <c r="N2121" t="s">
        <v>30</v>
      </c>
      <c r="O2121" t="s">
        <v>31</v>
      </c>
      <c r="P2121" t="str">
        <f>"15207"</f>
        <v>15207</v>
      </c>
    </row>
    <row r="2122" spans="1:16" x14ac:dyDescent="0.25">
      <c r="A2122" t="str">
        <f>"1060049J00316    00"</f>
        <v>1060049J00316    00</v>
      </c>
      <c r="B2122" t="s">
        <v>4891</v>
      </c>
      <c r="C2122" t="s">
        <v>4892</v>
      </c>
      <c r="E2122" t="s">
        <v>39</v>
      </c>
      <c r="F2122">
        <v>0</v>
      </c>
      <c r="G2122">
        <v>0</v>
      </c>
      <c r="H2122">
        <v>1</v>
      </c>
      <c r="I2122" s="3">
        <v>2870.2</v>
      </c>
      <c r="J2122" s="3">
        <v>741.43</v>
      </c>
      <c r="K2122" t="s">
        <v>4893</v>
      </c>
      <c r="L2122">
        <v>3001</v>
      </c>
      <c r="M2122" t="s">
        <v>330</v>
      </c>
      <c r="N2122" t="s">
        <v>331</v>
      </c>
      <c r="O2122" t="s">
        <v>108</v>
      </c>
      <c r="P2122" t="str">
        <f>"75063"</f>
        <v>75063</v>
      </c>
    </row>
    <row r="2123" spans="1:16" x14ac:dyDescent="0.25">
      <c r="A2123" t="str">
        <f>"1060049J00319    00"</f>
        <v>1060049J00319    00</v>
      </c>
      <c r="B2123" t="s">
        <v>4469</v>
      </c>
      <c r="C2123" t="s">
        <v>4894</v>
      </c>
      <c r="D2123" t="s">
        <v>20</v>
      </c>
      <c r="E2123" t="s">
        <v>39</v>
      </c>
      <c r="F2123">
        <v>0</v>
      </c>
      <c r="G2123">
        <v>0</v>
      </c>
      <c r="H2123">
        <v>2</v>
      </c>
      <c r="I2123" s="3">
        <v>7433.4</v>
      </c>
      <c r="J2123" s="3">
        <v>0</v>
      </c>
      <c r="K2123" t="s">
        <v>4471</v>
      </c>
      <c r="L2123">
        <v>4808</v>
      </c>
      <c r="M2123" t="s">
        <v>1898</v>
      </c>
      <c r="N2123" t="s">
        <v>546</v>
      </c>
      <c r="O2123" t="s">
        <v>31</v>
      </c>
      <c r="P2123" t="str">
        <f>"15044"</f>
        <v>15044</v>
      </c>
    </row>
    <row r="2124" spans="1:16" x14ac:dyDescent="0.25">
      <c r="A2124" t="str">
        <f>"1060049J00322    00"</f>
        <v>1060049J00322    00</v>
      </c>
      <c r="B2124" t="s">
        <v>4895</v>
      </c>
      <c r="C2124" t="s">
        <v>4896</v>
      </c>
      <c r="E2124" t="s">
        <v>39</v>
      </c>
      <c r="F2124">
        <v>0</v>
      </c>
      <c r="G2124">
        <v>0</v>
      </c>
      <c r="H2124">
        <v>1</v>
      </c>
      <c r="I2124" s="3">
        <v>3821.59</v>
      </c>
      <c r="J2124" s="3">
        <v>127.38</v>
      </c>
      <c r="K2124" t="s">
        <v>329</v>
      </c>
      <c r="L2124">
        <v>3001</v>
      </c>
      <c r="M2124" t="s">
        <v>330</v>
      </c>
      <c r="N2124" t="s">
        <v>331</v>
      </c>
      <c r="O2124" t="s">
        <v>108</v>
      </c>
      <c r="P2124" t="str">
        <f>"75063"</f>
        <v>75063</v>
      </c>
    </row>
    <row r="2125" spans="1:16" x14ac:dyDescent="0.25">
      <c r="A2125" t="str">
        <f>"1060049J00328    00"</f>
        <v>1060049J00328    00</v>
      </c>
      <c r="B2125" t="s">
        <v>4897</v>
      </c>
      <c r="C2125" t="s">
        <v>4898</v>
      </c>
      <c r="E2125" t="s">
        <v>39</v>
      </c>
      <c r="F2125">
        <v>0</v>
      </c>
      <c r="G2125">
        <v>0</v>
      </c>
      <c r="H2125">
        <v>2</v>
      </c>
      <c r="I2125" s="3">
        <v>1552</v>
      </c>
      <c r="J2125" s="3">
        <v>366.61</v>
      </c>
      <c r="L2125">
        <v>222</v>
      </c>
      <c r="M2125" t="s">
        <v>4815</v>
      </c>
      <c r="N2125" t="s">
        <v>30</v>
      </c>
      <c r="O2125" t="s">
        <v>31</v>
      </c>
      <c r="P2125" t="str">
        <f>"15201"</f>
        <v>15201</v>
      </c>
    </row>
    <row r="2126" spans="1:16" x14ac:dyDescent="0.25">
      <c r="A2126" t="str">
        <f>"1060049N00011    00"</f>
        <v>1060049N00011    00</v>
      </c>
      <c r="B2126" t="s">
        <v>4899</v>
      </c>
      <c r="C2126" t="s">
        <v>4900</v>
      </c>
      <c r="D2126" t="s">
        <v>57</v>
      </c>
      <c r="E2126" t="s">
        <v>21</v>
      </c>
      <c r="F2126">
        <v>0</v>
      </c>
      <c r="G2126">
        <v>0</v>
      </c>
      <c r="H2126">
        <v>1</v>
      </c>
      <c r="I2126" s="3">
        <v>892.01</v>
      </c>
      <c r="J2126" s="3">
        <v>89.2</v>
      </c>
      <c r="K2126" t="s">
        <v>4901</v>
      </c>
      <c r="M2126" t="s">
        <v>4902</v>
      </c>
      <c r="N2126" t="s">
        <v>4903</v>
      </c>
      <c r="O2126" t="s">
        <v>692</v>
      </c>
      <c r="P2126" t="str">
        <f>"24641"</f>
        <v>24641</v>
      </c>
    </row>
    <row r="2127" spans="1:16" x14ac:dyDescent="0.25">
      <c r="A2127" t="str">
        <f>"1060049N00017    00"</f>
        <v>1060049N00017    00</v>
      </c>
      <c r="B2127" t="s">
        <v>4904</v>
      </c>
      <c r="C2127" t="s">
        <v>4905</v>
      </c>
      <c r="E2127" t="s">
        <v>39</v>
      </c>
      <c r="F2127">
        <v>0</v>
      </c>
      <c r="G2127">
        <v>0</v>
      </c>
      <c r="H2127">
        <v>2</v>
      </c>
      <c r="I2127" s="3">
        <v>2099.4299999999998</v>
      </c>
      <c r="J2127" s="3">
        <v>848.51</v>
      </c>
      <c r="K2127" t="s">
        <v>4906</v>
      </c>
      <c r="L2127">
        <v>4635</v>
      </c>
      <c r="M2127" t="s">
        <v>841</v>
      </c>
      <c r="N2127" t="s">
        <v>30</v>
      </c>
      <c r="O2127" t="s">
        <v>31</v>
      </c>
      <c r="P2127" t="str">
        <f>"15201"</f>
        <v>15201</v>
      </c>
    </row>
    <row r="2128" spans="1:16" x14ac:dyDescent="0.25">
      <c r="A2128" t="str">
        <f>"1060049N00020    00"</f>
        <v>1060049N00020    00</v>
      </c>
      <c r="B2128" t="s">
        <v>4907</v>
      </c>
      <c r="C2128" t="s">
        <v>4908</v>
      </c>
      <c r="D2128" t="s">
        <v>20</v>
      </c>
      <c r="E2128" t="s">
        <v>21</v>
      </c>
      <c r="F2128">
        <v>0</v>
      </c>
      <c r="G2128">
        <v>0</v>
      </c>
      <c r="H2128">
        <v>3</v>
      </c>
      <c r="I2128" s="3">
        <v>6800.32</v>
      </c>
      <c r="J2128" s="3">
        <v>2116.6</v>
      </c>
      <c r="K2128" t="s">
        <v>4909</v>
      </c>
      <c r="M2128" t="s">
        <v>4910</v>
      </c>
      <c r="N2128" t="s">
        <v>30</v>
      </c>
      <c r="O2128" t="s">
        <v>31</v>
      </c>
      <c r="P2128" t="str">
        <f>"15206"</f>
        <v>15206</v>
      </c>
    </row>
    <row r="2129" spans="1:16" x14ac:dyDescent="0.25">
      <c r="A2129" t="str">
        <f>"1060049N00033C   00"</f>
        <v>1060049N00033C   00</v>
      </c>
      <c r="B2129" t="s">
        <v>4911</v>
      </c>
      <c r="C2129" t="s">
        <v>4912</v>
      </c>
      <c r="D2129" t="s">
        <v>20</v>
      </c>
      <c r="E2129" t="s">
        <v>39</v>
      </c>
      <c r="F2129">
        <v>0</v>
      </c>
      <c r="G2129">
        <v>0</v>
      </c>
      <c r="H2129">
        <v>1</v>
      </c>
      <c r="I2129" s="3">
        <v>170.03</v>
      </c>
      <c r="J2129" s="3">
        <v>0</v>
      </c>
      <c r="L2129">
        <v>3518</v>
      </c>
      <c r="M2129" t="s">
        <v>4913</v>
      </c>
      <c r="N2129" t="s">
        <v>30</v>
      </c>
      <c r="O2129" t="s">
        <v>31</v>
      </c>
      <c r="P2129" t="str">
        <f>"15201"</f>
        <v>15201</v>
      </c>
    </row>
    <row r="2130" spans="1:16" x14ac:dyDescent="0.25">
      <c r="A2130" t="str">
        <f>"1060049N00080    00"</f>
        <v>1060049N00080    00</v>
      </c>
      <c r="B2130" t="s">
        <v>4914</v>
      </c>
      <c r="C2130" t="s">
        <v>4419</v>
      </c>
      <c r="E2130" t="s">
        <v>39</v>
      </c>
      <c r="F2130">
        <v>0</v>
      </c>
      <c r="G2130">
        <v>0</v>
      </c>
      <c r="H2130">
        <v>3</v>
      </c>
      <c r="I2130" s="3">
        <v>1370.07</v>
      </c>
      <c r="J2130" s="3">
        <v>270.11</v>
      </c>
      <c r="L2130">
        <v>6923</v>
      </c>
      <c r="M2130" t="s">
        <v>4915</v>
      </c>
      <c r="N2130" t="s">
        <v>30</v>
      </c>
      <c r="O2130" t="s">
        <v>31</v>
      </c>
      <c r="P2130" t="str">
        <f>"15206"</f>
        <v>15206</v>
      </c>
    </row>
    <row r="2131" spans="1:16" x14ac:dyDescent="0.25">
      <c r="A2131" t="str">
        <f>"1060049N00084    00"</f>
        <v>1060049N00084    00</v>
      </c>
      <c r="B2131" t="s">
        <v>4916</v>
      </c>
      <c r="C2131" t="s">
        <v>4917</v>
      </c>
      <c r="D2131" t="s">
        <v>20</v>
      </c>
      <c r="E2131" t="s">
        <v>39</v>
      </c>
      <c r="F2131">
        <v>0</v>
      </c>
      <c r="G2131">
        <v>0</v>
      </c>
      <c r="H2131">
        <v>4</v>
      </c>
      <c r="I2131" s="3">
        <v>4489.38</v>
      </c>
      <c r="J2131" s="3">
        <v>314.45</v>
      </c>
      <c r="L2131">
        <v>3607</v>
      </c>
      <c r="M2131" t="s">
        <v>585</v>
      </c>
      <c r="N2131" t="s">
        <v>30</v>
      </c>
      <c r="O2131" t="s">
        <v>31</v>
      </c>
      <c r="P2131" t="str">
        <f>"15201"</f>
        <v>15201</v>
      </c>
    </row>
    <row r="2132" spans="1:16" x14ac:dyDescent="0.25">
      <c r="A2132" t="str">
        <f>"1060049N00091    00"</f>
        <v>1060049N00091    00</v>
      </c>
      <c r="B2132" t="s">
        <v>4918</v>
      </c>
      <c r="C2132" t="s">
        <v>4919</v>
      </c>
      <c r="D2132" t="s">
        <v>20</v>
      </c>
      <c r="E2132" t="s">
        <v>21</v>
      </c>
      <c r="F2132">
        <v>0</v>
      </c>
      <c r="G2132">
        <v>0</v>
      </c>
      <c r="H2132">
        <v>3</v>
      </c>
      <c r="I2132" s="3">
        <v>11838.17</v>
      </c>
      <c r="J2132" s="3">
        <v>0</v>
      </c>
      <c r="K2132" t="s">
        <v>4920</v>
      </c>
      <c r="L2132">
        <v>335</v>
      </c>
      <c r="M2132" t="s">
        <v>4921</v>
      </c>
      <c r="N2132" t="s">
        <v>199</v>
      </c>
      <c r="O2132" t="s">
        <v>200</v>
      </c>
      <c r="P2132" t="str">
        <f>"10036"</f>
        <v>10036</v>
      </c>
    </row>
    <row r="2133" spans="1:16" x14ac:dyDescent="0.25">
      <c r="A2133" t="str">
        <f>"1060049N00095    00"</f>
        <v>1060049N00095    00</v>
      </c>
      <c r="B2133" t="s">
        <v>4922</v>
      </c>
      <c r="C2133" t="s">
        <v>4923</v>
      </c>
      <c r="D2133" t="s">
        <v>20</v>
      </c>
      <c r="E2133" t="s">
        <v>39</v>
      </c>
      <c r="F2133">
        <v>0</v>
      </c>
      <c r="G2133">
        <v>0</v>
      </c>
      <c r="H2133">
        <v>3</v>
      </c>
      <c r="I2133" s="3">
        <v>3754.13</v>
      </c>
      <c r="J2133" s="3">
        <v>505.78</v>
      </c>
      <c r="L2133">
        <v>3511</v>
      </c>
      <c r="M2133" t="s">
        <v>4924</v>
      </c>
      <c r="N2133" t="s">
        <v>30</v>
      </c>
      <c r="O2133" t="s">
        <v>31</v>
      </c>
      <c r="P2133" t="str">
        <f>"15201"</f>
        <v>15201</v>
      </c>
    </row>
    <row r="2134" spans="1:16" x14ac:dyDescent="0.25">
      <c r="A2134" t="str">
        <f>"1060049N00101    00"</f>
        <v>1060049N00101    00</v>
      </c>
      <c r="B2134" t="s">
        <v>4925</v>
      </c>
      <c r="C2134" t="s">
        <v>4926</v>
      </c>
      <c r="D2134" t="s">
        <v>20</v>
      </c>
      <c r="E2134" t="s">
        <v>21</v>
      </c>
      <c r="F2134">
        <v>0</v>
      </c>
      <c r="G2134">
        <v>0</v>
      </c>
      <c r="H2134">
        <v>1</v>
      </c>
      <c r="I2134" s="3">
        <v>634.71</v>
      </c>
      <c r="J2134" s="3">
        <v>0</v>
      </c>
      <c r="L2134">
        <v>3511</v>
      </c>
      <c r="M2134" t="s">
        <v>585</v>
      </c>
      <c r="N2134" t="s">
        <v>30</v>
      </c>
      <c r="O2134" t="s">
        <v>31</v>
      </c>
      <c r="P2134" t="str">
        <f>"15201"</f>
        <v>15201</v>
      </c>
    </row>
    <row r="2135" spans="1:16" x14ac:dyDescent="0.25">
      <c r="A2135" t="str">
        <f>"1060049N00126F   00"</f>
        <v>1060049N00126F   00</v>
      </c>
      <c r="B2135" t="s">
        <v>4927</v>
      </c>
      <c r="C2135" t="s">
        <v>4928</v>
      </c>
      <c r="E2135" t="s">
        <v>39</v>
      </c>
      <c r="F2135">
        <v>0</v>
      </c>
      <c r="G2135">
        <v>0</v>
      </c>
      <c r="H2135">
        <v>1</v>
      </c>
      <c r="I2135" s="3">
        <v>1744.52</v>
      </c>
      <c r="J2135" s="3">
        <v>392.5</v>
      </c>
      <c r="L2135">
        <v>3430</v>
      </c>
      <c r="M2135" t="s">
        <v>585</v>
      </c>
      <c r="N2135" t="s">
        <v>30</v>
      </c>
      <c r="O2135" t="s">
        <v>31</v>
      </c>
      <c r="P2135" t="str">
        <f>"15201"</f>
        <v>15201</v>
      </c>
    </row>
    <row r="2136" spans="1:16" x14ac:dyDescent="0.25">
      <c r="A2136" t="str">
        <f>"1060049N00139    00"</f>
        <v>1060049N00139    00</v>
      </c>
      <c r="B2136" t="s">
        <v>4929</v>
      </c>
      <c r="C2136" t="s">
        <v>4930</v>
      </c>
      <c r="D2136" t="s">
        <v>20</v>
      </c>
      <c r="E2136" t="s">
        <v>39</v>
      </c>
      <c r="F2136">
        <v>0</v>
      </c>
      <c r="G2136">
        <v>0</v>
      </c>
      <c r="H2136">
        <v>1</v>
      </c>
      <c r="I2136" s="3">
        <v>5167.18</v>
      </c>
      <c r="J2136" s="3">
        <v>0</v>
      </c>
      <c r="K2136" t="s">
        <v>563</v>
      </c>
      <c r="L2136">
        <v>3001</v>
      </c>
      <c r="M2136" t="s">
        <v>330</v>
      </c>
      <c r="N2136" t="s">
        <v>331</v>
      </c>
      <c r="O2136" t="s">
        <v>108</v>
      </c>
      <c r="P2136" t="str">
        <f>"75063"</f>
        <v>75063</v>
      </c>
    </row>
    <row r="2137" spans="1:16" x14ac:dyDescent="0.25">
      <c r="A2137" t="str">
        <f>"1060049N00140    00"</f>
        <v>1060049N00140    00</v>
      </c>
      <c r="B2137" t="s">
        <v>4931</v>
      </c>
      <c r="C2137" t="s">
        <v>4932</v>
      </c>
      <c r="E2137" t="s">
        <v>39</v>
      </c>
      <c r="F2137">
        <v>0</v>
      </c>
      <c r="G2137">
        <v>0</v>
      </c>
      <c r="H2137">
        <v>2</v>
      </c>
      <c r="I2137" s="3">
        <v>5058.54</v>
      </c>
      <c r="J2137" s="3">
        <v>252.91</v>
      </c>
      <c r="K2137" t="s">
        <v>4933</v>
      </c>
      <c r="L2137">
        <v>3001</v>
      </c>
      <c r="M2137" t="s">
        <v>330</v>
      </c>
      <c r="N2137" t="s">
        <v>331</v>
      </c>
      <c r="O2137" t="s">
        <v>108</v>
      </c>
      <c r="P2137" t="str">
        <f>"75063"</f>
        <v>75063</v>
      </c>
    </row>
    <row r="2138" spans="1:16" x14ac:dyDescent="0.25">
      <c r="A2138" t="str">
        <f>"1060049N00147    00"</f>
        <v>1060049N00147    00</v>
      </c>
      <c r="B2138" t="s">
        <v>4934</v>
      </c>
      <c r="C2138" t="s">
        <v>4935</v>
      </c>
      <c r="E2138" t="s">
        <v>39</v>
      </c>
      <c r="F2138">
        <v>0</v>
      </c>
      <c r="G2138">
        <v>0</v>
      </c>
      <c r="H2138">
        <v>1</v>
      </c>
      <c r="I2138" s="3">
        <v>3156.34</v>
      </c>
      <c r="J2138" s="3">
        <v>315.62</v>
      </c>
      <c r="L2138">
        <v>3516</v>
      </c>
      <c r="M2138" t="s">
        <v>585</v>
      </c>
      <c r="N2138" t="s">
        <v>30</v>
      </c>
      <c r="O2138" t="s">
        <v>31</v>
      </c>
      <c r="P2138" t="str">
        <f>"15201"</f>
        <v>15201</v>
      </c>
    </row>
    <row r="2139" spans="1:16" x14ac:dyDescent="0.25">
      <c r="A2139" t="str">
        <f>"1060049N00150    00"</f>
        <v>1060049N00150    00</v>
      </c>
      <c r="B2139" t="s">
        <v>4936</v>
      </c>
      <c r="C2139" t="s">
        <v>4937</v>
      </c>
      <c r="D2139" t="s">
        <v>20</v>
      </c>
      <c r="E2139" t="s">
        <v>39</v>
      </c>
      <c r="F2139">
        <v>0</v>
      </c>
      <c r="G2139">
        <v>0</v>
      </c>
      <c r="H2139">
        <v>2</v>
      </c>
      <c r="I2139" s="3">
        <v>3847.32</v>
      </c>
      <c r="J2139" s="3">
        <v>0</v>
      </c>
      <c r="L2139">
        <v>3469</v>
      </c>
      <c r="M2139" t="s">
        <v>4938</v>
      </c>
      <c r="N2139" t="s">
        <v>30</v>
      </c>
      <c r="O2139" t="s">
        <v>31</v>
      </c>
      <c r="P2139" t="str">
        <f>"15201"</f>
        <v>15201</v>
      </c>
    </row>
    <row r="2140" spans="1:16" x14ac:dyDescent="0.25">
      <c r="A2140" t="str">
        <f>"1060049N00154    00"</f>
        <v>1060049N00154    00</v>
      </c>
      <c r="B2140" t="s">
        <v>4939</v>
      </c>
      <c r="C2140" t="s">
        <v>4940</v>
      </c>
      <c r="D2140" t="s">
        <v>20</v>
      </c>
      <c r="E2140" t="s">
        <v>39</v>
      </c>
      <c r="F2140">
        <v>0</v>
      </c>
      <c r="G2140">
        <v>0</v>
      </c>
      <c r="H2140">
        <v>2</v>
      </c>
      <c r="I2140" s="3">
        <v>1212.3599999999999</v>
      </c>
      <c r="J2140" s="3">
        <v>0</v>
      </c>
      <c r="K2140" t="s">
        <v>4941</v>
      </c>
      <c r="L2140">
        <v>3463</v>
      </c>
      <c r="M2140" t="s">
        <v>4942</v>
      </c>
      <c r="N2140" t="s">
        <v>30</v>
      </c>
      <c r="O2140" t="s">
        <v>31</v>
      </c>
      <c r="P2140" t="str">
        <f>"15201"</f>
        <v>15201</v>
      </c>
    </row>
    <row r="2141" spans="1:16" x14ac:dyDescent="0.25">
      <c r="A2141" t="str">
        <f>"1060049N00159    00"</f>
        <v>1060049N00159    00</v>
      </c>
      <c r="B2141" t="s">
        <v>4943</v>
      </c>
      <c r="C2141" t="s">
        <v>4944</v>
      </c>
      <c r="D2141" t="s">
        <v>20</v>
      </c>
      <c r="E2141" t="s">
        <v>39</v>
      </c>
      <c r="F2141">
        <v>0</v>
      </c>
      <c r="G2141">
        <v>0</v>
      </c>
      <c r="H2141">
        <v>2</v>
      </c>
      <c r="I2141" s="3">
        <v>6171.64</v>
      </c>
      <c r="J2141" s="3">
        <v>0</v>
      </c>
      <c r="K2141" t="s">
        <v>1435</v>
      </c>
      <c r="M2141" t="s">
        <v>271</v>
      </c>
      <c r="N2141" t="s">
        <v>272</v>
      </c>
      <c r="O2141" t="s">
        <v>273</v>
      </c>
      <c r="P2141" t="str">
        <f>"29603"</f>
        <v>29603</v>
      </c>
    </row>
    <row r="2142" spans="1:16" x14ac:dyDescent="0.25">
      <c r="A2142" t="str">
        <f>"1060049N00163    00"</f>
        <v>1060049N00163    00</v>
      </c>
      <c r="B2142" t="s">
        <v>4945</v>
      </c>
      <c r="C2142" t="s">
        <v>4946</v>
      </c>
      <c r="D2142" t="s">
        <v>20</v>
      </c>
      <c r="E2142" t="s">
        <v>39</v>
      </c>
      <c r="F2142">
        <v>0</v>
      </c>
      <c r="G2142">
        <v>0</v>
      </c>
      <c r="H2142">
        <v>2</v>
      </c>
      <c r="I2142" s="3">
        <v>7566.84</v>
      </c>
      <c r="J2142" s="3">
        <v>0</v>
      </c>
      <c r="K2142" t="s">
        <v>4947</v>
      </c>
      <c r="L2142">
        <v>3001</v>
      </c>
      <c r="M2142" t="s">
        <v>330</v>
      </c>
      <c r="N2142" t="s">
        <v>331</v>
      </c>
      <c r="O2142" t="s">
        <v>108</v>
      </c>
      <c r="P2142" t="str">
        <f>"75063"</f>
        <v>75063</v>
      </c>
    </row>
    <row r="2143" spans="1:16" x14ac:dyDescent="0.25">
      <c r="A2143" t="str">
        <f>"1060049N00165    00"</f>
        <v>1060049N00165    00</v>
      </c>
      <c r="B2143" t="s">
        <v>4948</v>
      </c>
      <c r="C2143" t="s">
        <v>4949</v>
      </c>
      <c r="D2143" t="s">
        <v>20</v>
      </c>
      <c r="E2143" t="s">
        <v>39</v>
      </c>
      <c r="F2143">
        <v>0</v>
      </c>
      <c r="G2143">
        <v>0</v>
      </c>
      <c r="H2143">
        <v>1</v>
      </c>
      <c r="I2143" s="3">
        <v>994.93</v>
      </c>
      <c r="J2143" s="3">
        <v>0</v>
      </c>
      <c r="L2143">
        <v>121</v>
      </c>
      <c r="M2143" t="s">
        <v>4950</v>
      </c>
      <c r="N2143" t="s">
        <v>30</v>
      </c>
      <c r="O2143" t="s">
        <v>31</v>
      </c>
      <c r="P2143" t="str">
        <f>"15235"</f>
        <v>15235</v>
      </c>
    </row>
    <row r="2144" spans="1:16" x14ac:dyDescent="0.25">
      <c r="A2144" t="str">
        <f>"1060049N00180    00"</f>
        <v>1060049N00180    00</v>
      </c>
      <c r="B2144" t="s">
        <v>4951</v>
      </c>
      <c r="C2144" t="s">
        <v>4952</v>
      </c>
      <c r="E2144" t="s">
        <v>39</v>
      </c>
      <c r="F2144">
        <v>0</v>
      </c>
      <c r="G2144">
        <v>0</v>
      </c>
      <c r="H2144">
        <v>2</v>
      </c>
      <c r="I2144" s="3">
        <v>899.68</v>
      </c>
      <c r="J2144" s="3">
        <v>99.06</v>
      </c>
      <c r="L2144">
        <v>3424</v>
      </c>
      <c r="M2144" t="s">
        <v>4953</v>
      </c>
      <c r="N2144" t="s">
        <v>30</v>
      </c>
      <c r="O2144" t="s">
        <v>31</v>
      </c>
      <c r="P2144" t="str">
        <f>"15201"</f>
        <v>15201</v>
      </c>
    </row>
    <row r="2145" spans="1:16" x14ac:dyDescent="0.25">
      <c r="A2145" t="str">
        <f>"1060049N00200000100"</f>
        <v>1060049N00200000100</v>
      </c>
      <c r="B2145" t="s">
        <v>4954</v>
      </c>
      <c r="C2145" t="s">
        <v>4955</v>
      </c>
      <c r="D2145" t="s">
        <v>20</v>
      </c>
      <c r="E2145" t="s">
        <v>39</v>
      </c>
      <c r="F2145">
        <v>0</v>
      </c>
      <c r="G2145">
        <v>0</v>
      </c>
      <c r="H2145">
        <v>1</v>
      </c>
      <c r="I2145" s="3">
        <v>2792.3</v>
      </c>
      <c r="J2145" s="3">
        <v>0</v>
      </c>
      <c r="K2145" t="s">
        <v>1632</v>
      </c>
      <c r="M2145" t="s">
        <v>1633</v>
      </c>
      <c r="N2145" t="s">
        <v>1634</v>
      </c>
      <c r="O2145" t="s">
        <v>25</v>
      </c>
      <c r="P2145" t="str">
        <f>"45401"</f>
        <v>45401</v>
      </c>
    </row>
    <row r="2146" spans="1:16" x14ac:dyDescent="0.25">
      <c r="A2146" t="str">
        <f>"1060049N00214    00"</f>
        <v>1060049N00214    00</v>
      </c>
      <c r="B2146" t="s">
        <v>4956</v>
      </c>
      <c r="C2146" t="s">
        <v>4957</v>
      </c>
      <c r="D2146" t="s">
        <v>20</v>
      </c>
      <c r="E2146" t="s">
        <v>39</v>
      </c>
      <c r="F2146">
        <v>0</v>
      </c>
      <c r="G2146">
        <v>0</v>
      </c>
      <c r="H2146">
        <v>3</v>
      </c>
      <c r="I2146" s="3">
        <v>3247.83</v>
      </c>
      <c r="J2146" s="3">
        <v>216.52</v>
      </c>
      <c r="K2146" t="s">
        <v>4958</v>
      </c>
      <c r="M2146" t="s">
        <v>4406</v>
      </c>
      <c r="N2146" t="s">
        <v>4959</v>
      </c>
      <c r="O2146" t="s">
        <v>31</v>
      </c>
      <c r="P2146" t="str">
        <f>"15658"</f>
        <v>15658</v>
      </c>
    </row>
    <row r="2147" spans="1:16" x14ac:dyDescent="0.25">
      <c r="A2147" t="str">
        <f>"1060049N00225    00"</f>
        <v>1060049N00225    00</v>
      </c>
      <c r="B2147" t="s">
        <v>4960</v>
      </c>
      <c r="C2147" t="s">
        <v>4961</v>
      </c>
      <c r="E2147" t="s">
        <v>39</v>
      </c>
      <c r="F2147">
        <v>0</v>
      </c>
      <c r="G2147">
        <v>0</v>
      </c>
      <c r="H2147">
        <v>2</v>
      </c>
      <c r="I2147" s="3">
        <v>1389.98</v>
      </c>
      <c r="J2147" s="3">
        <v>1368.42</v>
      </c>
      <c r="K2147" t="s">
        <v>4933</v>
      </c>
      <c r="L2147">
        <v>3001</v>
      </c>
      <c r="M2147" t="s">
        <v>330</v>
      </c>
      <c r="N2147" t="s">
        <v>331</v>
      </c>
      <c r="O2147" t="s">
        <v>108</v>
      </c>
      <c r="P2147" t="str">
        <f>"75063"</f>
        <v>75063</v>
      </c>
    </row>
    <row r="2148" spans="1:16" x14ac:dyDescent="0.25">
      <c r="A2148" t="str">
        <f>"1060049N00260    00"</f>
        <v>1060049N00260    00</v>
      </c>
      <c r="B2148" t="s">
        <v>4962</v>
      </c>
      <c r="C2148" t="s">
        <v>4963</v>
      </c>
      <c r="E2148" t="s">
        <v>39</v>
      </c>
      <c r="F2148">
        <v>0</v>
      </c>
      <c r="G2148">
        <v>0</v>
      </c>
      <c r="H2148">
        <v>1</v>
      </c>
      <c r="I2148" s="3">
        <v>163.85</v>
      </c>
      <c r="J2148" s="3">
        <v>45.06</v>
      </c>
      <c r="K2148" t="s">
        <v>4964</v>
      </c>
      <c r="M2148" t="s">
        <v>4965</v>
      </c>
      <c r="N2148" t="s">
        <v>4966</v>
      </c>
      <c r="O2148" t="s">
        <v>25</v>
      </c>
      <c r="P2148" t="str">
        <f>"43070"</f>
        <v>43070</v>
      </c>
    </row>
    <row r="2149" spans="1:16" x14ac:dyDescent="0.25">
      <c r="A2149" t="str">
        <f>"1060049N00271A   00"</f>
        <v>1060049N00271A   00</v>
      </c>
      <c r="B2149" t="s">
        <v>4967</v>
      </c>
      <c r="C2149" t="s">
        <v>4968</v>
      </c>
      <c r="D2149" t="s">
        <v>20</v>
      </c>
      <c r="E2149" t="s">
        <v>39</v>
      </c>
      <c r="F2149">
        <v>0</v>
      </c>
      <c r="G2149">
        <v>0</v>
      </c>
      <c r="H2149">
        <v>2</v>
      </c>
      <c r="I2149" s="3">
        <v>6232.64</v>
      </c>
      <c r="J2149" s="3">
        <v>0</v>
      </c>
      <c r="K2149" t="s">
        <v>400</v>
      </c>
      <c r="L2149">
        <v>3001</v>
      </c>
      <c r="M2149" t="s">
        <v>330</v>
      </c>
      <c r="N2149" t="s">
        <v>331</v>
      </c>
      <c r="O2149" t="s">
        <v>108</v>
      </c>
      <c r="P2149" t="str">
        <f>"75063"</f>
        <v>75063</v>
      </c>
    </row>
    <row r="2150" spans="1:16" x14ac:dyDescent="0.25">
      <c r="A2150" t="str">
        <f>"1060049N00277    00"</f>
        <v>1060049N00277    00</v>
      </c>
      <c r="B2150" t="s">
        <v>4969</v>
      </c>
      <c r="C2150" t="s">
        <v>4970</v>
      </c>
      <c r="D2150" t="s">
        <v>20</v>
      </c>
      <c r="E2150" t="s">
        <v>39</v>
      </c>
      <c r="F2150">
        <v>0</v>
      </c>
      <c r="G2150">
        <v>0</v>
      </c>
      <c r="H2150">
        <v>1</v>
      </c>
      <c r="I2150" s="3">
        <v>2479.7199999999998</v>
      </c>
      <c r="J2150" s="3">
        <v>0</v>
      </c>
      <c r="K2150" t="s">
        <v>4971</v>
      </c>
      <c r="L2150">
        <v>3350</v>
      </c>
      <c r="M2150" t="s">
        <v>4972</v>
      </c>
      <c r="N2150" t="s">
        <v>605</v>
      </c>
      <c r="O2150" t="s">
        <v>606</v>
      </c>
      <c r="P2150" t="str">
        <f>"30326"</f>
        <v>30326</v>
      </c>
    </row>
    <row r="2151" spans="1:16" x14ac:dyDescent="0.25">
      <c r="A2151" t="str">
        <f>"1060049N00299    00"</f>
        <v>1060049N00299    00</v>
      </c>
      <c r="B2151" t="s">
        <v>4973</v>
      </c>
      <c r="C2151" t="s">
        <v>4974</v>
      </c>
      <c r="E2151" t="s">
        <v>39</v>
      </c>
      <c r="F2151">
        <v>0</v>
      </c>
      <c r="G2151">
        <v>0</v>
      </c>
      <c r="H2151">
        <v>2</v>
      </c>
      <c r="I2151" s="3">
        <v>5058.54</v>
      </c>
      <c r="J2151" s="3">
        <v>168.61</v>
      </c>
      <c r="L2151">
        <v>3601</v>
      </c>
      <c r="M2151" t="s">
        <v>3469</v>
      </c>
      <c r="N2151" t="s">
        <v>30</v>
      </c>
      <c r="O2151" t="s">
        <v>31</v>
      </c>
      <c r="P2151" t="str">
        <f>"15201"</f>
        <v>15201</v>
      </c>
    </row>
    <row r="2152" spans="1:16" x14ac:dyDescent="0.25">
      <c r="A2152" t="str">
        <f>"1060049N00308    00"</f>
        <v>1060049N00308    00</v>
      </c>
      <c r="B2152" t="s">
        <v>4975</v>
      </c>
      <c r="C2152" t="s">
        <v>4976</v>
      </c>
      <c r="D2152" t="s">
        <v>20</v>
      </c>
      <c r="E2152" t="s">
        <v>39</v>
      </c>
      <c r="F2152">
        <v>0</v>
      </c>
      <c r="G2152">
        <v>0</v>
      </c>
      <c r="H2152">
        <v>2</v>
      </c>
      <c r="I2152" s="3">
        <v>5123.33</v>
      </c>
      <c r="J2152" s="3">
        <v>0</v>
      </c>
      <c r="K2152" t="s">
        <v>4933</v>
      </c>
      <c r="L2152">
        <v>3001</v>
      </c>
      <c r="M2152" t="s">
        <v>330</v>
      </c>
      <c r="N2152" t="s">
        <v>331</v>
      </c>
      <c r="O2152" t="s">
        <v>108</v>
      </c>
      <c r="P2152" t="str">
        <f>"75063"</f>
        <v>75063</v>
      </c>
    </row>
    <row r="2153" spans="1:16" x14ac:dyDescent="0.25">
      <c r="A2153" t="str">
        <f>"1060049N00310    00"</f>
        <v>1060049N00310    00</v>
      </c>
      <c r="B2153" t="s">
        <v>4977</v>
      </c>
      <c r="C2153" t="s">
        <v>4978</v>
      </c>
      <c r="D2153" t="s">
        <v>20</v>
      </c>
      <c r="E2153" t="s">
        <v>39</v>
      </c>
      <c r="F2153">
        <v>0</v>
      </c>
      <c r="G2153">
        <v>0</v>
      </c>
      <c r="H2153">
        <v>1</v>
      </c>
      <c r="I2153" s="3">
        <v>699.98</v>
      </c>
      <c r="J2153" s="3">
        <v>0</v>
      </c>
      <c r="K2153" t="s">
        <v>4979</v>
      </c>
      <c r="L2153">
        <v>1265</v>
      </c>
      <c r="M2153" t="s">
        <v>4980</v>
      </c>
      <c r="N2153" t="s">
        <v>4981</v>
      </c>
      <c r="O2153" t="s">
        <v>495</v>
      </c>
      <c r="P2153" t="str">
        <f>"92879"</f>
        <v>92879</v>
      </c>
    </row>
    <row r="2154" spans="1:16" x14ac:dyDescent="0.25">
      <c r="A2154" t="str">
        <f>"1060049N00314    00"</f>
        <v>1060049N00314    00</v>
      </c>
      <c r="B2154" t="s">
        <v>4982</v>
      </c>
      <c r="C2154" t="s">
        <v>4983</v>
      </c>
      <c r="E2154" t="s">
        <v>39</v>
      </c>
      <c r="F2154">
        <v>0</v>
      </c>
      <c r="G2154">
        <v>0</v>
      </c>
      <c r="H2154">
        <v>2</v>
      </c>
      <c r="I2154" s="3">
        <v>3025.8</v>
      </c>
      <c r="J2154" s="3">
        <v>12.61</v>
      </c>
      <c r="K2154" t="s">
        <v>4984</v>
      </c>
      <c r="L2154">
        <v>901</v>
      </c>
      <c r="M2154" t="s">
        <v>1503</v>
      </c>
      <c r="N2154" t="s">
        <v>494</v>
      </c>
      <c r="O2154" t="s">
        <v>495</v>
      </c>
      <c r="P2154" t="str">
        <f>"91768"</f>
        <v>91768</v>
      </c>
    </row>
    <row r="2155" spans="1:16" x14ac:dyDescent="0.25">
      <c r="A2155" t="str">
        <f>"1060049N00321    00"</f>
        <v>1060049N00321    00</v>
      </c>
      <c r="B2155" t="s">
        <v>4985</v>
      </c>
      <c r="C2155" t="s">
        <v>4986</v>
      </c>
      <c r="D2155" t="s">
        <v>20</v>
      </c>
      <c r="E2155" t="s">
        <v>39</v>
      </c>
      <c r="F2155">
        <v>0</v>
      </c>
      <c r="G2155">
        <v>0</v>
      </c>
      <c r="H2155">
        <v>1</v>
      </c>
      <c r="I2155" s="3">
        <v>2769.43</v>
      </c>
      <c r="J2155" s="3">
        <v>0</v>
      </c>
      <c r="K2155" t="s">
        <v>557</v>
      </c>
      <c r="L2155">
        <v>3001</v>
      </c>
      <c r="M2155" t="s">
        <v>330</v>
      </c>
      <c r="N2155" t="s">
        <v>331</v>
      </c>
      <c r="O2155" t="s">
        <v>108</v>
      </c>
      <c r="P2155" t="str">
        <f>"75063"</f>
        <v>75063</v>
      </c>
    </row>
    <row r="2156" spans="1:16" x14ac:dyDescent="0.25">
      <c r="A2156" t="str">
        <f>"1060049N00323    00"</f>
        <v>1060049N00323    00</v>
      </c>
      <c r="B2156" t="s">
        <v>4987</v>
      </c>
      <c r="C2156" t="s">
        <v>4988</v>
      </c>
      <c r="E2156" t="s">
        <v>39</v>
      </c>
      <c r="F2156">
        <v>0</v>
      </c>
      <c r="G2156">
        <v>0</v>
      </c>
      <c r="H2156">
        <v>2</v>
      </c>
      <c r="I2156" s="3">
        <v>1822.69</v>
      </c>
      <c r="J2156" s="3">
        <v>124.64</v>
      </c>
      <c r="K2156" t="s">
        <v>4989</v>
      </c>
      <c r="L2156">
        <v>3001</v>
      </c>
      <c r="M2156" t="s">
        <v>330</v>
      </c>
      <c r="N2156" t="s">
        <v>331</v>
      </c>
      <c r="O2156" t="s">
        <v>108</v>
      </c>
      <c r="P2156" t="str">
        <f>"75063"</f>
        <v>75063</v>
      </c>
    </row>
    <row r="2157" spans="1:16" x14ac:dyDescent="0.25">
      <c r="A2157" t="str">
        <f>"1060049N00325    00"</f>
        <v>1060049N00325    00</v>
      </c>
      <c r="B2157" t="s">
        <v>4990</v>
      </c>
      <c r="C2157" t="s">
        <v>4991</v>
      </c>
      <c r="D2157" t="s">
        <v>20</v>
      </c>
      <c r="E2157" t="s">
        <v>39</v>
      </c>
      <c r="F2157">
        <v>0</v>
      </c>
      <c r="G2157">
        <v>0</v>
      </c>
      <c r="H2157">
        <v>2</v>
      </c>
      <c r="I2157" s="3">
        <v>3571.86</v>
      </c>
      <c r="J2157" s="3">
        <v>0</v>
      </c>
      <c r="K2157" t="s">
        <v>4992</v>
      </c>
      <c r="L2157">
        <v>18111</v>
      </c>
      <c r="M2157" t="s">
        <v>4993</v>
      </c>
      <c r="N2157" t="s">
        <v>107</v>
      </c>
      <c r="O2157" t="s">
        <v>108</v>
      </c>
      <c r="P2157" t="str">
        <f>"75252"</f>
        <v>75252</v>
      </c>
    </row>
    <row r="2158" spans="1:16" x14ac:dyDescent="0.25">
      <c r="A2158" t="str">
        <f>"1060049N00326    00"</f>
        <v>1060049N00326    00</v>
      </c>
      <c r="B2158" t="s">
        <v>4994</v>
      </c>
      <c r="C2158" t="s">
        <v>4995</v>
      </c>
      <c r="D2158" t="s">
        <v>20</v>
      </c>
      <c r="E2158" t="s">
        <v>39</v>
      </c>
      <c r="F2158">
        <v>0</v>
      </c>
      <c r="G2158">
        <v>0</v>
      </c>
      <c r="H2158">
        <v>1</v>
      </c>
      <c r="I2158" s="3">
        <v>58.43</v>
      </c>
      <c r="J2158" s="3">
        <v>23.38</v>
      </c>
      <c r="L2158">
        <v>3648</v>
      </c>
      <c r="M2158" t="s">
        <v>3469</v>
      </c>
      <c r="N2158" t="s">
        <v>30</v>
      </c>
      <c r="O2158" t="s">
        <v>31</v>
      </c>
      <c r="P2158" t="str">
        <f>"15201"</f>
        <v>15201</v>
      </c>
    </row>
    <row r="2159" spans="1:16" x14ac:dyDescent="0.25">
      <c r="A2159" t="str">
        <f>"1060049N00327    00"</f>
        <v>1060049N00327    00</v>
      </c>
      <c r="B2159" t="s">
        <v>4996</v>
      </c>
      <c r="C2159" t="s">
        <v>4997</v>
      </c>
      <c r="E2159" t="s">
        <v>39</v>
      </c>
      <c r="F2159">
        <v>0</v>
      </c>
      <c r="G2159">
        <v>0</v>
      </c>
      <c r="H2159">
        <v>1</v>
      </c>
      <c r="I2159" s="3">
        <v>1067.45</v>
      </c>
      <c r="J2159" s="3">
        <v>293.52999999999997</v>
      </c>
      <c r="K2159" t="s">
        <v>1030</v>
      </c>
      <c r="M2159" t="s">
        <v>1031</v>
      </c>
      <c r="N2159" t="s">
        <v>1032</v>
      </c>
      <c r="O2159" t="s">
        <v>25</v>
      </c>
      <c r="P2159" t="str">
        <f>"44711"</f>
        <v>44711</v>
      </c>
    </row>
    <row r="2160" spans="1:16" x14ac:dyDescent="0.25">
      <c r="A2160" t="str">
        <f>"1060049N00328    00"</f>
        <v>1060049N00328    00</v>
      </c>
      <c r="B2160" t="s">
        <v>4998</v>
      </c>
      <c r="C2160" t="s">
        <v>4999</v>
      </c>
      <c r="E2160" t="s">
        <v>39</v>
      </c>
      <c r="F2160">
        <v>0</v>
      </c>
      <c r="G2160">
        <v>0</v>
      </c>
      <c r="H2160">
        <v>5</v>
      </c>
      <c r="I2160" s="3">
        <v>2666.63</v>
      </c>
      <c r="J2160" s="3">
        <v>1194.6300000000001</v>
      </c>
      <c r="L2160">
        <v>3652</v>
      </c>
      <c r="M2160" t="s">
        <v>3469</v>
      </c>
      <c r="N2160" t="s">
        <v>30</v>
      </c>
      <c r="O2160" t="s">
        <v>31</v>
      </c>
      <c r="P2160" t="str">
        <f>"15201"</f>
        <v>15201</v>
      </c>
    </row>
    <row r="2161" spans="1:16" x14ac:dyDescent="0.25">
      <c r="A2161" t="str">
        <f>"1060049P00017    00"</f>
        <v>1060049P00017    00</v>
      </c>
      <c r="B2161" t="s">
        <v>5000</v>
      </c>
      <c r="C2161" t="s">
        <v>5001</v>
      </c>
      <c r="E2161" t="s">
        <v>39</v>
      </c>
      <c r="F2161">
        <v>0</v>
      </c>
      <c r="G2161">
        <v>0</v>
      </c>
      <c r="H2161">
        <v>3</v>
      </c>
      <c r="I2161" s="3">
        <v>2181.1799999999998</v>
      </c>
      <c r="J2161" s="3">
        <v>1073.8399999999999</v>
      </c>
      <c r="L2161">
        <v>3942</v>
      </c>
      <c r="M2161" t="s">
        <v>585</v>
      </c>
      <c r="N2161" t="s">
        <v>30</v>
      </c>
      <c r="O2161" t="s">
        <v>31</v>
      </c>
      <c r="P2161" t="str">
        <f>"15224"</f>
        <v>15224</v>
      </c>
    </row>
    <row r="2162" spans="1:16" x14ac:dyDescent="0.25">
      <c r="A2162" t="str">
        <f>"1060049P00023B   00"</f>
        <v>1060049P00023B   00</v>
      </c>
      <c r="B2162" t="s">
        <v>5002</v>
      </c>
      <c r="C2162" t="s">
        <v>5003</v>
      </c>
      <c r="E2162" t="s">
        <v>39</v>
      </c>
      <c r="F2162">
        <v>0</v>
      </c>
      <c r="G2162">
        <v>0</v>
      </c>
      <c r="H2162">
        <v>1</v>
      </c>
      <c r="I2162" s="3">
        <v>916.67</v>
      </c>
      <c r="J2162" s="3">
        <v>274.99</v>
      </c>
      <c r="K2162" t="s">
        <v>5004</v>
      </c>
      <c r="L2162">
        <v>229</v>
      </c>
      <c r="M2162" t="s">
        <v>1715</v>
      </c>
      <c r="N2162" t="s">
        <v>30</v>
      </c>
      <c r="O2162" t="s">
        <v>31</v>
      </c>
      <c r="P2162" t="str">
        <f>"15222"</f>
        <v>15222</v>
      </c>
    </row>
    <row r="2163" spans="1:16" x14ac:dyDescent="0.25">
      <c r="A2163" t="str">
        <f>"1060049P00024    00"</f>
        <v>1060049P00024    00</v>
      </c>
      <c r="B2163" t="s">
        <v>5005</v>
      </c>
      <c r="C2163" t="s">
        <v>5006</v>
      </c>
      <c r="E2163" t="s">
        <v>39</v>
      </c>
      <c r="F2163">
        <v>0</v>
      </c>
      <c r="G2163">
        <v>0</v>
      </c>
      <c r="H2163">
        <v>1</v>
      </c>
      <c r="I2163" s="3">
        <v>1744.24</v>
      </c>
      <c r="J2163" s="3">
        <v>436.04</v>
      </c>
      <c r="K2163" t="s">
        <v>5007</v>
      </c>
      <c r="L2163">
        <v>3927</v>
      </c>
      <c r="M2163" t="s">
        <v>5008</v>
      </c>
      <c r="N2163" t="s">
        <v>30</v>
      </c>
      <c r="O2163" t="s">
        <v>31</v>
      </c>
      <c r="P2163" t="str">
        <f>"15224"</f>
        <v>15224</v>
      </c>
    </row>
    <row r="2164" spans="1:16" x14ac:dyDescent="0.25">
      <c r="A2164" t="str">
        <f>"1060049P00032    00"</f>
        <v>1060049P00032    00</v>
      </c>
      <c r="B2164" t="s">
        <v>5009</v>
      </c>
      <c r="C2164" t="s">
        <v>5010</v>
      </c>
      <c r="D2164" t="s">
        <v>20</v>
      </c>
      <c r="E2164" t="s">
        <v>21</v>
      </c>
      <c r="F2164">
        <v>0</v>
      </c>
      <c r="G2164">
        <v>0</v>
      </c>
      <c r="H2164">
        <v>4</v>
      </c>
      <c r="I2164" s="3">
        <v>13001.26</v>
      </c>
      <c r="J2164" s="3">
        <v>7863.36</v>
      </c>
      <c r="K2164" t="s">
        <v>5011</v>
      </c>
      <c r="L2164">
        <v>1511</v>
      </c>
      <c r="M2164" t="s">
        <v>5012</v>
      </c>
      <c r="N2164" t="s">
        <v>30</v>
      </c>
      <c r="O2164" t="s">
        <v>31</v>
      </c>
      <c r="P2164" t="str">
        <f>"15237"</f>
        <v>15237</v>
      </c>
    </row>
    <row r="2165" spans="1:16" x14ac:dyDescent="0.25">
      <c r="A2165" t="str">
        <f>"1060049P00038    00"</f>
        <v>1060049P00038    00</v>
      </c>
      <c r="B2165" t="s">
        <v>5013</v>
      </c>
      <c r="C2165" t="s">
        <v>5014</v>
      </c>
      <c r="E2165" t="s">
        <v>39</v>
      </c>
      <c r="F2165">
        <v>0</v>
      </c>
      <c r="G2165">
        <v>0</v>
      </c>
      <c r="H2165">
        <v>2</v>
      </c>
      <c r="I2165" s="3">
        <v>3096.38</v>
      </c>
      <c r="J2165" s="3">
        <v>211.74</v>
      </c>
      <c r="K2165" t="s">
        <v>5015</v>
      </c>
      <c r="L2165">
        <v>1901</v>
      </c>
      <c r="M2165" t="s">
        <v>5016</v>
      </c>
      <c r="N2165" t="s">
        <v>5017</v>
      </c>
      <c r="O2165" t="s">
        <v>3486</v>
      </c>
      <c r="P2165" t="str">
        <f>"61834"</f>
        <v>61834</v>
      </c>
    </row>
    <row r="2166" spans="1:16" x14ac:dyDescent="0.25">
      <c r="A2166" t="str">
        <f>"1060049P00105    00"</f>
        <v>1060049P00105    00</v>
      </c>
      <c r="B2166" t="s">
        <v>5018</v>
      </c>
      <c r="C2166" t="s">
        <v>5019</v>
      </c>
      <c r="D2166" t="s">
        <v>20</v>
      </c>
      <c r="E2166" t="s">
        <v>39</v>
      </c>
      <c r="F2166">
        <v>0</v>
      </c>
      <c r="G2166">
        <v>0</v>
      </c>
      <c r="H2166">
        <v>9</v>
      </c>
      <c r="I2166" s="3">
        <v>3934.06</v>
      </c>
      <c r="J2166" s="3">
        <v>1770.93</v>
      </c>
      <c r="L2166">
        <v>3923</v>
      </c>
      <c r="M2166" t="s">
        <v>3469</v>
      </c>
      <c r="N2166" t="s">
        <v>30</v>
      </c>
      <c r="O2166" t="s">
        <v>31</v>
      </c>
      <c r="P2166" t="str">
        <f>"15224"</f>
        <v>15224</v>
      </c>
    </row>
    <row r="2167" spans="1:16" x14ac:dyDescent="0.25">
      <c r="A2167" t="str">
        <f>"1060049P00112000100"</f>
        <v>1060049P00112000100</v>
      </c>
      <c r="B2167" t="s">
        <v>5020</v>
      </c>
      <c r="C2167" t="s">
        <v>5021</v>
      </c>
      <c r="D2167" t="s">
        <v>20</v>
      </c>
      <c r="E2167" t="s">
        <v>39</v>
      </c>
      <c r="F2167">
        <v>0</v>
      </c>
      <c r="G2167">
        <v>0</v>
      </c>
      <c r="H2167">
        <v>2</v>
      </c>
      <c r="I2167" s="3">
        <v>3154.91</v>
      </c>
      <c r="J2167" s="3">
        <v>0</v>
      </c>
      <c r="K2167" t="s">
        <v>1722</v>
      </c>
      <c r="M2167" t="s">
        <v>1723</v>
      </c>
      <c r="N2167" t="s">
        <v>410</v>
      </c>
      <c r="O2167" t="s">
        <v>31</v>
      </c>
      <c r="P2167" t="str">
        <f>"15701"</f>
        <v>15701</v>
      </c>
    </row>
    <row r="2168" spans="1:16" x14ac:dyDescent="0.25">
      <c r="A2168" t="str">
        <f>"1060049P00122    00"</f>
        <v>1060049P00122    00</v>
      </c>
      <c r="B2168" t="s">
        <v>5022</v>
      </c>
      <c r="C2168" t="s">
        <v>5023</v>
      </c>
      <c r="D2168" t="s">
        <v>20</v>
      </c>
      <c r="E2168" t="s">
        <v>39</v>
      </c>
      <c r="F2168">
        <v>0</v>
      </c>
      <c r="G2168">
        <v>0</v>
      </c>
      <c r="H2168">
        <v>1</v>
      </c>
      <c r="I2168" s="3">
        <v>970.16</v>
      </c>
      <c r="J2168" s="3">
        <v>0</v>
      </c>
      <c r="L2168">
        <v>4108</v>
      </c>
      <c r="M2168" t="s">
        <v>5024</v>
      </c>
      <c r="N2168" t="s">
        <v>5025</v>
      </c>
      <c r="O2168" t="s">
        <v>108</v>
      </c>
      <c r="P2168" t="str">
        <f>"75087"</f>
        <v>75087</v>
      </c>
    </row>
    <row r="2169" spans="1:16" x14ac:dyDescent="0.25">
      <c r="A2169" t="str">
        <f>"1060049P00138    00"</f>
        <v>1060049P00138    00</v>
      </c>
      <c r="B2169" t="s">
        <v>5026</v>
      </c>
      <c r="C2169" t="s">
        <v>5027</v>
      </c>
      <c r="D2169" t="s">
        <v>20</v>
      </c>
      <c r="E2169" t="s">
        <v>39</v>
      </c>
      <c r="F2169">
        <v>0</v>
      </c>
      <c r="G2169">
        <v>0</v>
      </c>
      <c r="H2169">
        <v>2</v>
      </c>
      <c r="I2169" s="3">
        <v>780.36</v>
      </c>
      <c r="J2169" s="3">
        <v>0</v>
      </c>
      <c r="K2169" t="s">
        <v>1722</v>
      </c>
      <c r="M2169" t="s">
        <v>1723</v>
      </c>
      <c r="N2169" t="s">
        <v>410</v>
      </c>
      <c r="O2169" t="s">
        <v>31</v>
      </c>
      <c r="P2169" t="str">
        <f>"15701"</f>
        <v>15701</v>
      </c>
    </row>
    <row r="2170" spans="1:16" x14ac:dyDescent="0.25">
      <c r="A2170" t="str">
        <f>"1060049P00139    00"</f>
        <v>1060049P00139    00</v>
      </c>
      <c r="B2170" t="s">
        <v>5028</v>
      </c>
      <c r="C2170" t="s">
        <v>5029</v>
      </c>
      <c r="D2170" t="s">
        <v>20</v>
      </c>
      <c r="E2170" t="s">
        <v>39</v>
      </c>
      <c r="F2170">
        <v>0</v>
      </c>
      <c r="G2170">
        <v>0</v>
      </c>
      <c r="H2170">
        <v>3</v>
      </c>
      <c r="I2170" s="3">
        <v>480.3</v>
      </c>
      <c r="J2170" s="3">
        <v>32.020000000000003</v>
      </c>
      <c r="K2170" t="s">
        <v>5030</v>
      </c>
      <c r="M2170" t="s">
        <v>5031</v>
      </c>
      <c r="N2170" t="s">
        <v>5032</v>
      </c>
      <c r="O2170" t="s">
        <v>606</v>
      </c>
      <c r="P2170" t="str">
        <f>"30096"</f>
        <v>30096</v>
      </c>
    </row>
    <row r="2171" spans="1:16" x14ac:dyDescent="0.25">
      <c r="A2171" t="str">
        <f>"1060049P00154C   00"</f>
        <v>1060049P00154C   00</v>
      </c>
      <c r="B2171" t="s">
        <v>5033</v>
      </c>
      <c r="C2171" t="s">
        <v>5034</v>
      </c>
      <c r="D2171" t="s">
        <v>20</v>
      </c>
      <c r="E2171" t="s">
        <v>39</v>
      </c>
      <c r="F2171">
        <v>0</v>
      </c>
      <c r="G2171">
        <v>0</v>
      </c>
      <c r="H2171">
        <v>1</v>
      </c>
      <c r="I2171" s="3">
        <v>721.26</v>
      </c>
      <c r="J2171" s="3">
        <v>0</v>
      </c>
      <c r="K2171" t="s">
        <v>5035</v>
      </c>
      <c r="M2171" t="s">
        <v>5036</v>
      </c>
      <c r="N2171" t="s">
        <v>30</v>
      </c>
      <c r="O2171" t="s">
        <v>31</v>
      </c>
      <c r="P2171" t="str">
        <f>"15244"</f>
        <v>15244</v>
      </c>
    </row>
    <row r="2172" spans="1:16" x14ac:dyDescent="0.25">
      <c r="A2172" t="str">
        <f>"1060049P00154E   00"</f>
        <v>1060049P00154E   00</v>
      </c>
      <c r="B2172" t="s">
        <v>5037</v>
      </c>
      <c r="C2172" t="s">
        <v>5038</v>
      </c>
      <c r="D2172" t="s">
        <v>20</v>
      </c>
      <c r="E2172" t="s">
        <v>39</v>
      </c>
      <c r="F2172">
        <v>0</v>
      </c>
      <c r="G2172">
        <v>0</v>
      </c>
      <c r="H2172">
        <v>1</v>
      </c>
      <c r="I2172" s="3">
        <v>42.3</v>
      </c>
      <c r="J2172" s="3">
        <v>0</v>
      </c>
      <c r="L2172">
        <v>304</v>
      </c>
      <c r="M2172" t="s">
        <v>4806</v>
      </c>
      <c r="N2172" t="s">
        <v>30</v>
      </c>
      <c r="O2172" t="s">
        <v>31</v>
      </c>
      <c r="P2172" t="str">
        <f>"15201"</f>
        <v>15201</v>
      </c>
    </row>
    <row r="2173" spans="1:16" x14ac:dyDescent="0.25">
      <c r="A2173" t="str">
        <f>"1060049P00169    00"</f>
        <v>1060049P00169    00</v>
      </c>
      <c r="B2173" t="s">
        <v>5039</v>
      </c>
      <c r="C2173" t="s">
        <v>5040</v>
      </c>
      <c r="E2173" t="s">
        <v>39</v>
      </c>
      <c r="F2173">
        <v>0</v>
      </c>
      <c r="G2173">
        <v>0</v>
      </c>
      <c r="H2173">
        <v>1</v>
      </c>
      <c r="I2173" s="3">
        <v>195.46</v>
      </c>
      <c r="J2173" s="3">
        <v>267.12</v>
      </c>
      <c r="K2173" t="s">
        <v>5041</v>
      </c>
      <c r="L2173">
        <v>1281</v>
      </c>
      <c r="M2173" t="s">
        <v>5042</v>
      </c>
      <c r="N2173" t="s">
        <v>30</v>
      </c>
      <c r="O2173" t="s">
        <v>31</v>
      </c>
      <c r="P2173" t="str">
        <f>"15226"</f>
        <v>15226</v>
      </c>
    </row>
    <row r="2174" spans="1:16" x14ac:dyDescent="0.25">
      <c r="A2174" t="str">
        <f>"1060049P00185    00"</f>
        <v>1060049P00185    00</v>
      </c>
      <c r="B2174" t="s">
        <v>5043</v>
      </c>
      <c r="C2174" t="s">
        <v>5044</v>
      </c>
      <c r="D2174" t="s">
        <v>20</v>
      </c>
      <c r="E2174" t="s">
        <v>39</v>
      </c>
      <c r="F2174">
        <v>0</v>
      </c>
      <c r="G2174">
        <v>0</v>
      </c>
      <c r="H2174">
        <v>2</v>
      </c>
      <c r="I2174" s="3">
        <v>4463.88</v>
      </c>
      <c r="J2174" s="3">
        <v>0</v>
      </c>
      <c r="M2174" t="s">
        <v>5045</v>
      </c>
      <c r="N2174" t="s">
        <v>30</v>
      </c>
      <c r="O2174" t="s">
        <v>31</v>
      </c>
      <c r="P2174" t="str">
        <f>"15224"</f>
        <v>15224</v>
      </c>
    </row>
    <row r="2175" spans="1:16" x14ac:dyDescent="0.25">
      <c r="A2175" t="str">
        <f>"1060049P00188    00"</f>
        <v>1060049P00188    00</v>
      </c>
      <c r="B2175" t="s">
        <v>5046</v>
      </c>
      <c r="C2175" t="s">
        <v>5047</v>
      </c>
      <c r="D2175" t="s">
        <v>20</v>
      </c>
      <c r="E2175" t="s">
        <v>39</v>
      </c>
      <c r="F2175">
        <v>0</v>
      </c>
      <c r="G2175">
        <v>0</v>
      </c>
      <c r="H2175">
        <v>1</v>
      </c>
      <c r="I2175" s="3">
        <v>2656.84</v>
      </c>
      <c r="J2175" s="3">
        <v>1062.69</v>
      </c>
      <c r="K2175" t="s">
        <v>881</v>
      </c>
      <c r="L2175">
        <v>3001</v>
      </c>
      <c r="M2175" t="s">
        <v>330</v>
      </c>
      <c r="N2175" t="s">
        <v>331</v>
      </c>
      <c r="O2175" t="s">
        <v>108</v>
      </c>
      <c r="P2175" t="str">
        <f>"75063"</f>
        <v>75063</v>
      </c>
    </row>
    <row r="2176" spans="1:16" x14ac:dyDescent="0.25">
      <c r="A2176" t="str">
        <f>"1060049P00197    00"</f>
        <v>1060049P00197    00</v>
      </c>
      <c r="B2176" t="s">
        <v>5048</v>
      </c>
      <c r="C2176" t="s">
        <v>5049</v>
      </c>
      <c r="D2176" t="s">
        <v>20</v>
      </c>
      <c r="E2176" t="s">
        <v>39</v>
      </c>
      <c r="F2176">
        <v>0</v>
      </c>
      <c r="G2176">
        <v>0</v>
      </c>
      <c r="H2176">
        <v>1</v>
      </c>
      <c r="I2176" s="3">
        <v>111.28</v>
      </c>
      <c r="J2176" s="3">
        <v>0</v>
      </c>
      <c r="K2176" t="s">
        <v>5050</v>
      </c>
      <c r="L2176">
        <v>3903</v>
      </c>
      <c r="M2176" t="s">
        <v>5051</v>
      </c>
      <c r="N2176" t="s">
        <v>30</v>
      </c>
      <c r="O2176" t="s">
        <v>31</v>
      </c>
      <c r="P2176" t="str">
        <f>"15224"</f>
        <v>15224</v>
      </c>
    </row>
    <row r="2177" spans="1:16" x14ac:dyDescent="0.25">
      <c r="A2177" t="str">
        <f>"1060049P00205    00"</f>
        <v>1060049P00205    00</v>
      </c>
      <c r="B2177" t="s">
        <v>5052</v>
      </c>
      <c r="C2177" t="s">
        <v>5053</v>
      </c>
      <c r="E2177" t="s">
        <v>39</v>
      </c>
      <c r="F2177">
        <v>0</v>
      </c>
      <c r="G2177">
        <v>0</v>
      </c>
      <c r="H2177">
        <v>2</v>
      </c>
      <c r="I2177" s="3">
        <v>3819.62</v>
      </c>
      <c r="J2177" s="3">
        <v>190.97</v>
      </c>
      <c r="K2177" t="s">
        <v>5054</v>
      </c>
      <c r="L2177">
        <v>140</v>
      </c>
      <c r="M2177" t="s">
        <v>5055</v>
      </c>
      <c r="N2177" t="s">
        <v>5056</v>
      </c>
      <c r="O2177" t="s">
        <v>5057</v>
      </c>
      <c r="P2177" t="str">
        <f>"04240"</f>
        <v>04240</v>
      </c>
    </row>
    <row r="2178" spans="1:16" x14ac:dyDescent="0.25">
      <c r="A2178" t="str">
        <f>"1060049P00208    00"</f>
        <v>1060049P00208    00</v>
      </c>
      <c r="B2178" t="s">
        <v>5058</v>
      </c>
      <c r="C2178" t="s">
        <v>5059</v>
      </c>
      <c r="D2178" t="s">
        <v>20</v>
      </c>
      <c r="E2178" t="s">
        <v>39</v>
      </c>
      <c r="F2178">
        <v>0</v>
      </c>
      <c r="G2178">
        <v>0</v>
      </c>
      <c r="H2178">
        <v>16</v>
      </c>
      <c r="I2178" s="3">
        <v>18225.189999999999</v>
      </c>
      <c r="J2178" s="3">
        <v>12544.26</v>
      </c>
      <c r="L2178">
        <v>3924</v>
      </c>
      <c r="M2178" t="s">
        <v>3469</v>
      </c>
      <c r="N2178" t="s">
        <v>30</v>
      </c>
      <c r="O2178" t="s">
        <v>31</v>
      </c>
      <c r="P2178" t="str">
        <f>"15224"</f>
        <v>15224</v>
      </c>
    </row>
    <row r="2179" spans="1:16" x14ac:dyDescent="0.25">
      <c r="A2179" t="str">
        <f>"1060049P00212000100"</f>
        <v>1060049P00212000100</v>
      </c>
      <c r="B2179" t="s">
        <v>5060</v>
      </c>
      <c r="C2179" t="s">
        <v>5061</v>
      </c>
      <c r="D2179" t="s">
        <v>20</v>
      </c>
      <c r="E2179" t="s">
        <v>39</v>
      </c>
      <c r="F2179">
        <v>0</v>
      </c>
      <c r="G2179">
        <v>0</v>
      </c>
      <c r="H2179">
        <v>2</v>
      </c>
      <c r="I2179" s="3">
        <v>856.5</v>
      </c>
      <c r="J2179" s="3">
        <v>0</v>
      </c>
      <c r="L2179">
        <v>3933</v>
      </c>
      <c r="M2179" t="s">
        <v>5051</v>
      </c>
      <c r="N2179" t="s">
        <v>30</v>
      </c>
      <c r="O2179" t="s">
        <v>31</v>
      </c>
      <c r="P2179" t="str">
        <f>"15224"</f>
        <v>15224</v>
      </c>
    </row>
    <row r="2180" spans="1:16" x14ac:dyDescent="0.25">
      <c r="A2180" t="str">
        <f>"1060049P00227    00"</f>
        <v>1060049P00227    00</v>
      </c>
      <c r="B2180" t="s">
        <v>5062</v>
      </c>
      <c r="C2180" t="s">
        <v>5063</v>
      </c>
      <c r="D2180" t="s">
        <v>20</v>
      </c>
      <c r="E2180" t="s">
        <v>39</v>
      </c>
      <c r="F2180">
        <v>0</v>
      </c>
      <c r="G2180">
        <v>0</v>
      </c>
      <c r="H2180">
        <v>1</v>
      </c>
      <c r="I2180" s="3">
        <v>1862.17</v>
      </c>
      <c r="J2180" s="3">
        <v>0</v>
      </c>
      <c r="L2180">
        <v>3943</v>
      </c>
      <c r="M2180" t="s">
        <v>5064</v>
      </c>
      <c r="N2180" t="s">
        <v>30</v>
      </c>
      <c r="O2180" t="s">
        <v>31</v>
      </c>
      <c r="P2180" t="str">
        <f>"15224"</f>
        <v>15224</v>
      </c>
    </row>
    <row r="2181" spans="1:16" x14ac:dyDescent="0.25">
      <c r="A2181" t="str">
        <f>"1060049P00237A   00"</f>
        <v>1060049P00237A   00</v>
      </c>
      <c r="B2181" t="s">
        <v>5065</v>
      </c>
      <c r="C2181" t="s">
        <v>5066</v>
      </c>
      <c r="D2181" t="s">
        <v>20</v>
      </c>
      <c r="E2181" t="s">
        <v>39</v>
      </c>
      <c r="F2181">
        <v>0</v>
      </c>
      <c r="G2181">
        <v>0</v>
      </c>
      <c r="H2181">
        <v>1</v>
      </c>
      <c r="I2181" s="3">
        <v>996.85</v>
      </c>
      <c r="J2181" s="3">
        <v>0</v>
      </c>
      <c r="L2181">
        <v>6120</v>
      </c>
      <c r="M2181" t="s">
        <v>5067</v>
      </c>
      <c r="N2181" t="s">
        <v>5068</v>
      </c>
      <c r="O2181" t="s">
        <v>25</v>
      </c>
      <c r="P2181" t="str">
        <f>"43612"</f>
        <v>43612</v>
      </c>
    </row>
    <row r="2182" spans="1:16" x14ac:dyDescent="0.25">
      <c r="A2182" t="str">
        <f>"1060049P00248    00"</f>
        <v>1060049P00248    00</v>
      </c>
      <c r="B2182" t="s">
        <v>5069</v>
      </c>
      <c r="C2182" t="s">
        <v>5070</v>
      </c>
      <c r="E2182" t="s">
        <v>39</v>
      </c>
      <c r="F2182">
        <v>0</v>
      </c>
      <c r="G2182">
        <v>0</v>
      </c>
      <c r="H2182">
        <v>1</v>
      </c>
      <c r="I2182" s="3">
        <v>2319.61</v>
      </c>
      <c r="J2182" s="3">
        <v>463.91</v>
      </c>
      <c r="K2182" t="s">
        <v>1502</v>
      </c>
      <c r="L2182">
        <v>901</v>
      </c>
      <c r="M2182" t="s">
        <v>1503</v>
      </c>
      <c r="N2182" t="s">
        <v>494</v>
      </c>
      <c r="O2182" t="s">
        <v>495</v>
      </c>
      <c r="P2182" t="str">
        <f>"91768"</f>
        <v>91768</v>
      </c>
    </row>
    <row r="2183" spans="1:16" x14ac:dyDescent="0.25">
      <c r="A2183" t="str">
        <f>"1060049P00255    00"</f>
        <v>1060049P00255    00</v>
      </c>
      <c r="B2183" t="s">
        <v>5071</v>
      </c>
      <c r="C2183" t="s">
        <v>5072</v>
      </c>
      <c r="D2183" t="s">
        <v>20</v>
      </c>
      <c r="E2183" t="s">
        <v>39</v>
      </c>
      <c r="F2183">
        <v>0</v>
      </c>
      <c r="G2183">
        <v>0</v>
      </c>
      <c r="H2183">
        <v>2</v>
      </c>
      <c r="I2183" s="3">
        <v>1411.11</v>
      </c>
      <c r="J2183" s="3">
        <v>0</v>
      </c>
      <c r="K2183" t="s">
        <v>5073</v>
      </c>
      <c r="L2183">
        <v>3001</v>
      </c>
      <c r="M2183" t="s">
        <v>330</v>
      </c>
      <c r="N2183" t="s">
        <v>331</v>
      </c>
      <c r="O2183" t="s">
        <v>108</v>
      </c>
      <c r="P2183" t="str">
        <f>"75063"</f>
        <v>75063</v>
      </c>
    </row>
    <row r="2184" spans="1:16" x14ac:dyDescent="0.25">
      <c r="A2184" t="str">
        <f>"1060049P00268    00"</f>
        <v>1060049P00268    00</v>
      </c>
      <c r="B2184" t="s">
        <v>5074</v>
      </c>
      <c r="C2184" t="s">
        <v>5075</v>
      </c>
      <c r="E2184" t="s">
        <v>39</v>
      </c>
      <c r="F2184">
        <v>0</v>
      </c>
      <c r="G2184">
        <v>0</v>
      </c>
      <c r="H2184">
        <v>1</v>
      </c>
      <c r="I2184" s="3">
        <v>5425.39</v>
      </c>
      <c r="J2184" s="3">
        <v>1356.29</v>
      </c>
      <c r="L2184">
        <v>324</v>
      </c>
      <c r="M2184" t="s">
        <v>4806</v>
      </c>
      <c r="N2184" t="s">
        <v>30</v>
      </c>
      <c r="O2184" t="s">
        <v>31</v>
      </c>
      <c r="P2184" t="str">
        <f>"15201"</f>
        <v>15201</v>
      </c>
    </row>
    <row r="2185" spans="1:16" x14ac:dyDescent="0.25">
      <c r="A2185" t="str">
        <f>"1060049P00269    00"</f>
        <v>1060049P00269    00</v>
      </c>
      <c r="B2185" t="s">
        <v>5076</v>
      </c>
      <c r="C2185" t="s">
        <v>5077</v>
      </c>
      <c r="D2185" t="s">
        <v>20</v>
      </c>
      <c r="E2185" t="s">
        <v>39</v>
      </c>
      <c r="F2185">
        <v>0</v>
      </c>
      <c r="G2185">
        <v>0</v>
      </c>
      <c r="H2185">
        <v>3</v>
      </c>
      <c r="I2185" s="3">
        <v>2136.15</v>
      </c>
      <c r="J2185" s="3">
        <v>18.57</v>
      </c>
      <c r="K2185" t="s">
        <v>5078</v>
      </c>
      <c r="L2185">
        <v>8050</v>
      </c>
      <c r="M2185" t="s">
        <v>5079</v>
      </c>
      <c r="N2185" t="s">
        <v>5080</v>
      </c>
      <c r="O2185" t="s">
        <v>25</v>
      </c>
      <c r="P2185" t="str">
        <f>"44641"</f>
        <v>44641</v>
      </c>
    </row>
    <row r="2186" spans="1:16" x14ac:dyDescent="0.25">
      <c r="A2186" t="str">
        <f>"1060049P00302    00"</f>
        <v>1060049P00302    00</v>
      </c>
      <c r="B2186" t="s">
        <v>5081</v>
      </c>
      <c r="C2186" t="s">
        <v>5082</v>
      </c>
      <c r="D2186" t="s">
        <v>20</v>
      </c>
      <c r="E2186" t="s">
        <v>39</v>
      </c>
      <c r="F2186">
        <v>0</v>
      </c>
      <c r="G2186">
        <v>0</v>
      </c>
      <c r="H2186">
        <v>2</v>
      </c>
      <c r="I2186" s="3">
        <v>4057.89</v>
      </c>
      <c r="J2186" s="3">
        <v>0</v>
      </c>
      <c r="L2186">
        <v>3820</v>
      </c>
      <c r="M2186" t="s">
        <v>5064</v>
      </c>
      <c r="N2186" t="s">
        <v>30</v>
      </c>
      <c r="O2186" t="s">
        <v>31</v>
      </c>
      <c r="P2186" t="str">
        <f>"15201"</f>
        <v>15201</v>
      </c>
    </row>
    <row r="2187" spans="1:16" x14ac:dyDescent="0.25">
      <c r="A2187" t="str">
        <f>"1060049P00305    00"</f>
        <v>1060049P00305    00</v>
      </c>
      <c r="B2187" t="s">
        <v>5083</v>
      </c>
      <c r="C2187" t="s">
        <v>5084</v>
      </c>
      <c r="D2187" t="s">
        <v>20</v>
      </c>
      <c r="E2187" t="s">
        <v>39</v>
      </c>
      <c r="F2187">
        <v>0</v>
      </c>
      <c r="G2187">
        <v>0</v>
      </c>
      <c r="H2187">
        <v>1</v>
      </c>
      <c r="I2187" s="3">
        <v>3223.06</v>
      </c>
      <c r="J2187" s="3">
        <v>0</v>
      </c>
      <c r="K2187" t="s">
        <v>4992</v>
      </c>
      <c r="L2187">
        <v>18111</v>
      </c>
      <c r="M2187" t="s">
        <v>4993</v>
      </c>
      <c r="N2187" t="s">
        <v>107</v>
      </c>
      <c r="O2187" t="s">
        <v>108</v>
      </c>
      <c r="P2187" t="str">
        <f>"75252"</f>
        <v>75252</v>
      </c>
    </row>
    <row r="2188" spans="1:16" x14ac:dyDescent="0.25">
      <c r="A2188" t="str">
        <f>"1060049P00335    00"</f>
        <v>1060049P00335    00</v>
      </c>
      <c r="B2188" t="s">
        <v>5085</v>
      </c>
      <c r="C2188" t="s">
        <v>5086</v>
      </c>
      <c r="D2188" t="s">
        <v>20</v>
      </c>
      <c r="E2188" t="s">
        <v>39</v>
      </c>
      <c r="F2188">
        <v>0</v>
      </c>
      <c r="G2188">
        <v>0</v>
      </c>
      <c r="H2188">
        <v>3</v>
      </c>
      <c r="I2188" s="3">
        <v>4780.26</v>
      </c>
      <c r="J2188" s="3">
        <v>318.67</v>
      </c>
      <c r="K2188" t="s">
        <v>5087</v>
      </c>
      <c r="L2188">
        <v>1393</v>
      </c>
      <c r="M2188" t="s">
        <v>5088</v>
      </c>
      <c r="N2188" t="s">
        <v>526</v>
      </c>
      <c r="O2188" t="s">
        <v>31</v>
      </c>
      <c r="P2188" t="str">
        <f>"15301"</f>
        <v>15301</v>
      </c>
    </row>
    <row r="2189" spans="1:16" x14ac:dyDescent="0.25">
      <c r="A2189" t="str">
        <f>"1060049P00343    00"</f>
        <v>1060049P00343    00</v>
      </c>
      <c r="B2189" t="s">
        <v>5089</v>
      </c>
      <c r="C2189" t="s">
        <v>5090</v>
      </c>
      <c r="E2189" t="s">
        <v>39</v>
      </c>
      <c r="F2189">
        <v>0</v>
      </c>
      <c r="G2189">
        <v>0</v>
      </c>
      <c r="H2189">
        <v>2</v>
      </c>
      <c r="I2189" s="3">
        <v>6987.42</v>
      </c>
      <c r="J2189" s="3">
        <v>87.34</v>
      </c>
      <c r="K2189" t="s">
        <v>400</v>
      </c>
      <c r="L2189">
        <v>3001</v>
      </c>
      <c r="M2189" t="s">
        <v>330</v>
      </c>
      <c r="N2189" t="s">
        <v>331</v>
      </c>
      <c r="O2189" t="s">
        <v>108</v>
      </c>
      <c r="P2189" t="str">
        <f>"75063"</f>
        <v>75063</v>
      </c>
    </row>
    <row r="2190" spans="1:16" x14ac:dyDescent="0.25">
      <c r="A2190" t="str">
        <f>"1060049P00344    00"</f>
        <v>1060049P00344    00</v>
      </c>
      <c r="B2190" t="s">
        <v>5091</v>
      </c>
      <c r="C2190" t="s">
        <v>5092</v>
      </c>
      <c r="D2190" t="s">
        <v>20</v>
      </c>
      <c r="E2190" t="s">
        <v>39</v>
      </c>
      <c r="F2190">
        <v>0</v>
      </c>
      <c r="G2190">
        <v>0</v>
      </c>
      <c r="H2190">
        <v>1</v>
      </c>
      <c r="I2190" s="3">
        <v>2536.9</v>
      </c>
      <c r="J2190" s="3">
        <v>0</v>
      </c>
      <c r="K2190" t="s">
        <v>391</v>
      </c>
      <c r="L2190">
        <v>1</v>
      </c>
      <c r="M2190" t="s">
        <v>392</v>
      </c>
      <c r="N2190" t="s">
        <v>393</v>
      </c>
      <c r="O2190" t="s">
        <v>394</v>
      </c>
      <c r="P2190" t="str">
        <f>"50328"</f>
        <v>50328</v>
      </c>
    </row>
    <row r="2191" spans="1:16" x14ac:dyDescent="0.25">
      <c r="A2191" t="str">
        <f>"1060049P00346    00"</f>
        <v>1060049P00346    00</v>
      </c>
      <c r="B2191" t="s">
        <v>5093</v>
      </c>
      <c r="C2191" t="s">
        <v>5094</v>
      </c>
      <c r="E2191" t="s">
        <v>39</v>
      </c>
      <c r="F2191">
        <v>0</v>
      </c>
      <c r="G2191">
        <v>0</v>
      </c>
      <c r="H2191">
        <v>2</v>
      </c>
      <c r="I2191" s="3">
        <v>1463.8</v>
      </c>
      <c r="J2191" s="3">
        <v>73.19</v>
      </c>
      <c r="K2191" t="s">
        <v>881</v>
      </c>
      <c r="L2191">
        <v>3001</v>
      </c>
      <c r="M2191" t="s">
        <v>330</v>
      </c>
      <c r="N2191" t="s">
        <v>331</v>
      </c>
      <c r="O2191" t="s">
        <v>108</v>
      </c>
      <c r="P2191" t="str">
        <f>"75063"</f>
        <v>75063</v>
      </c>
    </row>
    <row r="2192" spans="1:16" x14ac:dyDescent="0.25">
      <c r="A2192" t="str">
        <f>"1060049P00362A   00"</f>
        <v>1060049P00362A   00</v>
      </c>
      <c r="B2192" t="s">
        <v>5095</v>
      </c>
      <c r="C2192" t="s">
        <v>5096</v>
      </c>
      <c r="D2192" t="s">
        <v>20</v>
      </c>
      <c r="E2192" t="s">
        <v>39</v>
      </c>
      <c r="F2192">
        <v>0</v>
      </c>
      <c r="G2192">
        <v>0</v>
      </c>
      <c r="H2192">
        <v>2</v>
      </c>
      <c r="I2192" s="3">
        <v>2233.8200000000002</v>
      </c>
      <c r="J2192" s="3">
        <v>0</v>
      </c>
      <c r="L2192">
        <v>3771</v>
      </c>
      <c r="M2192" t="s">
        <v>5097</v>
      </c>
      <c r="N2192" t="s">
        <v>30</v>
      </c>
      <c r="O2192" t="s">
        <v>31</v>
      </c>
      <c r="P2192" t="str">
        <f>"15204"</f>
        <v>15204</v>
      </c>
    </row>
    <row r="2193" spans="1:16" x14ac:dyDescent="0.25">
      <c r="A2193" t="str">
        <f>"1060049P00373    00"</f>
        <v>1060049P00373    00</v>
      </c>
      <c r="B2193" t="s">
        <v>5098</v>
      </c>
      <c r="C2193" t="s">
        <v>5099</v>
      </c>
      <c r="E2193" t="s">
        <v>39</v>
      </c>
      <c r="F2193">
        <v>0</v>
      </c>
      <c r="G2193">
        <v>0</v>
      </c>
      <c r="H2193">
        <v>2</v>
      </c>
      <c r="I2193" s="3">
        <v>2301.39</v>
      </c>
      <c r="J2193" s="3">
        <v>913.99</v>
      </c>
      <c r="L2193">
        <v>3821</v>
      </c>
      <c r="M2193" t="s">
        <v>614</v>
      </c>
      <c r="N2193" t="s">
        <v>30</v>
      </c>
      <c r="O2193" t="s">
        <v>31</v>
      </c>
      <c r="P2193" t="str">
        <f>"15201"</f>
        <v>15201</v>
      </c>
    </row>
    <row r="2194" spans="1:16" x14ac:dyDescent="0.25">
      <c r="A2194" t="str">
        <f>"1060049P00385020100"</f>
        <v>1060049P00385020100</v>
      </c>
      <c r="B2194" t="s">
        <v>5100</v>
      </c>
      <c r="C2194" t="s">
        <v>5101</v>
      </c>
      <c r="D2194" t="s">
        <v>20</v>
      </c>
      <c r="E2194" t="s">
        <v>39</v>
      </c>
      <c r="F2194">
        <v>0</v>
      </c>
      <c r="G2194">
        <v>0</v>
      </c>
      <c r="H2194">
        <v>1</v>
      </c>
      <c r="I2194" s="3">
        <v>667.1</v>
      </c>
      <c r="J2194" s="3">
        <v>0</v>
      </c>
      <c r="K2194" t="s">
        <v>5102</v>
      </c>
      <c r="L2194">
        <v>97</v>
      </c>
      <c r="M2194" t="s">
        <v>5103</v>
      </c>
      <c r="N2194" t="s">
        <v>1067</v>
      </c>
      <c r="O2194" t="s">
        <v>31</v>
      </c>
      <c r="P2194" t="str">
        <f t="shared" ref="P2194:P2207" si="35">"15143"</f>
        <v>15143</v>
      </c>
    </row>
    <row r="2195" spans="1:16" x14ac:dyDescent="0.25">
      <c r="A2195" t="str">
        <f>"1060049P00385020600"</f>
        <v>1060049P00385020600</v>
      </c>
      <c r="B2195" t="s">
        <v>5100</v>
      </c>
      <c r="C2195" t="s">
        <v>5104</v>
      </c>
      <c r="D2195" t="s">
        <v>20</v>
      </c>
      <c r="E2195" t="s">
        <v>39</v>
      </c>
      <c r="F2195">
        <v>0</v>
      </c>
      <c r="G2195">
        <v>0</v>
      </c>
      <c r="H2195">
        <v>1</v>
      </c>
      <c r="I2195" s="3">
        <v>667.1</v>
      </c>
      <c r="J2195" s="3">
        <v>0</v>
      </c>
      <c r="K2195" t="s">
        <v>5102</v>
      </c>
      <c r="L2195">
        <v>97</v>
      </c>
      <c r="M2195" t="s">
        <v>5103</v>
      </c>
      <c r="N2195" t="s">
        <v>1067</v>
      </c>
      <c r="O2195" t="s">
        <v>31</v>
      </c>
      <c r="P2195" t="str">
        <f t="shared" si="35"/>
        <v>15143</v>
      </c>
    </row>
    <row r="2196" spans="1:16" x14ac:dyDescent="0.25">
      <c r="A2196" t="str">
        <f>"1060049P00385020700"</f>
        <v>1060049P00385020700</v>
      </c>
      <c r="B2196" t="s">
        <v>5100</v>
      </c>
      <c r="C2196" t="s">
        <v>5105</v>
      </c>
      <c r="D2196" t="s">
        <v>20</v>
      </c>
      <c r="E2196" t="s">
        <v>39</v>
      </c>
      <c r="F2196">
        <v>0</v>
      </c>
      <c r="G2196">
        <v>0</v>
      </c>
      <c r="H2196">
        <v>1</v>
      </c>
      <c r="I2196" s="3">
        <v>667.1</v>
      </c>
      <c r="J2196" s="3">
        <v>0</v>
      </c>
      <c r="K2196" t="s">
        <v>5102</v>
      </c>
      <c r="L2196">
        <v>97</v>
      </c>
      <c r="M2196" t="s">
        <v>5103</v>
      </c>
      <c r="N2196" t="s">
        <v>1067</v>
      </c>
      <c r="O2196" t="s">
        <v>31</v>
      </c>
      <c r="P2196" t="str">
        <f t="shared" si="35"/>
        <v>15143</v>
      </c>
    </row>
    <row r="2197" spans="1:16" x14ac:dyDescent="0.25">
      <c r="A2197" t="str">
        <f>"1060049P00385020800"</f>
        <v>1060049P00385020800</v>
      </c>
      <c r="B2197" t="s">
        <v>5100</v>
      </c>
      <c r="C2197" t="s">
        <v>5106</v>
      </c>
      <c r="D2197" t="s">
        <v>20</v>
      </c>
      <c r="E2197" t="s">
        <v>39</v>
      </c>
      <c r="F2197">
        <v>0</v>
      </c>
      <c r="G2197">
        <v>0</v>
      </c>
      <c r="H2197">
        <v>1</v>
      </c>
      <c r="I2197" s="3">
        <v>667.1</v>
      </c>
      <c r="J2197" s="3">
        <v>0</v>
      </c>
      <c r="K2197" t="s">
        <v>5102</v>
      </c>
      <c r="L2197">
        <v>97</v>
      </c>
      <c r="M2197" t="s">
        <v>5103</v>
      </c>
      <c r="N2197" t="s">
        <v>1067</v>
      </c>
      <c r="O2197" t="s">
        <v>31</v>
      </c>
      <c r="P2197" t="str">
        <f t="shared" si="35"/>
        <v>15143</v>
      </c>
    </row>
    <row r="2198" spans="1:16" x14ac:dyDescent="0.25">
      <c r="A2198" t="str">
        <f>"1060049P00385030100"</f>
        <v>1060049P00385030100</v>
      </c>
      <c r="B2198" t="s">
        <v>5100</v>
      </c>
      <c r="C2198" t="s">
        <v>5107</v>
      </c>
      <c r="D2198" t="s">
        <v>20</v>
      </c>
      <c r="E2198" t="s">
        <v>39</v>
      </c>
      <c r="F2198">
        <v>0</v>
      </c>
      <c r="G2198">
        <v>0</v>
      </c>
      <c r="H2198">
        <v>1</v>
      </c>
      <c r="I2198" s="3">
        <v>667.1</v>
      </c>
      <c r="J2198" s="3">
        <v>0</v>
      </c>
      <c r="K2198" t="s">
        <v>5102</v>
      </c>
      <c r="L2198">
        <v>97</v>
      </c>
      <c r="M2198" t="s">
        <v>5103</v>
      </c>
      <c r="N2198" t="s">
        <v>1067</v>
      </c>
      <c r="O2198" t="s">
        <v>31</v>
      </c>
      <c r="P2198" t="str">
        <f t="shared" si="35"/>
        <v>15143</v>
      </c>
    </row>
    <row r="2199" spans="1:16" x14ac:dyDescent="0.25">
      <c r="A2199" t="str">
        <f>"1060049P00385030200"</f>
        <v>1060049P00385030200</v>
      </c>
      <c r="B2199" t="s">
        <v>5100</v>
      </c>
      <c r="C2199" t="s">
        <v>5108</v>
      </c>
      <c r="D2199" t="s">
        <v>20</v>
      </c>
      <c r="E2199" t="s">
        <v>39</v>
      </c>
      <c r="F2199">
        <v>0</v>
      </c>
      <c r="G2199">
        <v>0</v>
      </c>
      <c r="H2199">
        <v>1</v>
      </c>
      <c r="I2199" s="3">
        <v>667.1</v>
      </c>
      <c r="J2199" s="3">
        <v>0</v>
      </c>
      <c r="K2199" t="s">
        <v>5102</v>
      </c>
      <c r="L2199">
        <v>97</v>
      </c>
      <c r="M2199" t="s">
        <v>5103</v>
      </c>
      <c r="N2199" t="s">
        <v>1067</v>
      </c>
      <c r="O2199" t="s">
        <v>31</v>
      </c>
      <c r="P2199" t="str">
        <f t="shared" si="35"/>
        <v>15143</v>
      </c>
    </row>
    <row r="2200" spans="1:16" x14ac:dyDescent="0.25">
      <c r="A2200" t="str">
        <f>"1060049P00385030600"</f>
        <v>1060049P00385030600</v>
      </c>
      <c r="B2200" t="s">
        <v>5100</v>
      </c>
      <c r="C2200" t="s">
        <v>5109</v>
      </c>
      <c r="D2200" t="s">
        <v>20</v>
      </c>
      <c r="E2200" t="s">
        <v>39</v>
      </c>
      <c r="F2200">
        <v>0</v>
      </c>
      <c r="G2200">
        <v>0</v>
      </c>
      <c r="H2200">
        <v>1</v>
      </c>
      <c r="I2200" s="3">
        <v>667.1</v>
      </c>
      <c r="J2200" s="3">
        <v>0</v>
      </c>
      <c r="K2200" t="s">
        <v>5102</v>
      </c>
      <c r="L2200">
        <v>97</v>
      </c>
      <c r="M2200" t="s">
        <v>5103</v>
      </c>
      <c r="N2200" t="s">
        <v>1067</v>
      </c>
      <c r="O2200" t="s">
        <v>31</v>
      </c>
      <c r="P2200" t="str">
        <f t="shared" si="35"/>
        <v>15143</v>
      </c>
    </row>
    <row r="2201" spans="1:16" x14ac:dyDescent="0.25">
      <c r="A2201" t="str">
        <f>"1060049P00385030700"</f>
        <v>1060049P00385030700</v>
      </c>
      <c r="B2201" t="s">
        <v>5100</v>
      </c>
      <c r="C2201" t="s">
        <v>5110</v>
      </c>
      <c r="D2201" t="s">
        <v>20</v>
      </c>
      <c r="E2201" t="s">
        <v>39</v>
      </c>
      <c r="F2201">
        <v>0</v>
      </c>
      <c r="G2201">
        <v>0</v>
      </c>
      <c r="H2201">
        <v>1</v>
      </c>
      <c r="I2201" s="3">
        <v>667.1</v>
      </c>
      <c r="J2201" s="3">
        <v>0</v>
      </c>
      <c r="K2201" t="s">
        <v>5102</v>
      </c>
      <c r="L2201">
        <v>97</v>
      </c>
      <c r="M2201" t="s">
        <v>5103</v>
      </c>
      <c r="N2201" t="s">
        <v>1067</v>
      </c>
      <c r="O2201" t="s">
        <v>31</v>
      </c>
      <c r="P2201" t="str">
        <f t="shared" si="35"/>
        <v>15143</v>
      </c>
    </row>
    <row r="2202" spans="1:16" x14ac:dyDescent="0.25">
      <c r="A2202" t="str">
        <f>"1060049P00385030800"</f>
        <v>1060049P00385030800</v>
      </c>
      <c r="B2202" t="s">
        <v>5100</v>
      </c>
      <c r="C2202" t="s">
        <v>5111</v>
      </c>
      <c r="D2202" t="s">
        <v>20</v>
      </c>
      <c r="E2202" t="s">
        <v>39</v>
      </c>
      <c r="F2202">
        <v>0</v>
      </c>
      <c r="G2202">
        <v>0</v>
      </c>
      <c r="H2202">
        <v>1</v>
      </c>
      <c r="I2202" s="3">
        <v>667.1</v>
      </c>
      <c r="J2202" s="3">
        <v>0</v>
      </c>
      <c r="K2202" t="s">
        <v>5102</v>
      </c>
      <c r="L2202">
        <v>97</v>
      </c>
      <c r="M2202" t="s">
        <v>5103</v>
      </c>
      <c r="N2202" t="s">
        <v>1067</v>
      </c>
      <c r="O2202" t="s">
        <v>31</v>
      </c>
      <c r="P2202" t="str">
        <f t="shared" si="35"/>
        <v>15143</v>
      </c>
    </row>
    <row r="2203" spans="1:16" x14ac:dyDescent="0.25">
      <c r="A2203" t="str">
        <f>"1060049P00385040100"</f>
        <v>1060049P00385040100</v>
      </c>
      <c r="B2203" t="s">
        <v>5100</v>
      </c>
      <c r="C2203" t="s">
        <v>5112</v>
      </c>
      <c r="D2203" t="s">
        <v>20</v>
      </c>
      <c r="E2203" t="s">
        <v>39</v>
      </c>
      <c r="F2203">
        <v>0</v>
      </c>
      <c r="G2203">
        <v>0</v>
      </c>
      <c r="H2203">
        <v>1</v>
      </c>
      <c r="I2203" s="3">
        <v>667.1</v>
      </c>
      <c r="J2203" s="3">
        <v>0</v>
      </c>
      <c r="K2203" t="s">
        <v>5102</v>
      </c>
      <c r="L2203">
        <v>97</v>
      </c>
      <c r="M2203" t="s">
        <v>5103</v>
      </c>
      <c r="N2203" t="s">
        <v>1067</v>
      </c>
      <c r="O2203" t="s">
        <v>31</v>
      </c>
      <c r="P2203" t="str">
        <f t="shared" si="35"/>
        <v>15143</v>
      </c>
    </row>
    <row r="2204" spans="1:16" x14ac:dyDescent="0.25">
      <c r="A2204" t="str">
        <f>"1060049P00385040200"</f>
        <v>1060049P00385040200</v>
      </c>
      <c r="B2204" t="s">
        <v>5100</v>
      </c>
      <c r="C2204" t="s">
        <v>5113</v>
      </c>
      <c r="D2204" t="s">
        <v>20</v>
      </c>
      <c r="E2204" t="s">
        <v>39</v>
      </c>
      <c r="F2204">
        <v>0</v>
      </c>
      <c r="G2204">
        <v>0</v>
      </c>
      <c r="H2204">
        <v>1</v>
      </c>
      <c r="I2204" s="3">
        <v>667.1</v>
      </c>
      <c r="J2204" s="3">
        <v>0</v>
      </c>
      <c r="K2204" t="s">
        <v>5102</v>
      </c>
      <c r="L2204">
        <v>97</v>
      </c>
      <c r="M2204" t="s">
        <v>5103</v>
      </c>
      <c r="N2204" t="s">
        <v>1067</v>
      </c>
      <c r="O2204" t="s">
        <v>31</v>
      </c>
      <c r="P2204" t="str">
        <f t="shared" si="35"/>
        <v>15143</v>
      </c>
    </row>
    <row r="2205" spans="1:16" x14ac:dyDescent="0.25">
      <c r="A2205" t="str">
        <f>"1060049P00385040300"</f>
        <v>1060049P00385040300</v>
      </c>
      <c r="B2205" t="s">
        <v>5100</v>
      </c>
      <c r="C2205" t="s">
        <v>5114</v>
      </c>
      <c r="D2205" t="s">
        <v>20</v>
      </c>
      <c r="E2205" t="s">
        <v>39</v>
      </c>
      <c r="F2205">
        <v>0</v>
      </c>
      <c r="G2205">
        <v>0</v>
      </c>
      <c r="H2205">
        <v>1</v>
      </c>
      <c r="I2205" s="3">
        <v>667.1</v>
      </c>
      <c r="J2205" s="3">
        <v>0</v>
      </c>
      <c r="K2205" t="s">
        <v>5102</v>
      </c>
      <c r="L2205">
        <v>97</v>
      </c>
      <c r="M2205" t="s">
        <v>5103</v>
      </c>
      <c r="N2205" t="s">
        <v>1067</v>
      </c>
      <c r="O2205" t="s">
        <v>31</v>
      </c>
      <c r="P2205" t="str">
        <f t="shared" si="35"/>
        <v>15143</v>
      </c>
    </row>
    <row r="2206" spans="1:16" x14ac:dyDescent="0.25">
      <c r="A2206" t="str">
        <f>"1060049P00385040400"</f>
        <v>1060049P00385040400</v>
      </c>
      <c r="B2206" t="s">
        <v>5100</v>
      </c>
      <c r="C2206" t="s">
        <v>5115</v>
      </c>
      <c r="D2206" t="s">
        <v>20</v>
      </c>
      <c r="E2206" t="s">
        <v>39</v>
      </c>
      <c r="F2206">
        <v>0</v>
      </c>
      <c r="G2206">
        <v>0</v>
      </c>
      <c r="H2206">
        <v>1</v>
      </c>
      <c r="I2206" s="3">
        <v>667.1</v>
      </c>
      <c r="J2206" s="3">
        <v>0</v>
      </c>
      <c r="K2206" t="s">
        <v>5102</v>
      </c>
      <c r="L2206">
        <v>97</v>
      </c>
      <c r="M2206" t="s">
        <v>5103</v>
      </c>
      <c r="N2206" t="s">
        <v>1067</v>
      </c>
      <c r="O2206" t="s">
        <v>31</v>
      </c>
      <c r="P2206" t="str">
        <f t="shared" si="35"/>
        <v>15143</v>
      </c>
    </row>
    <row r="2207" spans="1:16" x14ac:dyDescent="0.25">
      <c r="A2207" t="str">
        <f>"1060049P00385A1  00"</f>
        <v>1060049P00385A1  00</v>
      </c>
      <c r="B2207" t="s">
        <v>5100</v>
      </c>
      <c r="C2207" t="s">
        <v>5116</v>
      </c>
      <c r="D2207" t="s">
        <v>20</v>
      </c>
      <c r="E2207" t="s">
        <v>39</v>
      </c>
      <c r="F2207">
        <v>0</v>
      </c>
      <c r="G2207">
        <v>0</v>
      </c>
      <c r="H2207">
        <v>1</v>
      </c>
      <c r="I2207" s="3">
        <v>667.1</v>
      </c>
      <c r="J2207" s="3">
        <v>0</v>
      </c>
      <c r="K2207" t="s">
        <v>5102</v>
      </c>
      <c r="L2207">
        <v>97</v>
      </c>
      <c r="M2207" t="s">
        <v>5103</v>
      </c>
      <c r="N2207" t="s">
        <v>1067</v>
      </c>
      <c r="O2207" t="s">
        <v>31</v>
      </c>
      <c r="P2207" t="str">
        <f t="shared" si="35"/>
        <v>15143</v>
      </c>
    </row>
    <row r="2208" spans="1:16" x14ac:dyDescent="0.25">
      <c r="A2208" t="str">
        <f>"1060049P00400    00"</f>
        <v>1060049P00400    00</v>
      </c>
      <c r="B2208" t="s">
        <v>5117</v>
      </c>
      <c r="C2208" t="s">
        <v>5118</v>
      </c>
      <c r="E2208" t="s">
        <v>39</v>
      </c>
      <c r="F2208">
        <v>0</v>
      </c>
      <c r="G2208">
        <v>0</v>
      </c>
      <c r="H2208">
        <v>1</v>
      </c>
      <c r="I2208" s="3">
        <v>3453.67</v>
      </c>
      <c r="J2208" s="3">
        <v>345.35</v>
      </c>
      <c r="K2208" t="s">
        <v>881</v>
      </c>
      <c r="L2208">
        <v>3001</v>
      </c>
      <c r="M2208" t="s">
        <v>330</v>
      </c>
      <c r="N2208" t="s">
        <v>331</v>
      </c>
      <c r="O2208" t="s">
        <v>108</v>
      </c>
      <c r="P2208" t="str">
        <f>"75063"</f>
        <v>75063</v>
      </c>
    </row>
    <row r="2209" spans="1:16" x14ac:dyDescent="0.25">
      <c r="A2209" t="str">
        <f>"1060049R00130    00"</f>
        <v>1060049R00130    00</v>
      </c>
      <c r="B2209" t="s">
        <v>5119</v>
      </c>
      <c r="C2209" t="s">
        <v>5120</v>
      </c>
      <c r="D2209" t="s">
        <v>20</v>
      </c>
      <c r="E2209" t="s">
        <v>39</v>
      </c>
      <c r="F2209">
        <v>0</v>
      </c>
      <c r="G2209">
        <v>0</v>
      </c>
      <c r="H2209">
        <v>3</v>
      </c>
      <c r="I2209" s="3">
        <v>2859</v>
      </c>
      <c r="J2209" s="3">
        <v>63.54</v>
      </c>
      <c r="K2209" t="s">
        <v>881</v>
      </c>
      <c r="L2209">
        <v>3001</v>
      </c>
      <c r="M2209" t="s">
        <v>330</v>
      </c>
      <c r="N2209" t="s">
        <v>331</v>
      </c>
      <c r="O2209" t="s">
        <v>108</v>
      </c>
      <c r="P2209" t="str">
        <f>"75063"</f>
        <v>75063</v>
      </c>
    </row>
    <row r="2210" spans="1:16" x14ac:dyDescent="0.25">
      <c r="A2210" t="str">
        <f>"1060049R00131    00"</f>
        <v>1060049R00131    00</v>
      </c>
      <c r="B2210" t="s">
        <v>5121</v>
      </c>
      <c r="C2210" t="s">
        <v>5122</v>
      </c>
      <c r="D2210" t="s">
        <v>20</v>
      </c>
      <c r="E2210" t="s">
        <v>39</v>
      </c>
      <c r="F2210">
        <v>0</v>
      </c>
      <c r="G2210">
        <v>0</v>
      </c>
      <c r="H2210">
        <v>1</v>
      </c>
      <c r="I2210" s="3">
        <v>2830.42</v>
      </c>
      <c r="J2210" s="3">
        <v>0</v>
      </c>
      <c r="K2210" t="s">
        <v>5123</v>
      </c>
      <c r="L2210">
        <v>175</v>
      </c>
      <c r="M2210" t="s">
        <v>5124</v>
      </c>
      <c r="N2210" t="s">
        <v>199</v>
      </c>
      <c r="O2210" t="s">
        <v>200</v>
      </c>
      <c r="P2210" t="str">
        <f>"10007"</f>
        <v>10007</v>
      </c>
    </row>
    <row r="2211" spans="1:16" x14ac:dyDescent="0.25">
      <c r="A2211" t="str">
        <f>"1060049R00131A   00"</f>
        <v>1060049R00131A   00</v>
      </c>
      <c r="B2211" t="s">
        <v>5125</v>
      </c>
      <c r="C2211" t="s">
        <v>5126</v>
      </c>
      <c r="D2211" t="s">
        <v>20</v>
      </c>
      <c r="E2211" t="s">
        <v>39</v>
      </c>
      <c r="F2211">
        <v>0</v>
      </c>
      <c r="G2211">
        <v>0</v>
      </c>
      <c r="H2211">
        <v>9</v>
      </c>
      <c r="I2211" s="3">
        <v>9384.65</v>
      </c>
      <c r="J2211" s="3">
        <v>3229.09</v>
      </c>
      <c r="L2211">
        <v>93</v>
      </c>
      <c r="M2211" t="s">
        <v>5127</v>
      </c>
      <c r="N2211" t="s">
        <v>30</v>
      </c>
      <c r="O2211" t="s">
        <v>31</v>
      </c>
      <c r="P2211" t="str">
        <f>"15235"</f>
        <v>15235</v>
      </c>
    </row>
    <row r="2212" spans="1:16" x14ac:dyDescent="0.25">
      <c r="A2212" t="str">
        <f>"1060049R00241    00"</f>
        <v>1060049R00241    00</v>
      </c>
      <c r="B2212" t="s">
        <v>5128</v>
      </c>
      <c r="C2212" t="s">
        <v>5129</v>
      </c>
      <c r="E2212" t="s">
        <v>39</v>
      </c>
      <c r="F2212">
        <v>0</v>
      </c>
      <c r="G2212">
        <v>0</v>
      </c>
      <c r="H2212">
        <v>1</v>
      </c>
      <c r="I2212" s="3">
        <v>35.229999999999997</v>
      </c>
      <c r="J2212" s="3">
        <v>4.4000000000000004</v>
      </c>
      <c r="K2212" t="s">
        <v>400</v>
      </c>
      <c r="L2212">
        <v>3001</v>
      </c>
      <c r="M2212" t="s">
        <v>330</v>
      </c>
      <c r="N2212" t="s">
        <v>331</v>
      </c>
      <c r="O2212" t="s">
        <v>108</v>
      </c>
      <c r="P2212" t="str">
        <f>"75063"</f>
        <v>75063</v>
      </c>
    </row>
    <row r="2213" spans="1:16" x14ac:dyDescent="0.25">
      <c r="A2213" t="str">
        <f>"1060049R00242    00"</f>
        <v>1060049R00242    00</v>
      </c>
      <c r="B2213" t="s">
        <v>5130</v>
      </c>
      <c r="C2213" t="s">
        <v>5131</v>
      </c>
      <c r="D2213" t="s">
        <v>57</v>
      </c>
      <c r="E2213" t="s">
        <v>39</v>
      </c>
      <c r="F2213">
        <v>0</v>
      </c>
      <c r="G2213">
        <v>0</v>
      </c>
      <c r="H2213">
        <v>2</v>
      </c>
      <c r="I2213" s="3">
        <v>4251.38</v>
      </c>
      <c r="J2213" s="3">
        <v>921.09</v>
      </c>
      <c r="K2213" t="s">
        <v>2302</v>
      </c>
      <c r="L2213">
        <v>3001</v>
      </c>
      <c r="M2213" t="s">
        <v>330</v>
      </c>
      <c r="N2213" t="s">
        <v>331</v>
      </c>
      <c r="O2213" t="s">
        <v>108</v>
      </c>
      <c r="P2213" t="str">
        <f>"75063"</f>
        <v>75063</v>
      </c>
    </row>
    <row r="2214" spans="1:16" x14ac:dyDescent="0.25">
      <c r="A2214" t="str">
        <f>"1070051L00015    00"</f>
        <v>1070051L00015    00</v>
      </c>
      <c r="B2214" t="s">
        <v>5132</v>
      </c>
      <c r="C2214" t="s">
        <v>5133</v>
      </c>
      <c r="D2214" t="s">
        <v>20</v>
      </c>
      <c r="E2214" t="s">
        <v>39</v>
      </c>
      <c r="F2214">
        <v>0</v>
      </c>
      <c r="G2214">
        <v>0</v>
      </c>
      <c r="H2214">
        <v>1</v>
      </c>
      <c r="I2214" s="3">
        <v>1647.54</v>
      </c>
      <c r="J2214" s="3">
        <v>0</v>
      </c>
      <c r="L2214">
        <v>5427</v>
      </c>
      <c r="M2214" t="s">
        <v>5134</v>
      </c>
      <c r="N2214" t="s">
        <v>30</v>
      </c>
      <c r="O2214" t="s">
        <v>31</v>
      </c>
      <c r="P2214" t="str">
        <f>"15232"</f>
        <v>15232</v>
      </c>
    </row>
    <row r="2215" spans="1:16" x14ac:dyDescent="0.25">
      <c r="A2215" t="str">
        <f>"1070051L00016    00"</f>
        <v>1070051L00016    00</v>
      </c>
      <c r="B2215" t="s">
        <v>5135</v>
      </c>
      <c r="C2215" t="s">
        <v>5136</v>
      </c>
      <c r="E2215" t="s">
        <v>39</v>
      </c>
      <c r="F2215">
        <v>0</v>
      </c>
      <c r="G2215">
        <v>0</v>
      </c>
      <c r="H2215">
        <v>2</v>
      </c>
      <c r="I2215" s="3">
        <v>3485.01</v>
      </c>
      <c r="J2215" s="3">
        <v>16.920000000000002</v>
      </c>
      <c r="K2215" t="s">
        <v>5137</v>
      </c>
      <c r="L2215">
        <v>612</v>
      </c>
      <c r="M2215" t="s">
        <v>1451</v>
      </c>
      <c r="N2215" t="s">
        <v>5138</v>
      </c>
      <c r="O2215" t="s">
        <v>31</v>
      </c>
      <c r="P2215" t="str">
        <f>"16373"</f>
        <v>16373</v>
      </c>
    </row>
    <row r="2216" spans="1:16" x14ac:dyDescent="0.25">
      <c r="A2216" t="str">
        <f>"1070051L00017    00"</f>
        <v>1070051L00017    00</v>
      </c>
      <c r="B2216" t="s">
        <v>5139</v>
      </c>
      <c r="C2216" t="s">
        <v>5140</v>
      </c>
      <c r="E2216" t="s">
        <v>39</v>
      </c>
      <c r="F2216">
        <v>0</v>
      </c>
      <c r="G2216">
        <v>0</v>
      </c>
      <c r="H2216">
        <v>2</v>
      </c>
      <c r="I2216" s="3">
        <v>2363.44</v>
      </c>
      <c r="J2216" s="3">
        <v>29.54</v>
      </c>
      <c r="K2216" t="s">
        <v>5141</v>
      </c>
      <c r="L2216">
        <v>1</v>
      </c>
      <c r="M2216" t="s">
        <v>5142</v>
      </c>
      <c r="N2216" t="s">
        <v>5143</v>
      </c>
      <c r="O2216" t="s">
        <v>3486</v>
      </c>
      <c r="P2216" t="str">
        <f>"60047"</f>
        <v>60047</v>
      </c>
    </row>
    <row r="2217" spans="1:16" x14ac:dyDescent="0.25">
      <c r="A2217" t="str">
        <f>"1070051M00130    00"</f>
        <v>1070051M00130    00</v>
      </c>
      <c r="B2217" t="s">
        <v>5144</v>
      </c>
      <c r="C2217" t="s">
        <v>5145</v>
      </c>
      <c r="E2217" t="s">
        <v>21</v>
      </c>
      <c r="F2217">
        <v>0</v>
      </c>
      <c r="G2217">
        <v>0</v>
      </c>
      <c r="H2217">
        <v>1</v>
      </c>
      <c r="I2217" s="3">
        <v>228498.91</v>
      </c>
      <c r="J2217" s="3">
        <v>0</v>
      </c>
      <c r="K2217" t="s">
        <v>5146</v>
      </c>
      <c r="L2217">
        <v>700</v>
      </c>
      <c r="M2217" t="s">
        <v>5147</v>
      </c>
      <c r="N2217" t="s">
        <v>2008</v>
      </c>
      <c r="O2217" t="s">
        <v>31</v>
      </c>
      <c r="P2217" t="str">
        <f>"16066"</f>
        <v>16066</v>
      </c>
    </row>
    <row r="2218" spans="1:16" x14ac:dyDescent="0.25">
      <c r="A2218" t="str">
        <f>"1070051M00132010100"</f>
        <v>1070051M00132010100</v>
      </c>
      <c r="B2218" t="s">
        <v>5148</v>
      </c>
      <c r="C2218" t="s">
        <v>5149</v>
      </c>
      <c r="E2218" t="s">
        <v>39</v>
      </c>
      <c r="F2218">
        <v>0</v>
      </c>
      <c r="G2218">
        <v>0</v>
      </c>
      <c r="H2218">
        <v>1</v>
      </c>
      <c r="I2218" s="3">
        <v>3852.49</v>
      </c>
      <c r="J2218" s="3">
        <v>0</v>
      </c>
      <c r="K2218" t="s">
        <v>445</v>
      </c>
      <c r="L2218">
        <v>1</v>
      </c>
      <c r="M2218" t="s">
        <v>1163</v>
      </c>
      <c r="N2218" t="s">
        <v>1164</v>
      </c>
      <c r="O2218" t="s">
        <v>108</v>
      </c>
      <c r="P2218" t="str">
        <f>"76262"</f>
        <v>76262</v>
      </c>
    </row>
    <row r="2219" spans="1:16" x14ac:dyDescent="0.25">
      <c r="A2219" t="str">
        <f>"1070051M00132010300"</f>
        <v>1070051M00132010300</v>
      </c>
      <c r="B2219" t="s">
        <v>5150</v>
      </c>
      <c r="C2219" t="s">
        <v>5151</v>
      </c>
      <c r="E2219" t="s">
        <v>39</v>
      </c>
      <c r="F2219">
        <v>0</v>
      </c>
      <c r="G2219">
        <v>0</v>
      </c>
      <c r="H2219">
        <v>1</v>
      </c>
      <c r="I2219" s="3">
        <v>2889.5</v>
      </c>
      <c r="J2219" s="3">
        <v>0</v>
      </c>
      <c r="K2219" t="s">
        <v>5152</v>
      </c>
      <c r="M2219" t="s">
        <v>5153</v>
      </c>
      <c r="N2219" t="s">
        <v>30</v>
      </c>
      <c r="O2219" t="s">
        <v>31</v>
      </c>
      <c r="P2219" t="str">
        <f>"15241"</f>
        <v>15241</v>
      </c>
    </row>
    <row r="2220" spans="1:16" x14ac:dyDescent="0.25">
      <c r="A2220" t="str">
        <f>"1070051M00132010400"</f>
        <v>1070051M00132010400</v>
      </c>
      <c r="B2220" t="s">
        <v>5154</v>
      </c>
      <c r="C2220" t="s">
        <v>5155</v>
      </c>
      <c r="E2220" t="s">
        <v>39</v>
      </c>
      <c r="F2220">
        <v>0</v>
      </c>
      <c r="G2220">
        <v>0</v>
      </c>
      <c r="H2220">
        <v>1</v>
      </c>
      <c r="I2220" s="3">
        <v>5050.8999999999996</v>
      </c>
      <c r="J2220" s="3">
        <v>0</v>
      </c>
      <c r="K2220" t="s">
        <v>1632</v>
      </c>
      <c r="M2220" t="s">
        <v>1633</v>
      </c>
      <c r="N2220" t="s">
        <v>1634</v>
      </c>
      <c r="O2220" t="s">
        <v>25</v>
      </c>
      <c r="P2220" t="str">
        <f>"45401"</f>
        <v>45401</v>
      </c>
    </row>
    <row r="2221" spans="1:16" x14ac:dyDescent="0.25">
      <c r="A2221" t="str">
        <f>"1070051M00132010500"</f>
        <v>1070051M00132010500</v>
      </c>
      <c r="B2221" t="s">
        <v>5156</v>
      </c>
      <c r="C2221" t="s">
        <v>5157</v>
      </c>
      <c r="E2221" t="s">
        <v>39</v>
      </c>
      <c r="F2221">
        <v>0</v>
      </c>
      <c r="G2221">
        <v>0</v>
      </c>
      <c r="H2221">
        <v>1</v>
      </c>
      <c r="I2221" s="3">
        <v>2889.5</v>
      </c>
      <c r="J2221" s="3">
        <v>0</v>
      </c>
      <c r="K2221" t="s">
        <v>400</v>
      </c>
      <c r="L2221">
        <v>3001</v>
      </c>
      <c r="M2221" t="s">
        <v>330</v>
      </c>
      <c r="N2221" t="s">
        <v>331</v>
      </c>
      <c r="O2221" t="s">
        <v>108</v>
      </c>
      <c r="P2221" t="str">
        <f>"75063"</f>
        <v>75063</v>
      </c>
    </row>
    <row r="2222" spans="1:16" x14ac:dyDescent="0.25">
      <c r="A2222" t="str">
        <f>"1070051M00132010600"</f>
        <v>1070051M00132010600</v>
      </c>
      <c r="B2222" t="s">
        <v>5158</v>
      </c>
      <c r="C2222" t="s">
        <v>5159</v>
      </c>
      <c r="E2222" t="s">
        <v>39</v>
      </c>
      <c r="F2222">
        <v>0</v>
      </c>
      <c r="G2222">
        <v>0</v>
      </c>
      <c r="H2222">
        <v>2</v>
      </c>
      <c r="I2222" s="3">
        <v>4532.95</v>
      </c>
      <c r="J2222" s="3">
        <v>0</v>
      </c>
      <c r="K2222" t="s">
        <v>5160</v>
      </c>
      <c r="L2222">
        <v>1200</v>
      </c>
      <c r="M2222" t="s">
        <v>5161</v>
      </c>
      <c r="N2222" t="s">
        <v>5162</v>
      </c>
      <c r="O2222" t="s">
        <v>108</v>
      </c>
      <c r="P2222" t="str">
        <f>"75081"</f>
        <v>75081</v>
      </c>
    </row>
    <row r="2223" spans="1:16" x14ac:dyDescent="0.25">
      <c r="A2223" t="str">
        <f>"1070051M00132010700"</f>
        <v>1070051M00132010700</v>
      </c>
      <c r="B2223" t="s">
        <v>5163</v>
      </c>
      <c r="C2223" t="s">
        <v>5164</v>
      </c>
      <c r="E2223" t="s">
        <v>39</v>
      </c>
      <c r="F2223">
        <v>0</v>
      </c>
      <c r="G2223">
        <v>0</v>
      </c>
      <c r="H2223">
        <v>1</v>
      </c>
      <c r="I2223" s="3">
        <v>5634.14</v>
      </c>
      <c r="J2223" s="3">
        <v>0</v>
      </c>
      <c r="L2223">
        <v>5808</v>
      </c>
      <c r="M2223" t="s">
        <v>5165</v>
      </c>
      <c r="N2223" t="s">
        <v>5166</v>
      </c>
      <c r="O2223" t="s">
        <v>1413</v>
      </c>
      <c r="P2223" t="str">
        <f>"27609"</f>
        <v>27609</v>
      </c>
    </row>
    <row r="2224" spans="1:16" x14ac:dyDescent="0.25">
      <c r="A2224" t="str">
        <f>"1070051M00132010900"</f>
        <v>1070051M00132010900</v>
      </c>
      <c r="B2224" t="s">
        <v>5167</v>
      </c>
      <c r="C2224" t="s">
        <v>5168</v>
      </c>
      <c r="E2224" t="s">
        <v>39</v>
      </c>
      <c r="F2224">
        <v>0</v>
      </c>
      <c r="G2224">
        <v>0</v>
      </c>
      <c r="H2224">
        <v>1</v>
      </c>
      <c r="I2224" s="3">
        <v>2889.5</v>
      </c>
      <c r="J2224" s="3">
        <v>0</v>
      </c>
      <c r="L2224">
        <v>100</v>
      </c>
      <c r="M2224" t="s">
        <v>5169</v>
      </c>
      <c r="N2224" t="s">
        <v>30</v>
      </c>
      <c r="O2224" t="s">
        <v>31</v>
      </c>
      <c r="P2224" t="str">
        <f>"15206"</f>
        <v>15206</v>
      </c>
    </row>
    <row r="2225" spans="1:16" x14ac:dyDescent="0.25">
      <c r="A2225" t="str">
        <f>"1070051M00132011100"</f>
        <v>1070051M00132011100</v>
      </c>
      <c r="B2225" t="s">
        <v>5170</v>
      </c>
      <c r="C2225" t="s">
        <v>5171</v>
      </c>
      <c r="E2225" t="s">
        <v>39</v>
      </c>
      <c r="F2225">
        <v>0</v>
      </c>
      <c r="G2225">
        <v>0</v>
      </c>
      <c r="H2225">
        <v>1</v>
      </c>
      <c r="I2225" s="3">
        <v>2889.5</v>
      </c>
      <c r="J2225" s="3">
        <v>0</v>
      </c>
      <c r="K2225" t="s">
        <v>5172</v>
      </c>
      <c r="L2225">
        <v>439</v>
      </c>
      <c r="M2225" t="s">
        <v>4776</v>
      </c>
      <c r="N2225" t="s">
        <v>5173</v>
      </c>
      <c r="O2225" t="s">
        <v>423</v>
      </c>
      <c r="P2225" t="str">
        <f>"08628"</f>
        <v>08628</v>
      </c>
    </row>
    <row r="2226" spans="1:16" x14ac:dyDescent="0.25">
      <c r="A2226" t="str">
        <f>"1070051M00132020000"</f>
        <v>1070051M00132020000</v>
      </c>
      <c r="B2226" t="s">
        <v>5174</v>
      </c>
      <c r="C2226" t="s">
        <v>5175</v>
      </c>
      <c r="E2226" t="s">
        <v>39</v>
      </c>
      <c r="F2226">
        <v>0</v>
      </c>
      <c r="G2226">
        <v>0</v>
      </c>
      <c r="H2226">
        <v>1</v>
      </c>
      <c r="I2226" s="3">
        <v>4909.8599999999997</v>
      </c>
      <c r="J2226" s="3">
        <v>0</v>
      </c>
      <c r="L2226">
        <v>104</v>
      </c>
      <c r="M2226" t="s">
        <v>5176</v>
      </c>
      <c r="N2226" t="s">
        <v>30</v>
      </c>
      <c r="O2226" t="s">
        <v>31</v>
      </c>
      <c r="P2226" t="str">
        <f>"15238"</f>
        <v>15238</v>
      </c>
    </row>
    <row r="2227" spans="1:16" x14ac:dyDescent="0.25">
      <c r="A2227" t="str">
        <f>"1070051M00132020100"</f>
        <v>1070051M00132020100</v>
      </c>
      <c r="B2227" t="s">
        <v>5177</v>
      </c>
      <c r="C2227" t="s">
        <v>5178</v>
      </c>
      <c r="E2227" t="s">
        <v>39</v>
      </c>
      <c r="F2227">
        <v>0</v>
      </c>
      <c r="G2227">
        <v>0</v>
      </c>
      <c r="H2227">
        <v>1</v>
      </c>
      <c r="I2227" s="3">
        <v>4885.54</v>
      </c>
      <c r="J2227" s="3">
        <v>0</v>
      </c>
      <c r="K2227" t="s">
        <v>391</v>
      </c>
      <c r="L2227">
        <v>1</v>
      </c>
      <c r="M2227" t="s">
        <v>392</v>
      </c>
      <c r="N2227" t="s">
        <v>393</v>
      </c>
      <c r="O2227" t="s">
        <v>394</v>
      </c>
      <c r="P2227" t="str">
        <f>"50328"</f>
        <v>50328</v>
      </c>
    </row>
    <row r="2228" spans="1:16" x14ac:dyDescent="0.25">
      <c r="A2228" t="str">
        <f>"1070051M00132020200"</f>
        <v>1070051M00132020200</v>
      </c>
      <c r="B2228" t="s">
        <v>5179</v>
      </c>
      <c r="C2228" t="s">
        <v>5180</v>
      </c>
      <c r="E2228" t="s">
        <v>39</v>
      </c>
      <c r="F2228">
        <v>0</v>
      </c>
      <c r="G2228">
        <v>0</v>
      </c>
      <c r="H2228">
        <v>2</v>
      </c>
      <c r="I2228" s="3">
        <v>5213.6899999999996</v>
      </c>
      <c r="J2228" s="3">
        <v>41.83</v>
      </c>
      <c r="K2228" t="s">
        <v>756</v>
      </c>
      <c r="L2228">
        <v>3001</v>
      </c>
      <c r="M2228" t="s">
        <v>330</v>
      </c>
      <c r="N2228" t="s">
        <v>331</v>
      </c>
      <c r="O2228" t="s">
        <v>108</v>
      </c>
      <c r="P2228" t="str">
        <f>"75063"</f>
        <v>75063</v>
      </c>
    </row>
    <row r="2229" spans="1:16" x14ac:dyDescent="0.25">
      <c r="A2229" t="str">
        <f>"1070051M00132020300"</f>
        <v>1070051M00132020300</v>
      </c>
      <c r="B2229" t="s">
        <v>5181</v>
      </c>
      <c r="C2229" t="s">
        <v>5182</v>
      </c>
      <c r="E2229" t="s">
        <v>39</v>
      </c>
      <c r="F2229">
        <v>0</v>
      </c>
      <c r="G2229">
        <v>0</v>
      </c>
      <c r="H2229">
        <v>1</v>
      </c>
      <c r="I2229" s="3">
        <v>2449.67</v>
      </c>
      <c r="J2229" s="3">
        <v>0</v>
      </c>
      <c r="K2229" t="s">
        <v>5183</v>
      </c>
      <c r="L2229">
        <v>2566</v>
      </c>
      <c r="M2229" t="s">
        <v>5184</v>
      </c>
      <c r="N2229" t="s">
        <v>139</v>
      </c>
      <c r="O2229" t="s">
        <v>31</v>
      </c>
      <c r="P2229" t="str">
        <f>"15090"</f>
        <v>15090</v>
      </c>
    </row>
    <row r="2230" spans="1:16" x14ac:dyDescent="0.25">
      <c r="A2230" t="str">
        <f>"1070051M00132020400"</f>
        <v>1070051M00132020400</v>
      </c>
      <c r="B2230" t="s">
        <v>5185</v>
      </c>
      <c r="C2230" t="s">
        <v>5186</v>
      </c>
      <c r="E2230" t="s">
        <v>39</v>
      </c>
      <c r="F2230">
        <v>0</v>
      </c>
      <c r="G2230">
        <v>0</v>
      </c>
      <c r="H2230">
        <v>1</v>
      </c>
      <c r="I2230" s="3">
        <v>5901.45</v>
      </c>
      <c r="J2230" s="3">
        <v>0</v>
      </c>
      <c r="L2230">
        <v>5570</v>
      </c>
      <c r="M2230" t="s">
        <v>5187</v>
      </c>
      <c r="N2230" t="s">
        <v>30</v>
      </c>
      <c r="O2230" t="s">
        <v>31</v>
      </c>
      <c r="P2230" t="str">
        <f>"15232"</f>
        <v>15232</v>
      </c>
    </row>
    <row r="2231" spans="1:16" x14ac:dyDescent="0.25">
      <c r="A2231" t="str">
        <f>"1070051M00132020600"</f>
        <v>1070051M00132020600</v>
      </c>
      <c r="B2231" t="s">
        <v>5188</v>
      </c>
      <c r="C2231" t="s">
        <v>5189</v>
      </c>
      <c r="E2231" t="s">
        <v>39</v>
      </c>
      <c r="F2231">
        <v>0</v>
      </c>
      <c r="G2231">
        <v>0</v>
      </c>
      <c r="H2231">
        <v>1</v>
      </c>
      <c r="I2231" s="3">
        <v>5074.24</v>
      </c>
      <c r="J2231" s="3">
        <v>0</v>
      </c>
      <c r="L2231">
        <v>5570</v>
      </c>
      <c r="M2231" t="s">
        <v>5190</v>
      </c>
      <c r="N2231" t="s">
        <v>30</v>
      </c>
      <c r="O2231" t="s">
        <v>31</v>
      </c>
      <c r="P2231" t="str">
        <f>"15232"</f>
        <v>15232</v>
      </c>
    </row>
    <row r="2232" spans="1:16" x14ac:dyDescent="0.25">
      <c r="A2232" t="str">
        <f>"1070051M00132020700"</f>
        <v>1070051M00132020700</v>
      </c>
      <c r="B2232" t="s">
        <v>5191</v>
      </c>
      <c r="C2232" t="s">
        <v>5192</v>
      </c>
      <c r="E2232" t="s">
        <v>39</v>
      </c>
      <c r="F2232">
        <v>0</v>
      </c>
      <c r="G2232">
        <v>0</v>
      </c>
      <c r="H2232">
        <v>1</v>
      </c>
      <c r="I2232" s="3">
        <v>6581.88</v>
      </c>
      <c r="J2232" s="3">
        <v>0</v>
      </c>
      <c r="K2232" t="s">
        <v>563</v>
      </c>
      <c r="L2232">
        <v>3001</v>
      </c>
      <c r="M2232" t="s">
        <v>330</v>
      </c>
      <c r="N2232" t="s">
        <v>331</v>
      </c>
      <c r="O2232" t="s">
        <v>108</v>
      </c>
      <c r="P2232" t="str">
        <f>"75063"</f>
        <v>75063</v>
      </c>
    </row>
    <row r="2233" spans="1:16" x14ac:dyDescent="0.25">
      <c r="A2233" t="str">
        <f>"1070051M00132020900"</f>
        <v>1070051M00132020900</v>
      </c>
      <c r="B2233" t="s">
        <v>5193</v>
      </c>
      <c r="C2233" t="s">
        <v>5194</v>
      </c>
      <c r="E2233" t="s">
        <v>39</v>
      </c>
      <c r="F2233">
        <v>0</v>
      </c>
      <c r="G2233">
        <v>0</v>
      </c>
      <c r="H2233">
        <v>1</v>
      </c>
      <c r="I2233" s="3">
        <v>3057.22</v>
      </c>
      <c r="J2233" s="3">
        <v>0</v>
      </c>
      <c r="K2233" t="s">
        <v>5195</v>
      </c>
      <c r="L2233">
        <v>730</v>
      </c>
      <c r="M2233" t="s">
        <v>5196</v>
      </c>
      <c r="N2233" t="s">
        <v>5197</v>
      </c>
      <c r="O2233" t="s">
        <v>31</v>
      </c>
      <c r="P2233" t="str">
        <f>"19047"</f>
        <v>19047</v>
      </c>
    </row>
    <row r="2234" spans="1:16" x14ac:dyDescent="0.25">
      <c r="A2234" t="str">
        <f>"1070051M00132021100"</f>
        <v>1070051M00132021100</v>
      </c>
      <c r="B2234" t="s">
        <v>5198</v>
      </c>
      <c r="C2234" t="s">
        <v>5199</v>
      </c>
      <c r="D2234" t="s">
        <v>57</v>
      </c>
      <c r="E2234" t="s">
        <v>39</v>
      </c>
      <c r="F2234">
        <v>0</v>
      </c>
      <c r="G2234">
        <v>0</v>
      </c>
      <c r="H2234">
        <v>1</v>
      </c>
      <c r="I2234" s="3">
        <v>3535.28</v>
      </c>
      <c r="J2234" s="3">
        <v>648.12</v>
      </c>
      <c r="L2234">
        <v>5570</v>
      </c>
      <c r="M2234" t="s">
        <v>5200</v>
      </c>
      <c r="N2234" t="s">
        <v>30</v>
      </c>
      <c r="O2234" t="s">
        <v>31</v>
      </c>
      <c r="P2234" t="str">
        <f>"15232"</f>
        <v>15232</v>
      </c>
    </row>
    <row r="2235" spans="1:16" x14ac:dyDescent="0.25">
      <c r="A2235" t="str">
        <f>"1070051M00132021300"</f>
        <v>1070051M00132021300</v>
      </c>
      <c r="B2235" t="s">
        <v>5201</v>
      </c>
      <c r="C2235" t="s">
        <v>5202</v>
      </c>
      <c r="E2235" t="s">
        <v>39</v>
      </c>
      <c r="F2235">
        <v>0</v>
      </c>
      <c r="G2235">
        <v>0</v>
      </c>
      <c r="H2235">
        <v>2</v>
      </c>
      <c r="I2235" s="3">
        <v>11041.56</v>
      </c>
      <c r="J2235" s="3">
        <v>1112.99</v>
      </c>
      <c r="K2235" t="s">
        <v>445</v>
      </c>
      <c r="L2235">
        <v>1</v>
      </c>
      <c r="M2235" t="s">
        <v>1163</v>
      </c>
      <c r="N2235" t="s">
        <v>1164</v>
      </c>
      <c r="O2235" t="s">
        <v>108</v>
      </c>
      <c r="P2235" t="str">
        <f>"76262"</f>
        <v>76262</v>
      </c>
    </row>
    <row r="2236" spans="1:16" x14ac:dyDescent="0.25">
      <c r="A2236" t="str">
        <f>"1070051M00132030000"</f>
        <v>1070051M00132030000</v>
      </c>
      <c r="B2236" t="s">
        <v>5203</v>
      </c>
      <c r="C2236" t="s">
        <v>5204</v>
      </c>
      <c r="E2236" t="s">
        <v>39</v>
      </c>
      <c r="F2236">
        <v>0</v>
      </c>
      <c r="G2236">
        <v>0</v>
      </c>
      <c r="H2236">
        <v>1</v>
      </c>
      <c r="I2236" s="3">
        <v>4412.8500000000004</v>
      </c>
      <c r="J2236" s="3">
        <v>0</v>
      </c>
      <c r="L2236">
        <v>5570</v>
      </c>
      <c r="M2236" t="s">
        <v>5205</v>
      </c>
      <c r="N2236" t="s">
        <v>30</v>
      </c>
      <c r="O2236" t="s">
        <v>31</v>
      </c>
      <c r="P2236" t="str">
        <f>"15232"</f>
        <v>15232</v>
      </c>
    </row>
    <row r="2237" spans="1:16" x14ac:dyDescent="0.25">
      <c r="A2237" t="str">
        <f>"1070051M00132030300"</f>
        <v>1070051M00132030300</v>
      </c>
      <c r="B2237" t="s">
        <v>5206</v>
      </c>
      <c r="C2237" t="s">
        <v>5207</v>
      </c>
      <c r="E2237" t="s">
        <v>39</v>
      </c>
      <c r="F2237">
        <v>0</v>
      </c>
      <c r="G2237">
        <v>0</v>
      </c>
      <c r="H2237">
        <v>2</v>
      </c>
      <c r="I2237" s="3">
        <v>3282.14</v>
      </c>
      <c r="J2237" s="3">
        <v>0</v>
      </c>
      <c r="K2237" t="s">
        <v>5208</v>
      </c>
      <c r="L2237">
        <v>818</v>
      </c>
      <c r="M2237" t="s">
        <v>5209</v>
      </c>
      <c r="N2237" t="s">
        <v>546</v>
      </c>
      <c r="O2237" t="s">
        <v>31</v>
      </c>
      <c r="P2237" t="str">
        <f>"15044"</f>
        <v>15044</v>
      </c>
    </row>
    <row r="2238" spans="1:16" x14ac:dyDescent="0.25">
      <c r="A2238" t="str">
        <f>"1070051M00132030400"</f>
        <v>1070051M00132030400</v>
      </c>
      <c r="B2238" t="s">
        <v>5210</v>
      </c>
      <c r="C2238" t="s">
        <v>5211</v>
      </c>
      <c r="E2238" t="s">
        <v>39</v>
      </c>
      <c r="F2238">
        <v>0</v>
      </c>
      <c r="G2238">
        <v>0</v>
      </c>
      <c r="H2238">
        <v>2</v>
      </c>
      <c r="I2238" s="3">
        <v>11903.58</v>
      </c>
      <c r="J2238" s="3">
        <v>1661.66</v>
      </c>
      <c r="K2238" t="s">
        <v>5212</v>
      </c>
      <c r="L2238">
        <v>5570</v>
      </c>
      <c r="M2238" t="s">
        <v>5213</v>
      </c>
      <c r="N2238" t="s">
        <v>30</v>
      </c>
      <c r="O2238" t="s">
        <v>31</v>
      </c>
      <c r="P2238" t="str">
        <f>"15232"</f>
        <v>15232</v>
      </c>
    </row>
    <row r="2239" spans="1:16" x14ac:dyDescent="0.25">
      <c r="A2239" t="str">
        <f>"1070051M00132030600"</f>
        <v>1070051M00132030600</v>
      </c>
      <c r="B2239" t="s">
        <v>5214</v>
      </c>
      <c r="C2239" t="s">
        <v>5215</v>
      </c>
      <c r="E2239" t="s">
        <v>39</v>
      </c>
      <c r="F2239">
        <v>0</v>
      </c>
      <c r="G2239">
        <v>0</v>
      </c>
      <c r="H2239">
        <v>1</v>
      </c>
      <c r="I2239" s="3">
        <v>4858.8599999999997</v>
      </c>
      <c r="J2239" s="3">
        <v>0</v>
      </c>
      <c r="L2239">
        <v>5570</v>
      </c>
      <c r="M2239" t="s">
        <v>5216</v>
      </c>
      <c r="N2239" t="s">
        <v>30</v>
      </c>
      <c r="O2239" t="s">
        <v>31</v>
      </c>
      <c r="P2239" t="str">
        <f>"15232"</f>
        <v>15232</v>
      </c>
    </row>
    <row r="2240" spans="1:16" x14ac:dyDescent="0.25">
      <c r="A2240" t="str">
        <f>"1070051M00132030700"</f>
        <v>1070051M00132030700</v>
      </c>
      <c r="B2240" t="s">
        <v>5217</v>
      </c>
      <c r="C2240" t="s">
        <v>5218</v>
      </c>
      <c r="E2240" t="s">
        <v>39</v>
      </c>
      <c r="F2240">
        <v>0</v>
      </c>
      <c r="G2240">
        <v>0</v>
      </c>
      <c r="H2240">
        <v>1</v>
      </c>
      <c r="I2240" s="3">
        <v>5158.1099999999997</v>
      </c>
      <c r="J2240" s="3">
        <v>0</v>
      </c>
      <c r="K2240" t="s">
        <v>5219</v>
      </c>
      <c r="L2240">
        <v>5570</v>
      </c>
      <c r="M2240" t="s">
        <v>5220</v>
      </c>
      <c r="N2240" t="s">
        <v>30</v>
      </c>
      <c r="O2240" t="s">
        <v>31</v>
      </c>
      <c r="P2240" t="str">
        <f>"15232"</f>
        <v>15232</v>
      </c>
    </row>
    <row r="2241" spans="1:16" x14ac:dyDescent="0.25">
      <c r="A2241" t="str">
        <f>"1070051M00132030800"</f>
        <v>1070051M00132030800</v>
      </c>
      <c r="B2241" t="s">
        <v>5221</v>
      </c>
      <c r="C2241" t="s">
        <v>5222</v>
      </c>
      <c r="E2241" t="s">
        <v>39</v>
      </c>
      <c r="F2241">
        <v>0</v>
      </c>
      <c r="G2241">
        <v>0</v>
      </c>
      <c r="H2241">
        <v>1</v>
      </c>
      <c r="I2241" s="3">
        <v>4233.6899999999996</v>
      </c>
      <c r="J2241" s="3">
        <v>0</v>
      </c>
      <c r="K2241" t="s">
        <v>5223</v>
      </c>
      <c r="L2241">
        <v>308</v>
      </c>
      <c r="M2241" t="s">
        <v>5224</v>
      </c>
      <c r="N2241" t="s">
        <v>5225</v>
      </c>
      <c r="O2241" t="s">
        <v>423</v>
      </c>
      <c r="P2241" t="str">
        <f>"07932"</f>
        <v>07932</v>
      </c>
    </row>
    <row r="2242" spans="1:16" x14ac:dyDescent="0.25">
      <c r="A2242" t="str">
        <f>"1070051M00132030900"</f>
        <v>1070051M00132030900</v>
      </c>
      <c r="B2242" t="s">
        <v>5226</v>
      </c>
      <c r="C2242" t="s">
        <v>5227</v>
      </c>
      <c r="E2242" t="s">
        <v>39</v>
      </c>
      <c r="F2242">
        <v>0</v>
      </c>
      <c r="G2242">
        <v>0</v>
      </c>
      <c r="H2242">
        <v>2</v>
      </c>
      <c r="I2242" s="3">
        <v>5601.76</v>
      </c>
      <c r="J2242" s="3">
        <v>502.47</v>
      </c>
      <c r="K2242" t="s">
        <v>5228</v>
      </c>
      <c r="L2242">
        <v>3001</v>
      </c>
      <c r="M2242" t="s">
        <v>330</v>
      </c>
      <c r="N2242" t="s">
        <v>331</v>
      </c>
      <c r="O2242" t="s">
        <v>108</v>
      </c>
      <c r="P2242" t="str">
        <f>"75063"</f>
        <v>75063</v>
      </c>
    </row>
    <row r="2243" spans="1:16" x14ac:dyDescent="0.25">
      <c r="A2243" t="str">
        <f>"1070051M00132031100"</f>
        <v>1070051M00132031100</v>
      </c>
      <c r="B2243" t="s">
        <v>5229</v>
      </c>
      <c r="C2243" t="s">
        <v>5230</v>
      </c>
      <c r="E2243" t="s">
        <v>39</v>
      </c>
      <c r="F2243">
        <v>0</v>
      </c>
      <c r="G2243">
        <v>0</v>
      </c>
      <c r="H2243">
        <v>1</v>
      </c>
      <c r="I2243" s="3">
        <v>2333.42</v>
      </c>
      <c r="J2243" s="3">
        <v>0</v>
      </c>
      <c r="L2243">
        <v>235</v>
      </c>
      <c r="M2243" t="s">
        <v>5231</v>
      </c>
      <c r="N2243" t="s">
        <v>5232</v>
      </c>
      <c r="O2243" t="s">
        <v>3486</v>
      </c>
      <c r="P2243" t="str">
        <f>"60607"</f>
        <v>60607</v>
      </c>
    </row>
    <row r="2244" spans="1:16" x14ac:dyDescent="0.25">
      <c r="A2244" t="str">
        <f>"1070051M00132031300"</f>
        <v>1070051M00132031300</v>
      </c>
      <c r="B2244" t="s">
        <v>5233</v>
      </c>
      <c r="C2244" t="s">
        <v>5234</v>
      </c>
      <c r="E2244" t="s">
        <v>39</v>
      </c>
      <c r="F2244">
        <v>0</v>
      </c>
      <c r="G2244">
        <v>0</v>
      </c>
      <c r="H2244">
        <v>1</v>
      </c>
      <c r="I2244" s="3">
        <v>4233.6899999999996</v>
      </c>
      <c r="J2244" s="3">
        <v>0</v>
      </c>
      <c r="K2244" t="s">
        <v>445</v>
      </c>
      <c r="L2244">
        <v>1</v>
      </c>
      <c r="M2244" t="s">
        <v>1163</v>
      </c>
      <c r="N2244" t="s">
        <v>1164</v>
      </c>
      <c r="O2244" t="s">
        <v>108</v>
      </c>
      <c r="P2244" t="str">
        <f>"76262"</f>
        <v>76262</v>
      </c>
    </row>
    <row r="2245" spans="1:16" x14ac:dyDescent="0.25">
      <c r="A2245" t="str">
        <f>"1070051M00132040000"</f>
        <v>1070051M00132040000</v>
      </c>
      <c r="B2245" t="s">
        <v>5235</v>
      </c>
      <c r="C2245" t="s">
        <v>5236</v>
      </c>
      <c r="E2245" t="s">
        <v>39</v>
      </c>
      <c r="F2245">
        <v>0</v>
      </c>
      <c r="G2245">
        <v>0</v>
      </c>
      <c r="H2245">
        <v>1</v>
      </c>
      <c r="I2245" s="3">
        <v>4454.78</v>
      </c>
      <c r="J2245" s="3">
        <v>0</v>
      </c>
      <c r="L2245">
        <v>5570</v>
      </c>
      <c r="M2245" t="s">
        <v>5237</v>
      </c>
      <c r="N2245" t="s">
        <v>30</v>
      </c>
      <c r="O2245" t="s">
        <v>31</v>
      </c>
      <c r="P2245" t="str">
        <f>"15232"</f>
        <v>15232</v>
      </c>
    </row>
    <row r="2246" spans="1:16" x14ac:dyDescent="0.25">
      <c r="A2246" t="str">
        <f>"1070051M00132040100"</f>
        <v>1070051M00132040100</v>
      </c>
      <c r="B2246" t="s">
        <v>5238</v>
      </c>
      <c r="C2246" t="s">
        <v>5239</v>
      </c>
      <c r="E2246" t="s">
        <v>39</v>
      </c>
      <c r="F2246">
        <v>0</v>
      </c>
      <c r="G2246">
        <v>0</v>
      </c>
      <c r="H2246">
        <v>3</v>
      </c>
      <c r="I2246" s="3">
        <v>9018.9699999999993</v>
      </c>
      <c r="J2246" s="3">
        <v>1323.37</v>
      </c>
      <c r="L2246">
        <v>5570</v>
      </c>
      <c r="M2246" t="s">
        <v>5240</v>
      </c>
      <c r="N2246" t="s">
        <v>30</v>
      </c>
      <c r="O2246" t="s">
        <v>31</v>
      </c>
      <c r="P2246" t="str">
        <f>"15232"</f>
        <v>15232</v>
      </c>
    </row>
    <row r="2247" spans="1:16" x14ac:dyDescent="0.25">
      <c r="A2247" t="str">
        <f>"1070051M00132040300"</f>
        <v>1070051M00132040300</v>
      </c>
      <c r="B2247" t="s">
        <v>5241</v>
      </c>
      <c r="C2247" t="s">
        <v>5242</v>
      </c>
      <c r="E2247" t="s">
        <v>39</v>
      </c>
      <c r="F2247">
        <v>0</v>
      </c>
      <c r="G2247">
        <v>0</v>
      </c>
      <c r="H2247">
        <v>1</v>
      </c>
      <c r="I2247" s="3">
        <v>5325.84</v>
      </c>
      <c r="J2247" s="3">
        <v>0</v>
      </c>
      <c r="K2247" t="s">
        <v>4933</v>
      </c>
      <c r="L2247">
        <v>3001</v>
      </c>
      <c r="M2247" t="s">
        <v>330</v>
      </c>
      <c r="N2247" t="s">
        <v>331</v>
      </c>
      <c r="O2247" t="s">
        <v>108</v>
      </c>
      <c r="P2247" t="str">
        <f>"75063"</f>
        <v>75063</v>
      </c>
    </row>
    <row r="2248" spans="1:16" x14ac:dyDescent="0.25">
      <c r="A2248" t="str">
        <f>"1070051M00132040400"</f>
        <v>1070051M00132040400</v>
      </c>
      <c r="B2248" t="s">
        <v>5243</v>
      </c>
      <c r="C2248" t="s">
        <v>5244</v>
      </c>
      <c r="E2248" t="s">
        <v>39</v>
      </c>
      <c r="F2248">
        <v>0</v>
      </c>
      <c r="G2248">
        <v>0</v>
      </c>
      <c r="H2248">
        <v>1</v>
      </c>
      <c r="I2248" s="3">
        <v>6871.14</v>
      </c>
      <c r="J2248" s="3">
        <v>0</v>
      </c>
      <c r="K2248" t="s">
        <v>484</v>
      </c>
      <c r="L2248">
        <v>3001</v>
      </c>
      <c r="M2248" t="s">
        <v>330</v>
      </c>
      <c r="N2248" t="s">
        <v>331</v>
      </c>
      <c r="O2248" t="s">
        <v>108</v>
      </c>
      <c r="P2248" t="str">
        <f>"75063"</f>
        <v>75063</v>
      </c>
    </row>
    <row r="2249" spans="1:16" x14ac:dyDescent="0.25">
      <c r="A2249" t="str">
        <f>"1070051M00132040500"</f>
        <v>1070051M00132040500</v>
      </c>
      <c r="B2249" t="s">
        <v>5245</v>
      </c>
      <c r="C2249" t="s">
        <v>5246</v>
      </c>
      <c r="E2249" t="s">
        <v>39</v>
      </c>
      <c r="F2249">
        <v>0</v>
      </c>
      <c r="G2249">
        <v>0</v>
      </c>
      <c r="H2249">
        <v>2</v>
      </c>
      <c r="I2249" s="3">
        <v>5323.96</v>
      </c>
      <c r="J2249" s="3">
        <v>949.15</v>
      </c>
      <c r="K2249" t="s">
        <v>5247</v>
      </c>
      <c r="L2249">
        <v>5570</v>
      </c>
      <c r="M2249" t="s">
        <v>5248</v>
      </c>
      <c r="N2249" t="s">
        <v>30</v>
      </c>
      <c r="O2249" t="s">
        <v>31</v>
      </c>
      <c r="P2249" t="str">
        <f>"15232"</f>
        <v>15232</v>
      </c>
    </row>
    <row r="2250" spans="1:16" x14ac:dyDescent="0.25">
      <c r="A2250" t="str">
        <f>"1070051M00132040600"</f>
        <v>1070051M00132040600</v>
      </c>
      <c r="B2250" t="s">
        <v>5249</v>
      </c>
      <c r="C2250" t="s">
        <v>5250</v>
      </c>
      <c r="E2250" t="s">
        <v>39</v>
      </c>
      <c r="F2250">
        <v>0</v>
      </c>
      <c r="G2250">
        <v>0</v>
      </c>
      <c r="H2250">
        <v>2</v>
      </c>
      <c r="I2250" s="3">
        <v>5908.61</v>
      </c>
      <c r="J2250" s="3">
        <v>0</v>
      </c>
      <c r="K2250" t="s">
        <v>484</v>
      </c>
      <c r="L2250">
        <v>3001</v>
      </c>
      <c r="M2250" t="s">
        <v>330</v>
      </c>
      <c r="N2250" t="s">
        <v>331</v>
      </c>
      <c r="O2250" t="s">
        <v>108</v>
      </c>
      <c r="P2250" t="str">
        <f>"75063"</f>
        <v>75063</v>
      </c>
    </row>
    <row r="2251" spans="1:16" x14ac:dyDescent="0.25">
      <c r="A2251" t="str">
        <f>"1070051M00132040700"</f>
        <v>1070051M00132040700</v>
      </c>
      <c r="B2251" t="s">
        <v>5251</v>
      </c>
      <c r="C2251" t="s">
        <v>5252</v>
      </c>
      <c r="E2251" t="s">
        <v>39</v>
      </c>
      <c r="F2251">
        <v>0</v>
      </c>
      <c r="G2251">
        <v>0</v>
      </c>
      <c r="H2251">
        <v>2</v>
      </c>
      <c r="I2251" s="3">
        <v>7956.89</v>
      </c>
      <c r="J2251" s="3">
        <v>0</v>
      </c>
      <c r="L2251">
        <v>106</v>
      </c>
      <c r="M2251" t="s">
        <v>5253</v>
      </c>
      <c r="N2251" t="s">
        <v>30</v>
      </c>
      <c r="O2251" t="s">
        <v>31</v>
      </c>
      <c r="P2251" t="str">
        <f>"15215"</f>
        <v>15215</v>
      </c>
    </row>
    <row r="2252" spans="1:16" x14ac:dyDescent="0.25">
      <c r="A2252" t="str">
        <f>"1070051M00132040800"</f>
        <v>1070051M00132040800</v>
      </c>
      <c r="B2252" t="s">
        <v>5254</v>
      </c>
      <c r="C2252" t="s">
        <v>5255</v>
      </c>
      <c r="E2252" t="s">
        <v>39</v>
      </c>
      <c r="F2252">
        <v>0</v>
      </c>
      <c r="G2252">
        <v>0</v>
      </c>
      <c r="H2252">
        <v>3</v>
      </c>
      <c r="I2252" s="3">
        <v>4791.7</v>
      </c>
      <c r="J2252" s="3">
        <v>0</v>
      </c>
      <c r="L2252">
        <v>536</v>
      </c>
      <c r="M2252" t="s">
        <v>5256</v>
      </c>
      <c r="N2252" t="s">
        <v>30</v>
      </c>
      <c r="O2252" t="s">
        <v>31</v>
      </c>
      <c r="P2252" t="str">
        <f>"15238"</f>
        <v>15238</v>
      </c>
    </row>
    <row r="2253" spans="1:16" x14ac:dyDescent="0.25">
      <c r="A2253" t="str">
        <f>"1070051M00132050000"</f>
        <v>1070051M00132050000</v>
      </c>
      <c r="B2253" t="s">
        <v>5257</v>
      </c>
      <c r="C2253" t="s">
        <v>5258</v>
      </c>
      <c r="E2253" t="s">
        <v>39</v>
      </c>
      <c r="F2253">
        <v>0</v>
      </c>
      <c r="G2253">
        <v>0</v>
      </c>
      <c r="H2253">
        <v>1</v>
      </c>
      <c r="I2253" s="3">
        <v>4982.28</v>
      </c>
      <c r="J2253" s="3">
        <v>0</v>
      </c>
      <c r="L2253">
        <v>5570</v>
      </c>
      <c r="M2253" t="s">
        <v>5259</v>
      </c>
      <c r="N2253" t="s">
        <v>30</v>
      </c>
      <c r="O2253" t="s">
        <v>31</v>
      </c>
      <c r="P2253" t="str">
        <f>"15232"</f>
        <v>15232</v>
      </c>
    </row>
    <row r="2254" spans="1:16" x14ac:dyDescent="0.25">
      <c r="A2254" t="str">
        <f>"1070051M00132050100"</f>
        <v>1070051M00132050100</v>
      </c>
      <c r="B2254" t="s">
        <v>5260</v>
      </c>
      <c r="C2254" t="s">
        <v>5261</v>
      </c>
      <c r="E2254" t="s">
        <v>39</v>
      </c>
      <c r="F2254">
        <v>0</v>
      </c>
      <c r="G2254">
        <v>0</v>
      </c>
      <c r="H2254">
        <v>2</v>
      </c>
      <c r="I2254" s="3">
        <v>4875.5600000000004</v>
      </c>
      <c r="J2254" s="3">
        <v>0</v>
      </c>
      <c r="K2254" t="s">
        <v>4801</v>
      </c>
      <c r="L2254">
        <v>1</v>
      </c>
      <c r="M2254" t="s">
        <v>4802</v>
      </c>
      <c r="N2254" t="s">
        <v>4803</v>
      </c>
      <c r="O2254" t="s">
        <v>554</v>
      </c>
      <c r="P2254" t="str">
        <f>"26003"</f>
        <v>26003</v>
      </c>
    </row>
    <row r="2255" spans="1:16" x14ac:dyDescent="0.25">
      <c r="A2255" t="str">
        <f>"1070051M00132050200"</f>
        <v>1070051M00132050200</v>
      </c>
      <c r="B2255" t="s">
        <v>5262</v>
      </c>
      <c r="C2255" t="s">
        <v>5263</v>
      </c>
      <c r="E2255" t="s">
        <v>39</v>
      </c>
      <c r="F2255">
        <v>0</v>
      </c>
      <c r="G2255">
        <v>0</v>
      </c>
      <c r="H2255">
        <v>2</v>
      </c>
      <c r="I2255" s="3">
        <v>2837.89</v>
      </c>
      <c r="J2255" s="3">
        <v>0</v>
      </c>
      <c r="L2255">
        <v>5570</v>
      </c>
      <c r="M2255" t="s">
        <v>5264</v>
      </c>
      <c r="N2255" t="s">
        <v>30</v>
      </c>
      <c r="O2255" t="s">
        <v>31</v>
      </c>
      <c r="P2255" t="str">
        <f>"15232"</f>
        <v>15232</v>
      </c>
    </row>
    <row r="2256" spans="1:16" x14ac:dyDescent="0.25">
      <c r="A2256" t="str">
        <f>"1070051M00132050400"</f>
        <v>1070051M00132050400</v>
      </c>
      <c r="B2256" t="s">
        <v>5265</v>
      </c>
      <c r="C2256" t="s">
        <v>5266</v>
      </c>
      <c r="E2256" t="s">
        <v>39</v>
      </c>
      <c r="F2256">
        <v>0</v>
      </c>
      <c r="G2256">
        <v>0</v>
      </c>
      <c r="H2256">
        <v>1</v>
      </c>
      <c r="I2256" s="3">
        <v>6486.13</v>
      </c>
      <c r="J2256" s="3">
        <v>0</v>
      </c>
      <c r="K2256" t="s">
        <v>5267</v>
      </c>
      <c r="L2256">
        <v>191</v>
      </c>
      <c r="M2256" t="s">
        <v>5268</v>
      </c>
      <c r="N2256" t="s">
        <v>5269</v>
      </c>
      <c r="O2256" t="s">
        <v>370</v>
      </c>
      <c r="P2256" t="str">
        <f>"32931"</f>
        <v>32931</v>
      </c>
    </row>
    <row r="2257" spans="1:16" x14ac:dyDescent="0.25">
      <c r="A2257" t="str">
        <f>"1070051M00132050500"</f>
        <v>1070051M00132050500</v>
      </c>
      <c r="B2257" t="s">
        <v>5270</v>
      </c>
      <c r="C2257" t="s">
        <v>5271</v>
      </c>
      <c r="E2257" t="s">
        <v>39</v>
      </c>
      <c r="F2257">
        <v>0</v>
      </c>
      <c r="G2257">
        <v>0</v>
      </c>
      <c r="H2257">
        <v>2</v>
      </c>
      <c r="I2257" s="3">
        <v>6827.3</v>
      </c>
      <c r="J2257" s="3">
        <v>0</v>
      </c>
      <c r="K2257" t="s">
        <v>5272</v>
      </c>
      <c r="L2257">
        <v>19300</v>
      </c>
      <c r="M2257" t="s">
        <v>5273</v>
      </c>
      <c r="N2257" t="s">
        <v>5274</v>
      </c>
      <c r="O2257" t="s">
        <v>1184</v>
      </c>
      <c r="P2257" t="str">
        <f>"20842"</f>
        <v>20842</v>
      </c>
    </row>
    <row r="2258" spans="1:16" x14ac:dyDescent="0.25">
      <c r="A2258" t="str">
        <f>"1070051M00132050600"</f>
        <v>1070051M00132050600</v>
      </c>
      <c r="B2258" t="s">
        <v>5275</v>
      </c>
      <c r="C2258" t="s">
        <v>5276</v>
      </c>
      <c r="D2258" t="s">
        <v>57</v>
      </c>
      <c r="E2258" t="s">
        <v>39</v>
      </c>
      <c r="F2258">
        <v>0</v>
      </c>
      <c r="G2258">
        <v>0</v>
      </c>
      <c r="H2258">
        <v>1</v>
      </c>
      <c r="I2258" s="3">
        <v>5373.13</v>
      </c>
      <c r="J2258" s="3">
        <v>1477.55</v>
      </c>
      <c r="L2258">
        <v>5570</v>
      </c>
      <c r="M2258" t="s">
        <v>5277</v>
      </c>
      <c r="N2258" t="s">
        <v>30</v>
      </c>
      <c r="O2258" t="s">
        <v>31</v>
      </c>
      <c r="P2258" t="str">
        <f>"15232"</f>
        <v>15232</v>
      </c>
    </row>
    <row r="2259" spans="1:16" x14ac:dyDescent="0.25">
      <c r="A2259" t="str">
        <f>"1070051M00132050700"</f>
        <v>1070051M00132050700</v>
      </c>
      <c r="B2259" t="s">
        <v>5278</v>
      </c>
      <c r="C2259" t="s">
        <v>5279</v>
      </c>
      <c r="E2259" t="s">
        <v>39</v>
      </c>
      <c r="F2259">
        <v>0</v>
      </c>
      <c r="G2259">
        <v>0</v>
      </c>
      <c r="H2259">
        <v>1</v>
      </c>
      <c r="I2259" s="3">
        <v>6566.18</v>
      </c>
      <c r="J2259" s="3">
        <v>0</v>
      </c>
      <c r="K2259" t="s">
        <v>5280</v>
      </c>
      <c r="L2259">
        <v>5500</v>
      </c>
      <c r="M2259" t="s">
        <v>4532</v>
      </c>
      <c r="N2259" t="s">
        <v>30</v>
      </c>
      <c r="O2259" t="s">
        <v>31</v>
      </c>
      <c r="P2259" t="str">
        <f>"15232"</f>
        <v>15232</v>
      </c>
    </row>
    <row r="2260" spans="1:16" x14ac:dyDescent="0.25">
      <c r="A2260" t="str">
        <f>"1070051M00132050800"</f>
        <v>1070051M00132050800</v>
      </c>
      <c r="B2260" t="s">
        <v>5281</v>
      </c>
      <c r="C2260" t="s">
        <v>5282</v>
      </c>
      <c r="E2260" t="s">
        <v>39</v>
      </c>
      <c r="F2260">
        <v>0</v>
      </c>
      <c r="G2260">
        <v>0</v>
      </c>
      <c r="H2260">
        <v>1</v>
      </c>
      <c r="I2260" s="3">
        <v>5058.5200000000004</v>
      </c>
      <c r="J2260" s="3">
        <v>0</v>
      </c>
      <c r="K2260" t="s">
        <v>445</v>
      </c>
      <c r="L2260">
        <v>1</v>
      </c>
      <c r="M2260" t="s">
        <v>1163</v>
      </c>
      <c r="N2260" t="s">
        <v>1164</v>
      </c>
      <c r="O2260" t="s">
        <v>108</v>
      </c>
      <c r="P2260" t="str">
        <f>"76262"</f>
        <v>76262</v>
      </c>
    </row>
    <row r="2261" spans="1:16" x14ac:dyDescent="0.25">
      <c r="A2261" t="str">
        <f>"1070051M00132050900"</f>
        <v>1070051M00132050900</v>
      </c>
      <c r="B2261" t="s">
        <v>5283</v>
      </c>
      <c r="C2261" t="s">
        <v>5284</v>
      </c>
      <c r="E2261" t="s">
        <v>39</v>
      </c>
      <c r="F2261">
        <v>0</v>
      </c>
      <c r="G2261">
        <v>0</v>
      </c>
      <c r="H2261">
        <v>1</v>
      </c>
      <c r="I2261" s="3">
        <v>5058.5200000000004</v>
      </c>
      <c r="J2261" s="3">
        <v>0</v>
      </c>
      <c r="L2261">
        <v>5570</v>
      </c>
      <c r="M2261" t="s">
        <v>5285</v>
      </c>
      <c r="N2261" t="s">
        <v>30</v>
      </c>
      <c r="O2261" t="s">
        <v>31</v>
      </c>
      <c r="P2261" t="str">
        <f>"15232"</f>
        <v>15232</v>
      </c>
    </row>
    <row r="2262" spans="1:16" x14ac:dyDescent="0.25">
      <c r="A2262" t="str">
        <f>"1070051M00136    00"</f>
        <v>1070051M00136    00</v>
      </c>
      <c r="B2262" t="s">
        <v>5286</v>
      </c>
      <c r="C2262" t="s">
        <v>5287</v>
      </c>
      <c r="E2262" t="s">
        <v>21</v>
      </c>
      <c r="F2262">
        <v>0</v>
      </c>
      <c r="G2262">
        <v>0</v>
      </c>
      <c r="H2262">
        <v>1</v>
      </c>
      <c r="I2262" s="3">
        <v>3758.63</v>
      </c>
      <c r="J2262" s="3">
        <v>0</v>
      </c>
      <c r="K2262" t="s">
        <v>5146</v>
      </c>
      <c r="L2262">
        <v>700</v>
      </c>
      <c r="M2262" t="s">
        <v>5147</v>
      </c>
      <c r="N2262" t="s">
        <v>2008</v>
      </c>
      <c r="O2262" t="s">
        <v>31</v>
      </c>
      <c r="P2262" t="str">
        <f>"16066"</f>
        <v>16066</v>
      </c>
    </row>
    <row r="2263" spans="1:16" x14ac:dyDescent="0.25">
      <c r="A2263" t="str">
        <f>"1070051M00143051400"</f>
        <v>1070051M00143051400</v>
      </c>
      <c r="B2263" t="s">
        <v>5288</v>
      </c>
      <c r="C2263" t="s">
        <v>5289</v>
      </c>
      <c r="D2263" t="s">
        <v>20</v>
      </c>
      <c r="E2263" t="s">
        <v>39</v>
      </c>
      <c r="F2263">
        <v>0</v>
      </c>
      <c r="G2263">
        <v>0</v>
      </c>
      <c r="H2263">
        <v>1</v>
      </c>
      <c r="I2263" s="3">
        <v>2441.6</v>
      </c>
      <c r="J2263" s="3">
        <v>0</v>
      </c>
      <c r="K2263" t="s">
        <v>5290</v>
      </c>
      <c r="L2263">
        <v>5514</v>
      </c>
      <c r="M2263" t="s">
        <v>5291</v>
      </c>
      <c r="N2263" t="s">
        <v>30</v>
      </c>
      <c r="O2263" t="s">
        <v>31</v>
      </c>
      <c r="P2263" t="str">
        <f>"15232"</f>
        <v>15232</v>
      </c>
    </row>
    <row r="2264" spans="1:16" x14ac:dyDescent="0.25">
      <c r="A2264" t="str">
        <f>"1070051M00153    00"</f>
        <v>1070051M00153    00</v>
      </c>
      <c r="B2264" t="s">
        <v>5292</v>
      </c>
      <c r="C2264" t="s">
        <v>5293</v>
      </c>
      <c r="E2264" t="s">
        <v>39</v>
      </c>
      <c r="F2264">
        <v>0</v>
      </c>
      <c r="G2264">
        <v>0</v>
      </c>
      <c r="H2264">
        <v>1</v>
      </c>
      <c r="I2264" s="3">
        <v>4033.1</v>
      </c>
      <c r="J2264" s="3">
        <v>806.59</v>
      </c>
      <c r="K2264" t="s">
        <v>5294</v>
      </c>
      <c r="L2264">
        <v>5514</v>
      </c>
      <c r="M2264" t="s">
        <v>5295</v>
      </c>
      <c r="N2264" t="s">
        <v>30</v>
      </c>
      <c r="O2264" t="s">
        <v>31</v>
      </c>
      <c r="P2264" t="str">
        <f>"15217"</f>
        <v>15217</v>
      </c>
    </row>
    <row r="2265" spans="1:16" x14ac:dyDescent="0.25">
      <c r="A2265" t="str">
        <f>"1070051M00185    00"</f>
        <v>1070051M00185    00</v>
      </c>
      <c r="B2265" t="s">
        <v>5296</v>
      </c>
      <c r="C2265" t="s">
        <v>5297</v>
      </c>
      <c r="E2265" t="s">
        <v>39</v>
      </c>
      <c r="F2265">
        <v>0</v>
      </c>
      <c r="G2265">
        <v>0</v>
      </c>
      <c r="H2265">
        <v>2</v>
      </c>
      <c r="I2265" s="3">
        <v>4109.34</v>
      </c>
      <c r="J2265" s="3">
        <v>136.97</v>
      </c>
      <c r="K2265" t="s">
        <v>5298</v>
      </c>
      <c r="L2265">
        <v>5521</v>
      </c>
      <c r="M2265" t="s">
        <v>5134</v>
      </c>
      <c r="N2265" t="s">
        <v>30</v>
      </c>
      <c r="O2265" t="s">
        <v>31</v>
      </c>
      <c r="P2265" t="str">
        <f>"15232"</f>
        <v>15232</v>
      </c>
    </row>
    <row r="2266" spans="1:16" x14ac:dyDescent="0.25">
      <c r="A2266" t="str">
        <f>"1070051M00186    00"</f>
        <v>1070051M00186    00</v>
      </c>
      <c r="B2266" t="s">
        <v>5299</v>
      </c>
      <c r="C2266" t="s">
        <v>5300</v>
      </c>
      <c r="E2266" t="s">
        <v>39</v>
      </c>
      <c r="F2266">
        <v>0</v>
      </c>
      <c r="G2266">
        <v>0</v>
      </c>
      <c r="H2266">
        <v>1</v>
      </c>
      <c r="I2266" s="3">
        <v>36.119999999999997</v>
      </c>
      <c r="J2266" s="3">
        <v>25.29</v>
      </c>
      <c r="K2266" t="s">
        <v>5301</v>
      </c>
      <c r="L2266">
        <v>120</v>
      </c>
      <c r="M2266" t="s">
        <v>5302</v>
      </c>
      <c r="N2266" t="s">
        <v>199</v>
      </c>
      <c r="O2266" t="s">
        <v>200</v>
      </c>
      <c r="P2266" t="str">
        <f>"10271"</f>
        <v>10271</v>
      </c>
    </row>
    <row r="2267" spans="1:16" x14ac:dyDescent="0.25">
      <c r="A2267" t="str">
        <f>"1070051M00197    00"</f>
        <v>1070051M00197    00</v>
      </c>
      <c r="B2267" t="s">
        <v>5303</v>
      </c>
      <c r="C2267" t="s">
        <v>5304</v>
      </c>
      <c r="E2267" t="s">
        <v>39</v>
      </c>
      <c r="F2267">
        <v>0</v>
      </c>
      <c r="G2267">
        <v>0</v>
      </c>
      <c r="H2267">
        <v>1</v>
      </c>
      <c r="I2267" s="3">
        <v>118.8</v>
      </c>
      <c r="J2267" s="3">
        <v>3.95</v>
      </c>
      <c r="K2267" t="s">
        <v>5305</v>
      </c>
      <c r="L2267">
        <v>523</v>
      </c>
      <c r="M2267" t="s">
        <v>5306</v>
      </c>
      <c r="N2267" t="s">
        <v>30</v>
      </c>
      <c r="O2267" t="s">
        <v>31</v>
      </c>
      <c r="P2267" t="str">
        <f>"15232"</f>
        <v>15232</v>
      </c>
    </row>
    <row r="2268" spans="1:16" x14ac:dyDescent="0.25">
      <c r="A2268" t="str">
        <f>"1070051M00214    00"</f>
        <v>1070051M00214    00</v>
      </c>
      <c r="B2268" t="s">
        <v>5307</v>
      </c>
      <c r="C2268" t="s">
        <v>5308</v>
      </c>
      <c r="E2268" t="s">
        <v>21</v>
      </c>
      <c r="F2268">
        <v>0</v>
      </c>
      <c r="G2268">
        <v>0</v>
      </c>
      <c r="H2268">
        <v>2</v>
      </c>
      <c r="I2268" s="3">
        <v>12613.92</v>
      </c>
      <c r="J2268" s="3">
        <v>578.12</v>
      </c>
      <c r="L2268">
        <v>515</v>
      </c>
      <c r="M2268" t="s">
        <v>5309</v>
      </c>
      <c r="N2268" t="s">
        <v>30</v>
      </c>
      <c r="O2268" t="s">
        <v>31</v>
      </c>
      <c r="P2268" t="str">
        <f>"15232"</f>
        <v>15232</v>
      </c>
    </row>
    <row r="2269" spans="1:16" x14ac:dyDescent="0.25">
      <c r="A2269" t="str">
        <f>"1070051M00250    00"</f>
        <v>1070051M00250    00</v>
      </c>
      <c r="B2269" t="s">
        <v>5310</v>
      </c>
      <c r="C2269" t="s">
        <v>5311</v>
      </c>
      <c r="D2269" t="s">
        <v>20</v>
      </c>
      <c r="E2269" t="s">
        <v>39</v>
      </c>
      <c r="F2269">
        <v>0</v>
      </c>
      <c r="G2269">
        <v>0</v>
      </c>
      <c r="H2269">
        <v>17</v>
      </c>
      <c r="I2269" s="3">
        <v>1440.73</v>
      </c>
      <c r="J2269" s="3">
        <v>1997.35</v>
      </c>
      <c r="P2269" t="str">
        <f>""</f>
        <v/>
      </c>
    </row>
    <row r="2270" spans="1:16" x14ac:dyDescent="0.25">
      <c r="A2270" t="str">
        <f>"1070051M00254    00"</f>
        <v>1070051M00254    00</v>
      </c>
      <c r="B2270" t="s">
        <v>5312</v>
      </c>
      <c r="C2270" t="s">
        <v>5313</v>
      </c>
      <c r="E2270" t="s">
        <v>39</v>
      </c>
      <c r="F2270">
        <v>0</v>
      </c>
      <c r="G2270">
        <v>0</v>
      </c>
      <c r="H2270">
        <v>2</v>
      </c>
      <c r="I2270" s="3">
        <v>2232.41</v>
      </c>
      <c r="J2270" s="3">
        <v>152.66</v>
      </c>
      <c r="K2270" t="s">
        <v>5314</v>
      </c>
      <c r="L2270">
        <v>1901</v>
      </c>
      <c r="M2270" t="s">
        <v>5315</v>
      </c>
      <c r="N2270" t="s">
        <v>5017</v>
      </c>
      <c r="O2270" t="s">
        <v>3486</v>
      </c>
      <c r="P2270" t="str">
        <f>"61834"</f>
        <v>61834</v>
      </c>
    </row>
    <row r="2271" spans="1:16" x14ac:dyDescent="0.25">
      <c r="A2271" t="str">
        <f>"1070051M00260    00"</f>
        <v>1070051M00260    00</v>
      </c>
      <c r="B2271" t="s">
        <v>5316</v>
      </c>
      <c r="C2271" t="s">
        <v>5317</v>
      </c>
      <c r="D2271" t="s">
        <v>20</v>
      </c>
      <c r="E2271" t="s">
        <v>39</v>
      </c>
      <c r="F2271">
        <v>0</v>
      </c>
      <c r="G2271">
        <v>0</v>
      </c>
      <c r="H2271">
        <v>2</v>
      </c>
      <c r="I2271" s="3">
        <v>9869.66</v>
      </c>
      <c r="J2271" s="3">
        <v>1460.86</v>
      </c>
      <c r="L2271">
        <v>5514</v>
      </c>
      <c r="M2271" t="s">
        <v>5134</v>
      </c>
      <c r="N2271" t="s">
        <v>30</v>
      </c>
      <c r="O2271" t="s">
        <v>31</v>
      </c>
      <c r="P2271" t="str">
        <f>"15232"</f>
        <v>15232</v>
      </c>
    </row>
    <row r="2272" spans="1:16" x14ac:dyDescent="0.25">
      <c r="A2272" t="str">
        <f>"1070051M00264    00"</f>
        <v>1070051M00264    00</v>
      </c>
      <c r="B2272" t="s">
        <v>5318</v>
      </c>
      <c r="C2272" t="s">
        <v>5319</v>
      </c>
      <c r="E2272" t="s">
        <v>39</v>
      </c>
      <c r="F2272">
        <v>0</v>
      </c>
      <c r="G2272">
        <v>0</v>
      </c>
      <c r="H2272">
        <v>1</v>
      </c>
      <c r="I2272" s="3">
        <v>1867.17</v>
      </c>
      <c r="J2272" s="3">
        <v>342.3</v>
      </c>
      <c r="L2272">
        <v>202</v>
      </c>
      <c r="M2272" t="s">
        <v>4860</v>
      </c>
      <c r="N2272" t="s">
        <v>30</v>
      </c>
      <c r="O2272" t="s">
        <v>31</v>
      </c>
      <c r="P2272" t="str">
        <f>"15212"</f>
        <v>15212</v>
      </c>
    </row>
    <row r="2273" spans="1:16" x14ac:dyDescent="0.25">
      <c r="A2273" t="str">
        <f>"1070051P00127    00"</f>
        <v>1070051P00127    00</v>
      </c>
      <c r="B2273" t="s">
        <v>5320</v>
      </c>
      <c r="C2273" t="s">
        <v>5321</v>
      </c>
      <c r="E2273" t="s">
        <v>39</v>
      </c>
      <c r="F2273">
        <v>0</v>
      </c>
      <c r="G2273">
        <v>0</v>
      </c>
      <c r="H2273">
        <v>1</v>
      </c>
      <c r="I2273" s="3">
        <v>1547.67</v>
      </c>
      <c r="J2273" s="3">
        <v>154.76</v>
      </c>
      <c r="K2273" t="s">
        <v>1427</v>
      </c>
      <c r="L2273">
        <v>3001</v>
      </c>
      <c r="M2273" t="s">
        <v>330</v>
      </c>
      <c r="N2273" t="s">
        <v>331</v>
      </c>
      <c r="O2273" t="s">
        <v>108</v>
      </c>
      <c r="P2273" t="str">
        <f>"75063"</f>
        <v>75063</v>
      </c>
    </row>
    <row r="2274" spans="1:16" x14ac:dyDescent="0.25">
      <c r="A2274" t="str">
        <f>"1070051P00150    00"</f>
        <v>1070051P00150    00</v>
      </c>
      <c r="B2274" t="s">
        <v>5322</v>
      </c>
      <c r="C2274" t="s">
        <v>5323</v>
      </c>
      <c r="D2274" t="s">
        <v>20</v>
      </c>
      <c r="E2274" t="s">
        <v>39</v>
      </c>
      <c r="F2274">
        <v>0</v>
      </c>
      <c r="G2274">
        <v>0</v>
      </c>
      <c r="H2274">
        <v>3</v>
      </c>
      <c r="I2274" s="3">
        <v>8651.3700000000008</v>
      </c>
      <c r="J2274" s="3">
        <v>192.24</v>
      </c>
      <c r="K2274" t="s">
        <v>5324</v>
      </c>
      <c r="L2274">
        <v>6850</v>
      </c>
      <c r="M2274" t="s">
        <v>763</v>
      </c>
      <c r="N2274" t="s">
        <v>764</v>
      </c>
      <c r="O2274" t="s">
        <v>25</v>
      </c>
      <c r="P2274" t="str">
        <f>"44141"</f>
        <v>44141</v>
      </c>
    </row>
    <row r="2275" spans="1:16" x14ac:dyDescent="0.25">
      <c r="A2275" t="str">
        <f>"1070051P00178    00"</f>
        <v>1070051P00178    00</v>
      </c>
      <c r="B2275" t="s">
        <v>5325</v>
      </c>
      <c r="C2275" t="s">
        <v>5326</v>
      </c>
      <c r="E2275" t="s">
        <v>21</v>
      </c>
      <c r="F2275">
        <v>0</v>
      </c>
      <c r="G2275">
        <v>0</v>
      </c>
      <c r="H2275">
        <v>2</v>
      </c>
      <c r="I2275" s="3">
        <v>17085.38</v>
      </c>
      <c r="J2275" s="3">
        <v>355.93</v>
      </c>
      <c r="K2275" t="s">
        <v>5327</v>
      </c>
      <c r="L2275">
        <v>6507</v>
      </c>
      <c r="M2275" t="s">
        <v>5328</v>
      </c>
      <c r="N2275" t="s">
        <v>30</v>
      </c>
      <c r="O2275" t="s">
        <v>31</v>
      </c>
      <c r="P2275" t="str">
        <f>"15217"</f>
        <v>15217</v>
      </c>
    </row>
    <row r="2276" spans="1:16" x14ac:dyDescent="0.25">
      <c r="A2276" t="str">
        <f>"1070051R00106A   00"</f>
        <v>1070051R00106A   00</v>
      </c>
      <c r="B2276" t="s">
        <v>5329</v>
      </c>
      <c r="C2276" t="s">
        <v>5330</v>
      </c>
      <c r="D2276" t="s">
        <v>20</v>
      </c>
      <c r="E2276" t="s">
        <v>39</v>
      </c>
      <c r="F2276">
        <v>0</v>
      </c>
      <c r="G2276">
        <v>0</v>
      </c>
      <c r="H2276">
        <v>17</v>
      </c>
      <c r="I2276" s="3">
        <v>56.38</v>
      </c>
      <c r="J2276" s="3">
        <v>49.83</v>
      </c>
      <c r="K2276" t="s">
        <v>1037</v>
      </c>
      <c r="L2276">
        <v>517</v>
      </c>
      <c r="M2276" t="s">
        <v>5331</v>
      </c>
      <c r="N2276" t="s">
        <v>30</v>
      </c>
      <c r="O2276" t="s">
        <v>31</v>
      </c>
      <c r="P2276" t="str">
        <f>"15232"</f>
        <v>15232</v>
      </c>
    </row>
    <row r="2277" spans="1:16" x14ac:dyDescent="0.25">
      <c r="A2277" t="str">
        <f>"1070051R00182B1  00"</f>
        <v>1070051R00182B1  00</v>
      </c>
      <c r="B2277" t="s">
        <v>5332</v>
      </c>
      <c r="C2277" t="s">
        <v>5333</v>
      </c>
      <c r="D2277" t="s">
        <v>20</v>
      </c>
      <c r="E2277" t="s">
        <v>39</v>
      </c>
      <c r="F2277">
        <v>0</v>
      </c>
      <c r="G2277">
        <v>0</v>
      </c>
      <c r="H2277">
        <v>3</v>
      </c>
      <c r="I2277" s="3">
        <v>5275.52</v>
      </c>
      <c r="J2277" s="3">
        <v>3.52</v>
      </c>
      <c r="K2277" t="s">
        <v>5334</v>
      </c>
      <c r="L2277">
        <v>3001</v>
      </c>
      <c r="M2277" t="s">
        <v>330</v>
      </c>
      <c r="N2277" t="s">
        <v>331</v>
      </c>
      <c r="O2277" t="s">
        <v>108</v>
      </c>
      <c r="P2277" t="str">
        <f>"75063"</f>
        <v>75063</v>
      </c>
    </row>
    <row r="2278" spans="1:16" x14ac:dyDescent="0.25">
      <c r="A2278" t="str">
        <f>"1070051R00186    00"</f>
        <v>1070051R00186    00</v>
      </c>
      <c r="B2278" t="s">
        <v>5335</v>
      </c>
      <c r="C2278" t="s">
        <v>5336</v>
      </c>
      <c r="D2278" t="s">
        <v>20</v>
      </c>
      <c r="E2278" t="s">
        <v>21</v>
      </c>
      <c r="F2278">
        <v>0</v>
      </c>
      <c r="G2278">
        <v>0</v>
      </c>
      <c r="H2278">
        <v>2</v>
      </c>
      <c r="I2278" s="3">
        <v>19060</v>
      </c>
      <c r="J2278" s="3">
        <v>0</v>
      </c>
      <c r="K2278" t="s">
        <v>5337</v>
      </c>
      <c r="M2278" t="s">
        <v>5338</v>
      </c>
      <c r="N2278" t="s">
        <v>5339</v>
      </c>
      <c r="O2278" t="s">
        <v>31</v>
      </c>
      <c r="P2278" t="str">
        <f>"15084"</f>
        <v>15084</v>
      </c>
    </row>
    <row r="2279" spans="1:16" x14ac:dyDescent="0.25">
      <c r="A2279" t="str">
        <f>"1070051R001913   00"</f>
        <v>1070051R001913   00</v>
      </c>
      <c r="B2279" t="s">
        <v>5340</v>
      </c>
      <c r="C2279" t="s">
        <v>5341</v>
      </c>
      <c r="E2279" t="s">
        <v>39</v>
      </c>
      <c r="F2279">
        <v>0</v>
      </c>
      <c r="G2279">
        <v>0</v>
      </c>
      <c r="H2279">
        <v>1</v>
      </c>
      <c r="I2279" s="3">
        <v>88.56</v>
      </c>
      <c r="J2279" s="3">
        <v>0</v>
      </c>
      <c r="L2279">
        <v>543</v>
      </c>
      <c r="M2279" t="s">
        <v>4219</v>
      </c>
      <c r="N2279" t="s">
        <v>30</v>
      </c>
      <c r="O2279" t="s">
        <v>31</v>
      </c>
      <c r="P2279" t="str">
        <f>"15232"</f>
        <v>15232</v>
      </c>
    </row>
    <row r="2280" spans="1:16" x14ac:dyDescent="0.25">
      <c r="A2280" t="str">
        <f>"1070051S00015    00"</f>
        <v>1070051S00015    00</v>
      </c>
      <c r="B2280" t="s">
        <v>5342</v>
      </c>
      <c r="C2280" t="s">
        <v>5343</v>
      </c>
      <c r="D2280" t="s">
        <v>20</v>
      </c>
      <c r="E2280" t="s">
        <v>39</v>
      </c>
      <c r="F2280">
        <v>0</v>
      </c>
      <c r="G2280">
        <v>0</v>
      </c>
      <c r="H2280">
        <v>1</v>
      </c>
      <c r="I2280" s="3">
        <v>800</v>
      </c>
      <c r="J2280" s="3">
        <v>0</v>
      </c>
      <c r="L2280">
        <v>414</v>
      </c>
      <c r="M2280" t="s">
        <v>5344</v>
      </c>
      <c r="N2280" t="s">
        <v>30</v>
      </c>
      <c r="O2280" t="s">
        <v>31</v>
      </c>
      <c r="P2280" t="str">
        <f>"15232"</f>
        <v>15232</v>
      </c>
    </row>
    <row r="2281" spans="1:16" x14ac:dyDescent="0.25">
      <c r="A2281" t="str">
        <f>"1070051S00023    00"</f>
        <v>1070051S00023    00</v>
      </c>
      <c r="B2281" t="s">
        <v>5345</v>
      </c>
      <c r="C2281" t="s">
        <v>5346</v>
      </c>
      <c r="D2281" t="s">
        <v>20</v>
      </c>
      <c r="E2281" t="s">
        <v>39</v>
      </c>
      <c r="F2281">
        <v>0</v>
      </c>
      <c r="G2281">
        <v>0</v>
      </c>
      <c r="H2281">
        <v>1</v>
      </c>
      <c r="I2281" s="3">
        <v>3822.58</v>
      </c>
      <c r="J2281" s="3">
        <v>0</v>
      </c>
      <c r="K2281" t="s">
        <v>5347</v>
      </c>
      <c r="L2281">
        <v>5436</v>
      </c>
      <c r="M2281" t="s">
        <v>5134</v>
      </c>
      <c r="N2281" t="s">
        <v>30</v>
      </c>
      <c r="O2281" t="s">
        <v>31</v>
      </c>
      <c r="P2281" t="str">
        <f>"15232"</f>
        <v>15232</v>
      </c>
    </row>
    <row r="2282" spans="1:16" x14ac:dyDescent="0.25">
      <c r="A2282" t="str">
        <f>"1070051S00049    00"</f>
        <v>1070051S00049    00</v>
      </c>
      <c r="B2282" t="s">
        <v>5348</v>
      </c>
      <c r="C2282" t="s">
        <v>5349</v>
      </c>
      <c r="D2282" t="s">
        <v>20</v>
      </c>
      <c r="E2282" t="s">
        <v>39</v>
      </c>
      <c r="F2282">
        <v>0</v>
      </c>
      <c r="G2282">
        <v>0</v>
      </c>
      <c r="H2282">
        <v>3</v>
      </c>
      <c r="I2282" s="3">
        <v>7632.11</v>
      </c>
      <c r="J2282" s="3">
        <v>181.32</v>
      </c>
      <c r="K2282" t="s">
        <v>484</v>
      </c>
      <c r="L2282">
        <v>3001</v>
      </c>
      <c r="M2282" t="s">
        <v>330</v>
      </c>
      <c r="N2282" t="s">
        <v>331</v>
      </c>
      <c r="O2282" t="s">
        <v>108</v>
      </c>
      <c r="P2282" t="str">
        <f>"75063"</f>
        <v>75063</v>
      </c>
    </row>
    <row r="2283" spans="1:16" x14ac:dyDescent="0.25">
      <c r="A2283" t="str">
        <f>"1070051S00120    00"</f>
        <v>1070051S00120    00</v>
      </c>
      <c r="B2283" t="s">
        <v>5350</v>
      </c>
      <c r="C2283" t="s">
        <v>5351</v>
      </c>
      <c r="D2283" t="s">
        <v>57</v>
      </c>
      <c r="E2283" t="s">
        <v>39</v>
      </c>
      <c r="F2283">
        <v>0</v>
      </c>
      <c r="G2283">
        <v>0</v>
      </c>
      <c r="H2283">
        <v>3</v>
      </c>
      <c r="I2283" s="3">
        <v>5165.2299999999996</v>
      </c>
      <c r="J2283" s="3">
        <v>660.64</v>
      </c>
      <c r="K2283" t="s">
        <v>5352</v>
      </c>
      <c r="L2283">
        <v>3001</v>
      </c>
      <c r="M2283" t="s">
        <v>330</v>
      </c>
      <c r="N2283" t="s">
        <v>331</v>
      </c>
      <c r="O2283" t="s">
        <v>108</v>
      </c>
      <c r="P2283" t="str">
        <f>"75063"</f>
        <v>75063</v>
      </c>
    </row>
    <row r="2284" spans="1:16" x14ac:dyDescent="0.25">
      <c r="A2284" t="str">
        <f>"1070051S00170    00"</f>
        <v>1070051S00170    00</v>
      </c>
      <c r="B2284" t="s">
        <v>5353</v>
      </c>
      <c r="C2284" t="s">
        <v>5354</v>
      </c>
      <c r="D2284" t="s">
        <v>20</v>
      </c>
      <c r="E2284" t="s">
        <v>39</v>
      </c>
      <c r="F2284">
        <v>0</v>
      </c>
      <c r="G2284">
        <v>0</v>
      </c>
      <c r="H2284">
        <v>2</v>
      </c>
      <c r="I2284" s="3">
        <v>80.239999999999995</v>
      </c>
      <c r="J2284" s="3">
        <v>4.58</v>
      </c>
      <c r="K2284" t="s">
        <v>5355</v>
      </c>
      <c r="L2284">
        <v>3001</v>
      </c>
      <c r="M2284" t="s">
        <v>404</v>
      </c>
      <c r="N2284" t="s">
        <v>331</v>
      </c>
      <c r="O2284" t="s">
        <v>108</v>
      </c>
      <c r="P2284" t="str">
        <f>"75063"</f>
        <v>75063</v>
      </c>
    </row>
    <row r="2285" spans="1:16" x14ac:dyDescent="0.25">
      <c r="A2285" t="str">
        <f>"1070051S00196001100"</f>
        <v>1070051S00196001100</v>
      </c>
      <c r="B2285" t="s">
        <v>5356</v>
      </c>
      <c r="C2285" t="s">
        <v>5357</v>
      </c>
      <c r="E2285" t="s">
        <v>39</v>
      </c>
      <c r="F2285">
        <v>0</v>
      </c>
      <c r="G2285">
        <v>0</v>
      </c>
      <c r="H2285">
        <v>1</v>
      </c>
      <c r="I2285" s="3">
        <v>458.55</v>
      </c>
      <c r="J2285" s="3">
        <v>275.13</v>
      </c>
      <c r="L2285">
        <v>5523</v>
      </c>
      <c r="M2285" t="s">
        <v>5358</v>
      </c>
      <c r="N2285" t="s">
        <v>30</v>
      </c>
      <c r="O2285" t="s">
        <v>31</v>
      </c>
      <c r="P2285" t="str">
        <f>"15232"</f>
        <v>15232</v>
      </c>
    </row>
    <row r="2286" spans="1:16" x14ac:dyDescent="0.25">
      <c r="A2286" t="str">
        <f>"1070051S00196002300"</f>
        <v>1070051S00196002300</v>
      </c>
      <c r="B2286" t="s">
        <v>5359</v>
      </c>
      <c r="C2286" t="s">
        <v>5360</v>
      </c>
      <c r="E2286" t="s">
        <v>39</v>
      </c>
      <c r="F2286">
        <v>0</v>
      </c>
      <c r="G2286">
        <v>0</v>
      </c>
      <c r="H2286">
        <v>1</v>
      </c>
      <c r="I2286" s="3">
        <v>2382.5</v>
      </c>
      <c r="J2286" s="3">
        <v>0</v>
      </c>
      <c r="K2286" t="s">
        <v>3554</v>
      </c>
      <c r="L2286">
        <v>600</v>
      </c>
      <c r="M2286" t="s">
        <v>3555</v>
      </c>
      <c r="N2286" t="s">
        <v>3556</v>
      </c>
      <c r="O2286" t="s">
        <v>31</v>
      </c>
      <c r="P2286" t="str">
        <f>"16117"</f>
        <v>16117</v>
      </c>
    </row>
    <row r="2287" spans="1:16" x14ac:dyDescent="0.25">
      <c r="A2287" t="str">
        <f>"1070051S00196008200"</f>
        <v>1070051S00196008200</v>
      </c>
      <c r="B2287" t="s">
        <v>5361</v>
      </c>
      <c r="C2287" t="s">
        <v>5362</v>
      </c>
      <c r="D2287" t="s">
        <v>20</v>
      </c>
      <c r="E2287" t="s">
        <v>39</v>
      </c>
      <c r="F2287">
        <v>0</v>
      </c>
      <c r="G2287">
        <v>0</v>
      </c>
      <c r="H2287">
        <v>2</v>
      </c>
      <c r="I2287" s="3">
        <v>2639.3</v>
      </c>
      <c r="J2287" s="3">
        <v>0</v>
      </c>
      <c r="L2287">
        <v>95</v>
      </c>
      <c r="M2287" t="s">
        <v>5363</v>
      </c>
      <c r="N2287" t="s">
        <v>149</v>
      </c>
      <c r="O2287" t="s">
        <v>31</v>
      </c>
      <c r="P2287" t="str">
        <f>"15106"</f>
        <v>15106</v>
      </c>
    </row>
    <row r="2288" spans="1:16" x14ac:dyDescent="0.25">
      <c r="A2288" t="str">
        <f>"1070051S00196010300"</f>
        <v>1070051S00196010300</v>
      </c>
      <c r="B2288" t="s">
        <v>5364</v>
      </c>
      <c r="C2288" t="s">
        <v>5365</v>
      </c>
      <c r="D2288" t="s">
        <v>20</v>
      </c>
      <c r="E2288" t="s">
        <v>39</v>
      </c>
      <c r="F2288">
        <v>0</v>
      </c>
      <c r="G2288">
        <v>0</v>
      </c>
      <c r="H2288">
        <v>2</v>
      </c>
      <c r="I2288" s="3">
        <v>4193.2</v>
      </c>
      <c r="J2288" s="3">
        <v>0</v>
      </c>
      <c r="K2288" t="s">
        <v>5366</v>
      </c>
      <c r="L2288">
        <v>325</v>
      </c>
      <c r="M2288" t="s">
        <v>5367</v>
      </c>
      <c r="N2288" t="s">
        <v>30</v>
      </c>
      <c r="O2288" t="s">
        <v>31</v>
      </c>
      <c r="P2288" t="str">
        <f>"15206"</f>
        <v>15206</v>
      </c>
    </row>
    <row r="2289" spans="1:16" x14ac:dyDescent="0.25">
      <c r="A2289" t="str">
        <f>"1070051S00246    00"</f>
        <v>1070051S00246    00</v>
      </c>
      <c r="B2289" t="s">
        <v>5368</v>
      </c>
      <c r="C2289" t="s">
        <v>5369</v>
      </c>
      <c r="D2289" t="s">
        <v>20</v>
      </c>
      <c r="E2289" t="s">
        <v>21</v>
      </c>
      <c r="F2289">
        <v>0</v>
      </c>
      <c r="G2289">
        <v>0</v>
      </c>
      <c r="H2289">
        <v>2</v>
      </c>
      <c r="I2289" s="3">
        <v>13079</v>
      </c>
      <c r="J2289" s="3">
        <v>0</v>
      </c>
      <c r="K2289" t="s">
        <v>1722</v>
      </c>
      <c r="M2289" t="s">
        <v>1723</v>
      </c>
      <c r="N2289" t="s">
        <v>410</v>
      </c>
      <c r="O2289" t="s">
        <v>31</v>
      </c>
      <c r="P2289" t="str">
        <f>"15701"</f>
        <v>15701</v>
      </c>
    </row>
    <row r="2290" spans="1:16" x14ac:dyDescent="0.25">
      <c r="A2290" t="str">
        <f>"1070051S00323    00"</f>
        <v>1070051S00323    00</v>
      </c>
      <c r="B2290" t="s">
        <v>5370</v>
      </c>
      <c r="C2290" t="s">
        <v>5371</v>
      </c>
      <c r="D2290" t="s">
        <v>20</v>
      </c>
      <c r="E2290" t="s">
        <v>39</v>
      </c>
      <c r="F2290">
        <v>0</v>
      </c>
      <c r="G2290">
        <v>0</v>
      </c>
      <c r="H2290">
        <v>1</v>
      </c>
      <c r="I2290" s="3">
        <v>4663.99</v>
      </c>
      <c r="J2290" s="3">
        <v>0</v>
      </c>
      <c r="K2290" t="s">
        <v>5372</v>
      </c>
      <c r="L2290">
        <v>340</v>
      </c>
      <c r="M2290" t="s">
        <v>5373</v>
      </c>
      <c r="N2290" t="s">
        <v>5374</v>
      </c>
      <c r="O2290" t="s">
        <v>200</v>
      </c>
      <c r="P2290" t="str">
        <f>"12572"</f>
        <v>12572</v>
      </c>
    </row>
    <row r="2291" spans="1:16" x14ac:dyDescent="0.25">
      <c r="A2291" t="str">
        <f>"1070051S00337    00"</f>
        <v>1070051S00337    00</v>
      </c>
      <c r="B2291" t="s">
        <v>5375</v>
      </c>
      <c r="C2291" t="s">
        <v>5376</v>
      </c>
      <c r="E2291" t="s">
        <v>21</v>
      </c>
      <c r="F2291">
        <v>0</v>
      </c>
      <c r="G2291">
        <v>0</v>
      </c>
      <c r="H2291">
        <v>1</v>
      </c>
      <c r="I2291" s="3">
        <v>13789.92</v>
      </c>
      <c r="J2291" s="3">
        <v>0</v>
      </c>
      <c r="L2291">
        <v>2450</v>
      </c>
      <c r="M2291" t="s">
        <v>3915</v>
      </c>
      <c r="N2291" t="s">
        <v>712</v>
      </c>
      <c r="O2291" t="s">
        <v>31</v>
      </c>
      <c r="P2291" t="str">
        <f>"16148"</f>
        <v>16148</v>
      </c>
    </row>
    <row r="2292" spans="1:16" x14ac:dyDescent="0.25">
      <c r="A2292" t="str">
        <f>"1070051S00354    00"</f>
        <v>1070051S00354    00</v>
      </c>
      <c r="B2292" t="s">
        <v>5377</v>
      </c>
      <c r="C2292" t="s">
        <v>5378</v>
      </c>
      <c r="E2292" t="s">
        <v>39</v>
      </c>
      <c r="F2292">
        <v>0</v>
      </c>
      <c r="G2292">
        <v>0</v>
      </c>
      <c r="H2292">
        <v>1</v>
      </c>
      <c r="I2292" s="3">
        <v>46.6</v>
      </c>
      <c r="J2292" s="3">
        <v>14.75</v>
      </c>
      <c r="L2292">
        <v>5407</v>
      </c>
      <c r="M2292" t="s">
        <v>1740</v>
      </c>
      <c r="N2292" t="s">
        <v>30</v>
      </c>
      <c r="O2292" t="s">
        <v>31</v>
      </c>
      <c r="P2292" t="str">
        <f>"15232"</f>
        <v>15232</v>
      </c>
    </row>
    <row r="2293" spans="1:16" x14ac:dyDescent="0.25">
      <c r="A2293" t="str">
        <f>"1070051S00358    00"</f>
        <v>1070051S00358    00</v>
      </c>
      <c r="B2293" t="s">
        <v>5379</v>
      </c>
      <c r="C2293" t="s">
        <v>5380</v>
      </c>
      <c r="E2293" t="s">
        <v>39</v>
      </c>
      <c r="F2293">
        <v>0</v>
      </c>
      <c r="G2293">
        <v>0</v>
      </c>
      <c r="H2293">
        <v>2</v>
      </c>
      <c r="I2293" s="3">
        <v>1086.44</v>
      </c>
      <c r="J2293" s="3">
        <v>13.58</v>
      </c>
      <c r="K2293" t="s">
        <v>5381</v>
      </c>
      <c r="L2293">
        <v>5403</v>
      </c>
      <c r="M2293" t="s">
        <v>1740</v>
      </c>
      <c r="N2293" t="s">
        <v>30</v>
      </c>
      <c r="O2293" t="s">
        <v>31</v>
      </c>
      <c r="P2293" t="str">
        <f>"15232"</f>
        <v>15232</v>
      </c>
    </row>
    <row r="2294" spans="1:16" x14ac:dyDescent="0.25">
      <c r="A2294" t="str">
        <f>"1070051S00366    00"</f>
        <v>1070051S00366    00</v>
      </c>
      <c r="B2294" t="s">
        <v>5382</v>
      </c>
      <c r="C2294" t="s">
        <v>5383</v>
      </c>
      <c r="E2294" t="s">
        <v>39</v>
      </c>
      <c r="F2294">
        <v>0</v>
      </c>
      <c r="G2294">
        <v>0</v>
      </c>
      <c r="H2294">
        <v>1</v>
      </c>
      <c r="I2294" s="3">
        <v>353.63</v>
      </c>
      <c r="J2294" s="3">
        <v>0</v>
      </c>
      <c r="K2294" t="s">
        <v>1502</v>
      </c>
      <c r="L2294">
        <v>901</v>
      </c>
      <c r="M2294" t="s">
        <v>1503</v>
      </c>
      <c r="N2294" t="s">
        <v>494</v>
      </c>
      <c r="O2294" t="s">
        <v>495</v>
      </c>
      <c r="P2294" t="str">
        <f>"91768"</f>
        <v>91768</v>
      </c>
    </row>
    <row r="2295" spans="1:16" x14ac:dyDescent="0.25">
      <c r="A2295" t="str">
        <f>"1070051S00374    00"</f>
        <v>1070051S00374    00</v>
      </c>
      <c r="B2295" t="s">
        <v>5384</v>
      </c>
      <c r="C2295" t="s">
        <v>5385</v>
      </c>
      <c r="E2295" t="s">
        <v>39</v>
      </c>
      <c r="F2295">
        <v>0</v>
      </c>
      <c r="G2295">
        <v>0</v>
      </c>
      <c r="H2295">
        <v>2</v>
      </c>
      <c r="I2295" s="3">
        <v>5367.62</v>
      </c>
      <c r="J2295" s="3">
        <v>1644.76</v>
      </c>
      <c r="L2295">
        <v>5401</v>
      </c>
      <c r="M2295" t="s">
        <v>5386</v>
      </c>
      <c r="N2295" t="s">
        <v>30</v>
      </c>
      <c r="O2295" t="s">
        <v>31</v>
      </c>
      <c r="P2295" t="str">
        <f>"15232"</f>
        <v>15232</v>
      </c>
    </row>
    <row r="2296" spans="1:16" x14ac:dyDescent="0.25">
      <c r="A2296" t="str">
        <f>"1070052A00032    00"</f>
        <v>1070052A00032    00</v>
      </c>
      <c r="B2296" t="s">
        <v>5387</v>
      </c>
      <c r="C2296" t="s">
        <v>5388</v>
      </c>
      <c r="D2296" t="s">
        <v>20</v>
      </c>
      <c r="E2296" t="s">
        <v>21</v>
      </c>
      <c r="F2296">
        <v>0</v>
      </c>
      <c r="G2296">
        <v>0</v>
      </c>
      <c r="H2296">
        <v>2</v>
      </c>
      <c r="I2296" s="3">
        <v>7370.74</v>
      </c>
      <c r="J2296" s="3">
        <v>1067.73</v>
      </c>
      <c r="L2296">
        <v>3378</v>
      </c>
      <c r="M2296" t="s">
        <v>5389</v>
      </c>
      <c r="N2296" t="s">
        <v>5390</v>
      </c>
      <c r="O2296" t="s">
        <v>370</v>
      </c>
      <c r="P2296" t="str">
        <f>"34119"</f>
        <v>34119</v>
      </c>
    </row>
    <row r="2297" spans="1:16" x14ac:dyDescent="0.25">
      <c r="A2297" t="str">
        <f>"1070052A00041    00"</f>
        <v>1070052A00041    00</v>
      </c>
      <c r="B2297" t="s">
        <v>5391</v>
      </c>
      <c r="C2297" t="s">
        <v>5392</v>
      </c>
      <c r="E2297" t="s">
        <v>39</v>
      </c>
      <c r="F2297">
        <v>0</v>
      </c>
      <c r="G2297">
        <v>0</v>
      </c>
      <c r="H2297">
        <v>2</v>
      </c>
      <c r="I2297" s="3">
        <v>2559.8000000000002</v>
      </c>
      <c r="J2297" s="3">
        <v>799.05</v>
      </c>
      <c r="K2297" t="s">
        <v>5393</v>
      </c>
      <c r="L2297">
        <v>5851</v>
      </c>
      <c r="M2297" t="s">
        <v>2955</v>
      </c>
      <c r="N2297" t="s">
        <v>30</v>
      </c>
      <c r="O2297" t="s">
        <v>31</v>
      </c>
      <c r="P2297" t="str">
        <f>"15217"</f>
        <v>15217</v>
      </c>
    </row>
    <row r="2298" spans="1:16" x14ac:dyDescent="0.25">
      <c r="A2298" t="str">
        <f>"1070052A00063    00"</f>
        <v>1070052A00063    00</v>
      </c>
      <c r="B2298" t="s">
        <v>5394</v>
      </c>
      <c r="C2298" t="s">
        <v>5395</v>
      </c>
      <c r="E2298" t="s">
        <v>39</v>
      </c>
      <c r="F2298">
        <v>0</v>
      </c>
      <c r="G2298">
        <v>0</v>
      </c>
      <c r="H2298">
        <v>1</v>
      </c>
      <c r="I2298" s="3">
        <v>7626.63</v>
      </c>
      <c r="J2298" s="3">
        <v>3813.16</v>
      </c>
      <c r="K2298" t="s">
        <v>5396</v>
      </c>
      <c r="L2298">
        <v>3001</v>
      </c>
      <c r="M2298" t="s">
        <v>330</v>
      </c>
      <c r="N2298" t="s">
        <v>331</v>
      </c>
      <c r="O2298" t="s">
        <v>108</v>
      </c>
      <c r="P2298" t="str">
        <f>"75063"</f>
        <v>75063</v>
      </c>
    </row>
    <row r="2299" spans="1:16" x14ac:dyDescent="0.25">
      <c r="A2299" t="str">
        <f>"1070052A00072    00"</f>
        <v>1070052A00072    00</v>
      </c>
      <c r="B2299" t="s">
        <v>5397</v>
      </c>
      <c r="C2299" t="s">
        <v>5398</v>
      </c>
      <c r="D2299" t="s">
        <v>20</v>
      </c>
      <c r="E2299" t="s">
        <v>39</v>
      </c>
      <c r="F2299">
        <v>0</v>
      </c>
      <c r="G2299">
        <v>0</v>
      </c>
      <c r="H2299">
        <v>1</v>
      </c>
      <c r="I2299" s="3">
        <v>10439.17</v>
      </c>
      <c r="J2299" s="3">
        <v>0</v>
      </c>
      <c r="K2299" t="s">
        <v>725</v>
      </c>
      <c r="L2299">
        <v>1301</v>
      </c>
      <c r="M2299" t="s">
        <v>722</v>
      </c>
      <c r="N2299" t="s">
        <v>30</v>
      </c>
      <c r="O2299" t="s">
        <v>31</v>
      </c>
      <c r="P2299" t="str">
        <f>"15211"</f>
        <v>15211</v>
      </c>
    </row>
    <row r="2300" spans="1:16" x14ac:dyDescent="0.25">
      <c r="A2300" t="str">
        <f>"1070052A00137    00"</f>
        <v>1070052A00137    00</v>
      </c>
      <c r="B2300" t="s">
        <v>5399</v>
      </c>
      <c r="C2300" t="s">
        <v>5400</v>
      </c>
      <c r="E2300" t="s">
        <v>39</v>
      </c>
      <c r="F2300">
        <v>0</v>
      </c>
      <c r="G2300">
        <v>0</v>
      </c>
      <c r="H2300">
        <v>2</v>
      </c>
      <c r="I2300" s="3">
        <v>1592.86</v>
      </c>
      <c r="J2300" s="3">
        <v>26.56</v>
      </c>
      <c r="K2300" t="s">
        <v>5123</v>
      </c>
      <c r="L2300">
        <v>2704</v>
      </c>
      <c r="M2300" t="s">
        <v>5401</v>
      </c>
      <c r="N2300" t="s">
        <v>5402</v>
      </c>
      <c r="O2300" t="s">
        <v>370</v>
      </c>
      <c r="P2300" t="str">
        <f>"34683"</f>
        <v>34683</v>
      </c>
    </row>
    <row r="2301" spans="1:16" x14ac:dyDescent="0.25">
      <c r="A2301" t="str">
        <f>"1070052A00146    00"</f>
        <v>1070052A00146    00</v>
      </c>
      <c r="B2301" t="s">
        <v>5403</v>
      </c>
      <c r="C2301" t="s">
        <v>5404</v>
      </c>
      <c r="D2301" t="s">
        <v>20</v>
      </c>
      <c r="E2301" t="s">
        <v>39</v>
      </c>
      <c r="F2301">
        <v>0</v>
      </c>
      <c r="G2301">
        <v>0</v>
      </c>
      <c r="H2301">
        <v>2</v>
      </c>
      <c r="I2301" s="3">
        <v>11880.58</v>
      </c>
      <c r="J2301" s="3">
        <v>0</v>
      </c>
      <c r="K2301" t="s">
        <v>5405</v>
      </c>
      <c r="M2301" t="s">
        <v>5406</v>
      </c>
      <c r="N2301" t="s">
        <v>5407</v>
      </c>
      <c r="O2301" t="s">
        <v>273</v>
      </c>
      <c r="P2301" t="str">
        <f>"29502"</f>
        <v>29502</v>
      </c>
    </row>
    <row r="2302" spans="1:16" x14ac:dyDescent="0.25">
      <c r="A2302" t="str">
        <f>"1070052A00156    00"</f>
        <v>1070052A00156    00</v>
      </c>
      <c r="B2302" t="s">
        <v>5408</v>
      </c>
      <c r="C2302" t="s">
        <v>5409</v>
      </c>
      <c r="D2302" t="s">
        <v>20</v>
      </c>
      <c r="E2302" t="s">
        <v>39</v>
      </c>
      <c r="F2302">
        <v>0</v>
      </c>
      <c r="G2302">
        <v>0</v>
      </c>
      <c r="H2302">
        <v>4</v>
      </c>
      <c r="I2302" s="3">
        <v>22632</v>
      </c>
      <c r="J2302" s="3">
        <v>3334.67</v>
      </c>
      <c r="L2302">
        <v>1619</v>
      </c>
      <c r="M2302" t="s">
        <v>3580</v>
      </c>
      <c r="N2302" t="s">
        <v>30</v>
      </c>
      <c r="O2302" t="s">
        <v>31</v>
      </c>
      <c r="P2302" t="str">
        <f>"15217"</f>
        <v>15217</v>
      </c>
    </row>
    <row r="2303" spans="1:16" x14ac:dyDescent="0.25">
      <c r="A2303" t="str">
        <f>"1070052A00183010100"</f>
        <v>1070052A00183010100</v>
      </c>
      <c r="B2303" t="s">
        <v>5410</v>
      </c>
      <c r="C2303" t="s">
        <v>5411</v>
      </c>
      <c r="E2303" t="s">
        <v>39</v>
      </c>
      <c r="F2303">
        <v>0</v>
      </c>
      <c r="G2303">
        <v>0</v>
      </c>
      <c r="H2303">
        <v>1</v>
      </c>
      <c r="I2303" s="3">
        <v>1602.62</v>
      </c>
      <c r="J2303" s="3">
        <v>1188.57</v>
      </c>
      <c r="K2303" t="s">
        <v>1977</v>
      </c>
      <c r="L2303">
        <v>3001</v>
      </c>
      <c r="M2303" t="s">
        <v>330</v>
      </c>
      <c r="N2303" t="s">
        <v>331</v>
      </c>
      <c r="O2303" t="s">
        <v>108</v>
      </c>
      <c r="P2303" t="str">
        <f>"75063"</f>
        <v>75063</v>
      </c>
    </row>
    <row r="2304" spans="1:16" x14ac:dyDescent="0.25">
      <c r="A2304" t="str">
        <f>"1070052A00183010400"</f>
        <v>1070052A00183010400</v>
      </c>
      <c r="B2304" t="s">
        <v>5412</v>
      </c>
      <c r="C2304" t="s">
        <v>5413</v>
      </c>
      <c r="D2304" t="s">
        <v>20</v>
      </c>
      <c r="E2304" t="s">
        <v>39</v>
      </c>
      <c r="F2304">
        <v>0</v>
      </c>
      <c r="G2304">
        <v>0</v>
      </c>
      <c r="H2304">
        <v>2</v>
      </c>
      <c r="I2304" s="3">
        <v>4830.78</v>
      </c>
      <c r="J2304" s="3">
        <v>0</v>
      </c>
      <c r="K2304" t="s">
        <v>5414</v>
      </c>
      <c r="L2304">
        <v>425</v>
      </c>
      <c r="M2304" t="s">
        <v>5415</v>
      </c>
      <c r="N2304" t="s">
        <v>30</v>
      </c>
      <c r="O2304" t="s">
        <v>31</v>
      </c>
      <c r="P2304" t="str">
        <f>"15213"</f>
        <v>15213</v>
      </c>
    </row>
    <row r="2305" spans="1:16" x14ac:dyDescent="0.25">
      <c r="A2305" t="str">
        <f>"1070052A00188    00"</f>
        <v>1070052A00188    00</v>
      </c>
      <c r="B2305" t="s">
        <v>5416</v>
      </c>
      <c r="C2305" t="s">
        <v>5417</v>
      </c>
      <c r="E2305" t="s">
        <v>39</v>
      </c>
      <c r="F2305">
        <v>0</v>
      </c>
      <c r="G2305">
        <v>0</v>
      </c>
      <c r="H2305">
        <v>1</v>
      </c>
      <c r="I2305" s="3">
        <v>1132.1600000000001</v>
      </c>
      <c r="J2305" s="3">
        <v>0</v>
      </c>
      <c r="K2305" t="s">
        <v>5418</v>
      </c>
      <c r="L2305">
        <v>4711</v>
      </c>
      <c r="M2305" t="s">
        <v>5419</v>
      </c>
      <c r="N2305" t="s">
        <v>30</v>
      </c>
      <c r="O2305" t="s">
        <v>31</v>
      </c>
      <c r="P2305" t="str">
        <f>"15213"</f>
        <v>15213</v>
      </c>
    </row>
    <row r="2306" spans="1:16" x14ac:dyDescent="0.25">
      <c r="A2306" t="str">
        <f>"1070052A00218    00"</f>
        <v>1070052A00218    00</v>
      </c>
      <c r="B2306" t="s">
        <v>5420</v>
      </c>
      <c r="C2306" t="s">
        <v>5421</v>
      </c>
      <c r="E2306" t="s">
        <v>39</v>
      </c>
      <c r="F2306">
        <v>0</v>
      </c>
      <c r="G2306">
        <v>0</v>
      </c>
      <c r="H2306">
        <v>1</v>
      </c>
      <c r="I2306" s="3">
        <v>8417.6200000000008</v>
      </c>
      <c r="J2306" s="3">
        <v>2314.75</v>
      </c>
      <c r="K2306" t="s">
        <v>5422</v>
      </c>
      <c r="L2306">
        <v>515</v>
      </c>
      <c r="M2306" t="s">
        <v>4219</v>
      </c>
      <c r="N2306" t="s">
        <v>30</v>
      </c>
      <c r="O2306" t="s">
        <v>31</v>
      </c>
      <c r="P2306" t="str">
        <f>"15232"</f>
        <v>15232</v>
      </c>
    </row>
    <row r="2307" spans="1:16" x14ac:dyDescent="0.25">
      <c r="A2307" t="str">
        <f>"1070052A00222    00"</f>
        <v>1070052A00222    00</v>
      </c>
      <c r="B2307" t="s">
        <v>5423</v>
      </c>
      <c r="C2307" t="s">
        <v>5424</v>
      </c>
      <c r="D2307" t="s">
        <v>20</v>
      </c>
      <c r="E2307" t="s">
        <v>39</v>
      </c>
      <c r="F2307">
        <v>0</v>
      </c>
      <c r="G2307">
        <v>0</v>
      </c>
      <c r="H2307">
        <v>2</v>
      </c>
      <c r="I2307" s="3">
        <v>15183.22</v>
      </c>
      <c r="J2307" s="3">
        <v>0</v>
      </c>
      <c r="K2307" t="s">
        <v>563</v>
      </c>
      <c r="L2307">
        <v>3001</v>
      </c>
      <c r="M2307" t="s">
        <v>330</v>
      </c>
      <c r="N2307" t="s">
        <v>331</v>
      </c>
      <c r="O2307" t="s">
        <v>108</v>
      </c>
      <c r="P2307" t="str">
        <f>"75063"</f>
        <v>75063</v>
      </c>
    </row>
    <row r="2308" spans="1:16" x14ac:dyDescent="0.25">
      <c r="A2308" t="str">
        <f>"1070052A00262    00"</f>
        <v>1070052A00262    00</v>
      </c>
      <c r="B2308" t="s">
        <v>5425</v>
      </c>
      <c r="C2308" t="s">
        <v>5426</v>
      </c>
      <c r="E2308" t="s">
        <v>39</v>
      </c>
      <c r="F2308">
        <v>0</v>
      </c>
      <c r="G2308">
        <v>0</v>
      </c>
      <c r="H2308">
        <v>2</v>
      </c>
      <c r="I2308" s="3">
        <v>8417.7099999999991</v>
      </c>
      <c r="J2308" s="3">
        <v>2515</v>
      </c>
      <c r="K2308" t="s">
        <v>400</v>
      </c>
      <c r="L2308">
        <v>3001</v>
      </c>
      <c r="M2308" t="s">
        <v>330</v>
      </c>
      <c r="N2308" t="s">
        <v>331</v>
      </c>
      <c r="O2308" t="s">
        <v>108</v>
      </c>
      <c r="P2308" t="str">
        <f>"75063"</f>
        <v>75063</v>
      </c>
    </row>
    <row r="2309" spans="1:16" x14ac:dyDescent="0.25">
      <c r="A2309" t="str">
        <f>"1070052B00012    00"</f>
        <v>1070052B00012    00</v>
      </c>
      <c r="B2309" t="s">
        <v>5427</v>
      </c>
      <c r="C2309" t="s">
        <v>5428</v>
      </c>
      <c r="E2309" t="s">
        <v>39</v>
      </c>
      <c r="F2309">
        <v>0</v>
      </c>
      <c r="G2309">
        <v>0</v>
      </c>
      <c r="H2309">
        <v>1</v>
      </c>
      <c r="I2309" s="3">
        <v>96.21</v>
      </c>
      <c r="J2309" s="3">
        <v>0</v>
      </c>
      <c r="K2309" t="s">
        <v>5429</v>
      </c>
      <c r="L2309">
        <v>4922</v>
      </c>
      <c r="M2309" t="s">
        <v>1951</v>
      </c>
      <c r="N2309" t="s">
        <v>30</v>
      </c>
      <c r="O2309" t="s">
        <v>31</v>
      </c>
      <c r="P2309" t="str">
        <f>"15213"</f>
        <v>15213</v>
      </c>
    </row>
    <row r="2310" spans="1:16" x14ac:dyDescent="0.25">
      <c r="A2310" t="str">
        <f>"1070052B00016    00"</f>
        <v>1070052B00016    00</v>
      </c>
      <c r="B2310" t="s">
        <v>5430</v>
      </c>
      <c r="C2310" t="s">
        <v>5431</v>
      </c>
      <c r="E2310" t="s">
        <v>39</v>
      </c>
      <c r="F2310">
        <v>0</v>
      </c>
      <c r="G2310">
        <v>0</v>
      </c>
      <c r="H2310">
        <v>1</v>
      </c>
      <c r="I2310" s="3">
        <v>172</v>
      </c>
      <c r="J2310" s="3">
        <v>47.3</v>
      </c>
      <c r="K2310" t="s">
        <v>5432</v>
      </c>
      <c r="L2310">
        <v>3001</v>
      </c>
      <c r="M2310" t="s">
        <v>330</v>
      </c>
      <c r="N2310" t="s">
        <v>331</v>
      </c>
      <c r="O2310" t="s">
        <v>108</v>
      </c>
      <c r="P2310" t="str">
        <f>"75063"</f>
        <v>75063</v>
      </c>
    </row>
    <row r="2311" spans="1:16" x14ac:dyDescent="0.25">
      <c r="A2311" t="str">
        <f>"1070052B00049    00"</f>
        <v>1070052B00049    00</v>
      </c>
      <c r="B2311" t="s">
        <v>5433</v>
      </c>
      <c r="C2311" t="s">
        <v>5434</v>
      </c>
      <c r="D2311" t="s">
        <v>20</v>
      </c>
      <c r="E2311" t="s">
        <v>39</v>
      </c>
      <c r="F2311">
        <v>0</v>
      </c>
      <c r="G2311">
        <v>0</v>
      </c>
      <c r="H2311">
        <v>1</v>
      </c>
      <c r="I2311" s="3">
        <v>1704.12</v>
      </c>
      <c r="J2311" s="3">
        <v>0</v>
      </c>
      <c r="K2311" t="s">
        <v>4992</v>
      </c>
      <c r="L2311">
        <v>18111</v>
      </c>
      <c r="M2311" t="s">
        <v>4993</v>
      </c>
      <c r="N2311" t="s">
        <v>107</v>
      </c>
      <c r="O2311" t="s">
        <v>108</v>
      </c>
      <c r="P2311" t="str">
        <f>"75252"</f>
        <v>75252</v>
      </c>
    </row>
    <row r="2312" spans="1:16" x14ac:dyDescent="0.25">
      <c r="A2312" t="str">
        <f>"1070052B00058    00"</f>
        <v>1070052B00058    00</v>
      </c>
      <c r="B2312" t="s">
        <v>5435</v>
      </c>
      <c r="C2312" t="s">
        <v>5436</v>
      </c>
      <c r="E2312" t="s">
        <v>39</v>
      </c>
      <c r="F2312">
        <v>0</v>
      </c>
      <c r="G2312">
        <v>0</v>
      </c>
      <c r="H2312">
        <v>2</v>
      </c>
      <c r="I2312" s="3">
        <v>7246.2</v>
      </c>
      <c r="J2312" s="3">
        <v>495.54</v>
      </c>
      <c r="K2312" t="s">
        <v>5437</v>
      </c>
      <c r="L2312">
        <v>432</v>
      </c>
      <c r="M2312" t="s">
        <v>5438</v>
      </c>
      <c r="N2312" t="s">
        <v>30</v>
      </c>
      <c r="O2312" t="s">
        <v>31</v>
      </c>
      <c r="P2312" t="str">
        <f>"15213"</f>
        <v>15213</v>
      </c>
    </row>
    <row r="2313" spans="1:16" x14ac:dyDescent="0.25">
      <c r="A2313" t="str">
        <f>"1070052B00098010300"</f>
        <v>1070052B00098010300</v>
      </c>
      <c r="B2313" t="s">
        <v>5439</v>
      </c>
      <c r="C2313" t="s">
        <v>5440</v>
      </c>
      <c r="D2313" t="s">
        <v>20</v>
      </c>
      <c r="E2313" t="s">
        <v>39</v>
      </c>
      <c r="F2313">
        <v>0</v>
      </c>
      <c r="G2313">
        <v>0</v>
      </c>
      <c r="H2313">
        <v>2</v>
      </c>
      <c r="I2313" s="3">
        <v>4028.39</v>
      </c>
      <c r="J2313" s="3">
        <v>805.28</v>
      </c>
      <c r="L2313">
        <v>5</v>
      </c>
      <c r="M2313" t="s">
        <v>5441</v>
      </c>
      <c r="N2313" t="s">
        <v>30</v>
      </c>
      <c r="O2313" t="s">
        <v>31</v>
      </c>
      <c r="P2313" t="str">
        <f>"15213"</f>
        <v>15213</v>
      </c>
    </row>
    <row r="2314" spans="1:16" x14ac:dyDescent="0.25">
      <c r="A2314" t="str">
        <f>"1070052B00098030500"</f>
        <v>1070052B00098030500</v>
      </c>
      <c r="B2314" t="s">
        <v>5442</v>
      </c>
      <c r="C2314" t="s">
        <v>5443</v>
      </c>
      <c r="D2314" t="s">
        <v>20</v>
      </c>
      <c r="E2314" t="s">
        <v>39</v>
      </c>
      <c r="F2314">
        <v>0</v>
      </c>
      <c r="G2314">
        <v>0</v>
      </c>
      <c r="H2314">
        <v>1</v>
      </c>
      <c r="I2314" s="3">
        <v>1193.6300000000001</v>
      </c>
      <c r="J2314" s="3">
        <v>0</v>
      </c>
      <c r="L2314">
        <v>5</v>
      </c>
      <c r="M2314" t="s">
        <v>5444</v>
      </c>
      <c r="N2314" t="s">
        <v>30</v>
      </c>
      <c r="O2314" t="s">
        <v>31</v>
      </c>
      <c r="P2314" t="str">
        <f>"15213"</f>
        <v>15213</v>
      </c>
    </row>
    <row r="2315" spans="1:16" x14ac:dyDescent="0.25">
      <c r="A2315" t="str">
        <f>"1070052B00098031200"</f>
        <v>1070052B00098031200</v>
      </c>
      <c r="B2315" t="s">
        <v>5445</v>
      </c>
      <c r="C2315" t="s">
        <v>5446</v>
      </c>
      <c r="D2315" t="s">
        <v>20</v>
      </c>
      <c r="E2315" t="s">
        <v>39</v>
      </c>
      <c r="F2315">
        <v>0</v>
      </c>
      <c r="G2315">
        <v>0</v>
      </c>
      <c r="H2315">
        <v>1</v>
      </c>
      <c r="I2315" s="3">
        <v>2876.16</v>
      </c>
      <c r="J2315" s="3">
        <v>0</v>
      </c>
      <c r="K2315" t="s">
        <v>5447</v>
      </c>
      <c r="L2315">
        <v>5</v>
      </c>
      <c r="M2315" t="s">
        <v>5448</v>
      </c>
      <c r="N2315" t="s">
        <v>30</v>
      </c>
      <c r="O2315" t="s">
        <v>31</v>
      </c>
      <c r="P2315" t="str">
        <f>"15213"</f>
        <v>15213</v>
      </c>
    </row>
    <row r="2316" spans="1:16" x14ac:dyDescent="0.25">
      <c r="A2316" t="str">
        <f>"1070052B00098031800"</f>
        <v>1070052B00098031800</v>
      </c>
      <c r="B2316" t="s">
        <v>5449</v>
      </c>
      <c r="C2316" t="s">
        <v>5450</v>
      </c>
      <c r="E2316" t="s">
        <v>39</v>
      </c>
      <c r="F2316">
        <v>0</v>
      </c>
      <c r="G2316">
        <v>0</v>
      </c>
      <c r="H2316">
        <v>1</v>
      </c>
      <c r="I2316" s="3">
        <v>31.67</v>
      </c>
      <c r="J2316" s="3">
        <v>23.49</v>
      </c>
      <c r="K2316" t="s">
        <v>1632</v>
      </c>
      <c r="M2316" t="s">
        <v>1633</v>
      </c>
      <c r="N2316" t="s">
        <v>1634</v>
      </c>
      <c r="O2316" t="s">
        <v>25</v>
      </c>
      <c r="P2316" t="str">
        <f>"45401"</f>
        <v>45401</v>
      </c>
    </row>
    <row r="2317" spans="1:16" x14ac:dyDescent="0.25">
      <c r="A2317" t="str">
        <f>"1070052B00098040700"</f>
        <v>1070052B00098040700</v>
      </c>
      <c r="B2317" t="s">
        <v>5451</v>
      </c>
      <c r="C2317" t="s">
        <v>5452</v>
      </c>
      <c r="D2317" t="s">
        <v>20</v>
      </c>
      <c r="E2317" t="s">
        <v>39</v>
      </c>
      <c r="F2317">
        <v>0</v>
      </c>
      <c r="G2317">
        <v>0</v>
      </c>
      <c r="H2317">
        <v>1</v>
      </c>
      <c r="I2317" s="3">
        <v>1717.32</v>
      </c>
      <c r="J2317" s="3">
        <v>0</v>
      </c>
      <c r="L2317">
        <v>5</v>
      </c>
      <c r="M2317" t="s">
        <v>5453</v>
      </c>
      <c r="N2317" t="s">
        <v>30</v>
      </c>
      <c r="O2317" t="s">
        <v>31</v>
      </c>
      <c r="P2317" t="str">
        <f>"15213"</f>
        <v>15213</v>
      </c>
    </row>
    <row r="2318" spans="1:16" x14ac:dyDescent="0.25">
      <c r="A2318" t="str">
        <f>"1070052B00098041300"</f>
        <v>1070052B00098041300</v>
      </c>
      <c r="B2318" t="s">
        <v>5454</v>
      </c>
      <c r="C2318" t="s">
        <v>5455</v>
      </c>
      <c r="D2318" t="s">
        <v>20</v>
      </c>
      <c r="E2318" t="s">
        <v>39</v>
      </c>
      <c r="F2318">
        <v>0</v>
      </c>
      <c r="G2318">
        <v>0</v>
      </c>
      <c r="H2318">
        <v>1</v>
      </c>
      <c r="I2318" s="3">
        <v>1311.96</v>
      </c>
      <c r="J2318" s="3">
        <v>0</v>
      </c>
      <c r="K2318" t="s">
        <v>1435</v>
      </c>
      <c r="M2318" t="s">
        <v>271</v>
      </c>
      <c r="N2318" t="s">
        <v>272</v>
      </c>
      <c r="O2318" t="s">
        <v>273</v>
      </c>
      <c r="P2318" t="str">
        <f>"29603"</f>
        <v>29603</v>
      </c>
    </row>
    <row r="2319" spans="1:16" x14ac:dyDescent="0.25">
      <c r="A2319" t="str">
        <f>"1070052B00098080100"</f>
        <v>1070052B00098080100</v>
      </c>
      <c r="B2319" t="s">
        <v>5456</v>
      </c>
      <c r="C2319" t="s">
        <v>5457</v>
      </c>
      <c r="D2319" t="s">
        <v>20</v>
      </c>
      <c r="E2319" t="s">
        <v>39</v>
      </c>
      <c r="F2319">
        <v>0</v>
      </c>
      <c r="G2319">
        <v>0</v>
      </c>
      <c r="H2319">
        <v>2</v>
      </c>
      <c r="I2319" s="3">
        <v>2162.38</v>
      </c>
      <c r="J2319" s="3">
        <v>0</v>
      </c>
      <c r="K2319" t="s">
        <v>759</v>
      </c>
      <c r="L2319">
        <v>3001</v>
      </c>
      <c r="M2319" t="s">
        <v>404</v>
      </c>
      <c r="N2319" t="s">
        <v>331</v>
      </c>
      <c r="O2319" t="s">
        <v>108</v>
      </c>
      <c r="P2319" t="str">
        <f>"75063"</f>
        <v>75063</v>
      </c>
    </row>
    <row r="2320" spans="1:16" x14ac:dyDescent="0.25">
      <c r="A2320" t="str">
        <f>"1070052B00098091100"</f>
        <v>1070052B00098091100</v>
      </c>
      <c r="B2320" t="s">
        <v>5458</v>
      </c>
      <c r="C2320" t="s">
        <v>5459</v>
      </c>
      <c r="D2320" t="s">
        <v>20</v>
      </c>
      <c r="E2320" t="s">
        <v>39</v>
      </c>
      <c r="F2320">
        <v>0</v>
      </c>
      <c r="G2320">
        <v>0</v>
      </c>
      <c r="H2320">
        <v>1</v>
      </c>
      <c r="I2320" s="3">
        <v>1744</v>
      </c>
      <c r="J2320" s="3">
        <v>0</v>
      </c>
      <c r="K2320" t="s">
        <v>5460</v>
      </c>
      <c r="L2320">
        <v>5</v>
      </c>
      <c r="M2320" t="s">
        <v>5461</v>
      </c>
      <c r="N2320" t="s">
        <v>30</v>
      </c>
      <c r="O2320" t="s">
        <v>31</v>
      </c>
      <c r="P2320" t="str">
        <f>"15213"</f>
        <v>15213</v>
      </c>
    </row>
    <row r="2321" spans="1:16" x14ac:dyDescent="0.25">
      <c r="A2321" t="str">
        <f>"1070052B00168    00"</f>
        <v>1070052B00168    00</v>
      </c>
      <c r="B2321" t="s">
        <v>5462</v>
      </c>
      <c r="C2321" t="s">
        <v>5463</v>
      </c>
      <c r="D2321" t="s">
        <v>20</v>
      </c>
      <c r="E2321" t="s">
        <v>39</v>
      </c>
      <c r="F2321">
        <v>0</v>
      </c>
      <c r="G2321">
        <v>0</v>
      </c>
      <c r="H2321">
        <v>1</v>
      </c>
      <c r="I2321" s="3">
        <v>1948.35</v>
      </c>
      <c r="J2321" s="3">
        <v>779.31</v>
      </c>
      <c r="K2321" t="s">
        <v>4992</v>
      </c>
      <c r="L2321">
        <v>18111</v>
      </c>
      <c r="M2321" t="s">
        <v>4993</v>
      </c>
      <c r="N2321" t="s">
        <v>107</v>
      </c>
      <c r="O2321" t="s">
        <v>108</v>
      </c>
      <c r="P2321" t="str">
        <f>"75252"</f>
        <v>75252</v>
      </c>
    </row>
    <row r="2322" spans="1:16" x14ac:dyDescent="0.25">
      <c r="A2322" t="str">
        <f>"1070052B00192    00"</f>
        <v>1070052B00192    00</v>
      </c>
      <c r="B2322" t="s">
        <v>5464</v>
      </c>
      <c r="C2322" t="s">
        <v>5465</v>
      </c>
      <c r="D2322" t="s">
        <v>20</v>
      </c>
      <c r="E2322" t="s">
        <v>39</v>
      </c>
      <c r="F2322">
        <v>0</v>
      </c>
      <c r="G2322">
        <v>0</v>
      </c>
      <c r="H2322">
        <v>5</v>
      </c>
      <c r="I2322" s="3">
        <v>20144.11</v>
      </c>
      <c r="J2322" s="3">
        <v>7557.71</v>
      </c>
      <c r="L2322">
        <v>525</v>
      </c>
      <c r="M2322" t="s">
        <v>5466</v>
      </c>
      <c r="N2322" t="s">
        <v>30</v>
      </c>
      <c r="O2322" t="s">
        <v>31</v>
      </c>
      <c r="P2322" t="str">
        <f>"15213"</f>
        <v>15213</v>
      </c>
    </row>
    <row r="2323" spans="1:16" x14ac:dyDescent="0.25">
      <c r="A2323" t="str">
        <f>"1070052B00267    00"</f>
        <v>1070052B00267    00</v>
      </c>
      <c r="B2323" t="s">
        <v>5467</v>
      </c>
      <c r="C2323" t="s">
        <v>5468</v>
      </c>
      <c r="E2323" t="s">
        <v>39</v>
      </c>
      <c r="F2323">
        <v>0</v>
      </c>
      <c r="G2323">
        <v>0</v>
      </c>
      <c r="H2323">
        <v>1</v>
      </c>
      <c r="I2323" s="3">
        <v>2136.64</v>
      </c>
      <c r="J2323" s="3">
        <v>213.65</v>
      </c>
      <c r="K2323" t="s">
        <v>400</v>
      </c>
      <c r="L2323">
        <v>3001</v>
      </c>
      <c r="M2323" t="s">
        <v>330</v>
      </c>
      <c r="N2323" t="s">
        <v>331</v>
      </c>
      <c r="O2323" t="s">
        <v>108</v>
      </c>
      <c r="P2323" t="str">
        <f>"75063"</f>
        <v>75063</v>
      </c>
    </row>
    <row r="2324" spans="1:16" x14ac:dyDescent="0.25">
      <c r="A2324" t="str">
        <f>"1070052C00010    00"</f>
        <v>1070052C00010    00</v>
      </c>
      <c r="B2324" t="s">
        <v>5469</v>
      </c>
      <c r="C2324" t="s">
        <v>5470</v>
      </c>
      <c r="E2324" t="s">
        <v>39</v>
      </c>
      <c r="F2324">
        <v>0</v>
      </c>
      <c r="G2324">
        <v>0</v>
      </c>
      <c r="H2324">
        <v>2</v>
      </c>
      <c r="I2324" s="3">
        <v>3051.78</v>
      </c>
      <c r="J2324" s="3">
        <v>208.69</v>
      </c>
      <c r="K2324" t="s">
        <v>1030</v>
      </c>
      <c r="M2324" t="s">
        <v>1031</v>
      </c>
      <c r="N2324" t="s">
        <v>1032</v>
      </c>
      <c r="O2324" t="s">
        <v>25</v>
      </c>
      <c r="P2324" t="str">
        <f>"44711"</f>
        <v>44711</v>
      </c>
    </row>
    <row r="2325" spans="1:16" x14ac:dyDescent="0.25">
      <c r="A2325" t="str">
        <f>"1070052C00029    00"</f>
        <v>1070052C00029    00</v>
      </c>
      <c r="B2325" t="s">
        <v>5471</v>
      </c>
      <c r="C2325" t="s">
        <v>5472</v>
      </c>
      <c r="D2325" t="s">
        <v>20</v>
      </c>
      <c r="E2325" t="s">
        <v>39</v>
      </c>
      <c r="F2325">
        <v>0</v>
      </c>
      <c r="G2325">
        <v>0</v>
      </c>
      <c r="H2325">
        <v>1</v>
      </c>
      <c r="I2325" s="3">
        <v>1698.26</v>
      </c>
      <c r="J2325" s="3">
        <v>0</v>
      </c>
      <c r="K2325" t="s">
        <v>881</v>
      </c>
      <c r="L2325">
        <v>3001</v>
      </c>
      <c r="M2325" t="s">
        <v>330</v>
      </c>
      <c r="N2325" t="s">
        <v>331</v>
      </c>
      <c r="O2325" t="s">
        <v>108</v>
      </c>
      <c r="P2325" t="str">
        <f>"75063"</f>
        <v>75063</v>
      </c>
    </row>
    <row r="2326" spans="1:16" x14ac:dyDescent="0.25">
      <c r="A2326" t="str">
        <f>"1070052C00053    00"</f>
        <v>1070052C00053    00</v>
      </c>
      <c r="B2326" t="s">
        <v>5473</v>
      </c>
      <c r="C2326" t="s">
        <v>5474</v>
      </c>
      <c r="E2326" t="s">
        <v>39</v>
      </c>
      <c r="F2326">
        <v>0</v>
      </c>
      <c r="G2326">
        <v>0</v>
      </c>
      <c r="H2326">
        <v>2</v>
      </c>
      <c r="I2326" s="3">
        <v>1986.08</v>
      </c>
      <c r="J2326" s="3">
        <v>99.29</v>
      </c>
      <c r="K2326" t="s">
        <v>5355</v>
      </c>
      <c r="L2326">
        <v>3001</v>
      </c>
      <c r="M2326" t="s">
        <v>404</v>
      </c>
      <c r="N2326" t="s">
        <v>331</v>
      </c>
      <c r="O2326" t="s">
        <v>108</v>
      </c>
      <c r="P2326" t="str">
        <f>"75063"</f>
        <v>75063</v>
      </c>
    </row>
    <row r="2327" spans="1:16" x14ac:dyDescent="0.25">
      <c r="A2327" t="str">
        <f>"1070052C00059    00"</f>
        <v>1070052C00059    00</v>
      </c>
      <c r="B2327" t="s">
        <v>5475</v>
      </c>
      <c r="C2327" t="s">
        <v>5476</v>
      </c>
      <c r="E2327" t="s">
        <v>39</v>
      </c>
      <c r="F2327">
        <v>0</v>
      </c>
      <c r="G2327">
        <v>0</v>
      </c>
      <c r="H2327">
        <v>2</v>
      </c>
      <c r="I2327" s="3">
        <v>4399.04</v>
      </c>
      <c r="J2327" s="3">
        <v>183.29</v>
      </c>
      <c r="K2327" t="s">
        <v>4801</v>
      </c>
      <c r="L2327">
        <v>1</v>
      </c>
      <c r="M2327" t="s">
        <v>4802</v>
      </c>
      <c r="N2327" t="s">
        <v>4803</v>
      </c>
      <c r="O2327" t="s">
        <v>554</v>
      </c>
      <c r="P2327" t="str">
        <f>"26003"</f>
        <v>26003</v>
      </c>
    </row>
    <row r="2328" spans="1:16" x14ac:dyDescent="0.25">
      <c r="A2328" t="str">
        <f>"1070052C00098    00"</f>
        <v>1070052C00098    00</v>
      </c>
      <c r="B2328" t="s">
        <v>5477</v>
      </c>
      <c r="C2328" t="s">
        <v>5478</v>
      </c>
      <c r="D2328" t="s">
        <v>20</v>
      </c>
      <c r="E2328" t="s">
        <v>39</v>
      </c>
      <c r="F2328">
        <v>0</v>
      </c>
      <c r="G2328">
        <v>0</v>
      </c>
      <c r="H2328">
        <v>1</v>
      </c>
      <c r="I2328" s="3">
        <v>2420.15</v>
      </c>
      <c r="J2328" s="3">
        <v>0</v>
      </c>
      <c r="L2328">
        <v>5225</v>
      </c>
      <c r="M2328" t="s">
        <v>1740</v>
      </c>
      <c r="N2328" t="s">
        <v>30</v>
      </c>
      <c r="O2328" t="s">
        <v>31</v>
      </c>
      <c r="P2328" t="str">
        <f>"15232"</f>
        <v>15232</v>
      </c>
    </row>
    <row r="2329" spans="1:16" x14ac:dyDescent="0.25">
      <c r="A2329" t="str">
        <f>"1070052C00109    00"</f>
        <v>1070052C00109    00</v>
      </c>
      <c r="B2329" t="s">
        <v>5479</v>
      </c>
      <c r="C2329" t="s">
        <v>5480</v>
      </c>
      <c r="E2329" t="s">
        <v>39</v>
      </c>
      <c r="F2329">
        <v>0</v>
      </c>
      <c r="G2329">
        <v>0</v>
      </c>
      <c r="H2329">
        <v>1</v>
      </c>
      <c r="I2329" s="3">
        <v>2133.02</v>
      </c>
      <c r="J2329" s="3">
        <v>586.54999999999995</v>
      </c>
      <c r="K2329" t="s">
        <v>881</v>
      </c>
      <c r="L2329">
        <v>3001</v>
      </c>
      <c r="M2329" t="s">
        <v>330</v>
      </c>
      <c r="N2329" t="s">
        <v>331</v>
      </c>
      <c r="O2329" t="s">
        <v>108</v>
      </c>
      <c r="P2329" t="str">
        <f>"75063"</f>
        <v>75063</v>
      </c>
    </row>
    <row r="2330" spans="1:16" x14ac:dyDescent="0.25">
      <c r="A2330" t="str">
        <f>"1070052C00139    00"</f>
        <v>1070052C00139    00</v>
      </c>
      <c r="B2330" t="s">
        <v>5481</v>
      </c>
      <c r="C2330" t="s">
        <v>5482</v>
      </c>
      <c r="E2330" t="s">
        <v>39</v>
      </c>
      <c r="F2330">
        <v>0</v>
      </c>
      <c r="G2330">
        <v>0</v>
      </c>
      <c r="H2330">
        <v>1</v>
      </c>
      <c r="I2330" s="3">
        <v>1712.96</v>
      </c>
      <c r="J2330" s="3">
        <v>481.09</v>
      </c>
      <c r="K2330" t="s">
        <v>5483</v>
      </c>
      <c r="L2330">
        <v>5301</v>
      </c>
      <c r="M2330" t="s">
        <v>1740</v>
      </c>
      <c r="N2330" t="s">
        <v>30</v>
      </c>
      <c r="O2330" t="s">
        <v>31</v>
      </c>
      <c r="P2330" t="str">
        <f>"15232"</f>
        <v>15232</v>
      </c>
    </row>
    <row r="2331" spans="1:16" x14ac:dyDescent="0.25">
      <c r="A2331" t="str">
        <f>"1070052C00147    00"</f>
        <v>1070052C00147    00</v>
      </c>
      <c r="B2331" t="s">
        <v>5484</v>
      </c>
      <c r="C2331" t="s">
        <v>5485</v>
      </c>
      <c r="D2331" t="s">
        <v>57</v>
      </c>
      <c r="E2331" t="s">
        <v>39</v>
      </c>
      <c r="F2331">
        <v>0</v>
      </c>
      <c r="G2331">
        <v>0</v>
      </c>
      <c r="H2331">
        <v>1</v>
      </c>
      <c r="I2331" s="3">
        <v>1862.19</v>
      </c>
      <c r="J2331" s="3">
        <v>837.95</v>
      </c>
      <c r="K2331" t="s">
        <v>1632</v>
      </c>
      <c r="M2331" t="s">
        <v>1633</v>
      </c>
      <c r="N2331" t="s">
        <v>1634</v>
      </c>
      <c r="O2331" t="s">
        <v>25</v>
      </c>
      <c r="P2331" t="str">
        <f>"45401"</f>
        <v>45401</v>
      </c>
    </row>
    <row r="2332" spans="1:16" x14ac:dyDescent="0.25">
      <c r="A2332" t="str">
        <f>"1070052C00149    00"</f>
        <v>1070052C00149    00</v>
      </c>
      <c r="B2332" t="s">
        <v>5486</v>
      </c>
      <c r="C2332" t="s">
        <v>5487</v>
      </c>
      <c r="D2332" t="s">
        <v>20</v>
      </c>
      <c r="E2332" t="s">
        <v>39</v>
      </c>
      <c r="F2332">
        <v>0</v>
      </c>
      <c r="G2332">
        <v>0</v>
      </c>
      <c r="H2332">
        <v>2</v>
      </c>
      <c r="I2332" s="3">
        <v>8698.91</v>
      </c>
      <c r="J2332" s="3">
        <v>0</v>
      </c>
      <c r="L2332">
        <v>5308</v>
      </c>
      <c r="M2332" t="s">
        <v>1740</v>
      </c>
      <c r="N2332" t="s">
        <v>30</v>
      </c>
      <c r="O2332" t="s">
        <v>31</v>
      </c>
      <c r="P2332" t="str">
        <f>"15232"</f>
        <v>15232</v>
      </c>
    </row>
    <row r="2333" spans="1:16" x14ac:dyDescent="0.25">
      <c r="A2333" t="str">
        <f>"1070052C00164070300"</f>
        <v>1070052C00164070300</v>
      </c>
      <c r="B2333" t="s">
        <v>5488</v>
      </c>
      <c r="C2333" t="s">
        <v>5489</v>
      </c>
      <c r="E2333" t="s">
        <v>39</v>
      </c>
      <c r="F2333">
        <v>0</v>
      </c>
      <c r="G2333">
        <v>0</v>
      </c>
      <c r="H2333">
        <v>2</v>
      </c>
      <c r="I2333" s="3">
        <v>2302.44</v>
      </c>
      <c r="J2333" s="3">
        <v>76.739999999999995</v>
      </c>
      <c r="K2333" t="s">
        <v>5490</v>
      </c>
      <c r="L2333">
        <v>703</v>
      </c>
      <c r="M2333" t="s">
        <v>5491</v>
      </c>
      <c r="N2333" t="s">
        <v>30</v>
      </c>
      <c r="O2333" t="s">
        <v>31</v>
      </c>
      <c r="P2333" t="str">
        <f>"15232"</f>
        <v>15232</v>
      </c>
    </row>
    <row r="2334" spans="1:16" x14ac:dyDescent="0.25">
      <c r="A2334" t="str">
        <f>"1070052C00198    00"</f>
        <v>1070052C00198    00</v>
      </c>
      <c r="B2334" t="s">
        <v>5492</v>
      </c>
      <c r="C2334" t="s">
        <v>5493</v>
      </c>
      <c r="E2334" t="s">
        <v>39</v>
      </c>
      <c r="F2334">
        <v>0</v>
      </c>
      <c r="G2334">
        <v>0</v>
      </c>
      <c r="H2334">
        <v>2</v>
      </c>
      <c r="I2334" s="3">
        <v>3324.91</v>
      </c>
      <c r="J2334" s="3">
        <v>227.37</v>
      </c>
      <c r="K2334" t="s">
        <v>563</v>
      </c>
      <c r="L2334">
        <v>3001</v>
      </c>
      <c r="M2334" t="s">
        <v>330</v>
      </c>
      <c r="N2334" t="s">
        <v>331</v>
      </c>
      <c r="O2334" t="s">
        <v>108</v>
      </c>
      <c r="P2334" t="str">
        <f>"75063"</f>
        <v>75063</v>
      </c>
    </row>
    <row r="2335" spans="1:16" x14ac:dyDescent="0.25">
      <c r="A2335" t="str">
        <f>"1070052C00224    00"</f>
        <v>1070052C00224    00</v>
      </c>
      <c r="B2335" t="s">
        <v>5494</v>
      </c>
      <c r="C2335" t="s">
        <v>5495</v>
      </c>
      <c r="E2335" t="s">
        <v>39</v>
      </c>
      <c r="F2335">
        <v>0</v>
      </c>
      <c r="G2335">
        <v>0</v>
      </c>
      <c r="H2335">
        <v>1</v>
      </c>
      <c r="I2335" s="3">
        <v>9331.48</v>
      </c>
      <c r="J2335" s="3">
        <v>1943.99</v>
      </c>
      <c r="K2335" t="s">
        <v>5496</v>
      </c>
      <c r="L2335">
        <v>716</v>
      </c>
      <c r="M2335" t="s">
        <v>5491</v>
      </c>
      <c r="N2335" t="s">
        <v>30</v>
      </c>
      <c r="O2335" t="s">
        <v>31</v>
      </c>
      <c r="P2335" t="str">
        <f>"15232"</f>
        <v>15232</v>
      </c>
    </row>
    <row r="2336" spans="1:16" x14ac:dyDescent="0.25">
      <c r="A2336" t="str">
        <f>"1070052C00230    00"</f>
        <v>1070052C00230    00</v>
      </c>
      <c r="B2336" t="s">
        <v>5497</v>
      </c>
      <c r="C2336" t="s">
        <v>5498</v>
      </c>
      <c r="E2336" t="s">
        <v>39</v>
      </c>
      <c r="F2336">
        <v>0</v>
      </c>
      <c r="G2336">
        <v>0</v>
      </c>
      <c r="H2336">
        <v>1</v>
      </c>
      <c r="I2336" s="3">
        <v>19412.21</v>
      </c>
      <c r="J2336" s="3">
        <v>7279.3</v>
      </c>
      <c r="K2336" t="s">
        <v>1427</v>
      </c>
      <c r="L2336">
        <v>3001</v>
      </c>
      <c r="M2336" t="s">
        <v>330</v>
      </c>
      <c r="N2336" t="s">
        <v>331</v>
      </c>
      <c r="O2336" t="s">
        <v>108</v>
      </c>
      <c r="P2336" t="str">
        <f>"75063"</f>
        <v>75063</v>
      </c>
    </row>
    <row r="2337" spans="1:16" x14ac:dyDescent="0.25">
      <c r="A2337" t="str">
        <f>"1070052C00233    00"</f>
        <v>1070052C00233    00</v>
      </c>
      <c r="B2337" t="s">
        <v>5499</v>
      </c>
      <c r="C2337" t="s">
        <v>5500</v>
      </c>
      <c r="D2337" t="s">
        <v>20</v>
      </c>
      <c r="E2337" t="s">
        <v>39</v>
      </c>
      <c r="F2337">
        <v>0</v>
      </c>
      <c r="G2337">
        <v>0</v>
      </c>
      <c r="H2337">
        <v>1</v>
      </c>
      <c r="I2337" s="3">
        <v>1620.1</v>
      </c>
      <c r="J2337" s="3">
        <v>0</v>
      </c>
      <c r="K2337" t="s">
        <v>5432</v>
      </c>
      <c r="L2337">
        <v>3001</v>
      </c>
      <c r="M2337" t="s">
        <v>330</v>
      </c>
      <c r="N2337" t="s">
        <v>331</v>
      </c>
      <c r="O2337" t="s">
        <v>108</v>
      </c>
      <c r="P2337" t="str">
        <f>"75063"</f>
        <v>75063</v>
      </c>
    </row>
    <row r="2338" spans="1:16" x14ac:dyDescent="0.25">
      <c r="A2338" t="str">
        <f>"1070052C00268    00"</f>
        <v>1070052C00268    00</v>
      </c>
      <c r="B2338" t="s">
        <v>5501</v>
      </c>
      <c r="C2338" t="s">
        <v>5502</v>
      </c>
      <c r="D2338" t="s">
        <v>57</v>
      </c>
      <c r="E2338" t="s">
        <v>39</v>
      </c>
      <c r="F2338">
        <v>0</v>
      </c>
      <c r="G2338">
        <v>0</v>
      </c>
      <c r="H2338">
        <v>1</v>
      </c>
      <c r="I2338" s="3">
        <v>13207.06</v>
      </c>
      <c r="J2338" s="3">
        <v>2971.47</v>
      </c>
      <c r="L2338">
        <v>607</v>
      </c>
      <c r="M2338" t="s">
        <v>5503</v>
      </c>
      <c r="N2338" t="s">
        <v>30</v>
      </c>
      <c r="O2338" t="s">
        <v>31</v>
      </c>
      <c r="P2338" t="str">
        <f>"15232"</f>
        <v>15232</v>
      </c>
    </row>
    <row r="2339" spans="1:16" x14ac:dyDescent="0.25">
      <c r="A2339" t="str">
        <f>"1070052C00277    00"</f>
        <v>1070052C00277    00</v>
      </c>
      <c r="B2339" t="s">
        <v>5504</v>
      </c>
      <c r="C2339" t="s">
        <v>5505</v>
      </c>
      <c r="E2339" t="s">
        <v>39</v>
      </c>
      <c r="F2339">
        <v>0</v>
      </c>
      <c r="G2339">
        <v>0</v>
      </c>
      <c r="H2339">
        <v>1</v>
      </c>
      <c r="I2339" s="3">
        <v>1553.33</v>
      </c>
      <c r="J2339" s="3">
        <v>427.14</v>
      </c>
      <c r="L2339">
        <v>625</v>
      </c>
      <c r="M2339" t="s">
        <v>5503</v>
      </c>
      <c r="N2339" t="s">
        <v>30</v>
      </c>
      <c r="O2339" t="s">
        <v>31</v>
      </c>
      <c r="P2339" t="str">
        <f>"15232"</f>
        <v>15232</v>
      </c>
    </row>
    <row r="2340" spans="1:16" x14ac:dyDescent="0.25">
      <c r="A2340" t="str">
        <f>"1070052C00306    00"</f>
        <v>1070052C00306    00</v>
      </c>
      <c r="B2340" t="s">
        <v>5506</v>
      </c>
      <c r="C2340" t="s">
        <v>5507</v>
      </c>
      <c r="E2340" t="s">
        <v>39</v>
      </c>
      <c r="F2340">
        <v>0</v>
      </c>
      <c r="G2340">
        <v>0</v>
      </c>
      <c r="H2340">
        <v>1</v>
      </c>
      <c r="I2340" s="3">
        <v>2492</v>
      </c>
      <c r="J2340" s="3">
        <v>1183.6500000000001</v>
      </c>
      <c r="K2340" t="s">
        <v>5508</v>
      </c>
      <c r="L2340">
        <v>7</v>
      </c>
      <c r="M2340" t="s">
        <v>5509</v>
      </c>
      <c r="N2340" t="s">
        <v>30</v>
      </c>
      <c r="O2340" t="s">
        <v>31</v>
      </c>
      <c r="P2340" t="str">
        <f>"15213"</f>
        <v>15213</v>
      </c>
    </row>
    <row r="2341" spans="1:16" x14ac:dyDescent="0.25">
      <c r="A2341" t="str">
        <f>"1070052C00317    00"</f>
        <v>1070052C00317    00</v>
      </c>
      <c r="B2341" t="s">
        <v>5510</v>
      </c>
      <c r="C2341" t="s">
        <v>5511</v>
      </c>
      <c r="E2341" t="s">
        <v>39</v>
      </c>
      <c r="F2341">
        <v>0</v>
      </c>
      <c r="G2341">
        <v>0</v>
      </c>
      <c r="H2341">
        <v>1</v>
      </c>
      <c r="I2341" s="3">
        <v>3324.28</v>
      </c>
      <c r="J2341" s="3">
        <v>914.13</v>
      </c>
      <c r="K2341" t="s">
        <v>710</v>
      </c>
      <c r="L2341">
        <v>4140</v>
      </c>
      <c r="M2341" t="s">
        <v>711</v>
      </c>
      <c r="N2341" t="s">
        <v>712</v>
      </c>
      <c r="O2341" t="s">
        <v>31</v>
      </c>
      <c r="P2341" t="str">
        <f>"16148"</f>
        <v>16148</v>
      </c>
    </row>
    <row r="2342" spans="1:16" x14ac:dyDescent="0.25">
      <c r="A2342" t="str">
        <f>"1070052C00319    00"</f>
        <v>1070052C00319    00</v>
      </c>
      <c r="B2342" t="s">
        <v>5512</v>
      </c>
      <c r="C2342" t="s">
        <v>5513</v>
      </c>
      <c r="E2342" t="s">
        <v>39</v>
      </c>
      <c r="F2342">
        <v>0</v>
      </c>
      <c r="G2342">
        <v>0</v>
      </c>
      <c r="H2342">
        <v>1</v>
      </c>
      <c r="I2342" s="3">
        <v>79.91</v>
      </c>
      <c r="J2342" s="3">
        <v>17.98</v>
      </c>
      <c r="L2342">
        <v>9117</v>
      </c>
      <c r="M2342" t="s">
        <v>5514</v>
      </c>
      <c r="N2342" t="s">
        <v>5515</v>
      </c>
      <c r="O2342" t="s">
        <v>1184</v>
      </c>
      <c r="P2342" t="str">
        <f>"20854"</f>
        <v>20854</v>
      </c>
    </row>
    <row r="2343" spans="1:16" x14ac:dyDescent="0.25">
      <c r="A2343" t="str">
        <f>"1070052C00322    00"</f>
        <v>1070052C00322    00</v>
      </c>
      <c r="B2343" t="s">
        <v>5516</v>
      </c>
      <c r="C2343" t="s">
        <v>5517</v>
      </c>
      <c r="D2343" t="s">
        <v>20</v>
      </c>
      <c r="E2343" t="s">
        <v>39</v>
      </c>
      <c r="F2343">
        <v>0</v>
      </c>
      <c r="G2343">
        <v>0</v>
      </c>
      <c r="H2343">
        <v>1</v>
      </c>
      <c r="I2343" s="3">
        <v>26.29</v>
      </c>
      <c r="J2343" s="3">
        <v>0</v>
      </c>
      <c r="L2343">
        <v>621</v>
      </c>
      <c r="M2343" t="s">
        <v>5518</v>
      </c>
      <c r="N2343" t="s">
        <v>30</v>
      </c>
      <c r="O2343" t="s">
        <v>31</v>
      </c>
      <c r="P2343" t="str">
        <f>"15232"</f>
        <v>15232</v>
      </c>
    </row>
    <row r="2344" spans="1:16" x14ac:dyDescent="0.25">
      <c r="A2344" t="str">
        <f>"1070052C00327    00"</f>
        <v>1070052C00327    00</v>
      </c>
      <c r="B2344" t="s">
        <v>5519</v>
      </c>
      <c r="C2344" t="s">
        <v>5520</v>
      </c>
      <c r="E2344" t="s">
        <v>39</v>
      </c>
      <c r="F2344">
        <v>0</v>
      </c>
      <c r="G2344">
        <v>0</v>
      </c>
      <c r="H2344">
        <v>1</v>
      </c>
      <c r="I2344" s="3">
        <v>10225.6</v>
      </c>
      <c r="J2344" s="3">
        <v>3237.98</v>
      </c>
      <c r="K2344" t="s">
        <v>5521</v>
      </c>
      <c r="M2344" t="s">
        <v>5522</v>
      </c>
      <c r="N2344" t="s">
        <v>264</v>
      </c>
      <c r="O2344" t="s">
        <v>25</v>
      </c>
      <c r="P2344" t="str">
        <f>"45274"</f>
        <v>45274</v>
      </c>
    </row>
    <row r="2345" spans="1:16" x14ac:dyDescent="0.25">
      <c r="A2345" t="str">
        <f>"1070052D00010    00"</f>
        <v>1070052D00010    00</v>
      </c>
      <c r="B2345" t="s">
        <v>5523</v>
      </c>
      <c r="C2345" t="s">
        <v>5524</v>
      </c>
      <c r="E2345" t="s">
        <v>39</v>
      </c>
      <c r="F2345">
        <v>0</v>
      </c>
      <c r="G2345">
        <v>0</v>
      </c>
      <c r="H2345">
        <v>1</v>
      </c>
      <c r="I2345" s="3">
        <v>1399.5</v>
      </c>
      <c r="J2345" s="3">
        <v>384.86</v>
      </c>
      <c r="L2345">
        <v>928</v>
      </c>
      <c r="M2345" t="s">
        <v>5525</v>
      </c>
      <c r="N2345" t="s">
        <v>4652</v>
      </c>
      <c r="O2345" t="s">
        <v>370</v>
      </c>
      <c r="P2345" t="str">
        <f>"33146"</f>
        <v>33146</v>
      </c>
    </row>
    <row r="2346" spans="1:16" x14ac:dyDescent="0.25">
      <c r="A2346" t="str">
        <f>"1070052D00014    00"</f>
        <v>1070052D00014    00</v>
      </c>
      <c r="B2346" t="s">
        <v>5526</v>
      </c>
      <c r="C2346" t="s">
        <v>5527</v>
      </c>
      <c r="E2346" t="s">
        <v>39</v>
      </c>
      <c r="F2346">
        <v>0</v>
      </c>
      <c r="G2346">
        <v>0</v>
      </c>
      <c r="H2346">
        <v>1</v>
      </c>
      <c r="I2346" s="3">
        <v>2241.81</v>
      </c>
      <c r="J2346" s="3">
        <v>616.46</v>
      </c>
      <c r="K2346" t="s">
        <v>5528</v>
      </c>
      <c r="L2346">
        <v>115</v>
      </c>
      <c r="M2346" t="s">
        <v>5529</v>
      </c>
      <c r="N2346" t="s">
        <v>30</v>
      </c>
      <c r="O2346" t="s">
        <v>31</v>
      </c>
      <c r="P2346" t="str">
        <f>"15238"</f>
        <v>15238</v>
      </c>
    </row>
    <row r="2347" spans="1:16" x14ac:dyDescent="0.25">
      <c r="A2347" t="str">
        <f>"1070052D00016    00"</f>
        <v>1070052D00016    00</v>
      </c>
      <c r="B2347" t="s">
        <v>5530</v>
      </c>
      <c r="C2347" t="s">
        <v>5531</v>
      </c>
      <c r="E2347" t="s">
        <v>39</v>
      </c>
      <c r="F2347">
        <v>0</v>
      </c>
      <c r="G2347">
        <v>0</v>
      </c>
      <c r="H2347">
        <v>1</v>
      </c>
      <c r="I2347" s="3">
        <v>1080.71</v>
      </c>
      <c r="J2347" s="3">
        <v>0</v>
      </c>
      <c r="K2347" t="s">
        <v>5532</v>
      </c>
      <c r="L2347">
        <v>587</v>
      </c>
      <c r="M2347" t="s">
        <v>5533</v>
      </c>
      <c r="N2347" t="s">
        <v>4652</v>
      </c>
      <c r="O2347" t="s">
        <v>370</v>
      </c>
      <c r="P2347" t="str">
        <f>"33160"</f>
        <v>33160</v>
      </c>
    </row>
    <row r="2348" spans="1:16" x14ac:dyDescent="0.25">
      <c r="A2348" t="str">
        <f>"1070052D00022    00"</f>
        <v>1070052D00022    00</v>
      </c>
      <c r="B2348" t="s">
        <v>5534</v>
      </c>
      <c r="C2348" t="s">
        <v>5535</v>
      </c>
      <c r="E2348" t="s">
        <v>39</v>
      </c>
      <c r="F2348">
        <v>0</v>
      </c>
      <c r="G2348">
        <v>0</v>
      </c>
      <c r="H2348">
        <v>2</v>
      </c>
      <c r="I2348" s="3">
        <v>7274.07</v>
      </c>
      <c r="J2348" s="3">
        <v>497.44</v>
      </c>
      <c r="K2348" t="s">
        <v>5054</v>
      </c>
      <c r="L2348">
        <v>140</v>
      </c>
      <c r="M2348" t="s">
        <v>5055</v>
      </c>
      <c r="N2348" t="s">
        <v>5056</v>
      </c>
      <c r="O2348" t="s">
        <v>5057</v>
      </c>
      <c r="P2348" t="str">
        <f>"04240"</f>
        <v>04240</v>
      </c>
    </row>
    <row r="2349" spans="1:16" x14ac:dyDescent="0.25">
      <c r="A2349" t="str">
        <f>"1070052D00082    00"</f>
        <v>1070052D00082    00</v>
      </c>
      <c r="B2349" t="s">
        <v>5536</v>
      </c>
      <c r="C2349" t="s">
        <v>5537</v>
      </c>
      <c r="E2349" t="s">
        <v>21</v>
      </c>
      <c r="F2349">
        <v>0</v>
      </c>
      <c r="G2349">
        <v>0</v>
      </c>
      <c r="H2349">
        <v>1</v>
      </c>
      <c r="I2349" s="3">
        <v>35.299999999999997</v>
      </c>
      <c r="J2349" s="3">
        <v>92.52</v>
      </c>
      <c r="K2349" t="s">
        <v>5538</v>
      </c>
      <c r="L2349">
        <v>815</v>
      </c>
      <c r="M2349" t="s">
        <v>4219</v>
      </c>
      <c r="N2349" t="s">
        <v>30</v>
      </c>
      <c r="O2349" t="s">
        <v>31</v>
      </c>
      <c r="P2349" t="str">
        <f>"15232"</f>
        <v>15232</v>
      </c>
    </row>
    <row r="2350" spans="1:16" x14ac:dyDescent="0.25">
      <c r="A2350" t="str">
        <f>"1070052D00093    00"</f>
        <v>1070052D00093    00</v>
      </c>
      <c r="B2350" t="s">
        <v>5539</v>
      </c>
      <c r="C2350" t="s">
        <v>5540</v>
      </c>
      <c r="E2350" t="s">
        <v>39</v>
      </c>
      <c r="F2350">
        <v>0</v>
      </c>
      <c r="G2350">
        <v>0</v>
      </c>
      <c r="H2350">
        <v>1</v>
      </c>
      <c r="I2350" s="3">
        <v>3834.6</v>
      </c>
      <c r="J2350" s="3">
        <v>1533.78</v>
      </c>
      <c r="K2350" t="s">
        <v>5541</v>
      </c>
      <c r="L2350">
        <v>1554</v>
      </c>
      <c r="M2350" t="s">
        <v>5542</v>
      </c>
      <c r="N2350" t="s">
        <v>30</v>
      </c>
      <c r="O2350" t="s">
        <v>31</v>
      </c>
      <c r="P2350" t="str">
        <f>"15241"</f>
        <v>15241</v>
      </c>
    </row>
    <row r="2351" spans="1:16" x14ac:dyDescent="0.25">
      <c r="A2351" t="str">
        <f>"1070052D00102    00"</f>
        <v>1070052D00102    00</v>
      </c>
      <c r="B2351" t="s">
        <v>5543</v>
      </c>
      <c r="C2351" t="s">
        <v>5544</v>
      </c>
      <c r="E2351" t="s">
        <v>39</v>
      </c>
      <c r="F2351">
        <v>0</v>
      </c>
      <c r="G2351">
        <v>0</v>
      </c>
      <c r="H2351">
        <v>3</v>
      </c>
      <c r="I2351" s="3">
        <v>23055.43</v>
      </c>
      <c r="J2351" s="3">
        <v>11384.36</v>
      </c>
      <c r="L2351">
        <v>715</v>
      </c>
      <c r="M2351" t="s">
        <v>4219</v>
      </c>
      <c r="N2351" t="s">
        <v>30</v>
      </c>
      <c r="O2351" t="s">
        <v>31</v>
      </c>
      <c r="P2351" t="str">
        <f>"15232"</f>
        <v>15232</v>
      </c>
    </row>
    <row r="2352" spans="1:16" x14ac:dyDescent="0.25">
      <c r="A2352" t="str">
        <f>"1070052D00107000100"</f>
        <v>1070052D00107000100</v>
      </c>
      <c r="B2352" t="s">
        <v>5545</v>
      </c>
      <c r="C2352" t="s">
        <v>5546</v>
      </c>
      <c r="D2352" t="s">
        <v>20</v>
      </c>
      <c r="E2352" t="s">
        <v>39</v>
      </c>
      <c r="F2352">
        <v>0</v>
      </c>
      <c r="G2352">
        <v>0</v>
      </c>
      <c r="H2352">
        <v>9</v>
      </c>
      <c r="I2352" s="3">
        <v>23.6</v>
      </c>
      <c r="J2352" s="3">
        <v>29.88</v>
      </c>
      <c r="K2352" t="s">
        <v>1008</v>
      </c>
      <c r="P2352" t="str">
        <f>""</f>
        <v/>
      </c>
    </row>
    <row r="2353" spans="1:16" x14ac:dyDescent="0.25">
      <c r="A2353" t="str">
        <f>"1070052D00135    00"</f>
        <v>1070052D00135    00</v>
      </c>
      <c r="B2353" t="s">
        <v>5547</v>
      </c>
      <c r="C2353" t="s">
        <v>5548</v>
      </c>
      <c r="E2353" t="s">
        <v>39</v>
      </c>
      <c r="F2353">
        <v>0</v>
      </c>
      <c r="G2353">
        <v>0</v>
      </c>
      <c r="H2353">
        <v>2</v>
      </c>
      <c r="I2353" s="3">
        <v>3079.65</v>
      </c>
      <c r="J2353" s="3">
        <v>210.6</v>
      </c>
      <c r="L2353">
        <v>628</v>
      </c>
      <c r="M2353" t="s">
        <v>1575</v>
      </c>
      <c r="N2353" t="s">
        <v>30</v>
      </c>
      <c r="O2353" t="s">
        <v>31</v>
      </c>
      <c r="P2353" t="str">
        <f>"15232"</f>
        <v>15232</v>
      </c>
    </row>
    <row r="2354" spans="1:16" x14ac:dyDescent="0.25">
      <c r="A2354" t="str">
        <f>"1070052D00156    00"</f>
        <v>1070052D00156    00</v>
      </c>
      <c r="B2354" t="s">
        <v>5549</v>
      </c>
      <c r="C2354" t="s">
        <v>5550</v>
      </c>
      <c r="D2354" t="s">
        <v>20</v>
      </c>
      <c r="E2354" t="s">
        <v>21</v>
      </c>
      <c r="F2354">
        <v>0</v>
      </c>
      <c r="G2354">
        <v>0</v>
      </c>
      <c r="H2354">
        <v>5</v>
      </c>
      <c r="I2354" s="3">
        <v>53044.09</v>
      </c>
      <c r="J2354" s="3">
        <v>9164.08</v>
      </c>
      <c r="L2354">
        <v>728</v>
      </c>
      <c r="M2354" t="s">
        <v>1575</v>
      </c>
      <c r="N2354" t="s">
        <v>30</v>
      </c>
      <c r="O2354" t="s">
        <v>31</v>
      </c>
      <c r="P2354" t="str">
        <f>"15232"</f>
        <v>15232</v>
      </c>
    </row>
    <row r="2355" spans="1:16" x14ac:dyDescent="0.25">
      <c r="A2355" t="str">
        <f>"1070052D00247    00"</f>
        <v>1070052D00247    00</v>
      </c>
      <c r="B2355" t="s">
        <v>5551</v>
      </c>
      <c r="C2355" t="s">
        <v>5552</v>
      </c>
      <c r="D2355" t="s">
        <v>20</v>
      </c>
      <c r="E2355" t="s">
        <v>21</v>
      </c>
      <c r="F2355">
        <v>0</v>
      </c>
      <c r="G2355">
        <v>0</v>
      </c>
      <c r="H2355">
        <v>2</v>
      </c>
      <c r="I2355" s="3">
        <v>19699.16</v>
      </c>
      <c r="J2355" s="3">
        <v>0</v>
      </c>
      <c r="K2355" t="s">
        <v>5553</v>
      </c>
      <c r="L2355">
        <v>1733</v>
      </c>
      <c r="M2355" t="s">
        <v>5554</v>
      </c>
      <c r="N2355" t="s">
        <v>24</v>
      </c>
      <c r="O2355" t="s">
        <v>25</v>
      </c>
      <c r="P2355" t="str">
        <f>"43215"</f>
        <v>43215</v>
      </c>
    </row>
    <row r="2356" spans="1:16" x14ac:dyDescent="0.25">
      <c r="A2356" t="str">
        <f>"1070052D00255    00"</f>
        <v>1070052D00255    00</v>
      </c>
      <c r="B2356" t="s">
        <v>5555</v>
      </c>
      <c r="C2356" t="s">
        <v>5556</v>
      </c>
      <c r="E2356" t="s">
        <v>21</v>
      </c>
      <c r="F2356">
        <v>0</v>
      </c>
      <c r="G2356">
        <v>0</v>
      </c>
      <c r="H2356">
        <v>1</v>
      </c>
      <c r="I2356" s="3">
        <v>762.4</v>
      </c>
      <c r="J2356" s="3">
        <v>0</v>
      </c>
      <c r="K2356" t="s">
        <v>5557</v>
      </c>
      <c r="L2356">
        <v>3750</v>
      </c>
      <c r="M2356" t="s">
        <v>1758</v>
      </c>
      <c r="N2356" t="s">
        <v>30</v>
      </c>
      <c r="O2356" t="s">
        <v>31</v>
      </c>
      <c r="P2356" t="str">
        <f>"15213"</f>
        <v>15213</v>
      </c>
    </row>
    <row r="2357" spans="1:16" x14ac:dyDescent="0.25">
      <c r="A2357" t="str">
        <f>"1070052D00258    00"</f>
        <v>1070052D00258    00</v>
      </c>
      <c r="B2357" t="s">
        <v>5558</v>
      </c>
      <c r="C2357" t="s">
        <v>5559</v>
      </c>
      <c r="D2357" t="s">
        <v>20</v>
      </c>
      <c r="E2357" t="s">
        <v>39</v>
      </c>
      <c r="F2357">
        <v>0</v>
      </c>
      <c r="G2357">
        <v>0</v>
      </c>
      <c r="H2357">
        <v>3</v>
      </c>
      <c r="I2357" s="3">
        <v>14354.74</v>
      </c>
      <c r="J2357" s="3">
        <v>563.91</v>
      </c>
      <c r="L2357">
        <v>725</v>
      </c>
      <c r="M2357" t="s">
        <v>1575</v>
      </c>
      <c r="N2357" t="s">
        <v>30</v>
      </c>
      <c r="O2357" t="s">
        <v>31</v>
      </c>
      <c r="P2357" t="str">
        <f>"15232"</f>
        <v>15232</v>
      </c>
    </row>
    <row r="2358" spans="1:16" x14ac:dyDescent="0.25">
      <c r="A2358" t="str">
        <f>"1070052D00275    00"</f>
        <v>1070052D00275    00</v>
      </c>
      <c r="B2358" t="s">
        <v>5560</v>
      </c>
      <c r="C2358" t="s">
        <v>5561</v>
      </c>
      <c r="D2358" t="s">
        <v>20</v>
      </c>
      <c r="E2358" t="s">
        <v>39</v>
      </c>
      <c r="F2358">
        <v>0</v>
      </c>
      <c r="G2358">
        <v>0</v>
      </c>
      <c r="H2358">
        <v>5</v>
      </c>
      <c r="I2358" s="3">
        <v>25677.05</v>
      </c>
      <c r="J2358" s="3">
        <v>5708.73</v>
      </c>
      <c r="L2358">
        <v>629</v>
      </c>
      <c r="M2358" t="s">
        <v>1575</v>
      </c>
      <c r="N2358" t="s">
        <v>30</v>
      </c>
      <c r="O2358" t="s">
        <v>31</v>
      </c>
      <c r="P2358" t="str">
        <f>"15232"</f>
        <v>15232</v>
      </c>
    </row>
    <row r="2359" spans="1:16" x14ac:dyDescent="0.25">
      <c r="A2359" t="str">
        <f>"1070052D00296    00"</f>
        <v>1070052D00296    00</v>
      </c>
      <c r="B2359" t="s">
        <v>5562</v>
      </c>
      <c r="C2359" t="s">
        <v>5563</v>
      </c>
      <c r="D2359" t="s">
        <v>20</v>
      </c>
      <c r="E2359" t="s">
        <v>39</v>
      </c>
      <c r="F2359">
        <v>0</v>
      </c>
      <c r="G2359">
        <v>0</v>
      </c>
      <c r="H2359">
        <v>1</v>
      </c>
      <c r="I2359" s="3">
        <v>5640.32</v>
      </c>
      <c r="J2359" s="3">
        <v>0</v>
      </c>
      <c r="L2359">
        <v>700</v>
      </c>
      <c r="M2359" t="s">
        <v>5564</v>
      </c>
      <c r="N2359" t="s">
        <v>30</v>
      </c>
      <c r="O2359" t="s">
        <v>31</v>
      </c>
      <c r="P2359" t="str">
        <f>"15232"</f>
        <v>15232</v>
      </c>
    </row>
    <row r="2360" spans="1:16" x14ac:dyDescent="0.25">
      <c r="A2360" t="str">
        <f>"1070052D00331000300"</f>
        <v>1070052D00331000300</v>
      </c>
      <c r="B2360" t="s">
        <v>5565</v>
      </c>
      <c r="C2360" t="s">
        <v>5566</v>
      </c>
      <c r="E2360" t="s">
        <v>39</v>
      </c>
      <c r="F2360">
        <v>0</v>
      </c>
      <c r="G2360">
        <v>0</v>
      </c>
      <c r="H2360">
        <v>2</v>
      </c>
      <c r="I2360" s="3">
        <v>3739.6</v>
      </c>
      <c r="J2360" s="3">
        <v>155.81</v>
      </c>
      <c r="K2360" t="s">
        <v>5567</v>
      </c>
      <c r="L2360">
        <v>2204</v>
      </c>
      <c r="M2360" t="s">
        <v>5401</v>
      </c>
      <c r="N2360" t="s">
        <v>5402</v>
      </c>
      <c r="O2360" t="s">
        <v>370</v>
      </c>
      <c r="P2360" t="str">
        <f>"34683"</f>
        <v>34683</v>
      </c>
    </row>
    <row r="2361" spans="1:16" x14ac:dyDescent="0.25">
      <c r="A2361" t="str">
        <f>"1070052D00374    00"</f>
        <v>1070052D00374    00</v>
      </c>
      <c r="B2361" t="s">
        <v>5568</v>
      </c>
      <c r="C2361" t="s">
        <v>5569</v>
      </c>
      <c r="E2361" t="s">
        <v>21</v>
      </c>
      <c r="F2361">
        <v>0</v>
      </c>
      <c r="G2361">
        <v>0</v>
      </c>
      <c r="H2361">
        <v>1</v>
      </c>
      <c r="I2361" s="3">
        <v>193.88</v>
      </c>
      <c r="J2361" s="3">
        <v>61.39</v>
      </c>
      <c r="L2361">
        <v>115</v>
      </c>
      <c r="M2361" t="s">
        <v>5570</v>
      </c>
      <c r="N2361" t="s">
        <v>5571</v>
      </c>
      <c r="O2361" t="s">
        <v>31</v>
      </c>
      <c r="P2361" t="str">
        <f>"15636"</f>
        <v>15636</v>
      </c>
    </row>
    <row r="2362" spans="1:16" x14ac:dyDescent="0.25">
      <c r="A2362" t="str">
        <f>"1070052D00387    00"</f>
        <v>1070052D00387    00</v>
      </c>
      <c r="B2362" t="s">
        <v>5572</v>
      </c>
      <c r="C2362" t="s">
        <v>5573</v>
      </c>
      <c r="D2362" t="s">
        <v>20</v>
      </c>
      <c r="E2362" t="s">
        <v>39</v>
      </c>
      <c r="F2362">
        <v>0</v>
      </c>
      <c r="G2362">
        <v>0</v>
      </c>
      <c r="H2362">
        <v>3</v>
      </c>
      <c r="I2362" s="3">
        <v>1888.87</v>
      </c>
      <c r="J2362" s="3">
        <v>60.68</v>
      </c>
      <c r="K2362" t="s">
        <v>4397</v>
      </c>
      <c r="L2362">
        <v>1901</v>
      </c>
      <c r="M2362" t="s">
        <v>5016</v>
      </c>
      <c r="N2362" t="s">
        <v>5017</v>
      </c>
      <c r="O2362" t="s">
        <v>3486</v>
      </c>
      <c r="P2362" t="str">
        <f>"61834"</f>
        <v>61834</v>
      </c>
    </row>
    <row r="2363" spans="1:16" x14ac:dyDescent="0.25">
      <c r="A2363" t="str">
        <f>"1070052D00388    00"</f>
        <v>1070052D00388    00</v>
      </c>
      <c r="B2363" t="s">
        <v>5574</v>
      </c>
      <c r="C2363" t="s">
        <v>5575</v>
      </c>
      <c r="E2363" t="s">
        <v>39</v>
      </c>
      <c r="F2363">
        <v>0</v>
      </c>
      <c r="G2363">
        <v>0</v>
      </c>
      <c r="H2363">
        <v>1</v>
      </c>
      <c r="I2363" s="3">
        <v>2481.61</v>
      </c>
      <c r="J2363" s="3">
        <v>0</v>
      </c>
      <c r="K2363" t="s">
        <v>391</v>
      </c>
      <c r="L2363">
        <v>1</v>
      </c>
      <c r="M2363" t="s">
        <v>392</v>
      </c>
      <c r="N2363" t="s">
        <v>393</v>
      </c>
      <c r="O2363" t="s">
        <v>394</v>
      </c>
      <c r="P2363" t="str">
        <f>"50328"</f>
        <v>50328</v>
      </c>
    </row>
    <row r="2364" spans="1:16" x14ac:dyDescent="0.25">
      <c r="A2364" t="str">
        <f>"1070052D00396    00"</f>
        <v>1070052D00396    00</v>
      </c>
      <c r="B2364" t="s">
        <v>5576</v>
      </c>
      <c r="C2364" t="s">
        <v>5577</v>
      </c>
      <c r="E2364" t="s">
        <v>39</v>
      </c>
      <c r="F2364">
        <v>0</v>
      </c>
      <c r="G2364">
        <v>0</v>
      </c>
      <c r="H2364">
        <v>1</v>
      </c>
      <c r="I2364" s="3">
        <v>1398.56</v>
      </c>
      <c r="J2364" s="3">
        <v>1375.2</v>
      </c>
      <c r="L2364">
        <v>710</v>
      </c>
      <c r="M2364" t="s">
        <v>5578</v>
      </c>
      <c r="N2364" t="s">
        <v>30</v>
      </c>
      <c r="O2364" t="s">
        <v>31</v>
      </c>
      <c r="P2364" t="str">
        <f>"15232"</f>
        <v>15232</v>
      </c>
    </row>
    <row r="2365" spans="1:16" x14ac:dyDescent="0.25">
      <c r="A2365" t="str">
        <f>"1070052D00397    00"</f>
        <v>1070052D00397    00</v>
      </c>
      <c r="B2365" t="s">
        <v>5579</v>
      </c>
      <c r="C2365" t="s">
        <v>5580</v>
      </c>
      <c r="E2365" t="s">
        <v>39</v>
      </c>
      <c r="F2365">
        <v>0</v>
      </c>
      <c r="G2365">
        <v>0</v>
      </c>
      <c r="H2365">
        <v>1</v>
      </c>
      <c r="I2365" s="3">
        <v>3630</v>
      </c>
      <c r="J2365" s="3">
        <v>1724.18</v>
      </c>
      <c r="K2365" t="s">
        <v>5581</v>
      </c>
      <c r="L2365">
        <v>712</v>
      </c>
      <c r="M2365" t="s">
        <v>5578</v>
      </c>
      <c r="N2365" t="s">
        <v>30</v>
      </c>
      <c r="O2365" t="s">
        <v>31</v>
      </c>
      <c r="P2365" t="str">
        <f>"15232"</f>
        <v>15232</v>
      </c>
    </row>
    <row r="2366" spans="1:16" x14ac:dyDescent="0.25">
      <c r="A2366" t="str">
        <f>"1070052E00116004G00"</f>
        <v>1070052E00116004G00</v>
      </c>
      <c r="B2366" t="s">
        <v>5582</v>
      </c>
      <c r="C2366" t="s">
        <v>5583</v>
      </c>
      <c r="E2366" t="s">
        <v>39</v>
      </c>
      <c r="F2366">
        <v>0</v>
      </c>
      <c r="G2366">
        <v>0</v>
      </c>
      <c r="H2366">
        <v>2</v>
      </c>
      <c r="I2366" s="3">
        <v>3670.49</v>
      </c>
      <c r="J2366" s="3">
        <v>251.01</v>
      </c>
      <c r="K2366" t="s">
        <v>5584</v>
      </c>
      <c r="L2366">
        <v>537</v>
      </c>
      <c r="M2366" t="s">
        <v>5585</v>
      </c>
      <c r="N2366" t="s">
        <v>30</v>
      </c>
      <c r="O2366" t="s">
        <v>31</v>
      </c>
      <c r="P2366" t="str">
        <f>"15213"</f>
        <v>15213</v>
      </c>
    </row>
    <row r="2367" spans="1:16" x14ac:dyDescent="0.25">
      <c r="A2367" t="str">
        <f>"1070052E001161D  00"</f>
        <v>1070052E001161D  00</v>
      </c>
      <c r="B2367" t="s">
        <v>5586</v>
      </c>
      <c r="C2367" t="s">
        <v>5587</v>
      </c>
      <c r="D2367" t="s">
        <v>20</v>
      </c>
      <c r="E2367" t="s">
        <v>39</v>
      </c>
      <c r="F2367">
        <v>0</v>
      </c>
      <c r="G2367">
        <v>0</v>
      </c>
      <c r="H2367">
        <v>1</v>
      </c>
      <c r="I2367" s="3">
        <v>108.13</v>
      </c>
      <c r="J2367" s="3">
        <v>43.25</v>
      </c>
      <c r="K2367" t="s">
        <v>5588</v>
      </c>
      <c r="L2367">
        <v>1717</v>
      </c>
      <c r="M2367" t="s">
        <v>585</v>
      </c>
      <c r="N2367" t="s">
        <v>30</v>
      </c>
      <c r="O2367" t="s">
        <v>31</v>
      </c>
      <c r="P2367" t="str">
        <f>"15221"</f>
        <v>15221</v>
      </c>
    </row>
    <row r="2368" spans="1:16" x14ac:dyDescent="0.25">
      <c r="A2368" t="str">
        <f>"1070052E001161E  00"</f>
        <v>1070052E001161E  00</v>
      </c>
      <c r="B2368" t="s">
        <v>5586</v>
      </c>
      <c r="C2368" t="s">
        <v>5589</v>
      </c>
      <c r="D2368" t="s">
        <v>20</v>
      </c>
      <c r="E2368" t="s">
        <v>39</v>
      </c>
      <c r="F2368">
        <v>0</v>
      </c>
      <c r="G2368">
        <v>0</v>
      </c>
      <c r="H2368">
        <v>1</v>
      </c>
      <c r="I2368" s="3">
        <v>107.23</v>
      </c>
      <c r="J2368" s="3">
        <v>42.89</v>
      </c>
      <c r="K2368" t="s">
        <v>5588</v>
      </c>
      <c r="L2368">
        <v>1717</v>
      </c>
      <c r="M2368" t="s">
        <v>585</v>
      </c>
      <c r="N2368" t="s">
        <v>30</v>
      </c>
      <c r="O2368" t="s">
        <v>31</v>
      </c>
      <c r="P2368" t="str">
        <f>"15221"</f>
        <v>15221</v>
      </c>
    </row>
    <row r="2369" spans="1:16" x14ac:dyDescent="0.25">
      <c r="A2369" t="str">
        <f>"1070052E001162E  00"</f>
        <v>1070052E001162E  00</v>
      </c>
      <c r="B2369" t="s">
        <v>5590</v>
      </c>
      <c r="C2369" t="s">
        <v>5591</v>
      </c>
      <c r="E2369" t="s">
        <v>39</v>
      </c>
      <c r="F2369">
        <v>0</v>
      </c>
      <c r="G2369">
        <v>0</v>
      </c>
      <c r="H2369">
        <v>2</v>
      </c>
      <c r="I2369" s="3">
        <v>1385.68</v>
      </c>
      <c r="J2369" s="3">
        <v>0</v>
      </c>
      <c r="L2369">
        <v>537</v>
      </c>
      <c r="M2369" t="s">
        <v>5592</v>
      </c>
      <c r="N2369" t="s">
        <v>30</v>
      </c>
      <c r="O2369" t="s">
        <v>31</v>
      </c>
      <c r="P2369" t="str">
        <f>"15213"</f>
        <v>15213</v>
      </c>
    </row>
    <row r="2370" spans="1:16" x14ac:dyDescent="0.25">
      <c r="A2370" t="str">
        <f>"1070052E00146    00"</f>
        <v>1070052E00146    00</v>
      </c>
      <c r="B2370" t="s">
        <v>5593</v>
      </c>
      <c r="C2370" t="s">
        <v>5594</v>
      </c>
      <c r="D2370" t="s">
        <v>20</v>
      </c>
      <c r="E2370" t="s">
        <v>39</v>
      </c>
      <c r="F2370">
        <v>0</v>
      </c>
      <c r="G2370">
        <v>0</v>
      </c>
      <c r="H2370">
        <v>3</v>
      </c>
      <c r="I2370" s="3">
        <v>9385.18</v>
      </c>
      <c r="J2370" s="3">
        <v>66.14</v>
      </c>
      <c r="K2370" t="s">
        <v>5595</v>
      </c>
      <c r="L2370">
        <v>4912</v>
      </c>
      <c r="M2370" t="s">
        <v>5596</v>
      </c>
      <c r="N2370" t="s">
        <v>5597</v>
      </c>
      <c r="O2370" t="s">
        <v>495</v>
      </c>
      <c r="P2370" t="str">
        <f>"91364"</f>
        <v>91364</v>
      </c>
    </row>
    <row r="2371" spans="1:16" x14ac:dyDescent="0.25">
      <c r="A2371" t="str">
        <f>"1070052E00158000200"</f>
        <v>1070052E00158000200</v>
      </c>
      <c r="B2371" t="s">
        <v>5593</v>
      </c>
      <c r="C2371" t="s">
        <v>5598</v>
      </c>
      <c r="D2371" t="s">
        <v>20</v>
      </c>
      <c r="E2371" t="s">
        <v>39</v>
      </c>
      <c r="F2371">
        <v>0</v>
      </c>
      <c r="G2371">
        <v>0</v>
      </c>
      <c r="H2371">
        <v>3</v>
      </c>
      <c r="I2371" s="3">
        <v>411.7</v>
      </c>
      <c r="J2371" s="3">
        <v>6.28</v>
      </c>
      <c r="K2371" t="s">
        <v>5595</v>
      </c>
      <c r="L2371">
        <v>4912</v>
      </c>
      <c r="M2371" t="s">
        <v>5596</v>
      </c>
      <c r="N2371" t="s">
        <v>5597</v>
      </c>
      <c r="O2371" t="s">
        <v>495</v>
      </c>
      <c r="P2371" t="str">
        <f>"91364"</f>
        <v>91364</v>
      </c>
    </row>
    <row r="2372" spans="1:16" x14ac:dyDescent="0.25">
      <c r="A2372" t="str">
        <f>"1070052E00257000600"</f>
        <v>1070052E00257000600</v>
      </c>
      <c r="B2372" t="s">
        <v>5599</v>
      </c>
      <c r="C2372" t="s">
        <v>5600</v>
      </c>
      <c r="E2372" t="s">
        <v>39</v>
      </c>
      <c r="F2372">
        <v>0</v>
      </c>
      <c r="G2372">
        <v>0</v>
      </c>
      <c r="H2372">
        <v>1</v>
      </c>
      <c r="I2372" s="3">
        <v>1801.18</v>
      </c>
      <c r="J2372" s="3">
        <v>0</v>
      </c>
      <c r="K2372" t="s">
        <v>5601</v>
      </c>
      <c r="L2372">
        <v>5956</v>
      </c>
      <c r="M2372" t="s">
        <v>5602</v>
      </c>
      <c r="N2372" t="s">
        <v>107</v>
      </c>
      <c r="O2372" t="s">
        <v>108</v>
      </c>
      <c r="P2372" t="str">
        <f>"75230"</f>
        <v>75230</v>
      </c>
    </row>
    <row r="2373" spans="1:16" x14ac:dyDescent="0.25">
      <c r="A2373" t="str">
        <f>"1070052F00017    00"</f>
        <v>1070052F00017    00</v>
      </c>
      <c r="B2373" t="s">
        <v>5603</v>
      </c>
      <c r="C2373" t="s">
        <v>5604</v>
      </c>
      <c r="E2373" t="s">
        <v>39</v>
      </c>
      <c r="F2373">
        <v>0</v>
      </c>
      <c r="G2373">
        <v>0</v>
      </c>
      <c r="H2373">
        <v>2</v>
      </c>
      <c r="I2373" s="3">
        <v>6844.19</v>
      </c>
      <c r="J2373" s="3">
        <v>504.11</v>
      </c>
      <c r="K2373" t="s">
        <v>1427</v>
      </c>
      <c r="L2373">
        <v>3001</v>
      </c>
      <c r="M2373" t="s">
        <v>330</v>
      </c>
      <c r="N2373" t="s">
        <v>331</v>
      </c>
      <c r="O2373" t="s">
        <v>108</v>
      </c>
      <c r="P2373" t="str">
        <f>"75063"</f>
        <v>75063</v>
      </c>
    </row>
    <row r="2374" spans="1:16" x14ac:dyDescent="0.25">
      <c r="A2374" t="str">
        <f>"1070052F00021    00"</f>
        <v>1070052F00021    00</v>
      </c>
      <c r="B2374" t="s">
        <v>5605</v>
      </c>
      <c r="C2374" t="s">
        <v>5606</v>
      </c>
      <c r="E2374" t="s">
        <v>39</v>
      </c>
      <c r="F2374">
        <v>0</v>
      </c>
      <c r="G2374">
        <v>0</v>
      </c>
      <c r="H2374">
        <v>2</v>
      </c>
      <c r="I2374" s="3">
        <v>17340.8</v>
      </c>
      <c r="J2374" s="3">
        <v>794.75</v>
      </c>
      <c r="K2374" t="s">
        <v>5607</v>
      </c>
      <c r="L2374">
        <v>3001</v>
      </c>
      <c r="M2374" t="s">
        <v>330</v>
      </c>
      <c r="N2374" t="s">
        <v>331</v>
      </c>
      <c r="O2374" t="s">
        <v>108</v>
      </c>
      <c r="P2374" t="str">
        <f>"75063"</f>
        <v>75063</v>
      </c>
    </row>
    <row r="2375" spans="1:16" x14ac:dyDescent="0.25">
      <c r="A2375" t="str">
        <f>"1070052F00043    00"</f>
        <v>1070052F00043    00</v>
      </c>
      <c r="B2375" t="s">
        <v>5608</v>
      </c>
      <c r="C2375" t="s">
        <v>5609</v>
      </c>
      <c r="E2375" t="s">
        <v>39</v>
      </c>
      <c r="F2375">
        <v>0</v>
      </c>
      <c r="G2375">
        <v>0</v>
      </c>
      <c r="H2375">
        <v>1</v>
      </c>
      <c r="I2375" s="3">
        <v>4797.41</v>
      </c>
      <c r="J2375" s="3">
        <v>479.72</v>
      </c>
      <c r="L2375">
        <v>2404</v>
      </c>
      <c r="M2375" t="s">
        <v>5610</v>
      </c>
      <c r="N2375" t="s">
        <v>4141</v>
      </c>
      <c r="O2375" t="s">
        <v>108</v>
      </c>
      <c r="P2375" t="str">
        <f>"78704"</f>
        <v>78704</v>
      </c>
    </row>
    <row r="2376" spans="1:16" x14ac:dyDescent="0.25">
      <c r="A2376" t="str">
        <f>"1070052F00204    00"</f>
        <v>1070052F00204    00</v>
      </c>
      <c r="B2376" t="s">
        <v>5611</v>
      </c>
      <c r="C2376" t="s">
        <v>5612</v>
      </c>
      <c r="E2376" t="s">
        <v>39</v>
      </c>
      <c r="F2376">
        <v>0</v>
      </c>
      <c r="G2376">
        <v>0</v>
      </c>
      <c r="H2376">
        <v>2</v>
      </c>
      <c r="I2376" s="3">
        <v>18804.62</v>
      </c>
      <c r="J2376" s="3">
        <v>783.49</v>
      </c>
      <c r="K2376" t="s">
        <v>1030</v>
      </c>
      <c r="M2376" t="s">
        <v>1031</v>
      </c>
      <c r="N2376" t="s">
        <v>1032</v>
      </c>
      <c r="O2376" t="s">
        <v>25</v>
      </c>
      <c r="P2376" t="str">
        <f>"44711"</f>
        <v>44711</v>
      </c>
    </row>
    <row r="2377" spans="1:16" x14ac:dyDescent="0.25">
      <c r="A2377" t="str">
        <f>"1070052F00244    00"</f>
        <v>1070052F00244    00</v>
      </c>
      <c r="B2377" t="s">
        <v>5613</v>
      </c>
      <c r="C2377" t="s">
        <v>5614</v>
      </c>
      <c r="D2377" t="s">
        <v>20</v>
      </c>
      <c r="E2377" t="s">
        <v>39</v>
      </c>
      <c r="F2377">
        <v>0</v>
      </c>
      <c r="G2377">
        <v>0</v>
      </c>
      <c r="H2377">
        <v>1</v>
      </c>
      <c r="I2377" s="3">
        <v>1511.47</v>
      </c>
      <c r="J2377" s="3">
        <v>0</v>
      </c>
      <c r="K2377" t="s">
        <v>5615</v>
      </c>
      <c r="L2377">
        <v>5025</v>
      </c>
      <c r="M2377" t="s">
        <v>5616</v>
      </c>
      <c r="N2377" t="s">
        <v>30</v>
      </c>
      <c r="O2377" t="s">
        <v>31</v>
      </c>
      <c r="P2377" t="str">
        <f>"15232"</f>
        <v>15232</v>
      </c>
    </row>
    <row r="2378" spans="1:16" x14ac:dyDescent="0.25">
      <c r="A2378" t="str">
        <f>"1070052F00264    00"</f>
        <v>1070052F00264    00</v>
      </c>
      <c r="B2378" t="s">
        <v>5617</v>
      </c>
      <c r="C2378" t="s">
        <v>5618</v>
      </c>
      <c r="D2378" t="s">
        <v>20</v>
      </c>
      <c r="E2378" t="s">
        <v>39</v>
      </c>
      <c r="F2378">
        <v>0</v>
      </c>
      <c r="G2378">
        <v>0</v>
      </c>
      <c r="H2378">
        <v>1</v>
      </c>
      <c r="I2378" s="3">
        <v>16303.92</v>
      </c>
      <c r="J2378" s="3">
        <v>0</v>
      </c>
      <c r="L2378">
        <v>69</v>
      </c>
      <c r="M2378" t="s">
        <v>5619</v>
      </c>
      <c r="N2378" t="s">
        <v>5620</v>
      </c>
      <c r="O2378" t="s">
        <v>200</v>
      </c>
      <c r="P2378" t="str">
        <f>"10580"</f>
        <v>10580</v>
      </c>
    </row>
    <row r="2379" spans="1:16" x14ac:dyDescent="0.25">
      <c r="A2379" t="str">
        <f>"1070052F00270    00"</f>
        <v>1070052F00270    00</v>
      </c>
      <c r="B2379" t="s">
        <v>5621</v>
      </c>
      <c r="C2379" t="s">
        <v>5622</v>
      </c>
      <c r="E2379" t="s">
        <v>39</v>
      </c>
      <c r="F2379">
        <v>0</v>
      </c>
      <c r="G2379">
        <v>0</v>
      </c>
      <c r="H2379">
        <v>1</v>
      </c>
      <c r="I2379" s="3">
        <v>15512.82</v>
      </c>
      <c r="J2379" s="3">
        <v>4274.66</v>
      </c>
      <c r="K2379" t="s">
        <v>756</v>
      </c>
      <c r="L2379">
        <v>3001</v>
      </c>
      <c r="M2379" t="s">
        <v>330</v>
      </c>
      <c r="N2379" t="s">
        <v>331</v>
      </c>
      <c r="O2379" t="s">
        <v>108</v>
      </c>
      <c r="P2379" t="str">
        <f>"75063"</f>
        <v>75063</v>
      </c>
    </row>
    <row r="2380" spans="1:16" x14ac:dyDescent="0.25">
      <c r="A2380" t="str">
        <f>"1070052F00284001700"</f>
        <v>1070052F00284001700</v>
      </c>
      <c r="B2380" t="s">
        <v>5623</v>
      </c>
      <c r="C2380" t="s">
        <v>5624</v>
      </c>
      <c r="E2380" t="s">
        <v>39</v>
      </c>
      <c r="F2380">
        <v>0</v>
      </c>
      <c r="G2380">
        <v>0</v>
      </c>
      <c r="H2380">
        <v>2</v>
      </c>
      <c r="I2380" s="3">
        <v>1853.48</v>
      </c>
      <c r="J2380" s="3">
        <v>168.25</v>
      </c>
      <c r="K2380" t="s">
        <v>5625</v>
      </c>
      <c r="M2380" t="s">
        <v>5626</v>
      </c>
      <c r="N2380" t="s">
        <v>5627</v>
      </c>
      <c r="O2380" t="s">
        <v>31</v>
      </c>
      <c r="P2380" t="str">
        <f>"15655"</f>
        <v>15655</v>
      </c>
    </row>
    <row r="2381" spans="1:16" x14ac:dyDescent="0.25">
      <c r="A2381" t="str">
        <f>"1070052F00284001800"</f>
        <v>1070052F00284001800</v>
      </c>
      <c r="B2381" t="s">
        <v>5628</v>
      </c>
      <c r="C2381" t="s">
        <v>5629</v>
      </c>
      <c r="D2381" t="s">
        <v>20</v>
      </c>
      <c r="E2381" t="s">
        <v>39</v>
      </c>
      <c r="F2381">
        <v>0</v>
      </c>
      <c r="G2381">
        <v>0</v>
      </c>
      <c r="H2381">
        <v>1</v>
      </c>
      <c r="I2381" s="3">
        <v>2725.58</v>
      </c>
      <c r="J2381" s="3">
        <v>0</v>
      </c>
      <c r="L2381">
        <v>5025</v>
      </c>
      <c r="M2381" t="s">
        <v>5630</v>
      </c>
      <c r="N2381" t="s">
        <v>30</v>
      </c>
      <c r="O2381" t="s">
        <v>31</v>
      </c>
      <c r="P2381" t="str">
        <f>"15232"</f>
        <v>15232</v>
      </c>
    </row>
    <row r="2382" spans="1:16" x14ac:dyDescent="0.25">
      <c r="A2382" t="str">
        <f>"1070052F00284002200"</f>
        <v>1070052F00284002200</v>
      </c>
      <c r="B2382" t="s">
        <v>5631</v>
      </c>
      <c r="C2382" t="s">
        <v>5632</v>
      </c>
      <c r="D2382" t="s">
        <v>20</v>
      </c>
      <c r="E2382" t="s">
        <v>39</v>
      </c>
      <c r="F2382">
        <v>0</v>
      </c>
      <c r="G2382">
        <v>0</v>
      </c>
      <c r="H2382">
        <v>3</v>
      </c>
      <c r="I2382" s="3">
        <v>149.87</v>
      </c>
      <c r="J2382" s="3">
        <v>8.18</v>
      </c>
      <c r="K2382" t="s">
        <v>5301</v>
      </c>
      <c r="L2382">
        <v>11819</v>
      </c>
      <c r="M2382" t="s">
        <v>5633</v>
      </c>
      <c r="N2382" t="s">
        <v>5634</v>
      </c>
      <c r="O2382" t="s">
        <v>5635</v>
      </c>
      <c r="P2382" t="str">
        <f>"68164"</f>
        <v>68164</v>
      </c>
    </row>
    <row r="2383" spans="1:16" x14ac:dyDescent="0.25">
      <c r="A2383" t="str">
        <f>"1070052F00284002400"</f>
        <v>1070052F00284002400</v>
      </c>
      <c r="B2383" t="s">
        <v>5636</v>
      </c>
      <c r="C2383" t="s">
        <v>5637</v>
      </c>
      <c r="D2383" t="s">
        <v>20</v>
      </c>
      <c r="E2383" t="s">
        <v>39</v>
      </c>
      <c r="F2383">
        <v>0</v>
      </c>
      <c r="G2383">
        <v>0</v>
      </c>
      <c r="H2383">
        <v>1</v>
      </c>
      <c r="I2383" s="3">
        <v>3013.85</v>
      </c>
      <c r="J2383" s="3">
        <v>0</v>
      </c>
      <c r="L2383">
        <v>825</v>
      </c>
      <c r="M2383" t="s">
        <v>5638</v>
      </c>
      <c r="N2383" t="s">
        <v>30</v>
      </c>
      <c r="O2383" t="s">
        <v>31</v>
      </c>
      <c r="P2383" t="str">
        <f>"15213"</f>
        <v>15213</v>
      </c>
    </row>
    <row r="2384" spans="1:16" x14ac:dyDescent="0.25">
      <c r="A2384" t="str">
        <f>"1070052F00284003300"</f>
        <v>1070052F00284003300</v>
      </c>
      <c r="B2384" t="s">
        <v>5639</v>
      </c>
      <c r="C2384" t="s">
        <v>5640</v>
      </c>
      <c r="D2384" t="s">
        <v>20</v>
      </c>
      <c r="E2384" t="s">
        <v>39</v>
      </c>
      <c r="F2384">
        <v>0</v>
      </c>
      <c r="G2384">
        <v>0</v>
      </c>
      <c r="H2384">
        <v>1</v>
      </c>
      <c r="I2384" s="3">
        <v>2790.86</v>
      </c>
      <c r="J2384" s="3">
        <v>0</v>
      </c>
      <c r="L2384">
        <v>825</v>
      </c>
      <c r="M2384" t="s">
        <v>5641</v>
      </c>
      <c r="N2384" t="s">
        <v>30</v>
      </c>
      <c r="O2384" t="s">
        <v>31</v>
      </c>
      <c r="P2384" t="str">
        <f>"15213"</f>
        <v>15213</v>
      </c>
    </row>
    <row r="2385" spans="1:16" x14ac:dyDescent="0.25">
      <c r="A2385" t="str">
        <f>"1070052F00284003700"</f>
        <v>1070052F00284003700</v>
      </c>
      <c r="B2385" t="s">
        <v>5642</v>
      </c>
      <c r="C2385" t="s">
        <v>5643</v>
      </c>
      <c r="E2385" t="s">
        <v>39</v>
      </c>
      <c r="F2385">
        <v>0</v>
      </c>
      <c r="G2385">
        <v>0</v>
      </c>
      <c r="H2385">
        <v>1</v>
      </c>
      <c r="I2385" s="3">
        <v>19.5</v>
      </c>
      <c r="J2385" s="3">
        <v>1.78</v>
      </c>
      <c r="K2385" t="s">
        <v>5644</v>
      </c>
      <c r="L2385">
        <v>825</v>
      </c>
      <c r="M2385" t="s">
        <v>5645</v>
      </c>
      <c r="N2385" t="s">
        <v>30</v>
      </c>
      <c r="O2385" t="s">
        <v>31</v>
      </c>
      <c r="P2385" t="str">
        <f>"15213"</f>
        <v>15213</v>
      </c>
    </row>
    <row r="2386" spans="1:16" x14ac:dyDescent="0.25">
      <c r="A2386" t="str">
        <f>"1070052F00284005200"</f>
        <v>1070052F00284005200</v>
      </c>
      <c r="B2386" t="s">
        <v>5646</v>
      </c>
      <c r="C2386" t="s">
        <v>5647</v>
      </c>
      <c r="D2386" t="s">
        <v>20</v>
      </c>
      <c r="E2386" t="s">
        <v>39</v>
      </c>
      <c r="F2386">
        <v>0</v>
      </c>
      <c r="G2386">
        <v>0</v>
      </c>
      <c r="H2386">
        <v>1</v>
      </c>
      <c r="I2386" s="3">
        <v>3148.71</v>
      </c>
      <c r="J2386" s="3">
        <v>0</v>
      </c>
      <c r="K2386" t="s">
        <v>5648</v>
      </c>
      <c r="L2386">
        <v>825</v>
      </c>
      <c r="M2386" t="s">
        <v>5649</v>
      </c>
      <c r="N2386" t="s">
        <v>30</v>
      </c>
      <c r="O2386" t="s">
        <v>31</v>
      </c>
      <c r="P2386" t="str">
        <f>"15213"</f>
        <v>15213</v>
      </c>
    </row>
    <row r="2387" spans="1:16" x14ac:dyDescent="0.25">
      <c r="A2387" t="str">
        <f>"1070052F00312    00"</f>
        <v>1070052F00312    00</v>
      </c>
      <c r="B2387" t="s">
        <v>5650</v>
      </c>
      <c r="C2387" t="s">
        <v>5651</v>
      </c>
      <c r="D2387" t="s">
        <v>20</v>
      </c>
      <c r="E2387" t="s">
        <v>39</v>
      </c>
      <c r="F2387">
        <v>0</v>
      </c>
      <c r="G2387">
        <v>0</v>
      </c>
      <c r="H2387">
        <v>2</v>
      </c>
      <c r="I2387" s="3">
        <v>13113.28</v>
      </c>
      <c r="J2387" s="3">
        <v>0</v>
      </c>
      <c r="K2387" t="s">
        <v>5652</v>
      </c>
      <c r="L2387">
        <v>3001</v>
      </c>
      <c r="M2387" t="s">
        <v>330</v>
      </c>
      <c r="N2387" t="s">
        <v>331</v>
      </c>
      <c r="O2387" t="s">
        <v>108</v>
      </c>
      <c r="P2387" t="str">
        <f>"75063"</f>
        <v>75063</v>
      </c>
    </row>
    <row r="2388" spans="1:16" x14ac:dyDescent="0.25">
      <c r="A2388" t="str">
        <f>"1070052G00001    00"</f>
        <v>1070052G00001    00</v>
      </c>
      <c r="B2388" t="s">
        <v>5653</v>
      </c>
      <c r="C2388" t="s">
        <v>5654</v>
      </c>
      <c r="D2388" t="s">
        <v>20</v>
      </c>
      <c r="E2388" t="s">
        <v>39</v>
      </c>
      <c r="F2388">
        <v>0</v>
      </c>
      <c r="G2388">
        <v>0</v>
      </c>
      <c r="H2388">
        <v>4</v>
      </c>
      <c r="I2388" s="3">
        <v>76488.759999999995</v>
      </c>
      <c r="J2388" s="3">
        <v>9056.2199999999993</v>
      </c>
      <c r="K2388" t="s">
        <v>403</v>
      </c>
      <c r="L2388">
        <v>3001</v>
      </c>
      <c r="M2388" t="s">
        <v>404</v>
      </c>
      <c r="N2388" t="s">
        <v>331</v>
      </c>
      <c r="O2388" t="s">
        <v>108</v>
      </c>
      <c r="P2388" t="str">
        <f>"75063"</f>
        <v>75063</v>
      </c>
    </row>
    <row r="2389" spans="1:16" x14ac:dyDescent="0.25">
      <c r="A2389" t="str">
        <f>"1070052G00057    00"</f>
        <v>1070052G00057    00</v>
      </c>
      <c r="B2389" t="s">
        <v>5655</v>
      </c>
      <c r="C2389" t="s">
        <v>5656</v>
      </c>
      <c r="D2389" t="s">
        <v>20</v>
      </c>
      <c r="E2389" t="s">
        <v>39</v>
      </c>
      <c r="F2389">
        <v>0</v>
      </c>
      <c r="G2389">
        <v>0</v>
      </c>
      <c r="H2389">
        <v>1</v>
      </c>
      <c r="I2389" s="3">
        <v>2304.36</v>
      </c>
      <c r="J2389" s="3">
        <v>0</v>
      </c>
      <c r="K2389" t="s">
        <v>1632</v>
      </c>
      <c r="M2389" t="s">
        <v>1633</v>
      </c>
      <c r="N2389" t="s">
        <v>1634</v>
      </c>
      <c r="O2389" t="s">
        <v>25</v>
      </c>
      <c r="P2389" t="str">
        <f>"45401"</f>
        <v>45401</v>
      </c>
    </row>
    <row r="2390" spans="1:16" x14ac:dyDescent="0.25">
      <c r="A2390" t="str">
        <f>"1070052G00058010100"</f>
        <v>1070052G00058010100</v>
      </c>
      <c r="B2390" t="s">
        <v>5657</v>
      </c>
      <c r="C2390" t="s">
        <v>5658</v>
      </c>
      <c r="E2390" t="s">
        <v>39</v>
      </c>
      <c r="F2390">
        <v>0</v>
      </c>
      <c r="G2390">
        <v>0</v>
      </c>
      <c r="H2390">
        <v>1</v>
      </c>
      <c r="I2390" s="3">
        <v>29.4</v>
      </c>
      <c r="J2390" s="3">
        <v>9.31</v>
      </c>
      <c r="K2390" t="s">
        <v>5659</v>
      </c>
      <c r="M2390" t="s">
        <v>1031</v>
      </c>
      <c r="N2390" t="s">
        <v>1032</v>
      </c>
      <c r="O2390" t="s">
        <v>25</v>
      </c>
      <c r="P2390" t="str">
        <f>"44711"</f>
        <v>44711</v>
      </c>
    </row>
    <row r="2391" spans="1:16" x14ac:dyDescent="0.25">
      <c r="A2391" t="str">
        <f>"1070052G00072    00"</f>
        <v>1070052G00072    00</v>
      </c>
      <c r="B2391" t="s">
        <v>5660</v>
      </c>
      <c r="C2391" t="s">
        <v>5661</v>
      </c>
      <c r="D2391" t="s">
        <v>57</v>
      </c>
      <c r="E2391" t="s">
        <v>39</v>
      </c>
      <c r="F2391">
        <v>0</v>
      </c>
      <c r="G2391">
        <v>0</v>
      </c>
      <c r="H2391">
        <v>1</v>
      </c>
      <c r="I2391" s="3">
        <v>4990.07</v>
      </c>
      <c r="J2391" s="3">
        <v>5073.03</v>
      </c>
      <c r="K2391" t="s">
        <v>759</v>
      </c>
      <c r="L2391">
        <v>3001</v>
      </c>
      <c r="M2391" t="s">
        <v>404</v>
      </c>
      <c r="N2391" t="s">
        <v>331</v>
      </c>
      <c r="O2391" t="s">
        <v>108</v>
      </c>
      <c r="P2391" t="str">
        <f>"75063"</f>
        <v>75063</v>
      </c>
    </row>
    <row r="2392" spans="1:16" x14ac:dyDescent="0.25">
      <c r="A2392" t="str">
        <f>"1070052G00133000B00"</f>
        <v>1070052G00133000B00</v>
      </c>
      <c r="B2392" t="s">
        <v>5662</v>
      </c>
      <c r="C2392" t="s">
        <v>5663</v>
      </c>
      <c r="D2392" t="s">
        <v>20</v>
      </c>
      <c r="E2392" t="s">
        <v>39</v>
      </c>
      <c r="F2392">
        <v>0</v>
      </c>
      <c r="G2392">
        <v>0</v>
      </c>
      <c r="H2392">
        <v>2</v>
      </c>
      <c r="I2392" s="3">
        <v>1703.98</v>
      </c>
      <c r="J2392" s="3">
        <v>0</v>
      </c>
      <c r="K2392" t="s">
        <v>5664</v>
      </c>
      <c r="L2392">
        <v>1201</v>
      </c>
      <c r="M2392" t="s">
        <v>5665</v>
      </c>
      <c r="N2392" t="s">
        <v>30</v>
      </c>
      <c r="O2392" t="s">
        <v>31</v>
      </c>
      <c r="P2392" t="str">
        <f>"15218"</f>
        <v>15218</v>
      </c>
    </row>
    <row r="2393" spans="1:16" x14ac:dyDescent="0.25">
      <c r="A2393" t="str">
        <f>"1070052G00133C   00"</f>
        <v>1070052G00133C   00</v>
      </c>
      <c r="B2393" t="s">
        <v>5666</v>
      </c>
      <c r="C2393" t="s">
        <v>5667</v>
      </c>
      <c r="E2393" t="s">
        <v>39</v>
      </c>
      <c r="F2393">
        <v>0</v>
      </c>
      <c r="G2393">
        <v>0</v>
      </c>
      <c r="H2393">
        <v>1</v>
      </c>
      <c r="I2393" s="3">
        <v>23.89</v>
      </c>
      <c r="J2393" s="3">
        <v>0.2</v>
      </c>
      <c r="K2393" t="s">
        <v>4460</v>
      </c>
      <c r="L2393">
        <v>901</v>
      </c>
      <c r="M2393" t="s">
        <v>1503</v>
      </c>
      <c r="N2393" t="s">
        <v>494</v>
      </c>
      <c r="O2393" t="s">
        <v>495</v>
      </c>
      <c r="P2393" t="str">
        <f>"91768"</f>
        <v>91768</v>
      </c>
    </row>
    <row r="2394" spans="1:16" x14ac:dyDescent="0.25">
      <c r="A2394" t="str">
        <f>"1070052H00025    00"</f>
        <v>1070052H00025    00</v>
      </c>
      <c r="B2394" t="s">
        <v>5668</v>
      </c>
      <c r="C2394" t="s">
        <v>5669</v>
      </c>
      <c r="D2394" t="s">
        <v>20</v>
      </c>
      <c r="E2394" t="s">
        <v>39</v>
      </c>
      <c r="F2394">
        <v>0</v>
      </c>
      <c r="G2394">
        <v>0</v>
      </c>
      <c r="H2394">
        <v>2</v>
      </c>
      <c r="I2394" s="3">
        <v>9245</v>
      </c>
      <c r="J2394" s="3">
        <v>72.75</v>
      </c>
      <c r="K2394" t="s">
        <v>5670</v>
      </c>
      <c r="L2394">
        <v>5508</v>
      </c>
      <c r="M2394" t="s">
        <v>4532</v>
      </c>
      <c r="N2394" t="s">
        <v>30</v>
      </c>
      <c r="O2394" t="s">
        <v>31</v>
      </c>
      <c r="P2394" t="str">
        <f>"15232"</f>
        <v>15232</v>
      </c>
    </row>
    <row r="2395" spans="1:16" x14ac:dyDescent="0.25">
      <c r="A2395" t="str">
        <f>"1070052H00036    00"</f>
        <v>1070052H00036    00</v>
      </c>
      <c r="B2395" t="s">
        <v>5671</v>
      </c>
      <c r="C2395" t="s">
        <v>5672</v>
      </c>
      <c r="E2395" t="s">
        <v>39</v>
      </c>
      <c r="F2395">
        <v>0</v>
      </c>
      <c r="G2395">
        <v>0</v>
      </c>
      <c r="H2395">
        <v>2</v>
      </c>
      <c r="I2395" s="3">
        <v>978.26</v>
      </c>
      <c r="J2395" s="3">
        <v>66.900000000000006</v>
      </c>
      <c r="K2395" t="s">
        <v>391</v>
      </c>
      <c r="L2395">
        <v>1</v>
      </c>
      <c r="M2395" t="s">
        <v>392</v>
      </c>
      <c r="N2395" t="s">
        <v>393</v>
      </c>
      <c r="O2395" t="s">
        <v>394</v>
      </c>
      <c r="P2395" t="str">
        <f>"50328"</f>
        <v>50328</v>
      </c>
    </row>
    <row r="2396" spans="1:16" x14ac:dyDescent="0.25">
      <c r="A2396" t="str">
        <f>"1070052H00041    00"</f>
        <v>1070052H00041    00</v>
      </c>
      <c r="B2396" t="s">
        <v>5673</v>
      </c>
      <c r="C2396" t="s">
        <v>5674</v>
      </c>
      <c r="E2396" t="s">
        <v>39</v>
      </c>
      <c r="F2396">
        <v>0</v>
      </c>
      <c r="G2396">
        <v>0</v>
      </c>
      <c r="H2396">
        <v>1</v>
      </c>
      <c r="I2396" s="3">
        <v>19.97</v>
      </c>
      <c r="J2396" s="3">
        <v>11.98</v>
      </c>
      <c r="K2396" t="s">
        <v>5432</v>
      </c>
      <c r="L2396">
        <v>3001</v>
      </c>
      <c r="M2396" t="s">
        <v>330</v>
      </c>
      <c r="N2396" t="s">
        <v>331</v>
      </c>
      <c r="O2396" t="s">
        <v>108</v>
      </c>
      <c r="P2396" t="str">
        <f>"75063"</f>
        <v>75063</v>
      </c>
    </row>
    <row r="2397" spans="1:16" x14ac:dyDescent="0.25">
      <c r="A2397" t="str">
        <f>"1070052H00067    00"</f>
        <v>1070052H00067    00</v>
      </c>
      <c r="B2397" t="s">
        <v>5675</v>
      </c>
      <c r="C2397" t="s">
        <v>5676</v>
      </c>
      <c r="E2397" t="s">
        <v>39</v>
      </c>
      <c r="F2397">
        <v>0</v>
      </c>
      <c r="G2397">
        <v>0</v>
      </c>
      <c r="H2397">
        <v>1</v>
      </c>
      <c r="I2397" s="3">
        <v>2688.32</v>
      </c>
      <c r="J2397" s="3">
        <v>739.25</v>
      </c>
      <c r="K2397" t="s">
        <v>557</v>
      </c>
      <c r="L2397">
        <v>3001</v>
      </c>
      <c r="M2397" t="s">
        <v>330</v>
      </c>
      <c r="N2397" t="s">
        <v>331</v>
      </c>
      <c r="O2397" t="s">
        <v>108</v>
      </c>
      <c r="P2397" t="str">
        <f>"75063"</f>
        <v>75063</v>
      </c>
    </row>
    <row r="2398" spans="1:16" x14ac:dyDescent="0.25">
      <c r="A2398" t="str">
        <f>"1070052H00069    00"</f>
        <v>1070052H00069    00</v>
      </c>
      <c r="B2398" t="s">
        <v>5677</v>
      </c>
      <c r="C2398" t="s">
        <v>5678</v>
      </c>
      <c r="E2398" t="s">
        <v>39</v>
      </c>
      <c r="F2398">
        <v>0</v>
      </c>
      <c r="G2398">
        <v>0</v>
      </c>
      <c r="H2398">
        <v>2</v>
      </c>
      <c r="I2398" s="3">
        <v>3953.06</v>
      </c>
      <c r="J2398" s="3">
        <v>197.64</v>
      </c>
      <c r="K2398" t="s">
        <v>881</v>
      </c>
      <c r="L2398">
        <v>3001</v>
      </c>
      <c r="M2398" t="s">
        <v>330</v>
      </c>
      <c r="N2398" t="s">
        <v>331</v>
      </c>
      <c r="O2398" t="s">
        <v>108</v>
      </c>
      <c r="P2398" t="str">
        <f>"75063"</f>
        <v>75063</v>
      </c>
    </row>
    <row r="2399" spans="1:16" x14ac:dyDescent="0.25">
      <c r="A2399" t="str">
        <f>"1070052H00076D1  00"</f>
        <v>1070052H00076D1  00</v>
      </c>
      <c r="B2399" t="s">
        <v>5679</v>
      </c>
      <c r="C2399" t="s">
        <v>5680</v>
      </c>
      <c r="D2399" t="s">
        <v>20</v>
      </c>
      <c r="E2399" t="s">
        <v>39</v>
      </c>
      <c r="F2399">
        <v>0</v>
      </c>
      <c r="G2399">
        <v>0</v>
      </c>
      <c r="H2399">
        <v>2</v>
      </c>
      <c r="I2399" s="3">
        <v>12011.66</v>
      </c>
      <c r="J2399" s="3">
        <v>0</v>
      </c>
      <c r="K2399" t="s">
        <v>400</v>
      </c>
      <c r="L2399">
        <v>3001</v>
      </c>
      <c r="M2399" t="s">
        <v>330</v>
      </c>
      <c r="N2399" t="s">
        <v>331</v>
      </c>
      <c r="O2399" t="s">
        <v>108</v>
      </c>
      <c r="P2399" t="str">
        <f>"75063"</f>
        <v>75063</v>
      </c>
    </row>
    <row r="2400" spans="1:16" x14ac:dyDescent="0.25">
      <c r="A2400" t="str">
        <f>"1070052H00141092800"</f>
        <v>1070052H00141092800</v>
      </c>
      <c r="B2400" t="s">
        <v>5681</v>
      </c>
      <c r="C2400" t="s">
        <v>5682</v>
      </c>
      <c r="D2400" t="s">
        <v>20</v>
      </c>
      <c r="E2400" t="s">
        <v>39</v>
      </c>
      <c r="F2400">
        <v>0</v>
      </c>
      <c r="G2400">
        <v>0</v>
      </c>
      <c r="H2400">
        <v>1</v>
      </c>
      <c r="I2400" s="3">
        <v>2079.2800000000002</v>
      </c>
      <c r="J2400" s="3">
        <v>0</v>
      </c>
      <c r="K2400" t="s">
        <v>5683</v>
      </c>
      <c r="L2400">
        <v>928</v>
      </c>
      <c r="M2400" t="s">
        <v>5564</v>
      </c>
      <c r="N2400" t="s">
        <v>30</v>
      </c>
      <c r="O2400" t="s">
        <v>31</v>
      </c>
      <c r="P2400" t="str">
        <f>"15232"</f>
        <v>15232</v>
      </c>
    </row>
    <row r="2401" spans="1:16" x14ac:dyDescent="0.25">
      <c r="A2401" t="str">
        <f>"1070052H00141093200"</f>
        <v>1070052H00141093200</v>
      </c>
      <c r="B2401" t="s">
        <v>5684</v>
      </c>
      <c r="C2401" t="s">
        <v>5685</v>
      </c>
      <c r="E2401" t="s">
        <v>39</v>
      </c>
      <c r="F2401">
        <v>0</v>
      </c>
      <c r="G2401">
        <v>0</v>
      </c>
      <c r="H2401">
        <v>1</v>
      </c>
      <c r="I2401" s="3">
        <v>2109.1799999999998</v>
      </c>
      <c r="J2401" s="3">
        <v>1564.25</v>
      </c>
      <c r="K2401" t="s">
        <v>1632</v>
      </c>
      <c r="L2401">
        <v>3001</v>
      </c>
      <c r="M2401" t="s">
        <v>330</v>
      </c>
      <c r="N2401" t="s">
        <v>331</v>
      </c>
      <c r="O2401" t="s">
        <v>108</v>
      </c>
      <c r="P2401" t="str">
        <f>"75063"</f>
        <v>75063</v>
      </c>
    </row>
    <row r="2402" spans="1:16" x14ac:dyDescent="0.25">
      <c r="A2402" t="str">
        <f>"1070052H00200A3  00"</f>
        <v>1070052H00200A3  00</v>
      </c>
      <c r="B2402" t="s">
        <v>5686</v>
      </c>
      <c r="C2402" t="s">
        <v>5687</v>
      </c>
      <c r="D2402" t="s">
        <v>33</v>
      </c>
      <c r="E2402" t="s">
        <v>39</v>
      </c>
      <c r="F2402">
        <v>0</v>
      </c>
      <c r="G2402">
        <v>0</v>
      </c>
      <c r="H2402">
        <v>1</v>
      </c>
      <c r="I2402" s="3">
        <v>34.880000000000003</v>
      </c>
      <c r="J2402" s="3">
        <v>24.12</v>
      </c>
      <c r="K2402" t="s">
        <v>1435</v>
      </c>
      <c r="M2402" t="s">
        <v>271</v>
      </c>
      <c r="N2402" t="s">
        <v>272</v>
      </c>
      <c r="O2402" t="s">
        <v>273</v>
      </c>
      <c r="P2402" t="str">
        <f>"29603"</f>
        <v>29603</v>
      </c>
    </row>
    <row r="2403" spans="1:16" x14ac:dyDescent="0.25">
      <c r="A2403" t="str">
        <f>"1070052H00200C1  00"</f>
        <v>1070052H00200C1  00</v>
      </c>
      <c r="B2403" t="s">
        <v>5688</v>
      </c>
      <c r="C2403" t="s">
        <v>5689</v>
      </c>
      <c r="D2403" t="s">
        <v>20</v>
      </c>
      <c r="E2403" t="s">
        <v>39</v>
      </c>
      <c r="F2403">
        <v>0</v>
      </c>
      <c r="G2403">
        <v>0</v>
      </c>
      <c r="H2403">
        <v>2</v>
      </c>
      <c r="I2403" s="3">
        <v>2843.67</v>
      </c>
      <c r="J2403" s="3">
        <v>0</v>
      </c>
      <c r="K2403" t="s">
        <v>400</v>
      </c>
      <c r="L2403">
        <v>3001</v>
      </c>
      <c r="M2403" t="s">
        <v>330</v>
      </c>
      <c r="N2403" t="s">
        <v>331</v>
      </c>
      <c r="O2403" t="s">
        <v>108</v>
      </c>
      <c r="P2403" t="str">
        <f>"75063"</f>
        <v>75063</v>
      </c>
    </row>
    <row r="2404" spans="1:16" x14ac:dyDescent="0.25">
      <c r="A2404" t="str">
        <f>"1070052H00211    00"</f>
        <v>1070052H00211    00</v>
      </c>
      <c r="B2404" t="s">
        <v>5690</v>
      </c>
      <c r="C2404" t="s">
        <v>5691</v>
      </c>
      <c r="E2404" t="s">
        <v>39</v>
      </c>
      <c r="F2404">
        <v>0</v>
      </c>
      <c r="G2404">
        <v>0</v>
      </c>
      <c r="H2404">
        <v>1</v>
      </c>
      <c r="I2404" s="3">
        <v>1411.43</v>
      </c>
      <c r="J2404" s="3">
        <v>11.75</v>
      </c>
      <c r="K2404" t="s">
        <v>5692</v>
      </c>
      <c r="L2404">
        <v>3001</v>
      </c>
      <c r="M2404" t="s">
        <v>330</v>
      </c>
      <c r="N2404" t="s">
        <v>331</v>
      </c>
      <c r="O2404" t="s">
        <v>108</v>
      </c>
      <c r="P2404" t="str">
        <f>"75063"</f>
        <v>75063</v>
      </c>
    </row>
    <row r="2405" spans="1:16" x14ac:dyDescent="0.25">
      <c r="A2405" t="str">
        <f>"1070052H00235    00"</f>
        <v>1070052H00235    00</v>
      </c>
      <c r="B2405" t="s">
        <v>5693</v>
      </c>
      <c r="C2405" t="s">
        <v>5694</v>
      </c>
      <c r="D2405" t="s">
        <v>20</v>
      </c>
      <c r="E2405" t="s">
        <v>39</v>
      </c>
      <c r="F2405">
        <v>0</v>
      </c>
      <c r="G2405">
        <v>0</v>
      </c>
      <c r="H2405">
        <v>1</v>
      </c>
      <c r="I2405" s="3">
        <v>9613.86</v>
      </c>
      <c r="J2405" s="3">
        <v>0</v>
      </c>
      <c r="L2405">
        <v>5236</v>
      </c>
      <c r="M2405" t="s">
        <v>5695</v>
      </c>
      <c r="N2405" t="s">
        <v>30</v>
      </c>
      <c r="O2405" t="s">
        <v>31</v>
      </c>
      <c r="P2405" t="str">
        <f>"15232"</f>
        <v>15232</v>
      </c>
    </row>
    <row r="2406" spans="1:16" x14ac:dyDescent="0.25">
      <c r="A2406" t="str">
        <f>"1070052H00259    00"</f>
        <v>1070052H00259    00</v>
      </c>
      <c r="B2406" t="s">
        <v>5696</v>
      </c>
      <c r="C2406" t="s">
        <v>5697</v>
      </c>
      <c r="D2406" t="s">
        <v>5698</v>
      </c>
      <c r="E2406" t="s">
        <v>39</v>
      </c>
      <c r="F2406">
        <v>0</v>
      </c>
      <c r="G2406">
        <v>0</v>
      </c>
      <c r="H2406">
        <v>1</v>
      </c>
      <c r="I2406" s="3">
        <v>4506.34</v>
      </c>
      <c r="J2406" s="3">
        <v>1249.23</v>
      </c>
      <c r="K2406" t="s">
        <v>391</v>
      </c>
      <c r="L2406">
        <v>1</v>
      </c>
      <c r="M2406" t="s">
        <v>392</v>
      </c>
      <c r="N2406" t="s">
        <v>393</v>
      </c>
      <c r="O2406" t="s">
        <v>394</v>
      </c>
      <c r="P2406" t="str">
        <f>"50328"</f>
        <v>50328</v>
      </c>
    </row>
    <row r="2407" spans="1:16" x14ac:dyDescent="0.25">
      <c r="A2407" t="str">
        <f>"1070052H00265000600"</f>
        <v>1070052H00265000600</v>
      </c>
      <c r="B2407" t="s">
        <v>5699</v>
      </c>
      <c r="C2407" t="s">
        <v>5700</v>
      </c>
      <c r="E2407" t="s">
        <v>39</v>
      </c>
      <c r="F2407">
        <v>0</v>
      </c>
      <c r="G2407">
        <v>0</v>
      </c>
      <c r="H2407">
        <v>1</v>
      </c>
      <c r="I2407" s="3">
        <v>6723.86</v>
      </c>
      <c r="J2407" s="3">
        <v>7339.92</v>
      </c>
      <c r="L2407">
        <v>601</v>
      </c>
      <c r="M2407" t="s">
        <v>5701</v>
      </c>
      <c r="N2407" t="s">
        <v>30</v>
      </c>
      <c r="O2407" t="s">
        <v>31</v>
      </c>
      <c r="P2407" t="str">
        <f>"15239"</f>
        <v>15239</v>
      </c>
    </row>
    <row r="2408" spans="1:16" x14ac:dyDescent="0.25">
      <c r="A2408" t="str">
        <f>"1070052H00277000400"</f>
        <v>1070052H00277000400</v>
      </c>
      <c r="B2408" t="s">
        <v>5702</v>
      </c>
      <c r="C2408" t="s">
        <v>5703</v>
      </c>
      <c r="D2408" t="s">
        <v>20</v>
      </c>
      <c r="E2408" t="s">
        <v>39</v>
      </c>
      <c r="F2408">
        <v>0</v>
      </c>
      <c r="G2408">
        <v>0</v>
      </c>
      <c r="H2408">
        <v>4</v>
      </c>
      <c r="I2408" s="3">
        <v>14020.54</v>
      </c>
      <c r="J2408" s="3">
        <v>1687.02</v>
      </c>
      <c r="L2408">
        <v>5321</v>
      </c>
      <c r="M2408" t="s">
        <v>5704</v>
      </c>
      <c r="N2408" t="s">
        <v>30</v>
      </c>
      <c r="O2408" t="s">
        <v>31</v>
      </c>
      <c r="P2408" t="str">
        <f>"15232"</f>
        <v>15232</v>
      </c>
    </row>
    <row r="2409" spans="1:16" x14ac:dyDescent="0.25">
      <c r="A2409" t="str">
        <f>"1070052H00290    00"</f>
        <v>1070052H00290    00</v>
      </c>
      <c r="B2409" t="s">
        <v>5705</v>
      </c>
      <c r="C2409" t="s">
        <v>5706</v>
      </c>
      <c r="E2409" t="s">
        <v>39</v>
      </c>
      <c r="F2409">
        <v>0</v>
      </c>
      <c r="G2409">
        <v>0</v>
      </c>
      <c r="H2409">
        <v>2</v>
      </c>
      <c r="I2409" s="3">
        <v>5243.69</v>
      </c>
      <c r="J2409" s="3">
        <v>218.48</v>
      </c>
      <c r="L2409">
        <v>926</v>
      </c>
      <c r="M2409" t="s">
        <v>4219</v>
      </c>
      <c r="N2409" t="s">
        <v>30</v>
      </c>
      <c r="O2409" t="s">
        <v>31</v>
      </c>
      <c r="P2409" t="str">
        <f>"15232"</f>
        <v>15232</v>
      </c>
    </row>
    <row r="2410" spans="1:16" x14ac:dyDescent="0.25">
      <c r="A2410" t="str">
        <f>"1070052H00305    00"</f>
        <v>1070052H00305    00</v>
      </c>
      <c r="B2410" t="s">
        <v>5707</v>
      </c>
      <c r="C2410" t="s">
        <v>5708</v>
      </c>
      <c r="E2410" t="s">
        <v>39</v>
      </c>
      <c r="F2410">
        <v>0</v>
      </c>
      <c r="G2410">
        <v>0</v>
      </c>
      <c r="H2410">
        <v>2</v>
      </c>
      <c r="I2410" s="3">
        <v>894.65</v>
      </c>
      <c r="J2410" s="3">
        <v>61.17</v>
      </c>
      <c r="K2410" t="s">
        <v>5652</v>
      </c>
      <c r="L2410">
        <v>3001</v>
      </c>
      <c r="M2410" t="s">
        <v>330</v>
      </c>
      <c r="N2410" t="s">
        <v>331</v>
      </c>
      <c r="O2410" t="s">
        <v>108</v>
      </c>
      <c r="P2410" t="str">
        <f>"75063"</f>
        <v>75063</v>
      </c>
    </row>
    <row r="2411" spans="1:16" x14ac:dyDescent="0.25">
      <c r="A2411" t="str">
        <f>"1070052H00319    00"</f>
        <v>1070052H00319    00</v>
      </c>
      <c r="B2411" t="s">
        <v>5709</v>
      </c>
      <c r="C2411" t="s">
        <v>5710</v>
      </c>
      <c r="D2411" t="s">
        <v>20</v>
      </c>
      <c r="E2411" t="s">
        <v>39</v>
      </c>
      <c r="F2411">
        <v>0</v>
      </c>
      <c r="G2411">
        <v>0</v>
      </c>
      <c r="H2411">
        <v>1</v>
      </c>
      <c r="I2411" s="3">
        <v>7206.57</v>
      </c>
      <c r="J2411" s="3">
        <v>0</v>
      </c>
      <c r="K2411" t="s">
        <v>400</v>
      </c>
      <c r="L2411">
        <v>3001</v>
      </c>
      <c r="M2411" t="s">
        <v>330</v>
      </c>
      <c r="N2411" t="s">
        <v>331</v>
      </c>
      <c r="O2411" t="s">
        <v>108</v>
      </c>
      <c r="P2411" t="str">
        <f>"75063"</f>
        <v>75063</v>
      </c>
    </row>
    <row r="2412" spans="1:16" x14ac:dyDescent="0.25">
      <c r="A2412" t="str">
        <f>"1070052H00326    00"</f>
        <v>1070052H00326    00</v>
      </c>
      <c r="B2412" t="s">
        <v>5711</v>
      </c>
      <c r="C2412" t="s">
        <v>5712</v>
      </c>
      <c r="E2412" t="s">
        <v>39</v>
      </c>
      <c r="F2412">
        <v>0</v>
      </c>
      <c r="G2412">
        <v>0</v>
      </c>
      <c r="H2412">
        <v>1</v>
      </c>
      <c r="I2412" s="3">
        <v>3430.35</v>
      </c>
      <c r="J2412" s="3">
        <v>28.58</v>
      </c>
      <c r="K2412" t="s">
        <v>5713</v>
      </c>
      <c r="L2412">
        <v>5301</v>
      </c>
      <c r="M2412" t="s">
        <v>5695</v>
      </c>
      <c r="N2412" t="s">
        <v>30</v>
      </c>
      <c r="O2412" t="s">
        <v>31</v>
      </c>
      <c r="P2412" t="str">
        <f>"15232"</f>
        <v>15232</v>
      </c>
    </row>
    <row r="2413" spans="1:16" x14ac:dyDescent="0.25">
      <c r="A2413" t="str">
        <f>"1070084E00302021300"</f>
        <v>1070084E00302021300</v>
      </c>
      <c r="B2413" t="s">
        <v>5714</v>
      </c>
      <c r="C2413" t="s">
        <v>5715</v>
      </c>
      <c r="D2413" t="s">
        <v>20</v>
      </c>
      <c r="E2413" t="s">
        <v>39</v>
      </c>
      <c r="F2413">
        <v>0</v>
      </c>
      <c r="G2413">
        <v>0</v>
      </c>
      <c r="H2413">
        <v>2</v>
      </c>
      <c r="I2413" s="3">
        <v>4739.3</v>
      </c>
      <c r="J2413" s="3">
        <v>0</v>
      </c>
      <c r="K2413" t="s">
        <v>1632</v>
      </c>
      <c r="M2413" t="s">
        <v>1633</v>
      </c>
      <c r="N2413" t="s">
        <v>1634</v>
      </c>
      <c r="O2413" t="s">
        <v>25</v>
      </c>
      <c r="P2413" t="str">
        <f>"45401"</f>
        <v>45401</v>
      </c>
    </row>
    <row r="2414" spans="1:16" x14ac:dyDescent="0.25">
      <c r="A2414" t="str">
        <f>"1070084E00302041200"</f>
        <v>1070084E00302041200</v>
      </c>
      <c r="B2414" t="s">
        <v>5716</v>
      </c>
      <c r="C2414" t="s">
        <v>5717</v>
      </c>
      <c r="D2414" t="s">
        <v>20</v>
      </c>
      <c r="E2414" t="s">
        <v>39</v>
      </c>
      <c r="F2414">
        <v>0</v>
      </c>
      <c r="G2414">
        <v>0</v>
      </c>
      <c r="H2414">
        <v>3</v>
      </c>
      <c r="I2414" s="3">
        <v>2624.54</v>
      </c>
      <c r="J2414" s="3">
        <v>21.87</v>
      </c>
      <c r="K2414" t="s">
        <v>5718</v>
      </c>
      <c r="L2414">
        <v>26642</v>
      </c>
      <c r="M2414" t="s">
        <v>5719</v>
      </c>
      <c r="N2414" t="s">
        <v>5720</v>
      </c>
      <c r="O2414" t="s">
        <v>495</v>
      </c>
      <c r="P2414" t="str">
        <f>"92610"</f>
        <v>92610</v>
      </c>
    </row>
    <row r="2415" spans="1:16" x14ac:dyDescent="0.25">
      <c r="A2415" t="str">
        <f>"1070084E00302060500"</f>
        <v>1070084E00302060500</v>
      </c>
      <c r="B2415" t="s">
        <v>5721</v>
      </c>
      <c r="C2415" t="s">
        <v>5722</v>
      </c>
      <c r="D2415" t="s">
        <v>20</v>
      </c>
      <c r="E2415" t="s">
        <v>39</v>
      </c>
      <c r="F2415">
        <v>0</v>
      </c>
      <c r="G2415">
        <v>0</v>
      </c>
      <c r="H2415">
        <v>1</v>
      </c>
      <c r="I2415" s="3">
        <v>2778.95</v>
      </c>
      <c r="J2415" s="3">
        <v>0</v>
      </c>
      <c r="L2415">
        <v>5850</v>
      </c>
      <c r="M2415" t="s">
        <v>1117</v>
      </c>
      <c r="N2415" t="s">
        <v>30</v>
      </c>
      <c r="O2415" t="s">
        <v>31</v>
      </c>
      <c r="P2415" t="str">
        <f>"15206"</f>
        <v>15206</v>
      </c>
    </row>
    <row r="2416" spans="1:16" x14ac:dyDescent="0.25">
      <c r="A2416" t="str">
        <f>"1070084E00302061200"</f>
        <v>1070084E00302061200</v>
      </c>
      <c r="B2416" t="s">
        <v>5723</v>
      </c>
      <c r="C2416" t="s">
        <v>5724</v>
      </c>
      <c r="D2416" t="s">
        <v>20</v>
      </c>
      <c r="E2416" t="s">
        <v>39</v>
      </c>
      <c r="F2416">
        <v>0</v>
      </c>
      <c r="G2416">
        <v>0</v>
      </c>
      <c r="H2416">
        <v>1</v>
      </c>
      <c r="I2416" s="3">
        <v>2198.08</v>
      </c>
      <c r="J2416" s="3">
        <v>0</v>
      </c>
      <c r="K2416" t="s">
        <v>445</v>
      </c>
      <c r="L2416">
        <v>1</v>
      </c>
      <c r="M2416" t="s">
        <v>1163</v>
      </c>
      <c r="N2416" t="s">
        <v>1164</v>
      </c>
      <c r="O2416" t="s">
        <v>108</v>
      </c>
      <c r="P2416" t="str">
        <f>"76262"</f>
        <v>76262</v>
      </c>
    </row>
    <row r="2417" spans="1:16" x14ac:dyDescent="0.25">
      <c r="A2417" t="str">
        <f>"1070084E00302061300"</f>
        <v>1070084E00302061300</v>
      </c>
      <c r="B2417" t="s">
        <v>5725</v>
      </c>
      <c r="C2417" t="s">
        <v>5726</v>
      </c>
      <c r="D2417" t="s">
        <v>20</v>
      </c>
      <c r="E2417" t="s">
        <v>39</v>
      </c>
      <c r="F2417">
        <v>0</v>
      </c>
      <c r="G2417">
        <v>0</v>
      </c>
      <c r="H2417">
        <v>1</v>
      </c>
      <c r="I2417" s="3">
        <v>3221.14</v>
      </c>
      <c r="J2417" s="3">
        <v>0</v>
      </c>
      <c r="L2417">
        <v>4926</v>
      </c>
      <c r="M2417" t="s">
        <v>5727</v>
      </c>
      <c r="N2417" t="s">
        <v>30</v>
      </c>
      <c r="O2417" t="s">
        <v>31</v>
      </c>
      <c r="P2417" t="str">
        <f>"15224"</f>
        <v>15224</v>
      </c>
    </row>
    <row r="2418" spans="1:16" x14ac:dyDescent="0.25">
      <c r="A2418" t="str">
        <f>"1070084F00242    00"</f>
        <v>1070084F00242    00</v>
      </c>
      <c r="B2418" t="s">
        <v>5728</v>
      </c>
      <c r="C2418" t="s">
        <v>5729</v>
      </c>
      <c r="D2418" t="s">
        <v>20</v>
      </c>
      <c r="E2418" t="s">
        <v>21</v>
      </c>
      <c r="F2418">
        <v>0</v>
      </c>
      <c r="G2418">
        <v>0</v>
      </c>
      <c r="H2418">
        <v>2</v>
      </c>
      <c r="I2418" s="3">
        <v>992</v>
      </c>
      <c r="J2418" s="3">
        <v>9.1999999999999993</v>
      </c>
      <c r="L2418">
        <v>116</v>
      </c>
      <c r="M2418" t="s">
        <v>5730</v>
      </c>
      <c r="N2418" t="s">
        <v>5731</v>
      </c>
      <c r="O2418" t="s">
        <v>31</v>
      </c>
      <c r="P2418" t="str">
        <f>"15143"</f>
        <v>15143</v>
      </c>
    </row>
    <row r="2419" spans="1:16" x14ac:dyDescent="0.25">
      <c r="A2419" t="str">
        <f>"1070084F00268    00"</f>
        <v>1070084F00268    00</v>
      </c>
      <c r="B2419" t="s">
        <v>5732</v>
      </c>
      <c r="C2419" t="s">
        <v>5733</v>
      </c>
      <c r="E2419" t="s">
        <v>39</v>
      </c>
      <c r="F2419">
        <v>0</v>
      </c>
      <c r="G2419">
        <v>0</v>
      </c>
      <c r="H2419">
        <v>1</v>
      </c>
      <c r="I2419" s="3">
        <v>2290.54</v>
      </c>
      <c r="J2419" s="3">
        <v>515.36</v>
      </c>
      <c r="L2419">
        <v>340</v>
      </c>
      <c r="M2419" t="s">
        <v>5734</v>
      </c>
      <c r="N2419" t="s">
        <v>30</v>
      </c>
      <c r="O2419" t="s">
        <v>31</v>
      </c>
      <c r="P2419" t="str">
        <f>"15206"</f>
        <v>15206</v>
      </c>
    </row>
    <row r="2420" spans="1:16" x14ac:dyDescent="0.25">
      <c r="A2420" t="str">
        <f>"1070084F00281    00"</f>
        <v>1070084F00281    00</v>
      </c>
      <c r="B2420" t="s">
        <v>5735</v>
      </c>
      <c r="C2420" t="s">
        <v>5736</v>
      </c>
      <c r="D2420" t="s">
        <v>20</v>
      </c>
      <c r="E2420" t="s">
        <v>39</v>
      </c>
      <c r="F2420">
        <v>0</v>
      </c>
      <c r="G2420">
        <v>0</v>
      </c>
      <c r="H2420">
        <v>1</v>
      </c>
      <c r="I2420" s="3">
        <v>2451.12</v>
      </c>
      <c r="J2420" s="3">
        <v>0</v>
      </c>
      <c r="L2420">
        <v>39</v>
      </c>
      <c r="M2420" t="s">
        <v>5737</v>
      </c>
      <c r="N2420" t="s">
        <v>30</v>
      </c>
      <c r="O2420" t="s">
        <v>31</v>
      </c>
      <c r="P2420" t="str">
        <f>"15217"</f>
        <v>15217</v>
      </c>
    </row>
    <row r="2421" spans="1:16" x14ac:dyDescent="0.25">
      <c r="A2421" t="str">
        <f>"1070084F00288    00"</f>
        <v>1070084F00288    00</v>
      </c>
      <c r="B2421" t="s">
        <v>5738</v>
      </c>
      <c r="C2421" t="s">
        <v>5739</v>
      </c>
      <c r="D2421" t="s">
        <v>57</v>
      </c>
      <c r="E2421" t="s">
        <v>39</v>
      </c>
      <c r="F2421">
        <v>0</v>
      </c>
      <c r="G2421">
        <v>0</v>
      </c>
      <c r="H2421">
        <v>1</v>
      </c>
      <c r="I2421" s="3">
        <v>310.11</v>
      </c>
      <c r="J2421" s="3">
        <v>0</v>
      </c>
      <c r="K2421" t="s">
        <v>5740</v>
      </c>
      <c r="L2421">
        <v>241</v>
      </c>
      <c r="M2421" t="s">
        <v>5741</v>
      </c>
      <c r="N2421" t="s">
        <v>30</v>
      </c>
      <c r="O2421" t="s">
        <v>31</v>
      </c>
      <c r="P2421" t="str">
        <f>"15232"</f>
        <v>15232</v>
      </c>
    </row>
    <row r="2422" spans="1:16" x14ac:dyDescent="0.25">
      <c r="A2422" t="str">
        <f>"1070084F00335    00"</f>
        <v>1070084F00335    00</v>
      </c>
      <c r="B2422" t="s">
        <v>5742</v>
      </c>
      <c r="C2422" t="s">
        <v>5743</v>
      </c>
      <c r="D2422" t="s">
        <v>20</v>
      </c>
      <c r="E2422" t="s">
        <v>21</v>
      </c>
      <c r="F2422">
        <v>0</v>
      </c>
      <c r="G2422">
        <v>0</v>
      </c>
      <c r="H2422">
        <v>6</v>
      </c>
      <c r="I2422" s="3">
        <v>24258.52</v>
      </c>
      <c r="J2422" s="3">
        <v>4619.63</v>
      </c>
      <c r="L2422">
        <v>5884</v>
      </c>
      <c r="M2422" t="s">
        <v>1740</v>
      </c>
      <c r="N2422" t="s">
        <v>30</v>
      </c>
      <c r="O2422" t="s">
        <v>31</v>
      </c>
      <c r="P2422" t="str">
        <f>"15232"</f>
        <v>15232</v>
      </c>
    </row>
    <row r="2423" spans="1:16" x14ac:dyDescent="0.25">
      <c r="A2423" t="str">
        <f>"1070084G00040    00"</f>
        <v>1070084G00040    00</v>
      </c>
      <c r="B2423" t="s">
        <v>5744</v>
      </c>
      <c r="C2423" t="s">
        <v>5745</v>
      </c>
      <c r="D2423" t="s">
        <v>57</v>
      </c>
      <c r="E2423" t="s">
        <v>290</v>
      </c>
      <c r="F2423">
        <v>0</v>
      </c>
      <c r="G2423">
        <v>0</v>
      </c>
      <c r="H2423">
        <v>1</v>
      </c>
      <c r="I2423" s="3">
        <v>2857.7</v>
      </c>
      <c r="J2423" s="3">
        <v>904.9</v>
      </c>
      <c r="L2423">
        <v>234</v>
      </c>
      <c r="M2423" t="s">
        <v>5746</v>
      </c>
      <c r="N2423" t="s">
        <v>30</v>
      </c>
      <c r="O2423" t="s">
        <v>31</v>
      </c>
      <c r="P2423" t="str">
        <f>"15206"</f>
        <v>15206</v>
      </c>
    </row>
    <row r="2424" spans="1:16" x14ac:dyDescent="0.25">
      <c r="A2424" t="str">
        <f>"1070084G00099    00"</f>
        <v>1070084G00099    00</v>
      </c>
      <c r="B2424" t="s">
        <v>5747</v>
      </c>
      <c r="C2424" t="s">
        <v>5748</v>
      </c>
      <c r="D2424" t="s">
        <v>57</v>
      </c>
      <c r="E2424" t="s">
        <v>39</v>
      </c>
      <c r="F2424">
        <v>0</v>
      </c>
      <c r="G2424">
        <v>0</v>
      </c>
      <c r="H2424">
        <v>1</v>
      </c>
      <c r="I2424" s="3">
        <v>1344.92</v>
      </c>
      <c r="J2424" s="3">
        <v>1154.3399999999999</v>
      </c>
      <c r="K2424" t="s">
        <v>5749</v>
      </c>
      <c r="M2424" t="s">
        <v>5750</v>
      </c>
      <c r="N2424" t="s">
        <v>107</v>
      </c>
      <c r="O2424" t="s">
        <v>108</v>
      </c>
      <c r="P2424" t="str">
        <f>"75265"</f>
        <v>75265</v>
      </c>
    </row>
    <row r="2425" spans="1:16" x14ac:dyDescent="0.25">
      <c r="A2425" t="str">
        <f>"1070084G00106    00"</f>
        <v>1070084G00106    00</v>
      </c>
      <c r="B2425" t="s">
        <v>5751</v>
      </c>
      <c r="C2425" t="s">
        <v>5752</v>
      </c>
      <c r="E2425" t="s">
        <v>39</v>
      </c>
      <c r="F2425">
        <v>0</v>
      </c>
      <c r="G2425">
        <v>0</v>
      </c>
      <c r="H2425">
        <v>1</v>
      </c>
      <c r="I2425" s="3">
        <v>4980.79</v>
      </c>
      <c r="J2425" s="3">
        <v>1369.66</v>
      </c>
      <c r="K2425" t="s">
        <v>5753</v>
      </c>
      <c r="L2425">
        <v>228</v>
      </c>
      <c r="M2425" t="s">
        <v>5746</v>
      </c>
      <c r="N2425" t="s">
        <v>30</v>
      </c>
      <c r="O2425" t="s">
        <v>31</v>
      </c>
      <c r="P2425" t="str">
        <f>"15206"</f>
        <v>15206</v>
      </c>
    </row>
    <row r="2426" spans="1:16" x14ac:dyDescent="0.25">
      <c r="A2426" t="str">
        <f>"1070084G00112A   00"</f>
        <v>1070084G00112A   00</v>
      </c>
      <c r="B2426" t="s">
        <v>5754</v>
      </c>
      <c r="C2426" t="s">
        <v>5755</v>
      </c>
      <c r="D2426" t="s">
        <v>57</v>
      </c>
      <c r="E2426" t="s">
        <v>39</v>
      </c>
      <c r="F2426">
        <v>0</v>
      </c>
      <c r="G2426">
        <v>0</v>
      </c>
      <c r="H2426">
        <v>1</v>
      </c>
      <c r="I2426" s="3">
        <v>1365.91</v>
      </c>
      <c r="J2426" s="3">
        <v>385.65</v>
      </c>
      <c r="K2426" t="s">
        <v>4500</v>
      </c>
      <c r="L2426">
        <v>3001</v>
      </c>
      <c r="M2426" t="s">
        <v>330</v>
      </c>
      <c r="N2426" t="s">
        <v>331</v>
      </c>
      <c r="O2426" t="s">
        <v>108</v>
      </c>
      <c r="P2426" t="str">
        <f>"75063"</f>
        <v>75063</v>
      </c>
    </row>
    <row r="2427" spans="1:16" x14ac:dyDescent="0.25">
      <c r="A2427" t="str">
        <f>"1070084G00129    00"</f>
        <v>1070084G00129    00</v>
      </c>
      <c r="B2427" t="s">
        <v>5756</v>
      </c>
      <c r="C2427" t="s">
        <v>5757</v>
      </c>
      <c r="E2427" t="s">
        <v>39</v>
      </c>
      <c r="F2427">
        <v>0</v>
      </c>
      <c r="G2427">
        <v>0</v>
      </c>
      <c r="H2427">
        <v>1</v>
      </c>
      <c r="I2427" s="3">
        <v>1585.8</v>
      </c>
      <c r="J2427" s="3">
        <v>0</v>
      </c>
      <c r="L2427">
        <v>239</v>
      </c>
      <c r="M2427" t="s">
        <v>5746</v>
      </c>
      <c r="N2427" t="s">
        <v>30</v>
      </c>
      <c r="O2427" t="s">
        <v>31</v>
      </c>
      <c r="P2427" t="str">
        <f>"15206"</f>
        <v>15206</v>
      </c>
    </row>
    <row r="2428" spans="1:16" x14ac:dyDescent="0.25">
      <c r="A2428" t="str">
        <f>"1070084G00140    00"</f>
        <v>1070084G00140    00</v>
      </c>
      <c r="B2428" t="s">
        <v>5758</v>
      </c>
      <c r="C2428" t="s">
        <v>5759</v>
      </c>
      <c r="E2428" t="s">
        <v>39</v>
      </c>
      <c r="F2428">
        <v>0</v>
      </c>
      <c r="G2428">
        <v>0</v>
      </c>
      <c r="H2428">
        <v>2</v>
      </c>
      <c r="I2428" s="3">
        <v>992.18</v>
      </c>
      <c r="J2428" s="3">
        <v>67.849999999999994</v>
      </c>
      <c r="K2428" t="s">
        <v>4933</v>
      </c>
      <c r="L2428">
        <v>3001</v>
      </c>
      <c r="M2428" t="s">
        <v>330</v>
      </c>
      <c r="N2428" t="s">
        <v>331</v>
      </c>
      <c r="O2428" t="s">
        <v>108</v>
      </c>
      <c r="P2428" t="str">
        <f>"75063"</f>
        <v>75063</v>
      </c>
    </row>
    <row r="2429" spans="1:16" x14ac:dyDescent="0.25">
      <c r="A2429" t="str">
        <f>"1070084G00159    00"</f>
        <v>1070084G00159    00</v>
      </c>
      <c r="B2429" t="s">
        <v>5760</v>
      </c>
      <c r="C2429" t="s">
        <v>5761</v>
      </c>
      <c r="D2429" t="s">
        <v>20</v>
      </c>
      <c r="E2429" t="s">
        <v>39</v>
      </c>
      <c r="F2429">
        <v>0</v>
      </c>
      <c r="G2429">
        <v>0</v>
      </c>
      <c r="H2429">
        <v>3</v>
      </c>
      <c r="I2429" s="3">
        <v>1569.9</v>
      </c>
      <c r="J2429" s="3">
        <v>200.05</v>
      </c>
      <c r="K2429" t="s">
        <v>5762</v>
      </c>
      <c r="L2429">
        <v>220</v>
      </c>
      <c r="M2429" t="s">
        <v>5763</v>
      </c>
      <c r="N2429" t="s">
        <v>1928</v>
      </c>
      <c r="O2429" t="s">
        <v>31</v>
      </c>
      <c r="P2429" t="str">
        <f>"15317"</f>
        <v>15317</v>
      </c>
    </row>
    <row r="2430" spans="1:16" x14ac:dyDescent="0.25">
      <c r="A2430" t="str">
        <f>"1070084G00196    00"</f>
        <v>1070084G00196    00</v>
      </c>
      <c r="B2430" t="s">
        <v>5760</v>
      </c>
      <c r="C2430" t="s">
        <v>5764</v>
      </c>
      <c r="D2430" t="s">
        <v>20</v>
      </c>
      <c r="E2430" t="s">
        <v>21</v>
      </c>
      <c r="F2430">
        <v>0</v>
      </c>
      <c r="G2430">
        <v>0</v>
      </c>
      <c r="H2430">
        <v>2</v>
      </c>
      <c r="I2430" s="3">
        <v>11618.48</v>
      </c>
      <c r="J2430" s="3">
        <v>101.56</v>
      </c>
      <c r="K2430" t="s">
        <v>5762</v>
      </c>
      <c r="L2430">
        <v>220</v>
      </c>
      <c r="M2430" t="s">
        <v>5763</v>
      </c>
      <c r="N2430" t="s">
        <v>1928</v>
      </c>
      <c r="O2430" t="s">
        <v>31</v>
      </c>
      <c r="P2430" t="str">
        <f>"15317"</f>
        <v>15317</v>
      </c>
    </row>
    <row r="2431" spans="1:16" x14ac:dyDescent="0.25">
      <c r="A2431" t="str">
        <f>"1070084G0025800CU00"</f>
        <v>1070084G0025800CU00</v>
      </c>
      <c r="B2431" t="s">
        <v>5765</v>
      </c>
      <c r="C2431" t="s">
        <v>5766</v>
      </c>
      <c r="D2431" t="s">
        <v>20</v>
      </c>
      <c r="E2431" t="s">
        <v>21</v>
      </c>
      <c r="F2431">
        <v>0</v>
      </c>
      <c r="G2431">
        <v>0</v>
      </c>
      <c r="H2431">
        <v>1</v>
      </c>
      <c r="I2431" s="3">
        <v>436.56</v>
      </c>
      <c r="J2431" s="3">
        <v>0</v>
      </c>
      <c r="L2431">
        <v>560</v>
      </c>
      <c r="M2431" t="s">
        <v>5767</v>
      </c>
      <c r="N2431" t="s">
        <v>30</v>
      </c>
      <c r="O2431" t="s">
        <v>31</v>
      </c>
      <c r="P2431" t="str">
        <f>"15238"</f>
        <v>15238</v>
      </c>
    </row>
    <row r="2432" spans="1:16" x14ac:dyDescent="0.25">
      <c r="A2432" t="str">
        <f>"1070084H00032    00"</f>
        <v>1070084H00032    00</v>
      </c>
      <c r="B2432" t="s">
        <v>5768</v>
      </c>
      <c r="C2432" t="s">
        <v>5769</v>
      </c>
      <c r="D2432" t="s">
        <v>57</v>
      </c>
      <c r="E2432" t="s">
        <v>39</v>
      </c>
      <c r="F2432">
        <v>0</v>
      </c>
      <c r="G2432">
        <v>0</v>
      </c>
      <c r="H2432">
        <v>1</v>
      </c>
      <c r="I2432" s="3">
        <v>52.3</v>
      </c>
      <c r="J2432" s="3">
        <v>14.38</v>
      </c>
      <c r="L2432">
        <v>608</v>
      </c>
      <c r="M2432" t="s">
        <v>5770</v>
      </c>
      <c r="N2432" t="s">
        <v>30</v>
      </c>
      <c r="O2432" t="s">
        <v>31</v>
      </c>
      <c r="P2432" t="str">
        <f>"15215"</f>
        <v>15215</v>
      </c>
    </row>
    <row r="2433" spans="1:16" x14ac:dyDescent="0.25">
      <c r="A2433" t="str">
        <f>"1070084H00037    00"</f>
        <v>1070084H00037    00</v>
      </c>
      <c r="B2433" t="s">
        <v>5771</v>
      </c>
      <c r="C2433" t="s">
        <v>5772</v>
      </c>
      <c r="E2433" t="s">
        <v>39</v>
      </c>
      <c r="F2433">
        <v>0</v>
      </c>
      <c r="G2433">
        <v>0</v>
      </c>
      <c r="H2433">
        <v>1</v>
      </c>
      <c r="I2433" s="3">
        <v>2378.77</v>
      </c>
      <c r="J2433" s="3">
        <v>654.14</v>
      </c>
      <c r="K2433" t="s">
        <v>1108</v>
      </c>
      <c r="L2433">
        <v>8241</v>
      </c>
      <c r="M2433" t="s">
        <v>1109</v>
      </c>
      <c r="N2433" t="s">
        <v>1110</v>
      </c>
      <c r="O2433" t="s">
        <v>25</v>
      </c>
      <c r="P2433" t="str">
        <f>"44136"</f>
        <v>44136</v>
      </c>
    </row>
    <row r="2434" spans="1:16" x14ac:dyDescent="0.25">
      <c r="A2434" t="str">
        <f>"1070084H00043    00"</f>
        <v>1070084H00043    00</v>
      </c>
      <c r="B2434" t="s">
        <v>5773</v>
      </c>
      <c r="C2434" t="s">
        <v>5774</v>
      </c>
      <c r="E2434" t="s">
        <v>39</v>
      </c>
      <c r="F2434">
        <v>0</v>
      </c>
      <c r="G2434">
        <v>0</v>
      </c>
      <c r="H2434">
        <v>1</v>
      </c>
      <c r="I2434" s="3">
        <v>232.3</v>
      </c>
      <c r="J2434" s="3">
        <v>63.88</v>
      </c>
      <c r="L2434">
        <v>100</v>
      </c>
      <c r="M2434" t="s">
        <v>5734</v>
      </c>
      <c r="N2434" t="s">
        <v>30</v>
      </c>
      <c r="O2434" t="s">
        <v>31</v>
      </c>
      <c r="P2434" t="str">
        <f>"15206"</f>
        <v>15206</v>
      </c>
    </row>
    <row r="2435" spans="1:16" x14ac:dyDescent="0.25">
      <c r="A2435" t="str">
        <f>"1070084H00045    00"</f>
        <v>1070084H00045    00</v>
      </c>
      <c r="B2435" t="s">
        <v>5775</v>
      </c>
      <c r="C2435" t="s">
        <v>5776</v>
      </c>
      <c r="D2435" t="s">
        <v>20</v>
      </c>
      <c r="E2435" t="s">
        <v>39</v>
      </c>
      <c r="F2435">
        <v>0</v>
      </c>
      <c r="G2435">
        <v>0</v>
      </c>
      <c r="H2435">
        <v>4</v>
      </c>
      <c r="I2435" s="3">
        <v>23769.22</v>
      </c>
      <c r="J2435" s="3">
        <v>2807.82</v>
      </c>
      <c r="K2435" t="s">
        <v>5777</v>
      </c>
      <c r="L2435">
        <v>100</v>
      </c>
      <c r="M2435" t="s">
        <v>5778</v>
      </c>
      <c r="N2435" t="s">
        <v>30</v>
      </c>
      <c r="O2435" t="s">
        <v>31</v>
      </c>
      <c r="P2435" t="str">
        <f>"15206"</f>
        <v>15206</v>
      </c>
    </row>
    <row r="2436" spans="1:16" x14ac:dyDescent="0.25">
      <c r="A2436" t="str">
        <f>"1070084H00046    00"</f>
        <v>1070084H00046    00</v>
      </c>
      <c r="B2436" t="s">
        <v>5779</v>
      </c>
      <c r="C2436" t="s">
        <v>5780</v>
      </c>
      <c r="E2436" t="s">
        <v>39</v>
      </c>
      <c r="F2436">
        <v>0</v>
      </c>
      <c r="G2436">
        <v>0</v>
      </c>
      <c r="H2436">
        <v>2</v>
      </c>
      <c r="I2436" s="3">
        <v>5824.74</v>
      </c>
      <c r="J2436" s="3">
        <v>194.15</v>
      </c>
      <c r="K2436" t="s">
        <v>5781</v>
      </c>
      <c r="L2436">
        <v>100</v>
      </c>
      <c r="M2436" t="s">
        <v>5782</v>
      </c>
      <c r="N2436" t="s">
        <v>30</v>
      </c>
      <c r="O2436" t="s">
        <v>31</v>
      </c>
      <c r="P2436" t="str">
        <f>"15206"</f>
        <v>15206</v>
      </c>
    </row>
    <row r="2437" spans="1:16" x14ac:dyDescent="0.25">
      <c r="A2437" t="str">
        <f>"1070084H00052    00"</f>
        <v>1070084H00052    00</v>
      </c>
      <c r="B2437" t="s">
        <v>5783</v>
      </c>
      <c r="C2437" t="s">
        <v>5784</v>
      </c>
      <c r="E2437" t="s">
        <v>39</v>
      </c>
      <c r="F2437">
        <v>0</v>
      </c>
      <c r="G2437">
        <v>0</v>
      </c>
      <c r="H2437">
        <v>2</v>
      </c>
      <c r="I2437" s="3">
        <v>327.22000000000003</v>
      </c>
      <c r="J2437" s="3">
        <v>1.36</v>
      </c>
      <c r="K2437" t="s">
        <v>5396</v>
      </c>
      <c r="L2437">
        <v>3001</v>
      </c>
      <c r="M2437" t="s">
        <v>330</v>
      </c>
      <c r="N2437" t="s">
        <v>331</v>
      </c>
      <c r="O2437" t="s">
        <v>108</v>
      </c>
      <c r="P2437" t="str">
        <f>"75063"</f>
        <v>75063</v>
      </c>
    </row>
    <row r="2438" spans="1:16" x14ac:dyDescent="0.25">
      <c r="A2438" t="str">
        <f>"1070084H00060    00"</f>
        <v>1070084H00060    00</v>
      </c>
      <c r="B2438" t="s">
        <v>5785</v>
      </c>
      <c r="C2438" t="s">
        <v>5769</v>
      </c>
      <c r="E2438" t="s">
        <v>21</v>
      </c>
      <c r="F2438">
        <v>0</v>
      </c>
      <c r="G2438">
        <v>0</v>
      </c>
      <c r="H2438">
        <v>3</v>
      </c>
      <c r="I2438" s="3">
        <v>301.5</v>
      </c>
      <c r="J2438" s="3">
        <v>23.39</v>
      </c>
      <c r="K2438" t="s">
        <v>5786</v>
      </c>
      <c r="L2438">
        <v>100</v>
      </c>
      <c r="M2438" t="s">
        <v>5734</v>
      </c>
      <c r="N2438" t="s">
        <v>30</v>
      </c>
      <c r="O2438" t="s">
        <v>31</v>
      </c>
      <c r="P2438" t="str">
        <f>"15206"</f>
        <v>15206</v>
      </c>
    </row>
    <row r="2439" spans="1:16" x14ac:dyDescent="0.25">
      <c r="A2439" t="str">
        <f>"1070084H00065F20 00"</f>
        <v>1070084H00065F20 00</v>
      </c>
      <c r="B2439" t="s">
        <v>5787</v>
      </c>
      <c r="C2439" t="s">
        <v>5788</v>
      </c>
      <c r="D2439" t="s">
        <v>20</v>
      </c>
      <c r="E2439" t="s">
        <v>39</v>
      </c>
      <c r="F2439">
        <v>0</v>
      </c>
      <c r="G2439">
        <v>0</v>
      </c>
      <c r="H2439">
        <v>1</v>
      </c>
      <c r="I2439" s="3">
        <v>2072.52</v>
      </c>
      <c r="J2439" s="3">
        <v>828.97</v>
      </c>
      <c r="L2439">
        <v>100</v>
      </c>
      <c r="M2439" t="s">
        <v>5789</v>
      </c>
      <c r="N2439" t="s">
        <v>30</v>
      </c>
      <c r="O2439" t="s">
        <v>31</v>
      </c>
      <c r="P2439" t="str">
        <f>"15206"</f>
        <v>15206</v>
      </c>
    </row>
    <row r="2440" spans="1:16" x14ac:dyDescent="0.25">
      <c r="A2440" t="str">
        <f>"1070084H00070043300"</f>
        <v>1070084H00070043300</v>
      </c>
      <c r="B2440" t="s">
        <v>5790</v>
      </c>
      <c r="C2440" t="s">
        <v>5791</v>
      </c>
      <c r="E2440" t="s">
        <v>39</v>
      </c>
      <c r="F2440">
        <v>0</v>
      </c>
      <c r="G2440">
        <v>0</v>
      </c>
      <c r="H2440">
        <v>1</v>
      </c>
      <c r="I2440" s="3">
        <v>134.28</v>
      </c>
      <c r="J2440" s="3">
        <v>0</v>
      </c>
      <c r="K2440" t="s">
        <v>5792</v>
      </c>
      <c r="L2440">
        <v>100</v>
      </c>
      <c r="M2440" t="s">
        <v>5793</v>
      </c>
      <c r="N2440" t="s">
        <v>30</v>
      </c>
      <c r="O2440" t="s">
        <v>31</v>
      </c>
      <c r="P2440" t="str">
        <f>"15206"</f>
        <v>15206</v>
      </c>
    </row>
    <row r="2441" spans="1:16" x14ac:dyDescent="0.25">
      <c r="A2441" t="str">
        <f>"1070084H00070043400"</f>
        <v>1070084H00070043400</v>
      </c>
      <c r="B2441" t="s">
        <v>5794</v>
      </c>
      <c r="C2441" t="s">
        <v>5795</v>
      </c>
      <c r="D2441" t="s">
        <v>20</v>
      </c>
      <c r="E2441" t="s">
        <v>39</v>
      </c>
      <c r="F2441">
        <v>0</v>
      </c>
      <c r="G2441">
        <v>0</v>
      </c>
      <c r="H2441">
        <v>3</v>
      </c>
      <c r="I2441" s="3">
        <v>11941.15</v>
      </c>
      <c r="J2441" s="3">
        <v>477.64</v>
      </c>
      <c r="L2441">
        <v>82</v>
      </c>
      <c r="M2441" t="s">
        <v>5796</v>
      </c>
      <c r="N2441" t="s">
        <v>5797</v>
      </c>
      <c r="O2441" t="s">
        <v>200</v>
      </c>
      <c r="P2441" t="str">
        <f>"11211"</f>
        <v>11211</v>
      </c>
    </row>
    <row r="2442" spans="1:16" x14ac:dyDescent="0.25">
      <c r="A2442" t="str">
        <f>"1070084J00021    00"</f>
        <v>1070084J00021    00</v>
      </c>
      <c r="B2442" t="s">
        <v>5798</v>
      </c>
      <c r="C2442" t="s">
        <v>2925</v>
      </c>
      <c r="E2442" t="s">
        <v>21</v>
      </c>
      <c r="F2442">
        <v>0</v>
      </c>
      <c r="G2442">
        <v>0</v>
      </c>
      <c r="H2442">
        <v>1</v>
      </c>
      <c r="I2442" s="3">
        <v>193.56</v>
      </c>
      <c r="J2442" s="3">
        <v>12.91</v>
      </c>
      <c r="L2442">
        <v>255</v>
      </c>
      <c r="M2442" t="s">
        <v>5799</v>
      </c>
      <c r="N2442" t="s">
        <v>1652</v>
      </c>
      <c r="O2442" t="s">
        <v>440</v>
      </c>
      <c r="P2442" t="str">
        <f>"02458"</f>
        <v>02458</v>
      </c>
    </row>
    <row r="2443" spans="1:16" x14ac:dyDescent="0.25">
      <c r="A2443" t="str">
        <f>"1070084J00042    00"</f>
        <v>1070084J00042    00</v>
      </c>
      <c r="B2443" t="s">
        <v>5800</v>
      </c>
      <c r="C2443" t="s">
        <v>5801</v>
      </c>
      <c r="D2443" t="s">
        <v>20</v>
      </c>
      <c r="E2443" t="s">
        <v>39</v>
      </c>
      <c r="F2443">
        <v>0</v>
      </c>
      <c r="G2443">
        <v>0</v>
      </c>
      <c r="H2443">
        <v>3</v>
      </c>
      <c r="I2443" s="3">
        <v>693.51</v>
      </c>
      <c r="J2443" s="3">
        <v>67.38</v>
      </c>
      <c r="L2443">
        <v>555</v>
      </c>
      <c r="M2443" t="s">
        <v>5802</v>
      </c>
      <c r="N2443" t="s">
        <v>30</v>
      </c>
      <c r="O2443" t="s">
        <v>31</v>
      </c>
      <c r="P2443" t="str">
        <f>"15232"</f>
        <v>15232</v>
      </c>
    </row>
    <row r="2444" spans="1:16" x14ac:dyDescent="0.25">
      <c r="A2444" t="str">
        <f>"1070084J00043B   00"</f>
        <v>1070084J00043B   00</v>
      </c>
      <c r="B2444" t="s">
        <v>5800</v>
      </c>
      <c r="C2444" t="s">
        <v>5803</v>
      </c>
      <c r="D2444" t="s">
        <v>20</v>
      </c>
      <c r="E2444" t="s">
        <v>39</v>
      </c>
      <c r="F2444">
        <v>0</v>
      </c>
      <c r="G2444">
        <v>0</v>
      </c>
      <c r="H2444">
        <v>3</v>
      </c>
      <c r="I2444" s="3">
        <v>8209.7900000000009</v>
      </c>
      <c r="J2444" s="3">
        <v>559.14</v>
      </c>
      <c r="K2444" t="s">
        <v>5804</v>
      </c>
      <c r="M2444" t="s">
        <v>570</v>
      </c>
      <c r="N2444" t="s">
        <v>571</v>
      </c>
      <c r="O2444" t="s">
        <v>423</v>
      </c>
      <c r="P2444" t="str">
        <f>"07101"</f>
        <v>07101</v>
      </c>
    </row>
    <row r="2445" spans="1:16" x14ac:dyDescent="0.25">
      <c r="A2445" t="str">
        <f>"1070084J00073    00"</f>
        <v>1070084J00073    00</v>
      </c>
      <c r="B2445" t="s">
        <v>5805</v>
      </c>
      <c r="C2445" t="s">
        <v>5806</v>
      </c>
      <c r="D2445" t="s">
        <v>20</v>
      </c>
      <c r="E2445" t="s">
        <v>21</v>
      </c>
      <c r="F2445">
        <v>0</v>
      </c>
      <c r="G2445">
        <v>0</v>
      </c>
      <c r="H2445">
        <v>3</v>
      </c>
      <c r="I2445" s="3">
        <v>7359.09</v>
      </c>
      <c r="J2445" s="3">
        <v>490.6</v>
      </c>
      <c r="K2445" t="s">
        <v>5807</v>
      </c>
      <c r="L2445">
        <v>607</v>
      </c>
      <c r="M2445" t="s">
        <v>5808</v>
      </c>
      <c r="N2445" t="s">
        <v>30</v>
      </c>
      <c r="O2445" t="s">
        <v>31</v>
      </c>
      <c r="P2445" t="str">
        <f>"15232"</f>
        <v>15232</v>
      </c>
    </row>
    <row r="2446" spans="1:16" x14ac:dyDescent="0.25">
      <c r="A2446" t="str">
        <f>"1070084J00076    00"</f>
        <v>1070084J00076    00</v>
      </c>
      <c r="B2446" t="s">
        <v>5805</v>
      </c>
      <c r="C2446" t="s">
        <v>5806</v>
      </c>
      <c r="D2446" t="s">
        <v>20</v>
      </c>
      <c r="E2446" t="s">
        <v>21</v>
      </c>
      <c r="F2446">
        <v>0</v>
      </c>
      <c r="G2446">
        <v>0</v>
      </c>
      <c r="H2446">
        <v>3</v>
      </c>
      <c r="I2446" s="3">
        <v>5712.3</v>
      </c>
      <c r="J2446" s="3">
        <v>380.81</v>
      </c>
      <c r="K2446" t="s">
        <v>5807</v>
      </c>
      <c r="L2446">
        <v>174</v>
      </c>
      <c r="M2446" t="s">
        <v>5809</v>
      </c>
      <c r="N2446" t="s">
        <v>30</v>
      </c>
      <c r="O2446" t="s">
        <v>31</v>
      </c>
      <c r="P2446" t="str">
        <f>"15206"</f>
        <v>15206</v>
      </c>
    </row>
    <row r="2447" spans="1:16" x14ac:dyDescent="0.25">
      <c r="A2447" t="str">
        <f>"1070084J00082    00"</f>
        <v>1070084J00082    00</v>
      </c>
      <c r="B2447" t="s">
        <v>5810</v>
      </c>
      <c r="C2447" t="s">
        <v>5811</v>
      </c>
      <c r="D2447" t="s">
        <v>20</v>
      </c>
      <c r="E2447" t="s">
        <v>21</v>
      </c>
      <c r="F2447">
        <v>0</v>
      </c>
      <c r="G2447">
        <v>0</v>
      </c>
      <c r="H2447">
        <v>1</v>
      </c>
      <c r="I2447" s="3">
        <v>49.06</v>
      </c>
      <c r="J2447" s="3">
        <v>0</v>
      </c>
      <c r="L2447">
        <v>5724</v>
      </c>
      <c r="M2447" t="s">
        <v>1740</v>
      </c>
      <c r="N2447" t="s">
        <v>30</v>
      </c>
      <c r="O2447" t="s">
        <v>31</v>
      </c>
      <c r="P2447" t="str">
        <f>"15232"</f>
        <v>15232</v>
      </c>
    </row>
    <row r="2448" spans="1:16" x14ac:dyDescent="0.25">
      <c r="A2448" t="str">
        <f>"1070084J00094    00"</f>
        <v>1070084J00094    00</v>
      </c>
      <c r="B2448" t="s">
        <v>5812</v>
      </c>
      <c r="C2448" t="s">
        <v>5813</v>
      </c>
      <c r="E2448" t="s">
        <v>39</v>
      </c>
      <c r="F2448">
        <v>0</v>
      </c>
      <c r="G2448">
        <v>0</v>
      </c>
      <c r="H2448">
        <v>1</v>
      </c>
      <c r="I2448" s="3">
        <v>1395.03</v>
      </c>
      <c r="J2448" s="3">
        <v>0</v>
      </c>
      <c r="K2448" t="s">
        <v>5814</v>
      </c>
      <c r="L2448">
        <v>5949</v>
      </c>
      <c r="M2448" t="s">
        <v>5815</v>
      </c>
      <c r="N2448" t="s">
        <v>903</v>
      </c>
      <c r="O2448" t="s">
        <v>31</v>
      </c>
      <c r="P2448" t="str">
        <f>"15136"</f>
        <v>15136</v>
      </c>
    </row>
    <row r="2449" spans="1:16" x14ac:dyDescent="0.25">
      <c r="A2449" t="str">
        <f>"1070084J00168    00"</f>
        <v>1070084J00168    00</v>
      </c>
      <c r="B2449" t="s">
        <v>5816</v>
      </c>
      <c r="C2449" t="s">
        <v>5817</v>
      </c>
      <c r="E2449" t="s">
        <v>39</v>
      </c>
      <c r="F2449">
        <v>0</v>
      </c>
      <c r="G2449">
        <v>0</v>
      </c>
      <c r="H2449">
        <v>1</v>
      </c>
      <c r="I2449" s="3">
        <v>117.63</v>
      </c>
      <c r="J2449" s="3">
        <v>0</v>
      </c>
      <c r="L2449">
        <v>5859</v>
      </c>
      <c r="M2449" t="s">
        <v>5818</v>
      </c>
      <c r="N2449" t="s">
        <v>30</v>
      </c>
      <c r="O2449" t="s">
        <v>31</v>
      </c>
      <c r="P2449" t="str">
        <f>"15232"</f>
        <v>15232</v>
      </c>
    </row>
    <row r="2450" spans="1:16" x14ac:dyDescent="0.25">
      <c r="A2450" t="str">
        <f>"1070084J00214    00"</f>
        <v>1070084J00214    00</v>
      </c>
      <c r="B2450" t="s">
        <v>5819</v>
      </c>
      <c r="C2450" t="s">
        <v>5820</v>
      </c>
      <c r="E2450" t="s">
        <v>39</v>
      </c>
      <c r="F2450">
        <v>0</v>
      </c>
      <c r="G2450">
        <v>0</v>
      </c>
      <c r="H2450">
        <v>1</v>
      </c>
      <c r="I2450" s="3">
        <v>2229.5500000000002</v>
      </c>
      <c r="J2450" s="3">
        <v>501.63</v>
      </c>
      <c r="M2450" t="s">
        <v>5821</v>
      </c>
      <c r="N2450" t="s">
        <v>5822</v>
      </c>
      <c r="O2450" t="s">
        <v>31</v>
      </c>
      <c r="P2450" t="str">
        <f>"15560"</f>
        <v>15560</v>
      </c>
    </row>
    <row r="2451" spans="1:16" x14ac:dyDescent="0.25">
      <c r="A2451" t="str">
        <f>"1070084J00231    00"</f>
        <v>1070084J00231    00</v>
      </c>
      <c r="B2451" t="s">
        <v>5823</v>
      </c>
      <c r="C2451" t="s">
        <v>5824</v>
      </c>
      <c r="D2451" t="s">
        <v>20</v>
      </c>
      <c r="E2451" t="s">
        <v>21</v>
      </c>
      <c r="F2451">
        <v>0</v>
      </c>
      <c r="G2451">
        <v>0</v>
      </c>
      <c r="H2451">
        <v>1</v>
      </c>
      <c r="I2451" s="3">
        <v>2585.62</v>
      </c>
      <c r="J2451" s="3">
        <v>818.75</v>
      </c>
      <c r="L2451">
        <v>6607</v>
      </c>
      <c r="M2451" t="s">
        <v>2312</v>
      </c>
      <c r="N2451" t="s">
        <v>30</v>
      </c>
      <c r="O2451" t="s">
        <v>31</v>
      </c>
      <c r="P2451" t="str">
        <f>"15217"</f>
        <v>15217</v>
      </c>
    </row>
    <row r="2452" spans="1:16" x14ac:dyDescent="0.25">
      <c r="A2452" t="str">
        <f>"1070084J00233    00"</f>
        <v>1070084J00233    00</v>
      </c>
      <c r="B2452" t="s">
        <v>5825</v>
      </c>
      <c r="C2452" t="s">
        <v>5826</v>
      </c>
      <c r="E2452" t="s">
        <v>21</v>
      </c>
      <c r="F2452">
        <v>0</v>
      </c>
      <c r="G2452">
        <v>0</v>
      </c>
      <c r="H2452">
        <v>2</v>
      </c>
      <c r="I2452" s="3">
        <v>3783.94</v>
      </c>
      <c r="J2452" s="3">
        <v>246.05</v>
      </c>
      <c r="L2452">
        <v>5213</v>
      </c>
      <c r="M2452" t="s">
        <v>174</v>
      </c>
      <c r="N2452" t="s">
        <v>30</v>
      </c>
      <c r="O2452" t="s">
        <v>31</v>
      </c>
      <c r="P2452" t="str">
        <f>"15232"</f>
        <v>15232</v>
      </c>
    </row>
    <row r="2453" spans="1:16" x14ac:dyDescent="0.25">
      <c r="A2453" t="str">
        <f>"1070084J00262    00"</f>
        <v>1070084J00262    00</v>
      </c>
      <c r="B2453" t="s">
        <v>5827</v>
      </c>
      <c r="C2453" t="s">
        <v>5828</v>
      </c>
      <c r="D2453" t="s">
        <v>20</v>
      </c>
      <c r="E2453" t="s">
        <v>39</v>
      </c>
      <c r="F2453">
        <v>0</v>
      </c>
      <c r="G2453">
        <v>0</v>
      </c>
      <c r="H2453">
        <v>4</v>
      </c>
      <c r="I2453" s="3">
        <v>5100</v>
      </c>
      <c r="J2453" s="3">
        <v>1488.26</v>
      </c>
      <c r="L2453">
        <v>5862</v>
      </c>
      <c r="M2453" t="s">
        <v>5829</v>
      </c>
      <c r="N2453" t="s">
        <v>30</v>
      </c>
      <c r="O2453" t="s">
        <v>31</v>
      </c>
      <c r="P2453" t="str">
        <f>"15232"</f>
        <v>15232</v>
      </c>
    </row>
    <row r="2454" spans="1:16" x14ac:dyDescent="0.25">
      <c r="A2454" t="str">
        <f>"1070084J00327    00"</f>
        <v>1070084J00327    00</v>
      </c>
      <c r="B2454" t="s">
        <v>5830</v>
      </c>
      <c r="C2454" t="s">
        <v>5831</v>
      </c>
      <c r="E2454" t="s">
        <v>39</v>
      </c>
      <c r="F2454">
        <v>0</v>
      </c>
      <c r="G2454">
        <v>0</v>
      </c>
      <c r="H2454">
        <v>1</v>
      </c>
      <c r="I2454" s="3">
        <v>3127.76</v>
      </c>
      <c r="J2454" s="3">
        <v>208.51</v>
      </c>
      <c r="L2454">
        <v>5500</v>
      </c>
      <c r="M2454" t="s">
        <v>5832</v>
      </c>
      <c r="N2454" t="s">
        <v>30</v>
      </c>
      <c r="O2454" t="s">
        <v>31</v>
      </c>
      <c r="P2454" t="str">
        <f>"15206"</f>
        <v>15206</v>
      </c>
    </row>
    <row r="2455" spans="1:16" x14ac:dyDescent="0.25">
      <c r="A2455" t="str">
        <f>"1070084J00378    00"</f>
        <v>1070084J00378    00</v>
      </c>
      <c r="B2455" t="s">
        <v>5833</v>
      </c>
      <c r="C2455" t="s">
        <v>5834</v>
      </c>
      <c r="E2455" t="s">
        <v>39</v>
      </c>
      <c r="F2455">
        <v>0</v>
      </c>
      <c r="G2455">
        <v>0</v>
      </c>
      <c r="H2455">
        <v>7</v>
      </c>
      <c r="I2455" s="3">
        <v>415.31</v>
      </c>
      <c r="J2455" s="3">
        <v>606.63</v>
      </c>
      <c r="P2455" t="str">
        <f>""</f>
        <v/>
      </c>
    </row>
    <row r="2456" spans="1:16" x14ac:dyDescent="0.25">
      <c r="A2456" t="str">
        <f>"1070084K00001    00"</f>
        <v>1070084K00001    00</v>
      </c>
      <c r="B2456" t="s">
        <v>5835</v>
      </c>
      <c r="C2456" t="s">
        <v>5836</v>
      </c>
      <c r="E2456" t="s">
        <v>39</v>
      </c>
      <c r="F2456">
        <v>0</v>
      </c>
      <c r="G2456">
        <v>0</v>
      </c>
      <c r="H2456">
        <v>1</v>
      </c>
      <c r="I2456" s="3">
        <v>2582.64</v>
      </c>
      <c r="J2456" s="3">
        <v>0</v>
      </c>
      <c r="L2456">
        <v>1100</v>
      </c>
      <c r="M2456" t="s">
        <v>5837</v>
      </c>
      <c r="N2456" t="s">
        <v>30</v>
      </c>
      <c r="O2456" t="s">
        <v>31</v>
      </c>
      <c r="P2456" t="str">
        <f>"15206"</f>
        <v>15206</v>
      </c>
    </row>
    <row r="2457" spans="1:16" x14ac:dyDescent="0.25">
      <c r="A2457" t="str">
        <f>"1070084K00007    00"</f>
        <v>1070084K00007    00</v>
      </c>
      <c r="B2457" t="s">
        <v>5838</v>
      </c>
      <c r="C2457" t="s">
        <v>5839</v>
      </c>
      <c r="E2457" t="s">
        <v>21</v>
      </c>
      <c r="F2457">
        <v>0</v>
      </c>
      <c r="G2457">
        <v>0</v>
      </c>
      <c r="H2457">
        <v>5</v>
      </c>
      <c r="I2457" s="3">
        <v>25698.37</v>
      </c>
      <c r="J2457" s="3">
        <v>1428.42</v>
      </c>
      <c r="L2457">
        <v>5880</v>
      </c>
      <c r="M2457" t="s">
        <v>1740</v>
      </c>
      <c r="N2457" t="s">
        <v>30</v>
      </c>
      <c r="O2457" t="s">
        <v>31</v>
      </c>
      <c r="P2457" t="str">
        <f>"15232"</f>
        <v>15232</v>
      </c>
    </row>
    <row r="2458" spans="1:16" x14ac:dyDescent="0.25">
      <c r="A2458" t="str">
        <f>"1070084K00008    00"</f>
        <v>1070084K00008    00</v>
      </c>
      <c r="B2458" t="s">
        <v>5840</v>
      </c>
      <c r="C2458" t="s">
        <v>5841</v>
      </c>
      <c r="D2458" t="s">
        <v>20</v>
      </c>
      <c r="E2458" t="s">
        <v>39</v>
      </c>
      <c r="F2458">
        <v>0</v>
      </c>
      <c r="G2458">
        <v>0</v>
      </c>
      <c r="H2458">
        <v>1</v>
      </c>
      <c r="I2458" s="3">
        <v>6112.55</v>
      </c>
      <c r="J2458" s="3">
        <v>0</v>
      </c>
      <c r="L2458">
        <v>5876</v>
      </c>
      <c r="M2458" t="s">
        <v>5842</v>
      </c>
      <c r="N2458" t="s">
        <v>30</v>
      </c>
      <c r="O2458" t="s">
        <v>31</v>
      </c>
      <c r="P2458" t="str">
        <f>"15232"</f>
        <v>15232</v>
      </c>
    </row>
    <row r="2459" spans="1:16" x14ac:dyDescent="0.25">
      <c r="A2459" t="str">
        <f>"1070084K00022    00"</f>
        <v>1070084K00022    00</v>
      </c>
      <c r="B2459" t="s">
        <v>5843</v>
      </c>
      <c r="C2459" t="s">
        <v>5844</v>
      </c>
      <c r="D2459" t="s">
        <v>20</v>
      </c>
      <c r="E2459" t="s">
        <v>39</v>
      </c>
      <c r="F2459">
        <v>0</v>
      </c>
      <c r="G2459">
        <v>0</v>
      </c>
      <c r="H2459">
        <v>1</v>
      </c>
      <c r="I2459" s="3">
        <v>43.46</v>
      </c>
      <c r="J2459" s="3">
        <v>0</v>
      </c>
      <c r="K2459" t="s">
        <v>5845</v>
      </c>
      <c r="L2459">
        <v>1040</v>
      </c>
      <c r="M2459" t="s">
        <v>5846</v>
      </c>
      <c r="N2459" t="s">
        <v>5847</v>
      </c>
      <c r="O2459" t="s">
        <v>31</v>
      </c>
      <c r="P2459" t="str">
        <f>"15139"</f>
        <v>15139</v>
      </c>
    </row>
    <row r="2460" spans="1:16" x14ac:dyDescent="0.25">
      <c r="A2460" t="str">
        <f>"1070084K00027    00"</f>
        <v>1070084K00027    00</v>
      </c>
      <c r="B2460" t="s">
        <v>5848</v>
      </c>
      <c r="C2460" t="s">
        <v>5849</v>
      </c>
      <c r="D2460" t="s">
        <v>20</v>
      </c>
      <c r="E2460" t="s">
        <v>39</v>
      </c>
      <c r="F2460">
        <v>0</v>
      </c>
      <c r="G2460">
        <v>0</v>
      </c>
      <c r="H2460">
        <v>1</v>
      </c>
      <c r="I2460" s="3">
        <v>5453.53</v>
      </c>
      <c r="J2460" s="3">
        <v>0</v>
      </c>
      <c r="K2460" t="s">
        <v>445</v>
      </c>
      <c r="L2460">
        <v>1</v>
      </c>
      <c r="M2460" t="s">
        <v>1163</v>
      </c>
      <c r="N2460" t="s">
        <v>1164</v>
      </c>
      <c r="O2460" t="s">
        <v>108</v>
      </c>
      <c r="P2460" t="str">
        <f>"76262"</f>
        <v>76262</v>
      </c>
    </row>
    <row r="2461" spans="1:16" x14ac:dyDescent="0.25">
      <c r="A2461" t="str">
        <f>"1070084K00040000400"</f>
        <v>1070084K00040000400</v>
      </c>
      <c r="B2461" t="s">
        <v>5850</v>
      </c>
      <c r="C2461" t="s">
        <v>5851</v>
      </c>
      <c r="E2461" t="s">
        <v>39</v>
      </c>
      <c r="F2461">
        <v>0</v>
      </c>
      <c r="G2461">
        <v>0</v>
      </c>
      <c r="H2461">
        <v>2</v>
      </c>
      <c r="I2461" s="3">
        <v>1238.92</v>
      </c>
      <c r="J2461" s="3">
        <v>61.93</v>
      </c>
      <c r="K2461" t="s">
        <v>400</v>
      </c>
      <c r="L2461">
        <v>3001</v>
      </c>
      <c r="M2461" t="s">
        <v>330</v>
      </c>
      <c r="N2461" t="s">
        <v>331</v>
      </c>
      <c r="O2461" t="s">
        <v>108</v>
      </c>
      <c r="P2461" t="str">
        <f>"75063"</f>
        <v>75063</v>
      </c>
    </row>
    <row r="2462" spans="1:16" x14ac:dyDescent="0.25">
      <c r="A2462" t="str">
        <f>"1070084K00053    00"</f>
        <v>1070084K00053    00</v>
      </c>
      <c r="B2462" t="s">
        <v>5852</v>
      </c>
      <c r="C2462" t="s">
        <v>5853</v>
      </c>
      <c r="D2462" t="s">
        <v>20</v>
      </c>
      <c r="E2462" t="s">
        <v>39</v>
      </c>
      <c r="F2462">
        <v>0</v>
      </c>
      <c r="G2462">
        <v>0</v>
      </c>
      <c r="H2462">
        <v>1</v>
      </c>
      <c r="I2462" s="3">
        <v>2617.4</v>
      </c>
      <c r="J2462" s="3">
        <v>0</v>
      </c>
      <c r="L2462">
        <v>629</v>
      </c>
      <c r="M2462" t="s">
        <v>5854</v>
      </c>
      <c r="N2462" t="s">
        <v>30</v>
      </c>
      <c r="O2462" t="s">
        <v>31</v>
      </c>
      <c r="P2462" t="str">
        <f>"15232"</f>
        <v>15232</v>
      </c>
    </row>
    <row r="2463" spans="1:16" x14ac:dyDescent="0.25">
      <c r="A2463" t="str">
        <f>"1070084K00057    00"</f>
        <v>1070084K00057    00</v>
      </c>
      <c r="B2463" t="s">
        <v>5855</v>
      </c>
      <c r="C2463" t="s">
        <v>5856</v>
      </c>
      <c r="E2463" t="s">
        <v>39</v>
      </c>
      <c r="F2463">
        <v>0</v>
      </c>
      <c r="G2463">
        <v>0</v>
      </c>
      <c r="H2463">
        <v>1</v>
      </c>
      <c r="I2463" s="3">
        <v>301.14999999999998</v>
      </c>
      <c r="J2463" s="3">
        <v>30.1</v>
      </c>
      <c r="K2463" t="s">
        <v>881</v>
      </c>
      <c r="L2463">
        <v>3001</v>
      </c>
      <c r="M2463" t="s">
        <v>330</v>
      </c>
      <c r="N2463" t="s">
        <v>331</v>
      </c>
      <c r="O2463" t="s">
        <v>108</v>
      </c>
      <c r="P2463" t="str">
        <f>"75063"</f>
        <v>75063</v>
      </c>
    </row>
    <row r="2464" spans="1:16" x14ac:dyDescent="0.25">
      <c r="A2464" t="str">
        <f>"1070084K00095    00"</f>
        <v>1070084K00095    00</v>
      </c>
      <c r="B2464" t="s">
        <v>5857</v>
      </c>
      <c r="C2464" t="s">
        <v>5858</v>
      </c>
      <c r="E2464" t="s">
        <v>39</v>
      </c>
      <c r="F2464">
        <v>0</v>
      </c>
      <c r="G2464">
        <v>0</v>
      </c>
      <c r="H2464">
        <v>2</v>
      </c>
      <c r="I2464" s="3">
        <v>1521</v>
      </c>
      <c r="J2464" s="3">
        <v>19.010000000000002</v>
      </c>
      <c r="K2464" t="s">
        <v>881</v>
      </c>
      <c r="L2464">
        <v>3001</v>
      </c>
      <c r="M2464" t="s">
        <v>330</v>
      </c>
      <c r="N2464" t="s">
        <v>331</v>
      </c>
      <c r="O2464" t="s">
        <v>108</v>
      </c>
      <c r="P2464" t="str">
        <f>"75063"</f>
        <v>75063</v>
      </c>
    </row>
    <row r="2465" spans="1:16" x14ac:dyDescent="0.25">
      <c r="A2465" t="str">
        <f>"1070084K00106    00"</f>
        <v>1070084K00106    00</v>
      </c>
      <c r="B2465" t="s">
        <v>5859</v>
      </c>
      <c r="C2465" t="s">
        <v>5860</v>
      </c>
      <c r="D2465" t="s">
        <v>57</v>
      </c>
      <c r="E2465" t="s">
        <v>39</v>
      </c>
      <c r="F2465">
        <v>0</v>
      </c>
      <c r="G2465">
        <v>0</v>
      </c>
      <c r="H2465">
        <v>2</v>
      </c>
      <c r="I2465" s="3">
        <v>4006.44</v>
      </c>
      <c r="J2465" s="3">
        <v>116.85</v>
      </c>
      <c r="K2465" t="s">
        <v>5861</v>
      </c>
      <c r="L2465">
        <v>3001</v>
      </c>
      <c r="M2465" t="s">
        <v>404</v>
      </c>
      <c r="N2465" t="s">
        <v>331</v>
      </c>
      <c r="O2465" t="s">
        <v>108</v>
      </c>
      <c r="P2465" t="str">
        <f>"75063"</f>
        <v>75063</v>
      </c>
    </row>
    <row r="2466" spans="1:16" x14ac:dyDescent="0.25">
      <c r="A2466" t="str">
        <f>"1070084K00120    00"</f>
        <v>1070084K00120    00</v>
      </c>
      <c r="B2466" t="s">
        <v>5862</v>
      </c>
      <c r="C2466" t="s">
        <v>5863</v>
      </c>
      <c r="D2466" t="s">
        <v>57</v>
      </c>
      <c r="E2466" t="s">
        <v>39</v>
      </c>
      <c r="F2466">
        <v>0</v>
      </c>
      <c r="G2466">
        <v>0</v>
      </c>
      <c r="H2466">
        <v>2</v>
      </c>
      <c r="I2466" s="3">
        <v>4509.62</v>
      </c>
      <c r="J2466" s="3">
        <v>56.37</v>
      </c>
      <c r="K2466" t="s">
        <v>756</v>
      </c>
      <c r="L2466">
        <v>3001</v>
      </c>
      <c r="M2466" t="s">
        <v>330</v>
      </c>
      <c r="N2466" t="s">
        <v>331</v>
      </c>
      <c r="O2466" t="s">
        <v>108</v>
      </c>
      <c r="P2466" t="str">
        <f>"75063"</f>
        <v>75063</v>
      </c>
    </row>
    <row r="2467" spans="1:16" x14ac:dyDescent="0.25">
      <c r="A2467" t="str">
        <f>"1070084K00136    00"</f>
        <v>1070084K00136    00</v>
      </c>
      <c r="B2467" t="s">
        <v>5864</v>
      </c>
      <c r="C2467" t="s">
        <v>5865</v>
      </c>
      <c r="D2467" t="s">
        <v>57</v>
      </c>
      <c r="E2467" t="s">
        <v>39</v>
      </c>
      <c r="F2467">
        <v>0</v>
      </c>
      <c r="G2467">
        <v>0</v>
      </c>
      <c r="H2467">
        <v>2</v>
      </c>
      <c r="I2467" s="3">
        <v>5329.2</v>
      </c>
      <c r="J2467" s="3">
        <v>234.27</v>
      </c>
      <c r="L2467">
        <v>342</v>
      </c>
      <c r="M2467" t="s">
        <v>5866</v>
      </c>
      <c r="N2467" t="s">
        <v>30</v>
      </c>
      <c r="O2467" t="s">
        <v>31</v>
      </c>
      <c r="P2467" t="str">
        <f>"15232"</f>
        <v>15232</v>
      </c>
    </row>
    <row r="2468" spans="1:16" x14ac:dyDescent="0.25">
      <c r="A2468" t="str">
        <f>"1070084K00138    00"</f>
        <v>1070084K00138    00</v>
      </c>
      <c r="B2468" t="s">
        <v>5867</v>
      </c>
      <c r="C2468" t="s">
        <v>5868</v>
      </c>
      <c r="D2468" t="s">
        <v>20</v>
      </c>
      <c r="E2468" t="s">
        <v>39</v>
      </c>
      <c r="F2468">
        <v>0</v>
      </c>
      <c r="G2468">
        <v>0</v>
      </c>
      <c r="H2468">
        <v>1</v>
      </c>
      <c r="I2468" s="3">
        <v>199.5</v>
      </c>
      <c r="J2468" s="3">
        <v>0</v>
      </c>
      <c r="K2468" t="s">
        <v>5869</v>
      </c>
      <c r="L2468">
        <v>348</v>
      </c>
      <c r="M2468" t="s">
        <v>5866</v>
      </c>
      <c r="N2468" t="s">
        <v>30</v>
      </c>
      <c r="O2468" t="s">
        <v>31</v>
      </c>
      <c r="P2468" t="str">
        <f>"15232"</f>
        <v>15232</v>
      </c>
    </row>
    <row r="2469" spans="1:16" x14ac:dyDescent="0.25">
      <c r="A2469" t="str">
        <f>"1070084K00140000400"</f>
        <v>1070084K00140000400</v>
      </c>
      <c r="B2469" t="s">
        <v>5867</v>
      </c>
      <c r="C2469" t="s">
        <v>5868</v>
      </c>
      <c r="D2469" t="s">
        <v>20</v>
      </c>
      <c r="E2469" t="s">
        <v>39</v>
      </c>
      <c r="F2469">
        <v>0</v>
      </c>
      <c r="G2469">
        <v>0</v>
      </c>
      <c r="H2469">
        <v>1</v>
      </c>
      <c r="I2469" s="3">
        <v>1011.44</v>
      </c>
      <c r="J2469" s="3">
        <v>0</v>
      </c>
      <c r="K2469" t="s">
        <v>5869</v>
      </c>
      <c r="L2469">
        <v>348</v>
      </c>
      <c r="M2469" t="s">
        <v>5866</v>
      </c>
      <c r="N2469" t="s">
        <v>30</v>
      </c>
      <c r="O2469" t="s">
        <v>31</v>
      </c>
      <c r="P2469" t="str">
        <f>"15232"</f>
        <v>15232</v>
      </c>
    </row>
    <row r="2470" spans="1:16" x14ac:dyDescent="0.25">
      <c r="A2470" t="str">
        <f>"1070084K00149    00"</f>
        <v>1070084K00149    00</v>
      </c>
      <c r="B2470" t="s">
        <v>5870</v>
      </c>
      <c r="C2470" t="s">
        <v>5871</v>
      </c>
      <c r="E2470" t="s">
        <v>39</v>
      </c>
      <c r="F2470">
        <v>0</v>
      </c>
      <c r="G2470">
        <v>0</v>
      </c>
      <c r="H2470">
        <v>1</v>
      </c>
      <c r="I2470" s="3">
        <v>951.06</v>
      </c>
      <c r="J2470" s="3">
        <v>705.34</v>
      </c>
      <c r="K2470" t="s">
        <v>400</v>
      </c>
      <c r="L2470">
        <v>3001</v>
      </c>
      <c r="M2470" t="s">
        <v>330</v>
      </c>
      <c r="N2470" t="s">
        <v>331</v>
      </c>
      <c r="O2470" t="s">
        <v>108</v>
      </c>
      <c r="P2470" t="str">
        <f>"75063"</f>
        <v>75063</v>
      </c>
    </row>
    <row r="2471" spans="1:16" x14ac:dyDescent="0.25">
      <c r="A2471" t="str">
        <f>"1070084K00160000200"</f>
        <v>1070084K00160000200</v>
      </c>
      <c r="B2471" t="s">
        <v>5872</v>
      </c>
      <c r="C2471" t="s">
        <v>5873</v>
      </c>
      <c r="D2471" t="s">
        <v>20</v>
      </c>
      <c r="E2471" t="s">
        <v>39</v>
      </c>
      <c r="F2471">
        <v>0</v>
      </c>
      <c r="G2471">
        <v>0</v>
      </c>
      <c r="H2471">
        <v>3</v>
      </c>
      <c r="I2471" s="3">
        <v>12621.52</v>
      </c>
      <c r="J2471" s="3">
        <v>378.65</v>
      </c>
      <c r="K2471" t="s">
        <v>881</v>
      </c>
      <c r="L2471">
        <v>3001</v>
      </c>
      <c r="M2471" t="s">
        <v>330</v>
      </c>
      <c r="N2471" t="s">
        <v>331</v>
      </c>
      <c r="O2471" t="s">
        <v>108</v>
      </c>
      <c r="P2471" t="str">
        <f>"75063"</f>
        <v>75063</v>
      </c>
    </row>
    <row r="2472" spans="1:16" x14ac:dyDescent="0.25">
      <c r="A2472" t="str">
        <f>"1070084K00173    00"</f>
        <v>1070084K00173    00</v>
      </c>
      <c r="B2472" t="s">
        <v>5874</v>
      </c>
      <c r="C2472" t="s">
        <v>5875</v>
      </c>
      <c r="E2472" t="s">
        <v>39</v>
      </c>
      <c r="F2472">
        <v>0</v>
      </c>
      <c r="G2472">
        <v>0</v>
      </c>
      <c r="H2472">
        <v>1</v>
      </c>
      <c r="I2472" s="3">
        <v>3898.33</v>
      </c>
      <c r="J2472" s="3">
        <v>1072</v>
      </c>
      <c r="L2472">
        <v>318</v>
      </c>
      <c r="M2472" t="s">
        <v>5876</v>
      </c>
      <c r="N2472" t="s">
        <v>30</v>
      </c>
      <c r="O2472" t="s">
        <v>31</v>
      </c>
      <c r="P2472" t="str">
        <f>"15232"</f>
        <v>15232</v>
      </c>
    </row>
    <row r="2473" spans="1:16" x14ac:dyDescent="0.25">
      <c r="A2473" t="str">
        <f>"1070084K00212    00"</f>
        <v>1070084K00212    00</v>
      </c>
      <c r="B2473" t="s">
        <v>5877</v>
      </c>
      <c r="C2473" t="s">
        <v>5878</v>
      </c>
      <c r="E2473" t="s">
        <v>39</v>
      </c>
      <c r="F2473">
        <v>0</v>
      </c>
      <c r="G2473">
        <v>0</v>
      </c>
      <c r="H2473">
        <v>2</v>
      </c>
      <c r="I2473" s="3">
        <v>1315.16</v>
      </c>
      <c r="J2473" s="3">
        <v>65.75</v>
      </c>
      <c r="L2473">
        <v>321</v>
      </c>
      <c r="M2473" t="s">
        <v>5876</v>
      </c>
      <c r="N2473" t="s">
        <v>30</v>
      </c>
      <c r="O2473" t="s">
        <v>31</v>
      </c>
      <c r="P2473" t="str">
        <f>"15232"</f>
        <v>15232</v>
      </c>
    </row>
    <row r="2474" spans="1:16" x14ac:dyDescent="0.25">
      <c r="A2474" t="str">
        <f>"1070084K00229    00"</f>
        <v>1070084K00229    00</v>
      </c>
      <c r="B2474" t="s">
        <v>5879</v>
      </c>
      <c r="C2474" t="s">
        <v>5880</v>
      </c>
      <c r="E2474" t="s">
        <v>39</v>
      </c>
      <c r="F2474">
        <v>0</v>
      </c>
      <c r="G2474">
        <v>0</v>
      </c>
      <c r="H2474">
        <v>2</v>
      </c>
      <c r="I2474" s="3">
        <v>2290.91</v>
      </c>
      <c r="J2474" s="3">
        <v>156.66</v>
      </c>
      <c r="K2474" t="s">
        <v>5141</v>
      </c>
      <c r="L2474">
        <v>1</v>
      </c>
      <c r="M2474" t="s">
        <v>5142</v>
      </c>
      <c r="N2474" t="s">
        <v>5143</v>
      </c>
      <c r="O2474" t="s">
        <v>3486</v>
      </c>
      <c r="P2474" t="str">
        <f>"60047"</f>
        <v>60047</v>
      </c>
    </row>
    <row r="2475" spans="1:16" x14ac:dyDescent="0.25">
      <c r="A2475" t="str">
        <f>"1070084K00260    00"</f>
        <v>1070084K00260    00</v>
      </c>
      <c r="B2475" t="s">
        <v>5881</v>
      </c>
      <c r="C2475" t="s">
        <v>5882</v>
      </c>
      <c r="E2475" t="s">
        <v>39</v>
      </c>
      <c r="F2475">
        <v>0</v>
      </c>
      <c r="G2475">
        <v>0</v>
      </c>
      <c r="H2475">
        <v>1</v>
      </c>
      <c r="I2475" s="3">
        <v>5717.25</v>
      </c>
      <c r="J2475" s="3">
        <v>2715.58</v>
      </c>
      <c r="K2475" t="s">
        <v>5883</v>
      </c>
      <c r="M2475" t="s">
        <v>5884</v>
      </c>
      <c r="N2475" t="s">
        <v>30</v>
      </c>
      <c r="O2475" t="s">
        <v>31</v>
      </c>
      <c r="P2475" t="str">
        <f>"15235"</f>
        <v>15235</v>
      </c>
    </row>
    <row r="2476" spans="1:16" x14ac:dyDescent="0.25">
      <c r="A2476" t="str">
        <f>"1070084K00294    00"</f>
        <v>1070084K00294    00</v>
      </c>
      <c r="B2476" t="s">
        <v>5885</v>
      </c>
      <c r="C2476" t="s">
        <v>5886</v>
      </c>
      <c r="E2476" t="s">
        <v>39</v>
      </c>
      <c r="F2476">
        <v>0</v>
      </c>
      <c r="G2476">
        <v>0</v>
      </c>
      <c r="H2476">
        <v>7</v>
      </c>
      <c r="I2476" s="3">
        <v>246.59</v>
      </c>
      <c r="J2476" s="3">
        <v>355.33</v>
      </c>
      <c r="K2476" t="s">
        <v>5887</v>
      </c>
      <c r="L2476">
        <v>227</v>
      </c>
      <c r="M2476" t="s">
        <v>5888</v>
      </c>
      <c r="N2476" t="s">
        <v>285</v>
      </c>
      <c r="O2476" t="s">
        <v>31</v>
      </c>
      <c r="P2476" t="str">
        <f>"15120"</f>
        <v>15120</v>
      </c>
    </row>
    <row r="2477" spans="1:16" x14ac:dyDescent="0.25">
      <c r="A2477" t="str">
        <f>"1070084K0029400P600"</f>
        <v>1070084K0029400P600</v>
      </c>
      <c r="B2477" t="s">
        <v>5889</v>
      </c>
      <c r="C2477" t="s">
        <v>5886</v>
      </c>
      <c r="D2477" t="s">
        <v>20</v>
      </c>
      <c r="E2477" t="s">
        <v>39</v>
      </c>
      <c r="F2477">
        <v>0</v>
      </c>
      <c r="G2477">
        <v>0</v>
      </c>
      <c r="H2477">
        <v>2</v>
      </c>
      <c r="I2477" s="3">
        <v>116.55</v>
      </c>
      <c r="J2477" s="3">
        <v>0.86</v>
      </c>
      <c r="L2477">
        <v>125</v>
      </c>
      <c r="M2477" t="s">
        <v>5890</v>
      </c>
      <c r="N2477" t="s">
        <v>30</v>
      </c>
      <c r="O2477" t="s">
        <v>31</v>
      </c>
      <c r="P2477" t="str">
        <f>"15238"</f>
        <v>15238</v>
      </c>
    </row>
    <row r="2478" spans="1:16" x14ac:dyDescent="0.25">
      <c r="A2478" t="str">
        <f>"1070084K00294010300"</f>
        <v>1070084K00294010300</v>
      </c>
      <c r="B2478" t="s">
        <v>5891</v>
      </c>
      <c r="C2478" t="s">
        <v>5892</v>
      </c>
      <c r="D2478" t="s">
        <v>20</v>
      </c>
      <c r="E2478" t="s">
        <v>39</v>
      </c>
      <c r="F2478">
        <v>0</v>
      </c>
      <c r="G2478">
        <v>0</v>
      </c>
      <c r="H2478">
        <v>2</v>
      </c>
      <c r="I2478" s="3">
        <v>3486.56</v>
      </c>
      <c r="J2478" s="3">
        <v>0</v>
      </c>
      <c r="K2478" t="s">
        <v>4989</v>
      </c>
      <c r="L2478">
        <v>3001</v>
      </c>
      <c r="M2478" t="s">
        <v>330</v>
      </c>
      <c r="N2478" t="s">
        <v>331</v>
      </c>
      <c r="O2478" t="s">
        <v>108</v>
      </c>
      <c r="P2478" t="str">
        <f>"75063"</f>
        <v>75063</v>
      </c>
    </row>
    <row r="2479" spans="1:16" x14ac:dyDescent="0.25">
      <c r="A2479" t="str">
        <f>"1070084K00294020200"</f>
        <v>1070084K00294020200</v>
      </c>
      <c r="B2479" t="s">
        <v>5889</v>
      </c>
      <c r="C2479" t="s">
        <v>5893</v>
      </c>
      <c r="D2479" t="s">
        <v>20</v>
      </c>
      <c r="E2479" t="s">
        <v>39</v>
      </c>
      <c r="F2479">
        <v>0</v>
      </c>
      <c r="G2479">
        <v>0</v>
      </c>
      <c r="H2479">
        <v>1</v>
      </c>
      <c r="I2479" s="3">
        <v>2291.0100000000002</v>
      </c>
      <c r="J2479" s="3">
        <v>0</v>
      </c>
      <c r="L2479">
        <v>125</v>
      </c>
      <c r="M2479" t="s">
        <v>5890</v>
      </c>
      <c r="N2479" t="s">
        <v>30</v>
      </c>
      <c r="O2479" t="s">
        <v>31</v>
      </c>
      <c r="P2479" t="str">
        <f>"15238"</f>
        <v>15238</v>
      </c>
    </row>
    <row r="2480" spans="1:16" x14ac:dyDescent="0.25">
      <c r="A2480" t="str">
        <f>"1070084K00298040100"</f>
        <v>1070084K00298040100</v>
      </c>
      <c r="B2480" t="s">
        <v>5894</v>
      </c>
      <c r="C2480" t="s">
        <v>5895</v>
      </c>
      <c r="E2480" t="s">
        <v>39</v>
      </c>
      <c r="F2480">
        <v>0</v>
      </c>
      <c r="G2480">
        <v>0</v>
      </c>
      <c r="H2480">
        <v>1</v>
      </c>
      <c r="I2480" s="3">
        <v>707.85</v>
      </c>
      <c r="J2480" s="3">
        <v>524.97</v>
      </c>
      <c r="L2480">
        <v>333</v>
      </c>
      <c r="M2480" t="s">
        <v>5896</v>
      </c>
      <c r="N2480" t="s">
        <v>30</v>
      </c>
      <c r="O2480" t="s">
        <v>31</v>
      </c>
      <c r="P2480" t="str">
        <f>"15206"</f>
        <v>15206</v>
      </c>
    </row>
    <row r="2481" spans="1:16" x14ac:dyDescent="0.25">
      <c r="A2481" t="str">
        <f>"1070084K00314020100"</f>
        <v>1070084K00314020100</v>
      </c>
      <c r="B2481" t="s">
        <v>5897</v>
      </c>
      <c r="C2481" t="s">
        <v>5898</v>
      </c>
      <c r="E2481" t="s">
        <v>39</v>
      </c>
      <c r="F2481">
        <v>0</v>
      </c>
      <c r="G2481">
        <v>0</v>
      </c>
      <c r="H2481">
        <v>4</v>
      </c>
      <c r="I2481" s="3">
        <v>10070.620000000001</v>
      </c>
      <c r="J2481" s="3">
        <v>1962.57</v>
      </c>
      <c r="L2481">
        <v>363</v>
      </c>
      <c r="M2481" t="s">
        <v>5899</v>
      </c>
      <c r="N2481" t="s">
        <v>30</v>
      </c>
      <c r="O2481" t="s">
        <v>31</v>
      </c>
      <c r="P2481" t="str">
        <f>"15206"</f>
        <v>15206</v>
      </c>
    </row>
    <row r="2482" spans="1:16" x14ac:dyDescent="0.25">
      <c r="A2482" t="str">
        <f>"1070084K00314503300"</f>
        <v>1070084K00314503300</v>
      </c>
      <c r="B2482" t="s">
        <v>5900</v>
      </c>
      <c r="C2482" t="s">
        <v>5901</v>
      </c>
      <c r="D2482" t="s">
        <v>20</v>
      </c>
      <c r="E2482" t="s">
        <v>39</v>
      </c>
      <c r="F2482">
        <v>0</v>
      </c>
      <c r="G2482">
        <v>0</v>
      </c>
      <c r="H2482">
        <v>3</v>
      </c>
      <c r="I2482" s="3">
        <v>6968.96</v>
      </c>
      <c r="J2482" s="3">
        <v>476.41</v>
      </c>
      <c r="K2482" t="s">
        <v>5902</v>
      </c>
      <c r="L2482">
        <v>363</v>
      </c>
      <c r="M2482" t="s">
        <v>5903</v>
      </c>
      <c r="N2482" t="s">
        <v>30</v>
      </c>
      <c r="O2482" t="s">
        <v>31</v>
      </c>
      <c r="P2482" t="str">
        <f>"15206"</f>
        <v>15206</v>
      </c>
    </row>
    <row r="2483" spans="1:16" x14ac:dyDescent="0.25">
      <c r="A2483" t="str">
        <f>"1070084L00068    00"</f>
        <v>1070084L00068    00</v>
      </c>
      <c r="B2483" t="s">
        <v>5904</v>
      </c>
      <c r="C2483" t="s">
        <v>5905</v>
      </c>
      <c r="D2483" t="s">
        <v>20</v>
      </c>
      <c r="E2483" t="s">
        <v>39</v>
      </c>
      <c r="F2483">
        <v>0</v>
      </c>
      <c r="G2483">
        <v>0</v>
      </c>
      <c r="H2483">
        <v>1</v>
      </c>
      <c r="I2483" s="3">
        <v>2337.13</v>
      </c>
      <c r="J2483" s="3">
        <v>389.51</v>
      </c>
      <c r="L2483">
        <v>6344</v>
      </c>
      <c r="M2483" t="s">
        <v>5906</v>
      </c>
      <c r="N2483" t="s">
        <v>30</v>
      </c>
      <c r="O2483" t="s">
        <v>31</v>
      </c>
      <c r="P2483" t="str">
        <f>"15206"</f>
        <v>15206</v>
      </c>
    </row>
    <row r="2484" spans="1:16" x14ac:dyDescent="0.25">
      <c r="A2484" t="str">
        <f>"1070084L00070    00"</f>
        <v>1070084L00070    00</v>
      </c>
      <c r="B2484" t="s">
        <v>5907</v>
      </c>
      <c r="C2484" t="s">
        <v>5908</v>
      </c>
      <c r="E2484" t="s">
        <v>39</v>
      </c>
      <c r="F2484">
        <v>0</v>
      </c>
      <c r="G2484">
        <v>0</v>
      </c>
      <c r="H2484">
        <v>2</v>
      </c>
      <c r="I2484" s="3">
        <v>3087.72</v>
      </c>
      <c r="J2484" s="3">
        <v>128.63999999999999</v>
      </c>
      <c r="K2484" t="s">
        <v>5909</v>
      </c>
      <c r="L2484">
        <v>145</v>
      </c>
      <c r="M2484" t="s">
        <v>5910</v>
      </c>
      <c r="N2484" t="s">
        <v>1928</v>
      </c>
      <c r="O2484" t="s">
        <v>31</v>
      </c>
      <c r="P2484" t="str">
        <f>"15317"</f>
        <v>15317</v>
      </c>
    </row>
    <row r="2485" spans="1:16" x14ac:dyDescent="0.25">
      <c r="A2485" t="str">
        <f>"1070084L00073    00"</f>
        <v>1070084L00073    00</v>
      </c>
      <c r="B2485" t="s">
        <v>5911</v>
      </c>
      <c r="C2485" t="s">
        <v>5912</v>
      </c>
      <c r="E2485" t="s">
        <v>39</v>
      </c>
      <c r="F2485">
        <v>0</v>
      </c>
      <c r="G2485">
        <v>0</v>
      </c>
      <c r="H2485">
        <v>1</v>
      </c>
      <c r="I2485" s="3">
        <v>5895.27</v>
      </c>
      <c r="J2485" s="3">
        <v>0</v>
      </c>
      <c r="L2485">
        <v>6354</v>
      </c>
      <c r="M2485" t="s">
        <v>5906</v>
      </c>
      <c r="N2485" t="s">
        <v>30</v>
      </c>
      <c r="O2485" t="s">
        <v>31</v>
      </c>
      <c r="P2485" t="str">
        <f>"15206"</f>
        <v>15206</v>
      </c>
    </row>
    <row r="2486" spans="1:16" x14ac:dyDescent="0.25">
      <c r="A2486" t="str">
        <f>"1070084L00074    00"</f>
        <v>1070084L00074    00</v>
      </c>
      <c r="B2486" t="s">
        <v>5913</v>
      </c>
      <c r="C2486" t="s">
        <v>5914</v>
      </c>
      <c r="E2486" t="s">
        <v>39</v>
      </c>
      <c r="F2486">
        <v>0</v>
      </c>
      <c r="G2486">
        <v>0</v>
      </c>
      <c r="H2486">
        <v>2</v>
      </c>
      <c r="I2486" s="3">
        <v>2054.6799999999998</v>
      </c>
      <c r="J2486" s="3">
        <v>85.61</v>
      </c>
      <c r="K2486" t="s">
        <v>5915</v>
      </c>
      <c r="M2486" t="s">
        <v>5916</v>
      </c>
      <c r="N2486" t="s">
        <v>30</v>
      </c>
      <c r="O2486" t="s">
        <v>31</v>
      </c>
      <c r="P2486" t="str">
        <f>"15206"</f>
        <v>15206</v>
      </c>
    </row>
    <row r="2487" spans="1:16" x14ac:dyDescent="0.25">
      <c r="A2487" t="str">
        <f>"1070084L00077000100"</f>
        <v>1070084L00077000100</v>
      </c>
      <c r="B2487" t="s">
        <v>5917</v>
      </c>
      <c r="C2487" t="s">
        <v>5918</v>
      </c>
      <c r="E2487" t="s">
        <v>39</v>
      </c>
      <c r="F2487">
        <v>0</v>
      </c>
      <c r="G2487">
        <v>0</v>
      </c>
      <c r="H2487">
        <v>1</v>
      </c>
      <c r="I2487" s="3">
        <v>1690.87</v>
      </c>
      <c r="J2487" s="3">
        <v>1676.71</v>
      </c>
      <c r="M2487" t="s">
        <v>5919</v>
      </c>
      <c r="N2487" t="s">
        <v>5920</v>
      </c>
      <c r="O2487" t="s">
        <v>180</v>
      </c>
      <c r="P2487" t="str">
        <f>"81632"</f>
        <v>81632</v>
      </c>
    </row>
    <row r="2488" spans="1:16" x14ac:dyDescent="0.25">
      <c r="A2488" t="str">
        <f>"1070084L00106    00"</f>
        <v>1070084L00106    00</v>
      </c>
      <c r="B2488" t="s">
        <v>5921</v>
      </c>
      <c r="C2488" t="s">
        <v>5922</v>
      </c>
      <c r="E2488" t="s">
        <v>39</v>
      </c>
      <c r="F2488">
        <v>0</v>
      </c>
      <c r="G2488">
        <v>0</v>
      </c>
      <c r="H2488">
        <v>1</v>
      </c>
      <c r="I2488" s="3">
        <v>1558.95</v>
      </c>
      <c r="J2488" s="3">
        <v>428.69</v>
      </c>
      <c r="K2488" t="s">
        <v>5923</v>
      </c>
      <c r="L2488">
        <v>1501</v>
      </c>
      <c r="M2488" t="s">
        <v>5924</v>
      </c>
      <c r="N2488" t="s">
        <v>30</v>
      </c>
      <c r="O2488" t="s">
        <v>31</v>
      </c>
      <c r="P2488" t="str">
        <f>"15221"</f>
        <v>15221</v>
      </c>
    </row>
    <row r="2489" spans="1:16" x14ac:dyDescent="0.25">
      <c r="A2489" t="str">
        <f>"1070084L00164    00"</f>
        <v>1070084L00164    00</v>
      </c>
      <c r="B2489" t="s">
        <v>5925</v>
      </c>
      <c r="C2489" t="s">
        <v>5926</v>
      </c>
      <c r="D2489" t="s">
        <v>20</v>
      </c>
      <c r="E2489" t="s">
        <v>39</v>
      </c>
      <c r="F2489">
        <v>0</v>
      </c>
      <c r="G2489">
        <v>0</v>
      </c>
      <c r="H2489">
        <v>7</v>
      </c>
      <c r="I2489" s="3">
        <v>33805.449999999997</v>
      </c>
      <c r="J2489" s="3">
        <v>7453.48</v>
      </c>
      <c r="L2489">
        <v>6337</v>
      </c>
      <c r="M2489" t="s">
        <v>5927</v>
      </c>
      <c r="N2489" t="s">
        <v>30</v>
      </c>
      <c r="O2489" t="s">
        <v>31</v>
      </c>
      <c r="P2489" t="str">
        <f>"15206"</f>
        <v>15206</v>
      </c>
    </row>
    <row r="2490" spans="1:16" x14ac:dyDescent="0.25">
      <c r="A2490" t="str">
        <f>"1070084L00166    00"</f>
        <v>1070084L00166    00</v>
      </c>
      <c r="B2490" t="s">
        <v>5928</v>
      </c>
      <c r="C2490" t="s">
        <v>5929</v>
      </c>
      <c r="E2490" t="s">
        <v>39</v>
      </c>
      <c r="F2490">
        <v>0</v>
      </c>
      <c r="G2490">
        <v>0</v>
      </c>
      <c r="H2490">
        <v>2</v>
      </c>
      <c r="I2490" s="3">
        <v>6659.58</v>
      </c>
      <c r="J2490" s="3">
        <v>277.48</v>
      </c>
      <c r="L2490">
        <v>6341</v>
      </c>
      <c r="M2490" t="s">
        <v>5927</v>
      </c>
      <c r="N2490" t="s">
        <v>30</v>
      </c>
      <c r="O2490" t="s">
        <v>31</v>
      </c>
      <c r="P2490" t="str">
        <f>"15206"</f>
        <v>15206</v>
      </c>
    </row>
    <row r="2491" spans="1:16" x14ac:dyDescent="0.25">
      <c r="A2491" t="str">
        <f>"1070084M00009    00"</f>
        <v>1070084M00009    00</v>
      </c>
      <c r="B2491" t="s">
        <v>5930</v>
      </c>
      <c r="C2491" t="s">
        <v>5931</v>
      </c>
      <c r="E2491" t="s">
        <v>39</v>
      </c>
      <c r="F2491">
        <v>0</v>
      </c>
      <c r="G2491">
        <v>0</v>
      </c>
      <c r="H2491">
        <v>1</v>
      </c>
      <c r="I2491" s="3">
        <v>4090.24</v>
      </c>
      <c r="J2491" s="3">
        <v>1261.1199999999999</v>
      </c>
      <c r="K2491" t="s">
        <v>408</v>
      </c>
      <c r="M2491" t="s">
        <v>409</v>
      </c>
      <c r="N2491" t="s">
        <v>410</v>
      </c>
      <c r="O2491" t="s">
        <v>31</v>
      </c>
      <c r="P2491" t="str">
        <f>"15701"</f>
        <v>15701</v>
      </c>
    </row>
    <row r="2492" spans="1:16" x14ac:dyDescent="0.25">
      <c r="A2492" t="str">
        <f>"1070084M00076    00"</f>
        <v>1070084M00076    00</v>
      </c>
      <c r="B2492" t="s">
        <v>5932</v>
      </c>
      <c r="C2492" t="s">
        <v>5933</v>
      </c>
      <c r="D2492" t="s">
        <v>20</v>
      </c>
      <c r="E2492" t="s">
        <v>39</v>
      </c>
      <c r="F2492">
        <v>0</v>
      </c>
      <c r="G2492">
        <v>0</v>
      </c>
      <c r="H2492">
        <v>3</v>
      </c>
      <c r="I2492" s="3">
        <v>2578.9499999999998</v>
      </c>
      <c r="J2492" s="3">
        <v>80.06</v>
      </c>
      <c r="K2492" t="s">
        <v>5934</v>
      </c>
      <c r="L2492">
        <v>6360</v>
      </c>
      <c r="M2492" t="s">
        <v>5906</v>
      </c>
      <c r="N2492" t="s">
        <v>30</v>
      </c>
      <c r="O2492" t="s">
        <v>31</v>
      </c>
      <c r="P2492" t="str">
        <f>"15206"</f>
        <v>15206</v>
      </c>
    </row>
    <row r="2493" spans="1:16" x14ac:dyDescent="0.25">
      <c r="A2493" t="str">
        <f>"1070084M00094    00"</f>
        <v>1070084M00094    00</v>
      </c>
      <c r="B2493" t="s">
        <v>5935</v>
      </c>
      <c r="C2493" t="s">
        <v>5936</v>
      </c>
      <c r="D2493" t="s">
        <v>20</v>
      </c>
      <c r="E2493" t="s">
        <v>39</v>
      </c>
      <c r="F2493">
        <v>0</v>
      </c>
      <c r="G2493">
        <v>0</v>
      </c>
      <c r="H2493">
        <v>2</v>
      </c>
      <c r="I2493" s="3">
        <v>2660.78</v>
      </c>
      <c r="J2493" s="3">
        <v>0</v>
      </c>
      <c r="K2493" t="s">
        <v>400</v>
      </c>
      <c r="L2493">
        <v>3001</v>
      </c>
      <c r="M2493" t="s">
        <v>330</v>
      </c>
      <c r="N2493" t="s">
        <v>331</v>
      </c>
      <c r="O2493" t="s">
        <v>108</v>
      </c>
      <c r="P2493" t="str">
        <f>"75063"</f>
        <v>75063</v>
      </c>
    </row>
    <row r="2494" spans="1:16" x14ac:dyDescent="0.25">
      <c r="A2494" t="str">
        <f>"1070084M00179    00"</f>
        <v>1070084M00179    00</v>
      </c>
      <c r="B2494" t="s">
        <v>5937</v>
      </c>
      <c r="C2494" t="s">
        <v>5938</v>
      </c>
      <c r="E2494" t="s">
        <v>39</v>
      </c>
      <c r="F2494">
        <v>0</v>
      </c>
      <c r="G2494">
        <v>0</v>
      </c>
      <c r="H2494">
        <v>1</v>
      </c>
      <c r="I2494" s="3">
        <v>48.97</v>
      </c>
      <c r="J2494" s="3">
        <v>24.47</v>
      </c>
      <c r="L2494">
        <v>100</v>
      </c>
      <c r="M2494" t="s">
        <v>5939</v>
      </c>
      <c r="N2494" t="s">
        <v>30</v>
      </c>
      <c r="O2494" t="s">
        <v>31</v>
      </c>
      <c r="P2494" t="str">
        <f>"15206"</f>
        <v>15206</v>
      </c>
    </row>
    <row r="2495" spans="1:16" x14ac:dyDescent="0.25">
      <c r="A2495" t="str">
        <f>"1070084M00193    00"</f>
        <v>1070084M00193    00</v>
      </c>
      <c r="B2495" t="s">
        <v>5940</v>
      </c>
      <c r="C2495" t="s">
        <v>5769</v>
      </c>
      <c r="D2495" t="s">
        <v>20</v>
      </c>
      <c r="E2495" t="s">
        <v>39</v>
      </c>
      <c r="F2495">
        <v>0</v>
      </c>
      <c r="G2495">
        <v>0</v>
      </c>
      <c r="H2495">
        <v>2</v>
      </c>
      <c r="I2495" s="3">
        <v>8358.24</v>
      </c>
      <c r="J2495" s="3">
        <v>0</v>
      </c>
      <c r="L2495">
        <v>100</v>
      </c>
      <c r="M2495" t="s">
        <v>5941</v>
      </c>
      <c r="N2495" t="s">
        <v>30</v>
      </c>
      <c r="O2495" t="s">
        <v>31</v>
      </c>
      <c r="P2495" t="str">
        <f>"15206"</f>
        <v>15206</v>
      </c>
    </row>
    <row r="2496" spans="1:16" x14ac:dyDescent="0.25">
      <c r="A2496" t="str">
        <f>"1070084M00210    00"</f>
        <v>1070084M00210    00</v>
      </c>
      <c r="B2496" t="s">
        <v>5942</v>
      </c>
      <c r="C2496" t="s">
        <v>5943</v>
      </c>
      <c r="E2496" t="s">
        <v>39</v>
      </c>
      <c r="F2496">
        <v>0</v>
      </c>
      <c r="G2496">
        <v>0</v>
      </c>
      <c r="H2496">
        <v>1</v>
      </c>
      <c r="I2496" s="3">
        <v>2555.11</v>
      </c>
      <c r="J2496" s="3">
        <v>702.62</v>
      </c>
      <c r="K2496" t="s">
        <v>5567</v>
      </c>
      <c r="L2496">
        <v>120</v>
      </c>
      <c r="M2496" t="s">
        <v>5944</v>
      </c>
      <c r="N2496" t="s">
        <v>199</v>
      </c>
      <c r="O2496" t="s">
        <v>200</v>
      </c>
      <c r="P2496" t="str">
        <f>"10271"</f>
        <v>10271</v>
      </c>
    </row>
    <row r="2497" spans="1:16" x14ac:dyDescent="0.25">
      <c r="A2497" t="str">
        <f>"1070084M00319    00"</f>
        <v>1070084M00319    00</v>
      </c>
      <c r="B2497" t="s">
        <v>5945</v>
      </c>
      <c r="C2497" t="s">
        <v>5946</v>
      </c>
      <c r="D2497" t="s">
        <v>20</v>
      </c>
      <c r="E2497" t="s">
        <v>39</v>
      </c>
      <c r="F2497">
        <v>0</v>
      </c>
      <c r="G2497">
        <v>0</v>
      </c>
      <c r="H2497">
        <v>5</v>
      </c>
      <c r="I2497" s="3">
        <v>15302.95</v>
      </c>
      <c r="J2497" s="3">
        <v>1289.3399999999999</v>
      </c>
      <c r="L2497">
        <v>329</v>
      </c>
      <c r="M2497" t="s">
        <v>5941</v>
      </c>
      <c r="N2497" t="s">
        <v>30</v>
      </c>
      <c r="O2497" t="s">
        <v>31</v>
      </c>
      <c r="P2497" t="str">
        <f>"15206"</f>
        <v>15206</v>
      </c>
    </row>
    <row r="2498" spans="1:16" x14ac:dyDescent="0.25">
      <c r="A2498" t="str">
        <f>"1070084M00350    00"</f>
        <v>1070084M00350    00</v>
      </c>
      <c r="B2498" t="s">
        <v>5947</v>
      </c>
      <c r="C2498" t="s">
        <v>5948</v>
      </c>
      <c r="E2498" t="s">
        <v>39</v>
      </c>
      <c r="F2498">
        <v>0</v>
      </c>
      <c r="G2498">
        <v>0</v>
      </c>
      <c r="H2498">
        <v>1</v>
      </c>
      <c r="I2498" s="3">
        <v>1692.71</v>
      </c>
      <c r="J2498" s="3">
        <v>536</v>
      </c>
      <c r="K2498" t="s">
        <v>5949</v>
      </c>
      <c r="L2498">
        <v>6427</v>
      </c>
      <c r="M2498" t="s">
        <v>5950</v>
      </c>
      <c r="N2498" t="s">
        <v>30</v>
      </c>
      <c r="O2498" t="s">
        <v>31</v>
      </c>
      <c r="P2498" t="str">
        <f>"15206"</f>
        <v>15206</v>
      </c>
    </row>
    <row r="2499" spans="1:16" x14ac:dyDescent="0.25">
      <c r="A2499" t="str">
        <f>"1070084M00352    00"</f>
        <v>1070084M00352    00</v>
      </c>
      <c r="B2499" t="s">
        <v>5951</v>
      </c>
      <c r="C2499" t="s">
        <v>5952</v>
      </c>
      <c r="E2499" t="s">
        <v>39</v>
      </c>
      <c r="F2499">
        <v>0</v>
      </c>
      <c r="G2499">
        <v>0</v>
      </c>
      <c r="H2499">
        <v>1</v>
      </c>
      <c r="I2499" s="3">
        <v>1234.3800000000001</v>
      </c>
      <c r="J2499" s="3">
        <v>390.87</v>
      </c>
      <c r="K2499" t="s">
        <v>5953</v>
      </c>
      <c r="L2499">
        <v>101</v>
      </c>
      <c r="M2499" t="s">
        <v>5954</v>
      </c>
      <c r="N2499" t="s">
        <v>5955</v>
      </c>
      <c r="O2499" t="s">
        <v>25</v>
      </c>
      <c r="P2499" t="str">
        <f>"43950"</f>
        <v>43950</v>
      </c>
    </row>
    <row r="2500" spans="1:16" x14ac:dyDescent="0.25">
      <c r="A2500" t="str">
        <f>"1070084M00355    00"</f>
        <v>1070084M00355    00</v>
      </c>
      <c r="B2500" t="s">
        <v>5956</v>
      </c>
      <c r="C2500" t="s">
        <v>5957</v>
      </c>
      <c r="E2500" t="s">
        <v>39</v>
      </c>
      <c r="F2500">
        <v>0</v>
      </c>
      <c r="G2500">
        <v>0</v>
      </c>
      <c r="H2500">
        <v>1</v>
      </c>
      <c r="I2500" s="3">
        <v>2301.42</v>
      </c>
      <c r="J2500" s="3">
        <v>1131.49</v>
      </c>
      <c r="L2500">
        <v>6433</v>
      </c>
      <c r="M2500" t="s">
        <v>5950</v>
      </c>
      <c r="N2500" t="s">
        <v>30</v>
      </c>
      <c r="O2500" t="s">
        <v>31</v>
      </c>
      <c r="P2500" t="str">
        <f>"15206"</f>
        <v>15206</v>
      </c>
    </row>
    <row r="2501" spans="1:16" x14ac:dyDescent="0.25">
      <c r="A2501" t="str">
        <f>"1070084M00359    00"</f>
        <v>1070084M00359    00</v>
      </c>
      <c r="B2501" t="s">
        <v>5958</v>
      </c>
      <c r="C2501" t="s">
        <v>5959</v>
      </c>
      <c r="E2501" t="s">
        <v>39</v>
      </c>
      <c r="F2501">
        <v>0</v>
      </c>
      <c r="G2501">
        <v>0</v>
      </c>
      <c r="H2501">
        <v>1</v>
      </c>
      <c r="I2501" s="3">
        <v>2392.17</v>
      </c>
      <c r="J2501" s="3">
        <v>1136.24</v>
      </c>
      <c r="L2501">
        <v>6453</v>
      </c>
      <c r="M2501" t="s">
        <v>5950</v>
      </c>
      <c r="N2501" t="s">
        <v>30</v>
      </c>
      <c r="O2501" t="s">
        <v>31</v>
      </c>
      <c r="P2501" t="str">
        <f>"15206"</f>
        <v>15206</v>
      </c>
    </row>
    <row r="2502" spans="1:16" x14ac:dyDescent="0.25">
      <c r="A2502" t="str">
        <f>"1070084M00361    00"</f>
        <v>1070084M00361    00</v>
      </c>
      <c r="B2502" t="s">
        <v>5960</v>
      </c>
      <c r="C2502" t="s">
        <v>5961</v>
      </c>
      <c r="E2502" t="s">
        <v>39</v>
      </c>
      <c r="F2502">
        <v>0</v>
      </c>
      <c r="G2502">
        <v>0</v>
      </c>
      <c r="H2502">
        <v>1</v>
      </c>
      <c r="I2502" s="3">
        <v>1773.26</v>
      </c>
      <c r="J2502" s="3">
        <v>842.26</v>
      </c>
      <c r="K2502" t="s">
        <v>5962</v>
      </c>
      <c r="L2502">
        <v>6457</v>
      </c>
      <c r="M2502" t="s">
        <v>5950</v>
      </c>
      <c r="N2502" t="s">
        <v>30</v>
      </c>
      <c r="O2502" t="s">
        <v>31</v>
      </c>
      <c r="P2502" t="str">
        <f>"15206"</f>
        <v>15206</v>
      </c>
    </row>
    <row r="2503" spans="1:16" x14ac:dyDescent="0.25">
      <c r="A2503" t="str">
        <f>"1070084M00363    00"</f>
        <v>1070084M00363    00</v>
      </c>
      <c r="B2503" t="s">
        <v>5963</v>
      </c>
      <c r="C2503" t="s">
        <v>5964</v>
      </c>
      <c r="E2503" t="s">
        <v>39</v>
      </c>
      <c r="F2503">
        <v>0</v>
      </c>
      <c r="G2503">
        <v>0</v>
      </c>
      <c r="H2503">
        <v>2</v>
      </c>
      <c r="I2503" s="3">
        <v>1974.41</v>
      </c>
      <c r="J2503" s="3">
        <v>626.33000000000004</v>
      </c>
      <c r="K2503" t="s">
        <v>5965</v>
      </c>
      <c r="L2503">
        <v>6459</v>
      </c>
      <c r="M2503" t="s">
        <v>5950</v>
      </c>
      <c r="N2503" t="s">
        <v>30</v>
      </c>
      <c r="O2503" t="s">
        <v>31</v>
      </c>
      <c r="P2503" t="str">
        <f>"15206"</f>
        <v>15206</v>
      </c>
    </row>
    <row r="2504" spans="1:16" x14ac:dyDescent="0.25">
      <c r="A2504" t="str">
        <f>"1070084M00374    00"</f>
        <v>1070084M00374    00</v>
      </c>
      <c r="B2504" t="s">
        <v>5966</v>
      </c>
      <c r="C2504" t="s">
        <v>5967</v>
      </c>
      <c r="D2504" t="s">
        <v>20</v>
      </c>
      <c r="E2504" t="s">
        <v>39</v>
      </c>
      <c r="F2504">
        <v>0</v>
      </c>
      <c r="G2504">
        <v>0</v>
      </c>
      <c r="H2504">
        <v>5</v>
      </c>
      <c r="I2504" s="3">
        <v>36754.35</v>
      </c>
      <c r="J2504" s="3">
        <v>3905.03</v>
      </c>
      <c r="L2504">
        <v>174</v>
      </c>
      <c r="M2504" t="s">
        <v>5809</v>
      </c>
      <c r="N2504" t="s">
        <v>30</v>
      </c>
      <c r="O2504" t="s">
        <v>31</v>
      </c>
      <c r="P2504" t="str">
        <f>"15206"</f>
        <v>15206</v>
      </c>
    </row>
    <row r="2505" spans="1:16" x14ac:dyDescent="0.25">
      <c r="A2505" t="str">
        <f>"1070084M00378    00"</f>
        <v>1070084M00378    00</v>
      </c>
      <c r="B2505" t="s">
        <v>5968</v>
      </c>
      <c r="C2505" t="s">
        <v>5969</v>
      </c>
      <c r="E2505" t="s">
        <v>39</v>
      </c>
      <c r="F2505">
        <v>0</v>
      </c>
      <c r="G2505">
        <v>0</v>
      </c>
      <c r="H2505">
        <v>2</v>
      </c>
      <c r="I2505" s="3">
        <v>926.6</v>
      </c>
      <c r="J2505" s="3">
        <v>3.86</v>
      </c>
      <c r="K2505" t="s">
        <v>563</v>
      </c>
      <c r="L2505">
        <v>3001</v>
      </c>
      <c r="M2505" t="s">
        <v>330</v>
      </c>
      <c r="N2505" t="s">
        <v>331</v>
      </c>
      <c r="O2505" t="s">
        <v>108</v>
      </c>
      <c r="P2505" t="str">
        <f>"75063"</f>
        <v>75063</v>
      </c>
    </row>
    <row r="2506" spans="1:16" x14ac:dyDescent="0.25">
      <c r="A2506" t="str">
        <f>"1070084M00386    00"</f>
        <v>1070084M00386    00</v>
      </c>
      <c r="B2506" t="s">
        <v>5970</v>
      </c>
      <c r="C2506" t="s">
        <v>5971</v>
      </c>
      <c r="E2506" t="s">
        <v>39</v>
      </c>
      <c r="F2506">
        <v>0</v>
      </c>
      <c r="G2506">
        <v>0</v>
      </c>
      <c r="H2506">
        <v>1</v>
      </c>
      <c r="I2506" s="3">
        <v>4785.6899999999996</v>
      </c>
      <c r="J2506" s="3">
        <v>1316.01</v>
      </c>
      <c r="L2506">
        <v>128</v>
      </c>
      <c r="M2506" t="s">
        <v>5809</v>
      </c>
      <c r="N2506" t="s">
        <v>30</v>
      </c>
      <c r="O2506" t="s">
        <v>31</v>
      </c>
      <c r="P2506" t="str">
        <f>"15206"</f>
        <v>15206</v>
      </c>
    </row>
    <row r="2507" spans="1:16" x14ac:dyDescent="0.25">
      <c r="A2507" t="str">
        <f>"1070084M00390    00"</f>
        <v>1070084M00390    00</v>
      </c>
      <c r="B2507" t="s">
        <v>5972</v>
      </c>
      <c r="C2507" t="s">
        <v>5973</v>
      </c>
      <c r="E2507" t="s">
        <v>39</v>
      </c>
      <c r="F2507">
        <v>0</v>
      </c>
      <c r="G2507">
        <v>0</v>
      </c>
      <c r="H2507">
        <v>1</v>
      </c>
      <c r="I2507" s="3">
        <v>7648.41</v>
      </c>
      <c r="J2507" s="3">
        <v>3760.32</v>
      </c>
      <c r="K2507" t="s">
        <v>400</v>
      </c>
      <c r="L2507">
        <v>3001</v>
      </c>
      <c r="M2507" t="s">
        <v>330</v>
      </c>
      <c r="N2507" t="s">
        <v>331</v>
      </c>
      <c r="O2507" t="s">
        <v>108</v>
      </c>
      <c r="P2507" t="str">
        <f>"75063"</f>
        <v>75063</v>
      </c>
    </row>
    <row r="2508" spans="1:16" x14ac:dyDescent="0.25">
      <c r="A2508" t="str">
        <f>"1070084M00392    00"</f>
        <v>1070084M00392    00</v>
      </c>
      <c r="B2508" t="s">
        <v>5974</v>
      </c>
      <c r="C2508" t="s">
        <v>5975</v>
      </c>
      <c r="E2508" t="s">
        <v>39</v>
      </c>
      <c r="F2508">
        <v>0</v>
      </c>
      <c r="G2508">
        <v>0</v>
      </c>
      <c r="H2508">
        <v>2</v>
      </c>
      <c r="I2508" s="3">
        <v>4347.72</v>
      </c>
      <c r="J2508" s="3">
        <v>123.88</v>
      </c>
      <c r="K2508" t="s">
        <v>881</v>
      </c>
      <c r="L2508">
        <v>3001</v>
      </c>
      <c r="M2508" t="s">
        <v>330</v>
      </c>
      <c r="N2508" t="s">
        <v>331</v>
      </c>
      <c r="O2508" t="s">
        <v>108</v>
      </c>
      <c r="P2508" t="str">
        <f>"75063"</f>
        <v>75063</v>
      </c>
    </row>
    <row r="2509" spans="1:16" x14ac:dyDescent="0.25">
      <c r="A2509" t="str">
        <f>"1070084M00420    00"</f>
        <v>1070084M00420    00</v>
      </c>
      <c r="B2509" t="s">
        <v>5976</v>
      </c>
      <c r="C2509" t="s">
        <v>5977</v>
      </c>
      <c r="E2509" t="s">
        <v>39</v>
      </c>
      <c r="F2509">
        <v>0</v>
      </c>
      <c r="G2509">
        <v>0</v>
      </c>
      <c r="H2509">
        <v>1</v>
      </c>
      <c r="I2509" s="3">
        <v>33.24</v>
      </c>
      <c r="J2509" s="3">
        <v>10.53</v>
      </c>
      <c r="K2509" t="s">
        <v>5978</v>
      </c>
      <c r="L2509">
        <v>6420</v>
      </c>
      <c r="M2509" t="s">
        <v>5979</v>
      </c>
      <c r="N2509" t="s">
        <v>30</v>
      </c>
      <c r="O2509" t="s">
        <v>31</v>
      </c>
      <c r="P2509" t="str">
        <f>"15206"</f>
        <v>15206</v>
      </c>
    </row>
    <row r="2510" spans="1:16" x14ac:dyDescent="0.25">
      <c r="A2510" t="str">
        <f>"1070084M00428    00"</f>
        <v>1070084M00428    00</v>
      </c>
      <c r="B2510" t="s">
        <v>5980</v>
      </c>
      <c r="C2510" t="s">
        <v>5981</v>
      </c>
      <c r="E2510" t="s">
        <v>39</v>
      </c>
      <c r="F2510">
        <v>0</v>
      </c>
      <c r="G2510">
        <v>0</v>
      </c>
      <c r="H2510">
        <v>2</v>
      </c>
      <c r="I2510" s="3">
        <v>54.44</v>
      </c>
      <c r="J2510" s="3">
        <v>16.97</v>
      </c>
      <c r="K2510" t="s">
        <v>5982</v>
      </c>
      <c r="L2510">
        <v>6406</v>
      </c>
      <c r="M2510" t="s">
        <v>5950</v>
      </c>
      <c r="N2510" t="s">
        <v>30</v>
      </c>
      <c r="O2510" t="s">
        <v>31</v>
      </c>
      <c r="P2510" t="str">
        <f>"15206"</f>
        <v>15206</v>
      </c>
    </row>
    <row r="2511" spans="1:16" x14ac:dyDescent="0.25">
      <c r="A2511" t="str">
        <f>"1070084M00452    00"</f>
        <v>1070084M00452    00</v>
      </c>
      <c r="B2511" t="s">
        <v>5983</v>
      </c>
      <c r="C2511" t="s">
        <v>5984</v>
      </c>
      <c r="E2511" t="s">
        <v>39</v>
      </c>
      <c r="F2511">
        <v>0</v>
      </c>
      <c r="G2511">
        <v>0</v>
      </c>
      <c r="H2511">
        <v>2</v>
      </c>
      <c r="I2511" s="3">
        <v>2602.29</v>
      </c>
      <c r="J2511" s="3">
        <v>826.61</v>
      </c>
      <c r="K2511" t="s">
        <v>4933</v>
      </c>
      <c r="L2511">
        <v>3001</v>
      </c>
      <c r="M2511" t="s">
        <v>330</v>
      </c>
      <c r="N2511" t="s">
        <v>331</v>
      </c>
      <c r="O2511" t="s">
        <v>108</v>
      </c>
      <c r="P2511" t="str">
        <f>"75063"</f>
        <v>75063</v>
      </c>
    </row>
    <row r="2512" spans="1:16" x14ac:dyDescent="0.25">
      <c r="A2512" t="str">
        <f>"1070084M00456    00"</f>
        <v>1070084M00456    00</v>
      </c>
      <c r="B2512" t="s">
        <v>5985</v>
      </c>
      <c r="C2512" t="s">
        <v>5986</v>
      </c>
      <c r="E2512" t="s">
        <v>39</v>
      </c>
      <c r="F2512">
        <v>0</v>
      </c>
      <c r="G2512">
        <v>0</v>
      </c>
      <c r="H2512">
        <v>1</v>
      </c>
      <c r="I2512" s="3">
        <v>1550.28</v>
      </c>
      <c r="J2512" s="3">
        <v>490.9</v>
      </c>
      <c r="K2512" t="s">
        <v>756</v>
      </c>
      <c r="L2512">
        <v>3001</v>
      </c>
      <c r="M2512" t="s">
        <v>330</v>
      </c>
      <c r="N2512" t="s">
        <v>331</v>
      </c>
      <c r="O2512" t="s">
        <v>108</v>
      </c>
      <c r="P2512" t="str">
        <f>"75063"</f>
        <v>75063</v>
      </c>
    </row>
    <row r="2513" spans="1:16" x14ac:dyDescent="0.25">
      <c r="A2513" t="str">
        <f>"1070084M00461    00"</f>
        <v>1070084M00461    00</v>
      </c>
      <c r="B2513" t="s">
        <v>5987</v>
      </c>
      <c r="C2513" t="s">
        <v>5988</v>
      </c>
      <c r="E2513" t="s">
        <v>39</v>
      </c>
      <c r="F2513">
        <v>0</v>
      </c>
      <c r="G2513">
        <v>0</v>
      </c>
      <c r="H2513">
        <v>1</v>
      </c>
      <c r="I2513" s="3">
        <v>53.5</v>
      </c>
      <c r="J2513" s="3">
        <v>16.940000000000001</v>
      </c>
      <c r="L2513">
        <v>6430</v>
      </c>
      <c r="M2513" t="s">
        <v>574</v>
      </c>
      <c r="N2513" t="s">
        <v>30</v>
      </c>
      <c r="O2513" t="s">
        <v>31</v>
      </c>
      <c r="P2513" t="str">
        <f>"15206"</f>
        <v>15206</v>
      </c>
    </row>
    <row r="2514" spans="1:16" x14ac:dyDescent="0.25">
      <c r="A2514" t="str">
        <f>"1070084M00463    00"</f>
        <v>1070084M00463    00</v>
      </c>
      <c r="B2514" t="s">
        <v>5989</v>
      </c>
      <c r="C2514" t="s">
        <v>5990</v>
      </c>
      <c r="E2514" t="s">
        <v>39</v>
      </c>
      <c r="F2514">
        <v>0</v>
      </c>
      <c r="G2514">
        <v>0</v>
      </c>
      <c r="H2514">
        <v>1</v>
      </c>
      <c r="I2514" s="3">
        <v>2477.89</v>
      </c>
      <c r="J2514" s="3">
        <v>784.63</v>
      </c>
      <c r="K2514" t="s">
        <v>391</v>
      </c>
      <c r="L2514">
        <v>1</v>
      </c>
      <c r="M2514" t="s">
        <v>392</v>
      </c>
      <c r="N2514" t="s">
        <v>393</v>
      </c>
      <c r="O2514" t="s">
        <v>394</v>
      </c>
      <c r="P2514" t="str">
        <f>"50328"</f>
        <v>50328</v>
      </c>
    </row>
    <row r="2515" spans="1:16" x14ac:dyDescent="0.25">
      <c r="A2515" t="str">
        <f>"1070084N00006    00"</f>
        <v>1070084N00006    00</v>
      </c>
      <c r="B2515" t="s">
        <v>5991</v>
      </c>
      <c r="C2515" t="s">
        <v>5992</v>
      </c>
      <c r="E2515" t="s">
        <v>39</v>
      </c>
      <c r="F2515">
        <v>0</v>
      </c>
      <c r="G2515">
        <v>0</v>
      </c>
      <c r="H2515">
        <v>1</v>
      </c>
      <c r="I2515" s="3">
        <v>113.27</v>
      </c>
      <c r="J2515" s="3">
        <v>111.38</v>
      </c>
      <c r="K2515" t="s">
        <v>5993</v>
      </c>
      <c r="L2515">
        <v>701</v>
      </c>
      <c r="M2515" t="s">
        <v>5578</v>
      </c>
      <c r="N2515" t="s">
        <v>30</v>
      </c>
      <c r="O2515" t="s">
        <v>31</v>
      </c>
      <c r="P2515" t="str">
        <f>"15232"</f>
        <v>15232</v>
      </c>
    </row>
    <row r="2516" spans="1:16" x14ac:dyDescent="0.25">
      <c r="A2516" t="str">
        <f>"1070084N00039    00"</f>
        <v>1070084N00039    00</v>
      </c>
      <c r="B2516" t="s">
        <v>5994</v>
      </c>
      <c r="C2516" t="s">
        <v>5995</v>
      </c>
      <c r="E2516" t="s">
        <v>39</v>
      </c>
      <c r="F2516">
        <v>0</v>
      </c>
      <c r="G2516">
        <v>0</v>
      </c>
      <c r="H2516">
        <v>2</v>
      </c>
      <c r="I2516" s="3">
        <v>57.21</v>
      </c>
      <c r="J2516" s="3">
        <v>42.9</v>
      </c>
      <c r="K2516" t="s">
        <v>4877</v>
      </c>
      <c r="L2516">
        <v>1</v>
      </c>
      <c r="M2516" t="s">
        <v>4878</v>
      </c>
      <c r="N2516" t="s">
        <v>4879</v>
      </c>
      <c r="O2516" t="s">
        <v>31</v>
      </c>
      <c r="P2516" t="str">
        <f>"19428"</f>
        <v>19428</v>
      </c>
    </row>
    <row r="2517" spans="1:16" x14ac:dyDescent="0.25">
      <c r="A2517" t="str">
        <f>"1070084N00041    00"</f>
        <v>1070084N00041    00</v>
      </c>
      <c r="B2517" t="s">
        <v>5996</v>
      </c>
      <c r="C2517" t="s">
        <v>5997</v>
      </c>
      <c r="D2517" t="s">
        <v>20</v>
      </c>
      <c r="E2517" t="s">
        <v>39</v>
      </c>
      <c r="F2517">
        <v>0</v>
      </c>
      <c r="G2517">
        <v>0</v>
      </c>
      <c r="H2517">
        <v>3</v>
      </c>
      <c r="I2517" s="3">
        <v>22760</v>
      </c>
      <c r="J2517" s="3">
        <v>1257.4100000000001</v>
      </c>
      <c r="K2517" t="s">
        <v>5998</v>
      </c>
      <c r="L2517">
        <v>628</v>
      </c>
      <c r="M2517" t="s">
        <v>5999</v>
      </c>
      <c r="N2517" t="s">
        <v>30</v>
      </c>
      <c r="O2517" t="s">
        <v>31</v>
      </c>
      <c r="P2517" t="str">
        <f>"15232"</f>
        <v>15232</v>
      </c>
    </row>
    <row r="2518" spans="1:16" x14ac:dyDescent="0.25">
      <c r="A2518" t="str">
        <f>"1070084N00045    00"</f>
        <v>1070084N00045    00</v>
      </c>
      <c r="B2518" t="s">
        <v>6000</v>
      </c>
      <c r="C2518" t="s">
        <v>6001</v>
      </c>
      <c r="D2518" t="s">
        <v>57</v>
      </c>
      <c r="E2518" t="s">
        <v>39</v>
      </c>
      <c r="F2518">
        <v>0</v>
      </c>
      <c r="G2518">
        <v>0</v>
      </c>
      <c r="H2518">
        <v>1</v>
      </c>
      <c r="I2518" s="3">
        <v>2439.54</v>
      </c>
      <c r="J2518" s="3">
        <v>772.49</v>
      </c>
      <c r="K2518" t="s">
        <v>6002</v>
      </c>
      <c r="M2518" t="s">
        <v>6003</v>
      </c>
      <c r="N2518" t="s">
        <v>6004</v>
      </c>
      <c r="O2518" t="s">
        <v>31</v>
      </c>
      <c r="P2518" t="str">
        <f>"15456"</f>
        <v>15456</v>
      </c>
    </row>
    <row r="2519" spans="1:16" x14ac:dyDescent="0.25">
      <c r="A2519" t="str">
        <f>"1070084N00081A10100"</f>
        <v>1070084N00081A10100</v>
      </c>
      <c r="B2519" t="s">
        <v>6005</v>
      </c>
      <c r="C2519" t="s">
        <v>6006</v>
      </c>
      <c r="D2519" t="s">
        <v>20</v>
      </c>
      <c r="E2519" t="s">
        <v>39</v>
      </c>
      <c r="F2519">
        <v>0</v>
      </c>
      <c r="G2519">
        <v>0</v>
      </c>
      <c r="H2519">
        <v>1</v>
      </c>
      <c r="I2519" s="3">
        <v>3112.51</v>
      </c>
      <c r="J2519" s="3">
        <v>0</v>
      </c>
      <c r="K2519" t="s">
        <v>6007</v>
      </c>
      <c r="L2519">
        <v>4115</v>
      </c>
      <c r="M2519" t="s">
        <v>6008</v>
      </c>
      <c r="N2519" t="s">
        <v>6009</v>
      </c>
      <c r="O2519" t="s">
        <v>495</v>
      </c>
      <c r="P2519" t="str">
        <f>"94028"</f>
        <v>94028</v>
      </c>
    </row>
    <row r="2520" spans="1:16" x14ac:dyDescent="0.25">
      <c r="A2520" t="str">
        <f>"1070084N00083    00"</f>
        <v>1070084N00083    00</v>
      </c>
      <c r="B2520" t="s">
        <v>6010</v>
      </c>
      <c r="C2520" t="s">
        <v>6011</v>
      </c>
      <c r="E2520" t="s">
        <v>39</v>
      </c>
      <c r="F2520">
        <v>0</v>
      </c>
      <c r="G2520">
        <v>0</v>
      </c>
      <c r="H2520">
        <v>2</v>
      </c>
      <c r="I2520" s="3">
        <v>666.1</v>
      </c>
      <c r="J2520" s="3">
        <v>45.55</v>
      </c>
      <c r="K2520" t="s">
        <v>6012</v>
      </c>
      <c r="L2520">
        <v>4</v>
      </c>
      <c r="M2520" t="s">
        <v>6013</v>
      </c>
      <c r="N2520" t="s">
        <v>1745</v>
      </c>
      <c r="O2520" t="s">
        <v>495</v>
      </c>
      <c r="P2520" t="str">
        <f>"92707"</f>
        <v>92707</v>
      </c>
    </row>
    <row r="2521" spans="1:16" x14ac:dyDescent="0.25">
      <c r="A2521" t="str">
        <f>"1070084N00108    00"</f>
        <v>1070084N00108    00</v>
      </c>
      <c r="B2521" t="s">
        <v>6014</v>
      </c>
      <c r="C2521" t="s">
        <v>6015</v>
      </c>
      <c r="D2521" t="s">
        <v>20</v>
      </c>
      <c r="E2521" t="s">
        <v>39</v>
      </c>
      <c r="F2521">
        <v>0</v>
      </c>
      <c r="G2521">
        <v>0</v>
      </c>
      <c r="H2521">
        <v>3</v>
      </c>
      <c r="I2521" s="3">
        <v>13884.87</v>
      </c>
      <c r="J2521" s="3">
        <v>523.1</v>
      </c>
      <c r="K2521" t="s">
        <v>6016</v>
      </c>
      <c r="L2521">
        <v>612</v>
      </c>
      <c r="M2521" t="s">
        <v>6017</v>
      </c>
      <c r="N2521" t="s">
        <v>30</v>
      </c>
      <c r="O2521" t="s">
        <v>31</v>
      </c>
      <c r="P2521" t="str">
        <f>"15232"</f>
        <v>15232</v>
      </c>
    </row>
    <row r="2522" spans="1:16" x14ac:dyDescent="0.25">
      <c r="A2522" t="str">
        <f>"1070084N00139    00"</f>
        <v>1070084N00139    00</v>
      </c>
      <c r="B2522" t="s">
        <v>6018</v>
      </c>
      <c r="C2522" t="s">
        <v>6019</v>
      </c>
      <c r="E2522" t="s">
        <v>39</v>
      </c>
      <c r="F2522">
        <v>0</v>
      </c>
      <c r="G2522">
        <v>0</v>
      </c>
      <c r="H2522">
        <v>1</v>
      </c>
      <c r="I2522" s="3">
        <v>527.72</v>
      </c>
      <c r="J2522" s="3">
        <v>167.11</v>
      </c>
      <c r="L2522">
        <v>726</v>
      </c>
      <c r="M2522" t="s">
        <v>6017</v>
      </c>
      <c r="N2522" t="s">
        <v>30</v>
      </c>
      <c r="O2522" t="s">
        <v>31</v>
      </c>
      <c r="P2522" t="str">
        <f>"15232"</f>
        <v>15232</v>
      </c>
    </row>
    <row r="2523" spans="1:16" x14ac:dyDescent="0.25">
      <c r="A2523" t="str">
        <f>"1070084N00200    00"</f>
        <v>1070084N00200    00</v>
      </c>
      <c r="B2523" t="s">
        <v>6020</v>
      </c>
      <c r="C2523" t="s">
        <v>6021</v>
      </c>
      <c r="E2523" t="s">
        <v>21</v>
      </c>
      <c r="F2523">
        <v>0</v>
      </c>
      <c r="G2523">
        <v>0</v>
      </c>
      <c r="H2523">
        <v>1</v>
      </c>
      <c r="I2523" s="3">
        <v>132.36000000000001</v>
      </c>
      <c r="J2523" s="3">
        <v>4.42</v>
      </c>
      <c r="L2523">
        <v>1748</v>
      </c>
      <c r="M2523" t="s">
        <v>6022</v>
      </c>
      <c r="N2523" t="s">
        <v>30</v>
      </c>
      <c r="O2523" t="s">
        <v>31</v>
      </c>
      <c r="P2523" t="str">
        <f>"15206"</f>
        <v>15206</v>
      </c>
    </row>
    <row r="2524" spans="1:16" x14ac:dyDescent="0.25">
      <c r="A2524" t="str">
        <f>"1070084N00248    00"</f>
        <v>1070084N00248    00</v>
      </c>
      <c r="B2524" t="s">
        <v>6023</v>
      </c>
      <c r="C2524" t="s">
        <v>6024</v>
      </c>
      <c r="D2524" t="s">
        <v>57</v>
      </c>
      <c r="E2524" t="s">
        <v>39</v>
      </c>
      <c r="F2524">
        <v>0</v>
      </c>
      <c r="G2524">
        <v>0</v>
      </c>
      <c r="H2524">
        <v>1</v>
      </c>
      <c r="I2524" s="3">
        <v>2224.94</v>
      </c>
      <c r="J2524" s="3">
        <v>389.35</v>
      </c>
      <c r="K2524" t="s">
        <v>5432</v>
      </c>
      <c r="L2524">
        <v>3001</v>
      </c>
      <c r="M2524" t="s">
        <v>330</v>
      </c>
      <c r="N2524" t="s">
        <v>331</v>
      </c>
      <c r="O2524" t="s">
        <v>108</v>
      </c>
      <c r="P2524" t="str">
        <f>"75063"</f>
        <v>75063</v>
      </c>
    </row>
    <row r="2525" spans="1:16" x14ac:dyDescent="0.25">
      <c r="A2525" t="str">
        <f>"1070084N00302    00"</f>
        <v>1070084N00302    00</v>
      </c>
      <c r="B2525" t="s">
        <v>6025</v>
      </c>
      <c r="C2525" t="s">
        <v>6026</v>
      </c>
      <c r="D2525" t="s">
        <v>20</v>
      </c>
      <c r="E2525" t="s">
        <v>39</v>
      </c>
      <c r="F2525">
        <v>0</v>
      </c>
      <c r="G2525">
        <v>0</v>
      </c>
      <c r="H2525">
        <v>1</v>
      </c>
      <c r="I2525" s="3">
        <v>3686.7</v>
      </c>
      <c r="J2525" s="3">
        <v>1474.62</v>
      </c>
      <c r="K2525" t="s">
        <v>5355</v>
      </c>
      <c r="L2525">
        <v>3001</v>
      </c>
      <c r="M2525" t="s">
        <v>404</v>
      </c>
      <c r="N2525" t="s">
        <v>331</v>
      </c>
      <c r="O2525" t="s">
        <v>108</v>
      </c>
      <c r="P2525" t="str">
        <f>"75063"</f>
        <v>75063</v>
      </c>
    </row>
    <row r="2526" spans="1:16" x14ac:dyDescent="0.25">
      <c r="A2526" t="str">
        <f>"1070084N00308    00"</f>
        <v>1070084N00308    00</v>
      </c>
      <c r="B2526" t="s">
        <v>6027</v>
      </c>
      <c r="C2526" t="s">
        <v>6028</v>
      </c>
      <c r="E2526" t="s">
        <v>39</v>
      </c>
      <c r="F2526">
        <v>0</v>
      </c>
      <c r="G2526">
        <v>0</v>
      </c>
      <c r="H2526">
        <v>1</v>
      </c>
      <c r="I2526" s="3">
        <v>728.09</v>
      </c>
      <c r="J2526" s="3">
        <v>72.8</v>
      </c>
      <c r="K2526" t="s">
        <v>6029</v>
      </c>
      <c r="L2526">
        <v>701</v>
      </c>
      <c r="M2526" t="s">
        <v>6030</v>
      </c>
      <c r="N2526" t="s">
        <v>30</v>
      </c>
      <c r="O2526" t="s">
        <v>31</v>
      </c>
      <c r="P2526" t="str">
        <f>"15232"</f>
        <v>15232</v>
      </c>
    </row>
    <row r="2527" spans="1:16" x14ac:dyDescent="0.25">
      <c r="A2527" t="str">
        <f>"1070084N00322    00"</f>
        <v>1070084N00322    00</v>
      </c>
      <c r="B2527" t="s">
        <v>6031</v>
      </c>
      <c r="C2527" t="s">
        <v>6032</v>
      </c>
      <c r="E2527" t="s">
        <v>39</v>
      </c>
      <c r="F2527">
        <v>0</v>
      </c>
      <c r="G2527">
        <v>0</v>
      </c>
      <c r="H2527">
        <v>1</v>
      </c>
      <c r="I2527" s="3">
        <v>2071.2199999999998</v>
      </c>
      <c r="J2527" s="3">
        <v>379.72</v>
      </c>
      <c r="L2527">
        <v>5819</v>
      </c>
      <c r="M2527" t="s">
        <v>6033</v>
      </c>
      <c r="N2527" t="s">
        <v>30</v>
      </c>
      <c r="O2527" t="s">
        <v>31</v>
      </c>
      <c r="P2527" t="str">
        <f>"15232"</f>
        <v>15232</v>
      </c>
    </row>
    <row r="2528" spans="1:16" x14ac:dyDescent="0.25">
      <c r="A2528" t="str">
        <f>"1070084N00334    00"</f>
        <v>1070084N00334    00</v>
      </c>
      <c r="B2528" t="s">
        <v>6034</v>
      </c>
      <c r="C2528" t="s">
        <v>6035</v>
      </c>
      <c r="E2528" t="s">
        <v>21</v>
      </c>
      <c r="F2528">
        <v>0</v>
      </c>
      <c r="G2528">
        <v>0</v>
      </c>
      <c r="H2528">
        <v>1</v>
      </c>
      <c r="I2528" s="3">
        <v>1227.46</v>
      </c>
      <c r="J2528" s="3">
        <v>122.74</v>
      </c>
      <c r="L2528">
        <v>659</v>
      </c>
      <c r="M2528" t="s">
        <v>6030</v>
      </c>
      <c r="N2528" t="s">
        <v>30</v>
      </c>
      <c r="O2528" t="s">
        <v>31</v>
      </c>
      <c r="P2528" t="str">
        <f>"15232"</f>
        <v>15232</v>
      </c>
    </row>
    <row r="2529" spans="1:16" x14ac:dyDescent="0.25">
      <c r="A2529" t="str">
        <f>"1070084N00336    00"</f>
        <v>1070084N00336    00</v>
      </c>
      <c r="B2529" t="s">
        <v>6036</v>
      </c>
      <c r="C2529" t="s">
        <v>6037</v>
      </c>
      <c r="E2529" t="s">
        <v>39</v>
      </c>
      <c r="F2529">
        <v>0</v>
      </c>
      <c r="G2529">
        <v>0</v>
      </c>
      <c r="H2529">
        <v>2</v>
      </c>
      <c r="I2529" s="3">
        <v>581.29999999999995</v>
      </c>
      <c r="J2529" s="3">
        <v>0.28000000000000003</v>
      </c>
      <c r="K2529" t="s">
        <v>6038</v>
      </c>
      <c r="L2529">
        <v>1501</v>
      </c>
      <c r="M2529" t="s">
        <v>5924</v>
      </c>
      <c r="N2529" t="s">
        <v>30</v>
      </c>
      <c r="O2529" t="s">
        <v>31</v>
      </c>
      <c r="P2529" t="str">
        <f>"15221"</f>
        <v>15221</v>
      </c>
    </row>
    <row r="2530" spans="1:16" x14ac:dyDescent="0.25">
      <c r="A2530" t="str">
        <f>"1070084N00343    00"</f>
        <v>1070084N00343    00</v>
      </c>
      <c r="B2530" t="s">
        <v>6039</v>
      </c>
      <c r="C2530" t="s">
        <v>6040</v>
      </c>
      <c r="E2530" t="s">
        <v>39</v>
      </c>
      <c r="F2530">
        <v>0</v>
      </c>
      <c r="G2530">
        <v>0</v>
      </c>
      <c r="H2530">
        <v>2</v>
      </c>
      <c r="I2530" s="3">
        <v>4136.04</v>
      </c>
      <c r="J2530" s="3">
        <v>206.79</v>
      </c>
      <c r="L2530">
        <v>41</v>
      </c>
      <c r="M2530" t="s">
        <v>6041</v>
      </c>
      <c r="N2530" t="s">
        <v>6042</v>
      </c>
      <c r="O2530" t="s">
        <v>423</v>
      </c>
      <c r="P2530" t="str">
        <f>"07753"</f>
        <v>07753</v>
      </c>
    </row>
    <row r="2531" spans="1:16" x14ac:dyDescent="0.25">
      <c r="A2531" t="str">
        <f>"1070084N00346    00"</f>
        <v>1070084N00346    00</v>
      </c>
      <c r="B2531" t="s">
        <v>6043</v>
      </c>
      <c r="C2531" t="s">
        <v>6044</v>
      </c>
      <c r="E2531" t="s">
        <v>39</v>
      </c>
      <c r="F2531">
        <v>0</v>
      </c>
      <c r="G2531">
        <v>0</v>
      </c>
      <c r="H2531">
        <v>1</v>
      </c>
      <c r="I2531" s="3">
        <v>7537.88</v>
      </c>
      <c r="J2531" s="3">
        <v>1507.53</v>
      </c>
      <c r="K2531" t="s">
        <v>805</v>
      </c>
      <c r="L2531">
        <v>3001</v>
      </c>
      <c r="M2531" t="s">
        <v>330</v>
      </c>
      <c r="N2531" t="s">
        <v>331</v>
      </c>
      <c r="O2531" t="s">
        <v>108</v>
      </c>
      <c r="P2531" t="str">
        <f>"75063"</f>
        <v>75063</v>
      </c>
    </row>
    <row r="2532" spans="1:16" x14ac:dyDescent="0.25">
      <c r="A2532" t="str">
        <f>"1070084N00358    00"</f>
        <v>1070084N00358    00</v>
      </c>
      <c r="B2532" t="s">
        <v>6045</v>
      </c>
      <c r="C2532" t="s">
        <v>6046</v>
      </c>
      <c r="D2532" t="s">
        <v>20</v>
      </c>
      <c r="E2532" t="s">
        <v>39</v>
      </c>
      <c r="F2532">
        <v>0</v>
      </c>
      <c r="G2532">
        <v>0</v>
      </c>
      <c r="H2532">
        <v>6</v>
      </c>
      <c r="I2532" s="3">
        <v>21249.54</v>
      </c>
      <c r="J2532" s="3">
        <v>4108.1099999999997</v>
      </c>
      <c r="L2532">
        <v>645</v>
      </c>
      <c r="M2532" t="s">
        <v>6030</v>
      </c>
      <c r="N2532" t="s">
        <v>30</v>
      </c>
      <c r="O2532" t="s">
        <v>31</v>
      </c>
      <c r="P2532" t="str">
        <f>"15232"</f>
        <v>15232</v>
      </c>
    </row>
    <row r="2533" spans="1:16" x14ac:dyDescent="0.25">
      <c r="A2533" t="str">
        <f>"1070084P00011    00"</f>
        <v>1070084P00011    00</v>
      </c>
      <c r="B2533" t="s">
        <v>6047</v>
      </c>
      <c r="C2533" t="s">
        <v>6048</v>
      </c>
      <c r="E2533" t="s">
        <v>39</v>
      </c>
      <c r="F2533">
        <v>0</v>
      </c>
      <c r="G2533">
        <v>0</v>
      </c>
      <c r="H2533">
        <v>1</v>
      </c>
      <c r="I2533" s="3">
        <v>3157.16</v>
      </c>
      <c r="J2533" s="3">
        <v>999.73</v>
      </c>
      <c r="K2533" t="s">
        <v>756</v>
      </c>
      <c r="L2533">
        <v>3001</v>
      </c>
      <c r="M2533" t="s">
        <v>330</v>
      </c>
      <c r="N2533" t="s">
        <v>331</v>
      </c>
      <c r="O2533" t="s">
        <v>108</v>
      </c>
      <c r="P2533" t="str">
        <f>"75063"</f>
        <v>75063</v>
      </c>
    </row>
    <row r="2534" spans="1:16" x14ac:dyDescent="0.25">
      <c r="A2534" t="str">
        <f>"1070084P00069    00"</f>
        <v>1070084P00069    00</v>
      </c>
      <c r="B2534" t="s">
        <v>6049</v>
      </c>
      <c r="C2534" t="s">
        <v>6050</v>
      </c>
      <c r="E2534" t="s">
        <v>39</v>
      </c>
      <c r="F2534">
        <v>0</v>
      </c>
      <c r="G2534">
        <v>0</v>
      </c>
      <c r="H2534">
        <v>2</v>
      </c>
      <c r="I2534" s="3">
        <v>2995.06</v>
      </c>
      <c r="J2534" s="3">
        <v>12.48</v>
      </c>
      <c r="K2534" t="s">
        <v>1502</v>
      </c>
      <c r="L2534">
        <v>901</v>
      </c>
      <c r="M2534" t="s">
        <v>1503</v>
      </c>
      <c r="N2534" t="s">
        <v>494</v>
      </c>
      <c r="O2534" t="s">
        <v>495</v>
      </c>
      <c r="P2534" t="str">
        <f>"91768"</f>
        <v>91768</v>
      </c>
    </row>
    <row r="2535" spans="1:16" x14ac:dyDescent="0.25">
      <c r="A2535" t="str">
        <f>"1070084P00107000900"</f>
        <v>1070084P00107000900</v>
      </c>
      <c r="B2535" t="s">
        <v>6051</v>
      </c>
      <c r="C2535" t="s">
        <v>6052</v>
      </c>
      <c r="E2535" t="s">
        <v>39</v>
      </c>
      <c r="F2535">
        <v>0</v>
      </c>
      <c r="G2535">
        <v>0</v>
      </c>
      <c r="H2535">
        <v>1</v>
      </c>
      <c r="I2535" s="3">
        <v>1830.87</v>
      </c>
      <c r="J2535" s="3">
        <v>732.32</v>
      </c>
      <c r="L2535">
        <v>400</v>
      </c>
      <c r="M2535" t="s">
        <v>6053</v>
      </c>
      <c r="N2535" t="s">
        <v>30</v>
      </c>
      <c r="O2535" t="s">
        <v>31</v>
      </c>
      <c r="P2535" t="str">
        <f>"15206"</f>
        <v>15206</v>
      </c>
    </row>
    <row r="2536" spans="1:16" x14ac:dyDescent="0.25">
      <c r="A2536" t="str">
        <f>"1070084P00107B1  00"</f>
        <v>1070084P00107B1  00</v>
      </c>
      <c r="B2536" t="s">
        <v>6054</v>
      </c>
      <c r="C2536" t="s">
        <v>6055</v>
      </c>
      <c r="D2536" t="s">
        <v>33</v>
      </c>
      <c r="E2536" t="s">
        <v>39</v>
      </c>
      <c r="F2536">
        <v>0</v>
      </c>
      <c r="G2536">
        <v>0</v>
      </c>
      <c r="H2536">
        <v>3</v>
      </c>
      <c r="I2536" s="3">
        <v>2711.71</v>
      </c>
      <c r="J2536" s="3">
        <v>65.459999999999994</v>
      </c>
      <c r="K2536" t="s">
        <v>4989</v>
      </c>
      <c r="L2536">
        <v>3001</v>
      </c>
      <c r="M2536" t="s">
        <v>330</v>
      </c>
      <c r="N2536" t="s">
        <v>331</v>
      </c>
      <c r="O2536" t="s">
        <v>108</v>
      </c>
      <c r="P2536" t="str">
        <f>"75063"</f>
        <v>75063</v>
      </c>
    </row>
    <row r="2537" spans="1:16" x14ac:dyDescent="0.25">
      <c r="A2537" t="str">
        <f>"1070084P00115B1  00"</f>
        <v>1070084P00115B1  00</v>
      </c>
      <c r="B2537" t="s">
        <v>6056</v>
      </c>
      <c r="C2537" t="s">
        <v>6057</v>
      </c>
      <c r="D2537" t="s">
        <v>20</v>
      </c>
      <c r="E2537" t="s">
        <v>39</v>
      </c>
      <c r="F2537">
        <v>0</v>
      </c>
      <c r="G2537">
        <v>0</v>
      </c>
      <c r="H2537">
        <v>1</v>
      </c>
      <c r="I2537" s="3">
        <v>2245.27</v>
      </c>
      <c r="J2537" s="3">
        <v>0</v>
      </c>
      <c r="K2537" t="s">
        <v>6058</v>
      </c>
      <c r="L2537">
        <v>5927</v>
      </c>
      <c r="M2537" t="s">
        <v>6059</v>
      </c>
      <c r="N2537" t="s">
        <v>30</v>
      </c>
      <c r="O2537" t="s">
        <v>31</v>
      </c>
      <c r="P2537" t="str">
        <f>"15232"</f>
        <v>15232</v>
      </c>
    </row>
    <row r="2538" spans="1:16" x14ac:dyDescent="0.25">
      <c r="A2538" t="str">
        <f>"1070084P00115C8  00"</f>
        <v>1070084P00115C8  00</v>
      </c>
      <c r="B2538" t="s">
        <v>6060</v>
      </c>
      <c r="C2538" t="s">
        <v>6061</v>
      </c>
      <c r="D2538" t="s">
        <v>20</v>
      </c>
      <c r="E2538" t="s">
        <v>39</v>
      </c>
      <c r="F2538">
        <v>0</v>
      </c>
      <c r="G2538">
        <v>0</v>
      </c>
      <c r="H2538">
        <v>9</v>
      </c>
      <c r="I2538" s="3">
        <v>20020.990000000002</v>
      </c>
      <c r="J2538" s="3">
        <v>7942.98</v>
      </c>
      <c r="L2538">
        <v>2116</v>
      </c>
      <c r="M2538" t="s">
        <v>6062</v>
      </c>
      <c r="N2538" t="s">
        <v>321</v>
      </c>
      <c r="O2538" t="s">
        <v>31</v>
      </c>
      <c r="P2538" t="str">
        <f>"15001"</f>
        <v>15001</v>
      </c>
    </row>
    <row r="2539" spans="1:16" x14ac:dyDescent="0.25">
      <c r="A2539" t="str">
        <f>"1070084P00162    00"</f>
        <v>1070084P00162    00</v>
      </c>
      <c r="B2539" t="s">
        <v>6063</v>
      </c>
      <c r="C2539" t="s">
        <v>6064</v>
      </c>
      <c r="E2539" t="s">
        <v>21</v>
      </c>
      <c r="F2539">
        <v>0</v>
      </c>
      <c r="G2539">
        <v>0</v>
      </c>
      <c r="H2539">
        <v>1</v>
      </c>
      <c r="I2539" s="3">
        <v>91.92</v>
      </c>
      <c r="J2539" s="3">
        <v>3.83</v>
      </c>
      <c r="L2539">
        <v>7072</v>
      </c>
      <c r="M2539" t="s">
        <v>6065</v>
      </c>
      <c r="N2539" t="s">
        <v>30</v>
      </c>
      <c r="O2539" t="s">
        <v>31</v>
      </c>
      <c r="P2539" t="str">
        <f>"15237"</f>
        <v>15237</v>
      </c>
    </row>
    <row r="2540" spans="1:16" x14ac:dyDescent="0.25">
      <c r="A2540" t="str">
        <f>"1070084P00171000200"</f>
        <v>1070084P00171000200</v>
      </c>
      <c r="B2540" t="s">
        <v>6066</v>
      </c>
      <c r="C2540" t="s">
        <v>6067</v>
      </c>
      <c r="E2540" t="s">
        <v>39</v>
      </c>
      <c r="F2540">
        <v>0</v>
      </c>
      <c r="G2540">
        <v>0</v>
      </c>
      <c r="H2540">
        <v>1</v>
      </c>
      <c r="I2540" s="3">
        <v>2052.77</v>
      </c>
      <c r="J2540" s="3">
        <v>1419.78</v>
      </c>
      <c r="L2540">
        <v>384</v>
      </c>
      <c r="M2540" t="s">
        <v>6068</v>
      </c>
      <c r="N2540" t="s">
        <v>30</v>
      </c>
      <c r="O2540" t="s">
        <v>31</v>
      </c>
      <c r="P2540" t="str">
        <f>"15206"</f>
        <v>15206</v>
      </c>
    </row>
    <row r="2541" spans="1:16" x14ac:dyDescent="0.25">
      <c r="A2541" t="str">
        <f>"1070084P00182010700"</f>
        <v>1070084P00182010700</v>
      </c>
      <c r="B2541" t="s">
        <v>6069</v>
      </c>
      <c r="C2541" t="s">
        <v>6070</v>
      </c>
      <c r="E2541" t="s">
        <v>39</v>
      </c>
      <c r="F2541">
        <v>0</v>
      </c>
      <c r="G2541">
        <v>0</v>
      </c>
      <c r="H2541">
        <v>2</v>
      </c>
      <c r="I2541" s="3">
        <v>2810.72</v>
      </c>
      <c r="J2541" s="3">
        <v>140.53</v>
      </c>
      <c r="L2541">
        <v>341</v>
      </c>
      <c r="M2541" t="s">
        <v>6071</v>
      </c>
      <c r="N2541" t="s">
        <v>1067</v>
      </c>
      <c r="O2541" t="s">
        <v>31</v>
      </c>
      <c r="P2541" t="str">
        <f>"15143"</f>
        <v>15143</v>
      </c>
    </row>
    <row r="2542" spans="1:16" x14ac:dyDescent="0.25">
      <c r="A2542" t="str">
        <f>"1070084P00194    00"</f>
        <v>1070084P00194    00</v>
      </c>
      <c r="B2542" t="s">
        <v>6072</v>
      </c>
      <c r="C2542" t="s">
        <v>6073</v>
      </c>
      <c r="E2542" t="s">
        <v>39</v>
      </c>
      <c r="F2542">
        <v>0</v>
      </c>
      <c r="G2542">
        <v>0</v>
      </c>
      <c r="H2542">
        <v>2</v>
      </c>
      <c r="I2542" s="3">
        <v>3625.91</v>
      </c>
      <c r="J2542" s="3">
        <v>247.96</v>
      </c>
      <c r="K2542" t="s">
        <v>6074</v>
      </c>
      <c r="L2542">
        <v>102</v>
      </c>
      <c r="M2542" t="s">
        <v>6075</v>
      </c>
      <c r="N2542" t="s">
        <v>30</v>
      </c>
      <c r="O2542" t="s">
        <v>31</v>
      </c>
      <c r="P2542" t="str">
        <f>"15215"</f>
        <v>15215</v>
      </c>
    </row>
    <row r="2543" spans="1:16" x14ac:dyDescent="0.25">
      <c r="A2543" t="str">
        <f>"1070084P00213    00"</f>
        <v>1070084P00213    00</v>
      </c>
      <c r="B2543" t="s">
        <v>6076</v>
      </c>
      <c r="C2543" t="s">
        <v>6077</v>
      </c>
      <c r="D2543" t="s">
        <v>20</v>
      </c>
      <c r="E2543" t="s">
        <v>39</v>
      </c>
      <c r="F2543">
        <v>0</v>
      </c>
      <c r="G2543">
        <v>0</v>
      </c>
      <c r="H2543">
        <v>3</v>
      </c>
      <c r="I2543" s="3">
        <v>10833.74</v>
      </c>
      <c r="J2543" s="3">
        <v>184.68</v>
      </c>
      <c r="K2543" t="s">
        <v>6078</v>
      </c>
      <c r="L2543">
        <v>377</v>
      </c>
      <c r="M2543" t="s">
        <v>5741</v>
      </c>
      <c r="N2543" t="s">
        <v>30</v>
      </c>
      <c r="O2543" t="s">
        <v>31</v>
      </c>
      <c r="P2543" t="str">
        <f>"15232"</f>
        <v>15232</v>
      </c>
    </row>
    <row r="2544" spans="1:16" x14ac:dyDescent="0.25">
      <c r="A2544" t="str">
        <f>"1070084P00239    00"</f>
        <v>1070084P00239    00</v>
      </c>
      <c r="B2544" t="s">
        <v>6079</v>
      </c>
      <c r="C2544" t="s">
        <v>6080</v>
      </c>
      <c r="D2544" t="s">
        <v>20</v>
      </c>
      <c r="E2544" t="s">
        <v>39</v>
      </c>
      <c r="F2544">
        <v>0</v>
      </c>
      <c r="G2544">
        <v>0</v>
      </c>
      <c r="H2544">
        <v>1</v>
      </c>
      <c r="I2544" s="3">
        <v>1938.41</v>
      </c>
      <c r="J2544" s="3">
        <v>0</v>
      </c>
      <c r="K2544" t="s">
        <v>6081</v>
      </c>
      <c r="L2544">
        <v>374</v>
      </c>
      <c r="M2544" t="s">
        <v>5876</v>
      </c>
      <c r="N2544" t="s">
        <v>30</v>
      </c>
      <c r="O2544" t="s">
        <v>31</v>
      </c>
      <c r="P2544" t="str">
        <f>"15232"</f>
        <v>15232</v>
      </c>
    </row>
    <row r="2545" spans="1:16" x14ac:dyDescent="0.25">
      <c r="A2545" t="str">
        <f>"1070084R00013    00"</f>
        <v>1070084R00013    00</v>
      </c>
      <c r="B2545" t="s">
        <v>6082</v>
      </c>
      <c r="C2545" t="s">
        <v>6083</v>
      </c>
      <c r="E2545" t="s">
        <v>39</v>
      </c>
      <c r="F2545">
        <v>0</v>
      </c>
      <c r="G2545">
        <v>0</v>
      </c>
      <c r="H2545">
        <v>1</v>
      </c>
      <c r="I2545" s="3">
        <v>4354.1899999999996</v>
      </c>
      <c r="J2545" s="3">
        <v>0</v>
      </c>
      <c r="L2545">
        <v>418</v>
      </c>
      <c r="M2545" t="s">
        <v>5746</v>
      </c>
      <c r="N2545" t="s">
        <v>30</v>
      </c>
      <c r="O2545" t="s">
        <v>31</v>
      </c>
      <c r="P2545" t="str">
        <f>"15206"</f>
        <v>15206</v>
      </c>
    </row>
    <row r="2546" spans="1:16" x14ac:dyDescent="0.25">
      <c r="A2546" t="str">
        <f>"1070084R00053    00"</f>
        <v>1070084R00053    00</v>
      </c>
      <c r="B2546" t="s">
        <v>6084</v>
      </c>
      <c r="C2546" t="s">
        <v>6085</v>
      </c>
      <c r="E2546" t="s">
        <v>39</v>
      </c>
      <c r="F2546">
        <v>0</v>
      </c>
      <c r="G2546">
        <v>0</v>
      </c>
      <c r="H2546">
        <v>1</v>
      </c>
      <c r="I2546" s="3">
        <v>1515.81</v>
      </c>
      <c r="J2546" s="3">
        <v>416.83</v>
      </c>
      <c r="K2546" t="s">
        <v>6086</v>
      </c>
      <c r="L2546">
        <v>428</v>
      </c>
      <c r="M2546" t="s">
        <v>6087</v>
      </c>
      <c r="N2546" t="s">
        <v>30</v>
      </c>
      <c r="O2546" t="s">
        <v>31</v>
      </c>
      <c r="P2546" t="str">
        <f>"15206"</f>
        <v>15206</v>
      </c>
    </row>
    <row r="2547" spans="1:16" x14ac:dyDescent="0.25">
      <c r="A2547" t="str">
        <f>"1070084R00067    00"</f>
        <v>1070084R00067    00</v>
      </c>
      <c r="B2547" t="s">
        <v>6088</v>
      </c>
      <c r="C2547" t="s">
        <v>6089</v>
      </c>
      <c r="E2547" t="s">
        <v>39</v>
      </c>
      <c r="F2547">
        <v>0</v>
      </c>
      <c r="G2547">
        <v>0</v>
      </c>
      <c r="H2547">
        <v>1</v>
      </c>
      <c r="I2547" s="3">
        <v>1987.55</v>
      </c>
      <c r="J2547" s="3">
        <v>0</v>
      </c>
      <c r="L2547">
        <v>6014</v>
      </c>
      <c r="M2547" t="s">
        <v>4532</v>
      </c>
      <c r="N2547" t="s">
        <v>30</v>
      </c>
      <c r="O2547" t="s">
        <v>31</v>
      </c>
      <c r="P2547" t="str">
        <f>"15206"</f>
        <v>15206</v>
      </c>
    </row>
    <row r="2548" spans="1:16" x14ac:dyDescent="0.25">
      <c r="A2548" t="str">
        <f>"1070084R00088    00"</f>
        <v>1070084R00088    00</v>
      </c>
      <c r="B2548" t="s">
        <v>6090</v>
      </c>
      <c r="C2548" t="s">
        <v>6091</v>
      </c>
      <c r="E2548" t="s">
        <v>39</v>
      </c>
      <c r="F2548">
        <v>0</v>
      </c>
      <c r="G2548">
        <v>0</v>
      </c>
      <c r="H2548">
        <v>2</v>
      </c>
      <c r="I2548" s="3">
        <v>24242.58</v>
      </c>
      <c r="J2548" s="3">
        <v>2433.0300000000002</v>
      </c>
      <c r="L2548">
        <v>518</v>
      </c>
      <c r="M2548" t="s">
        <v>5746</v>
      </c>
      <c r="N2548" t="s">
        <v>30</v>
      </c>
      <c r="O2548" t="s">
        <v>31</v>
      </c>
      <c r="P2548" t="str">
        <f>"15206"</f>
        <v>15206</v>
      </c>
    </row>
    <row r="2549" spans="1:16" x14ac:dyDescent="0.25">
      <c r="A2549" t="str">
        <f>"1070084R00104    00"</f>
        <v>1070084R00104    00</v>
      </c>
      <c r="B2549" t="s">
        <v>6092</v>
      </c>
      <c r="C2549" t="s">
        <v>6093</v>
      </c>
      <c r="E2549" t="s">
        <v>39</v>
      </c>
      <c r="F2549">
        <v>0</v>
      </c>
      <c r="G2549">
        <v>0</v>
      </c>
      <c r="H2549">
        <v>2</v>
      </c>
      <c r="I2549" s="3">
        <v>3171.58</v>
      </c>
      <c r="J2549" s="3">
        <v>158.58000000000001</v>
      </c>
      <c r="L2549">
        <v>6104</v>
      </c>
      <c r="M2549" t="s">
        <v>6094</v>
      </c>
      <c r="N2549" t="s">
        <v>30</v>
      </c>
      <c r="O2549" t="s">
        <v>31</v>
      </c>
      <c r="P2549" t="str">
        <f>"15206"</f>
        <v>15206</v>
      </c>
    </row>
    <row r="2550" spans="1:16" x14ac:dyDescent="0.25">
      <c r="A2550" t="str">
        <f>"1070084R00211    00"</f>
        <v>1070084R00211    00</v>
      </c>
      <c r="B2550" t="s">
        <v>6095</v>
      </c>
      <c r="C2550" t="s">
        <v>6096</v>
      </c>
      <c r="E2550" t="s">
        <v>39</v>
      </c>
      <c r="F2550">
        <v>0</v>
      </c>
      <c r="G2550">
        <v>0</v>
      </c>
      <c r="H2550">
        <v>2</v>
      </c>
      <c r="I2550" s="3">
        <v>11748.58</v>
      </c>
      <c r="J2550" s="3">
        <v>489.5</v>
      </c>
      <c r="K2550" t="s">
        <v>5432</v>
      </c>
      <c r="L2550">
        <v>3001</v>
      </c>
      <c r="M2550" t="s">
        <v>330</v>
      </c>
      <c r="N2550" t="s">
        <v>331</v>
      </c>
      <c r="O2550" t="s">
        <v>108</v>
      </c>
      <c r="P2550" t="str">
        <f>"75063"</f>
        <v>75063</v>
      </c>
    </row>
    <row r="2551" spans="1:16" x14ac:dyDescent="0.25">
      <c r="A2551" t="str">
        <f>"1070084R00213    00"</f>
        <v>1070084R00213    00</v>
      </c>
      <c r="B2551" t="s">
        <v>6097</v>
      </c>
      <c r="C2551" t="s">
        <v>6098</v>
      </c>
      <c r="D2551" t="s">
        <v>20</v>
      </c>
      <c r="E2551" t="s">
        <v>39</v>
      </c>
      <c r="F2551">
        <v>0</v>
      </c>
      <c r="G2551">
        <v>0</v>
      </c>
      <c r="H2551">
        <v>1</v>
      </c>
      <c r="I2551" s="3">
        <v>1955.5</v>
      </c>
      <c r="J2551" s="3">
        <v>0</v>
      </c>
      <c r="L2551">
        <v>6205</v>
      </c>
      <c r="M2551" t="s">
        <v>4532</v>
      </c>
      <c r="N2551" t="s">
        <v>30</v>
      </c>
      <c r="O2551" t="s">
        <v>31</v>
      </c>
      <c r="P2551" t="str">
        <f>"15206"</f>
        <v>15206</v>
      </c>
    </row>
    <row r="2552" spans="1:16" x14ac:dyDescent="0.25">
      <c r="A2552" t="str">
        <f>"1070084R00293    00"</f>
        <v>1070084R00293    00</v>
      </c>
      <c r="B2552" t="s">
        <v>6099</v>
      </c>
      <c r="C2552" t="s">
        <v>6100</v>
      </c>
      <c r="E2552" t="s">
        <v>39</v>
      </c>
      <c r="F2552">
        <v>0</v>
      </c>
      <c r="G2552">
        <v>0</v>
      </c>
      <c r="H2552">
        <v>1</v>
      </c>
      <c r="I2552" s="3">
        <v>1634.01</v>
      </c>
      <c r="J2552" s="3">
        <v>449.34</v>
      </c>
      <c r="K2552" t="s">
        <v>6101</v>
      </c>
      <c r="L2552">
        <v>6330</v>
      </c>
      <c r="M2552" t="s">
        <v>4532</v>
      </c>
      <c r="N2552" t="s">
        <v>30</v>
      </c>
      <c r="O2552" t="s">
        <v>31</v>
      </c>
      <c r="P2552" t="str">
        <f>"15206"</f>
        <v>15206</v>
      </c>
    </row>
    <row r="2553" spans="1:16" x14ac:dyDescent="0.25">
      <c r="A2553" t="str">
        <f>"1070084R00326    00"</f>
        <v>1070084R00326    00</v>
      </c>
      <c r="B2553" t="s">
        <v>6102</v>
      </c>
      <c r="C2553" t="s">
        <v>6103</v>
      </c>
      <c r="E2553" t="s">
        <v>21</v>
      </c>
      <c r="F2553">
        <v>0</v>
      </c>
      <c r="G2553">
        <v>0</v>
      </c>
      <c r="H2553">
        <v>2</v>
      </c>
      <c r="I2553" s="3">
        <v>2659.55</v>
      </c>
      <c r="J2553" s="3">
        <v>65.17</v>
      </c>
      <c r="K2553" t="s">
        <v>6104</v>
      </c>
      <c r="L2553">
        <v>618</v>
      </c>
      <c r="M2553" t="s">
        <v>4219</v>
      </c>
      <c r="N2553" t="s">
        <v>30</v>
      </c>
      <c r="O2553" t="s">
        <v>31</v>
      </c>
      <c r="P2553" t="str">
        <f>"15232"</f>
        <v>15232</v>
      </c>
    </row>
    <row r="2554" spans="1:16" x14ac:dyDescent="0.25">
      <c r="A2554" t="str">
        <f>"1070084R00340002500"</f>
        <v>1070084R00340002500</v>
      </c>
      <c r="B2554" t="s">
        <v>6105</v>
      </c>
      <c r="C2554" t="s">
        <v>6106</v>
      </c>
      <c r="D2554" t="s">
        <v>20</v>
      </c>
      <c r="E2554" t="s">
        <v>39</v>
      </c>
      <c r="F2554">
        <v>0</v>
      </c>
      <c r="G2554">
        <v>0</v>
      </c>
      <c r="H2554">
        <v>1</v>
      </c>
      <c r="I2554" s="3">
        <v>2767.51</v>
      </c>
      <c r="J2554" s="3">
        <v>0</v>
      </c>
      <c r="L2554">
        <v>2288</v>
      </c>
      <c r="M2554" t="s">
        <v>6107</v>
      </c>
      <c r="N2554" t="s">
        <v>30</v>
      </c>
      <c r="O2554" t="s">
        <v>31</v>
      </c>
      <c r="P2554" t="str">
        <f>"15237"</f>
        <v>15237</v>
      </c>
    </row>
    <row r="2555" spans="1:16" x14ac:dyDescent="0.25">
      <c r="A2555" t="str">
        <f>"1070084S00025    00"</f>
        <v>1070084S00025    00</v>
      </c>
      <c r="B2555" t="s">
        <v>6108</v>
      </c>
      <c r="C2555" t="s">
        <v>6109</v>
      </c>
      <c r="E2555" t="s">
        <v>39</v>
      </c>
      <c r="F2555">
        <v>0</v>
      </c>
      <c r="G2555">
        <v>0</v>
      </c>
      <c r="H2555">
        <v>1</v>
      </c>
      <c r="I2555" s="3">
        <v>1453.65</v>
      </c>
      <c r="J2555" s="3">
        <v>0</v>
      </c>
      <c r="L2555">
        <v>325</v>
      </c>
      <c r="M2555" t="s">
        <v>6110</v>
      </c>
      <c r="N2555" t="s">
        <v>30</v>
      </c>
      <c r="O2555" t="s">
        <v>31</v>
      </c>
      <c r="P2555" t="str">
        <f>"15206"</f>
        <v>15206</v>
      </c>
    </row>
    <row r="2556" spans="1:16" x14ac:dyDescent="0.25">
      <c r="A2556" t="str">
        <f>"1070084S00040    00"</f>
        <v>1070084S00040    00</v>
      </c>
      <c r="B2556" t="s">
        <v>6111</v>
      </c>
      <c r="C2556" t="s">
        <v>6112</v>
      </c>
      <c r="E2556" t="s">
        <v>39</v>
      </c>
      <c r="F2556">
        <v>0</v>
      </c>
      <c r="G2556">
        <v>0</v>
      </c>
      <c r="H2556">
        <v>1</v>
      </c>
      <c r="I2556" s="3">
        <v>1838.32</v>
      </c>
      <c r="J2556" s="3">
        <v>413.61</v>
      </c>
      <c r="L2556">
        <v>340</v>
      </c>
      <c r="M2556" t="s">
        <v>5941</v>
      </c>
      <c r="N2556" t="s">
        <v>30</v>
      </c>
      <c r="O2556" t="s">
        <v>31</v>
      </c>
      <c r="P2556" t="str">
        <f>"15206"</f>
        <v>15206</v>
      </c>
    </row>
    <row r="2557" spans="1:16" x14ac:dyDescent="0.25">
      <c r="A2557" t="str">
        <f>"1070084S00056    00"</f>
        <v>1070084S00056    00</v>
      </c>
      <c r="B2557" t="s">
        <v>6113</v>
      </c>
      <c r="C2557" t="s">
        <v>6114</v>
      </c>
      <c r="E2557" t="s">
        <v>39</v>
      </c>
      <c r="F2557">
        <v>0</v>
      </c>
      <c r="G2557">
        <v>0</v>
      </c>
      <c r="H2557">
        <v>1</v>
      </c>
      <c r="I2557" s="3">
        <v>2361.54</v>
      </c>
      <c r="J2557" s="3">
        <v>59.03</v>
      </c>
      <c r="K2557" t="s">
        <v>391</v>
      </c>
      <c r="L2557">
        <v>1</v>
      </c>
      <c r="M2557" t="s">
        <v>392</v>
      </c>
      <c r="N2557" t="s">
        <v>393</v>
      </c>
      <c r="O2557" t="s">
        <v>394</v>
      </c>
      <c r="P2557" t="str">
        <f>"50328"</f>
        <v>50328</v>
      </c>
    </row>
    <row r="2558" spans="1:16" x14ac:dyDescent="0.25">
      <c r="A2558" t="str">
        <f>"1070084S00061    00"</f>
        <v>1070084S00061    00</v>
      </c>
      <c r="B2558" t="s">
        <v>6115</v>
      </c>
      <c r="C2558" t="s">
        <v>6116</v>
      </c>
      <c r="D2558" t="s">
        <v>20</v>
      </c>
      <c r="E2558" t="s">
        <v>39</v>
      </c>
      <c r="F2558">
        <v>0</v>
      </c>
      <c r="G2558">
        <v>0</v>
      </c>
      <c r="H2558">
        <v>3</v>
      </c>
      <c r="I2558" s="3">
        <v>1846.97</v>
      </c>
      <c r="J2558" s="3">
        <v>0</v>
      </c>
      <c r="K2558" t="s">
        <v>6117</v>
      </c>
      <c r="L2558">
        <v>407</v>
      </c>
      <c r="M2558" t="s">
        <v>5941</v>
      </c>
      <c r="N2558" t="s">
        <v>30</v>
      </c>
      <c r="O2558" t="s">
        <v>31</v>
      </c>
      <c r="P2558" t="str">
        <f>"15206"</f>
        <v>15206</v>
      </c>
    </row>
    <row r="2559" spans="1:16" x14ac:dyDescent="0.25">
      <c r="A2559" t="str">
        <f>"1070084S00062    00"</f>
        <v>1070084S00062    00</v>
      </c>
      <c r="B2559" t="s">
        <v>6118</v>
      </c>
      <c r="C2559" t="s">
        <v>6119</v>
      </c>
      <c r="E2559" t="s">
        <v>39</v>
      </c>
      <c r="F2559">
        <v>0</v>
      </c>
      <c r="G2559">
        <v>0</v>
      </c>
      <c r="H2559">
        <v>2</v>
      </c>
      <c r="I2559" s="3">
        <v>2271.96</v>
      </c>
      <c r="J2559" s="3">
        <v>94.66</v>
      </c>
      <c r="L2559">
        <v>5310</v>
      </c>
      <c r="M2559" t="s">
        <v>2955</v>
      </c>
      <c r="N2559" t="s">
        <v>30</v>
      </c>
      <c r="O2559" t="s">
        <v>31</v>
      </c>
      <c r="P2559" t="str">
        <f>"15217"</f>
        <v>15217</v>
      </c>
    </row>
    <row r="2560" spans="1:16" x14ac:dyDescent="0.25">
      <c r="A2560" t="str">
        <f>"1070084S00072    00"</f>
        <v>1070084S00072    00</v>
      </c>
      <c r="B2560" t="s">
        <v>6120</v>
      </c>
      <c r="C2560" t="s">
        <v>6121</v>
      </c>
      <c r="E2560" t="s">
        <v>39</v>
      </c>
      <c r="F2560">
        <v>0</v>
      </c>
      <c r="G2560">
        <v>0</v>
      </c>
      <c r="H2560">
        <v>2</v>
      </c>
      <c r="I2560" s="3">
        <v>646.58000000000004</v>
      </c>
      <c r="J2560" s="3">
        <v>44.22</v>
      </c>
      <c r="K2560" t="s">
        <v>5352</v>
      </c>
      <c r="L2560">
        <v>3001</v>
      </c>
      <c r="M2560" t="s">
        <v>330</v>
      </c>
      <c r="N2560" t="s">
        <v>331</v>
      </c>
      <c r="O2560" t="s">
        <v>108</v>
      </c>
      <c r="P2560" t="str">
        <f>"75063"</f>
        <v>75063</v>
      </c>
    </row>
    <row r="2561" spans="1:16" x14ac:dyDescent="0.25">
      <c r="A2561" t="str">
        <f>"1070084S00073    00"</f>
        <v>1070084S00073    00</v>
      </c>
      <c r="B2561" t="s">
        <v>6122</v>
      </c>
      <c r="C2561" t="s">
        <v>6123</v>
      </c>
      <c r="D2561" t="s">
        <v>20</v>
      </c>
      <c r="E2561" t="s">
        <v>39</v>
      </c>
      <c r="F2561">
        <v>0</v>
      </c>
      <c r="G2561">
        <v>0</v>
      </c>
      <c r="H2561">
        <v>1</v>
      </c>
      <c r="I2561" s="3">
        <v>108.66</v>
      </c>
      <c r="J2561" s="3">
        <v>0</v>
      </c>
      <c r="K2561" t="s">
        <v>6124</v>
      </c>
      <c r="L2561">
        <v>120</v>
      </c>
      <c r="M2561" t="s">
        <v>6125</v>
      </c>
      <c r="N2561" t="s">
        <v>30</v>
      </c>
      <c r="O2561" t="s">
        <v>31</v>
      </c>
      <c r="P2561" t="str">
        <f>"15237"</f>
        <v>15237</v>
      </c>
    </row>
    <row r="2562" spans="1:16" x14ac:dyDescent="0.25">
      <c r="A2562" t="str">
        <f>"1070084S00141    00"</f>
        <v>1070084S00141    00</v>
      </c>
      <c r="B2562" t="s">
        <v>6126</v>
      </c>
      <c r="C2562" t="s">
        <v>6127</v>
      </c>
      <c r="E2562" t="s">
        <v>39</v>
      </c>
      <c r="F2562">
        <v>0</v>
      </c>
      <c r="G2562">
        <v>0</v>
      </c>
      <c r="H2562">
        <v>2</v>
      </c>
      <c r="I2562" s="3">
        <v>1156.6199999999999</v>
      </c>
      <c r="J2562" s="3">
        <v>79.099999999999994</v>
      </c>
      <c r="K2562" t="s">
        <v>6128</v>
      </c>
      <c r="M2562" t="s">
        <v>6129</v>
      </c>
      <c r="N2562" t="s">
        <v>24</v>
      </c>
      <c r="O2562" t="s">
        <v>25</v>
      </c>
      <c r="P2562" t="str">
        <f>"43218"</f>
        <v>43218</v>
      </c>
    </row>
    <row r="2563" spans="1:16" x14ac:dyDescent="0.25">
      <c r="A2563" t="str">
        <f>"1070085A00002    00"</f>
        <v>1070085A00002    00</v>
      </c>
      <c r="B2563" t="s">
        <v>6130</v>
      </c>
      <c r="C2563" t="s">
        <v>6131</v>
      </c>
      <c r="E2563" t="s">
        <v>39</v>
      </c>
      <c r="F2563">
        <v>0</v>
      </c>
      <c r="G2563">
        <v>0</v>
      </c>
      <c r="H2563">
        <v>2</v>
      </c>
      <c r="I2563" s="3">
        <v>6823.48</v>
      </c>
      <c r="J2563" s="3">
        <v>284.3</v>
      </c>
      <c r="K2563" t="s">
        <v>6132</v>
      </c>
      <c r="L2563">
        <v>5532</v>
      </c>
      <c r="M2563" t="s">
        <v>4532</v>
      </c>
      <c r="N2563" t="s">
        <v>30</v>
      </c>
      <c r="O2563" t="s">
        <v>31</v>
      </c>
      <c r="P2563" t="str">
        <f>"15232"</f>
        <v>15232</v>
      </c>
    </row>
    <row r="2564" spans="1:16" x14ac:dyDescent="0.25">
      <c r="A2564" t="str">
        <f>"1070085A00004    00"</f>
        <v>1070085A00004    00</v>
      </c>
      <c r="B2564" t="s">
        <v>6133</v>
      </c>
      <c r="C2564" t="s">
        <v>6134</v>
      </c>
      <c r="E2564" t="s">
        <v>39</v>
      </c>
      <c r="F2564">
        <v>0</v>
      </c>
      <c r="G2564">
        <v>0</v>
      </c>
      <c r="H2564">
        <v>1</v>
      </c>
      <c r="I2564" s="3">
        <v>4163.28</v>
      </c>
      <c r="J2564" s="3">
        <v>1318.33</v>
      </c>
      <c r="L2564">
        <v>5317</v>
      </c>
      <c r="M2564" t="s">
        <v>6135</v>
      </c>
      <c r="N2564" t="s">
        <v>30</v>
      </c>
      <c r="O2564" t="s">
        <v>31</v>
      </c>
      <c r="P2564" t="str">
        <f>"15232"</f>
        <v>15232</v>
      </c>
    </row>
    <row r="2565" spans="1:16" x14ac:dyDescent="0.25">
      <c r="A2565" t="str">
        <f>"1070085A00019    00"</f>
        <v>1070085A00019    00</v>
      </c>
      <c r="B2565" t="s">
        <v>5921</v>
      </c>
      <c r="C2565" t="s">
        <v>6136</v>
      </c>
      <c r="E2565" t="s">
        <v>39</v>
      </c>
      <c r="F2565">
        <v>0</v>
      </c>
      <c r="G2565">
        <v>0</v>
      </c>
      <c r="H2565">
        <v>1</v>
      </c>
      <c r="I2565" s="3">
        <v>1718.42</v>
      </c>
      <c r="J2565" s="3">
        <v>472.55</v>
      </c>
      <c r="L2565">
        <v>1501</v>
      </c>
      <c r="M2565" t="s">
        <v>5924</v>
      </c>
      <c r="N2565" t="s">
        <v>30</v>
      </c>
      <c r="O2565" t="s">
        <v>31</v>
      </c>
      <c r="P2565" t="str">
        <f>"15221"</f>
        <v>15221</v>
      </c>
    </row>
    <row r="2566" spans="1:16" x14ac:dyDescent="0.25">
      <c r="A2566" t="str">
        <f>"1070085A00047    00"</f>
        <v>1070085A00047    00</v>
      </c>
      <c r="B2566" t="s">
        <v>6137</v>
      </c>
      <c r="C2566" t="s">
        <v>6138</v>
      </c>
      <c r="E2566" t="s">
        <v>21</v>
      </c>
      <c r="F2566">
        <v>0</v>
      </c>
      <c r="G2566">
        <v>0</v>
      </c>
      <c r="H2566">
        <v>1</v>
      </c>
      <c r="I2566" s="3">
        <v>3066.76</v>
      </c>
      <c r="J2566" s="3">
        <v>0</v>
      </c>
      <c r="K2566" t="s">
        <v>4360</v>
      </c>
      <c r="L2566">
        <v>2545</v>
      </c>
      <c r="M2566" t="s">
        <v>4361</v>
      </c>
      <c r="N2566" t="s">
        <v>30</v>
      </c>
      <c r="O2566" t="s">
        <v>31</v>
      </c>
      <c r="P2566" t="str">
        <f>"15222"</f>
        <v>15222</v>
      </c>
    </row>
    <row r="2567" spans="1:16" x14ac:dyDescent="0.25">
      <c r="A2567" t="str">
        <f>"1070085A00057    00"</f>
        <v>1070085A00057    00</v>
      </c>
      <c r="B2567" t="s">
        <v>6139</v>
      </c>
      <c r="C2567" t="s">
        <v>6140</v>
      </c>
      <c r="E2567" t="s">
        <v>39</v>
      </c>
      <c r="F2567">
        <v>0</v>
      </c>
      <c r="G2567">
        <v>0</v>
      </c>
      <c r="H2567">
        <v>1</v>
      </c>
      <c r="I2567" s="3">
        <v>3994.18</v>
      </c>
      <c r="J2567" s="3">
        <v>1108.3699999999999</v>
      </c>
      <c r="K2567" t="s">
        <v>1427</v>
      </c>
      <c r="L2567">
        <v>3001</v>
      </c>
      <c r="M2567" t="s">
        <v>330</v>
      </c>
      <c r="N2567" t="s">
        <v>331</v>
      </c>
      <c r="O2567" t="s">
        <v>108</v>
      </c>
      <c r="P2567" t="str">
        <f>"75063"</f>
        <v>75063</v>
      </c>
    </row>
    <row r="2568" spans="1:16" x14ac:dyDescent="0.25">
      <c r="A2568" t="str">
        <f>"1070085A00059    00"</f>
        <v>1070085A00059    00</v>
      </c>
      <c r="B2568" t="s">
        <v>6141</v>
      </c>
      <c r="C2568" t="s">
        <v>6142</v>
      </c>
      <c r="E2568" t="s">
        <v>39</v>
      </c>
      <c r="F2568">
        <v>0</v>
      </c>
      <c r="G2568">
        <v>0</v>
      </c>
      <c r="H2568">
        <v>2</v>
      </c>
      <c r="I2568" s="3">
        <v>10559.24</v>
      </c>
      <c r="J2568" s="3">
        <v>439.94</v>
      </c>
      <c r="K2568" t="s">
        <v>6143</v>
      </c>
      <c r="M2568" t="s">
        <v>1439</v>
      </c>
      <c r="N2568" t="s">
        <v>1440</v>
      </c>
      <c r="O2568" t="s">
        <v>70</v>
      </c>
      <c r="P2568" t="str">
        <f>"48501"</f>
        <v>48501</v>
      </c>
    </row>
    <row r="2569" spans="1:16" x14ac:dyDescent="0.25">
      <c r="A2569" t="str">
        <f>"1070085A00070    00"</f>
        <v>1070085A00070    00</v>
      </c>
      <c r="B2569" t="s">
        <v>6144</v>
      </c>
      <c r="C2569" t="s">
        <v>6145</v>
      </c>
      <c r="E2569" t="s">
        <v>39</v>
      </c>
      <c r="F2569">
        <v>0</v>
      </c>
      <c r="G2569">
        <v>0</v>
      </c>
      <c r="H2569">
        <v>2</v>
      </c>
      <c r="I2569" s="3">
        <v>13277.22</v>
      </c>
      <c r="J2569" s="3">
        <v>553.19000000000005</v>
      </c>
      <c r="K2569" t="s">
        <v>1030</v>
      </c>
      <c r="M2569" t="s">
        <v>1031</v>
      </c>
      <c r="N2569" t="s">
        <v>1032</v>
      </c>
      <c r="O2569" t="s">
        <v>25</v>
      </c>
      <c r="P2569" t="str">
        <f>"44711"</f>
        <v>44711</v>
      </c>
    </row>
    <row r="2570" spans="1:16" x14ac:dyDescent="0.25">
      <c r="A2570" t="str">
        <f>"1070085A00106    00"</f>
        <v>1070085A00106    00</v>
      </c>
      <c r="B2570" t="s">
        <v>6146</v>
      </c>
      <c r="C2570" t="s">
        <v>6147</v>
      </c>
      <c r="D2570" t="s">
        <v>20</v>
      </c>
      <c r="E2570" t="s">
        <v>39</v>
      </c>
      <c r="F2570">
        <v>0</v>
      </c>
      <c r="G2570">
        <v>0</v>
      </c>
      <c r="H2570">
        <v>1</v>
      </c>
      <c r="I2570" s="3">
        <v>1387.76</v>
      </c>
      <c r="J2570" s="3">
        <v>555.08000000000004</v>
      </c>
      <c r="K2570" t="s">
        <v>391</v>
      </c>
      <c r="L2570">
        <v>1</v>
      </c>
      <c r="M2570" t="s">
        <v>392</v>
      </c>
      <c r="N2570" t="s">
        <v>393</v>
      </c>
      <c r="O2570" t="s">
        <v>394</v>
      </c>
      <c r="P2570" t="str">
        <f>"50328"</f>
        <v>50328</v>
      </c>
    </row>
    <row r="2571" spans="1:16" x14ac:dyDescent="0.25">
      <c r="A2571" t="str">
        <f>"1070085A00116010200"</f>
        <v>1070085A00116010200</v>
      </c>
      <c r="B2571" t="s">
        <v>6148</v>
      </c>
      <c r="C2571" t="s">
        <v>6149</v>
      </c>
      <c r="D2571" t="s">
        <v>20</v>
      </c>
      <c r="E2571" t="s">
        <v>39</v>
      </c>
      <c r="F2571">
        <v>0</v>
      </c>
      <c r="G2571">
        <v>0</v>
      </c>
      <c r="H2571">
        <v>2</v>
      </c>
      <c r="I2571" s="3">
        <v>4151.92</v>
      </c>
      <c r="J2571" s="3">
        <v>0</v>
      </c>
      <c r="L2571">
        <v>5619</v>
      </c>
      <c r="M2571" t="s">
        <v>6150</v>
      </c>
      <c r="N2571" t="s">
        <v>30</v>
      </c>
      <c r="O2571" t="s">
        <v>31</v>
      </c>
      <c r="P2571" t="str">
        <f>"15232"</f>
        <v>15232</v>
      </c>
    </row>
    <row r="2572" spans="1:16" x14ac:dyDescent="0.25">
      <c r="A2572" t="str">
        <f>"1070085A00182    00"</f>
        <v>1070085A00182    00</v>
      </c>
      <c r="B2572" t="s">
        <v>6151</v>
      </c>
      <c r="C2572" t="s">
        <v>6152</v>
      </c>
      <c r="D2572" t="s">
        <v>20</v>
      </c>
      <c r="E2572" t="s">
        <v>39</v>
      </c>
      <c r="F2572">
        <v>0</v>
      </c>
      <c r="G2572">
        <v>0</v>
      </c>
      <c r="H2572">
        <v>4</v>
      </c>
      <c r="I2572" s="3">
        <v>29381.21</v>
      </c>
      <c r="J2572" s="3">
        <v>3470.75</v>
      </c>
      <c r="L2572">
        <v>1461</v>
      </c>
      <c r="M2572" t="s">
        <v>6153</v>
      </c>
      <c r="N2572" t="s">
        <v>30</v>
      </c>
      <c r="O2572" t="s">
        <v>31</v>
      </c>
      <c r="P2572" t="str">
        <f>"15217"</f>
        <v>15217</v>
      </c>
    </row>
    <row r="2573" spans="1:16" x14ac:dyDescent="0.25">
      <c r="A2573" t="str">
        <f>"1070085A00184    00"</f>
        <v>1070085A00184    00</v>
      </c>
      <c r="B2573" t="s">
        <v>6154</v>
      </c>
      <c r="C2573" t="s">
        <v>6155</v>
      </c>
      <c r="D2573" t="s">
        <v>20</v>
      </c>
      <c r="E2573" t="s">
        <v>39</v>
      </c>
      <c r="F2573">
        <v>0</v>
      </c>
      <c r="G2573">
        <v>0</v>
      </c>
      <c r="H2573">
        <v>3</v>
      </c>
      <c r="I2573" s="3">
        <v>12603.4</v>
      </c>
      <c r="J2573" s="3">
        <v>323.43</v>
      </c>
      <c r="L2573">
        <v>6315</v>
      </c>
      <c r="M2573" t="s">
        <v>6156</v>
      </c>
      <c r="N2573" t="s">
        <v>30</v>
      </c>
      <c r="O2573" t="s">
        <v>31</v>
      </c>
      <c r="P2573" t="str">
        <f>"15217"</f>
        <v>15217</v>
      </c>
    </row>
    <row r="2574" spans="1:16" x14ac:dyDescent="0.25">
      <c r="A2574" t="str">
        <f>"1070085A00200    00"</f>
        <v>1070085A00200    00</v>
      </c>
      <c r="B2574" t="s">
        <v>6157</v>
      </c>
      <c r="C2574" t="s">
        <v>6158</v>
      </c>
      <c r="E2574" t="s">
        <v>39</v>
      </c>
      <c r="F2574">
        <v>0</v>
      </c>
      <c r="G2574">
        <v>0</v>
      </c>
      <c r="H2574">
        <v>1</v>
      </c>
      <c r="I2574" s="3">
        <v>637.54999999999995</v>
      </c>
      <c r="J2574" s="3">
        <v>5.32</v>
      </c>
      <c r="K2574" t="s">
        <v>5137</v>
      </c>
      <c r="L2574">
        <v>612</v>
      </c>
      <c r="M2574" t="s">
        <v>1451</v>
      </c>
      <c r="N2574" t="s">
        <v>5138</v>
      </c>
      <c r="O2574" t="s">
        <v>31</v>
      </c>
      <c r="P2574" t="str">
        <f>"16373"</f>
        <v>16373</v>
      </c>
    </row>
    <row r="2575" spans="1:16" x14ac:dyDescent="0.25">
      <c r="A2575" t="str">
        <f>"1070085A00222007200"</f>
        <v>1070085A00222007200</v>
      </c>
      <c r="B2575" t="s">
        <v>6159</v>
      </c>
      <c r="C2575" t="s">
        <v>6160</v>
      </c>
      <c r="D2575" t="s">
        <v>20</v>
      </c>
      <c r="E2575" t="s">
        <v>39</v>
      </c>
      <c r="F2575">
        <v>0</v>
      </c>
      <c r="G2575">
        <v>0</v>
      </c>
      <c r="H2575">
        <v>3</v>
      </c>
      <c r="I2575" s="3">
        <v>10875.63</v>
      </c>
      <c r="J2575" s="3">
        <v>725.01</v>
      </c>
      <c r="K2575" t="s">
        <v>6161</v>
      </c>
      <c r="L2575">
        <v>5708</v>
      </c>
      <c r="M2575" t="s">
        <v>6162</v>
      </c>
      <c r="N2575" t="s">
        <v>30</v>
      </c>
      <c r="O2575" t="s">
        <v>31</v>
      </c>
      <c r="P2575" t="str">
        <f>"15232"</f>
        <v>15232</v>
      </c>
    </row>
    <row r="2576" spans="1:16" x14ac:dyDescent="0.25">
      <c r="A2576" t="str">
        <f>"1070085A00222G1  00"</f>
        <v>1070085A00222G1  00</v>
      </c>
      <c r="B2576" t="s">
        <v>6163</v>
      </c>
      <c r="C2576" t="s">
        <v>6164</v>
      </c>
      <c r="D2576" t="s">
        <v>20</v>
      </c>
      <c r="E2576" t="s">
        <v>39</v>
      </c>
      <c r="F2576">
        <v>0</v>
      </c>
      <c r="G2576">
        <v>0</v>
      </c>
      <c r="H2576">
        <v>2</v>
      </c>
      <c r="I2576" s="3">
        <v>4024.02</v>
      </c>
      <c r="J2576" s="3">
        <v>0</v>
      </c>
      <c r="K2576" t="s">
        <v>881</v>
      </c>
      <c r="L2576">
        <v>3001</v>
      </c>
      <c r="M2576" t="s">
        <v>330</v>
      </c>
      <c r="N2576" t="s">
        <v>331</v>
      </c>
      <c r="O2576" t="s">
        <v>108</v>
      </c>
      <c r="P2576" t="str">
        <f>"75063"</f>
        <v>75063</v>
      </c>
    </row>
    <row r="2577" spans="1:16" x14ac:dyDescent="0.25">
      <c r="A2577" t="str">
        <f>"1070085A00222H2  00"</f>
        <v>1070085A00222H2  00</v>
      </c>
      <c r="B2577" t="s">
        <v>6165</v>
      </c>
      <c r="C2577" t="s">
        <v>6166</v>
      </c>
      <c r="E2577" t="s">
        <v>39</v>
      </c>
      <c r="F2577">
        <v>0</v>
      </c>
      <c r="G2577">
        <v>0</v>
      </c>
      <c r="H2577">
        <v>1</v>
      </c>
      <c r="I2577" s="3">
        <v>1971.78</v>
      </c>
      <c r="J2577" s="3">
        <v>2858.97</v>
      </c>
      <c r="L2577">
        <v>5708</v>
      </c>
      <c r="M2577" t="s">
        <v>6167</v>
      </c>
      <c r="N2577" t="s">
        <v>30</v>
      </c>
      <c r="O2577" t="s">
        <v>31</v>
      </c>
      <c r="P2577" t="str">
        <f>"15232"</f>
        <v>15232</v>
      </c>
    </row>
    <row r="2578" spans="1:16" x14ac:dyDescent="0.25">
      <c r="A2578" t="str">
        <f>"1070085A00283    00"</f>
        <v>1070085A00283    00</v>
      </c>
      <c r="B2578" t="s">
        <v>6168</v>
      </c>
      <c r="C2578" t="s">
        <v>6169</v>
      </c>
      <c r="E2578" t="s">
        <v>39</v>
      </c>
      <c r="F2578">
        <v>0</v>
      </c>
      <c r="G2578">
        <v>0</v>
      </c>
      <c r="H2578">
        <v>1</v>
      </c>
      <c r="I2578" s="3">
        <v>2553.25</v>
      </c>
      <c r="J2578" s="3">
        <v>702.11</v>
      </c>
      <c r="L2578">
        <v>552</v>
      </c>
      <c r="M2578" t="s">
        <v>6170</v>
      </c>
      <c r="N2578" t="s">
        <v>30</v>
      </c>
      <c r="O2578" t="s">
        <v>31</v>
      </c>
      <c r="P2578" t="str">
        <f>"15213"</f>
        <v>15213</v>
      </c>
    </row>
    <row r="2579" spans="1:16" x14ac:dyDescent="0.25">
      <c r="A2579" t="str">
        <f>"1070085A00340    00"</f>
        <v>1070085A00340    00</v>
      </c>
      <c r="B2579" t="s">
        <v>6171</v>
      </c>
      <c r="C2579" t="s">
        <v>6172</v>
      </c>
      <c r="D2579" t="s">
        <v>20</v>
      </c>
      <c r="E2579" t="s">
        <v>21</v>
      </c>
      <c r="F2579">
        <v>0</v>
      </c>
      <c r="G2579">
        <v>0</v>
      </c>
      <c r="H2579">
        <v>3</v>
      </c>
      <c r="I2579" s="3">
        <v>8679.68</v>
      </c>
      <c r="J2579" s="3">
        <v>1094.5</v>
      </c>
      <c r="L2579">
        <v>5915</v>
      </c>
      <c r="M2579" t="s">
        <v>6173</v>
      </c>
      <c r="N2579" t="s">
        <v>30</v>
      </c>
      <c r="O2579" t="s">
        <v>31</v>
      </c>
      <c r="P2579" t="str">
        <f>"15206"</f>
        <v>15206</v>
      </c>
    </row>
    <row r="2580" spans="1:16" x14ac:dyDescent="0.25">
      <c r="A2580" t="str">
        <f>"1070085B00062109100"</f>
        <v>1070085B00062109100</v>
      </c>
      <c r="B2580" t="s">
        <v>6174</v>
      </c>
      <c r="C2580" t="s">
        <v>6175</v>
      </c>
      <c r="D2580" t="s">
        <v>20</v>
      </c>
      <c r="E2580" t="s">
        <v>39</v>
      </c>
      <c r="F2580">
        <v>0</v>
      </c>
      <c r="G2580">
        <v>0</v>
      </c>
      <c r="H2580">
        <v>1</v>
      </c>
      <c r="I2580" s="3">
        <v>1789.74</v>
      </c>
      <c r="J2580" s="3">
        <v>0</v>
      </c>
      <c r="K2580" t="s">
        <v>6176</v>
      </c>
      <c r="L2580">
        <v>5825</v>
      </c>
      <c r="M2580" t="s">
        <v>6177</v>
      </c>
      <c r="N2580" t="s">
        <v>30</v>
      </c>
      <c r="O2580" t="s">
        <v>31</v>
      </c>
      <c r="P2580" t="str">
        <f>"15232"</f>
        <v>15232</v>
      </c>
    </row>
    <row r="2581" spans="1:16" x14ac:dyDescent="0.25">
      <c r="A2581" t="str">
        <f>"1070085B00093    00"</f>
        <v>1070085B00093    00</v>
      </c>
      <c r="B2581" t="s">
        <v>6178</v>
      </c>
      <c r="C2581" t="s">
        <v>6179</v>
      </c>
      <c r="D2581" t="s">
        <v>20</v>
      </c>
      <c r="E2581" t="s">
        <v>39</v>
      </c>
      <c r="F2581">
        <v>0</v>
      </c>
      <c r="G2581">
        <v>0</v>
      </c>
      <c r="H2581">
        <v>1</v>
      </c>
      <c r="I2581" s="3">
        <v>114.5</v>
      </c>
      <c r="J2581" s="3">
        <v>0</v>
      </c>
      <c r="K2581" t="s">
        <v>5861</v>
      </c>
      <c r="L2581">
        <v>3001</v>
      </c>
      <c r="M2581" t="s">
        <v>404</v>
      </c>
      <c r="N2581" t="s">
        <v>331</v>
      </c>
      <c r="O2581" t="s">
        <v>108</v>
      </c>
      <c r="P2581" t="str">
        <f>"75063"</f>
        <v>75063</v>
      </c>
    </row>
    <row r="2582" spans="1:16" x14ac:dyDescent="0.25">
      <c r="A2582" t="str">
        <f>"1070085B00148    00"</f>
        <v>1070085B00148    00</v>
      </c>
      <c r="B2582" t="s">
        <v>6180</v>
      </c>
      <c r="C2582" t="s">
        <v>6181</v>
      </c>
      <c r="E2582" t="s">
        <v>39</v>
      </c>
      <c r="F2582">
        <v>0</v>
      </c>
      <c r="G2582">
        <v>0</v>
      </c>
      <c r="H2582">
        <v>1</v>
      </c>
      <c r="I2582" s="3">
        <v>2906.99</v>
      </c>
      <c r="J2582" s="3">
        <v>1065.8499999999999</v>
      </c>
      <c r="K2582" t="s">
        <v>563</v>
      </c>
      <c r="L2582">
        <v>3001</v>
      </c>
      <c r="M2582" t="s">
        <v>330</v>
      </c>
      <c r="N2582" t="s">
        <v>331</v>
      </c>
      <c r="O2582" t="s">
        <v>108</v>
      </c>
      <c r="P2582" t="str">
        <f>"75063"</f>
        <v>75063</v>
      </c>
    </row>
    <row r="2583" spans="1:16" x14ac:dyDescent="0.25">
      <c r="A2583" t="str">
        <f>"1070085B00172    00"</f>
        <v>1070085B00172    00</v>
      </c>
      <c r="B2583" t="s">
        <v>6182</v>
      </c>
      <c r="C2583" t="s">
        <v>6183</v>
      </c>
      <c r="D2583" t="s">
        <v>20</v>
      </c>
      <c r="E2583" t="s">
        <v>39</v>
      </c>
      <c r="F2583">
        <v>0</v>
      </c>
      <c r="G2583">
        <v>0</v>
      </c>
      <c r="H2583">
        <v>2</v>
      </c>
      <c r="I2583" s="3">
        <v>6725.93</v>
      </c>
      <c r="J2583" s="3">
        <v>0</v>
      </c>
      <c r="K2583" t="s">
        <v>6184</v>
      </c>
      <c r="L2583">
        <v>901</v>
      </c>
      <c r="M2583" t="s">
        <v>1503</v>
      </c>
      <c r="N2583" t="s">
        <v>494</v>
      </c>
      <c r="O2583" t="s">
        <v>495</v>
      </c>
      <c r="P2583" t="str">
        <f>"91768"</f>
        <v>91768</v>
      </c>
    </row>
    <row r="2584" spans="1:16" x14ac:dyDescent="0.25">
      <c r="A2584" t="str">
        <f>"1070085B00188010200"</f>
        <v>1070085B00188010200</v>
      </c>
      <c r="B2584" t="s">
        <v>6185</v>
      </c>
      <c r="C2584" t="s">
        <v>6186</v>
      </c>
      <c r="D2584" t="s">
        <v>20</v>
      </c>
      <c r="E2584" t="s">
        <v>39</v>
      </c>
      <c r="F2584">
        <v>0</v>
      </c>
      <c r="G2584">
        <v>0</v>
      </c>
      <c r="H2584">
        <v>1</v>
      </c>
      <c r="I2584" s="3">
        <v>99.98</v>
      </c>
      <c r="J2584" s="3">
        <v>0</v>
      </c>
      <c r="K2584" t="s">
        <v>6187</v>
      </c>
      <c r="L2584">
        <v>150</v>
      </c>
      <c r="M2584" t="s">
        <v>6188</v>
      </c>
      <c r="N2584" t="s">
        <v>6189</v>
      </c>
      <c r="O2584" t="s">
        <v>1413</v>
      </c>
      <c r="P2584" t="str">
        <f>"27102"</f>
        <v>27102</v>
      </c>
    </row>
    <row r="2585" spans="1:16" x14ac:dyDescent="0.25">
      <c r="A2585" t="str">
        <f>"1070085B00188020300"</f>
        <v>1070085B00188020300</v>
      </c>
      <c r="B2585" t="s">
        <v>6190</v>
      </c>
      <c r="C2585" t="s">
        <v>6191</v>
      </c>
      <c r="D2585" t="s">
        <v>20</v>
      </c>
      <c r="E2585" t="s">
        <v>39</v>
      </c>
      <c r="F2585">
        <v>0</v>
      </c>
      <c r="G2585">
        <v>0</v>
      </c>
      <c r="H2585">
        <v>2</v>
      </c>
      <c r="I2585" s="3">
        <v>6115.26</v>
      </c>
      <c r="J2585" s="3">
        <v>0</v>
      </c>
      <c r="L2585">
        <v>5930</v>
      </c>
      <c r="M2585" t="s">
        <v>6192</v>
      </c>
      <c r="N2585" t="s">
        <v>30</v>
      </c>
      <c r="O2585" t="s">
        <v>31</v>
      </c>
      <c r="P2585" t="str">
        <f>"15232"</f>
        <v>15232</v>
      </c>
    </row>
    <row r="2586" spans="1:16" x14ac:dyDescent="0.25">
      <c r="A2586" t="str">
        <f>"1070085B00195    00"</f>
        <v>1070085B00195    00</v>
      </c>
      <c r="B2586" t="s">
        <v>6193</v>
      </c>
      <c r="C2586" t="s">
        <v>6194</v>
      </c>
      <c r="D2586" t="s">
        <v>20</v>
      </c>
      <c r="E2586" t="s">
        <v>39</v>
      </c>
      <c r="F2586">
        <v>0</v>
      </c>
      <c r="G2586">
        <v>0</v>
      </c>
      <c r="H2586">
        <v>2</v>
      </c>
      <c r="I2586" s="3">
        <v>23430.38</v>
      </c>
      <c r="J2586" s="3">
        <v>0</v>
      </c>
      <c r="L2586">
        <v>5906</v>
      </c>
      <c r="M2586" t="s">
        <v>4532</v>
      </c>
      <c r="N2586" t="s">
        <v>30</v>
      </c>
      <c r="O2586" t="s">
        <v>31</v>
      </c>
      <c r="P2586" t="str">
        <f>"15232"</f>
        <v>15232</v>
      </c>
    </row>
    <row r="2587" spans="1:16" x14ac:dyDescent="0.25">
      <c r="A2587" t="str">
        <f>"1070085B00205    00"</f>
        <v>1070085B00205    00</v>
      </c>
      <c r="B2587" t="s">
        <v>6195</v>
      </c>
      <c r="C2587" t="s">
        <v>6196</v>
      </c>
      <c r="E2587" t="s">
        <v>39</v>
      </c>
      <c r="F2587">
        <v>0</v>
      </c>
      <c r="G2587">
        <v>0</v>
      </c>
      <c r="H2587">
        <v>1</v>
      </c>
      <c r="I2587" s="3">
        <v>5870.99</v>
      </c>
      <c r="J2587" s="3">
        <v>0</v>
      </c>
      <c r="K2587" t="s">
        <v>6197</v>
      </c>
      <c r="M2587" t="s">
        <v>6198</v>
      </c>
      <c r="N2587" t="s">
        <v>30</v>
      </c>
      <c r="O2587" t="s">
        <v>31</v>
      </c>
      <c r="P2587" t="str">
        <f>"15224"</f>
        <v>15224</v>
      </c>
    </row>
    <row r="2588" spans="1:16" x14ac:dyDescent="0.25">
      <c r="A2588" t="str">
        <f>"1070085B00216    00"</f>
        <v>1070085B00216    00</v>
      </c>
      <c r="B2588" t="s">
        <v>6199</v>
      </c>
      <c r="C2588" t="s">
        <v>6200</v>
      </c>
      <c r="E2588" t="s">
        <v>39</v>
      </c>
      <c r="F2588">
        <v>0</v>
      </c>
      <c r="G2588">
        <v>0</v>
      </c>
      <c r="H2588">
        <v>1</v>
      </c>
      <c r="I2588" s="3">
        <v>817.68</v>
      </c>
      <c r="J2588" s="3">
        <v>61.32</v>
      </c>
      <c r="K2588" t="s">
        <v>4893</v>
      </c>
      <c r="L2588">
        <v>3001</v>
      </c>
      <c r="M2588" t="s">
        <v>6201</v>
      </c>
      <c r="N2588" t="s">
        <v>331</v>
      </c>
      <c r="O2588" t="s">
        <v>108</v>
      </c>
      <c r="P2588" t="str">
        <f>"75063"</f>
        <v>75063</v>
      </c>
    </row>
    <row r="2589" spans="1:16" x14ac:dyDescent="0.25">
      <c r="A2589" t="str">
        <f>"1070085B00217    00"</f>
        <v>1070085B00217    00</v>
      </c>
      <c r="B2589" t="s">
        <v>6202</v>
      </c>
      <c r="C2589" t="s">
        <v>6203</v>
      </c>
      <c r="E2589" t="s">
        <v>39</v>
      </c>
      <c r="F2589">
        <v>0</v>
      </c>
      <c r="G2589">
        <v>0</v>
      </c>
      <c r="H2589">
        <v>2</v>
      </c>
      <c r="I2589" s="3">
        <v>3076.3</v>
      </c>
      <c r="J2589" s="3">
        <v>38.450000000000003</v>
      </c>
      <c r="K2589" t="s">
        <v>6204</v>
      </c>
      <c r="L2589">
        <v>5817</v>
      </c>
      <c r="M2589" t="s">
        <v>6094</v>
      </c>
      <c r="N2589" t="s">
        <v>30</v>
      </c>
      <c r="O2589" t="s">
        <v>31</v>
      </c>
      <c r="P2589" t="str">
        <f>"15232"</f>
        <v>15232</v>
      </c>
    </row>
    <row r="2590" spans="1:16" x14ac:dyDescent="0.25">
      <c r="A2590" t="str">
        <f>"1070085B00223    00"</f>
        <v>1070085B00223    00</v>
      </c>
      <c r="B2590" t="s">
        <v>6205</v>
      </c>
      <c r="C2590" t="s">
        <v>6206</v>
      </c>
      <c r="D2590" t="s">
        <v>20</v>
      </c>
      <c r="E2590" t="s">
        <v>39</v>
      </c>
      <c r="F2590">
        <v>0</v>
      </c>
      <c r="G2590">
        <v>0</v>
      </c>
      <c r="H2590">
        <v>1</v>
      </c>
      <c r="I2590" s="3">
        <v>7479.75</v>
      </c>
      <c r="J2590" s="3">
        <v>0</v>
      </c>
      <c r="K2590" t="s">
        <v>6207</v>
      </c>
      <c r="L2590">
        <v>1906</v>
      </c>
      <c r="M2590" t="s">
        <v>6208</v>
      </c>
      <c r="N2590" t="s">
        <v>30</v>
      </c>
      <c r="O2590" t="s">
        <v>31</v>
      </c>
      <c r="P2590" t="str">
        <f>"15217"</f>
        <v>15217</v>
      </c>
    </row>
    <row r="2591" spans="1:16" x14ac:dyDescent="0.25">
      <c r="A2591" t="str">
        <f>"1070085B00246    00"</f>
        <v>1070085B00246    00</v>
      </c>
      <c r="B2591" t="s">
        <v>6209</v>
      </c>
      <c r="C2591" t="s">
        <v>6210</v>
      </c>
      <c r="E2591" t="s">
        <v>39</v>
      </c>
      <c r="F2591">
        <v>0</v>
      </c>
      <c r="G2591">
        <v>0</v>
      </c>
      <c r="H2591">
        <v>1</v>
      </c>
      <c r="I2591" s="3">
        <v>119.86</v>
      </c>
      <c r="J2591" s="3">
        <v>140.83000000000001</v>
      </c>
      <c r="L2591">
        <v>920</v>
      </c>
      <c r="M2591" t="s">
        <v>6030</v>
      </c>
      <c r="N2591" t="s">
        <v>30</v>
      </c>
      <c r="O2591" t="s">
        <v>31</v>
      </c>
      <c r="P2591" t="str">
        <f>"15232"</f>
        <v>15232</v>
      </c>
    </row>
    <row r="2592" spans="1:16" x14ac:dyDescent="0.25">
      <c r="A2592" t="str">
        <f>"1070085B00266    00"</f>
        <v>1070085B00266    00</v>
      </c>
      <c r="B2592" t="s">
        <v>6211</v>
      </c>
      <c r="C2592" t="s">
        <v>6212</v>
      </c>
      <c r="D2592" t="s">
        <v>20</v>
      </c>
      <c r="E2592" t="s">
        <v>21</v>
      </c>
      <c r="F2592">
        <v>0</v>
      </c>
      <c r="G2592">
        <v>0</v>
      </c>
      <c r="H2592">
        <v>1</v>
      </c>
      <c r="I2592" s="3">
        <v>7332.87</v>
      </c>
      <c r="J2592" s="3">
        <v>0</v>
      </c>
      <c r="K2592" t="s">
        <v>5137</v>
      </c>
      <c r="L2592">
        <v>612</v>
      </c>
      <c r="M2592" t="s">
        <v>1451</v>
      </c>
      <c r="N2592" t="s">
        <v>5138</v>
      </c>
      <c r="O2592" t="s">
        <v>31</v>
      </c>
      <c r="P2592" t="str">
        <f>"16373"</f>
        <v>16373</v>
      </c>
    </row>
    <row r="2593" spans="1:16" x14ac:dyDescent="0.25">
      <c r="A2593" t="str">
        <f>"1070085B00271    00"</f>
        <v>1070085B00271    00</v>
      </c>
      <c r="B2593" t="s">
        <v>6213</v>
      </c>
      <c r="C2593" t="s">
        <v>6214</v>
      </c>
      <c r="E2593" t="s">
        <v>39</v>
      </c>
      <c r="F2593">
        <v>0</v>
      </c>
      <c r="G2593">
        <v>0</v>
      </c>
      <c r="H2593">
        <v>1</v>
      </c>
      <c r="I2593" s="3">
        <v>3114.98</v>
      </c>
      <c r="J2593" s="3">
        <v>0</v>
      </c>
      <c r="L2593">
        <v>144</v>
      </c>
      <c r="M2593" t="s">
        <v>6215</v>
      </c>
      <c r="N2593" t="s">
        <v>6216</v>
      </c>
      <c r="O2593" t="s">
        <v>6217</v>
      </c>
      <c r="P2593" t="str">
        <f>"59718"</f>
        <v>59718</v>
      </c>
    </row>
    <row r="2594" spans="1:16" x14ac:dyDescent="0.25">
      <c r="A2594" t="str">
        <f>"1070085B00280    00"</f>
        <v>1070085B00280    00</v>
      </c>
      <c r="B2594" t="s">
        <v>6218</v>
      </c>
      <c r="C2594" t="s">
        <v>6219</v>
      </c>
      <c r="E2594" t="s">
        <v>39</v>
      </c>
      <c r="F2594">
        <v>0</v>
      </c>
      <c r="G2594">
        <v>0</v>
      </c>
      <c r="H2594">
        <v>1</v>
      </c>
      <c r="I2594" s="3">
        <v>2476.06</v>
      </c>
      <c r="J2594" s="3">
        <v>784.05</v>
      </c>
      <c r="K2594" t="s">
        <v>5652</v>
      </c>
      <c r="L2594">
        <v>3001</v>
      </c>
      <c r="M2594" t="s">
        <v>330</v>
      </c>
      <c r="N2594" t="s">
        <v>331</v>
      </c>
      <c r="O2594" t="s">
        <v>108</v>
      </c>
      <c r="P2594" t="str">
        <f>"75063"</f>
        <v>75063</v>
      </c>
    </row>
    <row r="2595" spans="1:16" x14ac:dyDescent="0.25">
      <c r="A2595" t="str">
        <f>"1070085B00283    00"</f>
        <v>1070085B00283    00</v>
      </c>
      <c r="B2595" t="s">
        <v>6220</v>
      </c>
      <c r="C2595" t="s">
        <v>6221</v>
      </c>
      <c r="D2595" t="s">
        <v>20</v>
      </c>
      <c r="E2595" t="s">
        <v>39</v>
      </c>
      <c r="F2595">
        <v>0</v>
      </c>
      <c r="G2595">
        <v>0</v>
      </c>
      <c r="H2595">
        <v>2</v>
      </c>
      <c r="I2595" s="3">
        <v>19.079999999999998</v>
      </c>
      <c r="J2595" s="3">
        <v>0</v>
      </c>
      <c r="L2595">
        <v>827</v>
      </c>
      <c r="M2595" t="s">
        <v>6030</v>
      </c>
      <c r="N2595" t="s">
        <v>30</v>
      </c>
      <c r="O2595" t="s">
        <v>31</v>
      </c>
      <c r="P2595" t="str">
        <f>"15232"</f>
        <v>15232</v>
      </c>
    </row>
    <row r="2596" spans="1:16" x14ac:dyDescent="0.25">
      <c r="A2596" t="str">
        <f>"1070085B00294    00"</f>
        <v>1070085B00294    00</v>
      </c>
      <c r="B2596" t="s">
        <v>6222</v>
      </c>
      <c r="C2596" t="s">
        <v>6223</v>
      </c>
      <c r="E2596" t="s">
        <v>39</v>
      </c>
      <c r="F2596">
        <v>0</v>
      </c>
      <c r="G2596">
        <v>0</v>
      </c>
      <c r="H2596">
        <v>1</v>
      </c>
      <c r="I2596" s="3">
        <v>836.74</v>
      </c>
      <c r="J2596" s="3">
        <v>0</v>
      </c>
      <c r="K2596" t="s">
        <v>1722</v>
      </c>
      <c r="M2596" t="s">
        <v>1723</v>
      </c>
      <c r="N2596" t="s">
        <v>410</v>
      </c>
      <c r="O2596" t="s">
        <v>31</v>
      </c>
      <c r="P2596" t="str">
        <f>"15701"</f>
        <v>15701</v>
      </c>
    </row>
    <row r="2597" spans="1:16" x14ac:dyDescent="0.25">
      <c r="A2597" t="str">
        <f>"1070085C00032000300"</f>
        <v>1070085C00032000300</v>
      </c>
      <c r="B2597" t="s">
        <v>6224</v>
      </c>
      <c r="C2597" t="s">
        <v>6225</v>
      </c>
      <c r="E2597" t="s">
        <v>39</v>
      </c>
      <c r="F2597">
        <v>0</v>
      </c>
      <c r="G2597">
        <v>0</v>
      </c>
      <c r="H2597">
        <v>1</v>
      </c>
      <c r="I2597" s="3">
        <v>1453.65</v>
      </c>
      <c r="J2597" s="3">
        <v>0</v>
      </c>
      <c r="K2597" t="s">
        <v>6226</v>
      </c>
      <c r="L2597">
        <v>1405</v>
      </c>
      <c r="M2597" t="s">
        <v>6227</v>
      </c>
      <c r="N2597" t="s">
        <v>30</v>
      </c>
      <c r="O2597" t="s">
        <v>31</v>
      </c>
      <c r="P2597" t="str">
        <f>"15206"</f>
        <v>15206</v>
      </c>
    </row>
    <row r="2598" spans="1:16" x14ac:dyDescent="0.25">
      <c r="A2598" t="str">
        <f>"1070085E00031    00"</f>
        <v>1070085E00031    00</v>
      </c>
      <c r="B2598" t="s">
        <v>6228</v>
      </c>
      <c r="C2598" t="s">
        <v>6229</v>
      </c>
      <c r="E2598" t="s">
        <v>39</v>
      </c>
      <c r="F2598">
        <v>0</v>
      </c>
      <c r="G2598">
        <v>0</v>
      </c>
      <c r="H2598">
        <v>1</v>
      </c>
      <c r="I2598" s="3">
        <v>1778.45</v>
      </c>
      <c r="J2598" s="3">
        <v>489.05</v>
      </c>
      <c r="K2598" t="s">
        <v>6230</v>
      </c>
      <c r="L2598">
        <v>225</v>
      </c>
      <c r="M2598" t="s">
        <v>6231</v>
      </c>
      <c r="N2598" t="s">
        <v>6232</v>
      </c>
      <c r="O2598" t="s">
        <v>423</v>
      </c>
      <c r="P2598" t="str">
        <f>"07950"</f>
        <v>07950</v>
      </c>
    </row>
    <row r="2599" spans="1:16" x14ac:dyDescent="0.25">
      <c r="A2599" t="str">
        <f>"1070085E00037    00"</f>
        <v>1070085E00037    00</v>
      </c>
      <c r="B2599" t="s">
        <v>6233</v>
      </c>
      <c r="C2599" t="s">
        <v>6234</v>
      </c>
      <c r="D2599" t="s">
        <v>20</v>
      </c>
      <c r="E2599" t="s">
        <v>39</v>
      </c>
      <c r="F2599">
        <v>0</v>
      </c>
      <c r="G2599">
        <v>0</v>
      </c>
      <c r="H2599">
        <v>1</v>
      </c>
      <c r="I2599" s="3">
        <v>167.23</v>
      </c>
      <c r="J2599" s="3">
        <v>0</v>
      </c>
      <c r="K2599" t="s">
        <v>6235</v>
      </c>
      <c r="L2599">
        <v>120</v>
      </c>
      <c r="M2599" t="s">
        <v>6125</v>
      </c>
      <c r="N2599" t="s">
        <v>30</v>
      </c>
      <c r="O2599" t="s">
        <v>31</v>
      </c>
      <c r="P2599" t="str">
        <f>"15237"</f>
        <v>15237</v>
      </c>
    </row>
    <row r="2600" spans="1:16" x14ac:dyDescent="0.25">
      <c r="A2600" t="str">
        <f>"1070085E00056    00"</f>
        <v>1070085E00056    00</v>
      </c>
      <c r="B2600" t="s">
        <v>6236</v>
      </c>
      <c r="C2600" t="s">
        <v>6237</v>
      </c>
      <c r="D2600" t="s">
        <v>20</v>
      </c>
      <c r="E2600" t="s">
        <v>21</v>
      </c>
      <c r="F2600">
        <v>0</v>
      </c>
      <c r="G2600">
        <v>0</v>
      </c>
      <c r="H2600">
        <v>4</v>
      </c>
      <c r="I2600" s="3">
        <v>59486.239999999998</v>
      </c>
      <c r="J2600" s="3">
        <v>0</v>
      </c>
      <c r="K2600" t="s">
        <v>6238</v>
      </c>
      <c r="M2600" t="s">
        <v>6239</v>
      </c>
      <c r="N2600" t="s">
        <v>6240</v>
      </c>
      <c r="O2600" t="s">
        <v>31</v>
      </c>
      <c r="P2600" t="str">
        <f>"17604"</f>
        <v>17604</v>
      </c>
    </row>
    <row r="2601" spans="1:16" x14ac:dyDescent="0.25">
      <c r="A2601" t="str">
        <f>"1070085E00064    00"</f>
        <v>1070085E00064    00</v>
      </c>
      <c r="B2601" t="s">
        <v>6241</v>
      </c>
      <c r="C2601" t="s">
        <v>6242</v>
      </c>
      <c r="E2601" t="s">
        <v>39</v>
      </c>
      <c r="F2601">
        <v>0</v>
      </c>
      <c r="G2601">
        <v>0</v>
      </c>
      <c r="H2601">
        <v>2</v>
      </c>
      <c r="I2601" s="3">
        <v>21.8</v>
      </c>
      <c r="J2601" s="3">
        <v>0.28000000000000003</v>
      </c>
      <c r="K2601" t="s">
        <v>1502</v>
      </c>
      <c r="L2601">
        <v>901</v>
      </c>
      <c r="M2601" t="s">
        <v>1503</v>
      </c>
      <c r="N2601" t="s">
        <v>494</v>
      </c>
      <c r="O2601" t="s">
        <v>495</v>
      </c>
      <c r="P2601" t="str">
        <f>"91768"</f>
        <v>91768</v>
      </c>
    </row>
    <row r="2602" spans="1:16" x14ac:dyDescent="0.25">
      <c r="A2602" t="str">
        <f>"1080026C00082    00"</f>
        <v>1080026C00082    00</v>
      </c>
      <c r="B2602" t="s">
        <v>6243</v>
      </c>
      <c r="C2602" t="s">
        <v>6244</v>
      </c>
      <c r="D2602" t="s">
        <v>20</v>
      </c>
      <c r="E2602" t="s">
        <v>39</v>
      </c>
      <c r="F2602">
        <v>0</v>
      </c>
      <c r="G2602">
        <v>0</v>
      </c>
      <c r="H2602">
        <v>19</v>
      </c>
      <c r="I2602" s="3">
        <v>1014.08</v>
      </c>
      <c r="J2602" s="3">
        <v>1300.8900000000001</v>
      </c>
      <c r="K2602" t="s">
        <v>1037</v>
      </c>
      <c r="L2602">
        <v>4500</v>
      </c>
      <c r="M2602" t="s">
        <v>6245</v>
      </c>
      <c r="N2602" t="s">
        <v>30</v>
      </c>
      <c r="O2602" t="s">
        <v>31</v>
      </c>
      <c r="P2602" t="str">
        <f>"15225"</f>
        <v>15225</v>
      </c>
    </row>
    <row r="2603" spans="1:16" x14ac:dyDescent="0.25">
      <c r="A2603" t="str">
        <f>"1080026C00341    00"</f>
        <v>1080026C00341    00</v>
      </c>
      <c r="B2603" t="s">
        <v>6246</v>
      </c>
      <c r="C2603" t="s">
        <v>6247</v>
      </c>
      <c r="D2603" t="s">
        <v>20</v>
      </c>
      <c r="E2603" t="s">
        <v>39</v>
      </c>
      <c r="F2603">
        <v>0</v>
      </c>
      <c r="G2603">
        <v>0</v>
      </c>
      <c r="H2603">
        <v>15</v>
      </c>
      <c r="I2603" s="3">
        <v>7113.28</v>
      </c>
      <c r="J2603" s="3">
        <v>4511</v>
      </c>
      <c r="L2603">
        <v>662</v>
      </c>
      <c r="M2603" t="s">
        <v>6248</v>
      </c>
      <c r="N2603" t="s">
        <v>4318</v>
      </c>
      <c r="O2603" t="s">
        <v>31</v>
      </c>
      <c r="P2603" t="str">
        <f>"16046"</f>
        <v>16046</v>
      </c>
    </row>
    <row r="2604" spans="1:16" x14ac:dyDescent="0.25">
      <c r="A2604" t="str">
        <f>"1080026D00006    00"</f>
        <v>1080026D00006    00</v>
      </c>
      <c r="B2604" t="s">
        <v>6249</v>
      </c>
      <c r="C2604" t="s">
        <v>6250</v>
      </c>
      <c r="E2604" t="s">
        <v>39</v>
      </c>
      <c r="F2604">
        <v>0</v>
      </c>
      <c r="G2604">
        <v>0</v>
      </c>
      <c r="H2604">
        <v>1</v>
      </c>
      <c r="I2604" s="3">
        <v>649.91999999999996</v>
      </c>
      <c r="J2604" s="3">
        <v>0</v>
      </c>
      <c r="L2604">
        <v>420</v>
      </c>
      <c r="M2604" t="s">
        <v>6251</v>
      </c>
      <c r="N2604" t="s">
        <v>30</v>
      </c>
      <c r="O2604" t="s">
        <v>31</v>
      </c>
      <c r="P2604" t="str">
        <f>"15224"</f>
        <v>15224</v>
      </c>
    </row>
    <row r="2605" spans="1:16" x14ac:dyDescent="0.25">
      <c r="A2605" t="str">
        <f>"1080026D00007    00"</f>
        <v>1080026D00007    00</v>
      </c>
      <c r="B2605" t="s">
        <v>6252</v>
      </c>
      <c r="C2605" t="s">
        <v>6253</v>
      </c>
      <c r="D2605" t="s">
        <v>20</v>
      </c>
      <c r="E2605" t="s">
        <v>39</v>
      </c>
      <c r="F2605">
        <v>0</v>
      </c>
      <c r="G2605">
        <v>0</v>
      </c>
      <c r="H2605">
        <v>3</v>
      </c>
      <c r="I2605" s="3">
        <v>2022.92</v>
      </c>
      <c r="J2605" s="3">
        <v>146.69999999999999</v>
      </c>
      <c r="K2605" t="s">
        <v>6254</v>
      </c>
      <c r="L2605">
        <v>418</v>
      </c>
      <c r="M2605" t="s">
        <v>6251</v>
      </c>
      <c r="N2605" t="s">
        <v>30</v>
      </c>
      <c r="O2605" t="s">
        <v>31</v>
      </c>
      <c r="P2605" t="str">
        <f>"15224"</f>
        <v>15224</v>
      </c>
    </row>
    <row r="2606" spans="1:16" x14ac:dyDescent="0.25">
      <c r="A2606" t="str">
        <f>"1080026D00008    00"</f>
        <v>1080026D00008    00</v>
      </c>
      <c r="B2606" t="s">
        <v>6255</v>
      </c>
      <c r="C2606" t="s">
        <v>6256</v>
      </c>
      <c r="D2606" t="s">
        <v>20</v>
      </c>
      <c r="E2606" t="s">
        <v>39</v>
      </c>
      <c r="F2606">
        <v>0</v>
      </c>
      <c r="G2606">
        <v>0</v>
      </c>
      <c r="H2606">
        <v>12</v>
      </c>
      <c r="I2606" s="3">
        <v>16438.93</v>
      </c>
      <c r="J2606" s="3">
        <v>8747.4699999999993</v>
      </c>
      <c r="L2606">
        <v>416</v>
      </c>
      <c r="M2606" t="s">
        <v>6251</v>
      </c>
      <c r="N2606" t="s">
        <v>30</v>
      </c>
      <c r="O2606" t="s">
        <v>31</v>
      </c>
      <c r="P2606" t="str">
        <f>"15224"</f>
        <v>15224</v>
      </c>
    </row>
    <row r="2607" spans="1:16" x14ac:dyDescent="0.25">
      <c r="A2607" t="str">
        <f>"1080026D00010    00"</f>
        <v>1080026D00010    00</v>
      </c>
      <c r="B2607" t="s">
        <v>6257</v>
      </c>
      <c r="C2607" t="s">
        <v>6256</v>
      </c>
      <c r="D2607" t="s">
        <v>20</v>
      </c>
      <c r="E2607" t="s">
        <v>39</v>
      </c>
      <c r="F2607">
        <v>0</v>
      </c>
      <c r="G2607">
        <v>0</v>
      </c>
      <c r="H2607">
        <v>5</v>
      </c>
      <c r="I2607" s="3">
        <v>4983.26</v>
      </c>
      <c r="J2607" s="3">
        <v>860.93</v>
      </c>
      <c r="L2607">
        <v>5345</v>
      </c>
      <c r="M2607" t="s">
        <v>6258</v>
      </c>
      <c r="N2607" t="s">
        <v>546</v>
      </c>
      <c r="O2607" t="s">
        <v>31</v>
      </c>
      <c r="P2607" t="str">
        <f>"15044"</f>
        <v>15044</v>
      </c>
    </row>
    <row r="2608" spans="1:16" x14ac:dyDescent="0.25">
      <c r="A2608" t="str">
        <f>"1080026D00018A   00"</f>
        <v>1080026D00018A   00</v>
      </c>
      <c r="B2608" t="s">
        <v>6259</v>
      </c>
      <c r="C2608" t="s">
        <v>6260</v>
      </c>
      <c r="D2608" t="s">
        <v>20</v>
      </c>
      <c r="E2608" t="s">
        <v>39</v>
      </c>
      <c r="F2608">
        <v>0</v>
      </c>
      <c r="G2608">
        <v>0</v>
      </c>
      <c r="H2608">
        <v>15</v>
      </c>
      <c r="I2608" s="3">
        <v>17764.93</v>
      </c>
      <c r="J2608" s="3">
        <v>10850.54</v>
      </c>
      <c r="L2608">
        <v>334</v>
      </c>
      <c r="M2608" t="s">
        <v>6251</v>
      </c>
      <c r="N2608" t="s">
        <v>30</v>
      </c>
      <c r="O2608" t="s">
        <v>31</v>
      </c>
      <c r="P2608" t="str">
        <f>"15224"</f>
        <v>15224</v>
      </c>
    </row>
    <row r="2609" spans="1:16" x14ac:dyDescent="0.25">
      <c r="A2609" t="str">
        <f>"1080026D00041D   00"</f>
        <v>1080026D00041D   00</v>
      </c>
      <c r="B2609" t="s">
        <v>6261</v>
      </c>
      <c r="C2609" t="s">
        <v>6262</v>
      </c>
      <c r="D2609" t="s">
        <v>20</v>
      </c>
      <c r="E2609" t="s">
        <v>39</v>
      </c>
      <c r="F2609">
        <v>0</v>
      </c>
      <c r="G2609">
        <v>0</v>
      </c>
      <c r="H2609">
        <v>1</v>
      </c>
      <c r="I2609" s="3">
        <v>897.73</v>
      </c>
      <c r="J2609" s="3">
        <v>0</v>
      </c>
      <c r="K2609" t="s">
        <v>6263</v>
      </c>
      <c r="L2609">
        <v>901</v>
      </c>
      <c r="M2609" t="s">
        <v>6264</v>
      </c>
      <c r="N2609" t="s">
        <v>30</v>
      </c>
      <c r="O2609" t="s">
        <v>31</v>
      </c>
      <c r="P2609" t="str">
        <f>"15203"</f>
        <v>15203</v>
      </c>
    </row>
    <row r="2610" spans="1:16" x14ac:dyDescent="0.25">
      <c r="A2610" t="str">
        <f>"1080026D00075    00"</f>
        <v>1080026D00075    00</v>
      </c>
      <c r="B2610" t="s">
        <v>6265</v>
      </c>
      <c r="C2610" t="s">
        <v>6266</v>
      </c>
      <c r="E2610" t="s">
        <v>39</v>
      </c>
      <c r="F2610">
        <v>0</v>
      </c>
      <c r="G2610">
        <v>0</v>
      </c>
      <c r="H2610">
        <v>1</v>
      </c>
      <c r="I2610" s="3">
        <v>193.82</v>
      </c>
      <c r="J2610" s="3">
        <v>0</v>
      </c>
      <c r="K2610" t="s">
        <v>2248</v>
      </c>
      <c r="M2610" t="s">
        <v>2249</v>
      </c>
      <c r="N2610" t="s">
        <v>30</v>
      </c>
      <c r="O2610" t="s">
        <v>31</v>
      </c>
      <c r="P2610" t="str">
        <f>"15237"</f>
        <v>15237</v>
      </c>
    </row>
    <row r="2611" spans="1:16" x14ac:dyDescent="0.25">
      <c r="A2611" t="str">
        <f>"1080026D00077    00"</f>
        <v>1080026D00077    00</v>
      </c>
      <c r="B2611" t="s">
        <v>6267</v>
      </c>
      <c r="C2611" t="s">
        <v>6268</v>
      </c>
      <c r="D2611" t="s">
        <v>20</v>
      </c>
      <c r="E2611" t="s">
        <v>39</v>
      </c>
      <c r="F2611">
        <v>0</v>
      </c>
      <c r="G2611">
        <v>0</v>
      </c>
      <c r="H2611">
        <v>6</v>
      </c>
      <c r="I2611" s="3">
        <v>2516.67</v>
      </c>
      <c r="J2611" s="3">
        <v>564.44000000000005</v>
      </c>
      <c r="L2611">
        <v>434</v>
      </c>
      <c r="M2611" t="s">
        <v>6269</v>
      </c>
      <c r="N2611" t="s">
        <v>30</v>
      </c>
      <c r="O2611" t="s">
        <v>31</v>
      </c>
      <c r="P2611" t="str">
        <f>"15224"</f>
        <v>15224</v>
      </c>
    </row>
    <row r="2612" spans="1:16" x14ac:dyDescent="0.25">
      <c r="A2612" t="str">
        <f>"1080026D00089    00"</f>
        <v>1080026D00089    00</v>
      </c>
      <c r="B2612" t="s">
        <v>6270</v>
      </c>
      <c r="C2612" t="s">
        <v>6271</v>
      </c>
      <c r="D2612" t="s">
        <v>20</v>
      </c>
      <c r="E2612" t="s">
        <v>39</v>
      </c>
      <c r="F2612">
        <v>0</v>
      </c>
      <c r="G2612">
        <v>0</v>
      </c>
      <c r="H2612">
        <v>4</v>
      </c>
      <c r="I2612" s="3">
        <v>2046.65</v>
      </c>
      <c r="J2612" s="3">
        <v>338.9</v>
      </c>
      <c r="L2612">
        <v>430</v>
      </c>
      <c r="M2612" t="s">
        <v>6272</v>
      </c>
      <c r="N2612" t="s">
        <v>30</v>
      </c>
      <c r="O2612" t="s">
        <v>31</v>
      </c>
      <c r="P2612" t="str">
        <f>"15224"</f>
        <v>15224</v>
      </c>
    </row>
    <row r="2613" spans="1:16" x14ac:dyDescent="0.25">
      <c r="A2613" t="str">
        <f>"1080026D00120C   00"</f>
        <v>1080026D00120C   00</v>
      </c>
      <c r="B2613" t="s">
        <v>6273</v>
      </c>
      <c r="C2613" t="s">
        <v>6274</v>
      </c>
      <c r="D2613" t="s">
        <v>20</v>
      </c>
      <c r="E2613" t="s">
        <v>39</v>
      </c>
      <c r="F2613">
        <v>0</v>
      </c>
      <c r="G2613">
        <v>0</v>
      </c>
      <c r="H2613">
        <v>1</v>
      </c>
      <c r="I2613" s="3">
        <v>690.44</v>
      </c>
      <c r="J2613" s="3">
        <v>0</v>
      </c>
      <c r="L2613">
        <v>326</v>
      </c>
      <c r="M2613" t="s">
        <v>6272</v>
      </c>
      <c r="N2613" t="s">
        <v>30</v>
      </c>
      <c r="O2613" t="s">
        <v>31</v>
      </c>
      <c r="P2613" t="str">
        <f>"15224"</f>
        <v>15224</v>
      </c>
    </row>
    <row r="2614" spans="1:16" x14ac:dyDescent="0.25">
      <c r="A2614" t="str">
        <f>"1080026D00138    00"</f>
        <v>1080026D00138    00</v>
      </c>
      <c r="B2614" t="s">
        <v>6275</v>
      </c>
      <c r="C2614" t="s">
        <v>6276</v>
      </c>
      <c r="D2614" t="s">
        <v>20</v>
      </c>
      <c r="E2614" t="s">
        <v>39</v>
      </c>
      <c r="F2614">
        <v>0</v>
      </c>
      <c r="G2614">
        <v>0</v>
      </c>
      <c r="H2614">
        <v>1</v>
      </c>
      <c r="I2614" s="3">
        <v>747.17</v>
      </c>
      <c r="J2614" s="3">
        <v>0</v>
      </c>
      <c r="K2614" t="s">
        <v>6277</v>
      </c>
      <c r="L2614">
        <v>901</v>
      </c>
      <c r="M2614" t="s">
        <v>6264</v>
      </c>
      <c r="N2614" t="s">
        <v>30</v>
      </c>
      <c r="O2614" t="s">
        <v>31</v>
      </c>
      <c r="P2614" t="str">
        <f>"15203"</f>
        <v>15203</v>
      </c>
    </row>
    <row r="2615" spans="1:16" x14ac:dyDescent="0.25">
      <c r="A2615" t="str">
        <f>"1080026D00139    00"</f>
        <v>1080026D00139    00</v>
      </c>
      <c r="B2615" t="s">
        <v>6278</v>
      </c>
      <c r="C2615" t="s">
        <v>6279</v>
      </c>
      <c r="E2615" t="s">
        <v>39</v>
      </c>
      <c r="F2615">
        <v>0</v>
      </c>
      <c r="G2615">
        <v>0</v>
      </c>
      <c r="H2615">
        <v>2</v>
      </c>
      <c r="I2615" s="3">
        <v>1245.29</v>
      </c>
      <c r="J2615" s="3">
        <v>904.02</v>
      </c>
      <c r="L2615">
        <v>309</v>
      </c>
      <c r="M2615" t="s">
        <v>6280</v>
      </c>
      <c r="N2615" t="s">
        <v>30</v>
      </c>
      <c r="O2615" t="s">
        <v>31</v>
      </c>
      <c r="P2615" t="str">
        <f>"15224"</f>
        <v>15224</v>
      </c>
    </row>
    <row r="2616" spans="1:16" x14ac:dyDescent="0.25">
      <c r="A2616" t="str">
        <f>"1080026D00144    00"</f>
        <v>1080026D00144    00</v>
      </c>
      <c r="B2616" t="s">
        <v>6281</v>
      </c>
      <c r="C2616" t="s">
        <v>6282</v>
      </c>
      <c r="D2616" t="s">
        <v>20</v>
      </c>
      <c r="E2616" t="s">
        <v>39</v>
      </c>
      <c r="F2616">
        <v>0</v>
      </c>
      <c r="G2616">
        <v>0</v>
      </c>
      <c r="H2616">
        <v>1</v>
      </c>
      <c r="I2616" s="3">
        <v>865.34</v>
      </c>
      <c r="J2616" s="3">
        <v>0</v>
      </c>
      <c r="K2616" t="s">
        <v>6283</v>
      </c>
      <c r="L2616">
        <v>901</v>
      </c>
      <c r="M2616" t="s">
        <v>6264</v>
      </c>
      <c r="N2616" t="s">
        <v>30</v>
      </c>
      <c r="O2616" t="s">
        <v>31</v>
      </c>
      <c r="P2616" t="str">
        <f>"15203"</f>
        <v>15203</v>
      </c>
    </row>
    <row r="2617" spans="1:16" x14ac:dyDescent="0.25">
      <c r="A2617" t="str">
        <f>"1080026D00177    00"</f>
        <v>1080026D00177    00</v>
      </c>
      <c r="B2617" t="s">
        <v>6284</v>
      </c>
      <c r="C2617" t="s">
        <v>6285</v>
      </c>
      <c r="E2617" t="s">
        <v>39</v>
      </c>
      <c r="F2617">
        <v>0</v>
      </c>
      <c r="G2617">
        <v>0</v>
      </c>
      <c r="H2617">
        <v>1</v>
      </c>
      <c r="I2617" s="3">
        <v>848.41</v>
      </c>
      <c r="J2617" s="3">
        <v>0</v>
      </c>
      <c r="L2617">
        <v>4354</v>
      </c>
      <c r="M2617" t="s">
        <v>6286</v>
      </c>
      <c r="N2617" t="s">
        <v>195</v>
      </c>
      <c r="O2617" t="s">
        <v>31</v>
      </c>
      <c r="P2617" t="str">
        <f>"15101"</f>
        <v>15101</v>
      </c>
    </row>
    <row r="2618" spans="1:16" x14ac:dyDescent="0.25">
      <c r="A2618" t="str">
        <f>"1080026D00200    00"</f>
        <v>1080026D00200    00</v>
      </c>
      <c r="B2618" t="s">
        <v>6287</v>
      </c>
      <c r="C2618" t="s">
        <v>6288</v>
      </c>
      <c r="D2618" t="s">
        <v>20</v>
      </c>
      <c r="E2618" t="s">
        <v>39</v>
      </c>
      <c r="F2618">
        <v>0</v>
      </c>
      <c r="G2618">
        <v>0</v>
      </c>
      <c r="H2618">
        <v>2</v>
      </c>
      <c r="I2618" s="3">
        <v>978.28</v>
      </c>
      <c r="J2618" s="3">
        <v>0</v>
      </c>
      <c r="K2618" t="s">
        <v>6289</v>
      </c>
      <c r="L2618">
        <v>4926</v>
      </c>
      <c r="M2618" t="s">
        <v>5727</v>
      </c>
      <c r="N2618" t="s">
        <v>30</v>
      </c>
      <c r="O2618" t="s">
        <v>31</v>
      </c>
      <c r="P2618" t="str">
        <f>"15224"</f>
        <v>15224</v>
      </c>
    </row>
    <row r="2619" spans="1:16" x14ac:dyDescent="0.25">
      <c r="A2619" t="str">
        <f>"1080026D00244    00"</f>
        <v>1080026D00244    00</v>
      </c>
      <c r="B2619" t="s">
        <v>6290</v>
      </c>
      <c r="C2619" t="s">
        <v>6291</v>
      </c>
      <c r="E2619" t="s">
        <v>21</v>
      </c>
      <c r="F2619">
        <v>0</v>
      </c>
      <c r="G2619">
        <v>0</v>
      </c>
      <c r="H2619">
        <v>1</v>
      </c>
      <c r="I2619" s="3">
        <v>1761.14</v>
      </c>
      <c r="J2619" s="3">
        <v>0</v>
      </c>
      <c r="K2619" t="s">
        <v>6292</v>
      </c>
      <c r="L2619">
        <v>4614</v>
      </c>
      <c r="M2619" t="s">
        <v>614</v>
      </c>
      <c r="N2619" t="s">
        <v>30</v>
      </c>
      <c r="O2619" t="s">
        <v>31</v>
      </c>
      <c r="P2619" t="str">
        <f>"15224"</f>
        <v>15224</v>
      </c>
    </row>
    <row r="2620" spans="1:16" x14ac:dyDescent="0.25">
      <c r="A2620" t="str">
        <f>"1080026D00248    00"</f>
        <v>1080026D00248    00</v>
      </c>
      <c r="B2620" t="s">
        <v>6293</v>
      </c>
      <c r="C2620" t="s">
        <v>6294</v>
      </c>
      <c r="D2620" t="s">
        <v>20</v>
      </c>
      <c r="E2620" t="s">
        <v>21</v>
      </c>
      <c r="F2620">
        <v>0</v>
      </c>
      <c r="G2620">
        <v>0</v>
      </c>
      <c r="H2620">
        <v>2</v>
      </c>
      <c r="I2620" s="3">
        <v>4046.72</v>
      </c>
      <c r="J2620" s="3">
        <v>0</v>
      </c>
      <c r="L2620">
        <v>4622</v>
      </c>
      <c r="M2620" t="s">
        <v>614</v>
      </c>
      <c r="N2620" t="s">
        <v>30</v>
      </c>
      <c r="O2620" t="s">
        <v>31</v>
      </c>
      <c r="P2620" t="str">
        <f>"15224"</f>
        <v>15224</v>
      </c>
    </row>
    <row r="2621" spans="1:16" x14ac:dyDescent="0.25">
      <c r="A2621" t="str">
        <f>"1080026D00283    00"</f>
        <v>1080026D00283    00</v>
      </c>
      <c r="B2621" t="s">
        <v>6295</v>
      </c>
      <c r="C2621" t="s">
        <v>6296</v>
      </c>
      <c r="D2621" t="s">
        <v>20</v>
      </c>
      <c r="E2621" t="s">
        <v>39</v>
      </c>
      <c r="F2621">
        <v>0</v>
      </c>
      <c r="G2621">
        <v>0</v>
      </c>
      <c r="H2621">
        <v>2</v>
      </c>
      <c r="I2621" s="3">
        <v>2736.76</v>
      </c>
      <c r="J2621" s="3">
        <v>272.82</v>
      </c>
      <c r="L2621">
        <v>178</v>
      </c>
      <c r="M2621" t="s">
        <v>6297</v>
      </c>
      <c r="N2621" t="s">
        <v>6298</v>
      </c>
      <c r="O2621" t="s">
        <v>31</v>
      </c>
      <c r="P2621" t="str">
        <f>"15012"</f>
        <v>15012</v>
      </c>
    </row>
    <row r="2622" spans="1:16" x14ac:dyDescent="0.25">
      <c r="A2622" t="str">
        <f>"1080026D00293    00"</f>
        <v>1080026D00293    00</v>
      </c>
      <c r="B2622" t="s">
        <v>6299</v>
      </c>
      <c r="C2622" t="s">
        <v>6300</v>
      </c>
      <c r="D2622" t="s">
        <v>20</v>
      </c>
      <c r="E2622" t="s">
        <v>39</v>
      </c>
      <c r="F2622">
        <v>0</v>
      </c>
      <c r="G2622">
        <v>0</v>
      </c>
      <c r="H2622">
        <v>4</v>
      </c>
      <c r="I2622" s="3">
        <v>6563.2</v>
      </c>
      <c r="J2622" s="3">
        <v>0</v>
      </c>
      <c r="L2622">
        <v>433</v>
      </c>
      <c r="M2622" t="s">
        <v>6269</v>
      </c>
      <c r="N2622" t="s">
        <v>30</v>
      </c>
      <c r="O2622" t="s">
        <v>31</v>
      </c>
      <c r="P2622" t="str">
        <f>"15224"</f>
        <v>15224</v>
      </c>
    </row>
    <row r="2623" spans="1:16" x14ac:dyDescent="0.25">
      <c r="A2623" t="str">
        <f>"1080026D00293000100"</f>
        <v>1080026D00293000100</v>
      </c>
      <c r="B2623" t="s">
        <v>6301</v>
      </c>
      <c r="C2623" t="s">
        <v>6302</v>
      </c>
      <c r="D2623" t="s">
        <v>20</v>
      </c>
      <c r="E2623" t="s">
        <v>39</v>
      </c>
      <c r="F2623">
        <v>0</v>
      </c>
      <c r="G2623">
        <v>0</v>
      </c>
      <c r="H2623">
        <v>1</v>
      </c>
      <c r="I2623" s="3">
        <v>2113.7600000000002</v>
      </c>
      <c r="J2623" s="3">
        <v>0</v>
      </c>
      <c r="K2623" t="s">
        <v>6303</v>
      </c>
      <c r="L2623">
        <v>8050</v>
      </c>
      <c r="M2623" t="s">
        <v>6304</v>
      </c>
      <c r="N2623" t="s">
        <v>2008</v>
      </c>
      <c r="O2623" t="s">
        <v>31</v>
      </c>
      <c r="P2623" t="str">
        <f>"16066"</f>
        <v>16066</v>
      </c>
    </row>
    <row r="2624" spans="1:16" x14ac:dyDescent="0.25">
      <c r="A2624" t="str">
        <f>"1080026D00307    00"</f>
        <v>1080026D00307    00</v>
      </c>
      <c r="B2624" t="s">
        <v>6305</v>
      </c>
      <c r="C2624" t="s">
        <v>6306</v>
      </c>
      <c r="D2624" t="s">
        <v>20</v>
      </c>
      <c r="E2624" t="s">
        <v>39</v>
      </c>
      <c r="F2624">
        <v>0</v>
      </c>
      <c r="G2624">
        <v>0</v>
      </c>
      <c r="H2624">
        <v>1</v>
      </c>
      <c r="I2624" s="3">
        <v>1291</v>
      </c>
      <c r="J2624" s="3">
        <v>0</v>
      </c>
      <c r="L2624">
        <v>346</v>
      </c>
      <c r="M2624" t="s">
        <v>1849</v>
      </c>
      <c r="N2624" t="s">
        <v>30</v>
      </c>
      <c r="O2624" t="s">
        <v>31</v>
      </c>
      <c r="P2624" t="str">
        <f>"15224"</f>
        <v>15224</v>
      </c>
    </row>
    <row r="2625" spans="1:16" x14ac:dyDescent="0.25">
      <c r="A2625" t="str">
        <f>"1080026D00317    00"</f>
        <v>1080026D00317    00</v>
      </c>
      <c r="B2625" t="s">
        <v>6307</v>
      </c>
      <c r="C2625" t="s">
        <v>6308</v>
      </c>
      <c r="E2625" t="s">
        <v>39</v>
      </c>
      <c r="F2625">
        <v>0</v>
      </c>
      <c r="G2625">
        <v>0</v>
      </c>
      <c r="H2625">
        <v>1</v>
      </c>
      <c r="I2625" s="3">
        <v>366.29</v>
      </c>
      <c r="J2625" s="3">
        <v>0</v>
      </c>
      <c r="L2625">
        <v>4710</v>
      </c>
      <c r="M2625" t="s">
        <v>6309</v>
      </c>
      <c r="N2625" t="s">
        <v>30</v>
      </c>
      <c r="O2625" t="s">
        <v>31</v>
      </c>
      <c r="P2625" t="str">
        <f>"15224"</f>
        <v>15224</v>
      </c>
    </row>
    <row r="2626" spans="1:16" x14ac:dyDescent="0.25">
      <c r="A2626" t="str">
        <f>"1080026D00320    00"</f>
        <v>1080026D00320    00</v>
      </c>
      <c r="B2626" t="s">
        <v>6310</v>
      </c>
      <c r="C2626" t="s">
        <v>6311</v>
      </c>
      <c r="D2626" t="s">
        <v>20</v>
      </c>
      <c r="E2626" t="s">
        <v>39</v>
      </c>
      <c r="F2626">
        <v>0</v>
      </c>
      <c r="G2626">
        <v>0</v>
      </c>
      <c r="H2626">
        <v>1</v>
      </c>
      <c r="I2626" s="3">
        <v>1978.43</v>
      </c>
      <c r="J2626" s="3">
        <v>0</v>
      </c>
      <c r="K2626" t="s">
        <v>6312</v>
      </c>
      <c r="L2626">
        <v>320</v>
      </c>
      <c r="M2626" t="s">
        <v>1849</v>
      </c>
      <c r="N2626" t="s">
        <v>30</v>
      </c>
      <c r="O2626" t="s">
        <v>31</v>
      </c>
      <c r="P2626" t="str">
        <f>"15224"</f>
        <v>15224</v>
      </c>
    </row>
    <row r="2627" spans="1:16" x14ac:dyDescent="0.25">
      <c r="A2627" t="str">
        <f>"1080026D00335    00"</f>
        <v>1080026D00335    00</v>
      </c>
      <c r="B2627" t="s">
        <v>2718</v>
      </c>
      <c r="C2627" t="s">
        <v>6313</v>
      </c>
      <c r="E2627" t="s">
        <v>39</v>
      </c>
      <c r="F2627">
        <v>0</v>
      </c>
      <c r="G2627">
        <v>0</v>
      </c>
      <c r="H2627">
        <v>1</v>
      </c>
      <c r="I2627" s="3">
        <v>1083.43</v>
      </c>
      <c r="J2627" s="3">
        <v>0</v>
      </c>
      <c r="K2627" t="s">
        <v>6314</v>
      </c>
      <c r="L2627">
        <v>5915</v>
      </c>
      <c r="M2627" t="s">
        <v>2720</v>
      </c>
      <c r="N2627" t="s">
        <v>30</v>
      </c>
      <c r="O2627" t="s">
        <v>31</v>
      </c>
      <c r="P2627" t="str">
        <f>"15206"</f>
        <v>15206</v>
      </c>
    </row>
    <row r="2628" spans="1:16" x14ac:dyDescent="0.25">
      <c r="A2628" t="str">
        <f>"1080026H00058    00"</f>
        <v>1080026H00058    00</v>
      </c>
      <c r="B2628" t="s">
        <v>6315</v>
      </c>
      <c r="C2628" t="s">
        <v>6316</v>
      </c>
      <c r="D2628" t="s">
        <v>20</v>
      </c>
      <c r="E2628" t="s">
        <v>39</v>
      </c>
      <c r="F2628">
        <v>0</v>
      </c>
      <c r="G2628">
        <v>0</v>
      </c>
      <c r="H2628">
        <v>1</v>
      </c>
      <c r="I2628" s="3">
        <v>2129.0100000000002</v>
      </c>
      <c r="J2628" s="3">
        <v>0</v>
      </c>
      <c r="K2628" t="s">
        <v>6317</v>
      </c>
      <c r="L2628">
        <v>4736</v>
      </c>
      <c r="M2628" t="s">
        <v>6318</v>
      </c>
      <c r="N2628" t="s">
        <v>30</v>
      </c>
      <c r="O2628" t="s">
        <v>31</v>
      </c>
      <c r="P2628" t="str">
        <f>"15224"</f>
        <v>15224</v>
      </c>
    </row>
    <row r="2629" spans="1:16" x14ac:dyDescent="0.25">
      <c r="A2629" t="str">
        <f>"1080026H00060    00"</f>
        <v>1080026H00060    00</v>
      </c>
      <c r="B2629" t="s">
        <v>6319</v>
      </c>
      <c r="C2629" t="s">
        <v>6320</v>
      </c>
      <c r="D2629" t="s">
        <v>20</v>
      </c>
      <c r="E2629" t="s">
        <v>39</v>
      </c>
      <c r="F2629">
        <v>0</v>
      </c>
      <c r="G2629">
        <v>0</v>
      </c>
      <c r="H2629">
        <v>5</v>
      </c>
      <c r="I2629" s="3">
        <v>8703.9599999999991</v>
      </c>
      <c r="J2629" s="3">
        <v>1863.64</v>
      </c>
      <c r="L2629">
        <v>202</v>
      </c>
      <c r="M2629" t="s">
        <v>6321</v>
      </c>
      <c r="N2629" t="s">
        <v>3934</v>
      </c>
      <c r="O2629" t="s">
        <v>31</v>
      </c>
      <c r="P2629" t="str">
        <f>"15102"</f>
        <v>15102</v>
      </c>
    </row>
    <row r="2630" spans="1:16" x14ac:dyDescent="0.25">
      <c r="A2630" t="str">
        <f>"1080026H00062    00"</f>
        <v>1080026H00062    00</v>
      </c>
      <c r="B2630" t="s">
        <v>6322</v>
      </c>
      <c r="C2630" t="s">
        <v>6323</v>
      </c>
      <c r="D2630" t="s">
        <v>20</v>
      </c>
      <c r="E2630" t="s">
        <v>39</v>
      </c>
      <c r="F2630">
        <v>0</v>
      </c>
      <c r="G2630">
        <v>0</v>
      </c>
      <c r="H2630">
        <v>8</v>
      </c>
      <c r="I2630" s="3">
        <v>10298.049999999999</v>
      </c>
      <c r="J2630" s="3">
        <v>3104.65</v>
      </c>
      <c r="L2630">
        <v>4728</v>
      </c>
      <c r="M2630" t="s">
        <v>6318</v>
      </c>
      <c r="N2630" t="s">
        <v>30</v>
      </c>
      <c r="O2630" t="s">
        <v>31</v>
      </c>
      <c r="P2630" t="str">
        <f>"15224"</f>
        <v>15224</v>
      </c>
    </row>
    <row r="2631" spans="1:16" x14ac:dyDescent="0.25">
      <c r="A2631" t="str">
        <f>"1080026H00063    00"</f>
        <v>1080026H00063    00</v>
      </c>
      <c r="B2631" t="s">
        <v>6324</v>
      </c>
      <c r="C2631" t="s">
        <v>6325</v>
      </c>
      <c r="D2631" t="s">
        <v>20</v>
      </c>
      <c r="E2631" t="s">
        <v>39</v>
      </c>
      <c r="F2631">
        <v>0</v>
      </c>
      <c r="G2631">
        <v>0</v>
      </c>
      <c r="H2631">
        <v>10</v>
      </c>
      <c r="I2631" s="3">
        <v>7953.67</v>
      </c>
      <c r="J2631" s="3">
        <v>2922.32</v>
      </c>
      <c r="L2631">
        <v>4726</v>
      </c>
      <c r="M2631" t="s">
        <v>6318</v>
      </c>
      <c r="N2631" t="s">
        <v>30</v>
      </c>
      <c r="O2631" t="s">
        <v>31</v>
      </c>
      <c r="P2631" t="str">
        <f>"15224"</f>
        <v>15224</v>
      </c>
    </row>
    <row r="2632" spans="1:16" x14ac:dyDescent="0.25">
      <c r="A2632" t="str">
        <f>"1080026H00067    00"</f>
        <v>1080026H00067    00</v>
      </c>
      <c r="B2632" t="s">
        <v>6319</v>
      </c>
      <c r="C2632" t="s">
        <v>6326</v>
      </c>
      <c r="D2632" t="s">
        <v>20</v>
      </c>
      <c r="E2632" t="s">
        <v>39</v>
      </c>
      <c r="F2632">
        <v>0</v>
      </c>
      <c r="G2632">
        <v>0</v>
      </c>
      <c r="H2632">
        <v>10</v>
      </c>
      <c r="I2632" s="3">
        <v>1560.09</v>
      </c>
      <c r="J2632" s="3">
        <v>785.41</v>
      </c>
      <c r="L2632">
        <v>202</v>
      </c>
      <c r="M2632" t="s">
        <v>6321</v>
      </c>
      <c r="N2632" t="s">
        <v>3934</v>
      </c>
      <c r="O2632" t="s">
        <v>31</v>
      </c>
      <c r="P2632" t="str">
        <f>"15102"</f>
        <v>15102</v>
      </c>
    </row>
    <row r="2633" spans="1:16" x14ac:dyDescent="0.25">
      <c r="A2633" t="str">
        <f>"1080026H00068    00"</f>
        <v>1080026H00068    00</v>
      </c>
      <c r="B2633" t="s">
        <v>6319</v>
      </c>
      <c r="C2633" t="s">
        <v>6326</v>
      </c>
      <c r="D2633" t="s">
        <v>20</v>
      </c>
      <c r="E2633" t="s">
        <v>39</v>
      </c>
      <c r="F2633">
        <v>0</v>
      </c>
      <c r="G2633">
        <v>0</v>
      </c>
      <c r="H2633">
        <v>10</v>
      </c>
      <c r="I2633" s="3">
        <v>1589.95</v>
      </c>
      <c r="J2633" s="3">
        <v>809.18</v>
      </c>
      <c r="L2633">
        <v>202</v>
      </c>
      <c r="M2633" t="s">
        <v>6321</v>
      </c>
      <c r="N2633" t="s">
        <v>3934</v>
      </c>
      <c r="O2633" t="s">
        <v>31</v>
      </c>
      <c r="P2633" t="str">
        <f>"15102"</f>
        <v>15102</v>
      </c>
    </row>
    <row r="2634" spans="1:16" x14ac:dyDescent="0.25">
      <c r="A2634" t="str">
        <f>"1080026H00069    00"</f>
        <v>1080026H00069    00</v>
      </c>
      <c r="B2634" t="s">
        <v>6319</v>
      </c>
      <c r="C2634" t="s">
        <v>6326</v>
      </c>
      <c r="D2634" t="s">
        <v>20</v>
      </c>
      <c r="E2634" t="s">
        <v>39</v>
      </c>
      <c r="F2634">
        <v>0</v>
      </c>
      <c r="G2634">
        <v>0</v>
      </c>
      <c r="H2634">
        <v>6</v>
      </c>
      <c r="I2634" s="3">
        <v>1117.4000000000001</v>
      </c>
      <c r="J2634" s="3">
        <v>325.94</v>
      </c>
      <c r="L2634">
        <v>202</v>
      </c>
      <c r="M2634" t="s">
        <v>6321</v>
      </c>
      <c r="N2634" t="s">
        <v>3934</v>
      </c>
      <c r="O2634" t="s">
        <v>31</v>
      </c>
      <c r="P2634" t="str">
        <f>"15102"</f>
        <v>15102</v>
      </c>
    </row>
    <row r="2635" spans="1:16" x14ac:dyDescent="0.25">
      <c r="A2635" t="str">
        <f>"1080026H00098    00"</f>
        <v>1080026H00098    00</v>
      </c>
      <c r="B2635" t="s">
        <v>6327</v>
      </c>
      <c r="C2635" t="s">
        <v>6244</v>
      </c>
      <c r="D2635" t="s">
        <v>20</v>
      </c>
      <c r="E2635" t="s">
        <v>39</v>
      </c>
      <c r="F2635">
        <v>0</v>
      </c>
      <c r="G2635">
        <v>0</v>
      </c>
      <c r="H2635">
        <v>19</v>
      </c>
      <c r="I2635" s="3">
        <v>10562.92</v>
      </c>
      <c r="J2635" s="3">
        <v>9091.16</v>
      </c>
      <c r="L2635">
        <v>4690</v>
      </c>
      <c r="M2635" t="s">
        <v>6309</v>
      </c>
      <c r="N2635" t="s">
        <v>30</v>
      </c>
      <c r="O2635" t="s">
        <v>31</v>
      </c>
      <c r="P2635" t="str">
        <f>"15224"</f>
        <v>15224</v>
      </c>
    </row>
    <row r="2636" spans="1:16" x14ac:dyDescent="0.25">
      <c r="A2636" t="str">
        <f>"1080026H00113    00"</f>
        <v>1080026H00113    00</v>
      </c>
      <c r="B2636" t="s">
        <v>6328</v>
      </c>
      <c r="C2636" t="s">
        <v>6329</v>
      </c>
      <c r="D2636" t="s">
        <v>20</v>
      </c>
      <c r="E2636" t="s">
        <v>21</v>
      </c>
      <c r="F2636">
        <v>0</v>
      </c>
      <c r="G2636">
        <v>0</v>
      </c>
      <c r="H2636">
        <v>3</v>
      </c>
      <c r="I2636" s="3">
        <v>6124.02</v>
      </c>
      <c r="J2636" s="3">
        <v>408.26</v>
      </c>
      <c r="L2636">
        <v>4716</v>
      </c>
      <c r="M2636" t="s">
        <v>6309</v>
      </c>
      <c r="N2636" t="s">
        <v>30</v>
      </c>
      <c r="O2636" t="s">
        <v>31</v>
      </c>
      <c r="P2636" t="str">
        <f>"15224"</f>
        <v>15224</v>
      </c>
    </row>
    <row r="2637" spans="1:16" x14ac:dyDescent="0.25">
      <c r="A2637" t="str">
        <f>"1080026H00117    00"</f>
        <v>1080026H00117    00</v>
      </c>
      <c r="B2637" t="s">
        <v>6330</v>
      </c>
      <c r="C2637" t="s">
        <v>6331</v>
      </c>
      <c r="D2637" t="s">
        <v>20</v>
      </c>
      <c r="E2637" t="s">
        <v>39</v>
      </c>
      <c r="F2637">
        <v>0</v>
      </c>
      <c r="G2637">
        <v>0</v>
      </c>
      <c r="H2637">
        <v>1</v>
      </c>
      <c r="I2637" s="3">
        <v>1683.48</v>
      </c>
      <c r="J2637" s="3">
        <v>0</v>
      </c>
      <c r="L2637">
        <v>4724</v>
      </c>
      <c r="M2637" t="s">
        <v>6309</v>
      </c>
      <c r="N2637" t="s">
        <v>30</v>
      </c>
      <c r="O2637" t="s">
        <v>31</v>
      </c>
      <c r="P2637" t="str">
        <f>"15224"</f>
        <v>15224</v>
      </c>
    </row>
    <row r="2638" spans="1:16" x14ac:dyDescent="0.25">
      <c r="A2638" t="str">
        <f>"1080026H00181    00"</f>
        <v>1080026H00181    00</v>
      </c>
      <c r="B2638" t="s">
        <v>6332</v>
      </c>
      <c r="C2638" t="s">
        <v>6333</v>
      </c>
      <c r="D2638" t="s">
        <v>20</v>
      </c>
      <c r="E2638" t="s">
        <v>39</v>
      </c>
      <c r="F2638">
        <v>0</v>
      </c>
      <c r="G2638">
        <v>0</v>
      </c>
      <c r="H2638">
        <v>4</v>
      </c>
      <c r="I2638" s="3">
        <v>15262.28</v>
      </c>
      <c r="J2638" s="3">
        <v>1242.6500000000001</v>
      </c>
      <c r="L2638">
        <v>1223</v>
      </c>
      <c r="M2638" t="s">
        <v>6334</v>
      </c>
      <c r="N2638" t="s">
        <v>509</v>
      </c>
      <c r="O2638" t="s">
        <v>31</v>
      </c>
      <c r="P2638" t="str">
        <f>"19121"</f>
        <v>19121</v>
      </c>
    </row>
    <row r="2639" spans="1:16" x14ac:dyDescent="0.25">
      <c r="A2639" t="str">
        <f>"1080026H00181A   00"</f>
        <v>1080026H00181A   00</v>
      </c>
      <c r="B2639" t="s">
        <v>6332</v>
      </c>
      <c r="C2639" t="s">
        <v>6333</v>
      </c>
      <c r="D2639" t="s">
        <v>20</v>
      </c>
      <c r="E2639" t="s">
        <v>39</v>
      </c>
      <c r="F2639">
        <v>0</v>
      </c>
      <c r="G2639">
        <v>0</v>
      </c>
      <c r="H2639">
        <v>4</v>
      </c>
      <c r="I2639" s="3">
        <v>1404.93</v>
      </c>
      <c r="J2639" s="3">
        <v>165.95</v>
      </c>
      <c r="L2639">
        <v>1223</v>
      </c>
      <c r="M2639" t="s">
        <v>6334</v>
      </c>
      <c r="N2639" t="s">
        <v>509</v>
      </c>
      <c r="O2639" t="s">
        <v>31</v>
      </c>
      <c r="P2639" t="str">
        <f>"19121"</f>
        <v>19121</v>
      </c>
    </row>
    <row r="2640" spans="1:16" x14ac:dyDescent="0.25">
      <c r="A2640" t="str">
        <f>"1080026H00181B   00"</f>
        <v>1080026H00181B   00</v>
      </c>
      <c r="B2640" t="s">
        <v>6332</v>
      </c>
      <c r="C2640" t="s">
        <v>6333</v>
      </c>
      <c r="D2640" t="s">
        <v>20</v>
      </c>
      <c r="E2640" t="s">
        <v>39</v>
      </c>
      <c r="F2640">
        <v>0</v>
      </c>
      <c r="G2640">
        <v>0</v>
      </c>
      <c r="H2640">
        <v>4</v>
      </c>
      <c r="I2640" s="3">
        <v>1404.93</v>
      </c>
      <c r="J2640" s="3">
        <v>165.95</v>
      </c>
      <c r="L2640">
        <v>1223</v>
      </c>
      <c r="M2640" t="s">
        <v>6334</v>
      </c>
      <c r="N2640" t="s">
        <v>509</v>
      </c>
      <c r="O2640" t="s">
        <v>31</v>
      </c>
      <c r="P2640" t="str">
        <f>"19121"</f>
        <v>19121</v>
      </c>
    </row>
    <row r="2641" spans="1:16" x14ac:dyDescent="0.25">
      <c r="A2641" t="str">
        <f>"1080026H00189    00"</f>
        <v>1080026H00189    00</v>
      </c>
      <c r="B2641" t="s">
        <v>2718</v>
      </c>
      <c r="C2641" t="s">
        <v>6335</v>
      </c>
      <c r="D2641" t="s">
        <v>20</v>
      </c>
      <c r="E2641" t="s">
        <v>39</v>
      </c>
      <c r="F2641">
        <v>0</v>
      </c>
      <c r="G2641">
        <v>0</v>
      </c>
      <c r="H2641">
        <v>2</v>
      </c>
      <c r="I2641" s="3">
        <v>4162.74</v>
      </c>
      <c r="J2641" s="3">
        <v>0</v>
      </c>
      <c r="L2641">
        <v>5915</v>
      </c>
      <c r="M2641" t="s">
        <v>6336</v>
      </c>
      <c r="N2641" t="s">
        <v>30</v>
      </c>
      <c r="O2641" t="s">
        <v>31</v>
      </c>
      <c r="P2641" t="str">
        <f>"15206"</f>
        <v>15206</v>
      </c>
    </row>
    <row r="2642" spans="1:16" x14ac:dyDescent="0.25">
      <c r="A2642" t="str">
        <f>"1080026H00196    00"</f>
        <v>1080026H00196    00</v>
      </c>
      <c r="B2642" t="s">
        <v>6337</v>
      </c>
      <c r="C2642" t="s">
        <v>6338</v>
      </c>
      <c r="D2642" t="s">
        <v>20</v>
      </c>
      <c r="E2642" t="s">
        <v>39</v>
      </c>
      <c r="F2642">
        <v>0</v>
      </c>
      <c r="G2642">
        <v>0</v>
      </c>
      <c r="H2642">
        <v>2</v>
      </c>
      <c r="I2642" s="3">
        <v>2385.88</v>
      </c>
      <c r="J2642" s="3">
        <v>0</v>
      </c>
      <c r="L2642">
        <v>706</v>
      </c>
      <c r="M2642" t="s">
        <v>6339</v>
      </c>
      <c r="N2642" t="s">
        <v>30</v>
      </c>
      <c r="O2642" t="s">
        <v>31</v>
      </c>
      <c r="P2642" t="str">
        <f>"15224"</f>
        <v>15224</v>
      </c>
    </row>
    <row r="2643" spans="1:16" x14ac:dyDescent="0.25">
      <c r="A2643" t="str">
        <f>"1080026H00204    00"</f>
        <v>1080026H00204    00</v>
      </c>
      <c r="B2643" t="s">
        <v>6340</v>
      </c>
      <c r="C2643" t="s">
        <v>6341</v>
      </c>
      <c r="E2643" t="s">
        <v>39</v>
      </c>
      <c r="F2643">
        <v>0</v>
      </c>
      <c r="G2643">
        <v>0</v>
      </c>
      <c r="H2643">
        <v>2</v>
      </c>
      <c r="I2643" s="3">
        <v>4268.84</v>
      </c>
      <c r="J2643" s="3">
        <v>320.08</v>
      </c>
      <c r="L2643">
        <v>209</v>
      </c>
      <c r="M2643" t="s">
        <v>5438</v>
      </c>
      <c r="N2643" t="s">
        <v>30</v>
      </c>
      <c r="O2643" t="s">
        <v>31</v>
      </c>
      <c r="P2643" t="str">
        <f>"15213"</f>
        <v>15213</v>
      </c>
    </row>
    <row r="2644" spans="1:16" x14ac:dyDescent="0.25">
      <c r="A2644" t="str">
        <f>"1080026H00211    00"</f>
        <v>1080026H00211    00</v>
      </c>
      <c r="B2644" t="s">
        <v>6342</v>
      </c>
      <c r="C2644" t="s">
        <v>6343</v>
      </c>
      <c r="D2644" t="s">
        <v>20</v>
      </c>
      <c r="E2644" t="s">
        <v>39</v>
      </c>
      <c r="F2644">
        <v>0</v>
      </c>
      <c r="G2644">
        <v>0</v>
      </c>
      <c r="H2644">
        <v>1</v>
      </c>
      <c r="I2644" s="3">
        <v>922.98</v>
      </c>
      <c r="J2644" s="3">
        <v>0</v>
      </c>
      <c r="K2644" t="s">
        <v>6344</v>
      </c>
      <c r="L2644">
        <v>4739</v>
      </c>
      <c r="M2644" t="s">
        <v>6309</v>
      </c>
      <c r="N2644" t="s">
        <v>30</v>
      </c>
      <c r="O2644" t="s">
        <v>31</v>
      </c>
      <c r="P2644" t="str">
        <f>"15224"</f>
        <v>15224</v>
      </c>
    </row>
    <row r="2645" spans="1:16" x14ac:dyDescent="0.25">
      <c r="A2645" t="str">
        <f>"1080026H00226    00"</f>
        <v>1080026H00226    00</v>
      </c>
      <c r="B2645" t="s">
        <v>6345</v>
      </c>
      <c r="C2645" t="s">
        <v>6346</v>
      </c>
      <c r="E2645" t="s">
        <v>39</v>
      </c>
      <c r="F2645">
        <v>0</v>
      </c>
      <c r="G2645">
        <v>0</v>
      </c>
      <c r="H2645">
        <v>2</v>
      </c>
      <c r="I2645" s="3">
        <v>2374.96</v>
      </c>
      <c r="J2645" s="3">
        <v>304.58999999999997</v>
      </c>
      <c r="L2645">
        <v>439</v>
      </c>
      <c r="M2645" t="s">
        <v>1849</v>
      </c>
      <c r="N2645" t="s">
        <v>30</v>
      </c>
      <c r="O2645" t="s">
        <v>31</v>
      </c>
      <c r="P2645" t="str">
        <f>"15224"</f>
        <v>15224</v>
      </c>
    </row>
    <row r="2646" spans="1:16" x14ac:dyDescent="0.25">
      <c r="A2646" t="str">
        <f>"1080026H00230    00"</f>
        <v>1080026H00230    00</v>
      </c>
      <c r="B2646" t="s">
        <v>6347</v>
      </c>
      <c r="C2646" t="s">
        <v>6348</v>
      </c>
      <c r="E2646" t="s">
        <v>39</v>
      </c>
      <c r="F2646">
        <v>0</v>
      </c>
      <c r="G2646">
        <v>0</v>
      </c>
      <c r="H2646">
        <v>1</v>
      </c>
      <c r="I2646" s="3">
        <v>2504.6999999999998</v>
      </c>
      <c r="J2646" s="3">
        <v>1231.43</v>
      </c>
      <c r="K2646" t="s">
        <v>6349</v>
      </c>
      <c r="L2646">
        <v>425</v>
      </c>
      <c r="M2646" t="s">
        <v>6350</v>
      </c>
      <c r="N2646" t="s">
        <v>6351</v>
      </c>
      <c r="O2646" t="s">
        <v>31</v>
      </c>
      <c r="P2646" t="str">
        <f>"16059"</f>
        <v>16059</v>
      </c>
    </row>
    <row r="2647" spans="1:16" x14ac:dyDescent="0.25">
      <c r="A2647" t="str">
        <f>"1080026H00237A   00"</f>
        <v>1080026H00237A   00</v>
      </c>
      <c r="B2647" t="s">
        <v>6352</v>
      </c>
      <c r="C2647" t="s">
        <v>6353</v>
      </c>
      <c r="D2647" t="s">
        <v>20</v>
      </c>
      <c r="E2647" t="s">
        <v>39</v>
      </c>
      <c r="F2647">
        <v>0</v>
      </c>
      <c r="G2647">
        <v>0</v>
      </c>
      <c r="H2647">
        <v>1</v>
      </c>
      <c r="I2647" s="3">
        <v>858.31</v>
      </c>
      <c r="J2647" s="3">
        <v>0</v>
      </c>
      <c r="L2647">
        <v>417</v>
      </c>
      <c r="M2647" t="s">
        <v>6354</v>
      </c>
      <c r="N2647" t="s">
        <v>30</v>
      </c>
      <c r="O2647" t="s">
        <v>31</v>
      </c>
      <c r="P2647" t="str">
        <f>"15224"</f>
        <v>15224</v>
      </c>
    </row>
    <row r="2648" spans="1:16" x14ac:dyDescent="0.25">
      <c r="A2648" t="str">
        <f>"1080026H00251    00"</f>
        <v>1080026H00251    00</v>
      </c>
      <c r="B2648" t="s">
        <v>6355</v>
      </c>
      <c r="C2648" t="s">
        <v>6356</v>
      </c>
      <c r="D2648" t="s">
        <v>20</v>
      </c>
      <c r="E2648" t="s">
        <v>39</v>
      </c>
      <c r="F2648">
        <v>0</v>
      </c>
      <c r="G2648">
        <v>0</v>
      </c>
      <c r="H2648">
        <v>1</v>
      </c>
      <c r="I2648" s="3">
        <v>2418.7199999999998</v>
      </c>
      <c r="J2648" s="3">
        <v>0</v>
      </c>
      <c r="K2648" t="s">
        <v>3554</v>
      </c>
      <c r="L2648">
        <v>600</v>
      </c>
      <c r="M2648" t="s">
        <v>3555</v>
      </c>
      <c r="N2648" t="s">
        <v>3556</v>
      </c>
      <c r="O2648" t="s">
        <v>31</v>
      </c>
      <c r="P2648" t="str">
        <f>"16117"</f>
        <v>16117</v>
      </c>
    </row>
    <row r="2649" spans="1:16" x14ac:dyDescent="0.25">
      <c r="A2649" t="str">
        <f>"1080026H00253    00"</f>
        <v>1080026H00253    00</v>
      </c>
      <c r="B2649" t="s">
        <v>6357</v>
      </c>
      <c r="C2649" t="s">
        <v>6358</v>
      </c>
      <c r="E2649" t="s">
        <v>39</v>
      </c>
      <c r="F2649">
        <v>0</v>
      </c>
      <c r="G2649">
        <v>0</v>
      </c>
      <c r="H2649">
        <v>1</v>
      </c>
      <c r="I2649" s="3">
        <v>11.29</v>
      </c>
      <c r="J2649" s="3">
        <v>0</v>
      </c>
      <c r="L2649">
        <v>323</v>
      </c>
      <c r="M2649" t="s">
        <v>6359</v>
      </c>
      <c r="N2649" t="s">
        <v>30</v>
      </c>
      <c r="O2649" t="s">
        <v>31</v>
      </c>
      <c r="P2649" t="str">
        <f>"15208"</f>
        <v>15208</v>
      </c>
    </row>
    <row r="2650" spans="1:16" x14ac:dyDescent="0.25">
      <c r="A2650" t="str">
        <f>"1080026H00261    00"</f>
        <v>1080026H00261    00</v>
      </c>
      <c r="B2650" t="s">
        <v>6360</v>
      </c>
      <c r="C2650" t="s">
        <v>6361</v>
      </c>
      <c r="D2650" t="s">
        <v>20</v>
      </c>
      <c r="E2650" t="s">
        <v>39</v>
      </c>
      <c r="F2650">
        <v>0</v>
      </c>
      <c r="G2650">
        <v>0</v>
      </c>
      <c r="H2650">
        <v>3</v>
      </c>
      <c r="I2650" s="3">
        <v>1688.89</v>
      </c>
      <c r="J2650" s="3">
        <v>586.71</v>
      </c>
      <c r="L2650">
        <v>458</v>
      </c>
      <c r="M2650" t="s">
        <v>1849</v>
      </c>
      <c r="N2650" t="s">
        <v>30</v>
      </c>
      <c r="O2650" t="s">
        <v>31</v>
      </c>
      <c r="P2650" t="str">
        <f>"15224"</f>
        <v>15224</v>
      </c>
    </row>
    <row r="2651" spans="1:16" x14ac:dyDescent="0.25">
      <c r="A2651" t="str">
        <f>"1080026H00263    00"</f>
        <v>1080026H00263    00</v>
      </c>
      <c r="B2651" t="s">
        <v>6362</v>
      </c>
      <c r="C2651" t="s">
        <v>6363</v>
      </c>
      <c r="E2651" t="s">
        <v>39</v>
      </c>
      <c r="F2651">
        <v>0</v>
      </c>
      <c r="G2651">
        <v>0</v>
      </c>
      <c r="H2651">
        <v>2</v>
      </c>
      <c r="I2651" s="3">
        <v>1523.29</v>
      </c>
      <c r="J2651" s="3">
        <v>79.75</v>
      </c>
      <c r="L2651">
        <v>4717</v>
      </c>
      <c r="M2651" t="s">
        <v>6309</v>
      </c>
      <c r="N2651" t="s">
        <v>30</v>
      </c>
      <c r="O2651" t="s">
        <v>31</v>
      </c>
      <c r="P2651" t="str">
        <f>"15224"</f>
        <v>15224</v>
      </c>
    </row>
    <row r="2652" spans="1:16" x14ac:dyDescent="0.25">
      <c r="A2652" t="str">
        <f>"1080026H00267    00"</f>
        <v>1080026H00267    00</v>
      </c>
      <c r="B2652" t="s">
        <v>6364</v>
      </c>
      <c r="C2652" t="s">
        <v>6365</v>
      </c>
      <c r="E2652" t="s">
        <v>39</v>
      </c>
      <c r="F2652">
        <v>0</v>
      </c>
      <c r="G2652">
        <v>0</v>
      </c>
      <c r="H2652">
        <v>2</v>
      </c>
      <c r="I2652" s="3">
        <v>941.95</v>
      </c>
      <c r="J2652" s="3">
        <v>30.8</v>
      </c>
      <c r="L2652">
        <v>4717</v>
      </c>
      <c r="M2652" t="s">
        <v>6309</v>
      </c>
      <c r="N2652" t="s">
        <v>30</v>
      </c>
      <c r="O2652" t="s">
        <v>31</v>
      </c>
      <c r="P2652" t="str">
        <f>"15224"</f>
        <v>15224</v>
      </c>
    </row>
    <row r="2653" spans="1:16" x14ac:dyDescent="0.25">
      <c r="A2653" t="str">
        <f>"1080026H00268    00"</f>
        <v>1080026H00268    00</v>
      </c>
      <c r="B2653" t="s">
        <v>6366</v>
      </c>
      <c r="C2653" t="s">
        <v>6367</v>
      </c>
      <c r="D2653" t="s">
        <v>20</v>
      </c>
      <c r="E2653" t="s">
        <v>39</v>
      </c>
      <c r="F2653">
        <v>0</v>
      </c>
      <c r="G2653">
        <v>0</v>
      </c>
      <c r="H2653">
        <v>1</v>
      </c>
      <c r="I2653" s="3">
        <v>1038.78</v>
      </c>
      <c r="J2653" s="3">
        <v>0</v>
      </c>
      <c r="K2653" t="s">
        <v>6368</v>
      </c>
      <c r="L2653">
        <v>4715</v>
      </c>
      <c r="M2653" t="s">
        <v>6309</v>
      </c>
      <c r="N2653" t="s">
        <v>30</v>
      </c>
      <c r="O2653" t="s">
        <v>31</v>
      </c>
      <c r="P2653" t="str">
        <f>"15224"</f>
        <v>15224</v>
      </c>
    </row>
    <row r="2654" spans="1:16" x14ac:dyDescent="0.25">
      <c r="A2654" t="str">
        <f>"1080026H00286    00"</f>
        <v>1080026H00286    00</v>
      </c>
      <c r="B2654" t="s">
        <v>6369</v>
      </c>
      <c r="C2654" t="s">
        <v>6370</v>
      </c>
      <c r="D2654" t="s">
        <v>20</v>
      </c>
      <c r="E2654" t="s">
        <v>39</v>
      </c>
      <c r="F2654">
        <v>0</v>
      </c>
      <c r="G2654">
        <v>0</v>
      </c>
      <c r="H2654">
        <v>19</v>
      </c>
      <c r="I2654" s="3">
        <v>14884.57</v>
      </c>
      <c r="J2654" s="3">
        <v>11591.11</v>
      </c>
      <c r="L2654">
        <v>7210</v>
      </c>
      <c r="M2654" t="s">
        <v>872</v>
      </c>
      <c r="N2654" t="s">
        <v>30</v>
      </c>
      <c r="O2654" t="s">
        <v>31</v>
      </c>
      <c r="P2654" t="str">
        <f>"15208"</f>
        <v>15208</v>
      </c>
    </row>
    <row r="2655" spans="1:16" x14ac:dyDescent="0.25">
      <c r="A2655" t="str">
        <f>"1080026H00308    00"</f>
        <v>1080026H00308    00</v>
      </c>
      <c r="B2655" t="s">
        <v>6371</v>
      </c>
      <c r="C2655" t="s">
        <v>6372</v>
      </c>
      <c r="D2655" t="s">
        <v>20</v>
      </c>
      <c r="E2655" t="s">
        <v>39</v>
      </c>
      <c r="F2655">
        <v>0</v>
      </c>
      <c r="G2655">
        <v>0</v>
      </c>
      <c r="H2655">
        <v>11</v>
      </c>
      <c r="I2655" s="3">
        <v>10692.46</v>
      </c>
      <c r="J2655" s="3">
        <v>4969.5200000000004</v>
      </c>
      <c r="L2655">
        <v>4701</v>
      </c>
      <c r="M2655" t="s">
        <v>6309</v>
      </c>
      <c r="N2655" t="s">
        <v>30</v>
      </c>
      <c r="O2655" t="s">
        <v>31</v>
      </c>
      <c r="P2655" t="str">
        <f>"15224"</f>
        <v>15224</v>
      </c>
    </row>
    <row r="2656" spans="1:16" x14ac:dyDescent="0.25">
      <c r="A2656" t="str">
        <f>"1080026H00316    00"</f>
        <v>1080026H00316    00</v>
      </c>
      <c r="B2656" t="s">
        <v>6373</v>
      </c>
      <c r="C2656" t="s">
        <v>6374</v>
      </c>
      <c r="D2656" t="s">
        <v>20</v>
      </c>
      <c r="E2656" t="s">
        <v>39</v>
      </c>
      <c r="F2656">
        <v>0</v>
      </c>
      <c r="G2656">
        <v>0</v>
      </c>
      <c r="H2656">
        <v>1</v>
      </c>
      <c r="I2656" s="3">
        <v>597.04</v>
      </c>
      <c r="J2656" s="3">
        <v>0</v>
      </c>
      <c r="L2656">
        <v>458</v>
      </c>
      <c r="M2656" t="s">
        <v>6269</v>
      </c>
      <c r="N2656" t="s">
        <v>30</v>
      </c>
      <c r="O2656" t="s">
        <v>31</v>
      </c>
      <c r="P2656" t="str">
        <f>"15224"</f>
        <v>15224</v>
      </c>
    </row>
    <row r="2657" spans="1:16" x14ac:dyDescent="0.25">
      <c r="A2657" t="str">
        <f>"1080026H00319A   00"</f>
        <v>1080026H00319A   00</v>
      </c>
      <c r="B2657" t="s">
        <v>6375</v>
      </c>
      <c r="C2657" t="s">
        <v>6376</v>
      </c>
      <c r="E2657" t="s">
        <v>39</v>
      </c>
      <c r="F2657">
        <v>0</v>
      </c>
      <c r="G2657">
        <v>0</v>
      </c>
      <c r="H2657">
        <v>1</v>
      </c>
      <c r="I2657" s="3">
        <v>122.15</v>
      </c>
      <c r="J2657" s="3">
        <v>27.49</v>
      </c>
      <c r="K2657" t="s">
        <v>2106</v>
      </c>
      <c r="L2657">
        <v>6053</v>
      </c>
      <c r="M2657" t="s">
        <v>2107</v>
      </c>
      <c r="N2657" t="s">
        <v>2108</v>
      </c>
      <c r="O2657" t="s">
        <v>2109</v>
      </c>
      <c r="P2657" t="str">
        <f>"84107"</f>
        <v>84107</v>
      </c>
    </row>
    <row r="2658" spans="1:16" x14ac:dyDescent="0.25">
      <c r="A2658" t="str">
        <f>"1080026H00353A   00"</f>
        <v>1080026H00353A   00</v>
      </c>
      <c r="B2658" t="s">
        <v>6357</v>
      </c>
      <c r="C2658" t="s">
        <v>6377</v>
      </c>
      <c r="E2658" t="s">
        <v>39</v>
      </c>
      <c r="F2658">
        <v>0</v>
      </c>
      <c r="G2658">
        <v>0</v>
      </c>
      <c r="H2658">
        <v>1</v>
      </c>
      <c r="I2658" s="3">
        <v>26.72</v>
      </c>
      <c r="J2658" s="3">
        <v>0</v>
      </c>
      <c r="L2658">
        <v>323</v>
      </c>
      <c r="M2658" t="s">
        <v>6359</v>
      </c>
      <c r="N2658" t="s">
        <v>30</v>
      </c>
      <c r="O2658" t="s">
        <v>31</v>
      </c>
      <c r="P2658" t="str">
        <f>"15208"</f>
        <v>15208</v>
      </c>
    </row>
    <row r="2659" spans="1:16" x14ac:dyDescent="0.25">
      <c r="A2659" t="str">
        <f>"1080026H00356    00"</f>
        <v>1080026H00356    00</v>
      </c>
      <c r="B2659" t="s">
        <v>6357</v>
      </c>
      <c r="C2659" t="s">
        <v>6378</v>
      </c>
      <c r="E2659" t="s">
        <v>39</v>
      </c>
      <c r="F2659">
        <v>0</v>
      </c>
      <c r="G2659">
        <v>0</v>
      </c>
      <c r="H2659">
        <v>1</v>
      </c>
      <c r="I2659" s="3">
        <v>13.39</v>
      </c>
      <c r="J2659" s="3">
        <v>0</v>
      </c>
      <c r="K2659" t="s">
        <v>6379</v>
      </c>
      <c r="L2659">
        <v>323</v>
      </c>
      <c r="M2659" t="s">
        <v>6359</v>
      </c>
      <c r="N2659" t="s">
        <v>30</v>
      </c>
      <c r="O2659" t="s">
        <v>31</v>
      </c>
      <c r="P2659" t="str">
        <f>"15208"</f>
        <v>15208</v>
      </c>
    </row>
    <row r="2660" spans="1:16" x14ac:dyDescent="0.25">
      <c r="A2660" t="str">
        <f>"1080026H00368    00"</f>
        <v>1080026H00368    00</v>
      </c>
      <c r="B2660" t="s">
        <v>6380</v>
      </c>
      <c r="C2660" t="s">
        <v>6381</v>
      </c>
      <c r="E2660" t="s">
        <v>39</v>
      </c>
      <c r="F2660">
        <v>0</v>
      </c>
      <c r="G2660">
        <v>0</v>
      </c>
      <c r="H2660">
        <v>2</v>
      </c>
      <c r="I2660" s="3">
        <v>502.29</v>
      </c>
      <c r="J2660" s="3">
        <v>104.78</v>
      </c>
      <c r="L2660">
        <v>435</v>
      </c>
      <c r="M2660" t="s">
        <v>1849</v>
      </c>
      <c r="N2660" t="s">
        <v>30</v>
      </c>
      <c r="O2660" t="s">
        <v>31</v>
      </c>
      <c r="P2660" t="str">
        <f>"15224"</f>
        <v>15224</v>
      </c>
    </row>
    <row r="2661" spans="1:16" x14ac:dyDescent="0.25">
      <c r="A2661" t="str">
        <f>"1080026M00201    00"</f>
        <v>1080026M00201    00</v>
      </c>
      <c r="B2661" t="s">
        <v>6382</v>
      </c>
      <c r="C2661" t="s">
        <v>6383</v>
      </c>
      <c r="D2661" t="s">
        <v>20</v>
      </c>
      <c r="E2661" t="s">
        <v>39</v>
      </c>
      <c r="F2661">
        <v>0</v>
      </c>
      <c r="G2661">
        <v>0</v>
      </c>
      <c r="H2661">
        <v>3</v>
      </c>
      <c r="I2661" s="3">
        <v>10259.08</v>
      </c>
      <c r="J2661" s="3">
        <v>671.85</v>
      </c>
      <c r="L2661">
        <v>314</v>
      </c>
      <c r="M2661" t="s">
        <v>6384</v>
      </c>
      <c r="N2661" t="s">
        <v>30</v>
      </c>
      <c r="O2661" t="s">
        <v>31</v>
      </c>
      <c r="P2661" t="str">
        <f>"15236"</f>
        <v>15236</v>
      </c>
    </row>
    <row r="2662" spans="1:16" x14ac:dyDescent="0.25">
      <c r="A2662" t="str">
        <f>"1080026M00225    00"</f>
        <v>1080026M00225    00</v>
      </c>
      <c r="B2662" t="s">
        <v>6385</v>
      </c>
      <c r="C2662" t="s">
        <v>6386</v>
      </c>
      <c r="E2662" t="s">
        <v>39</v>
      </c>
      <c r="F2662">
        <v>0</v>
      </c>
      <c r="G2662">
        <v>0</v>
      </c>
      <c r="H2662">
        <v>2</v>
      </c>
      <c r="I2662" s="3">
        <v>2954.32</v>
      </c>
      <c r="J2662" s="3">
        <v>36.93</v>
      </c>
      <c r="K2662" t="s">
        <v>5396</v>
      </c>
      <c r="L2662">
        <v>3001</v>
      </c>
      <c r="M2662" t="s">
        <v>330</v>
      </c>
      <c r="N2662" t="s">
        <v>331</v>
      </c>
      <c r="O2662" t="s">
        <v>108</v>
      </c>
      <c r="P2662" t="str">
        <f>"75063"</f>
        <v>75063</v>
      </c>
    </row>
    <row r="2663" spans="1:16" x14ac:dyDescent="0.25">
      <c r="A2663" t="str">
        <f>"1080026M00255    00"</f>
        <v>1080026M00255    00</v>
      </c>
      <c r="B2663" t="s">
        <v>6387</v>
      </c>
      <c r="C2663" t="s">
        <v>6388</v>
      </c>
      <c r="D2663" t="s">
        <v>20</v>
      </c>
      <c r="E2663" t="s">
        <v>39</v>
      </c>
      <c r="F2663">
        <v>0</v>
      </c>
      <c r="G2663">
        <v>0</v>
      </c>
      <c r="H2663">
        <v>1</v>
      </c>
      <c r="I2663" s="3">
        <v>3684.31</v>
      </c>
      <c r="J2663" s="3">
        <v>0</v>
      </c>
      <c r="L2663">
        <v>21</v>
      </c>
      <c r="M2663" t="s">
        <v>6389</v>
      </c>
      <c r="N2663" t="s">
        <v>6390</v>
      </c>
      <c r="O2663" t="s">
        <v>200</v>
      </c>
      <c r="P2663" t="str">
        <f>"14534"</f>
        <v>14534</v>
      </c>
    </row>
    <row r="2664" spans="1:16" x14ac:dyDescent="0.25">
      <c r="A2664" t="str">
        <f>"1080049S00324A   00"</f>
        <v>1080049S00324A   00</v>
      </c>
      <c r="B2664" t="s">
        <v>5020</v>
      </c>
      <c r="C2664" t="s">
        <v>6391</v>
      </c>
      <c r="D2664" t="s">
        <v>20</v>
      </c>
      <c r="E2664" t="s">
        <v>39</v>
      </c>
      <c r="F2664">
        <v>0</v>
      </c>
      <c r="G2664">
        <v>0</v>
      </c>
      <c r="H2664">
        <v>2</v>
      </c>
      <c r="I2664" s="3">
        <v>1711.24</v>
      </c>
      <c r="J2664" s="3">
        <v>0</v>
      </c>
      <c r="K2664" t="s">
        <v>1722</v>
      </c>
      <c r="M2664" t="s">
        <v>1723</v>
      </c>
      <c r="N2664" t="s">
        <v>410</v>
      </c>
      <c r="O2664" t="s">
        <v>31</v>
      </c>
      <c r="P2664" t="str">
        <f>"15701"</f>
        <v>15701</v>
      </c>
    </row>
    <row r="2665" spans="1:16" x14ac:dyDescent="0.25">
      <c r="A2665" t="str">
        <f>"1080049S00324B   00"</f>
        <v>1080049S00324B   00</v>
      </c>
      <c r="B2665" t="s">
        <v>5020</v>
      </c>
      <c r="C2665" t="s">
        <v>6392</v>
      </c>
      <c r="D2665" t="s">
        <v>20</v>
      </c>
      <c r="E2665" t="s">
        <v>21</v>
      </c>
      <c r="F2665">
        <v>0</v>
      </c>
      <c r="G2665">
        <v>0</v>
      </c>
      <c r="H2665">
        <v>2</v>
      </c>
      <c r="I2665" s="3">
        <v>1811.55</v>
      </c>
      <c r="J2665" s="3">
        <v>0</v>
      </c>
      <c r="K2665" t="s">
        <v>1722</v>
      </c>
      <c r="M2665" t="s">
        <v>1723</v>
      </c>
      <c r="N2665" t="s">
        <v>410</v>
      </c>
      <c r="O2665" t="s">
        <v>31</v>
      </c>
      <c r="P2665" t="str">
        <f>"15701"</f>
        <v>15701</v>
      </c>
    </row>
    <row r="2666" spans="1:16" x14ac:dyDescent="0.25">
      <c r="A2666" t="str">
        <f>"1080049S00350F   00"</f>
        <v>1080049S00350F   00</v>
      </c>
      <c r="B2666" t="s">
        <v>6393</v>
      </c>
      <c r="C2666" t="s">
        <v>6394</v>
      </c>
      <c r="E2666" t="s">
        <v>39</v>
      </c>
      <c r="F2666">
        <v>0</v>
      </c>
      <c r="G2666">
        <v>0</v>
      </c>
      <c r="H2666">
        <v>1</v>
      </c>
      <c r="I2666" s="3">
        <v>371.81</v>
      </c>
      <c r="J2666" s="3">
        <v>0</v>
      </c>
      <c r="K2666" t="s">
        <v>6395</v>
      </c>
      <c r="L2666">
        <v>247</v>
      </c>
      <c r="M2666" t="s">
        <v>6396</v>
      </c>
      <c r="N2666" t="s">
        <v>30</v>
      </c>
      <c r="O2666" t="s">
        <v>31</v>
      </c>
      <c r="P2666" t="str">
        <f>"15224"</f>
        <v>15224</v>
      </c>
    </row>
    <row r="2667" spans="1:16" x14ac:dyDescent="0.25">
      <c r="A2667" t="str">
        <f>"1080050J00080    00"</f>
        <v>1080050J00080    00</v>
      </c>
      <c r="B2667" t="s">
        <v>823</v>
      </c>
      <c r="C2667" t="s">
        <v>6397</v>
      </c>
      <c r="D2667" t="s">
        <v>20</v>
      </c>
      <c r="E2667" t="s">
        <v>21</v>
      </c>
      <c r="F2667">
        <v>0</v>
      </c>
      <c r="G2667">
        <v>0</v>
      </c>
      <c r="H2667">
        <v>3</v>
      </c>
      <c r="I2667" s="3">
        <v>6232.68</v>
      </c>
      <c r="J2667" s="3">
        <v>17.309999999999999</v>
      </c>
      <c r="L2667">
        <v>703</v>
      </c>
      <c r="M2667" t="s">
        <v>825</v>
      </c>
      <c r="N2667" t="s">
        <v>826</v>
      </c>
      <c r="O2667" t="s">
        <v>31</v>
      </c>
      <c r="P2667" t="str">
        <f>"15601"</f>
        <v>15601</v>
      </c>
    </row>
    <row r="2668" spans="1:16" x14ac:dyDescent="0.25">
      <c r="A2668" t="str">
        <f>"1080050J00119    00"</f>
        <v>1080050J00119    00</v>
      </c>
      <c r="B2668" t="s">
        <v>6398</v>
      </c>
      <c r="C2668" t="s">
        <v>6399</v>
      </c>
      <c r="D2668" t="s">
        <v>20</v>
      </c>
      <c r="E2668" t="s">
        <v>39</v>
      </c>
      <c r="F2668">
        <v>0</v>
      </c>
      <c r="G2668">
        <v>0</v>
      </c>
      <c r="H2668">
        <v>1</v>
      </c>
      <c r="I2668" s="3">
        <v>1801.18</v>
      </c>
      <c r="J2668" s="3">
        <v>0</v>
      </c>
      <c r="L2668">
        <v>4729</v>
      </c>
      <c r="M2668" t="s">
        <v>614</v>
      </c>
      <c r="N2668" t="s">
        <v>30</v>
      </c>
      <c r="O2668" t="s">
        <v>31</v>
      </c>
      <c r="P2668" t="str">
        <f>"15224"</f>
        <v>15224</v>
      </c>
    </row>
    <row r="2669" spans="1:16" x14ac:dyDescent="0.25">
      <c r="A2669" t="str">
        <f>"1080050J00167    00"</f>
        <v>1080050J00167    00</v>
      </c>
      <c r="B2669" t="s">
        <v>6400</v>
      </c>
      <c r="C2669" t="s">
        <v>6401</v>
      </c>
      <c r="E2669" t="s">
        <v>39</v>
      </c>
      <c r="F2669">
        <v>0</v>
      </c>
      <c r="G2669">
        <v>0</v>
      </c>
      <c r="H2669">
        <v>2</v>
      </c>
      <c r="I2669" s="3">
        <v>4725.43</v>
      </c>
      <c r="J2669" s="3">
        <v>38.549999999999997</v>
      </c>
      <c r="K2669" t="s">
        <v>6402</v>
      </c>
      <c r="L2669">
        <v>4707</v>
      </c>
      <c r="M2669" t="s">
        <v>6403</v>
      </c>
      <c r="N2669" t="s">
        <v>30</v>
      </c>
      <c r="O2669" t="s">
        <v>31</v>
      </c>
      <c r="P2669" t="str">
        <f>"15224"</f>
        <v>15224</v>
      </c>
    </row>
    <row r="2670" spans="1:16" x14ac:dyDescent="0.25">
      <c r="A2670" t="str">
        <f>"1080050J00174    00"</f>
        <v>1080050J00174    00</v>
      </c>
      <c r="B2670" t="s">
        <v>6404</v>
      </c>
      <c r="C2670" t="s">
        <v>6405</v>
      </c>
      <c r="D2670" t="s">
        <v>20</v>
      </c>
      <c r="E2670" t="s">
        <v>39</v>
      </c>
      <c r="F2670">
        <v>0</v>
      </c>
      <c r="G2670">
        <v>0</v>
      </c>
      <c r="H2670">
        <v>4</v>
      </c>
      <c r="I2670" s="3">
        <v>5444.65</v>
      </c>
      <c r="J2670" s="3">
        <v>379.87</v>
      </c>
      <c r="K2670" t="s">
        <v>6406</v>
      </c>
      <c r="L2670">
        <v>3015</v>
      </c>
      <c r="M2670" t="s">
        <v>6407</v>
      </c>
      <c r="N2670" t="s">
        <v>30</v>
      </c>
      <c r="O2670" t="s">
        <v>31</v>
      </c>
      <c r="P2670" t="str">
        <f>"15203"</f>
        <v>15203</v>
      </c>
    </row>
    <row r="2671" spans="1:16" x14ac:dyDescent="0.25">
      <c r="A2671" t="str">
        <f>"1080050N00068    00"</f>
        <v>1080050N00068    00</v>
      </c>
      <c r="B2671" t="s">
        <v>6408</v>
      </c>
      <c r="C2671" t="s">
        <v>6409</v>
      </c>
      <c r="E2671" t="s">
        <v>39</v>
      </c>
      <c r="F2671">
        <v>0</v>
      </c>
      <c r="G2671">
        <v>0</v>
      </c>
      <c r="H2671">
        <v>1</v>
      </c>
      <c r="I2671" s="3">
        <v>654.9</v>
      </c>
      <c r="J2671" s="3">
        <v>180.1</v>
      </c>
      <c r="L2671">
        <v>215</v>
      </c>
      <c r="M2671" t="s">
        <v>6269</v>
      </c>
      <c r="N2671" t="s">
        <v>30</v>
      </c>
      <c r="O2671" t="s">
        <v>31</v>
      </c>
      <c r="P2671" t="str">
        <f>"15224"</f>
        <v>15224</v>
      </c>
    </row>
    <row r="2672" spans="1:16" x14ac:dyDescent="0.25">
      <c r="A2672" t="str">
        <f>"1080050N00072    00"</f>
        <v>1080050N00072    00</v>
      </c>
      <c r="B2672" t="s">
        <v>6410</v>
      </c>
      <c r="C2672" t="s">
        <v>6411</v>
      </c>
      <c r="E2672" t="s">
        <v>39</v>
      </c>
      <c r="F2672">
        <v>0</v>
      </c>
      <c r="G2672">
        <v>0</v>
      </c>
      <c r="H2672">
        <v>2</v>
      </c>
      <c r="I2672" s="3">
        <v>2283.2399999999998</v>
      </c>
      <c r="J2672" s="3">
        <v>71.260000000000005</v>
      </c>
      <c r="L2672">
        <v>2335</v>
      </c>
      <c r="M2672" t="s">
        <v>6412</v>
      </c>
      <c r="N2672" t="s">
        <v>30</v>
      </c>
      <c r="O2672" t="s">
        <v>31</v>
      </c>
      <c r="P2672" t="str">
        <f>"15241"</f>
        <v>15241</v>
      </c>
    </row>
    <row r="2673" spans="1:16" x14ac:dyDescent="0.25">
      <c r="A2673" t="str">
        <f>"1080050N00098    00"</f>
        <v>1080050N00098    00</v>
      </c>
      <c r="B2673" t="s">
        <v>6413</v>
      </c>
      <c r="C2673" t="s">
        <v>6414</v>
      </c>
      <c r="E2673" t="s">
        <v>39</v>
      </c>
      <c r="F2673">
        <v>0</v>
      </c>
      <c r="G2673">
        <v>0</v>
      </c>
      <c r="H2673">
        <v>1</v>
      </c>
      <c r="I2673" s="3">
        <v>2180.63</v>
      </c>
      <c r="J2673" s="3">
        <v>436.11</v>
      </c>
      <c r="L2673">
        <v>161</v>
      </c>
      <c r="M2673" t="s">
        <v>6269</v>
      </c>
      <c r="N2673" t="s">
        <v>30</v>
      </c>
      <c r="O2673" t="s">
        <v>31</v>
      </c>
      <c r="P2673" t="str">
        <f>"15224"</f>
        <v>15224</v>
      </c>
    </row>
    <row r="2674" spans="1:16" x14ac:dyDescent="0.25">
      <c r="A2674" t="str">
        <f>"1080050N00115    00"</f>
        <v>1080050N00115    00</v>
      </c>
      <c r="B2674" t="s">
        <v>6415</v>
      </c>
      <c r="C2674" t="s">
        <v>6416</v>
      </c>
      <c r="E2674" t="s">
        <v>39</v>
      </c>
      <c r="F2674">
        <v>0</v>
      </c>
      <c r="G2674">
        <v>0</v>
      </c>
      <c r="H2674">
        <v>2</v>
      </c>
      <c r="I2674" s="3">
        <v>6183.06</v>
      </c>
      <c r="J2674" s="3">
        <v>206.09</v>
      </c>
      <c r="K2674" t="s">
        <v>710</v>
      </c>
      <c r="L2674">
        <v>4140</v>
      </c>
      <c r="M2674" t="s">
        <v>711</v>
      </c>
      <c r="N2674" t="s">
        <v>712</v>
      </c>
      <c r="O2674" t="s">
        <v>31</v>
      </c>
      <c r="P2674" t="str">
        <f>"16148"</f>
        <v>16148</v>
      </c>
    </row>
    <row r="2675" spans="1:16" x14ac:dyDescent="0.25">
      <c r="A2675" t="str">
        <f>"1080050N00117    00"</f>
        <v>1080050N00117    00</v>
      </c>
      <c r="B2675" t="s">
        <v>6417</v>
      </c>
      <c r="C2675" t="s">
        <v>6418</v>
      </c>
      <c r="D2675" t="s">
        <v>20</v>
      </c>
      <c r="E2675" t="s">
        <v>39</v>
      </c>
      <c r="F2675">
        <v>0</v>
      </c>
      <c r="G2675">
        <v>0</v>
      </c>
      <c r="H2675">
        <v>4</v>
      </c>
      <c r="I2675" s="3">
        <v>3237.17</v>
      </c>
      <c r="J2675" s="3">
        <v>402.43</v>
      </c>
      <c r="K2675" t="s">
        <v>6419</v>
      </c>
      <c r="L2675">
        <v>4710</v>
      </c>
      <c r="M2675" t="s">
        <v>6403</v>
      </c>
      <c r="N2675" t="s">
        <v>30</v>
      </c>
      <c r="O2675" t="s">
        <v>31</v>
      </c>
      <c r="P2675" t="str">
        <f>"15224"</f>
        <v>15224</v>
      </c>
    </row>
    <row r="2676" spans="1:16" x14ac:dyDescent="0.25">
      <c r="A2676" t="str">
        <f>"1080050N00118B   00"</f>
        <v>1080050N00118B   00</v>
      </c>
      <c r="B2676" t="s">
        <v>6420</v>
      </c>
      <c r="C2676" t="s">
        <v>6421</v>
      </c>
      <c r="D2676" t="s">
        <v>20</v>
      </c>
      <c r="E2676" t="s">
        <v>39</v>
      </c>
      <c r="F2676">
        <v>0</v>
      </c>
      <c r="G2676">
        <v>0</v>
      </c>
      <c r="H2676">
        <v>1</v>
      </c>
      <c r="I2676" s="3">
        <v>213.95</v>
      </c>
      <c r="J2676" s="3">
        <v>0</v>
      </c>
      <c r="K2676" t="s">
        <v>6422</v>
      </c>
      <c r="M2676" t="s">
        <v>6423</v>
      </c>
      <c r="N2676" t="s">
        <v>6424</v>
      </c>
      <c r="O2676" t="s">
        <v>3486</v>
      </c>
      <c r="P2676" t="str">
        <f>"60009"</f>
        <v>60009</v>
      </c>
    </row>
    <row r="2677" spans="1:16" x14ac:dyDescent="0.25">
      <c r="A2677" t="str">
        <f>"1080050N00128    00"</f>
        <v>1080050N00128    00</v>
      </c>
      <c r="B2677" t="s">
        <v>6425</v>
      </c>
      <c r="C2677" t="s">
        <v>6426</v>
      </c>
      <c r="E2677" t="s">
        <v>39</v>
      </c>
      <c r="F2677">
        <v>0</v>
      </c>
      <c r="G2677">
        <v>0</v>
      </c>
      <c r="H2677">
        <v>1</v>
      </c>
      <c r="I2677" s="3">
        <v>858.98</v>
      </c>
      <c r="J2677" s="3">
        <v>0</v>
      </c>
      <c r="K2677" t="s">
        <v>6427</v>
      </c>
      <c r="L2677">
        <v>900</v>
      </c>
      <c r="M2677" t="s">
        <v>6428</v>
      </c>
      <c r="N2677" t="s">
        <v>238</v>
      </c>
      <c r="O2677" t="s">
        <v>31</v>
      </c>
      <c r="P2677" t="str">
        <f>"15135"</f>
        <v>15135</v>
      </c>
    </row>
    <row r="2678" spans="1:16" x14ac:dyDescent="0.25">
      <c r="A2678" t="str">
        <f>"1080050N00135    00"</f>
        <v>1080050N00135    00</v>
      </c>
      <c r="B2678" t="s">
        <v>6429</v>
      </c>
      <c r="C2678" t="s">
        <v>6430</v>
      </c>
      <c r="D2678" t="s">
        <v>20</v>
      </c>
      <c r="E2678" t="s">
        <v>39</v>
      </c>
      <c r="F2678">
        <v>0</v>
      </c>
      <c r="G2678">
        <v>0</v>
      </c>
      <c r="H2678">
        <v>10</v>
      </c>
      <c r="I2678" s="3">
        <v>6232.88</v>
      </c>
      <c r="J2678" s="3">
        <v>2668.78</v>
      </c>
      <c r="L2678">
        <v>161</v>
      </c>
      <c r="M2678" t="s">
        <v>6269</v>
      </c>
      <c r="N2678" t="s">
        <v>30</v>
      </c>
      <c r="O2678" t="s">
        <v>31</v>
      </c>
      <c r="P2678" t="str">
        <f>"15224"</f>
        <v>15224</v>
      </c>
    </row>
    <row r="2679" spans="1:16" x14ac:dyDescent="0.25">
      <c r="A2679" t="str">
        <f>"1080050N00220    00"</f>
        <v>1080050N00220    00</v>
      </c>
      <c r="B2679" t="s">
        <v>6431</v>
      </c>
      <c r="C2679" t="s">
        <v>6432</v>
      </c>
      <c r="D2679" t="s">
        <v>20</v>
      </c>
      <c r="E2679" t="s">
        <v>39</v>
      </c>
      <c r="F2679">
        <v>0</v>
      </c>
      <c r="G2679">
        <v>0</v>
      </c>
      <c r="H2679">
        <v>2</v>
      </c>
      <c r="I2679" s="3">
        <v>3553.78</v>
      </c>
      <c r="J2679" s="3">
        <v>0</v>
      </c>
      <c r="L2679">
        <v>220</v>
      </c>
      <c r="M2679" t="s">
        <v>6433</v>
      </c>
      <c r="N2679" t="s">
        <v>30</v>
      </c>
      <c r="O2679" t="s">
        <v>31</v>
      </c>
      <c r="P2679" t="str">
        <f>"15224"</f>
        <v>15224</v>
      </c>
    </row>
    <row r="2680" spans="1:16" x14ac:dyDescent="0.25">
      <c r="A2680" t="str">
        <f>"1080050N00222    00"</f>
        <v>1080050N00222    00</v>
      </c>
      <c r="B2680" t="s">
        <v>6434</v>
      </c>
      <c r="C2680" t="s">
        <v>6435</v>
      </c>
      <c r="E2680" t="s">
        <v>39</v>
      </c>
      <c r="F2680">
        <v>0</v>
      </c>
      <c r="G2680">
        <v>0</v>
      </c>
      <c r="H2680">
        <v>2</v>
      </c>
      <c r="I2680" s="3">
        <v>2258.5500000000002</v>
      </c>
      <c r="J2680" s="3">
        <v>160.47</v>
      </c>
      <c r="K2680" t="s">
        <v>400</v>
      </c>
      <c r="L2680">
        <v>1</v>
      </c>
      <c r="M2680" t="s">
        <v>6436</v>
      </c>
      <c r="N2680" t="s">
        <v>30</v>
      </c>
      <c r="O2680" t="s">
        <v>31</v>
      </c>
      <c r="P2680" t="str">
        <f>"15214"</f>
        <v>15214</v>
      </c>
    </row>
    <row r="2681" spans="1:16" x14ac:dyDescent="0.25">
      <c r="A2681" t="str">
        <f>"1080050N00226    00"</f>
        <v>1080050N00226    00</v>
      </c>
      <c r="B2681" t="s">
        <v>6437</v>
      </c>
      <c r="C2681" t="s">
        <v>6438</v>
      </c>
      <c r="D2681" t="s">
        <v>57</v>
      </c>
      <c r="E2681" t="s">
        <v>39</v>
      </c>
      <c r="F2681">
        <v>0</v>
      </c>
      <c r="G2681">
        <v>0</v>
      </c>
      <c r="H2681">
        <v>1</v>
      </c>
      <c r="I2681" s="3">
        <v>2157.59</v>
      </c>
      <c r="J2681" s="3">
        <v>603.34</v>
      </c>
      <c r="K2681" t="s">
        <v>5355</v>
      </c>
      <c r="L2681">
        <v>3001</v>
      </c>
      <c r="M2681" t="s">
        <v>404</v>
      </c>
      <c r="N2681" t="s">
        <v>331</v>
      </c>
      <c r="O2681" t="s">
        <v>108</v>
      </c>
      <c r="P2681" t="str">
        <f>"75063"</f>
        <v>75063</v>
      </c>
    </row>
    <row r="2682" spans="1:16" x14ac:dyDescent="0.25">
      <c r="A2682" t="str">
        <f>"1080050N00230    00"</f>
        <v>1080050N00230    00</v>
      </c>
      <c r="B2682" t="s">
        <v>6439</v>
      </c>
      <c r="C2682" t="s">
        <v>6440</v>
      </c>
      <c r="D2682" t="s">
        <v>20</v>
      </c>
      <c r="E2682" t="s">
        <v>39</v>
      </c>
      <c r="F2682">
        <v>0</v>
      </c>
      <c r="G2682">
        <v>0</v>
      </c>
      <c r="H2682">
        <v>1</v>
      </c>
      <c r="I2682" s="3">
        <v>2910.47</v>
      </c>
      <c r="J2682" s="3">
        <v>0</v>
      </c>
      <c r="L2682">
        <v>2465</v>
      </c>
      <c r="M2682" t="s">
        <v>2966</v>
      </c>
      <c r="N2682" t="s">
        <v>30</v>
      </c>
      <c r="O2682" t="s">
        <v>31</v>
      </c>
      <c r="P2682" t="str">
        <f>"15226"</f>
        <v>15226</v>
      </c>
    </row>
    <row r="2683" spans="1:16" x14ac:dyDescent="0.25">
      <c r="A2683" t="str">
        <f>"1080050N00234    00"</f>
        <v>1080050N00234    00</v>
      </c>
      <c r="B2683" t="s">
        <v>6441</v>
      </c>
      <c r="C2683" t="s">
        <v>6442</v>
      </c>
      <c r="D2683" t="s">
        <v>20</v>
      </c>
      <c r="E2683" t="s">
        <v>39</v>
      </c>
      <c r="F2683">
        <v>0</v>
      </c>
      <c r="G2683">
        <v>0</v>
      </c>
      <c r="H2683">
        <v>4</v>
      </c>
      <c r="I2683" s="3">
        <v>8695.09</v>
      </c>
      <c r="J2683" s="3">
        <v>413.28</v>
      </c>
      <c r="K2683" t="s">
        <v>400</v>
      </c>
      <c r="L2683">
        <v>3001</v>
      </c>
      <c r="M2683" t="s">
        <v>330</v>
      </c>
      <c r="N2683" t="s">
        <v>331</v>
      </c>
      <c r="O2683" t="s">
        <v>108</v>
      </c>
      <c r="P2683" t="str">
        <f>"75063"</f>
        <v>75063</v>
      </c>
    </row>
    <row r="2684" spans="1:16" x14ac:dyDescent="0.25">
      <c r="A2684" t="str">
        <f>"1080050N00240    00"</f>
        <v>1080050N00240    00</v>
      </c>
      <c r="B2684" t="s">
        <v>6443</v>
      </c>
      <c r="C2684" t="s">
        <v>6444</v>
      </c>
      <c r="E2684" t="s">
        <v>21</v>
      </c>
      <c r="F2684">
        <v>0</v>
      </c>
      <c r="G2684">
        <v>0</v>
      </c>
      <c r="H2684">
        <v>1</v>
      </c>
      <c r="I2684" s="3">
        <v>7042.78</v>
      </c>
      <c r="J2684" s="3">
        <v>0</v>
      </c>
      <c r="K2684" t="s">
        <v>6445</v>
      </c>
      <c r="L2684">
        <v>413</v>
      </c>
      <c r="M2684" t="s">
        <v>1481</v>
      </c>
      <c r="N2684" t="s">
        <v>30</v>
      </c>
      <c r="O2684" t="s">
        <v>31</v>
      </c>
      <c r="P2684" t="str">
        <f>"15213"</f>
        <v>15213</v>
      </c>
    </row>
    <row r="2685" spans="1:16" x14ac:dyDescent="0.25">
      <c r="A2685" t="str">
        <f>"1080050N00248    00"</f>
        <v>1080050N00248    00</v>
      </c>
      <c r="B2685" t="s">
        <v>6446</v>
      </c>
      <c r="C2685" t="s">
        <v>6447</v>
      </c>
      <c r="E2685" t="s">
        <v>39</v>
      </c>
      <c r="F2685">
        <v>0</v>
      </c>
      <c r="G2685">
        <v>0</v>
      </c>
      <c r="H2685">
        <v>2</v>
      </c>
      <c r="I2685" s="3">
        <v>75.86</v>
      </c>
      <c r="J2685" s="3">
        <v>0.94</v>
      </c>
      <c r="K2685" t="s">
        <v>6448</v>
      </c>
      <c r="L2685">
        <v>245</v>
      </c>
      <c r="M2685" t="s">
        <v>6433</v>
      </c>
      <c r="N2685" t="s">
        <v>30</v>
      </c>
      <c r="O2685" t="s">
        <v>31</v>
      </c>
      <c r="P2685" t="str">
        <f>"15224"</f>
        <v>15224</v>
      </c>
    </row>
    <row r="2686" spans="1:16" x14ac:dyDescent="0.25">
      <c r="A2686" t="str">
        <f>"1080050N00320    00"</f>
        <v>1080050N00320    00</v>
      </c>
      <c r="B2686" t="s">
        <v>6449</v>
      </c>
      <c r="C2686" t="s">
        <v>6450</v>
      </c>
      <c r="D2686" t="s">
        <v>20</v>
      </c>
      <c r="E2686" t="s">
        <v>39</v>
      </c>
      <c r="F2686">
        <v>0</v>
      </c>
      <c r="G2686">
        <v>0</v>
      </c>
      <c r="H2686">
        <v>3</v>
      </c>
      <c r="I2686" s="3">
        <v>8313.9599999999991</v>
      </c>
      <c r="J2686" s="3">
        <v>184.74</v>
      </c>
      <c r="K2686" t="s">
        <v>4933</v>
      </c>
      <c r="L2686">
        <v>3001</v>
      </c>
      <c r="M2686" t="s">
        <v>330</v>
      </c>
      <c r="N2686" t="s">
        <v>331</v>
      </c>
      <c r="O2686" t="s">
        <v>108</v>
      </c>
      <c r="P2686" t="str">
        <f>"75063"</f>
        <v>75063</v>
      </c>
    </row>
    <row r="2687" spans="1:16" x14ac:dyDescent="0.25">
      <c r="A2687" t="str">
        <f>"1080050N00321    00"</f>
        <v>1080050N00321    00</v>
      </c>
      <c r="B2687" t="s">
        <v>6451</v>
      </c>
      <c r="C2687" t="s">
        <v>6452</v>
      </c>
      <c r="D2687" t="s">
        <v>20</v>
      </c>
      <c r="E2687" t="s">
        <v>39</v>
      </c>
      <c r="F2687">
        <v>0</v>
      </c>
      <c r="G2687">
        <v>0</v>
      </c>
      <c r="H2687">
        <v>3</v>
      </c>
      <c r="I2687" s="3">
        <v>8599.86</v>
      </c>
      <c r="J2687" s="3">
        <v>191.1</v>
      </c>
      <c r="K2687" t="s">
        <v>756</v>
      </c>
      <c r="L2687">
        <v>3001</v>
      </c>
      <c r="M2687" t="s">
        <v>330</v>
      </c>
      <c r="N2687" t="s">
        <v>331</v>
      </c>
      <c r="O2687" t="s">
        <v>108</v>
      </c>
      <c r="P2687" t="str">
        <f>"75063"</f>
        <v>75063</v>
      </c>
    </row>
    <row r="2688" spans="1:16" x14ac:dyDescent="0.25">
      <c r="A2688" t="str">
        <f>"1080050N00322    00"</f>
        <v>1080050N00322    00</v>
      </c>
      <c r="B2688" t="s">
        <v>6453</v>
      </c>
      <c r="C2688" t="s">
        <v>6454</v>
      </c>
      <c r="D2688" t="s">
        <v>20</v>
      </c>
      <c r="E2688" t="s">
        <v>39</v>
      </c>
      <c r="F2688">
        <v>0</v>
      </c>
      <c r="G2688">
        <v>0</v>
      </c>
      <c r="H2688">
        <v>1</v>
      </c>
      <c r="I2688" s="3">
        <v>1986.52</v>
      </c>
      <c r="J2688" s="3">
        <v>0</v>
      </c>
      <c r="K2688" t="s">
        <v>6303</v>
      </c>
      <c r="L2688">
        <v>8050</v>
      </c>
      <c r="M2688" t="s">
        <v>6304</v>
      </c>
      <c r="N2688" t="s">
        <v>2008</v>
      </c>
      <c r="O2688" t="s">
        <v>31</v>
      </c>
      <c r="P2688" t="str">
        <f>"16066"</f>
        <v>16066</v>
      </c>
    </row>
    <row r="2689" spans="1:16" x14ac:dyDescent="0.25">
      <c r="A2689" t="str">
        <f>"1080050N00326    00"</f>
        <v>1080050N00326    00</v>
      </c>
      <c r="B2689" t="s">
        <v>6455</v>
      </c>
      <c r="C2689" t="s">
        <v>6456</v>
      </c>
      <c r="E2689" t="s">
        <v>39</v>
      </c>
      <c r="F2689">
        <v>0</v>
      </c>
      <c r="G2689">
        <v>0</v>
      </c>
      <c r="H2689">
        <v>2</v>
      </c>
      <c r="I2689" s="3">
        <v>10742.22</v>
      </c>
      <c r="J2689" s="3">
        <v>447.57</v>
      </c>
      <c r="K2689" t="s">
        <v>400</v>
      </c>
      <c r="L2689">
        <v>3001</v>
      </c>
      <c r="M2689" t="s">
        <v>330</v>
      </c>
      <c r="N2689" t="s">
        <v>331</v>
      </c>
      <c r="O2689" t="s">
        <v>108</v>
      </c>
      <c r="P2689" t="str">
        <f>"75063"</f>
        <v>75063</v>
      </c>
    </row>
    <row r="2690" spans="1:16" x14ac:dyDescent="0.25">
      <c r="A2690" t="str">
        <f>"1080050N00328    00"</f>
        <v>1080050N00328    00</v>
      </c>
      <c r="B2690" t="s">
        <v>6457</v>
      </c>
      <c r="C2690" t="s">
        <v>6458</v>
      </c>
      <c r="E2690" t="s">
        <v>39</v>
      </c>
      <c r="F2690">
        <v>0</v>
      </c>
      <c r="G2690">
        <v>0</v>
      </c>
      <c r="H2690">
        <v>2</v>
      </c>
      <c r="I2690" s="3">
        <v>2884.27</v>
      </c>
      <c r="J2690" s="3">
        <v>301.85000000000002</v>
      </c>
      <c r="K2690" t="s">
        <v>391</v>
      </c>
      <c r="L2690">
        <v>1</v>
      </c>
      <c r="M2690" t="s">
        <v>392</v>
      </c>
      <c r="N2690" t="s">
        <v>393</v>
      </c>
      <c r="O2690" t="s">
        <v>394</v>
      </c>
      <c r="P2690" t="str">
        <f>"50328"</f>
        <v>50328</v>
      </c>
    </row>
    <row r="2691" spans="1:16" x14ac:dyDescent="0.25">
      <c r="A2691" t="str">
        <f>"1080050N00333030100"</f>
        <v>1080050N00333030100</v>
      </c>
      <c r="B2691" t="s">
        <v>6459</v>
      </c>
      <c r="C2691" t="s">
        <v>6460</v>
      </c>
      <c r="D2691" t="s">
        <v>20</v>
      </c>
      <c r="E2691" t="s">
        <v>39</v>
      </c>
      <c r="F2691">
        <v>0</v>
      </c>
      <c r="G2691">
        <v>0</v>
      </c>
      <c r="H2691">
        <v>2</v>
      </c>
      <c r="I2691" s="3">
        <v>3841.69</v>
      </c>
      <c r="J2691" s="3">
        <v>0</v>
      </c>
      <c r="L2691">
        <v>200</v>
      </c>
      <c r="M2691" t="s">
        <v>6461</v>
      </c>
      <c r="N2691" t="s">
        <v>30</v>
      </c>
      <c r="O2691" t="s">
        <v>31</v>
      </c>
      <c r="P2691" t="str">
        <f>"15224"</f>
        <v>15224</v>
      </c>
    </row>
    <row r="2692" spans="1:16" x14ac:dyDescent="0.25">
      <c r="A2692" t="str">
        <f>"1080050N00336    00"</f>
        <v>1080050N00336    00</v>
      </c>
      <c r="B2692" t="s">
        <v>6443</v>
      </c>
      <c r="C2692" t="s">
        <v>6462</v>
      </c>
      <c r="E2692" t="s">
        <v>21</v>
      </c>
      <c r="F2692">
        <v>0</v>
      </c>
      <c r="G2692">
        <v>0</v>
      </c>
      <c r="H2692">
        <v>1</v>
      </c>
      <c r="I2692" s="3">
        <v>4624.8</v>
      </c>
      <c r="J2692" s="3">
        <v>0</v>
      </c>
      <c r="K2692" t="s">
        <v>6445</v>
      </c>
      <c r="L2692">
        <v>413</v>
      </c>
      <c r="M2692" t="s">
        <v>1481</v>
      </c>
      <c r="N2692" t="s">
        <v>30</v>
      </c>
      <c r="O2692" t="s">
        <v>31</v>
      </c>
      <c r="P2692" t="str">
        <f>"15213"</f>
        <v>15213</v>
      </c>
    </row>
    <row r="2693" spans="1:16" x14ac:dyDescent="0.25">
      <c r="A2693" t="str">
        <f>"1080050P00007    00"</f>
        <v>1080050P00007    00</v>
      </c>
      <c r="B2693" t="s">
        <v>6463</v>
      </c>
      <c r="C2693" t="s">
        <v>6464</v>
      </c>
      <c r="D2693" t="s">
        <v>20</v>
      </c>
      <c r="E2693" t="s">
        <v>39</v>
      </c>
      <c r="F2693">
        <v>0</v>
      </c>
      <c r="G2693">
        <v>0</v>
      </c>
      <c r="H2693">
        <v>2</v>
      </c>
      <c r="I2693" s="3">
        <v>5050.92</v>
      </c>
      <c r="J2693" s="3">
        <v>0</v>
      </c>
      <c r="L2693">
        <v>233</v>
      </c>
      <c r="M2693" t="s">
        <v>6396</v>
      </c>
      <c r="N2693" t="s">
        <v>30</v>
      </c>
      <c r="O2693" t="s">
        <v>31</v>
      </c>
      <c r="P2693" t="str">
        <f>"15224"</f>
        <v>15224</v>
      </c>
    </row>
    <row r="2694" spans="1:16" x14ac:dyDescent="0.25">
      <c r="A2694" t="str">
        <f>"1080050P00056    00"</f>
        <v>1080050P00056    00</v>
      </c>
      <c r="B2694" t="s">
        <v>6465</v>
      </c>
      <c r="C2694" t="s">
        <v>6466</v>
      </c>
      <c r="D2694" t="s">
        <v>57</v>
      </c>
      <c r="E2694" t="s">
        <v>21</v>
      </c>
      <c r="F2694">
        <v>0</v>
      </c>
      <c r="G2694">
        <v>0</v>
      </c>
      <c r="H2694">
        <v>1</v>
      </c>
      <c r="I2694" s="3">
        <v>1858.91</v>
      </c>
      <c r="J2694" s="3">
        <v>0</v>
      </c>
      <c r="K2694" t="s">
        <v>6467</v>
      </c>
      <c r="M2694" t="s">
        <v>6468</v>
      </c>
      <c r="N2694" t="s">
        <v>30</v>
      </c>
      <c r="O2694" t="s">
        <v>31</v>
      </c>
      <c r="P2694" t="str">
        <f>"15224"</f>
        <v>15224</v>
      </c>
    </row>
    <row r="2695" spans="1:16" x14ac:dyDescent="0.25">
      <c r="A2695" t="str">
        <f>"1080050P00060    00"</f>
        <v>1080050P00060    00</v>
      </c>
      <c r="B2695" t="s">
        <v>6469</v>
      </c>
      <c r="C2695" t="s">
        <v>6470</v>
      </c>
      <c r="D2695" t="s">
        <v>20</v>
      </c>
      <c r="E2695" t="s">
        <v>21</v>
      </c>
      <c r="F2695">
        <v>0</v>
      </c>
      <c r="G2695">
        <v>0</v>
      </c>
      <c r="H2695">
        <v>1</v>
      </c>
      <c r="I2695" s="3">
        <v>5844.46</v>
      </c>
      <c r="J2695" s="3">
        <v>0</v>
      </c>
      <c r="L2695">
        <v>4735</v>
      </c>
      <c r="M2695" t="s">
        <v>841</v>
      </c>
      <c r="N2695" t="s">
        <v>30</v>
      </c>
      <c r="O2695" t="s">
        <v>31</v>
      </c>
      <c r="P2695" t="str">
        <f>"15201"</f>
        <v>15201</v>
      </c>
    </row>
    <row r="2696" spans="1:16" x14ac:dyDescent="0.25">
      <c r="A2696" t="str">
        <f>"1080050P00079    00"</f>
        <v>1080050P00079    00</v>
      </c>
      <c r="B2696" t="s">
        <v>6471</v>
      </c>
      <c r="C2696" t="s">
        <v>6472</v>
      </c>
      <c r="E2696" t="s">
        <v>39</v>
      </c>
      <c r="F2696">
        <v>0</v>
      </c>
      <c r="G2696">
        <v>0</v>
      </c>
      <c r="H2696">
        <v>2</v>
      </c>
      <c r="I2696" s="3">
        <v>2870.46</v>
      </c>
      <c r="J2696" s="3">
        <v>143.51</v>
      </c>
      <c r="K2696" t="s">
        <v>5692</v>
      </c>
      <c r="L2696">
        <v>3001</v>
      </c>
      <c r="M2696" t="s">
        <v>330</v>
      </c>
      <c r="N2696" t="s">
        <v>331</v>
      </c>
      <c r="O2696" t="s">
        <v>108</v>
      </c>
      <c r="P2696" t="str">
        <f>"75063"</f>
        <v>75063</v>
      </c>
    </row>
    <row r="2697" spans="1:16" x14ac:dyDescent="0.25">
      <c r="A2697" t="str">
        <f>"1080050P00116    00"</f>
        <v>1080050P00116    00</v>
      </c>
      <c r="B2697" t="s">
        <v>6473</v>
      </c>
      <c r="C2697" t="s">
        <v>6474</v>
      </c>
      <c r="E2697" t="s">
        <v>21</v>
      </c>
      <c r="F2697">
        <v>0</v>
      </c>
      <c r="G2697">
        <v>0</v>
      </c>
      <c r="H2697">
        <v>1</v>
      </c>
      <c r="I2697" s="3">
        <v>397.26</v>
      </c>
      <c r="J2697" s="3">
        <v>79.430000000000007</v>
      </c>
      <c r="K2697" t="s">
        <v>6475</v>
      </c>
      <c r="L2697">
        <v>103</v>
      </c>
      <c r="M2697" t="s">
        <v>6476</v>
      </c>
      <c r="N2697" t="s">
        <v>30</v>
      </c>
      <c r="O2697" t="s">
        <v>31</v>
      </c>
      <c r="P2697" t="str">
        <f>"15238"</f>
        <v>15238</v>
      </c>
    </row>
    <row r="2698" spans="1:16" x14ac:dyDescent="0.25">
      <c r="A2698" t="str">
        <f>"1080050P00126    00"</f>
        <v>1080050P00126    00</v>
      </c>
      <c r="B2698" t="s">
        <v>6477</v>
      </c>
      <c r="C2698" t="s">
        <v>6478</v>
      </c>
      <c r="D2698" t="s">
        <v>20</v>
      </c>
      <c r="E2698" t="s">
        <v>21</v>
      </c>
      <c r="F2698">
        <v>0</v>
      </c>
      <c r="G2698">
        <v>0</v>
      </c>
      <c r="H2698">
        <v>1</v>
      </c>
      <c r="I2698" s="3">
        <v>17657.18</v>
      </c>
      <c r="J2698" s="3">
        <v>0</v>
      </c>
      <c r="K2698" t="s">
        <v>6479</v>
      </c>
      <c r="L2698">
        <v>1546</v>
      </c>
      <c r="M2698" t="s">
        <v>6480</v>
      </c>
      <c r="N2698" t="s">
        <v>30</v>
      </c>
      <c r="O2698" t="s">
        <v>31</v>
      </c>
      <c r="P2698" t="str">
        <f>"15233"</f>
        <v>15233</v>
      </c>
    </row>
    <row r="2699" spans="1:16" x14ac:dyDescent="0.25">
      <c r="A2699" t="str">
        <f>"1080050P00142A   00"</f>
        <v>1080050P00142A   00</v>
      </c>
      <c r="B2699" t="s">
        <v>6481</v>
      </c>
      <c r="C2699" t="s">
        <v>6482</v>
      </c>
      <c r="D2699" t="s">
        <v>20</v>
      </c>
      <c r="E2699" t="s">
        <v>39</v>
      </c>
      <c r="F2699">
        <v>0</v>
      </c>
      <c r="G2699">
        <v>0</v>
      </c>
      <c r="H2699">
        <v>1</v>
      </c>
      <c r="I2699" s="3">
        <v>2047.04</v>
      </c>
      <c r="J2699" s="3">
        <v>0</v>
      </c>
      <c r="K2699" t="s">
        <v>6483</v>
      </c>
      <c r="L2699">
        <v>3001</v>
      </c>
      <c r="M2699" t="s">
        <v>330</v>
      </c>
      <c r="N2699" t="s">
        <v>331</v>
      </c>
      <c r="O2699" t="s">
        <v>108</v>
      </c>
      <c r="P2699" t="str">
        <f>"75063"</f>
        <v>75063</v>
      </c>
    </row>
    <row r="2700" spans="1:16" x14ac:dyDescent="0.25">
      <c r="A2700" t="str">
        <f>"1080050P00269    00"</f>
        <v>1080050P00269    00</v>
      </c>
      <c r="B2700" t="s">
        <v>6484</v>
      </c>
      <c r="C2700" t="s">
        <v>6485</v>
      </c>
      <c r="E2700" t="s">
        <v>39</v>
      </c>
      <c r="F2700">
        <v>0</v>
      </c>
      <c r="G2700">
        <v>0</v>
      </c>
      <c r="H2700">
        <v>2</v>
      </c>
      <c r="I2700" s="3">
        <v>2656.03</v>
      </c>
      <c r="J2700" s="3">
        <v>181.63</v>
      </c>
      <c r="K2700" t="s">
        <v>6486</v>
      </c>
      <c r="L2700">
        <v>303</v>
      </c>
      <c r="M2700" t="s">
        <v>6487</v>
      </c>
      <c r="N2700" t="s">
        <v>139</v>
      </c>
      <c r="O2700" t="s">
        <v>31</v>
      </c>
      <c r="P2700" t="str">
        <f>"15090"</f>
        <v>15090</v>
      </c>
    </row>
    <row r="2701" spans="1:16" x14ac:dyDescent="0.25">
      <c r="A2701" t="str">
        <f>"1080050R00101    00"</f>
        <v>1080050R00101    00</v>
      </c>
      <c r="B2701" t="s">
        <v>6488</v>
      </c>
      <c r="C2701" t="s">
        <v>6489</v>
      </c>
      <c r="D2701" t="s">
        <v>20</v>
      </c>
      <c r="E2701" t="s">
        <v>39</v>
      </c>
      <c r="F2701">
        <v>0</v>
      </c>
      <c r="G2701">
        <v>0</v>
      </c>
      <c r="H2701">
        <v>2</v>
      </c>
      <c r="I2701" s="3">
        <v>5718</v>
      </c>
      <c r="J2701" s="3">
        <v>0</v>
      </c>
      <c r="K2701" t="s">
        <v>6490</v>
      </c>
      <c r="L2701">
        <v>1332</v>
      </c>
      <c r="M2701" t="s">
        <v>6491</v>
      </c>
      <c r="N2701" t="s">
        <v>6492</v>
      </c>
      <c r="O2701" t="s">
        <v>3486</v>
      </c>
      <c r="P2701" t="str">
        <f>"60563"</f>
        <v>60563</v>
      </c>
    </row>
    <row r="2702" spans="1:16" x14ac:dyDescent="0.25">
      <c r="A2702" t="str">
        <f>"1080050R00103    00"</f>
        <v>1080050R00103    00</v>
      </c>
      <c r="B2702" t="s">
        <v>6493</v>
      </c>
      <c r="C2702" t="s">
        <v>6494</v>
      </c>
      <c r="D2702" t="s">
        <v>20</v>
      </c>
      <c r="E2702" t="s">
        <v>39</v>
      </c>
      <c r="F2702">
        <v>0</v>
      </c>
      <c r="G2702">
        <v>0</v>
      </c>
      <c r="H2702">
        <v>3</v>
      </c>
      <c r="I2702" s="3">
        <v>8407.66</v>
      </c>
      <c r="J2702" s="3">
        <v>440.89</v>
      </c>
      <c r="K2702" t="s">
        <v>6495</v>
      </c>
      <c r="L2702">
        <v>217</v>
      </c>
      <c r="M2702" t="s">
        <v>4219</v>
      </c>
      <c r="N2702" t="s">
        <v>30</v>
      </c>
      <c r="O2702" t="s">
        <v>31</v>
      </c>
      <c r="P2702" t="str">
        <f>"15206"</f>
        <v>15206</v>
      </c>
    </row>
    <row r="2703" spans="1:16" x14ac:dyDescent="0.25">
      <c r="A2703" t="str">
        <f>"1080050R00105    00"</f>
        <v>1080050R00105    00</v>
      </c>
      <c r="B2703" t="s">
        <v>6496</v>
      </c>
      <c r="C2703" t="s">
        <v>6497</v>
      </c>
      <c r="D2703" t="s">
        <v>20</v>
      </c>
      <c r="E2703" t="s">
        <v>39</v>
      </c>
      <c r="F2703">
        <v>0</v>
      </c>
      <c r="G2703">
        <v>0</v>
      </c>
      <c r="H2703">
        <v>3</v>
      </c>
      <c r="I2703" s="3">
        <v>5880.84</v>
      </c>
      <c r="J2703" s="3">
        <v>1417.19</v>
      </c>
      <c r="L2703">
        <v>219</v>
      </c>
      <c r="M2703" t="s">
        <v>4219</v>
      </c>
      <c r="N2703" t="s">
        <v>30</v>
      </c>
      <c r="O2703" t="s">
        <v>31</v>
      </c>
      <c r="P2703" t="str">
        <f>"15206"</f>
        <v>15206</v>
      </c>
    </row>
    <row r="2704" spans="1:16" x14ac:dyDescent="0.25">
      <c r="A2704" t="str">
        <f>"1080050R00147    00"</f>
        <v>1080050R00147    00</v>
      </c>
      <c r="B2704" t="s">
        <v>6498</v>
      </c>
      <c r="C2704" t="s">
        <v>6499</v>
      </c>
      <c r="E2704" t="s">
        <v>39</v>
      </c>
      <c r="F2704">
        <v>0</v>
      </c>
      <c r="G2704">
        <v>0</v>
      </c>
      <c r="H2704">
        <v>1</v>
      </c>
      <c r="I2704" s="3">
        <v>1809.55</v>
      </c>
      <c r="J2704" s="3">
        <v>859.5</v>
      </c>
      <c r="L2704">
        <v>12220</v>
      </c>
      <c r="M2704" t="s">
        <v>6500</v>
      </c>
      <c r="N2704" t="s">
        <v>5515</v>
      </c>
      <c r="O2704" t="s">
        <v>1184</v>
      </c>
      <c r="P2704" t="str">
        <f>"20854"</f>
        <v>20854</v>
      </c>
    </row>
    <row r="2705" spans="1:16" x14ac:dyDescent="0.25">
      <c r="A2705" t="str">
        <f>"1080050R00153    00"</f>
        <v>1080050R00153    00</v>
      </c>
      <c r="B2705" t="s">
        <v>6501</v>
      </c>
      <c r="C2705" t="s">
        <v>6502</v>
      </c>
      <c r="E2705" t="s">
        <v>39</v>
      </c>
      <c r="F2705">
        <v>0</v>
      </c>
      <c r="G2705">
        <v>0</v>
      </c>
      <c r="H2705">
        <v>2</v>
      </c>
      <c r="I2705" s="3">
        <v>4228.47</v>
      </c>
      <c r="J2705" s="3">
        <v>8.3000000000000007</v>
      </c>
      <c r="K2705" t="s">
        <v>1427</v>
      </c>
      <c r="L2705">
        <v>3001</v>
      </c>
      <c r="M2705" t="s">
        <v>330</v>
      </c>
      <c r="N2705" t="s">
        <v>331</v>
      </c>
      <c r="O2705" t="s">
        <v>108</v>
      </c>
      <c r="P2705" t="str">
        <f>"75063"</f>
        <v>75063</v>
      </c>
    </row>
    <row r="2706" spans="1:16" x14ac:dyDescent="0.25">
      <c r="A2706" t="str">
        <f>"1080050R00161    00"</f>
        <v>1080050R00161    00</v>
      </c>
      <c r="B2706" t="s">
        <v>6503</v>
      </c>
      <c r="C2706" t="s">
        <v>6504</v>
      </c>
      <c r="D2706" t="s">
        <v>20</v>
      </c>
      <c r="E2706" t="s">
        <v>39</v>
      </c>
      <c r="F2706">
        <v>0</v>
      </c>
      <c r="G2706">
        <v>0</v>
      </c>
      <c r="H2706">
        <v>2</v>
      </c>
      <c r="I2706" s="3">
        <v>2050.86</v>
      </c>
      <c r="J2706" s="3">
        <v>0</v>
      </c>
      <c r="K2706" t="s">
        <v>6505</v>
      </c>
      <c r="L2706">
        <v>204</v>
      </c>
      <c r="M2706" t="s">
        <v>6506</v>
      </c>
      <c r="N2706" t="s">
        <v>30</v>
      </c>
      <c r="O2706" t="s">
        <v>31</v>
      </c>
      <c r="P2706" t="str">
        <f>"15224"</f>
        <v>15224</v>
      </c>
    </row>
    <row r="2707" spans="1:16" x14ac:dyDescent="0.25">
      <c r="A2707" t="str">
        <f>"1080050R00163    00"</f>
        <v>1080050R00163    00</v>
      </c>
      <c r="B2707" t="s">
        <v>6507</v>
      </c>
      <c r="C2707" t="s">
        <v>6508</v>
      </c>
      <c r="D2707" t="s">
        <v>20</v>
      </c>
      <c r="E2707" t="s">
        <v>39</v>
      </c>
      <c r="F2707">
        <v>0</v>
      </c>
      <c r="G2707">
        <v>0</v>
      </c>
      <c r="H2707">
        <v>1</v>
      </c>
      <c r="I2707" s="3">
        <v>1606.77</v>
      </c>
      <c r="J2707" s="3">
        <v>0</v>
      </c>
      <c r="M2707" t="s">
        <v>4256</v>
      </c>
      <c r="N2707" t="s">
        <v>30</v>
      </c>
      <c r="O2707" t="s">
        <v>31</v>
      </c>
      <c r="P2707" t="str">
        <f>"15232"</f>
        <v>15232</v>
      </c>
    </row>
    <row r="2708" spans="1:16" x14ac:dyDescent="0.25">
      <c r="A2708" t="str">
        <f>"1080050R00173    00"</f>
        <v>1080050R00173    00</v>
      </c>
      <c r="B2708" t="s">
        <v>6509</v>
      </c>
      <c r="C2708" t="s">
        <v>6510</v>
      </c>
      <c r="E2708" t="s">
        <v>39</v>
      </c>
      <c r="F2708">
        <v>0</v>
      </c>
      <c r="G2708">
        <v>0</v>
      </c>
      <c r="H2708">
        <v>1</v>
      </c>
      <c r="I2708" s="3">
        <v>7460.86</v>
      </c>
      <c r="J2708" s="3">
        <v>2051.65</v>
      </c>
      <c r="K2708" t="s">
        <v>6511</v>
      </c>
      <c r="M2708" t="s">
        <v>570</v>
      </c>
      <c r="N2708" t="s">
        <v>571</v>
      </c>
      <c r="O2708" t="s">
        <v>423</v>
      </c>
      <c r="P2708" t="str">
        <f>"07101"</f>
        <v>07101</v>
      </c>
    </row>
    <row r="2709" spans="1:16" x14ac:dyDescent="0.25">
      <c r="A2709" t="str">
        <f>"1080050R00189    00"</f>
        <v>1080050R00189    00</v>
      </c>
      <c r="B2709" t="s">
        <v>6512</v>
      </c>
      <c r="C2709" t="s">
        <v>6513</v>
      </c>
      <c r="E2709" t="s">
        <v>39</v>
      </c>
      <c r="F2709">
        <v>0</v>
      </c>
      <c r="G2709">
        <v>0</v>
      </c>
      <c r="H2709">
        <v>1</v>
      </c>
      <c r="I2709" s="3">
        <v>1763.57</v>
      </c>
      <c r="J2709" s="3">
        <v>14.7</v>
      </c>
      <c r="K2709" t="s">
        <v>1030</v>
      </c>
      <c r="M2709" t="s">
        <v>1031</v>
      </c>
      <c r="N2709" t="s">
        <v>1032</v>
      </c>
      <c r="O2709" t="s">
        <v>25</v>
      </c>
      <c r="P2709" t="str">
        <f>"44711"</f>
        <v>44711</v>
      </c>
    </row>
    <row r="2710" spans="1:16" x14ac:dyDescent="0.25">
      <c r="A2710" t="str">
        <f>"1080050R00206    00"</f>
        <v>1080050R00206    00</v>
      </c>
      <c r="B2710" t="s">
        <v>6514</v>
      </c>
      <c r="C2710" t="s">
        <v>6515</v>
      </c>
      <c r="D2710" t="s">
        <v>20</v>
      </c>
      <c r="E2710" t="s">
        <v>39</v>
      </c>
      <c r="F2710">
        <v>0</v>
      </c>
      <c r="G2710">
        <v>0</v>
      </c>
      <c r="H2710">
        <v>3</v>
      </c>
      <c r="I2710" s="3">
        <v>7580.81</v>
      </c>
      <c r="J2710" s="3">
        <v>517.20000000000005</v>
      </c>
      <c r="L2710">
        <v>232</v>
      </c>
      <c r="M2710" t="s">
        <v>6516</v>
      </c>
      <c r="N2710" t="s">
        <v>30</v>
      </c>
      <c r="O2710" t="s">
        <v>31</v>
      </c>
      <c r="P2710" t="str">
        <f>"15224"</f>
        <v>15224</v>
      </c>
    </row>
    <row r="2711" spans="1:16" x14ac:dyDescent="0.25">
      <c r="A2711" t="str">
        <f>"1080050R00212    00"</f>
        <v>1080050R00212    00</v>
      </c>
      <c r="B2711" t="s">
        <v>6517</v>
      </c>
      <c r="C2711" t="s">
        <v>6518</v>
      </c>
      <c r="E2711" t="s">
        <v>39</v>
      </c>
      <c r="F2711">
        <v>0</v>
      </c>
      <c r="G2711">
        <v>0</v>
      </c>
      <c r="H2711">
        <v>1</v>
      </c>
      <c r="I2711" s="3">
        <v>5222.4399999999996</v>
      </c>
      <c r="J2711" s="3">
        <v>87.04</v>
      </c>
      <c r="K2711" t="s">
        <v>6519</v>
      </c>
      <c r="L2711">
        <v>1226</v>
      </c>
      <c r="M2711" t="s">
        <v>6520</v>
      </c>
      <c r="N2711" t="s">
        <v>195</v>
      </c>
      <c r="O2711" t="s">
        <v>31</v>
      </c>
      <c r="P2711" t="str">
        <f>"15101"</f>
        <v>15101</v>
      </c>
    </row>
    <row r="2712" spans="1:16" x14ac:dyDescent="0.25">
      <c r="A2712" t="str">
        <f>"1080050R00239    00"</f>
        <v>1080050R00239    00</v>
      </c>
      <c r="B2712" t="s">
        <v>6521</v>
      </c>
      <c r="C2712" t="s">
        <v>6522</v>
      </c>
      <c r="D2712" t="s">
        <v>20</v>
      </c>
      <c r="E2712" t="s">
        <v>39</v>
      </c>
      <c r="F2712">
        <v>0</v>
      </c>
      <c r="G2712">
        <v>0</v>
      </c>
      <c r="H2712">
        <v>1</v>
      </c>
      <c r="I2712" s="3">
        <v>2688.45</v>
      </c>
      <c r="J2712" s="3">
        <v>0</v>
      </c>
      <c r="K2712" t="s">
        <v>1502</v>
      </c>
      <c r="L2712">
        <v>901</v>
      </c>
      <c r="M2712" t="s">
        <v>1503</v>
      </c>
      <c r="N2712" t="s">
        <v>494</v>
      </c>
      <c r="O2712" t="s">
        <v>495</v>
      </c>
      <c r="P2712" t="str">
        <f>"91768"</f>
        <v>91768</v>
      </c>
    </row>
    <row r="2713" spans="1:16" x14ac:dyDescent="0.25">
      <c r="A2713" t="str">
        <f>"1080050R00254    00"</f>
        <v>1080050R00254    00</v>
      </c>
      <c r="B2713" t="s">
        <v>6523</v>
      </c>
      <c r="C2713" t="s">
        <v>6524</v>
      </c>
      <c r="E2713" t="s">
        <v>39</v>
      </c>
      <c r="F2713">
        <v>0</v>
      </c>
      <c r="G2713">
        <v>0</v>
      </c>
      <c r="H2713">
        <v>1</v>
      </c>
      <c r="I2713" s="3">
        <v>2461.31</v>
      </c>
      <c r="J2713" s="3">
        <v>225.61</v>
      </c>
      <c r="K2713" t="s">
        <v>4424</v>
      </c>
      <c r="L2713">
        <v>3001</v>
      </c>
      <c r="M2713" t="s">
        <v>330</v>
      </c>
      <c r="N2713" t="s">
        <v>331</v>
      </c>
      <c r="O2713" t="s">
        <v>108</v>
      </c>
      <c r="P2713" t="str">
        <f>"75063"</f>
        <v>75063</v>
      </c>
    </row>
    <row r="2714" spans="1:16" x14ac:dyDescent="0.25">
      <c r="A2714" t="str">
        <f>"1080050R00284    00"</f>
        <v>1080050R00284    00</v>
      </c>
      <c r="B2714" t="s">
        <v>6525</v>
      </c>
      <c r="C2714" t="s">
        <v>6526</v>
      </c>
      <c r="D2714" t="s">
        <v>20</v>
      </c>
      <c r="E2714" t="s">
        <v>21</v>
      </c>
      <c r="F2714">
        <v>0</v>
      </c>
      <c r="G2714">
        <v>0</v>
      </c>
      <c r="H2714">
        <v>1</v>
      </c>
      <c r="I2714" s="3">
        <v>290.27999999999997</v>
      </c>
      <c r="J2714" s="3">
        <v>0</v>
      </c>
      <c r="L2714">
        <v>310</v>
      </c>
      <c r="M2714" t="s">
        <v>6527</v>
      </c>
      <c r="N2714" t="s">
        <v>30</v>
      </c>
      <c r="O2714" t="s">
        <v>31</v>
      </c>
      <c r="P2714" t="str">
        <f>"15219"</f>
        <v>15219</v>
      </c>
    </row>
    <row r="2715" spans="1:16" x14ac:dyDescent="0.25">
      <c r="A2715" t="str">
        <f>"1080050R00311    00"</f>
        <v>1080050R00311    00</v>
      </c>
      <c r="B2715" t="s">
        <v>6528</v>
      </c>
      <c r="C2715" t="s">
        <v>6529</v>
      </c>
      <c r="D2715" t="s">
        <v>20</v>
      </c>
      <c r="E2715" t="s">
        <v>21</v>
      </c>
      <c r="F2715">
        <v>0</v>
      </c>
      <c r="G2715">
        <v>0</v>
      </c>
      <c r="H2715">
        <v>3</v>
      </c>
      <c r="I2715" s="3">
        <v>23491.9</v>
      </c>
      <c r="J2715" s="3">
        <v>680.96</v>
      </c>
      <c r="L2715">
        <v>1001</v>
      </c>
      <c r="M2715" t="s">
        <v>6530</v>
      </c>
      <c r="N2715" t="s">
        <v>30</v>
      </c>
      <c r="O2715" t="s">
        <v>31</v>
      </c>
      <c r="P2715" t="str">
        <f>"15206"</f>
        <v>15206</v>
      </c>
    </row>
    <row r="2716" spans="1:16" x14ac:dyDescent="0.25">
      <c r="A2716" t="str">
        <f>"1080050S00054    00"</f>
        <v>1080050S00054    00</v>
      </c>
      <c r="B2716" t="s">
        <v>6531</v>
      </c>
      <c r="C2716" t="s">
        <v>6532</v>
      </c>
      <c r="E2716" t="s">
        <v>39</v>
      </c>
      <c r="F2716">
        <v>0</v>
      </c>
      <c r="G2716">
        <v>0</v>
      </c>
      <c r="H2716">
        <v>1</v>
      </c>
      <c r="I2716" s="3">
        <v>2684.22</v>
      </c>
      <c r="J2716" s="3">
        <v>849.97</v>
      </c>
      <c r="K2716" t="s">
        <v>1632</v>
      </c>
      <c r="L2716">
        <v>3001</v>
      </c>
      <c r="M2716" t="s">
        <v>330</v>
      </c>
      <c r="N2716" t="s">
        <v>331</v>
      </c>
      <c r="O2716" t="s">
        <v>108</v>
      </c>
      <c r="P2716" t="str">
        <f>"75063"</f>
        <v>75063</v>
      </c>
    </row>
    <row r="2717" spans="1:16" x14ac:dyDescent="0.25">
      <c r="A2717" t="str">
        <f>"1080050S00063    00"</f>
        <v>1080050S00063    00</v>
      </c>
      <c r="B2717" t="s">
        <v>6533</v>
      </c>
      <c r="C2717" t="s">
        <v>6534</v>
      </c>
      <c r="E2717" t="s">
        <v>39</v>
      </c>
      <c r="F2717">
        <v>0</v>
      </c>
      <c r="G2717">
        <v>0</v>
      </c>
      <c r="H2717">
        <v>1</v>
      </c>
      <c r="I2717" s="3">
        <v>704.81</v>
      </c>
      <c r="J2717" s="3">
        <v>0</v>
      </c>
      <c r="L2717">
        <v>153</v>
      </c>
      <c r="M2717" t="s">
        <v>6535</v>
      </c>
      <c r="N2717" t="s">
        <v>30</v>
      </c>
      <c r="O2717" t="s">
        <v>31</v>
      </c>
      <c r="P2717" t="str">
        <f>"15206"</f>
        <v>15206</v>
      </c>
    </row>
    <row r="2718" spans="1:16" x14ac:dyDescent="0.25">
      <c r="A2718" t="str">
        <f>"1080050S00075    00"</f>
        <v>1080050S00075    00</v>
      </c>
      <c r="B2718" t="s">
        <v>6465</v>
      </c>
      <c r="C2718" t="s">
        <v>6536</v>
      </c>
      <c r="E2718" t="s">
        <v>39</v>
      </c>
      <c r="F2718">
        <v>0</v>
      </c>
      <c r="G2718">
        <v>0</v>
      </c>
      <c r="H2718">
        <v>1</v>
      </c>
      <c r="I2718" s="3">
        <v>2202.5100000000002</v>
      </c>
      <c r="J2718" s="3">
        <v>0</v>
      </c>
      <c r="M2718" t="s">
        <v>6468</v>
      </c>
      <c r="N2718" t="s">
        <v>30</v>
      </c>
      <c r="O2718" t="s">
        <v>31</v>
      </c>
      <c r="P2718" t="str">
        <f>"15224"</f>
        <v>15224</v>
      </c>
    </row>
    <row r="2719" spans="1:16" x14ac:dyDescent="0.25">
      <c r="A2719" t="str">
        <f>"1080050S00170    00"</f>
        <v>1080050S00170    00</v>
      </c>
      <c r="B2719" t="s">
        <v>6537</v>
      </c>
      <c r="C2719" t="s">
        <v>6538</v>
      </c>
      <c r="D2719" t="s">
        <v>20</v>
      </c>
      <c r="E2719" t="s">
        <v>39</v>
      </c>
      <c r="F2719">
        <v>0</v>
      </c>
      <c r="G2719">
        <v>0</v>
      </c>
      <c r="H2719">
        <v>1</v>
      </c>
      <c r="I2719" s="3">
        <v>1386.12</v>
      </c>
      <c r="J2719" s="3">
        <v>0</v>
      </c>
      <c r="K2719" t="s">
        <v>1722</v>
      </c>
      <c r="L2719">
        <v>800</v>
      </c>
      <c r="M2719" t="s">
        <v>6539</v>
      </c>
      <c r="N2719" t="s">
        <v>195</v>
      </c>
      <c r="O2719" t="s">
        <v>31</v>
      </c>
      <c r="P2719" t="str">
        <f>"15101"</f>
        <v>15101</v>
      </c>
    </row>
    <row r="2720" spans="1:16" x14ac:dyDescent="0.25">
      <c r="A2720" t="str">
        <f>"1080050S00175    00"</f>
        <v>1080050S00175    00</v>
      </c>
      <c r="B2720" t="s">
        <v>6540</v>
      </c>
      <c r="C2720" t="s">
        <v>6541</v>
      </c>
      <c r="D2720" t="s">
        <v>20</v>
      </c>
      <c r="E2720" t="s">
        <v>39</v>
      </c>
      <c r="F2720">
        <v>0</v>
      </c>
      <c r="G2720">
        <v>0</v>
      </c>
      <c r="H2720">
        <v>2</v>
      </c>
      <c r="I2720" s="3">
        <v>3206.88</v>
      </c>
      <c r="J2720" s="3">
        <v>0</v>
      </c>
      <c r="L2720">
        <v>5460</v>
      </c>
      <c r="M2720" t="s">
        <v>6542</v>
      </c>
      <c r="N2720" t="s">
        <v>30</v>
      </c>
      <c r="O2720" t="s">
        <v>31</v>
      </c>
      <c r="P2720" t="str">
        <f>"15206"</f>
        <v>15206</v>
      </c>
    </row>
    <row r="2721" spans="1:16" x14ac:dyDescent="0.25">
      <c r="A2721" t="str">
        <f>"1080050S00200    00"</f>
        <v>1080050S00200    00</v>
      </c>
      <c r="B2721" t="s">
        <v>6543</v>
      </c>
      <c r="C2721" t="s">
        <v>6544</v>
      </c>
      <c r="E2721" t="s">
        <v>39</v>
      </c>
      <c r="F2721">
        <v>0</v>
      </c>
      <c r="G2721">
        <v>0</v>
      </c>
      <c r="H2721">
        <v>2</v>
      </c>
      <c r="I2721" s="3">
        <v>5058.42</v>
      </c>
      <c r="J2721" s="3">
        <v>345.92</v>
      </c>
      <c r="K2721" t="s">
        <v>6545</v>
      </c>
      <c r="M2721" t="s">
        <v>6546</v>
      </c>
      <c r="N2721" t="s">
        <v>422</v>
      </c>
      <c r="O2721" t="s">
        <v>423</v>
      </c>
      <c r="P2721" t="str">
        <f>"08034"</f>
        <v>08034</v>
      </c>
    </row>
    <row r="2722" spans="1:16" x14ac:dyDescent="0.25">
      <c r="A2722" t="str">
        <f>"1080050S00230    00"</f>
        <v>1080050S00230    00</v>
      </c>
      <c r="B2722" t="s">
        <v>6547</v>
      </c>
      <c r="C2722" t="s">
        <v>5311</v>
      </c>
      <c r="D2722" t="s">
        <v>20</v>
      </c>
      <c r="E2722" t="s">
        <v>39</v>
      </c>
      <c r="F2722">
        <v>0</v>
      </c>
      <c r="G2722">
        <v>0</v>
      </c>
      <c r="H2722">
        <v>16</v>
      </c>
      <c r="I2722" s="3">
        <v>1896.38</v>
      </c>
      <c r="J2722" s="3">
        <v>1279.67</v>
      </c>
      <c r="L2722">
        <v>112</v>
      </c>
      <c r="M2722" t="s">
        <v>5306</v>
      </c>
      <c r="N2722" t="s">
        <v>30</v>
      </c>
      <c r="O2722" t="s">
        <v>31</v>
      </c>
      <c r="P2722" t="str">
        <f>"15206"</f>
        <v>15206</v>
      </c>
    </row>
    <row r="2723" spans="1:16" x14ac:dyDescent="0.25">
      <c r="A2723" t="str">
        <f>"1080050S00231    00"</f>
        <v>1080050S00231    00</v>
      </c>
      <c r="B2723" t="s">
        <v>6548</v>
      </c>
      <c r="C2723" t="s">
        <v>5311</v>
      </c>
      <c r="D2723" t="s">
        <v>20</v>
      </c>
      <c r="E2723" t="s">
        <v>39</v>
      </c>
      <c r="F2723">
        <v>0</v>
      </c>
      <c r="G2723">
        <v>0</v>
      </c>
      <c r="H2723">
        <v>19</v>
      </c>
      <c r="I2723" s="3">
        <v>7422.92</v>
      </c>
      <c r="J2723" s="3">
        <v>6087.33</v>
      </c>
      <c r="L2723">
        <v>112</v>
      </c>
      <c r="M2723" t="s">
        <v>5306</v>
      </c>
      <c r="N2723" t="s">
        <v>30</v>
      </c>
      <c r="O2723" t="s">
        <v>31</v>
      </c>
      <c r="P2723" t="str">
        <f>"15206"</f>
        <v>15206</v>
      </c>
    </row>
    <row r="2724" spans="1:16" x14ac:dyDescent="0.25">
      <c r="A2724" t="str">
        <f>"1080050S00252    00"</f>
        <v>1080050S00252    00</v>
      </c>
      <c r="B2724" t="s">
        <v>6507</v>
      </c>
      <c r="C2724" t="s">
        <v>6549</v>
      </c>
      <c r="D2724" t="s">
        <v>20</v>
      </c>
      <c r="E2724" t="s">
        <v>39</v>
      </c>
      <c r="F2724">
        <v>0</v>
      </c>
      <c r="G2724">
        <v>0</v>
      </c>
      <c r="H2724">
        <v>1</v>
      </c>
      <c r="I2724" s="3">
        <v>2148.08</v>
      </c>
      <c r="J2724" s="3">
        <v>0</v>
      </c>
      <c r="M2724" t="s">
        <v>4256</v>
      </c>
      <c r="N2724" t="s">
        <v>30</v>
      </c>
      <c r="O2724" t="s">
        <v>31</v>
      </c>
      <c r="P2724" t="str">
        <f>"15232"</f>
        <v>15232</v>
      </c>
    </row>
    <row r="2725" spans="1:16" x14ac:dyDescent="0.25">
      <c r="A2725" t="str">
        <f>"1080050S00253    00"</f>
        <v>1080050S00253    00</v>
      </c>
      <c r="B2725" t="s">
        <v>6507</v>
      </c>
      <c r="C2725" t="s">
        <v>6550</v>
      </c>
      <c r="D2725" t="s">
        <v>20</v>
      </c>
      <c r="E2725" t="s">
        <v>39</v>
      </c>
      <c r="F2725">
        <v>0</v>
      </c>
      <c r="G2725">
        <v>0</v>
      </c>
      <c r="H2725">
        <v>1</v>
      </c>
      <c r="I2725" s="3">
        <v>1763.06</v>
      </c>
      <c r="J2725" s="3">
        <v>0</v>
      </c>
      <c r="M2725" t="s">
        <v>4256</v>
      </c>
      <c r="N2725" t="s">
        <v>30</v>
      </c>
      <c r="O2725" t="s">
        <v>31</v>
      </c>
      <c r="P2725" t="str">
        <f>"15232"</f>
        <v>15232</v>
      </c>
    </row>
    <row r="2726" spans="1:16" x14ac:dyDescent="0.25">
      <c r="A2726" t="str">
        <f>"1080050S00299    00"</f>
        <v>1080050S00299    00</v>
      </c>
      <c r="B2726" t="s">
        <v>6551</v>
      </c>
      <c r="C2726" t="s">
        <v>6552</v>
      </c>
      <c r="E2726" t="s">
        <v>39</v>
      </c>
      <c r="F2726">
        <v>0</v>
      </c>
      <c r="G2726">
        <v>0</v>
      </c>
      <c r="H2726">
        <v>2</v>
      </c>
      <c r="I2726" s="3">
        <v>131.26</v>
      </c>
      <c r="J2726" s="3">
        <v>8.98</v>
      </c>
      <c r="K2726" t="s">
        <v>6553</v>
      </c>
      <c r="L2726">
        <v>1463</v>
      </c>
      <c r="M2726" t="s">
        <v>1451</v>
      </c>
      <c r="N2726" t="s">
        <v>30</v>
      </c>
      <c r="O2726" t="s">
        <v>31</v>
      </c>
      <c r="P2726" t="str">
        <f>"15241"</f>
        <v>15241</v>
      </c>
    </row>
    <row r="2727" spans="1:16" x14ac:dyDescent="0.25">
      <c r="A2727" t="str">
        <f>"1080050S00317    00"</f>
        <v>1080050S00317    00</v>
      </c>
      <c r="B2727" t="s">
        <v>6554</v>
      </c>
      <c r="C2727" t="s">
        <v>6555</v>
      </c>
      <c r="E2727" t="s">
        <v>39</v>
      </c>
      <c r="F2727">
        <v>0</v>
      </c>
      <c r="G2727">
        <v>0</v>
      </c>
      <c r="H2727">
        <v>1</v>
      </c>
      <c r="I2727" s="3">
        <v>4482.91</v>
      </c>
      <c r="J2727" s="3">
        <v>0</v>
      </c>
      <c r="M2727" t="s">
        <v>6556</v>
      </c>
      <c r="N2727" t="s">
        <v>30</v>
      </c>
      <c r="O2727" t="s">
        <v>31</v>
      </c>
      <c r="P2727" t="str">
        <f>"15201"</f>
        <v>15201</v>
      </c>
    </row>
    <row r="2728" spans="1:16" x14ac:dyDescent="0.25">
      <c r="A2728" t="str">
        <f>"1080051A00050    00"</f>
        <v>1080051A00050    00</v>
      </c>
      <c r="B2728" t="s">
        <v>6557</v>
      </c>
      <c r="C2728" t="s">
        <v>6558</v>
      </c>
      <c r="D2728" t="s">
        <v>20</v>
      </c>
      <c r="E2728" t="s">
        <v>39</v>
      </c>
      <c r="F2728">
        <v>0</v>
      </c>
      <c r="G2728">
        <v>0</v>
      </c>
      <c r="H2728">
        <v>4</v>
      </c>
      <c r="I2728" s="3">
        <v>5128.09</v>
      </c>
      <c r="J2728" s="3">
        <v>546.74</v>
      </c>
      <c r="K2728" t="s">
        <v>6559</v>
      </c>
      <c r="L2728">
        <v>514</v>
      </c>
      <c r="M2728" t="s">
        <v>6339</v>
      </c>
      <c r="N2728" t="s">
        <v>30</v>
      </c>
      <c r="O2728" t="s">
        <v>31</v>
      </c>
      <c r="P2728" t="str">
        <f>"15224"</f>
        <v>15224</v>
      </c>
    </row>
    <row r="2729" spans="1:16" x14ac:dyDescent="0.25">
      <c r="A2729" t="str">
        <f>"1080051A00137    00"</f>
        <v>1080051A00137    00</v>
      </c>
      <c r="B2729" t="s">
        <v>6560</v>
      </c>
      <c r="C2729" t="s">
        <v>6561</v>
      </c>
      <c r="D2729" t="s">
        <v>20</v>
      </c>
      <c r="E2729" t="s">
        <v>21</v>
      </c>
      <c r="F2729">
        <v>0</v>
      </c>
      <c r="G2729">
        <v>0</v>
      </c>
      <c r="H2729">
        <v>2</v>
      </c>
      <c r="I2729" s="3">
        <v>26813.66</v>
      </c>
      <c r="J2729" s="3">
        <v>0</v>
      </c>
      <c r="K2729" t="s">
        <v>6562</v>
      </c>
      <c r="L2729">
        <v>413</v>
      </c>
      <c r="M2729" t="s">
        <v>1481</v>
      </c>
      <c r="N2729" t="s">
        <v>30</v>
      </c>
      <c r="O2729" t="s">
        <v>31</v>
      </c>
      <c r="P2729" t="str">
        <f>"15213"</f>
        <v>15213</v>
      </c>
    </row>
    <row r="2730" spans="1:16" x14ac:dyDescent="0.25">
      <c r="A2730" t="str">
        <f>"1080051A00141    00"</f>
        <v>1080051A00141    00</v>
      </c>
      <c r="B2730" t="s">
        <v>6563</v>
      </c>
      <c r="C2730" t="s">
        <v>6564</v>
      </c>
      <c r="D2730" t="s">
        <v>20</v>
      </c>
      <c r="E2730" t="s">
        <v>21</v>
      </c>
      <c r="F2730">
        <v>0</v>
      </c>
      <c r="G2730">
        <v>0</v>
      </c>
      <c r="H2730">
        <v>2</v>
      </c>
      <c r="I2730" s="3">
        <v>30496</v>
      </c>
      <c r="J2730" s="3">
        <v>0</v>
      </c>
      <c r="K2730" t="s">
        <v>6565</v>
      </c>
      <c r="L2730">
        <v>413</v>
      </c>
      <c r="M2730" t="s">
        <v>1481</v>
      </c>
      <c r="N2730" t="s">
        <v>30</v>
      </c>
      <c r="O2730" t="s">
        <v>31</v>
      </c>
      <c r="P2730" t="str">
        <f>"15213"</f>
        <v>15213</v>
      </c>
    </row>
    <row r="2731" spans="1:16" x14ac:dyDescent="0.25">
      <c r="A2731" t="str">
        <f>"1080051A00154    00"</f>
        <v>1080051A00154    00</v>
      </c>
      <c r="B2731" t="s">
        <v>6566</v>
      </c>
      <c r="C2731" t="s">
        <v>6567</v>
      </c>
      <c r="D2731" t="s">
        <v>20</v>
      </c>
      <c r="E2731" t="s">
        <v>21</v>
      </c>
      <c r="F2731">
        <v>0</v>
      </c>
      <c r="G2731">
        <v>0</v>
      </c>
      <c r="H2731">
        <v>1</v>
      </c>
      <c r="I2731" s="3">
        <v>1997.51</v>
      </c>
      <c r="J2731" s="3">
        <v>0</v>
      </c>
      <c r="L2731">
        <v>4735</v>
      </c>
      <c r="M2731" t="s">
        <v>6568</v>
      </c>
      <c r="N2731" t="s">
        <v>30</v>
      </c>
      <c r="O2731" t="s">
        <v>31</v>
      </c>
      <c r="P2731" t="str">
        <f>"15224"</f>
        <v>15224</v>
      </c>
    </row>
    <row r="2732" spans="1:16" x14ac:dyDescent="0.25">
      <c r="A2732" t="str">
        <f>"1080051A00161    00"</f>
        <v>1080051A00161    00</v>
      </c>
      <c r="B2732" t="s">
        <v>6569</v>
      </c>
      <c r="C2732" t="s">
        <v>6570</v>
      </c>
      <c r="D2732" t="s">
        <v>20</v>
      </c>
      <c r="E2732" t="s">
        <v>21</v>
      </c>
      <c r="F2732">
        <v>0</v>
      </c>
      <c r="G2732">
        <v>0</v>
      </c>
      <c r="H2732">
        <v>2</v>
      </c>
      <c r="I2732" s="3">
        <v>6930.27</v>
      </c>
      <c r="J2732" s="3">
        <v>0</v>
      </c>
      <c r="L2732">
        <v>12117</v>
      </c>
      <c r="M2732" t="s">
        <v>6571</v>
      </c>
      <c r="N2732" t="s">
        <v>30</v>
      </c>
      <c r="O2732" t="s">
        <v>31</v>
      </c>
      <c r="P2732" t="str">
        <f>"15235"</f>
        <v>15235</v>
      </c>
    </row>
    <row r="2733" spans="1:16" x14ac:dyDescent="0.25">
      <c r="A2733" t="str">
        <f>"1080051A00162    00"</f>
        <v>1080051A00162    00</v>
      </c>
      <c r="B2733" t="s">
        <v>6572</v>
      </c>
      <c r="C2733" t="s">
        <v>6573</v>
      </c>
      <c r="E2733" t="s">
        <v>21</v>
      </c>
      <c r="F2733">
        <v>0</v>
      </c>
      <c r="G2733">
        <v>0</v>
      </c>
      <c r="H2733">
        <v>1</v>
      </c>
      <c r="I2733" s="3">
        <v>1286.72</v>
      </c>
      <c r="J2733" s="3">
        <v>289.5</v>
      </c>
      <c r="L2733">
        <v>4723</v>
      </c>
      <c r="M2733" t="s">
        <v>614</v>
      </c>
      <c r="N2733" t="s">
        <v>30</v>
      </c>
      <c r="O2733" t="s">
        <v>31</v>
      </c>
      <c r="P2733" t="str">
        <f>"15224"</f>
        <v>15224</v>
      </c>
    </row>
    <row r="2734" spans="1:16" x14ac:dyDescent="0.25">
      <c r="A2734" t="str">
        <f>"1080051A00163    00"</f>
        <v>1080051A00163    00</v>
      </c>
      <c r="B2734" t="s">
        <v>6574</v>
      </c>
      <c r="C2734" t="s">
        <v>6575</v>
      </c>
      <c r="E2734" t="s">
        <v>21</v>
      </c>
      <c r="F2734">
        <v>0</v>
      </c>
      <c r="G2734">
        <v>0</v>
      </c>
      <c r="H2734">
        <v>1</v>
      </c>
      <c r="I2734" s="3">
        <v>363.01</v>
      </c>
      <c r="J2734" s="3">
        <v>78.66</v>
      </c>
      <c r="L2734">
        <v>348</v>
      </c>
      <c r="M2734" t="s">
        <v>6576</v>
      </c>
      <c r="N2734" t="s">
        <v>30</v>
      </c>
      <c r="O2734" t="s">
        <v>31</v>
      </c>
      <c r="P2734" t="str">
        <f>"15209"</f>
        <v>15209</v>
      </c>
    </row>
    <row r="2735" spans="1:16" x14ac:dyDescent="0.25">
      <c r="A2735" t="str">
        <f>"1080051A00167    00"</f>
        <v>1080051A00167    00</v>
      </c>
      <c r="B2735" t="s">
        <v>6577</v>
      </c>
      <c r="C2735" t="s">
        <v>6578</v>
      </c>
      <c r="D2735" t="s">
        <v>20</v>
      </c>
      <c r="E2735" t="s">
        <v>21</v>
      </c>
      <c r="F2735">
        <v>0</v>
      </c>
      <c r="G2735">
        <v>0</v>
      </c>
      <c r="H2735">
        <v>1</v>
      </c>
      <c r="I2735" s="3">
        <v>2803.74</v>
      </c>
      <c r="J2735" s="3">
        <v>0</v>
      </c>
      <c r="K2735" t="s">
        <v>1483</v>
      </c>
      <c r="L2735">
        <v>2333</v>
      </c>
      <c r="M2735" t="s">
        <v>1484</v>
      </c>
      <c r="N2735" t="s">
        <v>30</v>
      </c>
      <c r="O2735" t="s">
        <v>31</v>
      </c>
      <c r="P2735" t="str">
        <f>"15203"</f>
        <v>15203</v>
      </c>
    </row>
    <row r="2736" spans="1:16" x14ac:dyDescent="0.25">
      <c r="A2736" t="str">
        <f>"1080051A00168    00"</f>
        <v>1080051A00168    00</v>
      </c>
      <c r="B2736" t="s">
        <v>6577</v>
      </c>
      <c r="C2736" t="s">
        <v>6579</v>
      </c>
      <c r="D2736" t="s">
        <v>20</v>
      </c>
      <c r="E2736" t="s">
        <v>21</v>
      </c>
      <c r="F2736">
        <v>0</v>
      </c>
      <c r="G2736">
        <v>0</v>
      </c>
      <c r="H2736">
        <v>1</v>
      </c>
      <c r="I2736" s="3">
        <v>3015.31</v>
      </c>
      <c r="J2736" s="3">
        <v>0</v>
      </c>
      <c r="K2736" t="s">
        <v>1483</v>
      </c>
      <c r="L2736">
        <v>2333</v>
      </c>
      <c r="M2736" t="s">
        <v>1484</v>
      </c>
      <c r="N2736" t="s">
        <v>30</v>
      </c>
      <c r="O2736" t="s">
        <v>31</v>
      </c>
      <c r="P2736" t="str">
        <f>"15203"</f>
        <v>15203</v>
      </c>
    </row>
    <row r="2737" spans="1:16" x14ac:dyDescent="0.25">
      <c r="A2737" t="str">
        <f>"1080051B00059    00"</f>
        <v>1080051B00059    00</v>
      </c>
      <c r="B2737" t="s">
        <v>6580</v>
      </c>
      <c r="C2737" t="s">
        <v>6581</v>
      </c>
      <c r="D2737" t="s">
        <v>20</v>
      </c>
      <c r="E2737" t="s">
        <v>39</v>
      </c>
      <c r="F2737">
        <v>0</v>
      </c>
      <c r="G2737">
        <v>0</v>
      </c>
      <c r="H2737">
        <v>2</v>
      </c>
      <c r="I2737" s="3">
        <v>4620.74</v>
      </c>
      <c r="J2737" s="3">
        <v>0</v>
      </c>
      <c r="L2737">
        <v>333</v>
      </c>
      <c r="M2737" t="s">
        <v>6582</v>
      </c>
      <c r="N2737" t="s">
        <v>30</v>
      </c>
      <c r="O2737" t="s">
        <v>31</v>
      </c>
      <c r="P2737" t="str">
        <f>"15224"</f>
        <v>15224</v>
      </c>
    </row>
    <row r="2738" spans="1:16" x14ac:dyDescent="0.25">
      <c r="A2738" t="str">
        <f>"1080051B00091    00"</f>
        <v>1080051B00091    00</v>
      </c>
      <c r="B2738" t="s">
        <v>6583</v>
      </c>
      <c r="C2738" t="s">
        <v>6584</v>
      </c>
      <c r="E2738" t="s">
        <v>39</v>
      </c>
      <c r="F2738">
        <v>0</v>
      </c>
      <c r="G2738">
        <v>0</v>
      </c>
      <c r="H2738">
        <v>1</v>
      </c>
      <c r="I2738" s="3">
        <v>2018.46</v>
      </c>
      <c r="J2738" s="3">
        <v>134.56</v>
      </c>
      <c r="K2738" t="s">
        <v>6585</v>
      </c>
      <c r="L2738">
        <v>714</v>
      </c>
      <c r="M2738" t="s">
        <v>4219</v>
      </c>
      <c r="N2738" t="s">
        <v>30</v>
      </c>
      <c r="O2738" t="s">
        <v>31</v>
      </c>
      <c r="P2738" t="str">
        <f>"15232"</f>
        <v>15232</v>
      </c>
    </row>
    <row r="2739" spans="1:16" x14ac:dyDescent="0.25">
      <c r="A2739" t="str">
        <f>"1080051B00105    00"</f>
        <v>1080051B00105    00</v>
      </c>
      <c r="B2739" t="s">
        <v>6586</v>
      </c>
      <c r="C2739" t="s">
        <v>6587</v>
      </c>
      <c r="E2739" t="s">
        <v>39</v>
      </c>
      <c r="F2739">
        <v>0</v>
      </c>
      <c r="G2739">
        <v>0</v>
      </c>
      <c r="H2739">
        <v>1</v>
      </c>
      <c r="I2739" s="3">
        <v>1430.88</v>
      </c>
      <c r="J2739" s="3">
        <v>1255.54</v>
      </c>
      <c r="L2739">
        <v>356</v>
      </c>
      <c r="M2739" t="s">
        <v>6588</v>
      </c>
      <c r="N2739" t="s">
        <v>30</v>
      </c>
      <c r="O2739" t="s">
        <v>31</v>
      </c>
      <c r="P2739" t="str">
        <f>"15224"</f>
        <v>15224</v>
      </c>
    </row>
    <row r="2740" spans="1:16" x14ac:dyDescent="0.25">
      <c r="A2740" t="str">
        <f>"1080051B00144    00"</f>
        <v>1080051B00144    00</v>
      </c>
      <c r="B2740" t="s">
        <v>6589</v>
      </c>
      <c r="C2740" t="s">
        <v>6590</v>
      </c>
      <c r="D2740" t="s">
        <v>20</v>
      </c>
      <c r="E2740" t="s">
        <v>21</v>
      </c>
      <c r="F2740">
        <v>0</v>
      </c>
      <c r="G2740">
        <v>0</v>
      </c>
      <c r="H2740">
        <v>1</v>
      </c>
      <c r="I2740" s="3">
        <v>6665.29</v>
      </c>
      <c r="J2740" s="3">
        <v>0</v>
      </c>
      <c r="L2740">
        <v>301</v>
      </c>
      <c r="M2740" t="s">
        <v>6591</v>
      </c>
      <c r="N2740" t="s">
        <v>30</v>
      </c>
      <c r="O2740" t="s">
        <v>31</v>
      </c>
      <c r="P2740" t="str">
        <f>"15224"</f>
        <v>15224</v>
      </c>
    </row>
    <row r="2741" spans="1:16" x14ac:dyDescent="0.25">
      <c r="A2741" t="str">
        <f>"1080051B00158    00"</f>
        <v>1080051B00158    00</v>
      </c>
      <c r="B2741" t="s">
        <v>6592</v>
      </c>
      <c r="C2741" t="s">
        <v>6593</v>
      </c>
      <c r="D2741" t="s">
        <v>20</v>
      </c>
      <c r="E2741" t="s">
        <v>39</v>
      </c>
      <c r="F2741">
        <v>0</v>
      </c>
      <c r="G2741">
        <v>0</v>
      </c>
      <c r="H2741">
        <v>3</v>
      </c>
      <c r="I2741" s="3">
        <v>6609.45</v>
      </c>
      <c r="J2741" s="3">
        <v>168.17</v>
      </c>
      <c r="K2741" t="s">
        <v>6594</v>
      </c>
      <c r="L2741">
        <v>310</v>
      </c>
      <c r="M2741" t="s">
        <v>6595</v>
      </c>
      <c r="N2741" t="s">
        <v>30</v>
      </c>
      <c r="O2741" t="s">
        <v>31</v>
      </c>
      <c r="P2741" t="str">
        <f>"15224"</f>
        <v>15224</v>
      </c>
    </row>
    <row r="2742" spans="1:16" x14ac:dyDescent="0.25">
      <c r="A2742" t="str">
        <f>"1080051B00163    00"</f>
        <v>1080051B00163    00</v>
      </c>
      <c r="B2742" t="s">
        <v>6596</v>
      </c>
      <c r="C2742" t="s">
        <v>6597</v>
      </c>
      <c r="D2742" t="s">
        <v>33</v>
      </c>
      <c r="E2742" t="s">
        <v>39</v>
      </c>
      <c r="F2742">
        <v>0</v>
      </c>
      <c r="G2742">
        <v>0</v>
      </c>
      <c r="H2742">
        <v>5</v>
      </c>
      <c r="I2742" s="3">
        <v>6674.39</v>
      </c>
      <c r="J2742" s="3">
        <v>2886.77</v>
      </c>
      <c r="K2742" t="s">
        <v>6598</v>
      </c>
      <c r="L2742">
        <v>1130</v>
      </c>
      <c r="M2742" t="s">
        <v>6227</v>
      </c>
      <c r="N2742" t="s">
        <v>30</v>
      </c>
      <c r="O2742" t="s">
        <v>31</v>
      </c>
      <c r="P2742" t="str">
        <f>"15206"</f>
        <v>15206</v>
      </c>
    </row>
    <row r="2743" spans="1:16" x14ac:dyDescent="0.25">
      <c r="A2743" t="str">
        <f>"1080051B00215    00"</f>
        <v>1080051B00215    00</v>
      </c>
      <c r="B2743" t="s">
        <v>6599</v>
      </c>
      <c r="C2743" t="s">
        <v>6600</v>
      </c>
      <c r="E2743" t="s">
        <v>39</v>
      </c>
      <c r="F2743">
        <v>0</v>
      </c>
      <c r="G2743">
        <v>0</v>
      </c>
      <c r="H2743">
        <v>2</v>
      </c>
      <c r="I2743" s="3">
        <v>1410.09</v>
      </c>
      <c r="J2743" s="3">
        <v>258.43</v>
      </c>
      <c r="K2743" t="s">
        <v>6601</v>
      </c>
      <c r="L2743">
        <v>1130</v>
      </c>
      <c r="M2743" t="s">
        <v>6602</v>
      </c>
      <c r="N2743" t="s">
        <v>6603</v>
      </c>
      <c r="O2743" t="s">
        <v>31</v>
      </c>
      <c r="P2743" t="str">
        <f>"15122"</f>
        <v>15122</v>
      </c>
    </row>
    <row r="2744" spans="1:16" x14ac:dyDescent="0.25">
      <c r="A2744" t="str">
        <f>"1080051B00251    00"</f>
        <v>1080051B00251    00</v>
      </c>
      <c r="B2744" t="s">
        <v>6604</v>
      </c>
      <c r="C2744" t="s">
        <v>6605</v>
      </c>
      <c r="D2744" t="s">
        <v>20</v>
      </c>
      <c r="E2744" t="s">
        <v>39</v>
      </c>
      <c r="F2744">
        <v>0</v>
      </c>
      <c r="G2744">
        <v>0</v>
      </c>
      <c r="H2744">
        <v>5</v>
      </c>
      <c r="I2744" s="3">
        <v>7488.04</v>
      </c>
      <c r="J2744" s="3">
        <v>872.43</v>
      </c>
      <c r="L2744">
        <v>359</v>
      </c>
      <c r="M2744" t="s">
        <v>6595</v>
      </c>
      <c r="N2744" t="s">
        <v>30</v>
      </c>
      <c r="O2744" t="s">
        <v>31</v>
      </c>
      <c r="P2744" t="str">
        <f>"15224"</f>
        <v>15224</v>
      </c>
    </row>
    <row r="2745" spans="1:16" x14ac:dyDescent="0.25">
      <c r="A2745" t="str">
        <f>"1080051B00264    00"</f>
        <v>1080051B00264    00</v>
      </c>
      <c r="B2745" t="s">
        <v>6606</v>
      </c>
      <c r="C2745" t="s">
        <v>6607</v>
      </c>
      <c r="E2745" t="s">
        <v>39</v>
      </c>
      <c r="F2745">
        <v>0</v>
      </c>
      <c r="G2745">
        <v>0</v>
      </c>
      <c r="H2745">
        <v>1</v>
      </c>
      <c r="I2745" s="3">
        <v>2236.84</v>
      </c>
      <c r="J2745" s="3">
        <v>708.3</v>
      </c>
      <c r="K2745" t="s">
        <v>4424</v>
      </c>
      <c r="L2745">
        <v>3001</v>
      </c>
      <c r="M2745" t="s">
        <v>330</v>
      </c>
      <c r="N2745" t="s">
        <v>331</v>
      </c>
      <c r="O2745" t="s">
        <v>108</v>
      </c>
      <c r="P2745" t="str">
        <f>"75063"</f>
        <v>75063</v>
      </c>
    </row>
    <row r="2746" spans="1:16" x14ac:dyDescent="0.25">
      <c r="A2746" t="str">
        <f>"1080051C00002    00"</f>
        <v>1080051C00002    00</v>
      </c>
      <c r="B2746" t="s">
        <v>6608</v>
      </c>
      <c r="C2746" t="s">
        <v>6609</v>
      </c>
      <c r="D2746" t="s">
        <v>20</v>
      </c>
      <c r="E2746" t="s">
        <v>21</v>
      </c>
      <c r="F2746">
        <v>0</v>
      </c>
      <c r="G2746">
        <v>0</v>
      </c>
      <c r="H2746">
        <v>2</v>
      </c>
      <c r="I2746" s="3">
        <v>3423.88</v>
      </c>
      <c r="J2746" s="3">
        <v>0</v>
      </c>
      <c r="K2746" t="s">
        <v>6610</v>
      </c>
      <c r="L2746">
        <v>2095</v>
      </c>
      <c r="M2746" t="s">
        <v>6611</v>
      </c>
      <c r="N2746" t="s">
        <v>1823</v>
      </c>
      <c r="O2746" t="s">
        <v>31</v>
      </c>
      <c r="P2746" t="str">
        <f>"15024"</f>
        <v>15024</v>
      </c>
    </row>
    <row r="2747" spans="1:16" x14ac:dyDescent="0.25">
      <c r="A2747" t="str">
        <f>"1080051C00050    00"</f>
        <v>1080051C00050    00</v>
      </c>
      <c r="B2747" t="s">
        <v>6612</v>
      </c>
      <c r="C2747" t="s">
        <v>6613</v>
      </c>
      <c r="D2747" t="s">
        <v>20</v>
      </c>
      <c r="E2747" t="s">
        <v>21</v>
      </c>
      <c r="F2747">
        <v>0</v>
      </c>
      <c r="G2747">
        <v>0</v>
      </c>
      <c r="H2747">
        <v>1</v>
      </c>
      <c r="I2747" s="3">
        <v>1123.07</v>
      </c>
      <c r="J2747" s="3">
        <v>0</v>
      </c>
      <c r="L2747">
        <v>3005</v>
      </c>
      <c r="M2747" t="s">
        <v>6614</v>
      </c>
      <c r="N2747" t="s">
        <v>4318</v>
      </c>
      <c r="O2747" t="s">
        <v>31</v>
      </c>
      <c r="P2747" t="str">
        <f>"16046"</f>
        <v>16046</v>
      </c>
    </row>
    <row r="2748" spans="1:16" x14ac:dyDescent="0.25">
      <c r="A2748" t="str">
        <f>"1080051C00077    00"</f>
        <v>1080051C00077    00</v>
      </c>
      <c r="B2748" t="s">
        <v>6615</v>
      </c>
      <c r="C2748" t="s">
        <v>6616</v>
      </c>
      <c r="E2748" t="s">
        <v>39</v>
      </c>
      <c r="F2748">
        <v>0</v>
      </c>
      <c r="G2748">
        <v>0</v>
      </c>
      <c r="H2748">
        <v>2</v>
      </c>
      <c r="I2748" s="3">
        <v>1496.63</v>
      </c>
      <c r="J2748" s="3">
        <v>102.34</v>
      </c>
      <c r="K2748" t="s">
        <v>881</v>
      </c>
      <c r="L2748">
        <v>3001</v>
      </c>
      <c r="M2748" t="s">
        <v>330</v>
      </c>
      <c r="N2748" t="s">
        <v>331</v>
      </c>
      <c r="O2748" t="s">
        <v>108</v>
      </c>
      <c r="P2748" t="str">
        <f>"75063"</f>
        <v>75063</v>
      </c>
    </row>
    <row r="2749" spans="1:16" x14ac:dyDescent="0.25">
      <c r="A2749" t="str">
        <f>"1080051C00085    00"</f>
        <v>1080051C00085    00</v>
      </c>
      <c r="B2749" t="s">
        <v>6617</v>
      </c>
      <c r="C2749" t="s">
        <v>6618</v>
      </c>
      <c r="D2749" t="s">
        <v>20</v>
      </c>
      <c r="E2749" t="s">
        <v>39</v>
      </c>
      <c r="F2749">
        <v>0</v>
      </c>
      <c r="G2749">
        <v>0</v>
      </c>
      <c r="H2749">
        <v>1</v>
      </c>
      <c r="I2749" s="3">
        <v>656.31</v>
      </c>
      <c r="J2749" s="3">
        <v>0</v>
      </c>
      <c r="K2749" t="s">
        <v>6619</v>
      </c>
      <c r="L2749">
        <v>5101</v>
      </c>
      <c r="M2749" t="s">
        <v>1893</v>
      </c>
      <c r="N2749" t="s">
        <v>30</v>
      </c>
      <c r="O2749" t="s">
        <v>31</v>
      </c>
      <c r="P2749" t="str">
        <f>"15201"</f>
        <v>15201</v>
      </c>
    </row>
    <row r="2750" spans="1:16" x14ac:dyDescent="0.25">
      <c r="A2750" t="str">
        <f>"1080051C00090    00"</f>
        <v>1080051C00090    00</v>
      </c>
      <c r="B2750" t="s">
        <v>6620</v>
      </c>
      <c r="C2750" t="s">
        <v>6621</v>
      </c>
      <c r="E2750" t="s">
        <v>39</v>
      </c>
      <c r="F2750">
        <v>0</v>
      </c>
      <c r="G2750">
        <v>0</v>
      </c>
      <c r="H2750">
        <v>2</v>
      </c>
      <c r="I2750" s="3">
        <v>4223.34</v>
      </c>
      <c r="J2750" s="3">
        <v>541.58000000000004</v>
      </c>
      <c r="K2750" t="s">
        <v>1135</v>
      </c>
      <c r="L2750">
        <v>3001</v>
      </c>
      <c r="M2750" t="s">
        <v>330</v>
      </c>
      <c r="N2750" t="s">
        <v>331</v>
      </c>
      <c r="O2750" t="s">
        <v>108</v>
      </c>
      <c r="P2750" t="str">
        <f>"75063"</f>
        <v>75063</v>
      </c>
    </row>
    <row r="2751" spans="1:16" x14ac:dyDescent="0.25">
      <c r="A2751" t="str">
        <f>"1080051C00098    00"</f>
        <v>1080051C00098    00</v>
      </c>
      <c r="B2751" t="s">
        <v>6622</v>
      </c>
      <c r="C2751" t="s">
        <v>6623</v>
      </c>
      <c r="D2751" t="s">
        <v>20</v>
      </c>
      <c r="E2751" t="s">
        <v>39</v>
      </c>
      <c r="F2751">
        <v>0</v>
      </c>
      <c r="G2751">
        <v>0</v>
      </c>
      <c r="H2751">
        <v>3</v>
      </c>
      <c r="I2751" s="3">
        <v>16370.67</v>
      </c>
      <c r="J2751" s="3">
        <v>1091.3399999999999</v>
      </c>
      <c r="K2751" t="s">
        <v>6184</v>
      </c>
      <c r="L2751">
        <v>901</v>
      </c>
      <c r="M2751" t="s">
        <v>1503</v>
      </c>
      <c r="N2751" t="s">
        <v>494</v>
      </c>
      <c r="O2751" t="s">
        <v>495</v>
      </c>
      <c r="P2751" t="str">
        <f>"91768"</f>
        <v>91768</v>
      </c>
    </row>
    <row r="2752" spans="1:16" x14ac:dyDescent="0.25">
      <c r="A2752" t="str">
        <f>"1080051C00124    00"</f>
        <v>1080051C00124    00</v>
      </c>
      <c r="B2752" t="s">
        <v>6624</v>
      </c>
      <c r="C2752" t="s">
        <v>6625</v>
      </c>
      <c r="D2752" t="s">
        <v>20</v>
      </c>
      <c r="E2752" t="s">
        <v>39</v>
      </c>
      <c r="F2752">
        <v>0</v>
      </c>
      <c r="G2752">
        <v>0</v>
      </c>
      <c r="H2752">
        <v>1</v>
      </c>
      <c r="I2752" s="3">
        <v>574</v>
      </c>
      <c r="J2752" s="3">
        <v>0</v>
      </c>
      <c r="L2752">
        <v>239</v>
      </c>
      <c r="M2752" t="s">
        <v>6626</v>
      </c>
      <c r="N2752" t="s">
        <v>30</v>
      </c>
      <c r="O2752" t="s">
        <v>31</v>
      </c>
      <c r="P2752" t="str">
        <f>"15222"</f>
        <v>15222</v>
      </c>
    </row>
    <row r="2753" spans="1:16" x14ac:dyDescent="0.25">
      <c r="A2753" t="str">
        <f>"1080051C00161    00"</f>
        <v>1080051C00161    00</v>
      </c>
      <c r="B2753" t="s">
        <v>6627</v>
      </c>
      <c r="C2753" t="s">
        <v>6628</v>
      </c>
      <c r="D2753" t="s">
        <v>20</v>
      </c>
      <c r="E2753" t="s">
        <v>39</v>
      </c>
      <c r="F2753">
        <v>0</v>
      </c>
      <c r="G2753">
        <v>0</v>
      </c>
      <c r="H2753">
        <v>1</v>
      </c>
      <c r="I2753" s="3">
        <v>118.17</v>
      </c>
      <c r="J2753" s="3">
        <v>0</v>
      </c>
      <c r="K2753" t="s">
        <v>5352</v>
      </c>
      <c r="L2753">
        <v>3001</v>
      </c>
      <c r="M2753" t="s">
        <v>330</v>
      </c>
      <c r="N2753" t="s">
        <v>331</v>
      </c>
      <c r="O2753" t="s">
        <v>108</v>
      </c>
      <c r="P2753" t="str">
        <f>"75063"</f>
        <v>75063</v>
      </c>
    </row>
    <row r="2754" spans="1:16" x14ac:dyDescent="0.25">
      <c r="A2754" t="str">
        <f>"1080051C00164    00"</f>
        <v>1080051C00164    00</v>
      </c>
      <c r="B2754" t="s">
        <v>6629</v>
      </c>
      <c r="C2754" t="s">
        <v>6630</v>
      </c>
      <c r="E2754" t="s">
        <v>39</v>
      </c>
      <c r="F2754">
        <v>0</v>
      </c>
      <c r="G2754">
        <v>0</v>
      </c>
      <c r="H2754">
        <v>2</v>
      </c>
      <c r="I2754" s="3">
        <v>11329.26</v>
      </c>
      <c r="J2754" s="3">
        <v>566.44000000000005</v>
      </c>
      <c r="K2754" t="s">
        <v>445</v>
      </c>
      <c r="L2754">
        <v>1</v>
      </c>
      <c r="M2754" t="s">
        <v>1163</v>
      </c>
      <c r="N2754" t="s">
        <v>1164</v>
      </c>
      <c r="O2754" t="s">
        <v>108</v>
      </c>
      <c r="P2754" t="str">
        <f>"76262"</f>
        <v>76262</v>
      </c>
    </row>
    <row r="2755" spans="1:16" x14ac:dyDescent="0.25">
      <c r="A2755" t="str">
        <f>"1080051C00195    00"</f>
        <v>1080051C00195    00</v>
      </c>
      <c r="B2755" t="s">
        <v>6631</v>
      </c>
      <c r="C2755" t="s">
        <v>6632</v>
      </c>
      <c r="D2755" t="s">
        <v>20</v>
      </c>
      <c r="E2755" t="s">
        <v>39</v>
      </c>
      <c r="F2755">
        <v>0</v>
      </c>
      <c r="G2755">
        <v>0</v>
      </c>
      <c r="H2755">
        <v>2</v>
      </c>
      <c r="I2755" s="3">
        <v>3741.94</v>
      </c>
      <c r="J2755" s="3">
        <v>0</v>
      </c>
      <c r="K2755" t="s">
        <v>1632</v>
      </c>
      <c r="M2755" t="s">
        <v>1633</v>
      </c>
      <c r="N2755" t="s">
        <v>1634</v>
      </c>
      <c r="O2755" t="s">
        <v>25</v>
      </c>
      <c r="P2755" t="str">
        <f>"45401"</f>
        <v>45401</v>
      </c>
    </row>
    <row r="2756" spans="1:16" x14ac:dyDescent="0.25">
      <c r="A2756" t="str">
        <f>"1080051C00201000100"</f>
        <v>1080051C00201000100</v>
      </c>
      <c r="B2756" t="s">
        <v>6627</v>
      </c>
      <c r="C2756" t="s">
        <v>6633</v>
      </c>
      <c r="D2756" t="s">
        <v>20</v>
      </c>
      <c r="E2756" t="s">
        <v>39</v>
      </c>
      <c r="F2756">
        <v>0</v>
      </c>
      <c r="G2756">
        <v>0</v>
      </c>
      <c r="H2756">
        <v>2</v>
      </c>
      <c r="I2756" s="3">
        <v>41.96</v>
      </c>
      <c r="J2756" s="3">
        <v>0</v>
      </c>
      <c r="K2756" t="s">
        <v>5352</v>
      </c>
      <c r="L2756">
        <v>3001</v>
      </c>
      <c r="M2756" t="s">
        <v>330</v>
      </c>
      <c r="N2756" t="s">
        <v>331</v>
      </c>
      <c r="O2756" t="s">
        <v>108</v>
      </c>
      <c r="P2756" t="str">
        <f>"75063"</f>
        <v>75063</v>
      </c>
    </row>
    <row r="2757" spans="1:16" x14ac:dyDescent="0.25">
      <c r="A2757" t="str">
        <f>"1080051C00201000200"</f>
        <v>1080051C00201000200</v>
      </c>
      <c r="B2757" t="s">
        <v>6629</v>
      </c>
      <c r="C2757" t="s">
        <v>6633</v>
      </c>
      <c r="E2757" t="s">
        <v>39</v>
      </c>
      <c r="F2757">
        <v>0</v>
      </c>
      <c r="G2757">
        <v>0</v>
      </c>
      <c r="H2757">
        <v>3</v>
      </c>
      <c r="I2757" s="3">
        <v>101.06</v>
      </c>
      <c r="J2757" s="3">
        <v>3.99</v>
      </c>
      <c r="L2757">
        <v>315</v>
      </c>
      <c r="M2757" t="s">
        <v>6506</v>
      </c>
      <c r="N2757" t="s">
        <v>30</v>
      </c>
      <c r="O2757" t="s">
        <v>31</v>
      </c>
      <c r="P2757" t="str">
        <f>"15224"</f>
        <v>15224</v>
      </c>
    </row>
    <row r="2758" spans="1:16" x14ac:dyDescent="0.25">
      <c r="A2758" t="str">
        <f>"1080051C00201000500"</f>
        <v>1080051C00201000500</v>
      </c>
      <c r="B2758" t="s">
        <v>6634</v>
      </c>
      <c r="C2758" t="s">
        <v>6633</v>
      </c>
      <c r="D2758" t="s">
        <v>20</v>
      </c>
      <c r="E2758" t="s">
        <v>39</v>
      </c>
      <c r="F2758">
        <v>0</v>
      </c>
      <c r="G2758">
        <v>0</v>
      </c>
      <c r="H2758">
        <v>19</v>
      </c>
      <c r="I2758" s="3">
        <v>4744.8500000000004</v>
      </c>
      <c r="J2758" s="3">
        <v>3172.65</v>
      </c>
      <c r="L2758">
        <v>4022</v>
      </c>
      <c r="M2758" t="s">
        <v>6635</v>
      </c>
      <c r="N2758" t="s">
        <v>3951</v>
      </c>
      <c r="O2758" t="s">
        <v>370</v>
      </c>
      <c r="P2758" t="str">
        <f>"33610"</f>
        <v>33610</v>
      </c>
    </row>
    <row r="2759" spans="1:16" x14ac:dyDescent="0.25">
      <c r="A2759" t="str">
        <f>"1080051C00201000600"</f>
        <v>1080051C00201000600</v>
      </c>
      <c r="B2759" t="s">
        <v>6636</v>
      </c>
      <c r="C2759" t="s">
        <v>6633</v>
      </c>
      <c r="D2759" t="s">
        <v>20</v>
      </c>
      <c r="E2759" t="s">
        <v>39</v>
      </c>
      <c r="F2759">
        <v>0</v>
      </c>
      <c r="G2759">
        <v>0</v>
      </c>
      <c r="H2759">
        <v>3</v>
      </c>
      <c r="I2759" s="3">
        <v>62.94</v>
      </c>
      <c r="J2759" s="3">
        <v>4.2</v>
      </c>
      <c r="K2759" t="s">
        <v>6637</v>
      </c>
      <c r="L2759">
        <v>5316</v>
      </c>
      <c r="M2759" t="s">
        <v>6638</v>
      </c>
      <c r="N2759" t="s">
        <v>30</v>
      </c>
      <c r="O2759" t="s">
        <v>31</v>
      </c>
      <c r="P2759" t="str">
        <f>"15224"</f>
        <v>15224</v>
      </c>
    </row>
    <row r="2760" spans="1:16" x14ac:dyDescent="0.25">
      <c r="A2760" t="str">
        <f>"1080051C00201001000"</f>
        <v>1080051C00201001000</v>
      </c>
      <c r="B2760" t="s">
        <v>6639</v>
      </c>
      <c r="C2760" t="s">
        <v>6633</v>
      </c>
      <c r="D2760" t="s">
        <v>20</v>
      </c>
      <c r="E2760" t="s">
        <v>39</v>
      </c>
      <c r="F2760">
        <v>0</v>
      </c>
      <c r="G2760">
        <v>0</v>
      </c>
      <c r="H2760">
        <v>19</v>
      </c>
      <c r="I2760" s="3">
        <v>5385.97</v>
      </c>
      <c r="J2760" s="3">
        <v>4096.42</v>
      </c>
      <c r="K2760" t="s">
        <v>6640</v>
      </c>
      <c r="L2760">
        <v>119</v>
      </c>
      <c r="M2760" t="s">
        <v>6641</v>
      </c>
      <c r="N2760" t="s">
        <v>24</v>
      </c>
      <c r="O2760" t="s">
        <v>25</v>
      </c>
      <c r="P2760" t="str">
        <f>"31909"</f>
        <v>31909</v>
      </c>
    </row>
    <row r="2761" spans="1:16" x14ac:dyDescent="0.25">
      <c r="A2761" t="str">
        <f>"1080051C00201001400"</f>
        <v>1080051C00201001400</v>
      </c>
      <c r="B2761" t="s">
        <v>6642</v>
      </c>
      <c r="C2761" t="s">
        <v>6633</v>
      </c>
      <c r="D2761" t="s">
        <v>20</v>
      </c>
      <c r="E2761" t="s">
        <v>39</v>
      </c>
      <c r="F2761">
        <v>0</v>
      </c>
      <c r="G2761">
        <v>0</v>
      </c>
      <c r="H2761">
        <v>4</v>
      </c>
      <c r="I2761" s="3">
        <v>158.47999999999999</v>
      </c>
      <c r="J2761" s="3">
        <v>19.53</v>
      </c>
      <c r="L2761">
        <v>270</v>
      </c>
      <c r="M2761" t="s">
        <v>6643</v>
      </c>
      <c r="N2761" t="s">
        <v>30</v>
      </c>
      <c r="O2761" t="s">
        <v>31</v>
      </c>
      <c r="P2761" t="str">
        <f>"15206"</f>
        <v>15206</v>
      </c>
    </row>
    <row r="2762" spans="1:16" x14ac:dyDescent="0.25">
      <c r="A2762" t="str">
        <f>"1080051C00249    00"</f>
        <v>1080051C00249    00</v>
      </c>
      <c r="B2762" t="s">
        <v>6644</v>
      </c>
      <c r="C2762" t="s">
        <v>6645</v>
      </c>
      <c r="D2762" t="s">
        <v>20</v>
      </c>
      <c r="E2762" t="s">
        <v>39</v>
      </c>
      <c r="F2762">
        <v>0</v>
      </c>
      <c r="G2762">
        <v>0</v>
      </c>
      <c r="H2762">
        <v>1</v>
      </c>
      <c r="I2762" s="3">
        <v>3305.77</v>
      </c>
      <c r="J2762" s="3">
        <v>743.78</v>
      </c>
      <c r="K2762" t="s">
        <v>6646</v>
      </c>
      <c r="L2762">
        <v>3001</v>
      </c>
      <c r="M2762" t="s">
        <v>404</v>
      </c>
      <c r="N2762" t="s">
        <v>331</v>
      </c>
      <c r="O2762" t="s">
        <v>108</v>
      </c>
      <c r="P2762" t="str">
        <f>"75063"</f>
        <v>75063</v>
      </c>
    </row>
    <row r="2763" spans="1:16" x14ac:dyDescent="0.25">
      <c r="A2763" t="str">
        <f>"1080051C00259    00"</f>
        <v>1080051C00259    00</v>
      </c>
      <c r="B2763" t="s">
        <v>5921</v>
      </c>
      <c r="C2763" t="s">
        <v>6647</v>
      </c>
      <c r="E2763" t="s">
        <v>39</v>
      </c>
      <c r="F2763">
        <v>0</v>
      </c>
      <c r="G2763">
        <v>0</v>
      </c>
      <c r="H2763">
        <v>1</v>
      </c>
      <c r="I2763" s="3">
        <v>1200.6400000000001</v>
      </c>
      <c r="J2763" s="3">
        <v>330.16</v>
      </c>
      <c r="L2763">
        <v>1501</v>
      </c>
      <c r="M2763" t="s">
        <v>5924</v>
      </c>
      <c r="N2763" t="s">
        <v>30</v>
      </c>
      <c r="O2763" t="s">
        <v>31</v>
      </c>
      <c r="P2763" t="str">
        <f>"15221"</f>
        <v>15221</v>
      </c>
    </row>
    <row r="2764" spans="1:16" x14ac:dyDescent="0.25">
      <c r="A2764" t="str">
        <f>"1080051D00025    00"</f>
        <v>1080051D00025    00</v>
      </c>
      <c r="B2764" t="s">
        <v>6648</v>
      </c>
      <c r="C2764" t="s">
        <v>6649</v>
      </c>
      <c r="D2764" t="s">
        <v>20</v>
      </c>
      <c r="E2764" t="s">
        <v>21</v>
      </c>
      <c r="F2764">
        <v>0</v>
      </c>
      <c r="G2764">
        <v>0</v>
      </c>
      <c r="H2764">
        <v>2</v>
      </c>
      <c r="I2764" s="3">
        <v>7890.84</v>
      </c>
      <c r="J2764" s="3">
        <v>0</v>
      </c>
      <c r="L2764">
        <v>255</v>
      </c>
      <c r="M2764" t="s">
        <v>6650</v>
      </c>
      <c r="N2764" t="s">
        <v>6651</v>
      </c>
      <c r="O2764" t="s">
        <v>31</v>
      </c>
      <c r="P2764" t="str">
        <f>"16037"</f>
        <v>16037</v>
      </c>
    </row>
    <row r="2765" spans="1:16" x14ac:dyDescent="0.25">
      <c r="A2765" t="str">
        <f>"1080051D00056    00"</f>
        <v>1080051D00056    00</v>
      </c>
      <c r="B2765" t="s">
        <v>6652</v>
      </c>
      <c r="C2765" t="s">
        <v>6653</v>
      </c>
      <c r="E2765" t="s">
        <v>39</v>
      </c>
      <c r="F2765">
        <v>0</v>
      </c>
      <c r="G2765">
        <v>0</v>
      </c>
      <c r="H2765">
        <v>1</v>
      </c>
      <c r="I2765" s="3">
        <v>1947.93</v>
      </c>
      <c r="J2765" s="3">
        <v>194.78</v>
      </c>
      <c r="K2765" t="s">
        <v>5334</v>
      </c>
      <c r="L2765">
        <v>3001</v>
      </c>
      <c r="M2765" t="s">
        <v>330</v>
      </c>
      <c r="N2765" t="s">
        <v>331</v>
      </c>
      <c r="O2765" t="s">
        <v>108</v>
      </c>
      <c r="P2765" t="str">
        <f>"75063"</f>
        <v>75063</v>
      </c>
    </row>
    <row r="2766" spans="1:16" x14ac:dyDescent="0.25">
      <c r="A2766" t="str">
        <f>"1080051D00128    00"</f>
        <v>1080051D00128    00</v>
      </c>
      <c r="B2766" t="s">
        <v>6654</v>
      </c>
      <c r="C2766" t="s">
        <v>6655</v>
      </c>
      <c r="D2766" t="s">
        <v>20</v>
      </c>
      <c r="E2766" t="s">
        <v>39</v>
      </c>
      <c r="F2766">
        <v>0</v>
      </c>
      <c r="G2766">
        <v>0</v>
      </c>
      <c r="H2766">
        <v>2</v>
      </c>
      <c r="I2766" s="3">
        <v>8386.44</v>
      </c>
      <c r="J2766" s="3">
        <v>0</v>
      </c>
      <c r="K2766" t="s">
        <v>1483</v>
      </c>
      <c r="L2766">
        <v>2333</v>
      </c>
      <c r="M2766" t="s">
        <v>1484</v>
      </c>
      <c r="N2766" t="s">
        <v>30</v>
      </c>
      <c r="O2766" t="s">
        <v>31</v>
      </c>
      <c r="P2766" t="str">
        <f>"15203"</f>
        <v>15203</v>
      </c>
    </row>
    <row r="2767" spans="1:16" x14ac:dyDescent="0.25">
      <c r="A2767" t="str">
        <f>"1080051D00242    00"</f>
        <v>1080051D00242    00</v>
      </c>
      <c r="B2767" t="s">
        <v>6656</v>
      </c>
      <c r="C2767" t="s">
        <v>6657</v>
      </c>
      <c r="E2767" t="s">
        <v>39</v>
      </c>
      <c r="F2767">
        <v>0</v>
      </c>
      <c r="G2767">
        <v>0</v>
      </c>
      <c r="H2767">
        <v>1</v>
      </c>
      <c r="I2767" s="3">
        <v>615.53</v>
      </c>
      <c r="J2767" s="3">
        <v>779.64</v>
      </c>
      <c r="K2767" t="s">
        <v>1030</v>
      </c>
      <c r="M2767" t="s">
        <v>1031</v>
      </c>
      <c r="N2767" t="s">
        <v>1032</v>
      </c>
      <c r="O2767" t="s">
        <v>25</v>
      </c>
      <c r="P2767" t="str">
        <f>"44711"</f>
        <v>44711</v>
      </c>
    </row>
    <row r="2768" spans="1:16" x14ac:dyDescent="0.25">
      <c r="A2768" t="str">
        <f>"1080051D00244    00"</f>
        <v>1080051D00244    00</v>
      </c>
      <c r="B2768" t="s">
        <v>6658</v>
      </c>
      <c r="C2768" t="s">
        <v>6659</v>
      </c>
      <c r="D2768" t="s">
        <v>20</v>
      </c>
      <c r="E2768" t="s">
        <v>39</v>
      </c>
      <c r="F2768">
        <v>0</v>
      </c>
      <c r="G2768">
        <v>0</v>
      </c>
      <c r="H2768">
        <v>3</v>
      </c>
      <c r="I2768" s="3">
        <v>10660.28</v>
      </c>
      <c r="J2768" s="3">
        <v>207.17</v>
      </c>
      <c r="K2768" t="s">
        <v>6660</v>
      </c>
      <c r="L2768">
        <v>301</v>
      </c>
      <c r="M2768" t="s">
        <v>6535</v>
      </c>
      <c r="N2768" t="s">
        <v>30</v>
      </c>
      <c r="O2768" t="s">
        <v>31</v>
      </c>
      <c r="P2768" t="str">
        <f>"15232"</f>
        <v>15232</v>
      </c>
    </row>
    <row r="2769" spans="1:16" x14ac:dyDescent="0.25">
      <c r="A2769" t="str">
        <f>"1080051D00261    00"</f>
        <v>1080051D00261    00</v>
      </c>
      <c r="B2769" t="s">
        <v>6661</v>
      </c>
      <c r="C2769" t="s">
        <v>6662</v>
      </c>
      <c r="D2769" t="s">
        <v>20</v>
      </c>
      <c r="E2769" t="s">
        <v>39</v>
      </c>
      <c r="F2769">
        <v>0</v>
      </c>
      <c r="G2769">
        <v>0</v>
      </c>
      <c r="H2769">
        <v>1</v>
      </c>
      <c r="I2769" s="3">
        <v>4383.82</v>
      </c>
      <c r="J2769" s="3">
        <v>0</v>
      </c>
      <c r="L2769">
        <v>11</v>
      </c>
      <c r="M2769" t="s">
        <v>4125</v>
      </c>
      <c r="N2769" t="s">
        <v>4126</v>
      </c>
      <c r="O2769" t="s">
        <v>440</v>
      </c>
      <c r="P2769" t="str">
        <f>"02446"</f>
        <v>02446</v>
      </c>
    </row>
    <row r="2770" spans="1:16" x14ac:dyDescent="0.25">
      <c r="A2770" t="str">
        <f>"1080051D00339    00"</f>
        <v>1080051D00339    00</v>
      </c>
      <c r="B2770" t="s">
        <v>6663</v>
      </c>
      <c r="C2770" t="s">
        <v>6664</v>
      </c>
      <c r="E2770" t="s">
        <v>21</v>
      </c>
      <c r="F2770">
        <v>0</v>
      </c>
      <c r="G2770">
        <v>0</v>
      </c>
      <c r="H2770">
        <v>2</v>
      </c>
      <c r="I2770" s="3">
        <v>231.32</v>
      </c>
      <c r="J2770" s="3">
        <v>2.89</v>
      </c>
      <c r="K2770" t="s">
        <v>6665</v>
      </c>
      <c r="L2770">
        <v>7110</v>
      </c>
      <c r="M2770" t="s">
        <v>6666</v>
      </c>
      <c r="N2770" t="s">
        <v>6667</v>
      </c>
      <c r="O2770" t="s">
        <v>6668</v>
      </c>
      <c r="P2770" t="str">
        <f>"98394"</f>
        <v>98394</v>
      </c>
    </row>
    <row r="2771" spans="1:16" x14ac:dyDescent="0.25">
      <c r="A2771" t="str">
        <f>"1080051E00002    00"</f>
        <v>1080051E00002    00</v>
      </c>
      <c r="B2771" t="s">
        <v>6560</v>
      </c>
      <c r="C2771" t="s">
        <v>6669</v>
      </c>
      <c r="D2771" t="s">
        <v>20</v>
      </c>
      <c r="E2771" t="s">
        <v>39</v>
      </c>
      <c r="F2771">
        <v>0</v>
      </c>
      <c r="G2771">
        <v>0</v>
      </c>
      <c r="H2771">
        <v>2</v>
      </c>
      <c r="I2771" s="3">
        <v>625.16</v>
      </c>
      <c r="J2771" s="3">
        <v>0</v>
      </c>
      <c r="K2771" t="s">
        <v>6562</v>
      </c>
      <c r="L2771">
        <v>413</v>
      </c>
      <c r="M2771" t="s">
        <v>1481</v>
      </c>
      <c r="N2771" t="s">
        <v>30</v>
      </c>
      <c r="O2771" t="s">
        <v>31</v>
      </c>
      <c r="P2771" t="str">
        <f>"15213"</f>
        <v>15213</v>
      </c>
    </row>
    <row r="2772" spans="1:16" x14ac:dyDescent="0.25">
      <c r="A2772" t="str">
        <f>"1080051E00005    00"</f>
        <v>1080051E00005    00</v>
      </c>
      <c r="B2772" t="s">
        <v>6670</v>
      </c>
      <c r="C2772" t="s">
        <v>6671</v>
      </c>
      <c r="D2772" t="s">
        <v>20</v>
      </c>
      <c r="E2772" t="s">
        <v>39</v>
      </c>
      <c r="F2772">
        <v>0</v>
      </c>
      <c r="G2772">
        <v>0</v>
      </c>
      <c r="H2772">
        <v>2</v>
      </c>
      <c r="I2772" s="3">
        <v>1697.32</v>
      </c>
      <c r="J2772" s="3">
        <v>0</v>
      </c>
      <c r="K2772" t="s">
        <v>6672</v>
      </c>
      <c r="M2772" t="s">
        <v>6673</v>
      </c>
      <c r="N2772" t="s">
        <v>30</v>
      </c>
      <c r="O2772" t="s">
        <v>31</v>
      </c>
      <c r="P2772" t="str">
        <f>"15224"</f>
        <v>15224</v>
      </c>
    </row>
    <row r="2773" spans="1:16" x14ac:dyDescent="0.25">
      <c r="A2773" t="str">
        <f>"1080051E00050    00"</f>
        <v>1080051E00050    00</v>
      </c>
      <c r="B2773" t="s">
        <v>6674</v>
      </c>
      <c r="C2773" t="s">
        <v>6675</v>
      </c>
      <c r="E2773" t="s">
        <v>39</v>
      </c>
      <c r="F2773">
        <v>0</v>
      </c>
      <c r="G2773">
        <v>0</v>
      </c>
      <c r="H2773">
        <v>1</v>
      </c>
      <c r="I2773" s="3">
        <v>941.98</v>
      </c>
      <c r="J2773" s="3">
        <v>31.39</v>
      </c>
      <c r="K2773" t="s">
        <v>6676</v>
      </c>
      <c r="L2773">
        <v>7110</v>
      </c>
      <c r="M2773" t="s">
        <v>6666</v>
      </c>
      <c r="N2773" t="s">
        <v>6667</v>
      </c>
      <c r="O2773" t="s">
        <v>6668</v>
      </c>
      <c r="P2773" t="str">
        <f>"98394"</f>
        <v>98394</v>
      </c>
    </row>
    <row r="2774" spans="1:16" x14ac:dyDescent="0.25">
      <c r="A2774" t="str">
        <f>"1080051E00054    00"</f>
        <v>1080051E00054    00</v>
      </c>
      <c r="B2774" t="s">
        <v>6677</v>
      </c>
      <c r="C2774" t="s">
        <v>6678</v>
      </c>
      <c r="E2774" t="s">
        <v>39</v>
      </c>
      <c r="F2774">
        <v>0</v>
      </c>
      <c r="G2774">
        <v>0</v>
      </c>
      <c r="H2774">
        <v>1</v>
      </c>
      <c r="I2774" s="3">
        <v>907.44</v>
      </c>
      <c r="J2774" s="3">
        <v>0</v>
      </c>
      <c r="L2774">
        <v>1092</v>
      </c>
      <c r="M2774" t="s">
        <v>6679</v>
      </c>
      <c r="N2774" t="s">
        <v>1823</v>
      </c>
      <c r="O2774" t="s">
        <v>31</v>
      </c>
      <c r="P2774" t="str">
        <f>"15024"</f>
        <v>15024</v>
      </c>
    </row>
    <row r="2775" spans="1:16" x14ac:dyDescent="0.25">
      <c r="A2775" t="str">
        <f>"1080051E00067    00"</f>
        <v>1080051E00067    00</v>
      </c>
      <c r="B2775" t="s">
        <v>6680</v>
      </c>
      <c r="C2775" t="s">
        <v>6681</v>
      </c>
      <c r="E2775" t="s">
        <v>39</v>
      </c>
      <c r="F2775">
        <v>0</v>
      </c>
      <c r="G2775">
        <v>0</v>
      </c>
      <c r="H2775">
        <v>1</v>
      </c>
      <c r="I2775" s="3">
        <v>2325.34</v>
      </c>
      <c r="J2775" s="3">
        <v>0</v>
      </c>
      <c r="K2775" t="s">
        <v>6682</v>
      </c>
      <c r="L2775">
        <v>134</v>
      </c>
      <c r="M2775" t="s">
        <v>6683</v>
      </c>
      <c r="N2775" t="s">
        <v>30</v>
      </c>
      <c r="O2775" t="s">
        <v>31</v>
      </c>
      <c r="P2775" t="str">
        <f>"15206"</f>
        <v>15206</v>
      </c>
    </row>
    <row r="2776" spans="1:16" x14ac:dyDescent="0.25">
      <c r="A2776" t="str">
        <f>"1080051E00077    00"</f>
        <v>1080051E00077    00</v>
      </c>
      <c r="B2776" t="s">
        <v>6684</v>
      </c>
      <c r="C2776" t="s">
        <v>6685</v>
      </c>
      <c r="D2776" t="s">
        <v>20</v>
      </c>
      <c r="E2776" t="s">
        <v>39</v>
      </c>
      <c r="F2776">
        <v>0</v>
      </c>
      <c r="G2776">
        <v>0</v>
      </c>
      <c r="H2776">
        <v>2</v>
      </c>
      <c r="I2776" s="3">
        <v>3434.64</v>
      </c>
      <c r="J2776" s="3">
        <v>0</v>
      </c>
      <c r="L2776">
        <v>45</v>
      </c>
      <c r="M2776" t="s">
        <v>6686</v>
      </c>
      <c r="N2776" t="s">
        <v>1210</v>
      </c>
      <c r="O2776" t="s">
        <v>495</v>
      </c>
      <c r="P2776" t="str">
        <f>"94110"</f>
        <v>94110</v>
      </c>
    </row>
    <row r="2777" spans="1:16" x14ac:dyDescent="0.25">
      <c r="A2777" t="str">
        <f>"1080051E00098    00"</f>
        <v>1080051E00098    00</v>
      </c>
      <c r="B2777" t="s">
        <v>6687</v>
      </c>
      <c r="C2777" t="s">
        <v>6688</v>
      </c>
      <c r="D2777" t="s">
        <v>20</v>
      </c>
      <c r="E2777" t="s">
        <v>39</v>
      </c>
      <c r="F2777">
        <v>0</v>
      </c>
      <c r="G2777">
        <v>0</v>
      </c>
      <c r="H2777">
        <v>2</v>
      </c>
      <c r="I2777" s="3">
        <v>2162.38</v>
      </c>
      <c r="J2777" s="3">
        <v>0</v>
      </c>
      <c r="L2777">
        <v>4784</v>
      </c>
      <c r="M2777" t="s">
        <v>6689</v>
      </c>
      <c r="N2777" t="s">
        <v>30</v>
      </c>
      <c r="O2777" t="s">
        <v>31</v>
      </c>
      <c r="P2777" t="str">
        <f>"15224"</f>
        <v>15224</v>
      </c>
    </row>
    <row r="2778" spans="1:16" x14ac:dyDescent="0.25">
      <c r="A2778" t="str">
        <f>"1080051E00188    00"</f>
        <v>1080051E00188    00</v>
      </c>
      <c r="B2778" t="s">
        <v>6690</v>
      </c>
      <c r="C2778" t="s">
        <v>6691</v>
      </c>
      <c r="D2778" t="s">
        <v>20</v>
      </c>
      <c r="E2778" t="s">
        <v>39</v>
      </c>
      <c r="F2778">
        <v>0</v>
      </c>
      <c r="G2778">
        <v>0</v>
      </c>
      <c r="H2778">
        <v>2</v>
      </c>
      <c r="I2778" s="3">
        <v>2040.4</v>
      </c>
      <c r="J2778" s="3">
        <v>0</v>
      </c>
      <c r="L2778">
        <v>4915</v>
      </c>
      <c r="M2778" t="s">
        <v>6689</v>
      </c>
      <c r="N2778" t="s">
        <v>30</v>
      </c>
      <c r="O2778" t="s">
        <v>31</v>
      </c>
      <c r="P2778" t="str">
        <f>"15224"</f>
        <v>15224</v>
      </c>
    </row>
    <row r="2779" spans="1:16" x14ac:dyDescent="0.25">
      <c r="A2779" t="str">
        <f>"1080051E00208A   00"</f>
        <v>1080051E00208A   00</v>
      </c>
      <c r="B2779" t="s">
        <v>6692</v>
      </c>
      <c r="C2779" t="s">
        <v>6693</v>
      </c>
      <c r="E2779" t="s">
        <v>39</v>
      </c>
      <c r="F2779">
        <v>0</v>
      </c>
      <c r="G2779">
        <v>0</v>
      </c>
      <c r="H2779">
        <v>1</v>
      </c>
      <c r="I2779" s="3">
        <v>234.69</v>
      </c>
      <c r="J2779" s="3">
        <v>0</v>
      </c>
      <c r="K2779" t="s">
        <v>6694</v>
      </c>
      <c r="L2779">
        <v>409</v>
      </c>
      <c r="M2779" t="s">
        <v>6695</v>
      </c>
      <c r="N2779" t="s">
        <v>30</v>
      </c>
      <c r="O2779" t="s">
        <v>31</v>
      </c>
      <c r="P2779" t="str">
        <f>"15206"</f>
        <v>15206</v>
      </c>
    </row>
    <row r="2780" spans="1:16" x14ac:dyDescent="0.25">
      <c r="A2780" t="str">
        <f>"1080051E00217    00"</f>
        <v>1080051E00217    00</v>
      </c>
      <c r="B2780" t="s">
        <v>6696</v>
      </c>
      <c r="C2780" t="s">
        <v>6697</v>
      </c>
      <c r="D2780" t="s">
        <v>20</v>
      </c>
      <c r="E2780" t="s">
        <v>39</v>
      </c>
      <c r="F2780">
        <v>0</v>
      </c>
      <c r="G2780">
        <v>0</v>
      </c>
      <c r="H2780">
        <v>4</v>
      </c>
      <c r="I2780" s="3">
        <v>4779.97</v>
      </c>
      <c r="J2780" s="3">
        <v>1327.95</v>
      </c>
      <c r="L2780">
        <v>219</v>
      </c>
      <c r="M2780" t="s">
        <v>4219</v>
      </c>
      <c r="N2780" t="s">
        <v>30</v>
      </c>
      <c r="O2780" t="s">
        <v>31</v>
      </c>
      <c r="P2780" t="str">
        <f>"15206"</f>
        <v>15206</v>
      </c>
    </row>
    <row r="2781" spans="1:16" x14ac:dyDescent="0.25">
      <c r="A2781" t="str">
        <f>"1080051E00218    00"</f>
        <v>1080051E00218    00</v>
      </c>
      <c r="B2781" t="s">
        <v>6698</v>
      </c>
      <c r="C2781" t="s">
        <v>6699</v>
      </c>
      <c r="E2781" t="s">
        <v>39</v>
      </c>
      <c r="F2781">
        <v>0</v>
      </c>
      <c r="G2781">
        <v>0</v>
      </c>
      <c r="H2781">
        <v>1</v>
      </c>
      <c r="I2781" s="3">
        <v>1041.4100000000001</v>
      </c>
      <c r="J2781" s="3">
        <v>512.01</v>
      </c>
      <c r="L2781">
        <v>4906</v>
      </c>
      <c r="M2781" t="s">
        <v>6700</v>
      </c>
      <c r="N2781" t="s">
        <v>30</v>
      </c>
      <c r="O2781" t="s">
        <v>31</v>
      </c>
      <c r="P2781" t="str">
        <f>"15224"</f>
        <v>15224</v>
      </c>
    </row>
    <row r="2782" spans="1:16" x14ac:dyDescent="0.25">
      <c r="A2782" t="str">
        <f>"1080051E00231    00"</f>
        <v>1080051E00231    00</v>
      </c>
      <c r="B2782" t="s">
        <v>6701</v>
      </c>
      <c r="C2782" t="s">
        <v>6702</v>
      </c>
      <c r="D2782" t="s">
        <v>20</v>
      </c>
      <c r="E2782" t="s">
        <v>21</v>
      </c>
      <c r="F2782">
        <v>0</v>
      </c>
      <c r="G2782">
        <v>0</v>
      </c>
      <c r="H2782">
        <v>1</v>
      </c>
      <c r="I2782" s="3">
        <v>1530.53</v>
      </c>
      <c r="J2782" s="3">
        <v>0</v>
      </c>
      <c r="L2782">
        <v>126</v>
      </c>
      <c r="M2782" t="s">
        <v>6703</v>
      </c>
      <c r="N2782" t="s">
        <v>4318</v>
      </c>
      <c r="O2782" t="s">
        <v>31</v>
      </c>
      <c r="P2782" t="str">
        <f>"16046"</f>
        <v>16046</v>
      </c>
    </row>
    <row r="2783" spans="1:16" x14ac:dyDescent="0.25">
      <c r="A2783" t="str">
        <f>"1080051E00232    00"</f>
        <v>1080051E00232    00</v>
      </c>
      <c r="B2783" t="s">
        <v>6704</v>
      </c>
      <c r="C2783" t="s">
        <v>6705</v>
      </c>
      <c r="D2783" t="s">
        <v>20</v>
      </c>
      <c r="E2783" t="s">
        <v>39</v>
      </c>
      <c r="F2783">
        <v>0</v>
      </c>
      <c r="G2783">
        <v>0</v>
      </c>
      <c r="H2783">
        <v>2</v>
      </c>
      <c r="I2783" s="3">
        <v>4441</v>
      </c>
      <c r="J2783" s="3">
        <v>0</v>
      </c>
      <c r="L2783">
        <v>6767</v>
      </c>
      <c r="M2783" t="s">
        <v>6706</v>
      </c>
      <c r="N2783" t="s">
        <v>4318</v>
      </c>
      <c r="O2783" t="s">
        <v>31</v>
      </c>
      <c r="P2783" t="str">
        <f>"16046"</f>
        <v>16046</v>
      </c>
    </row>
    <row r="2784" spans="1:16" x14ac:dyDescent="0.25">
      <c r="A2784" t="str">
        <f>"1080051E00259    00"</f>
        <v>1080051E00259    00</v>
      </c>
      <c r="B2784" t="s">
        <v>6707</v>
      </c>
      <c r="C2784" t="s">
        <v>6708</v>
      </c>
      <c r="D2784" t="s">
        <v>20</v>
      </c>
      <c r="E2784" t="s">
        <v>39</v>
      </c>
      <c r="F2784">
        <v>0</v>
      </c>
      <c r="G2784">
        <v>0</v>
      </c>
      <c r="H2784">
        <v>1</v>
      </c>
      <c r="I2784" s="3">
        <v>192.6</v>
      </c>
      <c r="J2784" s="3">
        <v>0</v>
      </c>
      <c r="L2784">
        <v>533</v>
      </c>
      <c r="M2784" t="s">
        <v>6582</v>
      </c>
      <c r="N2784" t="s">
        <v>30</v>
      </c>
      <c r="O2784" t="s">
        <v>31</v>
      </c>
      <c r="P2784" t="str">
        <f>"15224"</f>
        <v>15224</v>
      </c>
    </row>
    <row r="2785" spans="1:16" x14ac:dyDescent="0.25">
      <c r="A2785" t="str">
        <f>"1080051E00262    00"</f>
        <v>1080051E00262    00</v>
      </c>
      <c r="B2785" t="s">
        <v>6709</v>
      </c>
      <c r="C2785" t="s">
        <v>6710</v>
      </c>
      <c r="E2785" t="s">
        <v>39</v>
      </c>
      <c r="F2785">
        <v>0</v>
      </c>
      <c r="G2785">
        <v>0</v>
      </c>
      <c r="H2785">
        <v>2</v>
      </c>
      <c r="I2785" s="3">
        <v>301.47000000000003</v>
      </c>
      <c r="J2785" s="3">
        <v>1.25</v>
      </c>
      <c r="L2785">
        <v>1109</v>
      </c>
      <c r="M2785" t="s">
        <v>6711</v>
      </c>
      <c r="N2785" t="s">
        <v>1474</v>
      </c>
      <c r="O2785" t="s">
        <v>31</v>
      </c>
      <c r="P2785" t="str">
        <f>"15107"</f>
        <v>15107</v>
      </c>
    </row>
    <row r="2786" spans="1:16" x14ac:dyDescent="0.25">
      <c r="A2786" t="str">
        <f>"1080051E00272    00"</f>
        <v>1080051E00272    00</v>
      </c>
      <c r="B2786" t="s">
        <v>6712</v>
      </c>
      <c r="C2786" t="s">
        <v>6713</v>
      </c>
      <c r="D2786" t="s">
        <v>20</v>
      </c>
      <c r="E2786" t="s">
        <v>39</v>
      </c>
      <c r="F2786">
        <v>0</v>
      </c>
      <c r="G2786">
        <v>0</v>
      </c>
      <c r="H2786">
        <v>1</v>
      </c>
      <c r="I2786" s="3">
        <v>789.4</v>
      </c>
      <c r="J2786" s="3">
        <v>0</v>
      </c>
      <c r="L2786">
        <v>4917</v>
      </c>
      <c r="M2786" t="s">
        <v>6700</v>
      </c>
      <c r="N2786" t="s">
        <v>30</v>
      </c>
      <c r="O2786" t="s">
        <v>31</v>
      </c>
      <c r="P2786" t="str">
        <f>"15224"</f>
        <v>15224</v>
      </c>
    </row>
    <row r="2787" spans="1:16" x14ac:dyDescent="0.25">
      <c r="A2787" t="str">
        <f>"1080051E00281    00"</f>
        <v>1080051E00281    00</v>
      </c>
      <c r="B2787" t="s">
        <v>6714</v>
      </c>
      <c r="C2787" t="s">
        <v>6715</v>
      </c>
      <c r="D2787" t="s">
        <v>20</v>
      </c>
      <c r="E2787" t="s">
        <v>39</v>
      </c>
      <c r="F2787">
        <v>0</v>
      </c>
      <c r="G2787">
        <v>0</v>
      </c>
      <c r="H2787">
        <v>3</v>
      </c>
      <c r="I2787" s="3">
        <v>1095.71</v>
      </c>
      <c r="J2787" s="3">
        <v>446.64</v>
      </c>
      <c r="K2787" t="s">
        <v>6716</v>
      </c>
      <c r="L2787">
        <v>102</v>
      </c>
      <c r="M2787" t="s">
        <v>6717</v>
      </c>
      <c r="N2787" t="s">
        <v>6718</v>
      </c>
      <c r="O2787" t="s">
        <v>692</v>
      </c>
      <c r="P2787" t="str">
        <f>"22556"</f>
        <v>22556</v>
      </c>
    </row>
    <row r="2788" spans="1:16" x14ac:dyDescent="0.25">
      <c r="A2788" t="str">
        <f>"1080051E00283    00"</f>
        <v>1080051E00283    00</v>
      </c>
      <c r="B2788" t="s">
        <v>6719</v>
      </c>
      <c r="C2788" t="s">
        <v>6720</v>
      </c>
      <c r="E2788" t="s">
        <v>39</v>
      </c>
      <c r="F2788">
        <v>0</v>
      </c>
      <c r="G2788">
        <v>0</v>
      </c>
      <c r="H2788">
        <v>1</v>
      </c>
      <c r="I2788" s="3">
        <v>1391.42</v>
      </c>
      <c r="J2788" s="3">
        <v>278.27999999999997</v>
      </c>
      <c r="L2788">
        <v>4817</v>
      </c>
      <c r="M2788" t="s">
        <v>6700</v>
      </c>
      <c r="N2788" t="s">
        <v>30</v>
      </c>
      <c r="O2788" t="s">
        <v>31</v>
      </c>
      <c r="P2788" t="str">
        <f>"15224"</f>
        <v>15224</v>
      </c>
    </row>
    <row r="2789" spans="1:16" x14ac:dyDescent="0.25">
      <c r="A2789" t="str">
        <f>"1080051E00318    00"</f>
        <v>1080051E00318    00</v>
      </c>
      <c r="B2789" t="s">
        <v>6721</v>
      </c>
      <c r="C2789" t="s">
        <v>6722</v>
      </c>
      <c r="D2789" t="s">
        <v>20</v>
      </c>
      <c r="E2789" t="s">
        <v>39</v>
      </c>
      <c r="F2789">
        <v>0</v>
      </c>
      <c r="G2789">
        <v>0</v>
      </c>
      <c r="H2789">
        <v>1</v>
      </c>
      <c r="I2789" s="3">
        <v>757.14</v>
      </c>
      <c r="J2789" s="3">
        <v>0</v>
      </c>
      <c r="L2789">
        <v>4926</v>
      </c>
      <c r="M2789" t="s">
        <v>5727</v>
      </c>
      <c r="N2789" t="s">
        <v>30</v>
      </c>
      <c r="O2789" t="s">
        <v>31</v>
      </c>
      <c r="P2789" t="str">
        <f>"15224"</f>
        <v>15224</v>
      </c>
    </row>
    <row r="2790" spans="1:16" x14ac:dyDescent="0.25">
      <c r="A2790" t="str">
        <f>"1080051E00325    00"</f>
        <v>1080051E00325    00</v>
      </c>
      <c r="B2790" t="s">
        <v>6723</v>
      </c>
      <c r="C2790" t="s">
        <v>6724</v>
      </c>
      <c r="D2790" t="s">
        <v>20</v>
      </c>
      <c r="E2790" t="s">
        <v>39</v>
      </c>
      <c r="F2790">
        <v>0</v>
      </c>
      <c r="G2790">
        <v>0</v>
      </c>
      <c r="H2790">
        <v>1</v>
      </c>
      <c r="I2790" s="3">
        <v>2201.44</v>
      </c>
      <c r="J2790" s="3">
        <v>0</v>
      </c>
      <c r="K2790" t="s">
        <v>6725</v>
      </c>
      <c r="L2790">
        <v>256</v>
      </c>
      <c r="M2790" t="s">
        <v>6726</v>
      </c>
      <c r="N2790" t="s">
        <v>6727</v>
      </c>
      <c r="O2790" t="s">
        <v>495</v>
      </c>
      <c r="P2790" t="str">
        <f>"91711"</f>
        <v>91711</v>
      </c>
    </row>
    <row r="2791" spans="1:16" x14ac:dyDescent="0.25">
      <c r="A2791" t="str">
        <f>"1080051E00349    00"</f>
        <v>1080051E00349    00</v>
      </c>
      <c r="B2791" t="s">
        <v>6728</v>
      </c>
      <c r="C2791" t="s">
        <v>6729</v>
      </c>
      <c r="E2791" t="s">
        <v>39</v>
      </c>
      <c r="F2791">
        <v>0</v>
      </c>
      <c r="G2791">
        <v>0</v>
      </c>
      <c r="H2791">
        <v>1</v>
      </c>
      <c r="I2791" s="3">
        <v>946.21</v>
      </c>
      <c r="J2791" s="3">
        <v>0</v>
      </c>
      <c r="K2791" t="s">
        <v>6730</v>
      </c>
      <c r="L2791">
        <v>163</v>
      </c>
      <c r="M2791" t="s">
        <v>6731</v>
      </c>
      <c r="N2791" t="s">
        <v>4318</v>
      </c>
      <c r="O2791" t="s">
        <v>31</v>
      </c>
      <c r="P2791" t="str">
        <f>"16046"</f>
        <v>16046</v>
      </c>
    </row>
    <row r="2792" spans="1:16" x14ac:dyDescent="0.25">
      <c r="A2792" t="str">
        <f>"1080051E00353    00"</f>
        <v>1080051E00353    00</v>
      </c>
      <c r="B2792" t="s">
        <v>6732</v>
      </c>
      <c r="C2792" t="s">
        <v>6733</v>
      </c>
      <c r="D2792" t="s">
        <v>20</v>
      </c>
      <c r="E2792" t="s">
        <v>21</v>
      </c>
      <c r="F2792">
        <v>0</v>
      </c>
      <c r="G2792">
        <v>0</v>
      </c>
      <c r="H2792">
        <v>1</v>
      </c>
      <c r="I2792" s="3">
        <v>4015.95</v>
      </c>
      <c r="J2792" s="3">
        <v>0</v>
      </c>
      <c r="K2792" t="s">
        <v>6734</v>
      </c>
      <c r="L2792">
        <v>413</v>
      </c>
      <c r="M2792" t="s">
        <v>1481</v>
      </c>
      <c r="N2792" t="s">
        <v>30</v>
      </c>
      <c r="O2792" t="s">
        <v>31</v>
      </c>
      <c r="P2792" t="str">
        <f>"15213"</f>
        <v>15213</v>
      </c>
    </row>
    <row r="2793" spans="1:16" x14ac:dyDescent="0.25">
      <c r="A2793" t="str">
        <f>"1080051E00356    00"</f>
        <v>1080051E00356    00</v>
      </c>
      <c r="B2793" t="s">
        <v>6735</v>
      </c>
      <c r="C2793" t="s">
        <v>6736</v>
      </c>
      <c r="E2793" t="s">
        <v>21</v>
      </c>
      <c r="F2793">
        <v>0</v>
      </c>
      <c r="G2793">
        <v>0</v>
      </c>
      <c r="H2793">
        <v>2</v>
      </c>
      <c r="I2793" s="3">
        <v>13635.04</v>
      </c>
      <c r="J2793" s="3">
        <v>1773.27</v>
      </c>
      <c r="K2793" t="s">
        <v>6737</v>
      </c>
      <c r="L2793">
        <v>4828</v>
      </c>
      <c r="M2793" t="s">
        <v>614</v>
      </c>
      <c r="N2793" t="s">
        <v>30</v>
      </c>
      <c r="O2793" t="s">
        <v>31</v>
      </c>
      <c r="P2793" t="str">
        <f>"15224"</f>
        <v>15224</v>
      </c>
    </row>
    <row r="2794" spans="1:16" x14ac:dyDescent="0.25">
      <c r="A2794" t="str">
        <f>"1080051F00012    00"</f>
        <v>1080051F00012    00</v>
      </c>
      <c r="B2794" t="s">
        <v>6738</v>
      </c>
      <c r="C2794" t="s">
        <v>6739</v>
      </c>
      <c r="D2794" t="s">
        <v>20</v>
      </c>
      <c r="E2794" t="s">
        <v>39</v>
      </c>
      <c r="F2794">
        <v>0</v>
      </c>
      <c r="G2794">
        <v>0</v>
      </c>
      <c r="H2794">
        <v>1</v>
      </c>
      <c r="I2794" s="3">
        <v>320.45</v>
      </c>
      <c r="J2794" s="3">
        <v>0</v>
      </c>
      <c r="L2794">
        <v>517</v>
      </c>
      <c r="M2794" t="s">
        <v>6582</v>
      </c>
      <c r="N2794" t="s">
        <v>30</v>
      </c>
      <c r="O2794" t="s">
        <v>31</v>
      </c>
      <c r="P2794" t="str">
        <f>"15224"</f>
        <v>15224</v>
      </c>
    </row>
    <row r="2795" spans="1:16" x14ac:dyDescent="0.25">
      <c r="A2795" t="str">
        <f>"1080051F00013    00"</f>
        <v>1080051F00013    00</v>
      </c>
      <c r="B2795" t="s">
        <v>6740</v>
      </c>
      <c r="C2795" t="s">
        <v>6741</v>
      </c>
      <c r="D2795" t="s">
        <v>57</v>
      </c>
      <c r="E2795" t="s">
        <v>39</v>
      </c>
      <c r="F2795">
        <v>0</v>
      </c>
      <c r="G2795">
        <v>0</v>
      </c>
      <c r="H2795">
        <v>1</v>
      </c>
      <c r="I2795" s="3">
        <v>2000</v>
      </c>
      <c r="J2795" s="3">
        <v>449.98</v>
      </c>
      <c r="K2795" t="s">
        <v>6742</v>
      </c>
      <c r="L2795">
        <v>214</v>
      </c>
      <c r="M2795" t="s">
        <v>6743</v>
      </c>
      <c r="N2795" t="s">
        <v>4150</v>
      </c>
      <c r="O2795" t="s">
        <v>31</v>
      </c>
      <c r="P2795" t="str">
        <f>"15116"</f>
        <v>15116</v>
      </c>
    </row>
    <row r="2796" spans="1:16" x14ac:dyDescent="0.25">
      <c r="A2796" t="str">
        <f>"1080051F00236    00"</f>
        <v>1080051F00236    00</v>
      </c>
      <c r="B2796" t="s">
        <v>6744</v>
      </c>
      <c r="C2796" t="s">
        <v>6745</v>
      </c>
      <c r="D2796" t="s">
        <v>20</v>
      </c>
      <c r="E2796" t="s">
        <v>39</v>
      </c>
      <c r="F2796">
        <v>0</v>
      </c>
      <c r="G2796">
        <v>0</v>
      </c>
      <c r="H2796">
        <v>1</v>
      </c>
      <c r="I2796" s="3">
        <v>2087.06</v>
      </c>
      <c r="J2796" s="3">
        <v>0</v>
      </c>
      <c r="K2796" t="s">
        <v>4801</v>
      </c>
      <c r="L2796">
        <v>1</v>
      </c>
      <c r="M2796" t="s">
        <v>4802</v>
      </c>
      <c r="N2796" t="s">
        <v>4803</v>
      </c>
      <c r="O2796" t="s">
        <v>554</v>
      </c>
      <c r="P2796" t="str">
        <f>"26003"</f>
        <v>26003</v>
      </c>
    </row>
    <row r="2797" spans="1:16" x14ac:dyDescent="0.25">
      <c r="A2797" t="str">
        <f>"1080051F00254    00"</f>
        <v>1080051F00254    00</v>
      </c>
      <c r="B2797" t="s">
        <v>6746</v>
      </c>
      <c r="C2797" t="s">
        <v>6747</v>
      </c>
      <c r="D2797" t="s">
        <v>20</v>
      </c>
      <c r="E2797" t="s">
        <v>39</v>
      </c>
      <c r="F2797">
        <v>0</v>
      </c>
      <c r="G2797">
        <v>0</v>
      </c>
      <c r="H2797">
        <v>1</v>
      </c>
      <c r="I2797" s="3">
        <v>1926.98</v>
      </c>
      <c r="J2797" s="3">
        <v>0</v>
      </c>
      <c r="K2797" t="s">
        <v>6748</v>
      </c>
      <c r="L2797">
        <v>4624</v>
      </c>
      <c r="M2797" t="s">
        <v>585</v>
      </c>
      <c r="N2797" t="s">
        <v>30</v>
      </c>
      <c r="O2797" t="s">
        <v>31</v>
      </c>
      <c r="P2797" t="str">
        <f>"15224"</f>
        <v>15224</v>
      </c>
    </row>
    <row r="2798" spans="1:16" x14ac:dyDescent="0.25">
      <c r="A2798" t="str">
        <f>"1080051F00256    00"</f>
        <v>1080051F00256    00</v>
      </c>
      <c r="B2798" t="s">
        <v>6749</v>
      </c>
      <c r="C2798" t="s">
        <v>6750</v>
      </c>
      <c r="D2798" t="s">
        <v>20</v>
      </c>
      <c r="E2798" t="s">
        <v>39</v>
      </c>
      <c r="F2798">
        <v>0</v>
      </c>
      <c r="G2798">
        <v>0</v>
      </c>
      <c r="H2798">
        <v>3</v>
      </c>
      <c r="I2798" s="3">
        <v>9526.2000000000007</v>
      </c>
      <c r="J2798" s="3">
        <v>211.69</v>
      </c>
      <c r="K2798" t="s">
        <v>6751</v>
      </c>
      <c r="L2798">
        <v>414</v>
      </c>
      <c r="M2798" t="s">
        <v>6752</v>
      </c>
      <c r="N2798" t="s">
        <v>30</v>
      </c>
      <c r="O2798" t="s">
        <v>31</v>
      </c>
      <c r="P2798" t="str">
        <f>"15224"</f>
        <v>15224</v>
      </c>
    </row>
    <row r="2799" spans="1:16" x14ac:dyDescent="0.25">
      <c r="A2799" t="str">
        <f>"1080051F00277    00"</f>
        <v>1080051F00277    00</v>
      </c>
      <c r="B2799" t="s">
        <v>6753</v>
      </c>
      <c r="C2799" t="s">
        <v>6754</v>
      </c>
      <c r="D2799" t="s">
        <v>57</v>
      </c>
      <c r="E2799" t="s">
        <v>39</v>
      </c>
      <c r="F2799">
        <v>0</v>
      </c>
      <c r="G2799">
        <v>0</v>
      </c>
      <c r="H2799">
        <v>1</v>
      </c>
      <c r="I2799" s="3">
        <v>1058.1500000000001</v>
      </c>
      <c r="J2799" s="3">
        <v>731.85</v>
      </c>
      <c r="L2799">
        <v>415</v>
      </c>
      <c r="M2799" t="s">
        <v>6595</v>
      </c>
      <c r="N2799" t="s">
        <v>30</v>
      </c>
      <c r="O2799" t="s">
        <v>31</v>
      </c>
      <c r="P2799" t="str">
        <f>"15224"</f>
        <v>15224</v>
      </c>
    </row>
    <row r="2800" spans="1:16" x14ac:dyDescent="0.25">
      <c r="A2800" t="str">
        <f>"1080051F00279    00"</f>
        <v>1080051F00279    00</v>
      </c>
      <c r="B2800" t="s">
        <v>6753</v>
      </c>
      <c r="C2800" t="s">
        <v>6755</v>
      </c>
      <c r="D2800" t="s">
        <v>20</v>
      </c>
      <c r="E2800" t="s">
        <v>39</v>
      </c>
      <c r="F2800">
        <v>0</v>
      </c>
      <c r="G2800">
        <v>0</v>
      </c>
      <c r="H2800">
        <v>1</v>
      </c>
      <c r="I2800" s="3">
        <v>2589.0700000000002</v>
      </c>
      <c r="J2800" s="3">
        <v>711.97</v>
      </c>
      <c r="L2800">
        <v>415</v>
      </c>
      <c r="M2800" t="s">
        <v>6595</v>
      </c>
      <c r="N2800" t="s">
        <v>30</v>
      </c>
      <c r="O2800" t="s">
        <v>31</v>
      </c>
      <c r="P2800" t="str">
        <f>"15224"</f>
        <v>15224</v>
      </c>
    </row>
    <row r="2801" spans="1:16" x14ac:dyDescent="0.25">
      <c r="A2801" t="str">
        <f>"1080051G00016    00"</f>
        <v>1080051G00016    00</v>
      </c>
      <c r="B2801" t="s">
        <v>6756</v>
      </c>
      <c r="C2801" t="s">
        <v>6757</v>
      </c>
      <c r="D2801" t="s">
        <v>20</v>
      </c>
      <c r="E2801" t="s">
        <v>39</v>
      </c>
      <c r="F2801">
        <v>0</v>
      </c>
      <c r="G2801">
        <v>0</v>
      </c>
      <c r="H2801">
        <v>3</v>
      </c>
      <c r="I2801" s="3">
        <v>3968.31</v>
      </c>
      <c r="J2801" s="3">
        <v>14.41</v>
      </c>
      <c r="K2801" t="s">
        <v>4989</v>
      </c>
      <c r="L2801">
        <v>3001</v>
      </c>
      <c r="M2801" t="s">
        <v>330</v>
      </c>
      <c r="N2801" t="s">
        <v>331</v>
      </c>
      <c r="O2801" t="s">
        <v>108</v>
      </c>
      <c r="P2801" t="str">
        <f>"75063"</f>
        <v>75063</v>
      </c>
    </row>
    <row r="2802" spans="1:16" x14ac:dyDescent="0.25">
      <c r="A2802" t="str">
        <f>"1080051G00024    00"</f>
        <v>1080051G00024    00</v>
      </c>
      <c r="B2802" t="s">
        <v>6758</v>
      </c>
      <c r="C2802" t="s">
        <v>6759</v>
      </c>
      <c r="E2802" t="s">
        <v>39</v>
      </c>
      <c r="F2802">
        <v>0</v>
      </c>
      <c r="G2802">
        <v>0</v>
      </c>
      <c r="H2802">
        <v>2</v>
      </c>
      <c r="I2802" s="3">
        <v>5273</v>
      </c>
      <c r="J2802" s="3">
        <v>360.6</v>
      </c>
      <c r="K2802" t="s">
        <v>1502</v>
      </c>
      <c r="L2802">
        <v>901</v>
      </c>
      <c r="M2802" t="s">
        <v>1503</v>
      </c>
      <c r="N2802" t="s">
        <v>494</v>
      </c>
      <c r="O2802" t="s">
        <v>495</v>
      </c>
      <c r="P2802" t="str">
        <f>"91768"</f>
        <v>91768</v>
      </c>
    </row>
    <row r="2803" spans="1:16" x14ac:dyDescent="0.25">
      <c r="A2803" t="str">
        <f>"1080051G00037    00"</f>
        <v>1080051G00037    00</v>
      </c>
      <c r="B2803" t="s">
        <v>6760</v>
      </c>
      <c r="C2803" t="s">
        <v>6761</v>
      </c>
      <c r="E2803" t="s">
        <v>39</v>
      </c>
      <c r="F2803">
        <v>0</v>
      </c>
      <c r="G2803">
        <v>0</v>
      </c>
      <c r="H2803">
        <v>1</v>
      </c>
      <c r="I2803" s="3">
        <v>2759.61</v>
      </c>
      <c r="J2803" s="3">
        <v>758.87</v>
      </c>
      <c r="K2803" t="s">
        <v>756</v>
      </c>
      <c r="L2803">
        <v>3001</v>
      </c>
      <c r="M2803" t="s">
        <v>330</v>
      </c>
      <c r="N2803" t="s">
        <v>331</v>
      </c>
      <c r="O2803" t="s">
        <v>108</v>
      </c>
      <c r="P2803" t="str">
        <f>"75063"</f>
        <v>75063</v>
      </c>
    </row>
    <row r="2804" spans="1:16" x14ac:dyDescent="0.25">
      <c r="A2804" t="str">
        <f>"1080051G00062    00"</f>
        <v>1080051G00062    00</v>
      </c>
      <c r="B2804" t="s">
        <v>6762</v>
      </c>
      <c r="C2804" t="s">
        <v>6763</v>
      </c>
      <c r="D2804" t="s">
        <v>20</v>
      </c>
      <c r="E2804" t="s">
        <v>39</v>
      </c>
      <c r="F2804">
        <v>0</v>
      </c>
      <c r="G2804">
        <v>0</v>
      </c>
      <c r="H2804">
        <v>3</v>
      </c>
      <c r="I2804" s="3">
        <v>7650.69</v>
      </c>
      <c r="J2804" s="3">
        <v>170.01</v>
      </c>
      <c r="K2804" t="s">
        <v>1632</v>
      </c>
      <c r="M2804" t="s">
        <v>1633</v>
      </c>
      <c r="N2804" t="s">
        <v>1634</v>
      </c>
      <c r="O2804" t="s">
        <v>25</v>
      </c>
      <c r="P2804" t="str">
        <f>"45401"</f>
        <v>45401</v>
      </c>
    </row>
    <row r="2805" spans="1:16" x14ac:dyDescent="0.25">
      <c r="A2805" t="str">
        <f>"1080051G00131    00"</f>
        <v>1080051G00131    00</v>
      </c>
      <c r="B2805" t="s">
        <v>6764</v>
      </c>
      <c r="C2805" t="s">
        <v>6765</v>
      </c>
      <c r="D2805" t="s">
        <v>20</v>
      </c>
      <c r="E2805" t="s">
        <v>39</v>
      </c>
      <c r="F2805">
        <v>0</v>
      </c>
      <c r="G2805">
        <v>0</v>
      </c>
      <c r="H2805">
        <v>3</v>
      </c>
      <c r="I2805" s="3">
        <v>4768.8</v>
      </c>
      <c r="J2805" s="3">
        <v>66.239999999999995</v>
      </c>
      <c r="K2805" t="s">
        <v>408</v>
      </c>
      <c r="M2805" t="s">
        <v>409</v>
      </c>
      <c r="N2805" t="s">
        <v>410</v>
      </c>
      <c r="O2805" t="s">
        <v>31</v>
      </c>
      <c r="P2805" t="str">
        <f>"15701"</f>
        <v>15701</v>
      </c>
    </row>
    <row r="2806" spans="1:16" x14ac:dyDescent="0.25">
      <c r="A2806" t="str">
        <f>"1080051G00153    00"</f>
        <v>1080051G00153    00</v>
      </c>
      <c r="B2806" t="s">
        <v>6766</v>
      </c>
      <c r="C2806" t="s">
        <v>6767</v>
      </c>
      <c r="E2806" t="s">
        <v>39</v>
      </c>
      <c r="F2806">
        <v>0</v>
      </c>
      <c r="G2806">
        <v>0</v>
      </c>
      <c r="H2806">
        <v>1</v>
      </c>
      <c r="I2806" s="3">
        <v>1690.57</v>
      </c>
      <c r="J2806" s="3">
        <v>507.15</v>
      </c>
      <c r="L2806">
        <v>459</v>
      </c>
      <c r="M2806" t="s">
        <v>6506</v>
      </c>
      <c r="N2806" t="s">
        <v>30</v>
      </c>
      <c r="O2806" t="s">
        <v>31</v>
      </c>
      <c r="P2806" t="str">
        <f>"15224"</f>
        <v>15224</v>
      </c>
    </row>
    <row r="2807" spans="1:16" x14ac:dyDescent="0.25">
      <c r="A2807" t="str">
        <f>"1080051G00155    00"</f>
        <v>1080051G00155    00</v>
      </c>
      <c r="B2807" t="s">
        <v>6768</v>
      </c>
      <c r="C2807" t="s">
        <v>6769</v>
      </c>
      <c r="E2807" t="s">
        <v>39</v>
      </c>
      <c r="F2807">
        <v>0</v>
      </c>
      <c r="G2807">
        <v>0</v>
      </c>
      <c r="H2807">
        <v>1</v>
      </c>
      <c r="I2807" s="3">
        <v>1797.4</v>
      </c>
      <c r="J2807" s="3">
        <v>539.20000000000005</v>
      </c>
      <c r="L2807">
        <v>459</v>
      </c>
      <c r="M2807" t="s">
        <v>6506</v>
      </c>
      <c r="N2807" t="s">
        <v>30</v>
      </c>
      <c r="O2807" t="s">
        <v>31</v>
      </c>
      <c r="P2807" t="str">
        <f>"15224"</f>
        <v>15224</v>
      </c>
    </row>
    <row r="2808" spans="1:16" x14ac:dyDescent="0.25">
      <c r="A2808" t="str">
        <f>"1080051G00157    00"</f>
        <v>1080051G00157    00</v>
      </c>
      <c r="B2808" t="s">
        <v>6770</v>
      </c>
      <c r="C2808" t="s">
        <v>6771</v>
      </c>
      <c r="D2808" t="s">
        <v>20</v>
      </c>
      <c r="E2808" t="s">
        <v>39</v>
      </c>
      <c r="F2808">
        <v>0</v>
      </c>
      <c r="G2808">
        <v>0</v>
      </c>
      <c r="H2808">
        <v>4</v>
      </c>
      <c r="I2808" s="3">
        <v>12462.23</v>
      </c>
      <c r="J2808" s="3">
        <v>1681.15</v>
      </c>
      <c r="L2808">
        <v>5915</v>
      </c>
      <c r="M2808" t="s">
        <v>6173</v>
      </c>
      <c r="N2808" t="s">
        <v>30</v>
      </c>
      <c r="O2808" t="s">
        <v>31</v>
      </c>
      <c r="P2808" t="str">
        <f>"15206"</f>
        <v>15206</v>
      </c>
    </row>
    <row r="2809" spans="1:16" x14ac:dyDescent="0.25">
      <c r="A2809" t="str">
        <f>"1080051G00159    00"</f>
        <v>1080051G00159    00</v>
      </c>
      <c r="B2809" t="s">
        <v>6772</v>
      </c>
      <c r="C2809" t="s">
        <v>6773</v>
      </c>
      <c r="E2809" t="s">
        <v>21</v>
      </c>
      <c r="F2809">
        <v>0</v>
      </c>
      <c r="G2809">
        <v>0</v>
      </c>
      <c r="H2809">
        <v>2</v>
      </c>
      <c r="I2809" s="3">
        <v>2511.81</v>
      </c>
      <c r="J2809" s="3">
        <v>690.71</v>
      </c>
      <c r="L2809">
        <v>11410</v>
      </c>
      <c r="M2809" t="s">
        <v>6774</v>
      </c>
      <c r="N2809" t="s">
        <v>5166</v>
      </c>
      <c r="O2809" t="s">
        <v>1413</v>
      </c>
      <c r="P2809" t="str">
        <f>"27614"</f>
        <v>27614</v>
      </c>
    </row>
    <row r="2810" spans="1:16" x14ac:dyDescent="0.25">
      <c r="A2810" t="str">
        <f>"1080051G00162    00"</f>
        <v>1080051G00162    00</v>
      </c>
      <c r="B2810" t="s">
        <v>6775</v>
      </c>
      <c r="C2810" t="s">
        <v>6776</v>
      </c>
      <c r="D2810" t="s">
        <v>57</v>
      </c>
      <c r="E2810" t="s">
        <v>21</v>
      </c>
      <c r="F2810">
        <v>0</v>
      </c>
      <c r="G2810">
        <v>0</v>
      </c>
      <c r="H2810">
        <v>1</v>
      </c>
      <c r="I2810" s="3">
        <v>4698.3</v>
      </c>
      <c r="J2810" s="3">
        <v>939.63</v>
      </c>
      <c r="K2810" t="s">
        <v>6777</v>
      </c>
      <c r="L2810">
        <v>5738</v>
      </c>
      <c r="M2810" t="s">
        <v>2720</v>
      </c>
      <c r="N2810" t="s">
        <v>30</v>
      </c>
      <c r="O2810" t="s">
        <v>31</v>
      </c>
      <c r="P2810" t="str">
        <f>"15206"</f>
        <v>15206</v>
      </c>
    </row>
    <row r="2811" spans="1:16" x14ac:dyDescent="0.25">
      <c r="A2811" t="str">
        <f>"1080051G00175    00"</f>
        <v>1080051G00175    00</v>
      </c>
      <c r="B2811" t="s">
        <v>6778</v>
      </c>
      <c r="C2811" t="s">
        <v>6779</v>
      </c>
      <c r="D2811" t="s">
        <v>20</v>
      </c>
      <c r="E2811" t="s">
        <v>39</v>
      </c>
      <c r="F2811">
        <v>0</v>
      </c>
      <c r="G2811">
        <v>0</v>
      </c>
      <c r="H2811">
        <v>1</v>
      </c>
      <c r="I2811" s="3">
        <v>5146.2</v>
      </c>
      <c r="J2811" s="3">
        <v>0</v>
      </c>
      <c r="K2811" t="s">
        <v>6780</v>
      </c>
      <c r="L2811">
        <v>4807</v>
      </c>
      <c r="M2811" t="s">
        <v>6781</v>
      </c>
      <c r="N2811" t="s">
        <v>30</v>
      </c>
      <c r="O2811" t="s">
        <v>31</v>
      </c>
      <c r="P2811" t="str">
        <f>"15224"</f>
        <v>15224</v>
      </c>
    </row>
    <row r="2812" spans="1:16" x14ac:dyDescent="0.25">
      <c r="A2812" t="str">
        <f>"1080051G00177A3  00"</f>
        <v>1080051G00177A3  00</v>
      </c>
      <c r="B2812" t="s">
        <v>6782</v>
      </c>
      <c r="C2812" t="s">
        <v>6783</v>
      </c>
      <c r="E2812" t="s">
        <v>39</v>
      </c>
      <c r="F2812">
        <v>0</v>
      </c>
      <c r="G2812">
        <v>0</v>
      </c>
      <c r="H2812">
        <v>1</v>
      </c>
      <c r="I2812" s="3">
        <v>1984.32</v>
      </c>
      <c r="J2812" s="3">
        <v>2166.13</v>
      </c>
      <c r="K2812" t="s">
        <v>1502</v>
      </c>
      <c r="L2812">
        <v>901</v>
      </c>
      <c r="M2812" t="s">
        <v>1503</v>
      </c>
      <c r="N2812" t="s">
        <v>494</v>
      </c>
      <c r="O2812" t="s">
        <v>495</v>
      </c>
      <c r="P2812" t="str">
        <f>"91768"</f>
        <v>91768</v>
      </c>
    </row>
    <row r="2813" spans="1:16" x14ac:dyDescent="0.25">
      <c r="A2813" t="str">
        <f>"1080051G00177A6  00"</f>
        <v>1080051G00177A6  00</v>
      </c>
      <c r="B2813" t="s">
        <v>6784</v>
      </c>
      <c r="C2813" t="s">
        <v>6785</v>
      </c>
      <c r="D2813" t="s">
        <v>20</v>
      </c>
      <c r="E2813" t="s">
        <v>39</v>
      </c>
      <c r="F2813">
        <v>0</v>
      </c>
      <c r="G2813">
        <v>0</v>
      </c>
      <c r="H2813">
        <v>1</v>
      </c>
      <c r="I2813" s="3">
        <v>1555.3</v>
      </c>
      <c r="J2813" s="3">
        <v>0</v>
      </c>
      <c r="K2813" t="s">
        <v>6786</v>
      </c>
      <c r="L2813">
        <v>420</v>
      </c>
      <c r="M2813" t="s">
        <v>6787</v>
      </c>
      <c r="N2813" t="s">
        <v>30</v>
      </c>
      <c r="O2813" t="s">
        <v>31</v>
      </c>
      <c r="P2813" t="str">
        <f>"15232"</f>
        <v>15232</v>
      </c>
    </row>
    <row r="2814" spans="1:16" x14ac:dyDescent="0.25">
      <c r="A2814" t="str">
        <f>"1080051G00177B3  00"</f>
        <v>1080051G00177B3  00</v>
      </c>
      <c r="B2814" t="s">
        <v>6788</v>
      </c>
      <c r="C2814" t="s">
        <v>6789</v>
      </c>
      <c r="E2814" t="s">
        <v>39</v>
      </c>
      <c r="F2814">
        <v>0</v>
      </c>
      <c r="G2814">
        <v>0</v>
      </c>
      <c r="H2814">
        <v>2</v>
      </c>
      <c r="I2814" s="3">
        <v>2889.94</v>
      </c>
      <c r="J2814" s="3">
        <v>3014.31</v>
      </c>
      <c r="K2814" t="s">
        <v>6790</v>
      </c>
      <c r="L2814">
        <v>183</v>
      </c>
      <c r="M2814" t="s">
        <v>6791</v>
      </c>
      <c r="N2814" t="s">
        <v>30</v>
      </c>
      <c r="O2814" t="s">
        <v>31</v>
      </c>
      <c r="P2814" t="str">
        <f>"15201"</f>
        <v>15201</v>
      </c>
    </row>
    <row r="2815" spans="1:16" x14ac:dyDescent="0.25">
      <c r="A2815" t="str">
        <f>"1080051G00177B5  00"</f>
        <v>1080051G00177B5  00</v>
      </c>
      <c r="B2815" t="s">
        <v>6792</v>
      </c>
      <c r="C2815" t="s">
        <v>6793</v>
      </c>
      <c r="E2815" t="s">
        <v>39</v>
      </c>
      <c r="F2815">
        <v>0</v>
      </c>
      <c r="G2815">
        <v>0</v>
      </c>
      <c r="H2815">
        <v>1</v>
      </c>
      <c r="I2815" s="3">
        <v>441.11</v>
      </c>
      <c r="J2815" s="3">
        <v>0</v>
      </c>
      <c r="K2815" t="s">
        <v>1632</v>
      </c>
      <c r="M2815" t="s">
        <v>1633</v>
      </c>
      <c r="N2815" t="s">
        <v>1634</v>
      </c>
      <c r="O2815" t="s">
        <v>25</v>
      </c>
      <c r="P2815" t="str">
        <f>"45401"</f>
        <v>45401</v>
      </c>
    </row>
    <row r="2816" spans="1:16" x14ac:dyDescent="0.25">
      <c r="A2816" t="str">
        <f>"1080051G00181    00"</f>
        <v>1080051G00181    00</v>
      </c>
      <c r="B2816" t="s">
        <v>6507</v>
      </c>
      <c r="C2816" t="s">
        <v>6794</v>
      </c>
      <c r="D2816" t="s">
        <v>20</v>
      </c>
      <c r="E2816" t="s">
        <v>39</v>
      </c>
      <c r="F2816">
        <v>0</v>
      </c>
      <c r="G2816">
        <v>0</v>
      </c>
      <c r="H2816">
        <v>1</v>
      </c>
      <c r="I2816" s="3">
        <v>3097.26</v>
      </c>
      <c r="J2816" s="3">
        <v>0</v>
      </c>
      <c r="M2816" t="s">
        <v>4256</v>
      </c>
      <c r="N2816" t="s">
        <v>30</v>
      </c>
      <c r="O2816" t="s">
        <v>31</v>
      </c>
      <c r="P2816" t="str">
        <f>"15232"</f>
        <v>15232</v>
      </c>
    </row>
    <row r="2817" spans="1:16" x14ac:dyDescent="0.25">
      <c r="A2817" t="str">
        <f>"1080051G00189    00"</f>
        <v>1080051G00189    00</v>
      </c>
      <c r="B2817" t="s">
        <v>6345</v>
      </c>
      <c r="C2817" t="s">
        <v>6795</v>
      </c>
      <c r="D2817" t="s">
        <v>20</v>
      </c>
      <c r="E2817" t="s">
        <v>21</v>
      </c>
      <c r="F2817">
        <v>0</v>
      </c>
      <c r="G2817">
        <v>0</v>
      </c>
      <c r="H2817">
        <v>1</v>
      </c>
      <c r="I2817" s="3">
        <v>4385.71</v>
      </c>
      <c r="J2817" s="3">
        <v>0</v>
      </c>
      <c r="K2817" t="s">
        <v>6796</v>
      </c>
      <c r="L2817">
        <v>439</v>
      </c>
      <c r="M2817" t="s">
        <v>1849</v>
      </c>
      <c r="N2817" t="s">
        <v>30</v>
      </c>
      <c r="O2817" t="s">
        <v>31</v>
      </c>
      <c r="P2817" t="str">
        <f>"15224"</f>
        <v>15224</v>
      </c>
    </row>
    <row r="2818" spans="1:16" x14ac:dyDescent="0.25">
      <c r="A2818" t="str">
        <f>"1080051G00225    00"</f>
        <v>1080051G00225    00</v>
      </c>
      <c r="B2818" t="s">
        <v>6797</v>
      </c>
      <c r="C2818" t="s">
        <v>6798</v>
      </c>
      <c r="D2818" t="s">
        <v>20</v>
      </c>
      <c r="E2818" t="s">
        <v>21</v>
      </c>
      <c r="F2818">
        <v>0</v>
      </c>
      <c r="G2818">
        <v>0</v>
      </c>
      <c r="H2818">
        <v>3</v>
      </c>
      <c r="I2818" s="3">
        <v>12007.8</v>
      </c>
      <c r="J2818" s="3">
        <v>800.49</v>
      </c>
      <c r="L2818">
        <v>225</v>
      </c>
      <c r="M2818" t="s">
        <v>6799</v>
      </c>
      <c r="N2818" t="s">
        <v>6351</v>
      </c>
      <c r="O2818" t="s">
        <v>31</v>
      </c>
      <c r="P2818" t="str">
        <f>"16059"</f>
        <v>16059</v>
      </c>
    </row>
    <row r="2819" spans="1:16" x14ac:dyDescent="0.25">
      <c r="A2819" t="str">
        <f>"1080051G00233    00"</f>
        <v>1080051G00233    00</v>
      </c>
      <c r="B2819" t="s">
        <v>6800</v>
      </c>
      <c r="C2819" t="s">
        <v>6801</v>
      </c>
      <c r="E2819" t="s">
        <v>21</v>
      </c>
      <c r="F2819">
        <v>0</v>
      </c>
      <c r="G2819">
        <v>0</v>
      </c>
      <c r="H2819">
        <v>1</v>
      </c>
      <c r="I2819" s="3">
        <v>1816.31</v>
      </c>
      <c r="J2819" s="3">
        <v>0</v>
      </c>
      <c r="L2819">
        <v>1461</v>
      </c>
      <c r="M2819" t="s">
        <v>6802</v>
      </c>
      <c r="N2819" t="s">
        <v>30</v>
      </c>
      <c r="O2819" t="s">
        <v>31</v>
      </c>
      <c r="P2819" t="str">
        <f>"15217"</f>
        <v>15217</v>
      </c>
    </row>
    <row r="2820" spans="1:16" x14ac:dyDescent="0.25">
      <c r="A2820" t="str">
        <f>"1080051G00239    00"</f>
        <v>1080051G00239    00</v>
      </c>
      <c r="B2820" t="s">
        <v>6797</v>
      </c>
      <c r="C2820" t="s">
        <v>6803</v>
      </c>
      <c r="D2820" t="s">
        <v>20</v>
      </c>
      <c r="E2820" t="s">
        <v>21</v>
      </c>
      <c r="F2820">
        <v>0</v>
      </c>
      <c r="G2820">
        <v>0</v>
      </c>
      <c r="H2820">
        <v>3</v>
      </c>
      <c r="I2820" s="3">
        <v>12007.8</v>
      </c>
      <c r="J2820" s="3">
        <v>800.49</v>
      </c>
      <c r="L2820">
        <v>225</v>
      </c>
      <c r="M2820" t="s">
        <v>6799</v>
      </c>
      <c r="N2820" t="s">
        <v>6351</v>
      </c>
      <c r="O2820" t="s">
        <v>31</v>
      </c>
      <c r="P2820" t="str">
        <f>"16059"</f>
        <v>16059</v>
      </c>
    </row>
    <row r="2821" spans="1:16" x14ac:dyDescent="0.25">
      <c r="A2821" t="str">
        <f>"1080051G00241    00"</f>
        <v>1080051G00241    00</v>
      </c>
      <c r="B2821" t="s">
        <v>6804</v>
      </c>
      <c r="C2821" t="s">
        <v>6805</v>
      </c>
      <c r="D2821" t="s">
        <v>20</v>
      </c>
      <c r="E2821" t="s">
        <v>21</v>
      </c>
      <c r="F2821">
        <v>0</v>
      </c>
      <c r="G2821">
        <v>0</v>
      </c>
      <c r="H2821">
        <v>1</v>
      </c>
      <c r="I2821" s="3">
        <v>4818.3599999999997</v>
      </c>
      <c r="J2821" s="3">
        <v>0</v>
      </c>
      <c r="K2821" t="s">
        <v>1722</v>
      </c>
      <c r="M2821" t="s">
        <v>1723</v>
      </c>
      <c r="N2821" t="s">
        <v>410</v>
      </c>
      <c r="O2821" t="s">
        <v>31</v>
      </c>
      <c r="P2821" t="str">
        <f>"15701"</f>
        <v>15701</v>
      </c>
    </row>
    <row r="2822" spans="1:16" x14ac:dyDescent="0.25">
      <c r="A2822" t="str">
        <f>"1080051G00245    00"</f>
        <v>1080051G00245    00</v>
      </c>
      <c r="B2822" t="s">
        <v>6806</v>
      </c>
      <c r="C2822" t="s">
        <v>6807</v>
      </c>
      <c r="D2822" t="s">
        <v>20</v>
      </c>
      <c r="E2822" t="s">
        <v>21</v>
      </c>
      <c r="F2822">
        <v>0</v>
      </c>
      <c r="G2822">
        <v>0</v>
      </c>
      <c r="H2822">
        <v>1</v>
      </c>
      <c r="I2822" s="3">
        <v>1613.09</v>
      </c>
      <c r="J2822" s="3">
        <v>0</v>
      </c>
      <c r="K2822" t="s">
        <v>6808</v>
      </c>
      <c r="L2822">
        <v>3005</v>
      </c>
      <c r="M2822" t="s">
        <v>6614</v>
      </c>
      <c r="N2822" t="s">
        <v>4318</v>
      </c>
      <c r="O2822" t="s">
        <v>31</v>
      </c>
      <c r="P2822" t="str">
        <f>"16046"</f>
        <v>16046</v>
      </c>
    </row>
    <row r="2823" spans="1:16" x14ac:dyDescent="0.25">
      <c r="A2823" t="str">
        <f>"1080051G00270    00"</f>
        <v>1080051G00270    00</v>
      </c>
      <c r="B2823" t="s">
        <v>6809</v>
      </c>
      <c r="C2823" t="s">
        <v>6810</v>
      </c>
      <c r="D2823" t="s">
        <v>20</v>
      </c>
      <c r="E2823" t="s">
        <v>39</v>
      </c>
      <c r="F2823">
        <v>0</v>
      </c>
      <c r="G2823">
        <v>0</v>
      </c>
      <c r="H2823">
        <v>2</v>
      </c>
      <c r="I2823" s="3">
        <v>19720.46</v>
      </c>
      <c r="J2823" s="3">
        <v>0</v>
      </c>
      <c r="L2823">
        <v>366</v>
      </c>
      <c r="M2823" t="s">
        <v>5306</v>
      </c>
      <c r="N2823" t="s">
        <v>30</v>
      </c>
      <c r="O2823" t="s">
        <v>31</v>
      </c>
      <c r="P2823" t="str">
        <f>"15232"</f>
        <v>15232</v>
      </c>
    </row>
    <row r="2824" spans="1:16" x14ac:dyDescent="0.25">
      <c r="A2824" t="str">
        <f>"1080051H00035    00"</f>
        <v>1080051H00035    00</v>
      </c>
      <c r="B2824" t="s">
        <v>6811</v>
      </c>
      <c r="C2824" t="s">
        <v>6812</v>
      </c>
      <c r="E2824" t="s">
        <v>39</v>
      </c>
      <c r="F2824">
        <v>0</v>
      </c>
      <c r="G2824">
        <v>0</v>
      </c>
      <c r="H2824">
        <v>1</v>
      </c>
      <c r="I2824" s="3">
        <v>285.04000000000002</v>
      </c>
      <c r="J2824" s="3">
        <v>192.6</v>
      </c>
      <c r="L2824">
        <v>439</v>
      </c>
      <c r="M2824" t="s">
        <v>5306</v>
      </c>
      <c r="N2824" t="s">
        <v>30</v>
      </c>
      <c r="O2824" t="s">
        <v>31</v>
      </c>
      <c r="P2824" t="str">
        <f>"15232"</f>
        <v>15232</v>
      </c>
    </row>
    <row r="2825" spans="1:16" x14ac:dyDescent="0.25">
      <c r="A2825" t="str">
        <f>"1080051H00134    00"</f>
        <v>1080051H00134    00</v>
      </c>
      <c r="B2825" t="s">
        <v>6813</v>
      </c>
      <c r="C2825" t="s">
        <v>6814</v>
      </c>
      <c r="E2825" t="s">
        <v>21</v>
      </c>
      <c r="F2825">
        <v>0</v>
      </c>
      <c r="G2825">
        <v>0</v>
      </c>
      <c r="H2825">
        <v>1</v>
      </c>
      <c r="I2825" s="3">
        <v>86.19</v>
      </c>
      <c r="J2825" s="3">
        <v>19.399999999999999</v>
      </c>
      <c r="K2825" t="s">
        <v>6815</v>
      </c>
      <c r="L2825">
        <v>225</v>
      </c>
      <c r="M2825" t="s">
        <v>6816</v>
      </c>
      <c r="N2825" t="s">
        <v>30</v>
      </c>
      <c r="O2825" t="s">
        <v>31</v>
      </c>
      <c r="P2825" t="str">
        <f>"15222"</f>
        <v>15222</v>
      </c>
    </row>
    <row r="2826" spans="1:16" x14ac:dyDescent="0.25">
      <c r="A2826" t="str">
        <f>"1080051H00136    00"</f>
        <v>1080051H00136    00</v>
      </c>
      <c r="B2826" t="s">
        <v>6817</v>
      </c>
      <c r="C2826" t="s">
        <v>6818</v>
      </c>
      <c r="E2826" t="s">
        <v>21</v>
      </c>
      <c r="F2826">
        <v>0</v>
      </c>
      <c r="G2826">
        <v>0</v>
      </c>
      <c r="H2826">
        <v>1</v>
      </c>
      <c r="I2826" s="3">
        <v>2708.44</v>
      </c>
      <c r="J2826" s="3">
        <v>270.83</v>
      </c>
      <c r="L2826">
        <v>112</v>
      </c>
      <c r="M2826" t="s">
        <v>6819</v>
      </c>
      <c r="N2826" t="s">
        <v>139</v>
      </c>
      <c r="O2826" t="s">
        <v>31</v>
      </c>
      <c r="P2826" t="str">
        <f>"15090"</f>
        <v>15090</v>
      </c>
    </row>
    <row r="2827" spans="1:16" x14ac:dyDescent="0.25">
      <c r="A2827" t="str">
        <f>"1080051H00139    00"</f>
        <v>1080051H00139    00</v>
      </c>
      <c r="B2827" t="s">
        <v>6820</v>
      </c>
      <c r="C2827" t="s">
        <v>6821</v>
      </c>
      <c r="D2827" t="s">
        <v>20</v>
      </c>
      <c r="E2827" t="s">
        <v>21</v>
      </c>
      <c r="F2827">
        <v>0</v>
      </c>
      <c r="G2827">
        <v>0</v>
      </c>
      <c r="H2827">
        <v>1</v>
      </c>
      <c r="I2827" s="3">
        <v>8577</v>
      </c>
      <c r="J2827" s="3">
        <v>0</v>
      </c>
      <c r="L2827">
        <v>507</v>
      </c>
      <c r="M2827" t="s">
        <v>6822</v>
      </c>
      <c r="N2827" t="s">
        <v>6823</v>
      </c>
      <c r="O2827" t="s">
        <v>70</v>
      </c>
      <c r="P2827" t="str">
        <f>"49091"</f>
        <v>49091</v>
      </c>
    </row>
    <row r="2828" spans="1:16" x14ac:dyDescent="0.25">
      <c r="A2828" t="str">
        <f>"1080051H00176    00"</f>
        <v>1080051H00176    00</v>
      </c>
      <c r="B2828" t="s">
        <v>6824</v>
      </c>
      <c r="C2828" t="s">
        <v>6825</v>
      </c>
      <c r="D2828" t="s">
        <v>20</v>
      </c>
      <c r="E2828" t="s">
        <v>39</v>
      </c>
      <c r="F2828">
        <v>0</v>
      </c>
      <c r="G2828">
        <v>0</v>
      </c>
      <c r="H2828">
        <v>3</v>
      </c>
      <c r="I2828" s="3">
        <v>3526.1</v>
      </c>
      <c r="J2828" s="3">
        <v>36.520000000000003</v>
      </c>
      <c r="K2828" t="s">
        <v>881</v>
      </c>
      <c r="L2828">
        <v>3001</v>
      </c>
      <c r="M2828" t="s">
        <v>330</v>
      </c>
      <c r="N2828" t="s">
        <v>331</v>
      </c>
      <c r="O2828" t="s">
        <v>108</v>
      </c>
      <c r="P2828" t="str">
        <f>"75063"</f>
        <v>75063</v>
      </c>
    </row>
    <row r="2829" spans="1:16" x14ac:dyDescent="0.25">
      <c r="A2829" t="str">
        <f>"1080051H00180    00"</f>
        <v>1080051H00180    00</v>
      </c>
      <c r="B2829" t="s">
        <v>6826</v>
      </c>
      <c r="C2829" t="s">
        <v>6827</v>
      </c>
      <c r="D2829" t="s">
        <v>20</v>
      </c>
      <c r="E2829" t="s">
        <v>39</v>
      </c>
      <c r="F2829">
        <v>0</v>
      </c>
      <c r="G2829">
        <v>0</v>
      </c>
      <c r="H2829">
        <v>1</v>
      </c>
      <c r="I2829" s="3">
        <v>4469.58</v>
      </c>
      <c r="J2829" s="3">
        <v>0</v>
      </c>
      <c r="K2829" t="s">
        <v>6828</v>
      </c>
      <c r="L2829">
        <v>49</v>
      </c>
      <c r="M2829" t="s">
        <v>6829</v>
      </c>
      <c r="N2829" t="s">
        <v>666</v>
      </c>
      <c r="O2829" t="s">
        <v>423</v>
      </c>
      <c r="P2829" t="str">
        <f>"07405"</f>
        <v>07405</v>
      </c>
    </row>
    <row r="2830" spans="1:16" x14ac:dyDescent="0.25">
      <c r="A2830" t="str">
        <f>"1080051H00184    00"</f>
        <v>1080051H00184    00</v>
      </c>
      <c r="B2830" t="s">
        <v>6233</v>
      </c>
      <c r="C2830" t="s">
        <v>6830</v>
      </c>
      <c r="D2830" t="s">
        <v>20</v>
      </c>
      <c r="E2830" t="s">
        <v>21</v>
      </c>
      <c r="F2830">
        <v>0</v>
      </c>
      <c r="G2830">
        <v>0</v>
      </c>
      <c r="H2830">
        <v>1</v>
      </c>
      <c r="I2830" s="3">
        <v>62.55</v>
      </c>
      <c r="J2830" s="3">
        <v>0</v>
      </c>
      <c r="K2830" t="s">
        <v>6235</v>
      </c>
      <c r="L2830">
        <v>120</v>
      </c>
      <c r="M2830" t="s">
        <v>6125</v>
      </c>
      <c r="N2830" t="s">
        <v>30</v>
      </c>
      <c r="O2830" t="s">
        <v>31</v>
      </c>
      <c r="P2830" t="str">
        <f>"15237"</f>
        <v>15237</v>
      </c>
    </row>
    <row r="2831" spans="1:16" x14ac:dyDescent="0.25">
      <c r="A2831" t="str">
        <f>"1080051H00186    00"</f>
        <v>1080051H00186    00</v>
      </c>
      <c r="B2831" t="s">
        <v>6233</v>
      </c>
      <c r="C2831" t="s">
        <v>6831</v>
      </c>
      <c r="D2831" t="s">
        <v>20</v>
      </c>
      <c r="E2831" t="s">
        <v>21</v>
      </c>
      <c r="F2831">
        <v>0</v>
      </c>
      <c r="G2831">
        <v>0</v>
      </c>
      <c r="H2831">
        <v>1</v>
      </c>
      <c r="I2831" s="3">
        <v>60.58</v>
      </c>
      <c r="J2831" s="3">
        <v>0</v>
      </c>
      <c r="K2831" t="s">
        <v>6235</v>
      </c>
      <c r="L2831">
        <v>120</v>
      </c>
      <c r="M2831" t="s">
        <v>6125</v>
      </c>
      <c r="N2831" t="s">
        <v>30</v>
      </c>
      <c r="O2831" t="s">
        <v>31</v>
      </c>
      <c r="P2831" t="str">
        <f>"15237"</f>
        <v>15237</v>
      </c>
    </row>
    <row r="2832" spans="1:16" x14ac:dyDescent="0.25">
      <c r="A2832" t="str">
        <f>"1080051H00223    00"</f>
        <v>1080051H00223    00</v>
      </c>
      <c r="B2832" t="s">
        <v>6832</v>
      </c>
      <c r="C2832" t="s">
        <v>6833</v>
      </c>
      <c r="E2832" t="s">
        <v>39</v>
      </c>
      <c r="F2832">
        <v>0</v>
      </c>
      <c r="G2832">
        <v>0</v>
      </c>
      <c r="H2832">
        <v>1</v>
      </c>
      <c r="I2832" s="3">
        <v>3071.33</v>
      </c>
      <c r="J2832" s="3">
        <v>972.55</v>
      </c>
      <c r="L2832">
        <v>345</v>
      </c>
      <c r="M2832" t="s">
        <v>6834</v>
      </c>
      <c r="N2832" t="s">
        <v>30</v>
      </c>
      <c r="O2832" t="s">
        <v>31</v>
      </c>
      <c r="P2832" t="str">
        <f>"15232"</f>
        <v>15232</v>
      </c>
    </row>
    <row r="2833" spans="1:16" x14ac:dyDescent="0.25">
      <c r="A2833" t="str">
        <f>"1080051J00008    00"</f>
        <v>1080051J00008    00</v>
      </c>
      <c r="B2833" t="s">
        <v>6835</v>
      </c>
      <c r="C2833" t="s">
        <v>6836</v>
      </c>
      <c r="E2833" t="s">
        <v>39</v>
      </c>
      <c r="F2833">
        <v>0</v>
      </c>
      <c r="G2833">
        <v>0</v>
      </c>
      <c r="H2833">
        <v>1</v>
      </c>
      <c r="I2833" s="3">
        <v>1446.16</v>
      </c>
      <c r="J2833" s="3">
        <v>289.22000000000003</v>
      </c>
      <c r="L2833">
        <v>4727</v>
      </c>
      <c r="M2833" t="s">
        <v>6837</v>
      </c>
      <c r="N2833" t="s">
        <v>30</v>
      </c>
      <c r="O2833" t="s">
        <v>31</v>
      </c>
      <c r="P2833" t="str">
        <f>"15213"</f>
        <v>15213</v>
      </c>
    </row>
    <row r="2834" spans="1:16" x14ac:dyDescent="0.25">
      <c r="A2834" t="str">
        <f>"1080051J00010    00"</f>
        <v>1080051J00010    00</v>
      </c>
      <c r="B2834" t="s">
        <v>6838</v>
      </c>
      <c r="C2834" t="s">
        <v>6839</v>
      </c>
      <c r="D2834" t="s">
        <v>20</v>
      </c>
      <c r="E2834" t="s">
        <v>39</v>
      </c>
      <c r="F2834">
        <v>0</v>
      </c>
      <c r="G2834">
        <v>0</v>
      </c>
      <c r="H2834">
        <v>1</v>
      </c>
      <c r="I2834" s="3">
        <v>3000</v>
      </c>
      <c r="J2834" s="3">
        <v>0</v>
      </c>
      <c r="L2834">
        <v>5299</v>
      </c>
      <c r="M2834" t="s">
        <v>6840</v>
      </c>
      <c r="N2834" t="s">
        <v>179</v>
      </c>
      <c r="O2834" t="s">
        <v>180</v>
      </c>
      <c r="P2834" t="str">
        <f>"80111"</f>
        <v>80111</v>
      </c>
    </row>
    <row r="2835" spans="1:16" x14ac:dyDescent="0.25">
      <c r="A2835" t="str">
        <f>"1080051J00025    00"</f>
        <v>1080051J00025    00</v>
      </c>
      <c r="B2835" t="s">
        <v>6838</v>
      </c>
      <c r="C2835" t="s">
        <v>6841</v>
      </c>
      <c r="D2835" t="s">
        <v>20</v>
      </c>
      <c r="E2835" t="s">
        <v>39</v>
      </c>
      <c r="F2835">
        <v>0</v>
      </c>
      <c r="G2835">
        <v>0</v>
      </c>
      <c r="H2835">
        <v>1</v>
      </c>
      <c r="I2835" s="3">
        <v>3000</v>
      </c>
      <c r="J2835" s="3">
        <v>0</v>
      </c>
      <c r="L2835">
        <v>5299</v>
      </c>
      <c r="M2835" t="s">
        <v>6840</v>
      </c>
      <c r="N2835" t="s">
        <v>179</v>
      </c>
      <c r="O2835" t="s">
        <v>180</v>
      </c>
      <c r="P2835" t="str">
        <f>"80111"</f>
        <v>80111</v>
      </c>
    </row>
    <row r="2836" spans="1:16" x14ac:dyDescent="0.25">
      <c r="A2836" t="str">
        <f>"1080051J00030    00"</f>
        <v>1080051J00030    00</v>
      </c>
      <c r="B2836" t="s">
        <v>6842</v>
      </c>
      <c r="C2836" t="s">
        <v>6843</v>
      </c>
      <c r="D2836" t="s">
        <v>20</v>
      </c>
      <c r="E2836" t="s">
        <v>39</v>
      </c>
      <c r="F2836">
        <v>0</v>
      </c>
      <c r="G2836">
        <v>0</v>
      </c>
      <c r="H2836">
        <v>1</v>
      </c>
      <c r="I2836" s="3">
        <v>4511.51</v>
      </c>
      <c r="J2836" s="3">
        <v>0</v>
      </c>
      <c r="L2836">
        <v>2525</v>
      </c>
      <c r="M2836" t="s">
        <v>6844</v>
      </c>
      <c r="N2836" t="s">
        <v>30</v>
      </c>
      <c r="O2836" t="s">
        <v>31</v>
      </c>
      <c r="P2836" t="str">
        <f>"15221"</f>
        <v>15221</v>
      </c>
    </row>
    <row r="2837" spans="1:16" x14ac:dyDescent="0.25">
      <c r="A2837" t="str">
        <f>"1080051J00223    00"</f>
        <v>1080051J00223    00</v>
      </c>
      <c r="B2837" t="s">
        <v>6845</v>
      </c>
      <c r="C2837" t="s">
        <v>6846</v>
      </c>
      <c r="D2837" t="s">
        <v>20</v>
      </c>
      <c r="E2837" t="s">
        <v>21</v>
      </c>
      <c r="F2837">
        <v>0</v>
      </c>
      <c r="G2837">
        <v>0</v>
      </c>
      <c r="H2837">
        <v>19</v>
      </c>
      <c r="I2837" s="3">
        <v>5184.2299999999996</v>
      </c>
      <c r="J2837" s="3">
        <v>6743.75</v>
      </c>
      <c r="L2837">
        <v>5938</v>
      </c>
      <c r="M2837" t="s">
        <v>6847</v>
      </c>
      <c r="N2837" t="s">
        <v>6848</v>
      </c>
      <c r="O2837" t="s">
        <v>370</v>
      </c>
      <c r="P2837" t="str">
        <f>"33437"</f>
        <v>33437</v>
      </c>
    </row>
    <row r="2838" spans="1:16" x14ac:dyDescent="0.25">
      <c r="A2838" t="str">
        <f>"1080051K00008    00"</f>
        <v>1080051K00008    00</v>
      </c>
      <c r="B2838" t="s">
        <v>6849</v>
      </c>
      <c r="C2838" t="s">
        <v>6850</v>
      </c>
      <c r="D2838" t="s">
        <v>20</v>
      </c>
      <c r="E2838" t="s">
        <v>39</v>
      </c>
      <c r="F2838">
        <v>0</v>
      </c>
      <c r="G2838">
        <v>0</v>
      </c>
      <c r="H2838">
        <v>2</v>
      </c>
      <c r="I2838" s="3">
        <v>3741.03</v>
      </c>
      <c r="J2838" s="3">
        <v>0</v>
      </c>
      <c r="K2838" t="s">
        <v>6851</v>
      </c>
      <c r="L2838">
        <v>3001</v>
      </c>
      <c r="M2838" t="s">
        <v>330</v>
      </c>
      <c r="N2838" t="s">
        <v>331</v>
      </c>
      <c r="O2838" t="s">
        <v>108</v>
      </c>
      <c r="P2838" t="str">
        <f>"75063"</f>
        <v>75063</v>
      </c>
    </row>
    <row r="2839" spans="1:16" x14ac:dyDescent="0.25">
      <c r="A2839" t="str">
        <f>"1080051K00017    00"</f>
        <v>1080051K00017    00</v>
      </c>
      <c r="B2839" t="s">
        <v>6357</v>
      </c>
      <c r="C2839" t="s">
        <v>6852</v>
      </c>
      <c r="E2839" t="s">
        <v>39</v>
      </c>
      <c r="F2839">
        <v>0</v>
      </c>
      <c r="G2839">
        <v>0</v>
      </c>
      <c r="H2839">
        <v>1</v>
      </c>
      <c r="I2839" s="3">
        <v>14.87</v>
      </c>
      <c r="J2839" s="3">
        <v>0</v>
      </c>
      <c r="L2839">
        <v>323</v>
      </c>
      <c r="M2839" t="s">
        <v>6359</v>
      </c>
      <c r="N2839" t="s">
        <v>30</v>
      </c>
      <c r="O2839" t="s">
        <v>31</v>
      </c>
      <c r="P2839" t="str">
        <f>"15208"</f>
        <v>15208</v>
      </c>
    </row>
    <row r="2840" spans="1:16" x14ac:dyDescent="0.25">
      <c r="A2840" t="str">
        <f>"1080051K00038    00"</f>
        <v>1080051K00038    00</v>
      </c>
      <c r="B2840" t="s">
        <v>6853</v>
      </c>
      <c r="C2840" t="s">
        <v>6854</v>
      </c>
      <c r="E2840" t="s">
        <v>39</v>
      </c>
      <c r="F2840">
        <v>0</v>
      </c>
      <c r="G2840">
        <v>0</v>
      </c>
      <c r="H2840">
        <v>1</v>
      </c>
      <c r="I2840" s="3">
        <v>923.78</v>
      </c>
      <c r="J2840" s="3">
        <v>184.74</v>
      </c>
      <c r="L2840">
        <v>5500</v>
      </c>
      <c r="M2840" t="s">
        <v>5832</v>
      </c>
      <c r="N2840" t="s">
        <v>30</v>
      </c>
      <c r="O2840" t="s">
        <v>31</v>
      </c>
      <c r="P2840" t="str">
        <f>"15206"</f>
        <v>15206</v>
      </c>
    </row>
    <row r="2841" spans="1:16" x14ac:dyDescent="0.25">
      <c r="A2841" t="str">
        <f>"1080051K00039    00"</f>
        <v>1080051K00039    00</v>
      </c>
      <c r="B2841" t="s">
        <v>6855</v>
      </c>
      <c r="C2841" t="s">
        <v>6856</v>
      </c>
      <c r="E2841" t="s">
        <v>39</v>
      </c>
      <c r="F2841">
        <v>0</v>
      </c>
      <c r="G2841">
        <v>0</v>
      </c>
      <c r="H2841">
        <v>1</v>
      </c>
      <c r="I2841" s="3">
        <v>1438.39</v>
      </c>
      <c r="J2841" s="3">
        <v>287.67</v>
      </c>
      <c r="K2841" t="s">
        <v>6857</v>
      </c>
      <c r="L2841">
        <v>5500</v>
      </c>
      <c r="M2841" t="s">
        <v>5832</v>
      </c>
      <c r="N2841" t="s">
        <v>30</v>
      </c>
      <c r="O2841" t="s">
        <v>31</v>
      </c>
      <c r="P2841" t="str">
        <f>"15206"</f>
        <v>15206</v>
      </c>
    </row>
    <row r="2842" spans="1:16" x14ac:dyDescent="0.25">
      <c r="A2842" t="str">
        <f>"1080051K00094    00"</f>
        <v>1080051K00094    00</v>
      </c>
      <c r="B2842" t="s">
        <v>6858</v>
      </c>
      <c r="C2842" t="s">
        <v>6859</v>
      </c>
      <c r="E2842" t="s">
        <v>39</v>
      </c>
      <c r="F2842">
        <v>0</v>
      </c>
      <c r="G2842">
        <v>0</v>
      </c>
      <c r="H2842">
        <v>2</v>
      </c>
      <c r="I2842" s="3">
        <v>4139.84</v>
      </c>
      <c r="J2842" s="3">
        <v>51.75</v>
      </c>
      <c r="K2842" t="s">
        <v>4933</v>
      </c>
      <c r="L2842">
        <v>3001</v>
      </c>
      <c r="M2842" t="s">
        <v>330</v>
      </c>
      <c r="N2842" t="s">
        <v>331</v>
      </c>
      <c r="O2842" t="s">
        <v>108</v>
      </c>
      <c r="P2842" t="str">
        <f>"75063"</f>
        <v>75063</v>
      </c>
    </row>
    <row r="2843" spans="1:16" x14ac:dyDescent="0.25">
      <c r="A2843" t="str">
        <f>"1080051K00224    00"</f>
        <v>1080051K00224    00</v>
      </c>
      <c r="B2843" t="s">
        <v>6860</v>
      </c>
      <c r="C2843" t="s">
        <v>6861</v>
      </c>
      <c r="D2843" t="s">
        <v>57</v>
      </c>
      <c r="E2843" t="s">
        <v>21</v>
      </c>
      <c r="F2843">
        <v>0</v>
      </c>
      <c r="G2843">
        <v>0</v>
      </c>
      <c r="H2843">
        <v>1</v>
      </c>
      <c r="I2843" s="3">
        <v>2111.61</v>
      </c>
      <c r="J2843" s="3">
        <v>475.1</v>
      </c>
      <c r="K2843" t="s">
        <v>391</v>
      </c>
      <c r="L2843">
        <v>1</v>
      </c>
      <c r="M2843" t="s">
        <v>392</v>
      </c>
      <c r="N2843" t="s">
        <v>393</v>
      </c>
      <c r="O2843" t="s">
        <v>394</v>
      </c>
      <c r="P2843" t="str">
        <f>"50328"</f>
        <v>50328</v>
      </c>
    </row>
    <row r="2844" spans="1:16" x14ac:dyDescent="0.25">
      <c r="A2844" t="str">
        <f>"1080051K00306    00"</f>
        <v>1080051K00306    00</v>
      </c>
      <c r="B2844" t="s">
        <v>6862</v>
      </c>
      <c r="C2844" t="s">
        <v>6863</v>
      </c>
      <c r="E2844" t="s">
        <v>21</v>
      </c>
      <c r="F2844">
        <v>0</v>
      </c>
      <c r="G2844">
        <v>0</v>
      </c>
      <c r="H2844">
        <v>1</v>
      </c>
      <c r="I2844" s="3">
        <v>149.63999999999999</v>
      </c>
      <c r="J2844" s="3">
        <v>0</v>
      </c>
      <c r="K2844" t="s">
        <v>6864</v>
      </c>
      <c r="L2844">
        <v>600</v>
      </c>
      <c r="M2844" t="s">
        <v>6865</v>
      </c>
      <c r="N2844" t="s">
        <v>30</v>
      </c>
      <c r="O2844" t="s">
        <v>31</v>
      </c>
      <c r="P2844" t="str">
        <f>"15219"</f>
        <v>15219</v>
      </c>
    </row>
    <row r="2845" spans="1:16" x14ac:dyDescent="0.25">
      <c r="A2845" t="str">
        <f>"1080051L00088    00"</f>
        <v>1080051L00088    00</v>
      </c>
      <c r="B2845" t="s">
        <v>6866</v>
      </c>
      <c r="C2845" t="s">
        <v>6867</v>
      </c>
      <c r="D2845" t="s">
        <v>20</v>
      </c>
      <c r="E2845" t="s">
        <v>21</v>
      </c>
      <c r="F2845">
        <v>0</v>
      </c>
      <c r="G2845">
        <v>0</v>
      </c>
      <c r="H2845">
        <v>3</v>
      </c>
      <c r="I2845" s="3">
        <v>58294.1</v>
      </c>
      <c r="J2845" s="3">
        <v>675.41</v>
      </c>
      <c r="K2845" t="s">
        <v>6864</v>
      </c>
      <c r="L2845">
        <v>600</v>
      </c>
      <c r="M2845" t="s">
        <v>6865</v>
      </c>
      <c r="N2845" t="s">
        <v>30</v>
      </c>
      <c r="O2845" t="s">
        <v>31</v>
      </c>
      <c r="P2845" t="str">
        <f>"15219"</f>
        <v>15219</v>
      </c>
    </row>
    <row r="2846" spans="1:16" x14ac:dyDescent="0.25">
      <c r="A2846" t="str">
        <f>"1080051L00227    00"</f>
        <v>1080051L00227    00</v>
      </c>
      <c r="B2846" t="s">
        <v>6868</v>
      </c>
      <c r="C2846" t="s">
        <v>6773</v>
      </c>
      <c r="E2846" t="s">
        <v>21</v>
      </c>
      <c r="F2846">
        <v>0</v>
      </c>
      <c r="G2846">
        <v>0</v>
      </c>
      <c r="H2846">
        <v>2</v>
      </c>
      <c r="I2846" s="3">
        <v>7176.33</v>
      </c>
      <c r="J2846" s="3">
        <v>1973.41</v>
      </c>
      <c r="K2846" t="s">
        <v>1722</v>
      </c>
      <c r="M2846" t="s">
        <v>1723</v>
      </c>
      <c r="N2846" t="s">
        <v>410</v>
      </c>
      <c r="O2846" t="s">
        <v>31</v>
      </c>
      <c r="P2846" t="str">
        <f>"15701"</f>
        <v>15701</v>
      </c>
    </row>
    <row r="2847" spans="1:16" x14ac:dyDescent="0.25">
      <c r="A2847" t="str">
        <f>"1080051M00020    00"</f>
        <v>1080051M00020    00</v>
      </c>
      <c r="B2847" t="s">
        <v>6869</v>
      </c>
      <c r="C2847" t="s">
        <v>6870</v>
      </c>
      <c r="E2847" t="s">
        <v>21</v>
      </c>
      <c r="F2847">
        <v>0</v>
      </c>
      <c r="G2847">
        <v>0</v>
      </c>
      <c r="H2847">
        <v>1</v>
      </c>
      <c r="I2847" s="3">
        <v>203.85</v>
      </c>
      <c r="J2847" s="3">
        <v>45.86</v>
      </c>
      <c r="K2847" t="s">
        <v>6871</v>
      </c>
      <c r="L2847">
        <v>225</v>
      </c>
      <c r="M2847" t="s">
        <v>6872</v>
      </c>
      <c r="N2847" t="s">
        <v>30</v>
      </c>
      <c r="O2847" t="s">
        <v>31</v>
      </c>
      <c r="P2847" t="str">
        <f>"15222"</f>
        <v>15222</v>
      </c>
    </row>
    <row r="2848" spans="1:16" x14ac:dyDescent="0.25">
      <c r="A2848" t="str">
        <f>"1080051M00075A   00"</f>
        <v>1080051M00075A   00</v>
      </c>
      <c r="B2848" t="s">
        <v>6873</v>
      </c>
      <c r="C2848" t="s">
        <v>6874</v>
      </c>
      <c r="E2848" t="s">
        <v>39</v>
      </c>
      <c r="F2848">
        <v>0</v>
      </c>
      <c r="G2848">
        <v>0</v>
      </c>
      <c r="H2848">
        <v>1</v>
      </c>
      <c r="I2848" s="3">
        <v>62.64</v>
      </c>
      <c r="J2848" s="3">
        <v>14.09</v>
      </c>
      <c r="K2848" t="s">
        <v>1632</v>
      </c>
      <c r="L2848">
        <v>3001</v>
      </c>
      <c r="M2848" t="s">
        <v>330</v>
      </c>
      <c r="N2848" t="s">
        <v>331</v>
      </c>
      <c r="O2848" t="s">
        <v>108</v>
      </c>
      <c r="P2848" t="str">
        <f>"75063"</f>
        <v>75063</v>
      </c>
    </row>
    <row r="2849" spans="1:16" x14ac:dyDescent="0.25">
      <c r="A2849" t="str">
        <f>"1080051M00155    00"</f>
        <v>1080051M00155    00</v>
      </c>
      <c r="B2849" t="s">
        <v>6875</v>
      </c>
      <c r="C2849" t="s">
        <v>6876</v>
      </c>
      <c r="D2849" t="s">
        <v>20</v>
      </c>
      <c r="E2849" t="s">
        <v>21</v>
      </c>
      <c r="F2849">
        <v>0</v>
      </c>
      <c r="G2849">
        <v>0</v>
      </c>
      <c r="H2849">
        <v>1</v>
      </c>
      <c r="I2849" s="3">
        <v>2795.48</v>
      </c>
      <c r="J2849" s="3">
        <v>0</v>
      </c>
      <c r="K2849" t="s">
        <v>6877</v>
      </c>
      <c r="L2849">
        <v>500</v>
      </c>
      <c r="M2849" t="s">
        <v>6878</v>
      </c>
      <c r="N2849" t="s">
        <v>30</v>
      </c>
      <c r="O2849" t="s">
        <v>31</v>
      </c>
      <c r="P2849" t="str">
        <f>"15224"</f>
        <v>15224</v>
      </c>
    </row>
    <row r="2850" spans="1:16" x14ac:dyDescent="0.25">
      <c r="A2850" t="str">
        <f>"1080051N00151    00"</f>
        <v>1080051N00151    00</v>
      </c>
      <c r="B2850" t="s">
        <v>6879</v>
      </c>
      <c r="C2850" t="s">
        <v>6880</v>
      </c>
      <c r="E2850" t="s">
        <v>21</v>
      </c>
      <c r="F2850">
        <v>0</v>
      </c>
      <c r="G2850">
        <v>0</v>
      </c>
      <c r="H2850">
        <v>1</v>
      </c>
      <c r="I2850" s="3">
        <v>3546.02</v>
      </c>
      <c r="J2850" s="3">
        <v>650.08000000000004</v>
      </c>
      <c r="L2850">
        <v>3111</v>
      </c>
      <c r="M2850" t="s">
        <v>6881</v>
      </c>
      <c r="N2850" t="s">
        <v>509</v>
      </c>
      <c r="O2850" t="s">
        <v>31</v>
      </c>
      <c r="P2850" t="str">
        <f>"19132"</f>
        <v>19132</v>
      </c>
    </row>
    <row r="2851" spans="1:16" x14ac:dyDescent="0.25">
      <c r="A2851" t="str">
        <f>"1080051N00192    00"</f>
        <v>1080051N00192    00</v>
      </c>
      <c r="B2851" t="s">
        <v>6882</v>
      </c>
      <c r="C2851" t="s">
        <v>6883</v>
      </c>
      <c r="E2851" t="s">
        <v>21</v>
      </c>
      <c r="F2851">
        <v>0</v>
      </c>
      <c r="G2851">
        <v>0</v>
      </c>
      <c r="H2851">
        <v>1</v>
      </c>
      <c r="I2851" s="3">
        <v>36713.370000000003</v>
      </c>
      <c r="J2851" s="3">
        <v>6730.51</v>
      </c>
      <c r="K2851" t="s">
        <v>6884</v>
      </c>
      <c r="L2851">
        <v>112</v>
      </c>
      <c r="M2851" t="s">
        <v>6885</v>
      </c>
      <c r="N2851" t="s">
        <v>2652</v>
      </c>
      <c r="O2851" t="s">
        <v>606</v>
      </c>
      <c r="P2851" t="str">
        <f>"30144"</f>
        <v>30144</v>
      </c>
    </row>
    <row r="2852" spans="1:16" x14ac:dyDescent="0.25">
      <c r="A2852" t="str">
        <f>"1080051P00068    00"</f>
        <v>1080051P00068    00</v>
      </c>
      <c r="B2852" t="s">
        <v>6886</v>
      </c>
      <c r="C2852" t="s">
        <v>6887</v>
      </c>
      <c r="E2852" t="s">
        <v>21</v>
      </c>
      <c r="F2852">
        <v>0</v>
      </c>
      <c r="G2852">
        <v>0</v>
      </c>
      <c r="H2852">
        <v>2</v>
      </c>
      <c r="I2852" s="3">
        <v>4113.3900000000003</v>
      </c>
      <c r="J2852" s="3">
        <v>34.28</v>
      </c>
      <c r="K2852" t="s">
        <v>6888</v>
      </c>
      <c r="L2852">
        <v>2804</v>
      </c>
      <c r="M2852" t="s">
        <v>4235</v>
      </c>
      <c r="N2852" t="s">
        <v>30</v>
      </c>
      <c r="O2852" t="s">
        <v>31</v>
      </c>
      <c r="P2852" t="str">
        <f>"15203"</f>
        <v>15203</v>
      </c>
    </row>
    <row r="2853" spans="1:16" x14ac:dyDescent="0.25">
      <c r="A2853" t="str">
        <f>"1080083N00217    00"</f>
        <v>1080083N00217    00</v>
      </c>
      <c r="B2853" t="s">
        <v>6889</v>
      </c>
      <c r="C2853" t="s">
        <v>6890</v>
      </c>
      <c r="E2853" t="s">
        <v>39</v>
      </c>
      <c r="F2853">
        <v>0</v>
      </c>
      <c r="G2853">
        <v>0</v>
      </c>
      <c r="H2853">
        <v>2</v>
      </c>
      <c r="I2853" s="3">
        <v>6080.33</v>
      </c>
      <c r="J2853" s="3">
        <v>1981.82</v>
      </c>
      <c r="L2853">
        <v>133</v>
      </c>
      <c r="M2853" t="s">
        <v>6891</v>
      </c>
      <c r="N2853" t="s">
        <v>30</v>
      </c>
      <c r="O2853" t="s">
        <v>31</v>
      </c>
      <c r="P2853" t="str">
        <f t="shared" ref="P2853:P2858" si="36">"15206"</f>
        <v>15206</v>
      </c>
    </row>
    <row r="2854" spans="1:16" x14ac:dyDescent="0.25">
      <c r="A2854" t="str">
        <f>"1080083N00219    00"</f>
        <v>1080083N00219    00</v>
      </c>
      <c r="B2854" t="s">
        <v>6892</v>
      </c>
      <c r="C2854" t="s">
        <v>6893</v>
      </c>
      <c r="D2854" t="s">
        <v>20</v>
      </c>
      <c r="E2854" t="s">
        <v>39</v>
      </c>
      <c r="F2854">
        <v>0</v>
      </c>
      <c r="G2854">
        <v>0</v>
      </c>
      <c r="H2854">
        <v>7</v>
      </c>
      <c r="I2854" s="3">
        <v>23008.03</v>
      </c>
      <c r="J2854" s="3">
        <v>9692.73</v>
      </c>
      <c r="L2854">
        <v>133</v>
      </c>
      <c r="M2854" t="s">
        <v>6894</v>
      </c>
      <c r="N2854" t="s">
        <v>30</v>
      </c>
      <c r="O2854" t="s">
        <v>31</v>
      </c>
      <c r="P2854" t="str">
        <f t="shared" si="36"/>
        <v>15206</v>
      </c>
    </row>
    <row r="2855" spans="1:16" x14ac:dyDescent="0.25">
      <c r="A2855" t="str">
        <f>"1080083N00234    00"</f>
        <v>1080083N00234    00</v>
      </c>
      <c r="B2855" t="s">
        <v>6895</v>
      </c>
      <c r="C2855" t="s">
        <v>6896</v>
      </c>
      <c r="E2855" t="s">
        <v>39</v>
      </c>
      <c r="F2855">
        <v>0</v>
      </c>
      <c r="G2855">
        <v>0</v>
      </c>
      <c r="H2855">
        <v>1</v>
      </c>
      <c r="I2855" s="3">
        <v>597.22</v>
      </c>
      <c r="J2855" s="3">
        <v>119.44</v>
      </c>
      <c r="L2855">
        <v>5500</v>
      </c>
      <c r="M2855" t="s">
        <v>5832</v>
      </c>
      <c r="N2855" t="s">
        <v>30</v>
      </c>
      <c r="O2855" t="s">
        <v>31</v>
      </c>
      <c r="P2855" t="str">
        <f t="shared" si="36"/>
        <v>15206</v>
      </c>
    </row>
    <row r="2856" spans="1:16" x14ac:dyDescent="0.25">
      <c r="A2856" t="str">
        <f>"1080083N00236    00"</f>
        <v>1080083N00236    00</v>
      </c>
      <c r="B2856" t="s">
        <v>6897</v>
      </c>
      <c r="C2856" t="s">
        <v>6898</v>
      </c>
      <c r="D2856" t="s">
        <v>20</v>
      </c>
      <c r="E2856" t="s">
        <v>39</v>
      </c>
      <c r="F2856">
        <v>0</v>
      </c>
      <c r="G2856">
        <v>0</v>
      </c>
      <c r="H2856">
        <v>3</v>
      </c>
      <c r="I2856" s="3">
        <v>3011.69</v>
      </c>
      <c r="J2856" s="3">
        <v>151.68</v>
      </c>
      <c r="L2856">
        <v>126</v>
      </c>
      <c r="M2856" t="s">
        <v>6834</v>
      </c>
      <c r="N2856" t="s">
        <v>30</v>
      </c>
      <c r="O2856" t="s">
        <v>31</v>
      </c>
      <c r="P2856" t="str">
        <f t="shared" si="36"/>
        <v>15206</v>
      </c>
    </row>
    <row r="2857" spans="1:16" x14ac:dyDescent="0.25">
      <c r="A2857" t="str">
        <f>"1080083N00240    00"</f>
        <v>1080083N00240    00</v>
      </c>
      <c r="B2857" t="s">
        <v>6899</v>
      </c>
      <c r="C2857" t="s">
        <v>6900</v>
      </c>
      <c r="D2857" t="s">
        <v>20</v>
      </c>
      <c r="E2857" t="s">
        <v>21</v>
      </c>
      <c r="F2857">
        <v>0</v>
      </c>
      <c r="G2857">
        <v>0</v>
      </c>
      <c r="H2857">
        <v>2</v>
      </c>
      <c r="I2857" s="3">
        <v>6690.08</v>
      </c>
      <c r="J2857" s="3">
        <v>585.36</v>
      </c>
      <c r="L2857">
        <v>5514</v>
      </c>
      <c r="M2857" t="s">
        <v>585</v>
      </c>
      <c r="N2857" t="s">
        <v>30</v>
      </c>
      <c r="O2857" t="s">
        <v>31</v>
      </c>
      <c r="P2857" t="str">
        <f t="shared" si="36"/>
        <v>15206</v>
      </c>
    </row>
    <row r="2858" spans="1:16" x14ac:dyDescent="0.25">
      <c r="A2858" t="str">
        <f>"1080083N00242    00"</f>
        <v>1080083N00242    00</v>
      </c>
      <c r="B2858" t="s">
        <v>6899</v>
      </c>
      <c r="C2858" t="s">
        <v>6901</v>
      </c>
      <c r="D2858" t="s">
        <v>20</v>
      </c>
      <c r="E2858" t="s">
        <v>21</v>
      </c>
      <c r="F2858">
        <v>0</v>
      </c>
      <c r="G2858">
        <v>0</v>
      </c>
      <c r="H2858">
        <v>2</v>
      </c>
      <c r="I2858" s="3">
        <v>2927.62</v>
      </c>
      <c r="J2858" s="3">
        <v>256.14999999999998</v>
      </c>
      <c r="L2858">
        <v>5514</v>
      </c>
      <c r="M2858" t="s">
        <v>585</v>
      </c>
      <c r="N2858" t="s">
        <v>30</v>
      </c>
      <c r="O2858" t="s">
        <v>31</v>
      </c>
      <c r="P2858" t="str">
        <f t="shared" si="36"/>
        <v>15206</v>
      </c>
    </row>
    <row r="2859" spans="1:16" x14ac:dyDescent="0.25">
      <c r="A2859" t="str">
        <f>"1080084A00004    00"</f>
        <v>1080084A00004    00</v>
      </c>
      <c r="B2859" t="s">
        <v>6902</v>
      </c>
      <c r="C2859" t="s">
        <v>6903</v>
      </c>
      <c r="E2859" t="s">
        <v>39</v>
      </c>
      <c r="F2859">
        <v>0</v>
      </c>
      <c r="G2859">
        <v>0</v>
      </c>
      <c r="H2859">
        <v>2</v>
      </c>
      <c r="I2859" s="3">
        <v>1440.94</v>
      </c>
      <c r="J2859" s="3">
        <v>72.040000000000006</v>
      </c>
      <c r="K2859" t="s">
        <v>1632</v>
      </c>
      <c r="M2859" t="s">
        <v>1633</v>
      </c>
      <c r="N2859" t="s">
        <v>1634</v>
      </c>
      <c r="O2859" t="s">
        <v>25</v>
      </c>
      <c r="P2859" t="str">
        <f>"45401"</f>
        <v>45401</v>
      </c>
    </row>
    <row r="2860" spans="1:16" x14ac:dyDescent="0.25">
      <c r="A2860" t="str">
        <f>"1080084A00062    00"</f>
        <v>1080084A00062    00</v>
      </c>
      <c r="B2860" t="s">
        <v>6904</v>
      </c>
      <c r="C2860" t="s">
        <v>6905</v>
      </c>
      <c r="E2860" t="s">
        <v>39</v>
      </c>
      <c r="F2860">
        <v>0</v>
      </c>
      <c r="G2860">
        <v>0</v>
      </c>
      <c r="H2860">
        <v>2</v>
      </c>
      <c r="I2860" s="3">
        <v>80.83</v>
      </c>
      <c r="J2860" s="3">
        <v>5.52</v>
      </c>
      <c r="K2860" t="s">
        <v>403</v>
      </c>
      <c r="L2860">
        <v>3001</v>
      </c>
      <c r="M2860" t="s">
        <v>404</v>
      </c>
      <c r="N2860" t="s">
        <v>331</v>
      </c>
      <c r="O2860" t="s">
        <v>108</v>
      </c>
      <c r="P2860" t="str">
        <f>"75063"</f>
        <v>75063</v>
      </c>
    </row>
    <row r="2861" spans="1:16" x14ac:dyDescent="0.25">
      <c r="A2861" t="str">
        <f>"1080084A00102    00"</f>
        <v>1080084A00102    00</v>
      </c>
      <c r="B2861" t="s">
        <v>6906</v>
      </c>
      <c r="C2861" t="s">
        <v>6907</v>
      </c>
      <c r="D2861" t="s">
        <v>57</v>
      </c>
      <c r="E2861" t="s">
        <v>39</v>
      </c>
      <c r="F2861">
        <v>0</v>
      </c>
      <c r="G2861">
        <v>0</v>
      </c>
      <c r="H2861">
        <v>3</v>
      </c>
      <c r="I2861" s="3">
        <v>8445.84</v>
      </c>
      <c r="J2861" s="3">
        <v>1188.5</v>
      </c>
      <c r="K2861" t="s">
        <v>6908</v>
      </c>
      <c r="L2861">
        <v>412</v>
      </c>
      <c r="M2861" t="s">
        <v>6909</v>
      </c>
      <c r="N2861" t="s">
        <v>30</v>
      </c>
      <c r="O2861" t="s">
        <v>31</v>
      </c>
      <c r="P2861" t="str">
        <f>"15215"</f>
        <v>15215</v>
      </c>
    </row>
    <row r="2862" spans="1:16" x14ac:dyDescent="0.25">
      <c r="A2862" t="str">
        <f>"1080084A00135    00"</f>
        <v>1080084A00135    00</v>
      </c>
      <c r="B2862" t="s">
        <v>5881</v>
      </c>
      <c r="C2862" t="s">
        <v>6910</v>
      </c>
      <c r="E2862" t="s">
        <v>21</v>
      </c>
      <c r="F2862">
        <v>0</v>
      </c>
      <c r="G2862">
        <v>0</v>
      </c>
      <c r="H2862">
        <v>2</v>
      </c>
      <c r="I2862" s="3">
        <v>195.89</v>
      </c>
      <c r="J2862" s="3">
        <v>3.23</v>
      </c>
      <c r="K2862" t="s">
        <v>5883</v>
      </c>
      <c r="M2862" t="s">
        <v>5884</v>
      </c>
      <c r="N2862" t="s">
        <v>30</v>
      </c>
      <c r="O2862" t="s">
        <v>31</v>
      </c>
      <c r="P2862" t="str">
        <f>"15235"</f>
        <v>15235</v>
      </c>
    </row>
    <row r="2863" spans="1:16" x14ac:dyDescent="0.25">
      <c r="A2863" t="str">
        <f>"1080084A00198    00"</f>
        <v>1080084A00198    00</v>
      </c>
      <c r="B2863" t="s">
        <v>5881</v>
      </c>
      <c r="C2863" t="s">
        <v>6911</v>
      </c>
      <c r="E2863" t="s">
        <v>21</v>
      </c>
      <c r="F2863">
        <v>0</v>
      </c>
      <c r="G2863">
        <v>0</v>
      </c>
      <c r="H2863">
        <v>2</v>
      </c>
      <c r="I2863" s="3">
        <v>18.899999999999999</v>
      </c>
      <c r="J2863" s="3">
        <v>0.28000000000000003</v>
      </c>
      <c r="K2863" t="s">
        <v>5883</v>
      </c>
      <c r="M2863" t="s">
        <v>5884</v>
      </c>
      <c r="N2863" t="s">
        <v>30</v>
      </c>
      <c r="O2863" t="s">
        <v>31</v>
      </c>
      <c r="P2863" t="str">
        <f>"15235"</f>
        <v>15235</v>
      </c>
    </row>
    <row r="2864" spans="1:16" x14ac:dyDescent="0.25">
      <c r="A2864" t="str">
        <f>"1080084A00267    00"</f>
        <v>1080084A00267    00</v>
      </c>
      <c r="B2864" t="s">
        <v>6912</v>
      </c>
      <c r="C2864" t="s">
        <v>6913</v>
      </c>
      <c r="E2864" t="s">
        <v>21</v>
      </c>
      <c r="F2864">
        <v>0</v>
      </c>
      <c r="G2864">
        <v>0</v>
      </c>
      <c r="H2864">
        <v>1</v>
      </c>
      <c r="I2864" s="3">
        <v>7766.39</v>
      </c>
      <c r="J2864" s="3">
        <v>3818.33</v>
      </c>
      <c r="L2864">
        <v>107</v>
      </c>
      <c r="M2864" t="s">
        <v>6914</v>
      </c>
      <c r="N2864" t="s">
        <v>139</v>
      </c>
      <c r="O2864" t="s">
        <v>31</v>
      </c>
      <c r="P2864" t="str">
        <f>"15090"</f>
        <v>15090</v>
      </c>
    </row>
    <row r="2865" spans="1:16" x14ac:dyDescent="0.25">
      <c r="A2865" t="str">
        <f>"1080084A00284    00"</f>
        <v>1080084A00284    00</v>
      </c>
      <c r="B2865" t="s">
        <v>6915</v>
      </c>
      <c r="C2865" t="s">
        <v>6916</v>
      </c>
      <c r="D2865" t="s">
        <v>20</v>
      </c>
      <c r="E2865" t="s">
        <v>39</v>
      </c>
      <c r="F2865">
        <v>0</v>
      </c>
      <c r="G2865">
        <v>0</v>
      </c>
      <c r="H2865">
        <v>1</v>
      </c>
      <c r="I2865" s="3">
        <v>1048.3</v>
      </c>
      <c r="J2865" s="3">
        <v>0</v>
      </c>
      <c r="K2865" t="s">
        <v>6917</v>
      </c>
      <c r="L2865">
        <v>228</v>
      </c>
      <c r="M2865" t="s">
        <v>4259</v>
      </c>
      <c r="N2865" t="s">
        <v>30</v>
      </c>
      <c r="O2865" t="s">
        <v>31</v>
      </c>
      <c r="P2865" t="str">
        <f>"15206"</f>
        <v>15206</v>
      </c>
    </row>
    <row r="2866" spans="1:16" x14ac:dyDescent="0.25">
      <c r="A2866" t="str">
        <f>"1080084B00086    00"</f>
        <v>1080084B00086    00</v>
      </c>
      <c r="B2866" t="s">
        <v>6918</v>
      </c>
      <c r="C2866" t="s">
        <v>6919</v>
      </c>
      <c r="E2866" t="s">
        <v>21</v>
      </c>
      <c r="F2866">
        <v>0</v>
      </c>
      <c r="G2866">
        <v>0</v>
      </c>
      <c r="H2866">
        <v>2</v>
      </c>
      <c r="I2866" s="3">
        <v>1267.5</v>
      </c>
      <c r="J2866" s="3">
        <v>52.81</v>
      </c>
      <c r="K2866" t="s">
        <v>6920</v>
      </c>
      <c r="L2866">
        <v>357</v>
      </c>
      <c r="M2866" t="s">
        <v>4767</v>
      </c>
      <c r="N2866" t="s">
        <v>4768</v>
      </c>
      <c r="O2866" t="s">
        <v>31</v>
      </c>
      <c r="P2866" t="str">
        <f>"15137"</f>
        <v>15137</v>
      </c>
    </row>
    <row r="2867" spans="1:16" x14ac:dyDescent="0.25">
      <c r="A2867" t="str">
        <f>"1080084B00238    00"</f>
        <v>1080084B00238    00</v>
      </c>
      <c r="B2867" t="s">
        <v>6921</v>
      </c>
      <c r="C2867" t="s">
        <v>6922</v>
      </c>
      <c r="D2867" t="s">
        <v>20</v>
      </c>
      <c r="E2867" t="s">
        <v>21</v>
      </c>
      <c r="F2867">
        <v>0</v>
      </c>
      <c r="G2867">
        <v>0</v>
      </c>
      <c r="H2867">
        <v>1</v>
      </c>
      <c r="I2867" s="3">
        <v>5000</v>
      </c>
      <c r="J2867" s="3">
        <v>0</v>
      </c>
      <c r="L2867">
        <v>5901</v>
      </c>
      <c r="M2867" t="s">
        <v>2720</v>
      </c>
      <c r="N2867" t="s">
        <v>30</v>
      </c>
      <c r="O2867" t="s">
        <v>31</v>
      </c>
      <c r="P2867" t="str">
        <f>"15206"</f>
        <v>15206</v>
      </c>
    </row>
    <row r="2868" spans="1:16" x14ac:dyDescent="0.25">
      <c r="A2868" t="str">
        <f>"1080084C00046    00"</f>
        <v>1080084C00046    00</v>
      </c>
      <c r="B2868" t="s">
        <v>6923</v>
      </c>
      <c r="C2868" t="s">
        <v>6924</v>
      </c>
      <c r="D2868" t="s">
        <v>20</v>
      </c>
      <c r="E2868" t="s">
        <v>21</v>
      </c>
      <c r="F2868">
        <v>0</v>
      </c>
      <c r="G2868">
        <v>0</v>
      </c>
      <c r="H2868">
        <v>3</v>
      </c>
      <c r="I2868" s="3">
        <v>42186.14</v>
      </c>
      <c r="J2868" s="3">
        <v>1162.6099999999999</v>
      </c>
      <c r="K2868" t="s">
        <v>6925</v>
      </c>
      <c r="L2868">
        <v>901</v>
      </c>
      <c r="M2868" t="s">
        <v>1503</v>
      </c>
      <c r="N2868" t="s">
        <v>494</v>
      </c>
      <c r="O2868" t="s">
        <v>495</v>
      </c>
      <c r="P2868" t="str">
        <f>"91768"</f>
        <v>91768</v>
      </c>
    </row>
    <row r="2869" spans="1:16" x14ac:dyDescent="0.25">
      <c r="A2869" t="str">
        <f>"1080084E00014    00"</f>
        <v>1080084E00014    00</v>
      </c>
      <c r="B2869" t="s">
        <v>6926</v>
      </c>
      <c r="C2869" t="s">
        <v>6927</v>
      </c>
      <c r="E2869" t="s">
        <v>39</v>
      </c>
      <c r="F2869">
        <v>0</v>
      </c>
      <c r="G2869">
        <v>0</v>
      </c>
      <c r="H2869">
        <v>1</v>
      </c>
      <c r="I2869" s="3">
        <v>2824.83</v>
      </c>
      <c r="J2869" s="3">
        <v>894.5</v>
      </c>
      <c r="K2869" t="s">
        <v>403</v>
      </c>
      <c r="L2869">
        <v>3001</v>
      </c>
      <c r="M2869" t="s">
        <v>404</v>
      </c>
      <c r="N2869" t="s">
        <v>331</v>
      </c>
      <c r="O2869" t="s">
        <v>108</v>
      </c>
      <c r="P2869" t="str">
        <f>"75063"</f>
        <v>75063</v>
      </c>
    </row>
    <row r="2870" spans="1:16" x14ac:dyDescent="0.25">
      <c r="A2870" t="str">
        <f>"1080084E00022    00"</f>
        <v>1080084E00022    00</v>
      </c>
      <c r="B2870" t="s">
        <v>6928</v>
      </c>
      <c r="C2870" t="s">
        <v>6929</v>
      </c>
      <c r="E2870" t="s">
        <v>39</v>
      </c>
      <c r="F2870">
        <v>0</v>
      </c>
      <c r="G2870">
        <v>0</v>
      </c>
      <c r="H2870">
        <v>1</v>
      </c>
      <c r="I2870" s="3">
        <v>1819.38</v>
      </c>
      <c r="J2870" s="3">
        <v>0</v>
      </c>
      <c r="K2870" t="s">
        <v>484</v>
      </c>
      <c r="L2870">
        <v>3001</v>
      </c>
      <c r="M2870" t="s">
        <v>330</v>
      </c>
      <c r="N2870" t="s">
        <v>331</v>
      </c>
      <c r="O2870" t="s">
        <v>108</v>
      </c>
      <c r="P2870" t="str">
        <f>"75063"</f>
        <v>75063</v>
      </c>
    </row>
    <row r="2871" spans="1:16" x14ac:dyDescent="0.25">
      <c r="A2871" t="str">
        <f>"1080084E00034    00"</f>
        <v>1080084E00034    00</v>
      </c>
      <c r="B2871" t="s">
        <v>5732</v>
      </c>
      <c r="C2871" t="s">
        <v>6930</v>
      </c>
      <c r="E2871" t="s">
        <v>39</v>
      </c>
      <c r="F2871">
        <v>0</v>
      </c>
      <c r="G2871">
        <v>0</v>
      </c>
      <c r="H2871">
        <v>1</v>
      </c>
      <c r="I2871" s="3">
        <v>1031.92</v>
      </c>
      <c r="J2871" s="3">
        <v>232.17</v>
      </c>
      <c r="L2871">
        <v>340</v>
      </c>
      <c r="M2871" t="s">
        <v>5734</v>
      </c>
      <c r="N2871" t="s">
        <v>30</v>
      </c>
      <c r="O2871" t="s">
        <v>31</v>
      </c>
      <c r="P2871" t="str">
        <f>"15206"</f>
        <v>15206</v>
      </c>
    </row>
    <row r="2872" spans="1:16" x14ac:dyDescent="0.25">
      <c r="A2872" t="str">
        <f>"1080084E00070    00"</f>
        <v>1080084E00070    00</v>
      </c>
      <c r="B2872" t="s">
        <v>6931</v>
      </c>
      <c r="C2872" t="s">
        <v>6932</v>
      </c>
      <c r="D2872" t="s">
        <v>33</v>
      </c>
      <c r="E2872" t="s">
        <v>21</v>
      </c>
      <c r="F2872">
        <v>0</v>
      </c>
      <c r="G2872">
        <v>0</v>
      </c>
      <c r="H2872">
        <v>4</v>
      </c>
      <c r="I2872" s="3">
        <v>45902.48</v>
      </c>
      <c r="J2872" s="3">
        <v>285.47000000000003</v>
      </c>
      <c r="K2872" t="s">
        <v>6933</v>
      </c>
      <c r="L2872">
        <v>302</v>
      </c>
      <c r="M2872" t="s">
        <v>6934</v>
      </c>
      <c r="N2872" t="s">
        <v>30</v>
      </c>
      <c r="O2872" t="s">
        <v>31</v>
      </c>
      <c r="P2872" t="str">
        <f>"15206"</f>
        <v>15206</v>
      </c>
    </row>
    <row r="2873" spans="1:16" x14ac:dyDescent="0.25">
      <c r="A2873" t="str">
        <f>"1080084E00074    00"</f>
        <v>1080084E00074    00</v>
      </c>
      <c r="B2873" t="s">
        <v>6935</v>
      </c>
      <c r="C2873" t="s">
        <v>6936</v>
      </c>
      <c r="D2873" t="s">
        <v>20</v>
      </c>
      <c r="E2873" t="s">
        <v>21</v>
      </c>
      <c r="F2873">
        <v>0</v>
      </c>
      <c r="G2873">
        <v>0</v>
      </c>
      <c r="H2873">
        <v>2</v>
      </c>
      <c r="I2873" s="3">
        <v>361.92</v>
      </c>
      <c r="J2873" s="3">
        <v>0</v>
      </c>
      <c r="L2873">
        <v>3101</v>
      </c>
      <c r="M2873" t="s">
        <v>6937</v>
      </c>
      <c r="N2873" t="s">
        <v>30</v>
      </c>
      <c r="O2873" t="s">
        <v>31</v>
      </c>
      <c r="P2873" t="str">
        <f>"15216"</f>
        <v>15216</v>
      </c>
    </row>
    <row r="2874" spans="1:16" x14ac:dyDescent="0.25">
      <c r="A2874" t="str">
        <f>"1080084E00094    00"</f>
        <v>1080084E00094    00</v>
      </c>
      <c r="B2874" t="s">
        <v>6938</v>
      </c>
      <c r="C2874" t="s">
        <v>6939</v>
      </c>
      <c r="D2874" t="s">
        <v>20</v>
      </c>
      <c r="E2874" t="s">
        <v>21</v>
      </c>
      <c r="F2874">
        <v>0</v>
      </c>
      <c r="G2874">
        <v>0</v>
      </c>
      <c r="H2874">
        <v>1</v>
      </c>
      <c r="I2874" s="3">
        <v>87.97</v>
      </c>
      <c r="J2874" s="3">
        <v>0</v>
      </c>
      <c r="L2874">
        <v>500</v>
      </c>
      <c r="M2874" t="s">
        <v>6940</v>
      </c>
      <c r="N2874" t="s">
        <v>6941</v>
      </c>
      <c r="O2874" t="s">
        <v>31</v>
      </c>
      <c r="P2874" t="str">
        <f>"15003"</f>
        <v>15003</v>
      </c>
    </row>
    <row r="2875" spans="1:16" x14ac:dyDescent="0.25">
      <c r="A2875" t="str">
        <f>"1080084E00161    00"</f>
        <v>1080084E00161    00</v>
      </c>
      <c r="B2875" t="s">
        <v>6935</v>
      </c>
      <c r="C2875" t="s">
        <v>6942</v>
      </c>
      <c r="D2875" t="s">
        <v>20</v>
      </c>
      <c r="E2875" t="s">
        <v>21</v>
      </c>
      <c r="F2875">
        <v>0</v>
      </c>
      <c r="G2875">
        <v>0</v>
      </c>
      <c r="H2875">
        <v>2</v>
      </c>
      <c r="I2875" s="3">
        <v>2047.54</v>
      </c>
      <c r="J2875" s="3">
        <v>0</v>
      </c>
      <c r="K2875" t="s">
        <v>6943</v>
      </c>
      <c r="L2875">
        <v>3101</v>
      </c>
      <c r="M2875" t="s">
        <v>6937</v>
      </c>
      <c r="N2875" t="s">
        <v>30</v>
      </c>
      <c r="O2875" t="s">
        <v>31</v>
      </c>
      <c r="P2875" t="str">
        <f>"15216"</f>
        <v>15216</v>
      </c>
    </row>
    <row r="2876" spans="1:16" x14ac:dyDescent="0.25">
      <c r="A2876" t="str">
        <f>"1080084E00236    00"</f>
        <v>1080084E00236    00</v>
      </c>
      <c r="B2876" t="s">
        <v>6944</v>
      </c>
      <c r="C2876" t="s">
        <v>6945</v>
      </c>
      <c r="E2876" t="s">
        <v>290</v>
      </c>
      <c r="F2876">
        <v>0</v>
      </c>
      <c r="G2876">
        <v>0</v>
      </c>
      <c r="H2876">
        <v>1</v>
      </c>
      <c r="I2876" s="3">
        <v>20715.259999999998</v>
      </c>
      <c r="J2876" s="3">
        <v>0</v>
      </c>
      <c r="K2876" t="s">
        <v>6946</v>
      </c>
      <c r="L2876">
        <v>5879</v>
      </c>
      <c r="M2876" t="s">
        <v>1117</v>
      </c>
      <c r="N2876" t="s">
        <v>30</v>
      </c>
      <c r="O2876" t="s">
        <v>31</v>
      </c>
      <c r="P2876" t="str">
        <f>"15206"</f>
        <v>15206</v>
      </c>
    </row>
    <row r="2877" spans="1:16" x14ac:dyDescent="0.25">
      <c r="A2877" t="str">
        <f>"1080120L00014000100"</f>
        <v>1080120L00014000100</v>
      </c>
      <c r="B2877" t="s">
        <v>6947</v>
      </c>
      <c r="C2877" t="s">
        <v>6948</v>
      </c>
      <c r="D2877" t="s">
        <v>20</v>
      </c>
      <c r="E2877" t="s">
        <v>21</v>
      </c>
      <c r="F2877">
        <v>0</v>
      </c>
      <c r="G2877">
        <v>0</v>
      </c>
      <c r="H2877">
        <v>19</v>
      </c>
      <c r="I2877" s="3">
        <v>755.97</v>
      </c>
      <c r="J2877" s="3">
        <v>818.51</v>
      </c>
      <c r="L2877">
        <v>6038</v>
      </c>
      <c r="M2877" t="s">
        <v>6949</v>
      </c>
      <c r="N2877" t="s">
        <v>30</v>
      </c>
      <c r="O2877" t="s">
        <v>31</v>
      </c>
      <c r="P2877" t="str">
        <f>"15201"</f>
        <v>15201</v>
      </c>
    </row>
    <row r="2878" spans="1:16" x14ac:dyDescent="0.25">
      <c r="A2878" t="str">
        <f>"1090026C00172    00"</f>
        <v>1090026C00172    00</v>
      </c>
      <c r="B2878" t="s">
        <v>6950</v>
      </c>
      <c r="C2878" t="s">
        <v>6951</v>
      </c>
      <c r="D2878" t="s">
        <v>20</v>
      </c>
      <c r="E2878" t="s">
        <v>39</v>
      </c>
      <c r="F2878">
        <v>0</v>
      </c>
      <c r="G2878">
        <v>0</v>
      </c>
      <c r="H2878">
        <v>7</v>
      </c>
      <c r="I2878" s="3">
        <v>1066.01</v>
      </c>
      <c r="J2878" s="3">
        <v>623.79</v>
      </c>
      <c r="L2878">
        <v>161</v>
      </c>
      <c r="M2878" t="s">
        <v>6269</v>
      </c>
      <c r="N2878" t="s">
        <v>30</v>
      </c>
      <c r="O2878" t="s">
        <v>31</v>
      </c>
      <c r="P2878" t="str">
        <f>"15224"</f>
        <v>15224</v>
      </c>
    </row>
    <row r="2879" spans="1:16" x14ac:dyDescent="0.25">
      <c r="A2879" t="str">
        <f>"1090026C00177    00"</f>
        <v>1090026C00177    00</v>
      </c>
      <c r="B2879" t="s">
        <v>6950</v>
      </c>
      <c r="C2879" t="s">
        <v>6952</v>
      </c>
      <c r="D2879" t="s">
        <v>20</v>
      </c>
      <c r="E2879" t="s">
        <v>39</v>
      </c>
      <c r="F2879">
        <v>0</v>
      </c>
      <c r="G2879">
        <v>0</v>
      </c>
      <c r="H2879">
        <v>8</v>
      </c>
      <c r="I2879" s="3">
        <v>1231.6300000000001</v>
      </c>
      <c r="J2879" s="3">
        <v>836.33</v>
      </c>
      <c r="L2879">
        <v>161</v>
      </c>
      <c r="M2879" t="s">
        <v>6269</v>
      </c>
      <c r="N2879" t="s">
        <v>30</v>
      </c>
      <c r="O2879" t="s">
        <v>31</v>
      </c>
      <c r="P2879" t="str">
        <f>"15224"</f>
        <v>15224</v>
      </c>
    </row>
    <row r="2880" spans="1:16" x14ac:dyDescent="0.25">
      <c r="A2880" t="str">
        <f>"1090026C00178    00"</f>
        <v>1090026C00178    00</v>
      </c>
      <c r="B2880" t="s">
        <v>6950</v>
      </c>
      <c r="C2880" t="s">
        <v>6951</v>
      </c>
      <c r="D2880" t="s">
        <v>20</v>
      </c>
      <c r="E2880" t="s">
        <v>39</v>
      </c>
      <c r="F2880">
        <v>0</v>
      </c>
      <c r="G2880">
        <v>0</v>
      </c>
      <c r="H2880">
        <v>7</v>
      </c>
      <c r="I2880" s="3">
        <v>1028.3</v>
      </c>
      <c r="J2880" s="3">
        <v>617.29</v>
      </c>
      <c r="L2880">
        <v>161</v>
      </c>
      <c r="M2880" t="s">
        <v>6269</v>
      </c>
      <c r="N2880" t="s">
        <v>30</v>
      </c>
      <c r="O2880" t="s">
        <v>31</v>
      </c>
      <c r="P2880" t="str">
        <f>"15224"</f>
        <v>15224</v>
      </c>
    </row>
    <row r="2881" spans="1:16" x14ac:dyDescent="0.25">
      <c r="A2881" t="str">
        <f>"1090026C00179    00"</f>
        <v>1090026C00179    00</v>
      </c>
      <c r="B2881" t="s">
        <v>6953</v>
      </c>
      <c r="C2881" t="s">
        <v>6954</v>
      </c>
      <c r="D2881" t="s">
        <v>20</v>
      </c>
      <c r="E2881" t="s">
        <v>21</v>
      </c>
      <c r="F2881">
        <v>0</v>
      </c>
      <c r="G2881">
        <v>0</v>
      </c>
      <c r="H2881">
        <v>2</v>
      </c>
      <c r="I2881" s="3">
        <v>411.7</v>
      </c>
      <c r="J2881" s="3">
        <v>0</v>
      </c>
      <c r="K2881" t="s">
        <v>6955</v>
      </c>
      <c r="L2881">
        <v>2521</v>
      </c>
      <c r="M2881" t="s">
        <v>6956</v>
      </c>
      <c r="N2881" t="s">
        <v>30</v>
      </c>
      <c r="O2881" t="s">
        <v>31</v>
      </c>
      <c r="P2881" t="str">
        <f>"15203"</f>
        <v>15203</v>
      </c>
    </row>
    <row r="2882" spans="1:16" x14ac:dyDescent="0.25">
      <c r="A2882" t="str">
        <f>"1090049A00007    00"</f>
        <v>1090049A00007    00</v>
      </c>
      <c r="B2882" t="s">
        <v>6957</v>
      </c>
      <c r="C2882" t="s">
        <v>6958</v>
      </c>
      <c r="E2882" t="s">
        <v>39</v>
      </c>
      <c r="F2882">
        <v>0</v>
      </c>
      <c r="G2882">
        <v>0</v>
      </c>
      <c r="H2882">
        <v>2</v>
      </c>
      <c r="I2882" s="3">
        <v>16342.06</v>
      </c>
      <c r="J2882" s="3">
        <v>680.89</v>
      </c>
      <c r="L2882">
        <v>137</v>
      </c>
      <c r="M2882" t="s">
        <v>6959</v>
      </c>
      <c r="N2882" t="s">
        <v>30</v>
      </c>
      <c r="O2882" t="s">
        <v>31</v>
      </c>
      <c r="P2882" t="str">
        <f>"15201"</f>
        <v>15201</v>
      </c>
    </row>
    <row r="2883" spans="1:16" x14ac:dyDescent="0.25">
      <c r="A2883" t="str">
        <f>"1090049A00024    00"</f>
        <v>1090049A00024    00</v>
      </c>
      <c r="B2883" t="s">
        <v>5020</v>
      </c>
      <c r="C2883" t="s">
        <v>6960</v>
      </c>
      <c r="E2883" t="s">
        <v>39</v>
      </c>
      <c r="F2883">
        <v>0</v>
      </c>
      <c r="G2883">
        <v>0</v>
      </c>
      <c r="H2883">
        <v>1</v>
      </c>
      <c r="I2883" s="3">
        <v>1555.3</v>
      </c>
      <c r="J2883" s="3">
        <v>0</v>
      </c>
      <c r="K2883" t="s">
        <v>6961</v>
      </c>
      <c r="L2883">
        <v>1151</v>
      </c>
      <c r="M2883" t="s">
        <v>6962</v>
      </c>
      <c r="N2883" t="s">
        <v>30</v>
      </c>
      <c r="O2883" t="s">
        <v>31</v>
      </c>
      <c r="P2883" t="str">
        <f>"15238"</f>
        <v>15238</v>
      </c>
    </row>
    <row r="2884" spans="1:16" x14ac:dyDescent="0.25">
      <c r="A2884" t="str">
        <f>"1090049A00060    00"</f>
        <v>1090049A00060    00</v>
      </c>
      <c r="B2884" t="s">
        <v>6963</v>
      </c>
      <c r="C2884" t="s">
        <v>6964</v>
      </c>
      <c r="E2884" t="s">
        <v>39</v>
      </c>
      <c r="F2884">
        <v>0</v>
      </c>
      <c r="G2884">
        <v>0</v>
      </c>
      <c r="H2884">
        <v>1</v>
      </c>
      <c r="I2884" s="3">
        <v>431.69</v>
      </c>
      <c r="J2884" s="3">
        <v>0</v>
      </c>
      <c r="L2884">
        <v>4119</v>
      </c>
      <c r="M2884" t="s">
        <v>6965</v>
      </c>
      <c r="N2884" t="s">
        <v>30</v>
      </c>
      <c r="O2884" t="s">
        <v>31</v>
      </c>
      <c r="P2884" t="str">
        <f>"15201"</f>
        <v>15201</v>
      </c>
    </row>
    <row r="2885" spans="1:16" x14ac:dyDescent="0.25">
      <c r="A2885" t="str">
        <f>"1090049A00064    00"</f>
        <v>1090049A00064    00</v>
      </c>
      <c r="B2885" t="s">
        <v>6966</v>
      </c>
      <c r="C2885" t="s">
        <v>6967</v>
      </c>
      <c r="E2885" t="s">
        <v>39</v>
      </c>
      <c r="F2885">
        <v>0</v>
      </c>
      <c r="G2885">
        <v>0</v>
      </c>
      <c r="H2885">
        <v>1</v>
      </c>
      <c r="I2885" s="3">
        <v>365.27</v>
      </c>
      <c r="J2885" s="3">
        <v>0</v>
      </c>
      <c r="L2885">
        <v>382</v>
      </c>
      <c r="M2885" t="s">
        <v>6968</v>
      </c>
      <c r="N2885" t="s">
        <v>6969</v>
      </c>
      <c r="O2885" t="s">
        <v>495</v>
      </c>
      <c r="P2885" t="str">
        <f>"91789"</f>
        <v>91789</v>
      </c>
    </row>
    <row r="2886" spans="1:16" x14ac:dyDescent="0.25">
      <c r="A2886" t="str">
        <f>"1090049A00068    00"</f>
        <v>1090049A00068    00</v>
      </c>
      <c r="B2886" t="s">
        <v>6970</v>
      </c>
      <c r="C2886" t="s">
        <v>6971</v>
      </c>
      <c r="E2886" t="s">
        <v>39</v>
      </c>
      <c r="F2886">
        <v>0</v>
      </c>
      <c r="G2886">
        <v>0</v>
      </c>
      <c r="H2886">
        <v>1</v>
      </c>
      <c r="I2886" s="3">
        <v>499.18</v>
      </c>
      <c r="J2886" s="3">
        <v>0</v>
      </c>
      <c r="K2886" t="s">
        <v>6972</v>
      </c>
      <c r="L2886">
        <v>136</v>
      </c>
      <c r="M2886" t="s">
        <v>6973</v>
      </c>
      <c r="N2886" t="s">
        <v>30</v>
      </c>
      <c r="O2886" t="s">
        <v>31</v>
      </c>
      <c r="P2886" t="str">
        <f>"15201"</f>
        <v>15201</v>
      </c>
    </row>
    <row r="2887" spans="1:16" x14ac:dyDescent="0.25">
      <c r="A2887" t="str">
        <f>"1090049A00100    00"</f>
        <v>1090049A00100    00</v>
      </c>
      <c r="B2887" t="s">
        <v>6974</v>
      </c>
      <c r="C2887" t="s">
        <v>6975</v>
      </c>
      <c r="D2887" t="s">
        <v>20</v>
      </c>
      <c r="E2887" t="s">
        <v>39</v>
      </c>
      <c r="F2887">
        <v>0</v>
      </c>
      <c r="G2887">
        <v>0</v>
      </c>
      <c r="H2887">
        <v>3</v>
      </c>
      <c r="I2887" s="3">
        <v>2424.48</v>
      </c>
      <c r="J2887" s="3">
        <v>161.63</v>
      </c>
      <c r="L2887">
        <v>173</v>
      </c>
      <c r="M2887" t="s">
        <v>6976</v>
      </c>
      <c r="N2887" t="s">
        <v>30</v>
      </c>
      <c r="O2887" t="s">
        <v>31</v>
      </c>
      <c r="P2887" t="str">
        <f>"15201"</f>
        <v>15201</v>
      </c>
    </row>
    <row r="2888" spans="1:16" x14ac:dyDescent="0.25">
      <c r="A2888" t="str">
        <f>"1090049A00102    00"</f>
        <v>1090049A00102    00</v>
      </c>
      <c r="B2888" t="s">
        <v>6977</v>
      </c>
      <c r="C2888" t="s">
        <v>6978</v>
      </c>
      <c r="D2888" t="s">
        <v>20</v>
      </c>
      <c r="E2888" t="s">
        <v>39</v>
      </c>
      <c r="F2888">
        <v>0</v>
      </c>
      <c r="G2888">
        <v>0</v>
      </c>
      <c r="H2888">
        <v>1</v>
      </c>
      <c r="I2888" s="3">
        <v>1075</v>
      </c>
      <c r="J2888" s="3">
        <v>0</v>
      </c>
      <c r="L2888">
        <v>125</v>
      </c>
      <c r="M2888" t="s">
        <v>6979</v>
      </c>
      <c r="N2888" t="s">
        <v>285</v>
      </c>
      <c r="O2888" t="s">
        <v>31</v>
      </c>
      <c r="P2888" t="str">
        <f>"15120"</f>
        <v>15120</v>
      </c>
    </row>
    <row r="2889" spans="1:16" x14ac:dyDescent="0.25">
      <c r="A2889" t="str">
        <f>"1090049A00155    00"</f>
        <v>1090049A00155    00</v>
      </c>
      <c r="B2889" t="s">
        <v>6980</v>
      </c>
      <c r="C2889" t="s">
        <v>6978</v>
      </c>
      <c r="E2889" t="s">
        <v>39</v>
      </c>
      <c r="F2889">
        <v>0</v>
      </c>
      <c r="G2889">
        <v>0</v>
      </c>
      <c r="H2889">
        <v>1</v>
      </c>
      <c r="I2889" s="3">
        <v>3506.66</v>
      </c>
      <c r="J2889" s="3">
        <v>964.26</v>
      </c>
      <c r="K2889" t="s">
        <v>6981</v>
      </c>
      <c r="L2889">
        <v>127</v>
      </c>
      <c r="M2889" t="s">
        <v>6982</v>
      </c>
      <c r="N2889" t="s">
        <v>30</v>
      </c>
      <c r="O2889" t="s">
        <v>31</v>
      </c>
      <c r="P2889" t="str">
        <f>"15201"</f>
        <v>15201</v>
      </c>
    </row>
    <row r="2890" spans="1:16" x14ac:dyDescent="0.25">
      <c r="A2890" t="str">
        <f>"1090049A00192    00"</f>
        <v>1090049A00192    00</v>
      </c>
      <c r="B2890" t="s">
        <v>6983</v>
      </c>
      <c r="C2890" t="s">
        <v>6984</v>
      </c>
      <c r="D2890" t="s">
        <v>20</v>
      </c>
      <c r="E2890" t="s">
        <v>39</v>
      </c>
      <c r="F2890">
        <v>0</v>
      </c>
      <c r="G2890">
        <v>0</v>
      </c>
      <c r="H2890">
        <v>1</v>
      </c>
      <c r="I2890" s="3">
        <v>445.17</v>
      </c>
      <c r="J2890" s="3">
        <v>0</v>
      </c>
      <c r="K2890" t="s">
        <v>6985</v>
      </c>
      <c r="L2890">
        <v>1609</v>
      </c>
      <c r="M2890" t="s">
        <v>6986</v>
      </c>
      <c r="N2890" t="s">
        <v>6987</v>
      </c>
      <c r="O2890" t="s">
        <v>370</v>
      </c>
      <c r="P2890" t="str">
        <f>"34231"</f>
        <v>34231</v>
      </c>
    </row>
    <row r="2891" spans="1:16" x14ac:dyDescent="0.25">
      <c r="A2891" t="str">
        <f>"1090049A00199    00"</f>
        <v>1090049A00199    00</v>
      </c>
      <c r="B2891" t="s">
        <v>6988</v>
      </c>
      <c r="C2891" t="s">
        <v>6989</v>
      </c>
      <c r="E2891" t="s">
        <v>39</v>
      </c>
      <c r="F2891">
        <v>0</v>
      </c>
      <c r="G2891">
        <v>0</v>
      </c>
      <c r="H2891">
        <v>1</v>
      </c>
      <c r="I2891" s="3">
        <v>928.56</v>
      </c>
      <c r="J2891" s="3">
        <v>278.55</v>
      </c>
      <c r="L2891">
        <v>4607</v>
      </c>
      <c r="M2891" t="s">
        <v>6990</v>
      </c>
      <c r="N2891" t="s">
        <v>30</v>
      </c>
      <c r="O2891" t="s">
        <v>31</v>
      </c>
      <c r="P2891" t="str">
        <f>"15201"</f>
        <v>15201</v>
      </c>
    </row>
    <row r="2892" spans="1:16" x14ac:dyDescent="0.25">
      <c r="A2892" t="str">
        <f>"1090049A00246    00"</f>
        <v>1090049A00246    00</v>
      </c>
      <c r="B2892" t="s">
        <v>6991</v>
      </c>
      <c r="C2892" t="s">
        <v>6992</v>
      </c>
      <c r="D2892" t="s">
        <v>20</v>
      </c>
      <c r="E2892" t="s">
        <v>39</v>
      </c>
      <c r="F2892">
        <v>0</v>
      </c>
      <c r="G2892">
        <v>0</v>
      </c>
      <c r="H2892">
        <v>3</v>
      </c>
      <c r="I2892" s="3">
        <v>11681.91</v>
      </c>
      <c r="J2892" s="3">
        <v>97.34</v>
      </c>
      <c r="K2892" t="s">
        <v>6993</v>
      </c>
      <c r="M2892" t="s">
        <v>5750</v>
      </c>
      <c r="N2892" t="s">
        <v>107</v>
      </c>
      <c r="O2892" t="s">
        <v>108</v>
      </c>
      <c r="P2892" t="str">
        <f>"75265"</f>
        <v>75265</v>
      </c>
    </row>
    <row r="2893" spans="1:16" x14ac:dyDescent="0.25">
      <c r="A2893" t="str">
        <f>"1090049A00247    00"</f>
        <v>1090049A00247    00</v>
      </c>
      <c r="B2893" t="s">
        <v>6994</v>
      </c>
      <c r="C2893" t="s">
        <v>6995</v>
      </c>
      <c r="D2893" t="s">
        <v>20</v>
      </c>
      <c r="E2893" t="s">
        <v>39</v>
      </c>
      <c r="F2893">
        <v>0</v>
      </c>
      <c r="G2893">
        <v>0</v>
      </c>
      <c r="H2893">
        <v>4</v>
      </c>
      <c r="I2893" s="3">
        <v>2202.56</v>
      </c>
      <c r="J2893" s="3">
        <v>1210.33</v>
      </c>
      <c r="L2893">
        <v>4028</v>
      </c>
      <c r="M2893" t="s">
        <v>6996</v>
      </c>
      <c r="N2893" t="s">
        <v>30</v>
      </c>
      <c r="O2893" t="s">
        <v>31</v>
      </c>
      <c r="P2893" t="str">
        <f>"15201"</f>
        <v>15201</v>
      </c>
    </row>
    <row r="2894" spans="1:16" x14ac:dyDescent="0.25">
      <c r="A2894" t="str">
        <f>"1090049A00276    00"</f>
        <v>1090049A00276    00</v>
      </c>
      <c r="B2894" t="s">
        <v>6997</v>
      </c>
      <c r="C2894" t="s">
        <v>6998</v>
      </c>
      <c r="D2894" t="s">
        <v>20</v>
      </c>
      <c r="E2894" t="s">
        <v>21</v>
      </c>
      <c r="F2894">
        <v>0</v>
      </c>
      <c r="G2894">
        <v>0</v>
      </c>
      <c r="H2894">
        <v>1</v>
      </c>
      <c r="I2894" s="3">
        <v>1012.1</v>
      </c>
      <c r="J2894" s="3">
        <v>0</v>
      </c>
      <c r="M2894" t="s">
        <v>4874</v>
      </c>
      <c r="N2894" t="s">
        <v>1353</v>
      </c>
      <c r="O2894" t="s">
        <v>31</v>
      </c>
      <c r="P2894" t="str">
        <f>"15085"</f>
        <v>15085</v>
      </c>
    </row>
    <row r="2895" spans="1:16" x14ac:dyDescent="0.25">
      <c r="A2895" t="str">
        <f>"1090049A00277    00"</f>
        <v>1090049A00277    00</v>
      </c>
      <c r="B2895" t="s">
        <v>6999</v>
      </c>
      <c r="C2895" t="s">
        <v>7000</v>
      </c>
      <c r="D2895" t="s">
        <v>20</v>
      </c>
      <c r="E2895" t="s">
        <v>39</v>
      </c>
      <c r="F2895">
        <v>0</v>
      </c>
      <c r="G2895">
        <v>0</v>
      </c>
      <c r="H2895">
        <v>3</v>
      </c>
      <c r="I2895" s="3">
        <v>1058.82</v>
      </c>
      <c r="J2895" s="3">
        <v>111.32</v>
      </c>
      <c r="L2895">
        <v>4010</v>
      </c>
      <c r="M2895" t="s">
        <v>6965</v>
      </c>
      <c r="N2895" t="s">
        <v>30</v>
      </c>
      <c r="O2895" t="s">
        <v>31</v>
      </c>
      <c r="P2895" t="str">
        <f>"15201"</f>
        <v>15201</v>
      </c>
    </row>
    <row r="2896" spans="1:16" x14ac:dyDescent="0.25">
      <c r="A2896" t="str">
        <f>"1090049A00292    00"</f>
        <v>1090049A00292    00</v>
      </c>
      <c r="B2896" t="s">
        <v>7001</v>
      </c>
      <c r="C2896" t="s">
        <v>7002</v>
      </c>
      <c r="D2896" t="s">
        <v>20</v>
      </c>
      <c r="E2896" t="s">
        <v>39</v>
      </c>
      <c r="F2896">
        <v>0</v>
      </c>
      <c r="G2896">
        <v>0</v>
      </c>
      <c r="H2896">
        <v>1</v>
      </c>
      <c r="I2896" s="3">
        <v>152.47999999999999</v>
      </c>
      <c r="J2896" s="3">
        <v>0</v>
      </c>
      <c r="M2896" t="s">
        <v>4874</v>
      </c>
      <c r="N2896" t="s">
        <v>1353</v>
      </c>
      <c r="O2896" t="s">
        <v>31</v>
      </c>
      <c r="P2896" t="str">
        <f>"15085"</f>
        <v>15085</v>
      </c>
    </row>
    <row r="2897" spans="1:16" x14ac:dyDescent="0.25">
      <c r="A2897" t="str">
        <f>"1090049A00293    00"</f>
        <v>1090049A00293    00</v>
      </c>
      <c r="B2897" t="s">
        <v>7003</v>
      </c>
      <c r="C2897" t="s">
        <v>7002</v>
      </c>
      <c r="D2897" t="s">
        <v>20</v>
      </c>
      <c r="E2897" t="s">
        <v>39</v>
      </c>
      <c r="F2897">
        <v>0</v>
      </c>
      <c r="G2897">
        <v>0</v>
      </c>
      <c r="H2897">
        <v>17</v>
      </c>
      <c r="I2897" s="3">
        <v>74.790000000000006</v>
      </c>
      <c r="J2897" s="3">
        <v>59.9</v>
      </c>
      <c r="L2897">
        <v>500</v>
      </c>
      <c r="M2897" t="s">
        <v>7004</v>
      </c>
      <c r="N2897" t="s">
        <v>6603</v>
      </c>
      <c r="O2897" t="s">
        <v>31</v>
      </c>
      <c r="P2897" t="str">
        <f>"15122"</f>
        <v>15122</v>
      </c>
    </row>
    <row r="2898" spans="1:16" x14ac:dyDescent="0.25">
      <c r="A2898" t="str">
        <f>"1090049A00308    00"</f>
        <v>1090049A00308    00</v>
      </c>
      <c r="B2898" t="s">
        <v>7005</v>
      </c>
      <c r="C2898" t="s">
        <v>7006</v>
      </c>
      <c r="D2898" t="s">
        <v>20</v>
      </c>
      <c r="E2898" t="s">
        <v>39</v>
      </c>
      <c r="F2898">
        <v>0</v>
      </c>
      <c r="G2898">
        <v>0</v>
      </c>
      <c r="H2898">
        <v>1</v>
      </c>
      <c r="I2898" s="3">
        <v>463.17</v>
      </c>
      <c r="J2898" s="3">
        <v>0</v>
      </c>
      <c r="K2898" t="s">
        <v>7007</v>
      </c>
      <c r="L2898">
        <v>5704</v>
      </c>
      <c r="M2898" t="s">
        <v>7008</v>
      </c>
      <c r="N2898" t="s">
        <v>30</v>
      </c>
      <c r="O2898" t="s">
        <v>31</v>
      </c>
      <c r="P2898" t="str">
        <f>"15217"</f>
        <v>15217</v>
      </c>
    </row>
    <row r="2899" spans="1:16" x14ac:dyDescent="0.25">
      <c r="A2899" t="str">
        <f>"1090049A00320    00"</f>
        <v>1090049A00320    00</v>
      </c>
      <c r="B2899" t="s">
        <v>7009</v>
      </c>
      <c r="C2899" t="s">
        <v>7010</v>
      </c>
      <c r="D2899" t="s">
        <v>20</v>
      </c>
      <c r="E2899" t="s">
        <v>21</v>
      </c>
      <c r="F2899">
        <v>0</v>
      </c>
      <c r="G2899">
        <v>0</v>
      </c>
      <c r="H2899">
        <v>1</v>
      </c>
      <c r="I2899" s="3">
        <v>68124.67</v>
      </c>
      <c r="J2899" s="3">
        <v>27248.78</v>
      </c>
      <c r="L2899">
        <v>115</v>
      </c>
      <c r="M2899" t="s">
        <v>4864</v>
      </c>
      <c r="N2899" t="s">
        <v>30</v>
      </c>
      <c r="O2899" t="s">
        <v>31</v>
      </c>
      <c r="P2899" t="str">
        <f>"15201"</f>
        <v>15201</v>
      </c>
    </row>
    <row r="2900" spans="1:16" x14ac:dyDescent="0.25">
      <c r="A2900" t="str">
        <f>"1090049B00002    00"</f>
        <v>1090049B00002    00</v>
      </c>
      <c r="B2900" t="s">
        <v>7011</v>
      </c>
      <c r="C2900" t="s">
        <v>7012</v>
      </c>
      <c r="D2900" t="s">
        <v>20</v>
      </c>
      <c r="E2900" t="s">
        <v>39</v>
      </c>
      <c r="F2900">
        <v>0</v>
      </c>
      <c r="G2900">
        <v>0</v>
      </c>
      <c r="H2900">
        <v>2</v>
      </c>
      <c r="I2900" s="3">
        <v>2937.66</v>
      </c>
      <c r="J2900" s="3">
        <v>0</v>
      </c>
      <c r="K2900" t="s">
        <v>1632</v>
      </c>
      <c r="M2900" t="s">
        <v>1633</v>
      </c>
      <c r="N2900" t="s">
        <v>1634</v>
      </c>
      <c r="O2900" t="s">
        <v>25</v>
      </c>
      <c r="P2900" t="str">
        <f>"45401"</f>
        <v>45401</v>
      </c>
    </row>
    <row r="2901" spans="1:16" x14ac:dyDescent="0.25">
      <c r="A2901" t="str">
        <f>"1090049B00004    00"</f>
        <v>1090049B00004    00</v>
      </c>
      <c r="B2901" t="s">
        <v>7013</v>
      </c>
      <c r="C2901" t="s">
        <v>7014</v>
      </c>
      <c r="D2901" t="s">
        <v>20</v>
      </c>
      <c r="E2901" t="s">
        <v>39</v>
      </c>
      <c r="F2901">
        <v>0</v>
      </c>
      <c r="G2901">
        <v>0</v>
      </c>
      <c r="H2901">
        <v>1</v>
      </c>
      <c r="I2901" s="3">
        <v>962.99</v>
      </c>
      <c r="J2901" s="3">
        <v>0</v>
      </c>
      <c r="K2901" t="s">
        <v>391</v>
      </c>
      <c r="L2901">
        <v>1</v>
      </c>
      <c r="M2901" t="s">
        <v>392</v>
      </c>
      <c r="N2901" t="s">
        <v>393</v>
      </c>
      <c r="O2901" t="s">
        <v>394</v>
      </c>
      <c r="P2901" t="str">
        <f>"50328"</f>
        <v>50328</v>
      </c>
    </row>
    <row r="2902" spans="1:16" x14ac:dyDescent="0.25">
      <c r="A2902" t="str">
        <f>"1090049B00012    00"</f>
        <v>1090049B00012    00</v>
      </c>
      <c r="B2902" t="s">
        <v>7015</v>
      </c>
      <c r="C2902" t="s">
        <v>7016</v>
      </c>
      <c r="D2902" t="s">
        <v>20</v>
      </c>
      <c r="E2902" t="s">
        <v>39</v>
      </c>
      <c r="F2902">
        <v>0</v>
      </c>
      <c r="G2902">
        <v>0</v>
      </c>
      <c r="H2902">
        <v>1</v>
      </c>
      <c r="I2902" s="3">
        <v>2851.38</v>
      </c>
      <c r="J2902" s="3">
        <v>0</v>
      </c>
      <c r="K2902" t="s">
        <v>7017</v>
      </c>
      <c r="L2902">
        <v>428</v>
      </c>
      <c r="M2902" t="s">
        <v>7018</v>
      </c>
      <c r="N2902" t="s">
        <v>5847</v>
      </c>
      <c r="O2902" t="s">
        <v>31</v>
      </c>
      <c r="P2902" t="str">
        <f>"15139"</f>
        <v>15139</v>
      </c>
    </row>
    <row r="2903" spans="1:16" x14ac:dyDescent="0.25">
      <c r="A2903" t="str">
        <f>"1090049B00012A   00"</f>
        <v>1090049B00012A   00</v>
      </c>
      <c r="B2903" t="s">
        <v>7019</v>
      </c>
      <c r="C2903" t="s">
        <v>7020</v>
      </c>
      <c r="E2903" t="s">
        <v>39</v>
      </c>
      <c r="F2903">
        <v>0</v>
      </c>
      <c r="G2903">
        <v>0</v>
      </c>
      <c r="H2903">
        <v>1</v>
      </c>
      <c r="I2903" s="3">
        <v>847.05</v>
      </c>
      <c r="J2903" s="3">
        <v>254.1</v>
      </c>
      <c r="K2903" t="s">
        <v>710</v>
      </c>
      <c r="L2903">
        <v>4140</v>
      </c>
      <c r="M2903" t="s">
        <v>711</v>
      </c>
      <c r="N2903" t="s">
        <v>712</v>
      </c>
      <c r="O2903" t="s">
        <v>31</v>
      </c>
      <c r="P2903" t="str">
        <f>"16148"</f>
        <v>16148</v>
      </c>
    </row>
    <row r="2904" spans="1:16" x14ac:dyDescent="0.25">
      <c r="A2904" t="str">
        <f>"1090049B00020B   00"</f>
        <v>1090049B00020B   00</v>
      </c>
      <c r="B2904" t="s">
        <v>7021</v>
      </c>
      <c r="C2904" t="s">
        <v>7022</v>
      </c>
      <c r="E2904" t="s">
        <v>39</v>
      </c>
      <c r="F2904">
        <v>0</v>
      </c>
      <c r="G2904">
        <v>0</v>
      </c>
      <c r="H2904">
        <v>2</v>
      </c>
      <c r="I2904" s="3">
        <v>4761.2</v>
      </c>
      <c r="J2904" s="3">
        <v>198.37</v>
      </c>
      <c r="K2904" t="s">
        <v>563</v>
      </c>
      <c r="L2904">
        <v>3001</v>
      </c>
      <c r="M2904" t="s">
        <v>330</v>
      </c>
      <c r="N2904" t="s">
        <v>331</v>
      </c>
      <c r="O2904" t="s">
        <v>108</v>
      </c>
      <c r="P2904" t="str">
        <f>"75063"</f>
        <v>75063</v>
      </c>
    </row>
    <row r="2905" spans="1:16" x14ac:dyDescent="0.25">
      <c r="A2905" t="str">
        <f>"1090049B00020C   00"</f>
        <v>1090049B00020C   00</v>
      </c>
      <c r="B2905" t="s">
        <v>7023</v>
      </c>
      <c r="C2905" t="s">
        <v>7024</v>
      </c>
      <c r="E2905" t="s">
        <v>39</v>
      </c>
      <c r="F2905">
        <v>0</v>
      </c>
      <c r="G2905">
        <v>0</v>
      </c>
      <c r="H2905">
        <v>4</v>
      </c>
      <c r="I2905" s="3">
        <v>2394.58</v>
      </c>
      <c r="J2905" s="3">
        <v>34.06</v>
      </c>
      <c r="K2905" t="s">
        <v>426</v>
      </c>
      <c r="L2905">
        <v>2570</v>
      </c>
      <c r="M2905" t="s">
        <v>427</v>
      </c>
      <c r="N2905" t="s">
        <v>30</v>
      </c>
      <c r="O2905" t="s">
        <v>31</v>
      </c>
      <c r="P2905" t="str">
        <f>"15241"</f>
        <v>15241</v>
      </c>
    </row>
    <row r="2906" spans="1:16" x14ac:dyDescent="0.25">
      <c r="A2906" t="str">
        <f>"1090049B00039    00"</f>
        <v>1090049B00039    00</v>
      </c>
      <c r="B2906" t="s">
        <v>7025</v>
      </c>
      <c r="C2906" t="s">
        <v>7026</v>
      </c>
      <c r="E2906" t="s">
        <v>39</v>
      </c>
      <c r="F2906">
        <v>0</v>
      </c>
      <c r="G2906">
        <v>0</v>
      </c>
      <c r="H2906">
        <v>1</v>
      </c>
      <c r="I2906" s="3">
        <v>311.92</v>
      </c>
      <c r="J2906" s="3">
        <v>62.37</v>
      </c>
      <c r="L2906">
        <v>152</v>
      </c>
      <c r="M2906" t="s">
        <v>7027</v>
      </c>
      <c r="N2906" t="s">
        <v>30</v>
      </c>
      <c r="O2906" t="s">
        <v>31</v>
      </c>
      <c r="P2906" t="str">
        <f>"15201"</f>
        <v>15201</v>
      </c>
    </row>
    <row r="2907" spans="1:16" x14ac:dyDescent="0.25">
      <c r="A2907" t="str">
        <f>"1090049B00045    00"</f>
        <v>1090049B00045    00</v>
      </c>
      <c r="B2907" t="s">
        <v>7028</v>
      </c>
      <c r="C2907" t="s">
        <v>7029</v>
      </c>
      <c r="D2907" t="s">
        <v>20</v>
      </c>
      <c r="E2907" t="s">
        <v>39</v>
      </c>
      <c r="F2907">
        <v>0</v>
      </c>
      <c r="G2907">
        <v>0</v>
      </c>
      <c r="H2907">
        <v>1</v>
      </c>
      <c r="I2907" s="3">
        <v>19.100000000000001</v>
      </c>
      <c r="J2907" s="3">
        <v>0</v>
      </c>
      <c r="L2907">
        <v>277</v>
      </c>
      <c r="M2907" t="s">
        <v>4806</v>
      </c>
      <c r="N2907" t="s">
        <v>30</v>
      </c>
      <c r="O2907" t="s">
        <v>31</v>
      </c>
      <c r="P2907" t="str">
        <f>"15201"</f>
        <v>15201</v>
      </c>
    </row>
    <row r="2908" spans="1:16" x14ac:dyDescent="0.25">
      <c r="A2908" t="str">
        <f>"1090049B00062    00"</f>
        <v>1090049B00062    00</v>
      </c>
      <c r="B2908" t="s">
        <v>7030</v>
      </c>
      <c r="C2908" t="s">
        <v>7031</v>
      </c>
      <c r="D2908" t="s">
        <v>20</v>
      </c>
      <c r="E2908" t="s">
        <v>39</v>
      </c>
      <c r="F2908">
        <v>0</v>
      </c>
      <c r="G2908">
        <v>0</v>
      </c>
      <c r="H2908">
        <v>3</v>
      </c>
      <c r="I2908" s="3">
        <v>11641.86</v>
      </c>
      <c r="J2908" s="3">
        <v>258.7</v>
      </c>
      <c r="K2908" t="s">
        <v>7032</v>
      </c>
      <c r="L2908">
        <v>2704</v>
      </c>
      <c r="M2908" t="s">
        <v>7033</v>
      </c>
      <c r="N2908" t="s">
        <v>5402</v>
      </c>
      <c r="O2908" t="s">
        <v>370</v>
      </c>
      <c r="P2908" t="str">
        <f>"34683"</f>
        <v>34683</v>
      </c>
    </row>
    <row r="2909" spans="1:16" x14ac:dyDescent="0.25">
      <c r="A2909" t="str">
        <f>"1090049B00069    00"</f>
        <v>1090049B00069    00</v>
      </c>
      <c r="B2909" t="s">
        <v>7034</v>
      </c>
      <c r="C2909" t="s">
        <v>7035</v>
      </c>
      <c r="E2909" t="s">
        <v>39</v>
      </c>
      <c r="F2909">
        <v>0</v>
      </c>
      <c r="G2909">
        <v>0</v>
      </c>
      <c r="H2909">
        <v>1</v>
      </c>
      <c r="I2909" s="3">
        <v>1406.63</v>
      </c>
      <c r="J2909" s="3">
        <v>1219.03</v>
      </c>
      <c r="L2909">
        <v>155</v>
      </c>
      <c r="M2909" t="s">
        <v>6959</v>
      </c>
      <c r="N2909" t="s">
        <v>30</v>
      </c>
      <c r="O2909" t="s">
        <v>31</v>
      </c>
      <c r="P2909" t="str">
        <f>"15201"</f>
        <v>15201</v>
      </c>
    </row>
    <row r="2910" spans="1:16" x14ac:dyDescent="0.25">
      <c r="A2910" t="str">
        <f>"1090049B00073    00"</f>
        <v>1090049B00073    00</v>
      </c>
      <c r="B2910" t="s">
        <v>7036</v>
      </c>
      <c r="C2910" t="s">
        <v>7037</v>
      </c>
      <c r="D2910" t="s">
        <v>20</v>
      </c>
      <c r="E2910" t="s">
        <v>39</v>
      </c>
      <c r="F2910">
        <v>0</v>
      </c>
      <c r="G2910">
        <v>0</v>
      </c>
      <c r="H2910">
        <v>2</v>
      </c>
      <c r="I2910" s="3">
        <v>3693.84</v>
      </c>
      <c r="J2910" s="3">
        <v>0</v>
      </c>
      <c r="K2910" t="s">
        <v>762</v>
      </c>
      <c r="M2910" t="s">
        <v>1439</v>
      </c>
      <c r="N2910" t="s">
        <v>1440</v>
      </c>
      <c r="O2910" t="s">
        <v>70</v>
      </c>
      <c r="P2910" t="str">
        <f>"48501"</f>
        <v>48501</v>
      </c>
    </row>
    <row r="2911" spans="1:16" x14ac:dyDescent="0.25">
      <c r="A2911" t="str">
        <f>"1090049B00082    00"</f>
        <v>1090049B00082    00</v>
      </c>
      <c r="B2911" t="s">
        <v>7038</v>
      </c>
      <c r="C2911" t="s">
        <v>7039</v>
      </c>
      <c r="E2911" t="s">
        <v>39</v>
      </c>
      <c r="F2911">
        <v>0</v>
      </c>
      <c r="G2911">
        <v>0</v>
      </c>
      <c r="H2911">
        <v>1</v>
      </c>
      <c r="I2911" s="3">
        <v>3748.25</v>
      </c>
      <c r="J2911" s="3">
        <v>1030.73</v>
      </c>
      <c r="K2911" t="s">
        <v>484</v>
      </c>
      <c r="L2911">
        <v>3001</v>
      </c>
      <c r="M2911" t="s">
        <v>330</v>
      </c>
      <c r="N2911" t="s">
        <v>331</v>
      </c>
      <c r="O2911" t="s">
        <v>108</v>
      </c>
      <c r="P2911" t="str">
        <f>"75063"</f>
        <v>75063</v>
      </c>
    </row>
    <row r="2912" spans="1:16" x14ac:dyDescent="0.25">
      <c r="A2912" t="str">
        <f>"1090049B00086    00"</f>
        <v>1090049B00086    00</v>
      </c>
      <c r="B2912" t="s">
        <v>7040</v>
      </c>
      <c r="C2912" t="s">
        <v>7041</v>
      </c>
      <c r="D2912" t="s">
        <v>20</v>
      </c>
      <c r="E2912" t="s">
        <v>39</v>
      </c>
      <c r="F2912">
        <v>0</v>
      </c>
      <c r="G2912">
        <v>0</v>
      </c>
      <c r="H2912">
        <v>2</v>
      </c>
      <c r="I2912" s="3">
        <v>8089.06</v>
      </c>
      <c r="J2912" s="3">
        <v>0</v>
      </c>
      <c r="K2912" t="s">
        <v>400</v>
      </c>
      <c r="L2912">
        <v>3001</v>
      </c>
      <c r="M2912" t="s">
        <v>330</v>
      </c>
      <c r="N2912" t="s">
        <v>331</v>
      </c>
      <c r="O2912" t="s">
        <v>108</v>
      </c>
      <c r="P2912" t="str">
        <f>"75063"</f>
        <v>75063</v>
      </c>
    </row>
    <row r="2913" spans="1:16" x14ac:dyDescent="0.25">
      <c r="A2913" t="str">
        <f>"1090049B00087    00"</f>
        <v>1090049B00087    00</v>
      </c>
      <c r="B2913" t="s">
        <v>7042</v>
      </c>
      <c r="C2913" t="s">
        <v>7043</v>
      </c>
      <c r="E2913" t="s">
        <v>39</v>
      </c>
      <c r="F2913">
        <v>0</v>
      </c>
      <c r="G2913">
        <v>0</v>
      </c>
      <c r="H2913">
        <v>1</v>
      </c>
      <c r="I2913" s="3">
        <v>3015.29</v>
      </c>
      <c r="J2913" s="3">
        <v>0</v>
      </c>
      <c r="K2913" t="s">
        <v>7044</v>
      </c>
      <c r="L2913">
        <v>176</v>
      </c>
      <c r="M2913" t="s">
        <v>6959</v>
      </c>
      <c r="N2913" t="s">
        <v>30</v>
      </c>
      <c r="O2913" t="s">
        <v>31</v>
      </c>
      <c r="P2913" t="str">
        <f>"15201"</f>
        <v>15201</v>
      </c>
    </row>
    <row r="2914" spans="1:16" x14ac:dyDescent="0.25">
      <c r="A2914" t="str">
        <f>"1090049B00111    00"</f>
        <v>1090049B00111    00</v>
      </c>
      <c r="B2914" t="s">
        <v>7045</v>
      </c>
      <c r="C2914" t="s">
        <v>7046</v>
      </c>
      <c r="D2914" t="s">
        <v>20</v>
      </c>
      <c r="E2914" t="s">
        <v>39</v>
      </c>
      <c r="F2914">
        <v>0</v>
      </c>
      <c r="G2914">
        <v>0</v>
      </c>
      <c r="H2914">
        <v>4</v>
      </c>
      <c r="I2914" s="3">
        <v>7836.82</v>
      </c>
      <c r="J2914" s="3">
        <v>1070.2</v>
      </c>
      <c r="L2914">
        <v>159</v>
      </c>
      <c r="M2914" t="s">
        <v>6973</v>
      </c>
      <c r="N2914" t="s">
        <v>30</v>
      </c>
      <c r="O2914" t="s">
        <v>31</v>
      </c>
      <c r="P2914" t="str">
        <f>"15201"</f>
        <v>15201</v>
      </c>
    </row>
    <row r="2915" spans="1:16" x14ac:dyDescent="0.25">
      <c r="A2915" t="str">
        <f>"1090049B00111A   00"</f>
        <v>1090049B00111A   00</v>
      </c>
      <c r="B2915" t="s">
        <v>7045</v>
      </c>
      <c r="C2915" t="s">
        <v>7047</v>
      </c>
      <c r="D2915" t="s">
        <v>20</v>
      </c>
      <c r="E2915" t="s">
        <v>39</v>
      </c>
      <c r="F2915">
        <v>0</v>
      </c>
      <c r="G2915">
        <v>0</v>
      </c>
      <c r="H2915">
        <v>4</v>
      </c>
      <c r="I2915" s="3">
        <v>26.06</v>
      </c>
      <c r="J2915" s="3">
        <v>3.71</v>
      </c>
      <c r="L2915">
        <v>159</v>
      </c>
      <c r="M2915" t="s">
        <v>6973</v>
      </c>
      <c r="N2915" t="s">
        <v>30</v>
      </c>
      <c r="O2915" t="s">
        <v>31</v>
      </c>
      <c r="P2915" t="str">
        <f>"15201"</f>
        <v>15201</v>
      </c>
    </row>
    <row r="2916" spans="1:16" x14ac:dyDescent="0.25">
      <c r="A2916" t="str">
        <f>"1090049B00121    00"</f>
        <v>1090049B00121    00</v>
      </c>
      <c r="B2916" t="s">
        <v>7048</v>
      </c>
      <c r="C2916" t="s">
        <v>7049</v>
      </c>
      <c r="D2916" t="s">
        <v>20</v>
      </c>
      <c r="E2916" t="s">
        <v>39</v>
      </c>
      <c r="F2916">
        <v>0</v>
      </c>
      <c r="G2916">
        <v>0</v>
      </c>
      <c r="H2916">
        <v>1</v>
      </c>
      <c r="I2916" s="3">
        <v>3085.82</v>
      </c>
      <c r="J2916" s="3">
        <v>0</v>
      </c>
      <c r="K2916" t="s">
        <v>7050</v>
      </c>
      <c r="L2916">
        <v>901</v>
      </c>
      <c r="M2916" t="s">
        <v>6264</v>
      </c>
      <c r="N2916" t="s">
        <v>30</v>
      </c>
      <c r="O2916" t="s">
        <v>31</v>
      </c>
      <c r="P2916" t="str">
        <f>"15203"</f>
        <v>15203</v>
      </c>
    </row>
    <row r="2917" spans="1:16" x14ac:dyDescent="0.25">
      <c r="A2917" t="str">
        <f>"1090049B00145    00"</f>
        <v>1090049B00145    00</v>
      </c>
      <c r="B2917" t="s">
        <v>7051</v>
      </c>
      <c r="C2917" t="s">
        <v>7052</v>
      </c>
      <c r="D2917" t="s">
        <v>20</v>
      </c>
      <c r="E2917" t="s">
        <v>290</v>
      </c>
      <c r="F2917">
        <v>0</v>
      </c>
      <c r="G2917">
        <v>0</v>
      </c>
      <c r="H2917">
        <v>2</v>
      </c>
      <c r="I2917" s="3">
        <v>10669.82</v>
      </c>
      <c r="J2917" s="3">
        <v>0</v>
      </c>
      <c r="L2917">
        <v>4775</v>
      </c>
      <c r="M2917" t="s">
        <v>6700</v>
      </c>
      <c r="N2917" t="s">
        <v>30</v>
      </c>
      <c r="O2917" t="s">
        <v>31</v>
      </c>
      <c r="P2917" t="str">
        <f>"15224"</f>
        <v>15224</v>
      </c>
    </row>
    <row r="2918" spans="1:16" x14ac:dyDescent="0.25">
      <c r="A2918" t="str">
        <f>"1090049B00166    00"</f>
        <v>1090049B00166    00</v>
      </c>
      <c r="B2918" t="s">
        <v>7053</v>
      </c>
      <c r="C2918" t="s">
        <v>7054</v>
      </c>
      <c r="E2918" t="s">
        <v>21</v>
      </c>
      <c r="F2918">
        <v>0</v>
      </c>
      <c r="G2918">
        <v>0</v>
      </c>
      <c r="H2918">
        <v>1</v>
      </c>
      <c r="I2918" s="3">
        <v>4785.96</v>
      </c>
      <c r="J2918" s="3">
        <v>1515.49</v>
      </c>
      <c r="L2918">
        <v>9</v>
      </c>
      <c r="M2918" t="s">
        <v>7055</v>
      </c>
      <c r="N2918" t="s">
        <v>30</v>
      </c>
      <c r="O2918" t="s">
        <v>31</v>
      </c>
      <c r="P2918" t="str">
        <f>"15220"</f>
        <v>15220</v>
      </c>
    </row>
    <row r="2919" spans="1:16" x14ac:dyDescent="0.25">
      <c r="A2919" t="str">
        <f>"1090049B00168000500"</f>
        <v>1090049B00168000500</v>
      </c>
      <c r="B2919" t="s">
        <v>7056</v>
      </c>
      <c r="C2919" t="s">
        <v>7057</v>
      </c>
      <c r="D2919" t="s">
        <v>20</v>
      </c>
      <c r="E2919" t="s">
        <v>39</v>
      </c>
      <c r="F2919">
        <v>0</v>
      </c>
      <c r="G2919">
        <v>0</v>
      </c>
      <c r="H2919">
        <v>8</v>
      </c>
      <c r="I2919" s="3">
        <v>19.46</v>
      </c>
      <c r="J2919" s="3">
        <v>23.92</v>
      </c>
      <c r="L2919">
        <v>192</v>
      </c>
      <c r="M2919" t="s">
        <v>6973</v>
      </c>
      <c r="N2919" t="s">
        <v>30</v>
      </c>
      <c r="O2919" t="s">
        <v>31</v>
      </c>
      <c r="P2919" t="str">
        <f t="shared" ref="P2919:P2924" si="37">"15201"</f>
        <v>15201</v>
      </c>
    </row>
    <row r="2920" spans="1:16" x14ac:dyDescent="0.25">
      <c r="A2920" t="str">
        <f>"1090049B00171D   00"</f>
        <v>1090049B00171D   00</v>
      </c>
      <c r="B2920" t="s">
        <v>7058</v>
      </c>
      <c r="C2920" t="s">
        <v>7059</v>
      </c>
      <c r="E2920" t="s">
        <v>39</v>
      </c>
      <c r="F2920">
        <v>0</v>
      </c>
      <c r="G2920">
        <v>0</v>
      </c>
      <c r="H2920">
        <v>1</v>
      </c>
      <c r="I2920" s="3">
        <v>974.28</v>
      </c>
      <c r="J2920" s="3">
        <v>194.85</v>
      </c>
      <c r="K2920" t="s">
        <v>7060</v>
      </c>
      <c r="L2920">
        <v>194</v>
      </c>
      <c r="M2920" t="s">
        <v>6973</v>
      </c>
      <c r="N2920" t="s">
        <v>30</v>
      </c>
      <c r="O2920" t="s">
        <v>31</v>
      </c>
      <c r="P2920" t="str">
        <f t="shared" si="37"/>
        <v>15201</v>
      </c>
    </row>
    <row r="2921" spans="1:16" x14ac:dyDescent="0.25">
      <c r="A2921" t="str">
        <f>"1090049B00182    00"</f>
        <v>1090049B00182    00</v>
      </c>
      <c r="B2921" t="s">
        <v>7061</v>
      </c>
      <c r="C2921" t="s">
        <v>7062</v>
      </c>
      <c r="D2921" t="s">
        <v>20</v>
      </c>
      <c r="E2921" t="s">
        <v>21</v>
      </c>
      <c r="F2921">
        <v>0</v>
      </c>
      <c r="G2921">
        <v>0</v>
      </c>
      <c r="H2921">
        <v>2</v>
      </c>
      <c r="I2921" s="3">
        <v>2054.0300000000002</v>
      </c>
      <c r="J2921" s="3">
        <v>0</v>
      </c>
      <c r="L2921">
        <v>4311</v>
      </c>
      <c r="M2921" t="s">
        <v>841</v>
      </c>
      <c r="N2921" t="s">
        <v>30</v>
      </c>
      <c r="O2921" t="s">
        <v>31</v>
      </c>
      <c r="P2921" t="str">
        <f t="shared" si="37"/>
        <v>15201</v>
      </c>
    </row>
    <row r="2922" spans="1:16" x14ac:dyDescent="0.25">
      <c r="A2922" t="str">
        <f>"1090049B00185    00"</f>
        <v>1090049B00185    00</v>
      </c>
      <c r="B2922" t="s">
        <v>7063</v>
      </c>
      <c r="C2922" t="s">
        <v>7064</v>
      </c>
      <c r="D2922" t="s">
        <v>57</v>
      </c>
      <c r="E2922" t="s">
        <v>21</v>
      </c>
      <c r="F2922">
        <v>0</v>
      </c>
      <c r="G2922">
        <v>0</v>
      </c>
      <c r="H2922">
        <v>1</v>
      </c>
      <c r="I2922" s="3">
        <v>2836.82</v>
      </c>
      <c r="J2922" s="3">
        <v>0</v>
      </c>
      <c r="L2922">
        <v>258</v>
      </c>
      <c r="M2922" t="s">
        <v>1451</v>
      </c>
      <c r="N2922" t="s">
        <v>30</v>
      </c>
      <c r="O2922" t="s">
        <v>31</v>
      </c>
      <c r="P2922" t="str">
        <f t="shared" si="37"/>
        <v>15201</v>
      </c>
    </row>
    <row r="2923" spans="1:16" x14ac:dyDescent="0.25">
      <c r="A2923" t="str">
        <f>"1090049B00216    00"</f>
        <v>1090049B00216    00</v>
      </c>
      <c r="B2923" t="s">
        <v>7065</v>
      </c>
      <c r="C2923" t="s">
        <v>7066</v>
      </c>
      <c r="D2923" t="s">
        <v>20</v>
      </c>
      <c r="E2923" t="s">
        <v>21</v>
      </c>
      <c r="F2923">
        <v>0</v>
      </c>
      <c r="G2923">
        <v>0</v>
      </c>
      <c r="H2923">
        <v>5</v>
      </c>
      <c r="I2923" s="3">
        <v>132360.44</v>
      </c>
      <c r="J2923" s="3">
        <v>22867.09</v>
      </c>
      <c r="K2923" t="s">
        <v>7067</v>
      </c>
      <c r="L2923">
        <v>212</v>
      </c>
      <c r="M2923" t="s">
        <v>7068</v>
      </c>
      <c r="N2923" t="s">
        <v>30</v>
      </c>
      <c r="O2923" t="s">
        <v>31</v>
      </c>
      <c r="P2923" t="str">
        <f t="shared" si="37"/>
        <v>15201</v>
      </c>
    </row>
    <row r="2924" spans="1:16" x14ac:dyDescent="0.25">
      <c r="A2924" t="str">
        <f>"1090049B00219    00"</f>
        <v>1090049B00219    00</v>
      </c>
      <c r="B2924" t="s">
        <v>7069</v>
      </c>
      <c r="C2924" t="s">
        <v>7070</v>
      </c>
      <c r="E2924" t="s">
        <v>39</v>
      </c>
      <c r="F2924">
        <v>0</v>
      </c>
      <c r="G2924">
        <v>0</v>
      </c>
      <c r="H2924">
        <v>2</v>
      </c>
      <c r="I2924" s="3">
        <v>4986.1000000000004</v>
      </c>
      <c r="J2924" s="3">
        <v>207.74</v>
      </c>
      <c r="L2924">
        <v>3700</v>
      </c>
      <c r="M2924" t="s">
        <v>841</v>
      </c>
      <c r="N2924" t="s">
        <v>30</v>
      </c>
      <c r="O2924" t="s">
        <v>31</v>
      </c>
      <c r="P2924" t="str">
        <f t="shared" si="37"/>
        <v>15201</v>
      </c>
    </row>
    <row r="2925" spans="1:16" x14ac:dyDescent="0.25">
      <c r="A2925" t="str">
        <f>"1090049B00250    00"</f>
        <v>1090049B00250    00</v>
      </c>
      <c r="B2925" t="s">
        <v>7071</v>
      </c>
      <c r="C2925" t="s">
        <v>7072</v>
      </c>
      <c r="D2925" t="s">
        <v>20</v>
      </c>
      <c r="E2925" t="s">
        <v>39</v>
      </c>
      <c r="F2925">
        <v>0</v>
      </c>
      <c r="G2925">
        <v>0</v>
      </c>
      <c r="H2925">
        <v>1</v>
      </c>
      <c r="I2925" s="3">
        <v>853.91</v>
      </c>
      <c r="J2925" s="3">
        <v>0</v>
      </c>
      <c r="K2925" t="s">
        <v>7073</v>
      </c>
      <c r="L2925">
        <v>259</v>
      </c>
      <c r="M2925" t="s">
        <v>7074</v>
      </c>
      <c r="N2925" t="s">
        <v>7075</v>
      </c>
      <c r="O2925" t="s">
        <v>31</v>
      </c>
      <c r="P2925" t="str">
        <f>"16123"</f>
        <v>16123</v>
      </c>
    </row>
    <row r="2926" spans="1:16" x14ac:dyDescent="0.25">
      <c r="A2926" t="str">
        <f>"1090049B00261    00"</f>
        <v>1090049B00261    00</v>
      </c>
      <c r="B2926" t="s">
        <v>7076</v>
      </c>
      <c r="C2926" t="s">
        <v>7077</v>
      </c>
      <c r="D2926" t="s">
        <v>20</v>
      </c>
      <c r="E2926" t="s">
        <v>39</v>
      </c>
      <c r="F2926">
        <v>0</v>
      </c>
      <c r="G2926">
        <v>0</v>
      </c>
      <c r="H2926">
        <v>6</v>
      </c>
      <c r="I2926" s="3">
        <v>12174.99</v>
      </c>
      <c r="J2926" s="3">
        <v>3184.2</v>
      </c>
      <c r="M2926" t="s">
        <v>7078</v>
      </c>
      <c r="N2926" t="s">
        <v>30</v>
      </c>
      <c r="O2926" t="s">
        <v>31</v>
      </c>
      <c r="P2926" t="str">
        <f>"15201"</f>
        <v>15201</v>
      </c>
    </row>
    <row r="2927" spans="1:16" x14ac:dyDescent="0.25">
      <c r="A2927" t="str">
        <f>"1090049B00263    00"</f>
        <v>1090049B00263    00</v>
      </c>
      <c r="B2927" t="s">
        <v>7079</v>
      </c>
      <c r="C2927" t="s">
        <v>7080</v>
      </c>
      <c r="D2927" t="s">
        <v>20</v>
      </c>
      <c r="E2927" t="s">
        <v>39</v>
      </c>
      <c r="F2927">
        <v>0</v>
      </c>
      <c r="G2927">
        <v>0</v>
      </c>
      <c r="H2927">
        <v>1</v>
      </c>
      <c r="I2927" s="3">
        <v>55.28</v>
      </c>
      <c r="J2927" s="3">
        <v>0</v>
      </c>
      <c r="K2927" t="s">
        <v>7081</v>
      </c>
      <c r="L2927">
        <v>712</v>
      </c>
      <c r="M2927" t="s">
        <v>7082</v>
      </c>
      <c r="N2927" t="s">
        <v>30</v>
      </c>
      <c r="O2927" t="s">
        <v>31</v>
      </c>
      <c r="P2927" t="str">
        <f>"15226"</f>
        <v>15226</v>
      </c>
    </row>
    <row r="2928" spans="1:16" x14ac:dyDescent="0.25">
      <c r="A2928" t="str">
        <f>"1090049B00300    00"</f>
        <v>1090049B00300    00</v>
      </c>
      <c r="B2928" t="s">
        <v>7083</v>
      </c>
      <c r="C2928" t="s">
        <v>7084</v>
      </c>
      <c r="E2928" t="s">
        <v>39</v>
      </c>
      <c r="F2928">
        <v>0</v>
      </c>
      <c r="G2928">
        <v>0</v>
      </c>
      <c r="H2928">
        <v>1</v>
      </c>
      <c r="I2928" s="3">
        <v>241.39</v>
      </c>
      <c r="J2928" s="3">
        <v>0</v>
      </c>
      <c r="K2928" t="s">
        <v>7085</v>
      </c>
      <c r="L2928">
        <v>4735</v>
      </c>
      <c r="M2928" t="s">
        <v>841</v>
      </c>
      <c r="N2928" t="s">
        <v>30</v>
      </c>
      <c r="O2928" t="s">
        <v>31</v>
      </c>
      <c r="P2928" t="str">
        <f>"15201"</f>
        <v>15201</v>
      </c>
    </row>
    <row r="2929" spans="1:16" x14ac:dyDescent="0.25">
      <c r="A2929" t="str">
        <f>"1090049B00301    00"</f>
        <v>1090049B00301    00</v>
      </c>
      <c r="B2929" t="s">
        <v>7083</v>
      </c>
      <c r="C2929" t="s">
        <v>7086</v>
      </c>
      <c r="E2929" t="s">
        <v>39</v>
      </c>
      <c r="F2929">
        <v>0</v>
      </c>
      <c r="G2929">
        <v>0</v>
      </c>
      <c r="H2929">
        <v>1</v>
      </c>
      <c r="I2929" s="3">
        <v>240.52</v>
      </c>
      <c r="J2929" s="3">
        <v>0</v>
      </c>
      <c r="K2929" t="s">
        <v>7085</v>
      </c>
      <c r="L2929">
        <v>4735</v>
      </c>
      <c r="M2929" t="s">
        <v>841</v>
      </c>
      <c r="N2929" t="s">
        <v>30</v>
      </c>
      <c r="O2929" t="s">
        <v>31</v>
      </c>
      <c r="P2929" t="str">
        <f>"15201"</f>
        <v>15201</v>
      </c>
    </row>
    <row r="2930" spans="1:16" x14ac:dyDescent="0.25">
      <c r="A2930" t="str">
        <f>"1090049B00323    00"</f>
        <v>1090049B00323    00</v>
      </c>
      <c r="B2930" t="s">
        <v>7087</v>
      </c>
      <c r="C2930" t="s">
        <v>7088</v>
      </c>
      <c r="E2930" t="s">
        <v>39</v>
      </c>
      <c r="F2930">
        <v>0</v>
      </c>
      <c r="G2930">
        <v>0</v>
      </c>
      <c r="H2930">
        <v>2</v>
      </c>
      <c r="I2930" s="3">
        <v>7917.54</v>
      </c>
      <c r="J2930" s="3">
        <v>98.97</v>
      </c>
      <c r="L2930">
        <v>7698</v>
      </c>
      <c r="M2930" t="s">
        <v>7089</v>
      </c>
      <c r="N2930" t="s">
        <v>7090</v>
      </c>
      <c r="O2930" t="s">
        <v>495</v>
      </c>
      <c r="P2930" t="str">
        <f>"92808"</f>
        <v>92808</v>
      </c>
    </row>
    <row r="2931" spans="1:16" x14ac:dyDescent="0.25">
      <c r="A2931" t="str">
        <f>"1090049B00329    00"</f>
        <v>1090049B00329    00</v>
      </c>
      <c r="B2931" t="s">
        <v>7091</v>
      </c>
      <c r="C2931" t="s">
        <v>7092</v>
      </c>
      <c r="D2931" t="s">
        <v>20</v>
      </c>
      <c r="E2931" t="s">
        <v>39</v>
      </c>
      <c r="F2931">
        <v>0</v>
      </c>
      <c r="G2931">
        <v>0</v>
      </c>
      <c r="H2931">
        <v>1</v>
      </c>
      <c r="I2931" s="3">
        <v>2765.62</v>
      </c>
      <c r="J2931" s="3">
        <v>0</v>
      </c>
      <c r="L2931">
        <v>259</v>
      </c>
      <c r="M2931" t="s">
        <v>7093</v>
      </c>
      <c r="N2931" t="s">
        <v>30</v>
      </c>
      <c r="O2931" t="s">
        <v>31</v>
      </c>
      <c r="P2931" t="str">
        <f>"15201"</f>
        <v>15201</v>
      </c>
    </row>
    <row r="2932" spans="1:16" x14ac:dyDescent="0.25">
      <c r="A2932" t="str">
        <f>"1090049B00335    00"</f>
        <v>1090049B00335    00</v>
      </c>
      <c r="B2932" t="s">
        <v>7094</v>
      </c>
      <c r="C2932" t="s">
        <v>7095</v>
      </c>
      <c r="E2932" t="s">
        <v>39</v>
      </c>
      <c r="F2932">
        <v>0</v>
      </c>
      <c r="G2932">
        <v>0</v>
      </c>
      <c r="H2932">
        <v>2</v>
      </c>
      <c r="I2932" s="3">
        <v>9160.26</v>
      </c>
      <c r="J2932" s="3">
        <v>305.33999999999997</v>
      </c>
      <c r="K2932" t="s">
        <v>1135</v>
      </c>
      <c r="L2932">
        <v>3001</v>
      </c>
      <c r="M2932" t="s">
        <v>330</v>
      </c>
      <c r="N2932" t="s">
        <v>331</v>
      </c>
      <c r="O2932" t="s">
        <v>108</v>
      </c>
      <c r="P2932" t="str">
        <f>"75063"</f>
        <v>75063</v>
      </c>
    </row>
    <row r="2933" spans="1:16" x14ac:dyDescent="0.25">
      <c r="A2933" t="str">
        <f>"1090049B00346    00"</f>
        <v>1090049B00346    00</v>
      </c>
      <c r="B2933" t="s">
        <v>7096</v>
      </c>
      <c r="C2933" t="s">
        <v>7097</v>
      </c>
      <c r="D2933" t="s">
        <v>20</v>
      </c>
      <c r="E2933" t="s">
        <v>39</v>
      </c>
      <c r="F2933">
        <v>0</v>
      </c>
      <c r="G2933">
        <v>0</v>
      </c>
      <c r="H2933">
        <v>2</v>
      </c>
      <c r="I2933" s="3">
        <v>9824.51</v>
      </c>
      <c r="J2933" s="3">
        <v>0.26</v>
      </c>
      <c r="K2933" t="s">
        <v>391</v>
      </c>
      <c r="L2933">
        <v>1</v>
      </c>
      <c r="M2933" t="s">
        <v>392</v>
      </c>
      <c r="N2933" t="s">
        <v>393</v>
      </c>
      <c r="O2933" t="s">
        <v>394</v>
      </c>
      <c r="P2933" t="str">
        <f>"50328"</f>
        <v>50328</v>
      </c>
    </row>
    <row r="2934" spans="1:16" x14ac:dyDescent="0.25">
      <c r="A2934" t="str">
        <f>"1090049B00349    00"</f>
        <v>1090049B00349    00</v>
      </c>
      <c r="B2934" t="s">
        <v>7098</v>
      </c>
      <c r="C2934" t="s">
        <v>7099</v>
      </c>
      <c r="D2934" t="s">
        <v>7100</v>
      </c>
      <c r="E2934" t="s">
        <v>39</v>
      </c>
      <c r="F2934">
        <v>0</v>
      </c>
      <c r="G2934">
        <v>0</v>
      </c>
      <c r="H2934">
        <v>1</v>
      </c>
      <c r="I2934" s="3">
        <v>1709.15</v>
      </c>
      <c r="J2934" s="3">
        <v>0</v>
      </c>
      <c r="K2934" t="s">
        <v>7101</v>
      </c>
      <c r="L2934">
        <v>223</v>
      </c>
      <c r="M2934" t="s">
        <v>7093</v>
      </c>
      <c r="N2934" t="s">
        <v>30</v>
      </c>
      <c r="O2934" t="s">
        <v>31</v>
      </c>
      <c r="P2934" t="str">
        <f>"15201"</f>
        <v>15201</v>
      </c>
    </row>
    <row r="2935" spans="1:16" x14ac:dyDescent="0.25">
      <c r="A2935" t="str">
        <f>"1090049B00376    00"</f>
        <v>1090049B00376    00</v>
      </c>
      <c r="B2935" t="s">
        <v>7102</v>
      </c>
      <c r="C2935" t="s">
        <v>7103</v>
      </c>
      <c r="D2935" t="s">
        <v>57</v>
      </c>
      <c r="E2935" t="s">
        <v>39</v>
      </c>
      <c r="F2935">
        <v>0</v>
      </c>
      <c r="G2935">
        <v>0</v>
      </c>
      <c r="H2935">
        <v>2</v>
      </c>
      <c r="I2935" s="3">
        <v>4768.84</v>
      </c>
      <c r="J2935" s="3">
        <v>238.43</v>
      </c>
      <c r="K2935" t="s">
        <v>5432</v>
      </c>
      <c r="L2935">
        <v>3001</v>
      </c>
      <c r="M2935" t="s">
        <v>330</v>
      </c>
      <c r="N2935" t="s">
        <v>331</v>
      </c>
      <c r="O2935" t="s">
        <v>108</v>
      </c>
      <c r="P2935" t="str">
        <f>"75063"</f>
        <v>75063</v>
      </c>
    </row>
    <row r="2936" spans="1:16" x14ac:dyDescent="0.25">
      <c r="A2936" t="str">
        <f>"1090049B00382    00"</f>
        <v>1090049B00382    00</v>
      </c>
      <c r="B2936" t="s">
        <v>7104</v>
      </c>
      <c r="C2936" t="s">
        <v>7105</v>
      </c>
      <c r="D2936" t="s">
        <v>20</v>
      </c>
      <c r="E2936" t="s">
        <v>39</v>
      </c>
      <c r="F2936">
        <v>0</v>
      </c>
      <c r="G2936">
        <v>0</v>
      </c>
      <c r="H2936">
        <v>3</v>
      </c>
      <c r="I2936" s="3">
        <v>7591.59</v>
      </c>
      <c r="J2936" s="3">
        <v>87.15</v>
      </c>
      <c r="K2936" t="s">
        <v>400</v>
      </c>
      <c r="L2936">
        <v>3001</v>
      </c>
      <c r="M2936" t="s">
        <v>330</v>
      </c>
      <c r="N2936" t="s">
        <v>331</v>
      </c>
      <c r="O2936" t="s">
        <v>108</v>
      </c>
      <c r="P2936" t="str">
        <f>"75063"</f>
        <v>75063</v>
      </c>
    </row>
    <row r="2937" spans="1:16" x14ac:dyDescent="0.25">
      <c r="A2937" t="str">
        <f>"1090049B00398    00"</f>
        <v>1090049B00398    00</v>
      </c>
      <c r="B2937" t="s">
        <v>7106</v>
      </c>
      <c r="C2937" t="s">
        <v>7107</v>
      </c>
      <c r="D2937" t="s">
        <v>20</v>
      </c>
      <c r="E2937" t="s">
        <v>39</v>
      </c>
      <c r="F2937">
        <v>0</v>
      </c>
      <c r="G2937">
        <v>0</v>
      </c>
      <c r="H2937">
        <v>2</v>
      </c>
      <c r="I2937" s="3">
        <v>4456.2299999999996</v>
      </c>
      <c r="J2937" s="3">
        <v>0</v>
      </c>
      <c r="L2937">
        <v>172</v>
      </c>
      <c r="M2937" t="s">
        <v>6959</v>
      </c>
      <c r="N2937" t="s">
        <v>30</v>
      </c>
      <c r="O2937" t="s">
        <v>31</v>
      </c>
      <c r="P2937" t="str">
        <f>"15201"</f>
        <v>15201</v>
      </c>
    </row>
    <row r="2938" spans="1:16" x14ac:dyDescent="0.25">
      <c r="A2938" t="str">
        <f>"1090049B00402    00"</f>
        <v>1090049B00402    00</v>
      </c>
      <c r="B2938" t="s">
        <v>7108</v>
      </c>
      <c r="C2938" t="s">
        <v>7109</v>
      </c>
      <c r="E2938" t="s">
        <v>39</v>
      </c>
      <c r="F2938">
        <v>0</v>
      </c>
      <c r="G2938">
        <v>0</v>
      </c>
      <c r="H2938">
        <v>2</v>
      </c>
      <c r="I2938" s="3">
        <v>3825.66</v>
      </c>
      <c r="J2938" s="3">
        <v>60.46</v>
      </c>
      <c r="K2938" t="s">
        <v>7110</v>
      </c>
      <c r="L2938">
        <v>137</v>
      </c>
      <c r="M2938" t="s">
        <v>6959</v>
      </c>
      <c r="N2938" t="s">
        <v>30</v>
      </c>
      <c r="O2938" t="s">
        <v>31</v>
      </c>
      <c r="P2938" t="str">
        <f>"15201"</f>
        <v>15201</v>
      </c>
    </row>
    <row r="2939" spans="1:16" x14ac:dyDescent="0.25">
      <c r="A2939" t="str">
        <f>"1090049C00001    00"</f>
        <v>1090049C00001    00</v>
      </c>
      <c r="B2939" t="s">
        <v>7111</v>
      </c>
      <c r="C2939" t="s">
        <v>7112</v>
      </c>
      <c r="D2939" t="s">
        <v>20</v>
      </c>
      <c r="E2939" t="s">
        <v>39</v>
      </c>
      <c r="F2939">
        <v>0</v>
      </c>
      <c r="G2939">
        <v>0</v>
      </c>
      <c r="H2939">
        <v>2</v>
      </c>
      <c r="I2939" s="3">
        <v>1250.94</v>
      </c>
      <c r="J2939" s="3">
        <v>0</v>
      </c>
      <c r="L2939">
        <v>4735</v>
      </c>
      <c r="M2939" t="s">
        <v>841</v>
      </c>
      <c r="N2939" t="s">
        <v>30</v>
      </c>
      <c r="O2939" t="s">
        <v>31</v>
      </c>
      <c r="P2939" t="str">
        <f>"15237"</f>
        <v>15237</v>
      </c>
    </row>
    <row r="2940" spans="1:16" x14ac:dyDescent="0.25">
      <c r="A2940" t="str">
        <f>"1090049C00002    00"</f>
        <v>1090049C00002    00</v>
      </c>
      <c r="B2940" t="s">
        <v>7113</v>
      </c>
      <c r="C2940" t="s">
        <v>7114</v>
      </c>
      <c r="D2940" t="s">
        <v>20</v>
      </c>
      <c r="E2940" t="s">
        <v>39</v>
      </c>
      <c r="F2940">
        <v>0</v>
      </c>
      <c r="G2940">
        <v>0</v>
      </c>
      <c r="H2940">
        <v>3</v>
      </c>
      <c r="I2940" s="3">
        <v>2807.58</v>
      </c>
      <c r="J2940" s="3">
        <v>187.17</v>
      </c>
      <c r="K2940" t="s">
        <v>7115</v>
      </c>
      <c r="L2940">
        <v>75</v>
      </c>
      <c r="M2940" t="s">
        <v>7116</v>
      </c>
      <c r="N2940" t="s">
        <v>30</v>
      </c>
      <c r="O2940" t="s">
        <v>31</v>
      </c>
      <c r="P2940" t="str">
        <f>"15211"</f>
        <v>15211</v>
      </c>
    </row>
    <row r="2941" spans="1:16" x14ac:dyDescent="0.25">
      <c r="A2941" t="str">
        <f>"1090049C00043    00"</f>
        <v>1090049C00043    00</v>
      </c>
      <c r="B2941" t="s">
        <v>7117</v>
      </c>
      <c r="C2941" t="s">
        <v>7118</v>
      </c>
      <c r="D2941" t="s">
        <v>20</v>
      </c>
      <c r="E2941" t="s">
        <v>39</v>
      </c>
      <c r="F2941">
        <v>0</v>
      </c>
      <c r="G2941">
        <v>0</v>
      </c>
      <c r="H2941">
        <v>2</v>
      </c>
      <c r="I2941" s="3">
        <v>4193.2</v>
      </c>
      <c r="J2941" s="3">
        <v>0</v>
      </c>
      <c r="L2941">
        <v>4415</v>
      </c>
      <c r="M2941" t="s">
        <v>7119</v>
      </c>
      <c r="N2941" t="s">
        <v>30</v>
      </c>
      <c r="O2941" t="s">
        <v>31</v>
      </c>
      <c r="P2941" t="str">
        <f>"15202"</f>
        <v>15202</v>
      </c>
    </row>
    <row r="2942" spans="1:16" x14ac:dyDescent="0.25">
      <c r="A2942" t="str">
        <f>"1090049C00045    00"</f>
        <v>1090049C00045    00</v>
      </c>
      <c r="B2942" t="s">
        <v>7120</v>
      </c>
      <c r="C2942" t="s">
        <v>7121</v>
      </c>
      <c r="D2942" t="s">
        <v>20</v>
      </c>
      <c r="E2942" t="s">
        <v>39</v>
      </c>
      <c r="F2942">
        <v>0</v>
      </c>
      <c r="G2942">
        <v>0</v>
      </c>
      <c r="H2942">
        <v>3</v>
      </c>
      <c r="I2942" s="3">
        <v>9716.7800000000007</v>
      </c>
      <c r="J2942" s="3">
        <v>132.94</v>
      </c>
      <c r="K2942" t="s">
        <v>329</v>
      </c>
      <c r="L2942">
        <v>3001</v>
      </c>
      <c r="M2942" t="s">
        <v>330</v>
      </c>
      <c r="N2942" t="s">
        <v>331</v>
      </c>
      <c r="O2942" t="s">
        <v>108</v>
      </c>
      <c r="P2942" t="str">
        <f>"75063"</f>
        <v>75063</v>
      </c>
    </row>
    <row r="2943" spans="1:16" x14ac:dyDescent="0.25">
      <c r="A2943" t="str">
        <f>"1090049C00052    00"</f>
        <v>1090049C00052    00</v>
      </c>
      <c r="B2943" t="s">
        <v>7122</v>
      </c>
      <c r="C2943" t="s">
        <v>7123</v>
      </c>
      <c r="E2943" t="s">
        <v>39</v>
      </c>
      <c r="F2943">
        <v>0</v>
      </c>
      <c r="G2943">
        <v>0</v>
      </c>
      <c r="H2943">
        <v>1</v>
      </c>
      <c r="I2943" s="3">
        <v>37.229999999999997</v>
      </c>
      <c r="J2943" s="3">
        <v>0</v>
      </c>
      <c r="K2943" t="s">
        <v>5141</v>
      </c>
      <c r="L2943">
        <v>1</v>
      </c>
      <c r="M2943" t="s">
        <v>5142</v>
      </c>
      <c r="N2943" t="s">
        <v>5143</v>
      </c>
      <c r="O2943" t="s">
        <v>3486</v>
      </c>
      <c r="P2943" t="str">
        <f>"60047"</f>
        <v>60047</v>
      </c>
    </row>
    <row r="2944" spans="1:16" x14ac:dyDescent="0.25">
      <c r="A2944" t="str">
        <f>"1090049C00052A   00"</f>
        <v>1090049C00052A   00</v>
      </c>
      <c r="B2944" t="s">
        <v>6974</v>
      </c>
      <c r="C2944" t="s">
        <v>7124</v>
      </c>
      <c r="D2944" t="s">
        <v>20</v>
      </c>
      <c r="E2944" t="s">
        <v>39</v>
      </c>
      <c r="F2944">
        <v>0</v>
      </c>
      <c r="G2944">
        <v>0</v>
      </c>
      <c r="H2944">
        <v>6</v>
      </c>
      <c r="I2944" s="3">
        <v>5033.29</v>
      </c>
      <c r="J2944" s="3">
        <v>0</v>
      </c>
      <c r="L2944">
        <v>173</v>
      </c>
      <c r="M2944" t="s">
        <v>6976</v>
      </c>
      <c r="N2944" t="s">
        <v>30</v>
      </c>
      <c r="O2944" t="s">
        <v>31</v>
      </c>
      <c r="P2944" t="str">
        <f>"15201"</f>
        <v>15201</v>
      </c>
    </row>
    <row r="2945" spans="1:16" x14ac:dyDescent="0.25">
      <c r="A2945" t="str">
        <f>"1090049C00057    00"</f>
        <v>1090049C00057    00</v>
      </c>
      <c r="B2945" t="s">
        <v>7125</v>
      </c>
      <c r="C2945" t="s">
        <v>7126</v>
      </c>
      <c r="E2945" t="s">
        <v>39</v>
      </c>
      <c r="F2945">
        <v>0</v>
      </c>
      <c r="G2945">
        <v>0</v>
      </c>
      <c r="H2945">
        <v>2</v>
      </c>
      <c r="I2945" s="3">
        <v>8348.2800000000007</v>
      </c>
      <c r="J2945" s="3">
        <v>417.4</v>
      </c>
      <c r="K2945" t="s">
        <v>881</v>
      </c>
      <c r="L2945">
        <v>3001</v>
      </c>
      <c r="M2945" t="s">
        <v>330</v>
      </c>
      <c r="N2945" t="s">
        <v>331</v>
      </c>
      <c r="O2945" t="s">
        <v>108</v>
      </c>
      <c r="P2945" t="str">
        <f>"75063"</f>
        <v>75063</v>
      </c>
    </row>
    <row r="2946" spans="1:16" x14ac:dyDescent="0.25">
      <c r="A2946" t="str">
        <f>"1090049C00059    00"</f>
        <v>1090049C00059    00</v>
      </c>
      <c r="B2946" t="s">
        <v>7127</v>
      </c>
      <c r="C2946" t="s">
        <v>7128</v>
      </c>
      <c r="D2946" t="s">
        <v>20</v>
      </c>
      <c r="E2946" t="s">
        <v>39</v>
      </c>
      <c r="F2946">
        <v>0</v>
      </c>
      <c r="G2946">
        <v>0</v>
      </c>
      <c r="H2946">
        <v>1</v>
      </c>
      <c r="I2946" s="3">
        <v>1576.27</v>
      </c>
      <c r="J2946" s="3">
        <v>0</v>
      </c>
      <c r="K2946" t="s">
        <v>7129</v>
      </c>
      <c r="L2946">
        <v>4226</v>
      </c>
      <c r="M2946" t="s">
        <v>7130</v>
      </c>
      <c r="N2946" t="s">
        <v>30</v>
      </c>
      <c r="O2946" t="s">
        <v>31</v>
      </c>
      <c r="P2946" t="str">
        <f>"15201"</f>
        <v>15201</v>
      </c>
    </row>
    <row r="2947" spans="1:16" x14ac:dyDescent="0.25">
      <c r="A2947" t="str">
        <f>"1090049C00067    00"</f>
        <v>1090049C00067    00</v>
      </c>
      <c r="B2947" t="s">
        <v>7131</v>
      </c>
      <c r="C2947" t="s">
        <v>7132</v>
      </c>
      <c r="D2947" t="s">
        <v>20</v>
      </c>
      <c r="E2947" t="s">
        <v>39</v>
      </c>
      <c r="F2947">
        <v>0</v>
      </c>
      <c r="G2947">
        <v>0</v>
      </c>
      <c r="H2947">
        <v>3</v>
      </c>
      <c r="I2947" s="3">
        <v>9617.67</v>
      </c>
      <c r="J2947" s="3">
        <v>80.14</v>
      </c>
      <c r="K2947" t="s">
        <v>557</v>
      </c>
      <c r="L2947">
        <v>3001</v>
      </c>
      <c r="M2947" t="s">
        <v>330</v>
      </c>
      <c r="N2947" t="s">
        <v>331</v>
      </c>
      <c r="O2947" t="s">
        <v>108</v>
      </c>
      <c r="P2947" t="str">
        <f>"75063"</f>
        <v>75063</v>
      </c>
    </row>
    <row r="2948" spans="1:16" x14ac:dyDescent="0.25">
      <c r="A2948" t="str">
        <f>"1090049C00076    00"</f>
        <v>1090049C00076    00</v>
      </c>
      <c r="B2948" t="s">
        <v>7133</v>
      </c>
      <c r="C2948" t="s">
        <v>7134</v>
      </c>
      <c r="D2948" t="s">
        <v>20</v>
      </c>
      <c r="E2948" t="s">
        <v>21</v>
      </c>
      <c r="F2948">
        <v>0</v>
      </c>
      <c r="G2948">
        <v>0</v>
      </c>
      <c r="H2948">
        <v>2</v>
      </c>
      <c r="I2948" s="3">
        <v>3518.5</v>
      </c>
      <c r="J2948" s="3">
        <v>0</v>
      </c>
      <c r="L2948">
        <v>285</v>
      </c>
      <c r="M2948" t="s">
        <v>7068</v>
      </c>
      <c r="N2948" t="s">
        <v>30</v>
      </c>
      <c r="O2948" t="s">
        <v>31</v>
      </c>
      <c r="P2948" t="str">
        <f>"15201"</f>
        <v>15201</v>
      </c>
    </row>
    <row r="2949" spans="1:16" x14ac:dyDescent="0.25">
      <c r="A2949" t="str">
        <f>"1090049C00080    00"</f>
        <v>1090049C00080    00</v>
      </c>
      <c r="B2949" t="s">
        <v>7133</v>
      </c>
      <c r="C2949" t="s">
        <v>7135</v>
      </c>
      <c r="D2949" t="s">
        <v>20</v>
      </c>
      <c r="E2949" t="s">
        <v>39</v>
      </c>
      <c r="F2949">
        <v>0</v>
      </c>
      <c r="G2949">
        <v>0</v>
      </c>
      <c r="H2949">
        <v>1</v>
      </c>
      <c r="I2949" s="3">
        <v>1851.21</v>
      </c>
      <c r="J2949" s="3">
        <v>0</v>
      </c>
      <c r="L2949">
        <v>293</v>
      </c>
      <c r="M2949" t="s">
        <v>7068</v>
      </c>
      <c r="N2949" t="s">
        <v>30</v>
      </c>
      <c r="O2949" t="s">
        <v>31</v>
      </c>
      <c r="P2949" t="str">
        <f>"15201"</f>
        <v>15201</v>
      </c>
    </row>
    <row r="2950" spans="1:16" x14ac:dyDescent="0.25">
      <c r="A2950" t="str">
        <f>"1090049C00081    00"</f>
        <v>1090049C00081    00</v>
      </c>
      <c r="B2950" t="s">
        <v>7136</v>
      </c>
      <c r="C2950" t="s">
        <v>7137</v>
      </c>
      <c r="D2950" t="s">
        <v>20</v>
      </c>
      <c r="E2950" t="s">
        <v>39</v>
      </c>
      <c r="F2950">
        <v>0</v>
      </c>
      <c r="G2950">
        <v>0</v>
      </c>
      <c r="H2950">
        <v>3</v>
      </c>
      <c r="I2950" s="3">
        <v>6177.84</v>
      </c>
      <c r="J2950" s="3">
        <v>51.48</v>
      </c>
      <c r="K2950" t="s">
        <v>7138</v>
      </c>
      <c r="L2950">
        <v>1123</v>
      </c>
      <c r="M2950" t="s">
        <v>7139</v>
      </c>
      <c r="N2950" t="s">
        <v>7140</v>
      </c>
      <c r="O2950" t="s">
        <v>495</v>
      </c>
      <c r="P2950" t="str">
        <f>"91724"</f>
        <v>91724</v>
      </c>
    </row>
    <row r="2951" spans="1:16" x14ac:dyDescent="0.25">
      <c r="A2951" t="str">
        <f>"1090049C00113    00"</f>
        <v>1090049C00113    00</v>
      </c>
      <c r="B2951" t="s">
        <v>7141</v>
      </c>
      <c r="C2951" t="s">
        <v>7142</v>
      </c>
      <c r="E2951" t="s">
        <v>21</v>
      </c>
      <c r="F2951">
        <v>0</v>
      </c>
      <c r="G2951">
        <v>0</v>
      </c>
      <c r="H2951">
        <v>2</v>
      </c>
      <c r="I2951" s="3">
        <v>42278.92</v>
      </c>
      <c r="J2951" s="3">
        <v>2113.86</v>
      </c>
      <c r="K2951" t="s">
        <v>2962</v>
      </c>
      <c r="L2951">
        <v>200</v>
      </c>
      <c r="M2951" t="s">
        <v>984</v>
      </c>
      <c r="N2951" t="s">
        <v>30</v>
      </c>
      <c r="O2951" t="s">
        <v>31</v>
      </c>
      <c r="P2951" t="str">
        <f>"15219"</f>
        <v>15219</v>
      </c>
    </row>
    <row r="2952" spans="1:16" x14ac:dyDescent="0.25">
      <c r="A2952" t="str">
        <f>"1090049C00131    00"</f>
        <v>1090049C00131    00</v>
      </c>
      <c r="B2952" t="s">
        <v>7143</v>
      </c>
      <c r="C2952" t="s">
        <v>7144</v>
      </c>
      <c r="D2952" t="s">
        <v>20</v>
      </c>
      <c r="E2952" t="s">
        <v>39</v>
      </c>
      <c r="F2952">
        <v>0</v>
      </c>
      <c r="G2952">
        <v>0</v>
      </c>
      <c r="H2952">
        <v>1</v>
      </c>
      <c r="I2952" s="3">
        <v>2866.62</v>
      </c>
      <c r="J2952" s="3">
        <v>0</v>
      </c>
      <c r="K2952" t="s">
        <v>7145</v>
      </c>
      <c r="L2952">
        <v>3001</v>
      </c>
      <c r="M2952" t="s">
        <v>330</v>
      </c>
      <c r="N2952" t="s">
        <v>331</v>
      </c>
      <c r="O2952" t="s">
        <v>108</v>
      </c>
      <c r="P2952" t="str">
        <f>"75063"</f>
        <v>75063</v>
      </c>
    </row>
    <row r="2953" spans="1:16" x14ac:dyDescent="0.25">
      <c r="A2953" t="str">
        <f>"1090049C00132    00"</f>
        <v>1090049C00132    00</v>
      </c>
      <c r="B2953" t="s">
        <v>7146</v>
      </c>
      <c r="C2953" t="s">
        <v>7147</v>
      </c>
      <c r="D2953" t="s">
        <v>20</v>
      </c>
      <c r="E2953" t="s">
        <v>39</v>
      </c>
      <c r="F2953">
        <v>0</v>
      </c>
      <c r="G2953">
        <v>0</v>
      </c>
      <c r="H2953">
        <v>1</v>
      </c>
      <c r="I2953" s="3">
        <v>2014.65</v>
      </c>
      <c r="J2953" s="3">
        <v>0</v>
      </c>
      <c r="K2953" t="s">
        <v>7148</v>
      </c>
      <c r="M2953" t="s">
        <v>7149</v>
      </c>
      <c r="N2953" t="s">
        <v>1061</v>
      </c>
      <c r="O2953" t="s">
        <v>495</v>
      </c>
      <c r="P2953" t="str">
        <f>"90051"</f>
        <v>90051</v>
      </c>
    </row>
    <row r="2954" spans="1:16" x14ac:dyDescent="0.25">
      <c r="A2954" t="str">
        <f>"1090049C00135A   00"</f>
        <v>1090049C00135A   00</v>
      </c>
      <c r="B2954" t="s">
        <v>7150</v>
      </c>
      <c r="C2954" t="s">
        <v>7151</v>
      </c>
      <c r="E2954" t="s">
        <v>39</v>
      </c>
      <c r="F2954">
        <v>0</v>
      </c>
      <c r="G2954">
        <v>0</v>
      </c>
      <c r="H2954">
        <v>2</v>
      </c>
      <c r="I2954" s="3">
        <v>4841.24</v>
      </c>
      <c r="J2954" s="3">
        <v>201.71</v>
      </c>
      <c r="K2954" t="s">
        <v>1632</v>
      </c>
      <c r="M2954" t="s">
        <v>1633</v>
      </c>
      <c r="N2954" t="s">
        <v>1634</v>
      </c>
      <c r="O2954" t="s">
        <v>25</v>
      </c>
      <c r="P2954" t="str">
        <f>"45401"</f>
        <v>45401</v>
      </c>
    </row>
    <row r="2955" spans="1:16" x14ac:dyDescent="0.25">
      <c r="A2955" t="str">
        <f>"1090049C00136E   00"</f>
        <v>1090049C00136E   00</v>
      </c>
      <c r="B2955" t="s">
        <v>7152</v>
      </c>
      <c r="C2955" t="s">
        <v>7153</v>
      </c>
      <c r="E2955" t="s">
        <v>39</v>
      </c>
      <c r="F2955">
        <v>0</v>
      </c>
      <c r="G2955">
        <v>0</v>
      </c>
      <c r="H2955">
        <v>1</v>
      </c>
      <c r="I2955" s="3">
        <v>35.299999999999997</v>
      </c>
      <c r="J2955" s="3">
        <v>34.71</v>
      </c>
      <c r="K2955" t="s">
        <v>7154</v>
      </c>
      <c r="L2955">
        <v>274</v>
      </c>
      <c r="M2955" t="s">
        <v>7155</v>
      </c>
      <c r="N2955" t="s">
        <v>30</v>
      </c>
      <c r="O2955" t="s">
        <v>31</v>
      </c>
      <c r="P2955" t="str">
        <f>"15201"</f>
        <v>15201</v>
      </c>
    </row>
    <row r="2956" spans="1:16" x14ac:dyDescent="0.25">
      <c r="A2956" t="str">
        <f>"1090049C00143    00"</f>
        <v>1090049C00143    00</v>
      </c>
      <c r="B2956" t="s">
        <v>7156</v>
      </c>
      <c r="C2956" t="s">
        <v>7157</v>
      </c>
      <c r="E2956" t="s">
        <v>39</v>
      </c>
      <c r="F2956">
        <v>0</v>
      </c>
      <c r="G2956">
        <v>0</v>
      </c>
      <c r="H2956">
        <v>1</v>
      </c>
      <c r="I2956" s="3">
        <v>32.99</v>
      </c>
      <c r="J2956" s="3">
        <v>19.79</v>
      </c>
      <c r="K2956" t="s">
        <v>756</v>
      </c>
      <c r="L2956">
        <v>3001</v>
      </c>
      <c r="M2956" t="s">
        <v>330</v>
      </c>
      <c r="N2956" t="s">
        <v>331</v>
      </c>
      <c r="O2956" t="s">
        <v>108</v>
      </c>
      <c r="P2956" t="str">
        <f>"75063"</f>
        <v>75063</v>
      </c>
    </row>
    <row r="2957" spans="1:16" x14ac:dyDescent="0.25">
      <c r="A2957" t="str">
        <f>"1090049C00148    00"</f>
        <v>1090049C00148    00</v>
      </c>
      <c r="B2957" t="s">
        <v>7158</v>
      </c>
      <c r="C2957" t="s">
        <v>7159</v>
      </c>
      <c r="D2957" t="s">
        <v>20</v>
      </c>
      <c r="E2957" t="s">
        <v>39</v>
      </c>
      <c r="F2957">
        <v>0</v>
      </c>
      <c r="G2957">
        <v>0</v>
      </c>
      <c r="H2957">
        <v>3</v>
      </c>
      <c r="I2957" s="3">
        <v>8456.94</v>
      </c>
      <c r="J2957" s="3">
        <v>70.47</v>
      </c>
      <c r="K2957" t="s">
        <v>881</v>
      </c>
      <c r="L2957">
        <v>3001</v>
      </c>
      <c r="M2957" t="s">
        <v>330</v>
      </c>
      <c r="N2957" t="s">
        <v>331</v>
      </c>
      <c r="O2957" t="s">
        <v>108</v>
      </c>
      <c r="P2957" t="str">
        <f>"75063"</f>
        <v>75063</v>
      </c>
    </row>
    <row r="2958" spans="1:16" x14ac:dyDescent="0.25">
      <c r="A2958" t="str">
        <f>"1090049C00153    00"</f>
        <v>1090049C00153    00</v>
      </c>
      <c r="B2958" t="s">
        <v>7160</v>
      </c>
      <c r="C2958" t="s">
        <v>7161</v>
      </c>
      <c r="D2958" t="s">
        <v>20</v>
      </c>
      <c r="E2958" t="s">
        <v>39</v>
      </c>
      <c r="F2958">
        <v>0</v>
      </c>
      <c r="G2958">
        <v>0</v>
      </c>
      <c r="H2958">
        <v>1</v>
      </c>
      <c r="I2958" s="3">
        <v>572.27</v>
      </c>
      <c r="J2958" s="3">
        <v>0</v>
      </c>
      <c r="K2958" t="s">
        <v>805</v>
      </c>
      <c r="L2958">
        <v>3001</v>
      </c>
      <c r="M2958" t="s">
        <v>330</v>
      </c>
      <c r="N2958" t="s">
        <v>331</v>
      </c>
      <c r="O2958" t="s">
        <v>108</v>
      </c>
      <c r="P2958" t="str">
        <f>"75063"</f>
        <v>75063</v>
      </c>
    </row>
    <row r="2959" spans="1:16" x14ac:dyDescent="0.25">
      <c r="A2959" t="str">
        <f>"1090049C00208    00"</f>
        <v>1090049C00208    00</v>
      </c>
      <c r="B2959" t="s">
        <v>7162</v>
      </c>
      <c r="C2959" t="s">
        <v>7163</v>
      </c>
      <c r="D2959" t="s">
        <v>20</v>
      </c>
      <c r="E2959" t="s">
        <v>39</v>
      </c>
      <c r="F2959">
        <v>0</v>
      </c>
      <c r="G2959">
        <v>0</v>
      </c>
      <c r="H2959">
        <v>1</v>
      </c>
      <c r="I2959" s="3">
        <v>5005.34</v>
      </c>
      <c r="J2959" s="3">
        <v>0</v>
      </c>
      <c r="K2959" t="s">
        <v>7164</v>
      </c>
      <c r="L2959">
        <v>4600</v>
      </c>
      <c r="M2959" t="s">
        <v>7165</v>
      </c>
      <c r="N2959" t="s">
        <v>30</v>
      </c>
      <c r="O2959" t="s">
        <v>31</v>
      </c>
      <c r="P2959" t="str">
        <f>"15201"</f>
        <v>15201</v>
      </c>
    </row>
    <row r="2960" spans="1:16" x14ac:dyDescent="0.25">
      <c r="A2960" t="str">
        <f>"1090049C00224    00"</f>
        <v>1090049C00224    00</v>
      </c>
      <c r="B2960" t="s">
        <v>7166</v>
      </c>
      <c r="C2960" t="s">
        <v>7167</v>
      </c>
      <c r="D2960" t="s">
        <v>20</v>
      </c>
      <c r="E2960" t="s">
        <v>39</v>
      </c>
      <c r="F2960">
        <v>0</v>
      </c>
      <c r="G2960">
        <v>0</v>
      </c>
      <c r="H2960">
        <v>1</v>
      </c>
      <c r="I2960" s="3">
        <v>1151.25</v>
      </c>
      <c r="J2960" s="3">
        <v>0</v>
      </c>
      <c r="L2960">
        <v>4621</v>
      </c>
      <c r="M2960" t="s">
        <v>7168</v>
      </c>
      <c r="N2960" t="s">
        <v>30</v>
      </c>
      <c r="O2960" t="s">
        <v>31</v>
      </c>
      <c r="P2960" t="str">
        <f>"15201"</f>
        <v>15201</v>
      </c>
    </row>
    <row r="2961" spans="1:16" x14ac:dyDescent="0.25">
      <c r="A2961" t="str">
        <f>"1090049C00227    00"</f>
        <v>1090049C00227    00</v>
      </c>
      <c r="B2961" t="s">
        <v>7169</v>
      </c>
      <c r="C2961" t="s">
        <v>7170</v>
      </c>
      <c r="E2961" t="s">
        <v>39</v>
      </c>
      <c r="F2961">
        <v>0</v>
      </c>
      <c r="G2961">
        <v>0</v>
      </c>
      <c r="H2961">
        <v>1</v>
      </c>
      <c r="I2961" s="3">
        <v>778.8</v>
      </c>
      <c r="J2961" s="3">
        <v>0</v>
      </c>
      <c r="L2961">
        <v>4627</v>
      </c>
      <c r="M2961" t="s">
        <v>7168</v>
      </c>
      <c r="N2961" t="s">
        <v>30</v>
      </c>
      <c r="O2961" t="s">
        <v>31</v>
      </c>
      <c r="P2961" t="str">
        <f>"15201"</f>
        <v>15201</v>
      </c>
    </row>
    <row r="2962" spans="1:16" x14ac:dyDescent="0.25">
      <c r="A2962" t="str">
        <f>"1090049C00239    00"</f>
        <v>1090049C00239    00</v>
      </c>
      <c r="B2962" t="s">
        <v>7171</v>
      </c>
      <c r="C2962" t="s">
        <v>7172</v>
      </c>
      <c r="E2962" t="s">
        <v>39</v>
      </c>
      <c r="F2962">
        <v>0</v>
      </c>
      <c r="G2962">
        <v>0</v>
      </c>
      <c r="H2962">
        <v>1</v>
      </c>
      <c r="I2962" s="3">
        <v>3778</v>
      </c>
      <c r="J2962" s="3">
        <v>1196.32</v>
      </c>
      <c r="L2962">
        <v>4614</v>
      </c>
      <c r="M2962" t="s">
        <v>7168</v>
      </c>
      <c r="N2962" t="s">
        <v>30</v>
      </c>
      <c r="O2962" t="s">
        <v>31</v>
      </c>
      <c r="P2962" t="str">
        <f>"15201"</f>
        <v>15201</v>
      </c>
    </row>
    <row r="2963" spans="1:16" x14ac:dyDescent="0.25">
      <c r="A2963" t="str">
        <f>"1090049C00243    00"</f>
        <v>1090049C00243    00</v>
      </c>
      <c r="B2963" t="s">
        <v>7173</v>
      </c>
      <c r="C2963" t="s">
        <v>7174</v>
      </c>
      <c r="E2963" t="s">
        <v>39</v>
      </c>
      <c r="F2963">
        <v>0</v>
      </c>
      <c r="G2963">
        <v>0</v>
      </c>
      <c r="H2963">
        <v>2</v>
      </c>
      <c r="I2963" s="3">
        <v>23.85</v>
      </c>
      <c r="J2963" s="3">
        <v>324.25</v>
      </c>
      <c r="K2963" t="s">
        <v>4989</v>
      </c>
      <c r="L2963">
        <v>3001</v>
      </c>
      <c r="M2963" t="s">
        <v>330</v>
      </c>
      <c r="N2963" t="s">
        <v>331</v>
      </c>
      <c r="O2963" t="s">
        <v>108</v>
      </c>
      <c r="P2963" t="str">
        <f>"75063"</f>
        <v>75063</v>
      </c>
    </row>
    <row r="2964" spans="1:16" x14ac:dyDescent="0.25">
      <c r="A2964" t="str">
        <f>"1090049C00252    00"</f>
        <v>1090049C00252    00</v>
      </c>
      <c r="B2964" t="s">
        <v>7175</v>
      </c>
      <c r="C2964" t="s">
        <v>7176</v>
      </c>
      <c r="E2964" t="s">
        <v>39</v>
      </c>
      <c r="F2964">
        <v>0</v>
      </c>
      <c r="G2964">
        <v>0</v>
      </c>
      <c r="H2964">
        <v>1</v>
      </c>
      <c r="I2964" s="3">
        <v>417.37</v>
      </c>
      <c r="J2964" s="3">
        <v>166.94</v>
      </c>
      <c r="L2964">
        <v>299</v>
      </c>
      <c r="M2964" t="s">
        <v>7177</v>
      </c>
      <c r="N2964" t="s">
        <v>30</v>
      </c>
      <c r="O2964" t="s">
        <v>31</v>
      </c>
      <c r="P2964" t="str">
        <f>"15201"</f>
        <v>15201</v>
      </c>
    </row>
    <row r="2965" spans="1:16" x14ac:dyDescent="0.25">
      <c r="A2965" t="str">
        <f>"1090049C00273    00"</f>
        <v>1090049C00273    00</v>
      </c>
      <c r="B2965" t="s">
        <v>7178</v>
      </c>
      <c r="C2965" t="s">
        <v>7179</v>
      </c>
      <c r="E2965" t="s">
        <v>39</v>
      </c>
      <c r="F2965">
        <v>0</v>
      </c>
      <c r="G2965">
        <v>0</v>
      </c>
      <c r="H2965">
        <v>3</v>
      </c>
      <c r="I2965" s="3">
        <v>3283.17</v>
      </c>
      <c r="J2965" s="3">
        <v>163.82</v>
      </c>
      <c r="L2965">
        <v>4623</v>
      </c>
      <c r="M2965" t="s">
        <v>7180</v>
      </c>
      <c r="N2965" t="s">
        <v>30</v>
      </c>
      <c r="O2965" t="s">
        <v>31</v>
      </c>
      <c r="P2965" t="str">
        <f>"15201"</f>
        <v>15201</v>
      </c>
    </row>
    <row r="2966" spans="1:16" x14ac:dyDescent="0.25">
      <c r="A2966" t="str">
        <f>"1090049E00214    00"</f>
        <v>1090049E00214    00</v>
      </c>
      <c r="B2966" t="s">
        <v>7181</v>
      </c>
      <c r="C2966" t="s">
        <v>7182</v>
      </c>
      <c r="D2966" t="s">
        <v>20</v>
      </c>
      <c r="E2966" t="s">
        <v>39</v>
      </c>
      <c r="F2966">
        <v>0</v>
      </c>
      <c r="G2966">
        <v>0</v>
      </c>
      <c r="H2966">
        <v>1</v>
      </c>
      <c r="I2966" s="3">
        <v>255.4</v>
      </c>
      <c r="J2966" s="3">
        <v>0</v>
      </c>
      <c r="K2966" t="s">
        <v>881</v>
      </c>
      <c r="L2966">
        <v>3001</v>
      </c>
      <c r="M2966" t="s">
        <v>330</v>
      </c>
      <c r="N2966" t="s">
        <v>331</v>
      </c>
      <c r="O2966" t="s">
        <v>108</v>
      </c>
      <c r="P2966" t="str">
        <f>"75063"</f>
        <v>75063</v>
      </c>
    </row>
    <row r="2967" spans="1:16" x14ac:dyDescent="0.25">
      <c r="A2967" t="str">
        <f>"1090049E00225    00"</f>
        <v>1090049E00225    00</v>
      </c>
      <c r="B2967" t="s">
        <v>7183</v>
      </c>
      <c r="C2967" t="s">
        <v>7184</v>
      </c>
      <c r="D2967" t="s">
        <v>20</v>
      </c>
      <c r="E2967" t="s">
        <v>39</v>
      </c>
      <c r="F2967">
        <v>0</v>
      </c>
      <c r="G2967">
        <v>0</v>
      </c>
      <c r="H2967">
        <v>2</v>
      </c>
      <c r="I2967" s="3">
        <v>1351.71</v>
      </c>
      <c r="J2967" s="3">
        <v>0</v>
      </c>
      <c r="K2967" t="s">
        <v>7185</v>
      </c>
      <c r="L2967">
        <v>1</v>
      </c>
      <c r="M2967" t="s">
        <v>7186</v>
      </c>
      <c r="N2967" t="s">
        <v>4803</v>
      </c>
      <c r="O2967" t="s">
        <v>554</v>
      </c>
      <c r="P2967" t="str">
        <f>"26003"</f>
        <v>26003</v>
      </c>
    </row>
    <row r="2968" spans="1:16" x14ac:dyDescent="0.25">
      <c r="A2968" t="str">
        <f>"1090049F00034    00"</f>
        <v>1090049F00034    00</v>
      </c>
      <c r="B2968" t="s">
        <v>7187</v>
      </c>
      <c r="C2968" t="s">
        <v>7188</v>
      </c>
      <c r="D2968" t="s">
        <v>20</v>
      </c>
      <c r="E2968" t="s">
        <v>21</v>
      </c>
      <c r="F2968">
        <v>0</v>
      </c>
      <c r="G2968">
        <v>0</v>
      </c>
      <c r="H2968">
        <v>1</v>
      </c>
      <c r="I2968" s="3">
        <v>2284.66</v>
      </c>
      <c r="J2968" s="3">
        <v>0</v>
      </c>
      <c r="K2968" t="s">
        <v>7189</v>
      </c>
      <c r="M2968" t="s">
        <v>7190</v>
      </c>
      <c r="N2968" t="s">
        <v>30</v>
      </c>
      <c r="O2968" t="s">
        <v>31</v>
      </c>
      <c r="P2968" t="str">
        <f>"15237"</f>
        <v>15237</v>
      </c>
    </row>
    <row r="2969" spans="1:16" x14ac:dyDescent="0.25">
      <c r="A2969" t="str">
        <f>"1090049F00103    00"</f>
        <v>1090049F00103    00</v>
      </c>
      <c r="B2969" t="s">
        <v>7191</v>
      </c>
      <c r="C2969" t="s">
        <v>7192</v>
      </c>
      <c r="E2969" t="s">
        <v>39</v>
      </c>
      <c r="F2969">
        <v>0</v>
      </c>
      <c r="G2969">
        <v>0</v>
      </c>
      <c r="H2969">
        <v>1</v>
      </c>
      <c r="I2969" s="3">
        <v>3324.08</v>
      </c>
      <c r="J2969" s="3">
        <v>0</v>
      </c>
      <c r="K2969" t="s">
        <v>7193</v>
      </c>
      <c r="L2969">
        <v>11269</v>
      </c>
      <c r="M2969" t="s">
        <v>7194</v>
      </c>
      <c r="N2969" t="s">
        <v>139</v>
      </c>
      <c r="O2969" t="s">
        <v>31</v>
      </c>
      <c r="P2969" t="str">
        <f>"15090"</f>
        <v>15090</v>
      </c>
    </row>
    <row r="2970" spans="1:16" x14ac:dyDescent="0.25">
      <c r="A2970" t="str">
        <f>"1090049F00105    00"</f>
        <v>1090049F00105    00</v>
      </c>
      <c r="B2970" t="s">
        <v>7195</v>
      </c>
      <c r="C2970" t="s">
        <v>7196</v>
      </c>
      <c r="D2970" t="s">
        <v>57</v>
      </c>
      <c r="E2970" t="s">
        <v>39</v>
      </c>
      <c r="F2970">
        <v>0</v>
      </c>
      <c r="G2970">
        <v>0</v>
      </c>
      <c r="H2970">
        <v>1</v>
      </c>
      <c r="I2970" s="3">
        <v>831.08</v>
      </c>
      <c r="J2970" s="3">
        <v>228.54</v>
      </c>
      <c r="K2970" t="s">
        <v>4424</v>
      </c>
      <c r="L2970">
        <v>3001</v>
      </c>
      <c r="M2970" t="s">
        <v>330</v>
      </c>
      <c r="N2970" t="s">
        <v>331</v>
      </c>
      <c r="O2970" t="s">
        <v>108</v>
      </c>
      <c r="P2970" t="str">
        <f>"75063"</f>
        <v>75063</v>
      </c>
    </row>
    <row r="2971" spans="1:16" x14ac:dyDescent="0.25">
      <c r="A2971" t="str">
        <f>"1090049F00107    00"</f>
        <v>1090049F00107    00</v>
      </c>
      <c r="B2971" t="s">
        <v>7197</v>
      </c>
      <c r="C2971" t="s">
        <v>7198</v>
      </c>
      <c r="D2971" t="s">
        <v>20</v>
      </c>
      <c r="E2971" t="s">
        <v>39</v>
      </c>
      <c r="F2971">
        <v>0</v>
      </c>
      <c r="G2971">
        <v>0</v>
      </c>
      <c r="H2971">
        <v>2</v>
      </c>
      <c r="I2971" s="3">
        <v>3818.35</v>
      </c>
      <c r="J2971" s="3">
        <v>0</v>
      </c>
      <c r="L2971">
        <v>250</v>
      </c>
      <c r="M2971" t="s">
        <v>7199</v>
      </c>
      <c r="N2971" t="s">
        <v>30</v>
      </c>
      <c r="O2971" t="s">
        <v>31</v>
      </c>
      <c r="P2971" t="str">
        <f>"15201"</f>
        <v>15201</v>
      </c>
    </row>
    <row r="2972" spans="1:16" x14ac:dyDescent="0.25">
      <c r="A2972" t="str">
        <f>"1090049F00121    00"</f>
        <v>1090049F00121    00</v>
      </c>
      <c r="B2972" t="s">
        <v>7200</v>
      </c>
      <c r="C2972" t="s">
        <v>7201</v>
      </c>
      <c r="E2972" t="s">
        <v>39</v>
      </c>
      <c r="F2972">
        <v>0</v>
      </c>
      <c r="G2972">
        <v>0</v>
      </c>
      <c r="H2972">
        <v>1</v>
      </c>
      <c r="I2972" s="3">
        <v>2016.71</v>
      </c>
      <c r="J2972" s="3">
        <v>554.57000000000005</v>
      </c>
      <c r="K2972" t="s">
        <v>7202</v>
      </c>
      <c r="L2972">
        <v>2401</v>
      </c>
      <c r="M2972" t="s">
        <v>7203</v>
      </c>
      <c r="N2972" t="s">
        <v>7204</v>
      </c>
      <c r="O2972" t="s">
        <v>200</v>
      </c>
      <c r="P2972" t="str">
        <f>"11101"</f>
        <v>11101</v>
      </c>
    </row>
    <row r="2973" spans="1:16" x14ac:dyDescent="0.25">
      <c r="A2973" t="str">
        <f>"1090049F00134    00"</f>
        <v>1090049F00134    00</v>
      </c>
      <c r="B2973" t="s">
        <v>7205</v>
      </c>
      <c r="C2973" t="s">
        <v>7206</v>
      </c>
      <c r="E2973" t="s">
        <v>39</v>
      </c>
      <c r="F2973">
        <v>0</v>
      </c>
      <c r="G2973">
        <v>0</v>
      </c>
      <c r="H2973">
        <v>1</v>
      </c>
      <c r="I2973" s="3">
        <v>27.4</v>
      </c>
      <c r="J2973" s="3">
        <v>6.63</v>
      </c>
      <c r="K2973" t="s">
        <v>563</v>
      </c>
      <c r="L2973">
        <v>3001</v>
      </c>
      <c r="M2973" t="s">
        <v>330</v>
      </c>
      <c r="N2973" t="s">
        <v>331</v>
      </c>
      <c r="O2973" t="s">
        <v>108</v>
      </c>
      <c r="P2973" t="str">
        <f>"75063"</f>
        <v>75063</v>
      </c>
    </row>
    <row r="2974" spans="1:16" x14ac:dyDescent="0.25">
      <c r="A2974" t="str">
        <f>"1090049F00136    00"</f>
        <v>1090049F00136    00</v>
      </c>
      <c r="B2974" t="s">
        <v>7207</v>
      </c>
      <c r="C2974" t="s">
        <v>7208</v>
      </c>
      <c r="D2974" t="s">
        <v>20</v>
      </c>
      <c r="E2974" t="s">
        <v>39</v>
      </c>
      <c r="F2974">
        <v>0</v>
      </c>
      <c r="G2974">
        <v>0</v>
      </c>
      <c r="H2974">
        <v>2</v>
      </c>
      <c r="I2974" s="3">
        <v>3518.11</v>
      </c>
      <c r="J2974" s="3">
        <v>0</v>
      </c>
      <c r="L2974">
        <v>233</v>
      </c>
      <c r="M2974" t="s">
        <v>7199</v>
      </c>
      <c r="N2974" t="s">
        <v>30</v>
      </c>
      <c r="O2974" t="s">
        <v>31</v>
      </c>
      <c r="P2974" t="str">
        <f>"15201"</f>
        <v>15201</v>
      </c>
    </row>
    <row r="2975" spans="1:16" x14ac:dyDescent="0.25">
      <c r="A2975" t="str">
        <f>"1090049F00140    00"</f>
        <v>1090049F00140    00</v>
      </c>
      <c r="B2975" t="s">
        <v>7209</v>
      </c>
      <c r="C2975" t="s">
        <v>7210</v>
      </c>
      <c r="D2975" t="s">
        <v>20</v>
      </c>
      <c r="E2975" t="s">
        <v>39</v>
      </c>
      <c r="F2975">
        <v>0</v>
      </c>
      <c r="G2975">
        <v>0</v>
      </c>
      <c r="H2975">
        <v>1</v>
      </c>
      <c r="I2975" s="3">
        <v>7271.4</v>
      </c>
      <c r="J2975" s="3">
        <v>0</v>
      </c>
      <c r="L2975">
        <v>243</v>
      </c>
      <c r="M2975" t="s">
        <v>7199</v>
      </c>
      <c r="N2975" t="s">
        <v>30</v>
      </c>
      <c r="O2975" t="s">
        <v>31</v>
      </c>
      <c r="P2975" t="str">
        <f>"15201"</f>
        <v>15201</v>
      </c>
    </row>
    <row r="2976" spans="1:16" x14ac:dyDescent="0.25">
      <c r="A2976" t="str">
        <f>"1090049F00152    00"</f>
        <v>1090049F00152    00</v>
      </c>
      <c r="B2976" t="s">
        <v>7211</v>
      </c>
      <c r="C2976" t="s">
        <v>7212</v>
      </c>
      <c r="E2976" t="s">
        <v>39</v>
      </c>
      <c r="F2976">
        <v>0</v>
      </c>
      <c r="G2976">
        <v>0</v>
      </c>
      <c r="H2976">
        <v>1</v>
      </c>
      <c r="I2976" s="3">
        <v>3993.08</v>
      </c>
      <c r="J2976" s="3">
        <v>199.65</v>
      </c>
      <c r="K2976" t="s">
        <v>6483</v>
      </c>
      <c r="L2976">
        <v>3001</v>
      </c>
      <c r="M2976" t="s">
        <v>330</v>
      </c>
      <c r="N2976" t="s">
        <v>331</v>
      </c>
      <c r="O2976" t="s">
        <v>108</v>
      </c>
      <c r="P2976" t="str">
        <f>"75063"</f>
        <v>75063</v>
      </c>
    </row>
    <row r="2977" spans="1:16" x14ac:dyDescent="0.25">
      <c r="A2977" t="str">
        <f>"1090049F00174    00"</f>
        <v>1090049F00174    00</v>
      </c>
      <c r="B2977" t="s">
        <v>7213</v>
      </c>
      <c r="C2977" t="s">
        <v>7214</v>
      </c>
      <c r="E2977" t="s">
        <v>39</v>
      </c>
      <c r="F2977">
        <v>0</v>
      </c>
      <c r="G2977">
        <v>0</v>
      </c>
      <c r="H2977">
        <v>1</v>
      </c>
      <c r="I2977" s="3">
        <v>41.01</v>
      </c>
      <c r="J2977" s="3">
        <v>8.2100000000000009</v>
      </c>
      <c r="L2977">
        <v>294</v>
      </c>
      <c r="M2977" t="s">
        <v>1451</v>
      </c>
      <c r="N2977" t="s">
        <v>30</v>
      </c>
      <c r="O2977" t="s">
        <v>31</v>
      </c>
      <c r="P2977" t="str">
        <f>"15201"</f>
        <v>15201</v>
      </c>
    </row>
    <row r="2978" spans="1:16" x14ac:dyDescent="0.25">
      <c r="A2978" t="str">
        <f>"1090049F00220    00"</f>
        <v>1090049F00220    00</v>
      </c>
      <c r="B2978" t="s">
        <v>7215</v>
      </c>
      <c r="C2978" t="s">
        <v>7216</v>
      </c>
      <c r="D2978" t="s">
        <v>20</v>
      </c>
      <c r="E2978" t="s">
        <v>39</v>
      </c>
      <c r="F2978">
        <v>0</v>
      </c>
      <c r="G2978">
        <v>0</v>
      </c>
      <c r="H2978">
        <v>1</v>
      </c>
      <c r="I2978" s="3">
        <v>2918.1</v>
      </c>
      <c r="J2978" s="3">
        <v>0</v>
      </c>
      <c r="K2978" t="s">
        <v>400</v>
      </c>
      <c r="L2978">
        <v>3001</v>
      </c>
      <c r="M2978" t="s">
        <v>330</v>
      </c>
      <c r="N2978" t="s">
        <v>331</v>
      </c>
      <c r="O2978" t="s">
        <v>108</v>
      </c>
      <c r="P2978" t="str">
        <f>"75063"</f>
        <v>75063</v>
      </c>
    </row>
    <row r="2979" spans="1:16" x14ac:dyDescent="0.25">
      <c r="A2979" t="str">
        <f>"1090049F00223    00"</f>
        <v>1090049F00223    00</v>
      </c>
      <c r="B2979" t="s">
        <v>7217</v>
      </c>
      <c r="C2979" t="s">
        <v>7218</v>
      </c>
      <c r="D2979" t="s">
        <v>20</v>
      </c>
      <c r="E2979" t="s">
        <v>39</v>
      </c>
      <c r="F2979">
        <v>0</v>
      </c>
      <c r="G2979">
        <v>0</v>
      </c>
      <c r="H2979">
        <v>3</v>
      </c>
      <c r="I2979" s="3">
        <v>8771.4</v>
      </c>
      <c r="J2979" s="3">
        <v>73.099999999999994</v>
      </c>
      <c r="K2979" t="s">
        <v>7219</v>
      </c>
      <c r="L2979">
        <v>1060</v>
      </c>
      <c r="M2979" t="s">
        <v>7220</v>
      </c>
      <c r="N2979" t="s">
        <v>30</v>
      </c>
      <c r="O2979" t="s">
        <v>31</v>
      </c>
      <c r="P2979" t="str">
        <f>"15213"</f>
        <v>15213</v>
      </c>
    </row>
    <row r="2980" spans="1:16" x14ac:dyDescent="0.25">
      <c r="A2980" t="str">
        <f>"1090049F00233    00"</f>
        <v>1090049F00233    00</v>
      </c>
      <c r="B2980" t="s">
        <v>7221</v>
      </c>
      <c r="C2980" t="s">
        <v>7222</v>
      </c>
      <c r="D2980" t="s">
        <v>20</v>
      </c>
      <c r="E2980" t="s">
        <v>39</v>
      </c>
      <c r="F2980">
        <v>0</v>
      </c>
      <c r="G2980">
        <v>0</v>
      </c>
      <c r="H2980">
        <v>2</v>
      </c>
      <c r="I2980" s="3">
        <v>6095.42</v>
      </c>
      <c r="J2980" s="3">
        <v>0</v>
      </c>
      <c r="L2980">
        <v>241</v>
      </c>
      <c r="M2980" t="s">
        <v>1451</v>
      </c>
      <c r="N2980" t="s">
        <v>30</v>
      </c>
      <c r="O2980" t="s">
        <v>31</v>
      </c>
      <c r="P2980" t="str">
        <f>"15201"</f>
        <v>15201</v>
      </c>
    </row>
    <row r="2981" spans="1:16" x14ac:dyDescent="0.25">
      <c r="A2981" t="str">
        <f>"1090049F00246    00"</f>
        <v>1090049F00246    00</v>
      </c>
      <c r="B2981" t="s">
        <v>7223</v>
      </c>
      <c r="C2981" t="s">
        <v>7224</v>
      </c>
      <c r="D2981" t="s">
        <v>20</v>
      </c>
      <c r="E2981" t="s">
        <v>39</v>
      </c>
      <c r="F2981">
        <v>0</v>
      </c>
      <c r="G2981">
        <v>0</v>
      </c>
      <c r="H2981">
        <v>1</v>
      </c>
      <c r="I2981" s="3">
        <v>2523.54</v>
      </c>
      <c r="J2981" s="3">
        <v>0</v>
      </c>
      <c r="K2981" t="s">
        <v>2570</v>
      </c>
      <c r="L2981">
        <v>901</v>
      </c>
      <c r="M2981" t="s">
        <v>1503</v>
      </c>
      <c r="N2981" t="s">
        <v>494</v>
      </c>
      <c r="O2981" t="s">
        <v>495</v>
      </c>
      <c r="P2981" t="str">
        <f>"91768"</f>
        <v>91768</v>
      </c>
    </row>
    <row r="2982" spans="1:16" x14ac:dyDescent="0.25">
      <c r="A2982" t="str">
        <f>"1090049F00249    00"</f>
        <v>1090049F00249    00</v>
      </c>
      <c r="B2982" t="s">
        <v>7225</v>
      </c>
      <c r="C2982" t="s">
        <v>7226</v>
      </c>
      <c r="D2982" t="s">
        <v>20</v>
      </c>
      <c r="E2982" t="s">
        <v>39</v>
      </c>
      <c r="F2982">
        <v>0</v>
      </c>
      <c r="G2982">
        <v>0</v>
      </c>
      <c r="H2982">
        <v>1</v>
      </c>
      <c r="I2982" s="3">
        <v>253.51</v>
      </c>
      <c r="J2982" s="3">
        <v>0</v>
      </c>
      <c r="K2982" t="s">
        <v>5718</v>
      </c>
      <c r="L2982">
        <v>26642</v>
      </c>
      <c r="M2982" t="s">
        <v>5719</v>
      </c>
      <c r="N2982" t="s">
        <v>5720</v>
      </c>
      <c r="O2982" t="s">
        <v>495</v>
      </c>
      <c r="P2982" t="str">
        <f>"92610"</f>
        <v>92610</v>
      </c>
    </row>
    <row r="2983" spans="1:16" x14ac:dyDescent="0.25">
      <c r="A2983" t="str">
        <f>"1090049F00250    00"</f>
        <v>1090049F00250    00</v>
      </c>
      <c r="B2983" t="s">
        <v>7227</v>
      </c>
      <c r="C2983" t="s">
        <v>7228</v>
      </c>
      <c r="D2983" t="s">
        <v>20</v>
      </c>
      <c r="E2983" t="s">
        <v>39</v>
      </c>
      <c r="F2983">
        <v>0</v>
      </c>
      <c r="G2983">
        <v>0</v>
      </c>
      <c r="H2983">
        <v>1</v>
      </c>
      <c r="I2983" s="3">
        <v>63.58</v>
      </c>
      <c r="J2983" s="3">
        <v>0</v>
      </c>
      <c r="K2983" t="s">
        <v>6483</v>
      </c>
      <c r="L2983">
        <v>3001</v>
      </c>
      <c r="M2983" t="s">
        <v>330</v>
      </c>
      <c r="N2983" t="s">
        <v>331</v>
      </c>
      <c r="O2983" t="s">
        <v>108</v>
      </c>
      <c r="P2983" t="str">
        <f>"75063"</f>
        <v>75063</v>
      </c>
    </row>
    <row r="2984" spans="1:16" x14ac:dyDescent="0.25">
      <c r="A2984" t="str">
        <f>"1090049F00274    00"</f>
        <v>1090049F00274    00</v>
      </c>
      <c r="B2984" t="s">
        <v>7229</v>
      </c>
      <c r="C2984" t="s">
        <v>7230</v>
      </c>
      <c r="D2984" t="s">
        <v>20</v>
      </c>
      <c r="E2984" t="s">
        <v>39</v>
      </c>
      <c r="F2984">
        <v>0</v>
      </c>
      <c r="G2984">
        <v>0</v>
      </c>
      <c r="H2984">
        <v>3</v>
      </c>
      <c r="I2984" s="3">
        <v>4779.22</v>
      </c>
      <c r="J2984" s="3">
        <v>2.2999999999999998</v>
      </c>
      <c r="K2984" t="s">
        <v>391</v>
      </c>
      <c r="L2984">
        <v>1</v>
      </c>
      <c r="M2984" t="s">
        <v>392</v>
      </c>
      <c r="N2984" t="s">
        <v>393</v>
      </c>
      <c r="O2984" t="s">
        <v>394</v>
      </c>
      <c r="P2984" t="str">
        <f>"50328"</f>
        <v>50328</v>
      </c>
    </row>
    <row r="2985" spans="1:16" x14ac:dyDescent="0.25">
      <c r="A2985" t="str">
        <f>"1090049F00278    00"</f>
        <v>1090049F00278    00</v>
      </c>
      <c r="B2985" t="s">
        <v>7231</v>
      </c>
      <c r="C2985" t="s">
        <v>7232</v>
      </c>
      <c r="D2985" t="s">
        <v>20</v>
      </c>
      <c r="E2985" t="s">
        <v>39</v>
      </c>
      <c r="F2985">
        <v>0</v>
      </c>
      <c r="G2985">
        <v>0</v>
      </c>
      <c r="H2985">
        <v>3</v>
      </c>
      <c r="I2985" s="3">
        <v>8407.41</v>
      </c>
      <c r="J2985" s="3">
        <v>138.63</v>
      </c>
      <c r="K2985" t="s">
        <v>1135</v>
      </c>
      <c r="L2985">
        <v>3001</v>
      </c>
      <c r="M2985" t="s">
        <v>330</v>
      </c>
      <c r="N2985" t="s">
        <v>331</v>
      </c>
      <c r="O2985" t="s">
        <v>108</v>
      </c>
      <c r="P2985" t="str">
        <f>"75063"</f>
        <v>75063</v>
      </c>
    </row>
    <row r="2986" spans="1:16" x14ac:dyDescent="0.25">
      <c r="A2986" t="str">
        <f>"1090049F00280    00"</f>
        <v>1090049F00280    00</v>
      </c>
      <c r="B2986" t="s">
        <v>7233</v>
      </c>
      <c r="C2986" t="s">
        <v>7234</v>
      </c>
      <c r="D2986" t="s">
        <v>20</v>
      </c>
      <c r="E2986" t="s">
        <v>39</v>
      </c>
      <c r="F2986">
        <v>0</v>
      </c>
      <c r="G2986">
        <v>0</v>
      </c>
      <c r="H2986">
        <v>1</v>
      </c>
      <c r="I2986" s="3">
        <v>1855.02</v>
      </c>
      <c r="J2986" s="3">
        <v>0</v>
      </c>
      <c r="K2986" t="s">
        <v>1632</v>
      </c>
      <c r="L2986">
        <v>3001</v>
      </c>
      <c r="M2986" t="s">
        <v>330</v>
      </c>
      <c r="N2986" t="s">
        <v>331</v>
      </c>
      <c r="O2986" t="s">
        <v>108</v>
      </c>
      <c r="P2986" t="str">
        <f>"75063"</f>
        <v>75063</v>
      </c>
    </row>
    <row r="2987" spans="1:16" x14ac:dyDescent="0.25">
      <c r="A2987" t="str">
        <f>"1090049F00286000500"</f>
        <v>1090049F00286000500</v>
      </c>
      <c r="B2987" t="s">
        <v>7235</v>
      </c>
      <c r="C2987" t="s">
        <v>7236</v>
      </c>
      <c r="D2987" t="s">
        <v>20</v>
      </c>
      <c r="E2987" t="s">
        <v>39</v>
      </c>
      <c r="F2987">
        <v>0</v>
      </c>
      <c r="G2987">
        <v>0</v>
      </c>
      <c r="H2987">
        <v>1</v>
      </c>
      <c r="I2987" s="3">
        <v>4989.91</v>
      </c>
      <c r="J2987" s="3">
        <v>0</v>
      </c>
      <c r="K2987" t="s">
        <v>7237</v>
      </c>
      <c r="L2987">
        <v>310</v>
      </c>
      <c r="M2987" t="s">
        <v>7238</v>
      </c>
      <c r="N2987" t="s">
        <v>30</v>
      </c>
      <c r="O2987" t="s">
        <v>31</v>
      </c>
      <c r="P2987" t="str">
        <f>"15219"</f>
        <v>15219</v>
      </c>
    </row>
    <row r="2988" spans="1:16" x14ac:dyDescent="0.25">
      <c r="A2988" t="str">
        <f>"1090049F00302    00"</f>
        <v>1090049F00302    00</v>
      </c>
      <c r="B2988" t="s">
        <v>7239</v>
      </c>
      <c r="C2988" t="s">
        <v>7240</v>
      </c>
      <c r="D2988" t="s">
        <v>20</v>
      </c>
      <c r="E2988" t="s">
        <v>39</v>
      </c>
      <c r="F2988">
        <v>0</v>
      </c>
      <c r="G2988">
        <v>0</v>
      </c>
      <c r="H2988">
        <v>1</v>
      </c>
      <c r="I2988" s="3">
        <v>2552.15</v>
      </c>
      <c r="J2988" s="3">
        <v>0</v>
      </c>
      <c r="L2988">
        <v>1121</v>
      </c>
      <c r="M2988" t="s">
        <v>7241</v>
      </c>
      <c r="N2988" t="s">
        <v>30</v>
      </c>
      <c r="O2988" t="s">
        <v>31</v>
      </c>
      <c r="P2988" t="str">
        <f>"15206"</f>
        <v>15206</v>
      </c>
    </row>
    <row r="2989" spans="1:16" x14ac:dyDescent="0.25">
      <c r="A2989" t="str">
        <f>"1090049F00311    00"</f>
        <v>1090049F00311    00</v>
      </c>
      <c r="B2989" t="s">
        <v>7242</v>
      </c>
      <c r="C2989" t="s">
        <v>7243</v>
      </c>
      <c r="D2989" t="s">
        <v>20</v>
      </c>
      <c r="E2989" t="s">
        <v>39</v>
      </c>
      <c r="F2989">
        <v>0</v>
      </c>
      <c r="G2989">
        <v>0</v>
      </c>
      <c r="H2989">
        <v>1</v>
      </c>
      <c r="I2989" s="3">
        <v>770.02</v>
      </c>
      <c r="J2989" s="3">
        <v>0</v>
      </c>
      <c r="K2989" t="s">
        <v>400</v>
      </c>
      <c r="L2989">
        <v>3001</v>
      </c>
      <c r="M2989" t="s">
        <v>330</v>
      </c>
      <c r="N2989" t="s">
        <v>331</v>
      </c>
      <c r="O2989" t="s">
        <v>108</v>
      </c>
      <c r="P2989" t="str">
        <f>"75063"</f>
        <v>75063</v>
      </c>
    </row>
    <row r="2990" spans="1:16" x14ac:dyDescent="0.25">
      <c r="A2990" t="str">
        <f>"1090049F00315    00"</f>
        <v>1090049F00315    00</v>
      </c>
      <c r="B2990" t="s">
        <v>7244</v>
      </c>
      <c r="C2990" t="s">
        <v>7245</v>
      </c>
      <c r="D2990" t="s">
        <v>20</v>
      </c>
      <c r="E2990" t="s">
        <v>39</v>
      </c>
      <c r="F2990">
        <v>0</v>
      </c>
      <c r="G2990">
        <v>0</v>
      </c>
      <c r="H2990">
        <v>3</v>
      </c>
      <c r="I2990" s="3">
        <v>7810.8</v>
      </c>
      <c r="J2990" s="3">
        <v>65.08</v>
      </c>
      <c r="K2990" t="s">
        <v>5172</v>
      </c>
      <c r="L2990">
        <v>439</v>
      </c>
      <c r="M2990" t="s">
        <v>4776</v>
      </c>
      <c r="N2990" t="s">
        <v>5173</v>
      </c>
      <c r="O2990" t="s">
        <v>423</v>
      </c>
      <c r="P2990" t="str">
        <f>"08628"</f>
        <v>08628</v>
      </c>
    </row>
    <row r="2991" spans="1:16" x14ac:dyDescent="0.25">
      <c r="A2991" t="str">
        <f>"1090049F00352    00"</f>
        <v>1090049F00352    00</v>
      </c>
      <c r="B2991" t="s">
        <v>7246</v>
      </c>
      <c r="C2991" t="s">
        <v>7247</v>
      </c>
      <c r="D2991" t="s">
        <v>20</v>
      </c>
      <c r="E2991" t="s">
        <v>39</v>
      </c>
      <c r="F2991">
        <v>0</v>
      </c>
      <c r="G2991">
        <v>0</v>
      </c>
      <c r="H2991">
        <v>5</v>
      </c>
      <c r="I2991" s="3">
        <v>6595.41</v>
      </c>
      <c r="J2991" s="3">
        <v>1135.3</v>
      </c>
      <c r="L2991">
        <v>4213</v>
      </c>
      <c r="M2991" t="s">
        <v>7248</v>
      </c>
      <c r="N2991" t="s">
        <v>30</v>
      </c>
      <c r="O2991" t="s">
        <v>31</v>
      </c>
      <c r="P2991" t="str">
        <f>"15201"</f>
        <v>15201</v>
      </c>
    </row>
    <row r="2992" spans="1:16" x14ac:dyDescent="0.25">
      <c r="A2992" t="str">
        <f>"1090049G00001    00"</f>
        <v>1090049G00001    00</v>
      </c>
      <c r="B2992" t="s">
        <v>7249</v>
      </c>
      <c r="C2992" t="s">
        <v>7250</v>
      </c>
      <c r="E2992" t="s">
        <v>39</v>
      </c>
      <c r="F2992">
        <v>0</v>
      </c>
      <c r="G2992">
        <v>0</v>
      </c>
      <c r="H2992">
        <v>2</v>
      </c>
      <c r="I2992" s="3">
        <v>5950.56</v>
      </c>
      <c r="J2992" s="3">
        <v>0</v>
      </c>
      <c r="K2992" t="s">
        <v>7251</v>
      </c>
      <c r="L2992">
        <v>421</v>
      </c>
      <c r="M2992" t="s">
        <v>7252</v>
      </c>
      <c r="N2992" t="s">
        <v>2008</v>
      </c>
      <c r="O2992" t="s">
        <v>31</v>
      </c>
      <c r="P2992" t="str">
        <f>"16066"</f>
        <v>16066</v>
      </c>
    </row>
    <row r="2993" spans="1:16" x14ac:dyDescent="0.25">
      <c r="A2993" t="str">
        <f>"1090049G00014    00"</f>
        <v>1090049G00014    00</v>
      </c>
      <c r="B2993" t="s">
        <v>7253</v>
      </c>
      <c r="C2993" t="s">
        <v>7254</v>
      </c>
      <c r="E2993" t="s">
        <v>39</v>
      </c>
      <c r="F2993">
        <v>0</v>
      </c>
      <c r="G2993">
        <v>0</v>
      </c>
      <c r="H2993">
        <v>1</v>
      </c>
      <c r="I2993" s="3">
        <v>1157.46</v>
      </c>
      <c r="J2993" s="3">
        <v>0</v>
      </c>
      <c r="L2993">
        <v>309</v>
      </c>
      <c r="M2993" t="s">
        <v>1451</v>
      </c>
      <c r="N2993" t="s">
        <v>30</v>
      </c>
      <c r="O2993" t="s">
        <v>31</v>
      </c>
      <c r="P2993" t="str">
        <f>"15201"</f>
        <v>15201</v>
      </c>
    </row>
    <row r="2994" spans="1:16" x14ac:dyDescent="0.25">
      <c r="A2994" t="str">
        <f>"1090049G00054A   00"</f>
        <v>1090049G00054A   00</v>
      </c>
      <c r="B2994" t="s">
        <v>7255</v>
      </c>
      <c r="C2994" t="s">
        <v>7256</v>
      </c>
      <c r="D2994" t="s">
        <v>20</v>
      </c>
      <c r="E2994" t="s">
        <v>39</v>
      </c>
      <c r="F2994">
        <v>0</v>
      </c>
      <c r="G2994">
        <v>0</v>
      </c>
      <c r="H2994">
        <v>1</v>
      </c>
      <c r="I2994" s="3">
        <v>2698.9</v>
      </c>
      <c r="J2994" s="3">
        <v>0</v>
      </c>
      <c r="K2994" t="s">
        <v>6483</v>
      </c>
      <c r="L2994">
        <v>3001</v>
      </c>
      <c r="M2994" t="s">
        <v>330</v>
      </c>
      <c r="N2994" t="s">
        <v>331</v>
      </c>
      <c r="O2994" t="s">
        <v>108</v>
      </c>
      <c r="P2994" t="str">
        <f>"75063"</f>
        <v>75063</v>
      </c>
    </row>
    <row r="2995" spans="1:16" x14ac:dyDescent="0.25">
      <c r="A2995" t="str">
        <f>"1090049G00082    00"</f>
        <v>1090049G00082    00</v>
      </c>
      <c r="B2995" t="s">
        <v>7257</v>
      </c>
      <c r="C2995" t="s">
        <v>7047</v>
      </c>
      <c r="D2995" t="s">
        <v>20</v>
      </c>
      <c r="E2995" t="s">
        <v>39</v>
      </c>
      <c r="F2995">
        <v>0</v>
      </c>
      <c r="G2995">
        <v>0</v>
      </c>
      <c r="H2995">
        <v>1</v>
      </c>
      <c r="I2995" s="3">
        <v>80.05</v>
      </c>
      <c r="J2995" s="3">
        <v>0</v>
      </c>
      <c r="K2995" t="s">
        <v>7258</v>
      </c>
      <c r="L2995">
        <v>4201</v>
      </c>
      <c r="M2995" t="s">
        <v>7259</v>
      </c>
      <c r="N2995" t="s">
        <v>7260</v>
      </c>
      <c r="O2995" t="s">
        <v>108</v>
      </c>
      <c r="P2995" t="str">
        <f>"75007"</f>
        <v>75007</v>
      </c>
    </row>
    <row r="2996" spans="1:16" x14ac:dyDescent="0.25">
      <c r="A2996" t="str">
        <f>"1090049G00082000100"</f>
        <v>1090049G00082000100</v>
      </c>
      <c r="B2996" t="s">
        <v>7261</v>
      </c>
      <c r="C2996" t="s">
        <v>7047</v>
      </c>
      <c r="D2996" t="s">
        <v>20</v>
      </c>
      <c r="E2996" t="s">
        <v>39</v>
      </c>
      <c r="F2996">
        <v>0</v>
      </c>
      <c r="G2996">
        <v>0</v>
      </c>
      <c r="H2996">
        <v>2</v>
      </c>
      <c r="I2996" s="3">
        <v>117.05</v>
      </c>
      <c r="J2996" s="3">
        <v>0</v>
      </c>
      <c r="K2996" t="s">
        <v>7262</v>
      </c>
      <c r="L2996">
        <v>440</v>
      </c>
      <c r="M2996" t="s">
        <v>7263</v>
      </c>
      <c r="N2996" t="s">
        <v>1412</v>
      </c>
      <c r="O2996" t="s">
        <v>1413</v>
      </c>
      <c r="P2996" t="str">
        <f>"28202"</f>
        <v>28202</v>
      </c>
    </row>
    <row r="2997" spans="1:16" x14ac:dyDescent="0.25">
      <c r="A2997" t="str">
        <f>"1090049G00083    00"</f>
        <v>1090049G00083    00</v>
      </c>
      <c r="B2997" t="s">
        <v>7257</v>
      </c>
      <c r="C2997" t="s">
        <v>7264</v>
      </c>
      <c r="D2997" t="s">
        <v>20</v>
      </c>
      <c r="E2997" t="s">
        <v>39</v>
      </c>
      <c r="F2997">
        <v>0</v>
      </c>
      <c r="G2997">
        <v>0</v>
      </c>
      <c r="H2997">
        <v>1</v>
      </c>
      <c r="I2997" s="3">
        <v>3366.47</v>
      </c>
      <c r="J2997" s="3">
        <v>0</v>
      </c>
      <c r="K2997" t="s">
        <v>7258</v>
      </c>
      <c r="L2997">
        <v>4201</v>
      </c>
      <c r="M2997" t="s">
        <v>7259</v>
      </c>
      <c r="N2997" t="s">
        <v>7260</v>
      </c>
      <c r="O2997" t="s">
        <v>108</v>
      </c>
      <c r="P2997" t="str">
        <f>"75007"</f>
        <v>75007</v>
      </c>
    </row>
    <row r="2998" spans="1:16" x14ac:dyDescent="0.25">
      <c r="A2998" t="str">
        <f>"1090049G00086    00"</f>
        <v>1090049G00086    00</v>
      </c>
      <c r="B2998" t="s">
        <v>7265</v>
      </c>
      <c r="C2998" t="s">
        <v>7266</v>
      </c>
      <c r="D2998" t="s">
        <v>20</v>
      </c>
      <c r="E2998" t="s">
        <v>39</v>
      </c>
      <c r="F2998">
        <v>0</v>
      </c>
      <c r="G2998">
        <v>0</v>
      </c>
      <c r="H2998">
        <v>1</v>
      </c>
      <c r="I2998" s="3">
        <v>1683.46</v>
      </c>
      <c r="J2998" s="3">
        <v>0</v>
      </c>
      <c r="L2998">
        <v>343</v>
      </c>
      <c r="M2998" t="s">
        <v>6973</v>
      </c>
      <c r="N2998" t="s">
        <v>30</v>
      </c>
      <c r="O2998" t="s">
        <v>31</v>
      </c>
      <c r="P2998" t="str">
        <f>"15201"</f>
        <v>15201</v>
      </c>
    </row>
    <row r="2999" spans="1:16" x14ac:dyDescent="0.25">
      <c r="A2999" t="str">
        <f>"1090049G00096000100"</f>
        <v>1090049G00096000100</v>
      </c>
      <c r="B2999" t="s">
        <v>7267</v>
      </c>
      <c r="C2999" t="s">
        <v>7268</v>
      </c>
      <c r="D2999" t="s">
        <v>20</v>
      </c>
      <c r="E2999" t="s">
        <v>39</v>
      </c>
      <c r="F2999">
        <v>0</v>
      </c>
      <c r="G2999">
        <v>0</v>
      </c>
      <c r="H2999">
        <v>2</v>
      </c>
      <c r="I2999" s="3">
        <v>122.47</v>
      </c>
      <c r="J2999" s="3">
        <v>0</v>
      </c>
      <c r="L2999">
        <v>309</v>
      </c>
      <c r="M2999" t="s">
        <v>1451</v>
      </c>
      <c r="N2999" t="s">
        <v>30</v>
      </c>
      <c r="O2999" t="s">
        <v>31</v>
      </c>
      <c r="P2999" t="str">
        <f>"15201"</f>
        <v>15201</v>
      </c>
    </row>
    <row r="3000" spans="1:16" x14ac:dyDescent="0.25">
      <c r="A3000" t="str">
        <f>"1090049G00157    00"</f>
        <v>1090049G00157    00</v>
      </c>
      <c r="B3000" t="s">
        <v>7269</v>
      </c>
      <c r="C3000" t="s">
        <v>7270</v>
      </c>
      <c r="E3000" t="s">
        <v>39</v>
      </c>
      <c r="F3000">
        <v>0</v>
      </c>
      <c r="G3000">
        <v>0</v>
      </c>
      <c r="H3000">
        <v>1</v>
      </c>
      <c r="I3000" s="3">
        <v>2154.31</v>
      </c>
      <c r="J3000" s="3">
        <v>0</v>
      </c>
      <c r="L3000">
        <v>4207</v>
      </c>
      <c r="M3000" t="s">
        <v>7271</v>
      </c>
      <c r="N3000" t="s">
        <v>30</v>
      </c>
      <c r="O3000" t="s">
        <v>31</v>
      </c>
      <c r="P3000" t="str">
        <f>"15201"</f>
        <v>15201</v>
      </c>
    </row>
    <row r="3001" spans="1:16" x14ac:dyDescent="0.25">
      <c r="A3001" t="str">
        <f>"1090049G00177    00"</f>
        <v>1090049G00177    00</v>
      </c>
      <c r="B3001" t="s">
        <v>7272</v>
      </c>
      <c r="C3001" t="s">
        <v>7273</v>
      </c>
      <c r="E3001" t="s">
        <v>39</v>
      </c>
      <c r="F3001">
        <v>0</v>
      </c>
      <c r="G3001">
        <v>0</v>
      </c>
      <c r="H3001">
        <v>2</v>
      </c>
      <c r="I3001" s="3">
        <v>2784.22</v>
      </c>
      <c r="J3001" s="3">
        <v>190.4</v>
      </c>
      <c r="K3001" t="s">
        <v>7274</v>
      </c>
      <c r="L3001">
        <v>4232</v>
      </c>
      <c r="M3001" t="s">
        <v>7271</v>
      </c>
      <c r="N3001" t="s">
        <v>30</v>
      </c>
      <c r="O3001" t="s">
        <v>31</v>
      </c>
      <c r="P3001" t="str">
        <f>"15201"</f>
        <v>15201</v>
      </c>
    </row>
    <row r="3002" spans="1:16" x14ac:dyDescent="0.25">
      <c r="A3002" t="str">
        <f>"1090049G00185    00"</f>
        <v>1090049G00185    00</v>
      </c>
      <c r="B3002" t="s">
        <v>7275</v>
      </c>
      <c r="C3002" t="s">
        <v>7276</v>
      </c>
      <c r="E3002" t="s">
        <v>39</v>
      </c>
      <c r="F3002">
        <v>0</v>
      </c>
      <c r="G3002">
        <v>0</v>
      </c>
      <c r="H3002">
        <v>1</v>
      </c>
      <c r="I3002" s="3">
        <v>1696.34</v>
      </c>
      <c r="J3002" s="3">
        <v>0</v>
      </c>
      <c r="L3002">
        <v>901</v>
      </c>
      <c r="M3002" t="s">
        <v>7277</v>
      </c>
      <c r="N3002" t="s">
        <v>4141</v>
      </c>
      <c r="O3002" t="s">
        <v>108</v>
      </c>
      <c r="P3002" t="str">
        <f>"78746"</f>
        <v>78746</v>
      </c>
    </row>
    <row r="3003" spans="1:16" x14ac:dyDescent="0.25">
      <c r="A3003" t="str">
        <f>"1090049G00187C   00"</f>
        <v>1090049G00187C   00</v>
      </c>
      <c r="B3003" t="s">
        <v>7278</v>
      </c>
      <c r="C3003" t="s">
        <v>7279</v>
      </c>
      <c r="D3003" t="s">
        <v>20</v>
      </c>
      <c r="E3003" t="s">
        <v>39</v>
      </c>
      <c r="F3003">
        <v>0</v>
      </c>
      <c r="G3003">
        <v>0</v>
      </c>
      <c r="H3003">
        <v>1</v>
      </c>
      <c r="I3003" s="3">
        <v>571.79999999999995</v>
      </c>
      <c r="J3003" s="3">
        <v>0</v>
      </c>
      <c r="L3003">
        <v>343</v>
      </c>
      <c r="M3003" t="s">
        <v>6269</v>
      </c>
      <c r="N3003" t="s">
        <v>30</v>
      </c>
      <c r="O3003" t="s">
        <v>31</v>
      </c>
      <c r="P3003" t="str">
        <f>"15224"</f>
        <v>15224</v>
      </c>
    </row>
    <row r="3004" spans="1:16" x14ac:dyDescent="0.25">
      <c r="A3004" t="str">
        <f>"1090049G00191    00"</f>
        <v>1090049G00191    00</v>
      </c>
      <c r="B3004" t="s">
        <v>7280</v>
      </c>
      <c r="C3004" t="s">
        <v>7281</v>
      </c>
      <c r="E3004" t="s">
        <v>39</v>
      </c>
      <c r="F3004">
        <v>0</v>
      </c>
      <c r="G3004">
        <v>0</v>
      </c>
      <c r="H3004">
        <v>1</v>
      </c>
      <c r="I3004" s="3">
        <v>29.33</v>
      </c>
      <c r="J3004" s="3">
        <v>29.08</v>
      </c>
      <c r="K3004" t="s">
        <v>1030</v>
      </c>
      <c r="M3004" t="s">
        <v>1031</v>
      </c>
      <c r="N3004" t="s">
        <v>1032</v>
      </c>
      <c r="O3004" t="s">
        <v>25</v>
      </c>
      <c r="P3004" t="str">
        <f>"44711"</f>
        <v>44711</v>
      </c>
    </row>
    <row r="3005" spans="1:16" x14ac:dyDescent="0.25">
      <c r="A3005" t="str">
        <f>"1090049G00263    00"</f>
        <v>1090049G00263    00</v>
      </c>
      <c r="B3005" t="s">
        <v>7282</v>
      </c>
      <c r="C3005" t="s">
        <v>7283</v>
      </c>
      <c r="D3005" t="s">
        <v>20</v>
      </c>
      <c r="E3005" t="s">
        <v>39</v>
      </c>
      <c r="F3005">
        <v>0</v>
      </c>
      <c r="G3005">
        <v>0</v>
      </c>
      <c r="H3005">
        <v>1</v>
      </c>
      <c r="I3005" s="3">
        <v>322.12</v>
      </c>
      <c r="J3005" s="3">
        <v>0</v>
      </c>
      <c r="K3005" t="s">
        <v>7284</v>
      </c>
      <c r="L3005">
        <v>1192</v>
      </c>
      <c r="M3005" t="s">
        <v>7285</v>
      </c>
      <c r="N3005" t="s">
        <v>199</v>
      </c>
      <c r="O3005" t="s">
        <v>200</v>
      </c>
      <c r="P3005" t="str">
        <f>"10128"</f>
        <v>10128</v>
      </c>
    </row>
    <row r="3006" spans="1:16" x14ac:dyDescent="0.25">
      <c r="A3006" t="str">
        <f>"1090049G00285    00"</f>
        <v>1090049G00285    00</v>
      </c>
      <c r="B3006" t="s">
        <v>7286</v>
      </c>
      <c r="C3006" t="s">
        <v>7287</v>
      </c>
      <c r="D3006" t="s">
        <v>20</v>
      </c>
      <c r="E3006" t="s">
        <v>39</v>
      </c>
      <c r="F3006">
        <v>0</v>
      </c>
      <c r="G3006">
        <v>0</v>
      </c>
      <c r="H3006">
        <v>2</v>
      </c>
      <c r="I3006" s="3">
        <v>587.59</v>
      </c>
      <c r="J3006" s="3">
        <v>0</v>
      </c>
      <c r="K3006" t="s">
        <v>7288</v>
      </c>
      <c r="L3006">
        <v>1536</v>
      </c>
      <c r="M3006" t="s">
        <v>7289</v>
      </c>
      <c r="N3006" t="s">
        <v>30</v>
      </c>
      <c r="O3006" t="s">
        <v>31</v>
      </c>
      <c r="P3006" t="str">
        <f>"15212"</f>
        <v>15212</v>
      </c>
    </row>
    <row r="3007" spans="1:16" x14ac:dyDescent="0.25">
      <c r="A3007" t="str">
        <f>"1090049G00287    00"</f>
        <v>1090049G00287    00</v>
      </c>
      <c r="B3007" t="s">
        <v>7290</v>
      </c>
      <c r="C3007" t="s">
        <v>7291</v>
      </c>
      <c r="D3007" t="s">
        <v>20</v>
      </c>
      <c r="E3007" t="s">
        <v>39</v>
      </c>
      <c r="F3007">
        <v>0</v>
      </c>
      <c r="G3007">
        <v>0</v>
      </c>
      <c r="H3007">
        <v>2</v>
      </c>
      <c r="I3007" s="3">
        <v>3878.76</v>
      </c>
      <c r="J3007" s="3">
        <v>0</v>
      </c>
      <c r="L3007">
        <v>800</v>
      </c>
      <c r="M3007" t="s">
        <v>7292</v>
      </c>
      <c r="N3007" t="s">
        <v>7293</v>
      </c>
      <c r="O3007" t="s">
        <v>200</v>
      </c>
      <c r="P3007" t="str">
        <f>"10573"</f>
        <v>10573</v>
      </c>
    </row>
    <row r="3008" spans="1:16" x14ac:dyDescent="0.25">
      <c r="A3008" t="str">
        <f>"1090049G00290    00"</f>
        <v>1090049G00290    00</v>
      </c>
      <c r="B3008" t="s">
        <v>7294</v>
      </c>
      <c r="C3008" t="s">
        <v>7295</v>
      </c>
      <c r="E3008" t="s">
        <v>39</v>
      </c>
      <c r="F3008">
        <v>0</v>
      </c>
      <c r="G3008">
        <v>0</v>
      </c>
      <c r="H3008">
        <v>1</v>
      </c>
      <c r="I3008" s="3">
        <v>2629.94</v>
      </c>
      <c r="J3008" s="3">
        <v>1293</v>
      </c>
      <c r="L3008">
        <v>357</v>
      </c>
      <c r="M3008" t="s">
        <v>7093</v>
      </c>
      <c r="N3008" t="s">
        <v>30</v>
      </c>
      <c r="O3008" t="s">
        <v>31</v>
      </c>
      <c r="P3008" t="str">
        <f>"15201"</f>
        <v>15201</v>
      </c>
    </row>
    <row r="3009" spans="1:16" x14ac:dyDescent="0.25">
      <c r="A3009" t="str">
        <f>"1090049G00291    00"</f>
        <v>1090049G00291    00</v>
      </c>
      <c r="B3009" t="s">
        <v>7296</v>
      </c>
      <c r="C3009" t="s">
        <v>7297</v>
      </c>
      <c r="E3009" t="s">
        <v>39</v>
      </c>
      <c r="F3009">
        <v>0</v>
      </c>
      <c r="G3009">
        <v>0</v>
      </c>
      <c r="H3009">
        <v>1</v>
      </c>
      <c r="I3009" s="3">
        <v>2695.99</v>
      </c>
      <c r="J3009" s="3">
        <v>751.4</v>
      </c>
      <c r="K3009" t="s">
        <v>1427</v>
      </c>
      <c r="L3009">
        <v>3001</v>
      </c>
      <c r="M3009" t="s">
        <v>330</v>
      </c>
      <c r="N3009" t="s">
        <v>331</v>
      </c>
      <c r="O3009" t="s">
        <v>108</v>
      </c>
      <c r="P3009" t="str">
        <f>"75063"</f>
        <v>75063</v>
      </c>
    </row>
    <row r="3010" spans="1:16" x14ac:dyDescent="0.25">
      <c r="A3010" t="str">
        <f>"1090049G00299    00"</f>
        <v>1090049G00299    00</v>
      </c>
      <c r="B3010" t="s">
        <v>7298</v>
      </c>
      <c r="C3010" t="s">
        <v>7299</v>
      </c>
      <c r="D3010" t="s">
        <v>20</v>
      </c>
      <c r="E3010" t="s">
        <v>39</v>
      </c>
      <c r="F3010">
        <v>0</v>
      </c>
      <c r="G3010">
        <v>0</v>
      </c>
      <c r="H3010">
        <v>1</v>
      </c>
      <c r="I3010" s="3">
        <v>797.18</v>
      </c>
      <c r="J3010" s="3">
        <v>0</v>
      </c>
      <c r="L3010">
        <v>341</v>
      </c>
      <c r="M3010" t="s">
        <v>7093</v>
      </c>
      <c r="N3010" t="s">
        <v>30</v>
      </c>
      <c r="O3010" t="s">
        <v>31</v>
      </c>
      <c r="P3010" t="str">
        <f>"15201"</f>
        <v>15201</v>
      </c>
    </row>
    <row r="3011" spans="1:16" x14ac:dyDescent="0.25">
      <c r="A3011" t="str">
        <f>"1090049G00302    00"</f>
        <v>1090049G00302    00</v>
      </c>
      <c r="B3011" t="s">
        <v>7300</v>
      </c>
      <c r="C3011" t="s">
        <v>7301</v>
      </c>
      <c r="D3011" t="s">
        <v>20</v>
      </c>
      <c r="E3011" t="s">
        <v>39</v>
      </c>
      <c r="F3011">
        <v>0</v>
      </c>
      <c r="G3011">
        <v>0</v>
      </c>
      <c r="H3011">
        <v>6</v>
      </c>
      <c r="I3011" s="3">
        <v>8185.48</v>
      </c>
      <c r="J3011" s="3">
        <v>1646.99</v>
      </c>
      <c r="L3011">
        <v>335</v>
      </c>
      <c r="M3011" t="s">
        <v>7093</v>
      </c>
      <c r="N3011" t="s">
        <v>30</v>
      </c>
      <c r="O3011" t="s">
        <v>31</v>
      </c>
      <c r="P3011" t="str">
        <f>"15201"</f>
        <v>15201</v>
      </c>
    </row>
    <row r="3012" spans="1:16" x14ac:dyDescent="0.25">
      <c r="A3012" t="str">
        <f>"1090049G00304    00"</f>
        <v>1090049G00304    00</v>
      </c>
      <c r="B3012" t="s">
        <v>7302</v>
      </c>
      <c r="C3012" t="s">
        <v>7303</v>
      </c>
      <c r="D3012" t="s">
        <v>20</v>
      </c>
      <c r="E3012" t="s">
        <v>39</v>
      </c>
      <c r="F3012">
        <v>0</v>
      </c>
      <c r="G3012">
        <v>0</v>
      </c>
      <c r="H3012">
        <v>1</v>
      </c>
      <c r="I3012" s="3">
        <v>1642.97</v>
      </c>
      <c r="J3012" s="3">
        <v>0</v>
      </c>
      <c r="K3012" t="s">
        <v>1632</v>
      </c>
      <c r="M3012" t="s">
        <v>1633</v>
      </c>
      <c r="N3012" t="s">
        <v>1634</v>
      </c>
      <c r="O3012" t="s">
        <v>25</v>
      </c>
      <c r="P3012" t="str">
        <f>"45401"</f>
        <v>45401</v>
      </c>
    </row>
    <row r="3013" spans="1:16" x14ac:dyDescent="0.25">
      <c r="A3013" t="str">
        <f>"1090049G00320    00"</f>
        <v>1090049G00320    00</v>
      </c>
      <c r="B3013" t="s">
        <v>7304</v>
      </c>
      <c r="C3013" t="s">
        <v>7305</v>
      </c>
      <c r="D3013" t="s">
        <v>20</v>
      </c>
      <c r="E3013" t="s">
        <v>39</v>
      </c>
      <c r="F3013">
        <v>0</v>
      </c>
      <c r="G3013">
        <v>0</v>
      </c>
      <c r="H3013">
        <v>4</v>
      </c>
      <c r="I3013" s="3">
        <v>5659.61</v>
      </c>
      <c r="J3013" s="3">
        <v>689.3</v>
      </c>
      <c r="L3013">
        <v>336</v>
      </c>
      <c r="M3013" t="s">
        <v>7068</v>
      </c>
      <c r="N3013" t="s">
        <v>30</v>
      </c>
      <c r="O3013" t="s">
        <v>31</v>
      </c>
      <c r="P3013" t="str">
        <f>"15201"</f>
        <v>15201</v>
      </c>
    </row>
    <row r="3014" spans="1:16" x14ac:dyDescent="0.25">
      <c r="A3014" t="str">
        <f>"1090049G00321    00"</f>
        <v>1090049G00321    00</v>
      </c>
      <c r="B3014" t="s">
        <v>7306</v>
      </c>
      <c r="C3014" t="s">
        <v>7307</v>
      </c>
      <c r="E3014" t="s">
        <v>39</v>
      </c>
      <c r="F3014">
        <v>0</v>
      </c>
      <c r="G3014">
        <v>0</v>
      </c>
      <c r="H3014">
        <v>1</v>
      </c>
      <c r="I3014" s="3">
        <v>3014.74</v>
      </c>
      <c r="J3014" s="3">
        <v>954.62</v>
      </c>
      <c r="K3014" t="s">
        <v>7308</v>
      </c>
      <c r="L3014">
        <v>338</v>
      </c>
      <c r="M3014" t="s">
        <v>7068</v>
      </c>
      <c r="N3014" t="s">
        <v>30</v>
      </c>
      <c r="O3014" t="s">
        <v>31</v>
      </c>
      <c r="P3014" t="str">
        <f>"15201"</f>
        <v>15201</v>
      </c>
    </row>
    <row r="3015" spans="1:16" x14ac:dyDescent="0.25">
      <c r="A3015" t="str">
        <f>"1090049G00328    00"</f>
        <v>1090049G00328    00</v>
      </c>
      <c r="B3015" t="s">
        <v>7309</v>
      </c>
      <c r="C3015" t="s">
        <v>7310</v>
      </c>
      <c r="E3015" t="s">
        <v>39</v>
      </c>
      <c r="F3015">
        <v>0</v>
      </c>
      <c r="G3015">
        <v>0</v>
      </c>
      <c r="H3015">
        <v>1</v>
      </c>
      <c r="I3015" s="3">
        <v>2453.85</v>
      </c>
      <c r="J3015" s="3">
        <v>0</v>
      </c>
      <c r="K3015" t="s">
        <v>1632</v>
      </c>
      <c r="M3015" t="s">
        <v>1633</v>
      </c>
      <c r="N3015" t="s">
        <v>1634</v>
      </c>
      <c r="O3015" t="s">
        <v>25</v>
      </c>
      <c r="P3015" t="str">
        <f>"45401"</f>
        <v>45401</v>
      </c>
    </row>
    <row r="3016" spans="1:16" x14ac:dyDescent="0.25">
      <c r="A3016" t="str">
        <f>"1090049K00151    00"</f>
        <v>1090049K00151    00</v>
      </c>
      <c r="B3016" t="s">
        <v>7311</v>
      </c>
      <c r="C3016" t="s">
        <v>7312</v>
      </c>
      <c r="E3016" t="s">
        <v>39</v>
      </c>
      <c r="F3016">
        <v>0</v>
      </c>
      <c r="G3016">
        <v>0</v>
      </c>
      <c r="H3016">
        <v>3</v>
      </c>
      <c r="I3016" s="3">
        <v>12709.2</v>
      </c>
      <c r="J3016" s="3">
        <v>139</v>
      </c>
      <c r="L3016">
        <v>112</v>
      </c>
      <c r="M3016" t="s">
        <v>6819</v>
      </c>
      <c r="N3016" t="s">
        <v>139</v>
      </c>
      <c r="O3016" t="s">
        <v>31</v>
      </c>
      <c r="P3016" t="str">
        <f>"15090"</f>
        <v>15090</v>
      </c>
    </row>
    <row r="3017" spans="1:16" x14ac:dyDescent="0.25">
      <c r="A3017" t="str">
        <f>"1090049K00153    00"</f>
        <v>1090049K00153    00</v>
      </c>
      <c r="B3017" t="s">
        <v>7313</v>
      </c>
      <c r="C3017" t="s">
        <v>7314</v>
      </c>
      <c r="D3017" t="s">
        <v>57</v>
      </c>
      <c r="E3017" t="s">
        <v>39</v>
      </c>
      <c r="F3017">
        <v>0</v>
      </c>
      <c r="G3017">
        <v>0</v>
      </c>
      <c r="H3017">
        <v>1</v>
      </c>
      <c r="I3017" s="3">
        <v>118.91</v>
      </c>
      <c r="J3017" s="3">
        <v>0</v>
      </c>
      <c r="L3017">
        <v>291</v>
      </c>
      <c r="M3017" t="s">
        <v>7315</v>
      </c>
      <c r="N3017" t="s">
        <v>30</v>
      </c>
      <c r="O3017" t="s">
        <v>31</v>
      </c>
      <c r="P3017" t="str">
        <f>"15201"</f>
        <v>15201</v>
      </c>
    </row>
    <row r="3018" spans="1:16" x14ac:dyDescent="0.25">
      <c r="A3018" t="str">
        <f>"1090049K00225    00"</f>
        <v>1090049K00225    00</v>
      </c>
      <c r="B3018" t="s">
        <v>7316</v>
      </c>
      <c r="C3018" t="s">
        <v>7317</v>
      </c>
      <c r="E3018" t="s">
        <v>39</v>
      </c>
      <c r="F3018">
        <v>0</v>
      </c>
      <c r="G3018">
        <v>0</v>
      </c>
      <c r="H3018">
        <v>1</v>
      </c>
      <c r="I3018" s="3">
        <v>3872.25</v>
      </c>
      <c r="J3018" s="3">
        <v>1074.8599999999999</v>
      </c>
      <c r="K3018" t="s">
        <v>881</v>
      </c>
      <c r="L3018">
        <v>3001</v>
      </c>
      <c r="M3018" t="s">
        <v>330</v>
      </c>
      <c r="N3018" t="s">
        <v>331</v>
      </c>
      <c r="O3018" t="s">
        <v>108</v>
      </c>
      <c r="P3018" t="str">
        <f>"75063"</f>
        <v>75063</v>
      </c>
    </row>
    <row r="3019" spans="1:16" x14ac:dyDescent="0.25">
      <c r="A3019" t="str">
        <f>"1090049L00007    00"</f>
        <v>1090049L00007    00</v>
      </c>
      <c r="B3019" t="s">
        <v>7318</v>
      </c>
      <c r="C3019" t="s">
        <v>7319</v>
      </c>
      <c r="E3019" t="s">
        <v>39</v>
      </c>
      <c r="F3019">
        <v>0</v>
      </c>
      <c r="G3019">
        <v>0</v>
      </c>
      <c r="H3019">
        <v>1</v>
      </c>
      <c r="I3019" s="3">
        <v>1611.9</v>
      </c>
      <c r="J3019" s="3">
        <v>53.73</v>
      </c>
      <c r="K3019" t="s">
        <v>7320</v>
      </c>
      <c r="L3019">
        <v>339</v>
      </c>
      <c r="M3019" t="s">
        <v>7199</v>
      </c>
      <c r="N3019" t="s">
        <v>30</v>
      </c>
      <c r="O3019" t="s">
        <v>31</v>
      </c>
      <c r="P3019" t="str">
        <f>"15201"</f>
        <v>15201</v>
      </c>
    </row>
    <row r="3020" spans="1:16" x14ac:dyDescent="0.25">
      <c r="A3020" t="str">
        <f>"1090049L00012    00"</f>
        <v>1090049L00012    00</v>
      </c>
      <c r="B3020" t="s">
        <v>7321</v>
      </c>
      <c r="C3020" t="s">
        <v>7322</v>
      </c>
      <c r="D3020" t="s">
        <v>20</v>
      </c>
      <c r="E3020" t="s">
        <v>39</v>
      </c>
      <c r="F3020">
        <v>0</v>
      </c>
      <c r="G3020">
        <v>0</v>
      </c>
      <c r="H3020">
        <v>1</v>
      </c>
      <c r="I3020" s="3">
        <v>2077.35</v>
      </c>
      <c r="J3020" s="3">
        <v>0</v>
      </c>
      <c r="K3020" t="s">
        <v>1427</v>
      </c>
      <c r="L3020">
        <v>3001</v>
      </c>
      <c r="M3020" t="s">
        <v>330</v>
      </c>
      <c r="N3020" t="s">
        <v>331</v>
      </c>
      <c r="O3020" t="s">
        <v>108</v>
      </c>
      <c r="P3020" t="str">
        <f>"75063"</f>
        <v>75063</v>
      </c>
    </row>
    <row r="3021" spans="1:16" x14ac:dyDescent="0.25">
      <c r="A3021" t="str">
        <f>"1090049L00017    00"</f>
        <v>1090049L00017    00</v>
      </c>
      <c r="B3021" t="s">
        <v>7323</v>
      </c>
      <c r="C3021" t="s">
        <v>7324</v>
      </c>
      <c r="E3021" t="s">
        <v>39</v>
      </c>
      <c r="F3021">
        <v>0</v>
      </c>
      <c r="G3021">
        <v>0</v>
      </c>
      <c r="H3021">
        <v>2</v>
      </c>
      <c r="I3021" s="3">
        <v>6736.19</v>
      </c>
      <c r="J3021" s="3">
        <v>460.65</v>
      </c>
      <c r="K3021" t="s">
        <v>7325</v>
      </c>
      <c r="L3021">
        <v>385</v>
      </c>
      <c r="M3021" t="s">
        <v>7199</v>
      </c>
      <c r="N3021" t="s">
        <v>30</v>
      </c>
      <c r="O3021" t="s">
        <v>31</v>
      </c>
      <c r="P3021" t="str">
        <f>"15201"</f>
        <v>15201</v>
      </c>
    </row>
    <row r="3022" spans="1:16" x14ac:dyDescent="0.25">
      <c r="A3022" t="str">
        <f>"1090049L00051000100"</f>
        <v>1090049L00051000100</v>
      </c>
      <c r="B3022" t="s">
        <v>7326</v>
      </c>
      <c r="C3022" t="s">
        <v>7327</v>
      </c>
      <c r="D3022" t="s">
        <v>20</v>
      </c>
      <c r="E3022" t="s">
        <v>39</v>
      </c>
      <c r="F3022">
        <v>0</v>
      </c>
      <c r="G3022">
        <v>0</v>
      </c>
      <c r="H3022">
        <v>1</v>
      </c>
      <c r="I3022" s="3">
        <v>1585.81</v>
      </c>
      <c r="J3022" s="3">
        <v>0</v>
      </c>
      <c r="K3022" t="s">
        <v>7328</v>
      </c>
      <c r="L3022">
        <v>700</v>
      </c>
      <c r="M3022" t="s">
        <v>7329</v>
      </c>
      <c r="N3022" t="s">
        <v>7330</v>
      </c>
      <c r="O3022" t="s">
        <v>180</v>
      </c>
      <c r="P3022" t="str">
        <f>"80203"</f>
        <v>80203</v>
      </c>
    </row>
    <row r="3023" spans="1:16" x14ac:dyDescent="0.25">
      <c r="A3023" t="str">
        <f>"1090049L00067    00"</f>
        <v>1090049L00067    00</v>
      </c>
      <c r="B3023" t="s">
        <v>7331</v>
      </c>
      <c r="C3023" t="s">
        <v>7332</v>
      </c>
      <c r="E3023" t="s">
        <v>39</v>
      </c>
      <c r="F3023">
        <v>0</v>
      </c>
      <c r="G3023">
        <v>0</v>
      </c>
      <c r="H3023">
        <v>2</v>
      </c>
      <c r="I3023" s="3">
        <v>72.849999999999994</v>
      </c>
      <c r="J3023" s="3">
        <v>4.9800000000000004</v>
      </c>
      <c r="L3023">
        <v>370</v>
      </c>
      <c r="M3023" t="s">
        <v>1451</v>
      </c>
      <c r="N3023" t="s">
        <v>30</v>
      </c>
      <c r="O3023" t="s">
        <v>31</v>
      </c>
      <c r="P3023" t="str">
        <f>"15201"</f>
        <v>15201</v>
      </c>
    </row>
    <row r="3024" spans="1:16" x14ac:dyDescent="0.25">
      <c r="A3024" t="str">
        <f>"1090049L00078    00"</f>
        <v>1090049L00078    00</v>
      </c>
      <c r="B3024" t="s">
        <v>7333</v>
      </c>
      <c r="C3024" t="s">
        <v>7334</v>
      </c>
      <c r="D3024" t="s">
        <v>20</v>
      </c>
      <c r="E3024" t="s">
        <v>39</v>
      </c>
      <c r="F3024">
        <v>0</v>
      </c>
      <c r="G3024">
        <v>0</v>
      </c>
      <c r="H3024">
        <v>3</v>
      </c>
      <c r="I3024" s="3">
        <v>8233.92</v>
      </c>
      <c r="J3024" s="3">
        <v>182.97</v>
      </c>
      <c r="K3024" t="s">
        <v>756</v>
      </c>
      <c r="L3024">
        <v>3001</v>
      </c>
      <c r="M3024" t="s">
        <v>330</v>
      </c>
      <c r="N3024" t="s">
        <v>331</v>
      </c>
      <c r="O3024" t="s">
        <v>108</v>
      </c>
      <c r="P3024" t="str">
        <f>"75063"</f>
        <v>75063</v>
      </c>
    </row>
    <row r="3025" spans="1:16" x14ac:dyDescent="0.25">
      <c r="A3025" t="str">
        <f>"1090049L00087    00"</f>
        <v>1090049L00087    00</v>
      </c>
      <c r="B3025" t="s">
        <v>7335</v>
      </c>
      <c r="C3025" t="s">
        <v>7336</v>
      </c>
      <c r="D3025" t="s">
        <v>20</v>
      </c>
      <c r="E3025" t="s">
        <v>39</v>
      </c>
      <c r="F3025">
        <v>0</v>
      </c>
      <c r="G3025">
        <v>0</v>
      </c>
      <c r="H3025">
        <v>1</v>
      </c>
      <c r="I3025" s="3">
        <v>2759.89</v>
      </c>
      <c r="J3025" s="3">
        <v>0</v>
      </c>
      <c r="K3025" t="s">
        <v>1427</v>
      </c>
      <c r="L3025">
        <v>3001</v>
      </c>
      <c r="M3025" t="s">
        <v>330</v>
      </c>
      <c r="N3025" t="s">
        <v>331</v>
      </c>
      <c r="O3025" t="s">
        <v>108</v>
      </c>
      <c r="P3025" t="str">
        <f>"75063"</f>
        <v>75063</v>
      </c>
    </row>
    <row r="3026" spans="1:16" x14ac:dyDescent="0.25">
      <c r="A3026" t="str">
        <f>"1090049L00096    00"</f>
        <v>1090049L00096    00</v>
      </c>
      <c r="B3026" t="s">
        <v>7337</v>
      </c>
      <c r="C3026" t="s">
        <v>7338</v>
      </c>
      <c r="E3026" t="s">
        <v>39</v>
      </c>
      <c r="F3026">
        <v>0</v>
      </c>
      <c r="G3026">
        <v>0</v>
      </c>
      <c r="H3026">
        <v>2</v>
      </c>
      <c r="I3026" s="3">
        <v>4966.43</v>
      </c>
      <c r="J3026" s="3">
        <v>339.63</v>
      </c>
      <c r="K3026" t="s">
        <v>7339</v>
      </c>
      <c r="L3026">
        <v>308</v>
      </c>
      <c r="M3026" t="s">
        <v>1451</v>
      </c>
      <c r="N3026" t="s">
        <v>30</v>
      </c>
      <c r="O3026" t="s">
        <v>31</v>
      </c>
      <c r="P3026" t="str">
        <f>"15201"</f>
        <v>15201</v>
      </c>
    </row>
    <row r="3027" spans="1:16" x14ac:dyDescent="0.25">
      <c r="A3027" t="str">
        <f>"1090049L00121    00"</f>
        <v>1090049L00121    00</v>
      </c>
      <c r="B3027" t="s">
        <v>7340</v>
      </c>
      <c r="C3027" t="s">
        <v>7341</v>
      </c>
      <c r="D3027" t="s">
        <v>20</v>
      </c>
      <c r="E3027" t="s">
        <v>39</v>
      </c>
      <c r="F3027">
        <v>0</v>
      </c>
      <c r="G3027">
        <v>0</v>
      </c>
      <c r="H3027">
        <v>2</v>
      </c>
      <c r="I3027" s="3">
        <v>1753.89</v>
      </c>
      <c r="J3027" s="3">
        <v>12.1</v>
      </c>
      <c r="L3027">
        <v>3546</v>
      </c>
      <c r="M3027" t="s">
        <v>7342</v>
      </c>
      <c r="N3027" t="s">
        <v>195</v>
      </c>
      <c r="O3027" t="s">
        <v>31</v>
      </c>
      <c r="P3027" t="str">
        <f>"15101"</f>
        <v>15101</v>
      </c>
    </row>
    <row r="3028" spans="1:16" x14ac:dyDescent="0.25">
      <c r="A3028" t="str">
        <f>"1090049L00146    00"</f>
        <v>1090049L00146    00</v>
      </c>
      <c r="B3028" t="s">
        <v>7343</v>
      </c>
      <c r="C3028" t="s">
        <v>7344</v>
      </c>
      <c r="D3028" t="s">
        <v>20</v>
      </c>
      <c r="E3028" t="s">
        <v>39</v>
      </c>
      <c r="F3028">
        <v>0</v>
      </c>
      <c r="G3028">
        <v>0</v>
      </c>
      <c r="H3028">
        <v>1</v>
      </c>
      <c r="I3028" s="3">
        <v>764.76</v>
      </c>
      <c r="J3028" s="3">
        <v>0</v>
      </c>
      <c r="K3028" t="s">
        <v>7345</v>
      </c>
      <c r="L3028">
        <v>351</v>
      </c>
      <c r="M3028" t="s">
        <v>1451</v>
      </c>
      <c r="N3028" t="s">
        <v>30</v>
      </c>
      <c r="O3028" t="s">
        <v>31</v>
      </c>
      <c r="P3028" t="str">
        <f>"15201"</f>
        <v>15201</v>
      </c>
    </row>
    <row r="3029" spans="1:16" x14ac:dyDescent="0.25">
      <c r="A3029" t="str">
        <f>"1090049L00148    00"</f>
        <v>1090049L00148    00</v>
      </c>
      <c r="B3029" t="s">
        <v>7346</v>
      </c>
      <c r="C3029" t="s">
        <v>7347</v>
      </c>
      <c r="D3029" t="s">
        <v>20</v>
      </c>
      <c r="E3029" t="s">
        <v>39</v>
      </c>
      <c r="F3029">
        <v>0</v>
      </c>
      <c r="G3029">
        <v>0</v>
      </c>
      <c r="H3029">
        <v>2</v>
      </c>
      <c r="I3029" s="3">
        <v>1715.4</v>
      </c>
      <c r="J3029" s="3">
        <v>0</v>
      </c>
      <c r="L3029">
        <v>355</v>
      </c>
      <c r="M3029" t="s">
        <v>1451</v>
      </c>
      <c r="N3029" t="s">
        <v>30</v>
      </c>
      <c r="O3029" t="s">
        <v>31</v>
      </c>
      <c r="P3029" t="str">
        <f>"15201"</f>
        <v>15201</v>
      </c>
    </row>
    <row r="3030" spans="1:16" x14ac:dyDescent="0.25">
      <c r="A3030" t="str">
        <f>"1090049L00152    00"</f>
        <v>1090049L00152    00</v>
      </c>
      <c r="B3030" t="s">
        <v>7348</v>
      </c>
      <c r="C3030" t="s">
        <v>7349</v>
      </c>
      <c r="D3030" t="s">
        <v>20</v>
      </c>
      <c r="E3030" t="s">
        <v>39</v>
      </c>
      <c r="F3030">
        <v>0</v>
      </c>
      <c r="G3030">
        <v>0</v>
      </c>
      <c r="H3030">
        <v>1</v>
      </c>
      <c r="I3030" s="3">
        <v>3049.6</v>
      </c>
      <c r="J3030" s="3">
        <v>0</v>
      </c>
      <c r="K3030" t="s">
        <v>7350</v>
      </c>
      <c r="L3030">
        <v>3001</v>
      </c>
      <c r="M3030" t="s">
        <v>330</v>
      </c>
      <c r="N3030" t="s">
        <v>331</v>
      </c>
      <c r="O3030" t="s">
        <v>108</v>
      </c>
      <c r="P3030" t="str">
        <f>"75063"</f>
        <v>75063</v>
      </c>
    </row>
    <row r="3031" spans="1:16" x14ac:dyDescent="0.25">
      <c r="A3031" t="str">
        <f>"1090049L00155    00"</f>
        <v>1090049L00155    00</v>
      </c>
      <c r="B3031" t="s">
        <v>7351</v>
      </c>
      <c r="C3031" t="s">
        <v>7352</v>
      </c>
      <c r="D3031" t="s">
        <v>20</v>
      </c>
      <c r="E3031" t="s">
        <v>39</v>
      </c>
      <c r="F3031">
        <v>0</v>
      </c>
      <c r="G3031">
        <v>0</v>
      </c>
      <c r="H3031">
        <v>2</v>
      </c>
      <c r="I3031" s="3">
        <v>1217.01</v>
      </c>
      <c r="J3031" s="3">
        <v>0</v>
      </c>
      <c r="K3031" t="s">
        <v>7353</v>
      </c>
      <c r="L3031">
        <v>309</v>
      </c>
      <c r="M3031" t="s">
        <v>1451</v>
      </c>
      <c r="N3031" t="s">
        <v>30</v>
      </c>
      <c r="O3031" t="s">
        <v>31</v>
      </c>
      <c r="P3031" t="str">
        <f>"15201"</f>
        <v>15201</v>
      </c>
    </row>
    <row r="3032" spans="1:16" x14ac:dyDescent="0.25">
      <c r="A3032" t="str">
        <f>"1090049L00182    00"</f>
        <v>1090049L00182    00</v>
      </c>
      <c r="B3032" t="s">
        <v>7354</v>
      </c>
      <c r="C3032" t="s">
        <v>7355</v>
      </c>
      <c r="D3032" t="s">
        <v>20</v>
      </c>
      <c r="E3032" t="s">
        <v>39</v>
      </c>
      <c r="F3032">
        <v>0</v>
      </c>
      <c r="G3032">
        <v>0</v>
      </c>
      <c r="H3032">
        <v>3</v>
      </c>
      <c r="I3032" s="3">
        <v>2249.38</v>
      </c>
      <c r="J3032" s="3">
        <v>193.7</v>
      </c>
      <c r="L3032">
        <v>306</v>
      </c>
      <c r="M3032" t="s">
        <v>7177</v>
      </c>
      <c r="N3032" t="s">
        <v>30</v>
      </c>
      <c r="O3032" t="s">
        <v>31</v>
      </c>
      <c r="P3032" t="str">
        <f>"15201"</f>
        <v>15201</v>
      </c>
    </row>
    <row r="3033" spans="1:16" x14ac:dyDescent="0.25">
      <c r="A3033" t="str">
        <f>"1090049L00186    00"</f>
        <v>1090049L00186    00</v>
      </c>
      <c r="B3033" t="s">
        <v>7356</v>
      </c>
      <c r="C3033" t="s">
        <v>7357</v>
      </c>
      <c r="D3033" t="s">
        <v>20</v>
      </c>
      <c r="E3033" t="s">
        <v>39</v>
      </c>
      <c r="F3033">
        <v>0</v>
      </c>
      <c r="G3033">
        <v>0</v>
      </c>
      <c r="H3033">
        <v>2</v>
      </c>
      <c r="I3033" s="3">
        <v>5981.04</v>
      </c>
      <c r="J3033" s="3">
        <v>0</v>
      </c>
      <c r="K3033" t="s">
        <v>4992</v>
      </c>
      <c r="L3033">
        <v>18111</v>
      </c>
      <c r="M3033" t="s">
        <v>4993</v>
      </c>
      <c r="N3033" t="s">
        <v>107</v>
      </c>
      <c r="O3033" t="s">
        <v>108</v>
      </c>
      <c r="P3033" t="str">
        <f>"75252"</f>
        <v>75252</v>
      </c>
    </row>
    <row r="3034" spans="1:16" x14ac:dyDescent="0.25">
      <c r="A3034" t="str">
        <f>"1090049L00190    00"</f>
        <v>1090049L00190    00</v>
      </c>
      <c r="B3034" t="s">
        <v>7358</v>
      </c>
      <c r="C3034" t="s">
        <v>7359</v>
      </c>
      <c r="D3034" t="s">
        <v>20</v>
      </c>
      <c r="E3034" t="s">
        <v>39</v>
      </c>
      <c r="F3034">
        <v>0</v>
      </c>
      <c r="G3034">
        <v>0</v>
      </c>
      <c r="H3034">
        <v>1</v>
      </c>
      <c r="I3034" s="3">
        <v>1339.92</v>
      </c>
      <c r="J3034" s="3">
        <v>0</v>
      </c>
      <c r="K3034" t="s">
        <v>7360</v>
      </c>
      <c r="L3034">
        <v>4208</v>
      </c>
      <c r="M3034" t="s">
        <v>7130</v>
      </c>
      <c r="N3034" t="s">
        <v>30</v>
      </c>
      <c r="O3034" t="s">
        <v>31</v>
      </c>
      <c r="P3034" t="str">
        <f>"15201"</f>
        <v>15201</v>
      </c>
    </row>
    <row r="3035" spans="1:16" x14ac:dyDescent="0.25">
      <c r="A3035" t="str">
        <f>"1090049L00220    00"</f>
        <v>1090049L00220    00</v>
      </c>
      <c r="B3035" t="s">
        <v>7361</v>
      </c>
      <c r="C3035" t="s">
        <v>7362</v>
      </c>
      <c r="D3035" t="s">
        <v>20</v>
      </c>
      <c r="E3035" t="s">
        <v>39</v>
      </c>
      <c r="F3035">
        <v>0</v>
      </c>
      <c r="G3035">
        <v>0</v>
      </c>
      <c r="H3035">
        <v>3</v>
      </c>
      <c r="I3035" s="3">
        <v>1173.26</v>
      </c>
      <c r="J3035" s="3">
        <v>0.4</v>
      </c>
      <c r="L3035">
        <v>4205</v>
      </c>
      <c r="M3035" t="s">
        <v>7363</v>
      </c>
      <c r="N3035" t="s">
        <v>30</v>
      </c>
      <c r="O3035" t="s">
        <v>31</v>
      </c>
      <c r="P3035" t="str">
        <f>"15201"</f>
        <v>15201</v>
      </c>
    </row>
    <row r="3036" spans="1:16" x14ac:dyDescent="0.25">
      <c r="A3036" t="str">
        <f>"1090049L00225    00"</f>
        <v>1090049L00225    00</v>
      </c>
      <c r="B3036" t="s">
        <v>7364</v>
      </c>
      <c r="C3036" t="s">
        <v>7365</v>
      </c>
      <c r="D3036" t="s">
        <v>20</v>
      </c>
      <c r="E3036" t="s">
        <v>39</v>
      </c>
      <c r="F3036">
        <v>0</v>
      </c>
      <c r="G3036">
        <v>0</v>
      </c>
      <c r="H3036">
        <v>2</v>
      </c>
      <c r="I3036" s="3">
        <v>2378.6799999999998</v>
      </c>
      <c r="J3036" s="3">
        <v>0</v>
      </c>
      <c r="L3036">
        <v>61</v>
      </c>
      <c r="M3036" t="s">
        <v>7366</v>
      </c>
      <c r="N3036" t="s">
        <v>526</v>
      </c>
      <c r="O3036" t="s">
        <v>31</v>
      </c>
      <c r="P3036" t="str">
        <f>"15301"</f>
        <v>15301</v>
      </c>
    </row>
    <row r="3037" spans="1:16" x14ac:dyDescent="0.25">
      <c r="A3037" t="str">
        <f>"1090049L00252    00"</f>
        <v>1090049L00252    00</v>
      </c>
      <c r="B3037" t="s">
        <v>7367</v>
      </c>
      <c r="C3037" t="s">
        <v>7368</v>
      </c>
      <c r="D3037" t="s">
        <v>20</v>
      </c>
      <c r="E3037" t="s">
        <v>39</v>
      </c>
      <c r="F3037">
        <v>0</v>
      </c>
      <c r="G3037">
        <v>0</v>
      </c>
      <c r="H3037">
        <v>4</v>
      </c>
      <c r="I3037" s="3">
        <v>3099.82</v>
      </c>
      <c r="J3037" s="3">
        <v>396.56</v>
      </c>
      <c r="L3037">
        <v>4212</v>
      </c>
      <c r="M3037" t="s">
        <v>7363</v>
      </c>
      <c r="N3037" t="s">
        <v>30</v>
      </c>
      <c r="O3037" t="s">
        <v>31</v>
      </c>
      <c r="P3037" t="str">
        <f>"15201"</f>
        <v>15201</v>
      </c>
    </row>
    <row r="3038" spans="1:16" x14ac:dyDescent="0.25">
      <c r="A3038" t="str">
        <f>"1090049L00259    00"</f>
        <v>1090049L00259    00</v>
      </c>
      <c r="B3038" t="s">
        <v>7369</v>
      </c>
      <c r="C3038" t="s">
        <v>7370</v>
      </c>
      <c r="E3038" t="s">
        <v>39</v>
      </c>
      <c r="F3038">
        <v>0</v>
      </c>
      <c r="G3038">
        <v>0</v>
      </c>
      <c r="H3038">
        <v>2</v>
      </c>
      <c r="I3038" s="3">
        <v>3974.44</v>
      </c>
      <c r="J3038" s="3">
        <v>258.44</v>
      </c>
      <c r="K3038" t="s">
        <v>403</v>
      </c>
      <c r="L3038">
        <v>3001</v>
      </c>
      <c r="M3038" t="s">
        <v>404</v>
      </c>
      <c r="N3038" t="s">
        <v>331</v>
      </c>
      <c r="O3038" t="s">
        <v>108</v>
      </c>
      <c r="P3038" t="str">
        <f>"75063"</f>
        <v>75063</v>
      </c>
    </row>
    <row r="3039" spans="1:16" x14ac:dyDescent="0.25">
      <c r="A3039" t="str">
        <f>"1090049L00277    00"</f>
        <v>1090049L00277    00</v>
      </c>
      <c r="B3039" t="s">
        <v>7371</v>
      </c>
      <c r="C3039" t="s">
        <v>7372</v>
      </c>
      <c r="E3039" t="s">
        <v>39</v>
      </c>
      <c r="F3039">
        <v>0</v>
      </c>
      <c r="G3039">
        <v>0</v>
      </c>
      <c r="H3039">
        <v>1</v>
      </c>
      <c r="I3039" s="3">
        <v>1168.8599999999999</v>
      </c>
      <c r="J3039" s="3">
        <v>584.41</v>
      </c>
      <c r="K3039" t="s">
        <v>7373</v>
      </c>
      <c r="L3039">
        <v>201</v>
      </c>
      <c r="M3039" t="s">
        <v>7374</v>
      </c>
      <c r="N3039" t="s">
        <v>4150</v>
      </c>
      <c r="O3039" t="s">
        <v>31</v>
      </c>
      <c r="P3039" t="str">
        <f>"15116"</f>
        <v>15116</v>
      </c>
    </row>
    <row r="3040" spans="1:16" x14ac:dyDescent="0.25">
      <c r="A3040" t="str">
        <f>"1090049L00282    00"</f>
        <v>1090049L00282    00</v>
      </c>
      <c r="B3040" t="s">
        <v>7375</v>
      </c>
      <c r="C3040" t="s">
        <v>7376</v>
      </c>
      <c r="D3040" t="s">
        <v>20</v>
      </c>
      <c r="E3040" t="s">
        <v>39</v>
      </c>
      <c r="F3040">
        <v>0</v>
      </c>
      <c r="G3040">
        <v>0</v>
      </c>
      <c r="H3040">
        <v>2</v>
      </c>
      <c r="I3040" s="3">
        <v>3003.9</v>
      </c>
      <c r="J3040" s="3">
        <v>0</v>
      </c>
      <c r="K3040" t="s">
        <v>7377</v>
      </c>
      <c r="L3040">
        <v>800</v>
      </c>
      <c r="M3040" t="s">
        <v>7378</v>
      </c>
      <c r="N3040" t="s">
        <v>7293</v>
      </c>
      <c r="O3040" t="s">
        <v>200</v>
      </c>
      <c r="P3040" t="str">
        <f>"10573"</f>
        <v>10573</v>
      </c>
    </row>
    <row r="3041" spans="1:16" x14ac:dyDescent="0.25">
      <c r="A3041" t="str">
        <f>"1090049L00305    00"</f>
        <v>1090049L00305    00</v>
      </c>
      <c r="B3041" t="s">
        <v>7379</v>
      </c>
      <c r="C3041" t="s">
        <v>7380</v>
      </c>
      <c r="D3041" t="s">
        <v>20</v>
      </c>
      <c r="E3041" t="s">
        <v>21</v>
      </c>
      <c r="F3041">
        <v>0</v>
      </c>
      <c r="G3041">
        <v>0</v>
      </c>
      <c r="H3041">
        <v>1</v>
      </c>
      <c r="I3041" s="3">
        <v>310.73</v>
      </c>
      <c r="J3041" s="3">
        <v>0</v>
      </c>
      <c r="L3041">
        <v>125</v>
      </c>
      <c r="M3041" t="s">
        <v>7381</v>
      </c>
      <c r="N3041" t="s">
        <v>7382</v>
      </c>
      <c r="O3041" t="s">
        <v>31</v>
      </c>
      <c r="P3041" t="str">
        <f>"15086"</f>
        <v>15086</v>
      </c>
    </row>
    <row r="3042" spans="1:16" x14ac:dyDescent="0.25">
      <c r="A3042" t="str">
        <f>"1090049L00325    00"</f>
        <v>1090049L00325    00</v>
      </c>
      <c r="B3042" t="s">
        <v>7383</v>
      </c>
      <c r="C3042" t="s">
        <v>7384</v>
      </c>
      <c r="E3042" t="s">
        <v>21</v>
      </c>
      <c r="F3042">
        <v>0</v>
      </c>
      <c r="G3042">
        <v>0</v>
      </c>
      <c r="H3042">
        <v>1</v>
      </c>
      <c r="I3042" s="3">
        <v>9310.82</v>
      </c>
      <c r="J3042" s="3">
        <v>0</v>
      </c>
      <c r="K3042" t="s">
        <v>2001</v>
      </c>
      <c r="L3042">
        <v>290</v>
      </c>
      <c r="M3042" t="s">
        <v>2002</v>
      </c>
      <c r="N3042" t="s">
        <v>30</v>
      </c>
      <c r="O3042" t="s">
        <v>31</v>
      </c>
      <c r="P3042" t="str">
        <f>"15205"</f>
        <v>15205</v>
      </c>
    </row>
    <row r="3043" spans="1:16" x14ac:dyDescent="0.25">
      <c r="A3043" t="str">
        <f>"1090049L00332    00"</f>
        <v>1090049L00332    00</v>
      </c>
      <c r="B3043" t="s">
        <v>7385</v>
      </c>
      <c r="C3043" t="s">
        <v>7386</v>
      </c>
      <c r="E3043" t="s">
        <v>39</v>
      </c>
      <c r="F3043">
        <v>0</v>
      </c>
      <c r="G3043">
        <v>0</v>
      </c>
      <c r="H3043">
        <v>1</v>
      </c>
      <c r="I3043" s="3">
        <v>47.66</v>
      </c>
      <c r="J3043" s="3">
        <v>47.26</v>
      </c>
      <c r="L3043">
        <v>603</v>
      </c>
      <c r="M3043" t="s">
        <v>7387</v>
      </c>
      <c r="N3043" t="s">
        <v>30</v>
      </c>
      <c r="O3043" t="s">
        <v>31</v>
      </c>
      <c r="P3043" t="str">
        <f>"15222"</f>
        <v>15222</v>
      </c>
    </row>
    <row r="3044" spans="1:16" x14ac:dyDescent="0.25">
      <c r="A3044" t="str">
        <f>"1090049L00364    00"</f>
        <v>1090049L00364    00</v>
      </c>
      <c r="B3044" t="s">
        <v>7388</v>
      </c>
      <c r="C3044" t="s">
        <v>7389</v>
      </c>
      <c r="D3044" t="s">
        <v>20</v>
      </c>
      <c r="E3044" t="s">
        <v>39</v>
      </c>
      <c r="F3044">
        <v>0</v>
      </c>
      <c r="G3044">
        <v>0</v>
      </c>
      <c r="H3044">
        <v>1</v>
      </c>
      <c r="I3044" s="3">
        <v>1246.52</v>
      </c>
      <c r="J3044" s="3">
        <v>0</v>
      </c>
      <c r="M3044" t="s">
        <v>7390</v>
      </c>
      <c r="N3044" t="s">
        <v>30</v>
      </c>
      <c r="O3044" t="s">
        <v>31</v>
      </c>
      <c r="P3044" t="str">
        <f>"15232"</f>
        <v>15232</v>
      </c>
    </row>
    <row r="3045" spans="1:16" x14ac:dyDescent="0.25">
      <c r="A3045" t="str">
        <f>"1090049L00365    00"</f>
        <v>1090049L00365    00</v>
      </c>
      <c r="B3045" t="s">
        <v>2718</v>
      </c>
      <c r="C3045" t="s">
        <v>7391</v>
      </c>
      <c r="E3045" t="s">
        <v>39</v>
      </c>
      <c r="F3045">
        <v>0</v>
      </c>
      <c r="G3045">
        <v>0</v>
      </c>
      <c r="H3045">
        <v>1</v>
      </c>
      <c r="I3045" s="3">
        <v>1041.4000000000001</v>
      </c>
      <c r="J3045" s="3">
        <v>0</v>
      </c>
      <c r="K3045" t="s">
        <v>6314</v>
      </c>
      <c r="L3045">
        <v>5915</v>
      </c>
      <c r="M3045" t="s">
        <v>2720</v>
      </c>
      <c r="N3045" t="s">
        <v>30</v>
      </c>
      <c r="O3045" t="s">
        <v>31</v>
      </c>
      <c r="P3045" t="str">
        <f>"15206"</f>
        <v>15206</v>
      </c>
    </row>
    <row r="3046" spans="1:16" x14ac:dyDescent="0.25">
      <c r="A3046" t="str">
        <f>"1090049L00379    00"</f>
        <v>1090049L00379    00</v>
      </c>
      <c r="B3046" t="s">
        <v>7392</v>
      </c>
      <c r="C3046" t="s">
        <v>7393</v>
      </c>
      <c r="D3046" t="s">
        <v>20</v>
      </c>
      <c r="E3046" t="s">
        <v>21</v>
      </c>
      <c r="F3046">
        <v>0</v>
      </c>
      <c r="G3046">
        <v>0</v>
      </c>
      <c r="H3046">
        <v>2</v>
      </c>
      <c r="I3046" s="3">
        <v>1341.8</v>
      </c>
      <c r="J3046" s="3">
        <v>0</v>
      </c>
      <c r="K3046" t="s">
        <v>7394</v>
      </c>
      <c r="L3046">
        <v>4124</v>
      </c>
      <c r="M3046" t="s">
        <v>1451</v>
      </c>
      <c r="N3046" t="s">
        <v>30</v>
      </c>
      <c r="O3046" t="s">
        <v>31</v>
      </c>
      <c r="P3046" t="str">
        <f>"15224"</f>
        <v>15224</v>
      </c>
    </row>
    <row r="3047" spans="1:16" x14ac:dyDescent="0.25">
      <c r="A3047" t="str">
        <f>"1090049L00381    00"</f>
        <v>1090049L00381    00</v>
      </c>
      <c r="B3047" t="s">
        <v>7395</v>
      </c>
      <c r="C3047" t="s">
        <v>7396</v>
      </c>
      <c r="D3047" t="s">
        <v>20</v>
      </c>
      <c r="E3047" t="s">
        <v>21</v>
      </c>
      <c r="F3047">
        <v>0</v>
      </c>
      <c r="G3047">
        <v>0</v>
      </c>
      <c r="H3047">
        <v>1</v>
      </c>
      <c r="I3047" s="3">
        <v>1033.07</v>
      </c>
      <c r="J3047" s="3">
        <v>0</v>
      </c>
      <c r="L3047">
        <v>937</v>
      </c>
      <c r="M3047" t="s">
        <v>7397</v>
      </c>
      <c r="N3047" t="s">
        <v>30</v>
      </c>
      <c r="O3047" t="s">
        <v>31</v>
      </c>
      <c r="P3047" t="str">
        <f>"15238"</f>
        <v>15238</v>
      </c>
    </row>
    <row r="3048" spans="1:16" x14ac:dyDescent="0.25">
      <c r="A3048" t="str">
        <f>"1090049L00387    00"</f>
        <v>1090049L00387    00</v>
      </c>
      <c r="B3048" t="s">
        <v>7398</v>
      </c>
      <c r="C3048" t="s">
        <v>7399</v>
      </c>
      <c r="E3048" t="s">
        <v>39</v>
      </c>
      <c r="F3048">
        <v>0</v>
      </c>
      <c r="G3048">
        <v>0</v>
      </c>
      <c r="H3048">
        <v>1</v>
      </c>
      <c r="I3048" s="3">
        <v>38.880000000000003</v>
      </c>
      <c r="J3048" s="3">
        <v>46.01</v>
      </c>
      <c r="L3048">
        <v>4089</v>
      </c>
      <c r="M3048" t="s">
        <v>7400</v>
      </c>
      <c r="N3048" t="s">
        <v>30</v>
      </c>
      <c r="O3048" t="s">
        <v>31</v>
      </c>
      <c r="P3048" t="str">
        <f>"15224"</f>
        <v>15224</v>
      </c>
    </row>
    <row r="3049" spans="1:16" x14ac:dyDescent="0.25">
      <c r="A3049" t="str">
        <f>"1090049L00400    00"</f>
        <v>1090049L00400    00</v>
      </c>
      <c r="B3049" t="s">
        <v>7401</v>
      </c>
      <c r="C3049" t="s">
        <v>7402</v>
      </c>
      <c r="D3049" t="s">
        <v>20</v>
      </c>
      <c r="E3049" t="s">
        <v>39</v>
      </c>
      <c r="F3049">
        <v>0</v>
      </c>
      <c r="G3049">
        <v>0</v>
      </c>
      <c r="H3049">
        <v>3</v>
      </c>
      <c r="I3049" s="3">
        <v>6021.09</v>
      </c>
      <c r="J3049" s="3">
        <v>50.18</v>
      </c>
      <c r="K3049" t="s">
        <v>400</v>
      </c>
      <c r="L3049">
        <v>3001</v>
      </c>
      <c r="M3049" t="s">
        <v>330</v>
      </c>
      <c r="N3049" t="s">
        <v>331</v>
      </c>
      <c r="O3049" t="s">
        <v>108</v>
      </c>
      <c r="P3049" t="str">
        <f>"75063"</f>
        <v>75063</v>
      </c>
    </row>
    <row r="3050" spans="1:16" x14ac:dyDescent="0.25">
      <c r="A3050" t="str">
        <f>"1090049L00403    00"</f>
        <v>1090049L00403    00</v>
      </c>
      <c r="B3050" t="s">
        <v>7403</v>
      </c>
      <c r="C3050" t="s">
        <v>7404</v>
      </c>
      <c r="D3050" t="s">
        <v>57</v>
      </c>
      <c r="E3050" t="s">
        <v>39</v>
      </c>
      <c r="F3050">
        <v>0</v>
      </c>
      <c r="G3050">
        <v>0</v>
      </c>
      <c r="H3050">
        <v>2</v>
      </c>
      <c r="I3050" s="3">
        <v>4399.04</v>
      </c>
      <c r="J3050" s="3">
        <v>54.98</v>
      </c>
      <c r="K3050" t="s">
        <v>400</v>
      </c>
      <c r="L3050">
        <v>3001</v>
      </c>
      <c r="M3050" t="s">
        <v>330</v>
      </c>
      <c r="N3050" t="s">
        <v>331</v>
      </c>
      <c r="O3050" t="s">
        <v>108</v>
      </c>
      <c r="P3050" t="str">
        <f>"75063"</f>
        <v>75063</v>
      </c>
    </row>
    <row r="3051" spans="1:16" x14ac:dyDescent="0.25">
      <c r="A3051" t="str">
        <f>"1090049M00119    00"</f>
        <v>1090049M00119    00</v>
      </c>
      <c r="B3051" t="s">
        <v>7405</v>
      </c>
      <c r="C3051" t="s">
        <v>7406</v>
      </c>
      <c r="D3051" t="s">
        <v>20</v>
      </c>
      <c r="E3051" t="s">
        <v>21</v>
      </c>
      <c r="F3051">
        <v>0</v>
      </c>
      <c r="G3051">
        <v>0</v>
      </c>
      <c r="H3051">
        <v>7</v>
      </c>
      <c r="I3051" s="3">
        <v>29435.7</v>
      </c>
      <c r="J3051" s="3">
        <v>7108.42</v>
      </c>
      <c r="L3051">
        <v>9989</v>
      </c>
      <c r="M3051" t="s">
        <v>7407</v>
      </c>
      <c r="N3051" t="s">
        <v>139</v>
      </c>
      <c r="O3051" t="s">
        <v>31</v>
      </c>
      <c r="P3051" t="str">
        <f>"15090"</f>
        <v>15090</v>
      </c>
    </row>
    <row r="3052" spans="1:16" x14ac:dyDescent="0.25">
      <c r="A3052" t="str">
        <f>"1090049M00121    00"</f>
        <v>1090049M00121    00</v>
      </c>
      <c r="B3052" t="s">
        <v>7408</v>
      </c>
      <c r="C3052" t="s">
        <v>4419</v>
      </c>
      <c r="E3052" t="s">
        <v>39</v>
      </c>
      <c r="F3052">
        <v>0</v>
      </c>
      <c r="G3052">
        <v>0</v>
      </c>
      <c r="H3052">
        <v>2</v>
      </c>
      <c r="I3052" s="3">
        <v>75.739999999999995</v>
      </c>
      <c r="J3052" s="3">
        <v>3.79</v>
      </c>
      <c r="K3052" t="s">
        <v>7409</v>
      </c>
      <c r="N3052" t="s">
        <v>7410</v>
      </c>
      <c r="P3052" t="str">
        <f>""</f>
        <v/>
      </c>
    </row>
    <row r="3053" spans="1:16" x14ac:dyDescent="0.25">
      <c r="A3053" t="str">
        <f>"1090049M00128    00"</f>
        <v>1090049M00128    00</v>
      </c>
      <c r="B3053" t="s">
        <v>7411</v>
      </c>
      <c r="C3053" t="s">
        <v>7412</v>
      </c>
      <c r="D3053" t="s">
        <v>20</v>
      </c>
      <c r="E3053" t="s">
        <v>39</v>
      </c>
      <c r="F3053">
        <v>0</v>
      </c>
      <c r="G3053">
        <v>0</v>
      </c>
      <c r="H3053">
        <v>2</v>
      </c>
      <c r="I3053" s="3">
        <v>308.8</v>
      </c>
      <c r="J3053" s="3">
        <v>0</v>
      </c>
      <c r="K3053" t="s">
        <v>6511</v>
      </c>
      <c r="L3053">
        <v>4270</v>
      </c>
      <c r="M3053" t="s">
        <v>7413</v>
      </c>
      <c r="N3053" t="s">
        <v>264</v>
      </c>
      <c r="O3053" t="s">
        <v>25</v>
      </c>
      <c r="P3053" t="str">
        <f>"45245"</f>
        <v>45245</v>
      </c>
    </row>
    <row r="3054" spans="1:16" x14ac:dyDescent="0.25">
      <c r="A3054" t="str">
        <f>"1090049M00189    00"</f>
        <v>1090049M00189    00</v>
      </c>
      <c r="B3054" t="s">
        <v>7414</v>
      </c>
      <c r="C3054" t="s">
        <v>7415</v>
      </c>
      <c r="D3054" t="s">
        <v>20</v>
      </c>
      <c r="E3054" t="s">
        <v>39</v>
      </c>
      <c r="F3054">
        <v>0</v>
      </c>
      <c r="G3054">
        <v>0</v>
      </c>
      <c r="H3054">
        <v>19</v>
      </c>
      <c r="I3054" s="3">
        <v>18226.78</v>
      </c>
      <c r="J3054" s="3">
        <v>14635.18</v>
      </c>
      <c r="K3054" t="s">
        <v>7416</v>
      </c>
      <c r="L3054">
        <v>422</v>
      </c>
      <c r="M3054" t="s">
        <v>1352</v>
      </c>
      <c r="N3054" t="s">
        <v>1353</v>
      </c>
      <c r="O3054" t="s">
        <v>31</v>
      </c>
      <c r="P3054" t="str">
        <f>"15085"</f>
        <v>15085</v>
      </c>
    </row>
    <row r="3055" spans="1:16" x14ac:dyDescent="0.25">
      <c r="A3055" t="str">
        <f>"1090049M00226    00"</f>
        <v>1090049M00226    00</v>
      </c>
      <c r="B3055" t="s">
        <v>7417</v>
      </c>
      <c r="C3055" t="s">
        <v>7418</v>
      </c>
      <c r="D3055" t="s">
        <v>20</v>
      </c>
      <c r="E3055" t="s">
        <v>39</v>
      </c>
      <c r="F3055">
        <v>0</v>
      </c>
      <c r="G3055">
        <v>0</v>
      </c>
      <c r="H3055">
        <v>2</v>
      </c>
      <c r="I3055" s="3">
        <v>850.48</v>
      </c>
      <c r="J3055" s="3">
        <v>0</v>
      </c>
      <c r="L3055">
        <v>4532</v>
      </c>
      <c r="M3055" t="s">
        <v>6403</v>
      </c>
      <c r="N3055" t="s">
        <v>30</v>
      </c>
      <c r="O3055" t="s">
        <v>31</v>
      </c>
      <c r="P3055" t="str">
        <f>"15224"</f>
        <v>15224</v>
      </c>
    </row>
    <row r="3056" spans="1:16" x14ac:dyDescent="0.25">
      <c r="A3056" t="str">
        <f>"1090049M00234    00"</f>
        <v>1090049M00234    00</v>
      </c>
      <c r="B3056" t="s">
        <v>7419</v>
      </c>
      <c r="C3056" t="s">
        <v>7420</v>
      </c>
      <c r="D3056" t="s">
        <v>20</v>
      </c>
      <c r="E3056" t="s">
        <v>39</v>
      </c>
      <c r="F3056">
        <v>0</v>
      </c>
      <c r="G3056">
        <v>0</v>
      </c>
      <c r="H3056">
        <v>2</v>
      </c>
      <c r="I3056" s="3">
        <v>1906</v>
      </c>
      <c r="J3056" s="3">
        <v>0</v>
      </c>
      <c r="K3056" t="s">
        <v>7421</v>
      </c>
      <c r="L3056">
        <v>1332</v>
      </c>
      <c r="M3056" t="s">
        <v>6491</v>
      </c>
      <c r="N3056" t="s">
        <v>6492</v>
      </c>
      <c r="O3056" t="s">
        <v>3486</v>
      </c>
      <c r="P3056" t="str">
        <f>"60563"</f>
        <v>60563</v>
      </c>
    </row>
    <row r="3057" spans="1:16" x14ac:dyDescent="0.25">
      <c r="A3057" t="str">
        <f>"1090049M00236    00"</f>
        <v>1090049M00236    00</v>
      </c>
      <c r="B3057" t="s">
        <v>7422</v>
      </c>
      <c r="C3057" t="s">
        <v>7423</v>
      </c>
      <c r="D3057" t="s">
        <v>20</v>
      </c>
      <c r="E3057" t="s">
        <v>39</v>
      </c>
      <c r="F3057">
        <v>0</v>
      </c>
      <c r="G3057">
        <v>0</v>
      </c>
      <c r="H3057">
        <v>4</v>
      </c>
      <c r="I3057" s="3">
        <v>1793.58</v>
      </c>
      <c r="J3057" s="3">
        <v>135.61000000000001</v>
      </c>
      <c r="L3057">
        <v>4553</v>
      </c>
      <c r="M3057" t="s">
        <v>6403</v>
      </c>
      <c r="N3057" t="s">
        <v>30</v>
      </c>
      <c r="O3057" t="s">
        <v>31</v>
      </c>
      <c r="P3057" t="str">
        <f>"15224"</f>
        <v>15224</v>
      </c>
    </row>
    <row r="3058" spans="1:16" x14ac:dyDescent="0.25">
      <c r="A3058" t="str">
        <f>"1090049M00244    00"</f>
        <v>1090049M00244    00</v>
      </c>
      <c r="B3058" t="s">
        <v>7424</v>
      </c>
      <c r="C3058" t="s">
        <v>7425</v>
      </c>
      <c r="D3058" t="s">
        <v>20</v>
      </c>
      <c r="E3058" t="s">
        <v>39</v>
      </c>
      <c r="F3058">
        <v>0</v>
      </c>
      <c r="G3058">
        <v>0</v>
      </c>
      <c r="H3058">
        <v>7</v>
      </c>
      <c r="I3058" s="3">
        <v>1343.01</v>
      </c>
      <c r="J3058" s="3">
        <v>393.57</v>
      </c>
      <c r="L3058">
        <v>4569</v>
      </c>
      <c r="M3058" t="s">
        <v>6403</v>
      </c>
      <c r="N3058" t="s">
        <v>30</v>
      </c>
      <c r="O3058" t="s">
        <v>31</v>
      </c>
      <c r="P3058" t="str">
        <f>"15224"</f>
        <v>15224</v>
      </c>
    </row>
    <row r="3059" spans="1:16" x14ac:dyDescent="0.25">
      <c r="A3059" t="str">
        <f>"1090049M00249    00"</f>
        <v>1090049M00249    00</v>
      </c>
      <c r="B3059" t="s">
        <v>6355</v>
      </c>
      <c r="C3059" t="s">
        <v>7426</v>
      </c>
      <c r="D3059" t="s">
        <v>20</v>
      </c>
      <c r="E3059" t="s">
        <v>39</v>
      </c>
      <c r="F3059">
        <v>0</v>
      </c>
      <c r="G3059">
        <v>0</v>
      </c>
      <c r="H3059">
        <v>1</v>
      </c>
      <c r="I3059" s="3">
        <v>1378.04</v>
      </c>
      <c r="J3059" s="3">
        <v>0</v>
      </c>
      <c r="L3059">
        <v>3305</v>
      </c>
      <c r="M3059" t="s">
        <v>902</v>
      </c>
      <c r="N3059" t="s">
        <v>30</v>
      </c>
      <c r="O3059" t="s">
        <v>31</v>
      </c>
      <c r="P3059" t="str">
        <f>"15238"</f>
        <v>15238</v>
      </c>
    </row>
    <row r="3060" spans="1:16" x14ac:dyDescent="0.25">
      <c r="A3060" t="str">
        <f>"1090049M00254    00"</f>
        <v>1090049M00254    00</v>
      </c>
      <c r="B3060" t="s">
        <v>7427</v>
      </c>
      <c r="C3060" t="s">
        <v>7428</v>
      </c>
      <c r="D3060" t="s">
        <v>20</v>
      </c>
      <c r="E3060" t="s">
        <v>39</v>
      </c>
      <c r="F3060">
        <v>0</v>
      </c>
      <c r="G3060">
        <v>0</v>
      </c>
      <c r="H3060">
        <v>2</v>
      </c>
      <c r="I3060" s="3">
        <v>366.77</v>
      </c>
      <c r="J3060" s="3">
        <v>0</v>
      </c>
      <c r="L3060">
        <v>4600</v>
      </c>
      <c r="M3060" t="s">
        <v>6403</v>
      </c>
      <c r="N3060" t="s">
        <v>30</v>
      </c>
      <c r="O3060" t="s">
        <v>31</v>
      </c>
      <c r="P3060" t="str">
        <f>"15224"</f>
        <v>15224</v>
      </c>
    </row>
    <row r="3061" spans="1:16" x14ac:dyDescent="0.25">
      <c r="A3061" t="str">
        <f>"1090049M00258    00"</f>
        <v>1090049M00258    00</v>
      </c>
      <c r="B3061" t="s">
        <v>7429</v>
      </c>
      <c r="C3061" t="s">
        <v>7430</v>
      </c>
      <c r="E3061" t="s">
        <v>39</v>
      </c>
      <c r="F3061">
        <v>0</v>
      </c>
      <c r="G3061">
        <v>0</v>
      </c>
      <c r="H3061">
        <v>1</v>
      </c>
      <c r="I3061" s="3">
        <v>512.51</v>
      </c>
      <c r="J3061" s="3">
        <v>0</v>
      </c>
      <c r="K3061" t="s">
        <v>4992</v>
      </c>
      <c r="L3061">
        <v>18111</v>
      </c>
      <c r="M3061" t="s">
        <v>4993</v>
      </c>
      <c r="N3061" t="s">
        <v>107</v>
      </c>
      <c r="O3061" t="s">
        <v>108</v>
      </c>
      <c r="P3061" t="str">
        <f>"75252"</f>
        <v>75252</v>
      </c>
    </row>
    <row r="3062" spans="1:16" x14ac:dyDescent="0.25">
      <c r="A3062" t="str">
        <f>"1090049M00261    00"</f>
        <v>1090049M00261    00</v>
      </c>
      <c r="B3062" t="s">
        <v>7431</v>
      </c>
      <c r="C3062" t="s">
        <v>7432</v>
      </c>
      <c r="E3062" t="s">
        <v>39</v>
      </c>
      <c r="F3062">
        <v>0</v>
      </c>
      <c r="G3062">
        <v>0</v>
      </c>
      <c r="H3062">
        <v>1</v>
      </c>
      <c r="I3062" s="3">
        <v>77.63</v>
      </c>
      <c r="J3062" s="3">
        <v>0</v>
      </c>
      <c r="L3062">
        <v>4562</v>
      </c>
      <c r="M3062" t="s">
        <v>6403</v>
      </c>
      <c r="N3062" t="s">
        <v>30</v>
      </c>
      <c r="O3062" t="s">
        <v>31</v>
      </c>
      <c r="P3062" t="str">
        <f>"15224"</f>
        <v>15224</v>
      </c>
    </row>
    <row r="3063" spans="1:16" x14ac:dyDescent="0.25">
      <c r="A3063" t="str">
        <f>"1090049M00263    00"</f>
        <v>1090049M00263    00</v>
      </c>
      <c r="B3063" t="s">
        <v>7433</v>
      </c>
      <c r="C3063" t="s">
        <v>7434</v>
      </c>
      <c r="D3063" t="s">
        <v>20</v>
      </c>
      <c r="E3063" t="s">
        <v>39</v>
      </c>
      <c r="F3063">
        <v>0</v>
      </c>
      <c r="G3063">
        <v>0</v>
      </c>
      <c r="H3063">
        <v>5</v>
      </c>
      <c r="I3063" s="3">
        <v>6704.18</v>
      </c>
      <c r="J3063" s="3">
        <v>1791.63</v>
      </c>
      <c r="L3063">
        <v>4558</v>
      </c>
      <c r="M3063" t="s">
        <v>6403</v>
      </c>
      <c r="N3063" t="s">
        <v>30</v>
      </c>
      <c r="O3063" t="s">
        <v>31</v>
      </c>
      <c r="P3063" t="str">
        <f>"15224"</f>
        <v>15224</v>
      </c>
    </row>
    <row r="3064" spans="1:16" x14ac:dyDescent="0.25">
      <c r="A3064" t="str">
        <f>"1090049M00288    00"</f>
        <v>1090049M00288    00</v>
      </c>
      <c r="B3064" t="s">
        <v>7435</v>
      </c>
      <c r="C3064" t="s">
        <v>7436</v>
      </c>
      <c r="D3064" t="s">
        <v>20</v>
      </c>
      <c r="E3064" t="s">
        <v>21</v>
      </c>
      <c r="F3064">
        <v>0</v>
      </c>
      <c r="G3064">
        <v>0</v>
      </c>
      <c r="H3064">
        <v>1</v>
      </c>
      <c r="I3064" s="3">
        <v>14159.68</v>
      </c>
      <c r="J3064" s="3">
        <v>0</v>
      </c>
      <c r="K3064" t="s">
        <v>7437</v>
      </c>
      <c r="M3064" t="s">
        <v>7438</v>
      </c>
      <c r="N3064" t="s">
        <v>30</v>
      </c>
      <c r="O3064" t="s">
        <v>31</v>
      </c>
      <c r="P3064" t="str">
        <f>"15224"</f>
        <v>15224</v>
      </c>
    </row>
    <row r="3065" spans="1:16" x14ac:dyDescent="0.25">
      <c r="A3065" t="str">
        <f>"1090049M00296A   00"</f>
        <v>1090049M00296A   00</v>
      </c>
      <c r="B3065" t="s">
        <v>7439</v>
      </c>
      <c r="C3065" t="s">
        <v>7440</v>
      </c>
      <c r="D3065" t="s">
        <v>20</v>
      </c>
      <c r="E3065" t="s">
        <v>39</v>
      </c>
      <c r="F3065">
        <v>0</v>
      </c>
      <c r="G3065">
        <v>0</v>
      </c>
      <c r="H3065">
        <v>1</v>
      </c>
      <c r="I3065" s="3">
        <v>1105.48</v>
      </c>
      <c r="J3065" s="3">
        <v>0</v>
      </c>
      <c r="L3065">
        <v>747</v>
      </c>
      <c r="M3065" t="s">
        <v>7441</v>
      </c>
      <c r="N3065" t="s">
        <v>1210</v>
      </c>
      <c r="O3065" t="s">
        <v>495</v>
      </c>
      <c r="P3065" t="str">
        <f>"94109"</f>
        <v>94109</v>
      </c>
    </row>
    <row r="3066" spans="1:16" x14ac:dyDescent="0.25">
      <c r="A3066" t="str">
        <f>"1090049M00309    00"</f>
        <v>1090049M00309    00</v>
      </c>
      <c r="B3066" t="s">
        <v>7442</v>
      </c>
      <c r="C3066" t="s">
        <v>7443</v>
      </c>
      <c r="E3066" t="s">
        <v>39</v>
      </c>
      <c r="F3066">
        <v>0</v>
      </c>
      <c r="G3066">
        <v>0</v>
      </c>
      <c r="H3066">
        <v>1</v>
      </c>
      <c r="I3066" s="3">
        <v>1143.45</v>
      </c>
      <c r="J3066" s="3">
        <v>1010</v>
      </c>
      <c r="K3066" t="s">
        <v>7444</v>
      </c>
      <c r="L3066">
        <v>4214</v>
      </c>
      <c r="M3066" t="s">
        <v>7445</v>
      </c>
      <c r="N3066" t="s">
        <v>30</v>
      </c>
      <c r="O3066" t="s">
        <v>31</v>
      </c>
      <c r="P3066" t="str">
        <f>"15224"</f>
        <v>15224</v>
      </c>
    </row>
    <row r="3067" spans="1:16" x14ac:dyDescent="0.25">
      <c r="A3067" t="str">
        <f>"1090049M00311    00"</f>
        <v>1090049M00311    00</v>
      </c>
      <c r="B3067" t="s">
        <v>7446</v>
      </c>
      <c r="C3067" t="s">
        <v>7447</v>
      </c>
      <c r="D3067" t="s">
        <v>20</v>
      </c>
      <c r="E3067" t="s">
        <v>39</v>
      </c>
      <c r="F3067">
        <v>0</v>
      </c>
      <c r="G3067">
        <v>0</v>
      </c>
      <c r="H3067">
        <v>1</v>
      </c>
      <c r="I3067" s="3">
        <v>959.2</v>
      </c>
      <c r="J3067" s="3">
        <v>0</v>
      </c>
      <c r="L3067">
        <v>4210</v>
      </c>
      <c r="M3067" t="s">
        <v>7445</v>
      </c>
      <c r="N3067" t="s">
        <v>30</v>
      </c>
      <c r="O3067" t="s">
        <v>31</v>
      </c>
      <c r="P3067" t="str">
        <f>"15224"</f>
        <v>15224</v>
      </c>
    </row>
    <row r="3068" spans="1:16" x14ac:dyDescent="0.25">
      <c r="A3068" t="str">
        <f>"1090049M00319    00"</f>
        <v>1090049M00319    00</v>
      </c>
      <c r="B3068" t="s">
        <v>7448</v>
      </c>
      <c r="C3068" t="s">
        <v>7449</v>
      </c>
      <c r="D3068" t="s">
        <v>20</v>
      </c>
      <c r="E3068" t="s">
        <v>39</v>
      </c>
      <c r="F3068">
        <v>0</v>
      </c>
      <c r="G3068">
        <v>0</v>
      </c>
      <c r="H3068">
        <v>7</v>
      </c>
      <c r="I3068" s="3">
        <v>6274.84</v>
      </c>
      <c r="J3068" s="3">
        <v>1607.83</v>
      </c>
      <c r="L3068">
        <v>4443</v>
      </c>
      <c r="M3068" t="s">
        <v>5064</v>
      </c>
      <c r="N3068" t="s">
        <v>30</v>
      </c>
      <c r="O3068" t="s">
        <v>31</v>
      </c>
      <c r="P3068" t="str">
        <f>"15224"</f>
        <v>15224</v>
      </c>
    </row>
    <row r="3069" spans="1:16" x14ac:dyDescent="0.25">
      <c r="A3069" t="str">
        <f>"1090049R00014A   00"</f>
        <v>1090049R00014A   00</v>
      </c>
      <c r="B3069" t="s">
        <v>7450</v>
      </c>
      <c r="C3069" t="s">
        <v>7451</v>
      </c>
      <c r="E3069" t="s">
        <v>39</v>
      </c>
      <c r="F3069">
        <v>0</v>
      </c>
      <c r="G3069">
        <v>0</v>
      </c>
      <c r="H3069">
        <v>1</v>
      </c>
      <c r="I3069" s="3">
        <v>581.29999999999995</v>
      </c>
      <c r="J3069" s="3">
        <v>130.78</v>
      </c>
      <c r="K3069" t="s">
        <v>7452</v>
      </c>
      <c r="L3069">
        <v>11737</v>
      </c>
      <c r="M3069" t="s">
        <v>7453</v>
      </c>
      <c r="N3069" t="s">
        <v>4783</v>
      </c>
      <c r="O3069" t="s">
        <v>4784</v>
      </c>
      <c r="P3069" t="str">
        <f>"63146"</f>
        <v>63146</v>
      </c>
    </row>
    <row r="3070" spans="1:16" x14ac:dyDescent="0.25">
      <c r="A3070" t="str">
        <f>"1090049R00019    00"</f>
        <v>1090049R00019    00</v>
      </c>
      <c r="B3070" t="s">
        <v>7454</v>
      </c>
      <c r="C3070" t="s">
        <v>7455</v>
      </c>
      <c r="D3070" t="s">
        <v>20</v>
      </c>
      <c r="E3070" t="s">
        <v>39</v>
      </c>
      <c r="F3070">
        <v>0</v>
      </c>
      <c r="G3070">
        <v>0</v>
      </c>
      <c r="H3070">
        <v>5</v>
      </c>
      <c r="I3070" s="3">
        <v>7532.16</v>
      </c>
      <c r="J3070" s="3">
        <v>1331.28</v>
      </c>
      <c r="K3070" t="s">
        <v>7456</v>
      </c>
      <c r="L3070">
        <v>4075</v>
      </c>
      <c r="M3070" t="s">
        <v>7400</v>
      </c>
      <c r="N3070" t="s">
        <v>30</v>
      </c>
      <c r="O3070" t="s">
        <v>31</v>
      </c>
      <c r="P3070" t="str">
        <f>"15224"</f>
        <v>15224</v>
      </c>
    </row>
    <row r="3071" spans="1:16" x14ac:dyDescent="0.25">
      <c r="A3071" t="str">
        <f>"1090049R00082    00"</f>
        <v>1090049R00082    00</v>
      </c>
      <c r="B3071" t="s">
        <v>7457</v>
      </c>
      <c r="C3071" t="s">
        <v>7458</v>
      </c>
      <c r="D3071" t="s">
        <v>20</v>
      </c>
      <c r="E3071" t="s">
        <v>39</v>
      </c>
      <c r="F3071">
        <v>0</v>
      </c>
      <c r="G3071">
        <v>0</v>
      </c>
      <c r="H3071">
        <v>7</v>
      </c>
      <c r="I3071" s="3">
        <v>3642.56</v>
      </c>
      <c r="J3071" s="3">
        <v>1714.52</v>
      </c>
      <c r="L3071">
        <v>418</v>
      </c>
      <c r="M3071" t="s">
        <v>7199</v>
      </c>
      <c r="N3071" t="s">
        <v>30</v>
      </c>
      <c r="O3071" t="s">
        <v>31</v>
      </c>
      <c r="P3071" t="str">
        <f>"15224"</f>
        <v>15224</v>
      </c>
    </row>
    <row r="3072" spans="1:16" x14ac:dyDescent="0.25">
      <c r="A3072" t="str">
        <f>"1090049R00087    00"</f>
        <v>1090049R00087    00</v>
      </c>
      <c r="B3072" t="s">
        <v>7459</v>
      </c>
      <c r="C3072" t="s">
        <v>7460</v>
      </c>
      <c r="D3072" t="s">
        <v>20</v>
      </c>
      <c r="E3072" t="s">
        <v>39</v>
      </c>
      <c r="F3072">
        <v>0</v>
      </c>
      <c r="G3072">
        <v>0</v>
      </c>
      <c r="H3072">
        <v>5</v>
      </c>
      <c r="I3072" s="3">
        <v>3171.5</v>
      </c>
      <c r="J3072" s="3">
        <v>379.7</v>
      </c>
      <c r="L3072">
        <v>428</v>
      </c>
      <c r="M3072" t="s">
        <v>7199</v>
      </c>
      <c r="N3072" t="s">
        <v>30</v>
      </c>
      <c r="O3072" t="s">
        <v>31</v>
      </c>
      <c r="P3072" t="str">
        <f>"15224"</f>
        <v>15224</v>
      </c>
    </row>
    <row r="3073" spans="1:16" x14ac:dyDescent="0.25">
      <c r="A3073" t="str">
        <f>"1090049R00096    00"</f>
        <v>1090049R00096    00</v>
      </c>
      <c r="B3073" t="s">
        <v>7461</v>
      </c>
      <c r="C3073" t="s">
        <v>7462</v>
      </c>
      <c r="D3073" t="s">
        <v>20</v>
      </c>
      <c r="E3073" t="s">
        <v>39</v>
      </c>
      <c r="F3073">
        <v>0</v>
      </c>
      <c r="G3073">
        <v>0</v>
      </c>
      <c r="H3073">
        <v>7</v>
      </c>
      <c r="I3073" s="3">
        <v>10401.469999999999</v>
      </c>
      <c r="J3073" s="3">
        <v>2418.39</v>
      </c>
      <c r="L3073">
        <v>4009</v>
      </c>
      <c r="M3073" t="s">
        <v>3469</v>
      </c>
      <c r="N3073" t="s">
        <v>30</v>
      </c>
      <c r="O3073" t="s">
        <v>31</v>
      </c>
      <c r="P3073" t="str">
        <f>"15224"</f>
        <v>15224</v>
      </c>
    </row>
    <row r="3074" spans="1:16" x14ac:dyDescent="0.25">
      <c r="A3074" t="str">
        <f>"1090049R00132000100"</f>
        <v>1090049R00132000100</v>
      </c>
      <c r="B3074" t="s">
        <v>7463</v>
      </c>
      <c r="C3074" t="s">
        <v>7464</v>
      </c>
      <c r="E3074" t="s">
        <v>39</v>
      </c>
      <c r="F3074">
        <v>0</v>
      </c>
      <c r="G3074">
        <v>0</v>
      </c>
      <c r="H3074">
        <v>1</v>
      </c>
      <c r="I3074" s="3">
        <v>1774.88</v>
      </c>
      <c r="J3074" s="3">
        <v>498.11</v>
      </c>
      <c r="K3074" t="s">
        <v>7465</v>
      </c>
      <c r="L3074">
        <v>459</v>
      </c>
      <c r="M3074" t="s">
        <v>7466</v>
      </c>
      <c r="N3074" t="s">
        <v>30</v>
      </c>
      <c r="O3074" t="s">
        <v>31</v>
      </c>
      <c r="P3074" t="str">
        <f>"15224"</f>
        <v>15224</v>
      </c>
    </row>
    <row r="3075" spans="1:16" x14ac:dyDescent="0.25">
      <c r="A3075" t="str">
        <f>"1090049R00134    00"</f>
        <v>1090049R00134    00</v>
      </c>
      <c r="B3075" t="s">
        <v>7467</v>
      </c>
      <c r="C3075" t="s">
        <v>7468</v>
      </c>
      <c r="E3075" t="s">
        <v>39</v>
      </c>
      <c r="F3075">
        <v>0</v>
      </c>
      <c r="G3075">
        <v>0</v>
      </c>
      <c r="H3075">
        <v>1</v>
      </c>
      <c r="I3075" s="3">
        <v>4222.46</v>
      </c>
      <c r="J3075" s="3">
        <v>4327.8500000000004</v>
      </c>
      <c r="K3075" t="s">
        <v>391</v>
      </c>
      <c r="L3075">
        <v>1</v>
      </c>
      <c r="M3075" t="s">
        <v>392</v>
      </c>
      <c r="N3075" t="s">
        <v>393</v>
      </c>
      <c r="O3075" t="s">
        <v>394</v>
      </c>
      <c r="P3075" t="str">
        <f>"50328"</f>
        <v>50328</v>
      </c>
    </row>
    <row r="3076" spans="1:16" x14ac:dyDescent="0.25">
      <c r="A3076" t="str">
        <f>"1090049R00145    00"</f>
        <v>1090049R00145    00</v>
      </c>
      <c r="B3076" t="s">
        <v>7469</v>
      </c>
      <c r="C3076" t="s">
        <v>7470</v>
      </c>
      <c r="D3076" t="s">
        <v>20</v>
      </c>
      <c r="E3076" t="s">
        <v>39</v>
      </c>
      <c r="F3076">
        <v>0</v>
      </c>
      <c r="G3076">
        <v>0</v>
      </c>
      <c r="H3076">
        <v>1</v>
      </c>
      <c r="I3076" s="3">
        <v>997.32</v>
      </c>
      <c r="J3076" s="3">
        <v>0</v>
      </c>
      <c r="L3076">
        <v>4025</v>
      </c>
      <c r="M3076" t="s">
        <v>5064</v>
      </c>
      <c r="N3076" t="s">
        <v>30</v>
      </c>
      <c r="O3076" t="s">
        <v>31</v>
      </c>
      <c r="P3076" t="str">
        <f>"15224"</f>
        <v>15224</v>
      </c>
    </row>
    <row r="3077" spans="1:16" x14ac:dyDescent="0.25">
      <c r="A3077" t="str">
        <f>"1090049R00149    00"</f>
        <v>1090049R00149    00</v>
      </c>
      <c r="B3077" t="s">
        <v>7471</v>
      </c>
      <c r="C3077" t="s">
        <v>7472</v>
      </c>
      <c r="D3077" t="s">
        <v>20</v>
      </c>
      <c r="E3077" t="s">
        <v>39</v>
      </c>
      <c r="F3077">
        <v>0</v>
      </c>
      <c r="G3077">
        <v>0</v>
      </c>
      <c r="H3077">
        <v>3</v>
      </c>
      <c r="I3077" s="3">
        <v>7759.35</v>
      </c>
      <c r="J3077" s="3">
        <v>172.41</v>
      </c>
      <c r="K3077" t="s">
        <v>400</v>
      </c>
      <c r="L3077">
        <v>3001</v>
      </c>
      <c r="M3077" t="s">
        <v>330</v>
      </c>
      <c r="N3077" t="s">
        <v>331</v>
      </c>
      <c r="O3077" t="s">
        <v>108</v>
      </c>
      <c r="P3077" t="str">
        <f>"75063"</f>
        <v>75063</v>
      </c>
    </row>
    <row r="3078" spans="1:16" x14ac:dyDescent="0.25">
      <c r="A3078" t="str">
        <f>"1090049R00160    00"</f>
        <v>1090049R00160    00</v>
      </c>
      <c r="B3078" t="s">
        <v>7473</v>
      </c>
      <c r="C3078" t="s">
        <v>7474</v>
      </c>
      <c r="D3078" t="s">
        <v>20</v>
      </c>
      <c r="E3078" t="s">
        <v>39</v>
      </c>
      <c r="F3078">
        <v>0</v>
      </c>
      <c r="G3078">
        <v>0</v>
      </c>
      <c r="H3078">
        <v>2</v>
      </c>
      <c r="I3078" s="3">
        <v>1548.94</v>
      </c>
      <c r="J3078" s="3">
        <v>0</v>
      </c>
      <c r="K3078" t="s">
        <v>7475</v>
      </c>
      <c r="L3078">
        <v>4054</v>
      </c>
      <c r="M3078" t="s">
        <v>7400</v>
      </c>
      <c r="N3078" t="s">
        <v>30</v>
      </c>
      <c r="O3078" t="s">
        <v>31</v>
      </c>
      <c r="P3078" t="str">
        <f>"15224"</f>
        <v>15224</v>
      </c>
    </row>
    <row r="3079" spans="1:16" x14ac:dyDescent="0.25">
      <c r="A3079" t="str">
        <f>"1090049R00164    00"</f>
        <v>1090049R00164    00</v>
      </c>
      <c r="B3079" t="s">
        <v>7476</v>
      </c>
      <c r="C3079" t="s">
        <v>7477</v>
      </c>
      <c r="D3079" t="s">
        <v>20</v>
      </c>
      <c r="E3079" t="s">
        <v>39</v>
      </c>
      <c r="F3079">
        <v>0</v>
      </c>
      <c r="G3079">
        <v>0</v>
      </c>
      <c r="H3079">
        <v>1</v>
      </c>
      <c r="I3079" s="3">
        <v>4071.23</v>
      </c>
      <c r="J3079" s="3">
        <v>0</v>
      </c>
      <c r="K3079" t="s">
        <v>484</v>
      </c>
      <c r="L3079">
        <v>3001</v>
      </c>
      <c r="M3079" t="s">
        <v>330</v>
      </c>
      <c r="N3079" t="s">
        <v>331</v>
      </c>
      <c r="O3079" t="s">
        <v>108</v>
      </c>
      <c r="P3079" t="str">
        <f>"75063"</f>
        <v>75063</v>
      </c>
    </row>
    <row r="3080" spans="1:16" x14ac:dyDescent="0.25">
      <c r="A3080" t="str">
        <f>"1090049R00201    00"</f>
        <v>1090049R00201    00</v>
      </c>
      <c r="B3080" t="s">
        <v>7478</v>
      </c>
      <c r="C3080" t="s">
        <v>7479</v>
      </c>
      <c r="E3080" t="s">
        <v>39</v>
      </c>
      <c r="F3080">
        <v>0</v>
      </c>
      <c r="G3080">
        <v>0</v>
      </c>
      <c r="H3080">
        <v>2</v>
      </c>
      <c r="I3080" s="3">
        <v>3129.55</v>
      </c>
      <c r="J3080" s="3">
        <v>67.91</v>
      </c>
      <c r="K3080" t="s">
        <v>7480</v>
      </c>
      <c r="L3080">
        <v>4068</v>
      </c>
      <c r="M3080" t="s">
        <v>5064</v>
      </c>
      <c r="N3080" t="s">
        <v>30</v>
      </c>
      <c r="O3080" t="s">
        <v>31</v>
      </c>
      <c r="P3080" t="str">
        <f>"15224"</f>
        <v>15224</v>
      </c>
    </row>
    <row r="3081" spans="1:16" x14ac:dyDescent="0.25">
      <c r="A3081" t="str">
        <f>"1090049R00207    00"</f>
        <v>1090049R00207    00</v>
      </c>
      <c r="B3081" t="s">
        <v>7481</v>
      </c>
      <c r="C3081" t="s">
        <v>7482</v>
      </c>
      <c r="D3081" t="s">
        <v>20</v>
      </c>
      <c r="E3081" t="s">
        <v>39</v>
      </c>
      <c r="F3081">
        <v>0</v>
      </c>
      <c r="G3081">
        <v>0</v>
      </c>
      <c r="H3081">
        <v>1</v>
      </c>
      <c r="I3081" s="3">
        <v>1311.33</v>
      </c>
      <c r="J3081" s="3">
        <v>0</v>
      </c>
      <c r="L3081">
        <v>364</v>
      </c>
      <c r="M3081" t="s">
        <v>7483</v>
      </c>
      <c r="N3081" t="s">
        <v>30</v>
      </c>
      <c r="O3081" t="s">
        <v>31</v>
      </c>
      <c r="P3081" t="str">
        <f>"15228"</f>
        <v>15228</v>
      </c>
    </row>
    <row r="3082" spans="1:16" x14ac:dyDescent="0.25">
      <c r="A3082" t="str">
        <f>"1090049R00215    00"</f>
        <v>1090049R00215    00</v>
      </c>
      <c r="B3082" t="s">
        <v>7484</v>
      </c>
      <c r="C3082" t="s">
        <v>7485</v>
      </c>
      <c r="D3082" t="s">
        <v>20</v>
      </c>
      <c r="E3082" t="s">
        <v>39</v>
      </c>
      <c r="F3082">
        <v>0</v>
      </c>
      <c r="G3082">
        <v>0</v>
      </c>
      <c r="H3082">
        <v>4</v>
      </c>
      <c r="I3082" s="3">
        <v>2755.54</v>
      </c>
      <c r="J3082" s="3">
        <v>485.79</v>
      </c>
      <c r="K3082" t="s">
        <v>7486</v>
      </c>
      <c r="L3082">
        <v>4034</v>
      </c>
      <c r="M3082" t="s">
        <v>5064</v>
      </c>
      <c r="N3082" t="s">
        <v>30</v>
      </c>
      <c r="O3082" t="s">
        <v>31</v>
      </c>
      <c r="P3082" t="str">
        <f>"15224"</f>
        <v>15224</v>
      </c>
    </row>
    <row r="3083" spans="1:16" x14ac:dyDescent="0.25">
      <c r="A3083" t="str">
        <f>"1090049R00261300 00"</f>
        <v>1090049R00261300 00</v>
      </c>
      <c r="B3083" t="s">
        <v>7487</v>
      </c>
      <c r="C3083" t="s">
        <v>7488</v>
      </c>
      <c r="E3083" t="s">
        <v>39</v>
      </c>
      <c r="F3083">
        <v>0</v>
      </c>
      <c r="G3083">
        <v>0</v>
      </c>
      <c r="H3083">
        <v>1</v>
      </c>
      <c r="I3083" s="3">
        <v>87.58</v>
      </c>
      <c r="J3083" s="3">
        <v>0</v>
      </c>
      <c r="K3083" t="s">
        <v>7489</v>
      </c>
      <c r="L3083">
        <v>5901</v>
      </c>
      <c r="M3083" t="s">
        <v>7490</v>
      </c>
      <c r="N3083" t="s">
        <v>3951</v>
      </c>
      <c r="O3083" t="s">
        <v>370</v>
      </c>
      <c r="P3083" t="str">
        <f>"33616"</f>
        <v>33616</v>
      </c>
    </row>
    <row r="3084" spans="1:16" x14ac:dyDescent="0.25">
      <c r="A3084" t="str">
        <f>"1090049R00274    00"</f>
        <v>1090049R00274    00</v>
      </c>
      <c r="B3084" t="s">
        <v>6465</v>
      </c>
      <c r="C3084" t="s">
        <v>7491</v>
      </c>
      <c r="E3084" t="s">
        <v>21</v>
      </c>
      <c r="F3084">
        <v>0</v>
      </c>
      <c r="G3084">
        <v>0</v>
      </c>
      <c r="H3084">
        <v>1</v>
      </c>
      <c r="I3084" s="3">
        <v>6869.24</v>
      </c>
      <c r="J3084" s="3">
        <v>0</v>
      </c>
      <c r="K3084" t="s">
        <v>6467</v>
      </c>
      <c r="M3084" t="s">
        <v>6468</v>
      </c>
      <c r="N3084" t="s">
        <v>30</v>
      </c>
      <c r="O3084" t="s">
        <v>31</v>
      </c>
      <c r="P3084" t="str">
        <f>"15224"</f>
        <v>15224</v>
      </c>
    </row>
    <row r="3085" spans="1:16" x14ac:dyDescent="0.25">
      <c r="A3085" t="str">
        <f>"1090049R00283    00"</f>
        <v>1090049R00283    00</v>
      </c>
      <c r="B3085" t="s">
        <v>7492</v>
      </c>
      <c r="C3085" t="s">
        <v>7493</v>
      </c>
      <c r="D3085" t="s">
        <v>20</v>
      </c>
      <c r="E3085" t="s">
        <v>290</v>
      </c>
      <c r="F3085">
        <v>0</v>
      </c>
      <c r="G3085">
        <v>0</v>
      </c>
      <c r="H3085">
        <v>18</v>
      </c>
      <c r="I3085" s="3">
        <v>31927.82</v>
      </c>
      <c r="J3085" s="3">
        <v>38863.449999999997</v>
      </c>
      <c r="L3085">
        <v>6652</v>
      </c>
      <c r="M3085" t="s">
        <v>455</v>
      </c>
      <c r="N3085" t="s">
        <v>30</v>
      </c>
      <c r="O3085" t="s">
        <v>31</v>
      </c>
      <c r="P3085" t="str">
        <f>"15217"</f>
        <v>15217</v>
      </c>
    </row>
    <row r="3086" spans="1:16" x14ac:dyDescent="0.25">
      <c r="A3086" t="str">
        <f>"1090049R00286    00"</f>
        <v>1090049R00286    00</v>
      </c>
      <c r="B3086" t="s">
        <v>7494</v>
      </c>
      <c r="C3086" t="s">
        <v>7495</v>
      </c>
      <c r="D3086" t="s">
        <v>20</v>
      </c>
      <c r="E3086" t="s">
        <v>21</v>
      </c>
      <c r="F3086">
        <v>0</v>
      </c>
      <c r="G3086">
        <v>0</v>
      </c>
      <c r="H3086">
        <v>3</v>
      </c>
      <c r="I3086" s="3">
        <v>55838.71</v>
      </c>
      <c r="J3086" s="3">
        <v>153.72</v>
      </c>
      <c r="K3086" t="s">
        <v>695</v>
      </c>
      <c r="L3086">
        <v>99</v>
      </c>
      <c r="M3086" t="s">
        <v>696</v>
      </c>
      <c r="N3086" t="s">
        <v>625</v>
      </c>
      <c r="O3086" t="s">
        <v>31</v>
      </c>
      <c r="P3086" t="str">
        <f>"15108"</f>
        <v>15108</v>
      </c>
    </row>
    <row r="3087" spans="1:16" x14ac:dyDescent="0.25">
      <c r="A3087" t="str">
        <f>"1090049R00312    00"</f>
        <v>1090049R00312    00</v>
      </c>
      <c r="B3087" t="s">
        <v>7494</v>
      </c>
      <c r="C3087" t="s">
        <v>7496</v>
      </c>
      <c r="D3087" t="s">
        <v>20</v>
      </c>
      <c r="E3087" t="s">
        <v>39</v>
      </c>
      <c r="F3087">
        <v>0</v>
      </c>
      <c r="G3087">
        <v>0</v>
      </c>
      <c r="H3087">
        <v>2</v>
      </c>
      <c r="I3087" s="3">
        <v>263.02999999999997</v>
      </c>
      <c r="J3087" s="3">
        <v>0</v>
      </c>
      <c r="K3087" t="s">
        <v>695</v>
      </c>
      <c r="L3087">
        <v>99</v>
      </c>
      <c r="M3087" t="s">
        <v>696</v>
      </c>
      <c r="N3087" t="s">
        <v>625</v>
      </c>
      <c r="O3087" t="s">
        <v>31</v>
      </c>
      <c r="P3087" t="str">
        <f>"15108"</f>
        <v>15108</v>
      </c>
    </row>
    <row r="3088" spans="1:16" x14ac:dyDescent="0.25">
      <c r="A3088" t="str">
        <f>"1090049R00331    00"</f>
        <v>1090049R00331    00</v>
      </c>
      <c r="B3088" t="s">
        <v>7497</v>
      </c>
      <c r="C3088" t="s">
        <v>7498</v>
      </c>
      <c r="E3088" t="s">
        <v>39</v>
      </c>
      <c r="F3088">
        <v>0</v>
      </c>
      <c r="G3088">
        <v>0</v>
      </c>
      <c r="H3088">
        <v>1</v>
      </c>
      <c r="I3088" s="3">
        <v>103.74</v>
      </c>
      <c r="J3088" s="3">
        <v>20.74</v>
      </c>
      <c r="L3088">
        <v>4022</v>
      </c>
      <c r="M3088" t="s">
        <v>614</v>
      </c>
      <c r="N3088" t="s">
        <v>30</v>
      </c>
      <c r="O3088" t="s">
        <v>31</v>
      </c>
      <c r="P3088" t="str">
        <f>"15224"</f>
        <v>15224</v>
      </c>
    </row>
    <row r="3089" spans="1:16" x14ac:dyDescent="0.25">
      <c r="A3089" t="str">
        <f>"1090049R00337    00"</f>
        <v>1090049R00337    00</v>
      </c>
      <c r="B3089" t="s">
        <v>7499</v>
      </c>
      <c r="C3089" t="s">
        <v>7500</v>
      </c>
      <c r="E3089" t="s">
        <v>21</v>
      </c>
      <c r="F3089">
        <v>0</v>
      </c>
      <c r="G3089">
        <v>0</v>
      </c>
      <c r="H3089">
        <v>2</v>
      </c>
      <c r="I3089" s="3">
        <v>575.08000000000004</v>
      </c>
      <c r="J3089" s="3">
        <v>4.41</v>
      </c>
      <c r="L3089">
        <v>4006</v>
      </c>
      <c r="M3089" t="s">
        <v>614</v>
      </c>
      <c r="N3089" t="s">
        <v>30</v>
      </c>
      <c r="O3089" t="s">
        <v>31</v>
      </c>
      <c r="P3089" t="str">
        <f>"15224"</f>
        <v>15224</v>
      </c>
    </row>
    <row r="3090" spans="1:16" x14ac:dyDescent="0.25">
      <c r="A3090" t="str">
        <f>"1090049R00344    00"</f>
        <v>1090049R00344    00</v>
      </c>
      <c r="B3090" t="s">
        <v>7499</v>
      </c>
      <c r="C3090" t="s">
        <v>7500</v>
      </c>
      <c r="E3090" t="s">
        <v>21</v>
      </c>
      <c r="F3090">
        <v>0</v>
      </c>
      <c r="G3090">
        <v>0</v>
      </c>
      <c r="H3090">
        <v>2</v>
      </c>
      <c r="I3090" s="3">
        <v>11736</v>
      </c>
      <c r="J3090" s="3">
        <v>90</v>
      </c>
      <c r="L3090">
        <v>4006</v>
      </c>
      <c r="M3090" t="s">
        <v>614</v>
      </c>
      <c r="N3090" t="s">
        <v>30</v>
      </c>
      <c r="O3090" t="s">
        <v>31</v>
      </c>
      <c r="P3090" t="str">
        <f>"15224"</f>
        <v>15224</v>
      </c>
    </row>
    <row r="3091" spans="1:16" x14ac:dyDescent="0.25">
      <c r="A3091" t="str">
        <f>"1090049R00351    00"</f>
        <v>1090049R00351    00</v>
      </c>
      <c r="B3091" t="s">
        <v>7492</v>
      </c>
      <c r="C3091" t="s">
        <v>6951</v>
      </c>
      <c r="D3091" t="s">
        <v>20</v>
      </c>
      <c r="E3091" t="s">
        <v>39</v>
      </c>
      <c r="F3091">
        <v>0</v>
      </c>
      <c r="G3091">
        <v>0</v>
      </c>
      <c r="H3091">
        <v>18</v>
      </c>
      <c r="I3091" s="3">
        <v>1926.62</v>
      </c>
      <c r="J3091" s="3">
        <v>2589.36</v>
      </c>
      <c r="L3091">
        <v>6652</v>
      </c>
      <c r="M3091" t="s">
        <v>455</v>
      </c>
      <c r="N3091" t="s">
        <v>30</v>
      </c>
      <c r="O3091" t="s">
        <v>31</v>
      </c>
      <c r="P3091" t="str">
        <f t="shared" ref="P3091:P3096" si="38">"15217"</f>
        <v>15217</v>
      </c>
    </row>
    <row r="3092" spans="1:16" x14ac:dyDescent="0.25">
      <c r="A3092" t="str">
        <f>"1090049R00353    00"</f>
        <v>1090049R00353    00</v>
      </c>
      <c r="B3092" t="s">
        <v>7492</v>
      </c>
      <c r="C3092" t="s">
        <v>6951</v>
      </c>
      <c r="D3092" t="s">
        <v>20</v>
      </c>
      <c r="E3092" t="s">
        <v>39</v>
      </c>
      <c r="F3092">
        <v>0</v>
      </c>
      <c r="G3092">
        <v>0</v>
      </c>
      <c r="H3092">
        <v>17</v>
      </c>
      <c r="I3092" s="3">
        <v>1869.84</v>
      </c>
      <c r="J3092" s="3">
        <v>2611.9499999999998</v>
      </c>
      <c r="L3092">
        <v>6652</v>
      </c>
      <c r="M3092" t="s">
        <v>455</v>
      </c>
      <c r="N3092" t="s">
        <v>30</v>
      </c>
      <c r="O3092" t="s">
        <v>31</v>
      </c>
      <c r="P3092" t="str">
        <f t="shared" si="38"/>
        <v>15217</v>
      </c>
    </row>
    <row r="3093" spans="1:16" x14ac:dyDescent="0.25">
      <c r="A3093" t="str">
        <f>"1090049R00355    00"</f>
        <v>1090049R00355    00</v>
      </c>
      <c r="B3093" t="s">
        <v>7492</v>
      </c>
      <c r="C3093" t="s">
        <v>6951</v>
      </c>
      <c r="D3093" t="s">
        <v>20</v>
      </c>
      <c r="E3093" t="s">
        <v>39</v>
      </c>
      <c r="F3093">
        <v>0</v>
      </c>
      <c r="G3093">
        <v>0</v>
      </c>
      <c r="H3093">
        <v>7</v>
      </c>
      <c r="I3093" s="3">
        <v>59.52</v>
      </c>
      <c r="J3093" s="3">
        <v>20</v>
      </c>
      <c r="L3093">
        <v>6652</v>
      </c>
      <c r="M3093" t="s">
        <v>455</v>
      </c>
      <c r="N3093" t="s">
        <v>30</v>
      </c>
      <c r="O3093" t="s">
        <v>31</v>
      </c>
      <c r="P3093" t="str">
        <f t="shared" si="38"/>
        <v>15217</v>
      </c>
    </row>
    <row r="3094" spans="1:16" x14ac:dyDescent="0.25">
      <c r="A3094" t="str">
        <f>"1090049R00356    00"</f>
        <v>1090049R00356    00</v>
      </c>
      <c r="B3094" t="s">
        <v>7492</v>
      </c>
      <c r="C3094" t="s">
        <v>6951</v>
      </c>
      <c r="D3094" t="s">
        <v>20</v>
      </c>
      <c r="E3094" t="s">
        <v>39</v>
      </c>
      <c r="F3094">
        <v>0</v>
      </c>
      <c r="G3094">
        <v>0</v>
      </c>
      <c r="H3094">
        <v>10</v>
      </c>
      <c r="I3094" s="3">
        <v>42.42</v>
      </c>
      <c r="J3094" s="3">
        <v>25.66</v>
      </c>
      <c r="L3094">
        <v>6652</v>
      </c>
      <c r="M3094" t="s">
        <v>455</v>
      </c>
      <c r="N3094" t="s">
        <v>30</v>
      </c>
      <c r="O3094" t="s">
        <v>31</v>
      </c>
      <c r="P3094" t="str">
        <f t="shared" si="38"/>
        <v>15217</v>
      </c>
    </row>
    <row r="3095" spans="1:16" x14ac:dyDescent="0.25">
      <c r="A3095" t="str">
        <f>"1090049R00358    00"</f>
        <v>1090049R00358    00</v>
      </c>
      <c r="B3095" t="s">
        <v>7492</v>
      </c>
      <c r="C3095" t="s">
        <v>6951</v>
      </c>
      <c r="D3095" t="s">
        <v>20</v>
      </c>
      <c r="E3095" t="s">
        <v>39</v>
      </c>
      <c r="F3095">
        <v>0</v>
      </c>
      <c r="G3095">
        <v>0</v>
      </c>
      <c r="H3095">
        <v>3</v>
      </c>
      <c r="I3095" s="3">
        <v>22.96</v>
      </c>
      <c r="J3095" s="3">
        <v>2.7</v>
      </c>
      <c r="L3095">
        <v>6652</v>
      </c>
      <c r="M3095" t="s">
        <v>455</v>
      </c>
      <c r="N3095" t="s">
        <v>30</v>
      </c>
      <c r="O3095" t="s">
        <v>31</v>
      </c>
      <c r="P3095" t="str">
        <f t="shared" si="38"/>
        <v>15217</v>
      </c>
    </row>
    <row r="3096" spans="1:16" x14ac:dyDescent="0.25">
      <c r="A3096" t="str">
        <f>"1090049R00359    00"</f>
        <v>1090049R00359    00</v>
      </c>
      <c r="B3096" t="s">
        <v>7492</v>
      </c>
      <c r="C3096" t="s">
        <v>6951</v>
      </c>
      <c r="D3096" t="s">
        <v>20</v>
      </c>
      <c r="E3096" t="s">
        <v>39</v>
      </c>
      <c r="F3096">
        <v>0</v>
      </c>
      <c r="G3096">
        <v>0</v>
      </c>
      <c r="H3096">
        <v>15</v>
      </c>
      <c r="I3096" s="3">
        <v>118.99</v>
      </c>
      <c r="J3096" s="3">
        <v>135.4</v>
      </c>
      <c r="L3096">
        <v>6652</v>
      </c>
      <c r="M3096" t="s">
        <v>455</v>
      </c>
      <c r="N3096" t="s">
        <v>30</v>
      </c>
      <c r="O3096" t="s">
        <v>31</v>
      </c>
      <c r="P3096" t="str">
        <f t="shared" si="38"/>
        <v>15217</v>
      </c>
    </row>
    <row r="3097" spans="1:16" x14ac:dyDescent="0.25">
      <c r="A3097" t="str">
        <f>"1090049S00005    00"</f>
        <v>1090049S00005    00</v>
      </c>
      <c r="B3097" t="s">
        <v>7501</v>
      </c>
      <c r="C3097" t="s">
        <v>7502</v>
      </c>
      <c r="D3097" t="s">
        <v>20</v>
      </c>
      <c r="E3097" t="s">
        <v>21</v>
      </c>
      <c r="F3097">
        <v>0</v>
      </c>
      <c r="G3097">
        <v>0</v>
      </c>
      <c r="H3097">
        <v>2</v>
      </c>
      <c r="I3097" s="3">
        <v>182.98</v>
      </c>
      <c r="J3097" s="3">
        <v>0</v>
      </c>
      <c r="K3097" t="s">
        <v>7503</v>
      </c>
      <c r="L3097">
        <v>4013</v>
      </c>
      <c r="M3097" t="s">
        <v>7504</v>
      </c>
      <c r="N3097" t="s">
        <v>30</v>
      </c>
      <c r="O3097" t="s">
        <v>31</v>
      </c>
      <c r="P3097" t="str">
        <f>"15214"</f>
        <v>15214</v>
      </c>
    </row>
    <row r="3098" spans="1:16" x14ac:dyDescent="0.25">
      <c r="A3098" t="str">
        <f>"1090049S00008    00"</f>
        <v>1090049S00008    00</v>
      </c>
      <c r="B3098" t="s">
        <v>7501</v>
      </c>
      <c r="C3098" t="s">
        <v>7502</v>
      </c>
      <c r="D3098" t="s">
        <v>20</v>
      </c>
      <c r="E3098" t="s">
        <v>21</v>
      </c>
      <c r="F3098">
        <v>0</v>
      </c>
      <c r="G3098">
        <v>0</v>
      </c>
      <c r="H3098">
        <v>2</v>
      </c>
      <c r="I3098" s="3">
        <v>5596.06</v>
      </c>
      <c r="J3098" s="3">
        <v>0</v>
      </c>
      <c r="K3098" t="s">
        <v>7503</v>
      </c>
      <c r="L3098">
        <v>4013</v>
      </c>
      <c r="M3098" t="s">
        <v>7504</v>
      </c>
      <c r="N3098" t="s">
        <v>30</v>
      </c>
      <c r="O3098" t="s">
        <v>31</v>
      </c>
      <c r="P3098" t="str">
        <f>"15214"</f>
        <v>15214</v>
      </c>
    </row>
    <row r="3099" spans="1:16" x14ac:dyDescent="0.25">
      <c r="A3099" t="str">
        <f>"1090049S00010    00"</f>
        <v>1090049S00010    00</v>
      </c>
      <c r="B3099" t="s">
        <v>7501</v>
      </c>
      <c r="C3099" t="s">
        <v>7505</v>
      </c>
      <c r="D3099" t="s">
        <v>20</v>
      </c>
      <c r="E3099" t="s">
        <v>21</v>
      </c>
      <c r="F3099">
        <v>0</v>
      </c>
      <c r="G3099">
        <v>0</v>
      </c>
      <c r="H3099">
        <v>2</v>
      </c>
      <c r="I3099" s="3">
        <v>7841.32</v>
      </c>
      <c r="J3099" s="3">
        <v>0</v>
      </c>
      <c r="K3099" t="s">
        <v>7503</v>
      </c>
      <c r="L3099">
        <v>4013</v>
      </c>
      <c r="M3099" t="s">
        <v>7504</v>
      </c>
      <c r="N3099" t="s">
        <v>30</v>
      </c>
      <c r="O3099" t="s">
        <v>31</v>
      </c>
      <c r="P3099" t="str">
        <f>"15214"</f>
        <v>15214</v>
      </c>
    </row>
    <row r="3100" spans="1:16" x14ac:dyDescent="0.25">
      <c r="A3100" t="str">
        <f>"1090049S00033    00"</f>
        <v>1090049S00033    00</v>
      </c>
      <c r="B3100" t="s">
        <v>7506</v>
      </c>
      <c r="C3100" t="s">
        <v>7507</v>
      </c>
      <c r="D3100" t="s">
        <v>20</v>
      </c>
      <c r="E3100" t="s">
        <v>39</v>
      </c>
      <c r="F3100">
        <v>0</v>
      </c>
      <c r="G3100">
        <v>0</v>
      </c>
      <c r="H3100">
        <v>1</v>
      </c>
      <c r="I3100" s="3">
        <v>1723.05</v>
      </c>
      <c r="J3100" s="3">
        <v>0</v>
      </c>
      <c r="K3100" t="s">
        <v>7437</v>
      </c>
      <c r="M3100" t="s">
        <v>7438</v>
      </c>
      <c r="N3100" t="s">
        <v>30</v>
      </c>
      <c r="O3100" t="s">
        <v>31</v>
      </c>
      <c r="P3100" t="str">
        <f>"15224"</f>
        <v>15224</v>
      </c>
    </row>
    <row r="3101" spans="1:16" x14ac:dyDescent="0.25">
      <c r="A3101" t="str">
        <f>"1090049S00035    00"</f>
        <v>1090049S00035    00</v>
      </c>
      <c r="B3101" t="s">
        <v>7506</v>
      </c>
      <c r="C3101" t="s">
        <v>7508</v>
      </c>
      <c r="D3101" t="s">
        <v>20</v>
      </c>
      <c r="E3101" t="s">
        <v>39</v>
      </c>
      <c r="F3101">
        <v>0</v>
      </c>
      <c r="G3101">
        <v>0</v>
      </c>
      <c r="H3101">
        <v>1</v>
      </c>
      <c r="I3101" s="3">
        <v>1364.7</v>
      </c>
      <c r="J3101" s="3">
        <v>0</v>
      </c>
      <c r="K3101" t="s">
        <v>7437</v>
      </c>
      <c r="M3101" t="s">
        <v>7438</v>
      </c>
      <c r="N3101" t="s">
        <v>30</v>
      </c>
      <c r="O3101" t="s">
        <v>31</v>
      </c>
      <c r="P3101" t="str">
        <f>"15224"</f>
        <v>15224</v>
      </c>
    </row>
    <row r="3102" spans="1:16" x14ac:dyDescent="0.25">
      <c r="A3102" t="str">
        <f>"1090049S00037    00"</f>
        <v>1090049S00037    00</v>
      </c>
      <c r="B3102" t="s">
        <v>7506</v>
      </c>
      <c r="C3102" t="s">
        <v>7509</v>
      </c>
      <c r="D3102" t="s">
        <v>20</v>
      </c>
      <c r="E3102" t="s">
        <v>39</v>
      </c>
      <c r="F3102">
        <v>0</v>
      </c>
      <c r="G3102">
        <v>0</v>
      </c>
      <c r="H3102">
        <v>1</v>
      </c>
      <c r="I3102" s="3">
        <v>1347.55</v>
      </c>
      <c r="J3102" s="3">
        <v>0</v>
      </c>
      <c r="K3102" t="s">
        <v>7437</v>
      </c>
      <c r="M3102" t="s">
        <v>7438</v>
      </c>
      <c r="N3102" t="s">
        <v>30</v>
      </c>
      <c r="O3102" t="s">
        <v>31</v>
      </c>
      <c r="P3102" t="str">
        <f>"15224"</f>
        <v>15224</v>
      </c>
    </row>
    <row r="3103" spans="1:16" x14ac:dyDescent="0.25">
      <c r="A3103" t="str">
        <f>"1090049S00061    00"</f>
        <v>1090049S00061    00</v>
      </c>
      <c r="B3103" t="s">
        <v>7510</v>
      </c>
      <c r="C3103" t="s">
        <v>7511</v>
      </c>
      <c r="E3103" t="s">
        <v>39</v>
      </c>
      <c r="F3103">
        <v>0</v>
      </c>
      <c r="G3103">
        <v>0</v>
      </c>
      <c r="H3103">
        <v>2</v>
      </c>
      <c r="I3103" s="3">
        <v>1577.04</v>
      </c>
      <c r="J3103" s="3">
        <v>530.9</v>
      </c>
      <c r="K3103" t="s">
        <v>7512</v>
      </c>
      <c r="M3103" t="s">
        <v>7513</v>
      </c>
      <c r="N3103" t="s">
        <v>30</v>
      </c>
      <c r="O3103" t="s">
        <v>31</v>
      </c>
      <c r="P3103" t="str">
        <f>"15237"</f>
        <v>15237</v>
      </c>
    </row>
    <row r="3104" spans="1:16" x14ac:dyDescent="0.25">
      <c r="A3104" t="str">
        <f>"1090049S00070000100"</f>
        <v>1090049S00070000100</v>
      </c>
      <c r="B3104" t="s">
        <v>7514</v>
      </c>
      <c r="C3104" t="s">
        <v>7515</v>
      </c>
      <c r="E3104" t="s">
        <v>39</v>
      </c>
      <c r="F3104">
        <v>0</v>
      </c>
      <c r="G3104">
        <v>0</v>
      </c>
      <c r="H3104">
        <v>1</v>
      </c>
      <c r="I3104" s="3">
        <v>765.1</v>
      </c>
      <c r="J3104" s="3">
        <v>306.02999999999997</v>
      </c>
      <c r="K3104" t="s">
        <v>557</v>
      </c>
      <c r="L3104">
        <v>3001</v>
      </c>
      <c r="M3104" t="s">
        <v>330</v>
      </c>
      <c r="N3104" t="s">
        <v>331</v>
      </c>
      <c r="O3104" t="s">
        <v>108</v>
      </c>
      <c r="P3104" t="str">
        <f>"75063"</f>
        <v>75063</v>
      </c>
    </row>
    <row r="3105" spans="1:16" x14ac:dyDescent="0.25">
      <c r="A3105" t="str">
        <f>"1090049S00095    00"</f>
        <v>1090049S00095    00</v>
      </c>
      <c r="B3105" t="s">
        <v>7516</v>
      </c>
      <c r="C3105" t="s">
        <v>7517</v>
      </c>
      <c r="D3105" t="s">
        <v>20</v>
      </c>
      <c r="E3105" t="s">
        <v>39</v>
      </c>
      <c r="F3105">
        <v>0</v>
      </c>
      <c r="G3105">
        <v>0</v>
      </c>
      <c r="H3105">
        <v>1</v>
      </c>
      <c r="I3105" s="3">
        <v>690.44</v>
      </c>
      <c r="J3105" s="3">
        <v>0</v>
      </c>
      <c r="L3105">
        <v>4653</v>
      </c>
      <c r="M3105" t="s">
        <v>7518</v>
      </c>
      <c r="N3105" t="s">
        <v>30</v>
      </c>
      <c r="O3105" t="s">
        <v>31</v>
      </c>
      <c r="P3105" t="str">
        <f>"15224"</f>
        <v>15224</v>
      </c>
    </row>
    <row r="3106" spans="1:16" x14ac:dyDescent="0.25">
      <c r="A3106" t="str">
        <f>"1090049S00098    00"</f>
        <v>1090049S00098    00</v>
      </c>
      <c r="B3106" t="s">
        <v>6355</v>
      </c>
      <c r="C3106" t="s">
        <v>7519</v>
      </c>
      <c r="D3106" t="s">
        <v>20</v>
      </c>
      <c r="E3106" t="s">
        <v>39</v>
      </c>
      <c r="F3106">
        <v>0</v>
      </c>
      <c r="G3106">
        <v>0</v>
      </c>
      <c r="H3106">
        <v>1</v>
      </c>
      <c r="I3106" s="3">
        <v>1665.84</v>
      </c>
      <c r="J3106" s="3">
        <v>0</v>
      </c>
      <c r="L3106">
        <v>3305</v>
      </c>
      <c r="M3106" t="s">
        <v>902</v>
      </c>
      <c r="N3106" t="s">
        <v>30</v>
      </c>
      <c r="O3106" t="s">
        <v>31</v>
      </c>
      <c r="P3106" t="str">
        <f>"15238"</f>
        <v>15238</v>
      </c>
    </row>
    <row r="3107" spans="1:16" x14ac:dyDescent="0.25">
      <c r="A3107" t="str">
        <f>"1090049S00145    00"</f>
        <v>1090049S00145    00</v>
      </c>
      <c r="B3107" t="s">
        <v>7520</v>
      </c>
      <c r="C3107" t="s">
        <v>7521</v>
      </c>
      <c r="D3107" t="s">
        <v>20</v>
      </c>
      <c r="E3107" t="s">
        <v>39</v>
      </c>
      <c r="F3107">
        <v>0</v>
      </c>
      <c r="G3107">
        <v>0</v>
      </c>
      <c r="H3107">
        <v>1</v>
      </c>
      <c r="I3107" s="3">
        <v>165.97</v>
      </c>
      <c r="J3107" s="3">
        <v>0</v>
      </c>
      <c r="L3107">
        <v>222</v>
      </c>
      <c r="M3107" t="s">
        <v>6251</v>
      </c>
      <c r="N3107" t="s">
        <v>30</v>
      </c>
      <c r="O3107" t="s">
        <v>31</v>
      </c>
      <c r="P3107" t="str">
        <f>"15224"</f>
        <v>15224</v>
      </c>
    </row>
    <row r="3108" spans="1:16" x14ac:dyDescent="0.25">
      <c r="A3108" t="str">
        <f>"1090049S00154    00"</f>
        <v>1090049S00154    00</v>
      </c>
      <c r="B3108" t="s">
        <v>7419</v>
      </c>
      <c r="C3108" t="s">
        <v>7522</v>
      </c>
      <c r="D3108" t="s">
        <v>20</v>
      </c>
      <c r="E3108" t="s">
        <v>39</v>
      </c>
      <c r="F3108">
        <v>0</v>
      </c>
      <c r="G3108">
        <v>0</v>
      </c>
      <c r="H3108">
        <v>2</v>
      </c>
      <c r="I3108" s="3">
        <v>4193.24</v>
      </c>
      <c r="J3108" s="3">
        <v>0</v>
      </c>
      <c r="K3108" t="s">
        <v>7421</v>
      </c>
      <c r="M3108" t="s">
        <v>7523</v>
      </c>
      <c r="N3108" t="s">
        <v>6492</v>
      </c>
      <c r="O3108" t="s">
        <v>3486</v>
      </c>
      <c r="P3108" t="str">
        <f>"60567"</f>
        <v>60567</v>
      </c>
    </row>
    <row r="3109" spans="1:16" x14ac:dyDescent="0.25">
      <c r="A3109" t="str">
        <f>"1090049S00159    00"</f>
        <v>1090049S00159    00</v>
      </c>
      <c r="B3109" t="s">
        <v>7524</v>
      </c>
      <c r="C3109" t="s">
        <v>7525</v>
      </c>
      <c r="E3109" t="s">
        <v>39</v>
      </c>
      <c r="F3109">
        <v>0</v>
      </c>
      <c r="G3109">
        <v>0</v>
      </c>
      <c r="H3109">
        <v>1</v>
      </c>
      <c r="I3109" s="3">
        <v>164</v>
      </c>
      <c r="J3109" s="3">
        <v>0</v>
      </c>
      <c r="K3109" t="s">
        <v>7526</v>
      </c>
      <c r="L3109">
        <v>170</v>
      </c>
      <c r="M3109" t="s">
        <v>7527</v>
      </c>
      <c r="N3109" t="s">
        <v>30</v>
      </c>
      <c r="O3109" t="s">
        <v>31</v>
      </c>
      <c r="P3109" t="str">
        <f>"15238"</f>
        <v>15238</v>
      </c>
    </row>
    <row r="3110" spans="1:16" x14ac:dyDescent="0.25">
      <c r="A3110" t="str">
        <f>"1090049S00162    00"</f>
        <v>1090049S00162    00</v>
      </c>
      <c r="B3110" t="s">
        <v>7528</v>
      </c>
      <c r="C3110" t="s">
        <v>7529</v>
      </c>
      <c r="E3110" t="s">
        <v>21</v>
      </c>
      <c r="F3110">
        <v>0</v>
      </c>
      <c r="G3110">
        <v>0</v>
      </c>
      <c r="H3110">
        <v>1</v>
      </c>
      <c r="I3110" s="3">
        <v>2534.64</v>
      </c>
      <c r="J3110" s="3">
        <v>0</v>
      </c>
      <c r="K3110" t="s">
        <v>7530</v>
      </c>
      <c r="L3110">
        <v>311</v>
      </c>
      <c r="M3110" t="s">
        <v>5306</v>
      </c>
      <c r="N3110" t="s">
        <v>30</v>
      </c>
      <c r="O3110" t="s">
        <v>31</v>
      </c>
      <c r="P3110" t="str">
        <f>"15232"</f>
        <v>15232</v>
      </c>
    </row>
    <row r="3111" spans="1:16" x14ac:dyDescent="0.25">
      <c r="A3111" t="str">
        <f>"1090049S00164    00"</f>
        <v>1090049S00164    00</v>
      </c>
      <c r="B3111" t="s">
        <v>7524</v>
      </c>
      <c r="C3111" t="s">
        <v>7525</v>
      </c>
      <c r="E3111" t="s">
        <v>21</v>
      </c>
      <c r="F3111">
        <v>0</v>
      </c>
      <c r="G3111">
        <v>0</v>
      </c>
      <c r="H3111">
        <v>1</v>
      </c>
      <c r="I3111" s="3">
        <v>8850.8799999999992</v>
      </c>
      <c r="J3111" s="3">
        <v>0</v>
      </c>
      <c r="K3111" t="s">
        <v>7526</v>
      </c>
      <c r="L3111">
        <v>170</v>
      </c>
      <c r="M3111" t="s">
        <v>7527</v>
      </c>
      <c r="N3111" t="s">
        <v>30</v>
      </c>
      <c r="O3111" t="s">
        <v>31</v>
      </c>
      <c r="P3111" t="str">
        <f>"15238"</f>
        <v>15238</v>
      </c>
    </row>
    <row r="3112" spans="1:16" x14ac:dyDescent="0.25">
      <c r="A3112" t="str">
        <f>"1090049S00198    00"</f>
        <v>1090049S00198    00</v>
      </c>
      <c r="B3112" t="s">
        <v>7531</v>
      </c>
      <c r="C3112" t="s">
        <v>7532</v>
      </c>
      <c r="D3112" t="s">
        <v>20</v>
      </c>
      <c r="E3112" t="s">
        <v>39</v>
      </c>
      <c r="F3112">
        <v>0</v>
      </c>
      <c r="G3112">
        <v>0</v>
      </c>
      <c r="H3112">
        <v>1</v>
      </c>
      <c r="I3112" s="3">
        <v>1944.12</v>
      </c>
      <c r="J3112" s="3">
        <v>0</v>
      </c>
      <c r="K3112" t="s">
        <v>7050</v>
      </c>
      <c r="L3112">
        <v>901</v>
      </c>
      <c r="M3112" t="s">
        <v>6264</v>
      </c>
      <c r="N3112" t="s">
        <v>30</v>
      </c>
      <c r="O3112" t="s">
        <v>31</v>
      </c>
      <c r="P3112" t="str">
        <f>"15203"</f>
        <v>15203</v>
      </c>
    </row>
    <row r="3113" spans="1:16" x14ac:dyDescent="0.25">
      <c r="A3113" t="str">
        <f>"1090049S00230    00"</f>
        <v>1090049S00230    00</v>
      </c>
      <c r="B3113" t="s">
        <v>7533</v>
      </c>
      <c r="C3113" t="s">
        <v>7534</v>
      </c>
      <c r="D3113" t="s">
        <v>20</v>
      </c>
      <c r="E3113" t="s">
        <v>39</v>
      </c>
      <c r="F3113">
        <v>0</v>
      </c>
      <c r="G3113">
        <v>0</v>
      </c>
      <c r="H3113">
        <v>1</v>
      </c>
      <c r="I3113" s="3">
        <v>1280.83</v>
      </c>
      <c r="J3113" s="3">
        <v>0</v>
      </c>
      <c r="L3113">
        <v>345</v>
      </c>
      <c r="M3113" t="s">
        <v>7535</v>
      </c>
      <c r="N3113" t="s">
        <v>30</v>
      </c>
      <c r="O3113" t="s">
        <v>31</v>
      </c>
      <c r="P3113" t="str">
        <f>"15224"</f>
        <v>15224</v>
      </c>
    </row>
    <row r="3114" spans="1:16" x14ac:dyDescent="0.25">
      <c r="A3114" t="str">
        <f>"1090049S00236    00"</f>
        <v>1090049S00236    00</v>
      </c>
      <c r="B3114" t="s">
        <v>7536</v>
      </c>
      <c r="C3114" t="s">
        <v>7537</v>
      </c>
      <c r="D3114" t="s">
        <v>20</v>
      </c>
      <c r="E3114" t="s">
        <v>39</v>
      </c>
      <c r="F3114">
        <v>0</v>
      </c>
      <c r="G3114">
        <v>0</v>
      </c>
      <c r="H3114">
        <v>3</v>
      </c>
      <c r="I3114" s="3">
        <v>2742.14</v>
      </c>
      <c r="J3114" s="3">
        <v>0</v>
      </c>
      <c r="K3114" t="s">
        <v>1135</v>
      </c>
      <c r="L3114">
        <v>3001</v>
      </c>
      <c r="M3114" t="s">
        <v>330</v>
      </c>
      <c r="N3114" t="s">
        <v>331</v>
      </c>
      <c r="O3114" t="s">
        <v>108</v>
      </c>
      <c r="P3114" t="str">
        <f>"75063"</f>
        <v>75063</v>
      </c>
    </row>
    <row r="3115" spans="1:16" x14ac:dyDescent="0.25">
      <c r="A3115" t="str">
        <f>"1090049S00245    00"</f>
        <v>1090049S00245    00</v>
      </c>
      <c r="B3115" t="s">
        <v>7538</v>
      </c>
      <c r="C3115" t="s">
        <v>7539</v>
      </c>
      <c r="D3115" t="s">
        <v>20</v>
      </c>
      <c r="E3115" t="s">
        <v>39</v>
      </c>
      <c r="F3115">
        <v>0</v>
      </c>
      <c r="G3115">
        <v>0</v>
      </c>
      <c r="H3115">
        <v>1</v>
      </c>
      <c r="I3115" s="3">
        <v>133.41999999999999</v>
      </c>
      <c r="J3115" s="3">
        <v>0</v>
      </c>
      <c r="L3115">
        <v>225</v>
      </c>
      <c r="M3115" t="s">
        <v>6272</v>
      </c>
      <c r="N3115" t="s">
        <v>30</v>
      </c>
      <c r="O3115" t="s">
        <v>31</v>
      </c>
      <c r="P3115" t="str">
        <f>"15224"</f>
        <v>15224</v>
      </c>
    </row>
    <row r="3116" spans="1:16" x14ac:dyDescent="0.25">
      <c r="A3116" t="str">
        <f>"1090049S00263    00"</f>
        <v>1090049S00263    00</v>
      </c>
      <c r="B3116" t="s">
        <v>7540</v>
      </c>
      <c r="C3116" t="s">
        <v>7541</v>
      </c>
      <c r="D3116" t="s">
        <v>20</v>
      </c>
      <c r="E3116" t="s">
        <v>39</v>
      </c>
      <c r="F3116">
        <v>0</v>
      </c>
      <c r="G3116">
        <v>0</v>
      </c>
      <c r="H3116">
        <v>5</v>
      </c>
      <c r="I3116" s="3">
        <v>5340.16</v>
      </c>
      <c r="J3116" s="3">
        <v>360.77</v>
      </c>
      <c r="K3116" t="s">
        <v>7542</v>
      </c>
      <c r="L3116">
        <v>3015</v>
      </c>
      <c r="M3116" t="s">
        <v>6407</v>
      </c>
      <c r="N3116" t="s">
        <v>30</v>
      </c>
      <c r="O3116" t="s">
        <v>31</v>
      </c>
      <c r="P3116" t="str">
        <f>"15203"</f>
        <v>15203</v>
      </c>
    </row>
    <row r="3117" spans="1:16" x14ac:dyDescent="0.25">
      <c r="A3117" t="str">
        <f>"1090049S00319    00"</f>
        <v>1090049S00319    00</v>
      </c>
      <c r="B3117" t="s">
        <v>7543</v>
      </c>
      <c r="C3117" t="s">
        <v>7544</v>
      </c>
      <c r="E3117" t="s">
        <v>21</v>
      </c>
      <c r="F3117">
        <v>0</v>
      </c>
      <c r="G3117">
        <v>0</v>
      </c>
      <c r="H3117">
        <v>1</v>
      </c>
      <c r="I3117" s="3">
        <v>2141.91</v>
      </c>
      <c r="J3117" s="3">
        <v>856.73</v>
      </c>
      <c r="L3117">
        <v>401</v>
      </c>
      <c r="M3117" t="s">
        <v>7545</v>
      </c>
      <c r="N3117" t="s">
        <v>903</v>
      </c>
      <c r="O3117" t="s">
        <v>31</v>
      </c>
      <c r="P3117" t="str">
        <f>"15136"</f>
        <v>15136</v>
      </c>
    </row>
    <row r="3118" spans="1:16" x14ac:dyDescent="0.25">
      <c r="A3118" t="str">
        <f>"1090049S00395    00"</f>
        <v>1090049S00395    00</v>
      </c>
      <c r="B3118" t="s">
        <v>7546</v>
      </c>
      <c r="C3118" t="s">
        <v>7547</v>
      </c>
      <c r="E3118" t="s">
        <v>21</v>
      </c>
      <c r="F3118">
        <v>0</v>
      </c>
      <c r="G3118">
        <v>0</v>
      </c>
      <c r="H3118">
        <v>1</v>
      </c>
      <c r="I3118" s="3">
        <v>114.36</v>
      </c>
      <c r="J3118" s="3">
        <v>0</v>
      </c>
      <c r="L3118">
        <v>1119</v>
      </c>
      <c r="M3118" t="s">
        <v>7548</v>
      </c>
      <c r="N3118" t="s">
        <v>30</v>
      </c>
      <c r="O3118" t="s">
        <v>31</v>
      </c>
      <c r="P3118" t="str">
        <f>"15218"</f>
        <v>15218</v>
      </c>
    </row>
    <row r="3119" spans="1:16" x14ac:dyDescent="0.25">
      <c r="A3119" t="str">
        <f>"1090050J00128    00"</f>
        <v>1090050J00128    00</v>
      </c>
      <c r="B3119" t="s">
        <v>7549</v>
      </c>
      <c r="C3119" t="s">
        <v>7550</v>
      </c>
      <c r="D3119" t="s">
        <v>20</v>
      </c>
      <c r="E3119" t="s">
        <v>39</v>
      </c>
      <c r="F3119">
        <v>0</v>
      </c>
      <c r="G3119">
        <v>0</v>
      </c>
      <c r="H3119">
        <v>1</v>
      </c>
      <c r="I3119" s="3">
        <v>82.84</v>
      </c>
      <c r="J3119" s="3">
        <v>0.69</v>
      </c>
      <c r="K3119" t="s">
        <v>4992</v>
      </c>
      <c r="L3119">
        <v>18111</v>
      </c>
      <c r="M3119" t="s">
        <v>4993</v>
      </c>
      <c r="N3119" t="s">
        <v>107</v>
      </c>
      <c r="O3119" t="s">
        <v>108</v>
      </c>
      <c r="P3119" t="str">
        <f>"75252"</f>
        <v>75252</v>
      </c>
    </row>
    <row r="3120" spans="1:16" x14ac:dyDescent="0.25">
      <c r="A3120" t="str">
        <f>"1090050J00129    00"</f>
        <v>1090050J00129    00</v>
      </c>
      <c r="B3120" t="s">
        <v>7551</v>
      </c>
      <c r="C3120" t="s">
        <v>7552</v>
      </c>
      <c r="E3120" t="s">
        <v>39</v>
      </c>
      <c r="F3120">
        <v>0</v>
      </c>
      <c r="G3120">
        <v>0</v>
      </c>
      <c r="H3120">
        <v>1</v>
      </c>
      <c r="I3120" s="3">
        <v>1076.25</v>
      </c>
      <c r="J3120" s="3">
        <v>0</v>
      </c>
      <c r="K3120" t="s">
        <v>7553</v>
      </c>
      <c r="L3120">
        <v>510</v>
      </c>
      <c r="M3120" t="s">
        <v>7554</v>
      </c>
      <c r="N3120" t="s">
        <v>30</v>
      </c>
      <c r="O3120" t="s">
        <v>31</v>
      </c>
      <c r="P3120" t="str">
        <f>"15212"</f>
        <v>15212</v>
      </c>
    </row>
    <row r="3121" spans="1:16" x14ac:dyDescent="0.25">
      <c r="A3121" t="str">
        <f>"1090050J00134    00"</f>
        <v>1090050J00134    00</v>
      </c>
      <c r="B3121" t="s">
        <v>7555</v>
      </c>
      <c r="C3121" t="s">
        <v>7556</v>
      </c>
      <c r="D3121" t="s">
        <v>20</v>
      </c>
      <c r="E3121" t="s">
        <v>39</v>
      </c>
      <c r="F3121">
        <v>0</v>
      </c>
      <c r="G3121">
        <v>0</v>
      </c>
      <c r="H3121">
        <v>2</v>
      </c>
      <c r="I3121" s="3">
        <v>1067.3599999999999</v>
      </c>
      <c r="J3121" s="3">
        <v>0</v>
      </c>
      <c r="M3121" t="s">
        <v>7557</v>
      </c>
      <c r="N3121" t="s">
        <v>30</v>
      </c>
      <c r="O3121" t="s">
        <v>31</v>
      </c>
      <c r="P3121" t="str">
        <f>"15239"</f>
        <v>15239</v>
      </c>
    </row>
    <row r="3122" spans="1:16" x14ac:dyDescent="0.25">
      <c r="A3122" t="str">
        <f>"1090050J00135    00"</f>
        <v>1090050J00135    00</v>
      </c>
      <c r="B3122" t="s">
        <v>7558</v>
      </c>
      <c r="C3122" t="s">
        <v>7556</v>
      </c>
      <c r="D3122" t="s">
        <v>20</v>
      </c>
      <c r="E3122" t="s">
        <v>39</v>
      </c>
      <c r="F3122">
        <v>0</v>
      </c>
      <c r="G3122">
        <v>0</v>
      </c>
      <c r="H3122">
        <v>2</v>
      </c>
      <c r="I3122" s="3">
        <v>945.38</v>
      </c>
      <c r="J3122" s="3">
        <v>0</v>
      </c>
      <c r="M3122" t="s">
        <v>7557</v>
      </c>
      <c r="N3122" t="s">
        <v>30</v>
      </c>
      <c r="O3122" t="s">
        <v>31</v>
      </c>
      <c r="P3122" t="str">
        <f>"15239"</f>
        <v>15239</v>
      </c>
    </row>
    <row r="3123" spans="1:16" x14ac:dyDescent="0.25">
      <c r="A3123" t="str">
        <f>"1090050J00136    00"</f>
        <v>1090050J00136    00</v>
      </c>
      <c r="B3123" t="s">
        <v>7558</v>
      </c>
      <c r="C3123" t="s">
        <v>7556</v>
      </c>
      <c r="D3123" t="s">
        <v>20</v>
      </c>
      <c r="E3123" t="s">
        <v>39</v>
      </c>
      <c r="F3123">
        <v>0</v>
      </c>
      <c r="G3123">
        <v>0</v>
      </c>
      <c r="H3123">
        <v>2</v>
      </c>
      <c r="I3123" s="3">
        <v>587.05999999999995</v>
      </c>
      <c r="J3123" s="3">
        <v>0</v>
      </c>
      <c r="M3123" t="s">
        <v>7557</v>
      </c>
      <c r="N3123" t="s">
        <v>30</v>
      </c>
      <c r="O3123" t="s">
        <v>31</v>
      </c>
      <c r="P3123" t="str">
        <f>"15239"</f>
        <v>15239</v>
      </c>
    </row>
    <row r="3124" spans="1:16" x14ac:dyDescent="0.25">
      <c r="A3124" t="str">
        <f>"1090050J00147    00"</f>
        <v>1090050J00147    00</v>
      </c>
      <c r="B3124" t="s">
        <v>7559</v>
      </c>
      <c r="C3124" t="s">
        <v>7560</v>
      </c>
      <c r="E3124" t="s">
        <v>39</v>
      </c>
      <c r="F3124">
        <v>0</v>
      </c>
      <c r="G3124">
        <v>0</v>
      </c>
      <c r="H3124">
        <v>1</v>
      </c>
      <c r="I3124" s="3">
        <v>367.38</v>
      </c>
      <c r="J3124" s="3">
        <v>0</v>
      </c>
      <c r="K3124" t="s">
        <v>7561</v>
      </c>
      <c r="L3124">
        <v>4613</v>
      </c>
      <c r="M3124" t="s">
        <v>6403</v>
      </c>
      <c r="N3124" t="s">
        <v>30</v>
      </c>
      <c r="O3124" t="s">
        <v>31</v>
      </c>
      <c r="P3124" t="str">
        <f>"15224"</f>
        <v>15224</v>
      </c>
    </row>
    <row r="3125" spans="1:16" x14ac:dyDescent="0.25">
      <c r="A3125" t="str">
        <f>"1090050J00148    00"</f>
        <v>1090050J00148    00</v>
      </c>
      <c r="B3125" t="s">
        <v>7562</v>
      </c>
      <c r="C3125" t="s">
        <v>7563</v>
      </c>
      <c r="D3125" t="s">
        <v>20</v>
      </c>
      <c r="E3125" t="s">
        <v>39</v>
      </c>
      <c r="F3125">
        <v>0</v>
      </c>
      <c r="G3125">
        <v>0</v>
      </c>
      <c r="H3125">
        <v>4</v>
      </c>
      <c r="I3125" s="3">
        <v>4530.04</v>
      </c>
      <c r="J3125" s="3">
        <v>1691.02</v>
      </c>
      <c r="L3125">
        <v>4615</v>
      </c>
      <c r="M3125" t="s">
        <v>6403</v>
      </c>
      <c r="N3125" t="s">
        <v>30</v>
      </c>
      <c r="O3125" t="s">
        <v>31</v>
      </c>
      <c r="P3125" t="str">
        <f>"15224"</f>
        <v>15224</v>
      </c>
    </row>
    <row r="3126" spans="1:16" x14ac:dyDescent="0.25">
      <c r="A3126" t="str">
        <f>"1090050J00201A   00"</f>
        <v>1090050J00201A   00</v>
      </c>
      <c r="B3126" t="s">
        <v>7564</v>
      </c>
      <c r="C3126" t="s">
        <v>7565</v>
      </c>
      <c r="D3126" t="s">
        <v>20</v>
      </c>
      <c r="E3126" t="s">
        <v>39</v>
      </c>
      <c r="F3126">
        <v>0</v>
      </c>
      <c r="G3126">
        <v>0</v>
      </c>
      <c r="H3126">
        <v>9</v>
      </c>
      <c r="I3126" s="3">
        <v>6851.62</v>
      </c>
      <c r="J3126" s="3">
        <v>2376.15</v>
      </c>
      <c r="K3126" t="s">
        <v>7566</v>
      </c>
      <c r="L3126">
        <v>801</v>
      </c>
      <c r="M3126" t="s">
        <v>7567</v>
      </c>
      <c r="N3126" t="s">
        <v>195</v>
      </c>
      <c r="O3126" t="s">
        <v>31</v>
      </c>
      <c r="P3126" t="str">
        <f>"15101"</f>
        <v>15101</v>
      </c>
    </row>
    <row r="3127" spans="1:16" x14ac:dyDescent="0.25">
      <c r="A3127" t="str">
        <f>"1090050N00005    00"</f>
        <v>1090050N00005    00</v>
      </c>
      <c r="B3127" t="s">
        <v>7568</v>
      </c>
      <c r="C3127" t="s">
        <v>7569</v>
      </c>
      <c r="D3127" t="s">
        <v>20</v>
      </c>
      <c r="E3127" t="s">
        <v>39</v>
      </c>
      <c r="F3127">
        <v>0</v>
      </c>
      <c r="G3127">
        <v>0</v>
      </c>
      <c r="H3127">
        <v>1</v>
      </c>
      <c r="I3127" s="3">
        <v>888.2</v>
      </c>
      <c r="J3127" s="3">
        <v>0</v>
      </c>
      <c r="K3127" t="s">
        <v>7050</v>
      </c>
      <c r="L3127">
        <v>901</v>
      </c>
      <c r="M3127" t="s">
        <v>6264</v>
      </c>
      <c r="N3127" t="s">
        <v>30</v>
      </c>
      <c r="O3127" t="s">
        <v>31</v>
      </c>
      <c r="P3127" t="str">
        <f>"15203"</f>
        <v>15203</v>
      </c>
    </row>
    <row r="3128" spans="1:16" x14ac:dyDescent="0.25">
      <c r="A3128" t="str">
        <f>"1090050N00011    00"</f>
        <v>1090050N00011    00</v>
      </c>
      <c r="B3128" t="s">
        <v>7570</v>
      </c>
      <c r="C3128" t="s">
        <v>7571</v>
      </c>
      <c r="E3128" t="s">
        <v>39</v>
      </c>
      <c r="F3128">
        <v>0</v>
      </c>
      <c r="G3128">
        <v>0</v>
      </c>
      <c r="H3128">
        <v>1</v>
      </c>
      <c r="I3128" s="3">
        <v>1292.74</v>
      </c>
      <c r="J3128" s="3">
        <v>355.48</v>
      </c>
      <c r="K3128" t="s">
        <v>5861</v>
      </c>
      <c r="L3128">
        <v>3001</v>
      </c>
      <c r="M3128" t="s">
        <v>330</v>
      </c>
      <c r="N3128" t="s">
        <v>331</v>
      </c>
      <c r="O3128" t="s">
        <v>108</v>
      </c>
      <c r="P3128" t="str">
        <f>"75063"</f>
        <v>75063</v>
      </c>
    </row>
    <row r="3129" spans="1:16" x14ac:dyDescent="0.25">
      <c r="A3129" t="str">
        <f>"1090050N00021    00"</f>
        <v>1090050N00021    00</v>
      </c>
      <c r="B3129" t="s">
        <v>2718</v>
      </c>
      <c r="C3129" t="s">
        <v>7572</v>
      </c>
      <c r="E3129" t="s">
        <v>39</v>
      </c>
      <c r="F3129">
        <v>0</v>
      </c>
      <c r="G3129">
        <v>0</v>
      </c>
      <c r="H3129">
        <v>1</v>
      </c>
      <c r="I3129" s="3">
        <v>741.08</v>
      </c>
      <c r="J3129" s="3">
        <v>0</v>
      </c>
      <c r="K3129" t="s">
        <v>6314</v>
      </c>
      <c r="L3129">
        <v>5915</v>
      </c>
      <c r="M3129" t="s">
        <v>2720</v>
      </c>
      <c r="N3129" t="s">
        <v>30</v>
      </c>
      <c r="O3129" t="s">
        <v>31</v>
      </c>
      <c r="P3129" t="str">
        <f>"15206"</f>
        <v>15206</v>
      </c>
    </row>
    <row r="3130" spans="1:16" x14ac:dyDescent="0.25">
      <c r="A3130" t="str">
        <f>"1090050N00022    00"</f>
        <v>1090050N00022    00</v>
      </c>
      <c r="B3130" t="s">
        <v>7573</v>
      </c>
      <c r="C3130" t="s">
        <v>7574</v>
      </c>
      <c r="D3130" t="s">
        <v>20</v>
      </c>
      <c r="E3130" t="s">
        <v>39</v>
      </c>
      <c r="F3130">
        <v>0</v>
      </c>
      <c r="G3130">
        <v>0</v>
      </c>
      <c r="H3130">
        <v>1</v>
      </c>
      <c r="I3130" s="3">
        <v>2117.58</v>
      </c>
      <c r="J3130" s="3">
        <v>0</v>
      </c>
      <c r="K3130" t="s">
        <v>7575</v>
      </c>
      <c r="L3130">
        <v>656</v>
      </c>
      <c r="M3130" t="s">
        <v>7576</v>
      </c>
      <c r="N3130" t="s">
        <v>7577</v>
      </c>
      <c r="O3130" t="s">
        <v>1184</v>
      </c>
      <c r="P3130" t="str">
        <f>"20878"</f>
        <v>20878</v>
      </c>
    </row>
    <row r="3131" spans="1:16" x14ac:dyDescent="0.25">
      <c r="A3131" t="str">
        <f>"1090050N00036    00"</f>
        <v>1090050N00036    00</v>
      </c>
      <c r="B3131" t="s">
        <v>7578</v>
      </c>
      <c r="C3131" t="s">
        <v>7579</v>
      </c>
      <c r="D3131" t="s">
        <v>20</v>
      </c>
      <c r="E3131" t="s">
        <v>39</v>
      </c>
      <c r="F3131">
        <v>0</v>
      </c>
      <c r="G3131">
        <v>0</v>
      </c>
      <c r="H3131">
        <v>6</v>
      </c>
      <c r="I3131" s="3">
        <v>6867.29</v>
      </c>
      <c r="J3131" s="3">
        <v>208.94</v>
      </c>
      <c r="L3131">
        <v>170</v>
      </c>
      <c r="M3131" t="s">
        <v>6269</v>
      </c>
      <c r="N3131" t="s">
        <v>30</v>
      </c>
      <c r="O3131" t="s">
        <v>31</v>
      </c>
      <c r="P3131" t="str">
        <f>"15224"</f>
        <v>15224</v>
      </c>
    </row>
    <row r="3132" spans="1:16" x14ac:dyDescent="0.25">
      <c r="A3132" t="str">
        <f>"1090080F00002    00"</f>
        <v>1090080F00002    00</v>
      </c>
      <c r="B3132" t="s">
        <v>7580</v>
      </c>
      <c r="C3132" t="s">
        <v>7581</v>
      </c>
      <c r="D3132" t="s">
        <v>20</v>
      </c>
      <c r="E3132" t="s">
        <v>39</v>
      </c>
      <c r="F3132">
        <v>0</v>
      </c>
      <c r="G3132">
        <v>0</v>
      </c>
      <c r="H3132">
        <v>2</v>
      </c>
      <c r="I3132" s="3">
        <v>895.74</v>
      </c>
      <c r="J3132" s="3">
        <v>910.6</v>
      </c>
      <c r="K3132" t="s">
        <v>7582</v>
      </c>
      <c r="L3132">
        <v>461</v>
      </c>
      <c r="M3132" t="s">
        <v>7583</v>
      </c>
      <c r="N3132" t="s">
        <v>30</v>
      </c>
      <c r="O3132" t="s">
        <v>31</v>
      </c>
      <c r="P3132" t="str">
        <f>"15228"</f>
        <v>15228</v>
      </c>
    </row>
    <row r="3133" spans="1:16" x14ac:dyDescent="0.25">
      <c r="A3133" t="str">
        <f>"1090080F00004    00"</f>
        <v>1090080F00004    00</v>
      </c>
      <c r="B3133" t="s">
        <v>7580</v>
      </c>
      <c r="C3133" t="s">
        <v>7584</v>
      </c>
      <c r="E3133" t="s">
        <v>39</v>
      </c>
      <c r="F3133">
        <v>0</v>
      </c>
      <c r="G3133">
        <v>0</v>
      </c>
      <c r="H3133">
        <v>1</v>
      </c>
      <c r="I3133" s="3">
        <v>444.47</v>
      </c>
      <c r="J3133" s="3">
        <v>503.71</v>
      </c>
      <c r="K3133" t="s">
        <v>7582</v>
      </c>
      <c r="L3133">
        <v>461</v>
      </c>
      <c r="M3133" t="s">
        <v>7583</v>
      </c>
      <c r="N3133" t="s">
        <v>30</v>
      </c>
      <c r="O3133" t="s">
        <v>31</v>
      </c>
      <c r="P3133" t="str">
        <f>"15228"</f>
        <v>15228</v>
      </c>
    </row>
    <row r="3134" spans="1:16" x14ac:dyDescent="0.25">
      <c r="A3134" t="str">
        <f>"1090080F00011    00"</f>
        <v>1090080F00011    00</v>
      </c>
      <c r="B3134" t="s">
        <v>7585</v>
      </c>
      <c r="C3134" t="s">
        <v>7586</v>
      </c>
      <c r="E3134" t="s">
        <v>39</v>
      </c>
      <c r="F3134">
        <v>0</v>
      </c>
      <c r="G3134">
        <v>0</v>
      </c>
      <c r="H3134">
        <v>1</v>
      </c>
      <c r="I3134" s="3">
        <v>839.96</v>
      </c>
      <c r="J3134" s="3">
        <v>244.97</v>
      </c>
      <c r="L3134">
        <v>4850</v>
      </c>
      <c r="M3134" t="s">
        <v>7587</v>
      </c>
      <c r="N3134" t="s">
        <v>30</v>
      </c>
      <c r="O3134" t="s">
        <v>31</v>
      </c>
      <c r="P3134" t="str">
        <f>"15201"</f>
        <v>15201</v>
      </c>
    </row>
    <row r="3135" spans="1:16" x14ac:dyDescent="0.25">
      <c r="A3135" t="str">
        <f>"1090080F00091    00"</f>
        <v>1090080F00091    00</v>
      </c>
      <c r="B3135" t="s">
        <v>7588</v>
      </c>
      <c r="C3135" t="s">
        <v>7589</v>
      </c>
      <c r="E3135" t="s">
        <v>39</v>
      </c>
      <c r="F3135">
        <v>0</v>
      </c>
      <c r="G3135">
        <v>0</v>
      </c>
      <c r="H3135">
        <v>1</v>
      </c>
      <c r="I3135" s="3">
        <v>1146.98</v>
      </c>
      <c r="J3135" s="3">
        <v>0</v>
      </c>
      <c r="K3135" t="s">
        <v>805</v>
      </c>
      <c r="L3135">
        <v>3001</v>
      </c>
      <c r="M3135" t="s">
        <v>330</v>
      </c>
      <c r="N3135" t="s">
        <v>331</v>
      </c>
      <c r="O3135" t="s">
        <v>108</v>
      </c>
      <c r="P3135" t="str">
        <f>"75063"</f>
        <v>75063</v>
      </c>
    </row>
    <row r="3136" spans="1:16" x14ac:dyDescent="0.25">
      <c r="A3136" t="str">
        <f>"1090080F00114    00"</f>
        <v>1090080F00114    00</v>
      </c>
      <c r="B3136" t="s">
        <v>5020</v>
      </c>
      <c r="C3136" t="s">
        <v>7590</v>
      </c>
      <c r="E3136" t="s">
        <v>39</v>
      </c>
      <c r="F3136">
        <v>0</v>
      </c>
      <c r="G3136">
        <v>0</v>
      </c>
      <c r="H3136">
        <v>1</v>
      </c>
      <c r="I3136" s="3">
        <v>444.91</v>
      </c>
      <c r="J3136" s="3">
        <v>0</v>
      </c>
      <c r="K3136" t="s">
        <v>6961</v>
      </c>
      <c r="L3136">
        <v>1151</v>
      </c>
      <c r="M3136" t="s">
        <v>6962</v>
      </c>
      <c r="N3136" t="s">
        <v>30</v>
      </c>
      <c r="O3136" t="s">
        <v>31</v>
      </c>
      <c r="P3136" t="str">
        <f>"15238"</f>
        <v>15238</v>
      </c>
    </row>
    <row r="3137" spans="1:16" x14ac:dyDescent="0.25">
      <c r="A3137" t="str">
        <f>"1090080F00139    00"</f>
        <v>1090080F00139    00</v>
      </c>
      <c r="B3137" t="s">
        <v>7591</v>
      </c>
      <c r="C3137" t="s">
        <v>7592</v>
      </c>
      <c r="E3137" t="s">
        <v>39</v>
      </c>
      <c r="F3137">
        <v>0</v>
      </c>
      <c r="G3137">
        <v>0</v>
      </c>
      <c r="H3137">
        <v>1</v>
      </c>
      <c r="I3137" s="3">
        <v>673.47</v>
      </c>
      <c r="J3137" s="3">
        <v>0</v>
      </c>
      <c r="K3137" t="s">
        <v>7593</v>
      </c>
      <c r="L3137">
        <v>4833</v>
      </c>
      <c r="M3137" t="s">
        <v>7587</v>
      </c>
      <c r="N3137" t="s">
        <v>30</v>
      </c>
      <c r="O3137" t="s">
        <v>31</v>
      </c>
      <c r="P3137" t="str">
        <f>"15201"</f>
        <v>15201</v>
      </c>
    </row>
    <row r="3138" spans="1:16" x14ac:dyDescent="0.25">
      <c r="A3138" t="str">
        <f>"1090080F00140    00"</f>
        <v>1090080F00140    00</v>
      </c>
      <c r="B3138" t="s">
        <v>7594</v>
      </c>
      <c r="C3138" t="s">
        <v>7595</v>
      </c>
      <c r="D3138" t="s">
        <v>20</v>
      </c>
      <c r="E3138" t="s">
        <v>39</v>
      </c>
      <c r="F3138">
        <v>0</v>
      </c>
      <c r="G3138">
        <v>0</v>
      </c>
      <c r="H3138">
        <v>1</v>
      </c>
      <c r="I3138" s="3">
        <v>3417.49</v>
      </c>
      <c r="J3138" s="3">
        <v>0</v>
      </c>
      <c r="L3138">
        <v>4831</v>
      </c>
      <c r="M3138" t="s">
        <v>7596</v>
      </c>
      <c r="N3138" t="s">
        <v>30</v>
      </c>
      <c r="O3138" t="s">
        <v>31</v>
      </c>
      <c r="P3138" t="str">
        <f>"15201"</f>
        <v>15201</v>
      </c>
    </row>
    <row r="3139" spans="1:16" x14ac:dyDescent="0.25">
      <c r="A3139" t="str">
        <f>"1090080F00143A   00"</f>
        <v>1090080F00143A   00</v>
      </c>
      <c r="B3139" t="s">
        <v>7597</v>
      </c>
      <c r="C3139" t="s">
        <v>7598</v>
      </c>
      <c r="E3139" t="s">
        <v>39</v>
      </c>
      <c r="F3139">
        <v>0</v>
      </c>
      <c r="G3139">
        <v>0</v>
      </c>
      <c r="H3139">
        <v>7</v>
      </c>
      <c r="I3139" s="3">
        <v>3030.24</v>
      </c>
      <c r="J3139" s="3">
        <v>1648.74</v>
      </c>
      <c r="L3139">
        <v>4856</v>
      </c>
      <c r="M3139" t="s">
        <v>7587</v>
      </c>
      <c r="N3139" t="s">
        <v>30</v>
      </c>
      <c r="O3139" t="s">
        <v>31</v>
      </c>
      <c r="P3139" t="str">
        <f>"15201"</f>
        <v>15201</v>
      </c>
    </row>
    <row r="3140" spans="1:16" x14ac:dyDescent="0.25">
      <c r="A3140" t="str">
        <f>"1090080F00148    00"</f>
        <v>1090080F00148    00</v>
      </c>
      <c r="B3140" t="s">
        <v>7599</v>
      </c>
      <c r="C3140" t="s">
        <v>7600</v>
      </c>
      <c r="D3140" t="s">
        <v>20</v>
      </c>
      <c r="E3140" t="s">
        <v>39</v>
      </c>
      <c r="F3140">
        <v>0</v>
      </c>
      <c r="G3140">
        <v>0</v>
      </c>
      <c r="H3140">
        <v>1</v>
      </c>
      <c r="I3140" s="3">
        <v>593.25</v>
      </c>
      <c r="J3140" s="3">
        <v>0</v>
      </c>
      <c r="L3140">
        <v>172</v>
      </c>
      <c r="M3140" t="s">
        <v>7601</v>
      </c>
      <c r="N3140" t="s">
        <v>30</v>
      </c>
      <c r="O3140" t="s">
        <v>31</v>
      </c>
      <c r="P3140" t="str">
        <f>"15201"</f>
        <v>15201</v>
      </c>
    </row>
    <row r="3141" spans="1:16" x14ac:dyDescent="0.25">
      <c r="A3141" t="str">
        <f>"1090080G00014    00"</f>
        <v>1090080G00014    00</v>
      </c>
      <c r="B3141" t="s">
        <v>7602</v>
      </c>
      <c r="C3141" t="s">
        <v>7603</v>
      </c>
      <c r="E3141" t="s">
        <v>39</v>
      </c>
      <c r="F3141">
        <v>0</v>
      </c>
      <c r="G3141">
        <v>0</v>
      </c>
      <c r="H3141">
        <v>1</v>
      </c>
      <c r="I3141" s="3">
        <v>2760.91</v>
      </c>
      <c r="J3141" s="3">
        <v>874.26</v>
      </c>
      <c r="K3141" t="s">
        <v>484</v>
      </c>
      <c r="L3141">
        <v>3001</v>
      </c>
      <c r="M3141" t="s">
        <v>330</v>
      </c>
      <c r="N3141" t="s">
        <v>331</v>
      </c>
      <c r="O3141" t="s">
        <v>108</v>
      </c>
      <c r="P3141" t="str">
        <f>"75063"</f>
        <v>75063</v>
      </c>
    </row>
    <row r="3142" spans="1:16" x14ac:dyDescent="0.25">
      <c r="A3142" t="str">
        <f>"1090080G00022A   00"</f>
        <v>1090080G00022A   00</v>
      </c>
      <c r="B3142" t="s">
        <v>7604</v>
      </c>
      <c r="C3142" t="s">
        <v>7605</v>
      </c>
      <c r="D3142" t="s">
        <v>20</v>
      </c>
      <c r="E3142" t="s">
        <v>39</v>
      </c>
      <c r="F3142">
        <v>0</v>
      </c>
      <c r="G3142">
        <v>0</v>
      </c>
      <c r="H3142">
        <v>13</v>
      </c>
      <c r="I3142" s="3">
        <v>15907.01</v>
      </c>
      <c r="J3142" s="3">
        <v>8357.6200000000008</v>
      </c>
      <c r="K3142" t="s">
        <v>7606</v>
      </c>
      <c r="L3142">
        <v>3053</v>
      </c>
      <c r="M3142" t="s">
        <v>7607</v>
      </c>
      <c r="N3142" t="s">
        <v>7608</v>
      </c>
      <c r="O3142" t="s">
        <v>31</v>
      </c>
      <c r="P3142" t="str">
        <f>"15068"</f>
        <v>15068</v>
      </c>
    </row>
    <row r="3143" spans="1:16" x14ac:dyDescent="0.25">
      <c r="A3143" t="str">
        <f>"1090080G00027    00"</f>
        <v>1090080G00027    00</v>
      </c>
      <c r="B3143" t="s">
        <v>7609</v>
      </c>
      <c r="C3143" t="s">
        <v>7610</v>
      </c>
      <c r="D3143" t="s">
        <v>33</v>
      </c>
      <c r="E3143" t="s">
        <v>39</v>
      </c>
      <c r="F3143">
        <v>0</v>
      </c>
      <c r="G3143">
        <v>0</v>
      </c>
      <c r="H3143">
        <v>4</v>
      </c>
      <c r="I3143" s="3">
        <v>315.14999999999998</v>
      </c>
      <c r="J3143" s="3">
        <v>15.02</v>
      </c>
      <c r="L3143">
        <v>4923</v>
      </c>
      <c r="M3143" t="s">
        <v>7596</v>
      </c>
      <c r="N3143" t="s">
        <v>30</v>
      </c>
      <c r="O3143" t="s">
        <v>31</v>
      </c>
      <c r="P3143" t="str">
        <f>"15201"</f>
        <v>15201</v>
      </c>
    </row>
    <row r="3144" spans="1:16" x14ac:dyDescent="0.25">
      <c r="A3144" t="str">
        <f>"1090080G00038    00"</f>
        <v>1090080G00038    00</v>
      </c>
      <c r="B3144" t="s">
        <v>7611</v>
      </c>
      <c r="C3144" t="s">
        <v>7612</v>
      </c>
      <c r="E3144" t="s">
        <v>39</v>
      </c>
      <c r="F3144">
        <v>0</v>
      </c>
      <c r="G3144">
        <v>0</v>
      </c>
      <c r="H3144">
        <v>1</v>
      </c>
      <c r="I3144" s="3">
        <v>2157.59</v>
      </c>
      <c r="J3144" s="3">
        <v>0</v>
      </c>
      <c r="K3144" t="s">
        <v>7613</v>
      </c>
      <c r="M3144" t="s">
        <v>2655</v>
      </c>
      <c r="N3144" t="s">
        <v>2656</v>
      </c>
      <c r="O3144" t="s">
        <v>31</v>
      </c>
      <c r="P3144" t="str">
        <f>"15907"</f>
        <v>15907</v>
      </c>
    </row>
    <row r="3145" spans="1:16" x14ac:dyDescent="0.25">
      <c r="A3145" t="str">
        <f>"1090080G00046    00"</f>
        <v>1090080G00046    00</v>
      </c>
      <c r="B3145" t="s">
        <v>7614</v>
      </c>
      <c r="C3145" t="s">
        <v>7615</v>
      </c>
      <c r="D3145" t="s">
        <v>20</v>
      </c>
      <c r="E3145" t="s">
        <v>39</v>
      </c>
      <c r="F3145">
        <v>0</v>
      </c>
      <c r="G3145">
        <v>0</v>
      </c>
      <c r="H3145">
        <v>1</v>
      </c>
      <c r="I3145" s="3">
        <v>2024.17</v>
      </c>
      <c r="J3145" s="3">
        <v>0</v>
      </c>
      <c r="K3145" t="s">
        <v>4424</v>
      </c>
      <c r="L3145">
        <v>3001</v>
      </c>
      <c r="M3145" t="s">
        <v>330</v>
      </c>
      <c r="N3145" t="s">
        <v>331</v>
      </c>
      <c r="O3145" t="s">
        <v>108</v>
      </c>
      <c r="P3145" t="str">
        <f>"75063"</f>
        <v>75063</v>
      </c>
    </row>
    <row r="3146" spans="1:16" x14ac:dyDescent="0.25">
      <c r="A3146" t="str">
        <f>"1090080G00061    00"</f>
        <v>1090080G00061    00</v>
      </c>
      <c r="B3146" t="s">
        <v>7616</v>
      </c>
      <c r="C3146" t="s">
        <v>7617</v>
      </c>
      <c r="D3146" t="s">
        <v>20</v>
      </c>
      <c r="E3146" t="s">
        <v>39</v>
      </c>
      <c r="F3146">
        <v>0</v>
      </c>
      <c r="G3146">
        <v>0</v>
      </c>
      <c r="H3146">
        <v>1</v>
      </c>
      <c r="I3146" s="3">
        <v>4950.3</v>
      </c>
      <c r="J3146" s="3">
        <v>1980.04</v>
      </c>
      <c r="K3146" t="s">
        <v>4933</v>
      </c>
      <c r="L3146">
        <v>3001</v>
      </c>
      <c r="M3146" t="s">
        <v>330</v>
      </c>
      <c r="N3146" t="s">
        <v>331</v>
      </c>
      <c r="O3146" t="s">
        <v>108</v>
      </c>
      <c r="P3146" t="str">
        <f>"75063"</f>
        <v>75063</v>
      </c>
    </row>
    <row r="3147" spans="1:16" x14ac:dyDescent="0.25">
      <c r="A3147" t="str">
        <f>"1090080G00073    00"</f>
        <v>1090080G00073    00</v>
      </c>
      <c r="B3147" t="s">
        <v>7618</v>
      </c>
      <c r="C3147" t="s">
        <v>7619</v>
      </c>
      <c r="D3147" t="s">
        <v>20</v>
      </c>
      <c r="E3147" t="s">
        <v>21</v>
      </c>
      <c r="F3147">
        <v>0</v>
      </c>
      <c r="G3147">
        <v>0</v>
      </c>
      <c r="H3147">
        <v>2</v>
      </c>
      <c r="I3147" s="3">
        <v>15827.42</v>
      </c>
      <c r="J3147" s="3">
        <v>0</v>
      </c>
      <c r="K3147" t="s">
        <v>7620</v>
      </c>
      <c r="L3147">
        <v>4839</v>
      </c>
      <c r="M3147" t="s">
        <v>841</v>
      </c>
      <c r="N3147" t="s">
        <v>30</v>
      </c>
      <c r="O3147" t="s">
        <v>31</v>
      </c>
      <c r="P3147" t="str">
        <f>"15201"</f>
        <v>15201</v>
      </c>
    </row>
    <row r="3148" spans="1:16" x14ac:dyDescent="0.25">
      <c r="A3148" t="str">
        <f>"1090080G00082    00"</f>
        <v>1090080G00082    00</v>
      </c>
      <c r="B3148" t="s">
        <v>7621</v>
      </c>
      <c r="C3148" t="s">
        <v>7622</v>
      </c>
      <c r="D3148" t="s">
        <v>57</v>
      </c>
      <c r="E3148" t="s">
        <v>39</v>
      </c>
      <c r="F3148">
        <v>0</v>
      </c>
      <c r="G3148">
        <v>0</v>
      </c>
      <c r="H3148">
        <v>1</v>
      </c>
      <c r="I3148" s="3">
        <v>196.99</v>
      </c>
      <c r="J3148" s="3">
        <v>0</v>
      </c>
      <c r="L3148">
        <v>4915</v>
      </c>
      <c r="M3148" t="s">
        <v>841</v>
      </c>
      <c r="N3148" t="s">
        <v>30</v>
      </c>
      <c r="O3148" t="s">
        <v>31</v>
      </c>
      <c r="P3148" t="str">
        <f>"15201"</f>
        <v>15201</v>
      </c>
    </row>
    <row r="3149" spans="1:16" x14ac:dyDescent="0.25">
      <c r="A3149" t="str">
        <f>"1090080G00088    00"</f>
        <v>1090080G00088    00</v>
      </c>
      <c r="B3149" t="s">
        <v>7623</v>
      </c>
      <c r="C3149" t="s">
        <v>7624</v>
      </c>
      <c r="D3149" t="s">
        <v>20</v>
      </c>
      <c r="E3149" t="s">
        <v>39</v>
      </c>
      <c r="F3149">
        <v>0</v>
      </c>
      <c r="G3149">
        <v>0</v>
      </c>
      <c r="H3149">
        <v>1</v>
      </c>
      <c r="I3149" s="3">
        <v>3083.91</v>
      </c>
      <c r="J3149" s="3">
        <v>0</v>
      </c>
      <c r="L3149">
        <v>800</v>
      </c>
      <c r="M3149" t="s">
        <v>7292</v>
      </c>
      <c r="N3149" t="s">
        <v>7293</v>
      </c>
      <c r="O3149" t="s">
        <v>200</v>
      </c>
      <c r="P3149" t="str">
        <f>"10573"</f>
        <v>10573</v>
      </c>
    </row>
    <row r="3150" spans="1:16" x14ac:dyDescent="0.25">
      <c r="A3150" t="str">
        <f>"1090080G00090A   00"</f>
        <v>1090080G00090A   00</v>
      </c>
      <c r="B3150" t="s">
        <v>7625</v>
      </c>
      <c r="C3150" t="s">
        <v>7626</v>
      </c>
      <c r="D3150" t="s">
        <v>20</v>
      </c>
      <c r="E3150" t="s">
        <v>39</v>
      </c>
      <c r="F3150">
        <v>0</v>
      </c>
      <c r="G3150">
        <v>0</v>
      </c>
      <c r="H3150">
        <v>1</v>
      </c>
      <c r="I3150" s="3">
        <v>1134.08</v>
      </c>
      <c r="J3150" s="3">
        <v>0</v>
      </c>
      <c r="K3150" t="s">
        <v>7627</v>
      </c>
      <c r="L3150">
        <v>2061</v>
      </c>
      <c r="M3150" t="s">
        <v>7628</v>
      </c>
      <c r="N3150" t="s">
        <v>7204</v>
      </c>
      <c r="O3150" t="s">
        <v>200</v>
      </c>
      <c r="P3150" t="str">
        <f>"11105"</f>
        <v>11105</v>
      </c>
    </row>
    <row r="3151" spans="1:16" x14ac:dyDescent="0.25">
      <c r="A3151" t="str">
        <f>"1090080K00044    00"</f>
        <v>1090080K00044    00</v>
      </c>
      <c r="B3151" t="s">
        <v>7629</v>
      </c>
      <c r="C3151" t="s">
        <v>7630</v>
      </c>
      <c r="D3151" t="s">
        <v>20</v>
      </c>
      <c r="E3151" t="s">
        <v>39</v>
      </c>
      <c r="F3151">
        <v>0</v>
      </c>
      <c r="G3151">
        <v>0</v>
      </c>
      <c r="H3151">
        <v>2</v>
      </c>
      <c r="I3151" s="3">
        <v>918.72</v>
      </c>
      <c r="J3151" s="3">
        <v>0</v>
      </c>
      <c r="L3151">
        <v>4727</v>
      </c>
      <c r="M3151" t="s">
        <v>7596</v>
      </c>
      <c r="N3151" t="s">
        <v>30</v>
      </c>
      <c r="O3151" t="s">
        <v>31</v>
      </c>
      <c r="P3151" t="str">
        <f>"15201"</f>
        <v>15201</v>
      </c>
    </row>
    <row r="3152" spans="1:16" x14ac:dyDescent="0.25">
      <c r="A3152" t="str">
        <f>"1090080K00048    00"</f>
        <v>1090080K00048    00</v>
      </c>
      <c r="B3152" t="s">
        <v>7629</v>
      </c>
      <c r="C3152" t="s">
        <v>7631</v>
      </c>
      <c r="D3152" t="s">
        <v>20</v>
      </c>
      <c r="E3152" t="s">
        <v>39</v>
      </c>
      <c r="F3152">
        <v>0</v>
      </c>
      <c r="G3152">
        <v>0</v>
      </c>
      <c r="H3152">
        <v>3</v>
      </c>
      <c r="I3152" s="3">
        <v>2787.63</v>
      </c>
      <c r="J3152" s="3">
        <v>226.43</v>
      </c>
      <c r="L3152">
        <v>4727</v>
      </c>
      <c r="M3152" t="s">
        <v>7596</v>
      </c>
      <c r="N3152" t="s">
        <v>30</v>
      </c>
      <c r="O3152" t="s">
        <v>31</v>
      </c>
      <c r="P3152" t="str">
        <f>"15201"</f>
        <v>15201</v>
      </c>
    </row>
    <row r="3153" spans="1:16" x14ac:dyDescent="0.25">
      <c r="A3153" t="str">
        <f>"1090080K00049    00"</f>
        <v>1090080K00049    00</v>
      </c>
      <c r="B3153" t="s">
        <v>7632</v>
      </c>
      <c r="C3153" t="s">
        <v>7633</v>
      </c>
      <c r="D3153" t="s">
        <v>20</v>
      </c>
      <c r="E3153" t="s">
        <v>21</v>
      </c>
      <c r="F3153">
        <v>0</v>
      </c>
      <c r="G3153">
        <v>0</v>
      </c>
      <c r="H3153">
        <v>2</v>
      </c>
      <c r="I3153" s="3">
        <v>1382.34</v>
      </c>
      <c r="J3153" s="3">
        <v>0</v>
      </c>
      <c r="K3153" t="s">
        <v>7634</v>
      </c>
      <c r="L3153">
        <v>129</v>
      </c>
      <c r="M3153" t="s">
        <v>4734</v>
      </c>
      <c r="N3153" t="s">
        <v>30</v>
      </c>
      <c r="O3153" t="s">
        <v>31</v>
      </c>
      <c r="P3153" t="str">
        <f>"15203"</f>
        <v>15203</v>
      </c>
    </row>
    <row r="3154" spans="1:16" x14ac:dyDescent="0.25">
      <c r="A3154" t="str">
        <f>"1090080K00066    00"</f>
        <v>1090080K00066    00</v>
      </c>
      <c r="B3154" t="s">
        <v>7629</v>
      </c>
      <c r="C3154" t="s">
        <v>7635</v>
      </c>
      <c r="D3154" t="s">
        <v>20</v>
      </c>
      <c r="E3154" t="s">
        <v>39</v>
      </c>
      <c r="F3154">
        <v>0</v>
      </c>
      <c r="G3154">
        <v>0</v>
      </c>
      <c r="H3154">
        <v>2</v>
      </c>
      <c r="I3154" s="3">
        <v>3149.72</v>
      </c>
      <c r="J3154" s="3">
        <v>0</v>
      </c>
      <c r="L3154">
        <v>4727</v>
      </c>
      <c r="M3154" t="s">
        <v>7596</v>
      </c>
      <c r="N3154" t="s">
        <v>30</v>
      </c>
      <c r="O3154" t="s">
        <v>31</v>
      </c>
      <c r="P3154" t="str">
        <f>"15201"</f>
        <v>15201</v>
      </c>
    </row>
    <row r="3155" spans="1:16" x14ac:dyDescent="0.25">
      <c r="A3155" t="str">
        <f>"1090080K00076    00"</f>
        <v>1090080K00076    00</v>
      </c>
      <c r="B3155" t="s">
        <v>7636</v>
      </c>
      <c r="C3155" t="s">
        <v>7637</v>
      </c>
      <c r="E3155" t="s">
        <v>39</v>
      </c>
      <c r="F3155">
        <v>0</v>
      </c>
      <c r="G3155">
        <v>0</v>
      </c>
      <c r="H3155">
        <v>1</v>
      </c>
      <c r="I3155" s="3">
        <v>46.49</v>
      </c>
      <c r="J3155" s="3">
        <v>22.86</v>
      </c>
      <c r="L3155">
        <v>4711</v>
      </c>
      <c r="M3155" t="s">
        <v>7596</v>
      </c>
      <c r="N3155" t="s">
        <v>30</v>
      </c>
      <c r="O3155" t="s">
        <v>31</v>
      </c>
      <c r="P3155" t="str">
        <f>"15201"</f>
        <v>15201</v>
      </c>
    </row>
    <row r="3156" spans="1:16" x14ac:dyDescent="0.25">
      <c r="A3156" t="str">
        <f>"1090080K00115    00"</f>
        <v>1090080K00115    00</v>
      </c>
      <c r="B3156" t="s">
        <v>7638</v>
      </c>
      <c r="C3156" t="s">
        <v>7639</v>
      </c>
      <c r="E3156" t="s">
        <v>39</v>
      </c>
      <c r="F3156">
        <v>0</v>
      </c>
      <c r="G3156">
        <v>0</v>
      </c>
      <c r="H3156">
        <v>2</v>
      </c>
      <c r="I3156" s="3">
        <v>3179.2</v>
      </c>
      <c r="J3156" s="3">
        <v>105.97</v>
      </c>
      <c r="K3156" t="s">
        <v>7640</v>
      </c>
      <c r="L3156">
        <v>110</v>
      </c>
      <c r="M3156" t="s">
        <v>665</v>
      </c>
      <c r="N3156" t="s">
        <v>666</v>
      </c>
      <c r="O3156" t="s">
        <v>31</v>
      </c>
      <c r="P3156" t="str">
        <f>"16002"</f>
        <v>16002</v>
      </c>
    </row>
    <row r="3157" spans="1:16" x14ac:dyDescent="0.25">
      <c r="A3157" t="str">
        <f>"1090080K00119    00"</f>
        <v>1090080K00119    00</v>
      </c>
      <c r="B3157" t="s">
        <v>7641</v>
      </c>
      <c r="C3157" t="s">
        <v>7642</v>
      </c>
      <c r="D3157" t="s">
        <v>20</v>
      </c>
      <c r="E3157" t="s">
        <v>39</v>
      </c>
      <c r="F3157">
        <v>0</v>
      </c>
      <c r="G3157">
        <v>0</v>
      </c>
      <c r="H3157">
        <v>1</v>
      </c>
      <c r="I3157" s="3">
        <v>571.79999999999995</v>
      </c>
      <c r="J3157" s="3">
        <v>0</v>
      </c>
      <c r="K3157" t="s">
        <v>7643</v>
      </c>
      <c r="L3157">
        <v>1442</v>
      </c>
      <c r="M3157" t="s">
        <v>7644</v>
      </c>
      <c r="N3157" t="s">
        <v>30</v>
      </c>
      <c r="O3157" t="s">
        <v>31</v>
      </c>
      <c r="P3157" t="str">
        <f>"15243"</f>
        <v>15243</v>
      </c>
    </row>
    <row r="3158" spans="1:16" x14ac:dyDescent="0.25">
      <c r="A3158" t="str">
        <f>"1090080K00139    00"</f>
        <v>1090080K00139    00</v>
      </c>
      <c r="B3158" t="s">
        <v>7645</v>
      </c>
      <c r="C3158" t="s">
        <v>7646</v>
      </c>
      <c r="E3158" t="s">
        <v>39</v>
      </c>
      <c r="F3158">
        <v>0</v>
      </c>
      <c r="G3158">
        <v>0</v>
      </c>
      <c r="H3158">
        <v>2</v>
      </c>
      <c r="I3158" s="3">
        <v>6683.23</v>
      </c>
      <c r="J3158" s="3">
        <v>457.04</v>
      </c>
      <c r="K3158" t="s">
        <v>4424</v>
      </c>
      <c r="L3158">
        <v>3001</v>
      </c>
      <c r="M3158" t="s">
        <v>330</v>
      </c>
      <c r="N3158" t="s">
        <v>331</v>
      </c>
      <c r="O3158" t="s">
        <v>108</v>
      </c>
      <c r="P3158" t="str">
        <f>"75063"</f>
        <v>75063</v>
      </c>
    </row>
    <row r="3159" spans="1:16" x14ac:dyDescent="0.25">
      <c r="A3159" t="str">
        <f>"1090080K00147    00"</f>
        <v>1090080K00147    00</v>
      </c>
      <c r="B3159" t="s">
        <v>7647</v>
      </c>
      <c r="C3159" t="s">
        <v>7648</v>
      </c>
      <c r="E3159" t="s">
        <v>39</v>
      </c>
      <c r="F3159">
        <v>0</v>
      </c>
      <c r="G3159">
        <v>0</v>
      </c>
      <c r="H3159">
        <v>1</v>
      </c>
      <c r="I3159" s="3">
        <v>696.94</v>
      </c>
      <c r="J3159" s="3">
        <v>116.15</v>
      </c>
      <c r="K3159" t="s">
        <v>7649</v>
      </c>
      <c r="L3159">
        <v>4640</v>
      </c>
      <c r="M3159" t="s">
        <v>7596</v>
      </c>
      <c r="N3159" t="s">
        <v>30</v>
      </c>
      <c r="O3159" t="s">
        <v>31</v>
      </c>
      <c r="P3159" t="str">
        <f>"15201"</f>
        <v>15201</v>
      </c>
    </row>
    <row r="3160" spans="1:16" x14ac:dyDescent="0.25">
      <c r="A3160" t="str">
        <f>"1090080K00157    00"</f>
        <v>1090080K00157    00</v>
      </c>
      <c r="B3160" t="s">
        <v>7650</v>
      </c>
      <c r="C3160" t="s">
        <v>7651</v>
      </c>
      <c r="E3160" t="s">
        <v>39</v>
      </c>
      <c r="F3160">
        <v>0</v>
      </c>
      <c r="G3160">
        <v>0</v>
      </c>
      <c r="H3160">
        <v>1</v>
      </c>
      <c r="I3160" s="3">
        <v>2144.44</v>
      </c>
      <c r="J3160" s="3">
        <v>599.72</v>
      </c>
      <c r="K3160" t="s">
        <v>5861</v>
      </c>
      <c r="L3160">
        <v>3001</v>
      </c>
      <c r="M3160" t="s">
        <v>404</v>
      </c>
      <c r="N3160" t="s">
        <v>331</v>
      </c>
      <c r="O3160" t="s">
        <v>108</v>
      </c>
      <c r="P3160" t="str">
        <f>"75063"</f>
        <v>75063</v>
      </c>
    </row>
    <row r="3161" spans="1:16" x14ac:dyDescent="0.25">
      <c r="A3161" t="str">
        <f>"1090080K00180    00"</f>
        <v>1090080K00180    00</v>
      </c>
      <c r="B3161" t="s">
        <v>7652</v>
      </c>
      <c r="C3161" t="s">
        <v>7653</v>
      </c>
      <c r="D3161" t="s">
        <v>20</v>
      </c>
      <c r="E3161" t="s">
        <v>39</v>
      </c>
      <c r="F3161">
        <v>0</v>
      </c>
      <c r="G3161">
        <v>0</v>
      </c>
      <c r="H3161">
        <v>1</v>
      </c>
      <c r="I3161" s="3">
        <v>1970.8</v>
      </c>
      <c r="J3161" s="3">
        <v>0</v>
      </c>
      <c r="K3161" t="s">
        <v>1632</v>
      </c>
      <c r="M3161" t="s">
        <v>1633</v>
      </c>
      <c r="N3161" t="s">
        <v>1634</v>
      </c>
      <c r="O3161" t="s">
        <v>25</v>
      </c>
      <c r="P3161" t="str">
        <f>"45401"</f>
        <v>45401</v>
      </c>
    </row>
    <row r="3162" spans="1:16" x14ac:dyDescent="0.25">
      <c r="A3162" t="str">
        <f>"1090080K00184    00"</f>
        <v>1090080K00184    00</v>
      </c>
      <c r="B3162" t="s">
        <v>7654</v>
      </c>
      <c r="C3162" t="s">
        <v>7655</v>
      </c>
      <c r="E3162" t="s">
        <v>39</v>
      </c>
      <c r="F3162">
        <v>0</v>
      </c>
      <c r="G3162">
        <v>0</v>
      </c>
      <c r="H3162">
        <v>1</v>
      </c>
      <c r="I3162" s="3">
        <v>4386.09</v>
      </c>
      <c r="J3162" s="3">
        <v>1207.77</v>
      </c>
      <c r="L3162">
        <v>40</v>
      </c>
      <c r="M3162" t="s">
        <v>7656</v>
      </c>
      <c r="N3162" t="s">
        <v>30</v>
      </c>
      <c r="O3162" t="s">
        <v>31</v>
      </c>
      <c r="P3162" t="str">
        <f>"15201"</f>
        <v>15201</v>
      </c>
    </row>
    <row r="3163" spans="1:16" x14ac:dyDescent="0.25">
      <c r="A3163" t="str">
        <f>"1090080K00185    00"</f>
        <v>1090080K00185    00</v>
      </c>
      <c r="B3163" t="s">
        <v>7657</v>
      </c>
      <c r="C3163" t="s">
        <v>7658</v>
      </c>
      <c r="E3163" t="s">
        <v>39</v>
      </c>
      <c r="F3163">
        <v>0</v>
      </c>
      <c r="G3163">
        <v>0</v>
      </c>
      <c r="H3163">
        <v>2</v>
      </c>
      <c r="I3163" s="3">
        <v>3000.06</v>
      </c>
      <c r="J3163" s="3">
        <v>37.5</v>
      </c>
      <c r="K3163" t="s">
        <v>756</v>
      </c>
      <c r="L3163">
        <v>3001</v>
      </c>
      <c r="M3163" t="s">
        <v>330</v>
      </c>
      <c r="N3163" t="s">
        <v>331</v>
      </c>
      <c r="O3163" t="s">
        <v>108</v>
      </c>
      <c r="P3163" t="str">
        <f>"75063"</f>
        <v>75063</v>
      </c>
    </row>
    <row r="3164" spans="1:16" x14ac:dyDescent="0.25">
      <c r="A3164" t="str">
        <f>"1090080K00234    00"</f>
        <v>1090080K00234    00</v>
      </c>
      <c r="B3164" t="s">
        <v>7659</v>
      </c>
      <c r="C3164" t="s">
        <v>7660</v>
      </c>
      <c r="E3164" t="s">
        <v>39</v>
      </c>
      <c r="F3164">
        <v>0</v>
      </c>
      <c r="G3164">
        <v>0</v>
      </c>
      <c r="H3164">
        <v>1</v>
      </c>
      <c r="I3164" s="3">
        <v>3758.82</v>
      </c>
      <c r="J3164" s="3">
        <v>1254.98</v>
      </c>
      <c r="L3164">
        <v>4820</v>
      </c>
      <c r="M3164" t="s">
        <v>7596</v>
      </c>
      <c r="N3164" t="s">
        <v>30</v>
      </c>
      <c r="O3164" t="s">
        <v>31</v>
      </c>
      <c r="P3164" t="str">
        <f>"15201"</f>
        <v>15201</v>
      </c>
    </row>
    <row r="3165" spans="1:16" x14ac:dyDescent="0.25">
      <c r="A3165" t="str">
        <f>"1090080K00236    00"</f>
        <v>1090080K00236    00</v>
      </c>
      <c r="B3165" t="s">
        <v>7661</v>
      </c>
      <c r="C3165" t="s">
        <v>7662</v>
      </c>
      <c r="E3165" t="s">
        <v>39</v>
      </c>
      <c r="F3165">
        <v>0</v>
      </c>
      <c r="G3165">
        <v>0</v>
      </c>
      <c r="H3165">
        <v>1</v>
      </c>
      <c r="I3165" s="3">
        <v>5474.35</v>
      </c>
      <c r="J3165" s="3">
        <v>1733.47</v>
      </c>
      <c r="L3165">
        <v>4818</v>
      </c>
      <c r="M3165" t="s">
        <v>7596</v>
      </c>
      <c r="N3165" t="s">
        <v>30</v>
      </c>
      <c r="O3165" t="s">
        <v>31</v>
      </c>
      <c r="P3165" t="str">
        <f>"15201"</f>
        <v>15201</v>
      </c>
    </row>
    <row r="3166" spans="1:16" x14ac:dyDescent="0.25">
      <c r="A3166" t="str">
        <f>"1090080K00244A   00"</f>
        <v>1090080K00244A   00</v>
      </c>
      <c r="B3166" t="s">
        <v>7663</v>
      </c>
      <c r="C3166" t="s">
        <v>7664</v>
      </c>
      <c r="D3166" t="s">
        <v>20</v>
      </c>
      <c r="E3166" t="s">
        <v>39</v>
      </c>
      <c r="F3166">
        <v>0</v>
      </c>
      <c r="G3166">
        <v>0</v>
      </c>
      <c r="H3166">
        <v>17</v>
      </c>
      <c r="I3166" s="3">
        <v>369.91</v>
      </c>
      <c r="J3166" s="3">
        <v>491.95</v>
      </c>
      <c r="K3166" t="s">
        <v>7665</v>
      </c>
      <c r="L3166">
        <v>5101</v>
      </c>
      <c r="M3166" t="s">
        <v>1893</v>
      </c>
      <c r="N3166" t="s">
        <v>30</v>
      </c>
      <c r="O3166" t="s">
        <v>31</v>
      </c>
      <c r="P3166" t="str">
        <f>"15201"</f>
        <v>15201</v>
      </c>
    </row>
    <row r="3167" spans="1:16" x14ac:dyDescent="0.25">
      <c r="A3167" t="str">
        <f>"1090080K00277    00"</f>
        <v>1090080K00277    00</v>
      </c>
      <c r="B3167" t="s">
        <v>7666</v>
      </c>
      <c r="C3167" t="s">
        <v>7667</v>
      </c>
      <c r="E3167" t="s">
        <v>21</v>
      </c>
      <c r="F3167">
        <v>0</v>
      </c>
      <c r="G3167">
        <v>0</v>
      </c>
      <c r="H3167">
        <v>1</v>
      </c>
      <c r="I3167" s="3">
        <v>854.57</v>
      </c>
      <c r="J3167" s="3">
        <v>0</v>
      </c>
      <c r="K3167" t="s">
        <v>7668</v>
      </c>
      <c r="L3167">
        <v>30</v>
      </c>
      <c r="M3167" t="s">
        <v>7656</v>
      </c>
      <c r="N3167" t="s">
        <v>30</v>
      </c>
      <c r="O3167" t="s">
        <v>31</v>
      </c>
      <c r="P3167" t="str">
        <f>"15201"</f>
        <v>15201</v>
      </c>
    </row>
    <row r="3168" spans="1:16" x14ac:dyDescent="0.25">
      <c r="A3168" t="str">
        <f>"1090080K00279    00"</f>
        <v>1090080K00279    00</v>
      </c>
      <c r="B3168" t="s">
        <v>7669</v>
      </c>
      <c r="C3168" t="s">
        <v>7670</v>
      </c>
      <c r="E3168" t="s">
        <v>39</v>
      </c>
      <c r="F3168">
        <v>0</v>
      </c>
      <c r="G3168">
        <v>0</v>
      </c>
      <c r="H3168">
        <v>1</v>
      </c>
      <c r="I3168" s="3">
        <v>107.55</v>
      </c>
      <c r="J3168" s="3">
        <v>51.09</v>
      </c>
      <c r="K3168" t="s">
        <v>7671</v>
      </c>
      <c r="L3168">
        <v>275</v>
      </c>
      <c r="M3168" t="s">
        <v>7672</v>
      </c>
      <c r="N3168" t="s">
        <v>199</v>
      </c>
      <c r="O3168" t="s">
        <v>200</v>
      </c>
      <c r="P3168" t="str">
        <f>"10001"</f>
        <v>10001</v>
      </c>
    </row>
    <row r="3169" spans="1:16" x14ac:dyDescent="0.25">
      <c r="A3169" t="str">
        <f>"1090080K00289    00"</f>
        <v>1090080K00289    00</v>
      </c>
      <c r="B3169" t="s">
        <v>7673</v>
      </c>
      <c r="C3169" t="s">
        <v>7674</v>
      </c>
      <c r="D3169" t="s">
        <v>20</v>
      </c>
      <c r="E3169" t="s">
        <v>21</v>
      </c>
      <c r="F3169">
        <v>0</v>
      </c>
      <c r="G3169">
        <v>0</v>
      </c>
      <c r="H3169">
        <v>4</v>
      </c>
      <c r="I3169" s="3">
        <v>26214.53</v>
      </c>
      <c r="J3169" s="3">
        <v>2512.5100000000002</v>
      </c>
      <c r="K3169" t="s">
        <v>7675</v>
      </c>
      <c r="L3169">
        <v>16192</v>
      </c>
      <c r="M3169" t="s">
        <v>7676</v>
      </c>
      <c r="N3169" t="s">
        <v>7677</v>
      </c>
      <c r="O3169" t="s">
        <v>3392</v>
      </c>
      <c r="P3169" t="str">
        <f>"19958"</f>
        <v>19958</v>
      </c>
    </row>
    <row r="3170" spans="1:16" x14ac:dyDescent="0.25">
      <c r="A3170" t="str">
        <f>"1090080N00053    00"</f>
        <v>1090080N00053    00</v>
      </c>
      <c r="B3170" t="s">
        <v>7678</v>
      </c>
      <c r="C3170" t="s">
        <v>7679</v>
      </c>
      <c r="D3170" t="s">
        <v>20</v>
      </c>
      <c r="E3170" t="s">
        <v>39</v>
      </c>
      <c r="F3170">
        <v>0</v>
      </c>
      <c r="G3170">
        <v>0</v>
      </c>
      <c r="H3170">
        <v>2</v>
      </c>
      <c r="I3170" s="3">
        <v>167.91</v>
      </c>
      <c r="J3170" s="3">
        <v>0</v>
      </c>
      <c r="K3170" t="s">
        <v>7680</v>
      </c>
      <c r="L3170">
        <v>123</v>
      </c>
      <c r="M3170" t="s">
        <v>6959</v>
      </c>
      <c r="N3170" t="s">
        <v>30</v>
      </c>
      <c r="O3170" t="s">
        <v>31</v>
      </c>
      <c r="P3170" t="str">
        <f>"15221"</f>
        <v>15221</v>
      </c>
    </row>
    <row r="3171" spans="1:16" x14ac:dyDescent="0.25">
      <c r="A3171" t="str">
        <f>"1090080N00066    00"</f>
        <v>1090080N00066    00</v>
      </c>
      <c r="B3171" t="s">
        <v>7681</v>
      </c>
      <c r="C3171" t="s">
        <v>7682</v>
      </c>
      <c r="E3171" t="s">
        <v>39</v>
      </c>
      <c r="F3171">
        <v>0</v>
      </c>
      <c r="G3171">
        <v>0</v>
      </c>
      <c r="H3171">
        <v>1</v>
      </c>
      <c r="I3171" s="3">
        <v>89.06</v>
      </c>
      <c r="J3171" s="3">
        <v>43.79</v>
      </c>
      <c r="L3171">
        <v>166</v>
      </c>
      <c r="M3171" t="s">
        <v>7683</v>
      </c>
      <c r="N3171" t="s">
        <v>526</v>
      </c>
      <c r="O3171" t="s">
        <v>31</v>
      </c>
      <c r="P3171" t="str">
        <f>"15301"</f>
        <v>15301</v>
      </c>
    </row>
    <row r="3172" spans="1:16" x14ac:dyDescent="0.25">
      <c r="A3172" t="str">
        <f>"1090080N00112    00"</f>
        <v>1090080N00112    00</v>
      </c>
      <c r="B3172" t="s">
        <v>7684</v>
      </c>
      <c r="C3172" t="s">
        <v>7685</v>
      </c>
      <c r="D3172" t="s">
        <v>57</v>
      </c>
      <c r="E3172" t="s">
        <v>39</v>
      </c>
      <c r="F3172">
        <v>0</v>
      </c>
      <c r="G3172">
        <v>0</v>
      </c>
      <c r="H3172">
        <v>2</v>
      </c>
      <c r="I3172" s="3">
        <v>1354.81</v>
      </c>
      <c r="J3172" s="3">
        <v>1377.35</v>
      </c>
      <c r="L3172">
        <v>112</v>
      </c>
      <c r="M3172" t="s">
        <v>7686</v>
      </c>
      <c r="N3172" t="s">
        <v>7687</v>
      </c>
      <c r="O3172" t="s">
        <v>31</v>
      </c>
      <c r="P3172" t="str">
        <f>"16201"</f>
        <v>16201</v>
      </c>
    </row>
    <row r="3173" spans="1:16" x14ac:dyDescent="0.25">
      <c r="A3173" t="str">
        <f>"1090080P00012    00"</f>
        <v>1090080P00012    00</v>
      </c>
      <c r="B3173" t="s">
        <v>7688</v>
      </c>
      <c r="C3173" t="s">
        <v>7689</v>
      </c>
      <c r="D3173" t="s">
        <v>20</v>
      </c>
      <c r="E3173" t="s">
        <v>39</v>
      </c>
      <c r="F3173">
        <v>0</v>
      </c>
      <c r="G3173">
        <v>0</v>
      </c>
      <c r="H3173">
        <v>2</v>
      </c>
      <c r="I3173" s="3">
        <v>3545.2</v>
      </c>
      <c r="J3173" s="3">
        <v>0</v>
      </c>
      <c r="L3173">
        <v>148</v>
      </c>
      <c r="M3173" t="s">
        <v>7203</v>
      </c>
      <c r="N3173" t="s">
        <v>30</v>
      </c>
      <c r="O3173" t="s">
        <v>31</v>
      </c>
      <c r="P3173" t="str">
        <f>"15201"</f>
        <v>15201</v>
      </c>
    </row>
    <row r="3174" spans="1:16" x14ac:dyDescent="0.25">
      <c r="A3174" t="str">
        <f>"1090080P00023    00"</f>
        <v>1090080P00023    00</v>
      </c>
      <c r="B3174" t="s">
        <v>7690</v>
      </c>
      <c r="C3174" t="s">
        <v>7691</v>
      </c>
      <c r="D3174" t="s">
        <v>20</v>
      </c>
      <c r="E3174" t="s">
        <v>39</v>
      </c>
      <c r="F3174">
        <v>0</v>
      </c>
      <c r="G3174">
        <v>0</v>
      </c>
      <c r="H3174">
        <v>1</v>
      </c>
      <c r="I3174" s="3">
        <v>4715.4399999999996</v>
      </c>
      <c r="J3174" s="3">
        <v>0</v>
      </c>
      <c r="K3174" t="s">
        <v>7692</v>
      </c>
      <c r="L3174">
        <v>88</v>
      </c>
      <c r="M3174" t="s">
        <v>7693</v>
      </c>
      <c r="N3174" t="s">
        <v>7694</v>
      </c>
      <c r="O3174" t="s">
        <v>7695</v>
      </c>
      <c r="P3174" t="str">
        <f>"40601"</f>
        <v>40601</v>
      </c>
    </row>
    <row r="3175" spans="1:16" x14ac:dyDescent="0.25">
      <c r="A3175" t="str">
        <f>"1090080P00030A   00"</f>
        <v>1090080P00030A   00</v>
      </c>
      <c r="B3175" t="s">
        <v>5020</v>
      </c>
      <c r="C3175" t="s">
        <v>7696</v>
      </c>
      <c r="D3175" t="s">
        <v>20</v>
      </c>
      <c r="E3175" t="s">
        <v>39</v>
      </c>
      <c r="F3175">
        <v>0</v>
      </c>
      <c r="G3175">
        <v>0</v>
      </c>
      <c r="H3175">
        <v>2</v>
      </c>
      <c r="I3175" s="3">
        <v>1884.05</v>
      </c>
      <c r="J3175" s="3">
        <v>0</v>
      </c>
      <c r="K3175" t="s">
        <v>1722</v>
      </c>
      <c r="M3175" t="s">
        <v>1723</v>
      </c>
      <c r="N3175" t="s">
        <v>410</v>
      </c>
      <c r="O3175" t="s">
        <v>31</v>
      </c>
      <c r="P3175" t="str">
        <f>"15701"</f>
        <v>15701</v>
      </c>
    </row>
    <row r="3176" spans="1:16" x14ac:dyDescent="0.25">
      <c r="A3176" t="str">
        <f>"1090080P00035    00"</f>
        <v>1090080P00035    00</v>
      </c>
      <c r="B3176" t="s">
        <v>7697</v>
      </c>
      <c r="C3176" t="s">
        <v>7698</v>
      </c>
      <c r="D3176" t="s">
        <v>20</v>
      </c>
      <c r="E3176" t="s">
        <v>39</v>
      </c>
      <c r="F3176">
        <v>0</v>
      </c>
      <c r="G3176">
        <v>0</v>
      </c>
      <c r="H3176">
        <v>4</v>
      </c>
      <c r="I3176" s="3">
        <v>5740.49</v>
      </c>
      <c r="J3176" s="3">
        <v>24.88</v>
      </c>
      <c r="L3176">
        <v>151</v>
      </c>
      <c r="M3176" t="s">
        <v>7093</v>
      </c>
      <c r="N3176" t="s">
        <v>30</v>
      </c>
      <c r="O3176" t="s">
        <v>31</v>
      </c>
      <c r="P3176" t="str">
        <f>"15201"</f>
        <v>15201</v>
      </c>
    </row>
    <row r="3177" spans="1:16" x14ac:dyDescent="0.25">
      <c r="A3177" t="str">
        <f>"1090080P00037    00"</f>
        <v>1090080P00037    00</v>
      </c>
      <c r="B3177" t="s">
        <v>7699</v>
      </c>
      <c r="C3177" t="s">
        <v>7700</v>
      </c>
      <c r="D3177" t="s">
        <v>20</v>
      </c>
      <c r="E3177" t="s">
        <v>39</v>
      </c>
      <c r="F3177">
        <v>0</v>
      </c>
      <c r="G3177">
        <v>0</v>
      </c>
      <c r="H3177">
        <v>2</v>
      </c>
      <c r="I3177" s="3">
        <v>2981.64</v>
      </c>
      <c r="J3177" s="3">
        <v>0</v>
      </c>
      <c r="L3177">
        <v>518</v>
      </c>
      <c r="M3177" t="s">
        <v>5746</v>
      </c>
      <c r="N3177" t="s">
        <v>30</v>
      </c>
      <c r="O3177" t="s">
        <v>31</v>
      </c>
      <c r="P3177" t="str">
        <f>"15206"</f>
        <v>15206</v>
      </c>
    </row>
    <row r="3178" spans="1:16" x14ac:dyDescent="0.25">
      <c r="A3178" t="str">
        <f>"1090080P00047    00"</f>
        <v>1090080P00047    00</v>
      </c>
      <c r="B3178" t="s">
        <v>7701</v>
      </c>
      <c r="C3178" t="s">
        <v>7702</v>
      </c>
      <c r="D3178" t="s">
        <v>20</v>
      </c>
      <c r="E3178" t="s">
        <v>39</v>
      </c>
      <c r="F3178">
        <v>0</v>
      </c>
      <c r="G3178">
        <v>0</v>
      </c>
      <c r="H3178">
        <v>2</v>
      </c>
      <c r="I3178" s="3">
        <v>2920</v>
      </c>
      <c r="J3178" s="3">
        <v>0</v>
      </c>
      <c r="M3178" t="s">
        <v>5045</v>
      </c>
      <c r="N3178" t="s">
        <v>30</v>
      </c>
      <c r="O3178" t="s">
        <v>31</v>
      </c>
      <c r="P3178" t="str">
        <f>"15224"</f>
        <v>15224</v>
      </c>
    </row>
    <row r="3179" spans="1:16" x14ac:dyDescent="0.25">
      <c r="A3179" t="str">
        <f>"1090080P00047A   00"</f>
        <v>1090080P00047A   00</v>
      </c>
      <c r="B3179" t="s">
        <v>5020</v>
      </c>
      <c r="C3179" t="s">
        <v>7703</v>
      </c>
      <c r="D3179" t="s">
        <v>20</v>
      </c>
      <c r="E3179" t="s">
        <v>39</v>
      </c>
      <c r="F3179">
        <v>0</v>
      </c>
      <c r="G3179">
        <v>0</v>
      </c>
      <c r="H3179">
        <v>2</v>
      </c>
      <c r="I3179" s="3">
        <v>1440.91</v>
      </c>
      <c r="J3179" s="3">
        <v>0</v>
      </c>
      <c r="K3179" t="s">
        <v>1722</v>
      </c>
      <c r="M3179" t="s">
        <v>1723</v>
      </c>
      <c r="N3179" t="s">
        <v>410</v>
      </c>
      <c r="O3179" t="s">
        <v>31</v>
      </c>
      <c r="P3179" t="str">
        <f>"15701"</f>
        <v>15701</v>
      </c>
    </row>
    <row r="3180" spans="1:16" x14ac:dyDescent="0.25">
      <c r="A3180" t="str">
        <f>"1090080P00048    00"</f>
        <v>1090080P00048    00</v>
      </c>
      <c r="B3180" t="s">
        <v>7704</v>
      </c>
      <c r="C3180" t="s">
        <v>7705</v>
      </c>
      <c r="D3180" t="s">
        <v>20</v>
      </c>
      <c r="E3180" t="s">
        <v>39</v>
      </c>
      <c r="F3180">
        <v>0</v>
      </c>
      <c r="G3180">
        <v>0</v>
      </c>
      <c r="H3180">
        <v>1</v>
      </c>
      <c r="I3180" s="3">
        <v>2077.9899999999998</v>
      </c>
      <c r="J3180" s="3">
        <v>831.17</v>
      </c>
      <c r="L3180">
        <v>127</v>
      </c>
      <c r="M3180" t="s">
        <v>7093</v>
      </c>
      <c r="N3180" t="s">
        <v>30</v>
      </c>
      <c r="O3180" t="s">
        <v>31</v>
      </c>
      <c r="P3180" t="str">
        <f>"15201"</f>
        <v>15201</v>
      </c>
    </row>
    <row r="3181" spans="1:16" x14ac:dyDescent="0.25">
      <c r="A3181" t="str">
        <f>"1090080P00055    00"</f>
        <v>1090080P00055    00</v>
      </c>
      <c r="B3181" t="s">
        <v>7706</v>
      </c>
      <c r="C3181" t="s">
        <v>7707</v>
      </c>
      <c r="D3181" t="s">
        <v>20</v>
      </c>
      <c r="E3181" t="s">
        <v>39</v>
      </c>
      <c r="F3181">
        <v>0</v>
      </c>
      <c r="G3181">
        <v>0</v>
      </c>
      <c r="H3181">
        <v>1</v>
      </c>
      <c r="I3181" s="3">
        <v>1088.33</v>
      </c>
      <c r="J3181" s="3">
        <v>0</v>
      </c>
      <c r="L3181">
        <v>552</v>
      </c>
      <c r="M3181" t="s">
        <v>7708</v>
      </c>
      <c r="N3181" t="s">
        <v>30</v>
      </c>
      <c r="O3181" t="s">
        <v>31</v>
      </c>
      <c r="P3181" t="str">
        <f>"15237"</f>
        <v>15237</v>
      </c>
    </row>
    <row r="3182" spans="1:16" x14ac:dyDescent="0.25">
      <c r="A3182" t="str">
        <f>"1090080P00066    00"</f>
        <v>1090080P00066    00</v>
      </c>
      <c r="B3182" t="s">
        <v>7709</v>
      </c>
      <c r="C3182" t="s">
        <v>7710</v>
      </c>
      <c r="E3182" t="s">
        <v>39</v>
      </c>
      <c r="F3182">
        <v>0</v>
      </c>
      <c r="G3182">
        <v>0</v>
      </c>
      <c r="H3182">
        <v>1</v>
      </c>
      <c r="I3182" s="3">
        <v>2381.1</v>
      </c>
      <c r="J3182" s="3">
        <v>753.98</v>
      </c>
      <c r="K3182" t="s">
        <v>4989</v>
      </c>
      <c r="L3182">
        <v>3001</v>
      </c>
      <c r="M3182" t="s">
        <v>330</v>
      </c>
      <c r="N3182" t="s">
        <v>331</v>
      </c>
      <c r="O3182" t="s">
        <v>108</v>
      </c>
      <c r="P3182" t="str">
        <f>"75063"</f>
        <v>75063</v>
      </c>
    </row>
    <row r="3183" spans="1:16" x14ac:dyDescent="0.25">
      <c r="A3183" t="str">
        <f>"1090080P00071    00"</f>
        <v>1090080P00071    00</v>
      </c>
      <c r="B3183" t="s">
        <v>7711</v>
      </c>
      <c r="C3183" t="s">
        <v>7712</v>
      </c>
      <c r="E3183" t="s">
        <v>39</v>
      </c>
      <c r="F3183">
        <v>0</v>
      </c>
      <c r="G3183">
        <v>0</v>
      </c>
      <c r="H3183">
        <v>1</v>
      </c>
      <c r="I3183" s="3">
        <v>224.91</v>
      </c>
      <c r="J3183" s="3">
        <v>221.15</v>
      </c>
      <c r="K3183" t="s">
        <v>4781</v>
      </c>
      <c r="L3183">
        <v>111</v>
      </c>
      <c r="M3183" t="s">
        <v>4782</v>
      </c>
      <c r="N3183" t="s">
        <v>4783</v>
      </c>
      <c r="O3183" t="s">
        <v>4784</v>
      </c>
      <c r="P3183" t="str">
        <f>"63146"</f>
        <v>63146</v>
      </c>
    </row>
    <row r="3184" spans="1:16" x14ac:dyDescent="0.25">
      <c r="A3184" t="str">
        <f>"1090080P00073B   00"</f>
        <v>1090080P00073B   00</v>
      </c>
      <c r="B3184" t="s">
        <v>7713</v>
      </c>
      <c r="C3184" t="s">
        <v>7714</v>
      </c>
      <c r="D3184" t="s">
        <v>20</v>
      </c>
      <c r="E3184" t="s">
        <v>39</v>
      </c>
      <c r="F3184">
        <v>0</v>
      </c>
      <c r="G3184">
        <v>0</v>
      </c>
      <c r="H3184">
        <v>3</v>
      </c>
      <c r="I3184" s="3">
        <v>8491.26</v>
      </c>
      <c r="J3184" s="3">
        <v>188.69</v>
      </c>
      <c r="K3184" t="s">
        <v>4397</v>
      </c>
      <c r="M3184" t="s">
        <v>7715</v>
      </c>
      <c r="N3184" t="s">
        <v>7716</v>
      </c>
      <c r="O3184" t="s">
        <v>3486</v>
      </c>
      <c r="P3184" t="str">
        <f>"60197"</f>
        <v>60197</v>
      </c>
    </row>
    <row r="3185" spans="1:16" x14ac:dyDescent="0.25">
      <c r="A3185" t="str">
        <f>"1090080P00077    00"</f>
        <v>1090080P00077    00</v>
      </c>
      <c r="B3185" t="s">
        <v>7717</v>
      </c>
      <c r="C3185" t="s">
        <v>7718</v>
      </c>
      <c r="D3185" t="s">
        <v>20</v>
      </c>
      <c r="E3185" t="s">
        <v>39</v>
      </c>
      <c r="F3185">
        <v>0</v>
      </c>
      <c r="G3185">
        <v>0</v>
      </c>
      <c r="H3185">
        <v>2</v>
      </c>
      <c r="I3185" s="3">
        <v>7464</v>
      </c>
      <c r="J3185" s="3">
        <v>1460.74</v>
      </c>
      <c r="L3185">
        <v>168</v>
      </c>
      <c r="M3185" t="s">
        <v>7068</v>
      </c>
      <c r="N3185" t="s">
        <v>30</v>
      </c>
      <c r="O3185" t="s">
        <v>31</v>
      </c>
      <c r="P3185" t="str">
        <f>"15201"</f>
        <v>15201</v>
      </c>
    </row>
    <row r="3186" spans="1:16" x14ac:dyDescent="0.25">
      <c r="A3186" t="str">
        <f>"1090080P00079    00"</f>
        <v>1090080P00079    00</v>
      </c>
      <c r="B3186" t="s">
        <v>7719</v>
      </c>
      <c r="C3186" t="s">
        <v>7720</v>
      </c>
      <c r="E3186" t="s">
        <v>39</v>
      </c>
      <c r="F3186">
        <v>0</v>
      </c>
      <c r="G3186">
        <v>0</v>
      </c>
      <c r="H3186">
        <v>1</v>
      </c>
      <c r="I3186" s="3">
        <v>1023.98</v>
      </c>
      <c r="J3186" s="3">
        <v>0</v>
      </c>
      <c r="L3186">
        <v>382</v>
      </c>
      <c r="M3186" t="s">
        <v>6968</v>
      </c>
      <c r="N3186" t="s">
        <v>6969</v>
      </c>
      <c r="O3186" t="s">
        <v>495</v>
      </c>
      <c r="P3186" t="str">
        <f>"91789"</f>
        <v>91789</v>
      </c>
    </row>
    <row r="3187" spans="1:16" x14ac:dyDescent="0.25">
      <c r="A3187" t="str">
        <f>"1090080P00085    00"</f>
        <v>1090080P00085    00</v>
      </c>
      <c r="B3187" t="s">
        <v>7721</v>
      </c>
      <c r="C3187" t="s">
        <v>7722</v>
      </c>
      <c r="D3187" t="s">
        <v>20</v>
      </c>
      <c r="E3187" t="s">
        <v>39</v>
      </c>
      <c r="F3187">
        <v>0</v>
      </c>
      <c r="G3187">
        <v>0</v>
      </c>
      <c r="H3187">
        <v>2</v>
      </c>
      <c r="I3187" s="3">
        <v>2718.94</v>
      </c>
      <c r="J3187" s="3">
        <v>0</v>
      </c>
      <c r="L3187">
        <v>184</v>
      </c>
      <c r="M3187" t="s">
        <v>7068</v>
      </c>
      <c r="N3187" t="s">
        <v>30</v>
      </c>
      <c r="O3187" t="s">
        <v>31</v>
      </c>
      <c r="P3187" t="str">
        <f>"15201"</f>
        <v>15201</v>
      </c>
    </row>
    <row r="3188" spans="1:16" x14ac:dyDescent="0.25">
      <c r="A3188" t="str">
        <f>"1090080P00088A   00"</f>
        <v>1090080P00088A   00</v>
      </c>
      <c r="B3188" t="s">
        <v>4691</v>
      </c>
      <c r="C3188" t="s">
        <v>7723</v>
      </c>
      <c r="D3188" t="s">
        <v>20</v>
      </c>
      <c r="E3188" t="s">
        <v>39</v>
      </c>
      <c r="F3188">
        <v>0</v>
      </c>
      <c r="G3188">
        <v>0</v>
      </c>
      <c r="H3188">
        <v>4</v>
      </c>
      <c r="I3188" s="3">
        <v>2430.08</v>
      </c>
      <c r="J3188" s="3">
        <v>287.07</v>
      </c>
      <c r="L3188">
        <v>189</v>
      </c>
      <c r="M3188" t="s">
        <v>4693</v>
      </c>
      <c r="N3188" t="s">
        <v>30</v>
      </c>
      <c r="O3188" t="s">
        <v>31</v>
      </c>
      <c r="P3188" t="str">
        <f>"15201"</f>
        <v>15201</v>
      </c>
    </row>
    <row r="3189" spans="1:16" x14ac:dyDescent="0.25">
      <c r="A3189" t="str">
        <f>"1090080P00091    00"</f>
        <v>1090080P00091    00</v>
      </c>
      <c r="B3189" t="s">
        <v>7724</v>
      </c>
      <c r="C3189" t="s">
        <v>7725</v>
      </c>
      <c r="D3189" t="s">
        <v>20</v>
      </c>
      <c r="E3189" t="s">
        <v>39</v>
      </c>
      <c r="F3189">
        <v>0</v>
      </c>
      <c r="G3189">
        <v>0</v>
      </c>
      <c r="H3189">
        <v>8</v>
      </c>
      <c r="I3189" s="3">
        <v>9310.7800000000007</v>
      </c>
      <c r="J3189" s="3">
        <v>2583.2399999999998</v>
      </c>
      <c r="L3189">
        <v>188</v>
      </c>
      <c r="M3189" t="s">
        <v>7726</v>
      </c>
      <c r="N3189" t="s">
        <v>30</v>
      </c>
      <c r="O3189" t="s">
        <v>31</v>
      </c>
      <c r="P3189" t="str">
        <f>"15201"</f>
        <v>15201</v>
      </c>
    </row>
    <row r="3190" spans="1:16" x14ac:dyDescent="0.25">
      <c r="A3190" t="str">
        <f>"1090080P00093    00"</f>
        <v>1090080P00093    00</v>
      </c>
      <c r="B3190" t="s">
        <v>7727</v>
      </c>
      <c r="C3190" t="s">
        <v>7728</v>
      </c>
      <c r="D3190" t="s">
        <v>20</v>
      </c>
      <c r="E3190" t="s">
        <v>39</v>
      </c>
      <c r="F3190">
        <v>0</v>
      </c>
      <c r="G3190">
        <v>0</v>
      </c>
      <c r="H3190">
        <v>1</v>
      </c>
      <c r="I3190" s="3">
        <v>1147.8800000000001</v>
      </c>
      <c r="J3190" s="3">
        <v>0</v>
      </c>
      <c r="K3190" t="s">
        <v>7729</v>
      </c>
      <c r="L3190">
        <v>1815</v>
      </c>
      <c r="M3190" t="s">
        <v>7730</v>
      </c>
      <c r="N3190" t="s">
        <v>526</v>
      </c>
      <c r="O3190" t="s">
        <v>527</v>
      </c>
      <c r="P3190" t="str">
        <f>"20009"</f>
        <v>20009</v>
      </c>
    </row>
    <row r="3191" spans="1:16" x14ac:dyDescent="0.25">
      <c r="A3191" t="str">
        <f>"1090080P00098    00"</f>
        <v>1090080P00098    00</v>
      </c>
      <c r="B3191" t="s">
        <v>7731</v>
      </c>
      <c r="C3191" t="s">
        <v>7732</v>
      </c>
      <c r="D3191" t="s">
        <v>20</v>
      </c>
      <c r="E3191" t="s">
        <v>39</v>
      </c>
      <c r="F3191">
        <v>0</v>
      </c>
      <c r="G3191">
        <v>0</v>
      </c>
      <c r="H3191">
        <v>10</v>
      </c>
      <c r="I3191" s="3">
        <v>12107.91</v>
      </c>
      <c r="J3191" s="3">
        <v>4697.62</v>
      </c>
      <c r="K3191" t="s">
        <v>7733</v>
      </c>
      <c r="L3191">
        <v>241</v>
      </c>
      <c r="M3191" t="s">
        <v>5741</v>
      </c>
      <c r="N3191" t="s">
        <v>30</v>
      </c>
      <c r="O3191" t="s">
        <v>31</v>
      </c>
      <c r="P3191" t="str">
        <f>"15232"</f>
        <v>15232</v>
      </c>
    </row>
    <row r="3192" spans="1:16" x14ac:dyDescent="0.25">
      <c r="A3192" t="str">
        <f>"1090080P00100B   00"</f>
        <v>1090080P00100B   00</v>
      </c>
      <c r="B3192" t="s">
        <v>7734</v>
      </c>
      <c r="C3192" t="s">
        <v>7735</v>
      </c>
      <c r="D3192" t="s">
        <v>20</v>
      </c>
      <c r="E3192" t="s">
        <v>39</v>
      </c>
      <c r="F3192">
        <v>0</v>
      </c>
      <c r="G3192">
        <v>0</v>
      </c>
      <c r="H3192">
        <v>4</v>
      </c>
      <c r="I3192" s="3">
        <v>2229.5700000000002</v>
      </c>
      <c r="J3192" s="3">
        <v>581.08000000000004</v>
      </c>
      <c r="L3192">
        <v>8050</v>
      </c>
      <c r="M3192" t="s">
        <v>5079</v>
      </c>
      <c r="N3192" t="s">
        <v>5080</v>
      </c>
      <c r="O3192" t="s">
        <v>25</v>
      </c>
      <c r="P3192" t="str">
        <f>"44641"</f>
        <v>44641</v>
      </c>
    </row>
    <row r="3193" spans="1:16" x14ac:dyDescent="0.25">
      <c r="A3193" t="str">
        <f>"1090080P00106    00"</f>
        <v>1090080P00106    00</v>
      </c>
      <c r="B3193" t="s">
        <v>7736</v>
      </c>
      <c r="C3193" t="s">
        <v>7737</v>
      </c>
      <c r="E3193" t="s">
        <v>39</v>
      </c>
      <c r="F3193">
        <v>0</v>
      </c>
      <c r="G3193">
        <v>0</v>
      </c>
      <c r="H3193">
        <v>1</v>
      </c>
      <c r="I3193" s="3">
        <v>1522.9</v>
      </c>
      <c r="J3193" s="3">
        <v>0</v>
      </c>
      <c r="K3193" t="s">
        <v>7738</v>
      </c>
      <c r="L3193">
        <v>600</v>
      </c>
      <c r="M3193" t="s">
        <v>7739</v>
      </c>
      <c r="N3193" t="s">
        <v>1474</v>
      </c>
      <c r="O3193" t="s">
        <v>31</v>
      </c>
      <c r="P3193" t="str">
        <f>"15017"</f>
        <v>15017</v>
      </c>
    </row>
    <row r="3194" spans="1:16" x14ac:dyDescent="0.25">
      <c r="A3194" t="str">
        <f>"1090080P00114    00"</f>
        <v>1090080P00114    00</v>
      </c>
      <c r="B3194" t="s">
        <v>7740</v>
      </c>
      <c r="C3194" t="s">
        <v>7741</v>
      </c>
      <c r="E3194" t="s">
        <v>39</v>
      </c>
      <c r="F3194">
        <v>0</v>
      </c>
      <c r="G3194">
        <v>0</v>
      </c>
      <c r="H3194">
        <v>1</v>
      </c>
      <c r="I3194" s="3">
        <v>3059.77</v>
      </c>
      <c r="J3194" s="3">
        <v>560.94000000000005</v>
      </c>
      <c r="K3194" t="s">
        <v>4893</v>
      </c>
      <c r="L3194">
        <v>3001</v>
      </c>
      <c r="M3194" t="s">
        <v>330</v>
      </c>
      <c r="N3194" t="s">
        <v>331</v>
      </c>
      <c r="O3194" t="s">
        <v>108</v>
      </c>
      <c r="P3194" t="str">
        <f>"75063"</f>
        <v>75063</v>
      </c>
    </row>
    <row r="3195" spans="1:16" x14ac:dyDescent="0.25">
      <c r="A3195" t="str">
        <f>"1090080P00116    00"</f>
        <v>1090080P00116    00</v>
      </c>
      <c r="B3195" t="s">
        <v>7742</v>
      </c>
      <c r="C3195" t="s">
        <v>7743</v>
      </c>
      <c r="D3195" t="s">
        <v>20</v>
      </c>
      <c r="E3195" t="s">
        <v>39</v>
      </c>
      <c r="F3195">
        <v>0</v>
      </c>
      <c r="G3195">
        <v>0</v>
      </c>
      <c r="H3195">
        <v>1</v>
      </c>
      <c r="I3195" s="3">
        <v>1913.62</v>
      </c>
      <c r="J3195" s="3">
        <v>0</v>
      </c>
      <c r="K3195" t="s">
        <v>7744</v>
      </c>
      <c r="M3195" t="s">
        <v>7745</v>
      </c>
      <c r="N3195" t="s">
        <v>107</v>
      </c>
      <c r="O3195" t="s">
        <v>108</v>
      </c>
      <c r="P3195" t="str">
        <f>"75265"</f>
        <v>75265</v>
      </c>
    </row>
    <row r="3196" spans="1:16" x14ac:dyDescent="0.25">
      <c r="A3196" t="str">
        <f>"1090080P00118A   00"</f>
        <v>1090080P00118A   00</v>
      </c>
      <c r="B3196" t="s">
        <v>7746</v>
      </c>
      <c r="C3196" t="s">
        <v>7747</v>
      </c>
      <c r="E3196" t="s">
        <v>39</v>
      </c>
      <c r="F3196">
        <v>0</v>
      </c>
      <c r="G3196">
        <v>0</v>
      </c>
      <c r="H3196">
        <v>1</v>
      </c>
      <c r="I3196" s="3">
        <v>619.1</v>
      </c>
      <c r="J3196" s="3">
        <v>123.82</v>
      </c>
      <c r="K3196" t="s">
        <v>7748</v>
      </c>
      <c r="L3196">
        <v>143</v>
      </c>
      <c r="M3196" t="s">
        <v>7749</v>
      </c>
      <c r="N3196" t="s">
        <v>30</v>
      </c>
      <c r="O3196" t="s">
        <v>31</v>
      </c>
      <c r="P3196" t="str">
        <f>"15201"</f>
        <v>15201</v>
      </c>
    </row>
    <row r="3197" spans="1:16" x14ac:dyDescent="0.25">
      <c r="A3197" t="str">
        <f>"1090080P00120    00"</f>
        <v>1090080P00120    00</v>
      </c>
      <c r="B3197" t="s">
        <v>7750</v>
      </c>
      <c r="C3197" t="s">
        <v>7751</v>
      </c>
      <c r="D3197" t="s">
        <v>20</v>
      </c>
      <c r="E3197" t="s">
        <v>39</v>
      </c>
      <c r="F3197">
        <v>0</v>
      </c>
      <c r="G3197">
        <v>0</v>
      </c>
      <c r="H3197">
        <v>6</v>
      </c>
      <c r="I3197" s="3">
        <v>4692.3999999999996</v>
      </c>
      <c r="J3197" s="3">
        <v>1342.3</v>
      </c>
      <c r="L3197">
        <v>139</v>
      </c>
      <c r="M3197" t="s">
        <v>7068</v>
      </c>
      <c r="N3197" t="s">
        <v>30</v>
      </c>
      <c r="O3197" t="s">
        <v>31</v>
      </c>
      <c r="P3197" t="str">
        <f>"15201"</f>
        <v>15201</v>
      </c>
    </row>
    <row r="3198" spans="1:16" x14ac:dyDescent="0.25">
      <c r="A3198" t="str">
        <f>"1090080P00146A   00"</f>
        <v>1090080P00146A   00</v>
      </c>
      <c r="B3198" t="s">
        <v>7752</v>
      </c>
      <c r="C3198" t="s">
        <v>7753</v>
      </c>
      <c r="E3198" t="s">
        <v>39</v>
      </c>
      <c r="F3198">
        <v>0</v>
      </c>
      <c r="G3198">
        <v>0</v>
      </c>
      <c r="H3198">
        <v>2</v>
      </c>
      <c r="I3198" s="3">
        <v>944.97</v>
      </c>
      <c r="J3198" s="3">
        <v>0</v>
      </c>
      <c r="L3198">
        <v>11317</v>
      </c>
      <c r="M3198" t="s">
        <v>7754</v>
      </c>
      <c r="N3198" t="s">
        <v>7755</v>
      </c>
      <c r="O3198" t="s">
        <v>495</v>
      </c>
      <c r="P3198" t="str">
        <f>"92555"</f>
        <v>92555</v>
      </c>
    </row>
    <row r="3199" spans="1:16" x14ac:dyDescent="0.25">
      <c r="A3199" t="str">
        <f>"1090080P00158    00"</f>
        <v>1090080P00158    00</v>
      </c>
      <c r="B3199" t="s">
        <v>7756</v>
      </c>
      <c r="C3199" t="s">
        <v>7757</v>
      </c>
      <c r="E3199" t="s">
        <v>39</v>
      </c>
      <c r="F3199">
        <v>0</v>
      </c>
      <c r="G3199">
        <v>0</v>
      </c>
      <c r="H3199">
        <v>1</v>
      </c>
      <c r="I3199" s="3">
        <v>4138.2</v>
      </c>
      <c r="J3199" s="3">
        <v>2069.02</v>
      </c>
      <c r="K3199" t="s">
        <v>7758</v>
      </c>
      <c r="L3199">
        <v>965</v>
      </c>
      <c r="M3199" t="s">
        <v>7759</v>
      </c>
      <c r="N3199" t="s">
        <v>30</v>
      </c>
      <c r="O3199" t="s">
        <v>31</v>
      </c>
      <c r="P3199" t="str">
        <f>"15220"</f>
        <v>15220</v>
      </c>
    </row>
    <row r="3200" spans="1:16" x14ac:dyDescent="0.25">
      <c r="A3200" t="str">
        <f>"1090080P00159    00"</f>
        <v>1090080P00159    00</v>
      </c>
      <c r="B3200" t="s">
        <v>7760</v>
      </c>
      <c r="C3200" t="s">
        <v>7761</v>
      </c>
      <c r="E3200" t="s">
        <v>39</v>
      </c>
      <c r="F3200">
        <v>0</v>
      </c>
      <c r="G3200">
        <v>0</v>
      </c>
      <c r="H3200">
        <v>1</v>
      </c>
      <c r="I3200" s="3">
        <v>4684.38</v>
      </c>
      <c r="J3200" s="3">
        <v>1288.1400000000001</v>
      </c>
      <c r="K3200" t="s">
        <v>881</v>
      </c>
      <c r="L3200">
        <v>3001</v>
      </c>
      <c r="M3200" t="s">
        <v>330</v>
      </c>
      <c r="N3200" t="s">
        <v>331</v>
      </c>
      <c r="O3200" t="s">
        <v>108</v>
      </c>
      <c r="P3200" t="str">
        <f>"75063"</f>
        <v>75063</v>
      </c>
    </row>
    <row r="3201" spans="1:16" x14ac:dyDescent="0.25">
      <c r="A3201" t="str">
        <f>"1090080P00168    00"</f>
        <v>1090080P00168    00</v>
      </c>
      <c r="B3201" t="s">
        <v>7762</v>
      </c>
      <c r="C3201" t="s">
        <v>7763</v>
      </c>
      <c r="E3201" t="s">
        <v>39</v>
      </c>
      <c r="F3201">
        <v>0</v>
      </c>
      <c r="G3201">
        <v>0</v>
      </c>
      <c r="H3201">
        <v>1</v>
      </c>
      <c r="I3201" s="3">
        <v>1670.8</v>
      </c>
      <c r="J3201" s="3">
        <v>529.07000000000005</v>
      </c>
      <c r="L3201">
        <v>186</v>
      </c>
      <c r="M3201" t="s">
        <v>7177</v>
      </c>
      <c r="N3201" t="s">
        <v>30</v>
      </c>
      <c r="O3201" t="s">
        <v>31</v>
      </c>
      <c r="P3201" t="str">
        <f>"15201"</f>
        <v>15201</v>
      </c>
    </row>
    <row r="3202" spans="1:16" x14ac:dyDescent="0.25">
      <c r="A3202" t="str">
        <f>"1090080P00171    00"</f>
        <v>1090080P00171    00</v>
      </c>
      <c r="B3202" t="s">
        <v>7764</v>
      </c>
      <c r="C3202" t="s">
        <v>7765</v>
      </c>
      <c r="D3202" t="s">
        <v>20</v>
      </c>
      <c r="E3202" t="s">
        <v>39</v>
      </c>
      <c r="F3202">
        <v>0</v>
      </c>
      <c r="G3202">
        <v>0</v>
      </c>
      <c r="H3202">
        <v>3</v>
      </c>
      <c r="I3202" s="3">
        <v>9789.2099999999991</v>
      </c>
      <c r="J3202" s="3">
        <v>217.53</v>
      </c>
      <c r="K3202" t="s">
        <v>5396</v>
      </c>
      <c r="L3202">
        <v>3001</v>
      </c>
      <c r="M3202" t="s">
        <v>330</v>
      </c>
      <c r="N3202" t="s">
        <v>331</v>
      </c>
      <c r="O3202" t="s">
        <v>108</v>
      </c>
      <c r="P3202" t="str">
        <f>"75063"</f>
        <v>75063</v>
      </c>
    </row>
    <row r="3203" spans="1:16" x14ac:dyDescent="0.25">
      <c r="A3203" t="str">
        <f>"1090080P00173    00"</f>
        <v>1090080P00173    00</v>
      </c>
      <c r="B3203" t="s">
        <v>7766</v>
      </c>
      <c r="C3203" t="s">
        <v>7767</v>
      </c>
      <c r="D3203" t="s">
        <v>20</v>
      </c>
      <c r="E3203" t="s">
        <v>21</v>
      </c>
      <c r="F3203">
        <v>0</v>
      </c>
      <c r="G3203">
        <v>0</v>
      </c>
      <c r="H3203">
        <v>2</v>
      </c>
      <c r="I3203" s="3">
        <v>9617.9599999999991</v>
      </c>
      <c r="J3203" s="3">
        <v>0</v>
      </c>
      <c r="L3203">
        <v>129</v>
      </c>
      <c r="M3203" t="s">
        <v>4734</v>
      </c>
      <c r="N3203" t="s">
        <v>30</v>
      </c>
      <c r="O3203" t="s">
        <v>31</v>
      </c>
      <c r="P3203" t="str">
        <f>"15203"</f>
        <v>15203</v>
      </c>
    </row>
    <row r="3204" spans="1:16" x14ac:dyDescent="0.25">
      <c r="A3204" t="str">
        <f>"1090080P00204    00"</f>
        <v>1090080P00204    00</v>
      </c>
      <c r="B3204" t="s">
        <v>7768</v>
      </c>
      <c r="C3204" t="s">
        <v>7769</v>
      </c>
      <c r="E3204" t="s">
        <v>39</v>
      </c>
      <c r="F3204">
        <v>0</v>
      </c>
      <c r="G3204">
        <v>0</v>
      </c>
      <c r="H3204">
        <v>1</v>
      </c>
      <c r="I3204" s="3">
        <v>993.23</v>
      </c>
      <c r="J3204" s="3">
        <v>0</v>
      </c>
      <c r="K3204" t="s">
        <v>7770</v>
      </c>
      <c r="L3204">
        <v>4635</v>
      </c>
      <c r="M3204" t="s">
        <v>841</v>
      </c>
      <c r="N3204" t="s">
        <v>30</v>
      </c>
      <c r="O3204" t="s">
        <v>31</v>
      </c>
      <c r="P3204" t="str">
        <f>"15201"</f>
        <v>15201</v>
      </c>
    </row>
    <row r="3205" spans="1:16" x14ac:dyDescent="0.25">
      <c r="A3205" t="str">
        <f>"1090080P00205    00"</f>
        <v>1090080P00205    00</v>
      </c>
      <c r="B3205" t="s">
        <v>7771</v>
      </c>
      <c r="C3205" t="s">
        <v>7772</v>
      </c>
      <c r="D3205" t="s">
        <v>20</v>
      </c>
      <c r="E3205" t="s">
        <v>21</v>
      </c>
      <c r="F3205">
        <v>0</v>
      </c>
      <c r="G3205">
        <v>0</v>
      </c>
      <c r="H3205">
        <v>3</v>
      </c>
      <c r="I3205" s="3">
        <v>1454.76</v>
      </c>
      <c r="J3205" s="3">
        <v>6.42</v>
      </c>
      <c r="L3205">
        <v>4635</v>
      </c>
      <c r="M3205" t="s">
        <v>841</v>
      </c>
      <c r="N3205" t="s">
        <v>30</v>
      </c>
      <c r="O3205" t="s">
        <v>31</v>
      </c>
      <c r="P3205" t="str">
        <f>"15201"</f>
        <v>15201</v>
      </c>
    </row>
    <row r="3206" spans="1:16" x14ac:dyDescent="0.25">
      <c r="A3206" t="str">
        <f>"1090080P00207    00"</f>
        <v>1090080P00207    00</v>
      </c>
      <c r="B3206" t="s">
        <v>7771</v>
      </c>
      <c r="C3206" t="s">
        <v>7772</v>
      </c>
      <c r="E3206" t="s">
        <v>21</v>
      </c>
      <c r="F3206">
        <v>0</v>
      </c>
      <c r="G3206">
        <v>0</v>
      </c>
      <c r="H3206">
        <v>1</v>
      </c>
      <c r="I3206" s="3">
        <v>204.51</v>
      </c>
      <c r="J3206" s="3">
        <v>59.65</v>
      </c>
      <c r="L3206">
        <v>4635</v>
      </c>
      <c r="M3206" t="s">
        <v>841</v>
      </c>
      <c r="N3206" t="s">
        <v>30</v>
      </c>
      <c r="O3206" t="s">
        <v>31</v>
      </c>
      <c r="P3206" t="str">
        <f>"15201"</f>
        <v>15201</v>
      </c>
    </row>
    <row r="3207" spans="1:16" x14ac:dyDescent="0.25">
      <c r="A3207" t="str">
        <f>"1090080P00215    00"</f>
        <v>1090080P00215    00</v>
      </c>
      <c r="B3207" t="s">
        <v>6974</v>
      </c>
      <c r="C3207" t="s">
        <v>7773</v>
      </c>
      <c r="D3207" t="s">
        <v>20</v>
      </c>
      <c r="E3207" t="s">
        <v>39</v>
      </c>
      <c r="F3207">
        <v>0</v>
      </c>
      <c r="G3207">
        <v>0</v>
      </c>
      <c r="H3207">
        <v>3</v>
      </c>
      <c r="I3207" s="3">
        <v>5792.37</v>
      </c>
      <c r="J3207" s="3">
        <v>386.15</v>
      </c>
      <c r="L3207">
        <v>173</v>
      </c>
      <c r="M3207" t="s">
        <v>6976</v>
      </c>
      <c r="N3207" t="s">
        <v>30</v>
      </c>
      <c r="O3207" t="s">
        <v>31</v>
      </c>
      <c r="P3207" t="str">
        <f>"15201"</f>
        <v>15201</v>
      </c>
    </row>
    <row r="3208" spans="1:16" x14ac:dyDescent="0.25">
      <c r="A3208" t="str">
        <f>"1090080P00216    00"</f>
        <v>1090080P00216    00</v>
      </c>
      <c r="B3208" t="s">
        <v>7774</v>
      </c>
      <c r="C3208" t="s">
        <v>7775</v>
      </c>
      <c r="D3208" t="s">
        <v>20</v>
      </c>
      <c r="E3208" t="s">
        <v>39</v>
      </c>
      <c r="F3208">
        <v>0</v>
      </c>
      <c r="G3208">
        <v>0</v>
      </c>
      <c r="H3208">
        <v>1</v>
      </c>
      <c r="I3208" s="3">
        <v>4510.07</v>
      </c>
      <c r="J3208" s="3">
        <v>0</v>
      </c>
      <c r="K3208" t="s">
        <v>881</v>
      </c>
      <c r="L3208">
        <v>3001</v>
      </c>
      <c r="M3208" t="s">
        <v>330</v>
      </c>
      <c r="N3208" t="s">
        <v>331</v>
      </c>
      <c r="O3208" t="s">
        <v>108</v>
      </c>
      <c r="P3208" t="str">
        <f>"75063"</f>
        <v>75063</v>
      </c>
    </row>
    <row r="3209" spans="1:16" x14ac:dyDescent="0.25">
      <c r="A3209" t="str">
        <f>"1090080P00219    00"</f>
        <v>1090080P00219    00</v>
      </c>
      <c r="B3209" t="s">
        <v>7776</v>
      </c>
      <c r="C3209" t="s">
        <v>7777</v>
      </c>
      <c r="D3209" t="s">
        <v>20</v>
      </c>
      <c r="E3209" t="s">
        <v>39</v>
      </c>
      <c r="F3209">
        <v>0</v>
      </c>
      <c r="G3209">
        <v>0</v>
      </c>
      <c r="H3209">
        <v>8</v>
      </c>
      <c r="I3209" s="3">
        <v>7791.13</v>
      </c>
      <c r="J3209" s="3">
        <v>3267.76</v>
      </c>
      <c r="L3209">
        <v>167</v>
      </c>
      <c r="M3209" t="s">
        <v>7177</v>
      </c>
      <c r="N3209" t="s">
        <v>30</v>
      </c>
      <c r="O3209" t="s">
        <v>31</v>
      </c>
      <c r="P3209" t="str">
        <f>"15201"</f>
        <v>15201</v>
      </c>
    </row>
    <row r="3210" spans="1:16" x14ac:dyDescent="0.25">
      <c r="A3210" t="str">
        <f>"1090080P00224    00"</f>
        <v>1090080P00224    00</v>
      </c>
      <c r="B3210" t="s">
        <v>7776</v>
      </c>
      <c r="C3210" t="s">
        <v>7778</v>
      </c>
      <c r="D3210" t="s">
        <v>20</v>
      </c>
      <c r="E3210" t="s">
        <v>39</v>
      </c>
      <c r="F3210">
        <v>0</v>
      </c>
      <c r="G3210">
        <v>0</v>
      </c>
      <c r="H3210">
        <v>5</v>
      </c>
      <c r="I3210" s="3">
        <v>9853.44</v>
      </c>
      <c r="J3210" s="3">
        <v>1702.31</v>
      </c>
      <c r="K3210" t="s">
        <v>7779</v>
      </c>
      <c r="L3210">
        <v>182</v>
      </c>
      <c r="M3210" t="s">
        <v>7780</v>
      </c>
      <c r="N3210" t="s">
        <v>30</v>
      </c>
      <c r="O3210" t="s">
        <v>31</v>
      </c>
      <c r="P3210" t="str">
        <f>"15201"</f>
        <v>15201</v>
      </c>
    </row>
    <row r="3211" spans="1:16" x14ac:dyDescent="0.25">
      <c r="A3211" t="str">
        <f>"1090080P00230    00"</f>
        <v>1090080P00230    00</v>
      </c>
      <c r="B3211" t="s">
        <v>7781</v>
      </c>
      <c r="C3211" t="s">
        <v>7782</v>
      </c>
      <c r="E3211" t="s">
        <v>39</v>
      </c>
      <c r="F3211">
        <v>0</v>
      </c>
      <c r="G3211">
        <v>0</v>
      </c>
      <c r="H3211">
        <v>2</v>
      </c>
      <c r="I3211" s="3">
        <v>7353.36</v>
      </c>
      <c r="J3211" s="3">
        <v>245.11</v>
      </c>
      <c r="L3211">
        <v>170</v>
      </c>
      <c r="M3211" t="s">
        <v>7780</v>
      </c>
      <c r="N3211" t="s">
        <v>30</v>
      </c>
      <c r="O3211" t="s">
        <v>31</v>
      </c>
      <c r="P3211" t="str">
        <f>"15201"</f>
        <v>15201</v>
      </c>
    </row>
    <row r="3212" spans="1:16" x14ac:dyDescent="0.25">
      <c r="A3212" t="str">
        <f>"1090080P00253    00"</f>
        <v>1090080P00253    00</v>
      </c>
      <c r="B3212" t="s">
        <v>7783</v>
      </c>
      <c r="C3212" t="s">
        <v>7784</v>
      </c>
      <c r="D3212" t="s">
        <v>20</v>
      </c>
      <c r="E3212" t="s">
        <v>39</v>
      </c>
      <c r="F3212">
        <v>0</v>
      </c>
      <c r="G3212">
        <v>0</v>
      </c>
      <c r="H3212">
        <v>1</v>
      </c>
      <c r="I3212" s="3">
        <v>2599.7800000000002</v>
      </c>
      <c r="J3212" s="3">
        <v>0</v>
      </c>
      <c r="K3212" t="s">
        <v>492</v>
      </c>
      <c r="L3212">
        <v>901</v>
      </c>
      <c r="M3212" t="s">
        <v>493</v>
      </c>
      <c r="N3212" t="s">
        <v>494</v>
      </c>
      <c r="O3212" t="s">
        <v>495</v>
      </c>
      <c r="P3212" t="str">
        <f>"91768"</f>
        <v>91768</v>
      </c>
    </row>
    <row r="3213" spans="1:16" x14ac:dyDescent="0.25">
      <c r="A3213" t="str">
        <f>"1090080P00256    00"</f>
        <v>1090080P00256    00</v>
      </c>
      <c r="B3213" t="s">
        <v>7785</v>
      </c>
      <c r="C3213" t="s">
        <v>7786</v>
      </c>
      <c r="E3213" t="s">
        <v>39</v>
      </c>
      <c r="F3213">
        <v>0</v>
      </c>
      <c r="G3213">
        <v>0</v>
      </c>
      <c r="H3213">
        <v>1</v>
      </c>
      <c r="I3213" s="3">
        <v>1458.1</v>
      </c>
      <c r="J3213" s="3">
        <v>0</v>
      </c>
      <c r="K3213" t="s">
        <v>7787</v>
      </c>
      <c r="L3213">
        <v>4609</v>
      </c>
      <c r="M3213" t="s">
        <v>6990</v>
      </c>
      <c r="N3213" t="s">
        <v>30</v>
      </c>
      <c r="O3213" t="s">
        <v>31</v>
      </c>
      <c r="P3213" t="str">
        <f>"15201"</f>
        <v>15201</v>
      </c>
    </row>
    <row r="3214" spans="1:16" x14ac:dyDescent="0.25">
      <c r="A3214" t="str">
        <f>"1090080P00260C   00"</f>
        <v>1090080P00260C   00</v>
      </c>
      <c r="B3214" t="s">
        <v>7788</v>
      </c>
      <c r="C3214" t="s">
        <v>7789</v>
      </c>
      <c r="E3214" t="s">
        <v>39</v>
      </c>
      <c r="F3214">
        <v>0</v>
      </c>
      <c r="G3214">
        <v>0</v>
      </c>
      <c r="H3214">
        <v>1</v>
      </c>
      <c r="I3214" s="3">
        <v>1097.8499999999999</v>
      </c>
      <c r="J3214" s="3">
        <v>0</v>
      </c>
      <c r="K3214" t="s">
        <v>7790</v>
      </c>
      <c r="L3214">
        <v>4609</v>
      </c>
      <c r="M3214" t="s">
        <v>6990</v>
      </c>
      <c r="N3214" t="s">
        <v>30</v>
      </c>
      <c r="O3214" t="s">
        <v>31</v>
      </c>
      <c r="P3214" t="str">
        <f>"15201"</f>
        <v>15201</v>
      </c>
    </row>
    <row r="3215" spans="1:16" x14ac:dyDescent="0.25">
      <c r="A3215" t="str">
        <f>"1090080P00266    00"</f>
        <v>1090080P00266    00</v>
      </c>
      <c r="B3215" t="s">
        <v>7791</v>
      </c>
      <c r="C3215" t="s">
        <v>7792</v>
      </c>
      <c r="E3215" t="s">
        <v>39</v>
      </c>
      <c r="F3215">
        <v>0</v>
      </c>
      <c r="G3215">
        <v>0</v>
      </c>
      <c r="H3215">
        <v>1</v>
      </c>
      <c r="I3215" s="3">
        <v>6179.25</v>
      </c>
      <c r="J3215" s="3">
        <v>0</v>
      </c>
      <c r="K3215" t="s">
        <v>5432</v>
      </c>
      <c r="L3215">
        <v>3001</v>
      </c>
      <c r="M3215" t="s">
        <v>330</v>
      </c>
      <c r="N3215" t="s">
        <v>331</v>
      </c>
      <c r="O3215" t="s">
        <v>108</v>
      </c>
      <c r="P3215" t="str">
        <f>"75063"</f>
        <v>75063</v>
      </c>
    </row>
    <row r="3216" spans="1:16" x14ac:dyDescent="0.25">
      <c r="A3216" t="str">
        <f>"1090080P00267    00"</f>
        <v>1090080P00267    00</v>
      </c>
      <c r="B3216" t="s">
        <v>7793</v>
      </c>
      <c r="C3216" t="s">
        <v>7794</v>
      </c>
      <c r="D3216" t="s">
        <v>20</v>
      </c>
      <c r="E3216" t="s">
        <v>39</v>
      </c>
      <c r="F3216">
        <v>0</v>
      </c>
      <c r="G3216">
        <v>0</v>
      </c>
      <c r="H3216">
        <v>3</v>
      </c>
      <c r="I3216" s="3">
        <v>7839.38</v>
      </c>
      <c r="J3216" s="3">
        <v>1.92</v>
      </c>
      <c r="K3216" t="s">
        <v>400</v>
      </c>
      <c r="L3216">
        <v>3001</v>
      </c>
      <c r="M3216" t="s">
        <v>330</v>
      </c>
      <c r="N3216" t="s">
        <v>331</v>
      </c>
      <c r="O3216" t="s">
        <v>108</v>
      </c>
      <c r="P3216" t="str">
        <f>"75063"</f>
        <v>75063</v>
      </c>
    </row>
    <row r="3217" spans="1:16" x14ac:dyDescent="0.25">
      <c r="A3217" t="str">
        <f>"1090080P00270    00"</f>
        <v>1090080P00270    00</v>
      </c>
      <c r="B3217" t="s">
        <v>7795</v>
      </c>
      <c r="C3217" t="s">
        <v>7796</v>
      </c>
      <c r="E3217" t="s">
        <v>39</v>
      </c>
      <c r="F3217">
        <v>0</v>
      </c>
      <c r="G3217">
        <v>0</v>
      </c>
      <c r="H3217">
        <v>2</v>
      </c>
      <c r="I3217" s="3">
        <v>141.52000000000001</v>
      </c>
      <c r="J3217" s="3">
        <v>7.07</v>
      </c>
      <c r="K3217" t="s">
        <v>445</v>
      </c>
      <c r="L3217">
        <v>3001</v>
      </c>
      <c r="M3217" t="s">
        <v>330</v>
      </c>
      <c r="N3217" t="s">
        <v>331</v>
      </c>
      <c r="O3217" t="s">
        <v>108</v>
      </c>
      <c r="P3217" t="str">
        <f>"75063"</f>
        <v>75063</v>
      </c>
    </row>
    <row r="3218" spans="1:16" x14ac:dyDescent="0.25">
      <c r="A3218" t="str">
        <f>"1090080P00272    00"</f>
        <v>1090080P00272    00</v>
      </c>
      <c r="B3218" t="s">
        <v>7797</v>
      </c>
      <c r="C3218" t="s">
        <v>7798</v>
      </c>
      <c r="D3218" t="s">
        <v>20</v>
      </c>
      <c r="E3218" t="s">
        <v>39</v>
      </c>
      <c r="F3218">
        <v>0</v>
      </c>
      <c r="G3218">
        <v>0</v>
      </c>
      <c r="H3218">
        <v>4</v>
      </c>
      <c r="I3218" s="3">
        <v>3549.88</v>
      </c>
      <c r="J3218" s="3">
        <v>251.68</v>
      </c>
      <c r="L3218">
        <v>135</v>
      </c>
      <c r="M3218" t="s">
        <v>7177</v>
      </c>
      <c r="N3218" t="s">
        <v>30</v>
      </c>
      <c r="O3218" t="s">
        <v>31</v>
      </c>
      <c r="P3218" t="str">
        <f>"15201"</f>
        <v>15201</v>
      </c>
    </row>
    <row r="3219" spans="1:16" x14ac:dyDescent="0.25">
      <c r="A3219" t="str">
        <f>"1090080P00296    00"</f>
        <v>1090080P00296    00</v>
      </c>
      <c r="B3219" t="s">
        <v>7799</v>
      </c>
      <c r="C3219" t="s">
        <v>7800</v>
      </c>
      <c r="E3219" t="s">
        <v>39</v>
      </c>
      <c r="F3219">
        <v>0</v>
      </c>
      <c r="G3219">
        <v>0</v>
      </c>
      <c r="H3219">
        <v>14</v>
      </c>
      <c r="I3219" s="3">
        <v>6516.01</v>
      </c>
      <c r="J3219" s="3">
        <v>2556.5700000000002</v>
      </c>
      <c r="L3219">
        <v>182</v>
      </c>
      <c r="M3219" t="s">
        <v>7726</v>
      </c>
      <c r="N3219" t="s">
        <v>30</v>
      </c>
      <c r="O3219" t="s">
        <v>31</v>
      </c>
      <c r="P3219" t="str">
        <f>"15201"</f>
        <v>15201</v>
      </c>
    </row>
    <row r="3220" spans="1:16" x14ac:dyDescent="0.25">
      <c r="A3220" t="str">
        <f>"1090080P00301    00"</f>
        <v>1090080P00301    00</v>
      </c>
      <c r="B3220" t="s">
        <v>7801</v>
      </c>
      <c r="C3220" t="s">
        <v>7802</v>
      </c>
      <c r="D3220" t="s">
        <v>20</v>
      </c>
      <c r="E3220" t="s">
        <v>39</v>
      </c>
      <c r="F3220">
        <v>0</v>
      </c>
      <c r="G3220">
        <v>0</v>
      </c>
      <c r="H3220">
        <v>7</v>
      </c>
      <c r="I3220" s="3">
        <v>4799.79</v>
      </c>
      <c r="J3220" s="3">
        <v>1414.07</v>
      </c>
      <c r="L3220">
        <v>188</v>
      </c>
      <c r="M3220" t="s">
        <v>7726</v>
      </c>
      <c r="N3220" t="s">
        <v>30</v>
      </c>
      <c r="O3220" t="s">
        <v>31</v>
      </c>
      <c r="P3220" t="str">
        <f>"15201"</f>
        <v>15201</v>
      </c>
    </row>
    <row r="3221" spans="1:16" x14ac:dyDescent="0.25">
      <c r="A3221" t="str">
        <f>"1090080P00301A   00"</f>
        <v>1090080P00301A   00</v>
      </c>
      <c r="B3221" t="s">
        <v>7803</v>
      </c>
      <c r="C3221" t="s">
        <v>7804</v>
      </c>
      <c r="D3221" t="s">
        <v>20</v>
      </c>
      <c r="E3221" t="s">
        <v>39</v>
      </c>
      <c r="F3221">
        <v>0</v>
      </c>
      <c r="G3221">
        <v>0</v>
      </c>
      <c r="H3221">
        <v>3</v>
      </c>
      <c r="I3221" s="3">
        <v>7210.44</v>
      </c>
      <c r="J3221" s="3">
        <v>160.22999999999999</v>
      </c>
      <c r="K3221" t="s">
        <v>5355</v>
      </c>
      <c r="L3221">
        <v>3001</v>
      </c>
      <c r="M3221" t="s">
        <v>404</v>
      </c>
      <c r="N3221" t="s">
        <v>331</v>
      </c>
      <c r="O3221" t="s">
        <v>108</v>
      </c>
      <c r="P3221" t="str">
        <f>"75063"</f>
        <v>75063</v>
      </c>
    </row>
    <row r="3222" spans="1:16" x14ac:dyDescent="0.25">
      <c r="A3222" t="str">
        <f>"1090080P00314    00"</f>
        <v>1090080P00314    00</v>
      </c>
      <c r="B3222" t="s">
        <v>7771</v>
      </c>
      <c r="C3222" t="s">
        <v>7805</v>
      </c>
      <c r="D3222" t="s">
        <v>20</v>
      </c>
      <c r="E3222" t="s">
        <v>21</v>
      </c>
      <c r="F3222">
        <v>0</v>
      </c>
      <c r="G3222">
        <v>0</v>
      </c>
      <c r="H3222">
        <v>3</v>
      </c>
      <c r="I3222" s="3">
        <v>21001.56</v>
      </c>
      <c r="J3222" s="3">
        <v>81.569999999999993</v>
      </c>
      <c r="L3222">
        <v>4635</v>
      </c>
      <c r="M3222" t="s">
        <v>841</v>
      </c>
      <c r="N3222" t="s">
        <v>30</v>
      </c>
      <c r="O3222" t="s">
        <v>31</v>
      </c>
      <c r="P3222" t="str">
        <f>"15201"</f>
        <v>15201</v>
      </c>
    </row>
    <row r="3223" spans="1:16" x14ac:dyDescent="0.25">
      <c r="A3223" t="str">
        <f>"1090080P00315    00"</f>
        <v>1090080P00315    00</v>
      </c>
      <c r="B3223" t="s">
        <v>7806</v>
      </c>
      <c r="C3223" t="s">
        <v>7807</v>
      </c>
      <c r="D3223" t="s">
        <v>20</v>
      </c>
      <c r="E3223" t="s">
        <v>21</v>
      </c>
      <c r="F3223">
        <v>0</v>
      </c>
      <c r="G3223">
        <v>0</v>
      </c>
      <c r="H3223">
        <v>1</v>
      </c>
      <c r="I3223" s="3">
        <v>87.68</v>
      </c>
      <c r="J3223" s="3">
        <v>0</v>
      </c>
      <c r="K3223" t="s">
        <v>7808</v>
      </c>
      <c r="L3223">
        <v>4635</v>
      </c>
      <c r="M3223" t="s">
        <v>841</v>
      </c>
      <c r="N3223" t="s">
        <v>30</v>
      </c>
      <c r="O3223" t="s">
        <v>31</v>
      </c>
      <c r="P3223" t="str">
        <f>"15201"</f>
        <v>15201</v>
      </c>
    </row>
    <row r="3224" spans="1:16" x14ac:dyDescent="0.25">
      <c r="A3224" t="str">
        <f>"1090080P00316    00"</f>
        <v>1090080P00316    00</v>
      </c>
      <c r="B3224" t="s">
        <v>7809</v>
      </c>
      <c r="C3224" t="s">
        <v>7810</v>
      </c>
      <c r="D3224" t="s">
        <v>20</v>
      </c>
      <c r="E3224" t="s">
        <v>39</v>
      </c>
      <c r="F3224">
        <v>0</v>
      </c>
      <c r="G3224">
        <v>0</v>
      </c>
      <c r="H3224">
        <v>1</v>
      </c>
      <c r="I3224" s="3">
        <v>2784.68</v>
      </c>
      <c r="J3224" s="3">
        <v>0</v>
      </c>
      <c r="K3224" t="s">
        <v>7808</v>
      </c>
      <c r="L3224">
        <v>4635</v>
      </c>
      <c r="M3224" t="s">
        <v>841</v>
      </c>
      <c r="N3224" t="s">
        <v>30</v>
      </c>
      <c r="O3224" t="s">
        <v>31</v>
      </c>
      <c r="P3224" t="str">
        <f>"15201"</f>
        <v>15201</v>
      </c>
    </row>
    <row r="3225" spans="1:16" x14ac:dyDescent="0.25">
      <c r="A3225" t="str">
        <f>"1090080P00320    00"</f>
        <v>1090080P00320    00</v>
      </c>
      <c r="B3225" t="s">
        <v>7811</v>
      </c>
      <c r="C3225" t="s">
        <v>7812</v>
      </c>
      <c r="D3225" t="s">
        <v>20</v>
      </c>
      <c r="E3225" t="s">
        <v>39</v>
      </c>
      <c r="F3225">
        <v>0</v>
      </c>
      <c r="G3225">
        <v>0</v>
      </c>
      <c r="H3225">
        <v>3</v>
      </c>
      <c r="I3225" s="3">
        <v>3808.2</v>
      </c>
      <c r="J3225" s="3">
        <v>84.63</v>
      </c>
      <c r="K3225" t="s">
        <v>4424</v>
      </c>
      <c r="L3225">
        <v>3001</v>
      </c>
      <c r="M3225" t="s">
        <v>330</v>
      </c>
      <c r="N3225" t="s">
        <v>331</v>
      </c>
      <c r="O3225" t="s">
        <v>108</v>
      </c>
      <c r="P3225" t="str">
        <f>"75063"</f>
        <v>75063</v>
      </c>
    </row>
    <row r="3226" spans="1:16" x14ac:dyDescent="0.25">
      <c r="A3226" t="str">
        <f>"1090080P00324    00"</f>
        <v>1090080P00324    00</v>
      </c>
      <c r="B3226" t="s">
        <v>7813</v>
      </c>
      <c r="C3226" t="s">
        <v>7814</v>
      </c>
      <c r="E3226" t="s">
        <v>39</v>
      </c>
      <c r="F3226">
        <v>0</v>
      </c>
      <c r="G3226">
        <v>0</v>
      </c>
      <c r="H3226">
        <v>1</v>
      </c>
      <c r="I3226" s="3">
        <v>1900.29</v>
      </c>
      <c r="J3226" s="3">
        <v>95.01</v>
      </c>
      <c r="K3226" t="s">
        <v>7815</v>
      </c>
      <c r="L3226">
        <v>4540</v>
      </c>
      <c r="M3226" t="s">
        <v>7596</v>
      </c>
      <c r="N3226" t="s">
        <v>30</v>
      </c>
      <c r="O3226" t="s">
        <v>31</v>
      </c>
      <c r="P3226" t="str">
        <f>"15201"</f>
        <v>15201</v>
      </c>
    </row>
    <row r="3227" spans="1:16" x14ac:dyDescent="0.25">
      <c r="A3227" t="str">
        <f>"1090080P00336    00"</f>
        <v>1090080P00336    00</v>
      </c>
      <c r="B3227" t="s">
        <v>7816</v>
      </c>
      <c r="C3227" t="s">
        <v>7817</v>
      </c>
      <c r="E3227" t="s">
        <v>39</v>
      </c>
      <c r="F3227">
        <v>0</v>
      </c>
      <c r="G3227">
        <v>0</v>
      </c>
      <c r="H3227">
        <v>2</v>
      </c>
      <c r="I3227" s="3">
        <v>827.75</v>
      </c>
      <c r="J3227" s="3">
        <v>56.6</v>
      </c>
      <c r="K3227" t="s">
        <v>400</v>
      </c>
      <c r="L3227">
        <v>3001</v>
      </c>
      <c r="M3227" t="s">
        <v>330</v>
      </c>
      <c r="N3227" t="s">
        <v>331</v>
      </c>
      <c r="O3227" t="s">
        <v>108</v>
      </c>
      <c r="P3227" t="str">
        <f>"75063"</f>
        <v>75063</v>
      </c>
    </row>
    <row r="3228" spans="1:16" x14ac:dyDescent="0.25">
      <c r="A3228" t="str">
        <f>"1100050B00054    00"</f>
        <v>1100050B00054    00</v>
      </c>
      <c r="B3228" t="s">
        <v>7818</v>
      </c>
      <c r="C3228" t="s">
        <v>7819</v>
      </c>
      <c r="D3228" t="s">
        <v>20</v>
      </c>
      <c r="E3228" t="s">
        <v>39</v>
      </c>
      <c r="F3228">
        <v>0</v>
      </c>
      <c r="G3228">
        <v>0</v>
      </c>
      <c r="H3228">
        <v>3</v>
      </c>
      <c r="I3228" s="3">
        <v>1359.62</v>
      </c>
      <c r="J3228" s="3">
        <v>102.48</v>
      </c>
      <c r="L3228">
        <v>4927</v>
      </c>
      <c r="M3228" t="s">
        <v>7820</v>
      </c>
      <c r="N3228" t="s">
        <v>30</v>
      </c>
      <c r="O3228" t="s">
        <v>31</v>
      </c>
      <c r="P3228" t="str">
        <f>"15224"</f>
        <v>15224</v>
      </c>
    </row>
    <row r="3229" spans="1:16" x14ac:dyDescent="0.25">
      <c r="A3229" t="str">
        <f>"1100050B00055    00"</f>
        <v>1100050B00055    00</v>
      </c>
      <c r="B3229" t="s">
        <v>7821</v>
      </c>
      <c r="C3229" t="s">
        <v>7822</v>
      </c>
      <c r="D3229" t="s">
        <v>20</v>
      </c>
      <c r="E3229" t="s">
        <v>39</v>
      </c>
      <c r="F3229">
        <v>0</v>
      </c>
      <c r="G3229">
        <v>0</v>
      </c>
      <c r="H3229">
        <v>14</v>
      </c>
      <c r="I3229" s="3">
        <v>2474.75</v>
      </c>
      <c r="J3229" s="3">
        <v>3115.69</v>
      </c>
      <c r="L3229">
        <v>703</v>
      </c>
      <c r="M3229" t="s">
        <v>7823</v>
      </c>
      <c r="N3229" t="s">
        <v>30</v>
      </c>
      <c r="O3229" t="s">
        <v>31</v>
      </c>
      <c r="P3229" t="str">
        <f>"15219"</f>
        <v>15219</v>
      </c>
    </row>
    <row r="3230" spans="1:16" x14ac:dyDescent="0.25">
      <c r="A3230" t="str">
        <f>"1100050B00056    00"</f>
        <v>1100050B00056    00</v>
      </c>
      <c r="B3230" t="s">
        <v>7824</v>
      </c>
      <c r="C3230" t="s">
        <v>7825</v>
      </c>
      <c r="D3230" t="s">
        <v>20</v>
      </c>
      <c r="E3230" t="s">
        <v>39</v>
      </c>
      <c r="F3230">
        <v>0</v>
      </c>
      <c r="G3230">
        <v>0</v>
      </c>
      <c r="H3230">
        <v>4</v>
      </c>
      <c r="I3230" s="3">
        <v>2930.21</v>
      </c>
      <c r="J3230" s="3">
        <v>201.27</v>
      </c>
      <c r="K3230" t="s">
        <v>7826</v>
      </c>
      <c r="M3230" t="s">
        <v>7827</v>
      </c>
      <c r="N3230" t="s">
        <v>30</v>
      </c>
      <c r="O3230" t="s">
        <v>31</v>
      </c>
      <c r="P3230" t="str">
        <f>"15206"</f>
        <v>15206</v>
      </c>
    </row>
    <row r="3231" spans="1:16" x14ac:dyDescent="0.25">
      <c r="A3231" t="str">
        <f>"1100050B00057    00"</f>
        <v>1100050B00057    00</v>
      </c>
      <c r="B3231" t="s">
        <v>7824</v>
      </c>
      <c r="C3231" t="s">
        <v>7822</v>
      </c>
      <c r="D3231" t="s">
        <v>20</v>
      </c>
      <c r="E3231" t="s">
        <v>39</v>
      </c>
      <c r="F3231">
        <v>0</v>
      </c>
      <c r="G3231">
        <v>0</v>
      </c>
      <c r="H3231">
        <v>4</v>
      </c>
      <c r="I3231" s="3">
        <v>444.16</v>
      </c>
      <c r="J3231" s="3">
        <v>30.51</v>
      </c>
      <c r="K3231" t="s">
        <v>7826</v>
      </c>
      <c r="M3231" t="s">
        <v>7827</v>
      </c>
      <c r="N3231" t="s">
        <v>30</v>
      </c>
      <c r="O3231" t="s">
        <v>31</v>
      </c>
      <c r="P3231" t="str">
        <f>"15206"</f>
        <v>15206</v>
      </c>
    </row>
    <row r="3232" spans="1:16" x14ac:dyDescent="0.25">
      <c r="A3232" t="str">
        <f>"1100050B00074    00"</f>
        <v>1100050B00074    00</v>
      </c>
      <c r="B3232" t="s">
        <v>7828</v>
      </c>
      <c r="C3232" t="s">
        <v>7829</v>
      </c>
      <c r="E3232" t="s">
        <v>39</v>
      </c>
      <c r="F3232">
        <v>0</v>
      </c>
      <c r="G3232">
        <v>0</v>
      </c>
      <c r="H3232">
        <v>2</v>
      </c>
      <c r="I3232" s="3">
        <v>2216.87</v>
      </c>
      <c r="J3232" s="3">
        <v>1245.1199999999999</v>
      </c>
      <c r="L3232">
        <v>4900</v>
      </c>
      <c r="M3232" t="s">
        <v>7830</v>
      </c>
      <c r="N3232" t="s">
        <v>30</v>
      </c>
      <c r="O3232" t="s">
        <v>31</v>
      </c>
      <c r="P3232" t="str">
        <f>"15224"</f>
        <v>15224</v>
      </c>
    </row>
    <row r="3233" spans="1:16" x14ac:dyDescent="0.25">
      <c r="A3233" t="str">
        <f>"1100050B00080    00"</f>
        <v>1100050B00080    00</v>
      </c>
      <c r="B3233" t="s">
        <v>7831</v>
      </c>
      <c r="C3233" t="s">
        <v>7832</v>
      </c>
      <c r="D3233" t="s">
        <v>20</v>
      </c>
      <c r="E3233" t="s">
        <v>39</v>
      </c>
      <c r="F3233">
        <v>0</v>
      </c>
      <c r="G3233">
        <v>0</v>
      </c>
      <c r="H3233">
        <v>1</v>
      </c>
      <c r="I3233" s="3">
        <v>1189.3399999999999</v>
      </c>
      <c r="J3233" s="3">
        <v>0</v>
      </c>
      <c r="L3233">
        <v>4824</v>
      </c>
      <c r="M3233" t="s">
        <v>7830</v>
      </c>
      <c r="N3233" t="s">
        <v>30</v>
      </c>
      <c r="O3233" t="s">
        <v>31</v>
      </c>
      <c r="P3233" t="str">
        <f>"15224"</f>
        <v>15224</v>
      </c>
    </row>
    <row r="3234" spans="1:16" x14ac:dyDescent="0.25">
      <c r="A3234" t="str">
        <f>"1100050B00116    00"</f>
        <v>1100050B00116    00</v>
      </c>
      <c r="B3234" t="s">
        <v>7833</v>
      </c>
      <c r="C3234" t="s">
        <v>7834</v>
      </c>
      <c r="D3234" t="s">
        <v>20</v>
      </c>
      <c r="E3234" t="s">
        <v>39</v>
      </c>
      <c r="F3234">
        <v>0</v>
      </c>
      <c r="G3234">
        <v>0</v>
      </c>
      <c r="H3234">
        <v>19</v>
      </c>
      <c r="I3234" s="3">
        <v>4554.67</v>
      </c>
      <c r="J3234" s="3">
        <v>4448.67</v>
      </c>
      <c r="P3234" t="str">
        <f>""</f>
        <v/>
      </c>
    </row>
    <row r="3235" spans="1:16" x14ac:dyDescent="0.25">
      <c r="A3235" t="str">
        <f>"1100050B00134    00"</f>
        <v>1100050B00134    00</v>
      </c>
      <c r="B3235" t="s">
        <v>7835</v>
      </c>
      <c r="C3235" t="s">
        <v>7836</v>
      </c>
      <c r="D3235" t="s">
        <v>20</v>
      </c>
      <c r="E3235" t="s">
        <v>39</v>
      </c>
      <c r="F3235">
        <v>0</v>
      </c>
      <c r="G3235">
        <v>0</v>
      </c>
      <c r="H3235">
        <v>15</v>
      </c>
      <c r="I3235" s="3">
        <v>6391.87</v>
      </c>
      <c r="J3235" s="3">
        <v>3895.59</v>
      </c>
      <c r="L3235">
        <v>313</v>
      </c>
      <c r="M3235" t="s">
        <v>7837</v>
      </c>
      <c r="N3235" t="s">
        <v>7838</v>
      </c>
      <c r="O3235" t="s">
        <v>25</v>
      </c>
      <c r="P3235" t="str">
        <f>"44444"</f>
        <v>44444</v>
      </c>
    </row>
    <row r="3236" spans="1:16" x14ac:dyDescent="0.25">
      <c r="A3236" t="str">
        <f>"1100050B00156    00"</f>
        <v>1100050B00156    00</v>
      </c>
      <c r="B3236" t="s">
        <v>7839</v>
      </c>
      <c r="C3236" t="s">
        <v>7840</v>
      </c>
      <c r="D3236" t="s">
        <v>20</v>
      </c>
      <c r="E3236" t="s">
        <v>207</v>
      </c>
      <c r="F3236">
        <v>0</v>
      </c>
      <c r="G3236">
        <v>0</v>
      </c>
      <c r="H3236">
        <v>3</v>
      </c>
      <c r="I3236" s="3">
        <v>1812.63</v>
      </c>
      <c r="J3236" s="3">
        <v>120.84</v>
      </c>
      <c r="K3236" t="s">
        <v>7841</v>
      </c>
      <c r="L3236">
        <v>429</v>
      </c>
      <c r="M3236" t="s">
        <v>7842</v>
      </c>
      <c r="N3236" t="s">
        <v>30</v>
      </c>
      <c r="O3236" t="s">
        <v>31</v>
      </c>
      <c r="P3236" t="str">
        <f>"15221"</f>
        <v>15221</v>
      </c>
    </row>
    <row r="3237" spans="1:16" x14ac:dyDescent="0.25">
      <c r="A3237" t="str">
        <f>"1100050B00164    00"</f>
        <v>1100050B00164    00</v>
      </c>
      <c r="B3237" t="s">
        <v>7843</v>
      </c>
      <c r="C3237" t="s">
        <v>7844</v>
      </c>
      <c r="D3237" t="s">
        <v>20</v>
      </c>
      <c r="E3237" t="s">
        <v>39</v>
      </c>
      <c r="F3237">
        <v>0</v>
      </c>
      <c r="G3237">
        <v>0</v>
      </c>
      <c r="H3237">
        <v>19</v>
      </c>
      <c r="I3237" s="3">
        <v>8690.64</v>
      </c>
      <c r="J3237" s="3">
        <v>6240.73</v>
      </c>
      <c r="L3237">
        <v>4803</v>
      </c>
      <c r="M3237" t="s">
        <v>7845</v>
      </c>
      <c r="N3237" t="s">
        <v>30</v>
      </c>
      <c r="O3237" t="s">
        <v>31</v>
      </c>
      <c r="P3237" t="str">
        <f>"15224"</f>
        <v>15224</v>
      </c>
    </row>
    <row r="3238" spans="1:16" x14ac:dyDescent="0.25">
      <c r="A3238" t="str">
        <f>"1100050B00171    00"</f>
        <v>1100050B00171    00</v>
      </c>
      <c r="B3238" t="s">
        <v>7846</v>
      </c>
      <c r="C3238" t="s">
        <v>7847</v>
      </c>
      <c r="D3238" t="s">
        <v>20</v>
      </c>
      <c r="E3238" t="s">
        <v>39</v>
      </c>
      <c r="F3238">
        <v>0</v>
      </c>
      <c r="G3238">
        <v>0</v>
      </c>
      <c r="H3238">
        <v>14</v>
      </c>
      <c r="I3238" s="3">
        <v>6406.35</v>
      </c>
      <c r="J3238" s="3">
        <v>4168.1499999999996</v>
      </c>
      <c r="L3238">
        <v>4817</v>
      </c>
      <c r="M3238" t="s">
        <v>7845</v>
      </c>
      <c r="N3238" t="s">
        <v>30</v>
      </c>
      <c r="O3238" t="s">
        <v>31</v>
      </c>
      <c r="P3238" t="str">
        <f>"15224"</f>
        <v>15224</v>
      </c>
    </row>
    <row r="3239" spans="1:16" x14ac:dyDescent="0.25">
      <c r="A3239" t="str">
        <f>"1100050B00173    00"</f>
        <v>1100050B00173    00</v>
      </c>
      <c r="B3239" t="s">
        <v>7848</v>
      </c>
      <c r="C3239" t="s">
        <v>7849</v>
      </c>
      <c r="D3239" t="s">
        <v>20</v>
      </c>
      <c r="E3239" t="s">
        <v>39</v>
      </c>
      <c r="F3239">
        <v>0</v>
      </c>
      <c r="G3239">
        <v>0</v>
      </c>
      <c r="H3239">
        <v>6</v>
      </c>
      <c r="I3239" s="3">
        <v>1546.26</v>
      </c>
      <c r="J3239" s="3">
        <v>386.51</v>
      </c>
      <c r="L3239">
        <v>4815</v>
      </c>
      <c r="M3239" t="s">
        <v>7845</v>
      </c>
      <c r="N3239" t="s">
        <v>30</v>
      </c>
      <c r="O3239" t="s">
        <v>31</v>
      </c>
      <c r="P3239" t="str">
        <f>"15224"</f>
        <v>15224</v>
      </c>
    </row>
    <row r="3240" spans="1:16" x14ac:dyDescent="0.25">
      <c r="A3240" t="str">
        <f>"1100050B00175    00"</f>
        <v>1100050B00175    00</v>
      </c>
      <c r="B3240" t="s">
        <v>7850</v>
      </c>
      <c r="C3240" t="s">
        <v>7851</v>
      </c>
      <c r="E3240" t="s">
        <v>39</v>
      </c>
      <c r="F3240">
        <v>0</v>
      </c>
      <c r="G3240">
        <v>0</v>
      </c>
      <c r="H3240">
        <v>6</v>
      </c>
      <c r="I3240" s="3">
        <v>1656.65</v>
      </c>
      <c r="J3240" s="3">
        <v>989.98</v>
      </c>
      <c r="L3240">
        <v>4819</v>
      </c>
      <c r="M3240" t="s">
        <v>7845</v>
      </c>
      <c r="N3240" t="s">
        <v>30</v>
      </c>
      <c r="O3240" t="s">
        <v>31</v>
      </c>
      <c r="P3240" t="str">
        <f>"15224"</f>
        <v>15224</v>
      </c>
    </row>
    <row r="3241" spans="1:16" x14ac:dyDescent="0.25">
      <c r="A3241" t="str">
        <f>"1100050B00178    00"</f>
        <v>1100050B00178    00</v>
      </c>
      <c r="B3241" t="s">
        <v>7852</v>
      </c>
      <c r="C3241" t="s">
        <v>7853</v>
      </c>
      <c r="D3241" t="s">
        <v>20</v>
      </c>
      <c r="E3241" t="s">
        <v>39</v>
      </c>
      <c r="F3241">
        <v>0</v>
      </c>
      <c r="G3241">
        <v>0</v>
      </c>
      <c r="H3241">
        <v>4</v>
      </c>
      <c r="I3241" s="3">
        <v>4412.13</v>
      </c>
      <c r="J3241" s="3">
        <v>521.20000000000005</v>
      </c>
      <c r="L3241">
        <v>4825</v>
      </c>
      <c r="M3241" t="s">
        <v>7845</v>
      </c>
      <c r="N3241" t="s">
        <v>30</v>
      </c>
      <c r="O3241" t="s">
        <v>31</v>
      </c>
      <c r="P3241" t="str">
        <f>"15224"</f>
        <v>15224</v>
      </c>
    </row>
    <row r="3242" spans="1:16" x14ac:dyDescent="0.25">
      <c r="A3242" t="str">
        <f>"1100050B00198    00"</f>
        <v>1100050B00198    00</v>
      </c>
      <c r="B3242" t="s">
        <v>7854</v>
      </c>
      <c r="C3242" t="s">
        <v>7844</v>
      </c>
      <c r="D3242" t="s">
        <v>20</v>
      </c>
      <c r="E3242" t="s">
        <v>39</v>
      </c>
      <c r="F3242">
        <v>0</v>
      </c>
      <c r="G3242">
        <v>0</v>
      </c>
      <c r="H3242">
        <v>19</v>
      </c>
      <c r="I3242" s="3">
        <v>2639.13</v>
      </c>
      <c r="J3242" s="3">
        <v>1749.17</v>
      </c>
      <c r="L3242">
        <v>3737</v>
      </c>
      <c r="M3242" t="s">
        <v>5097</v>
      </c>
      <c r="N3242" t="s">
        <v>30</v>
      </c>
      <c r="O3242" t="s">
        <v>31</v>
      </c>
      <c r="P3242" t="str">
        <f>"15204"</f>
        <v>15204</v>
      </c>
    </row>
    <row r="3243" spans="1:16" x14ac:dyDescent="0.25">
      <c r="A3243" t="str">
        <f>"1100050B00200    00"</f>
        <v>1100050B00200    00</v>
      </c>
      <c r="B3243" t="s">
        <v>7855</v>
      </c>
      <c r="C3243" t="s">
        <v>7844</v>
      </c>
      <c r="E3243" t="s">
        <v>39</v>
      </c>
      <c r="F3243">
        <v>0</v>
      </c>
      <c r="G3243">
        <v>0</v>
      </c>
      <c r="H3243">
        <v>5</v>
      </c>
      <c r="I3243" s="3">
        <v>236.54</v>
      </c>
      <c r="J3243" s="3">
        <v>342.7</v>
      </c>
      <c r="L3243">
        <v>4846</v>
      </c>
      <c r="M3243" t="s">
        <v>7856</v>
      </c>
      <c r="N3243" t="s">
        <v>30</v>
      </c>
      <c r="O3243" t="s">
        <v>31</v>
      </c>
      <c r="P3243" t="str">
        <f>"15224"</f>
        <v>15224</v>
      </c>
    </row>
    <row r="3244" spans="1:16" x14ac:dyDescent="0.25">
      <c r="A3244" t="str">
        <f>"1100050B00202    00"</f>
        <v>1100050B00202    00</v>
      </c>
      <c r="B3244" t="s">
        <v>7857</v>
      </c>
      <c r="C3244" t="s">
        <v>7858</v>
      </c>
      <c r="D3244" t="s">
        <v>20</v>
      </c>
      <c r="E3244" t="s">
        <v>39</v>
      </c>
      <c r="F3244">
        <v>0</v>
      </c>
      <c r="G3244">
        <v>0</v>
      </c>
      <c r="H3244">
        <v>1</v>
      </c>
      <c r="I3244" s="3">
        <v>925.4</v>
      </c>
      <c r="J3244" s="3">
        <v>0</v>
      </c>
      <c r="L3244">
        <v>4859</v>
      </c>
      <c r="M3244" t="s">
        <v>7856</v>
      </c>
      <c r="N3244" t="s">
        <v>30</v>
      </c>
      <c r="O3244" t="s">
        <v>31</v>
      </c>
      <c r="P3244" t="str">
        <f>"15224"</f>
        <v>15224</v>
      </c>
    </row>
    <row r="3245" spans="1:16" x14ac:dyDescent="0.25">
      <c r="A3245" t="str">
        <f>"1100050B00204    00"</f>
        <v>1100050B00204    00</v>
      </c>
      <c r="B3245" t="s">
        <v>7855</v>
      </c>
      <c r="C3245" t="s">
        <v>7859</v>
      </c>
      <c r="E3245" t="s">
        <v>39</v>
      </c>
      <c r="F3245">
        <v>0</v>
      </c>
      <c r="G3245">
        <v>0</v>
      </c>
      <c r="H3245">
        <v>4</v>
      </c>
      <c r="I3245" s="3">
        <v>258.64999999999998</v>
      </c>
      <c r="J3245" s="3">
        <v>381.17</v>
      </c>
      <c r="L3245">
        <v>4846</v>
      </c>
      <c r="M3245" t="s">
        <v>7856</v>
      </c>
      <c r="N3245" t="s">
        <v>30</v>
      </c>
      <c r="O3245" t="s">
        <v>31</v>
      </c>
      <c r="P3245" t="str">
        <f>"15224"</f>
        <v>15224</v>
      </c>
    </row>
    <row r="3246" spans="1:16" x14ac:dyDescent="0.25">
      <c r="A3246" t="str">
        <f>"1100050B00209    00"</f>
        <v>1100050B00209    00</v>
      </c>
      <c r="B3246" t="s">
        <v>7855</v>
      </c>
      <c r="C3246" t="s">
        <v>7860</v>
      </c>
      <c r="E3246" t="s">
        <v>39</v>
      </c>
      <c r="F3246">
        <v>0</v>
      </c>
      <c r="G3246">
        <v>0</v>
      </c>
      <c r="H3246">
        <v>7</v>
      </c>
      <c r="I3246" s="3">
        <v>2276.17</v>
      </c>
      <c r="J3246" s="3">
        <v>3328.1</v>
      </c>
      <c r="L3246">
        <v>4846</v>
      </c>
      <c r="M3246" t="s">
        <v>7856</v>
      </c>
      <c r="N3246" t="s">
        <v>30</v>
      </c>
      <c r="O3246" t="s">
        <v>31</v>
      </c>
      <c r="P3246" t="str">
        <f>"15224"</f>
        <v>15224</v>
      </c>
    </row>
    <row r="3247" spans="1:16" x14ac:dyDescent="0.25">
      <c r="A3247" t="str">
        <f>"1100050B00210000100"</f>
        <v>1100050B00210000100</v>
      </c>
      <c r="B3247" t="s">
        <v>7861</v>
      </c>
      <c r="C3247" t="s">
        <v>7859</v>
      </c>
      <c r="D3247" t="s">
        <v>20</v>
      </c>
      <c r="E3247" t="s">
        <v>39</v>
      </c>
      <c r="F3247">
        <v>0</v>
      </c>
      <c r="G3247">
        <v>0</v>
      </c>
      <c r="H3247">
        <v>17</v>
      </c>
      <c r="I3247" s="3">
        <v>350.9</v>
      </c>
      <c r="J3247" s="3">
        <v>456.3</v>
      </c>
      <c r="L3247">
        <v>2</v>
      </c>
      <c r="M3247" t="s">
        <v>7862</v>
      </c>
      <c r="N3247" t="s">
        <v>30</v>
      </c>
      <c r="O3247" t="s">
        <v>31</v>
      </c>
      <c r="P3247" t="str">
        <f>"15222"</f>
        <v>15222</v>
      </c>
    </row>
    <row r="3248" spans="1:16" x14ac:dyDescent="0.25">
      <c r="A3248" t="str">
        <f>"1100050B00213    00"</f>
        <v>1100050B00213    00</v>
      </c>
      <c r="B3248" t="s">
        <v>7863</v>
      </c>
      <c r="C3248" t="s">
        <v>7860</v>
      </c>
      <c r="D3248" t="s">
        <v>20</v>
      </c>
      <c r="E3248" t="s">
        <v>39</v>
      </c>
      <c r="F3248">
        <v>0</v>
      </c>
      <c r="G3248">
        <v>0</v>
      </c>
      <c r="H3248">
        <v>1</v>
      </c>
      <c r="I3248" s="3">
        <v>19.059999999999999</v>
      </c>
      <c r="J3248" s="3">
        <v>0</v>
      </c>
      <c r="L3248">
        <v>227</v>
      </c>
      <c r="M3248" t="s">
        <v>7864</v>
      </c>
      <c r="N3248" t="s">
        <v>30</v>
      </c>
      <c r="O3248" t="s">
        <v>31</v>
      </c>
      <c r="P3248" t="str">
        <f>"15214"</f>
        <v>15214</v>
      </c>
    </row>
    <row r="3249" spans="1:16" x14ac:dyDescent="0.25">
      <c r="A3249" t="str">
        <f>"1100050B00228    00"</f>
        <v>1100050B00228    00</v>
      </c>
      <c r="B3249" t="s">
        <v>7865</v>
      </c>
      <c r="C3249" t="s">
        <v>7860</v>
      </c>
      <c r="D3249" t="s">
        <v>20</v>
      </c>
      <c r="E3249" t="s">
        <v>39</v>
      </c>
      <c r="F3249">
        <v>0</v>
      </c>
      <c r="G3249">
        <v>0</v>
      </c>
      <c r="H3249">
        <v>18</v>
      </c>
      <c r="I3249" s="3">
        <v>486.29</v>
      </c>
      <c r="J3249" s="3">
        <v>533.17999999999995</v>
      </c>
      <c r="K3249" t="s">
        <v>1037</v>
      </c>
      <c r="L3249">
        <v>308</v>
      </c>
      <c r="M3249" t="s">
        <v>7866</v>
      </c>
      <c r="N3249" t="s">
        <v>30</v>
      </c>
      <c r="O3249" t="s">
        <v>31</v>
      </c>
      <c r="P3249" t="str">
        <f t="shared" ref="P3249:P3256" si="39">"15224"</f>
        <v>15224</v>
      </c>
    </row>
    <row r="3250" spans="1:16" x14ac:dyDescent="0.25">
      <c r="A3250" t="str">
        <f>"1100050B00229    00"</f>
        <v>1100050B00229    00</v>
      </c>
      <c r="B3250" t="s">
        <v>7867</v>
      </c>
      <c r="C3250" t="s">
        <v>7860</v>
      </c>
      <c r="D3250" t="s">
        <v>20</v>
      </c>
      <c r="E3250" t="s">
        <v>39</v>
      </c>
      <c r="F3250">
        <v>0</v>
      </c>
      <c r="G3250">
        <v>0</v>
      </c>
      <c r="H3250">
        <v>19</v>
      </c>
      <c r="I3250" s="3">
        <v>520.9</v>
      </c>
      <c r="J3250" s="3">
        <v>590.28</v>
      </c>
      <c r="K3250" t="s">
        <v>3450</v>
      </c>
      <c r="L3250">
        <v>711</v>
      </c>
      <c r="M3250" t="s">
        <v>7868</v>
      </c>
      <c r="N3250" t="s">
        <v>30</v>
      </c>
      <c r="O3250" t="s">
        <v>31</v>
      </c>
      <c r="P3250" t="str">
        <f t="shared" si="39"/>
        <v>15224</v>
      </c>
    </row>
    <row r="3251" spans="1:16" x14ac:dyDescent="0.25">
      <c r="A3251" t="str">
        <f>"1100050B00268    00"</f>
        <v>1100050B00268    00</v>
      </c>
      <c r="B3251" t="s">
        <v>7855</v>
      </c>
      <c r="C3251" t="s">
        <v>7859</v>
      </c>
      <c r="E3251" t="s">
        <v>39</v>
      </c>
      <c r="F3251">
        <v>0</v>
      </c>
      <c r="G3251">
        <v>0</v>
      </c>
      <c r="H3251">
        <v>4</v>
      </c>
      <c r="I3251" s="3">
        <v>241.41</v>
      </c>
      <c r="J3251" s="3">
        <v>355.82</v>
      </c>
      <c r="L3251">
        <v>4846</v>
      </c>
      <c r="M3251" t="s">
        <v>7856</v>
      </c>
      <c r="N3251" t="s">
        <v>30</v>
      </c>
      <c r="O3251" t="s">
        <v>31</v>
      </c>
      <c r="P3251" t="str">
        <f t="shared" si="39"/>
        <v>15224</v>
      </c>
    </row>
    <row r="3252" spans="1:16" x14ac:dyDescent="0.25">
      <c r="A3252" t="str">
        <f>"1100050B00270    00"</f>
        <v>1100050B00270    00</v>
      </c>
      <c r="B3252" t="s">
        <v>7869</v>
      </c>
      <c r="C3252" t="s">
        <v>7870</v>
      </c>
      <c r="D3252" t="s">
        <v>20</v>
      </c>
      <c r="E3252" t="s">
        <v>39</v>
      </c>
      <c r="F3252">
        <v>0</v>
      </c>
      <c r="G3252">
        <v>0</v>
      </c>
      <c r="H3252">
        <v>3</v>
      </c>
      <c r="I3252" s="3">
        <v>3237.94</v>
      </c>
      <c r="J3252" s="3">
        <v>39.049999999999997</v>
      </c>
      <c r="L3252">
        <v>4857</v>
      </c>
      <c r="M3252" t="s">
        <v>7856</v>
      </c>
      <c r="N3252" t="s">
        <v>30</v>
      </c>
      <c r="O3252" t="s">
        <v>31</v>
      </c>
      <c r="P3252" t="str">
        <f t="shared" si="39"/>
        <v>15224</v>
      </c>
    </row>
    <row r="3253" spans="1:16" x14ac:dyDescent="0.25">
      <c r="A3253" t="str">
        <f>"1100050B00300000100"</f>
        <v>1100050B00300000100</v>
      </c>
      <c r="B3253" t="s">
        <v>7871</v>
      </c>
      <c r="C3253" t="s">
        <v>7872</v>
      </c>
      <c r="D3253" t="s">
        <v>20</v>
      </c>
      <c r="E3253" t="s">
        <v>39</v>
      </c>
      <c r="F3253">
        <v>0</v>
      </c>
      <c r="G3253">
        <v>0</v>
      </c>
      <c r="H3253">
        <v>7</v>
      </c>
      <c r="I3253" s="3">
        <v>6201.24</v>
      </c>
      <c r="J3253" s="3">
        <v>1576.34</v>
      </c>
      <c r="L3253">
        <v>4826</v>
      </c>
      <c r="M3253" t="s">
        <v>7873</v>
      </c>
      <c r="N3253" t="s">
        <v>30</v>
      </c>
      <c r="O3253" t="s">
        <v>31</v>
      </c>
      <c r="P3253" t="str">
        <f t="shared" si="39"/>
        <v>15224</v>
      </c>
    </row>
    <row r="3254" spans="1:16" x14ac:dyDescent="0.25">
      <c r="A3254" t="str">
        <f>"1100050B00308    00"</f>
        <v>1100050B00308    00</v>
      </c>
      <c r="B3254" t="s">
        <v>7874</v>
      </c>
      <c r="C3254" t="s">
        <v>7875</v>
      </c>
      <c r="D3254" t="s">
        <v>20</v>
      </c>
      <c r="E3254" t="s">
        <v>39</v>
      </c>
      <c r="F3254">
        <v>0</v>
      </c>
      <c r="G3254">
        <v>0</v>
      </c>
      <c r="H3254">
        <v>1</v>
      </c>
      <c r="I3254" s="3">
        <v>616.1</v>
      </c>
      <c r="J3254" s="3">
        <v>0</v>
      </c>
      <c r="L3254">
        <v>4834</v>
      </c>
      <c r="M3254" t="s">
        <v>7873</v>
      </c>
      <c r="N3254" t="s">
        <v>30</v>
      </c>
      <c r="O3254" t="s">
        <v>31</v>
      </c>
      <c r="P3254" t="str">
        <f t="shared" si="39"/>
        <v>15224</v>
      </c>
    </row>
    <row r="3255" spans="1:16" x14ac:dyDescent="0.25">
      <c r="A3255" t="str">
        <f>"1100050C00040    00"</f>
        <v>1100050C00040    00</v>
      </c>
      <c r="B3255" t="s">
        <v>7876</v>
      </c>
      <c r="C3255" t="s">
        <v>7834</v>
      </c>
      <c r="D3255" t="s">
        <v>20</v>
      </c>
      <c r="E3255" t="s">
        <v>39</v>
      </c>
      <c r="F3255">
        <v>0</v>
      </c>
      <c r="G3255">
        <v>0</v>
      </c>
      <c r="H3255">
        <v>15</v>
      </c>
      <c r="I3255" s="3">
        <v>9640.7199999999993</v>
      </c>
      <c r="J3255" s="3">
        <v>6723.14</v>
      </c>
      <c r="L3255">
        <v>5151</v>
      </c>
      <c r="M3255" t="s">
        <v>7830</v>
      </c>
      <c r="N3255" t="s">
        <v>30</v>
      </c>
      <c r="O3255" t="s">
        <v>31</v>
      </c>
      <c r="P3255" t="str">
        <f t="shared" si="39"/>
        <v>15224</v>
      </c>
    </row>
    <row r="3256" spans="1:16" x14ac:dyDescent="0.25">
      <c r="A3256" t="str">
        <f>"1100050C00334    00"</f>
        <v>1100050C00334    00</v>
      </c>
      <c r="B3256" t="s">
        <v>7877</v>
      </c>
      <c r="C3256" t="s">
        <v>7878</v>
      </c>
      <c r="D3256" t="s">
        <v>20</v>
      </c>
      <c r="E3256" t="s">
        <v>39</v>
      </c>
      <c r="F3256">
        <v>0</v>
      </c>
      <c r="G3256">
        <v>0</v>
      </c>
      <c r="H3256">
        <v>9</v>
      </c>
      <c r="I3256" s="3">
        <v>7574.93</v>
      </c>
      <c r="J3256" s="3">
        <v>2651.02</v>
      </c>
      <c r="L3256">
        <v>719</v>
      </c>
      <c r="M3256" t="s">
        <v>7879</v>
      </c>
      <c r="N3256" t="s">
        <v>30</v>
      </c>
      <c r="O3256" t="s">
        <v>31</v>
      </c>
      <c r="P3256" t="str">
        <f t="shared" si="39"/>
        <v>15224</v>
      </c>
    </row>
    <row r="3257" spans="1:16" x14ac:dyDescent="0.25">
      <c r="A3257" t="str">
        <f>"1100050C00360    00"</f>
        <v>1100050C00360    00</v>
      </c>
      <c r="B3257" t="s">
        <v>944</v>
      </c>
      <c r="C3257" t="s">
        <v>7880</v>
      </c>
      <c r="E3257" t="s">
        <v>21</v>
      </c>
      <c r="F3257">
        <v>0</v>
      </c>
      <c r="G3257">
        <v>0</v>
      </c>
      <c r="H3257">
        <v>4</v>
      </c>
      <c r="I3257" s="3">
        <v>38146.730000000003</v>
      </c>
      <c r="J3257" s="3">
        <v>37679.910000000003</v>
      </c>
      <c r="L3257">
        <v>200</v>
      </c>
      <c r="M3257" t="s">
        <v>946</v>
      </c>
      <c r="N3257" t="s">
        <v>30</v>
      </c>
      <c r="O3257" t="s">
        <v>31</v>
      </c>
      <c r="P3257" t="str">
        <f>"15219"</f>
        <v>15219</v>
      </c>
    </row>
    <row r="3258" spans="1:16" x14ac:dyDescent="0.25">
      <c r="A3258" t="str">
        <f>"1100050C00380    00"</f>
        <v>1100050C00380    00</v>
      </c>
      <c r="B3258" t="s">
        <v>944</v>
      </c>
      <c r="C3258" t="s">
        <v>7880</v>
      </c>
      <c r="E3258" t="s">
        <v>21</v>
      </c>
      <c r="F3258">
        <v>0</v>
      </c>
      <c r="G3258">
        <v>0</v>
      </c>
      <c r="H3258">
        <v>6</v>
      </c>
      <c r="I3258" s="3">
        <v>16561.25</v>
      </c>
      <c r="J3258" s="3">
        <v>19788.16</v>
      </c>
      <c r="L3258">
        <v>200</v>
      </c>
      <c r="M3258" t="s">
        <v>946</v>
      </c>
      <c r="N3258" t="s">
        <v>30</v>
      </c>
      <c r="O3258" t="s">
        <v>31</v>
      </c>
      <c r="P3258" t="str">
        <f>"15219"</f>
        <v>15219</v>
      </c>
    </row>
    <row r="3259" spans="1:16" x14ac:dyDescent="0.25">
      <c r="A3259" t="str">
        <f>"1100050D00038    00"</f>
        <v>1100050D00038    00</v>
      </c>
      <c r="B3259" t="s">
        <v>7881</v>
      </c>
      <c r="C3259" t="s">
        <v>7882</v>
      </c>
      <c r="D3259" t="s">
        <v>20</v>
      </c>
      <c r="E3259" t="s">
        <v>39</v>
      </c>
      <c r="F3259">
        <v>0</v>
      </c>
      <c r="G3259">
        <v>0</v>
      </c>
      <c r="H3259">
        <v>15</v>
      </c>
      <c r="I3259" s="3">
        <v>2467.4699999999998</v>
      </c>
      <c r="J3259" s="3">
        <v>3007.69</v>
      </c>
      <c r="M3259" t="s">
        <v>7883</v>
      </c>
      <c r="N3259" t="s">
        <v>30</v>
      </c>
      <c r="O3259" t="s">
        <v>31</v>
      </c>
      <c r="P3259" t="str">
        <f>"15233"</f>
        <v>15233</v>
      </c>
    </row>
    <row r="3260" spans="1:16" x14ac:dyDescent="0.25">
      <c r="A3260" t="str">
        <f>"1100050D00041    00"</f>
        <v>1100050D00041    00</v>
      </c>
      <c r="B3260" t="s">
        <v>7884</v>
      </c>
      <c r="C3260" t="s">
        <v>7885</v>
      </c>
      <c r="D3260" t="s">
        <v>20</v>
      </c>
      <c r="E3260" t="s">
        <v>39</v>
      </c>
      <c r="F3260">
        <v>0</v>
      </c>
      <c r="G3260">
        <v>0</v>
      </c>
      <c r="H3260">
        <v>9</v>
      </c>
      <c r="I3260" s="3">
        <v>4781.74</v>
      </c>
      <c r="J3260" s="3">
        <v>3848.48</v>
      </c>
      <c r="M3260" t="s">
        <v>7886</v>
      </c>
      <c r="N3260" t="s">
        <v>30</v>
      </c>
      <c r="O3260" t="s">
        <v>31</v>
      </c>
      <c r="P3260" t="str">
        <f>"15206"</f>
        <v>15206</v>
      </c>
    </row>
    <row r="3261" spans="1:16" x14ac:dyDescent="0.25">
      <c r="A3261" t="str">
        <f>"1100050D00043    00"</f>
        <v>1100050D00043    00</v>
      </c>
      <c r="B3261" t="s">
        <v>7887</v>
      </c>
      <c r="C3261" t="s">
        <v>7882</v>
      </c>
      <c r="D3261" t="s">
        <v>20</v>
      </c>
      <c r="E3261" t="s">
        <v>39</v>
      </c>
      <c r="F3261">
        <v>0</v>
      </c>
      <c r="G3261">
        <v>0</v>
      </c>
      <c r="H3261">
        <v>14</v>
      </c>
      <c r="I3261" s="3">
        <v>3321.08</v>
      </c>
      <c r="J3261" s="3">
        <v>4609.3500000000004</v>
      </c>
      <c r="L3261">
        <v>551</v>
      </c>
      <c r="M3261" t="s">
        <v>4114</v>
      </c>
      <c r="N3261" t="s">
        <v>30</v>
      </c>
      <c r="O3261" t="s">
        <v>31</v>
      </c>
      <c r="P3261" t="str">
        <f>"15206"</f>
        <v>15206</v>
      </c>
    </row>
    <row r="3262" spans="1:16" x14ac:dyDescent="0.25">
      <c r="A3262" t="str">
        <f>"1100050D00119    00"</f>
        <v>1100050D00119    00</v>
      </c>
      <c r="B3262" t="s">
        <v>7888</v>
      </c>
      <c r="C3262" t="s">
        <v>7889</v>
      </c>
      <c r="D3262" t="s">
        <v>20</v>
      </c>
      <c r="E3262" t="s">
        <v>39</v>
      </c>
      <c r="F3262">
        <v>0</v>
      </c>
      <c r="G3262">
        <v>0</v>
      </c>
      <c r="H3262">
        <v>18</v>
      </c>
      <c r="I3262" s="3">
        <v>428.05</v>
      </c>
      <c r="J3262" s="3">
        <v>478.11</v>
      </c>
      <c r="L3262">
        <v>305</v>
      </c>
      <c r="M3262" t="s">
        <v>7890</v>
      </c>
      <c r="N3262" t="s">
        <v>7891</v>
      </c>
      <c r="O3262" t="s">
        <v>31</v>
      </c>
      <c r="P3262" t="str">
        <f>"15215"</f>
        <v>15215</v>
      </c>
    </row>
    <row r="3263" spans="1:16" x14ac:dyDescent="0.25">
      <c r="A3263" t="str">
        <f>"1100050D00325    00"</f>
        <v>1100050D00325    00</v>
      </c>
      <c r="B3263" t="s">
        <v>944</v>
      </c>
      <c r="C3263" t="s">
        <v>7892</v>
      </c>
      <c r="E3263" t="s">
        <v>21</v>
      </c>
      <c r="F3263">
        <v>0</v>
      </c>
      <c r="G3263">
        <v>0</v>
      </c>
      <c r="H3263">
        <v>4</v>
      </c>
      <c r="I3263" s="3">
        <v>360536.4</v>
      </c>
      <c r="J3263" s="3">
        <v>445581.41</v>
      </c>
      <c r="L3263">
        <v>200</v>
      </c>
      <c r="M3263" t="s">
        <v>946</v>
      </c>
      <c r="N3263" t="s">
        <v>30</v>
      </c>
      <c r="O3263" t="s">
        <v>31</v>
      </c>
      <c r="P3263" t="str">
        <f>"15219"</f>
        <v>15219</v>
      </c>
    </row>
    <row r="3264" spans="1:16" x14ac:dyDescent="0.25">
      <c r="A3264" t="str">
        <f>"1100050D00350    00"</f>
        <v>1100050D00350    00</v>
      </c>
      <c r="B3264" t="s">
        <v>944</v>
      </c>
      <c r="C3264" t="s">
        <v>7892</v>
      </c>
      <c r="E3264" t="s">
        <v>21</v>
      </c>
      <c r="F3264">
        <v>0</v>
      </c>
      <c r="G3264">
        <v>0</v>
      </c>
      <c r="H3264">
        <v>4</v>
      </c>
      <c r="I3264" s="3">
        <v>153599.9</v>
      </c>
      <c r="J3264" s="3">
        <v>197031.4</v>
      </c>
      <c r="L3264">
        <v>200</v>
      </c>
      <c r="M3264" t="s">
        <v>946</v>
      </c>
      <c r="N3264" t="s">
        <v>30</v>
      </c>
      <c r="O3264" t="s">
        <v>31</v>
      </c>
      <c r="P3264" t="str">
        <f>"15219"</f>
        <v>15219</v>
      </c>
    </row>
    <row r="3265" spans="1:16" x14ac:dyDescent="0.25">
      <c r="A3265" t="str">
        <f>"1100050D00360    00"</f>
        <v>1100050D00360    00</v>
      </c>
      <c r="B3265" t="s">
        <v>944</v>
      </c>
      <c r="C3265" t="s">
        <v>7892</v>
      </c>
      <c r="E3265" t="s">
        <v>207</v>
      </c>
      <c r="F3265">
        <v>0</v>
      </c>
      <c r="G3265">
        <v>0</v>
      </c>
      <c r="H3265">
        <v>7</v>
      </c>
      <c r="I3265" s="3">
        <v>100.42</v>
      </c>
      <c r="J3265" s="3">
        <v>124.87</v>
      </c>
      <c r="L3265">
        <v>200</v>
      </c>
      <c r="M3265" t="s">
        <v>946</v>
      </c>
      <c r="N3265" t="s">
        <v>30</v>
      </c>
      <c r="O3265" t="s">
        <v>31</v>
      </c>
      <c r="P3265" t="str">
        <f>"15219"</f>
        <v>15219</v>
      </c>
    </row>
    <row r="3266" spans="1:16" x14ac:dyDescent="0.25">
      <c r="A3266" t="str">
        <f>"1100050D00365    00"</f>
        <v>1100050D00365    00</v>
      </c>
      <c r="B3266" t="s">
        <v>944</v>
      </c>
      <c r="C3266" t="s">
        <v>7834</v>
      </c>
      <c r="E3266" t="s">
        <v>207</v>
      </c>
      <c r="F3266">
        <v>0</v>
      </c>
      <c r="G3266">
        <v>0</v>
      </c>
      <c r="H3266">
        <v>7</v>
      </c>
      <c r="I3266" s="3">
        <v>532.45000000000005</v>
      </c>
      <c r="J3266" s="3">
        <v>660.73</v>
      </c>
      <c r="L3266">
        <v>200</v>
      </c>
      <c r="M3266" t="s">
        <v>946</v>
      </c>
      <c r="N3266" t="s">
        <v>30</v>
      </c>
      <c r="O3266" t="s">
        <v>31</v>
      </c>
      <c r="P3266" t="str">
        <f>"15219"</f>
        <v>15219</v>
      </c>
    </row>
    <row r="3267" spans="1:16" x14ac:dyDescent="0.25">
      <c r="A3267" t="str">
        <f>"1100050E00001    00"</f>
        <v>1100050E00001    00</v>
      </c>
      <c r="B3267" t="s">
        <v>7893</v>
      </c>
      <c r="C3267" t="s">
        <v>7860</v>
      </c>
      <c r="D3267" t="s">
        <v>20</v>
      </c>
      <c r="E3267" t="s">
        <v>39</v>
      </c>
      <c r="F3267">
        <v>0</v>
      </c>
      <c r="G3267">
        <v>0</v>
      </c>
      <c r="H3267">
        <v>11</v>
      </c>
      <c r="I3267" s="3">
        <v>133.66999999999999</v>
      </c>
      <c r="J3267" s="3">
        <v>99.7</v>
      </c>
      <c r="L3267">
        <v>521</v>
      </c>
      <c r="M3267" t="s">
        <v>7894</v>
      </c>
      <c r="N3267" t="s">
        <v>30</v>
      </c>
      <c r="O3267" t="s">
        <v>31</v>
      </c>
      <c r="P3267" t="str">
        <f>"15202"</f>
        <v>15202</v>
      </c>
    </row>
    <row r="3268" spans="1:16" x14ac:dyDescent="0.25">
      <c r="A3268" t="str">
        <f>"1100050E00001A   00"</f>
        <v>1100050E00001A   00</v>
      </c>
      <c r="B3268" t="s">
        <v>7895</v>
      </c>
      <c r="C3268" t="s">
        <v>7860</v>
      </c>
      <c r="D3268" t="s">
        <v>20</v>
      </c>
      <c r="E3268" t="s">
        <v>39</v>
      </c>
      <c r="F3268">
        <v>0</v>
      </c>
      <c r="G3268">
        <v>0</v>
      </c>
      <c r="H3268">
        <v>2</v>
      </c>
      <c r="I3268" s="3">
        <v>19.079999999999998</v>
      </c>
      <c r="J3268" s="3">
        <v>0</v>
      </c>
      <c r="K3268" t="s">
        <v>7896</v>
      </c>
      <c r="L3268">
        <v>1</v>
      </c>
      <c r="M3268" t="s">
        <v>7897</v>
      </c>
      <c r="N3268" t="s">
        <v>1164</v>
      </c>
      <c r="O3268" t="s">
        <v>25</v>
      </c>
      <c r="P3268" t="str">
        <f>"44145"</f>
        <v>44145</v>
      </c>
    </row>
    <row r="3269" spans="1:16" x14ac:dyDescent="0.25">
      <c r="A3269" t="str">
        <f>"1100050E00014    00"</f>
        <v>1100050E00014    00</v>
      </c>
      <c r="B3269" t="s">
        <v>7898</v>
      </c>
      <c r="C3269" t="s">
        <v>7860</v>
      </c>
      <c r="D3269" t="s">
        <v>20</v>
      </c>
      <c r="E3269" t="s">
        <v>39</v>
      </c>
      <c r="F3269">
        <v>0</v>
      </c>
      <c r="G3269">
        <v>0</v>
      </c>
      <c r="H3269">
        <v>9</v>
      </c>
      <c r="I3269" s="3">
        <v>66.260000000000005</v>
      </c>
      <c r="J3269" s="3">
        <v>32.31</v>
      </c>
      <c r="L3269">
        <v>404</v>
      </c>
      <c r="M3269" t="s">
        <v>7868</v>
      </c>
      <c r="N3269" t="s">
        <v>30</v>
      </c>
      <c r="O3269" t="s">
        <v>31</v>
      </c>
      <c r="P3269" t="str">
        <f>"15224"</f>
        <v>15224</v>
      </c>
    </row>
    <row r="3270" spans="1:16" x14ac:dyDescent="0.25">
      <c r="A3270" t="str">
        <f>"1100050E00018    00"</f>
        <v>1100050E00018    00</v>
      </c>
      <c r="B3270" t="s">
        <v>7899</v>
      </c>
      <c r="C3270" t="s">
        <v>7900</v>
      </c>
      <c r="D3270" t="s">
        <v>20</v>
      </c>
      <c r="E3270" t="s">
        <v>39</v>
      </c>
      <c r="F3270">
        <v>0</v>
      </c>
      <c r="G3270">
        <v>0</v>
      </c>
      <c r="H3270">
        <v>6</v>
      </c>
      <c r="I3270" s="3">
        <v>9235.16</v>
      </c>
      <c r="J3270" s="3">
        <v>2071.2399999999998</v>
      </c>
      <c r="L3270">
        <v>609</v>
      </c>
      <c r="M3270" t="s">
        <v>2789</v>
      </c>
      <c r="N3270" t="s">
        <v>30</v>
      </c>
      <c r="O3270" t="s">
        <v>31</v>
      </c>
      <c r="P3270" t="str">
        <f>"15206"</f>
        <v>15206</v>
      </c>
    </row>
    <row r="3271" spans="1:16" x14ac:dyDescent="0.25">
      <c r="A3271" t="str">
        <f>"1100050E00024A   00"</f>
        <v>1100050E00024A   00</v>
      </c>
      <c r="B3271" t="s">
        <v>7414</v>
      </c>
      <c r="C3271" t="s">
        <v>7901</v>
      </c>
      <c r="E3271" t="s">
        <v>39</v>
      </c>
      <c r="F3271">
        <v>0</v>
      </c>
      <c r="G3271">
        <v>0</v>
      </c>
      <c r="H3271">
        <v>17</v>
      </c>
      <c r="I3271" s="3">
        <v>17316.82</v>
      </c>
      <c r="J3271" s="3">
        <v>14957.8</v>
      </c>
      <c r="K3271" t="s">
        <v>4330</v>
      </c>
      <c r="L3271">
        <v>6191</v>
      </c>
      <c r="M3271" t="s">
        <v>4331</v>
      </c>
      <c r="N3271" t="s">
        <v>331</v>
      </c>
      <c r="O3271" t="s">
        <v>108</v>
      </c>
      <c r="P3271" t="str">
        <f>"75038"</f>
        <v>75038</v>
      </c>
    </row>
    <row r="3272" spans="1:16" x14ac:dyDescent="0.25">
      <c r="A3272" t="str">
        <f>"1100050E00025    00"</f>
        <v>1100050E00025    00</v>
      </c>
      <c r="B3272" t="s">
        <v>7902</v>
      </c>
      <c r="C3272" t="s">
        <v>7903</v>
      </c>
      <c r="E3272" t="s">
        <v>39</v>
      </c>
      <c r="F3272">
        <v>0</v>
      </c>
      <c r="G3272">
        <v>0</v>
      </c>
      <c r="H3272">
        <v>1</v>
      </c>
      <c r="I3272" s="3">
        <v>57.9</v>
      </c>
      <c r="J3272" s="3">
        <v>28.47</v>
      </c>
      <c r="L3272">
        <v>521</v>
      </c>
      <c r="M3272" t="s">
        <v>7868</v>
      </c>
      <c r="N3272" t="s">
        <v>30</v>
      </c>
      <c r="O3272" t="s">
        <v>31</v>
      </c>
      <c r="P3272" t="str">
        <f>"15224"</f>
        <v>15224</v>
      </c>
    </row>
    <row r="3273" spans="1:16" x14ac:dyDescent="0.25">
      <c r="A3273" t="str">
        <f>"1100050E00037    00"</f>
        <v>1100050E00037    00</v>
      </c>
      <c r="B3273" t="s">
        <v>7904</v>
      </c>
      <c r="C3273" t="s">
        <v>7905</v>
      </c>
      <c r="D3273" t="s">
        <v>20</v>
      </c>
      <c r="E3273" t="s">
        <v>39</v>
      </c>
      <c r="F3273">
        <v>0</v>
      </c>
      <c r="G3273">
        <v>0</v>
      </c>
      <c r="H3273">
        <v>1</v>
      </c>
      <c r="I3273" s="3">
        <v>535.66</v>
      </c>
      <c r="J3273" s="3">
        <v>0</v>
      </c>
      <c r="L3273">
        <v>421</v>
      </c>
      <c r="M3273" t="s">
        <v>7868</v>
      </c>
      <c r="N3273" t="s">
        <v>30</v>
      </c>
      <c r="O3273" t="s">
        <v>31</v>
      </c>
      <c r="P3273" t="str">
        <f>"15224"</f>
        <v>15224</v>
      </c>
    </row>
    <row r="3274" spans="1:16" x14ac:dyDescent="0.25">
      <c r="A3274" t="str">
        <f>"1100050E00096    00"</f>
        <v>1100050E00096    00</v>
      </c>
      <c r="B3274" t="s">
        <v>7906</v>
      </c>
      <c r="C3274" t="s">
        <v>7907</v>
      </c>
      <c r="D3274" t="s">
        <v>20</v>
      </c>
      <c r="E3274" t="s">
        <v>39</v>
      </c>
      <c r="F3274">
        <v>0</v>
      </c>
      <c r="G3274">
        <v>0</v>
      </c>
      <c r="H3274">
        <v>7</v>
      </c>
      <c r="I3274" s="3">
        <v>10156.049999999999</v>
      </c>
      <c r="J3274" s="3">
        <v>3039.94</v>
      </c>
      <c r="L3274">
        <v>4728</v>
      </c>
      <c r="M3274" t="s">
        <v>7908</v>
      </c>
      <c r="N3274" t="s">
        <v>30</v>
      </c>
      <c r="O3274" t="s">
        <v>31</v>
      </c>
      <c r="P3274" t="str">
        <f>"15224"</f>
        <v>15224</v>
      </c>
    </row>
    <row r="3275" spans="1:16" x14ac:dyDescent="0.25">
      <c r="A3275" t="str">
        <f>"1100050E00098    00"</f>
        <v>1100050E00098    00</v>
      </c>
      <c r="B3275" t="s">
        <v>7909</v>
      </c>
      <c r="C3275" t="s">
        <v>7910</v>
      </c>
      <c r="E3275" t="s">
        <v>39</v>
      </c>
      <c r="F3275">
        <v>0</v>
      </c>
      <c r="G3275">
        <v>0</v>
      </c>
      <c r="H3275">
        <v>3</v>
      </c>
      <c r="I3275" s="3">
        <v>1448.89</v>
      </c>
      <c r="J3275" s="3">
        <v>835.09</v>
      </c>
      <c r="L3275">
        <v>4734</v>
      </c>
      <c r="M3275" t="s">
        <v>7908</v>
      </c>
      <c r="N3275" t="s">
        <v>30</v>
      </c>
      <c r="O3275" t="s">
        <v>31</v>
      </c>
      <c r="P3275" t="str">
        <f>"15224"</f>
        <v>15224</v>
      </c>
    </row>
    <row r="3276" spans="1:16" x14ac:dyDescent="0.25">
      <c r="A3276" t="str">
        <f>"1100050E00099    00"</f>
        <v>1100050E00099    00</v>
      </c>
      <c r="B3276" t="s">
        <v>7911</v>
      </c>
      <c r="C3276" t="s">
        <v>7912</v>
      </c>
      <c r="D3276" t="s">
        <v>20</v>
      </c>
      <c r="E3276" t="s">
        <v>39</v>
      </c>
      <c r="F3276">
        <v>0</v>
      </c>
      <c r="G3276">
        <v>0</v>
      </c>
      <c r="H3276">
        <v>1</v>
      </c>
      <c r="I3276" s="3">
        <v>2241.46</v>
      </c>
      <c r="J3276" s="3">
        <v>0</v>
      </c>
      <c r="K3276" t="s">
        <v>484</v>
      </c>
      <c r="L3276">
        <v>3001</v>
      </c>
      <c r="M3276" t="s">
        <v>330</v>
      </c>
      <c r="N3276" t="s">
        <v>331</v>
      </c>
      <c r="O3276" t="s">
        <v>108</v>
      </c>
      <c r="P3276" t="str">
        <f>"75063"</f>
        <v>75063</v>
      </c>
    </row>
    <row r="3277" spans="1:16" x14ac:dyDescent="0.25">
      <c r="A3277" t="str">
        <f>"1100050E00100    00"</f>
        <v>1100050E00100    00</v>
      </c>
      <c r="B3277" t="s">
        <v>7913</v>
      </c>
      <c r="C3277" t="s">
        <v>7914</v>
      </c>
      <c r="D3277" t="s">
        <v>20</v>
      </c>
      <c r="E3277" t="s">
        <v>39</v>
      </c>
      <c r="F3277">
        <v>0</v>
      </c>
      <c r="G3277">
        <v>0</v>
      </c>
      <c r="H3277">
        <v>5</v>
      </c>
      <c r="I3277" s="3">
        <v>531.08000000000004</v>
      </c>
      <c r="J3277" s="3">
        <v>67.47</v>
      </c>
      <c r="L3277">
        <v>4742</v>
      </c>
      <c r="M3277" t="s">
        <v>7908</v>
      </c>
      <c r="N3277" t="s">
        <v>30</v>
      </c>
      <c r="O3277" t="s">
        <v>31</v>
      </c>
      <c r="P3277" t="str">
        <f>"15224"</f>
        <v>15224</v>
      </c>
    </row>
    <row r="3278" spans="1:16" x14ac:dyDescent="0.25">
      <c r="A3278" t="str">
        <f>"1100050E00101    00"</f>
        <v>1100050E00101    00</v>
      </c>
      <c r="B3278" t="s">
        <v>7913</v>
      </c>
      <c r="C3278" t="s">
        <v>7915</v>
      </c>
      <c r="D3278" t="s">
        <v>20</v>
      </c>
      <c r="E3278" t="s">
        <v>39</v>
      </c>
      <c r="F3278">
        <v>0</v>
      </c>
      <c r="G3278">
        <v>0</v>
      </c>
      <c r="H3278">
        <v>6</v>
      </c>
      <c r="I3278" s="3">
        <v>6706.91</v>
      </c>
      <c r="J3278" s="3">
        <v>1564.99</v>
      </c>
      <c r="L3278">
        <v>4742</v>
      </c>
      <c r="M3278" t="s">
        <v>7908</v>
      </c>
      <c r="N3278" t="s">
        <v>30</v>
      </c>
      <c r="O3278" t="s">
        <v>31</v>
      </c>
      <c r="P3278" t="str">
        <f>"15224"</f>
        <v>15224</v>
      </c>
    </row>
    <row r="3279" spans="1:16" x14ac:dyDescent="0.25">
      <c r="A3279" t="str">
        <f>"1100050E00113    00"</f>
        <v>1100050E00113    00</v>
      </c>
      <c r="B3279" t="s">
        <v>7916</v>
      </c>
      <c r="C3279" t="s">
        <v>7917</v>
      </c>
      <c r="E3279" t="s">
        <v>39</v>
      </c>
      <c r="F3279">
        <v>0</v>
      </c>
      <c r="G3279">
        <v>0</v>
      </c>
      <c r="H3279">
        <v>1</v>
      </c>
      <c r="I3279" s="3">
        <v>351.84</v>
      </c>
      <c r="J3279" s="3">
        <v>70.37</v>
      </c>
      <c r="K3279" t="s">
        <v>400</v>
      </c>
      <c r="L3279">
        <v>3001</v>
      </c>
      <c r="M3279" t="s">
        <v>330</v>
      </c>
      <c r="N3279" t="s">
        <v>331</v>
      </c>
      <c r="O3279" t="s">
        <v>108</v>
      </c>
      <c r="P3279" t="str">
        <f>"75063"</f>
        <v>75063</v>
      </c>
    </row>
    <row r="3280" spans="1:16" x14ac:dyDescent="0.25">
      <c r="A3280" t="str">
        <f>"1100050E00119    00"</f>
        <v>1100050E00119    00</v>
      </c>
      <c r="B3280" t="s">
        <v>7918</v>
      </c>
      <c r="C3280" t="s">
        <v>7919</v>
      </c>
      <c r="D3280" t="s">
        <v>20</v>
      </c>
      <c r="E3280" t="s">
        <v>39</v>
      </c>
      <c r="F3280">
        <v>0</v>
      </c>
      <c r="G3280">
        <v>0</v>
      </c>
      <c r="H3280">
        <v>1</v>
      </c>
      <c r="I3280" s="3">
        <v>2079.46</v>
      </c>
      <c r="J3280" s="3">
        <v>0</v>
      </c>
      <c r="K3280" t="s">
        <v>7920</v>
      </c>
      <c r="L3280">
        <v>740</v>
      </c>
      <c r="M3280" t="s">
        <v>7921</v>
      </c>
      <c r="N3280" t="s">
        <v>526</v>
      </c>
      <c r="O3280" t="s">
        <v>527</v>
      </c>
      <c r="P3280" t="str">
        <f>"20005"</f>
        <v>20005</v>
      </c>
    </row>
    <row r="3281" spans="1:16" x14ac:dyDescent="0.25">
      <c r="A3281" t="str">
        <f>"1100050E00160    00"</f>
        <v>1100050E00160    00</v>
      </c>
      <c r="B3281" t="s">
        <v>7922</v>
      </c>
      <c r="C3281" t="s">
        <v>7923</v>
      </c>
      <c r="D3281" t="s">
        <v>20</v>
      </c>
      <c r="E3281" t="s">
        <v>39</v>
      </c>
      <c r="F3281">
        <v>0</v>
      </c>
      <c r="G3281">
        <v>0</v>
      </c>
      <c r="H3281">
        <v>6</v>
      </c>
      <c r="I3281" s="3">
        <v>1924.93</v>
      </c>
      <c r="J3281" s="3">
        <v>358.29</v>
      </c>
      <c r="L3281">
        <v>4708</v>
      </c>
      <c r="M3281" t="s">
        <v>7924</v>
      </c>
      <c r="N3281" t="s">
        <v>30</v>
      </c>
      <c r="O3281" t="s">
        <v>31</v>
      </c>
      <c r="P3281" t="str">
        <f>"15206"</f>
        <v>15206</v>
      </c>
    </row>
    <row r="3282" spans="1:16" x14ac:dyDescent="0.25">
      <c r="A3282" t="str">
        <f>"1100050F00021    00"</f>
        <v>1100050F00021    00</v>
      </c>
      <c r="B3282" t="s">
        <v>7925</v>
      </c>
      <c r="C3282" t="s">
        <v>7914</v>
      </c>
      <c r="D3282" t="s">
        <v>20</v>
      </c>
      <c r="E3282" t="s">
        <v>39</v>
      </c>
      <c r="F3282">
        <v>0</v>
      </c>
      <c r="G3282">
        <v>0</v>
      </c>
      <c r="H3282">
        <v>17</v>
      </c>
      <c r="I3282" s="3">
        <v>370.72</v>
      </c>
      <c r="J3282" s="3">
        <v>340.69</v>
      </c>
      <c r="L3282">
        <v>259</v>
      </c>
      <c r="M3282" t="s">
        <v>7926</v>
      </c>
      <c r="N3282" t="s">
        <v>1652</v>
      </c>
      <c r="O3282" t="s">
        <v>440</v>
      </c>
      <c r="P3282" t="str">
        <f>"02460"</f>
        <v>02460</v>
      </c>
    </row>
    <row r="3283" spans="1:16" x14ac:dyDescent="0.25">
      <c r="A3283" t="str">
        <f>"1100050F00022    00"</f>
        <v>1100050F00022    00</v>
      </c>
      <c r="B3283" t="s">
        <v>7927</v>
      </c>
      <c r="C3283" t="s">
        <v>7928</v>
      </c>
      <c r="E3283" t="s">
        <v>39</v>
      </c>
      <c r="F3283">
        <v>0</v>
      </c>
      <c r="G3283">
        <v>0</v>
      </c>
      <c r="H3283">
        <v>1</v>
      </c>
      <c r="I3283" s="3">
        <v>613.98</v>
      </c>
      <c r="J3283" s="3">
        <v>0</v>
      </c>
      <c r="K3283" t="s">
        <v>7929</v>
      </c>
      <c r="L3283">
        <v>30699</v>
      </c>
      <c r="M3283" t="s">
        <v>7930</v>
      </c>
      <c r="N3283" t="s">
        <v>7931</v>
      </c>
      <c r="O3283" t="s">
        <v>495</v>
      </c>
      <c r="P3283" t="str">
        <f>"91362"</f>
        <v>91362</v>
      </c>
    </row>
    <row r="3284" spans="1:16" x14ac:dyDescent="0.25">
      <c r="A3284" t="str">
        <f>"1100050F00025    00"</f>
        <v>1100050F00025    00</v>
      </c>
      <c r="B3284" t="s">
        <v>7932</v>
      </c>
      <c r="C3284" t="s">
        <v>7933</v>
      </c>
      <c r="D3284" t="s">
        <v>20</v>
      </c>
      <c r="E3284" t="s">
        <v>39</v>
      </c>
      <c r="F3284">
        <v>0</v>
      </c>
      <c r="G3284">
        <v>0</v>
      </c>
      <c r="H3284">
        <v>2</v>
      </c>
      <c r="I3284" s="3">
        <v>299.54000000000002</v>
      </c>
      <c r="J3284" s="3">
        <v>0</v>
      </c>
      <c r="L3284">
        <v>5111</v>
      </c>
      <c r="M3284" t="s">
        <v>7908</v>
      </c>
      <c r="N3284" t="s">
        <v>30</v>
      </c>
      <c r="O3284" t="s">
        <v>31</v>
      </c>
      <c r="P3284" t="str">
        <f>"15224"</f>
        <v>15224</v>
      </c>
    </row>
    <row r="3285" spans="1:16" x14ac:dyDescent="0.25">
      <c r="A3285" t="str">
        <f>"1100050F00031    00"</f>
        <v>1100050F00031    00</v>
      </c>
      <c r="B3285" t="s">
        <v>7934</v>
      </c>
      <c r="C3285" t="s">
        <v>7935</v>
      </c>
      <c r="E3285" t="s">
        <v>39</v>
      </c>
      <c r="F3285">
        <v>0</v>
      </c>
      <c r="G3285">
        <v>0</v>
      </c>
      <c r="H3285">
        <v>2</v>
      </c>
      <c r="I3285" s="3">
        <v>4158.4399999999996</v>
      </c>
      <c r="J3285" s="3">
        <v>46.68</v>
      </c>
      <c r="K3285" t="s">
        <v>4397</v>
      </c>
      <c r="L3285">
        <v>1901</v>
      </c>
      <c r="M3285" t="s">
        <v>5016</v>
      </c>
      <c r="N3285" t="s">
        <v>5017</v>
      </c>
      <c r="O3285" t="s">
        <v>3486</v>
      </c>
      <c r="P3285" t="str">
        <f>"61834"</f>
        <v>61834</v>
      </c>
    </row>
    <row r="3286" spans="1:16" x14ac:dyDescent="0.25">
      <c r="A3286" t="str">
        <f>"1100050F00036    00"</f>
        <v>1100050F00036    00</v>
      </c>
      <c r="B3286" t="s">
        <v>7936</v>
      </c>
      <c r="C3286" t="s">
        <v>7937</v>
      </c>
      <c r="D3286" t="s">
        <v>20</v>
      </c>
      <c r="E3286" t="s">
        <v>39</v>
      </c>
      <c r="F3286">
        <v>0</v>
      </c>
      <c r="G3286">
        <v>0</v>
      </c>
      <c r="H3286">
        <v>3</v>
      </c>
      <c r="I3286" s="3">
        <v>289.27999999999997</v>
      </c>
      <c r="J3286" s="3">
        <v>13.64</v>
      </c>
      <c r="L3286">
        <v>5017</v>
      </c>
      <c r="M3286" t="s">
        <v>7938</v>
      </c>
      <c r="N3286" t="s">
        <v>30</v>
      </c>
      <c r="O3286" t="s">
        <v>31</v>
      </c>
      <c r="P3286" t="str">
        <f>"15224"</f>
        <v>15224</v>
      </c>
    </row>
    <row r="3287" spans="1:16" x14ac:dyDescent="0.25">
      <c r="A3287" t="str">
        <f>"1100050F00037    00"</f>
        <v>1100050F00037    00</v>
      </c>
      <c r="B3287" t="s">
        <v>7936</v>
      </c>
      <c r="C3287" t="s">
        <v>7937</v>
      </c>
      <c r="D3287" t="s">
        <v>20</v>
      </c>
      <c r="E3287" t="s">
        <v>39</v>
      </c>
      <c r="F3287">
        <v>0</v>
      </c>
      <c r="G3287">
        <v>0</v>
      </c>
      <c r="H3287">
        <v>2</v>
      </c>
      <c r="I3287" s="3">
        <v>998.94</v>
      </c>
      <c r="J3287" s="3">
        <v>0</v>
      </c>
      <c r="L3287">
        <v>5017</v>
      </c>
      <c r="M3287" t="s">
        <v>7938</v>
      </c>
      <c r="N3287" t="s">
        <v>30</v>
      </c>
      <c r="O3287" t="s">
        <v>31</v>
      </c>
      <c r="P3287" t="str">
        <f>"15224"</f>
        <v>15224</v>
      </c>
    </row>
    <row r="3288" spans="1:16" x14ac:dyDescent="0.25">
      <c r="A3288" t="str">
        <f>"1100050F00044    00"</f>
        <v>1100050F00044    00</v>
      </c>
      <c r="B3288" t="s">
        <v>7939</v>
      </c>
      <c r="C3288" t="s">
        <v>7940</v>
      </c>
      <c r="D3288" t="s">
        <v>20</v>
      </c>
      <c r="E3288" t="s">
        <v>39</v>
      </c>
      <c r="F3288">
        <v>0</v>
      </c>
      <c r="G3288">
        <v>0</v>
      </c>
      <c r="H3288">
        <v>1</v>
      </c>
      <c r="I3288" s="3">
        <v>1368.53</v>
      </c>
      <c r="J3288" s="3">
        <v>0</v>
      </c>
      <c r="K3288" t="s">
        <v>7941</v>
      </c>
      <c r="L3288">
        <v>1034</v>
      </c>
      <c r="M3288" t="s">
        <v>7942</v>
      </c>
      <c r="N3288" t="s">
        <v>30</v>
      </c>
      <c r="O3288" t="s">
        <v>31</v>
      </c>
      <c r="P3288" t="str">
        <f>"15212"</f>
        <v>15212</v>
      </c>
    </row>
    <row r="3289" spans="1:16" x14ac:dyDescent="0.25">
      <c r="A3289" t="str">
        <f>"1100050F00048    00"</f>
        <v>1100050F00048    00</v>
      </c>
      <c r="B3289" t="s">
        <v>7943</v>
      </c>
      <c r="C3289" t="s">
        <v>7944</v>
      </c>
      <c r="D3289" t="s">
        <v>20</v>
      </c>
      <c r="E3289" t="s">
        <v>39</v>
      </c>
      <c r="F3289">
        <v>0</v>
      </c>
      <c r="G3289">
        <v>0</v>
      </c>
      <c r="H3289">
        <v>12</v>
      </c>
      <c r="I3289" s="3">
        <v>5740.6</v>
      </c>
      <c r="J3289" s="3">
        <v>3782.4</v>
      </c>
      <c r="L3289">
        <v>4924</v>
      </c>
      <c r="M3289" t="s">
        <v>7945</v>
      </c>
      <c r="N3289" t="s">
        <v>30</v>
      </c>
      <c r="O3289" t="s">
        <v>31</v>
      </c>
      <c r="P3289" t="str">
        <f>"15224"</f>
        <v>15224</v>
      </c>
    </row>
    <row r="3290" spans="1:16" x14ac:dyDescent="0.25">
      <c r="A3290" t="str">
        <f>"1100050F00058    00"</f>
        <v>1100050F00058    00</v>
      </c>
      <c r="B3290" t="s">
        <v>7946</v>
      </c>
      <c r="C3290" t="s">
        <v>7914</v>
      </c>
      <c r="D3290" t="s">
        <v>20</v>
      </c>
      <c r="E3290" t="s">
        <v>39</v>
      </c>
      <c r="F3290">
        <v>0</v>
      </c>
      <c r="G3290">
        <v>0</v>
      </c>
      <c r="H3290">
        <v>4</v>
      </c>
      <c r="I3290" s="3">
        <v>82.16</v>
      </c>
      <c r="J3290" s="3">
        <v>14.06</v>
      </c>
      <c r="K3290" t="s">
        <v>7947</v>
      </c>
      <c r="L3290">
        <v>3001</v>
      </c>
      <c r="M3290" t="s">
        <v>7948</v>
      </c>
      <c r="N3290" t="s">
        <v>30</v>
      </c>
      <c r="O3290" t="s">
        <v>31</v>
      </c>
      <c r="P3290" t="str">
        <f>"15237"</f>
        <v>15237</v>
      </c>
    </row>
    <row r="3291" spans="1:16" x14ac:dyDescent="0.25">
      <c r="A3291" t="str">
        <f>"1100050F00068    00"</f>
        <v>1100050F00068    00</v>
      </c>
      <c r="B3291" t="s">
        <v>7949</v>
      </c>
      <c r="C3291" t="s">
        <v>7950</v>
      </c>
      <c r="D3291" t="s">
        <v>20</v>
      </c>
      <c r="E3291" t="s">
        <v>39</v>
      </c>
      <c r="F3291">
        <v>0</v>
      </c>
      <c r="G3291">
        <v>0</v>
      </c>
      <c r="H3291">
        <v>1</v>
      </c>
      <c r="I3291" s="3">
        <v>1149.33</v>
      </c>
      <c r="J3291" s="3">
        <v>0</v>
      </c>
      <c r="K3291" t="s">
        <v>7951</v>
      </c>
      <c r="L3291">
        <v>4819</v>
      </c>
      <c r="M3291" t="s">
        <v>7952</v>
      </c>
      <c r="N3291" t="s">
        <v>30</v>
      </c>
      <c r="O3291" t="s">
        <v>31</v>
      </c>
      <c r="P3291" t="str">
        <f>"15224"</f>
        <v>15224</v>
      </c>
    </row>
    <row r="3292" spans="1:16" x14ac:dyDescent="0.25">
      <c r="A3292" t="str">
        <f>"1100050F00075    00"</f>
        <v>1100050F00075    00</v>
      </c>
      <c r="B3292" t="s">
        <v>7953</v>
      </c>
      <c r="C3292" t="s">
        <v>7954</v>
      </c>
      <c r="D3292" t="s">
        <v>20</v>
      </c>
      <c r="E3292" t="s">
        <v>39</v>
      </c>
      <c r="F3292">
        <v>0</v>
      </c>
      <c r="G3292">
        <v>0</v>
      </c>
      <c r="H3292">
        <v>13</v>
      </c>
      <c r="I3292" s="3">
        <v>183.43</v>
      </c>
      <c r="J3292" s="3">
        <v>116.39</v>
      </c>
      <c r="K3292" t="s">
        <v>7955</v>
      </c>
      <c r="L3292">
        <v>5101</v>
      </c>
      <c r="M3292" t="s">
        <v>7956</v>
      </c>
      <c r="N3292" t="s">
        <v>30</v>
      </c>
      <c r="O3292" t="s">
        <v>31</v>
      </c>
      <c r="P3292" t="str">
        <f>"15201"</f>
        <v>15201</v>
      </c>
    </row>
    <row r="3293" spans="1:16" x14ac:dyDescent="0.25">
      <c r="A3293" t="str">
        <f>"1100050F00076    00"</f>
        <v>1100050F00076    00</v>
      </c>
      <c r="B3293" t="s">
        <v>7957</v>
      </c>
      <c r="C3293" t="s">
        <v>7958</v>
      </c>
      <c r="E3293" t="s">
        <v>39</v>
      </c>
      <c r="F3293">
        <v>0</v>
      </c>
      <c r="G3293">
        <v>0</v>
      </c>
      <c r="H3293">
        <v>1</v>
      </c>
      <c r="I3293" s="3">
        <v>300</v>
      </c>
      <c r="J3293" s="3">
        <v>0</v>
      </c>
      <c r="L3293">
        <v>421</v>
      </c>
      <c r="M3293" t="s">
        <v>3192</v>
      </c>
      <c r="N3293" t="s">
        <v>30</v>
      </c>
      <c r="O3293" t="s">
        <v>31</v>
      </c>
      <c r="P3293" t="str">
        <f>"15224"</f>
        <v>15224</v>
      </c>
    </row>
    <row r="3294" spans="1:16" x14ac:dyDescent="0.25">
      <c r="A3294" t="str">
        <f>"1100050F00080    00"</f>
        <v>1100050F00080    00</v>
      </c>
      <c r="B3294" t="s">
        <v>7959</v>
      </c>
      <c r="C3294" t="s">
        <v>7960</v>
      </c>
      <c r="D3294" t="s">
        <v>20</v>
      </c>
      <c r="E3294" t="s">
        <v>39</v>
      </c>
      <c r="F3294">
        <v>0</v>
      </c>
      <c r="G3294">
        <v>0</v>
      </c>
      <c r="H3294">
        <v>1</v>
      </c>
      <c r="I3294" s="3">
        <v>583.24</v>
      </c>
      <c r="J3294" s="3">
        <v>0</v>
      </c>
      <c r="K3294" t="s">
        <v>7961</v>
      </c>
      <c r="L3294">
        <v>4906</v>
      </c>
      <c r="M3294" t="s">
        <v>7962</v>
      </c>
      <c r="N3294" t="s">
        <v>30</v>
      </c>
      <c r="O3294" t="s">
        <v>31</v>
      </c>
      <c r="P3294" t="str">
        <f>"15224"</f>
        <v>15224</v>
      </c>
    </row>
    <row r="3295" spans="1:16" x14ac:dyDescent="0.25">
      <c r="A3295" t="str">
        <f>"1100050F00084    00"</f>
        <v>1100050F00084    00</v>
      </c>
      <c r="B3295" t="s">
        <v>7963</v>
      </c>
      <c r="C3295" t="s">
        <v>7964</v>
      </c>
      <c r="D3295" t="s">
        <v>20</v>
      </c>
      <c r="E3295" t="s">
        <v>39</v>
      </c>
      <c r="F3295">
        <v>0</v>
      </c>
      <c r="G3295">
        <v>0</v>
      </c>
      <c r="H3295">
        <v>19</v>
      </c>
      <c r="I3295" s="3">
        <v>11852.19</v>
      </c>
      <c r="J3295" s="3">
        <v>8963.9599999999991</v>
      </c>
      <c r="L3295">
        <v>7203</v>
      </c>
      <c r="M3295" t="s">
        <v>7965</v>
      </c>
      <c r="N3295" t="s">
        <v>1412</v>
      </c>
      <c r="O3295" t="s">
        <v>1413</v>
      </c>
      <c r="P3295" t="str">
        <f>"28278"</f>
        <v>28278</v>
      </c>
    </row>
    <row r="3296" spans="1:16" x14ac:dyDescent="0.25">
      <c r="A3296" t="str">
        <f>"1100050F00139    00"</f>
        <v>1100050F00139    00</v>
      </c>
      <c r="B3296" t="s">
        <v>7966</v>
      </c>
      <c r="C3296" t="s">
        <v>7960</v>
      </c>
      <c r="D3296" t="s">
        <v>20</v>
      </c>
      <c r="E3296" t="s">
        <v>39</v>
      </c>
      <c r="F3296">
        <v>0</v>
      </c>
      <c r="G3296">
        <v>0</v>
      </c>
      <c r="H3296">
        <v>3</v>
      </c>
      <c r="I3296" s="3">
        <v>503.19</v>
      </c>
      <c r="J3296" s="3">
        <v>33.549999999999997</v>
      </c>
      <c r="L3296">
        <v>5113</v>
      </c>
      <c r="M3296" t="s">
        <v>7962</v>
      </c>
      <c r="N3296" t="s">
        <v>30</v>
      </c>
      <c r="O3296" t="s">
        <v>31</v>
      </c>
      <c r="P3296" t="str">
        <f>"15224"</f>
        <v>15224</v>
      </c>
    </row>
    <row r="3297" spans="1:16" x14ac:dyDescent="0.25">
      <c r="A3297" t="str">
        <f>"1100050F00142    00"</f>
        <v>1100050F00142    00</v>
      </c>
      <c r="B3297" t="s">
        <v>7967</v>
      </c>
      <c r="C3297" t="s">
        <v>7960</v>
      </c>
      <c r="E3297" t="s">
        <v>39</v>
      </c>
      <c r="F3297">
        <v>0</v>
      </c>
      <c r="G3297">
        <v>0</v>
      </c>
      <c r="H3297">
        <v>9</v>
      </c>
      <c r="I3297" s="3">
        <v>6441.57</v>
      </c>
      <c r="J3297" s="3">
        <v>9432.19</v>
      </c>
      <c r="L3297">
        <v>5103</v>
      </c>
      <c r="M3297" t="s">
        <v>7962</v>
      </c>
      <c r="N3297" t="s">
        <v>30</v>
      </c>
      <c r="O3297" t="s">
        <v>31</v>
      </c>
      <c r="P3297" t="str">
        <f>"15224"</f>
        <v>15224</v>
      </c>
    </row>
    <row r="3298" spans="1:16" x14ac:dyDescent="0.25">
      <c r="A3298" t="str">
        <f>"1100050F00156    00"</f>
        <v>1100050F00156    00</v>
      </c>
      <c r="B3298" t="s">
        <v>7968</v>
      </c>
      <c r="C3298" t="s">
        <v>7969</v>
      </c>
      <c r="D3298" t="s">
        <v>20</v>
      </c>
      <c r="E3298" t="s">
        <v>39</v>
      </c>
      <c r="F3298">
        <v>0</v>
      </c>
      <c r="G3298">
        <v>0</v>
      </c>
      <c r="H3298">
        <v>8</v>
      </c>
      <c r="I3298" s="3">
        <v>2742.64</v>
      </c>
      <c r="J3298" s="3">
        <v>861.62</v>
      </c>
      <c r="L3298">
        <v>4931</v>
      </c>
      <c r="M3298" t="s">
        <v>7962</v>
      </c>
      <c r="N3298" t="s">
        <v>30</v>
      </c>
      <c r="O3298" t="s">
        <v>31</v>
      </c>
      <c r="P3298" t="str">
        <f>"15224"</f>
        <v>15224</v>
      </c>
    </row>
    <row r="3299" spans="1:16" x14ac:dyDescent="0.25">
      <c r="A3299" t="str">
        <f>"1100050F00161    00"</f>
        <v>1100050F00161    00</v>
      </c>
      <c r="B3299" t="s">
        <v>7970</v>
      </c>
      <c r="C3299" t="s">
        <v>7971</v>
      </c>
      <c r="D3299" t="s">
        <v>20</v>
      </c>
      <c r="E3299" t="s">
        <v>39</v>
      </c>
      <c r="F3299">
        <v>0</v>
      </c>
      <c r="G3299">
        <v>0</v>
      </c>
      <c r="H3299">
        <v>4</v>
      </c>
      <c r="I3299" s="3">
        <v>1749.71</v>
      </c>
      <c r="J3299" s="3">
        <v>505.22</v>
      </c>
      <c r="L3299">
        <v>4921</v>
      </c>
      <c r="M3299" t="s">
        <v>7972</v>
      </c>
      <c r="N3299" t="s">
        <v>30</v>
      </c>
      <c r="O3299" t="s">
        <v>31</v>
      </c>
      <c r="P3299" t="str">
        <f>"15224"</f>
        <v>15224</v>
      </c>
    </row>
    <row r="3300" spans="1:16" x14ac:dyDescent="0.25">
      <c r="A3300" t="str">
        <f>"1100050F00217    00"</f>
        <v>1100050F00217    00</v>
      </c>
      <c r="B3300" t="s">
        <v>7973</v>
      </c>
      <c r="C3300" t="s">
        <v>7974</v>
      </c>
      <c r="D3300" t="s">
        <v>20</v>
      </c>
      <c r="E3300" t="s">
        <v>39</v>
      </c>
      <c r="F3300">
        <v>0</v>
      </c>
      <c r="G3300">
        <v>0</v>
      </c>
      <c r="H3300">
        <v>5</v>
      </c>
      <c r="I3300" s="3">
        <v>6570.46</v>
      </c>
      <c r="J3300" s="3">
        <v>1648.83</v>
      </c>
      <c r="L3300">
        <v>5104</v>
      </c>
      <c r="M3300" t="s">
        <v>7975</v>
      </c>
      <c r="N3300" t="s">
        <v>30</v>
      </c>
      <c r="O3300" t="s">
        <v>31</v>
      </c>
      <c r="P3300" t="str">
        <f>"15224"</f>
        <v>15224</v>
      </c>
    </row>
    <row r="3301" spans="1:16" x14ac:dyDescent="0.25">
      <c r="A3301" t="str">
        <f>"1100050F00220    00"</f>
        <v>1100050F00220    00</v>
      </c>
      <c r="B3301" t="s">
        <v>7976</v>
      </c>
      <c r="C3301" t="s">
        <v>7977</v>
      </c>
      <c r="D3301" t="s">
        <v>20</v>
      </c>
      <c r="E3301" t="s">
        <v>39</v>
      </c>
      <c r="F3301">
        <v>0</v>
      </c>
      <c r="G3301">
        <v>0</v>
      </c>
      <c r="H3301">
        <v>2</v>
      </c>
      <c r="I3301" s="3">
        <v>3064.88</v>
      </c>
      <c r="J3301" s="3">
        <v>0</v>
      </c>
      <c r="M3301" t="s">
        <v>7978</v>
      </c>
      <c r="N3301" t="s">
        <v>30</v>
      </c>
      <c r="O3301" t="s">
        <v>31</v>
      </c>
      <c r="P3301" t="str">
        <f>"15206"</f>
        <v>15206</v>
      </c>
    </row>
    <row r="3302" spans="1:16" x14ac:dyDescent="0.25">
      <c r="A3302" t="str">
        <f>"1100050F00224    00"</f>
        <v>1100050F00224    00</v>
      </c>
      <c r="B3302" t="s">
        <v>7979</v>
      </c>
      <c r="C3302" t="s">
        <v>7980</v>
      </c>
      <c r="D3302" t="s">
        <v>20</v>
      </c>
      <c r="E3302" t="s">
        <v>39</v>
      </c>
      <c r="F3302">
        <v>0</v>
      </c>
      <c r="G3302">
        <v>0</v>
      </c>
      <c r="H3302">
        <v>2</v>
      </c>
      <c r="I3302" s="3">
        <v>2087.75</v>
      </c>
      <c r="J3302" s="3">
        <v>0</v>
      </c>
      <c r="K3302" t="s">
        <v>7981</v>
      </c>
      <c r="L3302">
        <v>5104</v>
      </c>
      <c r="M3302" t="s">
        <v>7975</v>
      </c>
      <c r="N3302" t="s">
        <v>30</v>
      </c>
      <c r="O3302" t="s">
        <v>31</v>
      </c>
      <c r="P3302" t="str">
        <f>"15224"</f>
        <v>15224</v>
      </c>
    </row>
    <row r="3303" spans="1:16" x14ac:dyDescent="0.25">
      <c r="A3303" t="str">
        <f>"1100050G00011    00"</f>
        <v>1100050G00011    00</v>
      </c>
      <c r="B3303" t="s">
        <v>7982</v>
      </c>
      <c r="C3303" t="s">
        <v>7983</v>
      </c>
      <c r="D3303" t="s">
        <v>20</v>
      </c>
      <c r="E3303" t="s">
        <v>39</v>
      </c>
      <c r="F3303">
        <v>0</v>
      </c>
      <c r="G3303">
        <v>0</v>
      </c>
      <c r="H3303">
        <v>8</v>
      </c>
      <c r="I3303" s="3">
        <v>88.91</v>
      </c>
      <c r="J3303" s="3">
        <v>29.37</v>
      </c>
      <c r="L3303">
        <v>176</v>
      </c>
      <c r="M3303" t="s">
        <v>7984</v>
      </c>
      <c r="N3303" t="s">
        <v>30</v>
      </c>
      <c r="O3303" t="s">
        <v>31</v>
      </c>
      <c r="P3303" t="str">
        <f>"15243"</f>
        <v>15243</v>
      </c>
    </row>
    <row r="3304" spans="1:16" x14ac:dyDescent="0.25">
      <c r="A3304" t="str">
        <f>"1100050G00017    00"</f>
        <v>1100050G00017    00</v>
      </c>
      <c r="B3304" t="s">
        <v>7985</v>
      </c>
      <c r="C3304" t="s">
        <v>7986</v>
      </c>
      <c r="D3304" t="s">
        <v>20</v>
      </c>
      <c r="E3304" t="s">
        <v>39</v>
      </c>
      <c r="F3304">
        <v>0</v>
      </c>
      <c r="G3304">
        <v>0</v>
      </c>
      <c r="H3304">
        <v>8</v>
      </c>
      <c r="I3304" s="3">
        <v>3097.72</v>
      </c>
      <c r="J3304" s="3">
        <v>858.34</v>
      </c>
      <c r="L3304">
        <v>5167</v>
      </c>
      <c r="M3304" t="s">
        <v>7945</v>
      </c>
      <c r="N3304" t="s">
        <v>30</v>
      </c>
      <c r="O3304" t="s">
        <v>31</v>
      </c>
      <c r="P3304" t="str">
        <f>"15224"</f>
        <v>15224</v>
      </c>
    </row>
    <row r="3305" spans="1:16" x14ac:dyDescent="0.25">
      <c r="A3305" t="str">
        <f>"1100050G00023    00"</f>
        <v>1100050G00023    00</v>
      </c>
      <c r="B3305" t="s">
        <v>7987</v>
      </c>
      <c r="C3305" t="s">
        <v>7988</v>
      </c>
      <c r="D3305" t="s">
        <v>20</v>
      </c>
      <c r="E3305" t="s">
        <v>39</v>
      </c>
      <c r="F3305">
        <v>0</v>
      </c>
      <c r="G3305">
        <v>0</v>
      </c>
      <c r="H3305">
        <v>13</v>
      </c>
      <c r="I3305" s="3">
        <v>10429.629999999999</v>
      </c>
      <c r="J3305" s="3">
        <v>5284.28</v>
      </c>
      <c r="L3305">
        <v>5179</v>
      </c>
      <c r="M3305" t="s">
        <v>7945</v>
      </c>
      <c r="N3305" t="s">
        <v>30</v>
      </c>
      <c r="O3305" t="s">
        <v>31</v>
      </c>
      <c r="P3305" t="str">
        <f>"15224"</f>
        <v>15224</v>
      </c>
    </row>
    <row r="3306" spans="1:16" x14ac:dyDescent="0.25">
      <c r="A3306" t="str">
        <f>"1100050G00064    00"</f>
        <v>1100050G00064    00</v>
      </c>
      <c r="B3306" t="s">
        <v>7989</v>
      </c>
      <c r="C3306" t="s">
        <v>7960</v>
      </c>
      <c r="D3306" t="s">
        <v>20</v>
      </c>
      <c r="E3306" t="s">
        <v>39</v>
      </c>
      <c r="F3306">
        <v>0</v>
      </c>
      <c r="G3306">
        <v>0</v>
      </c>
      <c r="H3306">
        <v>2</v>
      </c>
      <c r="I3306" s="3">
        <v>30.5</v>
      </c>
      <c r="J3306" s="3">
        <v>0</v>
      </c>
      <c r="L3306">
        <v>1919</v>
      </c>
      <c r="M3306" t="s">
        <v>7990</v>
      </c>
      <c r="N3306" t="s">
        <v>6603</v>
      </c>
      <c r="O3306" t="s">
        <v>31</v>
      </c>
      <c r="P3306" t="str">
        <f>"15122"</f>
        <v>15122</v>
      </c>
    </row>
    <row r="3307" spans="1:16" x14ac:dyDescent="0.25">
      <c r="A3307" t="str">
        <f>"1100050G00088    00"</f>
        <v>1100050G00088    00</v>
      </c>
      <c r="B3307" t="s">
        <v>7991</v>
      </c>
      <c r="C3307" t="s">
        <v>7992</v>
      </c>
      <c r="E3307" t="s">
        <v>39</v>
      </c>
      <c r="F3307">
        <v>0</v>
      </c>
      <c r="G3307">
        <v>0</v>
      </c>
      <c r="H3307">
        <v>1</v>
      </c>
      <c r="I3307" s="3">
        <v>2226.7399999999998</v>
      </c>
      <c r="J3307" s="3">
        <v>0</v>
      </c>
      <c r="L3307">
        <v>5142</v>
      </c>
      <c r="M3307" t="s">
        <v>7975</v>
      </c>
      <c r="N3307" t="s">
        <v>30</v>
      </c>
      <c r="O3307" t="s">
        <v>31</v>
      </c>
      <c r="P3307" t="str">
        <f>"15224"</f>
        <v>15224</v>
      </c>
    </row>
    <row r="3308" spans="1:16" x14ac:dyDescent="0.25">
      <c r="A3308" t="str">
        <f>"1100050G00094    00"</f>
        <v>1100050G00094    00</v>
      </c>
      <c r="B3308" t="s">
        <v>7993</v>
      </c>
      <c r="C3308" t="s">
        <v>7994</v>
      </c>
      <c r="E3308" t="s">
        <v>39</v>
      </c>
      <c r="F3308">
        <v>0</v>
      </c>
      <c r="G3308">
        <v>0</v>
      </c>
      <c r="H3308">
        <v>3</v>
      </c>
      <c r="I3308" s="3">
        <v>1036.83</v>
      </c>
      <c r="J3308" s="3">
        <v>21.17</v>
      </c>
      <c r="K3308" t="s">
        <v>7995</v>
      </c>
      <c r="L3308">
        <v>699</v>
      </c>
      <c r="M3308" t="s">
        <v>7996</v>
      </c>
      <c r="N3308" t="s">
        <v>4318</v>
      </c>
      <c r="O3308" t="s">
        <v>31</v>
      </c>
      <c r="P3308" t="str">
        <f>"16046"</f>
        <v>16046</v>
      </c>
    </row>
    <row r="3309" spans="1:16" x14ac:dyDescent="0.25">
      <c r="A3309" t="str">
        <f>"1100050G00098    00"</f>
        <v>1100050G00098    00</v>
      </c>
      <c r="B3309" t="s">
        <v>7997</v>
      </c>
      <c r="C3309" t="s">
        <v>7998</v>
      </c>
      <c r="D3309" t="s">
        <v>20</v>
      </c>
      <c r="E3309" t="s">
        <v>39</v>
      </c>
      <c r="F3309">
        <v>0</v>
      </c>
      <c r="G3309">
        <v>0</v>
      </c>
      <c r="H3309">
        <v>1</v>
      </c>
      <c r="I3309" s="3">
        <v>1433.78</v>
      </c>
      <c r="J3309" s="3">
        <v>0</v>
      </c>
      <c r="L3309">
        <v>5148</v>
      </c>
      <c r="M3309" t="s">
        <v>7975</v>
      </c>
      <c r="N3309" t="s">
        <v>30</v>
      </c>
      <c r="O3309" t="s">
        <v>31</v>
      </c>
      <c r="P3309" t="str">
        <f>"15224"</f>
        <v>15224</v>
      </c>
    </row>
    <row r="3310" spans="1:16" x14ac:dyDescent="0.25">
      <c r="A3310" t="str">
        <f>"1100050G00109    00"</f>
        <v>1100050G00109    00</v>
      </c>
      <c r="B3310" t="s">
        <v>7999</v>
      </c>
      <c r="C3310" t="s">
        <v>8000</v>
      </c>
      <c r="D3310" t="s">
        <v>20</v>
      </c>
      <c r="E3310" t="s">
        <v>39</v>
      </c>
      <c r="F3310">
        <v>0</v>
      </c>
      <c r="G3310">
        <v>0</v>
      </c>
      <c r="H3310">
        <v>10</v>
      </c>
      <c r="I3310" s="3">
        <v>12021.1</v>
      </c>
      <c r="J3310" s="3">
        <v>5673.12</v>
      </c>
      <c r="L3310">
        <v>5170</v>
      </c>
      <c r="M3310" t="s">
        <v>7975</v>
      </c>
      <c r="N3310" t="s">
        <v>30</v>
      </c>
      <c r="O3310" t="s">
        <v>31</v>
      </c>
      <c r="P3310" t="str">
        <f>"15224"</f>
        <v>15224</v>
      </c>
    </row>
    <row r="3311" spans="1:16" x14ac:dyDescent="0.25">
      <c r="A3311" t="str">
        <f>"1100050G00136    00"</f>
        <v>1100050G00136    00</v>
      </c>
      <c r="B3311" t="s">
        <v>8001</v>
      </c>
      <c r="C3311" t="s">
        <v>8002</v>
      </c>
      <c r="E3311" t="s">
        <v>39</v>
      </c>
      <c r="F3311">
        <v>0</v>
      </c>
      <c r="G3311">
        <v>0</v>
      </c>
      <c r="H3311">
        <v>1</v>
      </c>
      <c r="I3311" s="3">
        <v>558.55999999999995</v>
      </c>
      <c r="J3311" s="3">
        <v>0</v>
      </c>
      <c r="K3311" t="s">
        <v>8003</v>
      </c>
      <c r="L3311">
        <v>5325</v>
      </c>
      <c r="M3311" t="s">
        <v>585</v>
      </c>
      <c r="N3311" t="s">
        <v>30</v>
      </c>
      <c r="O3311" t="s">
        <v>31</v>
      </c>
      <c r="P3311" t="str">
        <f>"15224"</f>
        <v>15224</v>
      </c>
    </row>
    <row r="3312" spans="1:16" x14ac:dyDescent="0.25">
      <c r="A3312" t="str">
        <f>"1100050G00205    00"</f>
        <v>1100050G00205    00</v>
      </c>
      <c r="B3312" t="s">
        <v>8004</v>
      </c>
      <c r="C3312" t="s">
        <v>8005</v>
      </c>
      <c r="D3312" t="s">
        <v>20</v>
      </c>
      <c r="E3312" t="s">
        <v>39</v>
      </c>
      <c r="F3312">
        <v>0</v>
      </c>
      <c r="G3312">
        <v>0</v>
      </c>
      <c r="H3312">
        <v>16</v>
      </c>
      <c r="I3312" s="3">
        <v>16862.34</v>
      </c>
      <c r="J3312" s="3">
        <v>8962.67</v>
      </c>
      <c r="K3312" t="s">
        <v>8006</v>
      </c>
      <c r="L3312">
        <v>5225</v>
      </c>
      <c r="M3312" t="s">
        <v>7975</v>
      </c>
      <c r="N3312" t="s">
        <v>30</v>
      </c>
      <c r="O3312" t="s">
        <v>31</v>
      </c>
      <c r="P3312" t="str">
        <f>"15224"</f>
        <v>15224</v>
      </c>
    </row>
    <row r="3313" spans="1:16" x14ac:dyDescent="0.25">
      <c r="A3313" t="str">
        <f>"1100050G00222    00"</f>
        <v>1100050G00222    00</v>
      </c>
      <c r="B3313" t="s">
        <v>8004</v>
      </c>
      <c r="C3313" t="s">
        <v>8007</v>
      </c>
      <c r="D3313" t="s">
        <v>20</v>
      </c>
      <c r="E3313" t="s">
        <v>39</v>
      </c>
      <c r="F3313">
        <v>0</v>
      </c>
      <c r="G3313">
        <v>0</v>
      </c>
      <c r="H3313">
        <v>1</v>
      </c>
      <c r="I3313" s="3">
        <v>93.4</v>
      </c>
      <c r="J3313" s="3">
        <v>0</v>
      </c>
      <c r="K3313" t="s">
        <v>8006</v>
      </c>
      <c r="L3313">
        <v>720</v>
      </c>
      <c r="M3313" t="s">
        <v>8008</v>
      </c>
      <c r="N3313" t="s">
        <v>8009</v>
      </c>
      <c r="O3313" t="s">
        <v>31</v>
      </c>
      <c r="P3313" t="str">
        <f>"16323"</f>
        <v>16323</v>
      </c>
    </row>
    <row r="3314" spans="1:16" x14ac:dyDescent="0.25">
      <c r="A3314" t="str">
        <f>"1100050G00228    00"</f>
        <v>1100050G00228    00</v>
      </c>
      <c r="B3314" t="s">
        <v>8010</v>
      </c>
      <c r="C3314" t="s">
        <v>8011</v>
      </c>
      <c r="D3314" t="s">
        <v>20</v>
      </c>
      <c r="E3314" t="s">
        <v>39</v>
      </c>
      <c r="F3314">
        <v>0</v>
      </c>
      <c r="G3314">
        <v>0</v>
      </c>
      <c r="H3314">
        <v>7</v>
      </c>
      <c r="I3314" s="3">
        <v>1821.13</v>
      </c>
      <c r="J3314" s="3">
        <v>310.06</v>
      </c>
      <c r="K3314" t="s">
        <v>8012</v>
      </c>
      <c r="L3314">
        <v>5167</v>
      </c>
      <c r="M3314" t="s">
        <v>7975</v>
      </c>
      <c r="N3314" t="s">
        <v>30</v>
      </c>
      <c r="O3314" t="s">
        <v>31</v>
      </c>
      <c r="P3314" t="str">
        <f t="shared" ref="P3314:P3320" si="40">"15224"</f>
        <v>15224</v>
      </c>
    </row>
    <row r="3315" spans="1:16" x14ac:dyDescent="0.25">
      <c r="A3315" t="str">
        <f>"1100050G00235    00"</f>
        <v>1100050G00235    00</v>
      </c>
      <c r="B3315" t="s">
        <v>8013</v>
      </c>
      <c r="C3315" t="s">
        <v>8014</v>
      </c>
      <c r="E3315" t="s">
        <v>39</v>
      </c>
      <c r="F3315">
        <v>0</v>
      </c>
      <c r="G3315">
        <v>0</v>
      </c>
      <c r="H3315">
        <v>4</v>
      </c>
      <c r="I3315" s="3">
        <v>2078.38</v>
      </c>
      <c r="J3315" s="3">
        <v>369.49</v>
      </c>
      <c r="L3315">
        <v>5157</v>
      </c>
      <c r="M3315" t="s">
        <v>7975</v>
      </c>
      <c r="N3315" t="s">
        <v>30</v>
      </c>
      <c r="O3315" t="s">
        <v>31</v>
      </c>
      <c r="P3315" t="str">
        <f t="shared" si="40"/>
        <v>15224</v>
      </c>
    </row>
    <row r="3316" spans="1:16" x14ac:dyDescent="0.25">
      <c r="A3316" t="str">
        <f>"1100050G00238    00"</f>
        <v>1100050G00238    00</v>
      </c>
      <c r="B3316" t="s">
        <v>8015</v>
      </c>
      <c r="C3316" t="s">
        <v>8007</v>
      </c>
      <c r="D3316" t="s">
        <v>20</v>
      </c>
      <c r="E3316" t="s">
        <v>39</v>
      </c>
      <c r="F3316">
        <v>0</v>
      </c>
      <c r="G3316">
        <v>0</v>
      </c>
      <c r="H3316">
        <v>6</v>
      </c>
      <c r="I3316" s="3">
        <v>1651.59</v>
      </c>
      <c r="J3316" s="3">
        <v>370.42</v>
      </c>
      <c r="L3316">
        <v>5149</v>
      </c>
      <c r="M3316" t="s">
        <v>7975</v>
      </c>
      <c r="N3316" t="s">
        <v>30</v>
      </c>
      <c r="O3316" t="s">
        <v>31</v>
      </c>
      <c r="P3316" t="str">
        <f t="shared" si="40"/>
        <v>15224</v>
      </c>
    </row>
    <row r="3317" spans="1:16" x14ac:dyDescent="0.25">
      <c r="A3317" t="str">
        <f>"1100050G00243    00"</f>
        <v>1100050G00243    00</v>
      </c>
      <c r="B3317" t="s">
        <v>8016</v>
      </c>
      <c r="C3317" t="s">
        <v>8017</v>
      </c>
      <c r="D3317" t="s">
        <v>20</v>
      </c>
      <c r="E3317" t="s">
        <v>39</v>
      </c>
      <c r="F3317">
        <v>0</v>
      </c>
      <c r="G3317">
        <v>0</v>
      </c>
      <c r="H3317">
        <v>13</v>
      </c>
      <c r="I3317" s="3">
        <v>6427.19</v>
      </c>
      <c r="J3317" s="3">
        <v>3426.33</v>
      </c>
      <c r="L3317">
        <v>5143</v>
      </c>
      <c r="M3317" t="s">
        <v>7975</v>
      </c>
      <c r="N3317" t="s">
        <v>30</v>
      </c>
      <c r="O3317" t="s">
        <v>31</v>
      </c>
      <c r="P3317" t="str">
        <f t="shared" si="40"/>
        <v>15224</v>
      </c>
    </row>
    <row r="3318" spans="1:16" x14ac:dyDescent="0.25">
      <c r="A3318" t="str">
        <f>"1100050G00274    00"</f>
        <v>1100050G00274    00</v>
      </c>
      <c r="B3318" t="s">
        <v>8018</v>
      </c>
      <c r="C3318" t="s">
        <v>8019</v>
      </c>
      <c r="D3318" t="s">
        <v>20</v>
      </c>
      <c r="E3318" t="s">
        <v>39</v>
      </c>
      <c r="F3318">
        <v>0</v>
      </c>
      <c r="G3318">
        <v>0</v>
      </c>
      <c r="H3318">
        <v>7</v>
      </c>
      <c r="I3318" s="3">
        <v>5425.59</v>
      </c>
      <c r="J3318" s="3">
        <v>1458.74</v>
      </c>
      <c r="L3318">
        <v>5200</v>
      </c>
      <c r="M3318" t="s">
        <v>7845</v>
      </c>
      <c r="N3318" t="s">
        <v>30</v>
      </c>
      <c r="O3318" t="s">
        <v>31</v>
      </c>
      <c r="P3318" t="str">
        <f t="shared" si="40"/>
        <v>15224</v>
      </c>
    </row>
    <row r="3319" spans="1:16" x14ac:dyDescent="0.25">
      <c r="A3319" t="str">
        <f>"1100050G00276    00"</f>
        <v>1100050G00276    00</v>
      </c>
      <c r="B3319" t="s">
        <v>8020</v>
      </c>
      <c r="C3319" t="s">
        <v>8021</v>
      </c>
      <c r="D3319" t="s">
        <v>20</v>
      </c>
      <c r="E3319" t="s">
        <v>39</v>
      </c>
      <c r="F3319">
        <v>0</v>
      </c>
      <c r="G3319">
        <v>0</v>
      </c>
      <c r="H3319">
        <v>1</v>
      </c>
      <c r="I3319" s="3">
        <v>374.73</v>
      </c>
      <c r="J3319" s="3">
        <v>0</v>
      </c>
      <c r="K3319" t="s">
        <v>8022</v>
      </c>
      <c r="L3319">
        <v>5225</v>
      </c>
      <c r="M3319" t="s">
        <v>7975</v>
      </c>
      <c r="N3319" t="s">
        <v>30</v>
      </c>
      <c r="O3319" t="s">
        <v>31</v>
      </c>
      <c r="P3319" t="str">
        <f t="shared" si="40"/>
        <v>15224</v>
      </c>
    </row>
    <row r="3320" spans="1:16" x14ac:dyDescent="0.25">
      <c r="A3320" t="str">
        <f>"1100050G00288    00"</f>
        <v>1100050G00288    00</v>
      </c>
      <c r="B3320" t="s">
        <v>8023</v>
      </c>
      <c r="C3320" t="s">
        <v>8024</v>
      </c>
      <c r="D3320" t="s">
        <v>20</v>
      </c>
      <c r="E3320" t="s">
        <v>39</v>
      </c>
      <c r="F3320">
        <v>0</v>
      </c>
      <c r="G3320">
        <v>0</v>
      </c>
      <c r="H3320">
        <v>3</v>
      </c>
      <c r="I3320" s="3">
        <v>974.11</v>
      </c>
      <c r="J3320" s="3">
        <v>4.92</v>
      </c>
      <c r="L3320">
        <v>5220</v>
      </c>
      <c r="M3320" t="s">
        <v>7845</v>
      </c>
      <c r="N3320" t="s">
        <v>30</v>
      </c>
      <c r="O3320" t="s">
        <v>31</v>
      </c>
      <c r="P3320" t="str">
        <f t="shared" si="40"/>
        <v>15224</v>
      </c>
    </row>
    <row r="3321" spans="1:16" x14ac:dyDescent="0.25">
      <c r="A3321" t="str">
        <f>"1100050G00298    00"</f>
        <v>1100050G00298    00</v>
      </c>
      <c r="B3321" t="s">
        <v>8025</v>
      </c>
      <c r="C3321" t="s">
        <v>8026</v>
      </c>
      <c r="E3321" t="s">
        <v>39</v>
      </c>
      <c r="F3321">
        <v>0</v>
      </c>
      <c r="G3321">
        <v>0</v>
      </c>
      <c r="H3321">
        <v>4</v>
      </c>
      <c r="I3321" s="3">
        <v>2897.41</v>
      </c>
      <c r="J3321" s="3">
        <v>39.159999999999997</v>
      </c>
      <c r="L3321">
        <v>4249</v>
      </c>
      <c r="M3321" t="s">
        <v>129</v>
      </c>
      <c r="N3321" t="s">
        <v>24</v>
      </c>
      <c r="O3321" t="s">
        <v>25</v>
      </c>
      <c r="P3321" t="str">
        <f>"43219"</f>
        <v>43219</v>
      </c>
    </row>
    <row r="3322" spans="1:16" x14ac:dyDescent="0.25">
      <c r="A3322" t="str">
        <f>"1100050G00342    00"</f>
        <v>1100050G00342    00</v>
      </c>
      <c r="B3322" t="s">
        <v>8027</v>
      </c>
      <c r="C3322" t="s">
        <v>8028</v>
      </c>
      <c r="D3322" t="s">
        <v>20</v>
      </c>
      <c r="E3322" t="s">
        <v>39</v>
      </c>
      <c r="F3322">
        <v>0</v>
      </c>
      <c r="G3322">
        <v>0</v>
      </c>
      <c r="H3322">
        <v>3</v>
      </c>
      <c r="I3322" s="3">
        <v>1203.1300000000001</v>
      </c>
      <c r="J3322" s="3">
        <v>19.73</v>
      </c>
      <c r="L3322">
        <v>1742</v>
      </c>
      <c r="M3322" t="s">
        <v>8029</v>
      </c>
      <c r="N3322" t="s">
        <v>30</v>
      </c>
      <c r="O3322" t="s">
        <v>31</v>
      </c>
      <c r="P3322" t="str">
        <f>"15221"</f>
        <v>15221</v>
      </c>
    </row>
    <row r="3323" spans="1:16" x14ac:dyDescent="0.25">
      <c r="A3323" t="str">
        <f>"1100050G00352    00"</f>
        <v>1100050G00352    00</v>
      </c>
      <c r="B3323" t="s">
        <v>8030</v>
      </c>
      <c r="C3323" t="s">
        <v>8031</v>
      </c>
      <c r="E3323" t="s">
        <v>39</v>
      </c>
      <c r="F3323">
        <v>0</v>
      </c>
      <c r="G3323">
        <v>0</v>
      </c>
      <c r="H3323">
        <v>13</v>
      </c>
      <c r="I3323" s="3">
        <v>9854.73</v>
      </c>
      <c r="J3323" s="3">
        <v>6641.95</v>
      </c>
      <c r="K3323" t="s">
        <v>1030</v>
      </c>
      <c r="M3323" t="s">
        <v>1031</v>
      </c>
      <c r="N3323" t="s">
        <v>1032</v>
      </c>
      <c r="O3323" t="s">
        <v>25</v>
      </c>
      <c r="P3323" t="str">
        <f>"44711"</f>
        <v>44711</v>
      </c>
    </row>
    <row r="3324" spans="1:16" x14ac:dyDescent="0.25">
      <c r="A3324" t="str">
        <f>"1100050H00011    00"</f>
        <v>1100050H00011    00</v>
      </c>
      <c r="B3324" t="s">
        <v>8032</v>
      </c>
      <c r="C3324" t="s">
        <v>8033</v>
      </c>
      <c r="D3324" t="s">
        <v>20</v>
      </c>
      <c r="E3324" t="s">
        <v>39</v>
      </c>
      <c r="F3324">
        <v>0</v>
      </c>
      <c r="G3324">
        <v>0</v>
      </c>
      <c r="H3324">
        <v>1</v>
      </c>
      <c r="I3324" s="3">
        <v>2611.2199999999998</v>
      </c>
      <c r="J3324" s="3">
        <v>0</v>
      </c>
      <c r="L3324">
        <v>2121</v>
      </c>
      <c r="M3324" t="s">
        <v>8034</v>
      </c>
      <c r="N3324" t="s">
        <v>4265</v>
      </c>
      <c r="O3324" t="s">
        <v>31</v>
      </c>
      <c r="P3324" t="str">
        <f>"16803"</f>
        <v>16803</v>
      </c>
    </row>
    <row r="3325" spans="1:16" x14ac:dyDescent="0.25">
      <c r="A3325" t="str">
        <f>"1100050H00015    00"</f>
        <v>1100050H00015    00</v>
      </c>
      <c r="B3325" t="s">
        <v>8035</v>
      </c>
      <c r="C3325" t="s">
        <v>8036</v>
      </c>
      <c r="E3325" t="s">
        <v>39</v>
      </c>
      <c r="F3325">
        <v>0</v>
      </c>
      <c r="G3325">
        <v>0</v>
      </c>
      <c r="H3325">
        <v>8</v>
      </c>
      <c r="I3325" s="3">
        <v>8801.94</v>
      </c>
      <c r="J3325" s="3">
        <v>7764.44</v>
      </c>
      <c r="K3325" t="s">
        <v>8037</v>
      </c>
      <c r="L3325">
        <v>5351</v>
      </c>
      <c r="M3325" t="s">
        <v>7962</v>
      </c>
      <c r="N3325" t="s">
        <v>30</v>
      </c>
      <c r="O3325" t="s">
        <v>31</v>
      </c>
      <c r="P3325" t="str">
        <f>"15224"</f>
        <v>15224</v>
      </c>
    </row>
    <row r="3326" spans="1:16" x14ac:dyDescent="0.25">
      <c r="A3326" t="str">
        <f>"1100050H00018    00"</f>
        <v>1100050H00018    00</v>
      </c>
      <c r="B3326" t="s">
        <v>8038</v>
      </c>
      <c r="C3326" t="s">
        <v>8039</v>
      </c>
      <c r="E3326" t="s">
        <v>39</v>
      </c>
      <c r="F3326">
        <v>0</v>
      </c>
      <c r="G3326">
        <v>0</v>
      </c>
      <c r="H3326">
        <v>1</v>
      </c>
      <c r="I3326" s="3">
        <v>1987.97</v>
      </c>
      <c r="J3326" s="3">
        <v>0</v>
      </c>
      <c r="K3326" t="s">
        <v>5334</v>
      </c>
      <c r="L3326">
        <v>3001</v>
      </c>
      <c r="M3326" t="s">
        <v>330</v>
      </c>
      <c r="N3326" t="s">
        <v>331</v>
      </c>
      <c r="O3326" t="s">
        <v>108</v>
      </c>
      <c r="P3326" t="str">
        <f>"75063"</f>
        <v>75063</v>
      </c>
    </row>
    <row r="3327" spans="1:16" x14ac:dyDescent="0.25">
      <c r="A3327" t="str">
        <f>"1100050H00022    00"</f>
        <v>1100050H00022    00</v>
      </c>
      <c r="B3327" t="s">
        <v>8032</v>
      </c>
      <c r="C3327" t="s">
        <v>8040</v>
      </c>
      <c r="E3327" t="s">
        <v>207</v>
      </c>
      <c r="F3327">
        <v>0</v>
      </c>
      <c r="G3327">
        <v>0</v>
      </c>
      <c r="H3327">
        <v>1</v>
      </c>
      <c r="I3327" s="3">
        <v>24.79</v>
      </c>
      <c r="J3327" s="3">
        <v>4.97</v>
      </c>
      <c r="K3327" t="s">
        <v>3621</v>
      </c>
      <c r="L3327">
        <v>211</v>
      </c>
      <c r="M3327" t="s">
        <v>3622</v>
      </c>
      <c r="N3327" t="s">
        <v>3623</v>
      </c>
      <c r="O3327" t="s">
        <v>31</v>
      </c>
      <c r="P3327" t="str">
        <f>"17101"</f>
        <v>17101</v>
      </c>
    </row>
    <row r="3328" spans="1:16" x14ac:dyDescent="0.25">
      <c r="A3328" t="str">
        <f>"1100050H00034    00"</f>
        <v>1100050H00034    00</v>
      </c>
      <c r="B3328" t="s">
        <v>8041</v>
      </c>
      <c r="C3328" t="s">
        <v>8042</v>
      </c>
      <c r="D3328" t="s">
        <v>20</v>
      </c>
      <c r="E3328" t="s">
        <v>39</v>
      </c>
      <c r="F3328">
        <v>0</v>
      </c>
      <c r="G3328">
        <v>0</v>
      </c>
      <c r="H3328">
        <v>5</v>
      </c>
      <c r="I3328" s="3">
        <v>3521.02</v>
      </c>
      <c r="J3328" s="3">
        <v>402.77</v>
      </c>
      <c r="L3328">
        <v>5348</v>
      </c>
      <c r="M3328" t="s">
        <v>7975</v>
      </c>
      <c r="N3328" t="s">
        <v>30</v>
      </c>
      <c r="O3328" t="s">
        <v>31</v>
      </c>
      <c r="P3328" t="str">
        <f>"15224"</f>
        <v>15224</v>
      </c>
    </row>
    <row r="3329" spans="1:16" x14ac:dyDescent="0.25">
      <c r="A3329" t="str">
        <f>"1100050H00043    00"</f>
        <v>1100050H00043    00</v>
      </c>
      <c r="B3329" t="s">
        <v>8043</v>
      </c>
      <c r="C3329" t="s">
        <v>8044</v>
      </c>
      <c r="D3329" t="s">
        <v>20</v>
      </c>
      <c r="E3329" t="s">
        <v>39</v>
      </c>
      <c r="F3329">
        <v>0</v>
      </c>
      <c r="G3329">
        <v>0</v>
      </c>
      <c r="H3329">
        <v>7</v>
      </c>
      <c r="I3329" s="3">
        <v>4698.3100000000004</v>
      </c>
      <c r="J3329" s="3">
        <v>1577.9</v>
      </c>
      <c r="L3329">
        <v>337</v>
      </c>
      <c r="M3329" t="s">
        <v>4114</v>
      </c>
      <c r="N3329" t="s">
        <v>30</v>
      </c>
      <c r="O3329" t="s">
        <v>31</v>
      </c>
      <c r="P3329" t="str">
        <f>"15206"</f>
        <v>15206</v>
      </c>
    </row>
    <row r="3330" spans="1:16" x14ac:dyDescent="0.25">
      <c r="A3330" t="str">
        <f>"1100050H00045    00"</f>
        <v>1100050H00045    00</v>
      </c>
      <c r="B3330" t="s">
        <v>8045</v>
      </c>
      <c r="C3330" t="s">
        <v>7882</v>
      </c>
      <c r="E3330" t="s">
        <v>39</v>
      </c>
      <c r="F3330">
        <v>0</v>
      </c>
      <c r="G3330">
        <v>0</v>
      </c>
      <c r="H3330">
        <v>17</v>
      </c>
      <c r="I3330" s="3">
        <v>1672.35</v>
      </c>
      <c r="J3330" s="3">
        <v>1096.77</v>
      </c>
      <c r="L3330">
        <v>333</v>
      </c>
      <c r="M3330" t="s">
        <v>4114</v>
      </c>
      <c r="N3330" t="s">
        <v>30</v>
      </c>
      <c r="O3330" t="s">
        <v>31</v>
      </c>
      <c r="P3330" t="str">
        <f>"15206"</f>
        <v>15206</v>
      </c>
    </row>
    <row r="3331" spans="1:16" x14ac:dyDescent="0.25">
      <c r="A3331" t="str">
        <f>"1100050H00047    00"</f>
        <v>1100050H00047    00</v>
      </c>
      <c r="B3331" t="s">
        <v>8046</v>
      </c>
      <c r="C3331" t="s">
        <v>8047</v>
      </c>
      <c r="E3331" t="s">
        <v>39</v>
      </c>
      <c r="F3331">
        <v>0</v>
      </c>
      <c r="G3331">
        <v>0</v>
      </c>
      <c r="H3331">
        <v>1</v>
      </c>
      <c r="I3331" s="3">
        <v>648.41999999999996</v>
      </c>
      <c r="J3331" s="3">
        <v>0</v>
      </c>
      <c r="L3331">
        <v>4101</v>
      </c>
      <c r="M3331" t="s">
        <v>8048</v>
      </c>
      <c r="N3331" t="s">
        <v>30</v>
      </c>
      <c r="O3331" t="s">
        <v>31</v>
      </c>
      <c r="P3331" t="str">
        <f>"15227"</f>
        <v>15227</v>
      </c>
    </row>
    <row r="3332" spans="1:16" x14ac:dyDescent="0.25">
      <c r="A3332" t="str">
        <f>"1100050H00216    00"</f>
        <v>1100050H00216    00</v>
      </c>
      <c r="B3332" t="s">
        <v>8049</v>
      </c>
      <c r="C3332" t="s">
        <v>8050</v>
      </c>
      <c r="E3332" t="s">
        <v>39</v>
      </c>
      <c r="F3332">
        <v>0</v>
      </c>
      <c r="G3332">
        <v>0</v>
      </c>
      <c r="H3332">
        <v>7</v>
      </c>
      <c r="I3332" s="3">
        <v>3191.23</v>
      </c>
      <c r="J3332" s="3">
        <v>1867.81</v>
      </c>
      <c r="L3332">
        <v>426</v>
      </c>
      <c r="M3332" t="s">
        <v>8051</v>
      </c>
      <c r="N3332" t="s">
        <v>30</v>
      </c>
      <c r="O3332" t="s">
        <v>31</v>
      </c>
      <c r="P3332" t="str">
        <f>"15224"</f>
        <v>15224</v>
      </c>
    </row>
    <row r="3333" spans="1:16" x14ac:dyDescent="0.25">
      <c r="A3333" t="str">
        <f>"1100050H00217    00"</f>
        <v>1100050H00217    00</v>
      </c>
      <c r="B3333" t="s">
        <v>8052</v>
      </c>
      <c r="C3333" t="s">
        <v>8053</v>
      </c>
      <c r="D3333" t="s">
        <v>20</v>
      </c>
      <c r="E3333" t="s">
        <v>39</v>
      </c>
      <c r="F3333">
        <v>0</v>
      </c>
      <c r="G3333">
        <v>0</v>
      </c>
      <c r="H3333">
        <v>6</v>
      </c>
      <c r="I3333" s="3">
        <v>786.45</v>
      </c>
      <c r="J3333" s="3">
        <v>176.37</v>
      </c>
      <c r="L3333">
        <v>426</v>
      </c>
      <c r="M3333" t="s">
        <v>8051</v>
      </c>
      <c r="N3333" t="s">
        <v>30</v>
      </c>
      <c r="O3333" t="s">
        <v>31</v>
      </c>
      <c r="P3333" t="str">
        <f>"15224"</f>
        <v>15224</v>
      </c>
    </row>
    <row r="3334" spans="1:16" x14ac:dyDescent="0.25">
      <c r="A3334" t="str">
        <f>"1100050H00225    00"</f>
        <v>1100050H00225    00</v>
      </c>
      <c r="B3334" t="s">
        <v>8054</v>
      </c>
      <c r="C3334" t="s">
        <v>8055</v>
      </c>
      <c r="D3334" t="s">
        <v>20</v>
      </c>
      <c r="E3334" t="s">
        <v>39</v>
      </c>
      <c r="F3334">
        <v>0</v>
      </c>
      <c r="G3334">
        <v>0</v>
      </c>
      <c r="H3334">
        <v>3</v>
      </c>
      <c r="I3334" s="3">
        <v>2269.0700000000002</v>
      </c>
      <c r="J3334" s="3">
        <v>182.6</v>
      </c>
      <c r="L3334">
        <v>5363</v>
      </c>
      <c r="M3334" t="s">
        <v>7975</v>
      </c>
      <c r="N3334" t="s">
        <v>30</v>
      </c>
      <c r="O3334" t="s">
        <v>31</v>
      </c>
      <c r="P3334" t="str">
        <f>"15224"</f>
        <v>15224</v>
      </c>
    </row>
    <row r="3335" spans="1:16" x14ac:dyDescent="0.25">
      <c r="A3335" t="str">
        <f>"1100050H00226    00"</f>
        <v>1100050H00226    00</v>
      </c>
      <c r="B3335" t="s">
        <v>8056</v>
      </c>
      <c r="C3335" t="s">
        <v>8057</v>
      </c>
      <c r="D3335" t="s">
        <v>20</v>
      </c>
      <c r="E3335" t="s">
        <v>39</v>
      </c>
      <c r="F3335">
        <v>0</v>
      </c>
      <c r="G3335">
        <v>0</v>
      </c>
      <c r="H3335">
        <v>12</v>
      </c>
      <c r="I3335" s="3">
        <v>8415.98</v>
      </c>
      <c r="J3335" s="3">
        <v>10841.27</v>
      </c>
      <c r="L3335">
        <v>5363</v>
      </c>
      <c r="M3335" t="s">
        <v>7975</v>
      </c>
      <c r="N3335" t="s">
        <v>30</v>
      </c>
      <c r="O3335" t="s">
        <v>31</v>
      </c>
      <c r="P3335" t="str">
        <f>"15224"</f>
        <v>15224</v>
      </c>
    </row>
    <row r="3336" spans="1:16" x14ac:dyDescent="0.25">
      <c r="A3336" t="str">
        <f>"1100050H00250    00"</f>
        <v>1100050H00250    00</v>
      </c>
      <c r="B3336" t="s">
        <v>8058</v>
      </c>
      <c r="C3336" t="s">
        <v>8059</v>
      </c>
      <c r="E3336" t="s">
        <v>39</v>
      </c>
      <c r="F3336">
        <v>0</v>
      </c>
      <c r="G3336">
        <v>0</v>
      </c>
      <c r="H3336">
        <v>2</v>
      </c>
      <c r="I3336" s="3">
        <v>1191.3499999999999</v>
      </c>
      <c r="J3336" s="3">
        <v>183.69</v>
      </c>
      <c r="K3336" t="s">
        <v>8060</v>
      </c>
      <c r="L3336">
        <v>801</v>
      </c>
      <c r="M3336" t="s">
        <v>6227</v>
      </c>
      <c r="N3336" t="s">
        <v>30</v>
      </c>
      <c r="O3336" t="s">
        <v>31</v>
      </c>
      <c r="P3336" t="str">
        <f>"15206"</f>
        <v>15206</v>
      </c>
    </row>
    <row r="3337" spans="1:16" x14ac:dyDescent="0.25">
      <c r="A3337" t="str">
        <f>"1100050H00256    00"</f>
        <v>1100050H00256    00</v>
      </c>
      <c r="B3337" t="s">
        <v>8058</v>
      </c>
      <c r="C3337" t="s">
        <v>8061</v>
      </c>
      <c r="D3337" t="s">
        <v>57</v>
      </c>
      <c r="E3337" t="s">
        <v>39</v>
      </c>
      <c r="F3337">
        <v>0</v>
      </c>
      <c r="G3337">
        <v>0</v>
      </c>
      <c r="H3337">
        <v>1</v>
      </c>
      <c r="I3337" s="3">
        <v>427.78</v>
      </c>
      <c r="J3337" s="3">
        <v>434.89</v>
      </c>
      <c r="L3337">
        <v>801</v>
      </c>
      <c r="M3337" t="s">
        <v>6227</v>
      </c>
      <c r="N3337" t="s">
        <v>30</v>
      </c>
      <c r="O3337" t="s">
        <v>31</v>
      </c>
      <c r="P3337" t="str">
        <f>"15206"</f>
        <v>15206</v>
      </c>
    </row>
    <row r="3338" spans="1:16" x14ac:dyDescent="0.25">
      <c r="A3338" t="str">
        <f>"1100050H00290    00"</f>
        <v>1100050H00290    00</v>
      </c>
      <c r="B3338" t="s">
        <v>8062</v>
      </c>
      <c r="C3338" t="s">
        <v>8007</v>
      </c>
      <c r="D3338" t="s">
        <v>20</v>
      </c>
      <c r="E3338" t="s">
        <v>39</v>
      </c>
      <c r="F3338">
        <v>0</v>
      </c>
      <c r="G3338">
        <v>0</v>
      </c>
      <c r="H3338">
        <v>19</v>
      </c>
      <c r="I3338" s="3">
        <v>496.26</v>
      </c>
      <c r="J3338" s="3">
        <v>554.79</v>
      </c>
      <c r="K3338" t="s">
        <v>1008</v>
      </c>
      <c r="P3338" t="str">
        <f>""</f>
        <v/>
      </c>
    </row>
    <row r="3339" spans="1:16" x14ac:dyDescent="0.25">
      <c r="A3339" t="str">
        <f>"1100050H00291    00"</f>
        <v>1100050H00291    00</v>
      </c>
      <c r="B3339" t="s">
        <v>8063</v>
      </c>
      <c r="C3339" t="s">
        <v>8007</v>
      </c>
      <c r="D3339" t="s">
        <v>20</v>
      </c>
      <c r="E3339" t="s">
        <v>39</v>
      </c>
      <c r="F3339">
        <v>0</v>
      </c>
      <c r="G3339">
        <v>0</v>
      </c>
      <c r="H3339">
        <v>19</v>
      </c>
      <c r="I3339" s="3">
        <v>1707.08</v>
      </c>
      <c r="J3339" s="3">
        <v>1191.22</v>
      </c>
      <c r="L3339">
        <v>628</v>
      </c>
      <c r="M3339" t="s">
        <v>8064</v>
      </c>
      <c r="N3339" t="s">
        <v>2943</v>
      </c>
      <c r="O3339" t="s">
        <v>31</v>
      </c>
      <c r="P3339" t="str">
        <f>"15025"</f>
        <v>15025</v>
      </c>
    </row>
    <row r="3340" spans="1:16" x14ac:dyDescent="0.25">
      <c r="A3340" t="str">
        <f>"1100050H00294    00"</f>
        <v>1100050H00294    00</v>
      </c>
      <c r="B3340" t="s">
        <v>8065</v>
      </c>
      <c r="C3340" t="s">
        <v>8066</v>
      </c>
      <c r="D3340" t="s">
        <v>20</v>
      </c>
      <c r="E3340" t="s">
        <v>39</v>
      </c>
      <c r="F3340">
        <v>0</v>
      </c>
      <c r="G3340">
        <v>0</v>
      </c>
      <c r="H3340">
        <v>3</v>
      </c>
      <c r="I3340" s="3">
        <v>3656.13</v>
      </c>
      <c r="J3340" s="3">
        <v>155.41999999999999</v>
      </c>
      <c r="K3340" t="s">
        <v>1632</v>
      </c>
      <c r="L3340">
        <v>3001</v>
      </c>
      <c r="M3340" t="s">
        <v>330</v>
      </c>
      <c r="N3340" t="s">
        <v>331</v>
      </c>
      <c r="O3340" t="s">
        <v>108</v>
      </c>
      <c r="P3340" t="str">
        <f>"75063"</f>
        <v>75063</v>
      </c>
    </row>
    <row r="3341" spans="1:16" x14ac:dyDescent="0.25">
      <c r="A3341" t="str">
        <f>"1100050H00296    00"</f>
        <v>1100050H00296    00</v>
      </c>
      <c r="B3341" t="s">
        <v>8067</v>
      </c>
      <c r="C3341" t="s">
        <v>8068</v>
      </c>
      <c r="D3341" t="s">
        <v>20</v>
      </c>
      <c r="E3341" t="s">
        <v>39</v>
      </c>
      <c r="F3341">
        <v>0</v>
      </c>
      <c r="G3341">
        <v>0</v>
      </c>
      <c r="H3341">
        <v>19</v>
      </c>
      <c r="I3341" s="3">
        <v>449.64</v>
      </c>
      <c r="J3341" s="3">
        <v>507.57</v>
      </c>
      <c r="L3341">
        <v>5011</v>
      </c>
      <c r="M3341" t="s">
        <v>3588</v>
      </c>
      <c r="N3341" t="s">
        <v>30</v>
      </c>
      <c r="O3341" t="s">
        <v>31</v>
      </c>
      <c r="P3341" t="str">
        <f>"15201"</f>
        <v>15201</v>
      </c>
    </row>
    <row r="3342" spans="1:16" x14ac:dyDescent="0.25">
      <c r="A3342" t="str">
        <f>"1100050H00307    00"</f>
        <v>1100050H00307    00</v>
      </c>
      <c r="B3342" t="s">
        <v>8069</v>
      </c>
      <c r="C3342" t="s">
        <v>8068</v>
      </c>
      <c r="D3342" t="s">
        <v>20</v>
      </c>
      <c r="E3342" t="s">
        <v>39</v>
      </c>
      <c r="F3342">
        <v>0</v>
      </c>
      <c r="G3342">
        <v>0</v>
      </c>
      <c r="H3342">
        <v>19</v>
      </c>
      <c r="I3342" s="3">
        <v>1237.27</v>
      </c>
      <c r="J3342" s="3">
        <v>901.61</v>
      </c>
      <c r="L3342">
        <v>5433</v>
      </c>
      <c r="M3342" t="s">
        <v>7845</v>
      </c>
      <c r="N3342" t="s">
        <v>30</v>
      </c>
      <c r="O3342" t="s">
        <v>31</v>
      </c>
      <c r="P3342" t="str">
        <f>"15206"</f>
        <v>15206</v>
      </c>
    </row>
    <row r="3343" spans="1:16" x14ac:dyDescent="0.25">
      <c r="A3343" t="str">
        <f>"1100050H00347    00"</f>
        <v>1100050H00347    00</v>
      </c>
      <c r="B3343" t="s">
        <v>8070</v>
      </c>
      <c r="C3343" t="s">
        <v>8071</v>
      </c>
      <c r="D3343" t="s">
        <v>20</v>
      </c>
      <c r="E3343" t="s">
        <v>39</v>
      </c>
      <c r="F3343">
        <v>0</v>
      </c>
      <c r="G3343">
        <v>0</v>
      </c>
      <c r="H3343">
        <v>19</v>
      </c>
      <c r="I3343" s="3">
        <v>542.91</v>
      </c>
      <c r="J3343" s="3">
        <v>601.91999999999996</v>
      </c>
      <c r="K3343" t="s">
        <v>1037</v>
      </c>
      <c r="L3343">
        <v>424</v>
      </c>
      <c r="M3343" t="s">
        <v>8072</v>
      </c>
      <c r="N3343" t="s">
        <v>30</v>
      </c>
      <c r="O3343" t="s">
        <v>31</v>
      </c>
      <c r="P3343" t="str">
        <f>"15224"</f>
        <v>15224</v>
      </c>
    </row>
    <row r="3344" spans="1:16" x14ac:dyDescent="0.25">
      <c r="A3344" t="str">
        <f>"1100050H00350    00"</f>
        <v>1100050H00350    00</v>
      </c>
      <c r="B3344" t="s">
        <v>8073</v>
      </c>
      <c r="C3344" t="s">
        <v>8074</v>
      </c>
      <c r="D3344" t="s">
        <v>57</v>
      </c>
      <c r="E3344" t="s">
        <v>39</v>
      </c>
      <c r="F3344">
        <v>0</v>
      </c>
      <c r="G3344">
        <v>0</v>
      </c>
      <c r="H3344">
        <v>1</v>
      </c>
      <c r="I3344" s="3">
        <v>547.54999999999995</v>
      </c>
      <c r="J3344" s="3">
        <v>0</v>
      </c>
      <c r="L3344">
        <v>2276</v>
      </c>
      <c r="M3344" t="s">
        <v>3580</v>
      </c>
      <c r="N3344" t="s">
        <v>30</v>
      </c>
      <c r="O3344" t="s">
        <v>31</v>
      </c>
      <c r="P3344" t="str">
        <f>"15217"</f>
        <v>15217</v>
      </c>
    </row>
    <row r="3345" spans="1:16" x14ac:dyDescent="0.25">
      <c r="A3345" t="str">
        <f>"1100050J00020    00"</f>
        <v>1100050J00020    00</v>
      </c>
      <c r="B3345" t="s">
        <v>8075</v>
      </c>
      <c r="C3345" t="s">
        <v>8076</v>
      </c>
      <c r="E3345" t="s">
        <v>39</v>
      </c>
      <c r="F3345">
        <v>0</v>
      </c>
      <c r="G3345">
        <v>0</v>
      </c>
      <c r="H3345">
        <v>2</v>
      </c>
      <c r="I3345" s="3">
        <v>24.42</v>
      </c>
      <c r="J3345" s="3">
        <v>7.7</v>
      </c>
      <c r="L3345">
        <v>4822</v>
      </c>
      <c r="M3345" t="s">
        <v>2901</v>
      </c>
      <c r="N3345" t="s">
        <v>30</v>
      </c>
      <c r="O3345" t="s">
        <v>31</v>
      </c>
      <c r="P3345" t="str">
        <f>"15224"</f>
        <v>15224</v>
      </c>
    </row>
    <row r="3346" spans="1:16" x14ac:dyDescent="0.25">
      <c r="A3346" t="str">
        <f>"1100050J00032    00"</f>
        <v>1100050J00032    00</v>
      </c>
      <c r="B3346" t="s">
        <v>8077</v>
      </c>
      <c r="C3346" t="s">
        <v>8078</v>
      </c>
      <c r="D3346" t="s">
        <v>20</v>
      </c>
      <c r="E3346" t="s">
        <v>39</v>
      </c>
      <c r="F3346">
        <v>0</v>
      </c>
      <c r="G3346">
        <v>0</v>
      </c>
      <c r="H3346">
        <v>7</v>
      </c>
      <c r="I3346" s="3">
        <v>3156.2</v>
      </c>
      <c r="J3346" s="3">
        <v>964.61</v>
      </c>
      <c r="L3346">
        <v>212</v>
      </c>
      <c r="M3346" t="s">
        <v>7868</v>
      </c>
      <c r="N3346" t="s">
        <v>30</v>
      </c>
      <c r="O3346" t="s">
        <v>31</v>
      </c>
      <c r="P3346" t="str">
        <f>"15224"</f>
        <v>15224</v>
      </c>
    </row>
    <row r="3347" spans="1:16" x14ac:dyDescent="0.25">
      <c r="A3347" t="str">
        <f>"1100050J00032A   00"</f>
        <v>1100050J00032A   00</v>
      </c>
      <c r="B3347" t="s">
        <v>8079</v>
      </c>
      <c r="C3347" t="s">
        <v>7860</v>
      </c>
      <c r="D3347" t="s">
        <v>20</v>
      </c>
      <c r="E3347" t="s">
        <v>39</v>
      </c>
      <c r="F3347">
        <v>0</v>
      </c>
      <c r="G3347">
        <v>0</v>
      </c>
      <c r="H3347">
        <v>17</v>
      </c>
      <c r="I3347" s="3">
        <v>1028.73</v>
      </c>
      <c r="J3347" s="3">
        <v>1400.13</v>
      </c>
      <c r="P3347" t="str">
        <f>""</f>
        <v/>
      </c>
    </row>
    <row r="3348" spans="1:16" x14ac:dyDescent="0.25">
      <c r="A3348" t="str">
        <f>"1100050J00037    00"</f>
        <v>1100050J00037    00</v>
      </c>
      <c r="B3348" t="s">
        <v>8080</v>
      </c>
      <c r="C3348" t="s">
        <v>8081</v>
      </c>
      <c r="D3348" t="s">
        <v>20</v>
      </c>
      <c r="E3348" t="s">
        <v>39</v>
      </c>
      <c r="F3348">
        <v>0</v>
      </c>
      <c r="G3348">
        <v>0</v>
      </c>
      <c r="H3348">
        <v>3</v>
      </c>
      <c r="I3348" s="3">
        <v>1628.25</v>
      </c>
      <c r="J3348" s="3">
        <v>133.72999999999999</v>
      </c>
      <c r="L3348">
        <v>4805</v>
      </c>
      <c r="M3348" t="s">
        <v>8082</v>
      </c>
      <c r="N3348" t="s">
        <v>30</v>
      </c>
      <c r="O3348" t="s">
        <v>31</v>
      </c>
      <c r="P3348" t="str">
        <f>"15224"</f>
        <v>15224</v>
      </c>
    </row>
    <row r="3349" spans="1:16" x14ac:dyDescent="0.25">
      <c r="A3349" t="str">
        <f>"1100050J00038    00"</f>
        <v>1100050J00038    00</v>
      </c>
      <c r="B3349" t="s">
        <v>8083</v>
      </c>
      <c r="C3349" t="s">
        <v>8084</v>
      </c>
      <c r="D3349" t="s">
        <v>20</v>
      </c>
      <c r="E3349" t="s">
        <v>39</v>
      </c>
      <c r="F3349">
        <v>0</v>
      </c>
      <c r="G3349">
        <v>0</v>
      </c>
      <c r="H3349">
        <v>9</v>
      </c>
      <c r="I3349" s="3">
        <v>4173.88</v>
      </c>
      <c r="J3349" s="3">
        <v>1816.6</v>
      </c>
      <c r="K3349" t="s">
        <v>8085</v>
      </c>
      <c r="L3349">
        <v>4677</v>
      </c>
      <c r="M3349" t="s">
        <v>8086</v>
      </c>
      <c r="N3349" t="s">
        <v>195</v>
      </c>
      <c r="O3349" t="s">
        <v>31</v>
      </c>
      <c r="P3349" t="str">
        <f>"15101"</f>
        <v>15101</v>
      </c>
    </row>
    <row r="3350" spans="1:16" x14ac:dyDescent="0.25">
      <c r="A3350" t="str">
        <f>"1100050J00048    00"</f>
        <v>1100050J00048    00</v>
      </c>
      <c r="B3350" t="s">
        <v>8087</v>
      </c>
      <c r="C3350" t="s">
        <v>8088</v>
      </c>
      <c r="D3350" t="s">
        <v>20</v>
      </c>
      <c r="E3350" t="s">
        <v>39</v>
      </c>
      <c r="F3350">
        <v>0</v>
      </c>
      <c r="G3350">
        <v>0</v>
      </c>
      <c r="H3350">
        <v>1</v>
      </c>
      <c r="I3350" s="3">
        <v>745.72</v>
      </c>
      <c r="J3350" s="3">
        <v>0</v>
      </c>
      <c r="L3350">
        <v>4824</v>
      </c>
      <c r="M3350" t="s">
        <v>8082</v>
      </c>
      <c r="N3350" t="s">
        <v>30</v>
      </c>
      <c r="O3350" t="s">
        <v>31</v>
      </c>
      <c r="P3350" t="str">
        <f>"15224"</f>
        <v>15224</v>
      </c>
    </row>
    <row r="3351" spans="1:16" x14ac:dyDescent="0.25">
      <c r="A3351" t="str">
        <f>"1100050J00057    00"</f>
        <v>1100050J00057    00</v>
      </c>
      <c r="B3351" t="s">
        <v>8089</v>
      </c>
      <c r="C3351" t="s">
        <v>8090</v>
      </c>
      <c r="D3351" t="s">
        <v>20</v>
      </c>
      <c r="E3351" t="s">
        <v>39</v>
      </c>
      <c r="F3351">
        <v>0</v>
      </c>
      <c r="G3351">
        <v>0</v>
      </c>
      <c r="H3351">
        <v>4</v>
      </c>
      <c r="I3351" s="3">
        <v>3738.28</v>
      </c>
      <c r="J3351" s="3">
        <v>462.35</v>
      </c>
      <c r="K3351" t="s">
        <v>8091</v>
      </c>
      <c r="L3351">
        <v>118</v>
      </c>
      <c r="M3351" t="s">
        <v>7868</v>
      </c>
      <c r="N3351" t="s">
        <v>30</v>
      </c>
      <c r="O3351" t="s">
        <v>31</v>
      </c>
      <c r="P3351" t="str">
        <f>"15224"</f>
        <v>15224</v>
      </c>
    </row>
    <row r="3352" spans="1:16" x14ac:dyDescent="0.25">
      <c r="A3352" t="str">
        <f>"1100050J00060    00"</f>
        <v>1100050J00060    00</v>
      </c>
      <c r="B3352" t="s">
        <v>8092</v>
      </c>
      <c r="C3352" t="s">
        <v>7860</v>
      </c>
      <c r="D3352" t="s">
        <v>20</v>
      </c>
      <c r="E3352" t="s">
        <v>39</v>
      </c>
      <c r="F3352">
        <v>0</v>
      </c>
      <c r="G3352">
        <v>0</v>
      </c>
      <c r="H3352">
        <v>4</v>
      </c>
      <c r="I3352" s="3">
        <v>60.36</v>
      </c>
      <c r="J3352" s="3">
        <v>8.89</v>
      </c>
      <c r="L3352">
        <v>5444</v>
      </c>
      <c r="M3352" t="s">
        <v>246</v>
      </c>
      <c r="N3352" t="s">
        <v>30</v>
      </c>
      <c r="O3352" t="s">
        <v>31</v>
      </c>
      <c r="P3352" t="str">
        <f>"15217"</f>
        <v>15217</v>
      </c>
    </row>
    <row r="3353" spans="1:16" x14ac:dyDescent="0.25">
      <c r="A3353" t="str">
        <f>"1100050J00062    00"</f>
        <v>1100050J00062    00</v>
      </c>
      <c r="B3353" t="s">
        <v>8092</v>
      </c>
      <c r="C3353" t="s">
        <v>8093</v>
      </c>
      <c r="D3353" t="s">
        <v>20</v>
      </c>
      <c r="E3353" t="s">
        <v>21</v>
      </c>
      <c r="F3353">
        <v>0</v>
      </c>
      <c r="G3353">
        <v>0</v>
      </c>
      <c r="H3353">
        <v>4</v>
      </c>
      <c r="I3353" s="3">
        <v>28249.68</v>
      </c>
      <c r="J3353" s="3">
        <v>3337.08</v>
      </c>
      <c r="L3353">
        <v>5544</v>
      </c>
      <c r="M3353" t="s">
        <v>246</v>
      </c>
      <c r="N3353" t="s">
        <v>30</v>
      </c>
      <c r="O3353" t="s">
        <v>31</v>
      </c>
      <c r="P3353" t="str">
        <f>"15217"</f>
        <v>15217</v>
      </c>
    </row>
    <row r="3354" spans="1:16" x14ac:dyDescent="0.25">
      <c r="A3354" t="str">
        <f>"1100050J00072    00"</f>
        <v>1100050J00072    00</v>
      </c>
      <c r="B3354" t="s">
        <v>8092</v>
      </c>
      <c r="C3354" t="s">
        <v>8093</v>
      </c>
      <c r="D3354" t="s">
        <v>20</v>
      </c>
      <c r="E3354" t="s">
        <v>21</v>
      </c>
      <c r="F3354">
        <v>0</v>
      </c>
      <c r="G3354">
        <v>0</v>
      </c>
      <c r="H3354">
        <v>4</v>
      </c>
      <c r="I3354" s="3">
        <v>1609.92</v>
      </c>
      <c r="J3354" s="3">
        <v>190.18</v>
      </c>
      <c r="L3354">
        <v>5544</v>
      </c>
      <c r="M3354" t="s">
        <v>246</v>
      </c>
      <c r="N3354" t="s">
        <v>30</v>
      </c>
      <c r="O3354" t="s">
        <v>31</v>
      </c>
      <c r="P3354" t="str">
        <f>"15217"</f>
        <v>15217</v>
      </c>
    </row>
    <row r="3355" spans="1:16" x14ac:dyDescent="0.25">
      <c r="A3355" t="str">
        <f>"1100050J00073    00"</f>
        <v>1100050J00073    00</v>
      </c>
      <c r="B3355" t="s">
        <v>8092</v>
      </c>
      <c r="C3355" t="s">
        <v>8093</v>
      </c>
      <c r="D3355" t="s">
        <v>20</v>
      </c>
      <c r="E3355" t="s">
        <v>21</v>
      </c>
      <c r="F3355">
        <v>0</v>
      </c>
      <c r="G3355">
        <v>0</v>
      </c>
      <c r="H3355">
        <v>4</v>
      </c>
      <c r="I3355" s="3">
        <v>1587.17</v>
      </c>
      <c r="J3355" s="3">
        <v>187.49</v>
      </c>
      <c r="L3355">
        <v>5544</v>
      </c>
      <c r="M3355" t="s">
        <v>246</v>
      </c>
      <c r="N3355" t="s">
        <v>30</v>
      </c>
      <c r="O3355" t="s">
        <v>31</v>
      </c>
      <c r="P3355" t="str">
        <f>"15217"</f>
        <v>15217</v>
      </c>
    </row>
    <row r="3356" spans="1:16" x14ac:dyDescent="0.25">
      <c r="A3356" t="str">
        <f>"1100050K00006    00"</f>
        <v>1100050K00006    00</v>
      </c>
      <c r="B3356" t="s">
        <v>8094</v>
      </c>
      <c r="C3356" t="s">
        <v>7914</v>
      </c>
      <c r="D3356" t="s">
        <v>20</v>
      </c>
      <c r="E3356" t="s">
        <v>39</v>
      </c>
      <c r="F3356">
        <v>0</v>
      </c>
      <c r="G3356">
        <v>0</v>
      </c>
      <c r="H3356">
        <v>11</v>
      </c>
      <c r="I3356" s="3">
        <v>1254.93</v>
      </c>
      <c r="J3356" s="3">
        <v>609.15</v>
      </c>
      <c r="L3356">
        <v>5131</v>
      </c>
      <c r="M3356" t="s">
        <v>7908</v>
      </c>
      <c r="N3356" t="s">
        <v>30</v>
      </c>
      <c r="O3356" t="s">
        <v>31</v>
      </c>
      <c r="P3356" t="str">
        <f>"15224"</f>
        <v>15224</v>
      </c>
    </row>
    <row r="3357" spans="1:16" x14ac:dyDescent="0.25">
      <c r="A3357" t="str">
        <f>"1100050K00019B   00"</f>
        <v>1100050K00019B   00</v>
      </c>
      <c r="B3357" t="s">
        <v>8095</v>
      </c>
      <c r="C3357" t="s">
        <v>8096</v>
      </c>
      <c r="E3357" t="s">
        <v>39</v>
      </c>
      <c r="F3357">
        <v>0</v>
      </c>
      <c r="G3357">
        <v>0</v>
      </c>
      <c r="H3357">
        <v>3</v>
      </c>
      <c r="I3357" s="3">
        <v>22.57</v>
      </c>
      <c r="J3357" s="3">
        <v>4.53</v>
      </c>
      <c r="K3357" t="s">
        <v>8097</v>
      </c>
      <c r="L3357">
        <v>6725</v>
      </c>
      <c r="M3357" t="s">
        <v>8098</v>
      </c>
      <c r="N3357" t="s">
        <v>30</v>
      </c>
      <c r="O3357" t="s">
        <v>31</v>
      </c>
      <c r="P3357" t="str">
        <f>"15206"</f>
        <v>15206</v>
      </c>
    </row>
    <row r="3358" spans="1:16" x14ac:dyDescent="0.25">
      <c r="A3358" t="str">
        <f>"1100050K00022000200"</f>
        <v>1100050K00022000200</v>
      </c>
      <c r="B3358" t="s">
        <v>8099</v>
      </c>
      <c r="C3358" t="s">
        <v>8100</v>
      </c>
      <c r="D3358" t="s">
        <v>20</v>
      </c>
      <c r="E3358" t="s">
        <v>39</v>
      </c>
      <c r="F3358">
        <v>0</v>
      </c>
      <c r="G3358">
        <v>0</v>
      </c>
      <c r="H3358">
        <v>2</v>
      </c>
      <c r="I3358" s="3">
        <v>405.26</v>
      </c>
      <c r="J3358" s="3">
        <v>0</v>
      </c>
      <c r="L3358">
        <v>312</v>
      </c>
      <c r="M3358" t="s">
        <v>8101</v>
      </c>
      <c r="N3358" t="s">
        <v>30</v>
      </c>
      <c r="O3358" t="s">
        <v>31</v>
      </c>
      <c r="P3358" t="str">
        <f>"15224"</f>
        <v>15224</v>
      </c>
    </row>
    <row r="3359" spans="1:16" x14ac:dyDescent="0.25">
      <c r="A3359" t="str">
        <f>"1100050K00035    00"</f>
        <v>1100050K00035    00</v>
      </c>
      <c r="B3359" t="s">
        <v>8102</v>
      </c>
      <c r="C3359" t="s">
        <v>7914</v>
      </c>
      <c r="D3359" t="s">
        <v>20</v>
      </c>
      <c r="E3359" t="s">
        <v>39</v>
      </c>
      <c r="F3359">
        <v>0</v>
      </c>
      <c r="G3359">
        <v>0</v>
      </c>
      <c r="H3359">
        <v>2</v>
      </c>
      <c r="I3359" s="3">
        <v>240.18</v>
      </c>
      <c r="J3359" s="3">
        <v>0</v>
      </c>
      <c r="K3359" t="s">
        <v>8103</v>
      </c>
      <c r="L3359">
        <v>411</v>
      </c>
      <c r="M3359" t="s">
        <v>8104</v>
      </c>
      <c r="N3359" t="s">
        <v>30</v>
      </c>
      <c r="O3359" t="s">
        <v>31</v>
      </c>
      <c r="P3359" t="str">
        <f>"15219"</f>
        <v>15219</v>
      </c>
    </row>
    <row r="3360" spans="1:16" x14ac:dyDescent="0.25">
      <c r="A3360" t="str">
        <f>"1100050K00091    00"</f>
        <v>1100050K00091    00</v>
      </c>
      <c r="B3360" t="s">
        <v>4108</v>
      </c>
      <c r="C3360" t="s">
        <v>8105</v>
      </c>
      <c r="D3360" t="s">
        <v>20</v>
      </c>
      <c r="E3360" t="s">
        <v>39</v>
      </c>
      <c r="F3360">
        <v>0</v>
      </c>
      <c r="G3360">
        <v>0</v>
      </c>
      <c r="H3360">
        <v>2</v>
      </c>
      <c r="I3360" s="3">
        <v>1079.52</v>
      </c>
      <c r="J3360" s="3">
        <v>0</v>
      </c>
      <c r="L3360">
        <v>4735</v>
      </c>
      <c r="M3360" t="s">
        <v>841</v>
      </c>
      <c r="N3360" t="s">
        <v>30</v>
      </c>
      <c r="O3360" t="s">
        <v>31</v>
      </c>
      <c r="P3360" t="str">
        <f>"15201"</f>
        <v>15201</v>
      </c>
    </row>
    <row r="3361" spans="1:16" x14ac:dyDescent="0.25">
      <c r="A3361" t="str">
        <f>"1100050K00093    00"</f>
        <v>1100050K00093    00</v>
      </c>
      <c r="B3361" t="s">
        <v>8106</v>
      </c>
      <c r="C3361" t="s">
        <v>8107</v>
      </c>
      <c r="D3361" t="s">
        <v>20</v>
      </c>
      <c r="E3361" t="s">
        <v>39</v>
      </c>
      <c r="F3361">
        <v>0</v>
      </c>
      <c r="G3361">
        <v>0</v>
      </c>
      <c r="H3361">
        <v>14</v>
      </c>
      <c r="I3361" s="3">
        <v>7674.07</v>
      </c>
      <c r="J3361" s="3">
        <v>7683.87</v>
      </c>
      <c r="L3361">
        <v>4929</v>
      </c>
      <c r="M3361" t="s">
        <v>2901</v>
      </c>
      <c r="N3361" t="s">
        <v>30</v>
      </c>
      <c r="O3361" t="s">
        <v>31</v>
      </c>
      <c r="P3361" t="str">
        <f>"15224"</f>
        <v>15224</v>
      </c>
    </row>
    <row r="3362" spans="1:16" x14ac:dyDescent="0.25">
      <c r="A3362" t="str">
        <f>"1100050K00131    00"</f>
        <v>1100050K00131    00</v>
      </c>
      <c r="B3362" t="s">
        <v>7414</v>
      </c>
      <c r="C3362" t="s">
        <v>8108</v>
      </c>
      <c r="D3362" t="s">
        <v>20</v>
      </c>
      <c r="E3362" t="s">
        <v>39</v>
      </c>
      <c r="F3362">
        <v>0</v>
      </c>
      <c r="G3362">
        <v>0</v>
      </c>
      <c r="H3362">
        <v>19</v>
      </c>
      <c r="I3362" s="3">
        <v>20654.84</v>
      </c>
      <c r="J3362" s="3">
        <v>20958.29</v>
      </c>
      <c r="K3362" t="s">
        <v>7416</v>
      </c>
      <c r="L3362">
        <v>422</v>
      </c>
      <c r="M3362" t="s">
        <v>1352</v>
      </c>
      <c r="N3362" t="s">
        <v>1353</v>
      </c>
      <c r="O3362" t="s">
        <v>31</v>
      </c>
      <c r="P3362" t="str">
        <f>"15085"</f>
        <v>15085</v>
      </c>
    </row>
    <row r="3363" spans="1:16" x14ac:dyDescent="0.25">
      <c r="A3363" t="str">
        <f>"1100050K00133    00"</f>
        <v>1100050K00133    00</v>
      </c>
      <c r="B3363" t="s">
        <v>8109</v>
      </c>
      <c r="C3363" t="s">
        <v>8110</v>
      </c>
      <c r="E3363" t="s">
        <v>39</v>
      </c>
      <c r="F3363">
        <v>0</v>
      </c>
      <c r="G3363">
        <v>0</v>
      </c>
      <c r="H3363">
        <v>2</v>
      </c>
      <c r="I3363" s="3">
        <v>705.6</v>
      </c>
      <c r="J3363" s="3">
        <v>479.08</v>
      </c>
      <c r="L3363">
        <v>5133</v>
      </c>
      <c r="M3363" t="s">
        <v>2901</v>
      </c>
      <c r="N3363" t="s">
        <v>30</v>
      </c>
      <c r="O3363" t="s">
        <v>31</v>
      </c>
      <c r="P3363" t="str">
        <f>"15224"</f>
        <v>15224</v>
      </c>
    </row>
    <row r="3364" spans="1:16" x14ac:dyDescent="0.25">
      <c r="A3364" t="str">
        <f>"1100050K00185    00"</f>
        <v>1100050K00185    00</v>
      </c>
      <c r="B3364" t="s">
        <v>8111</v>
      </c>
      <c r="C3364" t="s">
        <v>8112</v>
      </c>
      <c r="D3364" t="s">
        <v>57</v>
      </c>
      <c r="E3364" t="s">
        <v>39</v>
      </c>
      <c r="F3364">
        <v>0</v>
      </c>
      <c r="G3364">
        <v>0</v>
      </c>
      <c r="H3364">
        <v>1</v>
      </c>
      <c r="I3364" s="3">
        <v>1503.12</v>
      </c>
      <c r="J3364" s="3">
        <v>0</v>
      </c>
      <c r="K3364" t="s">
        <v>759</v>
      </c>
      <c r="L3364">
        <v>3001</v>
      </c>
      <c r="M3364" t="s">
        <v>404</v>
      </c>
      <c r="N3364" t="s">
        <v>331</v>
      </c>
      <c r="O3364" t="s">
        <v>108</v>
      </c>
      <c r="P3364" t="str">
        <f>"75063"</f>
        <v>75063</v>
      </c>
    </row>
    <row r="3365" spans="1:16" x14ac:dyDescent="0.25">
      <c r="A3365" t="str">
        <f>"1100050K00197    00"</f>
        <v>1100050K00197    00</v>
      </c>
      <c r="B3365" t="s">
        <v>8113</v>
      </c>
      <c r="C3365" t="s">
        <v>8114</v>
      </c>
      <c r="E3365" t="s">
        <v>39</v>
      </c>
      <c r="F3365">
        <v>0</v>
      </c>
      <c r="G3365">
        <v>0</v>
      </c>
      <c r="H3365">
        <v>2</v>
      </c>
      <c r="I3365" s="3">
        <v>2405.27</v>
      </c>
      <c r="J3365" s="3">
        <v>1474.74</v>
      </c>
      <c r="K3365" t="s">
        <v>2106</v>
      </c>
      <c r="L3365">
        <v>6053</v>
      </c>
      <c r="M3365" t="s">
        <v>2107</v>
      </c>
      <c r="N3365" t="s">
        <v>2108</v>
      </c>
      <c r="O3365" t="s">
        <v>2109</v>
      </c>
      <c r="P3365" t="str">
        <f>"84107"</f>
        <v>84107</v>
      </c>
    </row>
    <row r="3366" spans="1:16" x14ac:dyDescent="0.25">
      <c r="A3366" t="str">
        <f>"1100050K00205    00"</f>
        <v>1100050K00205    00</v>
      </c>
      <c r="B3366" t="s">
        <v>8115</v>
      </c>
      <c r="C3366" t="s">
        <v>8116</v>
      </c>
      <c r="D3366" t="s">
        <v>20</v>
      </c>
      <c r="E3366" t="s">
        <v>39</v>
      </c>
      <c r="F3366">
        <v>0</v>
      </c>
      <c r="G3366">
        <v>0</v>
      </c>
      <c r="H3366">
        <v>1</v>
      </c>
      <c r="I3366" s="3">
        <v>991.12</v>
      </c>
      <c r="J3366" s="3">
        <v>0</v>
      </c>
      <c r="K3366" t="s">
        <v>8117</v>
      </c>
      <c r="L3366">
        <v>13640</v>
      </c>
      <c r="M3366" t="s">
        <v>8118</v>
      </c>
      <c r="N3366" t="s">
        <v>8119</v>
      </c>
      <c r="O3366" t="s">
        <v>70</v>
      </c>
      <c r="P3366" t="str">
        <f>"48195"</f>
        <v>48195</v>
      </c>
    </row>
    <row r="3367" spans="1:16" x14ac:dyDescent="0.25">
      <c r="A3367" t="str">
        <f>"1100050K00212    00"</f>
        <v>1100050K00212    00</v>
      </c>
      <c r="B3367" t="s">
        <v>8120</v>
      </c>
      <c r="C3367" t="s">
        <v>8121</v>
      </c>
      <c r="D3367" t="s">
        <v>20</v>
      </c>
      <c r="E3367" t="s">
        <v>39</v>
      </c>
      <c r="F3367">
        <v>0</v>
      </c>
      <c r="G3367">
        <v>0</v>
      </c>
      <c r="H3367">
        <v>5</v>
      </c>
      <c r="I3367" s="3">
        <v>762.78</v>
      </c>
      <c r="J3367" s="3">
        <v>136.77000000000001</v>
      </c>
      <c r="K3367" t="s">
        <v>8122</v>
      </c>
      <c r="L3367">
        <v>999</v>
      </c>
      <c r="M3367" t="s">
        <v>8123</v>
      </c>
      <c r="N3367" t="s">
        <v>8124</v>
      </c>
      <c r="O3367" t="s">
        <v>658</v>
      </c>
      <c r="P3367" t="str">
        <f>"73118"</f>
        <v>73118</v>
      </c>
    </row>
    <row r="3368" spans="1:16" x14ac:dyDescent="0.25">
      <c r="A3368" t="str">
        <f>"1100050K00224    00"</f>
        <v>1100050K00224    00</v>
      </c>
      <c r="B3368" t="s">
        <v>8125</v>
      </c>
      <c r="C3368" t="s">
        <v>8126</v>
      </c>
      <c r="E3368" t="s">
        <v>39</v>
      </c>
      <c r="F3368">
        <v>0</v>
      </c>
      <c r="G3368">
        <v>0</v>
      </c>
      <c r="H3368">
        <v>1</v>
      </c>
      <c r="I3368" s="3">
        <v>458.69</v>
      </c>
      <c r="J3368" s="3">
        <v>91.73</v>
      </c>
      <c r="L3368">
        <v>803</v>
      </c>
      <c r="M3368" t="s">
        <v>8127</v>
      </c>
      <c r="N3368" t="s">
        <v>4768</v>
      </c>
      <c r="O3368" t="s">
        <v>31</v>
      </c>
      <c r="P3368" t="str">
        <f>"15137"</f>
        <v>15137</v>
      </c>
    </row>
    <row r="3369" spans="1:16" x14ac:dyDescent="0.25">
      <c r="A3369" t="str">
        <f>"1100050K00227    00"</f>
        <v>1100050K00227    00</v>
      </c>
      <c r="B3369" t="s">
        <v>8128</v>
      </c>
      <c r="C3369" t="s">
        <v>8129</v>
      </c>
      <c r="D3369" t="s">
        <v>20</v>
      </c>
      <c r="E3369" t="s">
        <v>39</v>
      </c>
      <c r="F3369">
        <v>0</v>
      </c>
      <c r="G3369">
        <v>0</v>
      </c>
      <c r="H3369">
        <v>10</v>
      </c>
      <c r="I3369" s="3">
        <v>146.71</v>
      </c>
      <c r="J3369" s="3">
        <v>69.55</v>
      </c>
      <c r="K3369" t="s">
        <v>8130</v>
      </c>
      <c r="L3369">
        <v>50</v>
      </c>
      <c r="M3369" t="s">
        <v>8131</v>
      </c>
      <c r="N3369" t="s">
        <v>8132</v>
      </c>
      <c r="O3369" t="s">
        <v>1269</v>
      </c>
      <c r="P3369" t="str">
        <f>"06095"</f>
        <v>06095</v>
      </c>
    </row>
    <row r="3370" spans="1:16" x14ac:dyDescent="0.25">
      <c r="A3370" t="str">
        <f>"1100050K00243    00"</f>
        <v>1100050K00243    00</v>
      </c>
      <c r="B3370" t="s">
        <v>8133</v>
      </c>
      <c r="C3370" t="s">
        <v>8134</v>
      </c>
      <c r="D3370" t="s">
        <v>20</v>
      </c>
      <c r="E3370" t="s">
        <v>39</v>
      </c>
      <c r="F3370">
        <v>0</v>
      </c>
      <c r="G3370">
        <v>0</v>
      </c>
      <c r="H3370">
        <v>5</v>
      </c>
      <c r="I3370" s="3">
        <v>4044.53</v>
      </c>
      <c r="J3370" s="3">
        <v>603.83000000000004</v>
      </c>
      <c r="K3370" t="s">
        <v>8135</v>
      </c>
      <c r="L3370">
        <v>5123</v>
      </c>
      <c r="M3370" t="s">
        <v>8082</v>
      </c>
      <c r="N3370" t="s">
        <v>30</v>
      </c>
      <c r="O3370" t="s">
        <v>31</v>
      </c>
      <c r="P3370" t="str">
        <f>"15224"</f>
        <v>15224</v>
      </c>
    </row>
    <row r="3371" spans="1:16" x14ac:dyDescent="0.25">
      <c r="A3371" t="str">
        <f>"1100050K00257    00"</f>
        <v>1100050K00257    00</v>
      </c>
      <c r="B3371" t="s">
        <v>1997</v>
      </c>
      <c r="C3371" t="s">
        <v>8129</v>
      </c>
      <c r="E3371" t="s">
        <v>39</v>
      </c>
      <c r="F3371">
        <v>0</v>
      </c>
      <c r="G3371">
        <v>0</v>
      </c>
      <c r="H3371">
        <v>6</v>
      </c>
      <c r="I3371" s="3">
        <v>1408.57</v>
      </c>
      <c r="J3371" s="3">
        <v>1432.97</v>
      </c>
      <c r="L3371">
        <v>412</v>
      </c>
      <c r="M3371" t="s">
        <v>8136</v>
      </c>
      <c r="N3371" t="s">
        <v>30</v>
      </c>
      <c r="O3371" t="s">
        <v>31</v>
      </c>
      <c r="P3371" t="str">
        <f>"15219"</f>
        <v>15219</v>
      </c>
    </row>
    <row r="3372" spans="1:16" x14ac:dyDescent="0.25">
      <c r="A3372" t="str">
        <f>"1100050K00263    00"</f>
        <v>1100050K00263    00</v>
      </c>
      <c r="B3372" t="s">
        <v>8137</v>
      </c>
      <c r="C3372" t="s">
        <v>8138</v>
      </c>
      <c r="D3372" t="s">
        <v>20</v>
      </c>
      <c r="E3372" t="s">
        <v>39</v>
      </c>
      <c r="F3372">
        <v>0</v>
      </c>
      <c r="G3372">
        <v>0</v>
      </c>
      <c r="H3372">
        <v>2</v>
      </c>
      <c r="I3372" s="3">
        <v>133.44</v>
      </c>
      <c r="J3372" s="3">
        <v>0</v>
      </c>
      <c r="L3372">
        <v>5122</v>
      </c>
      <c r="M3372" t="s">
        <v>8082</v>
      </c>
      <c r="N3372" t="s">
        <v>30</v>
      </c>
      <c r="O3372" t="s">
        <v>31</v>
      </c>
      <c r="P3372" t="str">
        <f>"15224"</f>
        <v>15224</v>
      </c>
    </row>
    <row r="3373" spans="1:16" x14ac:dyDescent="0.25">
      <c r="A3373" t="str">
        <f>"1100050K00269    00"</f>
        <v>1100050K00269    00</v>
      </c>
      <c r="B3373" t="s">
        <v>8139</v>
      </c>
      <c r="C3373" t="s">
        <v>8140</v>
      </c>
      <c r="D3373" t="s">
        <v>20</v>
      </c>
      <c r="E3373" t="s">
        <v>39</v>
      </c>
      <c r="F3373">
        <v>0</v>
      </c>
      <c r="G3373">
        <v>0</v>
      </c>
      <c r="H3373">
        <v>1</v>
      </c>
      <c r="I3373" s="3">
        <v>330.22</v>
      </c>
      <c r="J3373" s="3">
        <v>0</v>
      </c>
      <c r="L3373">
        <v>5112</v>
      </c>
      <c r="M3373" t="s">
        <v>8082</v>
      </c>
      <c r="N3373" t="s">
        <v>30</v>
      </c>
      <c r="O3373" t="s">
        <v>31</v>
      </c>
      <c r="P3373" t="str">
        <f>"15224"</f>
        <v>15224</v>
      </c>
    </row>
    <row r="3374" spans="1:16" x14ac:dyDescent="0.25">
      <c r="A3374" t="str">
        <f>"1100050K00275    00"</f>
        <v>1100050K00275    00</v>
      </c>
      <c r="B3374" t="s">
        <v>8141</v>
      </c>
      <c r="C3374" t="s">
        <v>8142</v>
      </c>
      <c r="D3374" t="s">
        <v>20</v>
      </c>
      <c r="E3374" t="s">
        <v>39</v>
      </c>
      <c r="F3374">
        <v>0</v>
      </c>
      <c r="G3374">
        <v>0</v>
      </c>
      <c r="H3374">
        <v>5</v>
      </c>
      <c r="I3374" s="3">
        <v>4784.91</v>
      </c>
      <c r="J3374" s="3">
        <v>837.07</v>
      </c>
      <c r="L3374">
        <v>118</v>
      </c>
      <c r="M3374" t="s">
        <v>8101</v>
      </c>
      <c r="N3374" t="s">
        <v>30</v>
      </c>
      <c r="O3374" t="s">
        <v>31</v>
      </c>
      <c r="P3374" t="str">
        <f>"15224"</f>
        <v>15224</v>
      </c>
    </row>
    <row r="3375" spans="1:16" x14ac:dyDescent="0.25">
      <c r="A3375" t="str">
        <f>"1100050K00292    00"</f>
        <v>1100050K00292    00</v>
      </c>
      <c r="B3375" t="s">
        <v>8143</v>
      </c>
      <c r="C3375" t="s">
        <v>8144</v>
      </c>
      <c r="D3375" t="s">
        <v>20</v>
      </c>
      <c r="E3375" t="s">
        <v>39</v>
      </c>
      <c r="F3375">
        <v>0</v>
      </c>
      <c r="G3375">
        <v>0</v>
      </c>
      <c r="H3375">
        <v>1</v>
      </c>
      <c r="I3375" s="3">
        <v>1425.71</v>
      </c>
      <c r="J3375" s="3">
        <v>0</v>
      </c>
      <c r="L3375">
        <v>2382</v>
      </c>
      <c r="M3375" t="s">
        <v>8145</v>
      </c>
      <c r="N3375" t="s">
        <v>8146</v>
      </c>
      <c r="O3375" t="s">
        <v>495</v>
      </c>
      <c r="P3375" t="str">
        <f>"95966"</f>
        <v>95966</v>
      </c>
    </row>
    <row r="3376" spans="1:16" x14ac:dyDescent="0.25">
      <c r="A3376" t="str">
        <f>"1100050K00294    00"</f>
        <v>1100050K00294    00</v>
      </c>
      <c r="B3376" t="s">
        <v>8147</v>
      </c>
      <c r="C3376" t="s">
        <v>8148</v>
      </c>
      <c r="E3376" t="s">
        <v>39</v>
      </c>
      <c r="F3376">
        <v>0</v>
      </c>
      <c r="G3376">
        <v>0</v>
      </c>
      <c r="H3376">
        <v>3</v>
      </c>
      <c r="I3376" s="3">
        <v>1949.96</v>
      </c>
      <c r="J3376" s="3">
        <v>1329.69</v>
      </c>
      <c r="K3376" t="s">
        <v>8149</v>
      </c>
      <c r="M3376" t="s">
        <v>3313</v>
      </c>
      <c r="N3376" t="s">
        <v>30</v>
      </c>
      <c r="O3376" t="s">
        <v>31</v>
      </c>
      <c r="P3376" t="str">
        <f>"15230"</f>
        <v>15230</v>
      </c>
    </row>
    <row r="3377" spans="1:16" x14ac:dyDescent="0.25">
      <c r="A3377" t="str">
        <f>"1100050K00295    00"</f>
        <v>1100050K00295    00</v>
      </c>
      <c r="B3377" t="s">
        <v>8150</v>
      </c>
      <c r="C3377" t="s">
        <v>8151</v>
      </c>
      <c r="D3377" t="s">
        <v>20</v>
      </c>
      <c r="E3377" t="s">
        <v>39</v>
      </c>
      <c r="F3377">
        <v>0</v>
      </c>
      <c r="G3377">
        <v>0</v>
      </c>
      <c r="H3377">
        <v>2</v>
      </c>
      <c r="I3377" s="3">
        <v>1194.28</v>
      </c>
      <c r="J3377" s="3">
        <v>233.72</v>
      </c>
      <c r="L3377">
        <v>4924</v>
      </c>
      <c r="M3377" t="s">
        <v>8082</v>
      </c>
      <c r="N3377" t="s">
        <v>30</v>
      </c>
      <c r="O3377" t="s">
        <v>31</v>
      </c>
      <c r="P3377" t="str">
        <f>"15224"</f>
        <v>15224</v>
      </c>
    </row>
    <row r="3378" spans="1:16" x14ac:dyDescent="0.25">
      <c r="A3378" t="str">
        <f>"1100050K00299    00"</f>
        <v>1100050K00299    00</v>
      </c>
      <c r="B3378" t="s">
        <v>8152</v>
      </c>
      <c r="C3378" t="s">
        <v>8129</v>
      </c>
      <c r="D3378" t="s">
        <v>20</v>
      </c>
      <c r="E3378" t="s">
        <v>39</v>
      </c>
      <c r="F3378">
        <v>0</v>
      </c>
      <c r="G3378">
        <v>0</v>
      </c>
      <c r="H3378">
        <v>3</v>
      </c>
      <c r="I3378" s="3">
        <v>45.75</v>
      </c>
      <c r="J3378" s="3">
        <v>3.05</v>
      </c>
      <c r="L3378">
        <v>4914</v>
      </c>
      <c r="M3378" t="s">
        <v>8082</v>
      </c>
      <c r="N3378" t="s">
        <v>30</v>
      </c>
      <c r="O3378" t="s">
        <v>31</v>
      </c>
      <c r="P3378" t="str">
        <f>"15224"</f>
        <v>15224</v>
      </c>
    </row>
    <row r="3379" spans="1:16" x14ac:dyDescent="0.25">
      <c r="A3379" t="str">
        <f>"1100050K00302    00"</f>
        <v>1100050K00302    00</v>
      </c>
      <c r="B3379" t="s">
        <v>8153</v>
      </c>
      <c r="C3379" t="s">
        <v>8154</v>
      </c>
      <c r="E3379" t="s">
        <v>39</v>
      </c>
      <c r="F3379">
        <v>0</v>
      </c>
      <c r="G3379">
        <v>0</v>
      </c>
      <c r="H3379">
        <v>1</v>
      </c>
      <c r="I3379" s="3">
        <v>576.04999999999995</v>
      </c>
      <c r="J3379" s="3">
        <v>0</v>
      </c>
      <c r="K3379" t="s">
        <v>8155</v>
      </c>
      <c r="L3379">
        <v>5217</v>
      </c>
      <c r="M3379" t="s">
        <v>8156</v>
      </c>
      <c r="N3379" t="s">
        <v>30</v>
      </c>
      <c r="O3379" t="s">
        <v>31</v>
      </c>
      <c r="P3379" t="str">
        <f>"15224"</f>
        <v>15224</v>
      </c>
    </row>
    <row r="3380" spans="1:16" x14ac:dyDescent="0.25">
      <c r="A3380" t="str">
        <f>"1100050K00308000600"</f>
        <v>1100050K00308000600</v>
      </c>
      <c r="B3380" t="s">
        <v>3191</v>
      </c>
      <c r="C3380" t="s">
        <v>8157</v>
      </c>
      <c r="D3380" t="s">
        <v>20</v>
      </c>
      <c r="E3380" t="s">
        <v>39</v>
      </c>
      <c r="F3380">
        <v>0</v>
      </c>
      <c r="G3380">
        <v>0</v>
      </c>
      <c r="H3380">
        <v>4</v>
      </c>
      <c r="I3380" s="3">
        <v>1308.1099999999999</v>
      </c>
      <c r="J3380" s="3">
        <v>447.37</v>
      </c>
      <c r="L3380">
        <v>110</v>
      </c>
      <c r="M3380" t="s">
        <v>3192</v>
      </c>
      <c r="N3380" t="s">
        <v>30</v>
      </c>
      <c r="O3380" t="s">
        <v>31</v>
      </c>
      <c r="P3380" t="str">
        <f>"15224"</f>
        <v>15224</v>
      </c>
    </row>
    <row r="3381" spans="1:16" x14ac:dyDescent="0.25">
      <c r="A3381" t="str">
        <f>"1100050K00313    00"</f>
        <v>1100050K00313    00</v>
      </c>
      <c r="B3381" t="s">
        <v>8158</v>
      </c>
      <c r="C3381" t="s">
        <v>8159</v>
      </c>
      <c r="E3381" t="s">
        <v>21</v>
      </c>
      <c r="F3381">
        <v>0</v>
      </c>
      <c r="G3381">
        <v>0</v>
      </c>
      <c r="H3381">
        <v>2</v>
      </c>
      <c r="I3381" s="3">
        <v>1188.19</v>
      </c>
      <c r="J3381" s="3">
        <v>5.03</v>
      </c>
      <c r="L3381">
        <v>207</v>
      </c>
      <c r="M3381" t="s">
        <v>8160</v>
      </c>
      <c r="N3381" t="s">
        <v>30</v>
      </c>
      <c r="O3381" t="s">
        <v>31</v>
      </c>
      <c r="P3381" t="str">
        <f>"15215"</f>
        <v>15215</v>
      </c>
    </row>
    <row r="3382" spans="1:16" x14ac:dyDescent="0.25">
      <c r="A3382" t="str">
        <f>"1100050K00321    00"</f>
        <v>1100050K00321    00</v>
      </c>
      <c r="B3382" t="s">
        <v>8161</v>
      </c>
      <c r="C3382" t="s">
        <v>8162</v>
      </c>
      <c r="D3382" t="s">
        <v>20</v>
      </c>
      <c r="E3382" t="s">
        <v>21</v>
      </c>
      <c r="F3382">
        <v>0</v>
      </c>
      <c r="G3382">
        <v>0</v>
      </c>
      <c r="H3382">
        <v>7</v>
      </c>
      <c r="I3382" s="3">
        <v>22511.31</v>
      </c>
      <c r="J3382" s="3">
        <v>6225.08</v>
      </c>
      <c r="L3382">
        <v>4916</v>
      </c>
      <c r="M3382" t="s">
        <v>2901</v>
      </c>
      <c r="N3382" t="s">
        <v>30</v>
      </c>
      <c r="O3382" t="s">
        <v>31</v>
      </c>
      <c r="P3382" t="str">
        <f t="shared" ref="P3382:P3392" si="41">"15224"</f>
        <v>15224</v>
      </c>
    </row>
    <row r="3383" spans="1:16" x14ac:dyDescent="0.25">
      <c r="A3383" t="str">
        <f>"1100050K00329    00"</f>
        <v>1100050K00329    00</v>
      </c>
      <c r="B3383" t="s">
        <v>8163</v>
      </c>
      <c r="C3383" t="s">
        <v>8164</v>
      </c>
      <c r="D3383" t="s">
        <v>20</v>
      </c>
      <c r="E3383" t="s">
        <v>21</v>
      </c>
      <c r="F3383">
        <v>0</v>
      </c>
      <c r="G3383">
        <v>0</v>
      </c>
      <c r="H3383">
        <v>5</v>
      </c>
      <c r="I3383" s="3">
        <v>8327.26</v>
      </c>
      <c r="J3383" s="3">
        <v>1438.64</v>
      </c>
      <c r="K3383" t="s">
        <v>8165</v>
      </c>
      <c r="L3383">
        <v>5003</v>
      </c>
      <c r="M3383" t="s">
        <v>585</v>
      </c>
      <c r="N3383" t="s">
        <v>30</v>
      </c>
      <c r="O3383" t="s">
        <v>31</v>
      </c>
      <c r="P3383" t="str">
        <f t="shared" si="41"/>
        <v>15224</v>
      </c>
    </row>
    <row r="3384" spans="1:16" x14ac:dyDescent="0.25">
      <c r="A3384" t="str">
        <f>"1100050K00351    00"</f>
        <v>1100050K00351    00</v>
      </c>
      <c r="B3384" t="s">
        <v>8166</v>
      </c>
      <c r="C3384" t="s">
        <v>8167</v>
      </c>
      <c r="D3384" t="s">
        <v>20</v>
      </c>
      <c r="E3384" t="s">
        <v>21</v>
      </c>
      <c r="F3384">
        <v>0</v>
      </c>
      <c r="G3384">
        <v>0</v>
      </c>
      <c r="H3384">
        <v>1</v>
      </c>
      <c r="I3384" s="3">
        <v>3781.5</v>
      </c>
      <c r="J3384" s="3">
        <v>0</v>
      </c>
      <c r="L3384">
        <v>5115</v>
      </c>
      <c r="M3384" t="s">
        <v>585</v>
      </c>
      <c r="N3384" t="s">
        <v>30</v>
      </c>
      <c r="O3384" t="s">
        <v>31</v>
      </c>
      <c r="P3384" t="str">
        <f t="shared" si="41"/>
        <v>15224</v>
      </c>
    </row>
    <row r="3385" spans="1:16" x14ac:dyDescent="0.25">
      <c r="A3385" t="str">
        <f>"1100050K00362    00"</f>
        <v>1100050K00362    00</v>
      </c>
      <c r="B3385" t="s">
        <v>8168</v>
      </c>
      <c r="C3385" t="s">
        <v>8169</v>
      </c>
      <c r="D3385" t="s">
        <v>20</v>
      </c>
      <c r="E3385" t="s">
        <v>21</v>
      </c>
      <c r="F3385">
        <v>0</v>
      </c>
      <c r="G3385">
        <v>0</v>
      </c>
      <c r="H3385">
        <v>1</v>
      </c>
      <c r="I3385" s="3">
        <v>1174.0999999999999</v>
      </c>
      <c r="J3385" s="3">
        <v>0</v>
      </c>
      <c r="L3385">
        <v>5145</v>
      </c>
      <c r="M3385" t="s">
        <v>585</v>
      </c>
      <c r="N3385" t="s">
        <v>30</v>
      </c>
      <c r="O3385" t="s">
        <v>31</v>
      </c>
      <c r="P3385" t="str">
        <f t="shared" si="41"/>
        <v>15224</v>
      </c>
    </row>
    <row r="3386" spans="1:16" x14ac:dyDescent="0.25">
      <c r="A3386" t="str">
        <f>"1100050L00022D   00"</f>
        <v>1100050L00022D   00</v>
      </c>
      <c r="B3386" t="s">
        <v>8170</v>
      </c>
      <c r="C3386" t="s">
        <v>7960</v>
      </c>
      <c r="E3386" t="s">
        <v>39</v>
      </c>
      <c r="F3386">
        <v>0</v>
      </c>
      <c r="G3386">
        <v>0</v>
      </c>
      <c r="H3386">
        <v>1</v>
      </c>
      <c r="I3386" s="3">
        <v>276.63</v>
      </c>
      <c r="J3386" s="3">
        <v>0</v>
      </c>
      <c r="K3386" t="s">
        <v>8003</v>
      </c>
      <c r="L3386">
        <v>5325</v>
      </c>
      <c r="M3386" t="s">
        <v>585</v>
      </c>
      <c r="N3386" t="s">
        <v>30</v>
      </c>
      <c r="O3386" t="s">
        <v>31</v>
      </c>
      <c r="P3386" t="str">
        <f t="shared" si="41"/>
        <v>15224</v>
      </c>
    </row>
    <row r="3387" spans="1:16" x14ac:dyDescent="0.25">
      <c r="A3387" t="str">
        <f>"1100050L00022G   00"</f>
        <v>1100050L00022G   00</v>
      </c>
      <c r="B3387" t="s">
        <v>8171</v>
      </c>
      <c r="C3387" t="s">
        <v>8172</v>
      </c>
      <c r="D3387" t="s">
        <v>20</v>
      </c>
      <c r="E3387" t="s">
        <v>39</v>
      </c>
      <c r="F3387">
        <v>0</v>
      </c>
      <c r="G3387">
        <v>0</v>
      </c>
      <c r="H3387">
        <v>2</v>
      </c>
      <c r="I3387" s="3">
        <v>454.62</v>
      </c>
      <c r="J3387" s="3">
        <v>0</v>
      </c>
      <c r="L3387">
        <v>5320</v>
      </c>
      <c r="M3387" t="s">
        <v>7962</v>
      </c>
      <c r="N3387" t="s">
        <v>30</v>
      </c>
      <c r="O3387" t="s">
        <v>31</v>
      </c>
      <c r="P3387" t="str">
        <f t="shared" si="41"/>
        <v>15224</v>
      </c>
    </row>
    <row r="3388" spans="1:16" x14ac:dyDescent="0.25">
      <c r="A3388" t="str">
        <f>"1100050L00022H   00"</f>
        <v>1100050L00022H   00</v>
      </c>
      <c r="B3388" t="s">
        <v>8170</v>
      </c>
      <c r="C3388" t="s">
        <v>7960</v>
      </c>
      <c r="D3388" t="s">
        <v>57</v>
      </c>
      <c r="E3388" t="s">
        <v>39</v>
      </c>
      <c r="F3388">
        <v>0</v>
      </c>
      <c r="G3388">
        <v>0</v>
      </c>
      <c r="H3388">
        <v>1</v>
      </c>
      <c r="I3388" s="3">
        <v>106.61</v>
      </c>
      <c r="J3388" s="3">
        <v>0</v>
      </c>
      <c r="K3388" t="s">
        <v>8003</v>
      </c>
      <c r="L3388">
        <v>5325</v>
      </c>
      <c r="M3388" t="s">
        <v>585</v>
      </c>
      <c r="N3388" t="s">
        <v>30</v>
      </c>
      <c r="O3388" t="s">
        <v>31</v>
      </c>
      <c r="P3388" t="str">
        <f t="shared" si="41"/>
        <v>15224</v>
      </c>
    </row>
    <row r="3389" spans="1:16" x14ac:dyDescent="0.25">
      <c r="A3389" t="str">
        <f>"1100050L00023    00"</f>
        <v>1100050L00023    00</v>
      </c>
      <c r="B3389" t="s">
        <v>8173</v>
      </c>
      <c r="C3389" t="s">
        <v>8174</v>
      </c>
      <c r="D3389" t="s">
        <v>20</v>
      </c>
      <c r="E3389" t="s">
        <v>39</v>
      </c>
      <c r="F3389">
        <v>0</v>
      </c>
      <c r="G3389">
        <v>0</v>
      </c>
      <c r="H3389">
        <v>3</v>
      </c>
      <c r="I3389" s="3">
        <v>509.21</v>
      </c>
      <c r="J3389" s="3">
        <v>31.01</v>
      </c>
      <c r="L3389">
        <v>5325</v>
      </c>
      <c r="M3389" t="s">
        <v>7945</v>
      </c>
      <c r="N3389" t="s">
        <v>30</v>
      </c>
      <c r="O3389" t="s">
        <v>31</v>
      </c>
      <c r="P3389" t="str">
        <f t="shared" si="41"/>
        <v>15224</v>
      </c>
    </row>
    <row r="3390" spans="1:16" x14ac:dyDescent="0.25">
      <c r="A3390" t="str">
        <f>"1100050L00023A   00"</f>
        <v>1100050L00023A   00</v>
      </c>
      <c r="B3390" t="s">
        <v>8175</v>
      </c>
      <c r="C3390" t="s">
        <v>8176</v>
      </c>
      <c r="E3390" t="s">
        <v>39</v>
      </c>
      <c r="F3390">
        <v>0</v>
      </c>
      <c r="G3390">
        <v>0</v>
      </c>
      <c r="H3390">
        <v>5</v>
      </c>
      <c r="I3390" s="3">
        <v>3312.79</v>
      </c>
      <c r="J3390" s="3">
        <v>895.85</v>
      </c>
      <c r="L3390">
        <v>5323</v>
      </c>
      <c r="M3390" t="s">
        <v>7945</v>
      </c>
      <c r="N3390" t="s">
        <v>30</v>
      </c>
      <c r="O3390" t="s">
        <v>31</v>
      </c>
      <c r="P3390" t="str">
        <f t="shared" si="41"/>
        <v>15224</v>
      </c>
    </row>
    <row r="3391" spans="1:16" x14ac:dyDescent="0.25">
      <c r="A3391" t="str">
        <f>"1100050L00025C   00"</f>
        <v>1100050L00025C   00</v>
      </c>
      <c r="B3391" t="s">
        <v>8001</v>
      </c>
      <c r="C3391" t="s">
        <v>8177</v>
      </c>
      <c r="D3391" t="s">
        <v>57</v>
      </c>
      <c r="E3391" t="s">
        <v>39</v>
      </c>
      <c r="F3391">
        <v>0</v>
      </c>
      <c r="G3391">
        <v>0</v>
      </c>
      <c r="H3391">
        <v>1</v>
      </c>
      <c r="I3391" s="3">
        <v>147.13</v>
      </c>
      <c r="J3391" s="3">
        <v>0</v>
      </c>
      <c r="K3391" t="s">
        <v>8003</v>
      </c>
      <c r="L3391">
        <v>5325</v>
      </c>
      <c r="M3391" t="s">
        <v>585</v>
      </c>
      <c r="N3391" t="s">
        <v>30</v>
      </c>
      <c r="O3391" t="s">
        <v>31</v>
      </c>
      <c r="P3391" t="str">
        <f t="shared" si="41"/>
        <v>15224</v>
      </c>
    </row>
    <row r="3392" spans="1:16" x14ac:dyDescent="0.25">
      <c r="A3392" t="str">
        <f>"1100050L00025D   00"</f>
        <v>1100050L00025D   00</v>
      </c>
      <c r="B3392" t="s">
        <v>8001</v>
      </c>
      <c r="C3392" t="s">
        <v>8178</v>
      </c>
      <c r="E3392" t="s">
        <v>39</v>
      </c>
      <c r="F3392">
        <v>0</v>
      </c>
      <c r="G3392">
        <v>0</v>
      </c>
      <c r="H3392">
        <v>1</v>
      </c>
      <c r="I3392" s="3">
        <v>183.24</v>
      </c>
      <c r="J3392" s="3">
        <v>0</v>
      </c>
      <c r="K3392" t="s">
        <v>8003</v>
      </c>
      <c r="L3392">
        <v>5325</v>
      </c>
      <c r="M3392" t="s">
        <v>585</v>
      </c>
      <c r="N3392" t="s">
        <v>30</v>
      </c>
      <c r="O3392" t="s">
        <v>31</v>
      </c>
      <c r="P3392" t="str">
        <f t="shared" si="41"/>
        <v>15224</v>
      </c>
    </row>
    <row r="3393" spans="1:16" x14ac:dyDescent="0.25">
      <c r="A3393" t="str">
        <f>"1100050L00031    00"</f>
        <v>1100050L00031    00</v>
      </c>
      <c r="B3393" t="s">
        <v>8179</v>
      </c>
      <c r="C3393" t="s">
        <v>7914</v>
      </c>
      <c r="D3393" t="s">
        <v>20</v>
      </c>
      <c r="E3393" t="s">
        <v>39</v>
      </c>
      <c r="F3393">
        <v>0</v>
      </c>
      <c r="G3393">
        <v>0</v>
      </c>
      <c r="H3393">
        <v>16</v>
      </c>
      <c r="I3393" s="3">
        <v>451.5</v>
      </c>
      <c r="J3393" s="3">
        <v>579.55999999999995</v>
      </c>
      <c r="L3393">
        <v>100</v>
      </c>
      <c r="M3393" t="s">
        <v>8180</v>
      </c>
      <c r="N3393" t="s">
        <v>8181</v>
      </c>
      <c r="O3393" t="s">
        <v>31</v>
      </c>
      <c r="P3393" t="str">
        <f>"15110"</f>
        <v>15110</v>
      </c>
    </row>
    <row r="3394" spans="1:16" x14ac:dyDescent="0.25">
      <c r="A3394" t="str">
        <f>"1100050L00032    00"</f>
        <v>1100050L00032    00</v>
      </c>
      <c r="B3394" t="s">
        <v>8182</v>
      </c>
      <c r="C3394" t="s">
        <v>8183</v>
      </c>
      <c r="D3394" t="s">
        <v>20</v>
      </c>
      <c r="E3394" t="s">
        <v>39</v>
      </c>
      <c r="F3394">
        <v>0</v>
      </c>
      <c r="G3394">
        <v>0</v>
      </c>
      <c r="H3394">
        <v>3</v>
      </c>
      <c r="I3394" s="3">
        <v>989.27</v>
      </c>
      <c r="J3394" s="3">
        <v>77.260000000000005</v>
      </c>
      <c r="L3394">
        <v>5313</v>
      </c>
      <c r="M3394" t="s">
        <v>7908</v>
      </c>
      <c r="N3394" t="s">
        <v>30</v>
      </c>
      <c r="O3394" t="s">
        <v>31</v>
      </c>
      <c r="P3394" t="str">
        <f>"15224"</f>
        <v>15224</v>
      </c>
    </row>
    <row r="3395" spans="1:16" x14ac:dyDescent="0.25">
      <c r="A3395" t="str">
        <f>"1100050L00034A   00"</f>
        <v>1100050L00034A   00</v>
      </c>
      <c r="B3395" t="s">
        <v>8170</v>
      </c>
      <c r="C3395" t="s">
        <v>8184</v>
      </c>
      <c r="E3395" t="s">
        <v>39</v>
      </c>
      <c r="F3395">
        <v>0</v>
      </c>
      <c r="G3395">
        <v>0</v>
      </c>
      <c r="H3395">
        <v>1</v>
      </c>
      <c r="I3395" s="3">
        <v>296.91000000000003</v>
      </c>
      <c r="J3395" s="3">
        <v>0</v>
      </c>
      <c r="K3395" t="s">
        <v>8003</v>
      </c>
      <c r="L3395">
        <v>5325</v>
      </c>
      <c r="M3395" t="s">
        <v>585</v>
      </c>
      <c r="N3395" t="s">
        <v>30</v>
      </c>
      <c r="O3395" t="s">
        <v>31</v>
      </c>
      <c r="P3395" t="str">
        <f>"15224"</f>
        <v>15224</v>
      </c>
    </row>
    <row r="3396" spans="1:16" x14ac:dyDescent="0.25">
      <c r="A3396" t="str">
        <f>"1100050L00034B   00"</f>
        <v>1100050L00034B   00</v>
      </c>
      <c r="B3396" t="s">
        <v>8185</v>
      </c>
      <c r="C3396" t="s">
        <v>8186</v>
      </c>
      <c r="E3396" t="s">
        <v>39</v>
      </c>
      <c r="F3396">
        <v>0</v>
      </c>
      <c r="G3396">
        <v>0</v>
      </c>
      <c r="H3396">
        <v>1</v>
      </c>
      <c r="I3396" s="3">
        <v>209.1</v>
      </c>
      <c r="J3396" s="3">
        <v>83.64</v>
      </c>
      <c r="L3396">
        <v>1601</v>
      </c>
      <c r="M3396" t="s">
        <v>8187</v>
      </c>
      <c r="N3396" t="s">
        <v>238</v>
      </c>
      <c r="O3396" t="s">
        <v>31</v>
      </c>
      <c r="P3396" t="str">
        <f>"15131"</f>
        <v>15131</v>
      </c>
    </row>
    <row r="3397" spans="1:16" x14ac:dyDescent="0.25">
      <c r="A3397" t="str">
        <f>"1100050L00034C   00"</f>
        <v>1100050L00034C   00</v>
      </c>
      <c r="B3397" t="s">
        <v>8188</v>
      </c>
      <c r="C3397" t="s">
        <v>8189</v>
      </c>
      <c r="D3397" t="s">
        <v>20</v>
      </c>
      <c r="E3397" t="s">
        <v>39</v>
      </c>
      <c r="F3397">
        <v>0</v>
      </c>
      <c r="G3397">
        <v>0</v>
      </c>
      <c r="H3397">
        <v>19</v>
      </c>
      <c r="I3397" s="3">
        <v>9742.5</v>
      </c>
      <c r="J3397" s="3">
        <v>9221.33</v>
      </c>
      <c r="L3397">
        <v>5310</v>
      </c>
      <c r="M3397" t="s">
        <v>7945</v>
      </c>
      <c r="N3397" t="s">
        <v>30</v>
      </c>
      <c r="O3397" t="s">
        <v>31</v>
      </c>
      <c r="P3397" t="str">
        <f>"15224"</f>
        <v>15224</v>
      </c>
    </row>
    <row r="3398" spans="1:16" x14ac:dyDescent="0.25">
      <c r="A3398" t="str">
        <f>"1100050L00034K   00"</f>
        <v>1100050L00034K   00</v>
      </c>
      <c r="B3398" t="s">
        <v>8170</v>
      </c>
      <c r="C3398" t="s">
        <v>7914</v>
      </c>
      <c r="E3398" t="s">
        <v>39</v>
      </c>
      <c r="F3398">
        <v>0</v>
      </c>
      <c r="G3398">
        <v>0</v>
      </c>
      <c r="H3398">
        <v>1</v>
      </c>
      <c r="I3398" s="3">
        <v>34.36</v>
      </c>
      <c r="J3398" s="3">
        <v>0</v>
      </c>
      <c r="K3398" t="s">
        <v>8003</v>
      </c>
      <c r="L3398">
        <v>5325</v>
      </c>
      <c r="M3398" t="s">
        <v>585</v>
      </c>
      <c r="N3398" t="s">
        <v>30</v>
      </c>
      <c r="O3398" t="s">
        <v>31</v>
      </c>
      <c r="P3398" t="str">
        <f>"15224"</f>
        <v>15224</v>
      </c>
    </row>
    <row r="3399" spans="1:16" x14ac:dyDescent="0.25">
      <c r="A3399" t="str">
        <f>"1100050L00035    00"</f>
        <v>1100050L00035    00</v>
      </c>
      <c r="B3399" t="s">
        <v>8190</v>
      </c>
      <c r="C3399" t="s">
        <v>8191</v>
      </c>
      <c r="E3399" t="s">
        <v>39</v>
      </c>
      <c r="F3399">
        <v>0</v>
      </c>
      <c r="G3399">
        <v>0</v>
      </c>
      <c r="H3399">
        <v>1</v>
      </c>
      <c r="I3399" s="3">
        <v>1502.69</v>
      </c>
      <c r="J3399" s="3">
        <v>413.23</v>
      </c>
      <c r="L3399">
        <v>129</v>
      </c>
      <c r="M3399" t="s">
        <v>3378</v>
      </c>
      <c r="N3399" t="s">
        <v>30</v>
      </c>
      <c r="O3399" t="s">
        <v>31</v>
      </c>
      <c r="P3399" t="str">
        <f>"15215"</f>
        <v>15215</v>
      </c>
    </row>
    <row r="3400" spans="1:16" x14ac:dyDescent="0.25">
      <c r="A3400" t="str">
        <f>"1100050L00038    00"</f>
        <v>1100050L00038    00</v>
      </c>
      <c r="B3400" t="s">
        <v>8192</v>
      </c>
      <c r="C3400" t="s">
        <v>8193</v>
      </c>
      <c r="D3400" t="s">
        <v>20</v>
      </c>
      <c r="E3400" t="s">
        <v>39</v>
      </c>
      <c r="F3400">
        <v>0</v>
      </c>
      <c r="G3400">
        <v>0</v>
      </c>
      <c r="H3400">
        <v>1</v>
      </c>
      <c r="I3400" s="3">
        <v>1671.57</v>
      </c>
      <c r="J3400" s="3">
        <v>0</v>
      </c>
      <c r="L3400">
        <v>300</v>
      </c>
      <c r="M3400" t="s">
        <v>7879</v>
      </c>
      <c r="N3400" t="s">
        <v>30</v>
      </c>
      <c r="O3400" t="s">
        <v>31</v>
      </c>
      <c r="P3400" t="str">
        <f>"15224"</f>
        <v>15224</v>
      </c>
    </row>
    <row r="3401" spans="1:16" x14ac:dyDescent="0.25">
      <c r="A3401" t="str">
        <f>"1100050L00050    00"</f>
        <v>1100050L00050    00</v>
      </c>
      <c r="B3401" t="s">
        <v>8194</v>
      </c>
      <c r="C3401" t="s">
        <v>8195</v>
      </c>
      <c r="D3401" t="s">
        <v>20</v>
      </c>
      <c r="E3401" t="s">
        <v>39</v>
      </c>
      <c r="F3401">
        <v>0</v>
      </c>
      <c r="G3401">
        <v>0</v>
      </c>
      <c r="H3401">
        <v>2</v>
      </c>
      <c r="I3401" s="3">
        <v>526.1</v>
      </c>
      <c r="J3401" s="3">
        <v>0</v>
      </c>
      <c r="L3401">
        <v>870</v>
      </c>
      <c r="M3401" t="s">
        <v>8196</v>
      </c>
      <c r="N3401" t="s">
        <v>30</v>
      </c>
      <c r="O3401" t="s">
        <v>31</v>
      </c>
      <c r="P3401" t="str">
        <f>"15238"</f>
        <v>15238</v>
      </c>
    </row>
    <row r="3402" spans="1:16" x14ac:dyDescent="0.25">
      <c r="A3402" t="str">
        <f>"1100050L00051    00"</f>
        <v>1100050L00051    00</v>
      </c>
      <c r="B3402" t="s">
        <v>8197</v>
      </c>
      <c r="C3402" t="s">
        <v>8198</v>
      </c>
      <c r="D3402" t="s">
        <v>20</v>
      </c>
      <c r="E3402" t="s">
        <v>39</v>
      </c>
      <c r="F3402">
        <v>0</v>
      </c>
      <c r="G3402">
        <v>0</v>
      </c>
      <c r="H3402">
        <v>2</v>
      </c>
      <c r="I3402" s="3">
        <v>953</v>
      </c>
      <c r="J3402" s="3">
        <v>0</v>
      </c>
      <c r="K3402" t="s">
        <v>8103</v>
      </c>
      <c r="L3402">
        <v>411</v>
      </c>
      <c r="M3402" t="s">
        <v>8104</v>
      </c>
      <c r="N3402" t="s">
        <v>30</v>
      </c>
      <c r="O3402" t="s">
        <v>31</v>
      </c>
      <c r="P3402" t="str">
        <f t="shared" ref="P3402:P3407" si="42">"15219"</f>
        <v>15219</v>
      </c>
    </row>
    <row r="3403" spans="1:16" x14ac:dyDescent="0.25">
      <c r="A3403" t="str">
        <f>"1100050L00053    00"</f>
        <v>1100050L00053    00</v>
      </c>
      <c r="B3403" t="s">
        <v>8197</v>
      </c>
      <c r="C3403" t="s">
        <v>8199</v>
      </c>
      <c r="D3403" t="s">
        <v>20</v>
      </c>
      <c r="E3403" t="s">
        <v>39</v>
      </c>
      <c r="F3403">
        <v>0</v>
      </c>
      <c r="G3403">
        <v>0</v>
      </c>
      <c r="H3403">
        <v>2</v>
      </c>
      <c r="I3403" s="3">
        <v>1971.78</v>
      </c>
      <c r="J3403" s="3">
        <v>0</v>
      </c>
      <c r="K3403" t="s">
        <v>8103</v>
      </c>
      <c r="L3403">
        <v>411</v>
      </c>
      <c r="M3403" t="s">
        <v>8104</v>
      </c>
      <c r="N3403" t="s">
        <v>30</v>
      </c>
      <c r="O3403" t="s">
        <v>31</v>
      </c>
      <c r="P3403" t="str">
        <f t="shared" si="42"/>
        <v>15219</v>
      </c>
    </row>
    <row r="3404" spans="1:16" x14ac:dyDescent="0.25">
      <c r="A3404" t="str">
        <f>"1100050L00054    00"</f>
        <v>1100050L00054    00</v>
      </c>
      <c r="B3404" t="s">
        <v>8197</v>
      </c>
      <c r="C3404" t="s">
        <v>7880</v>
      </c>
      <c r="D3404" t="s">
        <v>20</v>
      </c>
      <c r="E3404" t="s">
        <v>39</v>
      </c>
      <c r="F3404">
        <v>0</v>
      </c>
      <c r="G3404">
        <v>0</v>
      </c>
      <c r="H3404">
        <v>2</v>
      </c>
      <c r="I3404" s="3">
        <v>236.34</v>
      </c>
      <c r="J3404" s="3">
        <v>0</v>
      </c>
      <c r="K3404" t="s">
        <v>8103</v>
      </c>
      <c r="L3404">
        <v>411</v>
      </c>
      <c r="M3404" t="s">
        <v>8104</v>
      </c>
      <c r="N3404" t="s">
        <v>30</v>
      </c>
      <c r="O3404" t="s">
        <v>31</v>
      </c>
      <c r="P3404" t="str">
        <f t="shared" si="42"/>
        <v>15219</v>
      </c>
    </row>
    <row r="3405" spans="1:16" x14ac:dyDescent="0.25">
      <c r="A3405" t="str">
        <f>"1100050L00055    00"</f>
        <v>1100050L00055    00</v>
      </c>
      <c r="B3405" t="s">
        <v>8197</v>
      </c>
      <c r="C3405" t="s">
        <v>7880</v>
      </c>
      <c r="D3405" t="s">
        <v>20</v>
      </c>
      <c r="E3405" t="s">
        <v>39</v>
      </c>
      <c r="F3405">
        <v>0</v>
      </c>
      <c r="G3405">
        <v>0</v>
      </c>
      <c r="H3405">
        <v>2</v>
      </c>
      <c r="I3405" s="3">
        <v>236.34</v>
      </c>
      <c r="J3405" s="3">
        <v>0</v>
      </c>
      <c r="K3405" t="s">
        <v>8103</v>
      </c>
      <c r="L3405">
        <v>411</v>
      </c>
      <c r="M3405" t="s">
        <v>8104</v>
      </c>
      <c r="N3405" t="s">
        <v>30</v>
      </c>
      <c r="O3405" t="s">
        <v>31</v>
      </c>
      <c r="P3405" t="str">
        <f t="shared" si="42"/>
        <v>15219</v>
      </c>
    </row>
    <row r="3406" spans="1:16" x14ac:dyDescent="0.25">
      <c r="A3406" t="str">
        <f>"1100050L00056    00"</f>
        <v>1100050L00056    00</v>
      </c>
      <c r="B3406" t="s">
        <v>8197</v>
      </c>
      <c r="C3406" t="s">
        <v>7880</v>
      </c>
      <c r="D3406" t="s">
        <v>20</v>
      </c>
      <c r="E3406" t="s">
        <v>39</v>
      </c>
      <c r="F3406">
        <v>0</v>
      </c>
      <c r="G3406">
        <v>0</v>
      </c>
      <c r="H3406">
        <v>2</v>
      </c>
      <c r="I3406" s="3">
        <v>228.34</v>
      </c>
      <c r="J3406" s="3">
        <v>0</v>
      </c>
      <c r="K3406" t="s">
        <v>8103</v>
      </c>
      <c r="L3406">
        <v>411</v>
      </c>
      <c r="M3406" t="s">
        <v>8104</v>
      </c>
      <c r="N3406" t="s">
        <v>30</v>
      </c>
      <c r="O3406" t="s">
        <v>31</v>
      </c>
      <c r="P3406" t="str">
        <f t="shared" si="42"/>
        <v>15219</v>
      </c>
    </row>
    <row r="3407" spans="1:16" x14ac:dyDescent="0.25">
      <c r="A3407" t="str">
        <f>"1100050L00057    00"</f>
        <v>1100050L00057    00</v>
      </c>
      <c r="B3407" t="s">
        <v>8197</v>
      </c>
      <c r="C3407" t="s">
        <v>7914</v>
      </c>
      <c r="D3407" t="s">
        <v>20</v>
      </c>
      <c r="E3407" t="s">
        <v>39</v>
      </c>
      <c r="F3407">
        <v>0</v>
      </c>
      <c r="G3407">
        <v>0</v>
      </c>
      <c r="H3407">
        <v>2</v>
      </c>
      <c r="I3407" s="3">
        <v>167.94</v>
      </c>
      <c r="J3407" s="3">
        <v>0</v>
      </c>
      <c r="K3407" t="s">
        <v>8103</v>
      </c>
      <c r="L3407">
        <v>411</v>
      </c>
      <c r="M3407" t="s">
        <v>8104</v>
      </c>
      <c r="N3407" t="s">
        <v>30</v>
      </c>
      <c r="O3407" t="s">
        <v>31</v>
      </c>
      <c r="P3407" t="str">
        <f t="shared" si="42"/>
        <v>15219</v>
      </c>
    </row>
    <row r="3408" spans="1:16" x14ac:dyDescent="0.25">
      <c r="A3408" t="str">
        <f>"1100050L00062    00"</f>
        <v>1100050L00062    00</v>
      </c>
      <c r="B3408" t="s">
        <v>8200</v>
      </c>
      <c r="C3408" t="s">
        <v>8201</v>
      </c>
      <c r="D3408" t="s">
        <v>20</v>
      </c>
      <c r="E3408" t="s">
        <v>39</v>
      </c>
      <c r="F3408">
        <v>0</v>
      </c>
      <c r="G3408">
        <v>0</v>
      </c>
      <c r="H3408">
        <v>1</v>
      </c>
      <c r="I3408" s="3">
        <v>547.5</v>
      </c>
      <c r="J3408" s="3">
        <v>0</v>
      </c>
      <c r="K3408" t="s">
        <v>8202</v>
      </c>
      <c r="L3408">
        <v>5173</v>
      </c>
      <c r="M3408" t="s">
        <v>7908</v>
      </c>
      <c r="N3408" t="s">
        <v>30</v>
      </c>
      <c r="O3408" t="s">
        <v>31</v>
      </c>
      <c r="P3408" t="str">
        <f>"15224"</f>
        <v>15224</v>
      </c>
    </row>
    <row r="3409" spans="1:16" x14ac:dyDescent="0.25">
      <c r="A3409" t="str">
        <f>"1100050L00063    00"</f>
        <v>1100050L00063    00</v>
      </c>
      <c r="B3409" t="s">
        <v>8203</v>
      </c>
      <c r="C3409" t="s">
        <v>8204</v>
      </c>
      <c r="E3409" t="s">
        <v>39</v>
      </c>
      <c r="F3409">
        <v>0</v>
      </c>
      <c r="G3409">
        <v>0</v>
      </c>
      <c r="H3409">
        <v>1</v>
      </c>
      <c r="I3409" s="3">
        <v>4136.07</v>
      </c>
      <c r="J3409" s="3">
        <v>34.450000000000003</v>
      </c>
      <c r="K3409" t="s">
        <v>1502</v>
      </c>
      <c r="L3409">
        <v>901</v>
      </c>
      <c r="M3409" t="s">
        <v>1503</v>
      </c>
      <c r="N3409" t="s">
        <v>494</v>
      </c>
      <c r="O3409" t="s">
        <v>495</v>
      </c>
      <c r="P3409" t="str">
        <f>"91768"</f>
        <v>91768</v>
      </c>
    </row>
    <row r="3410" spans="1:16" x14ac:dyDescent="0.25">
      <c r="A3410" t="str">
        <f>"1100050L00106    00"</f>
        <v>1100050L00106    00</v>
      </c>
      <c r="B3410" t="s">
        <v>8205</v>
      </c>
      <c r="C3410" t="s">
        <v>8206</v>
      </c>
      <c r="D3410" t="s">
        <v>20</v>
      </c>
      <c r="E3410" t="s">
        <v>39</v>
      </c>
      <c r="F3410">
        <v>0</v>
      </c>
      <c r="G3410">
        <v>0</v>
      </c>
      <c r="H3410">
        <v>3</v>
      </c>
      <c r="I3410" s="3">
        <v>1077.55</v>
      </c>
      <c r="J3410" s="3">
        <v>69.790000000000006</v>
      </c>
      <c r="L3410">
        <v>5223</v>
      </c>
      <c r="M3410" t="s">
        <v>8207</v>
      </c>
      <c r="N3410" t="s">
        <v>30</v>
      </c>
      <c r="O3410" t="s">
        <v>31</v>
      </c>
      <c r="P3410" t="str">
        <f>"15224"</f>
        <v>15224</v>
      </c>
    </row>
    <row r="3411" spans="1:16" x14ac:dyDescent="0.25">
      <c r="A3411" t="str">
        <f>"1100050L00107    00"</f>
        <v>1100050L00107    00</v>
      </c>
      <c r="B3411" t="s">
        <v>8208</v>
      </c>
      <c r="C3411" t="s">
        <v>7914</v>
      </c>
      <c r="D3411" t="s">
        <v>20</v>
      </c>
      <c r="E3411" t="s">
        <v>39</v>
      </c>
      <c r="F3411">
        <v>0</v>
      </c>
      <c r="G3411">
        <v>0</v>
      </c>
      <c r="H3411">
        <v>2</v>
      </c>
      <c r="I3411" s="3">
        <v>27.87</v>
      </c>
      <c r="J3411" s="3">
        <v>0</v>
      </c>
      <c r="L3411">
        <v>5223</v>
      </c>
      <c r="M3411" t="s">
        <v>8207</v>
      </c>
      <c r="N3411" t="s">
        <v>30</v>
      </c>
      <c r="O3411" t="s">
        <v>31</v>
      </c>
      <c r="P3411" t="str">
        <f>"15224"</f>
        <v>15224</v>
      </c>
    </row>
    <row r="3412" spans="1:16" x14ac:dyDescent="0.25">
      <c r="A3412" t="str">
        <f>"1100050L00114    00"</f>
        <v>1100050L00114    00</v>
      </c>
      <c r="B3412" t="s">
        <v>8209</v>
      </c>
      <c r="C3412" t="s">
        <v>8210</v>
      </c>
      <c r="D3412" t="s">
        <v>20</v>
      </c>
      <c r="E3412" t="s">
        <v>39</v>
      </c>
      <c r="F3412">
        <v>0</v>
      </c>
      <c r="G3412">
        <v>0</v>
      </c>
      <c r="H3412">
        <v>5</v>
      </c>
      <c r="I3412" s="3">
        <v>1882.75</v>
      </c>
      <c r="J3412" s="3">
        <v>87.28</v>
      </c>
      <c r="K3412" t="s">
        <v>8211</v>
      </c>
      <c r="L3412">
        <v>311</v>
      </c>
      <c r="M3412" t="s">
        <v>7879</v>
      </c>
      <c r="N3412" t="s">
        <v>30</v>
      </c>
      <c r="O3412" t="s">
        <v>31</v>
      </c>
      <c r="P3412" t="str">
        <f>"15224"</f>
        <v>15224</v>
      </c>
    </row>
    <row r="3413" spans="1:16" x14ac:dyDescent="0.25">
      <c r="A3413" t="str">
        <f>"1100050L00118    00"</f>
        <v>1100050L00118    00</v>
      </c>
      <c r="B3413" t="s">
        <v>8212</v>
      </c>
      <c r="C3413" t="s">
        <v>8213</v>
      </c>
      <c r="D3413" t="s">
        <v>20</v>
      </c>
      <c r="E3413" t="s">
        <v>39</v>
      </c>
      <c r="F3413">
        <v>0</v>
      </c>
      <c r="G3413">
        <v>0</v>
      </c>
      <c r="H3413">
        <v>1</v>
      </c>
      <c r="I3413" s="3">
        <v>1048.32</v>
      </c>
      <c r="J3413" s="3">
        <v>0</v>
      </c>
      <c r="K3413" t="s">
        <v>8214</v>
      </c>
      <c r="L3413">
        <v>218</v>
      </c>
      <c r="M3413" t="s">
        <v>7879</v>
      </c>
      <c r="N3413" t="s">
        <v>30</v>
      </c>
      <c r="O3413" t="s">
        <v>31</v>
      </c>
      <c r="P3413" t="str">
        <f>"15224"</f>
        <v>15224</v>
      </c>
    </row>
    <row r="3414" spans="1:16" x14ac:dyDescent="0.25">
      <c r="A3414" t="str">
        <f>"1100050L00122    00"</f>
        <v>1100050L00122    00</v>
      </c>
      <c r="B3414" t="s">
        <v>8215</v>
      </c>
      <c r="C3414" t="s">
        <v>8216</v>
      </c>
      <c r="D3414" t="s">
        <v>20</v>
      </c>
      <c r="E3414" t="s">
        <v>39</v>
      </c>
      <c r="F3414">
        <v>0</v>
      </c>
      <c r="G3414">
        <v>0</v>
      </c>
      <c r="H3414">
        <v>1</v>
      </c>
      <c r="I3414" s="3">
        <v>349.26</v>
      </c>
      <c r="J3414" s="3">
        <v>0</v>
      </c>
      <c r="L3414">
        <v>5312</v>
      </c>
      <c r="M3414" t="s">
        <v>7908</v>
      </c>
      <c r="N3414" t="s">
        <v>30</v>
      </c>
      <c r="O3414" t="s">
        <v>31</v>
      </c>
      <c r="P3414" t="str">
        <f>"15224"</f>
        <v>15224</v>
      </c>
    </row>
    <row r="3415" spans="1:16" x14ac:dyDescent="0.25">
      <c r="A3415" t="str">
        <f>"1100050L00143    00"</f>
        <v>1100050L00143    00</v>
      </c>
      <c r="B3415" t="s">
        <v>8217</v>
      </c>
      <c r="C3415" t="s">
        <v>8218</v>
      </c>
      <c r="D3415" t="s">
        <v>20</v>
      </c>
      <c r="E3415" t="s">
        <v>39</v>
      </c>
      <c r="F3415">
        <v>0</v>
      </c>
      <c r="G3415">
        <v>0</v>
      </c>
      <c r="H3415">
        <v>1</v>
      </c>
      <c r="I3415" s="3">
        <v>1156.95</v>
      </c>
      <c r="J3415" s="3">
        <v>0</v>
      </c>
      <c r="K3415" t="s">
        <v>8219</v>
      </c>
      <c r="L3415">
        <v>2</v>
      </c>
      <c r="M3415" t="s">
        <v>8220</v>
      </c>
      <c r="N3415" t="s">
        <v>30</v>
      </c>
      <c r="O3415" t="s">
        <v>31</v>
      </c>
      <c r="P3415" t="str">
        <f>"15212"</f>
        <v>15212</v>
      </c>
    </row>
    <row r="3416" spans="1:16" x14ac:dyDescent="0.25">
      <c r="A3416" t="str">
        <f>"1100050L00144    00"</f>
        <v>1100050L00144    00</v>
      </c>
      <c r="B3416" t="s">
        <v>8221</v>
      </c>
      <c r="C3416" t="s">
        <v>8222</v>
      </c>
      <c r="D3416" t="s">
        <v>20</v>
      </c>
      <c r="E3416" t="s">
        <v>39</v>
      </c>
      <c r="F3416">
        <v>0</v>
      </c>
      <c r="G3416">
        <v>0</v>
      </c>
      <c r="H3416">
        <v>10</v>
      </c>
      <c r="I3416" s="3">
        <v>5945.97</v>
      </c>
      <c r="J3416" s="3">
        <v>2180.5</v>
      </c>
      <c r="L3416">
        <v>5118</v>
      </c>
      <c r="M3416" t="s">
        <v>8223</v>
      </c>
      <c r="N3416" t="s">
        <v>30</v>
      </c>
      <c r="O3416" t="s">
        <v>31</v>
      </c>
      <c r="P3416" t="str">
        <f>"15205"</f>
        <v>15205</v>
      </c>
    </row>
    <row r="3417" spans="1:16" x14ac:dyDescent="0.25">
      <c r="A3417" t="str">
        <f>"1100050L00151    00"</f>
        <v>1100050L00151    00</v>
      </c>
      <c r="B3417" t="s">
        <v>8224</v>
      </c>
      <c r="C3417" t="s">
        <v>8225</v>
      </c>
      <c r="D3417" t="s">
        <v>20</v>
      </c>
      <c r="E3417" t="s">
        <v>39</v>
      </c>
      <c r="F3417">
        <v>0</v>
      </c>
      <c r="G3417">
        <v>0</v>
      </c>
      <c r="H3417">
        <v>2</v>
      </c>
      <c r="I3417" s="3">
        <v>2851.36</v>
      </c>
      <c r="J3417" s="3">
        <v>0</v>
      </c>
      <c r="L3417">
        <v>246</v>
      </c>
      <c r="M3417" t="s">
        <v>8226</v>
      </c>
      <c r="N3417" t="s">
        <v>30</v>
      </c>
      <c r="O3417" t="s">
        <v>31</v>
      </c>
      <c r="P3417" t="str">
        <f>"15215"</f>
        <v>15215</v>
      </c>
    </row>
    <row r="3418" spans="1:16" x14ac:dyDescent="0.25">
      <c r="A3418" t="str">
        <f>"1100050L00152    00"</f>
        <v>1100050L00152    00</v>
      </c>
      <c r="B3418" t="s">
        <v>8227</v>
      </c>
      <c r="C3418" t="s">
        <v>8228</v>
      </c>
      <c r="D3418" t="s">
        <v>20</v>
      </c>
      <c r="E3418" t="s">
        <v>39</v>
      </c>
      <c r="F3418">
        <v>0</v>
      </c>
      <c r="G3418">
        <v>0</v>
      </c>
      <c r="H3418">
        <v>3</v>
      </c>
      <c r="I3418" s="3">
        <v>51.48</v>
      </c>
      <c r="J3418" s="3">
        <v>3.44</v>
      </c>
      <c r="L3418">
        <v>5223</v>
      </c>
      <c r="M3418" t="s">
        <v>2901</v>
      </c>
      <c r="N3418" t="s">
        <v>30</v>
      </c>
      <c r="O3418" t="s">
        <v>31</v>
      </c>
      <c r="P3418" t="str">
        <f>"15224"</f>
        <v>15224</v>
      </c>
    </row>
    <row r="3419" spans="1:16" x14ac:dyDescent="0.25">
      <c r="A3419" t="str">
        <f>"1100050L00153    00"</f>
        <v>1100050L00153    00</v>
      </c>
      <c r="B3419" t="s">
        <v>8229</v>
      </c>
      <c r="C3419" t="s">
        <v>8228</v>
      </c>
      <c r="D3419" t="s">
        <v>20</v>
      </c>
      <c r="E3419" t="s">
        <v>39</v>
      </c>
      <c r="F3419">
        <v>0</v>
      </c>
      <c r="G3419">
        <v>0</v>
      </c>
      <c r="H3419">
        <v>3</v>
      </c>
      <c r="I3419" s="3">
        <v>776.9</v>
      </c>
      <c r="J3419" s="3">
        <v>212.36</v>
      </c>
      <c r="L3419">
        <v>5223</v>
      </c>
      <c r="M3419" t="s">
        <v>2901</v>
      </c>
      <c r="N3419" t="s">
        <v>30</v>
      </c>
      <c r="O3419" t="s">
        <v>31</v>
      </c>
      <c r="P3419" t="str">
        <f>"15224"</f>
        <v>15224</v>
      </c>
    </row>
    <row r="3420" spans="1:16" x14ac:dyDescent="0.25">
      <c r="A3420" t="str">
        <f>"1100050L00156    00"</f>
        <v>1100050L00156    00</v>
      </c>
      <c r="B3420" t="s">
        <v>8230</v>
      </c>
      <c r="C3420" t="s">
        <v>8231</v>
      </c>
      <c r="E3420" t="s">
        <v>39</v>
      </c>
      <c r="F3420">
        <v>0</v>
      </c>
      <c r="G3420">
        <v>0</v>
      </c>
      <c r="H3420">
        <v>14</v>
      </c>
      <c r="I3420" s="3">
        <v>10038.27</v>
      </c>
      <c r="J3420" s="3">
        <v>8642.9</v>
      </c>
      <c r="L3420">
        <v>2631</v>
      </c>
      <c r="M3420" t="s">
        <v>8232</v>
      </c>
      <c r="N3420" t="s">
        <v>139</v>
      </c>
      <c r="O3420" t="s">
        <v>31</v>
      </c>
      <c r="P3420" t="str">
        <f>"15090"</f>
        <v>15090</v>
      </c>
    </row>
    <row r="3421" spans="1:16" x14ac:dyDescent="0.25">
      <c r="A3421" t="str">
        <f>"1100050L00165    00"</f>
        <v>1100050L00165    00</v>
      </c>
      <c r="B3421" t="s">
        <v>8233</v>
      </c>
      <c r="C3421" t="s">
        <v>8234</v>
      </c>
      <c r="D3421" t="s">
        <v>20</v>
      </c>
      <c r="E3421" t="s">
        <v>39</v>
      </c>
      <c r="F3421">
        <v>0</v>
      </c>
      <c r="G3421">
        <v>0</v>
      </c>
      <c r="H3421">
        <v>2</v>
      </c>
      <c r="I3421" s="3">
        <v>3386.22</v>
      </c>
      <c r="J3421" s="3">
        <v>0</v>
      </c>
      <c r="K3421" t="s">
        <v>728</v>
      </c>
      <c r="L3421">
        <v>3001</v>
      </c>
      <c r="M3421" t="s">
        <v>330</v>
      </c>
      <c r="N3421" t="s">
        <v>331</v>
      </c>
      <c r="O3421" t="s">
        <v>108</v>
      </c>
      <c r="P3421" t="str">
        <f>"75063"</f>
        <v>75063</v>
      </c>
    </row>
    <row r="3422" spans="1:16" x14ac:dyDescent="0.25">
      <c r="A3422" t="str">
        <f>"1100050L00166    00"</f>
        <v>1100050L00166    00</v>
      </c>
      <c r="B3422" t="s">
        <v>8235</v>
      </c>
      <c r="C3422" t="s">
        <v>8236</v>
      </c>
      <c r="E3422" t="s">
        <v>39</v>
      </c>
      <c r="F3422">
        <v>0</v>
      </c>
      <c r="G3422">
        <v>0</v>
      </c>
      <c r="H3422">
        <v>1</v>
      </c>
      <c r="I3422" s="3">
        <v>578.70000000000005</v>
      </c>
      <c r="J3422" s="3">
        <v>284.52</v>
      </c>
      <c r="L3422">
        <v>5177</v>
      </c>
      <c r="M3422" t="s">
        <v>2901</v>
      </c>
      <c r="N3422" t="s">
        <v>30</v>
      </c>
      <c r="O3422" t="s">
        <v>31</v>
      </c>
      <c r="P3422" t="str">
        <f>"15224"</f>
        <v>15224</v>
      </c>
    </row>
    <row r="3423" spans="1:16" x14ac:dyDescent="0.25">
      <c r="A3423" t="str">
        <f>"1100050L00168    00"</f>
        <v>1100050L00168    00</v>
      </c>
      <c r="B3423" t="s">
        <v>8237</v>
      </c>
      <c r="C3423" t="s">
        <v>8238</v>
      </c>
      <c r="D3423" t="s">
        <v>20</v>
      </c>
      <c r="E3423" t="s">
        <v>39</v>
      </c>
      <c r="F3423">
        <v>0</v>
      </c>
      <c r="G3423">
        <v>0</v>
      </c>
      <c r="H3423">
        <v>12</v>
      </c>
      <c r="I3423" s="3">
        <v>9494.2000000000007</v>
      </c>
      <c r="J3423" s="3">
        <v>4692.6499999999996</v>
      </c>
      <c r="L3423">
        <v>5179</v>
      </c>
      <c r="M3423" t="s">
        <v>2901</v>
      </c>
      <c r="N3423" t="s">
        <v>30</v>
      </c>
      <c r="O3423" t="s">
        <v>31</v>
      </c>
      <c r="P3423" t="str">
        <f>"15224"</f>
        <v>15224</v>
      </c>
    </row>
    <row r="3424" spans="1:16" x14ac:dyDescent="0.25">
      <c r="A3424" t="str">
        <f>"1100050L00170    00"</f>
        <v>1100050L00170    00</v>
      </c>
      <c r="B3424" t="s">
        <v>8239</v>
      </c>
      <c r="C3424" t="s">
        <v>8240</v>
      </c>
      <c r="D3424" t="s">
        <v>33</v>
      </c>
      <c r="E3424" t="s">
        <v>39</v>
      </c>
      <c r="F3424">
        <v>0</v>
      </c>
      <c r="G3424">
        <v>0</v>
      </c>
      <c r="H3424">
        <v>1</v>
      </c>
      <c r="I3424" s="3">
        <v>1212.9100000000001</v>
      </c>
      <c r="J3424" s="3">
        <v>50.54</v>
      </c>
      <c r="K3424" t="s">
        <v>1135</v>
      </c>
      <c r="L3424">
        <v>3001</v>
      </c>
      <c r="M3424" t="s">
        <v>330</v>
      </c>
      <c r="N3424" t="s">
        <v>331</v>
      </c>
      <c r="O3424" t="s">
        <v>108</v>
      </c>
      <c r="P3424" t="str">
        <f>"75063"</f>
        <v>75063</v>
      </c>
    </row>
    <row r="3425" spans="1:16" x14ac:dyDescent="0.25">
      <c r="A3425" t="str">
        <f>"1100050L00179    00"</f>
        <v>1100050L00179    00</v>
      </c>
      <c r="B3425" t="s">
        <v>8241</v>
      </c>
      <c r="C3425" t="s">
        <v>8242</v>
      </c>
      <c r="D3425" t="s">
        <v>20</v>
      </c>
      <c r="E3425" t="s">
        <v>39</v>
      </c>
      <c r="F3425">
        <v>0</v>
      </c>
      <c r="G3425">
        <v>0</v>
      </c>
      <c r="H3425">
        <v>4</v>
      </c>
      <c r="I3425" s="3">
        <v>4320.28</v>
      </c>
      <c r="J3425" s="3">
        <v>296.75</v>
      </c>
      <c r="L3425">
        <v>5135</v>
      </c>
      <c r="M3425" t="s">
        <v>2901</v>
      </c>
      <c r="N3425" t="s">
        <v>30</v>
      </c>
      <c r="O3425" t="s">
        <v>31</v>
      </c>
      <c r="P3425" t="str">
        <f>"15224"</f>
        <v>15224</v>
      </c>
    </row>
    <row r="3426" spans="1:16" x14ac:dyDescent="0.25">
      <c r="A3426" t="str">
        <f>"1100050L00190    00"</f>
        <v>1100050L00190    00</v>
      </c>
      <c r="B3426" t="s">
        <v>8243</v>
      </c>
      <c r="C3426" t="s">
        <v>8244</v>
      </c>
      <c r="E3426" t="s">
        <v>39</v>
      </c>
      <c r="F3426">
        <v>0</v>
      </c>
      <c r="G3426">
        <v>0</v>
      </c>
      <c r="H3426">
        <v>2</v>
      </c>
      <c r="I3426" s="3">
        <v>7755.52</v>
      </c>
      <c r="J3426" s="3">
        <v>425.97</v>
      </c>
      <c r="K3426" t="s">
        <v>4781</v>
      </c>
      <c r="L3426">
        <v>111</v>
      </c>
      <c r="M3426" t="s">
        <v>4782</v>
      </c>
      <c r="N3426" t="s">
        <v>4783</v>
      </c>
      <c r="O3426" t="s">
        <v>4784</v>
      </c>
      <c r="P3426" t="str">
        <f>"63146"</f>
        <v>63146</v>
      </c>
    </row>
    <row r="3427" spans="1:16" x14ac:dyDescent="0.25">
      <c r="A3427" t="str">
        <f>"1100050L00200    00"</f>
        <v>1100050L00200    00</v>
      </c>
      <c r="B3427" t="s">
        <v>8245</v>
      </c>
      <c r="C3427" t="s">
        <v>8246</v>
      </c>
      <c r="D3427" t="s">
        <v>20</v>
      </c>
      <c r="E3427" t="s">
        <v>39</v>
      </c>
      <c r="F3427">
        <v>0</v>
      </c>
      <c r="G3427">
        <v>0</v>
      </c>
      <c r="H3427">
        <v>3</v>
      </c>
      <c r="I3427" s="3">
        <v>2338.17</v>
      </c>
      <c r="J3427" s="3">
        <v>248.64</v>
      </c>
      <c r="L3427">
        <v>5216</v>
      </c>
      <c r="M3427" t="s">
        <v>2901</v>
      </c>
      <c r="N3427" t="s">
        <v>30</v>
      </c>
      <c r="O3427" t="s">
        <v>31</v>
      </c>
      <c r="P3427" t="str">
        <f>"15224"</f>
        <v>15224</v>
      </c>
    </row>
    <row r="3428" spans="1:16" x14ac:dyDescent="0.25">
      <c r="A3428" t="str">
        <f>"1100050L00229    00"</f>
        <v>1100050L00229    00</v>
      </c>
      <c r="B3428" t="s">
        <v>8247</v>
      </c>
      <c r="C3428" t="s">
        <v>8248</v>
      </c>
      <c r="D3428" t="s">
        <v>20</v>
      </c>
      <c r="E3428" t="s">
        <v>39</v>
      </c>
      <c r="F3428">
        <v>0</v>
      </c>
      <c r="G3428">
        <v>0</v>
      </c>
      <c r="H3428">
        <v>4</v>
      </c>
      <c r="I3428" s="3">
        <v>5343.34</v>
      </c>
      <c r="J3428" s="3">
        <v>411.83</v>
      </c>
      <c r="L3428">
        <v>5334</v>
      </c>
      <c r="M3428" t="s">
        <v>8249</v>
      </c>
      <c r="N3428" t="s">
        <v>30</v>
      </c>
      <c r="O3428" t="s">
        <v>31</v>
      </c>
      <c r="P3428" t="str">
        <f>"15224"</f>
        <v>15224</v>
      </c>
    </row>
    <row r="3429" spans="1:16" x14ac:dyDescent="0.25">
      <c r="A3429" t="str">
        <f>"1100050L00252    00"</f>
        <v>1100050L00252    00</v>
      </c>
      <c r="B3429" t="s">
        <v>8250</v>
      </c>
      <c r="C3429" t="s">
        <v>8251</v>
      </c>
      <c r="E3429" t="s">
        <v>21</v>
      </c>
      <c r="F3429">
        <v>0</v>
      </c>
      <c r="G3429">
        <v>0</v>
      </c>
      <c r="H3429">
        <v>1</v>
      </c>
      <c r="I3429" s="3">
        <v>6164.58</v>
      </c>
      <c r="J3429" s="3">
        <v>1797.93</v>
      </c>
      <c r="K3429" t="s">
        <v>8252</v>
      </c>
      <c r="L3429">
        <v>5324</v>
      </c>
      <c r="M3429" t="s">
        <v>585</v>
      </c>
      <c r="N3429" t="s">
        <v>30</v>
      </c>
      <c r="O3429" t="s">
        <v>31</v>
      </c>
      <c r="P3429" t="str">
        <f>"15224"</f>
        <v>15224</v>
      </c>
    </row>
    <row r="3430" spans="1:16" x14ac:dyDescent="0.25">
      <c r="A3430" t="str">
        <f>"1100050L00253    00"</f>
        <v>1100050L00253    00</v>
      </c>
      <c r="B3430" t="s">
        <v>8001</v>
      </c>
      <c r="C3430" t="s">
        <v>8253</v>
      </c>
      <c r="E3430" t="s">
        <v>66</v>
      </c>
      <c r="F3430">
        <v>0</v>
      </c>
      <c r="G3430">
        <v>0</v>
      </c>
      <c r="H3430">
        <v>2</v>
      </c>
      <c r="I3430" s="3">
        <v>1562.51</v>
      </c>
      <c r="J3430" s="3">
        <v>26.66</v>
      </c>
      <c r="K3430" t="s">
        <v>8003</v>
      </c>
      <c r="L3430">
        <v>5325</v>
      </c>
      <c r="M3430" t="s">
        <v>585</v>
      </c>
      <c r="N3430" t="s">
        <v>30</v>
      </c>
      <c r="O3430" t="s">
        <v>31</v>
      </c>
      <c r="P3430" t="str">
        <f>"15224"</f>
        <v>15224</v>
      </c>
    </row>
    <row r="3431" spans="1:16" x14ac:dyDescent="0.25">
      <c r="A3431" t="str">
        <f>"1100050L00254    00"</f>
        <v>1100050L00254    00</v>
      </c>
      <c r="B3431" t="s">
        <v>8254</v>
      </c>
      <c r="C3431" t="s">
        <v>8255</v>
      </c>
      <c r="D3431" t="s">
        <v>20</v>
      </c>
      <c r="E3431" t="s">
        <v>39</v>
      </c>
      <c r="F3431">
        <v>0</v>
      </c>
      <c r="G3431">
        <v>0</v>
      </c>
      <c r="H3431">
        <v>2</v>
      </c>
      <c r="I3431" s="3">
        <v>1961.42</v>
      </c>
      <c r="J3431" s="3">
        <v>205.01</v>
      </c>
      <c r="L3431">
        <v>5231</v>
      </c>
      <c r="M3431" t="s">
        <v>8082</v>
      </c>
      <c r="N3431" t="s">
        <v>30</v>
      </c>
      <c r="O3431" t="s">
        <v>31</v>
      </c>
      <c r="P3431" t="str">
        <f>"15224"</f>
        <v>15224</v>
      </c>
    </row>
    <row r="3432" spans="1:16" x14ac:dyDescent="0.25">
      <c r="A3432" t="str">
        <f>"1100050L00255    00"</f>
        <v>1100050L00255    00</v>
      </c>
      <c r="B3432" t="s">
        <v>8256</v>
      </c>
      <c r="C3432" t="s">
        <v>8257</v>
      </c>
      <c r="D3432" t="s">
        <v>20</v>
      </c>
      <c r="E3432" t="s">
        <v>39</v>
      </c>
      <c r="F3432">
        <v>0</v>
      </c>
      <c r="G3432">
        <v>0</v>
      </c>
      <c r="H3432">
        <v>2</v>
      </c>
      <c r="I3432" s="3">
        <v>565.17999999999995</v>
      </c>
      <c r="J3432" s="3">
        <v>0</v>
      </c>
      <c r="K3432" t="s">
        <v>8258</v>
      </c>
      <c r="M3432" t="s">
        <v>8259</v>
      </c>
      <c r="N3432" t="s">
        <v>107</v>
      </c>
      <c r="O3432" t="s">
        <v>108</v>
      </c>
      <c r="P3432" t="str">
        <f>"75265"</f>
        <v>75265</v>
      </c>
    </row>
    <row r="3433" spans="1:16" x14ac:dyDescent="0.25">
      <c r="A3433" t="str">
        <f>"1100050L00265    00"</f>
        <v>1100050L00265    00</v>
      </c>
      <c r="B3433" t="s">
        <v>8260</v>
      </c>
      <c r="C3433" t="s">
        <v>8261</v>
      </c>
      <c r="D3433" t="s">
        <v>20</v>
      </c>
      <c r="E3433" t="s">
        <v>39</v>
      </c>
      <c r="F3433">
        <v>0</v>
      </c>
      <c r="G3433">
        <v>0</v>
      </c>
      <c r="H3433">
        <v>12</v>
      </c>
      <c r="I3433" s="3">
        <v>5627.25</v>
      </c>
      <c r="J3433" s="3">
        <v>3252.6</v>
      </c>
      <c r="L3433">
        <v>5203</v>
      </c>
      <c r="M3433" t="s">
        <v>8082</v>
      </c>
      <c r="N3433" t="s">
        <v>30</v>
      </c>
      <c r="O3433" t="s">
        <v>31</v>
      </c>
      <c r="P3433" t="str">
        <f>"15224"</f>
        <v>15224</v>
      </c>
    </row>
    <row r="3434" spans="1:16" x14ac:dyDescent="0.25">
      <c r="A3434" t="str">
        <f>"1100050L00282A   00"</f>
        <v>1100050L00282A   00</v>
      </c>
      <c r="B3434" t="s">
        <v>8102</v>
      </c>
      <c r="C3434" t="s">
        <v>8262</v>
      </c>
      <c r="D3434" t="s">
        <v>20</v>
      </c>
      <c r="E3434" t="s">
        <v>39</v>
      </c>
      <c r="F3434">
        <v>0</v>
      </c>
      <c r="G3434">
        <v>0</v>
      </c>
      <c r="H3434">
        <v>2</v>
      </c>
      <c r="I3434" s="3">
        <v>853.92</v>
      </c>
      <c r="J3434" s="3">
        <v>0</v>
      </c>
      <c r="K3434" t="s">
        <v>8103</v>
      </c>
      <c r="L3434">
        <v>411</v>
      </c>
      <c r="M3434" t="s">
        <v>8104</v>
      </c>
      <c r="N3434" t="s">
        <v>30</v>
      </c>
      <c r="O3434" t="s">
        <v>31</v>
      </c>
      <c r="P3434" t="str">
        <f>"15219"</f>
        <v>15219</v>
      </c>
    </row>
    <row r="3435" spans="1:16" x14ac:dyDescent="0.25">
      <c r="A3435" t="str">
        <f>"1100050L00286    00"</f>
        <v>1100050L00286    00</v>
      </c>
      <c r="B3435" t="s">
        <v>8263</v>
      </c>
      <c r="C3435" t="s">
        <v>8264</v>
      </c>
      <c r="D3435" t="s">
        <v>20</v>
      </c>
      <c r="E3435" t="s">
        <v>39</v>
      </c>
      <c r="F3435">
        <v>0</v>
      </c>
      <c r="G3435">
        <v>0</v>
      </c>
      <c r="H3435">
        <v>3</v>
      </c>
      <c r="I3435" s="3">
        <v>1381.34</v>
      </c>
      <c r="J3435" s="3">
        <v>134.21</v>
      </c>
      <c r="K3435" t="s">
        <v>759</v>
      </c>
      <c r="L3435">
        <v>3001</v>
      </c>
      <c r="M3435" t="s">
        <v>404</v>
      </c>
      <c r="N3435" t="s">
        <v>331</v>
      </c>
      <c r="O3435" t="s">
        <v>108</v>
      </c>
      <c r="P3435" t="str">
        <f>"75063"</f>
        <v>75063</v>
      </c>
    </row>
    <row r="3436" spans="1:16" x14ac:dyDescent="0.25">
      <c r="A3436" t="str">
        <f>"1100050L00289    00"</f>
        <v>1100050L00289    00</v>
      </c>
      <c r="B3436" t="s">
        <v>8265</v>
      </c>
      <c r="C3436" t="s">
        <v>7880</v>
      </c>
      <c r="D3436" t="s">
        <v>20</v>
      </c>
      <c r="E3436" t="s">
        <v>39</v>
      </c>
      <c r="F3436">
        <v>0</v>
      </c>
      <c r="G3436">
        <v>0</v>
      </c>
      <c r="H3436">
        <v>17</v>
      </c>
      <c r="I3436" s="3">
        <v>362.88</v>
      </c>
      <c r="J3436" s="3">
        <v>440.86</v>
      </c>
      <c r="K3436" t="s">
        <v>1008</v>
      </c>
      <c r="P3436" t="str">
        <f>""</f>
        <v/>
      </c>
    </row>
    <row r="3437" spans="1:16" x14ac:dyDescent="0.25">
      <c r="A3437" t="str">
        <f>"1100050L00296    00"</f>
        <v>1100050L00296    00</v>
      </c>
      <c r="B3437" t="s">
        <v>8266</v>
      </c>
      <c r="C3437" t="s">
        <v>8267</v>
      </c>
      <c r="D3437" t="s">
        <v>20</v>
      </c>
      <c r="E3437" t="s">
        <v>39</v>
      </c>
      <c r="F3437">
        <v>0</v>
      </c>
      <c r="G3437">
        <v>0</v>
      </c>
      <c r="H3437">
        <v>5</v>
      </c>
      <c r="I3437" s="3">
        <v>2578.86</v>
      </c>
      <c r="J3437" s="3">
        <v>1321.31</v>
      </c>
      <c r="L3437">
        <v>114</v>
      </c>
      <c r="M3437" t="s">
        <v>7866</v>
      </c>
      <c r="N3437" t="s">
        <v>30</v>
      </c>
      <c r="O3437" t="s">
        <v>31</v>
      </c>
      <c r="P3437" t="str">
        <f>"15224"</f>
        <v>15224</v>
      </c>
    </row>
    <row r="3438" spans="1:16" x14ac:dyDescent="0.25">
      <c r="A3438" t="str">
        <f>"1100050L00303    00"</f>
        <v>1100050L00303    00</v>
      </c>
      <c r="B3438" t="s">
        <v>6340</v>
      </c>
      <c r="C3438" t="s">
        <v>8268</v>
      </c>
      <c r="E3438" t="s">
        <v>39</v>
      </c>
      <c r="F3438">
        <v>0</v>
      </c>
      <c r="G3438">
        <v>0</v>
      </c>
      <c r="H3438">
        <v>1</v>
      </c>
      <c r="I3438" s="3">
        <v>476.52</v>
      </c>
      <c r="J3438" s="3">
        <v>0</v>
      </c>
      <c r="L3438">
        <v>209</v>
      </c>
      <c r="M3438" t="s">
        <v>5438</v>
      </c>
      <c r="N3438" t="s">
        <v>30</v>
      </c>
      <c r="O3438" t="s">
        <v>31</v>
      </c>
      <c r="P3438" t="str">
        <f>"15213"</f>
        <v>15213</v>
      </c>
    </row>
    <row r="3439" spans="1:16" x14ac:dyDescent="0.25">
      <c r="A3439" t="str">
        <f>"1100050L00350    00"</f>
        <v>1100050L00350    00</v>
      </c>
      <c r="B3439" t="s">
        <v>8170</v>
      </c>
      <c r="C3439" t="s">
        <v>8269</v>
      </c>
      <c r="D3439" t="s">
        <v>57</v>
      </c>
      <c r="E3439" t="s">
        <v>39</v>
      </c>
      <c r="F3439">
        <v>0</v>
      </c>
      <c r="G3439">
        <v>0</v>
      </c>
      <c r="H3439">
        <v>1</v>
      </c>
      <c r="I3439" s="3">
        <v>260.77999999999997</v>
      </c>
      <c r="J3439" s="3">
        <v>0</v>
      </c>
      <c r="K3439" t="s">
        <v>8003</v>
      </c>
      <c r="L3439">
        <v>5325</v>
      </c>
      <c r="M3439" t="s">
        <v>585</v>
      </c>
      <c r="N3439" t="s">
        <v>30</v>
      </c>
      <c r="O3439" t="s">
        <v>31</v>
      </c>
      <c r="P3439" t="str">
        <f>"15224"</f>
        <v>15224</v>
      </c>
    </row>
    <row r="3440" spans="1:16" x14ac:dyDescent="0.25">
      <c r="A3440" t="str">
        <f>"1100050M00002    00"</f>
        <v>1100050M00002    00</v>
      </c>
      <c r="B3440" t="s">
        <v>8270</v>
      </c>
      <c r="C3440" t="s">
        <v>8271</v>
      </c>
      <c r="D3440" t="s">
        <v>20</v>
      </c>
      <c r="E3440" t="s">
        <v>39</v>
      </c>
      <c r="F3440">
        <v>0</v>
      </c>
      <c r="G3440">
        <v>0</v>
      </c>
      <c r="H3440">
        <v>2</v>
      </c>
      <c r="I3440" s="3">
        <v>702.96</v>
      </c>
      <c r="J3440" s="3">
        <v>33.24</v>
      </c>
      <c r="L3440">
        <v>312</v>
      </c>
      <c r="M3440" t="s">
        <v>4114</v>
      </c>
      <c r="N3440" t="s">
        <v>30</v>
      </c>
      <c r="O3440" t="s">
        <v>31</v>
      </c>
      <c r="P3440" t="str">
        <f>"15206"</f>
        <v>15206</v>
      </c>
    </row>
    <row r="3441" spans="1:16" x14ac:dyDescent="0.25">
      <c r="A3441" t="str">
        <f>"1100050M00005    00"</f>
        <v>1100050M00005    00</v>
      </c>
      <c r="B3441" t="s">
        <v>8032</v>
      </c>
      <c r="C3441" t="s">
        <v>8272</v>
      </c>
      <c r="D3441" t="s">
        <v>20</v>
      </c>
      <c r="E3441" t="s">
        <v>39</v>
      </c>
      <c r="F3441">
        <v>0</v>
      </c>
      <c r="G3441">
        <v>0</v>
      </c>
      <c r="H3441">
        <v>1</v>
      </c>
      <c r="I3441" s="3">
        <v>2433.98</v>
      </c>
      <c r="J3441" s="3">
        <v>0</v>
      </c>
      <c r="L3441">
        <v>2121</v>
      </c>
      <c r="M3441" t="s">
        <v>8034</v>
      </c>
      <c r="N3441" t="s">
        <v>4265</v>
      </c>
      <c r="O3441" t="s">
        <v>31</v>
      </c>
      <c r="P3441" t="str">
        <f>"16803"</f>
        <v>16803</v>
      </c>
    </row>
    <row r="3442" spans="1:16" x14ac:dyDescent="0.25">
      <c r="A3442" t="str">
        <f>"1100050M00010    00"</f>
        <v>1100050M00010    00</v>
      </c>
      <c r="B3442" t="s">
        <v>8001</v>
      </c>
      <c r="C3442" t="s">
        <v>7960</v>
      </c>
      <c r="E3442" t="s">
        <v>39</v>
      </c>
      <c r="F3442">
        <v>0</v>
      </c>
      <c r="G3442">
        <v>0</v>
      </c>
      <c r="H3442">
        <v>1</v>
      </c>
      <c r="I3442" s="3">
        <v>23.79</v>
      </c>
      <c r="J3442" s="3">
        <v>0</v>
      </c>
      <c r="K3442" t="s">
        <v>8003</v>
      </c>
      <c r="L3442">
        <v>5325</v>
      </c>
      <c r="M3442" t="s">
        <v>585</v>
      </c>
      <c r="N3442" t="s">
        <v>30</v>
      </c>
      <c r="O3442" t="s">
        <v>31</v>
      </c>
      <c r="P3442" t="str">
        <f>"15224"</f>
        <v>15224</v>
      </c>
    </row>
    <row r="3443" spans="1:16" x14ac:dyDescent="0.25">
      <c r="A3443" t="str">
        <f>"1100050M00011    00"</f>
        <v>1100050M00011    00</v>
      </c>
      <c r="B3443" t="s">
        <v>8001</v>
      </c>
      <c r="C3443" t="s">
        <v>7960</v>
      </c>
      <c r="E3443" t="s">
        <v>39</v>
      </c>
      <c r="F3443">
        <v>0</v>
      </c>
      <c r="G3443">
        <v>0</v>
      </c>
      <c r="H3443">
        <v>1</v>
      </c>
      <c r="I3443" s="3">
        <v>23.79</v>
      </c>
      <c r="J3443" s="3">
        <v>0</v>
      </c>
      <c r="K3443" t="s">
        <v>8003</v>
      </c>
      <c r="L3443">
        <v>5325</v>
      </c>
      <c r="M3443" t="s">
        <v>585</v>
      </c>
      <c r="N3443" t="s">
        <v>30</v>
      </c>
      <c r="O3443" t="s">
        <v>31</v>
      </c>
      <c r="P3443" t="str">
        <f>"15224"</f>
        <v>15224</v>
      </c>
    </row>
    <row r="3444" spans="1:16" x14ac:dyDescent="0.25">
      <c r="A3444" t="str">
        <f>"1100050M00011A   00"</f>
        <v>1100050M00011A   00</v>
      </c>
      <c r="B3444" t="s">
        <v>8170</v>
      </c>
      <c r="C3444" t="s">
        <v>8273</v>
      </c>
      <c r="E3444" t="s">
        <v>39</v>
      </c>
      <c r="F3444">
        <v>0</v>
      </c>
      <c r="G3444">
        <v>0</v>
      </c>
      <c r="H3444">
        <v>1</v>
      </c>
      <c r="I3444" s="3">
        <v>323.33</v>
      </c>
      <c r="J3444" s="3">
        <v>0</v>
      </c>
      <c r="K3444" t="s">
        <v>8274</v>
      </c>
      <c r="L3444">
        <v>5323</v>
      </c>
      <c r="M3444" t="s">
        <v>585</v>
      </c>
      <c r="N3444" t="s">
        <v>30</v>
      </c>
      <c r="O3444" t="s">
        <v>31</v>
      </c>
      <c r="P3444" t="str">
        <f>"15224"</f>
        <v>15224</v>
      </c>
    </row>
    <row r="3445" spans="1:16" x14ac:dyDescent="0.25">
      <c r="A3445" t="str">
        <f>"1100050M00013A   00"</f>
        <v>1100050M00013A   00</v>
      </c>
      <c r="B3445" t="s">
        <v>8001</v>
      </c>
      <c r="C3445" t="s">
        <v>8275</v>
      </c>
      <c r="D3445" t="s">
        <v>57</v>
      </c>
      <c r="E3445" t="s">
        <v>39</v>
      </c>
      <c r="F3445">
        <v>0</v>
      </c>
      <c r="G3445">
        <v>0</v>
      </c>
      <c r="H3445">
        <v>1</v>
      </c>
      <c r="I3445" s="3">
        <v>109.24</v>
      </c>
      <c r="J3445" s="3">
        <v>0</v>
      </c>
      <c r="K3445" t="s">
        <v>8003</v>
      </c>
      <c r="L3445">
        <v>5325</v>
      </c>
      <c r="M3445" t="s">
        <v>585</v>
      </c>
      <c r="N3445" t="s">
        <v>30</v>
      </c>
      <c r="O3445" t="s">
        <v>31</v>
      </c>
      <c r="P3445" t="str">
        <f>"15224"</f>
        <v>15224</v>
      </c>
    </row>
    <row r="3446" spans="1:16" x14ac:dyDescent="0.25">
      <c r="A3446" t="str">
        <f>"1100050M00016A   00"</f>
        <v>1100050M00016A   00</v>
      </c>
      <c r="B3446" t="s">
        <v>8276</v>
      </c>
      <c r="C3446" t="s">
        <v>8277</v>
      </c>
      <c r="D3446" t="s">
        <v>20</v>
      </c>
      <c r="E3446" t="s">
        <v>39</v>
      </c>
      <c r="F3446">
        <v>0</v>
      </c>
      <c r="G3446">
        <v>0</v>
      </c>
      <c r="H3446">
        <v>1</v>
      </c>
      <c r="I3446" s="3">
        <v>569.9</v>
      </c>
      <c r="J3446" s="3">
        <v>0</v>
      </c>
      <c r="K3446" t="s">
        <v>8278</v>
      </c>
      <c r="L3446">
        <v>10300</v>
      </c>
      <c r="M3446" t="s">
        <v>8279</v>
      </c>
      <c r="N3446" t="s">
        <v>2059</v>
      </c>
      <c r="O3446" t="s">
        <v>31</v>
      </c>
      <c r="P3446" t="str">
        <f>"15642"</f>
        <v>15642</v>
      </c>
    </row>
    <row r="3447" spans="1:16" x14ac:dyDescent="0.25">
      <c r="A3447" t="str">
        <f>"1100050M00017    00"</f>
        <v>1100050M00017    00</v>
      </c>
      <c r="B3447" t="s">
        <v>8170</v>
      </c>
      <c r="C3447" t="s">
        <v>7960</v>
      </c>
      <c r="E3447" t="s">
        <v>39</v>
      </c>
      <c r="F3447">
        <v>0</v>
      </c>
      <c r="G3447">
        <v>0</v>
      </c>
      <c r="H3447">
        <v>1</v>
      </c>
      <c r="I3447" s="3">
        <v>23.79</v>
      </c>
      <c r="J3447" s="3">
        <v>0</v>
      </c>
      <c r="K3447" t="s">
        <v>8003</v>
      </c>
      <c r="L3447">
        <v>5325</v>
      </c>
      <c r="M3447" t="s">
        <v>585</v>
      </c>
      <c r="N3447" t="s">
        <v>30</v>
      </c>
      <c r="O3447" t="s">
        <v>31</v>
      </c>
      <c r="P3447" t="str">
        <f>"15224"</f>
        <v>15224</v>
      </c>
    </row>
    <row r="3448" spans="1:16" x14ac:dyDescent="0.25">
      <c r="A3448" t="str">
        <f>"1100050M00017A   00"</f>
        <v>1100050M00017A   00</v>
      </c>
      <c r="B3448" t="s">
        <v>8170</v>
      </c>
      <c r="C3448" t="s">
        <v>8280</v>
      </c>
      <c r="E3448" t="s">
        <v>39</v>
      </c>
      <c r="F3448">
        <v>0</v>
      </c>
      <c r="G3448">
        <v>0</v>
      </c>
      <c r="H3448">
        <v>9</v>
      </c>
      <c r="I3448" s="3">
        <v>3899</v>
      </c>
      <c r="J3448" s="3">
        <v>4320.03</v>
      </c>
      <c r="K3448" t="s">
        <v>8003</v>
      </c>
      <c r="L3448">
        <v>5325</v>
      </c>
      <c r="M3448" t="s">
        <v>585</v>
      </c>
      <c r="N3448" t="s">
        <v>30</v>
      </c>
      <c r="O3448" t="s">
        <v>31</v>
      </c>
      <c r="P3448" t="str">
        <f>"15224"</f>
        <v>15224</v>
      </c>
    </row>
    <row r="3449" spans="1:16" x14ac:dyDescent="0.25">
      <c r="A3449" t="str">
        <f>"1100050M00018    00"</f>
        <v>1100050M00018    00</v>
      </c>
      <c r="B3449" t="s">
        <v>8281</v>
      </c>
      <c r="C3449" t="s">
        <v>8282</v>
      </c>
      <c r="D3449" t="s">
        <v>20</v>
      </c>
      <c r="E3449" t="s">
        <v>39</v>
      </c>
      <c r="F3449">
        <v>0</v>
      </c>
      <c r="G3449">
        <v>0</v>
      </c>
      <c r="H3449">
        <v>4</v>
      </c>
      <c r="I3449" s="3">
        <v>2802.21</v>
      </c>
      <c r="J3449" s="3">
        <v>331.01</v>
      </c>
      <c r="L3449">
        <v>3302</v>
      </c>
      <c r="M3449" t="s">
        <v>8283</v>
      </c>
      <c r="N3449" t="s">
        <v>238</v>
      </c>
      <c r="O3449" t="s">
        <v>31</v>
      </c>
      <c r="P3449" t="str">
        <f>"15131"</f>
        <v>15131</v>
      </c>
    </row>
    <row r="3450" spans="1:16" x14ac:dyDescent="0.25">
      <c r="A3450" t="str">
        <f>"1100050M00018A   00"</f>
        <v>1100050M00018A   00</v>
      </c>
      <c r="B3450" t="s">
        <v>8001</v>
      </c>
      <c r="C3450" t="s">
        <v>8269</v>
      </c>
      <c r="E3450" t="s">
        <v>39</v>
      </c>
      <c r="F3450">
        <v>0</v>
      </c>
      <c r="G3450">
        <v>0</v>
      </c>
      <c r="H3450">
        <v>11</v>
      </c>
      <c r="I3450" s="3">
        <v>5502.57</v>
      </c>
      <c r="J3450" s="3">
        <v>7409.17</v>
      </c>
      <c r="K3450" t="s">
        <v>8003</v>
      </c>
      <c r="L3450">
        <v>5325</v>
      </c>
      <c r="M3450" t="s">
        <v>585</v>
      </c>
      <c r="N3450" t="s">
        <v>30</v>
      </c>
      <c r="O3450" t="s">
        <v>31</v>
      </c>
      <c r="P3450" t="str">
        <f t="shared" ref="P3450:P3458" si="43">"15224"</f>
        <v>15224</v>
      </c>
    </row>
    <row r="3451" spans="1:16" x14ac:dyDescent="0.25">
      <c r="A3451" t="str">
        <f>"1100050M00018C   00"</f>
        <v>1100050M00018C   00</v>
      </c>
      <c r="B3451" t="s">
        <v>8001</v>
      </c>
      <c r="C3451" t="s">
        <v>8269</v>
      </c>
      <c r="E3451" t="s">
        <v>39</v>
      </c>
      <c r="F3451">
        <v>0</v>
      </c>
      <c r="G3451">
        <v>0</v>
      </c>
      <c r="H3451">
        <v>1</v>
      </c>
      <c r="I3451" s="3">
        <v>23.79</v>
      </c>
      <c r="J3451" s="3">
        <v>0</v>
      </c>
      <c r="K3451" t="s">
        <v>8003</v>
      </c>
      <c r="L3451">
        <v>5325</v>
      </c>
      <c r="M3451" t="s">
        <v>585</v>
      </c>
      <c r="N3451" t="s">
        <v>30</v>
      </c>
      <c r="O3451" t="s">
        <v>31</v>
      </c>
      <c r="P3451" t="str">
        <f t="shared" si="43"/>
        <v>15224</v>
      </c>
    </row>
    <row r="3452" spans="1:16" x14ac:dyDescent="0.25">
      <c r="A3452" t="str">
        <f>"1100050M00019B   00"</f>
        <v>1100050M00019B   00</v>
      </c>
      <c r="B3452" t="s">
        <v>8170</v>
      </c>
      <c r="C3452" t="s">
        <v>8269</v>
      </c>
      <c r="E3452" t="s">
        <v>39</v>
      </c>
      <c r="F3452">
        <v>0</v>
      </c>
      <c r="G3452">
        <v>0</v>
      </c>
      <c r="H3452">
        <v>1</v>
      </c>
      <c r="I3452" s="3">
        <v>23.79</v>
      </c>
      <c r="J3452" s="3">
        <v>0</v>
      </c>
      <c r="K3452" t="s">
        <v>8003</v>
      </c>
      <c r="L3452">
        <v>5325</v>
      </c>
      <c r="M3452" t="s">
        <v>585</v>
      </c>
      <c r="N3452" t="s">
        <v>30</v>
      </c>
      <c r="O3452" t="s">
        <v>31</v>
      </c>
      <c r="P3452" t="str">
        <f t="shared" si="43"/>
        <v>15224</v>
      </c>
    </row>
    <row r="3453" spans="1:16" x14ac:dyDescent="0.25">
      <c r="A3453" t="str">
        <f>"1100050M00020    00"</f>
        <v>1100050M00020    00</v>
      </c>
      <c r="B3453" t="s">
        <v>8170</v>
      </c>
      <c r="C3453" t="s">
        <v>7960</v>
      </c>
      <c r="E3453" t="s">
        <v>39</v>
      </c>
      <c r="F3453">
        <v>0</v>
      </c>
      <c r="G3453">
        <v>0</v>
      </c>
      <c r="H3453">
        <v>1</v>
      </c>
      <c r="I3453" s="3">
        <v>23.79</v>
      </c>
      <c r="J3453" s="3">
        <v>0</v>
      </c>
      <c r="K3453" t="s">
        <v>8003</v>
      </c>
      <c r="L3453">
        <v>5325</v>
      </c>
      <c r="M3453" t="s">
        <v>585</v>
      </c>
      <c r="N3453" t="s">
        <v>30</v>
      </c>
      <c r="O3453" t="s">
        <v>31</v>
      </c>
      <c r="P3453" t="str">
        <f t="shared" si="43"/>
        <v>15224</v>
      </c>
    </row>
    <row r="3454" spans="1:16" x14ac:dyDescent="0.25">
      <c r="A3454" t="str">
        <f>"1100050M00020A   00"</f>
        <v>1100050M00020A   00</v>
      </c>
      <c r="B3454" t="s">
        <v>8170</v>
      </c>
      <c r="C3454" t="s">
        <v>7960</v>
      </c>
      <c r="E3454" t="s">
        <v>39</v>
      </c>
      <c r="F3454">
        <v>0</v>
      </c>
      <c r="G3454">
        <v>0</v>
      </c>
      <c r="H3454">
        <v>1</v>
      </c>
      <c r="I3454" s="3">
        <v>25.55</v>
      </c>
      <c r="J3454" s="3">
        <v>0</v>
      </c>
      <c r="K3454" t="s">
        <v>8003</v>
      </c>
      <c r="L3454">
        <v>5325</v>
      </c>
      <c r="M3454" t="s">
        <v>585</v>
      </c>
      <c r="N3454" t="s">
        <v>30</v>
      </c>
      <c r="O3454" t="s">
        <v>31</v>
      </c>
      <c r="P3454" t="str">
        <f t="shared" si="43"/>
        <v>15224</v>
      </c>
    </row>
    <row r="3455" spans="1:16" x14ac:dyDescent="0.25">
      <c r="A3455" t="str">
        <f>"1100050M00021A   00"</f>
        <v>1100050M00021A   00</v>
      </c>
      <c r="B3455" t="s">
        <v>8284</v>
      </c>
      <c r="C3455" t="s">
        <v>8285</v>
      </c>
      <c r="D3455" t="s">
        <v>20</v>
      </c>
      <c r="E3455" t="s">
        <v>39</v>
      </c>
      <c r="F3455">
        <v>0</v>
      </c>
      <c r="G3455">
        <v>0</v>
      </c>
      <c r="H3455">
        <v>18</v>
      </c>
      <c r="I3455" s="3">
        <v>15085.46</v>
      </c>
      <c r="J3455" s="3">
        <v>11517.23</v>
      </c>
      <c r="K3455" t="s">
        <v>8286</v>
      </c>
      <c r="L3455">
        <v>5352</v>
      </c>
      <c r="M3455" t="s">
        <v>7962</v>
      </c>
      <c r="N3455" t="s">
        <v>30</v>
      </c>
      <c r="O3455" t="s">
        <v>31</v>
      </c>
      <c r="P3455" t="str">
        <f t="shared" si="43"/>
        <v>15224</v>
      </c>
    </row>
    <row r="3456" spans="1:16" x14ac:dyDescent="0.25">
      <c r="A3456" t="str">
        <f>"1100050M00021B   00"</f>
        <v>1100050M00021B   00</v>
      </c>
      <c r="B3456" t="s">
        <v>8170</v>
      </c>
      <c r="C3456" t="s">
        <v>8269</v>
      </c>
      <c r="E3456" t="s">
        <v>39</v>
      </c>
      <c r="F3456">
        <v>0</v>
      </c>
      <c r="G3456">
        <v>0</v>
      </c>
      <c r="H3456">
        <v>1</v>
      </c>
      <c r="I3456" s="3">
        <v>34.36</v>
      </c>
      <c r="J3456" s="3">
        <v>0</v>
      </c>
      <c r="K3456" t="s">
        <v>8003</v>
      </c>
      <c r="L3456">
        <v>5325</v>
      </c>
      <c r="M3456" t="s">
        <v>585</v>
      </c>
      <c r="N3456" t="s">
        <v>30</v>
      </c>
      <c r="O3456" t="s">
        <v>31</v>
      </c>
      <c r="P3456" t="str">
        <f t="shared" si="43"/>
        <v>15224</v>
      </c>
    </row>
    <row r="3457" spans="1:16" x14ac:dyDescent="0.25">
      <c r="A3457" t="str">
        <f>"1100050M00021C   00"</f>
        <v>1100050M00021C   00</v>
      </c>
      <c r="B3457" t="s">
        <v>8170</v>
      </c>
      <c r="C3457" t="s">
        <v>8269</v>
      </c>
      <c r="E3457" t="s">
        <v>39</v>
      </c>
      <c r="F3457">
        <v>0</v>
      </c>
      <c r="G3457">
        <v>0</v>
      </c>
      <c r="H3457">
        <v>1</v>
      </c>
      <c r="I3457" s="3">
        <v>37</v>
      </c>
      <c r="J3457" s="3">
        <v>0</v>
      </c>
      <c r="K3457" t="s">
        <v>8003</v>
      </c>
      <c r="L3457">
        <v>5325</v>
      </c>
      <c r="M3457" t="s">
        <v>585</v>
      </c>
      <c r="N3457" t="s">
        <v>30</v>
      </c>
      <c r="O3457" t="s">
        <v>31</v>
      </c>
      <c r="P3457" t="str">
        <f t="shared" si="43"/>
        <v>15224</v>
      </c>
    </row>
    <row r="3458" spans="1:16" x14ac:dyDescent="0.25">
      <c r="A3458" t="str">
        <f>"1100050M00024    00"</f>
        <v>1100050M00024    00</v>
      </c>
      <c r="B3458" t="s">
        <v>8287</v>
      </c>
      <c r="C3458" t="s">
        <v>8288</v>
      </c>
      <c r="D3458" t="s">
        <v>20</v>
      </c>
      <c r="E3458" t="s">
        <v>39</v>
      </c>
      <c r="F3458">
        <v>0</v>
      </c>
      <c r="G3458">
        <v>0</v>
      </c>
      <c r="H3458">
        <v>11</v>
      </c>
      <c r="I3458" s="3">
        <v>8671.02</v>
      </c>
      <c r="J3458" s="3">
        <v>6763.04</v>
      </c>
      <c r="L3458">
        <v>5364</v>
      </c>
      <c r="M3458" t="s">
        <v>7962</v>
      </c>
      <c r="N3458" t="s">
        <v>30</v>
      </c>
      <c r="O3458" t="s">
        <v>31</v>
      </c>
      <c r="P3458" t="str">
        <f t="shared" si="43"/>
        <v>15224</v>
      </c>
    </row>
    <row r="3459" spans="1:16" x14ac:dyDescent="0.25">
      <c r="A3459" t="str">
        <f>"1100050M00025    00"</f>
        <v>1100050M00025    00</v>
      </c>
      <c r="B3459" t="s">
        <v>8289</v>
      </c>
      <c r="C3459" t="s">
        <v>8290</v>
      </c>
      <c r="D3459" t="s">
        <v>20</v>
      </c>
      <c r="E3459" t="s">
        <v>39</v>
      </c>
      <c r="F3459">
        <v>0</v>
      </c>
      <c r="G3459">
        <v>0</v>
      </c>
      <c r="H3459">
        <v>19</v>
      </c>
      <c r="I3459" s="3">
        <v>16752.93</v>
      </c>
      <c r="J3459" s="3">
        <v>13767.05</v>
      </c>
      <c r="L3459">
        <v>1601</v>
      </c>
      <c r="M3459" t="s">
        <v>8291</v>
      </c>
      <c r="N3459" t="s">
        <v>30</v>
      </c>
      <c r="O3459" t="s">
        <v>31</v>
      </c>
      <c r="P3459" t="str">
        <f>"15221"</f>
        <v>15221</v>
      </c>
    </row>
    <row r="3460" spans="1:16" x14ac:dyDescent="0.25">
      <c r="A3460" t="str">
        <f>"1100050M00048    00"</f>
        <v>1100050M00048    00</v>
      </c>
      <c r="B3460" t="s">
        <v>8292</v>
      </c>
      <c r="C3460" t="s">
        <v>8293</v>
      </c>
      <c r="D3460" t="s">
        <v>20</v>
      </c>
      <c r="E3460" t="s">
        <v>39</v>
      </c>
      <c r="F3460">
        <v>0</v>
      </c>
      <c r="G3460">
        <v>0</v>
      </c>
      <c r="H3460">
        <v>2</v>
      </c>
      <c r="I3460" s="3">
        <v>1339.94</v>
      </c>
      <c r="J3460" s="3">
        <v>0</v>
      </c>
      <c r="K3460" t="s">
        <v>8103</v>
      </c>
      <c r="L3460">
        <v>411</v>
      </c>
      <c r="M3460" t="s">
        <v>8104</v>
      </c>
      <c r="N3460" t="s">
        <v>30</v>
      </c>
      <c r="O3460" t="s">
        <v>31</v>
      </c>
      <c r="P3460" t="str">
        <f>"15219"</f>
        <v>15219</v>
      </c>
    </row>
    <row r="3461" spans="1:16" x14ac:dyDescent="0.25">
      <c r="A3461" t="str">
        <f>"1100050M00053E   00"</f>
        <v>1100050M00053E   00</v>
      </c>
      <c r="B3461" t="s">
        <v>8170</v>
      </c>
      <c r="C3461" t="s">
        <v>8269</v>
      </c>
      <c r="E3461" t="s">
        <v>39</v>
      </c>
      <c r="F3461">
        <v>0</v>
      </c>
      <c r="G3461">
        <v>0</v>
      </c>
      <c r="H3461">
        <v>1</v>
      </c>
      <c r="I3461" s="3">
        <v>23.79</v>
      </c>
      <c r="J3461" s="3">
        <v>0</v>
      </c>
      <c r="K3461" t="s">
        <v>8003</v>
      </c>
      <c r="L3461">
        <v>5325</v>
      </c>
      <c r="M3461" t="s">
        <v>585</v>
      </c>
      <c r="N3461" t="s">
        <v>30</v>
      </c>
      <c r="O3461" t="s">
        <v>31</v>
      </c>
      <c r="P3461" t="str">
        <f>"15224"</f>
        <v>15224</v>
      </c>
    </row>
    <row r="3462" spans="1:16" x14ac:dyDescent="0.25">
      <c r="A3462" t="str">
        <f>"1100050M00053F   00"</f>
        <v>1100050M00053F   00</v>
      </c>
      <c r="B3462" t="s">
        <v>8170</v>
      </c>
      <c r="C3462" t="s">
        <v>8269</v>
      </c>
      <c r="E3462" t="s">
        <v>39</v>
      </c>
      <c r="F3462">
        <v>0</v>
      </c>
      <c r="G3462">
        <v>0</v>
      </c>
      <c r="H3462">
        <v>1</v>
      </c>
      <c r="I3462" s="3">
        <v>23.79</v>
      </c>
      <c r="J3462" s="3">
        <v>0</v>
      </c>
      <c r="K3462" t="s">
        <v>8003</v>
      </c>
      <c r="L3462">
        <v>5325</v>
      </c>
      <c r="M3462" t="s">
        <v>585</v>
      </c>
      <c r="N3462" t="s">
        <v>30</v>
      </c>
      <c r="O3462" t="s">
        <v>31</v>
      </c>
      <c r="P3462" t="str">
        <f>"15224"</f>
        <v>15224</v>
      </c>
    </row>
    <row r="3463" spans="1:16" x14ac:dyDescent="0.25">
      <c r="A3463" t="str">
        <f>"1100050M00053G   00"</f>
        <v>1100050M00053G   00</v>
      </c>
      <c r="B3463" t="s">
        <v>8170</v>
      </c>
      <c r="C3463" t="s">
        <v>8269</v>
      </c>
      <c r="E3463" t="s">
        <v>39</v>
      </c>
      <c r="F3463">
        <v>0</v>
      </c>
      <c r="G3463">
        <v>0</v>
      </c>
      <c r="H3463">
        <v>1</v>
      </c>
      <c r="I3463" s="3">
        <v>23.79</v>
      </c>
      <c r="J3463" s="3">
        <v>0</v>
      </c>
      <c r="K3463" t="s">
        <v>8003</v>
      </c>
      <c r="L3463">
        <v>5325</v>
      </c>
      <c r="M3463" t="s">
        <v>585</v>
      </c>
      <c r="N3463" t="s">
        <v>30</v>
      </c>
      <c r="O3463" t="s">
        <v>31</v>
      </c>
      <c r="P3463" t="str">
        <f>"15224"</f>
        <v>15224</v>
      </c>
    </row>
    <row r="3464" spans="1:16" x14ac:dyDescent="0.25">
      <c r="A3464" t="str">
        <f>"1100050M00055A   00"</f>
        <v>1100050M00055A   00</v>
      </c>
      <c r="B3464" t="s">
        <v>8294</v>
      </c>
      <c r="C3464" t="s">
        <v>8295</v>
      </c>
      <c r="D3464" t="s">
        <v>20</v>
      </c>
      <c r="E3464" t="s">
        <v>39</v>
      </c>
      <c r="F3464">
        <v>0</v>
      </c>
      <c r="G3464">
        <v>0</v>
      </c>
      <c r="H3464">
        <v>2</v>
      </c>
      <c r="I3464" s="3">
        <v>381.2</v>
      </c>
      <c r="J3464" s="3">
        <v>0</v>
      </c>
      <c r="L3464">
        <v>303</v>
      </c>
      <c r="M3464" t="s">
        <v>8296</v>
      </c>
      <c r="N3464" t="s">
        <v>30</v>
      </c>
      <c r="O3464" t="s">
        <v>31</v>
      </c>
      <c r="P3464" t="str">
        <f>"15211"</f>
        <v>15211</v>
      </c>
    </row>
    <row r="3465" spans="1:16" x14ac:dyDescent="0.25">
      <c r="A3465" t="str">
        <f>"1100050M00055B   00"</f>
        <v>1100050M00055B   00</v>
      </c>
      <c r="B3465" t="s">
        <v>8297</v>
      </c>
      <c r="C3465" t="s">
        <v>8298</v>
      </c>
      <c r="D3465" t="s">
        <v>20</v>
      </c>
      <c r="E3465" t="s">
        <v>39</v>
      </c>
      <c r="F3465">
        <v>0</v>
      </c>
      <c r="G3465">
        <v>0</v>
      </c>
      <c r="H3465">
        <v>3</v>
      </c>
      <c r="I3465" s="3">
        <v>1409.5</v>
      </c>
      <c r="J3465" s="3">
        <v>83.69</v>
      </c>
      <c r="L3465">
        <v>303</v>
      </c>
      <c r="M3465" t="s">
        <v>8296</v>
      </c>
      <c r="N3465" t="s">
        <v>30</v>
      </c>
      <c r="O3465" t="s">
        <v>31</v>
      </c>
      <c r="P3465" t="str">
        <f>"15211"</f>
        <v>15211</v>
      </c>
    </row>
    <row r="3466" spans="1:16" x14ac:dyDescent="0.25">
      <c r="A3466" t="str">
        <f>"1100050M00057    00"</f>
        <v>1100050M00057    00</v>
      </c>
      <c r="B3466" t="s">
        <v>8299</v>
      </c>
      <c r="C3466" t="s">
        <v>8300</v>
      </c>
      <c r="E3466" t="s">
        <v>39</v>
      </c>
      <c r="F3466">
        <v>0</v>
      </c>
      <c r="G3466">
        <v>0</v>
      </c>
      <c r="H3466">
        <v>1</v>
      </c>
      <c r="I3466" s="3">
        <v>1357.63</v>
      </c>
      <c r="J3466" s="3">
        <v>0</v>
      </c>
      <c r="K3466" t="s">
        <v>1632</v>
      </c>
      <c r="L3466">
        <v>3001</v>
      </c>
      <c r="M3466" t="s">
        <v>330</v>
      </c>
      <c r="N3466" t="s">
        <v>331</v>
      </c>
      <c r="O3466" t="s">
        <v>108</v>
      </c>
      <c r="P3466" t="str">
        <f>"75063"</f>
        <v>75063</v>
      </c>
    </row>
    <row r="3467" spans="1:16" x14ac:dyDescent="0.25">
      <c r="A3467" t="str">
        <f>"1100050M00059    00"</f>
        <v>1100050M00059    00</v>
      </c>
      <c r="B3467" t="s">
        <v>8301</v>
      </c>
      <c r="C3467" t="s">
        <v>8302</v>
      </c>
      <c r="D3467" t="s">
        <v>20</v>
      </c>
      <c r="E3467" t="s">
        <v>39</v>
      </c>
      <c r="F3467">
        <v>0</v>
      </c>
      <c r="G3467">
        <v>0</v>
      </c>
      <c r="H3467">
        <v>1</v>
      </c>
      <c r="I3467" s="3">
        <v>571.82000000000005</v>
      </c>
      <c r="J3467" s="3">
        <v>0</v>
      </c>
      <c r="L3467">
        <v>9302</v>
      </c>
      <c r="M3467" t="s">
        <v>8303</v>
      </c>
      <c r="N3467" t="s">
        <v>2008</v>
      </c>
      <c r="O3467" t="s">
        <v>31</v>
      </c>
      <c r="P3467" t="str">
        <f>"16066"</f>
        <v>16066</v>
      </c>
    </row>
    <row r="3468" spans="1:16" x14ac:dyDescent="0.25">
      <c r="A3468" t="str">
        <f>"1100050M00071    00"</f>
        <v>1100050M00071    00</v>
      </c>
      <c r="B3468" t="s">
        <v>8032</v>
      </c>
      <c r="C3468" t="s">
        <v>8304</v>
      </c>
      <c r="D3468" t="s">
        <v>57</v>
      </c>
      <c r="E3468" t="s">
        <v>39</v>
      </c>
      <c r="F3468">
        <v>0</v>
      </c>
      <c r="G3468">
        <v>0</v>
      </c>
      <c r="H3468">
        <v>1</v>
      </c>
      <c r="I3468" s="3">
        <v>24.79</v>
      </c>
      <c r="J3468" s="3">
        <v>4.97</v>
      </c>
      <c r="L3468">
        <v>2121</v>
      </c>
      <c r="M3468" t="s">
        <v>8034</v>
      </c>
      <c r="N3468" t="s">
        <v>4265</v>
      </c>
      <c r="O3468" t="s">
        <v>31</v>
      </c>
      <c r="P3468" t="str">
        <f>"16803"</f>
        <v>16803</v>
      </c>
    </row>
    <row r="3469" spans="1:16" x14ac:dyDescent="0.25">
      <c r="A3469" t="str">
        <f>"1100050M00080    00"</f>
        <v>1100050M00080    00</v>
      </c>
      <c r="B3469" t="s">
        <v>8305</v>
      </c>
      <c r="C3469" t="s">
        <v>8306</v>
      </c>
      <c r="E3469" t="s">
        <v>39</v>
      </c>
      <c r="F3469">
        <v>0</v>
      </c>
      <c r="G3469">
        <v>0</v>
      </c>
      <c r="H3469">
        <v>1</v>
      </c>
      <c r="I3469" s="3">
        <v>123.34</v>
      </c>
      <c r="J3469" s="3">
        <v>0</v>
      </c>
      <c r="K3469" t="s">
        <v>8307</v>
      </c>
      <c r="L3469">
        <v>420</v>
      </c>
      <c r="M3469" t="s">
        <v>8308</v>
      </c>
      <c r="N3469" t="s">
        <v>30</v>
      </c>
      <c r="O3469" t="s">
        <v>31</v>
      </c>
      <c r="P3469" t="str">
        <f>"15206"</f>
        <v>15206</v>
      </c>
    </row>
    <row r="3470" spans="1:16" x14ac:dyDescent="0.25">
      <c r="A3470" t="str">
        <f>"1100050M00088    00"</f>
        <v>1100050M00088    00</v>
      </c>
      <c r="B3470" t="s">
        <v>8309</v>
      </c>
      <c r="C3470" t="s">
        <v>8310</v>
      </c>
      <c r="D3470" t="s">
        <v>20</v>
      </c>
      <c r="E3470" t="s">
        <v>39</v>
      </c>
      <c r="F3470">
        <v>0</v>
      </c>
      <c r="G3470">
        <v>0</v>
      </c>
      <c r="H3470">
        <v>5</v>
      </c>
      <c r="I3470" s="3">
        <v>4936.1000000000004</v>
      </c>
      <c r="J3470" s="3">
        <v>860.93</v>
      </c>
      <c r="K3470" t="s">
        <v>8311</v>
      </c>
      <c r="L3470">
        <v>5339</v>
      </c>
      <c r="M3470" t="s">
        <v>8249</v>
      </c>
      <c r="N3470" t="s">
        <v>30</v>
      </c>
      <c r="O3470" t="s">
        <v>31</v>
      </c>
      <c r="P3470" t="str">
        <f>"15224"</f>
        <v>15224</v>
      </c>
    </row>
    <row r="3471" spans="1:16" x14ac:dyDescent="0.25">
      <c r="A3471" t="str">
        <f>"1100050M00103    00"</f>
        <v>1100050M00103    00</v>
      </c>
      <c r="B3471" t="s">
        <v>8312</v>
      </c>
      <c r="C3471" t="s">
        <v>8313</v>
      </c>
      <c r="E3471" t="s">
        <v>39</v>
      </c>
      <c r="F3471">
        <v>0</v>
      </c>
      <c r="G3471">
        <v>0</v>
      </c>
      <c r="H3471">
        <v>4</v>
      </c>
      <c r="I3471" s="3">
        <v>5370.53</v>
      </c>
      <c r="J3471" s="3">
        <v>897.32</v>
      </c>
      <c r="K3471" t="s">
        <v>8314</v>
      </c>
      <c r="L3471">
        <v>10090</v>
      </c>
      <c r="M3471" t="s">
        <v>8315</v>
      </c>
      <c r="N3471" t="s">
        <v>8316</v>
      </c>
      <c r="O3471" t="s">
        <v>25</v>
      </c>
      <c r="P3471" t="str">
        <f>"43318"</f>
        <v>43318</v>
      </c>
    </row>
    <row r="3472" spans="1:16" x14ac:dyDescent="0.25">
      <c r="A3472" t="str">
        <f>"1100050M00331    00"</f>
        <v>1100050M00331    00</v>
      </c>
      <c r="B3472" t="s">
        <v>2192</v>
      </c>
      <c r="C3472" t="s">
        <v>8317</v>
      </c>
      <c r="D3472" t="s">
        <v>20</v>
      </c>
      <c r="E3472" t="s">
        <v>39</v>
      </c>
      <c r="F3472">
        <v>0</v>
      </c>
      <c r="G3472">
        <v>0</v>
      </c>
      <c r="H3472">
        <v>9</v>
      </c>
      <c r="I3472" s="3">
        <v>13210.69</v>
      </c>
      <c r="J3472" s="3">
        <v>5002.33</v>
      </c>
      <c r="K3472" t="s">
        <v>1351</v>
      </c>
      <c r="L3472">
        <v>422</v>
      </c>
      <c r="M3472" t="s">
        <v>1352</v>
      </c>
      <c r="N3472" t="s">
        <v>1353</v>
      </c>
      <c r="O3472" t="s">
        <v>31</v>
      </c>
      <c r="P3472" t="str">
        <f>"15085"</f>
        <v>15085</v>
      </c>
    </row>
    <row r="3473" spans="1:16" x14ac:dyDescent="0.25">
      <c r="A3473" t="str">
        <f>"1100050R00010    00"</f>
        <v>1100050R00010    00</v>
      </c>
      <c r="B3473" t="s">
        <v>8318</v>
      </c>
      <c r="C3473" t="s">
        <v>8319</v>
      </c>
      <c r="D3473" t="s">
        <v>20</v>
      </c>
      <c r="E3473" t="s">
        <v>39</v>
      </c>
      <c r="F3473">
        <v>0</v>
      </c>
      <c r="G3473">
        <v>0</v>
      </c>
      <c r="H3473">
        <v>19</v>
      </c>
      <c r="I3473" s="3">
        <v>20382.48</v>
      </c>
      <c r="J3473" s="3">
        <v>21246.89</v>
      </c>
      <c r="L3473">
        <v>5207</v>
      </c>
      <c r="M3473" t="s">
        <v>585</v>
      </c>
      <c r="N3473" t="s">
        <v>30</v>
      </c>
      <c r="O3473" t="s">
        <v>31</v>
      </c>
      <c r="P3473" t="str">
        <f>"15224"</f>
        <v>15224</v>
      </c>
    </row>
    <row r="3474" spans="1:16" x14ac:dyDescent="0.25">
      <c r="A3474" t="str">
        <f>"1100050R00011    00"</f>
        <v>1100050R00011    00</v>
      </c>
      <c r="B3474" t="s">
        <v>8320</v>
      </c>
      <c r="C3474" t="s">
        <v>8321</v>
      </c>
      <c r="D3474" t="s">
        <v>20</v>
      </c>
      <c r="E3474" t="s">
        <v>39</v>
      </c>
      <c r="F3474">
        <v>0</v>
      </c>
      <c r="G3474">
        <v>0</v>
      </c>
      <c r="H3474">
        <v>3</v>
      </c>
      <c r="I3474" s="3">
        <v>3831.98</v>
      </c>
      <c r="J3474" s="3">
        <v>0</v>
      </c>
      <c r="K3474" t="s">
        <v>4971</v>
      </c>
      <c r="L3474">
        <v>3350</v>
      </c>
      <c r="M3474" t="s">
        <v>4972</v>
      </c>
      <c r="N3474" t="s">
        <v>605</v>
      </c>
      <c r="O3474" t="s">
        <v>606</v>
      </c>
      <c r="P3474" t="str">
        <f>"30326"</f>
        <v>30326</v>
      </c>
    </row>
    <row r="3475" spans="1:16" x14ac:dyDescent="0.25">
      <c r="A3475" t="str">
        <f>"1100050R00012    00"</f>
        <v>1100050R00012    00</v>
      </c>
      <c r="B3475" t="s">
        <v>8322</v>
      </c>
      <c r="C3475" t="s">
        <v>8323</v>
      </c>
      <c r="D3475" t="s">
        <v>20</v>
      </c>
      <c r="E3475" t="s">
        <v>39</v>
      </c>
      <c r="F3475">
        <v>0</v>
      </c>
      <c r="G3475">
        <v>0</v>
      </c>
      <c r="H3475">
        <v>2</v>
      </c>
      <c r="I3475" s="3">
        <v>2687.48</v>
      </c>
      <c r="J3475" s="3">
        <v>0</v>
      </c>
      <c r="K3475" t="s">
        <v>8324</v>
      </c>
      <c r="L3475">
        <v>11452</v>
      </c>
      <c r="M3475" t="s">
        <v>8325</v>
      </c>
      <c r="N3475" t="s">
        <v>8326</v>
      </c>
      <c r="O3475" t="s">
        <v>495</v>
      </c>
      <c r="P3475" t="str">
        <f>"90720"</f>
        <v>90720</v>
      </c>
    </row>
    <row r="3476" spans="1:16" x14ac:dyDescent="0.25">
      <c r="A3476" t="str">
        <f>"1100050R00014    00"</f>
        <v>1100050R00014    00</v>
      </c>
      <c r="B3476" t="s">
        <v>8327</v>
      </c>
      <c r="C3476" t="s">
        <v>8328</v>
      </c>
      <c r="D3476" t="s">
        <v>20</v>
      </c>
      <c r="E3476" t="s">
        <v>39</v>
      </c>
      <c r="F3476">
        <v>0</v>
      </c>
      <c r="G3476">
        <v>0</v>
      </c>
      <c r="H3476">
        <v>2</v>
      </c>
      <c r="I3476" s="3">
        <v>2321.52</v>
      </c>
      <c r="J3476" s="3">
        <v>0</v>
      </c>
      <c r="L3476">
        <v>5215</v>
      </c>
      <c r="M3476" t="s">
        <v>585</v>
      </c>
      <c r="N3476" t="s">
        <v>30</v>
      </c>
      <c r="O3476" t="s">
        <v>31</v>
      </c>
      <c r="P3476" t="str">
        <f>"15224"</f>
        <v>15224</v>
      </c>
    </row>
    <row r="3477" spans="1:16" x14ac:dyDescent="0.25">
      <c r="A3477" t="str">
        <f>"1100080C00018    00"</f>
        <v>1100080C00018    00</v>
      </c>
      <c r="B3477" t="s">
        <v>8329</v>
      </c>
      <c r="C3477" t="s">
        <v>8330</v>
      </c>
      <c r="E3477" t="s">
        <v>21</v>
      </c>
      <c r="F3477">
        <v>0</v>
      </c>
      <c r="G3477">
        <v>0</v>
      </c>
      <c r="H3477">
        <v>1</v>
      </c>
      <c r="I3477" s="3">
        <v>1063.6600000000001</v>
      </c>
      <c r="J3477" s="3">
        <v>212.72</v>
      </c>
      <c r="K3477" t="s">
        <v>8331</v>
      </c>
      <c r="L3477">
        <v>5203</v>
      </c>
      <c r="M3477" t="s">
        <v>2444</v>
      </c>
      <c r="N3477" t="s">
        <v>30</v>
      </c>
      <c r="O3477" t="s">
        <v>31</v>
      </c>
      <c r="P3477" t="str">
        <f>"15201"</f>
        <v>15201</v>
      </c>
    </row>
    <row r="3478" spans="1:16" x14ac:dyDescent="0.25">
      <c r="A3478" t="str">
        <f>"1100080C00061    00"</f>
        <v>1100080C00061    00</v>
      </c>
      <c r="B3478" t="s">
        <v>8332</v>
      </c>
      <c r="C3478" t="s">
        <v>8333</v>
      </c>
      <c r="D3478" t="s">
        <v>20</v>
      </c>
      <c r="E3478" t="s">
        <v>21</v>
      </c>
      <c r="F3478">
        <v>0</v>
      </c>
      <c r="G3478">
        <v>0</v>
      </c>
      <c r="H3478">
        <v>1</v>
      </c>
      <c r="I3478" s="3">
        <v>665.2</v>
      </c>
      <c r="J3478" s="3">
        <v>0</v>
      </c>
      <c r="L3478">
        <v>5232</v>
      </c>
      <c r="M3478" t="s">
        <v>841</v>
      </c>
      <c r="N3478" t="s">
        <v>30</v>
      </c>
      <c r="O3478" t="s">
        <v>31</v>
      </c>
      <c r="P3478" t="str">
        <f>"15201"</f>
        <v>15201</v>
      </c>
    </row>
    <row r="3479" spans="1:16" x14ac:dyDescent="0.25">
      <c r="A3479" t="str">
        <f>"1100080C00075    00"</f>
        <v>1100080C00075    00</v>
      </c>
      <c r="B3479" t="s">
        <v>8334</v>
      </c>
      <c r="C3479" t="s">
        <v>8335</v>
      </c>
      <c r="D3479" t="s">
        <v>20</v>
      </c>
      <c r="E3479" t="s">
        <v>39</v>
      </c>
      <c r="F3479">
        <v>0</v>
      </c>
      <c r="G3479">
        <v>0</v>
      </c>
      <c r="H3479">
        <v>2</v>
      </c>
      <c r="I3479" s="3">
        <v>4665.3100000000004</v>
      </c>
      <c r="J3479" s="3">
        <v>0</v>
      </c>
      <c r="L3479">
        <v>5204</v>
      </c>
      <c r="M3479" t="s">
        <v>841</v>
      </c>
      <c r="N3479" t="s">
        <v>30</v>
      </c>
      <c r="O3479" t="s">
        <v>31</v>
      </c>
      <c r="P3479" t="str">
        <f>"15201"</f>
        <v>15201</v>
      </c>
    </row>
    <row r="3480" spans="1:16" x14ac:dyDescent="0.25">
      <c r="A3480" t="str">
        <f>"1100080C00077A   00"</f>
        <v>1100080C00077A   00</v>
      </c>
      <c r="B3480" t="s">
        <v>8336</v>
      </c>
      <c r="C3480" t="s">
        <v>8337</v>
      </c>
      <c r="E3480" t="s">
        <v>21</v>
      </c>
      <c r="F3480">
        <v>0</v>
      </c>
      <c r="G3480">
        <v>0</v>
      </c>
      <c r="H3480">
        <v>1</v>
      </c>
      <c r="I3480" s="3">
        <v>2172.56</v>
      </c>
      <c r="J3480" s="3">
        <v>1231.07</v>
      </c>
      <c r="K3480" t="s">
        <v>8338</v>
      </c>
      <c r="L3480">
        <v>1025</v>
      </c>
      <c r="M3480" t="s">
        <v>8339</v>
      </c>
      <c r="N3480" t="s">
        <v>2534</v>
      </c>
      <c r="O3480" t="s">
        <v>1184</v>
      </c>
      <c r="P3480" t="str">
        <f>"21201"</f>
        <v>21201</v>
      </c>
    </row>
    <row r="3481" spans="1:16" x14ac:dyDescent="0.25">
      <c r="A3481" t="str">
        <f>"1100080C00117    00"</f>
        <v>1100080C00117    00</v>
      </c>
      <c r="B3481" t="s">
        <v>8340</v>
      </c>
      <c r="C3481" t="s">
        <v>8341</v>
      </c>
      <c r="D3481" t="s">
        <v>20</v>
      </c>
      <c r="E3481" t="s">
        <v>21</v>
      </c>
      <c r="F3481">
        <v>0</v>
      </c>
      <c r="G3481">
        <v>0</v>
      </c>
      <c r="H3481">
        <v>2</v>
      </c>
      <c r="I3481" s="3">
        <v>3947.07</v>
      </c>
      <c r="J3481" s="3">
        <v>0</v>
      </c>
      <c r="K3481" t="s">
        <v>8342</v>
      </c>
      <c r="L3481">
        <v>5167</v>
      </c>
      <c r="M3481" t="s">
        <v>841</v>
      </c>
      <c r="N3481" t="s">
        <v>30</v>
      </c>
      <c r="O3481" t="s">
        <v>31</v>
      </c>
      <c r="P3481" t="str">
        <f>"15201"</f>
        <v>15201</v>
      </c>
    </row>
    <row r="3482" spans="1:16" x14ac:dyDescent="0.25">
      <c r="A3482" t="str">
        <f>"1100080C00121    00"</f>
        <v>1100080C00121    00</v>
      </c>
      <c r="B3482" t="s">
        <v>8343</v>
      </c>
      <c r="C3482" t="s">
        <v>8344</v>
      </c>
      <c r="E3482" t="s">
        <v>21</v>
      </c>
      <c r="F3482">
        <v>0</v>
      </c>
      <c r="G3482">
        <v>0</v>
      </c>
      <c r="H3482">
        <v>1</v>
      </c>
      <c r="I3482" s="3">
        <v>5105.53</v>
      </c>
      <c r="J3482" s="3">
        <v>0</v>
      </c>
      <c r="K3482" t="s">
        <v>8345</v>
      </c>
      <c r="L3482">
        <v>5175</v>
      </c>
      <c r="M3482" t="s">
        <v>841</v>
      </c>
      <c r="N3482" t="s">
        <v>30</v>
      </c>
      <c r="O3482" t="s">
        <v>31</v>
      </c>
      <c r="P3482" t="str">
        <f>"15201"</f>
        <v>15201</v>
      </c>
    </row>
    <row r="3483" spans="1:16" x14ac:dyDescent="0.25">
      <c r="A3483" t="str">
        <f>"1100080C00139    00"</f>
        <v>1100080C00139    00</v>
      </c>
      <c r="B3483" t="s">
        <v>8346</v>
      </c>
      <c r="C3483" t="s">
        <v>8347</v>
      </c>
      <c r="E3483" t="s">
        <v>21</v>
      </c>
      <c r="F3483">
        <v>0</v>
      </c>
      <c r="G3483">
        <v>0</v>
      </c>
      <c r="H3483">
        <v>2</v>
      </c>
      <c r="I3483" s="3">
        <v>3820.58</v>
      </c>
      <c r="J3483" s="3">
        <v>3056.34</v>
      </c>
      <c r="L3483">
        <v>119</v>
      </c>
      <c r="M3483" t="s">
        <v>8348</v>
      </c>
      <c r="N3483" t="s">
        <v>30</v>
      </c>
      <c r="O3483" t="s">
        <v>31</v>
      </c>
      <c r="P3483" t="str">
        <f>"15213"</f>
        <v>15213</v>
      </c>
    </row>
    <row r="3484" spans="1:16" x14ac:dyDescent="0.25">
      <c r="A3484" t="str">
        <f>"1100080C00155    00"</f>
        <v>1100080C00155    00</v>
      </c>
      <c r="B3484" t="s">
        <v>8349</v>
      </c>
      <c r="C3484" t="s">
        <v>8350</v>
      </c>
      <c r="E3484" t="s">
        <v>21</v>
      </c>
      <c r="F3484">
        <v>0</v>
      </c>
      <c r="G3484">
        <v>0</v>
      </c>
      <c r="H3484">
        <v>1</v>
      </c>
      <c r="I3484" s="3">
        <v>6049.64</v>
      </c>
      <c r="J3484" s="3">
        <v>0</v>
      </c>
      <c r="K3484" t="s">
        <v>8351</v>
      </c>
      <c r="L3484">
        <v>5247</v>
      </c>
      <c r="M3484" t="s">
        <v>841</v>
      </c>
      <c r="N3484" t="s">
        <v>30</v>
      </c>
      <c r="O3484" t="s">
        <v>31</v>
      </c>
      <c r="P3484" t="str">
        <f>"15201"</f>
        <v>15201</v>
      </c>
    </row>
    <row r="3485" spans="1:16" x14ac:dyDescent="0.25">
      <c r="A3485" t="str">
        <f>"1100080C00164    00"</f>
        <v>1100080C00164    00</v>
      </c>
      <c r="B3485" t="s">
        <v>8352</v>
      </c>
      <c r="C3485" t="s">
        <v>8353</v>
      </c>
      <c r="E3485" t="s">
        <v>39</v>
      </c>
      <c r="F3485">
        <v>0</v>
      </c>
      <c r="G3485">
        <v>0</v>
      </c>
      <c r="H3485">
        <v>1</v>
      </c>
      <c r="I3485" s="3">
        <v>955.2</v>
      </c>
      <c r="J3485" s="3">
        <v>238.79</v>
      </c>
      <c r="K3485" t="s">
        <v>8354</v>
      </c>
      <c r="L3485">
        <v>111</v>
      </c>
      <c r="M3485" t="s">
        <v>8355</v>
      </c>
      <c r="N3485" t="s">
        <v>30</v>
      </c>
      <c r="O3485" t="s">
        <v>31</v>
      </c>
      <c r="P3485" t="str">
        <f>"15238"</f>
        <v>15238</v>
      </c>
    </row>
    <row r="3486" spans="1:16" x14ac:dyDescent="0.25">
      <c r="A3486" t="str">
        <f>"1100080D00001    00"</f>
        <v>1100080D00001    00</v>
      </c>
      <c r="B3486" t="s">
        <v>8356</v>
      </c>
      <c r="C3486" t="s">
        <v>8357</v>
      </c>
      <c r="E3486" t="s">
        <v>290</v>
      </c>
      <c r="F3486">
        <v>0</v>
      </c>
      <c r="G3486">
        <v>0</v>
      </c>
      <c r="H3486">
        <v>2</v>
      </c>
      <c r="I3486" s="3">
        <v>184.35</v>
      </c>
      <c r="J3486" s="3">
        <v>11.99</v>
      </c>
      <c r="L3486">
        <v>1211</v>
      </c>
      <c r="M3486" t="s">
        <v>8358</v>
      </c>
      <c r="N3486" t="s">
        <v>8359</v>
      </c>
      <c r="O3486" t="s">
        <v>3486</v>
      </c>
      <c r="P3486" t="str">
        <f>"60523"</f>
        <v>60523</v>
      </c>
    </row>
    <row r="3487" spans="1:16" x14ac:dyDescent="0.25">
      <c r="A3487" t="str">
        <f>"1100080D00006A   00"</f>
        <v>1100080D00006A   00</v>
      </c>
      <c r="B3487" t="s">
        <v>8360</v>
      </c>
      <c r="C3487" t="s">
        <v>8361</v>
      </c>
      <c r="D3487" t="s">
        <v>20</v>
      </c>
      <c r="E3487" t="s">
        <v>39</v>
      </c>
      <c r="F3487">
        <v>0</v>
      </c>
      <c r="G3487">
        <v>0</v>
      </c>
      <c r="H3487">
        <v>8</v>
      </c>
      <c r="I3487" s="3">
        <v>6130.32</v>
      </c>
      <c r="J3487" s="3">
        <v>2131.0700000000002</v>
      </c>
      <c r="K3487" t="s">
        <v>8362</v>
      </c>
      <c r="L3487">
        <v>5269</v>
      </c>
      <c r="M3487" t="s">
        <v>8363</v>
      </c>
      <c r="N3487" t="s">
        <v>30</v>
      </c>
      <c r="O3487" t="s">
        <v>31</v>
      </c>
      <c r="P3487" t="str">
        <f>"15201"</f>
        <v>15201</v>
      </c>
    </row>
    <row r="3488" spans="1:16" x14ac:dyDescent="0.25">
      <c r="A3488" t="str">
        <f>"1100080D00020    00"</f>
        <v>1100080D00020    00</v>
      </c>
      <c r="B3488" t="s">
        <v>8364</v>
      </c>
      <c r="C3488" t="s">
        <v>8365</v>
      </c>
      <c r="D3488" t="s">
        <v>20</v>
      </c>
      <c r="E3488" t="s">
        <v>39</v>
      </c>
      <c r="F3488">
        <v>0</v>
      </c>
      <c r="G3488">
        <v>0</v>
      </c>
      <c r="H3488">
        <v>2</v>
      </c>
      <c r="I3488" s="3">
        <v>928.97</v>
      </c>
      <c r="J3488" s="3">
        <v>0</v>
      </c>
      <c r="K3488" t="s">
        <v>2106</v>
      </c>
      <c r="L3488">
        <v>6053</v>
      </c>
      <c r="M3488" t="s">
        <v>2107</v>
      </c>
      <c r="N3488" t="s">
        <v>2108</v>
      </c>
      <c r="O3488" t="s">
        <v>2109</v>
      </c>
      <c r="P3488" t="str">
        <f>"84107"</f>
        <v>84107</v>
      </c>
    </row>
    <row r="3489" spans="1:16" x14ac:dyDescent="0.25">
      <c r="A3489" t="str">
        <f>"1100080D00022    00"</f>
        <v>1100080D00022    00</v>
      </c>
      <c r="B3489" t="s">
        <v>8366</v>
      </c>
      <c r="C3489" t="s">
        <v>8367</v>
      </c>
      <c r="D3489" t="s">
        <v>20</v>
      </c>
      <c r="E3489" t="s">
        <v>21</v>
      </c>
      <c r="F3489">
        <v>0</v>
      </c>
      <c r="G3489">
        <v>0</v>
      </c>
      <c r="H3489">
        <v>2</v>
      </c>
      <c r="I3489" s="3">
        <v>2660.82</v>
      </c>
      <c r="J3489" s="3">
        <v>0</v>
      </c>
      <c r="M3489" t="s">
        <v>8368</v>
      </c>
      <c r="N3489" t="s">
        <v>8369</v>
      </c>
      <c r="O3489" t="s">
        <v>31</v>
      </c>
      <c r="P3489" t="str">
        <f>"17316"</f>
        <v>17316</v>
      </c>
    </row>
    <row r="3490" spans="1:16" x14ac:dyDescent="0.25">
      <c r="A3490" t="str">
        <f>"1100080D00038    00"</f>
        <v>1100080D00038    00</v>
      </c>
      <c r="B3490" t="s">
        <v>8370</v>
      </c>
      <c r="C3490" t="s">
        <v>8371</v>
      </c>
      <c r="D3490" t="s">
        <v>20</v>
      </c>
      <c r="E3490" t="s">
        <v>39</v>
      </c>
      <c r="F3490">
        <v>0</v>
      </c>
      <c r="G3490">
        <v>0</v>
      </c>
      <c r="H3490">
        <v>1</v>
      </c>
      <c r="I3490" s="3">
        <v>448.7</v>
      </c>
      <c r="J3490" s="3">
        <v>3.74</v>
      </c>
      <c r="L3490">
        <v>5217</v>
      </c>
      <c r="M3490" t="s">
        <v>2444</v>
      </c>
      <c r="N3490" t="s">
        <v>30</v>
      </c>
      <c r="O3490" t="s">
        <v>31</v>
      </c>
      <c r="P3490" t="str">
        <f>"15201"</f>
        <v>15201</v>
      </c>
    </row>
    <row r="3491" spans="1:16" x14ac:dyDescent="0.25">
      <c r="A3491" t="str">
        <f>"1100080D00039A   00"</f>
        <v>1100080D00039A   00</v>
      </c>
      <c r="B3491" t="s">
        <v>8372</v>
      </c>
      <c r="C3491" t="s">
        <v>8373</v>
      </c>
      <c r="E3491" t="s">
        <v>39</v>
      </c>
      <c r="F3491">
        <v>0</v>
      </c>
      <c r="G3491">
        <v>0</v>
      </c>
      <c r="H3491">
        <v>1</v>
      </c>
      <c r="I3491" s="3">
        <v>6537.58</v>
      </c>
      <c r="J3491" s="3">
        <v>0</v>
      </c>
      <c r="L3491">
        <v>901</v>
      </c>
      <c r="M3491" t="s">
        <v>6264</v>
      </c>
      <c r="N3491" t="s">
        <v>30</v>
      </c>
      <c r="O3491" t="s">
        <v>31</v>
      </c>
      <c r="P3491" t="str">
        <f>"15203"</f>
        <v>15203</v>
      </c>
    </row>
    <row r="3492" spans="1:16" x14ac:dyDescent="0.25">
      <c r="A3492" t="str">
        <f>"1100080D00044000100"</f>
        <v>1100080D00044000100</v>
      </c>
      <c r="B3492" t="s">
        <v>8374</v>
      </c>
      <c r="C3492" t="s">
        <v>8375</v>
      </c>
      <c r="E3492" t="s">
        <v>39</v>
      </c>
      <c r="F3492">
        <v>0</v>
      </c>
      <c r="G3492">
        <v>0</v>
      </c>
      <c r="H3492">
        <v>1</v>
      </c>
      <c r="I3492" s="3">
        <v>306.60000000000002</v>
      </c>
      <c r="J3492" s="3">
        <v>0</v>
      </c>
      <c r="L3492">
        <v>18</v>
      </c>
      <c r="M3492" t="s">
        <v>8376</v>
      </c>
      <c r="N3492" t="s">
        <v>30</v>
      </c>
      <c r="O3492" t="s">
        <v>31</v>
      </c>
      <c r="P3492" t="str">
        <f>"15215"</f>
        <v>15215</v>
      </c>
    </row>
    <row r="3493" spans="1:16" x14ac:dyDescent="0.25">
      <c r="A3493" t="str">
        <f>"1100080D00045    00"</f>
        <v>1100080D00045    00</v>
      </c>
      <c r="B3493" t="s">
        <v>8377</v>
      </c>
      <c r="C3493" t="s">
        <v>8378</v>
      </c>
      <c r="E3493" t="s">
        <v>39</v>
      </c>
      <c r="F3493">
        <v>0</v>
      </c>
      <c r="G3493">
        <v>0</v>
      </c>
      <c r="H3493">
        <v>1</v>
      </c>
      <c r="I3493" s="3">
        <v>3781.5</v>
      </c>
      <c r="J3493" s="3">
        <v>630.23</v>
      </c>
      <c r="K3493" t="s">
        <v>8379</v>
      </c>
      <c r="L3493">
        <v>5226</v>
      </c>
      <c r="M3493" t="s">
        <v>8363</v>
      </c>
      <c r="N3493" t="s">
        <v>30</v>
      </c>
      <c r="O3493" t="s">
        <v>31</v>
      </c>
      <c r="P3493" t="str">
        <f>"15201"</f>
        <v>15201</v>
      </c>
    </row>
    <row r="3494" spans="1:16" x14ac:dyDescent="0.25">
      <c r="A3494" t="str">
        <f>"1100080D000451   00"</f>
        <v>1100080D000451   00</v>
      </c>
      <c r="B3494" t="s">
        <v>8380</v>
      </c>
      <c r="C3494" t="s">
        <v>8381</v>
      </c>
      <c r="E3494" t="s">
        <v>39</v>
      </c>
      <c r="F3494">
        <v>0</v>
      </c>
      <c r="G3494">
        <v>0</v>
      </c>
      <c r="H3494">
        <v>1</v>
      </c>
      <c r="I3494" s="3">
        <v>1794.6</v>
      </c>
      <c r="J3494" s="3">
        <v>0</v>
      </c>
      <c r="K3494" t="s">
        <v>5172</v>
      </c>
      <c r="M3494" t="s">
        <v>1439</v>
      </c>
      <c r="N3494" t="s">
        <v>1440</v>
      </c>
      <c r="O3494" t="s">
        <v>70</v>
      </c>
      <c r="P3494" t="str">
        <f>"48501"</f>
        <v>48501</v>
      </c>
    </row>
    <row r="3495" spans="1:16" x14ac:dyDescent="0.25">
      <c r="A3495" t="str">
        <f>"1100080D00051    00"</f>
        <v>1100080D00051    00</v>
      </c>
      <c r="B3495" t="s">
        <v>8382</v>
      </c>
      <c r="C3495" t="s">
        <v>8383</v>
      </c>
      <c r="D3495" t="s">
        <v>20</v>
      </c>
      <c r="E3495" t="s">
        <v>39</v>
      </c>
      <c r="F3495">
        <v>0</v>
      </c>
      <c r="G3495">
        <v>0</v>
      </c>
      <c r="H3495">
        <v>1</v>
      </c>
      <c r="I3495" s="3">
        <v>1077.3699999999999</v>
      </c>
      <c r="J3495" s="3">
        <v>0</v>
      </c>
      <c r="K3495" t="s">
        <v>8384</v>
      </c>
      <c r="L3495">
        <v>5243</v>
      </c>
      <c r="M3495" t="s">
        <v>2444</v>
      </c>
      <c r="N3495" t="s">
        <v>30</v>
      </c>
      <c r="O3495" t="s">
        <v>31</v>
      </c>
      <c r="P3495" t="str">
        <f>"15201"</f>
        <v>15201</v>
      </c>
    </row>
    <row r="3496" spans="1:16" x14ac:dyDescent="0.25">
      <c r="A3496" t="str">
        <f>"1100080D00066    00"</f>
        <v>1100080D00066    00</v>
      </c>
      <c r="B3496" t="s">
        <v>8385</v>
      </c>
      <c r="C3496" t="s">
        <v>8386</v>
      </c>
      <c r="D3496" t="s">
        <v>20</v>
      </c>
      <c r="E3496" t="s">
        <v>39</v>
      </c>
      <c r="F3496">
        <v>0</v>
      </c>
      <c r="G3496">
        <v>0</v>
      </c>
      <c r="H3496">
        <v>13</v>
      </c>
      <c r="I3496" s="3">
        <v>16067.78</v>
      </c>
      <c r="J3496" s="3">
        <v>9261.01</v>
      </c>
      <c r="L3496">
        <v>8006</v>
      </c>
      <c r="M3496" t="s">
        <v>4452</v>
      </c>
      <c r="N3496" t="s">
        <v>30</v>
      </c>
      <c r="O3496" t="s">
        <v>31</v>
      </c>
      <c r="P3496" t="str">
        <f>"15221"</f>
        <v>15221</v>
      </c>
    </row>
    <row r="3497" spans="1:16" x14ac:dyDescent="0.25">
      <c r="A3497" t="str">
        <f>"1100080D00067    00"</f>
        <v>1100080D00067    00</v>
      </c>
      <c r="B3497" t="s">
        <v>8387</v>
      </c>
      <c r="C3497" t="s">
        <v>8388</v>
      </c>
      <c r="E3497" t="s">
        <v>39</v>
      </c>
      <c r="F3497">
        <v>0</v>
      </c>
      <c r="G3497">
        <v>0</v>
      </c>
      <c r="H3497">
        <v>1</v>
      </c>
      <c r="I3497" s="3">
        <v>504.66</v>
      </c>
      <c r="J3497" s="3">
        <v>84.11</v>
      </c>
      <c r="K3497" t="s">
        <v>420</v>
      </c>
      <c r="L3497">
        <v>3</v>
      </c>
      <c r="M3497" t="s">
        <v>421</v>
      </c>
      <c r="N3497" t="s">
        <v>422</v>
      </c>
      <c r="O3497" t="s">
        <v>423</v>
      </c>
      <c r="P3497" t="str">
        <f>"08002"</f>
        <v>08002</v>
      </c>
    </row>
    <row r="3498" spans="1:16" x14ac:dyDescent="0.25">
      <c r="A3498" t="str">
        <f>"1100080D00071    00"</f>
        <v>1100080D00071    00</v>
      </c>
      <c r="B3498" t="s">
        <v>8389</v>
      </c>
      <c r="C3498" t="s">
        <v>8390</v>
      </c>
      <c r="E3498" t="s">
        <v>39</v>
      </c>
      <c r="F3498">
        <v>0</v>
      </c>
      <c r="G3498">
        <v>0</v>
      </c>
      <c r="H3498">
        <v>1</v>
      </c>
      <c r="I3498" s="3">
        <v>2120.9699999999998</v>
      </c>
      <c r="J3498" s="3">
        <v>2156.2399999999998</v>
      </c>
      <c r="L3498">
        <v>5301</v>
      </c>
      <c r="M3498" t="s">
        <v>2444</v>
      </c>
      <c r="N3498" t="s">
        <v>30</v>
      </c>
      <c r="O3498" t="s">
        <v>31</v>
      </c>
      <c r="P3498" t="str">
        <f>"15201"</f>
        <v>15201</v>
      </c>
    </row>
    <row r="3499" spans="1:16" x14ac:dyDescent="0.25">
      <c r="A3499" t="str">
        <f>"1100080D00105    00"</f>
        <v>1100080D00105    00</v>
      </c>
      <c r="B3499" t="s">
        <v>8391</v>
      </c>
      <c r="C3499" t="s">
        <v>8392</v>
      </c>
      <c r="D3499" t="s">
        <v>20</v>
      </c>
      <c r="E3499" t="s">
        <v>39</v>
      </c>
      <c r="F3499">
        <v>0</v>
      </c>
      <c r="G3499">
        <v>0</v>
      </c>
      <c r="H3499">
        <v>2</v>
      </c>
      <c r="I3499" s="3">
        <v>1624.87</v>
      </c>
      <c r="J3499" s="3">
        <v>0</v>
      </c>
      <c r="K3499" t="s">
        <v>8393</v>
      </c>
      <c r="M3499" t="s">
        <v>8394</v>
      </c>
      <c r="N3499" t="s">
        <v>8395</v>
      </c>
      <c r="O3499" t="s">
        <v>1616</v>
      </c>
      <c r="P3499" t="str">
        <f>"57709"</f>
        <v>57709</v>
      </c>
    </row>
    <row r="3500" spans="1:16" x14ac:dyDescent="0.25">
      <c r="A3500" t="str">
        <f>"1100080D00122    00"</f>
        <v>1100080D00122    00</v>
      </c>
      <c r="B3500" t="s">
        <v>8396</v>
      </c>
      <c r="C3500" t="s">
        <v>8397</v>
      </c>
      <c r="D3500" t="s">
        <v>20</v>
      </c>
      <c r="E3500" t="s">
        <v>39</v>
      </c>
      <c r="F3500">
        <v>0</v>
      </c>
      <c r="G3500">
        <v>0</v>
      </c>
      <c r="H3500">
        <v>1</v>
      </c>
      <c r="I3500" s="3">
        <v>120.08</v>
      </c>
      <c r="J3500" s="3">
        <v>48.03</v>
      </c>
      <c r="K3500" t="s">
        <v>7050</v>
      </c>
      <c r="L3500">
        <v>901</v>
      </c>
      <c r="M3500" t="s">
        <v>6264</v>
      </c>
      <c r="N3500" t="s">
        <v>30</v>
      </c>
      <c r="O3500" t="s">
        <v>31</v>
      </c>
      <c r="P3500" t="str">
        <f>"15203"</f>
        <v>15203</v>
      </c>
    </row>
    <row r="3501" spans="1:16" x14ac:dyDescent="0.25">
      <c r="A3501" t="str">
        <f>"1100080D00126    00"</f>
        <v>1100080D00126    00</v>
      </c>
      <c r="B3501" t="s">
        <v>8398</v>
      </c>
      <c r="C3501" t="s">
        <v>8399</v>
      </c>
      <c r="E3501" t="s">
        <v>39</v>
      </c>
      <c r="F3501">
        <v>0</v>
      </c>
      <c r="G3501">
        <v>0</v>
      </c>
      <c r="H3501">
        <v>1</v>
      </c>
      <c r="I3501" s="3">
        <v>38</v>
      </c>
      <c r="J3501" s="3">
        <v>18.05</v>
      </c>
      <c r="L3501">
        <v>5220</v>
      </c>
      <c r="M3501" t="s">
        <v>2444</v>
      </c>
      <c r="N3501" t="s">
        <v>30</v>
      </c>
      <c r="O3501" t="s">
        <v>31</v>
      </c>
      <c r="P3501" t="str">
        <f>"15201"</f>
        <v>15201</v>
      </c>
    </row>
    <row r="3502" spans="1:16" x14ac:dyDescent="0.25">
      <c r="A3502" t="str">
        <f>"1100080D00132    00"</f>
        <v>1100080D00132    00</v>
      </c>
      <c r="B3502" t="s">
        <v>8396</v>
      </c>
      <c r="C3502" t="s">
        <v>8400</v>
      </c>
      <c r="D3502" t="s">
        <v>20</v>
      </c>
      <c r="E3502" t="s">
        <v>39</v>
      </c>
      <c r="F3502">
        <v>0</v>
      </c>
      <c r="G3502">
        <v>0</v>
      </c>
      <c r="H3502">
        <v>1</v>
      </c>
      <c r="I3502" s="3">
        <v>254.58</v>
      </c>
      <c r="J3502" s="3">
        <v>101.83</v>
      </c>
      <c r="K3502" t="s">
        <v>7050</v>
      </c>
      <c r="L3502">
        <v>901</v>
      </c>
      <c r="M3502" t="s">
        <v>6264</v>
      </c>
      <c r="N3502" t="s">
        <v>30</v>
      </c>
      <c r="O3502" t="s">
        <v>31</v>
      </c>
      <c r="P3502" t="str">
        <f>"15203"</f>
        <v>15203</v>
      </c>
    </row>
    <row r="3503" spans="1:16" x14ac:dyDescent="0.25">
      <c r="A3503" t="str">
        <f>"1100080D00138000100"</f>
        <v>1100080D00138000100</v>
      </c>
      <c r="B3503" t="s">
        <v>8401</v>
      </c>
      <c r="C3503" t="s">
        <v>8402</v>
      </c>
      <c r="D3503" t="s">
        <v>20</v>
      </c>
      <c r="E3503" t="s">
        <v>39</v>
      </c>
      <c r="F3503">
        <v>0</v>
      </c>
      <c r="G3503">
        <v>0</v>
      </c>
      <c r="H3503">
        <v>2</v>
      </c>
      <c r="I3503" s="3">
        <v>19.079999999999998</v>
      </c>
      <c r="J3503" s="3">
        <v>0</v>
      </c>
      <c r="L3503">
        <v>5212</v>
      </c>
      <c r="M3503" t="s">
        <v>2444</v>
      </c>
      <c r="N3503" t="s">
        <v>30</v>
      </c>
      <c r="O3503" t="s">
        <v>31</v>
      </c>
      <c r="P3503" t="str">
        <f>"15201"</f>
        <v>15201</v>
      </c>
    </row>
    <row r="3504" spans="1:16" x14ac:dyDescent="0.25">
      <c r="A3504" t="str">
        <f>"1100080D00144    00"</f>
        <v>1100080D00144    00</v>
      </c>
      <c r="B3504" t="s">
        <v>8403</v>
      </c>
      <c r="C3504" t="s">
        <v>8404</v>
      </c>
      <c r="E3504" t="s">
        <v>39</v>
      </c>
      <c r="F3504">
        <v>0</v>
      </c>
      <c r="G3504">
        <v>0</v>
      </c>
      <c r="H3504">
        <v>2</v>
      </c>
      <c r="I3504" s="3">
        <v>1579.3</v>
      </c>
      <c r="J3504" s="3">
        <v>22.74</v>
      </c>
      <c r="K3504" t="s">
        <v>8405</v>
      </c>
      <c r="L3504">
        <v>405</v>
      </c>
      <c r="M3504" t="s">
        <v>8406</v>
      </c>
      <c r="N3504" t="s">
        <v>30</v>
      </c>
      <c r="O3504" t="s">
        <v>31</v>
      </c>
      <c r="P3504" t="str">
        <f>"15201"</f>
        <v>15201</v>
      </c>
    </row>
    <row r="3505" spans="1:16" x14ac:dyDescent="0.25">
      <c r="A3505" t="str">
        <f>"1100080D00169    00"</f>
        <v>1100080D00169    00</v>
      </c>
      <c r="B3505" t="s">
        <v>8396</v>
      </c>
      <c r="C3505" t="s">
        <v>8407</v>
      </c>
      <c r="D3505" t="s">
        <v>20</v>
      </c>
      <c r="E3505" t="s">
        <v>39</v>
      </c>
      <c r="F3505">
        <v>0</v>
      </c>
      <c r="G3505">
        <v>0</v>
      </c>
      <c r="H3505">
        <v>1</v>
      </c>
      <c r="I3505" s="3">
        <v>417.96</v>
      </c>
      <c r="J3505" s="3">
        <v>167.18</v>
      </c>
      <c r="K3505" t="s">
        <v>7050</v>
      </c>
      <c r="L3505">
        <v>901</v>
      </c>
      <c r="M3505" t="s">
        <v>6264</v>
      </c>
      <c r="N3505" t="s">
        <v>30</v>
      </c>
      <c r="O3505" t="s">
        <v>31</v>
      </c>
      <c r="P3505" t="str">
        <f>"15203"</f>
        <v>15203</v>
      </c>
    </row>
    <row r="3506" spans="1:16" x14ac:dyDescent="0.25">
      <c r="A3506" t="str">
        <f>"1100080D00179    00"</f>
        <v>1100080D00179    00</v>
      </c>
      <c r="B3506" t="s">
        <v>8408</v>
      </c>
      <c r="C3506" t="s">
        <v>8409</v>
      </c>
      <c r="D3506" t="s">
        <v>20</v>
      </c>
      <c r="E3506" t="s">
        <v>39</v>
      </c>
      <c r="F3506">
        <v>0</v>
      </c>
      <c r="G3506">
        <v>0</v>
      </c>
      <c r="H3506">
        <v>1</v>
      </c>
      <c r="I3506" s="3">
        <v>1907.92</v>
      </c>
      <c r="J3506" s="3">
        <v>0</v>
      </c>
      <c r="L3506">
        <v>5243</v>
      </c>
      <c r="M3506" t="s">
        <v>8410</v>
      </c>
      <c r="N3506" t="s">
        <v>30</v>
      </c>
      <c r="O3506" t="s">
        <v>31</v>
      </c>
      <c r="P3506" t="str">
        <f>"15201"</f>
        <v>15201</v>
      </c>
    </row>
    <row r="3507" spans="1:16" x14ac:dyDescent="0.25">
      <c r="A3507" t="str">
        <f>"1100080D00190A   00"</f>
        <v>1100080D00190A   00</v>
      </c>
      <c r="B3507" t="s">
        <v>5026</v>
      </c>
      <c r="C3507" t="s">
        <v>8411</v>
      </c>
      <c r="D3507" t="s">
        <v>20</v>
      </c>
      <c r="E3507" t="s">
        <v>39</v>
      </c>
      <c r="F3507">
        <v>0</v>
      </c>
      <c r="G3507">
        <v>0</v>
      </c>
      <c r="H3507">
        <v>2</v>
      </c>
      <c r="I3507" s="3">
        <v>673.49</v>
      </c>
      <c r="J3507" s="3">
        <v>0</v>
      </c>
      <c r="L3507">
        <v>4735</v>
      </c>
      <c r="M3507" t="s">
        <v>841</v>
      </c>
      <c r="N3507" t="s">
        <v>30</v>
      </c>
      <c r="O3507" t="s">
        <v>31</v>
      </c>
      <c r="P3507" t="str">
        <f>"15201"</f>
        <v>15201</v>
      </c>
    </row>
    <row r="3508" spans="1:16" x14ac:dyDescent="0.25">
      <c r="A3508" t="str">
        <f>"1100080D00195    00"</f>
        <v>1100080D00195    00</v>
      </c>
      <c r="B3508" t="s">
        <v>8412</v>
      </c>
      <c r="C3508" t="s">
        <v>8413</v>
      </c>
      <c r="D3508" t="s">
        <v>20</v>
      </c>
      <c r="E3508" t="s">
        <v>39</v>
      </c>
      <c r="F3508">
        <v>0</v>
      </c>
      <c r="G3508">
        <v>0</v>
      </c>
      <c r="H3508">
        <v>1</v>
      </c>
      <c r="I3508" s="3">
        <v>524.61</v>
      </c>
      <c r="J3508" s="3">
        <v>0</v>
      </c>
      <c r="K3508" t="s">
        <v>8414</v>
      </c>
      <c r="L3508">
        <v>901</v>
      </c>
      <c r="M3508" t="s">
        <v>1503</v>
      </c>
      <c r="N3508" t="s">
        <v>494</v>
      </c>
      <c r="O3508" t="s">
        <v>495</v>
      </c>
      <c r="P3508" t="str">
        <f>"91768"</f>
        <v>91768</v>
      </c>
    </row>
    <row r="3509" spans="1:16" x14ac:dyDescent="0.25">
      <c r="A3509" t="str">
        <f>"1100080D00209    00"</f>
        <v>1100080D00209    00</v>
      </c>
      <c r="B3509" t="s">
        <v>8415</v>
      </c>
      <c r="C3509" t="s">
        <v>8416</v>
      </c>
      <c r="D3509" t="s">
        <v>57</v>
      </c>
      <c r="E3509" t="s">
        <v>39</v>
      </c>
      <c r="F3509">
        <v>0</v>
      </c>
      <c r="G3509">
        <v>0</v>
      </c>
      <c r="H3509">
        <v>2</v>
      </c>
      <c r="I3509" s="3">
        <v>3276.93</v>
      </c>
      <c r="J3509" s="3">
        <v>90.58</v>
      </c>
      <c r="K3509" t="s">
        <v>756</v>
      </c>
      <c r="L3509">
        <v>3001</v>
      </c>
      <c r="M3509" t="s">
        <v>330</v>
      </c>
      <c r="N3509" t="s">
        <v>331</v>
      </c>
      <c r="O3509" t="s">
        <v>108</v>
      </c>
      <c r="P3509" t="str">
        <f>"75063"</f>
        <v>75063</v>
      </c>
    </row>
    <row r="3510" spans="1:16" x14ac:dyDescent="0.25">
      <c r="A3510" t="str">
        <f>"1100080D00222    00"</f>
        <v>1100080D00222    00</v>
      </c>
      <c r="B3510" t="s">
        <v>8417</v>
      </c>
      <c r="C3510" t="s">
        <v>8418</v>
      </c>
      <c r="D3510" t="s">
        <v>20</v>
      </c>
      <c r="E3510" t="s">
        <v>39</v>
      </c>
      <c r="F3510">
        <v>0</v>
      </c>
      <c r="G3510">
        <v>0</v>
      </c>
      <c r="H3510">
        <v>1</v>
      </c>
      <c r="I3510" s="3">
        <v>435.04</v>
      </c>
      <c r="J3510" s="3">
        <v>0</v>
      </c>
      <c r="K3510" t="s">
        <v>8419</v>
      </c>
      <c r="M3510" t="s">
        <v>1128</v>
      </c>
      <c r="N3510" t="s">
        <v>1129</v>
      </c>
      <c r="O3510" t="s">
        <v>108</v>
      </c>
      <c r="P3510" t="str">
        <f>"76161"</f>
        <v>76161</v>
      </c>
    </row>
    <row r="3511" spans="1:16" x14ac:dyDescent="0.25">
      <c r="A3511" t="str">
        <f>"1100080D00236    00"</f>
        <v>1100080D00236    00</v>
      </c>
      <c r="B3511" t="s">
        <v>8420</v>
      </c>
      <c r="C3511" t="s">
        <v>8421</v>
      </c>
      <c r="D3511" t="s">
        <v>57</v>
      </c>
      <c r="E3511" t="s">
        <v>39</v>
      </c>
      <c r="F3511">
        <v>0</v>
      </c>
      <c r="G3511">
        <v>0</v>
      </c>
      <c r="H3511">
        <v>2</v>
      </c>
      <c r="I3511" s="3">
        <v>4517.24</v>
      </c>
      <c r="J3511" s="3">
        <v>150.57</v>
      </c>
      <c r="K3511" t="s">
        <v>8422</v>
      </c>
      <c r="M3511" t="s">
        <v>8423</v>
      </c>
      <c r="N3511" t="s">
        <v>8424</v>
      </c>
      <c r="O3511" t="s">
        <v>108</v>
      </c>
      <c r="P3511" t="str">
        <f>"76094"</f>
        <v>76094</v>
      </c>
    </row>
    <row r="3512" spans="1:16" x14ac:dyDescent="0.25">
      <c r="A3512" t="str">
        <f>"1100080D00273    00"</f>
        <v>1100080D00273    00</v>
      </c>
      <c r="B3512" t="s">
        <v>8425</v>
      </c>
      <c r="C3512" t="s">
        <v>8426</v>
      </c>
      <c r="D3512" t="s">
        <v>20</v>
      </c>
      <c r="E3512" t="s">
        <v>39</v>
      </c>
      <c r="F3512">
        <v>0</v>
      </c>
      <c r="G3512">
        <v>0</v>
      </c>
      <c r="H3512">
        <v>1</v>
      </c>
      <c r="I3512" s="3">
        <v>3411.74</v>
      </c>
      <c r="J3512" s="3">
        <v>0</v>
      </c>
      <c r="L3512">
        <v>206</v>
      </c>
      <c r="M3512" t="s">
        <v>8427</v>
      </c>
      <c r="N3512" t="s">
        <v>30</v>
      </c>
      <c r="O3512" t="s">
        <v>31</v>
      </c>
      <c r="P3512" t="str">
        <f>"15201"</f>
        <v>15201</v>
      </c>
    </row>
    <row r="3513" spans="1:16" x14ac:dyDescent="0.25">
      <c r="A3513" t="str">
        <f>"1100080D00280    00"</f>
        <v>1100080D00280    00</v>
      </c>
      <c r="B3513" t="s">
        <v>8428</v>
      </c>
      <c r="C3513" t="s">
        <v>8429</v>
      </c>
      <c r="E3513" t="s">
        <v>39</v>
      </c>
      <c r="F3513">
        <v>0</v>
      </c>
      <c r="G3513">
        <v>0</v>
      </c>
      <c r="H3513">
        <v>1</v>
      </c>
      <c r="I3513" s="3">
        <v>23.62</v>
      </c>
      <c r="J3513" s="3">
        <v>23.43</v>
      </c>
      <c r="K3513" t="s">
        <v>1632</v>
      </c>
      <c r="L3513">
        <v>3001</v>
      </c>
      <c r="M3513" t="s">
        <v>330</v>
      </c>
      <c r="N3513" t="s">
        <v>331</v>
      </c>
      <c r="O3513" t="s">
        <v>108</v>
      </c>
      <c r="P3513" t="str">
        <f>"75063"</f>
        <v>75063</v>
      </c>
    </row>
    <row r="3514" spans="1:16" x14ac:dyDescent="0.25">
      <c r="A3514" t="str">
        <f>"1100080D00287    00"</f>
        <v>1100080D00287    00</v>
      </c>
      <c r="B3514" t="s">
        <v>8430</v>
      </c>
      <c r="C3514" t="s">
        <v>8431</v>
      </c>
      <c r="D3514" t="s">
        <v>57</v>
      </c>
      <c r="E3514" t="s">
        <v>39</v>
      </c>
      <c r="F3514">
        <v>0</v>
      </c>
      <c r="G3514">
        <v>0</v>
      </c>
      <c r="H3514">
        <v>1</v>
      </c>
      <c r="I3514" s="3">
        <v>5220.92</v>
      </c>
      <c r="J3514" s="3">
        <v>1435.69</v>
      </c>
      <c r="K3514" t="s">
        <v>8432</v>
      </c>
      <c r="L3514">
        <v>1</v>
      </c>
      <c r="M3514" t="s">
        <v>6436</v>
      </c>
      <c r="N3514" t="s">
        <v>8433</v>
      </c>
      <c r="O3514" t="s">
        <v>8434</v>
      </c>
      <c r="P3514" t="str">
        <f>"02903"</f>
        <v>02903</v>
      </c>
    </row>
    <row r="3515" spans="1:16" x14ac:dyDescent="0.25">
      <c r="A3515" t="str">
        <f>"1100080D00288    00"</f>
        <v>1100080D00288    00</v>
      </c>
      <c r="B3515" t="s">
        <v>8435</v>
      </c>
      <c r="C3515" t="s">
        <v>8436</v>
      </c>
      <c r="E3515" t="s">
        <v>39</v>
      </c>
      <c r="F3515">
        <v>0</v>
      </c>
      <c r="G3515">
        <v>0</v>
      </c>
      <c r="H3515">
        <v>1</v>
      </c>
      <c r="I3515" s="3">
        <v>39.74</v>
      </c>
      <c r="J3515" s="3">
        <v>11.92</v>
      </c>
      <c r="L3515">
        <v>5214</v>
      </c>
      <c r="M3515" t="s">
        <v>8410</v>
      </c>
      <c r="N3515" t="s">
        <v>30</v>
      </c>
      <c r="O3515" t="s">
        <v>31</v>
      </c>
      <c r="P3515" t="str">
        <f>"15201"</f>
        <v>15201</v>
      </c>
    </row>
    <row r="3516" spans="1:16" x14ac:dyDescent="0.25">
      <c r="A3516" t="str">
        <f>"1100080D00293    00"</f>
        <v>1100080D00293    00</v>
      </c>
      <c r="B3516" t="s">
        <v>8437</v>
      </c>
      <c r="C3516" t="s">
        <v>8438</v>
      </c>
      <c r="D3516" t="s">
        <v>20</v>
      </c>
      <c r="E3516" t="s">
        <v>39</v>
      </c>
      <c r="F3516">
        <v>0</v>
      </c>
      <c r="G3516">
        <v>0</v>
      </c>
      <c r="H3516">
        <v>4</v>
      </c>
      <c r="I3516" s="3">
        <v>1412.98</v>
      </c>
      <c r="J3516" s="3">
        <v>55.2</v>
      </c>
      <c r="L3516">
        <v>5204</v>
      </c>
      <c r="M3516" t="s">
        <v>8410</v>
      </c>
      <c r="N3516" t="s">
        <v>30</v>
      </c>
      <c r="O3516" t="s">
        <v>31</v>
      </c>
      <c r="P3516" t="str">
        <f>"15201"</f>
        <v>15201</v>
      </c>
    </row>
    <row r="3517" spans="1:16" x14ac:dyDescent="0.25">
      <c r="A3517" t="str">
        <f>"1100080D00294    00"</f>
        <v>1100080D00294    00</v>
      </c>
      <c r="B3517" t="s">
        <v>5026</v>
      </c>
      <c r="C3517" t="s">
        <v>8439</v>
      </c>
      <c r="D3517" t="s">
        <v>20</v>
      </c>
      <c r="E3517" t="s">
        <v>39</v>
      </c>
      <c r="F3517">
        <v>0</v>
      </c>
      <c r="G3517">
        <v>0</v>
      </c>
      <c r="H3517">
        <v>2</v>
      </c>
      <c r="I3517" s="3">
        <v>721.26</v>
      </c>
      <c r="J3517" s="3">
        <v>0</v>
      </c>
      <c r="L3517">
        <v>4735</v>
      </c>
      <c r="M3517" t="s">
        <v>841</v>
      </c>
      <c r="N3517" t="s">
        <v>30</v>
      </c>
      <c r="O3517" t="s">
        <v>31</v>
      </c>
      <c r="P3517" t="str">
        <f>"15201"</f>
        <v>15201</v>
      </c>
    </row>
    <row r="3518" spans="1:16" x14ac:dyDescent="0.25">
      <c r="A3518" t="str">
        <f>"1100080D00301    00"</f>
        <v>1100080D00301    00</v>
      </c>
      <c r="B3518" t="s">
        <v>8440</v>
      </c>
      <c r="C3518" t="s">
        <v>8441</v>
      </c>
      <c r="D3518" t="s">
        <v>20</v>
      </c>
      <c r="E3518" t="s">
        <v>39</v>
      </c>
      <c r="F3518">
        <v>0</v>
      </c>
      <c r="G3518">
        <v>0</v>
      </c>
      <c r="H3518">
        <v>2</v>
      </c>
      <c r="I3518" s="3">
        <v>9148.06</v>
      </c>
      <c r="J3518" s="3">
        <v>260.11</v>
      </c>
      <c r="K3518" t="s">
        <v>400</v>
      </c>
      <c r="L3518">
        <v>3001</v>
      </c>
      <c r="M3518" t="s">
        <v>330</v>
      </c>
      <c r="N3518" t="s">
        <v>331</v>
      </c>
      <c r="O3518" t="s">
        <v>108</v>
      </c>
      <c r="P3518" t="str">
        <f>"75063"</f>
        <v>75063</v>
      </c>
    </row>
    <row r="3519" spans="1:16" x14ac:dyDescent="0.25">
      <c r="A3519" t="str">
        <f>"1100080D00304    00"</f>
        <v>1100080D00304    00</v>
      </c>
      <c r="B3519" t="s">
        <v>8442</v>
      </c>
      <c r="C3519" t="s">
        <v>8443</v>
      </c>
      <c r="E3519" t="s">
        <v>39</v>
      </c>
      <c r="F3519">
        <v>0</v>
      </c>
      <c r="G3519">
        <v>0</v>
      </c>
      <c r="H3519">
        <v>1</v>
      </c>
      <c r="I3519" s="3">
        <v>78.28</v>
      </c>
      <c r="J3519" s="3">
        <v>0</v>
      </c>
      <c r="L3519">
        <v>5237</v>
      </c>
      <c r="M3519" t="s">
        <v>8444</v>
      </c>
      <c r="N3519" t="s">
        <v>30</v>
      </c>
      <c r="O3519" t="s">
        <v>31</v>
      </c>
      <c r="P3519" t="str">
        <f>"15201"</f>
        <v>15201</v>
      </c>
    </row>
    <row r="3520" spans="1:16" x14ac:dyDescent="0.25">
      <c r="A3520" t="str">
        <f>"1100080D00309303 00"</f>
        <v>1100080D00309303 00</v>
      </c>
      <c r="B3520" t="s">
        <v>8445</v>
      </c>
      <c r="C3520" t="s">
        <v>8446</v>
      </c>
      <c r="D3520" t="s">
        <v>20</v>
      </c>
      <c r="E3520" t="s">
        <v>39</v>
      </c>
      <c r="F3520">
        <v>0</v>
      </c>
      <c r="G3520">
        <v>0</v>
      </c>
      <c r="H3520">
        <v>1</v>
      </c>
      <c r="I3520" s="3">
        <v>97.8</v>
      </c>
      <c r="J3520" s="3">
        <v>0</v>
      </c>
      <c r="K3520" t="s">
        <v>8447</v>
      </c>
      <c r="L3520">
        <v>6911</v>
      </c>
      <c r="M3520" t="s">
        <v>4915</v>
      </c>
      <c r="N3520" t="s">
        <v>30</v>
      </c>
      <c r="O3520" t="s">
        <v>31</v>
      </c>
      <c r="P3520" t="str">
        <f>"15206"</f>
        <v>15206</v>
      </c>
    </row>
    <row r="3521" spans="1:16" x14ac:dyDescent="0.25">
      <c r="A3521" t="str">
        <f>"1100080D00309402 00"</f>
        <v>1100080D00309402 00</v>
      </c>
      <c r="B3521" t="s">
        <v>8448</v>
      </c>
      <c r="C3521" t="s">
        <v>8449</v>
      </c>
      <c r="E3521" t="s">
        <v>39</v>
      </c>
      <c r="F3521">
        <v>0</v>
      </c>
      <c r="G3521">
        <v>0</v>
      </c>
      <c r="H3521">
        <v>1</v>
      </c>
      <c r="I3521" s="3">
        <v>257.73</v>
      </c>
      <c r="J3521" s="3">
        <v>154.63</v>
      </c>
      <c r="K3521" t="s">
        <v>8450</v>
      </c>
      <c r="L3521">
        <v>4735</v>
      </c>
      <c r="M3521" t="s">
        <v>841</v>
      </c>
      <c r="N3521" t="s">
        <v>30</v>
      </c>
      <c r="O3521" t="s">
        <v>31</v>
      </c>
      <c r="P3521" t="str">
        <f>"15201"</f>
        <v>15201</v>
      </c>
    </row>
    <row r="3522" spans="1:16" x14ac:dyDescent="0.25">
      <c r="A3522" t="str">
        <f>"1100080D00309405 00"</f>
        <v>1100080D00309405 00</v>
      </c>
      <c r="B3522" t="s">
        <v>8451</v>
      </c>
      <c r="C3522" t="s">
        <v>8452</v>
      </c>
      <c r="E3522" t="s">
        <v>39</v>
      </c>
      <c r="F3522">
        <v>0</v>
      </c>
      <c r="G3522">
        <v>0</v>
      </c>
      <c r="H3522">
        <v>3</v>
      </c>
      <c r="I3522" s="3">
        <v>6894.67</v>
      </c>
      <c r="J3522" s="3">
        <v>1515.29</v>
      </c>
      <c r="M3522" t="s">
        <v>8453</v>
      </c>
      <c r="N3522" t="s">
        <v>8454</v>
      </c>
      <c r="O3522" t="s">
        <v>1184</v>
      </c>
      <c r="P3522" t="str">
        <f>"21056"</f>
        <v>21056</v>
      </c>
    </row>
    <row r="3523" spans="1:16" x14ac:dyDescent="0.25">
      <c r="A3523" t="str">
        <f>"1100080D00320A   00"</f>
        <v>1100080D00320A   00</v>
      </c>
      <c r="B3523" t="s">
        <v>8455</v>
      </c>
      <c r="C3523" t="s">
        <v>8456</v>
      </c>
      <c r="D3523" t="s">
        <v>20</v>
      </c>
      <c r="E3523" t="s">
        <v>39</v>
      </c>
      <c r="F3523">
        <v>0</v>
      </c>
      <c r="G3523">
        <v>0</v>
      </c>
      <c r="H3523">
        <v>4</v>
      </c>
      <c r="I3523" s="3">
        <v>2493.1</v>
      </c>
      <c r="J3523" s="3">
        <v>906.94</v>
      </c>
      <c r="L3523">
        <v>1948</v>
      </c>
      <c r="M3523" t="s">
        <v>8457</v>
      </c>
      <c r="N3523" t="s">
        <v>238</v>
      </c>
      <c r="O3523" t="s">
        <v>31</v>
      </c>
      <c r="P3523" t="str">
        <f>"15131"</f>
        <v>15131</v>
      </c>
    </row>
    <row r="3524" spans="1:16" x14ac:dyDescent="0.25">
      <c r="A3524" t="str">
        <f>"1100080D00339    00"</f>
        <v>1100080D00339    00</v>
      </c>
      <c r="B3524" t="s">
        <v>8458</v>
      </c>
      <c r="C3524" t="s">
        <v>8459</v>
      </c>
      <c r="D3524" t="s">
        <v>20</v>
      </c>
      <c r="E3524" t="s">
        <v>39</v>
      </c>
      <c r="F3524">
        <v>0</v>
      </c>
      <c r="G3524">
        <v>0</v>
      </c>
      <c r="H3524">
        <v>7</v>
      </c>
      <c r="I3524" s="3">
        <v>776.92</v>
      </c>
      <c r="J3524" s="3">
        <v>182.62</v>
      </c>
      <c r="L3524">
        <v>5308</v>
      </c>
      <c r="M3524" t="s">
        <v>8444</v>
      </c>
      <c r="N3524" t="s">
        <v>30</v>
      </c>
      <c r="O3524" t="s">
        <v>31</v>
      </c>
      <c r="P3524" t="str">
        <f>"15201"</f>
        <v>15201</v>
      </c>
    </row>
    <row r="3525" spans="1:16" x14ac:dyDescent="0.25">
      <c r="A3525" t="str">
        <f>"1100080D00342    00"</f>
        <v>1100080D00342    00</v>
      </c>
      <c r="B3525" t="s">
        <v>7918</v>
      </c>
      <c r="C3525" t="s">
        <v>8460</v>
      </c>
      <c r="D3525" t="s">
        <v>20</v>
      </c>
      <c r="E3525" t="s">
        <v>39</v>
      </c>
      <c r="F3525">
        <v>0</v>
      </c>
      <c r="G3525">
        <v>0</v>
      </c>
      <c r="H3525">
        <v>1</v>
      </c>
      <c r="I3525" s="3">
        <v>2702.73</v>
      </c>
      <c r="J3525" s="3">
        <v>0</v>
      </c>
      <c r="K3525" t="s">
        <v>7920</v>
      </c>
      <c r="L3525">
        <v>740</v>
      </c>
      <c r="M3525" t="s">
        <v>8461</v>
      </c>
      <c r="N3525" t="s">
        <v>526</v>
      </c>
      <c r="O3525" t="s">
        <v>527</v>
      </c>
      <c r="P3525" t="str">
        <f>"20005"</f>
        <v>20005</v>
      </c>
    </row>
    <row r="3526" spans="1:16" x14ac:dyDescent="0.25">
      <c r="A3526" t="str">
        <f>"1100080D00385    00"</f>
        <v>1100080D00385    00</v>
      </c>
      <c r="B3526" t="s">
        <v>8462</v>
      </c>
      <c r="C3526" t="s">
        <v>8463</v>
      </c>
      <c r="D3526" t="s">
        <v>20</v>
      </c>
      <c r="E3526" t="s">
        <v>39</v>
      </c>
      <c r="F3526">
        <v>0</v>
      </c>
      <c r="G3526">
        <v>0</v>
      </c>
      <c r="H3526">
        <v>4</v>
      </c>
      <c r="I3526" s="3">
        <v>820.79</v>
      </c>
      <c r="J3526" s="3">
        <v>68.27</v>
      </c>
      <c r="L3526">
        <v>5271</v>
      </c>
      <c r="M3526" t="s">
        <v>8464</v>
      </c>
      <c r="N3526" t="s">
        <v>30</v>
      </c>
      <c r="O3526" t="s">
        <v>31</v>
      </c>
      <c r="P3526" t="str">
        <f>"15201"</f>
        <v>15201</v>
      </c>
    </row>
    <row r="3527" spans="1:16" x14ac:dyDescent="0.25">
      <c r="A3527" t="str">
        <f>"1100080D00386    00"</f>
        <v>1100080D00386    00</v>
      </c>
      <c r="B3527" t="s">
        <v>8465</v>
      </c>
      <c r="C3527" t="s">
        <v>8466</v>
      </c>
      <c r="D3527" t="s">
        <v>20</v>
      </c>
      <c r="E3527" t="s">
        <v>39</v>
      </c>
      <c r="F3527">
        <v>0</v>
      </c>
      <c r="G3527">
        <v>0</v>
      </c>
      <c r="H3527">
        <v>1</v>
      </c>
      <c r="I3527" s="3">
        <v>192.63</v>
      </c>
      <c r="J3527" s="3">
        <v>0</v>
      </c>
      <c r="K3527" t="s">
        <v>400</v>
      </c>
      <c r="L3527">
        <v>3001</v>
      </c>
      <c r="M3527" t="s">
        <v>330</v>
      </c>
      <c r="N3527" t="s">
        <v>331</v>
      </c>
      <c r="O3527" t="s">
        <v>108</v>
      </c>
      <c r="P3527" t="str">
        <f>"75063"</f>
        <v>75063</v>
      </c>
    </row>
    <row r="3528" spans="1:16" x14ac:dyDescent="0.25">
      <c r="A3528" t="str">
        <f>"1100080D00390    00"</f>
        <v>1100080D00390    00</v>
      </c>
      <c r="B3528" t="s">
        <v>8467</v>
      </c>
      <c r="C3528" t="s">
        <v>8468</v>
      </c>
      <c r="D3528" t="s">
        <v>20</v>
      </c>
      <c r="E3528" t="s">
        <v>39</v>
      </c>
      <c r="F3528">
        <v>0</v>
      </c>
      <c r="G3528">
        <v>0</v>
      </c>
      <c r="H3528">
        <v>2</v>
      </c>
      <c r="I3528" s="3">
        <v>3106.8</v>
      </c>
      <c r="J3528" s="3">
        <v>0</v>
      </c>
      <c r="K3528" t="s">
        <v>8469</v>
      </c>
      <c r="L3528">
        <v>202</v>
      </c>
      <c r="M3528" t="s">
        <v>2136</v>
      </c>
      <c r="N3528" t="s">
        <v>30</v>
      </c>
      <c r="O3528" t="s">
        <v>31</v>
      </c>
      <c r="P3528" t="str">
        <f>"15228"</f>
        <v>15228</v>
      </c>
    </row>
    <row r="3529" spans="1:16" x14ac:dyDescent="0.25">
      <c r="A3529" t="str">
        <f>"1100080G00161    00"</f>
        <v>1100080G00161    00</v>
      </c>
      <c r="B3529" t="s">
        <v>8470</v>
      </c>
      <c r="C3529" t="s">
        <v>8471</v>
      </c>
      <c r="D3529" t="s">
        <v>20</v>
      </c>
      <c r="E3529" t="s">
        <v>21</v>
      </c>
      <c r="F3529">
        <v>0</v>
      </c>
      <c r="G3529">
        <v>0</v>
      </c>
      <c r="H3529">
        <v>3</v>
      </c>
      <c r="I3529" s="3">
        <v>2188.11</v>
      </c>
      <c r="J3529" s="3">
        <v>0</v>
      </c>
      <c r="L3529">
        <v>5142</v>
      </c>
      <c r="M3529" t="s">
        <v>841</v>
      </c>
      <c r="N3529" t="s">
        <v>30</v>
      </c>
      <c r="O3529" t="s">
        <v>31</v>
      </c>
      <c r="P3529" t="str">
        <f>"15201"</f>
        <v>15201</v>
      </c>
    </row>
    <row r="3530" spans="1:16" x14ac:dyDescent="0.25">
      <c r="A3530" t="str">
        <f>"1100080G00169    00"</f>
        <v>1100080G00169    00</v>
      </c>
      <c r="B3530" t="s">
        <v>8472</v>
      </c>
      <c r="C3530" t="s">
        <v>8473</v>
      </c>
      <c r="D3530" t="s">
        <v>20</v>
      </c>
      <c r="E3530" t="s">
        <v>21</v>
      </c>
      <c r="F3530">
        <v>0</v>
      </c>
      <c r="G3530">
        <v>0</v>
      </c>
      <c r="H3530">
        <v>1</v>
      </c>
      <c r="I3530" s="3">
        <v>5516.52</v>
      </c>
      <c r="J3530" s="3">
        <v>0</v>
      </c>
      <c r="K3530" t="s">
        <v>8474</v>
      </c>
      <c r="L3530">
        <v>4624</v>
      </c>
      <c r="M3530" t="s">
        <v>585</v>
      </c>
      <c r="N3530" t="s">
        <v>30</v>
      </c>
      <c r="O3530" t="s">
        <v>31</v>
      </c>
      <c r="P3530" t="str">
        <f>"15224"</f>
        <v>15224</v>
      </c>
    </row>
    <row r="3531" spans="1:16" x14ac:dyDescent="0.25">
      <c r="A3531" t="str">
        <f>"1100080G00177    00"</f>
        <v>1100080G00177    00</v>
      </c>
      <c r="B3531" t="s">
        <v>8475</v>
      </c>
      <c r="C3531" t="s">
        <v>8476</v>
      </c>
      <c r="E3531" t="s">
        <v>39</v>
      </c>
      <c r="F3531">
        <v>0</v>
      </c>
      <c r="G3531">
        <v>0</v>
      </c>
      <c r="H3531">
        <v>7</v>
      </c>
      <c r="I3531" s="3">
        <v>1702.18</v>
      </c>
      <c r="J3531" s="3">
        <v>2133.77</v>
      </c>
      <c r="K3531" t="s">
        <v>1030</v>
      </c>
      <c r="M3531" t="s">
        <v>1031</v>
      </c>
      <c r="N3531" t="s">
        <v>1032</v>
      </c>
      <c r="O3531" t="s">
        <v>25</v>
      </c>
      <c r="P3531" t="str">
        <f>"44711"</f>
        <v>44711</v>
      </c>
    </row>
    <row r="3532" spans="1:16" x14ac:dyDescent="0.25">
      <c r="A3532" t="str">
        <f>"1100080G00181    00"</f>
        <v>1100080G00181    00</v>
      </c>
      <c r="B3532" t="s">
        <v>8477</v>
      </c>
      <c r="C3532" t="s">
        <v>8478</v>
      </c>
      <c r="E3532" t="s">
        <v>21</v>
      </c>
      <c r="F3532">
        <v>0</v>
      </c>
      <c r="G3532">
        <v>0</v>
      </c>
      <c r="H3532">
        <v>1</v>
      </c>
      <c r="I3532" s="3">
        <v>3099.16</v>
      </c>
      <c r="J3532" s="3">
        <v>0</v>
      </c>
      <c r="K3532" t="s">
        <v>8479</v>
      </c>
      <c r="L3532">
        <v>450</v>
      </c>
      <c r="M3532" t="s">
        <v>8480</v>
      </c>
      <c r="N3532" t="s">
        <v>30</v>
      </c>
      <c r="O3532" t="s">
        <v>31</v>
      </c>
      <c r="P3532" t="str">
        <f>"15201"</f>
        <v>15201</v>
      </c>
    </row>
    <row r="3533" spans="1:16" x14ac:dyDescent="0.25">
      <c r="A3533" t="str">
        <f>"1100080G00183    00"</f>
        <v>1100080G00183    00</v>
      </c>
      <c r="B3533" t="s">
        <v>8481</v>
      </c>
      <c r="C3533" t="s">
        <v>8482</v>
      </c>
      <c r="E3533" t="s">
        <v>21</v>
      </c>
      <c r="F3533">
        <v>0</v>
      </c>
      <c r="G3533">
        <v>0</v>
      </c>
      <c r="H3533">
        <v>1</v>
      </c>
      <c r="I3533" s="3">
        <v>1700.66</v>
      </c>
      <c r="J3533" s="3">
        <v>850.29</v>
      </c>
      <c r="K3533" t="s">
        <v>8338</v>
      </c>
      <c r="L3533">
        <v>1025</v>
      </c>
      <c r="M3533" t="s">
        <v>8339</v>
      </c>
      <c r="N3533" t="s">
        <v>2534</v>
      </c>
      <c r="O3533" t="s">
        <v>1184</v>
      </c>
      <c r="P3533" t="str">
        <f>"21201"</f>
        <v>21201</v>
      </c>
    </row>
    <row r="3534" spans="1:16" x14ac:dyDescent="0.25">
      <c r="A3534" t="str">
        <f>"1100080G00185    00"</f>
        <v>1100080G00185    00</v>
      </c>
      <c r="B3534" t="s">
        <v>4469</v>
      </c>
      <c r="C3534" t="s">
        <v>8483</v>
      </c>
      <c r="D3534" t="s">
        <v>20</v>
      </c>
      <c r="E3534" t="s">
        <v>21</v>
      </c>
      <c r="F3534">
        <v>0</v>
      </c>
      <c r="G3534">
        <v>0</v>
      </c>
      <c r="H3534">
        <v>1</v>
      </c>
      <c r="I3534" s="3">
        <v>1280.83</v>
      </c>
      <c r="J3534" s="3">
        <v>0</v>
      </c>
      <c r="L3534">
        <v>33</v>
      </c>
      <c r="M3534" t="s">
        <v>8484</v>
      </c>
      <c r="N3534" t="s">
        <v>30</v>
      </c>
      <c r="O3534" t="s">
        <v>31</v>
      </c>
      <c r="P3534" t="str">
        <f>"15229"</f>
        <v>15229</v>
      </c>
    </row>
    <row r="3535" spans="1:16" x14ac:dyDescent="0.25">
      <c r="A3535" t="str">
        <f>"1100080G00192    00"</f>
        <v>1100080G00192    00</v>
      </c>
      <c r="B3535" t="s">
        <v>8485</v>
      </c>
      <c r="C3535" t="s">
        <v>8486</v>
      </c>
      <c r="D3535" t="s">
        <v>20</v>
      </c>
      <c r="E3535" t="s">
        <v>39</v>
      </c>
      <c r="F3535">
        <v>0</v>
      </c>
      <c r="G3535">
        <v>0</v>
      </c>
      <c r="H3535">
        <v>1</v>
      </c>
      <c r="I3535" s="3">
        <v>2381.06</v>
      </c>
      <c r="J3535" s="3">
        <v>0</v>
      </c>
      <c r="K3535" t="s">
        <v>400</v>
      </c>
      <c r="L3535">
        <v>3001</v>
      </c>
      <c r="M3535" t="s">
        <v>330</v>
      </c>
      <c r="N3535" t="s">
        <v>331</v>
      </c>
      <c r="O3535" t="s">
        <v>108</v>
      </c>
      <c r="P3535" t="str">
        <f>"75063"</f>
        <v>75063</v>
      </c>
    </row>
    <row r="3536" spans="1:16" x14ac:dyDescent="0.25">
      <c r="A3536" t="str">
        <f>"1100080G00197A   00"</f>
        <v>1100080G00197A   00</v>
      </c>
      <c r="B3536" t="s">
        <v>5020</v>
      </c>
      <c r="C3536" t="s">
        <v>8487</v>
      </c>
      <c r="D3536" t="s">
        <v>20</v>
      </c>
      <c r="E3536" t="s">
        <v>39</v>
      </c>
      <c r="F3536">
        <v>0</v>
      </c>
      <c r="G3536">
        <v>0</v>
      </c>
      <c r="H3536">
        <v>2</v>
      </c>
      <c r="I3536" s="3">
        <v>1726.84</v>
      </c>
      <c r="J3536" s="3">
        <v>0</v>
      </c>
      <c r="K3536" t="s">
        <v>1722</v>
      </c>
      <c r="M3536" t="s">
        <v>1723</v>
      </c>
      <c r="N3536" t="s">
        <v>410</v>
      </c>
      <c r="O3536" t="s">
        <v>31</v>
      </c>
      <c r="P3536" t="str">
        <f>"15701"</f>
        <v>15701</v>
      </c>
    </row>
    <row r="3537" spans="1:16" x14ac:dyDescent="0.25">
      <c r="A3537" t="str">
        <f>"1100080G00200    00"</f>
        <v>1100080G00200    00</v>
      </c>
      <c r="B3537" t="s">
        <v>8488</v>
      </c>
      <c r="C3537" t="s">
        <v>8489</v>
      </c>
      <c r="E3537" t="s">
        <v>39</v>
      </c>
      <c r="F3537">
        <v>0</v>
      </c>
      <c r="G3537">
        <v>0</v>
      </c>
      <c r="H3537">
        <v>1</v>
      </c>
      <c r="I3537" s="3">
        <v>1954.76</v>
      </c>
      <c r="J3537" s="3">
        <v>961.05</v>
      </c>
      <c r="L3537">
        <v>5117</v>
      </c>
      <c r="M3537" t="s">
        <v>2444</v>
      </c>
      <c r="N3537" t="s">
        <v>30</v>
      </c>
      <c r="O3537" t="s">
        <v>31</v>
      </c>
      <c r="P3537" t="str">
        <f>"15201"</f>
        <v>15201</v>
      </c>
    </row>
    <row r="3538" spans="1:16" x14ac:dyDescent="0.25">
      <c r="A3538" t="str">
        <f>"1100080G00202    00"</f>
        <v>1100080G00202    00</v>
      </c>
      <c r="B3538" t="s">
        <v>8490</v>
      </c>
      <c r="C3538" t="s">
        <v>8491</v>
      </c>
      <c r="E3538" t="s">
        <v>39</v>
      </c>
      <c r="F3538">
        <v>0</v>
      </c>
      <c r="G3538">
        <v>0</v>
      </c>
      <c r="H3538">
        <v>1</v>
      </c>
      <c r="I3538" s="3">
        <v>1127.1199999999999</v>
      </c>
      <c r="J3538" s="3">
        <v>535.36</v>
      </c>
      <c r="K3538" t="s">
        <v>8492</v>
      </c>
      <c r="L3538">
        <v>17397</v>
      </c>
      <c r="M3538" t="s">
        <v>8493</v>
      </c>
      <c r="N3538" t="s">
        <v>3262</v>
      </c>
      <c r="O3538" t="s">
        <v>3263</v>
      </c>
      <c r="P3538" t="str">
        <f>"97229"</f>
        <v>97229</v>
      </c>
    </row>
    <row r="3539" spans="1:16" x14ac:dyDescent="0.25">
      <c r="A3539" t="str">
        <f>"1100080G00212C   00"</f>
        <v>1100080G00212C   00</v>
      </c>
      <c r="B3539" t="s">
        <v>8494</v>
      </c>
      <c r="C3539" t="s">
        <v>8495</v>
      </c>
      <c r="D3539" t="s">
        <v>20</v>
      </c>
      <c r="E3539" t="s">
        <v>39</v>
      </c>
      <c r="F3539">
        <v>0</v>
      </c>
      <c r="G3539">
        <v>0</v>
      </c>
      <c r="H3539">
        <v>4</v>
      </c>
      <c r="I3539" s="3">
        <v>2661.24</v>
      </c>
      <c r="J3539" s="3">
        <v>671.3</v>
      </c>
      <c r="L3539">
        <v>5141</v>
      </c>
      <c r="M3539" t="s">
        <v>2444</v>
      </c>
      <c r="N3539" t="s">
        <v>30</v>
      </c>
      <c r="O3539" t="s">
        <v>31</v>
      </c>
      <c r="P3539" t="str">
        <f>"15201"</f>
        <v>15201</v>
      </c>
    </row>
    <row r="3540" spans="1:16" x14ac:dyDescent="0.25">
      <c r="A3540" t="str">
        <f>"1100080G00217    00"</f>
        <v>1100080G00217    00</v>
      </c>
      <c r="B3540" t="s">
        <v>8496</v>
      </c>
      <c r="C3540" t="s">
        <v>8497</v>
      </c>
      <c r="E3540" t="s">
        <v>39</v>
      </c>
      <c r="F3540">
        <v>0</v>
      </c>
      <c r="G3540">
        <v>0</v>
      </c>
      <c r="H3540">
        <v>1</v>
      </c>
      <c r="I3540" s="3">
        <v>1874.9</v>
      </c>
      <c r="J3540" s="3">
        <v>921.79</v>
      </c>
      <c r="K3540" t="s">
        <v>728</v>
      </c>
      <c r="L3540">
        <v>3001</v>
      </c>
      <c r="M3540" t="s">
        <v>330</v>
      </c>
      <c r="N3540" t="s">
        <v>331</v>
      </c>
      <c r="O3540" t="s">
        <v>108</v>
      </c>
      <c r="P3540" t="str">
        <f>"75063"</f>
        <v>75063</v>
      </c>
    </row>
    <row r="3541" spans="1:16" x14ac:dyDescent="0.25">
      <c r="A3541" t="str">
        <f>"1100080G00223    00"</f>
        <v>1100080G00223    00</v>
      </c>
      <c r="B3541" t="s">
        <v>8498</v>
      </c>
      <c r="C3541" t="s">
        <v>8499</v>
      </c>
      <c r="E3541" t="s">
        <v>39</v>
      </c>
      <c r="F3541">
        <v>0</v>
      </c>
      <c r="G3541">
        <v>0</v>
      </c>
      <c r="H3541">
        <v>2</v>
      </c>
      <c r="I3541" s="3">
        <v>5760.06</v>
      </c>
      <c r="J3541" s="3">
        <v>2519.2800000000002</v>
      </c>
      <c r="K3541" t="s">
        <v>8500</v>
      </c>
      <c r="L3541">
        <v>701</v>
      </c>
      <c r="M3541" t="s">
        <v>8501</v>
      </c>
      <c r="N3541" t="s">
        <v>8502</v>
      </c>
      <c r="O3541" t="s">
        <v>3486</v>
      </c>
      <c r="P3541" t="str">
        <f>"60148"</f>
        <v>60148</v>
      </c>
    </row>
    <row r="3542" spans="1:16" x14ac:dyDescent="0.25">
      <c r="A3542" t="str">
        <f>"1100080G00233    00"</f>
        <v>1100080G00233    00</v>
      </c>
      <c r="B3542" t="s">
        <v>8503</v>
      </c>
      <c r="C3542" t="s">
        <v>8504</v>
      </c>
      <c r="E3542" t="s">
        <v>39</v>
      </c>
      <c r="F3542">
        <v>0</v>
      </c>
      <c r="G3542">
        <v>0</v>
      </c>
      <c r="H3542">
        <v>1</v>
      </c>
      <c r="I3542" s="3">
        <v>533.67999999999995</v>
      </c>
      <c r="J3542" s="3">
        <v>40.020000000000003</v>
      </c>
      <c r="K3542" t="s">
        <v>4397</v>
      </c>
      <c r="L3542">
        <v>1901</v>
      </c>
      <c r="M3542" t="s">
        <v>5016</v>
      </c>
      <c r="N3542" t="s">
        <v>5017</v>
      </c>
      <c r="O3542" t="s">
        <v>3486</v>
      </c>
      <c r="P3542" t="str">
        <f>"61834"</f>
        <v>61834</v>
      </c>
    </row>
    <row r="3543" spans="1:16" x14ac:dyDescent="0.25">
      <c r="A3543" t="str">
        <f>"1100080G00241    00"</f>
        <v>1100080G00241    00</v>
      </c>
      <c r="B3543" t="s">
        <v>8505</v>
      </c>
      <c r="C3543" t="s">
        <v>8506</v>
      </c>
      <c r="D3543" t="s">
        <v>33</v>
      </c>
      <c r="E3543" t="s">
        <v>39</v>
      </c>
      <c r="F3543">
        <v>0</v>
      </c>
      <c r="G3543">
        <v>0</v>
      </c>
      <c r="H3543">
        <v>15</v>
      </c>
      <c r="I3543" s="3">
        <v>7150.76</v>
      </c>
      <c r="J3543" s="3">
        <v>2591.5100000000002</v>
      </c>
      <c r="K3543" t="s">
        <v>8507</v>
      </c>
      <c r="L3543">
        <v>5130</v>
      </c>
      <c r="M3543" t="s">
        <v>2444</v>
      </c>
      <c r="N3543" t="s">
        <v>30</v>
      </c>
      <c r="O3543" t="s">
        <v>31</v>
      </c>
      <c r="P3543" t="str">
        <f>"15201"</f>
        <v>15201</v>
      </c>
    </row>
    <row r="3544" spans="1:16" x14ac:dyDescent="0.25">
      <c r="A3544" t="str">
        <f>"1100080G00247    00"</f>
        <v>1100080G00247    00</v>
      </c>
      <c r="B3544" t="s">
        <v>7005</v>
      </c>
      <c r="C3544" t="s">
        <v>8508</v>
      </c>
      <c r="D3544" t="s">
        <v>20</v>
      </c>
      <c r="E3544" t="s">
        <v>39</v>
      </c>
      <c r="F3544">
        <v>0</v>
      </c>
      <c r="G3544">
        <v>0</v>
      </c>
      <c r="H3544">
        <v>1</v>
      </c>
      <c r="I3544" s="3">
        <v>800.52</v>
      </c>
      <c r="J3544" s="3">
        <v>0</v>
      </c>
      <c r="K3544" t="s">
        <v>7007</v>
      </c>
      <c r="L3544">
        <v>600</v>
      </c>
      <c r="M3544" t="s">
        <v>8509</v>
      </c>
      <c r="N3544" t="s">
        <v>8510</v>
      </c>
      <c r="O3544" t="s">
        <v>3392</v>
      </c>
      <c r="P3544" t="str">
        <f>"19709"</f>
        <v>19709</v>
      </c>
    </row>
    <row r="3545" spans="1:16" x14ac:dyDescent="0.25">
      <c r="A3545" t="str">
        <f>"1100080G00251    00"</f>
        <v>1100080G00251    00</v>
      </c>
      <c r="B3545" t="s">
        <v>8511</v>
      </c>
      <c r="C3545" t="s">
        <v>8512</v>
      </c>
      <c r="E3545" t="s">
        <v>39</v>
      </c>
      <c r="F3545">
        <v>0</v>
      </c>
      <c r="G3545">
        <v>0</v>
      </c>
      <c r="H3545">
        <v>1</v>
      </c>
      <c r="I3545" s="3">
        <v>5577.5</v>
      </c>
      <c r="J3545" s="3">
        <v>2649.2</v>
      </c>
      <c r="K3545" t="s">
        <v>710</v>
      </c>
      <c r="L3545">
        <v>4140</v>
      </c>
      <c r="M3545" t="s">
        <v>711</v>
      </c>
      <c r="N3545" t="s">
        <v>712</v>
      </c>
      <c r="O3545" t="s">
        <v>31</v>
      </c>
      <c r="P3545" t="str">
        <f>"16148"</f>
        <v>16148</v>
      </c>
    </row>
    <row r="3546" spans="1:16" x14ac:dyDescent="0.25">
      <c r="A3546" t="str">
        <f>"1100080G00264    00"</f>
        <v>1100080G00264    00</v>
      </c>
      <c r="B3546" t="s">
        <v>8513</v>
      </c>
      <c r="C3546" t="s">
        <v>8514</v>
      </c>
      <c r="D3546" t="s">
        <v>20</v>
      </c>
      <c r="E3546" t="s">
        <v>39</v>
      </c>
      <c r="F3546">
        <v>0</v>
      </c>
      <c r="G3546">
        <v>0</v>
      </c>
      <c r="H3546">
        <v>3</v>
      </c>
      <c r="I3546" s="3">
        <v>14295</v>
      </c>
      <c r="J3546" s="3">
        <v>317.66000000000003</v>
      </c>
      <c r="K3546" t="s">
        <v>881</v>
      </c>
      <c r="L3546">
        <v>3001</v>
      </c>
      <c r="M3546" t="s">
        <v>330</v>
      </c>
      <c r="N3546" t="s">
        <v>331</v>
      </c>
      <c r="O3546" t="s">
        <v>108</v>
      </c>
      <c r="P3546" t="str">
        <f>"75063"</f>
        <v>75063</v>
      </c>
    </row>
    <row r="3547" spans="1:16" x14ac:dyDescent="0.25">
      <c r="A3547" t="str">
        <f>"1100080G00275    00"</f>
        <v>1100080G00275    00</v>
      </c>
      <c r="B3547" t="s">
        <v>8515</v>
      </c>
      <c r="C3547" t="s">
        <v>8516</v>
      </c>
      <c r="D3547" t="s">
        <v>20</v>
      </c>
      <c r="E3547" t="s">
        <v>39</v>
      </c>
      <c r="F3547">
        <v>0</v>
      </c>
      <c r="G3547">
        <v>0</v>
      </c>
      <c r="H3547">
        <v>3</v>
      </c>
      <c r="I3547" s="3">
        <v>3958.12</v>
      </c>
      <c r="J3547" s="3">
        <v>90.98</v>
      </c>
      <c r="L3547">
        <v>5129</v>
      </c>
      <c r="M3547" t="s">
        <v>8410</v>
      </c>
      <c r="N3547" t="s">
        <v>30</v>
      </c>
      <c r="O3547" t="s">
        <v>31</v>
      </c>
      <c r="P3547" t="str">
        <f>"15201"</f>
        <v>15201</v>
      </c>
    </row>
    <row r="3548" spans="1:16" x14ac:dyDescent="0.25">
      <c r="A3548" t="str">
        <f>"1100080H00013A   00"</f>
        <v>1100080H00013A   00</v>
      </c>
      <c r="B3548" t="s">
        <v>8517</v>
      </c>
      <c r="C3548" t="s">
        <v>8518</v>
      </c>
      <c r="E3548" t="s">
        <v>39</v>
      </c>
      <c r="F3548">
        <v>0</v>
      </c>
      <c r="G3548">
        <v>0</v>
      </c>
      <c r="H3548">
        <v>2</v>
      </c>
      <c r="I3548" s="3">
        <v>79.58</v>
      </c>
      <c r="J3548" s="3">
        <v>4.1500000000000004</v>
      </c>
      <c r="K3548" t="s">
        <v>391</v>
      </c>
      <c r="L3548">
        <v>1</v>
      </c>
      <c r="M3548" t="s">
        <v>392</v>
      </c>
      <c r="N3548" t="s">
        <v>393</v>
      </c>
      <c r="O3548" t="s">
        <v>394</v>
      </c>
      <c r="P3548" t="str">
        <f>"50328"</f>
        <v>50328</v>
      </c>
    </row>
    <row r="3549" spans="1:16" x14ac:dyDescent="0.25">
      <c r="A3549" t="str">
        <f>"1100080H00019    00"</f>
        <v>1100080H00019    00</v>
      </c>
      <c r="B3549" t="s">
        <v>8519</v>
      </c>
      <c r="C3549" t="s">
        <v>8520</v>
      </c>
      <c r="E3549" t="s">
        <v>39</v>
      </c>
      <c r="F3549">
        <v>0</v>
      </c>
      <c r="G3549">
        <v>0</v>
      </c>
      <c r="H3549">
        <v>1</v>
      </c>
      <c r="I3549" s="3">
        <v>610.69000000000005</v>
      </c>
      <c r="J3549" s="3">
        <v>452.92</v>
      </c>
      <c r="K3549" t="s">
        <v>8521</v>
      </c>
      <c r="L3549">
        <v>3001</v>
      </c>
      <c r="M3549" t="s">
        <v>330</v>
      </c>
      <c r="N3549" t="s">
        <v>331</v>
      </c>
      <c r="O3549" t="s">
        <v>108</v>
      </c>
      <c r="P3549" t="str">
        <f>"75063"</f>
        <v>75063</v>
      </c>
    </row>
    <row r="3550" spans="1:16" x14ac:dyDescent="0.25">
      <c r="A3550" t="str">
        <f>"1100080H00034    00"</f>
        <v>1100080H00034    00</v>
      </c>
      <c r="B3550" t="s">
        <v>8522</v>
      </c>
      <c r="C3550" t="s">
        <v>8523</v>
      </c>
      <c r="E3550" t="s">
        <v>39</v>
      </c>
      <c r="F3550">
        <v>0</v>
      </c>
      <c r="G3550">
        <v>0</v>
      </c>
      <c r="H3550">
        <v>6</v>
      </c>
      <c r="I3550" s="3">
        <v>26.15</v>
      </c>
      <c r="J3550" s="3">
        <v>0.55000000000000004</v>
      </c>
      <c r="K3550" t="s">
        <v>881</v>
      </c>
      <c r="L3550">
        <v>3001</v>
      </c>
      <c r="M3550" t="s">
        <v>330</v>
      </c>
      <c r="N3550" t="s">
        <v>331</v>
      </c>
      <c r="O3550" t="s">
        <v>108</v>
      </c>
      <c r="P3550" t="str">
        <f>"75063"</f>
        <v>75063</v>
      </c>
    </row>
    <row r="3551" spans="1:16" x14ac:dyDescent="0.25">
      <c r="A3551" t="str">
        <f>"1100080H00040    00"</f>
        <v>1100080H00040    00</v>
      </c>
      <c r="B3551" t="s">
        <v>8524</v>
      </c>
      <c r="C3551" t="s">
        <v>8525</v>
      </c>
      <c r="E3551" t="s">
        <v>39</v>
      </c>
      <c r="F3551">
        <v>0</v>
      </c>
      <c r="G3551">
        <v>0</v>
      </c>
      <c r="H3551">
        <v>1</v>
      </c>
      <c r="I3551" s="3">
        <v>938.91</v>
      </c>
      <c r="J3551" s="3">
        <v>0</v>
      </c>
      <c r="K3551" t="s">
        <v>1030</v>
      </c>
      <c r="M3551" t="s">
        <v>1031</v>
      </c>
      <c r="N3551" t="s">
        <v>1032</v>
      </c>
      <c r="O3551" t="s">
        <v>25</v>
      </c>
      <c r="P3551" t="str">
        <f>"44711"</f>
        <v>44711</v>
      </c>
    </row>
    <row r="3552" spans="1:16" x14ac:dyDescent="0.25">
      <c r="A3552" t="str">
        <f>"1100080H00043    00"</f>
        <v>1100080H00043    00</v>
      </c>
      <c r="B3552" t="s">
        <v>8526</v>
      </c>
      <c r="C3552" t="s">
        <v>8527</v>
      </c>
      <c r="D3552" t="s">
        <v>20</v>
      </c>
      <c r="E3552" t="s">
        <v>39</v>
      </c>
      <c r="F3552">
        <v>0</v>
      </c>
      <c r="G3552">
        <v>0</v>
      </c>
      <c r="H3552">
        <v>2</v>
      </c>
      <c r="I3552" s="3">
        <v>1690.74</v>
      </c>
      <c r="J3552" s="3">
        <v>177.94</v>
      </c>
      <c r="L3552">
        <v>5144</v>
      </c>
      <c r="M3552" t="s">
        <v>8410</v>
      </c>
      <c r="N3552" t="s">
        <v>30</v>
      </c>
      <c r="O3552" t="s">
        <v>31</v>
      </c>
      <c r="P3552" t="str">
        <f>"15201"</f>
        <v>15201</v>
      </c>
    </row>
    <row r="3553" spans="1:16" x14ac:dyDescent="0.25">
      <c r="A3553" t="str">
        <f>"1100080H00059    00"</f>
        <v>1100080H00059    00</v>
      </c>
      <c r="B3553" t="s">
        <v>8528</v>
      </c>
      <c r="C3553" t="s">
        <v>8529</v>
      </c>
      <c r="E3553" t="s">
        <v>39</v>
      </c>
      <c r="F3553">
        <v>0</v>
      </c>
      <c r="G3553">
        <v>0</v>
      </c>
      <c r="H3553">
        <v>2</v>
      </c>
      <c r="I3553" s="3">
        <v>6293.64</v>
      </c>
      <c r="J3553" s="3">
        <v>78.67</v>
      </c>
      <c r="K3553" t="s">
        <v>8530</v>
      </c>
      <c r="M3553" t="s">
        <v>8531</v>
      </c>
      <c r="N3553" t="s">
        <v>5407</v>
      </c>
      <c r="O3553" t="s">
        <v>273</v>
      </c>
      <c r="P3553" t="str">
        <f>"29502"</f>
        <v>29502</v>
      </c>
    </row>
    <row r="3554" spans="1:16" x14ac:dyDescent="0.25">
      <c r="A3554" t="str">
        <f>"1100080H00072    00"</f>
        <v>1100080H00072    00</v>
      </c>
      <c r="B3554" t="s">
        <v>8532</v>
      </c>
      <c r="C3554" t="s">
        <v>8533</v>
      </c>
      <c r="D3554" t="s">
        <v>20</v>
      </c>
      <c r="E3554" t="s">
        <v>39</v>
      </c>
      <c r="F3554">
        <v>0</v>
      </c>
      <c r="G3554">
        <v>0</v>
      </c>
      <c r="H3554">
        <v>1</v>
      </c>
      <c r="I3554" s="3">
        <v>1759.25</v>
      </c>
      <c r="J3554" s="3">
        <v>0</v>
      </c>
      <c r="L3554">
        <v>1718</v>
      </c>
      <c r="M3554" t="s">
        <v>8534</v>
      </c>
      <c r="N3554" t="s">
        <v>8535</v>
      </c>
      <c r="O3554" t="s">
        <v>2928</v>
      </c>
      <c r="P3554" t="str">
        <f>"82001"</f>
        <v>82001</v>
      </c>
    </row>
    <row r="3555" spans="1:16" x14ac:dyDescent="0.25">
      <c r="A3555" t="str">
        <f>"1100080H00078    00"</f>
        <v>1100080H00078    00</v>
      </c>
      <c r="B3555" t="s">
        <v>8536</v>
      </c>
      <c r="C3555" t="s">
        <v>8537</v>
      </c>
      <c r="D3555" t="s">
        <v>7100</v>
      </c>
      <c r="E3555" t="s">
        <v>39</v>
      </c>
      <c r="F3555">
        <v>0</v>
      </c>
      <c r="G3555">
        <v>0</v>
      </c>
      <c r="H3555">
        <v>3</v>
      </c>
      <c r="I3555" s="3">
        <v>4881.34</v>
      </c>
      <c r="J3555" s="3">
        <v>236.33</v>
      </c>
      <c r="K3555" t="s">
        <v>4397</v>
      </c>
      <c r="L3555">
        <v>1050</v>
      </c>
      <c r="M3555" t="s">
        <v>3522</v>
      </c>
      <c r="N3555" t="s">
        <v>3827</v>
      </c>
      <c r="O3555" t="s">
        <v>70</v>
      </c>
      <c r="P3555" t="str">
        <f>"48226"</f>
        <v>48226</v>
      </c>
    </row>
    <row r="3556" spans="1:16" x14ac:dyDescent="0.25">
      <c r="A3556" t="str">
        <f>"1100080H00078A   00"</f>
        <v>1100080H00078A   00</v>
      </c>
      <c r="B3556" t="s">
        <v>8538</v>
      </c>
      <c r="C3556" t="s">
        <v>8539</v>
      </c>
      <c r="D3556" t="s">
        <v>20</v>
      </c>
      <c r="E3556" t="s">
        <v>39</v>
      </c>
      <c r="F3556">
        <v>0</v>
      </c>
      <c r="G3556">
        <v>0</v>
      </c>
      <c r="H3556">
        <v>19</v>
      </c>
      <c r="I3556" s="3">
        <v>21457.34</v>
      </c>
      <c r="J3556" s="3">
        <v>18595.8</v>
      </c>
      <c r="L3556">
        <v>5148</v>
      </c>
      <c r="M3556" t="s">
        <v>8540</v>
      </c>
      <c r="N3556" t="s">
        <v>30</v>
      </c>
      <c r="O3556" t="s">
        <v>31</v>
      </c>
      <c r="P3556" t="str">
        <f>"15201"</f>
        <v>15201</v>
      </c>
    </row>
    <row r="3557" spans="1:16" x14ac:dyDescent="0.25">
      <c r="A3557" t="str">
        <f>"1100080H00102    00"</f>
        <v>1100080H00102    00</v>
      </c>
      <c r="B3557" t="s">
        <v>8541</v>
      </c>
      <c r="C3557" t="s">
        <v>8542</v>
      </c>
      <c r="E3557" t="s">
        <v>39</v>
      </c>
      <c r="F3557">
        <v>0</v>
      </c>
      <c r="G3557">
        <v>0</v>
      </c>
      <c r="H3557">
        <v>2</v>
      </c>
      <c r="I3557" s="3">
        <v>67.63</v>
      </c>
      <c r="J3557" s="3">
        <v>0.87</v>
      </c>
      <c r="K3557" t="s">
        <v>710</v>
      </c>
      <c r="M3557" t="s">
        <v>8543</v>
      </c>
      <c r="N3557" t="s">
        <v>8544</v>
      </c>
      <c r="O3557" t="s">
        <v>70</v>
      </c>
      <c r="P3557" t="str">
        <f>"48826"</f>
        <v>48826</v>
      </c>
    </row>
    <row r="3558" spans="1:16" x14ac:dyDescent="0.25">
      <c r="A3558" t="str">
        <f>"1100080H00119    00"</f>
        <v>1100080H00119    00</v>
      </c>
      <c r="B3558" t="s">
        <v>8545</v>
      </c>
      <c r="C3558" t="s">
        <v>8546</v>
      </c>
      <c r="D3558" t="s">
        <v>20</v>
      </c>
      <c r="E3558" t="s">
        <v>39</v>
      </c>
      <c r="F3558">
        <v>0</v>
      </c>
      <c r="G3558">
        <v>0</v>
      </c>
      <c r="H3558">
        <v>2</v>
      </c>
      <c r="I3558" s="3">
        <v>6811.87</v>
      </c>
      <c r="J3558" s="3">
        <v>0</v>
      </c>
      <c r="L3558">
        <v>5138</v>
      </c>
      <c r="M3558" t="s">
        <v>8444</v>
      </c>
      <c r="N3558" t="s">
        <v>30</v>
      </c>
      <c r="O3558" t="s">
        <v>31</v>
      </c>
      <c r="P3558" t="str">
        <f>"15201"</f>
        <v>15201</v>
      </c>
    </row>
    <row r="3559" spans="1:16" x14ac:dyDescent="0.25">
      <c r="A3559" t="str">
        <f>"1100080H00138    00"</f>
        <v>1100080H00138    00</v>
      </c>
      <c r="B3559" t="s">
        <v>6753</v>
      </c>
      <c r="C3559" t="s">
        <v>8547</v>
      </c>
      <c r="E3559" t="s">
        <v>39</v>
      </c>
      <c r="F3559">
        <v>0</v>
      </c>
      <c r="G3559">
        <v>0</v>
      </c>
      <c r="H3559">
        <v>1</v>
      </c>
      <c r="I3559" s="3">
        <v>831.27</v>
      </c>
      <c r="J3559" s="3">
        <v>498.74</v>
      </c>
      <c r="L3559">
        <v>415</v>
      </c>
      <c r="M3559" t="s">
        <v>6595</v>
      </c>
      <c r="N3559" t="s">
        <v>30</v>
      </c>
      <c r="O3559" t="s">
        <v>31</v>
      </c>
      <c r="P3559" t="str">
        <f>"15224"</f>
        <v>15224</v>
      </c>
    </row>
    <row r="3560" spans="1:16" x14ac:dyDescent="0.25">
      <c r="A3560" t="str">
        <f>"1100080H00139    00"</f>
        <v>1100080H00139    00</v>
      </c>
      <c r="B3560" t="s">
        <v>8548</v>
      </c>
      <c r="C3560" t="s">
        <v>8549</v>
      </c>
      <c r="D3560" t="s">
        <v>20</v>
      </c>
      <c r="E3560" t="s">
        <v>39</v>
      </c>
      <c r="F3560">
        <v>0</v>
      </c>
      <c r="G3560">
        <v>0</v>
      </c>
      <c r="H3560">
        <v>2</v>
      </c>
      <c r="I3560" s="3">
        <v>1789.49</v>
      </c>
      <c r="J3560" s="3">
        <v>0</v>
      </c>
      <c r="K3560" t="s">
        <v>1502</v>
      </c>
      <c r="L3560">
        <v>901</v>
      </c>
      <c r="M3560" t="s">
        <v>1503</v>
      </c>
      <c r="N3560" t="s">
        <v>494</v>
      </c>
      <c r="O3560" t="s">
        <v>495</v>
      </c>
      <c r="P3560" t="str">
        <f>"91768"</f>
        <v>91768</v>
      </c>
    </row>
    <row r="3561" spans="1:16" x14ac:dyDescent="0.25">
      <c r="A3561" t="str">
        <f>"1100080H00140    00"</f>
        <v>1100080H00140    00</v>
      </c>
      <c r="B3561" t="s">
        <v>8550</v>
      </c>
      <c r="C3561" t="s">
        <v>8551</v>
      </c>
      <c r="D3561" t="s">
        <v>20</v>
      </c>
      <c r="E3561" t="s">
        <v>39</v>
      </c>
      <c r="F3561">
        <v>0</v>
      </c>
      <c r="G3561">
        <v>0</v>
      </c>
      <c r="H3561">
        <v>1</v>
      </c>
      <c r="I3561" s="3">
        <v>1128.3699999999999</v>
      </c>
      <c r="J3561" s="3">
        <v>0</v>
      </c>
      <c r="K3561" t="s">
        <v>8552</v>
      </c>
      <c r="L3561">
        <v>117</v>
      </c>
      <c r="M3561" t="s">
        <v>8553</v>
      </c>
      <c r="N3561" t="s">
        <v>30</v>
      </c>
      <c r="O3561" t="s">
        <v>31</v>
      </c>
      <c r="P3561" t="str">
        <f>"15215"</f>
        <v>15215</v>
      </c>
    </row>
    <row r="3562" spans="1:16" x14ac:dyDescent="0.25">
      <c r="A3562" t="str">
        <f>"1100080H00143    00"</f>
        <v>1100080H00143    00</v>
      </c>
      <c r="B3562" t="s">
        <v>8554</v>
      </c>
      <c r="C3562" t="s">
        <v>8555</v>
      </c>
      <c r="D3562" t="s">
        <v>20</v>
      </c>
      <c r="E3562" t="s">
        <v>39</v>
      </c>
      <c r="F3562">
        <v>0</v>
      </c>
      <c r="G3562">
        <v>0</v>
      </c>
      <c r="H3562">
        <v>1</v>
      </c>
      <c r="I3562" s="3">
        <v>136.69</v>
      </c>
      <c r="J3562" s="3">
        <v>0</v>
      </c>
      <c r="L3562">
        <v>5226</v>
      </c>
      <c r="M3562" t="s">
        <v>8444</v>
      </c>
      <c r="N3562" t="s">
        <v>30</v>
      </c>
      <c r="O3562" t="s">
        <v>31</v>
      </c>
      <c r="P3562" t="str">
        <f>"15201"</f>
        <v>15201</v>
      </c>
    </row>
    <row r="3563" spans="1:16" x14ac:dyDescent="0.25">
      <c r="A3563" t="str">
        <f>"1100080H00144    00"</f>
        <v>1100080H00144    00</v>
      </c>
      <c r="B3563" t="s">
        <v>8556</v>
      </c>
      <c r="C3563" t="s">
        <v>8557</v>
      </c>
      <c r="E3563" t="s">
        <v>39</v>
      </c>
      <c r="F3563">
        <v>0</v>
      </c>
      <c r="G3563">
        <v>0</v>
      </c>
      <c r="H3563">
        <v>1</v>
      </c>
      <c r="I3563" s="3">
        <v>1640.53</v>
      </c>
      <c r="J3563" s="3">
        <v>451.13</v>
      </c>
      <c r="L3563">
        <v>3607</v>
      </c>
      <c r="M3563" t="s">
        <v>8558</v>
      </c>
      <c r="N3563" t="s">
        <v>79</v>
      </c>
      <c r="O3563" t="s">
        <v>31</v>
      </c>
      <c r="P3563" t="str">
        <f>"15668"</f>
        <v>15668</v>
      </c>
    </row>
    <row r="3564" spans="1:16" x14ac:dyDescent="0.25">
      <c r="A3564" t="str">
        <f>"1100080H00145    00"</f>
        <v>1100080H00145    00</v>
      </c>
      <c r="B3564" t="s">
        <v>8559</v>
      </c>
      <c r="C3564" t="s">
        <v>8560</v>
      </c>
      <c r="D3564" t="s">
        <v>20</v>
      </c>
      <c r="E3564" t="s">
        <v>39</v>
      </c>
      <c r="F3564">
        <v>0</v>
      </c>
      <c r="G3564">
        <v>0</v>
      </c>
      <c r="H3564">
        <v>4</v>
      </c>
      <c r="I3564" s="3">
        <v>3409.73</v>
      </c>
      <c r="J3564" s="3">
        <v>402.79</v>
      </c>
      <c r="L3564">
        <v>2445</v>
      </c>
      <c r="M3564" t="s">
        <v>8561</v>
      </c>
      <c r="N3564" t="s">
        <v>546</v>
      </c>
      <c r="O3564" t="s">
        <v>31</v>
      </c>
      <c r="P3564" t="str">
        <f>"15044"</f>
        <v>15044</v>
      </c>
    </row>
    <row r="3565" spans="1:16" x14ac:dyDescent="0.25">
      <c r="A3565" t="str">
        <f>"1100080H00152    00"</f>
        <v>1100080H00152    00</v>
      </c>
      <c r="B3565" t="s">
        <v>2192</v>
      </c>
      <c r="C3565" t="s">
        <v>8562</v>
      </c>
      <c r="D3565" t="s">
        <v>20</v>
      </c>
      <c r="E3565" t="s">
        <v>39</v>
      </c>
      <c r="F3565">
        <v>0</v>
      </c>
      <c r="G3565">
        <v>0</v>
      </c>
      <c r="H3565">
        <v>5</v>
      </c>
      <c r="I3565" s="3">
        <v>1847.9</v>
      </c>
      <c r="J3565" s="3">
        <v>314.32</v>
      </c>
      <c r="K3565" t="s">
        <v>1351</v>
      </c>
      <c r="L3565">
        <v>422</v>
      </c>
      <c r="M3565" t="s">
        <v>1352</v>
      </c>
      <c r="N3565" t="s">
        <v>1353</v>
      </c>
      <c r="O3565" t="s">
        <v>31</v>
      </c>
      <c r="P3565" t="str">
        <f>"15085"</f>
        <v>15085</v>
      </c>
    </row>
    <row r="3566" spans="1:16" x14ac:dyDescent="0.25">
      <c r="A3566" t="str">
        <f>"1100080H00157    00"</f>
        <v>1100080H00157    00</v>
      </c>
      <c r="B3566" t="s">
        <v>8563</v>
      </c>
      <c r="C3566" t="s">
        <v>8564</v>
      </c>
      <c r="D3566" t="s">
        <v>57</v>
      </c>
      <c r="E3566" t="s">
        <v>39</v>
      </c>
      <c r="F3566">
        <v>0</v>
      </c>
      <c r="G3566">
        <v>0</v>
      </c>
      <c r="H3566">
        <v>1</v>
      </c>
      <c r="I3566" s="3">
        <v>2782.76</v>
      </c>
      <c r="J3566" s="3">
        <v>278.26</v>
      </c>
      <c r="K3566" t="s">
        <v>445</v>
      </c>
      <c r="L3566">
        <v>1</v>
      </c>
      <c r="M3566" t="s">
        <v>1163</v>
      </c>
      <c r="N3566" t="s">
        <v>1164</v>
      </c>
      <c r="O3566" t="s">
        <v>108</v>
      </c>
      <c r="P3566" t="str">
        <f>"76262"</f>
        <v>76262</v>
      </c>
    </row>
    <row r="3567" spans="1:16" x14ac:dyDescent="0.25">
      <c r="A3567" t="str">
        <f>"1100080H00158    00"</f>
        <v>1100080H00158    00</v>
      </c>
      <c r="B3567" t="s">
        <v>8565</v>
      </c>
      <c r="C3567" t="s">
        <v>8566</v>
      </c>
      <c r="D3567" t="s">
        <v>20</v>
      </c>
      <c r="E3567" t="s">
        <v>39</v>
      </c>
      <c r="F3567">
        <v>0</v>
      </c>
      <c r="G3567">
        <v>0</v>
      </c>
      <c r="H3567">
        <v>1</v>
      </c>
      <c r="I3567" s="3">
        <v>953</v>
      </c>
      <c r="J3567" s="3">
        <v>0</v>
      </c>
      <c r="K3567" t="s">
        <v>7643</v>
      </c>
      <c r="L3567">
        <v>1442</v>
      </c>
      <c r="M3567" t="s">
        <v>7644</v>
      </c>
      <c r="N3567" t="s">
        <v>30</v>
      </c>
      <c r="O3567" t="s">
        <v>31</v>
      </c>
      <c r="P3567" t="str">
        <f>"15243"</f>
        <v>15243</v>
      </c>
    </row>
    <row r="3568" spans="1:16" x14ac:dyDescent="0.25">
      <c r="A3568" t="str">
        <f>"1100080H00172    00"</f>
        <v>1100080H00172    00</v>
      </c>
      <c r="B3568" t="s">
        <v>8567</v>
      </c>
      <c r="C3568" t="s">
        <v>8568</v>
      </c>
      <c r="D3568" t="s">
        <v>20</v>
      </c>
      <c r="E3568" t="s">
        <v>39</v>
      </c>
      <c r="F3568">
        <v>0</v>
      </c>
      <c r="G3568">
        <v>0</v>
      </c>
      <c r="H3568">
        <v>9</v>
      </c>
      <c r="I3568" s="3">
        <v>499.18</v>
      </c>
      <c r="J3568" s="3">
        <v>188.36</v>
      </c>
      <c r="K3568" t="s">
        <v>8569</v>
      </c>
      <c r="M3568" t="s">
        <v>8570</v>
      </c>
      <c r="N3568" t="s">
        <v>571</v>
      </c>
      <c r="O3568" t="s">
        <v>423</v>
      </c>
      <c r="P3568" t="str">
        <f>"07101"</f>
        <v>07101</v>
      </c>
    </row>
    <row r="3569" spans="1:16" x14ac:dyDescent="0.25">
      <c r="A3569" t="str">
        <f>"1100080H00174    00"</f>
        <v>1100080H00174    00</v>
      </c>
      <c r="B3569" t="s">
        <v>8571</v>
      </c>
      <c r="C3569" t="s">
        <v>8572</v>
      </c>
      <c r="D3569" t="s">
        <v>20</v>
      </c>
      <c r="E3569" t="s">
        <v>39</v>
      </c>
      <c r="F3569">
        <v>0</v>
      </c>
      <c r="G3569">
        <v>0</v>
      </c>
      <c r="H3569">
        <v>1</v>
      </c>
      <c r="I3569" s="3">
        <v>205.28</v>
      </c>
      <c r="J3569" s="3">
        <v>0</v>
      </c>
      <c r="L3569">
        <v>5121</v>
      </c>
      <c r="M3569" t="s">
        <v>8464</v>
      </c>
      <c r="N3569" t="s">
        <v>30</v>
      </c>
      <c r="O3569" t="s">
        <v>31</v>
      </c>
      <c r="P3569" t="str">
        <f>"15201"</f>
        <v>15201</v>
      </c>
    </row>
    <row r="3570" spans="1:16" x14ac:dyDescent="0.25">
      <c r="A3570" t="str">
        <f>"1100080H00175    00"</f>
        <v>1100080H00175    00</v>
      </c>
      <c r="B3570" t="s">
        <v>8573</v>
      </c>
      <c r="C3570" t="s">
        <v>8574</v>
      </c>
      <c r="D3570" t="s">
        <v>20</v>
      </c>
      <c r="E3570" t="s">
        <v>39</v>
      </c>
      <c r="F3570">
        <v>0</v>
      </c>
      <c r="G3570">
        <v>0</v>
      </c>
      <c r="H3570">
        <v>2</v>
      </c>
      <c r="I3570" s="3">
        <v>3311.2</v>
      </c>
      <c r="J3570" s="3">
        <v>0</v>
      </c>
      <c r="K3570" t="s">
        <v>484</v>
      </c>
      <c r="L3570">
        <v>3001</v>
      </c>
      <c r="M3570" t="s">
        <v>330</v>
      </c>
      <c r="N3570" t="s">
        <v>331</v>
      </c>
      <c r="O3570" t="s">
        <v>108</v>
      </c>
      <c r="P3570" t="str">
        <f>"75063"</f>
        <v>75063</v>
      </c>
    </row>
    <row r="3571" spans="1:16" x14ac:dyDescent="0.25">
      <c r="A3571" t="str">
        <f>"1100080H00181A   00"</f>
        <v>1100080H00181A   00</v>
      </c>
      <c r="B3571" t="s">
        <v>8575</v>
      </c>
      <c r="C3571" t="s">
        <v>8576</v>
      </c>
      <c r="D3571" t="s">
        <v>20</v>
      </c>
      <c r="E3571" t="s">
        <v>39</v>
      </c>
      <c r="F3571">
        <v>0</v>
      </c>
      <c r="G3571">
        <v>0</v>
      </c>
      <c r="H3571">
        <v>5</v>
      </c>
      <c r="I3571" s="3">
        <v>4521.6000000000004</v>
      </c>
      <c r="J3571" s="3">
        <v>781.17</v>
      </c>
      <c r="L3571">
        <v>264</v>
      </c>
      <c r="M3571" t="s">
        <v>8577</v>
      </c>
      <c r="N3571" t="s">
        <v>30</v>
      </c>
      <c r="O3571" t="s">
        <v>31</v>
      </c>
      <c r="P3571" t="str">
        <f>"15202"</f>
        <v>15202</v>
      </c>
    </row>
    <row r="3572" spans="1:16" x14ac:dyDescent="0.25">
      <c r="A3572" t="str">
        <f>"1100080H00182    00"</f>
        <v>1100080H00182    00</v>
      </c>
      <c r="B3572" t="s">
        <v>8578</v>
      </c>
      <c r="C3572" t="s">
        <v>8579</v>
      </c>
      <c r="E3572" t="s">
        <v>39</v>
      </c>
      <c r="F3572">
        <v>0</v>
      </c>
      <c r="G3572">
        <v>0</v>
      </c>
      <c r="H3572">
        <v>1</v>
      </c>
      <c r="I3572" s="3">
        <v>494.63</v>
      </c>
      <c r="J3572" s="3">
        <v>78.319999999999993</v>
      </c>
      <c r="L3572">
        <v>5105</v>
      </c>
      <c r="M3572" t="s">
        <v>8464</v>
      </c>
      <c r="N3572" t="s">
        <v>30</v>
      </c>
      <c r="O3572" t="s">
        <v>31</v>
      </c>
      <c r="P3572" t="str">
        <f>"15201"</f>
        <v>15201</v>
      </c>
    </row>
    <row r="3573" spans="1:16" x14ac:dyDescent="0.25">
      <c r="A3573" t="str">
        <f>"1100080H00196    00"</f>
        <v>1100080H00196    00</v>
      </c>
      <c r="B3573" t="s">
        <v>8580</v>
      </c>
      <c r="C3573" t="s">
        <v>8581</v>
      </c>
      <c r="E3573" t="s">
        <v>39</v>
      </c>
      <c r="F3573">
        <v>0</v>
      </c>
      <c r="G3573">
        <v>0</v>
      </c>
      <c r="H3573">
        <v>1</v>
      </c>
      <c r="I3573" s="3">
        <v>226.54</v>
      </c>
      <c r="J3573" s="3">
        <v>45.31</v>
      </c>
      <c r="K3573" t="s">
        <v>4992</v>
      </c>
      <c r="L3573">
        <v>18111</v>
      </c>
      <c r="M3573" t="s">
        <v>4993</v>
      </c>
      <c r="N3573" t="s">
        <v>107</v>
      </c>
      <c r="O3573" t="s">
        <v>108</v>
      </c>
      <c r="P3573" t="str">
        <f>"75252"</f>
        <v>75252</v>
      </c>
    </row>
    <row r="3574" spans="1:16" x14ac:dyDescent="0.25">
      <c r="A3574" t="str">
        <f>"1100080H00198    00"</f>
        <v>1100080H00198    00</v>
      </c>
      <c r="B3574" t="s">
        <v>8582</v>
      </c>
      <c r="C3574" t="s">
        <v>8583</v>
      </c>
      <c r="E3574" t="s">
        <v>39</v>
      </c>
      <c r="F3574">
        <v>0</v>
      </c>
      <c r="G3574">
        <v>0</v>
      </c>
      <c r="H3574">
        <v>1</v>
      </c>
      <c r="I3574" s="3">
        <v>762.42</v>
      </c>
      <c r="J3574" s="3">
        <v>0</v>
      </c>
      <c r="K3574" t="s">
        <v>8584</v>
      </c>
      <c r="L3574">
        <v>5116</v>
      </c>
      <c r="M3574" t="s">
        <v>8464</v>
      </c>
      <c r="N3574" t="s">
        <v>30</v>
      </c>
      <c r="O3574" t="s">
        <v>31</v>
      </c>
      <c r="P3574" t="str">
        <f>"15201"</f>
        <v>15201</v>
      </c>
    </row>
    <row r="3575" spans="1:16" x14ac:dyDescent="0.25">
      <c r="A3575" t="str">
        <f>"1100080H00198A   00"</f>
        <v>1100080H00198A   00</v>
      </c>
      <c r="B3575" t="s">
        <v>8585</v>
      </c>
      <c r="C3575" t="s">
        <v>8586</v>
      </c>
      <c r="E3575" t="s">
        <v>39</v>
      </c>
      <c r="F3575">
        <v>0</v>
      </c>
      <c r="G3575">
        <v>0</v>
      </c>
      <c r="H3575">
        <v>2</v>
      </c>
      <c r="I3575" s="3">
        <v>333</v>
      </c>
      <c r="J3575" s="3">
        <v>0</v>
      </c>
      <c r="K3575" t="s">
        <v>8587</v>
      </c>
      <c r="L3575">
        <v>7424</v>
      </c>
      <c r="M3575" t="s">
        <v>1541</v>
      </c>
      <c r="N3575" t="s">
        <v>30</v>
      </c>
      <c r="O3575" t="s">
        <v>31</v>
      </c>
      <c r="P3575" t="str">
        <f>"15218"</f>
        <v>15218</v>
      </c>
    </row>
    <row r="3576" spans="1:16" x14ac:dyDescent="0.25">
      <c r="A3576" t="str">
        <f>"1100080H00202    00"</f>
        <v>1100080H00202    00</v>
      </c>
      <c r="B3576" t="s">
        <v>8588</v>
      </c>
      <c r="C3576" t="s">
        <v>8589</v>
      </c>
      <c r="D3576" t="s">
        <v>20</v>
      </c>
      <c r="E3576" t="s">
        <v>39</v>
      </c>
      <c r="F3576">
        <v>0</v>
      </c>
      <c r="G3576">
        <v>0</v>
      </c>
      <c r="H3576">
        <v>2</v>
      </c>
      <c r="I3576" s="3">
        <v>510.89</v>
      </c>
      <c r="J3576" s="3">
        <v>0</v>
      </c>
      <c r="K3576" t="s">
        <v>8590</v>
      </c>
      <c r="L3576">
        <v>709</v>
      </c>
      <c r="M3576" t="s">
        <v>8406</v>
      </c>
      <c r="N3576" t="s">
        <v>30</v>
      </c>
      <c r="O3576" t="s">
        <v>31</v>
      </c>
      <c r="P3576" t="str">
        <f>"15201"</f>
        <v>15201</v>
      </c>
    </row>
    <row r="3577" spans="1:16" x14ac:dyDescent="0.25">
      <c r="A3577" t="str">
        <f>"1100080H00205    00"</f>
        <v>1100080H00205    00</v>
      </c>
      <c r="B3577" t="s">
        <v>5062</v>
      </c>
      <c r="C3577" t="s">
        <v>8591</v>
      </c>
      <c r="D3577" t="s">
        <v>20</v>
      </c>
      <c r="E3577" t="s">
        <v>39</v>
      </c>
      <c r="F3577">
        <v>0</v>
      </c>
      <c r="G3577">
        <v>0</v>
      </c>
      <c r="H3577">
        <v>1</v>
      </c>
      <c r="I3577" s="3">
        <v>3913.03</v>
      </c>
      <c r="J3577" s="3">
        <v>0</v>
      </c>
      <c r="K3577" t="s">
        <v>484</v>
      </c>
      <c r="L3577">
        <v>3001</v>
      </c>
      <c r="M3577" t="s">
        <v>330</v>
      </c>
      <c r="N3577" t="s">
        <v>331</v>
      </c>
      <c r="O3577" t="s">
        <v>108</v>
      </c>
      <c r="P3577" t="str">
        <f>"75063"</f>
        <v>75063</v>
      </c>
    </row>
    <row r="3578" spans="1:16" x14ac:dyDescent="0.25">
      <c r="A3578" t="str">
        <f>"1100080H00208    00"</f>
        <v>1100080H00208    00</v>
      </c>
      <c r="B3578" t="s">
        <v>8592</v>
      </c>
      <c r="C3578" t="s">
        <v>8593</v>
      </c>
      <c r="E3578" t="s">
        <v>39</v>
      </c>
      <c r="F3578">
        <v>0</v>
      </c>
      <c r="G3578">
        <v>0</v>
      </c>
      <c r="H3578">
        <v>1</v>
      </c>
      <c r="I3578" s="3">
        <v>14.3</v>
      </c>
      <c r="J3578" s="3">
        <v>12.63</v>
      </c>
      <c r="K3578" t="s">
        <v>710</v>
      </c>
      <c r="L3578">
        <v>4140</v>
      </c>
      <c r="M3578" t="s">
        <v>711</v>
      </c>
      <c r="N3578" t="s">
        <v>712</v>
      </c>
      <c r="O3578" t="s">
        <v>31</v>
      </c>
      <c r="P3578" t="str">
        <f>"16148"</f>
        <v>16148</v>
      </c>
    </row>
    <row r="3579" spans="1:16" x14ac:dyDescent="0.25">
      <c r="A3579" t="str">
        <f>"1100080H00210    00"</f>
        <v>1100080H00210    00</v>
      </c>
      <c r="B3579" t="s">
        <v>7419</v>
      </c>
      <c r="C3579" t="s">
        <v>8594</v>
      </c>
      <c r="D3579" t="s">
        <v>20</v>
      </c>
      <c r="E3579" t="s">
        <v>39</v>
      </c>
      <c r="F3579">
        <v>0</v>
      </c>
      <c r="G3579">
        <v>0</v>
      </c>
      <c r="H3579">
        <v>2</v>
      </c>
      <c r="I3579" s="3">
        <v>1501.96</v>
      </c>
      <c r="J3579" s="3">
        <v>0</v>
      </c>
      <c r="K3579" t="s">
        <v>7421</v>
      </c>
      <c r="L3579">
        <v>1332</v>
      </c>
      <c r="M3579" t="s">
        <v>6491</v>
      </c>
      <c r="N3579" t="s">
        <v>6492</v>
      </c>
      <c r="O3579" t="s">
        <v>3486</v>
      </c>
      <c r="P3579" t="str">
        <f>"60563"</f>
        <v>60563</v>
      </c>
    </row>
    <row r="3580" spans="1:16" x14ac:dyDescent="0.25">
      <c r="A3580" t="str">
        <f>"1100080H00216    00"</f>
        <v>1100080H00216    00</v>
      </c>
      <c r="B3580" t="s">
        <v>8595</v>
      </c>
      <c r="C3580" t="s">
        <v>8596</v>
      </c>
      <c r="D3580" t="s">
        <v>57</v>
      </c>
      <c r="E3580" t="s">
        <v>39</v>
      </c>
      <c r="F3580">
        <v>0</v>
      </c>
      <c r="G3580">
        <v>0</v>
      </c>
      <c r="H3580">
        <v>1</v>
      </c>
      <c r="I3580" s="3">
        <v>1106.8399999999999</v>
      </c>
      <c r="J3580" s="3">
        <v>285.92</v>
      </c>
      <c r="K3580" t="s">
        <v>391</v>
      </c>
      <c r="L3580">
        <v>1</v>
      </c>
      <c r="M3580" t="s">
        <v>392</v>
      </c>
      <c r="N3580" t="s">
        <v>393</v>
      </c>
      <c r="O3580" t="s">
        <v>394</v>
      </c>
      <c r="P3580" t="str">
        <f>"50328"</f>
        <v>50328</v>
      </c>
    </row>
    <row r="3581" spans="1:16" x14ac:dyDescent="0.25">
      <c r="A3581" t="str">
        <f>"1100080H00225    00"</f>
        <v>1100080H00225    00</v>
      </c>
      <c r="B3581" t="s">
        <v>8522</v>
      </c>
      <c r="C3581" t="s">
        <v>8597</v>
      </c>
      <c r="E3581" t="s">
        <v>39</v>
      </c>
      <c r="F3581">
        <v>0</v>
      </c>
      <c r="G3581">
        <v>0</v>
      </c>
      <c r="H3581">
        <v>2</v>
      </c>
      <c r="I3581" s="3">
        <v>666.26</v>
      </c>
      <c r="J3581" s="3">
        <v>0</v>
      </c>
      <c r="L3581">
        <v>1110</v>
      </c>
      <c r="M3581" t="s">
        <v>8598</v>
      </c>
      <c r="N3581" t="s">
        <v>8599</v>
      </c>
      <c r="O3581" t="s">
        <v>370</v>
      </c>
      <c r="P3581" t="str">
        <f>"33897"</f>
        <v>33897</v>
      </c>
    </row>
    <row r="3582" spans="1:16" x14ac:dyDescent="0.25">
      <c r="A3582" t="str">
        <f>"1100080H00230    00"</f>
        <v>1100080H00230    00</v>
      </c>
      <c r="B3582" t="s">
        <v>8600</v>
      </c>
      <c r="C3582" t="s">
        <v>8601</v>
      </c>
      <c r="D3582" t="s">
        <v>20</v>
      </c>
      <c r="E3582" t="s">
        <v>39</v>
      </c>
      <c r="F3582">
        <v>0</v>
      </c>
      <c r="G3582">
        <v>0</v>
      </c>
      <c r="H3582">
        <v>2</v>
      </c>
      <c r="I3582" s="3">
        <v>5275.82</v>
      </c>
      <c r="J3582" s="3">
        <v>0</v>
      </c>
      <c r="K3582" t="s">
        <v>8602</v>
      </c>
      <c r="L3582">
        <v>2018</v>
      </c>
      <c r="M3582" t="s">
        <v>8603</v>
      </c>
      <c r="N3582" t="s">
        <v>8604</v>
      </c>
      <c r="O3582" t="s">
        <v>8605</v>
      </c>
      <c r="P3582" t="str">
        <f>"53202"</f>
        <v>53202</v>
      </c>
    </row>
    <row r="3583" spans="1:16" x14ac:dyDescent="0.25">
      <c r="A3583" t="str">
        <f>"1100080H00236L   00"</f>
        <v>1100080H00236L   00</v>
      </c>
      <c r="B3583" t="s">
        <v>4527</v>
      </c>
      <c r="C3583" t="s">
        <v>8606</v>
      </c>
      <c r="D3583" t="s">
        <v>20</v>
      </c>
      <c r="E3583" t="s">
        <v>39</v>
      </c>
      <c r="F3583">
        <v>0</v>
      </c>
      <c r="G3583">
        <v>0</v>
      </c>
      <c r="H3583">
        <v>1</v>
      </c>
      <c r="I3583" s="3">
        <v>400.26</v>
      </c>
      <c r="J3583" s="3">
        <v>0</v>
      </c>
      <c r="K3583" t="s">
        <v>1632</v>
      </c>
      <c r="M3583" t="s">
        <v>1633</v>
      </c>
      <c r="N3583" t="s">
        <v>1634</v>
      </c>
      <c r="O3583" t="s">
        <v>25</v>
      </c>
      <c r="P3583" t="str">
        <f>"45401"</f>
        <v>45401</v>
      </c>
    </row>
    <row r="3584" spans="1:16" x14ac:dyDescent="0.25">
      <c r="A3584" t="str">
        <f>"1100080H00246    00"</f>
        <v>1100080H00246    00</v>
      </c>
      <c r="B3584" t="s">
        <v>8607</v>
      </c>
      <c r="C3584" t="s">
        <v>8608</v>
      </c>
      <c r="D3584" t="s">
        <v>20</v>
      </c>
      <c r="E3584" t="s">
        <v>39</v>
      </c>
      <c r="F3584">
        <v>0</v>
      </c>
      <c r="G3584">
        <v>0</v>
      </c>
      <c r="H3584">
        <v>1</v>
      </c>
      <c r="I3584" s="3">
        <v>2424.4299999999998</v>
      </c>
      <c r="J3584" s="3">
        <v>0</v>
      </c>
      <c r="K3584" t="s">
        <v>8609</v>
      </c>
      <c r="L3584">
        <v>1027</v>
      </c>
      <c r="M3584" t="s">
        <v>8610</v>
      </c>
      <c r="N3584" t="s">
        <v>8611</v>
      </c>
      <c r="O3584" t="s">
        <v>370</v>
      </c>
      <c r="P3584" t="str">
        <f>"32311"</f>
        <v>32311</v>
      </c>
    </row>
    <row r="3585" spans="1:16" x14ac:dyDescent="0.25">
      <c r="A3585" t="str">
        <f>"1100080H00250    00"</f>
        <v>1100080H00250    00</v>
      </c>
      <c r="B3585" t="s">
        <v>8612</v>
      </c>
      <c r="C3585" t="s">
        <v>8613</v>
      </c>
      <c r="D3585" t="s">
        <v>20</v>
      </c>
      <c r="E3585" t="s">
        <v>39</v>
      </c>
      <c r="F3585">
        <v>0</v>
      </c>
      <c r="G3585">
        <v>0</v>
      </c>
      <c r="H3585">
        <v>1</v>
      </c>
      <c r="I3585" s="3">
        <v>768.77</v>
      </c>
      <c r="J3585" s="3">
        <v>0</v>
      </c>
      <c r="M3585" t="s">
        <v>8614</v>
      </c>
      <c r="N3585" t="s">
        <v>30</v>
      </c>
      <c r="O3585" t="s">
        <v>31</v>
      </c>
      <c r="P3585" t="str">
        <f>"15201"</f>
        <v>15201</v>
      </c>
    </row>
    <row r="3586" spans="1:16" x14ac:dyDescent="0.25">
      <c r="A3586" t="str">
        <f>"1100080H00251    00"</f>
        <v>1100080H00251    00</v>
      </c>
      <c r="B3586" t="s">
        <v>8615</v>
      </c>
      <c r="C3586" t="s">
        <v>8616</v>
      </c>
      <c r="D3586" t="s">
        <v>20</v>
      </c>
      <c r="E3586" t="s">
        <v>39</v>
      </c>
      <c r="F3586">
        <v>0</v>
      </c>
      <c r="G3586">
        <v>0</v>
      </c>
      <c r="H3586">
        <v>1</v>
      </c>
      <c r="I3586" s="3">
        <v>597.22</v>
      </c>
      <c r="J3586" s="3">
        <v>0</v>
      </c>
      <c r="M3586" t="s">
        <v>8617</v>
      </c>
      <c r="N3586" t="s">
        <v>30</v>
      </c>
      <c r="O3586" t="s">
        <v>31</v>
      </c>
      <c r="P3586" t="str">
        <f>"15201"</f>
        <v>15201</v>
      </c>
    </row>
    <row r="3587" spans="1:16" x14ac:dyDescent="0.25">
      <c r="A3587" t="str">
        <f>"1100080H00254    00"</f>
        <v>1100080H00254    00</v>
      </c>
      <c r="B3587" t="s">
        <v>8618</v>
      </c>
      <c r="C3587" t="s">
        <v>8619</v>
      </c>
      <c r="D3587" t="s">
        <v>20</v>
      </c>
      <c r="E3587" t="s">
        <v>39</v>
      </c>
      <c r="F3587">
        <v>0</v>
      </c>
      <c r="G3587">
        <v>0</v>
      </c>
      <c r="H3587">
        <v>3</v>
      </c>
      <c r="I3587" s="3">
        <v>3205.94</v>
      </c>
      <c r="J3587" s="3">
        <v>195.93</v>
      </c>
      <c r="K3587" t="s">
        <v>8620</v>
      </c>
      <c r="L3587">
        <v>300</v>
      </c>
      <c r="M3587" t="s">
        <v>8621</v>
      </c>
      <c r="N3587" t="s">
        <v>7382</v>
      </c>
      <c r="O3587" t="s">
        <v>31</v>
      </c>
      <c r="P3587" t="str">
        <f>"15095"</f>
        <v>15095</v>
      </c>
    </row>
    <row r="3588" spans="1:16" x14ac:dyDescent="0.25">
      <c r="A3588" t="str">
        <f>"1100080H00255    00"</f>
        <v>1100080H00255    00</v>
      </c>
      <c r="B3588" t="s">
        <v>8618</v>
      </c>
      <c r="C3588" t="s">
        <v>8622</v>
      </c>
      <c r="D3588" t="s">
        <v>20</v>
      </c>
      <c r="E3588" t="s">
        <v>39</v>
      </c>
      <c r="F3588">
        <v>0</v>
      </c>
      <c r="G3588">
        <v>0</v>
      </c>
      <c r="H3588">
        <v>3</v>
      </c>
      <c r="I3588" s="3">
        <v>2996.28</v>
      </c>
      <c r="J3588" s="3">
        <v>199.74</v>
      </c>
      <c r="K3588" t="s">
        <v>8620</v>
      </c>
      <c r="L3588">
        <v>300</v>
      </c>
      <c r="M3588" t="s">
        <v>8623</v>
      </c>
      <c r="N3588" t="s">
        <v>7382</v>
      </c>
      <c r="O3588" t="s">
        <v>31</v>
      </c>
      <c r="P3588" t="str">
        <f>"15095"</f>
        <v>15095</v>
      </c>
    </row>
    <row r="3589" spans="1:16" x14ac:dyDescent="0.25">
      <c r="A3589" t="str">
        <f>"1100080H00256    00"</f>
        <v>1100080H00256    00</v>
      </c>
      <c r="B3589" t="s">
        <v>8624</v>
      </c>
      <c r="C3589" t="s">
        <v>8625</v>
      </c>
      <c r="E3589" t="s">
        <v>39</v>
      </c>
      <c r="F3589">
        <v>0</v>
      </c>
      <c r="G3589">
        <v>0</v>
      </c>
      <c r="H3589">
        <v>1</v>
      </c>
      <c r="I3589" s="3">
        <v>133.41999999999999</v>
      </c>
      <c r="J3589" s="3">
        <v>26.68</v>
      </c>
      <c r="K3589" t="s">
        <v>8626</v>
      </c>
      <c r="L3589">
        <v>300</v>
      </c>
      <c r="M3589" t="s">
        <v>8627</v>
      </c>
      <c r="N3589" t="s">
        <v>7382</v>
      </c>
      <c r="O3589" t="s">
        <v>31</v>
      </c>
      <c r="P3589" t="str">
        <f>"15095"</f>
        <v>15095</v>
      </c>
    </row>
    <row r="3590" spans="1:16" x14ac:dyDescent="0.25">
      <c r="A3590" t="str">
        <f>"1100080H00270    00"</f>
        <v>1100080H00270    00</v>
      </c>
      <c r="B3590" t="s">
        <v>8628</v>
      </c>
      <c r="C3590" t="s">
        <v>8629</v>
      </c>
      <c r="E3590" t="s">
        <v>39</v>
      </c>
      <c r="F3590">
        <v>0</v>
      </c>
      <c r="G3590">
        <v>0</v>
      </c>
      <c r="H3590">
        <v>2</v>
      </c>
      <c r="I3590" s="3">
        <v>72.849999999999994</v>
      </c>
      <c r="J3590" s="3">
        <v>16.39</v>
      </c>
      <c r="K3590" t="s">
        <v>8630</v>
      </c>
      <c r="L3590">
        <v>10975</v>
      </c>
      <c r="M3590" t="s">
        <v>8631</v>
      </c>
      <c r="N3590" t="s">
        <v>8632</v>
      </c>
      <c r="O3590" t="s">
        <v>8633</v>
      </c>
      <c r="P3590" t="str">
        <f>"66211"</f>
        <v>66211</v>
      </c>
    </row>
    <row r="3591" spans="1:16" x14ac:dyDescent="0.25">
      <c r="A3591" t="str">
        <f>"1100080H00302    00"</f>
        <v>1100080H00302    00</v>
      </c>
      <c r="B3591" t="s">
        <v>8634</v>
      </c>
      <c r="C3591" t="s">
        <v>8635</v>
      </c>
      <c r="D3591" t="s">
        <v>57</v>
      </c>
      <c r="E3591" t="s">
        <v>39</v>
      </c>
      <c r="F3591">
        <v>0</v>
      </c>
      <c r="G3591">
        <v>0</v>
      </c>
      <c r="H3591">
        <v>1</v>
      </c>
      <c r="I3591" s="3">
        <v>1694.03</v>
      </c>
      <c r="J3591" s="3">
        <v>438.22</v>
      </c>
      <c r="K3591" t="s">
        <v>4500</v>
      </c>
      <c r="L3591">
        <v>3001</v>
      </c>
      <c r="M3591" t="s">
        <v>330</v>
      </c>
      <c r="N3591" t="s">
        <v>331</v>
      </c>
      <c r="O3591" t="s">
        <v>108</v>
      </c>
      <c r="P3591" t="str">
        <f>"75063"</f>
        <v>75063</v>
      </c>
    </row>
    <row r="3592" spans="1:16" x14ac:dyDescent="0.25">
      <c r="A3592" t="str">
        <f>"1100080H00307    00"</f>
        <v>1100080H00307    00</v>
      </c>
      <c r="B3592" t="s">
        <v>8636</v>
      </c>
      <c r="C3592" t="s">
        <v>8637</v>
      </c>
      <c r="D3592" t="s">
        <v>20</v>
      </c>
      <c r="E3592" t="s">
        <v>39</v>
      </c>
      <c r="F3592">
        <v>0</v>
      </c>
      <c r="G3592">
        <v>0</v>
      </c>
      <c r="H3592">
        <v>1</v>
      </c>
      <c r="I3592" s="3">
        <v>1519.09</v>
      </c>
      <c r="J3592" s="3">
        <v>0</v>
      </c>
      <c r="K3592" t="s">
        <v>8638</v>
      </c>
      <c r="L3592">
        <v>5307</v>
      </c>
      <c r="M3592" t="s">
        <v>8639</v>
      </c>
      <c r="N3592" t="s">
        <v>30</v>
      </c>
      <c r="O3592" t="s">
        <v>31</v>
      </c>
      <c r="P3592" t="str">
        <f>"15201"</f>
        <v>15201</v>
      </c>
    </row>
    <row r="3593" spans="1:16" x14ac:dyDescent="0.25">
      <c r="A3593" t="str">
        <f>"1100080H00325    00"</f>
        <v>1100080H00325    00</v>
      </c>
      <c r="B3593" t="s">
        <v>8640</v>
      </c>
      <c r="C3593" t="s">
        <v>8641</v>
      </c>
      <c r="E3593" t="s">
        <v>39</v>
      </c>
      <c r="F3593">
        <v>0</v>
      </c>
      <c r="G3593">
        <v>0</v>
      </c>
      <c r="H3593">
        <v>1</v>
      </c>
      <c r="I3593" s="3">
        <v>558.47</v>
      </c>
      <c r="J3593" s="3">
        <v>111.69</v>
      </c>
      <c r="K3593" t="s">
        <v>8642</v>
      </c>
      <c r="L3593">
        <v>902</v>
      </c>
      <c r="M3593" t="s">
        <v>8427</v>
      </c>
      <c r="N3593" t="s">
        <v>30</v>
      </c>
      <c r="O3593" t="s">
        <v>31</v>
      </c>
      <c r="P3593" t="str">
        <f>"15201"</f>
        <v>15201</v>
      </c>
    </row>
    <row r="3594" spans="1:16" x14ac:dyDescent="0.25">
      <c r="A3594" t="str">
        <f>"1100080H00326    00"</f>
        <v>1100080H00326    00</v>
      </c>
      <c r="B3594" t="s">
        <v>8640</v>
      </c>
      <c r="C3594" t="s">
        <v>8643</v>
      </c>
      <c r="E3594" t="s">
        <v>39</v>
      </c>
      <c r="F3594">
        <v>0</v>
      </c>
      <c r="G3594">
        <v>0</v>
      </c>
      <c r="H3594">
        <v>1</v>
      </c>
      <c r="I3594" s="3">
        <v>531.78</v>
      </c>
      <c r="J3594" s="3">
        <v>106.35</v>
      </c>
      <c r="K3594" t="s">
        <v>8642</v>
      </c>
      <c r="L3594">
        <v>902</v>
      </c>
      <c r="M3594" t="s">
        <v>8427</v>
      </c>
      <c r="N3594" t="s">
        <v>30</v>
      </c>
      <c r="O3594" t="s">
        <v>31</v>
      </c>
      <c r="P3594" t="str">
        <f>"15201"</f>
        <v>15201</v>
      </c>
    </row>
    <row r="3595" spans="1:16" x14ac:dyDescent="0.25">
      <c r="A3595" t="str">
        <f>"1100080H00328    00"</f>
        <v>1100080H00328    00</v>
      </c>
      <c r="B3595" t="s">
        <v>8640</v>
      </c>
      <c r="C3595" t="s">
        <v>8644</v>
      </c>
      <c r="E3595" t="s">
        <v>39</v>
      </c>
      <c r="F3595">
        <v>0</v>
      </c>
      <c r="G3595">
        <v>0</v>
      </c>
      <c r="H3595">
        <v>1</v>
      </c>
      <c r="I3595" s="3">
        <v>606.12</v>
      </c>
      <c r="J3595" s="3">
        <v>121.22</v>
      </c>
      <c r="K3595" t="s">
        <v>8642</v>
      </c>
      <c r="L3595">
        <v>902</v>
      </c>
      <c r="M3595" t="s">
        <v>8427</v>
      </c>
      <c r="N3595" t="s">
        <v>30</v>
      </c>
      <c r="O3595" t="s">
        <v>31</v>
      </c>
      <c r="P3595" t="str">
        <f>"15201"</f>
        <v>15201</v>
      </c>
    </row>
    <row r="3596" spans="1:16" x14ac:dyDescent="0.25">
      <c r="A3596" t="str">
        <f>"1100081A00005    00"</f>
        <v>1100081A00005    00</v>
      </c>
      <c r="B3596" t="s">
        <v>8645</v>
      </c>
      <c r="C3596" t="s">
        <v>8646</v>
      </c>
      <c r="D3596" t="s">
        <v>20</v>
      </c>
      <c r="E3596" t="s">
        <v>39</v>
      </c>
      <c r="F3596">
        <v>0</v>
      </c>
      <c r="G3596">
        <v>0</v>
      </c>
      <c r="H3596">
        <v>12</v>
      </c>
      <c r="I3596" s="3">
        <v>155.93</v>
      </c>
      <c r="J3596" s="3">
        <v>129.25</v>
      </c>
      <c r="L3596">
        <v>307</v>
      </c>
      <c r="M3596" t="s">
        <v>8647</v>
      </c>
      <c r="N3596" t="s">
        <v>666</v>
      </c>
      <c r="O3596" t="s">
        <v>31</v>
      </c>
      <c r="P3596" t="str">
        <f>"16002"</f>
        <v>16002</v>
      </c>
    </row>
    <row r="3597" spans="1:16" x14ac:dyDescent="0.25">
      <c r="A3597" t="str">
        <f>"1100081A00008    00"</f>
        <v>1100081A00008    00</v>
      </c>
      <c r="B3597" t="s">
        <v>8648</v>
      </c>
      <c r="C3597" t="s">
        <v>8649</v>
      </c>
      <c r="D3597" t="s">
        <v>20</v>
      </c>
      <c r="E3597" t="s">
        <v>39</v>
      </c>
      <c r="F3597">
        <v>0</v>
      </c>
      <c r="G3597">
        <v>0</v>
      </c>
      <c r="H3597">
        <v>1</v>
      </c>
      <c r="I3597" s="3">
        <v>56.03</v>
      </c>
      <c r="J3597" s="3">
        <v>0</v>
      </c>
      <c r="K3597" t="s">
        <v>5396</v>
      </c>
      <c r="L3597">
        <v>3001</v>
      </c>
      <c r="M3597" t="s">
        <v>330</v>
      </c>
      <c r="N3597" t="s">
        <v>331</v>
      </c>
      <c r="O3597" t="s">
        <v>108</v>
      </c>
      <c r="P3597" t="str">
        <f>"75063"</f>
        <v>75063</v>
      </c>
    </row>
    <row r="3598" spans="1:16" x14ac:dyDescent="0.25">
      <c r="A3598" t="str">
        <f>"1100081A00011    00"</f>
        <v>1100081A00011    00</v>
      </c>
      <c r="B3598" t="s">
        <v>8650</v>
      </c>
      <c r="C3598" t="s">
        <v>8651</v>
      </c>
      <c r="D3598" t="s">
        <v>57</v>
      </c>
      <c r="E3598" t="s">
        <v>39</v>
      </c>
      <c r="F3598">
        <v>0</v>
      </c>
      <c r="G3598">
        <v>0</v>
      </c>
      <c r="H3598">
        <v>1</v>
      </c>
      <c r="I3598" s="3">
        <v>760.5</v>
      </c>
      <c r="J3598" s="3">
        <v>0</v>
      </c>
      <c r="K3598" t="s">
        <v>8652</v>
      </c>
      <c r="L3598">
        <v>17043</v>
      </c>
      <c r="M3598" t="s">
        <v>8653</v>
      </c>
      <c r="N3598" t="s">
        <v>8654</v>
      </c>
      <c r="O3598" t="s">
        <v>6668</v>
      </c>
      <c r="P3598" t="str">
        <f>"98008"</f>
        <v>98008</v>
      </c>
    </row>
    <row r="3599" spans="1:16" x14ac:dyDescent="0.25">
      <c r="A3599" t="str">
        <f>"1100081A00019    00"</f>
        <v>1100081A00019    00</v>
      </c>
      <c r="B3599" t="s">
        <v>8655</v>
      </c>
      <c r="C3599" t="s">
        <v>8656</v>
      </c>
      <c r="E3599" t="s">
        <v>39</v>
      </c>
      <c r="F3599">
        <v>0</v>
      </c>
      <c r="G3599">
        <v>0</v>
      </c>
      <c r="H3599">
        <v>1</v>
      </c>
      <c r="I3599" s="3">
        <v>127.05</v>
      </c>
      <c r="J3599" s="3">
        <v>62.46</v>
      </c>
      <c r="K3599" t="s">
        <v>8657</v>
      </c>
      <c r="L3599">
        <v>901</v>
      </c>
      <c r="M3599" t="s">
        <v>1503</v>
      </c>
      <c r="N3599" t="s">
        <v>494</v>
      </c>
      <c r="O3599" t="s">
        <v>495</v>
      </c>
      <c r="P3599" t="str">
        <f>"91768"</f>
        <v>91768</v>
      </c>
    </row>
    <row r="3600" spans="1:16" x14ac:dyDescent="0.25">
      <c r="A3600" t="str">
        <f>"1100081A00040    00"</f>
        <v>1100081A00040    00</v>
      </c>
      <c r="B3600" t="s">
        <v>8658</v>
      </c>
      <c r="C3600" t="s">
        <v>8659</v>
      </c>
      <c r="D3600" t="s">
        <v>20</v>
      </c>
      <c r="E3600" t="s">
        <v>39</v>
      </c>
      <c r="F3600">
        <v>0</v>
      </c>
      <c r="G3600">
        <v>0</v>
      </c>
      <c r="H3600">
        <v>2</v>
      </c>
      <c r="I3600" s="3">
        <v>22.88</v>
      </c>
      <c r="J3600" s="3">
        <v>0</v>
      </c>
      <c r="L3600">
        <v>4735</v>
      </c>
      <c r="M3600" t="s">
        <v>841</v>
      </c>
      <c r="N3600" t="s">
        <v>30</v>
      </c>
      <c r="O3600" t="s">
        <v>31</v>
      </c>
      <c r="P3600" t="str">
        <f>"15201"</f>
        <v>15201</v>
      </c>
    </row>
    <row r="3601" spans="1:16" x14ac:dyDescent="0.25">
      <c r="A3601" t="str">
        <f>"1100081A00041    00"</f>
        <v>1100081A00041    00</v>
      </c>
      <c r="B3601" t="s">
        <v>8660</v>
      </c>
      <c r="C3601" t="s">
        <v>8661</v>
      </c>
      <c r="D3601" t="s">
        <v>20</v>
      </c>
      <c r="E3601" t="s">
        <v>39</v>
      </c>
      <c r="F3601">
        <v>0</v>
      </c>
      <c r="G3601">
        <v>0</v>
      </c>
      <c r="H3601">
        <v>1</v>
      </c>
      <c r="I3601" s="3">
        <v>468.88</v>
      </c>
      <c r="J3601" s="3">
        <v>0</v>
      </c>
      <c r="K3601" t="s">
        <v>8662</v>
      </c>
      <c r="L3601">
        <v>515</v>
      </c>
      <c r="M3601" t="s">
        <v>7842</v>
      </c>
      <c r="N3601" t="s">
        <v>30</v>
      </c>
      <c r="O3601" t="s">
        <v>31</v>
      </c>
      <c r="P3601" t="str">
        <f>"15221"</f>
        <v>15221</v>
      </c>
    </row>
    <row r="3602" spans="1:16" x14ac:dyDescent="0.25">
      <c r="A3602" t="str">
        <f>"1100081A00042    00"</f>
        <v>1100081A00042    00</v>
      </c>
      <c r="B3602" t="s">
        <v>8660</v>
      </c>
      <c r="C3602" t="s">
        <v>8663</v>
      </c>
      <c r="D3602" t="s">
        <v>20</v>
      </c>
      <c r="E3602" t="s">
        <v>39</v>
      </c>
      <c r="F3602">
        <v>0</v>
      </c>
      <c r="G3602">
        <v>0</v>
      </c>
      <c r="H3602">
        <v>1</v>
      </c>
      <c r="I3602" s="3">
        <v>156.29</v>
      </c>
      <c r="J3602" s="3">
        <v>0</v>
      </c>
      <c r="K3602" t="s">
        <v>8662</v>
      </c>
      <c r="L3602">
        <v>515</v>
      </c>
      <c r="M3602" t="s">
        <v>7842</v>
      </c>
      <c r="N3602" t="s">
        <v>30</v>
      </c>
      <c r="O3602" t="s">
        <v>31</v>
      </c>
      <c r="P3602" t="str">
        <f>"15221"</f>
        <v>15221</v>
      </c>
    </row>
    <row r="3603" spans="1:16" x14ac:dyDescent="0.25">
      <c r="A3603" t="str">
        <f>"1100081A00043    00"</f>
        <v>1100081A00043    00</v>
      </c>
      <c r="B3603" t="s">
        <v>8660</v>
      </c>
      <c r="C3603" t="s">
        <v>8664</v>
      </c>
      <c r="D3603" t="s">
        <v>20</v>
      </c>
      <c r="E3603" t="s">
        <v>39</v>
      </c>
      <c r="F3603">
        <v>0</v>
      </c>
      <c r="G3603">
        <v>0</v>
      </c>
      <c r="H3603">
        <v>1</v>
      </c>
      <c r="I3603" s="3">
        <v>533.67999999999995</v>
      </c>
      <c r="J3603" s="3">
        <v>0</v>
      </c>
      <c r="K3603" t="s">
        <v>8662</v>
      </c>
      <c r="L3603">
        <v>515</v>
      </c>
      <c r="M3603" t="s">
        <v>7842</v>
      </c>
      <c r="N3603" t="s">
        <v>30</v>
      </c>
      <c r="O3603" t="s">
        <v>31</v>
      </c>
      <c r="P3603" t="str">
        <f>"15221"</f>
        <v>15221</v>
      </c>
    </row>
    <row r="3604" spans="1:16" x14ac:dyDescent="0.25">
      <c r="A3604" t="str">
        <f>"1100081A00044    00"</f>
        <v>1100081A00044    00</v>
      </c>
      <c r="B3604" t="s">
        <v>8665</v>
      </c>
      <c r="C3604" t="s">
        <v>8666</v>
      </c>
      <c r="E3604" t="s">
        <v>39</v>
      </c>
      <c r="F3604">
        <v>0</v>
      </c>
      <c r="G3604">
        <v>0</v>
      </c>
      <c r="H3604">
        <v>1</v>
      </c>
      <c r="I3604" s="3">
        <v>3340.39</v>
      </c>
      <c r="J3604" s="3">
        <v>139.18</v>
      </c>
      <c r="K3604" t="s">
        <v>5054</v>
      </c>
      <c r="L3604">
        <v>140</v>
      </c>
      <c r="M3604" t="s">
        <v>5055</v>
      </c>
      <c r="N3604" t="s">
        <v>5056</v>
      </c>
      <c r="O3604" t="s">
        <v>5057</v>
      </c>
      <c r="P3604" t="str">
        <f>"04240"</f>
        <v>04240</v>
      </c>
    </row>
    <row r="3605" spans="1:16" x14ac:dyDescent="0.25">
      <c r="A3605" t="str">
        <f>"1100081A00073    00"</f>
        <v>1100081A00073    00</v>
      </c>
      <c r="B3605" t="s">
        <v>8667</v>
      </c>
      <c r="C3605" t="s">
        <v>8668</v>
      </c>
      <c r="E3605" t="s">
        <v>39</v>
      </c>
      <c r="F3605">
        <v>0</v>
      </c>
      <c r="G3605">
        <v>0</v>
      </c>
      <c r="H3605">
        <v>2</v>
      </c>
      <c r="I3605" s="3">
        <v>1702.88</v>
      </c>
      <c r="J3605" s="3">
        <v>116.46</v>
      </c>
      <c r="K3605" t="s">
        <v>4989</v>
      </c>
      <c r="L3605">
        <v>3001</v>
      </c>
      <c r="M3605" t="s">
        <v>330</v>
      </c>
      <c r="N3605" t="s">
        <v>331</v>
      </c>
      <c r="O3605" t="s">
        <v>108</v>
      </c>
      <c r="P3605" t="str">
        <f>"75063"</f>
        <v>75063</v>
      </c>
    </row>
    <row r="3606" spans="1:16" x14ac:dyDescent="0.25">
      <c r="A3606" t="str">
        <f>"1100081A00098    00"</f>
        <v>1100081A00098    00</v>
      </c>
      <c r="B3606" t="s">
        <v>8669</v>
      </c>
      <c r="C3606" t="s">
        <v>8670</v>
      </c>
      <c r="D3606" t="s">
        <v>20</v>
      </c>
      <c r="E3606" t="s">
        <v>39</v>
      </c>
      <c r="F3606">
        <v>0</v>
      </c>
      <c r="G3606">
        <v>0</v>
      </c>
      <c r="H3606">
        <v>6</v>
      </c>
      <c r="I3606" s="3">
        <v>77.62</v>
      </c>
      <c r="J3606" s="3">
        <v>26.49</v>
      </c>
      <c r="K3606" t="s">
        <v>8671</v>
      </c>
      <c r="L3606">
        <v>255</v>
      </c>
      <c r="M3606" t="s">
        <v>6650</v>
      </c>
      <c r="N3606" t="s">
        <v>6651</v>
      </c>
      <c r="O3606" t="s">
        <v>31</v>
      </c>
      <c r="P3606" t="str">
        <f>"16037"</f>
        <v>16037</v>
      </c>
    </row>
    <row r="3607" spans="1:16" x14ac:dyDescent="0.25">
      <c r="A3607" t="str">
        <f>"1100081A00099    00"</f>
        <v>1100081A00099    00</v>
      </c>
      <c r="B3607" t="s">
        <v>8672</v>
      </c>
      <c r="C3607" t="s">
        <v>8673</v>
      </c>
      <c r="D3607" t="s">
        <v>20</v>
      </c>
      <c r="E3607" t="s">
        <v>39</v>
      </c>
      <c r="F3607">
        <v>0</v>
      </c>
      <c r="G3607">
        <v>0</v>
      </c>
      <c r="H3607">
        <v>2</v>
      </c>
      <c r="I3607" s="3">
        <v>1437.16</v>
      </c>
      <c r="J3607" s="3">
        <v>0</v>
      </c>
      <c r="L3607">
        <v>1948</v>
      </c>
      <c r="M3607" t="s">
        <v>8457</v>
      </c>
      <c r="N3607" t="s">
        <v>2187</v>
      </c>
      <c r="O3607" t="s">
        <v>31</v>
      </c>
      <c r="P3607" t="str">
        <f>"15131"</f>
        <v>15131</v>
      </c>
    </row>
    <row r="3608" spans="1:16" x14ac:dyDescent="0.25">
      <c r="A3608" t="str">
        <f>"1100081A00116    00"</f>
        <v>1100081A00116    00</v>
      </c>
      <c r="B3608" t="s">
        <v>8674</v>
      </c>
      <c r="C3608" t="s">
        <v>8675</v>
      </c>
      <c r="D3608" t="s">
        <v>20</v>
      </c>
      <c r="E3608" t="s">
        <v>39</v>
      </c>
      <c r="F3608">
        <v>0</v>
      </c>
      <c r="G3608">
        <v>0</v>
      </c>
      <c r="H3608">
        <v>19</v>
      </c>
      <c r="I3608" s="3">
        <v>6307.76</v>
      </c>
      <c r="J3608" s="3">
        <v>3746.73</v>
      </c>
      <c r="L3608">
        <v>627</v>
      </c>
      <c r="M3608" t="s">
        <v>8676</v>
      </c>
      <c r="N3608" t="s">
        <v>30</v>
      </c>
      <c r="O3608" t="s">
        <v>31</v>
      </c>
      <c r="P3608" t="str">
        <f>"15201"</f>
        <v>15201</v>
      </c>
    </row>
    <row r="3609" spans="1:16" x14ac:dyDescent="0.25">
      <c r="A3609" t="str">
        <f>"1100081A00123    00"</f>
        <v>1100081A00123    00</v>
      </c>
      <c r="B3609" t="s">
        <v>8677</v>
      </c>
      <c r="C3609" t="s">
        <v>8678</v>
      </c>
      <c r="D3609" t="s">
        <v>20</v>
      </c>
      <c r="E3609" t="s">
        <v>39</v>
      </c>
      <c r="F3609">
        <v>0</v>
      </c>
      <c r="G3609">
        <v>0</v>
      </c>
      <c r="H3609">
        <v>1</v>
      </c>
      <c r="I3609" s="3">
        <v>1170.3</v>
      </c>
      <c r="J3609" s="3">
        <v>0</v>
      </c>
      <c r="K3609" t="s">
        <v>8679</v>
      </c>
      <c r="L3609">
        <v>502</v>
      </c>
      <c r="M3609" t="s">
        <v>8680</v>
      </c>
      <c r="N3609" t="s">
        <v>8681</v>
      </c>
      <c r="O3609" t="s">
        <v>108</v>
      </c>
      <c r="P3609" t="str">
        <f>"75002"</f>
        <v>75002</v>
      </c>
    </row>
    <row r="3610" spans="1:16" x14ac:dyDescent="0.25">
      <c r="A3610" t="str">
        <f>"1100081A00168    00"</f>
        <v>1100081A00168    00</v>
      </c>
      <c r="B3610" t="s">
        <v>8682</v>
      </c>
      <c r="C3610" t="s">
        <v>8683</v>
      </c>
      <c r="D3610" t="s">
        <v>20</v>
      </c>
      <c r="E3610" t="s">
        <v>39</v>
      </c>
      <c r="F3610">
        <v>0</v>
      </c>
      <c r="G3610">
        <v>0</v>
      </c>
      <c r="H3610">
        <v>3</v>
      </c>
      <c r="I3610" s="3">
        <v>1663.9</v>
      </c>
      <c r="J3610" s="3">
        <v>1.1200000000000001</v>
      </c>
      <c r="L3610">
        <v>425</v>
      </c>
      <c r="M3610" t="s">
        <v>78</v>
      </c>
      <c r="N3610" t="s">
        <v>295</v>
      </c>
      <c r="O3610" t="s">
        <v>31</v>
      </c>
      <c r="P3610" t="str">
        <f>"15146"</f>
        <v>15146</v>
      </c>
    </row>
    <row r="3611" spans="1:16" x14ac:dyDescent="0.25">
      <c r="A3611" t="str">
        <f>"1100081A00203    00"</f>
        <v>1100081A00203    00</v>
      </c>
      <c r="B3611" t="s">
        <v>8684</v>
      </c>
      <c r="C3611" t="s">
        <v>8685</v>
      </c>
      <c r="E3611" t="s">
        <v>39</v>
      </c>
      <c r="F3611">
        <v>0</v>
      </c>
      <c r="G3611">
        <v>0</v>
      </c>
      <c r="H3611">
        <v>1</v>
      </c>
      <c r="I3611" s="3">
        <v>1620.1</v>
      </c>
      <c r="J3611" s="3">
        <v>0</v>
      </c>
      <c r="K3611" t="s">
        <v>8686</v>
      </c>
      <c r="L3611">
        <v>221</v>
      </c>
      <c r="M3611" t="s">
        <v>6506</v>
      </c>
      <c r="N3611" t="s">
        <v>30</v>
      </c>
      <c r="O3611" t="s">
        <v>31</v>
      </c>
      <c r="P3611" t="str">
        <f>"15224"</f>
        <v>15224</v>
      </c>
    </row>
    <row r="3612" spans="1:16" x14ac:dyDescent="0.25">
      <c r="A3612" t="str">
        <f>"1100081A00206    00"</f>
        <v>1100081A00206    00</v>
      </c>
      <c r="B3612" t="s">
        <v>8687</v>
      </c>
      <c r="C3612" t="s">
        <v>8688</v>
      </c>
      <c r="D3612" t="s">
        <v>20</v>
      </c>
      <c r="E3612" t="s">
        <v>39</v>
      </c>
      <c r="F3612">
        <v>0</v>
      </c>
      <c r="G3612">
        <v>0</v>
      </c>
      <c r="H3612">
        <v>2</v>
      </c>
      <c r="I3612" s="3">
        <v>1677.32</v>
      </c>
      <c r="J3612" s="3">
        <v>0</v>
      </c>
      <c r="L3612">
        <v>430</v>
      </c>
      <c r="M3612" t="s">
        <v>8689</v>
      </c>
      <c r="N3612" t="s">
        <v>30</v>
      </c>
      <c r="O3612" t="s">
        <v>31</v>
      </c>
      <c r="P3612" t="str">
        <f>"15238"</f>
        <v>15238</v>
      </c>
    </row>
    <row r="3613" spans="1:16" x14ac:dyDescent="0.25">
      <c r="A3613" t="str">
        <f>"1100081A00250    00"</f>
        <v>1100081A00250    00</v>
      </c>
      <c r="B3613" t="s">
        <v>8690</v>
      </c>
      <c r="C3613" t="s">
        <v>8691</v>
      </c>
      <c r="D3613" t="s">
        <v>20</v>
      </c>
      <c r="E3613" t="s">
        <v>39</v>
      </c>
      <c r="F3613">
        <v>0</v>
      </c>
      <c r="G3613">
        <v>0</v>
      </c>
      <c r="H3613">
        <v>4</v>
      </c>
      <c r="I3613" s="3">
        <v>3133.67</v>
      </c>
      <c r="J3613" s="3">
        <v>373.5</v>
      </c>
      <c r="L3613">
        <v>5516</v>
      </c>
      <c r="M3613" t="s">
        <v>8692</v>
      </c>
      <c r="N3613" t="s">
        <v>30</v>
      </c>
      <c r="O3613" t="s">
        <v>31</v>
      </c>
      <c r="P3613" t="str">
        <f>"15201"</f>
        <v>15201</v>
      </c>
    </row>
    <row r="3614" spans="1:16" x14ac:dyDescent="0.25">
      <c r="A3614" t="str">
        <f>"1100081A00292    00"</f>
        <v>1100081A00292    00</v>
      </c>
      <c r="B3614" t="s">
        <v>8693</v>
      </c>
      <c r="C3614" t="s">
        <v>8694</v>
      </c>
      <c r="D3614" t="s">
        <v>20</v>
      </c>
      <c r="E3614" t="s">
        <v>39</v>
      </c>
      <c r="F3614">
        <v>0</v>
      </c>
      <c r="G3614">
        <v>0</v>
      </c>
      <c r="H3614">
        <v>7</v>
      </c>
      <c r="I3614" s="3">
        <v>11295.43</v>
      </c>
      <c r="J3614" s="3">
        <v>4689.1099999999997</v>
      </c>
      <c r="L3614">
        <v>5417</v>
      </c>
      <c r="M3614" t="s">
        <v>8639</v>
      </c>
      <c r="N3614" t="s">
        <v>30</v>
      </c>
      <c r="O3614" t="s">
        <v>31</v>
      </c>
      <c r="P3614" t="str">
        <f>"15201"</f>
        <v>15201</v>
      </c>
    </row>
    <row r="3615" spans="1:16" x14ac:dyDescent="0.25">
      <c r="A3615" t="str">
        <f>"1100081A00321    00"</f>
        <v>1100081A00321    00</v>
      </c>
      <c r="B3615" t="s">
        <v>8695</v>
      </c>
      <c r="C3615" t="s">
        <v>8696</v>
      </c>
      <c r="E3615" t="s">
        <v>39</v>
      </c>
      <c r="F3615">
        <v>0</v>
      </c>
      <c r="G3615">
        <v>0</v>
      </c>
      <c r="H3615">
        <v>6</v>
      </c>
      <c r="I3615" s="3">
        <v>6589.89</v>
      </c>
      <c r="J3615" s="3">
        <v>3148.08</v>
      </c>
      <c r="L3615">
        <v>117</v>
      </c>
      <c r="M3615" t="s">
        <v>8697</v>
      </c>
      <c r="N3615" t="s">
        <v>1067</v>
      </c>
      <c r="O3615" t="s">
        <v>31</v>
      </c>
      <c r="P3615" t="str">
        <f>"15143"</f>
        <v>15143</v>
      </c>
    </row>
    <row r="3616" spans="1:16" x14ac:dyDescent="0.25">
      <c r="A3616" t="str">
        <f>"1100081A00323    00"</f>
        <v>1100081A00323    00</v>
      </c>
      <c r="B3616" t="s">
        <v>8698</v>
      </c>
      <c r="C3616" t="s">
        <v>8699</v>
      </c>
      <c r="E3616" t="s">
        <v>39</v>
      </c>
      <c r="F3616">
        <v>0</v>
      </c>
      <c r="G3616">
        <v>0</v>
      </c>
      <c r="H3616">
        <v>4</v>
      </c>
      <c r="I3616" s="3">
        <v>608.95000000000005</v>
      </c>
      <c r="J3616" s="3">
        <v>345.72</v>
      </c>
      <c r="L3616">
        <v>5414</v>
      </c>
      <c r="M3616" t="s">
        <v>8639</v>
      </c>
      <c r="N3616" t="s">
        <v>30</v>
      </c>
      <c r="O3616" t="s">
        <v>31</v>
      </c>
      <c r="P3616" t="str">
        <f>"15201"</f>
        <v>15201</v>
      </c>
    </row>
    <row r="3617" spans="1:16" x14ac:dyDescent="0.25">
      <c r="A3617" t="str">
        <f>"1100081A00325    00"</f>
        <v>1100081A00325    00</v>
      </c>
      <c r="B3617" t="s">
        <v>8700</v>
      </c>
      <c r="C3617" t="s">
        <v>8701</v>
      </c>
      <c r="D3617" t="s">
        <v>20</v>
      </c>
      <c r="E3617" t="s">
        <v>39</v>
      </c>
      <c r="F3617">
        <v>0</v>
      </c>
      <c r="G3617">
        <v>0</v>
      </c>
      <c r="H3617">
        <v>11</v>
      </c>
      <c r="I3617" s="3">
        <v>5156.51</v>
      </c>
      <c r="J3617" s="3">
        <v>3878.16</v>
      </c>
      <c r="L3617">
        <v>1763</v>
      </c>
      <c r="M3617" t="s">
        <v>8702</v>
      </c>
      <c r="N3617" t="s">
        <v>195</v>
      </c>
      <c r="O3617" t="s">
        <v>31</v>
      </c>
      <c r="P3617" t="str">
        <f>"15101"</f>
        <v>15101</v>
      </c>
    </row>
    <row r="3618" spans="1:16" x14ac:dyDescent="0.25">
      <c r="A3618" t="str">
        <f>"1100081B00024    00"</f>
        <v>1100081B00024    00</v>
      </c>
      <c r="B3618" t="s">
        <v>8703</v>
      </c>
      <c r="C3618" t="s">
        <v>8704</v>
      </c>
      <c r="D3618" t="s">
        <v>20</v>
      </c>
      <c r="E3618" t="s">
        <v>39</v>
      </c>
      <c r="F3618">
        <v>0</v>
      </c>
      <c r="G3618">
        <v>0</v>
      </c>
      <c r="H3618">
        <v>2</v>
      </c>
      <c r="I3618" s="3">
        <v>1300.28</v>
      </c>
      <c r="J3618" s="3">
        <v>0</v>
      </c>
      <c r="L3618">
        <v>5565</v>
      </c>
      <c r="M3618" t="s">
        <v>8639</v>
      </c>
      <c r="N3618" t="s">
        <v>30</v>
      </c>
      <c r="O3618" t="s">
        <v>31</v>
      </c>
      <c r="P3618" t="str">
        <f>"15201"</f>
        <v>15201</v>
      </c>
    </row>
    <row r="3619" spans="1:16" x14ac:dyDescent="0.25">
      <c r="A3619" t="str">
        <f>"1100081B00054    00"</f>
        <v>1100081B00054    00</v>
      </c>
      <c r="B3619" t="s">
        <v>8705</v>
      </c>
      <c r="C3619" t="s">
        <v>8706</v>
      </c>
      <c r="D3619" t="s">
        <v>20</v>
      </c>
      <c r="E3619" t="s">
        <v>39</v>
      </c>
      <c r="F3619">
        <v>0</v>
      </c>
      <c r="G3619">
        <v>0</v>
      </c>
      <c r="H3619">
        <v>6</v>
      </c>
      <c r="I3619" s="3">
        <v>5600.8</v>
      </c>
      <c r="J3619" s="3">
        <v>1109.97</v>
      </c>
      <c r="L3619">
        <v>5510</v>
      </c>
      <c r="M3619" t="s">
        <v>8639</v>
      </c>
      <c r="N3619" t="s">
        <v>30</v>
      </c>
      <c r="O3619" t="s">
        <v>31</v>
      </c>
      <c r="P3619" t="str">
        <f>"15201"</f>
        <v>15201</v>
      </c>
    </row>
    <row r="3620" spans="1:16" x14ac:dyDescent="0.25">
      <c r="A3620" t="str">
        <f>"1100081B00062    00"</f>
        <v>1100081B00062    00</v>
      </c>
      <c r="B3620" t="s">
        <v>8707</v>
      </c>
      <c r="C3620" t="s">
        <v>8708</v>
      </c>
      <c r="D3620" t="s">
        <v>20</v>
      </c>
      <c r="E3620" t="s">
        <v>39</v>
      </c>
      <c r="F3620">
        <v>0</v>
      </c>
      <c r="G3620">
        <v>0</v>
      </c>
      <c r="H3620">
        <v>2</v>
      </c>
      <c r="I3620" s="3">
        <v>972.87</v>
      </c>
      <c r="J3620" s="3">
        <v>0</v>
      </c>
      <c r="L3620">
        <v>5522</v>
      </c>
      <c r="M3620" t="s">
        <v>8639</v>
      </c>
      <c r="N3620" t="s">
        <v>30</v>
      </c>
      <c r="O3620" t="s">
        <v>31</v>
      </c>
      <c r="P3620" t="str">
        <f>"15201"</f>
        <v>15201</v>
      </c>
    </row>
    <row r="3621" spans="1:16" x14ac:dyDescent="0.25">
      <c r="A3621" t="str">
        <f>"1100081B00063    00"</f>
        <v>1100081B00063    00</v>
      </c>
      <c r="B3621" t="s">
        <v>8707</v>
      </c>
      <c r="C3621" t="s">
        <v>8709</v>
      </c>
      <c r="D3621" t="s">
        <v>20</v>
      </c>
      <c r="E3621" t="s">
        <v>39</v>
      </c>
      <c r="F3621">
        <v>0</v>
      </c>
      <c r="G3621">
        <v>0</v>
      </c>
      <c r="H3621">
        <v>2</v>
      </c>
      <c r="I3621" s="3">
        <v>1504.75</v>
      </c>
      <c r="J3621" s="3">
        <v>0</v>
      </c>
      <c r="L3621">
        <v>5522</v>
      </c>
      <c r="M3621" t="s">
        <v>8639</v>
      </c>
      <c r="N3621" t="s">
        <v>30</v>
      </c>
      <c r="O3621" t="s">
        <v>31</v>
      </c>
      <c r="P3621" t="str">
        <f>"15201"</f>
        <v>15201</v>
      </c>
    </row>
    <row r="3622" spans="1:16" x14ac:dyDescent="0.25">
      <c r="A3622" t="str">
        <f>"1100081B00094    00"</f>
        <v>1100081B00094    00</v>
      </c>
      <c r="B3622" t="s">
        <v>8710</v>
      </c>
      <c r="C3622" t="s">
        <v>8711</v>
      </c>
      <c r="D3622" t="s">
        <v>20</v>
      </c>
      <c r="E3622" t="s">
        <v>39</v>
      </c>
      <c r="F3622">
        <v>0</v>
      </c>
      <c r="G3622">
        <v>0</v>
      </c>
      <c r="H3622">
        <v>1</v>
      </c>
      <c r="I3622" s="3">
        <v>1111.21</v>
      </c>
      <c r="J3622" s="3">
        <v>0</v>
      </c>
      <c r="L3622">
        <v>220</v>
      </c>
      <c r="M3622" t="s">
        <v>8712</v>
      </c>
      <c r="N3622" t="s">
        <v>30</v>
      </c>
      <c r="O3622" t="s">
        <v>31</v>
      </c>
      <c r="P3622" t="str">
        <f>"15237"</f>
        <v>15237</v>
      </c>
    </row>
    <row r="3623" spans="1:16" x14ac:dyDescent="0.25">
      <c r="A3623" t="str">
        <f>"1100081B00120    00"</f>
        <v>1100081B00120    00</v>
      </c>
      <c r="B3623" t="s">
        <v>8713</v>
      </c>
      <c r="C3623" t="s">
        <v>8714</v>
      </c>
      <c r="E3623" t="s">
        <v>39</v>
      </c>
      <c r="F3623">
        <v>0</v>
      </c>
      <c r="G3623">
        <v>0</v>
      </c>
      <c r="H3623">
        <v>1</v>
      </c>
      <c r="I3623" s="3">
        <v>460.77</v>
      </c>
      <c r="J3623" s="3">
        <v>0</v>
      </c>
      <c r="K3623" t="s">
        <v>8715</v>
      </c>
      <c r="L3623">
        <v>1495</v>
      </c>
      <c r="M3623" t="s">
        <v>8716</v>
      </c>
      <c r="N3623" t="s">
        <v>195</v>
      </c>
      <c r="O3623" t="s">
        <v>31</v>
      </c>
      <c r="P3623" t="str">
        <f>"15101"</f>
        <v>15101</v>
      </c>
    </row>
    <row r="3624" spans="1:16" x14ac:dyDescent="0.25">
      <c r="A3624" t="str">
        <f>"1100081B00121    00"</f>
        <v>1100081B00121    00</v>
      </c>
      <c r="B3624" t="s">
        <v>8717</v>
      </c>
      <c r="C3624" t="s">
        <v>8718</v>
      </c>
      <c r="D3624" t="s">
        <v>20</v>
      </c>
      <c r="E3624" t="s">
        <v>39</v>
      </c>
      <c r="F3624">
        <v>0</v>
      </c>
      <c r="G3624">
        <v>0</v>
      </c>
      <c r="H3624">
        <v>6</v>
      </c>
      <c r="I3624" s="3">
        <v>8875.76</v>
      </c>
      <c r="J3624" s="3">
        <v>1990.64</v>
      </c>
      <c r="L3624">
        <v>122</v>
      </c>
      <c r="M3624" t="s">
        <v>8719</v>
      </c>
      <c r="N3624" t="s">
        <v>30</v>
      </c>
      <c r="O3624" t="s">
        <v>31</v>
      </c>
      <c r="P3624" t="str">
        <f>"15201"</f>
        <v>15201</v>
      </c>
    </row>
    <row r="3625" spans="1:16" x14ac:dyDescent="0.25">
      <c r="A3625" t="str">
        <f>"1100081B00122    00"</f>
        <v>1100081B00122    00</v>
      </c>
      <c r="B3625" t="s">
        <v>8720</v>
      </c>
      <c r="C3625" t="s">
        <v>8721</v>
      </c>
      <c r="D3625" t="s">
        <v>20</v>
      </c>
      <c r="E3625" t="s">
        <v>39</v>
      </c>
      <c r="F3625">
        <v>0</v>
      </c>
      <c r="G3625">
        <v>0</v>
      </c>
      <c r="H3625">
        <v>4</v>
      </c>
      <c r="I3625" s="3">
        <v>60.36</v>
      </c>
      <c r="J3625" s="3">
        <v>7.43</v>
      </c>
      <c r="L3625">
        <v>122</v>
      </c>
      <c r="M3625" t="s">
        <v>8722</v>
      </c>
      <c r="N3625" t="s">
        <v>30</v>
      </c>
      <c r="O3625" t="s">
        <v>31</v>
      </c>
      <c r="P3625" t="str">
        <f>"15201"</f>
        <v>15201</v>
      </c>
    </row>
    <row r="3626" spans="1:16" x14ac:dyDescent="0.25">
      <c r="A3626" t="str">
        <f>"1100081B00160    00"</f>
        <v>1100081B00160    00</v>
      </c>
      <c r="B3626" t="s">
        <v>8723</v>
      </c>
      <c r="C3626" t="s">
        <v>8724</v>
      </c>
      <c r="D3626" t="s">
        <v>20</v>
      </c>
      <c r="E3626" t="s">
        <v>39</v>
      </c>
      <c r="F3626">
        <v>0</v>
      </c>
      <c r="G3626">
        <v>0</v>
      </c>
      <c r="H3626">
        <v>7</v>
      </c>
      <c r="I3626" s="3">
        <v>10893.41</v>
      </c>
      <c r="J3626" s="3">
        <v>3060.46</v>
      </c>
      <c r="K3626" t="s">
        <v>8725</v>
      </c>
      <c r="L3626">
        <v>15301</v>
      </c>
      <c r="M3626" t="s">
        <v>8726</v>
      </c>
      <c r="N3626" t="s">
        <v>8727</v>
      </c>
      <c r="O3626" t="s">
        <v>108</v>
      </c>
      <c r="P3626" t="str">
        <f>"75001"</f>
        <v>75001</v>
      </c>
    </row>
    <row r="3627" spans="1:16" x14ac:dyDescent="0.25">
      <c r="A3627" t="str">
        <f>"1100081B00166    00"</f>
        <v>1100081B00166    00</v>
      </c>
      <c r="B3627" t="s">
        <v>8728</v>
      </c>
      <c r="C3627" t="s">
        <v>8729</v>
      </c>
      <c r="D3627" t="s">
        <v>20</v>
      </c>
      <c r="E3627" t="s">
        <v>39</v>
      </c>
      <c r="F3627">
        <v>0</v>
      </c>
      <c r="G3627">
        <v>0</v>
      </c>
      <c r="H3627">
        <v>2</v>
      </c>
      <c r="I3627" s="3">
        <v>1951.04</v>
      </c>
      <c r="J3627" s="3">
        <v>7.32</v>
      </c>
      <c r="K3627" t="s">
        <v>8730</v>
      </c>
      <c r="L3627">
        <v>4295</v>
      </c>
      <c r="M3627" t="s">
        <v>8731</v>
      </c>
      <c r="N3627" t="s">
        <v>30</v>
      </c>
      <c r="O3627" t="s">
        <v>31</v>
      </c>
      <c r="P3627" t="str">
        <f>"15201"</f>
        <v>15201</v>
      </c>
    </row>
    <row r="3628" spans="1:16" x14ac:dyDescent="0.25">
      <c r="A3628" t="str">
        <f>"1100081B00215    00"</f>
        <v>1100081B00215    00</v>
      </c>
      <c r="B3628" t="s">
        <v>8732</v>
      </c>
      <c r="C3628" t="s">
        <v>8733</v>
      </c>
      <c r="D3628" t="s">
        <v>20</v>
      </c>
      <c r="E3628" t="s">
        <v>39</v>
      </c>
      <c r="F3628">
        <v>0</v>
      </c>
      <c r="G3628">
        <v>0</v>
      </c>
      <c r="H3628">
        <v>1</v>
      </c>
      <c r="I3628" s="3">
        <v>2706.52</v>
      </c>
      <c r="J3628" s="3">
        <v>0</v>
      </c>
      <c r="K3628" t="s">
        <v>1632</v>
      </c>
      <c r="M3628" t="s">
        <v>1633</v>
      </c>
      <c r="N3628" t="s">
        <v>1634</v>
      </c>
      <c r="O3628" t="s">
        <v>25</v>
      </c>
      <c r="P3628" t="str">
        <f>"45401"</f>
        <v>45401</v>
      </c>
    </row>
    <row r="3629" spans="1:16" x14ac:dyDescent="0.25">
      <c r="A3629" t="str">
        <f>"1100081B00230    00"</f>
        <v>1100081B00230    00</v>
      </c>
      <c r="B3629" t="s">
        <v>8734</v>
      </c>
      <c r="C3629" t="s">
        <v>8735</v>
      </c>
      <c r="D3629" t="s">
        <v>20</v>
      </c>
      <c r="E3629" t="s">
        <v>39</v>
      </c>
      <c r="F3629">
        <v>0</v>
      </c>
      <c r="G3629">
        <v>0</v>
      </c>
      <c r="H3629">
        <v>4</v>
      </c>
      <c r="I3629" s="3">
        <v>5519.08</v>
      </c>
      <c r="J3629" s="3">
        <v>604.34</v>
      </c>
      <c r="K3629" t="s">
        <v>8736</v>
      </c>
      <c r="L3629">
        <v>4359</v>
      </c>
      <c r="M3629" t="s">
        <v>3385</v>
      </c>
      <c r="N3629" t="s">
        <v>30</v>
      </c>
      <c r="O3629" t="s">
        <v>31</v>
      </c>
      <c r="P3629" t="str">
        <f>"15201"</f>
        <v>15201</v>
      </c>
    </row>
    <row r="3630" spans="1:16" x14ac:dyDescent="0.25">
      <c r="A3630" t="str">
        <f>"1100081B00278    00"</f>
        <v>1100081B00278    00</v>
      </c>
      <c r="B3630" t="s">
        <v>8737</v>
      </c>
      <c r="C3630" t="s">
        <v>8738</v>
      </c>
      <c r="D3630" t="s">
        <v>20</v>
      </c>
      <c r="E3630" t="s">
        <v>39</v>
      </c>
      <c r="F3630">
        <v>0</v>
      </c>
      <c r="G3630">
        <v>0</v>
      </c>
      <c r="H3630">
        <v>2</v>
      </c>
      <c r="I3630" s="3">
        <v>1528.85</v>
      </c>
      <c r="J3630" s="3">
        <v>90.04</v>
      </c>
      <c r="L3630">
        <v>4312</v>
      </c>
      <c r="M3630" t="s">
        <v>3385</v>
      </c>
      <c r="N3630" t="s">
        <v>30</v>
      </c>
      <c r="O3630" t="s">
        <v>31</v>
      </c>
      <c r="P3630" t="str">
        <f>"15201"</f>
        <v>15201</v>
      </c>
    </row>
    <row r="3631" spans="1:16" x14ac:dyDescent="0.25">
      <c r="A3631" t="str">
        <f>"1100081B00290    00"</f>
        <v>1100081B00290    00</v>
      </c>
      <c r="B3631" t="s">
        <v>8739</v>
      </c>
      <c r="C3631" t="s">
        <v>8740</v>
      </c>
      <c r="D3631" t="s">
        <v>20</v>
      </c>
      <c r="E3631" t="s">
        <v>39</v>
      </c>
      <c r="F3631">
        <v>0</v>
      </c>
      <c r="G3631">
        <v>0</v>
      </c>
      <c r="H3631">
        <v>3</v>
      </c>
      <c r="I3631" s="3">
        <v>5563.65</v>
      </c>
      <c r="J3631" s="3">
        <v>123.63</v>
      </c>
      <c r="K3631" t="s">
        <v>759</v>
      </c>
      <c r="L3631">
        <v>3001</v>
      </c>
      <c r="M3631" t="s">
        <v>404</v>
      </c>
      <c r="N3631" t="s">
        <v>331</v>
      </c>
      <c r="O3631" t="s">
        <v>108</v>
      </c>
      <c r="P3631" t="str">
        <f>"75063"</f>
        <v>75063</v>
      </c>
    </row>
    <row r="3632" spans="1:16" x14ac:dyDescent="0.25">
      <c r="A3632" t="str">
        <f>"1100081B00293    00"</f>
        <v>1100081B00293    00</v>
      </c>
      <c r="B3632" t="s">
        <v>8741</v>
      </c>
      <c r="C3632" t="s">
        <v>8742</v>
      </c>
      <c r="D3632" t="s">
        <v>20</v>
      </c>
      <c r="E3632" t="s">
        <v>39</v>
      </c>
      <c r="F3632">
        <v>0</v>
      </c>
      <c r="G3632">
        <v>0</v>
      </c>
      <c r="H3632">
        <v>3</v>
      </c>
      <c r="I3632" s="3">
        <v>9377.52</v>
      </c>
      <c r="J3632" s="3">
        <v>312.57</v>
      </c>
      <c r="K3632" t="s">
        <v>4933</v>
      </c>
      <c r="L3632">
        <v>3001</v>
      </c>
      <c r="M3632" t="s">
        <v>330</v>
      </c>
      <c r="N3632" t="s">
        <v>331</v>
      </c>
      <c r="O3632" t="s">
        <v>108</v>
      </c>
      <c r="P3632" t="str">
        <f>"75063"</f>
        <v>75063</v>
      </c>
    </row>
    <row r="3633" spans="1:16" x14ac:dyDescent="0.25">
      <c r="A3633" t="str">
        <f>"1100081B00320    00"</f>
        <v>1100081B00320    00</v>
      </c>
      <c r="B3633" t="s">
        <v>8743</v>
      </c>
      <c r="C3633" t="s">
        <v>8744</v>
      </c>
      <c r="D3633" t="s">
        <v>20</v>
      </c>
      <c r="E3633" t="s">
        <v>39</v>
      </c>
      <c r="F3633">
        <v>0</v>
      </c>
      <c r="G3633">
        <v>0</v>
      </c>
      <c r="H3633">
        <v>1</v>
      </c>
      <c r="I3633" s="3">
        <v>1947.93</v>
      </c>
      <c r="J3633" s="3">
        <v>0</v>
      </c>
      <c r="L3633">
        <v>712</v>
      </c>
      <c r="M3633" t="s">
        <v>8745</v>
      </c>
      <c r="N3633" t="s">
        <v>30</v>
      </c>
      <c r="O3633" t="s">
        <v>31</v>
      </c>
      <c r="P3633" t="str">
        <f>"15226"</f>
        <v>15226</v>
      </c>
    </row>
    <row r="3634" spans="1:16" x14ac:dyDescent="0.25">
      <c r="A3634" t="str">
        <f>"1100081B00322    00"</f>
        <v>1100081B00322    00</v>
      </c>
      <c r="B3634" t="s">
        <v>8746</v>
      </c>
      <c r="C3634" t="s">
        <v>8747</v>
      </c>
      <c r="D3634" t="s">
        <v>20</v>
      </c>
      <c r="E3634" t="s">
        <v>39</v>
      </c>
      <c r="F3634">
        <v>0</v>
      </c>
      <c r="G3634">
        <v>0</v>
      </c>
      <c r="H3634">
        <v>1</v>
      </c>
      <c r="I3634" s="3">
        <v>1058.74</v>
      </c>
      <c r="J3634" s="3">
        <v>0</v>
      </c>
      <c r="K3634" t="s">
        <v>2570</v>
      </c>
      <c r="L3634">
        <v>901</v>
      </c>
      <c r="M3634" t="s">
        <v>1503</v>
      </c>
      <c r="N3634" t="s">
        <v>494</v>
      </c>
      <c r="O3634" t="s">
        <v>495</v>
      </c>
      <c r="P3634" t="str">
        <f>"91768"</f>
        <v>91768</v>
      </c>
    </row>
    <row r="3635" spans="1:16" x14ac:dyDescent="0.25">
      <c r="A3635" t="str">
        <f>"1100081B00337    00"</f>
        <v>1100081B00337    00</v>
      </c>
      <c r="B3635" t="s">
        <v>8748</v>
      </c>
      <c r="C3635" t="s">
        <v>8749</v>
      </c>
      <c r="E3635" t="s">
        <v>39</v>
      </c>
      <c r="F3635">
        <v>0</v>
      </c>
      <c r="G3635">
        <v>0</v>
      </c>
      <c r="H3635">
        <v>1</v>
      </c>
      <c r="I3635" s="3">
        <v>645.1</v>
      </c>
      <c r="J3635" s="3">
        <v>129.01</v>
      </c>
      <c r="L3635">
        <v>3865</v>
      </c>
      <c r="M3635" t="s">
        <v>8750</v>
      </c>
      <c r="N3635" t="s">
        <v>30</v>
      </c>
      <c r="O3635" t="s">
        <v>31</v>
      </c>
      <c r="P3635" t="str">
        <f>"15204"</f>
        <v>15204</v>
      </c>
    </row>
    <row r="3636" spans="1:16" x14ac:dyDescent="0.25">
      <c r="A3636" t="str">
        <f>"1100081C00021    00"</f>
        <v>1100081C00021    00</v>
      </c>
      <c r="B3636" t="s">
        <v>8751</v>
      </c>
      <c r="C3636" t="s">
        <v>8752</v>
      </c>
      <c r="D3636" t="s">
        <v>20</v>
      </c>
      <c r="E3636" t="s">
        <v>39</v>
      </c>
      <c r="F3636">
        <v>0</v>
      </c>
      <c r="G3636">
        <v>0</v>
      </c>
      <c r="H3636">
        <v>1</v>
      </c>
      <c r="I3636" s="3">
        <v>939.03</v>
      </c>
      <c r="J3636" s="3">
        <v>0</v>
      </c>
      <c r="K3636" t="s">
        <v>8753</v>
      </c>
      <c r="L3636">
        <v>4533</v>
      </c>
      <c r="M3636" t="s">
        <v>3385</v>
      </c>
      <c r="N3636" t="s">
        <v>30</v>
      </c>
      <c r="O3636" t="s">
        <v>31</v>
      </c>
      <c r="P3636" t="str">
        <f>"15201"</f>
        <v>15201</v>
      </c>
    </row>
    <row r="3637" spans="1:16" x14ac:dyDescent="0.25">
      <c r="A3637" t="str">
        <f>"1100081C00053    00"</f>
        <v>1100081C00053    00</v>
      </c>
      <c r="B3637" t="s">
        <v>8754</v>
      </c>
      <c r="C3637" t="s">
        <v>8755</v>
      </c>
      <c r="D3637" t="s">
        <v>20</v>
      </c>
      <c r="E3637" t="s">
        <v>39</v>
      </c>
      <c r="F3637">
        <v>0</v>
      </c>
      <c r="G3637">
        <v>0</v>
      </c>
      <c r="H3637">
        <v>2</v>
      </c>
      <c r="I3637" s="3">
        <v>4014.06</v>
      </c>
      <c r="J3637" s="3">
        <v>0</v>
      </c>
      <c r="L3637">
        <v>4512</v>
      </c>
      <c r="M3637" t="s">
        <v>3385</v>
      </c>
      <c r="N3637" t="s">
        <v>30</v>
      </c>
      <c r="O3637" t="s">
        <v>31</v>
      </c>
      <c r="P3637" t="str">
        <f>"15201"</f>
        <v>15201</v>
      </c>
    </row>
    <row r="3638" spans="1:16" x14ac:dyDescent="0.25">
      <c r="A3638" t="str">
        <f>"1100081C00055    00"</f>
        <v>1100081C00055    00</v>
      </c>
      <c r="B3638" t="s">
        <v>8756</v>
      </c>
      <c r="C3638" t="s">
        <v>8757</v>
      </c>
      <c r="D3638" t="s">
        <v>20</v>
      </c>
      <c r="E3638" t="s">
        <v>39</v>
      </c>
      <c r="F3638">
        <v>0</v>
      </c>
      <c r="G3638">
        <v>0</v>
      </c>
      <c r="H3638">
        <v>3</v>
      </c>
      <c r="I3638" s="3">
        <v>4512.49</v>
      </c>
      <c r="J3638" s="3">
        <v>266.64</v>
      </c>
      <c r="L3638">
        <v>4512</v>
      </c>
      <c r="M3638" t="s">
        <v>3385</v>
      </c>
      <c r="N3638" t="s">
        <v>30</v>
      </c>
      <c r="O3638" t="s">
        <v>31</v>
      </c>
      <c r="P3638" t="str">
        <f>"15201"</f>
        <v>15201</v>
      </c>
    </row>
    <row r="3639" spans="1:16" x14ac:dyDescent="0.25">
      <c r="A3639" t="str">
        <f>"1100081C00060    00"</f>
        <v>1100081C00060    00</v>
      </c>
      <c r="B3639" t="s">
        <v>8758</v>
      </c>
      <c r="C3639" t="s">
        <v>8759</v>
      </c>
      <c r="D3639" t="s">
        <v>20</v>
      </c>
      <c r="E3639" t="s">
        <v>39</v>
      </c>
      <c r="F3639">
        <v>0</v>
      </c>
      <c r="G3639">
        <v>0</v>
      </c>
      <c r="H3639">
        <v>2</v>
      </c>
      <c r="I3639" s="3">
        <v>896.54</v>
      </c>
      <c r="J3639" s="3">
        <v>0</v>
      </c>
      <c r="L3639">
        <v>4534</v>
      </c>
      <c r="M3639" t="s">
        <v>3385</v>
      </c>
      <c r="N3639" t="s">
        <v>30</v>
      </c>
      <c r="O3639" t="s">
        <v>31</v>
      </c>
      <c r="P3639" t="str">
        <f>"15201"</f>
        <v>15201</v>
      </c>
    </row>
    <row r="3640" spans="1:16" x14ac:dyDescent="0.25">
      <c r="A3640" t="str">
        <f>"1100081C00067    00"</f>
        <v>1100081C00067    00</v>
      </c>
      <c r="B3640" t="s">
        <v>8760</v>
      </c>
      <c r="C3640" t="s">
        <v>8761</v>
      </c>
      <c r="D3640" t="s">
        <v>20</v>
      </c>
      <c r="E3640" t="s">
        <v>39</v>
      </c>
      <c r="F3640">
        <v>0</v>
      </c>
      <c r="G3640">
        <v>0</v>
      </c>
      <c r="H3640">
        <v>1</v>
      </c>
      <c r="I3640" s="3">
        <v>524.79999999999995</v>
      </c>
      <c r="J3640" s="3">
        <v>0</v>
      </c>
      <c r="L3640">
        <v>422</v>
      </c>
      <c r="M3640" t="s">
        <v>8762</v>
      </c>
      <c r="N3640" t="s">
        <v>295</v>
      </c>
      <c r="O3640" t="s">
        <v>31</v>
      </c>
      <c r="P3640" t="str">
        <f>"15146"</f>
        <v>15146</v>
      </c>
    </row>
    <row r="3641" spans="1:16" x14ac:dyDescent="0.25">
      <c r="A3641" t="str">
        <f>"1100081C00082    00"</f>
        <v>1100081C00082    00</v>
      </c>
      <c r="B3641" t="s">
        <v>8763</v>
      </c>
      <c r="C3641" t="s">
        <v>8764</v>
      </c>
      <c r="D3641" t="s">
        <v>20</v>
      </c>
      <c r="E3641" t="s">
        <v>39</v>
      </c>
      <c r="F3641">
        <v>0</v>
      </c>
      <c r="G3641">
        <v>0</v>
      </c>
      <c r="H3641">
        <v>2</v>
      </c>
      <c r="I3641" s="3">
        <v>876.76</v>
      </c>
      <c r="J3641" s="3">
        <v>0</v>
      </c>
      <c r="L3641">
        <v>1707</v>
      </c>
      <c r="M3641" t="s">
        <v>8765</v>
      </c>
      <c r="N3641" t="s">
        <v>2534</v>
      </c>
      <c r="O3641" t="s">
        <v>1184</v>
      </c>
      <c r="P3641" t="str">
        <f>"21230"</f>
        <v>21230</v>
      </c>
    </row>
    <row r="3642" spans="1:16" x14ac:dyDescent="0.25">
      <c r="A3642" t="str">
        <f>"1100081C00109    00"</f>
        <v>1100081C00109    00</v>
      </c>
      <c r="B3642" t="s">
        <v>8766</v>
      </c>
      <c r="C3642" t="s">
        <v>8767</v>
      </c>
      <c r="D3642" t="s">
        <v>20</v>
      </c>
      <c r="E3642" t="s">
        <v>39</v>
      </c>
      <c r="F3642">
        <v>0</v>
      </c>
      <c r="G3642">
        <v>0</v>
      </c>
      <c r="H3642">
        <v>4</v>
      </c>
      <c r="I3642" s="3">
        <v>5093.07</v>
      </c>
      <c r="J3642" s="3">
        <v>1181.53</v>
      </c>
      <c r="L3642">
        <v>4507</v>
      </c>
      <c r="M3642" t="s">
        <v>8768</v>
      </c>
      <c r="N3642" t="s">
        <v>30</v>
      </c>
      <c r="O3642" t="s">
        <v>31</v>
      </c>
      <c r="P3642" t="str">
        <f>"15201"</f>
        <v>15201</v>
      </c>
    </row>
    <row r="3643" spans="1:16" x14ac:dyDescent="0.25">
      <c r="A3643" t="str">
        <f>"1100081C00132    00"</f>
        <v>1100081C00132    00</v>
      </c>
      <c r="B3643" t="s">
        <v>8769</v>
      </c>
      <c r="C3643" t="s">
        <v>8770</v>
      </c>
      <c r="D3643" t="s">
        <v>20</v>
      </c>
      <c r="E3643" t="s">
        <v>39</v>
      </c>
      <c r="F3643">
        <v>0</v>
      </c>
      <c r="G3643">
        <v>0</v>
      </c>
      <c r="H3643">
        <v>1</v>
      </c>
      <c r="I3643" s="3">
        <v>1057.8399999999999</v>
      </c>
      <c r="J3643" s="3">
        <v>0</v>
      </c>
      <c r="L3643">
        <v>1442</v>
      </c>
      <c r="M3643" t="s">
        <v>7644</v>
      </c>
      <c r="N3643" t="s">
        <v>30</v>
      </c>
      <c r="O3643" t="s">
        <v>31</v>
      </c>
      <c r="P3643" t="str">
        <f>"15243"</f>
        <v>15243</v>
      </c>
    </row>
    <row r="3644" spans="1:16" x14ac:dyDescent="0.25">
      <c r="A3644" t="str">
        <f>"1100081C00138    00"</f>
        <v>1100081C00138    00</v>
      </c>
      <c r="B3644" t="s">
        <v>8771</v>
      </c>
      <c r="C3644" t="s">
        <v>8772</v>
      </c>
      <c r="D3644" t="s">
        <v>20</v>
      </c>
      <c r="E3644" t="s">
        <v>39</v>
      </c>
      <c r="F3644">
        <v>0</v>
      </c>
      <c r="G3644">
        <v>0</v>
      </c>
      <c r="H3644">
        <v>6</v>
      </c>
      <c r="I3644" s="3">
        <v>2611.0300000000002</v>
      </c>
      <c r="J3644" s="3">
        <v>628.53</v>
      </c>
      <c r="L3644">
        <v>4444</v>
      </c>
      <c r="M3644" t="s">
        <v>8768</v>
      </c>
      <c r="N3644" t="s">
        <v>30</v>
      </c>
      <c r="O3644" t="s">
        <v>31</v>
      </c>
      <c r="P3644" t="str">
        <f>"15201"</f>
        <v>15201</v>
      </c>
    </row>
    <row r="3645" spans="1:16" x14ac:dyDescent="0.25">
      <c r="A3645" t="str">
        <f>"1100081C00147    00"</f>
        <v>1100081C00147    00</v>
      </c>
      <c r="B3645" t="s">
        <v>8773</v>
      </c>
      <c r="C3645" t="s">
        <v>8774</v>
      </c>
      <c r="D3645" t="s">
        <v>20</v>
      </c>
      <c r="E3645" t="s">
        <v>39</v>
      </c>
      <c r="F3645">
        <v>0</v>
      </c>
      <c r="G3645">
        <v>0</v>
      </c>
      <c r="H3645">
        <v>2</v>
      </c>
      <c r="I3645" s="3">
        <v>2243.5500000000002</v>
      </c>
      <c r="J3645" s="3">
        <v>0</v>
      </c>
      <c r="K3645" t="s">
        <v>5396</v>
      </c>
      <c r="L3645">
        <v>3001</v>
      </c>
      <c r="M3645" t="s">
        <v>330</v>
      </c>
      <c r="N3645" t="s">
        <v>331</v>
      </c>
      <c r="O3645" t="s">
        <v>108</v>
      </c>
      <c r="P3645" t="str">
        <f>"75063"</f>
        <v>75063</v>
      </c>
    </row>
    <row r="3646" spans="1:16" x14ac:dyDescent="0.25">
      <c r="A3646" t="str">
        <f>"1100081C00149    00"</f>
        <v>1100081C00149    00</v>
      </c>
      <c r="B3646" t="s">
        <v>8775</v>
      </c>
      <c r="C3646" t="s">
        <v>8776</v>
      </c>
      <c r="D3646" t="s">
        <v>20</v>
      </c>
      <c r="E3646" t="s">
        <v>39</v>
      </c>
      <c r="F3646">
        <v>0</v>
      </c>
      <c r="G3646">
        <v>0</v>
      </c>
      <c r="H3646">
        <v>2</v>
      </c>
      <c r="I3646" s="3">
        <v>2402.4699999999998</v>
      </c>
      <c r="J3646" s="3">
        <v>218.89</v>
      </c>
      <c r="K3646" t="s">
        <v>8777</v>
      </c>
      <c r="L3646">
        <v>12121</v>
      </c>
      <c r="M3646" t="s">
        <v>8778</v>
      </c>
      <c r="N3646" t="s">
        <v>30</v>
      </c>
      <c r="O3646" t="s">
        <v>31</v>
      </c>
      <c r="P3646" t="str">
        <f>"15235"</f>
        <v>15235</v>
      </c>
    </row>
    <row r="3647" spans="1:16" x14ac:dyDescent="0.25">
      <c r="A3647" t="str">
        <f>"1100081C00177    00"</f>
        <v>1100081C00177    00</v>
      </c>
      <c r="B3647" t="s">
        <v>8779</v>
      </c>
      <c r="C3647" t="s">
        <v>8780</v>
      </c>
      <c r="E3647" t="s">
        <v>39</v>
      </c>
      <c r="F3647">
        <v>0</v>
      </c>
      <c r="G3647">
        <v>0</v>
      </c>
      <c r="H3647">
        <v>1</v>
      </c>
      <c r="I3647" s="3">
        <v>483.68</v>
      </c>
      <c r="J3647" s="3">
        <v>108.81</v>
      </c>
      <c r="K3647" t="s">
        <v>4781</v>
      </c>
      <c r="L3647">
        <v>111</v>
      </c>
      <c r="M3647" t="s">
        <v>4782</v>
      </c>
      <c r="N3647" t="s">
        <v>4783</v>
      </c>
      <c r="O3647" t="s">
        <v>4784</v>
      </c>
      <c r="P3647" t="str">
        <f>"63146"</f>
        <v>63146</v>
      </c>
    </row>
    <row r="3648" spans="1:16" x14ac:dyDescent="0.25">
      <c r="A3648" t="str">
        <f>"1100081C00208    00"</f>
        <v>1100081C00208    00</v>
      </c>
      <c r="B3648" t="s">
        <v>8781</v>
      </c>
      <c r="C3648" t="s">
        <v>8782</v>
      </c>
      <c r="D3648" t="s">
        <v>20</v>
      </c>
      <c r="E3648" t="s">
        <v>39</v>
      </c>
      <c r="F3648">
        <v>0</v>
      </c>
      <c r="G3648">
        <v>0</v>
      </c>
      <c r="H3648">
        <v>1</v>
      </c>
      <c r="I3648" s="3">
        <v>152.97999999999999</v>
      </c>
      <c r="J3648" s="3">
        <v>0</v>
      </c>
      <c r="K3648" t="s">
        <v>8783</v>
      </c>
      <c r="L3648">
        <v>1162</v>
      </c>
      <c r="M3648" t="s">
        <v>1315</v>
      </c>
      <c r="N3648" t="s">
        <v>30</v>
      </c>
      <c r="O3648" t="s">
        <v>31</v>
      </c>
      <c r="P3648" t="str">
        <f>"15206"</f>
        <v>15206</v>
      </c>
    </row>
    <row r="3649" spans="1:16" x14ac:dyDescent="0.25">
      <c r="A3649" t="str">
        <f>"1100081C00209    00"</f>
        <v>1100081C00209    00</v>
      </c>
      <c r="B3649" t="s">
        <v>8781</v>
      </c>
      <c r="C3649" t="s">
        <v>8784</v>
      </c>
      <c r="D3649" t="s">
        <v>20</v>
      </c>
      <c r="E3649" t="s">
        <v>39</v>
      </c>
      <c r="F3649">
        <v>0</v>
      </c>
      <c r="G3649">
        <v>0</v>
      </c>
      <c r="H3649">
        <v>1</v>
      </c>
      <c r="I3649" s="3">
        <v>829.12</v>
      </c>
      <c r="J3649" s="3">
        <v>0</v>
      </c>
      <c r="K3649" t="s">
        <v>8783</v>
      </c>
      <c r="L3649">
        <v>1162</v>
      </c>
      <c r="M3649" t="s">
        <v>1315</v>
      </c>
      <c r="N3649" t="s">
        <v>30</v>
      </c>
      <c r="O3649" t="s">
        <v>31</v>
      </c>
      <c r="P3649" t="str">
        <f>"15206"</f>
        <v>15206</v>
      </c>
    </row>
    <row r="3650" spans="1:16" x14ac:dyDescent="0.25">
      <c r="A3650" t="str">
        <f>"1100081C00214    00"</f>
        <v>1100081C00214    00</v>
      </c>
      <c r="B3650" t="s">
        <v>8785</v>
      </c>
      <c r="C3650" t="s">
        <v>8764</v>
      </c>
      <c r="D3650" t="s">
        <v>20</v>
      </c>
      <c r="E3650" t="s">
        <v>39</v>
      </c>
      <c r="F3650">
        <v>0</v>
      </c>
      <c r="G3650">
        <v>0</v>
      </c>
      <c r="H3650">
        <v>1</v>
      </c>
      <c r="I3650" s="3">
        <v>101.03</v>
      </c>
      <c r="J3650" s="3">
        <v>0</v>
      </c>
      <c r="K3650" t="s">
        <v>8786</v>
      </c>
      <c r="L3650">
        <v>4602</v>
      </c>
      <c r="M3650" t="s">
        <v>8768</v>
      </c>
      <c r="N3650" t="s">
        <v>30</v>
      </c>
      <c r="O3650" t="s">
        <v>31</v>
      </c>
      <c r="P3650" t="str">
        <f>"15201"</f>
        <v>15201</v>
      </c>
    </row>
    <row r="3651" spans="1:16" x14ac:dyDescent="0.25">
      <c r="A3651" t="str">
        <f>"1100081C00215    00"</f>
        <v>1100081C00215    00</v>
      </c>
      <c r="B3651" t="s">
        <v>8743</v>
      </c>
      <c r="C3651" t="s">
        <v>8787</v>
      </c>
      <c r="D3651" t="s">
        <v>20</v>
      </c>
      <c r="E3651" t="s">
        <v>39</v>
      </c>
      <c r="F3651">
        <v>0</v>
      </c>
      <c r="G3651">
        <v>0</v>
      </c>
      <c r="H3651">
        <v>1</v>
      </c>
      <c r="I3651" s="3">
        <v>750.99</v>
      </c>
      <c r="J3651" s="3">
        <v>0</v>
      </c>
      <c r="L3651">
        <v>712</v>
      </c>
      <c r="M3651" t="s">
        <v>7082</v>
      </c>
      <c r="N3651" t="s">
        <v>30</v>
      </c>
      <c r="O3651" t="s">
        <v>31</v>
      </c>
      <c r="P3651" t="str">
        <f>"15226"</f>
        <v>15226</v>
      </c>
    </row>
    <row r="3652" spans="1:16" x14ac:dyDescent="0.25">
      <c r="A3652" t="str">
        <f>"1100081C00260    00"</f>
        <v>1100081C00260    00</v>
      </c>
      <c r="B3652" t="s">
        <v>8788</v>
      </c>
      <c r="C3652" t="s">
        <v>8789</v>
      </c>
      <c r="D3652" t="s">
        <v>20</v>
      </c>
      <c r="E3652" t="s">
        <v>39</v>
      </c>
      <c r="F3652">
        <v>0</v>
      </c>
      <c r="G3652">
        <v>0</v>
      </c>
      <c r="H3652">
        <v>1</v>
      </c>
      <c r="I3652" s="3">
        <v>37.53</v>
      </c>
      <c r="J3652" s="3">
        <v>0</v>
      </c>
      <c r="K3652" t="s">
        <v>8790</v>
      </c>
      <c r="L3652">
        <v>1172</v>
      </c>
      <c r="M3652" t="s">
        <v>8791</v>
      </c>
      <c r="N3652" t="s">
        <v>30</v>
      </c>
      <c r="O3652" t="s">
        <v>31</v>
      </c>
      <c r="P3652" t="str">
        <f>"15201"</f>
        <v>15201</v>
      </c>
    </row>
    <row r="3653" spans="1:16" x14ac:dyDescent="0.25">
      <c r="A3653" t="str">
        <f>"1100081C00274    00"</f>
        <v>1100081C00274    00</v>
      </c>
      <c r="B3653" t="s">
        <v>8792</v>
      </c>
      <c r="C3653" t="s">
        <v>8793</v>
      </c>
      <c r="D3653" t="s">
        <v>20</v>
      </c>
      <c r="E3653" t="s">
        <v>39</v>
      </c>
      <c r="F3653">
        <v>0</v>
      </c>
      <c r="G3653">
        <v>0</v>
      </c>
      <c r="H3653">
        <v>2</v>
      </c>
      <c r="I3653" s="3">
        <v>2446.58</v>
      </c>
      <c r="J3653" s="3">
        <v>0</v>
      </c>
      <c r="K3653" t="s">
        <v>8794</v>
      </c>
      <c r="L3653">
        <v>1167</v>
      </c>
      <c r="M3653" t="s">
        <v>8795</v>
      </c>
      <c r="N3653" t="s">
        <v>30</v>
      </c>
      <c r="O3653" t="s">
        <v>31</v>
      </c>
      <c r="P3653" t="str">
        <f>"15201"</f>
        <v>15201</v>
      </c>
    </row>
    <row r="3654" spans="1:16" x14ac:dyDescent="0.25">
      <c r="A3654" t="str">
        <f>"1100081D00008    00"</f>
        <v>1100081D00008    00</v>
      </c>
      <c r="B3654" t="s">
        <v>8796</v>
      </c>
      <c r="C3654" t="s">
        <v>8797</v>
      </c>
      <c r="D3654" t="s">
        <v>20</v>
      </c>
      <c r="E3654" t="s">
        <v>39</v>
      </c>
      <c r="F3654">
        <v>0</v>
      </c>
      <c r="G3654">
        <v>0</v>
      </c>
      <c r="H3654">
        <v>1</v>
      </c>
      <c r="I3654" s="3">
        <v>1667.76</v>
      </c>
      <c r="J3654" s="3">
        <v>0</v>
      </c>
      <c r="L3654">
        <v>526</v>
      </c>
      <c r="M3654" t="s">
        <v>8798</v>
      </c>
      <c r="N3654" t="s">
        <v>295</v>
      </c>
      <c r="O3654" t="s">
        <v>31</v>
      </c>
      <c r="P3654" t="str">
        <f>"15146"</f>
        <v>15146</v>
      </c>
    </row>
    <row r="3655" spans="1:16" x14ac:dyDescent="0.25">
      <c r="A3655" t="str">
        <f>"1100081D00039    00"</f>
        <v>1100081D00039    00</v>
      </c>
      <c r="B3655" t="s">
        <v>8799</v>
      </c>
      <c r="C3655" t="s">
        <v>8800</v>
      </c>
      <c r="D3655" t="s">
        <v>20</v>
      </c>
      <c r="E3655" t="s">
        <v>39</v>
      </c>
      <c r="F3655">
        <v>0</v>
      </c>
      <c r="G3655">
        <v>0</v>
      </c>
      <c r="H3655">
        <v>1</v>
      </c>
      <c r="I3655" s="3">
        <v>1481.44</v>
      </c>
      <c r="J3655" s="3">
        <v>0</v>
      </c>
      <c r="L3655">
        <v>4820</v>
      </c>
      <c r="M3655" t="s">
        <v>8768</v>
      </c>
      <c r="N3655" t="s">
        <v>30</v>
      </c>
      <c r="O3655" t="s">
        <v>31</v>
      </c>
      <c r="P3655" t="str">
        <f>"15201"</f>
        <v>15201</v>
      </c>
    </row>
    <row r="3656" spans="1:16" x14ac:dyDescent="0.25">
      <c r="A3656" t="str">
        <f>"1100081D00058    00"</f>
        <v>1100081D00058    00</v>
      </c>
      <c r="B3656" t="s">
        <v>8801</v>
      </c>
      <c r="C3656" t="s">
        <v>8802</v>
      </c>
      <c r="D3656" t="s">
        <v>20</v>
      </c>
      <c r="E3656" t="s">
        <v>39</v>
      </c>
      <c r="F3656">
        <v>0</v>
      </c>
      <c r="G3656">
        <v>0</v>
      </c>
      <c r="H3656">
        <v>1</v>
      </c>
      <c r="I3656" s="3">
        <v>1314.84</v>
      </c>
      <c r="J3656" s="3">
        <v>0</v>
      </c>
      <c r="L3656">
        <v>4819</v>
      </c>
      <c r="M3656" t="s">
        <v>8768</v>
      </c>
      <c r="N3656" t="s">
        <v>30</v>
      </c>
      <c r="O3656" t="s">
        <v>31</v>
      </c>
      <c r="P3656" t="str">
        <f>"15201"</f>
        <v>15201</v>
      </c>
    </row>
    <row r="3657" spans="1:16" x14ac:dyDescent="0.25">
      <c r="A3657" t="str">
        <f>"1100081D00069    00"</f>
        <v>1100081D00069    00</v>
      </c>
      <c r="B3657" t="s">
        <v>8803</v>
      </c>
      <c r="C3657" t="s">
        <v>8804</v>
      </c>
      <c r="E3657" t="s">
        <v>39</v>
      </c>
      <c r="F3657">
        <v>0</v>
      </c>
      <c r="G3657">
        <v>0</v>
      </c>
      <c r="H3657">
        <v>2</v>
      </c>
      <c r="I3657" s="3">
        <v>1789.48</v>
      </c>
      <c r="J3657" s="3">
        <v>362.85</v>
      </c>
      <c r="K3657" t="s">
        <v>8805</v>
      </c>
      <c r="L3657">
        <v>4745</v>
      </c>
      <c r="M3657" t="s">
        <v>8768</v>
      </c>
      <c r="N3657" t="s">
        <v>30</v>
      </c>
      <c r="O3657" t="s">
        <v>31</v>
      </c>
      <c r="P3657" t="str">
        <f>"15201"</f>
        <v>15201</v>
      </c>
    </row>
    <row r="3658" spans="1:16" x14ac:dyDescent="0.25">
      <c r="A3658" t="str">
        <f>"1100081D00104    00"</f>
        <v>1100081D00104    00</v>
      </c>
      <c r="B3658" t="s">
        <v>8806</v>
      </c>
      <c r="C3658" t="s">
        <v>8807</v>
      </c>
      <c r="D3658" t="s">
        <v>20</v>
      </c>
      <c r="E3658" t="s">
        <v>39</v>
      </c>
      <c r="F3658">
        <v>0</v>
      </c>
      <c r="G3658">
        <v>0</v>
      </c>
      <c r="H3658">
        <v>1</v>
      </c>
      <c r="I3658" s="3">
        <v>1963.65</v>
      </c>
      <c r="J3658" s="3">
        <v>0</v>
      </c>
      <c r="L3658">
        <v>4734</v>
      </c>
      <c r="M3658" t="s">
        <v>3385</v>
      </c>
      <c r="N3658" t="s">
        <v>30</v>
      </c>
      <c r="O3658" t="s">
        <v>31</v>
      </c>
      <c r="P3658" t="str">
        <f>"15201"</f>
        <v>15201</v>
      </c>
    </row>
    <row r="3659" spans="1:16" x14ac:dyDescent="0.25">
      <c r="A3659" t="str">
        <f>"1100081D00172    00"</f>
        <v>1100081D00172    00</v>
      </c>
      <c r="B3659" t="s">
        <v>8808</v>
      </c>
      <c r="C3659" t="s">
        <v>8809</v>
      </c>
      <c r="D3659" t="s">
        <v>20</v>
      </c>
      <c r="E3659" t="s">
        <v>39</v>
      </c>
      <c r="F3659">
        <v>0</v>
      </c>
      <c r="G3659">
        <v>0</v>
      </c>
      <c r="H3659">
        <v>3</v>
      </c>
      <c r="I3659" s="3">
        <v>5082.0200000000004</v>
      </c>
      <c r="J3659" s="3">
        <v>350.62</v>
      </c>
      <c r="K3659" t="s">
        <v>8810</v>
      </c>
      <c r="L3659">
        <v>122</v>
      </c>
      <c r="M3659" t="s">
        <v>8811</v>
      </c>
      <c r="N3659" t="s">
        <v>1928</v>
      </c>
      <c r="O3659" t="s">
        <v>31</v>
      </c>
      <c r="P3659" t="str">
        <f>"15317"</f>
        <v>15317</v>
      </c>
    </row>
    <row r="3660" spans="1:16" x14ac:dyDescent="0.25">
      <c r="A3660" t="str">
        <f>"1100081D00202    00"</f>
        <v>1100081D00202    00</v>
      </c>
      <c r="B3660" t="s">
        <v>8812</v>
      </c>
      <c r="C3660" t="s">
        <v>8813</v>
      </c>
      <c r="D3660" t="s">
        <v>20</v>
      </c>
      <c r="E3660" t="s">
        <v>39</v>
      </c>
      <c r="F3660">
        <v>0</v>
      </c>
      <c r="G3660">
        <v>0</v>
      </c>
      <c r="H3660">
        <v>2</v>
      </c>
      <c r="I3660" s="3">
        <v>1411.44</v>
      </c>
      <c r="J3660" s="3">
        <v>0</v>
      </c>
      <c r="K3660" t="s">
        <v>8814</v>
      </c>
      <c r="L3660">
        <v>126</v>
      </c>
      <c r="M3660" t="s">
        <v>8815</v>
      </c>
      <c r="N3660" t="s">
        <v>30</v>
      </c>
      <c r="O3660" t="s">
        <v>31</v>
      </c>
      <c r="P3660" t="str">
        <f>"15201"</f>
        <v>15201</v>
      </c>
    </row>
    <row r="3661" spans="1:16" x14ac:dyDescent="0.25">
      <c r="A3661" t="str">
        <f>"1100081E00011    00"</f>
        <v>1100081E00011    00</v>
      </c>
      <c r="B3661" t="s">
        <v>8816</v>
      </c>
      <c r="C3661" t="s">
        <v>8817</v>
      </c>
      <c r="D3661" t="s">
        <v>20</v>
      </c>
      <c r="E3661" t="s">
        <v>39</v>
      </c>
      <c r="F3661">
        <v>0</v>
      </c>
      <c r="G3661">
        <v>0</v>
      </c>
      <c r="H3661">
        <v>1</v>
      </c>
      <c r="I3661" s="3">
        <v>370.24</v>
      </c>
      <c r="J3661" s="3">
        <v>0</v>
      </c>
      <c r="L3661">
        <v>5266</v>
      </c>
      <c r="M3661" t="s">
        <v>8818</v>
      </c>
      <c r="N3661" t="s">
        <v>30</v>
      </c>
      <c r="O3661" t="s">
        <v>31</v>
      </c>
      <c r="P3661" t="str">
        <f>"15201"</f>
        <v>15201</v>
      </c>
    </row>
    <row r="3662" spans="1:16" x14ac:dyDescent="0.25">
      <c r="A3662" t="str">
        <f>"1100081E00017    00"</f>
        <v>1100081E00017    00</v>
      </c>
      <c r="B3662" t="s">
        <v>8819</v>
      </c>
      <c r="C3662" t="s">
        <v>8820</v>
      </c>
      <c r="E3662" t="s">
        <v>39</v>
      </c>
      <c r="F3662">
        <v>0</v>
      </c>
      <c r="G3662">
        <v>0</v>
      </c>
      <c r="H3662">
        <v>1</v>
      </c>
      <c r="I3662" s="3">
        <v>461.99</v>
      </c>
      <c r="J3662" s="3">
        <v>184.78</v>
      </c>
      <c r="L3662">
        <v>1200</v>
      </c>
      <c r="M3662" t="s">
        <v>585</v>
      </c>
      <c r="N3662" t="s">
        <v>30</v>
      </c>
      <c r="O3662" t="s">
        <v>31</v>
      </c>
      <c r="P3662" t="str">
        <f>"15222"</f>
        <v>15222</v>
      </c>
    </row>
    <row r="3663" spans="1:16" x14ac:dyDescent="0.25">
      <c r="A3663" t="str">
        <f>"1100081E00048    00"</f>
        <v>1100081E00048    00</v>
      </c>
      <c r="B3663" t="s">
        <v>8821</v>
      </c>
      <c r="C3663" t="s">
        <v>8822</v>
      </c>
      <c r="D3663" t="s">
        <v>33</v>
      </c>
      <c r="E3663" t="s">
        <v>39</v>
      </c>
      <c r="F3663">
        <v>0</v>
      </c>
      <c r="G3663">
        <v>0</v>
      </c>
      <c r="H3663">
        <v>1</v>
      </c>
      <c r="I3663" s="3">
        <v>467.45</v>
      </c>
      <c r="J3663" s="3">
        <v>0</v>
      </c>
      <c r="K3663" t="s">
        <v>8823</v>
      </c>
      <c r="L3663">
        <v>3401</v>
      </c>
      <c r="M3663" t="s">
        <v>8824</v>
      </c>
      <c r="N3663" t="s">
        <v>8825</v>
      </c>
      <c r="O3663" t="s">
        <v>31</v>
      </c>
      <c r="P3663" t="str">
        <f>"17011"</f>
        <v>17011</v>
      </c>
    </row>
    <row r="3664" spans="1:16" x14ac:dyDescent="0.25">
      <c r="A3664" t="str">
        <f>"1100081E00052    00"</f>
        <v>1100081E00052    00</v>
      </c>
      <c r="B3664" t="s">
        <v>8826</v>
      </c>
      <c r="C3664" t="s">
        <v>8827</v>
      </c>
      <c r="D3664" t="s">
        <v>20</v>
      </c>
      <c r="E3664" t="s">
        <v>39</v>
      </c>
      <c r="F3664">
        <v>0</v>
      </c>
      <c r="G3664">
        <v>0</v>
      </c>
      <c r="H3664">
        <v>2</v>
      </c>
      <c r="I3664" s="3">
        <v>4715.46</v>
      </c>
      <c r="J3664" s="3">
        <v>0</v>
      </c>
      <c r="K3664" t="s">
        <v>710</v>
      </c>
      <c r="L3664">
        <v>4140</v>
      </c>
      <c r="M3664" t="s">
        <v>711</v>
      </c>
      <c r="N3664" t="s">
        <v>712</v>
      </c>
      <c r="O3664" t="s">
        <v>31</v>
      </c>
      <c r="P3664" t="str">
        <f>"16148"</f>
        <v>16148</v>
      </c>
    </row>
    <row r="3665" spans="1:16" x14ac:dyDescent="0.25">
      <c r="A3665" t="str">
        <f>"1100081E00060    00"</f>
        <v>1100081E00060    00</v>
      </c>
      <c r="B3665" t="s">
        <v>8828</v>
      </c>
      <c r="C3665" t="s">
        <v>8829</v>
      </c>
      <c r="D3665" t="s">
        <v>20</v>
      </c>
      <c r="E3665" t="s">
        <v>39</v>
      </c>
      <c r="F3665">
        <v>0</v>
      </c>
      <c r="G3665">
        <v>0</v>
      </c>
      <c r="H3665">
        <v>4</v>
      </c>
      <c r="I3665" s="3">
        <v>1947.53</v>
      </c>
      <c r="J3665" s="3">
        <v>203.59</v>
      </c>
      <c r="L3665">
        <v>276</v>
      </c>
      <c r="M3665" t="s">
        <v>8830</v>
      </c>
      <c r="N3665" t="s">
        <v>8831</v>
      </c>
      <c r="O3665" t="s">
        <v>31</v>
      </c>
      <c r="P3665" t="str">
        <f>"15618"</f>
        <v>15618</v>
      </c>
    </row>
    <row r="3666" spans="1:16" x14ac:dyDescent="0.25">
      <c r="A3666" t="str">
        <f>"1100081E00078    00"</f>
        <v>1100081E00078    00</v>
      </c>
      <c r="B3666" t="s">
        <v>8832</v>
      </c>
      <c r="C3666" t="s">
        <v>8833</v>
      </c>
      <c r="D3666" t="s">
        <v>20</v>
      </c>
      <c r="E3666" t="s">
        <v>39</v>
      </c>
      <c r="F3666">
        <v>0</v>
      </c>
      <c r="G3666">
        <v>0</v>
      </c>
      <c r="H3666">
        <v>2</v>
      </c>
      <c r="I3666" s="3">
        <v>1372.32</v>
      </c>
      <c r="J3666" s="3">
        <v>0</v>
      </c>
      <c r="K3666" t="s">
        <v>8834</v>
      </c>
      <c r="L3666">
        <v>740</v>
      </c>
      <c r="M3666" t="s">
        <v>3600</v>
      </c>
      <c r="N3666" t="s">
        <v>30</v>
      </c>
      <c r="O3666" t="s">
        <v>31</v>
      </c>
      <c r="P3666" t="str">
        <f>"15221"</f>
        <v>15221</v>
      </c>
    </row>
    <row r="3667" spans="1:16" x14ac:dyDescent="0.25">
      <c r="A3667" t="str">
        <f>"1100081E00104    00"</f>
        <v>1100081E00104    00</v>
      </c>
      <c r="B3667" t="s">
        <v>8835</v>
      </c>
      <c r="C3667" t="s">
        <v>8836</v>
      </c>
      <c r="D3667" t="s">
        <v>20</v>
      </c>
      <c r="E3667" t="s">
        <v>39</v>
      </c>
      <c r="F3667">
        <v>0</v>
      </c>
      <c r="G3667">
        <v>0</v>
      </c>
      <c r="H3667">
        <v>1</v>
      </c>
      <c r="I3667" s="3">
        <v>688.55</v>
      </c>
      <c r="J3667" s="3">
        <v>0</v>
      </c>
      <c r="L3667">
        <v>5307</v>
      </c>
      <c r="M3667" t="s">
        <v>8639</v>
      </c>
      <c r="N3667" t="s">
        <v>30</v>
      </c>
      <c r="O3667" t="s">
        <v>31</v>
      </c>
      <c r="P3667" t="str">
        <f>"15201"</f>
        <v>15201</v>
      </c>
    </row>
    <row r="3668" spans="1:16" x14ac:dyDescent="0.25">
      <c r="A3668" t="str">
        <f>"1100081E00113    00"</f>
        <v>1100081E00113    00</v>
      </c>
      <c r="B3668" t="s">
        <v>8837</v>
      </c>
      <c r="C3668" t="s">
        <v>8838</v>
      </c>
      <c r="D3668" t="s">
        <v>20</v>
      </c>
      <c r="E3668" t="s">
        <v>39</v>
      </c>
      <c r="F3668">
        <v>0</v>
      </c>
      <c r="G3668">
        <v>0</v>
      </c>
      <c r="H3668">
        <v>2</v>
      </c>
      <c r="I3668" s="3">
        <v>518.44000000000005</v>
      </c>
      <c r="J3668" s="3">
        <v>0</v>
      </c>
      <c r="K3668" t="s">
        <v>3637</v>
      </c>
      <c r="L3668">
        <v>901</v>
      </c>
      <c r="M3668" t="s">
        <v>1503</v>
      </c>
      <c r="N3668" t="s">
        <v>494</v>
      </c>
      <c r="O3668" t="s">
        <v>495</v>
      </c>
      <c r="P3668" t="str">
        <f>"91768"</f>
        <v>91768</v>
      </c>
    </row>
    <row r="3669" spans="1:16" x14ac:dyDescent="0.25">
      <c r="A3669" t="str">
        <f>"1100081E00120    00"</f>
        <v>1100081E00120    00</v>
      </c>
      <c r="B3669" t="s">
        <v>8839</v>
      </c>
      <c r="C3669" t="s">
        <v>8840</v>
      </c>
      <c r="D3669" t="s">
        <v>20</v>
      </c>
      <c r="E3669" t="s">
        <v>39</v>
      </c>
      <c r="F3669">
        <v>0</v>
      </c>
      <c r="G3669">
        <v>0</v>
      </c>
      <c r="H3669">
        <v>9</v>
      </c>
      <c r="I3669" s="3">
        <v>4840.84</v>
      </c>
      <c r="J3669" s="3">
        <v>71.430000000000007</v>
      </c>
      <c r="K3669" t="s">
        <v>8841</v>
      </c>
      <c r="L3669">
        <v>1400</v>
      </c>
      <c r="M3669" t="s">
        <v>8842</v>
      </c>
      <c r="N3669" t="s">
        <v>8843</v>
      </c>
      <c r="O3669" t="s">
        <v>1005</v>
      </c>
      <c r="P3669" t="str">
        <f>"85282"</f>
        <v>85282</v>
      </c>
    </row>
    <row r="3670" spans="1:16" x14ac:dyDescent="0.25">
      <c r="A3670" t="str">
        <f>"1100081E00130    00"</f>
        <v>1100081E00130    00</v>
      </c>
      <c r="B3670" t="s">
        <v>8844</v>
      </c>
      <c r="C3670" t="s">
        <v>8845</v>
      </c>
      <c r="D3670" t="s">
        <v>20</v>
      </c>
      <c r="E3670" t="s">
        <v>39</v>
      </c>
      <c r="F3670">
        <v>0</v>
      </c>
      <c r="G3670">
        <v>0</v>
      </c>
      <c r="H3670">
        <v>5</v>
      </c>
      <c r="I3670" s="3">
        <v>7952.61</v>
      </c>
      <c r="J3670" s="3">
        <v>3517.52</v>
      </c>
      <c r="K3670" t="s">
        <v>8846</v>
      </c>
      <c r="L3670">
        <v>5320</v>
      </c>
      <c r="M3670" t="s">
        <v>8639</v>
      </c>
      <c r="N3670" t="s">
        <v>30</v>
      </c>
      <c r="O3670" t="s">
        <v>31</v>
      </c>
      <c r="P3670" t="str">
        <f>"15201"</f>
        <v>15201</v>
      </c>
    </row>
    <row r="3671" spans="1:16" x14ac:dyDescent="0.25">
      <c r="A3671" t="str">
        <f>"1100081E00146    00"</f>
        <v>1100081E00146    00</v>
      </c>
      <c r="B3671" t="s">
        <v>8847</v>
      </c>
      <c r="C3671" t="s">
        <v>8848</v>
      </c>
      <c r="D3671" t="s">
        <v>20</v>
      </c>
      <c r="E3671" t="s">
        <v>39</v>
      </c>
      <c r="F3671">
        <v>0</v>
      </c>
      <c r="G3671">
        <v>0</v>
      </c>
      <c r="H3671">
        <v>2</v>
      </c>
      <c r="I3671" s="3">
        <v>1697.83</v>
      </c>
      <c r="J3671" s="3">
        <v>13.02</v>
      </c>
      <c r="K3671" t="s">
        <v>8849</v>
      </c>
      <c r="M3671" t="s">
        <v>8850</v>
      </c>
      <c r="N3671" t="s">
        <v>212</v>
      </c>
      <c r="O3671" t="s">
        <v>25</v>
      </c>
      <c r="P3671" t="str">
        <f>"44181"</f>
        <v>44181</v>
      </c>
    </row>
    <row r="3672" spans="1:16" x14ac:dyDescent="0.25">
      <c r="A3672" t="str">
        <f>"1100081E00206    00"</f>
        <v>1100081E00206    00</v>
      </c>
      <c r="B3672" t="s">
        <v>8851</v>
      </c>
      <c r="C3672" t="s">
        <v>8852</v>
      </c>
      <c r="D3672" t="s">
        <v>57</v>
      </c>
      <c r="E3672" t="s">
        <v>39</v>
      </c>
      <c r="F3672">
        <v>0</v>
      </c>
      <c r="G3672">
        <v>0</v>
      </c>
      <c r="H3672">
        <v>2</v>
      </c>
      <c r="I3672" s="3">
        <v>6323.69</v>
      </c>
      <c r="J3672" s="3">
        <v>1998.66</v>
      </c>
      <c r="K3672" t="s">
        <v>557</v>
      </c>
      <c r="L3672">
        <v>3001</v>
      </c>
      <c r="M3672" t="s">
        <v>330</v>
      </c>
      <c r="N3672" t="s">
        <v>331</v>
      </c>
      <c r="O3672" t="s">
        <v>108</v>
      </c>
      <c r="P3672" t="str">
        <f>"75063"</f>
        <v>75063</v>
      </c>
    </row>
    <row r="3673" spans="1:16" x14ac:dyDescent="0.25">
      <c r="A3673" t="str">
        <f>"1100081F00086    00"</f>
        <v>1100081F00086    00</v>
      </c>
      <c r="B3673" t="s">
        <v>8853</v>
      </c>
      <c r="C3673" t="s">
        <v>8854</v>
      </c>
      <c r="D3673" t="s">
        <v>20</v>
      </c>
      <c r="E3673" t="s">
        <v>39</v>
      </c>
      <c r="F3673">
        <v>0</v>
      </c>
      <c r="G3673">
        <v>0</v>
      </c>
      <c r="H3673">
        <v>5</v>
      </c>
      <c r="I3673" s="3">
        <v>2882.49</v>
      </c>
      <c r="J3673" s="3">
        <v>938.43</v>
      </c>
      <c r="L3673">
        <v>948</v>
      </c>
      <c r="M3673" t="s">
        <v>3112</v>
      </c>
      <c r="N3673" t="s">
        <v>30</v>
      </c>
      <c r="O3673" t="s">
        <v>31</v>
      </c>
      <c r="P3673" t="str">
        <f>"15201"</f>
        <v>15201</v>
      </c>
    </row>
    <row r="3674" spans="1:16" x14ac:dyDescent="0.25">
      <c r="A3674" t="str">
        <f>"1100081F00087    00"</f>
        <v>1100081F00087    00</v>
      </c>
      <c r="B3674" t="s">
        <v>8855</v>
      </c>
      <c r="C3674" t="s">
        <v>8856</v>
      </c>
      <c r="D3674" t="s">
        <v>20</v>
      </c>
      <c r="E3674" t="s">
        <v>39</v>
      </c>
      <c r="F3674">
        <v>0</v>
      </c>
      <c r="G3674">
        <v>0</v>
      </c>
      <c r="H3674">
        <v>4</v>
      </c>
      <c r="I3674" s="3">
        <v>1679.46</v>
      </c>
      <c r="J3674" s="3">
        <v>143.97999999999999</v>
      </c>
      <c r="L3674">
        <v>946</v>
      </c>
      <c r="M3674" t="s">
        <v>3112</v>
      </c>
      <c r="N3674" t="s">
        <v>30</v>
      </c>
      <c r="O3674" t="s">
        <v>31</v>
      </c>
      <c r="P3674" t="str">
        <f>"15201"</f>
        <v>15201</v>
      </c>
    </row>
    <row r="3675" spans="1:16" x14ac:dyDescent="0.25">
      <c r="A3675" t="str">
        <f>"1100081F00091    00"</f>
        <v>1100081F00091    00</v>
      </c>
      <c r="B3675" t="s">
        <v>8857</v>
      </c>
      <c r="C3675" t="s">
        <v>8858</v>
      </c>
      <c r="D3675" t="s">
        <v>20</v>
      </c>
      <c r="E3675" t="s">
        <v>39</v>
      </c>
      <c r="F3675">
        <v>0</v>
      </c>
      <c r="G3675">
        <v>0</v>
      </c>
      <c r="H3675">
        <v>8</v>
      </c>
      <c r="I3675" s="3">
        <v>3534.86</v>
      </c>
      <c r="J3675" s="3">
        <v>1505.91</v>
      </c>
      <c r="L3675">
        <v>936</v>
      </c>
      <c r="M3675" t="s">
        <v>3112</v>
      </c>
      <c r="N3675" t="s">
        <v>30</v>
      </c>
      <c r="O3675" t="s">
        <v>31</v>
      </c>
      <c r="P3675" t="str">
        <f>"15201"</f>
        <v>15201</v>
      </c>
    </row>
    <row r="3676" spans="1:16" x14ac:dyDescent="0.25">
      <c r="A3676" t="str">
        <f>"1100081F00093    00"</f>
        <v>1100081F00093    00</v>
      </c>
      <c r="B3676" t="s">
        <v>8859</v>
      </c>
      <c r="C3676" t="s">
        <v>8860</v>
      </c>
      <c r="D3676" t="s">
        <v>20</v>
      </c>
      <c r="E3676" t="s">
        <v>39</v>
      </c>
      <c r="F3676">
        <v>0</v>
      </c>
      <c r="G3676">
        <v>0</v>
      </c>
      <c r="H3676">
        <v>1</v>
      </c>
      <c r="I3676" s="3">
        <v>501.74</v>
      </c>
      <c r="J3676" s="3">
        <v>0</v>
      </c>
      <c r="K3676" t="s">
        <v>8861</v>
      </c>
      <c r="L3676">
        <v>930</v>
      </c>
      <c r="M3676" t="s">
        <v>3112</v>
      </c>
      <c r="N3676" t="s">
        <v>30</v>
      </c>
      <c r="O3676" t="s">
        <v>31</v>
      </c>
      <c r="P3676" t="str">
        <f>"15201"</f>
        <v>15201</v>
      </c>
    </row>
    <row r="3677" spans="1:16" x14ac:dyDescent="0.25">
      <c r="A3677" t="str">
        <f>"1100081F00095    00"</f>
        <v>1100081F00095    00</v>
      </c>
      <c r="B3677" t="s">
        <v>8862</v>
      </c>
      <c r="C3677" t="s">
        <v>8863</v>
      </c>
      <c r="D3677" t="s">
        <v>20</v>
      </c>
      <c r="E3677" t="s">
        <v>39</v>
      </c>
      <c r="F3677">
        <v>0</v>
      </c>
      <c r="G3677">
        <v>0</v>
      </c>
      <c r="H3677">
        <v>5</v>
      </c>
      <c r="I3677" s="3">
        <v>3425.58</v>
      </c>
      <c r="J3677" s="3">
        <v>425.94</v>
      </c>
      <c r="L3677">
        <v>8875</v>
      </c>
      <c r="M3677" t="s">
        <v>8864</v>
      </c>
      <c r="N3677" t="s">
        <v>30</v>
      </c>
      <c r="O3677" t="s">
        <v>31</v>
      </c>
      <c r="P3677" t="str">
        <f>"15235"</f>
        <v>15235</v>
      </c>
    </row>
    <row r="3678" spans="1:16" x14ac:dyDescent="0.25">
      <c r="A3678" t="str">
        <f>"1100081F00130    00"</f>
        <v>1100081F00130    00</v>
      </c>
      <c r="B3678" t="s">
        <v>8865</v>
      </c>
      <c r="C3678" t="s">
        <v>8866</v>
      </c>
      <c r="D3678" t="s">
        <v>20</v>
      </c>
      <c r="E3678" t="s">
        <v>39</v>
      </c>
      <c r="F3678">
        <v>0</v>
      </c>
      <c r="G3678">
        <v>0</v>
      </c>
      <c r="H3678">
        <v>3</v>
      </c>
      <c r="I3678" s="3">
        <v>3144.96</v>
      </c>
      <c r="J3678" s="3">
        <v>209.66</v>
      </c>
      <c r="L3678">
        <v>937</v>
      </c>
      <c r="M3678" t="s">
        <v>3112</v>
      </c>
      <c r="N3678" t="s">
        <v>30</v>
      </c>
      <c r="O3678" t="s">
        <v>31</v>
      </c>
      <c r="P3678" t="str">
        <f>"15201"</f>
        <v>15201</v>
      </c>
    </row>
    <row r="3679" spans="1:16" x14ac:dyDescent="0.25">
      <c r="A3679" t="str">
        <f>"1100081F00136    00"</f>
        <v>1100081F00136    00</v>
      </c>
      <c r="B3679" t="s">
        <v>8867</v>
      </c>
      <c r="C3679" t="s">
        <v>8868</v>
      </c>
      <c r="D3679" t="s">
        <v>20</v>
      </c>
      <c r="E3679" t="s">
        <v>39</v>
      </c>
      <c r="F3679">
        <v>0</v>
      </c>
      <c r="G3679">
        <v>0</v>
      </c>
      <c r="H3679">
        <v>1</v>
      </c>
      <c r="I3679" s="3">
        <v>987.33</v>
      </c>
      <c r="J3679" s="3">
        <v>0</v>
      </c>
      <c r="K3679" t="s">
        <v>445</v>
      </c>
      <c r="L3679">
        <v>1</v>
      </c>
      <c r="M3679" t="s">
        <v>1163</v>
      </c>
      <c r="N3679" t="s">
        <v>1164</v>
      </c>
      <c r="O3679" t="s">
        <v>108</v>
      </c>
      <c r="P3679" t="str">
        <f>"76262"</f>
        <v>76262</v>
      </c>
    </row>
    <row r="3680" spans="1:16" x14ac:dyDescent="0.25">
      <c r="A3680" t="str">
        <f>"1100081F00141    00"</f>
        <v>1100081F00141    00</v>
      </c>
      <c r="B3680" t="s">
        <v>8869</v>
      </c>
      <c r="C3680" t="s">
        <v>8870</v>
      </c>
      <c r="E3680" t="s">
        <v>39</v>
      </c>
      <c r="F3680">
        <v>0</v>
      </c>
      <c r="G3680">
        <v>0</v>
      </c>
      <c r="H3680">
        <v>13</v>
      </c>
      <c r="I3680" s="3">
        <v>14772.7</v>
      </c>
      <c r="J3680" s="3">
        <v>18594.39</v>
      </c>
      <c r="K3680" t="s">
        <v>3621</v>
      </c>
      <c r="L3680">
        <v>3001</v>
      </c>
      <c r="M3680" t="s">
        <v>330</v>
      </c>
      <c r="N3680" t="s">
        <v>331</v>
      </c>
      <c r="O3680" t="s">
        <v>108</v>
      </c>
      <c r="P3680" t="str">
        <f>"75063"</f>
        <v>75063</v>
      </c>
    </row>
    <row r="3681" spans="1:16" x14ac:dyDescent="0.25">
      <c r="A3681" t="str">
        <f>"1100081F00162    00"</f>
        <v>1100081F00162    00</v>
      </c>
      <c r="B3681" t="s">
        <v>8871</v>
      </c>
      <c r="C3681" t="s">
        <v>8764</v>
      </c>
      <c r="D3681" t="s">
        <v>20</v>
      </c>
      <c r="E3681" t="s">
        <v>39</v>
      </c>
      <c r="F3681">
        <v>0</v>
      </c>
      <c r="G3681">
        <v>0</v>
      </c>
      <c r="H3681">
        <v>17</v>
      </c>
      <c r="I3681" s="3">
        <v>5308.58</v>
      </c>
      <c r="J3681" s="3">
        <v>2999.35</v>
      </c>
      <c r="L3681">
        <v>5127</v>
      </c>
      <c r="M3681" t="s">
        <v>3738</v>
      </c>
      <c r="N3681" t="s">
        <v>30</v>
      </c>
      <c r="O3681" t="s">
        <v>31</v>
      </c>
      <c r="P3681" t="str">
        <f>"15201"</f>
        <v>15201</v>
      </c>
    </row>
    <row r="3682" spans="1:16" x14ac:dyDescent="0.25">
      <c r="A3682" t="str">
        <f>"1100081F00166    00"</f>
        <v>1100081F00166    00</v>
      </c>
      <c r="B3682" t="s">
        <v>8872</v>
      </c>
      <c r="C3682" t="s">
        <v>8873</v>
      </c>
      <c r="D3682" t="s">
        <v>20</v>
      </c>
      <c r="E3682" t="s">
        <v>39</v>
      </c>
      <c r="F3682">
        <v>0</v>
      </c>
      <c r="G3682">
        <v>0</v>
      </c>
      <c r="H3682">
        <v>7</v>
      </c>
      <c r="I3682" s="3">
        <v>10904.85</v>
      </c>
      <c r="J3682" s="3">
        <v>752.54</v>
      </c>
      <c r="L3682">
        <v>8602</v>
      </c>
      <c r="M3682" t="s">
        <v>8874</v>
      </c>
      <c r="N3682" t="s">
        <v>30</v>
      </c>
      <c r="O3682" t="s">
        <v>31</v>
      </c>
      <c r="P3682" t="str">
        <f>"15235"</f>
        <v>15235</v>
      </c>
    </row>
    <row r="3683" spans="1:16" x14ac:dyDescent="0.25">
      <c r="A3683" t="str">
        <f>"1100081F00170    00"</f>
        <v>1100081F00170    00</v>
      </c>
      <c r="B3683" t="s">
        <v>8875</v>
      </c>
      <c r="C3683" t="s">
        <v>8876</v>
      </c>
      <c r="D3683" t="s">
        <v>20</v>
      </c>
      <c r="E3683" t="s">
        <v>39</v>
      </c>
      <c r="F3683">
        <v>0</v>
      </c>
      <c r="G3683">
        <v>0</v>
      </c>
      <c r="H3683">
        <v>4</v>
      </c>
      <c r="I3683" s="3">
        <v>5671.84</v>
      </c>
      <c r="J3683" s="3">
        <v>451.86</v>
      </c>
      <c r="K3683" t="s">
        <v>4984</v>
      </c>
      <c r="L3683">
        <v>901</v>
      </c>
      <c r="M3683" t="s">
        <v>1503</v>
      </c>
      <c r="N3683" t="s">
        <v>494</v>
      </c>
      <c r="O3683" t="s">
        <v>495</v>
      </c>
      <c r="P3683" t="str">
        <f>"91768"</f>
        <v>91768</v>
      </c>
    </row>
    <row r="3684" spans="1:16" x14ac:dyDescent="0.25">
      <c r="A3684" t="str">
        <f>"1100081F00175    00"</f>
        <v>1100081F00175    00</v>
      </c>
      <c r="B3684" t="s">
        <v>8877</v>
      </c>
      <c r="C3684" t="s">
        <v>8878</v>
      </c>
      <c r="E3684" t="s">
        <v>39</v>
      </c>
      <c r="F3684">
        <v>0</v>
      </c>
      <c r="G3684">
        <v>0</v>
      </c>
      <c r="H3684">
        <v>1</v>
      </c>
      <c r="I3684" s="3">
        <v>517.63</v>
      </c>
      <c r="J3684" s="3">
        <v>99.22</v>
      </c>
      <c r="K3684" t="s">
        <v>8879</v>
      </c>
      <c r="L3684">
        <v>17</v>
      </c>
      <c r="M3684" t="s">
        <v>8880</v>
      </c>
      <c r="N3684" t="s">
        <v>30</v>
      </c>
      <c r="O3684" t="s">
        <v>31</v>
      </c>
      <c r="P3684" t="str">
        <f>"15236"</f>
        <v>15236</v>
      </c>
    </row>
    <row r="3685" spans="1:16" x14ac:dyDescent="0.25">
      <c r="A3685" t="str">
        <f>"1100081F00184    00"</f>
        <v>1100081F00184    00</v>
      </c>
      <c r="B3685" t="s">
        <v>8881</v>
      </c>
      <c r="C3685" t="s">
        <v>8882</v>
      </c>
      <c r="D3685" t="s">
        <v>20</v>
      </c>
      <c r="E3685" t="s">
        <v>39</v>
      </c>
      <c r="F3685">
        <v>0</v>
      </c>
      <c r="G3685">
        <v>0</v>
      </c>
      <c r="H3685">
        <v>3</v>
      </c>
      <c r="I3685" s="3">
        <v>2420.3200000000002</v>
      </c>
      <c r="J3685" s="3">
        <v>102.85</v>
      </c>
      <c r="K3685" t="s">
        <v>8883</v>
      </c>
      <c r="L3685">
        <v>4368</v>
      </c>
      <c r="M3685" t="s">
        <v>8768</v>
      </c>
      <c r="N3685" t="s">
        <v>30</v>
      </c>
      <c r="O3685" t="s">
        <v>31</v>
      </c>
      <c r="P3685" t="str">
        <f>"15201"</f>
        <v>15201</v>
      </c>
    </row>
    <row r="3686" spans="1:16" x14ac:dyDescent="0.25">
      <c r="A3686" t="str">
        <f>"1100081F00188    00"</f>
        <v>1100081F00188    00</v>
      </c>
      <c r="B3686" t="s">
        <v>8884</v>
      </c>
      <c r="C3686" t="s">
        <v>8885</v>
      </c>
      <c r="D3686" t="s">
        <v>20</v>
      </c>
      <c r="E3686" t="s">
        <v>39</v>
      </c>
      <c r="F3686">
        <v>0</v>
      </c>
      <c r="G3686">
        <v>0</v>
      </c>
      <c r="H3686">
        <v>3</v>
      </c>
      <c r="I3686" s="3">
        <v>1742.6</v>
      </c>
      <c r="J3686" s="3">
        <v>352.8</v>
      </c>
      <c r="L3686">
        <v>4356</v>
      </c>
      <c r="M3686" t="s">
        <v>8768</v>
      </c>
      <c r="N3686" t="s">
        <v>30</v>
      </c>
      <c r="O3686" t="s">
        <v>31</v>
      </c>
      <c r="P3686" t="str">
        <f>"15201"</f>
        <v>15201</v>
      </c>
    </row>
    <row r="3687" spans="1:16" x14ac:dyDescent="0.25">
      <c r="A3687" t="str">
        <f>"1100081F00191    00"</f>
        <v>1100081F00191    00</v>
      </c>
      <c r="B3687" t="s">
        <v>8886</v>
      </c>
      <c r="C3687" t="s">
        <v>8887</v>
      </c>
      <c r="D3687" t="s">
        <v>20</v>
      </c>
      <c r="E3687" t="s">
        <v>39</v>
      </c>
      <c r="F3687">
        <v>0</v>
      </c>
      <c r="G3687">
        <v>0</v>
      </c>
      <c r="H3687">
        <v>2</v>
      </c>
      <c r="I3687" s="3">
        <v>1841.22</v>
      </c>
      <c r="J3687" s="3">
        <v>0</v>
      </c>
      <c r="K3687" t="s">
        <v>8888</v>
      </c>
      <c r="L3687">
        <v>325</v>
      </c>
      <c r="M3687" t="s">
        <v>8889</v>
      </c>
      <c r="N3687" t="s">
        <v>30</v>
      </c>
      <c r="O3687" t="s">
        <v>31</v>
      </c>
      <c r="P3687" t="str">
        <f>"15235"</f>
        <v>15235</v>
      </c>
    </row>
    <row r="3688" spans="1:16" x14ac:dyDescent="0.25">
      <c r="A3688" t="str">
        <f>"1100081F00220    00"</f>
        <v>1100081F00220    00</v>
      </c>
      <c r="B3688" t="s">
        <v>8890</v>
      </c>
      <c r="C3688" t="s">
        <v>8891</v>
      </c>
      <c r="D3688" t="s">
        <v>20</v>
      </c>
      <c r="E3688" t="s">
        <v>39</v>
      </c>
      <c r="F3688">
        <v>0</v>
      </c>
      <c r="G3688">
        <v>0</v>
      </c>
      <c r="H3688">
        <v>2</v>
      </c>
      <c r="I3688" s="3">
        <v>3770.08</v>
      </c>
      <c r="J3688" s="3">
        <v>0</v>
      </c>
      <c r="L3688">
        <v>325</v>
      </c>
      <c r="M3688" t="s">
        <v>8889</v>
      </c>
      <c r="N3688" t="s">
        <v>30</v>
      </c>
      <c r="O3688" t="s">
        <v>31</v>
      </c>
      <c r="P3688" t="str">
        <f>"15235"</f>
        <v>15235</v>
      </c>
    </row>
    <row r="3689" spans="1:16" x14ac:dyDescent="0.25">
      <c r="A3689" t="str">
        <f>"1100081F00230    00"</f>
        <v>1100081F00230    00</v>
      </c>
      <c r="B3689" t="s">
        <v>8892</v>
      </c>
      <c r="C3689" t="s">
        <v>8893</v>
      </c>
      <c r="D3689" t="s">
        <v>20</v>
      </c>
      <c r="E3689" t="s">
        <v>39</v>
      </c>
      <c r="F3689">
        <v>0</v>
      </c>
      <c r="G3689">
        <v>0</v>
      </c>
      <c r="H3689">
        <v>3</v>
      </c>
      <c r="I3689" s="3">
        <v>5775.18</v>
      </c>
      <c r="J3689" s="3">
        <v>385</v>
      </c>
      <c r="K3689" t="s">
        <v>8894</v>
      </c>
      <c r="M3689" t="s">
        <v>8895</v>
      </c>
      <c r="N3689" t="s">
        <v>285</v>
      </c>
      <c r="O3689" t="s">
        <v>31</v>
      </c>
      <c r="P3689" t="str">
        <f>"15120"</f>
        <v>15120</v>
      </c>
    </row>
    <row r="3690" spans="1:16" x14ac:dyDescent="0.25">
      <c r="A3690" t="str">
        <f>"1100081F00235    00"</f>
        <v>1100081F00235    00</v>
      </c>
      <c r="B3690" t="s">
        <v>8896</v>
      </c>
      <c r="C3690" t="s">
        <v>8897</v>
      </c>
      <c r="E3690" t="s">
        <v>39</v>
      </c>
      <c r="F3690">
        <v>0</v>
      </c>
      <c r="G3690">
        <v>0</v>
      </c>
      <c r="H3690">
        <v>1</v>
      </c>
      <c r="I3690" s="3">
        <v>291.62</v>
      </c>
      <c r="J3690" s="3">
        <v>0</v>
      </c>
      <c r="L3690">
        <v>1010</v>
      </c>
      <c r="M3690" t="s">
        <v>3112</v>
      </c>
      <c r="N3690" t="s">
        <v>30</v>
      </c>
      <c r="O3690" t="s">
        <v>31</v>
      </c>
      <c r="P3690" t="str">
        <f>"15201"</f>
        <v>15201</v>
      </c>
    </row>
    <row r="3691" spans="1:16" x14ac:dyDescent="0.25">
      <c r="A3691" t="str">
        <f>"1100081F00252    00"</f>
        <v>1100081F00252    00</v>
      </c>
      <c r="B3691" t="s">
        <v>8898</v>
      </c>
      <c r="C3691" t="s">
        <v>8899</v>
      </c>
      <c r="D3691" t="s">
        <v>20</v>
      </c>
      <c r="E3691" t="s">
        <v>39</v>
      </c>
      <c r="F3691">
        <v>0</v>
      </c>
      <c r="G3691">
        <v>0</v>
      </c>
      <c r="H3691">
        <v>1</v>
      </c>
      <c r="I3691" s="3">
        <v>856.75</v>
      </c>
      <c r="J3691" s="3">
        <v>0</v>
      </c>
      <c r="L3691">
        <v>4280</v>
      </c>
      <c r="M3691" t="s">
        <v>8768</v>
      </c>
      <c r="N3691" t="s">
        <v>30</v>
      </c>
      <c r="O3691" t="s">
        <v>31</v>
      </c>
      <c r="P3691" t="str">
        <f>"15201"</f>
        <v>15201</v>
      </c>
    </row>
    <row r="3692" spans="1:16" x14ac:dyDescent="0.25">
      <c r="A3692" t="str">
        <f>"1100081G00018    00"</f>
        <v>1100081G00018    00</v>
      </c>
      <c r="B3692" t="s">
        <v>8900</v>
      </c>
      <c r="C3692" t="s">
        <v>8901</v>
      </c>
      <c r="D3692" t="s">
        <v>20</v>
      </c>
      <c r="E3692" t="s">
        <v>39</v>
      </c>
      <c r="F3692">
        <v>0</v>
      </c>
      <c r="G3692">
        <v>0</v>
      </c>
      <c r="H3692">
        <v>1</v>
      </c>
      <c r="I3692" s="3">
        <v>963.96</v>
      </c>
      <c r="J3692" s="3">
        <v>0</v>
      </c>
      <c r="L3692">
        <v>1118</v>
      </c>
      <c r="M3692" t="s">
        <v>8795</v>
      </c>
      <c r="N3692" t="s">
        <v>30</v>
      </c>
      <c r="O3692" t="s">
        <v>31</v>
      </c>
      <c r="P3692" t="str">
        <f>"15201"</f>
        <v>15201</v>
      </c>
    </row>
    <row r="3693" spans="1:16" x14ac:dyDescent="0.25">
      <c r="A3693" t="str">
        <f>"1100081G00024    00"</f>
        <v>1100081G00024    00</v>
      </c>
      <c r="B3693" t="s">
        <v>8902</v>
      </c>
      <c r="C3693" t="s">
        <v>8903</v>
      </c>
      <c r="E3693" t="s">
        <v>39</v>
      </c>
      <c r="F3693">
        <v>0</v>
      </c>
      <c r="G3693">
        <v>0</v>
      </c>
      <c r="H3693">
        <v>4</v>
      </c>
      <c r="I3693" s="3">
        <v>3442.26</v>
      </c>
      <c r="J3693" s="3">
        <v>1702.58</v>
      </c>
      <c r="L3693">
        <v>1136</v>
      </c>
      <c r="M3693" t="s">
        <v>8795</v>
      </c>
      <c r="N3693" t="s">
        <v>30</v>
      </c>
      <c r="O3693" t="s">
        <v>31</v>
      </c>
      <c r="P3693" t="str">
        <f>"15201"</f>
        <v>15201</v>
      </c>
    </row>
    <row r="3694" spans="1:16" x14ac:dyDescent="0.25">
      <c r="A3694" t="str">
        <f>"1100081G00051    00"</f>
        <v>1100081G00051    00</v>
      </c>
      <c r="B3694" t="s">
        <v>8904</v>
      </c>
      <c r="C3694" t="s">
        <v>8905</v>
      </c>
      <c r="E3694" t="s">
        <v>39</v>
      </c>
      <c r="F3694">
        <v>0</v>
      </c>
      <c r="G3694">
        <v>0</v>
      </c>
      <c r="H3694">
        <v>1</v>
      </c>
      <c r="I3694" s="3">
        <v>475.97</v>
      </c>
      <c r="J3694" s="3">
        <v>0</v>
      </c>
      <c r="K3694" t="s">
        <v>8906</v>
      </c>
      <c r="L3694">
        <v>1156</v>
      </c>
      <c r="M3694" t="s">
        <v>8907</v>
      </c>
      <c r="N3694" t="s">
        <v>30</v>
      </c>
      <c r="O3694" t="s">
        <v>31</v>
      </c>
      <c r="P3694" t="str">
        <f>"15201"</f>
        <v>15201</v>
      </c>
    </row>
    <row r="3695" spans="1:16" x14ac:dyDescent="0.25">
      <c r="A3695" t="str">
        <f>"1100081G00062    00"</f>
        <v>1100081G00062    00</v>
      </c>
      <c r="B3695" t="s">
        <v>8908</v>
      </c>
      <c r="C3695" t="s">
        <v>8909</v>
      </c>
      <c r="D3695" t="s">
        <v>20</v>
      </c>
      <c r="E3695" t="s">
        <v>39</v>
      </c>
      <c r="F3695">
        <v>0</v>
      </c>
      <c r="G3695">
        <v>0</v>
      </c>
      <c r="H3695">
        <v>1</v>
      </c>
      <c r="I3695" s="3">
        <v>178.28</v>
      </c>
      <c r="J3695" s="3">
        <v>0</v>
      </c>
      <c r="K3695" t="s">
        <v>8910</v>
      </c>
      <c r="L3695">
        <v>1506</v>
      </c>
      <c r="M3695" t="s">
        <v>8911</v>
      </c>
      <c r="N3695" t="s">
        <v>8912</v>
      </c>
      <c r="O3695" t="s">
        <v>495</v>
      </c>
      <c r="P3695" t="str">
        <f>"92102"</f>
        <v>92102</v>
      </c>
    </row>
    <row r="3696" spans="1:16" x14ac:dyDescent="0.25">
      <c r="A3696" t="str">
        <f>"1100081G00084    00"</f>
        <v>1100081G00084    00</v>
      </c>
      <c r="B3696" t="s">
        <v>8913</v>
      </c>
      <c r="C3696" t="s">
        <v>8914</v>
      </c>
      <c r="D3696" t="s">
        <v>20</v>
      </c>
      <c r="E3696" t="s">
        <v>39</v>
      </c>
      <c r="F3696">
        <v>0</v>
      </c>
      <c r="G3696">
        <v>0</v>
      </c>
      <c r="H3696">
        <v>1</v>
      </c>
      <c r="I3696" s="3">
        <v>485.45</v>
      </c>
      <c r="J3696" s="3">
        <v>0</v>
      </c>
      <c r="L3696">
        <v>706</v>
      </c>
      <c r="M3696" t="s">
        <v>8915</v>
      </c>
      <c r="N3696" t="s">
        <v>8916</v>
      </c>
      <c r="O3696" t="s">
        <v>606</v>
      </c>
      <c r="P3696" t="str">
        <f>"31047"</f>
        <v>31047</v>
      </c>
    </row>
    <row r="3697" spans="1:16" x14ac:dyDescent="0.25">
      <c r="A3697" t="str">
        <f>"1100081G00088    00"</f>
        <v>1100081G00088    00</v>
      </c>
      <c r="B3697" t="s">
        <v>8917</v>
      </c>
      <c r="C3697" t="s">
        <v>8918</v>
      </c>
      <c r="D3697" t="s">
        <v>20</v>
      </c>
      <c r="E3697" t="s">
        <v>39</v>
      </c>
      <c r="F3697">
        <v>0</v>
      </c>
      <c r="G3697">
        <v>0</v>
      </c>
      <c r="H3697">
        <v>1</v>
      </c>
      <c r="I3697" s="3">
        <v>807.06</v>
      </c>
      <c r="J3697" s="3">
        <v>0</v>
      </c>
      <c r="K3697" t="s">
        <v>8919</v>
      </c>
      <c r="L3697">
        <v>5433</v>
      </c>
      <c r="M3697" t="s">
        <v>8920</v>
      </c>
      <c r="N3697" t="s">
        <v>30</v>
      </c>
      <c r="O3697" t="s">
        <v>31</v>
      </c>
      <c r="P3697" t="str">
        <f>"15201"</f>
        <v>15201</v>
      </c>
    </row>
    <row r="3698" spans="1:16" x14ac:dyDescent="0.25">
      <c r="A3698" t="str">
        <f>"1100081G00096    00"</f>
        <v>1100081G00096    00</v>
      </c>
      <c r="B3698" t="s">
        <v>8921</v>
      </c>
      <c r="C3698" t="s">
        <v>8922</v>
      </c>
      <c r="D3698" t="s">
        <v>20</v>
      </c>
      <c r="E3698" t="s">
        <v>39</v>
      </c>
      <c r="F3698">
        <v>0</v>
      </c>
      <c r="G3698">
        <v>0</v>
      </c>
      <c r="H3698">
        <v>11</v>
      </c>
      <c r="I3698" s="3">
        <v>15314.7</v>
      </c>
      <c r="J3698" s="3">
        <v>7368.46</v>
      </c>
      <c r="L3698">
        <v>982</v>
      </c>
      <c r="M3698" t="s">
        <v>8923</v>
      </c>
      <c r="N3698" t="s">
        <v>30</v>
      </c>
      <c r="O3698" t="s">
        <v>31</v>
      </c>
      <c r="P3698" t="str">
        <f>"15201"</f>
        <v>15201</v>
      </c>
    </row>
    <row r="3699" spans="1:16" x14ac:dyDescent="0.25">
      <c r="A3699" t="str">
        <f>"1100081G00127    00"</f>
        <v>1100081G00127    00</v>
      </c>
      <c r="B3699" t="s">
        <v>8924</v>
      </c>
      <c r="C3699" t="s">
        <v>8925</v>
      </c>
      <c r="E3699" t="s">
        <v>39</v>
      </c>
      <c r="F3699">
        <v>0</v>
      </c>
      <c r="G3699">
        <v>0</v>
      </c>
      <c r="H3699">
        <v>8</v>
      </c>
      <c r="I3699" s="3">
        <v>10344.4</v>
      </c>
      <c r="J3699" s="3">
        <v>9383.07</v>
      </c>
      <c r="K3699" t="s">
        <v>1135</v>
      </c>
      <c r="L3699">
        <v>3001</v>
      </c>
      <c r="M3699" t="s">
        <v>330</v>
      </c>
      <c r="N3699" t="s">
        <v>331</v>
      </c>
      <c r="O3699" t="s">
        <v>108</v>
      </c>
      <c r="P3699" t="str">
        <f>"75063"</f>
        <v>75063</v>
      </c>
    </row>
    <row r="3700" spans="1:16" x14ac:dyDescent="0.25">
      <c r="A3700" t="str">
        <f>"1100081G00133    00"</f>
        <v>1100081G00133    00</v>
      </c>
      <c r="B3700" t="s">
        <v>8926</v>
      </c>
      <c r="C3700" t="s">
        <v>8927</v>
      </c>
      <c r="D3700" t="s">
        <v>20</v>
      </c>
      <c r="E3700" t="s">
        <v>39</v>
      </c>
      <c r="F3700">
        <v>0</v>
      </c>
      <c r="G3700">
        <v>0</v>
      </c>
      <c r="H3700">
        <v>7</v>
      </c>
      <c r="I3700" s="3">
        <v>3540.6</v>
      </c>
      <c r="J3700" s="3">
        <v>980.79</v>
      </c>
      <c r="L3700">
        <v>1048</v>
      </c>
      <c r="M3700" t="s">
        <v>8791</v>
      </c>
      <c r="N3700" t="s">
        <v>30</v>
      </c>
      <c r="O3700" t="s">
        <v>31</v>
      </c>
      <c r="P3700" t="str">
        <f>"15201"</f>
        <v>15201</v>
      </c>
    </row>
    <row r="3701" spans="1:16" x14ac:dyDescent="0.25">
      <c r="A3701" t="str">
        <f>"1100081G00210    00"</f>
        <v>1100081G00210    00</v>
      </c>
      <c r="B3701" t="s">
        <v>8928</v>
      </c>
      <c r="C3701" t="s">
        <v>8929</v>
      </c>
      <c r="D3701" t="s">
        <v>20</v>
      </c>
      <c r="E3701" t="s">
        <v>39</v>
      </c>
      <c r="F3701">
        <v>0</v>
      </c>
      <c r="G3701">
        <v>0</v>
      </c>
      <c r="H3701">
        <v>5</v>
      </c>
      <c r="I3701" s="3">
        <v>5516.3</v>
      </c>
      <c r="J3701" s="3">
        <v>983.03</v>
      </c>
      <c r="L3701">
        <v>3777</v>
      </c>
      <c r="M3701" t="s">
        <v>8930</v>
      </c>
      <c r="N3701" t="s">
        <v>605</v>
      </c>
      <c r="O3701" t="s">
        <v>606</v>
      </c>
      <c r="P3701" t="str">
        <f>"30319"</f>
        <v>30319</v>
      </c>
    </row>
    <row r="3702" spans="1:16" x14ac:dyDescent="0.25">
      <c r="A3702" t="str">
        <f>"1100081G00217    00"</f>
        <v>1100081G00217    00</v>
      </c>
      <c r="B3702" t="s">
        <v>8931</v>
      </c>
      <c r="C3702" t="s">
        <v>8932</v>
      </c>
      <c r="D3702" t="s">
        <v>20</v>
      </c>
      <c r="E3702" t="s">
        <v>39</v>
      </c>
      <c r="F3702">
        <v>0</v>
      </c>
      <c r="G3702">
        <v>0</v>
      </c>
      <c r="H3702">
        <v>1</v>
      </c>
      <c r="I3702" s="3">
        <v>185.13</v>
      </c>
      <c r="J3702" s="3">
        <v>0</v>
      </c>
      <c r="L3702">
        <v>1056</v>
      </c>
      <c r="M3702" t="s">
        <v>8795</v>
      </c>
      <c r="N3702" t="s">
        <v>30</v>
      </c>
      <c r="O3702" t="s">
        <v>31</v>
      </c>
      <c r="P3702" t="str">
        <f>"15201"</f>
        <v>15201</v>
      </c>
    </row>
    <row r="3703" spans="1:16" x14ac:dyDescent="0.25">
      <c r="A3703" t="str">
        <f>"1100081G00223    00"</f>
        <v>1100081G00223    00</v>
      </c>
      <c r="B3703" t="s">
        <v>8933</v>
      </c>
      <c r="C3703" t="s">
        <v>8934</v>
      </c>
      <c r="D3703" t="s">
        <v>20</v>
      </c>
      <c r="E3703" t="s">
        <v>39</v>
      </c>
      <c r="F3703">
        <v>0</v>
      </c>
      <c r="G3703">
        <v>0</v>
      </c>
      <c r="H3703">
        <v>4</v>
      </c>
      <c r="I3703" s="3">
        <v>5232.96</v>
      </c>
      <c r="J3703" s="3">
        <v>492.11</v>
      </c>
      <c r="L3703">
        <v>1044</v>
      </c>
      <c r="M3703" t="s">
        <v>8795</v>
      </c>
      <c r="N3703" t="s">
        <v>30</v>
      </c>
      <c r="O3703" t="s">
        <v>31</v>
      </c>
      <c r="P3703" t="str">
        <f>"15201"</f>
        <v>15201</v>
      </c>
    </row>
    <row r="3704" spans="1:16" x14ac:dyDescent="0.25">
      <c r="A3704" t="str">
        <f>"1100081G00228    00"</f>
        <v>1100081G00228    00</v>
      </c>
      <c r="B3704" t="s">
        <v>8935</v>
      </c>
      <c r="C3704" t="s">
        <v>8936</v>
      </c>
      <c r="D3704" t="s">
        <v>20</v>
      </c>
      <c r="E3704" t="s">
        <v>39</v>
      </c>
      <c r="F3704">
        <v>0</v>
      </c>
      <c r="G3704">
        <v>0</v>
      </c>
      <c r="H3704">
        <v>1</v>
      </c>
      <c r="I3704" s="3">
        <v>1308.78</v>
      </c>
      <c r="J3704" s="3">
        <v>0</v>
      </c>
      <c r="L3704">
        <v>1047</v>
      </c>
      <c r="M3704" t="s">
        <v>8795</v>
      </c>
      <c r="N3704" t="s">
        <v>30</v>
      </c>
      <c r="O3704" t="s">
        <v>31</v>
      </c>
      <c r="P3704" t="str">
        <f>"15201"</f>
        <v>15201</v>
      </c>
    </row>
    <row r="3705" spans="1:16" x14ac:dyDescent="0.25">
      <c r="A3705" t="str">
        <f>"1100081G00256    00"</f>
        <v>1100081G00256    00</v>
      </c>
      <c r="B3705" t="s">
        <v>8937</v>
      </c>
      <c r="C3705" t="s">
        <v>8938</v>
      </c>
      <c r="D3705" t="s">
        <v>20</v>
      </c>
      <c r="E3705" t="s">
        <v>39</v>
      </c>
      <c r="F3705">
        <v>0</v>
      </c>
      <c r="G3705">
        <v>0</v>
      </c>
      <c r="H3705">
        <v>1</v>
      </c>
      <c r="I3705" s="3">
        <v>1095.96</v>
      </c>
      <c r="J3705" s="3">
        <v>0</v>
      </c>
      <c r="K3705" t="s">
        <v>417</v>
      </c>
      <c r="L3705">
        <v>3001</v>
      </c>
      <c r="M3705" t="s">
        <v>330</v>
      </c>
      <c r="N3705" t="s">
        <v>331</v>
      </c>
      <c r="O3705" t="s">
        <v>108</v>
      </c>
      <c r="P3705" t="str">
        <f>"75063"</f>
        <v>75063</v>
      </c>
    </row>
    <row r="3706" spans="1:16" x14ac:dyDescent="0.25">
      <c r="A3706" t="str">
        <f>"1100081G00261    00"</f>
        <v>1100081G00261    00</v>
      </c>
      <c r="B3706" t="s">
        <v>8939</v>
      </c>
      <c r="C3706" t="s">
        <v>8940</v>
      </c>
      <c r="D3706" t="s">
        <v>20</v>
      </c>
      <c r="E3706" t="s">
        <v>39</v>
      </c>
      <c r="F3706">
        <v>0</v>
      </c>
      <c r="G3706">
        <v>0</v>
      </c>
      <c r="H3706">
        <v>4</v>
      </c>
      <c r="I3706" s="3">
        <v>2542.29</v>
      </c>
      <c r="J3706" s="3">
        <v>400.17</v>
      </c>
      <c r="L3706">
        <v>1120</v>
      </c>
      <c r="M3706" t="s">
        <v>3112</v>
      </c>
      <c r="N3706" t="s">
        <v>30</v>
      </c>
      <c r="O3706" t="s">
        <v>31</v>
      </c>
      <c r="P3706" t="str">
        <f t="shared" ref="P3706:P3714" si="44">"15201"</f>
        <v>15201</v>
      </c>
    </row>
    <row r="3707" spans="1:16" x14ac:dyDescent="0.25">
      <c r="A3707" t="str">
        <f>"1100081H00014    00"</f>
        <v>1100081H00014    00</v>
      </c>
      <c r="B3707" t="s">
        <v>8941</v>
      </c>
      <c r="C3707" t="s">
        <v>8942</v>
      </c>
      <c r="D3707" t="s">
        <v>20</v>
      </c>
      <c r="E3707" t="s">
        <v>39</v>
      </c>
      <c r="F3707">
        <v>0</v>
      </c>
      <c r="G3707">
        <v>0</v>
      </c>
      <c r="H3707">
        <v>1</v>
      </c>
      <c r="I3707" s="3">
        <v>702.99</v>
      </c>
      <c r="J3707" s="3">
        <v>0</v>
      </c>
      <c r="L3707">
        <v>5017</v>
      </c>
      <c r="M3707" t="s">
        <v>3588</v>
      </c>
      <c r="N3707" t="s">
        <v>30</v>
      </c>
      <c r="O3707" t="s">
        <v>31</v>
      </c>
      <c r="P3707" t="str">
        <f t="shared" si="44"/>
        <v>15201</v>
      </c>
    </row>
    <row r="3708" spans="1:16" x14ac:dyDescent="0.25">
      <c r="A3708" t="str">
        <f>"1100081H00026    00"</f>
        <v>1100081H00026    00</v>
      </c>
      <c r="B3708" t="s">
        <v>8943</v>
      </c>
      <c r="C3708" t="s">
        <v>8944</v>
      </c>
      <c r="E3708" t="s">
        <v>39</v>
      </c>
      <c r="F3708">
        <v>0</v>
      </c>
      <c r="G3708">
        <v>0</v>
      </c>
      <c r="H3708">
        <v>3</v>
      </c>
      <c r="I3708" s="3">
        <v>504.01</v>
      </c>
      <c r="J3708" s="3">
        <v>112.58</v>
      </c>
      <c r="L3708">
        <v>4921</v>
      </c>
      <c r="M3708" t="s">
        <v>8768</v>
      </c>
      <c r="N3708" t="s">
        <v>30</v>
      </c>
      <c r="O3708" t="s">
        <v>31</v>
      </c>
      <c r="P3708" t="str">
        <f t="shared" si="44"/>
        <v>15201</v>
      </c>
    </row>
    <row r="3709" spans="1:16" x14ac:dyDescent="0.25">
      <c r="A3709" t="str">
        <f>"1100081H00108    00"</f>
        <v>1100081H00108    00</v>
      </c>
      <c r="B3709" t="s">
        <v>8945</v>
      </c>
      <c r="C3709" t="s">
        <v>8946</v>
      </c>
      <c r="D3709" t="s">
        <v>20</v>
      </c>
      <c r="E3709" t="s">
        <v>39</v>
      </c>
      <c r="F3709">
        <v>0</v>
      </c>
      <c r="G3709">
        <v>0</v>
      </c>
      <c r="H3709">
        <v>2</v>
      </c>
      <c r="I3709" s="3">
        <v>2272.58</v>
      </c>
      <c r="J3709" s="3">
        <v>0</v>
      </c>
      <c r="L3709">
        <v>5009</v>
      </c>
      <c r="M3709" t="s">
        <v>8947</v>
      </c>
      <c r="N3709" t="s">
        <v>30</v>
      </c>
      <c r="O3709" t="s">
        <v>31</v>
      </c>
      <c r="P3709" t="str">
        <f t="shared" si="44"/>
        <v>15201</v>
      </c>
    </row>
    <row r="3710" spans="1:16" x14ac:dyDescent="0.25">
      <c r="A3710" t="str">
        <f>"1100081H00114    00"</f>
        <v>1100081H00114    00</v>
      </c>
      <c r="B3710" t="s">
        <v>8948</v>
      </c>
      <c r="C3710" t="s">
        <v>8949</v>
      </c>
      <c r="D3710" t="s">
        <v>20</v>
      </c>
      <c r="E3710" t="s">
        <v>39</v>
      </c>
      <c r="F3710">
        <v>0</v>
      </c>
      <c r="G3710">
        <v>0</v>
      </c>
      <c r="H3710">
        <v>2</v>
      </c>
      <c r="I3710" s="3">
        <v>2974.36</v>
      </c>
      <c r="J3710" s="3">
        <v>0</v>
      </c>
      <c r="L3710">
        <v>4928</v>
      </c>
      <c r="M3710" t="s">
        <v>3588</v>
      </c>
      <c r="N3710" t="s">
        <v>30</v>
      </c>
      <c r="O3710" t="s">
        <v>31</v>
      </c>
      <c r="P3710" t="str">
        <f t="shared" si="44"/>
        <v>15201</v>
      </c>
    </row>
    <row r="3711" spans="1:16" x14ac:dyDescent="0.25">
      <c r="A3711" t="str">
        <f>"1100081H00120    00"</f>
        <v>1100081H00120    00</v>
      </c>
      <c r="B3711" t="s">
        <v>8950</v>
      </c>
      <c r="C3711" t="s">
        <v>8951</v>
      </c>
      <c r="E3711" t="s">
        <v>39</v>
      </c>
      <c r="F3711">
        <v>0</v>
      </c>
      <c r="G3711">
        <v>0</v>
      </c>
      <c r="H3711">
        <v>1</v>
      </c>
      <c r="I3711" s="3">
        <v>1147.94</v>
      </c>
      <c r="J3711" s="3">
        <v>0</v>
      </c>
      <c r="L3711">
        <v>5014</v>
      </c>
      <c r="M3711" t="s">
        <v>3588</v>
      </c>
      <c r="N3711" t="s">
        <v>30</v>
      </c>
      <c r="O3711" t="s">
        <v>31</v>
      </c>
      <c r="P3711" t="str">
        <f t="shared" si="44"/>
        <v>15201</v>
      </c>
    </row>
    <row r="3712" spans="1:16" x14ac:dyDescent="0.25">
      <c r="A3712" t="str">
        <f>"1100081H00130    00"</f>
        <v>1100081H00130    00</v>
      </c>
      <c r="B3712" t="s">
        <v>8952</v>
      </c>
      <c r="C3712" t="s">
        <v>8953</v>
      </c>
      <c r="D3712" t="s">
        <v>20</v>
      </c>
      <c r="E3712" t="s">
        <v>39</v>
      </c>
      <c r="F3712">
        <v>0</v>
      </c>
      <c r="G3712">
        <v>0</v>
      </c>
      <c r="H3712">
        <v>3</v>
      </c>
      <c r="I3712" s="3">
        <v>2596.96</v>
      </c>
      <c r="J3712" s="3">
        <v>0</v>
      </c>
      <c r="K3712" t="s">
        <v>8954</v>
      </c>
      <c r="L3712">
        <v>5040</v>
      </c>
      <c r="M3712" t="s">
        <v>3588</v>
      </c>
      <c r="N3712" t="s">
        <v>30</v>
      </c>
      <c r="O3712" t="s">
        <v>31</v>
      </c>
      <c r="P3712" t="str">
        <f t="shared" si="44"/>
        <v>15201</v>
      </c>
    </row>
    <row r="3713" spans="1:16" x14ac:dyDescent="0.25">
      <c r="A3713" t="str">
        <f>"1100081H00146    00"</f>
        <v>1100081H00146    00</v>
      </c>
      <c r="B3713" t="s">
        <v>8955</v>
      </c>
      <c r="C3713" t="s">
        <v>8956</v>
      </c>
      <c r="D3713" t="s">
        <v>20</v>
      </c>
      <c r="E3713" t="s">
        <v>39</v>
      </c>
      <c r="F3713">
        <v>0</v>
      </c>
      <c r="G3713">
        <v>0</v>
      </c>
      <c r="H3713">
        <v>1</v>
      </c>
      <c r="I3713" s="3">
        <v>1569.1</v>
      </c>
      <c r="J3713" s="3">
        <v>0</v>
      </c>
      <c r="L3713">
        <v>5047</v>
      </c>
      <c r="M3713" t="s">
        <v>8947</v>
      </c>
      <c r="N3713" t="s">
        <v>30</v>
      </c>
      <c r="O3713" t="s">
        <v>31</v>
      </c>
      <c r="P3713" t="str">
        <f t="shared" si="44"/>
        <v>15201</v>
      </c>
    </row>
    <row r="3714" spans="1:16" x14ac:dyDescent="0.25">
      <c r="A3714" t="str">
        <f>"1100081H00154    00"</f>
        <v>1100081H00154    00</v>
      </c>
      <c r="B3714" t="s">
        <v>8957</v>
      </c>
      <c r="C3714" t="s">
        <v>8958</v>
      </c>
      <c r="D3714" t="s">
        <v>20</v>
      </c>
      <c r="E3714" t="s">
        <v>39</v>
      </c>
      <c r="F3714">
        <v>0</v>
      </c>
      <c r="G3714">
        <v>0</v>
      </c>
      <c r="H3714">
        <v>4</v>
      </c>
      <c r="I3714" s="3">
        <v>7790.8</v>
      </c>
      <c r="J3714" s="3">
        <v>1100.53</v>
      </c>
      <c r="L3714">
        <v>5023</v>
      </c>
      <c r="M3714" t="s">
        <v>8947</v>
      </c>
      <c r="N3714" t="s">
        <v>30</v>
      </c>
      <c r="O3714" t="s">
        <v>31</v>
      </c>
      <c r="P3714" t="str">
        <f t="shared" si="44"/>
        <v>15201</v>
      </c>
    </row>
    <row r="3715" spans="1:16" x14ac:dyDescent="0.25">
      <c r="A3715" t="str">
        <f>"1100081H00156    00"</f>
        <v>1100081H00156    00</v>
      </c>
      <c r="B3715" t="s">
        <v>8322</v>
      </c>
      <c r="C3715" t="s">
        <v>8959</v>
      </c>
      <c r="E3715" t="s">
        <v>39</v>
      </c>
      <c r="F3715">
        <v>0</v>
      </c>
      <c r="G3715">
        <v>0</v>
      </c>
      <c r="H3715">
        <v>1</v>
      </c>
      <c r="I3715" s="3">
        <v>2224.31</v>
      </c>
      <c r="J3715" s="3">
        <v>444.85</v>
      </c>
      <c r="L3715">
        <v>11452</v>
      </c>
      <c r="M3715" t="s">
        <v>8325</v>
      </c>
      <c r="N3715" t="s">
        <v>8326</v>
      </c>
      <c r="O3715" t="s">
        <v>495</v>
      </c>
      <c r="P3715" t="str">
        <f>"90720"</f>
        <v>90720</v>
      </c>
    </row>
    <row r="3716" spans="1:16" x14ac:dyDescent="0.25">
      <c r="A3716" t="str">
        <f>"1100081H00180    00"</f>
        <v>1100081H00180    00</v>
      </c>
      <c r="B3716" t="s">
        <v>8960</v>
      </c>
      <c r="C3716" t="s">
        <v>8961</v>
      </c>
      <c r="D3716" t="s">
        <v>20</v>
      </c>
      <c r="E3716" t="s">
        <v>39</v>
      </c>
      <c r="F3716">
        <v>0</v>
      </c>
      <c r="G3716">
        <v>0</v>
      </c>
      <c r="H3716">
        <v>1</v>
      </c>
      <c r="I3716" s="3">
        <v>1348</v>
      </c>
      <c r="J3716" s="3">
        <v>0</v>
      </c>
      <c r="K3716" t="s">
        <v>8962</v>
      </c>
      <c r="L3716">
        <v>5036</v>
      </c>
      <c r="M3716" t="s">
        <v>8947</v>
      </c>
      <c r="N3716" t="s">
        <v>30</v>
      </c>
      <c r="O3716" t="s">
        <v>31</v>
      </c>
      <c r="P3716" t="str">
        <f>"15201"</f>
        <v>15201</v>
      </c>
    </row>
    <row r="3717" spans="1:16" x14ac:dyDescent="0.25">
      <c r="A3717" t="str">
        <f>"1100081H00260    00"</f>
        <v>1100081H00260    00</v>
      </c>
      <c r="B3717" t="s">
        <v>8963</v>
      </c>
      <c r="C3717" t="s">
        <v>8964</v>
      </c>
      <c r="D3717" t="s">
        <v>20</v>
      </c>
      <c r="E3717" t="s">
        <v>39</v>
      </c>
      <c r="F3717">
        <v>0</v>
      </c>
      <c r="G3717">
        <v>0</v>
      </c>
      <c r="H3717">
        <v>3</v>
      </c>
      <c r="I3717" s="3">
        <v>5395.83</v>
      </c>
      <c r="J3717" s="3">
        <v>481.39</v>
      </c>
      <c r="L3717">
        <v>1112</v>
      </c>
      <c r="M3717" t="s">
        <v>6227</v>
      </c>
      <c r="N3717" t="s">
        <v>30</v>
      </c>
      <c r="O3717" t="s">
        <v>31</v>
      </c>
      <c r="P3717" t="str">
        <f>"15206"</f>
        <v>15206</v>
      </c>
    </row>
    <row r="3718" spans="1:16" x14ac:dyDescent="0.25">
      <c r="A3718" t="str">
        <f>"1100081H00264    00"</f>
        <v>1100081H00264    00</v>
      </c>
      <c r="B3718" t="s">
        <v>8965</v>
      </c>
      <c r="C3718" t="s">
        <v>8966</v>
      </c>
      <c r="D3718" t="s">
        <v>20</v>
      </c>
      <c r="E3718" t="s">
        <v>39</v>
      </c>
      <c r="F3718">
        <v>0</v>
      </c>
      <c r="G3718">
        <v>0</v>
      </c>
      <c r="H3718">
        <v>4</v>
      </c>
      <c r="I3718" s="3">
        <v>6541.09</v>
      </c>
      <c r="J3718" s="3">
        <v>949.16</v>
      </c>
      <c r="L3718">
        <v>1112</v>
      </c>
      <c r="M3718" t="s">
        <v>6227</v>
      </c>
      <c r="N3718" t="s">
        <v>30</v>
      </c>
      <c r="O3718" t="s">
        <v>31</v>
      </c>
      <c r="P3718" t="str">
        <f>"15206"</f>
        <v>15206</v>
      </c>
    </row>
    <row r="3719" spans="1:16" x14ac:dyDescent="0.25">
      <c r="A3719" t="str">
        <f>"1100081H00266    00"</f>
        <v>1100081H00266    00</v>
      </c>
      <c r="B3719" t="s">
        <v>8967</v>
      </c>
      <c r="C3719" t="s">
        <v>8968</v>
      </c>
      <c r="D3719" t="s">
        <v>20</v>
      </c>
      <c r="E3719" t="s">
        <v>39</v>
      </c>
      <c r="F3719">
        <v>0</v>
      </c>
      <c r="G3719">
        <v>0</v>
      </c>
      <c r="H3719">
        <v>2</v>
      </c>
      <c r="I3719" s="3">
        <v>3081.1</v>
      </c>
      <c r="J3719" s="3">
        <v>0</v>
      </c>
      <c r="L3719">
        <v>9118</v>
      </c>
      <c r="M3719" t="s">
        <v>8969</v>
      </c>
      <c r="N3719" t="s">
        <v>30</v>
      </c>
      <c r="O3719" t="s">
        <v>31</v>
      </c>
      <c r="P3719" t="str">
        <f>"15237"</f>
        <v>15237</v>
      </c>
    </row>
    <row r="3720" spans="1:16" x14ac:dyDescent="0.25">
      <c r="A3720" t="str">
        <f>"1100081H00326    00"</f>
        <v>1100081H00326    00</v>
      </c>
      <c r="B3720" t="s">
        <v>8970</v>
      </c>
      <c r="C3720" t="s">
        <v>8971</v>
      </c>
      <c r="D3720" t="s">
        <v>20</v>
      </c>
      <c r="E3720" t="s">
        <v>39</v>
      </c>
      <c r="F3720">
        <v>0</v>
      </c>
      <c r="G3720">
        <v>0</v>
      </c>
      <c r="H3720">
        <v>2</v>
      </c>
      <c r="I3720" s="3">
        <v>2375.86</v>
      </c>
      <c r="J3720" s="3">
        <v>0</v>
      </c>
      <c r="L3720">
        <v>1025</v>
      </c>
      <c r="M3720" t="s">
        <v>4053</v>
      </c>
      <c r="N3720" t="s">
        <v>30</v>
      </c>
      <c r="O3720" t="s">
        <v>31</v>
      </c>
      <c r="P3720" t="str">
        <f>"15201"</f>
        <v>15201</v>
      </c>
    </row>
    <row r="3721" spans="1:16" x14ac:dyDescent="0.25">
      <c r="A3721" t="str">
        <f>"1100081H00334    00"</f>
        <v>1100081H00334    00</v>
      </c>
      <c r="B3721" t="s">
        <v>8972</v>
      </c>
      <c r="C3721" t="s">
        <v>8973</v>
      </c>
      <c r="D3721" t="s">
        <v>20</v>
      </c>
      <c r="E3721" t="s">
        <v>39</v>
      </c>
      <c r="F3721">
        <v>0</v>
      </c>
      <c r="G3721">
        <v>0</v>
      </c>
      <c r="H3721">
        <v>2</v>
      </c>
      <c r="I3721" s="3">
        <v>3199.26</v>
      </c>
      <c r="J3721" s="3">
        <v>0</v>
      </c>
      <c r="L3721">
        <v>993</v>
      </c>
      <c r="M3721" t="s">
        <v>4053</v>
      </c>
      <c r="N3721" t="s">
        <v>30</v>
      </c>
      <c r="O3721" t="s">
        <v>31</v>
      </c>
      <c r="P3721" t="str">
        <f>"15201"</f>
        <v>15201</v>
      </c>
    </row>
    <row r="3722" spans="1:16" x14ac:dyDescent="0.25">
      <c r="A3722" t="str">
        <f>"1100081H00354    00"</f>
        <v>1100081H00354    00</v>
      </c>
      <c r="B3722" t="s">
        <v>8974</v>
      </c>
      <c r="C3722" t="s">
        <v>8975</v>
      </c>
      <c r="D3722" t="s">
        <v>20</v>
      </c>
      <c r="E3722" t="s">
        <v>39</v>
      </c>
      <c r="F3722">
        <v>0</v>
      </c>
      <c r="G3722">
        <v>0</v>
      </c>
      <c r="H3722">
        <v>11</v>
      </c>
      <c r="I3722" s="3">
        <v>28977.24</v>
      </c>
      <c r="J3722" s="3">
        <v>12391.43</v>
      </c>
      <c r="L3722">
        <v>106</v>
      </c>
      <c r="M3722" t="s">
        <v>8976</v>
      </c>
      <c r="N3722" t="s">
        <v>30</v>
      </c>
      <c r="O3722" t="s">
        <v>31</v>
      </c>
      <c r="P3722" t="str">
        <f>"15201"</f>
        <v>15201</v>
      </c>
    </row>
    <row r="3723" spans="1:16" x14ac:dyDescent="0.25">
      <c r="A3723" t="str">
        <f>"1100081H00358    00"</f>
        <v>1100081H00358    00</v>
      </c>
      <c r="B3723" t="s">
        <v>8977</v>
      </c>
      <c r="C3723" t="s">
        <v>8978</v>
      </c>
      <c r="D3723" t="s">
        <v>20</v>
      </c>
      <c r="E3723" t="s">
        <v>39</v>
      </c>
      <c r="F3723">
        <v>0</v>
      </c>
      <c r="G3723">
        <v>0</v>
      </c>
      <c r="H3723">
        <v>1</v>
      </c>
      <c r="I3723" s="3">
        <v>1144.25</v>
      </c>
      <c r="J3723" s="3">
        <v>0</v>
      </c>
      <c r="K3723" t="s">
        <v>8979</v>
      </c>
      <c r="L3723">
        <v>1915</v>
      </c>
      <c r="M3723" t="s">
        <v>8980</v>
      </c>
      <c r="N3723" t="s">
        <v>509</v>
      </c>
      <c r="O3723" t="s">
        <v>31</v>
      </c>
      <c r="P3723" t="str">
        <f>"19141"</f>
        <v>19141</v>
      </c>
    </row>
    <row r="3724" spans="1:16" x14ac:dyDescent="0.25">
      <c r="A3724" t="str">
        <f>"1100081L00002    00"</f>
        <v>1100081L00002    00</v>
      </c>
      <c r="B3724" t="s">
        <v>8981</v>
      </c>
      <c r="C3724" t="s">
        <v>8982</v>
      </c>
      <c r="D3724" t="s">
        <v>20</v>
      </c>
      <c r="E3724" t="s">
        <v>39</v>
      </c>
      <c r="F3724">
        <v>0</v>
      </c>
      <c r="G3724">
        <v>0</v>
      </c>
      <c r="H3724">
        <v>1</v>
      </c>
      <c r="I3724" s="3">
        <v>402</v>
      </c>
      <c r="J3724" s="3">
        <v>0</v>
      </c>
      <c r="L3724">
        <v>4277</v>
      </c>
      <c r="M3724" t="s">
        <v>8768</v>
      </c>
      <c r="N3724" t="s">
        <v>30</v>
      </c>
      <c r="O3724" t="s">
        <v>31</v>
      </c>
      <c r="P3724" t="str">
        <f>"15201"</f>
        <v>15201</v>
      </c>
    </row>
    <row r="3725" spans="1:16" x14ac:dyDescent="0.25">
      <c r="A3725" t="str">
        <f>"1100081L00007    00"</f>
        <v>1100081L00007    00</v>
      </c>
      <c r="B3725" t="s">
        <v>8983</v>
      </c>
      <c r="C3725" t="s">
        <v>8984</v>
      </c>
      <c r="E3725" t="s">
        <v>39</v>
      </c>
      <c r="F3725">
        <v>0</v>
      </c>
      <c r="G3725">
        <v>0</v>
      </c>
      <c r="H3725">
        <v>6</v>
      </c>
      <c r="I3725" s="3">
        <v>6961.86</v>
      </c>
      <c r="J3725" s="3">
        <v>2985.9</v>
      </c>
      <c r="K3725" t="s">
        <v>8985</v>
      </c>
      <c r="M3725" t="s">
        <v>8986</v>
      </c>
      <c r="N3725" t="s">
        <v>8987</v>
      </c>
      <c r="O3725" t="s">
        <v>495</v>
      </c>
      <c r="P3725" t="str">
        <f>"90660"</f>
        <v>90660</v>
      </c>
    </row>
    <row r="3726" spans="1:16" x14ac:dyDescent="0.25">
      <c r="A3726" t="str">
        <f>"1100081L00012    00"</f>
        <v>1100081L00012    00</v>
      </c>
      <c r="B3726" t="s">
        <v>8988</v>
      </c>
      <c r="C3726" t="s">
        <v>8989</v>
      </c>
      <c r="D3726" t="s">
        <v>20</v>
      </c>
      <c r="E3726" t="s">
        <v>39</v>
      </c>
      <c r="F3726">
        <v>0</v>
      </c>
      <c r="G3726">
        <v>0</v>
      </c>
      <c r="H3726">
        <v>2</v>
      </c>
      <c r="I3726" s="3">
        <v>1906.52</v>
      </c>
      <c r="J3726" s="3">
        <v>0</v>
      </c>
      <c r="L3726">
        <v>211</v>
      </c>
      <c r="M3726" t="s">
        <v>8990</v>
      </c>
      <c r="N3726" t="s">
        <v>8991</v>
      </c>
      <c r="O3726" t="s">
        <v>31</v>
      </c>
      <c r="P3726" t="str">
        <f>"15145"</f>
        <v>15145</v>
      </c>
    </row>
    <row r="3727" spans="1:16" x14ac:dyDescent="0.25">
      <c r="A3727" t="str">
        <f>"1100081L00039    00"</f>
        <v>1100081L00039    00</v>
      </c>
      <c r="B3727" t="s">
        <v>8992</v>
      </c>
      <c r="C3727" t="s">
        <v>8993</v>
      </c>
      <c r="D3727" t="s">
        <v>20</v>
      </c>
      <c r="E3727" t="s">
        <v>39</v>
      </c>
      <c r="F3727">
        <v>0</v>
      </c>
      <c r="G3727">
        <v>0</v>
      </c>
      <c r="H3727">
        <v>2</v>
      </c>
      <c r="I3727" s="3">
        <v>809.12</v>
      </c>
      <c r="J3727" s="3">
        <v>0</v>
      </c>
      <c r="L3727">
        <v>4246</v>
      </c>
      <c r="M3727" t="s">
        <v>8768</v>
      </c>
      <c r="N3727" t="s">
        <v>30</v>
      </c>
      <c r="O3727" t="s">
        <v>31</v>
      </c>
      <c r="P3727" t="str">
        <f>"15201"</f>
        <v>15201</v>
      </c>
    </row>
    <row r="3728" spans="1:16" x14ac:dyDescent="0.25">
      <c r="A3728" t="str">
        <f>"1100081L00050    00"</f>
        <v>1100081L00050    00</v>
      </c>
      <c r="B3728" t="s">
        <v>8994</v>
      </c>
      <c r="C3728" t="s">
        <v>8995</v>
      </c>
      <c r="D3728" t="s">
        <v>20</v>
      </c>
      <c r="E3728" t="s">
        <v>39</v>
      </c>
      <c r="F3728">
        <v>0</v>
      </c>
      <c r="G3728">
        <v>0</v>
      </c>
      <c r="H3728">
        <v>2</v>
      </c>
      <c r="I3728" s="3">
        <v>2664.62</v>
      </c>
      <c r="J3728" s="3">
        <v>0</v>
      </c>
      <c r="K3728" t="s">
        <v>8996</v>
      </c>
      <c r="L3728">
        <v>1112</v>
      </c>
      <c r="M3728" t="s">
        <v>6227</v>
      </c>
      <c r="N3728" t="s">
        <v>30</v>
      </c>
      <c r="O3728" t="s">
        <v>31</v>
      </c>
      <c r="P3728" t="str">
        <f>"15206"</f>
        <v>15206</v>
      </c>
    </row>
    <row r="3729" spans="1:16" x14ac:dyDescent="0.25">
      <c r="A3729" t="str">
        <f>"1100081L00052    00"</f>
        <v>1100081L00052    00</v>
      </c>
      <c r="B3729" t="s">
        <v>8997</v>
      </c>
      <c r="C3729" t="s">
        <v>8998</v>
      </c>
      <c r="D3729" t="s">
        <v>20</v>
      </c>
      <c r="E3729" t="s">
        <v>39</v>
      </c>
      <c r="F3729">
        <v>0</v>
      </c>
      <c r="G3729">
        <v>0</v>
      </c>
      <c r="H3729">
        <v>2</v>
      </c>
      <c r="I3729" s="3">
        <v>1914.64</v>
      </c>
      <c r="J3729" s="3">
        <v>0</v>
      </c>
      <c r="K3729" t="s">
        <v>8999</v>
      </c>
      <c r="L3729">
        <v>937</v>
      </c>
      <c r="M3729" t="s">
        <v>8907</v>
      </c>
      <c r="N3729" t="s">
        <v>30</v>
      </c>
      <c r="O3729" t="s">
        <v>31</v>
      </c>
      <c r="P3729" t="str">
        <f t="shared" ref="P3729:P3735" si="45">"15201"</f>
        <v>15201</v>
      </c>
    </row>
    <row r="3730" spans="1:16" x14ac:dyDescent="0.25">
      <c r="A3730" t="str">
        <f>"1100081L00062    00"</f>
        <v>1100081L00062    00</v>
      </c>
      <c r="B3730" t="s">
        <v>9000</v>
      </c>
      <c r="C3730" t="s">
        <v>9001</v>
      </c>
      <c r="D3730" t="s">
        <v>20</v>
      </c>
      <c r="E3730" t="s">
        <v>39</v>
      </c>
      <c r="F3730">
        <v>0</v>
      </c>
      <c r="G3730">
        <v>0</v>
      </c>
      <c r="H3730">
        <v>3</v>
      </c>
      <c r="I3730" s="3">
        <v>2028.71</v>
      </c>
      <c r="J3730" s="3">
        <v>139.96</v>
      </c>
      <c r="L3730">
        <v>914</v>
      </c>
      <c r="M3730" t="s">
        <v>8907</v>
      </c>
      <c r="N3730" t="s">
        <v>30</v>
      </c>
      <c r="O3730" t="s">
        <v>31</v>
      </c>
      <c r="P3730" t="str">
        <f t="shared" si="45"/>
        <v>15201</v>
      </c>
    </row>
    <row r="3731" spans="1:16" x14ac:dyDescent="0.25">
      <c r="A3731" t="str">
        <f>"1100081L00064    00"</f>
        <v>1100081L00064    00</v>
      </c>
      <c r="B3731" t="s">
        <v>9002</v>
      </c>
      <c r="C3731" t="s">
        <v>9003</v>
      </c>
      <c r="D3731" t="s">
        <v>20</v>
      </c>
      <c r="E3731" t="s">
        <v>39</v>
      </c>
      <c r="F3731">
        <v>0</v>
      </c>
      <c r="G3731">
        <v>0</v>
      </c>
      <c r="H3731">
        <v>3</v>
      </c>
      <c r="I3731" s="3">
        <v>2642.01</v>
      </c>
      <c r="J3731" s="3">
        <v>174.78</v>
      </c>
      <c r="L3731">
        <v>918</v>
      </c>
      <c r="M3731" t="s">
        <v>8907</v>
      </c>
      <c r="N3731" t="s">
        <v>30</v>
      </c>
      <c r="O3731" t="s">
        <v>31</v>
      </c>
      <c r="P3731" t="str">
        <f t="shared" si="45"/>
        <v>15201</v>
      </c>
    </row>
    <row r="3732" spans="1:16" x14ac:dyDescent="0.25">
      <c r="A3732" t="str">
        <f>"1100081L00070    00"</f>
        <v>1100081L00070    00</v>
      </c>
      <c r="B3732" t="s">
        <v>9004</v>
      </c>
      <c r="C3732" t="s">
        <v>9005</v>
      </c>
      <c r="D3732" t="s">
        <v>20</v>
      </c>
      <c r="E3732" t="s">
        <v>39</v>
      </c>
      <c r="F3732">
        <v>0</v>
      </c>
      <c r="G3732">
        <v>0</v>
      </c>
      <c r="H3732">
        <v>4</v>
      </c>
      <c r="I3732" s="3">
        <v>8710.4699999999993</v>
      </c>
      <c r="J3732" s="3">
        <v>1189.5</v>
      </c>
      <c r="L3732">
        <v>930</v>
      </c>
      <c r="M3732" t="s">
        <v>8907</v>
      </c>
      <c r="N3732" t="s">
        <v>30</v>
      </c>
      <c r="O3732" t="s">
        <v>31</v>
      </c>
      <c r="P3732" t="str">
        <f t="shared" si="45"/>
        <v>15201</v>
      </c>
    </row>
    <row r="3733" spans="1:16" x14ac:dyDescent="0.25">
      <c r="A3733" t="str">
        <f>"1100081L00082    00"</f>
        <v>1100081L00082    00</v>
      </c>
      <c r="B3733" t="s">
        <v>9006</v>
      </c>
      <c r="C3733" t="s">
        <v>9007</v>
      </c>
      <c r="D3733" t="s">
        <v>20</v>
      </c>
      <c r="E3733" t="s">
        <v>39</v>
      </c>
      <c r="F3733">
        <v>0</v>
      </c>
      <c r="G3733">
        <v>0</v>
      </c>
      <c r="H3733">
        <v>3</v>
      </c>
      <c r="I3733" s="3">
        <v>2927.12</v>
      </c>
      <c r="J3733" s="3">
        <v>31.44</v>
      </c>
      <c r="L3733">
        <v>960</v>
      </c>
      <c r="M3733" t="s">
        <v>8907</v>
      </c>
      <c r="N3733" t="s">
        <v>30</v>
      </c>
      <c r="O3733" t="s">
        <v>31</v>
      </c>
      <c r="P3733" t="str">
        <f t="shared" si="45"/>
        <v>15201</v>
      </c>
    </row>
    <row r="3734" spans="1:16" x14ac:dyDescent="0.25">
      <c r="A3734" t="str">
        <f>"1100081L00084    00"</f>
        <v>1100081L00084    00</v>
      </c>
      <c r="B3734" t="s">
        <v>9008</v>
      </c>
      <c r="C3734" t="s">
        <v>9009</v>
      </c>
      <c r="D3734" t="s">
        <v>20</v>
      </c>
      <c r="E3734" t="s">
        <v>39</v>
      </c>
      <c r="F3734">
        <v>0</v>
      </c>
      <c r="G3734">
        <v>0</v>
      </c>
      <c r="H3734">
        <v>3</v>
      </c>
      <c r="I3734" s="3">
        <v>3835.21</v>
      </c>
      <c r="J3734" s="3">
        <v>214.53</v>
      </c>
      <c r="L3734">
        <v>1000</v>
      </c>
      <c r="M3734" t="s">
        <v>8907</v>
      </c>
      <c r="N3734" t="s">
        <v>30</v>
      </c>
      <c r="O3734" t="s">
        <v>31</v>
      </c>
      <c r="P3734" t="str">
        <f t="shared" si="45"/>
        <v>15201</v>
      </c>
    </row>
    <row r="3735" spans="1:16" x14ac:dyDescent="0.25">
      <c r="A3735" t="str">
        <f>"1100081L00128    00"</f>
        <v>1100081L00128    00</v>
      </c>
      <c r="B3735" t="s">
        <v>9010</v>
      </c>
      <c r="C3735" t="s">
        <v>9011</v>
      </c>
      <c r="D3735" t="s">
        <v>20</v>
      </c>
      <c r="E3735" t="s">
        <v>39</v>
      </c>
      <c r="F3735">
        <v>0</v>
      </c>
      <c r="G3735">
        <v>0</v>
      </c>
      <c r="H3735">
        <v>1</v>
      </c>
      <c r="I3735" s="3">
        <v>1056.4000000000001</v>
      </c>
      <c r="J3735" s="3">
        <v>0</v>
      </c>
      <c r="K3735" t="s">
        <v>9012</v>
      </c>
      <c r="L3735">
        <v>122</v>
      </c>
      <c r="M3735" t="s">
        <v>9013</v>
      </c>
      <c r="N3735" t="s">
        <v>30</v>
      </c>
      <c r="O3735" t="s">
        <v>31</v>
      </c>
      <c r="P3735" t="str">
        <f t="shared" si="45"/>
        <v>15201</v>
      </c>
    </row>
    <row r="3736" spans="1:16" x14ac:dyDescent="0.25">
      <c r="A3736" t="str">
        <f>"1100081L00135    00"</f>
        <v>1100081L00135    00</v>
      </c>
      <c r="B3736" t="s">
        <v>9014</v>
      </c>
      <c r="C3736" t="s">
        <v>9015</v>
      </c>
      <c r="D3736" t="s">
        <v>20</v>
      </c>
      <c r="E3736" t="s">
        <v>39</v>
      </c>
      <c r="F3736">
        <v>0</v>
      </c>
      <c r="G3736">
        <v>0</v>
      </c>
      <c r="H3736">
        <v>2</v>
      </c>
      <c r="I3736" s="3">
        <v>375.13</v>
      </c>
      <c r="J3736" s="3">
        <v>0</v>
      </c>
      <c r="L3736">
        <v>532</v>
      </c>
      <c r="M3736" t="s">
        <v>9016</v>
      </c>
      <c r="N3736" t="s">
        <v>9017</v>
      </c>
      <c r="O3736" t="s">
        <v>606</v>
      </c>
      <c r="P3736" t="str">
        <f>"30228"</f>
        <v>30228</v>
      </c>
    </row>
    <row r="3737" spans="1:16" x14ac:dyDescent="0.25">
      <c r="A3737" t="str">
        <f>"1100081L00141    00"</f>
        <v>1100081L00141    00</v>
      </c>
      <c r="B3737" t="s">
        <v>9018</v>
      </c>
      <c r="C3737" t="s">
        <v>9019</v>
      </c>
      <c r="D3737" t="s">
        <v>20</v>
      </c>
      <c r="E3737" t="s">
        <v>39</v>
      </c>
      <c r="F3737">
        <v>0</v>
      </c>
      <c r="G3737">
        <v>0</v>
      </c>
      <c r="H3737">
        <v>2</v>
      </c>
      <c r="I3737" s="3">
        <v>806.28</v>
      </c>
      <c r="J3737" s="3">
        <v>0</v>
      </c>
      <c r="L3737">
        <v>920</v>
      </c>
      <c r="M3737" t="s">
        <v>8923</v>
      </c>
      <c r="N3737" t="s">
        <v>30</v>
      </c>
      <c r="O3737" t="s">
        <v>31</v>
      </c>
      <c r="P3737" t="str">
        <f t="shared" ref="P3737:P3742" si="46">"15201"</f>
        <v>15201</v>
      </c>
    </row>
    <row r="3738" spans="1:16" x14ac:dyDescent="0.25">
      <c r="A3738" t="str">
        <f>"1100081L00143    00"</f>
        <v>1100081L00143    00</v>
      </c>
      <c r="B3738" t="s">
        <v>9020</v>
      </c>
      <c r="C3738" t="s">
        <v>9021</v>
      </c>
      <c r="D3738" t="s">
        <v>20</v>
      </c>
      <c r="E3738" t="s">
        <v>39</v>
      </c>
      <c r="F3738">
        <v>0</v>
      </c>
      <c r="G3738">
        <v>0</v>
      </c>
      <c r="H3738">
        <v>11</v>
      </c>
      <c r="I3738" s="3">
        <v>13088.14</v>
      </c>
      <c r="J3738" s="3">
        <v>6246.51</v>
      </c>
      <c r="L3738">
        <v>924</v>
      </c>
      <c r="M3738" t="s">
        <v>8923</v>
      </c>
      <c r="N3738" t="s">
        <v>30</v>
      </c>
      <c r="O3738" t="s">
        <v>31</v>
      </c>
      <c r="P3738" t="str">
        <f t="shared" si="46"/>
        <v>15201</v>
      </c>
    </row>
    <row r="3739" spans="1:16" x14ac:dyDescent="0.25">
      <c r="A3739" t="str">
        <f>"1100081L00168    00"</f>
        <v>1100081L00168    00</v>
      </c>
      <c r="B3739" t="s">
        <v>9022</v>
      </c>
      <c r="C3739" t="s">
        <v>9023</v>
      </c>
      <c r="D3739" t="s">
        <v>20</v>
      </c>
      <c r="E3739" t="s">
        <v>39</v>
      </c>
      <c r="F3739">
        <v>0</v>
      </c>
      <c r="G3739">
        <v>0</v>
      </c>
      <c r="H3739">
        <v>1</v>
      </c>
      <c r="I3739" s="3">
        <v>365.97</v>
      </c>
      <c r="J3739" s="3">
        <v>0</v>
      </c>
      <c r="L3739">
        <v>941</v>
      </c>
      <c r="M3739" t="s">
        <v>4053</v>
      </c>
      <c r="N3739" t="s">
        <v>30</v>
      </c>
      <c r="O3739" t="s">
        <v>31</v>
      </c>
      <c r="P3739" t="str">
        <f t="shared" si="46"/>
        <v>15201</v>
      </c>
    </row>
    <row r="3740" spans="1:16" x14ac:dyDescent="0.25">
      <c r="A3740" t="str">
        <f>"1100081L00170    00"</f>
        <v>1100081L00170    00</v>
      </c>
      <c r="B3740" t="s">
        <v>9022</v>
      </c>
      <c r="C3740" t="s">
        <v>9023</v>
      </c>
      <c r="D3740" t="s">
        <v>20</v>
      </c>
      <c r="E3740" t="s">
        <v>39</v>
      </c>
      <c r="F3740">
        <v>0</v>
      </c>
      <c r="G3740">
        <v>0</v>
      </c>
      <c r="H3740">
        <v>1</v>
      </c>
      <c r="I3740" s="3">
        <v>1126.9100000000001</v>
      </c>
      <c r="J3740" s="3">
        <v>0</v>
      </c>
      <c r="L3740">
        <v>941</v>
      </c>
      <c r="M3740" t="s">
        <v>4053</v>
      </c>
      <c r="N3740" t="s">
        <v>30</v>
      </c>
      <c r="O3740" t="s">
        <v>31</v>
      </c>
      <c r="P3740" t="str">
        <f t="shared" si="46"/>
        <v>15201</v>
      </c>
    </row>
    <row r="3741" spans="1:16" x14ac:dyDescent="0.25">
      <c r="A3741" t="str">
        <f>"1100081L00174    00"</f>
        <v>1100081L00174    00</v>
      </c>
      <c r="B3741" t="s">
        <v>9024</v>
      </c>
      <c r="C3741" t="s">
        <v>9025</v>
      </c>
      <c r="D3741" t="s">
        <v>20</v>
      </c>
      <c r="E3741" t="s">
        <v>39</v>
      </c>
      <c r="F3741">
        <v>0</v>
      </c>
      <c r="G3741">
        <v>0</v>
      </c>
      <c r="H3741">
        <v>1</v>
      </c>
      <c r="I3741" s="3">
        <v>879.42</v>
      </c>
      <c r="J3741" s="3">
        <v>0</v>
      </c>
      <c r="L3741">
        <v>931</v>
      </c>
      <c r="M3741" t="s">
        <v>4053</v>
      </c>
      <c r="N3741" t="s">
        <v>30</v>
      </c>
      <c r="O3741" t="s">
        <v>31</v>
      </c>
      <c r="P3741" t="str">
        <f t="shared" si="46"/>
        <v>15201</v>
      </c>
    </row>
    <row r="3742" spans="1:16" x14ac:dyDescent="0.25">
      <c r="A3742" t="str">
        <f>"1100081L00178    00"</f>
        <v>1100081L00178    00</v>
      </c>
      <c r="B3742" t="s">
        <v>9026</v>
      </c>
      <c r="C3742" t="s">
        <v>9027</v>
      </c>
      <c r="D3742" t="s">
        <v>20</v>
      </c>
      <c r="E3742" t="s">
        <v>39</v>
      </c>
      <c r="F3742">
        <v>0</v>
      </c>
      <c r="G3742">
        <v>0</v>
      </c>
      <c r="H3742">
        <v>2</v>
      </c>
      <c r="I3742" s="3">
        <v>1890.3</v>
      </c>
      <c r="J3742" s="3">
        <v>453.31</v>
      </c>
      <c r="K3742" t="s">
        <v>9028</v>
      </c>
      <c r="L3742">
        <v>5044</v>
      </c>
      <c r="M3742" t="s">
        <v>8947</v>
      </c>
      <c r="N3742" t="s">
        <v>30</v>
      </c>
      <c r="O3742" t="s">
        <v>31</v>
      </c>
      <c r="P3742" t="str">
        <f t="shared" si="46"/>
        <v>15201</v>
      </c>
    </row>
    <row r="3743" spans="1:16" x14ac:dyDescent="0.25">
      <c r="A3743" t="str">
        <f>"1100081L00190    00"</f>
        <v>1100081L00190    00</v>
      </c>
      <c r="B3743" t="s">
        <v>9029</v>
      </c>
      <c r="C3743" t="s">
        <v>9030</v>
      </c>
      <c r="D3743" t="s">
        <v>20</v>
      </c>
      <c r="E3743" t="s">
        <v>39</v>
      </c>
      <c r="F3743">
        <v>0</v>
      </c>
      <c r="G3743">
        <v>0</v>
      </c>
      <c r="H3743">
        <v>6</v>
      </c>
      <c r="I3743" s="3">
        <v>6646.53</v>
      </c>
      <c r="J3743" s="3">
        <v>1529.7</v>
      </c>
      <c r="K3743" t="s">
        <v>1127</v>
      </c>
      <c r="M3743" t="s">
        <v>1128</v>
      </c>
      <c r="N3743" t="s">
        <v>1129</v>
      </c>
      <c r="O3743" t="s">
        <v>108</v>
      </c>
      <c r="P3743" t="str">
        <f>"76161"</f>
        <v>76161</v>
      </c>
    </row>
    <row r="3744" spans="1:16" x14ac:dyDescent="0.25">
      <c r="A3744" t="str">
        <f>"1100081L00202    00"</f>
        <v>1100081L00202    00</v>
      </c>
      <c r="B3744" t="s">
        <v>9031</v>
      </c>
      <c r="C3744" t="s">
        <v>9032</v>
      </c>
      <c r="D3744" t="s">
        <v>20</v>
      </c>
      <c r="E3744" t="s">
        <v>39</v>
      </c>
      <c r="F3744">
        <v>0</v>
      </c>
      <c r="G3744">
        <v>0</v>
      </c>
      <c r="H3744">
        <v>3</v>
      </c>
      <c r="I3744" s="3">
        <v>1673.58</v>
      </c>
      <c r="J3744" s="3">
        <v>68.930000000000007</v>
      </c>
      <c r="L3744">
        <v>204</v>
      </c>
      <c r="M3744" t="s">
        <v>9013</v>
      </c>
      <c r="N3744" t="s">
        <v>30</v>
      </c>
      <c r="O3744" t="s">
        <v>31</v>
      </c>
      <c r="P3744" t="str">
        <f>"15201"</f>
        <v>15201</v>
      </c>
    </row>
    <row r="3745" spans="1:16" x14ac:dyDescent="0.25">
      <c r="A3745" t="str">
        <f>"1100081L00203    00"</f>
        <v>1100081L00203    00</v>
      </c>
      <c r="B3745" t="s">
        <v>9033</v>
      </c>
      <c r="C3745" t="s">
        <v>9034</v>
      </c>
      <c r="D3745" t="s">
        <v>20</v>
      </c>
      <c r="E3745" t="s">
        <v>39</v>
      </c>
      <c r="F3745">
        <v>0</v>
      </c>
      <c r="G3745">
        <v>0</v>
      </c>
      <c r="H3745">
        <v>1</v>
      </c>
      <c r="I3745" s="3">
        <v>386.02</v>
      </c>
      <c r="J3745" s="3">
        <v>0</v>
      </c>
      <c r="L3745">
        <v>206</v>
      </c>
      <c r="M3745" t="s">
        <v>9013</v>
      </c>
      <c r="N3745" t="s">
        <v>30</v>
      </c>
      <c r="O3745" t="s">
        <v>31</v>
      </c>
      <c r="P3745" t="str">
        <f>"15201"</f>
        <v>15201</v>
      </c>
    </row>
    <row r="3746" spans="1:16" x14ac:dyDescent="0.25">
      <c r="A3746" t="str">
        <f>"1100081L00204    00"</f>
        <v>1100081L00204    00</v>
      </c>
      <c r="B3746" t="s">
        <v>9035</v>
      </c>
      <c r="C3746" t="s">
        <v>9036</v>
      </c>
      <c r="E3746" t="s">
        <v>39</v>
      </c>
      <c r="F3746">
        <v>0</v>
      </c>
      <c r="G3746">
        <v>0</v>
      </c>
      <c r="H3746">
        <v>14</v>
      </c>
      <c r="I3746" s="3">
        <v>12110.07</v>
      </c>
      <c r="J3746" s="3">
        <v>13482.52</v>
      </c>
      <c r="K3746" t="s">
        <v>9037</v>
      </c>
      <c r="L3746">
        <v>1932</v>
      </c>
      <c r="M3746" t="s">
        <v>1451</v>
      </c>
      <c r="N3746" t="s">
        <v>9038</v>
      </c>
      <c r="O3746" t="s">
        <v>31</v>
      </c>
      <c r="P3746" t="str">
        <f>"15412"</f>
        <v>15412</v>
      </c>
    </row>
    <row r="3747" spans="1:16" x14ac:dyDescent="0.25">
      <c r="A3747" t="str">
        <f>"1100081L00208    00"</f>
        <v>1100081L00208    00</v>
      </c>
      <c r="B3747" t="s">
        <v>9039</v>
      </c>
      <c r="C3747" t="s">
        <v>9040</v>
      </c>
      <c r="D3747" t="s">
        <v>20</v>
      </c>
      <c r="E3747" t="s">
        <v>39</v>
      </c>
      <c r="F3747">
        <v>0</v>
      </c>
      <c r="G3747">
        <v>0</v>
      </c>
      <c r="H3747">
        <v>4</v>
      </c>
      <c r="I3747" s="3">
        <v>4869.71</v>
      </c>
      <c r="J3747" s="3">
        <v>533.85</v>
      </c>
      <c r="L3747">
        <v>904</v>
      </c>
      <c r="M3747" t="s">
        <v>4053</v>
      </c>
      <c r="N3747" t="s">
        <v>30</v>
      </c>
      <c r="O3747" t="s">
        <v>31</v>
      </c>
      <c r="P3747" t="str">
        <f>"15201"</f>
        <v>15201</v>
      </c>
    </row>
    <row r="3748" spans="1:16" x14ac:dyDescent="0.25">
      <c r="A3748" t="str">
        <f>"1100081M00218    00"</f>
        <v>1100081M00218    00</v>
      </c>
      <c r="B3748" t="s">
        <v>9041</v>
      </c>
      <c r="C3748" t="s">
        <v>9042</v>
      </c>
      <c r="D3748" t="s">
        <v>20</v>
      </c>
      <c r="E3748" t="s">
        <v>39</v>
      </c>
      <c r="F3748">
        <v>0</v>
      </c>
      <c r="G3748">
        <v>0</v>
      </c>
      <c r="H3748">
        <v>1</v>
      </c>
      <c r="I3748" s="3">
        <v>2950.51</v>
      </c>
      <c r="J3748" s="3">
        <v>0</v>
      </c>
      <c r="L3748">
        <v>5093</v>
      </c>
      <c r="M3748" t="s">
        <v>8947</v>
      </c>
      <c r="N3748" t="s">
        <v>30</v>
      </c>
      <c r="O3748" t="s">
        <v>31</v>
      </c>
      <c r="P3748" t="str">
        <f>"15201"</f>
        <v>15201</v>
      </c>
    </row>
    <row r="3749" spans="1:16" x14ac:dyDescent="0.25">
      <c r="A3749" t="str">
        <f>"1100081M00222    00"</f>
        <v>1100081M00222    00</v>
      </c>
      <c r="B3749" t="s">
        <v>9043</v>
      </c>
      <c r="C3749" t="s">
        <v>9044</v>
      </c>
      <c r="D3749" t="s">
        <v>20</v>
      </c>
      <c r="E3749" t="s">
        <v>39</v>
      </c>
      <c r="F3749">
        <v>0</v>
      </c>
      <c r="G3749">
        <v>0</v>
      </c>
      <c r="H3749">
        <v>2</v>
      </c>
      <c r="I3749" s="3">
        <v>4765.04</v>
      </c>
      <c r="J3749" s="3">
        <v>0</v>
      </c>
      <c r="K3749" t="s">
        <v>9045</v>
      </c>
      <c r="L3749">
        <v>444</v>
      </c>
      <c r="M3749" t="s">
        <v>2789</v>
      </c>
      <c r="N3749" t="s">
        <v>30</v>
      </c>
      <c r="O3749" t="s">
        <v>31</v>
      </c>
      <c r="P3749" t="str">
        <f>"15206"</f>
        <v>15206</v>
      </c>
    </row>
    <row r="3750" spans="1:16" x14ac:dyDescent="0.25">
      <c r="A3750" t="str">
        <f>"1100081M00232    00"</f>
        <v>1100081M00232    00</v>
      </c>
      <c r="B3750" t="s">
        <v>9046</v>
      </c>
      <c r="C3750" t="s">
        <v>9047</v>
      </c>
      <c r="E3750" t="s">
        <v>39</v>
      </c>
      <c r="F3750">
        <v>0</v>
      </c>
      <c r="G3750">
        <v>0</v>
      </c>
      <c r="H3750">
        <v>1</v>
      </c>
      <c r="I3750" s="3">
        <v>184.9</v>
      </c>
      <c r="J3750" s="3">
        <v>252.69</v>
      </c>
      <c r="L3750">
        <v>5094</v>
      </c>
      <c r="M3750" t="s">
        <v>8947</v>
      </c>
      <c r="N3750" t="s">
        <v>30</v>
      </c>
      <c r="O3750" t="s">
        <v>31</v>
      </c>
      <c r="P3750" t="str">
        <f>"15201"</f>
        <v>15201</v>
      </c>
    </row>
    <row r="3751" spans="1:16" x14ac:dyDescent="0.25">
      <c r="A3751" t="str">
        <f>"1100081M00260    00"</f>
        <v>1100081M00260    00</v>
      </c>
      <c r="B3751" t="s">
        <v>9048</v>
      </c>
      <c r="C3751" t="s">
        <v>9049</v>
      </c>
      <c r="D3751" t="s">
        <v>20</v>
      </c>
      <c r="E3751" t="s">
        <v>39</v>
      </c>
      <c r="F3751">
        <v>0</v>
      </c>
      <c r="G3751">
        <v>0</v>
      </c>
      <c r="H3751">
        <v>3</v>
      </c>
      <c r="I3751" s="3">
        <v>3667.18</v>
      </c>
      <c r="J3751" s="3">
        <v>197.8</v>
      </c>
      <c r="L3751">
        <v>5162</v>
      </c>
      <c r="M3751" t="s">
        <v>3738</v>
      </c>
      <c r="N3751" t="s">
        <v>30</v>
      </c>
      <c r="O3751" t="s">
        <v>31</v>
      </c>
      <c r="P3751" t="str">
        <f>"15201"</f>
        <v>15201</v>
      </c>
    </row>
    <row r="3752" spans="1:16" x14ac:dyDescent="0.25">
      <c r="A3752" t="str">
        <f>"1100081M00262    00"</f>
        <v>1100081M00262    00</v>
      </c>
      <c r="B3752" t="s">
        <v>9050</v>
      </c>
      <c r="C3752" t="s">
        <v>9051</v>
      </c>
      <c r="E3752" t="s">
        <v>39</v>
      </c>
      <c r="F3752">
        <v>0</v>
      </c>
      <c r="G3752">
        <v>0</v>
      </c>
      <c r="H3752">
        <v>1</v>
      </c>
      <c r="I3752" s="3">
        <v>2475.84</v>
      </c>
      <c r="J3752" s="3">
        <v>536.41999999999996</v>
      </c>
      <c r="K3752" t="s">
        <v>1030</v>
      </c>
      <c r="M3752" t="s">
        <v>1031</v>
      </c>
      <c r="N3752" t="s">
        <v>1032</v>
      </c>
      <c r="O3752" t="s">
        <v>25</v>
      </c>
      <c r="P3752" t="str">
        <f>"44711"</f>
        <v>44711</v>
      </c>
    </row>
    <row r="3753" spans="1:16" x14ac:dyDescent="0.25">
      <c r="A3753" t="str">
        <f>"1100081M00270    00"</f>
        <v>1100081M00270    00</v>
      </c>
      <c r="B3753" t="s">
        <v>9052</v>
      </c>
      <c r="C3753" t="s">
        <v>9053</v>
      </c>
      <c r="D3753" t="s">
        <v>20</v>
      </c>
      <c r="E3753" t="s">
        <v>39</v>
      </c>
      <c r="F3753">
        <v>0</v>
      </c>
      <c r="G3753">
        <v>0</v>
      </c>
      <c r="H3753">
        <v>16</v>
      </c>
      <c r="I3753" s="3">
        <v>34416.94</v>
      </c>
      <c r="J3753" s="3">
        <v>24435.01</v>
      </c>
      <c r="L3753">
        <v>5145</v>
      </c>
      <c r="M3753" t="s">
        <v>3738</v>
      </c>
      <c r="N3753" t="s">
        <v>30</v>
      </c>
      <c r="O3753" t="s">
        <v>31</v>
      </c>
      <c r="P3753" t="str">
        <f>"15201"</f>
        <v>15201</v>
      </c>
    </row>
    <row r="3754" spans="1:16" x14ac:dyDescent="0.25">
      <c r="A3754" t="str">
        <f>"1100081M00272    00"</f>
        <v>1100081M00272    00</v>
      </c>
      <c r="B3754" t="s">
        <v>9054</v>
      </c>
      <c r="C3754" t="s">
        <v>9055</v>
      </c>
      <c r="D3754" t="s">
        <v>20</v>
      </c>
      <c r="E3754" t="s">
        <v>39</v>
      </c>
      <c r="F3754">
        <v>0</v>
      </c>
      <c r="G3754">
        <v>0</v>
      </c>
      <c r="H3754">
        <v>1</v>
      </c>
      <c r="I3754" s="3">
        <v>1715.42</v>
      </c>
      <c r="J3754" s="3">
        <v>0</v>
      </c>
      <c r="K3754" t="s">
        <v>9056</v>
      </c>
      <c r="L3754">
        <v>3001</v>
      </c>
      <c r="M3754" t="s">
        <v>404</v>
      </c>
      <c r="N3754" t="s">
        <v>331</v>
      </c>
      <c r="O3754" t="s">
        <v>108</v>
      </c>
      <c r="P3754" t="str">
        <f>"75063"</f>
        <v>75063</v>
      </c>
    </row>
    <row r="3755" spans="1:16" x14ac:dyDescent="0.25">
      <c r="A3755" t="str">
        <f>"1100081M00274    00"</f>
        <v>1100081M00274    00</v>
      </c>
      <c r="B3755" t="s">
        <v>9057</v>
      </c>
      <c r="C3755" t="s">
        <v>9058</v>
      </c>
      <c r="D3755" t="s">
        <v>20</v>
      </c>
      <c r="E3755" t="s">
        <v>39</v>
      </c>
      <c r="F3755">
        <v>0</v>
      </c>
      <c r="G3755">
        <v>0</v>
      </c>
      <c r="H3755">
        <v>2</v>
      </c>
      <c r="I3755" s="3">
        <v>4278.08</v>
      </c>
      <c r="J3755" s="3">
        <v>0</v>
      </c>
      <c r="L3755">
        <v>5133</v>
      </c>
      <c r="M3755" t="s">
        <v>3738</v>
      </c>
      <c r="N3755" t="s">
        <v>30</v>
      </c>
      <c r="O3755" t="s">
        <v>31</v>
      </c>
      <c r="P3755" t="str">
        <f>"15201"</f>
        <v>15201</v>
      </c>
    </row>
    <row r="3756" spans="1:16" x14ac:dyDescent="0.25">
      <c r="A3756" t="str">
        <f>"1100081M00288    00"</f>
        <v>1100081M00288    00</v>
      </c>
      <c r="B3756" t="s">
        <v>9059</v>
      </c>
      <c r="C3756" t="s">
        <v>9060</v>
      </c>
      <c r="D3756" t="s">
        <v>20</v>
      </c>
      <c r="E3756" t="s">
        <v>39</v>
      </c>
      <c r="F3756">
        <v>0</v>
      </c>
      <c r="G3756">
        <v>0</v>
      </c>
      <c r="H3756">
        <v>2</v>
      </c>
      <c r="I3756" s="3">
        <v>3843.3</v>
      </c>
      <c r="J3756" s="3">
        <v>0</v>
      </c>
      <c r="L3756">
        <v>5087</v>
      </c>
      <c r="M3756" t="s">
        <v>3738</v>
      </c>
      <c r="N3756" t="s">
        <v>30</v>
      </c>
      <c r="O3756" t="s">
        <v>31</v>
      </c>
      <c r="P3756" t="str">
        <f>"15201"</f>
        <v>15201</v>
      </c>
    </row>
    <row r="3757" spans="1:16" x14ac:dyDescent="0.25">
      <c r="A3757" t="str">
        <f>"1100081M00290    00"</f>
        <v>1100081M00290    00</v>
      </c>
      <c r="B3757" t="s">
        <v>9059</v>
      </c>
      <c r="C3757" t="s">
        <v>9061</v>
      </c>
      <c r="D3757" t="s">
        <v>20</v>
      </c>
      <c r="E3757" t="s">
        <v>39</v>
      </c>
      <c r="F3757">
        <v>0</v>
      </c>
      <c r="G3757">
        <v>0</v>
      </c>
      <c r="H3757">
        <v>2</v>
      </c>
      <c r="I3757" s="3">
        <v>328.87</v>
      </c>
      <c r="J3757" s="3">
        <v>0</v>
      </c>
      <c r="L3757">
        <v>5087</v>
      </c>
      <c r="M3757" t="s">
        <v>3738</v>
      </c>
      <c r="N3757" t="s">
        <v>30</v>
      </c>
      <c r="O3757" t="s">
        <v>31</v>
      </c>
      <c r="P3757" t="str">
        <f>"15201"</f>
        <v>15201</v>
      </c>
    </row>
    <row r="3758" spans="1:16" x14ac:dyDescent="0.25">
      <c r="A3758" t="str">
        <f>"1100081M00310    00"</f>
        <v>1100081M00310    00</v>
      </c>
      <c r="B3758" t="s">
        <v>9062</v>
      </c>
      <c r="C3758" t="s">
        <v>9063</v>
      </c>
      <c r="D3758" t="s">
        <v>20</v>
      </c>
      <c r="E3758" t="s">
        <v>39</v>
      </c>
      <c r="F3758">
        <v>0</v>
      </c>
      <c r="G3758">
        <v>0</v>
      </c>
      <c r="H3758">
        <v>2</v>
      </c>
      <c r="I3758" s="3">
        <v>2523.58</v>
      </c>
      <c r="J3758" s="3">
        <v>0</v>
      </c>
      <c r="K3758" t="s">
        <v>9064</v>
      </c>
      <c r="N3758">
        <v>96321</v>
      </c>
      <c r="P3758" t="str">
        <f>""</f>
        <v/>
      </c>
    </row>
    <row r="3759" spans="1:16" x14ac:dyDescent="0.25">
      <c r="A3759" t="str">
        <f>"1100081M00312    00"</f>
        <v>1100081M00312    00</v>
      </c>
      <c r="B3759" t="s">
        <v>9065</v>
      </c>
      <c r="C3759" t="s">
        <v>9066</v>
      </c>
      <c r="D3759" t="s">
        <v>20</v>
      </c>
      <c r="E3759" t="s">
        <v>39</v>
      </c>
      <c r="F3759">
        <v>0</v>
      </c>
      <c r="G3759">
        <v>0</v>
      </c>
      <c r="H3759">
        <v>15</v>
      </c>
      <c r="I3759" s="3">
        <v>10579.19</v>
      </c>
      <c r="J3759" s="3">
        <v>6620.86</v>
      </c>
      <c r="L3759">
        <v>5653</v>
      </c>
      <c r="M3759" t="s">
        <v>2901</v>
      </c>
      <c r="N3759" t="s">
        <v>30</v>
      </c>
      <c r="O3759" t="s">
        <v>31</v>
      </c>
      <c r="P3759" t="str">
        <f>"15206"</f>
        <v>15206</v>
      </c>
    </row>
    <row r="3760" spans="1:16" x14ac:dyDescent="0.25">
      <c r="A3760" t="str">
        <f>"1100081M00314    00"</f>
        <v>1100081M00314    00</v>
      </c>
      <c r="B3760" t="s">
        <v>9067</v>
      </c>
      <c r="C3760" t="s">
        <v>9068</v>
      </c>
      <c r="E3760" t="s">
        <v>39</v>
      </c>
      <c r="F3760">
        <v>0</v>
      </c>
      <c r="G3760">
        <v>0</v>
      </c>
      <c r="H3760">
        <v>1</v>
      </c>
      <c r="I3760" s="3">
        <v>641.65</v>
      </c>
      <c r="J3760" s="3">
        <v>0</v>
      </c>
      <c r="L3760">
        <v>2216</v>
      </c>
      <c r="M3760" t="s">
        <v>9069</v>
      </c>
      <c r="N3760" t="s">
        <v>30</v>
      </c>
      <c r="O3760" t="s">
        <v>31</v>
      </c>
      <c r="P3760" t="str">
        <f>"15218"</f>
        <v>15218</v>
      </c>
    </row>
    <row r="3761" spans="1:16" x14ac:dyDescent="0.25">
      <c r="A3761" t="str">
        <f>"1100081M00323    00"</f>
        <v>1100081M00323    00</v>
      </c>
      <c r="B3761" t="s">
        <v>4108</v>
      </c>
      <c r="C3761" t="s">
        <v>9070</v>
      </c>
      <c r="D3761" t="s">
        <v>20</v>
      </c>
      <c r="E3761" t="s">
        <v>39</v>
      </c>
      <c r="F3761">
        <v>0</v>
      </c>
      <c r="G3761">
        <v>0</v>
      </c>
      <c r="H3761">
        <v>2</v>
      </c>
      <c r="I3761" s="3">
        <v>1204.01</v>
      </c>
      <c r="J3761" s="3">
        <v>0</v>
      </c>
      <c r="L3761">
        <v>4735</v>
      </c>
      <c r="M3761" t="s">
        <v>841</v>
      </c>
      <c r="N3761" t="s">
        <v>30</v>
      </c>
      <c r="O3761" t="s">
        <v>31</v>
      </c>
      <c r="P3761" t="str">
        <f>"15201"</f>
        <v>15201</v>
      </c>
    </row>
    <row r="3762" spans="1:16" x14ac:dyDescent="0.25">
      <c r="A3762" t="str">
        <f>"1100081M00325    00"</f>
        <v>1100081M00325    00</v>
      </c>
      <c r="B3762" t="s">
        <v>9071</v>
      </c>
      <c r="C3762" t="s">
        <v>9072</v>
      </c>
      <c r="E3762" t="s">
        <v>39</v>
      </c>
      <c r="F3762">
        <v>0</v>
      </c>
      <c r="G3762">
        <v>0</v>
      </c>
      <c r="H3762">
        <v>11</v>
      </c>
      <c r="I3762" s="3">
        <v>15574.38</v>
      </c>
      <c r="J3762" s="3">
        <v>10624.36</v>
      </c>
      <c r="K3762" t="s">
        <v>484</v>
      </c>
      <c r="L3762">
        <v>3001</v>
      </c>
      <c r="M3762" t="s">
        <v>330</v>
      </c>
      <c r="N3762" t="s">
        <v>331</v>
      </c>
      <c r="O3762" t="s">
        <v>108</v>
      </c>
      <c r="P3762" t="str">
        <f>"75063"</f>
        <v>75063</v>
      </c>
    </row>
    <row r="3763" spans="1:16" x14ac:dyDescent="0.25">
      <c r="A3763" t="str">
        <f>"1100081M00326    00"</f>
        <v>1100081M00326    00</v>
      </c>
      <c r="B3763" t="s">
        <v>9073</v>
      </c>
      <c r="C3763" t="s">
        <v>9074</v>
      </c>
      <c r="D3763" t="s">
        <v>20</v>
      </c>
      <c r="E3763" t="s">
        <v>39</v>
      </c>
      <c r="F3763">
        <v>0</v>
      </c>
      <c r="G3763">
        <v>0</v>
      </c>
      <c r="H3763">
        <v>1</v>
      </c>
      <c r="I3763" s="3">
        <v>234.9</v>
      </c>
      <c r="J3763" s="3">
        <v>0</v>
      </c>
      <c r="K3763" t="s">
        <v>9075</v>
      </c>
      <c r="L3763">
        <v>221</v>
      </c>
      <c r="M3763" t="s">
        <v>9013</v>
      </c>
      <c r="N3763" t="s">
        <v>30</v>
      </c>
      <c r="O3763" t="s">
        <v>31</v>
      </c>
      <c r="P3763" t="str">
        <f>"15201"</f>
        <v>15201</v>
      </c>
    </row>
    <row r="3764" spans="1:16" x14ac:dyDescent="0.25">
      <c r="A3764" t="str">
        <f>"1100081M00340    00"</f>
        <v>1100081M00340    00</v>
      </c>
      <c r="B3764" t="s">
        <v>9076</v>
      </c>
      <c r="C3764" t="s">
        <v>9077</v>
      </c>
      <c r="E3764" t="s">
        <v>39</v>
      </c>
      <c r="F3764">
        <v>0</v>
      </c>
      <c r="G3764">
        <v>0</v>
      </c>
      <c r="H3764">
        <v>1</v>
      </c>
      <c r="I3764" s="3">
        <v>52.68</v>
      </c>
      <c r="J3764" s="3">
        <v>0</v>
      </c>
      <c r="L3764">
        <v>5144</v>
      </c>
      <c r="M3764" t="s">
        <v>3738</v>
      </c>
      <c r="N3764" t="s">
        <v>30</v>
      </c>
      <c r="O3764" t="s">
        <v>31</v>
      </c>
      <c r="P3764" t="str">
        <f>"15201"</f>
        <v>15201</v>
      </c>
    </row>
    <row r="3765" spans="1:16" x14ac:dyDescent="0.25">
      <c r="A3765" t="str">
        <f>"1100081M00350    00"</f>
        <v>1100081M00350    00</v>
      </c>
      <c r="B3765" t="s">
        <v>9078</v>
      </c>
      <c r="C3765" t="s">
        <v>9079</v>
      </c>
      <c r="E3765" t="s">
        <v>39</v>
      </c>
      <c r="F3765">
        <v>0</v>
      </c>
      <c r="G3765">
        <v>0</v>
      </c>
      <c r="H3765">
        <v>1</v>
      </c>
      <c r="I3765" s="3">
        <v>2455.46</v>
      </c>
      <c r="J3765" s="3">
        <v>0</v>
      </c>
      <c r="L3765">
        <v>5114</v>
      </c>
      <c r="M3765" t="s">
        <v>3738</v>
      </c>
      <c r="N3765" t="s">
        <v>30</v>
      </c>
      <c r="O3765" t="s">
        <v>31</v>
      </c>
      <c r="P3765" t="str">
        <f>"15201"</f>
        <v>15201</v>
      </c>
    </row>
    <row r="3766" spans="1:16" x14ac:dyDescent="0.25">
      <c r="A3766" t="str">
        <f>"1100081R00017    00"</f>
        <v>1100081R00017    00</v>
      </c>
      <c r="B3766" t="s">
        <v>9080</v>
      </c>
      <c r="C3766" t="s">
        <v>7834</v>
      </c>
      <c r="D3766" t="s">
        <v>20</v>
      </c>
      <c r="E3766" t="s">
        <v>39</v>
      </c>
      <c r="F3766">
        <v>0</v>
      </c>
      <c r="G3766">
        <v>0</v>
      </c>
      <c r="H3766">
        <v>19</v>
      </c>
      <c r="I3766" s="3">
        <v>10362.700000000001</v>
      </c>
      <c r="J3766" s="3">
        <v>7864.6</v>
      </c>
      <c r="P3766" t="str">
        <f>""</f>
        <v/>
      </c>
    </row>
    <row r="3767" spans="1:16" x14ac:dyDescent="0.25">
      <c r="A3767" t="str">
        <f>"1100081R00019    00"</f>
        <v>1100081R00019    00</v>
      </c>
      <c r="B3767" t="s">
        <v>9081</v>
      </c>
      <c r="C3767" t="s">
        <v>7834</v>
      </c>
      <c r="D3767" t="s">
        <v>20</v>
      </c>
      <c r="E3767" t="s">
        <v>39</v>
      </c>
      <c r="F3767">
        <v>0</v>
      </c>
      <c r="G3767">
        <v>0</v>
      </c>
      <c r="H3767">
        <v>19</v>
      </c>
      <c r="I3767" s="3">
        <v>8652.2199999999993</v>
      </c>
      <c r="J3767" s="3">
        <v>6829.62</v>
      </c>
      <c r="L3767">
        <v>5235</v>
      </c>
      <c r="M3767" t="s">
        <v>7830</v>
      </c>
      <c r="N3767" t="s">
        <v>30</v>
      </c>
      <c r="O3767" t="s">
        <v>31</v>
      </c>
      <c r="P3767" t="str">
        <f>"15224"</f>
        <v>15224</v>
      </c>
    </row>
    <row r="3768" spans="1:16" x14ac:dyDescent="0.25">
      <c r="A3768" t="str">
        <f>"1100081R00020    00"</f>
        <v>1100081R00020    00</v>
      </c>
      <c r="B3768" t="s">
        <v>9082</v>
      </c>
      <c r="C3768" t="s">
        <v>7834</v>
      </c>
      <c r="D3768" t="s">
        <v>20</v>
      </c>
      <c r="E3768" t="s">
        <v>39</v>
      </c>
      <c r="F3768">
        <v>0</v>
      </c>
      <c r="G3768">
        <v>0</v>
      </c>
      <c r="H3768">
        <v>19</v>
      </c>
      <c r="I3768" s="3">
        <v>8654.75</v>
      </c>
      <c r="J3768" s="3">
        <v>6830.51</v>
      </c>
      <c r="K3768" t="s">
        <v>9083</v>
      </c>
      <c r="L3768">
        <v>368</v>
      </c>
      <c r="M3768" t="s">
        <v>9084</v>
      </c>
      <c r="N3768" t="s">
        <v>30</v>
      </c>
      <c r="O3768" t="s">
        <v>31</v>
      </c>
      <c r="P3768" t="str">
        <f>"15201"</f>
        <v>15201</v>
      </c>
    </row>
    <row r="3769" spans="1:16" x14ac:dyDescent="0.25">
      <c r="A3769" t="str">
        <f>"1100081R00021    00"</f>
        <v>1100081R00021    00</v>
      </c>
      <c r="B3769" t="s">
        <v>9085</v>
      </c>
      <c r="C3769" t="s">
        <v>7834</v>
      </c>
      <c r="D3769" t="s">
        <v>20</v>
      </c>
      <c r="E3769" t="s">
        <v>39</v>
      </c>
      <c r="F3769">
        <v>0</v>
      </c>
      <c r="G3769">
        <v>0</v>
      </c>
      <c r="H3769">
        <v>17</v>
      </c>
      <c r="I3769" s="3">
        <v>7325.14</v>
      </c>
      <c r="J3769" s="3">
        <v>4808.67</v>
      </c>
      <c r="L3769">
        <v>7130</v>
      </c>
      <c r="M3769" t="s">
        <v>9086</v>
      </c>
      <c r="N3769" t="s">
        <v>30</v>
      </c>
      <c r="O3769" t="s">
        <v>31</v>
      </c>
      <c r="P3769" t="str">
        <f>"15208"</f>
        <v>15208</v>
      </c>
    </row>
    <row r="3770" spans="1:16" x14ac:dyDescent="0.25">
      <c r="A3770" t="str">
        <f>"1100081R00122    00"</f>
        <v>1100081R00122    00</v>
      </c>
      <c r="B3770" t="s">
        <v>9087</v>
      </c>
      <c r="C3770" t="s">
        <v>7840</v>
      </c>
      <c r="D3770" t="s">
        <v>20</v>
      </c>
      <c r="E3770" t="s">
        <v>39</v>
      </c>
      <c r="F3770">
        <v>0</v>
      </c>
      <c r="G3770">
        <v>0</v>
      </c>
      <c r="H3770">
        <v>19</v>
      </c>
      <c r="I3770" s="3">
        <v>25292.23</v>
      </c>
      <c r="J3770" s="3">
        <v>24305.17</v>
      </c>
      <c r="P3770" t="str">
        <f>""</f>
        <v/>
      </c>
    </row>
    <row r="3771" spans="1:16" x14ac:dyDescent="0.25">
      <c r="A3771" t="str">
        <f>"1100081R00123    00"</f>
        <v>1100081R00123    00</v>
      </c>
      <c r="B3771" t="s">
        <v>9087</v>
      </c>
      <c r="C3771" t="s">
        <v>7840</v>
      </c>
      <c r="D3771" t="s">
        <v>20</v>
      </c>
      <c r="E3771" t="s">
        <v>39</v>
      </c>
      <c r="F3771">
        <v>0</v>
      </c>
      <c r="G3771">
        <v>0</v>
      </c>
      <c r="H3771">
        <v>19</v>
      </c>
      <c r="I3771" s="3">
        <v>5111.8999999999996</v>
      </c>
      <c r="J3771" s="3">
        <v>4989.87</v>
      </c>
      <c r="P3771" t="str">
        <f>""</f>
        <v/>
      </c>
    </row>
    <row r="3772" spans="1:16" x14ac:dyDescent="0.25">
      <c r="A3772" t="str">
        <f>"1100081R00131    00"</f>
        <v>1100081R00131    00</v>
      </c>
      <c r="B3772" t="s">
        <v>9088</v>
      </c>
      <c r="C3772" t="s">
        <v>9089</v>
      </c>
      <c r="D3772" t="s">
        <v>20</v>
      </c>
      <c r="E3772" t="s">
        <v>39</v>
      </c>
      <c r="F3772">
        <v>0</v>
      </c>
      <c r="G3772">
        <v>0</v>
      </c>
      <c r="H3772">
        <v>7</v>
      </c>
      <c r="I3772" s="3">
        <v>4724.09</v>
      </c>
      <c r="J3772" s="3">
        <v>1306.3599999999999</v>
      </c>
      <c r="K3772" t="s">
        <v>9090</v>
      </c>
      <c r="L3772">
        <v>5670</v>
      </c>
      <c r="M3772" t="s">
        <v>9091</v>
      </c>
      <c r="N3772" t="s">
        <v>30</v>
      </c>
      <c r="O3772" t="s">
        <v>31</v>
      </c>
      <c r="P3772" t="str">
        <f>"15236"</f>
        <v>15236</v>
      </c>
    </row>
    <row r="3773" spans="1:16" x14ac:dyDescent="0.25">
      <c r="A3773" t="str">
        <f>"1100081R00304    00"</f>
        <v>1100081R00304    00</v>
      </c>
      <c r="B3773" t="s">
        <v>9092</v>
      </c>
      <c r="C3773" t="s">
        <v>9093</v>
      </c>
      <c r="D3773" t="s">
        <v>20</v>
      </c>
      <c r="E3773" t="s">
        <v>39</v>
      </c>
      <c r="F3773">
        <v>0</v>
      </c>
      <c r="G3773">
        <v>0</v>
      </c>
      <c r="H3773">
        <v>3</v>
      </c>
      <c r="I3773" s="3">
        <v>2759.41</v>
      </c>
      <c r="J3773" s="3">
        <v>168.51</v>
      </c>
      <c r="L3773">
        <v>224</v>
      </c>
      <c r="M3773" t="s">
        <v>9013</v>
      </c>
      <c r="N3773" t="s">
        <v>30</v>
      </c>
      <c r="O3773" t="s">
        <v>31</v>
      </c>
      <c r="P3773" t="str">
        <f>"15201"</f>
        <v>15201</v>
      </c>
    </row>
    <row r="3774" spans="1:16" x14ac:dyDescent="0.25">
      <c r="A3774" t="str">
        <f>"1100081R00309    00"</f>
        <v>1100081R00309    00</v>
      </c>
      <c r="B3774" t="s">
        <v>9094</v>
      </c>
      <c r="C3774" t="s">
        <v>9095</v>
      </c>
      <c r="E3774" t="s">
        <v>39</v>
      </c>
      <c r="F3774">
        <v>0</v>
      </c>
      <c r="G3774">
        <v>0</v>
      </c>
      <c r="H3774">
        <v>7</v>
      </c>
      <c r="I3774" s="3">
        <v>7929.28</v>
      </c>
      <c r="J3774" s="3">
        <v>7446.79</v>
      </c>
      <c r="K3774" t="s">
        <v>557</v>
      </c>
      <c r="L3774">
        <v>3001</v>
      </c>
      <c r="M3774" t="s">
        <v>330</v>
      </c>
      <c r="N3774" t="s">
        <v>331</v>
      </c>
      <c r="O3774" t="s">
        <v>108</v>
      </c>
      <c r="P3774" t="str">
        <f>"75063"</f>
        <v>75063</v>
      </c>
    </row>
    <row r="3775" spans="1:16" x14ac:dyDescent="0.25">
      <c r="A3775" t="str">
        <f>"1100081R00310    00"</f>
        <v>1100081R00310    00</v>
      </c>
      <c r="B3775" t="s">
        <v>9096</v>
      </c>
      <c r="C3775" t="s">
        <v>9097</v>
      </c>
      <c r="D3775" t="s">
        <v>20</v>
      </c>
      <c r="E3775" t="s">
        <v>39</v>
      </c>
      <c r="F3775">
        <v>0</v>
      </c>
      <c r="G3775">
        <v>0</v>
      </c>
      <c r="H3775">
        <v>1</v>
      </c>
      <c r="I3775" s="3">
        <v>1198.8800000000001</v>
      </c>
      <c r="J3775" s="3">
        <v>0</v>
      </c>
      <c r="L3775">
        <v>836</v>
      </c>
      <c r="M3775" t="s">
        <v>4053</v>
      </c>
      <c r="N3775" t="s">
        <v>30</v>
      </c>
      <c r="O3775" t="s">
        <v>31</v>
      </c>
      <c r="P3775" t="str">
        <f>"15201"</f>
        <v>15201</v>
      </c>
    </row>
    <row r="3776" spans="1:16" x14ac:dyDescent="0.25">
      <c r="A3776" t="str">
        <f>"1100081R00312    00"</f>
        <v>1100081R00312    00</v>
      </c>
      <c r="B3776" t="s">
        <v>9098</v>
      </c>
      <c r="C3776" t="s">
        <v>9099</v>
      </c>
      <c r="D3776" t="s">
        <v>20</v>
      </c>
      <c r="E3776" t="s">
        <v>39</v>
      </c>
      <c r="F3776">
        <v>0</v>
      </c>
      <c r="G3776">
        <v>0</v>
      </c>
      <c r="H3776">
        <v>2</v>
      </c>
      <c r="I3776" s="3">
        <v>888.04</v>
      </c>
      <c r="J3776" s="3">
        <v>0</v>
      </c>
      <c r="K3776" t="s">
        <v>9100</v>
      </c>
      <c r="L3776">
        <v>411</v>
      </c>
      <c r="M3776" t="s">
        <v>9101</v>
      </c>
      <c r="N3776" t="s">
        <v>30</v>
      </c>
      <c r="O3776" t="s">
        <v>31</v>
      </c>
      <c r="P3776" t="str">
        <f>"15235"</f>
        <v>15235</v>
      </c>
    </row>
    <row r="3777" spans="1:16" x14ac:dyDescent="0.25">
      <c r="A3777" t="str">
        <f>"1100081R00313    00"</f>
        <v>1100081R00313    00</v>
      </c>
      <c r="B3777" t="s">
        <v>9102</v>
      </c>
      <c r="C3777" t="s">
        <v>9103</v>
      </c>
      <c r="E3777" t="s">
        <v>39</v>
      </c>
      <c r="F3777">
        <v>0</v>
      </c>
      <c r="G3777">
        <v>0</v>
      </c>
      <c r="H3777">
        <v>1</v>
      </c>
      <c r="I3777" s="3">
        <v>299.93</v>
      </c>
      <c r="J3777" s="3">
        <v>0</v>
      </c>
      <c r="L3777">
        <v>846</v>
      </c>
      <c r="M3777" t="s">
        <v>4053</v>
      </c>
      <c r="N3777" t="s">
        <v>30</v>
      </c>
      <c r="O3777" t="s">
        <v>31</v>
      </c>
      <c r="P3777" t="str">
        <f>"15201"</f>
        <v>15201</v>
      </c>
    </row>
    <row r="3778" spans="1:16" x14ac:dyDescent="0.25">
      <c r="A3778" t="str">
        <f>"1100081S00075    00"</f>
        <v>1100081S00075    00</v>
      </c>
      <c r="B3778" t="s">
        <v>9104</v>
      </c>
      <c r="C3778" t="s">
        <v>9105</v>
      </c>
      <c r="D3778" t="s">
        <v>20</v>
      </c>
      <c r="E3778" t="s">
        <v>39</v>
      </c>
      <c r="F3778">
        <v>0</v>
      </c>
      <c r="G3778">
        <v>0</v>
      </c>
      <c r="H3778">
        <v>2</v>
      </c>
      <c r="I3778" s="3">
        <v>569.16999999999996</v>
      </c>
      <c r="J3778" s="3">
        <v>3.21</v>
      </c>
      <c r="L3778">
        <v>5233</v>
      </c>
      <c r="M3778" t="s">
        <v>2444</v>
      </c>
      <c r="N3778" t="s">
        <v>30</v>
      </c>
      <c r="O3778" t="s">
        <v>31</v>
      </c>
      <c r="P3778" t="str">
        <f>"15201"</f>
        <v>15201</v>
      </c>
    </row>
    <row r="3779" spans="1:16" x14ac:dyDescent="0.25">
      <c r="A3779" t="str">
        <f>"1100081S00120    00"</f>
        <v>1100081S00120    00</v>
      </c>
      <c r="B3779" t="s">
        <v>9104</v>
      </c>
      <c r="C3779" t="s">
        <v>9106</v>
      </c>
      <c r="D3779" t="s">
        <v>20</v>
      </c>
      <c r="E3779" t="s">
        <v>21</v>
      </c>
      <c r="F3779">
        <v>0</v>
      </c>
      <c r="G3779">
        <v>0</v>
      </c>
      <c r="H3779">
        <v>1</v>
      </c>
      <c r="I3779" s="3">
        <v>745.26</v>
      </c>
      <c r="J3779" s="3">
        <v>0</v>
      </c>
      <c r="L3779">
        <v>5233</v>
      </c>
      <c r="M3779" t="s">
        <v>2444</v>
      </c>
      <c r="N3779" t="s">
        <v>30</v>
      </c>
      <c r="O3779" t="s">
        <v>31</v>
      </c>
      <c r="P3779" t="str">
        <f>"15201"</f>
        <v>15201</v>
      </c>
    </row>
    <row r="3780" spans="1:16" x14ac:dyDescent="0.25">
      <c r="A3780" t="str">
        <f>"1100081S00146    00"</f>
        <v>1100081S00146    00</v>
      </c>
      <c r="B3780" t="s">
        <v>9107</v>
      </c>
      <c r="C3780" t="s">
        <v>9105</v>
      </c>
      <c r="D3780" t="s">
        <v>20</v>
      </c>
      <c r="E3780" t="s">
        <v>39</v>
      </c>
      <c r="F3780">
        <v>0</v>
      </c>
      <c r="G3780">
        <v>0</v>
      </c>
      <c r="H3780">
        <v>17</v>
      </c>
      <c r="I3780" s="3">
        <v>5886.9</v>
      </c>
      <c r="J3780" s="3">
        <v>3770.56</v>
      </c>
      <c r="L3780">
        <v>1086</v>
      </c>
      <c r="M3780" t="s">
        <v>9108</v>
      </c>
      <c r="N3780" t="s">
        <v>9109</v>
      </c>
      <c r="O3780" t="s">
        <v>1005</v>
      </c>
      <c r="P3780" t="str">
        <f>"85243"</f>
        <v>85243</v>
      </c>
    </row>
    <row r="3781" spans="1:16" x14ac:dyDescent="0.25">
      <c r="A3781" t="str">
        <f>"1100081S00252    00"</f>
        <v>1100081S00252    00</v>
      </c>
      <c r="B3781" t="s">
        <v>9110</v>
      </c>
      <c r="C3781" t="s">
        <v>9111</v>
      </c>
      <c r="E3781" t="s">
        <v>39</v>
      </c>
      <c r="F3781">
        <v>0</v>
      </c>
      <c r="G3781">
        <v>0</v>
      </c>
      <c r="H3781">
        <v>1</v>
      </c>
      <c r="I3781" s="3">
        <v>1300.1099999999999</v>
      </c>
      <c r="J3781" s="3">
        <v>390.01</v>
      </c>
      <c r="L3781">
        <v>4625</v>
      </c>
      <c r="M3781" t="s">
        <v>614</v>
      </c>
      <c r="N3781" t="s">
        <v>30</v>
      </c>
      <c r="O3781" t="s">
        <v>31</v>
      </c>
      <c r="P3781" t="str">
        <f>"15224"</f>
        <v>15224</v>
      </c>
    </row>
    <row r="3782" spans="1:16" x14ac:dyDescent="0.25">
      <c r="A3782" t="str">
        <f>"1100081S00276    00"</f>
        <v>1100081S00276    00</v>
      </c>
      <c r="B3782" t="s">
        <v>9112</v>
      </c>
      <c r="C3782" t="s">
        <v>9113</v>
      </c>
      <c r="E3782" t="s">
        <v>39</v>
      </c>
      <c r="F3782">
        <v>0</v>
      </c>
      <c r="G3782">
        <v>0</v>
      </c>
      <c r="H3782">
        <v>1</v>
      </c>
      <c r="I3782" s="3">
        <v>2359.4299999999998</v>
      </c>
      <c r="J3782" s="3">
        <v>648.80999999999995</v>
      </c>
      <c r="K3782" t="s">
        <v>9114</v>
      </c>
      <c r="M3782" t="s">
        <v>9115</v>
      </c>
      <c r="N3782" t="s">
        <v>264</v>
      </c>
      <c r="O3782" t="s">
        <v>25</v>
      </c>
      <c r="P3782" t="str">
        <f>"45263"</f>
        <v>45263</v>
      </c>
    </row>
    <row r="3783" spans="1:16" x14ac:dyDescent="0.25">
      <c r="A3783" t="str">
        <f>"1100082A00050    00"</f>
        <v>1100082A00050    00</v>
      </c>
      <c r="B3783" t="s">
        <v>9116</v>
      </c>
      <c r="C3783" t="s">
        <v>9117</v>
      </c>
      <c r="D3783" t="s">
        <v>20</v>
      </c>
      <c r="E3783" t="s">
        <v>39</v>
      </c>
      <c r="F3783">
        <v>0</v>
      </c>
      <c r="G3783">
        <v>0</v>
      </c>
      <c r="H3783">
        <v>2</v>
      </c>
      <c r="I3783" s="3">
        <v>421.72</v>
      </c>
      <c r="J3783" s="3">
        <v>49.63</v>
      </c>
      <c r="L3783">
        <v>1203</v>
      </c>
      <c r="M3783" t="s">
        <v>9118</v>
      </c>
      <c r="N3783" t="s">
        <v>30</v>
      </c>
      <c r="O3783" t="s">
        <v>31</v>
      </c>
      <c r="P3783" t="str">
        <f>"15206"</f>
        <v>15206</v>
      </c>
    </row>
    <row r="3784" spans="1:16" x14ac:dyDescent="0.25">
      <c r="A3784" t="str">
        <f>"1100082A00062    00"</f>
        <v>1100082A00062    00</v>
      </c>
      <c r="B3784" t="s">
        <v>9119</v>
      </c>
      <c r="C3784" t="s">
        <v>9120</v>
      </c>
      <c r="D3784" t="s">
        <v>20</v>
      </c>
      <c r="E3784" t="s">
        <v>39</v>
      </c>
      <c r="F3784">
        <v>0</v>
      </c>
      <c r="G3784">
        <v>0</v>
      </c>
      <c r="H3784">
        <v>1</v>
      </c>
      <c r="I3784" s="3">
        <v>1439.49</v>
      </c>
      <c r="J3784" s="3">
        <v>0</v>
      </c>
      <c r="L3784">
        <v>1247</v>
      </c>
      <c r="M3784" t="s">
        <v>9118</v>
      </c>
      <c r="N3784" t="s">
        <v>30</v>
      </c>
      <c r="O3784" t="s">
        <v>31</v>
      </c>
      <c r="P3784" t="str">
        <f>"15206"</f>
        <v>15206</v>
      </c>
    </row>
    <row r="3785" spans="1:16" x14ac:dyDescent="0.25">
      <c r="A3785" t="str">
        <f>"1100082A00071    00"</f>
        <v>1100082A00071    00</v>
      </c>
      <c r="B3785" t="s">
        <v>9121</v>
      </c>
      <c r="C3785" t="s">
        <v>9122</v>
      </c>
      <c r="D3785" t="s">
        <v>20</v>
      </c>
      <c r="E3785" t="s">
        <v>39</v>
      </c>
      <c r="F3785">
        <v>0</v>
      </c>
      <c r="G3785">
        <v>0</v>
      </c>
      <c r="H3785">
        <v>1</v>
      </c>
      <c r="I3785" s="3">
        <v>736.38</v>
      </c>
      <c r="J3785" s="3">
        <v>0</v>
      </c>
      <c r="L3785">
        <v>1265</v>
      </c>
      <c r="M3785" t="s">
        <v>9118</v>
      </c>
      <c r="N3785" t="s">
        <v>30</v>
      </c>
      <c r="O3785" t="s">
        <v>31</v>
      </c>
      <c r="P3785" t="str">
        <f>"15206"</f>
        <v>15206</v>
      </c>
    </row>
    <row r="3786" spans="1:16" x14ac:dyDescent="0.25">
      <c r="A3786" t="str">
        <f>"1100082A00073    00"</f>
        <v>1100082A00073    00</v>
      </c>
      <c r="B3786" t="s">
        <v>9123</v>
      </c>
      <c r="C3786" t="s">
        <v>9124</v>
      </c>
      <c r="D3786" t="s">
        <v>20</v>
      </c>
      <c r="E3786" t="s">
        <v>39</v>
      </c>
      <c r="F3786">
        <v>0</v>
      </c>
      <c r="G3786">
        <v>0</v>
      </c>
      <c r="H3786">
        <v>1</v>
      </c>
      <c r="I3786" s="3">
        <v>1359.44</v>
      </c>
      <c r="J3786" s="3">
        <v>0</v>
      </c>
      <c r="K3786" t="s">
        <v>9056</v>
      </c>
      <c r="L3786">
        <v>3001</v>
      </c>
      <c r="M3786" t="s">
        <v>404</v>
      </c>
      <c r="N3786" t="s">
        <v>331</v>
      </c>
      <c r="O3786" t="s">
        <v>108</v>
      </c>
      <c r="P3786" t="str">
        <f>"75063"</f>
        <v>75063</v>
      </c>
    </row>
    <row r="3787" spans="1:16" x14ac:dyDescent="0.25">
      <c r="A3787" t="str">
        <f>"1100082A00100    00"</f>
        <v>1100082A00100    00</v>
      </c>
      <c r="B3787" t="s">
        <v>9125</v>
      </c>
      <c r="C3787" t="s">
        <v>9126</v>
      </c>
      <c r="D3787" t="s">
        <v>20</v>
      </c>
      <c r="E3787" t="s">
        <v>39</v>
      </c>
      <c r="F3787">
        <v>0</v>
      </c>
      <c r="G3787">
        <v>0</v>
      </c>
      <c r="H3787">
        <v>5</v>
      </c>
      <c r="I3787" s="3">
        <v>7183.58</v>
      </c>
      <c r="J3787" s="3">
        <v>1271.08</v>
      </c>
      <c r="L3787">
        <v>1315</v>
      </c>
      <c r="M3787" t="s">
        <v>6520</v>
      </c>
      <c r="N3787" t="s">
        <v>195</v>
      </c>
      <c r="O3787" t="s">
        <v>31</v>
      </c>
      <c r="P3787" t="str">
        <f>"15101"</f>
        <v>15101</v>
      </c>
    </row>
    <row r="3788" spans="1:16" x14ac:dyDescent="0.25">
      <c r="A3788" t="str">
        <f>"1100082A00102    00"</f>
        <v>1100082A00102    00</v>
      </c>
      <c r="B3788" t="s">
        <v>9127</v>
      </c>
      <c r="C3788" t="s">
        <v>9128</v>
      </c>
      <c r="D3788" t="s">
        <v>20</v>
      </c>
      <c r="E3788" t="s">
        <v>39</v>
      </c>
      <c r="F3788">
        <v>0</v>
      </c>
      <c r="G3788">
        <v>0</v>
      </c>
      <c r="H3788">
        <v>1</v>
      </c>
      <c r="I3788" s="3">
        <v>24.44</v>
      </c>
      <c r="J3788" s="3">
        <v>0</v>
      </c>
      <c r="L3788">
        <v>1202</v>
      </c>
      <c r="M3788" t="s">
        <v>9118</v>
      </c>
      <c r="N3788" t="s">
        <v>30</v>
      </c>
      <c r="O3788" t="s">
        <v>31</v>
      </c>
      <c r="P3788" t="str">
        <f>"15206"</f>
        <v>15206</v>
      </c>
    </row>
    <row r="3789" spans="1:16" x14ac:dyDescent="0.25">
      <c r="A3789" t="str">
        <f>"1100082A00183    00"</f>
        <v>1100082A00183    00</v>
      </c>
      <c r="B3789" t="s">
        <v>9129</v>
      </c>
      <c r="C3789" t="s">
        <v>9130</v>
      </c>
      <c r="D3789" t="s">
        <v>20</v>
      </c>
      <c r="E3789" t="s">
        <v>39</v>
      </c>
      <c r="F3789">
        <v>0</v>
      </c>
      <c r="G3789">
        <v>0</v>
      </c>
      <c r="H3789">
        <v>1</v>
      </c>
      <c r="I3789" s="3">
        <v>46.54</v>
      </c>
      <c r="J3789" s="3">
        <v>0</v>
      </c>
      <c r="K3789" t="s">
        <v>756</v>
      </c>
      <c r="L3789">
        <v>3001</v>
      </c>
      <c r="M3789" t="s">
        <v>330</v>
      </c>
      <c r="N3789" t="s">
        <v>331</v>
      </c>
      <c r="O3789" t="s">
        <v>108</v>
      </c>
      <c r="P3789" t="str">
        <f>"75063"</f>
        <v>75063</v>
      </c>
    </row>
    <row r="3790" spans="1:16" x14ac:dyDescent="0.25">
      <c r="A3790" t="str">
        <f>"1100082A00195    00"</f>
        <v>1100082A00195    00</v>
      </c>
      <c r="B3790" t="s">
        <v>9131</v>
      </c>
      <c r="C3790" t="s">
        <v>9132</v>
      </c>
      <c r="D3790" t="s">
        <v>20</v>
      </c>
      <c r="E3790" t="s">
        <v>39</v>
      </c>
      <c r="F3790">
        <v>0</v>
      </c>
      <c r="G3790">
        <v>0</v>
      </c>
      <c r="H3790">
        <v>3</v>
      </c>
      <c r="I3790" s="3">
        <v>4421.5200000000004</v>
      </c>
      <c r="J3790" s="3">
        <v>52.75</v>
      </c>
      <c r="K3790" t="s">
        <v>1722</v>
      </c>
      <c r="M3790" t="s">
        <v>1723</v>
      </c>
      <c r="N3790" t="s">
        <v>410</v>
      </c>
      <c r="O3790" t="s">
        <v>31</v>
      </c>
      <c r="P3790" t="str">
        <f>"15701"</f>
        <v>15701</v>
      </c>
    </row>
    <row r="3791" spans="1:16" x14ac:dyDescent="0.25">
      <c r="A3791" t="str">
        <f>"1100082A00219    00"</f>
        <v>1100082A00219    00</v>
      </c>
      <c r="B3791" t="s">
        <v>9133</v>
      </c>
      <c r="C3791" t="s">
        <v>9134</v>
      </c>
      <c r="D3791" t="s">
        <v>20</v>
      </c>
      <c r="E3791" t="s">
        <v>39</v>
      </c>
      <c r="F3791">
        <v>0</v>
      </c>
      <c r="G3791">
        <v>0</v>
      </c>
      <c r="H3791">
        <v>2</v>
      </c>
      <c r="I3791" s="3">
        <v>893.75</v>
      </c>
      <c r="J3791" s="3">
        <v>0</v>
      </c>
      <c r="L3791">
        <v>1416</v>
      </c>
      <c r="M3791" t="s">
        <v>6022</v>
      </c>
      <c r="N3791" t="s">
        <v>30</v>
      </c>
      <c r="O3791" t="s">
        <v>31</v>
      </c>
      <c r="P3791" t="str">
        <f t="shared" ref="P3791:P3796" si="47">"15206"</f>
        <v>15206</v>
      </c>
    </row>
    <row r="3792" spans="1:16" x14ac:dyDescent="0.25">
      <c r="A3792" t="str">
        <f>"1100082A00220    00"</f>
        <v>1100082A00220    00</v>
      </c>
      <c r="B3792" t="s">
        <v>9135</v>
      </c>
      <c r="C3792" t="s">
        <v>9136</v>
      </c>
      <c r="E3792" t="s">
        <v>39</v>
      </c>
      <c r="F3792">
        <v>0</v>
      </c>
      <c r="G3792">
        <v>0</v>
      </c>
      <c r="H3792">
        <v>1</v>
      </c>
      <c r="I3792" s="3">
        <v>39.93</v>
      </c>
      <c r="J3792" s="3">
        <v>29.62</v>
      </c>
      <c r="K3792" t="s">
        <v>9137</v>
      </c>
      <c r="L3792">
        <v>1414</v>
      </c>
      <c r="M3792" t="s">
        <v>6022</v>
      </c>
      <c r="N3792" t="s">
        <v>30</v>
      </c>
      <c r="O3792" t="s">
        <v>31</v>
      </c>
      <c r="P3792" t="str">
        <f t="shared" si="47"/>
        <v>15206</v>
      </c>
    </row>
    <row r="3793" spans="1:16" x14ac:dyDescent="0.25">
      <c r="A3793" t="str">
        <f>"1100082A00230    00"</f>
        <v>1100082A00230    00</v>
      </c>
      <c r="B3793" t="s">
        <v>9138</v>
      </c>
      <c r="C3793" t="s">
        <v>9139</v>
      </c>
      <c r="D3793" t="s">
        <v>20</v>
      </c>
      <c r="E3793" t="s">
        <v>39</v>
      </c>
      <c r="F3793">
        <v>0</v>
      </c>
      <c r="G3793">
        <v>0</v>
      </c>
      <c r="H3793">
        <v>1</v>
      </c>
      <c r="I3793" s="3">
        <v>487.01</v>
      </c>
      <c r="J3793" s="3">
        <v>0</v>
      </c>
      <c r="L3793">
        <v>1252</v>
      </c>
      <c r="M3793" t="s">
        <v>6022</v>
      </c>
      <c r="N3793" t="s">
        <v>30</v>
      </c>
      <c r="O3793" t="s">
        <v>31</v>
      </c>
      <c r="P3793" t="str">
        <f t="shared" si="47"/>
        <v>15206</v>
      </c>
    </row>
    <row r="3794" spans="1:16" x14ac:dyDescent="0.25">
      <c r="A3794" t="str">
        <f>"1100082A00251    00"</f>
        <v>1100082A00251    00</v>
      </c>
      <c r="B3794" t="s">
        <v>9140</v>
      </c>
      <c r="C3794" t="s">
        <v>9141</v>
      </c>
      <c r="E3794" t="s">
        <v>39</v>
      </c>
      <c r="F3794">
        <v>0</v>
      </c>
      <c r="G3794">
        <v>0</v>
      </c>
      <c r="H3794">
        <v>1</v>
      </c>
      <c r="I3794" s="3">
        <v>579.49</v>
      </c>
      <c r="J3794" s="3">
        <v>0</v>
      </c>
      <c r="K3794" t="s">
        <v>9142</v>
      </c>
      <c r="L3794">
        <v>1202</v>
      </c>
      <c r="M3794" t="s">
        <v>6022</v>
      </c>
      <c r="N3794" t="s">
        <v>30</v>
      </c>
      <c r="O3794" t="s">
        <v>31</v>
      </c>
      <c r="P3794" t="str">
        <f t="shared" si="47"/>
        <v>15206</v>
      </c>
    </row>
    <row r="3795" spans="1:16" x14ac:dyDescent="0.25">
      <c r="A3795" t="str">
        <f>"1100082A00267    00"</f>
        <v>1100082A00267    00</v>
      </c>
      <c r="B3795" t="s">
        <v>9143</v>
      </c>
      <c r="C3795" t="s">
        <v>9144</v>
      </c>
      <c r="D3795" t="s">
        <v>20</v>
      </c>
      <c r="E3795" t="s">
        <v>39</v>
      </c>
      <c r="F3795">
        <v>0</v>
      </c>
      <c r="G3795">
        <v>0</v>
      </c>
      <c r="H3795">
        <v>3</v>
      </c>
      <c r="I3795" s="3">
        <v>1382.03</v>
      </c>
      <c r="J3795" s="3">
        <v>196.97</v>
      </c>
      <c r="K3795" t="s">
        <v>9145</v>
      </c>
      <c r="L3795">
        <v>1209</v>
      </c>
      <c r="M3795" t="s">
        <v>1315</v>
      </c>
      <c r="N3795" t="s">
        <v>30</v>
      </c>
      <c r="O3795" t="s">
        <v>31</v>
      </c>
      <c r="P3795" t="str">
        <f t="shared" si="47"/>
        <v>15206</v>
      </c>
    </row>
    <row r="3796" spans="1:16" x14ac:dyDescent="0.25">
      <c r="A3796" t="str">
        <f>"1100082B00024    00"</f>
        <v>1100082B00024    00</v>
      </c>
      <c r="B3796" t="s">
        <v>9146</v>
      </c>
      <c r="C3796" t="s">
        <v>9147</v>
      </c>
      <c r="E3796" t="s">
        <v>39</v>
      </c>
      <c r="F3796">
        <v>0</v>
      </c>
      <c r="G3796">
        <v>0</v>
      </c>
      <c r="H3796">
        <v>3</v>
      </c>
      <c r="I3796" s="3">
        <v>4305.74</v>
      </c>
      <c r="J3796" s="3">
        <v>692.91</v>
      </c>
      <c r="L3796">
        <v>1425</v>
      </c>
      <c r="M3796" t="s">
        <v>1315</v>
      </c>
      <c r="N3796" t="s">
        <v>30</v>
      </c>
      <c r="O3796" t="s">
        <v>31</v>
      </c>
      <c r="P3796" t="str">
        <f t="shared" si="47"/>
        <v>15206</v>
      </c>
    </row>
    <row r="3797" spans="1:16" x14ac:dyDescent="0.25">
      <c r="A3797" t="str">
        <f>"1100082E00144    00"</f>
        <v>1100082E00144    00</v>
      </c>
      <c r="B3797" t="s">
        <v>9148</v>
      </c>
      <c r="C3797" t="s">
        <v>9149</v>
      </c>
      <c r="E3797" t="s">
        <v>39</v>
      </c>
      <c r="F3797">
        <v>0</v>
      </c>
      <c r="G3797">
        <v>0</v>
      </c>
      <c r="H3797">
        <v>2</v>
      </c>
      <c r="I3797" s="3">
        <v>4871.74</v>
      </c>
      <c r="J3797" s="3">
        <v>162.38999999999999</v>
      </c>
      <c r="K3797" t="s">
        <v>1135</v>
      </c>
      <c r="L3797">
        <v>3001</v>
      </c>
      <c r="M3797" t="s">
        <v>330</v>
      </c>
      <c r="N3797" t="s">
        <v>331</v>
      </c>
      <c r="O3797" t="s">
        <v>108</v>
      </c>
      <c r="P3797" t="str">
        <f>"75063"</f>
        <v>75063</v>
      </c>
    </row>
    <row r="3798" spans="1:16" x14ac:dyDescent="0.25">
      <c r="A3798" t="str">
        <f>"1100082E00159    00"</f>
        <v>1100082E00159    00</v>
      </c>
      <c r="B3798" t="s">
        <v>9150</v>
      </c>
      <c r="C3798" t="s">
        <v>9151</v>
      </c>
      <c r="D3798" t="s">
        <v>20</v>
      </c>
      <c r="E3798" t="s">
        <v>39</v>
      </c>
      <c r="F3798">
        <v>0</v>
      </c>
      <c r="G3798">
        <v>0</v>
      </c>
      <c r="H3798">
        <v>2</v>
      </c>
      <c r="I3798" s="3">
        <v>5778.99</v>
      </c>
      <c r="J3798" s="3">
        <v>0</v>
      </c>
      <c r="L3798">
        <v>1026</v>
      </c>
      <c r="M3798" t="s">
        <v>9152</v>
      </c>
      <c r="N3798" t="s">
        <v>30</v>
      </c>
      <c r="O3798" t="s">
        <v>31</v>
      </c>
      <c r="P3798" t="str">
        <f>"15206"</f>
        <v>15206</v>
      </c>
    </row>
    <row r="3799" spans="1:16" x14ac:dyDescent="0.25">
      <c r="A3799" t="str">
        <f>"1100082E00259    00"</f>
        <v>1100082E00259    00</v>
      </c>
      <c r="B3799" t="s">
        <v>9153</v>
      </c>
      <c r="C3799" t="s">
        <v>9154</v>
      </c>
      <c r="D3799" t="s">
        <v>20</v>
      </c>
      <c r="E3799" t="s">
        <v>39</v>
      </c>
      <c r="F3799">
        <v>0</v>
      </c>
      <c r="G3799">
        <v>0</v>
      </c>
      <c r="H3799">
        <v>1</v>
      </c>
      <c r="I3799" s="3">
        <v>2731.31</v>
      </c>
      <c r="J3799" s="3">
        <v>0</v>
      </c>
      <c r="K3799" t="s">
        <v>7145</v>
      </c>
      <c r="L3799">
        <v>3001</v>
      </c>
      <c r="M3799" t="s">
        <v>330</v>
      </c>
      <c r="N3799" t="s">
        <v>331</v>
      </c>
      <c r="O3799" t="s">
        <v>108</v>
      </c>
      <c r="P3799" t="str">
        <f>"75063"</f>
        <v>75063</v>
      </c>
    </row>
    <row r="3800" spans="1:16" x14ac:dyDescent="0.25">
      <c r="A3800" t="str">
        <f>"1100082E00268    00"</f>
        <v>1100082E00268    00</v>
      </c>
      <c r="B3800" t="s">
        <v>9155</v>
      </c>
      <c r="C3800" t="s">
        <v>9156</v>
      </c>
      <c r="E3800" t="s">
        <v>39</v>
      </c>
      <c r="F3800">
        <v>0</v>
      </c>
      <c r="G3800">
        <v>0</v>
      </c>
      <c r="H3800">
        <v>1</v>
      </c>
      <c r="I3800" s="3">
        <v>3532.52</v>
      </c>
      <c r="J3800" s="3">
        <v>971.41</v>
      </c>
      <c r="K3800" t="s">
        <v>557</v>
      </c>
      <c r="L3800">
        <v>3001</v>
      </c>
      <c r="M3800" t="s">
        <v>330</v>
      </c>
      <c r="N3800" t="s">
        <v>331</v>
      </c>
      <c r="O3800" t="s">
        <v>108</v>
      </c>
      <c r="P3800" t="str">
        <f>"75063"</f>
        <v>75063</v>
      </c>
    </row>
    <row r="3801" spans="1:16" x14ac:dyDescent="0.25">
      <c r="A3801" t="str">
        <f>"1100082E00308    00"</f>
        <v>1100082E00308    00</v>
      </c>
      <c r="B3801" t="s">
        <v>9157</v>
      </c>
      <c r="C3801" t="s">
        <v>9158</v>
      </c>
      <c r="D3801" t="s">
        <v>20</v>
      </c>
      <c r="E3801" t="s">
        <v>39</v>
      </c>
      <c r="F3801">
        <v>0</v>
      </c>
      <c r="G3801">
        <v>0</v>
      </c>
      <c r="H3801">
        <v>9</v>
      </c>
      <c r="I3801" s="3">
        <v>11654.44</v>
      </c>
      <c r="J3801" s="3">
        <v>4479.28</v>
      </c>
      <c r="K3801" t="s">
        <v>9159</v>
      </c>
      <c r="L3801">
        <v>409</v>
      </c>
      <c r="M3801" t="s">
        <v>9160</v>
      </c>
      <c r="N3801" t="s">
        <v>2008</v>
      </c>
      <c r="O3801" t="s">
        <v>31</v>
      </c>
      <c r="P3801" t="str">
        <f>"16066"</f>
        <v>16066</v>
      </c>
    </row>
    <row r="3802" spans="1:16" x14ac:dyDescent="0.25">
      <c r="A3802" t="str">
        <f>"1100082J00071    00"</f>
        <v>1100082J00071    00</v>
      </c>
      <c r="B3802" t="s">
        <v>9161</v>
      </c>
      <c r="C3802" t="s">
        <v>9162</v>
      </c>
      <c r="E3802" t="s">
        <v>39</v>
      </c>
      <c r="F3802">
        <v>0</v>
      </c>
      <c r="G3802">
        <v>0</v>
      </c>
      <c r="H3802">
        <v>1</v>
      </c>
      <c r="I3802" s="3">
        <v>399.3</v>
      </c>
      <c r="J3802" s="3">
        <v>79.86</v>
      </c>
      <c r="L3802">
        <v>1004</v>
      </c>
      <c r="M3802" t="s">
        <v>9152</v>
      </c>
      <c r="N3802" t="s">
        <v>30</v>
      </c>
      <c r="O3802" t="s">
        <v>31</v>
      </c>
      <c r="P3802" t="str">
        <f>"15206"</f>
        <v>15206</v>
      </c>
    </row>
    <row r="3803" spans="1:16" x14ac:dyDescent="0.25">
      <c r="A3803" t="str">
        <f>"1100082J00073    00"</f>
        <v>1100082J00073    00</v>
      </c>
      <c r="B3803" t="s">
        <v>9163</v>
      </c>
      <c r="C3803" t="s">
        <v>9164</v>
      </c>
      <c r="E3803" t="s">
        <v>39</v>
      </c>
      <c r="F3803">
        <v>0</v>
      </c>
      <c r="G3803">
        <v>0</v>
      </c>
      <c r="H3803">
        <v>1</v>
      </c>
      <c r="I3803" s="3">
        <v>1276.3</v>
      </c>
      <c r="J3803" s="3">
        <v>0</v>
      </c>
      <c r="L3803">
        <v>5201</v>
      </c>
      <c r="M3803" t="s">
        <v>9165</v>
      </c>
      <c r="N3803" t="s">
        <v>30</v>
      </c>
      <c r="O3803" t="s">
        <v>31</v>
      </c>
      <c r="P3803" t="str">
        <f>"15206"</f>
        <v>15206</v>
      </c>
    </row>
    <row r="3804" spans="1:16" x14ac:dyDescent="0.25">
      <c r="A3804" t="str">
        <f>"1100082J00078    00"</f>
        <v>1100082J00078    00</v>
      </c>
      <c r="B3804" t="s">
        <v>9166</v>
      </c>
      <c r="C3804" t="s">
        <v>9167</v>
      </c>
      <c r="E3804" t="s">
        <v>39</v>
      </c>
      <c r="F3804">
        <v>0</v>
      </c>
      <c r="G3804">
        <v>0</v>
      </c>
      <c r="H3804">
        <v>1</v>
      </c>
      <c r="I3804" s="3">
        <v>726.19</v>
      </c>
      <c r="J3804" s="3">
        <v>0</v>
      </c>
      <c r="K3804" t="s">
        <v>9168</v>
      </c>
      <c r="L3804">
        <v>928</v>
      </c>
      <c r="M3804" t="s">
        <v>9152</v>
      </c>
      <c r="N3804" t="s">
        <v>30</v>
      </c>
      <c r="O3804" t="s">
        <v>31</v>
      </c>
      <c r="P3804" t="str">
        <f>"15206"</f>
        <v>15206</v>
      </c>
    </row>
    <row r="3805" spans="1:16" x14ac:dyDescent="0.25">
      <c r="A3805" t="str">
        <f>"1100082J00080    00"</f>
        <v>1100082J00080    00</v>
      </c>
      <c r="B3805" t="s">
        <v>9169</v>
      </c>
      <c r="C3805" t="s">
        <v>9170</v>
      </c>
      <c r="D3805" t="s">
        <v>20</v>
      </c>
      <c r="E3805" t="s">
        <v>39</v>
      </c>
      <c r="F3805">
        <v>0</v>
      </c>
      <c r="G3805">
        <v>0</v>
      </c>
      <c r="H3805">
        <v>2</v>
      </c>
      <c r="I3805" s="3">
        <v>2970.96</v>
      </c>
      <c r="J3805" s="3">
        <v>0</v>
      </c>
      <c r="L3805">
        <v>1800</v>
      </c>
      <c r="M3805" t="s">
        <v>9171</v>
      </c>
      <c r="N3805" t="s">
        <v>9172</v>
      </c>
      <c r="O3805" t="s">
        <v>692</v>
      </c>
      <c r="P3805" t="str">
        <f>"23805"</f>
        <v>23805</v>
      </c>
    </row>
    <row r="3806" spans="1:16" x14ac:dyDescent="0.25">
      <c r="A3806" t="str">
        <f>"1100082J00130    00"</f>
        <v>1100082J00130    00</v>
      </c>
      <c r="B3806" t="s">
        <v>9173</v>
      </c>
      <c r="C3806" t="s">
        <v>9174</v>
      </c>
      <c r="D3806" t="s">
        <v>20</v>
      </c>
      <c r="E3806" t="s">
        <v>39</v>
      </c>
      <c r="F3806">
        <v>0</v>
      </c>
      <c r="G3806">
        <v>0</v>
      </c>
      <c r="H3806">
        <v>2</v>
      </c>
      <c r="I3806" s="3">
        <v>4132.24</v>
      </c>
      <c r="J3806" s="3">
        <v>0</v>
      </c>
      <c r="L3806">
        <v>1112</v>
      </c>
      <c r="M3806" t="s">
        <v>6227</v>
      </c>
      <c r="N3806" t="s">
        <v>30</v>
      </c>
      <c r="O3806" t="s">
        <v>31</v>
      </c>
      <c r="P3806" t="str">
        <f>"15206"</f>
        <v>15206</v>
      </c>
    </row>
    <row r="3807" spans="1:16" x14ac:dyDescent="0.25">
      <c r="A3807" t="str">
        <f>"1100082J00201    00"</f>
        <v>1100082J00201    00</v>
      </c>
      <c r="B3807" t="s">
        <v>9175</v>
      </c>
      <c r="C3807" t="s">
        <v>9176</v>
      </c>
      <c r="D3807" t="s">
        <v>20</v>
      </c>
      <c r="E3807" t="s">
        <v>39</v>
      </c>
      <c r="F3807">
        <v>0</v>
      </c>
      <c r="G3807">
        <v>0</v>
      </c>
      <c r="H3807">
        <v>1</v>
      </c>
      <c r="I3807" s="3">
        <v>2159.48</v>
      </c>
      <c r="J3807" s="3">
        <v>0</v>
      </c>
      <c r="K3807" t="s">
        <v>557</v>
      </c>
      <c r="L3807">
        <v>3001</v>
      </c>
      <c r="M3807" t="s">
        <v>330</v>
      </c>
      <c r="N3807" t="s">
        <v>331</v>
      </c>
      <c r="O3807" t="s">
        <v>108</v>
      </c>
      <c r="P3807" t="str">
        <f>"75063"</f>
        <v>75063</v>
      </c>
    </row>
    <row r="3808" spans="1:16" x14ac:dyDescent="0.25">
      <c r="A3808" t="str">
        <f>"1100082J00252    00"</f>
        <v>1100082J00252    00</v>
      </c>
      <c r="B3808" t="s">
        <v>9177</v>
      </c>
      <c r="C3808" t="s">
        <v>9178</v>
      </c>
      <c r="D3808" t="s">
        <v>20</v>
      </c>
      <c r="E3808" t="s">
        <v>39</v>
      </c>
      <c r="F3808">
        <v>0</v>
      </c>
      <c r="G3808">
        <v>0</v>
      </c>
      <c r="H3808">
        <v>5</v>
      </c>
      <c r="I3808" s="3">
        <v>13682.09</v>
      </c>
      <c r="J3808" s="3">
        <v>2252.6</v>
      </c>
      <c r="L3808">
        <v>928</v>
      </c>
      <c r="M3808" t="s">
        <v>1315</v>
      </c>
      <c r="N3808" t="s">
        <v>30</v>
      </c>
      <c r="O3808" t="s">
        <v>31</v>
      </c>
      <c r="P3808" t="str">
        <f>"15206"</f>
        <v>15206</v>
      </c>
    </row>
    <row r="3809" spans="1:16" x14ac:dyDescent="0.25">
      <c r="A3809" t="str">
        <f>"1100082J00285    00"</f>
        <v>1100082J00285    00</v>
      </c>
      <c r="B3809" t="s">
        <v>9179</v>
      </c>
      <c r="C3809" t="s">
        <v>9180</v>
      </c>
      <c r="D3809" t="s">
        <v>20</v>
      </c>
      <c r="E3809" t="s">
        <v>21</v>
      </c>
      <c r="F3809">
        <v>0</v>
      </c>
      <c r="G3809">
        <v>0</v>
      </c>
      <c r="H3809">
        <v>1</v>
      </c>
      <c r="I3809" s="3">
        <v>4909.88</v>
      </c>
      <c r="J3809" s="3">
        <v>0</v>
      </c>
      <c r="K3809" t="s">
        <v>9181</v>
      </c>
      <c r="L3809">
        <v>1001</v>
      </c>
      <c r="M3809" t="s">
        <v>9182</v>
      </c>
      <c r="N3809" t="s">
        <v>30</v>
      </c>
      <c r="O3809" t="s">
        <v>31</v>
      </c>
      <c r="P3809" t="str">
        <f>"15206"</f>
        <v>15206</v>
      </c>
    </row>
    <row r="3810" spans="1:16" x14ac:dyDescent="0.25">
      <c r="A3810" t="str">
        <f>"1100082J00300    00"</f>
        <v>1100082J00300    00</v>
      </c>
      <c r="B3810" t="s">
        <v>9183</v>
      </c>
      <c r="C3810" t="s">
        <v>9184</v>
      </c>
      <c r="D3810" t="s">
        <v>20</v>
      </c>
      <c r="E3810" t="s">
        <v>39</v>
      </c>
      <c r="F3810">
        <v>0</v>
      </c>
      <c r="G3810">
        <v>0</v>
      </c>
      <c r="H3810">
        <v>1</v>
      </c>
      <c r="I3810" s="3">
        <v>2043.23</v>
      </c>
      <c r="J3810" s="3">
        <v>0</v>
      </c>
      <c r="K3810" t="s">
        <v>400</v>
      </c>
      <c r="L3810">
        <v>3001</v>
      </c>
      <c r="M3810" t="s">
        <v>330</v>
      </c>
      <c r="N3810" t="s">
        <v>331</v>
      </c>
      <c r="O3810" t="s">
        <v>108</v>
      </c>
      <c r="P3810" t="str">
        <f>"75063"</f>
        <v>75063</v>
      </c>
    </row>
    <row r="3811" spans="1:16" x14ac:dyDescent="0.25">
      <c r="A3811" t="str">
        <f>"1100082J00309    00"</f>
        <v>1100082J00309    00</v>
      </c>
      <c r="B3811" t="s">
        <v>9185</v>
      </c>
      <c r="C3811" t="s">
        <v>9186</v>
      </c>
      <c r="D3811" t="s">
        <v>20</v>
      </c>
      <c r="E3811" t="s">
        <v>39</v>
      </c>
      <c r="F3811">
        <v>0</v>
      </c>
      <c r="G3811">
        <v>0</v>
      </c>
      <c r="H3811">
        <v>2</v>
      </c>
      <c r="I3811" s="3">
        <v>1389.78</v>
      </c>
      <c r="J3811" s="3">
        <v>0</v>
      </c>
      <c r="L3811">
        <v>1007</v>
      </c>
      <c r="M3811" t="s">
        <v>9187</v>
      </c>
      <c r="N3811" t="s">
        <v>30</v>
      </c>
      <c r="O3811" t="s">
        <v>31</v>
      </c>
      <c r="P3811" t="str">
        <f>"15206"</f>
        <v>15206</v>
      </c>
    </row>
    <row r="3812" spans="1:16" x14ac:dyDescent="0.25">
      <c r="A3812" t="str">
        <f>"1100082J00316    00"</f>
        <v>1100082J00316    00</v>
      </c>
      <c r="B3812" t="s">
        <v>9188</v>
      </c>
      <c r="C3812" t="s">
        <v>9189</v>
      </c>
      <c r="D3812" t="s">
        <v>20</v>
      </c>
      <c r="E3812" t="s">
        <v>39</v>
      </c>
      <c r="F3812">
        <v>0</v>
      </c>
      <c r="G3812">
        <v>0</v>
      </c>
      <c r="H3812">
        <v>1</v>
      </c>
      <c r="I3812" s="3">
        <v>2592.16</v>
      </c>
      <c r="J3812" s="3">
        <v>0</v>
      </c>
      <c r="K3812" t="s">
        <v>6511</v>
      </c>
      <c r="M3812" t="s">
        <v>570</v>
      </c>
      <c r="N3812" t="s">
        <v>571</v>
      </c>
      <c r="O3812" t="s">
        <v>423</v>
      </c>
      <c r="P3812" t="str">
        <f>"07101"</f>
        <v>07101</v>
      </c>
    </row>
    <row r="3813" spans="1:16" x14ac:dyDescent="0.25">
      <c r="A3813" t="str">
        <f>"1100082J00323    00"</f>
        <v>1100082J00323    00</v>
      </c>
      <c r="B3813" t="s">
        <v>9190</v>
      </c>
      <c r="C3813" t="s">
        <v>9191</v>
      </c>
      <c r="D3813" t="s">
        <v>20</v>
      </c>
      <c r="E3813" t="s">
        <v>39</v>
      </c>
      <c r="F3813">
        <v>0</v>
      </c>
      <c r="G3813">
        <v>0</v>
      </c>
      <c r="H3813">
        <v>2</v>
      </c>
      <c r="I3813" s="3">
        <v>2746.82</v>
      </c>
      <c r="J3813" s="3">
        <v>0</v>
      </c>
      <c r="L3813">
        <v>5418</v>
      </c>
      <c r="M3813" t="s">
        <v>9192</v>
      </c>
      <c r="N3813" t="s">
        <v>30</v>
      </c>
      <c r="O3813" t="s">
        <v>31</v>
      </c>
      <c r="P3813" t="str">
        <f>"15206"</f>
        <v>15206</v>
      </c>
    </row>
    <row r="3814" spans="1:16" x14ac:dyDescent="0.25">
      <c r="A3814" t="str">
        <f>"1100082N00116    00"</f>
        <v>1100082N00116    00</v>
      </c>
      <c r="B3814" t="s">
        <v>9193</v>
      </c>
      <c r="C3814" t="s">
        <v>9194</v>
      </c>
      <c r="D3814" t="s">
        <v>20</v>
      </c>
      <c r="E3814" t="s">
        <v>39</v>
      </c>
      <c r="F3814">
        <v>0</v>
      </c>
      <c r="G3814">
        <v>0</v>
      </c>
      <c r="H3814">
        <v>1</v>
      </c>
      <c r="I3814" s="3">
        <v>1854.55</v>
      </c>
      <c r="J3814" s="3">
        <v>0</v>
      </c>
      <c r="K3814" t="s">
        <v>9195</v>
      </c>
      <c r="L3814">
        <v>502</v>
      </c>
      <c r="M3814" t="s">
        <v>9196</v>
      </c>
      <c r="N3814" t="s">
        <v>9197</v>
      </c>
      <c r="O3814" t="s">
        <v>31</v>
      </c>
      <c r="P3814" t="str">
        <f>"16502"</f>
        <v>16502</v>
      </c>
    </row>
    <row r="3815" spans="1:16" x14ac:dyDescent="0.25">
      <c r="A3815" t="str">
        <f>"1100119S00009    00"</f>
        <v>1100119S00009    00</v>
      </c>
      <c r="B3815" t="s">
        <v>9198</v>
      </c>
      <c r="C3815" t="s">
        <v>9199</v>
      </c>
      <c r="D3815" t="s">
        <v>20</v>
      </c>
      <c r="E3815" t="s">
        <v>39</v>
      </c>
      <c r="F3815">
        <v>0</v>
      </c>
      <c r="G3815">
        <v>0</v>
      </c>
      <c r="H3815">
        <v>1</v>
      </c>
      <c r="I3815" s="3">
        <v>592.11</v>
      </c>
      <c r="J3815" s="3">
        <v>236.83</v>
      </c>
      <c r="K3815" t="s">
        <v>5324</v>
      </c>
      <c r="L3815">
        <v>6850</v>
      </c>
      <c r="M3815" t="s">
        <v>763</v>
      </c>
      <c r="N3815" t="s">
        <v>764</v>
      </c>
      <c r="O3815" t="s">
        <v>25</v>
      </c>
      <c r="P3815" t="str">
        <f>"44141"</f>
        <v>44141</v>
      </c>
    </row>
    <row r="3816" spans="1:16" x14ac:dyDescent="0.25">
      <c r="A3816" t="str">
        <f>"1100119S00013    00"</f>
        <v>1100119S00013    00</v>
      </c>
      <c r="B3816" t="s">
        <v>9200</v>
      </c>
      <c r="C3816" t="s">
        <v>9201</v>
      </c>
      <c r="D3816" t="s">
        <v>20</v>
      </c>
      <c r="E3816" t="s">
        <v>39</v>
      </c>
      <c r="F3816">
        <v>0</v>
      </c>
      <c r="G3816">
        <v>0</v>
      </c>
      <c r="H3816">
        <v>1</v>
      </c>
      <c r="I3816" s="3">
        <v>758.61</v>
      </c>
      <c r="J3816" s="3">
        <v>0</v>
      </c>
      <c r="K3816" t="s">
        <v>9202</v>
      </c>
      <c r="L3816">
        <v>8241</v>
      </c>
      <c r="M3816" t="s">
        <v>9203</v>
      </c>
      <c r="N3816" t="s">
        <v>4505</v>
      </c>
      <c r="O3816" t="s">
        <v>692</v>
      </c>
      <c r="P3816" t="str">
        <f>"24019"</f>
        <v>24019</v>
      </c>
    </row>
    <row r="3817" spans="1:16" x14ac:dyDescent="0.25">
      <c r="A3817" t="str">
        <f>"1100119S00026    00"</f>
        <v>1100119S00026    00</v>
      </c>
      <c r="B3817" t="s">
        <v>9204</v>
      </c>
      <c r="C3817" t="s">
        <v>9205</v>
      </c>
      <c r="E3817" t="s">
        <v>39</v>
      </c>
      <c r="F3817">
        <v>0</v>
      </c>
      <c r="G3817">
        <v>0</v>
      </c>
      <c r="H3817">
        <v>1</v>
      </c>
      <c r="I3817" s="3">
        <v>1722.44</v>
      </c>
      <c r="J3817" s="3">
        <v>818.13</v>
      </c>
      <c r="K3817" t="s">
        <v>1108</v>
      </c>
      <c r="L3817">
        <v>8241</v>
      </c>
      <c r="M3817" t="s">
        <v>1109</v>
      </c>
      <c r="N3817" t="s">
        <v>1110</v>
      </c>
      <c r="O3817" t="s">
        <v>25</v>
      </c>
      <c r="P3817" t="str">
        <f>"44136"</f>
        <v>44136</v>
      </c>
    </row>
    <row r="3818" spans="1:16" x14ac:dyDescent="0.25">
      <c r="A3818" t="str">
        <f>"1100119S00027    00"</f>
        <v>1100119S00027    00</v>
      </c>
      <c r="B3818" t="s">
        <v>9206</v>
      </c>
      <c r="C3818" t="s">
        <v>9207</v>
      </c>
      <c r="D3818" t="s">
        <v>20</v>
      </c>
      <c r="E3818" t="s">
        <v>39</v>
      </c>
      <c r="F3818">
        <v>0</v>
      </c>
      <c r="G3818">
        <v>0</v>
      </c>
      <c r="H3818">
        <v>1</v>
      </c>
      <c r="I3818" s="3">
        <v>1111.21</v>
      </c>
      <c r="J3818" s="3">
        <v>0</v>
      </c>
      <c r="K3818" t="s">
        <v>9208</v>
      </c>
      <c r="L3818">
        <v>5704</v>
      </c>
      <c r="M3818" t="s">
        <v>7008</v>
      </c>
      <c r="N3818" t="s">
        <v>30</v>
      </c>
      <c r="O3818" t="s">
        <v>31</v>
      </c>
      <c r="P3818" t="str">
        <f>"15217"</f>
        <v>15217</v>
      </c>
    </row>
    <row r="3819" spans="1:16" x14ac:dyDescent="0.25">
      <c r="A3819" t="str">
        <f>"1100119S00033    00"</f>
        <v>1100119S00033    00</v>
      </c>
      <c r="B3819" t="s">
        <v>9209</v>
      </c>
      <c r="C3819" t="s">
        <v>9210</v>
      </c>
      <c r="D3819" t="s">
        <v>20</v>
      </c>
      <c r="E3819" t="s">
        <v>39</v>
      </c>
      <c r="F3819">
        <v>0</v>
      </c>
      <c r="G3819">
        <v>0</v>
      </c>
      <c r="H3819">
        <v>2</v>
      </c>
      <c r="I3819" s="3">
        <v>396.46</v>
      </c>
      <c r="J3819" s="3">
        <v>0</v>
      </c>
      <c r="K3819" t="s">
        <v>9211</v>
      </c>
      <c r="L3819">
        <v>1028</v>
      </c>
      <c r="M3819" t="s">
        <v>1315</v>
      </c>
      <c r="N3819" t="s">
        <v>30</v>
      </c>
      <c r="O3819" t="s">
        <v>31</v>
      </c>
      <c r="P3819" t="str">
        <f>"15206"</f>
        <v>15206</v>
      </c>
    </row>
    <row r="3820" spans="1:16" x14ac:dyDescent="0.25">
      <c r="A3820" t="str">
        <f>"1100119S00043    00"</f>
        <v>1100119S00043    00</v>
      </c>
      <c r="B3820" t="s">
        <v>9212</v>
      </c>
      <c r="C3820" t="s">
        <v>9213</v>
      </c>
      <c r="E3820" t="s">
        <v>39</v>
      </c>
      <c r="F3820">
        <v>0</v>
      </c>
      <c r="G3820">
        <v>0</v>
      </c>
      <c r="H3820">
        <v>1</v>
      </c>
      <c r="I3820" s="3">
        <v>3969.41</v>
      </c>
      <c r="J3820" s="3">
        <v>1885.39</v>
      </c>
      <c r="K3820" t="s">
        <v>5749</v>
      </c>
      <c r="M3820" t="s">
        <v>5750</v>
      </c>
      <c r="N3820" t="s">
        <v>107</v>
      </c>
      <c r="O3820" t="s">
        <v>108</v>
      </c>
      <c r="P3820" t="str">
        <f>"75265"</f>
        <v>75265</v>
      </c>
    </row>
    <row r="3821" spans="1:16" x14ac:dyDescent="0.25">
      <c r="A3821" t="str">
        <f>"1100119S00044    00"</f>
        <v>1100119S00044    00</v>
      </c>
      <c r="B3821" t="s">
        <v>9214</v>
      </c>
      <c r="C3821" t="s">
        <v>9215</v>
      </c>
      <c r="E3821" t="s">
        <v>39</v>
      </c>
      <c r="F3821">
        <v>0</v>
      </c>
      <c r="G3821">
        <v>0</v>
      </c>
      <c r="H3821">
        <v>1</v>
      </c>
      <c r="I3821" s="3">
        <v>6391.73</v>
      </c>
      <c r="J3821" s="3">
        <v>1757.65</v>
      </c>
      <c r="K3821" t="s">
        <v>9114</v>
      </c>
      <c r="M3821" t="s">
        <v>9115</v>
      </c>
      <c r="N3821" t="s">
        <v>264</v>
      </c>
      <c r="O3821" t="s">
        <v>25</v>
      </c>
      <c r="P3821" t="str">
        <f>"45263"</f>
        <v>45263</v>
      </c>
    </row>
    <row r="3822" spans="1:16" x14ac:dyDescent="0.25">
      <c r="A3822" t="str">
        <f>"1100119S00045    00"</f>
        <v>1100119S00045    00</v>
      </c>
      <c r="B3822" t="s">
        <v>9216</v>
      </c>
      <c r="C3822" t="s">
        <v>9217</v>
      </c>
      <c r="D3822" t="s">
        <v>57</v>
      </c>
      <c r="E3822" t="s">
        <v>39</v>
      </c>
      <c r="F3822">
        <v>0</v>
      </c>
      <c r="G3822">
        <v>0</v>
      </c>
      <c r="H3822">
        <v>2</v>
      </c>
      <c r="I3822" s="3">
        <v>12101.21</v>
      </c>
      <c r="J3822" s="3">
        <v>527.05999999999995</v>
      </c>
      <c r="K3822" t="s">
        <v>710</v>
      </c>
      <c r="L3822">
        <v>4140</v>
      </c>
      <c r="M3822" t="s">
        <v>711</v>
      </c>
      <c r="N3822" t="s">
        <v>712</v>
      </c>
      <c r="O3822" t="s">
        <v>31</v>
      </c>
      <c r="P3822" t="str">
        <f>"16148"</f>
        <v>16148</v>
      </c>
    </row>
    <row r="3823" spans="1:16" x14ac:dyDescent="0.25">
      <c r="A3823" t="str">
        <f>"1100119S00050C   00"</f>
        <v>1100119S00050C   00</v>
      </c>
      <c r="B3823" t="s">
        <v>9218</v>
      </c>
      <c r="C3823" t="s">
        <v>9219</v>
      </c>
      <c r="E3823" t="s">
        <v>39</v>
      </c>
      <c r="F3823">
        <v>0</v>
      </c>
      <c r="G3823">
        <v>0</v>
      </c>
      <c r="H3823">
        <v>1</v>
      </c>
      <c r="I3823" s="3">
        <v>642.72</v>
      </c>
      <c r="J3823" s="3">
        <v>862.28</v>
      </c>
      <c r="K3823" t="s">
        <v>1722</v>
      </c>
      <c r="M3823" t="s">
        <v>1723</v>
      </c>
      <c r="N3823" t="s">
        <v>410</v>
      </c>
      <c r="O3823" t="s">
        <v>31</v>
      </c>
      <c r="P3823" t="str">
        <f>"15701"</f>
        <v>15701</v>
      </c>
    </row>
    <row r="3824" spans="1:16" x14ac:dyDescent="0.25">
      <c r="A3824" t="str">
        <f>"1100119S00052B   00"</f>
        <v>1100119S00052B   00</v>
      </c>
      <c r="B3824" t="s">
        <v>839</v>
      </c>
      <c r="C3824" t="s">
        <v>8476</v>
      </c>
      <c r="D3824" t="s">
        <v>20</v>
      </c>
      <c r="E3824" t="s">
        <v>39</v>
      </c>
      <c r="F3824">
        <v>0</v>
      </c>
      <c r="G3824">
        <v>0</v>
      </c>
      <c r="H3824">
        <v>10</v>
      </c>
      <c r="I3824" s="3">
        <v>73.239999999999995</v>
      </c>
      <c r="J3824" s="3">
        <v>39.93</v>
      </c>
      <c r="K3824" t="s">
        <v>9220</v>
      </c>
      <c r="M3824" t="s">
        <v>9221</v>
      </c>
      <c r="N3824" t="s">
        <v>4150</v>
      </c>
      <c r="O3824" t="s">
        <v>31</v>
      </c>
      <c r="P3824" t="str">
        <f>"15116"</f>
        <v>15116</v>
      </c>
    </row>
    <row r="3825" spans="1:16" x14ac:dyDescent="0.25">
      <c r="A3825" t="str">
        <f>"1100119S00053    00"</f>
        <v>1100119S00053    00</v>
      </c>
      <c r="B3825" t="s">
        <v>7111</v>
      </c>
      <c r="C3825" t="s">
        <v>9222</v>
      </c>
      <c r="D3825" t="s">
        <v>20</v>
      </c>
      <c r="E3825" t="s">
        <v>39</v>
      </c>
      <c r="F3825">
        <v>0</v>
      </c>
      <c r="G3825">
        <v>0</v>
      </c>
      <c r="H3825">
        <v>2</v>
      </c>
      <c r="I3825" s="3">
        <v>740.21</v>
      </c>
      <c r="J3825" s="3">
        <v>0</v>
      </c>
      <c r="L3825">
        <v>4735</v>
      </c>
      <c r="M3825" t="s">
        <v>841</v>
      </c>
      <c r="N3825" t="s">
        <v>30</v>
      </c>
      <c r="O3825" t="s">
        <v>31</v>
      </c>
      <c r="P3825" t="str">
        <f>"15201"</f>
        <v>15201</v>
      </c>
    </row>
    <row r="3826" spans="1:16" x14ac:dyDescent="0.25">
      <c r="A3826" t="str">
        <f>"1100119S00054000100"</f>
        <v>1100119S00054000100</v>
      </c>
      <c r="B3826" t="s">
        <v>9223</v>
      </c>
      <c r="C3826" t="s">
        <v>9224</v>
      </c>
      <c r="E3826" t="s">
        <v>39</v>
      </c>
      <c r="F3826">
        <v>0</v>
      </c>
      <c r="G3826">
        <v>0</v>
      </c>
      <c r="H3826">
        <v>2</v>
      </c>
      <c r="I3826" s="3">
        <v>115.96</v>
      </c>
      <c r="J3826" s="3">
        <v>51.44</v>
      </c>
      <c r="K3826" t="s">
        <v>391</v>
      </c>
      <c r="L3826">
        <v>1</v>
      </c>
      <c r="M3826" t="s">
        <v>392</v>
      </c>
      <c r="N3826" t="s">
        <v>393</v>
      </c>
      <c r="O3826" t="s">
        <v>394</v>
      </c>
      <c r="P3826" t="str">
        <f>"50328"</f>
        <v>50328</v>
      </c>
    </row>
    <row r="3827" spans="1:16" x14ac:dyDescent="0.25">
      <c r="A3827" t="str">
        <f>"1100119S00072    00"</f>
        <v>1100119S00072    00</v>
      </c>
      <c r="B3827" t="s">
        <v>9225</v>
      </c>
      <c r="C3827" t="s">
        <v>9226</v>
      </c>
      <c r="D3827" t="s">
        <v>20</v>
      </c>
      <c r="E3827" t="s">
        <v>39</v>
      </c>
      <c r="F3827">
        <v>0</v>
      </c>
      <c r="G3827">
        <v>0</v>
      </c>
      <c r="H3827">
        <v>1</v>
      </c>
      <c r="I3827" s="3">
        <v>1978.43</v>
      </c>
      <c r="J3827" s="3">
        <v>0</v>
      </c>
      <c r="K3827" t="s">
        <v>5396</v>
      </c>
      <c r="L3827">
        <v>3001</v>
      </c>
      <c r="M3827" t="s">
        <v>330</v>
      </c>
      <c r="N3827" t="s">
        <v>331</v>
      </c>
      <c r="O3827" t="s">
        <v>108</v>
      </c>
      <c r="P3827" t="str">
        <f>"75063"</f>
        <v>75063</v>
      </c>
    </row>
    <row r="3828" spans="1:16" x14ac:dyDescent="0.25">
      <c r="A3828" t="str">
        <f>"1100119S00072B   00"</f>
        <v>1100119S00072B   00</v>
      </c>
      <c r="B3828" t="s">
        <v>9227</v>
      </c>
      <c r="C3828" t="s">
        <v>9228</v>
      </c>
      <c r="D3828" t="s">
        <v>20</v>
      </c>
      <c r="E3828" t="s">
        <v>39</v>
      </c>
      <c r="F3828">
        <v>0</v>
      </c>
      <c r="G3828">
        <v>0</v>
      </c>
      <c r="H3828">
        <v>5</v>
      </c>
      <c r="I3828" s="3">
        <v>3118.04</v>
      </c>
      <c r="J3828" s="3">
        <v>538.67999999999995</v>
      </c>
      <c r="K3828" t="s">
        <v>9229</v>
      </c>
      <c r="L3828">
        <v>5420</v>
      </c>
      <c r="M3828" t="s">
        <v>8363</v>
      </c>
      <c r="N3828" t="s">
        <v>30</v>
      </c>
      <c r="O3828" t="s">
        <v>31</v>
      </c>
      <c r="P3828" t="str">
        <f>"15201"</f>
        <v>15201</v>
      </c>
    </row>
    <row r="3829" spans="1:16" x14ac:dyDescent="0.25">
      <c r="A3829" t="str">
        <f>"1100119S00073000100"</f>
        <v>1100119S00073000100</v>
      </c>
      <c r="B3829" t="s">
        <v>9230</v>
      </c>
      <c r="C3829" t="s">
        <v>9231</v>
      </c>
      <c r="E3829" t="s">
        <v>39</v>
      </c>
      <c r="F3829">
        <v>0</v>
      </c>
      <c r="G3829">
        <v>0</v>
      </c>
      <c r="H3829">
        <v>1</v>
      </c>
      <c r="I3829" s="3">
        <v>1793.22</v>
      </c>
      <c r="J3829" s="3">
        <v>851.74</v>
      </c>
      <c r="K3829" t="s">
        <v>9232</v>
      </c>
      <c r="L3829">
        <v>5421</v>
      </c>
      <c r="M3829" t="s">
        <v>2444</v>
      </c>
      <c r="N3829" t="s">
        <v>30</v>
      </c>
      <c r="O3829" t="s">
        <v>31</v>
      </c>
      <c r="P3829" t="str">
        <f>"15201"</f>
        <v>15201</v>
      </c>
    </row>
    <row r="3830" spans="1:16" x14ac:dyDescent="0.25">
      <c r="A3830" t="str">
        <f>"1100119S00096    00"</f>
        <v>1100119S00096    00</v>
      </c>
      <c r="B3830" t="s">
        <v>9233</v>
      </c>
      <c r="C3830" t="s">
        <v>9234</v>
      </c>
      <c r="D3830" t="s">
        <v>20</v>
      </c>
      <c r="E3830" t="s">
        <v>21</v>
      </c>
      <c r="F3830">
        <v>0</v>
      </c>
      <c r="G3830">
        <v>0</v>
      </c>
      <c r="H3830">
        <v>1</v>
      </c>
      <c r="I3830" s="3">
        <v>46.6</v>
      </c>
      <c r="J3830" s="3">
        <v>0</v>
      </c>
      <c r="M3830" t="s">
        <v>9235</v>
      </c>
      <c r="N3830" t="s">
        <v>30</v>
      </c>
      <c r="O3830" t="s">
        <v>31</v>
      </c>
      <c r="P3830" t="str">
        <f>"15224"</f>
        <v>15224</v>
      </c>
    </row>
    <row r="3831" spans="1:16" x14ac:dyDescent="0.25">
      <c r="A3831" t="str">
        <f>"1100119S00105A   00"</f>
        <v>1100119S00105A   00</v>
      </c>
      <c r="B3831" t="s">
        <v>5020</v>
      </c>
      <c r="C3831" t="s">
        <v>9236</v>
      </c>
      <c r="E3831" t="s">
        <v>39</v>
      </c>
      <c r="F3831">
        <v>0</v>
      </c>
      <c r="G3831">
        <v>0</v>
      </c>
      <c r="H3831">
        <v>1</v>
      </c>
      <c r="I3831" s="3">
        <v>476.5</v>
      </c>
      <c r="J3831" s="3">
        <v>0</v>
      </c>
      <c r="K3831" t="s">
        <v>1722</v>
      </c>
      <c r="M3831" t="s">
        <v>1723</v>
      </c>
      <c r="N3831" t="s">
        <v>410</v>
      </c>
      <c r="O3831" t="s">
        <v>31</v>
      </c>
      <c r="P3831" t="str">
        <f>"15701"</f>
        <v>15701</v>
      </c>
    </row>
    <row r="3832" spans="1:16" x14ac:dyDescent="0.25">
      <c r="A3832" t="str">
        <f>"1100119S00105B   00"</f>
        <v>1100119S00105B   00</v>
      </c>
      <c r="B3832" t="s">
        <v>5020</v>
      </c>
      <c r="C3832" t="s">
        <v>9237</v>
      </c>
      <c r="E3832" t="s">
        <v>39</v>
      </c>
      <c r="F3832">
        <v>0</v>
      </c>
      <c r="G3832">
        <v>0</v>
      </c>
      <c r="H3832">
        <v>1</v>
      </c>
      <c r="I3832" s="3">
        <v>476.52</v>
      </c>
      <c r="J3832" s="3">
        <v>0</v>
      </c>
      <c r="K3832" t="s">
        <v>1722</v>
      </c>
      <c r="M3832" t="s">
        <v>1723</v>
      </c>
      <c r="N3832" t="s">
        <v>410</v>
      </c>
      <c r="O3832" t="s">
        <v>31</v>
      </c>
      <c r="P3832" t="str">
        <f>"15701"</f>
        <v>15701</v>
      </c>
    </row>
    <row r="3833" spans="1:16" x14ac:dyDescent="0.25">
      <c r="A3833" t="str">
        <f>"1100119S00219    00"</f>
        <v>1100119S00219    00</v>
      </c>
      <c r="B3833" t="s">
        <v>9238</v>
      </c>
      <c r="C3833" t="s">
        <v>9239</v>
      </c>
      <c r="D3833" t="s">
        <v>20</v>
      </c>
      <c r="E3833" t="s">
        <v>39</v>
      </c>
      <c r="F3833">
        <v>0</v>
      </c>
      <c r="G3833">
        <v>0</v>
      </c>
      <c r="H3833">
        <v>4</v>
      </c>
      <c r="I3833" s="3">
        <v>2017.79</v>
      </c>
      <c r="J3833" s="3">
        <v>155.69999999999999</v>
      </c>
      <c r="K3833" t="s">
        <v>9240</v>
      </c>
      <c r="L3833">
        <v>5418</v>
      </c>
      <c r="M3833" t="s">
        <v>9241</v>
      </c>
      <c r="N3833" t="s">
        <v>30</v>
      </c>
      <c r="O3833" t="s">
        <v>31</v>
      </c>
      <c r="P3833" t="str">
        <f>"15201"</f>
        <v>15201</v>
      </c>
    </row>
    <row r="3834" spans="1:16" x14ac:dyDescent="0.25">
      <c r="A3834" t="str">
        <f>"1100119S00226    00"</f>
        <v>1100119S00226    00</v>
      </c>
      <c r="B3834" t="s">
        <v>9242</v>
      </c>
      <c r="C3834" t="s">
        <v>9243</v>
      </c>
      <c r="D3834" t="s">
        <v>20</v>
      </c>
      <c r="E3834" t="s">
        <v>39</v>
      </c>
      <c r="F3834">
        <v>0</v>
      </c>
      <c r="G3834">
        <v>0</v>
      </c>
      <c r="H3834">
        <v>3</v>
      </c>
      <c r="I3834" s="3">
        <v>632.84</v>
      </c>
      <c r="J3834" s="3">
        <v>74.819999999999993</v>
      </c>
      <c r="L3834">
        <v>5418</v>
      </c>
      <c r="M3834" t="s">
        <v>9241</v>
      </c>
      <c r="N3834" t="s">
        <v>30</v>
      </c>
      <c r="O3834" t="s">
        <v>31</v>
      </c>
      <c r="P3834" t="str">
        <f>"15201"</f>
        <v>15201</v>
      </c>
    </row>
    <row r="3835" spans="1:16" x14ac:dyDescent="0.25">
      <c r="A3835" t="str">
        <f>"1100119S00280    00"</f>
        <v>1100119S00280    00</v>
      </c>
      <c r="B3835" t="s">
        <v>9244</v>
      </c>
      <c r="C3835" t="s">
        <v>9245</v>
      </c>
      <c r="D3835" t="s">
        <v>20</v>
      </c>
      <c r="E3835" t="s">
        <v>290</v>
      </c>
      <c r="F3835">
        <v>0</v>
      </c>
      <c r="G3835">
        <v>0</v>
      </c>
      <c r="H3835">
        <v>3</v>
      </c>
      <c r="I3835" s="3">
        <v>18108.060000000001</v>
      </c>
      <c r="J3835" s="3">
        <v>19.84</v>
      </c>
      <c r="L3835">
        <v>154</v>
      </c>
      <c r="M3835" t="s">
        <v>9246</v>
      </c>
      <c r="N3835" t="s">
        <v>1046</v>
      </c>
      <c r="O3835" t="s">
        <v>31</v>
      </c>
      <c r="P3835" t="str">
        <f>"15147"</f>
        <v>15147</v>
      </c>
    </row>
    <row r="3836" spans="1:16" x14ac:dyDescent="0.25">
      <c r="A3836" t="str">
        <f>"1100120C00075    00"</f>
        <v>1100120C00075    00</v>
      </c>
      <c r="B3836" t="s">
        <v>687</v>
      </c>
      <c r="C3836" t="s">
        <v>9247</v>
      </c>
      <c r="E3836" t="s">
        <v>513</v>
      </c>
      <c r="F3836">
        <v>0</v>
      </c>
      <c r="G3836">
        <v>0</v>
      </c>
      <c r="H3836">
        <v>1</v>
      </c>
      <c r="I3836" s="3">
        <v>854.53</v>
      </c>
      <c r="J3836" s="3">
        <v>1037.55</v>
      </c>
      <c r="K3836" t="s">
        <v>603</v>
      </c>
      <c r="L3836">
        <v>650</v>
      </c>
      <c r="M3836" t="s">
        <v>604</v>
      </c>
      <c r="N3836" t="s">
        <v>605</v>
      </c>
      <c r="O3836" t="s">
        <v>606</v>
      </c>
      <c r="P3836" t="str">
        <f>"30308"</f>
        <v>30308</v>
      </c>
    </row>
    <row r="3837" spans="1:16" x14ac:dyDescent="0.25">
      <c r="A3837" t="str">
        <f>"1100120G00059    00"</f>
        <v>1100120G00059    00</v>
      </c>
      <c r="B3837" t="s">
        <v>9248</v>
      </c>
      <c r="C3837" t="s">
        <v>7807</v>
      </c>
      <c r="D3837" t="s">
        <v>20</v>
      </c>
      <c r="E3837" t="s">
        <v>21</v>
      </c>
      <c r="F3837">
        <v>0</v>
      </c>
      <c r="G3837">
        <v>0</v>
      </c>
      <c r="H3837">
        <v>3</v>
      </c>
      <c r="I3837" s="3">
        <v>1829.76</v>
      </c>
      <c r="J3837" s="3">
        <v>121.98</v>
      </c>
      <c r="K3837" t="s">
        <v>6943</v>
      </c>
      <c r="L3837">
        <v>3101</v>
      </c>
      <c r="M3837" t="s">
        <v>6937</v>
      </c>
      <c r="N3837" t="s">
        <v>30</v>
      </c>
      <c r="O3837" t="s">
        <v>31</v>
      </c>
      <c r="P3837" t="str">
        <f>"15216"</f>
        <v>15216</v>
      </c>
    </row>
    <row r="3838" spans="1:16" x14ac:dyDescent="0.25">
      <c r="A3838" t="str">
        <f>"1100120G00123    00"</f>
        <v>1100120G00123    00</v>
      </c>
      <c r="B3838" t="s">
        <v>4777</v>
      </c>
      <c r="C3838" t="s">
        <v>7807</v>
      </c>
      <c r="E3838" t="s">
        <v>39</v>
      </c>
      <c r="F3838">
        <v>0</v>
      </c>
      <c r="G3838">
        <v>0</v>
      </c>
      <c r="H3838">
        <v>4</v>
      </c>
      <c r="I3838" s="3">
        <v>1874.6</v>
      </c>
      <c r="J3838" s="3">
        <v>1575.77</v>
      </c>
      <c r="L3838">
        <v>5170</v>
      </c>
      <c r="M3838" t="s">
        <v>841</v>
      </c>
      <c r="N3838" t="s">
        <v>30</v>
      </c>
      <c r="O3838" t="s">
        <v>31</v>
      </c>
      <c r="P3838" t="str">
        <f>"15201"</f>
        <v>15201</v>
      </c>
    </row>
    <row r="3839" spans="1:16" x14ac:dyDescent="0.25">
      <c r="A3839" t="str">
        <f>"1100120G00127    00"</f>
        <v>1100120G00127    00</v>
      </c>
      <c r="B3839" t="s">
        <v>4777</v>
      </c>
      <c r="C3839" t="s">
        <v>7807</v>
      </c>
      <c r="E3839" t="s">
        <v>39</v>
      </c>
      <c r="F3839">
        <v>0</v>
      </c>
      <c r="G3839">
        <v>0</v>
      </c>
      <c r="H3839">
        <v>4</v>
      </c>
      <c r="I3839" s="3">
        <v>1731.1</v>
      </c>
      <c r="J3839" s="3">
        <v>1518.41</v>
      </c>
      <c r="L3839">
        <v>5170</v>
      </c>
      <c r="M3839" t="s">
        <v>841</v>
      </c>
      <c r="N3839" t="s">
        <v>30</v>
      </c>
      <c r="O3839" t="s">
        <v>31</v>
      </c>
      <c r="P3839" t="str">
        <f>"15201"</f>
        <v>15201</v>
      </c>
    </row>
    <row r="3840" spans="1:16" x14ac:dyDescent="0.25">
      <c r="A3840" t="str">
        <f>"1100120G00145    00"</f>
        <v>1100120G00145    00</v>
      </c>
      <c r="B3840" t="s">
        <v>218</v>
      </c>
      <c r="C3840" t="s">
        <v>9249</v>
      </c>
      <c r="E3840" t="s">
        <v>21</v>
      </c>
      <c r="F3840">
        <v>0</v>
      </c>
      <c r="G3840">
        <v>0</v>
      </c>
      <c r="H3840">
        <v>4</v>
      </c>
      <c r="I3840" s="3">
        <v>116272.86</v>
      </c>
      <c r="J3840" s="3">
        <v>57788.34</v>
      </c>
      <c r="K3840" t="s">
        <v>220</v>
      </c>
      <c r="L3840">
        <v>412</v>
      </c>
      <c r="M3840" t="s">
        <v>221</v>
      </c>
      <c r="N3840" t="s">
        <v>30</v>
      </c>
      <c r="O3840" t="s">
        <v>31</v>
      </c>
      <c r="P3840" t="str">
        <f>"15219"</f>
        <v>15219</v>
      </c>
    </row>
    <row r="3841" spans="1:16" x14ac:dyDescent="0.25">
      <c r="A3841" t="str">
        <f>"1100120H00007    00"</f>
        <v>1100120H00007    00</v>
      </c>
      <c r="B3841" t="s">
        <v>9250</v>
      </c>
      <c r="C3841" t="s">
        <v>9251</v>
      </c>
      <c r="D3841" t="s">
        <v>20</v>
      </c>
      <c r="E3841" t="s">
        <v>39</v>
      </c>
      <c r="F3841">
        <v>0</v>
      </c>
      <c r="G3841">
        <v>0</v>
      </c>
      <c r="H3841">
        <v>3</v>
      </c>
      <c r="I3841" s="3">
        <v>6265.67</v>
      </c>
      <c r="J3841" s="3">
        <v>71.59</v>
      </c>
      <c r="L3841">
        <v>122</v>
      </c>
      <c r="M3841" t="s">
        <v>8719</v>
      </c>
      <c r="N3841" t="s">
        <v>30</v>
      </c>
      <c r="O3841" t="s">
        <v>31</v>
      </c>
      <c r="P3841" t="str">
        <f>"15201"</f>
        <v>15201</v>
      </c>
    </row>
    <row r="3842" spans="1:16" x14ac:dyDescent="0.25">
      <c r="A3842" t="str">
        <f>"1100120H00111    00"</f>
        <v>1100120H00111    00</v>
      </c>
      <c r="B3842" t="s">
        <v>9252</v>
      </c>
      <c r="C3842" t="s">
        <v>9253</v>
      </c>
      <c r="D3842" t="s">
        <v>20</v>
      </c>
      <c r="E3842" t="s">
        <v>39</v>
      </c>
      <c r="F3842">
        <v>0</v>
      </c>
      <c r="G3842">
        <v>0</v>
      </c>
      <c r="H3842">
        <v>4</v>
      </c>
      <c r="I3842" s="3">
        <v>1589.21</v>
      </c>
      <c r="J3842" s="3">
        <v>208.47</v>
      </c>
      <c r="L3842">
        <v>6250</v>
      </c>
      <c r="M3842" t="s">
        <v>6949</v>
      </c>
      <c r="N3842" t="s">
        <v>30</v>
      </c>
      <c r="O3842" t="s">
        <v>31</v>
      </c>
      <c r="P3842" t="str">
        <f>"15201"</f>
        <v>15201</v>
      </c>
    </row>
    <row r="3843" spans="1:16" x14ac:dyDescent="0.25">
      <c r="A3843" t="str">
        <f>"1100120H00115    01"</f>
        <v>1100120H00115    01</v>
      </c>
      <c r="B3843" t="s">
        <v>9252</v>
      </c>
      <c r="C3843" t="s">
        <v>6948</v>
      </c>
      <c r="D3843" t="s">
        <v>20</v>
      </c>
      <c r="E3843" t="s">
        <v>39</v>
      </c>
      <c r="F3843">
        <v>0</v>
      </c>
      <c r="G3843">
        <v>0</v>
      </c>
      <c r="H3843">
        <v>4</v>
      </c>
      <c r="I3843" s="3">
        <v>797.41</v>
      </c>
      <c r="J3843" s="3">
        <v>94.2</v>
      </c>
      <c r="L3843">
        <v>6250</v>
      </c>
      <c r="M3843" t="s">
        <v>6949</v>
      </c>
      <c r="N3843" t="s">
        <v>30</v>
      </c>
      <c r="O3843" t="s">
        <v>31</v>
      </c>
      <c r="P3843" t="str">
        <f>"15201"</f>
        <v>15201</v>
      </c>
    </row>
    <row r="3844" spans="1:16" x14ac:dyDescent="0.25">
      <c r="A3844" t="str">
        <f>"1100120H00116    00"</f>
        <v>1100120H00116    00</v>
      </c>
      <c r="B3844" t="s">
        <v>9252</v>
      </c>
      <c r="C3844" t="s">
        <v>6948</v>
      </c>
      <c r="D3844" t="s">
        <v>20</v>
      </c>
      <c r="E3844" t="s">
        <v>39</v>
      </c>
      <c r="F3844">
        <v>0</v>
      </c>
      <c r="G3844">
        <v>0</v>
      </c>
      <c r="H3844">
        <v>4</v>
      </c>
      <c r="I3844" s="3">
        <v>531.58000000000004</v>
      </c>
      <c r="J3844" s="3">
        <v>62.78</v>
      </c>
      <c r="L3844">
        <v>6250</v>
      </c>
      <c r="M3844" t="s">
        <v>6949</v>
      </c>
      <c r="N3844" t="s">
        <v>30</v>
      </c>
      <c r="O3844" t="s">
        <v>31</v>
      </c>
      <c r="P3844" t="str">
        <f>"15201"</f>
        <v>15201</v>
      </c>
    </row>
    <row r="3845" spans="1:16" x14ac:dyDescent="0.25">
      <c r="A3845" t="str">
        <f>"1100120H00117    00"</f>
        <v>1100120H00117    00</v>
      </c>
      <c r="B3845" t="s">
        <v>9252</v>
      </c>
      <c r="C3845" t="s">
        <v>6948</v>
      </c>
      <c r="D3845" t="s">
        <v>20</v>
      </c>
      <c r="E3845" t="s">
        <v>39</v>
      </c>
      <c r="F3845">
        <v>0</v>
      </c>
      <c r="G3845">
        <v>0</v>
      </c>
      <c r="H3845">
        <v>4</v>
      </c>
      <c r="I3845" s="3">
        <v>531.58000000000004</v>
      </c>
      <c r="J3845" s="3">
        <v>62.78</v>
      </c>
      <c r="L3845">
        <v>6250</v>
      </c>
      <c r="M3845" t="s">
        <v>6949</v>
      </c>
      <c r="N3845" t="s">
        <v>30</v>
      </c>
      <c r="O3845" t="s">
        <v>31</v>
      </c>
      <c r="P3845" t="str">
        <f>"15201"</f>
        <v>15201</v>
      </c>
    </row>
    <row r="3846" spans="1:16" x14ac:dyDescent="0.25">
      <c r="A3846" t="str">
        <f>"1100120H00134    00"</f>
        <v>1100120H00134    00</v>
      </c>
      <c r="B3846" t="s">
        <v>9254</v>
      </c>
      <c r="C3846" t="s">
        <v>7807</v>
      </c>
      <c r="D3846" t="s">
        <v>20</v>
      </c>
      <c r="E3846" t="s">
        <v>39</v>
      </c>
      <c r="F3846">
        <v>0</v>
      </c>
      <c r="G3846">
        <v>0</v>
      </c>
      <c r="H3846">
        <v>3</v>
      </c>
      <c r="I3846" s="3">
        <v>40.049999999999997</v>
      </c>
      <c r="J3846" s="3">
        <v>2.68</v>
      </c>
      <c r="K3846" t="s">
        <v>6943</v>
      </c>
      <c r="L3846">
        <v>3101</v>
      </c>
      <c r="M3846" t="s">
        <v>6937</v>
      </c>
      <c r="N3846" t="s">
        <v>30</v>
      </c>
      <c r="O3846" t="s">
        <v>31</v>
      </c>
      <c r="P3846" t="str">
        <f>"15216"</f>
        <v>15216</v>
      </c>
    </row>
    <row r="3847" spans="1:16" x14ac:dyDescent="0.25">
      <c r="A3847" t="str">
        <f>"1100120H00135    00"</f>
        <v>1100120H00135    00</v>
      </c>
      <c r="B3847" t="s">
        <v>9255</v>
      </c>
      <c r="C3847" t="s">
        <v>7807</v>
      </c>
      <c r="D3847" t="s">
        <v>20</v>
      </c>
      <c r="E3847" t="s">
        <v>39</v>
      </c>
      <c r="F3847">
        <v>0</v>
      </c>
      <c r="G3847">
        <v>0</v>
      </c>
      <c r="H3847">
        <v>3</v>
      </c>
      <c r="I3847" s="3">
        <v>40.049999999999997</v>
      </c>
      <c r="J3847" s="3">
        <v>2.68</v>
      </c>
      <c r="K3847" t="s">
        <v>6943</v>
      </c>
      <c r="L3847">
        <v>3101</v>
      </c>
      <c r="M3847" t="s">
        <v>6937</v>
      </c>
      <c r="N3847" t="s">
        <v>30</v>
      </c>
      <c r="O3847" t="s">
        <v>31</v>
      </c>
      <c r="P3847" t="str">
        <f>"15216"</f>
        <v>15216</v>
      </c>
    </row>
    <row r="3848" spans="1:16" x14ac:dyDescent="0.25">
      <c r="A3848" t="str">
        <f>"1100120H0013800T100"</f>
        <v>1100120H0013800T100</v>
      </c>
      <c r="B3848" t="s">
        <v>9256</v>
      </c>
      <c r="C3848" t="s">
        <v>9257</v>
      </c>
      <c r="E3848" t="s">
        <v>21</v>
      </c>
      <c r="F3848">
        <v>0</v>
      </c>
      <c r="G3848">
        <v>0</v>
      </c>
      <c r="H3848">
        <v>1</v>
      </c>
      <c r="I3848" s="3">
        <v>144.83000000000001</v>
      </c>
      <c r="J3848" s="3">
        <v>170.16</v>
      </c>
      <c r="L3848">
        <v>609</v>
      </c>
      <c r="M3848" t="s">
        <v>9258</v>
      </c>
      <c r="N3848" t="s">
        <v>30</v>
      </c>
      <c r="O3848" t="s">
        <v>31</v>
      </c>
      <c r="P3848" t="str">
        <f>"15215"</f>
        <v>15215</v>
      </c>
    </row>
    <row r="3849" spans="1:16" x14ac:dyDescent="0.25">
      <c r="A3849" t="str">
        <f>"1100120H00199    00"</f>
        <v>1100120H00199    00</v>
      </c>
      <c r="B3849" t="s">
        <v>9259</v>
      </c>
      <c r="C3849" t="s">
        <v>9260</v>
      </c>
      <c r="D3849" t="s">
        <v>20</v>
      </c>
      <c r="E3849" t="s">
        <v>39</v>
      </c>
      <c r="F3849">
        <v>0</v>
      </c>
      <c r="G3849">
        <v>0</v>
      </c>
      <c r="H3849">
        <v>2</v>
      </c>
      <c r="I3849" s="3">
        <v>706.24</v>
      </c>
      <c r="J3849" s="3">
        <v>0</v>
      </c>
      <c r="L3849">
        <v>5605</v>
      </c>
      <c r="M3849" t="s">
        <v>8818</v>
      </c>
      <c r="N3849" t="s">
        <v>30</v>
      </c>
      <c r="O3849" t="s">
        <v>31</v>
      </c>
      <c r="P3849" t="str">
        <f>"15201"</f>
        <v>15201</v>
      </c>
    </row>
    <row r="3850" spans="1:16" x14ac:dyDescent="0.25">
      <c r="A3850" t="str">
        <f>"1100120H00203    00"</f>
        <v>1100120H00203    00</v>
      </c>
      <c r="B3850" t="s">
        <v>9261</v>
      </c>
      <c r="C3850" t="s">
        <v>9262</v>
      </c>
      <c r="D3850" t="s">
        <v>20</v>
      </c>
      <c r="E3850" t="s">
        <v>39</v>
      </c>
      <c r="F3850">
        <v>0</v>
      </c>
      <c r="G3850">
        <v>0</v>
      </c>
      <c r="H3850">
        <v>7</v>
      </c>
      <c r="I3850" s="3">
        <v>5859.49</v>
      </c>
      <c r="J3850" s="3">
        <v>1620.34</v>
      </c>
      <c r="L3850">
        <v>139</v>
      </c>
      <c r="M3850" t="s">
        <v>8719</v>
      </c>
      <c r="N3850" t="s">
        <v>30</v>
      </c>
      <c r="O3850" t="s">
        <v>31</v>
      </c>
      <c r="P3850" t="str">
        <f>"15201"</f>
        <v>15201</v>
      </c>
    </row>
    <row r="3851" spans="1:16" x14ac:dyDescent="0.25">
      <c r="A3851" t="str">
        <f>"1100120J00055    00"</f>
        <v>1100120J00055    00</v>
      </c>
      <c r="B3851" t="s">
        <v>7736</v>
      </c>
      <c r="C3851" t="s">
        <v>9263</v>
      </c>
      <c r="E3851" t="s">
        <v>39</v>
      </c>
      <c r="F3851">
        <v>0</v>
      </c>
      <c r="G3851">
        <v>0</v>
      </c>
      <c r="H3851">
        <v>1</v>
      </c>
      <c r="I3851" s="3">
        <v>695.7</v>
      </c>
      <c r="J3851" s="3">
        <v>0</v>
      </c>
      <c r="K3851" t="s">
        <v>7738</v>
      </c>
      <c r="L3851">
        <v>600</v>
      </c>
      <c r="M3851" t="s">
        <v>7739</v>
      </c>
      <c r="N3851" t="s">
        <v>1474</v>
      </c>
      <c r="O3851" t="s">
        <v>31</v>
      </c>
      <c r="P3851" t="str">
        <f>"15017"</f>
        <v>15017</v>
      </c>
    </row>
    <row r="3852" spans="1:16" x14ac:dyDescent="0.25">
      <c r="A3852" t="str">
        <f>"1100120J00152    00"</f>
        <v>1100120J00152    00</v>
      </c>
      <c r="B3852" t="s">
        <v>9264</v>
      </c>
      <c r="C3852" t="s">
        <v>9265</v>
      </c>
      <c r="D3852" t="s">
        <v>20</v>
      </c>
      <c r="E3852" t="s">
        <v>39</v>
      </c>
      <c r="F3852">
        <v>0</v>
      </c>
      <c r="G3852">
        <v>0</v>
      </c>
      <c r="H3852">
        <v>1</v>
      </c>
      <c r="I3852" s="3">
        <v>5339.17</v>
      </c>
      <c r="J3852" s="3">
        <v>0</v>
      </c>
      <c r="K3852" t="s">
        <v>8422</v>
      </c>
      <c r="M3852" t="s">
        <v>8423</v>
      </c>
      <c r="N3852" t="s">
        <v>8424</v>
      </c>
      <c r="O3852" t="s">
        <v>108</v>
      </c>
      <c r="P3852" t="str">
        <f>"76094"</f>
        <v>76094</v>
      </c>
    </row>
    <row r="3853" spans="1:16" x14ac:dyDescent="0.25">
      <c r="A3853" t="str">
        <f>"1100120J00155    00"</f>
        <v>1100120J00155    00</v>
      </c>
      <c r="B3853" t="s">
        <v>9266</v>
      </c>
      <c r="C3853" t="s">
        <v>9267</v>
      </c>
      <c r="E3853" t="s">
        <v>39</v>
      </c>
      <c r="F3853">
        <v>0</v>
      </c>
      <c r="G3853">
        <v>0</v>
      </c>
      <c r="H3853">
        <v>1</v>
      </c>
      <c r="I3853" s="3">
        <v>201.21</v>
      </c>
      <c r="J3853" s="3">
        <v>0</v>
      </c>
      <c r="L3853">
        <v>5706</v>
      </c>
      <c r="M3853" t="s">
        <v>841</v>
      </c>
      <c r="N3853" t="s">
        <v>30</v>
      </c>
      <c r="O3853" t="s">
        <v>31</v>
      </c>
      <c r="P3853" t="str">
        <f>"15201"</f>
        <v>15201</v>
      </c>
    </row>
    <row r="3854" spans="1:16" x14ac:dyDescent="0.25">
      <c r="A3854" t="str">
        <f>"1100120J00179    00"</f>
        <v>1100120J00179    00</v>
      </c>
      <c r="B3854" t="s">
        <v>9268</v>
      </c>
      <c r="C3854" t="s">
        <v>9269</v>
      </c>
      <c r="D3854" t="s">
        <v>20</v>
      </c>
      <c r="E3854" t="s">
        <v>21</v>
      </c>
      <c r="F3854">
        <v>0</v>
      </c>
      <c r="G3854">
        <v>0</v>
      </c>
      <c r="H3854">
        <v>1</v>
      </c>
      <c r="I3854" s="3">
        <v>1425.67</v>
      </c>
      <c r="J3854" s="3">
        <v>0</v>
      </c>
      <c r="K3854" t="s">
        <v>1722</v>
      </c>
      <c r="M3854" t="s">
        <v>1723</v>
      </c>
      <c r="N3854" t="s">
        <v>410</v>
      </c>
      <c r="O3854" t="s">
        <v>31</v>
      </c>
      <c r="P3854" t="str">
        <f>"15701"</f>
        <v>15701</v>
      </c>
    </row>
    <row r="3855" spans="1:16" x14ac:dyDescent="0.25">
      <c r="A3855" t="str">
        <f>"1100120J00195    00"</f>
        <v>1100120J00195    00</v>
      </c>
      <c r="B3855" t="s">
        <v>9270</v>
      </c>
      <c r="C3855" t="s">
        <v>9271</v>
      </c>
      <c r="E3855" t="s">
        <v>39</v>
      </c>
      <c r="F3855">
        <v>0</v>
      </c>
      <c r="G3855">
        <v>0</v>
      </c>
      <c r="H3855">
        <v>1</v>
      </c>
      <c r="I3855" s="3">
        <v>1324.95</v>
      </c>
      <c r="J3855" s="3">
        <v>629.33000000000004</v>
      </c>
      <c r="K3855" t="s">
        <v>8725</v>
      </c>
      <c r="L3855">
        <v>15301</v>
      </c>
      <c r="M3855" t="s">
        <v>8726</v>
      </c>
      <c r="N3855" t="s">
        <v>8727</v>
      </c>
      <c r="O3855" t="s">
        <v>108</v>
      </c>
      <c r="P3855" t="str">
        <f>"75001"</f>
        <v>75001</v>
      </c>
    </row>
    <row r="3856" spans="1:16" x14ac:dyDescent="0.25">
      <c r="A3856" t="str">
        <f>"1100120J00204    00"</f>
        <v>1100120J00204    00</v>
      </c>
      <c r="B3856" t="s">
        <v>9272</v>
      </c>
      <c r="C3856" t="s">
        <v>9273</v>
      </c>
      <c r="D3856" t="s">
        <v>33</v>
      </c>
      <c r="E3856" t="s">
        <v>39</v>
      </c>
      <c r="F3856">
        <v>0</v>
      </c>
      <c r="G3856">
        <v>0</v>
      </c>
      <c r="H3856">
        <v>2</v>
      </c>
      <c r="I3856" s="3">
        <v>332.81</v>
      </c>
      <c r="J3856" s="3">
        <v>13.87</v>
      </c>
      <c r="K3856" t="s">
        <v>9274</v>
      </c>
      <c r="L3856">
        <v>1007</v>
      </c>
      <c r="M3856" t="s">
        <v>9275</v>
      </c>
      <c r="N3856" t="s">
        <v>30</v>
      </c>
      <c r="O3856" t="s">
        <v>31</v>
      </c>
      <c r="P3856" t="str">
        <f>"15223"</f>
        <v>15223</v>
      </c>
    </row>
    <row r="3857" spans="1:16" x14ac:dyDescent="0.25">
      <c r="A3857" t="str">
        <f>"1100120J00210    00"</f>
        <v>1100120J00210    00</v>
      </c>
      <c r="B3857" t="s">
        <v>9276</v>
      </c>
      <c r="C3857" t="s">
        <v>9277</v>
      </c>
      <c r="D3857" t="s">
        <v>20</v>
      </c>
      <c r="E3857" t="s">
        <v>21</v>
      </c>
      <c r="F3857">
        <v>0</v>
      </c>
      <c r="G3857">
        <v>0</v>
      </c>
      <c r="H3857">
        <v>2</v>
      </c>
      <c r="I3857" s="3">
        <v>4574.3999999999996</v>
      </c>
      <c r="J3857" s="3">
        <v>0</v>
      </c>
      <c r="L3857">
        <v>100</v>
      </c>
      <c r="M3857" t="s">
        <v>9278</v>
      </c>
      <c r="N3857" t="s">
        <v>30</v>
      </c>
      <c r="O3857" t="s">
        <v>31</v>
      </c>
      <c r="P3857" t="str">
        <f>"15222"</f>
        <v>15222</v>
      </c>
    </row>
    <row r="3858" spans="1:16" x14ac:dyDescent="0.25">
      <c r="A3858" t="str">
        <f>"1100120K00008    00"</f>
        <v>1100120K00008    00</v>
      </c>
      <c r="B3858" t="s">
        <v>9279</v>
      </c>
      <c r="C3858" t="s">
        <v>9280</v>
      </c>
      <c r="D3858" t="s">
        <v>20</v>
      </c>
      <c r="E3858" t="s">
        <v>39</v>
      </c>
      <c r="F3858">
        <v>0</v>
      </c>
      <c r="G3858">
        <v>0</v>
      </c>
      <c r="H3858">
        <v>1</v>
      </c>
      <c r="I3858" s="3">
        <v>1220.5</v>
      </c>
      <c r="J3858" s="3">
        <v>0</v>
      </c>
      <c r="M3858" t="s">
        <v>5036</v>
      </c>
      <c r="N3858" t="s">
        <v>30</v>
      </c>
      <c r="O3858" t="s">
        <v>31</v>
      </c>
      <c r="P3858" t="str">
        <f>"15244"</f>
        <v>15244</v>
      </c>
    </row>
    <row r="3859" spans="1:16" x14ac:dyDescent="0.25">
      <c r="A3859" t="str">
        <f>"1100120K00018    00"</f>
        <v>1100120K00018    00</v>
      </c>
      <c r="B3859" t="s">
        <v>9281</v>
      </c>
      <c r="C3859" t="s">
        <v>9282</v>
      </c>
      <c r="E3859" t="s">
        <v>39</v>
      </c>
      <c r="F3859">
        <v>0</v>
      </c>
      <c r="G3859">
        <v>0</v>
      </c>
      <c r="H3859">
        <v>2</v>
      </c>
      <c r="I3859" s="3">
        <v>4006.44</v>
      </c>
      <c r="J3859" s="3">
        <v>166.93</v>
      </c>
      <c r="K3859" t="s">
        <v>8985</v>
      </c>
      <c r="M3859" t="s">
        <v>8986</v>
      </c>
      <c r="N3859" t="s">
        <v>8987</v>
      </c>
      <c r="O3859" t="s">
        <v>495</v>
      </c>
      <c r="P3859" t="str">
        <f>"90660"</f>
        <v>90660</v>
      </c>
    </row>
    <row r="3860" spans="1:16" x14ac:dyDescent="0.25">
      <c r="A3860" t="str">
        <f>"1100120K00049    00"</f>
        <v>1100120K00049    00</v>
      </c>
      <c r="B3860" t="s">
        <v>9283</v>
      </c>
      <c r="C3860" t="s">
        <v>9284</v>
      </c>
      <c r="E3860" t="s">
        <v>39</v>
      </c>
      <c r="F3860">
        <v>0</v>
      </c>
      <c r="G3860">
        <v>0</v>
      </c>
      <c r="H3860">
        <v>1</v>
      </c>
      <c r="I3860" s="3">
        <v>1139.81</v>
      </c>
      <c r="J3860" s="3">
        <v>0</v>
      </c>
      <c r="K3860" t="s">
        <v>9285</v>
      </c>
      <c r="L3860">
        <v>901</v>
      </c>
      <c r="M3860" t="s">
        <v>1503</v>
      </c>
      <c r="N3860" t="s">
        <v>494</v>
      </c>
      <c r="O3860" t="s">
        <v>495</v>
      </c>
      <c r="P3860" t="str">
        <f>"91768"</f>
        <v>91768</v>
      </c>
    </row>
    <row r="3861" spans="1:16" x14ac:dyDescent="0.25">
      <c r="A3861" t="str">
        <f>"1100120K00184    00"</f>
        <v>1100120K00184    00</v>
      </c>
      <c r="B3861" t="s">
        <v>9286</v>
      </c>
      <c r="C3861" t="s">
        <v>9287</v>
      </c>
      <c r="E3861" t="s">
        <v>39</v>
      </c>
      <c r="F3861">
        <v>0</v>
      </c>
      <c r="G3861">
        <v>0</v>
      </c>
      <c r="H3861">
        <v>4</v>
      </c>
      <c r="I3861" s="3">
        <v>1231.71</v>
      </c>
      <c r="J3861" s="3">
        <v>292.13</v>
      </c>
      <c r="K3861" t="s">
        <v>9288</v>
      </c>
      <c r="L3861">
        <v>5728</v>
      </c>
      <c r="M3861" t="s">
        <v>9289</v>
      </c>
      <c r="N3861" t="s">
        <v>30</v>
      </c>
      <c r="O3861" t="s">
        <v>31</v>
      </c>
      <c r="P3861" t="str">
        <f>"15201"</f>
        <v>15201</v>
      </c>
    </row>
    <row r="3862" spans="1:16" x14ac:dyDescent="0.25">
      <c r="A3862" t="str">
        <f>"1100120K00200    00"</f>
        <v>1100120K00200    00</v>
      </c>
      <c r="B3862" t="s">
        <v>9290</v>
      </c>
      <c r="C3862" t="s">
        <v>9291</v>
      </c>
      <c r="E3862" t="s">
        <v>39</v>
      </c>
      <c r="F3862">
        <v>0</v>
      </c>
      <c r="G3862">
        <v>0</v>
      </c>
      <c r="H3862">
        <v>15</v>
      </c>
      <c r="I3862" s="3">
        <v>19039.310000000001</v>
      </c>
      <c r="J3862" s="3">
        <v>14494.73</v>
      </c>
      <c r="L3862">
        <v>414</v>
      </c>
      <c r="M3862" t="s">
        <v>9292</v>
      </c>
      <c r="N3862" t="s">
        <v>30</v>
      </c>
      <c r="O3862" t="s">
        <v>31</v>
      </c>
      <c r="P3862" t="str">
        <f>"15219"</f>
        <v>15219</v>
      </c>
    </row>
    <row r="3863" spans="1:16" x14ac:dyDescent="0.25">
      <c r="A3863" t="str">
        <f>"1100120L00007    00"</f>
        <v>1100120L00007    00</v>
      </c>
      <c r="B3863" t="s">
        <v>9293</v>
      </c>
      <c r="C3863" t="s">
        <v>9294</v>
      </c>
      <c r="E3863" t="s">
        <v>39</v>
      </c>
      <c r="F3863">
        <v>0</v>
      </c>
      <c r="G3863">
        <v>0</v>
      </c>
      <c r="H3863">
        <v>4</v>
      </c>
      <c r="I3863" s="3">
        <v>3375.52</v>
      </c>
      <c r="J3863" s="3">
        <v>3766.06</v>
      </c>
      <c r="K3863" t="s">
        <v>9295</v>
      </c>
      <c r="L3863">
        <v>8621</v>
      </c>
      <c r="M3863" t="s">
        <v>9296</v>
      </c>
      <c r="N3863" t="s">
        <v>3681</v>
      </c>
      <c r="O3863" t="s">
        <v>1184</v>
      </c>
      <c r="P3863" t="str">
        <f>"21046"</f>
        <v>21046</v>
      </c>
    </row>
    <row r="3864" spans="1:16" x14ac:dyDescent="0.25">
      <c r="A3864" t="str">
        <f>"1100120L00009    00"</f>
        <v>1100120L00009    00</v>
      </c>
      <c r="B3864" t="s">
        <v>9297</v>
      </c>
      <c r="C3864" t="s">
        <v>9298</v>
      </c>
      <c r="D3864" t="s">
        <v>20</v>
      </c>
      <c r="E3864" t="s">
        <v>39</v>
      </c>
      <c r="F3864">
        <v>0</v>
      </c>
      <c r="G3864">
        <v>0</v>
      </c>
      <c r="H3864">
        <v>3</v>
      </c>
      <c r="I3864" s="3">
        <v>743.51</v>
      </c>
      <c r="J3864" s="3">
        <v>61.4</v>
      </c>
      <c r="L3864">
        <v>6044</v>
      </c>
      <c r="M3864" t="s">
        <v>6949</v>
      </c>
      <c r="N3864" t="s">
        <v>30</v>
      </c>
      <c r="O3864" t="s">
        <v>31</v>
      </c>
      <c r="P3864" t="str">
        <f>"15201"</f>
        <v>15201</v>
      </c>
    </row>
    <row r="3865" spans="1:16" x14ac:dyDescent="0.25">
      <c r="A3865" t="str">
        <f>"1100120L00115    00"</f>
        <v>1100120L00115    00</v>
      </c>
      <c r="B3865" t="s">
        <v>9299</v>
      </c>
      <c r="C3865" t="s">
        <v>9300</v>
      </c>
      <c r="D3865" t="s">
        <v>20</v>
      </c>
      <c r="E3865" t="s">
        <v>39</v>
      </c>
      <c r="F3865">
        <v>0</v>
      </c>
      <c r="G3865">
        <v>0</v>
      </c>
      <c r="H3865">
        <v>2</v>
      </c>
      <c r="I3865" s="3">
        <v>2872.41</v>
      </c>
      <c r="J3865" s="3">
        <v>0</v>
      </c>
      <c r="L3865">
        <v>336</v>
      </c>
      <c r="M3865" t="s">
        <v>1822</v>
      </c>
      <c r="N3865" t="s">
        <v>1823</v>
      </c>
      <c r="O3865" t="s">
        <v>31</v>
      </c>
      <c r="P3865" t="str">
        <f>"15024"</f>
        <v>15024</v>
      </c>
    </row>
    <row r="3866" spans="1:16" x14ac:dyDescent="0.25">
      <c r="A3866" t="str">
        <f>"1100120L00172    00"</f>
        <v>1100120L00172    00</v>
      </c>
      <c r="B3866" t="s">
        <v>9301</v>
      </c>
      <c r="C3866" t="s">
        <v>9302</v>
      </c>
      <c r="D3866" t="s">
        <v>20</v>
      </c>
      <c r="E3866" t="s">
        <v>39</v>
      </c>
      <c r="F3866">
        <v>0</v>
      </c>
      <c r="G3866">
        <v>0</v>
      </c>
      <c r="H3866">
        <v>1</v>
      </c>
      <c r="I3866" s="3">
        <v>1525.27</v>
      </c>
      <c r="J3866" s="3">
        <v>0</v>
      </c>
      <c r="L3866">
        <v>1112</v>
      </c>
      <c r="M3866" t="s">
        <v>9303</v>
      </c>
      <c r="N3866" t="s">
        <v>30</v>
      </c>
      <c r="O3866" t="s">
        <v>31</v>
      </c>
      <c r="P3866" t="str">
        <f t="shared" ref="P3866:P3871" si="48">"15201"</f>
        <v>15201</v>
      </c>
    </row>
    <row r="3867" spans="1:16" x14ac:dyDescent="0.25">
      <c r="A3867" t="str">
        <f>"1100120L00222    00"</f>
        <v>1100120L00222    00</v>
      </c>
      <c r="B3867" t="s">
        <v>9304</v>
      </c>
      <c r="C3867" t="s">
        <v>9305</v>
      </c>
      <c r="E3867" t="s">
        <v>39</v>
      </c>
      <c r="F3867">
        <v>0</v>
      </c>
      <c r="G3867">
        <v>0</v>
      </c>
      <c r="H3867">
        <v>1</v>
      </c>
      <c r="I3867" s="3">
        <v>1372.32</v>
      </c>
      <c r="J3867" s="3">
        <v>0</v>
      </c>
      <c r="K3867" t="s">
        <v>9306</v>
      </c>
      <c r="L3867">
        <v>1111</v>
      </c>
      <c r="M3867" t="s">
        <v>9307</v>
      </c>
      <c r="N3867" t="s">
        <v>30</v>
      </c>
      <c r="O3867" t="s">
        <v>31</v>
      </c>
      <c r="P3867" t="str">
        <f t="shared" si="48"/>
        <v>15201</v>
      </c>
    </row>
    <row r="3868" spans="1:16" x14ac:dyDescent="0.25">
      <c r="A3868" t="str">
        <f>"1100120L00226    00"</f>
        <v>1100120L00226    00</v>
      </c>
      <c r="B3868" t="s">
        <v>9308</v>
      </c>
      <c r="C3868" t="s">
        <v>9309</v>
      </c>
      <c r="D3868" t="s">
        <v>20</v>
      </c>
      <c r="E3868" t="s">
        <v>39</v>
      </c>
      <c r="F3868">
        <v>0</v>
      </c>
      <c r="G3868">
        <v>0</v>
      </c>
      <c r="H3868">
        <v>4</v>
      </c>
      <c r="I3868" s="3">
        <v>3952.74</v>
      </c>
      <c r="J3868" s="3">
        <v>1068.05</v>
      </c>
      <c r="L3868">
        <v>1125</v>
      </c>
      <c r="M3868" t="s">
        <v>9307</v>
      </c>
      <c r="N3868" t="s">
        <v>30</v>
      </c>
      <c r="O3868" t="s">
        <v>31</v>
      </c>
      <c r="P3868" t="str">
        <f t="shared" si="48"/>
        <v>15201</v>
      </c>
    </row>
    <row r="3869" spans="1:16" x14ac:dyDescent="0.25">
      <c r="A3869" t="str">
        <f>"1100120L00230    00"</f>
        <v>1100120L00230    00</v>
      </c>
      <c r="B3869" t="s">
        <v>9308</v>
      </c>
      <c r="C3869" t="s">
        <v>9309</v>
      </c>
      <c r="D3869" t="s">
        <v>20</v>
      </c>
      <c r="E3869" t="s">
        <v>39</v>
      </c>
      <c r="F3869">
        <v>0</v>
      </c>
      <c r="G3869">
        <v>0</v>
      </c>
      <c r="H3869">
        <v>1</v>
      </c>
      <c r="I3869" s="3">
        <v>345</v>
      </c>
      <c r="J3869" s="3">
        <v>0</v>
      </c>
      <c r="L3869">
        <v>1125</v>
      </c>
      <c r="M3869" t="s">
        <v>9307</v>
      </c>
      <c r="N3869" t="s">
        <v>30</v>
      </c>
      <c r="O3869" t="s">
        <v>31</v>
      </c>
      <c r="P3869" t="str">
        <f t="shared" si="48"/>
        <v>15201</v>
      </c>
    </row>
    <row r="3870" spans="1:16" x14ac:dyDescent="0.25">
      <c r="A3870" t="str">
        <f>"1100120L00232    00"</f>
        <v>1100120L00232    00</v>
      </c>
      <c r="B3870" t="s">
        <v>9310</v>
      </c>
      <c r="C3870" t="s">
        <v>9311</v>
      </c>
      <c r="D3870" t="s">
        <v>20</v>
      </c>
      <c r="E3870" t="s">
        <v>39</v>
      </c>
      <c r="F3870">
        <v>0</v>
      </c>
      <c r="G3870">
        <v>0</v>
      </c>
      <c r="H3870">
        <v>1</v>
      </c>
      <c r="I3870" s="3">
        <v>1348</v>
      </c>
      <c r="J3870" s="3">
        <v>0</v>
      </c>
      <c r="L3870">
        <v>1133</v>
      </c>
      <c r="M3870" t="s">
        <v>9312</v>
      </c>
      <c r="N3870" t="s">
        <v>30</v>
      </c>
      <c r="O3870" t="s">
        <v>31</v>
      </c>
      <c r="P3870" t="str">
        <f t="shared" si="48"/>
        <v>15201</v>
      </c>
    </row>
    <row r="3871" spans="1:16" x14ac:dyDescent="0.25">
      <c r="A3871" t="str">
        <f>"1100120L00234    00"</f>
        <v>1100120L00234    00</v>
      </c>
      <c r="B3871" t="s">
        <v>9313</v>
      </c>
      <c r="C3871" t="s">
        <v>9314</v>
      </c>
      <c r="D3871" t="s">
        <v>57</v>
      </c>
      <c r="E3871" t="s">
        <v>39</v>
      </c>
      <c r="F3871">
        <v>0</v>
      </c>
      <c r="G3871">
        <v>0</v>
      </c>
      <c r="H3871">
        <v>1</v>
      </c>
      <c r="I3871" s="3">
        <v>1915.41</v>
      </c>
      <c r="J3871" s="3">
        <v>0</v>
      </c>
      <c r="K3871" t="s">
        <v>9315</v>
      </c>
      <c r="L3871">
        <v>1141</v>
      </c>
      <c r="M3871" t="s">
        <v>9303</v>
      </c>
      <c r="N3871" t="s">
        <v>30</v>
      </c>
      <c r="O3871" t="s">
        <v>31</v>
      </c>
      <c r="P3871" t="str">
        <f t="shared" si="48"/>
        <v>15201</v>
      </c>
    </row>
    <row r="3872" spans="1:16" x14ac:dyDescent="0.25">
      <c r="A3872" t="str">
        <f>"1100120L00263    00"</f>
        <v>1100120L00263    00</v>
      </c>
      <c r="B3872" t="s">
        <v>9316</v>
      </c>
      <c r="C3872" t="s">
        <v>9317</v>
      </c>
      <c r="D3872" t="s">
        <v>20</v>
      </c>
      <c r="E3872" t="s">
        <v>39</v>
      </c>
      <c r="F3872">
        <v>0</v>
      </c>
      <c r="G3872">
        <v>0</v>
      </c>
      <c r="H3872">
        <v>2</v>
      </c>
      <c r="I3872" s="3">
        <v>836.64</v>
      </c>
      <c r="J3872" s="3">
        <v>0</v>
      </c>
      <c r="K3872" t="s">
        <v>9318</v>
      </c>
      <c r="L3872">
        <v>3606</v>
      </c>
      <c r="M3872" t="s">
        <v>9319</v>
      </c>
      <c r="N3872" t="s">
        <v>285</v>
      </c>
      <c r="O3872" t="s">
        <v>31</v>
      </c>
      <c r="P3872" t="str">
        <f>"15120"</f>
        <v>15120</v>
      </c>
    </row>
    <row r="3873" spans="1:16" x14ac:dyDescent="0.25">
      <c r="A3873" t="str">
        <f>"1100120L00265    00"</f>
        <v>1100120L00265    00</v>
      </c>
      <c r="B3873" t="s">
        <v>9320</v>
      </c>
      <c r="C3873" t="s">
        <v>9321</v>
      </c>
      <c r="D3873" t="s">
        <v>57</v>
      </c>
      <c r="E3873" t="s">
        <v>39</v>
      </c>
      <c r="F3873">
        <v>0</v>
      </c>
      <c r="G3873">
        <v>0</v>
      </c>
      <c r="H3873">
        <v>1</v>
      </c>
      <c r="I3873" s="3">
        <v>140.68</v>
      </c>
      <c r="J3873" s="3">
        <v>0</v>
      </c>
      <c r="K3873" t="s">
        <v>9322</v>
      </c>
      <c r="M3873" t="s">
        <v>9323</v>
      </c>
      <c r="N3873" t="s">
        <v>9324</v>
      </c>
      <c r="O3873" t="s">
        <v>495</v>
      </c>
      <c r="P3873" t="str">
        <f>"95402"</f>
        <v>95402</v>
      </c>
    </row>
    <row r="3874" spans="1:16" x14ac:dyDescent="0.25">
      <c r="A3874" t="str">
        <f>"1100120M00021    00"</f>
        <v>1100120M00021    00</v>
      </c>
      <c r="B3874" t="s">
        <v>9325</v>
      </c>
      <c r="C3874" t="s">
        <v>9326</v>
      </c>
      <c r="D3874" t="s">
        <v>57</v>
      </c>
      <c r="E3874" t="s">
        <v>39</v>
      </c>
      <c r="F3874">
        <v>0</v>
      </c>
      <c r="G3874">
        <v>0</v>
      </c>
      <c r="H3874">
        <v>1</v>
      </c>
      <c r="I3874" s="3">
        <v>142.72</v>
      </c>
      <c r="J3874" s="3">
        <v>0</v>
      </c>
      <c r="L3874">
        <v>1510</v>
      </c>
      <c r="M3874" t="s">
        <v>9327</v>
      </c>
      <c r="N3874" t="s">
        <v>30</v>
      </c>
      <c r="O3874" t="s">
        <v>31</v>
      </c>
      <c r="P3874" t="str">
        <f>"15206"</f>
        <v>15206</v>
      </c>
    </row>
    <row r="3875" spans="1:16" x14ac:dyDescent="0.25">
      <c r="A3875" t="str">
        <f>"1100120M00043    00"</f>
        <v>1100120M00043    00</v>
      </c>
      <c r="B3875" t="s">
        <v>9328</v>
      </c>
      <c r="C3875" t="s">
        <v>9329</v>
      </c>
      <c r="D3875" t="s">
        <v>20</v>
      </c>
      <c r="E3875" t="s">
        <v>39</v>
      </c>
      <c r="F3875">
        <v>0</v>
      </c>
      <c r="G3875">
        <v>0</v>
      </c>
      <c r="H3875">
        <v>1</v>
      </c>
      <c r="I3875" s="3">
        <v>1060.21</v>
      </c>
      <c r="J3875" s="3">
        <v>0</v>
      </c>
      <c r="L3875">
        <v>1527</v>
      </c>
      <c r="M3875" t="s">
        <v>9327</v>
      </c>
      <c r="N3875" t="s">
        <v>30</v>
      </c>
      <c r="O3875" t="s">
        <v>31</v>
      </c>
      <c r="P3875" t="str">
        <f>"15206"</f>
        <v>15206</v>
      </c>
    </row>
    <row r="3876" spans="1:16" x14ac:dyDescent="0.25">
      <c r="A3876" t="str">
        <f>"1100120M00077    00"</f>
        <v>1100120M00077    00</v>
      </c>
      <c r="B3876" t="s">
        <v>9330</v>
      </c>
      <c r="C3876" t="s">
        <v>9331</v>
      </c>
      <c r="E3876" t="s">
        <v>39</v>
      </c>
      <c r="F3876">
        <v>0</v>
      </c>
      <c r="G3876">
        <v>0</v>
      </c>
      <c r="H3876">
        <v>1</v>
      </c>
      <c r="I3876" s="3">
        <v>1523.5</v>
      </c>
      <c r="J3876" s="3">
        <v>418.95</v>
      </c>
      <c r="L3876">
        <v>1518</v>
      </c>
      <c r="M3876" t="s">
        <v>9332</v>
      </c>
      <c r="N3876" t="s">
        <v>30</v>
      </c>
      <c r="O3876" t="s">
        <v>31</v>
      </c>
      <c r="P3876" t="str">
        <f>"15201"</f>
        <v>15201</v>
      </c>
    </row>
    <row r="3877" spans="1:16" x14ac:dyDescent="0.25">
      <c r="A3877" t="str">
        <f>"1100120M00111    00"</f>
        <v>1100120M00111    00</v>
      </c>
      <c r="B3877" t="s">
        <v>9333</v>
      </c>
      <c r="C3877" t="s">
        <v>9334</v>
      </c>
      <c r="D3877" t="s">
        <v>20</v>
      </c>
      <c r="E3877" t="s">
        <v>39</v>
      </c>
      <c r="F3877">
        <v>0</v>
      </c>
      <c r="G3877">
        <v>0</v>
      </c>
      <c r="H3877">
        <v>1</v>
      </c>
      <c r="I3877" s="3">
        <v>1691.11</v>
      </c>
      <c r="J3877" s="3">
        <v>0</v>
      </c>
      <c r="L3877">
        <v>1501</v>
      </c>
      <c r="M3877" t="s">
        <v>9332</v>
      </c>
      <c r="N3877" t="s">
        <v>30</v>
      </c>
      <c r="O3877" t="s">
        <v>31</v>
      </c>
      <c r="P3877" t="str">
        <f>"15201"</f>
        <v>15201</v>
      </c>
    </row>
    <row r="3878" spans="1:16" x14ac:dyDescent="0.25">
      <c r="A3878" t="str">
        <f>"1100120M00136    00"</f>
        <v>1100120M00136    00</v>
      </c>
      <c r="B3878" t="s">
        <v>9335</v>
      </c>
      <c r="C3878" t="s">
        <v>9336</v>
      </c>
      <c r="E3878" t="s">
        <v>39</v>
      </c>
      <c r="F3878">
        <v>0</v>
      </c>
      <c r="G3878">
        <v>0</v>
      </c>
      <c r="H3878">
        <v>1</v>
      </c>
      <c r="I3878" s="3">
        <v>85.04</v>
      </c>
      <c r="J3878" s="3">
        <v>34.01</v>
      </c>
      <c r="L3878">
        <v>1545</v>
      </c>
      <c r="M3878" t="s">
        <v>9332</v>
      </c>
      <c r="N3878" t="s">
        <v>30</v>
      </c>
      <c r="O3878" t="s">
        <v>31</v>
      </c>
      <c r="P3878" t="str">
        <f>"15201"</f>
        <v>15201</v>
      </c>
    </row>
    <row r="3879" spans="1:16" x14ac:dyDescent="0.25">
      <c r="A3879" t="str">
        <f>"1100120M00194    00"</f>
        <v>1100120M00194    00</v>
      </c>
      <c r="B3879" t="s">
        <v>9337</v>
      </c>
      <c r="C3879" t="s">
        <v>9338</v>
      </c>
      <c r="D3879" t="s">
        <v>20</v>
      </c>
      <c r="E3879" t="s">
        <v>39</v>
      </c>
      <c r="F3879">
        <v>0</v>
      </c>
      <c r="G3879">
        <v>0</v>
      </c>
      <c r="H3879">
        <v>1</v>
      </c>
      <c r="I3879" s="3">
        <v>490</v>
      </c>
      <c r="J3879" s="3">
        <v>0</v>
      </c>
      <c r="L3879">
        <v>1532</v>
      </c>
      <c r="M3879" t="s">
        <v>9339</v>
      </c>
      <c r="N3879" t="s">
        <v>30</v>
      </c>
      <c r="O3879" t="s">
        <v>31</v>
      </c>
      <c r="P3879" t="str">
        <f>"15201"</f>
        <v>15201</v>
      </c>
    </row>
    <row r="3880" spans="1:16" x14ac:dyDescent="0.25">
      <c r="A3880" t="str">
        <f>"1100120M00237    00"</f>
        <v>1100120M00237    00</v>
      </c>
      <c r="B3880" t="s">
        <v>9340</v>
      </c>
      <c r="C3880" t="s">
        <v>9341</v>
      </c>
      <c r="D3880" t="s">
        <v>20</v>
      </c>
      <c r="E3880" t="s">
        <v>39</v>
      </c>
      <c r="F3880">
        <v>0</v>
      </c>
      <c r="G3880">
        <v>0</v>
      </c>
      <c r="H3880">
        <v>6</v>
      </c>
      <c r="I3880" s="3">
        <v>257.32</v>
      </c>
      <c r="J3880" s="3">
        <v>58.73</v>
      </c>
      <c r="K3880" t="s">
        <v>4947</v>
      </c>
      <c r="L3880">
        <v>3001</v>
      </c>
      <c r="M3880" t="s">
        <v>330</v>
      </c>
      <c r="N3880" t="s">
        <v>331</v>
      </c>
      <c r="O3880" t="s">
        <v>108</v>
      </c>
      <c r="P3880" t="str">
        <f>"75063"</f>
        <v>75063</v>
      </c>
    </row>
    <row r="3881" spans="1:16" x14ac:dyDescent="0.25">
      <c r="A3881" t="str">
        <f>"1100120M00239    00"</f>
        <v>1100120M00239    00</v>
      </c>
      <c r="B3881" t="s">
        <v>9340</v>
      </c>
      <c r="C3881" t="s">
        <v>9341</v>
      </c>
      <c r="D3881" t="s">
        <v>20</v>
      </c>
      <c r="E3881" t="s">
        <v>39</v>
      </c>
      <c r="F3881">
        <v>0</v>
      </c>
      <c r="G3881">
        <v>0</v>
      </c>
      <c r="H3881">
        <v>5</v>
      </c>
      <c r="I3881" s="3">
        <v>213.47</v>
      </c>
      <c r="J3881" s="3">
        <v>58.73</v>
      </c>
      <c r="L3881">
        <v>1459</v>
      </c>
      <c r="M3881" t="s">
        <v>9339</v>
      </c>
      <c r="N3881" t="s">
        <v>30</v>
      </c>
      <c r="O3881" t="s">
        <v>31</v>
      </c>
      <c r="P3881" t="str">
        <f>"15201"</f>
        <v>15201</v>
      </c>
    </row>
    <row r="3882" spans="1:16" x14ac:dyDescent="0.25">
      <c r="A3882" t="str">
        <f>"1100120M00268    00"</f>
        <v>1100120M00268    00</v>
      </c>
      <c r="B3882" t="s">
        <v>9342</v>
      </c>
      <c r="C3882" t="s">
        <v>9343</v>
      </c>
      <c r="E3882" t="s">
        <v>39</v>
      </c>
      <c r="F3882">
        <v>0</v>
      </c>
      <c r="G3882">
        <v>0</v>
      </c>
      <c r="H3882">
        <v>1</v>
      </c>
      <c r="I3882" s="3">
        <v>1831.41</v>
      </c>
      <c r="J3882" s="3">
        <v>366.26</v>
      </c>
      <c r="K3882" t="s">
        <v>8725</v>
      </c>
      <c r="L3882">
        <v>15301</v>
      </c>
      <c r="M3882" t="s">
        <v>8726</v>
      </c>
      <c r="N3882" t="s">
        <v>8727</v>
      </c>
      <c r="O3882" t="s">
        <v>108</v>
      </c>
      <c r="P3882" t="str">
        <f>"75001"</f>
        <v>75001</v>
      </c>
    </row>
    <row r="3883" spans="1:16" x14ac:dyDescent="0.25">
      <c r="A3883" t="str">
        <f>"1100120M00278    00"</f>
        <v>1100120M00278    00</v>
      </c>
      <c r="B3883" t="s">
        <v>9344</v>
      </c>
      <c r="C3883" t="s">
        <v>9345</v>
      </c>
      <c r="D3883" t="s">
        <v>20</v>
      </c>
      <c r="E3883" t="s">
        <v>39</v>
      </c>
      <c r="F3883">
        <v>0</v>
      </c>
      <c r="G3883">
        <v>0</v>
      </c>
      <c r="H3883">
        <v>1</v>
      </c>
      <c r="I3883" s="3">
        <v>593</v>
      </c>
      <c r="J3883" s="3">
        <v>0</v>
      </c>
      <c r="L3883">
        <v>1504</v>
      </c>
      <c r="M3883" t="s">
        <v>3112</v>
      </c>
      <c r="N3883" t="s">
        <v>30</v>
      </c>
      <c r="O3883" t="s">
        <v>31</v>
      </c>
      <c r="P3883" t="str">
        <f>"15201"</f>
        <v>15201</v>
      </c>
    </row>
    <row r="3884" spans="1:16" x14ac:dyDescent="0.25">
      <c r="A3884" t="str">
        <f>"1100120M00281    00"</f>
        <v>1100120M00281    00</v>
      </c>
      <c r="B3884" t="s">
        <v>9346</v>
      </c>
      <c r="C3884" t="s">
        <v>9347</v>
      </c>
      <c r="D3884" t="s">
        <v>20</v>
      </c>
      <c r="E3884" t="s">
        <v>39</v>
      </c>
      <c r="F3884">
        <v>0</v>
      </c>
      <c r="G3884">
        <v>0</v>
      </c>
      <c r="H3884">
        <v>12</v>
      </c>
      <c r="I3884" s="3">
        <v>114.35</v>
      </c>
      <c r="J3884" s="3">
        <v>105.4</v>
      </c>
      <c r="L3884">
        <v>5506</v>
      </c>
      <c r="M3884" t="s">
        <v>8692</v>
      </c>
      <c r="N3884" t="s">
        <v>30</v>
      </c>
      <c r="O3884" t="s">
        <v>31</v>
      </c>
      <c r="P3884" t="str">
        <f>"15201"</f>
        <v>15201</v>
      </c>
    </row>
    <row r="3885" spans="1:16" x14ac:dyDescent="0.25">
      <c r="A3885" t="str">
        <f>"1100120M00312    00"</f>
        <v>1100120M00312    00</v>
      </c>
      <c r="B3885" t="s">
        <v>9348</v>
      </c>
      <c r="C3885" t="s">
        <v>9349</v>
      </c>
      <c r="D3885" t="s">
        <v>20</v>
      </c>
      <c r="E3885" t="s">
        <v>39</v>
      </c>
      <c r="F3885">
        <v>0</v>
      </c>
      <c r="G3885">
        <v>0</v>
      </c>
      <c r="H3885">
        <v>2</v>
      </c>
      <c r="I3885" s="3">
        <v>2717.98</v>
      </c>
      <c r="J3885" s="3">
        <v>0</v>
      </c>
      <c r="L3885">
        <v>1135</v>
      </c>
      <c r="M3885" t="s">
        <v>9350</v>
      </c>
      <c r="N3885" t="s">
        <v>30</v>
      </c>
      <c r="O3885" t="s">
        <v>31</v>
      </c>
      <c r="P3885" t="str">
        <f>"15201"</f>
        <v>15201</v>
      </c>
    </row>
    <row r="3886" spans="1:16" x14ac:dyDescent="0.25">
      <c r="A3886" t="str">
        <f>"1100120M00322    00"</f>
        <v>1100120M00322    00</v>
      </c>
      <c r="B3886" t="s">
        <v>9351</v>
      </c>
      <c r="C3886" t="s">
        <v>9352</v>
      </c>
      <c r="D3886" t="s">
        <v>20</v>
      </c>
      <c r="E3886" t="s">
        <v>39</v>
      </c>
      <c r="F3886">
        <v>0</v>
      </c>
      <c r="G3886">
        <v>0</v>
      </c>
      <c r="H3886">
        <v>1</v>
      </c>
      <c r="I3886" s="3">
        <v>674.23</v>
      </c>
      <c r="J3886" s="3">
        <v>0</v>
      </c>
      <c r="K3886" t="s">
        <v>403</v>
      </c>
      <c r="L3886">
        <v>3001</v>
      </c>
      <c r="M3886" t="s">
        <v>404</v>
      </c>
      <c r="N3886" t="s">
        <v>331</v>
      </c>
      <c r="O3886" t="s">
        <v>108</v>
      </c>
      <c r="P3886" t="str">
        <f>"75063"</f>
        <v>75063</v>
      </c>
    </row>
    <row r="3887" spans="1:16" x14ac:dyDescent="0.25">
      <c r="A3887" t="str">
        <f>"1100120N00015003500"</f>
        <v>1100120N00015003500</v>
      </c>
      <c r="B3887" t="s">
        <v>9353</v>
      </c>
      <c r="C3887" t="s">
        <v>9354</v>
      </c>
      <c r="E3887" t="s">
        <v>39</v>
      </c>
      <c r="F3887">
        <v>0</v>
      </c>
      <c r="G3887">
        <v>0</v>
      </c>
      <c r="H3887">
        <v>1</v>
      </c>
      <c r="I3887" s="3">
        <v>1089.97</v>
      </c>
      <c r="J3887" s="3">
        <v>281.56</v>
      </c>
      <c r="L3887">
        <v>135</v>
      </c>
      <c r="M3887" t="s">
        <v>9355</v>
      </c>
      <c r="N3887" t="s">
        <v>30</v>
      </c>
      <c r="O3887" t="s">
        <v>31</v>
      </c>
      <c r="P3887" t="str">
        <f>"15201"</f>
        <v>15201</v>
      </c>
    </row>
    <row r="3888" spans="1:16" x14ac:dyDescent="0.25">
      <c r="A3888" t="str">
        <f>"1100120N000151   00"</f>
        <v>1100120N000151   00</v>
      </c>
      <c r="B3888" t="s">
        <v>9356</v>
      </c>
      <c r="C3888" t="s">
        <v>9357</v>
      </c>
      <c r="E3888" t="s">
        <v>39</v>
      </c>
      <c r="F3888">
        <v>0</v>
      </c>
      <c r="G3888">
        <v>0</v>
      </c>
      <c r="H3888">
        <v>1</v>
      </c>
      <c r="I3888" s="3">
        <v>3184.94</v>
      </c>
      <c r="J3888" s="3">
        <v>0</v>
      </c>
      <c r="K3888" t="s">
        <v>9358</v>
      </c>
      <c r="N3888" t="s">
        <v>9359</v>
      </c>
      <c r="P3888" t="str">
        <f>""</f>
        <v/>
      </c>
    </row>
    <row r="3889" spans="1:16" x14ac:dyDescent="0.25">
      <c r="A3889" t="str">
        <f>"1100120N0001510  00"</f>
        <v>1100120N0001510  00</v>
      </c>
      <c r="B3889" t="s">
        <v>9360</v>
      </c>
      <c r="C3889" t="s">
        <v>9361</v>
      </c>
      <c r="D3889" t="s">
        <v>20</v>
      </c>
      <c r="E3889" t="s">
        <v>39</v>
      </c>
      <c r="F3889">
        <v>0</v>
      </c>
      <c r="G3889">
        <v>0</v>
      </c>
      <c r="H3889">
        <v>2</v>
      </c>
      <c r="I3889" s="3">
        <v>6472.78</v>
      </c>
      <c r="J3889" s="3">
        <v>0</v>
      </c>
      <c r="L3889">
        <v>501</v>
      </c>
      <c r="M3889" t="s">
        <v>9362</v>
      </c>
      <c r="N3889" t="s">
        <v>4265</v>
      </c>
      <c r="O3889" t="s">
        <v>31</v>
      </c>
      <c r="P3889" t="str">
        <f>"16803"</f>
        <v>16803</v>
      </c>
    </row>
    <row r="3890" spans="1:16" x14ac:dyDescent="0.25">
      <c r="A3890" t="str">
        <f>"1100120N0001519  00"</f>
        <v>1100120N0001519  00</v>
      </c>
      <c r="B3890" t="s">
        <v>9363</v>
      </c>
      <c r="C3890" t="s">
        <v>9364</v>
      </c>
      <c r="E3890" t="s">
        <v>39</v>
      </c>
      <c r="F3890">
        <v>0</v>
      </c>
      <c r="G3890">
        <v>0</v>
      </c>
      <c r="H3890">
        <v>1</v>
      </c>
      <c r="I3890" s="3">
        <v>36.03</v>
      </c>
      <c r="J3890" s="3">
        <v>9.32</v>
      </c>
      <c r="K3890" t="s">
        <v>408</v>
      </c>
      <c r="M3890" t="s">
        <v>409</v>
      </c>
      <c r="N3890" t="s">
        <v>410</v>
      </c>
      <c r="O3890" t="s">
        <v>31</v>
      </c>
      <c r="P3890" t="str">
        <f>"15701"</f>
        <v>15701</v>
      </c>
    </row>
    <row r="3891" spans="1:16" x14ac:dyDescent="0.25">
      <c r="A3891" t="str">
        <f>"1100120N0001523  00"</f>
        <v>1100120N0001523  00</v>
      </c>
      <c r="B3891" t="s">
        <v>9365</v>
      </c>
      <c r="C3891" t="s">
        <v>9366</v>
      </c>
      <c r="D3891" t="s">
        <v>20</v>
      </c>
      <c r="E3891" t="s">
        <v>39</v>
      </c>
      <c r="F3891">
        <v>0</v>
      </c>
      <c r="G3891">
        <v>0</v>
      </c>
      <c r="H3891">
        <v>2</v>
      </c>
      <c r="I3891" s="3">
        <v>4403.3599999999997</v>
      </c>
      <c r="J3891" s="3">
        <v>738.55</v>
      </c>
      <c r="L3891">
        <v>5575</v>
      </c>
      <c r="M3891" t="s">
        <v>841</v>
      </c>
      <c r="N3891" t="s">
        <v>30</v>
      </c>
      <c r="O3891" t="s">
        <v>31</v>
      </c>
      <c r="P3891" t="str">
        <f>"15201"</f>
        <v>15201</v>
      </c>
    </row>
    <row r="3892" spans="1:16" x14ac:dyDescent="0.25">
      <c r="A3892" t="str">
        <f>"1100120N0001526  00"</f>
        <v>1100120N0001526  00</v>
      </c>
      <c r="B3892" t="s">
        <v>9367</v>
      </c>
      <c r="C3892" t="s">
        <v>9368</v>
      </c>
      <c r="E3892" t="s">
        <v>39</v>
      </c>
      <c r="F3892">
        <v>0</v>
      </c>
      <c r="G3892">
        <v>0</v>
      </c>
      <c r="H3892">
        <v>2</v>
      </c>
      <c r="I3892" s="3">
        <v>3427.89</v>
      </c>
      <c r="J3892" s="3">
        <v>675.72</v>
      </c>
      <c r="K3892" t="s">
        <v>5137</v>
      </c>
      <c r="L3892">
        <v>612</v>
      </c>
      <c r="M3892" t="s">
        <v>1451</v>
      </c>
      <c r="N3892" t="s">
        <v>5138</v>
      </c>
      <c r="O3892" t="s">
        <v>31</v>
      </c>
      <c r="P3892" t="str">
        <f>"16373"</f>
        <v>16373</v>
      </c>
    </row>
    <row r="3893" spans="1:16" x14ac:dyDescent="0.25">
      <c r="A3893" t="str">
        <f>"1100120N0001528  00"</f>
        <v>1100120N0001528  00</v>
      </c>
      <c r="B3893" t="s">
        <v>9369</v>
      </c>
      <c r="C3893" t="s">
        <v>9370</v>
      </c>
      <c r="D3893" t="s">
        <v>33</v>
      </c>
      <c r="E3893" t="s">
        <v>39</v>
      </c>
      <c r="F3893">
        <v>0</v>
      </c>
      <c r="G3893">
        <v>0</v>
      </c>
      <c r="H3893">
        <v>1</v>
      </c>
      <c r="I3893" s="3">
        <v>3680.71</v>
      </c>
      <c r="J3893" s="3">
        <v>950.81</v>
      </c>
      <c r="K3893" t="s">
        <v>5432</v>
      </c>
      <c r="L3893">
        <v>3001</v>
      </c>
      <c r="M3893" t="s">
        <v>330</v>
      </c>
      <c r="N3893" t="s">
        <v>331</v>
      </c>
      <c r="O3893" t="s">
        <v>108</v>
      </c>
      <c r="P3893" t="str">
        <f>"75063"</f>
        <v>75063</v>
      </c>
    </row>
    <row r="3894" spans="1:16" x14ac:dyDescent="0.25">
      <c r="A3894" t="str">
        <f>"1100120N0001529  00"</f>
        <v>1100120N0001529  00</v>
      </c>
      <c r="B3894" t="s">
        <v>9371</v>
      </c>
      <c r="C3894" t="s">
        <v>9372</v>
      </c>
      <c r="D3894" t="s">
        <v>33</v>
      </c>
      <c r="E3894" t="s">
        <v>39</v>
      </c>
      <c r="F3894">
        <v>0</v>
      </c>
      <c r="G3894">
        <v>0</v>
      </c>
      <c r="H3894">
        <v>1</v>
      </c>
      <c r="I3894" s="3">
        <v>2345.02</v>
      </c>
      <c r="J3894" s="3">
        <v>58.62</v>
      </c>
      <c r="K3894" t="s">
        <v>5432</v>
      </c>
      <c r="L3894">
        <v>3001</v>
      </c>
      <c r="M3894" t="s">
        <v>330</v>
      </c>
      <c r="N3894" t="s">
        <v>331</v>
      </c>
      <c r="O3894" t="s">
        <v>108</v>
      </c>
      <c r="P3894" t="str">
        <f>"75063"</f>
        <v>75063</v>
      </c>
    </row>
    <row r="3895" spans="1:16" x14ac:dyDescent="0.25">
      <c r="A3895" t="str">
        <f>"1100120N0001530  00"</f>
        <v>1100120N0001530  00</v>
      </c>
      <c r="B3895" t="s">
        <v>9373</v>
      </c>
      <c r="C3895" t="s">
        <v>9374</v>
      </c>
      <c r="E3895" t="s">
        <v>39</v>
      </c>
      <c r="F3895">
        <v>0</v>
      </c>
      <c r="G3895">
        <v>0</v>
      </c>
      <c r="H3895">
        <v>1</v>
      </c>
      <c r="I3895" s="3">
        <v>2251.2199999999998</v>
      </c>
      <c r="J3895" s="3">
        <v>582.41999999999996</v>
      </c>
      <c r="K3895" t="s">
        <v>1427</v>
      </c>
      <c r="L3895">
        <v>3001</v>
      </c>
      <c r="M3895" t="s">
        <v>330</v>
      </c>
      <c r="N3895" t="s">
        <v>331</v>
      </c>
      <c r="O3895" t="s">
        <v>108</v>
      </c>
      <c r="P3895" t="str">
        <f>"75063"</f>
        <v>75063</v>
      </c>
    </row>
    <row r="3896" spans="1:16" x14ac:dyDescent="0.25">
      <c r="A3896" t="str">
        <f>"1100120N0001531  00"</f>
        <v>1100120N0001531  00</v>
      </c>
      <c r="B3896" t="s">
        <v>9375</v>
      </c>
      <c r="C3896" t="s">
        <v>9376</v>
      </c>
      <c r="E3896" t="s">
        <v>39</v>
      </c>
      <c r="F3896">
        <v>0</v>
      </c>
      <c r="G3896">
        <v>0</v>
      </c>
      <c r="H3896">
        <v>1</v>
      </c>
      <c r="I3896" s="3">
        <v>857.51</v>
      </c>
      <c r="J3896" s="3">
        <v>200.09</v>
      </c>
      <c r="K3896" t="s">
        <v>9377</v>
      </c>
      <c r="L3896">
        <v>160</v>
      </c>
      <c r="M3896" t="s">
        <v>8480</v>
      </c>
      <c r="N3896" t="s">
        <v>30</v>
      </c>
      <c r="O3896" t="s">
        <v>31</v>
      </c>
      <c r="P3896" t="str">
        <f>"15201"</f>
        <v>15201</v>
      </c>
    </row>
    <row r="3897" spans="1:16" x14ac:dyDescent="0.25">
      <c r="A3897" t="str">
        <f>"1100120N0001534  00"</f>
        <v>1100120N0001534  00</v>
      </c>
      <c r="B3897" t="s">
        <v>9378</v>
      </c>
      <c r="C3897" t="s">
        <v>9379</v>
      </c>
      <c r="D3897" t="s">
        <v>33</v>
      </c>
      <c r="E3897" t="s">
        <v>39</v>
      </c>
      <c r="F3897">
        <v>0</v>
      </c>
      <c r="G3897">
        <v>0</v>
      </c>
      <c r="H3897">
        <v>1</v>
      </c>
      <c r="I3897" s="3">
        <v>3731.37</v>
      </c>
      <c r="J3897" s="3">
        <v>963.91</v>
      </c>
      <c r="L3897">
        <v>139</v>
      </c>
      <c r="M3897" t="s">
        <v>9355</v>
      </c>
      <c r="N3897" t="s">
        <v>30</v>
      </c>
      <c r="O3897" t="s">
        <v>31</v>
      </c>
      <c r="P3897" t="str">
        <f>"15201"</f>
        <v>15201</v>
      </c>
    </row>
    <row r="3898" spans="1:16" x14ac:dyDescent="0.25">
      <c r="A3898" t="str">
        <f>"1100120N000154   00"</f>
        <v>1100120N000154   00</v>
      </c>
      <c r="B3898" t="s">
        <v>9380</v>
      </c>
      <c r="C3898" t="s">
        <v>9381</v>
      </c>
      <c r="E3898" t="s">
        <v>39</v>
      </c>
      <c r="F3898">
        <v>0</v>
      </c>
      <c r="G3898">
        <v>0</v>
      </c>
      <c r="H3898">
        <v>1</v>
      </c>
      <c r="I3898" s="3">
        <v>2796.22</v>
      </c>
      <c r="J3898" s="3">
        <v>0</v>
      </c>
      <c r="L3898">
        <v>20</v>
      </c>
      <c r="M3898" t="s">
        <v>9382</v>
      </c>
      <c r="N3898" t="s">
        <v>30</v>
      </c>
      <c r="O3898" t="s">
        <v>31</v>
      </c>
      <c r="P3898" t="str">
        <f>"15222"</f>
        <v>15222</v>
      </c>
    </row>
    <row r="3899" spans="1:16" x14ac:dyDescent="0.25">
      <c r="A3899" t="str">
        <f>"1100120N0001542  00"</f>
        <v>1100120N0001542  00</v>
      </c>
      <c r="B3899" t="s">
        <v>9383</v>
      </c>
      <c r="C3899" t="s">
        <v>9384</v>
      </c>
      <c r="D3899" t="s">
        <v>33</v>
      </c>
      <c r="E3899" t="s">
        <v>39</v>
      </c>
      <c r="F3899">
        <v>0</v>
      </c>
      <c r="G3899">
        <v>0</v>
      </c>
      <c r="H3899">
        <v>1</v>
      </c>
      <c r="I3899" s="3">
        <v>639.1</v>
      </c>
      <c r="J3899" s="3">
        <v>250.3</v>
      </c>
      <c r="K3899" t="s">
        <v>9385</v>
      </c>
      <c r="L3899">
        <v>5529</v>
      </c>
      <c r="M3899" t="s">
        <v>9386</v>
      </c>
      <c r="N3899" t="s">
        <v>30</v>
      </c>
      <c r="O3899" t="s">
        <v>31</v>
      </c>
      <c r="P3899" t="str">
        <f>"15201"</f>
        <v>15201</v>
      </c>
    </row>
    <row r="3900" spans="1:16" x14ac:dyDescent="0.25">
      <c r="A3900" t="str">
        <f>"1100120N0001544  00"</f>
        <v>1100120N0001544  00</v>
      </c>
      <c r="B3900" t="s">
        <v>9387</v>
      </c>
      <c r="C3900" t="s">
        <v>9388</v>
      </c>
      <c r="D3900" t="s">
        <v>20</v>
      </c>
      <c r="E3900" t="s">
        <v>39</v>
      </c>
      <c r="F3900">
        <v>0</v>
      </c>
      <c r="G3900">
        <v>0</v>
      </c>
      <c r="H3900">
        <v>1</v>
      </c>
      <c r="I3900" s="3">
        <v>1854.55</v>
      </c>
      <c r="J3900" s="3">
        <v>324.54000000000002</v>
      </c>
      <c r="L3900">
        <v>5533</v>
      </c>
      <c r="M3900" t="s">
        <v>9386</v>
      </c>
      <c r="N3900" t="s">
        <v>30</v>
      </c>
      <c r="O3900" t="s">
        <v>31</v>
      </c>
      <c r="P3900" t="str">
        <f>"15201"</f>
        <v>15201</v>
      </c>
    </row>
    <row r="3901" spans="1:16" x14ac:dyDescent="0.25">
      <c r="A3901" t="str">
        <f>"1100120N0001545  00"</f>
        <v>1100120N0001545  00</v>
      </c>
      <c r="B3901" t="s">
        <v>9389</v>
      </c>
      <c r="C3901" t="s">
        <v>9390</v>
      </c>
      <c r="D3901" t="s">
        <v>20</v>
      </c>
      <c r="E3901" t="s">
        <v>39</v>
      </c>
      <c r="F3901">
        <v>0</v>
      </c>
      <c r="G3901">
        <v>0</v>
      </c>
      <c r="H3901">
        <v>1</v>
      </c>
      <c r="I3901" s="3">
        <v>639.1</v>
      </c>
      <c r="J3901" s="3">
        <v>250.3</v>
      </c>
      <c r="K3901" t="s">
        <v>408</v>
      </c>
      <c r="M3901" t="s">
        <v>409</v>
      </c>
      <c r="N3901" t="s">
        <v>410</v>
      </c>
      <c r="O3901" t="s">
        <v>31</v>
      </c>
      <c r="P3901" t="str">
        <f>"15701"</f>
        <v>15701</v>
      </c>
    </row>
    <row r="3902" spans="1:16" x14ac:dyDescent="0.25">
      <c r="A3902" t="str">
        <f>"1100120N0001549  00"</f>
        <v>1100120N0001549  00</v>
      </c>
      <c r="B3902" t="s">
        <v>9391</v>
      </c>
      <c r="C3902" t="s">
        <v>9392</v>
      </c>
      <c r="D3902" t="s">
        <v>20</v>
      </c>
      <c r="E3902" t="s">
        <v>39</v>
      </c>
      <c r="F3902">
        <v>0</v>
      </c>
      <c r="G3902">
        <v>0</v>
      </c>
      <c r="H3902">
        <v>1</v>
      </c>
      <c r="I3902" s="3">
        <v>1182.3699999999999</v>
      </c>
      <c r="J3902" s="3">
        <v>0</v>
      </c>
      <c r="K3902" t="s">
        <v>5137</v>
      </c>
      <c r="L3902">
        <v>612</v>
      </c>
      <c r="M3902" t="s">
        <v>1451</v>
      </c>
      <c r="N3902" t="s">
        <v>5138</v>
      </c>
      <c r="O3902" t="s">
        <v>31</v>
      </c>
      <c r="P3902" t="str">
        <f>"16373"</f>
        <v>16373</v>
      </c>
    </row>
    <row r="3903" spans="1:16" x14ac:dyDescent="0.25">
      <c r="A3903" t="str">
        <f>"1100120N0001560  00"</f>
        <v>1100120N0001560  00</v>
      </c>
      <c r="B3903" t="s">
        <v>9393</v>
      </c>
      <c r="C3903" t="s">
        <v>9394</v>
      </c>
      <c r="E3903" t="s">
        <v>39</v>
      </c>
      <c r="F3903">
        <v>0</v>
      </c>
      <c r="G3903">
        <v>0</v>
      </c>
      <c r="H3903">
        <v>1</v>
      </c>
      <c r="I3903" s="3">
        <v>773.48</v>
      </c>
      <c r="J3903" s="3">
        <v>154.69</v>
      </c>
      <c r="K3903" t="s">
        <v>557</v>
      </c>
      <c r="L3903">
        <v>3001</v>
      </c>
      <c r="M3903" t="s">
        <v>330</v>
      </c>
      <c r="N3903" t="s">
        <v>331</v>
      </c>
      <c r="O3903" t="s">
        <v>108</v>
      </c>
      <c r="P3903" t="str">
        <f>"75063"</f>
        <v>75063</v>
      </c>
    </row>
    <row r="3904" spans="1:16" x14ac:dyDescent="0.25">
      <c r="A3904" t="str">
        <f>"1100120N0001566  00"</f>
        <v>1100120N0001566  00</v>
      </c>
      <c r="B3904" t="s">
        <v>9395</v>
      </c>
      <c r="C3904" t="s">
        <v>9396</v>
      </c>
      <c r="D3904" t="s">
        <v>33</v>
      </c>
      <c r="E3904" t="s">
        <v>39</v>
      </c>
      <c r="F3904">
        <v>0</v>
      </c>
      <c r="G3904">
        <v>0</v>
      </c>
      <c r="H3904">
        <v>1</v>
      </c>
      <c r="I3904" s="3">
        <v>639.1</v>
      </c>
      <c r="J3904" s="3">
        <v>207.7</v>
      </c>
      <c r="K3904" t="s">
        <v>5692</v>
      </c>
      <c r="L3904">
        <v>3001</v>
      </c>
      <c r="M3904" t="s">
        <v>330</v>
      </c>
      <c r="N3904" t="s">
        <v>331</v>
      </c>
      <c r="O3904" t="s">
        <v>108</v>
      </c>
      <c r="P3904" t="str">
        <f>"75063"</f>
        <v>75063</v>
      </c>
    </row>
    <row r="3905" spans="1:16" x14ac:dyDescent="0.25">
      <c r="A3905" t="str">
        <f>"1100120N00018    00"</f>
        <v>1100120N00018    00</v>
      </c>
      <c r="B3905" t="s">
        <v>9397</v>
      </c>
      <c r="C3905" t="s">
        <v>9398</v>
      </c>
      <c r="D3905" t="s">
        <v>20</v>
      </c>
      <c r="E3905" t="s">
        <v>39</v>
      </c>
      <c r="F3905">
        <v>0</v>
      </c>
      <c r="G3905">
        <v>0</v>
      </c>
      <c r="H3905">
        <v>2</v>
      </c>
      <c r="I3905" s="3">
        <v>675.78</v>
      </c>
      <c r="J3905" s="3">
        <v>0</v>
      </c>
      <c r="K3905" t="s">
        <v>9399</v>
      </c>
      <c r="L3905">
        <v>3728</v>
      </c>
      <c r="M3905" t="s">
        <v>9400</v>
      </c>
      <c r="N3905" t="s">
        <v>30</v>
      </c>
      <c r="O3905" t="s">
        <v>31</v>
      </c>
      <c r="P3905" t="str">
        <f>"15212"</f>
        <v>15212</v>
      </c>
    </row>
    <row r="3906" spans="1:16" x14ac:dyDescent="0.25">
      <c r="A3906" t="str">
        <f>"1100120N00034    00"</f>
        <v>1100120N00034    00</v>
      </c>
      <c r="B3906" t="s">
        <v>9401</v>
      </c>
      <c r="C3906" t="s">
        <v>9402</v>
      </c>
      <c r="D3906" t="s">
        <v>20</v>
      </c>
      <c r="E3906" t="s">
        <v>39</v>
      </c>
      <c r="F3906">
        <v>0</v>
      </c>
      <c r="G3906">
        <v>0</v>
      </c>
      <c r="H3906">
        <v>2</v>
      </c>
      <c r="I3906" s="3">
        <v>2007.68</v>
      </c>
      <c r="J3906" s="3">
        <v>0</v>
      </c>
      <c r="L3906">
        <v>250</v>
      </c>
      <c r="M3906" t="s">
        <v>7199</v>
      </c>
      <c r="N3906" t="s">
        <v>30</v>
      </c>
      <c r="O3906" t="s">
        <v>31</v>
      </c>
      <c r="P3906" t="str">
        <f>"15201"</f>
        <v>15201</v>
      </c>
    </row>
    <row r="3907" spans="1:16" x14ac:dyDescent="0.25">
      <c r="A3907" t="str">
        <f>"1100120N00051    00"</f>
        <v>1100120N00051    00</v>
      </c>
      <c r="B3907" t="s">
        <v>9403</v>
      </c>
      <c r="C3907" t="s">
        <v>9404</v>
      </c>
      <c r="D3907" t="s">
        <v>20</v>
      </c>
      <c r="E3907" t="s">
        <v>39</v>
      </c>
      <c r="F3907">
        <v>0</v>
      </c>
      <c r="G3907">
        <v>0</v>
      </c>
      <c r="H3907">
        <v>2</v>
      </c>
      <c r="I3907" s="3">
        <v>30.5</v>
      </c>
      <c r="J3907" s="3">
        <v>0</v>
      </c>
      <c r="L3907">
        <v>5418</v>
      </c>
      <c r="M3907" t="s">
        <v>8410</v>
      </c>
      <c r="N3907" t="s">
        <v>30</v>
      </c>
      <c r="O3907" t="s">
        <v>31</v>
      </c>
      <c r="P3907" t="str">
        <f>"15201"</f>
        <v>15201</v>
      </c>
    </row>
    <row r="3908" spans="1:16" x14ac:dyDescent="0.25">
      <c r="A3908" t="str">
        <f>"1100120N00052    00"</f>
        <v>1100120N00052    00</v>
      </c>
      <c r="B3908" t="s">
        <v>9405</v>
      </c>
      <c r="C3908" t="s">
        <v>9406</v>
      </c>
      <c r="D3908" t="s">
        <v>20</v>
      </c>
      <c r="E3908" t="s">
        <v>39</v>
      </c>
      <c r="F3908">
        <v>0</v>
      </c>
      <c r="G3908">
        <v>0</v>
      </c>
      <c r="H3908">
        <v>5</v>
      </c>
      <c r="I3908" s="3">
        <v>4107.8</v>
      </c>
      <c r="J3908" s="3">
        <v>460.54</v>
      </c>
      <c r="L3908">
        <v>5418</v>
      </c>
      <c r="M3908" t="s">
        <v>8410</v>
      </c>
      <c r="N3908" t="s">
        <v>30</v>
      </c>
      <c r="O3908" t="s">
        <v>31</v>
      </c>
      <c r="P3908" t="str">
        <f>"15201"</f>
        <v>15201</v>
      </c>
    </row>
    <row r="3909" spans="1:16" x14ac:dyDescent="0.25">
      <c r="A3909" t="str">
        <f>"1100120N00201    00"</f>
        <v>1100120N00201    00</v>
      </c>
      <c r="B3909" t="s">
        <v>9407</v>
      </c>
      <c r="C3909" t="s">
        <v>9408</v>
      </c>
      <c r="D3909" t="s">
        <v>20</v>
      </c>
      <c r="E3909" t="s">
        <v>39</v>
      </c>
      <c r="F3909">
        <v>0</v>
      </c>
      <c r="G3909">
        <v>0</v>
      </c>
      <c r="H3909">
        <v>7</v>
      </c>
      <c r="I3909" s="3">
        <v>5464.54</v>
      </c>
      <c r="J3909" s="3">
        <v>1559.2</v>
      </c>
      <c r="L3909">
        <v>5601</v>
      </c>
      <c r="M3909" t="s">
        <v>8818</v>
      </c>
      <c r="N3909" t="s">
        <v>30</v>
      </c>
      <c r="O3909" t="s">
        <v>31</v>
      </c>
      <c r="P3909" t="str">
        <f>"15201"</f>
        <v>15201</v>
      </c>
    </row>
    <row r="3910" spans="1:16" x14ac:dyDescent="0.25">
      <c r="A3910" t="str">
        <f>"1100120N00207    00"</f>
        <v>1100120N00207    00</v>
      </c>
      <c r="B3910" t="s">
        <v>9409</v>
      </c>
      <c r="C3910" t="s">
        <v>9410</v>
      </c>
      <c r="D3910" t="s">
        <v>20</v>
      </c>
      <c r="E3910" t="s">
        <v>39</v>
      </c>
      <c r="F3910">
        <v>0</v>
      </c>
      <c r="G3910">
        <v>0</v>
      </c>
      <c r="H3910">
        <v>4</v>
      </c>
      <c r="I3910" s="3">
        <v>693.43</v>
      </c>
      <c r="J3910" s="3">
        <v>1.02</v>
      </c>
      <c r="L3910">
        <v>5608</v>
      </c>
      <c r="M3910" t="s">
        <v>8464</v>
      </c>
      <c r="N3910" t="s">
        <v>30</v>
      </c>
      <c r="O3910" t="s">
        <v>31</v>
      </c>
      <c r="P3910" t="str">
        <f>"15201"</f>
        <v>15201</v>
      </c>
    </row>
    <row r="3911" spans="1:16" x14ac:dyDescent="0.25">
      <c r="A3911" t="str">
        <f>"1100120N00289    00"</f>
        <v>1100120N00289    00</v>
      </c>
      <c r="B3911" t="s">
        <v>9411</v>
      </c>
      <c r="C3911" t="s">
        <v>9412</v>
      </c>
      <c r="E3911" t="s">
        <v>39</v>
      </c>
      <c r="F3911">
        <v>0</v>
      </c>
      <c r="G3911">
        <v>0</v>
      </c>
      <c r="H3911">
        <v>1</v>
      </c>
      <c r="I3911" s="3">
        <v>440.5</v>
      </c>
      <c r="J3911" s="3">
        <v>0</v>
      </c>
      <c r="L3911">
        <v>4677</v>
      </c>
      <c r="M3911" t="s">
        <v>8086</v>
      </c>
      <c r="N3911" t="s">
        <v>195</v>
      </c>
      <c r="O3911" t="s">
        <v>31</v>
      </c>
      <c r="P3911" t="str">
        <f>"15101"</f>
        <v>15101</v>
      </c>
    </row>
    <row r="3912" spans="1:16" x14ac:dyDescent="0.25">
      <c r="A3912" t="str">
        <f>"1100120N00335    00"</f>
        <v>1100120N00335    00</v>
      </c>
      <c r="B3912" t="s">
        <v>9413</v>
      </c>
      <c r="C3912" t="s">
        <v>9414</v>
      </c>
      <c r="D3912" t="s">
        <v>20</v>
      </c>
      <c r="E3912" t="s">
        <v>39</v>
      </c>
      <c r="F3912">
        <v>0</v>
      </c>
      <c r="G3912">
        <v>0</v>
      </c>
      <c r="H3912">
        <v>1</v>
      </c>
      <c r="I3912" s="3">
        <v>139.66</v>
      </c>
      <c r="J3912" s="3">
        <v>0</v>
      </c>
      <c r="K3912" t="s">
        <v>9415</v>
      </c>
      <c r="L3912">
        <v>218</v>
      </c>
      <c r="M3912" t="s">
        <v>9416</v>
      </c>
      <c r="N3912" t="s">
        <v>30</v>
      </c>
      <c r="O3912" t="s">
        <v>31</v>
      </c>
      <c r="P3912" t="str">
        <f t="shared" ref="P3912:P3917" si="49">"15201"</f>
        <v>15201</v>
      </c>
    </row>
    <row r="3913" spans="1:16" x14ac:dyDescent="0.25">
      <c r="A3913" t="str">
        <f>"1100120N00337    00"</f>
        <v>1100120N00337    00</v>
      </c>
      <c r="B3913" t="s">
        <v>9417</v>
      </c>
      <c r="C3913" t="s">
        <v>9418</v>
      </c>
      <c r="D3913" t="s">
        <v>20</v>
      </c>
      <c r="E3913" t="s">
        <v>39</v>
      </c>
      <c r="F3913">
        <v>0</v>
      </c>
      <c r="G3913">
        <v>0</v>
      </c>
      <c r="H3913">
        <v>4</v>
      </c>
      <c r="I3913" s="3">
        <v>4328.58</v>
      </c>
      <c r="J3913" s="3">
        <v>0</v>
      </c>
      <c r="L3913">
        <v>214</v>
      </c>
      <c r="M3913" t="s">
        <v>9416</v>
      </c>
      <c r="N3913" t="s">
        <v>30</v>
      </c>
      <c r="O3913" t="s">
        <v>31</v>
      </c>
      <c r="P3913" t="str">
        <f t="shared" si="49"/>
        <v>15201</v>
      </c>
    </row>
    <row r="3914" spans="1:16" x14ac:dyDescent="0.25">
      <c r="A3914" t="str">
        <f>"1100120P00010    00"</f>
        <v>1100120P00010    00</v>
      </c>
      <c r="B3914" t="s">
        <v>9419</v>
      </c>
      <c r="C3914" t="s">
        <v>9420</v>
      </c>
      <c r="D3914" t="s">
        <v>20</v>
      </c>
      <c r="E3914" t="s">
        <v>39</v>
      </c>
      <c r="F3914">
        <v>0</v>
      </c>
      <c r="G3914">
        <v>0</v>
      </c>
      <c r="H3914">
        <v>1</v>
      </c>
      <c r="I3914" s="3">
        <v>585.66</v>
      </c>
      <c r="J3914" s="3">
        <v>0</v>
      </c>
      <c r="L3914">
        <v>5619</v>
      </c>
      <c r="M3914" t="s">
        <v>8692</v>
      </c>
      <c r="N3914" t="s">
        <v>30</v>
      </c>
      <c r="O3914" t="s">
        <v>31</v>
      </c>
      <c r="P3914" t="str">
        <f t="shared" si="49"/>
        <v>15201</v>
      </c>
    </row>
    <row r="3915" spans="1:16" x14ac:dyDescent="0.25">
      <c r="A3915" t="str">
        <f>"1100120P00012    00"</f>
        <v>1100120P00012    00</v>
      </c>
      <c r="B3915" t="s">
        <v>9421</v>
      </c>
      <c r="C3915" t="s">
        <v>9422</v>
      </c>
      <c r="D3915" t="s">
        <v>20</v>
      </c>
      <c r="E3915" t="s">
        <v>39</v>
      </c>
      <c r="F3915">
        <v>0</v>
      </c>
      <c r="G3915">
        <v>0</v>
      </c>
      <c r="H3915">
        <v>1</v>
      </c>
      <c r="I3915" s="3">
        <v>1423.15</v>
      </c>
      <c r="J3915" s="3">
        <v>0</v>
      </c>
      <c r="L3915">
        <v>5619</v>
      </c>
      <c r="M3915" t="s">
        <v>8692</v>
      </c>
      <c r="N3915" t="s">
        <v>30</v>
      </c>
      <c r="O3915" t="s">
        <v>31</v>
      </c>
      <c r="P3915" t="str">
        <f t="shared" si="49"/>
        <v>15201</v>
      </c>
    </row>
    <row r="3916" spans="1:16" x14ac:dyDescent="0.25">
      <c r="A3916" t="str">
        <f>"1100120P00017    00"</f>
        <v>1100120P00017    00</v>
      </c>
      <c r="B3916" t="s">
        <v>9423</v>
      </c>
      <c r="C3916" t="s">
        <v>9424</v>
      </c>
      <c r="D3916" t="s">
        <v>20</v>
      </c>
      <c r="E3916" t="s">
        <v>39</v>
      </c>
      <c r="F3916">
        <v>0</v>
      </c>
      <c r="G3916">
        <v>0</v>
      </c>
      <c r="H3916">
        <v>13</v>
      </c>
      <c r="I3916" s="3">
        <v>1698.29</v>
      </c>
      <c r="J3916" s="3">
        <v>1240.71</v>
      </c>
      <c r="K3916" t="s">
        <v>9425</v>
      </c>
      <c r="L3916">
        <v>5605</v>
      </c>
      <c r="M3916" t="s">
        <v>8692</v>
      </c>
      <c r="N3916" t="s">
        <v>30</v>
      </c>
      <c r="O3916" t="s">
        <v>31</v>
      </c>
      <c r="P3916" t="str">
        <f t="shared" si="49"/>
        <v>15201</v>
      </c>
    </row>
    <row r="3917" spans="1:16" x14ac:dyDescent="0.25">
      <c r="A3917" t="str">
        <f>"1100120P00084    00"</f>
        <v>1100120P00084    00</v>
      </c>
      <c r="B3917" t="s">
        <v>9426</v>
      </c>
      <c r="C3917" t="s">
        <v>9427</v>
      </c>
      <c r="D3917" t="s">
        <v>20</v>
      </c>
      <c r="E3917" t="s">
        <v>39</v>
      </c>
      <c r="F3917">
        <v>0</v>
      </c>
      <c r="G3917">
        <v>0</v>
      </c>
      <c r="H3917">
        <v>13</v>
      </c>
      <c r="I3917" s="3">
        <v>19616.78</v>
      </c>
      <c r="J3917" s="3">
        <v>10211.290000000001</v>
      </c>
      <c r="K3917" t="s">
        <v>9425</v>
      </c>
      <c r="L3917">
        <v>5605</v>
      </c>
      <c r="M3917" t="s">
        <v>8692</v>
      </c>
      <c r="N3917" t="s">
        <v>30</v>
      </c>
      <c r="O3917" t="s">
        <v>31</v>
      </c>
      <c r="P3917" t="str">
        <f t="shared" si="49"/>
        <v>15201</v>
      </c>
    </row>
    <row r="3918" spans="1:16" x14ac:dyDescent="0.25">
      <c r="A3918" t="str">
        <f>"1100120P00088    00"</f>
        <v>1100120P00088    00</v>
      </c>
      <c r="B3918" t="s">
        <v>9428</v>
      </c>
      <c r="C3918" t="s">
        <v>9429</v>
      </c>
      <c r="D3918" t="s">
        <v>20</v>
      </c>
      <c r="E3918" t="s">
        <v>39</v>
      </c>
      <c r="F3918">
        <v>0</v>
      </c>
      <c r="G3918">
        <v>0</v>
      </c>
      <c r="H3918">
        <v>11</v>
      </c>
      <c r="I3918" s="3">
        <v>15889.96</v>
      </c>
      <c r="J3918" s="3">
        <v>7686.17</v>
      </c>
      <c r="K3918" t="s">
        <v>9430</v>
      </c>
      <c r="L3918">
        <v>3407</v>
      </c>
      <c r="M3918" t="s">
        <v>9431</v>
      </c>
      <c r="N3918" t="s">
        <v>238</v>
      </c>
      <c r="O3918" t="s">
        <v>31</v>
      </c>
      <c r="P3918" t="str">
        <f>"15132"</f>
        <v>15132</v>
      </c>
    </row>
    <row r="3919" spans="1:16" x14ac:dyDescent="0.25">
      <c r="A3919" t="str">
        <f>"1100120P00152    00"</f>
        <v>1100120P00152    00</v>
      </c>
      <c r="B3919" t="s">
        <v>9432</v>
      </c>
      <c r="C3919" t="s">
        <v>9433</v>
      </c>
      <c r="D3919" t="s">
        <v>20</v>
      </c>
      <c r="E3919" t="s">
        <v>39</v>
      </c>
      <c r="F3919">
        <v>0</v>
      </c>
      <c r="G3919">
        <v>0</v>
      </c>
      <c r="H3919">
        <v>2</v>
      </c>
      <c r="I3919" s="3">
        <v>1845.02</v>
      </c>
      <c r="J3919" s="3">
        <v>0</v>
      </c>
      <c r="L3919">
        <v>715</v>
      </c>
      <c r="M3919" t="s">
        <v>4219</v>
      </c>
      <c r="N3919" t="s">
        <v>30</v>
      </c>
      <c r="O3919" t="s">
        <v>31</v>
      </c>
      <c r="P3919" t="str">
        <f>"15232"</f>
        <v>15232</v>
      </c>
    </row>
    <row r="3920" spans="1:16" x14ac:dyDescent="0.25">
      <c r="A3920" t="str">
        <f>"1100120P00153    00"</f>
        <v>1100120P00153    00</v>
      </c>
      <c r="B3920" t="s">
        <v>9432</v>
      </c>
      <c r="C3920" t="s">
        <v>9434</v>
      </c>
      <c r="D3920" t="s">
        <v>20</v>
      </c>
      <c r="E3920" t="s">
        <v>39</v>
      </c>
      <c r="F3920">
        <v>0</v>
      </c>
      <c r="G3920">
        <v>0</v>
      </c>
      <c r="H3920">
        <v>2</v>
      </c>
      <c r="I3920" s="3">
        <v>449.82</v>
      </c>
      <c r="J3920" s="3">
        <v>0</v>
      </c>
      <c r="L3920">
        <v>715</v>
      </c>
      <c r="M3920" t="s">
        <v>4219</v>
      </c>
      <c r="N3920" t="s">
        <v>30</v>
      </c>
      <c r="O3920" t="s">
        <v>31</v>
      </c>
      <c r="P3920" t="str">
        <f>"15232"</f>
        <v>15232</v>
      </c>
    </row>
    <row r="3921" spans="1:16" x14ac:dyDescent="0.25">
      <c r="A3921" t="str">
        <f>"1100120P00165    00"</f>
        <v>1100120P00165    00</v>
      </c>
      <c r="B3921" t="s">
        <v>9435</v>
      </c>
      <c r="C3921" t="s">
        <v>9436</v>
      </c>
      <c r="D3921" t="s">
        <v>20</v>
      </c>
      <c r="E3921" t="s">
        <v>39</v>
      </c>
      <c r="F3921">
        <v>0</v>
      </c>
      <c r="G3921">
        <v>0</v>
      </c>
      <c r="H3921">
        <v>18</v>
      </c>
      <c r="I3921" s="3">
        <v>4769.13</v>
      </c>
      <c r="J3921" s="3">
        <v>4677.3900000000003</v>
      </c>
      <c r="L3921">
        <v>312</v>
      </c>
      <c r="M3921" t="s">
        <v>9416</v>
      </c>
      <c r="N3921" t="s">
        <v>30</v>
      </c>
      <c r="O3921" t="s">
        <v>31</v>
      </c>
      <c r="P3921" t="str">
        <f>"15201"</f>
        <v>15201</v>
      </c>
    </row>
    <row r="3922" spans="1:16" x14ac:dyDescent="0.25">
      <c r="A3922" t="str">
        <f>"1100120P00166    00"</f>
        <v>1100120P00166    00</v>
      </c>
      <c r="B3922" t="s">
        <v>9437</v>
      </c>
      <c r="C3922" t="s">
        <v>9438</v>
      </c>
      <c r="D3922" t="s">
        <v>20</v>
      </c>
      <c r="E3922" t="s">
        <v>39</v>
      </c>
      <c r="F3922">
        <v>0</v>
      </c>
      <c r="G3922">
        <v>0</v>
      </c>
      <c r="H3922">
        <v>2</v>
      </c>
      <c r="I3922" s="3">
        <v>358.34</v>
      </c>
      <c r="J3922" s="3">
        <v>0</v>
      </c>
      <c r="K3922" t="s">
        <v>9439</v>
      </c>
      <c r="L3922">
        <v>126</v>
      </c>
      <c r="M3922" t="s">
        <v>9440</v>
      </c>
      <c r="N3922" t="s">
        <v>30</v>
      </c>
      <c r="O3922" t="s">
        <v>31</v>
      </c>
      <c r="P3922" t="str">
        <f>"15234"</f>
        <v>15234</v>
      </c>
    </row>
    <row r="3923" spans="1:16" x14ac:dyDescent="0.25">
      <c r="A3923" t="str">
        <f>"1100120P00167    00"</f>
        <v>1100120P00167    00</v>
      </c>
      <c r="B3923" t="s">
        <v>9441</v>
      </c>
      <c r="C3923" t="s">
        <v>9442</v>
      </c>
      <c r="D3923" t="s">
        <v>20</v>
      </c>
      <c r="E3923" t="s">
        <v>39</v>
      </c>
      <c r="F3923">
        <v>0</v>
      </c>
      <c r="G3923">
        <v>0</v>
      </c>
      <c r="H3923">
        <v>1</v>
      </c>
      <c r="I3923" s="3">
        <v>630.89</v>
      </c>
      <c r="J3923" s="3">
        <v>0</v>
      </c>
      <c r="K3923" t="s">
        <v>484</v>
      </c>
      <c r="L3923">
        <v>3001</v>
      </c>
      <c r="M3923" t="s">
        <v>330</v>
      </c>
      <c r="N3923" t="s">
        <v>331</v>
      </c>
      <c r="O3923" t="s">
        <v>108</v>
      </c>
      <c r="P3923" t="str">
        <f>"75063"</f>
        <v>75063</v>
      </c>
    </row>
    <row r="3924" spans="1:16" x14ac:dyDescent="0.25">
      <c r="A3924" t="str">
        <f>"1100120P00169    00"</f>
        <v>1100120P00169    00</v>
      </c>
      <c r="B3924" t="s">
        <v>9443</v>
      </c>
      <c r="C3924" t="s">
        <v>9434</v>
      </c>
      <c r="D3924" t="s">
        <v>20</v>
      </c>
      <c r="E3924" t="s">
        <v>39</v>
      </c>
      <c r="F3924">
        <v>0</v>
      </c>
      <c r="G3924">
        <v>0</v>
      </c>
      <c r="H3924">
        <v>13</v>
      </c>
      <c r="I3924" s="3">
        <v>1548.14</v>
      </c>
      <c r="J3924" s="3">
        <v>833.84</v>
      </c>
      <c r="L3924">
        <v>2828</v>
      </c>
      <c r="M3924" t="s">
        <v>9444</v>
      </c>
      <c r="N3924" t="s">
        <v>30</v>
      </c>
      <c r="O3924" t="s">
        <v>31</v>
      </c>
      <c r="P3924" t="str">
        <f>"15212"</f>
        <v>15212</v>
      </c>
    </row>
    <row r="3925" spans="1:16" x14ac:dyDescent="0.25">
      <c r="A3925" t="str">
        <f>"1100120P00170    00"</f>
        <v>1100120P00170    00</v>
      </c>
      <c r="B3925" t="s">
        <v>9445</v>
      </c>
      <c r="C3925" t="s">
        <v>9446</v>
      </c>
      <c r="D3925" t="s">
        <v>20</v>
      </c>
      <c r="E3925" t="s">
        <v>39</v>
      </c>
      <c r="F3925">
        <v>0</v>
      </c>
      <c r="G3925">
        <v>0</v>
      </c>
      <c r="H3925">
        <v>19</v>
      </c>
      <c r="I3925" s="3">
        <v>12291.2</v>
      </c>
      <c r="J3925" s="3">
        <v>11340.32</v>
      </c>
      <c r="L3925">
        <v>322</v>
      </c>
      <c r="M3925" t="s">
        <v>9416</v>
      </c>
      <c r="N3925" t="s">
        <v>30</v>
      </c>
      <c r="O3925" t="s">
        <v>31</v>
      </c>
      <c r="P3925" t="str">
        <f>"15201"</f>
        <v>15201</v>
      </c>
    </row>
    <row r="3926" spans="1:16" x14ac:dyDescent="0.25">
      <c r="A3926" t="str">
        <f>"1100120P00230    00"</f>
        <v>1100120P00230    00</v>
      </c>
      <c r="B3926" t="s">
        <v>9447</v>
      </c>
      <c r="C3926" t="s">
        <v>9448</v>
      </c>
      <c r="D3926" t="s">
        <v>20</v>
      </c>
      <c r="E3926" t="s">
        <v>39</v>
      </c>
      <c r="F3926">
        <v>0</v>
      </c>
      <c r="G3926">
        <v>0</v>
      </c>
      <c r="H3926">
        <v>2</v>
      </c>
      <c r="I3926" s="3">
        <v>1426.7</v>
      </c>
      <c r="J3926" s="3">
        <v>0</v>
      </c>
      <c r="K3926" t="s">
        <v>767</v>
      </c>
      <c r="L3926">
        <v>3001</v>
      </c>
      <c r="M3926" t="s">
        <v>330</v>
      </c>
      <c r="N3926" t="s">
        <v>331</v>
      </c>
      <c r="O3926" t="s">
        <v>108</v>
      </c>
      <c r="P3926" t="str">
        <f>"75063"</f>
        <v>75063</v>
      </c>
    </row>
    <row r="3927" spans="1:16" x14ac:dyDescent="0.25">
      <c r="A3927" t="str">
        <f>"1100120P00353    00"</f>
        <v>1100120P00353    00</v>
      </c>
      <c r="B3927" t="s">
        <v>9449</v>
      </c>
      <c r="C3927" t="s">
        <v>9450</v>
      </c>
      <c r="D3927" t="s">
        <v>20</v>
      </c>
      <c r="E3927" t="s">
        <v>39</v>
      </c>
      <c r="F3927">
        <v>0</v>
      </c>
      <c r="G3927">
        <v>0</v>
      </c>
      <c r="H3927">
        <v>6</v>
      </c>
      <c r="I3927" s="3">
        <v>5016.8500000000004</v>
      </c>
      <c r="J3927" s="3">
        <v>962.09</v>
      </c>
      <c r="L3927">
        <v>1030</v>
      </c>
      <c r="M3927" t="s">
        <v>9451</v>
      </c>
      <c r="N3927" t="s">
        <v>30</v>
      </c>
      <c r="O3927" t="s">
        <v>31</v>
      </c>
      <c r="P3927" t="str">
        <f>"15201"</f>
        <v>15201</v>
      </c>
    </row>
    <row r="3928" spans="1:16" x14ac:dyDescent="0.25">
      <c r="A3928" t="str">
        <f>"1100120P00358    00"</f>
        <v>1100120P00358    00</v>
      </c>
      <c r="B3928" t="s">
        <v>9452</v>
      </c>
      <c r="C3928" t="s">
        <v>9453</v>
      </c>
      <c r="D3928" t="s">
        <v>20</v>
      </c>
      <c r="E3928" t="s">
        <v>39</v>
      </c>
      <c r="F3928">
        <v>0</v>
      </c>
      <c r="G3928">
        <v>0</v>
      </c>
      <c r="H3928">
        <v>4</v>
      </c>
      <c r="I3928" s="3">
        <v>4584.22</v>
      </c>
      <c r="J3928" s="3">
        <v>628.30999999999995</v>
      </c>
      <c r="K3928" t="s">
        <v>9454</v>
      </c>
      <c r="L3928">
        <v>38</v>
      </c>
      <c r="M3928" t="s">
        <v>9455</v>
      </c>
      <c r="N3928" t="s">
        <v>9456</v>
      </c>
      <c r="O3928" t="s">
        <v>1269</v>
      </c>
      <c r="P3928" t="str">
        <f>"06489"</f>
        <v>06489</v>
      </c>
    </row>
    <row r="3929" spans="1:16" x14ac:dyDescent="0.25">
      <c r="A3929" t="str">
        <f>"1100120P00364    00"</f>
        <v>1100120P00364    00</v>
      </c>
      <c r="B3929" t="s">
        <v>9457</v>
      </c>
      <c r="C3929" t="s">
        <v>9458</v>
      </c>
      <c r="D3929" t="s">
        <v>20</v>
      </c>
      <c r="E3929" t="s">
        <v>39</v>
      </c>
      <c r="F3929">
        <v>0</v>
      </c>
      <c r="G3929">
        <v>0</v>
      </c>
      <c r="H3929">
        <v>3</v>
      </c>
      <c r="I3929" s="3">
        <v>68.61</v>
      </c>
      <c r="J3929" s="3">
        <v>4.57</v>
      </c>
      <c r="K3929" t="s">
        <v>9459</v>
      </c>
      <c r="L3929">
        <v>116</v>
      </c>
      <c r="M3929" t="s">
        <v>9460</v>
      </c>
      <c r="N3929" t="s">
        <v>30</v>
      </c>
      <c r="O3929" t="s">
        <v>31</v>
      </c>
      <c r="P3929" t="str">
        <f>"15206"</f>
        <v>15206</v>
      </c>
    </row>
    <row r="3930" spans="1:16" x14ac:dyDescent="0.25">
      <c r="A3930" t="str">
        <f>"1100120R00013    00"</f>
        <v>1100120R00013    00</v>
      </c>
      <c r="B3930" t="s">
        <v>7641</v>
      </c>
      <c r="C3930" t="s">
        <v>9461</v>
      </c>
      <c r="D3930" t="s">
        <v>20</v>
      </c>
      <c r="E3930" t="s">
        <v>39</v>
      </c>
      <c r="F3930">
        <v>0</v>
      </c>
      <c r="G3930">
        <v>0</v>
      </c>
      <c r="H3930">
        <v>1</v>
      </c>
      <c r="I3930" s="3">
        <v>1524.8</v>
      </c>
      <c r="J3930" s="3">
        <v>0</v>
      </c>
      <c r="K3930" t="s">
        <v>7643</v>
      </c>
      <c r="L3930">
        <v>1442</v>
      </c>
      <c r="M3930" t="s">
        <v>7644</v>
      </c>
      <c r="N3930" t="s">
        <v>30</v>
      </c>
      <c r="O3930" t="s">
        <v>31</v>
      </c>
      <c r="P3930" t="str">
        <f>"15243"</f>
        <v>15243</v>
      </c>
    </row>
    <row r="3931" spans="1:16" x14ac:dyDescent="0.25">
      <c r="A3931" t="str">
        <f>"1100120R00016    00"</f>
        <v>1100120R00016    00</v>
      </c>
      <c r="B3931" t="s">
        <v>9462</v>
      </c>
      <c r="C3931" t="s">
        <v>9463</v>
      </c>
      <c r="D3931" t="s">
        <v>20</v>
      </c>
      <c r="E3931" t="s">
        <v>39</v>
      </c>
      <c r="F3931">
        <v>0</v>
      </c>
      <c r="G3931">
        <v>0</v>
      </c>
      <c r="H3931">
        <v>2</v>
      </c>
      <c r="I3931" s="3">
        <v>915.02</v>
      </c>
      <c r="J3931" s="3">
        <v>0</v>
      </c>
      <c r="K3931" t="s">
        <v>4992</v>
      </c>
      <c r="L3931">
        <v>18111</v>
      </c>
      <c r="M3931" t="s">
        <v>4993</v>
      </c>
      <c r="N3931" t="s">
        <v>107</v>
      </c>
      <c r="O3931" t="s">
        <v>108</v>
      </c>
      <c r="P3931" t="str">
        <f>"75252"</f>
        <v>75252</v>
      </c>
    </row>
    <row r="3932" spans="1:16" x14ac:dyDescent="0.25">
      <c r="A3932" t="str">
        <f>"1100120R00110    00"</f>
        <v>1100120R00110    00</v>
      </c>
      <c r="B3932" t="s">
        <v>9464</v>
      </c>
      <c r="C3932" t="s">
        <v>9465</v>
      </c>
      <c r="D3932" t="s">
        <v>20</v>
      </c>
      <c r="E3932" t="s">
        <v>39</v>
      </c>
      <c r="F3932">
        <v>0</v>
      </c>
      <c r="G3932">
        <v>0</v>
      </c>
      <c r="H3932">
        <v>2</v>
      </c>
      <c r="I3932" s="3">
        <v>2543.64</v>
      </c>
      <c r="J3932" s="3">
        <v>0</v>
      </c>
      <c r="L3932">
        <v>1369</v>
      </c>
      <c r="M3932" t="s">
        <v>9339</v>
      </c>
      <c r="N3932" t="s">
        <v>30</v>
      </c>
      <c r="O3932" t="s">
        <v>31</v>
      </c>
      <c r="P3932" t="str">
        <f>"15201"</f>
        <v>15201</v>
      </c>
    </row>
    <row r="3933" spans="1:16" x14ac:dyDescent="0.25">
      <c r="A3933" t="str">
        <f>"1100120R00119    00"</f>
        <v>1100120R00119    00</v>
      </c>
      <c r="B3933" t="s">
        <v>9466</v>
      </c>
      <c r="C3933" t="s">
        <v>9467</v>
      </c>
      <c r="D3933" t="s">
        <v>20</v>
      </c>
      <c r="E3933" t="s">
        <v>39</v>
      </c>
      <c r="F3933">
        <v>0</v>
      </c>
      <c r="G3933">
        <v>0</v>
      </c>
      <c r="H3933">
        <v>1</v>
      </c>
      <c r="I3933" s="3">
        <v>1820.24</v>
      </c>
      <c r="J3933" s="3">
        <v>0</v>
      </c>
      <c r="K3933" t="s">
        <v>9468</v>
      </c>
      <c r="M3933" t="s">
        <v>9469</v>
      </c>
      <c r="N3933" t="s">
        <v>30</v>
      </c>
      <c r="O3933" t="s">
        <v>31</v>
      </c>
      <c r="P3933" t="str">
        <f>"15201"</f>
        <v>15201</v>
      </c>
    </row>
    <row r="3934" spans="1:16" x14ac:dyDescent="0.25">
      <c r="A3934" t="str">
        <f>"1100120R00144    00"</f>
        <v>1100120R00144    00</v>
      </c>
      <c r="B3934" t="s">
        <v>9470</v>
      </c>
      <c r="C3934" t="s">
        <v>9471</v>
      </c>
      <c r="D3934" t="s">
        <v>20</v>
      </c>
      <c r="E3934" t="s">
        <v>39</v>
      </c>
      <c r="F3934">
        <v>0</v>
      </c>
      <c r="G3934">
        <v>0</v>
      </c>
      <c r="H3934">
        <v>7</v>
      </c>
      <c r="I3934" s="3">
        <v>7053.31</v>
      </c>
      <c r="J3934" s="3">
        <v>1837.13</v>
      </c>
      <c r="L3934">
        <v>1360</v>
      </c>
      <c r="M3934" t="s">
        <v>3112</v>
      </c>
      <c r="N3934" t="s">
        <v>30</v>
      </c>
      <c r="O3934" t="s">
        <v>31</v>
      </c>
      <c r="P3934" t="str">
        <f>"15201"</f>
        <v>15201</v>
      </c>
    </row>
    <row r="3935" spans="1:16" x14ac:dyDescent="0.25">
      <c r="A3935" t="str">
        <f>"1100120R00178    00"</f>
        <v>1100120R00178    00</v>
      </c>
      <c r="B3935" t="s">
        <v>9472</v>
      </c>
      <c r="C3935" t="s">
        <v>9473</v>
      </c>
      <c r="D3935" t="s">
        <v>20</v>
      </c>
      <c r="E3935" t="s">
        <v>39</v>
      </c>
      <c r="F3935">
        <v>0</v>
      </c>
      <c r="G3935">
        <v>0</v>
      </c>
      <c r="H3935">
        <v>4</v>
      </c>
      <c r="I3935" s="3">
        <v>902.21</v>
      </c>
      <c r="J3935" s="3">
        <v>87.28</v>
      </c>
      <c r="K3935" t="s">
        <v>445</v>
      </c>
      <c r="L3935">
        <v>1</v>
      </c>
      <c r="M3935" t="s">
        <v>1163</v>
      </c>
      <c r="N3935" t="s">
        <v>1164</v>
      </c>
      <c r="O3935" t="s">
        <v>108</v>
      </c>
      <c r="P3935" t="str">
        <f>"76262"</f>
        <v>76262</v>
      </c>
    </row>
    <row r="3936" spans="1:16" x14ac:dyDescent="0.25">
      <c r="A3936" t="str">
        <f>"1100120R00179    00"</f>
        <v>1100120R00179    00</v>
      </c>
      <c r="B3936" t="s">
        <v>9472</v>
      </c>
      <c r="C3936" t="s">
        <v>9474</v>
      </c>
      <c r="D3936" t="s">
        <v>20</v>
      </c>
      <c r="E3936" t="s">
        <v>39</v>
      </c>
      <c r="F3936">
        <v>0</v>
      </c>
      <c r="G3936">
        <v>0</v>
      </c>
      <c r="H3936">
        <v>4</v>
      </c>
      <c r="I3936" s="3">
        <v>6399.51</v>
      </c>
      <c r="J3936" s="3">
        <v>740.31</v>
      </c>
      <c r="K3936" t="s">
        <v>445</v>
      </c>
      <c r="L3936">
        <v>1</v>
      </c>
      <c r="M3936" t="s">
        <v>1163</v>
      </c>
      <c r="N3936" t="s">
        <v>1164</v>
      </c>
      <c r="O3936" t="s">
        <v>108</v>
      </c>
      <c r="P3936" t="str">
        <f>"76262"</f>
        <v>76262</v>
      </c>
    </row>
    <row r="3937" spans="1:16" x14ac:dyDescent="0.25">
      <c r="A3937" t="str">
        <f>"1100120R00218    00"</f>
        <v>1100120R00218    00</v>
      </c>
      <c r="B3937" t="s">
        <v>9475</v>
      </c>
      <c r="C3937" t="s">
        <v>9476</v>
      </c>
      <c r="D3937" t="s">
        <v>20</v>
      </c>
      <c r="E3937" t="s">
        <v>39</v>
      </c>
      <c r="F3937">
        <v>0</v>
      </c>
      <c r="G3937">
        <v>0</v>
      </c>
      <c r="H3937">
        <v>3</v>
      </c>
      <c r="I3937" s="3">
        <v>6653.34</v>
      </c>
      <c r="J3937" s="3">
        <v>128.43</v>
      </c>
      <c r="K3937" t="s">
        <v>400</v>
      </c>
      <c r="L3937">
        <v>3001</v>
      </c>
      <c r="M3937" t="s">
        <v>330</v>
      </c>
      <c r="N3937" t="s">
        <v>331</v>
      </c>
      <c r="O3937" t="s">
        <v>108</v>
      </c>
      <c r="P3937" t="str">
        <f>"75063"</f>
        <v>75063</v>
      </c>
    </row>
    <row r="3938" spans="1:16" x14ac:dyDescent="0.25">
      <c r="A3938" t="str">
        <f>"1100120R00244    00"</f>
        <v>1100120R00244    00</v>
      </c>
      <c r="B3938" t="s">
        <v>9477</v>
      </c>
      <c r="C3938" t="s">
        <v>9478</v>
      </c>
      <c r="E3938" t="s">
        <v>39</v>
      </c>
      <c r="F3938">
        <v>0</v>
      </c>
      <c r="G3938">
        <v>0</v>
      </c>
      <c r="H3938">
        <v>1</v>
      </c>
      <c r="I3938" s="3">
        <v>955.06</v>
      </c>
      <c r="J3938" s="3">
        <v>175.09</v>
      </c>
      <c r="K3938" t="s">
        <v>5334</v>
      </c>
      <c r="L3938">
        <v>3001</v>
      </c>
      <c r="M3938" t="s">
        <v>330</v>
      </c>
      <c r="N3938" t="s">
        <v>331</v>
      </c>
      <c r="O3938" t="s">
        <v>108</v>
      </c>
      <c r="P3938" t="str">
        <f>"75063"</f>
        <v>75063</v>
      </c>
    </row>
    <row r="3939" spans="1:16" x14ac:dyDescent="0.25">
      <c r="A3939" t="str">
        <f>"1100120R00245    00"</f>
        <v>1100120R00245    00</v>
      </c>
      <c r="B3939" t="s">
        <v>9479</v>
      </c>
      <c r="C3939" t="s">
        <v>9480</v>
      </c>
      <c r="E3939" t="s">
        <v>39</v>
      </c>
      <c r="F3939">
        <v>0</v>
      </c>
      <c r="G3939">
        <v>0</v>
      </c>
      <c r="H3939">
        <v>1</v>
      </c>
      <c r="I3939" s="3">
        <v>2033.71</v>
      </c>
      <c r="J3939" s="3">
        <v>50.84</v>
      </c>
      <c r="K3939" t="s">
        <v>1135</v>
      </c>
      <c r="L3939">
        <v>3001</v>
      </c>
      <c r="M3939" t="s">
        <v>330</v>
      </c>
      <c r="N3939" t="s">
        <v>331</v>
      </c>
      <c r="O3939" t="s">
        <v>108</v>
      </c>
      <c r="P3939" t="str">
        <f>"75063"</f>
        <v>75063</v>
      </c>
    </row>
    <row r="3940" spans="1:16" x14ac:dyDescent="0.25">
      <c r="A3940" t="str">
        <f>"1100120R00256    00"</f>
        <v>1100120R00256    00</v>
      </c>
      <c r="B3940" t="s">
        <v>9481</v>
      </c>
      <c r="C3940" t="s">
        <v>9482</v>
      </c>
      <c r="D3940" t="s">
        <v>57</v>
      </c>
      <c r="E3940" t="s">
        <v>39</v>
      </c>
      <c r="F3940">
        <v>0</v>
      </c>
      <c r="G3940">
        <v>0</v>
      </c>
      <c r="H3940">
        <v>1</v>
      </c>
      <c r="I3940" s="3">
        <v>509.22</v>
      </c>
      <c r="J3940" s="3">
        <v>0</v>
      </c>
      <c r="L3940">
        <v>1143</v>
      </c>
      <c r="M3940" t="s">
        <v>9451</v>
      </c>
      <c r="N3940" t="s">
        <v>30</v>
      </c>
      <c r="O3940" t="s">
        <v>31</v>
      </c>
      <c r="P3940" t="str">
        <f t="shared" ref="P3940:P3946" si="50">"15201"</f>
        <v>15201</v>
      </c>
    </row>
    <row r="3941" spans="1:16" x14ac:dyDescent="0.25">
      <c r="A3941" t="str">
        <f>"1100120R00276    00"</f>
        <v>1100120R00276    00</v>
      </c>
      <c r="B3941" t="s">
        <v>9483</v>
      </c>
      <c r="C3941" t="s">
        <v>9484</v>
      </c>
      <c r="D3941" t="s">
        <v>20</v>
      </c>
      <c r="E3941" t="s">
        <v>39</v>
      </c>
      <c r="F3941">
        <v>0</v>
      </c>
      <c r="G3941">
        <v>0</v>
      </c>
      <c r="H3941">
        <v>2</v>
      </c>
      <c r="I3941" s="3">
        <v>1123.77</v>
      </c>
      <c r="J3941" s="3">
        <v>0</v>
      </c>
      <c r="L3941">
        <v>1061</v>
      </c>
      <c r="M3941" t="s">
        <v>9451</v>
      </c>
      <c r="N3941" t="s">
        <v>30</v>
      </c>
      <c r="O3941" t="s">
        <v>31</v>
      </c>
      <c r="P3941" t="str">
        <f t="shared" si="50"/>
        <v>15201</v>
      </c>
    </row>
    <row r="3942" spans="1:16" x14ac:dyDescent="0.25">
      <c r="A3942" t="str">
        <f>"1100120R00320    00"</f>
        <v>1100120R00320    00</v>
      </c>
      <c r="B3942" t="s">
        <v>9485</v>
      </c>
      <c r="C3942" t="s">
        <v>9486</v>
      </c>
      <c r="D3942" t="s">
        <v>20</v>
      </c>
      <c r="E3942" t="s">
        <v>39</v>
      </c>
      <c r="F3942">
        <v>0</v>
      </c>
      <c r="G3942">
        <v>0</v>
      </c>
      <c r="H3942">
        <v>1</v>
      </c>
      <c r="I3942" s="3">
        <v>1239.3699999999999</v>
      </c>
      <c r="J3942" s="3">
        <v>0</v>
      </c>
      <c r="L3942">
        <v>1118</v>
      </c>
      <c r="M3942" t="s">
        <v>9451</v>
      </c>
      <c r="N3942" t="s">
        <v>30</v>
      </c>
      <c r="O3942" t="s">
        <v>31</v>
      </c>
      <c r="P3942" t="str">
        <f t="shared" si="50"/>
        <v>15201</v>
      </c>
    </row>
    <row r="3943" spans="1:16" x14ac:dyDescent="0.25">
      <c r="A3943" t="str">
        <f>"1100120R00334    00"</f>
        <v>1100120R00334    00</v>
      </c>
      <c r="B3943" t="s">
        <v>9487</v>
      </c>
      <c r="C3943" t="s">
        <v>9488</v>
      </c>
      <c r="D3943" t="s">
        <v>20</v>
      </c>
      <c r="E3943" t="s">
        <v>39</v>
      </c>
      <c r="F3943">
        <v>0</v>
      </c>
      <c r="G3943">
        <v>0</v>
      </c>
      <c r="H3943">
        <v>4</v>
      </c>
      <c r="I3943" s="3">
        <v>6442.49</v>
      </c>
      <c r="J3943" s="3">
        <v>974.84</v>
      </c>
      <c r="L3943">
        <v>1329</v>
      </c>
      <c r="M3943" t="s">
        <v>3112</v>
      </c>
      <c r="N3943" t="s">
        <v>30</v>
      </c>
      <c r="O3943" t="s">
        <v>31</v>
      </c>
      <c r="P3943" t="str">
        <f t="shared" si="50"/>
        <v>15201</v>
      </c>
    </row>
    <row r="3944" spans="1:16" x14ac:dyDescent="0.25">
      <c r="A3944" t="str">
        <f>"1100120S00113    00"</f>
        <v>1100120S00113    00</v>
      </c>
      <c r="B3944" t="s">
        <v>9489</v>
      </c>
      <c r="C3944" t="s">
        <v>9490</v>
      </c>
      <c r="D3944" t="s">
        <v>20</v>
      </c>
      <c r="E3944" t="s">
        <v>39</v>
      </c>
      <c r="F3944">
        <v>0</v>
      </c>
      <c r="G3944">
        <v>0</v>
      </c>
      <c r="H3944">
        <v>2</v>
      </c>
      <c r="I3944" s="3">
        <v>2277.31</v>
      </c>
      <c r="J3944" s="3">
        <v>0</v>
      </c>
      <c r="L3944">
        <v>1439</v>
      </c>
      <c r="M3944" t="s">
        <v>9332</v>
      </c>
      <c r="N3944" t="s">
        <v>30</v>
      </c>
      <c r="O3944" t="s">
        <v>31</v>
      </c>
      <c r="P3944" t="str">
        <f t="shared" si="50"/>
        <v>15201</v>
      </c>
    </row>
    <row r="3945" spans="1:16" x14ac:dyDescent="0.25">
      <c r="A3945" t="str">
        <f>"1100120S00155    00"</f>
        <v>1100120S00155    00</v>
      </c>
      <c r="B3945" t="s">
        <v>9491</v>
      </c>
      <c r="C3945" t="s">
        <v>9492</v>
      </c>
      <c r="D3945" t="s">
        <v>20</v>
      </c>
      <c r="E3945" t="s">
        <v>39</v>
      </c>
      <c r="F3945">
        <v>0</v>
      </c>
      <c r="G3945">
        <v>0</v>
      </c>
      <c r="H3945">
        <v>2</v>
      </c>
      <c r="I3945" s="3">
        <v>816.8</v>
      </c>
      <c r="J3945" s="3">
        <v>0</v>
      </c>
      <c r="L3945">
        <v>1368</v>
      </c>
      <c r="M3945" t="s">
        <v>9332</v>
      </c>
      <c r="N3945" t="s">
        <v>30</v>
      </c>
      <c r="O3945" t="s">
        <v>31</v>
      </c>
      <c r="P3945" t="str">
        <f t="shared" si="50"/>
        <v>15201</v>
      </c>
    </row>
    <row r="3946" spans="1:16" x14ac:dyDescent="0.25">
      <c r="A3946" t="str">
        <f>"1100120S00165    00"</f>
        <v>1100120S00165    00</v>
      </c>
      <c r="B3946" t="s">
        <v>9493</v>
      </c>
      <c r="C3946" t="s">
        <v>9494</v>
      </c>
      <c r="D3946" t="s">
        <v>20</v>
      </c>
      <c r="E3946" t="s">
        <v>39</v>
      </c>
      <c r="F3946">
        <v>0</v>
      </c>
      <c r="G3946">
        <v>0</v>
      </c>
      <c r="H3946">
        <v>9</v>
      </c>
      <c r="I3946" s="3">
        <v>8769.43</v>
      </c>
      <c r="J3946" s="3">
        <v>3078.61</v>
      </c>
      <c r="K3946" t="s">
        <v>9495</v>
      </c>
      <c r="L3946">
        <v>1350</v>
      </c>
      <c r="M3946" t="s">
        <v>9332</v>
      </c>
      <c r="N3946" t="s">
        <v>30</v>
      </c>
      <c r="O3946" t="s">
        <v>31</v>
      </c>
      <c r="P3946" t="str">
        <f t="shared" si="50"/>
        <v>15201</v>
      </c>
    </row>
    <row r="3947" spans="1:16" x14ac:dyDescent="0.25">
      <c r="A3947" t="str">
        <f>"1100120S00250    00"</f>
        <v>1100120S00250    00</v>
      </c>
      <c r="B3947" t="s">
        <v>9496</v>
      </c>
      <c r="C3947" t="s">
        <v>9497</v>
      </c>
      <c r="D3947" t="s">
        <v>20</v>
      </c>
      <c r="E3947" t="s">
        <v>39</v>
      </c>
      <c r="F3947">
        <v>0</v>
      </c>
      <c r="G3947">
        <v>0</v>
      </c>
      <c r="H3947">
        <v>1</v>
      </c>
      <c r="I3947" s="3">
        <v>34.21</v>
      </c>
      <c r="J3947" s="3">
        <v>0</v>
      </c>
      <c r="K3947" t="s">
        <v>6483</v>
      </c>
      <c r="L3947">
        <v>3001</v>
      </c>
      <c r="M3947" t="s">
        <v>330</v>
      </c>
      <c r="N3947" t="s">
        <v>331</v>
      </c>
      <c r="O3947" t="s">
        <v>108</v>
      </c>
      <c r="P3947" t="str">
        <f>"75063"</f>
        <v>75063</v>
      </c>
    </row>
    <row r="3948" spans="1:16" x14ac:dyDescent="0.25">
      <c r="A3948" t="str">
        <f>"1100120S00261    00"</f>
        <v>1100120S00261    00</v>
      </c>
      <c r="B3948" t="s">
        <v>9498</v>
      </c>
      <c r="C3948" t="s">
        <v>9499</v>
      </c>
      <c r="E3948" t="s">
        <v>39</v>
      </c>
      <c r="F3948">
        <v>0</v>
      </c>
      <c r="G3948">
        <v>0</v>
      </c>
      <c r="H3948">
        <v>1</v>
      </c>
      <c r="I3948" s="3">
        <v>2660.8</v>
      </c>
      <c r="J3948" s="3">
        <v>0</v>
      </c>
      <c r="L3948">
        <v>15</v>
      </c>
      <c r="M3948" t="s">
        <v>9500</v>
      </c>
      <c r="N3948" t="s">
        <v>30</v>
      </c>
      <c r="O3948" t="s">
        <v>31</v>
      </c>
      <c r="P3948" t="str">
        <f>"15201"</f>
        <v>15201</v>
      </c>
    </row>
    <row r="3949" spans="1:16" x14ac:dyDescent="0.25">
      <c r="A3949" t="str">
        <f>"1100120S00262    00"</f>
        <v>1100120S00262    00</v>
      </c>
      <c r="B3949" t="s">
        <v>9501</v>
      </c>
      <c r="C3949" t="s">
        <v>9502</v>
      </c>
      <c r="D3949" t="s">
        <v>20</v>
      </c>
      <c r="E3949" t="s">
        <v>39</v>
      </c>
      <c r="F3949">
        <v>0</v>
      </c>
      <c r="G3949">
        <v>0</v>
      </c>
      <c r="H3949">
        <v>2</v>
      </c>
      <c r="I3949" s="3">
        <v>5012.8</v>
      </c>
      <c r="J3949" s="3">
        <v>0</v>
      </c>
      <c r="K3949" t="s">
        <v>9503</v>
      </c>
      <c r="L3949">
        <v>11</v>
      </c>
      <c r="M3949" t="s">
        <v>9500</v>
      </c>
      <c r="N3949" t="s">
        <v>30</v>
      </c>
      <c r="O3949" t="s">
        <v>31</v>
      </c>
      <c r="P3949" t="str">
        <f>"15201"</f>
        <v>15201</v>
      </c>
    </row>
    <row r="3950" spans="1:16" x14ac:dyDescent="0.25">
      <c r="A3950" t="str">
        <f>"1100121A00010    01"</f>
        <v>1100121A00010    01</v>
      </c>
      <c r="B3950" t="s">
        <v>9504</v>
      </c>
      <c r="C3950" t="s">
        <v>7807</v>
      </c>
      <c r="E3950" t="s">
        <v>39</v>
      </c>
      <c r="F3950">
        <v>0</v>
      </c>
      <c r="G3950">
        <v>0</v>
      </c>
      <c r="H3950">
        <v>1</v>
      </c>
      <c r="I3950" s="3">
        <v>29.3</v>
      </c>
      <c r="J3950" s="3">
        <v>35.590000000000003</v>
      </c>
      <c r="K3950" t="s">
        <v>2273</v>
      </c>
      <c r="L3950">
        <v>500</v>
      </c>
      <c r="M3950" t="s">
        <v>9505</v>
      </c>
      <c r="N3950" t="s">
        <v>3919</v>
      </c>
      <c r="O3950" t="s">
        <v>370</v>
      </c>
      <c r="P3950" t="str">
        <f>"32202"</f>
        <v>32202</v>
      </c>
    </row>
    <row r="3951" spans="1:16" x14ac:dyDescent="0.25">
      <c r="A3951" t="str">
        <f>"1100121A00019    00"</f>
        <v>1100121A00019    00</v>
      </c>
      <c r="B3951" t="s">
        <v>9506</v>
      </c>
      <c r="C3951" t="s">
        <v>7807</v>
      </c>
      <c r="D3951" t="s">
        <v>20</v>
      </c>
      <c r="E3951" t="s">
        <v>39</v>
      </c>
      <c r="F3951">
        <v>0</v>
      </c>
      <c r="G3951">
        <v>0</v>
      </c>
      <c r="H3951">
        <v>19</v>
      </c>
      <c r="I3951" s="3">
        <v>10911.55</v>
      </c>
      <c r="J3951" s="3">
        <v>9078.3700000000008</v>
      </c>
      <c r="L3951">
        <v>1236</v>
      </c>
      <c r="M3951" t="s">
        <v>9507</v>
      </c>
      <c r="N3951" t="s">
        <v>30</v>
      </c>
      <c r="O3951" t="s">
        <v>31</v>
      </c>
      <c r="P3951" t="str">
        <f>"15206"</f>
        <v>15206</v>
      </c>
    </row>
    <row r="3952" spans="1:16" x14ac:dyDescent="0.25">
      <c r="A3952" t="str">
        <f>"1100121A00035    00"</f>
        <v>1100121A00035    00</v>
      </c>
      <c r="B3952" t="s">
        <v>9508</v>
      </c>
      <c r="C3952" t="s">
        <v>9509</v>
      </c>
      <c r="E3952" t="s">
        <v>39</v>
      </c>
      <c r="F3952">
        <v>0</v>
      </c>
      <c r="G3952">
        <v>0</v>
      </c>
      <c r="H3952">
        <v>10</v>
      </c>
      <c r="I3952" s="3">
        <v>246.55</v>
      </c>
      <c r="J3952" s="3">
        <v>304.2</v>
      </c>
      <c r="M3952" t="s">
        <v>9510</v>
      </c>
      <c r="N3952" t="s">
        <v>30</v>
      </c>
      <c r="O3952" t="s">
        <v>31</v>
      </c>
      <c r="P3952" t="str">
        <f>"15216"</f>
        <v>15216</v>
      </c>
    </row>
    <row r="3953" spans="1:16" x14ac:dyDescent="0.25">
      <c r="A3953" t="str">
        <f>"1100121A00040    00"</f>
        <v>1100121A00040    00</v>
      </c>
      <c r="B3953" t="s">
        <v>9508</v>
      </c>
      <c r="C3953" t="s">
        <v>7807</v>
      </c>
      <c r="E3953" t="s">
        <v>39</v>
      </c>
      <c r="F3953">
        <v>0</v>
      </c>
      <c r="G3953">
        <v>0</v>
      </c>
      <c r="H3953">
        <v>11</v>
      </c>
      <c r="I3953" s="3">
        <v>289.95</v>
      </c>
      <c r="J3953" s="3">
        <v>361.29</v>
      </c>
      <c r="M3953" t="s">
        <v>9510</v>
      </c>
      <c r="N3953" t="s">
        <v>30</v>
      </c>
      <c r="O3953" t="s">
        <v>31</v>
      </c>
      <c r="P3953" t="str">
        <f>"15216"</f>
        <v>15216</v>
      </c>
    </row>
    <row r="3954" spans="1:16" x14ac:dyDescent="0.25">
      <c r="A3954" t="str">
        <f>"1100121A00044    00"</f>
        <v>1100121A00044    00</v>
      </c>
      <c r="B3954" t="s">
        <v>9511</v>
      </c>
      <c r="C3954" t="s">
        <v>9512</v>
      </c>
      <c r="E3954" t="s">
        <v>39</v>
      </c>
      <c r="F3954">
        <v>0</v>
      </c>
      <c r="G3954">
        <v>0</v>
      </c>
      <c r="H3954">
        <v>4</v>
      </c>
      <c r="I3954" s="3">
        <v>35.4</v>
      </c>
      <c r="J3954" s="3">
        <v>3.08</v>
      </c>
      <c r="L3954">
        <v>6636</v>
      </c>
      <c r="M3954" t="s">
        <v>841</v>
      </c>
      <c r="N3954" t="s">
        <v>30</v>
      </c>
      <c r="O3954" t="s">
        <v>31</v>
      </c>
      <c r="P3954" t="str">
        <f>"15206"</f>
        <v>15206</v>
      </c>
    </row>
    <row r="3955" spans="1:16" x14ac:dyDescent="0.25">
      <c r="A3955" t="str">
        <f>"1100121B00025    00"</f>
        <v>1100121B00025    00</v>
      </c>
      <c r="B3955" t="s">
        <v>9513</v>
      </c>
      <c r="C3955" t="s">
        <v>7807</v>
      </c>
      <c r="D3955" t="s">
        <v>20</v>
      </c>
      <c r="E3955" t="s">
        <v>39</v>
      </c>
      <c r="F3955">
        <v>0</v>
      </c>
      <c r="G3955">
        <v>0</v>
      </c>
      <c r="H3955">
        <v>3</v>
      </c>
      <c r="I3955" s="3">
        <v>51.48</v>
      </c>
      <c r="J3955" s="3">
        <v>3.44</v>
      </c>
      <c r="L3955">
        <v>6720</v>
      </c>
      <c r="M3955" t="s">
        <v>841</v>
      </c>
      <c r="N3955" t="s">
        <v>30</v>
      </c>
      <c r="O3955" t="s">
        <v>31</v>
      </c>
      <c r="P3955" t="str">
        <f>"15206"</f>
        <v>15206</v>
      </c>
    </row>
    <row r="3956" spans="1:16" x14ac:dyDescent="0.25">
      <c r="A3956" t="str">
        <f>"1100121B00027    00"</f>
        <v>1100121B00027    00</v>
      </c>
      <c r="B3956" t="s">
        <v>9514</v>
      </c>
      <c r="C3956" t="s">
        <v>7807</v>
      </c>
      <c r="D3956" t="s">
        <v>20</v>
      </c>
      <c r="E3956" t="s">
        <v>39</v>
      </c>
      <c r="F3956">
        <v>0</v>
      </c>
      <c r="G3956">
        <v>0</v>
      </c>
      <c r="H3956">
        <v>3</v>
      </c>
      <c r="I3956" s="3">
        <v>400.26</v>
      </c>
      <c r="J3956" s="3">
        <v>26.68</v>
      </c>
      <c r="L3956">
        <v>6720</v>
      </c>
      <c r="M3956" t="s">
        <v>841</v>
      </c>
      <c r="N3956" t="s">
        <v>30</v>
      </c>
      <c r="O3956" t="s">
        <v>31</v>
      </c>
      <c r="P3956" t="str">
        <f>"15206"</f>
        <v>15206</v>
      </c>
    </row>
    <row r="3957" spans="1:16" x14ac:dyDescent="0.25">
      <c r="A3957" t="str">
        <f>"1100121B00028    00"</f>
        <v>1100121B00028    00</v>
      </c>
      <c r="B3957" t="s">
        <v>9514</v>
      </c>
      <c r="C3957" t="s">
        <v>9515</v>
      </c>
      <c r="D3957" t="s">
        <v>20</v>
      </c>
      <c r="E3957" t="s">
        <v>39</v>
      </c>
      <c r="F3957">
        <v>0</v>
      </c>
      <c r="G3957">
        <v>0</v>
      </c>
      <c r="H3957">
        <v>3</v>
      </c>
      <c r="I3957" s="3">
        <v>1336.76</v>
      </c>
      <c r="J3957" s="3">
        <v>100.95</v>
      </c>
      <c r="L3957">
        <v>6720</v>
      </c>
      <c r="M3957" t="s">
        <v>841</v>
      </c>
      <c r="N3957" t="s">
        <v>30</v>
      </c>
      <c r="O3957" t="s">
        <v>31</v>
      </c>
      <c r="P3957" t="str">
        <f>"15206"</f>
        <v>15206</v>
      </c>
    </row>
    <row r="3958" spans="1:16" x14ac:dyDescent="0.25">
      <c r="A3958" t="str">
        <f>"1100121B00029    00"</f>
        <v>1100121B00029    00</v>
      </c>
      <c r="B3958" t="s">
        <v>9516</v>
      </c>
      <c r="C3958" t="s">
        <v>7807</v>
      </c>
      <c r="D3958" t="s">
        <v>20</v>
      </c>
      <c r="E3958" t="s">
        <v>39</v>
      </c>
      <c r="F3958">
        <v>0</v>
      </c>
      <c r="G3958">
        <v>0</v>
      </c>
      <c r="H3958">
        <v>14</v>
      </c>
      <c r="I3958" s="3">
        <v>1097.44</v>
      </c>
      <c r="J3958" s="3">
        <v>780.77</v>
      </c>
      <c r="L3958">
        <v>6720</v>
      </c>
      <c r="M3958" t="s">
        <v>841</v>
      </c>
      <c r="N3958" t="s">
        <v>30</v>
      </c>
      <c r="O3958" t="s">
        <v>31</v>
      </c>
      <c r="P3958" t="str">
        <f>"15206"</f>
        <v>15206</v>
      </c>
    </row>
    <row r="3959" spans="1:16" x14ac:dyDescent="0.25">
      <c r="A3959" t="str">
        <f>"1100121E00066    00"</f>
        <v>1100121E00066    00</v>
      </c>
      <c r="B3959" t="s">
        <v>9517</v>
      </c>
      <c r="C3959" t="s">
        <v>9518</v>
      </c>
      <c r="D3959" t="s">
        <v>20</v>
      </c>
      <c r="E3959" t="s">
        <v>39</v>
      </c>
      <c r="F3959">
        <v>0</v>
      </c>
      <c r="G3959">
        <v>0</v>
      </c>
      <c r="H3959">
        <v>2</v>
      </c>
      <c r="I3959" s="3">
        <v>726.94</v>
      </c>
      <c r="J3959" s="3">
        <v>40.06</v>
      </c>
      <c r="K3959" t="s">
        <v>9519</v>
      </c>
      <c r="L3959">
        <v>5856</v>
      </c>
      <c r="M3959" t="s">
        <v>9520</v>
      </c>
      <c r="N3959" t="s">
        <v>9521</v>
      </c>
      <c r="O3959" t="s">
        <v>423</v>
      </c>
      <c r="P3959" t="str">
        <f>"08087"</f>
        <v>08087</v>
      </c>
    </row>
    <row r="3960" spans="1:16" x14ac:dyDescent="0.25">
      <c r="A3960" t="str">
        <f>"1100121E00085    00"</f>
        <v>1100121E00085    00</v>
      </c>
      <c r="B3960" t="s">
        <v>9522</v>
      </c>
      <c r="C3960" t="s">
        <v>9523</v>
      </c>
      <c r="D3960" t="s">
        <v>20</v>
      </c>
      <c r="E3960" t="s">
        <v>39</v>
      </c>
      <c r="F3960">
        <v>0</v>
      </c>
      <c r="G3960">
        <v>0</v>
      </c>
      <c r="H3960">
        <v>3</v>
      </c>
      <c r="I3960" s="3">
        <v>85.8</v>
      </c>
      <c r="J3960" s="3">
        <v>5.73</v>
      </c>
      <c r="L3960">
        <v>6625</v>
      </c>
      <c r="M3960" t="s">
        <v>9524</v>
      </c>
      <c r="N3960" t="s">
        <v>30</v>
      </c>
      <c r="O3960" t="s">
        <v>31</v>
      </c>
      <c r="P3960" t="str">
        <f>"15206"</f>
        <v>15206</v>
      </c>
    </row>
    <row r="3961" spans="1:16" x14ac:dyDescent="0.25">
      <c r="A3961" t="str">
        <f>"1100121E00201    00"</f>
        <v>1100121E00201    00</v>
      </c>
      <c r="B3961" t="s">
        <v>9525</v>
      </c>
      <c r="C3961" t="s">
        <v>9526</v>
      </c>
      <c r="D3961" t="s">
        <v>20</v>
      </c>
      <c r="E3961" t="s">
        <v>39</v>
      </c>
      <c r="F3961">
        <v>0</v>
      </c>
      <c r="G3961">
        <v>0</v>
      </c>
      <c r="H3961">
        <v>1</v>
      </c>
      <c r="I3961" s="3">
        <v>688.21</v>
      </c>
      <c r="J3961" s="3">
        <v>0</v>
      </c>
      <c r="L3961">
        <v>6514</v>
      </c>
      <c r="M3961" t="s">
        <v>9524</v>
      </c>
      <c r="N3961" t="s">
        <v>30</v>
      </c>
      <c r="O3961" t="s">
        <v>31</v>
      </c>
      <c r="P3961" t="str">
        <f>"15206"</f>
        <v>15206</v>
      </c>
    </row>
    <row r="3962" spans="1:16" x14ac:dyDescent="0.25">
      <c r="A3962" t="str">
        <f>"1100121E00219    00"</f>
        <v>1100121E00219    00</v>
      </c>
      <c r="B3962" t="s">
        <v>9527</v>
      </c>
      <c r="C3962" t="s">
        <v>9528</v>
      </c>
      <c r="D3962" t="s">
        <v>20</v>
      </c>
      <c r="E3962" t="s">
        <v>39</v>
      </c>
      <c r="F3962">
        <v>0</v>
      </c>
      <c r="G3962">
        <v>0</v>
      </c>
      <c r="H3962">
        <v>2</v>
      </c>
      <c r="I3962" s="3">
        <v>4044.56</v>
      </c>
      <c r="J3962" s="3">
        <v>12.89</v>
      </c>
      <c r="K3962" t="s">
        <v>1427</v>
      </c>
      <c r="L3962">
        <v>3001</v>
      </c>
      <c r="M3962" t="s">
        <v>330</v>
      </c>
      <c r="N3962" t="s">
        <v>331</v>
      </c>
      <c r="O3962" t="s">
        <v>108</v>
      </c>
      <c r="P3962" t="str">
        <f>"75063"</f>
        <v>75063</v>
      </c>
    </row>
    <row r="3963" spans="1:16" x14ac:dyDescent="0.25">
      <c r="A3963" t="str">
        <f>"1100121E00232    00"</f>
        <v>1100121E00232    00</v>
      </c>
      <c r="B3963" t="s">
        <v>9529</v>
      </c>
      <c r="C3963" t="s">
        <v>9530</v>
      </c>
      <c r="E3963" t="s">
        <v>39</v>
      </c>
      <c r="F3963">
        <v>0</v>
      </c>
      <c r="G3963">
        <v>0</v>
      </c>
      <c r="H3963">
        <v>2</v>
      </c>
      <c r="I3963" s="3">
        <v>1928.35</v>
      </c>
      <c r="J3963" s="3">
        <v>51.73</v>
      </c>
      <c r="L3963">
        <v>118</v>
      </c>
      <c r="M3963" t="s">
        <v>9531</v>
      </c>
      <c r="N3963" t="s">
        <v>30</v>
      </c>
      <c r="O3963" t="s">
        <v>31</v>
      </c>
      <c r="P3963" t="str">
        <f>"15215"</f>
        <v>15215</v>
      </c>
    </row>
    <row r="3964" spans="1:16" x14ac:dyDescent="0.25">
      <c r="A3964" t="str">
        <f>"1100121E00255    00"</f>
        <v>1100121E00255    00</v>
      </c>
      <c r="B3964" t="s">
        <v>9532</v>
      </c>
      <c r="C3964" t="s">
        <v>9326</v>
      </c>
      <c r="D3964" t="s">
        <v>20</v>
      </c>
      <c r="E3964" t="s">
        <v>39</v>
      </c>
      <c r="F3964">
        <v>0</v>
      </c>
      <c r="G3964">
        <v>0</v>
      </c>
      <c r="H3964">
        <v>3</v>
      </c>
      <c r="I3964" s="3">
        <v>45.75</v>
      </c>
      <c r="J3964" s="3">
        <v>3.05</v>
      </c>
      <c r="L3964">
        <v>1725</v>
      </c>
      <c r="M3964" t="s">
        <v>9327</v>
      </c>
      <c r="N3964" t="s">
        <v>30</v>
      </c>
      <c r="O3964" t="s">
        <v>31</v>
      </c>
      <c r="P3964" t="str">
        <f>"15206"</f>
        <v>15206</v>
      </c>
    </row>
    <row r="3965" spans="1:16" x14ac:dyDescent="0.25">
      <c r="A3965" t="str">
        <f>"1100121E00275    00"</f>
        <v>1100121E00275    00</v>
      </c>
      <c r="B3965" t="s">
        <v>9533</v>
      </c>
      <c r="C3965" t="s">
        <v>9534</v>
      </c>
      <c r="E3965" t="s">
        <v>39</v>
      </c>
      <c r="F3965">
        <v>0</v>
      </c>
      <c r="G3965">
        <v>0</v>
      </c>
      <c r="H3965">
        <v>2</v>
      </c>
      <c r="I3965" s="3">
        <v>720.48</v>
      </c>
      <c r="J3965" s="3">
        <v>9.01</v>
      </c>
      <c r="K3965" t="s">
        <v>426</v>
      </c>
      <c r="L3965">
        <v>1125</v>
      </c>
      <c r="M3965" t="s">
        <v>9535</v>
      </c>
      <c r="N3965" t="s">
        <v>9536</v>
      </c>
      <c r="O3965" t="s">
        <v>423</v>
      </c>
      <c r="P3965" t="str">
        <f>"08701"</f>
        <v>08701</v>
      </c>
    </row>
    <row r="3966" spans="1:16" x14ac:dyDescent="0.25">
      <c r="A3966" t="str">
        <f>"1100121F00009    00"</f>
        <v>1100121F00009    00</v>
      </c>
      <c r="B3966" t="s">
        <v>9537</v>
      </c>
      <c r="C3966" t="s">
        <v>9538</v>
      </c>
      <c r="E3966" t="s">
        <v>39</v>
      </c>
      <c r="F3966">
        <v>0</v>
      </c>
      <c r="G3966">
        <v>0</v>
      </c>
      <c r="H3966">
        <v>1</v>
      </c>
      <c r="I3966" s="3">
        <v>661.64</v>
      </c>
      <c r="J3966" s="3">
        <v>0</v>
      </c>
      <c r="L3966">
        <v>6920</v>
      </c>
      <c r="M3966" t="s">
        <v>841</v>
      </c>
      <c r="N3966" t="s">
        <v>30</v>
      </c>
      <c r="O3966" t="s">
        <v>31</v>
      </c>
      <c r="P3966" t="str">
        <f>"15206"</f>
        <v>15206</v>
      </c>
    </row>
    <row r="3967" spans="1:16" x14ac:dyDescent="0.25">
      <c r="A3967" t="str">
        <f>"1100121F00014    00"</f>
        <v>1100121F00014    00</v>
      </c>
      <c r="B3967" t="s">
        <v>9539</v>
      </c>
      <c r="C3967" t="s">
        <v>7807</v>
      </c>
      <c r="D3967" t="s">
        <v>20</v>
      </c>
      <c r="E3967" t="s">
        <v>39</v>
      </c>
      <c r="F3967">
        <v>0</v>
      </c>
      <c r="G3967">
        <v>0</v>
      </c>
      <c r="H3967">
        <v>19</v>
      </c>
      <c r="I3967" s="3">
        <v>2581.9499999999998</v>
      </c>
      <c r="J3967" s="3">
        <v>1606.33</v>
      </c>
      <c r="K3967" t="s">
        <v>9540</v>
      </c>
      <c r="L3967">
        <v>236</v>
      </c>
      <c r="M3967" t="s">
        <v>9541</v>
      </c>
      <c r="N3967" t="s">
        <v>1766</v>
      </c>
      <c r="O3967" t="s">
        <v>31</v>
      </c>
      <c r="P3967" t="str">
        <f>"15367"</f>
        <v>15367</v>
      </c>
    </row>
    <row r="3968" spans="1:16" x14ac:dyDescent="0.25">
      <c r="A3968" t="str">
        <f>"1100121F00017    00"</f>
        <v>1100121F00017    00</v>
      </c>
      <c r="B3968" t="s">
        <v>9539</v>
      </c>
      <c r="C3968" t="s">
        <v>7807</v>
      </c>
      <c r="D3968" t="s">
        <v>20</v>
      </c>
      <c r="E3968" t="s">
        <v>39</v>
      </c>
      <c r="F3968">
        <v>0</v>
      </c>
      <c r="G3968">
        <v>0</v>
      </c>
      <c r="H3968">
        <v>19</v>
      </c>
      <c r="I3968" s="3">
        <v>11500.91</v>
      </c>
      <c r="J3968" s="3">
        <v>9500.48</v>
      </c>
      <c r="K3968" t="s">
        <v>9540</v>
      </c>
      <c r="L3968">
        <v>236</v>
      </c>
      <c r="M3968" t="s">
        <v>9541</v>
      </c>
      <c r="N3968" t="s">
        <v>1766</v>
      </c>
      <c r="O3968" t="s">
        <v>31</v>
      </c>
      <c r="P3968" t="str">
        <f>"15367"</f>
        <v>15367</v>
      </c>
    </row>
    <row r="3969" spans="1:16" x14ac:dyDescent="0.25">
      <c r="A3969" t="str">
        <f>"1100121F00096    00"</f>
        <v>1100121F00096    00</v>
      </c>
      <c r="B3969" t="s">
        <v>9542</v>
      </c>
      <c r="C3969" t="s">
        <v>9543</v>
      </c>
      <c r="D3969" t="s">
        <v>20</v>
      </c>
      <c r="E3969" t="s">
        <v>39</v>
      </c>
      <c r="F3969">
        <v>0</v>
      </c>
      <c r="G3969">
        <v>0</v>
      </c>
      <c r="H3969">
        <v>1</v>
      </c>
      <c r="I3969" s="3">
        <v>1113.4100000000001</v>
      </c>
      <c r="J3969" s="3">
        <v>0</v>
      </c>
      <c r="L3969">
        <v>3048</v>
      </c>
      <c r="M3969" t="s">
        <v>8279</v>
      </c>
      <c r="N3969" t="s">
        <v>526</v>
      </c>
      <c r="O3969" t="s">
        <v>31</v>
      </c>
      <c r="P3969" t="str">
        <f>"15301"</f>
        <v>15301</v>
      </c>
    </row>
    <row r="3970" spans="1:16" x14ac:dyDescent="0.25">
      <c r="A3970" t="str">
        <f>"1100121F00297    00"</f>
        <v>1100121F00297    00</v>
      </c>
      <c r="B3970" t="s">
        <v>9544</v>
      </c>
      <c r="C3970" t="s">
        <v>9545</v>
      </c>
      <c r="D3970" t="s">
        <v>20</v>
      </c>
      <c r="E3970" t="s">
        <v>39</v>
      </c>
      <c r="F3970">
        <v>0</v>
      </c>
      <c r="G3970">
        <v>0</v>
      </c>
      <c r="H3970">
        <v>1</v>
      </c>
      <c r="I3970" s="3">
        <v>1589.63</v>
      </c>
      <c r="J3970" s="3">
        <v>0</v>
      </c>
      <c r="L3970">
        <v>1815</v>
      </c>
      <c r="M3970" t="s">
        <v>9152</v>
      </c>
      <c r="N3970" t="s">
        <v>30</v>
      </c>
      <c r="O3970" t="s">
        <v>31</v>
      </c>
      <c r="P3970" t="str">
        <f>"15206"</f>
        <v>15206</v>
      </c>
    </row>
    <row r="3971" spans="1:16" x14ac:dyDescent="0.25">
      <c r="A3971" t="str">
        <f>"1100121G00073    00"</f>
        <v>1100121G00073    00</v>
      </c>
      <c r="B3971" t="s">
        <v>9546</v>
      </c>
      <c r="C3971" t="s">
        <v>9547</v>
      </c>
      <c r="E3971" t="s">
        <v>39</v>
      </c>
      <c r="F3971">
        <v>0</v>
      </c>
      <c r="G3971">
        <v>0</v>
      </c>
      <c r="H3971">
        <v>12</v>
      </c>
      <c r="I3971" s="3">
        <v>14473.91</v>
      </c>
      <c r="J3971" s="3">
        <v>15981.05</v>
      </c>
      <c r="L3971">
        <v>712</v>
      </c>
      <c r="M3971" t="s">
        <v>9548</v>
      </c>
      <c r="N3971" t="s">
        <v>9549</v>
      </c>
      <c r="O3971" t="s">
        <v>495</v>
      </c>
      <c r="P3971" t="str">
        <f>"90277"</f>
        <v>90277</v>
      </c>
    </row>
    <row r="3972" spans="1:16" x14ac:dyDescent="0.25">
      <c r="A3972" t="str">
        <f>"1100121G00074    00"</f>
        <v>1100121G00074    00</v>
      </c>
      <c r="B3972" t="s">
        <v>9550</v>
      </c>
      <c r="C3972" t="s">
        <v>9551</v>
      </c>
      <c r="E3972" t="s">
        <v>39</v>
      </c>
      <c r="F3972">
        <v>0</v>
      </c>
      <c r="G3972">
        <v>0</v>
      </c>
      <c r="H3972">
        <v>1</v>
      </c>
      <c r="I3972" s="3">
        <v>1303.7</v>
      </c>
      <c r="J3972" s="3">
        <v>260.73</v>
      </c>
      <c r="K3972" t="s">
        <v>9552</v>
      </c>
      <c r="L3972">
        <v>7322</v>
      </c>
      <c r="M3972" t="s">
        <v>841</v>
      </c>
      <c r="N3972" t="s">
        <v>30</v>
      </c>
      <c r="O3972" t="s">
        <v>31</v>
      </c>
      <c r="P3972" t="str">
        <f>"15206"</f>
        <v>15206</v>
      </c>
    </row>
    <row r="3973" spans="1:16" x14ac:dyDescent="0.25">
      <c r="A3973" t="str">
        <f>"1100121G00088    00"</f>
        <v>1100121G00088    00</v>
      </c>
      <c r="B3973" t="s">
        <v>9553</v>
      </c>
      <c r="C3973" t="s">
        <v>9554</v>
      </c>
      <c r="D3973" t="s">
        <v>20</v>
      </c>
      <c r="E3973" t="s">
        <v>39</v>
      </c>
      <c r="F3973">
        <v>0</v>
      </c>
      <c r="G3973">
        <v>0</v>
      </c>
      <c r="H3973">
        <v>17</v>
      </c>
      <c r="I3973" s="3">
        <v>7991.35</v>
      </c>
      <c r="J3973" s="3">
        <v>5647.82</v>
      </c>
      <c r="L3973">
        <v>7302</v>
      </c>
      <c r="M3973" t="s">
        <v>841</v>
      </c>
      <c r="N3973" t="s">
        <v>30</v>
      </c>
      <c r="O3973" t="s">
        <v>31</v>
      </c>
      <c r="P3973" t="str">
        <f>"15206"</f>
        <v>15206</v>
      </c>
    </row>
    <row r="3974" spans="1:16" x14ac:dyDescent="0.25">
      <c r="A3974" t="str">
        <f>"1100121G00101    00"</f>
        <v>1100121G00101    00</v>
      </c>
      <c r="B3974" t="s">
        <v>9555</v>
      </c>
      <c r="C3974" t="s">
        <v>9556</v>
      </c>
      <c r="D3974" t="s">
        <v>20</v>
      </c>
      <c r="E3974" t="s">
        <v>39</v>
      </c>
      <c r="F3974">
        <v>0</v>
      </c>
      <c r="G3974">
        <v>0</v>
      </c>
      <c r="H3974">
        <v>15</v>
      </c>
      <c r="I3974" s="3">
        <v>10320.969999999999</v>
      </c>
      <c r="J3974" s="3">
        <v>6907.61</v>
      </c>
      <c r="L3974">
        <v>7226</v>
      </c>
      <c r="M3974" t="s">
        <v>841</v>
      </c>
      <c r="N3974" t="s">
        <v>30</v>
      </c>
      <c r="O3974" t="s">
        <v>31</v>
      </c>
      <c r="P3974" t="str">
        <f>"15206"</f>
        <v>15206</v>
      </c>
    </row>
    <row r="3975" spans="1:16" x14ac:dyDescent="0.25">
      <c r="A3975" t="str">
        <f>"1100121G00102    00"</f>
        <v>1100121G00102    00</v>
      </c>
      <c r="B3975" t="s">
        <v>8769</v>
      </c>
      <c r="C3975" t="s">
        <v>9557</v>
      </c>
      <c r="D3975" t="s">
        <v>20</v>
      </c>
      <c r="E3975" t="s">
        <v>39</v>
      </c>
      <c r="F3975">
        <v>0</v>
      </c>
      <c r="G3975">
        <v>0</v>
      </c>
      <c r="H3975">
        <v>1</v>
      </c>
      <c r="I3975" s="3">
        <v>730.01</v>
      </c>
      <c r="J3975" s="3">
        <v>0</v>
      </c>
      <c r="K3975" t="s">
        <v>7643</v>
      </c>
      <c r="L3975">
        <v>1442</v>
      </c>
      <c r="M3975" t="s">
        <v>7644</v>
      </c>
      <c r="N3975" t="s">
        <v>30</v>
      </c>
      <c r="O3975" t="s">
        <v>31</v>
      </c>
      <c r="P3975" t="str">
        <f>"15243"</f>
        <v>15243</v>
      </c>
    </row>
    <row r="3976" spans="1:16" x14ac:dyDescent="0.25">
      <c r="A3976" t="str">
        <f>"1100121G00103    00"</f>
        <v>1100121G00103    00</v>
      </c>
      <c r="B3976" t="s">
        <v>7641</v>
      </c>
      <c r="C3976" t="s">
        <v>9558</v>
      </c>
      <c r="D3976" t="s">
        <v>20</v>
      </c>
      <c r="E3976" t="s">
        <v>39</v>
      </c>
      <c r="F3976">
        <v>0</v>
      </c>
      <c r="G3976">
        <v>0</v>
      </c>
      <c r="H3976">
        <v>1</v>
      </c>
      <c r="I3976" s="3">
        <v>690</v>
      </c>
      <c r="J3976" s="3">
        <v>0</v>
      </c>
      <c r="K3976" t="s">
        <v>7643</v>
      </c>
      <c r="L3976">
        <v>1442</v>
      </c>
      <c r="M3976" t="s">
        <v>7644</v>
      </c>
      <c r="N3976" t="s">
        <v>30</v>
      </c>
      <c r="O3976" t="s">
        <v>31</v>
      </c>
      <c r="P3976" t="str">
        <f>"15243"</f>
        <v>15243</v>
      </c>
    </row>
    <row r="3977" spans="1:16" x14ac:dyDescent="0.25">
      <c r="A3977" t="str">
        <f>"1100121G00106    00"</f>
        <v>1100121G00106    00</v>
      </c>
      <c r="B3977" t="s">
        <v>9559</v>
      </c>
      <c r="C3977" t="s">
        <v>9560</v>
      </c>
      <c r="D3977" t="s">
        <v>20</v>
      </c>
      <c r="E3977" t="s">
        <v>39</v>
      </c>
      <c r="F3977">
        <v>0</v>
      </c>
      <c r="G3977">
        <v>0</v>
      </c>
      <c r="H3977">
        <v>3</v>
      </c>
      <c r="I3977" s="3">
        <v>3087.72</v>
      </c>
      <c r="J3977" s="3">
        <v>205.84</v>
      </c>
      <c r="L3977">
        <v>7207</v>
      </c>
      <c r="M3977" t="s">
        <v>9561</v>
      </c>
      <c r="N3977" t="s">
        <v>30</v>
      </c>
      <c r="O3977" t="s">
        <v>31</v>
      </c>
      <c r="P3977" t="str">
        <f>"15206"</f>
        <v>15206</v>
      </c>
    </row>
    <row r="3978" spans="1:16" x14ac:dyDescent="0.25">
      <c r="A3978" t="str">
        <f>"1100121G00108    00"</f>
        <v>1100121G00108    00</v>
      </c>
      <c r="B3978" t="s">
        <v>9559</v>
      </c>
      <c r="C3978" t="s">
        <v>9562</v>
      </c>
      <c r="D3978" t="s">
        <v>20</v>
      </c>
      <c r="E3978" t="s">
        <v>39</v>
      </c>
      <c r="F3978">
        <v>0</v>
      </c>
      <c r="G3978">
        <v>0</v>
      </c>
      <c r="H3978">
        <v>4</v>
      </c>
      <c r="I3978" s="3">
        <v>675.89</v>
      </c>
      <c r="J3978" s="3">
        <v>79.84</v>
      </c>
      <c r="L3978">
        <v>7207</v>
      </c>
      <c r="M3978" t="s">
        <v>9561</v>
      </c>
      <c r="N3978" t="s">
        <v>30</v>
      </c>
      <c r="O3978" t="s">
        <v>31</v>
      </c>
      <c r="P3978" t="str">
        <f>"15206"</f>
        <v>15206</v>
      </c>
    </row>
    <row r="3979" spans="1:16" x14ac:dyDescent="0.25">
      <c r="A3979" t="str">
        <f>"1100121G00109    00"</f>
        <v>1100121G00109    00</v>
      </c>
      <c r="B3979" t="s">
        <v>9563</v>
      </c>
      <c r="C3979" t="s">
        <v>9564</v>
      </c>
      <c r="D3979" t="s">
        <v>20</v>
      </c>
      <c r="E3979" t="s">
        <v>39</v>
      </c>
      <c r="F3979">
        <v>0</v>
      </c>
      <c r="G3979">
        <v>0</v>
      </c>
      <c r="H3979">
        <v>5</v>
      </c>
      <c r="I3979" s="3">
        <v>6115.64</v>
      </c>
      <c r="J3979" s="3">
        <v>1513.31</v>
      </c>
      <c r="K3979" t="s">
        <v>9565</v>
      </c>
      <c r="L3979">
        <v>255</v>
      </c>
      <c r="M3979" t="s">
        <v>6650</v>
      </c>
      <c r="N3979" t="s">
        <v>6651</v>
      </c>
      <c r="O3979" t="s">
        <v>31</v>
      </c>
      <c r="P3979" t="str">
        <f>"16037"</f>
        <v>16037</v>
      </c>
    </row>
    <row r="3980" spans="1:16" x14ac:dyDescent="0.25">
      <c r="A3980" t="str">
        <f>"1100121G00114    00"</f>
        <v>1100121G00114    00</v>
      </c>
      <c r="B3980" t="s">
        <v>9566</v>
      </c>
      <c r="C3980" t="s">
        <v>9567</v>
      </c>
      <c r="D3980" t="s">
        <v>20</v>
      </c>
      <c r="E3980" t="s">
        <v>39</v>
      </c>
      <c r="F3980">
        <v>0</v>
      </c>
      <c r="G3980">
        <v>0</v>
      </c>
      <c r="H3980">
        <v>16</v>
      </c>
      <c r="I3980" s="3">
        <v>9241.51</v>
      </c>
      <c r="J3980" s="3">
        <v>6779.42</v>
      </c>
      <c r="L3980">
        <v>7126</v>
      </c>
      <c r="M3980" t="s">
        <v>841</v>
      </c>
      <c r="N3980" t="s">
        <v>30</v>
      </c>
      <c r="O3980" t="s">
        <v>31</v>
      </c>
      <c r="P3980" t="str">
        <f>"15206"</f>
        <v>15206</v>
      </c>
    </row>
    <row r="3981" spans="1:16" x14ac:dyDescent="0.25">
      <c r="A3981" t="str">
        <f>"1100121G00115    00"</f>
        <v>1100121G00115    00</v>
      </c>
      <c r="B3981" t="s">
        <v>9568</v>
      </c>
      <c r="C3981" t="s">
        <v>7807</v>
      </c>
      <c r="D3981" t="s">
        <v>20</v>
      </c>
      <c r="E3981" t="s">
        <v>39</v>
      </c>
      <c r="F3981">
        <v>0</v>
      </c>
      <c r="G3981">
        <v>0</v>
      </c>
      <c r="H3981">
        <v>19</v>
      </c>
      <c r="I3981" s="3">
        <v>10763.47</v>
      </c>
      <c r="J3981" s="3">
        <v>14865.19</v>
      </c>
      <c r="L3981">
        <v>1673</v>
      </c>
      <c r="M3981" t="s">
        <v>6022</v>
      </c>
      <c r="N3981" t="s">
        <v>30</v>
      </c>
      <c r="O3981" t="s">
        <v>31</v>
      </c>
      <c r="P3981" t="str">
        <f>"15206"</f>
        <v>15206</v>
      </c>
    </row>
    <row r="3982" spans="1:16" x14ac:dyDescent="0.25">
      <c r="A3982" t="str">
        <f>"1100121G00119    00"</f>
        <v>1100121G00119    00</v>
      </c>
      <c r="B3982" t="s">
        <v>9110</v>
      </c>
      <c r="C3982" t="s">
        <v>9569</v>
      </c>
      <c r="E3982" t="s">
        <v>39</v>
      </c>
      <c r="F3982">
        <v>0</v>
      </c>
      <c r="G3982">
        <v>0</v>
      </c>
      <c r="H3982">
        <v>2</v>
      </c>
      <c r="I3982" s="3">
        <v>211.82</v>
      </c>
      <c r="J3982" s="3">
        <v>63.54</v>
      </c>
      <c r="L3982">
        <v>4625</v>
      </c>
      <c r="M3982" t="s">
        <v>614</v>
      </c>
      <c r="N3982" t="s">
        <v>30</v>
      </c>
      <c r="O3982" t="s">
        <v>31</v>
      </c>
      <c r="P3982" t="str">
        <f>"15224"</f>
        <v>15224</v>
      </c>
    </row>
    <row r="3983" spans="1:16" x14ac:dyDescent="0.25">
      <c r="A3983" t="str">
        <f>"1100121G00120    00"</f>
        <v>1100121G00120    00</v>
      </c>
      <c r="B3983" t="s">
        <v>9110</v>
      </c>
      <c r="C3983" t="s">
        <v>9570</v>
      </c>
      <c r="E3983" t="s">
        <v>39</v>
      </c>
      <c r="F3983">
        <v>0</v>
      </c>
      <c r="G3983">
        <v>0</v>
      </c>
      <c r="H3983">
        <v>1</v>
      </c>
      <c r="I3983" s="3">
        <v>292.16000000000003</v>
      </c>
      <c r="J3983" s="3">
        <v>87.65</v>
      </c>
      <c r="L3983">
        <v>4625</v>
      </c>
      <c r="M3983" t="s">
        <v>614</v>
      </c>
      <c r="N3983" t="s">
        <v>30</v>
      </c>
      <c r="O3983" t="s">
        <v>31</v>
      </c>
      <c r="P3983" t="str">
        <f>"15224"</f>
        <v>15224</v>
      </c>
    </row>
    <row r="3984" spans="1:16" x14ac:dyDescent="0.25">
      <c r="A3984" t="str">
        <f>"1100121G00127    00"</f>
        <v>1100121G00127    00</v>
      </c>
      <c r="B3984" t="s">
        <v>9559</v>
      </c>
      <c r="C3984" t="s">
        <v>9571</v>
      </c>
      <c r="D3984" t="s">
        <v>20</v>
      </c>
      <c r="E3984" t="s">
        <v>39</v>
      </c>
      <c r="F3984">
        <v>0</v>
      </c>
      <c r="G3984">
        <v>0</v>
      </c>
      <c r="H3984">
        <v>4</v>
      </c>
      <c r="I3984" s="3">
        <v>2771.85</v>
      </c>
      <c r="J3984" s="3">
        <v>327.44</v>
      </c>
      <c r="L3984">
        <v>7207</v>
      </c>
      <c r="M3984" t="s">
        <v>9561</v>
      </c>
      <c r="N3984" t="s">
        <v>30</v>
      </c>
      <c r="O3984" t="s">
        <v>31</v>
      </c>
      <c r="P3984" t="str">
        <f>"15206"</f>
        <v>15206</v>
      </c>
    </row>
    <row r="3985" spans="1:16" x14ac:dyDescent="0.25">
      <c r="A3985" t="str">
        <f>"1100121G00128    00"</f>
        <v>1100121G00128    00</v>
      </c>
      <c r="B3985" t="s">
        <v>9559</v>
      </c>
      <c r="C3985" t="s">
        <v>9571</v>
      </c>
      <c r="D3985" t="s">
        <v>20</v>
      </c>
      <c r="E3985" t="s">
        <v>39</v>
      </c>
      <c r="F3985">
        <v>0</v>
      </c>
      <c r="G3985">
        <v>0</v>
      </c>
      <c r="H3985">
        <v>4</v>
      </c>
      <c r="I3985" s="3">
        <v>1814.99</v>
      </c>
      <c r="J3985" s="3">
        <v>214.4</v>
      </c>
      <c r="L3985">
        <v>7207</v>
      </c>
      <c r="M3985" t="s">
        <v>9561</v>
      </c>
      <c r="N3985" t="s">
        <v>30</v>
      </c>
      <c r="O3985" t="s">
        <v>31</v>
      </c>
      <c r="P3985" t="str">
        <f>"15206"</f>
        <v>15206</v>
      </c>
    </row>
    <row r="3986" spans="1:16" x14ac:dyDescent="0.25">
      <c r="A3986" t="str">
        <f>"1100121G00143    00"</f>
        <v>1100121G00143    00</v>
      </c>
      <c r="B3986" t="s">
        <v>9559</v>
      </c>
      <c r="C3986" t="s">
        <v>9572</v>
      </c>
      <c r="D3986" t="s">
        <v>20</v>
      </c>
      <c r="E3986" t="s">
        <v>39</v>
      </c>
      <c r="F3986">
        <v>0</v>
      </c>
      <c r="G3986">
        <v>0</v>
      </c>
      <c r="H3986">
        <v>3</v>
      </c>
      <c r="I3986" s="3">
        <v>669.03</v>
      </c>
      <c r="J3986" s="3">
        <v>44.61</v>
      </c>
      <c r="L3986">
        <v>7207</v>
      </c>
      <c r="M3986" t="s">
        <v>9561</v>
      </c>
      <c r="N3986" t="s">
        <v>30</v>
      </c>
      <c r="O3986" t="s">
        <v>31</v>
      </c>
      <c r="P3986" t="str">
        <f>"15206"</f>
        <v>15206</v>
      </c>
    </row>
    <row r="3987" spans="1:16" x14ac:dyDescent="0.25">
      <c r="A3987" t="str">
        <f>"1100121G00145    00"</f>
        <v>1100121G00145    00</v>
      </c>
      <c r="B3987" t="s">
        <v>9559</v>
      </c>
      <c r="C3987" t="s">
        <v>9572</v>
      </c>
      <c r="D3987" t="s">
        <v>20</v>
      </c>
      <c r="E3987" t="s">
        <v>39</v>
      </c>
      <c r="F3987">
        <v>0</v>
      </c>
      <c r="G3987">
        <v>0</v>
      </c>
      <c r="H3987">
        <v>3</v>
      </c>
      <c r="I3987" s="3">
        <v>480.3</v>
      </c>
      <c r="J3987" s="3">
        <v>32.020000000000003</v>
      </c>
      <c r="L3987">
        <v>7207</v>
      </c>
      <c r="M3987" t="s">
        <v>9561</v>
      </c>
      <c r="N3987" t="s">
        <v>30</v>
      </c>
      <c r="O3987" t="s">
        <v>31</v>
      </c>
      <c r="P3987" t="str">
        <f>"15206"</f>
        <v>15206</v>
      </c>
    </row>
    <row r="3988" spans="1:16" x14ac:dyDescent="0.25">
      <c r="A3988" t="str">
        <f>"1100121G00146    00"</f>
        <v>1100121G00146    00</v>
      </c>
      <c r="B3988" t="s">
        <v>9559</v>
      </c>
      <c r="C3988" t="s">
        <v>9573</v>
      </c>
      <c r="D3988" t="s">
        <v>20</v>
      </c>
      <c r="E3988" t="s">
        <v>39</v>
      </c>
      <c r="F3988">
        <v>0</v>
      </c>
      <c r="G3988">
        <v>0</v>
      </c>
      <c r="H3988">
        <v>3</v>
      </c>
      <c r="I3988" s="3">
        <v>1822.82</v>
      </c>
      <c r="J3988" s="3">
        <v>133.34</v>
      </c>
      <c r="L3988">
        <v>7207</v>
      </c>
      <c r="M3988" t="s">
        <v>9561</v>
      </c>
      <c r="N3988" t="s">
        <v>30</v>
      </c>
      <c r="O3988" t="s">
        <v>31</v>
      </c>
      <c r="P3988" t="str">
        <f>"15206"</f>
        <v>15206</v>
      </c>
    </row>
    <row r="3989" spans="1:16" x14ac:dyDescent="0.25">
      <c r="A3989" t="str">
        <f>"1100121G00148    00"</f>
        <v>1100121G00148    00</v>
      </c>
      <c r="B3989" t="s">
        <v>9574</v>
      </c>
      <c r="C3989" t="s">
        <v>9572</v>
      </c>
      <c r="D3989" t="s">
        <v>20</v>
      </c>
      <c r="E3989" t="s">
        <v>39</v>
      </c>
      <c r="F3989">
        <v>0</v>
      </c>
      <c r="G3989">
        <v>0</v>
      </c>
      <c r="H3989">
        <v>1</v>
      </c>
      <c r="I3989" s="3">
        <v>320.20999999999998</v>
      </c>
      <c r="J3989" s="3">
        <v>0</v>
      </c>
      <c r="L3989">
        <v>1442</v>
      </c>
      <c r="M3989" t="s">
        <v>7644</v>
      </c>
      <c r="N3989" t="s">
        <v>30</v>
      </c>
      <c r="O3989" t="s">
        <v>31</v>
      </c>
      <c r="P3989" t="str">
        <f>"15243"</f>
        <v>15243</v>
      </c>
    </row>
    <row r="3990" spans="1:16" x14ac:dyDescent="0.25">
      <c r="A3990" t="str">
        <f>"1100121G00150    00"</f>
        <v>1100121G00150    00</v>
      </c>
      <c r="B3990" t="s">
        <v>9574</v>
      </c>
      <c r="C3990" t="s">
        <v>9575</v>
      </c>
      <c r="D3990" t="s">
        <v>20</v>
      </c>
      <c r="E3990" t="s">
        <v>39</v>
      </c>
      <c r="F3990">
        <v>0</v>
      </c>
      <c r="G3990">
        <v>0</v>
      </c>
      <c r="H3990">
        <v>1</v>
      </c>
      <c r="I3990" s="3">
        <v>966.35</v>
      </c>
      <c r="J3990" s="3">
        <v>0</v>
      </c>
      <c r="L3990">
        <v>1442</v>
      </c>
      <c r="M3990" t="s">
        <v>7644</v>
      </c>
      <c r="N3990" t="s">
        <v>30</v>
      </c>
      <c r="O3990" t="s">
        <v>31</v>
      </c>
      <c r="P3990" t="str">
        <f>"15243"</f>
        <v>15243</v>
      </c>
    </row>
    <row r="3991" spans="1:16" x14ac:dyDescent="0.25">
      <c r="A3991" t="str">
        <f>"1100121G00151    00"</f>
        <v>1100121G00151    00</v>
      </c>
      <c r="B3991" t="s">
        <v>9411</v>
      </c>
      <c r="C3991" t="s">
        <v>9576</v>
      </c>
      <c r="D3991" t="s">
        <v>20</v>
      </c>
      <c r="E3991" t="s">
        <v>39</v>
      </c>
      <c r="F3991">
        <v>0</v>
      </c>
      <c r="G3991">
        <v>0</v>
      </c>
      <c r="H3991">
        <v>1</v>
      </c>
      <c r="I3991" s="3">
        <v>1223.6500000000001</v>
      </c>
      <c r="J3991" s="3">
        <v>0</v>
      </c>
      <c r="K3991" t="s">
        <v>9577</v>
      </c>
      <c r="L3991">
        <v>228</v>
      </c>
      <c r="M3991" t="s">
        <v>9578</v>
      </c>
      <c r="N3991" t="s">
        <v>199</v>
      </c>
      <c r="O3991" t="s">
        <v>200</v>
      </c>
      <c r="P3991" t="str">
        <f>"10003"</f>
        <v>10003</v>
      </c>
    </row>
    <row r="3992" spans="1:16" x14ac:dyDescent="0.25">
      <c r="A3992" t="str">
        <f>"1100121G00172    00"</f>
        <v>1100121G00172    00</v>
      </c>
      <c r="B3992" t="s">
        <v>9579</v>
      </c>
      <c r="C3992" t="s">
        <v>9580</v>
      </c>
      <c r="D3992" t="s">
        <v>20</v>
      </c>
      <c r="E3992" t="s">
        <v>39</v>
      </c>
      <c r="F3992">
        <v>0</v>
      </c>
      <c r="G3992">
        <v>0</v>
      </c>
      <c r="H3992">
        <v>1</v>
      </c>
      <c r="I3992" s="3">
        <v>638.97</v>
      </c>
      <c r="J3992" s="3">
        <v>0</v>
      </c>
      <c r="K3992" t="s">
        <v>9581</v>
      </c>
      <c r="L3992">
        <v>7319</v>
      </c>
      <c r="M3992" t="s">
        <v>9561</v>
      </c>
      <c r="N3992" t="s">
        <v>30</v>
      </c>
      <c r="O3992" t="s">
        <v>31</v>
      </c>
      <c r="P3992" t="str">
        <f>"15206"</f>
        <v>15206</v>
      </c>
    </row>
    <row r="3993" spans="1:16" x14ac:dyDescent="0.25">
      <c r="A3993" t="str">
        <f>"1100121G00224    00"</f>
        <v>1100121G00224    00</v>
      </c>
      <c r="B3993" t="s">
        <v>9582</v>
      </c>
      <c r="C3993" t="s">
        <v>9583</v>
      </c>
      <c r="D3993" t="s">
        <v>20</v>
      </c>
      <c r="E3993" t="s">
        <v>39</v>
      </c>
      <c r="F3993">
        <v>0</v>
      </c>
      <c r="G3993">
        <v>0</v>
      </c>
      <c r="H3993">
        <v>2</v>
      </c>
      <c r="I3993" s="3">
        <v>1659.18</v>
      </c>
      <c r="J3993" s="3">
        <v>0</v>
      </c>
      <c r="L3993">
        <v>7215</v>
      </c>
      <c r="M3993" t="s">
        <v>9584</v>
      </c>
      <c r="N3993" t="s">
        <v>30</v>
      </c>
      <c r="O3993" t="s">
        <v>31</v>
      </c>
      <c r="P3993" t="str">
        <f>"15206"</f>
        <v>15206</v>
      </c>
    </row>
    <row r="3994" spans="1:16" x14ac:dyDescent="0.25">
      <c r="A3994" t="str">
        <f>"1100121G00226    00"</f>
        <v>1100121G00226    00</v>
      </c>
      <c r="B3994" t="s">
        <v>9585</v>
      </c>
      <c r="C3994" t="s">
        <v>9586</v>
      </c>
      <c r="D3994" t="s">
        <v>20</v>
      </c>
      <c r="E3994" t="s">
        <v>39</v>
      </c>
      <c r="F3994">
        <v>0</v>
      </c>
      <c r="G3994">
        <v>0</v>
      </c>
      <c r="H3994">
        <v>2</v>
      </c>
      <c r="I3994" s="3">
        <v>3032.29</v>
      </c>
      <c r="J3994" s="3">
        <v>0</v>
      </c>
      <c r="L3994">
        <v>100</v>
      </c>
      <c r="M3994" t="s">
        <v>7890</v>
      </c>
      <c r="N3994" t="s">
        <v>30</v>
      </c>
      <c r="O3994" t="s">
        <v>31</v>
      </c>
      <c r="P3994" t="str">
        <f>"15229"</f>
        <v>15229</v>
      </c>
    </row>
    <row r="3995" spans="1:16" x14ac:dyDescent="0.25">
      <c r="A3995" t="str">
        <f>"1100121G00230    00"</f>
        <v>1100121G00230    00</v>
      </c>
      <c r="B3995" t="s">
        <v>9281</v>
      </c>
      <c r="C3995" t="s">
        <v>9587</v>
      </c>
      <c r="E3995" t="s">
        <v>39</v>
      </c>
      <c r="F3995">
        <v>0</v>
      </c>
      <c r="G3995">
        <v>0</v>
      </c>
      <c r="H3995">
        <v>2</v>
      </c>
      <c r="I3995" s="3">
        <v>1360.9</v>
      </c>
      <c r="J3995" s="3">
        <v>56.7</v>
      </c>
      <c r="K3995" t="s">
        <v>8985</v>
      </c>
      <c r="M3995" t="s">
        <v>8986</v>
      </c>
      <c r="N3995" t="s">
        <v>8987</v>
      </c>
      <c r="O3995" t="s">
        <v>495</v>
      </c>
      <c r="P3995" t="str">
        <f>"90660"</f>
        <v>90660</v>
      </c>
    </row>
    <row r="3996" spans="1:16" x14ac:dyDescent="0.25">
      <c r="A3996" t="str">
        <f>"1100121G00261000100"</f>
        <v>1100121G00261000100</v>
      </c>
      <c r="B3996" t="s">
        <v>9588</v>
      </c>
      <c r="C3996" t="s">
        <v>9589</v>
      </c>
      <c r="D3996" t="s">
        <v>20</v>
      </c>
      <c r="E3996" t="s">
        <v>39</v>
      </c>
      <c r="F3996">
        <v>0</v>
      </c>
      <c r="G3996">
        <v>0</v>
      </c>
      <c r="H3996">
        <v>1</v>
      </c>
      <c r="I3996" s="3">
        <v>951.57</v>
      </c>
      <c r="J3996" s="3">
        <v>0</v>
      </c>
      <c r="L3996">
        <v>1935</v>
      </c>
      <c r="M3996" t="s">
        <v>1315</v>
      </c>
      <c r="N3996" t="s">
        <v>30</v>
      </c>
      <c r="O3996" t="s">
        <v>31</v>
      </c>
      <c r="P3996" t="str">
        <f>"15206"</f>
        <v>15206</v>
      </c>
    </row>
    <row r="3997" spans="1:16" x14ac:dyDescent="0.25">
      <c r="A3997" t="str">
        <f>"1100121G00291    00"</f>
        <v>1100121G00291    00</v>
      </c>
      <c r="B3997" t="s">
        <v>9590</v>
      </c>
      <c r="C3997" t="s">
        <v>9591</v>
      </c>
      <c r="E3997" t="s">
        <v>39</v>
      </c>
      <c r="F3997">
        <v>0</v>
      </c>
      <c r="G3997">
        <v>0</v>
      </c>
      <c r="H3997">
        <v>1</v>
      </c>
      <c r="I3997" s="3">
        <v>1498</v>
      </c>
      <c r="J3997" s="3">
        <v>736.49</v>
      </c>
      <c r="L3997">
        <v>7208</v>
      </c>
      <c r="M3997" t="s">
        <v>9584</v>
      </c>
      <c r="N3997" t="s">
        <v>30</v>
      </c>
      <c r="O3997" t="s">
        <v>31</v>
      </c>
      <c r="P3997" t="str">
        <f>"15206"</f>
        <v>15206</v>
      </c>
    </row>
    <row r="3998" spans="1:16" x14ac:dyDescent="0.25">
      <c r="A3998" t="str">
        <f>"1100121G00299    00"</f>
        <v>1100121G00299    00</v>
      </c>
      <c r="B3998" t="s">
        <v>9592</v>
      </c>
      <c r="C3998" t="s">
        <v>9593</v>
      </c>
      <c r="D3998" t="s">
        <v>20</v>
      </c>
      <c r="E3998" t="s">
        <v>39</v>
      </c>
      <c r="F3998">
        <v>0</v>
      </c>
      <c r="G3998">
        <v>0</v>
      </c>
      <c r="H3998">
        <v>2</v>
      </c>
      <c r="I3998" s="3">
        <v>6937.84</v>
      </c>
      <c r="J3998" s="3">
        <v>0</v>
      </c>
      <c r="K3998" t="s">
        <v>881</v>
      </c>
      <c r="L3998">
        <v>3001</v>
      </c>
      <c r="M3998" t="s">
        <v>330</v>
      </c>
      <c r="N3998" t="s">
        <v>331</v>
      </c>
      <c r="O3998" t="s">
        <v>108</v>
      </c>
      <c r="P3998" t="str">
        <f>"75063"</f>
        <v>75063</v>
      </c>
    </row>
    <row r="3999" spans="1:16" x14ac:dyDescent="0.25">
      <c r="A3999" t="str">
        <f>"1100121H00106    00"</f>
        <v>1100121H00106    00</v>
      </c>
      <c r="B3999" t="s">
        <v>9594</v>
      </c>
      <c r="C3999" t="s">
        <v>9595</v>
      </c>
      <c r="D3999" t="s">
        <v>20</v>
      </c>
      <c r="E3999" t="s">
        <v>39</v>
      </c>
      <c r="F3999">
        <v>0</v>
      </c>
      <c r="G3999">
        <v>0</v>
      </c>
      <c r="H3999">
        <v>19</v>
      </c>
      <c r="I3999" s="3">
        <v>11642.26</v>
      </c>
      <c r="J3999" s="3">
        <v>9688.31</v>
      </c>
      <c r="L3999">
        <v>0</v>
      </c>
      <c r="M3999" t="s">
        <v>9596</v>
      </c>
      <c r="N3999" t="s">
        <v>30</v>
      </c>
      <c r="O3999" t="s">
        <v>31</v>
      </c>
      <c r="P3999" t="str">
        <f>"15224"</f>
        <v>15224</v>
      </c>
    </row>
    <row r="4000" spans="1:16" x14ac:dyDescent="0.25">
      <c r="A4000" t="str">
        <f>"1100121J00051    00"</f>
        <v>1100121J00051    00</v>
      </c>
      <c r="B4000" t="s">
        <v>9597</v>
      </c>
      <c r="C4000" t="s">
        <v>9598</v>
      </c>
      <c r="D4000" t="s">
        <v>20</v>
      </c>
      <c r="E4000" t="s">
        <v>39</v>
      </c>
      <c r="F4000">
        <v>0</v>
      </c>
      <c r="G4000">
        <v>0</v>
      </c>
      <c r="H4000">
        <v>1</v>
      </c>
      <c r="I4000" s="3">
        <v>2384.42</v>
      </c>
      <c r="J4000" s="3">
        <v>0</v>
      </c>
      <c r="K4000" t="s">
        <v>391</v>
      </c>
      <c r="L4000">
        <v>1</v>
      </c>
      <c r="M4000" t="s">
        <v>392</v>
      </c>
      <c r="N4000" t="s">
        <v>393</v>
      </c>
      <c r="O4000" t="s">
        <v>394</v>
      </c>
      <c r="P4000" t="str">
        <f>"50328"</f>
        <v>50328</v>
      </c>
    </row>
    <row r="4001" spans="1:16" x14ac:dyDescent="0.25">
      <c r="A4001" t="str">
        <f>"1100121J00070    00"</f>
        <v>1100121J00070    00</v>
      </c>
      <c r="B4001" t="s">
        <v>9599</v>
      </c>
      <c r="C4001" t="s">
        <v>9600</v>
      </c>
      <c r="D4001" t="s">
        <v>20</v>
      </c>
      <c r="E4001" t="s">
        <v>39</v>
      </c>
      <c r="F4001">
        <v>0</v>
      </c>
      <c r="G4001">
        <v>0</v>
      </c>
      <c r="H4001">
        <v>2</v>
      </c>
      <c r="I4001" s="3">
        <v>865.99</v>
      </c>
      <c r="J4001" s="3">
        <v>0.26</v>
      </c>
      <c r="L4001">
        <v>6504</v>
      </c>
      <c r="M4001" t="s">
        <v>9601</v>
      </c>
      <c r="N4001" t="s">
        <v>30</v>
      </c>
      <c r="O4001" t="s">
        <v>31</v>
      </c>
      <c r="P4001" t="str">
        <f>"15206"</f>
        <v>15206</v>
      </c>
    </row>
    <row r="4002" spans="1:16" x14ac:dyDescent="0.25">
      <c r="A4002" t="str">
        <f>"1100121J00093    00"</f>
        <v>1100121J00093    00</v>
      </c>
      <c r="B4002" t="s">
        <v>9602</v>
      </c>
      <c r="C4002" t="s">
        <v>9603</v>
      </c>
      <c r="D4002" t="s">
        <v>20</v>
      </c>
      <c r="E4002" t="s">
        <v>39</v>
      </c>
      <c r="F4002">
        <v>0</v>
      </c>
      <c r="G4002">
        <v>0</v>
      </c>
      <c r="H4002">
        <v>2</v>
      </c>
      <c r="I4002" s="3">
        <v>3012.5</v>
      </c>
      <c r="J4002" s="3">
        <v>0</v>
      </c>
      <c r="K4002" t="s">
        <v>9604</v>
      </c>
      <c r="L4002">
        <v>1609</v>
      </c>
      <c r="M4002" t="s">
        <v>9605</v>
      </c>
      <c r="N4002" t="s">
        <v>30</v>
      </c>
      <c r="O4002" t="s">
        <v>31</v>
      </c>
      <c r="P4002" t="str">
        <f>"15206"</f>
        <v>15206</v>
      </c>
    </row>
    <row r="4003" spans="1:16" x14ac:dyDescent="0.25">
      <c r="A4003" t="str">
        <f>"1100121J00144    00"</f>
        <v>1100121J00144    00</v>
      </c>
      <c r="B4003" t="s">
        <v>9606</v>
      </c>
      <c r="C4003" t="s">
        <v>9607</v>
      </c>
      <c r="D4003" t="s">
        <v>20</v>
      </c>
      <c r="E4003" t="s">
        <v>39</v>
      </c>
      <c r="F4003">
        <v>0</v>
      </c>
      <c r="G4003">
        <v>0</v>
      </c>
      <c r="H4003">
        <v>1</v>
      </c>
      <c r="I4003" s="3">
        <v>1969.36</v>
      </c>
      <c r="J4003" s="3">
        <v>0</v>
      </c>
      <c r="K4003" t="s">
        <v>4984</v>
      </c>
      <c r="L4003">
        <v>901</v>
      </c>
      <c r="M4003" t="s">
        <v>1503</v>
      </c>
      <c r="N4003" t="s">
        <v>494</v>
      </c>
      <c r="O4003" t="s">
        <v>495</v>
      </c>
      <c r="P4003" t="str">
        <f>"91768"</f>
        <v>91768</v>
      </c>
    </row>
    <row r="4004" spans="1:16" x14ac:dyDescent="0.25">
      <c r="A4004" t="str">
        <f>"1100121J00167    00"</f>
        <v>1100121J00167    00</v>
      </c>
      <c r="B4004" t="s">
        <v>9608</v>
      </c>
      <c r="C4004" t="s">
        <v>9609</v>
      </c>
      <c r="D4004" t="s">
        <v>20</v>
      </c>
      <c r="E4004" t="s">
        <v>39</v>
      </c>
      <c r="F4004">
        <v>0</v>
      </c>
      <c r="G4004">
        <v>0</v>
      </c>
      <c r="H4004">
        <v>1</v>
      </c>
      <c r="I4004" s="3">
        <v>1187.92</v>
      </c>
      <c r="J4004" s="3">
        <v>0</v>
      </c>
      <c r="K4004" t="s">
        <v>9610</v>
      </c>
      <c r="L4004">
        <v>1511</v>
      </c>
      <c r="M4004" t="s">
        <v>9611</v>
      </c>
      <c r="N4004" t="s">
        <v>30</v>
      </c>
      <c r="O4004" t="s">
        <v>31</v>
      </c>
      <c r="P4004" t="str">
        <f>"15206"</f>
        <v>15206</v>
      </c>
    </row>
    <row r="4005" spans="1:16" x14ac:dyDescent="0.25">
      <c r="A4005" t="str">
        <f>"1100121J00177    00"</f>
        <v>1100121J00177    00</v>
      </c>
      <c r="B4005" t="s">
        <v>9612</v>
      </c>
      <c r="C4005" t="s">
        <v>9613</v>
      </c>
      <c r="D4005" t="s">
        <v>20</v>
      </c>
      <c r="E4005" t="s">
        <v>39</v>
      </c>
      <c r="F4005">
        <v>0</v>
      </c>
      <c r="G4005">
        <v>0</v>
      </c>
      <c r="H4005">
        <v>1</v>
      </c>
      <c r="I4005" s="3">
        <v>2697.47</v>
      </c>
      <c r="J4005" s="3">
        <v>0</v>
      </c>
      <c r="L4005">
        <v>4810</v>
      </c>
      <c r="M4005" t="s">
        <v>9614</v>
      </c>
      <c r="N4005" t="s">
        <v>30</v>
      </c>
      <c r="O4005" t="s">
        <v>31</v>
      </c>
      <c r="P4005" t="str">
        <f>"15206"</f>
        <v>15206</v>
      </c>
    </row>
    <row r="4006" spans="1:16" x14ac:dyDescent="0.25">
      <c r="A4006" t="str">
        <f>"1100121J00286    00"</f>
        <v>1100121J00286    00</v>
      </c>
      <c r="B4006" t="s">
        <v>9615</v>
      </c>
      <c r="C4006" t="s">
        <v>9616</v>
      </c>
      <c r="D4006" t="s">
        <v>20</v>
      </c>
      <c r="E4006" t="s">
        <v>39</v>
      </c>
      <c r="F4006">
        <v>0</v>
      </c>
      <c r="G4006">
        <v>0</v>
      </c>
      <c r="H4006">
        <v>2</v>
      </c>
      <c r="I4006" s="3">
        <v>3636.64</v>
      </c>
      <c r="J4006" s="3">
        <v>0</v>
      </c>
      <c r="L4006">
        <v>202</v>
      </c>
      <c r="M4006" t="s">
        <v>2136</v>
      </c>
      <c r="N4006" t="s">
        <v>30</v>
      </c>
      <c r="O4006" t="s">
        <v>31</v>
      </c>
      <c r="P4006" t="str">
        <f>"15228"</f>
        <v>15228</v>
      </c>
    </row>
    <row r="4007" spans="1:16" x14ac:dyDescent="0.25">
      <c r="A4007" t="str">
        <f>"1100121J00288A   00"</f>
        <v>1100121J00288A   00</v>
      </c>
      <c r="B4007" t="s">
        <v>9617</v>
      </c>
      <c r="C4007" t="s">
        <v>9618</v>
      </c>
      <c r="E4007" t="s">
        <v>39</v>
      </c>
      <c r="F4007">
        <v>0</v>
      </c>
      <c r="G4007">
        <v>0</v>
      </c>
      <c r="H4007">
        <v>2</v>
      </c>
      <c r="I4007" s="3">
        <v>173.34</v>
      </c>
      <c r="J4007" s="3">
        <v>41.87</v>
      </c>
      <c r="L4007">
        <v>1661</v>
      </c>
      <c r="M4007" t="s">
        <v>9118</v>
      </c>
      <c r="N4007" t="s">
        <v>30</v>
      </c>
      <c r="O4007" t="s">
        <v>31</v>
      </c>
      <c r="P4007" t="str">
        <f>"15206"</f>
        <v>15206</v>
      </c>
    </row>
    <row r="4008" spans="1:16" x14ac:dyDescent="0.25">
      <c r="A4008" t="str">
        <f>"1100121J00323    00"</f>
        <v>1100121J00323    00</v>
      </c>
      <c r="B4008" t="s">
        <v>9619</v>
      </c>
      <c r="C4008" t="s">
        <v>9620</v>
      </c>
      <c r="D4008" t="s">
        <v>20</v>
      </c>
      <c r="E4008" t="s">
        <v>39</v>
      </c>
      <c r="F4008">
        <v>0</v>
      </c>
      <c r="G4008">
        <v>0</v>
      </c>
      <c r="H4008">
        <v>1</v>
      </c>
      <c r="I4008" s="3">
        <v>1048.32</v>
      </c>
      <c r="J4008" s="3">
        <v>0</v>
      </c>
      <c r="K4008" t="s">
        <v>9621</v>
      </c>
      <c r="L4008">
        <v>701</v>
      </c>
      <c r="M4008" t="s">
        <v>9622</v>
      </c>
      <c r="N4008" t="s">
        <v>9623</v>
      </c>
      <c r="O4008" t="s">
        <v>9624</v>
      </c>
      <c r="P4008" t="str">
        <f>"83814"</f>
        <v>83814</v>
      </c>
    </row>
    <row r="4009" spans="1:16" x14ac:dyDescent="0.25">
      <c r="A4009" t="str">
        <f>"1100121J00355    00"</f>
        <v>1100121J00355    00</v>
      </c>
      <c r="B4009" t="s">
        <v>4914</v>
      </c>
      <c r="C4009" t="s">
        <v>9625</v>
      </c>
      <c r="D4009" t="s">
        <v>20</v>
      </c>
      <c r="E4009" t="s">
        <v>39</v>
      </c>
      <c r="F4009">
        <v>0</v>
      </c>
      <c r="G4009">
        <v>0</v>
      </c>
      <c r="H4009">
        <v>4</v>
      </c>
      <c r="I4009" s="3">
        <v>7516.79</v>
      </c>
      <c r="J4009" s="3">
        <v>830.56</v>
      </c>
      <c r="L4009">
        <v>264</v>
      </c>
      <c r="M4009" t="s">
        <v>8577</v>
      </c>
      <c r="N4009" t="s">
        <v>30</v>
      </c>
      <c r="O4009" t="s">
        <v>31</v>
      </c>
      <c r="P4009" t="str">
        <f>"15201"</f>
        <v>15201</v>
      </c>
    </row>
    <row r="4010" spans="1:16" x14ac:dyDescent="0.25">
      <c r="A4010" t="str">
        <f>"1100121J00387    00"</f>
        <v>1100121J00387    00</v>
      </c>
      <c r="B4010" t="s">
        <v>9626</v>
      </c>
      <c r="C4010" t="s">
        <v>9627</v>
      </c>
      <c r="E4010" t="s">
        <v>39</v>
      </c>
      <c r="F4010">
        <v>0</v>
      </c>
      <c r="G4010">
        <v>0</v>
      </c>
      <c r="H4010">
        <v>1</v>
      </c>
      <c r="I4010" s="3">
        <v>2041.98</v>
      </c>
      <c r="J4010" s="3">
        <v>561.52</v>
      </c>
      <c r="K4010" t="s">
        <v>881</v>
      </c>
      <c r="L4010">
        <v>3001</v>
      </c>
      <c r="M4010" t="s">
        <v>330</v>
      </c>
      <c r="N4010" t="s">
        <v>331</v>
      </c>
      <c r="O4010" t="s">
        <v>108</v>
      </c>
      <c r="P4010" t="str">
        <f>"75063"</f>
        <v>75063</v>
      </c>
    </row>
    <row r="4011" spans="1:16" x14ac:dyDescent="0.25">
      <c r="A4011" t="str">
        <f>"1100121K00037    00"</f>
        <v>1100121K00037    00</v>
      </c>
      <c r="B4011" t="s">
        <v>9628</v>
      </c>
      <c r="C4011" t="s">
        <v>9629</v>
      </c>
      <c r="E4011" t="s">
        <v>39</v>
      </c>
      <c r="F4011">
        <v>0</v>
      </c>
      <c r="G4011">
        <v>0</v>
      </c>
      <c r="H4011">
        <v>1</v>
      </c>
      <c r="I4011" s="3">
        <v>2168.9299999999998</v>
      </c>
      <c r="J4011" s="3">
        <v>1030.2</v>
      </c>
      <c r="L4011">
        <v>6236</v>
      </c>
      <c r="M4011" t="s">
        <v>9630</v>
      </c>
      <c r="N4011" t="s">
        <v>30</v>
      </c>
      <c r="O4011" t="s">
        <v>31</v>
      </c>
      <c r="P4011" t="str">
        <f>"15232"</f>
        <v>15232</v>
      </c>
    </row>
    <row r="4012" spans="1:16" x14ac:dyDescent="0.25">
      <c r="A4012" t="str">
        <f>"1100121K00055    00"</f>
        <v>1100121K00055    00</v>
      </c>
      <c r="B4012" t="s">
        <v>9631</v>
      </c>
      <c r="C4012" t="s">
        <v>9632</v>
      </c>
      <c r="E4012" t="s">
        <v>39</v>
      </c>
      <c r="F4012">
        <v>0</v>
      </c>
      <c r="G4012">
        <v>0</v>
      </c>
      <c r="H4012">
        <v>6</v>
      </c>
      <c r="I4012" s="3">
        <v>99.06</v>
      </c>
      <c r="J4012" s="3">
        <v>44.08</v>
      </c>
      <c r="L4012">
        <v>1704</v>
      </c>
      <c r="M4012" t="s">
        <v>9152</v>
      </c>
      <c r="N4012" t="s">
        <v>30</v>
      </c>
      <c r="O4012" t="s">
        <v>31</v>
      </c>
      <c r="P4012" t="str">
        <f>"15206"</f>
        <v>15206</v>
      </c>
    </row>
    <row r="4013" spans="1:16" x14ac:dyDescent="0.25">
      <c r="A4013" t="str">
        <f>"1100121K00061    00"</f>
        <v>1100121K00061    00</v>
      </c>
      <c r="B4013" t="s">
        <v>9633</v>
      </c>
      <c r="C4013" t="s">
        <v>9634</v>
      </c>
      <c r="D4013" t="s">
        <v>20</v>
      </c>
      <c r="E4013" t="s">
        <v>39</v>
      </c>
      <c r="F4013">
        <v>0</v>
      </c>
      <c r="G4013">
        <v>0</v>
      </c>
      <c r="H4013">
        <v>2</v>
      </c>
      <c r="I4013" s="3">
        <v>2340.6</v>
      </c>
      <c r="J4013" s="3">
        <v>234.05</v>
      </c>
      <c r="K4013" t="s">
        <v>9635</v>
      </c>
      <c r="M4013" t="s">
        <v>9636</v>
      </c>
      <c r="N4013" t="s">
        <v>9637</v>
      </c>
      <c r="O4013" t="s">
        <v>606</v>
      </c>
      <c r="P4013" t="str">
        <f>"30560"</f>
        <v>30560</v>
      </c>
    </row>
    <row r="4014" spans="1:16" x14ac:dyDescent="0.25">
      <c r="A4014" t="str">
        <f>"1100121K00066A   00"</f>
        <v>1100121K00066A   00</v>
      </c>
      <c r="B4014" t="s">
        <v>9638</v>
      </c>
      <c r="C4014" t="s">
        <v>9639</v>
      </c>
      <c r="D4014" t="s">
        <v>20</v>
      </c>
      <c r="E4014" t="s">
        <v>39</v>
      </c>
      <c r="F4014">
        <v>0</v>
      </c>
      <c r="G4014">
        <v>0</v>
      </c>
      <c r="H4014">
        <v>2</v>
      </c>
      <c r="I4014" s="3">
        <v>786.28</v>
      </c>
      <c r="J4014" s="3">
        <v>0</v>
      </c>
      <c r="L4014">
        <v>1734</v>
      </c>
      <c r="M4014" t="s">
        <v>9152</v>
      </c>
      <c r="N4014" t="s">
        <v>30</v>
      </c>
      <c r="O4014" t="s">
        <v>31</v>
      </c>
      <c r="P4014" t="str">
        <f>"15206"</f>
        <v>15206</v>
      </c>
    </row>
    <row r="4015" spans="1:16" x14ac:dyDescent="0.25">
      <c r="A4015" t="str">
        <f>"1100121K00079    00"</f>
        <v>1100121K00079    00</v>
      </c>
      <c r="B4015" t="s">
        <v>9640</v>
      </c>
      <c r="C4015" t="s">
        <v>9641</v>
      </c>
      <c r="D4015" t="s">
        <v>20</v>
      </c>
      <c r="E4015" t="s">
        <v>21</v>
      </c>
      <c r="F4015">
        <v>0</v>
      </c>
      <c r="G4015">
        <v>0</v>
      </c>
      <c r="H4015">
        <v>4</v>
      </c>
      <c r="I4015" s="3">
        <v>7284.14</v>
      </c>
      <c r="J4015" s="3">
        <v>29.96</v>
      </c>
      <c r="L4015">
        <v>1600</v>
      </c>
      <c r="M4015" t="s">
        <v>9642</v>
      </c>
      <c r="N4015" t="s">
        <v>30</v>
      </c>
      <c r="O4015" t="s">
        <v>31</v>
      </c>
      <c r="P4015" t="str">
        <f>"15206"</f>
        <v>15206</v>
      </c>
    </row>
    <row r="4016" spans="1:16" x14ac:dyDescent="0.25">
      <c r="A4016" t="str">
        <f>"1100121K00093    00"</f>
        <v>1100121K00093    00</v>
      </c>
      <c r="B4016" t="s">
        <v>9643</v>
      </c>
      <c r="C4016" t="s">
        <v>9644</v>
      </c>
      <c r="D4016" t="s">
        <v>20</v>
      </c>
      <c r="E4016" t="s">
        <v>21</v>
      </c>
      <c r="F4016">
        <v>0</v>
      </c>
      <c r="G4016">
        <v>0</v>
      </c>
      <c r="H4016">
        <v>1</v>
      </c>
      <c r="I4016" s="3">
        <v>1742.09</v>
      </c>
      <c r="J4016" s="3">
        <v>0</v>
      </c>
      <c r="K4016" t="s">
        <v>9645</v>
      </c>
      <c r="L4016">
        <v>355</v>
      </c>
      <c r="M4016" t="s">
        <v>9646</v>
      </c>
      <c r="N4016" t="s">
        <v>30</v>
      </c>
      <c r="O4016" t="s">
        <v>31</v>
      </c>
      <c r="P4016" t="str">
        <f>"15222"</f>
        <v>15222</v>
      </c>
    </row>
    <row r="4017" spans="1:16" x14ac:dyDescent="0.25">
      <c r="A4017" t="str">
        <f>"1100121K00104    00"</f>
        <v>1100121K00104    00</v>
      </c>
      <c r="B4017" t="s">
        <v>9647</v>
      </c>
      <c r="C4017" t="s">
        <v>9648</v>
      </c>
      <c r="E4017" t="s">
        <v>39</v>
      </c>
      <c r="F4017">
        <v>0</v>
      </c>
      <c r="G4017">
        <v>0</v>
      </c>
      <c r="H4017">
        <v>1</v>
      </c>
      <c r="I4017" s="3">
        <v>107.86</v>
      </c>
      <c r="J4017" s="3">
        <v>21.57</v>
      </c>
      <c r="K4017" t="s">
        <v>9649</v>
      </c>
      <c r="L4017">
        <v>1735</v>
      </c>
      <c r="M4017" t="s">
        <v>6022</v>
      </c>
      <c r="N4017" t="s">
        <v>30</v>
      </c>
      <c r="O4017" t="s">
        <v>31</v>
      </c>
      <c r="P4017" t="str">
        <f>"15206"</f>
        <v>15206</v>
      </c>
    </row>
    <row r="4018" spans="1:16" x14ac:dyDescent="0.25">
      <c r="A4018" t="str">
        <f>"1100121K00112    00"</f>
        <v>1100121K00112    00</v>
      </c>
      <c r="B4018" t="s">
        <v>9650</v>
      </c>
      <c r="C4018" t="s">
        <v>9651</v>
      </c>
      <c r="D4018" t="s">
        <v>20</v>
      </c>
      <c r="E4018" t="s">
        <v>39</v>
      </c>
      <c r="F4018">
        <v>0</v>
      </c>
      <c r="G4018">
        <v>0</v>
      </c>
      <c r="H4018">
        <v>1</v>
      </c>
      <c r="I4018" s="3">
        <v>922.52</v>
      </c>
      <c r="J4018" s="3">
        <v>0</v>
      </c>
      <c r="L4018">
        <v>2998</v>
      </c>
      <c r="M4018" t="s">
        <v>9652</v>
      </c>
      <c r="N4018" t="s">
        <v>9653</v>
      </c>
      <c r="O4018" t="s">
        <v>31</v>
      </c>
      <c r="P4018" t="str">
        <f>"15632"</f>
        <v>15632</v>
      </c>
    </row>
    <row r="4019" spans="1:16" x14ac:dyDescent="0.25">
      <c r="A4019" t="str">
        <f>"1100121K00143A   00"</f>
        <v>1100121K00143A   00</v>
      </c>
      <c r="B4019" t="s">
        <v>9654</v>
      </c>
      <c r="C4019" t="s">
        <v>9655</v>
      </c>
      <c r="D4019" t="s">
        <v>20</v>
      </c>
      <c r="E4019" t="s">
        <v>39</v>
      </c>
      <c r="F4019">
        <v>0</v>
      </c>
      <c r="G4019">
        <v>0</v>
      </c>
      <c r="H4019">
        <v>2</v>
      </c>
      <c r="I4019" s="3">
        <v>1438.11</v>
      </c>
      <c r="J4019" s="3">
        <v>0</v>
      </c>
      <c r="L4019">
        <v>210</v>
      </c>
      <c r="M4019" t="s">
        <v>9656</v>
      </c>
      <c r="N4019" t="s">
        <v>30</v>
      </c>
      <c r="O4019" t="s">
        <v>31</v>
      </c>
      <c r="P4019" t="str">
        <f>"15215"</f>
        <v>15215</v>
      </c>
    </row>
    <row r="4020" spans="1:16" x14ac:dyDescent="0.25">
      <c r="A4020" t="str">
        <f>"1100121K00199    00"</f>
        <v>1100121K00199    00</v>
      </c>
      <c r="B4020" t="s">
        <v>9657</v>
      </c>
      <c r="C4020" t="s">
        <v>9658</v>
      </c>
      <c r="E4020" t="s">
        <v>39</v>
      </c>
      <c r="F4020">
        <v>0</v>
      </c>
      <c r="G4020">
        <v>0</v>
      </c>
      <c r="H4020">
        <v>2</v>
      </c>
      <c r="I4020" s="3">
        <v>1280.57</v>
      </c>
      <c r="J4020" s="3">
        <v>55.65</v>
      </c>
      <c r="K4020" t="s">
        <v>9659</v>
      </c>
      <c r="L4020">
        <v>8</v>
      </c>
      <c r="M4020" t="s">
        <v>9660</v>
      </c>
      <c r="N4020" t="s">
        <v>571</v>
      </c>
      <c r="O4020" t="s">
        <v>3392</v>
      </c>
      <c r="P4020" t="str">
        <f>"19702"</f>
        <v>19702</v>
      </c>
    </row>
    <row r="4021" spans="1:16" x14ac:dyDescent="0.25">
      <c r="A4021" t="str">
        <f>"1100121K00233    00"</f>
        <v>1100121K00233    00</v>
      </c>
      <c r="B4021" t="s">
        <v>9661</v>
      </c>
      <c r="C4021" t="s">
        <v>9662</v>
      </c>
      <c r="E4021" t="s">
        <v>39</v>
      </c>
      <c r="F4021">
        <v>0</v>
      </c>
      <c r="G4021">
        <v>0</v>
      </c>
      <c r="H4021">
        <v>2</v>
      </c>
      <c r="I4021" s="3">
        <v>1185.56</v>
      </c>
      <c r="J4021" s="3">
        <v>16.68</v>
      </c>
      <c r="K4021" t="s">
        <v>484</v>
      </c>
      <c r="L4021">
        <v>3001</v>
      </c>
      <c r="M4021" t="s">
        <v>330</v>
      </c>
      <c r="N4021" t="s">
        <v>331</v>
      </c>
      <c r="O4021" t="s">
        <v>108</v>
      </c>
      <c r="P4021" t="str">
        <f>"75063"</f>
        <v>75063</v>
      </c>
    </row>
    <row r="4022" spans="1:16" x14ac:dyDescent="0.25">
      <c r="A4022" t="str">
        <f>"1100121K00247    00"</f>
        <v>1100121K00247    00</v>
      </c>
      <c r="B4022" t="s">
        <v>9281</v>
      </c>
      <c r="C4022" t="s">
        <v>9663</v>
      </c>
      <c r="E4022" t="s">
        <v>39</v>
      </c>
      <c r="F4022">
        <v>0</v>
      </c>
      <c r="G4022">
        <v>0</v>
      </c>
      <c r="H4022">
        <v>2</v>
      </c>
      <c r="I4022" s="3">
        <v>2306.2800000000002</v>
      </c>
      <c r="J4022" s="3">
        <v>96.09</v>
      </c>
      <c r="K4022" t="s">
        <v>8985</v>
      </c>
      <c r="M4022" t="s">
        <v>8986</v>
      </c>
      <c r="N4022" t="s">
        <v>8987</v>
      </c>
      <c r="O4022" t="s">
        <v>495</v>
      </c>
      <c r="P4022" t="str">
        <f>"90660"</f>
        <v>90660</v>
      </c>
    </row>
    <row r="4023" spans="1:16" x14ac:dyDescent="0.25">
      <c r="A4023" t="str">
        <f>"1100121K00249    00"</f>
        <v>1100121K00249    00</v>
      </c>
      <c r="B4023" t="s">
        <v>9664</v>
      </c>
      <c r="C4023" t="s">
        <v>9665</v>
      </c>
      <c r="D4023" t="s">
        <v>20</v>
      </c>
      <c r="E4023" t="s">
        <v>39</v>
      </c>
      <c r="F4023">
        <v>0</v>
      </c>
      <c r="G4023">
        <v>0</v>
      </c>
      <c r="H4023">
        <v>2</v>
      </c>
      <c r="I4023" s="3">
        <v>1763.21</v>
      </c>
      <c r="J4023" s="3">
        <v>0</v>
      </c>
      <c r="L4023">
        <v>1710</v>
      </c>
      <c r="M4023" t="s">
        <v>1315</v>
      </c>
      <c r="N4023" t="s">
        <v>30</v>
      </c>
      <c r="O4023" t="s">
        <v>31</v>
      </c>
      <c r="P4023" t="str">
        <f>"15206"</f>
        <v>15206</v>
      </c>
    </row>
    <row r="4024" spans="1:16" x14ac:dyDescent="0.25">
      <c r="A4024" t="str">
        <f>"1100121K00288    00"</f>
        <v>1100121K00288    00</v>
      </c>
      <c r="B4024" t="s">
        <v>9666</v>
      </c>
      <c r="C4024" t="s">
        <v>9667</v>
      </c>
      <c r="D4024" t="s">
        <v>20</v>
      </c>
      <c r="E4024" t="s">
        <v>21</v>
      </c>
      <c r="F4024">
        <v>0</v>
      </c>
      <c r="G4024">
        <v>0</v>
      </c>
      <c r="H4024">
        <v>1</v>
      </c>
      <c r="I4024" s="3">
        <v>1191.26</v>
      </c>
      <c r="J4024" s="3">
        <v>0</v>
      </c>
      <c r="L4024">
        <v>408</v>
      </c>
      <c r="M4024" t="s">
        <v>9668</v>
      </c>
      <c r="N4024" t="s">
        <v>9669</v>
      </c>
      <c r="O4024" t="s">
        <v>31</v>
      </c>
      <c r="P4024" t="str">
        <f>"16105"</f>
        <v>16105</v>
      </c>
    </row>
    <row r="4025" spans="1:16" x14ac:dyDescent="0.25">
      <c r="A4025" t="str">
        <f>"1100121K00296    00"</f>
        <v>1100121K00296    00</v>
      </c>
      <c r="B4025" t="s">
        <v>9670</v>
      </c>
      <c r="C4025" t="s">
        <v>9671</v>
      </c>
      <c r="D4025" t="s">
        <v>20</v>
      </c>
      <c r="E4025" t="s">
        <v>39</v>
      </c>
      <c r="F4025">
        <v>0</v>
      </c>
      <c r="G4025">
        <v>0</v>
      </c>
      <c r="H4025">
        <v>1</v>
      </c>
      <c r="I4025" s="3">
        <v>1562.92</v>
      </c>
      <c r="J4025" s="3">
        <v>0</v>
      </c>
      <c r="K4025" t="s">
        <v>484</v>
      </c>
      <c r="L4025">
        <v>3001</v>
      </c>
      <c r="M4025" t="s">
        <v>330</v>
      </c>
      <c r="N4025" t="s">
        <v>331</v>
      </c>
      <c r="O4025" t="s">
        <v>108</v>
      </c>
      <c r="P4025" t="str">
        <f>"75063"</f>
        <v>75063</v>
      </c>
    </row>
    <row r="4026" spans="1:16" x14ac:dyDescent="0.25">
      <c r="A4026" t="str">
        <f>"1100121K00313    00"</f>
        <v>1100121K00313    00</v>
      </c>
      <c r="B4026" t="s">
        <v>9672</v>
      </c>
      <c r="C4026" t="s">
        <v>9673</v>
      </c>
      <c r="D4026" t="s">
        <v>20</v>
      </c>
      <c r="E4026" t="s">
        <v>39</v>
      </c>
      <c r="F4026">
        <v>0</v>
      </c>
      <c r="G4026">
        <v>0</v>
      </c>
      <c r="H4026">
        <v>1</v>
      </c>
      <c r="I4026" s="3">
        <v>1622.49</v>
      </c>
      <c r="J4026" s="3">
        <v>0</v>
      </c>
      <c r="L4026">
        <v>6925</v>
      </c>
      <c r="M4026" t="s">
        <v>9674</v>
      </c>
      <c r="N4026" t="s">
        <v>30</v>
      </c>
      <c r="O4026" t="s">
        <v>31</v>
      </c>
      <c r="P4026" t="str">
        <f>"15206"</f>
        <v>15206</v>
      </c>
    </row>
    <row r="4027" spans="1:16" x14ac:dyDescent="0.25">
      <c r="A4027" t="str">
        <f>"1100121K00318    00"</f>
        <v>1100121K00318    00</v>
      </c>
      <c r="B4027" t="s">
        <v>9675</v>
      </c>
      <c r="C4027" t="s">
        <v>9676</v>
      </c>
      <c r="D4027" t="s">
        <v>20</v>
      </c>
      <c r="E4027" t="s">
        <v>39</v>
      </c>
      <c r="F4027">
        <v>0</v>
      </c>
      <c r="G4027">
        <v>0</v>
      </c>
      <c r="H4027">
        <v>1</v>
      </c>
      <c r="I4027" s="3">
        <v>774.31</v>
      </c>
      <c r="J4027" s="3">
        <v>0</v>
      </c>
      <c r="K4027" t="s">
        <v>417</v>
      </c>
      <c r="L4027">
        <v>3001</v>
      </c>
      <c r="M4027" t="s">
        <v>330</v>
      </c>
      <c r="N4027" t="s">
        <v>331</v>
      </c>
      <c r="O4027" t="s">
        <v>108</v>
      </c>
      <c r="P4027" t="str">
        <f>"75063"</f>
        <v>75063</v>
      </c>
    </row>
    <row r="4028" spans="1:16" x14ac:dyDescent="0.25">
      <c r="A4028" t="str">
        <f>"1100121K00321    00"</f>
        <v>1100121K00321    00</v>
      </c>
      <c r="B4028" t="s">
        <v>9677</v>
      </c>
      <c r="C4028" t="s">
        <v>9678</v>
      </c>
      <c r="D4028" t="s">
        <v>20</v>
      </c>
      <c r="E4028" t="s">
        <v>21</v>
      </c>
      <c r="F4028">
        <v>0</v>
      </c>
      <c r="G4028">
        <v>0</v>
      </c>
      <c r="H4028">
        <v>3</v>
      </c>
      <c r="I4028" s="3">
        <v>6181.2</v>
      </c>
      <c r="J4028" s="3">
        <v>412.07</v>
      </c>
      <c r="L4028">
        <v>1800</v>
      </c>
      <c r="M4028" t="s">
        <v>1315</v>
      </c>
      <c r="N4028" t="s">
        <v>30</v>
      </c>
      <c r="O4028" t="s">
        <v>31</v>
      </c>
      <c r="P4028" t="str">
        <f>"15206"</f>
        <v>15206</v>
      </c>
    </row>
    <row r="4029" spans="1:16" x14ac:dyDescent="0.25">
      <c r="A4029" t="str">
        <f>"1100121L00001    00"</f>
        <v>1100121L00001    00</v>
      </c>
      <c r="B4029" t="s">
        <v>9679</v>
      </c>
      <c r="C4029" t="s">
        <v>9680</v>
      </c>
      <c r="D4029" t="s">
        <v>20</v>
      </c>
      <c r="E4029" t="s">
        <v>39</v>
      </c>
      <c r="F4029">
        <v>0</v>
      </c>
      <c r="G4029">
        <v>0</v>
      </c>
      <c r="H4029">
        <v>1</v>
      </c>
      <c r="I4029" s="3">
        <v>1090.71</v>
      </c>
      <c r="J4029" s="3">
        <v>0</v>
      </c>
      <c r="K4029" t="s">
        <v>1127</v>
      </c>
      <c r="L4029">
        <v>3001</v>
      </c>
      <c r="M4029" t="s">
        <v>330</v>
      </c>
      <c r="N4029" t="s">
        <v>331</v>
      </c>
      <c r="O4029" t="s">
        <v>108</v>
      </c>
      <c r="P4029" t="str">
        <f>"75063"</f>
        <v>75063</v>
      </c>
    </row>
    <row r="4030" spans="1:16" x14ac:dyDescent="0.25">
      <c r="A4030" t="str">
        <f>"1100121L00010    00"</f>
        <v>1100121L00010    00</v>
      </c>
      <c r="B4030" t="s">
        <v>9681</v>
      </c>
      <c r="C4030" t="s">
        <v>9682</v>
      </c>
      <c r="D4030" t="s">
        <v>20</v>
      </c>
      <c r="E4030" t="s">
        <v>39</v>
      </c>
      <c r="F4030">
        <v>0</v>
      </c>
      <c r="G4030">
        <v>0</v>
      </c>
      <c r="H4030">
        <v>1</v>
      </c>
      <c r="I4030" s="3">
        <v>1324.68</v>
      </c>
      <c r="J4030" s="3">
        <v>0</v>
      </c>
      <c r="K4030" t="s">
        <v>9683</v>
      </c>
      <c r="L4030">
        <v>1939</v>
      </c>
      <c r="M4030" t="s">
        <v>9684</v>
      </c>
      <c r="N4030" t="s">
        <v>30</v>
      </c>
      <c r="O4030" t="s">
        <v>31</v>
      </c>
      <c r="P4030" t="str">
        <f>"15206"</f>
        <v>15206</v>
      </c>
    </row>
    <row r="4031" spans="1:16" x14ac:dyDescent="0.25">
      <c r="A4031" t="str">
        <f>"1100121L00056    00"</f>
        <v>1100121L00056    00</v>
      </c>
      <c r="B4031" t="s">
        <v>9685</v>
      </c>
      <c r="C4031" t="s">
        <v>9686</v>
      </c>
      <c r="E4031" t="s">
        <v>39</v>
      </c>
      <c r="F4031">
        <v>0</v>
      </c>
      <c r="G4031">
        <v>0</v>
      </c>
      <c r="H4031">
        <v>1</v>
      </c>
      <c r="I4031" s="3">
        <v>2252.89</v>
      </c>
      <c r="J4031" s="3">
        <v>56.33</v>
      </c>
      <c r="L4031">
        <v>6929</v>
      </c>
      <c r="M4031" t="s">
        <v>9687</v>
      </c>
      <c r="N4031" t="s">
        <v>30</v>
      </c>
      <c r="O4031" t="s">
        <v>31</v>
      </c>
      <c r="P4031" t="str">
        <f>"15206"</f>
        <v>15206</v>
      </c>
    </row>
    <row r="4032" spans="1:16" x14ac:dyDescent="0.25">
      <c r="A4032" t="str">
        <f>"1100121N00007    00"</f>
        <v>1100121N00007    00</v>
      </c>
      <c r="B4032" t="s">
        <v>9688</v>
      </c>
      <c r="C4032" t="s">
        <v>9689</v>
      </c>
      <c r="E4032" t="s">
        <v>39</v>
      </c>
      <c r="F4032">
        <v>0</v>
      </c>
      <c r="G4032">
        <v>0</v>
      </c>
      <c r="H4032">
        <v>1</v>
      </c>
      <c r="I4032" s="3">
        <v>628.69000000000005</v>
      </c>
      <c r="J4032" s="3">
        <v>0</v>
      </c>
      <c r="K4032" t="s">
        <v>557</v>
      </c>
      <c r="L4032">
        <v>3001</v>
      </c>
      <c r="M4032" t="s">
        <v>330</v>
      </c>
      <c r="N4032" t="s">
        <v>331</v>
      </c>
      <c r="O4032" t="s">
        <v>108</v>
      </c>
      <c r="P4032" t="str">
        <f>"75063"</f>
        <v>75063</v>
      </c>
    </row>
    <row r="4033" spans="1:16" x14ac:dyDescent="0.25">
      <c r="A4033" t="str">
        <f>"1100121N00099    00"</f>
        <v>1100121N00099    00</v>
      </c>
      <c r="B4033" t="s">
        <v>9690</v>
      </c>
      <c r="C4033" t="s">
        <v>9691</v>
      </c>
      <c r="D4033" t="s">
        <v>20</v>
      </c>
      <c r="E4033" t="s">
        <v>39</v>
      </c>
      <c r="F4033">
        <v>0</v>
      </c>
      <c r="G4033">
        <v>0</v>
      </c>
      <c r="H4033">
        <v>3</v>
      </c>
      <c r="I4033" s="3">
        <v>4298.9399999999996</v>
      </c>
      <c r="J4033" s="3">
        <v>270.22000000000003</v>
      </c>
      <c r="L4033">
        <v>1649</v>
      </c>
      <c r="M4033" t="s">
        <v>9152</v>
      </c>
      <c r="N4033" t="s">
        <v>30</v>
      </c>
      <c r="O4033" t="s">
        <v>31</v>
      </c>
      <c r="P4033" t="str">
        <f>"15206"</f>
        <v>15206</v>
      </c>
    </row>
    <row r="4034" spans="1:16" x14ac:dyDescent="0.25">
      <c r="A4034" t="str">
        <f>"1100121N00109    00"</f>
        <v>1100121N00109    00</v>
      </c>
      <c r="B4034" t="s">
        <v>9692</v>
      </c>
      <c r="C4034" t="s">
        <v>9693</v>
      </c>
      <c r="D4034" t="s">
        <v>20</v>
      </c>
      <c r="E4034" t="s">
        <v>39</v>
      </c>
      <c r="F4034">
        <v>0</v>
      </c>
      <c r="G4034">
        <v>0</v>
      </c>
      <c r="H4034">
        <v>1</v>
      </c>
      <c r="I4034" s="3">
        <v>1113.58</v>
      </c>
      <c r="J4034" s="3">
        <v>0</v>
      </c>
      <c r="L4034">
        <v>625</v>
      </c>
      <c r="M4034" t="s">
        <v>9694</v>
      </c>
      <c r="N4034" t="s">
        <v>9695</v>
      </c>
      <c r="O4034" t="s">
        <v>9696</v>
      </c>
      <c r="P4034" t="str">
        <f>"46526"</f>
        <v>46526</v>
      </c>
    </row>
    <row r="4035" spans="1:16" x14ac:dyDescent="0.25">
      <c r="A4035" t="str">
        <f>"1100121N00111    00"</f>
        <v>1100121N00111    00</v>
      </c>
      <c r="B4035" t="s">
        <v>9697</v>
      </c>
      <c r="C4035" t="s">
        <v>9698</v>
      </c>
      <c r="D4035" t="s">
        <v>20</v>
      </c>
      <c r="E4035" t="s">
        <v>39</v>
      </c>
      <c r="F4035">
        <v>0</v>
      </c>
      <c r="G4035">
        <v>0</v>
      </c>
      <c r="H4035">
        <v>5</v>
      </c>
      <c r="I4035" s="3">
        <v>6448.81</v>
      </c>
      <c r="J4035" s="3">
        <v>1144.1400000000001</v>
      </c>
      <c r="K4035" t="s">
        <v>9699</v>
      </c>
      <c r="L4035">
        <v>1634</v>
      </c>
      <c r="M4035" t="s">
        <v>9118</v>
      </c>
      <c r="N4035" t="s">
        <v>30</v>
      </c>
      <c r="O4035" t="s">
        <v>31</v>
      </c>
      <c r="P4035" t="str">
        <f t="shared" ref="P4035:P4041" si="51">"15206"</f>
        <v>15206</v>
      </c>
    </row>
    <row r="4036" spans="1:16" x14ac:dyDescent="0.25">
      <c r="A4036" t="str">
        <f>"1100121N00126    00"</f>
        <v>1100121N00126    00</v>
      </c>
      <c r="B4036" t="s">
        <v>9700</v>
      </c>
      <c r="C4036" t="s">
        <v>9701</v>
      </c>
      <c r="E4036" t="s">
        <v>39</v>
      </c>
      <c r="F4036">
        <v>0</v>
      </c>
      <c r="G4036">
        <v>0</v>
      </c>
      <c r="H4036">
        <v>1</v>
      </c>
      <c r="I4036" s="3">
        <v>41.75</v>
      </c>
      <c r="J4036" s="3">
        <v>20.54</v>
      </c>
      <c r="L4036">
        <v>1440</v>
      </c>
      <c r="M4036" t="s">
        <v>9118</v>
      </c>
      <c r="N4036" t="s">
        <v>30</v>
      </c>
      <c r="O4036" t="s">
        <v>31</v>
      </c>
      <c r="P4036" t="str">
        <f t="shared" si="51"/>
        <v>15206</v>
      </c>
    </row>
    <row r="4037" spans="1:16" x14ac:dyDescent="0.25">
      <c r="A4037" t="str">
        <f>"1100121N00129    00"</f>
        <v>1100121N00129    00</v>
      </c>
      <c r="B4037" t="s">
        <v>9702</v>
      </c>
      <c r="C4037" t="s">
        <v>9703</v>
      </c>
      <c r="D4037" t="s">
        <v>20</v>
      </c>
      <c r="E4037" t="s">
        <v>39</v>
      </c>
      <c r="F4037">
        <v>0</v>
      </c>
      <c r="G4037">
        <v>0</v>
      </c>
      <c r="H4037">
        <v>2</v>
      </c>
      <c r="I4037" s="3">
        <v>1228.6199999999999</v>
      </c>
      <c r="J4037" s="3">
        <v>0</v>
      </c>
      <c r="L4037">
        <v>1432</v>
      </c>
      <c r="M4037" t="s">
        <v>9118</v>
      </c>
      <c r="N4037" t="s">
        <v>30</v>
      </c>
      <c r="O4037" t="s">
        <v>31</v>
      </c>
      <c r="P4037" t="str">
        <f t="shared" si="51"/>
        <v>15206</v>
      </c>
    </row>
    <row r="4038" spans="1:16" x14ac:dyDescent="0.25">
      <c r="A4038" t="str">
        <f>"1100121N00141    00"</f>
        <v>1100121N00141    00</v>
      </c>
      <c r="B4038" t="s">
        <v>9704</v>
      </c>
      <c r="C4038" t="s">
        <v>9705</v>
      </c>
      <c r="D4038" t="s">
        <v>20</v>
      </c>
      <c r="E4038" t="s">
        <v>39</v>
      </c>
      <c r="F4038">
        <v>0</v>
      </c>
      <c r="G4038">
        <v>0</v>
      </c>
      <c r="H4038">
        <v>3</v>
      </c>
      <c r="I4038" s="3">
        <v>1175.74</v>
      </c>
      <c r="J4038" s="3">
        <v>8.67</v>
      </c>
      <c r="K4038" t="s">
        <v>9706</v>
      </c>
      <c r="L4038">
        <v>1435</v>
      </c>
      <c r="M4038" t="s">
        <v>9118</v>
      </c>
      <c r="N4038" t="s">
        <v>30</v>
      </c>
      <c r="O4038" t="s">
        <v>31</v>
      </c>
      <c r="P4038" t="str">
        <f t="shared" si="51"/>
        <v>15206</v>
      </c>
    </row>
    <row r="4039" spans="1:16" x14ac:dyDescent="0.25">
      <c r="A4039" t="str">
        <f>"1100121P00016    00"</f>
        <v>1100121P00016    00</v>
      </c>
      <c r="B4039" t="s">
        <v>9707</v>
      </c>
      <c r="C4039" t="s">
        <v>9708</v>
      </c>
      <c r="E4039" t="s">
        <v>39</v>
      </c>
      <c r="F4039">
        <v>0</v>
      </c>
      <c r="G4039">
        <v>0</v>
      </c>
      <c r="H4039">
        <v>6</v>
      </c>
      <c r="I4039" s="3">
        <v>5762.09</v>
      </c>
      <c r="J4039" s="3">
        <v>8087.17</v>
      </c>
      <c r="L4039">
        <v>1670</v>
      </c>
      <c r="M4039" t="s">
        <v>6022</v>
      </c>
      <c r="N4039" t="s">
        <v>30</v>
      </c>
      <c r="O4039" t="s">
        <v>31</v>
      </c>
      <c r="P4039" t="str">
        <f t="shared" si="51"/>
        <v>15206</v>
      </c>
    </row>
    <row r="4040" spans="1:16" x14ac:dyDescent="0.25">
      <c r="A4040" t="str">
        <f>"1100121P00034    00"</f>
        <v>1100121P00034    00</v>
      </c>
      <c r="B4040" t="s">
        <v>9709</v>
      </c>
      <c r="C4040" t="s">
        <v>9710</v>
      </c>
      <c r="D4040" t="s">
        <v>20</v>
      </c>
      <c r="E4040" t="s">
        <v>39</v>
      </c>
      <c r="F4040">
        <v>0</v>
      </c>
      <c r="G4040">
        <v>0</v>
      </c>
      <c r="H4040">
        <v>2</v>
      </c>
      <c r="I4040" s="3">
        <v>3020.1</v>
      </c>
      <c r="J4040" s="3">
        <v>0</v>
      </c>
      <c r="L4040">
        <v>1628</v>
      </c>
      <c r="M4040" t="s">
        <v>6022</v>
      </c>
      <c r="N4040" t="s">
        <v>30</v>
      </c>
      <c r="O4040" t="s">
        <v>31</v>
      </c>
      <c r="P4040" t="str">
        <f t="shared" si="51"/>
        <v>15206</v>
      </c>
    </row>
    <row r="4041" spans="1:16" x14ac:dyDescent="0.25">
      <c r="A4041" t="str">
        <f>"1100121P00055    00"</f>
        <v>1100121P00055    00</v>
      </c>
      <c r="B4041" t="s">
        <v>9711</v>
      </c>
      <c r="C4041" t="s">
        <v>9712</v>
      </c>
      <c r="D4041" t="s">
        <v>20</v>
      </c>
      <c r="E4041" t="s">
        <v>39</v>
      </c>
      <c r="F4041">
        <v>0</v>
      </c>
      <c r="G4041">
        <v>0</v>
      </c>
      <c r="H4041">
        <v>2</v>
      </c>
      <c r="I4041" s="3">
        <v>2149.9899999999998</v>
      </c>
      <c r="J4041" s="3">
        <v>0</v>
      </c>
      <c r="L4041">
        <v>1445</v>
      </c>
      <c r="M4041" t="s">
        <v>1315</v>
      </c>
      <c r="N4041" t="s">
        <v>30</v>
      </c>
      <c r="O4041" t="s">
        <v>31</v>
      </c>
      <c r="P4041" t="str">
        <f t="shared" si="51"/>
        <v>15206</v>
      </c>
    </row>
    <row r="4042" spans="1:16" x14ac:dyDescent="0.25">
      <c r="A4042" t="str">
        <f>"1100121P00058    00"</f>
        <v>1100121P00058    00</v>
      </c>
      <c r="B4042" t="s">
        <v>9281</v>
      </c>
      <c r="C4042" t="s">
        <v>9713</v>
      </c>
      <c r="E4042" t="s">
        <v>39</v>
      </c>
      <c r="F4042">
        <v>0</v>
      </c>
      <c r="G4042">
        <v>0</v>
      </c>
      <c r="H4042">
        <v>2</v>
      </c>
      <c r="I4042" s="3">
        <v>3583.28</v>
      </c>
      <c r="J4042" s="3">
        <v>149.30000000000001</v>
      </c>
      <c r="K4042" t="s">
        <v>8985</v>
      </c>
      <c r="M4042" t="s">
        <v>8986</v>
      </c>
      <c r="N4042" t="s">
        <v>8987</v>
      </c>
      <c r="O4042" t="s">
        <v>495</v>
      </c>
      <c r="P4042" t="str">
        <f>"90660"</f>
        <v>90660</v>
      </c>
    </row>
    <row r="4043" spans="1:16" x14ac:dyDescent="0.25">
      <c r="A4043" t="str">
        <f>"1100121P00065    00"</f>
        <v>1100121P00065    00</v>
      </c>
      <c r="B4043" t="s">
        <v>9714</v>
      </c>
      <c r="C4043" t="s">
        <v>9715</v>
      </c>
      <c r="E4043" t="s">
        <v>39</v>
      </c>
      <c r="F4043">
        <v>0</v>
      </c>
      <c r="G4043">
        <v>0</v>
      </c>
      <c r="H4043">
        <v>2</v>
      </c>
      <c r="I4043" s="3">
        <v>4906.0600000000004</v>
      </c>
      <c r="J4043" s="3">
        <v>61.32</v>
      </c>
      <c r="K4043" t="s">
        <v>9716</v>
      </c>
      <c r="L4043">
        <v>901</v>
      </c>
      <c r="M4043" t="s">
        <v>6264</v>
      </c>
      <c r="N4043" t="s">
        <v>30</v>
      </c>
      <c r="O4043" t="s">
        <v>31</v>
      </c>
      <c r="P4043" t="str">
        <f>"15203"</f>
        <v>15203</v>
      </c>
    </row>
    <row r="4044" spans="1:16" x14ac:dyDescent="0.25">
      <c r="A4044" t="str">
        <f>"1100121P00088    00"</f>
        <v>1100121P00088    00</v>
      </c>
      <c r="B4044" t="s">
        <v>9717</v>
      </c>
      <c r="C4044" t="s">
        <v>9718</v>
      </c>
      <c r="D4044" t="s">
        <v>20</v>
      </c>
      <c r="E4044" t="s">
        <v>39</v>
      </c>
      <c r="F4044">
        <v>0</v>
      </c>
      <c r="G4044">
        <v>0</v>
      </c>
      <c r="H4044">
        <v>2</v>
      </c>
      <c r="I4044" s="3">
        <v>1697.36</v>
      </c>
      <c r="J4044" s="3">
        <v>0</v>
      </c>
      <c r="K4044" t="s">
        <v>9719</v>
      </c>
      <c r="L4044">
        <v>1700</v>
      </c>
      <c r="M4044" t="s">
        <v>1315</v>
      </c>
      <c r="N4044" t="s">
        <v>30</v>
      </c>
      <c r="O4044" t="s">
        <v>31</v>
      </c>
      <c r="P4044" t="str">
        <f>"15206"</f>
        <v>15206</v>
      </c>
    </row>
    <row r="4045" spans="1:16" x14ac:dyDescent="0.25">
      <c r="A4045" t="str">
        <f>"1100121P00107    00"</f>
        <v>1100121P00107    00</v>
      </c>
      <c r="B4045" t="s">
        <v>9720</v>
      </c>
      <c r="C4045" t="s">
        <v>9721</v>
      </c>
      <c r="E4045" t="s">
        <v>39</v>
      </c>
      <c r="F4045">
        <v>0</v>
      </c>
      <c r="G4045">
        <v>0</v>
      </c>
      <c r="H4045">
        <v>2</v>
      </c>
      <c r="I4045" s="3">
        <v>53.02</v>
      </c>
      <c r="J4045" s="3">
        <v>3.62</v>
      </c>
      <c r="K4045" t="s">
        <v>9722</v>
      </c>
      <c r="L4045">
        <v>1632</v>
      </c>
      <c r="M4045" t="s">
        <v>1315</v>
      </c>
      <c r="N4045" t="s">
        <v>30</v>
      </c>
      <c r="O4045" t="s">
        <v>31</v>
      </c>
      <c r="P4045" t="str">
        <f>"15206"</f>
        <v>15206</v>
      </c>
    </row>
    <row r="4046" spans="1:16" x14ac:dyDescent="0.25">
      <c r="A4046" t="str">
        <f>"1100121P00119    00"</f>
        <v>1100121P00119    00</v>
      </c>
      <c r="B4046" t="s">
        <v>9723</v>
      </c>
      <c r="C4046" t="s">
        <v>9724</v>
      </c>
      <c r="E4046" t="s">
        <v>39</v>
      </c>
      <c r="F4046">
        <v>0</v>
      </c>
      <c r="G4046">
        <v>0</v>
      </c>
      <c r="H4046">
        <v>2</v>
      </c>
      <c r="I4046" s="3">
        <v>3869.2</v>
      </c>
      <c r="J4046" s="3">
        <v>386.91</v>
      </c>
      <c r="K4046" t="s">
        <v>9725</v>
      </c>
      <c r="L4046">
        <v>817</v>
      </c>
      <c r="M4046" t="s">
        <v>5491</v>
      </c>
      <c r="N4046" t="s">
        <v>30</v>
      </c>
      <c r="O4046" t="s">
        <v>31</v>
      </c>
      <c r="P4046" t="str">
        <f>"15232"</f>
        <v>15232</v>
      </c>
    </row>
    <row r="4047" spans="1:16" x14ac:dyDescent="0.25">
      <c r="A4047" t="str">
        <f>"1100121P00254    00"</f>
        <v>1100121P00254    00</v>
      </c>
      <c r="B4047" t="s">
        <v>9726</v>
      </c>
      <c r="C4047" t="s">
        <v>9727</v>
      </c>
      <c r="D4047" t="s">
        <v>20</v>
      </c>
      <c r="E4047" t="s">
        <v>39</v>
      </c>
      <c r="F4047">
        <v>0</v>
      </c>
      <c r="G4047">
        <v>0</v>
      </c>
      <c r="H4047">
        <v>1</v>
      </c>
      <c r="I4047" s="3">
        <v>100</v>
      </c>
      <c r="J4047" s="3">
        <v>0</v>
      </c>
      <c r="L4047">
        <v>1732</v>
      </c>
      <c r="M4047" t="s">
        <v>9684</v>
      </c>
      <c r="N4047" t="s">
        <v>30</v>
      </c>
      <c r="O4047" t="s">
        <v>31</v>
      </c>
      <c r="P4047" t="str">
        <f>"15206"</f>
        <v>15206</v>
      </c>
    </row>
    <row r="4048" spans="1:16" x14ac:dyDescent="0.25">
      <c r="A4048" t="str">
        <f>"110080H00223L    00"</f>
        <v>110080H00223L    00</v>
      </c>
      <c r="B4048" t="s">
        <v>9728</v>
      </c>
      <c r="C4048" t="s">
        <v>9729</v>
      </c>
      <c r="E4048" t="s">
        <v>39</v>
      </c>
      <c r="F4048">
        <v>0</v>
      </c>
      <c r="G4048">
        <v>0</v>
      </c>
      <c r="H4048">
        <v>1</v>
      </c>
      <c r="I4048" s="3">
        <v>406.56</v>
      </c>
      <c r="J4048" s="3">
        <v>199.88</v>
      </c>
      <c r="K4048" t="s">
        <v>7185</v>
      </c>
      <c r="M4048" t="s">
        <v>9730</v>
      </c>
      <c r="N4048" t="s">
        <v>9731</v>
      </c>
      <c r="O4048" t="s">
        <v>108</v>
      </c>
      <c r="P4048" t="str">
        <f>"75019"</f>
        <v>75019</v>
      </c>
    </row>
    <row r="4049" spans="1:16" x14ac:dyDescent="0.25">
      <c r="A4049" t="str">
        <f>"1110050H00051    00"</f>
        <v>1110050H00051    00</v>
      </c>
      <c r="B4049" t="s">
        <v>9732</v>
      </c>
      <c r="C4049" t="s">
        <v>9733</v>
      </c>
      <c r="D4049" t="s">
        <v>20</v>
      </c>
      <c r="E4049" t="s">
        <v>39</v>
      </c>
      <c r="F4049">
        <v>0</v>
      </c>
      <c r="G4049">
        <v>0</v>
      </c>
      <c r="H4049">
        <v>19</v>
      </c>
      <c r="I4049" s="3">
        <v>17782.060000000001</v>
      </c>
      <c r="J4049" s="3">
        <v>17753.98</v>
      </c>
      <c r="L4049">
        <v>338</v>
      </c>
      <c r="M4049" t="s">
        <v>4114</v>
      </c>
      <c r="N4049" t="s">
        <v>30</v>
      </c>
      <c r="O4049" t="s">
        <v>31</v>
      </c>
      <c r="P4049" t="str">
        <f>"15206"</f>
        <v>15206</v>
      </c>
    </row>
    <row r="4050" spans="1:16" x14ac:dyDescent="0.25">
      <c r="A4050" t="str">
        <f>"1110050H00053    00"</f>
        <v>1110050H00053    00</v>
      </c>
      <c r="B4050" t="s">
        <v>9734</v>
      </c>
      <c r="C4050" t="s">
        <v>8007</v>
      </c>
      <c r="D4050" t="s">
        <v>20</v>
      </c>
      <c r="E4050" t="s">
        <v>39</v>
      </c>
      <c r="F4050">
        <v>0</v>
      </c>
      <c r="G4050">
        <v>0</v>
      </c>
      <c r="H4050">
        <v>5</v>
      </c>
      <c r="I4050" s="3">
        <v>74.97</v>
      </c>
      <c r="J4050" s="3">
        <v>13.27</v>
      </c>
      <c r="M4050" t="s">
        <v>9735</v>
      </c>
      <c r="N4050" t="s">
        <v>295</v>
      </c>
      <c r="O4050" t="s">
        <v>31</v>
      </c>
      <c r="P4050" t="str">
        <f>"15146"</f>
        <v>15146</v>
      </c>
    </row>
    <row r="4051" spans="1:16" x14ac:dyDescent="0.25">
      <c r="A4051" t="str">
        <f>"1110050H00061    00"</f>
        <v>1110050H00061    00</v>
      </c>
      <c r="B4051" t="s">
        <v>9736</v>
      </c>
      <c r="C4051" t="s">
        <v>9737</v>
      </c>
      <c r="D4051" t="s">
        <v>20</v>
      </c>
      <c r="E4051" t="s">
        <v>39</v>
      </c>
      <c r="F4051">
        <v>0</v>
      </c>
      <c r="G4051">
        <v>0</v>
      </c>
      <c r="H4051">
        <v>3</v>
      </c>
      <c r="I4051" s="3">
        <v>3555.35</v>
      </c>
      <c r="J4051" s="3">
        <v>248.85</v>
      </c>
      <c r="K4051" t="s">
        <v>1632</v>
      </c>
      <c r="L4051">
        <v>3001</v>
      </c>
      <c r="M4051" t="s">
        <v>330</v>
      </c>
      <c r="N4051" t="s">
        <v>331</v>
      </c>
      <c r="O4051" t="s">
        <v>108</v>
      </c>
      <c r="P4051" t="str">
        <f>"75063"</f>
        <v>75063</v>
      </c>
    </row>
    <row r="4052" spans="1:16" x14ac:dyDescent="0.25">
      <c r="A4052" t="str">
        <f>"1110050H00071    00"</f>
        <v>1110050H00071    00</v>
      </c>
      <c r="B4052" t="s">
        <v>9738</v>
      </c>
      <c r="C4052" t="s">
        <v>9739</v>
      </c>
      <c r="D4052" t="s">
        <v>20</v>
      </c>
      <c r="E4052" t="s">
        <v>39</v>
      </c>
      <c r="F4052">
        <v>0</v>
      </c>
      <c r="G4052">
        <v>0</v>
      </c>
      <c r="H4052">
        <v>1</v>
      </c>
      <c r="I4052" s="3">
        <v>722.38</v>
      </c>
      <c r="J4052" s="3">
        <v>0</v>
      </c>
      <c r="K4052" t="s">
        <v>9740</v>
      </c>
      <c r="L4052">
        <v>402</v>
      </c>
      <c r="M4052" t="s">
        <v>9741</v>
      </c>
      <c r="N4052" t="s">
        <v>30</v>
      </c>
      <c r="O4052" t="s">
        <v>31</v>
      </c>
      <c r="P4052" t="str">
        <f>"15206"</f>
        <v>15206</v>
      </c>
    </row>
    <row r="4053" spans="1:16" x14ac:dyDescent="0.25">
      <c r="A4053" t="str">
        <f>"1110050H00073    00"</f>
        <v>1110050H00073    00</v>
      </c>
      <c r="B4053" t="s">
        <v>9742</v>
      </c>
      <c r="C4053" t="s">
        <v>9743</v>
      </c>
      <c r="D4053" t="s">
        <v>20</v>
      </c>
      <c r="E4053" t="s">
        <v>207</v>
      </c>
      <c r="F4053">
        <v>0</v>
      </c>
      <c r="G4053">
        <v>0</v>
      </c>
      <c r="H4053">
        <v>4</v>
      </c>
      <c r="I4053" s="3">
        <v>60.36</v>
      </c>
      <c r="J4053" s="3">
        <v>0</v>
      </c>
      <c r="K4053" t="s">
        <v>9744</v>
      </c>
      <c r="L4053">
        <v>408</v>
      </c>
      <c r="M4053" t="s">
        <v>9741</v>
      </c>
      <c r="N4053" t="s">
        <v>30</v>
      </c>
      <c r="O4053" t="s">
        <v>31</v>
      </c>
      <c r="P4053" t="str">
        <f>"15206"</f>
        <v>15206</v>
      </c>
    </row>
    <row r="4054" spans="1:16" x14ac:dyDescent="0.25">
      <c r="A4054" t="str">
        <f>"1110050H00076    00"</f>
        <v>1110050H00076    00</v>
      </c>
      <c r="B4054" t="s">
        <v>9745</v>
      </c>
      <c r="C4054" t="s">
        <v>9746</v>
      </c>
      <c r="D4054" t="s">
        <v>20</v>
      </c>
      <c r="E4054" t="s">
        <v>39</v>
      </c>
      <c r="F4054">
        <v>0</v>
      </c>
      <c r="G4054">
        <v>0</v>
      </c>
      <c r="H4054">
        <v>2</v>
      </c>
      <c r="I4054" s="3">
        <v>640.91</v>
      </c>
      <c r="J4054" s="3">
        <v>0</v>
      </c>
      <c r="L4054">
        <v>412</v>
      </c>
      <c r="M4054" t="s">
        <v>9741</v>
      </c>
      <c r="N4054" t="s">
        <v>30</v>
      </c>
      <c r="O4054" t="s">
        <v>31</v>
      </c>
      <c r="P4054" t="str">
        <f>"15206"</f>
        <v>15206</v>
      </c>
    </row>
    <row r="4055" spans="1:16" x14ac:dyDescent="0.25">
      <c r="A4055" t="str">
        <f>"1110050H00077    00"</f>
        <v>1110050H00077    00</v>
      </c>
      <c r="B4055" t="s">
        <v>9747</v>
      </c>
      <c r="C4055" t="s">
        <v>9748</v>
      </c>
      <c r="D4055" t="s">
        <v>20</v>
      </c>
      <c r="E4055" t="s">
        <v>39</v>
      </c>
      <c r="F4055">
        <v>0</v>
      </c>
      <c r="G4055">
        <v>0</v>
      </c>
      <c r="H4055">
        <v>3</v>
      </c>
      <c r="I4055" s="3">
        <v>891.27</v>
      </c>
      <c r="J4055" s="3">
        <v>212.89</v>
      </c>
      <c r="L4055">
        <v>414</v>
      </c>
      <c r="M4055" t="s">
        <v>9741</v>
      </c>
      <c r="N4055" t="s">
        <v>30</v>
      </c>
      <c r="O4055" t="s">
        <v>31</v>
      </c>
      <c r="P4055" t="str">
        <f>"15206"</f>
        <v>15206</v>
      </c>
    </row>
    <row r="4056" spans="1:16" x14ac:dyDescent="0.25">
      <c r="A4056" t="str">
        <f>"1110050H00083    00"</f>
        <v>1110050H00083    00</v>
      </c>
      <c r="B4056" t="s">
        <v>9749</v>
      </c>
      <c r="C4056" t="s">
        <v>9743</v>
      </c>
      <c r="D4056" t="s">
        <v>20</v>
      </c>
      <c r="E4056" t="s">
        <v>39</v>
      </c>
      <c r="F4056">
        <v>0</v>
      </c>
      <c r="G4056">
        <v>0</v>
      </c>
      <c r="H4056">
        <v>19</v>
      </c>
      <c r="I4056" s="3">
        <v>644.20000000000005</v>
      </c>
      <c r="J4056" s="3">
        <v>767.91</v>
      </c>
      <c r="K4056" t="s">
        <v>1008</v>
      </c>
      <c r="P4056" t="str">
        <f>""</f>
        <v/>
      </c>
    </row>
    <row r="4057" spans="1:16" x14ac:dyDescent="0.25">
      <c r="A4057" t="str">
        <f>"1110050H00084    00"</f>
        <v>1110050H00084    00</v>
      </c>
      <c r="B4057" t="s">
        <v>8069</v>
      </c>
      <c r="C4057" t="s">
        <v>9743</v>
      </c>
      <c r="E4057" t="s">
        <v>39</v>
      </c>
      <c r="F4057">
        <v>0</v>
      </c>
      <c r="G4057">
        <v>0</v>
      </c>
      <c r="H4057">
        <v>14</v>
      </c>
      <c r="I4057" s="3">
        <v>1030.6300000000001</v>
      </c>
      <c r="J4057" s="3">
        <v>1015.99</v>
      </c>
      <c r="K4057" t="s">
        <v>9750</v>
      </c>
      <c r="L4057">
        <v>444</v>
      </c>
      <c r="M4057" t="s">
        <v>9741</v>
      </c>
      <c r="N4057" t="s">
        <v>30</v>
      </c>
      <c r="O4057" t="s">
        <v>31</v>
      </c>
      <c r="P4057" t="str">
        <f t="shared" ref="P4057:P4065" si="52">"15206"</f>
        <v>15206</v>
      </c>
    </row>
    <row r="4058" spans="1:16" x14ac:dyDescent="0.25">
      <c r="A4058" t="str">
        <f>"1110050H00085    00"</f>
        <v>1110050H00085    00</v>
      </c>
      <c r="B4058" t="s">
        <v>9751</v>
      </c>
      <c r="C4058" t="s">
        <v>9752</v>
      </c>
      <c r="D4058" t="s">
        <v>20</v>
      </c>
      <c r="E4058" t="s">
        <v>39</v>
      </c>
      <c r="F4058">
        <v>0</v>
      </c>
      <c r="G4058">
        <v>0</v>
      </c>
      <c r="H4058">
        <v>7</v>
      </c>
      <c r="I4058" s="3">
        <v>5524.22</v>
      </c>
      <c r="J4058" s="3">
        <v>1339.01</v>
      </c>
      <c r="L4058">
        <v>5437</v>
      </c>
      <c r="M4058" t="s">
        <v>7845</v>
      </c>
      <c r="N4058" t="s">
        <v>30</v>
      </c>
      <c r="O4058" t="s">
        <v>31</v>
      </c>
      <c r="P4058" t="str">
        <f t="shared" si="52"/>
        <v>15206</v>
      </c>
    </row>
    <row r="4059" spans="1:16" x14ac:dyDescent="0.25">
      <c r="A4059" t="str">
        <f>"1110050H00093    00"</f>
        <v>1110050H00093    00</v>
      </c>
      <c r="B4059" t="s">
        <v>9753</v>
      </c>
      <c r="C4059" t="s">
        <v>9754</v>
      </c>
      <c r="D4059" t="s">
        <v>20</v>
      </c>
      <c r="E4059" t="s">
        <v>39</v>
      </c>
      <c r="F4059">
        <v>0</v>
      </c>
      <c r="G4059">
        <v>0</v>
      </c>
      <c r="H4059">
        <v>2</v>
      </c>
      <c r="I4059" s="3">
        <v>1123.1400000000001</v>
      </c>
      <c r="J4059" s="3">
        <v>0</v>
      </c>
      <c r="L4059">
        <v>5427</v>
      </c>
      <c r="M4059" t="s">
        <v>7845</v>
      </c>
      <c r="N4059" t="s">
        <v>30</v>
      </c>
      <c r="O4059" t="s">
        <v>31</v>
      </c>
      <c r="P4059" t="str">
        <f t="shared" si="52"/>
        <v>15206</v>
      </c>
    </row>
    <row r="4060" spans="1:16" x14ac:dyDescent="0.25">
      <c r="A4060" t="str">
        <f>"1110050H00098    00"</f>
        <v>1110050H00098    00</v>
      </c>
      <c r="B4060" t="s">
        <v>9755</v>
      </c>
      <c r="C4060" t="s">
        <v>9756</v>
      </c>
      <c r="D4060" t="s">
        <v>20</v>
      </c>
      <c r="E4060" t="s">
        <v>39</v>
      </c>
      <c r="F4060">
        <v>0</v>
      </c>
      <c r="G4060">
        <v>0</v>
      </c>
      <c r="H4060">
        <v>2</v>
      </c>
      <c r="I4060" s="3">
        <v>1029.92</v>
      </c>
      <c r="J4060" s="3">
        <v>2.58</v>
      </c>
      <c r="L4060">
        <v>5419</v>
      </c>
      <c r="M4060" t="s">
        <v>7845</v>
      </c>
      <c r="N4060" t="s">
        <v>30</v>
      </c>
      <c r="O4060" t="s">
        <v>31</v>
      </c>
      <c r="P4060" t="str">
        <f t="shared" si="52"/>
        <v>15206</v>
      </c>
    </row>
    <row r="4061" spans="1:16" x14ac:dyDescent="0.25">
      <c r="A4061" t="str">
        <f>"1110050H00118    00"</f>
        <v>1110050H00118    00</v>
      </c>
      <c r="B4061" t="s">
        <v>8069</v>
      </c>
      <c r="C4061" t="s">
        <v>7882</v>
      </c>
      <c r="D4061" t="s">
        <v>20</v>
      </c>
      <c r="E4061" t="s">
        <v>39</v>
      </c>
      <c r="F4061">
        <v>0</v>
      </c>
      <c r="G4061">
        <v>0</v>
      </c>
      <c r="H4061">
        <v>19</v>
      </c>
      <c r="I4061" s="3">
        <v>12560.65</v>
      </c>
      <c r="J4061" s="3">
        <v>8975.2800000000007</v>
      </c>
      <c r="L4061">
        <v>5433</v>
      </c>
      <c r="M4061" t="s">
        <v>7845</v>
      </c>
      <c r="N4061" t="s">
        <v>30</v>
      </c>
      <c r="O4061" t="s">
        <v>31</v>
      </c>
      <c r="P4061" t="str">
        <f t="shared" si="52"/>
        <v>15206</v>
      </c>
    </row>
    <row r="4062" spans="1:16" x14ac:dyDescent="0.25">
      <c r="A4062" t="str">
        <f>"1110050H00120    00"</f>
        <v>1110050H00120    00</v>
      </c>
      <c r="B4062" t="s">
        <v>9757</v>
      </c>
      <c r="C4062" t="s">
        <v>9758</v>
      </c>
      <c r="D4062" t="s">
        <v>20</v>
      </c>
      <c r="E4062" t="s">
        <v>39</v>
      </c>
      <c r="F4062">
        <v>0</v>
      </c>
      <c r="G4062">
        <v>0</v>
      </c>
      <c r="H4062">
        <v>1</v>
      </c>
      <c r="I4062" s="3">
        <v>755.24</v>
      </c>
      <c r="J4062" s="3">
        <v>0</v>
      </c>
      <c r="K4062" t="s">
        <v>9759</v>
      </c>
      <c r="L4062">
        <v>5411</v>
      </c>
      <c r="M4062" t="s">
        <v>7845</v>
      </c>
      <c r="N4062" t="s">
        <v>30</v>
      </c>
      <c r="O4062" t="s">
        <v>31</v>
      </c>
      <c r="P4062" t="str">
        <f t="shared" si="52"/>
        <v>15206</v>
      </c>
    </row>
    <row r="4063" spans="1:16" x14ac:dyDescent="0.25">
      <c r="A4063" t="str">
        <f>"1110050H00122    00"</f>
        <v>1110050H00122    00</v>
      </c>
      <c r="B4063" t="s">
        <v>9760</v>
      </c>
      <c r="C4063" t="s">
        <v>9761</v>
      </c>
      <c r="D4063" t="s">
        <v>20</v>
      </c>
      <c r="E4063" t="s">
        <v>39</v>
      </c>
      <c r="F4063">
        <v>0</v>
      </c>
      <c r="G4063">
        <v>0</v>
      </c>
      <c r="H4063">
        <v>5</v>
      </c>
      <c r="I4063" s="3">
        <v>4564.91</v>
      </c>
      <c r="J4063" s="3">
        <v>818.66</v>
      </c>
      <c r="L4063">
        <v>439</v>
      </c>
      <c r="M4063" t="s">
        <v>9741</v>
      </c>
      <c r="N4063" t="s">
        <v>30</v>
      </c>
      <c r="O4063" t="s">
        <v>31</v>
      </c>
      <c r="P4063" t="str">
        <f t="shared" si="52"/>
        <v>15206</v>
      </c>
    </row>
    <row r="4064" spans="1:16" x14ac:dyDescent="0.25">
      <c r="A4064" t="str">
        <f>"1110050H00124    00"</f>
        <v>1110050H00124    00</v>
      </c>
      <c r="B4064" t="s">
        <v>9762</v>
      </c>
      <c r="C4064" t="s">
        <v>7844</v>
      </c>
      <c r="D4064" t="s">
        <v>20</v>
      </c>
      <c r="E4064" t="s">
        <v>39</v>
      </c>
      <c r="F4064">
        <v>0</v>
      </c>
      <c r="G4064">
        <v>0</v>
      </c>
      <c r="H4064">
        <v>17</v>
      </c>
      <c r="I4064" s="3">
        <v>570.24</v>
      </c>
      <c r="J4064" s="3">
        <v>781.05</v>
      </c>
      <c r="L4064">
        <v>433</v>
      </c>
      <c r="M4064" t="s">
        <v>9741</v>
      </c>
      <c r="N4064" t="s">
        <v>30</v>
      </c>
      <c r="O4064" t="s">
        <v>31</v>
      </c>
      <c r="P4064" t="str">
        <f t="shared" si="52"/>
        <v>15206</v>
      </c>
    </row>
    <row r="4065" spans="1:16" x14ac:dyDescent="0.25">
      <c r="A4065" t="str">
        <f>"1110050H00128    00"</f>
        <v>1110050H00128    00</v>
      </c>
      <c r="B4065" t="s">
        <v>9763</v>
      </c>
      <c r="C4065" t="s">
        <v>9764</v>
      </c>
      <c r="D4065" t="s">
        <v>20</v>
      </c>
      <c r="E4065" t="s">
        <v>39</v>
      </c>
      <c r="F4065">
        <v>0</v>
      </c>
      <c r="G4065">
        <v>0</v>
      </c>
      <c r="H4065">
        <v>2</v>
      </c>
      <c r="I4065" s="3">
        <v>3226.12</v>
      </c>
      <c r="J4065" s="3">
        <v>773.66</v>
      </c>
      <c r="L4065">
        <v>427</v>
      </c>
      <c r="M4065" t="s">
        <v>9741</v>
      </c>
      <c r="N4065" t="s">
        <v>30</v>
      </c>
      <c r="O4065" t="s">
        <v>31</v>
      </c>
      <c r="P4065" t="str">
        <f t="shared" si="52"/>
        <v>15206</v>
      </c>
    </row>
    <row r="4066" spans="1:16" x14ac:dyDescent="0.25">
      <c r="A4066" t="str">
        <f>"1110050H00144    00"</f>
        <v>1110050H00144    00</v>
      </c>
      <c r="B4066" t="s">
        <v>9765</v>
      </c>
      <c r="C4066" t="s">
        <v>9766</v>
      </c>
      <c r="D4066" t="s">
        <v>20</v>
      </c>
      <c r="E4066" t="s">
        <v>39</v>
      </c>
      <c r="F4066">
        <v>0</v>
      </c>
      <c r="G4066">
        <v>0</v>
      </c>
      <c r="H4066">
        <v>1</v>
      </c>
      <c r="I4066" s="3">
        <v>19.059999999999999</v>
      </c>
      <c r="J4066" s="3">
        <v>0</v>
      </c>
      <c r="K4066" t="s">
        <v>7920</v>
      </c>
      <c r="L4066">
        <v>740</v>
      </c>
      <c r="M4066" t="s">
        <v>7921</v>
      </c>
      <c r="N4066" t="s">
        <v>526</v>
      </c>
      <c r="O4066" t="s">
        <v>527</v>
      </c>
      <c r="P4066" t="str">
        <f>"20005"</f>
        <v>20005</v>
      </c>
    </row>
    <row r="4067" spans="1:16" x14ac:dyDescent="0.25">
      <c r="A4067" t="str">
        <f>"1110050M00124    00"</f>
        <v>1110050M00124    00</v>
      </c>
      <c r="B4067" t="s">
        <v>9767</v>
      </c>
      <c r="C4067" t="s">
        <v>9768</v>
      </c>
      <c r="E4067" t="s">
        <v>39</v>
      </c>
      <c r="F4067">
        <v>0</v>
      </c>
      <c r="G4067">
        <v>0</v>
      </c>
      <c r="H4067">
        <v>1</v>
      </c>
      <c r="I4067" s="3">
        <v>214.47</v>
      </c>
      <c r="J4067" s="3">
        <v>64.34</v>
      </c>
      <c r="L4067">
        <v>109</v>
      </c>
      <c r="M4067" t="s">
        <v>9741</v>
      </c>
      <c r="N4067" t="s">
        <v>30</v>
      </c>
      <c r="O4067" t="s">
        <v>31</v>
      </c>
      <c r="P4067" t="str">
        <f>"15206"</f>
        <v>15206</v>
      </c>
    </row>
    <row r="4068" spans="1:16" x14ac:dyDescent="0.25">
      <c r="A4068" t="str">
        <f>"1110050M00142    00"</f>
        <v>1110050M00142    00</v>
      </c>
      <c r="B4068" t="s">
        <v>9769</v>
      </c>
      <c r="C4068" t="s">
        <v>9770</v>
      </c>
      <c r="D4068" t="s">
        <v>20</v>
      </c>
      <c r="E4068" t="s">
        <v>39</v>
      </c>
      <c r="F4068">
        <v>0</v>
      </c>
      <c r="G4068">
        <v>0</v>
      </c>
      <c r="H4068">
        <v>4</v>
      </c>
      <c r="I4068" s="3">
        <v>3966.55</v>
      </c>
      <c r="J4068" s="3">
        <v>377.06</v>
      </c>
      <c r="L4068">
        <v>2700</v>
      </c>
      <c r="M4068" t="s">
        <v>9771</v>
      </c>
      <c r="N4068" t="s">
        <v>526</v>
      </c>
      <c r="O4068" t="s">
        <v>31</v>
      </c>
      <c r="P4068" t="str">
        <f>"15301"</f>
        <v>15301</v>
      </c>
    </row>
    <row r="4069" spans="1:16" x14ac:dyDescent="0.25">
      <c r="A4069" t="str">
        <f>"1110050M00145    00"</f>
        <v>1110050M00145    00</v>
      </c>
      <c r="B4069" t="s">
        <v>9772</v>
      </c>
      <c r="C4069" t="s">
        <v>9773</v>
      </c>
      <c r="D4069" t="s">
        <v>20</v>
      </c>
      <c r="E4069" t="s">
        <v>39</v>
      </c>
      <c r="F4069">
        <v>0</v>
      </c>
      <c r="G4069">
        <v>0</v>
      </c>
      <c r="H4069">
        <v>2</v>
      </c>
      <c r="I4069" s="3">
        <v>3170.14</v>
      </c>
      <c r="J4069" s="3">
        <v>0</v>
      </c>
      <c r="M4069" t="s">
        <v>9774</v>
      </c>
      <c r="N4069" t="s">
        <v>30</v>
      </c>
      <c r="O4069" t="s">
        <v>31</v>
      </c>
      <c r="P4069" t="str">
        <f>"15232"</f>
        <v>15232</v>
      </c>
    </row>
    <row r="4070" spans="1:16" x14ac:dyDescent="0.25">
      <c r="A4070" t="str">
        <f>"1110050M00149    00"</f>
        <v>1110050M00149    00</v>
      </c>
      <c r="B4070" t="s">
        <v>9775</v>
      </c>
      <c r="C4070" t="s">
        <v>9776</v>
      </c>
      <c r="D4070" t="s">
        <v>20</v>
      </c>
      <c r="E4070" t="s">
        <v>39</v>
      </c>
      <c r="F4070">
        <v>0</v>
      </c>
      <c r="G4070">
        <v>0</v>
      </c>
      <c r="H4070">
        <v>4</v>
      </c>
      <c r="I4070" s="3">
        <v>1139.0999999999999</v>
      </c>
      <c r="J4070" s="3">
        <v>134.56</v>
      </c>
      <c r="L4070">
        <v>344</v>
      </c>
      <c r="M4070" t="s">
        <v>9777</v>
      </c>
      <c r="N4070" t="s">
        <v>9778</v>
      </c>
      <c r="O4070" t="s">
        <v>423</v>
      </c>
      <c r="P4070" t="str">
        <f>"07302"</f>
        <v>07302</v>
      </c>
    </row>
    <row r="4071" spans="1:16" x14ac:dyDescent="0.25">
      <c r="A4071" t="str">
        <f>"1110050M00163    00"</f>
        <v>1110050M00163    00</v>
      </c>
      <c r="B4071" t="s">
        <v>9779</v>
      </c>
      <c r="C4071" t="s">
        <v>9780</v>
      </c>
      <c r="D4071" t="s">
        <v>20</v>
      </c>
      <c r="E4071" t="s">
        <v>39</v>
      </c>
      <c r="F4071">
        <v>0</v>
      </c>
      <c r="G4071">
        <v>0</v>
      </c>
      <c r="H4071">
        <v>6</v>
      </c>
      <c r="I4071" s="3">
        <v>2830.05</v>
      </c>
      <c r="J4071" s="3">
        <v>945.75</v>
      </c>
      <c r="K4071" t="s">
        <v>9781</v>
      </c>
      <c r="L4071">
        <v>1301</v>
      </c>
      <c r="M4071" t="s">
        <v>9782</v>
      </c>
      <c r="N4071" t="s">
        <v>30</v>
      </c>
      <c r="O4071" t="s">
        <v>31</v>
      </c>
      <c r="P4071" t="str">
        <f>"15226"</f>
        <v>15226</v>
      </c>
    </row>
    <row r="4072" spans="1:16" x14ac:dyDescent="0.25">
      <c r="A4072" t="str">
        <f>"1110050M00167    00"</f>
        <v>1110050M00167    00</v>
      </c>
      <c r="B4072" t="s">
        <v>1997</v>
      </c>
      <c r="C4072" t="s">
        <v>9783</v>
      </c>
      <c r="E4072" t="s">
        <v>207</v>
      </c>
      <c r="F4072">
        <v>0</v>
      </c>
      <c r="G4072">
        <v>0</v>
      </c>
      <c r="H4072">
        <v>11</v>
      </c>
      <c r="I4072" s="3">
        <v>8541.1</v>
      </c>
      <c r="J4072" s="3">
        <v>10543.08</v>
      </c>
      <c r="L4072">
        <v>412</v>
      </c>
      <c r="M4072" t="s">
        <v>8136</v>
      </c>
      <c r="N4072" t="s">
        <v>30</v>
      </c>
      <c r="O4072" t="s">
        <v>31</v>
      </c>
      <c r="P4072" t="str">
        <f>"15219"</f>
        <v>15219</v>
      </c>
    </row>
    <row r="4073" spans="1:16" x14ac:dyDescent="0.25">
      <c r="A4073" t="str">
        <f>"1110050M00169    00"</f>
        <v>1110050M00169    00</v>
      </c>
      <c r="B4073" t="s">
        <v>9784</v>
      </c>
      <c r="C4073" t="s">
        <v>7914</v>
      </c>
      <c r="D4073" t="s">
        <v>20</v>
      </c>
      <c r="E4073" t="s">
        <v>39</v>
      </c>
      <c r="F4073">
        <v>0</v>
      </c>
      <c r="G4073">
        <v>0</v>
      </c>
      <c r="H4073">
        <v>19</v>
      </c>
      <c r="I4073" s="3">
        <v>593.19000000000005</v>
      </c>
      <c r="J4073" s="3">
        <v>701.44</v>
      </c>
      <c r="L4073">
        <v>5309</v>
      </c>
      <c r="M4073" t="s">
        <v>7945</v>
      </c>
      <c r="N4073" t="s">
        <v>30</v>
      </c>
      <c r="O4073" t="s">
        <v>31</v>
      </c>
      <c r="P4073" t="str">
        <f>"15224"</f>
        <v>15224</v>
      </c>
    </row>
    <row r="4074" spans="1:16" x14ac:dyDescent="0.25">
      <c r="A4074" t="str">
        <f>"1110050M00170    00"</f>
        <v>1110050M00170    00</v>
      </c>
      <c r="B4074" t="s">
        <v>9785</v>
      </c>
      <c r="C4074" t="s">
        <v>9786</v>
      </c>
      <c r="D4074" t="s">
        <v>20</v>
      </c>
      <c r="E4074" t="s">
        <v>39</v>
      </c>
      <c r="F4074">
        <v>0</v>
      </c>
      <c r="G4074">
        <v>0</v>
      </c>
      <c r="H4074">
        <v>6</v>
      </c>
      <c r="I4074" s="3">
        <v>7694.86</v>
      </c>
      <c r="J4074" s="3">
        <v>1556.08</v>
      </c>
      <c r="L4074">
        <v>225</v>
      </c>
      <c r="M4074" t="s">
        <v>9741</v>
      </c>
      <c r="N4074" t="s">
        <v>30</v>
      </c>
      <c r="O4074" t="s">
        <v>31</v>
      </c>
      <c r="P4074" t="str">
        <f>"15206"</f>
        <v>15206</v>
      </c>
    </row>
    <row r="4075" spans="1:16" x14ac:dyDescent="0.25">
      <c r="A4075" t="str">
        <f>"1110050M00172    00"</f>
        <v>1110050M00172    00</v>
      </c>
      <c r="B4075" t="s">
        <v>9787</v>
      </c>
      <c r="C4075" t="s">
        <v>9788</v>
      </c>
      <c r="D4075" t="s">
        <v>20</v>
      </c>
      <c r="E4075" t="s">
        <v>39</v>
      </c>
      <c r="F4075">
        <v>0</v>
      </c>
      <c r="G4075">
        <v>0</v>
      </c>
      <c r="H4075">
        <v>3</v>
      </c>
      <c r="I4075" s="3">
        <v>1736.98</v>
      </c>
      <c r="J4075" s="3">
        <v>89.51</v>
      </c>
      <c r="L4075">
        <v>225</v>
      </c>
      <c r="M4075" t="s">
        <v>9741</v>
      </c>
      <c r="N4075" t="s">
        <v>30</v>
      </c>
      <c r="O4075" t="s">
        <v>31</v>
      </c>
      <c r="P4075" t="str">
        <f>"15206"</f>
        <v>15206</v>
      </c>
    </row>
    <row r="4076" spans="1:16" x14ac:dyDescent="0.25">
      <c r="A4076" t="str">
        <f>"1110050M00178    00"</f>
        <v>1110050M00178    00</v>
      </c>
      <c r="B4076" t="s">
        <v>9789</v>
      </c>
      <c r="C4076" t="s">
        <v>9790</v>
      </c>
      <c r="E4076" t="s">
        <v>39</v>
      </c>
      <c r="F4076">
        <v>0</v>
      </c>
      <c r="G4076">
        <v>0</v>
      </c>
      <c r="H4076">
        <v>2</v>
      </c>
      <c r="I4076" s="3">
        <v>39.979999999999997</v>
      </c>
      <c r="J4076" s="3">
        <v>1.33</v>
      </c>
      <c r="K4076" t="s">
        <v>9791</v>
      </c>
      <c r="L4076">
        <v>239</v>
      </c>
      <c r="M4076" t="s">
        <v>9741</v>
      </c>
      <c r="N4076" t="s">
        <v>30</v>
      </c>
      <c r="O4076" t="s">
        <v>31</v>
      </c>
      <c r="P4076" t="str">
        <f>"15206"</f>
        <v>15206</v>
      </c>
    </row>
    <row r="4077" spans="1:16" x14ac:dyDescent="0.25">
      <c r="A4077" t="str">
        <f>"1110050M00184    00"</f>
        <v>1110050M00184    00</v>
      </c>
      <c r="B4077" t="s">
        <v>9792</v>
      </c>
      <c r="C4077" t="s">
        <v>9793</v>
      </c>
      <c r="D4077" t="s">
        <v>20</v>
      </c>
      <c r="E4077" t="s">
        <v>39</v>
      </c>
      <c r="F4077">
        <v>0</v>
      </c>
      <c r="G4077">
        <v>0</v>
      </c>
      <c r="H4077">
        <v>3</v>
      </c>
      <c r="I4077" s="3">
        <v>1228.25</v>
      </c>
      <c r="J4077" s="3">
        <v>3.9</v>
      </c>
      <c r="L4077">
        <v>230</v>
      </c>
      <c r="M4077" t="s">
        <v>4114</v>
      </c>
      <c r="N4077" t="s">
        <v>30</v>
      </c>
      <c r="O4077" t="s">
        <v>31</v>
      </c>
      <c r="P4077" t="str">
        <f>"15206"</f>
        <v>15206</v>
      </c>
    </row>
    <row r="4078" spans="1:16" x14ac:dyDescent="0.25">
      <c r="A4078" t="str">
        <f>"1110050M00185    00"</f>
        <v>1110050M00185    00</v>
      </c>
      <c r="B4078" t="s">
        <v>9794</v>
      </c>
      <c r="C4078" t="s">
        <v>9795</v>
      </c>
      <c r="D4078" t="s">
        <v>20</v>
      </c>
      <c r="E4078" t="s">
        <v>39</v>
      </c>
      <c r="F4078">
        <v>0</v>
      </c>
      <c r="G4078">
        <v>0</v>
      </c>
      <c r="H4078">
        <v>1</v>
      </c>
      <c r="I4078" s="3">
        <v>1469.54</v>
      </c>
      <c r="J4078" s="3">
        <v>0</v>
      </c>
      <c r="L4078">
        <v>232</v>
      </c>
      <c r="M4078" t="s">
        <v>4114</v>
      </c>
      <c r="N4078" t="s">
        <v>30</v>
      </c>
      <c r="O4078" t="s">
        <v>31</v>
      </c>
      <c r="P4078" t="str">
        <f>"15206"</f>
        <v>15206</v>
      </c>
    </row>
    <row r="4079" spans="1:16" x14ac:dyDescent="0.25">
      <c r="A4079" t="str">
        <f>"1110050M00187    00"</f>
        <v>1110050M00187    00</v>
      </c>
      <c r="B4079" t="s">
        <v>9796</v>
      </c>
      <c r="C4079" t="s">
        <v>9797</v>
      </c>
      <c r="D4079" t="s">
        <v>20</v>
      </c>
      <c r="E4079" t="s">
        <v>39</v>
      </c>
      <c r="F4079">
        <v>0</v>
      </c>
      <c r="G4079">
        <v>0</v>
      </c>
      <c r="H4079">
        <v>3</v>
      </c>
      <c r="I4079" s="3">
        <v>806.45</v>
      </c>
      <c r="J4079" s="3">
        <v>8.81</v>
      </c>
      <c r="K4079" t="s">
        <v>9798</v>
      </c>
      <c r="L4079">
        <v>5359</v>
      </c>
      <c r="M4079" t="s">
        <v>2901</v>
      </c>
      <c r="N4079" t="s">
        <v>30</v>
      </c>
      <c r="O4079" t="s">
        <v>31</v>
      </c>
      <c r="P4079" t="str">
        <f>"15224"</f>
        <v>15224</v>
      </c>
    </row>
    <row r="4080" spans="1:16" x14ac:dyDescent="0.25">
      <c r="A4080" t="str">
        <f>"1110050M00188    00"</f>
        <v>1110050M00188    00</v>
      </c>
      <c r="B4080" t="s">
        <v>9796</v>
      </c>
      <c r="C4080" t="s">
        <v>7882</v>
      </c>
      <c r="D4080" t="s">
        <v>20</v>
      </c>
      <c r="E4080" t="s">
        <v>39</v>
      </c>
      <c r="F4080">
        <v>0</v>
      </c>
      <c r="G4080">
        <v>0</v>
      </c>
      <c r="H4080">
        <v>3</v>
      </c>
      <c r="I4080" s="3">
        <v>68.61</v>
      </c>
      <c r="J4080" s="3">
        <v>4.57</v>
      </c>
      <c r="K4080" t="s">
        <v>9798</v>
      </c>
      <c r="L4080">
        <v>5359</v>
      </c>
      <c r="M4080" t="s">
        <v>2901</v>
      </c>
      <c r="N4080" t="s">
        <v>30</v>
      </c>
      <c r="O4080" t="s">
        <v>31</v>
      </c>
      <c r="P4080" t="str">
        <f>"15224"</f>
        <v>15224</v>
      </c>
    </row>
    <row r="4081" spans="1:16" x14ac:dyDescent="0.25">
      <c r="A4081" t="str">
        <f>"1110050M00193    00"</f>
        <v>1110050M00193    00</v>
      </c>
      <c r="B4081" t="s">
        <v>8001</v>
      </c>
      <c r="C4081" t="s">
        <v>7882</v>
      </c>
      <c r="E4081" t="s">
        <v>39</v>
      </c>
      <c r="F4081">
        <v>0</v>
      </c>
      <c r="G4081">
        <v>0</v>
      </c>
      <c r="H4081">
        <v>6</v>
      </c>
      <c r="I4081" s="3">
        <v>254.38</v>
      </c>
      <c r="J4081" s="3">
        <v>319.57</v>
      </c>
      <c r="K4081" t="s">
        <v>8003</v>
      </c>
      <c r="L4081">
        <v>5325</v>
      </c>
      <c r="M4081" t="s">
        <v>585</v>
      </c>
      <c r="N4081" t="s">
        <v>30</v>
      </c>
      <c r="O4081" t="s">
        <v>31</v>
      </c>
      <c r="P4081" t="str">
        <f>"15224"</f>
        <v>15224</v>
      </c>
    </row>
    <row r="4082" spans="1:16" x14ac:dyDescent="0.25">
      <c r="A4082" t="str">
        <f>"1110050M00195    00"</f>
        <v>1110050M00195    00</v>
      </c>
      <c r="B4082" t="s">
        <v>9799</v>
      </c>
      <c r="C4082" t="s">
        <v>9800</v>
      </c>
      <c r="D4082" t="s">
        <v>20</v>
      </c>
      <c r="E4082" t="s">
        <v>39</v>
      </c>
      <c r="F4082">
        <v>0</v>
      </c>
      <c r="G4082">
        <v>0</v>
      </c>
      <c r="H4082">
        <v>2</v>
      </c>
      <c r="I4082" s="3">
        <v>767.1</v>
      </c>
      <c r="J4082" s="3">
        <v>0</v>
      </c>
      <c r="K4082" t="s">
        <v>9801</v>
      </c>
      <c r="L4082">
        <v>310</v>
      </c>
      <c r="M4082" t="s">
        <v>4114</v>
      </c>
      <c r="N4082" t="s">
        <v>30</v>
      </c>
      <c r="O4082" t="s">
        <v>31</v>
      </c>
      <c r="P4082" t="str">
        <f>"15206"</f>
        <v>15206</v>
      </c>
    </row>
    <row r="4083" spans="1:16" x14ac:dyDescent="0.25">
      <c r="A4083" t="str">
        <f>"1110050M00196    00"</f>
        <v>1110050M00196    00</v>
      </c>
      <c r="B4083" t="s">
        <v>9802</v>
      </c>
      <c r="C4083" t="s">
        <v>9803</v>
      </c>
      <c r="D4083" t="s">
        <v>20</v>
      </c>
      <c r="E4083" t="s">
        <v>39</v>
      </c>
      <c r="F4083">
        <v>0</v>
      </c>
      <c r="G4083">
        <v>0</v>
      </c>
      <c r="H4083">
        <v>2</v>
      </c>
      <c r="I4083" s="3">
        <v>946.07</v>
      </c>
      <c r="J4083" s="3">
        <v>7.05</v>
      </c>
      <c r="L4083">
        <v>312</v>
      </c>
      <c r="M4083" t="s">
        <v>4114</v>
      </c>
      <c r="N4083" t="s">
        <v>30</v>
      </c>
      <c r="O4083" t="s">
        <v>31</v>
      </c>
      <c r="P4083" t="str">
        <f>"15206"</f>
        <v>15206</v>
      </c>
    </row>
    <row r="4084" spans="1:16" x14ac:dyDescent="0.25">
      <c r="A4084" t="str">
        <f>"1110050M00200    00"</f>
        <v>1110050M00200    00</v>
      </c>
      <c r="B4084" t="s">
        <v>9804</v>
      </c>
      <c r="C4084" t="s">
        <v>9805</v>
      </c>
      <c r="D4084" t="s">
        <v>20</v>
      </c>
      <c r="E4084" t="s">
        <v>39</v>
      </c>
      <c r="F4084">
        <v>0</v>
      </c>
      <c r="G4084">
        <v>0</v>
      </c>
      <c r="H4084">
        <v>6</v>
      </c>
      <c r="I4084" s="3">
        <v>6367.85</v>
      </c>
      <c r="J4084" s="3">
        <v>1354.43</v>
      </c>
      <c r="L4084">
        <v>223</v>
      </c>
      <c r="M4084" t="s">
        <v>9741</v>
      </c>
      <c r="N4084" t="s">
        <v>30</v>
      </c>
      <c r="O4084" t="s">
        <v>31</v>
      </c>
      <c r="P4084" t="str">
        <f>"15206"</f>
        <v>15206</v>
      </c>
    </row>
    <row r="4085" spans="1:16" x14ac:dyDescent="0.25">
      <c r="A4085" t="str">
        <f>"1110050M00203    00"</f>
        <v>1110050M00203    00</v>
      </c>
      <c r="B4085" t="s">
        <v>9806</v>
      </c>
      <c r="C4085" t="s">
        <v>9807</v>
      </c>
      <c r="E4085" t="s">
        <v>39</v>
      </c>
      <c r="F4085">
        <v>0</v>
      </c>
      <c r="G4085">
        <v>0</v>
      </c>
      <c r="H4085">
        <v>1</v>
      </c>
      <c r="I4085" s="3">
        <v>360.28</v>
      </c>
      <c r="J4085" s="3">
        <v>54.04</v>
      </c>
      <c r="K4085" t="s">
        <v>9808</v>
      </c>
      <c r="L4085">
        <v>2700</v>
      </c>
      <c r="M4085" t="s">
        <v>9809</v>
      </c>
      <c r="N4085" t="s">
        <v>24</v>
      </c>
      <c r="O4085" t="s">
        <v>25</v>
      </c>
      <c r="P4085" t="str">
        <f>"43231"</f>
        <v>43231</v>
      </c>
    </row>
    <row r="4086" spans="1:16" x14ac:dyDescent="0.25">
      <c r="A4086" t="str">
        <f>"1110050M00205    00"</f>
        <v>1110050M00205    00</v>
      </c>
      <c r="B4086" t="s">
        <v>9810</v>
      </c>
      <c r="C4086" t="s">
        <v>9811</v>
      </c>
      <c r="D4086" t="s">
        <v>20</v>
      </c>
      <c r="E4086" t="s">
        <v>39</v>
      </c>
      <c r="F4086">
        <v>0</v>
      </c>
      <c r="G4086">
        <v>0</v>
      </c>
      <c r="H4086">
        <v>7</v>
      </c>
      <c r="I4086" s="3">
        <v>3597.78</v>
      </c>
      <c r="J4086" s="3">
        <v>2642.55</v>
      </c>
      <c r="L4086">
        <v>311</v>
      </c>
      <c r="M4086" t="s">
        <v>9741</v>
      </c>
      <c r="N4086" t="s">
        <v>30</v>
      </c>
      <c r="O4086" t="s">
        <v>31</v>
      </c>
      <c r="P4086" t="str">
        <f>"15206"</f>
        <v>15206</v>
      </c>
    </row>
    <row r="4087" spans="1:16" x14ac:dyDescent="0.25">
      <c r="A4087" t="str">
        <f>"1110050M00218    00"</f>
        <v>1110050M00218    00</v>
      </c>
      <c r="B4087" t="s">
        <v>9812</v>
      </c>
      <c r="C4087" t="s">
        <v>9813</v>
      </c>
      <c r="E4087" t="s">
        <v>39</v>
      </c>
      <c r="F4087">
        <v>0</v>
      </c>
      <c r="G4087">
        <v>0</v>
      </c>
      <c r="H4087">
        <v>3</v>
      </c>
      <c r="I4087" s="3">
        <v>3219.42</v>
      </c>
      <c r="J4087" s="3">
        <v>71.349999999999994</v>
      </c>
      <c r="K4087" t="s">
        <v>9814</v>
      </c>
      <c r="L4087">
        <v>3427</v>
      </c>
      <c r="M4087" t="s">
        <v>9815</v>
      </c>
      <c r="N4087" t="s">
        <v>9816</v>
      </c>
      <c r="O4087" t="s">
        <v>273</v>
      </c>
      <c r="P4087" t="str">
        <f>"29418"</f>
        <v>29418</v>
      </c>
    </row>
    <row r="4088" spans="1:16" x14ac:dyDescent="0.25">
      <c r="A4088" t="str">
        <f>"1110050M00223    00"</f>
        <v>1110050M00223    00</v>
      </c>
      <c r="B4088" t="s">
        <v>9817</v>
      </c>
      <c r="C4088" t="s">
        <v>7960</v>
      </c>
      <c r="D4088" t="s">
        <v>20</v>
      </c>
      <c r="E4088" t="s">
        <v>39</v>
      </c>
      <c r="F4088">
        <v>0</v>
      </c>
      <c r="G4088">
        <v>0</v>
      </c>
      <c r="H4088">
        <v>1</v>
      </c>
      <c r="I4088" s="3">
        <v>665.2</v>
      </c>
      <c r="J4088" s="3">
        <v>0</v>
      </c>
      <c r="K4088" t="s">
        <v>9818</v>
      </c>
      <c r="L4088">
        <v>5445</v>
      </c>
      <c r="M4088" t="s">
        <v>7962</v>
      </c>
      <c r="N4088" t="s">
        <v>30</v>
      </c>
      <c r="O4088" t="s">
        <v>31</v>
      </c>
      <c r="P4088" t="str">
        <f>"15206"</f>
        <v>15206</v>
      </c>
    </row>
    <row r="4089" spans="1:16" x14ac:dyDescent="0.25">
      <c r="A4089" t="str">
        <f>"1110050M00231    00"</f>
        <v>1110050M00231    00</v>
      </c>
      <c r="B4089" t="s">
        <v>9819</v>
      </c>
      <c r="C4089" t="s">
        <v>9820</v>
      </c>
      <c r="D4089" t="s">
        <v>20</v>
      </c>
      <c r="E4089" t="s">
        <v>39</v>
      </c>
      <c r="F4089">
        <v>0</v>
      </c>
      <c r="G4089">
        <v>0</v>
      </c>
      <c r="H4089">
        <v>9</v>
      </c>
      <c r="I4089" s="3">
        <v>6045.36</v>
      </c>
      <c r="J4089" s="3">
        <v>2087.5</v>
      </c>
      <c r="K4089" t="s">
        <v>9821</v>
      </c>
      <c r="L4089">
        <v>5454</v>
      </c>
      <c r="M4089" t="s">
        <v>7962</v>
      </c>
      <c r="N4089" t="s">
        <v>30</v>
      </c>
      <c r="O4089" t="s">
        <v>31</v>
      </c>
      <c r="P4089" t="str">
        <f>"15206"</f>
        <v>15206</v>
      </c>
    </row>
    <row r="4090" spans="1:16" x14ac:dyDescent="0.25">
      <c r="A4090" t="str">
        <f>"1110050M00233    00"</f>
        <v>1110050M00233    00</v>
      </c>
      <c r="B4090" t="s">
        <v>7852</v>
      </c>
      <c r="C4090" t="s">
        <v>9822</v>
      </c>
      <c r="D4090" t="s">
        <v>20</v>
      </c>
      <c r="E4090" t="s">
        <v>39</v>
      </c>
      <c r="F4090">
        <v>0</v>
      </c>
      <c r="G4090">
        <v>0</v>
      </c>
      <c r="H4090">
        <v>2</v>
      </c>
      <c r="I4090" s="3">
        <v>2786.6</v>
      </c>
      <c r="J4090" s="3">
        <v>0</v>
      </c>
      <c r="K4090" t="s">
        <v>9823</v>
      </c>
      <c r="L4090">
        <v>4826</v>
      </c>
      <c r="M4090" t="s">
        <v>7873</v>
      </c>
      <c r="N4090" t="s">
        <v>30</v>
      </c>
      <c r="O4090" t="s">
        <v>31</v>
      </c>
      <c r="P4090" t="str">
        <f>"15224"</f>
        <v>15224</v>
      </c>
    </row>
    <row r="4091" spans="1:16" x14ac:dyDescent="0.25">
      <c r="A4091" t="str">
        <f>"1110050M00244    00"</f>
        <v>1110050M00244    00</v>
      </c>
      <c r="B4091" t="s">
        <v>9824</v>
      </c>
      <c r="C4091" t="s">
        <v>9825</v>
      </c>
      <c r="D4091" t="s">
        <v>20</v>
      </c>
      <c r="E4091" t="s">
        <v>39</v>
      </c>
      <c r="F4091">
        <v>0</v>
      </c>
      <c r="G4091">
        <v>0</v>
      </c>
      <c r="H4091">
        <v>4</v>
      </c>
      <c r="I4091" s="3">
        <v>4359.0200000000004</v>
      </c>
      <c r="J4091" s="3">
        <v>514.91999999999996</v>
      </c>
      <c r="L4091">
        <v>215</v>
      </c>
      <c r="M4091" t="s">
        <v>9826</v>
      </c>
      <c r="N4091" t="s">
        <v>30</v>
      </c>
      <c r="O4091" t="s">
        <v>31</v>
      </c>
      <c r="P4091" t="str">
        <f>"15235"</f>
        <v>15235</v>
      </c>
    </row>
    <row r="4092" spans="1:16" x14ac:dyDescent="0.25">
      <c r="A4092" t="str">
        <f>"1110050M00257    00"</f>
        <v>1110050M00257    00</v>
      </c>
      <c r="B4092" t="s">
        <v>9827</v>
      </c>
      <c r="C4092" t="s">
        <v>9828</v>
      </c>
      <c r="E4092" t="s">
        <v>39</v>
      </c>
      <c r="F4092">
        <v>0</v>
      </c>
      <c r="G4092">
        <v>0</v>
      </c>
      <c r="H4092">
        <v>1</v>
      </c>
      <c r="I4092" s="3">
        <v>96.64</v>
      </c>
      <c r="J4092" s="3">
        <v>47.51</v>
      </c>
      <c r="L4092">
        <v>5445</v>
      </c>
      <c r="M4092" t="s">
        <v>7908</v>
      </c>
      <c r="N4092" t="s">
        <v>30</v>
      </c>
      <c r="O4092" t="s">
        <v>31</v>
      </c>
      <c r="P4092" t="str">
        <f>"15206"</f>
        <v>15206</v>
      </c>
    </row>
    <row r="4093" spans="1:16" x14ac:dyDescent="0.25">
      <c r="A4093" t="str">
        <f>"1110050M00263    00"</f>
        <v>1110050M00263    00</v>
      </c>
      <c r="B4093" t="s">
        <v>9829</v>
      </c>
      <c r="C4093" t="s">
        <v>7914</v>
      </c>
      <c r="D4093" t="s">
        <v>20</v>
      </c>
      <c r="E4093" t="s">
        <v>39</v>
      </c>
      <c r="F4093">
        <v>0</v>
      </c>
      <c r="G4093">
        <v>0</v>
      </c>
      <c r="H4093">
        <v>1</v>
      </c>
      <c r="I4093" s="3">
        <v>64.8</v>
      </c>
      <c r="J4093" s="3">
        <v>0</v>
      </c>
      <c r="K4093" t="s">
        <v>9830</v>
      </c>
      <c r="L4093">
        <v>5456</v>
      </c>
      <c r="M4093" t="s">
        <v>7908</v>
      </c>
      <c r="N4093" t="s">
        <v>30</v>
      </c>
      <c r="O4093" t="s">
        <v>31</v>
      </c>
      <c r="P4093" t="str">
        <f>"15206"</f>
        <v>15206</v>
      </c>
    </row>
    <row r="4094" spans="1:16" x14ac:dyDescent="0.25">
      <c r="A4094" t="str">
        <f>"1110050M00267    00"</f>
        <v>1110050M00267    00</v>
      </c>
      <c r="B4094" t="s">
        <v>9831</v>
      </c>
      <c r="C4094" t="s">
        <v>9832</v>
      </c>
      <c r="E4094" t="s">
        <v>39</v>
      </c>
      <c r="F4094">
        <v>0</v>
      </c>
      <c r="G4094">
        <v>0</v>
      </c>
      <c r="H4094">
        <v>1</v>
      </c>
      <c r="I4094" s="3">
        <v>1298.04</v>
      </c>
      <c r="J4094" s="3">
        <v>568.97</v>
      </c>
      <c r="L4094">
        <v>5446</v>
      </c>
      <c r="M4094" t="s">
        <v>7908</v>
      </c>
      <c r="N4094" t="s">
        <v>30</v>
      </c>
      <c r="O4094" t="s">
        <v>31</v>
      </c>
      <c r="P4094" t="str">
        <f>"15206"</f>
        <v>15206</v>
      </c>
    </row>
    <row r="4095" spans="1:16" x14ac:dyDescent="0.25">
      <c r="A4095" t="str">
        <f>"1110050M00271    00"</f>
        <v>1110050M00271    00</v>
      </c>
      <c r="B4095" t="s">
        <v>9833</v>
      </c>
      <c r="C4095" t="s">
        <v>9834</v>
      </c>
      <c r="D4095" t="s">
        <v>20</v>
      </c>
      <c r="E4095" t="s">
        <v>39</v>
      </c>
      <c r="F4095">
        <v>0</v>
      </c>
      <c r="G4095">
        <v>0</v>
      </c>
      <c r="H4095">
        <v>1</v>
      </c>
      <c r="I4095" s="3">
        <v>869.61</v>
      </c>
      <c r="J4095" s="3">
        <v>0</v>
      </c>
      <c r="L4095">
        <v>5438</v>
      </c>
      <c r="M4095" t="s">
        <v>7908</v>
      </c>
      <c r="N4095" t="s">
        <v>30</v>
      </c>
      <c r="O4095" t="s">
        <v>31</v>
      </c>
      <c r="P4095" t="str">
        <f>"15206"</f>
        <v>15206</v>
      </c>
    </row>
    <row r="4096" spans="1:16" x14ac:dyDescent="0.25">
      <c r="A4096" t="str">
        <f>"1110050M00272    00"</f>
        <v>1110050M00272    00</v>
      </c>
      <c r="B4096" t="s">
        <v>9835</v>
      </c>
      <c r="C4096" t="s">
        <v>9834</v>
      </c>
      <c r="D4096" t="s">
        <v>20</v>
      </c>
      <c r="E4096" t="s">
        <v>39</v>
      </c>
      <c r="F4096">
        <v>0</v>
      </c>
      <c r="G4096">
        <v>0</v>
      </c>
      <c r="H4096">
        <v>1</v>
      </c>
      <c r="I4096" s="3">
        <v>617.54</v>
      </c>
      <c r="J4096" s="3">
        <v>0</v>
      </c>
      <c r="L4096">
        <v>5438</v>
      </c>
      <c r="M4096" t="s">
        <v>7908</v>
      </c>
      <c r="N4096" t="s">
        <v>30</v>
      </c>
      <c r="O4096" t="s">
        <v>31</v>
      </c>
      <c r="P4096" t="str">
        <f>"15206"</f>
        <v>15206</v>
      </c>
    </row>
    <row r="4097" spans="1:16" x14ac:dyDescent="0.25">
      <c r="A4097" t="str">
        <f>"1110050M00275    00"</f>
        <v>1110050M00275    00</v>
      </c>
      <c r="B4097" t="s">
        <v>9836</v>
      </c>
      <c r="C4097" t="s">
        <v>9743</v>
      </c>
      <c r="D4097" t="s">
        <v>20</v>
      </c>
      <c r="E4097" t="s">
        <v>39</v>
      </c>
      <c r="F4097">
        <v>0</v>
      </c>
      <c r="G4097">
        <v>0</v>
      </c>
      <c r="H4097">
        <v>3</v>
      </c>
      <c r="I4097" s="3">
        <v>68.61</v>
      </c>
      <c r="J4097" s="3">
        <v>4.57</v>
      </c>
      <c r="L4097">
        <v>5522</v>
      </c>
      <c r="M4097" t="s">
        <v>9837</v>
      </c>
      <c r="N4097" t="s">
        <v>30</v>
      </c>
      <c r="O4097" t="s">
        <v>31</v>
      </c>
      <c r="P4097" t="str">
        <f>"15232"</f>
        <v>15232</v>
      </c>
    </row>
    <row r="4098" spans="1:16" x14ac:dyDescent="0.25">
      <c r="A4098" t="str">
        <f>"1110050M00284    00"</f>
        <v>1110050M00284    00</v>
      </c>
      <c r="B4098" t="s">
        <v>9838</v>
      </c>
      <c r="C4098" t="s">
        <v>9839</v>
      </c>
      <c r="D4098" t="s">
        <v>20</v>
      </c>
      <c r="E4098" t="s">
        <v>39</v>
      </c>
      <c r="F4098">
        <v>0</v>
      </c>
      <c r="G4098">
        <v>0</v>
      </c>
      <c r="H4098">
        <v>2</v>
      </c>
      <c r="I4098" s="3">
        <v>902.82</v>
      </c>
      <c r="J4098" s="3">
        <v>0</v>
      </c>
      <c r="L4098">
        <v>5449</v>
      </c>
      <c r="M4098" t="s">
        <v>2901</v>
      </c>
      <c r="N4098" t="s">
        <v>30</v>
      </c>
      <c r="O4098" t="s">
        <v>31</v>
      </c>
      <c r="P4098" t="str">
        <f>"15206"</f>
        <v>15206</v>
      </c>
    </row>
    <row r="4099" spans="1:16" x14ac:dyDescent="0.25">
      <c r="A4099" t="str">
        <f>"1110050M00286    00"</f>
        <v>1110050M00286    00</v>
      </c>
      <c r="B4099" t="s">
        <v>9840</v>
      </c>
      <c r="C4099" t="s">
        <v>9841</v>
      </c>
      <c r="D4099" t="s">
        <v>20</v>
      </c>
      <c r="E4099" t="s">
        <v>39</v>
      </c>
      <c r="F4099">
        <v>0</v>
      </c>
      <c r="G4099">
        <v>0</v>
      </c>
      <c r="H4099">
        <v>8</v>
      </c>
      <c r="I4099" s="3">
        <v>4706.2299999999996</v>
      </c>
      <c r="J4099" s="3">
        <v>1320.82</v>
      </c>
      <c r="L4099">
        <v>401</v>
      </c>
      <c r="M4099" t="s">
        <v>9842</v>
      </c>
      <c r="N4099" t="s">
        <v>30</v>
      </c>
      <c r="O4099" t="s">
        <v>31</v>
      </c>
      <c r="P4099" t="str">
        <f>"15235"</f>
        <v>15235</v>
      </c>
    </row>
    <row r="4100" spans="1:16" x14ac:dyDescent="0.25">
      <c r="A4100" t="str">
        <f>"1110050M00300    00"</f>
        <v>1110050M00300    00</v>
      </c>
      <c r="B4100" t="s">
        <v>9843</v>
      </c>
      <c r="C4100" t="s">
        <v>9844</v>
      </c>
      <c r="D4100" t="s">
        <v>20</v>
      </c>
      <c r="E4100" t="s">
        <v>39</v>
      </c>
      <c r="F4100">
        <v>0</v>
      </c>
      <c r="G4100">
        <v>0</v>
      </c>
      <c r="H4100">
        <v>1</v>
      </c>
      <c r="I4100" s="3">
        <v>540.63</v>
      </c>
      <c r="J4100" s="3">
        <v>0</v>
      </c>
      <c r="K4100" t="s">
        <v>9845</v>
      </c>
      <c r="L4100">
        <v>5480</v>
      </c>
      <c r="M4100" t="s">
        <v>2901</v>
      </c>
      <c r="N4100" t="s">
        <v>30</v>
      </c>
      <c r="O4100" t="s">
        <v>31</v>
      </c>
      <c r="P4100" t="str">
        <f>"15206"</f>
        <v>15206</v>
      </c>
    </row>
    <row r="4101" spans="1:16" x14ac:dyDescent="0.25">
      <c r="A4101" t="str">
        <f>"1110050M00301    00"</f>
        <v>1110050M00301    00</v>
      </c>
      <c r="B4101" t="s">
        <v>9846</v>
      </c>
      <c r="C4101" t="s">
        <v>9847</v>
      </c>
      <c r="D4101" t="s">
        <v>20</v>
      </c>
      <c r="E4101" t="s">
        <v>39</v>
      </c>
      <c r="F4101">
        <v>0</v>
      </c>
      <c r="G4101">
        <v>0</v>
      </c>
      <c r="H4101">
        <v>1</v>
      </c>
      <c r="I4101" s="3">
        <v>818.16</v>
      </c>
      <c r="J4101" s="3">
        <v>0</v>
      </c>
      <c r="K4101" t="s">
        <v>9848</v>
      </c>
      <c r="L4101">
        <v>5474</v>
      </c>
      <c r="M4101" t="s">
        <v>2901</v>
      </c>
      <c r="N4101" t="s">
        <v>30</v>
      </c>
      <c r="O4101" t="s">
        <v>31</v>
      </c>
      <c r="P4101" t="str">
        <f>"15206"</f>
        <v>15206</v>
      </c>
    </row>
    <row r="4102" spans="1:16" x14ac:dyDescent="0.25">
      <c r="A4102" t="str">
        <f>"1110050M00310    00"</f>
        <v>1110050M00310    00</v>
      </c>
      <c r="B4102" t="s">
        <v>9849</v>
      </c>
      <c r="C4102" t="s">
        <v>9850</v>
      </c>
      <c r="D4102" t="s">
        <v>20</v>
      </c>
      <c r="E4102" t="s">
        <v>39</v>
      </c>
      <c r="F4102">
        <v>0</v>
      </c>
      <c r="G4102">
        <v>0</v>
      </c>
      <c r="H4102">
        <v>1</v>
      </c>
      <c r="I4102" s="3">
        <v>857.72</v>
      </c>
      <c r="J4102" s="3">
        <v>0</v>
      </c>
      <c r="K4102" t="s">
        <v>9851</v>
      </c>
      <c r="L4102">
        <v>60</v>
      </c>
      <c r="M4102" t="s">
        <v>9852</v>
      </c>
      <c r="N4102" t="s">
        <v>199</v>
      </c>
      <c r="O4102" t="s">
        <v>200</v>
      </c>
      <c r="P4102" t="str">
        <f>"10035"</f>
        <v>10035</v>
      </c>
    </row>
    <row r="4103" spans="1:16" x14ac:dyDescent="0.25">
      <c r="A4103" t="str">
        <f>"1110082B00245    00"</f>
        <v>1110082B00245    00</v>
      </c>
      <c r="B4103" t="s">
        <v>9853</v>
      </c>
      <c r="C4103" t="s">
        <v>9854</v>
      </c>
      <c r="E4103" t="s">
        <v>39</v>
      </c>
      <c r="F4103">
        <v>0</v>
      </c>
      <c r="G4103">
        <v>0</v>
      </c>
      <c r="H4103">
        <v>1</v>
      </c>
      <c r="I4103" s="3">
        <v>3118.83</v>
      </c>
      <c r="J4103" s="3">
        <v>935.61</v>
      </c>
      <c r="K4103" t="s">
        <v>329</v>
      </c>
      <c r="L4103">
        <v>3001</v>
      </c>
      <c r="M4103" t="s">
        <v>330</v>
      </c>
      <c r="N4103" t="s">
        <v>331</v>
      </c>
      <c r="O4103" t="s">
        <v>108</v>
      </c>
      <c r="P4103" t="str">
        <f>"75063"</f>
        <v>75063</v>
      </c>
    </row>
    <row r="4104" spans="1:16" x14ac:dyDescent="0.25">
      <c r="A4104" t="str">
        <f>"1110082F00126    00"</f>
        <v>1110082F00126    00</v>
      </c>
      <c r="B4104" t="s">
        <v>9855</v>
      </c>
      <c r="C4104" t="s">
        <v>9856</v>
      </c>
      <c r="D4104" t="s">
        <v>20</v>
      </c>
      <c r="E4104" t="s">
        <v>39</v>
      </c>
      <c r="F4104">
        <v>0</v>
      </c>
      <c r="G4104">
        <v>0</v>
      </c>
      <c r="H4104">
        <v>3</v>
      </c>
      <c r="I4104" s="3">
        <v>5256.5</v>
      </c>
      <c r="J4104" s="3">
        <v>404.28</v>
      </c>
      <c r="K4104" t="s">
        <v>9857</v>
      </c>
      <c r="L4104">
        <v>1328</v>
      </c>
      <c r="M4104" t="s">
        <v>9858</v>
      </c>
      <c r="N4104" t="s">
        <v>30</v>
      </c>
      <c r="O4104" t="s">
        <v>31</v>
      </c>
      <c r="P4104" t="str">
        <f>"15206"</f>
        <v>15206</v>
      </c>
    </row>
    <row r="4105" spans="1:16" x14ac:dyDescent="0.25">
      <c r="A4105" t="str">
        <f>"1110082F00141    00"</f>
        <v>1110082F00141    00</v>
      </c>
      <c r="B4105" t="s">
        <v>9859</v>
      </c>
      <c r="C4105" t="s">
        <v>9860</v>
      </c>
      <c r="E4105" t="s">
        <v>39</v>
      </c>
      <c r="F4105">
        <v>0</v>
      </c>
      <c r="G4105">
        <v>0</v>
      </c>
      <c r="H4105">
        <v>2</v>
      </c>
      <c r="I4105" s="3">
        <v>5179.88</v>
      </c>
      <c r="J4105" s="3">
        <v>363.27</v>
      </c>
      <c r="K4105" t="s">
        <v>1502</v>
      </c>
      <c r="L4105">
        <v>901</v>
      </c>
      <c r="M4105" t="s">
        <v>1503</v>
      </c>
      <c r="N4105" t="s">
        <v>494</v>
      </c>
      <c r="O4105" t="s">
        <v>495</v>
      </c>
      <c r="P4105" t="str">
        <f>"91768"</f>
        <v>91768</v>
      </c>
    </row>
    <row r="4106" spans="1:16" x14ac:dyDescent="0.25">
      <c r="A4106" t="str">
        <f>"1110082F00147    00"</f>
        <v>1110082F00147    00</v>
      </c>
      <c r="B4106" t="s">
        <v>9861</v>
      </c>
      <c r="C4106" t="s">
        <v>9862</v>
      </c>
      <c r="D4106" t="s">
        <v>20</v>
      </c>
      <c r="E4106" t="s">
        <v>39</v>
      </c>
      <c r="F4106">
        <v>0</v>
      </c>
      <c r="G4106">
        <v>0</v>
      </c>
      <c r="H4106">
        <v>2</v>
      </c>
      <c r="I4106" s="3">
        <v>2804.31</v>
      </c>
      <c r="J4106" s="3">
        <v>0</v>
      </c>
      <c r="L4106">
        <v>1217</v>
      </c>
      <c r="M4106" t="s">
        <v>9863</v>
      </c>
      <c r="N4106" t="s">
        <v>30</v>
      </c>
      <c r="O4106" t="s">
        <v>31</v>
      </c>
      <c r="P4106" t="str">
        <f>"15206"</f>
        <v>15206</v>
      </c>
    </row>
    <row r="4107" spans="1:16" x14ac:dyDescent="0.25">
      <c r="A4107" t="str">
        <f>"1110082F00156    00"</f>
        <v>1110082F00156    00</v>
      </c>
      <c r="B4107" t="s">
        <v>9864</v>
      </c>
      <c r="C4107" t="s">
        <v>9865</v>
      </c>
      <c r="D4107" t="s">
        <v>20</v>
      </c>
      <c r="E4107" t="s">
        <v>39</v>
      </c>
      <c r="F4107">
        <v>0</v>
      </c>
      <c r="G4107">
        <v>0</v>
      </c>
      <c r="H4107">
        <v>3</v>
      </c>
      <c r="I4107" s="3">
        <v>5703.67</v>
      </c>
      <c r="J4107" s="3">
        <v>110.1</v>
      </c>
      <c r="K4107" t="s">
        <v>881</v>
      </c>
      <c r="L4107">
        <v>3001</v>
      </c>
      <c r="M4107" t="s">
        <v>330</v>
      </c>
      <c r="N4107" t="s">
        <v>331</v>
      </c>
      <c r="O4107" t="s">
        <v>108</v>
      </c>
      <c r="P4107" t="str">
        <f>"75063"</f>
        <v>75063</v>
      </c>
    </row>
    <row r="4108" spans="1:16" x14ac:dyDescent="0.25">
      <c r="A4108" t="str">
        <f>"1110082F00227    00"</f>
        <v>1110082F00227    00</v>
      </c>
      <c r="B4108" t="s">
        <v>9866</v>
      </c>
      <c r="C4108" t="s">
        <v>9867</v>
      </c>
      <c r="D4108" t="s">
        <v>20</v>
      </c>
      <c r="E4108" t="s">
        <v>39</v>
      </c>
      <c r="F4108">
        <v>0</v>
      </c>
      <c r="G4108">
        <v>0</v>
      </c>
      <c r="H4108">
        <v>3</v>
      </c>
      <c r="I4108" s="3">
        <v>9875.01</v>
      </c>
      <c r="J4108" s="3">
        <v>219.44</v>
      </c>
      <c r="K4108" t="s">
        <v>5334</v>
      </c>
      <c r="L4108">
        <v>3001</v>
      </c>
      <c r="M4108" t="s">
        <v>330</v>
      </c>
      <c r="N4108" t="s">
        <v>331</v>
      </c>
      <c r="O4108" t="s">
        <v>108</v>
      </c>
      <c r="P4108" t="str">
        <f>"75063"</f>
        <v>75063</v>
      </c>
    </row>
    <row r="4109" spans="1:16" x14ac:dyDescent="0.25">
      <c r="A4109" t="str">
        <f>"1110082F00266    00"</f>
        <v>1110082F00266    00</v>
      </c>
      <c r="B4109" t="s">
        <v>9868</v>
      </c>
      <c r="C4109" t="s">
        <v>9869</v>
      </c>
      <c r="E4109" t="s">
        <v>39</v>
      </c>
      <c r="F4109">
        <v>0</v>
      </c>
      <c r="G4109">
        <v>0</v>
      </c>
      <c r="H4109">
        <v>1</v>
      </c>
      <c r="I4109" s="3">
        <v>33.17</v>
      </c>
      <c r="J4109" s="3">
        <v>15.74</v>
      </c>
      <c r="K4109" t="s">
        <v>1030</v>
      </c>
      <c r="M4109" t="s">
        <v>1031</v>
      </c>
      <c r="N4109" t="s">
        <v>1032</v>
      </c>
      <c r="O4109" t="s">
        <v>25</v>
      </c>
      <c r="P4109" t="str">
        <f>"44711"</f>
        <v>44711</v>
      </c>
    </row>
    <row r="4110" spans="1:16" x14ac:dyDescent="0.25">
      <c r="A4110" t="str">
        <f>"1110082F00292    00"</f>
        <v>1110082F00292    00</v>
      </c>
      <c r="B4110" t="s">
        <v>9870</v>
      </c>
      <c r="C4110" t="s">
        <v>9871</v>
      </c>
      <c r="E4110" t="s">
        <v>39</v>
      </c>
      <c r="F4110">
        <v>0</v>
      </c>
      <c r="G4110">
        <v>0</v>
      </c>
      <c r="H4110">
        <v>1</v>
      </c>
      <c r="I4110" s="3">
        <v>224.62</v>
      </c>
      <c r="J4110" s="3">
        <v>272.72000000000003</v>
      </c>
      <c r="L4110">
        <v>5516</v>
      </c>
      <c r="M4110" t="s">
        <v>9872</v>
      </c>
      <c r="N4110" t="s">
        <v>30</v>
      </c>
      <c r="O4110" t="s">
        <v>31</v>
      </c>
      <c r="P4110" t="str">
        <f>"15206"</f>
        <v>15206</v>
      </c>
    </row>
    <row r="4111" spans="1:16" x14ac:dyDescent="0.25">
      <c r="A4111" t="str">
        <f>"1110082G00023    00"</f>
        <v>1110082G00023    00</v>
      </c>
      <c r="B4111" t="s">
        <v>9873</v>
      </c>
      <c r="C4111" t="s">
        <v>9874</v>
      </c>
      <c r="D4111" t="s">
        <v>20</v>
      </c>
      <c r="E4111" t="s">
        <v>39</v>
      </c>
      <c r="F4111">
        <v>0</v>
      </c>
      <c r="G4111">
        <v>0</v>
      </c>
      <c r="H4111">
        <v>2</v>
      </c>
      <c r="I4111" s="3">
        <v>4705.0200000000004</v>
      </c>
      <c r="J4111" s="3">
        <v>0</v>
      </c>
      <c r="K4111" t="s">
        <v>417</v>
      </c>
      <c r="L4111">
        <v>3001</v>
      </c>
      <c r="M4111" t="s">
        <v>330</v>
      </c>
      <c r="N4111" t="s">
        <v>331</v>
      </c>
      <c r="O4111" t="s">
        <v>108</v>
      </c>
      <c r="P4111" t="str">
        <f>"75063"</f>
        <v>75063</v>
      </c>
    </row>
    <row r="4112" spans="1:16" x14ac:dyDescent="0.25">
      <c r="A4112" t="str">
        <f>"1110082G00026    00"</f>
        <v>1110082G00026    00</v>
      </c>
      <c r="B4112" t="s">
        <v>9875</v>
      </c>
      <c r="C4112" t="s">
        <v>9876</v>
      </c>
      <c r="E4112" t="s">
        <v>39</v>
      </c>
      <c r="F4112">
        <v>0</v>
      </c>
      <c r="G4112">
        <v>0</v>
      </c>
      <c r="H4112">
        <v>1</v>
      </c>
      <c r="I4112" s="3">
        <v>59.38</v>
      </c>
      <c r="J4112" s="3">
        <v>0.5</v>
      </c>
      <c r="K4112" t="s">
        <v>4397</v>
      </c>
      <c r="L4112">
        <v>1050</v>
      </c>
      <c r="M4112" t="s">
        <v>3522</v>
      </c>
      <c r="N4112" t="s">
        <v>3827</v>
      </c>
      <c r="O4112" t="s">
        <v>70</v>
      </c>
      <c r="P4112" t="str">
        <f>"48226"</f>
        <v>48226</v>
      </c>
    </row>
    <row r="4113" spans="1:16" x14ac:dyDescent="0.25">
      <c r="A4113" t="str">
        <f>"1110082G00085    00"</f>
        <v>1110082G00085    00</v>
      </c>
      <c r="B4113" t="s">
        <v>9877</v>
      </c>
      <c r="C4113" t="s">
        <v>9878</v>
      </c>
      <c r="E4113" t="s">
        <v>39</v>
      </c>
      <c r="F4113">
        <v>0</v>
      </c>
      <c r="G4113">
        <v>0</v>
      </c>
      <c r="H4113">
        <v>1</v>
      </c>
      <c r="I4113" s="3">
        <v>749.98</v>
      </c>
      <c r="J4113" s="3">
        <v>0</v>
      </c>
      <c r="L4113">
        <v>5</v>
      </c>
      <c r="M4113" t="s">
        <v>9879</v>
      </c>
      <c r="N4113" t="s">
        <v>30</v>
      </c>
      <c r="O4113" t="s">
        <v>31</v>
      </c>
      <c r="P4113" t="str">
        <f>"15206"</f>
        <v>15206</v>
      </c>
    </row>
    <row r="4114" spans="1:16" x14ac:dyDescent="0.25">
      <c r="A4114" t="str">
        <f>"1110082G00099140600"</f>
        <v>1110082G00099140600</v>
      </c>
      <c r="B4114" t="s">
        <v>9880</v>
      </c>
      <c r="C4114" t="s">
        <v>9881</v>
      </c>
      <c r="D4114" t="s">
        <v>20</v>
      </c>
      <c r="E4114" t="s">
        <v>39</v>
      </c>
      <c r="F4114">
        <v>0</v>
      </c>
      <c r="G4114">
        <v>0</v>
      </c>
      <c r="H4114">
        <v>4</v>
      </c>
      <c r="I4114" s="3">
        <v>8120.76</v>
      </c>
      <c r="J4114" s="3">
        <v>1090.9100000000001</v>
      </c>
      <c r="L4114">
        <v>1112</v>
      </c>
      <c r="M4114" t="s">
        <v>6227</v>
      </c>
      <c r="N4114" t="s">
        <v>30</v>
      </c>
      <c r="O4114" t="s">
        <v>31</v>
      </c>
      <c r="P4114" t="str">
        <f>"15206"</f>
        <v>15206</v>
      </c>
    </row>
    <row r="4115" spans="1:16" x14ac:dyDescent="0.25">
      <c r="A4115" t="str">
        <f>"1110082G00102    00"</f>
        <v>1110082G00102    00</v>
      </c>
      <c r="B4115" t="s">
        <v>9882</v>
      </c>
      <c r="C4115" t="s">
        <v>9883</v>
      </c>
      <c r="E4115" t="s">
        <v>39</v>
      </c>
      <c r="F4115">
        <v>0</v>
      </c>
      <c r="G4115">
        <v>0</v>
      </c>
      <c r="H4115">
        <v>2</v>
      </c>
      <c r="I4115" s="3">
        <v>2934.75</v>
      </c>
      <c r="J4115" s="3">
        <v>40.950000000000003</v>
      </c>
      <c r="L4115">
        <v>1400</v>
      </c>
      <c r="M4115" t="s">
        <v>6227</v>
      </c>
      <c r="N4115" t="s">
        <v>30</v>
      </c>
      <c r="O4115" t="s">
        <v>31</v>
      </c>
      <c r="P4115" t="str">
        <f>"15206"</f>
        <v>15206</v>
      </c>
    </row>
    <row r="4116" spans="1:16" x14ac:dyDescent="0.25">
      <c r="A4116" t="str">
        <f>"1110082G00124    00"</f>
        <v>1110082G00124    00</v>
      </c>
      <c r="B4116" t="s">
        <v>9884</v>
      </c>
      <c r="C4116" t="s">
        <v>9885</v>
      </c>
      <c r="D4116" t="s">
        <v>20</v>
      </c>
      <c r="E4116" t="s">
        <v>39</v>
      </c>
      <c r="F4116">
        <v>0</v>
      </c>
      <c r="G4116">
        <v>0</v>
      </c>
      <c r="H4116">
        <v>2</v>
      </c>
      <c r="I4116" s="3">
        <v>487.94</v>
      </c>
      <c r="J4116" s="3">
        <v>0</v>
      </c>
      <c r="L4116">
        <v>213</v>
      </c>
      <c r="M4116" t="s">
        <v>9886</v>
      </c>
      <c r="N4116" t="s">
        <v>1823</v>
      </c>
      <c r="O4116" t="s">
        <v>31</v>
      </c>
      <c r="P4116" t="str">
        <f>"15024"</f>
        <v>15024</v>
      </c>
    </row>
    <row r="4117" spans="1:16" x14ac:dyDescent="0.25">
      <c r="A4117" t="str">
        <f>"1110082G00124A   00"</f>
        <v>1110082G00124A   00</v>
      </c>
      <c r="B4117" t="s">
        <v>9887</v>
      </c>
      <c r="C4117" t="s">
        <v>9888</v>
      </c>
      <c r="E4117" t="s">
        <v>39</v>
      </c>
      <c r="F4117">
        <v>0</v>
      </c>
      <c r="G4117">
        <v>0</v>
      </c>
      <c r="H4117">
        <v>1</v>
      </c>
      <c r="I4117" s="3">
        <v>22.25</v>
      </c>
      <c r="J4117" s="3">
        <v>0</v>
      </c>
      <c r="K4117" t="s">
        <v>9889</v>
      </c>
      <c r="L4117">
        <v>5645</v>
      </c>
      <c r="M4117" t="s">
        <v>9890</v>
      </c>
      <c r="N4117" t="s">
        <v>30</v>
      </c>
      <c r="O4117" t="s">
        <v>31</v>
      </c>
      <c r="P4117" t="str">
        <f>"15206"</f>
        <v>15206</v>
      </c>
    </row>
    <row r="4118" spans="1:16" x14ac:dyDescent="0.25">
      <c r="A4118" t="str">
        <f>"1110082G00125A   00"</f>
        <v>1110082G00125A   00</v>
      </c>
      <c r="B4118" t="s">
        <v>9891</v>
      </c>
      <c r="C4118" t="s">
        <v>9892</v>
      </c>
      <c r="E4118" t="s">
        <v>39</v>
      </c>
      <c r="F4118">
        <v>0</v>
      </c>
      <c r="G4118">
        <v>0</v>
      </c>
      <c r="H4118">
        <v>1</v>
      </c>
      <c r="I4118" s="3">
        <v>62.12</v>
      </c>
      <c r="J4118" s="3">
        <v>17.079999999999998</v>
      </c>
      <c r="K4118" t="s">
        <v>4933</v>
      </c>
      <c r="L4118">
        <v>3001</v>
      </c>
      <c r="M4118" t="s">
        <v>330</v>
      </c>
      <c r="N4118" t="s">
        <v>331</v>
      </c>
      <c r="O4118" t="s">
        <v>108</v>
      </c>
      <c r="P4118" t="str">
        <f>"75063"</f>
        <v>75063</v>
      </c>
    </row>
    <row r="4119" spans="1:16" x14ac:dyDescent="0.25">
      <c r="A4119" t="str">
        <f>"1110082G00151    00"</f>
        <v>1110082G00151    00</v>
      </c>
      <c r="B4119" t="s">
        <v>9893</v>
      </c>
      <c r="C4119" t="s">
        <v>9894</v>
      </c>
      <c r="D4119" t="s">
        <v>20</v>
      </c>
      <c r="E4119" t="s">
        <v>39</v>
      </c>
      <c r="F4119">
        <v>0</v>
      </c>
      <c r="G4119">
        <v>0</v>
      </c>
      <c r="H4119">
        <v>1</v>
      </c>
      <c r="I4119" s="3">
        <v>226.82</v>
      </c>
      <c r="J4119" s="3">
        <v>0</v>
      </c>
      <c r="K4119" t="s">
        <v>403</v>
      </c>
      <c r="L4119">
        <v>3001</v>
      </c>
      <c r="M4119" t="s">
        <v>404</v>
      </c>
      <c r="N4119" t="s">
        <v>331</v>
      </c>
      <c r="O4119" t="s">
        <v>108</v>
      </c>
      <c r="P4119" t="str">
        <f>"75063"</f>
        <v>75063</v>
      </c>
    </row>
    <row r="4120" spans="1:16" x14ac:dyDescent="0.25">
      <c r="A4120" t="str">
        <f>"1110082G00156    00"</f>
        <v>1110082G00156    00</v>
      </c>
      <c r="B4120" t="s">
        <v>9895</v>
      </c>
      <c r="C4120" t="s">
        <v>9896</v>
      </c>
      <c r="D4120" t="s">
        <v>20</v>
      </c>
      <c r="E4120" t="s">
        <v>39</v>
      </c>
      <c r="F4120">
        <v>0</v>
      </c>
      <c r="G4120">
        <v>0</v>
      </c>
      <c r="H4120">
        <v>3</v>
      </c>
      <c r="I4120" s="3">
        <v>4610.6499999999996</v>
      </c>
      <c r="J4120" s="3">
        <v>96.2</v>
      </c>
      <c r="K4120" t="s">
        <v>762</v>
      </c>
      <c r="M4120" t="s">
        <v>1439</v>
      </c>
      <c r="N4120" t="s">
        <v>1440</v>
      </c>
      <c r="O4120" t="s">
        <v>70</v>
      </c>
      <c r="P4120" t="str">
        <f>"48501"</f>
        <v>48501</v>
      </c>
    </row>
    <row r="4121" spans="1:16" x14ac:dyDescent="0.25">
      <c r="A4121" t="str">
        <f>"1110082G00159    00"</f>
        <v>1110082G00159    00</v>
      </c>
      <c r="B4121" t="s">
        <v>9897</v>
      </c>
      <c r="C4121" t="s">
        <v>9898</v>
      </c>
      <c r="E4121" t="s">
        <v>39</v>
      </c>
      <c r="F4121">
        <v>0</v>
      </c>
      <c r="G4121">
        <v>0</v>
      </c>
      <c r="H4121">
        <v>1</v>
      </c>
      <c r="I4121" s="3">
        <v>3581.29</v>
      </c>
      <c r="J4121" s="3">
        <v>984.82</v>
      </c>
      <c r="K4121" t="s">
        <v>9899</v>
      </c>
      <c r="L4121">
        <v>4801</v>
      </c>
      <c r="M4121" t="s">
        <v>9900</v>
      </c>
      <c r="N4121" t="s">
        <v>9901</v>
      </c>
      <c r="O4121" t="s">
        <v>7695</v>
      </c>
      <c r="P4121" t="str">
        <f>"42301"</f>
        <v>42301</v>
      </c>
    </row>
    <row r="4122" spans="1:16" x14ac:dyDescent="0.25">
      <c r="A4122" t="str">
        <f>"1110082G00161    00"</f>
        <v>1110082G00161    00</v>
      </c>
      <c r="B4122" t="s">
        <v>9902</v>
      </c>
      <c r="C4122" t="s">
        <v>9903</v>
      </c>
      <c r="E4122" t="s">
        <v>39</v>
      </c>
      <c r="F4122">
        <v>0</v>
      </c>
      <c r="G4122">
        <v>0</v>
      </c>
      <c r="H4122">
        <v>1</v>
      </c>
      <c r="I4122" s="3">
        <v>88.18</v>
      </c>
      <c r="J4122" s="3">
        <v>8.82</v>
      </c>
      <c r="L4122">
        <v>6</v>
      </c>
      <c r="M4122" t="s">
        <v>9904</v>
      </c>
      <c r="N4122" t="s">
        <v>9905</v>
      </c>
      <c r="O4122" t="s">
        <v>6217</v>
      </c>
      <c r="P4122" t="str">
        <f>"59404"</f>
        <v>59404</v>
      </c>
    </row>
    <row r="4123" spans="1:16" x14ac:dyDescent="0.25">
      <c r="A4123" t="str">
        <f>"1110082G00175    00"</f>
        <v>1110082G00175    00</v>
      </c>
      <c r="B4123" t="s">
        <v>9906</v>
      </c>
      <c r="C4123" t="s">
        <v>9907</v>
      </c>
      <c r="E4123" t="s">
        <v>39</v>
      </c>
      <c r="F4123">
        <v>0</v>
      </c>
      <c r="G4123">
        <v>0</v>
      </c>
      <c r="H4123">
        <v>1</v>
      </c>
      <c r="I4123" s="3">
        <v>1349.29</v>
      </c>
      <c r="J4123" s="3">
        <v>0</v>
      </c>
      <c r="L4123">
        <v>5524</v>
      </c>
      <c r="M4123" t="s">
        <v>9908</v>
      </c>
      <c r="N4123" t="s">
        <v>30</v>
      </c>
      <c r="O4123" t="s">
        <v>31</v>
      </c>
      <c r="P4123" t="str">
        <f t="shared" ref="P4123:P4128" si="53">"15206"</f>
        <v>15206</v>
      </c>
    </row>
    <row r="4124" spans="1:16" x14ac:dyDescent="0.25">
      <c r="A4124" t="str">
        <f>"1110082G00194    00"</f>
        <v>1110082G00194    00</v>
      </c>
      <c r="B4124" t="s">
        <v>9909</v>
      </c>
      <c r="C4124" t="s">
        <v>9910</v>
      </c>
      <c r="E4124" t="s">
        <v>39</v>
      </c>
      <c r="F4124">
        <v>0</v>
      </c>
      <c r="G4124">
        <v>0</v>
      </c>
      <c r="H4124">
        <v>1</v>
      </c>
      <c r="I4124" s="3">
        <v>2346.5700000000002</v>
      </c>
      <c r="J4124" s="3">
        <v>0</v>
      </c>
      <c r="L4124">
        <v>5524</v>
      </c>
      <c r="M4124" t="s">
        <v>9908</v>
      </c>
      <c r="N4124" t="s">
        <v>30</v>
      </c>
      <c r="O4124" t="s">
        <v>31</v>
      </c>
      <c r="P4124" t="str">
        <f t="shared" si="53"/>
        <v>15206</v>
      </c>
    </row>
    <row r="4125" spans="1:16" x14ac:dyDescent="0.25">
      <c r="A4125" t="str">
        <f>"1110082G00203    00"</f>
        <v>1110082G00203    00</v>
      </c>
      <c r="B4125" t="s">
        <v>9911</v>
      </c>
      <c r="C4125" t="s">
        <v>9912</v>
      </c>
      <c r="E4125" t="s">
        <v>39</v>
      </c>
      <c r="F4125">
        <v>0</v>
      </c>
      <c r="G4125">
        <v>0</v>
      </c>
      <c r="H4125">
        <v>1</v>
      </c>
      <c r="I4125" s="3">
        <v>1035.25</v>
      </c>
      <c r="J4125" s="3">
        <v>0</v>
      </c>
      <c r="L4125">
        <v>5524</v>
      </c>
      <c r="M4125" t="s">
        <v>9908</v>
      </c>
      <c r="N4125" t="s">
        <v>30</v>
      </c>
      <c r="O4125" t="s">
        <v>31</v>
      </c>
      <c r="P4125" t="str">
        <f t="shared" si="53"/>
        <v>15206</v>
      </c>
    </row>
    <row r="4126" spans="1:16" x14ac:dyDescent="0.25">
      <c r="A4126" t="str">
        <f>"1110082G00204    00"</f>
        <v>1110082G00204    00</v>
      </c>
      <c r="B4126" t="s">
        <v>9913</v>
      </c>
      <c r="C4126" t="s">
        <v>9914</v>
      </c>
      <c r="E4126" t="s">
        <v>39</v>
      </c>
      <c r="F4126">
        <v>0</v>
      </c>
      <c r="G4126">
        <v>0</v>
      </c>
      <c r="H4126">
        <v>1</v>
      </c>
      <c r="I4126" s="3">
        <v>882.04</v>
      </c>
      <c r="J4126" s="3">
        <v>0</v>
      </c>
      <c r="L4126">
        <v>5524</v>
      </c>
      <c r="M4126" t="s">
        <v>9908</v>
      </c>
      <c r="N4126" t="s">
        <v>30</v>
      </c>
      <c r="O4126" t="s">
        <v>31</v>
      </c>
      <c r="P4126" t="str">
        <f t="shared" si="53"/>
        <v>15206</v>
      </c>
    </row>
    <row r="4127" spans="1:16" x14ac:dyDescent="0.25">
      <c r="A4127" t="str">
        <f>"1110082G00210    00"</f>
        <v>1110082G00210    00</v>
      </c>
      <c r="B4127" t="s">
        <v>9909</v>
      </c>
      <c r="C4127" t="s">
        <v>9915</v>
      </c>
      <c r="E4127" t="s">
        <v>39</v>
      </c>
      <c r="F4127">
        <v>0</v>
      </c>
      <c r="G4127">
        <v>0</v>
      </c>
      <c r="H4127">
        <v>1</v>
      </c>
      <c r="I4127" s="3">
        <v>1121.53</v>
      </c>
      <c r="J4127" s="3">
        <v>0</v>
      </c>
      <c r="L4127">
        <v>5524</v>
      </c>
      <c r="M4127" t="s">
        <v>9908</v>
      </c>
      <c r="N4127" t="s">
        <v>30</v>
      </c>
      <c r="O4127" t="s">
        <v>31</v>
      </c>
      <c r="P4127" t="str">
        <f t="shared" si="53"/>
        <v>15206</v>
      </c>
    </row>
    <row r="4128" spans="1:16" x14ac:dyDescent="0.25">
      <c r="A4128" t="str">
        <f>"1110082G00232    00"</f>
        <v>1110082G00232    00</v>
      </c>
      <c r="B4128" t="s">
        <v>9916</v>
      </c>
      <c r="C4128" t="s">
        <v>9917</v>
      </c>
      <c r="D4128" t="s">
        <v>20</v>
      </c>
      <c r="E4128" t="s">
        <v>39</v>
      </c>
      <c r="F4128">
        <v>0</v>
      </c>
      <c r="G4128">
        <v>0</v>
      </c>
      <c r="H4128">
        <v>1</v>
      </c>
      <c r="I4128" s="3">
        <v>3264.99</v>
      </c>
      <c r="J4128" s="3">
        <v>0</v>
      </c>
      <c r="L4128">
        <v>5701</v>
      </c>
      <c r="M4128" t="s">
        <v>9872</v>
      </c>
      <c r="N4128" t="s">
        <v>30</v>
      </c>
      <c r="O4128" t="s">
        <v>31</v>
      </c>
      <c r="P4128" t="str">
        <f t="shared" si="53"/>
        <v>15206</v>
      </c>
    </row>
    <row r="4129" spans="1:16" x14ac:dyDescent="0.25">
      <c r="A4129" t="str">
        <f>"1110082G00246    00"</f>
        <v>1110082G00246    00</v>
      </c>
      <c r="B4129" t="s">
        <v>9918</v>
      </c>
      <c r="C4129" t="s">
        <v>9919</v>
      </c>
      <c r="D4129" t="s">
        <v>57</v>
      </c>
      <c r="E4129" t="s">
        <v>39</v>
      </c>
      <c r="F4129">
        <v>0</v>
      </c>
      <c r="G4129">
        <v>0</v>
      </c>
      <c r="H4129">
        <v>1</v>
      </c>
      <c r="I4129" s="3">
        <v>44.98</v>
      </c>
      <c r="J4129" s="3">
        <v>4.5</v>
      </c>
      <c r="K4129" t="s">
        <v>5352</v>
      </c>
      <c r="L4129">
        <v>3001</v>
      </c>
      <c r="M4129" t="s">
        <v>330</v>
      </c>
      <c r="N4129" t="s">
        <v>331</v>
      </c>
      <c r="O4129" t="s">
        <v>108</v>
      </c>
      <c r="P4129" t="str">
        <f>"75063"</f>
        <v>75063</v>
      </c>
    </row>
    <row r="4130" spans="1:16" x14ac:dyDescent="0.25">
      <c r="A4130" t="str">
        <f>"1110082G00249    00"</f>
        <v>1110082G00249    00</v>
      </c>
      <c r="B4130" t="s">
        <v>9920</v>
      </c>
      <c r="C4130" t="s">
        <v>9921</v>
      </c>
      <c r="D4130" t="s">
        <v>33</v>
      </c>
      <c r="E4130" t="s">
        <v>39</v>
      </c>
      <c r="F4130">
        <v>0</v>
      </c>
      <c r="G4130">
        <v>0</v>
      </c>
      <c r="H4130">
        <v>1</v>
      </c>
      <c r="I4130" s="3">
        <v>87.53</v>
      </c>
      <c r="J4130" s="3">
        <v>0</v>
      </c>
      <c r="K4130" t="s">
        <v>1030</v>
      </c>
      <c r="M4130" t="s">
        <v>1031</v>
      </c>
      <c r="N4130" t="s">
        <v>1032</v>
      </c>
      <c r="O4130" t="s">
        <v>25</v>
      </c>
      <c r="P4130" t="str">
        <f>"44711"</f>
        <v>44711</v>
      </c>
    </row>
    <row r="4131" spans="1:16" x14ac:dyDescent="0.25">
      <c r="A4131" t="str">
        <f>"1110082H00059    00"</f>
        <v>1110082H00059    00</v>
      </c>
      <c r="B4131" t="s">
        <v>9922</v>
      </c>
      <c r="C4131" t="s">
        <v>9923</v>
      </c>
      <c r="D4131" t="s">
        <v>20</v>
      </c>
      <c r="E4131" t="s">
        <v>39</v>
      </c>
      <c r="F4131">
        <v>0</v>
      </c>
      <c r="G4131">
        <v>0</v>
      </c>
      <c r="H4131">
        <v>1</v>
      </c>
      <c r="I4131" s="3">
        <v>1001.11</v>
      </c>
      <c r="J4131" s="3">
        <v>0</v>
      </c>
      <c r="K4131" t="s">
        <v>9924</v>
      </c>
      <c r="L4131">
        <v>1422</v>
      </c>
      <c r="M4131" t="s">
        <v>3270</v>
      </c>
      <c r="N4131" t="s">
        <v>30</v>
      </c>
      <c r="O4131" t="s">
        <v>31</v>
      </c>
      <c r="P4131" t="str">
        <f>"15206"</f>
        <v>15206</v>
      </c>
    </row>
    <row r="4132" spans="1:16" x14ac:dyDescent="0.25">
      <c r="A4132" t="str">
        <f>"1110082H00066    00"</f>
        <v>1110082H00066    00</v>
      </c>
      <c r="B4132" t="s">
        <v>9925</v>
      </c>
      <c r="C4132" t="s">
        <v>9926</v>
      </c>
      <c r="D4132" t="s">
        <v>20</v>
      </c>
      <c r="E4132" t="s">
        <v>39</v>
      </c>
      <c r="F4132">
        <v>0</v>
      </c>
      <c r="G4132">
        <v>0</v>
      </c>
      <c r="H4132">
        <v>4</v>
      </c>
      <c r="I4132" s="3">
        <v>6295.49</v>
      </c>
      <c r="J4132" s="3">
        <v>743.68</v>
      </c>
      <c r="L4132">
        <v>3007</v>
      </c>
      <c r="M4132" t="s">
        <v>9927</v>
      </c>
      <c r="N4132" t="s">
        <v>9928</v>
      </c>
      <c r="O4132" t="s">
        <v>495</v>
      </c>
      <c r="P4132" t="str">
        <f>"90292"</f>
        <v>90292</v>
      </c>
    </row>
    <row r="4133" spans="1:16" x14ac:dyDescent="0.25">
      <c r="A4133" t="str">
        <f>"1110082H00068    00"</f>
        <v>1110082H00068    00</v>
      </c>
      <c r="B4133" t="s">
        <v>9925</v>
      </c>
      <c r="C4133" t="s">
        <v>9929</v>
      </c>
      <c r="D4133" t="s">
        <v>20</v>
      </c>
      <c r="E4133" t="s">
        <v>39</v>
      </c>
      <c r="F4133">
        <v>0</v>
      </c>
      <c r="G4133">
        <v>0</v>
      </c>
      <c r="H4133">
        <v>4</v>
      </c>
      <c r="I4133" s="3">
        <v>5961.33</v>
      </c>
      <c r="J4133" s="3">
        <v>704.21</v>
      </c>
      <c r="L4133">
        <v>3007</v>
      </c>
      <c r="M4133" t="s">
        <v>9927</v>
      </c>
      <c r="N4133" t="s">
        <v>9928</v>
      </c>
      <c r="O4133" t="s">
        <v>495</v>
      </c>
      <c r="P4133" t="str">
        <f>"90292"</f>
        <v>90292</v>
      </c>
    </row>
    <row r="4134" spans="1:16" x14ac:dyDescent="0.25">
      <c r="A4134" t="str">
        <f>"1110082H00071    00"</f>
        <v>1110082H00071    00</v>
      </c>
      <c r="B4134" t="s">
        <v>9930</v>
      </c>
      <c r="C4134" t="s">
        <v>9931</v>
      </c>
      <c r="D4134" t="s">
        <v>20</v>
      </c>
      <c r="E4134" t="s">
        <v>21</v>
      </c>
      <c r="F4134">
        <v>0</v>
      </c>
      <c r="G4134">
        <v>0</v>
      </c>
      <c r="H4134">
        <v>2</v>
      </c>
      <c r="I4134" s="3">
        <v>40330.959999999999</v>
      </c>
      <c r="J4134" s="3">
        <v>0</v>
      </c>
      <c r="L4134">
        <v>413</v>
      </c>
      <c r="M4134" t="s">
        <v>1481</v>
      </c>
      <c r="N4134" t="s">
        <v>30</v>
      </c>
      <c r="O4134" t="s">
        <v>31</v>
      </c>
      <c r="P4134" t="str">
        <f>"15213"</f>
        <v>15213</v>
      </c>
    </row>
    <row r="4135" spans="1:16" x14ac:dyDescent="0.25">
      <c r="A4135" t="str">
        <f>"1110082H00077    00"</f>
        <v>1110082H00077    00</v>
      </c>
      <c r="B4135" t="s">
        <v>9932</v>
      </c>
      <c r="C4135" t="s">
        <v>9933</v>
      </c>
      <c r="E4135" t="s">
        <v>39</v>
      </c>
      <c r="F4135">
        <v>0</v>
      </c>
      <c r="G4135">
        <v>0</v>
      </c>
      <c r="H4135">
        <v>2</v>
      </c>
      <c r="I4135" s="3">
        <v>2163.5</v>
      </c>
      <c r="J4135" s="3">
        <v>225.21</v>
      </c>
      <c r="L4135">
        <v>1421</v>
      </c>
      <c r="M4135" t="s">
        <v>9934</v>
      </c>
      <c r="N4135" t="s">
        <v>30</v>
      </c>
      <c r="O4135" t="s">
        <v>31</v>
      </c>
      <c r="P4135" t="str">
        <f t="shared" ref="P4135:P4140" si="54">"15206"</f>
        <v>15206</v>
      </c>
    </row>
    <row r="4136" spans="1:16" x14ac:dyDescent="0.25">
      <c r="A4136" t="str">
        <f>"1110082H00156    00"</f>
        <v>1110082H00156    00</v>
      </c>
      <c r="B4136" t="s">
        <v>9935</v>
      </c>
      <c r="C4136" t="s">
        <v>9936</v>
      </c>
      <c r="D4136" t="s">
        <v>20</v>
      </c>
      <c r="E4136" t="s">
        <v>39</v>
      </c>
      <c r="F4136">
        <v>0</v>
      </c>
      <c r="G4136">
        <v>0</v>
      </c>
      <c r="H4136">
        <v>5</v>
      </c>
      <c r="I4136" s="3">
        <v>15146.98</v>
      </c>
      <c r="J4136" s="3">
        <v>2389.08</v>
      </c>
      <c r="L4136">
        <v>1433</v>
      </c>
      <c r="M4136" t="s">
        <v>9937</v>
      </c>
      <c r="N4136" t="s">
        <v>30</v>
      </c>
      <c r="O4136" t="s">
        <v>31</v>
      </c>
      <c r="P4136" t="str">
        <f t="shared" si="54"/>
        <v>15206</v>
      </c>
    </row>
    <row r="4137" spans="1:16" x14ac:dyDescent="0.25">
      <c r="A4137" t="str">
        <f>"1110082H00193    00"</f>
        <v>1110082H00193    00</v>
      </c>
      <c r="B4137" t="s">
        <v>9938</v>
      </c>
      <c r="C4137" t="s">
        <v>9939</v>
      </c>
      <c r="D4137" t="s">
        <v>20</v>
      </c>
      <c r="E4137" t="s">
        <v>39</v>
      </c>
      <c r="F4137">
        <v>0</v>
      </c>
      <c r="G4137">
        <v>0</v>
      </c>
      <c r="H4137">
        <v>2</v>
      </c>
      <c r="I4137" s="3">
        <v>5477.21</v>
      </c>
      <c r="J4137" s="3">
        <v>0</v>
      </c>
      <c r="L4137">
        <v>1430</v>
      </c>
      <c r="M4137" t="s">
        <v>9937</v>
      </c>
      <c r="N4137" t="s">
        <v>30</v>
      </c>
      <c r="O4137" t="s">
        <v>31</v>
      </c>
      <c r="P4137" t="str">
        <f t="shared" si="54"/>
        <v>15206</v>
      </c>
    </row>
    <row r="4138" spans="1:16" x14ac:dyDescent="0.25">
      <c r="A4138" t="str">
        <f>"1110082H00214    00"</f>
        <v>1110082H00214    00</v>
      </c>
      <c r="B4138" t="s">
        <v>9940</v>
      </c>
      <c r="C4138" t="s">
        <v>9941</v>
      </c>
      <c r="D4138" t="s">
        <v>20</v>
      </c>
      <c r="E4138" t="s">
        <v>39</v>
      </c>
      <c r="F4138">
        <v>0</v>
      </c>
      <c r="G4138">
        <v>0</v>
      </c>
      <c r="H4138">
        <v>3</v>
      </c>
      <c r="I4138" s="3">
        <v>7452.74</v>
      </c>
      <c r="J4138" s="3">
        <v>424.2</v>
      </c>
      <c r="L4138">
        <v>5915</v>
      </c>
      <c r="M4138" t="s">
        <v>9890</v>
      </c>
      <c r="N4138" t="s">
        <v>30</v>
      </c>
      <c r="O4138" t="s">
        <v>31</v>
      </c>
      <c r="P4138" t="str">
        <f t="shared" si="54"/>
        <v>15206</v>
      </c>
    </row>
    <row r="4139" spans="1:16" x14ac:dyDescent="0.25">
      <c r="A4139" t="str">
        <f>"1110082H00224    00"</f>
        <v>1110082H00224    00</v>
      </c>
      <c r="B4139" t="s">
        <v>9942</v>
      </c>
      <c r="C4139" t="s">
        <v>9943</v>
      </c>
      <c r="E4139" t="s">
        <v>39</v>
      </c>
      <c r="F4139">
        <v>0</v>
      </c>
      <c r="G4139">
        <v>0</v>
      </c>
      <c r="H4139">
        <v>2</v>
      </c>
      <c r="I4139" s="3">
        <v>3628.5</v>
      </c>
      <c r="J4139" s="3">
        <v>15.12</v>
      </c>
      <c r="L4139">
        <v>1421</v>
      </c>
      <c r="M4139" t="s">
        <v>9944</v>
      </c>
      <c r="N4139" t="s">
        <v>30</v>
      </c>
      <c r="O4139" t="s">
        <v>31</v>
      </c>
      <c r="P4139" t="str">
        <f t="shared" si="54"/>
        <v>15206</v>
      </c>
    </row>
    <row r="4140" spans="1:16" x14ac:dyDescent="0.25">
      <c r="A4140" t="str">
        <f>"1110082H00225    00"</f>
        <v>1110082H00225    00</v>
      </c>
      <c r="B4140" t="s">
        <v>9945</v>
      </c>
      <c r="C4140" t="s">
        <v>9946</v>
      </c>
      <c r="E4140" t="s">
        <v>39</v>
      </c>
      <c r="F4140">
        <v>0</v>
      </c>
      <c r="G4140">
        <v>0</v>
      </c>
      <c r="H4140">
        <v>1</v>
      </c>
      <c r="I4140" s="3">
        <v>2161.98</v>
      </c>
      <c r="J4140" s="3">
        <v>0</v>
      </c>
      <c r="L4140">
        <v>1427</v>
      </c>
      <c r="M4140" t="s">
        <v>9944</v>
      </c>
      <c r="N4140" t="s">
        <v>30</v>
      </c>
      <c r="O4140" t="s">
        <v>31</v>
      </c>
      <c r="P4140" t="str">
        <f t="shared" si="54"/>
        <v>15206</v>
      </c>
    </row>
    <row r="4141" spans="1:16" x14ac:dyDescent="0.25">
      <c r="A4141" t="str">
        <f>"1110082H00227    00"</f>
        <v>1110082H00227    00</v>
      </c>
      <c r="B4141" t="s">
        <v>9947</v>
      </c>
      <c r="C4141" t="s">
        <v>9948</v>
      </c>
      <c r="E4141" t="s">
        <v>39</v>
      </c>
      <c r="F4141">
        <v>0</v>
      </c>
      <c r="G4141">
        <v>0</v>
      </c>
      <c r="H4141">
        <v>2</v>
      </c>
      <c r="I4141" s="3">
        <v>2619.7800000000002</v>
      </c>
      <c r="J4141" s="3">
        <v>179.16</v>
      </c>
      <c r="K4141" t="s">
        <v>8530</v>
      </c>
      <c r="L4141">
        <v>6100</v>
      </c>
      <c r="M4141" t="s">
        <v>9949</v>
      </c>
      <c r="N4141" t="s">
        <v>8009</v>
      </c>
      <c r="O4141" t="s">
        <v>2097</v>
      </c>
      <c r="P4141" t="str">
        <f>"37067"</f>
        <v>37067</v>
      </c>
    </row>
    <row r="4142" spans="1:16" x14ac:dyDescent="0.25">
      <c r="A4142" t="str">
        <f>"1110082H00233    00"</f>
        <v>1110082H00233    00</v>
      </c>
      <c r="B4142" t="s">
        <v>9950</v>
      </c>
      <c r="C4142" t="s">
        <v>9951</v>
      </c>
      <c r="E4142" t="s">
        <v>39</v>
      </c>
      <c r="F4142">
        <v>0</v>
      </c>
      <c r="G4142">
        <v>0</v>
      </c>
      <c r="H4142">
        <v>2</v>
      </c>
      <c r="I4142" s="3">
        <v>4456.24</v>
      </c>
      <c r="J4142" s="3">
        <v>129.97</v>
      </c>
      <c r="K4142" t="s">
        <v>7262</v>
      </c>
      <c r="L4142">
        <v>440</v>
      </c>
      <c r="M4142" t="s">
        <v>7263</v>
      </c>
      <c r="N4142" t="s">
        <v>1412</v>
      </c>
      <c r="O4142" t="s">
        <v>1413</v>
      </c>
      <c r="P4142" t="str">
        <f>"28202"</f>
        <v>28202</v>
      </c>
    </row>
    <row r="4143" spans="1:16" x14ac:dyDescent="0.25">
      <c r="A4143" t="str">
        <f>"1110082H00239    00"</f>
        <v>1110082H00239    00</v>
      </c>
      <c r="B4143" t="s">
        <v>9952</v>
      </c>
      <c r="C4143" t="s">
        <v>9953</v>
      </c>
      <c r="D4143" t="s">
        <v>20</v>
      </c>
      <c r="E4143" t="s">
        <v>39</v>
      </c>
      <c r="F4143">
        <v>0</v>
      </c>
      <c r="G4143">
        <v>0</v>
      </c>
      <c r="H4143">
        <v>2</v>
      </c>
      <c r="I4143" s="3">
        <v>1303.7</v>
      </c>
      <c r="J4143" s="3">
        <v>65.17</v>
      </c>
      <c r="K4143" t="s">
        <v>756</v>
      </c>
      <c r="L4143">
        <v>3001</v>
      </c>
      <c r="M4143" t="s">
        <v>330</v>
      </c>
      <c r="N4143" t="s">
        <v>331</v>
      </c>
      <c r="O4143" t="s">
        <v>108</v>
      </c>
      <c r="P4143" t="str">
        <f>"75063"</f>
        <v>75063</v>
      </c>
    </row>
    <row r="4144" spans="1:16" x14ac:dyDescent="0.25">
      <c r="A4144" t="str">
        <f>"1110082H00249    00"</f>
        <v>1110082H00249    00</v>
      </c>
      <c r="B4144" t="s">
        <v>9954</v>
      </c>
      <c r="C4144" t="s">
        <v>9955</v>
      </c>
      <c r="D4144" t="s">
        <v>20</v>
      </c>
      <c r="E4144" t="s">
        <v>39</v>
      </c>
      <c r="F4144">
        <v>0</v>
      </c>
      <c r="G4144">
        <v>0</v>
      </c>
      <c r="H4144">
        <v>3</v>
      </c>
      <c r="I4144" s="3">
        <v>15791.87</v>
      </c>
      <c r="J4144" s="3">
        <v>1064.5899999999999</v>
      </c>
      <c r="L4144">
        <v>1462</v>
      </c>
      <c r="M4144" t="s">
        <v>9944</v>
      </c>
      <c r="N4144" t="s">
        <v>30</v>
      </c>
      <c r="O4144" t="s">
        <v>31</v>
      </c>
      <c r="P4144" t="str">
        <f>"15206"</f>
        <v>15206</v>
      </c>
    </row>
    <row r="4145" spans="1:16" x14ac:dyDescent="0.25">
      <c r="A4145" t="str">
        <f>"1110082H00255    00"</f>
        <v>1110082H00255    00</v>
      </c>
      <c r="B4145" t="s">
        <v>9956</v>
      </c>
      <c r="C4145" t="s">
        <v>9957</v>
      </c>
      <c r="D4145" t="s">
        <v>57</v>
      </c>
      <c r="E4145" t="s">
        <v>39</v>
      </c>
      <c r="F4145">
        <v>0</v>
      </c>
      <c r="G4145">
        <v>0</v>
      </c>
      <c r="H4145">
        <v>2</v>
      </c>
      <c r="I4145" s="3">
        <v>5844.3</v>
      </c>
      <c r="J4145" s="3">
        <v>1651.44</v>
      </c>
      <c r="K4145" t="s">
        <v>9958</v>
      </c>
      <c r="L4145">
        <v>1448</v>
      </c>
      <c r="M4145" t="s">
        <v>9944</v>
      </c>
      <c r="N4145" t="s">
        <v>30</v>
      </c>
      <c r="O4145" t="s">
        <v>31</v>
      </c>
      <c r="P4145" t="str">
        <f>"15206"</f>
        <v>15206</v>
      </c>
    </row>
    <row r="4146" spans="1:16" x14ac:dyDescent="0.25">
      <c r="A4146" t="str">
        <f>"1110082H00257    00"</f>
        <v>1110082H00257    00</v>
      </c>
      <c r="B4146" t="s">
        <v>9959</v>
      </c>
      <c r="C4146" t="s">
        <v>9960</v>
      </c>
      <c r="E4146" t="s">
        <v>39</v>
      </c>
      <c r="F4146">
        <v>0</v>
      </c>
      <c r="G4146">
        <v>0</v>
      </c>
      <c r="H4146">
        <v>1</v>
      </c>
      <c r="I4146" s="3">
        <v>1680.69</v>
      </c>
      <c r="J4146" s="3">
        <v>798.3</v>
      </c>
      <c r="K4146" t="s">
        <v>9961</v>
      </c>
      <c r="L4146">
        <v>1444</v>
      </c>
      <c r="M4146" t="s">
        <v>9944</v>
      </c>
      <c r="N4146" t="s">
        <v>30</v>
      </c>
      <c r="O4146" t="s">
        <v>31</v>
      </c>
      <c r="P4146" t="str">
        <f>"15206"</f>
        <v>15206</v>
      </c>
    </row>
    <row r="4147" spans="1:16" x14ac:dyDescent="0.25">
      <c r="A4147" t="str">
        <f>"1110082H00294    00"</f>
        <v>1110082H00294    00</v>
      </c>
      <c r="B4147" t="s">
        <v>9962</v>
      </c>
      <c r="C4147" t="s">
        <v>9963</v>
      </c>
      <c r="E4147" t="s">
        <v>39</v>
      </c>
      <c r="F4147">
        <v>0</v>
      </c>
      <c r="G4147">
        <v>0</v>
      </c>
      <c r="H4147">
        <v>2</v>
      </c>
      <c r="I4147" s="3">
        <v>4791.7</v>
      </c>
      <c r="J4147" s="3">
        <v>239.57</v>
      </c>
      <c r="K4147" t="s">
        <v>881</v>
      </c>
      <c r="L4147">
        <v>3001</v>
      </c>
      <c r="M4147" t="s">
        <v>330</v>
      </c>
      <c r="N4147" t="s">
        <v>331</v>
      </c>
      <c r="O4147" t="s">
        <v>108</v>
      </c>
      <c r="P4147" t="str">
        <f>"75063"</f>
        <v>75063</v>
      </c>
    </row>
    <row r="4148" spans="1:16" x14ac:dyDescent="0.25">
      <c r="A4148" t="str">
        <f>"1110082H00310    00"</f>
        <v>1110082H00310    00</v>
      </c>
      <c r="B4148" t="s">
        <v>9964</v>
      </c>
      <c r="C4148" t="s">
        <v>9965</v>
      </c>
      <c r="E4148" t="s">
        <v>39</v>
      </c>
      <c r="F4148">
        <v>0</v>
      </c>
      <c r="G4148">
        <v>0</v>
      </c>
      <c r="H4148">
        <v>1</v>
      </c>
      <c r="I4148" s="3">
        <v>4658.12</v>
      </c>
      <c r="J4148" s="3">
        <v>1280.94</v>
      </c>
      <c r="K4148" t="s">
        <v>400</v>
      </c>
      <c r="L4148">
        <v>10561</v>
      </c>
      <c r="M4148" t="s">
        <v>9966</v>
      </c>
      <c r="N4148" t="s">
        <v>9967</v>
      </c>
      <c r="O4148" t="s">
        <v>692</v>
      </c>
      <c r="P4148" t="str">
        <f>"23059"</f>
        <v>23059</v>
      </c>
    </row>
    <row r="4149" spans="1:16" x14ac:dyDescent="0.25">
      <c r="A4149" t="str">
        <f>"1110082K00101    00"</f>
        <v>1110082K00101    00</v>
      </c>
      <c r="B4149" t="s">
        <v>9968</v>
      </c>
      <c r="C4149" t="s">
        <v>9969</v>
      </c>
      <c r="D4149" t="s">
        <v>20</v>
      </c>
      <c r="E4149" t="s">
        <v>39</v>
      </c>
      <c r="F4149">
        <v>0</v>
      </c>
      <c r="G4149">
        <v>0</v>
      </c>
      <c r="H4149">
        <v>1</v>
      </c>
      <c r="I4149" s="3">
        <v>1520.03</v>
      </c>
      <c r="J4149" s="3">
        <v>0</v>
      </c>
      <c r="L4149">
        <v>1007</v>
      </c>
      <c r="M4149" t="s">
        <v>9863</v>
      </c>
      <c r="N4149" t="s">
        <v>30</v>
      </c>
      <c r="O4149" t="s">
        <v>31</v>
      </c>
      <c r="P4149" t="str">
        <f>"15206"</f>
        <v>15206</v>
      </c>
    </row>
    <row r="4150" spans="1:16" x14ac:dyDescent="0.25">
      <c r="A4150" t="str">
        <f>"1110082K00209    00"</f>
        <v>1110082K00209    00</v>
      </c>
      <c r="B4150" t="s">
        <v>9970</v>
      </c>
      <c r="C4150" t="s">
        <v>9971</v>
      </c>
      <c r="D4150" t="s">
        <v>20</v>
      </c>
      <c r="E4150" t="s">
        <v>39</v>
      </c>
      <c r="F4150">
        <v>0</v>
      </c>
      <c r="G4150">
        <v>0</v>
      </c>
      <c r="H4150">
        <v>1</v>
      </c>
      <c r="I4150" s="3">
        <v>1664.4</v>
      </c>
      <c r="J4150" s="3">
        <v>0</v>
      </c>
      <c r="K4150" t="s">
        <v>1722</v>
      </c>
      <c r="M4150" t="s">
        <v>1723</v>
      </c>
      <c r="N4150" t="s">
        <v>410</v>
      </c>
      <c r="O4150" t="s">
        <v>31</v>
      </c>
      <c r="P4150" t="str">
        <f>"15701"</f>
        <v>15701</v>
      </c>
    </row>
    <row r="4151" spans="1:16" x14ac:dyDescent="0.25">
      <c r="A4151" t="str">
        <f>"1110082K00253    00"</f>
        <v>1110082K00253    00</v>
      </c>
      <c r="B4151" t="s">
        <v>9972</v>
      </c>
      <c r="C4151" t="s">
        <v>9973</v>
      </c>
      <c r="D4151" t="s">
        <v>20</v>
      </c>
      <c r="E4151" t="s">
        <v>39</v>
      </c>
      <c r="F4151">
        <v>0</v>
      </c>
      <c r="G4151">
        <v>0</v>
      </c>
      <c r="H4151">
        <v>2</v>
      </c>
      <c r="I4151" s="3">
        <v>3480.84</v>
      </c>
      <c r="J4151" s="3">
        <v>0</v>
      </c>
      <c r="K4151" t="s">
        <v>9974</v>
      </c>
      <c r="L4151">
        <v>5500</v>
      </c>
      <c r="M4151" t="s">
        <v>9908</v>
      </c>
      <c r="N4151" t="s">
        <v>30</v>
      </c>
      <c r="O4151" t="s">
        <v>31</v>
      </c>
      <c r="P4151" t="str">
        <f>"15206"</f>
        <v>15206</v>
      </c>
    </row>
    <row r="4152" spans="1:16" x14ac:dyDescent="0.25">
      <c r="A4152" t="str">
        <f>"1110082K00265    00"</f>
        <v>1110082K00265    00</v>
      </c>
      <c r="B4152" t="s">
        <v>9911</v>
      </c>
      <c r="C4152" t="s">
        <v>9975</v>
      </c>
      <c r="E4152" t="s">
        <v>39</v>
      </c>
      <c r="F4152">
        <v>0</v>
      </c>
      <c r="G4152">
        <v>0</v>
      </c>
      <c r="H4152">
        <v>1</v>
      </c>
      <c r="I4152" s="3">
        <v>838.1</v>
      </c>
      <c r="J4152" s="3">
        <v>0</v>
      </c>
      <c r="L4152">
        <v>5524</v>
      </c>
      <c r="M4152" t="s">
        <v>9908</v>
      </c>
      <c r="N4152" t="s">
        <v>30</v>
      </c>
      <c r="O4152" t="s">
        <v>31</v>
      </c>
      <c r="P4152" t="str">
        <f>"15206"</f>
        <v>15206</v>
      </c>
    </row>
    <row r="4153" spans="1:16" x14ac:dyDescent="0.25">
      <c r="A4153" t="str">
        <f>"1110082K00268    00"</f>
        <v>1110082K00268    00</v>
      </c>
      <c r="B4153" t="s">
        <v>9976</v>
      </c>
      <c r="C4153" t="s">
        <v>9977</v>
      </c>
      <c r="E4153" t="s">
        <v>39</v>
      </c>
      <c r="F4153">
        <v>0</v>
      </c>
      <c r="G4153">
        <v>0</v>
      </c>
      <c r="H4153">
        <v>1</v>
      </c>
      <c r="I4153" s="3">
        <v>1897.97</v>
      </c>
      <c r="J4153" s="3">
        <v>0</v>
      </c>
      <c r="L4153">
        <v>5524</v>
      </c>
      <c r="M4153" t="s">
        <v>9908</v>
      </c>
      <c r="N4153" t="s">
        <v>30</v>
      </c>
      <c r="O4153" t="s">
        <v>31</v>
      </c>
      <c r="P4153" t="str">
        <f>"15206"</f>
        <v>15206</v>
      </c>
    </row>
    <row r="4154" spans="1:16" x14ac:dyDescent="0.25">
      <c r="A4154" t="str">
        <f>"1110082K00280    00"</f>
        <v>1110082K00280    00</v>
      </c>
      <c r="B4154" t="s">
        <v>9978</v>
      </c>
      <c r="C4154" t="s">
        <v>9979</v>
      </c>
      <c r="E4154" t="s">
        <v>39</v>
      </c>
      <c r="F4154">
        <v>0</v>
      </c>
      <c r="G4154">
        <v>0</v>
      </c>
      <c r="H4154">
        <v>2</v>
      </c>
      <c r="I4154" s="3">
        <v>4121.9799999999996</v>
      </c>
      <c r="J4154" s="3">
        <v>281.88</v>
      </c>
      <c r="K4154" t="s">
        <v>5692</v>
      </c>
      <c r="M4154" t="s">
        <v>9980</v>
      </c>
      <c r="N4154" t="s">
        <v>9967</v>
      </c>
      <c r="O4154" t="s">
        <v>692</v>
      </c>
      <c r="P4154" t="str">
        <f>"23058"</f>
        <v>23058</v>
      </c>
    </row>
    <row r="4155" spans="1:16" x14ac:dyDescent="0.25">
      <c r="A4155" t="str">
        <f>"1110082K00288    00"</f>
        <v>1110082K00288    00</v>
      </c>
      <c r="B4155" t="s">
        <v>9981</v>
      </c>
      <c r="C4155" t="s">
        <v>9982</v>
      </c>
      <c r="D4155" t="s">
        <v>57</v>
      </c>
      <c r="E4155" t="s">
        <v>39</v>
      </c>
      <c r="F4155">
        <v>0</v>
      </c>
      <c r="G4155">
        <v>0</v>
      </c>
      <c r="H4155">
        <v>1</v>
      </c>
      <c r="I4155" s="3">
        <v>22.59</v>
      </c>
      <c r="J4155" s="3">
        <v>2.25</v>
      </c>
      <c r="K4155" t="s">
        <v>4801</v>
      </c>
      <c r="L4155">
        <v>1</v>
      </c>
      <c r="M4155" t="s">
        <v>4802</v>
      </c>
      <c r="N4155" t="s">
        <v>4803</v>
      </c>
      <c r="O4155" t="s">
        <v>554</v>
      </c>
      <c r="P4155" t="str">
        <f>"26003"</f>
        <v>26003</v>
      </c>
    </row>
    <row r="4156" spans="1:16" x14ac:dyDescent="0.25">
      <c r="A4156" t="str">
        <f>"1110082L00047    00"</f>
        <v>1110082L00047    00</v>
      </c>
      <c r="B4156" t="s">
        <v>9983</v>
      </c>
      <c r="C4156" t="s">
        <v>9984</v>
      </c>
      <c r="E4156" t="s">
        <v>39</v>
      </c>
      <c r="F4156">
        <v>0</v>
      </c>
      <c r="G4156">
        <v>0</v>
      </c>
      <c r="H4156">
        <v>1</v>
      </c>
      <c r="I4156" s="3">
        <v>2218.6</v>
      </c>
      <c r="J4156" s="3">
        <v>702.53</v>
      </c>
      <c r="K4156" t="s">
        <v>1502</v>
      </c>
      <c r="L4156">
        <v>901</v>
      </c>
      <c r="M4156" t="s">
        <v>1503</v>
      </c>
      <c r="N4156" t="s">
        <v>494</v>
      </c>
      <c r="O4156" t="s">
        <v>495</v>
      </c>
      <c r="P4156" t="str">
        <f>"91768"</f>
        <v>91768</v>
      </c>
    </row>
    <row r="4157" spans="1:16" x14ac:dyDescent="0.25">
      <c r="A4157" t="str">
        <f>"1110082L00078    00"</f>
        <v>1110082L00078    00</v>
      </c>
      <c r="B4157" t="s">
        <v>9985</v>
      </c>
      <c r="C4157" t="s">
        <v>9986</v>
      </c>
      <c r="E4157" t="s">
        <v>39</v>
      </c>
      <c r="F4157">
        <v>0</v>
      </c>
      <c r="G4157">
        <v>0</v>
      </c>
      <c r="H4157">
        <v>2</v>
      </c>
      <c r="I4157" s="3">
        <v>5759.96</v>
      </c>
      <c r="J4157" s="3">
        <v>240</v>
      </c>
      <c r="K4157" t="s">
        <v>400</v>
      </c>
      <c r="L4157">
        <v>3001</v>
      </c>
      <c r="M4157" t="s">
        <v>330</v>
      </c>
      <c r="N4157" t="s">
        <v>331</v>
      </c>
      <c r="O4157" t="s">
        <v>108</v>
      </c>
      <c r="P4157" t="str">
        <f>"75063"</f>
        <v>75063</v>
      </c>
    </row>
    <row r="4158" spans="1:16" x14ac:dyDescent="0.25">
      <c r="A4158" t="str">
        <f>"1110082L00093    00"</f>
        <v>1110082L00093    00</v>
      </c>
      <c r="B4158" t="s">
        <v>9987</v>
      </c>
      <c r="C4158" t="s">
        <v>9988</v>
      </c>
      <c r="E4158" t="s">
        <v>39</v>
      </c>
      <c r="F4158">
        <v>0</v>
      </c>
      <c r="G4158">
        <v>0</v>
      </c>
      <c r="H4158">
        <v>1</v>
      </c>
      <c r="I4158" s="3">
        <v>489.85</v>
      </c>
      <c r="J4158" s="3">
        <v>48.97</v>
      </c>
      <c r="K4158" t="s">
        <v>6303</v>
      </c>
      <c r="L4158">
        <v>8050</v>
      </c>
      <c r="M4158" t="s">
        <v>6304</v>
      </c>
      <c r="N4158" t="s">
        <v>2008</v>
      </c>
      <c r="O4158" t="s">
        <v>31</v>
      </c>
      <c r="P4158" t="str">
        <f>"16066"</f>
        <v>16066</v>
      </c>
    </row>
    <row r="4159" spans="1:16" x14ac:dyDescent="0.25">
      <c r="A4159" t="str">
        <f>"1110082L00094    00"</f>
        <v>1110082L00094    00</v>
      </c>
      <c r="B4159" t="s">
        <v>9989</v>
      </c>
      <c r="C4159" t="s">
        <v>9990</v>
      </c>
      <c r="D4159" t="s">
        <v>20</v>
      </c>
      <c r="E4159" t="s">
        <v>39</v>
      </c>
      <c r="F4159">
        <v>0</v>
      </c>
      <c r="G4159">
        <v>0</v>
      </c>
      <c r="H4159">
        <v>1</v>
      </c>
      <c r="I4159" s="3">
        <v>21.85</v>
      </c>
      <c r="J4159" s="3">
        <v>0</v>
      </c>
      <c r="L4159">
        <v>1131</v>
      </c>
      <c r="M4159" t="s">
        <v>9991</v>
      </c>
      <c r="N4159" t="s">
        <v>30</v>
      </c>
      <c r="O4159" t="s">
        <v>31</v>
      </c>
      <c r="P4159" t="str">
        <f>"15206"</f>
        <v>15206</v>
      </c>
    </row>
    <row r="4160" spans="1:16" x14ac:dyDescent="0.25">
      <c r="A4160" t="str">
        <f>"1110082L00100    00"</f>
        <v>1110082L00100    00</v>
      </c>
      <c r="B4160" t="s">
        <v>9992</v>
      </c>
      <c r="C4160" t="s">
        <v>9993</v>
      </c>
      <c r="D4160" t="s">
        <v>20</v>
      </c>
      <c r="E4160" t="s">
        <v>39</v>
      </c>
      <c r="F4160">
        <v>0</v>
      </c>
      <c r="G4160">
        <v>0</v>
      </c>
      <c r="H4160">
        <v>1</v>
      </c>
      <c r="I4160" s="3">
        <v>2009.39</v>
      </c>
      <c r="J4160" s="3">
        <v>0</v>
      </c>
      <c r="L4160">
        <v>1151</v>
      </c>
      <c r="M4160" t="s">
        <v>9991</v>
      </c>
      <c r="N4160" t="s">
        <v>30</v>
      </c>
      <c r="O4160" t="s">
        <v>31</v>
      </c>
      <c r="P4160" t="str">
        <f>"15206"</f>
        <v>15206</v>
      </c>
    </row>
    <row r="4161" spans="1:16" x14ac:dyDescent="0.25">
      <c r="A4161" t="str">
        <f>"1110082L00106    00"</f>
        <v>1110082L00106    00</v>
      </c>
      <c r="B4161" t="s">
        <v>9994</v>
      </c>
      <c r="C4161" t="s">
        <v>9995</v>
      </c>
      <c r="D4161" t="s">
        <v>20</v>
      </c>
      <c r="E4161" t="s">
        <v>39</v>
      </c>
      <c r="F4161">
        <v>0</v>
      </c>
      <c r="G4161">
        <v>0</v>
      </c>
      <c r="H4161">
        <v>1</v>
      </c>
      <c r="I4161" s="3">
        <v>6743.9</v>
      </c>
      <c r="J4161" s="3">
        <v>0</v>
      </c>
      <c r="L4161">
        <v>1160</v>
      </c>
      <c r="M4161" t="s">
        <v>9991</v>
      </c>
      <c r="N4161" t="s">
        <v>30</v>
      </c>
      <c r="O4161" t="s">
        <v>31</v>
      </c>
      <c r="P4161" t="str">
        <f>"15206"</f>
        <v>15206</v>
      </c>
    </row>
    <row r="4162" spans="1:16" x14ac:dyDescent="0.25">
      <c r="A4162" t="str">
        <f>"1110082L00127    00"</f>
        <v>1110082L00127    00</v>
      </c>
      <c r="B4162" t="s">
        <v>9996</v>
      </c>
      <c r="C4162" t="s">
        <v>9997</v>
      </c>
      <c r="D4162" t="s">
        <v>20</v>
      </c>
      <c r="E4162" t="s">
        <v>39</v>
      </c>
      <c r="F4162">
        <v>0</v>
      </c>
      <c r="G4162">
        <v>0</v>
      </c>
      <c r="H4162">
        <v>3</v>
      </c>
      <c r="I4162" s="3">
        <v>10549.74</v>
      </c>
      <c r="J4162" s="3">
        <v>87.92</v>
      </c>
      <c r="K4162" t="s">
        <v>9998</v>
      </c>
      <c r="L4162">
        <v>3001</v>
      </c>
      <c r="M4162" t="s">
        <v>330</v>
      </c>
      <c r="N4162" t="s">
        <v>331</v>
      </c>
      <c r="O4162" t="s">
        <v>108</v>
      </c>
      <c r="P4162" t="str">
        <f>"75063"</f>
        <v>75063</v>
      </c>
    </row>
    <row r="4163" spans="1:16" x14ac:dyDescent="0.25">
      <c r="A4163" t="str">
        <f>"1110082L00152    00"</f>
        <v>1110082L00152    00</v>
      </c>
      <c r="B4163" t="s">
        <v>9999</v>
      </c>
      <c r="C4163" t="s">
        <v>10000</v>
      </c>
      <c r="E4163" t="s">
        <v>39</v>
      </c>
      <c r="F4163">
        <v>0</v>
      </c>
      <c r="G4163">
        <v>0</v>
      </c>
      <c r="H4163">
        <v>1</v>
      </c>
      <c r="I4163" s="3">
        <v>600.4</v>
      </c>
      <c r="J4163" s="3">
        <v>60.04</v>
      </c>
      <c r="K4163" t="s">
        <v>10001</v>
      </c>
      <c r="L4163">
        <v>1143</v>
      </c>
      <c r="M4163" t="s">
        <v>3270</v>
      </c>
      <c r="N4163" t="s">
        <v>30</v>
      </c>
      <c r="O4163" t="s">
        <v>31</v>
      </c>
      <c r="P4163" t="str">
        <f>"15206"</f>
        <v>15206</v>
      </c>
    </row>
    <row r="4164" spans="1:16" x14ac:dyDescent="0.25">
      <c r="A4164" t="str">
        <f>"1110082L00153    00"</f>
        <v>1110082L00153    00</v>
      </c>
      <c r="B4164" t="s">
        <v>10002</v>
      </c>
      <c r="C4164" t="s">
        <v>10003</v>
      </c>
      <c r="D4164" t="s">
        <v>20</v>
      </c>
      <c r="E4164" t="s">
        <v>39</v>
      </c>
      <c r="F4164">
        <v>0</v>
      </c>
      <c r="G4164">
        <v>0</v>
      </c>
      <c r="H4164">
        <v>3</v>
      </c>
      <c r="I4164" s="3">
        <v>8836.2000000000007</v>
      </c>
      <c r="J4164" s="3">
        <v>186.14</v>
      </c>
      <c r="K4164" t="s">
        <v>400</v>
      </c>
      <c r="L4164">
        <v>3001</v>
      </c>
      <c r="M4164" t="s">
        <v>330</v>
      </c>
      <c r="N4164" t="s">
        <v>331</v>
      </c>
      <c r="O4164" t="s">
        <v>108</v>
      </c>
      <c r="P4164" t="str">
        <f>"75063"</f>
        <v>75063</v>
      </c>
    </row>
    <row r="4165" spans="1:16" x14ac:dyDescent="0.25">
      <c r="A4165" t="str">
        <f>"1110082L00168    00"</f>
        <v>1110082L00168    00</v>
      </c>
      <c r="B4165" t="s">
        <v>10004</v>
      </c>
      <c r="C4165" t="s">
        <v>10005</v>
      </c>
      <c r="E4165" t="s">
        <v>39</v>
      </c>
      <c r="F4165">
        <v>0</v>
      </c>
      <c r="G4165">
        <v>0</v>
      </c>
      <c r="H4165">
        <v>1</v>
      </c>
      <c r="I4165" s="3">
        <v>619.84</v>
      </c>
      <c r="J4165" s="3">
        <v>655.97</v>
      </c>
      <c r="K4165" t="s">
        <v>8393</v>
      </c>
      <c r="M4165" t="s">
        <v>8394</v>
      </c>
      <c r="N4165" t="s">
        <v>8395</v>
      </c>
      <c r="O4165" t="s">
        <v>1616</v>
      </c>
      <c r="P4165" t="str">
        <f>"57709"</f>
        <v>57709</v>
      </c>
    </row>
    <row r="4166" spans="1:16" x14ac:dyDescent="0.25">
      <c r="A4166" t="str">
        <f>"1110082L00192    00"</f>
        <v>1110082L00192    00</v>
      </c>
      <c r="B4166" t="s">
        <v>10006</v>
      </c>
      <c r="C4166" t="s">
        <v>10007</v>
      </c>
      <c r="D4166" t="s">
        <v>20</v>
      </c>
      <c r="E4166" t="s">
        <v>39</v>
      </c>
      <c r="F4166">
        <v>0</v>
      </c>
      <c r="G4166">
        <v>0</v>
      </c>
      <c r="H4166">
        <v>1</v>
      </c>
      <c r="I4166" s="3">
        <v>2554.06</v>
      </c>
      <c r="J4166" s="3">
        <v>0</v>
      </c>
      <c r="M4166" t="s">
        <v>10008</v>
      </c>
      <c r="N4166" t="s">
        <v>30</v>
      </c>
      <c r="O4166" t="s">
        <v>31</v>
      </c>
      <c r="P4166" t="str">
        <f>"15217"</f>
        <v>15217</v>
      </c>
    </row>
    <row r="4167" spans="1:16" x14ac:dyDescent="0.25">
      <c r="A4167" t="str">
        <f>"1110082L00202    00"</f>
        <v>1110082L00202    00</v>
      </c>
      <c r="B4167" t="s">
        <v>10009</v>
      </c>
      <c r="C4167" t="s">
        <v>10010</v>
      </c>
      <c r="E4167" t="s">
        <v>39</v>
      </c>
      <c r="F4167">
        <v>0</v>
      </c>
      <c r="G4167">
        <v>0</v>
      </c>
      <c r="H4167">
        <v>1</v>
      </c>
      <c r="I4167" s="3">
        <v>453.82</v>
      </c>
      <c r="J4167" s="3">
        <v>90.76</v>
      </c>
      <c r="K4167" t="s">
        <v>484</v>
      </c>
      <c r="L4167">
        <v>3001</v>
      </c>
      <c r="M4167" t="s">
        <v>330</v>
      </c>
      <c r="N4167" t="s">
        <v>331</v>
      </c>
      <c r="O4167" t="s">
        <v>108</v>
      </c>
      <c r="P4167" t="str">
        <f>"75063"</f>
        <v>75063</v>
      </c>
    </row>
    <row r="4168" spans="1:16" x14ac:dyDescent="0.25">
      <c r="A4168" t="str">
        <f>"1110082L00219    00"</f>
        <v>1110082L00219    00</v>
      </c>
      <c r="B4168" t="s">
        <v>10011</v>
      </c>
      <c r="C4168" t="s">
        <v>10012</v>
      </c>
      <c r="D4168" t="s">
        <v>20</v>
      </c>
      <c r="E4168" t="s">
        <v>39</v>
      </c>
      <c r="F4168">
        <v>0</v>
      </c>
      <c r="G4168">
        <v>0</v>
      </c>
      <c r="H4168">
        <v>3</v>
      </c>
      <c r="I4168" s="3">
        <v>4677.43</v>
      </c>
      <c r="J4168" s="3">
        <v>153.81</v>
      </c>
      <c r="K4168" t="s">
        <v>10013</v>
      </c>
      <c r="L4168">
        <v>1117</v>
      </c>
      <c r="M4168" t="s">
        <v>9937</v>
      </c>
      <c r="N4168" t="s">
        <v>30</v>
      </c>
      <c r="O4168" t="s">
        <v>31</v>
      </c>
      <c r="P4168" t="str">
        <f>"15206"</f>
        <v>15206</v>
      </c>
    </row>
    <row r="4169" spans="1:16" x14ac:dyDescent="0.25">
      <c r="A4169" t="str">
        <f>"1110082L00224    00"</f>
        <v>1110082L00224    00</v>
      </c>
      <c r="B4169" t="s">
        <v>10014</v>
      </c>
      <c r="C4169" t="s">
        <v>10015</v>
      </c>
      <c r="E4169" t="s">
        <v>39</v>
      </c>
      <c r="F4169">
        <v>0</v>
      </c>
      <c r="G4169">
        <v>0</v>
      </c>
      <c r="H4169">
        <v>1</v>
      </c>
      <c r="I4169" s="3">
        <v>5980.87</v>
      </c>
      <c r="J4169" s="3">
        <v>1692.31</v>
      </c>
      <c r="L4169">
        <v>1127</v>
      </c>
      <c r="M4169" t="s">
        <v>9937</v>
      </c>
      <c r="N4169" t="s">
        <v>30</v>
      </c>
      <c r="O4169" t="s">
        <v>31</v>
      </c>
      <c r="P4169" t="str">
        <f>"15206"</f>
        <v>15206</v>
      </c>
    </row>
    <row r="4170" spans="1:16" x14ac:dyDescent="0.25">
      <c r="A4170" t="str">
        <f>"1110082L00236    00"</f>
        <v>1110082L00236    00</v>
      </c>
      <c r="B4170" t="s">
        <v>10016</v>
      </c>
      <c r="C4170" t="s">
        <v>10017</v>
      </c>
      <c r="E4170" t="s">
        <v>21</v>
      </c>
      <c r="F4170">
        <v>0</v>
      </c>
      <c r="G4170">
        <v>0</v>
      </c>
      <c r="H4170">
        <v>1</v>
      </c>
      <c r="I4170" s="3">
        <v>3714.81</v>
      </c>
      <c r="J4170" s="3">
        <v>681.03</v>
      </c>
      <c r="K4170" t="s">
        <v>10018</v>
      </c>
      <c r="L4170">
        <v>1151</v>
      </c>
      <c r="M4170" t="s">
        <v>9991</v>
      </c>
      <c r="N4170" t="s">
        <v>30</v>
      </c>
      <c r="O4170" t="s">
        <v>31</v>
      </c>
      <c r="P4170" t="str">
        <f>"15206"</f>
        <v>15206</v>
      </c>
    </row>
    <row r="4171" spans="1:16" x14ac:dyDescent="0.25">
      <c r="A4171" t="str">
        <f>"1110082L00281    00"</f>
        <v>1110082L00281    00</v>
      </c>
      <c r="B4171" t="s">
        <v>10019</v>
      </c>
      <c r="C4171" t="s">
        <v>10020</v>
      </c>
      <c r="D4171" t="s">
        <v>20</v>
      </c>
      <c r="E4171" t="s">
        <v>21</v>
      </c>
      <c r="F4171">
        <v>0</v>
      </c>
      <c r="G4171">
        <v>0</v>
      </c>
      <c r="H4171">
        <v>3</v>
      </c>
      <c r="I4171" s="3">
        <v>14757.89</v>
      </c>
      <c r="J4171" s="3">
        <v>927.2</v>
      </c>
      <c r="L4171">
        <v>5703</v>
      </c>
      <c r="M4171" t="s">
        <v>10021</v>
      </c>
      <c r="N4171" t="s">
        <v>30</v>
      </c>
      <c r="O4171" t="s">
        <v>31</v>
      </c>
      <c r="P4171" t="str">
        <f>"15206"</f>
        <v>15206</v>
      </c>
    </row>
    <row r="4172" spans="1:16" x14ac:dyDescent="0.25">
      <c r="A4172" t="str">
        <f>"1110082L00315    00"</f>
        <v>1110082L00315    00</v>
      </c>
      <c r="B4172" t="s">
        <v>10022</v>
      </c>
      <c r="C4172" t="s">
        <v>10023</v>
      </c>
      <c r="D4172" t="s">
        <v>20</v>
      </c>
      <c r="E4172" t="s">
        <v>39</v>
      </c>
      <c r="F4172">
        <v>0</v>
      </c>
      <c r="G4172">
        <v>0</v>
      </c>
      <c r="H4172">
        <v>1</v>
      </c>
      <c r="I4172" s="3">
        <v>44.53</v>
      </c>
      <c r="J4172" s="3">
        <v>12.25</v>
      </c>
      <c r="K4172" t="s">
        <v>391</v>
      </c>
      <c r="L4172">
        <v>1</v>
      </c>
      <c r="M4172" t="s">
        <v>392</v>
      </c>
      <c r="N4172" t="s">
        <v>393</v>
      </c>
      <c r="O4172" t="s">
        <v>394</v>
      </c>
      <c r="P4172" t="str">
        <f>"50328"</f>
        <v>50328</v>
      </c>
    </row>
    <row r="4173" spans="1:16" x14ac:dyDescent="0.25">
      <c r="A4173" t="str">
        <f>"1110082M00049    00"</f>
        <v>1110082M00049    00</v>
      </c>
      <c r="B4173" t="s">
        <v>10024</v>
      </c>
      <c r="C4173" t="s">
        <v>10025</v>
      </c>
      <c r="D4173" t="s">
        <v>20</v>
      </c>
      <c r="E4173" t="s">
        <v>39</v>
      </c>
      <c r="F4173">
        <v>0</v>
      </c>
      <c r="G4173">
        <v>0</v>
      </c>
      <c r="H4173">
        <v>2</v>
      </c>
      <c r="I4173" s="3">
        <v>2787</v>
      </c>
      <c r="J4173" s="3">
        <v>0</v>
      </c>
      <c r="L4173">
        <v>5819</v>
      </c>
      <c r="M4173" t="s">
        <v>9872</v>
      </c>
      <c r="N4173" t="s">
        <v>30</v>
      </c>
      <c r="O4173" t="s">
        <v>31</v>
      </c>
      <c r="P4173" t="str">
        <f>"15206"</f>
        <v>15206</v>
      </c>
    </row>
    <row r="4174" spans="1:16" x14ac:dyDescent="0.25">
      <c r="A4174" t="str">
        <f>"1110082M00060    00"</f>
        <v>1110082M00060    00</v>
      </c>
      <c r="B4174" t="s">
        <v>10026</v>
      </c>
      <c r="C4174" t="s">
        <v>10027</v>
      </c>
      <c r="D4174" t="s">
        <v>20</v>
      </c>
      <c r="E4174" t="s">
        <v>39</v>
      </c>
      <c r="F4174">
        <v>0</v>
      </c>
      <c r="G4174">
        <v>0</v>
      </c>
      <c r="H4174">
        <v>1</v>
      </c>
      <c r="I4174" s="3">
        <v>4115.07</v>
      </c>
      <c r="J4174" s="3">
        <v>0</v>
      </c>
      <c r="K4174" t="s">
        <v>492</v>
      </c>
      <c r="L4174">
        <v>901</v>
      </c>
      <c r="M4174" t="s">
        <v>493</v>
      </c>
      <c r="N4174" t="s">
        <v>494</v>
      </c>
      <c r="O4174" t="s">
        <v>495</v>
      </c>
      <c r="P4174" t="str">
        <f>"91768"</f>
        <v>91768</v>
      </c>
    </row>
    <row r="4175" spans="1:16" x14ac:dyDescent="0.25">
      <c r="A4175" t="str">
        <f>"1110082M00092    00"</f>
        <v>1110082M00092    00</v>
      </c>
      <c r="B4175" t="s">
        <v>10028</v>
      </c>
      <c r="C4175" t="s">
        <v>10029</v>
      </c>
      <c r="E4175" t="s">
        <v>39</v>
      </c>
      <c r="F4175">
        <v>0</v>
      </c>
      <c r="G4175">
        <v>0</v>
      </c>
      <c r="H4175">
        <v>1</v>
      </c>
      <c r="I4175" s="3">
        <v>2235.98</v>
      </c>
      <c r="J4175" s="3">
        <v>0</v>
      </c>
      <c r="K4175" t="s">
        <v>10030</v>
      </c>
      <c r="L4175">
        <v>5904</v>
      </c>
      <c r="M4175" t="s">
        <v>9872</v>
      </c>
      <c r="N4175" t="s">
        <v>30</v>
      </c>
      <c r="O4175" t="s">
        <v>31</v>
      </c>
      <c r="P4175" t="str">
        <f>"15206"</f>
        <v>15206</v>
      </c>
    </row>
    <row r="4176" spans="1:16" x14ac:dyDescent="0.25">
      <c r="A4176" t="str">
        <f>"1110082M00105    00"</f>
        <v>1110082M00105    00</v>
      </c>
      <c r="B4176" t="s">
        <v>10031</v>
      </c>
      <c r="C4176" t="s">
        <v>10032</v>
      </c>
      <c r="E4176" t="s">
        <v>39</v>
      </c>
      <c r="F4176">
        <v>0</v>
      </c>
      <c r="G4176">
        <v>0</v>
      </c>
      <c r="H4176">
        <v>2</v>
      </c>
      <c r="I4176" s="3">
        <v>994.97</v>
      </c>
      <c r="J4176" s="3">
        <v>68.03</v>
      </c>
      <c r="K4176" t="s">
        <v>5692</v>
      </c>
      <c r="L4176">
        <v>3001</v>
      </c>
      <c r="M4176" t="s">
        <v>330</v>
      </c>
      <c r="N4176" t="s">
        <v>331</v>
      </c>
      <c r="O4176" t="s">
        <v>108</v>
      </c>
      <c r="P4176" t="str">
        <f>"75063"</f>
        <v>75063</v>
      </c>
    </row>
    <row r="4177" spans="1:16" x14ac:dyDescent="0.25">
      <c r="A4177" t="str">
        <f>"1110082M00115    00"</f>
        <v>1110082M00115    00</v>
      </c>
      <c r="B4177" t="s">
        <v>10033</v>
      </c>
      <c r="C4177" t="s">
        <v>10034</v>
      </c>
      <c r="D4177" t="s">
        <v>20</v>
      </c>
      <c r="E4177" t="s">
        <v>21</v>
      </c>
      <c r="F4177">
        <v>0</v>
      </c>
      <c r="G4177">
        <v>0</v>
      </c>
      <c r="H4177">
        <v>1</v>
      </c>
      <c r="I4177" s="3">
        <v>1832.07</v>
      </c>
      <c r="J4177" s="3">
        <v>687</v>
      </c>
      <c r="K4177" t="s">
        <v>10035</v>
      </c>
      <c r="M4177" t="s">
        <v>10036</v>
      </c>
      <c r="N4177" t="s">
        <v>30</v>
      </c>
      <c r="O4177" t="s">
        <v>31</v>
      </c>
      <c r="P4177" t="str">
        <f>"15206"</f>
        <v>15206</v>
      </c>
    </row>
    <row r="4178" spans="1:16" x14ac:dyDescent="0.25">
      <c r="A4178" t="str">
        <f>"1110082M00156    00"</f>
        <v>1110082M00156    00</v>
      </c>
      <c r="B4178" t="s">
        <v>10037</v>
      </c>
      <c r="C4178" t="s">
        <v>10038</v>
      </c>
      <c r="D4178" t="s">
        <v>20</v>
      </c>
      <c r="E4178" t="s">
        <v>39</v>
      </c>
      <c r="F4178">
        <v>0</v>
      </c>
      <c r="G4178">
        <v>0</v>
      </c>
      <c r="H4178">
        <v>2</v>
      </c>
      <c r="I4178" s="3">
        <v>66.099999999999994</v>
      </c>
      <c r="J4178" s="3">
        <v>13.2</v>
      </c>
      <c r="K4178" t="s">
        <v>10039</v>
      </c>
      <c r="L4178">
        <v>1237</v>
      </c>
      <c r="M4178" t="s">
        <v>7241</v>
      </c>
      <c r="N4178" t="s">
        <v>30</v>
      </c>
      <c r="O4178" t="s">
        <v>31</v>
      </c>
      <c r="P4178" t="str">
        <f>"15206"</f>
        <v>15206</v>
      </c>
    </row>
    <row r="4179" spans="1:16" x14ac:dyDescent="0.25">
      <c r="A4179" t="str">
        <f>"1110082M00172    00"</f>
        <v>1110082M00172    00</v>
      </c>
      <c r="B4179" t="s">
        <v>10040</v>
      </c>
      <c r="C4179" t="s">
        <v>10041</v>
      </c>
      <c r="E4179" t="s">
        <v>290</v>
      </c>
      <c r="F4179">
        <v>0</v>
      </c>
      <c r="G4179">
        <v>0</v>
      </c>
      <c r="H4179">
        <v>1</v>
      </c>
      <c r="I4179" s="3">
        <v>35.43</v>
      </c>
      <c r="J4179" s="3">
        <v>0</v>
      </c>
      <c r="L4179">
        <v>5920</v>
      </c>
      <c r="M4179" t="s">
        <v>10021</v>
      </c>
      <c r="N4179" t="s">
        <v>30</v>
      </c>
      <c r="O4179" t="s">
        <v>31</v>
      </c>
      <c r="P4179" t="str">
        <f>"15206"</f>
        <v>15206</v>
      </c>
    </row>
    <row r="4180" spans="1:16" x14ac:dyDescent="0.25">
      <c r="A4180" t="str">
        <f>"1110082M00183    00"</f>
        <v>1110082M00183    00</v>
      </c>
      <c r="B4180" t="s">
        <v>218</v>
      </c>
      <c r="C4180" t="s">
        <v>10042</v>
      </c>
      <c r="D4180" t="s">
        <v>20</v>
      </c>
      <c r="E4180" t="s">
        <v>39</v>
      </c>
      <c r="F4180">
        <v>0</v>
      </c>
      <c r="G4180">
        <v>0</v>
      </c>
      <c r="H4180">
        <v>3</v>
      </c>
      <c r="I4180" s="3">
        <v>2361.5700000000002</v>
      </c>
      <c r="J4180" s="3">
        <v>157.43</v>
      </c>
      <c r="K4180" t="s">
        <v>220</v>
      </c>
      <c r="L4180">
        <v>412</v>
      </c>
      <c r="M4180" t="s">
        <v>221</v>
      </c>
      <c r="N4180" t="s">
        <v>30</v>
      </c>
      <c r="O4180" t="s">
        <v>31</v>
      </c>
      <c r="P4180" t="str">
        <f>"15219"</f>
        <v>15219</v>
      </c>
    </row>
    <row r="4181" spans="1:16" x14ac:dyDescent="0.25">
      <c r="A4181" t="str">
        <f>"1110082M00222    00"</f>
        <v>1110082M00222    00</v>
      </c>
      <c r="B4181" t="s">
        <v>10043</v>
      </c>
      <c r="C4181" t="s">
        <v>10044</v>
      </c>
      <c r="D4181" t="s">
        <v>20</v>
      </c>
      <c r="E4181" t="s">
        <v>39</v>
      </c>
      <c r="F4181">
        <v>0</v>
      </c>
      <c r="G4181">
        <v>0</v>
      </c>
      <c r="H4181">
        <v>3</v>
      </c>
      <c r="I4181" s="3">
        <v>2664.44</v>
      </c>
      <c r="J4181" s="3">
        <v>142.18</v>
      </c>
      <c r="L4181">
        <v>5915</v>
      </c>
      <c r="M4181" t="s">
        <v>6173</v>
      </c>
      <c r="N4181" t="s">
        <v>30</v>
      </c>
      <c r="O4181" t="s">
        <v>31</v>
      </c>
      <c r="P4181" t="str">
        <f>"15206"</f>
        <v>15206</v>
      </c>
    </row>
    <row r="4182" spans="1:16" x14ac:dyDescent="0.25">
      <c r="A4182" t="str">
        <f>"1110082M00225    00"</f>
        <v>1110082M00225    00</v>
      </c>
      <c r="B4182" t="s">
        <v>10045</v>
      </c>
      <c r="C4182" t="s">
        <v>10046</v>
      </c>
      <c r="E4182" t="s">
        <v>39</v>
      </c>
      <c r="F4182">
        <v>0</v>
      </c>
      <c r="G4182">
        <v>0</v>
      </c>
      <c r="H4182">
        <v>2</v>
      </c>
      <c r="I4182" s="3">
        <v>969.88</v>
      </c>
      <c r="J4182" s="3">
        <v>66.33</v>
      </c>
      <c r="K4182" t="s">
        <v>10047</v>
      </c>
      <c r="L4182">
        <v>5923</v>
      </c>
      <c r="M4182" t="s">
        <v>6173</v>
      </c>
      <c r="N4182" t="s">
        <v>30</v>
      </c>
      <c r="O4182" t="s">
        <v>31</v>
      </c>
      <c r="P4182" t="str">
        <f>"15206"</f>
        <v>15206</v>
      </c>
    </row>
    <row r="4183" spans="1:16" x14ac:dyDescent="0.25">
      <c r="A4183" t="str">
        <f>"1110082M00282    00"</f>
        <v>1110082M00282    00</v>
      </c>
      <c r="B4183" t="s">
        <v>10048</v>
      </c>
      <c r="C4183" t="s">
        <v>10049</v>
      </c>
      <c r="E4183" t="s">
        <v>39</v>
      </c>
      <c r="F4183">
        <v>0</v>
      </c>
      <c r="G4183">
        <v>0</v>
      </c>
      <c r="H4183">
        <v>1</v>
      </c>
      <c r="I4183" s="3">
        <v>3586.26</v>
      </c>
      <c r="J4183" s="3">
        <v>1135.5999999999999</v>
      </c>
      <c r="K4183" t="s">
        <v>710</v>
      </c>
      <c r="L4183">
        <v>4140</v>
      </c>
      <c r="M4183" t="s">
        <v>711</v>
      </c>
      <c r="N4183" t="s">
        <v>712</v>
      </c>
      <c r="O4183" t="s">
        <v>31</v>
      </c>
      <c r="P4183" t="str">
        <f>"16148"</f>
        <v>16148</v>
      </c>
    </row>
    <row r="4184" spans="1:16" x14ac:dyDescent="0.25">
      <c r="A4184" t="str">
        <f>"1110082M00297    00"</f>
        <v>1110082M00297    00</v>
      </c>
      <c r="B4184" t="s">
        <v>10050</v>
      </c>
      <c r="C4184" t="s">
        <v>10051</v>
      </c>
      <c r="D4184" t="s">
        <v>20</v>
      </c>
      <c r="E4184" t="s">
        <v>39</v>
      </c>
      <c r="F4184">
        <v>0</v>
      </c>
      <c r="G4184">
        <v>0</v>
      </c>
      <c r="H4184">
        <v>1</v>
      </c>
      <c r="I4184" s="3">
        <v>3000</v>
      </c>
      <c r="J4184" s="3">
        <v>0</v>
      </c>
      <c r="L4184">
        <v>1224</v>
      </c>
      <c r="M4184" t="s">
        <v>10052</v>
      </c>
      <c r="N4184" t="s">
        <v>30</v>
      </c>
      <c r="O4184" t="s">
        <v>31</v>
      </c>
      <c r="P4184" t="str">
        <f>"15206"</f>
        <v>15206</v>
      </c>
    </row>
    <row r="4185" spans="1:16" x14ac:dyDescent="0.25">
      <c r="A4185" t="str">
        <f>"1110082M00322    00"</f>
        <v>1110082M00322    00</v>
      </c>
      <c r="B4185" t="s">
        <v>10053</v>
      </c>
      <c r="C4185" t="s">
        <v>10054</v>
      </c>
      <c r="E4185" t="s">
        <v>39</v>
      </c>
      <c r="F4185">
        <v>0</v>
      </c>
      <c r="G4185">
        <v>0</v>
      </c>
      <c r="H4185">
        <v>1</v>
      </c>
      <c r="I4185" s="3">
        <v>3085.5</v>
      </c>
      <c r="J4185" s="3">
        <v>1542.68</v>
      </c>
      <c r="K4185" t="s">
        <v>445</v>
      </c>
      <c r="L4185">
        <v>1</v>
      </c>
      <c r="M4185" t="s">
        <v>1163</v>
      </c>
      <c r="N4185" t="s">
        <v>1164</v>
      </c>
      <c r="O4185" t="s">
        <v>108</v>
      </c>
      <c r="P4185" t="str">
        <f>"76262"</f>
        <v>76262</v>
      </c>
    </row>
    <row r="4186" spans="1:16" x14ac:dyDescent="0.25">
      <c r="A4186" t="str">
        <f>"1110082M00333    00"</f>
        <v>1110082M00333    00</v>
      </c>
      <c r="B4186" t="s">
        <v>10055</v>
      </c>
      <c r="C4186" t="s">
        <v>10056</v>
      </c>
      <c r="D4186" t="s">
        <v>20</v>
      </c>
      <c r="E4186" t="s">
        <v>39</v>
      </c>
      <c r="F4186">
        <v>0</v>
      </c>
      <c r="G4186">
        <v>0</v>
      </c>
      <c r="H4186">
        <v>1</v>
      </c>
      <c r="I4186" s="3">
        <v>110.52</v>
      </c>
      <c r="J4186" s="3">
        <v>0</v>
      </c>
      <c r="L4186">
        <v>6025</v>
      </c>
      <c r="M4186" t="s">
        <v>10057</v>
      </c>
      <c r="N4186" t="s">
        <v>30</v>
      </c>
      <c r="O4186" t="s">
        <v>31</v>
      </c>
      <c r="P4186" t="str">
        <f>"15206"</f>
        <v>15206</v>
      </c>
    </row>
    <row r="4187" spans="1:16" x14ac:dyDescent="0.25">
      <c r="A4187" t="str">
        <f>"1110082M00387    00"</f>
        <v>1110082M00387    00</v>
      </c>
      <c r="B4187" t="s">
        <v>10058</v>
      </c>
      <c r="C4187" t="s">
        <v>10059</v>
      </c>
      <c r="E4187" t="s">
        <v>39</v>
      </c>
      <c r="F4187">
        <v>0</v>
      </c>
      <c r="G4187">
        <v>0</v>
      </c>
      <c r="H4187">
        <v>2</v>
      </c>
      <c r="I4187" s="3">
        <v>1354.49</v>
      </c>
      <c r="J4187" s="3">
        <v>92.62</v>
      </c>
      <c r="K4187" t="s">
        <v>400</v>
      </c>
      <c r="L4187">
        <v>3001</v>
      </c>
      <c r="M4187" t="s">
        <v>330</v>
      </c>
      <c r="N4187" t="s">
        <v>331</v>
      </c>
      <c r="O4187" t="s">
        <v>108</v>
      </c>
      <c r="P4187" t="str">
        <f>"75063"</f>
        <v>75063</v>
      </c>
    </row>
    <row r="4188" spans="1:16" x14ac:dyDescent="0.25">
      <c r="A4188" t="str">
        <f>"1110082N00065    00"</f>
        <v>1110082N00065    00</v>
      </c>
      <c r="B4188" t="s">
        <v>10060</v>
      </c>
      <c r="C4188" t="s">
        <v>10061</v>
      </c>
      <c r="D4188" t="s">
        <v>20</v>
      </c>
      <c r="E4188" t="s">
        <v>39</v>
      </c>
      <c r="F4188">
        <v>0</v>
      </c>
      <c r="G4188">
        <v>0</v>
      </c>
      <c r="H4188">
        <v>1</v>
      </c>
      <c r="I4188" s="3">
        <v>1231.75</v>
      </c>
      <c r="J4188" s="3">
        <v>0</v>
      </c>
      <c r="K4188" t="s">
        <v>1632</v>
      </c>
      <c r="L4188">
        <v>3001</v>
      </c>
      <c r="M4188" t="s">
        <v>330</v>
      </c>
      <c r="N4188" t="s">
        <v>331</v>
      </c>
      <c r="O4188" t="s">
        <v>108</v>
      </c>
      <c r="P4188" t="str">
        <f>"75063"</f>
        <v>75063</v>
      </c>
    </row>
    <row r="4189" spans="1:16" x14ac:dyDescent="0.25">
      <c r="A4189" t="str">
        <f>"1110082N00155    00"</f>
        <v>1110082N00155    00</v>
      </c>
      <c r="B4189" t="s">
        <v>10062</v>
      </c>
      <c r="C4189" t="s">
        <v>10063</v>
      </c>
      <c r="D4189" t="s">
        <v>20</v>
      </c>
      <c r="E4189" t="s">
        <v>39</v>
      </c>
      <c r="F4189">
        <v>0</v>
      </c>
      <c r="G4189">
        <v>0</v>
      </c>
      <c r="H4189">
        <v>1</v>
      </c>
      <c r="I4189" s="3">
        <v>756.69</v>
      </c>
      <c r="J4189" s="3">
        <v>0</v>
      </c>
      <c r="K4189" t="s">
        <v>10064</v>
      </c>
      <c r="L4189">
        <v>101</v>
      </c>
      <c r="M4189" t="s">
        <v>9541</v>
      </c>
      <c r="N4189" t="s">
        <v>1766</v>
      </c>
      <c r="O4189" t="s">
        <v>31</v>
      </c>
      <c r="P4189" t="str">
        <f>"15367"</f>
        <v>15367</v>
      </c>
    </row>
    <row r="4190" spans="1:16" x14ac:dyDescent="0.25">
      <c r="A4190" t="str">
        <f>"1110082N00185    00"</f>
        <v>1110082N00185    00</v>
      </c>
      <c r="B4190" t="s">
        <v>7239</v>
      </c>
      <c r="C4190" t="s">
        <v>10065</v>
      </c>
      <c r="D4190" t="s">
        <v>20</v>
      </c>
      <c r="E4190" t="s">
        <v>39</v>
      </c>
      <c r="F4190">
        <v>0</v>
      </c>
      <c r="G4190">
        <v>0</v>
      </c>
      <c r="H4190">
        <v>1</v>
      </c>
      <c r="I4190" s="3">
        <v>3369.81</v>
      </c>
      <c r="J4190" s="3">
        <v>0</v>
      </c>
      <c r="L4190">
        <v>1121</v>
      </c>
      <c r="M4190" t="s">
        <v>7241</v>
      </c>
      <c r="N4190" t="s">
        <v>30</v>
      </c>
      <c r="O4190" t="s">
        <v>31</v>
      </c>
      <c r="P4190" t="str">
        <f>"15206"</f>
        <v>15206</v>
      </c>
    </row>
    <row r="4191" spans="1:16" x14ac:dyDescent="0.25">
      <c r="A4191" t="str">
        <f>"1110082N00266    00"</f>
        <v>1110082N00266    00</v>
      </c>
      <c r="B4191" t="s">
        <v>10066</v>
      </c>
      <c r="C4191" t="s">
        <v>10067</v>
      </c>
      <c r="D4191" t="s">
        <v>20</v>
      </c>
      <c r="E4191" t="s">
        <v>39</v>
      </c>
      <c r="F4191">
        <v>0</v>
      </c>
      <c r="G4191">
        <v>0</v>
      </c>
      <c r="H4191">
        <v>3</v>
      </c>
      <c r="I4191" s="3">
        <v>4230.05</v>
      </c>
      <c r="J4191" s="3">
        <v>293.82</v>
      </c>
      <c r="K4191" t="s">
        <v>9998</v>
      </c>
      <c r="L4191">
        <v>3001</v>
      </c>
      <c r="M4191" t="s">
        <v>330</v>
      </c>
      <c r="N4191" t="s">
        <v>331</v>
      </c>
      <c r="O4191" t="s">
        <v>108</v>
      </c>
      <c r="P4191" t="str">
        <f>"75063"</f>
        <v>75063</v>
      </c>
    </row>
    <row r="4192" spans="1:16" x14ac:dyDescent="0.25">
      <c r="A4192" t="str">
        <f>"1110082P00001    00"</f>
        <v>1110082P00001    00</v>
      </c>
      <c r="B4192" t="s">
        <v>10068</v>
      </c>
      <c r="C4192" t="s">
        <v>10069</v>
      </c>
      <c r="E4192" t="s">
        <v>39</v>
      </c>
      <c r="F4192">
        <v>0</v>
      </c>
      <c r="G4192">
        <v>0</v>
      </c>
      <c r="H4192">
        <v>2</v>
      </c>
      <c r="I4192" s="3">
        <v>2458.7600000000002</v>
      </c>
      <c r="J4192" s="3">
        <v>18.420000000000002</v>
      </c>
      <c r="K4192" t="s">
        <v>1435</v>
      </c>
      <c r="M4192" t="s">
        <v>271</v>
      </c>
      <c r="N4192" t="s">
        <v>272</v>
      </c>
      <c r="O4192" t="s">
        <v>273</v>
      </c>
      <c r="P4192" t="str">
        <f>"29603"</f>
        <v>29603</v>
      </c>
    </row>
    <row r="4193" spans="1:16" x14ac:dyDescent="0.25">
      <c r="A4193" t="str">
        <f>"1110082P00021    00"</f>
        <v>1110082P00021    00</v>
      </c>
      <c r="B4193" t="s">
        <v>10070</v>
      </c>
      <c r="C4193" t="s">
        <v>10071</v>
      </c>
      <c r="E4193" t="s">
        <v>39</v>
      </c>
      <c r="F4193">
        <v>0</v>
      </c>
      <c r="G4193">
        <v>0</v>
      </c>
      <c r="H4193">
        <v>1</v>
      </c>
      <c r="I4193" s="3">
        <v>5188.96</v>
      </c>
      <c r="J4193" s="3">
        <v>1383.66</v>
      </c>
      <c r="K4193" t="s">
        <v>728</v>
      </c>
      <c r="L4193">
        <v>3001</v>
      </c>
      <c r="M4193" t="s">
        <v>330</v>
      </c>
      <c r="N4193" t="s">
        <v>331</v>
      </c>
      <c r="O4193" t="s">
        <v>108</v>
      </c>
      <c r="P4193" t="str">
        <f>"75063"</f>
        <v>75063</v>
      </c>
    </row>
    <row r="4194" spans="1:16" x14ac:dyDescent="0.25">
      <c r="A4194" t="str">
        <f>"1110082P00032    00"</f>
        <v>1110082P00032    00</v>
      </c>
      <c r="B4194" t="s">
        <v>10072</v>
      </c>
      <c r="C4194" t="s">
        <v>10073</v>
      </c>
      <c r="E4194" t="s">
        <v>39</v>
      </c>
      <c r="F4194">
        <v>0</v>
      </c>
      <c r="G4194">
        <v>0</v>
      </c>
      <c r="H4194">
        <v>2</v>
      </c>
      <c r="I4194" s="3">
        <v>5906.8</v>
      </c>
      <c r="J4194" s="3">
        <v>73.83</v>
      </c>
      <c r="K4194" t="s">
        <v>5334</v>
      </c>
      <c r="L4194">
        <v>3001</v>
      </c>
      <c r="M4194" t="s">
        <v>330</v>
      </c>
      <c r="N4194" t="s">
        <v>331</v>
      </c>
      <c r="O4194" t="s">
        <v>108</v>
      </c>
      <c r="P4194" t="str">
        <f>"75063"</f>
        <v>75063</v>
      </c>
    </row>
    <row r="4195" spans="1:16" x14ac:dyDescent="0.25">
      <c r="A4195" t="str">
        <f>"1110082P00054    00"</f>
        <v>1110082P00054    00</v>
      </c>
      <c r="B4195" t="s">
        <v>10074</v>
      </c>
      <c r="C4195" t="s">
        <v>10075</v>
      </c>
      <c r="D4195" t="s">
        <v>57</v>
      </c>
      <c r="E4195" t="s">
        <v>39</v>
      </c>
      <c r="F4195">
        <v>0</v>
      </c>
      <c r="G4195">
        <v>0</v>
      </c>
      <c r="H4195">
        <v>2</v>
      </c>
      <c r="I4195" s="3">
        <v>2650.46</v>
      </c>
      <c r="J4195" s="3">
        <v>181.25</v>
      </c>
      <c r="K4195" t="s">
        <v>5160</v>
      </c>
      <c r="L4195">
        <v>1200</v>
      </c>
      <c r="M4195" t="s">
        <v>5161</v>
      </c>
      <c r="N4195" t="s">
        <v>5162</v>
      </c>
      <c r="O4195" t="s">
        <v>108</v>
      </c>
      <c r="P4195" t="str">
        <f>"75081"</f>
        <v>75081</v>
      </c>
    </row>
    <row r="4196" spans="1:16" x14ac:dyDescent="0.25">
      <c r="A4196" t="str">
        <f>"1110082P00070    00"</f>
        <v>1110082P00070    00</v>
      </c>
      <c r="B4196" t="s">
        <v>10076</v>
      </c>
      <c r="C4196" t="s">
        <v>10077</v>
      </c>
      <c r="D4196" t="s">
        <v>20</v>
      </c>
      <c r="E4196" t="s">
        <v>39</v>
      </c>
      <c r="F4196">
        <v>0</v>
      </c>
      <c r="G4196">
        <v>0</v>
      </c>
      <c r="H4196">
        <v>2</v>
      </c>
      <c r="I4196" s="3">
        <v>745.86</v>
      </c>
      <c r="J4196" s="3">
        <v>0</v>
      </c>
      <c r="K4196" t="s">
        <v>10078</v>
      </c>
      <c r="L4196">
        <v>7306</v>
      </c>
      <c r="M4196" t="s">
        <v>10079</v>
      </c>
      <c r="N4196" t="s">
        <v>10080</v>
      </c>
      <c r="O4196" t="s">
        <v>370</v>
      </c>
      <c r="P4196" t="str">
        <f>"33572"</f>
        <v>33572</v>
      </c>
    </row>
    <row r="4197" spans="1:16" x14ac:dyDescent="0.25">
      <c r="A4197" t="str">
        <f>"1110082P00083    00"</f>
        <v>1110082P00083    00</v>
      </c>
      <c r="B4197" t="s">
        <v>10081</v>
      </c>
      <c r="C4197" t="s">
        <v>10082</v>
      </c>
      <c r="D4197" t="s">
        <v>20</v>
      </c>
      <c r="E4197" t="s">
        <v>39</v>
      </c>
      <c r="F4197">
        <v>0</v>
      </c>
      <c r="G4197">
        <v>0</v>
      </c>
      <c r="H4197">
        <v>1</v>
      </c>
      <c r="I4197" s="3">
        <v>2345.12</v>
      </c>
      <c r="J4197" s="3">
        <v>0</v>
      </c>
      <c r="L4197">
        <v>5512</v>
      </c>
      <c r="M4197" t="s">
        <v>10083</v>
      </c>
      <c r="N4197" t="s">
        <v>30</v>
      </c>
      <c r="O4197" t="s">
        <v>31</v>
      </c>
      <c r="P4197" t="str">
        <f>"15206"</f>
        <v>15206</v>
      </c>
    </row>
    <row r="4198" spans="1:16" x14ac:dyDescent="0.25">
      <c r="A4198" t="str">
        <f>"1110082P00084    00"</f>
        <v>1110082P00084    00</v>
      </c>
      <c r="B4198" t="s">
        <v>10084</v>
      </c>
      <c r="C4198" t="s">
        <v>10085</v>
      </c>
      <c r="D4198" t="s">
        <v>20</v>
      </c>
      <c r="E4198" t="s">
        <v>39</v>
      </c>
      <c r="F4198">
        <v>0</v>
      </c>
      <c r="G4198">
        <v>0</v>
      </c>
      <c r="H4198">
        <v>2</v>
      </c>
      <c r="I4198" s="3">
        <v>12501.58</v>
      </c>
      <c r="J4198" s="3">
        <v>0</v>
      </c>
      <c r="K4198" t="s">
        <v>1722</v>
      </c>
      <c r="M4198" t="s">
        <v>1723</v>
      </c>
      <c r="N4198" t="s">
        <v>410</v>
      </c>
      <c r="O4198" t="s">
        <v>31</v>
      </c>
      <c r="P4198" t="str">
        <f>"15701"</f>
        <v>15701</v>
      </c>
    </row>
    <row r="4199" spans="1:16" x14ac:dyDescent="0.25">
      <c r="A4199" t="str">
        <f>"1110082P00094    00"</f>
        <v>1110082P00094    00</v>
      </c>
      <c r="B4199" t="s">
        <v>10086</v>
      </c>
      <c r="C4199" t="s">
        <v>10087</v>
      </c>
      <c r="E4199" t="s">
        <v>39</v>
      </c>
      <c r="F4199">
        <v>0</v>
      </c>
      <c r="G4199">
        <v>0</v>
      </c>
      <c r="H4199">
        <v>1</v>
      </c>
      <c r="I4199" s="3">
        <v>976.29</v>
      </c>
      <c r="J4199" s="3">
        <v>585.75</v>
      </c>
      <c r="K4199" t="s">
        <v>262</v>
      </c>
      <c r="L4199">
        <v>8805</v>
      </c>
      <c r="M4199" t="s">
        <v>263</v>
      </c>
      <c r="N4199" t="s">
        <v>264</v>
      </c>
      <c r="O4199" t="s">
        <v>25</v>
      </c>
      <c r="P4199" t="str">
        <f>"45249"</f>
        <v>45249</v>
      </c>
    </row>
    <row r="4200" spans="1:16" x14ac:dyDescent="0.25">
      <c r="A4200" t="str">
        <f>"1110082P00100    00"</f>
        <v>1110082P00100    00</v>
      </c>
      <c r="B4200" t="s">
        <v>6036</v>
      </c>
      <c r="C4200" t="s">
        <v>10088</v>
      </c>
      <c r="E4200" t="s">
        <v>39</v>
      </c>
      <c r="F4200">
        <v>0</v>
      </c>
      <c r="G4200">
        <v>0</v>
      </c>
      <c r="H4200">
        <v>2</v>
      </c>
      <c r="I4200" s="3">
        <v>3156.32</v>
      </c>
      <c r="J4200" s="3">
        <v>118.35</v>
      </c>
      <c r="K4200" t="s">
        <v>6038</v>
      </c>
      <c r="L4200">
        <v>1501</v>
      </c>
      <c r="M4200" t="s">
        <v>5924</v>
      </c>
      <c r="N4200" t="s">
        <v>30</v>
      </c>
      <c r="O4200" t="s">
        <v>31</v>
      </c>
      <c r="P4200" t="str">
        <f>"15221"</f>
        <v>15221</v>
      </c>
    </row>
    <row r="4201" spans="1:16" x14ac:dyDescent="0.25">
      <c r="A4201" t="str">
        <f>"1110082P00105A   00"</f>
        <v>1110082P00105A   00</v>
      </c>
      <c r="B4201" t="s">
        <v>10089</v>
      </c>
      <c r="C4201" t="s">
        <v>10090</v>
      </c>
      <c r="E4201" t="s">
        <v>39</v>
      </c>
      <c r="F4201">
        <v>0</v>
      </c>
      <c r="G4201">
        <v>0</v>
      </c>
      <c r="H4201">
        <v>1</v>
      </c>
      <c r="I4201" s="3">
        <v>2058.64</v>
      </c>
      <c r="J4201" s="3">
        <v>463.17</v>
      </c>
      <c r="K4201" t="s">
        <v>8725</v>
      </c>
      <c r="L4201">
        <v>15301</v>
      </c>
      <c r="M4201" t="s">
        <v>8726</v>
      </c>
      <c r="N4201" t="s">
        <v>8727</v>
      </c>
      <c r="O4201" t="s">
        <v>108</v>
      </c>
      <c r="P4201" t="str">
        <f>"75001"</f>
        <v>75001</v>
      </c>
    </row>
    <row r="4202" spans="1:16" x14ac:dyDescent="0.25">
      <c r="A4202" t="str">
        <f>"1110082P00105B   00"</f>
        <v>1110082P00105B   00</v>
      </c>
      <c r="B4202" t="s">
        <v>10091</v>
      </c>
      <c r="C4202" t="s">
        <v>10092</v>
      </c>
      <c r="E4202" t="s">
        <v>39</v>
      </c>
      <c r="F4202">
        <v>0</v>
      </c>
      <c r="G4202">
        <v>0</v>
      </c>
      <c r="H4202">
        <v>1</v>
      </c>
      <c r="I4202" s="3">
        <v>3034.81</v>
      </c>
      <c r="J4202" s="3">
        <v>910.4</v>
      </c>
      <c r="K4202" t="s">
        <v>484</v>
      </c>
      <c r="L4202">
        <v>3001</v>
      </c>
      <c r="M4202" t="s">
        <v>330</v>
      </c>
      <c r="N4202" t="s">
        <v>331</v>
      </c>
      <c r="O4202" t="s">
        <v>108</v>
      </c>
      <c r="P4202" t="str">
        <f>"75063"</f>
        <v>75063</v>
      </c>
    </row>
    <row r="4203" spans="1:16" x14ac:dyDescent="0.25">
      <c r="A4203" t="str">
        <f>"1110082P00136    00"</f>
        <v>1110082P00136    00</v>
      </c>
      <c r="B4203" t="s">
        <v>10093</v>
      </c>
      <c r="C4203" t="s">
        <v>10094</v>
      </c>
      <c r="D4203" t="s">
        <v>20</v>
      </c>
      <c r="E4203" t="s">
        <v>39</v>
      </c>
      <c r="F4203">
        <v>0</v>
      </c>
      <c r="G4203">
        <v>0</v>
      </c>
      <c r="H4203">
        <v>2</v>
      </c>
      <c r="I4203" s="3">
        <v>3430.84</v>
      </c>
      <c r="J4203" s="3">
        <v>0</v>
      </c>
      <c r="K4203" t="s">
        <v>10095</v>
      </c>
      <c r="L4203">
        <v>1300</v>
      </c>
      <c r="M4203" t="s">
        <v>10096</v>
      </c>
      <c r="N4203" t="s">
        <v>212</v>
      </c>
      <c r="O4203" t="s">
        <v>25</v>
      </c>
      <c r="P4203" t="str">
        <f>"44114"</f>
        <v>44114</v>
      </c>
    </row>
    <row r="4204" spans="1:16" x14ac:dyDescent="0.25">
      <c r="A4204" t="str">
        <f>"1110082P00149    00"</f>
        <v>1110082P00149    00</v>
      </c>
      <c r="B4204" t="s">
        <v>10097</v>
      </c>
      <c r="C4204" t="s">
        <v>10098</v>
      </c>
      <c r="D4204" t="s">
        <v>20</v>
      </c>
      <c r="E4204" t="s">
        <v>39</v>
      </c>
      <c r="F4204">
        <v>0</v>
      </c>
      <c r="G4204">
        <v>0</v>
      </c>
      <c r="H4204">
        <v>9</v>
      </c>
      <c r="I4204" s="3">
        <v>105.47</v>
      </c>
      <c r="J4204" s="3">
        <v>78.349999999999994</v>
      </c>
      <c r="K4204" t="s">
        <v>10099</v>
      </c>
      <c r="L4204">
        <v>414</v>
      </c>
      <c r="M4204" t="s">
        <v>4758</v>
      </c>
      <c r="N4204" t="s">
        <v>30</v>
      </c>
      <c r="O4204" t="s">
        <v>31</v>
      </c>
      <c r="P4204" t="str">
        <f>"15219"</f>
        <v>15219</v>
      </c>
    </row>
    <row r="4205" spans="1:16" x14ac:dyDescent="0.25">
      <c r="A4205" t="str">
        <f>"1110082P00169    00"</f>
        <v>1110082P00169    00</v>
      </c>
      <c r="B4205" t="s">
        <v>10100</v>
      </c>
      <c r="C4205" t="s">
        <v>10101</v>
      </c>
      <c r="D4205" t="s">
        <v>20</v>
      </c>
      <c r="E4205" t="s">
        <v>39</v>
      </c>
      <c r="F4205">
        <v>0</v>
      </c>
      <c r="G4205">
        <v>0</v>
      </c>
      <c r="H4205">
        <v>2</v>
      </c>
      <c r="I4205" s="3">
        <v>2119.48</v>
      </c>
      <c r="J4205" s="3">
        <v>0</v>
      </c>
      <c r="K4205" t="s">
        <v>10102</v>
      </c>
      <c r="L4205">
        <v>201</v>
      </c>
      <c r="M4205" t="s">
        <v>927</v>
      </c>
      <c r="N4205" t="s">
        <v>4768</v>
      </c>
      <c r="O4205" t="s">
        <v>31</v>
      </c>
      <c r="P4205" t="str">
        <f>"15137"</f>
        <v>15137</v>
      </c>
    </row>
    <row r="4206" spans="1:16" x14ac:dyDescent="0.25">
      <c r="A4206" t="str">
        <f>"1110082P00207    00"</f>
        <v>1110082P00207    00</v>
      </c>
      <c r="B4206" t="s">
        <v>10103</v>
      </c>
      <c r="C4206" t="s">
        <v>10104</v>
      </c>
      <c r="D4206" t="s">
        <v>20</v>
      </c>
      <c r="E4206" t="s">
        <v>21</v>
      </c>
      <c r="F4206">
        <v>0</v>
      </c>
      <c r="G4206">
        <v>0</v>
      </c>
      <c r="H4206">
        <v>1</v>
      </c>
      <c r="I4206" s="3">
        <v>2691.29</v>
      </c>
      <c r="J4206" s="3">
        <v>0</v>
      </c>
      <c r="K4206" t="s">
        <v>10105</v>
      </c>
      <c r="L4206">
        <v>811</v>
      </c>
      <c r="M4206" t="s">
        <v>10106</v>
      </c>
      <c r="N4206" t="s">
        <v>30</v>
      </c>
      <c r="O4206" t="s">
        <v>31</v>
      </c>
      <c r="P4206" t="str">
        <f>"15237"</f>
        <v>15237</v>
      </c>
    </row>
    <row r="4207" spans="1:16" x14ac:dyDescent="0.25">
      <c r="A4207" t="str">
        <f>"1110082P00209    00"</f>
        <v>1110082P00209    00</v>
      </c>
      <c r="B4207" t="s">
        <v>10103</v>
      </c>
      <c r="C4207" t="s">
        <v>10107</v>
      </c>
      <c r="D4207" t="s">
        <v>20</v>
      </c>
      <c r="E4207" t="s">
        <v>21</v>
      </c>
      <c r="F4207">
        <v>0</v>
      </c>
      <c r="G4207">
        <v>0</v>
      </c>
      <c r="H4207">
        <v>1</v>
      </c>
      <c r="I4207" s="3">
        <v>3152.52</v>
      </c>
      <c r="J4207" s="3">
        <v>0</v>
      </c>
      <c r="K4207" t="s">
        <v>10105</v>
      </c>
      <c r="L4207">
        <v>811</v>
      </c>
      <c r="M4207" t="s">
        <v>10106</v>
      </c>
      <c r="N4207" t="s">
        <v>30</v>
      </c>
      <c r="O4207" t="s">
        <v>31</v>
      </c>
      <c r="P4207" t="str">
        <f>"15237"</f>
        <v>15237</v>
      </c>
    </row>
    <row r="4208" spans="1:16" x14ac:dyDescent="0.25">
      <c r="A4208" t="str">
        <f>"1110082P00211    00"</f>
        <v>1110082P00211    00</v>
      </c>
      <c r="B4208" t="s">
        <v>10103</v>
      </c>
      <c r="C4208" t="s">
        <v>10108</v>
      </c>
      <c r="D4208" t="s">
        <v>20</v>
      </c>
      <c r="E4208" t="s">
        <v>21</v>
      </c>
      <c r="F4208">
        <v>0</v>
      </c>
      <c r="G4208">
        <v>0</v>
      </c>
      <c r="H4208">
        <v>1</v>
      </c>
      <c r="I4208" s="3">
        <v>3268.8</v>
      </c>
      <c r="J4208" s="3">
        <v>0</v>
      </c>
      <c r="K4208" t="s">
        <v>10105</v>
      </c>
      <c r="L4208">
        <v>811</v>
      </c>
      <c r="M4208" t="s">
        <v>10106</v>
      </c>
      <c r="N4208" t="s">
        <v>30</v>
      </c>
      <c r="O4208" t="s">
        <v>31</v>
      </c>
      <c r="P4208" t="str">
        <f>"15237"</f>
        <v>15237</v>
      </c>
    </row>
    <row r="4209" spans="1:16" x14ac:dyDescent="0.25">
      <c r="A4209" t="str">
        <f>"1110082P00228    00"</f>
        <v>1110082P00228    00</v>
      </c>
      <c r="B4209" t="s">
        <v>10109</v>
      </c>
      <c r="C4209" t="s">
        <v>10110</v>
      </c>
      <c r="D4209" t="s">
        <v>20</v>
      </c>
      <c r="E4209" t="s">
        <v>39</v>
      </c>
      <c r="F4209">
        <v>0</v>
      </c>
      <c r="G4209">
        <v>0</v>
      </c>
      <c r="H4209">
        <v>1</v>
      </c>
      <c r="I4209" s="3">
        <v>2409.1799999999998</v>
      </c>
      <c r="J4209" s="3">
        <v>0</v>
      </c>
      <c r="K4209" t="s">
        <v>400</v>
      </c>
      <c r="L4209">
        <v>3001</v>
      </c>
      <c r="M4209" t="s">
        <v>330</v>
      </c>
      <c r="N4209" t="s">
        <v>331</v>
      </c>
      <c r="O4209" t="s">
        <v>108</v>
      </c>
      <c r="P4209" t="str">
        <f>"75063"</f>
        <v>75063</v>
      </c>
    </row>
    <row r="4210" spans="1:16" x14ac:dyDescent="0.25">
      <c r="A4210" t="str">
        <f>"1110082P00234    00"</f>
        <v>1110082P00234    00</v>
      </c>
      <c r="B4210" t="s">
        <v>10111</v>
      </c>
      <c r="C4210" t="s">
        <v>10112</v>
      </c>
      <c r="D4210" t="s">
        <v>20</v>
      </c>
      <c r="E4210" t="s">
        <v>39</v>
      </c>
      <c r="F4210">
        <v>0</v>
      </c>
      <c r="G4210">
        <v>0</v>
      </c>
      <c r="H4210">
        <v>2</v>
      </c>
      <c r="I4210" s="3">
        <v>2804.61</v>
      </c>
      <c r="J4210" s="3">
        <v>0</v>
      </c>
      <c r="L4210">
        <v>914</v>
      </c>
      <c r="M4210" t="s">
        <v>6227</v>
      </c>
      <c r="N4210" t="s">
        <v>30</v>
      </c>
      <c r="O4210" t="s">
        <v>31</v>
      </c>
      <c r="P4210" t="str">
        <f>"15206"</f>
        <v>15206</v>
      </c>
    </row>
    <row r="4211" spans="1:16" x14ac:dyDescent="0.25">
      <c r="A4211" t="str">
        <f>"1110082P00283    00"</f>
        <v>1110082P00283    00</v>
      </c>
      <c r="B4211" t="s">
        <v>10113</v>
      </c>
      <c r="C4211" t="s">
        <v>10114</v>
      </c>
      <c r="D4211" t="s">
        <v>20</v>
      </c>
      <c r="E4211" t="s">
        <v>39</v>
      </c>
      <c r="F4211">
        <v>0</v>
      </c>
      <c r="G4211">
        <v>0</v>
      </c>
      <c r="H4211">
        <v>19</v>
      </c>
      <c r="I4211" s="3">
        <v>734.81</v>
      </c>
      <c r="J4211" s="3">
        <v>838.29</v>
      </c>
      <c r="K4211" t="s">
        <v>1008</v>
      </c>
      <c r="P4211" t="str">
        <f>""</f>
        <v/>
      </c>
    </row>
    <row r="4212" spans="1:16" x14ac:dyDescent="0.25">
      <c r="A4212" t="str">
        <f>"1110082P00284    00"</f>
        <v>1110082P00284    00</v>
      </c>
      <c r="B4212" t="s">
        <v>7641</v>
      </c>
      <c r="C4212" t="s">
        <v>10115</v>
      </c>
      <c r="D4212" t="s">
        <v>20</v>
      </c>
      <c r="E4212" t="s">
        <v>39</v>
      </c>
      <c r="F4212">
        <v>0</v>
      </c>
      <c r="G4212">
        <v>0</v>
      </c>
      <c r="H4212">
        <v>1</v>
      </c>
      <c r="I4212" s="3">
        <v>1055.92</v>
      </c>
      <c r="J4212" s="3">
        <v>0</v>
      </c>
      <c r="K4212" t="s">
        <v>7643</v>
      </c>
      <c r="L4212">
        <v>1442</v>
      </c>
      <c r="M4212" t="s">
        <v>7644</v>
      </c>
      <c r="N4212" t="s">
        <v>30</v>
      </c>
      <c r="O4212" t="s">
        <v>31</v>
      </c>
      <c r="P4212" t="str">
        <f>"15243"</f>
        <v>15243</v>
      </c>
    </row>
    <row r="4213" spans="1:16" x14ac:dyDescent="0.25">
      <c r="A4213" t="str">
        <f>"1110082P00306    00"</f>
        <v>1110082P00306    00</v>
      </c>
      <c r="B4213" t="s">
        <v>10116</v>
      </c>
      <c r="C4213" t="s">
        <v>10117</v>
      </c>
      <c r="D4213" t="s">
        <v>20</v>
      </c>
      <c r="E4213" t="s">
        <v>39</v>
      </c>
      <c r="F4213">
        <v>0</v>
      </c>
      <c r="G4213">
        <v>0</v>
      </c>
      <c r="H4213">
        <v>2</v>
      </c>
      <c r="I4213" s="3">
        <v>1616.28</v>
      </c>
      <c r="J4213" s="3">
        <v>0</v>
      </c>
      <c r="K4213" t="s">
        <v>10118</v>
      </c>
      <c r="L4213">
        <v>201</v>
      </c>
      <c r="M4213" t="s">
        <v>927</v>
      </c>
      <c r="N4213" t="s">
        <v>4768</v>
      </c>
      <c r="O4213" t="s">
        <v>31</v>
      </c>
      <c r="P4213" t="str">
        <f>"15137"</f>
        <v>15137</v>
      </c>
    </row>
    <row r="4214" spans="1:16" x14ac:dyDescent="0.25">
      <c r="A4214" t="str">
        <f>"1110082R00012    00"</f>
        <v>1110082R00012    00</v>
      </c>
      <c r="B4214" t="s">
        <v>7641</v>
      </c>
      <c r="C4214" t="s">
        <v>10119</v>
      </c>
      <c r="D4214" t="s">
        <v>20</v>
      </c>
      <c r="E4214" t="s">
        <v>39</v>
      </c>
      <c r="F4214">
        <v>0</v>
      </c>
      <c r="G4214">
        <v>0</v>
      </c>
      <c r="H4214">
        <v>1</v>
      </c>
      <c r="I4214" s="3">
        <v>1522.9</v>
      </c>
      <c r="J4214" s="3">
        <v>0</v>
      </c>
      <c r="K4214" t="s">
        <v>7643</v>
      </c>
      <c r="L4214">
        <v>1442</v>
      </c>
      <c r="M4214" t="s">
        <v>7644</v>
      </c>
      <c r="N4214" t="s">
        <v>30</v>
      </c>
      <c r="O4214" t="s">
        <v>31</v>
      </c>
      <c r="P4214" t="str">
        <f>"15243"</f>
        <v>15243</v>
      </c>
    </row>
    <row r="4215" spans="1:16" x14ac:dyDescent="0.25">
      <c r="A4215" t="str">
        <f>"1110082R00021    00"</f>
        <v>1110082R00021    00</v>
      </c>
      <c r="B4215" t="s">
        <v>10120</v>
      </c>
      <c r="C4215" t="s">
        <v>10121</v>
      </c>
      <c r="E4215" t="s">
        <v>39</v>
      </c>
      <c r="F4215">
        <v>0</v>
      </c>
      <c r="G4215">
        <v>0</v>
      </c>
      <c r="H4215">
        <v>1</v>
      </c>
      <c r="I4215" s="3">
        <v>272.52999999999997</v>
      </c>
      <c r="J4215" s="3">
        <v>9.08</v>
      </c>
      <c r="K4215" t="s">
        <v>7262</v>
      </c>
      <c r="L4215">
        <v>601</v>
      </c>
      <c r="M4215" t="s">
        <v>10122</v>
      </c>
      <c r="N4215" t="s">
        <v>1412</v>
      </c>
      <c r="O4215" t="s">
        <v>1413</v>
      </c>
      <c r="P4215" t="str">
        <f>"28202"</f>
        <v>28202</v>
      </c>
    </row>
    <row r="4216" spans="1:16" x14ac:dyDescent="0.25">
      <c r="A4216" t="str">
        <f>"1110082R00026    00"</f>
        <v>1110082R00026    00</v>
      </c>
      <c r="B4216" t="s">
        <v>10123</v>
      </c>
      <c r="C4216" t="s">
        <v>10124</v>
      </c>
      <c r="D4216" t="s">
        <v>20</v>
      </c>
      <c r="E4216" t="s">
        <v>39</v>
      </c>
      <c r="F4216">
        <v>0</v>
      </c>
      <c r="G4216">
        <v>0</v>
      </c>
      <c r="H4216">
        <v>2</v>
      </c>
      <c r="I4216" s="3">
        <v>1498.14</v>
      </c>
      <c r="J4216" s="3">
        <v>0</v>
      </c>
      <c r="L4216">
        <v>923</v>
      </c>
      <c r="M4216" t="s">
        <v>3270</v>
      </c>
      <c r="N4216" t="s">
        <v>30</v>
      </c>
      <c r="O4216" t="s">
        <v>31</v>
      </c>
      <c r="P4216" t="str">
        <f>"15206"</f>
        <v>15206</v>
      </c>
    </row>
    <row r="4217" spans="1:16" x14ac:dyDescent="0.25">
      <c r="A4217" t="str">
        <f>"1110082R00050    00"</f>
        <v>1110082R00050    00</v>
      </c>
      <c r="B4217" t="s">
        <v>10125</v>
      </c>
      <c r="C4217" t="s">
        <v>10126</v>
      </c>
      <c r="E4217" t="s">
        <v>39</v>
      </c>
      <c r="F4217">
        <v>0</v>
      </c>
      <c r="G4217">
        <v>0</v>
      </c>
      <c r="H4217">
        <v>1</v>
      </c>
      <c r="I4217" s="3">
        <v>2918.52</v>
      </c>
      <c r="J4217" s="3">
        <v>1459.2</v>
      </c>
      <c r="K4217" t="s">
        <v>4424</v>
      </c>
      <c r="L4217">
        <v>3001</v>
      </c>
      <c r="M4217" t="s">
        <v>330</v>
      </c>
      <c r="N4217" t="s">
        <v>331</v>
      </c>
      <c r="O4217" t="s">
        <v>108</v>
      </c>
      <c r="P4217" t="str">
        <f>"75063"</f>
        <v>75063</v>
      </c>
    </row>
    <row r="4218" spans="1:16" x14ac:dyDescent="0.25">
      <c r="A4218" t="str">
        <f>"1110082R00051    00"</f>
        <v>1110082R00051    00</v>
      </c>
      <c r="B4218" t="s">
        <v>10127</v>
      </c>
      <c r="C4218" t="s">
        <v>10128</v>
      </c>
      <c r="D4218" t="s">
        <v>20</v>
      </c>
      <c r="E4218" t="s">
        <v>39</v>
      </c>
      <c r="F4218">
        <v>0</v>
      </c>
      <c r="G4218">
        <v>0</v>
      </c>
      <c r="H4218">
        <v>2</v>
      </c>
      <c r="I4218" s="3">
        <v>126.66</v>
      </c>
      <c r="J4218" s="3">
        <v>32.71</v>
      </c>
      <c r="K4218" t="s">
        <v>8725</v>
      </c>
      <c r="L4218">
        <v>15301</v>
      </c>
      <c r="M4218" t="s">
        <v>8726</v>
      </c>
      <c r="N4218" t="s">
        <v>8727</v>
      </c>
      <c r="O4218" t="s">
        <v>108</v>
      </c>
      <c r="P4218" t="str">
        <f>"75001"</f>
        <v>75001</v>
      </c>
    </row>
    <row r="4219" spans="1:16" x14ac:dyDescent="0.25">
      <c r="A4219" t="str">
        <f>"1110082R00057    00"</f>
        <v>1110082R00057    00</v>
      </c>
      <c r="B4219" t="s">
        <v>10093</v>
      </c>
      <c r="C4219" t="s">
        <v>10129</v>
      </c>
      <c r="D4219" t="s">
        <v>20</v>
      </c>
      <c r="E4219" t="s">
        <v>39</v>
      </c>
      <c r="F4219">
        <v>0</v>
      </c>
      <c r="G4219">
        <v>0</v>
      </c>
      <c r="H4219">
        <v>2</v>
      </c>
      <c r="I4219" s="3">
        <v>2176.66</v>
      </c>
      <c r="J4219" s="3">
        <v>0</v>
      </c>
      <c r="K4219" t="s">
        <v>10130</v>
      </c>
      <c r="L4219">
        <v>155</v>
      </c>
      <c r="M4219" t="s">
        <v>10131</v>
      </c>
      <c r="N4219" t="s">
        <v>10132</v>
      </c>
      <c r="O4219" t="s">
        <v>423</v>
      </c>
      <c r="P4219" t="str">
        <f>"07470"</f>
        <v>07470</v>
      </c>
    </row>
    <row r="4220" spans="1:16" x14ac:dyDescent="0.25">
      <c r="A4220" t="str">
        <f>"1110082R00058    00"</f>
        <v>1110082R00058    00</v>
      </c>
      <c r="B4220" t="s">
        <v>10133</v>
      </c>
      <c r="C4220" t="s">
        <v>10134</v>
      </c>
      <c r="D4220" t="s">
        <v>20</v>
      </c>
      <c r="E4220" t="s">
        <v>39</v>
      </c>
      <c r="F4220">
        <v>0</v>
      </c>
      <c r="G4220">
        <v>0</v>
      </c>
      <c r="H4220">
        <v>1</v>
      </c>
      <c r="I4220" s="3">
        <v>5207.78</v>
      </c>
      <c r="J4220" s="3">
        <v>1432.08</v>
      </c>
      <c r="K4220" t="s">
        <v>5054</v>
      </c>
      <c r="L4220">
        <v>140</v>
      </c>
      <c r="M4220" t="s">
        <v>5055</v>
      </c>
      <c r="N4220" t="s">
        <v>5056</v>
      </c>
      <c r="O4220" t="s">
        <v>5057</v>
      </c>
      <c r="P4220" t="str">
        <f>"04240"</f>
        <v>04240</v>
      </c>
    </row>
    <row r="4221" spans="1:16" x14ac:dyDescent="0.25">
      <c r="A4221" t="str">
        <f>"1110082R00059    00"</f>
        <v>1110082R00059    00</v>
      </c>
      <c r="B4221" t="s">
        <v>10135</v>
      </c>
      <c r="C4221" t="s">
        <v>10136</v>
      </c>
      <c r="E4221" t="s">
        <v>39</v>
      </c>
      <c r="F4221">
        <v>0</v>
      </c>
      <c r="G4221">
        <v>0</v>
      </c>
      <c r="H4221">
        <v>1</v>
      </c>
      <c r="I4221" s="3">
        <v>3791.04</v>
      </c>
      <c r="J4221" s="3">
        <v>0</v>
      </c>
      <c r="K4221" t="s">
        <v>725</v>
      </c>
      <c r="L4221">
        <v>1301</v>
      </c>
      <c r="M4221" t="s">
        <v>722</v>
      </c>
      <c r="N4221" t="s">
        <v>30</v>
      </c>
      <c r="O4221" t="s">
        <v>31</v>
      </c>
      <c r="P4221" t="str">
        <f>"15211"</f>
        <v>15211</v>
      </c>
    </row>
    <row r="4222" spans="1:16" x14ac:dyDescent="0.25">
      <c r="A4222" t="str">
        <f>"1110082R00069    00"</f>
        <v>1110082R00069    00</v>
      </c>
      <c r="B4222" t="s">
        <v>10137</v>
      </c>
      <c r="C4222" t="s">
        <v>10138</v>
      </c>
      <c r="E4222" t="s">
        <v>39</v>
      </c>
      <c r="F4222">
        <v>0</v>
      </c>
      <c r="G4222">
        <v>0</v>
      </c>
      <c r="H4222">
        <v>2</v>
      </c>
      <c r="I4222" s="3">
        <v>3043.4</v>
      </c>
      <c r="J4222" s="3">
        <v>208.13</v>
      </c>
      <c r="K4222" t="s">
        <v>881</v>
      </c>
      <c r="L4222">
        <v>3001</v>
      </c>
      <c r="M4222" t="s">
        <v>330</v>
      </c>
      <c r="N4222" t="s">
        <v>331</v>
      </c>
      <c r="O4222" t="s">
        <v>108</v>
      </c>
      <c r="P4222" t="str">
        <f>"75063"</f>
        <v>75063</v>
      </c>
    </row>
    <row r="4223" spans="1:16" x14ac:dyDescent="0.25">
      <c r="A4223" t="str">
        <f>"1110082R00074    00"</f>
        <v>1110082R00074    00</v>
      </c>
      <c r="B4223" t="s">
        <v>10139</v>
      </c>
      <c r="C4223" t="s">
        <v>10140</v>
      </c>
      <c r="D4223" t="s">
        <v>20</v>
      </c>
      <c r="E4223" t="s">
        <v>39</v>
      </c>
      <c r="F4223">
        <v>0</v>
      </c>
      <c r="G4223">
        <v>0</v>
      </c>
      <c r="H4223">
        <v>3</v>
      </c>
      <c r="I4223" s="3">
        <v>6838.74</v>
      </c>
      <c r="J4223" s="3">
        <v>455.9</v>
      </c>
      <c r="K4223" t="s">
        <v>10141</v>
      </c>
      <c r="L4223">
        <v>4036</v>
      </c>
      <c r="M4223" t="s">
        <v>10142</v>
      </c>
      <c r="N4223" t="s">
        <v>195</v>
      </c>
      <c r="O4223" t="s">
        <v>31</v>
      </c>
      <c r="P4223" t="str">
        <f>"15101"</f>
        <v>15101</v>
      </c>
    </row>
    <row r="4224" spans="1:16" x14ac:dyDescent="0.25">
      <c r="A4224" t="str">
        <f>"1110082R00077    00"</f>
        <v>1110082R00077    00</v>
      </c>
      <c r="B4224" t="s">
        <v>7717</v>
      </c>
      <c r="C4224" t="s">
        <v>10143</v>
      </c>
      <c r="D4224" t="s">
        <v>20</v>
      </c>
      <c r="E4224" t="s">
        <v>39</v>
      </c>
      <c r="F4224">
        <v>0</v>
      </c>
      <c r="G4224">
        <v>0</v>
      </c>
      <c r="H4224">
        <v>5</v>
      </c>
      <c r="I4224" s="3">
        <v>12162.1</v>
      </c>
      <c r="J4224" s="3">
        <v>972.27</v>
      </c>
      <c r="L4224">
        <v>168</v>
      </c>
      <c r="M4224" t="s">
        <v>7068</v>
      </c>
      <c r="N4224" t="s">
        <v>30</v>
      </c>
      <c r="O4224" t="s">
        <v>31</v>
      </c>
      <c r="P4224" t="str">
        <f>"15201"</f>
        <v>15201</v>
      </c>
    </row>
    <row r="4225" spans="1:16" x14ac:dyDescent="0.25">
      <c r="A4225" t="str">
        <f>"1110082R00086    00"</f>
        <v>1110082R00086    00</v>
      </c>
      <c r="B4225" t="s">
        <v>10144</v>
      </c>
      <c r="C4225" t="s">
        <v>10145</v>
      </c>
      <c r="D4225" t="s">
        <v>20</v>
      </c>
      <c r="E4225" t="s">
        <v>39</v>
      </c>
      <c r="F4225">
        <v>0</v>
      </c>
      <c r="G4225">
        <v>0</v>
      </c>
      <c r="H4225">
        <v>1</v>
      </c>
      <c r="I4225" s="3">
        <v>1498.14</v>
      </c>
      <c r="J4225" s="3">
        <v>0</v>
      </c>
      <c r="K4225" t="s">
        <v>10146</v>
      </c>
      <c r="L4225">
        <v>131</v>
      </c>
      <c r="M4225" t="s">
        <v>10147</v>
      </c>
      <c r="N4225" t="s">
        <v>30</v>
      </c>
      <c r="O4225" t="s">
        <v>31</v>
      </c>
      <c r="P4225" t="str">
        <f>"15236"</f>
        <v>15236</v>
      </c>
    </row>
    <row r="4226" spans="1:16" x14ac:dyDescent="0.25">
      <c r="A4226" t="str">
        <f>"1110082R00129    00"</f>
        <v>1110082R00129    00</v>
      </c>
      <c r="B4226" t="s">
        <v>10148</v>
      </c>
      <c r="C4226" t="s">
        <v>10149</v>
      </c>
      <c r="D4226" t="s">
        <v>20</v>
      </c>
      <c r="E4226" t="s">
        <v>39</v>
      </c>
      <c r="F4226">
        <v>0</v>
      </c>
      <c r="G4226">
        <v>0</v>
      </c>
      <c r="H4226">
        <v>1</v>
      </c>
      <c r="I4226" s="3">
        <v>1611.09</v>
      </c>
      <c r="J4226" s="3">
        <v>0</v>
      </c>
      <c r="K4226" t="s">
        <v>400</v>
      </c>
      <c r="L4226">
        <v>3001</v>
      </c>
      <c r="M4226" t="s">
        <v>330</v>
      </c>
      <c r="N4226" t="s">
        <v>331</v>
      </c>
      <c r="O4226" t="s">
        <v>108</v>
      </c>
      <c r="P4226" t="str">
        <f>"75063"</f>
        <v>75063</v>
      </c>
    </row>
    <row r="4227" spans="1:16" x14ac:dyDescent="0.25">
      <c r="A4227" t="str">
        <f>"1110082R00192    00"</f>
        <v>1110082R00192    00</v>
      </c>
      <c r="B4227" t="s">
        <v>10150</v>
      </c>
      <c r="C4227" t="s">
        <v>10151</v>
      </c>
      <c r="E4227" t="s">
        <v>39</v>
      </c>
      <c r="F4227">
        <v>0</v>
      </c>
      <c r="G4227">
        <v>0</v>
      </c>
      <c r="H4227">
        <v>2</v>
      </c>
      <c r="I4227" s="3">
        <v>9684.84</v>
      </c>
      <c r="J4227" s="3">
        <v>662.3</v>
      </c>
      <c r="K4227" t="s">
        <v>10152</v>
      </c>
      <c r="L4227">
        <v>1014</v>
      </c>
      <c r="M4227" t="s">
        <v>9937</v>
      </c>
      <c r="N4227" t="s">
        <v>30</v>
      </c>
      <c r="O4227" t="s">
        <v>31</v>
      </c>
      <c r="P4227" t="str">
        <f>"15206"</f>
        <v>15206</v>
      </c>
    </row>
    <row r="4228" spans="1:16" x14ac:dyDescent="0.25">
      <c r="A4228" t="str">
        <f>"1110082R00196    00"</f>
        <v>1110082R00196    00</v>
      </c>
      <c r="B4228" t="s">
        <v>10153</v>
      </c>
      <c r="C4228" t="s">
        <v>10154</v>
      </c>
      <c r="E4228" t="s">
        <v>39</v>
      </c>
      <c r="F4228">
        <v>0</v>
      </c>
      <c r="G4228">
        <v>0</v>
      </c>
      <c r="H4228">
        <v>2</v>
      </c>
      <c r="I4228" s="3">
        <v>1494.43</v>
      </c>
      <c r="J4228" s="3">
        <v>323.45</v>
      </c>
      <c r="L4228">
        <v>1011</v>
      </c>
      <c r="M4228" t="s">
        <v>9937</v>
      </c>
      <c r="N4228" t="s">
        <v>30</v>
      </c>
      <c r="O4228" t="s">
        <v>31</v>
      </c>
      <c r="P4228" t="str">
        <f>"15206"</f>
        <v>15206</v>
      </c>
    </row>
    <row r="4229" spans="1:16" x14ac:dyDescent="0.25">
      <c r="A4229" t="str">
        <f>"1110082R00203    00"</f>
        <v>1110082R00203    00</v>
      </c>
      <c r="B4229" t="s">
        <v>10155</v>
      </c>
      <c r="C4229" t="s">
        <v>10156</v>
      </c>
      <c r="D4229" t="s">
        <v>20</v>
      </c>
      <c r="E4229" t="s">
        <v>39</v>
      </c>
      <c r="F4229">
        <v>0</v>
      </c>
      <c r="G4229">
        <v>0</v>
      </c>
      <c r="H4229">
        <v>1</v>
      </c>
      <c r="I4229" s="3">
        <v>943.48</v>
      </c>
      <c r="J4229" s="3">
        <v>0</v>
      </c>
      <c r="K4229" t="s">
        <v>391</v>
      </c>
      <c r="L4229">
        <v>1</v>
      </c>
      <c r="M4229" t="s">
        <v>392</v>
      </c>
      <c r="N4229" t="s">
        <v>393</v>
      </c>
      <c r="O4229" t="s">
        <v>394</v>
      </c>
      <c r="P4229" t="str">
        <f>"50328"</f>
        <v>50328</v>
      </c>
    </row>
    <row r="4230" spans="1:16" x14ac:dyDescent="0.25">
      <c r="A4230" t="str">
        <f>"1110082R00217    00"</f>
        <v>1110082R00217    00</v>
      </c>
      <c r="B4230" t="s">
        <v>10157</v>
      </c>
      <c r="C4230" t="s">
        <v>10158</v>
      </c>
      <c r="D4230" t="s">
        <v>20</v>
      </c>
      <c r="E4230" t="s">
        <v>39</v>
      </c>
      <c r="F4230">
        <v>0</v>
      </c>
      <c r="G4230">
        <v>0</v>
      </c>
      <c r="H4230">
        <v>1</v>
      </c>
      <c r="I4230" s="3">
        <v>1888.86</v>
      </c>
      <c r="J4230" s="3">
        <v>0</v>
      </c>
      <c r="L4230">
        <v>305</v>
      </c>
      <c r="M4230" t="s">
        <v>10159</v>
      </c>
      <c r="N4230" t="s">
        <v>30</v>
      </c>
      <c r="O4230" t="s">
        <v>31</v>
      </c>
      <c r="P4230" t="str">
        <f>"15238"</f>
        <v>15238</v>
      </c>
    </row>
    <row r="4231" spans="1:16" x14ac:dyDescent="0.25">
      <c r="A4231" t="str">
        <f>"1110082R00218    00"</f>
        <v>1110082R00218    00</v>
      </c>
      <c r="B4231" t="s">
        <v>10160</v>
      </c>
      <c r="C4231" t="s">
        <v>10161</v>
      </c>
      <c r="E4231" t="s">
        <v>39</v>
      </c>
      <c r="F4231">
        <v>0</v>
      </c>
      <c r="G4231">
        <v>0</v>
      </c>
      <c r="H4231">
        <v>1</v>
      </c>
      <c r="I4231" s="3">
        <v>1372.85</v>
      </c>
      <c r="J4231" s="3">
        <v>0</v>
      </c>
      <c r="K4231" t="s">
        <v>5861</v>
      </c>
      <c r="L4231">
        <v>3001</v>
      </c>
      <c r="M4231" t="s">
        <v>330</v>
      </c>
      <c r="N4231" t="s">
        <v>331</v>
      </c>
      <c r="O4231" t="s">
        <v>108</v>
      </c>
      <c r="P4231" t="str">
        <f>"75063"</f>
        <v>75063</v>
      </c>
    </row>
    <row r="4232" spans="1:16" x14ac:dyDescent="0.25">
      <c r="A4232" t="str">
        <f>"1110082R00219    00"</f>
        <v>1110082R00219    00</v>
      </c>
      <c r="B4232" t="s">
        <v>4852</v>
      </c>
      <c r="C4232" t="s">
        <v>10162</v>
      </c>
      <c r="D4232" t="s">
        <v>20</v>
      </c>
      <c r="E4232" t="s">
        <v>39</v>
      </c>
      <c r="F4232">
        <v>0</v>
      </c>
      <c r="G4232">
        <v>0</v>
      </c>
      <c r="H4232">
        <v>2</v>
      </c>
      <c r="I4232" s="3">
        <v>1422.86</v>
      </c>
      <c r="J4232" s="3">
        <v>0</v>
      </c>
      <c r="K4232" t="s">
        <v>4854</v>
      </c>
      <c r="L4232">
        <v>4</v>
      </c>
      <c r="M4232" t="s">
        <v>4855</v>
      </c>
      <c r="N4232" t="s">
        <v>4856</v>
      </c>
      <c r="O4232" t="s">
        <v>200</v>
      </c>
      <c r="P4232" t="str">
        <f>"10977"</f>
        <v>10977</v>
      </c>
    </row>
    <row r="4233" spans="1:16" x14ac:dyDescent="0.25">
      <c r="A4233" t="str">
        <f>"1110082R00224    00"</f>
        <v>1110082R00224    00</v>
      </c>
      <c r="B4233" t="s">
        <v>10163</v>
      </c>
      <c r="C4233" t="s">
        <v>10164</v>
      </c>
      <c r="E4233" t="s">
        <v>39</v>
      </c>
      <c r="F4233">
        <v>0</v>
      </c>
      <c r="G4233">
        <v>0</v>
      </c>
      <c r="H4233">
        <v>1</v>
      </c>
      <c r="I4233" s="3">
        <v>4751.8900000000003</v>
      </c>
      <c r="J4233" s="3">
        <v>1306.73</v>
      </c>
      <c r="K4233" t="s">
        <v>4500</v>
      </c>
      <c r="L4233">
        <v>3001</v>
      </c>
      <c r="M4233" t="s">
        <v>330</v>
      </c>
      <c r="N4233" t="s">
        <v>331</v>
      </c>
      <c r="O4233" t="s">
        <v>108</v>
      </c>
      <c r="P4233" t="str">
        <f>"75063"</f>
        <v>75063</v>
      </c>
    </row>
    <row r="4234" spans="1:16" x14ac:dyDescent="0.25">
      <c r="A4234" t="str">
        <f>"1110082R00227    00"</f>
        <v>1110082R00227    00</v>
      </c>
      <c r="B4234" t="s">
        <v>10165</v>
      </c>
      <c r="C4234" t="s">
        <v>10166</v>
      </c>
      <c r="D4234" t="s">
        <v>20</v>
      </c>
      <c r="E4234" t="s">
        <v>39</v>
      </c>
      <c r="F4234">
        <v>0</v>
      </c>
      <c r="G4234">
        <v>0</v>
      </c>
      <c r="H4234">
        <v>2</v>
      </c>
      <c r="I4234" s="3">
        <v>5866.68</v>
      </c>
      <c r="J4234" s="3">
        <v>0</v>
      </c>
      <c r="K4234" t="s">
        <v>10167</v>
      </c>
      <c r="L4234">
        <v>1008</v>
      </c>
      <c r="M4234" t="s">
        <v>3270</v>
      </c>
      <c r="N4234" t="s">
        <v>30</v>
      </c>
      <c r="O4234" t="s">
        <v>31</v>
      </c>
      <c r="P4234" t="str">
        <f>"15206"</f>
        <v>15206</v>
      </c>
    </row>
    <row r="4235" spans="1:16" x14ac:dyDescent="0.25">
      <c r="A4235" t="str">
        <f>"1110082R00236    00"</f>
        <v>1110082R00236    00</v>
      </c>
      <c r="B4235" t="s">
        <v>10168</v>
      </c>
      <c r="C4235" t="s">
        <v>10169</v>
      </c>
      <c r="E4235" t="s">
        <v>39</v>
      </c>
      <c r="F4235">
        <v>0</v>
      </c>
      <c r="G4235">
        <v>0</v>
      </c>
      <c r="H4235">
        <v>1</v>
      </c>
      <c r="I4235" s="3">
        <v>4071.22</v>
      </c>
      <c r="J4235" s="3">
        <v>407.11</v>
      </c>
      <c r="K4235" t="s">
        <v>1135</v>
      </c>
      <c r="L4235">
        <v>3001</v>
      </c>
      <c r="M4235" t="s">
        <v>330</v>
      </c>
      <c r="N4235" t="s">
        <v>331</v>
      </c>
      <c r="O4235" t="s">
        <v>108</v>
      </c>
      <c r="P4235" t="str">
        <f>"75063"</f>
        <v>75063</v>
      </c>
    </row>
    <row r="4236" spans="1:16" x14ac:dyDescent="0.25">
      <c r="A4236" t="str">
        <f>"1110082R00248    00"</f>
        <v>1110082R00248    00</v>
      </c>
      <c r="B4236" t="s">
        <v>10170</v>
      </c>
      <c r="C4236" t="s">
        <v>10171</v>
      </c>
      <c r="D4236" t="s">
        <v>20</v>
      </c>
      <c r="E4236" t="s">
        <v>39</v>
      </c>
      <c r="F4236">
        <v>0</v>
      </c>
      <c r="G4236">
        <v>0</v>
      </c>
      <c r="H4236">
        <v>2</v>
      </c>
      <c r="I4236" s="3">
        <v>3823.46</v>
      </c>
      <c r="J4236" s="3">
        <v>0</v>
      </c>
      <c r="K4236" t="s">
        <v>881</v>
      </c>
      <c r="L4236">
        <v>3001</v>
      </c>
      <c r="M4236" t="s">
        <v>330</v>
      </c>
      <c r="N4236" t="s">
        <v>331</v>
      </c>
      <c r="O4236" t="s">
        <v>108</v>
      </c>
      <c r="P4236" t="str">
        <f>"75063"</f>
        <v>75063</v>
      </c>
    </row>
    <row r="4237" spans="1:16" x14ac:dyDescent="0.25">
      <c r="A4237" t="str">
        <f>"1110082R00266    00"</f>
        <v>1110082R00266    00</v>
      </c>
      <c r="B4237" t="s">
        <v>10172</v>
      </c>
      <c r="C4237" t="s">
        <v>10173</v>
      </c>
      <c r="E4237" t="s">
        <v>39</v>
      </c>
      <c r="F4237">
        <v>0</v>
      </c>
      <c r="G4237">
        <v>0</v>
      </c>
      <c r="H4237">
        <v>1</v>
      </c>
      <c r="I4237" s="3">
        <v>1641.59</v>
      </c>
      <c r="J4237" s="3">
        <v>0</v>
      </c>
      <c r="L4237">
        <v>1026</v>
      </c>
      <c r="M4237" t="s">
        <v>3270</v>
      </c>
      <c r="N4237" t="s">
        <v>30</v>
      </c>
      <c r="O4237" t="s">
        <v>31</v>
      </c>
      <c r="P4237" t="str">
        <f>"15206"</f>
        <v>15206</v>
      </c>
    </row>
    <row r="4238" spans="1:16" x14ac:dyDescent="0.25">
      <c r="A4238" t="str">
        <f>"1110082R00267    00"</f>
        <v>1110082R00267    00</v>
      </c>
      <c r="B4238" t="s">
        <v>10174</v>
      </c>
      <c r="C4238" t="s">
        <v>10175</v>
      </c>
      <c r="D4238" t="s">
        <v>20</v>
      </c>
      <c r="E4238" t="s">
        <v>39</v>
      </c>
      <c r="F4238">
        <v>0</v>
      </c>
      <c r="G4238">
        <v>0</v>
      </c>
      <c r="H4238">
        <v>1</v>
      </c>
      <c r="I4238" s="3">
        <v>680.93</v>
      </c>
      <c r="J4238" s="3">
        <v>0</v>
      </c>
      <c r="L4238">
        <v>5702</v>
      </c>
      <c r="M4238" t="s">
        <v>4567</v>
      </c>
      <c r="N4238" t="s">
        <v>30</v>
      </c>
      <c r="O4238" t="s">
        <v>31</v>
      </c>
      <c r="P4238" t="str">
        <f>"15206"</f>
        <v>15206</v>
      </c>
    </row>
    <row r="4239" spans="1:16" x14ac:dyDescent="0.25">
      <c r="A4239" t="str">
        <f>"1110082S00035    00"</f>
        <v>1110082S00035    00</v>
      </c>
      <c r="B4239" t="s">
        <v>10176</v>
      </c>
      <c r="C4239" t="s">
        <v>10177</v>
      </c>
      <c r="D4239" t="s">
        <v>20</v>
      </c>
      <c r="E4239" t="s">
        <v>39</v>
      </c>
      <c r="F4239">
        <v>0</v>
      </c>
      <c r="G4239">
        <v>0</v>
      </c>
      <c r="H4239">
        <v>1</v>
      </c>
      <c r="I4239" s="3">
        <v>2870.27</v>
      </c>
      <c r="J4239" s="3">
        <v>0</v>
      </c>
      <c r="K4239" t="s">
        <v>1502</v>
      </c>
      <c r="L4239">
        <v>901</v>
      </c>
      <c r="M4239" t="s">
        <v>1503</v>
      </c>
      <c r="N4239" t="s">
        <v>494</v>
      </c>
      <c r="O4239" t="s">
        <v>495</v>
      </c>
      <c r="P4239" t="str">
        <f>"91768"</f>
        <v>91768</v>
      </c>
    </row>
    <row r="4240" spans="1:16" x14ac:dyDescent="0.25">
      <c r="A4240" t="str">
        <f>"1110082S00100    00"</f>
        <v>1110082S00100    00</v>
      </c>
      <c r="B4240" t="s">
        <v>10178</v>
      </c>
      <c r="C4240" t="s">
        <v>10179</v>
      </c>
      <c r="D4240" t="s">
        <v>20</v>
      </c>
      <c r="E4240" t="s">
        <v>39</v>
      </c>
      <c r="F4240">
        <v>0</v>
      </c>
      <c r="G4240">
        <v>0</v>
      </c>
      <c r="H4240">
        <v>2</v>
      </c>
      <c r="I4240" s="3">
        <v>3110.6</v>
      </c>
      <c r="J4240" s="3">
        <v>0</v>
      </c>
      <c r="K4240" t="s">
        <v>4801</v>
      </c>
      <c r="L4240">
        <v>1</v>
      </c>
      <c r="M4240" t="s">
        <v>4802</v>
      </c>
      <c r="N4240" t="s">
        <v>4803</v>
      </c>
      <c r="O4240" t="s">
        <v>554</v>
      </c>
      <c r="P4240" t="str">
        <f>"26003"</f>
        <v>26003</v>
      </c>
    </row>
    <row r="4241" spans="1:16" x14ac:dyDescent="0.25">
      <c r="A4241" t="str">
        <f>"1110082S00128000100"</f>
        <v>1110082S00128000100</v>
      </c>
      <c r="B4241" t="s">
        <v>10180</v>
      </c>
      <c r="C4241" t="s">
        <v>10181</v>
      </c>
      <c r="D4241" t="s">
        <v>20</v>
      </c>
      <c r="E4241" t="s">
        <v>39</v>
      </c>
      <c r="F4241">
        <v>0</v>
      </c>
      <c r="G4241">
        <v>0</v>
      </c>
      <c r="H4241">
        <v>2</v>
      </c>
      <c r="I4241" s="3">
        <v>5276.82</v>
      </c>
      <c r="J4241" s="3">
        <v>0</v>
      </c>
      <c r="L4241">
        <v>1016</v>
      </c>
      <c r="M4241" t="s">
        <v>7241</v>
      </c>
      <c r="N4241" t="s">
        <v>30</v>
      </c>
      <c r="O4241" t="s">
        <v>31</v>
      </c>
      <c r="P4241" t="str">
        <f>"15206"</f>
        <v>15206</v>
      </c>
    </row>
    <row r="4242" spans="1:16" x14ac:dyDescent="0.25">
      <c r="A4242" t="str">
        <f>"1110082S00136    00"</f>
        <v>1110082S00136    00</v>
      </c>
      <c r="B4242" t="s">
        <v>10182</v>
      </c>
      <c r="C4242" t="s">
        <v>10183</v>
      </c>
      <c r="D4242" t="s">
        <v>20</v>
      </c>
      <c r="E4242" t="s">
        <v>39</v>
      </c>
      <c r="F4242">
        <v>0</v>
      </c>
      <c r="G4242">
        <v>0</v>
      </c>
      <c r="H4242">
        <v>1</v>
      </c>
      <c r="I4242" s="3">
        <v>219.2</v>
      </c>
      <c r="J4242" s="3">
        <v>0</v>
      </c>
      <c r="K4242" t="s">
        <v>10184</v>
      </c>
      <c r="L4242">
        <v>6016</v>
      </c>
      <c r="M4242" t="s">
        <v>4567</v>
      </c>
      <c r="N4242" t="s">
        <v>30</v>
      </c>
      <c r="O4242" t="s">
        <v>31</v>
      </c>
      <c r="P4242" t="str">
        <f>"15206"</f>
        <v>15206</v>
      </c>
    </row>
    <row r="4243" spans="1:16" x14ac:dyDescent="0.25">
      <c r="A4243" t="str">
        <f>"1110082S00138    00"</f>
        <v>1110082S00138    00</v>
      </c>
      <c r="B4243" t="s">
        <v>10185</v>
      </c>
      <c r="C4243" t="s">
        <v>10186</v>
      </c>
      <c r="E4243" t="s">
        <v>39</v>
      </c>
      <c r="F4243">
        <v>0</v>
      </c>
      <c r="G4243">
        <v>0</v>
      </c>
      <c r="H4243">
        <v>1</v>
      </c>
      <c r="I4243" s="3">
        <v>20.58</v>
      </c>
      <c r="J4243" s="3">
        <v>0</v>
      </c>
      <c r="K4243" t="s">
        <v>10187</v>
      </c>
      <c r="L4243">
        <v>1015</v>
      </c>
      <c r="M4243" t="s">
        <v>10052</v>
      </c>
      <c r="N4243" t="s">
        <v>30</v>
      </c>
      <c r="O4243" t="s">
        <v>31</v>
      </c>
      <c r="P4243" t="str">
        <f>"15206"</f>
        <v>15206</v>
      </c>
    </row>
    <row r="4244" spans="1:16" x14ac:dyDescent="0.25">
      <c r="A4244" t="str">
        <f>"1110082S00142    00"</f>
        <v>1110082S00142    00</v>
      </c>
      <c r="B4244" t="s">
        <v>10188</v>
      </c>
      <c r="C4244" t="s">
        <v>10189</v>
      </c>
      <c r="D4244" t="s">
        <v>20</v>
      </c>
      <c r="E4244" t="s">
        <v>39</v>
      </c>
      <c r="F4244">
        <v>0</v>
      </c>
      <c r="G4244">
        <v>0</v>
      </c>
      <c r="H4244">
        <v>3</v>
      </c>
      <c r="I4244" s="3">
        <v>8977.32</v>
      </c>
      <c r="J4244" s="3">
        <v>598.46</v>
      </c>
      <c r="K4244" t="s">
        <v>10190</v>
      </c>
      <c r="L4244">
        <v>1027</v>
      </c>
      <c r="M4244" t="s">
        <v>10191</v>
      </c>
      <c r="N4244" t="s">
        <v>30</v>
      </c>
      <c r="O4244" t="s">
        <v>31</v>
      </c>
      <c r="P4244" t="str">
        <f>"15206"</f>
        <v>15206</v>
      </c>
    </row>
    <row r="4245" spans="1:16" x14ac:dyDescent="0.25">
      <c r="A4245" t="str">
        <f>"1110082S00148    00"</f>
        <v>1110082S00148    00</v>
      </c>
      <c r="B4245" t="s">
        <v>10192</v>
      </c>
      <c r="C4245" t="s">
        <v>10193</v>
      </c>
      <c r="E4245" t="s">
        <v>39</v>
      </c>
      <c r="F4245">
        <v>0</v>
      </c>
      <c r="G4245">
        <v>0</v>
      </c>
      <c r="H4245">
        <v>1</v>
      </c>
      <c r="I4245" s="3">
        <v>1315.88</v>
      </c>
      <c r="J4245" s="3">
        <v>975.91</v>
      </c>
      <c r="K4245" t="s">
        <v>8521</v>
      </c>
      <c r="L4245">
        <v>3001</v>
      </c>
      <c r="M4245" t="s">
        <v>330</v>
      </c>
      <c r="N4245" t="s">
        <v>331</v>
      </c>
      <c r="O4245" t="s">
        <v>108</v>
      </c>
      <c r="P4245" t="str">
        <f>"75063"</f>
        <v>75063</v>
      </c>
    </row>
    <row r="4246" spans="1:16" x14ac:dyDescent="0.25">
      <c r="A4246" t="str">
        <f>"1110082S00160    00"</f>
        <v>1110082S00160    00</v>
      </c>
      <c r="B4246" t="s">
        <v>10194</v>
      </c>
      <c r="C4246" t="s">
        <v>10195</v>
      </c>
      <c r="E4246" t="s">
        <v>39</v>
      </c>
      <c r="F4246">
        <v>0</v>
      </c>
      <c r="G4246">
        <v>0</v>
      </c>
      <c r="H4246">
        <v>1</v>
      </c>
      <c r="I4246" s="3">
        <v>3605.67</v>
      </c>
      <c r="J4246" s="3">
        <v>991.52</v>
      </c>
      <c r="K4246" t="s">
        <v>881</v>
      </c>
      <c r="L4246">
        <v>3001</v>
      </c>
      <c r="M4246" t="s">
        <v>330</v>
      </c>
      <c r="N4246" t="s">
        <v>331</v>
      </c>
      <c r="O4246" t="s">
        <v>108</v>
      </c>
      <c r="P4246" t="str">
        <f>"75063"</f>
        <v>75063</v>
      </c>
    </row>
    <row r="4247" spans="1:16" x14ac:dyDescent="0.25">
      <c r="A4247" t="str">
        <f>"1110082S00168    00"</f>
        <v>1110082S00168    00</v>
      </c>
      <c r="B4247" t="s">
        <v>10196</v>
      </c>
      <c r="C4247" t="s">
        <v>10197</v>
      </c>
      <c r="D4247" t="s">
        <v>20</v>
      </c>
      <c r="E4247" t="s">
        <v>39</v>
      </c>
      <c r="F4247">
        <v>0</v>
      </c>
      <c r="G4247">
        <v>0</v>
      </c>
      <c r="H4247">
        <v>19</v>
      </c>
      <c r="I4247" s="3">
        <v>1043.69</v>
      </c>
      <c r="J4247" s="3">
        <v>1262.21</v>
      </c>
      <c r="K4247" t="s">
        <v>10198</v>
      </c>
      <c r="P4247" t="str">
        <f>""</f>
        <v/>
      </c>
    </row>
    <row r="4248" spans="1:16" x14ac:dyDescent="0.25">
      <c r="A4248" t="str">
        <f>"1110082S00170    00"</f>
        <v>1110082S00170    00</v>
      </c>
      <c r="B4248" t="s">
        <v>10103</v>
      </c>
      <c r="C4248" t="s">
        <v>10199</v>
      </c>
      <c r="D4248" t="s">
        <v>20</v>
      </c>
      <c r="E4248" t="s">
        <v>39</v>
      </c>
      <c r="F4248">
        <v>0</v>
      </c>
      <c r="G4248">
        <v>0</v>
      </c>
      <c r="H4248">
        <v>1</v>
      </c>
      <c r="I4248" s="3">
        <v>6673.36</v>
      </c>
      <c r="J4248" s="3">
        <v>0</v>
      </c>
      <c r="K4248" t="s">
        <v>10105</v>
      </c>
      <c r="L4248">
        <v>811</v>
      </c>
      <c r="M4248" t="s">
        <v>10106</v>
      </c>
      <c r="N4248" t="s">
        <v>30</v>
      </c>
      <c r="O4248" t="s">
        <v>31</v>
      </c>
      <c r="P4248" t="str">
        <f>"15237"</f>
        <v>15237</v>
      </c>
    </row>
    <row r="4249" spans="1:16" x14ac:dyDescent="0.25">
      <c r="A4249" t="str">
        <f>"1110082S00188    00"</f>
        <v>1110082S00188    00</v>
      </c>
      <c r="B4249" t="s">
        <v>10200</v>
      </c>
      <c r="C4249" t="s">
        <v>10201</v>
      </c>
      <c r="E4249" t="s">
        <v>39</v>
      </c>
      <c r="F4249">
        <v>0</v>
      </c>
      <c r="G4249">
        <v>0</v>
      </c>
      <c r="H4249">
        <v>2</v>
      </c>
      <c r="I4249" s="3">
        <v>5859.06</v>
      </c>
      <c r="J4249" s="3">
        <v>73.23</v>
      </c>
      <c r="K4249" t="s">
        <v>10202</v>
      </c>
      <c r="L4249">
        <v>6031</v>
      </c>
      <c r="M4249" t="s">
        <v>10021</v>
      </c>
      <c r="N4249" t="s">
        <v>30</v>
      </c>
      <c r="O4249" t="s">
        <v>31</v>
      </c>
      <c r="P4249" t="str">
        <f>"15206"</f>
        <v>15206</v>
      </c>
    </row>
    <row r="4250" spans="1:16" x14ac:dyDescent="0.25">
      <c r="A4250" t="str">
        <f>"1110082S00213    00"</f>
        <v>1110082S00213    00</v>
      </c>
      <c r="B4250" t="s">
        <v>10203</v>
      </c>
      <c r="C4250" t="s">
        <v>10204</v>
      </c>
      <c r="D4250" t="s">
        <v>20</v>
      </c>
      <c r="E4250" t="s">
        <v>39</v>
      </c>
      <c r="F4250">
        <v>0</v>
      </c>
      <c r="G4250">
        <v>0</v>
      </c>
      <c r="H4250">
        <v>3</v>
      </c>
      <c r="I4250" s="3">
        <v>12551.04</v>
      </c>
      <c r="J4250" s="3">
        <v>278.91000000000003</v>
      </c>
      <c r="K4250" t="s">
        <v>9285</v>
      </c>
      <c r="L4250">
        <v>901</v>
      </c>
      <c r="M4250" t="s">
        <v>1503</v>
      </c>
      <c r="N4250" t="s">
        <v>494</v>
      </c>
      <c r="O4250" t="s">
        <v>495</v>
      </c>
      <c r="P4250" t="str">
        <f>"91768"</f>
        <v>91768</v>
      </c>
    </row>
    <row r="4251" spans="1:16" x14ac:dyDescent="0.25">
      <c r="A4251" t="str">
        <f>"1110082S00225    00"</f>
        <v>1110082S00225    00</v>
      </c>
      <c r="B4251" t="s">
        <v>10205</v>
      </c>
      <c r="C4251" t="s">
        <v>10206</v>
      </c>
      <c r="E4251" t="s">
        <v>39</v>
      </c>
      <c r="F4251">
        <v>0</v>
      </c>
      <c r="G4251">
        <v>0</v>
      </c>
      <c r="H4251">
        <v>2</v>
      </c>
      <c r="I4251" s="3">
        <v>5902.87</v>
      </c>
      <c r="J4251" s="3">
        <v>403.67</v>
      </c>
      <c r="K4251" t="s">
        <v>400</v>
      </c>
      <c r="L4251">
        <v>3001</v>
      </c>
      <c r="M4251" t="s">
        <v>330</v>
      </c>
      <c r="N4251" t="s">
        <v>331</v>
      </c>
      <c r="O4251" t="s">
        <v>108</v>
      </c>
      <c r="P4251" t="str">
        <f>"75063"</f>
        <v>75063</v>
      </c>
    </row>
    <row r="4252" spans="1:16" x14ac:dyDescent="0.25">
      <c r="A4252" t="str">
        <f>"1110082S00227    00"</f>
        <v>1110082S00227    00</v>
      </c>
      <c r="B4252" t="s">
        <v>10207</v>
      </c>
      <c r="C4252" t="s">
        <v>10208</v>
      </c>
      <c r="E4252" t="s">
        <v>39</v>
      </c>
      <c r="F4252">
        <v>0</v>
      </c>
      <c r="G4252">
        <v>0</v>
      </c>
      <c r="H4252">
        <v>2</v>
      </c>
      <c r="I4252" s="3">
        <v>2690.18</v>
      </c>
      <c r="J4252" s="3">
        <v>784</v>
      </c>
      <c r="K4252" t="s">
        <v>391</v>
      </c>
      <c r="L4252">
        <v>1</v>
      </c>
      <c r="M4252" t="s">
        <v>392</v>
      </c>
      <c r="N4252" t="s">
        <v>393</v>
      </c>
      <c r="O4252" t="s">
        <v>394</v>
      </c>
      <c r="P4252" t="str">
        <f>"50328"</f>
        <v>50328</v>
      </c>
    </row>
    <row r="4253" spans="1:16" x14ac:dyDescent="0.25">
      <c r="A4253" t="str">
        <f>"1110082S00246    00"</f>
        <v>1110082S00246    00</v>
      </c>
      <c r="B4253" t="s">
        <v>10209</v>
      </c>
      <c r="C4253" t="s">
        <v>10210</v>
      </c>
      <c r="D4253" t="s">
        <v>20</v>
      </c>
      <c r="E4253" t="s">
        <v>39</v>
      </c>
      <c r="F4253">
        <v>0</v>
      </c>
      <c r="G4253">
        <v>0</v>
      </c>
      <c r="H4253">
        <v>3</v>
      </c>
      <c r="I4253" s="3">
        <v>4523.2299999999996</v>
      </c>
      <c r="J4253" s="3">
        <v>87.31</v>
      </c>
      <c r="K4253" t="s">
        <v>4933</v>
      </c>
      <c r="L4253">
        <v>3001</v>
      </c>
      <c r="M4253" t="s">
        <v>330</v>
      </c>
      <c r="N4253" t="s">
        <v>331</v>
      </c>
      <c r="O4253" t="s">
        <v>108</v>
      </c>
      <c r="P4253" t="str">
        <f>"75063"</f>
        <v>75063</v>
      </c>
    </row>
    <row r="4254" spans="1:16" x14ac:dyDescent="0.25">
      <c r="A4254" t="str">
        <f>"1110082S00266    00"</f>
        <v>1110082S00266    00</v>
      </c>
      <c r="B4254" t="s">
        <v>10211</v>
      </c>
      <c r="C4254" t="s">
        <v>10212</v>
      </c>
      <c r="D4254" t="s">
        <v>20</v>
      </c>
      <c r="E4254" t="s">
        <v>39</v>
      </c>
      <c r="F4254">
        <v>0</v>
      </c>
      <c r="G4254">
        <v>0</v>
      </c>
      <c r="H4254">
        <v>3</v>
      </c>
      <c r="I4254" s="3">
        <v>9040.52</v>
      </c>
      <c r="J4254" s="3">
        <v>389.64</v>
      </c>
      <c r="L4254">
        <v>1125</v>
      </c>
      <c r="M4254" t="s">
        <v>5837</v>
      </c>
      <c r="N4254" t="s">
        <v>30</v>
      </c>
      <c r="O4254" t="s">
        <v>31</v>
      </c>
      <c r="P4254" t="str">
        <f>"15206"</f>
        <v>15206</v>
      </c>
    </row>
    <row r="4255" spans="1:16" x14ac:dyDescent="0.25">
      <c r="A4255" t="str">
        <f>"1110082S00291    00"</f>
        <v>1110082S00291    00</v>
      </c>
      <c r="B4255" t="s">
        <v>10213</v>
      </c>
      <c r="C4255" t="s">
        <v>10214</v>
      </c>
      <c r="D4255" t="s">
        <v>20</v>
      </c>
      <c r="E4255" t="s">
        <v>39</v>
      </c>
      <c r="F4255">
        <v>0</v>
      </c>
      <c r="G4255">
        <v>0</v>
      </c>
      <c r="H4255">
        <v>1</v>
      </c>
      <c r="I4255" s="3">
        <v>3526.1</v>
      </c>
      <c r="J4255" s="3">
        <v>0</v>
      </c>
      <c r="K4255" t="s">
        <v>445</v>
      </c>
      <c r="L4255">
        <v>1</v>
      </c>
      <c r="M4255" t="s">
        <v>1163</v>
      </c>
      <c r="N4255" t="s">
        <v>1164</v>
      </c>
      <c r="O4255" t="s">
        <v>108</v>
      </c>
      <c r="P4255" t="str">
        <f>"76262"</f>
        <v>76262</v>
      </c>
    </row>
    <row r="4256" spans="1:16" x14ac:dyDescent="0.25">
      <c r="A4256" t="str">
        <f>"1110082S00312    00"</f>
        <v>1110082S00312    00</v>
      </c>
      <c r="B4256" t="s">
        <v>10215</v>
      </c>
      <c r="C4256" t="s">
        <v>10216</v>
      </c>
      <c r="E4256" t="s">
        <v>39</v>
      </c>
      <c r="F4256">
        <v>0</v>
      </c>
      <c r="G4256">
        <v>0</v>
      </c>
      <c r="H4256">
        <v>2</v>
      </c>
      <c r="I4256" s="3">
        <v>4300.5</v>
      </c>
      <c r="J4256" s="3">
        <v>34.81</v>
      </c>
      <c r="K4256" t="s">
        <v>10217</v>
      </c>
      <c r="L4256">
        <v>100</v>
      </c>
      <c r="M4256" t="s">
        <v>10218</v>
      </c>
      <c r="N4256" t="s">
        <v>3425</v>
      </c>
      <c r="O4256" t="s">
        <v>31</v>
      </c>
      <c r="P4256" t="str">
        <f>"16365"</f>
        <v>16365</v>
      </c>
    </row>
    <row r="4257" spans="1:16" x14ac:dyDescent="0.25">
      <c r="A4257" t="str">
        <f>"1110083A00041    00"</f>
        <v>1110083A00041    00</v>
      </c>
      <c r="B4257" t="s">
        <v>10219</v>
      </c>
      <c r="C4257" t="s">
        <v>10220</v>
      </c>
      <c r="E4257" t="s">
        <v>39</v>
      </c>
      <c r="F4257">
        <v>0</v>
      </c>
      <c r="G4257">
        <v>0</v>
      </c>
      <c r="H4257">
        <v>1</v>
      </c>
      <c r="I4257" s="3">
        <v>2019.77</v>
      </c>
      <c r="J4257" s="3">
        <v>454.42</v>
      </c>
      <c r="K4257" t="s">
        <v>10221</v>
      </c>
      <c r="L4257">
        <v>700</v>
      </c>
      <c r="M4257" t="s">
        <v>4114</v>
      </c>
      <c r="N4257" t="s">
        <v>30</v>
      </c>
      <c r="O4257" t="s">
        <v>31</v>
      </c>
      <c r="P4257" t="str">
        <f>"15206"</f>
        <v>15206</v>
      </c>
    </row>
    <row r="4258" spans="1:16" x14ac:dyDescent="0.25">
      <c r="A4258" t="str">
        <f>"1110083A00058    00"</f>
        <v>1110083A00058    00</v>
      </c>
      <c r="B4258" t="s">
        <v>10222</v>
      </c>
      <c r="C4258" t="s">
        <v>10223</v>
      </c>
      <c r="D4258" t="s">
        <v>20</v>
      </c>
      <c r="E4258" t="s">
        <v>39</v>
      </c>
      <c r="F4258">
        <v>0</v>
      </c>
      <c r="G4258">
        <v>0</v>
      </c>
      <c r="H4258">
        <v>3</v>
      </c>
      <c r="I4258" s="3">
        <v>7909.9</v>
      </c>
      <c r="J4258" s="3">
        <v>87.35</v>
      </c>
      <c r="K4258" t="s">
        <v>5172</v>
      </c>
      <c r="L4258">
        <v>3495</v>
      </c>
      <c r="M4258" t="s">
        <v>10224</v>
      </c>
      <c r="N4258" t="s">
        <v>30</v>
      </c>
      <c r="O4258" t="s">
        <v>31</v>
      </c>
      <c r="P4258" t="str">
        <f>"15201"</f>
        <v>15201</v>
      </c>
    </row>
    <row r="4259" spans="1:16" x14ac:dyDescent="0.25">
      <c r="A4259" t="str">
        <f>"1110083A00093    00"</f>
        <v>1110083A00093    00</v>
      </c>
      <c r="B4259" t="s">
        <v>10225</v>
      </c>
      <c r="C4259" t="s">
        <v>10226</v>
      </c>
      <c r="E4259" t="s">
        <v>39</v>
      </c>
      <c r="F4259">
        <v>0</v>
      </c>
      <c r="G4259">
        <v>0</v>
      </c>
      <c r="H4259">
        <v>2</v>
      </c>
      <c r="I4259" s="3">
        <v>3913.14</v>
      </c>
      <c r="J4259" s="3">
        <v>2527.13</v>
      </c>
      <c r="K4259" t="s">
        <v>805</v>
      </c>
      <c r="L4259">
        <v>3001</v>
      </c>
      <c r="M4259" t="s">
        <v>330</v>
      </c>
      <c r="N4259" t="s">
        <v>331</v>
      </c>
      <c r="O4259" t="s">
        <v>108</v>
      </c>
      <c r="P4259" t="str">
        <f>"75063"</f>
        <v>75063</v>
      </c>
    </row>
    <row r="4260" spans="1:16" x14ac:dyDescent="0.25">
      <c r="A4260" t="str">
        <f>"1110083A00095    00"</f>
        <v>1110083A00095    00</v>
      </c>
      <c r="B4260" t="s">
        <v>10227</v>
      </c>
      <c r="C4260" t="s">
        <v>10228</v>
      </c>
      <c r="D4260" t="s">
        <v>20</v>
      </c>
      <c r="E4260" t="s">
        <v>39</v>
      </c>
      <c r="F4260">
        <v>0</v>
      </c>
      <c r="G4260">
        <v>0</v>
      </c>
      <c r="H4260">
        <v>1</v>
      </c>
      <c r="I4260" s="3">
        <v>2109.9499999999998</v>
      </c>
      <c r="J4260" s="3">
        <v>0</v>
      </c>
      <c r="K4260" t="s">
        <v>10229</v>
      </c>
      <c r="L4260">
        <v>715</v>
      </c>
      <c r="M4260" t="s">
        <v>1315</v>
      </c>
      <c r="N4260" t="s">
        <v>30</v>
      </c>
      <c r="O4260" t="s">
        <v>31</v>
      </c>
      <c r="P4260" t="str">
        <f>"15206"</f>
        <v>15206</v>
      </c>
    </row>
    <row r="4261" spans="1:16" x14ac:dyDescent="0.25">
      <c r="A4261" t="str">
        <f>"1110083A00097    00"</f>
        <v>1110083A00097    00</v>
      </c>
      <c r="B4261" t="s">
        <v>10230</v>
      </c>
      <c r="C4261" t="s">
        <v>10231</v>
      </c>
      <c r="D4261" t="s">
        <v>20</v>
      </c>
      <c r="E4261" t="s">
        <v>39</v>
      </c>
      <c r="F4261">
        <v>0</v>
      </c>
      <c r="G4261">
        <v>0</v>
      </c>
      <c r="H4261">
        <v>1</v>
      </c>
      <c r="I4261" s="3">
        <v>2626.47</v>
      </c>
      <c r="J4261" s="3">
        <v>0</v>
      </c>
      <c r="K4261" t="s">
        <v>4424</v>
      </c>
      <c r="L4261">
        <v>3001</v>
      </c>
      <c r="M4261" t="s">
        <v>330</v>
      </c>
      <c r="N4261" t="s">
        <v>331</v>
      </c>
      <c r="O4261" t="s">
        <v>108</v>
      </c>
      <c r="P4261" t="str">
        <f>"75063"</f>
        <v>75063</v>
      </c>
    </row>
    <row r="4262" spans="1:16" x14ac:dyDescent="0.25">
      <c r="A4262" t="str">
        <f>"1110083A00098    00"</f>
        <v>1110083A00098    00</v>
      </c>
      <c r="B4262" t="s">
        <v>9104</v>
      </c>
      <c r="C4262" t="s">
        <v>10232</v>
      </c>
      <c r="D4262" t="s">
        <v>20</v>
      </c>
      <c r="E4262" t="s">
        <v>39</v>
      </c>
      <c r="F4262">
        <v>0</v>
      </c>
      <c r="G4262">
        <v>0</v>
      </c>
      <c r="H4262">
        <v>1</v>
      </c>
      <c r="I4262" s="3">
        <v>552.74</v>
      </c>
      <c r="J4262" s="3">
        <v>0</v>
      </c>
      <c r="L4262">
        <v>5233</v>
      </c>
      <c r="M4262" t="s">
        <v>2444</v>
      </c>
      <c r="N4262" t="s">
        <v>30</v>
      </c>
      <c r="O4262" t="s">
        <v>31</v>
      </c>
      <c r="P4262" t="str">
        <f>"15201"</f>
        <v>15201</v>
      </c>
    </row>
    <row r="4263" spans="1:16" x14ac:dyDescent="0.25">
      <c r="A4263" t="str">
        <f>"1110083A00115    00"</f>
        <v>1110083A00115    00</v>
      </c>
      <c r="B4263" t="s">
        <v>10233</v>
      </c>
      <c r="C4263" t="s">
        <v>10234</v>
      </c>
      <c r="D4263" t="s">
        <v>20</v>
      </c>
      <c r="E4263" t="s">
        <v>39</v>
      </c>
      <c r="F4263">
        <v>0</v>
      </c>
      <c r="G4263">
        <v>0</v>
      </c>
      <c r="H4263">
        <v>2</v>
      </c>
      <c r="I4263" s="3">
        <v>2935.58</v>
      </c>
      <c r="J4263" s="3">
        <v>0</v>
      </c>
      <c r="L4263">
        <v>5423</v>
      </c>
      <c r="M4263" t="s">
        <v>10235</v>
      </c>
      <c r="N4263" t="s">
        <v>30</v>
      </c>
      <c r="O4263" t="s">
        <v>31</v>
      </c>
      <c r="P4263" t="str">
        <f>"15206"</f>
        <v>15206</v>
      </c>
    </row>
    <row r="4264" spans="1:16" x14ac:dyDescent="0.25">
      <c r="A4264" t="str">
        <f>"1110083A00161    00"</f>
        <v>1110083A00161    00</v>
      </c>
      <c r="B4264" t="s">
        <v>10236</v>
      </c>
      <c r="C4264" t="s">
        <v>10237</v>
      </c>
      <c r="E4264" t="s">
        <v>39</v>
      </c>
      <c r="F4264">
        <v>0</v>
      </c>
      <c r="G4264">
        <v>0</v>
      </c>
      <c r="H4264">
        <v>2</v>
      </c>
      <c r="I4264" s="3">
        <v>7658.32</v>
      </c>
      <c r="J4264" s="3">
        <v>255.28</v>
      </c>
      <c r="K4264" t="s">
        <v>10238</v>
      </c>
      <c r="L4264">
        <v>5114</v>
      </c>
      <c r="M4264" t="s">
        <v>10239</v>
      </c>
      <c r="N4264" t="s">
        <v>605</v>
      </c>
      <c r="O4264" t="s">
        <v>606</v>
      </c>
      <c r="P4264" t="str">
        <f>"30340"</f>
        <v>30340</v>
      </c>
    </row>
    <row r="4265" spans="1:16" x14ac:dyDescent="0.25">
      <c r="A4265" t="str">
        <f>"1110083A00207    00"</f>
        <v>1110083A00207    00</v>
      </c>
      <c r="B4265" t="s">
        <v>10240</v>
      </c>
      <c r="C4265" t="s">
        <v>10241</v>
      </c>
      <c r="D4265" t="s">
        <v>20</v>
      </c>
      <c r="E4265" t="s">
        <v>39</v>
      </c>
      <c r="F4265">
        <v>0</v>
      </c>
      <c r="G4265">
        <v>0</v>
      </c>
      <c r="H4265">
        <v>3</v>
      </c>
      <c r="I4265" s="3">
        <v>5410.32</v>
      </c>
      <c r="J4265" s="3">
        <v>225.67</v>
      </c>
      <c r="K4265" t="s">
        <v>417</v>
      </c>
      <c r="L4265">
        <v>3001</v>
      </c>
      <c r="M4265" t="s">
        <v>330</v>
      </c>
      <c r="N4265" t="s">
        <v>331</v>
      </c>
      <c r="O4265" t="s">
        <v>108</v>
      </c>
      <c r="P4265" t="str">
        <f>"75063"</f>
        <v>75063</v>
      </c>
    </row>
    <row r="4266" spans="1:16" x14ac:dyDescent="0.25">
      <c r="A4266" t="str">
        <f>"1110083A00216    00"</f>
        <v>1110083A00216    00</v>
      </c>
      <c r="B4266" t="s">
        <v>10242</v>
      </c>
      <c r="C4266" t="s">
        <v>10243</v>
      </c>
      <c r="E4266" t="s">
        <v>39</v>
      </c>
      <c r="F4266">
        <v>0</v>
      </c>
      <c r="G4266">
        <v>0</v>
      </c>
      <c r="H4266">
        <v>2</v>
      </c>
      <c r="I4266" s="3">
        <v>461.84</v>
      </c>
      <c r="J4266" s="3">
        <v>55.41</v>
      </c>
      <c r="L4266">
        <v>5490</v>
      </c>
      <c r="M4266" t="s">
        <v>5832</v>
      </c>
      <c r="N4266" t="s">
        <v>30</v>
      </c>
      <c r="O4266" t="s">
        <v>31</v>
      </c>
      <c r="P4266" t="str">
        <f>"15206"</f>
        <v>15206</v>
      </c>
    </row>
    <row r="4267" spans="1:16" x14ac:dyDescent="0.25">
      <c r="A4267" t="str">
        <f>"1110083A00266    00"</f>
        <v>1110083A00266    00</v>
      </c>
      <c r="B4267" t="s">
        <v>10244</v>
      </c>
      <c r="C4267" t="s">
        <v>10245</v>
      </c>
      <c r="E4267" t="s">
        <v>39</v>
      </c>
      <c r="F4267">
        <v>0</v>
      </c>
      <c r="G4267">
        <v>0</v>
      </c>
      <c r="H4267">
        <v>2</v>
      </c>
      <c r="I4267" s="3">
        <v>3205.86</v>
      </c>
      <c r="J4267" s="3">
        <v>0</v>
      </c>
      <c r="K4267" t="s">
        <v>10246</v>
      </c>
      <c r="L4267">
        <v>5454</v>
      </c>
      <c r="M4267" t="s">
        <v>10247</v>
      </c>
      <c r="N4267" t="s">
        <v>30</v>
      </c>
      <c r="O4267" t="s">
        <v>31</v>
      </c>
      <c r="P4267" t="str">
        <f>"15206"</f>
        <v>15206</v>
      </c>
    </row>
    <row r="4268" spans="1:16" x14ac:dyDescent="0.25">
      <c r="A4268" t="str">
        <f>"1110083A00267    00"</f>
        <v>1110083A00267    00</v>
      </c>
      <c r="B4268" t="s">
        <v>10248</v>
      </c>
      <c r="C4268" t="s">
        <v>10249</v>
      </c>
      <c r="D4268" t="s">
        <v>20</v>
      </c>
      <c r="E4268" t="s">
        <v>39</v>
      </c>
      <c r="F4268">
        <v>0</v>
      </c>
      <c r="G4268">
        <v>0</v>
      </c>
      <c r="H4268">
        <v>1</v>
      </c>
      <c r="I4268" s="3">
        <v>1497.16</v>
      </c>
      <c r="J4268" s="3">
        <v>0</v>
      </c>
      <c r="K4268" t="s">
        <v>10250</v>
      </c>
      <c r="L4268">
        <v>5452</v>
      </c>
      <c r="M4268" t="s">
        <v>10247</v>
      </c>
      <c r="N4268" t="s">
        <v>30</v>
      </c>
      <c r="O4268" t="s">
        <v>31</v>
      </c>
      <c r="P4268" t="str">
        <f>"15206"</f>
        <v>15206</v>
      </c>
    </row>
    <row r="4269" spans="1:16" x14ac:dyDescent="0.25">
      <c r="A4269" t="str">
        <f>"1110083A00268    00"</f>
        <v>1110083A00268    00</v>
      </c>
      <c r="B4269" t="s">
        <v>1300</v>
      </c>
      <c r="C4269" t="s">
        <v>10251</v>
      </c>
      <c r="D4269" t="s">
        <v>20</v>
      </c>
      <c r="E4269" t="s">
        <v>39</v>
      </c>
      <c r="F4269">
        <v>0</v>
      </c>
      <c r="G4269">
        <v>0</v>
      </c>
      <c r="H4269">
        <v>2</v>
      </c>
      <c r="I4269" s="3">
        <v>1157.8800000000001</v>
      </c>
      <c r="J4269" s="3">
        <v>0</v>
      </c>
      <c r="L4269">
        <v>2415</v>
      </c>
      <c r="M4269" t="s">
        <v>1302</v>
      </c>
      <c r="N4269" t="s">
        <v>30</v>
      </c>
      <c r="O4269" t="s">
        <v>31</v>
      </c>
      <c r="P4269" t="str">
        <f>"15213"</f>
        <v>15213</v>
      </c>
    </row>
    <row r="4270" spans="1:16" x14ac:dyDescent="0.25">
      <c r="A4270" t="str">
        <f>"1110083A00270    00"</f>
        <v>1110083A00270    00</v>
      </c>
      <c r="B4270" t="s">
        <v>10252</v>
      </c>
      <c r="C4270" t="s">
        <v>10253</v>
      </c>
      <c r="D4270" t="s">
        <v>20</v>
      </c>
      <c r="E4270" t="s">
        <v>39</v>
      </c>
      <c r="F4270">
        <v>0</v>
      </c>
      <c r="G4270">
        <v>0</v>
      </c>
      <c r="H4270">
        <v>1</v>
      </c>
      <c r="I4270" s="3">
        <v>1374.23</v>
      </c>
      <c r="J4270" s="3">
        <v>0</v>
      </c>
      <c r="K4270" t="s">
        <v>10254</v>
      </c>
      <c r="L4270">
        <v>707</v>
      </c>
      <c r="M4270" t="s">
        <v>1315</v>
      </c>
      <c r="N4270" t="s">
        <v>30</v>
      </c>
      <c r="O4270" t="s">
        <v>31</v>
      </c>
      <c r="P4270" t="str">
        <f>"15206"</f>
        <v>15206</v>
      </c>
    </row>
    <row r="4271" spans="1:16" x14ac:dyDescent="0.25">
      <c r="A4271" t="str">
        <f>"1110083A00286    00"</f>
        <v>1110083A00286    00</v>
      </c>
      <c r="B4271" t="s">
        <v>10255</v>
      </c>
      <c r="C4271" t="s">
        <v>10256</v>
      </c>
      <c r="D4271" t="s">
        <v>20</v>
      </c>
      <c r="E4271" t="s">
        <v>39</v>
      </c>
      <c r="F4271">
        <v>0</v>
      </c>
      <c r="G4271">
        <v>0</v>
      </c>
      <c r="H4271">
        <v>1</v>
      </c>
      <c r="I4271" s="3">
        <v>523.64</v>
      </c>
      <c r="J4271" s="3">
        <v>0</v>
      </c>
      <c r="L4271">
        <v>714</v>
      </c>
      <c r="M4271" t="s">
        <v>4114</v>
      </c>
      <c r="N4271" t="s">
        <v>30</v>
      </c>
      <c r="O4271" t="s">
        <v>31</v>
      </c>
      <c r="P4271" t="str">
        <f>"15206"</f>
        <v>15206</v>
      </c>
    </row>
    <row r="4272" spans="1:16" x14ac:dyDescent="0.25">
      <c r="A4272" t="str">
        <f>"1110083A00298    00"</f>
        <v>1110083A00298    00</v>
      </c>
      <c r="B4272" t="s">
        <v>10257</v>
      </c>
      <c r="C4272" t="s">
        <v>10258</v>
      </c>
      <c r="D4272" t="s">
        <v>20</v>
      </c>
      <c r="E4272" t="s">
        <v>39</v>
      </c>
      <c r="F4272">
        <v>0</v>
      </c>
      <c r="G4272">
        <v>0</v>
      </c>
      <c r="H4272">
        <v>1</v>
      </c>
      <c r="I4272" s="3">
        <v>463.62</v>
      </c>
      <c r="J4272" s="3">
        <v>0</v>
      </c>
      <c r="L4272">
        <v>545</v>
      </c>
      <c r="M4272" t="s">
        <v>10259</v>
      </c>
      <c r="N4272" t="s">
        <v>30</v>
      </c>
      <c r="O4272" t="s">
        <v>31</v>
      </c>
      <c r="P4272" t="str">
        <f>"15206"</f>
        <v>15206</v>
      </c>
    </row>
    <row r="4273" spans="1:16" x14ac:dyDescent="0.25">
      <c r="A4273" t="str">
        <f>"1110083B00006    00"</f>
        <v>1110083B00006    00</v>
      </c>
      <c r="B4273" t="s">
        <v>10260</v>
      </c>
      <c r="C4273" t="s">
        <v>10261</v>
      </c>
      <c r="D4273" t="s">
        <v>20</v>
      </c>
      <c r="E4273" t="s">
        <v>39</v>
      </c>
      <c r="F4273">
        <v>0</v>
      </c>
      <c r="G4273">
        <v>0</v>
      </c>
      <c r="H4273">
        <v>1</v>
      </c>
      <c r="I4273" s="3">
        <v>117.59</v>
      </c>
      <c r="J4273" s="3">
        <v>0</v>
      </c>
      <c r="K4273" t="s">
        <v>10262</v>
      </c>
      <c r="M4273" t="s">
        <v>10263</v>
      </c>
      <c r="N4273" t="s">
        <v>10264</v>
      </c>
      <c r="O4273" t="s">
        <v>692</v>
      </c>
      <c r="P4273" t="str">
        <f>"23450"</f>
        <v>23450</v>
      </c>
    </row>
    <row r="4274" spans="1:16" x14ac:dyDescent="0.25">
      <c r="A4274" t="str">
        <f>"1110083B00070    00"</f>
        <v>1110083B00070    00</v>
      </c>
      <c r="B4274" t="s">
        <v>10265</v>
      </c>
      <c r="C4274" t="s">
        <v>10266</v>
      </c>
      <c r="D4274" t="s">
        <v>20</v>
      </c>
      <c r="E4274" t="s">
        <v>39</v>
      </c>
      <c r="F4274">
        <v>0</v>
      </c>
      <c r="G4274">
        <v>0</v>
      </c>
      <c r="H4274">
        <v>10</v>
      </c>
      <c r="I4274" s="3">
        <v>5862.47</v>
      </c>
      <c r="J4274" s="3">
        <v>2587.1799999999998</v>
      </c>
      <c r="L4274">
        <v>5531</v>
      </c>
      <c r="M4274" t="s">
        <v>10235</v>
      </c>
      <c r="N4274" t="s">
        <v>30</v>
      </c>
      <c r="O4274" t="s">
        <v>31</v>
      </c>
      <c r="P4274" t="str">
        <f>"15206"</f>
        <v>15206</v>
      </c>
    </row>
    <row r="4275" spans="1:16" x14ac:dyDescent="0.25">
      <c r="A4275" t="str">
        <f>"1110083B00072    00"</f>
        <v>1110083B00072    00</v>
      </c>
      <c r="B4275" t="s">
        <v>10267</v>
      </c>
      <c r="C4275" t="s">
        <v>10268</v>
      </c>
      <c r="D4275" t="s">
        <v>20</v>
      </c>
      <c r="E4275" t="s">
        <v>39</v>
      </c>
      <c r="F4275">
        <v>0</v>
      </c>
      <c r="G4275">
        <v>0</v>
      </c>
      <c r="H4275">
        <v>7</v>
      </c>
      <c r="I4275" s="3">
        <v>11103.79</v>
      </c>
      <c r="J4275" s="3">
        <v>2961.18</v>
      </c>
      <c r="L4275">
        <v>5527</v>
      </c>
      <c r="M4275" t="s">
        <v>10235</v>
      </c>
      <c r="N4275" t="s">
        <v>30</v>
      </c>
      <c r="O4275" t="s">
        <v>31</v>
      </c>
      <c r="P4275" t="str">
        <f>"15206"</f>
        <v>15206</v>
      </c>
    </row>
    <row r="4276" spans="1:16" x14ac:dyDescent="0.25">
      <c r="A4276" t="str">
        <f>"1110083B00094    00"</f>
        <v>1110083B00094    00</v>
      </c>
      <c r="B4276" t="s">
        <v>10269</v>
      </c>
      <c r="C4276" t="s">
        <v>10270</v>
      </c>
      <c r="D4276" t="s">
        <v>20</v>
      </c>
      <c r="E4276" t="s">
        <v>39</v>
      </c>
      <c r="F4276">
        <v>0</v>
      </c>
      <c r="G4276">
        <v>0</v>
      </c>
      <c r="H4276">
        <v>2</v>
      </c>
      <c r="I4276" s="3">
        <v>3252.62</v>
      </c>
      <c r="J4276" s="3">
        <v>0</v>
      </c>
      <c r="L4276">
        <v>5532</v>
      </c>
      <c r="M4276" t="s">
        <v>10235</v>
      </c>
      <c r="N4276" t="s">
        <v>30</v>
      </c>
      <c r="O4276" t="s">
        <v>31</v>
      </c>
      <c r="P4276" t="str">
        <f>"15206"</f>
        <v>15206</v>
      </c>
    </row>
    <row r="4277" spans="1:16" x14ac:dyDescent="0.25">
      <c r="A4277" t="str">
        <f>"1110083B00096    00"</f>
        <v>1110083B00096    00</v>
      </c>
      <c r="B4277" t="s">
        <v>10271</v>
      </c>
      <c r="C4277" t="s">
        <v>10272</v>
      </c>
      <c r="D4277" t="s">
        <v>20</v>
      </c>
      <c r="E4277" t="s">
        <v>39</v>
      </c>
      <c r="F4277">
        <v>0</v>
      </c>
      <c r="G4277">
        <v>0</v>
      </c>
      <c r="H4277">
        <v>3</v>
      </c>
      <c r="I4277" s="3">
        <v>16622.25</v>
      </c>
      <c r="J4277" s="3">
        <v>369.38</v>
      </c>
      <c r="K4277" t="s">
        <v>4992</v>
      </c>
      <c r="L4277">
        <v>18111</v>
      </c>
      <c r="M4277" t="s">
        <v>4993</v>
      </c>
      <c r="N4277" t="s">
        <v>107</v>
      </c>
      <c r="O4277" t="s">
        <v>108</v>
      </c>
      <c r="P4277" t="str">
        <f>"75252"</f>
        <v>75252</v>
      </c>
    </row>
    <row r="4278" spans="1:16" x14ac:dyDescent="0.25">
      <c r="A4278" t="str">
        <f>"1110083B00098    00"</f>
        <v>1110083B00098    00</v>
      </c>
      <c r="B4278" t="s">
        <v>10273</v>
      </c>
      <c r="C4278" t="s">
        <v>10274</v>
      </c>
      <c r="D4278" t="s">
        <v>20</v>
      </c>
      <c r="E4278" t="s">
        <v>39</v>
      </c>
      <c r="F4278">
        <v>0</v>
      </c>
      <c r="G4278">
        <v>0</v>
      </c>
      <c r="H4278">
        <v>3</v>
      </c>
      <c r="I4278" s="3">
        <v>11087.22</v>
      </c>
      <c r="J4278" s="3">
        <v>92.39</v>
      </c>
      <c r="K4278" t="s">
        <v>10275</v>
      </c>
      <c r="M4278" t="s">
        <v>10276</v>
      </c>
      <c r="N4278" t="s">
        <v>30</v>
      </c>
      <c r="O4278" t="s">
        <v>31</v>
      </c>
      <c r="P4278" t="str">
        <f>"15206"</f>
        <v>15206</v>
      </c>
    </row>
    <row r="4279" spans="1:16" x14ac:dyDescent="0.25">
      <c r="A4279" t="str">
        <f>"1110083B00121    00"</f>
        <v>1110083B00121    00</v>
      </c>
      <c r="B4279" t="s">
        <v>10277</v>
      </c>
      <c r="C4279" t="s">
        <v>10278</v>
      </c>
      <c r="D4279" t="s">
        <v>20</v>
      </c>
      <c r="E4279" t="s">
        <v>39</v>
      </c>
      <c r="F4279">
        <v>0</v>
      </c>
      <c r="G4279">
        <v>0</v>
      </c>
      <c r="H4279">
        <v>1</v>
      </c>
      <c r="I4279" s="3">
        <v>2243.79</v>
      </c>
      <c r="J4279" s="3">
        <v>0</v>
      </c>
      <c r="K4279" t="s">
        <v>5141</v>
      </c>
      <c r="L4279">
        <v>1</v>
      </c>
      <c r="M4279" t="s">
        <v>5142</v>
      </c>
      <c r="N4279" t="s">
        <v>5143</v>
      </c>
      <c r="O4279" t="s">
        <v>3486</v>
      </c>
      <c r="P4279" t="str">
        <f>"60047"</f>
        <v>60047</v>
      </c>
    </row>
    <row r="4280" spans="1:16" x14ac:dyDescent="0.25">
      <c r="A4280" t="str">
        <f>"1110083B00128000100"</f>
        <v>1110083B00128000100</v>
      </c>
      <c r="B4280" t="s">
        <v>10279</v>
      </c>
      <c r="C4280" t="s">
        <v>10280</v>
      </c>
      <c r="D4280" t="s">
        <v>20</v>
      </c>
      <c r="E4280" t="s">
        <v>39</v>
      </c>
      <c r="F4280">
        <v>0</v>
      </c>
      <c r="G4280">
        <v>0</v>
      </c>
      <c r="H4280">
        <v>1</v>
      </c>
      <c r="I4280" s="3">
        <v>902</v>
      </c>
      <c r="J4280" s="3">
        <v>0</v>
      </c>
      <c r="L4280">
        <v>5548</v>
      </c>
      <c r="M4280" t="s">
        <v>5832</v>
      </c>
      <c r="N4280" t="s">
        <v>30</v>
      </c>
      <c r="O4280" t="s">
        <v>31</v>
      </c>
      <c r="P4280" t="str">
        <f>"15206"</f>
        <v>15206</v>
      </c>
    </row>
    <row r="4281" spans="1:16" x14ac:dyDescent="0.25">
      <c r="A4281" t="str">
        <f>"1110083B00128000200"</f>
        <v>1110083B00128000200</v>
      </c>
      <c r="B4281" t="s">
        <v>10281</v>
      </c>
      <c r="C4281" t="s">
        <v>10282</v>
      </c>
      <c r="D4281" t="s">
        <v>20</v>
      </c>
      <c r="E4281" t="s">
        <v>39</v>
      </c>
      <c r="F4281">
        <v>0</v>
      </c>
      <c r="G4281">
        <v>0</v>
      </c>
      <c r="H4281">
        <v>2</v>
      </c>
      <c r="I4281" s="3">
        <v>1841.48</v>
      </c>
      <c r="J4281" s="3">
        <v>0</v>
      </c>
      <c r="L4281">
        <v>5550</v>
      </c>
      <c r="M4281" t="s">
        <v>5832</v>
      </c>
      <c r="N4281" t="s">
        <v>30</v>
      </c>
      <c r="O4281" t="s">
        <v>31</v>
      </c>
      <c r="P4281" t="str">
        <f>"15206"</f>
        <v>15206</v>
      </c>
    </row>
    <row r="4282" spans="1:16" x14ac:dyDescent="0.25">
      <c r="A4282" t="str">
        <f>"1110083B00205    00"</f>
        <v>1110083B00205    00</v>
      </c>
      <c r="B4282" t="s">
        <v>10283</v>
      </c>
      <c r="C4282" t="s">
        <v>10284</v>
      </c>
      <c r="D4282" t="s">
        <v>20</v>
      </c>
      <c r="E4282" t="s">
        <v>39</v>
      </c>
      <c r="F4282">
        <v>0</v>
      </c>
      <c r="G4282">
        <v>0</v>
      </c>
      <c r="H4282">
        <v>4</v>
      </c>
      <c r="I4282" s="3">
        <v>12226.42</v>
      </c>
      <c r="J4282" s="3">
        <v>1444.28</v>
      </c>
      <c r="K4282" t="s">
        <v>10285</v>
      </c>
      <c r="M4282" t="s">
        <v>10286</v>
      </c>
      <c r="N4282" t="s">
        <v>30</v>
      </c>
      <c r="O4282" t="s">
        <v>31</v>
      </c>
      <c r="P4282" t="str">
        <f>"15217"</f>
        <v>15217</v>
      </c>
    </row>
    <row r="4283" spans="1:16" x14ac:dyDescent="0.25">
      <c r="A4283" t="str">
        <f>"1110083B00216    00"</f>
        <v>1110083B00216    00</v>
      </c>
      <c r="B4283" t="s">
        <v>10287</v>
      </c>
      <c r="C4283" t="s">
        <v>10288</v>
      </c>
      <c r="D4283" t="s">
        <v>57</v>
      </c>
      <c r="E4283" t="s">
        <v>39</v>
      </c>
      <c r="F4283">
        <v>0</v>
      </c>
      <c r="G4283">
        <v>0</v>
      </c>
      <c r="H4283">
        <v>2</v>
      </c>
      <c r="I4283" s="3">
        <v>1002.58</v>
      </c>
      <c r="J4283" s="3">
        <v>12.53</v>
      </c>
      <c r="K4283" t="s">
        <v>881</v>
      </c>
      <c r="L4283">
        <v>3001</v>
      </c>
      <c r="M4283" t="s">
        <v>330</v>
      </c>
      <c r="N4283" t="s">
        <v>331</v>
      </c>
      <c r="O4283" t="s">
        <v>108</v>
      </c>
      <c r="P4283" t="str">
        <f>"75063"</f>
        <v>75063</v>
      </c>
    </row>
    <row r="4284" spans="1:16" x14ac:dyDescent="0.25">
      <c r="A4284" t="str">
        <f>"1110083B00218    00"</f>
        <v>1110083B00218    00</v>
      </c>
      <c r="B4284" t="s">
        <v>10289</v>
      </c>
      <c r="C4284" t="s">
        <v>10290</v>
      </c>
      <c r="E4284" t="s">
        <v>39</v>
      </c>
      <c r="F4284">
        <v>0</v>
      </c>
      <c r="G4284">
        <v>0</v>
      </c>
      <c r="H4284">
        <v>2</v>
      </c>
      <c r="I4284" s="3">
        <v>471.01</v>
      </c>
      <c r="J4284" s="3">
        <v>32.200000000000003</v>
      </c>
      <c r="K4284" t="s">
        <v>10291</v>
      </c>
      <c r="M4284" t="s">
        <v>10292</v>
      </c>
      <c r="N4284" t="s">
        <v>10293</v>
      </c>
      <c r="O4284" t="s">
        <v>200</v>
      </c>
      <c r="P4284" t="str">
        <f>"14692"</f>
        <v>14692</v>
      </c>
    </row>
    <row r="4285" spans="1:16" x14ac:dyDescent="0.25">
      <c r="A4285" t="str">
        <f>"1110083B00220    00"</f>
        <v>1110083B00220    00</v>
      </c>
      <c r="B4285" t="s">
        <v>10294</v>
      </c>
      <c r="C4285" t="s">
        <v>10295</v>
      </c>
      <c r="E4285" t="s">
        <v>39</v>
      </c>
      <c r="F4285">
        <v>0</v>
      </c>
      <c r="G4285">
        <v>0</v>
      </c>
      <c r="H4285">
        <v>1</v>
      </c>
      <c r="I4285" s="3">
        <v>2572.0100000000002</v>
      </c>
      <c r="J4285" s="3">
        <v>707.28</v>
      </c>
      <c r="K4285" t="s">
        <v>10296</v>
      </c>
      <c r="L4285">
        <v>707</v>
      </c>
      <c r="M4285" t="s">
        <v>6227</v>
      </c>
      <c r="N4285" t="s">
        <v>30</v>
      </c>
      <c r="O4285" t="s">
        <v>31</v>
      </c>
      <c r="P4285" t="str">
        <f>"15206"</f>
        <v>15206</v>
      </c>
    </row>
    <row r="4286" spans="1:16" x14ac:dyDescent="0.25">
      <c r="A4286" t="str">
        <f>"1110083B00222    00"</f>
        <v>1110083B00222    00</v>
      </c>
      <c r="B4286" t="s">
        <v>10297</v>
      </c>
      <c r="C4286" t="s">
        <v>10298</v>
      </c>
      <c r="E4286" t="s">
        <v>39</v>
      </c>
      <c r="F4286">
        <v>0</v>
      </c>
      <c r="G4286">
        <v>0</v>
      </c>
      <c r="H4286">
        <v>2</v>
      </c>
      <c r="I4286" s="3">
        <v>299.85000000000002</v>
      </c>
      <c r="J4286" s="3">
        <v>29.54</v>
      </c>
      <c r="K4286" t="s">
        <v>4989</v>
      </c>
      <c r="L4286">
        <v>3001</v>
      </c>
      <c r="M4286" t="s">
        <v>330</v>
      </c>
      <c r="N4286" t="s">
        <v>331</v>
      </c>
      <c r="O4286" t="s">
        <v>108</v>
      </c>
      <c r="P4286" t="str">
        <f>"75063"</f>
        <v>75063</v>
      </c>
    </row>
    <row r="4287" spans="1:16" x14ac:dyDescent="0.25">
      <c r="A4287" t="str">
        <f>"1110083B00224    00"</f>
        <v>1110083B00224    00</v>
      </c>
      <c r="B4287" t="s">
        <v>10299</v>
      </c>
      <c r="C4287" t="s">
        <v>10300</v>
      </c>
      <c r="E4287" t="s">
        <v>39</v>
      </c>
      <c r="F4287">
        <v>0</v>
      </c>
      <c r="G4287">
        <v>0</v>
      </c>
      <c r="H4287">
        <v>1</v>
      </c>
      <c r="I4287" s="3">
        <v>2121.75</v>
      </c>
      <c r="J4287" s="3">
        <v>583.45000000000005</v>
      </c>
      <c r="K4287" t="s">
        <v>6128</v>
      </c>
      <c r="M4287" t="s">
        <v>10301</v>
      </c>
      <c r="N4287" t="s">
        <v>24</v>
      </c>
      <c r="O4287" t="s">
        <v>25</v>
      </c>
      <c r="P4287" t="str">
        <f>"43218"</f>
        <v>43218</v>
      </c>
    </row>
    <row r="4288" spans="1:16" x14ac:dyDescent="0.25">
      <c r="A4288" t="str">
        <f>"1110083B00237    00"</f>
        <v>1110083B00237    00</v>
      </c>
      <c r="B4288" t="s">
        <v>5881</v>
      </c>
      <c r="C4288" t="s">
        <v>10302</v>
      </c>
      <c r="D4288" t="s">
        <v>20</v>
      </c>
      <c r="E4288" t="s">
        <v>21</v>
      </c>
      <c r="F4288">
        <v>0</v>
      </c>
      <c r="G4288">
        <v>0</v>
      </c>
      <c r="H4288">
        <v>1</v>
      </c>
      <c r="I4288" s="3">
        <v>199.91</v>
      </c>
      <c r="J4288" s="3">
        <v>79.959999999999994</v>
      </c>
      <c r="K4288" t="s">
        <v>5883</v>
      </c>
      <c r="M4288" t="s">
        <v>5884</v>
      </c>
      <c r="N4288" t="s">
        <v>30</v>
      </c>
      <c r="O4288" t="s">
        <v>31</v>
      </c>
      <c r="P4288" t="str">
        <f>"15235"</f>
        <v>15235</v>
      </c>
    </row>
    <row r="4289" spans="1:16" x14ac:dyDescent="0.25">
      <c r="A4289" t="str">
        <f>"1110083B00280    00"</f>
        <v>1110083B00280    00</v>
      </c>
      <c r="B4289" t="s">
        <v>10303</v>
      </c>
      <c r="C4289" t="s">
        <v>10114</v>
      </c>
      <c r="D4289" t="s">
        <v>20</v>
      </c>
      <c r="E4289" t="s">
        <v>39</v>
      </c>
      <c r="F4289">
        <v>0</v>
      </c>
      <c r="G4289">
        <v>0</v>
      </c>
      <c r="H4289">
        <v>9</v>
      </c>
      <c r="I4289" s="3">
        <v>48.17</v>
      </c>
      <c r="J4289" s="3">
        <v>27.8</v>
      </c>
      <c r="L4289">
        <v>714</v>
      </c>
      <c r="M4289" t="s">
        <v>10304</v>
      </c>
      <c r="N4289" t="s">
        <v>30</v>
      </c>
      <c r="O4289" t="s">
        <v>31</v>
      </c>
      <c r="P4289" t="str">
        <f>"15206"</f>
        <v>15206</v>
      </c>
    </row>
    <row r="4290" spans="1:16" x14ac:dyDescent="0.25">
      <c r="A4290" t="str">
        <f>"1110083B00284D   00"</f>
        <v>1110083B00284D   00</v>
      </c>
      <c r="B4290" t="s">
        <v>10303</v>
      </c>
      <c r="C4290" t="s">
        <v>10305</v>
      </c>
      <c r="E4290" t="s">
        <v>39</v>
      </c>
      <c r="F4290">
        <v>0</v>
      </c>
      <c r="G4290">
        <v>0</v>
      </c>
      <c r="H4290">
        <v>1</v>
      </c>
      <c r="I4290" s="3">
        <v>352.53</v>
      </c>
      <c r="J4290" s="3">
        <v>85.19</v>
      </c>
      <c r="K4290" t="s">
        <v>9998</v>
      </c>
      <c r="L4290">
        <v>3001</v>
      </c>
      <c r="M4290" t="s">
        <v>330</v>
      </c>
      <c r="N4290" t="s">
        <v>331</v>
      </c>
      <c r="O4290" t="s">
        <v>108</v>
      </c>
      <c r="P4290" t="str">
        <f>"75063"</f>
        <v>75063</v>
      </c>
    </row>
    <row r="4291" spans="1:16" x14ac:dyDescent="0.25">
      <c r="A4291" t="str">
        <f>"1110083B00287    00"</f>
        <v>1110083B00287    00</v>
      </c>
      <c r="B4291" t="s">
        <v>10306</v>
      </c>
      <c r="C4291" t="s">
        <v>10307</v>
      </c>
      <c r="E4291" t="s">
        <v>39</v>
      </c>
      <c r="F4291">
        <v>0</v>
      </c>
      <c r="G4291">
        <v>0</v>
      </c>
      <c r="H4291">
        <v>1</v>
      </c>
      <c r="I4291" s="3">
        <v>829.23</v>
      </c>
      <c r="J4291" s="3">
        <v>0</v>
      </c>
      <c r="K4291" t="s">
        <v>4933</v>
      </c>
      <c r="L4291">
        <v>3001</v>
      </c>
      <c r="M4291" t="s">
        <v>330</v>
      </c>
      <c r="N4291" t="s">
        <v>331</v>
      </c>
      <c r="O4291" t="s">
        <v>108</v>
      </c>
      <c r="P4291" t="str">
        <f>"75063"</f>
        <v>75063</v>
      </c>
    </row>
    <row r="4292" spans="1:16" x14ac:dyDescent="0.25">
      <c r="A4292" t="str">
        <f>"1110083B00288    00"</f>
        <v>1110083B00288    00</v>
      </c>
      <c r="B4292" t="s">
        <v>10308</v>
      </c>
      <c r="C4292" t="s">
        <v>10309</v>
      </c>
      <c r="D4292" t="s">
        <v>20</v>
      </c>
      <c r="E4292" t="s">
        <v>39</v>
      </c>
      <c r="F4292">
        <v>0</v>
      </c>
      <c r="G4292">
        <v>0</v>
      </c>
      <c r="H4292">
        <v>3</v>
      </c>
      <c r="I4292" s="3">
        <v>7509.64</v>
      </c>
      <c r="J4292" s="3">
        <v>358.31</v>
      </c>
      <c r="K4292" t="s">
        <v>881</v>
      </c>
      <c r="L4292">
        <v>3001</v>
      </c>
      <c r="M4292" t="s">
        <v>330</v>
      </c>
      <c r="N4292" t="s">
        <v>331</v>
      </c>
      <c r="O4292" t="s">
        <v>108</v>
      </c>
      <c r="P4292" t="str">
        <f>"75063"</f>
        <v>75063</v>
      </c>
    </row>
    <row r="4293" spans="1:16" x14ac:dyDescent="0.25">
      <c r="A4293" t="str">
        <f>"1110083B00322    00"</f>
        <v>1110083B00322    00</v>
      </c>
      <c r="B4293" t="s">
        <v>10310</v>
      </c>
      <c r="C4293" t="s">
        <v>10311</v>
      </c>
      <c r="D4293" t="s">
        <v>20</v>
      </c>
      <c r="E4293" t="s">
        <v>39</v>
      </c>
      <c r="F4293">
        <v>0</v>
      </c>
      <c r="G4293">
        <v>0</v>
      </c>
      <c r="H4293">
        <v>2</v>
      </c>
      <c r="I4293" s="3">
        <v>4319.0200000000004</v>
      </c>
      <c r="J4293" s="3">
        <v>0</v>
      </c>
      <c r="K4293" t="s">
        <v>6483</v>
      </c>
      <c r="L4293">
        <v>3001</v>
      </c>
      <c r="M4293" t="s">
        <v>330</v>
      </c>
      <c r="N4293" t="s">
        <v>331</v>
      </c>
      <c r="O4293" t="s">
        <v>108</v>
      </c>
      <c r="P4293" t="str">
        <f>"75063"</f>
        <v>75063</v>
      </c>
    </row>
    <row r="4294" spans="1:16" x14ac:dyDescent="0.25">
      <c r="A4294" t="str">
        <f>"1110083B00323    00"</f>
        <v>1110083B00323    00</v>
      </c>
      <c r="B4294" t="s">
        <v>10312</v>
      </c>
      <c r="C4294" t="s">
        <v>10313</v>
      </c>
      <c r="D4294" t="s">
        <v>20</v>
      </c>
      <c r="E4294" t="s">
        <v>39</v>
      </c>
      <c r="F4294">
        <v>0</v>
      </c>
      <c r="G4294">
        <v>0</v>
      </c>
      <c r="H4294">
        <v>3</v>
      </c>
      <c r="I4294" s="3">
        <v>14626.65</v>
      </c>
      <c r="J4294" s="3">
        <v>325.02</v>
      </c>
      <c r="K4294" t="s">
        <v>881</v>
      </c>
      <c r="L4294">
        <v>3001</v>
      </c>
      <c r="M4294" t="s">
        <v>330</v>
      </c>
      <c r="N4294" t="s">
        <v>331</v>
      </c>
      <c r="O4294" t="s">
        <v>108</v>
      </c>
      <c r="P4294" t="str">
        <f>"75063"</f>
        <v>75063</v>
      </c>
    </row>
    <row r="4295" spans="1:16" x14ac:dyDescent="0.25">
      <c r="A4295" t="str">
        <f>"1110083B00324    00"</f>
        <v>1110083B00324    00</v>
      </c>
      <c r="B4295" t="s">
        <v>10314</v>
      </c>
      <c r="C4295" t="s">
        <v>10315</v>
      </c>
      <c r="D4295" t="s">
        <v>20</v>
      </c>
      <c r="E4295" t="s">
        <v>39</v>
      </c>
      <c r="F4295">
        <v>0</v>
      </c>
      <c r="G4295">
        <v>0</v>
      </c>
      <c r="H4295">
        <v>1</v>
      </c>
      <c r="I4295" s="3">
        <v>5193.8599999999997</v>
      </c>
      <c r="J4295" s="3">
        <v>0</v>
      </c>
      <c r="L4295">
        <v>2613</v>
      </c>
      <c r="M4295" t="s">
        <v>10316</v>
      </c>
      <c r="N4295" t="s">
        <v>30</v>
      </c>
      <c r="O4295" t="s">
        <v>31</v>
      </c>
      <c r="P4295" t="str">
        <f>"15203"</f>
        <v>15203</v>
      </c>
    </row>
    <row r="4296" spans="1:16" x14ac:dyDescent="0.25">
      <c r="A4296" t="str">
        <f>"1110083B00328    00"</f>
        <v>1110083B00328    00</v>
      </c>
      <c r="B4296" t="s">
        <v>10317</v>
      </c>
      <c r="C4296" t="s">
        <v>10318</v>
      </c>
      <c r="D4296" t="s">
        <v>20</v>
      </c>
      <c r="E4296" t="s">
        <v>39</v>
      </c>
      <c r="F4296">
        <v>0</v>
      </c>
      <c r="G4296">
        <v>0</v>
      </c>
      <c r="H4296">
        <v>3</v>
      </c>
      <c r="I4296" s="3">
        <v>2251.1999999999998</v>
      </c>
      <c r="J4296" s="3">
        <v>10.62</v>
      </c>
      <c r="L4296">
        <v>741</v>
      </c>
      <c r="M4296" t="s">
        <v>9934</v>
      </c>
      <c r="N4296" t="s">
        <v>30</v>
      </c>
      <c r="O4296" t="s">
        <v>31</v>
      </c>
      <c r="P4296" t="str">
        <f>"15206"</f>
        <v>15206</v>
      </c>
    </row>
    <row r="4297" spans="1:16" x14ac:dyDescent="0.25">
      <c r="A4297" t="str">
        <f>"1110083B00338    00"</f>
        <v>1110083B00338    00</v>
      </c>
      <c r="B4297" t="s">
        <v>5881</v>
      </c>
      <c r="C4297" t="s">
        <v>10319</v>
      </c>
      <c r="D4297" t="s">
        <v>57</v>
      </c>
      <c r="E4297" t="s">
        <v>21</v>
      </c>
      <c r="F4297">
        <v>0</v>
      </c>
      <c r="G4297">
        <v>0</v>
      </c>
      <c r="H4297">
        <v>2</v>
      </c>
      <c r="I4297" s="3">
        <v>139.35</v>
      </c>
      <c r="J4297" s="3">
        <v>9.52</v>
      </c>
      <c r="K4297" t="s">
        <v>4293</v>
      </c>
      <c r="L4297">
        <v>411</v>
      </c>
      <c r="M4297" t="s">
        <v>4294</v>
      </c>
      <c r="N4297" t="s">
        <v>3934</v>
      </c>
      <c r="O4297" t="s">
        <v>31</v>
      </c>
      <c r="P4297" t="str">
        <f>"15102"</f>
        <v>15102</v>
      </c>
    </row>
    <row r="4298" spans="1:16" x14ac:dyDescent="0.25">
      <c r="A4298" t="str">
        <f>"1110083B00354    00"</f>
        <v>1110083B00354    00</v>
      </c>
      <c r="B4298" t="s">
        <v>10320</v>
      </c>
      <c r="C4298" t="s">
        <v>10321</v>
      </c>
      <c r="D4298" t="s">
        <v>20</v>
      </c>
      <c r="E4298" t="s">
        <v>21</v>
      </c>
      <c r="F4298">
        <v>0</v>
      </c>
      <c r="G4298">
        <v>0</v>
      </c>
      <c r="H4298">
        <v>1</v>
      </c>
      <c r="I4298" s="3">
        <v>2960.03</v>
      </c>
      <c r="J4298" s="3">
        <v>0</v>
      </c>
      <c r="M4298" t="s">
        <v>10322</v>
      </c>
      <c r="N4298" t="s">
        <v>10323</v>
      </c>
      <c r="O4298" t="s">
        <v>31</v>
      </c>
      <c r="P4298" t="str">
        <f>"15502"</f>
        <v>15502</v>
      </c>
    </row>
    <row r="4299" spans="1:16" x14ac:dyDescent="0.25">
      <c r="A4299" t="str">
        <f>"1110083B00375    00"</f>
        <v>1110083B00375    00</v>
      </c>
      <c r="B4299" t="s">
        <v>10324</v>
      </c>
      <c r="C4299" t="s">
        <v>10325</v>
      </c>
      <c r="D4299" t="s">
        <v>20</v>
      </c>
      <c r="E4299" t="s">
        <v>39</v>
      </c>
      <c r="F4299">
        <v>0</v>
      </c>
      <c r="G4299">
        <v>0</v>
      </c>
      <c r="H4299">
        <v>4</v>
      </c>
      <c r="I4299" s="3">
        <v>6089.92</v>
      </c>
      <c r="J4299" s="3">
        <v>0</v>
      </c>
      <c r="K4299" t="s">
        <v>484</v>
      </c>
      <c r="L4299">
        <v>3001</v>
      </c>
      <c r="M4299" t="s">
        <v>330</v>
      </c>
      <c r="N4299" t="s">
        <v>331</v>
      </c>
      <c r="O4299" t="s">
        <v>108</v>
      </c>
      <c r="P4299" t="str">
        <f>"75063"</f>
        <v>75063</v>
      </c>
    </row>
    <row r="4300" spans="1:16" x14ac:dyDescent="0.25">
      <c r="A4300" t="str">
        <f>"1110083C00006    00"</f>
        <v>1110083C00006    00</v>
      </c>
      <c r="B4300" t="s">
        <v>10326</v>
      </c>
      <c r="C4300" t="s">
        <v>10327</v>
      </c>
      <c r="D4300" t="s">
        <v>20</v>
      </c>
      <c r="E4300" t="s">
        <v>39</v>
      </c>
      <c r="F4300">
        <v>0</v>
      </c>
      <c r="G4300">
        <v>0</v>
      </c>
      <c r="H4300">
        <v>6</v>
      </c>
      <c r="I4300" s="3">
        <v>8622.56</v>
      </c>
      <c r="J4300" s="3">
        <v>2465.9899999999998</v>
      </c>
      <c r="L4300">
        <v>826</v>
      </c>
      <c r="M4300" t="s">
        <v>3270</v>
      </c>
      <c r="N4300" t="s">
        <v>30</v>
      </c>
      <c r="O4300" t="s">
        <v>31</v>
      </c>
      <c r="P4300" t="str">
        <f>"15206"</f>
        <v>15206</v>
      </c>
    </row>
    <row r="4301" spans="1:16" x14ac:dyDescent="0.25">
      <c r="A4301" t="str">
        <f>"1110083C00007    00"</f>
        <v>1110083C00007    00</v>
      </c>
      <c r="B4301" t="s">
        <v>10328</v>
      </c>
      <c r="C4301" t="s">
        <v>10329</v>
      </c>
      <c r="E4301" t="s">
        <v>39</v>
      </c>
      <c r="F4301">
        <v>0</v>
      </c>
      <c r="G4301">
        <v>0</v>
      </c>
      <c r="H4301">
        <v>2</v>
      </c>
      <c r="I4301" s="3">
        <v>7097.94</v>
      </c>
      <c r="J4301" s="3">
        <v>236.59</v>
      </c>
      <c r="K4301" t="s">
        <v>1030</v>
      </c>
      <c r="M4301" t="s">
        <v>1031</v>
      </c>
      <c r="N4301" t="s">
        <v>1032</v>
      </c>
      <c r="O4301" t="s">
        <v>25</v>
      </c>
      <c r="P4301" t="str">
        <f>"44711"</f>
        <v>44711</v>
      </c>
    </row>
    <row r="4302" spans="1:16" x14ac:dyDescent="0.25">
      <c r="A4302" t="str">
        <f>"1110083C00017    00"</f>
        <v>1110083C00017    00</v>
      </c>
      <c r="B4302" t="s">
        <v>10330</v>
      </c>
      <c r="C4302" t="s">
        <v>10331</v>
      </c>
      <c r="D4302" t="s">
        <v>20</v>
      </c>
      <c r="E4302" t="s">
        <v>39</v>
      </c>
      <c r="F4302">
        <v>0</v>
      </c>
      <c r="G4302">
        <v>0</v>
      </c>
      <c r="H4302">
        <v>1</v>
      </c>
      <c r="I4302" s="3">
        <v>1766.87</v>
      </c>
      <c r="J4302" s="3">
        <v>0</v>
      </c>
      <c r="L4302">
        <v>3459</v>
      </c>
      <c r="M4302" t="s">
        <v>10332</v>
      </c>
      <c r="N4302" t="s">
        <v>30</v>
      </c>
      <c r="O4302" t="s">
        <v>31</v>
      </c>
      <c r="P4302" t="str">
        <f>"15201"</f>
        <v>15201</v>
      </c>
    </row>
    <row r="4303" spans="1:16" x14ac:dyDescent="0.25">
      <c r="A4303" t="str">
        <f>"1110083C00041    00"</f>
        <v>1110083C00041    00</v>
      </c>
      <c r="B4303" t="s">
        <v>10333</v>
      </c>
      <c r="C4303" t="s">
        <v>10334</v>
      </c>
      <c r="D4303" t="s">
        <v>20</v>
      </c>
      <c r="E4303" t="s">
        <v>39</v>
      </c>
      <c r="F4303">
        <v>0</v>
      </c>
      <c r="G4303">
        <v>0</v>
      </c>
      <c r="H4303">
        <v>5</v>
      </c>
      <c r="I4303" s="3">
        <v>7649.03</v>
      </c>
      <c r="J4303" s="3">
        <v>1321.46</v>
      </c>
      <c r="M4303" t="s">
        <v>10335</v>
      </c>
      <c r="N4303" t="s">
        <v>30</v>
      </c>
      <c r="O4303" t="s">
        <v>31</v>
      </c>
      <c r="P4303" t="str">
        <f>"15218"</f>
        <v>15218</v>
      </c>
    </row>
    <row r="4304" spans="1:16" x14ac:dyDescent="0.25">
      <c r="A4304" t="str">
        <f>"1110083C00047    00"</f>
        <v>1110083C00047    00</v>
      </c>
      <c r="B4304" t="s">
        <v>10336</v>
      </c>
      <c r="C4304" t="s">
        <v>10337</v>
      </c>
      <c r="E4304" t="s">
        <v>39</v>
      </c>
      <c r="F4304">
        <v>0</v>
      </c>
      <c r="G4304">
        <v>0</v>
      </c>
      <c r="H4304">
        <v>2</v>
      </c>
      <c r="I4304" s="3">
        <v>4589.6400000000003</v>
      </c>
      <c r="J4304" s="3">
        <v>229.48</v>
      </c>
      <c r="K4304" t="s">
        <v>10338</v>
      </c>
      <c r="L4304">
        <v>729</v>
      </c>
      <c r="M4304" t="s">
        <v>9937</v>
      </c>
      <c r="N4304" t="s">
        <v>30</v>
      </c>
      <c r="O4304" t="s">
        <v>31</v>
      </c>
      <c r="P4304" t="str">
        <f>"15206"</f>
        <v>15206</v>
      </c>
    </row>
    <row r="4305" spans="1:16" x14ac:dyDescent="0.25">
      <c r="A4305" t="str">
        <f>"1110083C00048    00"</f>
        <v>1110083C00048    00</v>
      </c>
      <c r="B4305" t="s">
        <v>10339</v>
      </c>
      <c r="C4305" t="s">
        <v>10340</v>
      </c>
      <c r="E4305" t="s">
        <v>39</v>
      </c>
      <c r="F4305">
        <v>0</v>
      </c>
      <c r="G4305">
        <v>0</v>
      </c>
      <c r="H4305">
        <v>2</v>
      </c>
      <c r="I4305" s="3">
        <v>9625.32</v>
      </c>
      <c r="J4305" s="3">
        <v>120.32</v>
      </c>
      <c r="K4305" t="s">
        <v>10341</v>
      </c>
      <c r="L4305">
        <v>731</v>
      </c>
      <c r="M4305" t="s">
        <v>9937</v>
      </c>
      <c r="N4305" t="s">
        <v>30</v>
      </c>
      <c r="O4305" t="s">
        <v>31</v>
      </c>
      <c r="P4305" t="str">
        <f>"15206"</f>
        <v>15206</v>
      </c>
    </row>
    <row r="4306" spans="1:16" x14ac:dyDescent="0.25">
      <c r="A4306" t="str">
        <f>"1110083C00144    00"</f>
        <v>1110083C00144    00</v>
      </c>
      <c r="B4306" t="s">
        <v>10342</v>
      </c>
      <c r="C4306" t="s">
        <v>10343</v>
      </c>
      <c r="D4306" t="s">
        <v>20</v>
      </c>
      <c r="E4306" t="s">
        <v>39</v>
      </c>
      <c r="F4306">
        <v>0</v>
      </c>
      <c r="G4306">
        <v>0</v>
      </c>
      <c r="H4306">
        <v>1</v>
      </c>
      <c r="I4306" s="3">
        <v>594.66999999999996</v>
      </c>
      <c r="J4306" s="3">
        <v>0</v>
      </c>
      <c r="K4306" t="s">
        <v>445</v>
      </c>
      <c r="L4306">
        <v>1</v>
      </c>
      <c r="M4306" t="s">
        <v>1163</v>
      </c>
      <c r="N4306" t="s">
        <v>1164</v>
      </c>
      <c r="O4306" t="s">
        <v>108</v>
      </c>
      <c r="P4306" t="str">
        <f>"76262"</f>
        <v>76262</v>
      </c>
    </row>
    <row r="4307" spans="1:16" x14ac:dyDescent="0.25">
      <c r="A4307" t="str">
        <f>"1110083C00187    00"</f>
        <v>1110083C00187    00</v>
      </c>
      <c r="B4307" t="s">
        <v>10344</v>
      </c>
      <c r="C4307" t="s">
        <v>10345</v>
      </c>
      <c r="E4307" t="s">
        <v>39</v>
      </c>
      <c r="F4307">
        <v>0</v>
      </c>
      <c r="G4307">
        <v>0</v>
      </c>
      <c r="H4307">
        <v>2</v>
      </c>
      <c r="I4307" s="3">
        <v>9922.66</v>
      </c>
      <c r="J4307" s="3">
        <v>496.11</v>
      </c>
      <c r="K4307" t="s">
        <v>10346</v>
      </c>
      <c r="L4307">
        <v>5804</v>
      </c>
      <c r="M4307" t="s">
        <v>10347</v>
      </c>
      <c r="N4307" t="s">
        <v>30</v>
      </c>
      <c r="O4307" t="s">
        <v>31</v>
      </c>
      <c r="P4307" t="str">
        <f>"15206"</f>
        <v>15206</v>
      </c>
    </row>
    <row r="4308" spans="1:16" x14ac:dyDescent="0.25">
      <c r="A4308" t="str">
        <f>"1110083C00189    00"</f>
        <v>1110083C00189    00</v>
      </c>
      <c r="B4308" t="s">
        <v>10348</v>
      </c>
      <c r="C4308" t="s">
        <v>10349</v>
      </c>
      <c r="E4308" t="s">
        <v>39</v>
      </c>
      <c r="F4308">
        <v>0</v>
      </c>
      <c r="G4308">
        <v>0</v>
      </c>
      <c r="H4308">
        <v>1</v>
      </c>
      <c r="I4308" s="3">
        <v>880.28</v>
      </c>
      <c r="J4308" s="3">
        <v>652.85</v>
      </c>
      <c r="K4308" t="s">
        <v>445</v>
      </c>
      <c r="L4308">
        <v>1</v>
      </c>
      <c r="M4308" t="s">
        <v>1163</v>
      </c>
      <c r="N4308" t="s">
        <v>1164</v>
      </c>
      <c r="O4308" t="s">
        <v>108</v>
      </c>
      <c r="P4308" t="str">
        <f>"76262"</f>
        <v>76262</v>
      </c>
    </row>
    <row r="4309" spans="1:16" x14ac:dyDescent="0.25">
      <c r="A4309" t="str">
        <f>"1110083C00208    00"</f>
        <v>1110083C00208    00</v>
      </c>
      <c r="B4309" t="s">
        <v>10350</v>
      </c>
      <c r="C4309" t="s">
        <v>10351</v>
      </c>
      <c r="E4309" t="s">
        <v>39</v>
      </c>
      <c r="F4309">
        <v>0</v>
      </c>
      <c r="G4309">
        <v>0</v>
      </c>
      <c r="H4309">
        <v>2</v>
      </c>
      <c r="I4309" s="3">
        <v>6779.86</v>
      </c>
      <c r="J4309" s="3">
        <v>2305.84</v>
      </c>
      <c r="K4309" t="s">
        <v>391</v>
      </c>
      <c r="L4309">
        <v>1</v>
      </c>
      <c r="M4309" t="s">
        <v>392</v>
      </c>
      <c r="N4309" t="s">
        <v>393</v>
      </c>
      <c r="O4309" t="s">
        <v>394</v>
      </c>
      <c r="P4309" t="str">
        <f>"50328"</f>
        <v>50328</v>
      </c>
    </row>
    <row r="4310" spans="1:16" x14ac:dyDescent="0.25">
      <c r="A4310" t="str">
        <f>"1110083C00306    00"</f>
        <v>1110083C00306    00</v>
      </c>
      <c r="B4310" t="s">
        <v>10352</v>
      </c>
      <c r="C4310" t="s">
        <v>10353</v>
      </c>
      <c r="D4310" t="s">
        <v>57</v>
      </c>
      <c r="E4310" t="s">
        <v>39</v>
      </c>
      <c r="F4310">
        <v>0</v>
      </c>
      <c r="G4310">
        <v>0</v>
      </c>
      <c r="H4310">
        <v>2</v>
      </c>
      <c r="I4310" s="3">
        <v>3220.34</v>
      </c>
      <c r="J4310" s="3">
        <v>455.82</v>
      </c>
      <c r="L4310">
        <v>5900</v>
      </c>
      <c r="M4310" t="s">
        <v>10354</v>
      </c>
      <c r="N4310" t="s">
        <v>30</v>
      </c>
      <c r="O4310" t="s">
        <v>31</v>
      </c>
      <c r="P4310" t="str">
        <f>"15206"</f>
        <v>15206</v>
      </c>
    </row>
    <row r="4311" spans="1:16" x14ac:dyDescent="0.25">
      <c r="A4311" t="str">
        <f>"1110083C00321    00"</f>
        <v>1110083C00321    00</v>
      </c>
      <c r="B4311" t="s">
        <v>10355</v>
      </c>
      <c r="C4311" t="s">
        <v>10356</v>
      </c>
      <c r="D4311" t="s">
        <v>20</v>
      </c>
      <c r="E4311" t="s">
        <v>39</v>
      </c>
      <c r="F4311">
        <v>0</v>
      </c>
      <c r="G4311">
        <v>0</v>
      </c>
      <c r="H4311">
        <v>2</v>
      </c>
      <c r="I4311" s="3">
        <v>1815.5</v>
      </c>
      <c r="J4311" s="3">
        <v>0</v>
      </c>
      <c r="K4311" t="s">
        <v>391</v>
      </c>
      <c r="L4311">
        <v>1</v>
      </c>
      <c r="M4311" t="s">
        <v>392</v>
      </c>
      <c r="N4311" t="s">
        <v>393</v>
      </c>
      <c r="O4311" t="s">
        <v>394</v>
      </c>
      <c r="P4311" t="str">
        <f>"50328"</f>
        <v>50328</v>
      </c>
    </row>
    <row r="4312" spans="1:16" x14ac:dyDescent="0.25">
      <c r="A4312" t="str">
        <f>"1110083C00325A   00"</f>
        <v>1110083C00325A   00</v>
      </c>
      <c r="B4312" t="s">
        <v>10357</v>
      </c>
      <c r="C4312" t="s">
        <v>10358</v>
      </c>
      <c r="E4312" t="s">
        <v>39</v>
      </c>
      <c r="F4312">
        <v>0</v>
      </c>
      <c r="G4312">
        <v>0</v>
      </c>
      <c r="H4312">
        <v>1</v>
      </c>
      <c r="I4312" s="3">
        <v>2140.98</v>
      </c>
      <c r="J4312" s="3">
        <v>0</v>
      </c>
      <c r="K4312" t="s">
        <v>10359</v>
      </c>
      <c r="L4312">
        <v>59</v>
      </c>
      <c r="M4312" t="s">
        <v>10360</v>
      </c>
      <c r="N4312" t="s">
        <v>10361</v>
      </c>
      <c r="O4312" t="s">
        <v>10362</v>
      </c>
      <c r="P4312" t="str">
        <f>"96712"</f>
        <v>96712</v>
      </c>
    </row>
    <row r="4313" spans="1:16" x14ac:dyDescent="0.25">
      <c r="A4313" t="str">
        <f>"1110083D00066    00"</f>
        <v>1110083D00066    00</v>
      </c>
      <c r="B4313" t="s">
        <v>10363</v>
      </c>
      <c r="C4313" t="s">
        <v>10364</v>
      </c>
      <c r="D4313" t="s">
        <v>20</v>
      </c>
      <c r="E4313" t="s">
        <v>39</v>
      </c>
      <c r="F4313">
        <v>0</v>
      </c>
      <c r="G4313">
        <v>0</v>
      </c>
      <c r="H4313">
        <v>3</v>
      </c>
      <c r="I4313" s="3">
        <v>13325.3</v>
      </c>
      <c r="J4313" s="3">
        <v>284.17</v>
      </c>
      <c r="K4313" t="s">
        <v>10365</v>
      </c>
      <c r="L4313">
        <v>6017</v>
      </c>
      <c r="M4313" t="s">
        <v>10354</v>
      </c>
      <c r="N4313" t="s">
        <v>30</v>
      </c>
      <c r="O4313" t="s">
        <v>31</v>
      </c>
      <c r="P4313" t="str">
        <f>"15206"</f>
        <v>15206</v>
      </c>
    </row>
    <row r="4314" spans="1:16" x14ac:dyDescent="0.25">
      <c r="A4314" t="str">
        <f>"1110083D00080    00"</f>
        <v>1110083D00080    00</v>
      </c>
      <c r="B4314" t="s">
        <v>10366</v>
      </c>
      <c r="C4314" t="s">
        <v>10367</v>
      </c>
      <c r="D4314" t="s">
        <v>20</v>
      </c>
      <c r="E4314" t="s">
        <v>39</v>
      </c>
      <c r="F4314">
        <v>0</v>
      </c>
      <c r="G4314">
        <v>0</v>
      </c>
      <c r="H4314">
        <v>1</v>
      </c>
      <c r="I4314" s="3">
        <v>469.02</v>
      </c>
      <c r="J4314" s="3">
        <v>0</v>
      </c>
      <c r="L4314">
        <v>837</v>
      </c>
      <c r="M4314" t="s">
        <v>10052</v>
      </c>
      <c r="N4314" t="s">
        <v>30</v>
      </c>
      <c r="O4314" t="s">
        <v>31</v>
      </c>
      <c r="P4314" t="str">
        <f>"15206"</f>
        <v>15206</v>
      </c>
    </row>
    <row r="4315" spans="1:16" x14ac:dyDescent="0.25">
      <c r="A4315" t="str">
        <f>"1110083D00097    00"</f>
        <v>1110083D00097    00</v>
      </c>
      <c r="B4315" t="s">
        <v>10368</v>
      </c>
      <c r="C4315" t="s">
        <v>10369</v>
      </c>
      <c r="D4315" t="s">
        <v>20</v>
      </c>
      <c r="E4315" t="s">
        <v>39</v>
      </c>
      <c r="F4315">
        <v>0</v>
      </c>
      <c r="G4315">
        <v>0</v>
      </c>
      <c r="H4315">
        <v>6</v>
      </c>
      <c r="I4315" s="3">
        <v>8312.33</v>
      </c>
      <c r="J4315" s="3">
        <v>1731.64</v>
      </c>
      <c r="M4315" t="s">
        <v>10370</v>
      </c>
      <c r="N4315" t="s">
        <v>10371</v>
      </c>
      <c r="O4315" t="s">
        <v>31</v>
      </c>
      <c r="P4315" t="str">
        <f>"15032"</f>
        <v>15032</v>
      </c>
    </row>
    <row r="4316" spans="1:16" x14ac:dyDescent="0.25">
      <c r="A4316" t="str">
        <f>"1110083D00127    00"</f>
        <v>1110083D00127    00</v>
      </c>
      <c r="B4316" t="s">
        <v>10372</v>
      </c>
      <c r="C4316" t="s">
        <v>10373</v>
      </c>
      <c r="E4316" t="s">
        <v>39</v>
      </c>
      <c r="F4316">
        <v>0</v>
      </c>
      <c r="G4316">
        <v>0</v>
      </c>
      <c r="H4316">
        <v>2</v>
      </c>
      <c r="I4316" s="3">
        <v>3428.01</v>
      </c>
      <c r="J4316" s="3">
        <v>234.42</v>
      </c>
      <c r="K4316" t="s">
        <v>391</v>
      </c>
      <c r="L4316">
        <v>1</v>
      </c>
      <c r="M4316" t="s">
        <v>392</v>
      </c>
      <c r="N4316" t="s">
        <v>393</v>
      </c>
      <c r="O4316" t="s">
        <v>394</v>
      </c>
      <c r="P4316" t="str">
        <f>"50328"</f>
        <v>50328</v>
      </c>
    </row>
    <row r="4317" spans="1:16" x14ac:dyDescent="0.25">
      <c r="A4317" t="str">
        <f>"1110083D00145    00"</f>
        <v>1110083D00145    00</v>
      </c>
      <c r="B4317" t="s">
        <v>10374</v>
      </c>
      <c r="C4317" t="s">
        <v>10375</v>
      </c>
      <c r="E4317" t="s">
        <v>39</v>
      </c>
      <c r="F4317">
        <v>0</v>
      </c>
      <c r="G4317">
        <v>0</v>
      </c>
      <c r="H4317">
        <v>1</v>
      </c>
      <c r="I4317" s="3">
        <v>20.100000000000001</v>
      </c>
      <c r="J4317" s="3">
        <v>6.02</v>
      </c>
      <c r="K4317" t="s">
        <v>10376</v>
      </c>
      <c r="M4317" t="s">
        <v>9730</v>
      </c>
      <c r="N4317" t="s">
        <v>9731</v>
      </c>
      <c r="O4317" t="s">
        <v>108</v>
      </c>
      <c r="P4317" t="str">
        <f>"75019"</f>
        <v>75019</v>
      </c>
    </row>
    <row r="4318" spans="1:16" x14ac:dyDescent="0.25">
      <c r="A4318" t="str">
        <f>"1110083D00174    00"</f>
        <v>1110083D00174    00</v>
      </c>
      <c r="B4318" t="s">
        <v>9179</v>
      </c>
      <c r="C4318" t="s">
        <v>10377</v>
      </c>
      <c r="E4318" t="s">
        <v>21</v>
      </c>
      <c r="F4318">
        <v>0</v>
      </c>
      <c r="G4318">
        <v>0</v>
      </c>
      <c r="H4318">
        <v>1</v>
      </c>
      <c r="I4318" s="3">
        <v>5546.48</v>
      </c>
      <c r="J4318" s="3">
        <v>0</v>
      </c>
      <c r="K4318" t="s">
        <v>9181</v>
      </c>
      <c r="L4318">
        <v>1001</v>
      </c>
      <c r="M4318" t="s">
        <v>6227</v>
      </c>
      <c r="N4318" t="s">
        <v>30</v>
      </c>
      <c r="O4318" t="s">
        <v>31</v>
      </c>
      <c r="P4318" t="str">
        <f>"15206"</f>
        <v>15206</v>
      </c>
    </row>
    <row r="4319" spans="1:16" x14ac:dyDescent="0.25">
      <c r="A4319" t="str">
        <f>"1110083D00178    00"</f>
        <v>1110083D00178    00</v>
      </c>
      <c r="B4319" t="s">
        <v>10378</v>
      </c>
      <c r="C4319" t="s">
        <v>10379</v>
      </c>
      <c r="E4319" t="s">
        <v>39</v>
      </c>
      <c r="F4319">
        <v>0</v>
      </c>
      <c r="G4319">
        <v>0</v>
      </c>
      <c r="H4319">
        <v>1</v>
      </c>
      <c r="I4319" s="3">
        <v>651.07000000000005</v>
      </c>
      <c r="J4319" s="3">
        <v>0</v>
      </c>
      <c r="K4319" t="s">
        <v>10380</v>
      </c>
      <c r="L4319">
        <v>6048</v>
      </c>
      <c r="M4319" t="s">
        <v>10354</v>
      </c>
      <c r="N4319" t="s">
        <v>30</v>
      </c>
      <c r="O4319" t="s">
        <v>31</v>
      </c>
      <c r="P4319" t="str">
        <f>"15206"</f>
        <v>15206</v>
      </c>
    </row>
    <row r="4320" spans="1:16" x14ac:dyDescent="0.25">
      <c r="A4320" t="str">
        <f>"1110083D00203    00"</f>
        <v>1110083D00203    00</v>
      </c>
      <c r="B4320" t="s">
        <v>10381</v>
      </c>
      <c r="C4320" t="s">
        <v>10382</v>
      </c>
      <c r="D4320" t="s">
        <v>20</v>
      </c>
      <c r="E4320" t="s">
        <v>39</v>
      </c>
      <c r="F4320">
        <v>0</v>
      </c>
      <c r="G4320">
        <v>0</v>
      </c>
      <c r="H4320">
        <v>4</v>
      </c>
      <c r="I4320" s="3">
        <v>4073.71</v>
      </c>
      <c r="J4320" s="3">
        <v>977.23</v>
      </c>
      <c r="L4320">
        <v>828</v>
      </c>
      <c r="M4320" t="s">
        <v>5837</v>
      </c>
      <c r="N4320" t="s">
        <v>30</v>
      </c>
      <c r="O4320" t="s">
        <v>31</v>
      </c>
      <c r="P4320" t="str">
        <f>"15206"</f>
        <v>15206</v>
      </c>
    </row>
    <row r="4321" spans="1:16" x14ac:dyDescent="0.25">
      <c r="A4321" t="str">
        <f>"1110083D00244    00"</f>
        <v>1110083D00244    00</v>
      </c>
      <c r="B4321" t="s">
        <v>10383</v>
      </c>
      <c r="C4321" t="s">
        <v>10384</v>
      </c>
      <c r="D4321" t="s">
        <v>20</v>
      </c>
      <c r="E4321" t="s">
        <v>39</v>
      </c>
      <c r="F4321">
        <v>0</v>
      </c>
      <c r="G4321">
        <v>0</v>
      </c>
      <c r="H4321">
        <v>2</v>
      </c>
      <c r="I4321" s="3">
        <v>1385.96</v>
      </c>
      <c r="J4321" s="3">
        <v>0</v>
      </c>
      <c r="K4321" t="s">
        <v>10385</v>
      </c>
      <c r="L4321">
        <v>835</v>
      </c>
      <c r="M4321" t="s">
        <v>10386</v>
      </c>
      <c r="N4321" t="s">
        <v>30</v>
      </c>
      <c r="O4321" t="s">
        <v>31</v>
      </c>
      <c r="P4321" t="str">
        <f>"15206"</f>
        <v>15206</v>
      </c>
    </row>
    <row r="4322" spans="1:16" x14ac:dyDescent="0.25">
      <c r="A4322" t="str">
        <f>"1110083E00003    00"</f>
        <v>1110083E00003    00</v>
      </c>
      <c r="B4322" t="s">
        <v>9749</v>
      </c>
      <c r="C4322" t="s">
        <v>10387</v>
      </c>
      <c r="D4322" t="s">
        <v>20</v>
      </c>
      <c r="E4322" t="s">
        <v>39</v>
      </c>
      <c r="F4322">
        <v>0</v>
      </c>
      <c r="G4322">
        <v>0</v>
      </c>
      <c r="H4322">
        <v>19</v>
      </c>
      <c r="I4322" s="3">
        <v>734.81</v>
      </c>
      <c r="J4322" s="3">
        <v>838.29</v>
      </c>
      <c r="L4322">
        <v>3885</v>
      </c>
      <c r="M4322" t="s">
        <v>10388</v>
      </c>
      <c r="N4322" t="s">
        <v>79</v>
      </c>
      <c r="O4322" t="s">
        <v>31</v>
      </c>
      <c r="P4322" t="str">
        <f>"15668"</f>
        <v>15668</v>
      </c>
    </row>
    <row r="4323" spans="1:16" x14ac:dyDescent="0.25">
      <c r="A4323" t="str">
        <f>"1110083E00005    00"</f>
        <v>1110083E00005    00</v>
      </c>
      <c r="B4323" t="s">
        <v>10389</v>
      </c>
      <c r="C4323" t="s">
        <v>7844</v>
      </c>
      <c r="D4323" t="s">
        <v>20</v>
      </c>
      <c r="E4323" t="s">
        <v>39</v>
      </c>
      <c r="F4323">
        <v>0</v>
      </c>
      <c r="G4323">
        <v>0</v>
      </c>
      <c r="H4323">
        <v>19</v>
      </c>
      <c r="I4323" s="3">
        <v>597.66999999999996</v>
      </c>
      <c r="J4323" s="3">
        <v>720.87</v>
      </c>
      <c r="L4323">
        <v>2012</v>
      </c>
      <c r="M4323" t="s">
        <v>3593</v>
      </c>
      <c r="N4323" t="s">
        <v>3594</v>
      </c>
      <c r="O4323" t="s">
        <v>31</v>
      </c>
      <c r="P4323" t="str">
        <f>"18411"</f>
        <v>18411</v>
      </c>
    </row>
    <row r="4324" spans="1:16" x14ac:dyDescent="0.25">
      <c r="A4324" t="str">
        <f>"1110083E00007    00"</f>
        <v>1110083E00007    00</v>
      </c>
      <c r="B4324" t="s">
        <v>10390</v>
      </c>
      <c r="C4324" t="s">
        <v>7844</v>
      </c>
      <c r="D4324" t="s">
        <v>20</v>
      </c>
      <c r="E4324" t="s">
        <v>39</v>
      </c>
      <c r="F4324">
        <v>0</v>
      </c>
      <c r="G4324">
        <v>0</v>
      </c>
      <c r="H4324">
        <v>17</v>
      </c>
      <c r="I4324" s="3">
        <v>7883.36</v>
      </c>
      <c r="J4324" s="3">
        <v>4354.1000000000004</v>
      </c>
      <c r="L4324">
        <v>1641</v>
      </c>
      <c r="M4324" t="s">
        <v>10391</v>
      </c>
      <c r="N4324" t="s">
        <v>30</v>
      </c>
      <c r="O4324" t="s">
        <v>31</v>
      </c>
      <c r="P4324" t="str">
        <f>"15206"</f>
        <v>15206</v>
      </c>
    </row>
    <row r="4325" spans="1:16" x14ac:dyDescent="0.25">
      <c r="A4325" t="str">
        <f>"1110083E00015    00"</f>
        <v>1110083E00015    00</v>
      </c>
      <c r="B4325" t="s">
        <v>10392</v>
      </c>
      <c r="C4325" t="s">
        <v>10393</v>
      </c>
      <c r="D4325" t="s">
        <v>20</v>
      </c>
      <c r="E4325" t="s">
        <v>39</v>
      </c>
      <c r="F4325">
        <v>0</v>
      </c>
      <c r="G4325">
        <v>0</v>
      </c>
      <c r="H4325">
        <v>5</v>
      </c>
      <c r="I4325" s="3">
        <v>7086.32</v>
      </c>
      <c r="J4325" s="3">
        <v>919.38</v>
      </c>
      <c r="L4325">
        <v>5437</v>
      </c>
      <c r="M4325" t="s">
        <v>7845</v>
      </c>
      <c r="N4325" t="s">
        <v>30</v>
      </c>
      <c r="O4325" t="s">
        <v>31</v>
      </c>
      <c r="P4325" t="str">
        <f>"15206"</f>
        <v>15206</v>
      </c>
    </row>
    <row r="4326" spans="1:16" x14ac:dyDescent="0.25">
      <c r="A4326" t="str">
        <f>"1110083E00017    00"</f>
        <v>1110083E00017    00</v>
      </c>
      <c r="B4326" t="s">
        <v>10394</v>
      </c>
      <c r="C4326" t="s">
        <v>10395</v>
      </c>
      <c r="D4326" t="s">
        <v>20</v>
      </c>
      <c r="E4326" t="s">
        <v>39</v>
      </c>
      <c r="F4326">
        <v>0</v>
      </c>
      <c r="G4326">
        <v>0</v>
      </c>
      <c r="H4326">
        <v>7</v>
      </c>
      <c r="I4326" s="3">
        <v>8308.81</v>
      </c>
      <c r="J4326" s="3">
        <v>2135.92</v>
      </c>
      <c r="L4326">
        <v>5437</v>
      </c>
      <c r="M4326" t="s">
        <v>7845</v>
      </c>
      <c r="N4326" t="s">
        <v>30</v>
      </c>
      <c r="O4326" t="s">
        <v>31</v>
      </c>
      <c r="P4326" t="str">
        <f>"15206"</f>
        <v>15206</v>
      </c>
    </row>
    <row r="4327" spans="1:16" x14ac:dyDescent="0.25">
      <c r="A4327" t="str">
        <f>"1110083E00018    00"</f>
        <v>1110083E00018    00</v>
      </c>
      <c r="B4327" t="s">
        <v>10394</v>
      </c>
      <c r="C4327" t="s">
        <v>10396</v>
      </c>
      <c r="D4327" t="s">
        <v>20</v>
      </c>
      <c r="E4327" t="s">
        <v>39</v>
      </c>
      <c r="F4327">
        <v>0</v>
      </c>
      <c r="G4327">
        <v>0</v>
      </c>
      <c r="H4327">
        <v>7</v>
      </c>
      <c r="I4327" s="3">
        <v>4185.8999999999996</v>
      </c>
      <c r="J4327" s="3">
        <v>1108.57</v>
      </c>
      <c r="L4327">
        <v>5437</v>
      </c>
      <c r="M4327" t="s">
        <v>7845</v>
      </c>
      <c r="N4327" t="s">
        <v>30</v>
      </c>
      <c r="O4327" t="s">
        <v>31</v>
      </c>
      <c r="P4327" t="str">
        <f>"15206"</f>
        <v>15206</v>
      </c>
    </row>
    <row r="4328" spans="1:16" x14ac:dyDescent="0.25">
      <c r="A4328" t="str">
        <f>"1110083E00021    00"</f>
        <v>1110083E00021    00</v>
      </c>
      <c r="B4328" t="s">
        <v>10397</v>
      </c>
      <c r="C4328" t="s">
        <v>10398</v>
      </c>
      <c r="E4328" t="s">
        <v>39</v>
      </c>
      <c r="F4328">
        <v>0</v>
      </c>
      <c r="G4328">
        <v>0</v>
      </c>
      <c r="H4328">
        <v>1</v>
      </c>
      <c r="I4328" s="3">
        <v>544.75</v>
      </c>
      <c r="J4328" s="3">
        <v>594.66</v>
      </c>
      <c r="L4328">
        <v>1143</v>
      </c>
      <c r="M4328" t="s">
        <v>475</v>
      </c>
      <c r="N4328" t="s">
        <v>30</v>
      </c>
      <c r="O4328" t="s">
        <v>31</v>
      </c>
      <c r="P4328" t="str">
        <f>"15228"</f>
        <v>15228</v>
      </c>
    </row>
    <row r="4329" spans="1:16" x14ac:dyDescent="0.25">
      <c r="A4329" t="str">
        <f>"1110083E00026    00"</f>
        <v>1110083E00026    00</v>
      </c>
      <c r="B4329" t="s">
        <v>10399</v>
      </c>
      <c r="C4329" t="s">
        <v>10400</v>
      </c>
      <c r="D4329" t="s">
        <v>20</v>
      </c>
      <c r="E4329" t="s">
        <v>39</v>
      </c>
      <c r="F4329">
        <v>0</v>
      </c>
      <c r="G4329">
        <v>0</v>
      </c>
      <c r="H4329">
        <v>2</v>
      </c>
      <c r="I4329" s="3">
        <v>1403.82</v>
      </c>
      <c r="J4329" s="3">
        <v>0</v>
      </c>
      <c r="L4329">
        <v>525</v>
      </c>
      <c r="M4329" t="s">
        <v>10259</v>
      </c>
      <c r="N4329" t="s">
        <v>30</v>
      </c>
      <c r="O4329" t="s">
        <v>31</v>
      </c>
      <c r="P4329" t="str">
        <f>"15206"</f>
        <v>15206</v>
      </c>
    </row>
    <row r="4330" spans="1:16" x14ac:dyDescent="0.25">
      <c r="A4330" t="str">
        <f>"1110083E00047    00"</f>
        <v>1110083E00047    00</v>
      </c>
      <c r="B4330" t="s">
        <v>6488</v>
      </c>
      <c r="C4330" t="s">
        <v>10401</v>
      </c>
      <c r="D4330" t="s">
        <v>20</v>
      </c>
      <c r="E4330" t="s">
        <v>39</v>
      </c>
      <c r="F4330">
        <v>0</v>
      </c>
      <c r="G4330">
        <v>0</v>
      </c>
      <c r="H4330">
        <v>4</v>
      </c>
      <c r="I4330" s="3">
        <v>3797</v>
      </c>
      <c r="J4330" s="3">
        <v>47.25</v>
      </c>
      <c r="K4330" t="s">
        <v>6490</v>
      </c>
      <c r="L4330">
        <v>1332</v>
      </c>
      <c r="M4330" t="s">
        <v>6491</v>
      </c>
      <c r="N4330" t="s">
        <v>6492</v>
      </c>
      <c r="O4330" t="s">
        <v>3486</v>
      </c>
      <c r="P4330" t="str">
        <f>"60563"</f>
        <v>60563</v>
      </c>
    </row>
    <row r="4331" spans="1:16" x14ac:dyDescent="0.25">
      <c r="A4331" t="str">
        <f>"1110083E00050    00"</f>
        <v>1110083E00050    00</v>
      </c>
      <c r="B4331" t="s">
        <v>10402</v>
      </c>
      <c r="C4331" t="s">
        <v>10403</v>
      </c>
      <c r="D4331" t="s">
        <v>20</v>
      </c>
      <c r="E4331" t="s">
        <v>39</v>
      </c>
      <c r="F4331">
        <v>0</v>
      </c>
      <c r="G4331">
        <v>0</v>
      </c>
      <c r="H4331">
        <v>13</v>
      </c>
      <c r="I4331" s="3">
        <v>18714.59</v>
      </c>
      <c r="J4331" s="3">
        <v>10224</v>
      </c>
      <c r="P4331" t="str">
        <f>""</f>
        <v/>
      </c>
    </row>
    <row r="4332" spans="1:16" x14ac:dyDescent="0.25">
      <c r="A4332" t="str">
        <f>"1110083E00060    00"</f>
        <v>1110083E00060    00</v>
      </c>
      <c r="B4332" t="s">
        <v>10404</v>
      </c>
      <c r="C4332" t="s">
        <v>10405</v>
      </c>
      <c r="D4332" t="s">
        <v>20</v>
      </c>
      <c r="E4332" t="s">
        <v>39</v>
      </c>
      <c r="F4332">
        <v>0</v>
      </c>
      <c r="G4332">
        <v>0</v>
      </c>
      <c r="H4332">
        <v>2</v>
      </c>
      <c r="I4332" s="3">
        <v>1055.1199999999999</v>
      </c>
      <c r="J4332" s="3">
        <v>1.28</v>
      </c>
      <c r="L4332">
        <v>5542</v>
      </c>
      <c r="M4332" t="s">
        <v>10247</v>
      </c>
      <c r="N4332" t="s">
        <v>30</v>
      </c>
      <c r="O4332" t="s">
        <v>31</v>
      </c>
      <c r="P4332" t="str">
        <f>"15206"</f>
        <v>15206</v>
      </c>
    </row>
    <row r="4333" spans="1:16" x14ac:dyDescent="0.25">
      <c r="A4333" t="str">
        <f>"1110083E00068    00"</f>
        <v>1110083E00068    00</v>
      </c>
      <c r="B4333" t="s">
        <v>10406</v>
      </c>
      <c r="C4333" t="s">
        <v>10407</v>
      </c>
      <c r="E4333" t="s">
        <v>39</v>
      </c>
      <c r="F4333">
        <v>0</v>
      </c>
      <c r="G4333">
        <v>0</v>
      </c>
      <c r="H4333">
        <v>1</v>
      </c>
      <c r="I4333" s="3">
        <v>2369.4299999999998</v>
      </c>
      <c r="J4333" s="3">
        <v>710.8</v>
      </c>
      <c r="K4333" t="s">
        <v>10408</v>
      </c>
      <c r="L4333">
        <v>1300</v>
      </c>
      <c r="M4333" t="s">
        <v>10409</v>
      </c>
      <c r="N4333" t="s">
        <v>4652</v>
      </c>
      <c r="O4333" t="s">
        <v>370</v>
      </c>
      <c r="P4333" t="str">
        <f>"33130"</f>
        <v>33130</v>
      </c>
    </row>
    <row r="4334" spans="1:16" x14ac:dyDescent="0.25">
      <c r="A4334" t="str">
        <f>"1110083E00069    00"</f>
        <v>1110083E00069    00</v>
      </c>
      <c r="B4334" t="s">
        <v>10406</v>
      </c>
      <c r="C4334" t="s">
        <v>10410</v>
      </c>
      <c r="E4334" t="s">
        <v>39</v>
      </c>
      <c r="F4334">
        <v>0</v>
      </c>
      <c r="G4334">
        <v>0</v>
      </c>
      <c r="H4334">
        <v>1</v>
      </c>
      <c r="I4334" s="3">
        <v>3776.4</v>
      </c>
      <c r="J4334" s="3">
        <v>1038.47</v>
      </c>
      <c r="K4334" t="s">
        <v>10408</v>
      </c>
      <c r="L4334">
        <v>1300</v>
      </c>
      <c r="M4334" t="s">
        <v>10409</v>
      </c>
      <c r="N4334" t="s">
        <v>4652</v>
      </c>
      <c r="O4334" t="s">
        <v>370</v>
      </c>
      <c r="P4334" t="str">
        <f>"33130"</f>
        <v>33130</v>
      </c>
    </row>
    <row r="4335" spans="1:16" x14ac:dyDescent="0.25">
      <c r="A4335" t="str">
        <f>"1110083E00072    00"</f>
        <v>1110083E00072    00</v>
      </c>
      <c r="B4335" t="s">
        <v>10411</v>
      </c>
      <c r="C4335" t="s">
        <v>10412</v>
      </c>
      <c r="E4335" t="s">
        <v>39</v>
      </c>
      <c r="F4335">
        <v>0</v>
      </c>
      <c r="G4335">
        <v>0</v>
      </c>
      <c r="H4335">
        <v>1</v>
      </c>
      <c r="I4335" s="3">
        <v>452.03</v>
      </c>
      <c r="J4335" s="3">
        <v>0</v>
      </c>
      <c r="K4335" t="s">
        <v>10413</v>
      </c>
      <c r="L4335">
        <v>230</v>
      </c>
      <c r="M4335" t="s">
        <v>1826</v>
      </c>
      <c r="N4335" t="s">
        <v>149</v>
      </c>
      <c r="O4335" t="s">
        <v>31</v>
      </c>
      <c r="P4335" t="str">
        <f>"15106"</f>
        <v>15106</v>
      </c>
    </row>
    <row r="4336" spans="1:16" x14ac:dyDescent="0.25">
      <c r="A4336" t="str">
        <f>"1110083E00074    00"</f>
        <v>1110083E00074    00</v>
      </c>
      <c r="B4336" t="s">
        <v>10414</v>
      </c>
      <c r="C4336" t="s">
        <v>10415</v>
      </c>
      <c r="D4336" t="s">
        <v>20</v>
      </c>
      <c r="E4336" t="s">
        <v>39</v>
      </c>
      <c r="F4336">
        <v>0</v>
      </c>
      <c r="G4336">
        <v>0</v>
      </c>
      <c r="H4336">
        <v>2</v>
      </c>
      <c r="I4336" s="3">
        <v>1598.26</v>
      </c>
      <c r="J4336" s="3">
        <v>0</v>
      </c>
      <c r="L4336">
        <v>5506</v>
      </c>
      <c r="M4336" t="s">
        <v>10247</v>
      </c>
      <c r="N4336" t="s">
        <v>30</v>
      </c>
      <c r="O4336" t="s">
        <v>31</v>
      </c>
      <c r="P4336" t="str">
        <f>"15206"</f>
        <v>15206</v>
      </c>
    </row>
    <row r="4337" spans="1:16" x14ac:dyDescent="0.25">
      <c r="A4337" t="str">
        <f>"1110083E00076    00"</f>
        <v>1110083E00076    00</v>
      </c>
      <c r="B4337" t="s">
        <v>10416</v>
      </c>
      <c r="C4337" t="s">
        <v>10417</v>
      </c>
      <c r="D4337" t="s">
        <v>20</v>
      </c>
      <c r="E4337" t="s">
        <v>39</v>
      </c>
      <c r="F4337">
        <v>0</v>
      </c>
      <c r="G4337">
        <v>0</v>
      </c>
      <c r="H4337">
        <v>4</v>
      </c>
      <c r="I4337" s="3">
        <v>2234.66</v>
      </c>
      <c r="J4337" s="3">
        <v>284.73</v>
      </c>
      <c r="L4337">
        <v>5498</v>
      </c>
      <c r="M4337" t="s">
        <v>10247</v>
      </c>
      <c r="N4337" t="s">
        <v>30</v>
      </c>
      <c r="O4337" t="s">
        <v>31</v>
      </c>
      <c r="P4337" t="str">
        <f>"15206"</f>
        <v>15206</v>
      </c>
    </row>
    <row r="4338" spans="1:16" x14ac:dyDescent="0.25">
      <c r="A4338" t="str">
        <f>"1110083E00089    00"</f>
        <v>1110083E00089    00</v>
      </c>
      <c r="B4338" t="s">
        <v>10418</v>
      </c>
      <c r="C4338" t="s">
        <v>10419</v>
      </c>
      <c r="E4338" t="s">
        <v>39</v>
      </c>
      <c r="F4338">
        <v>0</v>
      </c>
      <c r="G4338">
        <v>0</v>
      </c>
      <c r="H4338">
        <v>1</v>
      </c>
      <c r="I4338" s="3">
        <v>690.23</v>
      </c>
      <c r="J4338" s="3">
        <v>17.260000000000002</v>
      </c>
      <c r="K4338" t="s">
        <v>557</v>
      </c>
      <c r="L4338">
        <v>3001</v>
      </c>
      <c r="M4338" t="s">
        <v>330</v>
      </c>
      <c r="N4338" t="s">
        <v>331</v>
      </c>
      <c r="O4338" t="s">
        <v>108</v>
      </c>
      <c r="P4338" t="str">
        <f>"75063"</f>
        <v>75063</v>
      </c>
    </row>
    <row r="4339" spans="1:16" x14ac:dyDescent="0.25">
      <c r="A4339" t="str">
        <f>"1110083E00094    00"</f>
        <v>1110083E00094    00</v>
      </c>
      <c r="B4339" t="s">
        <v>10420</v>
      </c>
      <c r="C4339" t="s">
        <v>10421</v>
      </c>
      <c r="D4339" t="s">
        <v>20</v>
      </c>
      <c r="E4339" t="s">
        <v>39</v>
      </c>
      <c r="F4339">
        <v>0</v>
      </c>
      <c r="G4339">
        <v>0</v>
      </c>
      <c r="H4339">
        <v>1</v>
      </c>
      <c r="I4339" s="3">
        <v>1999.4</v>
      </c>
      <c r="J4339" s="3">
        <v>0</v>
      </c>
      <c r="K4339" t="s">
        <v>5718</v>
      </c>
      <c r="L4339">
        <v>26642</v>
      </c>
      <c r="M4339" t="s">
        <v>5719</v>
      </c>
      <c r="N4339" t="s">
        <v>5720</v>
      </c>
      <c r="O4339" t="s">
        <v>495</v>
      </c>
      <c r="P4339" t="str">
        <f>"92610"</f>
        <v>92610</v>
      </c>
    </row>
    <row r="4340" spans="1:16" x14ac:dyDescent="0.25">
      <c r="A4340" t="str">
        <f>"1110083E00095    00"</f>
        <v>1110083E00095    00</v>
      </c>
      <c r="B4340" t="s">
        <v>10422</v>
      </c>
      <c r="C4340" t="s">
        <v>10423</v>
      </c>
      <c r="D4340" t="s">
        <v>20</v>
      </c>
      <c r="E4340" t="s">
        <v>39</v>
      </c>
      <c r="F4340">
        <v>0</v>
      </c>
      <c r="G4340">
        <v>0</v>
      </c>
      <c r="H4340">
        <v>1</v>
      </c>
      <c r="I4340" s="3">
        <v>470.75</v>
      </c>
      <c r="J4340" s="3">
        <v>0</v>
      </c>
      <c r="L4340">
        <v>536</v>
      </c>
      <c r="M4340" t="s">
        <v>10259</v>
      </c>
      <c r="N4340" t="s">
        <v>30</v>
      </c>
      <c r="O4340" t="s">
        <v>31</v>
      </c>
      <c r="P4340" t="str">
        <f>"15206"</f>
        <v>15206</v>
      </c>
    </row>
    <row r="4341" spans="1:16" x14ac:dyDescent="0.25">
      <c r="A4341" t="str">
        <f>"1110083E00098    00"</f>
        <v>1110083E00098    00</v>
      </c>
      <c r="B4341" t="s">
        <v>10424</v>
      </c>
      <c r="C4341" t="s">
        <v>10425</v>
      </c>
      <c r="D4341" t="s">
        <v>20</v>
      </c>
      <c r="E4341" t="s">
        <v>39</v>
      </c>
      <c r="F4341">
        <v>0</v>
      </c>
      <c r="G4341">
        <v>0</v>
      </c>
      <c r="H4341">
        <v>19</v>
      </c>
      <c r="I4341" s="3">
        <v>23183.67</v>
      </c>
      <c r="J4341" s="3">
        <v>21598.68</v>
      </c>
      <c r="L4341">
        <v>534</v>
      </c>
      <c r="M4341" t="s">
        <v>10259</v>
      </c>
      <c r="N4341" t="s">
        <v>30</v>
      </c>
      <c r="O4341" t="s">
        <v>31</v>
      </c>
      <c r="P4341" t="str">
        <f>"15206"</f>
        <v>15206</v>
      </c>
    </row>
    <row r="4342" spans="1:16" x14ac:dyDescent="0.25">
      <c r="A4342" t="str">
        <f>"1110083E00100    00"</f>
        <v>1110083E00100    00</v>
      </c>
      <c r="B4342" t="s">
        <v>10426</v>
      </c>
      <c r="C4342" t="s">
        <v>10427</v>
      </c>
      <c r="D4342" t="s">
        <v>20</v>
      </c>
      <c r="E4342" t="s">
        <v>39</v>
      </c>
      <c r="F4342">
        <v>0</v>
      </c>
      <c r="G4342">
        <v>0</v>
      </c>
      <c r="H4342">
        <v>3</v>
      </c>
      <c r="I4342" s="3">
        <v>1731.68</v>
      </c>
      <c r="J4342" s="3">
        <v>47.28</v>
      </c>
      <c r="K4342" t="s">
        <v>10428</v>
      </c>
      <c r="L4342">
        <v>5359</v>
      </c>
      <c r="M4342" t="s">
        <v>2901</v>
      </c>
      <c r="N4342" t="s">
        <v>30</v>
      </c>
      <c r="O4342" t="s">
        <v>31</v>
      </c>
      <c r="P4342" t="str">
        <f>"15224"</f>
        <v>15224</v>
      </c>
    </row>
    <row r="4343" spans="1:16" x14ac:dyDescent="0.25">
      <c r="A4343" t="str">
        <f>"1110083E00104    00"</f>
        <v>1110083E00104    00</v>
      </c>
      <c r="B4343" t="s">
        <v>10429</v>
      </c>
      <c r="C4343" t="s">
        <v>10430</v>
      </c>
      <c r="D4343" t="s">
        <v>20</v>
      </c>
      <c r="E4343" t="s">
        <v>39</v>
      </c>
      <c r="F4343">
        <v>0</v>
      </c>
      <c r="G4343">
        <v>0</v>
      </c>
      <c r="H4343">
        <v>5</v>
      </c>
      <c r="I4343" s="3">
        <v>4990.24</v>
      </c>
      <c r="J4343" s="3">
        <v>1030.95</v>
      </c>
      <c r="L4343">
        <v>301</v>
      </c>
      <c r="M4343" t="s">
        <v>3942</v>
      </c>
      <c r="N4343" t="s">
        <v>30</v>
      </c>
      <c r="O4343" t="s">
        <v>31</v>
      </c>
      <c r="P4343" t="str">
        <f>"15208"</f>
        <v>15208</v>
      </c>
    </row>
    <row r="4344" spans="1:16" x14ac:dyDescent="0.25">
      <c r="A4344" t="str">
        <f>"1110083E00146    00"</f>
        <v>1110083E00146    00</v>
      </c>
      <c r="B4344" t="s">
        <v>10431</v>
      </c>
      <c r="C4344" t="s">
        <v>10432</v>
      </c>
      <c r="E4344" t="s">
        <v>39</v>
      </c>
      <c r="F4344">
        <v>0</v>
      </c>
      <c r="G4344">
        <v>0</v>
      </c>
      <c r="H4344">
        <v>2</v>
      </c>
      <c r="I4344" s="3">
        <v>800.92</v>
      </c>
      <c r="J4344" s="3">
        <v>1057.83</v>
      </c>
      <c r="K4344" t="s">
        <v>400</v>
      </c>
      <c r="L4344">
        <v>3001</v>
      </c>
      <c r="M4344" t="s">
        <v>330</v>
      </c>
      <c r="N4344" t="s">
        <v>331</v>
      </c>
      <c r="O4344" t="s">
        <v>108</v>
      </c>
      <c r="P4344" t="str">
        <f>"75063"</f>
        <v>75063</v>
      </c>
    </row>
    <row r="4345" spans="1:16" x14ac:dyDescent="0.25">
      <c r="A4345" t="str">
        <f>"1110083E00182    00"</f>
        <v>1110083E00182    00</v>
      </c>
      <c r="B4345" t="s">
        <v>10433</v>
      </c>
      <c r="C4345" t="s">
        <v>10434</v>
      </c>
      <c r="E4345" t="s">
        <v>39</v>
      </c>
      <c r="F4345">
        <v>0</v>
      </c>
      <c r="G4345">
        <v>0</v>
      </c>
      <c r="H4345">
        <v>1</v>
      </c>
      <c r="I4345" s="3">
        <v>1161.5999999999999</v>
      </c>
      <c r="J4345" s="3">
        <v>571.1</v>
      </c>
      <c r="K4345" t="s">
        <v>1030</v>
      </c>
      <c r="M4345" t="s">
        <v>1031</v>
      </c>
      <c r="N4345" t="s">
        <v>1032</v>
      </c>
      <c r="O4345" t="s">
        <v>25</v>
      </c>
      <c r="P4345" t="str">
        <f>"44711"</f>
        <v>44711</v>
      </c>
    </row>
    <row r="4346" spans="1:16" x14ac:dyDescent="0.25">
      <c r="A4346" t="str">
        <f>"1110083E00183    00"</f>
        <v>1110083E00183    00</v>
      </c>
      <c r="B4346" t="s">
        <v>10435</v>
      </c>
      <c r="C4346" t="s">
        <v>10436</v>
      </c>
      <c r="E4346" t="s">
        <v>39</v>
      </c>
      <c r="F4346">
        <v>0</v>
      </c>
      <c r="G4346">
        <v>0</v>
      </c>
      <c r="H4346">
        <v>2</v>
      </c>
      <c r="I4346" s="3">
        <v>7841.3</v>
      </c>
      <c r="J4346" s="3">
        <v>392.04</v>
      </c>
      <c r="K4346" t="s">
        <v>10437</v>
      </c>
      <c r="L4346">
        <v>5525</v>
      </c>
      <c r="M4346" t="s">
        <v>10438</v>
      </c>
      <c r="N4346" t="s">
        <v>30</v>
      </c>
      <c r="O4346" t="s">
        <v>31</v>
      </c>
      <c r="P4346" t="str">
        <f>"15206"</f>
        <v>15206</v>
      </c>
    </row>
    <row r="4347" spans="1:16" x14ac:dyDescent="0.25">
      <c r="A4347" t="str">
        <f>"1110083E00196    00"</f>
        <v>1110083E00196    00</v>
      </c>
      <c r="B4347" t="s">
        <v>10439</v>
      </c>
      <c r="C4347" t="s">
        <v>10440</v>
      </c>
      <c r="D4347" t="s">
        <v>20</v>
      </c>
      <c r="E4347" t="s">
        <v>39</v>
      </c>
      <c r="F4347">
        <v>0</v>
      </c>
      <c r="G4347">
        <v>0</v>
      </c>
      <c r="H4347">
        <v>2</v>
      </c>
      <c r="I4347" s="3">
        <v>1462.14</v>
      </c>
      <c r="J4347" s="3">
        <v>127.73</v>
      </c>
      <c r="K4347" t="s">
        <v>10441</v>
      </c>
      <c r="L4347">
        <v>5534</v>
      </c>
      <c r="M4347" t="s">
        <v>7845</v>
      </c>
      <c r="N4347" t="s">
        <v>30</v>
      </c>
      <c r="O4347" t="s">
        <v>31</v>
      </c>
      <c r="P4347" t="str">
        <f>"15206"</f>
        <v>15206</v>
      </c>
    </row>
    <row r="4348" spans="1:16" x14ac:dyDescent="0.25">
      <c r="A4348" t="str">
        <f>"1110083E00199    00"</f>
        <v>1110083E00199    00</v>
      </c>
      <c r="B4348" t="s">
        <v>10442</v>
      </c>
      <c r="C4348" t="s">
        <v>10443</v>
      </c>
      <c r="D4348" t="s">
        <v>20</v>
      </c>
      <c r="E4348" t="s">
        <v>39</v>
      </c>
      <c r="F4348">
        <v>0</v>
      </c>
      <c r="G4348">
        <v>0</v>
      </c>
      <c r="H4348">
        <v>6</v>
      </c>
      <c r="I4348" s="3">
        <v>6645.54</v>
      </c>
      <c r="J4348" s="3">
        <v>1472.59</v>
      </c>
      <c r="L4348">
        <v>5530</v>
      </c>
      <c r="M4348" t="s">
        <v>10444</v>
      </c>
      <c r="N4348" t="s">
        <v>30</v>
      </c>
      <c r="O4348" t="s">
        <v>31</v>
      </c>
      <c r="P4348" t="str">
        <f>"15206"</f>
        <v>15206</v>
      </c>
    </row>
    <row r="4349" spans="1:16" x14ac:dyDescent="0.25">
      <c r="A4349" t="str">
        <f>"1110083E00225    00"</f>
        <v>1110083E00225    00</v>
      </c>
      <c r="B4349" t="s">
        <v>10445</v>
      </c>
      <c r="C4349" t="s">
        <v>10398</v>
      </c>
      <c r="E4349" t="s">
        <v>39</v>
      </c>
      <c r="F4349">
        <v>0</v>
      </c>
      <c r="G4349">
        <v>0</v>
      </c>
      <c r="H4349">
        <v>1</v>
      </c>
      <c r="I4349" s="3">
        <v>278.07</v>
      </c>
      <c r="J4349" s="3">
        <v>83.42</v>
      </c>
      <c r="L4349">
        <v>1317</v>
      </c>
      <c r="M4349" t="s">
        <v>10446</v>
      </c>
      <c r="N4349" t="s">
        <v>10447</v>
      </c>
      <c r="O4349" t="s">
        <v>200</v>
      </c>
      <c r="P4349" t="str">
        <f>"10472"</f>
        <v>10472</v>
      </c>
    </row>
    <row r="4350" spans="1:16" x14ac:dyDescent="0.25">
      <c r="A4350" t="str">
        <f>"1110083E00227    00"</f>
        <v>1110083E00227    00</v>
      </c>
      <c r="B4350" t="s">
        <v>10445</v>
      </c>
      <c r="C4350" t="s">
        <v>10398</v>
      </c>
      <c r="D4350" t="s">
        <v>20</v>
      </c>
      <c r="E4350" t="s">
        <v>39</v>
      </c>
      <c r="F4350">
        <v>0</v>
      </c>
      <c r="G4350">
        <v>0</v>
      </c>
      <c r="H4350">
        <v>5</v>
      </c>
      <c r="I4350" s="3">
        <v>1740.26</v>
      </c>
      <c r="J4350" s="3">
        <v>707.13</v>
      </c>
      <c r="L4350">
        <v>1317</v>
      </c>
      <c r="M4350" t="s">
        <v>10446</v>
      </c>
      <c r="N4350" t="s">
        <v>10447</v>
      </c>
      <c r="O4350" t="s">
        <v>200</v>
      </c>
      <c r="P4350" t="str">
        <f>"10472"</f>
        <v>10472</v>
      </c>
    </row>
    <row r="4351" spans="1:16" x14ac:dyDescent="0.25">
      <c r="A4351" t="str">
        <f>"1110083E00229    00"</f>
        <v>1110083E00229    00</v>
      </c>
      <c r="B4351" t="s">
        <v>10448</v>
      </c>
      <c r="C4351" t="s">
        <v>10449</v>
      </c>
      <c r="D4351" t="s">
        <v>20</v>
      </c>
      <c r="E4351" t="s">
        <v>39</v>
      </c>
      <c r="F4351">
        <v>0</v>
      </c>
      <c r="G4351">
        <v>0</v>
      </c>
      <c r="H4351">
        <v>4</v>
      </c>
      <c r="I4351" s="3">
        <v>3963.56</v>
      </c>
      <c r="J4351" s="3">
        <v>368.64</v>
      </c>
      <c r="L4351">
        <v>412</v>
      </c>
      <c r="M4351" t="s">
        <v>10259</v>
      </c>
      <c r="N4351" t="s">
        <v>30</v>
      </c>
      <c r="O4351" t="s">
        <v>31</v>
      </c>
      <c r="P4351" t="str">
        <f>"15206"</f>
        <v>15206</v>
      </c>
    </row>
    <row r="4352" spans="1:16" x14ac:dyDescent="0.25">
      <c r="A4352" t="str">
        <f>"1110083E00230    00"</f>
        <v>1110083E00230    00</v>
      </c>
      <c r="B4352" t="s">
        <v>10450</v>
      </c>
      <c r="C4352" t="s">
        <v>10451</v>
      </c>
      <c r="E4352" t="s">
        <v>39</v>
      </c>
      <c r="F4352">
        <v>0</v>
      </c>
      <c r="G4352">
        <v>0</v>
      </c>
      <c r="H4352">
        <v>1</v>
      </c>
      <c r="I4352" s="3">
        <v>1061.29</v>
      </c>
      <c r="J4352" s="3">
        <v>212.25</v>
      </c>
      <c r="K4352" t="s">
        <v>10452</v>
      </c>
      <c r="L4352">
        <v>410</v>
      </c>
      <c r="M4352" t="s">
        <v>10453</v>
      </c>
      <c r="N4352" t="s">
        <v>30</v>
      </c>
      <c r="O4352" t="s">
        <v>31</v>
      </c>
      <c r="P4352" t="str">
        <f>"15206"</f>
        <v>15206</v>
      </c>
    </row>
    <row r="4353" spans="1:16" x14ac:dyDescent="0.25">
      <c r="A4353" t="str">
        <f>"1110083E00234    00"</f>
        <v>1110083E00234    00</v>
      </c>
      <c r="B4353" t="s">
        <v>10450</v>
      </c>
      <c r="C4353" t="s">
        <v>10451</v>
      </c>
      <c r="E4353" t="s">
        <v>39</v>
      </c>
      <c r="F4353">
        <v>0</v>
      </c>
      <c r="G4353">
        <v>0</v>
      </c>
      <c r="H4353">
        <v>1</v>
      </c>
      <c r="I4353" s="3">
        <v>47.66</v>
      </c>
      <c r="J4353" s="3">
        <v>9.5399999999999991</v>
      </c>
      <c r="K4353" t="s">
        <v>10452</v>
      </c>
      <c r="L4353">
        <v>410</v>
      </c>
      <c r="M4353" t="s">
        <v>10453</v>
      </c>
      <c r="N4353" t="s">
        <v>30</v>
      </c>
      <c r="O4353" t="s">
        <v>31</v>
      </c>
      <c r="P4353" t="str">
        <f>"15206"</f>
        <v>15206</v>
      </c>
    </row>
    <row r="4354" spans="1:16" x14ac:dyDescent="0.25">
      <c r="A4354" t="str">
        <f>"1110083E00249    00"</f>
        <v>1110083E00249    00</v>
      </c>
      <c r="B4354" t="s">
        <v>10454</v>
      </c>
      <c r="C4354" t="s">
        <v>10455</v>
      </c>
      <c r="D4354" t="s">
        <v>20</v>
      </c>
      <c r="E4354" t="s">
        <v>39</v>
      </c>
      <c r="F4354">
        <v>0</v>
      </c>
      <c r="G4354">
        <v>0</v>
      </c>
      <c r="H4354">
        <v>1</v>
      </c>
      <c r="I4354" s="3">
        <v>627.54999999999995</v>
      </c>
      <c r="J4354" s="3">
        <v>0</v>
      </c>
      <c r="K4354" t="s">
        <v>445</v>
      </c>
      <c r="L4354">
        <v>1</v>
      </c>
      <c r="M4354" t="s">
        <v>1163</v>
      </c>
      <c r="N4354" t="s">
        <v>1164</v>
      </c>
      <c r="O4354" t="s">
        <v>108</v>
      </c>
      <c r="P4354" t="str">
        <f>"76262"</f>
        <v>76262</v>
      </c>
    </row>
    <row r="4355" spans="1:16" x14ac:dyDescent="0.25">
      <c r="A4355" t="str">
        <f>"1110083E00260    00"</f>
        <v>1110083E00260    00</v>
      </c>
      <c r="B4355" t="s">
        <v>10456</v>
      </c>
      <c r="C4355" t="s">
        <v>10457</v>
      </c>
      <c r="D4355" t="s">
        <v>20</v>
      </c>
      <c r="E4355" t="s">
        <v>39</v>
      </c>
      <c r="F4355">
        <v>0</v>
      </c>
      <c r="G4355">
        <v>0</v>
      </c>
      <c r="H4355">
        <v>2</v>
      </c>
      <c r="I4355" s="3">
        <v>2352.02</v>
      </c>
      <c r="J4355" s="3">
        <v>0</v>
      </c>
      <c r="L4355">
        <v>5506</v>
      </c>
      <c r="M4355" t="s">
        <v>10247</v>
      </c>
      <c r="N4355" t="s">
        <v>30</v>
      </c>
      <c r="O4355" t="s">
        <v>31</v>
      </c>
      <c r="P4355" t="str">
        <f>"15206"</f>
        <v>15206</v>
      </c>
    </row>
    <row r="4356" spans="1:16" x14ac:dyDescent="0.25">
      <c r="A4356" t="str">
        <f>"1110083E00268    00"</f>
        <v>1110083E00268    00</v>
      </c>
      <c r="B4356" t="s">
        <v>10458</v>
      </c>
      <c r="C4356" t="s">
        <v>10459</v>
      </c>
      <c r="D4356" t="s">
        <v>20</v>
      </c>
      <c r="E4356" t="s">
        <v>39</v>
      </c>
      <c r="F4356">
        <v>0</v>
      </c>
      <c r="G4356">
        <v>0</v>
      </c>
      <c r="H4356">
        <v>2</v>
      </c>
      <c r="I4356" s="3">
        <v>1464.8</v>
      </c>
      <c r="J4356" s="3">
        <v>0</v>
      </c>
      <c r="K4356" t="s">
        <v>10460</v>
      </c>
      <c r="L4356">
        <v>5448</v>
      </c>
      <c r="M4356" t="s">
        <v>7845</v>
      </c>
      <c r="N4356" t="s">
        <v>30</v>
      </c>
      <c r="O4356" t="s">
        <v>31</v>
      </c>
      <c r="P4356" t="str">
        <f>"15206"</f>
        <v>15206</v>
      </c>
    </row>
    <row r="4357" spans="1:16" x14ac:dyDescent="0.25">
      <c r="A4357" t="str">
        <f>"1110083E00287    00"</f>
        <v>1110083E00287    00</v>
      </c>
      <c r="B4357" t="s">
        <v>10461</v>
      </c>
      <c r="C4357" t="s">
        <v>10462</v>
      </c>
      <c r="D4357" t="s">
        <v>20</v>
      </c>
      <c r="E4357" t="s">
        <v>39</v>
      </c>
      <c r="F4357">
        <v>0</v>
      </c>
      <c r="G4357">
        <v>0</v>
      </c>
      <c r="H4357">
        <v>19</v>
      </c>
      <c r="I4357" s="3">
        <v>21742.47</v>
      </c>
      <c r="J4357" s="3">
        <v>21427.72</v>
      </c>
      <c r="K4357" t="s">
        <v>10463</v>
      </c>
      <c r="L4357">
        <v>5447</v>
      </c>
      <c r="M4357" t="s">
        <v>7975</v>
      </c>
      <c r="N4357" t="s">
        <v>30</v>
      </c>
      <c r="O4357" t="s">
        <v>31</v>
      </c>
      <c r="P4357" t="str">
        <f>"15206"</f>
        <v>15206</v>
      </c>
    </row>
    <row r="4358" spans="1:16" x14ac:dyDescent="0.25">
      <c r="A4358" t="str">
        <f>"1110083F00029    00"</f>
        <v>1110083F00029    00</v>
      </c>
      <c r="B4358" t="s">
        <v>10464</v>
      </c>
      <c r="C4358" t="s">
        <v>10465</v>
      </c>
      <c r="D4358" t="s">
        <v>20</v>
      </c>
      <c r="E4358" t="s">
        <v>39</v>
      </c>
      <c r="F4358">
        <v>0</v>
      </c>
      <c r="G4358">
        <v>0</v>
      </c>
      <c r="H4358">
        <v>19</v>
      </c>
      <c r="I4358" s="3">
        <v>8951.34</v>
      </c>
      <c r="J4358" s="3">
        <v>11909.04</v>
      </c>
      <c r="L4358">
        <v>5563</v>
      </c>
      <c r="M4358" t="s">
        <v>7845</v>
      </c>
      <c r="N4358" t="s">
        <v>30</v>
      </c>
      <c r="O4358" t="s">
        <v>31</v>
      </c>
      <c r="P4358" t="str">
        <f>"15206"</f>
        <v>15206</v>
      </c>
    </row>
    <row r="4359" spans="1:16" x14ac:dyDescent="0.25">
      <c r="A4359" t="str">
        <f>"1110083F00034    00"</f>
        <v>1110083F00034    00</v>
      </c>
      <c r="B4359" t="s">
        <v>10466</v>
      </c>
      <c r="C4359" t="s">
        <v>10467</v>
      </c>
      <c r="D4359" t="s">
        <v>20</v>
      </c>
      <c r="E4359" t="s">
        <v>39</v>
      </c>
      <c r="F4359">
        <v>0</v>
      </c>
      <c r="G4359">
        <v>0</v>
      </c>
      <c r="H4359">
        <v>2</v>
      </c>
      <c r="I4359" s="3">
        <v>3789.12</v>
      </c>
      <c r="J4359" s="3">
        <v>378.9</v>
      </c>
      <c r="L4359">
        <v>6359</v>
      </c>
      <c r="M4359" t="s">
        <v>10468</v>
      </c>
      <c r="N4359" t="s">
        <v>30</v>
      </c>
      <c r="O4359" t="s">
        <v>31</v>
      </c>
      <c r="P4359" t="str">
        <f>"15206"</f>
        <v>15206</v>
      </c>
    </row>
    <row r="4360" spans="1:16" x14ac:dyDescent="0.25">
      <c r="A4360" t="str">
        <f>"1110083F00040    00"</f>
        <v>1110083F00040    00</v>
      </c>
      <c r="B4360" t="s">
        <v>10469</v>
      </c>
      <c r="C4360" t="s">
        <v>10470</v>
      </c>
      <c r="D4360" t="s">
        <v>20</v>
      </c>
      <c r="E4360" t="s">
        <v>39</v>
      </c>
      <c r="F4360">
        <v>0</v>
      </c>
      <c r="G4360">
        <v>0</v>
      </c>
      <c r="H4360">
        <v>1</v>
      </c>
      <c r="I4360" s="3">
        <v>2026.09</v>
      </c>
      <c r="J4360" s="3">
        <v>0</v>
      </c>
      <c r="K4360" t="s">
        <v>10471</v>
      </c>
      <c r="L4360">
        <v>14</v>
      </c>
      <c r="M4360" t="s">
        <v>10472</v>
      </c>
      <c r="N4360" t="s">
        <v>10473</v>
      </c>
      <c r="O4360" t="s">
        <v>31</v>
      </c>
      <c r="P4360" t="str">
        <f>"18964"</f>
        <v>18964</v>
      </c>
    </row>
    <row r="4361" spans="1:16" x14ac:dyDescent="0.25">
      <c r="A4361" t="str">
        <f>"1110083F00089    00"</f>
        <v>1110083F00089    00</v>
      </c>
      <c r="B4361" t="s">
        <v>10474</v>
      </c>
      <c r="C4361" t="s">
        <v>10475</v>
      </c>
      <c r="D4361" t="s">
        <v>20</v>
      </c>
      <c r="E4361" t="s">
        <v>39</v>
      </c>
      <c r="F4361">
        <v>0</v>
      </c>
      <c r="G4361">
        <v>0</v>
      </c>
      <c r="H4361">
        <v>1</v>
      </c>
      <c r="I4361" s="3">
        <v>2519.75</v>
      </c>
      <c r="J4361" s="3">
        <v>0</v>
      </c>
      <c r="L4361">
        <v>623</v>
      </c>
      <c r="M4361" t="s">
        <v>6227</v>
      </c>
      <c r="N4361" t="s">
        <v>30</v>
      </c>
      <c r="O4361" t="s">
        <v>31</v>
      </c>
      <c r="P4361" t="str">
        <f>"15206"</f>
        <v>15206</v>
      </c>
    </row>
    <row r="4362" spans="1:16" x14ac:dyDescent="0.25">
      <c r="A4362" t="str">
        <f>"1110083F00102    00"</f>
        <v>1110083F00102    00</v>
      </c>
      <c r="B4362" t="s">
        <v>5026</v>
      </c>
      <c r="C4362" t="s">
        <v>10476</v>
      </c>
      <c r="E4362" t="s">
        <v>39</v>
      </c>
      <c r="F4362">
        <v>0</v>
      </c>
      <c r="G4362">
        <v>0</v>
      </c>
      <c r="H4362">
        <v>1</v>
      </c>
      <c r="I4362" s="3">
        <v>1789.31</v>
      </c>
      <c r="J4362" s="3">
        <v>0</v>
      </c>
      <c r="M4362" t="s">
        <v>10477</v>
      </c>
      <c r="N4362" t="s">
        <v>30</v>
      </c>
      <c r="O4362" t="s">
        <v>31</v>
      </c>
      <c r="P4362" t="str">
        <f>"15201"</f>
        <v>15201</v>
      </c>
    </row>
    <row r="4363" spans="1:16" x14ac:dyDescent="0.25">
      <c r="A4363" t="str">
        <f>"1110083F00107    00"</f>
        <v>1110083F00107    00</v>
      </c>
      <c r="B4363" t="s">
        <v>10478</v>
      </c>
      <c r="C4363" t="s">
        <v>10479</v>
      </c>
      <c r="D4363" t="s">
        <v>20</v>
      </c>
      <c r="E4363" t="s">
        <v>39</v>
      </c>
      <c r="F4363">
        <v>0</v>
      </c>
      <c r="G4363">
        <v>0</v>
      </c>
      <c r="H4363">
        <v>6</v>
      </c>
      <c r="I4363" s="3">
        <v>4663.3900000000003</v>
      </c>
      <c r="J4363" s="3">
        <v>770.01</v>
      </c>
      <c r="K4363" t="s">
        <v>10480</v>
      </c>
      <c r="L4363">
        <v>708</v>
      </c>
      <c r="M4363" t="s">
        <v>10481</v>
      </c>
      <c r="N4363" t="s">
        <v>6042</v>
      </c>
      <c r="O4363" t="s">
        <v>423</v>
      </c>
      <c r="P4363" t="str">
        <f>"07753"</f>
        <v>07753</v>
      </c>
    </row>
    <row r="4364" spans="1:16" x14ac:dyDescent="0.25">
      <c r="A4364" t="str">
        <f>"1110083F00153    00"</f>
        <v>1110083F00153    00</v>
      </c>
      <c r="B4364" t="s">
        <v>10482</v>
      </c>
      <c r="C4364" t="s">
        <v>10483</v>
      </c>
      <c r="D4364" t="s">
        <v>20</v>
      </c>
      <c r="E4364" t="s">
        <v>39</v>
      </c>
      <c r="F4364">
        <v>0</v>
      </c>
      <c r="G4364">
        <v>0</v>
      </c>
      <c r="H4364">
        <v>1</v>
      </c>
      <c r="I4364" s="3">
        <v>343.08</v>
      </c>
      <c r="J4364" s="3">
        <v>0</v>
      </c>
      <c r="K4364" t="s">
        <v>391</v>
      </c>
      <c r="L4364">
        <v>1</v>
      </c>
      <c r="M4364" t="s">
        <v>392</v>
      </c>
      <c r="N4364" t="s">
        <v>393</v>
      </c>
      <c r="O4364" t="s">
        <v>394</v>
      </c>
      <c r="P4364" t="str">
        <f>"50328"</f>
        <v>50328</v>
      </c>
    </row>
    <row r="4365" spans="1:16" x14ac:dyDescent="0.25">
      <c r="A4365" t="str">
        <f>"1110083F00168    00"</f>
        <v>1110083F00168    00</v>
      </c>
      <c r="B4365" t="s">
        <v>10484</v>
      </c>
      <c r="C4365" t="s">
        <v>10485</v>
      </c>
      <c r="E4365" t="s">
        <v>39</v>
      </c>
      <c r="F4365">
        <v>0</v>
      </c>
      <c r="G4365">
        <v>0</v>
      </c>
      <c r="H4365">
        <v>1</v>
      </c>
      <c r="I4365" s="3">
        <v>347.73</v>
      </c>
      <c r="J4365" s="3">
        <v>170.96</v>
      </c>
      <c r="K4365" t="s">
        <v>400</v>
      </c>
      <c r="L4365">
        <v>3001</v>
      </c>
      <c r="M4365" t="s">
        <v>330</v>
      </c>
      <c r="N4365" t="s">
        <v>331</v>
      </c>
      <c r="O4365" t="s">
        <v>108</v>
      </c>
      <c r="P4365" t="str">
        <f>"75063"</f>
        <v>75063</v>
      </c>
    </row>
    <row r="4366" spans="1:16" x14ac:dyDescent="0.25">
      <c r="A4366" t="str">
        <f>"1110083F00188    00"</f>
        <v>1110083F00188    00</v>
      </c>
      <c r="B4366" t="s">
        <v>10486</v>
      </c>
      <c r="C4366" t="s">
        <v>10487</v>
      </c>
      <c r="E4366" t="s">
        <v>39</v>
      </c>
      <c r="F4366">
        <v>0</v>
      </c>
      <c r="G4366">
        <v>0</v>
      </c>
      <c r="H4366">
        <v>1</v>
      </c>
      <c r="I4366" s="3">
        <v>472.71</v>
      </c>
      <c r="J4366" s="3">
        <v>0</v>
      </c>
      <c r="K4366" t="s">
        <v>10488</v>
      </c>
      <c r="L4366">
        <v>5633</v>
      </c>
      <c r="M4366" t="s">
        <v>5832</v>
      </c>
      <c r="N4366" t="s">
        <v>30</v>
      </c>
      <c r="O4366" t="s">
        <v>31</v>
      </c>
      <c r="P4366" t="str">
        <f>"15206"</f>
        <v>15206</v>
      </c>
    </row>
    <row r="4367" spans="1:16" x14ac:dyDescent="0.25">
      <c r="A4367" t="str">
        <f>"1110083F00194    00"</f>
        <v>1110083F00194    00</v>
      </c>
      <c r="B4367" t="s">
        <v>10489</v>
      </c>
      <c r="C4367" t="s">
        <v>10490</v>
      </c>
      <c r="D4367" t="s">
        <v>20</v>
      </c>
      <c r="E4367" t="s">
        <v>39</v>
      </c>
      <c r="F4367">
        <v>0</v>
      </c>
      <c r="G4367">
        <v>0</v>
      </c>
      <c r="H4367">
        <v>2</v>
      </c>
      <c r="I4367" s="3">
        <v>18753.18</v>
      </c>
      <c r="J4367" s="3">
        <v>0</v>
      </c>
      <c r="K4367" t="s">
        <v>4424</v>
      </c>
      <c r="L4367">
        <v>3001</v>
      </c>
      <c r="M4367" t="s">
        <v>330</v>
      </c>
      <c r="N4367" t="s">
        <v>331</v>
      </c>
      <c r="O4367" t="s">
        <v>108</v>
      </c>
      <c r="P4367" t="str">
        <f>"75063"</f>
        <v>75063</v>
      </c>
    </row>
    <row r="4368" spans="1:16" x14ac:dyDescent="0.25">
      <c r="A4368" t="str">
        <f>"1110083F00210    00"</f>
        <v>1110083F00210    00</v>
      </c>
      <c r="B4368" t="s">
        <v>10491</v>
      </c>
      <c r="C4368" t="s">
        <v>10492</v>
      </c>
      <c r="D4368" t="s">
        <v>20</v>
      </c>
      <c r="E4368" t="s">
        <v>39</v>
      </c>
      <c r="F4368">
        <v>0</v>
      </c>
      <c r="G4368">
        <v>0</v>
      </c>
      <c r="H4368">
        <v>1</v>
      </c>
      <c r="I4368" s="3">
        <v>4885.09</v>
      </c>
      <c r="J4368" s="3">
        <v>0</v>
      </c>
      <c r="K4368" t="s">
        <v>1632</v>
      </c>
      <c r="M4368" t="s">
        <v>1633</v>
      </c>
      <c r="N4368" t="s">
        <v>1634</v>
      </c>
      <c r="O4368" t="s">
        <v>25</v>
      </c>
      <c r="P4368" t="str">
        <f>"45401"</f>
        <v>45401</v>
      </c>
    </row>
    <row r="4369" spans="1:16" x14ac:dyDescent="0.25">
      <c r="A4369" t="str">
        <f>"1110083F00212    00"</f>
        <v>1110083F00212    00</v>
      </c>
      <c r="B4369" t="s">
        <v>10493</v>
      </c>
      <c r="C4369" t="s">
        <v>10494</v>
      </c>
      <c r="D4369" t="s">
        <v>57</v>
      </c>
      <c r="E4369" t="s">
        <v>39</v>
      </c>
      <c r="F4369">
        <v>0</v>
      </c>
      <c r="G4369">
        <v>0</v>
      </c>
      <c r="H4369">
        <v>2</v>
      </c>
      <c r="I4369" s="3">
        <v>5988.68</v>
      </c>
      <c r="J4369" s="3">
        <v>299.42</v>
      </c>
      <c r="K4369" t="s">
        <v>445</v>
      </c>
      <c r="L4369">
        <v>1</v>
      </c>
      <c r="M4369" t="s">
        <v>1163</v>
      </c>
      <c r="N4369" t="s">
        <v>1164</v>
      </c>
      <c r="O4369" t="s">
        <v>108</v>
      </c>
      <c r="P4369" t="str">
        <f>"76262"</f>
        <v>76262</v>
      </c>
    </row>
    <row r="4370" spans="1:16" x14ac:dyDescent="0.25">
      <c r="A4370" t="str">
        <f>"1110083F00219    00"</f>
        <v>1110083F00219    00</v>
      </c>
      <c r="B4370" t="s">
        <v>10495</v>
      </c>
      <c r="C4370" t="s">
        <v>10496</v>
      </c>
      <c r="E4370" t="s">
        <v>39</v>
      </c>
      <c r="F4370">
        <v>0</v>
      </c>
      <c r="G4370">
        <v>0</v>
      </c>
      <c r="H4370">
        <v>3</v>
      </c>
      <c r="I4370" s="3">
        <v>272.25</v>
      </c>
      <c r="J4370" s="3">
        <v>215.53</v>
      </c>
      <c r="M4370" t="s">
        <v>10497</v>
      </c>
      <c r="N4370" t="s">
        <v>30</v>
      </c>
      <c r="O4370" t="s">
        <v>31</v>
      </c>
      <c r="P4370" t="str">
        <f>"15233"</f>
        <v>15233</v>
      </c>
    </row>
    <row r="4371" spans="1:16" x14ac:dyDescent="0.25">
      <c r="A4371" t="str">
        <f>"1110083F00220    00"</f>
        <v>1110083F00220    00</v>
      </c>
      <c r="B4371" t="s">
        <v>10495</v>
      </c>
      <c r="C4371" t="s">
        <v>10498</v>
      </c>
      <c r="E4371" t="s">
        <v>21</v>
      </c>
      <c r="F4371">
        <v>0</v>
      </c>
      <c r="G4371">
        <v>0</v>
      </c>
      <c r="H4371">
        <v>3</v>
      </c>
      <c r="I4371" s="3">
        <v>212.37</v>
      </c>
      <c r="J4371" s="3">
        <v>168.12</v>
      </c>
      <c r="M4371" t="s">
        <v>10497</v>
      </c>
      <c r="N4371" t="s">
        <v>30</v>
      </c>
      <c r="O4371" t="s">
        <v>31</v>
      </c>
      <c r="P4371" t="str">
        <f>"15233"</f>
        <v>15233</v>
      </c>
    </row>
    <row r="4372" spans="1:16" x14ac:dyDescent="0.25">
      <c r="A4372" t="str">
        <f>"1110083F00222    00"</f>
        <v>1110083F00222    00</v>
      </c>
      <c r="B4372" t="s">
        <v>10495</v>
      </c>
      <c r="C4372" t="s">
        <v>10499</v>
      </c>
      <c r="E4372" t="s">
        <v>21</v>
      </c>
      <c r="F4372">
        <v>0</v>
      </c>
      <c r="G4372">
        <v>0</v>
      </c>
      <c r="H4372">
        <v>1</v>
      </c>
      <c r="I4372" s="3">
        <v>36929.449999999997</v>
      </c>
      <c r="J4372" s="3">
        <v>51488.55</v>
      </c>
      <c r="L4372">
        <v>5643</v>
      </c>
      <c r="M4372" t="s">
        <v>10500</v>
      </c>
      <c r="N4372" t="s">
        <v>30</v>
      </c>
      <c r="O4372" t="s">
        <v>31</v>
      </c>
      <c r="P4372" t="str">
        <f>"15206"</f>
        <v>15206</v>
      </c>
    </row>
    <row r="4373" spans="1:16" x14ac:dyDescent="0.25">
      <c r="A4373" t="str">
        <f>"1110083F00234    00"</f>
        <v>1110083F00234    00</v>
      </c>
      <c r="B4373" t="s">
        <v>10501</v>
      </c>
      <c r="C4373" t="s">
        <v>10502</v>
      </c>
      <c r="D4373" t="s">
        <v>20</v>
      </c>
      <c r="E4373" t="s">
        <v>39</v>
      </c>
      <c r="F4373">
        <v>0</v>
      </c>
      <c r="G4373">
        <v>0</v>
      </c>
      <c r="H4373">
        <v>2</v>
      </c>
      <c r="I4373" s="3">
        <v>2951.18</v>
      </c>
      <c r="J4373" s="3">
        <v>0</v>
      </c>
      <c r="K4373" t="s">
        <v>391</v>
      </c>
      <c r="L4373">
        <v>1</v>
      </c>
      <c r="M4373" t="s">
        <v>392</v>
      </c>
      <c r="N4373" t="s">
        <v>393</v>
      </c>
      <c r="O4373" t="s">
        <v>394</v>
      </c>
      <c r="P4373" t="str">
        <f>"50328"</f>
        <v>50328</v>
      </c>
    </row>
    <row r="4374" spans="1:16" x14ac:dyDescent="0.25">
      <c r="A4374" t="str">
        <f>"1110083F00235    00"</f>
        <v>1110083F00235    00</v>
      </c>
      <c r="B4374" t="s">
        <v>10503</v>
      </c>
      <c r="C4374" t="s">
        <v>10504</v>
      </c>
      <c r="D4374" t="s">
        <v>20</v>
      </c>
      <c r="E4374" t="s">
        <v>39</v>
      </c>
      <c r="F4374">
        <v>0</v>
      </c>
      <c r="G4374">
        <v>0</v>
      </c>
      <c r="H4374">
        <v>1</v>
      </c>
      <c r="I4374" s="3">
        <v>2045.9</v>
      </c>
      <c r="J4374" s="3">
        <v>0</v>
      </c>
      <c r="K4374" t="s">
        <v>4989</v>
      </c>
      <c r="L4374">
        <v>3001</v>
      </c>
      <c r="M4374" t="s">
        <v>330</v>
      </c>
      <c r="N4374" t="s">
        <v>331</v>
      </c>
      <c r="O4374" t="s">
        <v>108</v>
      </c>
      <c r="P4374" t="str">
        <f>"75063"</f>
        <v>75063</v>
      </c>
    </row>
    <row r="4375" spans="1:16" x14ac:dyDescent="0.25">
      <c r="A4375" t="str">
        <f>"1110083F00236    00"</f>
        <v>1110083F00236    00</v>
      </c>
      <c r="B4375" t="s">
        <v>10505</v>
      </c>
      <c r="C4375" t="s">
        <v>10506</v>
      </c>
      <c r="E4375" t="s">
        <v>39</v>
      </c>
      <c r="F4375">
        <v>0</v>
      </c>
      <c r="G4375">
        <v>0</v>
      </c>
      <c r="H4375">
        <v>1</v>
      </c>
      <c r="I4375" s="3">
        <v>1356.73</v>
      </c>
      <c r="J4375" s="3">
        <v>429.61</v>
      </c>
      <c r="K4375" t="s">
        <v>391</v>
      </c>
      <c r="L4375">
        <v>1</v>
      </c>
      <c r="M4375" t="s">
        <v>392</v>
      </c>
      <c r="N4375" t="s">
        <v>393</v>
      </c>
      <c r="O4375" t="s">
        <v>394</v>
      </c>
      <c r="P4375" t="str">
        <f>"50328"</f>
        <v>50328</v>
      </c>
    </row>
    <row r="4376" spans="1:16" x14ac:dyDescent="0.25">
      <c r="A4376" t="str">
        <f>"1110083F00244    00"</f>
        <v>1110083F00244    00</v>
      </c>
      <c r="B4376" t="s">
        <v>10507</v>
      </c>
      <c r="C4376" t="s">
        <v>10508</v>
      </c>
      <c r="D4376" t="s">
        <v>20</v>
      </c>
      <c r="E4376" t="s">
        <v>39</v>
      </c>
      <c r="F4376">
        <v>0</v>
      </c>
      <c r="G4376">
        <v>0</v>
      </c>
      <c r="H4376">
        <v>1</v>
      </c>
      <c r="I4376" s="3">
        <v>4914.1400000000003</v>
      </c>
      <c r="J4376" s="3">
        <v>0</v>
      </c>
      <c r="K4376" t="s">
        <v>6483</v>
      </c>
      <c r="L4376">
        <v>3001</v>
      </c>
      <c r="M4376" t="s">
        <v>330</v>
      </c>
      <c r="N4376" t="s">
        <v>331</v>
      </c>
      <c r="O4376" t="s">
        <v>108</v>
      </c>
      <c r="P4376" t="str">
        <f>"75063"</f>
        <v>75063</v>
      </c>
    </row>
    <row r="4377" spans="1:16" x14ac:dyDescent="0.25">
      <c r="A4377" t="str">
        <f>"1110083F00245    00"</f>
        <v>1110083F00245    00</v>
      </c>
      <c r="B4377" t="s">
        <v>10509</v>
      </c>
      <c r="C4377" t="s">
        <v>10510</v>
      </c>
      <c r="E4377" t="s">
        <v>39</v>
      </c>
      <c r="F4377">
        <v>0</v>
      </c>
      <c r="G4377">
        <v>0</v>
      </c>
      <c r="H4377">
        <v>1</v>
      </c>
      <c r="I4377" s="3">
        <v>4005.27</v>
      </c>
      <c r="J4377" s="3">
        <v>1101.4100000000001</v>
      </c>
      <c r="K4377" t="s">
        <v>7350</v>
      </c>
      <c r="L4377">
        <v>3001</v>
      </c>
      <c r="M4377" t="s">
        <v>330</v>
      </c>
      <c r="N4377" t="s">
        <v>331</v>
      </c>
      <c r="O4377" t="s">
        <v>108</v>
      </c>
      <c r="P4377" t="str">
        <f>"75063"</f>
        <v>75063</v>
      </c>
    </row>
    <row r="4378" spans="1:16" x14ac:dyDescent="0.25">
      <c r="A4378" t="str">
        <f>"1110083F00252    00"</f>
        <v>1110083F00252    00</v>
      </c>
      <c r="B4378" t="s">
        <v>10511</v>
      </c>
      <c r="C4378" t="s">
        <v>10512</v>
      </c>
      <c r="E4378" t="s">
        <v>39</v>
      </c>
      <c r="F4378">
        <v>0</v>
      </c>
      <c r="G4378">
        <v>0</v>
      </c>
      <c r="H4378">
        <v>2</v>
      </c>
      <c r="I4378" s="3">
        <v>3436.13</v>
      </c>
      <c r="J4378" s="3">
        <v>1820.07</v>
      </c>
      <c r="K4378" t="s">
        <v>5861</v>
      </c>
      <c r="L4378">
        <v>3001</v>
      </c>
      <c r="M4378" t="s">
        <v>404</v>
      </c>
      <c r="N4378" t="s">
        <v>331</v>
      </c>
      <c r="O4378" t="s">
        <v>108</v>
      </c>
      <c r="P4378" t="str">
        <f>"75063"</f>
        <v>75063</v>
      </c>
    </row>
    <row r="4379" spans="1:16" x14ac:dyDescent="0.25">
      <c r="A4379" t="str">
        <f>"1110083F00286    00"</f>
        <v>1110083F00286    00</v>
      </c>
      <c r="B4379" t="s">
        <v>10513</v>
      </c>
      <c r="C4379" t="s">
        <v>10514</v>
      </c>
      <c r="D4379" t="s">
        <v>57</v>
      </c>
      <c r="E4379" t="s">
        <v>39</v>
      </c>
      <c r="F4379">
        <v>0</v>
      </c>
      <c r="G4379">
        <v>0</v>
      </c>
      <c r="H4379">
        <v>2</v>
      </c>
      <c r="I4379" s="3">
        <v>2306.2800000000002</v>
      </c>
      <c r="J4379" s="3">
        <v>115.3</v>
      </c>
      <c r="K4379" t="s">
        <v>4989</v>
      </c>
      <c r="L4379">
        <v>3001</v>
      </c>
      <c r="M4379" t="s">
        <v>330</v>
      </c>
      <c r="N4379" t="s">
        <v>331</v>
      </c>
      <c r="O4379" t="s">
        <v>108</v>
      </c>
      <c r="P4379" t="str">
        <f>"75063"</f>
        <v>75063</v>
      </c>
    </row>
    <row r="4380" spans="1:16" x14ac:dyDescent="0.25">
      <c r="A4380" t="str">
        <f>"1110083F00289    00"</f>
        <v>1110083F00289    00</v>
      </c>
      <c r="B4380" t="s">
        <v>10515</v>
      </c>
      <c r="C4380" t="s">
        <v>10516</v>
      </c>
      <c r="E4380" t="s">
        <v>39</v>
      </c>
      <c r="F4380">
        <v>0</v>
      </c>
      <c r="G4380">
        <v>0</v>
      </c>
      <c r="H4380">
        <v>2</v>
      </c>
      <c r="I4380" s="3">
        <v>2360.6</v>
      </c>
      <c r="J4380" s="3">
        <v>161.43</v>
      </c>
      <c r="K4380" t="s">
        <v>10517</v>
      </c>
      <c r="L4380">
        <v>14501</v>
      </c>
      <c r="M4380" t="s">
        <v>10518</v>
      </c>
      <c r="N4380" t="s">
        <v>10519</v>
      </c>
      <c r="O4380" t="s">
        <v>692</v>
      </c>
      <c r="P4380" t="str">
        <f>"20151"</f>
        <v>20151</v>
      </c>
    </row>
    <row r="4381" spans="1:16" x14ac:dyDescent="0.25">
      <c r="A4381" t="str">
        <f>"1110083F00295    00"</f>
        <v>1110083F00295    00</v>
      </c>
      <c r="B4381" t="s">
        <v>10520</v>
      </c>
      <c r="C4381" t="s">
        <v>10521</v>
      </c>
      <c r="D4381" t="s">
        <v>20</v>
      </c>
      <c r="E4381" t="s">
        <v>39</v>
      </c>
      <c r="F4381">
        <v>0</v>
      </c>
      <c r="G4381">
        <v>0</v>
      </c>
      <c r="H4381">
        <v>2</v>
      </c>
      <c r="I4381" s="3">
        <v>324.22000000000003</v>
      </c>
      <c r="J4381" s="3">
        <v>0</v>
      </c>
      <c r="K4381" t="s">
        <v>1632</v>
      </c>
      <c r="L4381">
        <v>3001</v>
      </c>
      <c r="M4381" t="s">
        <v>330</v>
      </c>
      <c r="N4381" t="s">
        <v>331</v>
      </c>
      <c r="O4381" t="s">
        <v>108</v>
      </c>
      <c r="P4381" t="str">
        <f>"75063"</f>
        <v>75063</v>
      </c>
    </row>
    <row r="4382" spans="1:16" x14ac:dyDescent="0.25">
      <c r="A4382" t="str">
        <f>"1110083F00297    00"</f>
        <v>1110083F00297    00</v>
      </c>
      <c r="B4382" t="s">
        <v>10522</v>
      </c>
      <c r="C4382" t="s">
        <v>10523</v>
      </c>
      <c r="D4382" t="s">
        <v>20</v>
      </c>
      <c r="E4382" t="s">
        <v>39</v>
      </c>
      <c r="F4382">
        <v>0</v>
      </c>
      <c r="G4382">
        <v>0</v>
      </c>
      <c r="H4382">
        <v>2</v>
      </c>
      <c r="I4382" s="3">
        <v>57.2</v>
      </c>
      <c r="J4382" s="3">
        <v>0</v>
      </c>
      <c r="M4382" t="s">
        <v>10524</v>
      </c>
      <c r="N4382" t="s">
        <v>30</v>
      </c>
      <c r="O4382" t="s">
        <v>31</v>
      </c>
      <c r="P4382" t="str">
        <f>"15206"</f>
        <v>15206</v>
      </c>
    </row>
    <row r="4383" spans="1:16" x14ac:dyDescent="0.25">
      <c r="A4383" t="str">
        <f>"1110083F00302    00"</f>
        <v>1110083F00302    00</v>
      </c>
      <c r="B4383" t="s">
        <v>10525</v>
      </c>
      <c r="C4383" t="s">
        <v>10526</v>
      </c>
      <c r="D4383" t="s">
        <v>7100</v>
      </c>
      <c r="E4383" t="s">
        <v>39</v>
      </c>
      <c r="F4383">
        <v>0</v>
      </c>
      <c r="G4383">
        <v>0</v>
      </c>
      <c r="H4383">
        <v>3</v>
      </c>
      <c r="I4383" s="3">
        <v>6301.8</v>
      </c>
      <c r="J4383" s="3">
        <v>66.900000000000006</v>
      </c>
      <c r="K4383" t="s">
        <v>4933</v>
      </c>
      <c r="L4383">
        <v>3001</v>
      </c>
      <c r="M4383" t="s">
        <v>330</v>
      </c>
      <c r="N4383" t="s">
        <v>331</v>
      </c>
      <c r="O4383" t="s">
        <v>108</v>
      </c>
      <c r="P4383" t="str">
        <f>"75063"</f>
        <v>75063</v>
      </c>
    </row>
    <row r="4384" spans="1:16" x14ac:dyDescent="0.25">
      <c r="A4384" t="str">
        <f>"1110083F00318    00"</f>
        <v>1110083F00318    00</v>
      </c>
      <c r="B4384" t="s">
        <v>10527</v>
      </c>
      <c r="C4384" t="s">
        <v>10528</v>
      </c>
      <c r="D4384" t="s">
        <v>20</v>
      </c>
      <c r="E4384" t="s">
        <v>39</v>
      </c>
      <c r="F4384">
        <v>0</v>
      </c>
      <c r="G4384">
        <v>0</v>
      </c>
      <c r="H4384">
        <v>1</v>
      </c>
      <c r="I4384" s="3">
        <v>257.32</v>
      </c>
      <c r="J4384" s="3">
        <v>0</v>
      </c>
      <c r="K4384" t="s">
        <v>10529</v>
      </c>
      <c r="L4384">
        <v>3400</v>
      </c>
      <c r="M4384" t="s">
        <v>10530</v>
      </c>
      <c r="N4384" t="s">
        <v>30</v>
      </c>
      <c r="O4384" t="s">
        <v>31</v>
      </c>
      <c r="P4384" t="str">
        <f>"15219"</f>
        <v>15219</v>
      </c>
    </row>
    <row r="4385" spans="1:16" x14ac:dyDescent="0.25">
      <c r="A4385" t="str">
        <f>"1110083F00327    00"</f>
        <v>1110083F00327    00</v>
      </c>
      <c r="B4385" t="s">
        <v>10531</v>
      </c>
      <c r="C4385" t="s">
        <v>10532</v>
      </c>
      <c r="E4385" t="s">
        <v>39</v>
      </c>
      <c r="F4385">
        <v>0</v>
      </c>
      <c r="G4385">
        <v>0</v>
      </c>
      <c r="H4385">
        <v>2</v>
      </c>
      <c r="I4385" s="3">
        <v>34.14</v>
      </c>
      <c r="J4385" s="3">
        <v>0.43</v>
      </c>
      <c r="K4385" t="s">
        <v>391</v>
      </c>
      <c r="L4385">
        <v>1</v>
      </c>
      <c r="M4385" t="s">
        <v>392</v>
      </c>
      <c r="N4385" t="s">
        <v>393</v>
      </c>
      <c r="O4385" t="s">
        <v>394</v>
      </c>
      <c r="P4385" t="str">
        <f>"50328"</f>
        <v>50328</v>
      </c>
    </row>
    <row r="4386" spans="1:16" x14ac:dyDescent="0.25">
      <c r="A4386" t="str">
        <f>"1110083F00329    00"</f>
        <v>1110083F00329    00</v>
      </c>
      <c r="B4386" t="s">
        <v>10533</v>
      </c>
      <c r="C4386" t="s">
        <v>10534</v>
      </c>
      <c r="D4386" t="s">
        <v>20</v>
      </c>
      <c r="E4386" t="s">
        <v>39</v>
      </c>
      <c r="F4386">
        <v>0</v>
      </c>
      <c r="G4386">
        <v>0</v>
      </c>
      <c r="H4386">
        <v>1</v>
      </c>
      <c r="I4386" s="3">
        <v>2472.09</v>
      </c>
      <c r="J4386" s="3">
        <v>0</v>
      </c>
      <c r="K4386" t="s">
        <v>484</v>
      </c>
      <c r="L4386">
        <v>3001</v>
      </c>
      <c r="M4386" t="s">
        <v>330</v>
      </c>
      <c r="N4386" t="s">
        <v>331</v>
      </c>
      <c r="O4386" t="s">
        <v>108</v>
      </c>
      <c r="P4386" t="str">
        <f>"75063"</f>
        <v>75063</v>
      </c>
    </row>
    <row r="4387" spans="1:16" x14ac:dyDescent="0.25">
      <c r="A4387" t="str">
        <f>"1110083G00001    00"</f>
        <v>1110083G00001    00</v>
      </c>
      <c r="B4387" t="s">
        <v>10535</v>
      </c>
      <c r="C4387" t="s">
        <v>10536</v>
      </c>
      <c r="E4387" t="s">
        <v>39</v>
      </c>
      <c r="F4387">
        <v>0</v>
      </c>
      <c r="G4387">
        <v>0</v>
      </c>
      <c r="H4387">
        <v>1</v>
      </c>
      <c r="I4387" s="3">
        <v>2764.56</v>
      </c>
      <c r="J4387" s="3">
        <v>875.42</v>
      </c>
      <c r="L4387">
        <v>712</v>
      </c>
      <c r="M4387" t="s">
        <v>9934</v>
      </c>
      <c r="N4387" t="s">
        <v>30</v>
      </c>
      <c r="O4387" t="s">
        <v>31</v>
      </c>
      <c r="P4387" t="str">
        <f>"15206"</f>
        <v>15206</v>
      </c>
    </row>
    <row r="4388" spans="1:16" x14ac:dyDescent="0.25">
      <c r="A4388" t="str">
        <f>"1110083G00009    00"</f>
        <v>1110083G00009    00</v>
      </c>
      <c r="B4388" t="s">
        <v>10537</v>
      </c>
      <c r="C4388" t="s">
        <v>10538</v>
      </c>
      <c r="E4388" t="s">
        <v>39</v>
      </c>
      <c r="F4388">
        <v>0</v>
      </c>
      <c r="G4388">
        <v>0</v>
      </c>
      <c r="H4388">
        <v>1</v>
      </c>
      <c r="I4388" s="3">
        <v>1938.2</v>
      </c>
      <c r="J4388" s="3">
        <v>0</v>
      </c>
      <c r="K4388" t="s">
        <v>881</v>
      </c>
      <c r="L4388">
        <v>3001</v>
      </c>
      <c r="M4388" t="s">
        <v>330</v>
      </c>
      <c r="N4388" t="s">
        <v>331</v>
      </c>
      <c r="O4388" t="s">
        <v>108</v>
      </c>
      <c r="P4388" t="str">
        <f>"75063"</f>
        <v>75063</v>
      </c>
    </row>
    <row r="4389" spans="1:16" x14ac:dyDescent="0.25">
      <c r="A4389" t="str">
        <f>"1110083G00013    00"</f>
        <v>1110083G00013    00</v>
      </c>
      <c r="B4389" t="s">
        <v>10539</v>
      </c>
      <c r="C4389" t="s">
        <v>10540</v>
      </c>
      <c r="D4389" t="s">
        <v>20</v>
      </c>
      <c r="E4389" t="s">
        <v>39</v>
      </c>
      <c r="F4389">
        <v>0</v>
      </c>
      <c r="G4389">
        <v>0</v>
      </c>
      <c r="H4389">
        <v>2</v>
      </c>
      <c r="I4389" s="3">
        <v>3859.92</v>
      </c>
      <c r="J4389" s="3">
        <v>54.97</v>
      </c>
      <c r="L4389">
        <v>719</v>
      </c>
      <c r="M4389" t="s">
        <v>9937</v>
      </c>
      <c r="N4389" t="s">
        <v>30</v>
      </c>
      <c r="O4389" t="s">
        <v>31</v>
      </c>
      <c r="P4389" t="str">
        <f>"15206"</f>
        <v>15206</v>
      </c>
    </row>
    <row r="4390" spans="1:16" x14ac:dyDescent="0.25">
      <c r="A4390" t="str">
        <f>"1110083G00024    00"</f>
        <v>1110083G00024    00</v>
      </c>
      <c r="B4390" t="s">
        <v>5735</v>
      </c>
      <c r="C4390" t="s">
        <v>10541</v>
      </c>
      <c r="D4390" t="s">
        <v>20</v>
      </c>
      <c r="E4390" t="s">
        <v>39</v>
      </c>
      <c r="F4390">
        <v>0</v>
      </c>
      <c r="G4390">
        <v>0</v>
      </c>
      <c r="H4390">
        <v>1</v>
      </c>
      <c r="I4390" s="3">
        <v>376.77</v>
      </c>
      <c r="J4390" s="3">
        <v>0</v>
      </c>
      <c r="L4390">
        <v>39</v>
      </c>
      <c r="M4390" t="s">
        <v>5737</v>
      </c>
      <c r="N4390" t="s">
        <v>30</v>
      </c>
      <c r="O4390" t="s">
        <v>31</v>
      </c>
      <c r="P4390" t="str">
        <f>"15217"</f>
        <v>15217</v>
      </c>
    </row>
    <row r="4391" spans="1:16" x14ac:dyDescent="0.25">
      <c r="A4391" t="str">
        <f>"1110083G00028    00"</f>
        <v>1110083G00028    00</v>
      </c>
      <c r="B4391" t="s">
        <v>10542</v>
      </c>
      <c r="C4391" t="s">
        <v>10543</v>
      </c>
      <c r="D4391" t="s">
        <v>20</v>
      </c>
      <c r="E4391" t="s">
        <v>39</v>
      </c>
      <c r="F4391">
        <v>0</v>
      </c>
      <c r="G4391">
        <v>0</v>
      </c>
      <c r="H4391">
        <v>5</v>
      </c>
      <c r="I4391" s="3">
        <v>10288.06</v>
      </c>
      <c r="J4391" s="3">
        <v>1709.24</v>
      </c>
      <c r="L4391">
        <v>621</v>
      </c>
      <c r="M4391" t="s">
        <v>9937</v>
      </c>
      <c r="N4391" t="s">
        <v>30</v>
      </c>
      <c r="O4391" t="s">
        <v>31</v>
      </c>
      <c r="P4391" t="str">
        <f>"15206"</f>
        <v>15206</v>
      </c>
    </row>
    <row r="4392" spans="1:16" x14ac:dyDescent="0.25">
      <c r="A4392" t="str">
        <f>"1110083G00032    00"</f>
        <v>1110083G00032    00</v>
      </c>
      <c r="B4392" t="s">
        <v>10544</v>
      </c>
      <c r="C4392" t="s">
        <v>10545</v>
      </c>
      <c r="D4392" t="s">
        <v>20</v>
      </c>
      <c r="E4392" t="s">
        <v>39</v>
      </c>
      <c r="F4392">
        <v>0</v>
      </c>
      <c r="G4392">
        <v>0</v>
      </c>
      <c r="H4392">
        <v>1</v>
      </c>
      <c r="I4392" s="3">
        <v>193.83</v>
      </c>
      <c r="J4392" s="3">
        <v>0</v>
      </c>
      <c r="K4392" t="s">
        <v>3554</v>
      </c>
      <c r="L4392">
        <v>600</v>
      </c>
      <c r="M4392" t="s">
        <v>3555</v>
      </c>
      <c r="N4392" t="s">
        <v>3556</v>
      </c>
      <c r="O4392" t="s">
        <v>31</v>
      </c>
      <c r="P4392" t="str">
        <f>"16117"</f>
        <v>16117</v>
      </c>
    </row>
    <row r="4393" spans="1:16" x14ac:dyDescent="0.25">
      <c r="A4393" t="str">
        <f>"1110083G00045    00"</f>
        <v>1110083G00045    00</v>
      </c>
      <c r="B4393" t="s">
        <v>10546</v>
      </c>
      <c r="C4393" t="s">
        <v>10547</v>
      </c>
      <c r="E4393" t="s">
        <v>39</v>
      </c>
      <c r="F4393">
        <v>0</v>
      </c>
      <c r="G4393">
        <v>0</v>
      </c>
      <c r="H4393">
        <v>2</v>
      </c>
      <c r="I4393" s="3">
        <v>8099.03</v>
      </c>
      <c r="J4393" s="3">
        <v>553.85</v>
      </c>
      <c r="K4393" t="s">
        <v>5861</v>
      </c>
      <c r="L4393">
        <v>3001</v>
      </c>
      <c r="M4393" t="s">
        <v>404</v>
      </c>
      <c r="N4393" t="s">
        <v>331</v>
      </c>
      <c r="O4393" t="s">
        <v>108</v>
      </c>
      <c r="P4393" t="str">
        <f>"75063"</f>
        <v>75063</v>
      </c>
    </row>
    <row r="4394" spans="1:16" x14ac:dyDescent="0.25">
      <c r="A4394" t="str">
        <f>"1110083G00051    00"</f>
        <v>1110083G00051    00</v>
      </c>
      <c r="B4394" t="s">
        <v>9188</v>
      </c>
      <c r="C4394" t="s">
        <v>10548</v>
      </c>
      <c r="E4394" t="s">
        <v>39</v>
      </c>
      <c r="F4394">
        <v>0</v>
      </c>
      <c r="G4394">
        <v>0</v>
      </c>
      <c r="H4394">
        <v>1</v>
      </c>
      <c r="I4394" s="3">
        <v>877.48</v>
      </c>
      <c r="J4394" s="3">
        <v>0</v>
      </c>
      <c r="K4394" t="s">
        <v>6511</v>
      </c>
      <c r="M4394" t="s">
        <v>570</v>
      </c>
      <c r="N4394" t="s">
        <v>571</v>
      </c>
      <c r="O4394" t="s">
        <v>423</v>
      </c>
      <c r="P4394" t="str">
        <f>"07101"</f>
        <v>07101</v>
      </c>
    </row>
    <row r="4395" spans="1:16" x14ac:dyDescent="0.25">
      <c r="A4395" t="str">
        <f>"1110083G00059    00"</f>
        <v>1110083G00059    00</v>
      </c>
      <c r="B4395" t="s">
        <v>10549</v>
      </c>
      <c r="C4395" t="s">
        <v>10550</v>
      </c>
      <c r="E4395" t="s">
        <v>39</v>
      </c>
      <c r="F4395">
        <v>0</v>
      </c>
      <c r="G4395">
        <v>0</v>
      </c>
      <c r="H4395">
        <v>1</v>
      </c>
      <c r="I4395" s="3">
        <v>3893.97</v>
      </c>
      <c r="J4395" s="3">
        <v>0</v>
      </c>
      <c r="K4395" t="s">
        <v>10551</v>
      </c>
      <c r="M4395" t="s">
        <v>10552</v>
      </c>
      <c r="N4395" t="s">
        <v>1004</v>
      </c>
      <c r="O4395" t="s">
        <v>1005</v>
      </c>
      <c r="P4395" t="str">
        <f>"85062"</f>
        <v>85062</v>
      </c>
    </row>
    <row r="4396" spans="1:16" x14ac:dyDescent="0.25">
      <c r="A4396" t="str">
        <f>"1110083G00060    00"</f>
        <v>1110083G00060    00</v>
      </c>
      <c r="B4396" t="s">
        <v>10553</v>
      </c>
      <c r="C4396" t="s">
        <v>10554</v>
      </c>
      <c r="E4396" t="s">
        <v>39</v>
      </c>
      <c r="F4396">
        <v>0</v>
      </c>
      <c r="G4396">
        <v>0</v>
      </c>
      <c r="H4396">
        <v>2</v>
      </c>
      <c r="I4396" s="3">
        <v>4059.8</v>
      </c>
      <c r="J4396" s="3">
        <v>202.98</v>
      </c>
      <c r="K4396" t="s">
        <v>10555</v>
      </c>
      <c r="L4396">
        <v>3</v>
      </c>
      <c r="M4396" t="s">
        <v>10556</v>
      </c>
      <c r="N4396" t="s">
        <v>199</v>
      </c>
      <c r="O4396" t="s">
        <v>200</v>
      </c>
      <c r="P4396" t="str">
        <f>"10007"</f>
        <v>10007</v>
      </c>
    </row>
    <row r="4397" spans="1:16" x14ac:dyDescent="0.25">
      <c r="A4397" t="str">
        <f>"1110083G00070    00"</f>
        <v>1110083G00070    00</v>
      </c>
      <c r="B4397" t="s">
        <v>10557</v>
      </c>
      <c r="C4397" t="s">
        <v>10558</v>
      </c>
      <c r="D4397" t="s">
        <v>20</v>
      </c>
      <c r="E4397" t="s">
        <v>39</v>
      </c>
      <c r="F4397">
        <v>0</v>
      </c>
      <c r="G4397">
        <v>0</v>
      </c>
      <c r="H4397">
        <v>3</v>
      </c>
      <c r="I4397" s="3">
        <v>213.15</v>
      </c>
      <c r="J4397" s="3">
        <v>4.7300000000000004</v>
      </c>
      <c r="K4397" t="s">
        <v>10559</v>
      </c>
      <c r="L4397">
        <v>3001</v>
      </c>
      <c r="M4397" t="s">
        <v>330</v>
      </c>
      <c r="N4397" t="s">
        <v>331</v>
      </c>
      <c r="O4397" t="s">
        <v>108</v>
      </c>
      <c r="P4397" t="str">
        <f>"75063"</f>
        <v>75063</v>
      </c>
    </row>
    <row r="4398" spans="1:16" x14ac:dyDescent="0.25">
      <c r="A4398" t="str">
        <f>"1110083G00071    00"</f>
        <v>1110083G00071    00</v>
      </c>
      <c r="B4398" t="s">
        <v>10560</v>
      </c>
      <c r="C4398" t="s">
        <v>10561</v>
      </c>
      <c r="D4398" t="s">
        <v>20</v>
      </c>
      <c r="E4398" t="s">
        <v>39</v>
      </c>
      <c r="F4398">
        <v>0</v>
      </c>
      <c r="G4398">
        <v>0</v>
      </c>
      <c r="H4398">
        <v>2</v>
      </c>
      <c r="I4398" s="3">
        <v>519.41999999999996</v>
      </c>
      <c r="J4398" s="3">
        <v>0</v>
      </c>
      <c r="L4398">
        <v>5819</v>
      </c>
      <c r="M4398" t="s">
        <v>5832</v>
      </c>
      <c r="N4398" t="s">
        <v>30</v>
      </c>
      <c r="O4398" t="s">
        <v>31</v>
      </c>
      <c r="P4398" t="str">
        <f>"15206"</f>
        <v>15206</v>
      </c>
    </row>
    <row r="4399" spans="1:16" x14ac:dyDescent="0.25">
      <c r="A4399" t="str">
        <f>"1110083G00072    00"</f>
        <v>1110083G00072    00</v>
      </c>
      <c r="B4399" t="s">
        <v>10562</v>
      </c>
      <c r="C4399" t="s">
        <v>10563</v>
      </c>
      <c r="E4399" t="s">
        <v>39</v>
      </c>
      <c r="F4399">
        <v>0</v>
      </c>
      <c r="G4399">
        <v>0</v>
      </c>
      <c r="H4399">
        <v>2</v>
      </c>
      <c r="I4399" s="3">
        <v>3375.08</v>
      </c>
      <c r="J4399" s="3">
        <v>230.8</v>
      </c>
      <c r="K4399" t="s">
        <v>881</v>
      </c>
      <c r="L4399">
        <v>3001</v>
      </c>
      <c r="M4399" t="s">
        <v>330</v>
      </c>
      <c r="N4399" t="s">
        <v>331</v>
      </c>
      <c r="O4399" t="s">
        <v>108</v>
      </c>
      <c r="P4399" t="str">
        <f>"75063"</f>
        <v>75063</v>
      </c>
    </row>
    <row r="4400" spans="1:16" x14ac:dyDescent="0.25">
      <c r="A4400" t="str">
        <f>"1110083G00090    00"</f>
        <v>1110083G00090    00</v>
      </c>
      <c r="B4400" t="s">
        <v>10564</v>
      </c>
      <c r="C4400" t="s">
        <v>10565</v>
      </c>
      <c r="E4400" t="s">
        <v>39</v>
      </c>
      <c r="F4400">
        <v>0</v>
      </c>
      <c r="G4400">
        <v>0</v>
      </c>
      <c r="H4400">
        <v>1</v>
      </c>
      <c r="I4400" s="3">
        <v>2185.7199999999998</v>
      </c>
      <c r="J4400" s="3">
        <v>608.57000000000005</v>
      </c>
      <c r="L4400">
        <v>722</v>
      </c>
      <c r="M4400" t="s">
        <v>9937</v>
      </c>
      <c r="N4400" t="s">
        <v>30</v>
      </c>
      <c r="O4400" t="s">
        <v>31</v>
      </c>
      <c r="P4400" t="str">
        <f>"15206"</f>
        <v>15206</v>
      </c>
    </row>
    <row r="4401" spans="1:16" x14ac:dyDescent="0.25">
      <c r="A4401" t="str">
        <f>"1110083G00091    00"</f>
        <v>1110083G00091    00</v>
      </c>
      <c r="B4401" t="s">
        <v>10566</v>
      </c>
      <c r="C4401" t="s">
        <v>10567</v>
      </c>
      <c r="D4401" t="s">
        <v>20</v>
      </c>
      <c r="E4401" t="s">
        <v>39</v>
      </c>
      <c r="F4401">
        <v>0</v>
      </c>
      <c r="G4401">
        <v>0</v>
      </c>
      <c r="H4401">
        <v>1</v>
      </c>
      <c r="I4401" s="3">
        <v>2184.2800000000002</v>
      </c>
      <c r="J4401" s="3">
        <v>0</v>
      </c>
      <c r="K4401" t="s">
        <v>4801</v>
      </c>
      <c r="L4401">
        <v>1</v>
      </c>
      <c r="M4401" t="s">
        <v>4802</v>
      </c>
      <c r="N4401" t="s">
        <v>4803</v>
      </c>
      <c r="O4401" t="s">
        <v>554</v>
      </c>
      <c r="P4401" t="str">
        <f>"26003"</f>
        <v>26003</v>
      </c>
    </row>
    <row r="4402" spans="1:16" x14ac:dyDescent="0.25">
      <c r="A4402" t="str">
        <f>"1110083G00092    00"</f>
        <v>1110083G00092    00</v>
      </c>
      <c r="B4402" t="s">
        <v>10568</v>
      </c>
      <c r="C4402" t="s">
        <v>10569</v>
      </c>
      <c r="D4402" t="s">
        <v>57</v>
      </c>
      <c r="E4402" t="s">
        <v>39</v>
      </c>
      <c r="F4402">
        <v>0</v>
      </c>
      <c r="G4402">
        <v>0</v>
      </c>
      <c r="H4402">
        <v>2</v>
      </c>
      <c r="I4402" s="3">
        <v>2066.1</v>
      </c>
      <c r="J4402" s="3">
        <v>68.87</v>
      </c>
      <c r="K4402" t="s">
        <v>7258</v>
      </c>
      <c r="L4402">
        <v>4201</v>
      </c>
      <c r="M4402" t="s">
        <v>7259</v>
      </c>
      <c r="N4402" t="s">
        <v>7260</v>
      </c>
      <c r="O4402" t="s">
        <v>108</v>
      </c>
      <c r="P4402" t="str">
        <f>"75007"</f>
        <v>75007</v>
      </c>
    </row>
    <row r="4403" spans="1:16" x14ac:dyDescent="0.25">
      <c r="A4403" t="str">
        <f>"1110083G00123    00"</f>
        <v>1110083G00123    00</v>
      </c>
      <c r="B4403" t="s">
        <v>10570</v>
      </c>
      <c r="C4403" t="s">
        <v>10571</v>
      </c>
      <c r="E4403" t="s">
        <v>39</v>
      </c>
      <c r="F4403">
        <v>0</v>
      </c>
      <c r="G4403">
        <v>0</v>
      </c>
      <c r="H4403">
        <v>2</v>
      </c>
      <c r="I4403" s="3">
        <v>3832.14</v>
      </c>
      <c r="J4403" s="3">
        <v>262.06</v>
      </c>
      <c r="K4403" t="s">
        <v>5141</v>
      </c>
      <c r="L4403">
        <v>1</v>
      </c>
      <c r="M4403" t="s">
        <v>5142</v>
      </c>
      <c r="N4403" t="s">
        <v>5143</v>
      </c>
      <c r="O4403" t="s">
        <v>3486</v>
      </c>
      <c r="P4403" t="str">
        <f>"60047"</f>
        <v>60047</v>
      </c>
    </row>
    <row r="4404" spans="1:16" x14ac:dyDescent="0.25">
      <c r="A4404" t="str">
        <f>"1110083G00125    00"</f>
        <v>1110083G00125    00</v>
      </c>
      <c r="B4404" t="s">
        <v>10572</v>
      </c>
      <c r="C4404" t="s">
        <v>10573</v>
      </c>
      <c r="E4404" t="s">
        <v>39</v>
      </c>
      <c r="F4404">
        <v>0</v>
      </c>
      <c r="G4404">
        <v>0</v>
      </c>
      <c r="H4404">
        <v>3</v>
      </c>
      <c r="I4404" s="3">
        <v>5407.93</v>
      </c>
      <c r="J4404" s="3">
        <v>880.32</v>
      </c>
      <c r="L4404">
        <v>719</v>
      </c>
      <c r="M4404" t="s">
        <v>10574</v>
      </c>
      <c r="N4404" t="s">
        <v>30</v>
      </c>
      <c r="O4404" t="s">
        <v>31</v>
      </c>
      <c r="P4404" t="str">
        <f>"15206"</f>
        <v>15206</v>
      </c>
    </row>
    <row r="4405" spans="1:16" x14ac:dyDescent="0.25">
      <c r="A4405" t="str">
        <f>"1110083G00129    00"</f>
        <v>1110083G00129    00</v>
      </c>
      <c r="B4405" t="s">
        <v>10575</v>
      </c>
      <c r="C4405" t="s">
        <v>10576</v>
      </c>
      <c r="D4405" t="s">
        <v>57</v>
      </c>
      <c r="E4405" t="s">
        <v>39</v>
      </c>
      <c r="F4405">
        <v>0</v>
      </c>
      <c r="G4405">
        <v>0</v>
      </c>
      <c r="H4405">
        <v>1</v>
      </c>
      <c r="I4405" s="3">
        <v>5665.71</v>
      </c>
      <c r="J4405" s="3">
        <v>1565.54</v>
      </c>
      <c r="L4405">
        <v>725</v>
      </c>
      <c r="M4405" t="s">
        <v>10574</v>
      </c>
      <c r="N4405" t="s">
        <v>30</v>
      </c>
      <c r="O4405" t="s">
        <v>31</v>
      </c>
      <c r="P4405" t="str">
        <f>"15206"</f>
        <v>15206</v>
      </c>
    </row>
    <row r="4406" spans="1:16" x14ac:dyDescent="0.25">
      <c r="A4406" t="str">
        <f>"1110083G00147    00"</f>
        <v>1110083G00147    00</v>
      </c>
      <c r="B4406" t="s">
        <v>10577</v>
      </c>
      <c r="C4406" t="s">
        <v>10578</v>
      </c>
      <c r="E4406" t="s">
        <v>39</v>
      </c>
      <c r="F4406">
        <v>0</v>
      </c>
      <c r="G4406">
        <v>0</v>
      </c>
      <c r="H4406">
        <v>1</v>
      </c>
      <c r="I4406" s="3">
        <v>31.07</v>
      </c>
      <c r="J4406" s="3">
        <v>30.98</v>
      </c>
      <c r="L4406">
        <v>702</v>
      </c>
      <c r="M4406" t="s">
        <v>9934</v>
      </c>
      <c r="N4406" t="s">
        <v>30</v>
      </c>
      <c r="O4406" t="s">
        <v>31</v>
      </c>
      <c r="P4406" t="str">
        <f>"15206"</f>
        <v>15206</v>
      </c>
    </row>
    <row r="4407" spans="1:16" x14ac:dyDescent="0.25">
      <c r="A4407" t="str">
        <f>"1110083G00150    00"</f>
        <v>1110083G00150    00</v>
      </c>
      <c r="B4407" t="s">
        <v>10579</v>
      </c>
      <c r="C4407" t="s">
        <v>10580</v>
      </c>
      <c r="D4407" t="s">
        <v>20</v>
      </c>
      <c r="E4407" t="s">
        <v>39</v>
      </c>
      <c r="F4407">
        <v>0</v>
      </c>
      <c r="G4407">
        <v>0</v>
      </c>
      <c r="H4407">
        <v>5</v>
      </c>
      <c r="I4407" s="3">
        <v>5823.49</v>
      </c>
      <c r="J4407" s="3">
        <v>557.72</v>
      </c>
      <c r="K4407" t="s">
        <v>5396</v>
      </c>
      <c r="L4407">
        <v>3001</v>
      </c>
      <c r="M4407" t="s">
        <v>330</v>
      </c>
      <c r="N4407" t="s">
        <v>331</v>
      </c>
      <c r="O4407" t="s">
        <v>108</v>
      </c>
      <c r="P4407" t="str">
        <f>"75063"</f>
        <v>75063</v>
      </c>
    </row>
    <row r="4408" spans="1:16" x14ac:dyDescent="0.25">
      <c r="A4408" t="str">
        <f>"1110083G00155    00"</f>
        <v>1110083G00155    00</v>
      </c>
      <c r="B4408" t="s">
        <v>10581</v>
      </c>
      <c r="C4408" t="s">
        <v>10582</v>
      </c>
      <c r="E4408" t="s">
        <v>39</v>
      </c>
      <c r="F4408">
        <v>0</v>
      </c>
      <c r="G4408">
        <v>0</v>
      </c>
      <c r="H4408">
        <v>1</v>
      </c>
      <c r="I4408" s="3">
        <v>571.79999999999995</v>
      </c>
      <c r="J4408" s="3">
        <v>0</v>
      </c>
      <c r="L4408">
        <v>716</v>
      </c>
      <c r="M4408" t="s">
        <v>10574</v>
      </c>
      <c r="N4408" t="s">
        <v>30</v>
      </c>
      <c r="O4408" t="s">
        <v>31</v>
      </c>
      <c r="P4408" t="str">
        <f>"15206"</f>
        <v>15206</v>
      </c>
    </row>
    <row r="4409" spans="1:16" x14ac:dyDescent="0.25">
      <c r="A4409" t="str">
        <f>"1110083G00156A   00"</f>
        <v>1110083G00156A   00</v>
      </c>
      <c r="B4409" t="s">
        <v>10583</v>
      </c>
      <c r="C4409" t="s">
        <v>10584</v>
      </c>
      <c r="D4409" t="s">
        <v>20</v>
      </c>
      <c r="E4409" t="s">
        <v>39</v>
      </c>
      <c r="F4409">
        <v>0</v>
      </c>
      <c r="G4409">
        <v>0</v>
      </c>
      <c r="H4409">
        <v>3</v>
      </c>
      <c r="I4409" s="3">
        <v>11183.18</v>
      </c>
      <c r="J4409" s="3">
        <v>757.35</v>
      </c>
      <c r="K4409" t="s">
        <v>10585</v>
      </c>
      <c r="M4409" t="s">
        <v>10586</v>
      </c>
      <c r="N4409" t="s">
        <v>571</v>
      </c>
      <c r="O4409" t="s">
        <v>423</v>
      </c>
      <c r="P4409" t="str">
        <f>"07101"</f>
        <v>07101</v>
      </c>
    </row>
    <row r="4410" spans="1:16" x14ac:dyDescent="0.25">
      <c r="A4410" t="str">
        <f>"1110083G00158    00"</f>
        <v>1110083G00158    00</v>
      </c>
      <c r="B4410" t="s">
        <v>10587</v>
      </c>
      <c r="C4410" t="s">
        <v>10588</v>
      </c>
      <c r="D4410" t="s">
        <v>20</v>
      </c>
      <c r="E4410" t="s">
        <v>39</v>
      </c>
      <c r="F4410">
        <v>0</v>
      </c>
      <c r="G4410">
        <v>0</v>
      </c>
      <c r="H4410">
        <v>4</v>
      </c>
      <c r="I4410" s="3">
        <v>3153.55</v>
      </c>
      <c r="J4410" s="3">
        <v>393.28</v>
      </c>
      <c r="L4410">
        <v>712</v>
      </c>
      <c r="M4410" t="s">
        <v>10574</v>
      </c>
      <c r="N4410" t="s">
        <v>30</v>
      </c>
      <c r="O4410" t="s">
        <v>31</v>
      </c>
      <c r="P4410" t="str">
        <f>"15206"</f>
        <v>15206</v>
      </c>
    </row>
    <row r="4411" spans="1:16" x14ac:dyDescent="0.25">
      <c r="A4411" t="str">
        <f>"1110083G00222    00"</f>
        <v>1110083G00222    00</v>
      </c>
      <c r="B4411" t="s">
        <v>10589</v>
      </c>
      <c r="C4411" t="s">
        <v>10590</v>
      </c>
      <c r="E4411" t="s">
        <v>21</v>
      </c>
      <c r="F4411">
        <v>0</v>
      </c>
      <c r="G4411">
        <v>0</v>
      </c>
      <c r="H4411">
        <v>2</v>
      </c>
      <c r="I4411" s="3">
        <v>15602.54</v>
      </c>
      <c r="J4411" s="3">
        <v>0</v>
      </c>
      <c r="K4411" t="s">
        <v>10591</v>
      </c>
      <c r="L4411">
        <v>3101</v>
      </c>
      <c r="M4411" t="s">
        <v>10592</v>
      </c>
      <c r="N4411" t="s">
        <v>30</v>
      </c>
      <c r="O4411" t="s">
        <v>31</v>
      </c>
      <c r="P4411" t="str">
        <f>"15216"</f>
        <v>15216</v>
      </c>
    </row>
    <row r="4412" spans="1:16" x14ac:dyDescent="0.25">
      <c r="A4412" t="str">
        <f>"1110083G00274    00"</f>
        <v>1110083G00274    00</v>
      </c>
      <c r="B4412" t="s">
        <v>10593</v>
      </c>
      <c r="C4412" t="s">
        <v>10594</v>
      </c>
      <c r="D4412" t="s">
        <v>20</v>
      </c>
      <c r="E4412" t="s">
        <v>39</v>
      </c>
      <c r="F4412">
        <v>0</v>
      </c>
      <c r="G4412">
        <v>0</v>
      </c>
      <c r="H4412">
        <v>6</v>
      </c>
      <c r="I4412" s="3">
        <v>13566.75</v>
      </c>
      <c r="J4412" s="3">
        <v>4257.76</v>
      </c>
      <c r="L4412">
        <v>6021</v>
      </c>
      <c r="M4412" t="s">
        <v>10595</v>
      </c>
      <c r="N4412" t="s">
        <v>30</v>
      </c>
      <c r="O4412" t="s">
        <v>31</v>
      </c>
      <c r="P4412" t="str">
        <f>"15206"</f>
        <v>15206</v>
      </c>
    </row>
    <row r="4413" spans="1:16" x14ac:dyDescent="0.25">
      <c r="A4413" t="str">
        <f>"1110083H00068    00"</f>
        <v>1110083H00068    00</v>
      </c>
      <c r="B4413" t="s">
        <v>10596</v>
      </c>
      <c r="C4413" t="s">
        <v>10597</v>
      </c>
      <c r="D4413" t="s">
        <v>20</v>
      </c>
      <c r="E4413" t="s">
        <v>39</v>
      </c>
      <c r="F4413">
        <v>0</v>
      </c>
      <c r="G4413">
        <v>0</v>
      </c>
      <c r="H4413">
        <v>3</v>
      </c>
      <c r="I4413" s="3">
        <v>3001.24</v>
      </c>
      <c r="J4413" s="3">
        <v>302.37</v>
      </c>
      <c r="L4413">
        <v>704</v>
      </c>
      <c r="M4413" t="s">
        <v>10598</v>
      </c>
      <c r="N4413" t="s">
        <v>30</v>
      </c>
      <c r="O4413" t="s">
        <v>31</v>
      </c>
      <c r="P4413" t="str">
        <f>"15206"</f>
        <v>15206</v>
      </c>
    </row>
    <row r="4414" spans="1:16" x14ac:dyDescent="0.25">
      <c r="A4414" t="str">
        <f>"1110083H00092    00"</f>
        <v>1110083H00092    00</v>
      </c>
      <c r="B4414" t="s">
        <v>10599</v>
      </c>
      <c r="C4414" t="s">
        <v>10600</v>
      </c>
      <c r="E4414" t="s">
        <v>39</v>
      </c>
      <c r="F4414">
        <v>0</v>
      </c>
      <c r="G4414">
        <v>0</v>
      </c>
      <c r="H4414">
        <v>3</v>
      </c>
      <c r="I4414" s="3">
        <v>3130.22</v>
      </c>
      <c r="J4414" s="3">
        <v>0</v>
      </c>
      <c r="K4414" t="s">
        <v>10601</v>
      </c>
      <c r="L4414">
        <v>211</v>
      </c>
      <c r="M4414" t="s">
        <v>10602</v>
      </c>
      <c r="N4414" t="s">
        <v>30</v>
      </c>
      <c r="O4414" t="s">
        <v>31</v>
      </c>
      <c r="P4414" t="str">
        <f>"15206"</f>
        <v>15206</v>
      </c>
    </row>
    <row r="4415" spans="1:16" x14ac:dyDescent="0.25">
      <c r="A4415" t="str">
        <f>"1110083H00098    00"</f>
        <v>1110083H00098    00</v>
      </c>
      <c r="B4415" t="s">
        <v>944</v>
      </c>
      <c r="C4415" t="s">
        <v>10603</v>
      </c>
      <c r="E4415" t="s">
        <v>39</v>
      </c>
      <c r="F4415">
        <v>0</v>
      </c>
      <c r="G4415">
        <v>0</v>
      </c>
      <c r="H4415">
        <v>1</v>
      </c>
      <c r="I4415" s="3">
        <v>52.5</v>
      </c>
      <c r="J4415" s="3">
        <v>31.5</v>
      </c>
      <c r="K4415" t="s">
        <v>2962</v>
      </c>
      <c r="L4415">
        <v>200</v>
      </c>
      <c r="M4415" t="s">
        <v>984</v>
      </c>
      <c r="N4415" t="s">
        <v>30</v>
      </c>
      <c r="O4415" t="s">
        <v>31</v>
      </c>
      <c r="P4415" t="str">
        <f>"15219"</f>
        <v>15219</v>
      </c>
    </row>
    <row r="4416" spans="1:16" x14ac:dyDescent="0.25">
      <c r="A4416" t="str">
        <f>"1110083H00101    00"</f>
        <v>1110083H00101    00</v>
      </c>
      <c r="B4416" t="s">
        <v>10604</v>
      </c>
      <c r="C4416" t="s">
        <v>10605</v>
      </c>
      <c r="D4416" t="s">
        <v>20</v>
      </c>
      <c r="E4416" t="s">
        <v>39</v>
      </c>
      <c r="F4416">
        <v>0</v>
      </c>
      <c r="G4416">
        <v>0</v>
      </c>
      <c r="H4416">
        <v>2</v>
      </c>
      <c r="I4416" s="3">
        <v>1078.58</v>
      </c>
      <c r="J4416" s="3">
        <v>0</v>
      </c>
      <c r="L4416">
        <v>11528</v>
      </c>
      <c r="M4416" t="s">
        <v>10606</v>
      </c>
      <c r="N4416" t="s">
        <v>10607</v>
      </c>
      <c r="O4416" t="s">
        <v>495</v>
      </c>
      <c r="P4416" t="str">
        <f>"92354"</f>
        <v>92354</v>
      </c>
    </row>
    <row r="4417" spans="1:16" x14ac:dyDescent="0.25">
      <c r="A4417" t="str">
        <f>"1110083H00103    00"</f>
        <v>1110083H00103    00</v>
      </c>
      <c r="B4417" t="s">
        <v>10608</v>
      </c>
      <c r="C4417" t="s">
        <v>10609</v>
      </c>
      <c r="D4417" t="s">
        <v>20</v>
      </c>
      <c r="E4417" t="s">
        <v>39</v>
      </c>
      <c r="F4417">
        <v>0</v>
      </c>
      <c r="G4417">
        <v>0</v>
      </c>
      <c r="H4417">
        <v>1</v>
      </c>
      <c r="I4417" s="3">
        <v>820.05</v>
      </c>
      <c r="J4417" s="3">
        <v>0</v>
      </c>
      <c r="L4417">
        <v>6242</v>
      </c>
      <c r="M4417" t="s">
        <v>10610</v>
      </c>
      <c r="N4417" t="s">
        <v>30</v>
      </c>
      <c r="O4417" t="s">
        <v>31</v>
      </c>
      <c r="P4417" t="str">
        <f>"15206"</f>
        <v>15206</v>
      </c>
    </row>
    <row r="4418" spans="1:16" x14ac:dyDescent="0.25">
      <c r="A4418" t="str">
        <f>"1110083H00105    00"</f>
        <v>1110083H00105    00</v>
      </c>
      <c r="B4418" t="s">
        <v>10611</v>
      </c>
      <c r="C4418" t="s">
        <v>10612</v>
      </c>
      <c r="E4418" t="s">
        <v>39</v>
      </c>
      <c r="F4418">
        <v>0</v>
      </c>
      <c r="G4418">
        <v>0</v>
      </c>
      <c r="H4418">
        <v>1</v>
      </c>
      <c r="I4418" s="3">
        <v>1151.8599999999999</v>
      </c>
      <c r="J4418" s="3">
        <v>316.75</v>
      </c>
      <c r="K4418" t="s">
        <v>484</v>
      </c>
      <c r="L4418">
        <v>3001</v>
      </c>
      <c r="M4418" t="s">
        <v>330</v>
      </c>
      <c r="N4418" t="s">
        <v>331</v>
      </c>
      <c r="O4418" t="s">
        <v>108</v>
      </c>
      <c r="P4418" t="str">
        <f>"75063"</f>
        <v>75063</v>
      </c>
    </row>
    <row r="4419" spans="1:16" x14ac:dyDescent="0.25">
      <c r="A4419" t="str">
        <f>"1110083H00136    00"</f>
        <v>1110083H00136    00</v>
      </c>
      <c r="B4419" t="s">
        <v>7558</v>
      </c>
      <c r="C4419" t="s">
        <v>10613</v>
      </c>
      <c r="D4419" t="s">
        <v>20</v>
      </c>
      <c r="E4419" t="s">
        <v>39</v>
      </c>
      <c r="F4419">
        <v>0</v>
      </c>
      <c r="G4419">
        <v>0</v>
      </c>
      <c r="H4419">
        <v>2</v>
      </c>
      <c r="I4419" s="3">
        <v>2363.44</v>
      </c>
      <c r="J4419" s="3">
        <v>0</v>
      </c>
      <c r="M4419" t="s">
        <v>7557</v>
      </c>
      <c r="N4419" t="s">
        <v>30</v>
      </c>
      <c r="O4419" t="s">
        <v>31</v>
      </c>
      <c r="P4419" t="str">
        <f>"15239"</f>
        <v>15239</v>
      </c>
    </row>
    <row r="4420" spans="1:16" x14ac:dyDescent="0.25">
      <c r="A4420" t="str">
        <f>"1110083H00138    00"</f>
        <v>1110083H00138    00</v>
      </c>
      <c r="B4420" t="s">
        <v>10614</v>
      </c>
      <c r="C4420" t="s">
        <v>10615</v>
      </c>
      <c r="E4420" t="s">
        <v>39</v>
      </c>
      <c r="F4420">
        <v>0</v>
      </c>
      <c r="G4420">
        <v>0</v>
      </c>
      <c r="H4420">
        <v>1</v>
      </c>
      <c r="I4420" s="3">
        <v>768.76</v>
      </c>
      <c r="J4420" s="3">
        <v>0</v>
      </c>
      <c r="K4420" t="s">
        <v>10616</v>
      </c>
      <c r="L4420">
        <v>8</v>
      </c>
      <c r="M4420" t="s">
        <v>10617</v>
      </c>
      <c r="N4420" t="s">
        <v>10618</v>
      </c>
      <c r="O4420" t="s">
        <v>200</v>
      </c>
      <c r="P4420" t="str">
        <f>"12205"</f>
        <v>12205</v>
      </c>
    </row>
    <row r="4421" spans="1:16" x14ac:dyDescent="0.25">
      <c r="A4421" t="str">
        <f>"1110083H00139    00"</f>
        <v>1110083H00139    00</v>
      </c>
      <c r="B4421" t="s">
        <v>10619</v>
      </c>
      <c r="C4421" t="s">
        <v>10620</v>
      </c>
      <c r="E4421" t="s">
        <v>39</v>
      </c>
      <c r="F4421">
        <v>0</v>
      </c>
      <c r="G4421">
        <v>0</v>
      </c>
      <c r="H4421">
        <v>2</v>
      </c>
      <c r="I4421" s="3">
        <v>4600.66</v>
      </c>
      <c r="J4421" s="3">
        <v>314.01</v>
      </c>
      <c r="K4421" t="s">
        <v>5073</v>
      </c>
      <c r="L4421">
        <v>3001</v>
      </c>
      <c r="M4421" t="s">
        <v>330</v>
      </c>
      <c r="N4421" t="s">
        <v>331</v>
      </c>
      <c r="O4421" t="s">
        <v>108</v>
      </c>
      <c r="P4421" t="str">
        <f>"75063"</f>
        <v>75063</v>
      </c>
    </row>
    <row r="4422" spans="1:16" x14ac:dyDescent="0.25">
      <c r="A4422" t="str">
        <f>"1110083H00146    00"</f>
        <v>1110083H00146    00</v>
      </c>
      <c r="B4422" t="s">
        <v>10621</v>
      </c>
      <c r="C4422" t="s">
        <v>10622</v>
      </c>
      <c r="D4422" t="s">
        <v>20</v>
      </c>
      <c r="E4422" t="s">
        <v>39</v>
      </c>
      <c r="F4422">
        <v>0</v>
      </c>
      <c r="G4422">
        <v>0</v>
      </c>
      <c r="H4422">
        <v>2</v>
      </c>
      <c r="I4422" s="3">
        <v>1723.02</v>
      </c>
      <c r="J4422" s="3">
        <v>0</v>
      </c>
      <c r="K4422" t="s">
        <v>1030</v>
      </c>
      <c r="M4422" t="s">
        <v>1031</v>
      </c>
      <c r="N4422" t="s">
        <v>1032</v>
      </c>
      <c r="O4422" t="s">
        <v>25</v>
      </c>
      <c r="P4422" t="str">
        <f>"44711"</f>
        <v>44711</v>
      </c>
    </row>
    <row r="4423" spans="1:16" x14ac:dyDescent="0.25">
      <c r="A4423" t="str">
        <f>"1110083H00148    00"</f>
        <v>1110083H00148    00</v>
      </c>
      <c r="B4423" t="s">
        <v>10623</v>
      </c>
      <c r="C4423" t="s">
        <v>10624</v>
      </c>
      <c r="D4423" t="s">
        <v>20</v>
      </c>
      <c r="E4423" t="s">
        <v>39</v>
      </c>
      <c r="F4423">
        <v>0</v>
      </c>
      <c r="G4423">
        <v>0</v>
      </c>
      <c r="H4423">
        <v>2</v>
      </c>
      <c r="I4423" s="3">
        <v>3931.83</v>
      </c>
      <c r="J4423" s="3">
        <v>196.66</v>
      </c>
      <c r="K4423" t="s">
        <v>10625</v>
      </c>
      <c r="L4423">
        <v>175</v>
      </c>
      <c r="M4423" t="s">
        <v>10626</v>
      </c>
      <c r="N4423" t="s">
        <v>199</v>
      </c>
      <c r="O4423" t="s">
        <v>200</v>
      </c>
      <c r="P4423" t="str">
        <f>"10007"</f>
        <v>10007</v>
      </c>
    </row>
    <row r="4424" spans="1:16" x14ac:dyDescent="0.25">
      <c r="A4424" t="str">
        <f>"1110083H00158    00"</f>
        <v>1110083H00158    00</v>
      </c>
      <c r="B4424" t="s">
        <v>10627</v>
      </c>
      <c r="C4424" t="s">
        <v>10628</v>
      </c>
      <c r="E4424" t="s">
        <v>39</v>
      </c>
      <c r="F4424">
        <v>0</v>
      </c>
      <c r="G4424">
        <v>0</v>
      </c>
      <c r="H4424">
        <v>1</v>
      </c>
      <c r="I4424" s="3">
        <v>1707.16</v>
      </c>
      <c r="J4424" s="3">
        <v>469.45</v>
      </c>
      <c r="K4424" t="s">
        <v>5692</v>
      </c>
      <c r="M4424" t="s">
        <v>9980</v>
      </c>
      <c r="N4424" t="s">
        <v>9967</v>
      </c>
      <c r="O4424" t="s">
        <v>692</v>
      </c>
      <c r="P4424" t="str">
        <f>"23058"</f>
        <v>23058</v>
      </c>
    </row>
    <row r="4425" spans="1:16" x14ac:dyDescent="0.25">
      <c r="A4425" t="str">
        <f>"1110083H00172    00"</f>
        <v>1110083H00172    00</v>
      </c>
      <c r="B4425" t="s">
        <v>10629</v>
      </c>
      <c r="C4425" t="s">
        <v>10630</v>
      </c>
      <c r="E4425" t="s">
        <v>39</v>
      </c>
      <c r="F4425">
        <v>0</v>
      </c>
      <c r="G4425">
        <v>0</v>
      </c>
      <c r="H4425">
        <v>1</v>
      </c>
      <c r="I4425" s="3">
        <v>1884.43</v>
      </c>
      <c r="J4425" s="3">
        <v>596.71</v>
      </c>
      <c r="L4425">
        <v>5462</v>
      </c>
      <c r="M4425" t="s">
        <v>10631</v>
      </c>
      <c r="N4425" t="s">
        <v>30</v>
      </c>
      <c r="O4425" t="s">
        <v>31</v>
      </c>
      <c r="P4425" t="str">
        <f>"15217"</f>
        <v>15217</v>
      </c>
    </row>
    <row r="4426" spans="1:16" x14ac:dyDescent="0.25">
      <c r="A4426" t="str">
        <f>"1110083H00180    00"</f>
        <v>1110083H00180    00</v>
      </c>
      <c r="B4426" t="s">
        <v>10632</v>
      </c>
      <c r="C4426" t="s">
        <v>10633</v>
      </c>
      <c r="D4426" t="s">
        <v>20</v>
      </c>
      <c r="E4426" t="s">
        <v>39</v>
      </c>
      <c r="F4426">
        <v>0</v>
      </c>
      <c r="G4426">
        <v>0</v>
      </c>
      <c r="H4426">
        <v>1</v>
      </c>
      <c r="I4426" s="3">
        <v>2355.8200000000002</v>
      </c>
      <c r="J4426" s="3">
        <v>0</v>
      </c>
      <c r="K4426" t="s">
        <v>1435</v>
      </c>
      <c r="M4426" t="s">
        <v>271</v>
      </c>
      <c r="N4426" t="s">
        <v>272</v>
      </c>
      <c r="O4426" t="s">
        <v>273</v>
      </c>
      <c r="P4426" t="str">
        <f>"29603"</f>
        <v>29603</v>
      </c>
    </row>
    <row r="4427" spans="1:16" x14ac:dyDescent="0.25">
      <c r="A4427" t="str">
        <f>"1110083H00184    00"</f>
        <v>1110083H00184    00</v>
      </c>
      <c r="B4427" t="s">
        <v>10634</v>
      </c>
      <c r="C4427" t="s">
        <v>10635</v>
      </c>
      <c r="D4427" t="s">
        <v>20</v>
      </c>
      <c r="E4427" t="s">
        <v>39</v>
      </c>
      <c r="F4427">
        <v>0</v>
      </c>
      <c r="G4427">
        <v>0</v>
      </c>
      <c r="H4427">
        <v>2</v>
      </c>
      <c r="I4427" s="3">
        <v>5443.54</v>
      </c>
      <c r="J4427" s="3">
        <v>180.99</v>
      </c>
      <c r="K4427" t="s">
        <v>10636</v>
      </c>
      <c r="L4427">
        <v>6236</v>
      </c>
      <c r="M4427" t="s">
        <v>10637</v>
      </c>
      <c r="N4427" t="s">
        <v>30</v>
      </c>
      <c r="O4427" t="s">
        <v>31</v>
      </c>
      <c r="P4427" t="str">
        <f>"15232"</f>
        <v>15232</v>
      </c>
    </row>
    <row r="4428" spans="1:16" x14ac:dyDescent="0.25">
      <c r="A4428" t="str">
        <f>"1110083H00230    00"</f>
        <v>1110083H00230    00</v>
      </c>
      <c r="B4428" t="s">
        <v>10638</v>
      </c>
      <c r="C4428" t="s">
        <v>10639</v>
      </c>
      <c r="E4428" t="s">
        <v>39</v>
      </c>
      <c r="F4428">
        <v>0</v>
      </c>
      <c r="G4428">
        <v>0</v>
      </c>
      <c r="H4428">
        <v>1</v>
      </c>
      <c r="I4428" s="3">
        <v>39</v>
      </c>
      <c r="J4428" s="3">
        <v>26.97</v>
      </c>
      <c r="K4428" t="s">
        <v>759</v>
      </c>
      <c r="L4428">
        <v>3001</v>
      </c>
      <c r="M4428" t="s">
        <v>404</v>
      </c>
      <c r="N4428" t="s">
        <v>331</v>
      </c>
      <c r="O4428" t="s">
        <v>108</v>
      </c>
      <c r="P4428" t="str">
        <f>"75063"</f>
        <v>75063</v>
      </c>
    </row>
    <row r="4429" spans="1:16" x14ac:dyDescent="0.25">
      <c r="A4429" t="str">
        <f>"1110083H00232    00"</f>
        <v>1110083H00232    00</v>
      </c>
      <c r="B4429" t="s">
        <v>10640</v>
      </c>
      <c r="C4429" t="s">
        <v>10641</v>
      </c>
      <c r="E4429" t="s">
        <v>39</v>
      </c>
      <c r="F4429">
        <v>0</v>
      </c>
      <c r="G4429">
        <v>0</v>
      </c>
      <c r="H4429">
        <v>1</v>
      </c>
      <c r="I4429" s="3">
        <v>1664.83</v>
      </c>
      <c r="J4429" s="3">
        <v>332.94</v>
      </c>
      <c r="L4429">
        <v>823</v>
      </c>
      <c r="M4429" t="s">
        <v>10386</v>
      </c>
      <c r="N4429" t="s">
        <v>30</v>
      </c>
      <c r="O4429" t="s">
        <v>31</v>
      </c>
      <c r="P4429" t="str">
        <f>"15206"</f>
        <v>15206</v>
      </c>
    </row>
    <row r="4430" spans="1:16" x14ac:dyDescent="0.25">
      <c r="A4430" t="str">
        <f>"1110083H00238    00"</f>
        <v>1110083H00238    00</v>
      </c>
      <c r="B4430" t="s">
        <v>10642</v>
      </c>
      <c r="C4430" t="s">
        <v>10643</v>
      </c>
      <c r="D4430" t="s">
        <v>20</v>
      </c>
      <c r="E4430" t="s">
        <v>39</v>
      </c>
      <c r="F4430">
        <v>0</v>
      </c>
      <c r="G4430">
        <v>0</v>
      </c>
      <c r="H4430">
        <v>1</v>
      </c>
      <c r="I4430" s="3">
        <v>706.64</v>
      </c>
      <c r="J4430" s="3">
        <v>0</v>
      </c>
      <c r="M4430" t="s">
        <v>10644</v>
      </c>
      <c r="N4430" t="s">
        <v>30</v>
      </c>
      <c r="O4430" t="s">
        <v>31</v>
      </c>
      <c r="P4430" t="str">
        <f>"15206"</f>
        <v>15206</v>
      </c>
    </row>
    <row r="4431" spans="1:16" x14ac:dyDescent="0.25">
      <c r="A4431" t="str">
        <f>"1110083H00252    00"</f>
        <v>1110083H00252    00</v>
      </c>
      <c r="B4431" t="s">
        <v>10645</v>
      </c>
      <c r="C4431" t="s">
        <v>10646</v>
      </c>
      <c r="D4431" t="s">
        <v>57</v>
      </c>
      <c r="E4431" t="s">
        <v>39</v>
      </c>
      <c r="F4431">
        <v>0</v>
      </c>
      <c r="G4431">
        <v>0</v>
      </c>
      <c r="H4431">
        <v>1</v>
      </c>
      <c r="I4431" s="3">
        <v>3678.58</v>
      </c>
      <c r="J4431" s="3">
        <v>61.31</v>
      </c>
      <c r="K4431" t="s">
        <v>1135</v>
      </c>
      <c r="L4431">
        <v>3001</v>
      </c>
      <c r="M4431" t="s">
        <v>330</v>
      </c>
      <c r="N4431" t="s">
        <v>331</v>
      </c>
      <c r="O4431" t="s">
        <v>108</v>
      </c>
      <c r="P4431" t="str">
        <f>"75063"</f>
        <v>75063</v>
      </c>
    </row>
    <row r="4432" spans="1:16" x14ac:dyDescent="0.25">
      <c r="A4432" t="str">
        <f>"1110083H00253    00"</f>
        <v>1110083H00253    00</v>
      </c>
      <c r="B4432" t="s">
        <v>10647</v>
      </c>
      <c r="C4432" t="s">
        <v>10648</v>
      </c>
      <c r="D4432" t="s">
        <v>20</v>
      </c>
      <c r="E4432" t="s">
        <v>39</v>
      </c>
      <c r="F4432">
        <v>0</v>
      </c>
      <c r="G4432">
        <v>0</v>
      </c>
      <c r="H4432">
        <v>1</v>
      </c>
      <c r="I4432" s="3">
        <v>1284.6400000000001</v>
      </c>
      <c r="J4432" s="3">
        <v>0</v>
      </c>
      <c r="K4432" t="s">
        <v>10649</v>
      </c>
      <c r="L4432">
        <v>290</v>
      </c>
      <c r="M4432" t="s">
        <v>2002</v>
      </c>
      <c r="N4432" t="s">
        <v>30</v>
      </c>
      <c r="O4432" t="s">
        <v>31</v>
      </c>
      <c r="P4432" t="str">
        <f>"15205"</f>
        <v>15205</v>
      </c>
    </row>
    <row r="4433" spans="1:16" x14ac:dyDescent="0.25">
      <c r="A4433" t="str">
        <f>"1110083H00257    00"</f>
        <v>1110083H00257    00</v>
      </c>
      <c r="B4433" t="s">
        <v>10650</v>
      </c>
      <c r="C4433" t="s">
        <v>10651</v>
      </c>
      <c r="D4433" t="s">
        <v>20</v>
      </c>
      <c r="E4433" t="s">
        <v>39</v>
      </c>
      <c r="F4433">
        <v>0</v>
      </c>
      <c r="G4433">
        <v>0</v>
      </c>
      <c r="H4433">
        <v>1</v>
      </c>
      <c r="I4433" s="3">
        <v>22.8</v>
      </c>
      <c r="J4433" s="3">
        <v>0</v>
      </c>
      <c r="L4433">
        <v>388</v>
      </c>
      <c r="M4433" t="s">
        <v>10652</v>
      </c>
      <c r="N4433" t="s">
        <v>10653</v>
      </c>
      <c r="O4433" t="s">
        <v>31</v>
      </c>
      <c r="P4433" t="str">
        <f>"16242"</f>
        <v>16242</v>
      </c>
    </row>
    <row r="4434" spans="1:16" x14ac:dyDescent="0.25">
      <c r="A4434" t="str">
        <f>"1110083H00274    00"</f>
        <v>1110083H00274    00</v>
      </c>
      <c r="B4434" t="s">
        <v>10654</v>
      </c>
      <c r="C4434" t="s">
        <v>10655</v>
      </c>
      <c r="E4434" t="s">
        <v>39</v>
      </c>
      <c r="F4434">
        <v>0</v>
      </c>
      <c r="G4434">
        <v>0</v>
      </c>
      <c r="H4434">
        <v>1</v>
      </c>
      <c r="I4434" s="3">
        <v>56.86</v>
      </c>
      <c r="J4434" s="3">
        <v>18.010000000000002</v>
      </c>
      <c r="K4434" t="s">
        <v>391</v>
      </c>
      <c r="L4434">
        <v>1</v>
      </c>
      <c r="M4434" t="s">
        <v>392</v>
      </c>
      <c r="N4434" t="s">
        <v>393</v>
      </c>
      <c r="O4434" t="s">
        <v>394</v>
      </c>
      <c r="P4434" t="str">
        <f>"50328"</f>
        <v>50328</v>
      </c>
    </row>
    <row r="4435" spans="1:16" x14ac:dyDescent="0.25">
      <c r="A4435" t="str">
        <f>"1110083H00314    00"</f>
        <v>1110083H00314    00</v>
      </c>
      <c r="B4435" t="s">
        <v>10656</v>
      </c>
      <c r="C4435" t="s">
        <v>10657</v>
      </c>
      <c r="D4435" t="s">
        <v>20</v>
      </c>
      <c r="E4435" t="s">
        <v>39</v>
      </c>
      <c r="F4435">
        <v>0</v>
      </c>
      <c r="G4435">
        <v>0</v>
      </c>
      <c r="H4435">
        <v>2</v>
      </c>
      <c r="I4435" s="3">
        <v>112.95</v>
      </c>
      <c r="J4435" s="3">
        <v>0</v>
      </c>
      <c r="K4435" t="s">
        <v>10658</v>
      </c>
      <c r="M4435" t="s">
        <v>10659</v>
      </c>
      <c r="N4435" t="s">
        <v>10660</v>
      </c>
      <c r="O4435" t="s">
        <v>8605</v>
      </c>
      <c r="P4435" t="str">
        <f>"53072"</f>
        <v>53072</v>
      </c>
    </row>
    <row r="4436" spans="1:16" x14ac:dyDescent="0.25">
      <c r="A4436" t="str">
        <f>"1110083J00014    00"</f>
        <v>1110083J00014    00</v>
      </c>
      <c r="B4436" t="s">
        <v>10661</v>
      </c>
      <c r="C4436" t="s">
        <v>10662</v>
      </c>
      <c r="E4436" t="s">
        <v>39</v>
      </c>
      <c r="F4436">
        <v>0</v>
      </c>
      <c r="G4436">
        <v>0</v>
      </c>
      <c r="H4436">
        <v>2</v>
      </c>
      <c r="I4436" s="3">
        <v>6398.06</v>
      </c>
      <c r="J4436" s="3">
        <v>154.15</v>
      </c>
      <c r="K4436" t="s">
        <v>9285</v>
      </c>
      <c r="L4436">
        <v>901</v>
      </c>
      <c r="M4436" t="s">
        <v>1503</v>
      </c>
      <c r="N4436" t="s">
        <v>494</v>
      </c>
      <c r="O4436" t="s">
        <v>495</v>
      </c>
      <c r="P4436" t="str">
        <f>"91768"</f>
        <v>91768</v>
      </c>
    </row>
    <row r="4437" spans="1:16" x14ac:dyDescent="0.25">
      <c r="A4437" t="str">
        <f>"1110083J00015    00"</f>
        <v>1110083J00015    00</v>
      </c>
      <c r="B4437" t="s">
        <v>10663</v>
      </c>
      <c r="C4437" t="s">
        <v>10664</v>
      </c>
      <c r="D4437" t="s">
        <v>20</v>
      </c>
      <c r="E4437" t="s">
        <v>39</v>
      </c>
      <c r="F4437">
        <v>0</v>
      </c>
      <c r="G4437">
        <v>0</v>
      </c>
      <c r="H4437">
        <v>2</v>
      </c>
      <c r="I4437" s="3">
        <v>2279.62</v>
      </c>
      <c r="J4437" s="3">
        <v>0</v>
      </c>
      <c r="L4437">
        <v>5472</v>
      </c>
      <c r="M4437" t="s">
        <v>7975</v>
      </c>
      <c r="N4437" t="s">
        <v>30</v>
      </c>
      <c r="O4437" t="s">
        <v>31</v>
      </c>
      <c r="P4437" t="str">
        <f>"15206"</f>
        <v>15206</v>
      </c>
    </row>
    <row r="4438" spans="1:16" x14ac:dyDescent="0.25">
      <c r="A4438" t="str">
        <f>"1110083J00025    00"</f>
        <v>1110083J00025    00</v>
      </c>
      <c r="B4438" t="s">
        <v>10665</v>
      </c>
      <c r="C4438" t="s">
        <v>10666</v>
      </c>
      <c r="D4438" t="s">
        <v>20</v>
      </c>
      <c r="E4438" t="s">
        <v>39</v>
      </c>
      <c r="F4438">
        <v>0</v>
      </c>
      <c r="G4438">
        <v>0</v>
      </c>
      <c r="H4438">
        <v>11</v>
      </c>
      <c r="I4438" s="3">
        <v>14476.15</v>
      </c>
      <c r="J4438" s="3">
        <v>8328.4699999999993</v>
      </c>
      <c r="L4438">
        <v>733</v>
      </c>
      <c r="M4438" t="s">
        <v>10667</v>
      </c>
      <c r="N4438" t="s">
        <v>10668</v>
      </c>
      <c r="O4438" t="s">
        <v>200</v>
      </c>
      <c r="P4438" t="str">
        <f>"11590"</f>
        <v>11590</v>
      </c>
    </row>
    <row r="4439" spans="1:16" x14ac:dyDescent="0.25">
      <c r="A4439" t="str">
        <f>"1110083J00050    00"</f>
        <v>1110083J00050    00</v>
      </c>
      <c r="B4439" t="s">
        <v>10669</v>
      </c>
      <c r="C4439" t="s">
        <v>10670</v>
      </c>
      <c r="D4439" t="s">
        <v>20</v>
      </c>
      <c r="E4439" t="s">
        <v>39</v>
      </c>
      <c r="F4439">
        <v>0</v>
      </c>
      <c r="G4439">
        <v>0</v>
      </c>
      <c r="H4439">
        <v>3</v>
      </c>
      <c r="I4439" s="3">
        <v>523.29</v>
      </c>
      <c r="J4439" s="3">
        <v>47.45</v>
      </c>
      <c r="L4439">
        <v>5462</v>
      </c>
      <c r="M4439" t="s">
        <v>7962</v>
      </c>
      <c r="N4439" t="s">
        <v>30</v>
      </c>
      <c r="O4439" t="s">
        <v>31</v>
      </c>
      <c r="P4439" t="str">
        <f>"15206"</f>
        <v>15206</v>
      </c>
    </row>
    <row r="4440" spans="1:16" x14ac:dyDescent="0.25">
      <c r="A4440" t="str">
        <f>"1110083J00061    00"</f>
        <v>1110083J00061    00</v>
      </c>
      <c r="B4440" t="s">
        <v>10671</v>
      </c>
      <c r="C4440" t="s">
        <v>10672</v>
      </c>
      <c r="E4440" t="s">
        <v>39</v>
      </c>
      <c r="F4440">
        <v>0</v>
      </c>
      <c r="G4440">
        <v>0</v>
      </c>
      <c r="H4440">
        <v>3</v>
      </c>
      <c r="I4440" s="3">
        <v>4539.76</v>
      </c>
      <c r="J4440" s="3">
        <v>1429.68</v>
      </c>
      <c r="L4440">
        <v>235</v>
      </c>
      <c r="M4440" t="s">
        <v>10259</v>
      </c>
      <c r="N4440" t="s">
        <v>30</v>
      </c>
      <c r="O4440" t="s">
        <v>31</v>
      </c>
      <c r="P4440" t="str">
        <f>"15206"</f>
        <v>15206</v>
      </c>
    </row>
    <row r="4441" spans="1:16" x14ac:dyDescent="0.25">
      <c r="A4441" t="str">
        <f>"1110083J00066    00"</f>
        <v>1110083J00066    00</v>
      </c>
      <c r="B4441" t="s">
        <v>10673</v>
      </c>
      <c r="C4441" t="s">
        <v>10674</v>
      </c>
      <c r="D4441" t="s">
        <v>20</v>
      </c>
      <c r="E4441" t="s">
        <v>39</v>
      </c>
      <c r="F4441">
        <v>0</v>
      </c>
      <c r="G4441">
        <v>0</v>
      </c>
      <c r="H4441">
        <v>1</v>
      </c>
      <c r="I4441" s="3">
        <v>19.75</v>
      </c>
      <c r="J4441" s="3">
        <v>0</v>
      </c>
      <c r="M4441" t="s">
        <v>10675</v>
      </c>
      <c r="N4441" t="s">
        <v>2059</v>
      </c>
      <c r="O4441" t="s">
        <v>31</v>
      </c>
      <c r="P4441" t="str">
        <f>"15642"</f>
        <v>15642</v>
      </c>
    </row>
    <row r="4442" spans="1:16" x14ac:dyDescent="0.25">
      <c r="A4442" t="str">
        <f>"1110083J00154    00"</f>
        <v>1110083J00154    00</v>
      </c>
      <c r="B4442" t="s">
        <v>10255</v>
      </c>
      <c r="C4442" t="s">
        <v>10676</v>
      </c>
      <c r="D4442" t="s">
        <v>20</v>
      </c>
      <c r="E4442" t="s">
        <v>39</v>
      </c>
      <c r="F4442">
        <v>0</v>
      </c>
      <c r="G4442">
        <v>0</v>
      </c>
      <c r="H4442">
        <v>1</v>
      </c>
      <c r="I4442" s="3">
        <v>997.19</v>
      </c>
      <c r="J4442" s="3">
        <v>0</v>
      </c>
      <c r="L4442">
        <v>714</v>
      </c>
      <c r="M4442" t="s">
        <v>4114</v>
      </c>
      <c r="N4442" t="s">
        <v>30</v>
      </c>
      <c r="O4442" t="s">
        <v>31</v>
      </c>
      <c r="P4442" t="str">
        <f>"15206"</f>
        <v>15206</v>
      </c>
    </row>
    <row r="4443" spans="1:16" x14ac:dyDescent="0.25">
      <c r="A4443" t="str">
        <f>"1110083J00180    00"</f>
        <v>1110083J00180    00</v>
      </c>
      <c r="B4443" t="s">
        <v>10677</v>
      </c>
      <c r="C4443" t="s">
        <v>10678</v>
      </c>
      <c r="D4443" t="s">
        <v>20</v>
      </c>
      <c r="E4443" t="s">
        <v>39</v>
      </c>
      <c r="F4443">
        <v>0</v>
      </c>
      <c r="G4443">
        <v>0</v>
      </c>
      <c r="H4443">
        <v>2</v>
      </c>
      <c r="I4443" s="3">
        <v>1335.2</v>
      </c>
      <c r="J4443" s="3">
        <v>0</v>
      </c>
      <c r="L4443">
        <v>318</v>
      </c>
      <c r="M4443" t="s">
        <v>10259</v>
      </c>
      <c r="N4443" t="s">
        <v>30</v>
      </c>
      <c r="O4443" t="s">
        <v>31</v>
      </c>
      <c r="P4443" t="str">
        <f>"15206"</f>
        <v>15206</v>
      </c>
    </row>
    <row r="4444" spans="1:16" x14ac:dyDescent="0.25">
      <c r="A4444" t="str">
        <f>"1110083J00183    00"</f>
        <v>1110083J00183    00</v>
      </c>
      <c r="B4444" t="s">
        <v>10679</v>
      </c>
      <c r="C4444" t="s">
        <v>10398</v>
      </c>
      <c r="D4444" t="s">
        <v>20</v>
      </c>
      <c r="E4444" t="s">
        <v>39</v>
      </c>
      <c r="F4444">
        <v>0</v>
      </c>
      <c r="G4444">
        <v>0</v>
      </c>
      <c r="H4444">
        <v>4</v>
      </c>
      <c r="I4444" s="3">
        <v>2759.73</v>
      </c>
      <c r="J4444" s="3">
        <v>1339.65</v>
      </c>
      <c r="K4444" t="s">
        <v>10680</v>
      </c>
      <c r="M4444" t="s">
        <v>10681</v>
      </c>
      <c r="N4444" t="s">
        <v>30</v>
      </c>
      <c r="O4444" t="s">
        <v>31</v>
      </c>
      <c r="P4444" t="str">
        <f>"15206"</f>
        <v>15206</v>
      </c>
    </row>
    <row r="4445" spans="1:16" x14ac:dyDescent="0.25">
      <c r="A4445" t="str">
        <f>"1110083J00194    00"</f>
        <v>1110083J00194    00</v>
      </c>
      <c r="B4445" t="s">
        <v>10682</v>
      </c>
      <c r="C4445" t="s">
        <v>10683</v>
      </c>
      <c r="D4445" t="s">
        <v>20</v>
      </c>
      <c r="E4445" t="s">
        <v>39</v>
      </c>
      <c r="F4445">
        <v>0</v>
      </c>
      <c r="G4445">
        <v>0</v>
      </c>
      <c r="H4445">
        <v>1</v>
      </c>
      <c r="I4445" s="3">
        <v>111.7</v>
      </c>
      <c r="J4445" s="3">
        <v>0</v>
      </c>
      <c r="L4445">
        <v>5516</v>
      </c>
      <c r="M4445" t="s">
        <v>10684</v>
      </c>
      <c r="N4445" t="s">
        <v>30</v>
      </c>
      <c r="O4445" t="s">
        <v>31</v>
      </c>
      <c r="P4445" t="str">
        <f>"15206"</f>
        <v>15206</v>
      </c>
    </row>
    <row r="4446" spans="1:16" x14ac:dyDescent="0.25">
      <c r="A4446" t="str">
        <f>"1110083K00008    00"</f>
        <v>1110083K00008    00</v>
      </c>
      <c r="B4446" t="s">
        <v>10685</v>
      </c>
      <c r="C4446" t="s">
        <v>10686</v>
      </c>
      <c r="E4446" t="s">
        <v>39</v>
      </c>
      <c r="F4446">
        <v>0</v>
      </c>
      <c r="G4446">
        <v>0</v>
      </c>
      <c r="H4446">
        <v>1</v>
      </c>
      <c r="I4446" s="3">
        <v>92.25</v>
      </c>
      <c r="J4446" s="3">
        <v>1.54</v>
      </c>
      <c r="K4446" t="s">
        <v>1502</v>
      </c>
      <c r="L4446">
        <v>901</v>
      </c>
      <c r="M4446" t="s">
        <v>1503</v>
      </c>
      <c r="N4446" t="s">
        <v>494</v>
      </c>
      <c r="O4446" t="s">
        <v>495</v>
      </c>
      <c r="P4446" t="str">
        <f>"91768"</f>
        <v>91768</v>
      </c>
    </row>
    <row r="4447" spans="1:16" x14ac:dyDescent="0.25">
      <c r="A4447" t="str">
        <f>"1110083K00061    00"</f>
        <v>1110083K00061    00</v>
      </c>
      <c r="B4447" t="s">
        <v>5881</v>
      </c>
      <c r="C4447" t="s">
        <v>10687</v>
      </c>
      <c r="E4447" t="s">
        <v>21</v>
      </c>
      <c r="F4447">
        <v>0</v>
      </c>
      <c r="G4447">
        <v>0</v>
      </c>
      <c r="H4447">
        <v>1</v>
      </c>
      <c r="I4447" s="3">
        <v>284.11</v>
      </c>
      <c r="J4447" s="3">
        <v>11.85</v>
      </c>
      <c r="K4447" t="s">
        <v>5883</v>
      </c>
      <c r="M4447" t="s">
        <v>5884</v>
      </c>
      <c r="N4447" t="s">
        <v>30</v>
      </c>
      <c r="O4447" t="s">
        <v>31</v>
      </c>
      <c r="P4447" t="str">
        <f>"15235"</f>
        <v>15235</v>
      </c>
    </row>
    <row r="4448" spans="1:16" x14ac:dyDescent="0.25">
      <c r="A4448" t="str">
        <f>"1110083K00075    00"</f>
        <v>1110083K00075    00</v>
      </c>
      <c r="B4448" t="s">
        <v>10688</v>
      </c>
      <c r="C4448" t="s">
        <v>10689</v>
      </c>
      <c r="E4448" t="s">
        <v>39</v>
      </c>
      <c r="F4448">
        <v>0</v>
      </c>
      <c r="G4448">
        <v>0</v>
      </c>
      <c r="H4448">
        <v>1</v>
      </c>
      <c r="I4448" s="3">
        <v>953.17</v>
      </c>
      <c r="J4448" s="3">
        <v>285.93</v>
      </c>
      <c r="L4448">
        <v>5747</v>
      </c>
      <c r="M4448" t="s">
        <v>10690</v>
      </c>
      <c r="N4448" t="s">
        <v>5232</v>
      </c>
      <c r="O4448" t="s">
        <v>3486</v>
      </c>
      <c r="P4448" t="str">
        <f>"60660"</f>
        <v>60660</v>
      </c>
    </row>
    <row r="4449" spans="1:16" x14ac:dyDescent="0.25">
      <c r="A4449" t="str">
        <f>"1110083K00078    00"</f>
        <v>1110083K00078    00</v>
      </c>
      <c r="B4449" t="s">
        <v>10691</v>
      </c>
      <c r="C4449" t="s">
        <v>10692</v>
      </c>
      <c r="E4449" t="s">
        <v>39</v>
      </c>
      <c r="F4449">
        <v>0</v>
      </c>
      <c r="G4449">
        <v>0</v>
      </c>
      <c r="H4449">
        <v>1</v>
      </c>
      <c r="I4449" s="3">
        <v>441.78</v>
      </c>
      <c r="J4449" s="3">
        <v>88.35</v>
      </c>
      <c r="K4449" t="s">
        <v>10693</v>
      </c>
      <c r="L4449">
        <v>3336</v>
      </c>
      <c r="M4449" t="s">
        <v>10694</v>
      </c>
      <c r="N4449" t="s">
        <v>30</v>
      </c>
      <c r="O4449" t="s">
        <v>31</v>
      </c>
      <c r="P4449" t="str">
        <f>"15237"</f>
        <v>15237</v>
      </c>
    </row>
    <row r="4450" spans="1:16" x14ac:dyDescent="0.25">
      <c r="A4450" t="str">
        <f>"1110083K00087    00"</f>
        <v>1110083K00087    00</v>
      </c>
      <c r="B4450" t="s">
        <v>10695</v>
      </c>
      <c r="C4450" t="s">
        <v>10696</v>
      </c>
      <c r="D4450" t="s">
        <v>20</v>
      </c>
      <c r="E4450" t="s">
        <v>39</v>
      </c>
      <c r="F4450">
        <v>0</v>
      </c>
      <c r="G4450">
        <v>0</v>
      </c>
      <c r="H4450">
        <v>4</v>
      </c>
      <c r="I4450" s="3">
        <v>3593.13</v>
      </c>
      <c r="J4450" s="3">
        <v>242.54</v>
      </c>
      <c r="L4450">
        <v>6925</v>
      </c>
      <c r="M4450" t="s">
        <v>2350</v>
      </c>
      <c r="N4450" t="s">
        <v>30</v>
      </c>
      <c r="O4450" t="s">
        <v>31</v>
      </c>
      <c r="P4450" t="str">
        <f>"15208"</f>
        <v>15208</v>
      </c>
    </row>
    <row r="4451" spans="1:16" x14ac:dyDescent="0.25">
      <c r="A4451" t="str">
        <f>"1110083K00107    00"</f>
        <v>1110083K00107    00</v>
      </c>
      <c r="B4451" t="s">
        <v>10599</v>
      </c>
      <c r="C4451" t="s">
        <v>10697</v>
      </c>
      <c r="D4451" t="s">
        <v>20</v>
      </c>
      <c r="E4451" t="s">
        <v>39</v>
      </c>
      <c r="F4451">
        <v>0</v>
      </c>
      <c r="G4451">
        <v>0</v>
      </c>
      <c r="H4451">
        <v>14</v>
      </c>
      <c r="I4451" s="3">
        <v>11007.96</v>
      </c>
      <c r="J4451" s="3">
        <v>4344.9799999999996</v>
      </c>
      <c r="K4451" t="s">
        <v>10601</v>
      </c>
      <c r="L4451">
        <v>211</v>
      </c>
      <c r="M4451" t="s">
        <v>10602</v>
      </c>
      <c r="N4451" t="s">
        <v>30</v>
      </c>
      <c r="O4451" t="s">
        <v>31</v>
      </c>
      <c r="P4451" t="str">
        <f>"15206"</f>
        <v>15206</v>
      </c>
    </row>
    <row r="4452" spans="1:16" x14ac:dyDescent="0.25">
      <c r="A4452" t="str">
        <f>"1110083K00107A   00"</f>
        <v>1110083K00107A   00</v>
      </c>
      <c r="B4452" t="s">
        <v>10698</v>
      </c>
      <c r="C4452" t="s">
        <v>10699</v>
      </c>
      <c r="D4452" t="s">
        <v>20</v>
      </c>
      <c r="E4452" t="s">
        <v>39</v>
      </c>
      <c r="F4452">
        <v>0</v>
      </c>
      <c r="G4452">
        <v>0</v>
      </c>
      <c r="H4452">
        <v>14</v>
      </c>
      <c r="I4452" s="3">
        <v>474.32</v>
      </c>
      <c r="J4452" s="3">
        <v>16.91</v>
      </c>
      <c r="L4452">
        <v>5634</v>
      </c>
      <c r="M4452" t="s">
        <v>10700</v>
      </c>
      <c r="N4452" t="s">
        <v>30</v>
      </c>
      <c r="O4452" t="s">
        <v>31</v>
      </c>
      <c r="P4452" t="str">
        <f>"15206"</f>
        <v>15206</v>
      </c>
    </row>
    <row r="4453" spans="1:16" x14ac:dyDescent="0.25">
      <c r="A4453" t="str">
        <f>"1110083K00108    00"</f>
        <v>1110083K00108    00</v>
      </c>
      <c r="B4453" t="s">
        <v>10701</v>
      </c>
      <c r="C4453" t="s">
        <v>10702</v>
      </c>
      <c r="D4453" t="s">
        <v>20</v>
      </c>
      <c r="E4453" t="s">
        <v>39</v>
      </c>
      <c r="F4453">
        <v>0</v>
      </c>
      <c r="G4453">
        <v>0</v>
      </c>
      <c r="H4453">
        <v>9</v>
      </c>
      <c r="I4453" s="3">
        <v>5584.62</v>
      </c>
      <c r="J4453" s="3">
        <v>1958.56</v>
      </c>
      <c r="L4453">
        <v>5632</v>
      </c>
      <c r="M4453" t="s">
        <v>10700</v>
      </c>
      <c r="N4453" t="s">
        <v>30</v>
      </c>
      <c r="O4453" t="s">
        <v>31</v>
      </c>
      <c r="P4453" t="str">
        <f>"15206"</f>
        <v>15206</v>
      </c>
    </row>
    <row r="4454" spans="1:16" x14ac:dyDescent="0.25">
      <c r="A4454" t="str">
        <f>"1110083K00108A   00"</f>
        <v>1110083K00108A   00</v>
      </c>
      <c r="B4454" t="s">
        <v>10701</v>
      </c>
      <c r="C4454" t="s">
        <v>10699</v>
      </c>
      <c r="D4454" t="s">
        <v>20</v>
      </c>
      <c r="E4454" t="s">
        <v>39</v>
      </c>
      <c r="F4454">
        <v>0</v>
      </c>
      <c r="G4454">
        <v>0</v>
      </c>
      <c r="H4454">
        <v>18</v>
      </c>
      <c r="I4454" s="3">
        <v>676.42</v>
      </c>
      <c r="J4454" s="3">
        <v>579.24</v>
      </c>
      <c r="L4454">
        <v>821</v>
      </c>
      <c r="M4454" t="s">
        <v>10703</v>
      </c>
      <c r="N4454" t="s">
        <v>30</v>
      </c>
      <c r="O4454" t="s">
        <v>31</v>
      </c>
      <c r="P4454" t="str">
        <f>"15206"</f>
        <v>15206</v>
      </c>
    </row>
    <row r="4455" spans="1:16" x14ac:dyDescent="0.25">
      <c r="A4455" t="str">
        <f>"1110083K00123    00"</f>
        <v>1110083K00123    00</v>
      </c>
      <c r="B4455" t="s">
        <v>10704</v>
      </c>
      <c r="C4455" t="s">
        <v>10705</v>
      </c>
      <c r="D4455" t="s">
        <v>20</v>
      </c>
      <c r="E4455" t="s">
        <v>39</v>
      </c>
      <c r="F4455">
        <v>0</v>
      </c>
      <c r="G4455">
        <v>0</v>
      </c>
      <c r="H4455">
        <v>1</v>
      </c>
      <c r="I4455" s="3">
        <v>2721.77</v>
      </c>
      <c r="J4455" s="3">
        <v>0</v>
      </c>
      <c r="K4455" t="s">
        <v>10706</v>
      </c>
      <c r="L4455">
        <v>3530</v>
      </c>
      <c r="M4455" t="s">
        <v>10707</v>
      </c>
      <c r="N4455" t="s">
        <v>1412</v>
      </c>
      <c r="O4455" t="s">
        <v>1413</v>
      </c>
      <c r="P4455" t="str">
        <f>"28277"</f>
        <v>28277</v>
      </c>
    </row>
    <row r="4456" spans="1:16" x14ac:dyDescent="0.25">
      <c r="A4456" t="str">
        <f>"1110083K00137    00"</f>
        <v>1110083K00137    00</v>
      </c>
      <c r="B4456" t="s">
        <v>10708</v>
      </c>
      <c r="C4456" t="s">
        <v>10709</v>
      </c>
      <c r="D4456" t="s">
        <v>20</v>
      </c>
      <c r="E4456" t="s">
        <v>39</v>
      </c>
      <c r="F4456">
        <v>0</v>
      </c>
      <c r="G4456">
        <v>0</v>
      </c>
      <c r="H4456">
        <v>3</v>
      </c>
      <c r="I4456" s="3">
        <v>3475.31</v>
      </c>
      <c r="J4456" s="3">
        <v>243.51</v>
      </c>
      <c r="L4456">
        <v>5706</v>
      </c>
      <c r="M4456" t="s">
        <v>10710</v>
      </c>
      <c r="N4456" t="s">
        <v>30</v>
      </c>
      <c r="O4456" t="s">
        <v>31</v>
      </c>
      <c r="P4456" t="str">
        <f>"15206"</f>
        <v>15206</v>
      </c>
    </row>
    <row r="4457" spans="1:16" x14ac:dyDescent="0.25">
      <c r="A4457" t="str">
        <f>"1110083K00161    00"</f>
        <v>1110083K00161    00</v>
      </c>
      <c r="B4457" t="s">
        <v>10711</v>
      </c>
      <c r="C4457" t="s">
        <v>10712</v>
      </c>
      <c r="D4457" t="s">
        <v>20</v>
      </c>
      <c r="E4457" t="s">
        <v>39</v>
      </c>
      <c r="F4457">
        <v>0</v>
      </c>
      <c r="G4457">
        <v>0</v>
      </c>
      <c r="H4457">
        <v>1</v>
      </c>
      <c r="I4457" s="3">
        <v>4473.3900000000003</v>
      </c>
      <c r="J4457" s="3">
        <v>0</v>
      </c>
      <c r="K4457" t="s">
        <v>10713</v>
      </c>
      <c r="L4457">
        <v>418</v>
      </c>
      <c r="M4457" t="s">
        <v>9934</v>
      </c>
      <c r="N4457" t="s">
        <v>30</v>
      </c>
      <c r="O4457" t="s">
        <v>31</v>
      </c>
      <c r="P4457" t="str">
        <f>"15206"</f>
        <v>15206</v>
      </c>
    </row>
    <row r="4458" spans="1:16" x14ac:dyDescent="0.25">
      <c r="A4458" t="str">
        <f>"1110083K00167    00"</f>
        <v>1110083K00167    00</v>
      </c>
      <c r="B4458" t="s">
        <v>10714</v>
      </c>
      <c r="C4458" t="s">
        <v>10715</v>
      </c>
      <c r="D4458" t="s">
        <v>20</v>
      </c>
      <c r="E4458" t="s">
        <v>39</v>
      </c>
      <c r="F4458">
        <v>0</v>
      </c>
      <c r="G4458">
        <v>0</v>
      </c>
      <c r="H4458">
        <v>2</v>
      </c>
      <c r="I4458" s="3">
        <v>2276.9899999999998</v>
      </c>
      <c r="J4458" s="3">
        <v>0</v>
      </c>
      <c r="L4458">
        <v>419</v>
      </c>
      <c r="M4458" t="s">
        <v>9937</v>
      </c>
      <c r="N4458" t="s">
        <v>30</v>
      </c>
      <c r="O4458" t="s">
        <v>31</v>
      </c>
      <c r="P4458" t="str">
        <f>"15206"</f>
        <v>15206</v>
      </c>
    </row>
    <row r="4459" spans="1:16" x14ac:dyDescent="0.25">
      <c r="A4459" t="str">
        <f>"1110083K00234    00"</f>
        <v>1110083K00234    00</v>
      </c>
      <c r="B4459" t="s">
        <v>10716</v>
      </c>
      <c r="C4459" t="s">
        <v>10717</v>
      </c>
      <c r="D4459" t="s">
        <v>20</v>
      </c>
      <c r="E4459" t="s">
        <v>39</v>
      </c>
      <c r="F4459">
        <v>0</v>
      </c>
      <c r="G4459">
        <v>0</v>
      </c>
      <c r="H4459">
        <v>3</v>
      </c>
      <c r="I4459" s="3">
        <v>7610.7</v>
      </c>
      <c r="J4459" s="3">
        <v>169.13</v>
      </c>
      <c r="K4459" t="s">
        <v>1632</v>
      </c>
      <c r="L4459">
        <v>3001</v>
      </c>
      <c r="M4459" t="s">
        <v>330</v>
      </c>
      <c r="N4459" t="s">
        <v>331</v>
      </c>
      <c r="O4459" t="s">
        <v>108</v>
      </c>
      <c r="P4459" t="str">
        <f>"75063"</f>
        <v>75063</v>
      </c>
    </row>
    <row r="4460" spans="1:16" x14ac:dyDescent="0.25">
      <c r="A4460" t="str">
        <f>"1110083K00235    00"</f>
        <v>1110083K00235    00</v>
      </c>
      <c r="B4460" t="s">
        <v>10718</v>
      </c>
      <c r="C4460" t="s">
        <v>10719</v>
      </c>
      <c r="D4460" t="s">
        <v>20</v>
      </c>
      <c r="E4460" t="s">
        <v>39</v>
      </c>
      <c r="F4460">
        <v>0</v>
      </c>
      <c r="G4460">
        <v>0</v>
      </c>
      <c r="H4460">
        <v>1</v>
      </c>
      <c r="I4460" s="3">
        <v>400</v>
      </c>
      <c r="J4460" s="3">
        <v>0</v>
      </c>
      <c r="L4460">
        <v>5802</v>
      </c>
      <c r="M4460" t="s">
        <v>10710</v>
      </c>
      <c r="N4460" t="s">
        <v>30</v>
      </c>
      <c r="O4460" t="s">
        <v>31</v>
      </c>
      <c r="P4460" t="str">
        <f>"15206"</f>
        <v>15206</v>
      </c>
    </row>
    <row r="4461" spans="1:16" x14ac:dyDescent="0.25">
      <c r="A4461" t="str">
        <f>"1110083K00248    00"</f>
        <v>1110083K00248    00</v>
      </c>
      <c r="B4461" t="s">
        <v>10720</v>
      </c>
      <c r="C4461" t="s">
        <v>10721</v>
      </c>
      <c r="D4461" t="s">
        <v>20</v>
      </c>
      <c r="E4461" t="s">
        <v>39</v>
      </c>
      <c r="F4461">
        <v>0</v>
      </c>
      <c r="G4461">
        <v>0</v>
      </c>
      <c r="H4461">
        <v>1</v>
      </c>
      <c r="I4461" s="3">
        <v>495.95</v>
      </c>
      <c r="J4461" s="3">
        <v>0</v>
      </c>
      <c r="L4461">
        <v>5818</v>
      </c>
      <c r="M4461" t="s">
        <v>10710</v>
      </c>
      <c r="N4461" t="s">
        <v>30</v>
      </c>
      <c r="O4461" t="s">
        <v>31</v>
      </c>
      <c r="P4461" t="str">
        <f>"15206"</f>
        <v>15206</v>
      </c>
    </row>
    <row r="4462" spans="1:16" x14ac:dyDescent="0.25">
      <c r="A4462" t="str">
        <f>"1110083K00252    00"</f>
        <v>1110083K00252    00</v>
      </c>
      <c r="B4462" t="s">
        <v>10722</v>
      </c>
      <c r="C4462" t="s">
        <v>10723</v>
      </c>
      <c r="E4462" t="s">
        <v>39</v>
      </c>
      <c r="F4462">
        <v>0</v>
      </c>
      <c r="G4462">
        <v>0</v>
      </c>
      <c r="H4462">
        <v>1</v>
      </c>
      <c r="I4462" s="3">
        <v>1530.82</v>
      </c>
      <c r="J4462" s="3">
        <v>420.96</v>
      </c>
      <c r="K4462" t="s">
        <v>6511</v>
      </c>
      <c r="L4462">
        <v>4270</v>
      </c>
      <c r="M4462" t="s">
        <v>7413</v>
      </c>
      <c r="N4462" t="s">
        <v>264</v>
      </c>
      <c r="O4462" t="s">
        <v>25</v>
      </c>
      <c r="P4462" t="str">
        <f>"45245"</f>
        <v>45245</v>
      </c>
    </row>
    <row r="4463" spans="1:16" x14ac:dyDescent="0.25">
      <c r="A4463" t="str">
        <f>"1110083K00253    00"</f>
        <v>1110083K00253    00</v>
      </c>
      <c r="B4463" t="s">
        <v>10722</v>
      </c>
      <c r="C4463" t="s">
        <v>10724</v>
      </c>
      <c r="E4463" t="s">
        <v>39</v>
      </c>
      <c r="F4463">
        <v>0</v>
      </c>
      <c r="G4463">
        <v>0</v>
      </c>
      <c r="H4463">
        <v>1</v>
      </c>
      <c r="I4463" s="3">
        <v>166.97</v>
      </c>
      <c r="J4463" s="3">
        <v>45.9</v>
      </c>
      <c r="K4463" t="s">
        <v>6511</v>
      </c>
      <c r="L4463">
        <v>4270</v>
      </c>
      <c r="M4463" t="s">
        <v>7413</v>
      </c>
      <c r="N4463" t="s">
        <v>264</v>
      </c>
      <c r="O4463" t="s">
        <v>25</v>
      </c>
      <c r="P4463" t="str">
        <f>"45245"</f>
        <v>45245</v>
      </c>
    </row>
    <row r="4464" spans="1:16" x14ac:dyDescent="0.25">
      <c r="A4464" t="str">
        <f>"1110083K00264    00"</f>
        <v>1110083K00264    00</v>
      </c>
      <c r="B4464" t="s">
        <v>10725</v>
      </c>
      <c r="C4464" t="s">
        <v>10726</v>
      </c>
      <c r="D4464" t="s">
        <v>20</v>
      </c>
      <c r="E4464" t="s">
        <v>39</v>
      </c>
      <c r="F4464">
        <v>0</v>
      </c>
      <c r="G4464">
        <v>0</v>
      </c>
      <c r="H4464">
        <v>2</v>
      </c>
      <c r="I4464" s="3">
        <v>1095.67</v>
      </c>
      <c r="J4464" s="3">
        <v>128.5</v>
      </c>
      <c r="L4464">
        <v>406</v>
      </c>
      <c r="M4464" t="s">
        <v>10574</v>
      </c>
      <c r="N4464" t="s">
        <v>30</v>
      </c>
      <c r="O4464" t="s">
        <v>31</v>
      </c>
      <c r="P4464" t="str">
        <f>"15206"</f>
        <v>15206</v>
      </c>
    </row>
    <row r="4465" spans="1:16" x14ac:dyDescent="0.25">
      <c r="A4465" t="str">
        <f>"1110083K00291    00"</f>
        <v>1110083K00291    00</v>
      </c>
      <c r="B4465" t="s">
        <v>10727</v>
      </c>
      <c r="C4465" t="s">
        <v>10728</v>
      </c>
      <c r="E4465" t="s">
        <v>39</v>
      </c>
      <c r="F4465">
        <v>0</v>
      </c>
      <c r="G4465">
        <v>0</v>
      </c>
      <c r="H4465">
        <v>1</v>
      </c>
      <c r="I4465" s="3">
        <v>1882.62</v>
      </c>
      <c r="J4465" s="3">
        <v>753.01</v>
      </c>
      <c r="L4465">
        <v>4735</v>
      </c>
      <c r="M4465" t="s">
        <v>841</v>
      </c>
      <c r="N4465" t="s">
        <v>30</v>
      </c>
      <c r="O4465" t="s">
        <v>31</v>
      </c>
      <c r="P4465" t="str">
        <f>"15201"</f>
        <v>15201</v>
      </c>
    </row>
    <row r="4466" spans="1:16" x14ac:dyDescent="0.25">
      <c r="A4466" t="str">
        <f>"1110083K00294    00"</f>
        <v>1110083K00294    00</v>
      </c>
      <c r="B4466" t="s">
        <v>10729</v>
      </c>
      <c r="C4466" t="s">
        <v>10730</v>
      </c>
      <c r="E4466" t="s">
        <v>39</v>
      </c>
      <c r="F4466">
        <v>0</v>
      </c>
      <c r="G4466">
        <v>0</v>
      </c>
      <c r="H4466">
        <v>1</v>
      </c>
      <c r="I4466" s="3">
        <v>621.99</v>
      </c>
      <c r="J4466" s="3">
        <v>0</v>
      </c>
      <c r="L4466">
        <v>415</v>
      </c>
      <c r="M4466" t="s">
        <v>10574</v>
      </c>
      <c r="N4466" t="s">
        <v>30</v>
      </c>
      <c r="O4466" t="s">
        <v>31</v>
      </c>
      <c r="P4466" t="str">
        <f>"15206"</f>
        <v>15206</v>
      </c>
    </row>
    <row r="4467" spans="1:16" x14ac:dyDescent="0.25">
      <c r="A4467" t="str">
        <f>"1110083K00316    00"</f>
        <v>1110083K00316    00</v>
      </c>
      <c r="B4467" t="s">
        <v>10731</v>
      </c>
      <c r="C4467" t="s">
        <v>10732</v>
      </c>
      <c r="E4467" t="s">
        <v>21</v>
      </c>
      <c r="F4467">
        <v>0</v>
      </c>
      <c r="G4467">
        <v>0</v>
      </c>
      <c r="H4467">
        <v>2</v>
      </c>
      <c r="I4467" s="3">
        <v>2920.06</v>
      </c>
      <c r="J4467" s="3">
        <v>119.28</v>
      </c>
      <c r="L4467">
        <v>170</v>
      </c>
      <c r="M4467" t="s">
        <v>7527</v>
      </c>
      <c r="N4467" t="s">
        <v>30</v>
      </c>
      <c r="O4467" t="s">
        <v>31</v>
      </c>
      <c r="P4467" t="str">
        <f>"15238"</f>
        <v>15238</v>
      </c>
    </row>
    <row r="4468" spans="1:16" x14ac:dyDescent="0.25">
      <c r="A4468" t="str">
        <f>"1110083K00319    00"</f>
        <v>1110083K00319    00</v>
      </c>
      <c r="B4468" t="s">
        <v>10731</v>
      </c>
      <c r="C4468" t="s">
        <v>10496</v>
      </c>
      <c r="E4468" t="s">
        <v>21</v>
      </c>
      <c r="F4468">
        <v>0</v>
      </c>
      <c r="G4468">
        <v>0</v>
      </c>
      <c r="H4468">
        <v>2</v>
      </c>
      <c r="I4468" s="3">
        <v>147.77000000000001</v>
      </c>
      <c r="J4468" s="3">
        <v>6.04</v>
      </c>
      <c r="L4468">
        <v>170</v>
      </c>
      <c r="M4468" t="s">
        <v>7527</v>
      </c>
      <c r="N4468" t="s">
        <v>30</v>
      </c>
      <c r="O4468" t="s">
        <v>31</v>
      </c>
      <c r="P4468" t="str">
        <f>"15238"</f>
        <v>15238</v>
      </c>
    </row>
    <row r="4469" spans="1:16" x14ac:dyDescent="0.25">
      <c r="A4469" t="str">
        <f>"1110083K00326    00"</f>
        <v>1110083K00326    00</v>
      </c>
      <c r="B4469" t="s">
        <v>10733</v>
      </c>
      <c r="C4469" t="s">
        <v>10734</v>
      </c>
      <c r="D4469" t="s">
        <v>20</v>
      </c>
      <c r="E4469" t="s">
        <v>39</v>
      </c>
      <c r="F4469">
        <v>0</v>
      </c>
      <c r="G4469">
        <v>0</v>
      </c>
      <c r="H4469">
        <v>1</v>
      </c>
      <c r="I4469" s="3">
        <v>155.94</v>
      </c>
      <c r="J4469" s="3">
        <v>0</v>
      </c>
      <c r="L4469">
        <v>510</v>
      </c>
      <c r="M4469" t="s">
        <v>8308</v>
      </c>
      <c r="N4469" t="s">
        <v>30</v>
      </c>
      <c r="O4469" t="s">
        <v>31</v>
      </c>
      <c r="P4469" t="str">
        <f>"15206"</f>
        <v>15206</v>
      </c>
    </row>
    <row r="4470" spans="1:16" x14ac:dyDescent="0.25">
      <c r="A4470" t="str">
        <f>"1110083K00807    00"</f>
        <v>1110083K00807    00</v>
      </c>
      <c r="B4470" t="s">
        <v>10735</v>
      </c>
      <c r="C4470" t="s">
        <v>10736</v>
      </c>
      <c r="D4470" t="s">
        <v>20</v>
      </c>
      <c r="E4470" t="s">
        <v>39</v>
      </c>
      <c r="F4470">
        <v>0</v>
      </c>
      <c r="G4470">
        <v>0</v>
      </c>
      <c r="H4470">
        <v>2</v>
      </c>
      <c r="I4470" s="3">
        <v>162.38</v>
      </c>
      <c r="J4470" s="3">
        <v>0</v>
      </c>
      <c r="K4470" t="s">
        <v>5141</v>
      </c>
      <c r="L4470">
        <v>1</v>
      </c>
      <c r="M4470" t="s">
        <v>5142</v>
      </c>
      <c r="N4470" t="s">
        <v>5143</v>
      </c>
      <c r="O4470" t="s">
        <v>3486</v>
      </c>
      <c r="P4470" t="str">
        <f>"60047"</f>
        <v>60047</v>
      </c>
    </row>
    <row r="4471" spans="1:16" x14ac:dyDescent="0.25">
      <c r="A4471" t="str">
        <f>"1110083K00812    00"</f>
        <v>1110083K00812    00</v>
      </c>
      <c r="B4471" t="s">
        <v>10737</v>
      </c>
      <c r="C4471" t="s">
        <v>10738</v>
      </c>
      <c r="D4471" t="s">
        <v>20</v>
      </c>
      <c r="E4471" t="s">
        <v>39</v>
      </c>
      <c r="F4471">
        <v>0</v>
      </c>
      <c r="G4471">
        <v>0</v>
      </c>
      <c r="H4471">
        <v>1</v>
      </c>
      <c r="I4471" s="3">
        <v>2674.13</v>
      </c>
      <c r="J4471" s="3">
        <v>0</v>
      </c>
      <c r="K4471" t="s">
        <v>1427</v>
      </c>
      <c r="L4471">
        <v>3001</v>
      </c>
      <c r="M4471" t="s">
        <v>330</v>
      </c>
      <c r="N4471" t="s">
        <v>331</v>
      </c>
      <c r="O4471" t="s">
        <v>108</v>
      </c>
      <c r="P4471" t="str">
        <f>"75063"</f>
        <v>75063</v>
      </c>
    </row>
    <row r="4472" spans="1:16" x14ac:dyDescent="0.25">
      <c r="A4472" t="str">
        <f>"1110083L00002    00"</f>
        <v>1110083L00002    00</v>
      </c>
      <c r="B4472" t="s">
        <v>10739</v>
      </c>
      <c r="C4472" t="s">
        <v>10740</v>
      </c>
      <c r="D4472" t="s">
        <v>57</v>
      </c>
      <c r="E4472" t="s">
        <v>39</v>
      </c>
      <c r="F4472">
        <v>0</v>
      </c>
      <c r="G4472">
        <v>0</v>
      </c>
      <c r="H4472">
        <v>1</v>
      </c>
      <c r="I4472" s="3">
        <v>532.54</v>
      </c>
      <c r="J4472" s="3">
        <v>541.39</v>
      </c>
      <c r="K4472" t="s">
        <v>7185</v>
      </c>
      <c r="L4472">
        <v>1</v>
      </c>
      <c r="M4472" t="s">
        <v>7186</v>
      </c>
      <c r="N4472" t="s">
        <v>4803</v>
      </c>
      <c r="O4472" t="s">
        <v>554</v>
      </c>
      <c r="P4472" t="str">
        <f>"26003"</f>
        <v>26003</v>
      </c>
    </row>
    <row r="4473" spans="1:16" x14ac:dyDescent="0.25">
      <c r="A4473" t="str">
        <f>"1110083L00025    00"</f>
        <v>1110083L00025    00</v>
      </c>
      <c r="B4473" t="s">
        <v>10741</v>
      </c>
      <c r="C4473" t="s">
        <v>10742</v>
      </c>
      <c r="E4473" t="s">
        <v>21</v>
      </c>
      <c r="F4473">
        <v>0</v>
      </c>
      <c r="G4473">
        <v>0</v>
      </c>
      <c r="H4473">
        <v>1</v>
      </c>
      <c r="I4473" s="3">
        <v>261.16000000000003</v>
      </c>
      <c r="J4473" s="3">
        <v>380.01</v>
      </c>
      <c r="K4473" t="s">
        <v>10743</v>
      </c>
      <c r="M4473" t="s">
        <v>10744</v>
      </c>
      <c r="N4473" t="s">
        <v>30</v>
      </c>
      <c r="O4473" t="s">
        <v>31</v>
      </c>
      <c r="P4473" t="str">
        <f>"15218"</f>
        <v>15218</v>
      </c>
    </row>
    <row r="4474" spans="1:16" x14ac:dyDescent="0.25">
      <c r="A4474" t="str">
        <f>"1110083L00090    00"</f>
        <v>1110083L00090    00</v>
      </c>
      <c r="B4474" t="s">
        <v>10745</v>
      </c>
      <c r="C4474" t="s">
        <v>10746</v>
      </c>
      <c r="D4474" t="s">
        <v>20</v>
      </c>
      <c r="E4474" t="s">
        <v>39</v>
      </c>
      <c r="F4474">
        <v>0</v>
      </c>
      <c r="G4474">
        <v>0</v>
      </c>
      <c r="H4474">
        <v>13</v>
      </c>
      <c r="I4474" s="3">
        <v>8939.11</v>
      </c>
      <c r="J4474" s="3">
        <v>4718.92</v>
      </c>
      <c r="L4474">
        <v>417</v>
      </c>
      <c r="M4474" t="s">
        <v>10747</v>
      </c>
      <c r="N4474" t="s">
        <v>30</v>
      </c>
      <c r="O4474" t="s">
        <v>31</v>
      </c>
      <c r="P4474" t="str">
        <f>"15206"</f>
        <v>15206</v>
      </c>
    </row>
    <row r="4475" spans="1:16" x14ac:dyDescent="0.25">
      <c r="A4475" t="str">
        <f>"1110083L00097    00"</f>
        <v>1110083L00097    00</v>
      </c>
      <c r="B4475" t="s">
        <v>10748</v>
      </c>
      <c r="C4475" t="s">
        <v>10749</v>
      </c>
      <c r="E4475" t="s">
        <v>39</v>
      </c>
      <c r="F4475">
        <v>0</v>
      </c>
      <c r="G4475">
        <v>0</v>
      </c>
      <c r="H4475">
        <v>1</v>
      </c>
      <c r="I4475" s="3">
        <v>555.69000000000005</v>
      </c>
      <c r="J4475" s="3">
        <v>0</v>
      </c>
      <c r="L4475">
        <v>401</v>
      </c>
      <c r="M4475" t="s">
        <v>10747</v>
      </c>
      <c r="N4475" t="s">
        <v>30</v>
      </c>
      <c r="O4475" t="s">
        <v>31</v>
      </c>
      <c r="P4475" t="str">
        <f>"15206"</f>
        <v>15206</v>
      </c>
    </row>
    <row r="4476" spans="1:16" x14ac:dyDescent="0.25">
      <c r="A4476" t="str">
        <f>"1110083L00269    00"</f>
        <v>1110083L00269    00</v>
      </c>
      <c r="B4476" t="s">
        <v>10750</v>
      </c>
      <c r="C4476" t="s">
        <v>10751</v>
      </c>
      <c r="E4476" t="s">
        <v>39</v>
      </c>
      <c r="F4476">
        <v>0</v>
      </c>
      <c r="G4476">
        <v>0</v>
      </c>
      <c r="H4476">
        <v>1</v>
      </c>
      <c r="I4476" s="3">
        <v>2087.9699999999998</v>
      </c>
      <c r="J4476" s="3">
        <v>0</v>
      </c>
      <c r="L4476">
        <v>500</v>
      </c>
      <c r="M4476" t="s">
        <v>5837</v>
      </c>
      <c r="N4476" t="s">
        <v>30</v>
      </c>
      <c r="O4476" t="s">
        <v>31</v>
      </c>
      <c r="P4476" t="str">
        <f>"15206"</f>
        <v>15206</v>
      </c>
    </row>
    <row r="4477" spans="1:16" x14ac:dyDescent="0.25">
      <c r="A4477" t="str">
        <f>"1110083L00270    00"</f>
        <v>1110083L00270    00</v>
      </c>
      <c r="B4477" t="s">
        <v>10752</v>
      </c>
      <c r="C4477" t="s">
        <v>10753</v>
      </c>
      <c r="D4477" t="s">
        <v>20</v>
      </c>
      <c r="E4477" t="s">
        <v>39</v>
      </c>
      <c r="F4477">
        <v>0</v>
      </c>
      <c r="G4477">
        <v>0</v>
      </c>
      <c r="H4477">
        <v>1</v>
      </c>
      <c r="I4477" s="3">
        <v>569.9</v>
      </c>
      <c r="J4477" s="3">
        <v>0</v>
      </c>
      <c r="K4477" t="s">
        <v>881</v>
      </c>
      <c r="L4477">
        <v>3001</v>
      </c>
      <c r="M4477" t="s">
        <v>330</v>
      </c>
      <c r="N4477" t="s">
        <v>331</v>
      </c>
      <c r="O4477" t="s">
        <v>108</v>
      </c>
      <c r="P4477" t="str">
        <f>"75063"</f>
        <v>75063</v>
      </c>
    </row>
    <row r="4478" spans="1:16" x14ac:dyDescent="0.25">
      <c r="A4478" t="str">
        <f>"1110083L00271    00"</f>
        <v>1110083L00271    00</v>
      </c>
      <c r="B4478" t="s">
        <v>10754</v>
      </c>
      <c r="C4478" t="s">
        <v>10755</v>
      </c>
      <c r="E4478" t="s">
        <v>39</v>
      </c>
      <c r="F4478">
        <v>0</v>
      </c>
      <c r="G4478">
        <v>0</v>
      </c>
      <c r="H4478">
        <v>3</v>
      </c>
      <c r="I4478" s="3">
        <v>124.68</v>
      </c>
      <c r="J4478" s="3">
        <v>40.92</v>
      </c>
      <c r="L4478">
        <v>504</v>
      </c>
      <c r="M4478" t="s">
        <v>5837</v>
      </c>
      <c r="N4478" t="s">
        <v>30</v>
      </c>
      <c r="O4478" t="s">
        <v>31</v>
      </c>
      <c r="P4478" t="str">
        <f>"15206"</f>
        <v>15206</v>
      </c>
    </row>
    <row r="4479" spans="1:16" x14ac:dyDescent="0.25">
      <c r="A4479" t="str">
        <f>"1110083M00016    00"</f>
        <v>1110083M00016    00</v>
      </c>
      <c r="B4479" t="s">
        <v>10756</v>
      </c>
      <c r="C4479" t="s">
        <v>10757</v>
      </c>
      <c r="D4479" t="s">
        <v>20</v>
      </c>
      <c r="E4479" t="s">
        <v>39</v>
      </c>
      <c r="F4479">
        <v>0</v>
      </c>
      <c r="G4479">
        <v>0</v>
      </c>
      <c r="H4479">
        <v>3</v>
      </c>
      <c r="I4479" s="3">
        <v>17697.240000000002</v>
      </c>
      <c r="J4479" s="3">
        <v>393.26</v>
      </c>
      <c r="K4479" t="s">
        <v>4424</v>
      </c>
      <c r="L4479">
        <v>3001</v>
      </c>
      <c r="M4479" t="s">
        <v>330</v>
      </c>
      <c r="N4479" t="s">
        <v>331</v>
      </c>
      <c r="O4479" t="s">
        <v>108</v>
      </c>
      <c r="P4479" t="str">
        <f>"75063"</f>
        <v>75063</v>
      </c>
    </row>
    <row r="4480" spans="1:16" x14ac:dyDescent="0.25">
      <c r="A4480" t="str">
        <f>"1110083M00049    00"</f>
        <v>1110083M00049    00</v>
      </c>
      <c r="B4480" t="s">
        <v>944</v>
      </c>
      <c r="C4480" t="s">
        <v>10758</v>
      </c>
      <c r="E4480" t="s">
        <v>39</v>
      </c>
      <c r="F4480">
        <v>0</v>
      </c>
      <c r="G4480">
        <v>0</v>
      </c>
      <c r="H4480">
        <v>1</v>
      </c>
      <c r="I4480" s="3">
        <v>41.4</v>
      </c>
      <c r="J4480" s="3">
        <v>24.83</v>
      </c>
      <c r="K4480" t="s">
        <v>2962</v>
      </c>
      <c r="L4480">
        <v>200</v>
      </c>
      <c r="M4480" t="s">
        <v>984</v>
      </c>
      <c r="N4480" t="s">
        <v>30</v>
      </c>
      <c r="O4480" t="s">
        <v>31</v>
      </c>
      <c r="P4480" t="str">
        <f>"15219"</f>
        <v>15219</v>
      </c>
    </row>
    <row r="4481" spans="1:16" x14ac:dyDescent="0.25">
      <c r="A4481" t="str">
        <f>"1110083M00061    00"</f>
        <v>1110083M00061    00</v>
      </c>
      <c r="B4481" t="s">
        <v>10759</v>
      </c>
      <c r="C4481" t="s">
        <v>10760</v>
      </c>
      <c r="D4481" t="s">
        <v>20</v>
      </c>
      <c r="E4481" t="s">
        <v>39</v>
      </c>
      <c r="F4481">
        <v>0</v>
      </c>
      <c r="G4481">
        <v>0</v>
      </c>
      <c r="H4481">
        <v>6</v>
      </c>
      <c r="I4481" s="3">
        <v>2820.01</v>
      </c>
      <c r="J4481" s="3">
        <v>632.48</v>
      </c>
      <c r="L4481">
        <v>213</v>
      </c>
      <c r="M4481" t="s">
        <v>10761</v>
      </c>
      <c r="N4481" t="s">
        <v>30</v>
      </c>
      <c r="O4481" t="s">
        <v>31</v>
      </c>
      <c r="P4481" t="str">
        <f>"15215"</f>
        <v>15215</v>
      </c>
    </row>
    <row r="4482" spans="1:16" x14ac:dyDescent="0.25">
      <c r="A4482" t="str">
        <f>"1110083M00323    00"</f>
        <v>1110083M00323    00</v>
      </c>
      <c r="B4482" t="s">
        <v>1313</v>
      </c>
      <c r="C4482" t="s">
        <v>10762</v>
      </c>
      <c r="D4482" t="s">
        <v>20</v>
      </c>
      <c r="E4482" t="s">
        <v>39</v>
      </c>
      <c r="F4482">
        <v>0</v>
      </c>
      <c r="G4482">
        <v>0</v>
      </c>
      <c r="H4482">
        <v>1</v>
      </c>
      <c r="I4482" s="3">
        <v>531.78</v>
      </c>
      <c r="J4482" s="3">
        <v>0</v>
      </c>
      <c r="L4482">
        <v>639</v>
      </c>
      <c r="M4482" t="s">
        <v>1315</v>
      </c>
      <c r="N4482" t="s">
        <v>30</v>
      </c>
      <c r="O4482" t="s">
        <v>31</v>
      </c>
      <c r="P4482" t="str">
        <f>"15206"</f>
        <v>15206</v>
      </c>
    </row>
    <row r="4483" spans="1:16" x14ac:dyDescent="0.25">
      <c r="A4483" t="str">
        <f>"1110083M00326    00"</f>
        <v>1110083M00326    00</v>
      </c>
      <c r="B4483" t="s">
        <v>10763</v>
      </c>
      <c r="C4483" t="s">
        <v>10764</v>
      </c>
      <c r="D4483" t="s">
        <v>20</v>
      </c>
      <c r="E4483" t="s">
        <v>39</v>
      </c>
      <c r="F4483">
        <v>0</v>
      </c>
      <c r="G4483">
        <v>0</v>
      </c>
      <c r="H4483">
        <v>2</v>
      </c>
      <c r="I4483" s="3">
        <v>4835.53</v>
      </c>
      <c r="J4483" s="3">
        <v>0</v>
      </c>
      <c r="K4483" t="s">
        <v>10765</v>
      </c>
      <c r="L4483">
        <v>901</v>
      </c>
      <c r="M4483" t="s">
        <v>10766</v>
      </c>
      <c r="N4483" t="s">
        <v>4141</v>
      </c>
      <c r="O4483" t="s">
        <v>108</v>
      </c>
      <c r="P4483" t="str">
        <f>"78746"</f>
        <v>78746</v>
      </c>
    </row>
    <row r="4484" spans="1:16" x14ac:dyDescent="0.25">
      <c r="A4484" t="str">
        <f>"1110083M00370    00"</f>
        <v>1110083M00370    00</v>
      </c>
      <c r="B4484" t="s">
        <v>10767</v>
      </c>
      <c r="C4484" t="s">
        <v>10768</v>
      </c>
      <c r="E4484" t="s">
        <v>39</v>
      </c>
      <c r="F4484">
        <v>0</v>
      </c>
      <c r="G4484">
        <v>0</v>
      </c>
      <c r="H4484">
        <v>2</v>
      </c>
      <c r="I4484" s="3">
        <v>9632.94</v>
      </c>
      <c r="J4484" s="3">
        <v>120.41</v>
      </c>
      <c r="K4484" t="s">
        <v>400</v>
      </c>
      <c r="L4484">
        <v>3001</v>
      </c>
      <c r="M4484" t="s">
        <v>330</v>
      </c>
      <c r="N4484" t="s">
        <v>331</v>
      </c>
      <c r="O4484" t="s">
        <v>108</v>
      </c>
      <c r="P4484" t="str">
        <f>"75063"</f>
        <v>75063</v>
      </c>
    </row>
    <row r="4485" spans="1:16" x14ac:dyDescent="0.25">
      <c r="A4485" t="str">
        <f>"1110083M00371    00"</f>
        <v>1110083M00371    00</v>
      </c>
      <c r="B4485" t="s">
        <v>2250</v>
      </c>
      <c r="C4485" t="s">
        <v>10769</v>
      </c>
      <c r="E4485" t="s">
        <v>39</v>
      </c>
      <c r="F4485">
        <v>0</v>
      </c>
      <c r="G4485">
        <v>0</v>
      </c>
      <c r="H4485">
        <v>1</v>
      </c>
      <c r="I4485" s="3">
        <v>686.31</v>
      </c>
      <c r="J4485" s="3">
        <v>0</v>
      </c>
      <c r="K4485" t="s">
        <v>2252</v>
      </c>
      <c r="M4485" t="s">
        <v>2249</v>
      </c>
      <c r="N4485" t="s">
        <v>30</v>
      </c>
      <c r="O4485" t="s">
        <v>31</v>
      </c>
      <c r="P4485" t="str">
        <f>"15237"</f>
        <v>15237</v>
      </c>
    </row>
    <row r="4486" spans="1:16" x14ac:dyDescent="0.25">
      <c r="A4486" t="str">
        <f>"1110083N00103    00"</f>
        <v>1110083N00103    00</v>
      </c>
      <c r="B4486" t="s">
        <v>10770</v>
      </c>
      <c r="C4486" t="s">
        <v>10771</v>
      </c>
      <c r="D4486" t="s">
        <v>20</v>
      </c>
      <c r="E4486" t="s">
        <v>21</v>
      </c>
      <c r="F4486">
        <v>0</v>
      </c>
      <c r="G4486">
        <v>0</v>
      </c>
      <c r="H4486">
        <v>1</v>
      </c>
      <c r="I4486" s="3">
        <v>457.44</v>
      </c>
      <c r="J4486" s="3">
        <v>0</v>
      </c>
      <c r="K4486" t="s">
        <v>10772</v>
      </c>
      <c r="L4486">
        <v>1000</v>
      </c>
      <c r="M4486" t="s">
        <v>162</v>
      </c>
      <c r="N4486" t="s">
        <v>163</v>
      </c>
      <c r="O4486" t="s">
        <v>31</v>
      </c>
      <c r="P4486" t="str">
        <f>"19406"</f>
        <v>19406</v>
      </c>
    </row>
    <row r="4487" spans="1:16" x14ac:dyDescent="0.25">
      <c r="A4487" t="str">
        <f>"1110083N00272    00"</f>
        <v>1110083N00272    00</v>
      </c>
      <c r="B4487" t="s">
        <v>10773</v>
      </c>
      <c r="C4487" t="s">
        <v>10774</v>
      </c>
      <c r="E4487" t="s">
        <v>21</v>
      </c>
      <c r="F4487">
        <v>0</v>
      </c>
      <c r="G4487">
        <v>0</v>
      </c>
      <c r="H4487">
        <v>1</v>
      </c>
      <c r="I4487" s="3">
        <v>11500.8</v>
      </c>
      <c r="J4487" s="3">
        <v>95.84</v>
      </c>
      <c r="K4487" t="s">
        <v>10775</v>
      </c>
      <c r="L4487">
        <v>123</v>
      </c>
      <c r="M4487" t="s">
        <v>10776</v>
      </c>
      <c r="N4487" t="s">
        <v>5847</v>
      </c>
      <c r="O4487" t="s">
        <v>31</v>
      </c>
      <c r="P4487" t="str">
        <f>"15139"</f>
        <v>15139</v>
      </c>
    </row>
    <row r="4488" spans="1:16" x14ac:dyDescent="0.25">
      <c r="A4488" t="str">
        <f>"1110083N00278    00"</f>
        <v>1110083N00278    00</v>
      </c>
      <c r="B4488" t="s">
        <v>10777</v>
      </c>
      <c r="C4488" t="s">
        <v>10778</v>
      </c>
      <c r="D4488" t="s">
        <v>20</v>
      </c>
      <c r="E4488" t="s">
        <v>21</v>
      </c>
      <c r="F4488">
        <v>0</v>
      </c>
      <c r="G4488">
        <v>0</v>
      </c>
      <c r="H4488">
        <v>5</v>
      </c>
      <c r="I4488" s="3">
        <v>49714.12</v>
      </c>
      <c r="J4488" s="3">
        <v>4166.54</v>
      </c>
      <c r="K4488" t="s">
        <v>10779</v>
      </c>
      <c r="L4488">
        <v>649</v>
      </c>
      <c r="M4488" t="s">
        <v>585</v>
      </c>
      <c r="N4488" t="s">
        <v>30</v>
      </c>
      <c r="O4488" t="s">
        <v>31</v>
      </c>
      <c r="P4488" t="str">
        <f>"15222"</f>
        <v>15222</v>
      </c>
    </row>
    <row r="4489" spans="1:16" x14ac:dyDescent="0.25">
      <c r="A4489" t="str">
        <f>"1110083N00298    00"</f>
        <v>1110083N00298    00</v>
      </c>
      <c r="B4489" t="s">
        <v>10780</v>
      </c>
      <c r="C4489" t="s">
        <v>10781</v>
      </c>
      <c r="D4489" t="s">
        <v>20</v>
      </c>
      <c r="E4489" t="s">
        <v>21</v>
      </c>
      <c r="F4489">
        <v>0</v>
      </c>
      <c r="G4489">
        <v>0</v>
      </c>
      <c r="H4489">
        <v>1</v>
      </c>
      <c r="I4489" s="3">
        <v>6671</v>
      </c>
      <c r="J4489" s="3">
        <v>0</v>
      </c>
      <c r="K4489" t="s">
        <v>2001</v>
      </c>
      <c r="L4489">
        <v>290</v>
      </c>
      <c r="M4489" t="s">
        <v>2002</v>
      </c>
      <c r="N4489" t="s">
        <v>30</v>
      </c>
      <c r="O4489" t="s">
        <v>31</v>
      </c>
      <c r="P4489" t="str">
        <f>"15205"</f>
        <v>15205</v>
      </c>
    </row>
    <row r="4490" spans="1:16" x14ac:dyDescent="0.25">
      <c r="A4490" t="str">
        <f>"1110083N00312    00"</f>
        <v>1110083N00312    00</v>
      </c>
      <c r="B4490" t="s">
        <v>10782</v>
      </c>
      <c r="C4490" t="s">
        <v>10783</v>
      </c>
      <c r="E4490" t="s">
        <v>39</v>
      </c>
      <c r="F4490">
        <v>0</v>
      </c>
      <c r="G4490">
        <v>0</v>
      </c>
      <c r="H4490">
        <v>1</v>
      </c>
      <c r="I4490" s="3">
        <v>1974.61</v>
      </c>
      <c r="J4490" s="3">
        <v>394.91</v>
      </c>
      <c r="L4490">
        <v>306</v>
      </c>
      <c r="M4490" t="s">
        <v>90</v>
      </c>
      <c r="N4490" t="s">
        <v>30</v>
      </c>
      <c r="O4490" t="s">
        <v>31</v>
      </c>
      <c r="P4490" t="str">
        <f>"15222"</f>
        <v>15222</v>
      </c>
    </row>
    <row r="4491" spans="1:16" x14ac:dyDescent="0.25">
      <c r="A4491" t="str">
        <f>"1110083N00315    00"</f>
        <v>1110083N00315    00</v>
      </c>
      <c r="B4491" t="s">
        <v>10784</v>
      </c>
      <c r="C4491" t="s">
        <v>8306</v>
      </c>
      <c r="E4491" t="s">
        <v>39</v>
      </c>
      <c r="F4491">
        <v>0</v>
      </c>
      <c r="G4491">
        <v>0</v>
      </c>
      <c r="H4491">
        <v>2</v>
      </c>
      <c r="I4491" s="3">
        <v>465.06</v>
      </c>
      <c r="J4491" s="3">
        <v>46.51</v>
      </c>
      <c r="L4491">
        <v>5510</v>
      </c>
      <c r="M4491" t="s">
        <v>2901</v>
      </c>
      <c r="N4491" t="s">
        <v>30</v>
      </c>
      <c r="O4491" t="s">
        <v>31</v>
      </c>
      <c r="P4491" t="str">
        <f>"15206"</f>
        <v>15206</v>
      </c>
    </row>
    <row r="4492" spans="1:16" x14ac:dyDescent="0.25">
      <c r="A4492" t="str">
        <f>"1110083N00325    00"</f>
        <v>1110083N00325    00</v>
      </c>
      <c r="B4492" t="s">
        <v>10785</v>
      </c>
      <c r="C4492" t="s">
        <v>10786</v>
      </c>
      <c r="D4492" t="s">
        <v>20</v>
      </c>
      <c r="E4492" t="s">
        <v>39</v>
      </c>
      <c r="F4492">
        <v>0</v>
      </c>
      <c r="G4492">
        <v>0</v>
      </c>
      <c r="H4492">
        <v>1</v>
      </c>
      <c r="I4492" s="3">
        <v>1541.97</v>
      </c>
      <c r="J4492" s="3">
        <v>0</v>
      </c>
      <c r="M4492" t="s">
        <v>10008</v>
      </c>
      <c r="N4492" t="s">
        <v>30</v>
      </c>
      <c r="O4492" t="s">
        <v>31</v>
      </c>
      <c r="P4492" t="str">
        <f>"15217"</f>
        <v>15217</v>
      </c>
    </row>
    <row r="4493" spans="1:16" x14ac:dyDescent="0.25">
      <c r="A4493" t="str">
        <f>"1110083N00340A30300"</f>
        <v>1110083N00340A30300</v>
      </c>
      <c r="B4493" t="s">
        <v>10787</v>
      </c>
      <c r="C4493" t="s">
        <v>10788</v>
      </c>
      <c r="E4493" t="s">
        <v>39</v>
      </c>
      <c r="F4493">
        <v>0</v>
      </c>
      <c r="G4493">
        <v>0</v>
      </c>
      <c r="H4493">
        <v>3</v>
      </c>
      <c r="I4493" s="3">
        <v>1260.3699999999999</v>
      </c>
      <c r="J4493" s="3">
        <v>1447.96</v>
      </c>
      <c r="K4493" t="s">
        <v>1135</v>
      </c>
      <c r="L4493">
        <v>3001</v>
      </c>
      <c r="M4493" t="s">
        <v>330</v>
      </c>
      <c r="N4493" t="s">
        <v>331</v>
      </c>
      <c r="O4493" t="s">
        <v>108</v>
      </c>
      <c r="P4493" t="str">
        <f>"75063"</f>
        <v>75063</v>
      </c>
    </row>
    <row r="4494" spans="1:16" x14ac:dyDescent="0.25">
      <c r="A4494" t="str">
        <f>"1110083N00340G10200"</f>
        <v>1110083N00340G10200</v>
      </c>
      <c r="B4494" t="s">
        <v>218</v>
      </c>
      <c r="C4494" t="s">
        <v>10789</v>
      </c>
      <c r="E4494" t="s">
        <v>21</v>
      </c>
      <c r="F4494">
        <v>0</v>
      </c>
      <c r="G4494">
        <v>0</v>
      </c>
      <c r="H4494">
        <v>5</v>
      </c>
      <c r="I4494" s="3">
        <v>3852.93</v>
      </c>
      <c r="J4494" s="3">
        <v>1040.68</v>
      </c>
      <c r="K4494" t="s">
        <v>220</v>
      </c>
      <c r="L4494">
        <v>412</v>
      </c>
      <c r="M4494" t="s">
        <v>221</v>
      </c>
      <c r="N4494" t="s">
        <v>30</v>
      </c>
      <c r="O4494" t="s">
        <v>31</v>
      </c>
      <c r="P4494" t="str">
        <f>"15219"</f>
        <v>15219</v>
      </c>
    </row>
    <row r="4495" spans="1:16" x14ac:dyDescent="0.25">
      <c r="A4495" t="str">
        <f>"1110083N00340G10300"</f>
        <v>1110083N00340G10300</v>
      </c>
      <c r="B4495" t="s">
        <v>218</v>
      </c>
      <c r="C4495" t="s">
        <v>10790</v>
      </c>
      <c r="E4495" t="s">
        <v>21</v>
      </c>
      <c r="F4495">
        <v>0</v>
      </c>
      <c r="G4495">
        <v>0</v>
      </c>
      <c r="H4495">
        <v>6</v>
      </c>
      <c r="I4495" s="3">
        <v>4230.45</v>
      </c>
      <c r="J4495" s="3">
        <v>1267.19</v>
      </c>
      <c r="K4495" t="s">
        <v>220</v>
      </c>
      <c r="L4495">
        <v>412</v>
      </c>
      <c r="M4495" t="s">
        <v>221</v>
      </c>
      <c r="N4495" t="s">
        <v>30</v>
      </c>
      <c r="O4495" t="s">
        <v>31</v>
      </c>
      <c r="P4495" t="str">
        <f>"15219"</f>
        <v>15219</v>
      </c>
    </row>
    <row r="4496" spans="1:16" x14ac:dyDescent="0.25">
      <c r="A4496" t="str">
        <f>"1110083N00340G10400"</f>
        <v>1110083N00340G10400</v>
      </c>
      <c r="B4496" t="s">
        <v>218</v>
      </c>
      <c r="C4496" t="s">
        <v>10791</v>
      </c>
      <c r="E4496" t="s">
        <v>21</v>
      </c>
      <c r="F4496">
        <v>0</v>
      </c>
      <c r="G4496">
        <v>0</v>
      </c>
      <c r="H4496">
        <v>5</v>
      </c>
      <c r="I4496" s="3">
        <v>3852.93</v>
      </c>
      <c r="J4496" s="3">
        <v>1040.68</v>
      </c>
      <c r="K4496" t="s">
        <v>220</v>
      </c>
      <c r="L4496">
        <v>412</v>
      </c>
      <c r="M4496" t="s">
        <v>221</v>
      </c>
      <c r="N4496" t="s">
        <v>30</v>
      </c>
      <c r="O4496" t="s">
        <v>31</v>
      </c>
      <c r="P4496" t="str">
        <f>"15219"</f>
        <v>15219</v>
      </c>
    </row>
    <row r="4497" spans="1:16" x14ac:dyDescent="0.25">
      <c r="A4497" t="str">
        <f>"1110083N00340G10500"</f>
        <v>1110083N00340G10500</v>
      </c>
      <c r="B4497" t="s">
        <v>10792</v>
      </c>
      <c r="C4497" t="s">
        <v>10793</v>
      </c>
      <c r="E4497" t="s">
        <v>21</v>
      </c>
      <c r="F4497">
        <v>0</v>
      </c>
      <c r="G4497">
        <v>0</v>
      </c>
      <c r="H4497">
        <v>6</v>
      </c>
      <c r="I4497" s="3">
        <v>4230.45</v>
      </c>
      <c r="J4497" s="3">
        <v>1267.19</v>
      </c>
      <c r="L4497">
        <v>412</v>
      </c>
      <c r="M4497" t="s">
        <v>36</v>
      </c>
      <c r="N4497" t="s">
        <v>30</v>
      </c>
      <c r="O4497" t="s">
        <v>31</v>
      </c>
      <c r="P4497" t="str">
        <f>"15219"</f>
        <v>15219</v>
      </c>
    </row>
    <row r="4498" spans="1:16" x14ac:dyDescent="0.25">
      <c r="A4498" t="str">
        <f>"1110083P00013    00"</f>
        <v>1110083P00013    00</v>
      </c>
      <c r="B4498" t="s">
        <v>10794</v>
      </c>
      <c r="C4498" t="s">
        <v>10795</v>
      </c>
      <c r="E4498" t="s">
        <v>39</v>
      </c>
      <c r="F4498">
        <v>0</v>
      </c>
      <c r="G4498">
        <v>0</v>
      </c>
      <c r="H4498">
        <v>2</v>
      </c>
      <c r="I4498" s="3">
        <v>6844.46</v>
      </c>
      <c r="J4498" s="3">
        <v>127.36</v>
      </c>
      <c r="K4498" t="s">
        <v>6483</v>
      </c>
      <c r="L4498">
        <v>3001</v>
      </c>
      <c r="M4498" t="s">
        <v>330</v>
      </c>
      <c r="N4498" t="s">
        <v>331</v>
      </c>
      <c r="O4498" t="s">
        <v>108</v>
      </c>
      <c r="P4498" t="str">
        <f>"75063"</f>
        <v>75063</v>
      </c>
    </row>
    <row r="4499" spans="1:16" x14ac:dyDescent="0.25">
      <c r="A4499" t="str">
        <f>"1110083P00015    00"</f>
        <v>1110083P00015    00</v>
      </c>
      <c r="B4499" t="s">
        <v>10796</v>
      </c>
      <c r="C4499" t="s">
        <v>10797</v>
      </c>
      <c r="D4499" t="s">
        <v>20</v>
      </c>
      <c r="E4499" t="s">
        <v>39</v>
      </c>
      <c r="F4499">
        <v>0</v>
      </c>
      <c r="G4499">
        <v>0</v>
      </c>
      <c r="H4499">
        <v>3</v>
      </c>
      <c r="I4499" s="3">
        <v>4848.08</v>
      </c>
      <c r="J4499" s="3">
        <v>414.36</v>
      </c>
      <c r="K4499" t="s">
        <v>10798</v>
      </c>
      <c r="M4499" t="s">
        <v>10799</v>
      </c>
      <c r="N4499" t="s">
        <v>10800</v>
      </c>
      <c r="O4499" t="s">
        <v>31</v>
      </c>
      <c r="P4499" t="str">
        <f>"15065"</f>
        <v>15065</v>
      </c>
    </row>
    <row r="4500" spans="1:16" x14ac:dyDescent="0.25">
      <c r="A4500" t="str">
        <f>"1110083P00020    00"</f>
        <v>1110083P00020    00</v>
      </c>
      <c r="B4500" t="s">
        <v>10801</v>
      </c>
      <c r="C4500" t="s">
        <v>10802</v>
      </c>
      <c r="E4500" t="s">
        <v>39</v>
      </c>
      <c r="F4500">
        <v>0</v>
      </c>
      <c r="G4500">
        <v>0</v>
      </c>
      <c r="H4500">
        <v>1</v>
      </c>
      <c r="I4500" s="3">
        <v>1150.3800000000001</v>
      </c>
      <c r="J4500" s="3">
        <v>364.27</v>
      </c>
      <c r="K4500" t="s">
        <v>10803</v>
      </c>
      <c r="L4500">
        <v>428</v>
      </c>
      <c r="M4500" t="s">
        <v>7018</v>
      </c>
      <c r="N4500" t="s">
        <v>5847</v>
      </c>
      <c r="O4500" t="s">
        <v>31</v>
      </c>
      <c r="P4500" t="str">
        <f>"15139"</f>
        <v>15139</v>
      </c>
    </row>
    <row r="4501" spans="1:16" x14ac:dyDescent="0.25">
      <c r="A4501" t="str">
        <f>"1110083P00021    00"</f>
        <v>1110083P00021    00</v>
      </c>
      <c r="B4501" t="s">
        <v>10804</v>
      </c>
      <c r="C4501" t="s">
        <v>10805</v>
      </c>
      <c r="E4501" t="s">
        <v>66</v>
      </c>
      <c r="F4501">
        <v>0</v>
      </c>
      <c r="G4501">
        <v>0</v>
      </c>
      <c r="H4501">
        <v>2</v>
      </c>
      <c r="I4501" s="3">
        <v>4132.2</v>
      </c>
      <c r="J4501" s="3">
        <v>86.08</v>
      </c>
      <c r="K4501" t="s">
        <v>5327</v>
      </c>
      <c r="L4501">
        <v>6507</v>
      </c>
      <c r="M4501" t="s">
        <v>5328</v>
      </c>
      <c r="N4501" t="s">
        <v>30</v>
      </c>
      <c r="O4501" t="s">
        <v>31</v>
      </c>
      <c r="P4501" t="str">
        <f>"15217"</f>
        <v>15217</v>
      </c>
    </row>
    <row r="4502" spans="1:16" x14ac:dyDescent="0.25">
      <c r="A4502" t="str">
        <f>"1110083P00077    00"</f>
        <v>1110083P00077    00</v>
      </c>
      <c r="B4502" t="s">
        <v>10806</v>
      </c>
      <c r="C4502" t="s">
        <v>10807</v>
      </c>
      <c r="D4502" t="s">
        <v>20</v>
      </c>
      <c r="E4502" t="s">
        <v>39</v>
      </c>
      <c r="F4502">
        <v>0</v>
      </c>
      <c r="G4502">
        <v>0</v>
      </c>
      <c r="H4502">
        <v>3</v>
      </c>
      <c r="I4502" s="3">
        <v>804.36</v>
      </c>
      <c r="J4502" s="3">
        <v>32.17</v>
      </c>
      <c r="L4502">
        <v>5706</v>
      </c>
      <c r="M4502" t="s">
        <v>10700</v>
      </c>
      <c r="N4502" t="s">
        <v>30</v>
      </c>
      <c r="O4502" t="s">
        <v>31</v>
      </c>
      <c r="P4502" t="str">
        <f>"15206"</f>
        <v>15206</v>
      </c>
    </row>
    <row r="4503" spans="1:16" x14ac:dyDescent="0.25">
      <c r="A4503" t="str">
        <f>"1110083P00077A   00"</f>
        <v>1110083P00077A   00</v>
      </c>
      <c r="B4503" t="s">
        <v>10806</v>
      </c>
      <c r="C4503" t="s">
        <v>10699</v>
      </c>
      <c r="D4503" t="s">
        <v>20</v>
      </c>
      <c r="E4503" t="s">
        <v>39</v>
      </c>
      <c r="F4503">
        <v>0</v>
      </c>
      <c r="G4503">
        <v>0</v>
      </c>
      <c r="H4503">
        <v>2</v>
      </c>
      <c r="I4503" s="3">
        <v>76.239999999999995</v>
      </c>
      <c r="J4503" s="3">
        <v>7.62</v>
      </c>
      <c r="L4503">
        <v>5706</v>
      </c>
      <c r="M4503" t="s">
        <v>10700</v>
      </c>
      <c r="N4503" t="s">
        <v>30</v>
      </c>
      <c r="O4503" t="s">
        <v>31</v>
      </c>
      <c r="P4503" t="str">
        <f>"15206"</f>
        <v>15206</v>
      </c>
    </row>
    <row r="4504" spans="1:16" x14ac:dyDescent="0.25">
      <c r="A4504" t="str">
        <f>"1110083P00078A   00"</f>
        <v>1110083P00078A   00</v>
      </c>
      <c r="B4504" t="s">
        <v>10808</v>
      </c>
      <c r="C4504" t="s">
        <v>10699</v>
      </c>
      <c r="D4504" t="s">
        <v>20</v>
      </c>
      <c r="E4504" t="s">
        <v>39</v>
      </c>
      <c r="F4504">
        <v>0</v>
      </c>
      <c r="G4504">
        <v>0</v>
      </c>
      <c r="H4504">
        <v>1</v>
      </c>
      <c r="I4504" s="3">
        <v>38.119999999999997</v>
      </c>
      <c r="J4504" s="3">
        <v>0</v>
      </c>
      <c r="L4504">
        <v>5704</v>
      </c>
      <c r="M4504" t="s">
        <v>10700</v>
      </c>
      <c r="N4504" t="s">
        <v>30</v>
      </c>
      <c r="O4504" t="s">
        <v>31</v>
      </c>
      <c r="P4504" t="str">
        <f>"15206"</f>
        <v>15206</v>
      </c>
    </row>
    <row r="4505" spans="1:16" x14ac:dyDescent="0.25">
      <c r="A4505" t="str">
        <f>"1110083P00079A   00"</f>
        <v>1110083P00079A   00</v>
      </c>
      <c r="B4505" t="s">
        <v>10809</v>
      </c>
      <c r="C4505" t="s">
        <v>10699</v>
      </c>
      <c r="D4505" t="s">
        <v>20</v>
      </c>
      <c r="E4505" t="s">
        <v>39</v>
      </c>
      <c r="F4505">
        <v>0</v>
      </c>
      <c r="G4505">
        <v>0</v>
      </c>
      <c r="H4505">
        <v>17</v>
      </c>
      <c r="I4505" s="3">
        <v>449.56</v>
      </c>
      <c r="J4505" s="3">
        <v>598.51</v>
      </c>
      <c r="K4505" t="s">
        <v>1037</v>
      </c>
      <c r="M4505" t="s">
        <v>10810</v>
      </c>
      <c r="N4505" t="s">
        <v>30</v>
      </c>
      <c r="O4505" t="s">
        <v>31</v>
      </c>
      <c r="P4505" t="str">
        <f>"15206"</f>
        <v>15206</v>
      </c>
    </row>
    <row r="4506" spans="1:16" x14ac:dyDescent="0.25">
      <c r="A4506" t="str">
        <f>"1110083P00135    00"</f>
        <v>1110083P00135    00</v>
      </c>
      <c r="B4506" t="s">
        <v>10811</v>
      </c>
      <c r="C4506" t="s">
        <v>10812</v>
      </c>
      <c r="D4506" t="s">
        <v>20</v>
      </c>
      <c r="E4506" t="s">
        <v>21</v>
      </c>
      <c r="F4506">
        <v>0</v>
      </c>
      <c r="G4506">
        <v>0</v>
      </c>
      <c r="H4506">
        <v>3</v>
      </c>
      <c r="I4506" s="3">
        <v>3407.94</v>
      </c>
      <c r="J4506" s="3">
        <v>227.19</v>
      </c>
      <c r="L4506">
        <v>3905</v>
      </c>
      <c r="M4506" t="s">
        <v>2987</v>
      </c>
      <c r="N4506" t="s">
        <v>10813</v>
      </c>
      <c r="O4506" t="s">
        <v>1184</v>
      </c>
      <c r="P4506" t="str">
        <f>"20722"</f>
        <v>20722</v>
      </c>
    </row>
    <row r="4507" spans="1:16" x14ac:dyDescent="0.25">
      <c r="A4507" t="str">
        <f>"1110083P00140    00"</f>
        <v>1110083P00140    00</v>
      </c>
      <c r="B4507" t="s">
        <v>10811</v>
      </c>
      <c r="C4507" t="s">
        <v>10814</v>
      </c>
      <c r="D4507" t="s">
        <v>20</v>
      </c>
      <c r="E4507" t="s">
        <v>21</v>
      </c>
      <c r="F4507">
        <v>0</v>
      </c>
      <c r="G4507">
        <v>0</v>
      </c>
      <c r="H4507">
        <v>6</v>
      </c>
      <c r="I4507" s="3">
        <v>229058.98</v>
      </c>
      <c r="J4507" s="3">
        <v>32302.86</v>
      </c>
      <c r="L4507">
        <v>3905</v>
      </c>
      <c r="M4507" t="s">
        <v>2987</v>
      </c>
      <c r="N4507" t="s">
        <v>10813</v>
      </c>
      <c r="O4507" t="s">
        <v>1184</v>
      </c>
      <c r="P4507" t="str">
        <f>"20722"</f>
        <v>20722</v>
      </c>
    </row>
    <row r="4508" spans="1:16" x14ac:dyDescent="0.25">
      <c r="A4508" t="str">
        <f>"1110083P00167    00"</f>
        <v>1110083P00167    00</v>
      </c>
      <c r="B4508" t="s">
        <v>218</v>
      </c>
      <c r="C4508" t="s">
        <v>10528</v>
      </c>
      <c r="E4508" t="s">
        <v>290</v>
      </c>
      <c r="F4508">
        <v>0</v>
      </c>
      <c r="G4508">
        <v>0</v>
      </c>
      <c r="H4508">
        <v>5</v>
      </c>
      <c r="I4508" s="3">
        <v>2809.9</v>
      </c>
      <c r="J4508" s="3">
        <v>1396.51</v>
      </c>
      <c r="K4508" t="s">
        <v>220</v>
      </c>
      <c r="L4508">
        <v>200</v>
      </c>
      <c r="M4508" t="s">
        <v>10815</v>
      </c>
      <c r="N4508" t="s">
        <v>30</v>
      </c>
      <c r="O4508" t="s">
        <v>31</v>
      </c>
      <c r="P4508" t="str">
        <f>"15219"</f>
        <v>15219</v>
      </c>
    </row>
    <row r="4509" spans="1:16" x14ac:dyDescent="0.25">
      <c r="A4509" t="str">
        <f>"1110083P00199    00"</f>
        <v>1110083P00199    00</v>
      </c>
      <c r="B4509" t="s">
        <v>10816</v>
      </c>
      <c r="C4509" t="s">
        <v>10523</v>
      </c>
      <c r="D4509" t="s">
        <v>20</v>
      </c>
      <c r="E4509" t="s">
        <v>21</v>
      </c>
      <c r="F4509">
        <v>0</v>
      </c>
      <c r="G4509">
        <v>0</v>
      </c>
      <c r="H4509">
        <v>1</v>
      </c>
      <c r="I4509" s="3">
        <v>53.74</v>
      </c>
      <c r="J4509" s="3">
        <v>0</v>
      </c>
      <c r="K4509" t="s">
        <v>10772</v>
      </c>
      <c r="L4509">
        <v>1000</v>
      </c>
      <c r="M4509" t="s">
        <v>162</v>
      </c>
      <c r="N4509" t="s">
        <v>163</v>
      </c>
      <c r="O4509" t="s">
        <v>31</v>
      </c>
      <c r="P4509" t="str">
        <f>"19406"</f>
        <v>19406</v>
      </c>
    </row>
    <row r="4510" spans="1:16" x14ac:dyDescent="0.25">
      <c r="A4510" t="str">
        <f>"1110083P00382    00"</f>
        <v>1110083P00382    00</v>
      </c>
      <c r="B4510" t="s">
        <v>10817</v>
      </c>
      <c r="C4510" t="s">
        <v>10818</v>
      </c>
      <c r="D4510" t="s">
        <v>20</v>
      </c>
      <c r="E4510" t="s">
        <v>21</v>
      </c>
      <c r="F4510">
        <v>0</v>
      </c>
      <c r="G4510">
        <v>0</v>
      </c>
      <c r="H4510">
        <v>1</v>
      </c>
      <c r="I4510" s="3">
        <v>308.77</v>
      </c>
      <c r="J4510" s="3">
        <v>0</v>
      </c>
      <c r="K4510" t="s">
        <v>10819</v>
      </c>
      <c r="L4510">
        <v>1000</v>
      </c>
      <c r="M4510" t="s">
        <v>162</v>
      </c>
      <c r="N4510" t="s">
        <v>163</v>
      </c>
      <c r="O4510" t="s">
        <v>31</v>
      </c>
      <c r="P4510" t="str">
        <f>"19406"</f>
        <v>19406</v>
      </c>
    </row>
    <row r="4511" spans="1:16" x14ac:dyDescent="0.25">
      <c r="A4511" t="str">
        <f>"1110083R00060    00"</f>
        <v>1110083R00060    00</v>
      </c>
      <c r="B4511" t="s">
        <v>944</v>
      </c>
      <c r="C4511" t="s">
        <v>10820</v>
      </c>
      <c r="E4511" t="s">
        <v>39</v>
      </c>
      <c r="F4511">
        <v>0</v>
      </c>
      <c r="G4511">
        <v>0</v>
      </c>
      <c r="H4511">
        <v>2</v>
      </c>
      <c r="I4511" s="3">
        <v>276.99</v>
      </c>
      <c r="J4511" s="3">
        <v>187.31</v>
      </c>
      <c r="K4511" t="s">
        <v>2962</v>
      </c>
      <c r="L4511">
        <v>200</v>
      </c>
      <c r="M4511" t="s">
        <v>984</v>
      </c>
      <c r="N4511" t="s">
        <v>30</v>
      </c>
      <c r="O4511" t="s">
        <v>31</v>
      </c>
      <c r="P4511" t="str">
        <f>"15219"</f>
        <v>15219</v>
      </c>
    </row>
    <row r="4512" spans="1:16" x14ac:dyDescent="0.25">
      <c r="A4512" t="str">
        <f>"1110083R00340    00"</f>
        <v>1110083R00340    00</v>
      </c>
      <c r="B4512" t="s">
        <v>10821</v>
      </c>
      <c r="C4512" t="s">
        <v>10822</v>
      </c>
      <c r="D4512" t="s">
        <v>20</v>
      </c>
      <c r="E4512" t="s">
        <v>21</v>
      </c>
      <c r="F4512">
        <v>0</v>
      </c>
      <c r="G4512">
        <v>0</v>
      </c>
      <c r="H4512">
        <v>1</v>
      </c>
      <c r="I4512" s="3">
        <v>21865.65</v>
      </c>
      <c r="J4512" s="3">
        <v>0</v>
      </c>
      <c r="K4512" t="s">
        <v>10823</v>
      </c>
      <c r="L4512">
        <v>325</v>
      </c>
      <c r="M4512" t="s">
        <v>7241</v>
      </c>
      <c r="N4512" t="s">
        <v>30</v>
      </c>
      <c r="O4512" t="s">
        <v>31</v>
      </c>
      <c r="P4512" t="str">
        <f>"15206"</f>
        <v>15206</v>
      </c>
    </row>
    <row r="4513" spans="1:16" x14ac:dyDescent="0.25">
      <c r="A4513" t="str">
        <f>"1110083S00251    00"</f>
        <v>1110083S00251    00</v>
      </c>
      <c r="B4513" t="s">
        <v>10824</v>
      </c>
      <c r="C4513" t="s">
        <v>10825</v>
      </c>
      <c r="E4513" t="s">
        <v>21</v>
      </c>
      <c r="F4513">
        <v>0</v>
      </c>
      <c r="G4513">
        <v>0</v>
      </c>
      <c r="H4513">
        <v>1</v>
      </c>
      <c r="I4513" s="3">
        <v>25078.44</v>
      </c>
      <c r="J4513" s="3">
        <v>24868.46</v>
      </c>
      <c r="L4513">
        <v>6300</v>
      </c>
      <c r="M4513" t="s">
        <v>10468</v>
      </c>
      <c r="N4513" t="s">
        <v>30</v>
      </c>
      <c r="O4513" t="s">
        <v>31</v>
      </c>
      <c r="P4513" t="str">
        <f>"15206"</f>
        <v>15206</v>
      </c>
    </row>
    <row r="4514" spans="1:16" x14ac:dyDescent="0.25">
      <c r="A4514" t="str">
        <f>"1110084B00039    00"</f>
        <v>1110084B00039    00</v>
      </c>
      <c r="B4514" t="s">
        <v>10826</v>
      </c>
      <c r="C4514" t="s">
        <v>10827</v>
      </c>
      <c r="E4514" t="s">
        <v>21</v>
      </c>
      <c r="F4514">
        <v>0</v>
      </c>
      <c r="G4514">
        <v>0</v>
      </c>
      <c r="H4514">
        <v>1</v>
      </c>
      <c r="I4514" s="3">
        <v>171.39</v>
      </c>
      <c r="J4514" s="3">
        <v>54.26</v>
      </c>
      <c r="K4514" t="s">
        <v>1722</v>
      </c>
      <c r="M4514" t="s">
        <v>1723</v>
      </c>
      <c r="N4514" t="s">
        <v>410</v>
      </c>
      <c r="O4514" t="s">
        <v>31</v>
      </c>
      <c r="P4514" t="str">
        <f>"15701"</f>
        <v>15701</v>
      </c>
    </row>
    <row r="4515" spans="1:16" x14ac:dyDescent="0.25">
      <c r="A4515" t="str">
        <f>"1110084C00158    00"</f>
        <v>1110084C00158    00</v>
      </c>
      <c r="B4515" t="s">
        <v>10828</v>
      </c>
      <c r="C4515" t="s">
        <v>10829</v>
      </c>
      <c r="D4515" t="s">
        <v>20</v>
      </c>
      <c r="E4515" t="s">
        <v>21</v>
      </c>
      <c r="F4515">
        <v>0</v>
      </c>
      <c r="G4515">
        <v>0</v>
      </c>
      <c r="H4515">
        <v>2</v>
      </c>
      <c r="I4515" s="3">
        <v>4921.88</v>
      </c>
      <c r="J4515" s="3">
        <v>0</v>
      </c>
      <c r="L4515">
        <v>6818</v>
      </c>
      <c r="M4515" t="s">
        <v>10830</v>
      </c>
      <c r="N4515" t="s">
        <v>30</v>
      </c>
      <c r="O4515" t="s">
        <v>31</v>
      </c>
      <c r="P4515" t="str">
        <f>"15208"</f>
        <v>15208</v>
      </c>
    </row>
    <row r="4516" spans="1:16" x14ac:dyDescent="0.25">
      <c r="A4516" t="str">
        <f>"1110084C00178    00"</f>
        <v>1110084C00178    00</v>
      </c>
      <c r="B4516" t="s">
        <v>10831</v>
      </c>
      <c r="C4516" t="s">
        <v>10832</v>
      </c>
      <c r="D4516" t="s">
        <v>20</v>
      </c>
      <c r="E4516" t="s">
        <v>21</v>
      </c>
      <c r="F4516">
        <v>0</v>
      </c>
      <c r="G4516">
        <v>0</v>
      </c>
      <c r="H4516">
        <v>2</v>
      </c>
      <c r="I4516" s="3">
        <v>11954.44</v>
      </c>
      <c r="J4516" s="3">
        <v>0</v>
      </c>
      <c r="L4516">
        <v>461</v>
      </c>
      <c r="M4516" t="s">
        <v>3457</v>
      </c>
      <c r="N4516" t="s">
        <v>30</v>
      </c>
      <c r="O4516" t="s">
        <v>31</v>
      </c>
      <c r="P4516" t="str">
        <f>"15213"</f>
        <v>15213</v>
      </c>
    </row>
    <row r="4517" spans="1:16" x14ac:dyDescent="0.25">
      <c r="A4517" t="str">
        <f>"1110084C00182    00"</f>
        <v>1110084C00182    00</v>
      </c>
      <c r="B4517" t="s">
        <v>10833</v>
      </c>
      <c r="C4517" t="s">
        <v>10834</v>
      </c>
      <c r="D4517" t="s">
        <v>20</v>
      </c>
      <c r="E4517" t="s">
        <v>21</v>
      </c>
      <c r="F4517">
        <v>0</v>
      </c>
      <c r="G4517">
        <v>0</v>
      </c>
      <c r="H4517">
        <v>3</v>
      </c>
      <c r="I4517" s="3">
        <v>22014.36</v>
      </c>
      <c r="J4517" s="3">
        <v>1467.57</v>
      </c>
      <c r="L4517">
        <v>3905</v>
      </c>
      <c r="M4517" t="s">
        <v>2987</v>
      </c>
      <c r="N4517" t="s">
        <v>10813</v>
      </c>
      <c r="O4517" t="s">
        <v>1184</v>
      </c>
      <c r="P4517" t="str">
        <f>"20722"</f>
        <v>20722</v>
      </c>
    </row>
    <row r="4518" spans="1:16" x14ac:dyDescent="0.25">
      <c r="A4518" t="str">
        <f>"1110084C00252    00"</f>
        <v>1110084C00252    00</v>
      </c>
      <c r="B4518" t="s">
        <v>9254</v>
      </c>
      <c r="C4518" t="s">
        <v>10835</v>
      </c>
      <c r="D4518" t="s">
        <v>20</v>
      </c>
      <c r="E4518" t="s">
        <v>21</v>
      </c>
      <c r="F4518">
        <v>0</v>
      </c>
      <c r="G4518">
        <v>0</v>
      </c>
      <c r="H4518">
        <v>3</v>
      </c>
      <c r="I4518" s="3">
        <v>5326.27</v>
      </c>
      <c r="J4518" s="3">
        <v>327.52</v>
      </c>
      <c r="K4518" t="s">
        <v>6943</v>
      </c>
      <c r="L4518">
        <v>3101</v>
      </c>
      <c r="M4518" t="s">
        <v>6937</v>
      </c>
      <c r="N4518" t="s">
        <v>30</v>
      </c>
      <c r="O4518" t="s">
        <v>31</v>
      </c>
      <c r="P4518" t="str">
        <f>"15216"</f>
        <v>15216</v>
      </c>
    </row>
    <row r="4519" spans="1:16" x14ac:dyDescent="0.25">
      <c r="A4519" t="str">
        <f>"1110084D00059    00"</f>
        <v>1110084D00059    00</v>
      </c>
      <c r="B4519" t="s">
        <v>10836</v>
      </c>
      <c r="C4519" t="s">
        <v>10837</v>
      </c>
      <c r="E4519" t="s">
        <v>39</v>
      </c>
      <c r="F4519">
        <v>0</v>
      </c>
      <c r="G4519">
        <v>0</v>
      </c>
      <c r="H4519">
        <v>1</v>
      </c>
      <c r="I4519" s="3">
        <v>442</v>
      </c>
      <c r="J4519" s="3">
        <v>55.25</v>
      </c>
      <c r="L4519">
        <v>423</v>
      </c>
      <c r="M4519" t="s">
        <v>3060</v>
      </c>
      <c r="N4519" t="s">
        <v>30</v>
      </c>
      <c r="O4519" t="s">
        <v>31</v>
      </c>
      <c r="P4519" t="str">
        <f>"15206"</f>
        <v>15206</v>
      </c>
    </row>
    <row r="4520" spans="1:16" x14ac:dyDescent="0.25">
      <c r="A4520" t="str">
        <f>"1110084D00064    00"</f>
        <v>1110084D00064    00</v>
      </c>
      <c r="B4520" t="s">
        <v>10838</v>
      </c>
      <c r="C4520" t="s">
        <v>10839</v>
      </c>
      <c r="D4520" t="s">
        <v>20</v>
      </c>
      <c r="E4520" t="s">
        <v>39</v>
      </c>
      <c r="F4520">
        <v>0</v>
      </c>
      <c r="G4520">
        <v>0</v>
      </c>
      <c r="H4520">
        <v>4</v>
      </c>
      <c r="I4520" s="3">
        <v>1203.2</v>
      </c>
      <c r="J4520" s="3">
        <v>37.22</v>
      </c>
      <c r="K4520" t="s">
        <v>10840</v>
      </c>
      <c r="L4520">
        <v>1384</v>
      </c>
      <c r="M4520" t="s">
        <v>10841</v>
      </c>
      <c r="N4520" t="s">
        <v>30</v>
      </c>
      <c r="O4520" t="s">
        <v>31</v>
      </c>
      <c r="P4520" t="str">
        <f>"15238"</f>
        <v>15238</v>
      </c>
    </row>
    <row r="4521" spans="1:16" x14ac:dyDescent="0.25">
      <c r="A4521" t="str">
        <f>"1110084D00066    00"</f>
        <v>1110084D00066    00</v>
      </c>
      <c r="B4521" t="s">
        <v>10842</v>
      </c>
      <c r="C4521" t="s">
        <v>10843</v>
      </c>
      <c r="D4521" t="s">
        <v>20</v>
      </c>
      <c r="E4521" t="s">
        <v>39</v>
      </c>
      <c r="F4521">
        <v>0</v>
      </c>
      <c r="G4521">
        <v>0</v>
      </c>
      <c r="H4521">
        <v>10</v>
      </c>
      <c r="I4521" s="3">
        <v>11234.51</v>
      </c>
      <c r="J4521" s="3">
        <v>4333.84</v>
      </c>
      <c r="L4521">
        <v>431</v>
      </c>
      <c r="M4521" t="s">
        <v>3060</v>
      </c>
      <c r="N4521" t="s">
        <v>30</v>
      </c>
      <c r="O4521" t="s">
        <v>31</v>
      </c>
      <c r="P4521" t="str">
        <f>"15206"</f>
        <v>15206</v>
      </c>
    </row>
    <row r="4522" spans="1:16" x14ac:dyDescent="0.25">
      <c r="A4522" t="str">
        <f>"1110084D00090    00"</f>
        <v>1110084D00090    00</v>
      </c>
      <c r="B4522" t="s">
        <v>10844</v>
      </c>
      <c r="C4522" t="s">
        <v>10845</v>
      </c>
      <c r="D4522" t="s">
        <v>20</v>
      </c>
      <c r="E4522" t="s">
        <v>39</v>
      </c>
      <c r="F4522">
        <v>0</v>
      </c>
      <c r="G4522">
        <v>0</v>
      </c>
      <c r="H4522">
        <v>2</v>
      </c>
      <c r="I4522" s="3">
        <v>1705</v>
      </c>
      <c r="J4522" s="3">
        <v>0</v>
      </c>
      <c r="L4522">
        <v>327</v>
      </c>
      <c r="M4522" t="s">
        <v>3060</v>
      </c>
      <c r="N4522" t="s">
        <v>30</v>
      </c>
      <c r="O4522" t="s">
        <v>31</v>
      </c>
      <c r="P4522" t="str">
        <f>"15206"</f>
        <v>15206</v>
      </c>
    </row>
    <row r="4523" spans="1:16" x14ac:dyDescent="0.25">
      <c r="A4523" t="str">
        <f>"1110084D00092    00"</f>
        <v>1110084D00092    00</v>
      </c>
      <c r="B4523" t="s">
        <v>10846</v>
      </c>
      <c r="C4523" t="s">
        <v>10847</v>
      </c>
      <c r="D4523" t="s">
        <v>20</v>
      </c>
      <c r="E4523" t="s">
        <v>39</v>
      </c>
      <c r="F4523">
        <v>0</v>
      </c>
      <c r="G4523">
        <v>0</v>
      </c>
      <c r="H4523">
        <v>4</v>
      </c>
      <c r="I4523" s="3">
        <v>1579.47</v>
      </c>
      <c r="J4523" s="3">
        <v>212.78</v>
      </c>
      <c r="L4523">
        <v>325</v>
      </c>
      <c r="M4523" t="s">
        <v>3060</v>
      </c>
      <c r="N4523" t="s">
        <v>30</v>
      </c>
      <c r="O4523" t="s">
        <v>31</v>
      </c>
      <c r="P4523" t="str">
        <f>"15206"</f>
        <v>15206</v>
      </c>
    </row>
    <row r="4524" spans="1:16" x14ac:dyDescent="0.25">
      <c r="A4524" t="str">
        <f>"1110084D00094    00"</f>
        <v>1110084D00094    00</v>
      </c>
      <c r="B4524" t="s">
        <v>10848</v>
      </c>
      <c r="C4524" t="s">
        <v>10849</v>
      </c>
      <c r="E4524" t="s">
        <v>39</v>
      </c>
      <c r="F4524">
        <v>0</v>
      </c>
      <c r="G4524">
        <v>0</v>
      </c>
      <c r="H4524">
        <v>3</v>
      </c>
      <c r="I4524" s="3">
        <v>1059.1199999999999</v>
      </c>
      <c r="J4524" s="3">
        <v>303.02999999999997</v>
      </c>
      <c r="L4524">
        <v>323</v>
      </c>
      <c r="M4524" t="s">
        <v>3060</v>
      </c>
      <c r="N4524" t="s">
        <v>30</v>
      </c>
      <c r="O4524" t="s">
        <v>31</v>
      </c>
      <c r="P4524" t="str">
        <f>"15206"</f>
        <v>15206</v>
      </c>
    </row>
    <row r="4525" spans="1:16" x14ac:dyDescent="0.25">
      <c r="A4525" t="str">
        <f>"1110084D00096    00"</f>
        <v>1110084D00096    00</v>
      </c>
      <c r="B4525" t="s">
        <v>10850</v>
      </c>
      <c r="C4525" t="s">
        <v>10851</v>
      </c>
      <c r="D4525" t="s">
        <v>20</v>
      </c>
      <c r="E4525" t="s">
        <v>39</v>
      </c>
      <c r="F4525">
        <v>0</v>
      </c>
      <c r="G4525">
        <v>0</v>
      </c>
      <c r="H4525">
        <v>1</v>
      </c>
      <c r="I4525" s="3">
        <v>610.91</v>
      </c>
      <c r="J4525" s="3">
        <v>0</v>
      </c>
      <c r="K4525" t="s">
        <v>10852</v>
      </c>
      <c r="L4525">
        <v>5046</v>
      </c>
      <c r="M4525" t="s">
        <v>3588</v>
      </c>
      <c r="N4525" t="s">
        <v>30</v>
      </c>
      <c r="O4525" t="s">
        <v>31</v>
      </c>
      <c r="P4525" t="str">
        <f>"15201"</f>
        <v>15201</v>
      </c>
    </row>
    <row r="4526" spans="1:16" x14ac:dyDescent="0.25">
      <c r="A4526" t="str">
        <f>"1110084D00102    00"</f>
        <v>1110084D00102    00</v>
      </c>
      <c r="B4526" t="s">
        <v>10853</v>
      </c>
      <c r="C4526" t="s">
        <v>10854</v>
      </c>
      <c r="E4526" t="s">
        <v>39</v>
      </c>
      <c r="F4526">
        <v>0</v>
      </c>
      <c r="G4526">
        <v>0</v>
      </c>
      <c r="H4526">
        <v>15</v>
      </c>
      <c r="I4526" s="3">
        <v>9029.98</v>
      </c>
      <c r="J4526" s="3">
        <v>8462.76</v>
      </c>
      <c r="K4526" t="s">
        <v>408</v>
      </c>
      <c r="M4526" t="s">
        <v>409</v>
      </c>
      <c r="N4526" t="s">
        <v>410</v>
      </c>
      <c r="O4526" t="s">
        <v>31</v>
      </c>
      <c r="P4526" t="str">
        <f>"15701"</f>
        <v>15701</v>
      </c>
    </row>
    <row r="4527" spans="1:16" x14ac:dyDescent="0.25">
      <c r="A4527" t="str">
        <f>"1110084D00112    00"</f>
        <v>1110084D00112    00</v>
      </c>
      <c r="B4527" t="s">
        <v>10855</v>
      </c>
      <c r="C4527" t="s">
        <v>10856</v>
      </c>
      <c r="D4527" t="s">
        <v>20</v>
      </c>
      <c r="E4527" t="s">
        <v>39</v>
      </c>
      <c r="F4527">
        <v>0</v>
      </c>
      <c r="G4527">
        <v>0</v>
      </c>
      <c r="H4527">
        <v>3</v>
      </c>
      <c r="I4527" s="3">
        <v>570.85</v>
      </c>
      <c r="J4527" s="3">
        <v>4.32</v>
      </c>
      <c r="K4527" t="s">
        <v>10857</v>
      </c>
      <c r="L4527">
        <v>312</v>
      </c>
      <c r="M4527" t="s">
        <v>3060</v>
      </c>
      <c r="N4527" t="s">
        <v>30</v>
      </c>
      <c r="O4527" t="s">
        <v>31</v>
      </c>
      <c r="P4527" t="str">
        <f>"15206"</f>
        <v>15206</v>
      </c>
    </row>
    <row r="4528" spans="1:16" x14ac:dyDescent="0.25">
      <c r="A4528" t="str">
        <f>"1110084D00118    00"</f>
        <v>1110084D00118    00</v>
      </c>
      <c r="B4528" t="s">
        <v>10858</v>
      </c>
      <c r="C4528" t="s">
        <v>10859</v>
      </c>
      <c r="D4528" t="s">
        <v>20</v>
      </c>
      <c r="E4528" t="s">
        <v>39</v>
      </c>
      <c r="F4528">
        <v>0</v>
      </c>
      <c r="G4528">
        <v>0</v>
      </c>
      <c r="H4528">
        <v>17</v>
      </c>
      <c r="I4528" s="3">
        <v>19735.18</v>
      </c>
      <c r="J4528" s="3">
        <v>15940.49</v>
      </c>
      <c r="L4528">
        <v>318</v>
      </c>
      <c r="M4528" t="s">
        <v>3060</v>
      </c>
      <c r="N4528" t="s">
        <v>30</v>
      </c>
      <c r="O4528" t="s">
        <v>31</v>
      </c>
      <c r="P4528" t="str">
        <f>"15206"</f>
        <v>15206</v>
      </c>
    </row>
    <row r="4529" spans="1:16" x14ac:dyDescent="0.25">
      <c r="A4529" t="str">
        <f>"1110084D00128    00"</f>
        <v>1110084D00128    00</v>
      </c>
      <c r="B4529" t="s">
        <v>10860</v>
      </c>
      <c r="C4529" t="s">
        <v>10861</v>
      </c>
      <c r="D4529" t="s">
        <v>20</v>
      </c>
      <c r="E4529" t="s">
        <v>39</v>
      </c>
      <c r="F4529">
        <v>0</v>
      </c>
      <c r="G4529">
        <v>0</v>
      </c>
      <c r="H4529">
        <v>6</v>
      </c>
      <c r="I4529" s="3">
        <v>5148.18</v>
      </c>
      <c r="J4529" s="3">
        <v>1155.17</v>
      </c>
      <c r="L4529">
        <v>328</v>
      </c>
      <c r="M4529" t="s">
        <v>3060</v>
      </c>
      <c r="N4529" t="s">
        <v>30</v>
      </c>
      <c r="O4529" t="s">
        <v>31</v>
      </c>
      <c r="P4529" t="str">
        <f>"15206"</f>
        <v>15206</v>
      </c>
    </row>
    <row r="4530" spans="1:16" x14ac:dyDescent="0.25">
      <c r="A4530" t="str">
        <f>"1110084D00137B   00"</f>
        <v>1110084D00137B   00</v>
      </c>
      <c r="B4530" t="s">
        <v>10862</v>
      </c>
      <c r="C4530" t="s">
        <v>10863</v>
      </c>
      <c r="D4530" t="s">
        <v>20</v>
      </c>
      <c r="E4530" t="s">
        <v>39</v>
      </c>
      <c r="F4530">
        <v>0</v>
      </c>
      <c r="G4530">
        <v>0</v>
      </c>
      <c r="H4530">
        <v>2</v>
      </c>
      <c r="I4530" s="3">
        <v>1252.44</v>
      </c>
      <c r="J4530" s="3">
        <v>0</v>
      </c>
      <c r="L4530">
        <v>13607</v>
      </c>
      <c r="M4530" t="s">
        <v>10864</v>
      </c>
      <c r="N4530" t="s">
        <v>10865</v>
      </c>
      <c r="O4530" t="s">
        <v>1184</v>
      </c>
      <c r="P4530" t="str">
        <f>"20874"</f>
        <v>20874</v>
      </c>
    </row>
    <row r="4531" spans="1:16" x14ac:dyDescent="0.25">
      <c r="A4531" t="str">
        <f>"1110084D00137E   00"</f>
        <v>1110084D00137E   00</v>
      </c>
      <c r="B4531" t="s">
        <v>10866</v>
      </c>
      <c r="C4531" t="s">
        <v>10867</v>
      </c>
      <c r="D4531" t="s">
        <v>20</v>
      </c>
      <c r="E4531" t="s">
        <v>39</v>
      </c>
      <c r="F4531">
        <v>0</v>
      </c>
      <c r="G4531">
        <v>0</v>
      </c>
      <c r="H4531">
        <v>1</v>
      </c>
      <c r="I4531" s="3">
        <v>610.39</v>
      </c>
      <c r="J4531" s="3">
        <v>0</v>
      </c>
      <c r="K4531" t="s">
        <v>10868</v>
      </c>
      <c r="L4531">
        <v>4425</v>
      </c>
      <c r="M4531" t="s">
        <v>10869</v>
      </c>
      <c r="N4531" t="s">
        <v>4652</v>
      </c>
      <c r="O4531" t="s">
        <v>370</v>
      </c>
      <c r="P4531" t="str">
        <f>"33146"</f>
        <v>33146</v>
      </c>
    </row>
    <row r="4532" spans="1:16" x14ac:dyDescent="0.25">
      <c r="A4532" t="str">
        <f>"1110084D00142    00"</f>
        <v>1110084D00142    00</v>
      </c>
      <c r="B4532" t="s">
        <v>10870</v>
      </c>
      <c r="C4532" t="s">
        <v>10871</v>
      </c>
      <c r="D4532" t="s">
        <v>20</v>
      </c>
      <c r="E4532" t="s">
        <v>39</v>
      </c>
      <c r="F4532">
        <v>0</v>
      </c>
      <c r="G4532">
        <v>0</v>
      </c>
      <c r="H4532">
        <v>3</v>
      </c>
      <c r="I4532" s="3">
        <v>2480.36</v>
      </c>
      <c r="J4532" s="3">
        <v>177.18</v>
      </c>
      <c r="L4532">
        <v>360</v>
      </c>
      <c r="M4532" t="s">
        <v>3060</v>
      </c>
      <c r="N4532" t="s">
        <v>30</v>
      </c>
      <c r="O4532" t="s">
        <v>31</v>
      </c>
      <c r="P4532" t="str">
        <f>"15206"</f>
        <v>15206</v>
      </c>
    </row>
    <row r="4533" spans="1:16" x14ac:dyDescent="0.25">
      <c r="A4533" t="str">
        <f>"1110084D00172    00"</f>
        <v>1110084D00172    00</v>
      </c>
      <c r="B4533" t="s">
        <v>10872</v>
      </c>
      <c r="C4533" t="s">
        <v>10873</v>
      </c>
      <c r="D4533" t="s">
        <v>20</v>
      </c>
      <c r="E4533" t="s">
        <v>39</v>
      </c>
      <c r="F4533">
        <v>0</v>
      </c>
      <c r="G4533">
        <v>0</v>
      </c>
      <c r="H4533">
        <v>1</v>
      </c>
      <c r="I4533" s="3">
        <v>420.22</v>
      </c>
      <c r="J4533" s="3">
        <v>0</v>
      </c>
      <c r="L4533">
        <v>370</v>
      </c>
      <c r="M4533" t="s">
        <v>3060</v>
      </c>
      <c r="N4533" t="s">
        <v>30</v>
      </c>
      <c r="O4533" t="s">
        <v>31</v>
      </c>
      <c r="P4533" t="str">
        <f>"15206"</f>
        <v>15206</v>
      </c>
    </row>
    <row r="4534" spans="1:16" x14ac:dyDescent="0.25">
      <c r="A4534" t="str">
        <f>"1110084D00176    00"</f>
        <v>1110084D00176    00</v>
      </c>
      <c r="B4534" t="s">
        <v>10874</v>
      </c>
      <c r="C4534" t="s">
        <v>10875</v>
      </c>
      <c r="D4534" t="s">
        <v>20</v>
      </c>
      <c r="E4534" t="s">
        <v>39</v>
      </c>
      <c r="F4534">
        <v>0</v>
      </c>
      <c r="G4534">
        <v>0</v>
      </c>
      <c r="H4534">
        <v>3</v>
      </c>
      <c r="I4534" s="3">
        <v>1541.97</v>
      </c>
      <c r="J4534" s="3">
        <v>84.81</v>
      </c>
      <c r="L4534">
        <v>374</v>
      </c>
      <c r="M4534" t="s">
        <v>3060</v>
      </c>
      <c r="N4534" t="s">
        <v>30</v>
      </c>
      <c r="O4534" t="s">
        <v>31</v>
      </c>
      <c r="P4534" t="str">
        <f>"15206"</f>
        <v>15206</v>
      </c>
    </row>
    <row r="4535" spans="1:16" x14ac:dyDescent="0.25">
      <c r="A4535" t="str">
        <f>"1110084D00188    00"</f>
        <v>1110084D00188    00</v>
      </c>
      <c r="B4535" t="s">
        <v>10876</v>
      </c>
      <c r="C4535" t="s">
        <v>10877</v>
      </c>
      <c r="D4535" t="s">
        <v>20</v>
      </c>
      <c r="E4535" t="s">
        <v>39</v>
      </c>
      <c r="F4535">
        <v>0</v>
      </c>
      <c r="G4535">
        <v>0</v>
      </c>
      <c r="H4535">
        <v>14</v>
      </c>
      <c r="I4535" s="3">
        <v>14934.56</v>
      </c>
      <c r="J4535" s="3">
        <v>8959.93</v>
      </c>
      <c r="L4535">
        <v>478</v>
      </c>
      <c r="M4535" t="s">
        <v>3060</v>
      </c>
      <c r="N4535" t="s">
        <v>30</v>
      </c>
      <c r="O4535" t="s">
        <v>31</v>
      </c>
      <c r="P4535" t="str">
        <f>"15206"</f>
        <v>15206</v>
      </c>
    </row>
    <row r="4536" spans="1:16" x14ac:dyDescent="0.25">
      <c r="A4536" t="str">
        <f>"1110084D00261    00"</f>
        <v>1110084D00261    00</v>
      </c>
      <c r="B4536" t="s">
        <v>10878</v>
      </c>
      <c r="C4536" t="s">
        <v>10879</v>
      </c>
      <c r="E4536" t="s">
        <v>21</v>
      </c>
      <c r="F4536">
        <v>0</v>
      </c>
      <c r="G4536">
        <v>0</v>
      </c>
      <c r="H4536">
        <v>1</v>
      </c>
      <c r="I4536" s="3">
        <v>2808.39</v>
      </c>
      <c r="J4536" s="3">
        <v>889.29</v>
      </c>
      <c r="K4536" t="s">
        <v>10880</v>
      </c>
      <c r="L4536">
        <v>147</v>
      </c>
      <c r="M4536" t="s">
        <v>10881</v>
      </c>
      <c r="N4536" t="s">
        <v>30</v>
      </c>
      <c r="O4536" t="s">
        <v>31</v>
      </c>
      <c r="P4536" t="str">
        <f>"15229"</f>
        <v>15229</v>
      </c>
    </row>
    <row r="4537" spans="1:16" x14ac:dyDescent="0.25">
      <c r="A4537" t="str">
        <f>"1110084H00121    00"</f>
        <v>1110084H00121    00</v>
      </c>
      <c r="B4537" t="s">
        <v>10882</v>
      </c>
      <c r="C4537" t="s">
        <v>4419</v>
      </c>
      <c r="E4537" t="s">
        <v>21</v>
      </c>
      <c r="F4537">
        <v>0</v>
      </c>
      <c r="G4537">
        <v>0</v>
      </c>
      <c r="H4537">
        <v>1</v>
      </c>
      <c r="I4537" s="3">
        <v>473.96</v>
      </c>
      <c r="J4537" s="3">
        <v>150.09</v>
      </c>
      <c r="L4537">
        <v>5500</v>
      </c>
      <c r="M4537" t="s">
        <v>10883</v>
      </c>
      <c r="N4537" t="s">
        <v>30</v>
      </c>
      <c r="O4537" t="s">
        <v>31</v>
      </c>
      <c r="P4537" t="str">
        <f>"15232"</f>
        <v>15232</v>
      </c>
    </row>
    <row r="4538" spans="1:16" x14ac:dyDescent="0.25">
      <c r="A4538" t="str">
        <f>"1110123E00028    00"</f>
        <v>1110123E00028    00</v>
      </c>
      <c r="B4538" t="s">
        <v>10884</v>
      </c>
      <c r="C4538" t="s">
        <v>10885</v>
      </c>
      <c r="D4538" t="s">
        <v>20</v>
      </c>
      <c r="E4538" t="s">
        <v>39</v>
      </c>
      <c r="F4538">
        <v>0</v>
      </c>
      <c r="G4538">
        <v>0</v>
      </c>
      <c r="H4538">
        <v>3</v>
      </c>
      <c r="I4538" s="3">
        <v>2264.34</v>
      </c>
      <c r="J4538" s="3">
        <v>50.32</v>
      </c>
      <c r="K4538" t="s">
        <v>5324</v>
      </c>
      <c r="M4538" t="s">
        <v>1439</v>
      </c>
      <c r="N4538" t="s">
        <v>1440</v>
      </c>
      <c r="O4538" t="s">
        <v>70</v>
      </c>
      <c r="P4538" t="str">
        <f>"48501"</f>
        <v>48501</v>
      </c>
    </row>
    <row r="4539" spans="1:16" x14ac:dyDescent="0.25">
      <c r="A4539" t="str">
        <f>"1110123E00051    00"</f>
        <v>1110123E00051    00</v>
      </c>
      <c r="B4539" t="s">
        <v>10886</v>
      </c>
      <c r="C4539" t="s">
        <v>10887</v>
      </c>
      <c r="D4539" t="s">
        <v>20</v>
      </c>
      <c r="E4539" t="s">
        <v>39</v>
      </c>
      <c r="F4539">
        <v>0</v>
      </c>
      <c r="G4539">
        <v>0</v>
      </c>
      <c r="H4539">
        <v>1</v>
      </c>
      <c r="I4539" s="3">
        <v>3345.49</v>
      </c>
      <c r="J4539" s="3">
        <v>0</v>
      </c>
      <c r="K4539" t="s">
        <v>725</v>
      </c>
      <c r="L4539">
        <v>1301</v>
      </c>
      <c r="M4539" t="s">
        <v>722</v>
      </c>
      <c r="N4539" t="s">
        <v>30</v>
      </c>
      <c r="O4539" t="s">
        <v>31</v>
      </c>
      <c r="P4539" t="str">
        <f>"15211"</f>
        <v>15211</v>
      </c>
    </row>
    <row r="4540" spans="1:16" x14ac:dyDescent="0.25">
      <c r="A4540" t="str">
        <f>"1110123E00066    00"</f>
        <v>1110123E00066    00</v>
      </c>
      <c r="B4540" t="s">
        <v>10888</v>
      </c>
      <c r="C4540" t="s">
        <v>10889</v>
      </c>
      <c r="E4540" t="s">
        <v>39</v>
      </c>
      <c r="F4540">
        <v>0</v>
      </c>
      <c r="G4540">
        <v>0</v>
      </c>
      <c r="H4540">
        <v>2</v>
      </c>
      <c r="I4540" s="3">
        <v>5029.7</v>
      </c>
      <c r="J4540" s="3">
        <v>418.34</v>
      </c>
      <c r="K4540" t="s">
        <v>10890</v>
      </c>
      <c r="L4540">
        <v>3001</v>
      </c>
      <c r="M4540" t="s">
        <v>330</v>
      </c>
      <c r="N4540" t="s">
        <v>331</v>
      </c>
      <c r="O4540" t="s">
        <v>108</v>
      </c>
      <c r="P4540" t="str">
        <f>"75063"</f>
        <v>75063</v>
      </c>
    </row>
    <row r="4541" spans="1:16" x14ac:dyDescent="0.25">
      <c r="A4541" t="str">
        <f>"1110123E00107    00"</f>
        <v>1110123E00107    00</v>
      </c>
      <c r="B4541" t="s">
        <v>10891</v>
      </c>
      <c r="C4541" t="s">
        <v>10892</v>
      </c>
      <c r="D4541" t="s">
        <v>20</v>
      </c>
      <c r="E4541" t="s">
        <v>39</v>
      </c>
      <c r="F4541">
        <v>0</v>
      </c>
      <c r="G4541">
        <v>0</v>
      </c>
      <c r="H4541">
        <v>1</v>
      </c>
      <c r="I4541" s="3">
        <v>6055.84</v>
      </c>
      <c r="J4541" s="3">
        <v>0</v>
      </c>
      <c r="K4541" t="s">
        <v>445</v>
      </c>
      <c r="L4541">
        <v>1</v>
      </c>
      <c r="M4541" t="s">
        <v>1163</v>
      </c>
      <c r="N4541" t="s">
        <v>1164</v>
      </c>
      <c r="O4541" t="s">
        <v>108</v>
      </c>
      <c r="P4541" t="str">
        <f>"76262"</f>
        <v>76262</v>
      </c>
    </row>
    <row r="4542" spans="1:16" x14ac:dyDescent="0.25">
      <c r="A4542" t="str">
        <f>"1110123J00019    00"</f>
        <v>1110123J00019    00</v>
      </c>
      <c r="B4542" t="s">
        <v>10893</v>
      </c>
      <c r="C4542" t="s">
        <v>10894</v>
      </c>
      <c r="E4542" t="s">
        <v>39</v>
      </c>
      <c r="F4542">
        <v>0</v>
      </c>
      <c r="G4542">
        <v>0</v>
      </c>
      <c r="H4542">
        <v>2</v>
      </c>
      <c r="I4542" s="3">
        <v>8725.41</v>
      </c>
      <c r="J4542" s="3">
        <v>1935.08</v>
      </c>
      <c r="L4542">
        <v>1339</v>
      </c>
      <c r="M4542" t="s">
        <v>5837</v>
      </c>
      <c r="N4542" t="s">
        <v>30</v>
      </c>
      <c r="O4542" t="s">
        <v>31</v>
      </c>
      <c r="P4542" t="str">
        <f>"15206"</f>
        <v>15206</v>
      </c>
    </row>
    <row r="4543" spans="1:16" x14ac:dyDescent="0.25">
      <c r="A4543" t="str">
        <f>"1110123J00023    00"</f>
        <v>1110123J00023    00</v>
      </c>
      <c r="B4543" t="s">
        <v>10895</v>
      </c>
      <c r="C4543" t="s">
        <v>10896</v>
      </c>
      <c r="E4543" t="s">
        <v>39</v>
      </c>
      <c r="F4543">
        <v>0</v>
      </c>
      <c r="G4543">
        <v>0</v>
      </c>
      <c r="H4543">
        <v>2</v>
      </c>
      <c r="I4543" s="3">
        <v>3179.2</v>
      </c>
      <c r="J4543" s="3">
        <v>39.729999999999997</v>
      </c>
      <c r="K4543" t="s">
        <v>1632</v>
      </c>
      <c r="M4543" t="s">
        <v>1633</v>
      </c>
      <c r="N4543" t="s">
        <v>1634</v>
      </c>
      <c r="O4543" t="s">
        <v>25</v>
      </c>
      <c r="P4543" t="str">
        <f>"45401"</f>
        <v>45401</v>
      </c>
    </row>
    <row r="4544" spans="1:16" x14ac:dyDescent="0.25">
      <c r="A4544" t="str">
        <f>"1110123J00026    00"</f>
        <v>1110123J00026    00</v>
      </c>
      <c r="B4544" t="s">
        <v>10897</v>
      </c>
      <c r="C4544" t="s">
        <v>10898</v>
      </c>
      <c r="D4544" t="s">
        <v>20</v>
      </c>
      <c r="E4544" t="s">
        <v>39</v>
      </c>
      <c r="F4544">
        <v>0</v>
      </c>
      <c r="G4544">
        <v>0</v>
      </c>
      <c r="H4544">
        <v>3</v>
      </c>
      <c r="I4544" s="3">
        <v>4204.42</v>
      </c>
      <c r="J4544" s="3">
        <v>115.15</v>
      </c>
      <c r="K4544" t="s">
        <v>1435</v>
      </c>
      <c r="M4544" t="s">
        <v>271</v>
      </c>
      <c r="N4544" t="s">
        <v>272</v>
      </c>
      <c r="O4544" t="s">
        <v>273</v>
      </c>
      <c r="P4544" t="str">
        <f>"29603"</f>
        <v>29603</v>
      </c>
    </row>
    <row r="4545" spans="1:16" x14ac:dyDescent="0.25">
      <c r="A4545" t="str">
        <f>"1110123J00048    00"</f>
        <v>1110123J00048    00</v>
      </c>
      <c r="B4545" t="s">
        <v>10899</v>
      </c>
      <c r="C4545" t="s">
        <v>10900</v>
      </c>
      <c r="E4545" t="s">
        <v>39</v>
      </c>
      <c r="F4545">
        <v>0</v>
      </c>
      <c r="G4545">
        <v>0</v>
      </c>
      <c r="H4545">
        <v>1</v>
      </c>
      <c r="I4545" s="3">
        <v>2579.81</v>
      </c>
      <c r="J4545" s="3">
        <v>0</v>
      </c>
      <c r="L4545">
        <v>1227</v>
      </c>
      <c r="M4545" t="s">
        <v>5837</v>
      </c>
      <c r="N4545" t="s">
        <v>30</v>
      </c>
      <c r="O4545" t="s">
        <v>31</v>
      </c>
      <c r="P4545" t="str">
        <f>"15206"</f>
        <v>15206</v>
      </c>
    </row>
    <row r="4546" spans="1:16" x14ac:dyDescent="0.25">
      <c r="A4546" t="str">
        <f>"1110123J00086    00"</f>
        <v>1110123J00086    00</v>
      </c>
      <c r="B4546" t="s">
        <v>10901</v>
      </c>
      <c r="C4546" t="s">
        <v>10902</v>
      </c>
      <c r="D4546" t="s">
        <v>20</v>
      </c>
      <c r="E4546" t="s">
        <v>39</v>
      </c>
      <c r="F4546">
        <v>0</v>
      </c>
      <c r="G4546">
        <v>0</v>
      </c>
      <c r="H4546">
        <v>1</v>
      </c>
      <c r="I4546" s="3">
        <v>3773.88</v>
      </c>
      <c r="J4546" s="3">
        <v>0</v>
      </c>
      <c r="K4546" t="s">
        <v>881</v>
      </c>
      <c r="L4546">
        <v>3001</v>
      </c>
      <c r="M4546" t="s">
        <v>330</v>
      </c>
      <c r="N4546" t="s">
        <v>331</v>
      </c>
      <c r="O4546" t="s">
        <v>108</v>
      </c>
      <c r="P4546" t="str">
        <f>"75063"</f>
        <v>75063</v>
      </c>
    </row>
    <row r="4547" spans="1:16" x14ac:dyDescent="0.25">
      <c r="A4547" t="str">
        <f>"1110123J00112000300"</f>
        <v>1110123J00112000300</v>
      </c>
      <c r="B4547" t="s">
        <v>10901</v>
      </c>
      <c r="C4547" t="s">
        <v>10903</v>
      </c>
      <c r="D4547" t="s">
        <v>20</v>
      </c>
      <c r="E4547" t="s">
        <v>39</v>
      </c>
      <c r="F4547">
        <v>0</v>
      </c>
      <c r="G4547">
        <v>0</v>
      </c>
      <c r="H4547">
        <v>1</v>
      </c>
      <c r="I4547" s="3">
        <v>41.93</v>
      </c>
      <c r="J4547" s="3">
        <v>0</v>
      </c>
      <c r="K4547" t="s">
        <v>881</v>
      </c>
      <c r="L4547">
        <v>3001</v>
      </c>
      <c r="M4547" t="s">
        <v>330</v>
      </c>
      <c r="N4547" t="s">
        <v>331</v>
      </c>
      <c r="O4547" t="s">
        <v>108</v>
      </c>
      <c r="P4547" t="str">
        <f>"75063"</f>
        <v>75063</v>
      </c>
    </row>
    <row r="4548" spans="1:16" x14ac:dyDescent="0.25">
      <c r="A4548" t="str">
        <f>"1110123J00146    00"</f>
        <v>1110123J00146    00</v>
      </c>
      <c r="B4548" t="s">
        <v>10904</v>
      </c>
      <c r="C4548" t="s">
        <v>10905</v>
      </c>
      <c r="E4548" t="s">
        <v>39</v>
      </c>
      <c r="F4548">
        <v>0</v>
      </c>
      <c r="G4548">
        <v>0</v>
      </c>
      <c r="H4548">
        <v>2</v>
      </c>
      <c r="I4548" s="3">
        <v>48.72</v>
      </c>
      <c r="J4548" s="3">
        <v>0.62</v>
      </c>
      <c r="K4548" t="s">
        <v>10906</v>
      </c>
      <c r="L4548">
        <v>1206</v>
      </c>
      <c r="M4548" t="s">
        <v>10907</v>
      </c>
      <c r="N4548" t="s">
        <v>30</v>
      </c>
      <c r="O4548" t="s">
        <v>31</v>
      </c>
      <c r="P4548" t="str">
        <f>"15206"</f>
        <v>15206</v>
      </c>
    </row>
    <row r="4549" spans="1:16" x14ac:dyDescent="0.25">
      <c r="A4549" t="str">
        <f>"1110123J00167    00"</f>
        <v>1110123J00167    00</v>
      </c>
      <c r="B4549" t="s">
        <v>10908</v>
      </c>
      <c r="C4549" t="s">
        <v>10909</v>
      </c>
      <c r="D4549" t="s">
        <v>20</v>
      </c>
      <c r="E4549" t="s">
        <v>39</v>
      </c>
      <c r="F4549">
        <v>0</v>
      </c>
      <c r="G4549">
        <v>0</v>
      </c>
      <c r="H4549">
        <v>1</v>
      </c>
      <c r="I4549" s="3">
        <v>3079.96</v>
      </c>
      <c r="J4549" s="3">
        <v>0</v>
      </c>
      <c r="K4549" t="s">
        <v>10910</v>
      </c>
      <c r="L4549">
        <v>1221</v>
      </c>
      <c r="M4549" t="s">
        <v>10911</v>
      </c>
      <c r="N4549" t="s">
        <v>30</v>
      </c>
      <c r="O4549" t="s">
        <v>31</v>
      </c>
      <c r="P4549" t="str">
        <f>"15206"</f>
        <v>15206</v>
      </c>
    </row>
    <row r="4550" spans="1:16" x14ac:dyDescent="0.25">
      <c r="A4550" t="str">
        <f>"1110123J00169    00"</f>
        <v>1110123J00169    00</v>
      </c>
      <c r="B4550" t="s">
        <v>10912</v>
      </c>
      <c r="C4550" t="s">
        <v>10913</v>
      </c>
      <c r="E4550" t="s">
        <v>39</v>
      </c>
      <c r="F4550">
        <v>0</v>
      </c>
      <c r="G4550">
        <v>0</v>
      </c>
      <c r="H4550">
        <v>2</v>
      </c>
      <c r="I4550" s="3">
        <v>2416.34</v>
      </c>
      <c r="J4550" s="3">
        <v>165.24</v>
      </c>
      <c r="K4550" t="s">
        <v>1632</v>
      </c>
      <c r="M4550" t="s">
        <v>1633</v>
      </c>
      <c r="N4550" t="s">
        <v>1634</v>
      </c>
      <c r="O4550" t="s">
        <v>25</v>
      </c>
      <c r="P4550" t="str">
        <f>"45401"</f>
        <v>45401</v>
      </c>
    </row>
    <row r="4551" spans="1:16" x14ac:dyDescent="0.25">
      <c r="A4551" t="str">
        <f>"1110123J00173    00"</f>
        <v>1110123J00173    00</v>
      </c>
      <c r="B4551" t="s">
        <v>10914</v>
      </c>
      <c r="C4551" t="s">
        <v>10915</v>
      </c>
      <c r="E4551" t="s">
        <v>39</v>
      </c>
      <c r="F4551">
        <v>0</v>
      </c>
      <c r="G4551">
        <v>0</v>
      </c>
      <c r="H4551">
        <v>2</v>
      </c>
      <c r="I4551" s="3">
        <v>4803.12</v>
      </c>
      <c r="J4551" s="3">
        <v>160.1</v>
      </c>
      <c r="K4551" t="s">
        <v>10916</v>
      </c>
      <c r="L4551">
        <v>1224</v>
      </c>
      <c r="M4551" t="s">
        <v>10911</v>
      </c>
      <c r="N4551" t="s">
        <v>30</v>
      </c>
      <c r="O4551" t="s">
        <v>31</v>
      </c>
      <c r="P4551" t="str">
        <f>"15206"</f>
        <v>15206</v>
      </c>
    </row>
    <row r="4552" spans="1:16" x14ac:dyDescent="0.25">
      <c r="A4552" t="str">
        <f>"1110123N00014    00"</f>
        <v>1110123N00014    00</v>
      </c>
      <c r="B4552" t="s">
        <v>10917</v>
      </c>
      <c r="C4552" t="s">
        <v>10918</v>
      </c>
      <c r="D4552" t="s">
        <v>20</v>
      </c>
      <c r="E4552" t="s">
        <v>39</v>
      </c>
      <c r="F4552">
        <v>0</v>
      </c>
      <c r="G4552">
        <v>0</v>
      </c>
      <c r="H4552">
        <v>1</v>
      </c>
      <c r="I4552" s="3">
        <v>500</v>
      </c>
      <c r="J4552" s="3">
        <v>0</v>
      </c>
      <c r="K4552" t="s">
        <v>10919</v>
      </c>
      <c r="L4552">
        <v>6104</v>
      </c>
      <c r="M4552" t="s">
        <v>10021</v>
      </c>
      <c r="N4552" t="s">
        <v>30</v>
      </c>
      <c r="O4552" t="s">
        <v>31</v>
      </c>
      <c r="P4552" t="str">
        <f>"15206"</f>
        <v>15206</v>
      </c>
    </row>
    <row r="4553" spans="1:16" x14ac:dyDescent="0.25">
      <c r="A4553" t="str">
        <f>"1110123N00026    00"</f>
        <v>1110123N00026    00</v>
      </c>
      <c r="B4553" t="s">
        <v>10920</v>
      </c>
      <c r="C4553" t="s">
        <v>10921</v>
      </c>
      <c r="E4553" t="s">
        <v>39</v>
      </c>
      <c r="F4553">
        <v>0</v>
      </c>
      <c r="G4553">
        <v>0</v>
      </c>
      <c r="H4553">
        <v>1</v>
      </c>
      <c r="I4553" s="3">
        <v>2366.7600000000002</v>
      </c>
      <c r="J4553" s="3">
        <v>1163.6099999999999</v>
      </c>
      <c r="K4553" t="s">
        <v>5301</v>
      </c>
      <c r="M4553" t="s">
        <v>10922</v>
      </c>
      <c r="N4553" t="s">
        <v>5407</v>
      </c>
      <c r="O4553" t="s">
        <v>273</v>
      </c>
      <c r="P4553" t="str">
        <f>"29502"</f>
        <v>29502</v>
      </c>
    </row>
    <row r="4554" spans="1:16" x14ac:dyDescent="0.25">
      <c r="A4554" t="str">
        <f>"1110123N00032    00"</f>
        <v>1110123N00032    00</v>
      </c>
      <c r="B4554" t="s">
        <v>10923</v>
      </c>
      <c r="C4554" t="s">
        <v>10924</v>
      </c>
      <c r="E4554" t="s">
        <v>39</v>
      </c>
      <c r="F4554">
        <v>0</v>
      </c>
      <c r="G4554">
        <v>0</v>
      </c>
      <c r="H4554">
        <v>1</v>
      </c>
      <c r="I4554" s="3">
        <v>3850.66</v>
      </c>
      <c r="J4554" s="3">
        <v>0</v>
      </c>
      <c r="L4554">
        <v>1116</v>
      </c>
      <c r="M4554" t="s">
        <v>10925</v>
      </c>
      <c r="N4554" t="s">
        <v>30</v>
      </c>
      <c r="O4554" t="s">
        <v>31</v>
      </c>
      <c r="P4554" t="str">
        <f>"15206"</f>
        <v>15206</v>
      </c>
    </row>
    <row r="4555" spans="1:16" x14ac:dyDescent="0.25">
      <c r="A4555" t="str">
        <f>"1110123N00037    00"</f>
        <v>1110123N00037    00</v>
      </c>
      <c r="B4555" t="s">
        <v>10926</v>
      </c>
      <c r="C4555" t="s">
        <v>10927</v>
      </c>
      <c r="D4555" t="s">
        <v>20</v>
      </c>
      <c r="E4555" t="s">
        <v>39</v>
      </c>
      <c r="F4555">
        <v>0</v>
      </c>
      <c r="G4555">
        <v>0</v>
      </c>
      <c r="H4555">
        <v>3</v>
      </c>
      <c r="I4555" s="3">
        <v>2836.14</v>
      </c>
      <c r="J4555" s="3">
        <v>63.02</v>
      </c>
      <c r="K4555" t="s">
        <v>2263</v>
      </c>
      <c r="L4555">
        <v>100</v>
      </c>
      <c r="M4555" t="s">
        <v>10928</v>
      </c>
      <c r="N4555" t="s">
        <v>30</v>
      </c>
      <c r="O4555" t="s">
        <v>31</v>
      </c>
      <c r="P4555" t="str">
        <f>"15238"</f>
        <v>15238</v>
      </c>
    </row>
    <row r="4556" spans="1:16" x14ac:dyDescent="0.25">
      <c r="A4556" t="str">
        <f>"1110123N00041    00"</f>
        <v>1110123N00041    00</v>
      </c>
      <c r="B4556" t="s">
        <v>10929</v>
      </c>
      <c r="C4556" t="s">
        <v>10930</v>
      </c>
      <c r="D4556" t="s">
        <v>20</v>
      </c>
      <c r="E4556" t="s">
        <v>39</v>
      </c>
      <c r="F4556">
        <v>0</v>
      </c>
      <c r="G4556">
        <v>0</v>
      </c>
      <c r="H4556">
        <v>3</v>
      </c>
      <c r="I4556" s="3">
        <v>8148.18</v>
      </c>
      <c r="J4556" s="3">
        <v>181.07</v>
      </c>
      <c r="K4556" t="s">
        <v>10931</v>
      </c>
      <c r="L4556">
        <v>2105</v>
      </c>
      <c r="M4556" t="s">
        <v>10932</v>
      </c>
      <c r="N4556" t="s">
        <v>826</v>
      </c>
      <c r="O4556" t="s">
        <v>9696</v>
      </c>
      <c r="P4556" t="str">
        <f>"47240"</f>
        <v>47240</v>
      </c>
    </row>
    <row r="4557" spans="1:16" x14ac:dyDescent="0.25">
      <c r="A4557" t="str">
        <f>"1110123N00085    00"</f>
        <v>1110123N00085    00</v>
      </c>
      <c r="B4557" t="s">
        <v>10933</v>
      </c>
      <c r="C4557" t="s">
        <v>10934</v>
      </c>
      <c r="D4557" t="s">
        <v>20</v>
      </c>
      <c r="E4557" t="s">
        <v>39</v>
      </c>
      <c r="F4557">
        <v>0</v>
      </c>
      <c r="G4557">
        <v>0</v>
      </c>
      <c r="H4557">
        <v>4</v>
      </c>
      <c r="I4557" s="3">
        <v>14211.47</v>
      </c>
      <c r="J4557" s="3">
        <v>961.75</v>
      </c>
      <c r="L4557">
        <v>1007</v>
      </c>
      <c r="M4557" t="s">
        <v>10907</v>
      </c>
      <c r="N4557" t="s">
        <v>30</v>
      </c>
      <c r="O4557" t="s">
        <v>31</v>
      </c>
      <c r="P4557" t="str">
        <f>"15206"</f>
        <v>15206</v>
      </c>
    </row>
    <row r="4558" spans="1:16" x14ac:dyDescent="0.25">
      <c r="A4558" t="str">
        <f>"1110123N00101    00"</f>
        <v>1110123N00101    00</v>
      </c>
      <c r="B4558" t="s">
        <v>10935</v>
      </c>
      <c r="C4558" t="s">
        <v>10903</v>
      </c>
      <c r="E4558" t="s">
        <v>39</v>
      </c>
      <c r="F4558">
        <v>0</v>
      </c>
      <c r="G4558">
        <v>0</v>
      </c>
      <c r="H4558">
        <v>1</v>
      </c>
      <c r="I4558" s="3">
        <v>22.03</v>
      </c>
      <c r="J4558" s="3">
        <v>0</v>
      </c>
      <c r="L4558">
        <v>1010</v>
      </c>
      <c r="M4558" t="s">
        <v>10386</v>
      </c>
      <c r="N4558" t="s">
        <v>30</v>
      </c>
      <c r="O4558" t="s">
        <v>31</v>
      </c>
      <c r="P4558" t="str">
        <f>"15206"</f>
        <v>15206</v>
      </c>
    </row>
    <row r="4559" spans="1:16" x14ac:dyDescent="0.25">
      <c r="A4559" t="str">
        <f>"1110123N00118    00"</f>
        <v>1110123N00118    00</v>
      </c>
      <c r="B4559" t="s">
        <v>10936</v>
      </c>
      <c r="C4559" t="s">
        <v>10937</v>
      </c>
      <c r="E4559" t="s">
        <v>39</v>
      </c>
      <c r="F4559">
        <v>0</v>
      </c>
      <c r="G4559">
        <v>0</v>
      </c>
      <c r="H4559">
        <v>1</v>
      </c>
      <c r="I4559" s="3">
        <v>2550.9299999999998</v>
      </c>
      <c r="J4559" s="3">
        <v>807.75</v>
      </c>
      <c r="K4559" t="s">
        <v>10938</v>
      </c>
      <c r="L4559">
        <v>1128</v>
      </c>
      <c r="M4559" t="s">
        <v>10386</v>
      </c>
      <c r="N4559" t="s">
        <v>30</v>
      </c>
      <c r="O4559" t="s">
        <v>31</v>
      </c>
      <c r="P4559" t="str">
        <f>"15206"</f>
        <v>15206</v>
      </c>
    </row>
    <row r="4560" spans="1:16" x14ac:dyDescent="0.25">
      <c r="A4560" t="str">
        <f>"1110123N00205    00"</f>
        <v>1110123N00205    00</v>
      </c>
      <c r="B4560" t="s">
        <v>10939</v>
      </c>
      <c r="C4560" t="s">
        <v>10940</v>
      </c>
      <c r="D4560" t="s">
        <v>57</v>
      </c>
      <c r="E4560" t="s">
        <v>39</v>
      </c>
      <c r="F4560">
        <v>0</v>
      </c>
      <c r="G4560">
        <v>0</v>
      </c>
      <c r="H4560">
        <v>1</v>
      </c>
      <c r="I4560" s="3">
        <v>4380.47</v>
      </c>
      <c r="J4560" s="3">
        <v>110.03</v>
      </c>
      <c r="K4560" t="s">
        <v>10941</v>
      </c>
      <c r="L4560">
        <v>431</v>
      </c>
      <c r="M4560" t="s">
        <v>10942</v>
      </c>
      <c r="N4560" t="s">
        <v>10943</v>
      </c>
      <c r="O4560" t="s">
        <v>31</v>
      </c>
      <c r="P4560" t="str">
        <f>"19333"</f>
        <v>19333</v>
      </c>
    </row>
    <row r="4561" spans="1:16" x14ac:dyDescent="0.25">
      <c r="A4561" t="str">
        <f>"1110123N00217    00"</f>
        <v>1110123N00217    00</v>
      </c>
      <c r="B4561" t="s">
        <v>10944</v>
      </c>
      <c r="C4561" t="s">
        <v>10945</v>
      </c>
      <c r="E4561" t="s">
        <v>39</v>
      </c>
      <c r="F4561">
        <v>0</v>
      </c>
      <c r="G4561">
        <v>0</v>
      </c>
      <c r="H4561">
        <v>1</v>
      </c>
      <c r="I4561" s="3">
        <v>335.67</v>
      </c>
      <c r="J4561" s="3">
        <v>0</v>
      </c>
      <c r="K4561" t="s">
        <v>1632</v>
      </c>
      <c r="M4561" t="s">
        <v>1633</v>
      </c>
      <c r="N4561" t="s">
        <v>1634</v>
      </c>
      <c r="O4561" t="s">
        <v>25</v>
      </c>
      <c r="P4561" t="str">
        <f>"45401"</f>
        <v>45401</v>
      </c>
    </row>
    <row r="4562" spans="1:16" x14ac:dyDescent="0.25">
      <c r="A4562" t="str">
        <f>"1110123N00272    00"</f>
        <v>1110123N00272    00</v>
      </c>
      <c r="B4562" t="s">
        <v>10946</v>
      </c>
      <c r="C4562" t="s">
        <v>10947</v>
      </c>
      <c r="D4562" t="s">
        <v>20</v>
      </c>
      <c r="E4562" t="s">
        <v>39</v>
      </c>
      <c r="F4562">
        <v>0</v>
      </c>
      <c r="G4562">
        <v>0</v>
      </c>
      <c r="H4562">
        <v>1</v>
      </c>
      <c r="I4562" s="3">
        <v>999.21</v>
      </c>
      <c r="J4562" s="3">
        <v>0</v>
      </c>
      <c r="L4562">
        <v>6613</v>
      </c>
      <c r="M4562" t="s">
        <v>10354</v>
      </c>
      <c r="N4562" t="s">
        <v>30</v>
      </c>
      <c r="O4562" t="s">
        <v>31</v>
      </c>
      <c r="P4562" t="str">
        <f>"15206"</f>
        <v>15206</v>
      </c>
    </row>
    <row r="4563" spans="1:16" x14ac:dyDescent="0.25">
      <c r="A4563" t="str">
        <f>"1110123N00292    00"</f>
        <v>1110123N00292    00</v>
      </c>
      <c r="B4563" t="s">
        <v>6701</v>
      </c>
      <c r="C4563" t="s">
        <v>10948</v>
      </c>
      <c r="D4563" t="s">
        <v>20</v>
      </c>
      <c r="E4563" t="s">
        <v>39</v>
      </c>
      <c r="F4563">
        <v>0</v>
      </c>
      <c r="G4563">
        <v>0</v>
      </c>
      <c r="H4563">
        <v>1</v>
      </c>
      <c r="I4563" s="3">
        <v>1715.4</v>
      </c>
      <c r="J4563" s="3">
        <v>0</v>
      </c>
      <c r="L4563">
        <v>126</v>
      </c>
      <c r="M4563" t="s">
        <v>6703</v>
      </c>
      <c r="N4563" t="s">
        <v>4318</v>
      </c>
      <c r="O4563" t="s">
        <v>31</v>
      </c>
      <c r="P4563" t="str">
        <f>"16046"</f>
        <v>16046</v>
      </c>
    </row>
    <row r="4564" spans="1:16" x14ac:dyDescent="0.25">
      <c r="A4564" t="str">
        <f>"1110123N00324    00"</f>
        <v>1110123N00324    00</v>
      </c>
      <c r="B4564" t="s">
        <v>10949</v>
      </c>
      <c r="C4564" t="s">
        <v>10950</v>
      </c>
      <c r="D4564" t="s">
        <v>20</v>
      </c>
      <c r="E4564" t="s">
        <v>39</v>
      </c>
      <c r="F4564">
        <v>0</v>
      </c>
      <c r="G4564">
        <v>0</v>
      </c>
      <c r="H4564">
        <v>1</v>
      </c>
      <c r="I4564" s="3">
        <v>2529.7199999999998</v>
      </c>
      <c r="J4564" s="3">
        <v>0</v>
      </c>
      <c r="K4564" t="s">
        <v>10951</v>
      </c>
      <c r="L4564">
        <v>6508</v>
      </c>
      <c r="M4564" t="s">
        <v>10354</v>
      </c>
      <c r="N4564" t="s">
        <v>30</v>
      </c>
      <c r="O4564" t="s">
        <v>31</v>
      </c>
      <c r="P4564" t="str">
        <f>"15206"</f>
        <v>15206</v>
      </c>
    </row>
    <row r="4565" spans="1:16" x14ac:dyDescent="0.25">
      <c r="A4565" t="str">
        <f>"1110123P00036    00"</f>
        <v>1110123P00036    00</v>
      </c>
      <c r="B4565" t="s">
        <v>10952</v>
      </c>
      <c r="C4565" t="s">
        <v>10953</v>
      </c>
      <c r="E4565" t="s">
        <v>39</v>
      </c>
      <c r="F4565">
        <v>0</v>
      </c>
      <c r="G4565">
        <v>0</v>
      </c>
      <c r="H4565">
        <v>2</v>
      </c>
      <c r="I4565" s="3">
        <v>3104.59</v>
      </c>
      <c r="J4565" s="3">
        <v>46.4</v>
      </c>
      <c r="L4565">
        <v>6715</v>
      </c>
      <c r="M4565" t="s">
        <v>3385</v>
      </c>
      <c r="N4565" t="s">
        <v>30</v>
      </c>
      <c r="O4565" t="s">
        <v>31</v>
      </c>
      <c r="P4565" t="str">
        <f>"15206"</f>
        <v>15206</v>
      </c>
    </row>
    <row r="4566" spans="1:16" x14ac:dyDescent="0.25">
      <c r="A4566" t="str">
        <f>"1110123P00051    00"</f>
        <v>1110123P00051    00</v>
      </c>
      <c r="B4566" t="s">
        <v>10954</v>
      </c>
      <c r="C4566" t="s">
        <v>10955</v>
      </c>
      <c r="E4566" t="s">
        <v>39</v>
      </c>
      <c r="F4566">
        <v>0</v>
      </c>
      <c r="G4566">
        <v>0</v>
      </c>
      <c r="H4566">
        <v>1</v>
      </c>
      <c r="I4566" s="3">
        <v>1369.5</v>
      </c>
      <c r="J4566" s="3">
        <v>376.6</v>
      </c>
      <c r="L4566">
        <v>6629</v>
      </c>
      <c r="M4566" t="s">
        <v>3385</v>
      </c>
      <c r="N4566" t="s">
        <v>30</v>
      </c>
      <c r="O4566" t="s">
        <v>31</v>
      </c>
      <c r="P4566" t="str">
        <f>"15206"</f>
        <v>15206</v>
      </c>
    </row>
    <row r="4567" spans="1:16" x14ac:dyDescent="0.25">
      <c r="A4567" t="str">
        <f>"1110123P00074    00"</f>
        <v>1110123P00074    00</v>
      </c>
      <c r="B4567" t="s">
        <v>10956</v>
      </c>
      <c r="C4567" t="s">
        <v>10957</v>
      </c>
      <c r="E4567" t="s">
        <v>39</v>
      </c>
      <c r="F4567">
        <v>0</v>
      </c>
      <c r="G4567">
        <v>0</v>
      </c>
      <c r="H4567">
        <v>2</v>
      </c>
      <c r="I4567" s="3">
        <v>4441</v>
      </c>
      <c r="J4567" s="3">
        <v>148.03</v>
      </c>
      <c r="K4567" t="s">
        <v>10958</v>
      </c>
      <c r="L4567">
        <v>6529</v>
      </c>
      <c r="M4567" t="s">
        <v>3385</v>
      </c>
      <c r="N4567" t="s">
        <v>30</v>
      </c>
      <c r="O4567" t="s">
        <v>31</v>
      </c>
      <c r="P4567" t="str">
        <f>"15206"</f>
        <v>15206</v>
      </c>
    </row>
    <row r="4568" spans="1:16" x14ac:dyDescent="0.25">
      <c r="A4568" t="str">
        <f>"1110124A00035    00"</f>
        <v>1110124A00035    00</v>
      </c>
      <c r="B4568" t="s">
        <v>10959</v>
      </c>
      <c r="C4568" t="s">
        <v>10960</v>
      </c>
      <c r="E4568" t="s">
        <v>39</v>
      </c>
      <c r="F4568">
        <v>0</v>
      </c>
      <c r="G4568">
        <v>0</v>
      </c>
      <c r="H4568">
        <v>2</v>
      </c>
      <c r="I4568" s="3">
        <v>8114.29</v>
      </c>
      <c r="J4568" s="3">
        <v>8249.2000000000007</v>
      </c>
      <c r="L4568">
        <v>6336</v>
      </c>
      <c r="M4568" t="s">
        <v>10354</v>
      </c>
      <c r="N4568" t="s">
        <v>30</v>
      </c>
      <c r="O4568" t="s">
        <v>31</v>
      </c>
      <c r="P4568" t="str">
        <f>"15206"</f>
        <v>15206</v>
      </c>
    </row>
    <row r="4569" spans="1:16" x14ac:dyDescent="0.25">
      <c r="A4569" t="str">
        <f>"1110124A00039    00"</f>
        <v>1110124A00039    00</v>
      </c>
      <c r="B4569" t="s">
        <v>10961</v>
      </c>
      <c r="C4569" t="s">
        <v>10962</v>
      </c>
      <c r="E4569" t="s">
        <v>39</v>
      </c>
      <c r="F4569">
        <v>0</v>
      </c>
      <c r="G4569">
        <v>0</v>
      </c>
      <c r="H4569">
        <v>1</v>
      </c>
      <c r="I4569" s="3">
        <v>5023.93</v>
      </c>
      <c r="J4569" s="3">
        <v>1381.53</v>
      </c>
      <c r="K4569" t="s">
        <v>756</v>
      </c>
      <c r="L4569">
        <v>3001</v>
      </c>
      <c r="M4569" t="s">
        <v>330</v>
      </c>
      <c r="N4569" t="s">
        <v>331</v>
      </c>
      <c r="O4569" t="s">
        <v>108</v>
      </c>
      <c r="P4569" t="str">
        <f>"75063"</f>
        <v>75063</v>
      </c>
    </row>
    <row r="4570" spans="1:16" x14ac:dyDescent="0.25">
      <c r="A4570" t="str">
        <f>"1110124A00045    00"</f>
        <v>1110124A00045    00</v>
      </c>
      <c r="B4570" t="s">
        <v>10963</v>
      </c>
      <c r="C4570" t="s">
        <v>10964</v>
      </c>
      <c r="D4570" t="s">
        <v>20</v>
      </c>
      <c r="E4570" t="s">
        <v>39</v>
      </c>
      <c r="F4570">
        <v>0</v>
      </c>
      <c r="G4570">
        <v>0</v>
      </c>
      <c r="H4570">
        <v>4</v>
      </c>
      <c r="I4570" s="3">
        <v>11091.47</v>
      </c>
      <c r="J4570" s="3">
        <v>1099.78</v>
      </c>
      <c r="K4570" t="s">
        <v>1632</v>
      </c>
      <c r="L4570">
        <v>3001</v>
      </c>
      <c r="M4570" t="s">
        <v>330</v>
      </c>
      <c r="N4570" t="s">
        <v>331</v>
      </c>
      <c r="O4570" t="s">
        <v>108</v>
      </c>
      <c r="P4570" t="str">
        <f>"75063"</f>
        <v>75063</v>
      </c>
    </row>
    <row r="4571" spans="1:16" x14ac:dyDescent="0.25">
      <c r="A4571" t="str">
        <f>"1110124A00047    00"</f>
        <v>1110124A00047    00</v>
      </c>
      <c r="B4571" t="s">
        <v>10965</v>
      </c>
      <c r="C4571" t="s">
        <v>10966</v>
      </c>
      <c r="D4571" t="s">
        <v>20</v>
      </c>
      <c r="E4571" t="s">
        <v>39</v>
      </c>
      <c r="F4571">
        <v>0</v>
      </c>
      <c r="G4571">
        <v>0</v>
      </c>
      <c r="H4571">
        <v>2</v>
      </c>
      <c r="I4571" s="3">
        <v>12007.03</v>
      </c>
      <c r="J4571" s="3">
        <v>0</v>
      </c>
      <c r="K4571" t="s">
        <v>6511</v>
      </c>
      <c r="L4571">
        <v>4270</v>
      </c>
      <c r="M4571" t="s">
        <v>10967</v>
      </c>
      <c r="N4571" t="s">
        <v>264</v>
      </c>
      <c r="O4571" t="s">
        <v>25</v>
      </c>
      <c r="P4571" t="str">
        <f>"45245"</f>
        <v>45245</v>
      </c>
    </row>
    <row r="4572" spans="1:16" x14ac:dyDescent="0.25">
      <c r="A4572" t="str">
        <f>"1110124A00053    00"</f>
        <v>1110124A00053    00</v>
      </c>
      <c r="B4572" t="s">
        <v>10968</v>
      </c>
      <c r="C4572" t="s">
        <v>10969</v>
      </c>
      <c r="E4572" t="s">
        <v>39</v>
      </c>
      <c r="F4572">
        <v>0</v>
      </c>
      <c r="G4572">
        <v>0</v>
      </c>
      <c r="H4572">
        <v>1</v>
      </c>
      <c r="I4572" s="3">
        <v>431.2</v>
      </c>
      <c r="J4572" s="3">
        <v>0</v>
      </c>
      <c r="L4572">
        <v>6376</v>
      </c>
      <c r="M4572" t="s">
        <v>10354</v>
      </c>
      <c r="N4572" t="s">
        <v>30</v>
      </c>
      <c r="O4572" t="s">
        <v>31</v>
      </c>
      <c r="P4572" t="str">
        <f>"15206"</f>
        <v>15206</v>
      </c>
    </row>
    <row r="4573" spans="1:16" x14ac:dyDescent="0.25">
      <c r="A4573" t="str">
        <f>"1110124A00062    00"</f>
        <v>1110124A00062    00</v>
      </c>
      <c r="B4573" t="s">
        <v>10970</v>
      </c>
      <c r="C4573" t="s">
        <v>10971</v>
      </c>
      <c r="D4573" t="s">
        <v>20</v>
      </c>
      <c r="E4573" t="s">
        <v>39</v>
      </c>
      <c r="F4573">
        <v>0</v>
      </c>
      <c r="G4573">
        <v>0</v>
      </c>
      <c r="H4573">
        <v>5</v>
      </c>
      <c r="I4573" s="3">
        <v>8395.9</v>
      </c>
      <c r="J4573" s="3">
        <v>1344.58</v>
      </c>
      <c r="L4573">
        <v>5915</v>
      </c>
      <c r="M4573" t="s">
        <v>6173</v>
      </c>
      <c r="N4573" t="s">
        <v>30</v>
      </c>
      <c r="O4573" t="s">
        <v>31</v>
      </c>
      <c r="P4573" t="str">
        <f>"15206"</f>
        <v>15206</v>
      </c>
    </row>
    <row r="4574" spans="1:16" x14ac:dyDescent="0.25">
      <c r="A4574" t="str">
        <f>"1110124A00118    00"</f>
        <v>1110124A00118    00</v>
      </c>
      <c r="B4574" t="s">
        <v>10972</v>
      </c>
      <c r="C4574" t="s">
        <v>10973</v>
      </c>
      <c r="E4574" t="s">
        <v>39</v>
      </c>
      <c r="F4574">
        <v>0</v>
      </c>
      <c r="G4574">
        <v>0</v>
      </c>
      <c r="H4574">
        <v>2</v>
      </c>
      <c r="I4574" s="3">
        <v>3826.57</v>
      </c>
      <c r="J4574" s="3">
        <v>261.68</v>
      </c>
      <c r="K4574" t="s">
        <v>10974</v>
      </c>
      <c r="L4574">
        <v>3131</v>
      </c>
      <c r="M4574" t="s">
        <v>10975</v>
      </c>
      <c r="N4574" t="s">
        <v>8912</v>
      </c>
      <c r="O4574" t="s">
        <v>495</v>
      </c>
      <c r="P4574" t="str">
        <f>"92108"</f>
        <v>92108</v>
      </c>
    </row>
    <row r="4575" spans="1:16" x14ac:dyDescent="0.25">
      <c r="A4575" t="str">
        <f>"1110124A00122    00"</f>
        <v>1110124A00122    00</v>
      </c>
      <c r="B4575" t="s">
        <v>10976</v>
      </c>
      <c r="C4575" t="s">
        <v>10977</v>
      </c>
      <c r="E4575" t="s">
        <v>39</v>
      </c>
      <c r="F4575">
        <v>0</v>
      </c>
      <c r="G4575">
        <v>0</v>
      </c>
      <c r="H4575">
        <v>2</v>
      </c>
      <c r="I4575" s="3">
        <v>5958.18</v>
      </c>
      <c r="J4575" s="3">
        <v>198.6</v>
      </c>
      <c r="K4575" t="s">
        <v>10978</v>
      </c>
      <c r="L4575">
        <v>6413</v>
      </c>
      <c r="M4575" t="s">
        <v>10354</v>
      </c>
      <c r="N4575" t="s">
        <v>30</v>
      </c>
      <c r="O4575" t="s">
        <v>31</v>
      </c>
      <c r="P4575" t="str">
        <f>"15206"</f>
        <v>15206</v>
      </c>
    </row>
    <row r="4576" spans="1:16" x14ac:dyDescent="0.25">
      <c r="A4576" t="str">
        <f>"1110124A00124    00"</f>
        <v>1110124A00124    00</v>
      </c>
      <c r="B4576" t="s">
        <v>10979</v>
      </c>
      <c r="C4576" t="s">
        <v>10980</v>
      </c>
      <c r="E4576" t="s">
        <v>39</v>
      </c>
      <c r="F4576">
        <v>0</v>
      </c>
      <c r="G4576">
        <v>0</v>
      </c>
      <c r="H4576">
        <v>2</v>
      </c>
      <c r="I4576" s="3">
        <v>3163.26</v>
      </c>
      <c r="J4576" s="3">
        <v>216.32</v>
      </c>
      <c r="K4576" t="s">
        <v>10981</v>
      </c>
      <c r="L4576">
        <v>21607</v>
      </c>
      <c r="M4576" t="s">
        <v>10982</v>
      </c>
      <c r="N4576" t="s">
        <v>10983</v>
      </c>
      <c r="O4576" t="s">
        <v>6668</v>
      </c>
      <c r="P4576" t="str">
        <f>"98074"</f>
        <v>98074</v>
      </c>
    </row>
    <row r="4577" spans="1:16" x14ac:dyDescent="0.25">
      <c r="A4577" t="str">
        <f>"1110124A00136    00"</f>
        <v>1110124A00136    00</v>
      </c>
      <c r="B4577" t="s">
        <v>10984</v>
      </c>
      <c r="C4577" t="s">
        <v>10985</v>
      </c>
      <c r="E4577" t="s">
        <v>39</v>
      </c>
      <c r="F4577">
        <v>0</v>
      </c>
      <c r="G4577">
        <v>0</v>
      </c>
      <c r="H4577">
        <v>1</v>
      </c>
      <c r="I4577" s="3">
        <v>925.05</v>
      </c>
      <c r="J4577" s="3">
        <v>0</v>
      </c>
      <c r="K4577" t="s">
        <v>10986</v>
      </c>
      <c r="L4577">
        <v>6357</v>
      </c>
      <c r="M4577" t="s">
        <v>10354</v>
      </c>
      <c r="N4577" t="s">
        <v>30</v>
      </c>
      <c r="O4577" t="s">
        <v>31</v>
      </c>
      <c r="P4577" t="str">
        <f>"15206"</f>
        <v>15206</v>
      </c>
    </row>
    <row r="4578" spans="1:16" x14ac:dyDescent="0.25">
      <c r="A4578" t="str">
        <f>"1110124A00165    00"</f>
        <v>1110124A00165    00</v>
      </c>
      <c r="B4578" t="s">
        <v>10987</v>
      </c>
      <c r="C4578" t="s">
        <v>10988</v>
      </c>
      <c r="D4578" t="s">
        <v>20</v>
      </c>
      <c r="E4578" t="s">
        <v>39</v>
      </c>
      <c r="F4578">
        <v>0</v>
      </c>
      <c r="G4578">
        <v>0</v>
      </c>
      <c r="H4578">
        <v>2</v>
      </c>
      <c r="I4578" s="3">
        <v>7625</v>
      </c>
      <c r="J4578" s="3">
        <v>0</v>
      </c>
      <c r="L4578">
        <v>914</v>
      </c>
      <c r="M4578" t="s">
        <v>10386</v>
      </c>
      <c r="N4578" t="s">
        <v>30</v>
      </c>
      <c r="O4578" t="s">
        <v>31</v>
      </c>
      <c r="P4578" t="str">
        <f>"15206"</f>
        <v>15206</v>
      </c>
    </row>
    <row r="4579" spans="1:16" x14ac:dyDescent="0.25">
      <c r="A4579" t="str">
        <f>"1110124A00170    00"</f>
        <v>1110124A00170    00</v>
      </c>
      <c r="B4579" t="s">
        <v>10989</v>
      </c>
      <c r="C4579" t="s">
        <v>10990</v>
      </c>
      <c r="E4579" t="s">
        <v>39</v>
      </c>
      <c r="F4579">
        <v>0</v>
      </c>
      <c r="G4579">
        <v>0</v>
      </c>
      <c r="H4579">
        <v>2</v>
      </c>
      <c r="I4579" s="3">
        <v>4837.43</v>
      </c>
      <c r="J4579" s="3">
        <v>79.42</v>
      </c>
      <c r="K4579" t="s">
        <v>391</v>
      </c>
      <c r="L4579">
        <v>1</v>
      </c>
      <c r="M4579" t="s">
        <v>392</v>
      </c>
      <c r="N4579" t="s">
        <v>393</v>
      </c>
      <c r="O4579" t="s">
        <v>394</v>
      </c>
      <c r="P4579" t="str">
        <f>"50328"</f>
        <v>50328</v>
      </c>
    </row>
    <row r="4580" spans="1:16" x14ac:dyDescent="0.25">
      <c r="A4580" t="str">
        <f>"1110124A00172    00"</f>
        <v>1110124A00172    00</v>
      </c>
      <c r="B4580" t="s">
        <v>10991</v>
      </c>
      <c r="C4580" t="s">
        <v>10992</v>
      </c>
      <c r="E4580" t="s">
        <v>39</v>
      </c>
      <c r="F4580">
        <v>0</v>
      </c>
      <c r="G4580">
        <v>0</v>
      </c>
      <c r="H4580">
        <v>2</v>
      </c>
      <c r="I4580" s="3">
        <v>2720.12</v>
      </c>
      <c r="J4580" s="3">
        <v>186.02</v>
      </c>
      <c r="K4580" t="s">
        <v>5352</v>
      </c>
      <c r="L4580">
        <v>3001</v>
      </c>
      <c r="M4580" t="s">
        <v>330</v>
      </c>
      <c r="N4580" t="s">
        <v>331</v>
      </c>
      <c r="O4580" t="s">
        <v>108</v>
      </c>
      <c r="P4580" t="str">
        <f>"75063"</f>
        <v>75063</v>
      </c>
    </row>
    <row r="4581" spans="1:16" x14ac:dyDescent="0.25">
      <c r="A4581" t="str">
        <f>"1110124A00182    00"</f>
        <v>1110124A00182    00</v>
      </c>
      <c r="B4581" t="s">
        <v>10993</v>
      </c>
      <c r="C4581" t="s">
        <v>10994</v>
      </c>
      <c r="E4581" t="s">
        <v>39</v>
      </c>
      <c r="F4581">
        <v>0</v>
      </c>
      <c r="G4581">
        <v>0</v>
      </c>
      <c r="H4581">
        <v>2</v>
      </c>
      <c r="I4581" s="3">
        <v>1510.99</v>
      </c>
      <c r="J4581" s="3">
        <v>566.47</v>
      </c>
      <c r="K4581" t="s">
        <v>391</v>
      </c>
      <c r="L4581">
        <v>1</v>
      </c>
      <c r="M4581" t="s">
        <v>392</v>
      </c>
      <c r="N4581" t="s">
        <v>393</v>
      </c>
      <c r="O4581" t="s">
        <v>394</v>
      </c>
      <c r="P4581" t="str">
        <f>"50328"</f>
        <v>50328</v>
      </c>
    </row>
    <row r="4582" spans="1:16" x14ac:dyDescent="0.25">
      <c r="A4582" t="str">
        <f>"1110124A00253    00"</f>
        <v>1110124A00253    00</v>
      </c>
      <c r="B4582" t="s">
        <v>10995</v>
      </c>
      <c r="C4582" t="s">
        <v>10996</v>
      </c>
      <c r="D4582" t="s">
        <v>20</v>
      </c>
      <c r="E4582" t="s">
        <v>39</v>
      </c>
      <c r="F4582">
        <v>0</v>
      </c>
      <c r="G4582">
        <v>0</v>
      </c>
      <c r="H4582">
        <v>1</v>
      </c>
      <c r="I4582" s="3">
        <v>10328.629999999999</v>
      </c>
      <c r="J4582" s="3">
        <v>0</v>
      </c>
      <c r="K4582" t="s">
        <v>10997</v>
      </c>
      <c r="L4582">
        <v>974</v>
      </c>
      <c r="M4582" t="s">
        <v>10998</v>
      </c>
      <c r="N4582" t="s">
        <v>30</v>
      </c>
      <c r="O4582" t="s">
        <v>31</v>
      </c>
      <c r="P4582" t="str">
        <f>"15206"</f>
        <v>15206</v>
      </c>
    </row>
    <row r="4583" spans="1:16" x14ac:dyDescent="0.25">
      <c r="A4583" t="str">
        <f>"1110124A00272    00"</f>
        <v>1110124A00272    00</v>
      </c>
      <c r="B4583" t="s">
        <v>10999</v>
      </c>
      <c r="C4583" t="s">
        <v>11000</v>
      </c>
      <c r="E4583" t="s">
        <v>39</v>
      </c>
      <c r="F4583">
        <v>0</v>
      </c>
      <c r="G4583">
        <v>0</v>
      </c>
      <c r="H4583">
        <v>2</v>
      </c>
      <c r="I4583" s="3">
        <v>3133.46</v>
      </c>
      <c r="J4583" s="3">
        <v>39.159999999999997</v>
      </c>
      <c r="K4583" t="s">
        <v>756</v>
      </c>
      <c r="L4583">
        <v>3001</v>
      </c>
      <c r="M4583" t="s">
        <v>330</v>
      </c>
      <c r="N4583" t="s">
        <v>331</v>
      </c>
      <c r="O4583" t="s">
        <v>108</v>
      </c>
      <c r="P4583" t="str">
        <f>"75063"</f>
        <v>75063</v>
      </c>
    </row>
    <row r="4584" spans="1:16" x14ac:dyDescent="0.25">
      <c r="A4584" t="str">
        <f>"1110124A00295    00"</f>
        <v>1110124A00295    00</v>
      </c>
      <c r="B4584" t="s">
        <v>11001</v>
      </c>
      <c r="C4584" t="s">
        <v>11002</v>
      </c>
      <c r="E4584" t="s">
        <v>39</v>
      </c>
      <c r="F4584">
        <v>0</v>
      </c>
      <c r="G4584">
        <v>0</v>
      </c>
      <c r="H4584">
        <v>1</v>
      </c>
      <c r="I4584" s="3">
        <v>4406.7299999999996</v>
      </c>
      <c r="J4584" s="3">
        <v>1211.8</v>
      </c>
      <c r="K4584" t="s">
        <v>11003</v>
      </c>
      <c r="L4584">
        <v>931</v>
      </c>
      <c r="M4584" t="s">
        <v>10386</v>
      </c>
      <c r="N4584" t="s">
        <v>30</v>
      </c>
      <c r="O4584" t="s">
        <v>31</v>
      </c>
      <c r="P4584" t="str">
        <f>"15206"</f>
        <v>15206</v>
      </c>
    </row>
    <row r="4585" spans="1:16" x14ac:dyDescent="0.25">
      <c r="A4585" t="str">
        <f>"1110124B00016    00"</f>
        <v>1110124B00016    00</v>
      </c>
      <c r="B4585" t="s">
        <v>11004</v>
      </c>
      <c r="C4585" t="s">
        <v>11005</v>
      </c>
      <c r="D4585" t="s">
        <v>20</v>
      </c>
      <c r="E4585" t="s">
        <v>39</v>
      </c>
      <c r="F4585">
        <v>0</v>
      </c>
      <c r="G4585">
        <v>0</v>
      </c>
      <c r="H4585">
        <v>3</v>
      </c>
      <c r="I4585" s="3">
        <v>6994.72</v>
      </c>
      <c r="J4585" s="3">
        <v>50.98</v>
      </c>
      <c r="K4585" t="s">
        <v>11006</v>
      </c>
      <c r="L4585">
        <v>405</v>
      </c>
      <c r="M4585" t="s">
        <v>11007</v>
      </c>
      <c r="N4585" t="s">
        <v>11008</v>
      </c>
      <c r="O4585" t="s">
        <v>370</v>
      </c>
      <c r="P4585" t="str">
        <f>"32092"</f>
        <v>32092</v>
      </c>
    </row>
    <row r="4586" spans="1:16" x14ac:dyDescent="0.25">
      <c r="A4586" t="str">
        <f>"1110124B00025    00"</f>
        <v>1110124B00025    00</v>
      </c>
      <c r="B4586" t="s">
        <v>11009</v>
      </c>
      <c r="C4586" t="s">
        <v>11010</v>
      </c>
      <c r="D4586" t="s">
        <v>20</v>
      </c>
      <c r="E4586" t="s">
        <v>39</v>
      </c>
      <c r="F4586">
        <v>0</v>
      </c>
      <c r="G4586">
        <v>0</v>
      </c>
      <c r="H4586">
        <v>1</v>
      </c>
      <c r="I4586" s="3">
        <v>2443.61</v>
      </c>
      <c r="J4586" s="3">
        <v>0</v>
      </c>
      <c r="L4586">
        <v>4101</v>
      </c>
      <c r="M4586" t="s">
        <v>11011</v>
      </c>
      <c r="N4586" t="s">
        <v>546</v>
      </c>
      <c r="O4586" t="s">
        <v>31</v>
      </c>
      <c r="P4586" t="str">
        <f>"15044"</f>
        <v>15044</v>
      </c>
    </row>
    <row r="4587" spans="1:16" x14ac:dyDescent="0.25">
      <c r="A4587" t="str">
        <f>"1110124B00031    00"</f>
        <v>1110124B00031    00</v>
      </c>
      <c r="B4587" t="s">
        <v>11012</v>
      </c>
      <c r="C4587" t="s">
        <v>11013</v>
      </c>
      <c r="D4587" t="s">
        <v>57</v>
      </c>
      <c r="E4587" t="s">
        <v>39</v>
      </c>
      <c r="F4587">
        <v>0</v>
      </c>
      <c r="G4587">
        <v>0</v>
      </c>
      <c r="H4587">
        <v>2</v>
      </c>
      <c r="I4587" s="3">
        <v>8407.3799999999992</v>
      </c>
      <c r="J4587" s="3">
        <v>392.31</v>
      </c>
      <c r="K4587" t="s">
        <v>400</v>
      </c>
      <c r="L4587">
        <v>3001</v>
      </c>
      <c r="M4587" t="s">
        <v>330</v>
      </c>
      <c r="N4587" t="s">
        <v>331</v>
      </c>
      <c r="O4587" t="s">
        <v>108</v>
      </c>
      <c r="P4587" t="str">
        <f>"75063"</f>
        <v>75063</v>
      </c>
    </row>
    <row r="4588" spans="1:16" x14ac:dyDescent="0.25">
      <c r="A4588" t="str">
        <f>"1110124E00023    00"</f>
        <v>1110124E00023    00</v>
      </c>
      <c r="B4588" t="s">
        <v>11014</v>
      </c>
      <c r="C4588" t="s">
        <v>11015</v>
      </c>
      <c r="D4588" t="s">
        <v>20</v>
      </c>
      <c r="E4588" t="s">
        <v>39</v>
      </c>
      <c r="F4588">
        <v>0</v>
      </c>
      <c r="G4588">
        <v>0</v>
      </c>
      <c r="H4588">
        <v>17</v>
      </c>
      <c r="I4588" s="3">
        <v>857.51</v>
      </c>
      <c r="J4588" s="3">
        <v>1098.56</v>
      </c>
      <c r="M4588" t="s">
        <v>11016</v>
      </c>
      <c r="N4588" t="s">
        <v>1061</v>
      </c>
      <c r="O4588" t="s">
        <v>495</v>
      </c>
      <c r="P4588" t="str">
        <f>"90004"</f>
        <v>90004</v>
      </c>
    </row>
    <row r="4589" spans="1:16" x14ac:dyDescent="0.25">
      <c r="A4589" t="str">
        <f>"1110124E00053    00"</f>
        <v>1110124E00053    00</v>
      </c>
      <c r="B4589" t="s">
        <v>11017</v>
      </c>
      <c r="C4589" t="s">
        <v>11018</v>
      </c>
      <c r="D4589" t="s">
        <v>20</v>
      </c>
      <c r="E4589" t="s">
        <v>39</v>
      </c>
      <c r="F4589">
        <v>0</v>
      </c>
      <c r="G4589">
        <v>0</v>
      </c>
      <c r="H4589">
        <v>2</v>
      </c>
      <c r="I4589" s="3">
        <v>3999.82</v>
      </c>
      <c r="J4589" s="3">
        <v>0</v>
      </c>
      <c r="L4589">
        <v>6314</v>
      </c>
      <c r="M4589" t="s">
        <v>11016</v>
      </c>
      <c r="N4589" t="s">
        <v>30</v>
      </c>
      <c r="O4589" t="s">
        <v>31</v>
      </c>
      <c r="P4589" t="str">
        <f>"15206"</f>
        <v>15206</v>
      </c>
    </row>
    <row r="4590" spans="1:16" x14ac:dyDescent="0.25">
      <c r="A4590" t="str">
        <f>"1110124E00055    00"</f>
        <v>1110124E00055    00</v>
      </c>
      <c r="B4590" t="s">
        <v>11019</v>
      </c>
      <c r="C4590" t="s">
        <v>11020</v>
      </c>
      <c r="D4590" t="s">
        <v>20</v>
      </c>
      <c r="E4590" t="s">
        <v>39</v>
      </c>
      <c r="F4590">
        <v>0</v>
      </c>
      <c r="G4590">
        <v>0</v>
      </c>
      <c r="H4590">
        <v>2</v>
      </c>
      <c r="I4590" s="3">
        <v>3817.16</v>
      </c>
      <c r="J4590" s="3">
        <v>0</v>
      </c>
      <c r="K4590" t="s">
        <v>11021</v>
      </c>
      <c r="L4590">
        <v>540</v>
      </c>
      <c r="M4590" t="s">
        <v>11022</v>
      </c>
      <c r="N4590" t="s">
        <v>4150</v>
      </c>
      <c r="O4590" t="s">
        <v>31</v>
      </c>
      <c r="P4590" t="str">
        <f>"15116"</f>
        <v>15116</v>
      </c>
    </row>
    <row r="4591" spans="1:16" x14ac:dyDescent="0.25">
      <c r="A4591" t="str">
        <f>"1110124E00058    00"</f>
        <v>1110124E00058    00</v>
      </c>
      <c r="B4591" t="s">
        <v>11023</v>
      </c>
      <c r="C4591" t="s">
        <v>11024</v>
      </c>
      <c r="D4591" t="s">
        <v>20</v>
      </c>
      <c r="E4591" t="s">
        <v>39</v>
      </c>
      <c r="F4591">
        <v>0</v>
      </c>
      <c r="G4591">
        <v>0</v>
      </c>
      <c r="H4591">
        <v>2</v>
      </c>
      <c r="I4591" s="3">
        <v>6853.98</v>
      </c>
      <c r="J4591" s="3">
        <v>0</v>
      </c>
      <c r="K4591" t="s">
        <v>4992</v>
      </c>
      <c r="L4591">
        <v>18111</v>
      </c>
      <c r="M4591" t="s">
        <v>4993</v>
      </c>
      <c r="N4591" t="s">
        <v>107</v>
      </c>
      <c r="O4591" t="s">
        <v>108</v>
      </c>
      <c r="P4591" t="str">
        <f>"75252"</f>
        <v>75252</v>
      </c>
    </row>
    <row r="4592" spans="1:16" x14ac:dyDescent="0.25">
      <c r="A4592" t="str">
        <f>"1110124E00067    00"</f>
        <v>1110124E00067    00</v>
      </c>
      <c r="B4592" t="s">
        <v>11025</v>
      </c>
      <c r="C4592" t="s">
        <v>11026</v>
      </c>
      <c r="D4592" t="s">
        <v>20</v>
      </c>
      <c r="E4592" t="s">
        <v>39</v>
      </c>
      <c r="F4592">
        <v>0</v>
      </c>
      <c r="G4592">
        <v>0</v>
      </c>
      <c r="H4592">
        <v>4</v>
      </c>
      <c r="I4592" s="3">
        <v>5700.91</v>
      </c>
      <c r="J4592" s="3">
        <v>126.68</v>
      </c>
      <c r="K4592" t="s">
        <v>5652</v>
      </c>
      <c r="L4592">
        <v>3001</v>
      </c>
      <c r="M4592" t="s">
        <v>330</v>
      </c>
      <c r="N4592" t="s">
        <v>331</v>
      </c>
      <c r="O4592" t="s">
        <v>108</v>
      </c>
      <c r="P4592" t="str">
        <f>"75063"</f>
        <v>75063</v>
      </c>
    </row>
    <row r="4593" spans="1:16" x14ac:dyDescent="0.25">
      <c r="A4593" t="str">
        <f>"1110124E00099    00"</f>
        <v>1110124E00099    00</v>
      </c>
      <c r="B4593" t="s">
        <v>11027</v>
      </c>
      <c r="C4593" t="s">
        <v>11028</v>
      </c>
      <c r="E4593" t="s">
        <v>39</v>
      </c>
      <c r="F4593">
        <v>0</v>
      </c>
      <c r="G4593">
        <v>0</v>
      </c>
      <c r="H4593">
        <v>1</v>
      </c>
      <c r="I4593" s="3">
        <v>927.77</v>
      </c>
      <c r="J4593" s="3">
        <v>0</v>
      </c>
      <c r="K4593" t="s">
        <v>11029</v>
      </c>
      <c r="L4593">
        <v>6393</v>
      </c>
      <c r="M4593" t="s">
        <v>3385</v>
      </c>
      <c r="N4593" t="s">
        <v>30</v>
      </c>
      <c r="O4593" t="s">
        <v>31</v>
      </c>
      <c r="P4593" t="str">
        <f>"15206"</f>
        <v>15206</v>
      </c>
    </row>
    <row r="4594" spans="1:16" x14ac:dyDescent="0.25">
      <c r="A4594" t="str">
        <f>"1110124E00102    00"</f>
        <v>1110124E00102    00</v>
      </c>
      <c r="B4594" t="s">
        <v>11030</v>
      </c>
      <c r="C4594" t="s">
        <v>11031</v>
      </c>
      <c r="E4594" t="s">
        <v>39</v>
      </c>
      <c r="F4594">
        <v>0</v>
      </c>
      <c r="G4594">
        <v>0</v>
      </c>
      <c r="H4594">
        <v>2</v>
      </c>
      <c r="I4594" s="3">
        <v>3163.26</v>
      </c>
      <c r="J4594" s="3">
        <v>216.32</v>
      </c>
      <c r="K4594" t="s">
        <v>756</v>
      </c>
      <c r="L4594">
        <v>3001</v>
      </c>
      <c r="M4594" t="s">
        <v>330</v>
      </c>
      <c r="N4594" t="s">
        <v>331</v>
      </c>
      <c r="O4594" t="s">
        <v>108</v>
      </c>
      <c r="P4594" t="str">
        <f>"75063"</f>
        <v>75063</v>
      </c>
    </row>
    <row r="4595" spans="1:16" x14ac:dyDescent="0.25">
      <c r="A4595" t="str">
        <f>"1110124E00159    00"</f>
        <v>1110124E00159    00</v>
      </c>
      <c r="B4595" t="s">
        <v>11032</v>
      </c>
      <c r="C4595" t="s">
        <v>11033</v>
      </c>
      <c r="D4595" t="s">
        <v>20</v>
      </c>
      <c r="E4595" t="s">
        <v>39</v>
      </c>
      <c r="F4595">
        <v>0</v>
      </c>
      <c r="G4595">
        <v>0</v>
      </c>
      <c r="H4595">
        <v>4</v>
      </c>
      <c r="I4595" s="3">
        <v>6456.66</v>
      </c>
      <c r="J4595" s="3">
        <v>456.9</v>
      </c>
      <c r="K4595" t="s">
        <v>11034</v>
      </c>
      <c r="L4595">
        <v>20640</v>
      </c>
      <c r="M4595" t="s">
        <v>11035</v>
      </c>
      <c r="N4595" t="s">
        <v>11036</v>
      </c>
      <c r="O4595" t="s">
        <v>692</v>
      </c>
      <c r="P4595" t="str">
        <f>"20165"</f>
        <v>20165</v>
      </c>
    </row>
    <row r="4596" spans="1:16" x14ac:dyDescent="0.25">
      <c r="A4596" t="str">
        <f>"1110124E00176    00"</f>
        <v>1110124E00176    00</v>
      </c>
      <c r="B4596" t="s">
        <v>944</v>
      </c>
      <c r="C4596" t="s">
        <v>11037</v>
      </c>
      <c r="E4596" t="s">
        <v>39</v>
      </c>
      <c r="F4596">
        <v>0</v>
      </c>
      <c r="G4596">
        <v>0</v>
      </c>
      <c r="H4596">
        <v>8</v>
      </c>
      <c r="I4596" s="3">
        <v>11100.87</v>
      </c>
      <c r="J4596" s="3">
        <v>9694.17</v>
      </c>
      <c r="K4596" t="s">
        <v>2962</v>
      </c>
      <c r="L4596">
        <v>200</v>
      </c>
      <c r="M4596" t="s">
        <v>984</v>
      </c>
      <c r="N4596" t="s">
        <v>30</v>
      </c>
      <c r="O4596" t="s">
        <v>31</v>
      </c>
      <c r="P4596" t="str">
        <f>"15219"</f>
        <v>15219</v>
      </c>
    </row>
    <row r="4597" spans="1:16" x14ac:dyDescent="0.25">
      <c r="A4597" t="str">
        <f>"1110124E00179    00"</f>
        <v>1110124E00179    00</v>
      </c>
      <c r="B4597" t="s">
        <v>11038</v>
      </c>
      <c r="C4597" t="s">
        <v>11039</v>
      </c>
      <c r="E4597" t="s">
        <v>39</v>
      </c>
      <c r="F4597">
        <v>0</v>
      </c>
      <c r="G4597">
        <v>0</v>
      </c>
      <c r="H4597">
        <v>1</v>
      </c>
      <c r="I4597" s="3">
        <v>764.66</v>
      </c>
      <c r="J4597" s="3">
        <v>0</v>
      </c>
      <c r="K4597" t="s">
        <v>11040</v>
      </c>
      <c r="L4597">
        <v>19412</v>
      </c>
      <c r="M4597" t="s">
        <v>11041</v>
      </c>
      <c r="N4597" t="s">
        <v>11042</v>
      </c>
      <c r="O4597" t="s">
        <v>495</v>
      </c>
      <c r="P4597" t="str">
        <f>"92646"</f>
        <v>92646</v>
      </c>
    </row>
    <row r="4598" spans="1:16" x14ac:dyDescent="0.25">
      <c r="A4598" t="str">
        <f>"1110124E00206    00"</f>
        <v>1110124E00206    00</v>
      </c>
      <c r="B4598" t="s">
        <v>11043</v>
      </c>
      <c r="C4598" t="s">
        <v>11044</v>
      </c>
      <c r="D4598" t="s">
        <v>20</v>
      </c>
      <c r="E4598" t="s">
        <v>39</v>
      </c>
      <c r="F4598">
        <v>0</v>
      </c>
      <c r="G4598">
        <v>0</v>
      </c>
      <c r="H4598">
        <v>4</v>
      </c>
      <c r="I4598" s="3">
        <v>5437.99</v>
      </c>
      <c r="J4598" s="3">
        <v>186.28</v>
      </c>
      <c r="K4598" t="s">
        <v>881</v>
      </c>
      <c r="L4598">
        <v>3001</v>
      </c>
      <c r="M4598" t="s">
        <v>330</v>
      </c>
      <c r="N4598" t="s">
        <v>331</v>
      </c>
      <c r="O4598" t="s">
        <v>108</v>
      </c>
      <c r="P4598" t="str">
        <f>"75063"</f>
        <v>75063</v>
      </c>
    </row>
    <row r="4599" spans="1:16" x14ac:dyDescent="0.25">
      <c r="A4599" t="str">
        <f>"1120083M00214    00"</f>
        <v>1120083M00214    00</v>
      </c>
      <c r="B4599" t="s">
        <v>11045</v>
      </c>
      <c r="C4599" t="s">
        <v>11046</v>
      </c>
      <c r="E4599" t="s">
        <v>39</v>
      </c>
      <c r="F4599">
        <v>0</v>
      </c>
      <c r="G4599">
        <v>0</v>
      </c>
      <c r="H4599">
        <v>1</v>
      </c>
      <c r="I4599" s="3">
        <v>45.03</v>
      </c>
      <c r="J4599" s="3">
        <v>58</v>
      </c>
      <c r="L4599">
        <v>116</v>
      </c>
      <c r="M4599" t="s">
        <v>11047</v>
      </c>
      <c r="N4599" t="s">
        <v>30</v>
      </c>
      <c r="O4599" t="s">
        <v>31</v>
      </c>
      <c r="P4599" t="str">
        <f>"15235"</f>
        <v>15235</v>
      </c>
    </row>
    <row r="4600" spans="1:16" x14ac:dyDescent="0.25">
      <c r="A4600" t="str">
        <f>"1120083M00217    00"</f>
        <v>1120083M00217    00</v>
      </c>
      <c r="B4600" t="s">
        <v>3283</v>
      </c>
      <c r="C4600" t="s">
        <v>11048</v>
      </c>
      <c r="E4600" t="s">
        <v>39</v>
      </c>
      <c r="F4600">
        <v>0</v>
      </c>
      <c r="G4600">
        <v>0</v>
      </c>
      <c r="H4600">
        <v>3</v>
      </c>
      <c r="I4600" s="3">
        <v>3249.62</v>
      </c>
      <c r="J4600" s="3">
        <v>4947.95</v>
      </c>
      <c r="K4600" t="s">
        <v>3285</v>
      </c>
      <c r="L4600">
        <v>200</v>
      </c>
      <c r="M4600" t="s">
        <v>10815</v>
      </c>
      <c r="N4600" t="s">
        <v>30</v>
      </c>
      <c r="O4600" t="s">
        <v>31</v>
      </c>
      <c r="P4600" t="str">
        <f>"15219"</f>
        <v>15219</v>
      </c>
    </row>
    <row r="4601" spans="1:16" x14ac:dyDescent="0.25">
      <c r="A4601" t="str">
        <f>"1120083S00292    00"</f>
        <v>1120083S00292    00</v>
      </c>
      <c r="B4601" t="s">
        <v>11049</v>
      </c>
      <c r="C4601" t="s">
        <v>11050</v>
      </c>
      <c r="D4601" t="s">
        <v>20</v>
      </c>
      <c r="E4601" t="s">
        <v>39</v>
      </c>
      <c r="F4601">
        <v>0</v>
      </c>
      <c r="G4601">
        <v>0</v>
      </c>
      <c r="H4601">
        <v>2</v>
      </c>
      <c r="I4601" s="3">
        <v>141.06</v>
      </c>
      <c r="J4601" s="3">
        <v>0</v>
      </c>
      <c r="K4601" t="s">
        <v>11051</v>
      </c>
      <c r="L4601">
        <v>421</v>
      </c>
      <c r="M4601" t="s">
        <v>11052</v>
      </c>
      <c r="N4601" t="s">
        <v>149</v>
      </c>
      <c r="O4601" t="s">
        <v>31</v>
      </c>
      <c r="P4601" t="str">
        <f>"15106"</f>
        <v>15106</v>
      </c>
    </row>
    <row r="4602" spans="1:16" x14ac:dyDescent="0.25">
      <c r="A4602" t="str">
        <f>"1120083S00293    00"</f>
        <v>1120083S00293    00</v>
      </c>
      <c r="B4602" t="s">
        <v>11053</v>
      </c>
      <c r="C4602" t="s">
        <v>11054</v>
      </c>
      <c r="D4602" t="s">
        <v>20</v>
      </c>
      <c r="E4602" t="s">
        <v>39</v>
      </c>
      <c r="F4602">
        <v>0</v>
      </c>
      <c r="G4602">
        <v>0</v>
      </c>
      <c r="H4602">
        <v>2</v>
      </c>
      <c r="I4602" s="3">
        <v>152.47999999999999</v>
      </c>
      <c r="J4602" s="3">
        <v>15.25</v>
      </c>
      <c r="K4602" t="s">
        <v>11055</v>
      </c>
      <c r="L4602">
        <v>2110</v>
      </c>
      <c r="M4602" t="s">
        <v>11056</v>
      </c>
      <c r="N4602" t="s">
        <v>30</v>
      </c>
      <c r="O4602" t="s">
        <v>31</v>
      </c>
      <c r="P4602" t="str">
        <f>"15217"</f>
        <v>15217</v>
      </c>
    </row>
    <row r="4603" spans="1:16" x14ac:dyDescent="0.25">
      <c r="A4603" t="str">
        <f>"1120083S00295    00"</f>
        <v>1120083S00295    00</v>
      </c>
      <c r="B4603" t="s">
        <v>11057</v>
      </c>
      <c r="C4603" t="s">
        <v>11058</v>
      </c>
      <c r="D4603" t="s">
        <v>20</v>
      </c>
      <c r="E4603" t="s">
        <v>39</v>
      </c>
      <c r="F4603">
        <v>0</v>
      </c>
      <c r="G4603">
        <v>0</v>
      </c>
      <c r="H4603">
        <v>2</v>
      </c>
      <c r="I4603" s="3">
        <v>693.8</v>
      </c>
      <c r="J4603" s="3">
        <v>0</v>
      </c>
      <c r="L4603">
        <v>221</v>
      </c>
      <c r="M4603" t="s">
        <v>11059</v>
      </c>
      <c r="N4603" t="s">
        <v>30</v>
      </c>
      <c r="O4603" t="s">
        <v>31</v>
      </c>
      <c r="P4603" t="str">
        <f>"15206"</f>
        <v>15206</v>
      </c>
    </row>
    <row r="4604" spans="1:16" x14ac:dyDescent="0.25">
      <c r="A4604" t="str">
        <f>"1120083S00298    00"</f>
        <v>1120083S00298    00</v>
      </c>
      <c r="B4604" t="s">
        <v>11049</v>
      </c>
      <c r="C4604" t="s">
        <v>11060</v>
      </c>
      <c r="D4604" t="s">
        <v>20</v>
      </c>
      <c r="E4604" t="s">
        <v>39</v>
      </c>
      <c r="F4604">
        <v>0</v>
      </c>
      <c r="G4604">
        <v>0</v>
      </c>
      <c r="H4604">
        <v>3</v>
      </c>
      <c r="I4604" s="3">
        <v>1332.31</v>
      </c>
      <c r="J4604" s="3">
        <v>91.87</v>
      </c>
      <c r="K4604" t="s">
        <v>11051</v>
      </c>
      <c r="L4604">
        <v>421</v>
      </c>
      <c r="M4604" t="s">
        <v>11052</v>
      </c>
      <c r="N4604" t="s">
        <v>149</v>
      </c>
      <c r="O4604" t="s">
        <v>31</v>
      </c>
      <c r="P4604" t="str">
        <f>"15106"</f>
        <v>15106</v>
      </c>
    </row>
    <row r="4605" spans="1:16" x14ac:dyDescent="0.25">
      <c r="A4605" t="str">
        <f>"1120083S00300    00"</f>
        <v>1120083S00300    00</v>
      </c>
      <c r="B4605" t="s">
        <v>11049</v>
      </c>
      <c r="C4605" t="s">
        <v>11061</v>
      </c>
      <c r="D4605" t="s">
        <v>20</v>
      </c>
      <c r="E4605" t="s">
        <v>39</v>
      </c>
      <c r="F4605">
        <v>0</v>
      </c>
      <c r="G4605">
        <v>0</v>
      </c>
      <c r="H4605">
        <v>7</v>
      </c>
      <c r="I4605" s="3">
        <v>51.11</v>
      </c>
      <c r="J4605" s="3">
        <v>11.4</v>
      </c>
      <c r="K4605" t="s">
        <v>11051</v>
      </c>
      <c r="L4605">
        <v>421</v>
      </c>
      <c r="M4605" t="s">
        <v>11052</v>
      </c>
      <c r="N4605" t="s">
        <v>149</v>
      </c>
      <c r="O4605" t="s">
        <v>31</v>
      </c>
      <c r="P4605" t="str">
        <f>"15106"</f>
        <v>15106</v>
      </c>
    </row>
    <row r="4606" spans="1:16" x14ac:dyDescent="0.25">
      <c r="A4606" t="str">
        <f>"1120083S00302    00"</f>
        <v>1120083S00302    00</v>
      </c>
      <c r="B4606" t="s">
        <v>11049</v>
      </c>
      <c r="C4606" t="s">
        <v>11062</v>
      </c>
      <c r="D4606" t="s">
        <v>20</v>
      </c>
      <c r="E4606" t="s">
        <v>39</v>
      </c>
      <c r="F4606">
        <v>0</v>
      </c>
      <c r="G4606">
        <v>0</v>
      </c>
      <c r="H4606">
        <v>3</v>
      </c>
      <c r="I4606" s="3">
        <v>388.8</v>
      </c>
      <c r="J4606" s="3">
        <v>25.92</v>
      </c>
      <c r="K4606" t="s">
        <v>11051</v>
      </c>
      <c r="L4606">
        <v>421</v>
      </c>
      <c r="M4606" t="s">
        <v>11052</v>
      </c>
      <c r="N4606" t="s">
        <v>149</v>
      </c>
      <c r="O4606" t="s">
        <v>31</v>
      </c>
      <c r="P4606" t="str">
        <f>"15106"</f>
        <v>15106</v>
      </c>
    </row>
    <row r="4607" spans="1:16" x14ac:dyDescent="0.25">
      <c r="A4607" t="str">
        <f>"1120083S00319    00"</f>
        <v>1120083S00319    00</v>
      </c>
      <c r="B4607" t="s">
        <v>11063</v>
      </c>
      <c r="C4607" t="s">
        <v>11064</v>
      </c>
      <c r="D4607" t="s">
        <v>20</v>
      </c>
      <c r="E4607" t="s">
        <v>39</v>
      </c>
      <c r="F4607">
        <v>0</v>
      </c>
      <c r="G4607">
        <v>0</v>
      </c>
      <c r="H4607">
        <v>2</v>
      </c>
      <c r="I4607" s="3">
        <v>147.72999999999999</v>
      </c>
      <c r="J4607" s="3">
        <v>0</v>
      </c>
      <c r="K4607" t="s">
        <v>6943</v>
      </c>
      <c r="L4607">
        <v>3101</v>
      </c>
      <c r="M4607" t="s">
        <v>6937</v>
      </c>
      <c r="N4607" t="s">
        <v>30</v>
      </c>
      <c r="O4607" t="s">
        <v>31</v>
      </c>
      <c r="P4607" t="str">
        <f>"15216"</f>
        <v>15216</v>
      </c>
    </row>
    <row r="4608" spans="1:16" x14ac:dyDescent="0.25">
      <c r="A4608" t="str">
        <f>"1120083S00378    00"</f>
        <v>1120083S00378    00</v>
      </c>
      <c r="B4608" t="s">
        <v>11065</v>
      </c>
      <c r="C4608" t="s">
        <v>11066</v>
      </c>
      <c r="D4608" t="s">
        <v>20</v>
      </c>
      <c r="E4608" t="s">
        <v>39</v>
      </c>
      <c r="F4608">
        <v>0</v>
      </c>
      <c r="G4608">
        <v>0</v>
      </c>
      <c r="H4608">
        <v>2</v>
      </c>
      <c r="I4608" s="3">
        <v>797.92</v>
      </c>
      <c r="J4608" s="3">
        <v>0</v>
      </c>
      <c r="L4608">
        <v>40</v>
      </c>
      <c r="M4608" t="s">
        <v>11067</v>
      </c>
      <c r="N4608" t="s">
        <v>30</v>
      </c>
      <c r="O4608" t="s">
        <v>31</v>
      </c>
      <c r="P4608" t="str">
        <f t="shared" ref="P4608:P4614" si="55">"15206"</f>
        <v>15206</v>
      </c>
    </row>
    <row r="4609" spans="1:16" x14ac:dyDescent="0.25">
      <c r="A4609" t="str">
        <f>"1120083S00384    00"</f>
        <v>1120083S00384    00</v>
      </c>
      <c r="B4609" t="s">
        <v>11068</v>
      </c>
      <c r="C4609" t="s">
        <v>11069</v>
      </c>
      <c r="D4609" t="s">
        <v>20</v>
      </c>
      <c r="E4609" t="s">
        <v>39</v>
      </c>
      <c r="F4609">
        <v>0</v>
      </c>
      <c r="G4609">
        <v>0</v>
      </c>
      <c r="H4609">
        <v>6</v>
      </c>
      <c r="I4609" s="3">
        <v>140.22</v>
      </c>
      <c r="J4609" s="3">
        <v>28.11</v>
      </c>
      <c r="K4609" t="s">
        <v>11070</v>
      </c>
      <c r="L4609">
        <v>44</v>
      </c>
      <c r="M4609" t="s">
        <v>11067</v>
      </c>
      <c r="N4609" t="s">
        <v>30</v>
      </c>
      <c r="O4609" t="s">
        <v>31</v>
      </c>
      <c r="P4609" t="str">
        <f t="shared" si="55"/>
        <v>15206</v>
      </c>
    </row>
    <row r="4610" spans="1:16" x14ac:dyDescent="0.25">
      <c r="A4610" t="str">
        <f>"1120083S00385    00"</f>
        <v>1120083S00385    00</v>
      </c>
      <c r="B4610" t="s">
        <v>11071</v>
      </c>
      <c r="C4610" t="s">
        <v>11069</v>
      </c>
      <c r="D4610" t="s">
        <v>20</v>
      </c>
      <c r="E4610" t="s">
        <v>39</v>
      </c>
      <c r="F4610">
        <v>0</v>
      </c>
      <c r="G4610">
        <v>0</v>
      </c>
      <c r="H4610">
        <v>9</v>
      </c>
      <c r="I4610" s="3">
        <v>630.04999999999995</v>
      </c>
      <c r="J4610" s="3">
        <v>272.10000000000002</v>
      </c>
      <c r="K4610" t="s">
        <v>11072</v>
      </c>
      <c r="L4610">
        <v>44</v>
      </c>
      <c r="M4610" t="s">
        <v>11067</v>
      </c>
      <c r="N4610" t="s">
        <v>30</v>
      </c>
      <c r="O4610" t="s">
        <v>31</v>
      </c>
      <c r="P4610" t="str">
        <f t="shared" si="55"/>
        <v>15206</v>
      </c>
    </row>
    <row r="4611" spans="1:16" x14ac:dyDescent="0.25">
      <c r="A4611" t="str">
        <f>"1120084D00012    01"</f>
        <v>1120084D00012    01</v>
      </c>
      <c r="B4611" t="s">
        <v>11073</v>
      </c>
      <c r="C4611" t="s">
        <v>11074</v>
      </c>
      <c r="D4611" t="s">
        <v>20</v>
      </c>
      <c r="E4611" t="s">
        <v>39</v>
      </c>
      <c r="F4611">
        <v>0</v>
      </c>
      <c r="G4611">
        <v>0</v>
      </c>
      <c r="H4611">
        <v>10</v>
      </c>
      <c r="I4611" s="3">
        <v>2832.09</v>
      </c>
      <c r="J4611" s="3">
        <v>1701.89</v>
      </c>
      <c r="L4611">
        <v>410</v>
      </c>
      <c r="M4611" t="s">
        <v>3060</v>
      </c>
      <c r="N4611" t="s">
        <v>30</v>
      </c>
      <c r="O4611" t="s">
        <v>31</v>
      </c>
      <c r="P4611" t="str">
        <f t="shared" si="55"/>
        <v>15206</v>
      </c>
    </row>
    <row r="4612" spans="1:16" x14ac:dyDescent="0.25">
      <c r="A4612" t="str">
        <f>"1120084D00018    00"</f>
        <v>1120084D00018    00</v>
      </c>
      <c r="B4612" t="s">
        <v>11075</v>
      </c>
      <c r="C4612" t="s">
        <v>11076</v>
      </c>
      <c r="D4612" t="s">
        <v>20</v>
      </c>
      <c r="E4612" t="s">
        <v>39</v>
      </c>
      <c r="F4612">
        <v>0</v>
      </c>
      <c r="G4612">
        <v>0</v>
      </c>
      <c r="H4612">
        <v>1</v>
      </c>
      <c r="I4612" s="3">
        <v>175.33</v>
      </c>
      <c r="J4612" s="3">
        <v>0</v>
      </c>
      <c r="L4612">
        <v>416</v>
      </c>
      <c r="M4612" t="s">
        <v>3060</v>
      </c>
      <c r="N4612" t="s">
        <v>30</v>
      </c>
      <c r="O4612" t="s">
        <v>31</v>
      </c>
      <c r="P4612" t="str">
        <f t="shared" si="55"/>
        <v>15206</v>
      </c>
    </row>
    <row r="4613" spans="1:16" x14ac:dyDescent="0.25">
      <c r="A4613" t="str">
        <f>"1120084D00020    01"</f>
        <v>1120084D00020    01</v>
      </c>
      <c r="B4613" t="s">
        <v>11077</v>
      </c>
      <c r="C4613" t="s">
        <v>11078</v>
      </c>
      <c r="D4613" t="s">
        <v>20</v>
      </c>
      <c r="E4613" t="s">
        <v>39</v>
      </c>
      <c r="F4613">
        <v>0</v>
      </c>
      <c r="G4613">
        <v>0</v>
      </c>
      <c r="H4613">
        <v>2</v>
      </c>
      <c r="I4613" s="3">
        <v>396.52</v>
      </c>
      <c r="J4613" s="3">
        <v>0</v>
      </c>
      <c r="L4613">
        <v>7062</v>
      </c>
      <c r="M4613" t="s">
        <v>11079</v>
      </c>
      <c r="N4613" t="s">
        <v>30</v>
      </c>
      <c r="O4613" t="s">
        <v>31</v>
      </c>
      <c r="P4613" t="str">
        <f t="shared" si="55"/>
        <v>15206</v>
      </c>
    </row>
    <row r="4614" spans="1:16" x14ac:dyDescent="0.25">
      <c r="A4614" t="str">
        <f>"1120084D00220    00"</f>
        <v>1120084D00220    00</v>
      </c>
      <c r="B4614" t="s">
        <v>11080</v>
      </c>
      <c r="C4614" t="s">
        <v>11081</v>
      </c>
      <c r="D4614" t="s">
        <v>20</v>
      </c>
      <c r="E4614" t="s">
        <v>39</v>
      </c>
      <c r="F4614">
        <v>0</v>
      </c>
      <c r="G4614">
        <v>0</v>
      </c>
      <c r="H4614">
        <v>2</v>
      </c>
      <c r="I4614" s="3">
        <v>163.86</v>
      </c>
      <c r="J4614" s="3">
        <v>2.64</v>
      </c>
      <c r="L4614">
        <v>458</v>
      </c>
      <c r="M4614" t="s">
        <v>3060</v>
      </c>
      <c r="N4614" t="s">
        <v>30</v>
      </c>
      <c r="O4614" t="s">
        <v>31</v>
      </c>
      <c r="P4614" t="str">
        <f t="shared" si="55"/>
        <v>15206</v>
      </c>
    </row>
    <row r="4615" spans="1:16" x14ac:dyDescent="0.25">
      <c r="A4615" t="str">
        <f>"1120122R00200    01"</f>
        <v>1120122R00200    01</v>
      </c>
      <c r="B4615" t="s">
        <v>4503</v>
      </c>
      <c r="C4615" t="s">
        <v>11082</v>
      </c>
      <c r="E4615" t="s">
        <v>513</v>
      </c>
      <c r="F4615">
        <v>0</v>
      </c>
      <c r="G4615">
        <v>0</v>
      </c>
      <c r="H4615">
        <v>1</v>
      </c>
      <c r="I4615" s="3">
        <v>540.49</v>
      </c>
      <c r="J4615" s="3">
        <v>801.91</v>
      </c>
      <c r="L4615">
        <v>110</v>
      </c>
      <c r="M4615" t="s">
        <v>4504</v>
      </c>
      <c r="N4615" t="s">
        <v>4505</v>
      </c>
      <c r="O4615" t="s">
        <v>692</v>
      </c>
      <c r="P4615" t="str">
        <f>"24042"</f>
        <v>24042</v>
      </c>
    </row>
    <row r="4616" spans="1:16" x14ac:dyDescent="0.25">
      <c r="A4616" t="str">
        <f>"1120122R00300    01"</f>
        <v>1120122R00300    01</v>
      </c>
      <c r="B4616" t="s">
        <v>4503</v>
      </c>
      <c r="C4616" t="s">
        <v>11082</v>
      </c>
      <c r="E4616" t="s">
        <v>513</v>
      </c>
      <c r="F4616">
        <v>0</v>
      </c>
      <c r="G4616">
        <v>0</v>
      </c>
      <c r="H4616">
        <v>1</v>
      </c>
      <c r="I4616" s="3">
        <v>5429.89</v>
      </c>
      <c r="J4616" s="3">
        <v>6592.84</v>
      </c>
      <c r="L4616">
        <v>110</v>
      </c>
      <c r="M4616" t="s">
        <v>4504</v>
      </c>
      <c r="N4616" t="s">
        <v>4505</v>
      </c>
      <c r="O4616" t="s">
        <v>692</v>
      </c>
      <c r="P4616" t="str">
        <f>"24042"</f>
        <v>24042</v>
      </c>
    </row>
    <row r="4617" spans="1:16" x14ac:dyDescent="0.25">
      <c r="A4617" t="str">
        <f>"1120122S00300    01"</f>
        <v>1120122S00300    01</v>
      </c>
      <c r="B4617" t="s">
        <v>4694</v>
      </c>
      <c r="C4617" t="s">
        <v>4502</v>
      </c>
      <c r="E4617" t="s">
        <v>513</v>
      </c>
      <c r="F4617">
        <v>0</v>
      </c>
      <c r="G4617">
        <v>0</v>
      </c>
      <c r="H4617">
        <v>2</v>
      </c>
      <c r="I4617" s="3">
        <v>11327.38</v>
      </c>
      <c r="J4617" s="3">
        <v>16648.740000000002</v>
      </c>
      <c r="L4617">
        <v>519</v>
      </c>
      <c r="M4617" t="s">
        <v>11083</v>
      </c>
      <c r="N4617" t="s">
        <v>5847</v>
      </c>
      <c r="O4617" t="s">
        <v>31</v>
      </c>
      <c r="P4617" t="str">
        <f>"15139"</f>
        <v>15139</v>
      </c>
    </row>
    <row r="4618" spans="1:16" x14ac:dyDescent="0.25">
      <c r="A4618" t="str">
        <f>"1120123R00015    00"</f>
        <v>1120123R00015    00</v>
      </c>
      <c r="B4618" t="s">
        <v>3247</v>
      </c>
      <c r="C4618" t="s">
        <v>11084</v>
      </c>
      <c r="D4618" t="s">
        <v>20</v>
      </c>
      <c r="E4618" t="s">
        <v>39</v>
      </c>
      <c r="F4618">
        <v>0</v>
      </c>
      <c r="G4618">
        <v>0</v>
      </c>
      <c r="H4618">
        <v>3</v>
      </c>
      <c r="I4618" s="3">
        <v>1646.27</v>
      </c>
      <c r="J4618" s="3">
        <v>91.19</v>
      </c>
      <c r="L4618">
        <v>6389</v>
      </c>
      <c r="M4618" t="s">
        <v>3249</v>
      </c>
      <c r="N4618" t="s">
        <v>30</v>
      </c>
      <c r="O4618" t="s">
        <v>31</v>
      </c>
      <c r="P4618" t="str">
        <f>"15206"</f>
        <v>15206</v>
      </c>
    </row>
    <row r="4619" spans="1:16" x14ac:dyDescent="0.25">
      <c r="A4619" t="str">
        <f>"1120123S00009    00"</f>
        <v>1120123S00009    00</v>
      </c>
      <c r="B4619" t="s">
        <v>11085</v>
      </c>
      <c r="C4619" t="s">
        <v>11086</v>
      </c>
      <c r="D4619" t="s">
        <v>20</v>
      </c>
      <c r="E4619" t="s">
        <v>39</v>
      </c>
      <c r="F4619">
        <v>0</v>
      </c>
      <c r="G4619">
        <v>0</v>
      </c>
      <c r="H4619">
        <v>3</v>
      </c>
      <c r="I4619" s="3">
        <v>91.5</v>
      </c>
      <c r="J4619" s="3">
        <v>6.1</v>
      </c>
      <c r="K4619" t="s">
        <v>11087</v>
      </c>
      <c r="L4619">
        <v>742</v>
      </c>
      <c r="M4619" t="s">
        <v>11088</v>
      </c>
      <c r="N4619" t="s">
        <v>30</v>
      </c>
      <c r="O4619" t="s">
        <v>31</v>
      </c>
      <c r="P4619" t="str">
        <f>"15206"</f>
        <v>15206</v>
      </c>
    </row>
    <row r="4620" spans="1:16" x14ac:dyDescent="0.25">
      <c r="A4620" t="str">
        <f>"1120123S00020    00"</f>
        <v>1120123S00020    00</v>
      </c>
      <c r="B4620" t="s">
        <v>11089</v>
      </c>
      <c r="C4620" t="s">
        <v>11090</v>
      </c>
      <c r="D4620" t="s">
        <v>20</v>
      </c>
      <c r="E4620" t="s">
        <v>39</v>
      </c>
      <c r="F4620">
        <v>0</v>
      </c>
      <c r="G4620">
        <v>0</v>
      </c>
      <c r="H4620">
        <v>5</v>
      </c>
      <c r="I4620" s="3">
        <v>667.29</v>
      </c>
      <c r="J4620" s="3">
        <v>248.82</v>
      </c>
      <c r="L4620">
        <v>2732</v>
      </c>
      <c r="M4620" t="s">
        <v>11091</v>
      </c>
      <c r="N4620" t="s">
        <v>195</v>
      </c>
      <c r="O4620" t="s">
        <v>31</v>
      </c>
      <c r="P4620" t="str">
        <f>"15101"</f>
        <v>15101</v>
      </c>
    </row>
    <row r="4621" spans="1:16" x14ac:dyDescent="0.25">
      <c r="A4621" t="str">
        <f>"1120123S00022    00"</f>
        <v>1120123S00022    00</v>
      </c>
      <c r="B4621" t="s">
        <v>11092</v>
      </c>
      <c r="C4621" t="s">
        <v>11093</v>
      </c>
      <c r="D4621" t="s">
        <v>20</v>
      </c>
      <c r="E4621" t="s">
        <v>39</v>
      </c>
      <c r="F4621">
        <v>0</v>
      </c>
      <c r="G4621">
        <v>0</v>
      </c>
      <c r="H4621">
        <v>2</v>
      </c>
      <c r="I4621" s="3">
        <v>2329.16</v>
      </c>
      <c r="J4621" s="3">
        <v>232.91</v>
      </c>
      <c r="L4621">
        <v>6359</v>
      </c>
      <c r="M4621" t="s">
        <v>10468</v>
      </c>
      <c r="N4621" t="s">
        <v>30</v>
      </c>
      <c r="O4621" t="s">
        <v>31</v>
      </c>
      <c r="P4621" t="str">
        <f>"15206"</f>
        <v>15206</v>
      </c>
    </row>
    <row r="4622" spans="1:16" x14ac:dyDescent="0.25">
      <c r="A4622" t="str">
        <f>"1120123S00150    00"</f>
        <v>1120123S00150    00</v>
      </c>
      <c r="B4622" t="s">
        <v>11094</v>
      </c>
      <c r="C4622" t="s">
        <v>11095</v>
      </c>
      <c r="D4622" t="s">
        <v>20</v>
      </c>
      <c r="E4622" t="s">
        <v>39</v>
      </c>
      <c r="F4622">
        <v>0</v>
      </c>
      <c r="G4622">
        <v>0</v>
      </c>
      <c r="H4622">
        <v>14</v>
      </c>
      <c r="I4622" s="3">
        <v>3876.64</v>
      </c>
      <c r="J4622" s="3">
        <v>2543.84</v>
      </c>
      <c r="L4622">
        <v>109</v>
      </c>
      <c r="M4622" t="s">
        <v>2892</v>
      </c>
      <c r="N4622" t="s">
        <v>1046</v>
      </c>
      <c r="O4622" t="s">
        <v>31</v>
      </c>
      <c r="P4622" t="str">
        <f>"15147"</f>
        <v>15147</v>
      </c>
    </row>
    <row r="4623" spans="1:16" x14ac:dyDescent="0.25">
      <c r="A4623" t="str">
        <f>"1120124C00018    00"</f>
        <v>1120124C00018    00</v>
      </c>
      <c r="B4623" t="s">
        <v>11096</v>
      </c>
      <c r="C4623" t="s">
        <v>11097</v>
      </c>
      <c r="D4623" t="s">
        <v>20</v>
      </c>
      <c r="E4623" t="s">
        <v>39</v>
      </c>
      <c r="F4623">
        <v>0</v>
      </c>
      <c r="G4623">
        <v>0</v>
      </c>
      <c r="H4623">
        <v>10</v>
      </c>
      <c r="I4623" s="3">
        <v>110.39</v>
      </c>
      <c r="J4623" s="3">
        <v>50.67</v>
      </c>
      <c r="L4623">
        <v>2149</v>
      </c>
      <c r="M4623" t="s">
        <v>11098</v>
      </c>
      <c r="N4623" t="s">
        <v>295</v>
      </c>
      <c r="O4623" t="s">
        <v>31</v>
      </c>
      <c r="P4623" t="str">
        <f>"15146"</f>
        <v>15146</v>
      </c>
    </row>
    <row r="4624" spans="1:16" x14ac:dyDescent="0.25">
      <c r="A4624" t="str">
        <f>"1120124C00024    00"</f>
        <v>1120124C00024    00</v>
      </c>
      <c r="B4624" t="s">
        <v>11099</v>
      </c>
      <c r="C4624" t="s">
        <v>11097</v>
      </c>
      <c r="D4624" t="s">
        <v>20</v>
      </c>
      <c r="E4624" t="s">
        <v>39</v>
      </c>
      <c r="F4624">
        <v>0</v>
      </c>
      <c r="G4624">
        <v>0</v>
      </c>
      <c r="H4624">
        <v>15</v>
      </c>
      <c r="I4624" s="3">
        <v>2209.58</v>
      </c>
      <c r="J4624" s="3">
        <v>2655.68</v>
      </c>
      <c r="L4624">
        <v>1833</v>
      </c>
      <c r="M4624" t="s">
        <v>11100</v>
      </c>
      <c r="N4624" t="s">
        <v>30</v>
      </c>
      <c r="O4624" t="s">
        <v>31</v>
      </c>
      <c r="P4624" t="str">
        <f>"15235"</f>
        <v>15235</v>
      </c>
    </row>
    <row r="4625" spans="1:16" x14ac:dyDescent="0.25">
      <c r="A4625" t="str">
        <f>"1120124C00031    00"</f>
        <v>1120124C00031    00</v>
      </c>
      <c r="B4625" t="s">
        <v>11101</v>
      </c>
      <c r="C4625" t="s">
        <v>11102</v>
      </c>
      <c r="D4625" t="s">
        <v>20</v>
      </c>
      <c r="E4625" t="s">
        <v>39</v>
      </c>
      <c r="F4625">
        <v>0</v>
      </c>
      <c r="G4625">
        <v>0</v>
      </c>
      <c r="H4625">
        <v>2</v>
      </c>
      <c r="I4625" s="3">
        <v>813.96</v>
      </c>
      <c r="J4625" s="3">
        <v>0</v>
      </c>
      <c r="L4625">
        <v>6327</v>
      </c>
      <c r="M4625" t="s">
        <v>11103</v>
      </c>
      <c r="N4625" t="s">
        <v>30</v>
      </c>
      <c r="O4625" t="s">
        <v>31</v>
      </c>
      <c r="P4625" t="str">
        <f>"15206"</f>
        <v>15206</v>
      </c>
    </row>
    <row r="4626" spans="1:16" x14ac:dyDescent="0.25">
      <c r="A4626" t="str">
        <f>"1120124C00033    00"</f>
        <v>1120124C00033    00</v>
      </c>
      <c r="B4626" t="s">
        <v>11104</v>
      </c>
      <c r="C4626" t="s">
        <v>11105</v>
      </c>
      <c r="E4626" t="s">
        <v>39</v>
      </c>
      <c r="F4626">
        <v>0</v>
      </c>
      <c r="G4626">
        <v>0</v>
      </c>
      <c r="H4626">
        <v>1</v>
      </c>
      <c r="I4626" s="3">
        <v>79.260000000000005</v>
      </c>
      <c r="J4626" s="3">
        <v>15.86</v>
      </c>
      <c r="K4626" t="s">
        <v>11106</v>
      </c>
      <c r="L4626">
        <v>6329</v>
      </c>
      <c r="M4626" t="s">
        <v>11103</v>
      </c>
      <c r="N4626" t="s">
        <v>30</v>
      </c>
      <c r="O4626" t="s">
        <v>31</v>
      </c>
      <c r="P4626" t="str">
        <f>"15206"</f>
        <v>15206</v>
      </c>
    </row>
    <row r="4627" spans="1:16" x14ac:dyDescent="0.25">
      <c r="A4627" t="str">
        <f>"1120124C00036    00"</f>
        <v>1120124C00036    00</v>
      </c>
      <c r="B4627" t="s">
        <v>11107</v>
      </c>
      <c r="C4627" t="s">
        <v>11108</v>
      </c>
      <c r="D4627" t="s">
        <v>20</v>
      </c>
      <c r="E4627" t="s">
        <v>39</v>
      </c>
      <c r="F4627">
        <v>0</v>
      </c>
      <c r="G4627">
        <v>0</v>
      </c>
      <c r="H4627">
        <v>16</v>
      </c>
      <c r="I4627" s="3">
        <v>7850.98</v>
      </c>
      <c r="J4627" s="3">
        <v>7522.91</v>
      </c>
      <c r="L4627">
        <v>128</v>
      </c>
      <c r="M4627" t="s">
        <v>11047</v>
      </c>
      <c r="N4627" t="s">
        <v>30</v>
      </c>
      <c r="O4627" t="s">
        <v>31</v>
      </c>
      <c r="P4627" t="str">
        <f>"15235"</f>
        <v>15235</v>
      </c>
    </row>
    <row r="4628" spans="1:16" x14ac:dyDescent="0.25">
      <c r="A4628" t="str">
        <f>"1120124C00068    00"</f>
        <v>1120124C00068    00</v>
      </c>
      <c r="B4628" t="s">
        <v>11109</v>
      </c>
      <c r="C4628" t="s">
        <v>11110</v>
      </c>
      <c r="E4628" t="s">
        <v>39</v>
      </c>
      <c r="F4628">
        <v>0</v>
      </c>
      <c r="G4628">
        <v>0</v>
      </c>
      <c r="H4628">
        <v>1</v>
      </c>
      <c r="I4628" s="3">
        <v>244.34</v>
      </c>
      <c r="J4628" s="3">
        <v>48.87</v>
      </c>
      <c r="K4628" t="s">
        <v>2302</v>
      </c>
      <c r="L4628">
        <v>3001</v>
      </c>
      <c r="M4628" t="s">
        <v>330</v>
      </c>
      <c r="N4628" t="s">
        <v>331</v>
      </c>
      <c r="O4628" t="s">
        <v>108</v>
      </c>
      <c r="P4628" t="str">
        <f>"75063"</f>
        <v>75063</v>
      </c>
    </row>
    <row r="4629" spans="1:16" x14ac:dyDescent="0.25">
      <c r="A4629" t="str">
        <f>"1120124D00016    00"</f>
        <v>1120124D00016    00</v>
      </c>
      <c r="B4629" t="s">
        <v>11089</v>
      </c>
      <c r="C4629" t="s">
        <v>11111</v>
      </c>
      <c r="D4629" t="s">
        <v>20</v>
      </c>
      <c r="E4629" t="s">
        <v>39</v>
      </c>
      <c r="F4629">
        <v>0</v>
      </c>
      <c r="G4629">
        <v>0</v>
      </c>
      <c r="H4629">
        <v>6</v>
      </c>
      <c r="I4629" s="3">
        <v>3426.69</v>
      </c>
      <c r="J4629" s="3">
        <v>1613.64</v>
      </c>
      <c r="L4629">
        <v>2732</v>
      </c>
      <c r="M4629" t="s">
        <v>11091</v>
      </c>
      <c r="N4629" t="s">
        <v>195</v>
      </c>
      <c r="O4629" t="s">
        <v>31</v>
      </c>
      <c r="P4629" t="str">
        <f>"15101"</f>
        <v>15101</v>
      </c>
    </row>
    <row r="4630" spans="1:16" x14ac:dyDescent="0.25">
      <c r="A4630" t="str">
        <f>"1120124D00018    00"</f>
        <v>1120124D00018    00</v>
      </c>
      <c r="B4630" t="s">
        <v>11112</v>
      </c>
      <c r="C4630" t="s">
        <v>11113</v>
      </c>
      <c r="D4630" t="s">
        <v>20</v>
      </c>
      <c r="E4630" t="s">
        <v>39</v>
      </c>
      <c r="F4630">
        <v>0</v>
      </c>
      <c r="G4630">
        <v>0</v>
      </c>
      <c r="H4630">
        <v>3</v>
      </c>
      <c r="I4630" s="3">
        <v>2145.9</v>
      </c>
      <c r="J4630" s="3">
        <v>111.18</v>
      </c>
      <c r="L4630">
        <v>6417</v>
      </c>
      <c r="M4630" t="s">
        <v>3249</v>
      </c>
      <c r="N4630" t="s">
        <v>30</v>
      </c>
      <c r="O4630" t="s">
        <v>31</v>
      </c>
      <c r="P4630" t="str">
        <f>"15206"</f>
        <v>15206</v>
      </c>
    </row>
    <row r="4631" spans="1:16" x14ac:dyDescent="0.25">
      <c r="A4631" t="str">
        <f>"1120124D00212    00"</f>
        <v>1120124D00212    00</v>
      </c>
      <c r="B4631" t="s">
        <v>11114</v>
      </c>
      <c r="C4631" t="s">
        <v>11115</v>
      </c>
      <c r="D4631" t="s">
        <v>20</v>
      </c>
      <c r="E4631" t="s">
        <v>39</v>
      </c>
      <c r="F4631">
        <v>0</v>
      </c>
      <c r="G4631">
        <v>0</v>
      </c>
      <c r="H4631">
        <v>16</v>
      </c>
      <c r="I4631" s="3">
        <v>12741.24</v>
      </c>
      <c r="J4631" s="3">
        <v>11693.83</v>
      </c>
      <c r="L4631">
        <v>6428</v>
      </c>
      <c r="M4631" t="s">
        <v>3249</v>
      </c>
      <c r="N4631" t="s">
        <v>30</v>
      </c>
      <c r="O4631" t="s">
        <v>31</v>
      </c>
      <c r="P4631" t="str">
        <f>"15206"</f>
        <v>15206</v>
      </c>
    </row>
    <row r="4632" spans="1:16" x14ac:dyDescent="0.25">
      <c r="A4632" t="str">
        <f>"1120124D00251    00"</f>
        <v>1120124D00251    00</v>
      </c>
      <c r="B4632" t="s">
        <v>11116</v>
      </c>
      <c r="C4632" t="s">
        <v>11117</v>
      </c>
      <c r="D4632" t="s">
        <v>20</v>
      </c>
      <c r="E4632" t="s">
        <v>39</v>
      </c>
      <c r="F4632">
        <v>0</v>
      </c>
      <c r="G4632">
        <v>0</v>
      </c>
      <c r="H4632">
        <v>3</v>
      </c>
      <c r="I4632" s="3">
        <v>1109.19</v>
      </c>
      <c r="J4632" s="3">
        <v>100.6</v>
      </c>
      <c r="K4632" t="s">
        <v>11118</v>
      </c>
      <c r="L4632">
        <v>769</v>
      </c>
      <c r="M4632" t="s">
        <v>11119</v>
      </c>
      <c r="N4632" t="s">
        <v>11120</v>
      </c>
      <c r="O4632" t="s">
        <v>495</v>
      </c>
      <c r="P4632" t="str">
        <f>"92376"</f>
        <v>92376</v>
      </c>
    </row>
    <row r="4633" spans="1:16" x14ac:dyDescent="0.25">
      <c r="A4633" t="str">
        <f>"1120124D00254    00"</f>
        <v>1120124D00254    00</v>
      </c>
      <c r="B4633" t="s">
        <v>11121</v>
      </c>
      <c r="C4633" t="s">
        <v>11122</v>
      </c>
      <c r="E4633" t="s">
        <v>39</v>
      </c>
      <c r="F4633">
        <v>0</v>
      </c>
      <c r="G4633">
        <v>0</v>
      </c>
      <c r="H4633">
        <v>6</v>
      </c>
      <c r="I4633" s="3">
        <v>6049.61</v>
      </c>
      <c r="J4633" s="3">
        <v>9362.4699999999993</v>
      </c>
      <c r="K4633" t="s">
        <v>11123</v>
      </c>
      <c r="L4633">
        <v>6412</v>
      </c>
      <c r="M4633" t="s">
        <v>3249</v>
      </c>
      <c r="N4633" t="s">
        <v>30</v>
      </c>
      <c r="O4633" t="s">
        <v>31</v>
      </c>
      <c r="P4633" t="str">
        <f>"15206"</f>
        <v>15206</v>
      </c>
    </row>
    <row r="4634" spans="1:16" x14ac:dyDescent="0.25">
      <c r="A4634" t="str">
        <f>"1120124D00308    00"</f>
        <v>1120124D00308    00</v>
      </c>
      <c r="B4634" t="s">
        <v>11124</v>
      </c>
      <c r="C4634" t="s">
        <v>11125</v>
      </c>
      <c r="D4634" t="s">
        <v>20</v>
      </c>
      <c r="E4634" t="s">
        <v>39</v>
      </c>
      <c r="F4634">
        <v>0</v>
      </c>
      <c r="G4634">
        <v>0</v>
      </c>
      <c r="H4634">
        <v>19</v>
      </c>
      <c r="I4634" s="3">
        <v>378.35</v>
      </c>
      <c r="J4634" s="3">
        <v>424.97</v>
      </c>
      <c r="K4634" t="s">
        <v>1037</v>
      </c>
      <c r="L4634">
        <v>502</v>
      </c>
      <c r="M4634" t="s">
        <v>11126</v>
      </c>
      <c r="N4634" t="s">
        <v>30</v>
      </c>
      <c r="O4634" t="s">
        <v>31</v>
      </c>
      <c r="P4634" t="str">
        <f>"15206"</f>
        <v>15206</v>
      </c>
    </row>
    <row r="4635" spans="1:16" x14ac:dyDescent="0.25">
      <c r="A4635" t="str">
        <f>"1120124E00307    00"</f>
        <v>1120124E00307    00</v>
      </c>
      <c r="B4635" t="s">
        <v>218</v>
      </c>
      <c r="C4635" t="s">
        <v>11127</v>
      </c>
      <c r="E4635" t="s">
        <v>39</v>
      </c>
      <c r="F4635">
        <v>0</v>
      </c>
      <c r="G4635">
        <v>0</v>
      </c>
      <c r="H4635">
        <v>1</v>
      </c>
      <c r="I4635" s="3">
        <v>169.83</v>
      </c>
      <c r="J4635" s="3">
        <v>67.92</v>
      </c>
      <c r="K4635" t="s">
        <v>220</v>
      </c>
      <c r="L4635">
        <v>412</v>
      </c>
      <c r="M4635" t="s">
        <v>221</v>
      </c>
      <c r="N4635" t="s">
        <v>30</v>
      </c>
      <c r="O4635" t="s">
        <v>31</v>
      </c>
      <c r="P4635" t="str">
        <f>"15219"</f>
        <v>15219</v>
      </c>
    </row>
    <row r="4636" spans="1:16" x14ac:dyDescent="0.25">
      <c r="A4636" t="str">
        <f>"1120124E00308    00"</f>
        <v>1120124E00308    00</v>
      </c>
      <c r="B4636" t="s">
        <v>11128</v>
      </c>
      <c r="C4636" t="s">
        <v>11129</v>
      </c>
      <c r="D4636" t="s">
        <v>20</v>
      </c>
      <c r="E4636" t="s">
        <v>39</v>
      </c>
      <c r="F4636">
        <v>0</v>
      </c>
      <c r="G4636">
        <v>0</v>
      </c>
      <c r="H4636">
        <v>9</v>
      </c>
      <c r="I4636" s="3">
        <v>220.28</v>
      </c>
      <c r="J4636" s="3">
        <v>95.84</v>
      </c>
      <c r="L4636">
        <v>1621</v>
      </c>
      <c r="M4636" t="s">
        <v>11130</v>
      </c>
      <c r="N4636" t="s">
        <v>30</v>
      </c>
      <c r="O4636" t="s">
        <v>31</v>
      </c>
      <c r="P4636" t="str">
        <f>"15206"</f>
        <v>15206</v>
      </c>
    </row>
    <row r="4637" spans="1:16" x14ac:dyDescent="0.25">
      <c r="A4637" t="str">
        <f>"1120124E00317    00"</f>
        <v>1120124E00317    00</v>
      </c>
      <c r="B4637" t="s">
        <v>11131</v>
      </c>
      <c r="C4637" t="s">
        <v>11132</v>
      </c>
      <c r="D4637" t="s">
        <v>20</v>
      </c>
      <c r="E4637" t="s">
        <v>39</v>
      </c>
      <c r="F4637">
        <v>0</v>
      </c>
      <c r="G4637">
        <v>0</v>
      </c>
      <c r="H4637">
        <v>6</v>
      </c>
      <c r="I4637" s="3">
        <v>3513.29</v>
      </c>
      <c r="J4637" s="3">
        <v>719.19</v>
      </c>
      <c r="K4637" t="s">
        <v>11133</v>
      </c>
      <c r="M4637" t="s">
        <v>11134</v>
      </c>
      <c r="N4637" t="s">
        <v>30</v>
      </c>
      <c r="O4637" t="s">
        <v>31</v>
      </c>
      <c r="P4637" t="str">
        <f>"15224"</f>
        <v>15224</v>
      </c>
    </row>
    <row r="4638" spans="1:16" x14ac:dyDescent="0.25">
      <c r="A4638" t="str">
        <f>"1120124E00319    00"</f>
        <v>1120124E00319    00</v>
      </c>
      <c r="B4638" t="s">
        <v>11135</v>
      </c>
      <c r="C4638" t="s">
        <v>11136</v>
      </c>
      <c r="D4638" t="s">
        <v>20</v>
      </c>
      <c r="E4638" t="s">
        <v>39</v>
      </c>
      <c r="F4638">
        <v>0</v>
      </c>
      <c r="G4638">
        <v>0</v>
      </c>
      <c r="H4638">
        <v>1</v>
      </c>
      <c r="I4638" s="3">
        <v>474.6</v>
      </c>
      <c r="J4638" s="3">
        <v>0</v>
      </c>
      <c r="L4638">
        <v>625</v>
      </c>
      <c r="M4638" t="s">
        <v>11137</v>
      </c>
      <c r="N4638" t="s">
        <v>30</v>
      </c>
      <c r="O4638" t="s">
        <v>31</v>
      </c>
      <c r="P4638" t="str">
        <f t="shared" ref="P4638:P4645" si="56">"15206"</f>
        <v>15206</v>
      </c>
    </row>
    <row r="4639" spans="1:16" x14ac:dyDescent="0.25">
      <c r="A4639" t="str">
        <f>"1120124E00348    00"</f>
        <v>1120124E00348    00</v>
      </c>
      <c r="B4639" t="s">
        <v>11138</v>
      </c>
      <c r="C4639" t="s">
        <v>11129</v>
      </c>
      <c r="D4639" t="s">
        <v>20</v>
      </c>
      <c r="E4639" t="s">
        <v>39</v>
      </c>
      <c r="F4639">
        <v>0</v>
      </c>
      <c r="G4639">
        <v>0</v>
      </c>
      <c r="H4639">
        <v>4</v>
      </c>
      <c r="I4639" s="3">
        <v>271.60000000000002</v>
      </c>
      <c r="J4639" s="3">
        <v>40.020000000000003</v>
      </c>
      <c r="L4639">
        <v>606</v>
      </c>
      <c r="M4639" t="s">
        <v>11137</v>
      </c>
      <c r="N4639" t="s">
        <v>30</v>
      </c>
      <c r="O4639" t="s">
        <v>31</v>
      </c>
      <c r="P4639" t="str">
        <f t="shared" si="56"/>
        <v>15206</v>
      </c>
    </row>
    <row r="4640" spans="1:16" x14ac:dyDescent="0.25">
      <c r="A4640" t="str">
        <f>"1120124E00352    00"</f>
        <v>1120124E00352    00</v>
      </c>
      <c r="B4640" t="s">
        <v>11139</v>
      </c>
      <c r="C4640" t="s">
        <v>11140</v>
      </c>
      <c r="E4640" t="s">
        <v>39</v>
      </c>
      <c r="F4640">
        <v>0</v>
      </c>
      <c r="G4640">
        <v>0</v>
      </c>
      <c r="H4640">
        <v>1</v>
      </c>
      <c r="I4640" s="3">
        <v>54.02</v>
      </c>
      <c r="J4640" s="3">
        <v>21.61</v>
      </c>
      <c r="L4640">
        <v>35</v>
      </c>
      <c r="M4640" t="s">
        <v>8127</v>
      </c>
      <c r="N4640" t="s">
        <v>30</v>
      </c>
      <c r="O4640" t="s">
        <v>31</v>
      </c>
      <c r="P4640" t="str">
        <f t="shared" si="56"/>
        <v>15206</v>
      </c>
    </row>
    <row r="4641" spans="1:16" x14ac:dyDescent="0.25">
      <c r="A4641" t="str">
        <f>"1120124F00081    00"</f>
        <v>1120124F00081    00</v>
      </c>
      <c r="B4641" t="s">
        <v>11141</v>
      </c>
      <c r="C4641" t="s">
        <v>11142</v>
      </c>
      <c r="D4641" t="s">
        <v>20</v>
      </c>
      <c r="E4641" t="s">
        <v>39</v>
      </c>
      <c r="F4641">
        <v>0</v>
      </c>
      <c r="G4641">
        <v>0</v>
      </c>
      <c r="H4641">
        <v>4</v>
      </c>
      <c r="I4641" s="3">
        <v>654.22</v>
      </c>
      <c r="J4641" s="3">
        <v>126.72</v>
      </c>
      <c r="L4641">
        <v>655</v>
      </c>
      <c r="M4641" t="s">
        <v>11137</v>
      </c>
      <c r="N4641" t="s">
        <v>30</v>
      </c>
      <c r="O4641" t="s">
        <v>31</v>
      </c>
      <c r="P4641" t="str">
        <f t="shared" si="56"/>
        <v>15206</v>
      </c>
    </row>
    <row r="4642" spans="1:16" x14ac:dyDescent="0.25">
      <c r="A4642" t="str">
        <f>"1120124F00086    00"</f>
        <v>1120124F00086    00</v>
      </c>
      <c r="B4642" t="s">
        <v>11143</v>
      </c>
      <c r="C4642" t="s">
        <v>11144</v>
      </c>
      <c r="D4642" t="s">
        <v>20</v>
      </c>
      <c r="E4642" t="s">
        <v>39</v>
      </c>
      <c r="F4642">
        <v>0</v>
      </c>
      <c r="G4642">
        <v>0</v>
      </c>
      <c r="H4642">
        <v>3</v>
      </c>
      <c r="I4642" s="3">
        <v>1034.97</v>
      </c>
      <c r="J4642" s="3">
        <v>68.989999999999995</v>
      </c>
      <c r="L4642">
        <v>667</v>
      </c>
      <c r="M4642" t="s">
        <v>11137</v>
      </c>
      <c r="N4642" t="s">
        <v>30</v>
      </c>
      <c r="O4642" t="s">
        <v>31</v>
      </c>
      <c r="P4642" t="str">
        <f t="shared" si="56"/>
        <v>15206</v>
      </c>
    </row>
    <row r="4643" spans="1:16" x14ac:dyDescent="0.25">
      <c r="A4643" t="str">
        <f>"1120124F00168    00"</f>
        <v>1120124F00168    00</v>
      </c>
      <c r="B4643" t="s">
        <v>11145</v>
      </c>
      <c r="C4643" t="s">
        <v>11146</v>
      </c>
      <c r="D4643" t="s">
        <v>20</v>
      </c>
      <c r="E4643" t="s">
        <v>39</v>
      </c>
      <c r="F4643">
        <v>0</v>
      </c>
      <c r="G4643">
        <v>0</v>
      </c>
      <c r="H4643">
        <v>4</v>
      </c>
      <c r="I4643" s="3">
        <v>1529.82</v>
      </c>
      <c r="J4643" s="3">
        <v>97.69</v>
      </c>
      <c r="L4643">
        <v>664</v>
      </c>
      <c r="M4643" t="s">
        <v>11137</v>
      </c>
      <c r="N4643" t="s">
        <v>30</v>
      </c>
      <c r="O4643" t="s">
        <v>31</v>
      </c>
      <c r="P4643" t="str">
        <f t="shared" si="56"/>
        <v>15206</v>
      </c>
    </row>
    <row r="4644" spans="1:16" x14ac:dyDescent="0.25">
      <c r="A4644" t="str">
        <f>"1120124F00169A   00"</f>
        <v>1120124F00169A   00</v>
      </c>
      <c r="B4644" t="s">
        <v>11147</v>
      </c>
      <c r="C4644" t="s">
        <v>11148</v>
      </c>
      <c r="D4644" t="s">
        <v>20</v>
      </c>
      <c r="E4644" t="s">
        <v>39</v>
      </c>
      <c r="F4644">
        <v>0</v>
      </c>
      <c r="G4644">
        <v>0</v>
      </c>
      <c r="H4644">
        <v>1</v>
      </c>
      <c r="I4644" s="3">
        <v>141.46</v>
      </c>
      <c r="J4644" s="3">
        <v>0</v>
      </c>
      <c r="K4644" t="s">
        <v>11149</v>
      </c>
      <c r="L4644">
        <v>622</v>
      </c>
      <c r="M4644" t="s">
        <v>11059</v>
      </c>
      <c r="N4644" t="s">
        <v>30</v>
      </c>
      <c r="O4644" t="s">
        <v>31</v>
      </c>
      <c r="P4644" t="str">
        <f t="shared" si="56"/>
        <v>15206</v>
      </c>
    </row>
    <row r="4645" spans="1:16" x14ac:dyDescent="0.25">
      <c r="A4645" t="str">
        <f>"1120124F00170    00"</f>
        <v>1120124F00170    00</v>
      </c>
      <c r="B4645" t="s">
        <v>11150</v>
      </c>
      <c r="C4645" t="s">
        <v>11151</v>
      </c>
      <c r="D4645" t="s">
        <v>20</v>
      </c>
      <c r="E4645" t="s">
        <v>39</v>
      </c>
      <c r="F4645">
        <v>0</v>
      </c>
      <c r="G4645">
        <v>0</v>
      </c>
      <c r="H4645">
        <v>2</v>
      </c>
      <c r="I4645" s="3">
        <v>284.95999999999998</v>
      </c>
      <c r="J4645" s="3">
        <v>4.75</v>
      </c>
      <c r="K4645" t="s">
        <v>11152</v>
      </c>
      <c r="L4645">
        <v>662</v>
      </c>
      <c r="M4645" t="s">
        <v>11059</v>
      </c>
      <c r="N4645" t="s">
        <v>30</v>
      </c>
      <c r="O4645" t="s">
        <v>31</v>
      </c>
      <c r="P4645" t="str">
        <f t="shared" si="56"/>
        <v>15206</v>
      </c>
    </row>
    <row r="4646" spans="1:16" x14ac:dyDescent="0.25">
      <c r="A4646" t="str">
        <f>"1120124F00181    00"</f>
        <v>1120124F00181    00</v>
      </c>
      <c r="B4646" t="s">
        <v>11153</v>
      </c>
      <c r="C4646" t="s">
        <v>11154</v>
      </c>
      <c r="D4646" t="s">
        <v>20</v>
      </c>
      <c r="E4646" t="s">
        <v>39</v>
      </c>
      <c r="F4646">
        <v>0</v>
      </c>
      <c r="G4646">
        <v>0</v>
      </c>
      <c r="H4646">
        <v>7</v>
      </c>
      <c r="I4646" s="3">
        <v>47.75</v>
      </c>
      <c r="J4646" s="3">
        <v>19.940000000000001</v>
      </c>
      <c r="L4646">
        <v>5156</v>
      </c>
      <c r="M4646" t="s">
        <v>7845</v>
      </c>
      <c r="N4646" t="s">
        <v>30</v>
      </c>
      <c r="O4646" t="s">
        <v>31</v>
      </c>
      <c r="P4646" t="str">
        <f>"15224"</f>
        <v>15224</v>
      </c>
    </row>
    <row r="4647" spans="1:16" x14ac:dyDescent="0.25">
      <c r="A4647" t="str">
        <f>"1120124F00380A   00"</f>
        <v>1120124F00380A   00</v>
      </c>
      <c r="B4647" t="s">
        <v>9504</v>
      </c>
      <c r="C4647" t="s">
        <v>11082</v>
      </c>
      <c r="E4647" t="s">
        <v>513</v>
      </c>
      <c r="F4647">
        <v>0</v>
      </c>
      <c r="G4647">
        <v>0</v>
      </c>
      <c r="H4647">
        <v>1</v>
      </c>
      <c r="I4647" s="3">
        <v>501.17</v>
      </c>
      <c r="J4647" s="3">
        <v>743.61</v>
      </c>
      <c r="K4647" t="s">
        <v>11155</v>
      </c>
      <c r="L4647">
        <v>580</v>
      </c>
      <c r="M4647" t="s">
        <v>11156</v>
      </c>
      <c r="N4647" t="s">
        <v>264</v>
      </c>
      <c r="O4647" t="s">
        <v>25</v>
      </c>
      <c r="P4647" t="str">
        <f>"45202"</f>
        <v>45202</v>
      </c>
    </row>
    <row r="4648" spans="1:16" x14ac:dyDescent="0.25">
      <c r="A4648" t="str">
        <f>"1120124G00046    00"</f>
        <v>1120124G00046    00</v>
      </c>
      <c r="B4648" t="s">
        <v>11157</v>
      </c>
      <c r="C4648" t="s">
        <v>11158</v>
      </c>
      <c r="D4648" t="s">
        <v>20</v>
      </c>
      <c r="E4648" t="s">
        <v>39</v>
      </c>
      <c r="F4648">
        <v>0</v>
      </c>
      <c r="G4648">
        <v>0</v>
      </c>
      <c r="H4648">
        <v>18</v>
      </c>
      <c r="I4648" s="3">
        <v>7469.72</v>
      </c>
      <c r="J4648" s="3">
        <v>8707.99</v>
      </c>
      <c r="L4648">
        <v>1027</v>
      </c>
      <c r="M4648" t="s">
        <v>11159</v>
      </c>
      <c r="N4648" t="s">
        <v>11160</v>
      </c>
      <c r="O4648" t="s">
        <v>31</v>
      </c>
      <c r="P4648" t="str">
        <f>"15045"</f>
        <v>15045</v>
      </c>
    </row>
    <row r="4649" spans="1:16" x14ac:dyDescent="0.25">
      <c r="A4649" t="str">
        <f>"1120124G00048    00"</f>
        <v>1120124G00048    00</v>
      </c>
      <c r="B4649" t="s">
        <v>11157</v>
      </c>
      <c r="C4649" t="s">
        <v>11161</v>
      </c>
      <c r="D4649" t="s">
        <v>20</v>
      </c>
      <c r="E4649" t="s">
        <v>39</v>
      </c>
      <c r="F4649">
        <v>0</v>
      </c>
      <c r="G4649">
        <v>0</v>
      </c>
      <c r="H4649">
        <v>16</v>
      </c>
      <c r="I4649" s="3">
        <v>1124.95</v>
      </c>
      <c r="J4649" s="3">
        <v>906.52</v>
      </c>
      <c r="L4649">
        <v>1027</v>
      </c>
      <c r="M4649" t="s">
        <v>11159</v>
      </c>
      <c r="N4649" t="s">
        <v>11160</v>
      </c>
      <c r="O4649" t="s">
        <v>31</v>
      </c>
      <c r="P4649" t="str">
        <f>"15045"</f>
        <v>15045</v>
      </c>
    </row>
    <row r="4650" spans="1:16" x14ac:dyDescent="0.25">
      <c r="A4650" t="str">
        <f>"1120124G00050    00"</f>
        <v>1120124G00050    00</v>
      </c>
      <c r="B4650" t="s">
        <v>11162</v>
      </c>
      <c r="C4650" t="s">
        <v>11163</v>
      </c>
      <c r="D4650" t="s">
        <v>20</v>
      </c>
      <c r="E4650" t="s">
        <v>39</v>
      </c>
      <c r="F4650">
        <v>0</v>
      </c>
      <c r="G4650">
        <v>0</v>
      </c>
      <c r="H4650">
        <v>1</v>
      </c>
      <c r="I4650" s="3">
        <v>419.34</v>
      </c>
      <c r="J4650" s="3">
        <v>0</v>
      </c>
      <c r="L4650">
        <v>511</v>
      </c>
      <c r="M4650" t="s">
        <v>11164</v>
      </c>
      <c r="N4650" t="s">
        <v>30</v>
      </c>
      <c r="O4650" t="s">
        <v>31</v>
      </c>
      <c r="P4650" t="str">
        <f>"30189"</f>
        <v>30189</v>
      </c>
    </row>
    <row r="4651" spans="1:16" x14ac:dyDescent="0.25">
      <c r="A4651" t="str">
        <f>"1120124G00058    00"</f>
        <v>1120124G00058    00</v>
      </c>
      <c r="B4651" t="s">
        <v>11165</v>
      </c>
      <c r="C4651" t="s">
        <v>11166</v>
      </c>
      <c r="D4651" t="s">
        <v>20</v>
      </c>
      <c r="E4651" t="s">
        <v>39</v>
      </c>
      <c r="F4651">
        <v>0</v>
      </c>
      <c r="G4651">
        <v>0</v>
      </c>
      <c r="H4651">
        <v>1</v>
      </c>
      <c r="I4651" s="3">
        <v>38.119999999999997</v>
      </c>
      <c r="J4651" s="3">
        <v>0</v>
      </c>
      <c r="K4651" t="s">
        <v>11167</v>
      </c>
      <c r="L4651">
        <v>838</v>
      </c>
      <c r="M4651" t="s">
        <v>11168</v>
      </c>
      <c r="N4651" t="s">
        <v>903</v>
      </c>
      <c r="O4651" t="s">
        <v>31</v>
      </c>
      <c r="P4651" t="str">
        <f>"15136"</f>
        <v>15136</v>
      </c>
    </row>
    <row r="4652" spans="1:16" x14ac:dyDescent="0.25">
      <c r="A4652" t="str">
        <f>"1120124G00059    00"</f>
        <v>1120124G00059    00</v>
      </c>
      <c r="B4652" t="s">
        <v>11165</v>
      </c>
      <c r="C4652" t="s">
        <v>11166</v>
      </c>
      <c r="D4652" t="s">
        <v>20</v>
      </c>
      <c r="E4652" t="s">
        <v>39</v>
      </c>
      <c r="F4652">
        <v>0</v>
      </c>
      <c r="G4652">
        <v>0</v>
      </c>
      <c r="H4652">
        <v>1</v>
      </c>
      <c r="I4652" s="3">
        <v>39.11</v>
      </c>
      <c r="J4652" s="3">
        <v>0</v>
      </c>
      <c r="K4652" t="s">
        <v>11167</v>
      </c>
      <c r="L4652">
        <v>838</v>
      </c>
      <c r="M4652" t="s">
        <v>11168</v>
      </c>
      <c r="N4652" t="s">
        <v>903</v>
      </c>
      <c r="O4652" t="s">
        <v>31</v>
      </c>
      <c r="P4652" t="str">
        <f>"15136"</f>
        <v>15136</v>
      </c>
    </row>
    <row r="4653" spans="1:16" x14ac:dyDescent="0.25">
      <c r="A4653" t="str">
        <f>"1120124G00060    00"</f>
        <v>1120124G00060    00</v>
      </c>
      <c r="B4653" t="s">
        <v>11169</v>
      </c>
      <c r="C4653" t="s">
        <v>11170</v>
      </c>
      <c r="E4653" t="s">
        <v>39</v>
      </c>
      <c r="F4653">
        <v>0</v>
      </c>
      <c r="G4653">
        <v>0</v>
      </c>
      <c r="H4653">
        <v>4</v>
      </c>
      <c r="I4653" s="3">
        <v>2709.43</v>
      </c>
      <c r="J4653" s="3">
        <v>919.74</v>
      </c>
      <c r="K4653" t="s">
        <v>1030</v>
      </c>
      <c r="M4653" t="s">
        <v>1031</v>
      </c>
      <c r="N4653" t="s">
        <v>1032</v>
      </c>
      <c r="O4653" t="s">
        <v>25</v>
      </c>
      <c r="P4653" t="str">
        <f>"44711"</f>
        <v>44711</v>
      </c>
    </row>
    <row r="4654" spans="1:16" x14ac:dyDescent="0.25">
      <c r="A4654" t="str">
        <f>"1120124G00062    00"</f>
        <v>1120124G00062    00</v>
      </c>
      <c r="B4654" t="s">
        <v>11171</v>
      </c>
      <c r="C4654" t="s">
        <v>11097</v>
      </c>
      <c r="D4654" t="s">
        <v>20</v>
      </c>
      <c r="E4654" t="s">
        <v>39</v>
      </c>
      <c r="F4654">
        <v>0</v>
      </c>
      <c r="G4654">
        <v>0</v>
      </c>
      <c r="H4654">
        <v>19</v>
      </c>
      <c r="I4654" s="3">
        <v>806.62</v>
      </c>
      <c r="J4654" s="3">
        <v>561.36</v>
      </c>
      <c r="K4654" t="s">
        <v>1008</v>
      </c>
      <c r="P4654" t="str">
        <f>""</f>
        <v/>
      </c>
    </row>
    <row r="4655" spans="1:16" x14ac:dyDescent="0.25">
      <c r="A4655" t="str">
        <f>"1120124G00079    00"</f>
        <v>1120124G00079    00</v>
      </c>
      <c r="B4655" t="s">
        <v>11172</v>
      </c>
      <c r="C4655" t="s">
        <v>11173</v>
      </c>
      <c r="E4655" t="s">
        <v>39</v>
      </c>
      <c r="F4655">
        <v>0</v>
      </c>
      <c r="G4655">
        <v>0</v>
      </c>
      <c r="H4655">
        <v>3</v>
      </c>
      <c r="I4655" s="3">
        <v>2286.5700000000002</v>
      </c>
      <c r="J4655" s="3">
        <v>360.62</v>
      </c>
      <c r="L4655">
        <v>412</v>
      </c>
      <c r="M4655" t="s">
        <v>2747</v>
      </c>
      <c r="N4655" t="s">
        <v>30</v>
      </c>
      <c r="O4655" t="s">
        <v>31</v>
      </c>
      <c r="P4655" t="str">
        <f>"15218"</f>
        <v>15218</v>
      </c>
    </row>
    <row r="4656" spans="1:16" x14ac:dyDescent="0.25">
      <c r="A4656" t="str">
        <f>"1120124G00081    00"</f>
        <v>1120124G00081    00</v>
      </c>
      <c r="B4656" t="s">
        <v>11174</v>
      </c>
      <c r="C4656" t="s">
        <v>11175</v>
      </c>
      <c r="D4656" t="s">
        <v>20</v>
      </c>
      <c r="E4656" t="s">
        <v>39</v>
      </c>
      <c r="F4656">
        <v>0</v>
      </c>
      <c r="G4656">
        <v>0</v>
      </c>
      <c r="H4656">
        <v>9</v>
      </c>
      <c r="I4656" s="3">
        <v>499.18</v>
      </c>
      <c r="J4656" s="3">
        <v>188.36</v>
      </c>
      <c r="K4656" t="s">
        <v>11176</v>
      </c>
      <c r="L4656">
        <v>659</v>
      </c>
      <c r="M4656" t="s">
        <v>2862</v>
      </c>
      <c r="N4656" t="s">
        <v>30</v>
      </c>
      <c r="O4656" t="s">
        <v>31</v>
      </c>
      <c r="P4656" t="str">
        <f>"15235"</f>
        <v>15235</v>
      </c>
    </row>
    <row r="4657" spans="1:16" x14ac:dyDescent="0.25">
      <c r="A4657" t="str">
        <f>"1120124G00082    00"</f>
        <v>1120124G00082    00</v>
      </c>
      <c r="B4657" t="s">
        <v>11177</v>
      </c>
      <c r="C4657" t="s">
        <v>11178</v>
      </c>
      <c r="D4657" t="s">
        <v>20</v>
      </c>
      <c r="E4657" t="s">
        <v>39</v>
      </c>
      <c r="F4657">
        <v>0</v>
      </c>
      <c r="G4657">
        <v>0</v>
      </c>
      <c r="H4657">
        <v>5</v>
      </c>
      <c r="I4657" s="3">
        <v>2283.84</v>
      </c>
      <c r="J4657" s="3">
        <v>1664.15</v>
      </c>
      <c r="M4657" t="s">
        <v>7886</v>
      </c>
      <c r="N4657" t="s">
        <v>30</v>
      </c>
      <c r="O4657" t="s">
        <v>31</v>
      </c>
      <c r="P4657" t="str">
        <f>"15206"</f>
        <v>15206</v>
      </c>
    </row>
    <row r="4658" spans="1:16" x14ac:dyDescent="0.25">
      <c r="A4658" t="str">
        <f>"1120124G00083    00"</f>
        <v>1120124G00083    00</v>
      </c>
      <c r="B4658" t="s">
        <v>11179</v>
      </c>
      <c r="C4658" t="s">
        <v>11180</v>
      </c>
      <c r="D4658" t="s">
        <v>20</v>
      </c>
      <c r="E4658" t="s">
        <v>39</v>
      </c>
      <c r="F4658">
        <v>0</v>
      </c>
      <c r="G4658">
        <v>0</v>
      </c>
      <c r="H4658">
        <v>2</v>
      </c>
      <c r="I4658" s="3">
        <v>1120.72</v>
      </c>
      <c r="J4658" s="3">
        <v>0</v>
      </c>
      <c r="L4658">
        <v>518</v>
      </c>
      <c r="M4658" t="s">
        <v>11181</v>
      </c>
      <c r="N4658" t="s">
        <v>2008</v>
      </c>
      <c r="O4658" t="s">
        <v>31</v>
      </c>
      <c r="P4658" t="str">
        <f>"16066"</f>
        <v>16066</v>
      </c>
    </row>
    <row r="4659" spans="1:16" x14ac:dyDescent="0.25">
      <c r="A4659" t="str">
        <f>"1120124G00084    00"</f>
        <v>1120124G00084    00</v>
      </c>
      <c r="B4659" t="s">
        <v>11182</v>
      </c>
      <c r="C4659" t="s">
        <v>11097</v>
      </c>
      <c r="D4659" t="s">
        <v>20</v>
      </c>
      <c r="E4659" t="s">
        <v>39</v>
      </c>
      <c r="F4659">
        <v>0</v>
      </c>
      <c r="G4659">
        <v>0</v>
      </c>
      <c r="H4659">
        <v>19</v>
      </c>
      <c r="I4659" s="3">
        <v>806.62</v>
      </c>
      <c r="J4659" s="3">
        <v>561.36</v>
      </c>
      <c r="K4659" t="s">
        <v>1008</v>
      </c>
      <c r="P4659" t="str">
        <f>""</f>
        <v/>
      </c>
    </row>
    <row r="4660" spans="1:16" x14ac:dyDescent="0.25">
      <c r="A4660" t="str">
        <f>"1120124G00086    00"</f>
        <v>1120124G00086    00</v>
      </c>
      <c r="B4660" t="s">
        <v>11183</v>
      </c>
      <c r="C4660" t="s">
        <v>11184</v>
      </c>
      <c r="E4660" t="s">
        <v>39</v>
      </c>
      <c r="F4660">
        <v>0</v>
      </c>
      <c r="G4660">
        <v>0</v>
      </c>
      <c r="H4660">
        <v>3</v>
      </c>
      <c r="I4660" s="3">
        <v>339.71</v>
      </c>
      <c r="J4660" s="3">
        <v>108.35</v>
      </c>
      <c r="L4660">
        <v>6435</v>
      </c>
      <c r="M4660" t="s">
        <v>11103</v>
      </c>
      <c r="N4660" t="s">
        <v>30</v>
      </c>
      <c r="O4660" t="s">
        <v>31</v>
      </c>
      <c r="P4660" t="str">
        <f>"15206"</f>
        <v>15206</v>
      </c>
    </row>
    <row r="4661" spans="1:16" x14ac:dyDescent="0.25">
      <c r="A4661" t="str">
        <f>"1120124G00087    00"</f>
        <v>1120124G00087    00</v>
      </c>
      <c r="B4661" t="s">
        <v>11185</v>
      </c>
      <c r="C4661" t="s">
        <v>11186</v>
      </c>
      <c r="D4661" t="s">
        <v>20</v>
      </c>
      <c r="E4661" t="s">
        <v>39</v>
      </c>
      <c r="F4661">
        <v>0</v>
      </c>
      <c r="G4661">
        <v>0</v>
      </c>
      <c r="H4661">
        <v>16</v>
      </c>
      <c r="I4661" s="3">
        <v>10718.78</v>
      </c>
      <c r="J4661" s="3">
        <v>8054.54</v>
      </c>
      <c r="L4661">
        <v>6437</v>
      </c>
      <c r="M4661" t="s">
        <v>11103</v>
      </c>
      <c r="N4661" t="s">
        <v>30</v>
      </c>
      <c r="O4661" t="s">
        <v>31</v>
      </c>
      <c r="P4661" t="str">
        <f>"15206"</f>
        <v>15206</v>
      </c>
    </row>
    <row r="4662" spans="1:16" x14ac:dyDescent="0.25">
      <c r="A4662" t="str">
        <f>"1120124G00088    00"</f>
        <v>1120124G00088    00</v>
      </c>
      <c r="B4662" t="s">
        <v>11187</v>
      </c>
      <c r="C4662" t="s">
        <v>11188</v>
      </c>
      <c r="D4662" t="s">
        <v>20</v>
      </c>
      <c r="E4662" t="s">
        <v>39</v>
      </c>
      <c r="F4662">
        <v>0</v>
      </c>
      <c r="G4662">
        <v>0</v>
      </c>
      <c r="H4662">
        <v>13</v>
      </c>
      <c r="I4662" s="3">
        <v>1836.02</v>
      </c>
      <c r="J4662" s="3">
        <v>1256.32</v>
      </c>
      <c r="L4662">
        <v>6439</v>
      </c>
      <c r="M4662" t="s">
        <v>11103</v>
      </c>
      <c r="N4662" t="s">
        <v>30</v>
      </c>
      <c r="O4662" t="s">
        <v>31</v>
      </c>
      <c r="P4662" t="str">
        <f>"15206"</f>
        <v>15206</v>
      </c>
    </row>
    <row r="4663" spans="1:16" x14ac:dyDescent="0.25">
      <c r="A4663" t="str">
        <f>"1120124G00091    00"</f>
        <v>1120124G00091    00</v>
      </c>
      <c r="B4663" t="s">
        <v>11189</v>
      </c>
      <c r="C4663" t="s">
        <v>11097</v>
      </c>
      <c r="D4663" t="s">
        <v>20</v>
      </c>
      <c r="E4663" t="s">
        <v>39</v>
      </c>
      <c r="F4663">
        <v>0</v>
      </c>
      <c r="G4663">
        <v>0</v>
      </c>
      <c r="H4663">
        <v>19</v>
      </c>
      <c r="I4663" s="3">
        <v>5814.32</v>
      </c>
      <c r="J4663" s="3">
        <v>8032.18</v>
      </c>
      <c r="L4663">
        <v>6700</v>
      </c>
      <c r="M4663" t="s">
        <v>11190</v>
      </c>
      <c r="N4663" t="s">
        <v>30</v>
      </c>
      <c r="O4663" t="s">
        <v>31</v>
      </c>
      <c r="P4663" t="str">
        <f>"15205"</f>
        <v>15205</v>
      </c>
    </row>
    <row r="4664" spans="1:16" x14ac:dyDescent="0.25">
      <c r="A4664" t="str">
        <f>"1120124G00092    00"</f>
        <v>1120124G00092    00</v>
      </c>
      <c r="B4664" t="s">
        <v>3247</v>
      </c>
      <c r="C4664" t="s">
        <v>11191</v>
      </c>
      <c r="D4664" t="s">
        <v>20</v>
      </c>
      <c r="E4664" t="s">
        <v>39</v>
      </c>
      <c r="F4664">
        <v>0</v>
      </c>
      <c r="G4664">
        <v>0</v>
      </c>
      <c r="H4664">
        <v>3</v>
      </c>
      <c r="I4664" s="3">
        <v>1396.32</v>
      </c>
      <c r="J4664" s="3">
        <v>43.32</v>
      </c>
      <c r="L4664">
        <v>6389</v>
      </c>
      <c r="M4664" t="s">
        <v>3249</v>
      </c>
      <c r="N4664" t="s">
        <v>30</v>
      </c>
      <c r="O4664" t="s">
        <v>31</v>
      </c>
      <c r="P4664" t="str">
        <f>"15206"</f>
        <v>15206</v>
      </c>
    </row>
    <row r="4665" spans="1:16" x14ac:dyDescent="0.25">
      <c r="A4665" t="str">
        <f>"1120124G00104    00"</f>
        <v>1120124G00104    00</v>
      </c>
      <c r="B4665" t="s">
        <v>11192</v>
      </c>
      <c r="C4665" t="s">
        <v>11193</v>
      </c>
      <c r="D4665" t="s">
        <v>20</v>
      </c>
      <c r="E4665" t="s">
        <v>39</v>
      </c>
      <c r="F4665">
        <v>0</v>
      </c>
      <c r="G4665">
        <v>0</v>
      </c>
      <c r="H4665">
        <v>9</v>
      </c>
      <c r="I4665" s="3">
        <v>46.66</v>
      </c>
      <c r="J4665" s="3">
        <v>34.32</v>
      </c>
      <c r="K4665" t="s">
        <v>11194</v>
      </c>
      <c r="L4665">
        <v>400</v>
      </c>
      <c r="M4665" t="s">
        <v>11195</v>
      </c>
      <c r="N4665" t="s">
        <v>11196</v>
      </c>
      <c r="O4665" t="s">
        <v>70</v>
      </c>
      <c r="P4665" t="str">
        <f>"49930"</f>
        <v>49930</v>
      </c>
    </row>
    <row r="4666" spans="1:16" x14ac:dyDescent="0.25">
      <c r="A4666" t="str">
        <f>"1120124G00104000100"</f>
        <v>1120124G00104000100</v>
      </c>
      <c r="B4666" t="s">
        <v>11197</v>
      </c>
      <c r="C4666" t="s">
        <v>11198</v>
      </c>
      <c r="D4666" t="s">
        <v>20</v>
      </c>
      <c r="E4666" t="s">
        <v>39</v>
      </c>
      <c r="F4666">
        <v>0</v>
      </c>
      <c r="G4666">
        <v>0</v>
      </c>
      <c r="H4666">
        <v>11</v>
      </c>
      <c r="I4666" s="3">
        <v>7091.34</v>
      </c>
      <c r="J4666" s="3">
        <v>4541.1000000000004</v>
      </c>
      <c r="L4666">
        <v>1108</v>
      </c>
      <c r="M4666" t="s">
        <v>11199</v>
      </c>
      <c r="N4666" t="s">
        <v>30</v>
      </c>
      <c r="O4666" t="s">
        <v>31</v>
      </c>
      <c r="P4666" t="str">
        <f>"15221"</f>
        <v>15221</v>
      </c>
    </row>
    <row r="4667" spans="1:16" x14ac:dyDescent="0.25">
      <c r="A4667" t="str">
        <f>"1120124G00104A   00"</f>
        <v>1120124G00104A   00</v>
      </c>
      <c r="B4667" t="s">
        <v>11200</v>
      </c>
      <c r="C4667" t="s">
        <v>11201</v>
      </c>
      <c r="D4667" t="s">
        <v>20</v>
      </c>
      <c r="E4667" t="s">
        <v>39</v>
      </c>
      <c r="F4667">
        <v>0</v>
      </c>
      <c r="G4667">
        <v>0</v>
      </c>
      <c r="H4667">
        <v>2</v>
      </c>
      <c r="I4667" s="3">
        <v>501.66</v>
      </c>
      <c r="J4667" s="3">
        <v>0</v>
      </c>
      <c r="L4667">
        <v>1163</v>
      </c>
      <c r="M4667" t="s">
        <v>11059</v>
      </c>
      <c r="N4667" t="s">
        <v>30</v>
      </c>
      <c r="O4667" t="s">
        <v>31</v>
      </c>
      <c r="P4667" t="str">
        <f>"15206"</f>
        <v>15206</v>
      </c>
    </row>
    <row r="4668" spans="1:16" x14ac:dyDescent="0.25">
      <c r="A4668" t="str">
        <f>"1120124G00106    00"</f>
        <v>1120124G00106    00</v>
      </c>
      <c r="B4668" t="s">
        <v>11202</v>
      </c>
      <c r="C4668" t="s">
        <v>11203</v>
      </c>
      <c r="D4668" t="s">
        <v>20</v>
      </c>
      <c r="E4668" t="s">
        <v>39</v>
      </c>
      <c r="F4668">
        <v>0</v>
      </c>
      <c r="G4668">
        <v>0</v>
      </c>
      <c r="H4668">
        <v>18</v>
      </c>
      <c r="I4668" s="3">
        <v>9578.58</v>
      </c>
      <c r="J4668" s="3">
        <v>9855.98</v>
      </c>
      <c r="L4668">
        <v>7901</v>
      </c>
      <c r="M4668" t="s">
        <v>4452</v>
      </c>
      <c r="N4668" t="s">
        <v>30</v>
      </c>
      <c r="O4668" t="s">
        <v>31</v>
      </c>
      <c r="P4668" t="str">
        <f>"15221"</f>
        <v>15221</v>
      </c>
    </row>
    <row r="4669" spans="1:16" x14ac:dyDescent="0.25">
      <c r="A4669" t="str">
        <f>"1120124G00107    00"</f>
        <v>1120124G00107    00</v>
      </c>
      <c r="B4669" t="s">
        <v>11204</v>
      </c>
      <c r="C4669" t="s">
        <v>11097</v>
      </c>
      <c r="D4669" t="s">
        <v>20</v>
      </c>
      <c r="E4669" t="s">
        <v>39</v>
      </c>
      <c r="F4669">
        <v>0</v>
      </c>
      <c r="G4669">
        <v>0</v>
      </c>
      <c r="H4669">
        <v>19</v>
      </c>
      <c r="I4669" s="3">
        <v>304.33999999999997</v>
      </c>
      <c r="J4669" s="3">
        <v>318.3</v>
      </c>
      <c r="L4669">
        <v>6442</v>
      </c>
      <c r="M4669" t="s">
        <v>11103</v>
      </c>
      <c r="N4669" t="s">
        <v>30</v>
      </c>
      <c r="O4669" t="s">
        <v>31</v>
      </c>
      <c r="P4669" t="str">
        <f>"15206"</f>
        <v>15206</v>
      </c>
    </row>
    <row r="4670" spans="1:16" x14ac:dyDescent="0.25">
      <c r="A4670" t="str">
        <f>"1120124G00108    00"</f>
        <v>1120124G00108    00</v>
      </c>
      <c r="B4670" t="s">
        <v>11205</v>
      </c>
      <c r="C4670" t="s">
        <v>11206</v>
      </c>
      <c r="D4670" t="s">
        <v>20</v>
      </c>
      <c r="E4670" t="s">
        <v>39</v>
      </c>
      <c r="F4670">
        <v>0</v>
      </c>
      <c r="G4670">
        <v>0</v>
      </c>
      <c r="H4670">
        <v>2</v>
      </c>
      <c r="I4670" s="3">
        <v>1387.62</v>
      </c>
      <c r="J4670" s="3">
        <v>0</v>
      </c>
      <c r="L4670">
        <v>650</v>
      </c>
      <c r="M4670" t="s">
        <v>4012</v>
      </c>
      <c r="N4670" t="s">
        <v>30</v>
      </c>
      <c r="O4670" t="s">
        <v>31</v>
      </c>
      <c r="P4670" t="str">
        <f>"15235"</f>
        <v>15235</v>
      </c>
    </row>
    <row r="4671" spans="1:16" x14ac:dyDescent="0.25">
      <c r="A4671" t="str">
        <f>"1120124G00109    00"</f>
        <v>1120124G00109    00</v>
      </c>
      <c r="B4671" t="s">
        <v>11207</v>
      </c>
      <c r="C4671" t="s">
        <v>11208</v>
      </c>
      <c r="D4671" t="s">
        <v>20</v>
      </c>
      <c r="E4671" t="s">
        <v>39</v>
      </c>
      <c r="F4671">
        <v>0</v>
      </c>
      <c r="G4671">
        <v>0</v>
      </c>
      <c r="H4671">
        <v>3</v>
      </c>
      <c r="I4671" s="3">
        <v>2104.23</v>
      </c>
      <c r="J4671" s="3">
        <v>140.28</v>
      </c>
      <c r="L4671">
        <v>6438</v>
      </c>
      <c r="M4671" t="s">
        <v>11103</v>
      </c>
      <c r="N4671" t="s">
        <v>30</v>
      </c>
      <c r="O4671" t="s">
        <v>31</v>
      </c>
      <c r="P4671" t="str">
        <f>"15206"</f>
        <v>15206</v>
      </c>
    </row>
    <row r="4672" spans="1:16" x14ac:dyDescent="0.25">
      <c r="A4672" t="str">
        <f>"1120124G00115    00"</f>
        <v>1120124G00115    00</v>
      </c>
      <c r="B4672" t="s">
        <v>11209</v>
      </c>
      <c r="C4672" t="s">
        <v>11210</v>
      </c>
      <c r="D4672" t="s">
        <v>20</v>
      </c>
      <c r="E4672" t="s">
        <v>39</v>
      </c>
      <c r="F4672">
        <v>0</v>
      </c>
      <c r="G4672">
        <v>0</v>
      </c>
      <c r="H4672">
        <v>13</v>
      </c>
      <c r="I4672" s="3">
        <v>1891.54</v>
      </c>
      <c r="J4672" s="3">
        <v>1351.16</v>
      </c>
      <c r="L4672">
        <v>6424</v>
      </c>
      <c r="M4672" t="s">
        <v>11103</v>
      </c>
      <c r="N4672" t="s">
        <v>30</v>
      </c>
      <c r="O4672" t="s">
        <v>31</v>
      </c>
      <c r="P4672" t="str">
        <f>"15206"</f>
        <v>15206</v>
      </c>
    </row>
    <row r="4673" spans="1:16" x14ac:dyDescent="0.25">
      <c r="A4673" t="str">
        <f>"1120124G00134    00"</f>
        <v>1120124G00134    00</v>
      </c>
      <c r="B4673" t="s">
        <v>11211</v>
      </c>
      <c r="C4673" t="s">
        <v>11097</v>
      </c>
      <c r="D4673" t="s">
        <v>57</v>
      </c>
      <c r="E4673" t="s">
        <v>39</v>
      </c>
      <c r="F4673">
        <v>0</v>
      </c>
      <c r="G4673">
        <v>0</v>
      </c>
      <c r="H4673">
        <v>2</v>
      </c>
      <c r="I4673" s="3">
        <v>21.48</v>
      </c>
      <c r="J4673" s="3">
        <v>18.25</v>
      </c>
      <c r="K4673" t="s">
        <v>11212</v>
      </c>
      <c r="L4673">
        <v>4495</v>
      </c>
      <c r="M4673" t="s">
        <v>11213</v>
      </c>
      <c r="N4673" t="s">
        <v>1046</v>
      </c>
      <c r="O4673" t="s">
        <v>31</v>
      </c>
      <c r="P4673" t="str">
        <f>"15147"</f>
        <v>15147</v>
      </c>
    </row>
    <row r="4674" spans="1:16" x14ac:dyDescent="0.25">
      <c r="A4674" t="str">
        <f>"1120124G00136    00"</f>
        <v>1120124G00136    00</v>
      </c>
      <c r="B4674" t="s">
        <v>11214</v>
      </c>
      <c r="C4674" t="s">
        <v>11215</v>
      </c>
      <c r="D4674" t="s">
        <v>20</v>
      </c>
      <c r="E4674" t="s">
        <v>39</v>
      </c>
      <c r="F4674">
        <v>0</v>
      </c>
      <c r="G4674">
        <v>0</v>
      </c>
      <c r="H4674">
        <v>3</v>
      </c>
      <c r="I4674" s="3">
        <v>1257.96</v>
      </c>
      <c r="J4674" s="3">
        <v>83.86</v>
      </c>
      <c r="K4674" t="s">
        <v>11216</v>
      </c>
      <c r="L4674">
        <v>6344</v>
      </c>
      <c r="M4674" t="s">
        <v>11103</v>
      </c>
      <c r="N4674" t="s">
        <v>30</v>
      </c>
      <c r="O4674" t="s">
        <v>31</v>
      </c>
      <c r="P4674" t="str">
        <f>"15206"</f>
        <v>15206</v>
      </c>
    </row>
    <row r="4675" spans="1:16" x14ac:dyDescent="0.25">
      <c r="A4675" t="str">
        <f>"1120124G00186    00"</f>
        <v>1120124G00186    00</v>
      </c>
      <c r="B4675" t="s">
        <v>11217</v>
      </c>
      <c r="C4675" t="s">
        <v>11218</v>
      </c>
      <c r="E4675" t="s">
        <v>39</v>
      </c>
      <c r="F4675">
        <v>0</v>
      </c>
      <c r="G4675">
        <v>0</v>
      </c>
      <c r="H4675">
        <v>5</v>
      </c>
      <c r="I4675" s="3">
        <v>1345.08</v>
      </c>
      <c r="J4675" s="3">
        <v>2257.0500000000002</v>
      </c>
      <c r="L4675">
        <v>7</v>
      </c>
      <c r="M4675" t="s">
        <v>11219</v>
      </c>
      <c r="N4675" t="s">
        <v>30</v>
      </c>
      <c r="O4675" t="s">
        <v>31</v>
      </c>
      <c r="P4675" t="str">
        <f>"15206"</f>
        <v>15206</v>
      </c>
    </row>
    <row r="4676" spans="1:16" x14ac:dyDescent="0.25">
      <c r="A4676" t="str">
        <f>"1120124G00187    00"</f>
        <v>1120124G00187    00</v>
      </c>
      <c r="B4676" t="s">
        <v>11220</v>
      </c>
      <c r="C4676" t="s">
        <v>11221</v>
      </c>
      <c r="D4676" t="s">
        <v>20</v>
      </c>
      <c r="E4676" t="s">
        <v>39</v>
      </c>
      <c r="F4676">
        <v>0</v>
      </c>
      <c r="G4676">
        <v>0</v>
      </c>
      <c r="H4676">
        <v>19</v>
      </c>
      <c r="I4676" s="3">
        <v>3254.17</v>
      </c>
      <c r="J4676" s="3">
        <v>4286.6400000000003</v>
      </c>
      <c r="L4676">
        <v>5234</v>
      </c>
      <c r="M4676" t="s">
        <v>11222</v>
      </c>
      <c r="N4676" t="s">
        <v>11223</v>
      </c>
      <c r="O4676" t="s">
        <v>606</v>
      </c>
      <c r="P4676" t="str">
        <f>"30071"</f>
        <v>30071</v>
      </c>
    </row>
    <row r="4677" spans="1:16" x14ac:dyDescent="0.25">
      <c r="A4677" t="str">
        <f>"1120124G00188    00"</f>
        <v>1120124G00188    00</v>
      </c>
      <c r="B4677" t="s">
        <v>11224</v>
      </c>
      <c r="C4677" t="s">
        <v>11221</v>
      </c>
      <c r="D4677" t="s">
        <v>20</v>
      </c>
      <c r="E4677" t="s">
        <v>39</v>
      </c>
      <c r="F4677">
        <v>0</v>
      </c>
      <c r="G4677">
        <v>0</v>
      </c>
      <c r="H4677">
        <v>19</v>
      </c>
      <c r="I4677" s="3">
        <v>3819.74</v>
      </c>
      <c r="J4677" s="3">
        <v>5092.1499999999996</v>
      </c>
      <c r="P4677" t="str">
        <f>""</f>
        <v/>
      </c>
    </row>
    <row r="4678" spans="1:16" x14ac:dyDescent="0.25">
      <c r="A4678" t="str">
        <f>"1120124G00189    00"</f>
        <v>1120124G00189    00</v>
      </c>
      <c r="B4678" t="s">
        <v>11225</v>
      </c>
      <c r="C4678" t="s">
        <v>11226</v>
      </c>
      <c r="E4678" t="s">
        <v>39</v>
      </c>
      <c r="F4678">
        <v>0</v>
      </c>
      <c r="G4678">
        <v>0</v>
      </c>
      <c r="H4678">
        <v>1</v>
      </c>
      <c r="I4678" s="3">
        <v>235.96</v>
      </c>
      <c r="J4678" s="3">
        <v>163.19</v>
      </c>
      <c r="K4678" t="s">
        <v>11227</v>
      </c>
      <c r="L4678">
        <v>1</v>
      </c>
      <c r="M4678" t="s">
        <v>11228</v>
      </c>
      <c r="N4678" t="s">
        <v>30</v>
      </c>
      <c r="O4678" t="s">
        <v>31</v>
      </c>
      <c r="P4678" t="str">
        <f>"15206"</f>
        <v>15206</v>
      </c>
    </row>
    <row r="4679" spans="1:16" x14ac:dyDescent="0.25">
      <c r="A4679" t="str">
        <f>"1120124G00191    00"</f>
        <v>1120124G00191    00</v>
      </c>
      <c r="B4679" t="s">
        <v>11229</v>
      </c>
      <c r="C4679" t="s">
        <v>11230</v>
      </c>
      <c r="D4679" t="s">
        <v>20</v>
      </c>
      <c r="E4679" t="s">
        <v>39</v>
      </c>
      <c r="F4679">
        <v>0</v>
      </c>
      <c r="G4679">
        <v>0</v>
      </c>
      <c r="H4679">
        <v>3</v>
      </c>
      <c r="I4679" s="3">
        <v>851.02</v>
      </c>
      <c r="J4679" s="3">
        <v>91.1</v>
      </c>
      <c r="L4679">
        <v>6359</v>
      </c>
      <c r="M4679" t="s">
        <v>10468</v>
      </c>
      <c r="N4679" t="s">
        <v>30</v>
      </c>
      <c r="O4679" t="s">
        <v>31</v>
      </c>
      <c r="P4679" t="str">
        <f>"15206"</f>
        <v>15206</v>
      </c>
    </row>
    <row r="4680" spans="1:16" x14ac:dyDescent="0.25">
      <c r="A4680" t="str">
        <f>"1120124G00236    00"</f>
        <v>1120124G00236    00</v>
      </c>
      <c r="B4680" t="s">
        <v>11231</v>
      </c>
      <c r="C4680" t="s">
        <v>11193</v>
      </c>
      <c r="D4680" t="s">
        <v>20</v>
      </c>
      <c r="E4680" t="s">
        <v>39</v>
      </c>
      <c r="F4680">
        <v>0</v>
      </c>
      <c r="G4680">
        <v>0</v>
      </c>
      <c r="H4680">
        <v>19</v>
      </c>
      <c r="I4680" s="3">
        <v>7299.87</v>
      </c>
      <c r="J4680" s="3">
        <v>9652.86</v>
      </c>
      <c r="L4680">
        <v>6914</v>
      </c>
      <c r="M4680" t="s">
        <v>2350</v>
      </c>
      <c r="N4680" t="s">
        <v>30</v>
      </c>
      <c r="O4680" t="s">
        <v>31</v>
      </c>
      <c r="P4680" t="str">
        <f>"15208"</f>
        <v>15208</v>
      </c>
    </row>
    <row r="4681" spans="1:16" x14ac:dyDescent="0.25">
      <c r="A4681" t="str">
        <f>"1120124G00244    00"</f>
        <v>1120124G00244    00</v>
      </c>
      <c r="B4681" t="s">
        <v>11232</v>
      </c>
      <c r="C4681" t="s">
        <v>11233</v>
      </c>
      <c r="D4681" t="s">
        <v>20</v>
      </c>
      <c r="E4681" t="s">
        <v>39</v>
      </c>
      <c r="F4681">
        <v>0</v>
      </c>
      <c r="G4681">
        <v>0</v>
      </c>
      <c r="H4681">
        <v>9</v>
      </c>
      <c r="I4681" s="3">
        <v>10051.48</v>
      </c>
      <c r="J4681" s="3">
        <v>3227.33</v>
      </c>
      <c r="M4681" t="s">
        <v>2690</v>
      </c>
      <c r="N4681" t="s">
        <v>30</v>
      </c>
      <c r="O4681" t="s">
        <v>31</v>
      </c>
      <c r="P4681" t="str">
        <f>"15206"</f>
        <v>15206</v>
      </c>
    </row>
    <row r="4682" spans="1:16" x14ac:dyDescent="0.25">
      <c r="A4682" t="str">
        <f>"1120124G00247    00"</f>
        <v>1120124G00247    00</v>
      </c>
      <c r="B4682" t="s">
        <v>11234</v>
      </c>
      <c r="C4682" t="s">
        <v>11235</v>
      </c>
      <c r="D4682" t="s">
        <v>20</v>
      </c>
      <c r="E4682" t="s">
        <v>39</v>
      </c>
      <c r="F4682">
        <v>0</v>
      </c>
      <c r="G4682">
        <v>0</v>
      </c>
      <c r="H4682">
        <v>19</v>
      </c>
      <c r="I4682" s="3">
        <v>13335.74</v>
      </c>
      <c r="J4682" s="3">
        <v>18418.240000000002</v>
      </c>
      <c r="L4682">
        <v>7715</v>
      </c>
      <c r="M4682" t="s">
        <v>4452</v>
      </c>
      <c r="N4682" t="s">
        <v>30</v>
      </c>
      <c r="O4682" t="s">
        <v>31</v>
      </c>
      <c r="P4682" t="str">
        <f>"15208"</f>
        <v>15208</v>
      </c>
    </row>
    <row r="4683" spans="1:16" x14ac:dyDescent="0.25">
      <c r="A4683" t="str">
        <f>"1120124G00249    00"</f>
        <v>1120124G00249    00</v>
      </c>
      <c r="B4683" t="s">
        <v>11236</v>
      </c>
      <c r="C4683" t="s">
        <v>11237</v>
      </c>
      <c r="D4683" t="s">
        <v>20</v>
      </c>
      <c r="E4683" t="s">
        <v>39</v>
      </c>
      <c r="F4683">
        <v>0</v>
      </c>
      <c r="G4683">
        <v>0</v>
      </c>
      <c r="H4683">
        <v>1</v>
      </c>
      <c r="I4683" s="3">
        <v>299.7</v>
      </c>
      <c r="J4683" s="3">
        <v>0</v>
      </c>
      <c r="L4683">
        <v>6425</v>
      </c>
      <c r="M4683" t="s">
        <v>11238</v>
      </c>
      <c r="N4683" t="s">
        <v>30</v>
      </c>
      <c r="O4683" t="s">
        <v>31</v>
      </c>
      <c r="P4683" t="str">
        <f>"15206"</f>
        <v>15206</v>
      </c>
    </row>
    <row r="4684" spans="1:16" x14ac:dyDescent="0.25">
      <c r="A4684" t="str">
        <f>"1120124G00251    00"</f>
        <v>1120124G00251    00</v>
      </c>
      <c r="B4684" t="s">
        <v>11239</v>
      </c>
      <c r="C4684" t="s">
        <v>11240</v>
      </c>
      <c r="D4684" t="s">
        <v>20</v>
      </c>
      <c r="E4684" t="s">
        <v>39</v>
      </c>
      <c r="F4684">
        <v>0</v>
      </c>
      <c r="G4684">
        <v>0</v>
      </c>
      <c r="H4684">
        <v>13</v>
      </c>
      <c r="I4684" s="3">
        <v>12890.33</v>
      </c>
      <c r="J4684" s="3">
        <v>8387.64</v>
      </c>
      <c r="L4684">
        <v>6419</v>
      </c>
      <c r="M4684" t="s">
        <v>11241</v>
      </c>
      <c r="N4684" t="s">
        <v>30</v>
      </c>
      <c r="O4684" t="s">
        <v>31</v>
      </c>
      <c r="P4684" t="str">
        <f>"15206"</f>
        <v>15206</v>
      </c>
    </row>
    <row r="4685" spans="1:16" x14ac:dyDescent="0.25">
      <c r="A4685" t="str">
        <f>"1120124G00254    00"</f>
        <v>1120124G00254    00</v>
      </c>
      <c r="B4685" t="s">
        <v>11242</v>
      </c>
      <c r="C4685" t="s">
        <v>11243</v>
      </c>
      <c r="D4685" t="s">
        <v>20</v>
      </c>
      <c r="E4685" t="s">
        <v>39</v>
      </c>
      <c r="F4685">
        <v>0</v>
      </c>
      <c r="G4685">
        <v>0</v>
      </c>
      <c r="H4685">
        <v>7</v>
      </c>
      <c r="I4685" s="3">
        <v>6344.53</v>
      </c>
      <c r="J4685" s="3">
        <v>1577.77</v>
      </c>
      <c r="L4685">
        <v>142</v>
      </c>
      <c r="M4685" t="s">
        <v>11244</v>
      </c>
      <c r="N4685" t="s">
        <v>30</v>
      </c>
      <c r="O4685" t="s">
        <v>31</v>
      </c>
      <c r="P4685" t="str">
        <f>"15235"</f>
        <v>15235</v>
      </c>
    </row>
    <row r="4686" spans="1:16" x14ac:dyDescent="0.25">
      <c r="A4686" t="str">
        <f>"1120124G00257    00"</f>
        <v>1120124G00257    00</v>
      </c>
      <c r="B4686" t="s">
        <v>11245</v>
      </c>
      <c r="C4686" t="s">
        <v>11246</v>
      </c>
      <c r="D4686" t="s">
        <v>20</v>
      </c>
      <c r="E4686" t="s">
        <v>39</v>
      </c>
      <c r="F4686">
        <v>0</v>
      </c>
      <c r="G4686">
        <v>0</v>
      </c>
      <c r="H4686">
        <v>17</v>
      </c>
      <c r="I4686" s="3">
        <v>11113.45</v>
      </c>
      <c r="J4686" s="3">
        <v>11887.29</v>
      </c>
      <c r="K4686" t="s">
        <v>11247</v>
      </c>
      <c r="L4686">
        <v>6405</v>
      </c>
      <c r="M4686" t="s">
        <v>11228</v>
      </c>
      <c r="N4686" t="s">
        <v>30</v>
      </c>
      <c r="O4686" t="s">
        <v>31</v>
      </c>
      <c r="P4686" t="str">
        <f>"15206"</f>
        <v>15206</v>
      </c>
    </row>
    <row r="4687" spans="1:16" x14ac:dyDescent="0.25">
      <c r="A4687" t="str">
        <f>"1120124G00277    00"</f>
        <v>1120124G00277    00</v>
      </c>
      <c r="B4687" t="s">
        <v>11248</v>
      </c>
      <c r="C4687" t="s">
        <v>11064</v>
      </c>
      <c r="D4687" t="s">
        <v>20</v>
      </c>
      <c r="E4687" t="s">
        <v>39</v>
      </c>
      <c r="F4687">
        <v>0</v>
      </c>
      <c r="G4687">
        <v>0</v>
      </c>
      <c r="H4687">
        <v>19</v>
      </c>
      <c r="I4687" s="3">
        <v>372.61</v>
      </c>
      <c r="J4687" s="3">
        <v>420.38</v>
      </c>
      <c r="L4687">
        <v>30</v>
      </c>
      <c r="M4687" t="s">
        <v>11249</v>
      </c>
      <c r="N4687" t="s">
        <v>30</v>
      </c>
      <c r="O4687" t="s">
        <v>31</v>
      </c>
      <c r="P4687" t="str">
        <f>"15235"</f>
        <v>15235</v>
      </c>
    </row>
    <row r="4688" spans="1:16" x14ac:dyDescent="0.25">
      <c r="A4688" t="str">
        <f>"1120124G00278    00"</f>
        <v>1120124G00278    00</v>
      </c>
      <c r="B4688" t="s">
        <v>11250</v>
      </c>
      <c r="C4688" t="s">
        <v>11064</v>
      </c>
      <c r="D4688" t="s">
        <v>20</v>
      </c>
      <c r="E4688" t="s">
        <v>39</v>
      </c>
      <c r="F4688">
        <v>0</v>
      </c>
      <c r="G4688">
        <v>0</v>
      </c>
      <c r="H4688">
        <v>19</v>
      </c>
      <c r="I4688" s="3">
        <v>255.06</v>
      </c>
      <c r="J4688" s="3">
        <v>247.23</v>
      </c>
      <c r="K4688" t="s">
        <v>1037</v>
      </c>
      <c r="L4688">
        <v>1111</v>
      </c>
      <c r="M4688" t="s">
        <v>11126</v>
      </c>
      <c r="N4688" t="s">
        <v>30</v>
      </c>
      <c r="O4688" t="s">
        <v>31</v>
      </c>
      <c r="P4688" t="str">
        <f>"15206"</f>
        <v>15206</v>
      </c>
    </row>
    <row r="4689" spans="1:16" x14ac:dyDescent="0.25">
      <c r="A4689" t="str">
        <f>"1120124G00280    00"</f>
        <v>1120124G00280    00</v>
      </c>
      <c r="B4689" t="s">
        <v>11251</v>
      </c>
      <c r="C4689" t="s">
        <v>11064</v>
      </c>
      <c r="D4689" t="s">
        <v>20</v>
      </c>
      <c r="E4689" t="s">
        <v>39</v>
      </c>
      <c r="F4689">
        <v>0</v>
      </c>
      <c r="G4689">
        <v>0</v>
      </c>
      <c r="H4689">
        <v>6</v>
      </c>
      <c r="I4689" s="3">
        <v>67.13</v>
      </c>
      <c r="J4689" s="3">
        <v>15.31</v>
      </c>
      <c r="L4689">
        <v>1110</v>
      </c>
      <c r="M4689" t="s">
        <v>11126</v>
      </c>
      <c r="N4689" t="s">
        <v>30</v>
      </c>
      <c r="O4689" t="s">
        <v>31</v>
      </c>
      <c r="P4689" t="str">
        <f>"15206"</f>
        <v>15206</v>
      </c>
    </row>
    <row r="4690" spans="1:16" x14ac:dyDescent="0.25">
      <c r="A4690" t="str">
        <f>"1120124G00293    00"</f>
        <v>1120124G00293    00</v>
      </c>
      <c r="B4690" t="s">
        <v>11252</v>
      </c>
      <c r="C4690" t="s">
        <v>11253</v>
      </c>
      <c r="D4690" t="s">
        <v>20</v>
      </c>
      <c r="E4690" t="s">
        <v>39</v>
      </c>
      <c r="F4690">
        <v>0</v>
      </c>
      <c r="G4690">
        <v>0</v>
      </c>
      <c r="H4690">
        <v>3</v>
      </c>
      <c r="I4690" s="3">
        <v>2630.49</v>
      </c>
      <c r="J4690" s="3">
        <v>152.03</v>
      </c>
      <c r="K4690" t="s">
        <v>11254</v>
      </c>
      <c r="L4690">
        <v>830</v>
      </c>
      <c r="M4690" t="s">
        <v>11255</v>
      </c>
      <c r="N4690" t="s">
        <v>11256</v>
      </c>
      <c r="O4690" t="s">
        <v>31</v>
      </c>
      <c r="P4690" t="str">
        <f>"15033"</f>
        <v>15033</v>
      </c>
    </row>
    <row r="4691" spans="1:16" x14ac:dyDescent="0.25">
      <c r="A4691" t="str">
        <f>"1120124G00296    00"</f>
        <v>1120124G00296    00</v>
      </c>
      <c r="B4691" t="s">
        <v>11257</v>
      </c>
      <c r="C4691" t="s">
        <v>11258</v>
      </c>
      <c r="E4691" t="s">
        <v>39</v>
      </c>
      <c r="F4691">
        <v>0</v>
      </c>
      <c r="G4691">
        <v>0</v>
      </c>
      <c r="H4691">
        <v>1</v>
      </c>
      <c r="I4691" s="3">
        <v>473.98</v>
      </c>
      <c r="J4691" s="3">
        <v>189.58</v>
      </c>
      <c r="L4691">
        <v>6436</v>
      </c>
      <c r="M4691" t="s">
        <v>11238</v>
      </c>
      <c r="N4691" t="s">
        <v>30</v>
      </c>
      <c r="O4691" t="s">
        <v>31</v>
      </c>
      <c r="P4691" t="str">
        <f>"15206"</f>
        <v>15206</v>
      </c>
    </row>
    <row r="4692" spans="1:16" x14ac:dyDescent="0.25">
      <c r="A4692" t="str">
        <f>"1120124G00299    00"</f>
        <v>1120124G00299    00</v>
      </c>
      <c r="B4692" t="s">
        <v>11259</v>
      </c>
      <c r="C4692" t="s">
        <v>11260</v>
      </c>
      <c r="D4692" t="s">
        <v>33</v>
      </c>
      <c r="E4692" t="s">
        <v>39</v>
      </c>
      <c r="F4692">
        <v>0</v>
      </c>
      <c r="G4692">
        <v>0</v>
      </c>
      <c r="H4692">
        <v>3</v>
      </c>
      <c r="I4692" s="3">
        <v>610.66</v>
      </c>
      <c r="J4692" s="3">
        <v>0</v>
      </c>
      <c r="L4692">
        <v>6440</v>
      </c>
      <c r="M4692" t="s">
        <v>11238</v>
      </c>
      <c r="N4692" t="s">
        <v>30</v>
      </c>
      <c r="O4692" t="s">
        <v>31</v>
      </c>
      <c r="P4692" t="str">
        <f>"15206"</f>
        <v>15206</v>
      </c>
    </row>
    <row r="4693" spans="1:16" x14ac:dyDescent="0.25">
      <c r="A4693" t="str">
        <f>"1120124G00304    00"</f>
        <v>1120124G00304    00</v>
      </c>
      <c r="B4693" t="s">
        <v>11261</v>
      </c>
      <c r="C4693" t="s">
        <v>11193</v>
      </c>
      <c r="D4693" t="s">
        <v>20</v>
      </c>
      <c r="E4693" t="s">
        <v>39</v>
      </c>
      <c r="F4693">
        <v>0</v>
      </c>
      <c r="G4693">
        <v>0</v>
      </c>
      <c r="H4693">
        <v>19</v>
      </c>
      <c r="I4693" s="3">
        <v>5717.43</v>
      </c>
      <c r="J4693" s="3">
        <v>8048.37</v>
      </c>
      <c r="L4693">
        <v>1122</v>
      </c>
      <c r="M4693" t="s">
        <v>11059</v>
      </c>
      <c r="N4693" t="s">
        <v>30</v>
      </c>
      <c r="O4693" t="s">
        <v>31</v>
      </c>
      <c r="P4693" t="str">
        <f>"15206"</f>
        <v>15206</v>
      </c>
    </row>
    <row r="4694" spans="1:16" x14ac:dyDescent="0.25">
      <c r="A4694" t="str">
        <f>"1120124G00319    00"</f>
        <v>1120124G00319    00</v>
      </c>
      <c r="B4694" t="s">
        <v>11262</v>
      </c>
      <c r="C4694" t="s">
        <v>11263</v>
      </c>
      <c r="D4694" t="s">
        <v>20</v>
      </c>
      <c r="E4694" t="s">
        <v>39</v>
      </c>
      <c r="F4694">
        <v>0</v>
      </c>
      <c r="G4694">
        <v>0</v>
      </c>
      <c r="H4694">
        <v>19</v>
      </c>
      <c r="I4694" s="3">
        <v>3759.84</v>
      </c>
      <c r="J4694" s="3">
        <v>5032.3</v>
      </c>
      <c r="K4694" t="s">
        <v>11264</v>
      </c>
      <c r="L4694">
        <v>6429</v>
      </c>
      <c r="M4694" t="s">
        <v>3089</v>
      </c>
      <c r="N4694" t="s">
        <v>30</v>
      </c>
      <c r="O4694" t="s">
        <v>31</v>
      </c>
      <c r="P4694" t="str">
        <f>"15206"</f>
        <v>15206</v>
      </c>
    </row>
    <row r="4695" spans="1:16" x14ac:dyDescent="0.25">
      <c r="A4695" t="str">
        <f>"1120124G00328    00"</f>
        <v>1120124G00328    00</v>
      </c>
      <c r="B4695" t="s">
        <v>11265</v>
      </c>
      <c r="C4695" t="s">
        <v>11266</v>
      </c>
      <c r="D4695" t="s">
        <v>20</v>
      </c>
      <c r="E4695" t="s">
        <v>39</v>
      </c>
      <c r="F4695">
        <v>0</v>
      </c>
      <c r="G4695">
        <v>0</v>
      </c>
      <c r="H4695">
        <v>1</v>
      </c>
      <c r="I4695" s="3">
        <v>369.76</v>
      </c>
      <c r="J4695" s="3">
        <v>0</v>
      </c>
      <c r="L4695">
        <v>2945</v>
      </c>
      <c r="M4695" t="s">
        <v>11267</v>
      </c>
      <c r="N4695" t="s">
        <v>30</v>
      </c>
      <c r="O4695" t="s">
        <v>31</v>
      </c>
      <c r="P4695" t="str">
        <f>"15204"</f>
        <v>15204</v>
      </c>
    </row>
    <row r="4696" spans="1:16" x14ac:dyDescent="0.25">
      <c r="A4696" t="str">
        <f>"1120124G00331    00"</f>
        <v>1120124G00331    00</v>
      </c>
      <c r="B4696" t="s">
        <v>7884</v>
      </c>
      <c r="C4696" t="s">
        <v>11268</v>
      </c>
      <c r="D4696" t="s">
        <v>20</v>
      </c>
      <c r="E4696" t="s">
        <v>39</v>
      </c>
      <c r="F4696">
        <v>0</v>
      </c>
      <c r="G4696">
        <v>0</v>
      </c>
      <c r="H4696">
        <v>8</v>
      </c>
      <c r="I4696" s="3">
        <v>5203.1000000000004</v>
      </c>
      <c r="J4696" s="3">
        <v>3748.41</v>
      </c>
      <c r="L4696">
        <v>7404</v>
      </c>
      <c r="M4696" t="s">
        <v>11269</v>
      </c>
      <c r="N4696" t="s">
        <v>30</v>
      </c>
      <c r="O4696" t="s">
        <v>31</v>
      </c>
      <c r="P4696" t="str">
        <f>"15208"</f>
        <v>15208</v>
      </c>
    </row>
    <row r="4697" spans="1:16" x14ac:dyDescent="0.25">
      <c r="A4697" t="str">
        <f>"1120124G00333    00"</f>
        <v>1120124G00333    00</v>
      </c>
      <c r="B4697" t="s">
        <v>11270</v>
      </c>
      <c r="C4697" t="s">
        <v>11271</v>
      </c>
      <c r="D4697" t="s">
        <v>20</v>
      </c>
      <c r="E4697" t="s">
        <v>39</v>
      </c>
      <c r="F4697">
        <v>0</v>
      </c>
      <c r="G4697">
        <v>0</v>
      </c>
      <c r="H4697">
        <v>3</v>
      </c>
      <c r="I4697" s="3">
        <v>1709.7</v>
      </c>
      <c r="J4697" s="3">
        <v>113.98</v>
      </c>
      <c r="K4697" t="s">
        <v>11272</v>
      </c>
      <c r="L4697">
        <v>246</v>
      </c>
      <c r="M4697" t="s">
        <v>11273</v>
      </c>
      <c r="N4697" t="s">
        <v>1046</v>
      </c>
      <c r="O4697" t="s">
        <v>31</v>
      </c>
      <c r="P4697" t="str">
        <f>"15147"</f>
        <v>15147</v>
      </c>
    </row>
    <row r="4698" spans="1:16" x14ac:dyDescent="0.25">
      <c r="A4698" t="str">
        <f>"1120124G00337    00"</f>
        <v>1120124G00337    00</v>
      </c>
      <c r="B4698" t="s">
        <v>11274</v>
      </c>
      <c r="C4698" t="s">
        <v>11064</v>
      </c>
      <c r="D4698" t="s">
        <v>20</v>
      </c>
      <c r="E4698" t="s">
        <v>39</v>
      </c>
      <c r="F4698">
        <v>0</v>
      </c>
      <c r="G4698">
        <v>0</v>
      </c>
      <c r="H4698">
        <v>19</v>
      </c>
      <c r="I4698" s="3">
        <v>255.06</v>
      </c>
      <c r="J4698" s="3">
        <v>247.23</v>
      </c>
      <c r="K4698" t="s">
        <v>1037</v>
      </c>
      <c r="L4698">
        <v>1147</v>
      </c>
      <c r="M4698" t="s">
        <v>3112</v>
      </c>
      <c r="N4698" t="s">
        <v>30</v>
      </c>
      <c r="O4698" t="s">
        <v>31</v>
      </c>
      <c r="P4698" t="str">
        <f>"15201"</f>
        <v>15201</v>
      </c>
    </row>
    <row r="4699" spans="1:16" x14ac:dyDescent="0.25">
      <c r="A4699" t="str">
        <f>"1120124G00338    00"</f>
        <v>1120124G00338    00</v>
      </c>
      <c r="B4699" t="s">
        <v>11275</v>
      </c>
      <c r="C4699" t="s">
        <v>11276</v>
      </c>
      <c r="D4699" t="s">
        <v>20</v>
      </c>
      <c r="E4699" t="s">
        <v>39</v>
      </c>
      <c r="F4699">
        <v>0</v>
      </c>
      <c r="G4699">
        <v>0</v>
      </c>
      <c r="H4699">
        <v>2</v>
      </c>
      <c r="I4699" s="3">
        <v>1055.94</v>
      </c>
      <c r="J4699" s="3">
        <v>0</v>
      </c>
      <c r="L4699">
        <v>246</v>
      </c>
      <c r="M4699" t="s">
        <v>11273</v>
      </c>
      <c r="N4699" t="s">
        <v>1046</v>
      </c>
      <c r="O4699" t="s">
        <v>31</v>
      </c>
      <c r="P4699" t="str">
        <f>"15147"</f>
        <v>15147</v>
      </c>
    </row>
    <row r="4700" spans="1:16" x14ac:dyDescent="0.25">
      <c r="A4700" t="str">
        <f>"1120124G00340    00"</f>
        <v>1120124G00340    00</v>
      </c>
      <c r="B4700" t="s">
        <v>11277</v>
      </c>
      <c r="C4700" t="s">
        <v>11278</v>
      </c>
      <c r="D4700" t="s">
        <v>20</v>
      </c>
      <c r="E4700" t="s">
        <v>39</v>
      </c>
      <c r="F4700">
        <v>0</v>
      </c>
      <c r="G4700">
        <v>0</v>
      </c>
      <c r="H4700">
        <v>4</v>
      </c>
      <c r="I4700" s="3">
        <v>1655.44</v>
      </c>
      <c r="J4700" s="3">
        <v>113.7</v>
      </c>
      <c r="L4700">
        <v>246</v>
      </c>
      <c r="M4700" t="s">
        <v>11273</v>
      </c>
      <c r="N4700" t="s">
        <v>1046</v>
      </c>
      <c r="O4700" t="s">
        <v>31</v>
      </c>
      <c r="P4700" t="str">
        <f>"15147"</f>
        <v>15147</v>
      </c>
    </row>
    <row r="4701" spans="1:16" x14ac:dyDescent="0.25">
      <c r="A4701" t="str">
        <f>"1120124G00353    00"</f>
        <v>1120124G00353    00</v>
      </c>
      <c r="B4701" t="s">
        <v>11279</v>
      </c>
      <c r="C4701" t="s">
        <v>11263</v>
      </c>
      <c r="E4701" t="s">
        <v>39</v>
      </c>
      <c r="F4701">
        <v>0</v>
      </c>
      <c r="G4701">
        <v>0</v>
      </c>
      <c r="H4701">
        <v>10</v>
      </c>
      <c r="I4701" s="3">
        <v>7579.61</v>
      </c>
      <c r="J4701" s="3">
        <v>10171.780000000001</v>
      </c>
      <c r="L4701">
        <v>7011</v>
      </c>
      <c r="M4701" t="s">
        <v>585</v>
      </c>
      <c r="N4701" t="s">
        <v>30</v>
      </c>
      <c r="O4701" t="s">
        <v>31</v>
      </c>
      <c r="P4701" t="str">
        <f>"15208"</f>
        <v>15208</v>
      </c>
    </row>
    <row r="4702" spans="1:16" x14ac:dyDescent="0.25">
      <c r="A4702" t="str">
        <f>"1120124G00354    00"</f>
        <v>1120124G00354    00</v>
      </c>
      <c r="B4702" t="s">
        <v>11280</v>
      </c>
      <c r="C4702" t="s">
        <v>11263</v>
      </c>
      <c r="D4702" t="s">
        <v>20</v>
      </c>
      <c r="E4702" t="s">
        <v>39</v>
      </c>
      <c r="F4702">
        <v>0</v>
      </c>
      <c r="G4702">
        <v>0</v>
      </c>
      <c r="H4702">
        <v>19</v>
      </c>
      <c r="I4702" s="3">
        <v>3798.89</v>
      </c>
      <c r="J4702" s="3">
        <v>5005.66</v>
      </c>
      <c r="K4702" t="s">
        <v>11281</v>
      </c>
      <c r="L4702">
        <v>5401</v>
      </c>
      <c r="M4702" t="s">
        <v>11282</v>
      </c>
      <c r="N4702" t="s">
        <v>30</v>
      </c>
      <c r="O4702" t="s">
        <v>31</v>
      </c>
      <c r="P4702" t="str">
        <f>"15206"</f>
        <v>15206</v>
      </c>
    </row>
    <row r="4703" spans="1:16" x14ac:dyDescent="0.25">
      <c r="A4703" t="str">
        <f>"1120124G00355    00"</f>
        <v>1120124G00355    00</v>
      </c>
      <c r="B4703" t="s">
        <v>11283</v>
      </c>
      <c r="C4703" t="s">
        <v>11263</v>
      </c>
      <c r="D4703" t="s">
        <v>20</v>
      </c>
      <c r="E4703" t="s">
        <v>39</v>
      </c>
      <c r="F4703">
        <v>0</v>
      </c>
      <c r="G4703">
        <v>0</v>
      </c>
      <c r="H4703">
        <v>19</v>
      </c>
      <c r="I4703" s="3">
        <v>378.35</v>
      </c>
      <c r="J4703" s="3">
        <v>424.97</v>
      </c>
      <c r="K4703" t="s">
        <v>1008</v>
      </c>
      <c r="P4703" t="str">
        <f>""</f>
        <v/>
      </c>
    </row>
    <row r="4704" spans="1:16" x14ac:dyDescent="0.25">
      <c r="A4704" t="str">
        <f>"1120124G00356    00"</f>
        <v>1120124G00356    00</v>
      </c>
      <c r="B4704" t="s">
        <v>11284</v>
      </c>
      <c r="C4704" t="s">
        <v>11263</v>
      </c>
      <c r="D4704" t="s">
        <v>20</v>
      </c>
      <c r="E4704" t="s">
        <v>39</v>
      </c>
      <c r="F4704">
        <v>0</v>
      </c>
      <c r="G4704">
        <v>0</v>
      </c>
      <c r="H4704">
        <v>14</v>
      </c>
      <c r="I4704" s="3">
        <v>948.88</v>
      </c>
      <c r="J4704" s="3">
        <v>675.73</v>
      </c>
      <c r="K4704" t="s">
        <v>11285</v>
      </c>
      <c r="P4704" t="str">
        <f>""</f>
        <v/>
      </c>
    </row>
    <row r="4705" spans="1:16" x14ac:dyDescent="0.25">
      <c r="A4705" t="str">
        <f>"1120124G00357    00"</f>
        <v>1120124G00357    00</v>
      </c>
      <c r="B4705" t="s">
        <v>11286</v>
      </c>
      <c r="C4705" t="s">
        <v>11287</v>
      </c>
      <c r="D4705" t="s">
        <v>20</v>
      </c>
      <c r="E4705" t="s">
        <v>39</v>
      </c>
      <c r="F4705">
        <v>0</v>
      </c>
      <c r="G4705">
        <v>0</v>
      </c>
      <c r="H4705">
        <v>1</v>
      </c>
      <c r="I4705" s="3">
        <v>606.58000000000004</v>
      </c>
      <c r="J4705" s="3">
        <v>0</v>
      </c>
      <c r="K4705" t="s">
        <v>11288</v>
      </c>
      <c r="L4705">
        <v>6412</v>
      </c>
      <c r="M4705" t="s">
        <v>3089</v>
      </c>
      <c r="N4705" t="s">
        <v>30</v>
      </c>
      <c r="O4705" t="s">
        <v>31</v>
      </c>
      <c r="P4705" t="str">
        <f>"15206"</f>
        <v>15206</v>
      </c>
    </row>
    <row r="4706" spans="1:16" x14ac:dyDescent="0.25">
      <c r="A4706" t="str">
        <f>"1120124H00003    00"</f>
        <v>1120124H00003    00</v>
      </c>
      <c r="B4706" t="s">
        <v>11289</v>
      </c>
      <c r="C4706" t="s">
        <v>11290</v>
      </c>
      <c r="D4706" t="s">
        <v>20</v>
      </c>
      <c r="E4706" t="s">
        <v>39</v>
      </c>
      <c r="F4706">
        <v>0</v>
      </c>
      <c r="G4706">
        <v>0</v>
      </c>
      <c r="H4706">
        <v>1</v>
      </c>
      <c r="I4706" s="3">
        <v>1090.71</v>
      </c>
      <c r="J4706" s="3">
        <v>0</v>
      </c>
      <c r="L4706">
        <v>6439</v>
      </c>
      <c r="M4706" t="s">
        <v>11291</v>
      </c>
      <c r="N4706" t="s">
        <v>30</v>
      </c>
      <c r="O4706" t="s">
        <v>31</v>
      </c>
      <c r="P4706" t="str">
        <f>"15206"</f>
        <v>15206</v>
      </c>
    </row>
    <row r="4707" spans="1:16" x14ac:dyDescent="0.25">
      <c r="A4707" t="str">
        <f>"1120124H00026    00"</f>
        <v>1120124H00026    00</v>
      </c>
      <c r="B4707" t="s">
        <v>11292</v>
      </c>
      <c r="C4707" t="s">
        <v>11293</v>
      </c>
      <c r="E4707" t="s">
        <v>39</v>
      </c>
      <c r="F4707">
        <v>0</v>
      </c>
      <c r="G4707">
        <v>0</v>
      </c>
      <c r="H4707">
        <v>1</v>
      </c>
      <c r="I4707" s="3">
        <v>19.059999999999999</v>
      </c>
      <c r="J4707" s="3">
        <v>0</v>
      </c>
      <c r="K4707" t="s">
        <v>11294</v>
      </c>
      <c r="L4707">
        <v>1245</v>
      </c>
      <c r="M4707" t="s">
        <v>11295</v>
      </c>
      <c r="N4707" t="s">
        <v>30</v>
      </c>
      <c r="O4707" t="s">
        <v>31</v>
      </c>
      <c r="P4707" t="str">
        <f>"15206"</f>
        <v>15206</v>
      </c>
    </row>
    <row r="4708" spans="1:16" x14ac:dyDescent="0.25">
      <c r="A4708" t="str">
        <f>"1120124H00028    00"</f>
        <v>1120124H00028    00</v>
      </c>
      <c r="B4708" t="s">
        <v>11296</v>
      </c>
      <c r="C4708" t="s">
        <v>11297</v>
      </c>
      <c r="E4708" t="s">
        <v>39</v>
      </c>
      <c r="F4708">
        <v>0</v>
      </c>
      <c r="G4708">
        <v>0</v>
      </c>
      <c r="H4708">
        <v>1</v>
      </c>
      <c r="I4708" s="3">
        <v>915.97</v>
      </c>
      <c r="J4708" s="3">
        <v>1058.45</v>
      </c>
      <c r="L4708">
        <v>1237</v>
      </c>
      <c r="M4708" t="s">
        <v>11295</v>
      </c>
      <c r="N4708" t="s">
        <v>30</v>
      </c>
      <c r="O4708" t="s">
        <v>31</v>
      </c>
      <c r="P4708" t="str">
        <f>"15206"</f>
        <v>15206</v>
      </c>
    </row>
    <row r="4709" spans="1:16" x14ac:dyDescent="0.25">
      <c r="A4709" t="str">
        <f>"1120124H00038    00"</f>
        <v>1120124H00038    00</v>
      </c>
      <c r="B4709" t="s">
        <v>11298</v>
      </c>
      <c r="C4709" t="s">
        <v>11299</v>
      </c>
      <c r="E4709" t="s">
        <v>21</v>
      </c>
      <c r="F4709">
        <v>0</v>
      </c>
      <c r="G4709">
        <v>0</v>
      </c>
      <c r="H4709">
        <v>3</v>
      </c>
      <c r="I4709" s="3">
        <v>14283.54</v>
      </c>
      <c r="J4709" s="3">
        <v>21748.37</v>
      </c>
      <c r="K4709" t="s">
        <v>11300</v>
      </c>
      <c r="L4709">
        <v>624</v>
      </c>
      <c r="M4709" t="s">
        <v>2371</v>
      </c>
      <c r="N4709" t="s">
        <v>30</v>
      </c>
      <c r="O4709" t="s">
        <v>31</v>
      </c>
      <c r="P4709" t="str">
        <f>"15219"</f>
        <v>15219</v>
      </c>
    </row>
    <row r="4710" spans="1:16" x14ac:dyDescent="0.25">
      <c r="A4710" t="str">
        <f>"1120124H00042    00"</f>
        <v>1120124H00042    00</v>
      </c>
      <c r="B4710" t="s">
        <v>11301</v>
      </c>
      <c r="C4710" t="s">
        <v>11302</v>
      </c>
      <c r="D4710" t="s">
        <v>20</v>
      </c>
      <c r="E4710" t="s">
        <v>39</v>
      </c>
      <c r="F4710">
        <v>0</v>
      </c>
      <c r="G4710">
        <v>0</v>
      </c>
      <c r="H4710">
        <v>6</v>
      </c>
      <c r="I4710" s="3">
        <v>1690.6</v>
      </c>
      <c r="J4710" s="3">
        <v>335.57</v>
      </c>
      <c r="L4710">
        <v>137</v>
      </c>
      <c r="M4710" t="s">
        <v>11303</v>
      </c>
      <c r="N4710" t="s">
        <v>6189</v>
      </c>
      <c r="O4710" t="s">
        <v>1413</v>
      </c>
      <c r="P4710" t="str">
        <f>"27101"</f>
        <v>27101</v>
      </c>
    </row>
    <row r="4711" spans="1:16" x14ac:dyDescent="0.25">
      <c r="A4711" t="str">
        <f>"1120124H00045000500"</f>
        <v>1120124H00045000500</v>
      </c>
      <c r="B4711" t="s">
        <v>11304</v>
      </c>
      <c r="C4711" t="s">
        <v>11305</v>
      </c>
      <c r="D4711" t="s">
        <v>20</v>
      </c>
      <c r="E4711" t="s">
        <v>39</v>
      </c>
      <c r="F4711">
        <v>0</v>
      </c>
      <c r="G4711">
        <v>0</v>
      </c>
      <c r="H4711">
        <v>4</v>
      </c>
      <c r="I4711" s="3">
        <v>31.27</v>
      </c>
      <c r="J4711" s="3">
        <v>3.83</v>
      </c>
      <c r="L4711">
        <v>6586</v>
      </c>
      <c r="M4711" t="s">
        <v>11291</v>
      </c>
      <c r="N4711" t="s">
        <v>30</v>
      </c>
      <c r="O4711" t="s">
        <v>31</v>
      </c>
      <c r="P4711" t="str">
        <f>"15206"</f>
        <v>15206</v>
      </c>
    </row>
    <row r="4712" spans="1:16" x14ac:dyDescent="0.25">
      <c r="A4712" t="str">
        <f>"1120124H00045001100"</f>
        <v>1120124H00045001100</v>
      </c>
      <c r="B4712" t="s">
        <v>11306</v>
      </c>
      <c r="C4712" t="s">
        <v>11307</v>
      </c>
      <c r="E4712" t="s">
        <v>39</v>
      </c>
      <c r="F4712">
        <v>0</v>
      </c>
      <c r="G4712">
        <v>0</v>
      </c>
      <c r="H4712">
        <v>1</v>
      </c>
      <c r="I4712" s="3">
        <v>143.93</v>
      </c>
      <c r="J4712" s="3">
        <v>2.4</v>
      </c>
      <c r="L4712">
        <v>1800</v>
      </c>
      <c r="M4712" t="s">
        <v>1315</v>
      </c>
      <c r="N4712" t="s">
        <v>30</v>
      </c>
      <c r="O4712" t="s">
        <v>31</v>
      </c>
      <c r="P4712" t="str">
        <f>"15206"</f>
        <v>15206</v>
      </c>
    </row>
    <row r="4713" spans="1:16" x14ac:dyDescent="0.25">
      <c r="A4713" t="str">
        <f>"1120124H00047    01"</f>
        <v>1120124H00047    01</v>
      </c>
      <c r="B4713" t="s">
        <v>11308</v>
      </c>
      <c r="C4713" t="s">
        <v>11309</v>
      </c>
      <c r="D4713" t="s">
        <v>20</v>
      </c>
      <c r="E4713" t="s">
        <v>39</v>
      </c>
      <c r="F4713">
        <v>0</v>
      </c>
      <c r="G4713">
        <v>0</v>
      </c>
      <c r="H4713">
        <v>3</v>
      </c>
      <c r="I4713" s="3">
        <v>996.52</v>
      </c>
      <c r="J4713" s="3">
        <v>421.98</v>
      </c>
      <c r="K4713" t="s">
        <v>11310</v>
      </c>
      <c r="L4713">
        <v>6583</v>
      </c>
      <c r="M4713" t="s">
        <v>11291</v>
      </c>
      <c r="N4713" t="s">
        <v>30</v>
      </c>
      <c r="O4713" t="s">
        <v>31</v>
      </c>
      <c r="P4713" t="str">
        <f>"15206"</f>
        <v>15206</v>
      </c>
    </row>
    <row r="4714" spans="1:16" x14ac:dyDescent="0.25">
      <c r="A4714" t="str">
        <f>"1120124H00048    00"</f>
        <v>1120124H00048    00</v>
      </c>
      <c r="B4714" t="s">
        <v>11311</v>
      </c>
      <c r="C4714" t="s">
        <v>11312</v>
      </c>
      <c r="D4714" t="s">
        <v>20</v>
      </c>
      <c r="E4714" t="s">
        <v>39</v>
      </c>
      <c r="F4714">
        <v>0</v>
      </c>
      <c r="G4714">
        <v>0</v>
      </c>
      <c r="H4714">
        <v>5</v>
      </c>
      <c r="I4714" s="3">
        <v>204.75</v>
      </c>
      <c r="J4714" s="3">
        <v>6.09</v>
      </c>
      <c r="K4714" t="s">
        <v>11313</v>
      </c>
      <c r="L4714">
        <v>6579</v>
      </c>
      <c r="M4714" t="s">
        <v>11291</v>
      </c>
      <c r="N4714" t="s">
        <v>30</v>
      </c>
      <c r="O4714" t="s">
        <v>31</v>
      </c>
      <c r="P4714" t="str">
        <f>"15206"</f>
        <v>15206</v>
      </c>
    </row>
    <row r="4715" spans="1:16" x14ac:dyDescent="0.25">
      <c r="A4715" t="str">
        <f>"1120124H00060    00"</f>
        <v>1120124H00060    00</v>
      </c>
      <c r="B4715" t="s">
        <v>11314</v>
      </c>
      <c r="C4715" t="s">
        <v>11315</v>
      </c>
      <c r="D4715" t="s">
        <v>20</v>
      </c>
      <c r="E4715" t="s">
        <v>39</v>
      </c>
      <c r="F4715">
        <v>0</v>
      </c>
      <c r="G4715">
        <v>0</v>
      </c>
      <c r="H4715">
        <v>18</v>
      </c>
      <c r="I4715" s="3">
        <v>6292.94</v>
      </c>
      <c r="J4715" s="3">
        <v>6214.99</v>
      </c>
      <c r="L4715">
        <v>3112</v>
      </c>
      <c r="M4715" t="s">
        <v>11316</v>
      </c>
      <c r="N4715" t="s">
        <v>11317</v>
      </c>
      <c r="O4715" t="s">
        <v>1413</v>
      </c>
      <c r="P4715" t="str">
        <f>"27510"</f>
        <v>27510</v>
      </c>
    </row>
    <row r="4716" spans="1:16" x14ac:dyDescent="0.25">
      <c r="A4716" t="str">
        <f>"1120124H00061    00"</f>
        <v>1120124H00061    00</v>
      </c>
      <c r="B4716" t="s">
        <v>11318</v>
      </c>
      <c r="C4716" t="s">
        <v>11293</v>
      </c>
      <c r="D4716" t="s">
        <v>20</v>
      </c>
      <c r="E4716" t="s">
        <v>39</v>
      </c>
      <c r="F4716">
        <v>0</v>
      </c>
      <c r="G4716">
        <v>0</v>
      </c>
      <c r="H4716">
        <v>19</v>
      </c>
      <c r="I4716" s="3">
        <v>7492.4</v>
      </c>
      <c r="J4716" s="3">
        <v>11175.2</v>
      </c>
      <c r="K4716" t="s">
        <v>1008</v>
      </c>
      <c r="P4716" t="str">
        <f>""</f>
        <v/>
      </c>
    </row>
    <row r="4717" spans="1:16" x14ac:dyDescent="0.25">
      <c r="A4717" t="str">
        <f>"1120124H00062    00"</f>
        <v>1120124H00062    00</v>
      </c>
      <c r="B4717" t="s">
        <v>11319</v>
      </c>
      <c r="C4717" t="s">
        <v>11293</v>
      </c>
      <c r="D4717" t="s">
        <v>20</v>
      </c>
      <c r="E4717" t="s">
        <v>39</v>
      </c>
      <c r="F4717">
        <v>0</v>
      </c>
      <c r="G4717">
        <v>0</v>
      </c>
      <c r="H4717">
        <v>19</v>
      </c>
      <c r="I4717" s="3">
        <v>1198.8399999999999</v>
      </c>
      <c r="J4717" s="3">
        <v>926.23</v>
      </c>
      <c r="L4717">
        <v>1254</v>
      </c>
      <c r="M4717" t="s">
        <v>11295</v>
      </c>
      <c r="N4717" t="s">
        <v>30</v>
      </c>
      <c r="O4717" t="s">
        <v>31</v>
      </c>
      <c r="P4717" t="str">
        <f>"15206"</f>
        <v>15206</v>
      </c>
    </row>
    <row r="4718" spans="1:16" x14ac:dyDescent="0.25">
      <c r="A4718" t="str">
        <f>"1120124H00123    00"</f>
        <v>1120124H00123    00</v>
      </c>
      <c r="B4718" t="s">
        <v>11320</v>
      </c>
      <c r="C4718" t="s">
        <v>11193</v>
      </c>
      <c r="D4718" t="s">
        <v>20</v>
      </c>
      <c r="E4718" t="s">
        <v>39</v>
      </c>
      <c r="F4718">
        <v>0</v>
      </c>
      <c r="G4718">
        <v>0</v>
      </c>
      <c r="H4718">
        <v>19</v>
      </c>
      <c r="I4718" s="3">
        <v>3686.6</v>
      </c>
      <c r="J4718" s="3">
        <v>5138.72</v>
      </c>
      <c r="M4718" t="s">
        <v>11321</v>
      </c>
      <c r="N4718" t="s">
        <v>11322</v>
      </c>
      <c r="O4718" t="s">
        <v>31</v>
      </c>
      <c r="P4718" t="str">
        <f>"18106"</f>
        <v>18106</v>
      </c>
    </row>
    <row r="4719" spans="1:16" x14ac:dyDescent="0.25">
      <c r="A4719" t="str">
        <f>"1120124H00131    00"</f>
        <v>1120124H00131    00</v>
      </c>
      <c r="B4719" t="s">
        <v>11323</v>
      </c>
      <c r="C4719" t="s">
        <v>11324</v>
      </c>
      <c r="E4719" t="s">
        <v>39</v>
      </c>
      <c r="F4719">
        <v>0</v>
      </c>
      <c r="G4719">
        <v>0</v>
      </c>
      <c r="H4719">
        <v>1</v>
      </c>
      <c r="I4719" s="3">
        <v>243.15</v>
      </c>
      <c r="J4719" s="3">
        <v>0</v>
      </c>
      <c r="L4719">
        <v>1235</v>
      </c>
      <c r="M4719" t="s">
        <v>11059</v>
      </c>
      <c r="N4719" t="s">
        <v>30</v>
      </c>
      <c r="O4719" t="s">
        <v>31</v>
      </c>
      <c r="P4719" t="str">
        <f>"15206"</f>
        <v>15206</v>
      </c>
    </row>
    <row r="4720" spans="1:16" x14ac:dyDescent="0.25">
      <c r="A4720" t="str">
        <f>"1120124H00132    00"</f>
        <v>1120124H00132    00</v>
      </c>
      <c r="B4720" t="s">
        <v>11325</v>
      </c>
      <c r="C4720" t="s">
        <v>11193</v>
      </c>
      <c r="D4720" t="s">
        <v>20</v>
      </c>
      <c r="E4720" t="s">
        <v>39</v>
      </c>
      <c r="F4720">
        <v>0</v>
      </c>
      <c r="G4720">
        <v>0</v>
      </c>
      <c r="H4720">
        <v>3</v>
      </c>
      <c r="I4720" s="3">
        <v>191.68</v>
      </c>
      <c r="J4720" s="3">
        <v>22.24</v>
      </c>
      <c r="K4720" t="s">
        <v>11326</v>
      </c>
      <c r="L4720">
        <v>1235</v>
      </c>
      <c r="M4720" t="s">
        <v>11059</v>
      </c>
      <c r="N4720" t="s">
        <v>30</v>
      </c>
      <c r="O4720" t="s">
        <v>31</v>
      </c>
      <c r="P4720" t="str">
        <f>"15206"</f>
        <v>15206</v>
      </c>
    </row>
    <row r="4721" spans="1:16" x14ac:dyDescent="0.25">
      <c r="A4721" t="str">
        <f>"1120124H00135    00"</f>
        <v>1120124H00135    00</v>
      </c>
      <c r="B4721" t="s">
        <v>11327</v>
      </c>
      <c r="C4721" t="s">
        <v>11193</v>
      </c>
      <c r="D4721" t="s">
        <v>20</v>
      </c>
      <c r="E4721" t="s">
        <v>39</v>
      </c>
      <c r="F4721">
        <v>0</v>
      </c>
      <c r="G4721">
        <v>0</v>
      </c>
      <c r="H4721">
        <v>19</v>
      </c>
      <c r="I4721" s="3">
        <v>3979.56</v>
      </c>
      <c r="J4721" s="3">
        <v>5233.8500000000004</v>
      </c>
      <c r="L4721">
        <v>1245</v>
      </c>
      <c r="M4721" t="s">
        <v>11059</v>
      </c>
      <c r="N4721" t="s">
        <v>30</v>
      </c>
      <c r="O4721" t="s">
        <v>31</v>
      </c>
      <c r="P4721" t="str">
        <f>"15206"</f>
        <v>15206</v>
      </c>
    </row>
    <row r="4722" spans="1:16" x14ac:dyDescent="0.25">
      <c r="A4722" t="str">
        <f>"1120124H00149    00"</f>
        <v>1120124H00149    00</v>
      </c>
      <c r="B4722" t="s">
        <v>11328</v>
      </c>
      <c r="C4722" t="s">
        <v>11329</v>
      </c>
      <c r="E4722" t="s">
        <v>39</v>
      </c>
      <c r="F4722">
        <v>0</v>
      </c>
      <c r="G4722">
        <v>0</v>
      </c>
      <c r="H4722">
        <v>1</v>
      </c>
      <c r="I4722" s="3">
        <v>229.61</v>
      </c>
      <c r="J4722" s="3">
        <v>0</v>
      </c>
      <c r="L4722">
        <v>8330</v>
      </c>
      <c r="M4722" t="s">
        <v>5818</v>
      </c>
      <c r="N4722" t="s">
        <v>1046</v>
      </c>
      <c r="O4722" t="s">
        <v>31</v>
      </c>
      <c r="P4722" t="str">
        <f>"15147"</f>
        <v>15147</v>
      </c>
    </row>
    <row r="4723" spans="1:16" x14ac:dyDescent="0.25">
      <c r="A4723" t="str">
        <f>"1120124H00151    00"</f>
        <v>1120124H00151    00</v>
      </c>
      <c r="B4723" t="s">
        <v>11330</v>
      </c>
      <c r="C4723" t="s">
        <v>11331</v>
      </c>
      <c r="D4723" t="s">
        <v>20</v>
      </c>
      <c r="E4723" t="s">
        <v>39</v>
      </c>
      <c r="F4723">
        <v>0</v>
      </c>
      <c r="G4723">
        <v>0</v>
      </c>
      <c r="H4723">
        <v>19</v>
      </c>
      <c r="I4723" s="3">
        <v>53535.92</v>
      </c>
      <c r="J4723" s="3">
        <v>41018.49</v>
      </c>
      <c r="K4723" t="s">
        <v>11332</v>
      </c>
      <c r="L4723">
        <v>633</v>
      </c>
      <c r="M4723" t="s">
        <v>2789</v>
      </c>
      <c r="N4723" t="s">
        <v>30</v>
      </c>
      <c r="O4723" t="s">
        <v>31</v>
      </c>
      <c r="P4723" t="str">
        <f>"15206"</f>
        <v>15206</v>
      </c>
    </row>
    <row r="4724" spans="1:16" x14ac:dyDescent="0.25">
      <c r="A4724" t="str">
        <f>"1120124H00154    00"</f>
        <v>1120124H00154    00</v>
      </c>
      <c r="B4724" t="s">
        <v>11333</v>
      </c>
      <c r="C4724" t="s">
        <v>11193</v>
      </c>
      <c r="D4724" t="s">
        <v>20</v>
      </c>
      <c r="E4724" t="s">
        <v>39</v>
      </c>
      <c r="F4724">
        <v>0</v>
      </c>
      <c r="G4724">
        <v>0</v>
      </c>
      <c r="H4724">
        <v>2</v>
      </c>
      <c r="I4724" s="3">
        <v>45.74</v>
      </c>
      <c r="J4724" s="3">
        <v>0</v>
      </c>
      <c r="K4724" t="s">
        <v>3312</v>
      </c>
      <c r="M4724" t="s">
        <v>3313</v>
      </c>
      <c r="N4724" t="s">
        <v>30</v>
      </c>
      <c r="O4724" t="s">
        <v>31</v>
      </c>
      <c r="P4724" t="str">
        <f>"15230"</f>
        <v>15230</v>
      </c>
    </row>
    <row r="4725" spans="1:16" x14ac:dyDescent="0.25">
      <c r="A4725" t="str">
        <f>"1120124H00156    00"</f>
        <v>1120124H00156    00</v>
      </c>
      <c r="B4725" t="s">
        <v>11334</v>
      </c>
      <c r="C4725" t="s">
        <v>11335</v>
      </c>
      <c r="D4725" t="s">
        <v>20</v>
      </c>
      <c r="E4725" t="s">
        <v>39</v>
      </c>
      <c r="F4725">
        <v>0</v>
      </c>
      <c r="G4725">
        <v>0</v>
      </c>
      <c r="H4725">
        <v>2</v>
      </c>
      <c r="I4725" s="3">
        <v>468.88</v>
      </c>
      <c r="J4725" s="3">
        <v>0</v>
      </c>
      <c r="L4725">
        <v>1331</v>
      </c>
      <c r="M4725" t="s">
        <v>11059</v>
      </c>
      <c r="N4725" t="s">
        <v>30</v>
      </c>
      <c r="O4725" t="s">
        <v>31</v>
      </c>
      <c r="P4725" t="str">
        <f>"15206"</f>
        <v>15206</v>
      </c>
    </row>
    <row r="4726" spans="1:16" x14ac:dyDescent="0.25">
      <c r="A4726" t="str">
        <f>"1120124H00157    00"</f>
        <v>1120124H00157    00</v>
      </c>
      <c r="B4726" t="s">
        <v>11336</v>
      </c>
      <c r="C4726" t="s">
        <v>11193</v>
      </c>
      <c r="D4726" t="s">
        <v>20</v>
      </c>
      <c r="E4726" t="s">
        <v>39</v>
      </c>
      <c r="F4726">
        <v>0</v>
      </c>
      <c r="G4726">
        <v>0</v>
      </c>
      <c r="H4726">
        <v>19</v>
      </c>
      <c r="I4726" s="3">
        <v>5243.82</v>
      </c>
      <c r="J4726" s="3">
        <v>7528.39</v>
      </c>
      <c r="L4726">
        <v>57</v>
      </c>
      <c r="M4726" t="s">
        <v>11337</v>
      </c>
      <c r="N4726" t="s">
        <v>11338</v>
      </c>
      <c r="O4726" t="s">
        <v>423</v>
      </c>
      <c r="P4726" t="str">
        <f>"08081"</f>
        <v>08081</v>
      </c>
    </row>
    <row r="4727" spans="1:16" x14ac:dyDescent="0.25">
      <c r="A4727" t="str">
        <f>"1120124H00158    00"</f>
        <v>1120124H00158    00</v>
      </c>
      <c r="B4727" t="s">
        <v>11339</v>
      </c>
      <c r="C4727" t="s">
        <v>11193</v>
      </c>
      <c r="D4727" t="s">
        <v>20</v>
      </c>
      <c r="E4727" t="s">
        <v>39</v>
      </c>
      <c r="F4727">
        <v>0</v>
      </c>
      <c r="G4727">
        <v>0</v>
      </c>
      <c r="H4727">
        <v>17</v>
      </c>
      <c r="I4727" s="3">
        <v>3579.65</v>
      </c>
      <c r="J4727" s="3">
        <v>5473.91</v>
      </c>
      <c r="L4727">
        <v>2503</v>
      </c>
      <c r="M4727" t="s">
        <v>11340</v>
      </c>
      <c r="N4727" t="s">
        <v>11341</v>
      </c>
      <c r="O4727" t="s">
        <v>423</v>
      </c>
      <c r="P4727" t="str">
        <f>"08012"</f>
        <v>08012</v>
      </c>
    </row>
    <row r="4728" spans="1:16" x14ac:dyDescent="0.25">
      <c r="A4728" t="str">
        <f>"1120124H00159    00"</f>
        <v>1120124H00159    00</v>
      </c>
      <c r="B4728" t="s">
        <v>11342</v>
      </c>
      <c r="C4728" t="s">
        <v>11343</v>
      </c>
      <c r="D4728" t="s">
        <v>20</v>
      </c>
      <c r="E4728" t="s">
        <v>21</v>
      </c>
      <c r="F4728">
        <v>0</v>
      </c>
      <c r="G4728">
        <v>0</v>
      </c>
      <c r="H4728">
        <v>6</v>
      </c>
      <c r="I4728" s="3">
        <v>4917.12</v>
      </c>
      <c r="J4728" s="3">
        <v>1096.56</v>
      </c>
      <c r="K4728" t="s">
        <v>11344</v>
      </c>
      <c r="L4728">
        <v>144</v>
      </c>
      <c r="M4728" t="s">
        <v>11345</v>
      </c>
      <c r="N4728" t="s">
        <v>4959</v>
      </c>
      <c r="O4728" t="s">
        <v>31</v>
      </c>
      <c r="P4728" t="str">
        <f>"15658"</f>
        <v>15658</v>
      </c>
    </row>
    <row r="4729" spans="1:16" x14ac:dyDescent="0.25">
      <c r="A4729" t="str">
        <f>"1120124H00163    00"</f>
        <v>1120124H00163    00</v>
      </c>
      <c r="B4729" t="s">
        <v>11346</v>
      </c>
      <c r="C4729" t="s">
        <v>11347</v>
      </c>
      <c r="D4729" t="s">
        <v>20</v>
      </c>
      <c r="E4729" t="s">
        <v>39</v>
      </c>
      <c r="F4729">
        <v>0</v>
      </c>
      <c r="G4729">
        <v>0</v>
      </c>
      <c r="H4729">
        <v>2</v>
      </c>
      <c r="I4729" s="3">
        <v>861.21</v>
      </c>
      <c r="J4729" s="3">
        <v>0</v>
      </c>
      <c r="K4729" t="s">
        <v>11348</v>
      </c>
      <c r="L4729">
        <v>1338</v>
      </c>
      <c r="M4729" t="s">
        <v>11059</v>
      </c>
      <c r="N4729" t="s">
        <v>30</v>
      </c>
      <c r="O4729" t="s">
        <v>31</v>
      </c>
      <c r="P4729" t="str">
        <f>"15206"</f>
        <v>15206</v>
      </c>
    </row>
    <row r="4730" spans="1:16" x14ac:dyDescent="0.25">
      <c r="A4730" t="str">
        <f>"1120124H00165    00"</f>
        <v>1120124H00165    00</v>
      </c>
      <c r="B4730" t="s">
        <v>11349</v>
      </c>
      <c r="C4730" t="s">
        <v>11350</v>
      </c>
      <c r="E4730" t="s">
        <v>39</v>
      </c>
      <c r="F4730">
        <v>0</v>
      </c>
      <c r="G4730">
        <v>0</v>
      </c>
      <c r="H4730">
        <v>2</v>
      </c>
      <c r="I4730" s="3">
        <v>574.16</v>
      </c>
      <c r="J4730" s="3">
        <v>359.19</v>
      </c>
      <c r="K4730" t="s">
        <v>11351</v>
      </c>
      <c r="L4730">
        <v>1332</v>
      </c>
      <c r="M4730" t="s">
        <v>11059</v>
      </c>
      <c r="N4730" t="s">
        <v>30</v>
      </c>
      <c r="O4730" t="s">
        <v>31</v>
      </c>
      <c r="P4730" t="str">
        <f>"15206"</f>
        <v>15206</v>
      </c>
    </row>
    <row r="4731" spans="1:16" x14ac:dyDescent="0.25">
      <c r="A4731" t="str">
        <f>"1120124H00193    00"</f>
        <v>1120124H00193    00</v>
      </c>
      <c r="B4731" t="s">
        <v>11352</v>
      </c>
      <c r="C4731" t="s">
        <v>11353</v>
      </c>
      <c r="D4731" t="s">
        <v>20</v>
      </c>
      <c r="E4731" t="s">
        <v>39</v>
      </c>
      <c r="F4731">
        <v>0</v>
      </c>
      <c r="G4731">
        <v>0</v>
      </c>
      <c r="H4731">
        <v>14</v>
      </c>
      <c r="I4731" s="3">
        <v>8268.23</v>
      </c>
      <c r="J4731" s="3">
        <v>4677.54</v>
      </c>
      <c r="K4731" t="s">
        <v>11354</v>
      </c>
      <c r="L4731">
        <v>1621</v>
      </c>
      <c r="M4731" t="s">
        <v>11355</v>
      </c>
      <c r="N4731" t="s">
        <v>30</v>
      </c>
      <c r="O4731" t="s">
        <v>31</v>
      </c>
      <c r="P4731" t="str">
        <f>"15206"</f>
        <v>15206</v>
      </c>
    </row>
    <row r="4732" spans="1:16" x14ac:dyDescent="0.25">
      <c r="A4732" t="str">
        <f>"1120124H00202    00"</f>
        <v>1120124H00202    00</v>
      </c>
      <c r="B4732" t="s">
        <v>11356</v>
      </c>
      <c r="C4732" t="s">
        <v>11357</v>
      </c>
      <c r="D4732" t="s">
        <v>20</v>
      </c>
      <c r="E4732" t="s">
        <v>39</v>
      </c>
      <c r="F4732">
        <v>0</v>
      </c>
      <c r="G4732">
        <v>0</v>
      </c>
      <c r="H4732">
        <v>2</v>
      </c>
      <c r="I4732" s="3">
        <v>789.69</v>
      </c>
      <c r="J4732" s="3">
        <v>0</v>
      </c>
      <c r="K4732" t="s">
        <v>1632</v>
      </c>
      <c r="L4732">
        <v>3001</v>
      </c>
      <c r="M4732" t="s">
        <v>330</v>
      </c>
      <c r="N4732" t="s">
        <v>331</v>
      </c>
      <c r="O4732" t="s">
        <v>108</v>
      </c>
      <c r="P4732" t="str">
        <f>"75063"</f>
        <v>75063</v>
      </c>
    </row>
    <row r="4733" spans="1:16" x14ac:dyDescent="0.25">
      <c r="A4733" t="str">
        <f>"1120124H00203    00"</f>
        <v>1120124H00203    00</v>
      </c>
      <c r="B4733" t="s">
        <v>11358</v>
      </c>
      <c r="C4733" t="s">
        <v>11359</v>
      </c>
      <c r="D4733" t="s">
        <v>20</v>
      </c>
      <c r="E4733" t="s">
        <v>39</v>
      </c>
      <c r="F4733">
        <v>0</v>
      </c>
      <c r="G4733">
        <v>0</v>
      </c>
      <c r="H4733">
        <v>19</v>
      </c>
      <c r="I4733" s="3">
        <v>10443.629999999999</v>
      </c>
      <c r="J4733" s="3">
        <v>10974.27</v>
      </c>
      <c r="L4733">
        <v>486</v>
      </c>
      <c r="M4733" t="s">
        <v>4950</v>
      </c>
      <c r="N4733" t="s">
        <v>30</v>
      </c>
      <c r="O4733" t="s">
        <v>31</v>
      </c>
      <c r="P4733" t="str">
        <f>"15235"</f>
        <v>15235</v>
      </c>
    </row>
    <row r="4734" spans="1:16" x14ac:dyDescent="0.25">
      <c r="A4734" t="str">
        <f>"1120124H00214    00"</f>
        <v>1120124H00214    00</v>
      </c>
      <c r="B4734" t="s">
        <v>11360</v>
      </c>
      <c r="C4734" t="s">
        <v>11361</v>
      </c>
      <c r="D4734" t="s">
        <v>20</v>
      </c>
      <c r="E4734" t="s">
        <v>39</v>
      </c>
      <c r="F4734">
        <v>0</v>
      </c>
      <c r="G4734">
        <v>0</v>
      </c>
      <c r="H4734">
        <v>9</v>
      </c>
      <c r="I4734" s="3">
        <v>166.3</v>
      </c>
      <c r="J4734" s="3">
        <v>63.46</v>
      </c>
      <c r="L4734">
        <v>455</v>
      </c>
      <c r="M4734" t="s">
        <v>11362</v>
      </c>
      <c r="N4734" t="s">
        <v>1046</v>
      </c>
      <c r="O4734" t="s">
        <v>31</v>
      </c>
      <c r="P4734" t="str">
        <f>"15147"</f>
        <v>15147</v>
      </c>
    </row>
    <row r="4735" spans="1:16" x14ac:dyDescent="0.25">
      <c r="A4735" t="str">
        <f>"1120124H00216    00"</f>
        <v>1120124H00216    00</v>
      </c>
      <c r="B4735" t="s">
        <v>11363</v>
      </c>
      <c r="C4735" t="s">
        <v>11364</v>
      </c>
      <c r="E4735" t="s">
        <v>39</v>
      </c>
      <c r="F4735">
        <v>0</v>
      </c>
      <c r="G4735">
        <v>0</v>
      </c>
      <c r="H4735">
        <v>1</v>
      </c>
      <c r="I4735" s="3">
        <v>275.64999999999998</v>
      </c>
      <c r="J4735" s="3">
        <v>2.2999999999999998</v>
      </c>
      <c r="L4735">
        <v>507</v>
      </c>
      <c r="M4735" t="s">
        <v>11365</v>
      </c>
      <c r="N4735" t="s">
        <v>30</v>
      </c>
      <c r="O4735" t="s">
        <v>31</v>
      </c>
      <c r="P4735" t="str">
        <f>"15206"</f>
        <v>15206</v>
      </c>
    </row>
    <row r="4736" spans="1:16" x14ac:dyDescent="0.25">
      <c r="A4736" t="str">
        <f>"1120124H00222    00"</f>
        <v>1120124H00222    00</v>
      </c>
      <c r="B4736" t="s">
        <v>11366</v>
      </c>
      <c r="C4736" t="s">
        <v>11097</v>
      </c>
      <c r="D4736" t="s">
        <v>20</v>
      </c>
      <c r="E4736" t="s">
        <v>39</v>
      </c>
      <c r="F4736">
        <v>0</v>
      </c>
      <c r="G4736">
        <v>0</v>
      </c>
      <c r="H4736">
        <v>19</v>
      </c>
      <c r="I4736" s="3">
        <v>1171.54</v>
      </c>
      <c r="J4736" s="3">
        <v>866.83</v>
      </c>
      <c r="K4736" t="s">
        <v>11367</v>
      </c>
      <c r="L4736">
        <v>6712</v>
      </c>
      <c r="M4736" t="s">
        <v>11368</v>
      </c>
      <c r="N4736" t="s">
        <v>11369</v>
      </c>
      <c r="O4736" t="s">
        <v>200</v>
      </c>
      <c r="P4736" t="str">
        <f>"14564"</f>
        <v>14564</v>
      </c>
    </row>
    <row r="4737" spans="1:16" x14ac:dyDescent="0.25">
      <c r="A4737" t="str">
        <f>"1120124H00230    00"</f>
        <v>1120124H00230    00</v>
      </c>
      <c r="B4737" t="s">
        <v>4918</v>
      </c>
      <c r="C4737" t="s">
        <v>11370</v>
      </c>
      <c r="D4737" t="s">
        <v>20</v>
      </c>
      <c r="E4737" t="s">
        <v>39</v>
      </c>
      <c r="F4737">
        <v>0</v>
      </c>
      <c r="G4737">
        <v>0</v>
      </c>
      <c r="H4737">
        <v>1</v>
      </c>
      <c r="I4737" s="3">
        <v>1315.14</v>
      </c>
      <c r="J4737" s="3">
        <v>0</v>
      </c>
      <c r="K4737" t="s">
        <v>4920</v>
      </c>
      <c r="L4737">
        <v>4915</v>
      </c>
      <c r="M4737" t="s">
        <v>11371</v>
      </c>
      <c r="N4737" t="s">
        <v>8912</v>
      </c>
      <c r="O4737" t="s">
        <v>495</v>
      </c>
      <c r="P4737" t="str">
        <f>"92130"</f>
        <v>92130</v>
      </c>
    </row>
    <row r="4738" spans="1:16" x14ac:dyDescent="0.25">
      <c r="A4738" t="str">
        <f>"1120124H00231    00"</f>
        <v>1120124H00231    00</v>
      </c>
      <c r="B4738" t="s">
        <v>4918</v>
      </c>
      <c r="C4738" t="s">
        <v>11372</v>
      </c>
      <c r="D4738" t="s">
        <v>20</v>
      </c>
      <c r="E4738" t="s">
        <v>39</v>
      </c>
      <c r="F4738">
        <v>0</v>
      </c>
      <c r="G4738">
        <v>0</v>
      </c>
      <c r="H4738">
        <v>1</v>
      </c>
      <c r="I4738" s="3">
        <v>150.58000000000001</v>
      </c>
      <c r="J4738" s="3">
        <v>0</v>
      </c>
      <c r="K4738" t="s">
        <v>4920</v>
      </c>
      <c r="L4738">
        <v>4915</v>
      </c>
      <c r="M4738" t="s">
        <v>11371</v>
      </c>
      <c r="N4738" t="s">
        <v>8912</v>
      </c>
      <c r="O4738" t="s">
        <v>495</v>
      </c>
      <c r="P4738" t="str">
        <f>"92130"</f>
        <v>92130</v>
      </c>
    </row>
    <row r="4739" spans="1:16" x14ac:dyDescent="0.25">
      <c r="A4739" t="str">
        <f>"1120124H00232    00"</f>
        <v>1120124H00232    00</v>
      </c>
      <c r="B4739" t="s">
        <v>11373</v>
      </c>
      <c r="C4739" t="s">
        <v>11193</v>
      </c>
      <c r="D4739" t="s">
        <v>20</v>
      </c>
      <c r="E4739" t="s">
        <v>39</v>
      </c>
      <c r="F4739">
        <v>0</v>
      </c>
      <c r="G4739">
        <v>0</v>
      </c>
      <c r="H4739">
        <v>17</v>
      </c>
      <c r="I4739" s="3">
        <v>2019.13</v>
      </c>
      <c r="J4739" s="3">
        <v>2946.83</v>
      </c>
      <c r="L4739">
        <v>1204</v>
      </c>
      <c r="M4739" t="s">
        <v>11059</v>
      </c>
      <c r="N4739" t="s">
        <v>30</v>
      </c>
      <c r="O4739" t="s">
        <v>31</v>
      </c>
      <c r="P4739" t="str">
        <f>"15206"</f>
        <v>15206</v>
      </c>
    </row>
    <row r="4740" spans="1:16" x14ac:dyDescent="0.25">
      <c r="A4740" t="str">
        <f>"1120124H00233    00"</f>
        <v>1120124H00233    00</v>
      </c>
      <c r="B4740" t="s">
        <v>11374</v>
      </c>
      <c r="C4740" t="s">
        <v>11193</v>
      </c>
      <c r="D4740" t="s">
        <v>20</v>
      </c>
      <c r="E4740" t="s">
        <v>39</v>
      </c>
      <c r="F4740">
        <v>0</v>
      </c>
      <c r="G4740">
        <v>0</v>
      </c>
      <c r="H4740">
        <v>17</v>
      </c>
      <c r="I4740" s="3">
        <v>2019.13</v>
      </c>
      <c r="J4740" s="3">
        <v>2946.83</v>
      </c>
      <c r="L4740">
        <v>2816</v>
      </c>
      <c r="M4740" t="s">
        <v>11375</v>
      </c>
      <c r="N4740" t="s">
        <v>2187</v>
      </c>
      <c r="O4740" t="s">
        <v>31</v>
      </c>
      <c r="P4740" t="str">
        <f>"15132"</f>
        <v>15132</v>
      </c>
    </row>
    <row r="4741" spans="1:16" x14ac:dyDescent="0.25">
      <c r="A4741" t="str">
        <f>"1120124H00234    00"</f>
        <v>1120124H00234    00</v>
      </c>
      <c r="B4741" t="s">
        <v>11376</v>
      </c>
      <c r="C4741" t="s">
        <v>11377</v>
      </c>
      <c r="D4741" t="s">
        <v>20</v>
      </c>
      <c r="E4741" t="s">
        <v>39</v>
      </c>
      <c r="F4741">
        <v>0</v>
      </c>
      <c r="G4741">
        <v>0</v>
      </c>
      <c r="H4741">
        <v>19</v>
      </c>
      <c r="I4741" s="3">
        <v>7005.42</v>
      </c>
      <c r="J4741" s="3">
        <v>7677.87</v>
      </c>
      <c r="L4741">
        <v>1208</v>
      </c>
      <c r="M4741" t="s">
        <v>11059</v>
      </c>
      <c r="N4741" t="s">
        <v>30</v>
      </c>
      <c r="O4741" t="s">
        <v>31</v>
      </c>
      <c r="P4741" t="str">
        <f>"15206"</f>
        <v>15206</v>
      </c>
    </row>
    <row r="4742" spans="1:16" x14ac:dyDescent="0.25">
      <c r="A4742" t="str">
        <f>"1120124H00235    00"</f>
        <v>1120124H00235    00</v>
      </c>
      <c r="B4742" t="s">
        <v>11378</v>
      </c>
      <c r="C4742" t="s">
        <v>11379</v>
      </c>
      <c r="D4742" t="s">
        <v>20</v>
      </c>
      <c r="E4742" t="s">
        <v>39</v>
      </c>
      <c r="F4742">
        <v>0</v>
      </c>
      <c r="G4742">
        <v>0</v>
      </c>
      <c r="H4742">
        <v>14</v>
      </c>
      <c r="I4742" s="3">
        <v>3010.56</v>
      </c>
      <c r="J4742" s="3">
        <v>1699.47</v>
      </c>
      <c r="L4742">
        <v>632</v>
      </c>
      <c r="M4742" t="s">
        <v>11380</v>
      </c>
      <c r="N4742" t="s">
        <v>30</v>
      </c>
      <c r="O4742" t="s">
        <v>31</v>
      </c>
      <c r="P4742" t="str">
        <f>"15206"</f>
        <v>15206</v>
      </c>
    </row>
    <row r="4743" spans="1:16" x14ac:dyDescent="0.25">
      <c r="A4743" t="str">
        <f>"1120124H00236    00"</f>
        <v>1120124H00236    00</v>
      </c>
      <c r="B4743" t="s">
        <v>11381</v>
      </c>
      <c r="C4743" t="s">
        <v>11382</v>
      </c>
      <c r="E4743" t="s">
        <v>39</v>
      </c>
      <c r="F4743">
        <v>0</v>
      </c>
      <c r="G4743">
        <v>0</v>
      </c>
      <c r="H4743">
        <v>6</v>
      </c>
      <c r="I4743" s="3">
        <v>1986.82</v>
      </c>
      <c r="J4743" s="3">
        <v>2565.89</v>
      </c>
      <c r="L4743">
        <v>1214</v>
      </c>
      <c r="M4743" t="s">
        <v>11059</v>
      </c>
      <c r="N4743" t="s">
        <v>30</v>
      </c>
      <c r="O4743" t="s">
        <v>31</v>
      </c>
      <c r="P4743" t="str">
        <f>"15206"</f>
        <v>15206</v>
      </c>
    </row>
    <row r="4744" spans="1:16" x14ac:dyDescent="0.25">
      <c r="A4744" t="str">
        <f>"1120124H00238    00"</f>
        <v>1120124H00238    00</v>
      </c>
      <c r="B4744" t="s">
        <v>10103</v>
      </c>
      <c r="C4744" t="s">
        <v>11383</v>
      </c>
      <c r="D4744" t="s">
        <v>20</v>
      </c>
      <c r="E4744" t="s">
        <v>39</v>
      </c>
      <c r="F4744">
        <v>0</v>
      </c>
      <c r="G4744">
        <v>0</v>
      </c>
      <c r="H4744">
        <v>1</v>
      </c>
      <c r="I4744" s="3">
        <v>1109.29</v>
      </c>
      <c r="J4744" s="3">
        <v>0</v>
      </c>
      <c r="K4744" t="s">
        <v>10105</v>
      </c>
      <c r="L4744">
        <v>811</v>
      </c>
      <c r="M4744" t="s">
        <v>10106</v>
      </c>
      <c r="N4744" t="s">
        <v>30</v>
      </c>
      <c r="O4744" t="s">
        <v>31</v>
      </c>
      <c r="P4744" t="str">
        <f>"15237"</f>
        <v>15237</v>
      </c>
    </row>
    <row r="4745" spans="1:16" x14ac:dyDescent="0.25">
      <c r="A4745" t="str">
        <f>"1120124H00240    00"</f>
        <v>1120124H00240    00</v>
      </c>
      <c r="B4745" t="s">
        <v>10103</v>
      </c>
      <c r="C4745" t="s">
        <v>11384</v>
      </c>
      <c r="D4745" t="s">
        <v>20</v>
      </c>
      <c r="E4745" t="s">
        <v>39</v>
      </c>
      <c r="F4745">
        <v>0</v>
      </c>
      <c r="G4745">
        <v>0</v>
      </c>
      <c r="H4745">
        <v>1</v>
      </c>
      <c r="I4745" s="3">
        <v>884.41</v>
      </c>
      <c r="J4745" s="3">
        <v>0</v>
      </c>
      <c r="K4745" t="s">
        <v>10105</v>
      </c>
      <c r="L4745">
        <v>811</v>
      </c>
      <c r="M4745" t="s">
        <v>10106</v>
      </c>
      <c r="N4745" t="s">
        <v>30</v>
      </c>
      <c r="O4745" t="s">
        <v>31</v>
      </c>
      <c r="P4745" t="str">
        <f>"15237"</f>
        <v>15237</v>
      </c>
    </row>
    <row r="4746" spans="1:16" x14ac:dyDescent="0.25">
      <c r="A4746" t="str">
        <f>"1120124H00242    00"</f>
        <v>1120124H00242    00</v>
      </c>
      <c r="B4746" t="s">
        <v>11385</v>
      </c>
      <c r="C4746" t="s">
        <v>11386</v>
      </c>
      <c r="D4746" t="s">
        <v>20</v>
      </c>
      <c r="E4746" t="s">
        <v>39</v>
      </c>
      <c r="F4746">
        <v>0</v>
      </c>
      <c r="G4746">
        <v>0</v>
      </c>
      <c r="H4746">
        <v>2</v>
      </c>
      <c r="I4746" s="3">
        <v>232.62</v>
      </c>
      <c r="J4746" s="3">
        <v>0</v>
      </c>
      <c r="L4746">
        <v>6522</v>
      </c>
      <c r="M4746" t="s">
        <v>11103</v>
      </c>
      <c r="N4746" t="s">
        <v>30</v>
      </c>
      <c r="O4746" t="s">
        <v>31</v>
      </c>
      <c r="P4746" t="str">
        <f t="shared" ref="P4746:P4751" si="57">"15206"</f>
        <v>15206</v>
      </c>
    </row>
    <row r="4747" spans="1:16" x14ac:dyDescent="0.25">
      <c r="A4747" t="str">
        <f>"1120124H00244    00"</f>
        <v>1120124H00244    00</v>
      </c>
      <c r="B4747" t="s">
        <v>11387</v>
      </c>
      <c r="C4747" t="s">
        <v>11388</v>
      </c>
      <c r="D4747" t="s">
        <v>20</v>
      </c>
      <c r="E4747" t="s">
        <v>39</v>
      </c>
      <c r="F4747">
        <v>0</v>
      </c>
      <c r="G4747">
        <v>0</v>
      </c>
      <c r="H4747">
        <v>2</v>
      </c>
      <c r="I4747" s="3">
        <v>294.26</v>
      </c>
      <c r="J4747" s="3">
        <v>0</v>
      </c>
      <c r="L4747">
        <v>6524</v>
      </c>
      <c r="M4747" t="s">
        <v>11103</v>
      </c>
      <c r="N4747" t="s">
        <v>30</v>
      </c>
      <c r="O4747" t="s">
        <v>31</v>
      </c>
      <c r="P4747" t="str">
        <f t="shared" si="57"/>
        <v>15206</v>
      </c>
    </row>
    <row r="4748" spans="1:16" x14ac:dyDescent="0.25">
      <c r="A4748" t="str">
        <f>"1120124H00246    00"</f>
        <v>1120124H00246    00</v>
      </c>
      <c r="B4748" t="s">
        <v>11389</v>
      </c>
      <c r="C4748" t="s">
        <v>11390</v>
      </c>
      <c r="D4748" t="s">
        <v>20</v>
      </c>
      <c r="E4748" t="s">
        <v>39</v>
      </c>
      <c r="F4748">
        <v>0</v>
      </c>
      <c r="G4748">
        <v>0</v>
      </c>
      <c r="H4748">
        <v>9</v>
      </c>
      <c r="I4748" s="3">
        <v>675.86</v>
      </c>
      <c r="J4748" s="3">
        <v>255.03</v>
      </c>
      <c r="L4748">
        <v>1244</v>
      </c>
      <c r="M4748" t="s">
        <v>3634</v>
      </c>
      <c r="N4748" t="s">
        <v>30</v>
      </c>
      <c r="O4748" t="s">
        <v>31</v>
      </c>
      <c r="P4748" t="str">
        <f t="shared" si="57"/>
        <v>15206</v>
      </c>
    </row>
    <row r="4749" spans="1:16" x14ac:dyDescent="0.25">
      <c r="A4749" t="str">
        <f>"1120124H00250    00"</f>
        <v>1120124H00250    00</v>
      </c>
      <c r="B4749" t="s">
        <v>11391</v>
      </c>
      <c r="C4749" t="s">
        <v>11361</v>
      </c>
      <c r="D4749" t="s">
        <v>20</v>
      </c>
      <c r="E4749" t="s">
        <v>39</v>
      </c>
      <c r="F4749">
        <v>0</v>
      </c>
      <c r="G4749">
        <v>0</v>
      </c>
      <c r="H4749">
        <v>17</v>
      </c>
      <c r="I4749" s="3">
        <v>313.60000000000002</v>
      </c>
      <c r="J4749" s="3">
        <v>369.72</v>
      </c>
      <c r="K4749" t="s">
        <v>1037</v>
      </c>
      <c r="L4749">
        <v>1246</v>
      </c>
      <c r="M4749" t="s">
        <v>3634</v>
      </c>
      <c r="N4749" t="s">
        <v>30</v>
      </c>
      <c r="O4749" t="s">
        <v>31</v>
      </c>
      <c r="P4749" t="str">
        <f t="shared" si="57"/>
        <v>15206</v>
      </c>
    </row>
    <row r="4750" spans="1:16" x14ac:dyDescent="0.25">
      <c r="A4750" t="str">
        <f>"1120124H00251    00"</f>
        <v>1120124H00251    00</v>
      </c>
      <c r="B4750" t="s">
        <v>11392</v>
      </c>
      <c r="C4750" t="s">
        <v>11393</v>
      </c>
      <c r="E4750" t="s">
        <v>39</v>
      </c>
      <c r="F4750">
        <v>0</v>
      </c>
      <c r="G4750">
        <v>0</v>
      </c>
      <c r="H4750">
        <v>5</v>
      </c>
      <c r="I4750" s="3">
        <v>1282.79</v>
      </c>
      <c r="J4750" s="3">
        <v>1015.2</v>
      </c>
      <c r="L4750">
        <v>1248</v>
      </c>
      <c r="M4750" t="s">
        <v>3634</v>
      </c>
      <c r="N4750" t="s">
        <v>30</v>
      </c>
      <c r="O4750" t="s">
        <v>31</v>
      </c>
      <c r="P4750" t="str">
        <f t="shared" si="57"/>
        <v>15206</v>
      </c>
    </row>
    <row r="4751" spans="1:16" x14ac:dyDescent="0.25">
      <c r="A4751" t="str">
        <f>"1120124H00258    00"</f>
        <v>1120124H00258    00</v>
      </c>
      <c r="B4751" t="s">
        <v>11394</v>
      </c>
      <c r="C4751" t="s">
        <v>11395</v>
      </c>
      <c r="D4751" t="s">
        <v>20</v>
      </c>
      <c r="E4751" t="s">
        <v>39</v>
      </c>
      <c r="F4751">
        <v>0</v>
      </c>
      <c r="G4751">
        <v>0</v>
      </c>
      <c r="H4751">
        <v>17</v>
      </c>
      <c r="I4751" s="3">
        <v>13884.84</v>
      </c>
      <c r="J4751" s="3">
        <v>12245.7</v>
      </c>
      <c r="L4751">
        <v>6605</v>
      </c>
      <c r="M4751" t="s">
        <v>11396</v>
      </c>
      <c r="N4751" t="s">
        <v>30</v>
      </c>
      <c r="O4751" t="s">
        <v>31</v>
      </c>
      <c r="P4751" t="str">
        <f t="shared" si="57"/>
        <v>15206</v>
      </c>
    </row>
    <row r="4752" spans="1:16" x14ac:dyDescent="0.25">
      <c r="A4752" t="str">
        <f>"1120124H00303    00"</f>
        <v>1120124H00303    00</v>
      </c>
      <c r="B4752" t="s">
        <v>11397</v>
      </c>
      <c r="C4752" t="s">
        <v>11095</v>
      </c>
      <c r="D4752" t="s">
        <v>20</v>
      </c>
      <c r="E4752" t="s">
        <v>39</v>
      </c>
      <c r="F4752">
        <v>0</v>
      </c>
      <c r="G4752">
        <v>0</v>
      </c>
      <c r="H4752">
        <v>19</v>
      </c>
      <c r="I4752" s="3">
        <v>4220.08</v>
      </c>
      <c r="J4752" s="3">
        <v>5581.33</v>
      </c>
      <c r="P4752" t="str">
        <f>""</f>
        <v/>
      </c>
    </row>
    <row r="4753" spans="1:16" x14ac:dyDescent="0.25">
      <c r="A4753" t="str">
        <f>"1120124H00305    00"</f>
        <v>1120124H00305    00</v>
      </c>
      <c r="B4753" t="s">
        <v>11398</v>
      </c>
      <c r="C4753" t="s">
        <v>11095</v>
      </c>
      <c r="D4753" t="s">
        <v>20</v>
      </c>
      <c r="E4753" t="s">
        <v>39</v>
      </c>
      <c r="F4753">
        <v>0</v>
      </c>
      <c r="G4753">
        <v>0</v>
      </c>
      <c r="H4753">
        <v>17</v>
      </c>
      <c r="I4753" s="3">
        <v>5417.98</v>
      </c>
      <c r="J4753" s="3">
        <v>7724.37</v>
      </c>
      <c r="P4753" t="str">
        <f>""</f>
        <v/>
      </c>
    </row>
    <row r="4754" spans="1:16" x14ac:dyDescent="0.25">
      <c r="A4754" t="str">
        <f>"1120124H00309    00"</f>
        <v>1120124H00309    00</v>
      </c>
      <c r="B4754" t="s">
        <v>11399</v>
      </c>
      <c r="C4754" t="s">
        <v>11400</v>
      </c>
      <c r="D4754" t="s">
        <v>20</v>
      </c>
      <c r="E4754" t="s">
        <v>39</v>
      </c>
      <c r="F4754">
        <v>0</v>
      </c>
      <c r="G4754">
        <v>0</v>
      </c>
      <c r="H4754">
        <v>19</v>
      </c>
      <c r="I4754" s="3">
        <v>466.15</v>
      </c>
      <c r="J4754" s="3">
        <v>471.38</v>
      </c>
      <c r="L4754">
        <v>7925</v>
      </c>
      <c r="M4754" t="s">
        <v>2398</v>
      </c>
      <c r="N4754" t="s">
        <v>1046</v>
      </c>
      <c r="O4754" t="s">
        <v>31</v>
      </c>
      <c r="P4754" t="str">
        <f>"15147"</f>
        <v>15147</v>
      </c>
    </row>
    <row r="4755" spans="1:16" x14ac:dyDescent="0.25">
      <c r="A4755" t="str">
        <f>"1120124H00310    00"</f>
        <v>1120124H00310    00</v>
      </c>
      <c r="B4755" t="s">
        <v>11399</v>
      </c>
      <c r="C4755" t="s">
        <v>11400</v>
      </c>
      <c r="D4755" t="s">
        <v>20</v>
      </c>
      <c r="E4755" t="s">
        <v>39</v>
      </c>
      <c r="F4755">
        <v>0</v>
      </c>
      <c r="G4755">
        <v>0</v>
      </c>
      <c r="H4755">
        <v>19</v>
      </c>
      <c r="I4755" s="3">
        <v>510.05</v>
      </c>
      <c r="J4755" s="3">
        <v>494.62</v>
      </c>
      <c r="L4755">
        <v>7925</v>
      </c>
      <c r="M4755" t="s">
        <v>2398</v>
      </c>
      <c r="N4755" t="s">
        <v>1046</v>
      </c>
      <c r="O4755" t="s">
        <v>31</v>
      </c>
      <c r="P4755" t="str">
        <f>"15147"</f>
        <v>15147</v>
      </c>
    </row>
    <row r="4756" spans="1:16" x14ac:dyDescent="0.25">
      <c r="A4756" t="str">
        <f>"1120124H00313    00"</f>
        <v>1120124H00313    00</v>
      </c>
      <c r="B4756" t="s">
        <v>11401</v>
      </c>
      <c r="C4756" t="s">
        <v>11402</v>
      </c>
      <c r="D4756" t="s">
        <v>20</v>
      </c>
      <c r="E4756" t="s">
        <v>39</v>
      </c>
      <c r="F4756">
        <v>0</v>
      </c>
      <c r="G4756">
        <v>0</v>
      </c>
      <c r="H4756">
        <v>2</v>
      </c>
      <c r="I4756" s="3">
        <v>707.11</v>
      </c>
      <c r="J4756" s="3">
        <v>58.32</v>
      </c>
      <c r="K4756" t="s">
        <v>11403</v>
      </c>
      <c r="L4756">
        <v>6515</v>
      </c>
      <c r="M4756" t="s">
        <v>3089</v>
      </c>
      <c r="N4756" t="s">
        <v>30</v>
      </c>
      <c r="O4756" t="s">
        <v>31</v>
      </c>
      <c r="P4756" t="str">
        <f>"15206"</f>
        <v>15206</v>
      </c>
    </row>
    <row r="4757" spans="1:16" x14ac:dyDescent="0.25">
      <c r="A4757" t="str">
        <f>"1120124H00315    00"</f>
        <v>1120124H00315    00</v>
      </c>
      <c r="B4757" t="s">
        <v>11404</v>
      </c>
      <c r="C4757" t="s">
        <v>11405</v>
      </c>
      <c r="E4757" t="s">
        <v>39</v>
      </c>
      <c r="F4757">
        <v>0</v>
      </c>
      <c r="G4757">
        <v>0</v>
      </c>
      <c r="H4757">
        <v>2</v>
      </c>
      <c r="I4757" s="3">
        <v>610.66999999999996</v>
      </c>
      <c r="J4757" s="3">
        <v>86.36</v>
      </c>
      <c r="L4757">
        <v>1727</v>
      </c>
      <c r="M4757" t="s">
        <v>11406</v>
      </c>
      <c r="N4757" t="s">
        <v>30</v>
      </c>
      <c r="O4757" t="s">
        <v>31</v>
      </c>
      <c r="P4757" t="str">
        <f>"15206"</f>
        <v>15206</v>
      </c>
    </row>
    <row r="4758" spans="1:16" x14ac:dyDescent="0.25">
      <c r="A4758" t="str">
        <f>"1120124H00321    00"</f>
        <v>1120124H00321    00</v>
      </c>
      <c r="B4758" t="s">
        <v>11407</v>
      </c>
      <c r="C4758" t="s">
        <v>11400</v>
      </c>
      <c r="D4758" t="s">
        <v>20</v>
      </c>
      <c r="E4758" t="s">
        <v>39</v>
      </c>
      <c r="F4758">
        <v>0</v>
      </c>
      <c r="G4758">
        <v>0</v>
      </c>
      <c r="H4758">
        <v>16</v>
      </c>
      <c r="I4758" s="3">
        <v>4741.7</v>
      </c>
      <c r="J4758" s="3">
        <v>6434.08</v>
      </c>
      <c r="L4758">
        <v>10833</v>
      </c>
      <c r="M4758" t="s">
        <v>11408</v>
      </c>
      <c r="N4758" t="s">
        <v>3919</v>
      </c>
      <c r="O4758" t="s">
        <v>370</v>
      </c>
      <c r="P4758" t="str">
        <f>"32218"</f>
        <v>32218</v>
      </c>
    </row>
    <row r="4759" spans="1:16" x14ac:dyDescent="0.25">
      <c r="A4759" t="str">
        <f>"1120124H00323    00"</f>
        <v>1120124H00323    00</v>
      </c>
      <c r="B4759" t="s">
        <v>11409</v>
      </c>
      <c r="C4759" t="s">
        <v>11400</v>
      </c>
      <c r="D4759" t="s">
        <v>20</v>
      </c>
      <c r="E4759" t="s">
        <v>39</v>
      </c>
      <c r="F4759">
        <v>0</v>
      </c>
      <c r="G4759">
        <v>0</v>
      </c>
      <c r="H4759">
        <v>19</v>
      </c>
      <c r="I4759" s="3">
        <v>10032.030000000001</v>
      </c>
      <c r="J4759" s="3">
        <v>9057.5499999999993</v>
      </c>
      <c r="L4759">
        <v>31511</v>
      </c>
      <c r="M4759" t="s">
        <v>11410</v>
      </c>
      <c r="N4759" t="s">
        <v>11411</v>
      </c>
      <c r="O4759" t="s">
        <v>495</v>
      </c>
      <c r="P4759" t="str">
        <f>"92373"</f>
        <v>92373</v>
      </c>
    </row>
    <row r="4760" spans="1:16" x14ac:dyDescent="0.25">
      <c r="A4760" t="str">
        <f>"1120124H00324    00"</f>
        <v>1120124H00324    00</v>
      </c>
      <c r="B4760" t="s">
        <v>11412</v>
      </c>
      <c r="C4760" t="s">
        <v>11400</v>
      </c>
      <c r="D4760" t="s">
        <v>20</v>
      </c>
      <c r="E4760" t="s">
        <v>39</v>
      </c>
      <c r="F4760">
        <v>0</v>
      </c>
      <c r="G4760">
        <v>0</v>
      </c>
      <c r="H4760">
        <v>17</v>
      </c>
      <c r="I4760" s="3">
        <v>2363.2399999999998</v>
      </c>
      <c r="J4760" s="3">
        <v>3373.01</v>
      </c>
      <c r="L4760">
        <v>15105</v>
      </c>
      <c r="M4760" t="s">
        <v>11413</v>
      </c>
      <c r="N4760" t="s">
        <v>11414</v>
      </c>
      <c r="O4760" t="s">
        <v>495</v>
      </c>
      <c r="P4760" t="str">
        <f>"95124"</f>
        <v>95124</v>
      </c>
    </row>
    <row r="4761" spans="1:16" x14ac:dyDescent="0.25">
      <c r="A4761" t="str">
        <f>"1120124H00331    00"</f>
        <v>1120124H00331    00</v>
      </c>
      <c r="B4761" t="s">
        <v>11415</v>
      </c>
      <c r="C4761" t="s">
        <v>11416</v>
      </c>
      <c r="D4761" t="s">
        <v>20</v>
      </c>
      <c r="E4761" t="s">
        <v>39</v>
      </c>
      <c r="F4761">
        <v>0</v>
      </c>
      <c r="G4761">
        <v>0</v>
      </c>
      <c r="H4761">
        <v>19</v>
      </c>
      <c r="I4761" s="3">
        <v>397.61</v>
      </c>
      <c r="J4761" s="3">
        <v>412.61</v>
      </c>
      <c r="K4761" t="s">
        <v>1008</v>
      </c>
      <c r="P4761" t="str">
        <f>""</f>
        <v/>
      </c>
    </row>
    <row r="4762" spans="1:16" x14ac:dyDescent="0.25">
      <c r="A4762" t="str">
        <f>"1120124H00339    00"</f>
        <v>1120124H00339    00</v>
      </c>
      <c r="B4762" t="s">
        <v>11415</v>
      </c>
      <c r="C4762" t="s">
        <v>11416</v>
      </c>
      <c r="D4762" t="s">
        <v>20</v>
      </c>
      <c r="E4762" t="s">
        <v>39</v>
      </c>
      <c r="F4762">
        <v>0</v>
      </c>
      <c r="G4762">
        <v>0</v>
      </c>
      <c r="H4762">
        <v>19</v>
      </c>
      <c r="I4762" s="3">
        <v>397.61</v>
      </c>
      <c r="J4762" s="3">
        <v>412.61</v>
      </c>
      <c r="K4762" t="s">
        <v>1008</v>
      </c>
      <c r="P4762" t="str">
        <f>""</f>
        <v/>
      </c>
    </row>
    <row r="4763" spans="1:16" x14ac:dyDescent="0.25">
      <c r="A4763" t="str">
        <f>"1120124H00341    00"</f>
        <v>1120124H00341    00</v>
      </c>
      <c r="B4763" t="s">
        <v>11417</v>
      </c>
      <c r="C4763" t="s">
        <v>11418</v>
      </c>
      <c r="D4763" t="s">
        <v>20</v>
      </c>
      <c r="E4763" t="s">
        <v>39</v>
      </c>
      <c r="F4763">
        <v>0</v>
      </c>
      <c r="G4763">
        <v>0</v>
      </c>
      <c r="H4763">
        <v>2</v>
      </c>
      <c r="I4763" s="3">
        <v>554.64</v>
      </c>
      <c r="J4763" s="3">
        <v>0</v>
      </c>
      <c r="K4763" t="s">
        <v>11419</v>
      </c>
      <c r="L4763">
        <v>7082</v>
      </c>
      <c r="M4763" t="s">
        <v>2507</v>
      </c>
      <c r="N4763" t="s">
        <v>30</v>
      </c>
      <c r="O4763" t="s">
        <v>31</v>
      </c>
      <c r="P4763" t="str">
        <f>"15206"</f>
        <v>15206</v>
      </c>
    </row>
    <row r="4764" spans="1:16" x14ac:dyDescent="0.25">
      <c r="A4764" t="str">
        <f>"1120124H00342    00"</f>
        <v>1120124H00342    00</v>
      </c>
      <c r="B4764" t="s">
        <v>11417</v>
      </c>
      <c r="C4764" t="s">
        <v>11420</v>
      </c>
      <c r="D4764" t="s">
        <v>20</v>
      </c>
      <c r="E4764" t="s">
        <v>39</v>
      </c>
      <c r="F4764">
        <v>0</v>
      </c>
      <c r="G4764">
        <v>0</v>
      </c>
      <c r="H4764">
        <v>2</v>
      </c>
      <c r="I4764" s="3">
        <v>58.55</v>
      </c>
      <c r="J4764" s="3">
        <v>0</v>
      </c>
      <c r="K4764" t="s">
        <v>11419</v>
      </c>
      <c r="L4764">
        <v>7082</v>
      </c>
      <c r="M4764" t="s">
        <v>2507</v>
      </c>
      <c r="N4764" t="s">
        <v>30</v>
      </c>
      <c r="O4764" t="s">
        <v>31</v>
      </c>
      <c r="P4764" t="str">
        <f>"15206"</f>
        <v>15206</v>
      </c>
    </row>
    <row r="4765" spans="1:16" x14ac:dyDescent="0.25">
      <c r="A4765" t="str">
        <f>"1120124H00344    00"</f>
        <v>1120124H00344    00</v>
      </c>
      <c r="B4765" t="s">
        <v>11421</v>
      </c>
      <c r="C4765" t="s">
        <v>11420</v>
      </c>
      <c r="D4765" t="s">
        <v>20</v>
      </c>
      <c r="E4765" t="s">
        <v>39</v>
      </c>
      <c r="F4765">
        <v>0</v>
      </c>
      <c r="G4765">
        <v>0</v>
      </c>
      <c r="H4765">
        <v>19</v>
      </c>
      <c r="I4765" s="3">
        <v>921.96</v>
      </c>
      <c r="J4765" s="3">
        <v>667.39</v>
      </c>
      <c r="L4765">
        <v>701</v>
      </c>
      <c r="M4765" t="s">
        <v>11422</v>
      </c>
      <c r="N4765" t="s">
        <v>30</v>
      </c>
      <c r="O4765" t="s">
        <v>31</v>
      </c>
      <c r="P4765" t="str">
        <f>"15238"</f>
        <v>15238</v>
      </c>
    </row>
    <row r="4766" spans="1:16" x14ac:dyDescent="0.25">
      <c r="A4766" t="str">
        <f>"1120124H00356    00"</f>
        <v>1120124H00356    00</v>
      </c>
      <c r="B4766" t="s">
        <v>11423</v>
      </c>
      <c r="C4766" t="s">
        <v>11424</v>
      </c>
      <c r="D4766" t="s">
        <v>20</v>
      </c>
      <c r="E4766" t="s">
        <v>39</v>
      </c>
      <c r="F4766">
        <v>0</v>
      </c>
      <c r="G4766">
        <v>0</v>
      </c>
      <c r="H4766">
        <v>8</v>
      </c>
      <c r="I4766" s="3">
        <v>4325.8999999999996</v>
      </c>
      <c r="J4766" s="3">
        <v>2951.73</v>
      </c>
      <c r="L4766">
        <v>1224</v>
      </c>
      <c r="M4766" t="s">
        <v>3634</v>
      </c>
      <c r="N4766" t="s">
        <v>30</v>
      </c>
      <c r="O4766" t="s">
        <v>31</v>
      </c>
      <c r="P4766" t="str">
        <f>"15206"</f>
        <v>15206</v>
      </c>
    </row>
    <row r="4767" spans="1:16" x14ac:dyDescent="0.25">
      <c r="A4767" t="str">
        <f>"1120124H00357    00"</f>
        <v>1120124H00357    00</v>
      </c>
      <c r="B4767" t="s">
        <v>11425</v>
      </c>
      <c r="C4767" t="s">
        <v>11361</v>
      </c>
      <c r="D4767" t="s">
        <v>20</v>
      </c>
      <c r="E4767" t="s">
        <v>39</v>
      </c>
      <c r="F4767">
        <v>0</v>
      </c>
      <c r="G4767">
        <v>0</v>
      </c>
      <c r="H4767">
        <v>5</v>
      </c>
      <c r="I4767" s="3">
        <v>89.61</v>
      </c>
      <c r="J4767" s="3">
        <v>75.55</v>
      </c>
      <c r="L4767">
        <v>1224</v>
      </c>
      <c r="M4767" t="s">
        <v>3634</v>
      </c>
      <c r="N4767" t="s">
        <v>30</v>
      </c>
      <c r="O4767" t="s">
        <v>31</v>
      </c>
      <c r="P4767" t="str">
        <f>"15206"</f>
        <v>15206</v>
      </c>
    </row>
    <row r="4768" spans="1:16" x14ac:dyDescent="0.25">
      <c r="A4768" t="str">
        <f>"1120124H00358    00"</f>
        <v>1120124H00358    00</v>
      </c>
      <c r="B4768" t="s">
        <v>11426</v>
      </c>
      <c r="C4768" t="s">
        <v>11427</v>
      </c>
      <c r="D4768" t="s">
        <v>20</v>
      </c>
      <c r="E4768" t="s">
        <v>39</v>
      </c>
      <c r="F4768">
        <v>0</v>
      </c>
      <c r="G4768">
        <v>0</v>
      </c>
      <c r="H4768">
        <v>1</v>
      </c>
      <c r="I4768" s="3">
        <v>37.01</v>
      </c>
      <c r="J4768" s="3">
        <v>0</v>
      </c>
      <c r="L4768">
        <v>1218</v>
      </c>
      <c r="M4768" t="s">
        <v>3634</v>
      </c>
      <c r="N4768" t="s">
        <v>30</v>
      </c>
      <c r="O4768" t="s">
        <v>31</v>
      </c>
      <c r="P4768" t="str">
        <f>"15206"</f>
        <v>15206</v>
      </c>
    </row>
    <row r="4769" spans="1:16" x14ac:dyDescent="0.25">
      <c r="A4769" t="str">
        <f>"1120124H00360    00"</f>
        <v>1120124H00360    00</v>
      </c>
      <c r="B4769" t="s">
        <v>11428</v>
      </c>
      <c r="C4769" t="s">
        <v>11361</v>
      </c>
      <c r="D4769" t="s">
        <v>20</v>
      </c>
      <c r="E4769" t="s">
        <v>39</v>
      </c>
      <c r="F4769">
        <v>0</v>
      </c>
      <c r="G4769">
        <v>0</v>
      </c>
      <c r="H4769">
        <v>19</v>
      </c>
      <c r="I4769" s="3">
        <v>4150.01</v>
      </c>
      <c r="J4769" s="3">
        <v>5563.3</v>
      </c>
      <c r="L4769">
        <v>1216</v>
      </c>
      <c r="M4769" t="s">
        <v>3634</v>
      </c>
      <c r="N4769" t="s">
        <v>30</v>
      </c>
      <c r="O4769" t="s">
        <v>31</v>
      </c>
      <c r="P4769" t="str">
        <f>"15206"</f>
        <v>15206</v>
      </c>
    </row>
    <row r="4770" spans="1:16" x14ac:dyDescent="0.25">
      <c r="A4770" t="str">
        <f>"1120124H00361    00"</f>
        <v>1120124H00361    00</v>
      </c>
      <c r="B4770" t="s">
        <v>11429</v>
      </c>
      <c r="C4770" t="s">
        <v>11361</v>
      </c>
      <c r="D4770" t="s">
        <v>20</v>
      </c>
      <c r="E4770" t="s">
        <v>39</v>
      </c>
      <c r="F4770">
        <v>0</v>
      </c>
      <c r="G4770">
        <v>0</v>
      </c>
      <c r="H4770">
        <v>19</v>
      </c>
      <c r="I4770" s="3">
        <v>375.64</v>
      </c>
      <c r="J4770" s="3">
        <v>421.94</v>
      </c>
      <c r="L4770">
        <v>1216</v>
      </c>
      <c r="M4770" t="s">
        <v>3634</v>
      </c>
      <c r="N4770" t="s">
        <v>30</v>
      </c>
      <c r="O4770" t="s">
        <v>31</v>
      </c>
      <c r="P4770" t="str">
        <f>"15206"</f>
        <v>15206</v>
      </c>
    </row>
    <row r="4771" spans="1:16" x14ac:dyDescent="0.25">
      <c r="A4771" t="str">
        <f>"1120124H00362    00"</f>
        <v>1120124H00362    00</v>
      </c>
      <c r="B4771" t="s">
        <v>11428</v>
      </c>
      <c r="C4771" t="s">
        <v>11361</v>
      </c>
      <c r="D4771" t="s">
        <v>20</v>
      </c>
      <c r="E4771" t="s">
        <v>39</v>
      </c>
      <c r="F4771">
        <v>0</v>
      </c>
      <c r="G4771">
        <v>0</v>
      </c>
      <c r="H4771">
        <v>19</v>
      </c>
      <c r="I4771" s="3">
        <v>485.33</v>
      </c>
      <c r="J4771" s="3">
        <v>479.94</v>
      </c>
      <c r="L4771">
        <v>1515</v>
      </c>
      <c r="M4771" t="s">
        <v>11430</v>
      </c>
      <c r="N4771" t="s">
        <v>11431</v>
      </c>
      <c r="O4771" t="s">
        <v>31</v>
      </c>
      <c r="P4771" t="str">
        <f>"15221"</f>
        <v>15221</v>
      </c>
    </row>
    <row r="4772" spans="1:16" x14ac:dyDescent="0.25">
      <c r="A4772" t="str">
        <f>"1120124J00019    00"</f>
        <v>1120124J00019    00</v>
      </c>
      <c r="B4772" t="s">
        <v>11432</v>
      </c>
      <c r="C4772" t="s">
        <v>11433</v>
      </c>
      <c r="E4772" t="s">
        <v>39</v>
      </c>
      <c r="F4772">
        <v>0</v>
      </c>
      <c r="G4772">
        <v>0</v>
      </c>
      <c r="H4772">
        <v>4</v>
      </c>
      <c r="I4772" s="3">
        <v>6986.21</v>
      </c>
      <c r="J4772" s="3">
        <v>94.4</v>
      </c>
      <c r="K4772" t="s">
        <v>11434</v>
      </c>
      <c r="L4772">
        <v>7049</v>
      </c>
      <c r="M4772" t="s">
        <v>11435</v>
      </c>
      <c r="N4772" t="s">
        <v>30</v>
      </c>
      <c r="O4772" t="s">
        <v>31</v>
      </c>
      <c r="P4772" t="str">
        <f>"15208"</f>
        <v>15208</v>
      </c>
    </row>
    <row r="4773" spans="1:16" x14ac:dyDescent="0.25">
      <c r="A4773" t="str">
        <f>"1120124J00021    00"</f>
        <v>1120124J00021    00</v>
      </c>
      <c r="B4773" t="s">
        <v>11436</v>
      </c>
      <c r="C4773" t="s">
        <v>11437</v>
      </c>
      <c r="E4773" t="s">
        <v>39</v>
      </c>
      <c r="F4773">
        <v>0</v>
      </c>
      <c r="G4773">
        <v>0</v>
      </c>
      <c r="H4773">
        <v>1</v>
      </c>
      <c r="I4773" s="3">
        <v>2068.23</v>
      </c>
      <c r="J4773" s="3">
        <v>1585.57</v>
      </c>
      <c r="K4773" t="s">
        <v>11434</v>
      </c>
      <c r="L4773">
        <v>7049</v>
      </c>
      <c r="M4773" t="s">
        <v>11435</v>
      </c>
      <c r="N4773" t="s">
        <v>30</v>
      </c>
      <c r="O4773" t="s">
        <v>31</v>
      </c>
      <c r="P4773" t="str">
        <f>"15208"</f>
        <v>15208</v>
      </c>
    </row>
    <row r="4774" spans="1:16" x14ac:dyDescent="0.25">
      <c r="A4774" t="str">
        <f>"1120124J00052    00"</f>
        <v>1120124J00052    00</v>
      </c>
      <c r="B4774" t="s">
        <v>11438</v>
      </c>
      <c r="C4774" t="s">
        <v>11439</v>
      </c>
      <c r="D4774" t="s">
        <v>20</v>
      </c>
      <c r="E4774" t="s">
        <v>39</v>
      </c>
      <c r="F4774">
        <v>0</v>
      </c>
      <c r="G4774">
        <v>0</v>
      </c>
      <c r="H4774">
        <v>5</v>
      </c>
      <c r="I4774" s="3">
        <v>507.47</v>
      </c>
      <c r="J4774" s="3">
        <v>86.01</v>
      </c>
      <c r="L4774">
        <v>553</v>
      </c>
      <c r="M4774" t="s">
        <v>11137</v>
      </c>
      <c r="N4774" t="s">
        <v>30</v>
      </c>
      <c r="O4774" t="s">
        <v>31</v>
      </c>
      <c r="P4774" t="str">
        <f>"15206"</f>
        <v>15206</v>
      </c>
    </row>
    <row r="4775" spans="1:16" x14ac:dyDescent="0.25">
      <c r="A4775" t="str">
        <f>"1120124J00061    00"</f>
        <v>1120124J00061    00</v>
      </c>
      <c r="B4775" t="s">
        <v>11440</v>
      </c>
      <c r="C4775" t="s">
        <v>11441</v>
      </c>
      <c r="E4775" t="s">
        <v>39</v>
      </c>
      <c r="F4775">
        <v>0</v>
      </c>
      <c r="G4775">
        <v>0</v>
      </c>
      <c r="H4775">
        <v>1</v>
      </c>
      <c r="I4775" s="3">
        <v>110.13</v>
      </c>
      <c r="J4775" s="3">
        <v>0</v>
      </c>
      <c r="L4775">
        <v>614</v>
      </c>
      <c r="M4775" t="s">
        <v>2371</v>
      </c>
      <c r="N4775" t="s">
        <v>30</v>
      </c>
      <c r="O4775" t="s">
        <v>31</v>
      </c>
      <c r="P4775" t="str">
        <f>"15219"</f>
        <v>15219</v>
      </c>
    </row>
    <row r="4776" spans="1:16" x14ac:dyDescent="0.25">
      <c r="A4776" t="str">
        <f>"1120124J00067    00"</f>
        <v>1120124J00067    00</v>
      </c>
      <c r="B4776" t="s">
        <v>11442</v>
      </c>
      <c r="C4776" t="s">
        <v>11129</v>
      </c>
      <c r="D4776" t="s">
        <v>20</v>
      </c>
      <c r="E4776" t="s">
        <v>39</v>
      </c>
      <c r="F4776">
        <v>0</v>
      </c>
      <c r="G4776">
        <v>0</v>
      </c>
      <c r="H4776">
        <v>10</v>
      </c>
      <c r="I4776" s="3">
        <v>737.8</v>
      </c>
      <c r="J4776" s="3">
        <v>318.05</v>
      </c>
      <c r="L4776">
        <v>649</v>
      </c>
      <c r="M4776" t="s">
        <v>11443</v>
      </c>
      <c r="N4776" t="s">
        <v>30</v>
      </c>
      <c r="O4776" t="s">
        <v>31</v>
      </c>
      <c r="P4776" t="str">
        <f>"15207"</f>
        <v>15207</v>
      </c>
    </row>
    <row r="4777" spans="1:16" x14ac:dyDescent="0.25">
      <c r="A4777" t="str">
        <f>"1120124J00087    00"</f>
        <v>1120124J00087    00</v>
      </c>
      <c r="B4777" t="s">
        <v>11444</v>
      </c>
      <c r="C4777" t="s">
        <v>11445</v>
      </c>
      <c r="D4777" t="s">
        <v>20</v>
      </c>
      <c r="E4777" t="s">
        <v>39</v>
      </c>
      <c r="F4777">
        <v>0</v>
      </c>
      <c r="G4777">
        <v>0</v>
      </c>
      <c r="H4777">
        <v>3</v>
      </c>
      <c r="I4777" s="3">
        <v>28.52</v>
      </c>
      <c r="J4777" s="3">
        <v>2.74</v>
      </c>
      <c r="L4777">
        <v>42</v>
      </c>
      <c r="M4777" t="s">
        <v>11446</v>
      </c>
      <c r="N4777" t="s">
        <v>30</v>
      </c>
      <c r="O4777" t="s">
        <v>31</v>
      </c>
      <c r="P4777" t="str">
        <f>"15206"</f>
        <v>15206</v>
      </c>
    </row>
    <row r="4778" spans="1:16" x14ac:dyDescent="0.25">
      <c r="A4778" t="str">
        <f>"1120124J00090    00"</f>
        <v>1120124J00090    00</v>
      </c>
      <c r="B4778" t="s">
        <v>11447</v>
      </c>
      <c r="C4778" t="s">
        <v>11448</v>
      </c>
      <c r="E4778" t="s">
        <v>39</v>
      </c>
      <c r="F4778">
        <v>0</v>
      </c>
      <c r="G4778">
        <v>0</v>
      </c>
      <c r="H4778">
        <v>1</v>
      </c>
      <c r="I4778" s="3">
        <v>176.21</v>
      </c>
      <c r="J4778" s="3">
        <v>0</v>
      </c>
      <c r="L4778">
        <v>614</v>
      </c>
      <c r="M4778" t="s">
        <v>2371</v>
      </c>
      <c r="N4778" t="s">
        <v>30</v>
      </c>
      <c r="O4778" t="s">
        <v>31</v>
      </c>
      <c r="P4778" t="str">
        <f>"15219"</f>
        <v>15219</v>
      </c>
    </row>
    <row r="4779" spans="1:16" x14ac:dyDescent="0.25">
      <c r="A4779" t="str">
        <f>"1120124J00098    00"</f>
        <v>1120124J00098    00</v>
      </c>
      <c r="B4779" t="s">
        <v>11449</v>
      </c>
      <c r="C4779" t="s">
        <v>11450</v>
      </c>
      <c r="D4779" t="s">
        <v>20</v>
      </c>
      <c r="E4779" t="s">
        <v>39</v>
      </c>
      <c r="F4779">
        <v>0</v>
      </c>
      <c r="G4779">
        <v>0</v>
      </c>
      <c r="H4779">
        <v>2</v>
      </c>
      <c r="I4779" s="3">
        <v>933.96</v>
      </c>
      <c r="J4779" s="3">
        <v>0</v>
      </c>
      <c r="L4779">
        <v>33</v>
      </c>
      <c r="M4779" t="s">
        <v>11446</v>
      </c>
      <c r="N4779" t="s">
        <v>30</v>
      </c>
      <c r="O4779" t="s">
        <v>31</v>
      </c>
      <c r="P4779" t="str">
        <f>"15206"</f>
        <v>15206</v>
      </c>
    </row>
    <row r="4780" spans="1:16" x14ac:dyDescent="0.25">
      <c r="A4780" t="str">
        <f>"1120124J00112    00"</f>
        <v>1120124J00112    00</v>
      </c>
      <c r="B4780" t="s">
        <v>3283</v>
      </c>
      <c r="C4780" t="s">
        <v>11451</v>
      </c>
      <c r="E4780" t="s">
        <v>39</v>
      </c>
      <c r="F4780">
        <v>0</v>
      </c>
      <c r="G4780">
        <v>0</v>
      </c>
      <c r="H4780">
        <v>2</v>
      </c>
      <c r="I4780" s="3">
        <v>140.44</v>
      </c>
      <c r="J4780" s="3">
        <v>146.25</v>
      </c>
      <c r="K4780" t="s">
        <v>3285</v>
      </c>
      <c r="L4780">
        <v>200</v>
      </c>
      <c r="M4780" t="s">
        <v>10815</v>
      </c>
      <c r="N4780" t="s">
        <v>30</v>
      </c>
      <c r="O4780" t="s">
        <v>31</v>
      </c>
      <c r="P4780" t="str">
        <f>"15219"</f>
        <v>15219</v>
      </c>
    </row>
    <row r="4781" spans="1:16" x14ac:dyDescent="0.25">
      <c r="A4781" t="str">
        <f>"1120124J00115    00"</f>
        <v>1120124J00115    00</v>
      </c>
      <c r="B4781" t="s">
        <v>11452</v>
      </c>
      <c r="C4781" t="s">
        <v>11453</v>
      </c>
      <c r="E4781" t="s">
        <v>21</v>
      </c>
      <c r="F4781">
        <v>0</v>
      </c>
      <c r="G4781">
        <v>0</v>
      </c>
      <c r="H4781">
        <v>1</v>
      </c>
      <c r="I4781" s="3">
        <v>1703.47</v>
      </c>
      <c r="J4781" s="3">
        <v>0</v>
      </c>
      <c r="K4781" t="s">
        <v>11454</v>
      </c>
      <c r="L4781">
        <v>164</v>
      </c>
      <c r="M4781" t="s">
        <v>11455</v>
      </c>
      <c r="N4781" t="s">
        <v>30</v>
      </c>
      <c r="O4781" t="s">
        <v>31</v>
      </c>
      <c r="P4781" t="str">
        <f>"15238"</f>
        <v>15238</v>
      </c>
    </row>
    <row r="4782" spans="1:16" x14ac:dyDescent="0.25">
      <c r="A4782" t="str">
        <f>"1120124J00128    00"</f>
        <v>1120124J00128    00</v>
      </c>
      <c r="B4782" t="s">
        <v>11452</v>
      </c>
      <c r="C4782" t="s">
        <v>11453</v>
      </c>
      <c r="D4782" t="s">
        <v>20</v>
      </c>
      <c r="E4782" t="s">
        <v>21</v>
      </c>
      <c r="F4782">
        <v>0</v>
      </c>
      <c r="G4782">
        <v>0</v>
      </c>
      <c r="H4782">
        <v>3</v>
      </c>
      <c r="I4782" s="3">
        <v>134.11000000000001</v>
      </c>
      <c r="J4782" s="3">
        <v>1.04</v>
      </c>
      <c r="K4782" t="s">
        <v>11454</v>
      </c>
      <c r="L4782">
        <v>164</v>
      </c>
      <c r="M4782" t="s">
        <v>11455</v>
      </c>
      <c r="N4782" t="s">
        <v>30</v>
      </c>
      <c r="O4782" t="s">
        <v>31</v>
      </c>
      <c r="P4782" t="str">
        <f>"15238"</f>
        <v>15238</v>
      </c>
    </row>
    <row r="4783" spans="1:16" x14ac:dyDescent="0.25">
      <c r="A4783" t="str">
        <f>"1120124J00129    00"</f>
        <v>1120124J00129    00</v>
      </c>
      <c r="B4783" t="s">
        <v>11452</v>
      </c>
      <c r="C4783" t="s">
        <v>11453</v>
      </c>
      <c r="E4783" t="s">
        <v>21</v>
      </c>
      <c r="F4783">
        <v>0</v>
      </c>
      <c r="G4783">
        <v>0</v>
      </c>
      <c r="H4783">
        <v>1</v>
      </c>
      <c r="I4783" s="3">
        <v>11.28</v>
      </c>
      <c r="J4783" s="3">
        <v>0</v>
      </c>
      <c r="K4783" t="s">
        <v>11454</v>
      </c>
      <c r="L4783">
        <v>164</v>
      </c>
      <c r="M4783" t="s">
        <v>11456</v>
      </c>
      <c r="N4783" t="s">
        <v>30</v>
      </c>
      <c r="O4783" t="s">
        <v>31</v>
      </c>
      <c r="P4783" t="str">
        <f>"15238"</f>
        <v>15238</v>
      </c>
    </row>
    <row r="4784" spans="1:16" x14ac:dyDescent="0.25">
      <c r="A4784" t="str">
        <f>"1120124J00130    00"</f>
        <v>1120124J00130    00</v>
      </c>
      <c r="B4784" t="s">
        <v>11452</v>
      </c>
      <c r="C4784" t="s">
        <v>11453</v>
      </c>
      <c r="E4784" t="s">
        <v>21</v>
      </c>
      <c r="F4784">
        <v>0</v>
      </c>
      <c r="G4784">
        <v>0</v>
      </c>
      <c r="H4784">
        <v>1</v>
      </c>
      <c r="I4784" s="3">
        <v>11.28</v>
      </c>
      <c r="J4784" s="3">
        <v>0</v>
      </c>
      <c r="K4784" t="s">
        <v>11454</v>
      </c>
      <c r="L4784">
        <v>164</v>
      </c>
      <c r="M4784" t="s">
        <v>11455</v>
      </c>
      <c r="N4784" t="s">
        <v>30</v>
      </c>
      <c r="O4784" t="s">
        <v>31</v>
      </c>
      <c r="P4784" t="str">
        <f>"15238"</f>
        <v>15238</v>
      </c>
    </row>
    <row r="4785" spans="1:16" x14ac:dyDescent="0.25">
      <c r="A4785" t="str">
        <f>"1120124J00131    00"</f>
        <v>1120124J00131    00</v>
      </c>
      <c r="B4785" t="s">
        <v>11452</v>
      </c>
      <c r="C4785" t="s">
        <v>11453</v>
      </c>
      <c r="E4785" t="s">
        <v>21</v>
      </c>
      <c r="F4785">
        <v>0</v>
      </c>
      <c r="G4785">
        <v>0</v>
      </c>
      <c r="H4785">
        <v>1</v>
      </c>
      <c r="I4785" s="3">
        <v>11.28</v>
      </c>
      <c r="J4785" s="3">
        <v>0</v>
      </c>
      <c r="K4785" t="s">
        <v>11454</v>
      </c>
      <c r="L4785">
        <v>164</v>
      </c>
      <c r="M4785" t="s">
        <v>11455</v>
      </c>
      <c r="N4785" t="s">
        <v>30</v>
      </c>
      <c r="O4785" t="s">
        <v>31</v>
      </c>
      <c r="P4785" t="str">
        <f>"15238"</f>
        <v>15238</v>
      </c>
    </row>
    <row r="4786" spans="1:16" x14ac:dyDescent="0.25">
      <c r="A4786" t="str">
        <f>"1120124J00154    00"</f>
        <v>1120124J00154    00</v>
      </c>
      <c r="B4786" t="s">
        <v>11457</v>
      </c>
      <c r="C4786" t="s">
        <v>11458</v>
      </c>
      <c r="D4786" t="s">
        <v>20</v>
      </c>
      <c r="E4786" t="s">
        <v>39</v>
      </c>
      <c r="F4786">
        <v>0</v>
      </c>
      <c r="G4786">
        <v>0</v>
      </c>
      <c r="H4786">
        <v>2</v>
      </c>
      <c r="I4786" s="3">
        <v>607.6</v>
      </c>
      <c r="J4786" s="3">
        <v>0</v>
      </c>
      <c r="L4786">
        <v>6</v>
      </c>
      <c r="M4786" t="s">
        <v>11459</v>
      </c>
      <c r="N4786" t="s">
        <v>30</v>
      </c>
      <c r="O4786" t="s">
        <v>31</v>
      </c>
      <c r="P4786" t="str">
        <f>"15206"</f>
        <v>15206</v>
      </c>
    </row>
    <row r="4787" spans="1:16" x14ac:dyDescent="0.25">
      <c r="A4787" t="str">
        <f>"1120124J00155    00"</f>
        <v>1120124J00155    00</v>
      </c>
      <c r="B4787" t="s">
        <v>11460</v>
      </c>
      <c r="C4787" t="s">
        <v>11461</v>
      </c>
      <c r="D4787" t="s">
        <v>20</v>
      </c>
      <c r="E4787" t="s">
        <v>39</v>
      </c>
      <c r="F4787">
        <v>0</v>
      </c>
      <c r="G4787">
        <v>0</v>
      </c>
      <c r="H4787">
        <v>7</v>
      </c>
      <c r="I4787" s="3">
        <v>2567.61</v>
      </c>
      <c r="J4787" s="3">
        <v>747.35</v>
      </c>
      <c r="L4787">
        <v>8</v>
      </c>
      <c r="M4787" t="s">
        <v>11459</v>
      </c>
      <c r="N4787" t="s">
        <v>30</v>
      </c>
      <c r="O4787" t="s">
        <v>31</v>
      </c>
      <c r="P4787" t="str">
        <f>"15206"</f>
        <v>15206</v>
      </c>
    </row>
    <row r="4788" spans="1:16" x14ac:dyDescent="0.25">
      <c r="A4788" t="str">
        <f>"1120124J00157    00"</f>
        <v>1120124J00157    00</v>
      </c>
      <c r="B4788" t="s">
        <v>218</v>
      </c>
      <c r="C4788" t="s">
        <v>11453</v>
      </c>
      <c r="D4788" t="s">
        <v>20</v>
      </c>
      <c r="E4788" t="s">
        <v>21</v>
      </c>
      <c r="F4788">
        <v>0</v>
      </c>
      <c r="G4788">
        <v>0</v>
      </c>
      <c r="H4788">
        <v>3</v>
      </c>
      <c r="I4788" s="3">
        <v>3186.5</v>
      </c>
      <c r="J4788" s="3">
        <v>417.5</v>
      </c>
      <c r="K4788" t="s">
        <v>220</v>
      </c>
      <c r="L4788">
        <v>412</v>
      </c>
      <c r="M4788" t="s">
        <v>221</v>
      </c>
      <c r="N4788" t="s">
        <v>30</v>
      </c>
      <c r="O4788" t="s">
        <v>31</v>
      </c>
      <c r="P4788" t="str">
        <f>"15219"</f>
        <v>15219</v>
      </c>
    </row>
    <row r="4789" spans="1:16" x14ac:dyDescent="0.25">
      <c r="A4789" t="str">
        <f>"1120124J00195    00"</f>
        <v>1120124J00195    00</v>
      </c>
      <c r="B4789" t="s">
        <v>11462</v>
      </c>
      <c r="C4789" t="s">
        <v>11463</v>
      </c>
      <c r="D4789" t="s">
        <v>20</v>
      </c>
      <c r="E4789" t="s">
        <v>39</v>
      </c>
      <c r="F4789">
        <v>0</v>
      </c>
      <c r="G4789">
        <v>0</v>
      </c>
      <c r="H4789">
        <v>4</v>
      </c>
      <c r="I4789" s="3">
        <v>693.95</v>
      </c>
      <c r="J4789" s="3">
        <v>142.43</v>
      </c>
      <c r="K4789" t="s">
        <v>11464</v>
      </c>
      <c r="L4789">
        <v>418</v>
      </c>
      <c r="M4789" t="s">
        <v>11465</v>
      </c>
      <c r="N4789" t="s">
        <v>30</v>
      </c>
      <c r="O4789" t="s">
        <v>31</v>
      </c>
      <c r="P4789" t="str">
        <f>"15235"</f>
        <v>15235</v>
      </c>
    </row>
    <row r="4790" spans="1:16" x14ac:dyDescent="0.25">
      <c r="A4790" t="str">
        <f>"1120124J00196    00"</f>
        <v>1120124J00196    00</v>
      </c>
      <c r="B4790" t="s">
        <v>218</v>
      </c>
      <c r="C4790" t="s">
        <v>11466</v>
      </c>
      <c r="E4790" t="s">
        <v>39</v>
      </c>
      <c r="F4790">
        <v>0</v>
      </c>
      <c r="G4790">
        <v>0</v>
      </c>
      <c r="H4790">
        <v>1</v>
      </c>
      <c r="I4790" s="3">
        <v>76.69</v>
      </c>
      <c r="J4790" s="3">
        <v>30.68</v>
      </c>
      <c r="K4790" t="s">
        <v>220</v>
      </c>
      <c r="L4790">
        <v>412</v>
      </c>
      <c r="M4790" t="s">
        <v>221</v>
      </c>
      <c r="N4790" t="s">
        <v>30</v>
      </c>
      <c r="O4790" t="s">
        <v>31</v>
      </c>
      <c r="P4790" t="str">
        <f>"15219"</f>
        <v>15219</v>
      </c>
    </row>
    <row r="4791" spans="1:16" x14ac:dyDescent="0.25">
      <c r="A4791" t="str">
        <f>"1120124J00202A   00"</f>
        <v>1120124J00202A   00</v>
      </c>
      <c r="B4791" t="s">
        <v>11138</v>
      </c>
      <c r="C4791" t="s">
        <v>11467</v>
      </c>
      <c r="D4791" t="s">
        <v>20</v>
      </c>
      <c r="E4791" t="s">
        <v>39</v>
      </c>
      <c r="F4791">
        <v>0</v>
      </c>
      <c r="G4791">
        <v>0</v>
      </c>
      <c r="H4791">
        <v>2</v>
      </c>
      <c r="I4791" s="3">
        <v>17.62</v>
      </c>
      <c r="J4791" s="3">
        <v>1.76</v>
      </c>
      <c r="L4791">
        <v>606</v>
      </c>
      <c r="M4791" t="s">
        <v>11137</v>
      </c>
      <c r="N4791" t="s">
        <v>30</v>
      </c>
      <c r="O4791" t="s">
        <v>31</v>
      </c>
      <c r="P4791" t="str">
        <f>"15206"</f>
        <v>15206</v>
      </c>
    </row>
    <row r="4792" spans="1:16" x14ac:dyDescent="0.25">
      <c r="A4792" t="str">
        <f>"1120124J00240    00"</f>
        <v>1120124J00240    00</v>
      </c>
      <c r="B4792" t="s">
        <v>218</v>
      </c>
      <c r="C4792" t="s">
        <v>11064</v>
      </c>
      <c r="E4792" t="s">
        <v>39</v>
      </c>
      <c r="F4792">
        <v>0</v>
      </c>
      <c r="G4792">
        <v>0</v>
      </c>
      <c r="H4792">
        <v>1</v>
      </c>
      <c r="I4792" s="3">
        <v>21.91</v>
      </c>
      <c r="J4792" s="3">
        <v>8.77</v>
      </c>
      <c r="K4792" t="s">
        <v>220</v>
      </c>
      <c r="L4792">
        <v>412</v>
      </c>
      <c r="M4792" t="s">
        <v>221</v>
      </c>
      <c r="N4792" t="s">
        <v>30</v>
      </c>
      <c r="O4792" t="s">
        <v>31</v>
      </c>
      <c r="P4792" t="str">
        <f t="shared" ref="P4792:P4798" si="58">"15219"</f>
        <v>15219</v>
      </c>
    </row>
    <row r="4793" spans="1:16" x14ac:dyDescent="0.25">
      <c r="A4793" t="str">
        <f>"1120124J00241    00"</f>
        <v>1120124J00241    00</v>
      </c>
      <c r="B4793" t="s">
        <v>218</v>
      </c>
      <c r="C4793" t="s">
        <v>11468</v>
      </c>
      <c r="E4793" t="s">
        <v>21</v>
      </c>
      <c r="F4793">
        <v>0</v>
      </c>
      <c r="G4793">
        <v>0</v>
      </c>
      <c r="H4793">
        <v>4</v>
      </c>
      <c r="I4793" s="3">
        <v>2894.97</v>
      </c>
      <c r="J4793" s="3">
        <v>982.7</v>
      </c>
      <c r="K4793" t="s">
        <v>220</v>
      </c>
      <c r="L4793">
        <v>412</v>
      </c>
      <c r="M4793" t="s">
        <v>221</v>
      </c>
      <c r="N4793" t="s">
        <v>30</v>
      </c>
      <c r="O4793" t="s">
        <v>31</v>
      </c>
      <c r="P4793" t="str">
        <f t="shared" si="58"/>
        <v>15219</v>
      </c>
    </row>
    <row r="4794" spans="1:16" x14ac:dyDescent="0.25">
      <c r="A4794" t="str">
        <f>"1120124J00269    00"</f>
        <v>1120124J00269    00</v>
      </c>
      <c r="B4794" t="s">
        <v>944</v>
      </c>
      <c r="C4794" t="s">
        <v>11469</v>
      </c>
      <c r="E4794" t="s">
        <v>207</v>
      </c>
      <c r="F4794">
        <v>0</v>
      </c>
      <c r="G4794">
        <v>0</v>
      </c>
      <c r="H4794">
        <v>1</v>
      </c>
      <c r="I4794" s="3">
        <v>326.7</v>
      </c>
      <c r="J4794" s="3">
        <v>288.57</v>
      </c>
      <c r="K4794" t="s">
        <v>2962</v>
      </c>
      <c r="L4794">
        <v>200</v>
      </c>
      <c r="M4794" t="s">
        <v>984</v>
      </c>
      <c r="N4794" t="s">
        <v>30</v>
      </c>
      <c r="O4794" t="s">
        <v>31</v>
      </c>
      <c r="P4794" t="str">
        <f t="shared" si="58"/>
        <v>15219</v>
      </c>
    </row>
    <row r="4795" spans="1:16" x14ac:dyDescent="0.25">
      <c r="A4795" t="str">
        <f>"1120124J00286    00"</f>
        <v>1120124J00286    00</v>
      </c>
      <c r="B4795" t="s">
        <v>944</v>
      </c>
      <c r="C4795" t="s">
        <v>11469</v>
      </c>
      <c r="E4795" t="s">
        <v>39</v>
      </c>
      <c r="F4795">
        <v>0</v>
      </c>
      <c r="G4795">
        <v>0</v>
      </c>
      <c r="H4795">
        <v>2</v>
      </c>
      <c r="I4795" s="3">
        <v>54.63</v>
      </c>
      <c r="J4795" s="3">
        <v>24.35</v>
      </c>
      <c r="K4795" t="s">
        <v>2962</v>
      </c>
      <c r="L4795">
        <v>200</v>
      </c>
      <c r="M4795" t="s">
        <v>11470</v>
      </c>
      <c r="N4795" t="s">
        <v>30</v>
      </c>
      <c r="O4795" t="s">
        <v>31</v>
      </c>
      <c r="P4795" t="str">
        <f t="shared" si="58"/>
        <v>15219</v>
      </c>
    </row>
    <row r="4796" spans="1:16" x14ac:dyDescent="0.25">
      <c r="A4796" t="str">
        <f>"1120124J00288    00"</f>
        <v>1120124J00288    00</v>
      </c>
      <c r="B4796" t="s">
        <v>944</v>
      </c>
      <c r="C4796" t="s">
        <v>11469</v>
      </c>
      <c r="E4796" t="s">
        <v>21</v>
      </c>
      <c r="F4796">
        <v>0</v>
      </c>
      <c r="G4796">
        <v>0</v>
      </c>
      <c r="H4796">
        <v>2</v>
      </c>
      <c r="I4796" s="3">
        <v>549.80999999999995</v>
      </c>
      <c r="J4796" s="3">
        <v>245.04</v>
      </c>
      <c r="K4796" t="s">
        <v>2962</v>
      </c>
      <c r="L4796">
        <v>200</v>
      </c>
      <c r="M4796" t="s">
        <v>984</v>
      </c>
      <c r="N4796" t="s">
        <v>30</v>
      </c>
      <c r="O4796" t="s">
        <v>31</v>
      </c>
      <c r="P4796" t="str">
        <f t="shared" si="58"/>
        <v>15219</v>
      </c>
    </row>
    <row r="4797" spans="1:16" x14ac:dyDescent="0.25">
      <c r="A4797" t="str">
        <f>"1120124J00290    00"</f>
        <v>1120124J00290    00</v>
      </c>
      <c r="B4797" t="s">
        <v>944</v>
      </c>
      <c r="C4797" t="s">
        <v>11469</v>
      </c>
      <c r="E4797" t="s">
        <v>39</v>
      </c>
      <c r="F4797">
        <v>0</v>
      </c>
      <c r="G4797">
        <v>0</v>
      </c>
      <c r="H4797">
        <v>1</v>
      </c>
      <c r="I4797" s="3">
        <v>74.88</v>
      </c>
      <c r="J4797" s="3">
        <v>29.95</v>
      </c>
      <c r="K4797" t="s">
        <v>2962</v>
      </c>
      <c r="L4797">
        <v>200</v>
      </c>
      <c r="M4797" t="s">
        <v>984</v>
      </c>
      <c r="N4797" t="s">
        <v>30</v>
      </c>
      <c r="O4797" t="s">
        <v>31</v>
      </c>
      <c r="P4797" t="str">
        <f t="shared" si="58"/>
        <v>15219</v>
      </c>
    </row>
    <row r="4798" spans="1:16" x14ac:dyDescent="0.25">
      <c r="A4798" t="str">
        <f>"1120124K00018    00"</f>
        <v>1120124K00018    00</v>
      </c>
      <c r="B4798" t="s">
        <v>218</v>
      </c>
      <c r="C4798" t="s">
        <v>11471</v>
      </c>
      <c r="E4798" t="s">
        <v>39</v>
      </c>
      <c r="F4798">
        <v>0</v>
      </c>
      <c r="G4798">
        <v>0</v>
      </c>
      <c r="H4798">
        <v>3</v>
      </c>
      <c r="I4798" s="3">
        <v>1773.58</v>
      </c>
      <c r="J4798" s="3">
        <v>1751.4</v>
      </c>
      <c r="K4798" t="s">
        <v>220</v>
      </c>
      <c r="L4798">
        <v>412</v>
      </c>
      <c r="M4798" t="s">
        <v>221</v>
      </c>
      <c r="N4798" t="s">
        <v>30</v>
      </c>
      <c r="O4798" t="s">
        <v>31</v>
      </c>
      <c r="P4798" t="str">
        <f t="shared" si="58"/>
        <v>15219</v>
      </c>
    </row>
    <row r="4799" spans="1:16" x14ac:dyDescent="0.25">
      <c r="A4799" t="str">
        <f>"1120124K00027    00"</f>
        <v>1120124K00027    00</v>
      </c>
      <c r="B4799" t="s">
        <v>11472</v>
      </c>
      <c r="C4799" t="s">
        <v>11473</v>
      </c>
      <c r="D4799" t="s">
        <v>20</v>
      </c>
      <c r="E4799" t="s">
        <v>39</v>
      </c>
      <c r="F4799">
        <v>0</v>
      </c>
      <c r="G4799">
        <v>0</v>
      </c>
      <c r="H4799">
        <v>3</v>
      </c>
      <c r="I4799" s="3">
        <v>423.09</v>
      </c>
      <c r="J4799" s="3">
        <v>49.86</v>
      </c>
      <c r="L4799">
        <v>713</v>
      </c>
      <c r="M4799" t="s">
        <v>11126</v>
      </c>
      <c r="N4799" t="s">
        <v>30</v>
      </c>
      <c r="O4799" t="s">
        <v>31</v>
      </c>
      <c r="P4799" t="str">
        <f>"15206"</f>
        <v>15206</v>
      </c>
    </row>
    <row r="4800" spans="1:16" x14ac:dyDescent="0.25">
      <c r="A4800" t="str">
        <f>"1120124K00059    00"</f>
        <v>1120124K00059    00</v>
      </c>
      <c r="B4800" t="s">
        <v>218</v>
      </c>
      <c r="C4800" t="s">
        <v>11474</v>
      </c>
      <c r="E4800" t="s">
        <v>39</v>
      </c>
      <c r="F4800">
        <v>0</v>
      </c>
      <c r="G4800">
        <v>0</v>
      </c>
      <c r="H4800">
        <v>1</v>
      </c>
      <c r="I4800" s="3">
        <v>65.34</v>
      </c>
      <c r="J4800" s="3">
        <v>39.200000000000003</v>
      </c>
      <c r="K4800" t="s">
        <v>220</v>
      </c>
      <c r="L4800">
        <v>200</v>
      </c>
      <c r="M4800" t="s">
        <v>10815</v>
      </c>
      <c r="N4800" t="s">
        <v>30</v>
      </c>
      <c r="O4800" t="s">
        <v>31</v>
      </c>
      <c r="P4800" t="str">
        <f>"15219"</f>
        <v>15219</v>
      </c>
    </row>
    <row r="4801" spans="1:16" x14ac:dyDescent="0.25">
      <c r="A4801" t="str">
        <f>"1120124K00069    00"</f>
        <v>1120124K00069    00</v>
      </c>
      <c r="B4801" t="s">
        <v>218</v>
      </c>
      <c r="C4801" t="s">
        <v>11064</v>
      </c>
      <c r="E4801" t="s">
        <v>207</v>
      </c>
      <c r="F4801">
        <v>0</v>
      </c>
      <c r="G4801">
        <v>0</v>
      </c>
      <c r="H4801">
        <v>1</v>
      </c>
      <c r="I4801" s="3">
        <v>60.99</v>
      </c>
      <c r="J4801" s="3">
        <v>0</v>
      </c>
      <c r="K4801" t="s">
        <v>220</v>
      </c>
      <c r="L4801">
        <v>412</v>
      </c>
      <c r="M4801" t="s">
        <v>221</v>
      </c>
      <c r="N4801" t="s">
        <v>30</v>
      </c>
      <c r="O4801" t="s">
        <v>31</v>
      </c>
      <c r="P4801" t="str">
        <f>"15219"</f>
        <v>15219</v>
      </c>
    </row>
    <row r="4802" spans="1:16" x14ac:dyDescent="0.25">
      <c r="A4802" t="str">
        <f>"1120124K00075    00"</f>
        <v>1120124K00075    00</v>
      </c>
      <c r="B4802" t="s">
        <v>218</v>
      </c>
      <c r="C4802" t="s">
        <v>11064</v>
      </c>
      <c r="E4802" t="s">
        <v>21</v>
      </c>
      <c r="F4802">
        <v>0</v>
      </c>
      <c r="G4802">
        <v>0</v>
      </c>
      <c r="H4802">
        <v>1</v>
      </c>
      <c r="I4802" s="3">
        <v>72.430000000000007</v>
      </c>
      <c r="J4802" s="3">
        <v>0</v>
      </c>
      <c r="K4802" t="s">
        <v>220</v>
      </c>
      <c r="L4802">
        <v>412</v>
      </c>
      <c r="M4802" t="s">
        <v>221</v>
      </c>
      <c r="N4802" t="s">
        <v>30</v>
      </c>
      <c r="O4802" t="s">
        <v>31</v>
      </c>
      <c r="P4802" t="str">
        <f>"15219"</f>
        <v>15219</v>
      </c>
    </row>
    <row r="4803" spans="1:16" x14ac:dyDescent="0.25">
      <c r="A4803" t="str">
        <f>"1120124K00082    00"</f>
        <v>1120124K00082    00</v>
      </c>
      <c r="B4803" t="s">
        <v>11475</v>
      </c>
      <c r="C4803" t="s">
        <v>11064</v>
      </c>
      <c r="D4803" t="s">
        <v>20</v>
      </c>
      <c r="E4803" t="s">
        <v>39</v>
      </c>
      <c r="F4803">
        <v>0</v>
      </c>
      <c r="G4803">
        <v>0</v>
      </c>
      <c r="H4803">
        <v>1</v>
      </c>
      <c r="I4803" s="3">
        <v>47.66</v>
      </c>
      <c r="J4803" s="3">
        <v>0</v>
      </c>
      <c r="L4803">
        <v>1116</v>
      </c>
      <c r="M4803" t="s">
        <v>7241</v>
      </c>
      <c r="N4803" t="s">
        <v>30</v>
      </c>
      <c r="O4803" t="s">
        <v>31</v>
      </c>
      <c r="P4803" t="str">
        <f t="shared" ref="P4803:P4811" si="59">"15206"</f>
        <v>15206</v>
      </c>
    </row>
    <row r="4804" spans="1:16" x14ac:dyDescent="0.25">
      <c r="A4804" t="str">
        <f>"1120124K00084    00"</f>
        <v>1120124K00084    00</v>
      </c>
      <c r="B4804" t="s">
        <v>11475</v>
      </c>
      <c r="C4804" t="s">
        <v>11064</v>
      </c>
      <c r="D4804" t="s">
        <v>20</v>
      </c>
      <c r="E4804" t="s">
        <v>39</v>
      </c>
      <c r="F4804">
        <v>0</v>
      </c>
      <c r="G4804">
        <v>0</v>
      </c>
      <c r="H4804">
        <v>1</v>
      </c>
      <c r="I4804" s="3">
        <v>24.79</v>
      </c>
      <c r="J4804" s="3">
        <v>0</v>
      </c>
      <c r="L4804">
        <v>1116</v>
      </c>
      <c r="M4804" t="s">
        <v>7241</v>
      </c>
      <c r="N4804" t="s">
        <v>30</v>
      </c>
      <c r="O4804" t="s">
        <v>31</v>
      </c>
      <c r="P4804" t="str">
        <f t="shared" si="59"/>
        <v>15206</v>
      </c>
    </row>
    <row r="4805" spans="1:16" x14ac:dyDescent="0.25">
      <c r="A4805" t="str">
        <f>"1120124K00086    00"</f>
        <v>1120124K00086    00</v>
      </c>
      <c r="B4805" t="s">
        <v>11475</v>
      </c>
      <c r="C4805" t="s">
        <v>11064</v>
      </c>
      <c r="D4805" t="s">
        <v>20</v>
      </c>
      <c r="E4805" t="s">
        <v>39</v>
      </c>
      <c r="F4805">
        <v>0</v>
      </c>
      <c r="G4805">
        <v>0</v>
      </c>
      <c r="H4805">
        <v>1</v>
      </c>
      <c r="I4805" s="3">
        <v>24.79</v>
      </c>
      <c r="J4805" s="3">
        <v>0</v>
      </c>
      <c r="L4805">
        <v>1116</v>
      </c>
      <c r="M4805" t="s">
        <v>7241</v>
      </c>
      <c r="N4805" t="s">
        <v>30</v>
      </c>
      <c r="O4805" t="s">
        <v>31</v>
      </c>
      <c r="P4805" t="str">
        <f t="shared" si="59"/>
        <v>15206</v>
      </c>
    </row>
    <row r="4806" spans="1:16" x14ac:dyDescent="0.25">
      <c r="A4806" t="str">
        <f>"1120124K00087    00"</f>
        <v>1120124K00087    00</v>
      </c>
      <c r="B4806" t="s">
        <v>11475</v>
      </c>
      <c r="C4806" t="s">
        <v>11064</v>
      </c>
      <c r="D4806" t="s">
        <v>20</v>
      </c>
      <c r="E4806" t="s">
        <v>39</v>
      </c>
      <c r="F4806">
        <v>0</v>
      </c>
      <c r="G4806">
        <v>0</v>
      </c>
      <c r="H4806">
        <v>1</v>
      </c>
      <c r="I4806" s="3">
        <v>24.79</v>
      </c>
      <c r="J4806" s="3">
        <v>0</v>
      </c>
      <c r="L4806">
        <v>1116</v>
      </c>
      <c r="M4806" t="s">
        <v>7241</v>
      </c>
      <c r="N4806" t="s">
        <v>30</v>
      </c>
      <c r="O4806" t="s">
        <v>31</v>
      </c>
      <c r="P4806" t="str">
        <f t="shared" si="59"/>
        <v>15206</v>
      </c>
    </row>
    <row r="4807" spans="1:16" x14ac:dyDescent="0.25">
      <c r="A4807" t="str">
        <f>"1120124K00091    00"</f>
        <v>1120124K00091    00</v>
      </c>
      <c r="B4807" t="s">
        <v>11476</v>
      </c>
      <c r="C4807" t="s">
        <v>11477</v>
      </c>
      <c r="D4807" t="s">
        <v>20</v>
      </c>
      <c r="E4807" t="s">
        <v>21</v>
      </c>
      <c r="F4807">
        <v>0</v>
      </c>
      <c r="G4807">
        <v>0</v>
      </c>
      <c r="H4807">
        <v>1</v>
      </c>
      <c r="I4807" s="3">
        <v>1160.77</v>
      </c>
      <c r="J4807" s="3">
        <v>0</v>
      </c>
      <c r="L4807">
        <v>1116</v>
      </c>
      <c r="M4807" t="s">
        <v>7241</v>
      </c>
      <c r="N4807" t="s">
        <v>30</v>
      </c>
      <c r="O4807" t="s">
        <v>31</v>
      </c>
      <c r="P4807" t="str">
        <f t="shared" si="59"/>
        <v>15206</v>
      </c>
    </row>
    <row r="4808" spans="1:16" x14ac:dyDescent="0.25">
      <c r="A4808" t="str">
        <f>"1120124K00093    00"</f>
        <v>1120124K00093    00</v>
      </c>
      <c r="B4808" t="s">
        <v>11475</v>
      </c>
      <c r="C4808" t="s">
        <v>11477</v>
      </c>
      <c r="D4808" t="s">
        <v>20</v>
      </c>
      <c r="E4808" t="s">
        <v>21</v>
      </c>
      <c r="F4808">
        <v>0</v>
      </c>
      <c r="G4808">
        <v>0</v>
      </c>
      <c r="H4808">
        <v>1</v>
      </c>
      <c r="I4808" s="3">
        <v>255.41</v>
      </c>
      <c r="J4808" s="3">
        <v>0</v>
      </c>
      <c r="L4808">
        <v>1116</v>
      </c>
      <c r="M4808" t="s">
        <v>7241</v>
      </c>
      <c r="N4808" t="s">
        <v>30</v>
      </c>
      <c r="O4808" t="s">
        <v>31</v>
      </c>
      <c r="P4808" t="str">
        <f t="shared" si="59"/>
        <v>15206</v>
      </c>
    </row>
    <row r="4809" spans="1:16" x14ac:dyDescent="0.25">
      <c r="A4809" t="str">
        <f>"1120124K00113    00"</f>
        <v>1120124K00113    00</v>
      </c>
      <c r="B4809" t="s">
        <v>11478</v>
      </c>
      <c r="C4809" t="s">
        <v>11479</v>
      </c>
      <c r="E4809" t="s">
        <v>39</v>
      </c>
      <c r="F4809">
        <v>0</v>
      </c>
      <c r="G4809">
        <v>0</v>
      </c>
      <c r="H4809">
        <v>2</v>
      </c>
      <c r="I4809" s="3">
        <v>290.79000000000002</v>
      </c>
      <c r="J4809" s="3">
        <v>173.84</v>
      </c>
      <c r="L4809">
        <v>624</v>
      </c>
      <c r="M4809" t="s">
        <v>11380</v>
      </c>
      <c r="N4809" t="s">
        <v>30</v>
      </c>
      <c r="O4809" t="s">
        <v>31</v>
      </c>
      <c r="P4809" t="str">
        <f t="shared" si="59"/>
        <v>15206</v>
      </c>
    </row>
    <row r="4810" spans="1:16" x14ac:dyDescent="0.25">
      <c r="A4810" t="str">
        <f>"1120124K00120    00"</f>
        <v>1120124K00120    00</v>
      </c>
      <c r="B4810" t="s">
        <v>11480</v>
      </c>
      <c r="C4810" t="s">
        <v>11481</v>
      </c>
      <c r="E4810" t="s">
        <v>39</v>
      </c>
      <c r="F4810">
        <v>0</v>
      </c>
      <c r="G4810">
        <v>0</v>
      </c>
      <c r="H4810">
        <v>3</v>
      </c>
      <c r="I4810" s="3">
        <v>379.77</v>
      </c>
      <c r="J4810" s="3">
        <v>205.02</v>
      </c>
      <c r="L4810">
        <v>617</v>
      </c>
      <c r="M4810" t="s">
        <v>11380</v>
      </c>
      <c r="N4810" t="s">
        <v>30</v>
      </c>
      <c r="O4810" t="s">
        <v>31</v>
      </c>
      <c r="P4810" t="str">
        <f t="shared" si="59"/>
        <v>15206</v>
      </c>
    </row>
    <row r="4811" spans="1:16" x14ac:dyDescent="0.25">
      <c r="A4811" t="str">
        <f>"1120124K00138    00"</f>
        <v>1120124K00138    00</v>
      </c>
      <c r="B4811" t="s">
        <v>11482</v>
      </c>
      <c r="C4811" t="s">
        <v>11483</v>
      </c>
      <c r="D4811" t="s">
        <v>20</v>
      </c>
      <c r="E4811" t="s">
        <v>39</v>
      </c>
      <c r="F4811">
        <v>0</v>
      </c>
      <c r="G4811">
        <v>0</v>
      </c>
      <c r="H4811">
        <v>4</v>
      </c>
      <c r="I4811" s="3">
        <v>17.39</v>
      </c>
      <c r="J4811" s="3">
        <v>2.14</v>
      </c>
      <c r="L4811">
        <v>603</v>
      </c>
      <c r="M4811" t="s">
        <v>11380</v>
      </c>
      <c r="N4811" t="s">
        <v>30</v>
      </c>
      <c r="O4811" t="s">
        <v>31</v>
      </c>
      <c r="P4811" t="str">
        <f t="shared" si="59"/>
        <v>15206</v>
      </c>
    </row>
    <row r="4812" spans="1:16" x14ac:dyDescent="0.25">
      <c r="A4812" t="str">
        <f>"1120124K00143    00"</f>
        <v>1120124K00143    00</v>
      </c>
      <c r="B4812" t="s">
        <v>11484</v>
      </c>
      <c r="C4812" t="s">
        <v>11485</v>
      </c>
      <c r="D4812" t="s">
        <v>20</v>
      </c>
      <c r="E4812" t="s">
        <v>39</v>
      </c>
      <c r="F4812">
        <v>0</v>
      </c>
      <c r="G4812">
        <v>0</v>
      </c>
      <c r="H4812">
        <v>8</v>
      </c>
      <c r="I4812" s="3">
        <v>4683.8</v>
      </c>
      <c r="J4812" s="3">
        <v>1452.6</v>
      </c>
      <c r="K4812" t="s">
        <v>11486</v>
      </c>
      <c r="L4812">
        <v>2012</v>
      </c>
      <c r="M4812" t="s">
        <v>3593</v>
      </c>
      <c r="N4812" t="s">
        <v>3594</v>
      </c>
      <c r="O4812" t="s">
        <v>31</v>
      </c>
      <c r="P4812" t="str">
        <f>"18411"</f>
        <v>18411</v>
      </c>
    </row>
    <row r="4813" spans="1:16" x14ac:dyDescent="0.25">
      <c r="A4813" t="str">
        <f>"1120124K00164    00"</f>
        <v>1120124K00164    00</v>
      </c>
      <c r="B4813" t="s">
        <v>11487</v>
      </c>
      <c r="C4813" t="s">
        <v>11488</v>
      </c>
      <c r="D4813" t="s">
        <v>20</v>
      </c>
      <c r="E4813" t="s">
        <v>39</v>
      </c>
      <c r="F4813">
        <v>0</v>
      </c>
      <c r="G4813">
        <v>0</v>
      </c>
      <c r="H4813">
        <v>2</v>
      </c>
      <c r="I4813" s="3">
        <v>247.74</v>
      </c>
      <c r="J4813" s="3">
        <v>0</v>
      </c>
      <c r="L4813">
        <v>120</v>
      </c>
      <c r="M4813" t="s">
        <v>11459</v>
      </c>
      <c r="N4813" t="s">
        <v>30</v>
      </c>
      <c r="O4813" t="s">
        <v>31</v>
      </c>
      <c r="P4813" t="str">
        <f>"15206"</f>
        <v>15206</v>
      </c>
    </row>
    <row r="4814" spans="1:16" x14ac:dyDescent="0.25">
      <c r="A4814" t="str">
        <f>"1120124K00168    00"</f>
        <v>1120124K00168    00</v>
      </c>
      <c r="B4814" t="s">
        <v>11489</v>
      </c>
      <c r="C4814" t="s">
        <v>11490</v>
      </c>
      <c r="D4814" t="s">
        <v>20</v>
      </c>
      <c r="E4814" t="s">
        <v>39</v>
      </c>
      <c r="F4814">
        <v>0</v>
      </c>
      <c r="G4814">
        <v>0</v>
      </c>
      <c r="H4814">
        <v>19</v>
      </c>
      <c r="I4814" s="3">
        <v>7820.85</v>
      </c>
      <c r="J4814" s="3">
        <v>10405.18</v>
      </c>
      <c r="L4814">
        <v>128</v>
      </c>
      <c r="M4814" t="s">
        <v>11459</v>
      </c>
      <c r="N4814" t="s">
        <v>30</v>
      </c>
      <c r="O4814" t="s">
        <v>31</v>
      </c>
      <c r="P4814" t="str">
        <f>"15206"</f>
        <v>15206</v>
      </c>
    </row>
    <row r="4815" spans="1:16" x14ac:dyDescent="0.25">
      <c r="A4815" t="str">
        <f>"1120124K00170    00"</f>
        <v>1120124K00170    00</v>
      </c>
      <c r="B4815" t="s">
        <v>11491</v>
      </c>
      <c r="C4815" t="s">
        <v>11492</v>
      </c>
      <c r="D4815" t="s">
        <v>20</v>
      </c>
      <c r="E4815" t="s">
        <v>39</v>
      </c>
      <c r="F4815">
        <v>0</v>
      </c>
      <c r="G4815">
        <v>0</v>
      </c>
      <c r="H4815">
        <v>2</v>
      </c>
      <c r="I4815" s="3">
        <v>1014.04</v>
      </c>
      <c r="J4815" s="3">
        <v>0</v>
      </c>
      <c r="L4815">
        <v>340</v>
      </c>
      <c r="M4815" t="s">
        <v>11493</v>
      </c>
      <c r="N4815" t="s">
        <v>1046</v>
      </c>
      <c r="O4815" t="s">
        <v>31</v>
      </c>
      <c r="P4815" t="str">
        <f>"15147"</f>
        <v>15147</v>
      </c>
    </row>
    <row r="4816" spans="1:16" x14ac:dyDescent="0.25">
      <c r="A4816" t="str">
        <f>"1120124K00180    00"</f>
        <v>1120124K00180    00</v>
      </c>
      <c r="B4816" t="s">
        <v>11494</v>
      </c>
      <c r="C4816" t="s">
        <v>11495</v>
      </c>
      <c r="D4816" t="s">
        <v>20</v>
      </c>
      <c r="E4816" t="s">
        <v>39</v>
      </c>
      <c r="F4816">
        <v>0</v>
      </c>
      <c r="G4816">
        <v>0</v>
      </c>
      <c r="H4816">
        <v>8</v>
      </c>
      <c r="I4816" s="3">
        <v>1636.23</v>
      </c>
      <c r="J4816" s="3">
        <v>1224.02</v>
      </c>
      <c r="L4816">
        <v>182</v>
      </c>
      <c r="M4816" t="s">
        <v>11459</v>
      </c>
      <c r="N4816" t="s">
        <v>30</v>
      </c>
      <c r="O4816" t="s">
        <v>31</v>
      </c>
      <c r="P4816" t="str">
        <f>"15206"</f>
        <v>15206</v>
      </c>
    </row>
    <row r="4817" spans="1:16" x14ac:dyDescent="0.25">
      <c r="A4817" t="str">
        <f>"1120124K00196    00"</f>
        <v>1120124K00196    00</v>
      </c>
      <c r="B4817" t="s">
        <v>11496</v>
      </c>
      <c r="C4817" t="s">
        <v>11497</v>
      </c>
      <c r="D4817" t="s">
        <v>20</v>
      </c>
      <c r="E4817" t="s">
        <v>39</v>
      </c>
      <c r="F4817">
        <v>0</v>
      </c>
      <c r="G4817">
        <v>0</v>
      </c>
      <c r="H4817">
        <v>2</v>
      </c>
      <c r="I4817" s="3">
        <v>896.42</v>
      </c>
      <c r="J4817" s="3">
        <v>0</v>
      </c>
      <c r="L4817">
        <v>622</v>
      </c>
      <c r="M4817" t="s">
        <v>11380</v>
      </c>
      <c r="N4817" t="s">
        <v>30</v>
      </c>
      <c r="O4817" t="s">
        <v>31</v>
      </c>
      <c r="P4817" t="str">
        <f>"15206"</f>
        <v>15206</v>
      </c>
    </row>
    <row r="4818" spans="1:16" x14ac:dyDescent="0.25">
      <c r="A4818" t="str">
        <f>"1120124K00197A   00"</f>
        <v>1120124K00197A   00</v>
      </c>
      <c r="B4818" t="s">
        <v>11498</v>
      </c>
      <c r="C4818" t="s">
        <v>11499</v>
      </c>
      <c r="E4818" t="s">
        <v>39</v>
      </c>
      <c r="F4818">
        <v>0</v>
      </c>
      <c r="G4818">
        <v>0</v>
      </c>
      <c r="H4818">
        <v>2</v>
      </c>
      <c r="I4818" s="3">
        <v>709.37</v>
      </c>
      <c r="J4818" s="3">
        <v>78.53</v>
      </c>
      <c r="K4818" t="s">
        <v>11500</v>
      </c>
      <c r="L4818">
        <v>15009</v>
      </c>
      <c r="M4818" t="s">
        <v>11501</v>
      </c>
      <c r="N4818" t="s">
        <v>11502</v>
      </c>
      <c r="O4818" t="s">
        <v>495</v>
      </c>
      <c r="P4818" t="str">
        <f>"91387"</f>
        <v>91387</v>
      </c>
    </row>
    <row r="4819" spans="1:16" x14ac:dyDescent="0.25">
      <c r="A4819" t="str">
        <f>"1120124K00204    00"</f>
        <v>1120124K00204    00</v>
      </c>
      <c r="B4819" t="s">
        <v>11503</v>
      </c>
      <c r="C4819" t="s">
        <v>11504</v>
      </c>
      <c r="D4819" t="s">
        <v>20</v>
      </c>
      <c r="E4819" t="s">
        <v>39</v>
      </c>
      <c r="F4819">
        <v>0</v>
      </c>
      <c r="G4819">
        <v>0</v>
      </c>
      <c r="H4819">
        <v>4</v>
      </c>
      <c r="I4819" s="3">
        <v>309.36</v>
      </c>
      <c r="J4819" s="3">
        <v>0</v>
      </c>
      <c r="K4819" t="s">
        <v>11505</v>
      </c>
      <c r="L4819">
        <v>3755</v>
      </c>
      <c r="M4819" t="s">
        <v>11506</v>
      </c>
      <c r="N4819" t="s">
        <v>11507</v>
      </c>
      <c r="O4819" t="s">
        <v>606</v>
      </c>
      <c r="P4819" t="str">
        <f>"30106"</f>
        <v>30106</v>
      </c>
    </row>
    <row r="4820" spans="1:16" x14ac:dyDescent="0.25">
      <c r="A4820" t="str">
        <f>"1120124K00230    00"</f>
        <v>1120124K00230    00</v>
      </c>
      <c r="B4820" t="s">
        <v>11508</v>
      </c>
      <c r="C4820" t="s">
        <v>11509</v>
      </c>
      <c r="D4820" t="s">
        <v>20</v>
      </c>
      <c r="E4820" t="s">
        <v>39</v>
      </c>
      <c r="F4820">
        <v>0</v>
      </c>
      <c r="G4820">
        <v>0</v>
      </c>
      <c r="H4820">
        <v>8</v>
      </c>
      <c r="I4820" s="3">
        <v>2666.7</v>
      </c>
      <c r="J4820" s="3">
        <v>869.71</v>
      </c>
      <c r="L4820">
        <v>611</v>
      </c>
      <c r="M4820" t="s">
        <v>11059</v>
      </c>
      <c r="N4820" t="s">
        <v>30</v>
      </c>
      <c r="O4820" t="s">
        <v>31</v>
      </c>
      <c r="P4820" t="str">
        <f>"15206"</f>
        <v>15206</v>
      </c>
    </row>
    <row r="4821" spans="1:16" x14ac:dyDescent="0.25">
      <c r="A4821" t="str">
        <f>"1120124K00248    00"</f>
        <v>1120124K00248    00</v>
      </c>
      <c r="B4821" t="s">
        <v>11510</v>
      </c>
      <c r="C4821" t="s">
        <v>11193</v>
      </c>
      <c r="D4821" t="s">
        <v>20</v>
      </c>
      <c r="E4821" t="s">
        <v>39</v>
      </c>
      <c r="F4821">
        <v>0</v>
      </c>
      <c r="G4821">
        <v>0</v>
      </c>
      <c r="H4821">
        <v>5</v>
      </c>
      <c r="I4821" s="3">
        <v>167.03</v>
      </c>
      <c r="J4821" s="3">
        <v>39.049999999999997</v>
      </c>
      <c r="L4821">
        <v>647</v>
      </c>
      <c r="M4821" t="s">
        <v>11059</v>
      </c>
      <c r="N4821" t="s">
        <v>30</v>
      </c>
      <c r="O4821" t="s">
        <v>31</v>
      </c>
      <c r="P4821" t="str">
        <f>"15206"</f>
        <v>15206</v>
      </c>
    </row>
    <row r="4822" spans="1:16" x14ac:dyDescent="0.25">
      <c r="A4822" t="str">
        <f>"1120124K00249    00"</f>
        <v>1120124K00249    00</v>
      </c>
      <c r="B4822" t="s">
        <v>11510</v>
      </c>
      <c r="C4822" t="s">
        <v>11511</v>
      </c>
      <c r="D4822" t="s">
        <v>20</v>
      </c>
      <c r="E4822" t="s">
        <v>39</v>
      </c>
      <c r="F4822">
        <v>0</v>
      </c>
      <c r="G4822">
        <v>0</v>
      </c>
      <c r="H4822">
        <v>3</v>
      </c>
      <c r="I4822" s="3">
        <v>1116.04</v>
      </c>
      <c r="J4822" s="3">
        <v>248.02</v>
      </c>
      <c r="L4822">
        <v>647</v>
      </c>
      <c r="M4822" t="s">
        <v>11059</v>
      </c>
      <c r="N4822" t="s">
        <v>30</v>
      </c>
      <c r="O4822" t="s">
        <v>31</v>
      </c>
      <c r="P4822" t="str">
        <f>"15206"</f>
        <v>15206</v>
      </c>
    </row>
    <row r="4823" spans="1:16" x14ac:dyDescent="0.25">
      <c r="A4823" t="str">
        <f>"1120124K00255    00"</f>
        <v>1120124K00255    00</v>
      </c>
      <c r="B4823" t="s">
        <v>11512</v>
      </c>
      <c r="C4823" t="s">
        <v>11513</v>
      </c>
      <c r="E4823" t="s">
        <v>39</v>
      </c>
      <c r="F4823">
        <v>0</v>
      </c>
      <c r="G4823">
        <v>0</v>
      </c>
      <c r="H4823">
        <v>2</v>
      </c>
      <c r="I4823" s="3">
        <v>579.09</v>
      </c>
      <c r="J4823" s="3">
        <v>102.43</v>
      </c>
      <c r="L4823">
        <v>612</v>
      </c>
      <c r="M4823" t="s">
        <v>11514</v>
      </c>
      <c r="N4823" t="s">
        <v>295</v>
      </c>
      <c r="O4823" t="s">
        <v>31</v>
      </c>
      <c r="P4823" t="str">
        <f>"15146"</f>
        <v>15146</v>
      </c>
    </row>
    <row r="4824" spans="1:16" x14ac:dyDescent="0.25">
      <c r="A4824" t="str">
        <f>"1120124K00263    00"</f>
        <v>1120124K00263    00</v>
      </c>
      <c r="B4824" t="s">
        <v>11515</v>
      </c>
      <c r="C4824" t="s">
        <v>11516</v>
      </c>
      <c r="D4824" t="s">
        <v>20</v>
      </c>
      <c r="E4824" t="s">
        <v>39</v>
      </c>
      <c r="F4824">
        <v>0</v>
      </c>
      <c r="G4824">
        <v>0</v>
      </c>
      <c r="H4824">
        <v>18</v>
      </c>
      <c r="I4824" s="3">
        <v>8533.0499999999993</v>
      </c>
      <c r="J4824" s="3">
        <v>6298.02</v>
      </c>
      <c r="L4824">
        <v>648</v>
      </c>
      <c r="M4824" t="s">
        <v>11059</v>
      </c>
      <c r="N4824" t="s">
        <v>30</v>
      </c>
      <c r="O4824" t="s">
        <v>31</v>
      </c>
      <c r="P4824" t="str">
        <f>"15206"</f>
        <v>15206</v>
      </c>
    </row>
    <row r="4825" spans="1:16" x14ac:dyDescent="0.25">
      <c r="A4825" t="str">
        <f>"1120124K00265    00"</f>
        <v>1120124K00265    00</v>
      </c>
      <c r="B4825" t="s">
        <v>11517</v>
      </c>
      <c r="C4825" t="s">
        <v>11518</v>
      </c>
      <c r="D4825" t="s">
        <v>20</v>
      </c>
      <c r="E4825" t="s">
        <v>39</v>
      </c>
      <c r="F4825">
        <v>0</v>
      </c>
      <c r="G4825">
        <v>0</v>
      </c>
      <c r="H4825">
        <v>8</v>
      </c>
      <c r="I4825" s="3">
        <v>3121.78</v>
      </c>
      <c r="J4825" s="3">
        <v>1021.49</v>
      </c>
      <c r="L4825">
        <v>815</v>
      </c>
      <c r="M4825" t="s">
        <v>11519</v>
      </c>
      <c r="N4825" t="s">
        <v>11520</v>
      </c>
      <c r="O4825" t="s">
        <v>31</v>
      </c>
      <c r="P4825" t="str">
        <f>"19320"</f>
        <v>19320</v>
      </c>
    </row>
    <row r="4826" spans="1:16" x14ac:dyDescent="0.25">
      <c r="A4826" t="str">
        <f>"1120124K00266    00"</f>
        <v>1120124K00266    00</v>
      </c>
      <c r="B4826" t="s">
        <v>11521</v>
      </c>
      <c r="C4826" t="s">
        <v>11522</v>
      </c>
      <c r="D4826" t="s">
        <v>20</v>
      </c>
      <c r="E4826" t="s">
        <v>39</v>
      </c>
      <c r="F4826">
        <v>0</v>
      </c>
      <c r="G4826">
        <v>0</v>
      </c>
      <c r="H4826">
        <v>6</v>
      </c>
      <c r="I4826" s="3">
        <v>1439.13</v>
      </c>
      <c r="J4826" s="3">
        <v>406.73</v>
      </c>
      <c r="L4826">
        <v>644</v>
      </c>
      <c r="M4826" t="s">
        <v>11059</v>
      </c>
      <c r="N4826" t="s">
        <v>30</v>
      </c>
      <c r="O4826" t="s">
        <v>31</v>
      </c>
      <c r="P4826" t="str">
        <f t="shared" ref="P4826:P4832" si="60">"15206"</f>
        <v>15206</v>
      </c>
    </row>
    <row r="4827" spans="1:16" x14ac:dyDescent="0.25">
      <c r="A4827" t="str">
        <f>"1120124K00277    00"</f>
        <v>1120124K00277    00</v>
      </c>
      <c r="B4827" t="s">
        <v>11523</v>
      </c>
      <c r="C4827" t="s">
        <v>11193</v>
      </c>
      <c r="D4827" t="s">
        <v>20</v>
      </c>
      <c r="E4827" t="s">
        <v>39</v>
      </c>
      <c r="F4827">
        <v>0</v>
      </c>
      <c r="G4827">
        <v>0</v>
      </c>
      <c r="H4827">
        <v>1</v>
      </c>
      <c r="I4827" s="3">
        <v>14.35</v>
      </c>
      <c r="J4827" s="3">
        <v>0</v>
      </c>
      <c r="K4827" t="s">
        <v>11524</v>
      </c>
      <c r="L4827">
        <v>622</v>
      </c>
      <c r="M4827" t="s">
        <v>11525</v>
      </c>
      <c r="N4827" t="s">
        <v>30</v>
      </c>
      <c r="O4827" t="s">
        <v>31</v>
      </c>
      <c r="P4827" t="str">
        <f t="shared" si="60"/>
        <v>15206</v>
      </c>
    </row>
    <row r="4828" spans="1:16" x14ac:dyDescent="0.25">
      <c r="A4828" t="str">
        <f>"1120124K00279    00"</f>
        <v>1120124K00279    00</v>
      </c>
      <c r="B4828" t="s">
        <v>11523</v>
      </c>
      <c r="C4828" t="s">
        <v>11193</v>
      </c>
      <c r="D4828" t="s">
        <v>20</v>
      </c>
      <c r="E4828" t="s">
        <v>39</v>
      </c>
      <c r="F4828">
        <v>0</v>
      </c>
      <c r="G4828">
        <v>0</v>
      </c>
      <c r="H4828">
        <v>1</v>
      </c>
      <c r="I4828" s="3">
        <v>14.35</v>
      </c>
      <c r="J4828" s="3">
        <v>0</v>
      </c>
      <c r="K4828" t="s">
        <v>11524</v>
      </c>
      <c r="L4828">
        <v>622</v>
      </c>
      <c r="M4828" t="s">
        <v>11059</v>
      </c>
      <c r="N4828" t="s">
        <v>30</v>
      </c>
      <c r="O4828" t="s">
        <v>31</v>
      </c>
      <c r="P4828" t="str">
        <f t="shared" si="60"/>
        <v>15206</v>
      </c>
    </row>
    <row r="4829" spans="1:16" x14ac:dyDescent="0.25">
      <c r="A4829" t="str">
        <f>"1120124K00323    00"</f>
        <v>1120124K00323    00</v>
      </c>
      <c r="B4829" t="s">
        <v>11526</v>
      </c>
      <c r="C4829" t="s">
        <v>11527</v>
      </c>
      <c r="D4829" t="s">
        <v>20</v>
      </c>
      <c r="E4829" t="s">
        <v>21</v>
      </c>
      <c r="F4829">
        <v>0</v>
      </c>
      <c r="G4829">
        <v>0</v>
      </c>
      <c r="H4829">
        <v>1</v>
      </c>
      <c r="I4829" s="3">
        <v>310.68</v>
      </c>
      <c r="J4829" s="3">
        <v>0</v>
      </c>
      <c r="L4829">
        <v>1116</v>
      </c>
      <c r="M4829" t="s">
        <v>7241</v>
      </c>
      <c r="N4829" t="s">
        <v>30</v>
      </c>
      <c r="O4829" t="s">
        <v>31</v>
      </c>
      <c r="P4829" t="str">
        <f t="shared" si="60"/>
        <v>15206</v>
      </c>
    </row>
    <row r="4830" spans="1:16" x14ac:dyDescent="0.25">
      <c r="A4830" t="str">
        <f>"1120124L00012    00"</f>
        <v>1120124L00012    00</v>
      </c>
      <c r="B4830" t="s">
        <v>11528</v>
      </c>
      <c r="C4830" t="s">
        <v>11529</v>
      </c>
      <c r="E4830" t="s">
        <v>39</v>
      </c>
      <c r="F4830">
        <v>0</v>
      </c>
      <c r="G4830">
        <v>0</v>
      </c>
      <c r="H4830">
        <v>10</v>
      </c>
      <c r="I4830" s="3">
        <v>8828.7099999999991</v>
      </c>
      <c r="J4830" s="3">
        <v>11336.22</v>
      </c>
      <c r="L4830">
        <v>6519</v>
      </c>
      <c r="M4830" t="s">
        <v>11238</v>
      </c>
      <c r="N4830" t="s">
        <v>30</v>
      </c>
      <c r="O4830" t="s">
        <v>31</v>
      </c>
      <c r="P4830" t="str">
        <f t="shared" si="60"/>
        <v>15206</v>
      </c>
    </row>
    <row r="4831" spans="1:16" x14ac:dyDescent="0.25">
      <c r="A4831" t="str">
        <f>"1120124L00031    00"</f>
        <v>1120124L00031    00</v>
      </c>
      <c r="B4831" t="s">
        <v>11530</v>
      </c>
      <c r="C4831" t="s">
        <v>11531</v>
      </c>
      <c r="D4831" t="s">
        <v>20</v>
      </c>
      <c r="E4831" t="s">
        <v>39</v>
      </c>
      <c r="F4831">
        <v>0</v>
      </c>
      <c r="G4831">
        <v>0</v>
      </c>
      <c r="H4831">
        <v>3</v>
      </c>
      <c r="I4831" s="3">
        <v>1057.53</v>
      </c>
      <c r="J4831" s="3">
        <v>160.15</v>
      </c>
      <c r="L4831">
        <v>6512</v>
      </c>
      <c r="M4831" t="s">
        <v>11238</v>
      </c>
      <c r="N4831" t="s">
        <v>30</v>
      </c>
      <c r="O4831" t="s">
        <v>31</v>
      </c>
      <c r="P4831" t="str">
        <f t="shared" si="60"/>
        <v>15206</v>
      </c>
    </row>
    <row r="4832" spans="1:16" x14ac:dyDescent="0.25">
      <c r="A4832" t="str">
        <f>"1120124L00032    00"</f>
        <v>1120124L00032    00</v>
      </c>
      <c r="B4832" t="s">
        <v>11532</v>
      </c>
      <c r="C4832" t="s">
        <v>11533</v>
      </c>
      <c r="D4832" t="s">
        <v>20</v>
      </c>
      <c r="E4832" t="s">
        <v>39</v>
      </c>
      <c r="F4832">
        <v>0</v>
      </c>
      <c r="G4832">
        <v>0</v>
      </c>
      <c r="H4832">
        <v>3</v>
      </c>
      <c r="I4832" s="3">
        <v>2015.22</v>
      </c>
      <c r="J4832" s="3">
        <v>107.23</v>
      </c>
      <c r="L4832">
        <v>6510</v>
      </c>
      <c r="M4832" t="s">
        <v>11238</v>
      </c>
      <c r="N4832" t="s">
        <v>30</v>
      </c>
      <c r="O4832" t="s">
        <v>31</v>
      </c>
      <c r="P4832" t="str">
        <f t="shared" si="60"/>
        <v>15206</v>
      </c>
    </row>
    <row r="4833" spans="1:16" x14ac:dyDescent="0.25">
      <c r="A4833" t="str">
        <f>"1120124L00038    00"</f>
        <v>1120124L00038    00</v>
      </c>
      <c r="B4833" t="s">
        <v>11534</v>
      </c>
      <c r="C4833" t="s">
        <v>11535</v>
      </c>
      <c r="D4833" t="s">
        <v>20</v>
      </c>
      <c r="E4833" t="s">
        <v>39</v>
      </c>
      <c r="F4833">
        <v>0</v>
      </c>
      <c r="G4833">
        <v>0</v>
      </c>
      <c r="H4833">
        <v>18</v>
      </c>
      <c r="I4833" s="3">
        <v>9127.07</v>
      </c>
      <c r="J4833" s="3">
        <v>6830.22</v>
      </c>
      <c r="L4833">
        <v>2400</v>
      </c>
      <c r="M4833" t="s">
        <v>11536</v>
      </c>
      <c r="N4833" t="s">
        <v>30</v>
      </c>
      <c r="O4833" t="s">
        <v>31</v>
      </c>
      <c r="P4833" t="str">
        <f>"15221"</f>
        <v>15221</v>
      </c>
    </row>
    <row r="4834" spans="1:16" x14ac:dyDescent="0.25">
      <c r="A4834" t="str">
        <f>"1120124L00082    00"</f>
        <v>1120124L00082    00</v>
      </c>
      <c r="B4834" t="s">
        <v>11537</v>
      </c>
      <c r="C4834" t="s">
        <v>11538</v>
      </c>
      <c r="E4834" t="s">
        <v>39</v>
      </c>
      <c r="F4834">
        <v>0</v>
      </c>
      <c r="G4834">
        <v>0</v>
      </c>
      <c r="H4834">
        <v>6</v>
      </c>
      <c r="I4834" s="3">
        <v>2469.13</v>
      </c>
      <c r="J4834" s="3">
        <v>3310.06</v>
      </c>
      <c r="L4834">
        <v>6517</v>
      </c>
      <c r="M4834" t="s">
        <v>3089</v>
      </c>
      <c r="N4834" t="s">
        <v>30</v>
      </c>
      <c r="O4834" t="s">
        <v>31</v>
      </c>
      <c r="P4834" t="str">
        <f>"15206"</f>
        <v>15206</v>
      </c>
    </row>
    <row r="4835" spans="1:16" x14ac:dyDescent="0.25">
      <c r="A4835" t="str">
        <f>"1120124L00085    00"</f>
        <v>1120124L00085    00</v>
      </c>
      <c r="B4835" t="s">
        <v>11539</v>
      </c>
      <c r="C4835" t="s">
        <v>11540</v>
      </c>
      <c r="D4835" t="s">
        <v>20</v>
      </c>
      <c r="E4835" t="s">
        <v>39</v>
      </c>
      <c r="F4835">
        <v>0</v>
      </c>
      <c r="G4835">
        <v>0</v>
      </c>
      <c r="H4835">
        <v>19</v>
      </c>
      <c r="I4835" s="3">
        <v>12286.68</v>
      </c>
      <c r="J4835" s="3">
        <v>9872.82</v>
      </c>
      <c r="L4835">
        <v>2040</v>
      </c>
      <c r="M4835" t="s">
        <v>11541</v>
      </c>
      <c r="N4835" t="s">
        <v>30</v>
      </c>
      <c r="O4835" t="s">
        <v>31</v>
      </c>
      <c r="P4835" t="str">
        <f>"15221"</f>
        <v>15221</v>
      </c>
    </row>
    <row r="4836" spans="1:16" x14ac:dyDescent="0.25">
      <c r="A4836" t="str">
        <f>"1120124L00088    00"</f>
        <v>1120124L00088    00</v>
      </c>
      <c r="B4836" t="s">
        <v>11542</v>
      </c>
      <c r="C4836" t="s">
        <v>11543</v>
      </c>
      <c r="D4836" t="s">
        <v>20</v>
      </c>
      <c r="E4836" t="s">
        <v>39</v>
      </c>
      <c r="F4836">
        <v>0</v>
      </c>
      <c r="G4836">
        <v>0</v>
      </c>
      <c r="H4836">
        <v>9</v>
      </c>
      <c r="I4836" s="3">
        <v>5281.62</v>
      </c>
      <c r="J4836" s="3">
        <v>1762.93</v>
      </c>
      <c r="K4836" t="s">
        <v>11544</v>
      </c>
      <c r="L4836">
        <v>6527</v>
      </c>
      <c r="M4836" t="s">
        <v>3089</v>
      </c>
      <c r="N4836" t="s">
        <v>30</v>
      </c>
      <c r="O4836" t="s">
        <v>31</v>
      </c>
      <c r="P4836" t="str">
        <f>"15206"</f>
        <v>15206</v>
      </c>
    </row>
    <row r="4837" spans="1:16" x14ac:dyDescent="0.25">
      <c r="A4837" t="str">
        <f>"1120124L00089    00"</f>
        <v>1120124L00089    00</v>
      </c>
      <c r="B4837" t="s">
        <v>11545</v>
      </c>
      <c r="C4837" t="s">
        <v>11546</v>
      </c>
      <c r="D4837" t="s">
        <v>20</v>
      </c>
      <c r="E4837" t="s">
        <v>39</v>
      </c>
      <c r="F4837">
        <v>0</v>
      </c>
      <c r="G4837">
        <v>0</v>
      </c>
      <c r="H4837">
        <v>7</v>
      </c>
      <c r="I4837" s="3">
        <v>4671.91</v>
      </c>
      <c r="J4837" s="3">
        <v>1291.92</v>
      </c>
      <c r="L4837">
        <v>523</v>
      </c>
      <c r="M4837" t="s">
        <v>11547</v>
      </c>
      <c r="N4837" t="s">
        <v>295</v>
      </c>
      <c r="O4837" t="s">
        <v>31</v>
      </c>
      <c r="P4837" t="str">
        <f>"15146"</f>
        <v>15146</v>
      </c>
    </row>
    <row r="4838" spans="1:16" x14ac:dyDescent="0.25">
      <c r="A4838" t="str">
        <f>"1120124L00095    00"</f>
        <v>1120124L00095    00</v>
      </c>
      <c r="B4838" t="s">
        <v>11548</v>
      </c>
      <c r="C4838" t="s">
        <v>11263</v>
      </c>
      <c r="E4838" t="s">
        <v>39</v>
      </c>
      <c r="F4838">
        <v>0</v>
      </c>
      <c r="G4838">
        <v>0</v>
      </c>
      <c r="H4838">
        <v>10</v>
      </c>
      <c r="I4838" s="3">
        <v>261.82</v>
      </c>
      <c r="J4838" s="3">
        <v>335.3</v>
      </c>
      <c r="L4838">
        <v>6545</v>
      </c>
      <c r="M4838" t="s">
        <v>3089</v>
      </c>
      <c r="N4838" t="s">
        <v>30</v>
      </c>
      <c r="O4838" t="s">
        <v>31</v>
      </c>
      <c r="P4838" t="str">
        <f>"15206"</f>
        <v>15206</v>
      </c>
    </row>
    <row r="4839" spans="1:16" x14ac:dyDescent="0.25">
      <c r="A4839" t="str">
        <f>"1120124L00096    00"</f>
        <v>1120124L00096    00</v>
      </c>
      <c r="B4839" t="s">
        <v>11549</v>
      </c>
      <c r="C4839" t="s">
        <v>11550</v>
      </c>
      <c r="E4839" t="s">
        <v>39</v>
      </c>
      <c r="F4839">
        <v>0</v>
      </c>
      <c r="G4839">
        <v>0</v>
      </c>
      <c r="H4839">
        <v>1</v>
      </c>
      <c r="I4839" s="3">
        <v>523.78</v>
      </c>
      <c r="J4839" s="3">
        <v>0</v>
      </c>
      <c r="K4839" t="s">
        <v>11551</v>
      </c>
      <c r="L4839">
        <v>3034</v>
      </c>
      <c r="M4839" t="s">
        <v>11552</v>
      </c>
      <c r="N4839" t="s">
        <v>11553</v>
      </c>
      <c r="O4839" t="s">
        <v>31</v>
      </c>
      <c r="P4839" t="str">
        <f>"18014"</f>
        <v>18014</v>
      </c>
    </row>
    <row r="4840" spans="1:16" x14ac:dyDescent="0.25">
      <c r="A4840" t="str">
        <f>"1120124L00098    00"</f>
        <v>1120124L00098    00</v>
      </c>
      <c r="B4840" t="s">
        <v>11554</v>
      </c>
      <c r="C4840" t="s">
        <v>11555</v>
      </c>
      <c r="D4840" t="s">
        <v>20</v>
      </c>
      <c r="E4840" t="s">
        <v>39</v>
      </c>
      <c r="F4840">
        <v>0</v>
      </c>
      <c r="G4840">
        <v>0</v>
      </c>
      <c r="H4840">
        <v>3</v>
      </c>
      <c r="I4840" s="3">
        <v>978.72</v>
      </c>
      <c r="J4840" s="3">
        <v>1285.8699999999999</v>
      </c>
      <c r="K4840" t="s">
        <v>11556</v>
      </c>
      <c r="L4840">
        <v>6555</v>
      </c>
      <c r="M4840" t="s">
        <v>3089</v>
      </c>
      <c r="N4840" t="s">
        <v>30</v>
      </c>
      <c r="O4840" t="s">
        <v>31</v>
      </c>
      <c r="P4840" t="str">
        <f>"15206"</f>
        <v>15206</v>
      </c>
    </row>
    <row r="4841" spans="1:16" x14ac:dyDescent="0.25">
      <c r="A4841" t="str">
        <f>"1120124L00103    00"</f>
        <v>1120124L00103    00</v>
      </c>
      <c r="B4841" t="s">
        <v>11557</v>
      </c>
      <c r="C4841" t="s">
        <v>11263</v>
      </c>
      <c r="D4841" t="s">
        <v>20</v>
      </c>
      <c r="E4841" t="s">
        <v>39</v>
      </c>
      <c r="F4841">
        <v>0</v>
      </c>
      <c r="G4841">
        <v>0</v>
      </c>
      <c r="H4841">
        <v>19</v>
      </c>
      <c r="I4841" s="3">
        <v>466.15</v>
      </c>
      <c r="J4841" s="3">
        <v>471.39</v>
      </c>
      <c r="K4841" t="s">
        <v>1008</v>
      </c>
      <c r="P4841" t="str">
        <f>""</f>
        <v/>
      </c>
    </row>
    <row r="4842" spans="1:16" x14ac:dyDescent="0.25">
      <c r="A4842" t="str">
        <f>"1120124L00104    00"</f>
        <v>1120124L00104    00</v>
      </c>
      <c r="B4842" t="s">
        <v>11558</v>
      </c>
      <c r="C4842" t="s">
        <v>11559</v>
      </c>
      <c r="D4842" t="s">
        <v>57</v>
      </c>
      <c r="E4842" t="s">
        <v>39</v>
      </c>
      <c r="F4842">
        <v>0</v>
      </c>
      <c r="G4842">
        <v>0</v>
      </c>
      <c r="H4842">
        <v>1</v>
      </c>
      <c r="I4842" s="3">
        <v>135.66999999999999</v>
      </c>
      <c r="J4842" s="3">
        <v>0</v>
      </c>
      <c r="L4842">
        <v>6604</v>
      </c>
      <c r="M4842" t="s">
        <v>3089</v>
      </c>
      <c r="N4842" t="s">
        <v>30</v>
      </c>
      <c r="O4842" t="s">
        <v>31</v>
      </c>
      <c r="P4842" t="str">
        <f>"15206"</f>
        <v>15206</v>
      </c>
    </row>
    <row r="4843" spans="1:16" x14ac:dyDescent="0.25">
      <c r="A4843" t="str">
        <f>"1120124L00106    00"</f>
        <v>1120124L00106    00</v>
      </c>
      <c r="B4843" t="s">
        <v>11560</v>
      </c>
      <c r="C4843" t="s">
        <v>11561</v>
      </c>
      <c r="D4843" t="s">
        <v>20</v>
      </c>
      <c r="E4843" t="s">
        <v>39</v>
      </c>
      <c r="F4843">
        <v>0</v>
      </c>
      <c r="G4843">
        <v>0</v>
      </c>
      <c r="H4843">
        <v>1</v>
      </c>
      <c r="I4843" s="3">
        <v>495.56</v>
      </c>
      <c r="J4843" s="3">
        <v>0</v>
      </c>
      <c r="L4843">
        <v>701</v>
      </c>
      <c r="M4843" t="s">
        <v>11562</v>
      </c>
      <c r="N4843" t="s">
        <v>30</v>
      </c>
      <c r="O4843" t="s">
        <v>31</v>
      </c>
      <c r="P4843" t="str">
        <f>"15208"</f>
        <v>15208</v>
      </c>
    </row>
    <row r="4844" spans="1:16" x14ac:dyDescent="0.25">
      <c r="A4844" t="str">
        <f>"1120124L00107    00"</f>
        <v>1120124L00107    00</v>
      </c>
      <c r="B4844" t="s">
        <v>11563</v>
      </c>
      <c r="C4844" t="s">
        <v>11263</v>
      </c>
      <c r="D4844" t="s">
        <v>20</v>
      </c>
      <c r="E4844" t="s">
        <v>39</v>
      </c>
      <c r="F4844">
        <v>0</v>
      </c>
      <c r="G4844">
        <v>0</v>
      </c>
      <c r="H4844">
        <v>17</v>
      </c>
      <c r="I4844" s="3">
        <v>313.60000000000002</v>
      </c>
      <c r="J4844" s="3">
        <v>369.72</v>
      </c>
      <c r="K4844" t="s">
        <v>1008</v>
      </c>
      <c r="P4844" t="str">
        <f>""</f>
        <v/>
      </c>
    </row>
    <row r="4845" spans="1:16" x14ac:dyDescent="0.25">
      <c r="A4845" t="str">
        <f>"1120124L00108    00"</f>
        <v>1120124L00108    00</v>
      </c>
      <c r="B4845" t="s">
        <v>11564</v>
      </c>
      <c r="C4845" t="s">
        <v>11361</v>
      </c>
      <c r="D4845" t="s">
        <v>20</v>
      </c>
      <c r="E4845" t="s">
        <v>39</v>
      </c>
      <c r="F4845">
        <v>0</v>
      </c>
      <c r="G4845">
        <v>0</v>
      </c>
      <c r="H4845">
        <v>17</v>
      </c>
      <c r="I4845" s="3">
        <v>252.34</v>
      </c>
      <c r="J4845" s="3">
        <v>314.31</v>
      </c>
      <c r="K4845" t="s">
        <v>1008</v>
      </c>
      <c r="P4845" t="str">
        <f>""</f>
        <v/>
      </c>
    </row>
    <row r="4846" spans="1:16" x14ac:dyDescent="0.25">
      <c r="A4846" t="str">
        <f>"1120124L00116    00"</f>
        <v>1120124L00116    00</v>
      </c>
      <c r="B4846" t="s">
        <v>11565</v>
      </c>
      <c r="C4846" t="s">
        <v>11263</v>
      </c>
      <c r="D4846" t="s">
        <v>20</v>
      </c>
      <c r="E4846" t="s">
        <v>39</v>
      </c>
      <c r="F4846">
        <v>0</v>
      </c>
      <c r="G4846">
        <v>0</v>
      </c>
      <c r="H4846">
        <v>19</v>
      </c>
      <c r="I4846" s="3">
        <v>1091.22</v>
      </c>
      <c r="J4846" s="3">
        <v>787.91</v>
      </c>
      <c r="L4846">
        <v>6548</v>
      </c>
      <c r="M4846" t="s">
        <v>3089</v>
      </c>
      <c r="N4846" t="s">
        <v>30</v>
      </c>
      <c r="O4846" t="s">
        <v>31</v>
      </c>
      <c r="P4846" t="str">
        <f>"15206"</f>
        <v>15206</v>
      </c>
    </row>
    <row r="4847" spans="1:16" x14ac:dyDescent="0.25">
      <c r="A4847" t="str">
        <f>"1120124L00119    00"</f>
        <v>1120124L00119    00</v>
      </c>
      <c r="B4847" t="s">
        <v>11566</v>
      </c>
      <c r="C4847" t="s">
        <v>11263</v>
      </c>
      <c r="D4847" t="s">
        <v>20</v>
      </c>
      <c r="E4847" t="s">
        <v>39</v>
      </c>
      <c r="F4847">
        <v>0</v>
      </c>
      <c r="G4847">
        <v>0</v>
      </c>
      <c r="H4847">
        <v>19</v>
      </c>
      <c r="I4847" s="3">
        <v>7610.92</v>
      </c>
      <c r="J4847" s="3">
        <v>10161.44</v>
      </c>
      <c r="L4847">
        <v>6544</v>
      </c>
      <c r="M4847" t="s">
        <v>3089</v>
      </c>
      <c r="N4847" t="s">
        <v>30</v>
      </c>
      <c r="O4847" t="s">
        <v>31</v>
      </c>
      <c r="P4847" t="str">
        <f>"15206"</f>
        <v>15206</v>
      </c>
    </row>
    <row r="4848" spans="1:16" x14ac:dyDescent="0.25">
      <c r="A4848" t="str">
        <f>"1120124L00124    00"</f>
        <v>1120124L00124    00</v>
      </c>
      <c r="B4848" t="s">
        <v>11567</v>
      </c>
      <c r="C4848" t="s">
        <v>11568</v>
      </c>
      <c r="E4848" t="s">
        <v>39</v>
      </c>
      <c r="F4848">
        <v>0</v>
      </c>
      <c r="G4848">
        <v>0</v>
      </c>
      <c r="H4848">
        <v>1</v>
      </c>
      <c r="I4848" s="3">
        <v>207.92</v>
      </c>
      <c r="J4848" s="3">
        <v>0</v>
      </c>
      <c r="K4848" t="s">
        <v>11569</v>
      </c>
      <c r="M4848" t="s">
        <v>11134</v>
      </c>
      <c r="N4848" t="s">
        <v>30</v>
      </c>
      <c r="O4848" t="s">
        <v>31</v>
      </c>
      <c r="P4848" t="str">
        <f>"15224"</f>
        <v>15224</v>
      </c>
    </row>
    <row r="4849" spans="1:16" x14ac:dyDescent="0.25">
      <c r="A4849" t="str">
        <f>"1120124L00125    00"</f>
        <v>1120124L00125    00</v>
      </c>
      <c r="B4849" t="s">
        <v>11570</v>
      </c>
      <c r="C4849" t="s">
        <v>11571</v>
      </c>
      <c r="D4849" t="s">
        <v>20</v>
      </c>
      <c r="E4849" t="s">
        <v>39</v>
      </c>
      <c r="F4849">
        <v>0</v>
      </c>
      <c r="G4849">
        <v>0</v>
      </c>
      <c r="H4849">
        <v>2</v>
      </c>
      <c r="I4849" s="3">
        <v>310.12</v>
      </c>
      <c r="J4849" s="3">
        <v>0</v>
      </c>
      <c r="L4849">
        <v>6935</v>
      </c>
      <c r="M4849" t="s">
        <v>11572</v>
      </c>
      <c r="N4849" t="s">
        <v>30</v>
      </c>
      <c r="O4849" t="s">
        <v>31</v>
      </c>
      <c r="P4849" t="str">
        <f>"15208"</f>
        <v>15208</v>
      </c>
    </row>
    <row r="4850" spans="1:16" x14ac:dyDescent="0.25">
      <c r="A4850" t="str">
        <f>"1120124L00127    00"</f>
        <v>1120124L00127    00</v>
      </c>
      <c r="B4850" t="s">
        <v>11573</v>
      </c>
      <c r="C4850" t="s">
        <v>11574</v>
      </c>
      <c r="D4850" t="s">
        <v>20</v>
      </c>
      <c r="E4850" t="s">
        <v>39</v>
      </c>
      <c r="F4850">
        <v>0</v>
      </c>
      <c r="G4850">
        <v>0</v>
      </c>
      <c r="H4850">
        <v>1</v>
      </c>
      <c r="I4850" s="3">
        <v>722.38</v>
      </c>
      <c r="J4850" s="3">
        <v>0</v>
      </c>
      <c r="K4850" t="s">
        <v>11575</v>
      </c>
      <c r="L4850">
        <v>1236</v>
      </c>
      <c r="M4850" t="s">
        <v>11576</v>
      </c>
      <c r="N4850" t="s">
        <v>7608</v>
      </c>
      <c r="O4850" t="s">
        <v>31</v>
      </c>
      <c r="P4850" t="str">
        <f>"15068"</f>
        <v>15068</v>
      </c>
    </row>
    <row r="4851" spans="1:16" x14ac:dyDescent="0.25">
      <c r="A4851" t="str">
        <f>"1120124L00133    00"</f>
        <v>1120124L00133    00</v>
      </c>
      <c r="B4851" t="s">
        <v>11577</v>
      </c>
      <c r="C4851" t="s">
        <v>11578</v>
      </c>
      <c r="D4851" t="s">
        <v>20</v>
      </c>
      <c r="E4851" t="s">
        <v>39</v>
      </c>
      <c r="F4851">
        <v>0</v>
      </c>
      <c r="G4851">
        <v>0</v>
      </c>
      <c r="H4851">
        <v>5</v>
      </c>
      <c r="I4851" s="3">
        <v>1352.86</v>
      </c>
      <c r="J4851" s="3">
        <v>337.95</v>
      </c>
      <c r="L4851">
        <v>6512</v>
      </c>
      <c r="M4851" t="s">
        <v>3089</v>
      </c>
      <c r="N4851" t="s">
        <v>30</v>
      </c>
      <c r="O4851" t="s">
        <v>31</v>
      </c>
      <c r="P4851" t="str">
        <f>"15206"</f>
        <v>15206</v>
      </c>
    </row>
    <row r="4852" spans="1:16" x14ac:dyDescent="0.25">
      <c r="A4852" t="str">
        <f>"1120124L00137    00"</f>
        <v>1120124L00137    00</v>
      </c>
      <c r="B4852" t="s">
        <v>11579</v>
      </c>
      <c r="C4852" t="s">
        <v>11580</v>
      </c>
      <c r="D4852" t="s">
        <v>20</v>
      </c>
      <c r="E4852" t="s">
        <v>39</v>
      </c>
      <c r="F4852">
        <v>0</v>
      </c>
      <c r="G4852">
        <v>0</v>
      </c>
      <c r="H4852">
        <v>2</v>
      </c>
      <c r="I4852" s="3">
        <v>32.36</v>
      </c>
      <c r="J4852" s="3">
        <v>0</v>
      </c>
      <c r="L4852">
        <v>6504</v>
      </c>
      <c r="M4852" t="s">
        <v>3089</v>
      </c>
      <c r="N4852" t="s">
        <v>30</v>
      </c>
      <c r="O4852" t="s">
        <v>31</v>
      </c>
      <c r="P4852" t="str">
        <f>"15206"</f>
        <v>15206</v>
      </c>
    </row>
    <row r="4853" spans="1:16" x14ac:dyDescent="0.25">
      <c r="A4853" t="str">
        <f>"1120124L00140    00"</f>
        <v>1120124L00140    00</v>
      </c>
      <c r="B4853" t="s">
        <v>11581</v>
      </c>
      <c r="C4853" t="s">
        <v>11582</v>
      </c>
      <c r="D4853" t="s">
        <v>20</v>
      </c>
      <c r="E4853" t="s">
        <v>39</v>
      </c>
      <c r="F4853">
        <v>0</v>
      </c>
      <c r="G4853">
        <v>0</v>
      </c>
      <c r="H4853">
        <v>2</v>
      </c>
      <c r="I4853" s="3">
        <v>1187.29</v>
      </c>
      <c r="J4853" s="3">
        <v>0</v>
      </c>
      <c r="L4853">
        <v>6500</v>
      </c>
      <c r="M4853" t="s">
        <v>3089</v>
      </c>
      <c r="N4853" t="s">
        <v>30</v>
      </c>
      <c r="O4853" t="s">
        <v>31</v>
      </c>
      <c r="P4853" t="str">
        <f>"15206"</f>
        <v>15206</v>
      </c>
    </row>
    <row r="4854" spans="1:16" x14ac:dyDescent="0.25">
      <c r="A4854" t="str">
        <f>"1120124L00146    00"</f>
        <v>1120124L00146    00</v>
      </c>
      <c r="B4854" t="s">
        <v>11583</v>
      </c>
      <c r="C4854" t="s">
        <v>11263</v>
      </c>
      <c r="D4854" t="s">
        <v>20</v>
      </c>
      <c r="E4854" t="s">
        <v>39</v>
      </c>
      <c r="F4854">
        <v>0</v>
      </c>
      <c r="G4854">
        <v>0</v>
      </c>
      <c r="H4854">
        <v>19</v>
      </c>
      <c r="I4854" s="3">
        <v>378.35</v>
      </c>
      <c r="J4854" s="3">
        <v>424.97</v>
      </c>
      <c r="L4854">
        <v>30</v>
      </c>
      <c r="M4854" t="s">
        <v>11584</v>
      </c>
      <c r="N4854" t="s">
        <v>30</v>
      </c>
      <c r="O4854" t="s">
        <v>31</v>
      </c>
      <c r="P4854" t="str">
        <f>"15219"</f>
        <v>15219</v>
      </c>
    </row>
    <row r="4855" spans="1:16" x14ac:dyDescent="0.25">
      <c r="A4855" t="str">
        <f>"1120124L00155    00"</f>
        <v>1120124L00155    00</v>
      </c>
      <c r="B4855" t="s">
        <v>11585</v>
      </c>
      <c r="C4855" t="s">
        <v>11586</v>
      </c>
      <c r="D4855" t="s">
        <v>20</v>
      </c>
      <c r="E4855" t="s">
        <v>39</v>
      </c>
      <c r="F4855">
        <v>0</v>
      </c>
      <c r="G4855">
        <v>0</v>
      </c>
      <c r="H4855">
        <v>12</v>
      </c>
      <c r="I4855" s="3">
        <v>2294.86</v>
      </c>
      <c r="J4855" s="3">
        <v>2107.64</v>
      </c>
      <c r="K4855" t="s">
        <v>11587</v>
      </c>
      <c r="L4855">
        <v>1302</v>
      </c>
      <c r="M4855" t="s">
        <v>11588</v>
      </c>
      <c r="N4855" t="s">
        <v>30</v>
      </c>
      <c r="O4855" t="s">
        <v>31</v>
      </c>
      <c r="P4855" t="str">
        <f>"15221"</f>
        <v>15221</v>
      </c>
    </row>
    <row r="4856" spans="1:16" x14ac:dyDescent="0.25">
      <c r="A4856" t="str">
        <f>"1120124L00157    00"</f>
        <v>1120124L00157    00</v>
      </c>
      <c r="B4856" t="s">
        <v>11589</v>
      </c>
      <c r="C4856" t="s">
        <v>11586</v>
      </c>
      <c r="D4856" t="s">
        <v>20</v>
      </c>
      <c r="E4856" t="s">
        <v>39</v>
      </c>
      <c r="F4856">
        <v>0</v>
      </c>
      <c r="G4856">
        <v>0</v>
      </c>
      <c r="H4856">
        <v>19</v>
      </c>
      <c r="I4856" s="3">
        <v>4348.22</v>
      </c>
      <c r="J4856" s="3">
        <v>5816.48</v>
      </c>
      <c r="L4856">
        <v>6412</v>
      </c>
      <c r="M4856" t="s">
        <v>11590</v>
      </c>
      <c r="N4856" t="s">
        <v>30</v>
      </c>
      <c r="O4856" t="s">
        <v>31</v>
      </c>
      <c r="P4856" t="str">
        <f>"15206"</f>
        <v>15206</v>
      </c>
    </row>
    <row r="4857" spans="1:16" x14ac:dyDescent="0.25">
      <c r="A4857" t="str">
        <f>"1120124L00158    01"</f>
        <v>1120124L00158    01</v>
      </c>
      <c r="B4857" t="s">
        <v>687</v>
      </c>
      <c r="C4857" t="s">
        <v>11082</v>
      </c>
      <c r="E4857" t="s">
        <v>513</v>
      </c>
      <c r="F4857">
        <v>0</v>
      </c>
      <c r="G4857">
        <v>0</v>
      </c>
      <c r="H4857">
        <v>1</v>
      </c>
      <c r="I4857" s="3">
        <v>185.56</v>
      </c>
      <c r="J4857" s="3">
        <v>225.3</v>
      </c>
      <c r="K4857" t="s">
        <v>603</v>
      </c>
      <c r="L4857">
        <v>650</v>
      </c>
      <c r="M4857" t="s">
        <v>604</v>
      </c>
      <c r="N4857" t="s">
        <v>605</v>
      </c>
      <c r="O4857" t="s">
        <v>606</v>
      </c>
      <c r="P4857" t="str">
        <f>"30308"</f>
        <v>30308</v>
      </c>
    </row>
    <row r="4858" spans="1:16" x14ac:dyDescent="0.25">
      <c r="A4858" t="str">
        <f>"1120124L00215    00"</f>
        <v>1120124L00215    00</v>
      </c>
      <c r="B4858" t="s">
        <v>11591</v>
      </c>
      <c r="C4858" t="s">
        <v>11592</v>
      </c>
      <c r="D4858" t="s">
        <v>20</v>
      </c>
      <c r="E4858" t="s">
        <v>39</v>
      </c>
      <c r="F4858">
        <v>0</v>
      </c>
      <c r="G4858">
        <v>0</v>
      </c>
      <c r="H4858">
        <v>9</v>
      </c>
      <c r="I4858" s="3">
        <v>159.12</v>
      </c>
      <c r="J4858" s="3">
        <v>204.03</v>
      </c>
      <c r="P4858" t="str">
        <f>""</f>
        <v/>
      </c>
    </row>
    <row r="4859" spans="1:16" x14ac:dyDescent="0.25">
      <c r="A4859" t="str">
        <f>"1120124L00217    00"</f>
        <v>1120124L00217    00</v>
      </c>
      <c r="B4859" t="s">
        <v>11593</v>
      </c>
      <c r="C4859" t="s">
        <v>11594</v>
      </c>
      <c r="E4859" t="s">
        <v>39</v>
      </c>
      <c r="F4859">
        <v>0</v>
      </c>
      <c r="G4859">
        <v>0</v>
      </c>
      <c r="H4859">
        <v>1</v>
      </c>
      <c r="I4859" s="3">
        <v>22.44</v>
      </c>
      <c r="J4859" s="3">
        <v>15.52</v>
      </c>
      <c r="L4859">
        <v>6555</v>
      </c>
      <c r="M4859" t="s">
        <v>2413</v>
      </c>
      <c r="N4859" t="s">
        <v>30</v>
      </c>
      <c r="O4859" t="s">
        <v>31</v>
      </c>
      <c r="P4859" t="str">
        <f>"15206"</f>
        <v>15206</v>
      </c>
    </row>
    <row r="4860" spans="1:16" x14ac:dyDescent="0.25">
      <c r="A4860" t="str">
        <f>"1120124L00223    00"</f>
        <v>1120124L00223    00</v>
      </c>
      <c r="B4860" t="s">
        <v>11595</v>
      </c>
      <c r="C4860" t="s">
        <v>11592</v>
      </c>
      <c r="D4860" t="s">
        <v>20</v>
      </c>
      <c r="E4860" t="s">
        <v>39</v>
      </c>
      <c r="F4860">
        <v>0</v>
      </c>
      <c r="G4860">
        <v>0</v>
      </c>
      <c r="H4860">
        <v>19</v>
      </c>
      <c r="I4860" s="3">
        <v>7951.02</v>
      </c>
      <c r="J4860" s="3">
        <v>10568.33</v>
      </c>
      <c r="L4860">
        <v>6541</v>
      </c>
      <c r="M4860" t="s">
        <v>2413</v>
      </c>
      <c r="N4860" t="s">
        <v>30</v>
      </c>
      <c r="O4860" t="s">
        <v>31</v>
      </c>
      <c r="P4860" t="str">
        <f>"15206"</f>
        <v>15206</v>
      </c>
    </row>
    <row r="4861" spans="1:16" x14ac:dyDescent="0.25">
      <c r="A4861" t="str">
        <f>"1120124L00224    00"</f>
        <v>1120124L00224    00</v>
      </c>
      <c r="B4861" t="s">
        <v>11596</v>
      </c>
      <c r="C4861" t="s">
        <v>11592</v>
      </c>
      <c r="D4861" t="s">
        <v>20</v>
      </c>
      <c r="E4861" t="s">
        <v>39</v>
      </c>
      <c r="F4861">
        <v>0</v>
      </c>
      <c r="G4861">
        <v>0</v>
      </c>
      <c r="H4861">
        <v>18</v>
      </c>
      <c r="I4861" s="3">
        <v>4738.57</v>
      </c>
      <c r="J4861" s="3">
        <v>5957.1</v>
      </c>
      <c r="L4861">
        <v>650</v>
      </c>
      <c r="M4861" t="s">
        <v>11597</v>
      </c>
      <c r="N4861" t="s">
        <v>30</v>
      </c>
      <c r="O4861" t="s">
        <v>31</v>
      </c>
      <c r="P4861" t="str">
        <f>"15259"</f>
        <v>15259</v>
      </c>
    </row>
    <row r="4862" spans="1:16" x14ac:dyDescent="0.25">
      <c r="A4862" t="str">
        <f>"1120124L00226    00"</f>
        <v>1120124L00226    00</v>
      </c>
      <c r="B4862" t="s">
        <v>11598</v>
      </c>
      <c r="C4862" t="s">
        <v>11592</v>
      </c>
      <c r="D4862" t="s">
        <v>20</v>
      </c>
      <c r="E4862" t="s">
        <v>39</v>
      </c>
      <c r="F4862">
        <v>0</v>
      </c>
      <c r="G4862">
        <v>0</v>
      </c>
      <c r="H4862">
        <v>13</v>
      </c>
      <c r="I4862" s="3">
        <v>1976.02</v>
      </c>
      <c r="J4862" s="3">
        <v>1787.64</v>
      </c>
      <c r="L4862">
        <v>1909</v>
      </c>
      <c r="M4862" t="s">
        <v>11599</v>
      </c>
      <c r="N4862" t="s">
        <v>30</v>
      </c>
      <c r="O4862" t="s">
        <v>31</v>
      </c>
      <c r="P4862" t="str">
        <f>"15218"</f>
        <v>15218</v>
      </c>
    </row>
    <row r="4863" spans="1:16" x14ac:dyDescent="0.25">
      <c r="A4863" t="str">
        <f>"1120124L00227    00"</f>
        <v>1120124L00227    00</v>
      </c>
      <c r="B4863" t="s">
        <v>11598</v>
      </c>
      <c r="C4863" t="s">
        <v>11592</v>
      </c>
      <c r="D4863" t="s">
        <v>20</v>
      </c>
      <c r="E4863" t="s">
        <v>39</v>
      </c>
      <c r="F4863">
        <v>0</v>
      </c>
      <c r="G4863">
        <v>0</v>
      </c>
      <c r="H4863">
        <v>13</v>
      </c>
      <c r="I4863" s="3">
        <v>1675.21</v>
      </c>
      <c r="J4863" s="3">
        <v>1476.72</v>
      </c>
      <c r="L4863">
        <v>6525</v>
      </c>
      <c r="M4863" t="s">
        <v>2413</v>
      </c>
      <c r="N4863" t="s">
        <v>30</v>
      </c>
      <c r="O4863" t="s">
        <v>31</v>
      </c>
      <c r="P4863" t="str">
        <f>"15206"</f>
        <v>15206</v>
      </c>
    </row>
    <row r="4864" spans="1:16" x14ac:dyDescent="0.25">
      <c r="A4864" t="str">
        <f>"1120124L00228    00"</f>
        <v>1120124L00228    00</v>
      </c>
      <c r="B4864" t="s">
        <v>11600</v>
      </c>
      <c r="C4864" t="s">
        <v>11592</v>
      </c>
      <c r="D4864" t="s">
        <v>20</v>
      </c>
      <c r="E4864" t="s">
        <v>39</v>
      </c>
      <c r="F4864">
        <v>0</v>
      </c>
      <c r="G4864">
        <v>0</v>
      </c>
      <c r="H4864">
        <v>13</v>
      </c>
      <c r="I4864" s="3">
        <v>1739.77</v>
      </c>
      <c r="J4864" s="3">
        <v>1486.29</v>
      </c>
      <c r="L4864">
        <v>6</v>
      </c>
      <c r="M4864" t="s">
        <v>11459</v>
      </c>
      <c r="N4864" t="s">
        <v>30</v>
      </c>
      <c r="O4864" t="s">
        <v>31</v>
      </c>
      <c r="P4864" t="str">
        <f>"15206"</f>
        <v>15206</v>
      </c>
    </row>
    <row r="4865" spans="1:16" x14ac:dyDescent="0.25">
      <c r="A4865" t="str">
        <f>"1120124L00229    00"</f>
        <v>1120124L00229    00</v>
      </c>
      <c r="B4865" t="s">
        <v>11601</v>
      </c>
      <c r="C4865" t="s">
        <v>11592</v>
      </c>
      <c r="D4865" t="s">
        <v>20</v>
      </c>
      <c r="E4865" t="s">
        <v>39</v>
      </c>
      <c r="F4865">
        <v>0</v>
      </c>
      <c r="G4865">
        <v>0</v>
      </c>
      <c r="H4865">
        <v>19</v>
      </c>
      <c r="I4865" s="3">
        <v>6870.75</v>
      </c>
      <c r="J4865" s="3">
        <v>9160.25</v>
      </c>
      <c r="K4865" t="s">
        <v>11602</v>
      </c>
      <c r="L4865">
        <v>6523</v>
      </c>
      <c r="M4865" t="s">
        <v>2413</v>
      </c>
      <c r="N4865" t="s">
        <v>30</v>
      </c>
      <c r="O4865" t="s">
        <v>31</v>
      </c>
      <c r="P4865" t="str">
        <f>"15206"</f>
        <v>15206</v>
      </c>
    </row>
    <row r="4866" spans="1:16" x14ac:dyDescent="0.25">
      <c r="A4866" t="str">
        <f>"1120124L00230    00"</f>
        <v>1120124L00230    00</v>
      </c>
      <c r="B4866" t="s">
        <v>11603</v>
      </c>
      <c r="C4866" t="s">
        <v>11592</v>
      </c>
      <c r="D4866" t="s">
        <v>20</v>
      </c>
      <c r="E4866" t="s">
        <v>39</v>
      </c>
      <c r="F4866">
        <v>0</v>
      </c>
      <c r="G4866">
        <v>0</v>
      </c>
      <c r="H4866">
        <v>17</v>
      </c>
      <c r="I4866" s="3">
        <v>4960.57</v>
      </c>
      <c r="J4866" s="3">
        <v>5692.15</v>
      </c>
      <c r="L4866">
        <v>6521</v>
      </c>
      <c r="M4866" t="s">
        <v>2413</v>
      </c>
      <c r="N4866" t="s">
        <v>30</v>
      </c>
      <c r="O4866" t="s">
        <v>31</v>
      </c>
      <c r="P4866" t="str">
        <f>"15206"</f>
        <v>15206</v>
      </c>
    </row>
    <row r="4867" spans="1:16" x14ac:dyDescent="0.25">
      <c r="A4867" t="str">
        <f>"1120124L00234    00"</f>
        <v>1120124L00234    00</v>
      </c>
      <c r="B4867" t="s">
        <v>11604</v>
      </c>
      <c r="C4867" t="s">
        <v>11592</v>
      </c>
      <c r="D4867" t="s">
        <v>20</v>
      </c>
      <c r="E4867" t="s">
        <v>39</v>
      </c>
      <c r="F4867">
        <v>0</v>
      </c>
      <c r="G4867">
        <v>0</v>
      </c>
      <c r="H4867">
        <v>13</v>
      </c>
      <c r="I4867" s="3">
        <v>727.3</v>
      </c>
      <c r="J4867" s="3">
        <v>400.69</v>
      </c>
      <c r="M4867" t="s">
        <v>11605</v>
      </c>
      <c r="N4867" t="s">
        <v>3262</v>
      </c>
      <c r="O4867" t="s">
        <v>5057</v>
      </c>
      <c r="P4867" t="str">
        <f>"04104"</f>
        <v>04104</v>
      </c>
    </row>
    <row r="4868" spans="1:16" x14ac:dyDescent="0.25">
      <c r="A4868" t="str">
        <f>"1120124L00235    00"</f>
        <v>1120124L00235    00</v>
      </c>
      <c r="B4868" t="s">
        <v>2396</v>
      </c>
      <c r="C4868" t="s">
        <v>11592</v>
      </c>
      <c r="D4868" t="s">
        <v>20</v>
      </c>
      <c r="E4868" t="s">
        <v>39</v>
      </c>
      <c r="F4868">
        <v>0</v>
      </c>
      <c r="G4868">
        <v>0</v>
      </c>
      <c r="H4868">
        <v>16</v>
      </c>
      <c r="I4868" s="3">
        <v>443.49</v>
      </c>
      <c r="J4868" s="3">
        <v>56.94</v>
      </c>
      <c r="K4868" t="s">
        <v>11606</v>
      </c>
      <c r="L4868">
        <v>7721</v>
      </c>
      <c r="M4868" t="s">
        <v>2398</v>
      </c>
      <c r="N4868" t="s">
        <v>1046</v>
      </c>
      <c r="O4868" t="s">
        <v>31</v>
      </c>
      <c r="P4868" t="str">
        <f>"15147"</f>
        <v>15147</v>
      </c>
    </row>
    <row r="4869" spans="1:16" x14ac:dyDescent="0.25">
      <c r="A4869" t="str">
        <f>"1120124L00236    00"</f>
        <v>1120124L00236    00</v>
      </c>
      <c r="B4869" t="s">
        <v>11607</v>
      </c>
      <c r="C4869" t="s">
        <v>11608</v>
      </c>
      <c r="D4869" t="s">
        <v>20</v>
      </c>
      <c r="E4869" t="s">
        <v>39</v>
      </c>
      <c r="F4869">
        <v>0</v>
      </c>
      <c r="G4869">
        <v>0</v>
      </c>
      <c r="H4869">
        <v>15</v>
      </c>
      <c r="I4869" s="3">
        <v>4601.68</v>
      </c>
      <c r="J4869" s="3">
        <v>5095.24</v>
      </c>
      <c r="K4869" t="s">
        <v>11609</v>
      </c>
      <c r="L4869">
        <v>7721</v>
      </c>
      <c r="M4869" t="s">
        <v>2398</v>
      </c>
      <c r="N4869" t="s">
        <v>1046</v>
      </c>
      <c r="O4869" t="s">
        <v>31</v>
      </c>
      <c r="P4869" t="str">
        <f>"15147"</f>
        <v>15147</v>
      </c>
    </row>
    <row r="4870" spans="1:16" x14ac:dyDescent="0.25">
      <c r="A4870" t="str">
        <f>"1120124L00237    00"</f>
        <v>1120124L00237    00</v>
      </c>
      <c r="B4870" t="s">
        <v>11610</v>
      </c>
      <c r="C4870" t="s">
        <v>11592</v>
      </c>
      <c r="D4870" t="s">
        <v>20</v>
      </c>
      <c r="E4870" t="s">
        <v>39</v>
      </c>
      <c r="F4870">
        <v>0</v>
      </c>
      <c r="G4870">
        <v>0</v>
      </c>
      <c r="H4870">
        <v>13</v>
      </c>
      <c r="I4870" s="3">
        <v>1642.2</v>
      </c>
      <c r="J4870" s="3">
        <v>2008.18</v>
      </c>
      <c r="L4870">
        <v>521</v>
      </c>
      <c r="M4870" t="s">
        <v>11611</v>
      </c>
      <c r="N4870" t="s">
        <v>30</v>
      </c>
      <c r="O4870" t="s">
        <v>31</v>
      </c>
      <c r="P4870" t="str">
        <f>"15211"</f>
        <v>15211</v>
      </c>
    </row>
    <row r="4871" spans="1:16" x14ac:dyDescent="0.25">
      <c r="A4871" t="str">
        <f>"1120124L00239    00"</f>
        <v>1120124L00239    00</v>
      </c>
      <c r="B4871" t="s">
        <v>11612</v>
      </c>
      <c r="C4871" t="s">
        <v>11592</v>
      </c>
      <c r="D4871" t="s">
        <v>20</v>
      </c>
      <c r="E4871" t="s">
        <v>39</v>
      </c>
      <c r="F4871">
        <v>0</v>
      </c>
      <c r="G4871">
        <v>0</v>
      </c>
      <c r="H4871">
        <v>19</v>
      </c>
      <c r="I4871" s="3">
        <v>4670.96</v>
      </c>
      <c r="J4871" s="3">
        <v>6260.39</v>
      </c>
      <c r="L4871">
        <v>1104</v>
      </c>
      <c r="M4871" t="s">
        <v>11613</v>
      </c>
      <c r="N4871" t="s">
        <v>30</v>
      </c>
      <c r="O4871" t="s">
        <v>31</v>
      </c>
      <c r="P4871" t="str">
        <f>"15233"</f>
        <v>15233</v>
      </c>
    </row>
    <row r="4872" spans="1:16" x14ac:dyDescent="0.25">
      <c r="A4872" t="str">
        <f>"1120124L00262    00"</f>
        <v>1120124L00262    00</v>
      </c>
      <c r="B4872" t="s">
        <v>11614</v>
      </c>
      <c r="C4872" t="s">
        <v>11592</v>
      </c>
      <c r="D4872" t="s">
        <v>20</v>
      </c>
      <c r="E4872" t="s">
        <v>39</v>
      </c>
      <c r="F4872">
        <v>0</v>
      </c>
      <c r="G4872">
        <v>0</v>
      </c>
      <c r="H4872">
        <v>19</v>
      </c>
      <c r="I4872" s="3">
        <v>4314.0600000000004</v>
      </c>
      <c r="J4872" s="3">
        <v>5848.97</v>
      </c>
      <c r="L4872">
        <v>6542</v>
      </c>
      <c r="M4872" t="s">
        <v>2413</v>
      </c>
      <c r="N4872" t="s">
        <v>30</v>
      </c>
      <c r="O4872" t="s">
        <v>31</v>
      </c>
      <c r="P4872" t="str">
        <f>"15206"</f>
        <v>15206</v>
      </c>
    </row>
    <row r="4873" spans="1:16" x14ac:dyDescent="0.25">
      <c r="A4873" t="str">
        <f>"1120124L00270    00"</f>
        <v>1120124L00270    00</v>
      </c>
      <c r="B4873" t="s">
        <v>11615</v>
      </c>
      <c r="C4873" t="s">
        <v>11616</v>
      </c>
      <c r="D4873" t="s">
        <v>20</v>
      </c>
      <c r="E4873" t="s">
        <v>39</v>
      </c>
      <c r="F4873">
        <v>0</v>
      </c>
      <c r="G4873">
        <v>0</v>
      </c>
      <c r="H4873">
        <v>3</v>
      </c>
      <c r="I4873" s="3">
        <v>321.82</v>
      </c>
      <c r="J4873" s="3">
        <v>1.98</v>
      </c>
      <c r="K4873" t="s">
        <v>11617</v>
      </c>
      <c r="L4873">
        <v>6558</v>
      </c>
      <c r="M4873" t="s">
        <v>2413</v>
      </c>
      <c r="N4873" t="s">
        <v>30</v>
      </c>
      <c r="O4873" t="s">
        <v>31</v>
      </c>
      <c r="P4873" t="str">
        <f>"15206"</f>
        <v>15206</v>
      </c>
    </row>
    <row r="4874" spans="1:16" x14ac:dyDescent="0.25">
      <c r="A4874" t="str">
        <f>"1120124L00271    00"</f>
        <v>1120124L00271    00</v>
      </c>
      <c r="B4874" t="s">
        <v>11618</v>
      </c>
      <c r="C4874" t="s">
        <v>11619</v>
      </c>
      <c r="E4874" t="s">
        <v>39</v>
      </c>
      <c r="F4874">
        <v>0</v>
      </c>
      <c r="G4874">
        <v>0</v>
      </c>
      <c r="H4874">
        <v>2</v>
      </c>
      <c r="I4874" s="3">
        <v>17.399999999999999</v>
      </c>
      <c r="J4874" s="3">
        <v>17.11</v>
      </c>
      <c r="L4874">
        <v>7145</v>
      </c>
      <c r="M4874" t="s">
        <v>872</v>
      </c>
      <c r="N4874" t="s">
        <v>30</v>
      </c>
      <c r="O4874" t="s">
        <v>31</v>
      </c>
      <c r="P4874" t="str">
        <f>"15208"</f>
        <v>15208</v>
      </c>
    </row>
    <row r="4875" spans="1:16" x14ac:dyDescent="0.25">
      <c r="A4875" t="str">
        <f>"1120124L00273    00"</f>
        <v>1120124L00273    00</v>
      </c>
      <c r="B4875" t="s">
        <v>11620</v>
      </c>
      <c r="C4875" t="s">
        <v>11621</v>
      </c>
      <c r="D4875" t="s">
        <v>20</v>
      </c>
      <c r="E4875" t="s">
        <v>39</v>
      </c>
      <c r="F4875">
        <v>0</v>
      </c>
      <c r="G4875">
        <v>0</v>
      </c>
      <c r="H4875">
        <v>1</v>
      </c>
      <c r="I4875" s="3">
        <v>301.14999999999998</v>
      </c>
      <c r="J4875" s="3">
        <v>0</v>
      </c>
      <c r="K4875" t="s">
        <v>11622</v>
      </c>
      <c r="L4875">
        <v>557</v>
      </c>
      <c r="M4875" t="s">
        <v>11623</v>
      </c>
      <c r="N4875" t="s">
        <v>30</v>
      </c>
      <c r="O4875" t="s">
        <v>31</v>
      </c>
      <c r="P4875" t="str">
        <f>"15208"</f>
        <v>15208</v>
      </c>
    </row>
    <row r="4876" spans="1:16" x14ac:dyDescent="0.25">
      <c r="A4876" t="str">
        <f>"1120124L00273A   00"</f>
        <v>1120124L00273A   00</v>
      </c>
      <c r="B4876" t="s">
        <v>11624</v>
      </c>
      <c r="C4876" t="s">
        <v>11625</v>
      </c>
      <c r="E4876" t="s">
        <v>39</v>
      </c>
      <c r="F4876">
        <v>0</v>
      </c>
      <c r="G4876">
        <v>0</v>
      </c>
      <c r="H4876">
        <v>3</v>
      </c>
      <c r="I4876" s="3">
        <v>438.07</v>
      </c>
      <c r="J4876" s="3">
        <v>11.8</v>
      </c>
      <c r="L4876">
        <v>557</v>
      </c>
      <c r="M4876" t="s">
        <v>11623</v>
      </c>
      <c r="N4876" t="s">
        <v>30</v>
      </c>
      <c r="O4876" t="s">
        <v>31</v>
      </c>
      <c r="P4876" t="str">
        <f>"15208"</f>
        <v>15208</v>
      </c>
    </row>
    <row r="4877" spans="1:16" x14ac:dyDescent="0.25">
      <c r="A4877" t="str">
        <f>"1120124L00274    00"</f>
        <v>1120124L00274    00</v>
      </c>
      <c r="B4877" t="s">
        <v>11626</v>
      </c>
      <c r="C4877" t="s">
        <v>11625</v>
      </c>
      <c r="D4877" t="s">
        <v>20</v>
      </c>
      <c r="E4877" t="s">
        <v>39</v>
      </c>
      <c r="F4877">
        <v>0</v>
      </c>
      <c r="G4877">
        <v>0</v>
      </c>
      <c r="H4877">
        <v>2</v>
      </c>
      <c r="I4877" s="3">
        <v>556.6</v>
      </c>
      <c r="J4877" s="3">
        <v>0</v>
      </c>
      <c r="K4877" t="s">
        <v>11622</v>
      </c>
      <c r="L4877">
        <v>557</v>
      </c>
      <c r="M4877" t="s">
        <v>11623</v>
      </c>
      <c r="N4877" t="s">
        <v>30</v>
      </c>
      <c r="O4877" t="s">
        <v>31</v>
      </c>
      <c r="P4877" t="str">
        <f>"15208"</f>
        <v>15208</v>
      </c>
    </row>
    <row r="4878" spans="1:16" x14ac:dyDescent="0.25">
      <c r="A4878" t="str">
        <f>"1120124L00275    00"</f>
        <v>1120124L00275    00</v>
      </c>
      <c r="B4878" t="s">
        <v>11627</v>
      </c>
      <c r="C4878" t="s">
        <v>11628</v>
      </c>
      <c r="D4878" t="s">
        <v>20</v>
      </c>
      <c r="E4878" t="s">
        <v>39</v>
      </c>
      <c r="F4878">
        <v>0</v>
      </c>
      <c r="G4878">
        <v>0</v>
      </c>
      <c r="H4878">
        <v>19</v>
      </c>
      <c r="I4878" s="3">
        <v>869.41</v>
      </c>
      <c r="J4878" s="3">
        <v>1097.67</v>
      </c>
      <c r="K4878" t="s">
        <v>11629</v>
      </c>
      <c r="L4878">
        <v>6560</v>
      </c>
      <c r="M4878" t="s">
        <v>11630</v>
      </c>
      <c r="N4878" t="s">
        <v>30</v>
      </c>
      <c r="O4878" t="s">
        <v>31</v>
      </c>
      <c r="P4878" t="str">
        <f>"15206"</f>
        <v>15206</v>
      </c>
    </row>
    <row r="4879" spans="1:16" x14ac:dyDescent="0.25">
      <c r="A4879" t="str">
        <f>"1120124L00279    00"</f>
        <v>1120124L00279    00</v>
      </c>
      <c r="B4879" t="s">
        <v>11631</v>
      </c>
      <c r="C4879" t="s">
        <v>11632</v>
      </c>
      <c r="D4879" t="s">
        <v>20</v>
      </c>
      <c r="E4879" t="s">
        <v>39</v>
      </c>
      <c r="F4879">
        <v>0</v>
      </c>
      <c r="G4879">
        <v>0</v>
      </c>
      <c r="H4879">
        <v>7</v>
      </c>
      <c r="I4879" s="3">
        <v>4147.09</v>
      </c>
      <c r="J4879" s="3">
        <v>1161.3699999999999</v>
      </c>
      <c r="M4879" t="s">
        <v>2690</v>
      </c>
      <c r="N4879" t="s">
        <v>30</v>
      </c>
      <c r="O4879" t="s">
        <v>31</v>
      </c>
      <c r="P4879" t="str">
        <f>"15206"</f>
        <v>15206</v>
      </c>
    </row>
    <row r="4880" spans="1:16" x14ac:dyDescent="0.25">
      <c r="A4880" t="str">
        <f>"1120124L00284    00"</f>
        <v>1120124L00284    00</v>
      </c>
      <c r="B4880" t="s">
        <v>11633</v>
      </c>
      <c r="C4880" t="s">
        <v>11634</v>
      </c>
      <c r="D4880" t="s">
        <v>20</v>
      </c>
      <c r="E4880" t="s">
        <v>39</v>
      </c>
      <c r="F4880">
        <v>0</v>
      </c>
      <c r="G4880">
        <v>0</v>
      </c>
      <c r="H4880">
        <v>2</v>
      </c>
      <c r="I4880" s="3">
        <v>386.25</v>
      </c>
      <c r="J4880" s="3">
        <v>0</v>
      </c>
      <c r="L4880">
        <v>6608</v>
      </c>
      <c r="M4880" t="s">
        <v>2413</v>
      </c>
      <c r="N4880" t="s">
        <v>30</v>
      </c>
      <c r="O4880" t="s">
        <v>31</v>
      </c>
      <c r="P4880" t="str">
        <f>"15206"</f>
        <v>15206</v>
      </c>
    </row>
    <row r="4881" spans="1:16" x14ac:dyDescent="0.25">
      <c r="A4881" t="str">
        <f>"1120124L00286    00"</f>
        <v>1120124L00286    00</v>
      </c>
      <c r="B4881" t="s">
        <v>11635</v>
      </c>
      <c r="C4881" t="s">
        <v>11636</v>
      </c>
      <c r="D4881" t="s">
        <v>20</v>
      </c>
      <c r="E4881" t="s">
        <v>39</v>
      </c>
      <c r="F4881">
        <v>0</v>
      </c>
      <c r="G4881">
        <v>0</v>
      </c>
      <c r="H4881">
        <v>6</v>
      </c>
      <c r="I4881" s="3">
        <v>1220.57</v>
      </c>
      <c r="J4881" s="3">
        <v>663.67</v>
      </c>
      <c r="L4881">
        <v>711</v>
      </c>
      <c r="M4881" t="s">
        <v>11637</v>
      </c>
      <c r="N4881" t="s">
        <v>30</v>
      </c>
      <c r="O4881" t="s">
        <v>31</v>
      </c>
      <c r="P4881" t="str">
        <f>"15235"</f>
        <v>15235</v>
      </c>
    </row>
    <row r="4882" spans="1:16" x14ac:dyDescent="0.25">
      <c r="A4882" t="str">
        <f>"1120124L00287A   00"</f>
        <v>1120124L00287A   00</v>
      </c>
      <c r="B4882" t="s">
        <v>11638</v>
      </c>
      <c r="C4882" t="s">
        <v>11592</v>
      </c>
      <c r="D4882" t="s">
        <v>20</v>
      </c>
      <c r="E4882" t="s">
        <v>39</v>
      </c>
      <c r="F4882">
        <v>0</v>
      </c>
      <c r="G4882">
        <v>0</v>
      </c>
      <c r="H4882">
        <v>19</v>
      </c>
      <c r="I4882" s="3">
        <v>2735.61</v>
      </c>
      <c r="J4882" s="3">
        <v>3533.51</v>
      </c>
      <c r="L4882">
        <v>6612</v>
      </c>
      <c r="M4882" t="s">
        <v>11639</v>
      </c>
      <c r="N4882" t="s">
        <v>30</v>
      </c>
      <c r="O4882" t="s">
        <v>31</v>
      </c>
      <c r="P4882" t="str">
        <f>"15206"</f>
        <v>15206</v>
      </c>
    </row>
    <row r="4883" spans="1:16" x14ac:dyDescent="0.25">
      <c r="A4883" t="str">
        <f>"1120124L00295    03"</f>
        <v>1120124L00295    03</v>
      </c>
      <c r="B4883" t="s">
        <v>687</v>
      </c>
      <c r="C4883" t="s">
        <v>11082</v>
      </c>
      <c r="E4883" t="s">
        <v>513</v>
      </c>
      <c r="F4883">
        <v>0</v>
      </c>
      <c r="G4883">
        <v>0</v>
      </c>
      <c r="H4883">
        <v>1</v>
      </c>
      <c r="I4883" s="3">
        <v>859.41</v>
      </c>
      <c r="J4883" s="3">
        <v>1043.49</v>
      </c>
      <c r="K4883" t="s">
        <v>603</v>
      </c>
      <c r="L4883">
        <v>650</v>
      </c>
      <c r="M4883" t="s">
        <v>604</v>
      </c>
      <c r="N4883" t="s">
        <v>605</v>
      </c>
      <c r="O4883" t="s">
        <v>606</v>
      </c>
      <c r="P4883" t="str">
        <f>"30308"</f>
        <v>30308</v>
      </c>
    </row>
    <row r="4884" spans="1:16" x14ac:dyDescent="0.25">
      <c r="A4884" t="str">
        <f>"1120124L00300    01"</f>
        <v>1120124L00300    01</v>
      </c>
      <c r="B4884" t="s">
        <v>687</v>
      </c>
      <c r="C4884" t="s">
        <v>11082</v>
      </c>
      <c r="E4884" t="s">
        <v>513</v>
      </c>
      <c r="F4884">
        <v>0</v>
      </c>
      <c r="G4884">
        <v>0</v>
      </c>
      <c r="H4884">
        <v>1</v>
      </c>
      <c r="I4884" s="3">
        <v>10641.33</v>
      </c>
      <c r="J4884" s="3">
        <v>14435.85</v>
      </c>
      <c r="K4884" t="s">
        <v>603</v>
      </c>
      <c r="L4884">
        <v>650</v>
      </c>
      <c r="M4884" t="s">
        <v>604</v>
      </c>
      <c r="N4884" t="s">
        <v>605</v>
      </c>
      <c r="O4884" t="s">
        <v>606</v>
      </c>
      <c r="P4884" t="str">
        <f>"30308"</f>
        <v>30308</v>
      </c>
    </row>
    <row r="4885" spans="1:16" x14ac:dyDescent="0.25">
      <c r="A4885" t="str">
        <f>"1120124M00004    00"</f>
        <v>1120124M00004    00</v>
      </c>
      <c r="B4885" t="s">
        <v>11640</v>
      </c>
      <c r="C4885" t="s">
        <v>11641</v>
      </c>
      <c r="D4885" t="s">
        <v>20</v>
      </c>
      <c r="E4885" t="s">
        <v>39</v>
      </c>
      <c r="F4885">
        <v>0</v>
      </c>
      <c r="G4885">
        <v>0</v>
      </c>
      <c r="H4885">
        <v>3</v>
      </c>
      <c r="I4885" s="3">
        <v>489.15</v>
      </c>
      <c r="J4885" s="3">
        <v>77.14</v>
      </c>
      <c r="L4885">
        <v>6629</v>
      </c>
      <c r="M4885" t="s">
        <v>2413</v>
      </c>
      <c r="N4885" t="s">
        <v>30</v>
      </c>
      <c r="O4885" t="s">
        <v>31</v>
      </c>
      <c r="P4885" t="str">
        <f t="shared" ref="P4885:P4891" si="61">"15206"</f>
        <v>15206</v>
      </c>
    </row>
    <row r="4886" spans="1:16" x14ac:dyDescent="0.25">
      <c r="A4886" t="str">
        <f>"1120124M00013    00"</f>
        <v>1120124M00013    00</v>
      </c>
      <c r="B4886" t="s">
        <v>11642</v>
      </c>
      <c r="C4886" t="s">
        <v>11263</v>
      </c>
      <c r="E4886" t="s">
        <v>39</v>
      </c>
      <c r="F4886">
        <v>0</v>
      </c>
      <c r="G4886">
        <v>0</v>
      </c>
      <c r="H4886">
        <v>3</v>
      </c>
      <c r="I4886" s="3">
        <v>29.41</v>
      </c>
      <c r="J4886" s="3">
        <v>16.239999999999998</v>
      </c>
      <c r="L4886">
        <v>6622</v>
      </c>
      <c r="M4886" t="s">
        <v>3089</v>
      </c>
      <c r="N4886" t="s">
        <v>30</v>
      </c>
      <c r="O4886" t="s">
        <v>31</v>
      </c>
      <c r="P4886" t="str">
        <f t="shared" si="61"/>
        <v>15206</v>
      </c>
    </row>
    <row r="4887" spans="1:16" x14ac:dyDescent="0.25">
      <c r="A4887" t="str">
        <f>"1120124M00014    00"</f>
        <v>1120124M00014    00</v>
      </c>
      <c r="B4887" t="s">
        <v>11642</v>
      </c>
      <c r="C4887" t="s">
        <v>11263</v>
      </c>
      <c r="E4887" t="s">
        <v>39</v>
      </c>
      <c r="F4887">
        <v>0</v>
      </c>
      <c r="G4887">
        <v>0</v>
      </c>
      <c r="H4887">
        <v>3</v>
      </c>
      <c r="I4887" s="3">
        <v>22.14</v>
      </c>
      <c r="J4887" s="3">
        <v>10.84</v>
      </c>
      <c r="L4887">
        <v>6622</v>
      </c>
      <c r="M4887" t="s">
        <v>3089</v>
      </c>
      <c r="N4887" t="s">
        <v>30</v>
      </c>
      <c r="O4887" t="s">
        <v>31</v>
      </c>
      <c r="P4887" t="str">
        <f t="shared" si="61"/>
        <v>15206</v>
      </c>
    </row>
    <row r="4888" spans="1:16" x14ac:dyDescent="0.25">
      <c r="A4888" t="str">
        <f>"1120124M00015    00"</f>
        <v>1120124M00015    00</v>
      </c>
      <c r="B4888" t="s">
        <v>11642</v>
      </c>
      <c r="C4888" t="s">
        <v>11643</v>
      </c>
      <c r="E4888" t="s">
        <v>39</v>
      </c>
      <c r="F4888">
        <v>0</v>
      </c>
      <c r="G4888">
        <v>0</v>
      </c>
      <c r="H4888">
        <v>1</v>
      </c>
      <c r="I4888" s="3">
        <v>50.51</v>
      </c>
      <c r="J4888" s="3">
        <v>0</v>
      </c>
      <c r="L4888">
        <v>6622</v>
      </c>
      <c r="M4888" t="s">
        <v>3089</v>
      </c>
      <c r="N4888" t="s">
        <v>30</v>
      </c>
      <c r="O4888" t="s">
        <v>31</v>
      </c>
      <c r="P4888" t="str">
        <f t="shared" si="61"/>
        <v>15206</v>
      </c>
    </row>
    <row r="4889" spans="1:16" x14ac:dyDescent="0.25">
      <c r="A4889" t="str">
        <f>"1120124M00016    00"</f>
        <v>1120124M00016    00</v>
      </c>
      <c r="B4889" t="s">
        <v>11644</v>
      </c>
      <c r="C4889" t="s">
        <v>11645</v>
      </c>
      <c r="E4889" t="s">
        <v>39</v>
      </c>
      <c r="F4889">
        <v>0</v>
      </c>
      <c r="G4889">
        <v>0</v>
      </c>
      <c r="H4889">
        <v>1</v>
      </c>
      <c r="I4889" s="3">
        <v>54.62</v>
      </c>
      <c r="J4889" s="3">
        <v>0</v>
      </c>
      <c r="L4889">
        <v>6624</v>
      </c>
      <c r="M4889" t="s">
        <v>3089</v>
      </c>
      <c r="N4889" t="s">
        <v>30</v>
      </c>
      <c r="O4889" t="s">
        <v>31</v>
      </c>
      <c r="P4889" t="str">
        <f t="shared" si="61"/>
        <v>15206</v>
      </c>
    </row>
    <row r="4890" spans="1:16" x14ac:dyDescent="0.25">
      <c r="A4890" t="str">
        <f>"1120124M00017    00"</f>
        <v>1120124M00017    00</v>
      </c>
      <c r="B4890" t="s">
        <v>11646</v>
      </c>
      <c r="C4890" t="s">
        <v>11647</v>
      </c>
      <c r="D4890" t="s">
        <v>20</v>
      </c>
      <c r="E4890" t="s">
        <v>39</v>
      </c>
      <c r="F4890">
        <v>0</v>
      </c>
      <c r="G4890">
        <v>0</v>
      </c>
      <c r="H4890">
        <v>16</v>
      </c>
      <c r="I4890" s="3">
        <v>5492.74</v>
      </c>
      <c r="J4890" s="3">
        <v>4677.24</v>
      </c>
      <c r="L4890">
        <v>6628</v>
      </c>
      <c r="M4890" t="s">
        <v>3089</v>
      </c>
      <c r="N4890" t="s">
        <v>30</v>
      </c>
      <c r="O4890" t="s">
        <v>31</v>
      </c>
      <c r="P4890" t="str">
        <f t="shared" si="61"/>
        <v>15206</v>
      </c>
    </row>
    <row r="4891" spans="1:16" x14ac:dyDescent="0.25">
      <c r="A4891" t="str">
        <f>"1120124M00018    00"</f>
        <v>1120124M00018    00</v>
      </c>
      <c r="B4891" t="s">
        <v>11648</v>
      </c>
      <c r="C4891" t="s">
        <v>11649</v>
      </c>
      <c r="E4891" t="s">
        <v>39</v>
      </c>
      <c r="F4891">
        <v>0</v>
      </c>
      <c r="G4891">
        <v>0</v>
      </c>
      <c r="H4891">
        <v>5</v>
      </c>
      <c r="I4891" s="3">
        <v>1375.48</v>
      </c>
      <c r="J4891" s="3">
        <v>1726.09</v>
      </c>
      <c r="L4891">
        <v>6628</v>
      </c>
      <c r="M4891" t="s">
        <v>11650</v>
      </c>
      <c r="N4891" t="s">
        <v>30</v>
      </c>
      <c r="O4891" t="s">
        <v>31</v>
      </c>
      <c r="P4891" t="str">
        <f t="shared" si="61"/>
        <v>15206</v>
      </c>
    </row>
    <row r="4892" spans="1:16" x14ac:dyDescent="0.25">
      <c r="A4892" t="str">
        <f>"1120124M00024    00"</f>
        <v>1120124M00024    00</v>
      </c>
      <c r="B4892" t="s">
        <v>11651</v>
      </c>
      <c r="C4892" t="s">
        <v>11263</v>
      </c>
      <c r="D4892" t="s">
        <v>20</v>
      </c>
      <c r="E4892" t="s">
        <v>39</v>
      </c>
      <c r="F4892">
        <v>0</v>
      </c>
      <c r="G4892">
        <v>0</v>
      </c>
      <c r="H4892">
        <v>19</v>
      </c>
      <c r="I4892" s="3">
        <v>5577.78</v>
      </c>
      <c r="J4892" s="3">
        <v>7679.06</v>
      </c>
      <c r="L4892">
        <v>1110</v>
      </c>
      <c r="M4892" t="s">
        <v>11652</v>
      </c>
      <c r="N4892" t="s">
        <v>11653</v>
      </c>
      <c r="O4892" t="s">
        <v>606</v>
      </c>
      <c r="P4892" t="str">
        <f>"30058"</f>
        <v>30058</v>
      </c>
    </row>
    <row r="4893" spans="1:16" x14ac:dyDescent="0.25">
      <c r="A4893" t="str">
        <f>"1120124M00027    00"</f>
        <v>1120124M00027    00</v>
      </c>
      <c r="B4893" t="s">
        <v>11654</v>
      </c>
      <c r="C4893" t="s">
        <v>11655</v>
      </c>
      <c r="D4893" t="s">
        <v>20</v>
      </c>
      <c r="E4893" t="s">
        <v>39</v>
      </c>
      <c r="F4893">
        <v>0</v>
      </c>
      <c r="G4893">
        <v>0</v>
      </c>
      <c r="H4893">
        <v>1</v>
      </c>
      <c r="I4893" s="3">
        <v>72.430000000000007</v>
      </c>
      <c r="J4893" s="3">
        <v>0</v>
      </c>
      <c r="M4893" t="s">
        <v>11656</v>
      </c>
      <c r="N4893" t="s">
        <v>30</v>
      </c>
      <c r="O4893" t="s">
        <v>31</v>
      </c>
      <c r="P4893" t="str">
        <f>"15230"</f>
        <v>15230</v>
      </c>
    </row>
    <row r="4894" spans="1:16" x14ac:dyDescent="0.25">
      <c r="A4894" t="str">
        <f>"1120124M00035    00"</f>
        <v>1120124M00035    00</v>
      </c>
      <c r="B4894" t="s">
        <v>11657</v>
      </c>
      <c r="C4894" t="s">
        <v>11658</v>
      </c>
      <c r="D4894" t="s">
        <v>20</v>
      </c>
      <c r="E4894" t="s">
        <v>39</v>
      </c>
      <c r="F4894">
        <v>0</v>
      </c>
      <c r="G4894">
        <v>0</v>
      </c>
      <c r="H4894">
        <v>12</v>
      </c>
      <c r="I4894" s="3">
        <v>1464.12</v>
      </c>
      <c r="J4894" s="3">
        <v>699.12</v>
      </c>
      <c r="L4894">
        <v>6709</v>
      </c>
      <c r="M4894" t="s">
        <v>3089</v>
      </c>
      <c r="N4894" t="s">
        <v>30</v>
      </c>
      <c r="O4894" t="s">
        <v>31</v>
      </c>
      <c r="P4894" t="str">
        <f>"15206"</f>
        <v>15206</v>
      </c>
    </row>
    <row r="4895" spans="1:16" x14ac:dyDescent="0.25">
      <c r="A4895" t="str">
        <f>"1120124M00036    00"</f>
        <v>1120124M00036    00</v>
      </c>
      <c r="B4895" t="s">
        <v>11659</v>
      </c>
      <c r="C4895" t="s">
        <v>11263</v>
      </c>
      <c r="D4895" t="s">
        <v>20</v>
      </c>
      <c r="E4895" t="s">
        <v>39</v>
      </c>
      <c r="F4895">
        <v>0</v>
      </c>
      <c r="G4895">
        <v>0</v>
      </c>
      <c r="H4895">
        <v>19</v>
      </c>
      <c r="I4895" s="3">
        <v>351.08</v>
      </c>
      <c r="J4895" s="3">
        <v>365.58</v>
      </c>
      <c r="K4895" t="s">
        <v>11660</v>
      </c>
      <c r="L4895">
        <v>700</v>
      </c>
      <c r="M4895" t="s">
        <v>11661</v>
      </c>
      <c r="N4895" t="s">
        <v>5847</v>
      </c>
      <c r="O4895" t="s">
        <v>31</v>
      </c>
      <c r="P4895" t="str">
        <f>"15139"</f>
        <v>15139</v>
      </c>
    </row>
    <row r="4896" spans="1:16" x14ac:dyDescent="0.25">
      <c r="A4896" t="str">
        <f>"1120124M00039    00"</f>
        <v>1120124M00039    00</v>
      </c>
      <c r="B4896" t="s">
        <v>11662</v>
      </c>
      <c r="C4896" t="s">
        <v>11263</v>
      </c>
      <c r="D4896" t="s">
        <v>20</v>
      </c>
      <c r="E4896" t="s">
        <v>39</v>
      </c>
      <c r="F4896">
        <v>0</v>
      </c>
      <c r="G4896">
        <v>0</v>
      </c>
      <c r="H4896">
        <v>19</v>
      </c>
      <c r="I4896" s="3">
        <v>351.08</v>
      </c>
      <c r="J4896" s="3">
        <v>365.58</v>
      </c>
      <c r="L4896">
        <v>6914</v>
      </c>
      <c r="M4896" t="s">
        <v>2350</v>
      </c>
      <c r="N4896" t="s">
        <v>30</v>
      </c>
      <c r="O4896" t="s">
        <v>31</v>
      </c>
      <c r="P4896" t="str">
        <f>"15208"</f>
        <v>15208</v>
      </c>
    </row>
    <row r="4897" spans="1:16" x14ac:dyDescent="0.25">
      <c r="A4897" t="str">
        <f>"1120124M00040    00"</f>
        <v>1120124M00040    00</v>
      </c>
      <c r="B4897" t="s">
        <v>11663</v>
      </c>
      <c r="C4897" t="s">
        <v>11263</v>
      </c>
      <c r="D4897" t="s">
        <v>20</v>
      </c>
      <c r="E4897" t="s">
        <v>39</v>
      </c>
      <c r="F4897">
        <v>0</v>
      </c>
      <c r="G4897">
        <v>0</v>
      </c>
      <c r="H4897">
        <v>19</v>
      </c>
      <c r="I4897" s="3">
        <v>351.08</v>
      </c>
      <c r="J4897" s="3">
        <v>365.58</v>
      </c>
      <c r="L4897">
        <v>1273</v>
      </c>
      <c r="M4897" t="s">
        <v>11664</v>
      </c>
      <c r="N4897" t="s">
        <v>30</v>
      </c>
      <c r="O4897" t="s">
        <v>31</v>
      </c>
      <c r="P4897" t="str">
        <f>"15206"</f>
        <v>15206</v>
      </c>
    </row>
    <row r="4898" spans="1:16" x14ac:dyDescent="0.25">
      <c r="A4898" t="str">
        <f>"1120124M00041    00"</f>
        <v>1120124M00041    00</v>
      </c>
      <c r="B4898" t="s">
        <v>11665</v>
      </c>
      <c r="C4898" t="s">
        <v>11263</v>
      </c>
      <c r="D4898" t="s">
        <v>20</v>
      </c>
      <c r="E4898" t="s">
        <v>39</v>
      </c>
      <c r="F4898">
        <v>0</v>
      </c>
      <c r="G4898">
        <v>0</v>
      </c>
      <c r="H4898">
        <v>19</v>
      </c>
      <c r="I4898" s="3">
        <v>400.36</v>
      </c>
      <c r="J4898" s="3">
        <v>436.63</v>
      </c>
      <c r="L4898">
        <v>6643</v>
      </c>
      <c r="M4898" t="s">
        <v>3089</v>
      </c>
      <c r="N4898" t="s">
        <v>30</v>
      </c>
      <c r="O4898" t="s">
        <v>31</v>
      </c>
      <c r="P4898" t="str">
        <f>"15206"</f>
        <v>15206</v>
      </c>
    </row>
    <row r="4899" spans="1:16" x14ac:dyDescent="0.25">
      <c r="A4899" t="str">
        <f>"1120124M00042    00"</f>
        <v>1120124M00042    00</v>
      </c>
      <c r="B4899" t="s">
        <v>11666</v>
      </c>
      <c r="C4899" t="s">
        <v>11263</v>
      </c>
      <c r="D4899" t="s">
        <v>20</v>
      </c>
      <c r="E4899" t="s">
        <v>39</v>
      </c>
      <c r="F4899">
        <v>0</v>
      </c>
      <c r="G4899">
        <v>0</v>
      </c>
      <c r="H4899">
        <v>19</v>
      </c>
      <c r="I4899" s="3">
        <v>10319.59</v>
      </c>
      <c r="J4899" s="3">
        <v>14228.09</v>
      </c>
      <c r="P4899" t="str">
        <f>""</f>
        <v/>
      </c>
    </row>
    <row r="4900" spans="1:16" x14ac:dyDescent="0.25">
      <c r="A4900" t="str">
        <f>"1120124M00044    00"</f>
        <v>1120124M00044    00</v>
      </c>
      <c r="B4900" t="s">
        <v>11667</v>
      </c>
      <c r="C4900" t="s">
        <v>11263</v>
      </c>
      <c r="D4900" t="s">
        <v>20</v>
      </c>
      <c r="E4900" t="s">
        <v>39</v>
      </c>
      <c r="F4900">
        <v>0</v>
      </c>
      <c r="G4900">
        <v>0</v>
      </c>
      <c r="H4900">
        <v>19</v>
      </c>
      <c r="I4900" s="3">
        <v>400.36</v>
      </c>
      <c r="J4900" s="3">
        <v>436.62</v>
      </c>
      <c r="K4900" t="s">
        <v>1008</v>
      </c>
      <c r="P4900" t="str">
        <f>""</f>
        <v/>
      </c>
    </row>
    <row r="4901" spans="1:16" x14ac:dyDescent="0.25">
      <c r="A4901" t="str">
        <f>"1120124M00045    00"</f>
        <v>1120124M00045    00</v>
      </c>
      <c r="B4901" t="s">
        <v>11668</v>
      </c>
      <c r="C4901" t="s">
        <v>11263</v>
      </c>
      <c r="D4901" t="s">
        <v>20</v>
      </c>
      <c r="E4901" t="s">
        <v>39</v>
      </c>
      <c r="F4901">
        <v>0</v>
      </c>
      <c r="G4901">
        <v>0</v>
      </c>
      <c r="H4901">
        <v>19</v>
      </c>
      <c r="I4901" s="3">
        <v>400.36</v>
      </c>
      <c r="J4901" s="3">
        <v>436.62</v>
      </c>
      <c r="K4901" t="s">
        <v>1037</v>
      </c>
      <c r="L4901">
        <v>6633</v>
      </c>
      <c r="M4901" t="s">
        <v>3089</v>
      </c>
      <c r="N4901" t="s">
        <v>30</v>
      </c>
      <c r="O4901" t="s">
        <v>31</v>
      </c>
      <c r="P4901" t="str">
        <f>"15206"</f>
        <v>15206</v>
      </c>
    </row>
    <row r="4902" spans="1:16" x14ac:dyDescent="0.25">
      <c r="A4902" t="str">
        <f>"1120124M00046    00"</f>
        <v>1120124M00046    00</v>
      </c>
      <c r="B4902" t="s">
        <v>11669</v>
      </c>
      <c r="C4902" t="s">
        <v>11263</v>
      </c>
      <c r="E4902" t="s">
        <v>39</v>
      </c>
      <c r="F4902">
        <v>0</v>
      </c>
      <c r="G4902">
        <v>0</v>
      </c>
      <c r="H4902">
        <v>7</v>
      </c>
      <c r="I4902" s="3">
        <v>311.70999999999998</v>
      </c>
      <c r="J4902" s="3">
        <v>392.51</v>
      </c>
      <c r="K4902" t="s">
        <v>11670</v>
      </c>
      <c r="L4902">
        <v>1517</v>
      </c>
      <c r="M4902" t="s">
        <v>11671</v>
      </c>
      <c r="N4902" t="s">
        <v>30</v>
      </c>
      <c r="O4902" t="s">
        <v>31</v>
      </c>
      <c r="P4902" t="str">
        <f>"15221"</f>
        <v>15221</v>
      </c>
    </row>
    <row r="4903" spans="1:16" x14ac:dyDescent="0.25">
      <c r="A4903" t="str">
        <f>"1120124M00047    00"</f>
        <v>1120124M00047    00</v>
      </c>
      <c r="B4903" t="s">
        <v>11672</v>
      </c>
      <c r="C4903" t="s">
        <v>11263</v>
      </c>
      <c r="D4903" t="s">
        <v>20</v>
      </c>
      <c r="E4903" t="s">
        <v>39</v>
      </c>
      <c r="F4903">
        <v>0</v>
      </c>
      <c r="G4903">
        <v>0</v>
      </c>
      <c r="H4903">
        <v>19</v>
      </c>
      <c r="I4903" s="3">
        <v>400.36</v>
      </c>
      <c r="J4903" s="3">
        <v>436.62</v>
      </c>
      <c r="K4903" t="s">
        <v>11673</v>
      </c>
      <c r="L4903">
        <v>5330</v>
      </c>
      <c r="M4903" t="s">
        <v>11674</v>
      </c>
      <c r="N4903" t="s">
        <v>30</v>
      </c>
      <c r="O4903" t="s">
        <v>31</v>
      </c>
      <c r="P4903" t="str">
        <f>"15224"</f>
        <v>15224</v>
      </c>
    </row>
    <row r="4904" spans="1:16" x14ac:dyDescent="0.25">
      <c r="A4904" t="str">
        <f>"1120124M00048    00"</f>
        <v>1120124M00048    00</v>
      </c>
      <c r="B4904" t="s">
        <v>11675</v>
      </c>
      <c r="C4904" t="s">
        <v>11263</v>
      </c>
      <c r="D4904" t="s">
        <v>20</v>
      </c>
      <c r="E4904" t="s">
        <v>39</v>
      </c>
      <c r="F4904">
        <v>0</v>
      </c>
      <c r="G4904">
        <v>0</v>
      </c>
      <c r="H4904">
        <v>17</v>
      </c>
      <c r="I4904" s="3">
        <v>5571.46</v>
      </c>
      <c r="J4904" s="3">
        <v>7939.54</v>
      </c>
      <c r="L4904">
        <v>6627</v>
      </c>
      <c r="M4904" t="s">
        <v>3089</v>
      </c>
      <c r="N4904" t="s">
        <v>30</v>
      </c>
      <c r="O4904" t="s">
        <v>31</v>
      </c>
      <c r="P4904" t="str">
        <f>"15206"</f>
        <v>15206</v>
      </c>
    </row>
    <row r="4905" spans="1:16" x14ac:dyDescent="0.25">
      <c r="A4905" t="str">
        <f>"1120124M00048A   00"</f>
        <v>1120124M00048A   00</v>
      </c>
      <c r="B4905" t="s">
        <v>11676</v>
      </c>
      <c r="C4905" t="s">
        <v>11263</v>
      </c>
      <c r="D4905" t="s">
        <v>20</v>
      </c>
      <c r="E4905" t="s">
        <v>39</v>
      </c>
      <c r="F4905">
        <v>0</v>
      </c>
      <c r="G4905">
        <v>0</v>
      </c>
      <c r="H4905">
        <v>17</v>
      </c>
      <c r="I4905" s="3">
        <v>5003.79</v>
      </c>
      <c r="J4905" s="3">
        <v>7122.18</v>
      </c>
      <c r="L4905">
        <v>1011</v>
      </c>
      <c r="M4905" t="s">
        <v>11677</v>
      </c>
      <c r="N4905" t="s">
        <v>30</v>
      </c>
      <c r="O4905" t="s">
        <v>31</v>
      </c>
      <c r="P4905" t="str">
        <f>"15233"</f>
        <v>15233</v>
      </c>
    </row>
    <row r="4906" spans="1:16" x14ac:dyDescent="0.25">
      <c r="A4906" t="str">
        <f>"1120124M00048B   00"</f>
        <v>1120124M00048B   00</v>
      </c>
      <c r="B4906" t="s">
        <v>11678</v>
      </c>
      <c r="C4906" t="s">
        <v>11263</v>
      </c>
      <c r="D4906" t="s">
        <v>20</v>
      </c>
      <c r="E4906" t="s">
        <v>39</v>
      </c>
      <c r="F4906">
        <v>0</v>
      </c>
      <c r="G4906">
        <v>0</v>
      </c>
      <c r="H4906">
        <v>17</v>
      </c>
      <c r="I4906" s="3">
        <v>2707.81</v>
      </c>
      <c r="J4906" s="3">
        <v>3580.51</v>
      </c>
      <c r="L4906">
        <v>17224</v>
      </c>
      <c r="M4906" t="s">
        <v>11679</v>
      </c>
      <c r="N4906" t="s">
        <v>11680</v>
      </c>
      <c r="O4906" t="s">
        <v>495</v>
      </c>
      <c r="P4906" t="str">
        <f>"91344"</f>
        <v>91344</v>
      </c>
    </row>
    <row r="4907" spans="1:16" x14ac:dyDescent="0.25">
      <c r="A4907" t="str">
        <f>"1120124M00049    00"</f>
        <v>1120124M00049    00</v>
      </c>
      <c r="B4907" t="s">
        <v>11681</v>
      </c>
      <c r="C4907" t="s">
        <v>11263</v>
      </c>
      <c r="D4907" t="s">
        <v>20</v>
      </c>
      <c r="E4907" t="s">
        <v>39</v>
      </c>
      <c r="F4907">
        <v>0</v>
      </c>
      <c r="G4907">
        <v>0</v>
      </c>
      <c r="H4907">
        <v>17</v>
      </c>
      <c r="I4907" s="3">
        <v>5153.99</v>
      </c>
      <c r="J4907" s="3">
        <v>7357.05</v>
      </c>
      <c r="P4907" t="str">
        <f>""</f>
        <v/>
      </c>
    </row>
    <row r="4908" spans="1:16" x14ac:dyDescent="0.25">
      <c r="A4908" t="str">
        <f>"1120124M00050    00"</f>
        <v>1120124M00050    00</v>
      </c>
      <c r="B4908" t="s">
        <v>11681</v>
      </c>
      <c r="C4908" t="s">
        <v>11263</v>
      </c>
      <c r="D4908" t="s">
        <v>20</v>
      </c>
      <c r="E4908" t="s">
        <v>39</v>
      </c>
      <c r="F4908">
        <v>0</v>
      </c>
      <c r="G4908">
        <v>0</v>
      </c>
      <c r="H4908">
        <v>19</v>
      </c>
      <c r="I4908" s="3">
        <v>7748.5</v>
      </c>
      <c r="J4908" s="3">
        <v>8689.44</v>
      </c>
      <c r="L4908">
        <v>3856</v>
      </c>
      <c r="M4908" t="s">
        <v>11682</v>
      </c>
      <c r="N4908" t="s">
        <v>30</v>
      </c>
      <c r="O4908" t="s">
        <v>31</v>
      </c>
      <c r="P4908" t="str">
        <f>"15212"</f>
        <v>15212</v>
      </c>
    </row>
    <row r="4909" spans="1:16" x14ac:dyDescent="0.25">
      <c r="A4909" t="str">
        <f>"1120124M00051    00"</f>
        <v>1120124M00051    00</v>
      </c>
      <c r="B4909" t="s">
        <v>11683</v>
      </c>
      <c r="C4909" t="s">
        <v>11684</v>
      </c>
      <c r="E4909" t="s">
        <v>39</v>
      </c>
      <c r="F4909">
        <v>0</v>
      </c>
      <c r="G4909">
        <v>0</v>
      </c>
      <c r="H4909">
        <v>6</v>
      </c>
      <c r="I4909" s="3">
        <v>2990.04</v>
      </c>
      <c r="J4909" s="3">
        <v>4509.47</v>
      </c>
      <c r="L4909">
        <v>6621</v>
      </c>
      <c r="M4909" t="s">
        <v>3089</v>
      </c>
      <c r="N4909" t="s">
        <v>30</v>
      </c>
      <c r="O4909" t="s">
        <v>31</v>
      </c>
      <c r="P4909" t="str">
        <f>"15206"</f>
        <v>15206</v>
      </c>
    </row>
    <row r="4910" spans="1:16" x14ac:dyDescent="0.25">
      <c r="A4910" t="str">
        <f>"1120124M00052    00"</f>
        <v>1120124M00052    00</v>
      </c>
      <c r="B4910" t="s">
        <v>11685</v>
      </c>
      <c r="C4910" t="s">
        <v>11686</v>
      </c>
      <c r="D4910" t="s">
        <v>20</v>
      </c>
      <c r="E4910" t="s">
        <v>39</v>
      </c>
      <c r="F4910">
        <v>0</v>
      </c>
      <c r="G4910">
        <v>0</v>
      </c>
      <c r="H4910">
        <v>19</v>
      </c>
      <c r="I4910" s="3">
        <v>7499.91</v>
      </c>
      <c r="J4910" s="3">
        <v>8079.96</v>
      </c>
      <c r="L4910">
        <v>6619</v>
      </c>
      <c r="M4910" t="s">
        <v>3089</v>
      </c>
      <c r="N4910" t="s">
        <v>30</v>
      </c>
      <c r="O4910" t="s">
        <v>31</v>
      </c>
      <c r="P4910" t="str">
        <f>"15206"</f>
        <v>15206</v>
      </c>
    </row>
    <row r="4911" spans="1:16" x14ac:dyDescent="0.25">
      <c r="A4911" t="str">
        <f>"1120124M00053    00"</f>
        <v>1120124M00053    00</v>
      </c>
      <c r="B4911" t="s">
        <v>11687</v>
      </c>
      <c r="C4911" t="s">
        <v>11263</v>
      </c>
      <c r="D4911" t="s">
        <v>20</v>
      </c>
      <c r="E4911" t="s">
        <v>39</v>
      </c>
      <c r="F4911">
        <v>0</v>
      </c>
      <c r="G4911">
        <v>0</v>
      </c>
      <c r="H4911">
        <v>17</v>
      </c>
      <c r="I4911" s="3">
        <v>4998.8100000000004</v>
      </c>
      <c r="J4911" s="3">
        <v>7120.43</v>
      </c>
      <c r="L4911">
        <v>6625</v>
      </c>
      <c r="M4911" t="s">
        <v>3089</v>
      </c>
      <c r="N4911" t="s">
        <v>30</v>
      </c>
      <c r="O4911" t="s">
        <v>31</v>
      </c>
      <c r="P4911" t="str">
        <f>"15206"</f>
        <v>15206</v>
      </c>
    </row>
    <row r="4912" spans="1:16" x14ac:dyDescent="0.25">
      <c r="A4912" t="str">
        <f>"1120124M00053A   00"</f>
        <v>1120124M00053A   00</v>
      </c>
      <c r="B4912" t="s">
        <v>11688</v>
      </c>
      <c r="C4912" t="s">
        <v>11689</v>
      </c>
      <c r="D4912" t="s">
        <v>20</v>
      </c>
      <c r="E4912" t="s">
        <v>39</v>
      </c>
      <c r="F4912">
        <v>0</v>
      </c>
      <c r="G4912">
        <v>0</v>
      </c>
      <c r="H4912">
        <v>18</v>
      </c>
      <c r="I4912" s="3">
        <v>4367.8100000000004</v>
      </c>
      <c r="J4912" s="3">
        <v>5271.91</v>
      </c>
      <c r="L4912">
        <v>6617</v>
      </c>
      <c r="M4912" t="s">
        <v>3089</v>
      </c>
      <c r="N4912" t="s">
        <v>30</v>
      </c>
      <c r="O4912" t="s">
        <v>31</v>
      </c>
      <c r="P4912" t="str">
        <f>"15206"</f>
        <v>15206</v>
      </c>
    </row>
    <row r="4913" spans="1:16" x14ac:dyDescent="0.25">
      <c r="A4913" t="str">
        <f>"1120124M00054    00"</f>
        <v>1120124M00054    00</v>
      </c>
      <c r="B4913" t="s">
        <v>11690</v>
      </c>
      <c r="C4913" t="s">
        <v>11263</v>
      </c>
      <c r="D4913" t="s">
        <v>20</v>
      </c>
      <c r="E4913" t="s">
        <v>39</v>
      </c>
      <c r="F4913">
        <v>0</v>
      </c>
      <c r="G4913">
        <v>0</v>
      </c>
      <c r="H4913">
        <v>19</v>
      </c>
      <c r="I4913" s="3">
        <v>351.08</v>
      </c>
      <c r="J4913" s="3">
        <v>365.58</v>
      </c>
      <c r="K4913" t="s">
        <v>1008</v>
      </c>
      <c r="P4913" t="str">
        <f>""</f>
        <v/>
      </c>
    </row>
    <row r="4914" spans="1:16" x14ac:dyDescent="0.25">
      <c r="A4914" t="str">
        <f>"1120124M00055    00"</f>
        <v>1120124M00055    00</v>
      </c>
      <c r="B4914" t="s">
        <v>11691</v>
      </c>
      <c r="C4914" t="s">
        <v>11263</v>
      </c>
      <c r="D4914" t="s">
        <v>20</v>
      </c>
      <c r="E4914" t="s">
        <v>39</v>
      </c>
      <c r="F4914">
        <v>0</v>
      </c>
      <c r="G4914">
        <v>0</v>
      </c>
      <c r="H4914">
        <v>19</v>
      </c>
      <c r="I4914" s="3">
        <v>949.17</v>
      </c>
      <c r="J4914" s="3">
        <v>726.78</v>
      </c>
      <c r="L4914">
        <v>6609</v>
      </c>
      <c r="M4914" t="s">
        <v>3089</v>
      </c>
      <c r="N4914" t="s">
        <v>30</v>
      </c>
      <c r="O4914" t="s">
        <v>31</v>
      </c>
      <c r="P4914" t="str">
        <f>"15206"</f>
        <v>15206</v>
      </c>
    </row>
    <row r="4915" spans="1:16" x14ac:dyDescent="0.25">
      <c r="A4915" t="str">
        <f>"1120124M00056    00"</f>
        <v>1120124M00056    00</v>
      </c>
      <c r="B4915" t="s">
        <v>11692</v>
      </c>
      <c r="C4915" t="s">
        <v>11263</v>
      </c>
      <c r="D4915" t="s">
        <v>20</v>
      </c>
      <c r="E4915" t="s">
        <v>39</v>
      </c>
      <c r="F4915">
        <v>0</v>
      </c>
      <c r="G4915">
        <v>0</v>
      </c>
      <c r="H4915">
        <v>8</v>
      </c>
      <c r="I4915" s="3">
        <v>421.27</v>
      </c>
      <c r="J4915" s="3">
        <v>120.15</v>
      </c>
      <c r="K4915" t="s">
        <v>11693</v>
      </c>
      <c r="L4915">
        <v>6638</v>
      </c>
      <c r="M4915" t="s">
        <v>2413</v>
      </c>
      <c r="N4915" t="s">
        <v>30</v>
      </c>
      <c r="O4915" t="s">
        <v>31</v>
      </c>
      <c r="P4915" t="str">
        <f>"15206"</f>
        <v>15206</v>
      </c>
    </row>
    <row r="4916" spans="1:16" x14ac:dyDescent="0.25">
      <c r="A4916" t="str">
        <f>"1120124M00057    00"</f>
        <v>1120124M00057    00</v>
      </c>
      <c r="B4916" t="s">
        <v>11694</v>
      </c>
      <c r="C4916" t="s">
        <v>11263</v>
      </c>
      <c r="D4916" t="s">
        <v>20</v>
      </c>
      <c r="E4916" t="s">
        <v>39</v>
      </c>
      <c r="F4916">
        <v>0</v>
      </c>
      <c r="G4916">
        <v>0</v>
      </c>
      <c r="H4916">
        <v>19</v>
      </c>
      <c r="I4916" s="3">
        <v>949.17</v>
      </c>
      <c r="J4916" s="3">
        <v>726.78</v>
      </c>
      <c r="L4916">
        <v>1208</v>
      </c>
      <c r="M4916" t="s">
        <v>11695</v>
      </c>
      <c r="N4916" t="s">
        <v>30</v>
      </c>
      <c r="O4916" t="s">
        <v>31</v>
      </c>
      <c r="P4916" t="str">
        <f>"15206"</f>
        <v>15206</v>
      </c>
    </row>
    <row r="4917" spans="1:16" x14ac:dyDescent="0.25">
      <c r="A4917" t="str">
        <f>"1120124M00122    00"</f>
        <v>1120124M00122    00</v>
      </c>
      <c r="B4917" t="s">
        <v>11696</v>
      </c>
      <c r="C4917" t="s">
        <v>11697</v>
      </c>
      <c r="D4917" t="s">
        <v>20</v>
      </c>
      <c r="E4917" t="s">
        <v>39</v>
      </c>
      <c r="F4917">
        <v>0</v>
      </c>
      <c r="G4917">
        <v>0</v>
      </c>
      <c r="H4917">
        <v>9</v>
      </c>
      <c r="I4917" s="3">
        <v>931.54</v>
      </c>
      <c r="J4917" s="3">
        <v>1059.08</v>
      </c>
      <c r="L4917">
        <v>405</v>
      </c>
      <c r="M4917" t="s">
        <v>11698</v>
      </c>
      <c r="N4917" t="s">
        <v>11322</v>
      </c>
      <c r="O4917" t="s">
        <v>31</v>
      </c>
      <c r="P4917" t="str">
        <f>"18102"</f>
        <v>18102</v>
      </c>
    </row>
    <row r="4918" spans="1:16" x14ac:dyDescent="0.25">
      <c r="A4918" t="str">
        <f>"1120124M00128    00"</f>
        <v>1120124M00128    00</v>
      </c>
      <c r="B4918" t="s">
        <v>11699</v>
      </c>
      <c r="C4918" t="s">
        <v>11235</v>
      </c>
      <c r="D4918" t="s">
        <v>20</v>
      </c>
      <c r="E4918" t="s">
        <v>39</v>
      </c>
      <c r="F4918">
        <v>0</v>
      </c>
      <c r="G4918">
        <v>0</v>
      </c>
      <c r="H4918">
        <v>19</v>
      </c>
      <c r="I4918" s="3">
        <v>400.36</v>
      </c>
      <c r="J4918" s="3">
        <v>436.62</v>
      </c>
      <c r="L4918">
        <v>6608</v>
      </c>
      <c r="M4918" t="s">
        <v>11238</v>
      </c>
      <c r="N4918" t="s">
        <v>30</v>
      </c>
      <c r="O4918" t="s">
        <v>31</v>
      </c>
      <c r="P4918" t="str">
        <f>"15206"</f>
        <v>15206</v>
      </c>
    </row>
    <row r="4919" spans="1:16" x14ac:dyDescent="0.25">
      <c r="A4919" t="str">
        <f>"1120124M00131    00"</f>
        <v>1120124M00131    00</v>
      </c>
      <c r="B4919" t="s">
        <v>11700</v>
      </c>
      <c r="C4919" t="s">
        <v>11701</v>
      </c>
      <c r="D4919" t="s">
        <v>20</v>
      </c>
      <c r="E4919" t="s">
        <v>39</v>
      </c>
      <c r="F4919">
        <v>0</v>
      </c>
      <c r="G4919">
        <v>0</v>
      </c>
      <c r="H4919">
        <v>1</v>
      </c>
      <c r="I4919" s="3">
        <v>170.91</v>
      </c>
      <c r="J4919" s="3">
        <v>0</v>
      </c>
      <c r="L4919">
        <v>6616</v>
      </c>
      <c r="M4919" t="s">
        <v>11238</v>
      </c>
      <c r="N4919" t="s">
        <v>30</v>
      </c>
      <c r="O4919" t="s">
        <v>31</v>
      </c>
      <c r="P4919" t="str">
        <f>"15206"</f>
        <v>15206</v>
      </c>
    </row>
    <row r="4920" spans="1:16" x14ac:dyDescent="0.25">
      <c r="A4920" t="str">
        <f>"1120124M00135    00"</f>
        <v>1120124M00135    00</v>
      </c>
      <c r="B4920" t="s">
        <v>11702</v>
      </c>
      <c r="C4920" t="s">
        <v>11703</v>
      </c>
      <c r="D4920" t="s">
        <v>20</v>
      </c>
      <c r="E4920" t="s">
        <v>39</v>
      </c>
      <c r="F4920">
        <v>0</v>
      </c>
      <c r="G4920">
        <v>0</v>
      </c>
      <c r="H4920">
        <v>2</v>
      </c>
      <c r="I4920" s="3">
        <v>695.72</v>
      </c>
      <c r="J4920" s="3">
        <v>97.59</v>
      </c>
      <c r="L4920">
        <v>1131</v>
      </c>
      <c r="M4920" t="s">
        <v>2955</v>
      </c>
      <c r="N4920" t="s">
        <v>636</v>
      </c>
      <c r="O4920" t="s">
        <v>31</v>
      </c>
      <c r="P4920" t="str">
        <f>"15104"</f>
        <v>15104</v>
      </c>
    </row>
    <row r="4921" spans="1:16" x14ac:dyDescent="0.25">
      <c r="A4921" t="str">
        <f>"1120124M00140    00"</f>
        <v>1120124M00140    00</v>
      </c>
      <c r="B4921" t="s">
        <v>11704</v>
      </c>
      <c r="C4921" t="s">
        <v>11705</v>
      </c>
      <c r="D4921" t="s">
        <v>20</v>
      </c>
      <c r="E4921" t="s">
        <v>39</v>
      </c>
      <c r="F4921">
        <v>0</v>
      </c>
      <c r="G4921">
        <v>0</v>
      </c>
      <c r="H4921">
        <v>3</v>
      </c>
      <c r="I4921" s="3">
        <v>1083.68</v>
      </c>
      <c r="J4921" s="3">
        <v>66.33</v>
      </c>
      <c r="K4921" t="s">
        <v>1632</v>
      </c>
      <c r="L4921">
        <v>3001</v>
      </c>
      <c r="M4921" t="s">
        <v>330</v>
      </c>
      <c r="N4921" t="s">
        <v>331</v>
      </c>
      <c r="O4921" t="s">
        <v>108</v>
      </c>
      <c r="P4921" t="str">
        <f>"75063"</f>
        <v>75063</v>
      </c>
    </row>
    <row r="4922" spans="1:16" x14ac:dyDescent="0.25">
      <c r="A4922" t="str">
        <f>"1120124M00141    00"</f>
        <v>1120124M00141    00</v>
      </c>
      <c r="B4922" t="s">
        <v>11704</v>
      </c>
      <c r="C4922" t="s">
        <v>11235</v>
      </c>
      <c r="D4922" t="s">
        <v>20</v>
      </c>
      <c r="E4922" t="s">
        <v>39</v>
      </c>
      <c r="F4922">
        <v>0</v>
      </c>
      <c r="G4922">
        <v>0</v>
      </c>
      <c r="H4922">
        <v>5</v>
      </c>
      <c r="I4922" s="3">
        <v>108.07</v>
      </c>
      <c r="J4922" s="3">
        <v>18.170000000000002</v>
      </c>
      <c r="K4922" t="s">
        <v>1632</v>
      </c>
      <c r="L4922">
        <v>3001</v>
      </c>
      <c r="M4922" t="s">
        <v>330</v>
      </c>
      <c r="N4922" t="s">
        <v>331</v>
      </c>
      <c r="O4922" t="s">
        <v>108</v>
      </c>
      <c r="P4922" t="str">
        <f>"75063"</f>
        <v>75063</v>
      </c>
    </row>
    <row r="4923" spans="1:16" x14ac:dyDescent="0.25">
      <c r="A4923" t="str">
        <f>"1120124M00153    00"</f>
        <v>1120124M00153    00</v>
      </c>
      <c r="B4923" t="s">
        <v>11706</v>
      </c>
      <c r="C4923" t="s">
        <v>11235</v>
      </c>
      <c r="D4923" t="s">
        <v>20</v>
      </c>
      <c r="E4923" t="s">
        <v>39</v>
      </c>
      <c r="F4923">
        <v>0</v>
      </c>
      <c r="G4923">
        <v>0</v>
      </c>
      <c r="H4923">
        <v>19</v>
      </c>
      <c r="I4923" s="3">
        <v>3551.14</v>
      </c>
      <c r="J4923" s="3">
        <v>2716.64</v>
      </c>
      <c r="M4923" t="s">
        <v>11707</v>
      </c>
      <c r="N4923" t="s">
        <v>30</v>
      </c>
      <c r="O4923" t="s">
        <v>31</v>
      </c>
      <c r="P4923" t="str">
        <f>"15235"</f>
        <v>15235</v>
      </c>
    </row>
    <row r="4924" spans="1:16" x14ac:dyDescent="0.25">
      <c r="A4924" t="str">
        <f>"1120124M00154    00"</f>
        <v>1120124M00154    00</v>
      </c>
      <c r="B4924" t="s">
        <v>11706</v>
      </c>
      <c r="C4924" t="s">
        <v>11235</v>
      </c>
      <c r="D4924" t="s">
        <v>20</v>
      </c>
      <c r="E4924" t="s">
        <v>39</v>
      </c>
      <c r="F4924">
        <v>0</v>
      </c>
      <c r="G4924">
        <v>0</v>
      </c>
      <c r="H4924">
        <v>19</v>
      </c>
      <c r="I4924" s="3">
        <v>440.99</v>
      </c>
      <c r="J4924" s="3">
        <v>411.83</v>
      </c>
      <c r="L4924">
        <v>1601</v>
      </c>
      <c r="M4924" t="s">
        <v>585</v>
      </c>
      <c r="N4924" t="s">
        <v>30</v>
      </c>
      <c r="O4924" t="s">
        <v>31</v>
      </c>
      <c r="P4924" t="str">
        <f>"15221"</f>
        <v>15221</v>
      </c>
    </row>
    <row r="4925" spans="1:16" x14ac:dyDescent="0.25">
      <c r="A4925" t="str">
        <f>"1120124M00161    00"</f>
        <v>1120124M00161    00</v>
      </c>
      <c r="B4925" t="s">
        <v>11708</v>
      </c>
      <c r="C4925" t="s">
        <v>11709</v>
      </c>
      <c r="D4925" t="s">
        <v>20</v>
      </c>
      <c r="E4925" t="s">
        <v>21</v>
      </c>
      <c r="F4925">
        <v>0</v>
      </c>
      <c r="G4925">
        <v>0</v>
      </c>
      <c r="H4925">
        <v>1</v>
      </c>
      <c r="I4925" s="3">
        <v>1330.4</v>
      </c>
      <c r="J4925" s="3">
        <v>0</v>
      </c>
      <c r="L4925">
        <v>613</v>
      </c>
      <c r="M4925" t="s">
        <v>11710</v>
      </c>
      <c r="N4925" t="s">
        <v>30</v>
      </c>
      <c r="O4925" t="s">
        <v>31</v>
      </c>
      <c r="P4925" t="str">
        <f>"15232"</f>
        <v>15232</v>
      </c>
    </row>
    <row r="4926" spans="1:16" x14ac:dyDescent="0.25">
      <c r="A4926" t="str">
        <f>"1120124M00162    00"</f>
        <v>1120124M00162    00</v>
      </c>
      <c r="B4926" t="s">
        <v>11711</v>
      </c>
      <c r="C4926" t="s">
        <v>11235</v>
      </c>
      <c r="D4926" t="s">
        <v>20</v>
      </c>
      <c r="E4926" t="s">
        <v>39</v>
      </c>
      <c r="F4926">
        <v>0</v>
      </c>
      <c r="G4926">
        <v>0</v>
      </c>
      <c r="H4926">
        <v>19</v>
      </c>
      <c r="I4926" s="3">
        <v>3211.46</v>
      </c>
      <c r="J4926" s="3">
        <v>4678.8999999999996</v>
      </c>
      <c r="L4926">
        <v>5351</v>
      </c>
      <c r="M4926" t="s">
        <v>7962</v>
      </c>
      <c r="N4926" t="s">
        <v>30</v>
      </c>
      <c r="O4926" t="s">
        <v>31</v>
      </c>
      <c r="P4926" t="str">
        <f>"15224"</f>
        <v>15224</v>
      </c>
    </row>
    <row r="4927" spans="1:16" x14ac:dyDescent="0.25">
      <c r="A4927" t="str">
        <f>"1120124M00174    00"</f>
        <v>1120124M00174    00</v>
      </c>
      <c r="B4927" t="s">
        <v>11712</v>
      </c>
      <c r="C4927" t="s">
        <v>11235</v>
      </c>
      <c r="D4927" t="s">
        <v>20</v>
      </c>
      <c r="E4927" t="s">
        <v>39</v>
      </c>
      <c r="F4927">
        <v>0</v>
      </c>
      <c r="G4927">
        <v>0</v>
      </c>
      <c r="H4927">
        <v>19</v>
      </c>
      <c r="I4927" s="3">
        <v>6389.27</v>
      </c>
      <c r="J4927" s="3">
        <v>8593.02</v>
      </c>
      <c r="L4927">
        <v>6649</v>
      </c>
      <c r="M4927" t="s">
        <v>11238</v>
      </c>
      <c r="N4927" t="s">
        <v>30</v>
      </c>
      <c r="O4927" t="s">
        <v>31</v>
      </c>
      <c r="P4927" t="str">
        <f>"15206"</f>
        <v>15206</v>
      </c>
    </row>
    <row r="4928" spans="1:16" x14ac:dyDescent="0.25">
      <c r="A4928" t="str">
        <f>"1120124M00176    00"</f>
        <v>1120124M00176    00</v>
      </c>
      <c r="B4928" t="s">
        <v>11713</v>
      </c>
      <c r="C4928" t="s">
        <v>11714</v>
      </c>
      <c r="D4928" t="s">
        <v>20</v>
      </c>
      <c r="E4928" t="s">
        <v>39</v>
      </c>
      <c r="F4928">
        <v>0</v>
      </c>
      <c r="G4928">
        <v>0</v>
      </c>
      <c r="H4928">
        <v>2</v>
      </c>
      <c r="I4928" s="3">
        <v>451.63</v>
      </c>
      <c r="J4928" s="3">
        <v>0</v>
      </c>
      <c r="L4928">
        <v>6645</v>
      </c>
      <c r="M4928" t="s">
        <v>11238</v>
      </c>
      <c r="N4928" t="s">
        <v>30</v>
      </c>
      <c r="O4928" t="s">
        <v>31</v>
      </c>
      <c r="P4928" t="str">
        <f>"15206"</f>
        <v>15206</v>
      </c>
    </row>
    <row r="4929" spans="1:16" x14ac:dyDescent="0.25">
      <c r="A4929" t="str">
        <f>"1120124M00177    00"</f>
        <v>1120124M00177    00</v>
      </c>
      <c r="B4929" t="s">
        <v>11715</v>
      </c>
      <c r="C4929" t="s">
        <v>11716</v>
      </c>
      <c r="D4929" t="s">
        <v>20</v>
      </c>
      <c r="E4929" t="s">
        <v>39</v>
      </c>
      <c r="F4929">
        <v>0</v>
      </c>
      <c r="G4929">
        <v>0</v>
      </c>
      <c r="H4929">
        <v>7</v>
      </c>
      <c r="I4929" s="3">
        <v>2794.19</v>
      </c>
      <c r="J4929" s="3">
        <v>605.04999999999995</v>
      </c>
      <c r="L4929">
        <v>6643</v>
      </c>
      <c r="M4929" t="s">
        <v>11238</v>
      </c>
      <c r="N4929" t="s">
        <v>30</v>
      </c>
      <c r="O4929" t="s">
        <v>31</v>
      </c>
      <c r="P4929" t="str">
        <f>"15206"</f>
        <v>15206</v>
      </c>
    </row>
    <row r="4930" spans="1:16" x14ac:dyDescent="0.25">
      <c r="A4930" t="str">
        <f>"1120124M00180    00"</f>
        <v>1120124M00180    00</v>
      </c>
      <c r="B4930" t="s">
        <v>11717</v>
      </c>
      <c r="C4930" t="s">
        <v>11235</v>
      </c>
      <c r="D4930" t="s">
        <v>20</v>
      </c>
      <c r="E4930" t="s">
        <v>39</v>
      </c>
      <c r="F4930">
        <v>0</v>
      </c>
      <c r="G4930">
        <v>0</v>
      </c>
      <c r="H4930">
        <v>14</v>
      </c>
      <c r="I4930" s="3">
        <v>944.54</v>
      </c>
      <c r="J4930" s="3">
        <v>590.63</v>
      </c>
      <c r="K4930" t="s">
        <v>11718</v>
      </c>
      <c r="L4930">
        <v>6637</v>
      </c>
      <c r="M4930" t="s">
        <v>11238</v>
      </c>
      <c r="N4930" t="s">
        <v>30</v>
      </c>
      <c r="O4930" t="s">
        <v>31</v>
      </c>
      <c r="P4930" t="str">
        <f>"15206"</f>
        <v>15206</v>
      </c>
    </row>
    <row r="4931" spans="1:16" x14ac:dyDescent="0.25">
      <c r="A4931" t="str">
        <f>"1120124M00181    00"</f>
        <v>1120124M00181    00</v>
      </c>
      <c r="B4931" t="s">
        <v>11717</v>
      </c>
      <c r="C4931" t="s">
        <v>11719</v>
      </c>
      <c r="D4931" t="s">
        <v>20</v>
      </c>
      <c r="E4931" t="s">
        <v>39</v>
      </c>
      <c r="F4931">
        <v>0</v>
      </c>
      <c r="G4931">
        <v>0</v>
      </c>
      <c r="H4931">
        <v>17</v>
      </c>
      <c r="I4931" s="3">
        <v>7526.23</v>
      </c>
      <c r="J4931" s="3">
        <v>8730.44</v>
      </c>
      <c r="L4931">
        <v>6637</v>
      </c>
      <c r="M4931" t="s">
        <v>11238</v>
      </c>
      <c r="N4931" t="s">
        <v>30</v>
      </c>
      <c r="O4931" t="s">
        <v>31</v>
      </c>
      <c r="P4931" t="str">
        <f>"15206"</f>
        <v>15206</v>
      </c>
    </row>
    <row r="4932" spans="1:16" x14ac:dyDescent="0.25">
      <c r="A4932" t="str">
        <f>"1120124M00182    00"</f>
        <v>1120124M00182    00</v>
      </c>
      <c r="B4932" t="s">
        <v>11720</v>
      </c>
      <c r="C4932" t="s">
        <v>11721</v>
      </c>
      <c r="D4932" t="s">
        <v>20</v>
      </c>
      <c r="E4932" t="s">
        <v>39</v>
      </c>
      <c r="F4932">
        <v>0</v>
      </c>
      <c r="G4932">
        <v>0</v>
      </c>
      <c r="H4932">
        <v>14</v>
      </c>
      <c r="I4932" s="3">
        <v>6021.47</v>
      </c>
      <c r="J4932" s="3">
        <v>3946.41</v>
      </c>
      <c r="K4932" t="s">
        <v>11722</v>
      </c>
      <c r="L4932">
        <v>3000</v>
      </c>
      <c r="M4932" t="s">
        <v>11723</v>
      </c>
      <c r="N4932" t="s">
        <v>509</v>
      </c>
      <c r="O4932" t="s">
        <v>31</v>
      </c>
      <c r="P4932" t="str">
        <f>"19134"</f>
        <v>19134</v>
      </c>
    </row>
    <row r="4933" spans="1:16" x14ac:dyDescent="0.25">
      <c r="A4933" t="str">
        <f>"1120124M00186    00"</f>
        <v>1120124M00186    00</v>
      </c>
      <c r="B4933" t="s">
        <v>11724</v>
      </c>
      <c r="C4933" t="s">
        <v>11235</v>
      </c>
      <c r="D4933" t="s">
        <v>20</v>
      </c>
      <c r="E4933" t="s">
        <v>39</v>
      </c>
      <c r="F4933">
        <v>0</v>
      </c>
      <c r="G4933">
        <v>0</v>
      </c>
      <c r="H4933">
        <v>19</v>
      </c>
      <c r="I4933" s="3">
        <v>1220.9100000000001</v>
      </c>
      <c r="J4933" s="3">
        <v>937.87</v>
      </c>
      <c r="L4933">
        <v>2440</v>
      </c>
      <c r="M4933" t="s">
        <v>11725</v>
      </c>
      <c r="N4933" t="s">
        <v>30</v>
      </c>
      <c r="O4933" t="s">
        <v>31</v>
      </c>
      <c r="P4933" t="str">
        <f>"15221"</f>
        <v>15221</v>
      </c>
    </row>
    <row r="4934" spans="1:16" x14ac:dyDescent="0.25">
      <c r="A4934" t="str">
        <f>"1120124M00188    00"</f>
        <v>1120124M00188    00</v>
      </c>
      <c r="B4934" t="s">
        <v>11724</v>
      </c>
      <c r="C4934" t="s">
        <v>11235</v>
      </c>
      <c r="D4934" t="s">
        <v>20</v>
      </c>
      <c r="E4934" t="s">
        <v>39</v>
      </c>
      <c r="F4934">
        <v>0</v>
      </c>
      <c r="G4934">
        <v>0</v>
      </c>
      <c r="H4934">
        <v>19</v>
      </c>
      <c r="I4934" s="3">
        <v>1292.03</v>
      </c>
      <c r="J4934" s="3">
        <v>1020.38</v>
      </c>
      <c r="L4934">
        <v>2440</v>
      </c>
      <c r="M4934" t="s">
        <v>11725</v>
      </c>
      <c r="N4934" t="s">
        <v>30</v>
      </c>
      <c r="O4934" t="s">
        <v>31</v>
      </c>
      <c r="P4934" t="str">
        <f>"15221"</f>
        <v>15221</v>
      </c>
    </row>
    <row r="4935" spans="1:16" x14ac:dyDescent="0.25">
      <c r="A4935" t="str">
        <f>"1120124M00189    00"</f>
        <v>1120124M00189    00</v>
      </c>
      <c r="B4935" t="s">
        <v>11726</v>
      </c>
      <c r="C4935" t="s">
        <v>11727</v>
      </c>
      <c r="D4935" t="s">
        <v>20</v>
      </c>
      <c r="E4935" t="s">
        <v>39</v>
      </c>
      <c r="F4935">
        <v>0</v>
      </c>
      <c r="G4935">
        <v>0</v>
      </c>
      <c r="H4935">
        <v>13</v>
      </c>
      <c r="I4935" s="3">
        <v>3573.86</v>
      </c>
      <c r="J4935" s="3">
        <v>3227.23</v>
      </c>
      <c r="L4935">
        <v>6619</v>
      </c>
      <c r="M4935" t="s">
        <v>11238</v>
      </c>
      <c r="N4935" t="s">
        <v>30</v>
      </c>
      <c r="O4935" t="s">
        <v>31</v>
      </c>
      <c r="P4935" t="str">
        <f>"15206"</f>
        <v>15206</v>
      </c>
    </row>
    <row r="4936" spans="1:16" x14ac:dyDescent="0.25">
      <c r="A4936" t="str">
        <f>"1120124M00190    00"</f>
        <v>1120124M00190    00</v>
      </c>
      <c r="B4936" t="s">
        <v>11728</v>
      </c>
      <c r="C4936" t="s">
        <v>11235</v>
      </c>
      <c r="D4936" t="s">
        <v>20</v>
      </c>
      <c r="E4936" t="s">
        <v>39</v>
      </c>
      <c r="F4936">
        <v>0</v>
      </c>
      <c r="G4936">
        <v>0</v>
      </c>
      <c r="H4936">
        <v>19</v>
      </c>
      <c r="I4936" s="3">
        <v>946.6</v>
      </c>
      <c r="J4936" s="3">
        <v>702.85</v>
      </c>
      <c r="L4936">
        <v>6617</v>
      </c>
      <c r="M4936" t="s">
        <v>11238</v>
      </c>
      <c r="N4936" t="s">
        <v>30</v>
      </c>
      <c r="O4936" t="s">
        <v>31</v>
      </c>
      <c r="P4936" t="str">
        <f>"15206"</f>
        <v>15206</v>
      </c>
    </row>
    <row r="4937" spans="1:16" x14ac:dyDescent="0.25">
      <c r="A4937" t="str">
        <f>"1120124M00191    00"</f>
        <v>1120124M00191    00</v>
      </c>
      <c r="B4937" t="s">
        <v>11729</v>
      </c>
      <c r="C4937" t="s">
        <v>11235</v>
      </c>
      <c r="D4937" t="s">
        <v>20</v>
      </c>
      <c r="E4937" t="s">
        <v>39</v>
      </c>
      <c r="F4937">
        <v>0</v>
      </c>
      <c r="G4937">
        <v>0</v>
      </c>
      <c r="H4937">
        <v>19</v>
      </c>
      <c r="I4937" s="3">
        <v>2584.98</v>
      </c>
      <c r="J4937" s="3">
        <v>3027.99</v>
      </c>
      <c r="L4937">
        <v>540</v>
      </c>
      <c r="M4937" t="s">
        <v>11730</v>
      </c>
      <c r="N4937" t="s">
        <v>11731</v>
      </c>
      <c r="O4937" t="s">
        <v>370</v>
      </c>
      <c r="P4937" t="str">
        <f>"33311"</f>
        <v>33311</v>
      </c>
    </row>
    <row r="4938" spans="1:16" x14ac:dyDescent="0.25">
      <c r="A4938" t="str">
        <f>"1120124M00192    00"</f>
        <v>1120124M00192    00</v>
      </c>
      <c r="B4938" t="s">
        <v>11732</v>
      </c>
      <c r="C4938" t="s">
        <v>11733</v>
      </c>
      <c r="D4938" t="s">
        <v>20</v>
      </c>
      <c r="E4938" t="s">
        <v>39</v>
      </c>
      <c r="F4938">
        <v>0</v>
      </c>
      <c r="G4938">
        <v>0</v>
      </c>
      <c r="H4938">
        <v>8</v>
      </c>
      <c r="I4938" s="3">
        <v>3374.41</v>
      </c>
      <c r="J4938" s="3">
        <v>1104.1400000000001</v>
      </c>
      <c r="L4938">
        <v>6613</v>
      </c>
      <c r="M4938" t="s">
        <v>11238</v>
      </c>
      <c r="N4938" t="s">
        <v>30</v>
      </c>
      <c r="O4938" t="s">
        <v>31</v>
      </c>
      <c r="P4938" t="str">
        <f>"15206"</f>
        <v>15206</v>
      </c>
    </row>
    <row r="4939" spans="1:16" x14ac:dyDescent="0.25">
      <c r="A4939" t="str">
        <f>"1120124M00193    00"</f>
        <v>1120124M00193    00</v>
      </c>
      <c r="B4939" t="s">
        <v>11358</v>
      </c>
      <c r="C4939" t="s">
        <v>11235</v>
      </c>
      <c r="D4939" t="s">
        <v>20</v>
      </c>
      <c r="E4939" t="s">
        <v>39</v>
      </c>
      <c r="F4939">
        <v>0</v>
      </c>
      <c r="G4939">
        <v>0</v>
      </c>
      <c r="H4939">
        <v>19</v>
      </c>
      <c r="I4939" s="3">
        <v>6595.87</v>
      </c>
      <c r="J4939" s="3">
        <v>8953.7099999999991</v>
      </c>
      <c r="L4939">
        <v>486</v>
      </c>
      <c r="M4939" t="s">
        <v>4950</v>
      </c>
      <c r="N4939" t="s">
        <v>30</v>
      </c>
      <c r="O4939" t="s">
        <v>31</v>
      </c>
      <c r="P4939" t="str">
        <f>"15235"</f>
        <v>15235</v>
      </c>
    </row>
    <row r="4940" spans="1:16" x14ac:dyDescent="0.25">
      <c r="A4940" t="str">
        <f>"1120124M00195    00"</f>
        <v>1120124M00195    00</v>
      </c>
      <c r="B4940" t="s">
        <v>11734</v>
      </c>
      <c r="C4940" t="s">
        <v>11735</v>
      </c>
      <c r="D4940" t="s">
        <v>20</v>
      </c>
      <c r="E4940" t="s">
        <v>39</v>
      </c>
      <c r="F4940">
        <v>0</v>
      </c>
      <c r="G4940">
        <v>0</v>
      </c>
      <c r="H4940">
        <v>16</v>
      </c>
      <c r="I4940" s="3">
        <v>6944.01</v>
      </c>
      <c r="J4940" s="3">
        <v>5907.5</v>
      </c>
      <c r="K4940" t="s">
        <v>11736</v>
      </c>
      <c r="P4940" t="str">
        <f>""</f>
        <v/>
      </c>
    </row>
    <row r="4941" spans="1:16" x14ac:dyDescent="0.25">
      <c r="A4941" t="str">
        <f>"1120124M00242    00"</f>
        <v>1120124M00242    00</v>
      </c>
      <c r="B4941" t="s">
        <v>11737</v>
      </c>
      <c r="C4941" t="s">
        <v>11738</v>
      </c>
      <c r="D4941" t="s">
        <v>20</v>
      </c>
      <c r="E4941" t="s">
        <v>39</v>
      </c>
      <c r="F4941">
        <v>0</v>
      </c>
      <c r="G4941">
        <v>0</v>
      </c>
      <c r="H4941">
        <v>4</v>
      </c>
      <c r="I4941" s="3">
        <v>1289.0999999999999</v>
      </c>
      <c r="J4941" s="3">
        <v>172.58</v>
      </c>
      <c r="L4941">
        <v>6601</v>
      </c>
      <c r="M4941" t="s">
        <v>11228</v>
      </c>
      <c r="N4941" t="s">
        <v>30</v>
      </c>
      <c r="O4941" t="s">
        <v>31</v>
      </c>
      <c r="P4941" t="str">
        <f>"15206"</f>
        <v>15206</v>
      </c>
    </row>
    <row r="4942" spans="1:16" x14ac:dyDescent="0.25">
      <c r="A4942" t="str">
        <f>"1120124M00262    00"</f>
        <v>1120124M00262    00</v>
      </c>
      <c r="B4942" t="s">
        <v>11739</v>
      </c>
      <c r="C4942" t="s">
        <v>11740</v>
      </c>
      <c r="D4942" t="s">
        <v>20</v>
      </c>
      <c r="E4942" t="s">
        <v>39</v>
      </c>
      <c r="F4942">
        <v>0</v>
      </c>
      <c r="G4942">
        <v>0</v>
      </c>
      <c r="H4942">
        <v>4</v>
      </c>
      <c r="I4942" s="3">
        <v>1085.99</v>
      </c>
      <c r="J4942" s="3">
        <v>128.29</v>
      </c>
      <c r="L4942">
        <v>1126</v>
      </c>
      <c r="M4942" t="s">
        <v>3634</v>
      </c>
      <c r="N4942" t="s">
        <v>30</v>
      </c>
      <c r="O4942" t="s">
        <v>31</v>
      </c>
      <c r="P4942" t="str">
        <f>"15206"</f>
        <v>15206</v>
      </c>
    </row>
    <row r="4943" spans="1:16" x14ac:dyDescent="0.25">
      <c r="A4943" t="str">
        <f>"1120124M00264    00"</f>
        <v>1120124M00264    00</v>
      </c>
      <c r="B4943" t="s">
        <v>11741</v>
      </c>
      <c r="C4943" t="s">
        <v>11742</v>
      </c>
      <c r="D4943" t="s">
        <v>20</v>
      </c>
      <c r="E4943" t="s">
        <v>39</v>
      </c>
      <c r="F4943">
        <v>0</v>
      </c>
      <c r="G4943">
        <v>0</v>
      </c>
      <c r="H4943">
        <v>1</v>
      </c>
      <c r="I4943" s="3">
        <v>314.5</v>
      </c>
      <c r="J4943" s="3">
        <v>0</v>
      </c>
      <c r="L4943">
        <v>1388</v>
      </c>
      <c r="M4943" t="s">
        <v>11059</v>
      </c>
      <c r="N4943" t="s">
        <v>30</v>
      </c>
      <c r="O4943" t="s">
        <v>31</v>
      </c>
      <c r="P4943" t="str">
        <f>"15206"</f>
        <v>15206</v>
      </c>
    </row>
    <row r="4944" spans="1:16" x14ac:dyDescent="0.25">
      <c r="A4944" t="str">
        <f>"1120124M00266    00"</f>
        <v>1120124M00266    00</v>
      </c>
      <c r="B4944" t="s">
        <v>11743</v>
      </c>
      <c r="C4944" t="s">
        <v>11361</v>
      </c>
      <c r="D4944" t="s">
        <v>20</v>
      </c>
      <c r="E4944" t="s">
        <v>39</v>
      </c>
      <c r="F4944">
        <v>0</v>
      </c>
      <c r="G4944">
        <v>0</v>
      </c>
      <c r="H4944">
        <v>19</v>
      </c>
      <c r="I4944" s="3">
        <v>425</v>
      </c>
      <c r="J4944" s="3">
        <v>472.18</v>
      </c>
      <c r="K4944" t="s">
        <v>1037</v>
      </c>
      <c r="L4944">
        <v>354</v>
      </c>
      <c r="M4944" t="s">
        <v>11744</v>
      </c>
      <c r="N4944" t="s">
        <v>30</v>
      </c>
      <c r="O4944" t="s">
        <v>31</v>
      </c>
      <c r="P4944" t="str">
        <f>"15215"</f>
        <v>15215</v>
      </c>
    </row>
    <row r="4945" spans="1:16" x14ac:dyDescent="0.25">
      <c r="A4945" t="str">
        <f>"1120124M00290    00"</f>
        <v>1120124M00290    00</v>
      </c>
      <c r="B4945" t="s">
        <v>11745</v>
      </c>
      <c r="C4945" t="s">
        <v>11746</v>
      </c>
      <c r="D4945" t="s">
        <v>20</v>
      </c>
      <c r="E4945" t="s">
        <v>39</v>
      </c>
      <c r="F4945">
        <v>0</v>
      </c>
      <c r="G4945">
        <v>0</v>
      </c>
      <c r="H4945">
        <v>11</v>
      </c>
      <c r="I4945" s="3">
        <v>707.43</v>
      </c>
      <c r="J4945" s="3">
        <v>339.57</v>
      </c>
      <c r="K4945" t="s">
        <v>11747</v>
      </c>
      <c r="L4945">
        <v>1213</v>
      </c>
      <c r="M4945" t="s">
        <v>11664</v>
      </c>
      <c r="N4945" t="s">
        <v>30</v>
      </c>
      <c r="O4945" t="s">
        <v>31</v>
      </c>
      <c r="P4945" t="str">
        <f>"15206"</f>
        <v>15206</v>
      </c>
    </row>
    <row r="4946" spans="1:16" x14ac:dyDescent="0.25">
      <c r="A4946" t="str">
        <f>"1120124M00292    00"</f>
        <v>1120124M00292    00</v>
      </c>
      <c r="B4946" t="s">
        <v>11748</v>
      </c>
      <c r="C4946" t="s">
        <v>11749</v>
      </c>
      <c r="D4946" t="s">
        <v>20</v>
      </c>
      <c r="E4946" t="s">
        <v>39</v>
      </c>
      <c r="F4946">
        <v>0</v>
      </c>
      <c r="G4946">
        <v>0</v>
      </c>
      <c r="H4946">
        <v>11</v>
      </c>
      <c r="I4946" s="3">
        <v>5389.34</v>
      </c>
      <c r="J4946" s="3">
        <v>2572.12</v>
      </c>
      <c r="L4946">
        <v>1419</v>
      </c>
      <c r="M4946" t="s">
        <v>11750</v>
      </c>
      <c r="N4946" t="s">
        <v>30</v>
      </c>
      <c r="O4946" t="s">
        <v>31</v>
      </c>
      <c r="P4946" t="str">
        <f>"15226"</f>
        <v>15226</v>
      </c>
    </row>
    <row r="4947" spans="1:16" x14ac:dyDescent="0.25">
      <c r="A4947" t="str">
        <f>"1120124M00298    00"</f>
        <v>1120124M00298    00</v>
      </c>
      <c r="B4947" t="s">
        <v>11751</v>
      </c>
      <c r="C4947" t="s">
        <v>11752</v>
      </c>
      <c r="E4947" t="s">
        <v>39</v>
      </c>
      <c r="F4947">
        <v>0</v>
      </c>
      <c r="G4947">
        <v>0</v>
      </c>
      <c r="H4947">
        <v>1</v>
      </c>
      <c r="I4947" s="3">
        <v>307.87</v>
      </c>
      <c r="J4947" s="3">
        <v>151.36000000000001</v>
      </c>
      <c r="L4947">
        <v>1218</v>
      </c>
      <c r="M4947" t="s">
        <v>11753</v>
      </c>
      <c r="N4947" t="s">
        <v>30</v>
      </c>
      <c r="O4947" t="s">
        <v>31</v>
      </c>
      <c r="P4947" t="str">
        <f>"15206"</f>
        <v>15206</v>
      </c>
    </row>
    <row r="4948" spans="1:16" x14ac:dyDescent="0.25">
      <c r="A4948" t="str">
        <f>"1120124M00307A   00"</f>
        <v>1120124M00307A   00</v>
      </c>
      <c r="B4948" t="s">
        <v>11754</v>
      </c>
      <c r="C4948" t="s">
        <v>11746</v>
      </c>
      <c r="D4948" t="s">
        <v>20</v>
      </c>
      <c r="E4948" t="s">
        <v>39</v>
      </c>
      <c r="F4948">
        <v>0</v>
      </c>
      <c r="G4948">
        <v>0</v>
      </c>
      <c r="H4948">
        <v>17</v>
      </c>
      <c r="I4948" s="3">
        <v>295.19</v>
      </c>
      <c r="J4948" s="3">
        <v>359.68</v>
      </c>
      <c r="K4948" t="s">
        <v>1008</v>
      </c>
      <c r="P4948" t="str">
        <f>""</f>
        <v/>
      </c>
    </row>
    <row r="4949" spans="1:16" x14ac:dyDescent="0.25">
      <c r="A4949" t="str">
        <f>"1120124M00308    00"</f>
        <v>1120124M00308    00</v>
      </c>
      <c r="B4949" t="s">
        <v>11755</v>
      </c>
      <c r="C4949" t="s">
        <v>11756</v>
      </c>
      <c r="D4949" t="s">
        <v>20</v>
      </c>
      <c r="E4949" t="s">
        <v>39</v>
      </c>
      <c r="F4949">
        <v>0</v>
      </c>
      <c r="G4949">
        <v>0</v>
      </c>
      <c r="H4949">
        <v>19</v>
      </c>
      <c r="I4949" s="3">
        <v>432.42</v>
      </c>
      <c r="J4949" s="3">
        <v>477.3</v>
      </c>
      <c r="L4949">
        <v>6664</v>
      </c>
      <c r="M4949" t="s">
        <v>11757</v>
      </c>
      <c r="N4949" t="s">
        <v>30</v>
      </c>
      <c r="O4949" t="s">
        <v>31</v>
      </c>
      <c r="P4949" t="str">
        <f>"15206"</f>
        <v>15206</v>
      </c>
    </row>
    <row r="4950" spans="1:16" x14ac:dyDescent="0.25">
      <c r="A4950" t="str">
        <f>"1120124M00312    00"</f>
        <v>1120124M00312    00</v>
      </c>
      <c r="B4950" t="s">
        <v>11758</v>
      </c>
      <c r="C4950" t="s">
        <v>11759</v>
      </c>
      <c r="D4950" t="s">
        <v>20</v>
      </c>
      <c r="E4950" t="s">
        <v>39</v>
      </c>
      <c r="F4950">
        <v>0</v>
      </c>
      <c r="G4950">
        <v>0</v>
      </c>
      <c r="H4950">
        <v>8</v>
      </c>
      <c r="I4950" s="3">
        <v>3127.28</v>
      </c>
      <c r="J4950" s="3">
        <v>1080.29</v>
      </c>
      <c r="K4950" t="s">
        <v>11760</v>
      </c>
      <c r="L4950">
        <v>6732</v>
      </c>
      <c r="M4950" t="s">
        <v>11757</v>
      </c>
      <c r="N4950" t="s">
        <v>30</v>
      </c>
      <c r="O4950" t="s">
        <v>31</v>
      </c>
      <c r="P4950" t="str">
        <f>"15206"</f>
        <v>15206</v>
      </c>
    </row>
    <row r="4951" spans="1:16" x14ac:dyDescent="0.25">
      <c r="A4951" t="str">
        <f>"1120124M00314    00"</f>
        <v>1120124M00314    00</v>
      </c>
      <c r="B4951" t="s">
        <v>11761</v>
      </c>
      <c r="C4951" t="s">
        <v>11762</v>
      </c>
      <c r="D4951" t="s">
        <v>20</v>
      </c>
      <c r="E4951" t="s">
        <v>39</v>
      </c>
      <c r="F4951">
        <v>0</v>
      </c>
      <c r="G4951">
        <v>0</v>
      </c>
      <c r="H4951">
        <v>19</v>
      </c>
      <c r="I4951" s="3">
        <v>9914.8799999999992</v>
      </c>
      <c r="J4951" s="3">
        <v>12367.23</v>
      </c>
      <c r="L4951">
        <v>6515</v>
      </c>
      <c r="M4951" t="s">
        <v>11459</v>
      </c>
      <c r="N4951" t="s">
        <v>30</v>
      </c>
      <c r="O4951" t="s">
        <v>31</v>
      </c>
      <c r="P4951" t="str">
        <f>"15206"</f>
        <v>15206</v>
      </c>
    </row>
    <row r="4952" spans="1:16" x14ac:dyDescent="0.25">
      <c r="A4952" t="str">
        <f>"1120124M00316    00"</f>
        <v>1120124M00316    00</v>
      </c>
      <c r="B4952" t="s">
        <v>11763</v>
      </c>
      <c r="C4952" t="s">
        <v>11764</v>
      </c>
      <c r="D4952" t="s">
        <v>20</v>
      </c>
      <c r="E4952" t="s">
        <v>39</v>
      </c>
      <c r="F4952">
        <v>0</v>
      </c>
      <c r="G4952">
        <v>0</v>
      </c>
      <c r="H4952">
        <v>16</v>
      </c>
      <c r="I4952" s="3">
        <v>4893.13</v>
      </c>
      <c r="J4952" s="3">
        <v>4311.46</v>
      </c>
      <c r="L4952">
        <v>6648</v>
      </c>
      <c r="M4952" t="s">
        <v>11757</v>
      </c>
      <c r="N4952" t="s">
        <v>30</v>
      </c>
      <c r="O4952" t="s">
        <v>31</v>
      </c>
      <c r="P4952" t="str">
        <f>"15206"</f>
        <v>15206</v>
      </c>
    </row>
    <row r="4953" spans="1:16" x14ac:dyDescent="0.25">
      <c r="A4953" t="str">
        <f>"1120124M00317    00"</f>
        <v>1120124M00317    00</v>
      </c>
      <c r="B4953" t="s">
        <v>11765</v>
      </c>
      <c r="C4953" t="s">
        <v>11766</v>
      </c>
      <c r="D4953" t="s">
        <v>20</v>
      </c>
      <c r="E4953" t="s">
        <v>39</v>
      </c>
      <c r="F4953">
        <v>0</v>
      </c>
      <c r="G4953">
        <v>0</v>
      </c>
      <c r="H4953">
        <v>17</v>
      </c>
      <c r="I4953" s="3">
        <v>6739.32</v>
      </c>
      <c r="J4953" s="3">
        <v>5515.61</v>
      </c>
      <c r="L4953">
        <v>185</v>
      </c>
      <c r="M4953" t="s">
        <v>11767</v>
      </c>
      <c r="N4953" t="s">
        <v>11768</v>
      </c>
      <c r="O4953" t="s">
        <v>423</v>
      </c>
      <c r="P4953" t="str">
        <f>"07663"</f>
        <v>07663</v>
      </c>
    </row>
    <row r="4954" spans="1:16" x14ac:dyDescent="0.25">
      <c r="A4954" t="str">
        <f>"1120124M00322    00"</f>
        <v>1120124M00322    00</v>
      </c>
      <c r="B4954" t="s">
        <v>11769</v>
      </c>
      <c r="C4954" t="s">
        <v>11756</v>
      </c>
      <c r="D4954" t="s">
        <v>20</v>
      </c>
      <c r="E4954" t="s">
        <v>39</v>
      </c>
      <c r="F4954">
        <v>0</v>
      </c>
      <c r="G4954">
        <v>0</v>
      </c>
      <c r="H4954">
        <v>19</v>
      </c>
      <c r="I4954" s="3">
        <v>556.76</v>
      </c>
      <c r="J4954" s="3">
        <v>541.84</v>
      </c>
      <c r="K4954" t="s">
        <v>1037</v>
      </c>
      <c r="M4954" t="s">
        <v>11770</v>
      </c>
      <c r="N4954" t="s">
        <v>11771</v>
      </c>
      <c r="O4954" t="s">
        <v>370</v>
      </c>
      <c r="P4954" t="str">
        <f t="shared" ref="P4954:P4959" si="62">"33141"</f>
        <v>33141</v>
      </c>
    </row>
    <row r="4955" spans="1:16" x14ac:dyDescent="0.25">
      <c r="A4955" t="str">
        <f>"1120124M00323    00"</f>
        <v>1120124M00323    00</v>
      </c>
      <c r="B4955" t="s">
        <v>11769</v>
      </c>
      <c r="C4955" t="s">
        <v>11756</v>
      </c>
      <c r="D4955" t="s">
        <v>20</v>
      </c>
      <c r="E4955" t="s">
        <v>39</v>
      </c>
      <c r="F4955">
        <v>0</v>
      </c>
      <c r="G4955">
        <v>0</v>
      </c>
      <c r="H4955">
        <v>19</v>
      </c>
      <c r="I4955" s="3">
        <v>556.76</v>
      </c>
      <c r="J4955" s="3">
        <v>541.84</v>
      </c>
      <c r="K4955" t="s">
        <v>1037</v>
      </c>
      <c r="M4955" t="s">
        <v>11770</v>
      </c>
      <c r="N4955" t="s">
        <v>11771</v>
      </c>
      <c r="O4955" t="s">
        <v>370</v>
      </c>
      <c r="P4955" t="str">
        <f t="shared" si="62"/>
        <v>33141</v>
      </c>
    </row>
    <row r="4956" spans="1:16" x14ac:dyDescent="0.25">
      <c r="A4956" t="str">
        <f>"1120124M00324    00"</f>
        <v>1120124M00324    00</v>
      </c>
      <c r="B4956" t="s">
        <v>11769</v>
      </c>
      <c r="C4956" t="s">
        <v>11756</v>
      </c>
      <c r="D4956" t="s">
        <v>20</v>
      </c>
      <c r="E4956" t="s">
        <v>39</v>
      </c>
      <c r="F4956">
        <v>0</v>
      </c>
      <c r="G4956">
        <v>0</v>
      </c>
      <c r="H4956">
        <v>19</v>
      </c>
      <c r="I4956" s="3">
        <v>556.76</v>
      </c>
      <c r="J4956" s="3">
        <v>541.84</v>
      </c>
      <c r="K4956" t="s">
        <v>1037</v>
      </c>
      <c r="M4956" t="s">
        <v>11770</v>
      </c>
      <c r="N4956" t="s">
        <v>11771</v>
      </c>
      <c r="O4956" t="s">
        <v>370</v>
      </c>
      <c r="P4956" t="str">
        <f t="shared" si="62"/>
        <v>33141</v>
      </c>
    </row>
    <row r="4957" spans="1:16" x14ac:dyDescent="0.25">
      <c r="A4957" t="str">
        <f>"1120124M00325    00"</f>
        <v>1120124M00325    00</v>
      </c>
      <c r="B4957" t="s">
        <v>11769</v>
      </c>
      <c r="C4957" t="s">
        <v>11756</v>
      </c>
      <c r="D4957" t="s">
        <v>20</v>
      </c>
      <c r="E4957" t="s">
        <v>39</v>
      </c>
      <c r="F4957">
        <v>0</v>
      </c>
      <c r="G4957">
        <v>0</v>
      </c>
      <c r="H4957">
        <v>19</v>
      </c>
      <c r="I4957" s="3">
        <v>556.76</v>
      </c>
      <c r="J4957" s="3">
        <v>541.84</v>
      </c>
      <c r="K4957" t="s">
        <v>1037</v>
      </c>
      <c r="M4957" t="s">
        <v>11770</v>
      </c>
      <c r="N4957" t="s">
        <v>11771</v>
      </c>
      <c r="O4957" t="s">
        <v>370</v>
      </c>
      <c r="P4957" t="str">
        <f t="shared" si="62"/>
        <v>33141</v>
      </c>
    </row>
    <row r="4958" spans="1:16" x14ac:dyDescent="0.25">
      <c r="A4958" t="str">
        <f>"1120124M00326    00"</f>
        <v>1120124M00326    00</v>
      </c>
      <c r="B4958" t="s">
        <v>11769</v>
      </c>
      <c r="C4958" t="s">
        <v>11756</v>
      </c>
      <c r="D4958" t="s">
        <v>20</v>
      </c>
      <c r="E4958" t="s">
        <v>39</v>
      </c>
      <c r="F4958">
        <v>0</v>
      </c>
      <c r="G4958">
        <v>0</v>
      </c>
      <c r="H4958">
        <v>19</v>
      </c>
      <c r="I4958" s="3">
        <v>556.76</v>
      </c>
      <c r="J4958" s="3">
        <v>541.84</v>
      </c>
      <c r="K4958" t="s">
        <v>1037</v>
      </c>
      <c r="M4958" t="s">
        <v>11770</v>
      </c>
      <c r="N4958" t="s">
        <v>11771</v>
      </c>
      <c r="O4958" t="s">
        <v>370</v>
      </c>
      <c r="P4958" t="str">
        <f t="shared" si="62"/>
        <v>33141</v>
      </c>
    </row>
    <row r="4959" spans="1:16" x14ac:dyDescent="0.25">
      <c r="A4959" t="str">
        <f>"1120124M00328    00"</f>
        <v>1120124M00328    00</v>
      </c>
      <c r="B4959" t="s">
        <v>11769</v>
      </c>
      <c r="C4959" t="s">
        <v>11756</v>
      </c>
      <c r="D4959" t="s">
        <v>20</v>
      </c>
      <c r="E4959" t="s">
        <v>39</v>
      </c>
      <c r="F4959">
        <v>0</v>
      </c>
      <c r="G4959">
        <v>0</v>
      </c>
      <c r="H4959">
        <v>19</v>
      </c>
      <c r="I4959" s="3">
        <v>1294.8399999999999</v>
      </c>
      <c r="J4959" s="3">
        <v>1044.43</v>
      </c>
      <c r="K4959" t="s">
        <v>1037</v>
      </c>
      <c r="M4959" t="s">
        <v>11772</v>
      </c>
      <c r="N4959" t="s">
        <v>11771</v>
      </c>
      <c r="O4959" t="s">
        <v>370</v>
      </c>
      <c r="P4959" t="str">
        <f t="shared" si="62"/>
        <v>33141</v>
      </c>
    </row>
    <row r="4960" spans="1:16" x14ac:dyDescent="0.25">
      <c r="A4960" t="str">
        <f>"1120124M00331    00"</f>
        <v>1120124M00331    00</v>
      </c>
      <c r="B4960" t="s">
        <v>11773</v>
      </c>
      <c r="C4960" t="s">
        <v>11420</v>
      </c>
      <c r="D4960" t="s">
        <v>20</v>
      </c>
      <c r="E4960" t="s">
        <v>39</v>
      </c>
      <c r="F4960">
        <v>0</v>
      </c>
      <c r="G4960">
        <v>0</v>
      </c>
      <c r="H4960">
        <v>12</v>
      </c>
      <c r="I4960" s="3">
        <v>900.31</v>
      </c>
      <c r="J4960" s="3">
        <v>475.94</v>
      </c>
      <c r="L4960">
        <v>2600</v>
      </c>
      <c r="M4960" t="s">
        <v>11774</v>
      </c>
      <c r="N4960" t="s">
        <v>11775</v>
      </c>
      <c r="O4960" t="s">
        <v>108</v>
      </c>
      <c r="P4960" t="str">
        <f>"77573"</f>
        <v>77573</v>
      </c>
    </row>
    <row r="4961" spans="1:16" x14ac:dyDescent="0.25">
      <c r="A4961" t="str">
        <f>"1120124M00335    00"</f>
        <v>1120124M00335    00</v>
      </c>
      <c r="B4961" t="s">
        <v>11417</v>
      </c>
      <c r="C4961" t="s">
        <v>11420</v>
      </c>
      <c r="D4961" t="s">
        <v>20</v>
      </c>
      <c r="E4961" t="s">
        <v>39</v>
      </c>
      <c r="F4961">
        <v>0</v>
      </c>
      <c r="G4961">
        <v>0</v>
      </c>
      <c r="H4961">
        <v>2</v>
      </c>
      <c r="I4961" s="3">
        <v>58.55</v>
      </c>
      <c r="J4961" s="3">
        <v>0</v>
      </c>
      <c r="K4961" t="s">
        <v>11419</v>
      </c>
      <c r="L4961">
        <v>7082</v>
      </c>
      <c r="M4961" t="s">
        <v>2507</v>
      </c>
      <c r="N4961" t="s">
        <v>30</v>
      </c>
      <c r="O4961" t="s">
        <v>31</v>
      </c>
      <c r="P4961" t="str">
        <f>"15206"</f>
        <v>15206</v>
      </c>
    </row>
    <row r="4962" spans="1:16" x14ac:dyDescent="0.25">
      <c r="A4962" t="str">
        <f>"1120124M00337    00"</f>
        <v>1120124M00337    00</v>
      </c>
      <c r="B4962" t="s">
        <v>11776</v>
      </c>
      <c r="C4962" t="s">
        <v>11420</v>
      </c>
      <c r="D4962" t="s">
        <v>20</v>
      </c>
      <c r="E4962" t="s">
        <v>39</v>
      </c>
      <c r="F4962">
        <v>0</v>
      </c>
      <c r="G4962">
        <v>0</v>
      </c>
      <c r="H4962">
        <v>14</v>
      </c>
      <c r="I4962" s="3">
        <v>2025.76</v>
      </c>
      <c r="J4962" s="3">
        <v>1970.19</v>
      </c>
      <c r="L4962">
        <v>6935</v>
      </c>
      <c r="M4962" t="s">
        <v>11777</v>
      </c>
      <c r="N4962" t="s">
        <v>30</v>
      </c>
      <c r="O4962" t="s">
        <v>31</v>
      </c>
      <c r="P4962" t="str">
        <f>"15208"</f>
        <v>15208</v>
      </c>
    </row>
    <row r="4963" spans="1:16" x14ac:dyDescent="0.25">
      <c r="A4963" t="str">
        <f>"1120124M00338    00"</f>
        <v>1120124M00338    00</v>
      </c>
      <c r="B4963" t="s">
        <v>11417</v>
      </c>
      <c r="C4963" t="s">
        <v>11778</v>
      </c>
      <c r="D4963" t="s">
        <v>20</v>
      </c>
      <c r="E4963" t="s">
        <v>39</v>
      </c>
      <c r="F4963">
        <v>0</v>
      </c>
      <c r="G4963">
        <v>0</v>
      </c>
      <c r="H4963">
        <v>8</v>
      </c>
      <c r="I4963" s="3">
        <v>1725.48</v>
      </c>
      <c r="J4963" s="3">
        <v>648.77</v>
      </c>
      <c r="K4963" t="s">
        <v>11419</v>
      </c>
      <c r="L4963">
        <v>7082</v>
      </c>
      <c r="M4963" t="s">
        <v>2507</v>
      </c>
      <c r="N4963" t="s">
        <v>30</v>
      </c>
      <c r="O4963" t="s">
        <v>31</v>
      </c>
      <c r="P4963" t="str">
        <f>"15206"</f>
        <v>15206</v>
      </c>
    </row>
    <row r="4964" spans="1:16" x14ac:dyDescent="0.25">
      <c r="A4964" t="str">
        <f>"1120124M00339    00"</f>
        <v>1120124M00339    00</v>
      </c>
      <c r="B4964" t="s">
        <v>11779</v>
      </c>
      <c r="C4964" t="s">
        <v>11420</v>
      </c>
      <c r="D4964" t="s">
        <v>20</v>
      </c>
      <c r="E4964" t="s">
        <v>39</v>
      </c>
      <c r="F4964">
        <v>0</v>
      </c>
      <c r="G4964">
        <v>0</v>
      </c>
      <c r="H4964">
        <v>19</v>
      </c>
      <c r="I4964" s="3">
        <v>4739.1499999999996</v>
      </c>
      <c r="J4964" s="3">
        <v>6246.88</v>
      </c>
      <c r="L4964">
        <v>1214</v>
      </c>
      <c r="M4964" t="s">
        <v>11780</v>
      </c>
      <c r="N4964" t="s">
        <v>30</v>
      </c>
      <c r="O4964" t="s">
        <v>31</v>
      </c>
      <c r="P4964" t="str">
        <f>"15206"</f>
        <v>15206</v>
      </c>
    </row>
    <row r="4965" spans="1:16" x14ac:dyDescent="0.25">
      <c r="A4965" t="str">
        <f>"1120124M00343    00"</f>
        <v>1120124M00343    00</v>
      </c>
      <c r="B4965" t="s">
        <v>11781</v>
      </c>
      <c r="C4965" t="s">
        <v>11420</v>
      </c>
      <c r="D4965" t="s">
        <v>20</v>
      </c>
      <c r="E4965" t="s">
        <v>39</v>
      </c>
      <c r="F4965">
        <v>0</v>
      </c>
      <c r="G4965">
        <v>0</v>
      </c>
      <c r="H4965">
        <v>19</v>
      </c>
      <c r="I4965" s="3">
        <v>6714.44</v>
      </c>
      <c r="J4965" s="3">
        <v>8623</v>
      </c>
      <c r="L4965">
        <v>210</v>
      </c>
      <c r="M4965" t="s">
        <v>11782</v>
      </c>
      <c r="N4965" t="s">
        <v>30</v>
      </c>
      <c r="O4965" t="s">
        <v>31</v>
      </c>
      <c r="P4965" t="str">
        <f>"15235"</f>
        <v>15235</v>
      </c>
    </row>
    <row r="4966" spans="1:16" x14ac:dyDescent="0.25">
      <c r="A4966" t="str">
        <f>"1120124M00351    00"</f>
        <v>1120124M00351    00</v>
      </c>
      <c r="B4966" t="s">
        <v>11783</v>
      </c>
      <c r="C4966" t="s">
        <v>11756</v>
      </c>
      <c r="D4966" t="s">
        <v>20</v>
      </c>
      <c r="E4966" t="s">
        <v>39</v>
      </c>
      <c r="F4966">
        <v>0</v>
      </c>
      <c r="G4966">
        <v>0</v>
      </c>
      <c r="H4966">
        <v>15</v>
      </c>
      <c r="I4966" s="3">
        <v>568.15</v>
      </c>
      <c r="J4966" s="3">
        <v>419.43</v>
      </c>
      <c r="L4966">
        <v>1307</v>
      </c>
      <c r="M4966" t="s">
        <v>11753</v>
      </c>
      <c r="N4966" t="s">
        <v>30</v>
      </c>
      <c r="O4966" t="s">
        <v>31</v>
      </c>
      <c r="P4966" t="str">
        <f>"15206"</f>
        <v>15206</v>
      </c>
    </row>
    <row r="4967" spans="1:16" x14ac:dyDescent="0.25">
      <c r="A4967" t="str">
        <f>"1120124M00351000100"</f>
        <v>1120124M00351000100</v>
      </c>
      <c r="B4967" t="s">
        <v>11784</v>
      </c>
      <c r="C4967" t="s">
        <v>11756</v>
      </c>
      <c r="D4967" t="s">
        <v>20</v>
      </c>
      <c r="E4967" t="s">
        <v>39</v>
      </c>
      <c r="F4967">
        <v>0</v>
      </c>
      <c r="G4967">
        <v>0</v>
      </c>
      <c r="H4967">
        <v>14</v>
      </c>
      <c r="I4967" s="3">
        <v>1259.81</v>
      </c>
      <c r="J4967" s="3">
        <v>1069.6600000000001</v>
      </c>
      <c r="L4967">
        <v>6647</v>
      </c>
      <c r="M4967" t="s">
        <v>11757</v>
      </c>
      <c r="N4967" t="s">
        <v>30</v>
      </c>
      <c r="O4967" t="s">
        <v>31</v>
      </c>
      <c r="P4967" t="str">
        <f>"15206"</f>
        <v>15206</v>
      </c>
    </row>
    <row r="4968" spans="1:16" x14ac:dyDescent="0.25">
      <c r="A4968" t="str">
        <f>"1120124M00352    00"</f>
        <v>1120124M00352    00</v>
      </c>
      <c r="B4968" t="s">
        <v>11784</v>
      </c>
      <c r="C4968" t="s">
        <v>11756</v>
      </c>
      <c r="D4968" t="s">
        <v>20</v>
      </c>
      <c r="E4968" t="s">
        <v>39</v>
      </c>
      <c r="F4968">
        <v>0</v>
      </c>
      <c r="G4968">
        <v>0</v>
      </c>
      <c r="H4968">
        <v>13</v>
      </c>
      <c r="I4968" s="3">
        <v>2845.11</v>
      </c>
      <c r="J4968" s="3">
        <v>3455.34</v>
      </c>
      <c r="L4968">
        <v>6647</v>
      </c>
      <c r="M4968" t="s">
        <v>11757</v>
      </c>
      <c r="N4968" t="s">
        <v>30</v>
      </c>
      <c r="O4968" t="s">
        <v>31</v>
      </c>
      <c r="P4968" t="str">
        <f>"15206"</f>
        <v>15206</v>
      </c>
    </row>
    <row r="4969" spans="1:16" x14ac:dyDescent="0.25">
      <c r="A4969" t="str">
        <f>"1120124M00353    00"</f>
        <v>1120124M00353    00</v>
      </c>
      <c r="B4969" t="s">
        <v>4450</v>
      </c>
      <c r="C4969" t="s">
        <v>11785</v>
      </c>
      <c r="D4969" t="s">
        <v>20</v>
      </c>
      <c r="E4969" t="s">
        <v>39</v>
      </c>
      <c r="F4969">
        <v>0</v>
      </c>
      <c r="G4969">
        <v>0</v>
      </c>
      <c r="H4969">
        <v>1</v>
      </c>
      <c r="I4969" s="3">
        <v>516.53</v>
      </c>
      <c r="J4969" s="3">
        <v>0</v>
      </c>
      <c r="L4969">
        <v>7901</v>
      </c>
      <c r="M4969" t="s">
        <v>4452</v>
      </c>
      <c r="N4969" t="s">
        <v>30</v>
      </c>
      <c r="O4969" t="s">
        <v>31</v>
      </c>
      <c r="P4969" t="str">
        <f>"15221"</f>
        <v>15221</v>
      </c>
    </row>
    <row r="4970" spans="1:16" x14ac:dyDescent="0.25">
      <c r="A4970" t="str">
        <f>"1120124M00355    00"</f>
        <v>1120124M00355    00</v>
      </c>
      <c r="B4970" t="s">
        <v>11786</v>
      </c>
      <c r="C4970" t="s">
        <v>11787</v>
      </c>
      <c r="D4970" t="s">
        <v>20</v>
      </c>
      <c r="E4970" t="s">
        <v>39</v>
      </c>
      <c r="F4970">
        <v>0</v>
      </c>
      <c r="G4970">
        <v>0</v>
      </c>
      <c r="H4970">
        <v>5</v>
      </c>
      <c r="I4970" s="3">
        <v>2251.46</v>
      </c>
      <c r="J4970" s="3">
        <v>388.97</v>
      </c>
      <c r="K4970" t="s">
        <v>11788</v>
      </c>
      <c r="L4970">
        <v>95</v>
      </c>
      <c r="M4970" t="s">
        <v>11789</v>
      </c>
      <c r="N4970" t="s">
        <v>30</v>
      </c>
      <c r="O4970" t="s">
        <v>31</v>
      </c>
      <c r="P4970" t="str">
        <f>"15210"</f>
        <v>15210</v>
      </c>
    </row>
    <row r="4971" spans="1:16" x14ac:dyDescent="0.25">
      <c r="A4971" t="str">
        <f>"1120124M00357    00"</f>
        <v>1120124M00357    00</v>
      </c>
      <c r="B4971" t="s">
        <v>11790</v>
      </c>
      <c r="C4971" t="s">
        <v>11791</v>
      </c>
      <c r="E4971" t="s">
        <v>39</v>
      </c>
      <c r="F4971">
        <v>0</v>
      </c>
      <c r="G4971">
        <v>0</v>
      </c>
      <c r="H4971">
        <v>1</v>
      </c>
      <c r="I4971" s="3">
        <v>229.06</v>
      </c>
      <c r="J4971" s="3">
        <v>0</v>
      </c>
      <c r="L4971">
        <v>7232</v>
      </c>
      <c r="M4971" t="s">
        <v>11435</v>
      </c>
      <c r="N4971" t="s">
        <v>30</v>
      </c>
      <c r="O4971" t="s">
        <v>31</v>
      </c>
      <c r="P4971" t="str">
        <f>"15208"</f>
        <v>15208</v>
      </c>
    </row>
    <row r="4972" spans="1:16" x14ac:dyDescent="0.25">
      <c r="A4972" t="str">
        <f>"1120124M00363    00"</f>
        <v>1120124M00363    00</v>
      </c>
      <c r="B4972" t="s">
        <v>11792</v>
      </c>
      <c r="C4972" t="s">
        <v>11756</v>
      </c>
      <c r="D4972" t="s">
        <v>20</v>
      </c>
      <c r="E4972" t="s">
        <v>39</v>
      </c>
      <c r="F4972">
        <v>0</v>
      </c>
      <c r="G4972">
        <v>0</v>
      </c>
      <c r="H4972">
        <v>3</v>
      </c>
      <c r="I4972" s="3">
        <v>28.62</v>
      </c>
      <c r="J4972" s="3">
        <v>1.92</v>
      </c>
      <c r="K4972" t="s">
        <v>11793</v>
      </c>
      <c r="L4972">
        <v>6673</v>
      </c>
      <c r="M4972" t="s">
        <v>11757</v>
      </c>
      <c r="N4972" t="s">
        <v>30</v>
      </c>
      <c r="O4972" t="s">
        <v>31</v>
      </c>
      <c r="P4972" t="str">
        <f>"15206"</f>
        <v>15206</v>
      </c>
    </row>
    <row r="4973" spans="1:16" x14ac:dyDescent="0.25">
      <c r="A4973" t="str">
        <f>"1120124M00365    00"</f>
        <v>1120124M00365    00</v>
      </c>
      <c r="B4973" t="s">
        <v>11794</v>
      </c>
      <c r="C4973" t="s">
        <v>11795</v>
      </c>
      <c r="D4973" t="s">
        <v>20</v>
      </c>
      <c r="E4973" t="s">
        <v>39</v>
      </c>
      <c r="F4973">
        <v>0</v>
      </c>
      <c r="G4973">
        <v>0</v>
      </c>
      <c r="H4973">
        <v>19</v>
      </c>
      <c r="I4973" s="3">
        <v>1017.7</v>
      </c>
      <c r="J4973" s="3">
        <v>785.52</v>
      </c>
      <c r="K4973" t="s">
        <v>1008</v>
      </c>
      <c r="P4973" t="str">
        <f>""</f>
        <v/>
      </c>
    </row>
    <row r="4974" spans="1:16" x14ac:dyDescent="0.25">
      <c r="A4974" t="str">
        <f>"1120124M00366    00"</f>
        <v>1120124M00366    00</v>
      </c>
      <c r="B4974" t="s">
        <v>11796</v>
      </c>
      <c r="C4974" t="s">
        <v>11795</v>
      </c>
      <c r="D4974" t="s">
        <v>20</v>
      </c>
      <c r="E4974" t="s">
        <v>39</v>
      </c>
      <c r="F4974">
        <v>0</v>
      </c>
      <c r="G4974">
        <v>0</v>
      </c>
      <c r="H4974">
        <v>19</v>
      </c>
      <c r="I4974" s="3">
        <v>378.35</v>
      </c>
      <c r="J4974" s="3">
        <v>424.56</v>
      </c>
      <c r="K4974" t="s">
        <v>1037</v>
      </c>
      <c r="L4974">
        <v>1221</v>
      </c>
      <c r="M4974" t="s">
        <v>11753</v>
      </c>
      <c r="N4974" t="s">
        <v>30</v>
      </c>
      <c r="O4974" t="s">
        <v>31</v>
      </c>
      <c r="P4974" t="str">
        <f>"15206"</f>
        <v>15206</v>
      </c>
    </row>
    <row r="4975" spans="1:16" x14ac:dyDescent="0.25">
      <c r="A4975" t="str">
        <f>"1120124M00379    00"</f>
        <v>1120124M00379    00</v>
      </c>
      <c r="B4975" t="s">
        <v>11797</v>
      </c>
      <c r="C4975" t="s">
        <v>11798</v>
      </c>
      <c r="E4975" t="s">
        <v>39</v>
      </c>
      <c r="F4975">
        <v>0</v>
      </c>
      <c r="G4975">
        <v>0</v>
      </c>
      <c r="H4975">
        <v>3</v>
      </c>
      <c r="I4975" s="3">
        <v>1204.3800000000001</v>
      </c>
      <c r="J4975" s="3">
        <v>414.16</v>
      </c>
      <c r="L4975">
        <v>1345</v>
      </c>
      <c r="M4975" t="s">
        <v>11059</v>
      </c>
      <c r="N4975" t="s">
        <v>30</v>
      </c>
      <c r="O4975" t="s">
        <v>31</v>
      </c>
      <c r="P4975" t="str">
        <f>"15206"</f>
        <v>15206</v>
      </c>
    </row>
    <row r="4976" spans="1:16" x14ac:dyDescent="0.25">
      <c r="A4976" t="str">
        <f>"1120124M00382    00"</f>
        <v>1120124M00382    00</v>
      </c>
      <c r="B4976" t="s">
        <v>11799</v>
      </c>
      <c r="C4976" t="s">
        <v>11416</v>
      </c>
      <c r="D4976" t="s">
        <v>20</v>
      </c>
      <c r="E4976" t="s">
        <v>39</v>
      </c>
      <c r="F4976">
        <v>0</v>
      </c>
      <c r="G4976">
        <v>0</v>
      </c>
      <c r="H4976">
        <v>19</v>
      </c>
      <c r="I4976" s="3">
        <v>579.29999999999995</v>
      </c>
      <c r="J4976" s="3">
        <v>658.54</v>
      </c>
      <c r="L4976">
        <v>6662</v>
      </c>
      <c r="M4976" t="s">
        <v>11800</v>
      </c>
      <c r="N4976" t="s">
        <v>30</v>
      </c>
      <c r="O4976" t="s">
        <v>31</v>
      </c>
      <c r="P4976" t="str">
        <f>"15206"</f>
        <v>15206</v>
      </c>
    </row>
    <row r="4977" spans="1:16" x14ac:dyDescent="0.25">
      <c r="A4977" t="str">
        <f>"1120124M00383    00"</f>
        <v>1120124M00383    00</v>
      </c>
      <c r="B4977" t="s">
        <v>11801</v>
      </c>
      <c r="C4977" t="s">
        <v>11416</v>
      </c>
      <c r="D4977" t="s">
        <v>20</v>
      </c>
      <c r="E4977" t="s">
        <v>39</v>
      </c>
      <c r="F4977">
        <v>0</v>
      </c>
      <c r="G4977">
        <v>0</v>
      </c>
      <c r="H4977">
        <v>19</v>
      </c>
      <c r="I4977" s="3">
        <v>446.89</v>
      </c>
      <c r="J4977" s="3">
        <v>483.75</v>
      </c>
      <c r="K4977" t="s">
        <v>1037</v>
      </c>
      <c r="L4977">
        <v>6658</v>
      </c>
      <c r="M4977" t="s">
        <v>11800</v>
      </c>
      <c r="N4977" t="s">
        <v>30</v>
      </c>
      <c r="O4977" t="s">
        <v>31</v>
      </c>
      <c r="P4977" t="str">
        <f>"15206"</f>
        <v>15206</v>
      </c>
    </row>
    <row r="4978" spans="1:16" x14ac:dyDescent="0.25">
      <c r="A4978" t="str">
        <f>"1120124M00392    00"</f>
        <v>1120124M00392    00</v>
      </c>
      <c r="B4978" t="s">
        <v>11802</v>
      </c>
      <c r="C4978" t="s">
        <v>11416</v>
      </c>
      <c r="D4978" t="s">
        <v>20</v>
      </c>
      <c r="E4978" t="s">
        <v>39</v>
      </c>
      <c r="F4978">
        <v>0</v>
      </c>
      <c r="G4978">
        <v>0</v>
      </c>
      <c r="H4978">
        <v>19</v>
      </c>
      <c r="I4978" s="3">
        <v>3104.54</v>
      </c>
      <c r="J4978" s="3">
        <v>3144.46</v>
      </c>
      <c r="L4978">
        <v>108</v>
      </c>
      <c r="M4978" t="s">
        <v>11803</v>
      </c>
      <c r="N4978" t="s">
        <v>30</v>
      </c>
      <c r="O4978" t="s">
        <v>31</v>
      </c>
      <c r="P4978" t="str">
        <f>"15238"</f>
        <v>15238</v>
      </c>
    </row>
    <row r="4979" spans="1:16" x14ac:dyDescent="0.25">
      <c r="A4979" t="str">
        <f>"1120124M00394    00"</f>
        <v>1120124M00394    00</v>
      </c>
      <c r="B4979" t="s">
        <v>11804</v>
      </c>
      <c r="C4979" t="s">
        <v>11416</v>
      </c>
      <c r="D4979" t="s">
        <v>20</v>
      </c>
      <c r="E4979" t="s">
        <v>39</v>
      </c>
      <c r="F4979">
        <v>0</v>
      </c>
      <c r="G4979">
        <v>0</v>
      </c>
      <c r="H4979">
        <v>17</v>
      </c>
      <c r="I4979" s="3">
        <v>313.60000000000002</v>
      </c>
      <c r="J4979" s="3">
        <v>369.72</v>
      </c>
      <c r="L4979">
        <v>1214</v>
      </c>
      <c r="M4979" t="s">
        <v>11780</v>
      </c>
      <c r="N4979" t="s">
        <v>30</v>
      </c>
      <c r="O4979" t="s">
        <v>31</v>
      </c>
      <c r="P4979" t="str">
        <f>"15206"</f>
        <v>15206</v>
      </c>
    </row>
    <row r="4980" spans="1:16" x14ac:dyDescent="0.25">
      <c r="A4980" t="str">
        <f>"1120124M00395    00"</f>
        <v>1120124M00395    00</v>
      </c>
      <c r="B4980" t="s">
        <v>11805</v>
      </c>
      <c r="C4980" t="s">
        <v>11416</v>
      </c>
      <c r="D4980" t="s">
        <v>20</v>
      </c>
      <c r="E4980" t="s">
        <v>39</v>
      </c>
      <c r="F4980">
        <v>0</v>
      </c>
      <c r="G4980">
        <v>0</v>
      </c>
      <c r="H4980">
        <v>17</v>
      </c>
      <c r="I4980" s="3">
        <v>313.60000000000002</v>
      </c>
      <c r="J4980" s="3">
        <v>369.72</v>
      </c>
      <c r="K4980" t="s">
        <v>1037</v>
      </c>
      <c r="L4980">
        <v>6635</v>
      </c>
      <c r="M4980" t="s">
        <v>11800</v>
      </c>
      <c r="N4980" t="s">
        <v>30</v>
      </c>
      <c r="O4980" t="s">
        <v>31</v>
      </c>
      <c r="P4980" t="str">
        <f>"15206"</f>
        <v>15206</v>
      </c>
    </row>
    <row r="4981" spans="1:16" x14ac:dyDescent="0.25">
      <c r="A4981" t="str">
        <f>"1120124M00400    00"</f>
        <v>1120124M00400    00</v>
      </c>
      <c r="B4981" t="s">
        <v>11399</v>
      </c>
      <c r="C4981" t="s">
        <v>11416</v>
      </c>
      <c r="D4981" t="s">
        <v>20</v>
      </c>
      <c r="E4981" t="s">
        <v>39</v>
      </c>
      <c r="F4981">
        <v>0</v>
      </c>
      <c r="G4981">
        <v>0</v>
      </c>
      <c r="H4981">
        <v>19</v>
      </c>
      <c r="I4981" s="3">
        <v>1316.67</v>
      </c>
      <c r="J4981" s="3">
        <v>1056</v>
      </c>
      <c r="L4981">
        <v>7925</v>
      </c>
      <c r="M4981" t="s">
        <v>2398</v>
      </c>
      <c r="N4981" t="s">
        <v>1046</v>
      </c>
      <c r="O4981" t="s">
        <v>31</v>
      </c>
      <c r="P4981" t="str">
        <f>"15147"</f>
        <v>15147</v>
      </c>
    </row>
    <row r="4982" spans="1:16" x14ac:dyDescent="0.25">
      <c r="A4982" t="str">
        <f>"1120124M00405    00"</f>
        <v>1120124M00405    00</v>
      </c>
      <c r="B4982" t="s">
        <v>11806</v>
      </c>
      <c r="C4982" t="s">
        <v>11807</v>
      </c>
      <c r="D4982" t="s">
        <v>20</v>
      </c>
      <c r="E4982" t="s">
        <v>39</v>
      </c>
      <c r="F4982">
        <v>0</v>
      </c>
      <c r="G4982">
        <v>0</v>
      </c>
      <c r="H4982">
        <v>19</v>
      </c>
      <c r="I4982" s="3">
        <v>12017.87</v>
      </c>
      <c r="J4982" s="3">
        <v>12471.27</v>
      </c>
      <c r="L4982">
        <v>1303</v>
      </c>
      <c r="M4982" t="s">
        <v>3249</v>
      </c>
      <c r="N4982" t="s">
        <v>30</v>
      </c>
      <c r="O4982" t="s">
        <v>31</v>
      </c>
      <c r="P4982" t="str">
        <f>"15206"</f>
        <v>15206</v>
      </c>
    </row>
    <row r="4983" spans="1:16" x14ac:dyDescent="0.25">
      <c r="A4983" t="str">
        <f>"1120124M00406    00"</f>
        <v>1120124M00406    00</v>
      </c>
      <c r="B4983" t="s">
        <v>11808</v>
      </c>
      <c r="C4983" t="s">
        <v>11809</v>
      </c>
      <c r="D4983" t="s">
        <v>20</v>
      </c>
      <c r="E4983" t="s">
        <v>39</v>
      </c>
      <c r="F4983">
        <v>0</v>
      </c>
      <c r="G4983">
        <v>0</v>
      </c>
      <c r="H4983">
        <v>19</v>
      </c>
      <c r="I4983" s="3">
        <v>9029</v>
      </c>
      <c r="J4983" s="3">
        <v>8759.23</v>
      </c>
      <c r="L4983">
        <v>1628</v>
      </c>
      <c r="M4983" t="s">
        <v>11810</v>
      </c>
      <c r="N4983" t="s">
        <v>509</v>
      </c>
      <c r="O4983" t="s">
        <v>31</v>
      </c>
      <c r="P4983" t="str">
        <f>"19103"</f>
        <v>19103</v>
      </c>
    </row>
    <row r="4984" spans="1:16" x14ac:dyDescent="0.25">
      <c r="A4984" t="str">
        <f>"1120124N00001    00"</f>
        <v>1120124N00001    00</v>
      </c>
      <c r="B4984" t="s">
        <v>11049</v>
      </c>
      <c r="C4984" t="s">
        <v>11811</v>
      </c>
      <c r="D4984" t="s">
        <v>20</v>
      </c>
      <c r="E4984" t="s">
        <v>39</v>
      </c>
      <c r="F4984">
        <v>0</v>
      </c>
      <c r="G4984">
        <v>0</v>
      </c>
      <c r="H4984">
        <v>3</v>
      </c>
      <c r="I4984" s="3">
        <v>520.38</v>
      </c>
      <c r="J4984" s="3">
        <v>34.700000000000003</v>
      </c>
      <c r="K4984" t="s">
        <v>11051</v>
      </c>
      <c r="L4984">
        <v>421</v>
      </c>
      <c r="M4984" t="s">
        <v>11052</v>
      </c>
      <c r="N4984" t="s">
        <v>149</v>
      </c>
      <c r="O4984" t="s">
        <v>31</v>
      </c>
      <c r="P4984" t="str">
        <f>"15106"</f>
        <v>15106</v>
      </c>
    </row>
    <row r="4985" spans="1:16" x14ac:dyDescent="0.25">
      <c r="A4985" t="str">
        <f>"1120124N00002    00"</f>
        <v>1120124N00002    00</v>
      </c>
      <c r="B4985" t="s">
        <v>11049</v>
      </c>
      <c r="C4985" t="s">
        <v>11812</v>
      </c>
      <c r="D4985" t="s">
        <v>20</v>
      </c>
      <c r="E4985" t="s">
        <v>39</v>
      </c>
      <c r="F4985">
        <v>0</v>
      </c>
      <c r="G4985">
        <v>0</v>
      </c>
      <c r="H4985">
        <v>3</v>
      </c>
      <c r="I4985" s="3">
        <v>34.32</v>
      </c>
      <c r="J4985" s="3">
        <v>2.29</v>
      </c>
      <c r="K4985" t="s">
        <v>11051</v>
      </c>
      <c r="L4985">
        <v>421</v>
      </c>
      <c r="M4985" t="s">
        <v>11052</v>
      </c>
      <c r="N4985" t="s">
        <v>149</v>
      </c>
      <c r="O4985" t="s">
        <v>31</v>
      </c>
      <c r="P4985" t="str">
        <f>"15106"</f>
        <v>15106</v>
      </c>
    </row>
    <row r="4986" spans="1:16" x14ac:dyDescent="0.25">
      <c r="A4986" t="str">
        <f>"1120124N00004    00"</f>
        <v>1120124N00004    00</v>
      </c>
      <c r="B4986" t="s">
        <v>11049</v>
      </c>
      <c r="C4986" t="s">
        <v>11813</v>
      </c>
      <c r="D4986" t="s">
        <v>20</v>
      </c>
      <c r="E4986" t="s">
        <v>39</v>
      </c>
      <c r="F4986">
        <v>0</v>
      </c>
      <c r="G4986">
        <v>0</v>
      </c>
      <c r="H4986">
        <v>3</v>
      </c>
      <c r="I4986" s="3">
        <v>217.29</v>
      </c>
      <c r="J4986" s="3">
        <v>14.49</v>
      </c>
      <c r="K4986" t="s">
        <v>11051</v>
      </c>
      <c r="L4986">
        <v>421</v>
      </c>
      <c r="M4986" t="s">
        <v>11052</v>
      </c>
      <c r="N4986" t="s">
        <v>149</v>
      </c>
      <c r="O4986" t="s">
        <v>31</v>
      </c>
      <c r="P4986" t="str">
        <f>"15106"</f>
        <v>15106</v>
      </c>
    </row>
    <row r="4987" spans="1:16" x14ac:dyDescent="0.25">
      <c r="A4987" t="str">
        <f>"1120124N00007    00"</f>
        <v>1120124N00007    00</v>
      </c>
      <c r="B4987" t="s">
        <v>11814</v>
      </c>
      <c r="C4987" t="s">
        <v>11815</v>
      </c>
      <c r="D4987" t="s">
        <v>20</v>
      </c>
      <c r="E4987" t="s">
        <v>39</v>
      </c>
      <c r="F4987">
        <v>0</v>
      </c>
      <c r="G4987">
        <v>0</v>
      </c>
      <c r="H4987">
        <v>1</v>
      </c>
      <c r="I4987" s="3">
        <v>369.78</v>
      </c>
      <c r="J4987" s="3">
        <v>0</v>
      </c>
      <c r="K4987" t="s">
        <v>11816</v>
      </c>
      <c r="L4987">
        <v>5233</v>
      </c>
      <c r="M4987" t="s">
        <v>2444</v>
      </c>
      <c r="N4987" t="s">
        <v>30</v>
      </c>
      <c r="O4987" t="s">
        <v>31</v>
      </c>
      <c r="P4987" t="str">
        <f>"15201"</f>
        <v>15201</v>
      </c>
    </row>
    <row r="4988" spans="1:16" x14ac:dyDescent="0.25">
      <c r="A4988" t="str">
        <f>"1120124N00016    00"</f>
        <v>1120124N00016    00</v>
      </c>
      <c r="B4988" t="s">
        <v>11817</v>
      </c>
      <c r="C4988" t="s">
        <v>11818</v>
      </c>
      <c r="D4988" t="s">
        <v>20</v>
      </c>
      <c r="E4988" t="s">
        <v>39</v>
      </c>
      <c r="F4988">
        <v>0</v>
      </c>
      <c r="G4988">
        <v>0</v>
      </c>
      <c r="H4988">
        <v>10</v>
      </c>
      <c r="I4988" s="3">
        <v>1140.4000000000001</v>
      </c>
      <c r="J4988" s="3">
        <v>486.66</v>
      </c>
      <c r="K4988" t="s">
        <v>10601</v>
      </c>
      <c r="L4988">
        <v>211</v>
      </c>
      <c r="M4988" t="s">
        <v>11819</v>
      </c>
      <c r="N4988" t="s">
        <v>30</v>
      </c>
      <c r="O4988" t="s">
        <v>31</v>
      </c>
      <c r="P4988" t="str">
        <f>"15206"</f>
        <v>15206</v>
      </c>
    </row>
    <row r="4989" spans="1:16" x14ac:dyDescent="0.25">
      <c r="A4989" t="str">
        <f>"1120124N00035    00"</f>
        <v>1120124N00035    00</v>
      </c>
      <c r="B4989" t="s">
        <v>11820</v>
      </c>
      <c r="C4989" t="s">
        <v>11821</v>
      </c>
      <c r="D4989" t="s">
        <v>20</v>
      </c>
      <c r="E4989" t="s">
        <v>39</v>
      </c>
      <c r="F4989">
        <v>0</v>
      </c>
      <c r="G4989">
        <v>0</v>
      </c>
      <c r="H4989">
        <v>3</v>
      </c>
      <c r="I4989" s="3">
        <v>317.16000000000003</v>
      </c>
      <c r="J4989" s="3">
        <v>21.14</v>
      </c>
      <c r="L4989">
        <v>119</v>
      </c>
      <c r="M4989" t="s">
        <v>11822</v>
      </c>
      <c r="N4989" t="s">
        <v>30</v>
      </c>
      <c r="O4989" t="s">
        <v>31</v>
      </c>
      <c r="P4989" t="str">
        <f>"15206"</f>
        <v>15206</v>
      </c>
    </row>
    <row r="4990" spans="1:16" x14ac:dyDescent="0.25">
      <c r="A4990" t="str">
        <f>"1120124N00044    00"</f>
        <v>1120124N00044    00</v>
      </c>
      <c r="B4990" t="s">
        <v>11823</v>
      </c>
      <c r="C4990" t="s">
        <v>11824</v>
      </c>
      <c r="E4990" t="s">
        <v>39</v>
      </c>
      <c r="F4990">
        <v>0</v>
      </c>
      <c r="G4990">
        <v>0</v>
      </c>
      <c r="H4990">
        <v>3</v>
      </c>
      <c r="I4990" s="3">
        <v>569.91</v>
      </c>
      <c r="J4990" s="3">
        <v>220.18</v>
      </c>
      <c r="L4990">
        <v>116</v>
      </c>
      <c r="M4990" t="s">
        <v>11067</v>
      </c>
      <c r="N4990" t="s">
        <v>30</v>
      </c>
      <c r="O4990" t="s">
        <v>31</v>
      </c>
      <c r="P4990" t="str">
        <f>"15206"</f>
        <v>15206</v>
      </c>
    </row>
    <row r="4991" spans="1:16" x14ac:dyDescent="0.25">
      <c r="A4991" t="str">
        <f>"1120124N00051    00"</f>
        <v>1120124N00051    00</v>
      </c>
      <c r="B4991" t="s">
        <v>11825</v>
      </c>
      <c r="C4991" t="s">
        <v>11826</v>
      </c>
      <c r="D4991" t="s">
        <v>20</v>
      </c>
      <c r="E4991" t="s">
        <v>39</v>
      </c>
      <c r="F4991">
        <v>0</v>
      </c>
      <c r="G4991">
        <v>0</v>
      </c>
      <c r="H4991">
        <v>2</v>
      </c>
      <c r="I4991" s="3">
        <v>1022.84</v>
      </c>
      <c r="J4991" s="3">
        <v>0</v>
      </c>
      <c r="K4991" t="s">
        <v>1492</v>
      </c>
      <c r="L4991">
        <v>106</v>
      </c>
      <c r="M4991" t="s">
        <v>1493</v>
      </c>
      <c r="N4991" t="s">
        <v>30</v>
      </c>
      <c r="O4991" t="s">
        <v>31</v>
      </c>
      <c r="P4991" t="str">
        <f>"15216"</f>
        <v>15216</v>
      </c>
    </row>
    <row r="4992" spans="1:16" x14ac:dyDescent="0.25">
      <c r="A4992" t="str">
        <f>"1120124N00053    00"</f>
        <v>1120124N00053    00</v>
      </c>
      <c r="B4992" t="s">
        <v>4090</v>
      </c>
      <c r="C4992" t="s">
        <v>11827</v>
      </c>
      <c r="E4992" t="s">
        <v>39</v>
      </c>
      <c r="F4992">
        <v>0</v>
      </c>
      <c r="G4992">
        <v>0</v>
      </c>
      <c r="H4992">
        <v>8</v>
      </c>
      <c r="I4992" s="3">
        <v>3550.87</v>
      </c>
      <c r="J4992" s="3">
        <v>4873.93</v>
      </c>
      <c r="L4992">
        <v>412</v>
      </c>
      <c r="M4992" t="s">
        <v>221</v>
      </c>
      <c r="N4992" t="s">
        <v>30</v>
      </c>
      <c r="O4992" t="s">
        <v>31</v>
      </c>
      <c r="P4992" t="str">
        <f>"15219"</f>
        <v>15219</v>
      </c>
    </row>
    <row r="4993" spans="1:16" x14ac:dyDescent="0.25">
      <c r="A4993" t="str">
        <f>"1120124N00071    00"</f>
        <v>1120124N00071    00</v>
      </c>
      <c r="B4993" t="s">
        <v>11828</v>
      </c>
      <c r="C4993" t="s">
        <v>11829</v>
      </c>
      <c r="E4993" t="s">
        <v>21</v>
      </c>
      <c r="F4993">
        <v>0</v>
      </c>
      <c r="G4993">
        <v>0</v>
      </c>
      <c r="H4993">
        <v>1</v>
      </c>
      <c r="I4993" s="3">
        <v>611.83000000000004</v>
      </c>
      <c r="J4993" s="3">
        <v>112.16</v>
      </c>
      <c r="K4993" t="s">
        <v>11830</v>
      </c>
      <c r="L4993">
        <v>2601</v>
      </c>
      <c r="M4993" t="s">
        <v>11831</v>
      </c>
      <c r="N4993" t="s">
        <v>11832</v>
      </c>
      <c r="O4993" t="s">
        <v>495</v>
      </c>
      <c r="P4993" t="str">
        <f>"94607"</f>
        <v>94607</v>
      </c>
    </row>
    <row r="4994" spans="1:16" x14ac:dyDescent="0.25">
      <c r="A4994" t="str">
        <f>"1120124N00073    00"</f>
        <v>1120124N00073    00</v>
      </c>
      <c r="B4994" t="s">
        <v>11833</v>
      </c>
      <c r="C4994" t="s">
        <v>11834</v>
      </c>
      <c r="D4994" t="s">
        <v>20</v>
      </c>
      <c r="E4994" t="s">
        <v>39</v>
      </c>
      <c r="F4994">
        <v>0</v>
      </c>
      <c r="G4994">
        <v>0</v>
      </c>
      <c r="H4994">
        <v>3</v>
      </c>
      <c r="I4994" s="3">
        <v>445.14</v>
      </c>
      <c r="J4994" s="3">
        <v>2.91</v>
      </c>
      <c r="L4994">
        <v>1453</v>
      </c>
      <c r="M4994" t="s">
        <v>9944</v>
      </c>
      <c r="N4994" t="s">
        <v>30</v>
      </c>
      <c r="O4994" t="s">
        <v>31</v>
      </c>
      <c r="P4994" t="str">
        <f>"15206"</f>
        <v>15206</v>
      </c>
    </row>
    <row r="4995" spans="1:16" x14ac:dyDescent="0.25">
      <c r="A4995" t="str">
        <f>"1120124N00075    00"</f>
        <v>1120124N00075    00</v>
      </c>
      <c r="B4995" t="s">
        <v>10599</v>
      </c>
      <c r="C4995" t="s">
        <v>11835</v>
      </c>
      <c r="D4995" t="s">
        <v>20</v>
      </c>
      <c r="E4995" t="s">
        <v>39</v>
      </c>
      <c r="F4995">
        <v>0</v>
      </c>
      <c r="G4995">
        <v>0</v>
      </c>
      <c r="H4995">
        <v>2</v>
      </c>
      <c r="I4995" s="3">
        <v>289.76</v>
      </c>
      <c r="J4995" s="3">
        <v>27.26</v>
      </c>
      <c r="K4995" t="s">
        <v>10601</v>
      </c>
      <c r="L4995">
        <v>177</v>
      </c>
      <c r="M4995" t="s">
        <v>11067</v>
      </c>
      <c r="N4995" t="s">
        <v>30</v>
      </c>
      <c r="O4995" t="s">
        <v>31</v>
      </c>
      <c r="P4995" t="str">
        <f>"15206"</f>
        <v>15206</v>
      </c>
    </row>
    <row r="4996" spans="1:16" x14ac:dyDescent="0.25">
      <c r="A4996" t="str">
        <f>"1120124N00079    00"</f>
        <v>1120124N00079    00</v>
      </c>
      <c r="B4996" t="s">
        <v>11836</v>
      </c>
      <c r="C4996" t="s">
        <v>11837</v>
      </c>
      <c r="D4996" t="s">
        <v>20</v>
      </c>
      <c r="E4996" t="s">
        <v>21</v>
      </c>
      <c r="F4996">
        <v>0</v>
      </c>
      <c r="G4996">
        <v>0</v>
      </c>
      <c r="H4996">
        <v>2</v>
      </c>
      <c r="I4996" s="3">
        <v>838.64</v>
      </c>
      <c r="J4996" s="3">
        <v>73.37</v>
      </c>
      <c r="L4996">
        <v>3101</v>
      </c>
      <c r="M4996" t="s">
        <v>11838</v>
      </c>
      <c r="N4996" t="s">
        <v>30</v>
      </c>
      <c r="O4996" t="s">
        <v>31</v>
      </c>
      <c r="P4996" t="str">
        <f>"15238"</f>
        <v>15238</v>
      </c>
    </row>
    <row r="4997" spans="1:16" x14ac:dyDescent="0.25">
      <c r="A4997" t="str">
        <f>"1120124N00084    00"</f>
        <v>1120124N00084    00</v>
      </c>
      <c r="B4997" t="s">
        <v>11839</v>
      </c>
      <c r="C4997" t="s">
        <v>11840</v>
      </c>
      <c r="D4997" t="s">
        <v>20</v>
      </c>
      <c r="E4997" t="s">
        <v>39</v>
      </c>
      <c r="F4997">
        <v>0</v>
      </c>
      <c r="G4997">
        <v>0</v>
      </c>
      <c r="H4997">
        <v>1</v>
      </c>
      <c r="I4997" s="3">
        <v>70.48</v>
      </c>
      <c r="J4997" s="3">
        <v>0</v>
      </c>
      <c r="L4997">
        <v>161</v>
      </c>
      <c r="M4997" t="s">
        <v>11067</v>
      </c>
      <c r="N4997" t="s">
        <v>30</v>
      </c>
      <c r="O4997" t="s">
        <v>31</v>
      </c>
      <c r="P4997" t="str">
        <f t="shared" ref="P4997:P5002" si="63">"15206"</f>
        <v>15206</v>
      </c>
    </row>
    <row r="4998" spans="1:16" x14ac:dyDescent="0.25">
      <c r="A4998" t="str">
        <f>"1120124N00143    00"</f>
        <v>1120124N00143    00</v>
      </c>
      <c r="B4998" t="s">
        <v>11841</v>
      </c>
      <c r="C4998" t="s">
        <v>11842</v>
      </c>
      <c r="D4998" t="s">
        <v>20</v>
      </c>
      <c r="E4998" t="s">
        <v>39</v>
      </c>
      <c r="F4998">
        <v>0</v>
      </c>
      <c r="G4998">
        <v>0</v>
      </c>
      <c r="H4998">
        <v>3</v>
      </c>
      <c r="I4998" s="3">
        <v>1406.7</v>
      </c>
      <c r="J4998" s="3">
        <v>93.77</v>
      </c>
      <c r="L4998">
        <v>118</v>
      </c>
      <c r="M4998" t="s">
        <v>11446</v>
      </c>
      <c r="N4998" t="s">
        <v>30</v>
      </c>
      <c r="O4998" t="s">
        <v>31</v>
      </c>
      <c r="P4998" t="str">
        <f t="shared" si="63"/>
        <v>15206</v>
      </c>
    </row>
    <row r="4999" spans="1:16" x14ac:dyDescent="0.25">
      <c r="A4999" t="str">
        <f>"1120124N00145    00"</f>
        <v>1120124N00145    00</v>
      </c>
      <c r="B4999" t="s">
        <v>11843</v>
      </c>
      <c r="C4999" t="s">
        <v>11046</v>
      </c>
      <c r="E4999" t="s">
        <v>39</v>
      </c>
      <c r="F4999">
        <v>0</v>
      </c>
      <c r="G4999">
        <v>0</v>
      </c>
      <c r="H4999">
        <v>8</v>
      </c>
      <c r="I4999" s="3">
        <v>93.09</v>
      </c>
      <c r="J4999" s="3">
        <v>118.24</v>
      </c>
      <c r="L4999">
        <v>132</v>
      </c>
      <c r="M4999" t="s">
        <v>11446</v>
      </c>
      <c r="N4999" t="s">
        <v>30</v>
      </c>
      <c r="O4999" t="s">
        <v>31</v>
      </c>
      <c r="P4999" t="str">
        <f t="shared" si="63"/>
        <v>15206</v>
      </c>
    </row>
    <row r="5000" spans="1:16" x14ac:dyDescent="0.25">
      <c r="A5000" t="str">
        <f>"1120124N00147    00"</f>
        <v>1120124N00147    00</v>
      </c>
      <c r="B5000" t="s">
        <v>11057</v>
      </c>
      <c r="C5000" t="s">
        <v>11844</v>
      </c>
      <c r="D5000" t="s">
        <v>20</v>
      </c>
      <c r="E5000" t="s">
        <v>39</v>
      </c>
      <c r="F5000">
        <v>0</v>
      </c>
      <c r="G5000">
        <v>0</v>
      </c>
      <c r="H5000">
        <v>1</v>
      </c>
      <c r="I5000" s="3">
        <v>318.31</v>
      </c>
      <c r="J5000" s="3">
        <v>0</v>
      </c>
      <c r="L5000">
        <v>221</v>
      </c>
      <c r="M5000" t="s">
        <v>11059</v>
      </c>
      <c r="N5000" t="s">
        <v>30</v>
      </c>
      <c r="O5000" t="s">
        <v>31</v>
      </c>
      <c r="P5000" t="str">
        <f t="shared" si="63"/>
        <v>15206</v>
      </c>
    </row>
    <row r="5001" spans="1:16" x14ac:dyDescent="0.25">
      <c r="A5001" t="str">
        <f>"1120124N00213    00"</f>
        <v>1120124N00213    00</v>
      </c>
      <c r="B5001" t="s">
        <v>11845</v>
      </c>
      <c r="C5001" t="s">
        <v>11846</v>
      </c>
      <c r="D5001" t="s">
        <v>20</v>
      </c>
      <c r="E5001" t="s">
        <v>39</v>
      </c>
      <c r="F5001">
        <v>0</v>
      </c>
      <c r="G5001">
        <v>0</v>
      </c>
      <c r="H5001">
        <v>6</v>
      </c>
      <c r="I5001" s="3">
        <v>2921.21</v>
      </c>
      <c r="J5001" s="3">
        <v>706.28</v>
      </c>
      <c r="K5001" t="s">
        <v>11847</v>
      </c>
      <c r="L5001">
        <v>133</v>
      </c>
      <c r="M5001" t="s">
        <v>11446</v>
      </c>
      <c r="N5001" t="s">
        <v>30</v>
      </c>
      <c r="O5001" t="s">
        <v>31</v>
      </c>
      <c r="P5001" t="str">
        <f t="shared" si="63"/>
        <v>15206</v>
      </c>
    </row>
    <row r="5002" spans="1:16" x14ac:dyDescent="0.25">
      <c r="A5002" t="str">
        <f>"1120124N00214    00"</f>
        <v>1120124N00214    00</v>
      </c>
      <c r="B5002" t="s">
        <v>11848</v>
      </c>
      <c r="C5002" t="s">
        <v>11849</v>
      </c>
      <c r="D5002" t="s">
        <v>20</v>
      </c>
      <c r="E5002" t="s">
        <v>39</v>
      </c>
      <c r="F5002">
        <v>0</v>
      </c>
      <c r="G5002">
        <v>0</v>
      </c>
      <c r="H5002">
        <v>1</v>
      </c>
      <c r="I5002" s="3">
        <v>36.119999999999997</v>
      </c>
      <c r="J5002" s="3">
        <v>0</v>
      </c>
      <c r="L5002">
        <v>131</v>
      </c>
      <c r="M5002" t="s">
        <v>11446</v>
      </c>
      <c r="N5002" t="s">
        <v>30</v>
      </c>
      <c r="O5002" t="s">
        <v>31</v>
      </c>
      <c r="P5002" t="str">
        <f t="shared" si="63"/>
        <v>15206</v>
      </c>
    </row>
    <row r="5003" spans="1:16" x14ac:dyDescent="0.25">
      <c r="A5003" t="str">
        <f>"1120124N00222    00"</f>
        <v>1120124N00222    00</v>
      </c>
      <c r="B5003" t="s">
        <v>11850</v>
      </c>
      <c r="C5003" t="s">
        <v>11851</v>
      </c>
      <c r="D5003" t="s">
        <v>20</v>
      </c>
      <c r="E5003" t="s">
        <v>21</v>
      </c>
      <c r="F5003">
        <v>0</v>
      </c>
      <c r="G5003">
        <v>0</v>
      </c>
      <c r="H5003">
        <v>15</v>
      </c>
      <c r="I5003" s="3">
        <v>15701.7</v>
      </c>
      <c r="J5003" s="3">
        <v>10007.41</v>
      </c>
      <c r="K5003" t="s">
        <v>220</v>
      </c>
      <c r="L5003">
        <v>412</v>
      </c>
      <c r="M5003" t="s">
        <v>8136</v>
      </c>
      <c r="N5003" t="s">
        <v>30</v>
      </c>
      <c r="O5003" t="s">
        <v>31</v>
      </c>
      <c r="P5003" t="str">
        <f>"15219"</f>
        <v>15219</v>
      </c>
    </row>
    <row r="5004" spans="1:16" x14ac:dyDescent="0.25">
      <c r="A5004" t="str">
        <f>"1120124N00235    00"</f>
        <v>1120124N00235    00</v>
      </c>
      <c r="B5004" t="s">
        <v>11852</v>
      </c>
      <c r="C5004" t="s">
        <v>11853</v>
      </c>
      <c r="D5004" t="s">
        <v>20</v>
      </c>
      <c r="E5004" t="s">
        <v>39</v>
      </c>
      <c r="F5004">
        <v>0</v>
      </c>
      <c r="G5004">
        <v>0</v>
      </c>
      <c r="H5004">
        <v>3</v>
      </c>
      <c r="I5004" s="3">
        <v>31.14</v>
      </c>
      <c r="J5004" s="3">
        <v>5.0999999999999996</v>
      </c>
      <c r="L5004">
        <v>128</v>
      </c>
      <c r="M5004" t="s">
        <v>2990</v>
      </c>
      <c r="N5004" t="s">
        <v>30</v>
      </c>
      <c r="O5004" t="s">
        <v>31</v>
      </c>
      <c r="P5004" t="str">
        <f>"15206"</f>
        <v>15206</v>
      </c>
    </row>
    <row r="5005" spans="1:16" x14ac:dyDescent="0.25">
      <c r="A5005" t="str">
        <f>"1120124N00246    00"</f>
        <v>1120124N00246    00</v>
      </c>
      <c r="B5005" t="s">
        <v>11854</v>
      </c>
      <c r="C5005" t="s">
        <v>11855</v>
      </c>
      <c r="D5005" t="s">
        <v>20</v>
      </c>
      <c r="E5005" t="s">
        <v>39</v>
      </c>
      <c r="F5005">
        <v>0</v>
      </c>
      <c r="G5005">
        <v>0</v>
      </c>
      <c r="H5005">
        <v>1</v>
      </c>
      <c r="I5005" s="3">
        <v>25.55</v>
      </c>
      <c r="J5005" s="3">
        <v>0</v>
      </c>
      <c r="L5005">
        <v>154</v>
      </c>
      <c r="M5005" t="s">
        <v>2990</v>
      </c>
      <c r="N5005" t="s">
        <v>30</v>
      </c>
      <c r="O5005" t="s">
        <v>31</v>
      </c>
      <c r="P5005" t="str">
        <f>"15206"</f>
        <v>15206</v>
      </c>
    </row>
    <row r="5006" spans="1:16" x14ac:dyDescent="0.25">
      <c r="A5006" t="str">
        <f>"1120124N00258    00"</f>
        <v>1120124N00258    00</v>
      </c>
      <c r="B5006" t="s">
        <v>11856</v>
      </c>
      <c r="C5006" t="s">
        <v>11857</v>
      </c>
      <c r="D5006" t="s">
        <v>20</v>
      </c>
      <c r="E5006" t="s">
        <v>39</v>
      </c>
      <c r="F5006">
        <v>0</v>
      </c>
      <c r="G5006">
        <v>0</v>
      </c>
      <c r="H5006">
        <v>2</v>
      </c>
      <c r="I5006" s="3">
        <v>70.5</v>
      </c>
      <c r="J5006" s="3">
        <v>0</v>
      </c>
      <c r="K5006" t="s">
        <v>417</v>
      </c>
      <c r="L5006">
        <v>3001</v>
      </c>
      <c r="M5006" t="s">
        <v>330</v>
      </c>
      <c r="N5006" t="s">
        <v>331</v>
      </c>
      <c r="O5006" t="s">
        <v>108</v>
      </c>
      <c r="P5006" t="str">
        <f>"75063"</f>
        <v>75063</v>
      </c>
    </row>
    <row r="5007" spans="1:16" x14ac:dyDescent="0.25">
      <c r="A5007" t="str">
        <f>"1120124N00266    00"</f>
        <v>1120124N00266    00</v>
      </c>
      <c r="B5007" t="s">
        <v>11858</v>
      </c>
      <c r="C5007" t="s">
        <v>11859</v>
      </c>
      <c r="D5007" t="s">
        <v>20</v>
      </c>
      <c r="E5007" t="s">
        <v>21</v>
      </c>
      <c r="F5007">
        <v>0</v>
      </c>
      <c r="G5007">
        <v>0</v>
      </c>
      <c r="H5007">
        <v>1</v>
      </c>
      <c r="I5007" s="3">
        <v>1029.26</v>
      </c>
      <c r="J5007" s="3">
        <v>0</v>
      </c>
      <c r="K5007" t="s">
        <v>11860</v>
      </c>
      <c r="L5007">
        <v>46</v>
      </c>
      <c r="M5007" t="s">
        <v>913</v>
      </c>
      <c r="N5007" t="s">
        <v>914</v>
      </c>
      <c r="O5007" t="s">
        <v>200</v>
      </c>
      <c r="P5007" t="str">
        <f>"10952"</f>
        <v>10952</v>
      </c>
    </row>
    <row r="5008" spans="1:16" x14ac:dyDescent="0.25">
      <c r="A5008" t="str">
        <f>"1120124N00268    00"</f>
        <v>1120124N00268    00</v>
      </c>
      <c r="B5008" t="s">
        <v>11861</v>
      </c>
      <c r="C5008" t="s">
        <v>11862</v>
      </c>
      <c r="D5008" t="s">
        <v>20</v>
      </c>
      <c r="E5008" t="s">
        <v>39</v>
      </c>
      <c r="F5008">
        <v>0</v>
      </c>
      <c r="G5008">
        <v>0</v>
      </c>
      <c r="H5008">
        <v>13</v>
      </c>
      <c r="I5008" s="3">
        <v>1113.9100000000001</v>
      </c>
      <c r="J5008" s="3">
        <v>631.09</v>
      </c>
      <c r="K5008" t="s">
        <v>11863</v>
      </c>
      <c r="L5008">
        <v>212</v>
      </c>
      <c r="M5008" t="s">
        <v>2990</v>
      </c>
      <c r="N5008" t="s">
        <v>30</v>
      </c>
      <c r="O5008" t="s">
        <v>31</v>
      </c>
      <c r="P5008" t="str">
        <f>"15206"</f>
        <v>15206</v>
      </c>
    </row>
    <row r="5009" spans="1:16" x14ac:dyDescent="0.25">
      <c r="A5009" t="str">
        <f>"1120124N00297    00"</f>
        <v>1120124N00297    00</v>
      </c>
      <c r="B5009" t="s">
        <v>11864</v>
      </c>
      <c r="C5009" t="s">
        <v>11865</v>
      </c>
      <c r="E5009" t="s">
        <v>39</v>
      </c>
      <c r="F5009">
        <v>0</v>
      </c>
      <c r="G5009">
        <v>0</v>
      </c>
      <c r="H5009">
        <v>1</v>
      </c>
      <c r="I5009" s="3">
        <v>282.10000000000002</v>
      </c>
      <c r="J5009" s="3">
        <v>56.42</v>
      </c>
      <c r="K5009" t="s">
        <v>11866</v>
      </c>
      <c r="L5009">
        <v>147</v>
      </c>
      <c r="M5009" t="s">
        <v>2990</v>
      </c>
      <c r="N5009" t="s">
        <v>30</v>
      </c>
      <c r="O5009" t="s">
        <v>31</v>
      </c>
      <c r="P5009" t="str">
        <f>"15206"</f>
        <v>15206</v>
      </c>
    </row>
    <row r="5010" spans="1:16" x14ac:dyDescent="0.25">
      <c r="A5010" t="str">
        <f>"1120124N00303    00"</f>
        <v>1120124N00303    00</v>
      </c>
      <c r="B5010" t="s">
        <v>11867</v>
      </c>
      <c r="C5010" t="s">
        <v>11868</v>
      </c>
      <c r="D5010" t="s">
        <v>20</v>
      </c>
      <c r="E5010" t="s">
        <v>39</v>
      </c>
      <c r="F5010">
        <v>0</v>
      </c>
      <c r="G5010">
        <v>0</v>
      </c>
      <c r="H5010">
        <v>12</v>
      </c>
      <c r="I5010" s="3">
        <v>4353.6499999999996</v>
      </c>
      <c r="J5010" s="3">
        <v>6129.3</v>
      </c>
      <c r="L5010">
        <v>135</v>
      </c>
      <c r="M5010" t="s">
        <v>2990</v>
      </c>
      <c r="N5010" t="s">
        <v>30</v>
      </c>
      <c r="O5010" t="s">
        <v>31</v>
      </c>
      <c r="P5010" t="str">
        <f>"15206"</f>
        <v>15206</v>
      </c>
    </row>
    <row r="5011" spans="1:16" x14ac:dyDescent="0.25">
      <c r="A5011" t="str">
        <f>"1120124N00351    00"</f>
        <v>1120124N00351    00</v>
      </c>
      <c r="B5011" t="s">
        <v>218</v>
      </c>
      <c r="C5011" t="s">
        <v>11869</v>
      </c>
      <c r="E5011" t="s">
        <v>39</v>
      </c>
      <c r="F5011">
        <v>0</v>
      </c>
      <c r="G5011">
        <v>0</v>
      </c>
      <c r="H5011">
        <v>2</v>
      </c>
      <c r="I5011" s="3">
        <v>2366.12</v>
      </c>
      <c r="J5011" s="3">
        <v>2277.83</v>
      </c>
      <c r="K5011" t="s">
        <v>220</v>
      </c>
      <c r="L5011">
        <v>412</v>
      </c>
      <c r="M5011" t="s">
        <v>221</v>
      </c>
      <c r="N5011" t="s">
        <v>30</v>
      </c>
      <c r="O5011" t="s">
        <v>31</v>
      </c>
      <c r="P5011" t="str">
        <f>"15219"</f>
        <v>15219</v>
      </c>
    </row>
    <row r="5012" spans="1:16" x14ac:dyDescent="0.25">
      <c r="A5012" t="str">
        <f>"1120124N00356A   00"</f>
        <v>1120124N00356A   00</v>
      </c>
      <c r="B5012" t="s">
        <v>11870</v>
      </c>
      <c r="C5012" t="s">
        <v>11869</v>
      </c>
      <c r="D5012" t="s">
        <v>20</v>
      </c>
      <c r="E5012" t="s">
        <v>39</v>
      </c>
      <c r="F5012">
        <v>0</v>
      </c>
      <c r="G5012">
        <v>0</v>
      </c>
      <c r="H5012">
        <v>7</v>
      </c>
      <c r="I5012" s="3">
        <v>501.87</v>
      </c>
      <c r="J5012" s="3">
        <v>287.64999999999998</v>
      </c>
      <c r="L5012">
        <v>1104</v>
      </c>
      <c r="M5012" t="s">
        <v>9307</v>
      </c>
      <c r="N5012" t="s">
        <v>30</v>
      </c>
      <c r="O5012" t="s">
        <v>31</v>
      </c>
      <c r="P5012" t="str">
        <f>"15201"</f>
        <v>15201</v>
      </c>
    </row>
    <row r="5013" spans="1:16" x14ac:dyDescent="0.25">
      <c r="A5013" t="str">
        <f>"1120124N00366    00"</f>
        <v>1120124N00366    00</v>
      </c>
      <c r="B5013" t="s">
        <v>11871</v>
      </c>
      <c r="C5013" t="s">
        <v>11872</v>
      </c>
      <c r="E5013" t="s">
        <v>39</v>
      </c>
      <c r="F5013">
        <v>0</v>
      </c>
      <c r="G5013">
        <v>0</v>
      </c>
      <c r="H5013">
        <v>6</v>
      </c>
      <c r="I5013" s="3">
        <v>2019.74</v>
      </c>
      <c r="J5013" s="3">
        <v>858.87</v>
      </c>
      <c r="K5013" t="s">
        <v>11873</v>
      </c>
      <c r="L5013">
        <v>142</v>
      </c>
      <c r="M5013" t="s">
        <v>11874</v>
      </c>
      <c r="N5013" t="s">
        <v>295</v>
      </c>
      <c r="O5013" t="s">
        <v>31</v>
      </c>
      <c r="P5013" t="str">
        <f>"15146"</f>
        <v>15146</v>
      </c>
    </row>
    <row r="5014" spans="1:16" x14ac:dyDescent="0.25">
      <c r="A5014" t="str">
        <f>"1120124N00367    00"</f>
        <v>1120124N00367    00</v>
      </c>
      <c r="B5014" t="s">
        <v>11875</v>
      </c>
      <c r="C5014" t="s">
        <v>11876</v>
      </c>
      <c r="D5014" t="s">
        <v>20</v>
      </c>
      <c r="E5014" t="s">
        <v>39</v>
      </c>
      <c r="F5014">
        <v>0</v>
      </c>
      <c r="G5014">
        <v>0</v>
      </c>
      <c r="H5014">
        <v>4</v>
      </c>
      <c r="I5014" s="3">
        <v>442.24</v>
      </c>
      <c r="J5014" s="3">
        <v>63.02</v>
      </c>
      <c r="L5014">
        <v>6389</v>
      </c>
      <c r="M5014" t="s">
        <v>3249</v>
      </c>
      <c r="N5014" t="s">
        <v>30</v>
      </c>
      <c r="O5014" t="s">
        <v>31</v>
      </c>
      <c r="P5014" t="str">
        <f>"15206"</f>
        <v>15206</v>
      </c>
    </row>
    <row r="5015" spans="1:16" x14ac:dyDescent="0.25">
      <c r="A5015" t="str">
        <f>"1120124N00368    00"</f>
        <v>1120124N00368    00</v>
      </c>
      <c r="B5015" t="s">
        <v>218</v>
      </c>
      <c r="C5015" t="s">
        <v>11869</v>
      </c>
      <c r="E5015" t="s">
        <v>39</v>
      </c>
      <c r="F5015">
        <v>0</v>
      </c>
      <c r="G5015">
        <v>0</v>
      </c>
      <c r="H5015">
        <v>2</v>
      </c>
      <c r="I5015" s="3">
        <v>101.58</v>
      </c>
      <c r="J5015" s="3">
        <v>45.23</v>
      </c>
      <c r="K5015" t="s">
        <v>220</v>
      </c>
      <c r="L5015">
        <v>412</v>
      </c>
      <c r="M5015" t="s">
        <v>221</v>
      </c>
      <c r="N5015" t="s">
        <v>30</v>
      </c>
      <c r="O5015" t="s">
        <v>31</v>
      </c>
      <c r="P5015" t="str">
        <f>"15219"</f>
        <v>15219</v>
      </c>
    </row>
    <row r="5016" spans="1:16" x14ac:dyDescent="0.25">
      <c r="A5016" t="str">
        <f>"1120124N00371    00"</f>
        <v>1120124N00371    00</v>
      </c>
      <c r="B5016" t="s">
        <v>11877</v>
      </c>
      <c r="C5016" t="s">
        <v>11878</v>
      </c>
      <c r="D5016" t="s">
        <v>20</v>
      </c>
      <c r="E5016" t="s">
        <v>39</v>
      </c>
      <c r="F5016">
        <v>0</v>
      </c>
      <c r="G5016">
        <v>0</v>
      </c>
      <c r="H5016">
        <v>3</v>
      </c>
      <c r="I5016" s="3">
        <v>252.76</v>
      </c>
      <c r="J5016" s="3">
        <v>31.42</v>
      </c>
      <c r="K5016" t="s">
        <v>11879</v>
      </c>
      <c r="L5016">
        <v>2850</v>
      </c>
      <c r="M5016" t="s">
        <v>11880</v>
      </c>
      <c r="N5016" t="s">
        <v>11881</v>
      </c>
      <c r="O5016" t="s">
        <v>606</v>
      </c>
      <c r="P5016" t="str">
        <f>"30067"</f>
        <v>30067</v>
      </c>
    </row>
    <row r="5017" spans="1:16" x14ac:dyDescent="0.25">
      <c r="A5017" t="str">
        <f>"1120124N00392    00"</f>
        <v>1120124N00392    00</v>
      </c>
      <c r="B5017" t="s">
        <v>11057</v>
      </c>
      <c r="C5017" t="s">
        <v>11882</v>
      </c>
      <c r="D5017" t="s">
        <v>33</v>
      </c>
      <c r="E5017" t="s">
        <v>39</v>
      </c>
      <c r="F5017">
        <v>0</v>
      </c>
      <c r="G5017">
        <v>0</v>
      </c>
      <c r="H5017">
        <v>8</v>
      </c>
      <c r="I5017" s="3">
        <v>711.9</v>
      </c>
      <c r="J5017" s="3">
        <v>15.29</v>
      </c>
      <c r="K5017" t="s">
        <v>11883</v>
      </c>
      <c r="L5017">
        <v>221</v>
      </c>
      <c r="M5017" t="s">
        <v>11059</v>
      </c>
      <c r="N5017" t="s">
        <v>30</v>
      </c>
      <c r="O5017" t="s">
        <v>31</v>
      </c>
      <c r="P5017" t="str">
        <f>"15206"</f>
        <v>15206</v>
      </c>
    </row>
    <row r="5018" spans="1:16" x14ac:dyDescent="0.25">
      <c r="A5018" t="str">
        <f>"1120124N00393    00"</f>
        <v>1120124N00393    00</v>
      </c>
      <c r="B5018" t="s">
        <v>11057</v>
      </c>
      <c r="C5018" t="s">
        <v>11884</v>
      </c>
      <c r="D5018" t="s">
        <v>33</v>
      </c>
      <c r="E5018" t="s">
        <v>39</v>
      </c>
      <c r="F5018">
        <v>0</v>
      </c>
      <c r="G5018">
        <v>0</v>
      </c>
      <c r="H5018">
        <v>10</v>
      </c>
      <c r="I5018" s="3">
        <v>965.2</v>
      </c>
      <c r="J5018" s="3">
        <v>24.81</v>
      </c>
      <c r="K5018" t="s">
        <v>11883</v>
      </c>
      <c r="L5018">
        <v>221</v>
      </c>
      <c r="M5018" t="s">
        <v>11059</v>
      </c>
      <c r="N5018" t="s">
        <v>30</v>
      </c>
      <c r="O5018" t="s">
        <v>31</v>
      </c>
      <c r="P5018" t="str">
        <f>"15206"</f>
        <v>15206</v>
      </c>
    </row>
    <row r="5019" spans="1:16" x14ac:dyDescent="0.25">
      <c r="A5019" t="str">
        <f>"1120124N00409    00"</f>
        <v>1120124N00409    00</v>
      </c>
      <c r="B5019" t="s">
        <v>11436</v>
      </c>
      <c r="C5019" t="s">
        <v>11885</v>
      </c>
      <c r="E5019" t="s">
        <v>39</v>
      </c>
      <c r="F5019">
        <v>0</v>
      </c>
      <c r="G5019">
        <v>0</v>
      </c>
      <c r="H5019">
        <v>1</v>
      </c>
      <c r="I5019" s="3">
        <v>80.05</v>
      </c>
      <c r="J5019" s="3">
        <v>0</v>
      </c>
      <c r="K5019" t="s">
        <v>11434</v>
      </c>
      <c r="L5019">
        <v>7049</v>
      </c>
      <c r="M5019" t="s">
        <v>11435</v>
      </c>
      <c r="N5019" t="s">
        <v>30</v>
      </c>
      <c r="O5019" t="s">
        <v>31</v>
      </c>
      <c r="P5019" t="str">
        <f>"15208"</f>
        <v>15208</v>
      </c>
    </row>
    <row r="5020" spans="1:16" x14ac:dyDescent="0.25">
      <c r="A5020" t="str">
        <f>"1120124P00001    00"</f>
        <v>1120124P00001    00</v>
      </c>
      <c r="B5020" t="s">
        <v>11886</v>
      </c>
      <c r="C5020" t="s">
        <v>11887</v>
      </c>
      <c r="D5020" t="s">
        <v>20</v>
      </c>
      <c r="E5020" t="s">
        <v>39</v>
      </c>
      <c r="F5020">
        <v>0</v>
      </c>
      <c r="G5020">
        <v>0</v>
      </c>
      <c r="H5020">
        <v>2</v>
      </c>
      <c r="I5020" s="3">
        <v>381.2</v>
      </c>
      <c r="J5020" s="3">
        <v>0</v>
      </c>
      <c r="L5020">
        <v>126</v>
      </c>
      <c r="M5020" t="s">
        <v>11888</v>
      </c>
      <c r="N5020" t="s">
        <v>30</v>
      </c>
      <c r="O5020" t="s">
        <v>31</v>
      </c>
      <c r="P5020" t="str">
        <f>"15221"</f>
        <v>15221</v>
      </c>
    </row>
    <row r="5021" spans="1:16" x14ac:dyDescent="0.25">
      <c r="A5021" t="str">
        <f>"1120124P00002    00"</f>
        <v>1120124P00002    00</v>
      </c>
      <c r="B5021" t="s">
        <v>11889</v>
      </c>
      <c r="C5021" t="s">
        <v>11193</v>
      </c>
      <c r="D5021" t="s">
        <v>20</v>
      </c>
      <c r="E5021" t="s">
        <v>39</v>
      </c>
      <c r="F5021">
        <v>0</v>
      </c>
      <c r="G5021">
        <v>0</v>
      </c>
      <c r="H5021">
        <v>1</v>
      </c>
      <c r="I5021" s="3">
        <v>19.059999999999999</v>
      </c>
      <c r="J5021" s="3">
        <v>0</v>
      </c>
      <c r="L5021">
        <v>301</v>
      </c>
      <c r="M5021" t="s">
        <v>3323</v>
      </c>
      <c r="N5021" t="s">
        <v>3324</v>
      </c>
      <c r="O5021" t="s">
        <v>273</v>
      </c>
      <c r="P5021" t="str">
        <f>"29445"</f>
        <v>29445</v>
      </c>
    </row>
    <row r="5022" spans="1:16" x14ac:dyDescent="0.25">
      <c r="A5022" t="str">
        <f>"1120124P00010A   00"</f>
        <v>1120124P00010A   00</v>
      </c>
      <c r="B5022" t="s">
        <v>11890</v>
      </c>
      <c r="C5022" t="s">
        <v>11891</v>
      </c>
      <c r="D5022" t="s">
        <v>20</v>
      </c>
      <c r="E5022" t="s">
        <v>39</v>
      </c>
      <c r="F5022">
        <v>0</v>
      </c>
      <c r="G5022">
        <v>0</v>
      </c>
      <c r="H5022">
        <v>9</v>
      </c>
      <c r="I5022" s="3">
        <v>3271.21</v>
      </c>
      <c r="J5022" s="3">
        <v>3640.81</v>
      </c>
      <c r="L5022">
        <v>6355</v>
      </c>
      <c r="M5022" t="s">
        <v>11892</v>
      </c>
      <c r="N5022" t="s">
        <v>30</v>
      </c>
      <c r="O5022" t="s">
        <v>31</v>
      </c>
      <c r="P5022" t="str">
        <f t="shared" ref="P5022:P5028" si="64">"15206"</f>
        <v>15206</v>
      </c>
    </row>
    <row r="5023" spans="1:16" x14ac:dyDescent="0.25">
      <c r="A5023" t="str">
        <f>"1120124P00011A   00"</f>
        <v>1120124P00011A   00</v>
      </c>
      <c r="B5023" t="s">
        <v>11893</v>
      </c>
      <c r="C5023" t="s">
        <v>11894</v>
      </c>
      <c r="E5023" t="s">
        <v>39</v>
      </c>
      <c r="F5023">
        <v>0</v>
      </c>
      <c r="G5023">
        <v>0</v>
      </c>
      <c r="H5023">
        <v>1</v>
      </c>
      <c r="I5023" s="3">
        <v>108.81</v>
      </c>
      <c r="J5023" s="3">
        <v>29.93</v>
      </c>
      <c r="L5023">
        <v>6030</v>
      </c>
      <c r="M5023" t="s">
        <v>11895</v>
      </c>
      <c r="N5023" t="s">
        <v>30</v>
      </c>
      <c r="O5023" t="s">
        <v>31</v>
      </c>
      <c r="P5023" t="str">
        <f t="shared" si="64"/>
        <v>15206</v>
      </c>
    </row>
    <row r="5024" spans="1:16" x14ac:dyDescent="0.25">
      <c r="A5024" t="str">
        <f>"1120124P00011B   00"</f>
        <v>1120124P00011B   00</v>
      </c>
      <c r="B5024" t="s">
        <v>11896</v>
      </c>
      <c r="C5024" t="s">
        <v>11897</v>
      </c>
      <c r="E5024" t="s">
        <v>39</v>
      </c>
      <c r="F5024">
        <v>0</v>
      </c>
      <c r="G5024">
        <v>0</v>
      </c>
      <c r="H5024">
        <v>2</v>
      </c>
      <c r="I5024" s="3">
        <v>254.83</v>
      </c>
      <c r="J5024" s="3">
        <v>184.89</v>
      </c>
      <c r="L5024">
        <v>6030</v>
      </c>
      <c r="M5024" t="s">
        <v>11895</v>
      </c>
      <c r="N5024" t="s">
        <v>30</v>
      </c>
      <c r="O5024" t="s">
        <v>31</v>
      </c>
      <c r="P5024" t="str">
        <f t="shared" si="64"/>
        <v>15206</v>
      </c>
    </row>
    <row r="5025" spans="1:16" x14ac:dyDescent="0.25">
      <c r="A5025" t="str">
        <f>"1120124P00014    00"</f>
        <v>1120124P00014    00</v>
      </c>
      <c r="B5025" t="s">
        <v>11898</v>
      </c>
      <c r="C5025" t="s">
        <v>11899</v>
      </c>
      <c r="D5025" t="s">
        <v>20</v>
      </c>
      <c r="E5025" t="s">
        <v>39</v>
      </c>
      <c r="F5025">
        <v>0</v>
      </c>
      <c r="G5025">
        <v>0</v>
      </c>
      <c r="H5025">
        <v>2</v>
      </c>
      <c r="I5025" s="3">
        <v>27.87</v>
      </c>
      <c r="J5025" s="3">
        <v>0</v>
      </c>
      <c r="M5025" t="s">
        <v>11900</v>
      </c>
      <c r="N5025" t="s">
        <v>30</v>
      </c>
      <c r="O5025" t="s">
        <v>31</v>
      </c>
      <c r="P5025" t="str">
        <f t="shared" si="64"/>
        <v>15206</v>
      </c>
    </row>
    <row r="5026" spans="1:16" x14ac:dyDescent="0.25">
      <c r="A5026" t="str">
        <f>"1120124P00019    00"</f>
        <v>1120124P00019    00</v>
      </c>
      <c r="B5026" t="s">
        <v>11901</v>
      </c>
      <c r="C5026" t="s">
        <v>11193</v>
      </c>
      <c r="E5026" t="s">
        <v>39</v>
      </c>
      <c r="F5026">
        <v>0</v>
      </c>
      <c r="G5026">
        <v>0</v>
      </c>
      <c r="H5026">
        <v>1</v>
      </c>
      <c r="I5026" s="3">
        <v>36.130000000000003</v>
      </c>
      <c r="J5026" s="3">
        <v>0</v>
      </c>
      <c r="L5026">
        <v>537</v>
      </c>
      <c r="M5026" t="s">
        <v>11059</v>
      </c>
      <c r="N5026" t="s">
        <v>30</v>
      </c>
      <c r="O5026" t="s">
        <v>31</v>
      </c>
      <c r="P5026" t="str">
        <f t="shared" si="64"/>
        <v>15206</v>
      </c>
    </row>
    <row r="5027" spans="1:16" x14ac:dyDescent="0.25">
      <c r="A5027" t="str">
        <f>"1120124P00020    00"</f>
        <v>1120124P00020    00</v>
      </c>
      <c r="B5027" t="s">
        <v>11898</v>
      </c>
      <c r="C5027" t="s">
        <v>11902</v>
      </c>
      <c r="E5027" t="s">
        <v>21</v>
      </c>
      <c r="F5027">
        <v>0</v>
      </c>
      <c r="G5027">
        <v>0</v>
      </c>
      <c r="H5027">
        <v>1</v>
      </c>
      <c r="I5027" s="3">
        <v>319.81</v>
      </c>
      <c r="J5027" s="3">
        <v>0</v>
      </c>
      <c r="M5027" t="s">
        <v>11900</v>
      </c>
      <c r="N5027" t="s">
        <v>30</v>
      </c>
      <c r="O5027" t="s">
        <v>31</v>
      </c>
      <c r="P5027" t="str">
        <f t="shared" si="64"/>
        <v>15206</v>
      </c>
    </row>
    <row r="5028" spans="1:16" x14ac:dyDescent="0.25">
      <c r="A5028" t="str">
        <f>"1120124P00021    00"</f>
        <v>1120124P00021    00</v>
      </c>
      <c r="B5028" t="s">
        <v>11903</v>
      </c>
      <c r="C5028" t="s">
        <v>11193</v>
      </c>
      <c r="E5028" t="s">
        <v>21</v>
      </c>
      <c r="F5028">
        <v>0</v>
      </c>
      <c r="G5028">
        <v>0</v>
      </c>
      <c r="H5028">
        <v>1</v>
      </c>
      <c r="I5028" s="3">
        <v>26.43</v>
      </c>
      <c r="J5028" s="3">
        <v>0</v>
      </c>
      <c r="M5028" t="s">
        <v>11900</v>
      </c>
      <c r="N5028" t="s">
        <v>30</v>
      </c>
      <c r="O5028" t="s">
        <v>31</v>
      </c>
      <c r="P5028" t="str">
        <f t="shared" si="64"/>
        <v>15206</v>
      </c>
    </row>
    <row r="5029" spans="1:16" x14ac:dyDescent="0.25">
      <c r="A5029" t="str">
        <f>"1120124P00024    00"</f>
        <v>1120124P00024    00</v>
      </c>
      <c r="B5029" t="s">
        <v>218</v>
      </c>
      <c r="C5029" t="s">
        <v>11897</v>
      </c>
      <c r="E5029" t="s">
        <v>39</v>
      </c>
      <c r="F5029">
        <v>0</v>
      </c>
      <c r="G5029">
        <v>0</v>
      </c>
      <c r="H5029">
        <v>1</v>
      </c>
      <c r="I5029" s="3">
        <v>58.43</v>
      </c>
      <c r="J5029" s="3">
        <v>17.53</v>
      </c>
      <c r="K5029" t="s">
        <v>220</v>
      </c>
      <c r="L5029">
        <v>412</v>
      </c>
      <c r="M5029" t="s">
        <v>221</v>
      </c>
      <c r="N5029" t="s">
        <v>30</v>
      </c>
      <c r="O5029" t="s">
        <v>31</v>
      </c>
      <c r="P5029" t="str">
        <f>"15219"</f>
        <v>15219</v>
      </c>
    </row>
    <row r="5030" spans="1:16" x14ac:dyDescent="0.25">
      <c r="A5030" t="str">
        <f>"1120124P00036    00"</f>
        <v>1120124P00036    00</v>
      </c>
      <c r="B5030" t="s">
        <v>11904</v>
      </c>
      <c r="C5030" t="s">
        <v>11905</v>
      </c>
      <c r="D5030" t="s">
        <v>20</v>
      </c>
      <c r="E5030" t="s">
        <v>39</v>
      </c>
      <c r="F5030">
        <v>0</v>
      </c>
      <c r="G5030">
        <v>0</v>
      </c>
      <c r="H5030">
        <v>14</v>
      </c>
      <c r="I5030" s="3">
        <v>12701.26</v>
      </c>
      <c r="J5030" s="3">
        <v>11476</v>
      </c>
      <c r="L5030">
        <v>543</v>
      </c>
      <c r="M5030" t="s">
        <v>11059</v>
      </c>
      <c r="N5030" t="s">
        <v>30</v>
      </c>
      <c r="O5030" t="s">
        <v>31</v>
      </c>
      <c r="P5030" t="str">
        <f>"15206"</f>
        <v>15206</v>
      </c>
    </row>
    <row r="5031" spans="1:16" x14ac:dyDescent="0.25">
      <c r="A5031" t="str">
        <f>"1120124P00041    00"</f>
        <v>1120124P00041    00</v>
      </c>
      <c r="B5031" t="s">
        <v>11906</v>
      </c>
      <c r="C5031" t="s">
        <v>11907</v>
      </c>
      <c r="E5031" t="s">
        <v>39</v>
      </c>
      <c r="F5031">
        <v>0</v>
      </c>
      <c r="G5031">
        <v>0</v>
      </c>
      <c r="H5031">
        <v>1</v>
      </c>
      <c r="I5031" s="3">
        <v>25.41</v>
      </c>
      <c r="J5031" s="3">
        <v>17.57</v>
      </c>
      <c r="L5031">
        <v>200</v>
      </c>
      <c r="M5031" t="s">
        <v>946</v>
      </c>
      <c r="N5031" t="s">
        <v>30</v>
      </c>
      <c r="O5031" t="s">
        <v>31</v>
      </c>
      <c r="P5031" t="str">
        <f>"15219"</f>
        <v>15219</v>
      </c>
    </row>
    <row r="5032" spans="1:16" x14ac:dyDescent="0.25">
      <c r="A5032" t="str">
        <f>"1120124P00047    00"</f>
        <v>1120124P00047    00</v>
      </c>
      <c r="B5032" t="s">
        <v>11908</v>
      </c>
      <c r="C5032" t="s">
        <v>11909</v>
      </c>
      <c r="D5032" t="s">
        <v>20</v>
      </c>
      <c r="E5032" t="s">
        <v>39</v>
      </c>
      <c r="F5032">
        <v>0</v>
      </c>
      <c r="G5032">
        <v>0</v>
      </c>
      <c r="H5032">
        <v>1</v>
      </c>
      <c r="I5032" s="3">
        <v>67.540000000000006</v>
      </c>
      <c r="J5032" s="3">
        <v>18.57</v>
      </c>
      <c r="K5032" t="s">
        <v>11910</v>
      </c>
      <c r="L5032">
        <v>5203</v>
      </c>
      <c r="M5032" t="s">
        <v>8818</v>
      </c>
      <c r="N5032" t="s">
        <v>30</v>
      </c>
      <c r="O5032" t="s">
        <v>31</v>
      </c>
      <c r="P5032" t="str">
        <f>"15201"</f>
        <v>15201</v>
      </c>
    </row>
    <row r="5033" spans="1:16" x14ac:dyDescent="0.25">
      <c r="A5033" t="str">
        <f>"1120124P00058    00"</f>
        <v>1120124P00058    00</v>
      </c>
      <c r="B5033" t="s">
        <v>11911</v>
      </c>
      <c r="C5033" t="s">
        <v>11466</v>
      </c>
      <c r="D5033" t="s">
        <v>20</v>
      </c>
      <c r="E5033" t="s">
        <v>39</v>
      </c>
      <c r="F5033">
        <v>0</v>
      </c>
      <c r="G5033">
        <v>0</v>
      </c>
      <c r="H5033">
        <v>2</v>
      </c>
      <c r="I5033" s="3">
        <v>179.18</v>
      </c>
      <c r="J5033" s="3">
        <v>0</v>
      </c>
      <c r="L5033">
        <v>6413</v>
      </c>
      <c r="M5033" t="s">
        <v>11459</v>
      </c>
      <c r="N5033" t="s">
        <v>30</v>
      </c>
      <c r="O5033" t="s">
        <v>31</v>
      </c>
      <c r="P5033" t="str">
        <f>"15206"</f>
        <v>15206</v>
      </c>
    </row>
    <row r="5034" spans="1:16" x14ac:dyDescent="0.25">
      <c r="A5034" t="str">
        <f>"1120124P00078D   00"</f>
        <v>1120124P00078D   00</v>
      </c>
      <c r="B5034" t="s">
        <v>11912</v>
      </c>
      <c r="C5034" t="s">
        <v>11913</v>
      </c>
      <c r="D5034" t="s">
        <v>20</v>
      </c>
      <c r="E5034" t="s">
        <v>39</v>
      </c>
      <c r="F5034">
        <v>0</v>
      </c>
      <c r="G5034">
        <v>0</v>
      </c>
      <c r="H5034">
        <v>16</v>
      </c>
      <c r="I5034" s="3">
        <v>5931.65</v>
      </c>
      <c r="J5034" s="3">
        <v>4694.68</v>
      </c>
      <c r="L5034">
        <v>233</v>
      </c>
      <c r="M5034" t="s">
        <v>11914</v>
      </c>
      <c r="N5034" t="s">
        <v>30</v>
      </c>
      <c r="O5034" t="s">
        <v>31</v>
      </c>
      <c r="P5034" t="str">
        <f>"15235"</f>
        <v>15235</v>
      </c>
    </row>
    <row r="5035" spans="1:16" x14ac:dyDescent="0.25">
      <c r="A5035" t="str">
        <f>"1120124P00079B   00"</f>
        <v>1120124P00079B   00</v>
      </c>
      <c r="B5035" t="s">
        <v>4450</v>
      </c>
      <c r="C5035" t="s">
        <v>11915</v>
      </c>
      <c r="D5035" t="s">
        <v>20</v>
      </c>
      <c r="E5035" t="s">
        <v>39</v>
      </c>
      <c r="F5035">
        <v>0</v>
      </c>
      <c r="G5035">
        <v>0</v>
      </c>
      <c r="H5035">
        <v>1</v>
      </c>
      <c r="I5035" s="3">
        <v>350.71</v>
      </c>
      <c r="J5035" s="3">
        <v>0</v>
      </c>
      <c r="L5035">
        <v>7901</v>
      </c>
      <c r="M5035" t="s">
        <v>4452</v>
      </c>
      <c r="N5035" t="s">
        <v>30</v>
      </c>
      <c r="O5035" t="s">
        <v>31</v>
      </c>
      <c r="P5035" t="str">
        <f>"15221"</f>
        <v>15221</v>
      </c>
    </row>
    <row r="5036" spans="1:16" x14ac:dyDescent="0.25">
      <c r="A5036" t="str">
        <f>"1120124P00081    00"</f>
        <v>1120124P00081    00</v>
      </c>
      <c r="B5036" t="s">
        <v>11916</v>
      </c>
      <c r="C5036" t="s">
        <v>11917</v>
      </c>
      <c r="D5036" t="s">
        <v>20</v>
      </c>
      <c r="E5036" t="s">
        <v>39</v>
      </c>
      <c r="F5036">
        <v>0</v>
      </c>
      <c r="G5036">
        <v>0</v>
      </c>
      <c r="H5036">
        <v>13</v>
      </c>
      <c r="I5036" s="3">
        <v>4314.3900000000003</v>
      </c>
      <c r="J5036" s="3">
        <v>2612.91</v>
      </c>
      <c r="L5036">
        <v>530</v>
      </c>
      <c r="M5036" t="s">
        <v>11059</v>
      </c>
      <c r="N5036" t="s">
        <v>30</v>
      </c>
      <c r="O5036" t="s">
        <v>31</v>
      </c>
      <c r="P5036" t="str">
        <f>"15206"</f>
        <v>15206</v>
      </c>
    </row>
    <row r="5037" spans="1:16" x14ac:dyDescent="0.25">
      <c r="A5037" t="str">
        <f>"1120124P00087    00"</f>
        <v>1120124P00087    00</v>
      </c>
      <c r="B5037" t="s">
        <v>11918</v>
      </c>
      <c r="C5037" t="s">
        <v>11919</v>
      </c>
      <c r="E5037" t="s">
        <v>39</v>
      </c>
      <c r="F5037">
        <v>0</v>
      </c>
      <c r="G5037">
        <v>0</v>
      </c>
      <c r="H5037">
        <v>1</v>
      </c>
      <c r="I5037" s="3">
        <v>162.97999999999999</v>
      </c>
      <c r="J5037" s="3">
        <v>0</v>
      </c>
      <c r="K5037" t="s">
        <v>11920</v>
      </c>
      <c r="M5037" t="s">
        <v>11134</v>
      </c>
      <c r="N5037" t="s">
        <v>30</v>
      </c>
      <c r="O5037" t="s">
        <v>31</v>
      </c>
      <c r="P5037" t="str">
        <f>"15224"</f>
        <v>15224</v>
      </c>
    </row>
    <row r="5038" spans="1:16" x14ac:dyDescent="0.25">
      <c r="A5038" t="str">
        <f>"1120124P00091    00"</f>
        <v>1120124P00091    00</v>
      </c>
      <c r="B5038" t="s">
        <v>11057</v>
      </c>
      <c r="C5038" t="s">
        <v>11921</v>
      </c>
      <c r="D5038" t="s">
        <v>33</v>
      </c>
      <c r="E5038" t="s">
        <v>39</v>
      </c>
      <c r="F5038">
        <v>0</v>
      </c>
      <c r="G5038">
        <v>0</v>
      </c>
      <c r="H5038">
        <v>16</v>
      </c>
      <c r="I5038" s="3">
        <v>3113.11</v>
      </c>
      <c r="J5038" s="3">
        <v>1995.37</v>
      </c>
      <c r="K5038" t="s">
        <v>11883</v>
      </c>
      <c r="L5038">
        <v>221</v>
      </c>
      <c r="M5038" t="s">
        <v>11059</v>
      </c>
      <c r="N5038" t="s">
        <v>30</v>
      </c>
      <c r="O5038" t="s">
        <v>31</v>
      </c>
      <c r="P5038" t="str">
        <f>"15206"</f>
        <v>15206</v>
      </c>
    </row>
    <row r="5039" spans="1:16" x14ac:dyDescent="0.25">
      <c r="A5039" t="str">
        <f>"1120124P00092A   00"</f>
        <v>1120124P00092A   00</v>
      </c>
      <c r="B5039" t="s">
        <v>11057</v>
      </c>
      <c r="C5039" t="s">
        <v>11922</v>
      </c>
      <c r="D5039" t="s">
        <v>33</v>
      </c>
      <c r="E5039" t="s">
        <v>39</v>
      </c>
      <c r="F5039">
        <v>0</v>
      </c>
      <c r="G5039">
        <v>0</v>
      </c>
      <c r="H5039">
        <v>18</v>
      </c>
      <c r="I5039" s="3">
        <v>4621.2299999999996</v>
      </c>
      <c r="J5039" s="3">
        <v>3054.77</v>
      </c>
      <c r="K5039" t="s">
        <v>11883</v>
      </c>
      <c r="L5039">
        <v>221</v>
      </c>
      <c r="M5039" t="s">
        <v>11059</v>
      </c>
      <c r="N5039" t="s">
        <v>30</v>
      </c>
      <c r="O5039" t="s">
        <v>31</v>
      </c>
      <c r="P5039" t="str">
        <f>"15206"</f>
        <v>15206</v>
      </c>
    </row>
    <row r="5040" spans="1:16" x14ac:dyDescent="0.25">
      <c r="A5040" t="str">
        <f>"1120124P00093A   00"</f>
        <v>1120124P00093A   00</v>
      </c>
      <c r="B5040" t="s">
        <v>11057</v>
      </c>
      <c r="C5040" t="s">
        <v>11923</v>
      </c>
      <c r="D5040" t="s">
        <v>33</v>
      </c>
      <c r="E5040" t="s">
        <v>39</v>
      </c>
      <c r="F5040">
        <v>0</v>
      </c>
      <c r="G5040">
        <v>0</v>
      </c>
      <c r="H5040">
        <v>10</v>
      </c>
      <c r="I5040" s="3">
        <v>1435.38</v>
      </c>
      <c r="J5040" s="3">
        <v>169.07</v>
      </c>
      <c r="K5040" t="s">
        <v>11883</v>
      </c>
      <c r="L5040">
        <v>221</v>
      </c>
      <c r="M5040" t="s">
        <v>11059</v>
      </c>
      <c r="N5040" t="s">
        <v>30</v>
      </c>
      <c r="O5040" t="s">
        <v>31</v>
      </c>
      <c r="P5040" t="str">
        <f>"15206"</f>
        <v>15206</v>
      </c>
    </row>
    <row r="5041" spans="1:16" x14ac:dyDescent="0.25">
      <c r="A5041" t="str">
        <f>"1120124P00094    00"</f>
        <v>1120124P00094    00</v>
      </c>
      <c r="B5041" t="s">
        <v>11924</v>
      </c>
      <c r="C5041" t="s">
        <v>11925</v>
      </c>
      <c r="D5041" t="s">
        <v>20</v>
      </c>
      <c r="E5041" t="s">
        <v>39</v>
      </c>
      <c r="F5041">
        <v>0</v>
      </c>
      <c r="G5041">
        <v>0</v>
      </c>
      <c r="H5041">
        <v>1</v>
      </c>
      <c r="I5041" s="3">
        <v>743.34</v>
      </c>
      <c r="J5041" s="3">
        <v>0</v>
      </c>
      <c r="K5041" t="s">
        <v>11926</v>
      </c>
      <c r="L5041">
        <v>224</v>
      </c>
      <c r="M5041" t="s">
        <v>11446</v>
      </c>
      <c r="N5041" t="s">
        <v>30</v>
      </c>
      <c r="O5041" t="s">
        <v>31</v>
      </c>
      <c r="P5041" t="str">
        <f>"15206"</f>
        <v>15206</v>
      </c>
    </row>
    <row r="5042" spans="1:16" x14ac:dyDescent="0.25">
      <c r="A5042" t="str">
        <f>"1120124P00094A   00"</f>
        <v>1120124P00094A   00</v>
      </c>
      <c r="B5042" t="s">
        <v>11927</v>
      </c>
      <c r="C5042" t="s">
        <v>11928</v>
      </c>
      <c r="D5042" t="s">
        <v>20</v>
      </c>
      <c r="E5042" t="s">
        <v>39</v>
      </c>
      <c r="F5042">
        <v>0</v>
      </c>
      <c r="G5042">
        <v>0</v>
      </c>
      <c r="H5042">
        <v>2</v>
      </c>
      <c r="I5042" s="3">
        <v>686.2</v>
      </c>
      <c r="J5042" s="3">
        <v>0</v>
      </c>
      <c r="L5042">
        <v>1329</v>
      </c>
      <c r="M5042" t="s">
        <v>11753</v>
      </c>
      <c r="N5042" t="s">
        <v>30</v>
      </c>
      <c r="O5042" t="s">
        <v>31</v>
      </c>
      <c r="P5042" t="str">
        <f>"15206"</f>
        <v>15206</v>
      </c>
    </row>
    <row r="5043" spans="1:16" x14ac:dyDescent="0.25">
      <c r="A5043" t="str">
        <f>"1120124P00095A   00"</f>
        <v>1120124P00095A   00</v>
      </c>
      <c r="B5043" t="s">
        <v>11929</v>
      </c>
      <c r="C5043" t="s">
        <v>11193</v>
      </c>
      <c r="D5043" t="s">
        <v>20</v>
      </c>
      <c r="E5043" t="s">
        <v>39</v>
      </c>
      <c r="F5043">
        <v>0</v>
      </c>
      <c r="G5043">
        <v>0</v>
      </c>
      <c r="H5043">
        <v>3</v>
      </c>
      <c r="I5043" s="3">
        <v>22.86</v>
      </c>
      <c r="J5043" s="3">
        <v>1.52</v>
      </c>
      <c r="N5043" t="s">
        <v>11930</v>
      </c>
      <c r="P5043" t="str">
        <f>""</f>
        <v/>
      </c>
    </row>
    <row r="5044" spans="1:16" x14ac:dyDescent="0.25">
      <c r="A5044" t="str">
        <f>"1120124P00100    00"</f>
        <v>1120124P00100    00</v>
      </c>
      <c r="B5044" t="s">
        <v>11931</v>
      </c>
      <c r="C5044" t="s">
        <v>11932</v>
      </c>
      <c r="D5044" t="s">
        <v>20</v>
      </c>
      <c r="E5044" t="s">
        <v>39</v>
      </c>
      <c r="F5044">
        <v>0</v>
      </c>
      <c r="G5044">
        <v>0</v>
      </c>
      <c r="H5044">
        <v>19</v>
      </c>
      <c r="I5044" s="3">
        <v>11261.72</v>
      </c>
      <c r="J5044" s="3">
        <v>12240.3</v>
      </c>
      <c r="L5044">
        <v>203</v>
      </c>
      <c r="M5044" t="s">
        <v>11933</v>
      </c>
      <c r="N5044" t="s">
        <v>11934</v>
      </c>
      <c r="O5044" t="s">
        <v>554</v>
      </c>
      <c r="P5044" t="str">
        <f>"25414"</f>
        <v>25414</v>
      </c>
    </row>
    <row r="5045" spans="1:16" x14ac:dyDescent="0.25">
      <c r="A5045" t="str">
        <f>"1120124P00120    00"</f>
        <v>1120124P00120    00</v>
      </c>
      <c r="B5045" t="s">
        <v>11935</v>
      </c>
      <c r="C5045" t="s">
        <v>11936</v>
      </c>
      <c r="D5045" t="s">
        <v>20</v>
      </c>
      <c r="E5045" t="s">
        <v>39</v>
      </c>
      <c r="F5045">
        <v>0</v>
      </c>
      <c r="G5045">
        <v>0</v>
      </c>
      <c r="H5045">
        <v>7</v>
      </c>
      <c r="I5045" s="3">
        <v>1030.02</v>
      </c>
      <c r="J5045" s="3">
        <v>705.11</v>
      </c>
      <c r="L5045">
        <v>922</v>
      </c>
      <c r="M5045" t="s">
        <v>1315</v>
      </c>
      <c r="N5045" t="s">
        <v>30</v>
      </c>
      <c r="O5045" t="s">
        <v>31</v>
      </c>
      <c r="P5045" t="str">
        <f>"15206"</f>
        <v>15206</v>
      </c>
    </row>
    <row r="5046" spans="1:16" x14ac:dyDescent="0.25">
      <c r="A5046" t="str">
        <f>"1120124P00122A   00"</f>
        <v>1120124P00122A   00</v>
      </c>
      <c r="B5046" t="s">
        <v>11937</v>
      </c>
      <c r="C5046" t="s">
        <v>11938</v>
      </c>
      <c r="E5046" t="s">
        <v>39</v>
      </c>
      <c r="F5046">
        <v>0</v>
      </c>
      <c r="G5046">
        <v>0</v>
      </c>
      <c r="H5046">
        <v>1</v>
      </c>
      <c r="I5046" s="3">
        <v>373.34</v>
      </c>
      <c r="J5046" s="3">
        <v>102.67</v>
      </c>
      <c r="L5046">
        <v>11743</v>
      </c>
      <c r="M5046" t="s">
        <v>11939</v>
      </c>
      <c r="N5046" t="s">
        <v>30</v>
      </c>
      <c r="O5046" t="s">
        <v>31</v>
      </c>
      <c r="P5046" t="str">
        <f>"15235"</f>
        <v>15235</v>
      </c>
    </row>
    <row r="5047" spans="1:16" x14ac:dyDescent="0.25">
      <c r="A5047" t="str">
        <f>"1120124P00129    00"</f>
        <v>1120124P00129    00</v>
      </c>
      <c r="B5047" t="s">
        <v>11940</v>
      </c>
      <c r="C5047" t="s">
        <v>11941</v>
      </c>
      <c r="D5047" t="s">
        <v>20</v>
      </c>
      <c r="E5047" t="s">
        <v>39</v>
      </c>
      <c r="F5047">
        <v>0</v>
      </c>
      <c r="G5047">
        <v>0</v>
      </c>
      <c r="H5047">
        <v>2</v>
      </c>
      <c r="I5047" s="3">
        <v>128.63999999999999</v>
      </c>
      <c r="J5047" s="3">
        <v>0</v>
      </c>
      <c r="L5047">
        <v>6413</v>
      </c>
      <c r="M5047" t="s">
        <v>11459</v>
      </c>
      <c r="N5047" t="s">
        <v>30</v>
      </c>
      <c r="O5047" t="s">
        <v>31</v>
      </c>
      <c r="P5047" t="str">
        <f>"15206"</f>
        <v>15206</v>
      </c>
    </row>
    <row r="5048" spans="1:16" x14ac:dyDescent="0.25">
      <c r="A5048" t="str">
        <f>"1120124P00144    00"</f>
        <v>1120124P00144    00</v>
      </c>
      <c r="B5048" t="s">
        <v>2975</v>
      </c>
      <c r="C5048" t="s">
        <v>11942</v>
      </c>
      <c r="E5048" t="s">
        <v>39</v>
      </c>
      <c r="F5048">
        <v>0</v>
      </c>
      <c r="G5048">
        <v>0</v>
      </c>
      <c r="H5048">
        <v>1</v>
      </c>
      <c r="I5048" s="3">
        <v>23.6</v>
      </c>
      <c r="J5048" s="3">
        <v>16.329999999999998</v>
      </c>
      <c r="L5048">
        <v>200</v>
      </c>
      <c r="M5048" t="s">
        <v>946</v>
      </c>
      <c r="N5048" t="s">
        <v>30</v>
      </c>
      <c r="O5048" t="s">
        <v>31</v>
      </c>
      <c r="P5048" t="str">
        <f>"15219"</f>
        <v>15219</v>
      </c>
    </row>
    <row r="5049" spans="1:16" x14ac:dyDescent="0.25">
      <c r="A5049" t="str">
        <f>"1120124P00145    00"</f>
        <v>1120124P00145    00</v>
      </c>
      <c r="B5049" t="s">
        <v>2975</v>
      </c>
      <c r="C5049" t="s">
        <v>11943</v>
      </c>
      <c r="E5049" t="s">
        <v>39</v>
      </c>
      <c r="F5049">
        <v>0</v>
      </c>
      <c r="G5049">
        <v>0</v>
      </c>
      <c r="H5049">
        <v>1</v>
      </c>
      <c r="I5049" s="3">
        <v>23.6</v>
      </c>
      <c r="J5049" s="3">
        <v>16.329999999999998</v>
      </c>
      <c r="L5049">
        <v>200</v>
      </c>
      <c r="M5049" t="s">
        <v>946</v>
      </c>
      <c r="N5049" t="s">
        <v>30</v>
      </c>
      <c r="O5049" t="s">
        <v>31</v>
      </c>
      <c r="P5049" t="str">
        <f>"15219"</f>
        <v>15219</v>
      </c>
    </row>
    <row r="5050" spans="1:16" x14ac:dyDescent="0.25">
      <c r="A5050" t="str">
        <f>"1120124P00151    00"</f>
        <v>1120124P00151    00</v>
      </c>
      <c r="B5050" t="s">
        <v>11944</v>
      </c>
      <c r="C5050" t="s">
        <v>11945</v>
      </c>
      <c r="D5050" t="s">
        <v>20</v>
      </c>
      <c r="E5050" t="s">
        <v>39</v>
      </c>
      <c r="F5050">
        <v>0</v>
      </c>
      <c r="G5050">
        <v>0</v>
      </c>
      <c r="H5050">
        <v>19</v>
      </c>
      <c r="I5050" s="3">
        <v>11049.49</v>
      </c>
      <c r="J5050" s="3">
        <v>13616.01</v>
      </c>
      <c r="L5050">
        <v>630</v>
      </c>
      <c r="M5050" t="s">
        <v>11946</v>
      </c>
      <c r="N5050" t="s">
        <v>30</v>
      </c>
      <c r="O5050" t="s">
        <v>31</v>
      </c>
      <c r="P5050" t="str">
        <f>"15206"</f>
        <v>15206</v>
      </c>
    </row>
    <row r="5051" spans="1:16" x14ac:dyDescent="0.25">
      <c r="A5051" t="str">
        <f>"1120124P00152    00"</f>
        <v>1120124P00152    00</v>
      </c>
      <c r="B5051" t="s">
        <v>11947</v>
      </c>
      <c r="C5051" t="s">
        <v>11948</v>
      </c>
      <c r="D5051" t="s">
        <v>20</v>
      </c>
      <c r="E5051" t="s">
        <v>39</v>
      </c>
      <c r="F5051">
        <v>0</v>
      </c>
      <c r="G5051">
        <v>0</v>
      </c>
      <c r="H5051">
        <v>4</v>
      </c>
      <c r="I5051" s="3">
        <v>2000.36</v>
      </c>
      <c r="J5051" s="3">
        <v>342.54</v>
      </c>
      <c r="L5051">
        <v>109</v>
      </c>
      <c r="M5051" t="s">
        <v>11949</v>
      </c>
      <c r="N5051" t="s">
        <v>1046</v>
      </c>
      <c r="O5051" t="s">
        <v>31</v>
      </c>
      <c r="P5051" t="str">
        <f>"15147"</f>
        <v>15147</v>
      </c>
    </row>
    <row r="5052" spans="1:16" x14ac:dyDescent="0.25">
      <c r="A5052" t="str">
        <f>"1120124P00164    00"</f>
        <v>1120124P00164    00</v>
      </c>
      <c r="B5052" t="s">
        <v>11950</v>
      </c>
      <c r="C5052" t="s">
        <v>11951</v>
      </c>
      <c r="D5052" t="s">
        <v>20</v>
      </c>
      <c r="E5052" t="s">
        <v>39</v>
      </c>
      <c r="F5052">
        <v>0</v>
      </c>
      <c r="G5052">
        <v>0</v>
      </c>
      <c r="H5052">
        <v>1</v>
      </c>
      <c r="I5052" s="3">
        <v>257.94</v>
      </c>
      <c r="J5052" s="3">
        <v>0</v>
      </c>
      <c r="L5052">
        <v>530</v>
      </c>
      <c r="M5052" t="s">
        <v>11952</v>
      </c>
      <c r="N5052" t="s">
        <v>295</v>
      </c>
      <c r="O5052" t="s">
        <v>31</v>
      </c>
      <c r="P5052" t="str">
        <f>"15146"</f>
        <v>15146</v>
      </c>
    </row>
    <row r="5053" spans="1:16" x14ac:dyDescent="0.25">
      <c r="A5053" t="str">
        <f>"1120124P00166    00"</f>
        <v>1120124P00166    00</v>
      </c>
      <c r="B5053" t="s">
        <v>11953</v>
      </c>
      <c r="C5053" t="s">
        <v>11466</v>
      </c>
      <c r="E5053" t="s">
        <v>39</v>
      </c>
      <c r="F5053">
        <v>0</v>
      </c>
      <c r="G5053">
        <v>0</v>
      </c>
      <c r="H5053">
        <v>2</v>
      </c>
      <c r="I5053" s="3">
        <v>134.36000000000001</v>
      </c>
      <c r="J5053" s="3">
        <v>33.450000000000003</v>
      </c>
      <c r="L5053">
        <v>156</v>
      </c>
      <c r="M5053" t="s">
        <v>11954</v>
      </c>
      <c r="N5053" t="s">
        <v>30</v>
      </c>
      <c r="O5053" t="s">
        <v>31</v>
      </c>
      <c r="P5053" t="str">
        <f>"15235"</f>
        <v>15235</v>
      </c>
    </row>
    <row r="5054" spans="1:16" x14ac:dyDescent="0.25">
      <c r="A5054" t="str">
        <f>"1120124P00176    00"</f>
        <v>1120124P00176    00</v>
      </c>
      <c r="B5054" t="s">
        <v>2975</v>
      </c>
      <c r="C5054" t="s">
        <v>11894</v>
      </c>
      <c r="E5054" t="s">
        <v>39</v>
      </c>
      <c r="F5054">
        <v>0</v>
      </c>
      <c r="G5054">
        <v>0</v>
      </c>
      <c r="H5054">
        <v>1</v>
      </c>
      <c r="I5054" s="3">
        <v>61.71</v>
      </c>
      <c r="J5054" s="3">
        <v>42.68</v>
      </c>
      <c r="L5054">
        <v>200</v>
      </c>
      <c r="M5054" t="s">
        <v>946</v>
      </c>
      <c r="N5054" t="s">
        <v>30</v>
      </c>
      <c r="O5054" t="s">
        <v>31</v>
      </c>
      <c r="P5054" t="str">
        <f>"15219"</f>
        <v>15219</v>
      </c>
    </row>
    <row r="5055" spans="1:16" x14ac:dyDescent="0.25">
      <c r="A5055" t="str">
        <f>"1120124P00178    00"</f>
        <v>1120124P00178    00</v>
      </c>
      <c r="B5055" t="s">
        <v>11955</v>
      </c>
      <c r="C5055" t="s">
        <v>11956</v>
      </c>
      <c r="D5055" t="s">
        <v>20</v>
      </c>
      <c r="E5055" t="s">
        <v>39</v>
      </c>
      <c r="F5055">
        <v>0</v>
      </c>
      <c r="G5055">
        <v>0</v>
      </c>
      <c r="H5055">
        <v>10</v>
      </c>
      <c r="I5055" s="3">
        <v>1926.28</v>
      </c>
      <c r="J5055" s="3">
        <v>860.8</v>
      </c>
      <c r="L5055">
        <v>6431</v>
      </c>
      <c r="M5055" t="s">
        <v>11892</v>
      </c>
      <c r="N5055" t="s">
        <v>30</v>
      </c>
      <c r="O5055" t="s">
        <v>31</v>
      </c>
      <c r="P5055" t="str">
        <f>"15206"</f>
        <v>15206</v>
      </c>
    </row>
    <row r="5056" spans="1:16" x14ac:dyDescent="0.25">
      <c r="A5056" t="str">
        <f>"1120124P00200    00"</f>
        <v>1120124P00200    00</v>
      </c>
      <c r="B5056" t="s">
        <v>11957</v>
      </c>
      <c r="C5056" t="s">
        <v>11958</v>
      </c>
      <c r="D5056" t="s">
        <v>20</v>
      </c>
      <c r="E5056" t="s">
        <v>39</v>
      </c>
      <c r="F5056">
        <v>0</v>
      </c>
      <c r="G5056">
        <v>0</v>
      </c>
      <c r="H5056">
        <v>2</v>
      </c>
      <c r="I5056" s="3">
        <v>27.87</v>
      </c>
      <c r="J5056" s="3">
        <v>0</v>
      </c>
      <c r="M5056" t="s">
        <v>11959</v>
      </c>
      <c r="N5056" t="s">
        <v>30</v>
      </c>
      <c r="O5056" t="s">
        <v>31</v>
      </c>
      <c r="P5056" t="str">
        <f>"15233"</f>
        <v>15233</v>
      </c>
    </row>
    <row r="5057" spans="1:16" x14ac:dyDescent="0.25">
      <c r="A5057" t="str">
        <f>"1120124P00201    00"</f>
        <v>1120124P00201    00</v>
      </c>
      <c r="B5057" t="s">
        <v>3247</v>
      </c>
      <c r="C5057" t="s">
        <v>11960</v>
      </c>
      <c r="D5057" t="s">
        <v>20</v>
      </c>
      <c r="E5057" t="s">
        <v>39</v>
      </c>
      <c r="F5057">
        <v>0</v>
      </c>
      <c r="G5057">
        <v>0</v>
      </c>
      <c r="H5057">
        <v>3</v>
      </c>
      <c r="I5057" s="3">
        <v>2216.0500000000002</v>
      </c>
      <c r="J5057" s="3">
        <v>110.79</v>
      </c>
      <c r="L5057">
        <v>6389</v>
      </c>
      <c r="M5057" t="s">
        <v>3249</v>
      </c>
      <c r="N5057" t="s">
        <v>30</v>
      </c>
      <c r="O5057" t="s">
        <v>31</v>
      </c>
      <c r="P5057" t="str">
        <f t="shared" ref="P5057:P5066" si="65">"15206"</f>
        <v>15206</v>
      </c>
    </row>
    <row r="5058" spans="1:16" x14ac:dyDescent="0.25">
      <c r="A5058" t="str">
        <f>"1120124P00205    00"</f>
        <v>1120124P00205    00</v>
      </c>
      <c r="B5058" t="s">
        <v>11961</v>
      </c>
      <c r="C5058" t="s">
        <v>11958</v>
      </c>
      <c r="D5058" t="s">
        <v>57</v>
      </c>
      <c r="E5058" t="s">
        <v>39</v>
      </c>
      <c r="F5058">
        <v>0</v>
      </c>
      <c r="G5058">
        <v>0</v>
      </c>
      <c r="H5058">
        <v>1</v>
      </c>
      <c r="I5058" s="3">
        <v>63.78</v>
      </c>
      <c r="J5058" s="3">
        <v>12.76</v>
      </c>
      <c r="K5058" t="s">
        <v>11962</v>
      </c>
      <c r="L5058">
        <v>513</v>
      </c>
      <c r="M5058" t="s">
        <v>11963</v>
      </c>
      <c r="N5058" t="s">
        <v>30</v>
      </c>
      <c r="O5058" t="s">
        <v>31</v>
      </c>
      <c r="P5058" t="str">
        <f t="shared" si="65"/>
        <v>15206</v>
      </c>
    </row>
    <row r="5059" spans="1:16" x14ac:dyDescent="0.25">
      <c r="A5059" t="str">
        <f>"1120124P00213    00"</f>
        <v>1120124P00213    00</v>
      </c>
      <c r="B5059" t="s">
        <v>11964</v>
      </c>
      <c r="C5059" t="s">
        <v>11965</v>
      </c>
      <c r="D5059" t="s">
        <v>20</v>
      </c>
      <c r="E5059" t="s">
        <v>39</v>
      </c>
      <c r="F5059">
        <v>0</v>
      </c>
      <c r="G5059">
        <v>0</v>
      </c>
      <c r="H5059">
        <v>1</v>
      </c>
      <c r="I5059" s="3">
        <v>691.88</v>
      </c>
      <c r="J5059" s="3">
        <v>0</v>
      </c>
      <c r="L5059">
        <v>525</v>
      </c>
      <c r="M5059" t="s">
        <v>11963</v>
      </c>
      <c r="N5059" t="s">
        <v>30</v>
      </c>
      <c r="O5059" t="s">
        <v>31</v>
      </c>
      <c r="P5059" t="str">
        <f t="shared" si="65"/>
        <v>15206</v>
      </c>
    </row>
    <row r="5060" spans="1:16" x14ac:dyDescent="0.25">
      <c r="A5060" t="str">
        <f>"1120124P00216    00"</f>
        <v>1120124P00216    00</v>
      </c>
      <c r="B5060" t="s">
        <v>11966</v>
      </c>
      <c r="C5060" t="s">
        <v>11967</v>
      </c>
      <c r="D5060" t="s">
        <v>20</v>
      </c>
      <c r="E5060" t="s">
        <v>39</v>
      </c>
      <c r="F5060">
        <v>0</v>
      </c>
      <c r="G5060">
        <v>0</v>
      </c>
      <c r="H5060">
        <v>19</v>
      </c>
      <c r="I5060" s="3">
        <v>9734.48</v>
      </c>
      <c r="J5060" s="3">
        <v>10669.22</v>
      </c>
      <c r="L5060">
        <v>541</v>
      </c>
      <c r="M5060" t="s">
        <v>11963</v>
      </c>
      <c r="N5060" t="s">
        <v>30</v>
      </c>
      <c r="O5060" t="s">
        <v>31</v>
      </c>
      <c r="P5060" t="str">
        <f t="shared" si="65"/>
        <v>15206</v>
      </c>
    </row>
    <row r="5061" spans="1:16" x14ac:dyDescent="0.25">
      <c r="A5061" t="str">
        <f>"1120124P00217    00"</f>
        <v>1120124P00217    00</v>
      </c>
      <c r="B5061" t="s">
        <v>11968</v>
      </c>
      <c r="C5061" t="s">
        <v>11969</v>
      </c>
      <c r="D5061" t="s">
        <v>20</v>
      </c>
      <c r="E5061" t="s">
        <v>39</v>
      </c>
      <c r="F5061">
        <v>0</v>
      </c>
      <c r="G5061">
        <v>0</v>
      </c>
      <c r="H5061">
        <v>1</v>
      </c>
      <c r="I5061" s="3">
        <v>125.99</v>
      </c>
      <c r="J5061" s="3">
        <v>0</v>
      </c>
      <c r="K5061" t="s">
        <v>11970</v>
      </c>
      <c r="L5061">
        <v>543</v>
      </c>
      <c r="M5061" t="s">
        <v>11963</v>
      </c>
      <c r="N5061" t="s">
        <v>30</v>
      </c>
      <c r="O5061" t="s">
        <v>31</v>
      </c>
      <c r="P5061" t="str">
        <f t="shared" si="65"/>
        <v>15206</v>
      </c>
    </row>
    <row r="5062" spans="1:16" x14ac:dyDescent="0.25">
      <c r="A5062" t="str">
        <f>"1120124P00219    00"</f>
        <v>1120124P00219    00</v>
      </c>
      <c r="B5062" t="s">
        <v>11971</v>
      </c>
      <c r="C5062" t="s">
        <v>11972</v>
      </c>
      <c r="D5062" t="s">
        <v>20</v>
      </c>
      <c r="E5062" t="s">
        <v>39</v>
      </c>
      <c r="F5062">
        <v>0</v>
      </c>
      <c r="G5062">
        <v>0</v>
      </c>
      <c r="H5062">
        <v>19</v>
      </c>
      <c r="I5062" s="3">
        <v>12744.09</v>
      </c>
      <c r="J5062" s="3">
        <v>11666.85</v>
      </c>
      <c r="L5062">
        <v>547</v>
      </c>
      <c r="M5062" t="s">
        <v>11963</v>
      </c>
      <c r="N5062" t="s">
        <v>30</v>
      </c>
      <c r="O5062" t="s">
        <v>31</v>
      </c>
      <c r="P5062" t="str">
        <f t="shared" si="65"/>
        <v>15206</v>
      </c>
    </row>
    <row r="5063" spans="1:16" x14ac:dyDescent="0.25">
      <c r="A5063" t="str">
        <f>"1120124P00228    00"</f>
        <v>1120124P00228    00</v>
      </c>
      <c r="B5063" t="s">
        <v>11973</v>
      </c>
      <c r="C5063" t="s">
        <v>11974</v>
      </c>
      <c r="D5063" t="s">
        <v>20</v>
      </c>
      <c r="E5063" t="s">
        <v>39</v>
      </c>
      <c r="F5063">
        <v>0</v>
      </c>
      <c r="G5063">
        <v>0</v>
      </c>
      <c r="H5063">
        <v>3</v>
      </c>
      <c r="I5063" s="3">
        <v>1038.8900000000001</v>
      </c>
      <c r="J5063" s="3">
        <v>4.03</v>
      </c>
      <c r="L5063">
        <v>603</v>
      </c>
      <c r="M5063" t="s">
        <v>11963</v>
      </c>
      <c r="N5063" t="s">
        <v>30</v>
      </c>
      <c r="O5063" t="s">
        <v>31</v>
      </c>
      <c r="P5063" t="str">
        <f t="shared" si="65"/>
        <v>15206</v>
      </c>
    </row>
    <row r="5064" spans="1:16" x14ac:dyDescent="0.25">
      <c r="A5064" t="str">
        <f>"1120124P00229    00"</f>
        <v>1120124P00229    00</v>
      </c>
      <c r="B5064" t="s">
        <v>11975</v>
      </c>
      <c r="C5064" t="s">
        <v>11958</v>
      </c>
      <c r="D5064" t="s">
        <v>20</v>
      </c>
      <c r="E5064" t="s">
        <v>39</v>
      </c>
      <c r="F5064">
        <v>0</v>
      </c>
      <c r="G5064">
        <v>0</v>
      </c>
      <c r="H5064">
        <v>5</v>
      </c>
      <c r="I5064" s="3">
        <v>25.02</v>
      </c>
      <c r="J5064" s="3">
        <v>0.16</v>
      </c>
      <c r="L5064">
        <v>609</v>
      </c>
      <c r="M5064" t="s">
        <v>11963</v>
      </c>
      <c r="N5064" t="s">
        <v>30</v>
      </c>
      <c r="O5064" t="s">
        <v>31</v>
      </c>
      <c r="P5064" t="str">
        <f t="shared" si="65"/>
        <v>15206</v>
      </c>
    </row>
    <row r="5065" spans="1:16" x14ac:dyDescent="0.25">
      <c r="A5065" t="str">
        <f>"1120124P00230    00"</f>
        <v>1120124P00230    00</v>
      </c>
      <c r="B5065" t="s">
        <v>11975</v>
      </c>
      <c r="C5065" t="s">
        <v>11958</v>
      </c>
      <c r="D5065" t="s">
        <v>20</v>
      </c>
      <c r="E5065" t="s">
        <v>39</v>
      </c>
      <c r="F5065">
        <v>0</v>
      </c>
      <c r="G5065">
        <v>0</v>
      </c>
      <c r="H5065">
        <v>5</v>
      </c>
      <c r="I5065" s="3">
        <v>25.02</v>
      </c>
      <c r="J5065" s="3">
        <v>0.16</v>
      </c>
      <c r="L5065">
        <v>609</v>
      </c>
      <c r="M5065" t="s">
        <v>11963</v>
      </c>
      <c r="N5065" t="s">
        <v>30</v>
      </c>
      <c r="O5065" t="s">
        <v>31</v>
      </c>
      <c r="P5065" t="str">
        <f t="shared" si="65"/>
        <v>15206</v>
      </c>
    </row>
    <row r="5066" spans="1:16" x14ac:dyDescent="0.25">
      <c r="A5066" t="str">
        <f>"1120124P00238    00"</f>
        <v>1120124P00238    00</v>
      </c>
      <c r="B5066" t="s">
        <v>11976</v>
      </c>
      <c r="C5066" t="s">
        <v>11958</v>
      </c>
      <c r="D5066" t="s">
        <v>20</v>
      </c>
      <c r="E5066" t="s">
        <v>21</v>
      </c>
      <c r="F5066">
        <v>0</v>
      </c>
      <c r="G5066">
        <v>0</v>
      </c>
      <c r="H5066">
        <v>4</v>
      </c>
      <c r="I5066" s="3">
        <v>379.7</v>
      </c>
      <c r="J5066" s="3">
        <v>44.85</v>
      </c>
      <c r="L5066">
        <v>625</v>
      </c>
      <c r="M5066" t="s">
        <v>11963</v>
      </c>
      <c r="N5066" t="s">
        <v>30</v>
      </c>
      <c r="O5066" t="s">
        <v>31</v>
      </c>
      <c r="P5066" t="str">
        <f t="shared" si="65"/>
        <v>15206</v>
      </c>
    </row>
    <row r="5067" spans="1:16" x14ac:dyDescent="0.25">
      <c r="A5067" t="str">
        <f>"1120124P00244    00"</f>
        <v>1120124P00244    00</v>
      </c>
      <c r="B5067" t="s">
        <v>9290</v>
      </c>
      <c r="C5067" t="s">
        <v>11977</v>
      </c>
      <c r="E5067" t="s">
        <v>39</v>
      </c>
      <c r="F5067">
        <v>0</v>
      </c>
      <c r="G5067">
        <v>0</v>
      </c>
      <c r="H5067">
        <v>11</v>
      </c>
      <c r="I5067" s="3">
        <v>247.32</v>
      </c>
      <c r="J5067" s="3">
        <v>350.85</v>
      </c>
      <c r="L5067">
        <v>414</v>
      </c>
      <c r="M5067" t="s">
        <v>9292</v>
      </c>
      <c r="N5067" t="s">
        <v>30</v>
      </c>
      <c r="O5067" t="s">
        <v>31</v>
      </c>
      <c r="P5067" t="str">
        <f>"15219"</f>
        <v>15219</v>
      </c>
    </row>
    <row r="5068" spans="1:16" x14ac:dyDescent="0.25">
      <c r="A5068" t="str">
        <f>"1120124P00248    00"</f>
        <v>1120124P00248    00</v>
      </c>
      <c r="B5068" t="s">
        <v>11978</v>
      </c>
      <c r="C5068" t="s">
        <v>11977</v>
      </c>
      <c r="D5068" t="s">
        <v>20</v>
      </c>
      <c r="E5068" t="s">
        <v>39</v>
      </c>
      <c r="F5068">
        <v>0</v>
      </c>
      <c r="G5068">
        <v>0</v>
      </c>
      <c r="H5068">
        <v>14</v>
      </c>
      <c r="I5068" s="3">
        <v>181.2</v>
      </c>
      <c r="J5068" s="3">
        <v>130.61000000000001</v>
      </c>
      <c r="L5068">
        <v>1301</v>
      </c>
      <c r="M5068" t="s">
        <v>11979</v>
      </c>
      <c r="N5068" t="s">
        <v>30</v>
      </c>
      <c r="O5068" t="s">
        <v>31</v>
      </c>
      <c r="P5068" t="str">
        <f>"15211"</f>
        <v>15211</v>
      </c>
    </row>
    <row r="5069" spans="1:16" x14ac:dyDescent="0.25">
      <c r="A5069" t="str">
        <f>"1120124P00250    00"</f>
        <v>1120124P00250    00</v>
      </c>
      <c r="B5069" t="s">
        <v>11980</v>
      </c>
      <c r="C5069" t="s">
        <v>11977</v>
      </c>
      <c r="D5069" t="s">
        <v>20</v>
      </c>
      <c r="E5069" t="s">
        <v>39</v>
      </c>
      <c r="F5069">
        <v>0</v>
      </c>
      <c r="G5069">
        <v>0</v>
      </c>
      <c r="H5069">
        <v>14</v>
      </c>
      <c r="I5069" s="3">
        <v>161.41999999999999</v>
      </c>
      <c r="J5069" s="3">
        <v>106.23</v>
      </c>
      <c r="K5069" t="s">
        <v>11981</v>
      </c>
      <c r="L5069">
        <v>1301</v>
      </c>
      <c r="M5069" t="s">
        <v>11979</v>
      </c>
      <c r="N5069" t="s">
        <v>30</v>
      </c>
      <c r="O5069" t="s">
        <v>31</v>
      </c>
      <c r="P5069" t="str">
        <f>"15211"</f>
        <v>15211</v>
      </c>
    </row>
    <row r="5070" spans="1:16" x14ac:dyDescent="0.25">
      <c r="A5070" t="str">
        <f>"1120124P00271    00"</f>
        <v>1120124P00271    00</v>
      </c>
      <c r="B5070" t="s">
        <v>11982</v>
      </c>
      <c r="C5070" t="s">
        <v>11983</v>
      </c>
      <c r="D5070" t="s">
        <v>20</v>
      </c>
      <c r="E5070" t="s">
        <v>39</v>
      </c>
      <c r="F5070">
        <v>0</v>
      </c>
      <c r="G5070">
        <v>0</v>
      </c>
      <c r="H5070">
        <v>7</v>
      </c>
      <c r="I5070" s="3">
        <v>1252.77</v>
      </c>
      <c r="J5070" s="3">
        <v>346.45</v>
      </c>
      <c r="L5070">
        <v>6534</v>
      </c>
      <c r="M5070" t="s">
        <v>11892</v>
      </c>
      <c r="N5070" t="s">
        <v>30</v>
      </c>
      <c r="O5070" t="s">
        <v>31</v>
      </c>
      <c r="P5070" t="str">
        <f>"15206"</f>
        <v>15206</v>
      </c>
    </row>
    <row r="5071" spans="1:16" x14ac:dyDescent="0.25">
      <c r="A5071" t="str">
        <f>"1120124P00275    00"</f>
        <v>1120124P00275    00</v>
      </c>
      <c r="B5071" t="s">
        <v>11984</v>
      </c>
      <c r="C5071" t="s">
        <v>11985</v>
      </c>
      <c r="D5071" t="s">
        <v>20</v>
      </c>
      <c r="E5071" t="s">
        <v>39</v>
      </c>
      <c r="F5071">
        <v>0</v>
      </c>
      <c r="G5071">
        <v>0</v>
      </c>
      <c r="H5071">
        <v>1</v>
      </c>
      <c r="I5071" s="3">
        <v>177.09</v>
      </c>
      <c r="J5071" s="3">
        <v>0</v>
      </c>
      <c r="L5071">
        <v>758</v>
      </c>
      <c r="M5071" t="s">
        <v>11986</v>
      </c>
      <c r="N5071" t="s">
        <v>285</v>
      </c>
      <c r="O5071" t="s">
        <v>31</v>
      </c>
      <c r="P5071" t="str">
        <f>"15120"</f>
        <v>15120</v>
      </c>
    </row>
    <row r="5072" spans="1:16" x14ac:dyDescent="0.25">
      <c r="A5072" t="str">
        <f>"1120124P00281    00"</f>
        <v>1120124P00281    00</v>
      </c>
      <c r="B5072" t="s">
        <v>11987</v>
      </c>
      <c r="C5072" t="s">
        <v>11988</v>
      </c>
      <c r="D5072" t="s">
        <v>33</v>
      </c>
      <c r="E5072" t="s">
        <v>39</v>
      </c>
      <c r="F5072">
        <v>0</v>
      </c>
      <c r="G5072">
        <v>0</v>
      </c>
      <c r="H5072">
        <v>2</v>
      </c>
      <c r="I5072" s="3">
        <v>264.63</v>
      </c>
      <c r="J5072" s="3">
        <v>8.83</v>
      </c>
      <c r="K5072" t="s">
        <v>11989</v>
      </c>
      <c r="L5072">
        <v>4495</v>
      </c>
      <c r="M5072" t="s">
        <v>11213</v>
      </c>
      <c r="N5072" t="s">
        <v>1046</v>
      </c>
      <c r="O5072" t="s">
        <v>31</v>
      </c>
      <c r="P5072" t="str">
        <f>"15147"</f>
        <v>15147</v>
      </c>
    </row>
    <row r="5073" spans="1:16" x14ac:dyDescent="0.25">
      <c r="A5073" t="str">
        <f>"1120124P00282    00"</f>
        <v>1120124P00282    00</v>
      </c>
      <c r="B5073" t="s">
        <v>11987</v>
      </c>
      <c r="C5073" t="s">
        <v>11988</v>
      </c>
      <c r="D5073" t="s">
        <v>33</v>
      </c>
      <c r="E5073" t="s">
        <v>39</v>
      </c>
      <c r="F5073">
        <v>0</v>
      </c>
      <c r="G5073">
        <v>0</v>
      </c>
      <c r="H5073">
        <v>2</v>
      </c>
      <c r="I5073" s="3">
        <v>293.32</v>
      </c>
      <c r="J5073" s="3">
        <v>9.77</v>
      </c>
      <c r="K5073" t="s">
        <v>11989</v>
      </c>
      <c r="L5073">
        <v>4495</v>
      </c>
      <c r="M5073" t="s">
        <v>11213</v>
      </c>
      <c r="N5073" t="s">
        <v>1046</v>
      </c>
      <c r="O5073" t="s">
        <v>31</v>
      </c>
      <c r="P5073" t="str">
        <f>"15147"</f>
        <v>15147</v>
      </c>
    </row>
    <row r="5074" spans="1:16" x14ac:dyDescent="0.25">
      <c r="A5074" t="str">
        <f>"1120124P00289    00"</f>
        <v>1120124P00289    00</v>
      </c>
      <c r="B5074" t="s">
        <v>11990</v>
      </c>
      <c r="C5074" t="s">
        <v>11894</v>
      </c>
      <c r="D5074" t="s">
        <v>20</v>
      </c>
      <c r="E5074" t="s">
        <v>39</v>
      </c>
      <c r="F5074">
        <v>0</v>
      </c>
      <c r="G5074">
        <v>0</v>
      </c>
      <c r="H5074">
        <v>2</v>
      </c>
      <c r="I5074" s="3">
        <v>19.079999999999998</v>
      </c>
      <c r="J5074" s="3">
        <v>0</v>
      </c>
      <c r="L5074">
        <v>238</v>
      </c>
      <c r="M5074" t="s">
        <v>11991</v>
      </c>
      <c r="N5074" t="s">
        <v>636</v>
      </c>
      <c r="O5074" t="s">
        <v>31</v>
      </c>
      <c r="P5074" t="str">
        <f>"15104"</f>
        <v>15104</v>
      </c>
    </row>
    <row r="5075" spans="1:16" x14ac:dyDescent="0.25">
      <c r="A5075" t="str">
        <f>"1120124P00297    00"</f>
        <v>1120124P00297    00</v>
      </c>
      <c r="B5075" t="s">
        <v>11992</v>
      </c>
      <c r="C5075" t="s">
        <v>11993</v>
      </c>
      <c r="D5075" t="s">
        <v>20</v>
      </c>
      <c r="E5075" t="s">
        <v>39</v>
      </c>
      <c r="F5075">
        <v>0</v>
      </c>
      <c r="G5075">
        <v>0</v>
      </c>
      <c r="H5075">
        <v>5</v>
      </c>
      <c r="I5075" s="3">
        <v>440.56</v>
      </c>
      <c r="J5075" s="3">
        <v>72.459999999999994</v>
      </c>
      <c r="L5075">
        <v>539</v>
      </c>
      <c r="M5075" t="s">
        <v>11994</v>
      </c>
      <c r="N5075" t="s">
        <v>30</v>
      </c>
      <c r="O5075" t="s">
        <v>31</v>
      </c>
      <c r="P5075" t="str">
        <f t="shared" ref="P5075:P5081" si="66">"15206"</f>
        <v>15206</v>
      </c>
    </row>
    <row r="5076" spans="1:16" x14ac:dyDescent="0.25">
      <c r="A5076" t="str">
        <f>"1120124P00299    00"</f>
        <v>1120124P00299    00</v>
      </c>
      <c r="B5076" t="s">
        <v>11995</v>
      </c>
      <c r="C5076" t="s">
        <v>11996</v>
      </c>
      <c r="E5076" t="s">
        <v>39</v>
      </c>
      <c r="F5076">
        <v>0</v>
      </c>
      <c r="G5076">
        <v>0</v>
      </c>
      <c r="H5076">
        <v>13</v>
      </c>
      <c r="I5076" s="3">
        <v>4758.7</v>
      </c>
      <c r="J5076" s="3">
        <v>5582.87</v>
      </c>
      <c r="L5076">
        <v>543</v>
      </c>
      <c r="M5076" t="s">
        <v>11994</v>
      </c>
      <c r="N5076" t="s">
        <v>30</v>
      </c>
      <c r="O5076" t="s">
        <v>31</v>
      </c>
      <c r="P5076" t="str">
        <f t="shared" si="66"/>
        <v>15206</v>
      </c>
    </row>
    <row r="5077" spans="1:16" x14ac:dyDescent="0.25">
      <c r="A5077" t="str">
        <f>"1120124P00319    00"</f>
        <v>1120124P00319    00</v>
      </c>
      <c r="B5077" t="s">
        <v>11997</v>
      </c>
      <c r="C5077" t="s">
        <v>11998</v>
      </c>
      <c r="E5077" t="s">
        <v>39</v>
      </c>
      <c r="F5077">
        <v>0</v>
      </c>
      <c r="G5077">
        <v>0</v>
      </c>
      <c r="H5077">
        <v>2</v>
      </c>
      <c r="I5077" s="3">
        <v>119.86</v>
      </c>
      <c r="J5077" s="3">
        <v>29.79</v>
      </c>
      <c r="L5077">
        <v>621</v>
      </c>
      <c r="M5077" t="s">
        <v>11994</v>
      </c>
      <c r="N5077" t="s">
        <v>30</v>
      </c>
      <c r="O5077" t="s">
        <v>31</v>
      </c>
      <c r="P5077" t="str">
        <f t="shared" si="66"/>
        <v>15206</v>
      </c>
    </row>
    <row r="5078" spans="1:16" x14ac:dyDescent="0.25">
      <c r="A5078" t="str">
        <f>"1120124R00026    00"</f>
        <v>1120124R00026    00</v>
      </c>
      <c r="B5078" t="s">
        <v>11999</v>
      </c>
      <c r="C5078" t="s">
        <v>12000</v>
      </c>
      <c r="D5078" t="s">
        <v>20</v>
      </c>
      <c r="E5078" t="s">
        <v>39</v>
      </c>
      <c r="F5078">
        <v>0</v>
      </c>
      <c r="G5078">
        <v>0</v>
      </c>
      <c r="H5078">
        <v>5</v>
      </c>
      <c r="I5078" s="3">
        <v>2091.33</v>
      </c>
      <c r="J5078" s="3">
        <v>361.3</v>
      </c>
      <c r="L5078">
        <v>6544</v>
      </c>
      <c r="M5078" t="s">
        <v>12001</v>
      </c>
      <c r="N5078" t="s">
        <v>30</v>
      </c>
      <c r="O5078" t="s">
        <v>31</v>
      </c>
      <c r="P5078" t="str">
        <f t="shared" si="66"/>
        <v>15206</v>
      </c>
    </row>
    <row r="5079" spans="1:16" x14ac:dyDescent="0.25">
      <c r="A5079" t="str">
        <f>"1120124R00027    00"</f>
        <v>1120124R00027    00</v>
      </c>
      <c r="B5079" t="s">
        <v>12002</v>
      </c>
      <c r="C5079" t="s">
        <v>12003</v>
      </c>
      <c r="D5079" t="s">
        <v>20</v>
      </c>
      <c r="E5079" t="s">
        <v>39</v>
      </c>
      <c r="F5079">
        <v>0</v>
      </c>
      <c r="G5079">
        <v>0</v>
      </c>
      <c r="H5079">
        <v>5</v>
      </c>
      <c r="I5079" s="3">
        <v>133.44999999999999</v>
      </c>
      <c r="J5079" s="3">
        <v>23.49</v>
      </c>
      <c r="L5079">
        <v>6542</v>
      </c>
      <c r="M5079" t="s">
        <v>12001</v>
      </c>
      <c r="N5079" t="s">
        <v>30</v>
      </c>
      <c r="O5079" t="s">
        <v>31</v>
      </c>
      <c r="P5079" t="str">
        <f t="shared" si="66"/>
        <v>15206</v>
      </c>
    </row>
    <row r="5080" spans="1:16" x14ac:dyDescent="0.25">
      <c r="A5080" t="str">
        <f>"1120124R00033    00"</f>
        <v>1120124R00033    00</v>
      </c>
      <c r="B5080" t="s">
        <v>11595</v>
      </c>
      <c r="C5080" t="s">
        <v>12004</v>
      </c>
      <c r="D5080" t="s">
        <v>20</v>
      </c>
      <c r="E5080" t="s">
        <v>39</v>
      </c>
      <c r="F5080">
        <v>0</v>
      </c>
      <c r="G5080">
        <v>0</v>
      </c>
      <c r="H5080">
        <v>19</v>
      </c>
      <c r="I5080" s="3">
        <v>10417.719999999999</v>
      </c>
      <c r="J5080" s="3">
        <v>8837.7900000000009</v>
      </c>
      <c r="L5080">
        <v>6508</v>
      </c>
      <c r="M5080" t="s">
        <v>12001</v>
      </c>
      <c r="N5080" t="s">
        <v>30</v>
      </c>
      <c r="O5080" t="s">
        <v>31</v>
      </c>
      <c r="P5080" t="str">
        <f t="shared" si="66"/>
        <v>15206</v>
      </c>
    </row>
    <row r="5081" spans="1:16" x14ac:dyDescent="0.25">
      <c r="A5081" t="str">
        <f>"1120124R00037    00"</f>
        <v>1120124R00037    00</v>
      </c>
      <c r="B5081" t="s">
        <v>12005</v>
      </c>
      <c r="C5081" t="s">
        <v>12006</v>
      </c>
      <c r="E5081" t="s">
        <v>39</v>
      </c>
      <c r="F5081">
        <v>0</v>
      </c>
      <c r="G5081">
        <v>0</v>
      </c>
      <c r="H5081">
        <v>1</v>
      </c>
      <c r="I5081" s="3">
        <v>779.71</v>
      </c>
      <c r="J5081" s="3">
        <v>233.9</v>
      </c>
      <c r="K5081" t="s">
        <v>12007</v>
      </c>
      <c r="L5081">
        <v>336</v>
      </c>
      <c r="M5081" t="s">
        <v>12001</v>
      </c>
      <c r="N5081" t="s">
        <v>30</v>
      </c>
      <c r="O5081" t="s">
        <v>31</v>
      </c>
      <c r="P5081" t="str">
        <f t="shared" si="66"/>
        <v>15206</v>
      </c>
    </row>
    <row r="5082" spans="1:16" x14ac:dyDescent="0.25">
      <c r="A5082" t="str">
        <f>"1120124R00038    00"</f>
        <v>1120124R00038    00</v>
      </c>
      <c r="B5082" t="s">
        <v>12008</v>
      </c>
      <c r="C5082" t="s">
        <v>12009</v>
      </c>
      <c r="D5082" t="s">
        <v>20</v>
      </c>
      <c r="E5082" t="s">
        <v>39</v>
      </c>
      <c r="F5082">
        <v>0</v>
      </c>
      <c r="G5082">
        <v>0</v>
      </c>
      <c r="H5082">
        <v>13</v>
      </c>
      <c r="I5082" s="3">
        <v>3090.6</v>
      </c>
      <c r="J5082" s="3">
        <v>2390.1999999999998</v>
      </c>
      <c r="K5082" t="s">
        <v>12010</v>
      </c>
      <c r="L5082">
        <v>9254</v>
      </c>
      <c r="M5082" t="s">
        <v>12011</v>
      </c>
      <c r="N5082" t="s">
        <v>30</v>
      </c>
      <c r="O5082" t="s">
        <v>31</v>
      </c>
      <c r="P5082" t="str">
        <f>"15235"</f>
        <v>15235</v>
      </c>
    </row>
    <row r="5083" spans="1:16" x14ac:dyDescent="0.25">
      <c r="A5083" t="str">
        <f>"1120124R00047    00"</f>
        <v>1120124R00047    00</v>
      </c>
      <c r="B5083" t="s">
        <v>12012</v>
      </c>
      <c r="C5083" t="s">
        <v>12013</v>
      </c>
      <c r="D5083" t="s">
        <v>20</v>
      </c>
      <c r="E5083" t="s">
        <v>39</v>
      </c>
      <c r="F5083">
        <v>0</v>
      </c>
      <c r="G5083">
        <v>0</v>
      </c>
      <c r="H5083">
        <v>1</v>
      </c>
      <c r="I5083" s="3">
        <v>779.57</v>
      </c>
      <c r="J5083" s="3">
        <v>0</v>
      </c>
      <c r="L5083">
        <v>6539</v>
      </c>
      <c r="M5083" t="s">
        <v>12001</v>
      </c>
      <c r="N5083" t="s">
        <v>30</v>
      </c>
      <c r="O5083" t="s">
        <v>31</v>
      </c>
      <c r="P5083" t="str">
        <f>"15206"</f>
        <v>15206</v>
      </c>
    </row>
    <row r="5084" spans="1:16" x14ac:dyDescent="0.25">
      <c r="A5084" t="str">
        <f>"1120124R00051    00"</f>
        <v>1120124R00051    00</v>
      </c>
      <c r="B5084" t="s">
        <v>12014</v>
      </c>
      <c r="C5084" t="s">
        <v>12015</v>
      </c>
      <c r="D5084" t="s">
        <v>20</v>
      </c>
      <c r="E5084" t="s">
        <v>39</v>
      </c>
      <c r="F5084">
        <v>0</v>
      </c>
      <c r="G5084">
        <v>0</v>
      </c>
      <c r="H5084">
        <v>3</v>
      </c>
      <c r="I5084" s="3">
        <v>437.19</v>
      </c>
      <c r="J5084" s="3">
        <v>21.73</v>
      </c>
      <c r="L5084">
        <v>347</v>
      </c>
      <c r="M5084" t="s">
        <v>12001</v>
      </c>
      <c r="N5084" t="s">
        <v>30</v>
      </c>
      <c r="O5084" t="s">
        <v>31</v>
      </c>
      <c r="P5084" t="str">
        <f>"15206"</f>
        <v>15206</v>
      </c>
    </row>
    <row r="5085" spans="1:16" x14ac:dyDescent="0.25">
      <c r="A5085" t="str">
        <f>"1120124R00053    00"</f>
        <v>1120124R00053    00</v>
      </c>
      <c r="B5085" t="s">
        <v>12016</v>
      </c>
      <c r="C5085" t="s">
        <v>12017</v>
      </c>
      <c r="D5085" t="s">
        <v>20</v>
      </c>
      <c r="E5085" t="s">
        <v>39</v>
      </c>
      <c r="F5085">
        <v>0</v>
      </c>
      <c r="G5085">
        <v>0</v>
      </c>
      <c r="H5085">
        <v>1</v>
      </c>
      <c r="I5085" s="3">
        <v>91.49</v>
      </c>
      <c r="J5085" s="3">
        <v>0</v>
      </c>
      <c r="K5085" t="s">
        <v>12018</v>
      </c>
      <c r="L5085">
        <v>748</v>
      </c>
      <c r="M5085" t="s">
        <v>12019</v>
      </c>
      <c r="N5085" t="s">
        <v>295</v>
      </c>
      <c r="O5085" t="s">
        <v>31</v>
      </c>
      <c r="P5085" t="str">
        <f>"15146"</f>
        <v>15146</v>
      </c>
    </row>
    <row r="5086" spans="1:16" x14ac:dyDescent="0.25">
      <c r="A5086" t="str">
        <f>"1120124R00089    00"</f>
        <v>1120124R00089    00</v>
      </c>
      <c r="B5086" t="s">
        <v>12020</v>
      </c>
      <c r="C5086" t="s">
        <v>12021</v>
      </c>
      <c r="D5086" t="s">
        <v>20</v>
      </c>
      <c r="E5086" t="s">
        <v>39</v>
      </c>
      <c r="F5086">
        <v>0</v>
      </c>
      <c r="G5086">
        <v>0</v>
      </c>
      <c r="H5086">
        <v>19</v>
      </c>
      <c r="I5086" s="3">
        <v>6648.13</v>
      </c>
      <c r="J5086" s="3">
        <v>7267.81</v>
      </c>
      <c r="K5086" t="s">
        <v>12022</v>
      </c>
      <c r="L5086">
        <v>715</v>
      </c>
      <c r="M5086" t="s">
        <v>12023</v>
      </c>
      <c r="N5086" t="s">
        <v>636</v>
      </c>
      <c r="O5086" t="s">
        <v>31</v>
      </c>
      <c r="P5086" t="str">
        <f>"15104"</f>
        <v>15104</v>
      </c>
    </row>
    <row r="5087" spans="1:16" x14ac:dyDescent="0.25">
      <c r="A5087" t="str">
        <f>"1120124R00112    00"</f>
        <v>1120124R00112    00</v>
      </c>
      <c r="B5087" t="s">
        <v>218</v>
      </c>
      <c r="C5087" t="s">
        <v>12024</v>
      </c>
      <c r="E5087" t="s">
        <v>39</v>
      </c>
      <c r="F5087">
        <v>0</v>
      </c>
      <c r="G5087">
        <v>0</v>
      </c>
      <c r="H5087">
        <v>1</v>
      </c>
      <c r="I5087" s="3">
        <v>147.91999999999999</v>
      </c>
      <c r="J5087" s="3">
        <v>59.16</v>
      </c>
      <c r="K5087" t="s">
        <v>220</v>
      </c>
      <c r="L5087">
        <v>412</v>
      </c>
      <c r="M5087" t="s">
        <v>221</v>
      </c>
      <c r="N5087" t="s">
        <v>30</v>
      </c>
      <c r="O5087" t="s">
        <v>31</v>
      </c>
      <c r="P5087" t="str">
        <f>"15219"</f>
        <v>15219</v>
      </c>
    </row>
    <row r="5088" spans="1:16" x14ac:dyDescent="0.25">
      <c r="A5088" t="str">
        <f>"1120124R00113    00"</f>
        <v>1120124R00113    00</v>
      </c>
      <c r="B5088" t="s">
        <v>9290</v>
      </c>
      <c r="C5088" t="s">
        <v>12025</v>
      </c>
      <c r="E5088" t="s">
        <v>39</v>
      </c>
      <c r="F5088">
        <v>0</v>
      </c>
      <c r="G5088">
        <v>0</v>
      </c>
      <c r="H5088">
        <v>11</v>
      </c>
      <c r="I5088" s="3">
        <v>397.9</v>
      </c>
      <c r="J5088" s="3">
        <v>441.2</v>
      </c>
      <c r="L5088">
        <v>414</v>
      </c>
      <c r="M5088" t="s">
        <v>9292</v>
      </c>
      <c r="N5088" t="s">
        <v>30</v>
      </c>
      <c r="O5088" t="s">
        <v>31</v>
      </c>
      <c r="P5088" t="str">
        <f>"15219"</f>
        <v>15219</v>
      </c>
    </row>
    <row r="5089" spans="1:16" x14ac:dyDescent="0.25">
      <c r="A5089" t="str">
        <f>"1120124R00219    00"</f>
        <v>1120124R00219    00</v>
      </c>
      <c r="B5089" t="s">
        <v>12026</v>
      </c>
      <c r="C5089" t="s">
        <v>12027</v>
      </c>
      <c r="E5089" t="s">
        <v>39</v>
      </c>
      <c r="F5089">
        <v>0</v>
      </c>
      <c r="G5089">
        <v>0</v>
      </c>
      <c r="H5089">
        <v>2</v>
      </c>
      <c r="I5089" s="3">
        <v>1257.96</v>
      </c>
      <c r="J5089" s="3">
        <v>125.79</v>
      </c>
      <c r="L5089">
        <v>1723</v>
      </c>
      <c r="M5089" t="s">
        <v>12028</v>
      </c>
      <c r="N5089" t="s">
        <v>30</v>
      </c>
      <c r="O5089" t="s">
        <v>31</v>
      </c>
      <c r="P5089" t="str">
        <f>"15221"</f>
        <v>15221</v>
      </c>
    </row>
    <row r="5090" spans="1:16" x14ac:dyDescent="0.25">
      <c r="A5090" t="str">
        <f>"1120124R00224    00"</f>
        <v>1120124R00224    00</v>
      </c>
      <c r="B5090" t="s">
        <v>12029</v>
      </c>
      <c r="C5090" t="s">
        <v>12030</v>
      </c>
      <c r="D5090" t="s">
        <v>20</v>
      </c>
      <c r="E5090" t="s">
        <v>39</v>
      </c>
      <c r="F5090">
        <v>0</v>
      </c>
      <c r="G5090">
        <v>0</v>
      </c>
      <c r="H5090">
        <v>4</v>
      </c>
      <c r="I5090" s="3">
        <v>826.35</v>
      </c>
      <c r="J5090" s="3">
        <v>91.8</v>
      </c>
      <c r="L5090">
        <v>6722</v>
      </c>
      <c r="M5090" t="s">
        <v>12031</v>
      </c>
      <c r="N5090" t="s">
        <v>30</v>
      </c>
      <c r="O5090" t="s">
        <v>31</v>
      </c>
      <c r="P5090" t="str">
        <f>"15206"</f>
        <v>15206</v>
      </c>
    </row>
    <row r="5091" spans="1:16" x14ac:dyDescent="0.25">
      <c r="A5091" t="str">
        <f>"1120124R00226    00"</f>
        <v>1120124R00226    00</v>
      </c>
      <c r="B5091" t="s">
        <v>12032</v>
      </c>
      <c r="C5091" t="s">
        <v>12033</v>
      </c>
      <c r="D5091" t="s">
        <v>20</v>
      </c>
      <c r="E5091" t="s">
        <v>39</v>
      </c>
      <c r="F5091">
        <v>0</v>
      </c>
      <c r="G5091">
        <v>0</v>
      </c>
      <c r="H5091">
        <v>17</v>
      </c>
      <c r="I5091" s="3">
        <v>270.55</v>
      </c>
      <c r="J5091" s="3">
        <v>324.22000000000003</v>
      </c>
      <c r="K5091" t="s">
        <v>1037</v>
      </c>
      <c r="L5091">
        <v>6724</v>
      </c>
      <c r="M5091" t="s">
        <v>12031</v>
      </c>
      <c r="N5091" t="s">
        <v>30</v>
      </c>
      <c r="O5091" t="s">
        <v>31</v>
      </c>
      <c r="P5091" t="str">
        <f>"15206"</f>
        <v>15206</v>
      </c>
    </row>
    <row r="5092" spans="1:16" x14ac:dyDescent="0.25">
      <c r="A5092" t="str">
        <f>"1120124R00228    00"</f>
        <v>1120124R00228    00</v>
      </c>
      <c r="B5092" t="s">
        <v>12034</v>
      </c>
      <c r="C5092" t="s">
        <v>12033</v>
      </c>
      <c r="D5092" t="s">
        <v>20</v>
      </c>
      <c r="E5092" t="s">
        <v>39</v>
      </c>
      <c r="F5092">
        <v>0</v>
      </c>
      <c r="G5092">
        <v>0</v>
      </c>
      <c r="H5092">
        <v>17</v>
      </c>
      <c r="I5092" s="3">
        <v>313.60000000000002</v>
      </c>
      <c r="J5092" s="3">
        <v>369.72</v>
      </c>
      <c r="K5092" t="s">
        <v>1008</v>
      </c>
      <c r="P5092" t="str">
        <f>""</f>
        <v/>
      </c>
    </row>
    <row r="5093" spans="1:16" x14ac:dyDescent="0.25">
      <c r="A5093" t="str">
        <f>"1120124R00229    00"</f>
        <v>1120124R00229    00</v>
      </c>
      <c r="B5093" t="s">
        <v>12035</v>
      </c>
      <c r="C5093" t="s">
        <v>12036</v>
      </c>
      <c r="E5093" t="s">
        <v>39</v>
      </c>
      <c r="F5093">
        <v>0</v>
      </c>
      <c r="G5093">
        <v>0</v>
      </c>
      <c r="H5093">
        <v>1</v>
      </c>
      <c r="I5093" s="3">
        <v>188.08</v>
      </c>
      <c r="J5093" s="3">
        <v>0</v>
      </c>
      <c r="L5093">
        <v>6622</v>
      </c>
      <c r="M5093" t="s">
        <v>3089</v>
      </c>
      <c r="N5093" t="s">
        <v>30</v>
      </c>
      <c r="O5093" t="s">
        <v>31</v>
      </c>
      <c r="P5093" t="str">
        <f>"15206"</f>
        <v>15206</v>
      </c>
    </row>
    <row r="5094" spans="1:16" x14ac:dyDescent="0.25">
      <c r="A5094" t="str">
        <f>"1120124R00246    00"</f>
        <v>1120124R00246    00</v>
      </c>
      <c r="B5094" t="s">
        <v>12037</v>
      </c>
      <c r="C5094" t="s">
        <v>12038</v>
      </c>
      <c r="D5094" t="s">
        <v>20</v>
      </c>
      <c r="E5094" t="s">
        <v>21</v>
      </c>
      <c r="F5094">
        <v>0</v>
      </c>
      <c r="G5094">
        <v>0</v>
      </c>
      <c r="H5094">
        <v>6</v>
      </c>
      <c r="I5094" s="3">
        <v>55.92</v>
      </c>
      <c r="J5094" s="3">
        <v>16.39</v>
      </c>
      <c r="L5094">
        <v>825</v>
      </c>
      <c r="M5094" t="s">
        <v>2789</v>
      </c>
      <c r="N5094" t="s">
        <v>30</v>
      </c>
      <c r="O5094" t="s">
        <v>31</v>
      </c>
      <c r="P5094" t="str">
        <f>"15206"</f>
        <v>15206</v>
      </c>
    </row>
    <row r="5095" spans="1:16" x14ac:dyDescent="0.25">
      <c r="A5095" t="str">
        <f>"1120124R00248    00"</f>
        <v>1120124R00248    00</v>
      </c>
      <c r="B5095" t="s">
        <v>12037</v>
      </c>
      <c r="C5095" t="s">
        <v>12038</v>
      </c>
      <c r="D5095" t="s">
        <v>20</v>
      </c>
      <c r="E5095" t="s">
        <v>21</v>
      </c>
      <c r="F5095">
        <v>0</v>
      </c>
      <c r="G5095">
        <v>0</v>
      </c>
      <c r="H5095">
        <v>8</v>
      </c>
      <c r="I5095" s="3">
        <v>88.91</v>
      </c>
      <c r="J5095" s="3">
        <v>29.37</v>
      </c>
      <c r="L5095">
        <v>825</v>
      </c>
      <c r="M5095" t="s">
        <v>2789</v>
      </c>
      <c r="N5095" t="s">
        <v>30</v>
      </c>
      <c r="O5095" t="s">
        <v>31</v>
      </c>
      <c r="P5095" t="str">
        <f>"15206"</f>
        <v>15206</v>
      </c>
    </row>
    <row r="5096" spans="1:16" x14ac:dyDescent="0.25">
      <c r="A5096" t="str">
        <f>"1120124R00250    00"</f>
        <v>1120124R00250    00</v>
      </c>
      <c r="B5096" t="s">
        <v>12039</v>
      </c>
      <c r="C5096" t="s">
        <v>12040</v>
      </c>
      <c r="E5096" t="s">
        <v>39</v>
      </c>
      <c r="F5096">
        <v>0</v>
      </c>
      <c r="G5096">
        <v>0</v>
      </c>
      <c r="H5096">
        <v>1</v>
      </c>
      <c r="I5096" s="3">
        <v>121.98</v>
      </c>
      <c r="J5096" s="3">
        <v>0</v>
      </c>
      <c r="K5096" t="s">
        <v>12041</v>
      </c>
      <c r="M5096" t="s">
        <v>12042</v>
      </c>
      <c r="N5096" t="s">
        <v>636</v>
      </c>
      <c r="O5096" t="s">
        <v>31</v>
      </c>
      <c r="P5096" t="str">
        <f>"15104"</f>
        <v>15104</v>
      </c>
    </row>
    <row r="5097" spans="1:16" x14ac:dyDescent="0.25">
      <c r="A5097" t="str">
        <f>"1120124R00251    00"</f>
        <v>1120124R00251    00</v>
      </c>
      <c r="B5097" t="s">
        <v>12037</v>
      </c>
      <c r="C5097" t="s">
        <v>12043</v>
      </c>
      <c r="D5097" t="s">
        <v>20</v>
      </c>
      <c r="E5097" t="s">
        <v>21</v>
      </c>
      <c r="F5097">
        <v>0</v>
      </c>
      <c r="G5097">
        <v>0</v>
      </c>
      <c r="H5097">
        <v>8</v>
      </c>
      <c r="I5097" s="3">
        <v>817.64</v>
      </c>
      <c r="J5097" s="3">
        <v>267.55</v>
      </c>
      <c r="L5097">
        <v>825</v>
      </c>
      <c r="M5097" t="s">
        <v>2789</v>
      </c>
      <c r="N5097" t="s">
        <v>30</v>
      </c>
      <c r="O5097" t="s">
        <v>31</v>
      </c>
      <c r="P5097" t="str">
        <f>"15206"</f>
        <v>15206</v>
      </c>
    </row>
    <row r="5098" spans="1:16" x14ac:dyDescent="0.25">
      <c r="A5098" t="str">
        <f>"1120124R00260    00"</f>
        <v>1120124R00260    00</v>
      </c>
      <c r="B5098" t="s">
        <v>12044</v>
      </c>
      <c r="C5098" t="s">
        <v>12043</v>
      </c>
      <c r="D5098" t="s">
        <v>20</v>
      </c>
      <c r="E5098" t="s">
        <v>39</v>
      </c>
      <c r="F5098">
        <v>0</v>
      </c>
      <c r="G5098">
        <v>0</v>
      </c>
      <c r="H5098">
        <v>18</v>
      </c>
      <c r="I5098" s="3">
        <v>879.96</v>
      </c>
      <c r="J5098" s="3">
        <v>650.52</v>
      </c>
      <c r="L5098">
        <v>7022</v>
      </c>
      <c r="M5098" t="s">
        <v>12045</v>
      </c>
      <c r="N5098" t="s">
        <v>30</v>
      </c>
      <c r="O5098" t="s">
        <v>31</v>
      </c>
      <c r="P5098" t="str">
        <f>"15208"</f>
        <v>15208</v>
      </c>
    </row>
    <row r="5099" spans="1:16" x14ac:dyDescent="0.25">
      <c r="A5099" t="str">
        <f>"1120124R00273    00"</f>
        <v>1120124R00273    00</v>
      </c>
      <c r="B5099" t="s">
        <v>12046</v>
      </c>
      <c r="C5099" t="s">
        <v>12047</v>
      </c>
      <c r="D5099" t="s">
        <v>20</v>
      </c>
      <c r="E5099" t="s">
        <v>21</v>
      </c>
      <c r="F5099">
        <v>0</v>
      </c>
      <c r="G5099">
        <v>0</v>
      </c>
      <c r="H5099">
        <v>2</v>
      </c>
      <c r="I5099" s="3">
        <v>1777.63</v>
      </c>
      <c r="J5099" s="3">
        <v>0</v>
      </c>
      <c r="L5099">
        <v>825</v>
      </c>
      <c r="M5099" t="s">
        <v>2789</v>
      </c>
      <c r="N5099" t="s">
        <v>30</v>
      </c>
      <c r="O5099" t="s">
        <v>31</v>
      </c>
      <c r="P5099" t="str">
        <f>"15206"</f>
        <v>15206</v>
      </c>
    </row>
    <row r="5100" spans="1:16" x14ac:dyDescent="0.25">
      <c r="A5100" t="str">
        <f>"1120124R00281    00"</f>
        <v>1120124R00281    00</v>
      </c>
      <c r="B5100" t="s">
        <v>12048</v>
      </c>
      <c r="C5100" t="s">
        <v>12049</v>
      </c>
      <c r="D5100" t="s">
        <v>20</v>
      </c>
      <c r="E5100" t="s">
        <v>39</v>
      </c>
      <c r="F5100">
        <v>0</v>
      </c>
      <c r="G5100">
        <v>0</v>
      </c>
      <c r="H5100">
        <v>4</v>
      </c>
      <c r="I5100" s="3">
        <v>1561.64</v>
      </c>
      <c r="J5100" s="3">
        <v>230.09</v>
      </c>
      <c r="L5100">
        <v>6623</v>
      </c>
      <c r="M5100" t="s">
        <v>12050</v>
      </c>
      <c r="N5100" t="s">
        <v>30</v>
      </c>
      <c r="O5100" t="s">
        <v>31</v>
      </c>
      <c r="P5100" t="str">
        <f>"15206"</f>
        <v>15206</v>
      </c>
    </row>
    <row r="5101" spans="1:16" x14ac:dyDescent="0.25">
      <c r="A5101" t="str">
        <f>"1120124R00283    00"</f>
        <v>1120124R00283    00</v>
      </c>
      <c r="B5101" t="s">
        <v>12051</v>
      </c>
      <c r="C5101" t="s">
        <v>12052</v>
      </c>
      <c r="D5101" t="s">
        <v>20</v>
      </c>
      <c r="E5101" t="s">
        <v>39</v>
      </c>
      <c r="F5101">
        <v>0</v>
      </c>
      <c r="G5101">
        <v>0</v>
      </c>
      <c r="H5101">
        <v>1</v>
      </c>
      <c r="I5101" s="3">
        <v>356.43</v>
      </c>
      <c r="J5101" s="3">
        <v>0</v>
      </c>
      <c r="M5101" t="s">
        <v>12053</v>
      </c>
      <c r="N5101" t="s">
        <v>30</v>
      </c>
      <c r="O5101" t="s">
        <v>31</v>
      </c>
      <c r="P5101" t="str">
        <f>"15206"</f>
        <v>15206</v>
      </c>
    </row>
    <row r="5102" spans="1:16" x14ac:dyDescent="0.25">
      <c r="A5102" t="str">
        <f>"1120124R00289    00"</f>
        <v>1120124R00289    00</v>
      </c>
      <c r="B5102" t="s">
        <v>12054</v>
      </c>
      <c r="C5102" t="s">
        <v>12055</v>
      </c>
      <c r="D5102" t="s">
        <v>20</v>
      </c>
      <c r="E5102" t="s">
        <v>39</v>
      </c>
      <c r="F5102">
        <v>0</v>
      </c>
      <c r="G5102">
        <v>0</v>
      </c>
      <c r="H5102">
        <v>3</v>
      </c>
      <c r="I5102" s="3">
        <v>251.89</v>
      </c>
      <c r="J5102" s="3">
        <v>2.08</v>
      </c>
      <c r="K5102" t="s">
        <v>12056</v>
      </c>
      <c r="L5102">
        <v>6613</v>
      </c>
      <c r="M5102" t="s">
        <v>12050</v>
      </c>
      <c r="N5102" t="s">
        <v>30</v>
      </c>
      <c r="O5102" t="s">
        <v>31</v>
      </c>
      <c r="P5102" t="str">
        <f>"15206"</f>
        <v>15206</v>
      </c>
    </row>
    <row r="5103" spans="1:16" x14ac:dyDescent="0.25">
      <c r="A5103" t="str">
        <f>"1120124R00295    00"</f>
        <v>1120124R00295    00</v>
      </c>
      <c r="B5103" t="s">
        <v>12057</v>
      </c>
      <c r="C5103" t="s">
        <v>12058</v>
      </c>
      <c r="D5103" t="s">
        <v>20</v>
      </c>
      <c r="E5103" t="s">
        <v>39</v>
      </c>
      <c r="F5103">
        <v>0</v>
      </c>
      <c r="G5103">
        <v>0</v>
      </c>
      <c r="H5103">
        <v>19</v>
      </c>
      <c r="I5103" s="3">
        <v>2792.7</v>
      </c>
      <c r="J5103" s="3">
        <v>3206.51</v>
      </c>
      <c r="L5103">
        <v>335</v>
      </c>
      <c r="M5103" t="s">
        <v>12059</v>
      </c>
      <c r="N5103" t="s">
        <v>3441</v>
      </c>
      <c r="O5103" t="s">
        <v>606</v>
      </c>
      <c r="P5103" t="str">
        <f>"30223"</f>
        <v>30223</v>
      </c>
    </row>
    <row r="5104" spans="1:16" x14ac:dyDescent="0.25">
      <c r="A5104" t="str">
        <f>"1120124R00300    00"</f>
        <v>1120124R00300    00</v>
      </c>
      <c r="B5104" t="s">
        <v>12060</v>
      </c>
      <c r="C5104" t="s">
        <v>12061</v>
      </c>
      <c r="D5104" t="s">
        <v>20</v>
      </c>
      <c r="E5104" t="s">
        <v>39</v>
      </c>
      <c r="F5104">
        <v>0</v>
      </c>
      <c r="G5104">
        <v>0</v>
      </c>
      <c r="H5104">
        <v>11</v>
      </c>
      <c r="I5104" s="3">
        <v>5166.38</v>
      </c>
      <c r="J5104" s="3">
        <v>2465.7399999999998</v>
      </c>
      <c r="M5104" t="s">
        <v>12062</v>
      </c>
      <c r="N5104" t="s">
        <v>6351</v>
      </c>
      <c r="O5104" t="s">
        <v>31</v>
      </c>
      <c r="P5104" t="str">
        <f>"16059"</f>
        <v>16059</v>
      </c>
    </row>
    <row r="5105" spans="1:16" x14ac:dyDescent="0.25">
      <c r="A5105" t="str">
        <f>"1120124R00302    00"</f>
        <v>1120124R00302    00</v>
      </c>
      <c r="B5105" t="s">
        <v>12063</v>
      </c>
      <c r="C5105" t="s">
        <v>12064</v>
      </c>
      <c r="D5105" t="s">
        <v>20</v>
      </c>
      <c r="E5105" t="s">
        <v>39</v>
      </c>
      <c r="F5105">
        <v>0</v>
      </c>
      <c r="G5105">
        <v>0</v>
      </c>
      <c r="H5105">
        <v>12</v>
      </c>
      <c r="I5105" s="3">
        <v>1536.85</v>
      </c>
      <c r="J5105" s="3">
        <v>1853.32</v>
      </c>
      <c r="K5105" t="s">
        <v>12065</v>
      </c>
      <c r="L5105">
        <v>4124</v>
      </c>
      <c r="M5105" t="s">
        <v>841</v>
      </c>
      <c r="N5105" t="s">
        <v>30</v>
      </c>
      <c r="O5105" t="s">
        <v>31</v>
      </c>
      <c r="P5105" t="str">
        <f>"15201"</f>
        <v>15201</v>
      </c>
    </row>
    <row r="5106" spans="1:16" x14ac:dyDescent="0.25">
      <c r="A5106" t="str">
        <f>"1120124R00307    00"</f>
        <v>1120124R00307    00</v>
      </c>
      <c r="B5106" t="s">
        <v>12066</v>
      </c>
      <c r="C5106" t="s">
        <v>12067</v>
      </c>
      <c r="D5106" t="s">
        <v>20</v>
      </c>
      <c r="E5106" t="s">
        <v>39</v>
      </c>
      <c r="F5106">
        <v>0</v>
      </c>
      <c r="G5106">
        <v>0</v>
      </c>
      <c r="H5106">
        <v>4</v>
      </c>
      <c r="I5106" s="3">
        <v>852.46</v>
      </c>
      <c r="J5106" s="3">
        <v>0</v>
      </c>
      <c r="K5106" t="s">
        <v>12068</v>
      </c>
      <c r="L5106">
        <v>9116</v>
      </c>
      <c r="M5106" t="s">
        <v>11939</v>
      </c>
      <c r="N5106" t="s">
        <v>30</v>
      </c>
      <c r="O5106" t="s">
        <v>31</v>
      </c>
      <c r="P5106" t="str">
        <f>"15235"</f>
        <v>15235</v>
      </c>
    </row>
    <row r="5107" spans="1:16" x14ac:dyDescent="0.25">
      <c r="A5107" t="str">
        <f>"1120124R00308    00"</f>
        <v>1120124R00308    00</v>
      </c>
      <c r="B5107" t="s">
        <v>12066</v>
      </c>
      <c r="C5107" t="s">
        <v>12058</v>
      </c>
      <c r="D5107" t="s">
        <v>20</v>
      </c>
      <c r="E5107" t="s">
        <v>39</v>
      </c>
      <c r="F5107">
        <v>0</v>
      </c>
      <c r="G5107">
        <v>0</v>
      </c>
      <c r="H5107">
        <v>12</v>
      </c>
      <c r="I5107" s="3">
        <v>247.13</v>
      </c>
      <c r="J5107" s="3">
        <v>5.13</v>
      </c>
      <c r="L5107">
        <v>6615</v>
      </c>
      <c r="M5107" t="s">
        <v>12069</v>
      </c>
      <c r="N5107" t="s">
        <v>30</v>
      </c>
      <c r="O5107" t="s">
        <v>31</v>
      </c>
      <c r="P5107" t="str">
        <f>"15206"</f>
        <v>15206</v>
      </c>
    </row>
    <row r="5108" spans="1:16" x14ac:dyDescent="0.25">
      <c r="A5108" t="str">
        <f>"1120124R00309    00"</f>
        <v>1120124R00309    00</v>
      </c>
      <c r="B5108" t="s">
        <v>12066</v>
      </c>
      <c r="C5108" t="s">
        <v>12058</v>
      </c>
      <c r="D5108" t="s">
        <v>20</v>
      </c>
      <c r="E5108" t="s">
        <v>39</v>
      </c>
      <c r="F5108">
        <v>0</v>
      </c>
      <c r="G5108">
        <v>0</v>
      </c>
      <c r="H5108">
        <v>13</v>
      </c>
      <c r="I5108" s="3">
        <v>268.39999999999998</v>
      </c>
      <c r="J5108" s="3">
        <v>5.66</v>
      </c>
      <c r="L5108">
        <v>6615</v>
      </c>
      <c r="M5108" t="s">
        <v>12069</v>
      </c>
      <c r="N5108" t="s">
        <v>30</v>
      </c>
      <c r="O5108" t="s">
        <v>31</v>
      </c>
      <c r="P5108" t="str">
        <f>"15206"</f>
        <v>15206</v>
      </c>
    </row>
    <row r="5109" spans="1:16" x14ac:dyDescent="0.25">
      <c r="A5109" t="str">
        <f>"1120124R00311    00"</f>
        <v>1120124R00311    00</v>
      </c>
      <c r="B5109" t="s">
        <v>12070</v>
      </c>
      <c r="C5109" t="s">
        <v>12071</v>
      </c>
      <c r="D5109" t="s">
        <v>20</v>
      </c>
      <c r="E5109" t="s">
        <v>39</v>
      </c>
      <c r="F5109">
        <v>0</v>
      </c>
      <c r="G5109">
        <v>0</v>
      </c>
      <c r="H5109">
        <v>2</v>
      </c>
      <c r="I5109" s="3">
        <v>288.81</v>
      </c>
      <c r="J5109" s="3">
        <v>0</v>
      </c>
      <c r="L5109">
        <v>5120</v>
      </c>
      <c r="M5109" t="s">
        <v>841</v>
      </c>
      <c r="N5109" t="s">
        <v>30</v>
      </c>
      <c r="O5109" t="s">
        <v>31</v>
      </c>
      <c r="P5109" t="str">
        <f>"15201"</f>
        <v>15201</v>
      </c>
    </row>
    <row r="5110" spans="1:16" x14ac:dyDescent="0.25">
      <c r="A5110" t="str">
        <f>"1120124R00314    00"</f>
        <v>1120124R00314    00</v>
      </c>
      <c r="B5110" t="s">
        <v>12072</v>
      </c>
      <c r="C5110" t="s">
        <v>12058</v>
      </c>
      <c r="D5110" t="s">
        <v>20</v>
      </c>
      <c r="E5110" t="s">
        <v>39</v>
      </c>
      <c r="F5110">
        <v>0</v>
      </c>
      <c r="G5110">
        <v>0</v>
      </c>
      <c r="H5110">
        <v>19</v>
      </c>
      <c r="I5110" s="3">
        <v>1318.52</v>
      </c>
      <c r="J5110" s="3">
        <v>1434.51</v>
      </c>
      <c r="L5110">
        <v>4109</v>
      </c>
      <c r="M5110" t="s">
        <v>12073</v>
      </c>
      <c r="N5110" t="s">
        <v>7204</v>
      </c>
      <c r="O5110" t="s">
        <v>200</v>
      </c>
      <c r="P5110" t="str">
        <f>"11105"</f>
        <v>11105</v>
      </c>
    </row>
    <row r="5111" spans="1:16" x14ac:dyDescent="0.25">
      <c r="A5111" t="str">
        <f>"1120124R00354    00"</f>
        <v>1120124R00354    00</v>
      </c>
      <c r="B5111" t="s">
        <v>12074</v>
      </c>
      <c r="C5111" t="s">
        <v>11592</v>
      </c>
      <c r="D5111" t="s">
        <v>20</v>
      </c>
      <c r="E5111" t="s">
        <v>39</v>
      </c>
      <c r="F5111">
        <v>0</v>
      </c>
      <c r="G5111">
        <v>0</v>
      </c>
      <c r="H5111">
        <v>17</v>
      </c>
      <c r="I5111" s="3">
        <v>3903.47</v>
      </c>
      <c r="J5111" s="3">
        <v>5375.8</v>
      </c>
      <c r="L5111">
        <v>6716</v>
      </c>
      <c r="M5111" t="s">
        <v>2413</v>
      </c>
      <c r="N5111" t="s">
        <v>30</v>
      </c>
      <c r="O5111" t="s">
        <v>31</v>
      </c>
      <c r="P5111" t="str">
        <f>"15206"</f>
        <v>15206</v>
      </c>
    </row>
    <row r="5112" spans="1:16" x14ac:dyDescent="0.25">
      <c r="A5112" t="str">
        <f>"1120124R00358    00"</f>
        <v>1120124R00358    00</v>
      </c>
      <c r="B5112" t="s">
        <v>12075</v>
      </c>
      <c r="C5112" t="s">
        <v>12076</v>
      </c>
      <c r="E5112" t="s">
        <v>39</v>
      </c>
      <c r="F5112">
        <v>0</v>
      </c>
      <c r="G5112">
        <v>0</v>
      </c>
      <c r="H5112">
        <v>2</v>
      </c>
      <c r="I5112" s="3">
        <v>808.63</v>
      </c>
      <c r="J5112" s="3">
        <v>1028.55</v>
      </c>
      <c r="L5112">
        <v>6614</v>
      </c>
      <c r="M5112" t="s">
        <v>2413</v>
      </c>
      <c r="N5112" t="s">
        <v>30</v>
      </c>
      <c r="O5112" t="s">
        <v>31</v>
      </c>
      <c r="P5112" t="str">
        <f>"15206"</f>
        <v>15206</v>
      </c>
    </row>
    <row r="5113" spans="1:16" x14ac:dyDescent="0.25">
      <c r="A5113" t="str">
        <f>"1120124R00359    00"</f>
        <v>1120124R00359    00</v>
      </c>
      <c r="B5113" t="s">
        <v>12077</v>
      </c>
      <c r="C5113" t="s">
        <v>11628</v>
      </c>
      <c r="D5113" t="s">
        <v>20</v>
      </c>
      <c r="E5113" t="s">
        <v>39</v>
      </c>
      <c r="F5113">
        <v>0</v>
      </c>
      <c r="G5113">
        <v>0</v>
      </c>
      <c r="H5113">
        <v>17</v>
      </c>
      <c r="I5113" s="3">
        <v>288.95999999999998</v>
      </c>
      <c r="J5113" s="3">
        <v>334.26</v>
      </c>
      <c r="K5113" t="s">
        <v>1008</v>
      </c>
      <c r="P5113" t="str">
        <f>""</f>
        <v/>
      </c>
    </row>
    <row r="5114" spans="1:16" x14ac:dyDescent="0.25">
      <c r="A5114" t="str">
        <f>"1120124R00370    03"</f>
        <v>1120124R00370    03</v>
      </c>
      <c r="B5114" t="s">
        <v>12078</v>
      </c>
      <c r="C5114" t="s">
        <v>12079</v>
      </c>
      <c r="E5114" t="s">
        <v>513</v>
      </c>
      <c r="F5114">
        <v>0</v>
      </c>
      <c r="G5114">
        <v>0</v>
      </c>
      <c r="H5114">
        <v>1</v>
      </c>
      <c r="I5114" s="3">
        <v>48.83</v>
      </c>
      <c r="J5114" s="3">
        <v>59.28</v>
      </c>
      <c r="L5114">
        <v>519</v>
      </c>
      <c r="M5114" t="s">
        <v>11083</v>
      </c>
      <c r="N5114" t="s">
        <v>5847</v>
      </c>
      <c r="O5114" t="s">
        <v>31</v>
      </c>
      <c r="P5114" t="str">
        <f>"15139"</f>
        <v>15139</v>
      </c>
    </row>
    <row r="5115" spans="1:16" x14ac:dyDescent="0.25">
      <c r="A5115" t="str">
        <f>"1120124R00390    03"</f>
        <v>1120124R00390    03</v>
      </c>
      <c r="B5115" t="s">
        <v>12080</v>
      </c>
      <c r="C5115" t="s">
        <v>12079</v>
      </c>
      <c r="E5115" t="s">
        <v>513</v>
      </c>
      <c r="F5115">
        <v>0</v>
      </c>
      <c r="G5115">
        <v>0</v>
      </c>
      <c r="H5115">
        <v>1</v>
      </c>
      <c r="I5115" s="3">
        <v>157.22999999999999</v>
      </c>
      <c r="J5115" s="3">
        <v>233.29</v>
      </c>
      <c r="L5115">
        <v>519</v>
      </c>
      <c r="M5115" t="s">
        <v>11083</v>
      </c>
      <c r="N5115" t="s">
        <v>5847</v>
      </c>
      <c r="O5115" t="s">
        <v>31</v>
      </c>
      <c r="P5115" t="str">
        <f>"15139"</f>
        <v>15139</v>
      </c>
    </row>
    <row r="5116" spans="1:16" x14ac:dyDescent="0.25">
      <c r="A5116" t="str">
        <f>"1120124S00028    00"</f>
        <v>1120124S00028    00</v>
      </c>
      <c r="B5116" t="s">
        <v>12081</v>
      </c>
      <c r="C5116" t="s">
        <v>12082</v>
      </c>
      <c r="D5116" t="s">
        <v>20</v>
      </c>
      <c r="E5116" t="s">
        <v>39</v>
      </c>
      <c r="F5116">
        <v>0</v>
      </c>
      <c r="G5116">
        <v>0</v>
      </c>
      <c r="H5116">
        <v>3</v>
      </c>
      <c r="I5116" s="3">
        <v>1351.28</v>
      </c>
      <c r="J5116" s="3">
        <v>47.63</v>
      </c>
      <c r="L5116">
        <v>6741</v>
      </c>
      <c r="M5116" t="s">
        <v>3089</v>
      </c>
      <c r="N5116" t="s">
        <v>30</v>
      </c>
      <c r="O5116" t="s">
        <v>31</v>
      </c>
      <c r="P5116" t="str">
        <f>"15206"</f>
        <v>15206</v>
      </c>
    </row>
    <row r="5117" spans="1:16" x14ac:dyDescent="0.25">
      <c r="A5117" t="str">
        <f>"1120124S00029    00"</f>
        <v>1120124S00029    00</v>
      </c>
      <c r="B5117" t="s">
        <v>12083</v>
      </c>
      <c r="C5117" t="s">
        <v>12084</v>
      </c>
      <c r="D5117" t="s">
        <v>57</v>
      </c>
      <c r="E5117" t="s">
        <v>39</v>
      </c>
      <c r="F5117">
        <v>0</v>
      </c>
      <c r="G5117">
        <v>0</v>
      </c>
      <c r="H5117">
        <v>1</v>
      </c>
      <c r="I5117" s="3">
        <v>131.28</v>
      </c>
      <c r="J5117" s="3">
        <v>0</v>
      </c>
      <c r="L5117">
        <v>6737</v>
      </c>
      <c r="M5117" t="s">
        <v>3089</v>
      </c>
      <c r="N5117" t="s">
        <v>30</v>
      </c>
      <c r="O5117" t="s">
        <v>31</v>
      </c>
      <c r="P5117" t="str">
        <f>"15206"</f>
        <v>15206</v>
      </c>
    </row>
    <row r="5118" spans="1:16" x14ac:dyDescent="0.25">
      <c r="A5118" t="str">
        <f>"1120124S00030    00"</f>
        <v>1120124S00030    00</v>
      </c>
      <c r="B5118" t="s">
        <v>12085</v>
      </c>
      <c r="C5118" t="s">
        <v>12086</v>
      </c>
      <c r="D5118" t="s">
        <v>20</v>
      </c>
      <c r="E5118" t="s">
        <v>39</v>
      </c>
      <c r="F5118">
        <v>0</v>
      </c>
      <c r="G5118">
        <v>0</v>
      </c>
      <c r="H5118">
        <v>19</v>
      </c>
      <c r="I5118" s="3">
        <v>10089.24</v>
      </c>
      <c r="J5118" s="3">
        <v>8915.82</v>
      </c>
      <c r="L5118">
        <v>6735</v>
      </c>
      <c r="M5118" t="s">
        <v>3089</v>
      </c>
      <c r="N5118" t="s">
        <v>30</v>
      </c>
      <c r="O5118" t="s">
        <v>31</v>
      </c>
      <c r="P5118" t="str">
        <f>"15206"</f>
        <v>15206</v>
      </c>
    </row>
    <row r="5119" spans="1:16" x14ac:dyDescent="0.25">
      <c r="A5119" t="str">
        <f>"1120124S00031    00"</f>
        <v>1120124S00031    00</v>
      </c>
      <c r="B5119" t="s">
        <v>12087</v>
      </c>
      <c r="C5119" t="s">
        <v>11263</v>
      </c>
      <c r="D5119" t="s">
        <v>20</v>
      </c>
      <c r="E5119" t="s">
        <v>39</v>
      </c>
      <c r="F5119">
        <v>0</v>
      </c>
      <c r="G5119">
        <v>0</v>
      </c>
      <c r="H5119">
        <v>19</v>
      </c>
      <c r="I5119" s="3">
        <v>3654.45</v>
      </c>
      <c r="J5119" s="3">
        <v>4698.03</v>
      </c>
      <c r="L5119">
        <v>6731</v>
      </c>
      <c r="M5119" t="s">
        <v>3089</v>
      </c>
      <c r="N5119" t="s">
        <v>30</v>
      </c>
      <c r="O5119" t="s">
        <v>31</v>
      </c>
      <c r="P5119" t="str">
        <f>"15206"</f>
        <v>15206</v>
      </c>
    </row>
    <row r="5120" spans="1:16" x14ac:dyDescent="0.25">
      <c r="A5120" t="str">
        <f>"1120124S00032    00"</f>
        <v>1120124S00032    00</v>
      </c>
      <c r="B5120" t="s">
        <v>12088</v>
      </c>
      <c r="C5120" t="s">
        <v>11263</v>
      </c>
      <c r="D5120" t="s">
        <v>20</v>
      </c>
      <c r="E5120" t="s">
        <v>39</v>
      </c>
      <c r="F5120">
        <v>0</v>
      </c>
      <c r="G5120">
        <v>0</v>
      </c>
      <c r="H5120">
        <v>17</v>
      </c>
      <c r="I5120" s="3">
        <v>313.60000000000002</v>
      </c>
      <c r="J5120" s="3">
        <v>369.72</v>
      </c>
      <c r="K5120" t="s">
        <v>1008</v>
      </c>
      <c r="P5120" t="str">
        <f>""</f>
        <v/>
      </c>
    </row>
    <row r="5121" spans="1:16" x14ac:dyDescent="0.25">
      <c r="A5121" t="str">
        <f>"1120124S00034    00"</f>
        <v>1120124S00034    00</v>
      </c>
      <c r="B5121" t="s">
        <v>12089</v>
      </c>
      <c r="C5121" t="s">
        <v>12090</v>
      </c>
      <c r="D5121" t="s">
        <v>20</v>
      </c>
      <c r="E5121" t="s">
        <v>39</v>
      </c>
      <c r="F5121">
        <v>0</v>
      </c>
      <c r="G5121">
        <v>0</v>
      </c>
      <c r="H5121">
        <v>11</v>
      </c>
      <c r="I5121" s="3">
        <v>2639.89</v>
      </c>
      <c r="J5121" s="3">
        <v>3802.53</v>
      </c>
      <c r="L5121">
        <v>6702</v>
      </c>
      <c r="M5121" t="s">
        <v>3089</v>
      </c>
      <c r="N5121" t="s">
        <v>30</v>
      </c>
      <c r="O5121" t="s">
        <v>31</v>
      </c>
      <c r="P5121" t="str">
        <f>"15206"</f>
        <v>15206</v>
      </c>
    </row>
    <row r="5122" spans="1:16" x14ac:dyDescent="0.25">
      <c r="A5122" t="str">
        <f>"1120124S00035    00"</f>
        <v>1120124S00035    00</v>
      </c>
      <c r="B5122" t="s">
        <v>12091</v>
      </c>
      <c r="C5122" t="s">
        <v>11263</v>
      </c>
      <c r="D5122" t="s">
        <v>20</v>
      </c>
      <c r="E5122" t="s">
        <v>39</v>
      </c>
      <c r="F5122">
        <v>0</v>
      </c>
      <c r="G5122">
        <v>0</v>
      </c>
      <c r="H5122">
        <v>19</v>
      </c>
      <c r="I5122" s="3">
        <v>378.35</v>
      </c>
      <c r="J5122" s="3">
        <v>424.97</v>
      </c>
      <c r="K5122" t="s">
        <v>1037</v>
      </c>
      <c r="L5122">
        <v>6704</v>
      </c>
      <c r="M5122" t="s">
        <v>3089</v>
      </c>
      <c r="N5122" t="s">
        <v>30</v>
      </c>
      <c r="O5122" t="s">
        <v>31</v>
      </c>
      <c r="P5122" t="str">
        <f>"15206"</f>
        <v>15206</v>
      </c>
    </row>
    <row r="5123" spans="1:16" x14ac:dyDescent="0.25">
      <c r="A5123" t="str">
        <f>"1120124S00036    00"</f>
        <v>1120124S00036    00</v>
      </c>
      <c r="B5123" t="s">
        <v>11654</v>
      </c>
      <c r="C5123" t="s">
        <v>12092</v>
      </c>
      <c r="D5123" t="s">
        <v>20</v>
      </c>
      <c r="E5123" t="s">
        <v>39</v>
      </c>
      <c r="F5123">
        <v>0</v>
      </c>
      <c r="G5123">
        <v>0</v>
      </c>
      <c r="H5123">
        <v>14</v>
      </c>
      <c r="I5123" s="3">
        <v>4561.3100000000004</v>
      </c>
      <c r="J5123" s="3">
        <v>4512.29</v>
      </c>
      <c r="K5123" t="s">
        <v>12093</v>
      </c>
      <c r="M5123" t="s">
        <v>11656</v>
      </c>
      <c r="N5123" t="s">
        <v>30</v>
      </c>
      <c r="O5123" t="s">
        <v>31</v>
      </c>
      <c r="P5123" t="str">
        <f>"15230"</f>
        <v>15230</v>
      </c>
    </row>
    <row r="5124" spans="1:16" x14ac:dyDescent="0.25">
      <c r="A5124" t="str">
        <f>"1120124S00037    00"</f>
        <v>1120124S00037    00</v>
      </c>
      <c r="B5124" t="s">
        <v>11654</v>
      </c>
      <c r="C5124" t="s">
        <v>12094</v>
      </c>
      <c r="D5124" t="s">
        <v>20</v>
      </c>
      <c r="E5124" t="s">
        <v>39</v>
      </c>
      <c r="F5124">
        <v>0</v>
      </c>
      <c r="G5124">
        <v>0</v>
      </c>
      <c r="H5124">
        <v>1</v>
      </c>
      <c r="I5124" s="3">
        <v>266.83999999999997</v>
      </c>
      <c r="J5124" s="3">
        <v>0</v>
      </c>
      <c r="M5124" t="s">
        <v>11656</v>
      </c>
      <c r="N5124" t="s">
        <v>30</v>
      </c>
      <c r="O5124" t="s">
        <v>31</v>
      </c>
      <c r="P5124" t="str">
        <f>"15230"</f>
        <v>15230</v>
      </c>
    </row>
    <row r="5125" spans="1:16" x14ac:dyDescent="0.25">
      <c r="A5125" t="str">
        <f>"1120124S00038    00"</f>
        <v>1120124S00038    00</v>
      </c>
      <c r="B5125" t="s">
        <v>11654</v>
      </c>
      <c r="C5125" t="s">
        <v>12095</v>
      </c>
      <c r="D5125" t="s">
        <v>20</v>
      </c>
      <c r="E5125" t="s">
        <v>39</v>
      </c>
      <c r="F5125">
        <v>0</v>
      </c>
      <c r="G5125">
        <v>0</v>
      </c>
      <c r="H5125">
        <v>1</v>
      </c>
      <c r="I5125" s="3">
        <v>405.35</v>
      </c>
      <c r="J5125" s="3">
        <v>0</v>
      </c>
      <c r="M5125" t="s">
        <v>11656</v>
      </c>
      <c r="N5125" t="s">
        <v>30</v>
      </c>
      <c r="O5125" t="s">
        <v>31</v>
      </c>
      <c r="P5125" t="str">
        <f>"15230"</f>
        <v>15230</v>
      </c>
    </row>
    <row r="5126" spans="1:16" x14ac:dyDescent="0.25">
      <c r="A5126" t="str">
        <f>"1120124S00043    00"</f>
        <v>1120124S00043    00</v>
      </c>
      <c r="B5126" t="s">
        <v>12096</v>
      </c>
      <c r="C5126" t="s">
        <v>11263</v>
      </c>
      <c r="D5126" t="s">
        <v>20</v>
      </c>
      <c r="E5126" t="s">
        <v>39</v>
      </c>
      <c r="F5126">
        <v>0</v>
      </c>
      <c r="G5126">
        <v>0</v>
      </c>
      <c r="H5126">
        <v>19</v>
      </c>
      <c r="I5126" s="3">
        <v>378.35</v>
      </c>
      <c r="J5126" s="3">
        <v>424.97</v>
      </c>
      <c r="K5126" t="s">
        <v>1037</v>
      </c>
      <c r="L5126">
        <v>6714</v>
      </c>
      <c r="M5126" t="s">
        <v>3089</v>
      </c>
      <c r="N5126" t="s">
        <v>30</v>
      </c>
      <c r="O5126" t="s">
        <v>31</v>
      </c>
      <c r="P5126" t="str">
        <f>"15206"</f>
        <v>15206</v>
      </c>
    </row>
    <row r="5127" spans="1:16" x14ac:dyDescent="0.25">
      <c r="A5127" t="str">
        <f>"1120124S00044    00"</f>
        <v>1120124S00044    00</v>
      </c>
      <c r="B5127" t="s">
        <v>12097</v>
      </c>
      <c r="C5127" t="s">
        <v>12098</v>
      </c>
      <c r="D5127" t="s">
        <v>20</v>
      </c>
      <c r="E5127" t="s">
        <v>39</v>
      </c>
      <c r="F5127">
        <v>0</v>
      </c>
      <c r="G5127">
        <v>0</v>
      </c>
      <c r="H5127">
        <v>15</v>
      </c>
      <c r="I5127" s="3">
        <v>7041.25</v>
      </c>
      <c r="J5127" s="3">
        <v>6575.5</v>
      </c>
      <c r="L5127">
        <v>6728</v>
      </c>
      <c r="M5127" t="s">
        <v>3089</v>
      </c>
      <c r="N5127" t="s">
        <v>30</v>
      </c>
      <c r="O5127" t="s">
        <v>31</v>
      </c>
      <c r="P5127" t="str">
        <f>"15206"</f>
        <v>15206</v>
      </c>
    </row>
    <row r="5128" spans="1:16" x14ac:dyDescent="0.25">
      <c r="A5128" t="str">
        <f>"1120124S00045    00"</f>
        <v>1120124S00045    00</v>
      </c>
      <c r="B5128" t="s">
        <v>11858</v>
      </c>
      <c r="C5128" t="s">
        <v>12099</v>
      </c>
      <c r="D5128" t="s">
        <v>20</v>
      </c>
      <c r="E5128" t="s">
        <v>21</v>
      </c>
      <c r="F5128">
        <v>0</v>
      </c>
      <c r="G5128">
        <v>0</v>
      </c>
      <c r="H5128">
        <v>1</v>
      </c>
      <c r="I5128" s="3">
        <v>1200.78</v>
      </c>
      <c r="J5128" s="3">
        <v>0</v>
      </c>
      <c r="K5128" t="s">
        <v>11860</v>
      </c>
      <c r="L5128">
        <v>46</v>
      </c>
      <c r="M5128" t="s">
        <v>913</v>
      </c>
      <c r="N5128" t="s">
        <v>914</v>
      </c>
      <c r="O5128" t="s">
        <v>200</v>
      </c>
      <c r="P5128" t="str">
        <f>"10952"</f>
        <v>10952</v>
      </c>
    </row>
    <row r="5129" spans="1:16" x14ac:dyDescent="0.25">
      <c r="A5129" t="str">
        <f>"1120124S00058    00"</f>
        <v>1120124S00058    00</v>
      </c>
      <c r="B5129" t="s">
        <v>12100</v>
      </c>
      <c r="C5129" t="s">
        <v>12038</v>
      </c>
      <c r="E5129" t="s">
        <v>39</v>
      </c>
      <c r="F5129">
        <v>0</v>
      </c>
      <c r="G5129">
        <v>0</v>
      </c>
      <c r="H5129">
        <v>1</v>
      </c>
      <c r="I5129" s="3">
        <v>1190.55</v>
      </c>
      <c r="J5129" s="3">
        <v>476.21</v>
      </c>
      <c r="L5129">
        <v>2062</v>
      </c>
      <c r="M5129" t="s">
        <v>12101</v>
      </c>
      <c r="N5129" t="s">
        <v>30</v>
      </c>
      <c r="O5129" t="s">
        <v>31</v>
      </c>
      <c r="P5129" t="str">
        <f>"15221"</f>
        <v>15221</v>
      </c>
    </row>
    <row r="5130" spans="1:16" x14ac:dyDescent="0.25">
      <c r="A5130" t="str">
        <f>"1120124S00064    00"</f>
        <v>1120124S00064    00</v>
      </c>
      <c r="B5130" t="s">
        <v>12102</v>
      </c>
      <c r="C5130" t="s">
        <v>12103</v>
      </c>
      <c r="D5130" t="s">
        <v>20</v>
      </c>
      <c r="E5130" t="s">
        <v>39</v>
      </c>
      <c r="F5130">
        <v>0</v>
      </c>
      <c r="G5130">
        <v>0</v>
      </c>
      <c r="H5130">
        <v>19</v>
      </c>
      <c r="I5130" s="3">
        <v>6625.15</v>
      </c>
      <c r="J5130" s="3">
        <v>7386.93</v>
      </c>
      <c r="L5130">
        <v>5023</v>
      </c>
      <c r="M5130" t="s">
        <v>8947</v>
      </c>
      <c r="N5130" t="s">
        <v>30</v>
      </c>
      <c r="O5130" t="s">
        <v>31</v>
      </c>
      <c r="P5130" t="str">
        <f>"15201"</f>
        <v>15201</v>
      </c>
    </row>
    <row r="5131" spans="1:16" x14ac:dyDescent="0.25">
      <c r="A5131" t="str">
        <f>"1120124S00065    00"</f>
        <v>1120124S00065    00</v>
      </c>
      <c r="B5131" t="s">
        <v>12104</v>
      </c>
      <c r="C5131" t="s">
        <v>11592</v>
      </c>
      <c r="E5131" t="s">
        <v>39</v>
      </c>
      <c r="F5131">
        <v>0</v>
      </c>
      <c r="G5131">
        <v>0</v>
      </c>
      <c r="H5131">
        <v>3</v>
      </c>
      <c r="I5131" s="3">
        <v>64.739999999999995</v>
      </c>
      <c r="J5131" s="3">
        <v>49.14</v>
      </c>
      <c r="L5131">
        <v>6725</v>
      </c>
      <c r="M5131" t="s">
        <v>2413</v>
      </c>
      <c r="N5131" t="s">
        <v>30</v>
      </c>
      <c r="O5131" t="s">
        <v>31</v>
      </c>
      <c r="P5131" t="str">
        <f>"15206"</f>
        <v>15206</v>
      </c>
    </row>
    <row r="5132" spans="1:16" x14ac:dyDescent="0.25">
      <c r="A5132" t="str">
        <f>"1120124S00066    00"</f>
        <v>1120124S00066    00</v>
      </c>
      <c r="B5132" t="s">
        <v>12104</v>
      </c>
      <c r="C5132" t="s">
        <v>12105</v>
      </c>
      <c r="E5132" t="s">
        <v>39</v>
      </c>
      <c r="F5132">
        <v>0</v>
      </c>
      <c r="G5132">
        <v>0</v>
      </c>
      <c r="H5132">
        <v>2</v>
      </c>
      <c r="I5132" s="3">
        <v>429.68</v>
      </c>
      <c r="J5132" s="3">
        <v>171.54</v>
      </c>
      <c r="K5132" t="s">
        <v>12106</v>
      </c>
      <c r="L5132">
        <v>6725</v>
      </c>
      <c r="M5132" t="s">
        <v>2413</v>
      </c>
      <c r="N5132" t="s">
        <v>30</v>
      </c>
      <c r="O5132" t="s">
        <v>31</v>
      </c>
      <c r="P5132" t="str">
        <f>"15206"</f>
        <v>15206</v>
      </c>
    </row>
    <row r="5133" spans="1:16" x14ac:dyDescent="0.25">
      <c r="A5133" t="str">
        <f>"1120124S00068    00"</f>
        <v>1120124S00068    00</v>
      </c>
      <c r="B5133" t="s">
        <v>12107</v>
      </c>
      <c r="C5133" t="s">
        <v>11592</v>
      </c>
      <c r="D5133" t="s">
        <v>20</v>
      </c>
      <c r="E5133" t="s">
        <v>39</v>
      </c>
      <c r="F5133">
        <v>0</v>
      </c>
      <c r="G5133">
        <v>0</v>
      </c>
      <c r="H5133">
        <v>19</v>
      </c>
      <c r="I5133" s="3">
        <v>1270.2</v>
      </c>
      <c r="J5133" s="3">
        <v>1008.81</v>
      </c>
      <c r="K5133" t="s">
        <v>1008</v>
      </c>
      <c r="P5133" t="str">
        <f>""</f>
        <v/>
      </c>
    </row>
    <row r="5134" spans="1:16" x14ac:dyDescent="0.25">
      <c r="A5134" t="str">
        <f>"1120124S00069    00"</f>
        <v>1120124S00069    00</v>
      </c>
      <c r="B5134" t="s">
        <v>12108</v>
      </c>
      <c r="C5134" t="s">
        <v>11592</v>
      </c>
      <c r="D5134" t="s">
        <v>20</v>
      </c>
      <c r="E5134" t="s">
        <v>39</v>
      </c>
      <c r="F5134">
        <v>0</v>
      </c>
      <c r="G5134">
        <v>0</v>
      </c>
      <c r="H5134">
        <v>19</v>
      </c>
      <c r="I5134" s="3">
        <v>400.36</v>
      </c>
      <c r="J5134" s="3">
        <v>436.62</v>
      </c>
      <c r="K5134" t="s">
        <v>1008</v>
      </c>
      <c r="P5134" t="str">
        <f>""</f>
        <v/>
      </c>
    </row>
    <row r="5135" spans="1:16" x14ac:dyDescent="0.25">
      <c r="A5135" t="str">
        <f>"1120124S00072    00"</f>
        <v>1120124S00072    00</v>
      </c>
      <c r="B5135" t="s">
        <v>12109</v>
      </c>
      <c r="C5135" t="s">
        <v>12110</v>
      </c>
      <c r="D5135" t="s">
        <v>20</v>
      </c>
      <c r="E5135" t="s">
        <v>39</v>
      </c>
      <c r="F5135">
        <v>0</v>
      </c>
      <c r="G5135">
        <v>0</v>
      </c>
      <c r="H5135">
        <v>18</v>
      </c>
      <c r="I5135" s="3">
        <v>4501.99</v>
      </c>
      <c r="J5135" s="3">
        <v>4096.3599999999997</v>
      </c>
      <c r="L5135">
        <v>6725</v>
      </c>
      <c r="M5135" t="s">
        <v>2413</v>
      </c>
      <c r="N5135" t="s">
        <v>30</v>
      </c>
      <c r="O5135" t="s">
        <v>31</v>
      </c>
      <c r="P5135" t="str">
        <f>"15206"</f>
        <v>15206</v>
      </c>
    </row>
    <row r="5136" spans="1:16" x14ac:dyDescent="0.25">
      <c r="A5136" t="str">
        <f>"1120124S00073    00"</f>
        <v>1120124S00073    00</v>
      </c>
      <c r="B5136" t="s">
        <v>12111</v>
      </c>
      <c r="C5136" t="s">
        <v>12112</v>
      </c>
      <c r="D5136" t="s">
        <v>20</v>
      </c>
      <c r="E5136" t="s">
        <v>39</v>
      </c>
      <c r="F5136">
        <v>0</v>
      </c>
      <c r="G5136">
        <v>0</v>
      </c>
      <c r="H5136">
        <v>4</v>
      </c>
      <c r="I5136" s="3">
        <v>329.27</v>
      </c>
      <c r="J5136" s="3">
        <v>33.03</v>
      </c>
      <c r="L5136">
        <v>6703</v>
      </c>
      <c r="M5136" t="s">
        <v>2413</v>
      </c>
      <c r="N5136" t="s">
        <v>30</v>
      </c>
      <c r="O5136" t="s">
        <v>31</v>
      </c>
      <c r="P5136" t="str">
        <f>"15206"</f>
        <v>15206</v>
      </c>
    </row>
    <row r="5137" spans="1:16" x14ac:dyDescent="0.25">
      <c r="A5137" t="str">
        <f>"1120124S00075    00"</f>
        <v>1120124S00075    00</v>
      </c>
      <c r="B5137" t="s">
        <v>12113</v>
      </c>
      <c r="C5137" t="s">
        <v>11592</v>
      </c>
      <c r="D5137" t="s">
        <v>20</v>
      </c>
      <c r="E5137" t="s">
        <v>39</v>
      </c>
      <c r="F5137">
        <v>0</v>
      </c>
      <c r="G5137">
        <v>0</v>
      </c>
      <c r="H5137">
        <v>19</v>
      </c>
      <c r="I5137" s="3">
        <v>1083.68</v>
      </c>
      <c r="J5137" s="3">
        <v>820.42</v>
      </c>
      <c r="K5137" t="s">
        <v>1008</v>
      </c>
      <c r="P5137" t="str">
        <f>""</f>
        <v/>
      </c>
    </row>
    <row r="5138" spans="1:16" x14ac:dyDescent="0.25">
      <c r="A5138" t="str">
        <f>"1120124S00076    00"</f>
        <v>1120124S00076    00</v>
      </c>
      <c r="B5138" t="s">
        <v>12114</v>
      </c>
      <c r="C5138" t="s">
        <v>12115</v>
      </c>
      <c r="D5138" t="s">
        <v>20</v>
      </c>
      <c r="E5138" t="s">
        <v>39</v>
      </c>
      <c r="F5138">
        <v>0</v>
      </c>
      <c r="G5138">
        <v>0</v>
      </c>
      <c r="H5138">
        <v>18</v>
      </c>
      <c r="I5138" s="3">
        <v>5462.35</v>
      </c>
      <c r="J5138" s="3">
        <v>5605.17</v>
      </c>
      <c r="L5138">
        <v>6641</v>
      </c>
      <c r="M5138" t="s">
        <v>2413</v>
      </c>
      <c r="N5138" t="s">
        <v>30</v>
      </c>
      <c r="O5138" t="s">
        <v>31</v>
      </c>
      <c r="P5138" t="str">
        <f>"15206"</f>
        <v>15206</v>
      </c>
    </row>
    <row r="5139" spans="1:16" x14ac:dyDescent="0.25">
      <c r="A5139" t="str">
        <f>"1120124S00076A   00"</f>
        <v>1120124S00076A   00</v>
      </c>
      <c r="B5139" t="s">
        <v>12116</v>
      </c>
      <c r="C5139" t="s">
        <v>12117</v>
      </c>
      <c r="D5139" t="s">
        <v>20</v>
      </c>
      <c r="E5139" t="s">
        <v>39</v>
      </c>
      <c r="F5139">
        <v>0</v>
      </c>
      <c r="G5139">
        <v>0</v>
      </c>
      <c r="H5139">
        <v>2</v>
      </c>
      <c r="I5139" s="3">
        <v>321.43</v>
      </c>
      <c r="J5139" s="3">
        <v>0.25</v>
      </c>
      <c r="K5139" t="s">
        <v>12118</v>
      </c>
      <c r="L5139">
        <v>1022</v>
      </c>
      <c r="M5139" t="s">
        <v>12119</v>
      </c>
      <c r="N5139" t="s">
        <v>30</v>
      </c>
      <c r="O5139" t="s">
        <v>31</v>
      </c>
      <c r="P5139" t="str">
        <f>"15204"</f>
        <v>15204</v>
      </c>
    </row>
    <row r="5140" spans="1:16" x14ac:dyDescent="0.25">
      <c r="A5140" t="str">
        <f>"1120124S00077    00"</f>
        <v>1120124S00077    00</v>
      </c>
      <c r="B5140" t="s">
        <v>12116</v>
      </c>
      <c r="C5140" t="s">
        <v>12120</v>
      </c>
      <c r="D5140" t="s">
        <v>20</v>
      </c>
      <c r="E5140" t="s">
        <v>39</v>
      </c>
      <c r="F5140">
        <v>0</v>
      </c>
      <c r="G5140">
        <v>0</v>
      </c>
      <c r="H5140">
        <v>2</v>
      </c>
      <c r="I5140" s="3">
        <v>258.3</v>
      </c>
      <c r="J5140" s="3">
        <v>0.2</v>
      </c>
      <c r="K5140" t="s">
        <v>12118</v>
      </c>
      <c r="L5140">
        <v>1022</v>
      </c>
      <c r="M5140" t="s">
        <v>12119</v>
      </c>
      <c r="N5140" t="s">
        <v>30</v>
      </c>
      <c r="O5140" t="s">
        <v>31</v>
      </c>
      <c r="P5140" t="str">
        <f>"15204"</f>
        <v>15204</v>
      </c>
    </row>
    <row r="5141" spans="1:16" x14ac:dyDescent="0.25">
      <c r="A5141" t="str">
        <f>"1120124S00078    00"</f>
        <v>1120124S00078    00</v>
      </c>
      <c r="B5141" t="s">
        <v>11618</v>
      </c>
      <c r="C5141" t="s">
        <v>12121</v>
      </c>
      <c r="E5141" t="s">
        <v>39</v>
      </c>
      <c r="F5141">
        <v>0</v>
      </c>
      <c r="G5141">
        <v>0</v>
      </c>
      <c r="H5141">
        <v>2</v>
      </c>
      <c r="I5141" s="3">
        <v>10</v>
      </c>
      <c r="J5141" s="3">
        <v>9.83</v>
      </c>
      <c r="L5141">
        <v>7145</v>
      </c>
      <c r="M5141" t="s">
        <v>872</v>
      </c>
      <c r="N5141" t="s">
        <v>30</v>
      </c>
      <c r="O5141" t="s">
        <v>31</v>
      </c>
      <c r="P5141" t="str">
        <f>"15208"</f>
        <v>15208</v>
      </c>
    </row>
    <row r="5142" spans="1:16" x14ac:dyDescent="0.25">
      <c r="A5142" t="str">
        <f>"1120124S00080    00"</f>
        <v>1120124S00080    00</v>
      </c>
      <c r="B5142" t="s">
        <v>12122</v>
      </c>
      <c r="C5142" t="s">
        <v>12123</v>
      </c>
      <c r="D5142" t="s">
        <v>20</v>
      </c>
      <c r="E5142" t="s">
        <v>39</v>
      </c>
      <c r="F5142">
        <v>0</v>
      </c>
      <c r="G5142">
        <v>0</v>
      </c>
      <c r="H5142">
        <v>1</v>
      </c>
      <c r="I5142" s="3">
        <v>228.72</v>
      </c>
      <c r="J5142" s="3">
        <v>0</v>
      </c>
      <c r="K5142" t="s">
        <v>12124</v>
      </c>
      <c r="L5142">
        <v>65</v>
      </c>
      <c r="M5142" t="s">
        <v>12125</v>
      </c>
      <c r="N5142" t="s">
        <v>12126</v>
      </c>
      <c r="O5142" t="s">
        <v>423</v>
      </c>
      <c r="P5142" t="str">
        <f>"07042"</f>
        <v>07042</v>
      </c>
    </row>
    <row r="5143" spans="1:16" x14ac:dyDescent="0.25">
      <c r="A5143" t="str">
        <f>"1120124S00086    00"</f>
        <v>1120124S00086    00</v>
      </c>
      <c r="B5143" t="s">
        <v>12127</v>
      </c>
      <c r="C5143" t="s">
        <v>11592</v>
      </c>
      <c r="D5143" t="s">
        <v>20</v>
      </c>
      <c r="E5143" t="s">
        <v>39</v>
      </c>
      <c r="F5143">
        <v>0</v>
      </c>
      <c r="G5143">
        <v>0</v>
      </c>
      <c r="H5143">
        <v>19</v>
      </c>
      <c r="I5143" s="3">
        <v>726.52</v>
      </c>
      <c r="J5143" s="3">
        <v>562.76</v>
      </c>
      <c r="L5143">
        <v>6700</v>
      </c>
      <c r="M5143" t="s">
        <v>2413</v>
      </c>
      <c r="N5143" t="s">
        <v>30</v>
      </c>
      <c r="O5143" t="s">
        <v>31</v>
      </c>
      <c r="P5143" t="str">
        <f>"15206"</f>
        <v>15206</v>
      </c>
    </row>
    <row r="5144" spans="1:16" x14ac:dyDescent="0.25">
      <c r="A5144" t="str">
        <f>"1120124S00088    00"</f>
        <v>1120124S00088    00</v>
      </c>
      <c r="B5144" t="s">
        <v>12128</v>
      </c>
      <c r="C5144" t="s">
        <v>11592</v>
      </c>
      <c r="D5144" t="s">
        <v>20</v>
      </c>
      <c r="E5144" t="s">
        <v>39</v>
      </c>
      <c r="F5144">
        <v>0</v>
      </c>
      <c r="G5144">
        <v>0</v>
      </c>
      <c r="H5144">
        <v>19</v>
      </c>
      <c r="I5144" s="3">
        <v>4669.1099999999997</v>
      </c>
      <c r="J5144" s="3">
        <v>6373.43</v>
      </c>
      <c r="K5144" t="s">
        <v>12129</v>
      </c>
      <c r="L5144">
        <v>6702</v>
      </c>
      <c r="M5144" t="s">
        <v>2413</v>
      </c>
      <c r="N5144" t="s">
        <v>30</v>
      </c>
      <c r="O5144" t="s">
        <v>31</v>
      </c>
      <c r="P5144" t="str">
        <f>"15206"</f>
        <v>15206</v>
      </c>
    </row>
    <row r="5145" spans="1:16" x14ac:dyDescent="0.25">
      <c r="A5145" t="str">
        <f>"1120124S00090    00"</f>
        <v>1120124S00090    00</v>
      </c>
      <c r="B5145" t="s">
        <v>12130</v>
      </c>
      <c r="C5145" t="s">
        <v>11592</v>
      </c>
      <c r="D5145" t="s">
        <v>20</v>
      </c>
      <c r="E5145" t="s">
        <v>39</v>
      </c>
      <c r="F5145">
        <v>0</v>
      </c>
      <c r="G5145">
        <v>0</v>
      </c>
      <c r="H5145">
        <v>19</v>
      </c>
      <c r="I5145" s="3">
        <v>6673.15</v>
      </c>
      <c r="J5145" s="3">
        <v>9475.16</v>
      </c>
      <c r="L5145">
        <v>201</v>
      </c>
      <c r="M5145" t="s">
        <v>6591</v>
      </c>
      <c r="N5145" t="s">
        <v>30</v>
      </c>
      <c r="O5145" t="s">
        <v>31</v>
      </c>
      <c r="P5145" t="str">
        <f>"15224"</f>
        <v>15224</v>
      </c>
    </row>
    <row r="5146" spans="1:16" x14ac:dyDescent="0.25">
      <c r="A5146" t="str">
        <f>"1120124S00091    00"</f>
        <v>1120124S00091    00</v>
      </c>
      <c r="B5146" t="s">
        <v>12131</v>
      </c>
      <c r="C5146" t="s">
        <v>12132</v>
      </c>
      <c r="E5146" t="s">
        <v>39</v>
      </c>
      <c r="F5146">
        <v>0</v>
      </c>
      <c r="G5146">
        <v>0</v>
      </c>
      <c r="H5146">
        <v>6</v>
      </c>
      <c r="I5146" s="3">
        <v>1666.47</v>
      </c>
      <c r="J5146" s="3">
        <v>1824.78</v>
      </c>
      <c r="K5146" t="s">
        <v>12133</v>
      </c>
      <c r="M5146" t="s">
        <v>12134</v>
      </c>
      <c r="N5146" t="s">
        <v>30</v>
      </c>
      <c r="O5146" t="s">
        <v>31</v>
      </c>
      <c r="P5146" t="str">
        <f>"15241"</f>
        <v>15241</v>
      </c>
    </row>
    <row r="5147" spans="1:16" x14ac:dyDescent="0.25">
      <c r="A5147" t="str">
        <f>"1120124S00094    00"</f>
        <v>1120124S00094    00</v>
      </c>
      <c r="B5147" t="s">
        <v>12135</v>
      </c>
      <c r="C5147" t="s">
        <v>12136</v>
      </c>
      <c r="D5147" t="s">
        <v>20</v>
      </c>
      <c r="E5147" t="s">
        <v>39</v>
      </c>
      <c r="F5147">
        <v>0</v>
      </c>
      <c r="G5147">
        <v>0</v>
      </c>
      <c r="H5147">
        <v>19</v>
      </c>
      <c r="I5147" s="3">
        <v>4279.5</v>
      </c>
      <c r="J5147" s="3">
        <v>4336.8599999999997</v>
      </c>
      <c r="L5147">
        <v>8935</v>
      </c>
      <c r="M5147" t="s">
        <v>11939</v>
      </c>
      <c r="N5147" t="s">
        <v>30</v>
      </c>
      <c r="O5147" t="s">
        <v>31</v>
      </c>
      <c r="P5147" t="str">
        <f>"15235"</f>
        <v>15235</v>
      </c>
    </row>
    <row r="5148" spans="1:16" x14ac:dyDescent="0.25">
      <c r="A5148" t="str">
        <f>"1120124S00096    00"</f>
        <v>1120124S00096    00</v>
      </c>
      <c r="B5148" t="s">
        <v>12137</v>
      </c>
      <c r="C5148" t="s">
        <v>12138</v>
      </c>
      <c r="D5148" t="s">
        <v>20</v>
      </c>
      <c r="E5148" t="s">
        <v>21</v>
      </c>
      <c r="F5148">
        <v>0</v>
      </c>
      <c r="G5148">
        <v>0</v>
      </c>
      <c r="H5148">
        <v>14</v>
      </c>
      <c r="I5148" s="3">
        <v>376.85</v>
      </c>
      <c r="J5148" s="3">
        <v>373.94</v>
      </c>
      <c r="L5148">
        <v>7872</v>
      </c>
      <c r="M5148" t="s">
        <v>2398</v>
      </c>
      <c r="N5148" t="s">
        <v>1046</v>
      </c>
      <c r="O5148" t="s">
        <v>31</v>
      </c>
      <c r="P5148" t="str">
        <f>"15147"</f>
        <v>15147</v>
      </c>
    </row>
    <row r="5149" spans="1:16" x14ac:dyDescent="0.25">
      <c r="A5149" t="str">
        <f>"1120124S00097    00"</f>
        <v>1120124S00097    00</v>
      </c>
      <c r="B5149" t="s">
        <v>12137</v>
      </c>
      <c r="C5149" t="s">
        <v>12138</v>
      </c>
      <c r="D5149" t="s">
        <v>20</v>
      </c>
      <c r="E5149" t="s">
        <v>21</v>
      </c>
      <c r="F5149">
        <v>0</v>
      </c>
      <c r="G5149">
        <v>0</v>
      </c>
      <c r="H5149">
        <v>14</v>
      </c>
      <c r="I5149" s="3">
        <v>1127.22</v>
      </c>
      <c r="J5149" s="3">
        <v>1497.39</v>
      </c>
      <c r="L5149">
        <v>7872</v>
      </c>
      <c r="M5149" t="s">
        <v>2398</v>
      </c>
      <c r="N5149" t="s">
        <v>1046</v>
      </c>
      <c r="O5149" t="s">
        <v>31</v>
      </c>
      <c r="P5149" t="str">
        <f>"15147"</f>
        <v>15147</v>
      </c>
    </row>
    <row r="5150" spans="1:16" x14ac:dyDescent="0.25">
      <c r="A5150" t="str">
        <f>"1120124S00098    00"</f>
        <v>1120124S00098    00</v>
      </c>
      <c r="B5150" t="s">
        <v>12137</v>
      </c>
      <c r="C5150" t="s">
        <v>12138</v>
      </c>
      <c r="D5150" t="s">
        <v>20</v>
      </c>
      <c r="E5150" t="s">
        <v>21</v>
      </c>
      <c r="F5150">
        <v>0</v>
      </c>
      <c r="G5150">
        <v>0</v>
      </c>
      <c r="H5150">
        <v>12</v>
      </c>
      <c r="I5150" s="3">
        <v>884.8</v>
      </c>
      <c r="J5150" s="3">
        <v>1222.5</v>
      </c>
      <c r="L5150">
        <v>7872</v>
      </c>
      <c r="M5150" t="s">
        <v>2398</v>
      </c>
      <c r="N5150" t="s">
        <v>1046</v>
      </c>
      <c r="O5150" t="s">
        <v>31</v>
      </c>
      <c r="P5150" t="str">
        <f>"15147"</f>
        <v>15147</v>
      </c>
    </row>
    <row r="5151" spans="1:16" x14ac:dyDescent="0.25">
      <c r="A5151" t="str">
        <f>"1120124S00101    00"</f>
        <v>1120124S00101    00</v>
      </c>
      <c r="B5151" t="s">
        <v>12137</v>
      </c>
      <c r="C5151" t="s">
        <v>12138</v>
      </c>
      <c r="D5151" t="s">
        <v>20</v>
      </c>
      <c r="E5151" t="s">
        <v>21</v>
      </c>
      <c r="F5151">
        <v>0</v>
      </c>
      <c r="G5151">
        <v>0</v>
      </c>
      <c r="H5151">
        <v>15</v>
      </c>
      <c r="I5151" s="3">
        <v>18550.95</v>
      </c>
      <c r="J5151" s="3">
        <v>19776.64</v>
      </c>
      <c r="L5151">
        <v>7872</v>
      </c>
      <c r="M5151" t="s">
        <v>2398</v>
      </c>
      <c r="N5151" t="s">
        <v>1046</v>
      </c>
      <c r="O5151" t="s">
        <v>31</v>
      </c>
      <c r="P5151" t="str">
        <f>"15147"</f>
        <v>15147</v>
      </c>
    </row>
    <row r="5152" spans="1:16" x14ac:dyDescent="0.25">
      <c r="A5152" t="str">
        <f>"1120124S00101    01"</f>
        <v>1120124S00101    01</v>
      </c>
      <c r="B5152" t="s">
        <v>12137</v>
      </c>
      <c r="C5152" t="s">
        <v>12138</v>
      </c>
      <c r="E5152" t="s">
        <v>66</v>
      </c>
      <c r="F5152">
        <v>0</v>
      </c>
      <c r="G5152">
        <v>0</v>
      </c>
      <c r="H5152">
        <v>7</v>
      </c>
      <c r="I5152" s="3">
        <v>17871.23</v>
      </c>
      <c r="J5152" s="3">
        <v>25730.05</v>
      </c>
      <c r="M5152" t="s">
        <v>12139</v>
      </c>
      <c r="N5152" t="s">
        <v>30</v>
      </c>
      <c r="O5152" t="s">
        <v>31</v>
      </c>
      <c r="P5152" t="str">
        <f>"15235"</f>
        <v>15235</v>
      </c>
    </row>
    <row r="5153" spans="1:16" x14ac:dyDescent="0.25">
      <c r="A5153" t="str">
        <f>"1120124S00105    00"</f>
        <v>1120124S00105    00</v>
      </c>
      <c r="B5153" t="s">
        <v>12140</v>
      </c>
      <c r="C5153" t="s">
        <v>12141</v>
      </c>
      <c r="D5153" t="s">
        <v>20</v>
      </c>
      <c r="E5153" t="s">
        <v>21</v>
      </c>
      <c r="F5153">
        <v>0</v>
      </c>
      <c r="G5153">
        <v>0</v>
      </c>
      <c r="H5153">
        <v>16</v>
      </c>
      <c r="I5153" s="3">
        <v>5164.9799999999996</v>
      </c>
      <c r="J5153" s="3">
        <v>4287.21</v>
      </c>
      <c r="K5153" t="s">
        <v>12142</v>
      </c>
      <c r="L5153">
        <v>540</v>
      </c>
      <c r="M5153" t="s">
        <v>12143</v>
      </c>
      <c r="N5153" t="s">
        <v>30</v>
      </c>
      <c r="O5153" t="s">
        <v>31</v>
      </c>
      <c r="P5153" t="str">
        <f>"15235"</f>
        <v>15235</v>
      </c>
    </row>
    <row r="5154" spans="1:16" x14ac:dyDescent="0.25">
      <c r="A5154" t="str">
        <f>"1120124S00106    00"</f>
        <v>1120124S00106    00</v>
      </c>
      <c r="B5154" t="s">
        <v>12140</v>
      </c>
      <c r="C5154" t="s">
        <v>12144</v>
      </c>
      <c r="D5154" t="s">
        <v>20</v>
      </c>
      <c r="E5154" t="s">
        <v>21</v>
      </c>
      <c r="F5154">
        <v>0</v>
      </c>
      <c r="G5154">
        <v>0</v>
      </c>
      <c r="H5154">
        <v>12</v>
      </c>
      <c r="I5154" s="3">
        <v>5681.3</v>
      </c>
      <c r="J5154" s="3">
        <v>3415.08</v>
      </c>
      <c r="K5154" t="s">
        <v>12142</v>
      </c>
      <c r="L5154">
        <v>540</v>
      </c>
      <c r="M5154" t="s">
        <v>12143</v>
      </c>
      <c r="N5154" t="s">
        <v>30</v>
      </c>
      <c r="O5154" t="s">
        <v>31</v>
      </c>
      <c r="P5154" t="str">
        <f>"15235"</f>
        <v>15235</v>
      </c>
    </row>
    <row r="5155" spans="1:16" x14ac:dyDescent="0.25">
      <c r="A5155" t="str">
        <f>"1120124S00113    00"</f>
        <v>1120124S00113    00</v>
      </c>
      <c r="B5155" t="s">
        <v>12145</v>
      </c>
      <c r="C5155" t="s">
        <v>12146</v>
      </c>
      <c r="D5155" t="s">
        <v>20</v>
      </c>
      <c r="E5155" t="s">
        <v>39</v>
      </c>
      <c r="F5155">
        <v>0</v>
      </c>
      <c r="G5155">
        <v>0</v>
      </c>
      <c r="H5155">
        <v>11</v>
      </c>
      <c r="I5155" s="3">
        <v>541.41999999999996</v>
      </c>
      <c r="J5155" s="3">
        <v>247.83</v>
      </c>
      <c r="K5155" t="s">
        <v>12065</v>
      </c>
      <c r="L5155">
        <v>4124</v>
      </c>
      <c r="M5155" t="s">
        <v>841</v>
      </c>
      <c r="N5155" t="s">
        <v>30</v>
      </c>
      <c r="O5155" t="s">
        <v>31</v>
      </c>
      <c r="P5155" t="str">
        <f>"15201"</f>
        <v>15201</v>
      </c>
    </row>
    <row r="5156" spans="1:16" x14ac:dyDescent="0.25">
      <c r="A5156" t="str">
        <f>"1120124S00114    00"</f>
        <v>1120124S00114    00</v>
      </c>
      <c r="B5156" t="s">
        <v>12147</v>
      </c>
      <c r="C5156" t="s">
        <v>12058</v>
      </c>
      <c r="D5156" t="s">
        <v>20</v>
      </c>
      <c r="E5156" t="s">
        <v>39</v>
      </c>
      <c r="F5156">
        <v>0</v>
      </c>
      <c r="G5156">
        <v>0</v>
      </c>
      <c r="H5156">
        <v>17</v>
      </c>
      <c r="I5156" s="3">
        <v>375.33</v>
      </c>
      <c r="J5156" s="3">
        <v>500.9</v>
      </c>
      <c r="L5156">
        <v>6701</v>
      </c>
      <c r="M5156" t="s">
        <v>12069</v>
      </c>
      <c r="N5156" t="s">
        <v>30</v>
      </c>
      <c r="O5156" t="s">
        <v>31</v>
      </c>
      <c r="P5156" t="str">
        <f>"15206"</f>
        <v>15206</v>
      </c>
    </row>
    <row r="5157" spans="1:16" x14ac:dyDescent="0.25">
      <c r="A5157" t="str">
        <f>"1120124S00116    00"</f>
        <v>1120124S00116    00</v>
      </c>
      <c r="B5157" t="s">
        <v>12148</v>
      </c>
      <c r="C5157" t="s">
        <v>12033</v>
      </c>
      <c r="D5157" t="s">
        <v>20</v>
      </c>
      <c r="E5157" t="s">
        <v>39</v>
      </c>
      <c r="F5157">
        <v>0</v>
      </c>
      <c r="G5157">
        <v>0</v>
      </c>
      <c r="H5157">
        <v>19</v>
      </c>
      <c r="I5157" s="3">
        <v>2559.6799999999998</v>
      </c>
      <c r="J5157" s="3">
        <v>3318.91</v>
      </c>
      <c r="L5157">
        <v>5316</v>
      </c>
      <c r="M5157" t="s">
        <v>12149</v>
      </c>
      <c r="N5157" t="s">
        <v>3919</v>
      </c>
      <c r="O5157" t="s">
        <v>370</v>
      </c>
      <c r="P5157" t="str">
        <f>"32254"</f>
        <v>32254</v>
      </c>
    </row>
    <row r="5158" spans="1:16" x14ac:dyDescent="0.25">
      <c r="A5158" t="str">
        <f>"1120124S00117    00"</f>
        <v>1120124S00117    00</v>
      </c>
      <c r="B5158" t="s">
        <v>12150</v>
      </c>
      <c r="C5158" t="s">
        <v>12033</v>
      </c>
      <c r="D5158" t="s">
        <v>20</v>
      </c>
      <c r="E5158" t="s">
        <v>39</v>
      </c>
      <c r="F5158">
        <v>0</v>
      </c>
      <c r="G5158">
        <v>0</v>
      </c>
      <c r="H5158">
        <v>19</v>
      </c>
      <c r="I5158" s="3">
        <v>1358.65</v>
      </c>
      <c r="J5158" s="3">
        <v>1140.0999999999999</v>
      </c>
      <c r="P5158" t="str">
        <f>""</f>
        <v/>
      </c>
    </row>
    <row r="5159" spans="1:16" x14ac:dyDescent="0.25">
      <c r="A5159" t="str">
        <f>"1120124S00125    00"</f>
        <v>1120124S00125    00</v>
      </c>
      <c r="B5159" t="s">
        <v>12151</v>
      </c>
      <c r="C5159" t="s">
        <v>12033</v>
      </c>
      <c r="D5159" t="s">
        <v>20</v>
      </c>
      <c r="E5159" t="s">
        <v>39</v>
      </c>
      <c r="F5159">
        <v>0</v>
      </c>
      <c r="G5159">
        <v>0</v>
      </c>
      <c r="H5159">
        <v>14</v>
      </c>
      <c r="I5159" s="3">
        <v>1070.9100000000001</v>
      </c>
      <c r="J5159" s="3">
        <v>1223.71</v>
      </c>
      <c r="L5159">
        <v>6735</v>
      </c>
      <c r="M5159" t="s">
        <v>12031</v>
      </c>
      <c r="N5159" t="s">
        <v>30</v>
      </c>
      <c r="O5159" t="s">
        <v>31</v>
      </c>
      <c r="P5159" t="str">
        <f>"15206"</f>
        <v>15206</v>
      </c>
    </row>
    <row r="5160" spans="1:16" x14ac:dyDescent="0.25">
      <c r="A5160" t="str">
        <f>"1120124S00127    00"</f>
        <v>1120124S00127    00</v>
      </c>
      <c r="B5160" t="s">
        <v>12152</v>
      </c>
      <c r="C5160" t="s">
        <v>12033</v>
      </c>
      <c r="D5160" t="s">
        <v>20</v>
      </c>
      <c r="E5160" t="s">
        <v>39</v>
      </c>
      <c r="F5160">
        <v>0</v>
      </c>
      <c r="G5160">
        <v>0</v>
      </c>
      <c r="H5160">
        <v>3</v>
      </c>
      <c r="I5160" s="3">
        <v>186.09</v>
      </c>
      <c r="J5160" s="3">
        <v>18.079999999999998</v>
      </c>
      <c r="K5160" t="s">
        <v>12153</v>
      </c>
      <c r="L5160">
        <v>4925</v>
      </c>
      <c r="M5160" t="s">
        <v>12154</v>
      </c>
      <c r="N5160" t="s">
        <v>12155</v>
      </c>
      <c r="O5160" t="s">
        <v>9696</v>
      </c>
      <c r="P5160" t="str">
        <f>"47909"</f>
        <v>47909</v>
      </c>
    </row>
    <row r="5161" spans="1:16" x14ac:dyDescent="0.25">
      <c r="A5161" t="str">
        <f>"1120124S00129    00"</f>
        <v>1120124S00129    00</v>
      </c>
      <c r="B5161" t="s">
        <v>12156</v>
      </c>
      <c r="C5161" t="s">
        <v>12157</v>
      </c>
      <c r="D5161" t="s">
        <v>20</v>
      </c>
      <c r="E5161" t="s">
        <v>39</v>
      </c>
      <c r="F5161">
        <v>0</v>
      </c>
      <c r="G5161">
        <v>0</v>
      </c>
      <c r="H5161">
        <v>2</v>
      </c>
      <c r="I5161" s="3">
        <v>308.8</v>
      </c>
      <c r="J5161" s="3">
        <v>0</v>
      </c>
      <c r="K5161" t="s">
        <v>12158</v>
      </c>
      <c r="L5161">
        <v>4925</v>
      </c>
      <c r="M5161" t="s">
        <v>12159</v>
      </c>
      <c r="N5161" t="s">
        <v>12155</v>
      </c>
      <c r="O5161" t="s">
        <v>9696</v>
      </c>
      <c r="P5161" t="str">
        <f>"47909"</f>
        <v>47909</v>
      </c>
    </row>
    <row r="5162" spans="1:16" x14ac:dyDescent="0.25">
      <c r="A5162" t="str">
        <f>"1120124S00133    00"</f>
        <v>1120124S00133    00</v>
      </c>
      <c r="B5162" t="s">
        <v>12160</v>
      </c>
      <c r="C5162" t="s">
        <v>12161</v>
      </c>
      <c r="D5162" t="s">
        <v>20</v>
      </c>
      <c r="E5162" t="s">
        <v>39</v>
      </c>
      <c r="F5162">
        <v>0</v>
      </c>
      <c r="G5162">
        <v>0</v>
      </c>
      <c r="H5162">
        <v>11</v>
      </c>
      <c r="I5162" s="3">
        <v>4061.92</v>
      </c>
      <c r="J5162" s="3">
        <v>5494.14</v>
      </c>
      <c r="L5162">
        <v>6830</v>
      </c>
      <c r="M5162" t="s">
        <v>12069</v>
      </c>
      <c r="N5162" t="s">
        <v>30</v>
      </c>
      <c r="O5162" t="s">
        <v>31</v>
      </c>
      <c r="P5162" t="str">
        <f>"15206"</f>
        <v>15206</v>
      </c>
    </row>
    <row r="5163" spans="1:16" x14ac:dyDescent="0.25">
      <c r="A5163" t="str">
        <f>"1120124S00135    00"</f>
        <v>1120124S00135    00</v>
      </c>
      <c r="B5163" t="s">
        <v>12162</v>
      </c>
      <c r="C5163" t="s">
        <v>12163</v>
      </c>
      <c r="D5163" t="s">
        <v>20</v>
      </c>
      <c r="E5163" t="s">
        <v>39</v>
      </c>
      <c r="F5163">
        <v>0</v>
      </c>
      <c r="G5163">
        <v>0</v>
      </c>
      <c r="H5163">
        <v>3</v>
      </c>
      <c r="I5163" s="3">
        <v>694.94</v>
      </c>
      <c r="J5163" s="3">
        <v>43.72</v>
      </c>
      <c r="L5163">
        <v>6828</v>
      </c>
      <c r="M5163" t="s">
        <v>12069</v>
      </c>
      <c r="N5163" t="s">
        <v>30</v>
      </c>
      <c r="O5163" t="s">
        <v>31</v>
      </c>
      <c r="P5163" t="str">
        <f>"15206"</f>
        <v>15206</v>
      </c>
    </row>
    <row r="5164" spans="1:16" x14ac:dyDescent="0.25">
      <c r="A5164" t="str">
        <f>"1120124S00137    00"</f>
        <v>1120124S00137    00</v>
      </c>
      <c r="B5164" t="s">
        <v>12164</v>
      </c>
      <c r="C5164" t="s">
        <v>12165</v>
      </c>
      <c r="D5164" t="s">
        <v>20</v>
      </c>
      <c r="E5164" t="s">
        <v>39</v>
      </c>
      <c r="F5164">
        <v>0</v>
      </c>
      <c r="G5164">
        <v>0</v>
      </c>
      <c r="H5164">
        <v>1</v>
      </c>
      <c r="I5164" s="3">
        <v>175.35</v>
      </c>
      <c r="J5164" s="3">
        <v>0</v>
      </c>
      <c r="L5164">
        <v>130</v>
      </c>
      <c r="M5164" t="s">
        <v>12166</v>
      </c>
      <c r="N5164" t="s">
        <v>30</v>
      </c>
      <c r="O5164" t="s">
        <v>31</v>
      </c>
      <c r="P5164" t="str">
        <f>"15235"</f>
        <v>15235</v>
      </c>
    </row>
    <row r="5165" spans="1:16" x14ac:dyDescent="0.25">
      <c r="A5165" t="str">
        <f>"1120124S00141    00"</f>
        <v>1120124S00141    00</v>
      </c>
      <c r="B5165" t="s">
        <v>12167</v>
      </c>
      <c r="C5165" t="s">
        <v>12168</v>
      </c>
      <c r="D5165" t="s">
        <v>20</v>
      </c>
      <c r="E5165" t="s">
        <v>39</v>
      </c>
      <c r="F5165">
        <v>0</v>
      </c>
      <c r="G5165">
        <v>0</v>
      </c>
      <c r="H5165">
        <v>2</v>
      </c>
      <c r="I5165" s="3">
        <v>1158.8399999999999</v>
      </c>
      <c r="J5165" s="3">
        <v>0</v>
      </c>
      <c r="K5165" t="s">
        <v>12169</v>
      </c>
      <c r="L5165">
        <v>2328</v>
      </c>
      <c r="M5165" t="s">
        <v>12170</v>
      </c>
      <c r="N5165" t="s">
        <v>30</v>
      </c>
      <c r="O5165" t="s">
        <v>31</v>
      </c>
      <c r="P5165" t="str">
        <f>"15214"</f>
        <v>15214</v>
      </c>
    </row>
    <row r="5166" spans="1:16" x14ac:dyDescent="0.25">
      <c r="A5166" t="str">
        <f>"1120124S00143    00"</f>
        <v>1120124S00143    00</v>
      </c>
      <c r="B5166" t="s">
        <v>12171</v>
      </c>
      <c r="C5166" t="s">
        <v>12172</v>
      </c>
      <c r="D5166" t="s">
        <v>20</v>
      </c>
      <c r="E5166" t="s">
        <v>39</v>
      </c>
      <c r="F5166">
        <v>0</v>
      </c>
      <c r="G5166">
        <v>0</v>
      </c>
      <c r="H5166">
        <v>11</v>
      </c>
      <c r="I5166" s="3">
        <v>8814.35</v>
      </c>
      <c r="J5166" s="3">
        <v>3991.81</v>
      </c>
      <c r="L5166">
        <v>10400</v>
      </c>
      <c r="M5166" t="s">
        <v>12173</v>
      </c>
      <c r="N5166" t="s">
        <v>30</v>
      </c>
      <c r="O5166" t="s">
        <v>31</v>
      </c>
      <c r="P5166" t="str">
        <f>"15235"</f>
        <v>15235</v>
      </c>
    </row>
    <row r="5167" spans="1:16" x14ac:dyDescent="0.25">
      <c r="A5167" t="str">
        <f>"1120124S00153    00"</f>
        <v>1120124S00153    00</v>
      </c>
      <c r="B5167" t="s">
        <v>12174</v>
      </c>
      <c r="C5167" t="s">
        <v>12175</v>
      </c>
      <c r="D5167" t="s">
        <v>20</v>
      </c>
      <c r="E5167" t="s">
        <v>39</v>
      </c>
      <c r="F5167">
        <v>0</v>
      </c>
      <c r="G5167">
        <v>0</v>
      </c>
      <c r="H5167">
        <v>13</v>
      </c>
      <c r="I5167" s="3">
        <v>2564.29</v>
      </c>
      <c r="J5167" s="3">
        <v>2190.35</v>
      </c>
      <c r="L5167">
        <v>820</v>
      </c>
      <c r="M5167" t="s">
        <v>2789</v>
      </c>
      <c r="N5167" t="s">
        <v>30</v>
      </c>
      <c r="O5167" t="s">
        <v>31</v>
      </c>
      <c r="P5167" t="str">
        <f t="shared" ref="P5167:P5172" si="67">"15206"</f>
        <v>15206</v>
      </c>
    </row>
    <row r="5168" spans="1:16" x14ac:dyDescent="0.25">
      <c r="A5168" t="str">
        <f>"1120124S00165    00"</f>
        <v>1120124S00165    00</v>
      </c>
      <c r="B5168" t="s">
        <v>12176</v>
      </c>
      <c r="C5168" t="s">
        <v>12058</v>
      </c>
      <c r="E5168" t="s">
        <v>39</v>
      </c>
      <c r="F5168">
        <v>0</v>
      </c>
      <c r="G5168">
        <v>0</v>
      </c>
      <c r="H5168">
        <v>3</v>
      </c>
      <c r="I5168" s="3">
        <v>62.06</v>
      </c>
      <c r="J5168" s="3">
        <v>10.220000000000001</v>
      </c>
      <c r="L5168">
        <v>6825</v>
      </c>
      <c r="M5168" t="s">
        <v>12177</v>
      </c>
      <c r="N5168" t="s">
        <v>30</v>
      </c>
      <c r="O5168" t="s">
        <v>31</v>
      </c>
      <c r="P5168" t="str">
        <f t="shared" si="67"/>
        <v>15206</v>
      </c>
    </row>
    <row r="5169" spans="1:16" x14ac:dyDescent="0.25">
      <c r="A5169" t="str">
        <f>"1120124S00166    00"</f>
        <v>1120124S00166    00</v>
      </c>
      <c r="B5169" t="s">
        <v>12176</v>
      </c>
      <c r="C5169" t="s">
        <v>12178</v>
      </c>
      <c r="E5169" t="s">
        <v>39</v>
      </c>
      <c r="F5169">
        <v>0</v>
      </c>
      <c r="G5169">
        <v>0</v>
      </c>
      <c r="H5169">
        <v>2</v>
      </c>
      <c r="I5169" s="3">
        <v>625.22</v>
      </c>
      <c r="J5169" s="3">
        <v>62.52</v>
      </c>
      <c r="L5169">
        <v>6825</v>
      </c>
      <c r="M5169" t="s">
        <v>12177</v>
      </c>
      <c r="N5169" t="s">
        <v>30</v>
      </c>
      <c r="O5169" t="s">
        <v>31</v>
      </c>
      <c r="P5169" t="str">
        <f t="shared" si="67"/>
        <v>15206</v>
      </c>
    </row>
    <row r="5170" spans="1:16" x14ac:dyDescent="0.25">
      <c r="A5170" t="str">
        <f>"1120124S00167    00"</f>
        <v>1120124S00167    00</v>
      </c>
      <c r="B5170" t="s">
        <v>12179</v>
      </c>
      <c r="C5170" t="s">
        <v>12180</v>
      </c>
      <c r="E5170" t="s">
        <v>39</v>
      </c>
      <c r="F5170">
        <v>0</v>
      </c>
      <c r="G5170">
        <v>0</v>
      </c>
      <c r="H5170">
        <v>4</v>
      </c>
      <c r="I5170" s="3">
        <v>428.51</v>
      </c>
      <c r="J5170" s="3">
        <v>564.89</v>
      </c>
      <c r="L5170">
        <v>6827</v>
      </c>
      <c r="M5170" t="s">
        <v>12069</v>
      </c>
      <c r="N5170" t="s">
        <v>30</v>
      </c>
      <c r="O5170" t="s">
        <v>31</v>
      </c>
      <c r="P5170" t="str">
        <f t="shared" si="67"/>
        <v>15206</v>
      </c>
    </row>
    <row r="5171" spans="1:16" x14ac:dyDescent="0.25">
      <c r="A5171" t="str">
        <f>"1120124S00183    00"</f>
        <v>1120124S00183    00</v>
      </c>
      <c r="B5171" t="s">
        <v>12181</v>
      </c>
      <c r="C5171" t="s">
        <v>12182</v>
      </c>
      <c r="D5171" t="s">
        <v>20</v>
      </c>
      <c r="E5171" t="s">
        <v>39</v>
      </c>
      <c r="F5171">
        <v>0</v>
      </c>
      <c r="G5171">
        <v>0</v>
      </c>
      <c r="H5171">
        <v>3</v>
      </c>
      <c r="I5171" s="3">
        <v>751.75</v>
      </c>
      <c r="J5171" s="3">
        <v>53.15</v>
      </c>
      <c r="K5171" t="s">
        <v>12183</v>
      </c>
      <c r="L5171">
        <v>915</v>
      </c>
      <c r="M5171" t="s">
        <v>12184</v>
      </c>
      <c r="N5171" t="s">
        <v>30</v>
      </c>
      <c r="O5171" t="s">
        <v>31</v>
      </c>
      <c r="P5171" t="str">
        <f t="shared" si="67"/>
        <v>15206</v>
      </c>
    </row>
    <row r="5172" spans="1:16" x14ac:dyDescent="0.25">
      <c r="A5172" t="str">
        <f>"1120124S00188    00"</f>
        <v>1120124S00188    00</v>
      </c>
      <c r="B5172" t="s">
        <v>12185</v>
      </c>
      <c r="C5172" t="s">
        <v>12186</v>
      </c>
      <c r="D5172" t="s">
        <v>20</v>
      </c>
      <c r="E5172" t="s">
        <v>39</v>
      </c>
      <c r="F5172">
        <v>0</v>
      </c>
      <c r="G5172">
        <v>0</v>
      </c>
      <c r="H5172">
        <v>11</v>
      </c>
      <c r="I5172" s="3">
        <v>2226.8000000000002</v>
      </c>
      <c r="J5172" s="3">
        <v>1245.3900000000001</v>
      </c>
      <c r="L5172">
        <v>900</v>
      </c>
      <c r="M5172" t="s">
        <v>12184</v>
      </c>
      <c r="N5172" t="s">
        <v>30</v>
      </c>
      <c r="O5172" t="s">
        <v>31</v>
      </c>
      <c r="P5172" t="str">
        <f t="shared" si="67"/>
        <v>15206</v>
      </c>
    </row>
    <row r="5173" spans="1:16" x14ac:dyDescent="0.25">
      <c r="A5173" t="str">
        <f>"1120124S00207    00"</f>
        <v>1120124S00207    00</v>
      </c>
      <c r="B5173" t="s">
        <v>12187</v>
      </c>
      <c r="C5173" t="s">
        <v>12188</v>
      </c>
      <c r="D5173" t="s">
        <v>20</v>
      </c>
      <c r="E5173" t="s">
        <v>21</v>
      </c>
      <c r="F5173">
        <v>0</v>
      </c>
      <c r="G5173">
        <v>0</v>
      </c>
      <c r="H5173">
        <v>8</v>
      </c>
      <c r="I5173" s="3">
        <v>1129.76</v>
      </c>
      <c r="J5173" s="3">
        <v>369.66</v>
      </c>
      <c r="M5173" t="s">
        <v>12189</v>
      </c>
      <c r="N5173" t="s">
        <v>30</v>
      </c>
      <c r="O5173" t="s">
        <v>31</v>
      </c>
      <c r="P5173" t="str">
        <f>"15217"</f>
        <v>15217</v>
      </c>
    </row>
    <row r="5174" spans="1:16" x14ac:dyDescent="0.25">
      <c r="A5174" t="str">
        <f>"1120124S00210    00"</f>
        <v>1120124S00210    00</v>
      </c>
      <c r="B5174" t="s">
        <v>12187</v>
      </c>
      <c r="C5174" t="s">
        <v>12188</v>
      </c>
      <c r="D5174" t="s">
        <v>20</v>
      </c>
      <c r="E5174" t="s">
        <v>21</v>
      </c>
      <c r="F5174">
        <v>0</v>
      </c>
      <c r="G5174">
        <v>0</v>
      </c>
      <c r="H5174">
        <v>8</v>
      </c>
      <c r="I5174" s="3">
        <v>936.57</v>
      </c>
      <c r="J5174" s="3">
        <v>306.45999999999998</v>
      </c>
      <c r="M5174" t="s">
        <v>12189</v>
      </c>
      <c r="N5174" t="s">
        <v>30</v>
      </c>
      <c r="O5174" t="s">
        <v>31</v>
      </c>
      <c r="P5174" t="str">
        <f>"15217"</f>
        <v>15217</v>
      </c>
    </row>
    <row r="5175" spans="1:16" x14ac:dyDescent="0.25">
      <c r="A5175" t="str">
        <f>"1120124S00233    00"</f>
        <v>1120124S00233    00</v>
      </c>
      <c r="B5175" t="s">
        <v>12190</v>
      </c>
      <c r="C5175" t="s">
        <v>12191</v>
      </c>
      <c r="E5175" t="s">
        <v>39</v>
      </c>
      <c r="F5175">
        <v>0</v>
      </c>
      <c r="G5175">
        <v>0</v>
      </c>
      <c r="H5175">
        <v>1</v>
      </c>
      <c r="I5175" s="3">
        <v>175.31</v>
      </c>
      <c r="J5175" s="3">
        <v>70.12</v>
      </c>
      <c r="L5175">
        <v>6932</v>
      </c>
      <c r="M5175" t="s">
        <v>12192</v>
      </c>
      <c r="N5175" t="s">
        <v>30</v>
      </c>
      <c r="O5175" t="s">
        <v>31</v>
      </c>
      <c r="P5175" t="str">
        <f>"15208"</f>
        <v>15208</v>
      </c>
    </row>
    <row r="5176" spans="1:16" x14ac:dyDescent="0.25">
      <c r="A5176" t="str">
        <f>"1120124S00250    00"</f>
        <v>1120124S00250    00</v>
      </c>
      <c r="B5176" t="s">
        <v>11858</v>
      </c>
      <c r="C5176" t="s">
        <v>12193</v>
      </c>
      <c r="D5176" t="s">
        <v>20</v>
      </c>
      <c r="E5176" t="s">
        <v>39</v>
      </c>
      <c r="F5176">
        <v>0</v>
      </c>
      <c r="G5176">
        <v>0</v>
      </c>
      <c r="H5176">
        <v>1</v>
      </c>
      <c r="I5176" s="3">
        <v>686.16</v>
      </c>
      <c r="J5176" s="3">
        <v>0</v>
      </c>
      <c r="K5176" t="s">
        <v>11860</v>
      </c>
      <c r="L5176">
        <v>46</v>
      </c>
      <c r="M5176" t="s">
        <v>913</v>
      </c>
      <c r="N5176" t="s">
        <v>914</v>
      </c>
      <c r="O5176" t="s">
        <v>200</v>
      </c>
      <c r="P5176" t="str">
        <f>"10952"</f>
        <v>10952</v>
      </c>
    </row>
    <row r="5177" spans="1:16" x14ac:dyDescent="0.25">
      <c r="A5177" t="str">
        <f>"1120124S00253    00"</f>
        <v>1120124S00253    00</v>
      </c>
      <c r="B5177" t="s">
        <v>12194</v>
      </c>
      <c r="C5177" t="s">
        <v>12195</v>
      </c>
      <c r="E5177" t="s">
        <v>39</v>
      </c>
      <c r="F5177">
        <v>0</v>
      </c>
      <c r="G5177">
        <v>0</v>
      </c>
      <c r="H5177">
        <v>2</v>
      </c>
      <c r="I5177" s="3">
        <v>12.36</v>
      </c>
      <c r="J5177" s="3">
        <v>1.24</v>
      </c>
      <c r="L5177">
        <v>6957</v>
      </c>
      <c r="M5177" t="s">
        <v>12192</v>
      </c>
      <c r="N5177" t="s">
        <v>30</v>
      </c>
      <c r="O5177" t="s">
        <v>31</v>
      </c>
      <c r="P5177" t="str">
        <f>"15208"</f>
        <v>15208</v>
      </c>
    </row>
    <row r="5178" spans="1:16" x14ac:dyDescent="0.25">
      <c r="A5178" t="str">
        <f>"1120124S00263    00"</f>
        <v>1120124S00263    00</v>
      </c>
      <c r="B5178" t="s">
        <v>12196</v>
      </c>
      <c r="C5178" t="s">
        <v>12197</v>
      </c>
      <c r="D5178" t="s">
        <v>20</v>
      </c>
      <c r="E5178" t="s">
        <v>39</v>
      </c>
      <c r="F5178">
        <v>0</v>
      </c>
      <c r="G5178">
        <v>0</v>
      </c>
      <c r="H5178">
        <v>19</v>
      </c>
      <c r="I5178" s="3">
        <v>5126.63</v>
      </c>
      <c r="J5178" s="3">
        <v>5590.86</v>
      </c>
      <c r="L5178">
        <v>232</v>
      </c>
      <c r="M5178" t="s">
        <v>12198</v>
      </c>
      <c r="N5178" t="s">
        <v>30</v>
      </c>
      <c r="O5178" t="s">
        <v>31</v>
      </c>
      <c r="P5178" t="str">
        <f>"15210"</f>
        <v>15210</v>
      </c>
    </row>
    <row r="5179" spans="1:16" x14ac:dyDescent="0.25">
      <c r="A5179" t="str">
        <f>"1120124S00267    00"</f>
        <v>1120124S00267    00</v>
      </c>
      <c r="B5179" t="s">
        <v>12199</v>
      </c>
      <c r="C5179" t="s">
        <v>12200</v>
      </c>
      <c r="E5179" t="s">
        <v>39</v>
      </c>
      <c r="F5179">
        <v>0</v>
      </c>
      <c r="G5179">
        <v>0</v>
      </c>
      <c r="H5179">
        <v>1</v>
      </c>
      <c r="I5179" s="3">
        <v>46.69</v>
      </c>
      <c r="J5179" s="3">
        <v>48.69</v>
      </c>
      <c r="L5179">
        <v>6933</v>
      </c>
      <c r="M5179" t="s">
        <v>12201</v>
      </c>
      <c r="N5179" t="s">
        <v>30</v>
      </c>
      <c r="O5179" t="s">
        <v>31</v>
      </c>
      <c r="P5179" t="str">
        <f>"15208"</f>
        <v>15208</v>
      </c>
    </row>
    <row r="5180" spans="1:16" x14ac:dyDescent="0.25">
      <c r="A5180" t="str">
        <f>"1120124S00274    00"</f>
        <v>1120124S00274    00</v>
      </c>
      <c r="B5180" t="s">
        <v>12187</v>
      </c>
      <c r="C5180" t="s">
        <v>12188</v>
      </c>
      <c r="D5180" t="s">
        <v>20</v>
      </c>
      <c r="E5180" t="s">
        <v>21</v>
      </c>
      <c r="F5180">
        <v>0</v>
      </c>
      <c r="G5180">
        <v>0</v>
      </c>
      <c r="H5180">
        <v>8</v>
      </c>
      <c r="I5180" s="3">
        <v>237.06</v>
      </c>
      <c r="J5180" s="3">
        <v>78.349999999999994</v>
      </c>
      <c r="M5180" t="s">
        <v>12189</v>
      </c>
      <c r="N5180" t="s">
        <v>30</v>
      </c>
      <c r="O5180" t="s">
        <v>31</v>
      </c>
      <c r="P5180" t="str">
        <f>"15217"</f>
        <v>15217</v>
      </c>
    </row>
    <row r="5181" spans="1:16" x14ac:dyDescent="0.25">
      <c r="A5181" t="str">
        <f>"1120124S00281    00"</f>
        <v>1120124S00281    00</v>
      </c>
      <c r="B5181" t="s">
        <v>12202</v>
      </c>
      <c r="C5181" t="s">
        <v>12188</v>
      </c>
      <c r="D5181" t="s">
        <v>20</v>
      </c>
      <c r="E5181" t="s">
        <v>39</v>
      </c>
      <c r="F5181">
        <v>0</v>
      </c>
      <c r="G5181">
        <v>0</v>
      </c>
      <c r="H5181">
        <v>17</v>
      </c>
      <c r="I5181" s="3">
        <v>4739.47</v>
      </c>
      <c r="J5181" s="3">
        <v>6988.55</v>
      </c>
      <c r="L5181">
        <v>7812</v>
      </c>
      <c r="M5181" t="s">
        <v>12203</v>
      </c>
      <c r="N5181" t="s">
        <v>30</v>
      </c>
      <c r="O5181" t="s">
        <v>31</v>
      </c>
      <c r="P5181" t="str">
        <f>"15208"</f>
        <v>15208</v>
      </c>
    </row>
    <row r="5182" spans="1:16" x14ac:dyDescent="0.25">
      <c r="A5182" t="str">
        <f>"1120124S00283    00"</f>
        <v>1120124S00283    00</v>
      </c>
      <c r="B5182" t="s">
        <v>12204</v>
      </c>
      <c r="C5182" t="s">
        <v>12205</v>
      </c>
      <c r="D5182" t="s">
        <v>20</v>
      </c>
      <c r="E5182" t="s">
        <v>39</v>
      </c>
      <c r="F5182">
        <v>0</v>
      </c>
      <c r="G5182">
        <v>0</v>
      </c>
      <c r="H5182">
        <v>13</v>
      </c>
      <c r="I5182" s="3">
        <v>8047.69</v>
      </c>
      <c r="J5182" s="3">
        <v>4827.28</v>
      </c>
      <c r="K5182" t="s">
        <v>12206</v>
      </c>
      <c r="L5182">
        <v>6956</v>
      </c>
      <c r="M5182" t="s">
        <v>12207</v>
      </c>
      <c r="N5182" t="s">
        <v>30</v>
      </c>
      <c r="O5182" t="s">
        <v>31</v>
      </c>
      <c r="P5182" t="str">
        <f>"15208"</f>
        <v>15208</v>
      </c>
    </row>
    <row r="5183" spans="1:16" x14ac:dyDescent="0.25">
      <c r="A5183" t="str">
        <f>"1120124S00301    00"</f>
        <v>1120124S00301    00</v>
      </c>
      <c r="B5183" t="s">
        <v>12208</v>
      </c>
      <c r="C5183" t="s">
        <v>12188</v>
      </c>
      <c r="D5183" t="s">
        <v>20</v>
      </c>
      <c r="E5183" t="s">
        <v>39</v>
      </c>
      <c r="F5183">
        <v>0</v>
      </c>
      <c r="G5183">
        <v>0</v>
      </c>
      <c r="H5183">
        <v>17</v>
      </c>
      <c r="I5183" s="3">
        <v>313.60000000000002</v>
      </c>
      <c r="J5183" s="3">
        <v>369.72</v>
      </c>
      <c r="L5183">
        <v>645</v>
      </c>
      <c r="M5183" t="s">
        <v>12209</v>
      </c>
      <c r="N5183" t="s">
        <v>30</v>
      </c>
      <c r="O5183" t="s">
        <v>31</v>
      </c>
      <c r="P5183" t="str">
        <f>"15206"</f>
        <v>15206</v>
      </c>
    </row>
    <row r="5184" spans="1:16" x14ac:dyDescent="0.25">
      <c r="A5184" t="str">
        <f>"1120124S00306    00"</f>
        <v>1120124S00306    00</v>
      </c>
      <c r="B5184" t="s">
        <v>12187</v>
      </c>
      <c r="C5184" t="s">
        <v>12188</v>
      </c>
      <c r="D5184" t="s">
        <v>20</v>
      </c>
      <c r="E5184" t="s">
        <v>39</v>
      </c>
      <c r="F5184">
        <v>0</v>
      </c>
      <c r="G5184">
        <v>0</v>
      </c>
      <c r="H5184">
        <v>4</v>
      </c>
      <c r="I5184" s="3">
        <v>90.52</v>
      </c>
      <c r="J5184" s="3">
        <v>11.14</v>
      </c>
      <c r="M5184" t="s">
        <v>12189</v>
      </c>
      <c r="N5184" t="s">
        <v>30</v>
      </c>
      <c r="O5184" t="s">
        <v>31</v>
      </c>
      <c r="P5184" t="str">
        <f>"15217"</f>
        <v>15217</v>
      </c>
    </row>
    <row r="5185" spans="1:16" x14ac:dyDescent="0.25">
      <c r="A5185" t="str">
        <f>"1120124S00326    00"</f>
        <v>1120124S00326    00</v>
      </c>
      <c r="B5185" t="s">
        <v>12210</v>
      </c>
      <c r="C5185" t="s">
        <v>12211</v>
      </c>
      <c r="E5185" t="s">
        <v>21</v>
      </c>
      <c r="F5185">
        <v>0</v>
      </c>
      <c r="G5185">
        <v>0</v>
      </c>
      <c r="H5185">
        <v>18</v>
      </c>
      <c r="I5185" s="3">
        <v>1063.93</v>
      </c>
      <c r="J5185" s="3">
        <v>1058.77</v>
      </c>
      <c r="L5185">
        <v>1418</v>
      </c>
      <c r="M5185" t="s">
        <v>12212</v>
      </c>
      <c r="N5185" t="s">
        <v>30</v>
      </c>
      <c r="O5185" t="s">
        <v>31</v>
      </c>
      <c r="P5185" t="str">
        <f>"15212"</f>
        <v>15212</v>
      </c>
    </row>
    <row r="5186" spans="1:16" x14ac:dyDescent="0.25">
      <c r="A5186" t="str">
        <f>"1120124S00328    00"</f>
        <v>1120124S00328    00</v>
      </c>
      <c r="B5186" t="s">
        <v>12210</v>
      </c>
      <c r="C5186" t="s">
        <v>12211</v>
      </c>
      <c r="E5186" t="s">
        <v>21</v>
      </c>
      <c r="F5186">
        <v>0</v>
      </c>
      <c r="G5186">
        <v>0</v>
      </c>
      <c r="H5186">
        <v>15</v>
      </c>
      <c r="I5186" s="3">
        <v>1051.52</v>
      </c>
      <c r="J5186" s="3">
        <v>1221.5</v>
      </c>
      <c r="L5186">
        <v>1418</v>
      </c>
      <c r="M5186" t="s">
        <v>12212</v>
      </c>
      <c r="N5186" t="s">
        <v>30</v>
      </c>
      <c r="O5186" t="s">
        <v>31</v>
      </c>
      <c r="P5186" t="str">
        <f>"15212"</f>
        <v>15212</v>
      </c>
    </row>
    <row r="5187" spans="1:16" x14ac:dyDescent="0.25">
      <c r="A5187" t="str">
        <f>"1120124S00329    00"</f>
        <v>1120124S00329    00</v>
      </c>
      <c r="B5187" t="s">
        <v>12210</v>
      </c>
      <c r="C5187" t="s">
        <v>12211</v>
      </c>
      <c r="E5187" t="s">
        <v>21</v>
      </c>
      <c r="F5187">
        <v>0</v>
      </c>
      <c r="G5187">
        <v>0</v>
      </c>
      <c r="H5187">
        <v>6</v>
      </c>
      <c r="I5187" s="3">
        <v>2844.78</v>
      </c>
      <c r="J5187" s="3">
        <v>943.36</v>
      </c>
      <c r="L5187">
        <v>1418</v>
      </c>
      <c r="M5187" t="s">
        <v>12212</v>
      </c>
      <c r="N5187" t="s">
        <v>30</v>
      </c>
      <c r="O5187" t="s">
        <v>31</v>
      </c>
      <c r="P5187" t="str">
        <f>"15212"</f>
        <v>15212</v>
      </c>
    </row>
    <row r="5188" spans="1:16" x14ac:dyDescent="0.25">
      <c r="A5188" t="str">
        <f>"1120124S00333    00"</f>
        <v>1120124S00333    00</v>
      </c>
      <c r="B5188" t="s">
        <v>12213</v>
      </c>
      <c r="C5188" t="s">
        <v>12038</v>
      </c>
      <c r="D5188" t="s">
        <v>20</v>
      </c>
      <c r="E5188" t="s">
        <v>39</v>
      </c>
      <c r="F5188">
        <v>0</v>
      </c>
      <c r="G5188">
        <v>0</v>
      </c>
      <c r="H5188">
        <v>17</v>
      </c>
      <c r="I5188" s="3">
        <v>313.60000000000002</v>
      </c>
      <c r="J5188" s="3">
        <v>369.72</v>
      </c>
      <c r="L5188">
        <v>7850</v>
      </c>
      <c r="M5188" t="s">
        <v>12214</v>
      </c>
      <c r="N5188" t="s">
        <v>1046</v>
      </c>
      <c r="O5188" t="s">
        <v>31</v>
      </c>
      <c r="P5188" t="str">
        <f>"15147"</f>
        <v>15147</v>
      </c>
    </row>
    <row r="5189" spans="1:16" x14ac:dyDescent="0.25">
      <c r="A5189" t="str">
        <f>"1120124S00334    00"</f>
        <v>1120124S00334    00</v>
      </c>
      <c r="B5189" t="s">
        <v>12215</v>
      </c>
      <c r="C5189" t="s">
        <v>12038</v>
      </c>
      <c r="D5189" t="s">
        <v>20</v>
      </c>
      <c r="E5189" t="s">
        <v>39</v>
      </c>
      <c r="F5189">
        <v>0</v>
      </c>
      <c r="G5189">
        <v>0</v>
      </c>
      <c r="H5189">
        <v>19</v>
      </c>
      <c r="I5189" s="3">
        <v>4209.38</v>
      </c>
      <c r="J5189" s="3">
        <v>5577.29</v>
      </c>
      <c r="L5189">
        <v>1018</v>
      </c>
      <c r="M5189" t="s">
        <v>2789</v>
      </c>
      <c r="N5189" t="s">
        <v>30</v>
      </c>
      <c r="O5189" t="s">
        <v>31</v>
      </c>
      <c r="P5189" t="str">
        <f>"15206"</f>
        <v>15206</v>
      </c>
    </row>
    <row r="5190" spans="1:16" x14ac:dyDescent="0.25">
      <c r="A5190" t="str">
        <f>"1120124S00345    00"</f>
        <v>1120124S00345    00</v>
      </c>
      <c r="B5190" t="s">
        <v>12216</v>
      </c>
      <c r="C5190" t="s">
        <v>12217</v>
      </c>
      <c r="D5190" t="s">
        <v>20</v>
      </c>
      <c r="E5190" t="s">
        <v>39</v>
      </c>
      <c r="F5190">
        <v>0</v>
      </c>
      <c r="G5190">
        <v>0</v>
      </c>
      <c r="H5190">
        <v>2</v>
      </c>
      <c r="I5190" s="3">
        <v>961.53</v>
      </c>
      <c r="J5190" s="3">
        <v>0</v>
      </c>
      <c r="L5190">
        <v>1422</v>
      </c>
      <c r="M5190" t="s">
        <v>12218</v>
      </c>
      <c r="N5190" t="s">
        <v>30</v>
      </c>
      <c r="O5190" t="s">
        <v>31</v>
      </c>
      <c r="P5190" t="str">
        <f>"15221"</f>
        <v>15221</v>
      </c>
    </row>
    <row r="5191" spans="1:16" x14ac:dyDescent="0.25">
      <c r="A5191" t="str">
        <f>"1120124S00350    00"</f>
        <v>1120124S00350    00</v>
      </c>
      <c r="B5191" t="s">
        <v>12219</v>
      </c>
      <c r="C5191" t="s">
        <v>12220</v>
      </c>
      <c r="D5191" t="s">
        <v>20</v>
      </c>
      <c r="E5191" t="s">
        <v>39</v>
      </c>
      <c r="F5191">
        <v>0</v>
      </c>
      <c r="G5191">
        <v>0</v>
      </c>
      <c r="H5191">
        <v>16</v>
      </c>
      <c r="I5191" s="3">
        <v>4668.47</v>
      </c>
      <c r="J5191" s="3">
        <v>4663.1899999999996</v>
      </c>
      <c r="L5191">
        <v>6918</v>
      </c>
      <c r="M5191" t="s">
        <v>12221</v>
      </c>
      <c r="N5191" t="s">
        <v>30</v>
      </c>
      <c r="O5191" t="s">
        <v>31</v>
      </c>
      <c r="P5191" t="str">
        <f>"15208"</f>
        <v>15208</v>
      </c>
    </row>
    <row r="5192" spans="1:16" x14ac:dyDescent="0.25">
      <c r="A5192" t="str">
        <f>"1120124S00357    00"</f>
        <v>1120124S00357    00</v>
      </c>
      <c r="B5192" t="s">
        <v>12222</v>
      </c>
      <c r="C5192" t="s">
        <v>12223</v>
      </c>
      <c r="D5192" t="s">
        <v>20</v>
      </c>
      <c r="E5192" t="s">
        <v>39</v>
      </c>
      <c r="F5192">
        <v>0</v>
      </c>
      <c r="G5192">
        <v>0</v>
      </c>
      <c r="H5192">
        <v>15</v>
      </c>
      <c r="I5192" s="3">
        <v>8527.77</v>
      </c>
      <c r="J5192" s="3">
        <v>11012.55</v>
      </c>
      <c r="L5192">
        <v>21</v>
      </c>
      <c r="M5192" t="s">
        <v>12224</v>
      </c>
      <c r="N5192" t="s">
        <v>12225</v>
      </c>
      <c r="O5192" t="s">
        <v>423</v>
      </c>
      <c r="P5192" t="str">
        <f>"07643"</f>
        <v>07643</v>
      </c>
    </row>
    <row r="5193" spans="1:16" x14ac:dyDescent="0.25">
      <c r="A5193" t="str">
        <f>"1120124S00362    00"</f>
        <v>1120124S00362    00</v>
      </c>
      <c r="B5193" t="s">
        <v>12226</v>
      </c>
      <c r="C5193" t="s">
        <v>12038</v>
      </c>
      <c r="D5193" t="s">
        <v>20</v>
      </c>
      <c r="E5193" t="s">
        <v>39</v>
      </c>
      <c r="F5193">
        <v>0</v>
      </c>
      <c r="G5193">
        <v>0</v>
      </c>
      <c r="H5193">
        <v>18</v>
      </c>
      <c r="I5193" s="3">
        <v>447.89</v>
      </c>
      <c r="J5193" s="3">
        <v>465.91</v>
      </c>
      <c r="L5193">
        <v>2407</v>
      </c>
      <c r="M5193" t="s">
        <v>12227</v>
      </c>
      <c r="N5193" t="s">
        <v>11414</v>
      </c>
      <c r="O5193" t="s">
        <v>495</v>
      </c>
      <c r="P5193" t="str">
        <f>"95124"</f>
        <v>95124</v>
      </c>
    </row>
    <row r="5194" spans="1:16" x14ac:dyDescent="0.25">
      <c r="A5194" t="str">
        <f>"1120124S00365    00"</f>
        <v>1120124S00365    00</v>
      </c>
      <c r="B5194" t="s">
        <v>12226</v>
      </c>
      <c r="C5194" t="s">
        <v>12228</v>
      </c>
      <c r="D5194" t="s">
        <v>20</v>
      </c>
      <c r="E5194" t="s">
        <v>39</v>
      </c>
      <c r="F5194">
        <v>0</v>
      </c>
      <c r="G5194">
        <v>0</v>
      </c>
      <c r="H5194">
        <v>2</v>
      </c>
      <c r="I5194" s="3">
        <v>941.58</v>
      </c>
      <c r="J5194" s="3">
        <v>0</v>
      </c>
      <c r="L5194">
        <v>14719</v>
      </c>
      <c r="M5194" t="s">
        <v>12229</v>
      </c>
      <c r="N5194" t="s">
        <v>12230</v>
      </c>
      <c r="O5194" t="s">
        <v>495</v>
      </c>
      <c r="P5194" t="str">
        <f>"90638"</f>
        <v>90638</v>
      </c>
    </row>
    <row r="5195" spans="1:16" x14ac:dyDescent="0.25">
      <c r="A5195" t="str">
        <f>"1120125A00070    00"</f>
        <v>1120125A00070    00</v>
      </c>
      <c r="B5195" t="s">
        <v>12231</v>
      </c>
      <c r="C5195" t="s">
        <v>12232</v>
      </c>
      <c r="D5195" t="s">
        <v>20</v>
      </c>
      <c r="E5195" t="s">
        <v>21</v>
      </c>
      <c r="F5195">
        <v>0</v>
      </c>
      <c r="G5195">
        <v>0</v>
      </c>
      <c r="H5195">
        <v>5</v>
      </c>
      <c r="I5195" s="3">
        <v>2279.73</v>
      </c>
      <c r="J5195" s="3">
        <v>393.87</v>
      </c>
      <c r="L5195">
        <v>515</v>
      </c>
      <c r="M5195" t="s">
        <v>12233</v>
      </c>
      <c r="N5195" t="s">
        <v>30</v>
      </c>
      <c r="O5195" t="s">
        <v>31</v>
      </c>
      <c r="P5195" t="str">
        <f>"15206"</f>
        <v>15206</v>
      </c>
    </row>
    <row r="5196" spans="1:16" x14ac:dyDescent="0.25">
      <c r="A5196" t="str">
        <f>"1120125A00125    00"</f>
        <v>1120125A00125    00</v>
      </c>
      <c r="B5196" t="s">
        <v>12234</v>
      </c>
      <c r="C5196" t="s">
        <v>11958</v>
      </c>
      <c r="D5196" t="s">
        <v>20</v>
      </c>
      <c r="E5196" t="s">
        <v>21</v>
      </c>
      <c r="F5196">
        <v>0</v>
      </c>
      <c r="G5196">
        <v>0</v>
      </c>
      <c r="H5196">
        <v>3</v>
      </c>
      <c r="I5196" s="3">
        <v>188.73</v>
      </c>
      <c r="J5196" s="3">
        <v>12.59</v>
      </c>
      <c r="L5196">
        <v>233</v>
      </c>
      <c r="M5196" t="s">
        <v>11822</v>
      </c>
      <c r="N5196" t="s">
        <v>30</v>
      </c>
      <c r="O5196" t="s">
        <v>31</v>
      </c>
      <c r="P5196" t="str">
        <f>"15235"</f>
        <v>15235</v>
      </c>
    </row>
    <row r="5197" spans="1:16" x14ac:dyDescent="0.25">
      <c r="A5197" t="str">
        <f>"1120125A00126    00"</f>
        <v>1120125A00126    00</v>
      </c>
      <c r="B5197" t="s">
        <v>12235</v>
      </c>
      <c r="C5197" t="s">
        <v>11958</v>
      </c>
      <c r="D5197" t="s">
        <v>20</v>
      </c>
      <c r="E5197" t="s">
        <v>21</v>
      </c>
      <c r="F5197">
        <v>0</v>
      </c>
      <c r="G5197">
        <v>0</v>
      </c>
      <c r="H5197">
        <v>6</v>
      </c>
      <c r="I5197" s="3">
        <v>1982.62</v>
      </c>
      <c r="J5197" s="3">
        <v>424.92</v>
      </c>
      <c r="L5197">
        <v>233</v>
      </c>
      <c r="M5197" t="s">
        <v>11822</v>
      </c>
      <c r="N5197" t="s">
        <v>12236</v>
      </c>
      <c r="O5197" t="s">
        <v>31</v>
      </c>
      <c r="P5197" t="str">
        <f>"15206"</f>
        <v>15206</v>
      </c>
    </row>
    <row r="5198" spans="1:16" x14ac:dyDescent="0.25">
      <c r="A5198" t="str">
        <f>"1120125A00135    00"</f>
        <v>1120125A00135    00</v>
      </c>
      <c r="B5198" t="s">
        <v>12237</v>
      </c>
      <c r="C5198" t="s">
        <v>12238</v>
      </c>
      <c r="D5198" t="s">
        <v>20</v>
      </c>
      <c r="E5198" t="s">
        <v>39</v>
      </c>
      <c r="F5198">
        <v>0</v>
      </c>
      <c r="G5198">
        <v>0</v>
      </c>
      <c r="H5198">
        <v>1</v>
      </c>
      <c r="I5198" s="3">
        <v>327.86</v>
      </c>
      <c r="J5198" s="3">
        <v>0</v>
      </c>
      <c r="L5198">
        <v>456</v>
      </c>
      <c r="M5198" t="s">
        <v>12239</v>
      </c>
      <c r="N5198" t="s">
        <v>30</v>
      </c>
      <c r="O5198" t="s">
        <v>31</v>
      </c>
      <c r="P5198" t="str">
        <f>"15235"</f>
        <v>15235</v>
      </c>
    </row>
    <row r="5199" spans="1:16" x14ac:dyDescent="0.25">
      <c r="A5199" t="str">
        <f>"1120125A00140    00"</f>
        <v>1120125A00140    00</v>
      </c>
      <c r="B5199" t="s">
        <v>12240</v>
      </c>
      <c r="C5199" t="s">
        <v>11069</v>
      </c>
      <c r="D5199" t="s">
        <v>20</v>
      </c>
      <c r="E5199" t="s">
        <v>39</v>
      </c>
      <c r="F5199">
        <v>0</v>
      </c>
      <c r="G5199">
        <v>0</v>
      </c>
      <c r="H5199">
        <v>4</v>
      </c>
      <c r="I5199" s="3">
        <v>284.39999999999998</v>
      </c>
      <c r="J5199" s="3">
        <v>45.86</v>
      </c>
      <c r="L5199">
        <v>1421</v>
      </c>
      <c r="M5199" t="s">
        <v>12218</v>
      </c>
      <c r="N5199" t="s">
        <v>30</v>
      </c>
      <c r="O5199" t="s">
        <v>31</v>
      </c>
      <c r="P5199" t="str">
        <f>"15221"</f>
        <v>15221</v>
      </c>
    </row>
    <row r="5200" spans="1:16" x14ac:dyDescent="0.25">
      <c r="A5200" t="str">
        <f>"1120125A00162    00"</f>
        <v>1120125A00162    00</v>
      </c>
      <c r="B5200" t="s">
        <v>12241</v>
      </c>
      <c r="C5200" t="s">
        <v>12242</v>
      </c>
      <c r="D5200" t="s">
        <v>20</v>
      </c>
      <c r="E5200" t="s">
        <v>39</v>
      </c>
      <c r="F5200">
        <v>0</v>
      </c>
      <c r="G5200">
        <v>0</v>
      </c>
      <c r="H5200">
        <v>4</v>
      </c>
      <c r="I5200" s="3">
        <v>1614.52</v>
      </c>
      <c r="J5200" s="3">
        <v>0</v>
      </c>
      <c r="M5200" t="s">
        <v>12243</v>
      </c>
      <c r="N5200" t="s">
        <v>30</v>
      </c>
      <c r="O5200" t="s">
        <v>31</v>
      </c>
      <c r="P5200" t="str">
        <f>"15206"</f>
        <v>15206</v>
      </c>
    </row>
    <row r="5201" spans="1:16" x14ac:dyDescent="0.25">
      <c r="A5201" t="str">
        <f>"1120125A00174    00"</f>
        <v>1120125A00174    00</v>
      </c>
      <c r="B5201" t="s">
        <v>12244</v>
      </c>
      <c r="C5201" t="s">
        <v>12245</v>
      </c>
      <c r="D5201" t="s">
        <v>20</v>
      </c>
      <c r="E5201" t="s">
        <v>39</v>
      </c>
      <c r="F5201">
        <v>0</v>
      </c>
      <c r="G5201">
        <v>0</v>
      </c>
      <c r="H5201">
        <v>4</v>
      </c>
      <c r="I5201" s="3">
        <v>437.04</v>
      </c>
      <c r="J5201" s="3">
        <v>51.9</v>
      </c>
      <c r="L5201">
        <v>241</v>
      </c>
      <c r="M5201" t="s">
        <v>11067</v>
      </c>
      <c r="N5201" t="s">
        <v>30</v>
      </c>
      <c r="O5201" t="s">
        <v>31</v>
      </c>
      <c r="P5201" t="str">
        <f>"15206"</f>
        <v>15206</v>
      </c>
    </row>
    <row r="5202" spans="1:16" x14ac:dyDescent="0.25">
      <c r="A5202" t="str">
        <f>"1120125A00178    00"</f>
        <v>1120125A00178    00</v>
      </c>
      <c r="B5202" t="s">
        <v>12246</v>
      </c>
      <c r="C5202" t="s">
        <v>12247</v>
      </c>
      <c r="D5202" t="s">
        <v>20</v>
      </c>
      <c r="E5202" t="s">
        <v>39</v>
      </c>
      <c r="F5202">
        <v>0</v>
      </c>
      <c r="G5202">
        <v>0</v>
      </c>
      <c r="H5202">
        <v>3</v>
      </c>
      <c r="I5202" s="3">
        <v>1159.1300000000001</v>
      </c>
      <c r="J5202" s="3">
        <v>5.38</v>
      </c>
      <c r="K5202" t="s">
        <v>3543</v>
      </c>
      <c r="M5202" t="s">
        <v>2628</v>
      </c>
      <c r="N5202" t="s">
        <v>30</v>
      </c>
      <c r="O5202" t="s">
        <v>31</v>
      </c>
      <c r="P5202" t="str">
        <f>"15213"</f>
        <v>15213</v>
      </c>
    </row>
    <row r="5203" spans="1:16" x14ac:dyDescent="0.25">
      <c r="A5203" t="str">
        <f>"1120125A00179    00"</f>
        <v>1120125A00179    00</v>
      </c>
      <c r="B5203" t="s">
        <v>12248</v>
      </c>
      <c r="C5203" t="s">
        <v>12247</v>
      </c>
      <c r="D5203" t="s">
        <v>20</v>
      </c>
      <c r="E5203" t="s">
        <v>39</v>
      </c>
      <c r="F5203">
        <v>0</v>
      </c>
      <c r="G5203">
        <v>0</v>
      </c>
      <c r="H5203">
        <v>11</v>
      </c>
      <c r="I5203" s="3">
        <v>201.77</v>
      </c>
      <c r="J5203" s="3">
        <v>110.32</v>
      </c>
      <c r="L5203">
        <v>229</v>
      </c>
      <c r="M5203" t="s">
        <v>11067</v>
      </c>
      <c r="N5203" t="s">
        <v>30</v>
      </c>
      <c r="O5203" t="s">
        <v>31</v>
      </c>
      <c r="P5203" t="str">
        <f>"15206"</f>
        <v>15206</v>
      </c>
    </row>
    <row r="5204" spans="1:16" x14ac:dyDescent="0.25">
      <c r="A5204" t="str">
        <f>"1120125A00182    00"</f>
        <v>1120125A00182    00</v>
      </c>
      <c r="B5204" t="s">
        <v>3008</v>
      </c>
      <c r="C5204" t="s">
        <v>12249</v>
      </c>
      <c r="D5204" t="s">
        <v>20</v>
      </c>
      <c r="E5204" t="s">
        <v>39</v>
      </c>
      <c r="F5204">
        <v>0</v>
      </c>
      <c r="G5204">
        <v>0</v>
      </c>
      <c r="H5204">
        <v>3</v>
      </c>
      <c r="I5204" s="3">
        <v>375.05</v>
      </c>
      <c r="J5204" s="3">
        <v>0.09</v>
      </c>
      <c r="M5204" t="s">
        <v>2628</v>
      </c>
      <c r="N5204" t="s">
        <v>30</v>
      </c>
      <c r="O5204" t="s">
        <v>31</v>
      </c>
      <c r="P5204" t="str">
        <f>"15213"</f>
        <v>15213</v>
      </c>
    </row>
    <row r="5205" spans="1:16" x14ac:dyDescent="0.25">
      <c r="A5205" t="str">
        <f>"1120125A00207    00"</f>
        <v>1120125A00207    00</v>
      </c>
      <c r="B5205" t="s">
        <v>11817</v>
      </c>
      <c r="C5205" t="s">
        <v>12250</v>
      </c>
      <c r="D5205" t="s">
        <v>20</v>
      </c>
      <c r="E5205" t="s">
        <v>39</v>
      </c>
      <c r="F5205">
        <v>0</v>
      </c>
      <c r="G5205">
        <v>0</v>
      </c>
      <c r="H5205">
        <v>4</v>
      </c>
      <c r="I5205" s="3">
        <v>729.04</v>
      </c>
      <c r="J5205" s="3">
        <v>86.13</v>
      </c>
      <c r="K5205" t="s">
        <v>10601</v>
      </c>
      <c r="L5205">
        <v>211</v>
      </c>
      <c r="M5205" t="s">
        <v>10602</v>
      </c>
      <c r="N5205" t="s">
        <v>30</v>
      </c>
      <c r="O5205" t="s">
        <v>31</v>
      </c>
      <c r="P5205" t="str">
        <f>"15206"</f>
        <v>15206</v>
      </c>
    </row>
    <row r="5206" spans="1:16" x14ac:dyDescent="0.25">
      <c r="A5206" t="str">
        <f>"1120125A00208    00"</f>
        <v>1120125A00208    00</v>
      </c>
      <c r="B5206" t="s">
        <v>12235</v>
      </c>
      <c r="C5206" t="s">
        <v>11069</v>
      </c>
      <c r="D5206" t="s">
        <v>20</v>
      </c>
      <c r="E5206" t="s">
        <v>39</v>
      </c>
      <c r="F5206">
        <v>0</v>
      </c>
      <c r="G5206">
        <v>0</v>
      </c>
      <c r="H5206">
        <v>3</v>
      </c>
      <c r="I5206" s="3">
        <v>62.94</v>
      </c>
      <c r="J5206" s="3">
        <v>4.2</v>
      </c>
      <c r="L5206">
        <v>233</v>
      </c>
      <c r="M5206" t="s">
        <v>11822</v>
      </c>
      <c r="N5206" t="s">
        <v>30</v>
      </c>
      <c r="O5206" t="s">
        <v>31</v>
      </c>
      <c r="P5206" t="str">
        <f>"15235"</f>
        <v>15235</v>
      </c>
    </row>
    <row r="5207" spans="1:16" x14ac:dyDescent="0.25">
      <c r="A5207" t="str">
        <f>"1120125A00209    00"</f>
        <v>1120125A00209    00</v>
      </c>
      <c r="B5207" t="s">
        <v>12251</v>
      </c>
      <c r="C5207" t="s">
        <v>12252</v>
      </c>
      <c r="D5207" t="s">
        <v>20</v>
      </c>
      <c r="E5207" t="s">
        <v>39</v>
      </c>
      <c r="F5207">
        <v>0</v>
      </c>
      <c r="G5207">
        <v>0</v>
      </c>
      <c r="H5207">
        <v>3</v>
      </c>
      <c r="I5207" s="3">
        <v>760.53</v>
      </c>
      <c r="J5207" s="3">
        <v>50.7</v>
      </c>
      <c r="K5207" t="s">
        <v>12253</v>
      </c>
      <c r="L5207">
        <v>233</v>
      </c>
      <c r="M5207" t="s">
        <v>11822</v>
      </c>
      <c r="N5207" t="s">
        <v>30</v>
      </c>
      <c r="O5207" t="s">
        <v>31</v>
      </c>
      <c r="P5207" t="str">
        <f>"15235"</f>
        <v>15235</v>
      </c>
    </row>
    <row r="5208" spans="1:16" x14ac:dyDescent="0.25">
      <c r="A5208" t="str">
        <f>"1120125A00210    00"</f>
        <v>1120125A00210    00</v>
      </c>
      <c r="B5208" t="s">
        <v>12235</v>
      </c>
      <c r="C5208" t="s">
        <v>11069</v>
      </c>
      <c r="D5208" t="s">
        <v>20</v>
      </c>
      <c r="E5208" t="s">
        <v>39</v>
      </c>
      <c r="F5208">
        <v>0</v>
      </c>
      <c r="G5208">
        <v>0</v>
      </c>
      <c r="H5208">
        <v>3</v>
      </c>
      <c r="I5208" s="3">
        <v>62.94</v>
      </c>
      <c r="J5208" s="3">
        <v>4.2</v>
      </c>
      <c r="L5208">
        <v>233</v>
      </c>
      <c r="M5208" t="s">
        <v>11822</v>
      </c>
      <c r="N5208" t="s">
        <v>30</v>
      </c>
      <c r="O5208" t="s">
        <v>31</v>
      </c>
      <c r="P5208" t="str">
        <f>"15206"</f>
        <v>15206</v>
      </c>
    </row>
    <row r="5209" spans="1:16" x14ac:dyDescent="0.25">
      <c r="A5209" t="str">
        <f>"1120125A00211    00"</f>
        <v>1120125A00211    00</v>
      </c>
      <c r="B5209" t="s">
        <v>12251</v>
      </c>
      <c r="C5209" t="s">
        <v>11069</v>
      </c>
      <c r="D5209" t="s">
        <v>20</v>
      </c>
      <c r="E5209" t="s">
        <v>39</v>
      </c>
      <c r="F5209">
        <v>0</v>
      </c>
      <c r="G5209">
        <v>0</v>
      </c>
      <c r="H5209">
        <v>3</v>
      </c>
      <c r="I5209" s="3">
        <v>62.94</v>
      </c>
      <c r="J5209" s="3">
        <v>4.2</v>
      </c>
      <c r="M5209" t="s">
        <v>12254</v>
      </c>
      <c r="N5209" t="s">
        <v>30</v>
      </c>
      <c r="O5209" t="s">
        <v>31</v>
      </c>
      <c r="P5209" t="str">
        <f>"15206"</f>
        <v>15206</v>
      </c>
    </row>
    <row r="5210" spans="1:16" x14ac:dyDescent="0.25">
      <c r="A5210" t="str">
        <f>"1120125A00212    00"</f>
        <v>1120125A00212    00</v>
      </c>
      <c r="B5210" t="s">
        <v>12235</v>
      </c>
      <c r="C5210" t="s">
        <v>12255</v>
      </c>
      <c r="D5210" t="s">
        <v>20</v>
      </c>
      <c r="E5210" t="s">
        <v>290</v>
      </c>
      <c r="F5210">
        <v>0</v>
      </c>
      <c r="G5210">
        <v>0</v>
      </c>
      <c r="H5210">
        <v>3</v>
      </c>
      <c r="I5210" s="3">
        <v>417.45</v>
      </c>
      <c r="J5210" s="3">
        <v>27.84</v>
      </c>
      <c r="K5210" t="s">
        <v>12256</v>
      </c>
      <c r="L5210">
        <v>233</v>
      </c>
      <c r="M5210" t="s">
        <v>11822</v>
      </c>
      <c r="N5210" t="s">
        <v>30</v>
      </c>
      <c r="O5210" t="s">
        <v>31</v>
      </c>
      <c r="P5210" t="str">
        <f>"15235"</f>
        <v>15235</v>
      </c>
    </row>
    <row r="5211" spans="1:16" x14ac:dyDescent="0.25">
      <c r="A5211" t="str">
        <f>"1120125A00213    00"</f>
        <v>1120125A00213    00</v>
      </c>
      <c r="B5211" t="s">
        <v>12235</v>
      </c>
      <c r="C5211" t="s">
        <v>12255</v>
      </c>
      <c r="D5211" t="s">
        <v>20</v>
      </c>
      <c r="E5211" t="s">
        <v>290</v>
      </c>
      <c r="F5211">
        <v>0</v>
      </c>
      <c r="G5211">
        <v>0</v>
      </c>
      <c r="H5211">
        <v>3</v>
      </c>
      <c r="I5211" s="3">
        <v>428.88</v>
      </c>
      <c r="J5211" s="3">
        <v>28.6</v>
      </c>
      <c r="K5211" t="s">
        <v>12256</v>
      </c>
      <c r="L5211">
        <v>233</v>
      </c>
      <c r="M5211" t="s">
        <v>11822</v>
      </c>
      <c r="N5211" t="s">
        <v>30</v>
      </c>
      <c r="O5211" t="s">
        <v>31</v>
      </c>
      <c r="P5211" t="str">
        <f>"15235"</f>
        <v>15235</v>
      </c>
    </row>
    <row r="5212" spans="1:16" x14ac:dyDescent="0.25">
      <c r="A5212" t="str">
        <f>"1120125A00215    00"</f>
        <v>1120125A00215    00</v>
      </c>
      <c r="B5212" t="s">
        <v>12235</v>
      </c>
      <c r="C5212" t="s">
        <v>12255</v>
      </c>
      <c r="D5212" t="s">
        <v>20</v>
      </c>
      <c r="E5212" t="s">
        <v>290</v>
      </c>
      <c r="F5212">
        <v>0</v>
      </c>
      <c r="G5212">
        <v>0</v>
      </c>
      <c r="H5212">
        <v>3</v>
      </c>
      <c r="I5212" s="3">
        <v>217.29</v>
      </c>
      <c r="J5212" s="3">
        <v>14.49</v>
      </c>
      <c r="L5212">
        <v>233</v>
      </c>
      <c r="M5212" t="s">
        <v>11822</v>
      </c>
      <c r="N5212" t="s">
        <v>30</v>
      </c>
      <c r="O5212" t="s">
        <v>31</v>
      </c>
      <c r="P5212" t="str">
        <f>"15235"</f>
        <v>15235</v>
      </c>
    </row>
    <row r="5213" spans="1:16" x14ac:dyDescent="0.25">
      <c r="A5213" t="str">
        <f>"1120125A00217    00"</f>
        <v>1120125A00217    00</v>
      </c>
      <c r="B5213" t="s">
        <v>12235</v>
      </c>
      <c r="C5213" t="s">
        <v>12255</v>
      </c>
      <c r="D5213" t="s">
        <v>20</v>
      </c>
      <c r="E5213" t="s">
        <v>290</v>
      </c>
      <c r="F5213">
        <v>0</v>
      </c>
      <c r="G5213">
        <v>0</v>
      </c>
      <c r="H5213">
        <v>3</v>
      </c>
      <c r="I5213" s="3">
        <v>406.02</v>
      </c>
      <c r="J5213" s="3">
        <v>27.08</v>
      </c>
      <c r="K5213" t="s">
        <v>12256</v>
      </c>
      <c r="L5213">
        <v>233</v>
      </c>
      <c r="M5213" t="s">
        <v>11822</v>
      </c>
      <c r="N5213" t="s">
        <v>30</v>
      </c>
      <c r="O5213" t="s">
        <v>31</v>
      </c>
      <c r="P5213" t="str">
        <f>"15235"</f>
        <v>15235</v>
      </c>
    </row>
    <row r="5214" spans="1:16" x14ac:dyDescent="0.25">
      <c r="A5214" t="str">
        <f>"1120125A00219    00"</f>
        <v>1120125A00219    00</v>
      </c>
      <c r="B5214" t="s">
        <v>12235</v>
      </c>
      <c r="C5214" t="s">
        <v>12255</v>
      </c>
      <c r="D5214" t="s">
        <v>20</v>
      </c>
      <c r="E5214" t="s">
        <v>290</v>
      </c>
      <c r="F5214">
        <v>0</v>
      </c>
      <c r="G5214">
        <v>0</v>
      </c>
      <c r="H5214">
        <v>3</v>
      </c>
      <c r="I5214" s="3">
        <v>457.44</v>
      </c>
      <c r="J5214" s="3">
        <v>30.5</v>
      </c>
      <c r="M5214" t="s">
        <v>12254</v>
      </c>
      <c r="N5214" t="s">
        <v>30</v>
      </c>
      <c r="O5214" t="s">
        <v>31</v>
      </c>
      <c r="P5214" t="str">
        <f>"15206"</f>
        <v>15206</v>
      </c>
    </row>
    <row r="5215" spans="1:16" x14ac:dyDescent="0.25">
      <c r="A5215" t="str">
        <f>"1120125A00220    00"</f>
        <v>1120125A00220    00</v>
      </c>
      <c r="B5215" t="s">
        <v>12251</v>
      </c>
      <c r="C5215" t="s">
        <v>12255</v>
      </c>
      <c r="D5215" t="s">
        <v>20</v>
      </c>
      <c r="E5215" t="s">
        <v>290</v>
      </c>
      <c r="F5215">
        <v>0</v>
      </c>
      <c r="G5215">
        <v>0</v>
      </c>
      <c r="H5215">
        <v>6</v>
      </c>
      <c r="I5215" s="3">
        <v>22381.26</v>
      </c>
      <c r="J5215" s="3">
        <v>5014.58</v>
      </c>
      <c r="K5215" t="s">
        <v>12253</v>
      </c>
      <c r="M5215" t="s">
        <v>12254</v>
      </c>
      <c r="N5215" t="s">
        <v>30</v>
      </c>
      <c r="O5215" t="s">
        <v>31</v>
      </c>
      <c r="P5215" t="str">
        <f>"15206"</f>
        <v>15206</v>
      </c>
    </row>
    <row r="5216" spans="1:16" x14ac:dyDescent="0.25">
      <c r="A5216" t="str">
        <f>"1120125A00229    00"</f>
        <v>1120125A00229    00</v>
      </c>
      <c r="B5216" t="s">
        <v>12235</v>
      </c>
      <c r="C5216" t="s">
        <v>12255</v>
      </c>
      <c r="D5216" t="s">
        <v>20</v>
      </c>
      <c r="E5216" t="s">
        <v>290</v>
      </c>
      <c r="F5216">
        <v>0</v>
      </c>
      <c r="G5216">
        <v>0</v>
      </c>
      <c r="H5216">
        <v>6</v>
      </c>
      <c r="I5216" s="3">
        <v>55427.81</v>
      </c>
      <c r="J5216" s="3">
        <v>12357.11</v>
      </c>
      <c r="L5216">
        <v>233</v>
      </c>
      <c r="M5216" t="s">
        <v>11822</v>
      </c>
      <c r="N5216" t="s">
        <v>30</v>
      </c>
      <c r="O5216" t="s">
        <v>31</v>
      </c>
      <c r="P5216" t="str">
        <f>"15206"</f>
        <v>15206</v>
      </c>
    </row>
    <row r="5217" spans="1:16" x14ac:dyDescent="0.25">
      <c r="A5217" t="str">
        <f>"1120125A00269    00"</f>
        <v>1120125A00269    00</v>
      </c>
      <c r="B5217" t="s">
        <v>12257</v>
      </c>
      <c r="C5217" t="s">
        <v>12258</v>
      </c>
      <c r="E5217" t="s">
        <v>290</v>
      </c>
      <c r="F5217">
        <v>0</v>
      </c>
      <c r="G5217">
        <v>0</v>
      </c>
      <c r="H5217">
        <v>2</v>
      </c>
      <c r="I5217" s="3">
        <v>233.36</v>
      </c>
      <c r="J5217" s="3">
        <v>3.88</v>
      </c>
      <c r="K5217" t="s">
        <v>12259</v>
      </c>
      <c r="L5217">
        <v>125</v>
      </c>
      <c r="M5217" t="s">
        <v>12260</v>
      </c>
      <c r="N5217" t="s">
        <v>2656</v>
      </c>
      <c r="O5217" t="s">
        <v>31</v>
      </c>
      <c r="P5217" t="str">
        <f>"15904"</f>
        <v>15904</v>
      </c>
    </row>
    <row r="5218" spans="1:16" x14ac:dyDescent="0.25">
      <c r="A5218" t="str">
        <f>"1120125A00273    00"</f>
        <v>1120125A00273    00</v>
      </c>
      <c r="B5218" t="s">
        <v>12257</v>
      </c>
      <c r="C5218" t="s">
        <v>12261</v>
      </c>
      <c r="E5218" t="s">
        <v>21</v>
      </c>
      <c r="F5218">
        <v>0</v>
      </c>
      <c r="G5218">
        <v>0</v>
      </c>
      <c r="H5218">
        <v>1</v>
      </c>
      <c r="I5218" s="3">
        <v>19.059999999999999</v>
      </c>
      <c r="J5218" s="3">
        <v>0.64</v>
      </c>
      <c r="K5218" t="s">
        <v>12259</v>
      </c>
      <c r="L5218">
        <v>125</v>
      </c>
      <c r="M5218" t="s">
        <v>12260</v>
      </c>
      <c r="N5218" t="s">
        <v>2656</v>
      </c>
      <c r="O5218" t="s">
        <v>31</v>
      </c>
      <c r="P5218" t="str">
        <f>"15904"</f>
        <v>15904</v>
      </c>
    </row>
    <row r="5219" spans="1:16" x14ac:dyDescent="0.25">
      <c r="A5219" t="str">
        <f>"1120125A00282    00"</f>
        <v>1120125A00282    00</v>
      </c>
      <c r="B5219" t="s">
        <v>12235</v>
      </c>
      <c r="C5219" t="s">
        <v>12262</v>
      </c>
      <c r="D5219" t="s">
        <v>20</v>
      </c>
      <c r="E5219" t="s">
        <v>290</v>
      </c>
      <c r="F5219">
        <v>0</v>
      </c>
      <c r="G5219">
        <v>0</v>
      </c>
      <c r="H5219">
        <v>6</v>
      </c>
      <c r="I5219" s="3">
        <v>3954.87</v>
      </c>
      <c r="J5219" s="3">
        <v>886.97</v>
      </c>
      <c r="L5219">
        <v>233</v>
      </c>
      <c r="M5219" t="s">
        <v>11822</v>
      </c>
      <c r="N5219" t="s">
        <v>30</v>
      </c>
      <c r="O5219" t="s">
        <v>31</v>
      </c>
      <c r="P5219" t="str">
        <f>"15235"</f>
        <v>15235</v>
      </c>
    </row>
    <row r="5220" spans="1:16" x14ac:dyDescent="0.25">
      <c r="A5220" t="str">
        <f>"1120125A00292    00"</f>
        <v>1120125A00292    00</v>
      </c>
      <c r="B5220" t="s">
        <v>12263</v>
      </c>
      <c r="C5220" t="s">
        <v>12264</v>
      </c>
      <c r="D5220" t="s">
        <v>20</v>
      </c>
      <c r="E5220" t="s">
        <v>21</v>
      </c>
      <c r="F5220">
        <v>0</v>
      </c>
      <c r="G5220">
        <v>0</v>
      </c>
      <c r="H5220">
        <v>1</v>
      </c>
      <c r="I5220" s="3">
        <v>4721.17</v>
      </c>
      <c r="J5220" s="3">
        <v>0</v>
      </c>
      <c r="K5220" t="s">
        <v>2001</v>
      </c>
      <c r="L5220">
        <v>290</v>
      </c>
      <c r="M5220" t="s">
        <v>2002</v>
      </c>
      <c r="N5220" t="s">
        <v>30</v>
      </c>
      <c r="O5220" t="s">
        <v>31</v>
      </c>
      <c r="P5220" t="str">
        <f>"15205"</f>
        <v>15205</v>
      </c>
    </row>
    <row r="5221" spans="1:16" x14ac:dyDescent="0.25">
      <c r="A5221" t="str">
        <f>"1120125A00302    00"</f>
        <v>1120125A00302    00</v>
      </c>
      <c r="B5221" t="s">
        <v>12257</v>
      </c>
      <c r="C5221" t="s">
        <v>12265</v>
      </c>
      <c r="E5221" t="s">
        <v>290</v>
      </c>
      <c r="F5221">
        <v>0</v>
      </c>
      <c r="G5221">
        <v>0</v>
      </c>
      <c r="H5221">
        <v>1</v>
      </c>
      <c r="I5221" s="3">
        <v>327.83</v>
      </c>
      <c r="J5221" s="3">
        <v>10.93</v>
      </c>
      <c r="K5221" t="s">
        <v>12259</v>
      </c>
      <c r="L5221">
        <v>125</v>
      </c>
      <c r="M5221" t="s">
        <v>12260</v>
      </c>
      <c r="N5221" t="s">
        <v>2656</v>
      </c>
      <c r="O5221" t="s">
        <v>31</v>
      </c>
      <c r="P5221" t="str">
        <f>"15904"</f>
        <v>15904</v>
      </c>
    </row>
    <row r="5222" spans="1:16" x14ac:dyDescent="0.25">
      <c r="A5222" t="str">
        <f>"1120125A00303    00"</f>
        <v>1120125A00303    00</v>
      </c>
      <c r="B5222" t="s">
        <v>12266</v>
      </c>
      <c r="C5222" t="s">
        <v>12267</v>
      </c>
      <c r="D5222" t="s">
        <v>20</v>
      </c>
      <c r="E5222" t="s">
        <v>290</v>
      </c>
      <c r="F5222">
        <v>0</v>
      </c>
      <c r="G5222">
        <v>0</v>
      </c>
      <c r="H5222">
        <v>1</v>
      </c>
      <c r="I5222" s="3">
        <v>74.34</v>
      </c>
      <c r="J5222" s="3">
        <v>0</v>
      </c>
      <c r="M5222" t="s">
        <v>12268</v>
      </c>
      <c r="N5222" t="s">
        <v>30</v>
      </c>
      <c r="O5222" t="s">
        <v>31</v>
      </c>
      <c r="P5222" t="str">
        <f>"15224"</f>
        <v>15224</v>
      </c>
    </row>
    <row r="5223" spans="1:16" x14ac:dyDescent="0.25">
      <c r="A5223" t="str">
        <f>"1120125A00304    00"</f>
        <v>1120125A00304    00</v>
      </c>
      <c r="B5223" t="s">
        <v>12266</v>
      </c>
      <c r="C5223" t="s">
        <v>12267</v>
      </c>
      <c r="D5223" t="s">
        <v>20</v>
      </c>
      <c r="E5223" t="s">
        <v>290</v>
      </c>
      <c r="F5223">
        <v>0</v>
      </c>
      <c r="G5223">
        <v>0</v>
      </c>
      <c r="H5223">
        <v>1</v>
      </c>
      <c r="I5223" s="3">
        <v>74.34</v>
      </c>
      <c r="J5223" s="3">
        <v>0</v>
      </c>
      <c r="M5223" t="s">
        <v>12268</v>
      </c>
      <c r="N5223" t="s">
        <v>30</v>
      </c>
      <c r="O5223" t="s">
        <v>31</v>
      </c>
      <c r="P5223" t="str">
        <f>"15224"</f>
        <v>15224</v>
      </c>
    </row>
    <row r="5224" spans="1:16" x14ac:dyDescent="0.25">
      <c r="A5224" t="str">
        <f>"1120125A00341    00"</f>
        <v>1120125A00341    00</v>
      </c>
      <c r="B5224" t="s">
        <v>11092</v>
      </c>
      <c r="C5224" t="s">
        <v>12269</v>
      </c>
      <c r="D5224" t="s">
        <v>20</v>
      </c>
      <c r="E5224" t="s">
        <v>39</v>
      </c>
      <c r="F5224">
        <v>0</v>
      </c>
      <c r="G5224">
        <v>0</v>
      </c>
      <c r="H5224">
        <v>4</v>
      </c>
      <c r="I5224" s="3">
        <v>506.02</v>
      </c>
      <c r="J5224" s="3">
        <v>56.64</v>
      </c>
      <c r="L5224">
        <v>6359</v>
      </c>
      <c r="M5224" t="s">
        <v>10468</v>
      </c>
      <c r="N5224" t="s">
        <v>30</v>
      </c>
      <c r="O5224" t="s">
        <v>31</v>
      </c>
      <c r="P5224" t="str">
        <f>"15206"</f>
        <v>15206</v>
      </c>
    </row>
    <row r="5225" spans="1:16" x14ac:dyDescent="0.25">
      <c r="A5225" t="str">
        <f>"1120125A00366    00"</f>
        <v>1120125A00366    00</v>
      </c>
      <c r="B5225" t="s">
        <v>12270</v>
      </c>
      <c r="C5225" t="s">
        <v>12271</v>
      </c>
      <c r="D5225" t="s">
        <v>20</v>
      </c>
      <c r="E5225" t="s">
        <v>39</v>
      </c>
      <c r="F5225">
        <v>0</v>
      </c>
      <c r="G5225">
        <v>0</v>
      </c>
      <c r="H5225">
        <v>3</v>
      </c>
      <c r="I5225" s="3">
        <v>140.1</v>
      </c>
      <c r="J5225" s="3">
        <v>9.34</v>
      </c>
      <c r="L5225">
        <v>166</v>
      </c>
      <c r="M5225" t="s">
        <v>11822</v>
      </c>
      <c r="N5225" t="s">
        <v>30</v>
      </c>
      <c r="O5225" t="s">
        <v>31</v>
      </c>
      <c r="P5225" t="str">
        <f>"15206"</f>
        <v>15206</v>
      </c>
    </row>
    <row r="5226" spans="1:16" x14ac:dyDescent="0.25">
      <c r="A5226" t="str">
        <f>"1120125A00374    00"</f>
        <v>1120125A00374    00</v>
      </c>
      <c r="B5226" t="s">
        <v>12272</v>
      </c>
      <c r="C5226" t="s">
        <v>12273</v>
      </c>
      <c r="D5226" t="s">
        <v>20</v>
      </c>
      <c r="E5226" t="s">
        <v>39</v>
      </c>
      <c r="F5226">
        <v>0</v>
      </c>
      <c r="G5226">
        <v>0</v>
      </c>
      <c r="H5226">
        <v>1</v>
      </c>
      <c r="I5226" s="3">
        <v>190.62</v>
      </c>
      <c r="J5226" s="3">
        <v>0</v>
      </c>
      <c r="K5226" t="s">
        <v>12274</v>
      </c>
      <c r="L5226">
        <v>167</v>
      </c>
      <c r="M5226" t="s">
        <v>11822</v>
      </c>
      <c r="N5226" t="s">
        <v>30</v>
      </c>
      <c r="O5226" t="s">
        <v>31</v>
      </c>
      <c r="P5226" t="str">
        <f>"15206"</f>
        <v>15206</v>
      </c>
    </row>
    <row r="5227" spans="1:16" x14ac:dyDescent="0.25">
      <c r="A5227" t="str">
        <f>"1120125B00025    00"</f>
        <v>1120125B00025    00</v>
      </c>
      <c r="B5227" t="s">
        <v>12275</v>
      </c>
      <c r="C5227" t="s">
        <v>12276</v>
      </c>
      <c r="E5227" t="s">
        <v>39</v>
      </c>
      <c r="F5227">
        <v>0</v>
      </c>
      <c r="G5227">
        <v>0</v>
      </c>
      <c r="H5227">
        <v>1</v>
      </c>
      <c r="I5227" s="3">
        <v>22.86</v>
      </c>
      <c r="J5227" s="3">
        <v>6.86</v>
      </c>
      <c r="K5227" t="s">
        <v>12277</v>
      </c>
      <c r="M5227" t="s">
        <v>12278</v>
      </c>
      <c r="N5227" t="s">
        <v>30</v>
      </c>
      <c r="O5227" t="s">
        <v>31</v>
      </c>
      <c r="P5227" t="str">
        <f>"15230"</f>
        <v>15230</v>
      </c>
    </row>
    <row r="5228" spans="1:16" x14ac:dyDescent="0.25">
      <c r="A5228" t="str">
        <f>"1120125B00028    00"</f>
        <v>1120125B00028    00</v>
      </c>
      <c r="B5228" t="s">
        <v>12279</v>
      </c>
      <c r="C5228" t="s">
        <v>12280</v>
      </c>
      <c r="D5228" t="s">
        <v>20</v>
      </c>
      <c r="E5228" t="s">
        <v>21</v>
      </c>
      <c r="F5228">
        <v>0</v>
      </c>
      <c r="G5228">
        <v>0</v>
      </c>
      <c r="H5228">
        <v>5</v>
      </c>
      <c r="I5228" s="3">
        <v>3607.92</v>
      </c>
      <c r="J5228" s="3">
        <v>623.33000000000004</v>
      </c>
      <c r="K5228" t="s">
        <v>12281</v>
      </c>
      <c r="L5228">
        <v>601</v>
      </c>
      <c r="M5228" t="s">
        <v>12282</v>
      </c>
      <c r="N5228" t="s">
        <v>30</v>
      </c>
      <c r="O5228" t="s">
        <v>31</v>
      </c>
      <c r="P5228" t="str">
        <f>"15206"</f>
        <v>15206</v>
      </c>
    </row>
    <row r="5229" spans="1:16" x14ac:dyDescent="0.25">
      <c r="A5229" t="str">
        <f>"1120125B00051    00"</f>
        <v>1120125B00051    00</v>
      </c>
      <c r="B5229" t="s">
        <v>12283</v>
      </c>
      <c r="C5229" t="s">
        <v>12284</v>
      </c>
      <c r="D5229" t="s">
        <v>20</v>
      </c>
      <c r="E5229" t="s">
        <v>39</v>
      </c>
      <c r="F5229">
        <v>0</v>
      </c>
      <c r="G5229">
        <v>0</v>
      </c>
      <c r="H5229">
        <v>1</v>
      </c>
      <c r="I5229" s="3">
        <v>794.81</v>
      </c>
      <c r="J5229" s="3">
        <v>0</v>
      </c>
      <c r="M5229" t="s">
        <v>12285</v>
      </c>
      <c r="N5229" t="s">
        <v>30</v>
      </c>
      <c r="O5229" t="s">
        <v>31</v>
      </c>
      <c r="P5229" t="str">
        <f>"15218"</f>
        <v>15218</v>
      </c>
    </row>
    <row r="5230" spans="1:16" x14ac:dyDescent="0.25">
      <c r="A5230" t="str">
        <f>"1120125B00055    00"</f>
        <v>1120125B00055    00</v>
      </c>
      <c r="B5230" t="s">
        <v>12216</v>
      </c>
      <c r="C5230" t="s">
        <v>12286</v>
      </c>
      <c r="D5230" t="s">
        <v>20</v>
      </c>
      <c r="E5230" t="s">
        <v>39</v>
      </c>
      <c r="F5230">
        <v>0</v>
      </c>
      <c r="G5230">
        <v>0</v>
      </c>
      <c r="H5230">
        <v>2</v>
      </c>
      <c r="I5230" s="3">
        <v>794.31</v>
      </c>
      <c r="J5230" s="3">
        <v>0</v>
      </c>
      <c r="K5230" t="s">
        <v>12287</v>
      </c>
      <c r="L5230">
        <v>1422</v>
      </c>
      <c r="M5230" t="s">
        <v>12218</v>
      </c>
      <c r="N5230" t="s">
        <v>30</v>
      </c>
      <c r="O5230" t="s">
        <v>31</v>
      </c>
      <c r="P5230" t="str">
        <f>"15221"</f>
        <v>15221</v>
      </c>
    </row>
    <row r="5231" spans="1:16" x14ac:dyDescent="0.25">
      <c r="A5231" t="str">
        <f>"1120125B00065    00"</f>
        <v>1120125B00065    00</v>
      </c>
      <c r="B5231" t="s">
        <v>12288</v>
      </c>
      <c r="C5231" t="s">
        <v>12289</v>
      </c>
      <c r="D5231" t="s">
        <v>20</v>
      </c>
      <c r="E5231" t="s">
        <v>39</v>
      </c>
      <c r="F5231">
        <v>0</v>
      </c>
      <c r="G5231">
        <v>0</v>
      </c>
      <c r="H5231">
        <v>1</v>
      </c>
      <c r="I5231" s="3">
        <v>390.74</v>
      </c>
      <c r="J5231" s="3">
        <v>0</v>
      </c>
      <c r="L5231">
        <v>5109</v>
      </c>
      <c r="M5231" t="s">
        <v>12290</v>
      </c>
      <c r="N5231" t="s">
        <v>30</v>
      </c>
      <c r="O5231" t="s">
        <v>31</v>
      </c>
      <c r="P5231" t="str">
        <f>"15207"</f>
        <v>15207</v>
      </c>
    </row>
    <row r="5232" spans="1:16" x14ac:dyDescent="0.25">
      <c r="A5232" t="str">
        <f>"1120125B00066    00"</f>
        <v>1120125B00066    00</v>
      </c>
      <c r="B5232" t="s">
        <v>12291</v>
      </c>
      <c r="C5232" t="s">
        <v>12292</v>
      </c>
      <c r="D5232" t="s">
        <v>20</v>
      </c>
      <c r="E5232" t="s">
        <v>39</v>
      </c>
      <c r="F5232">
        <v>0</v>
      </c>
      <c r="G5232">
        <v>0</v>
      </c>
      <c r="H5232">
        <v>16</v>
      </c>
      <c r="I5232" s="3">
        <v>6526.87</v>
      </c>
      <c r="J5232" s="3">
        <v>4307.6400000000003</v>
      </c>
      <c r="K5232" t="s">
        <v>12293</v>
      </c>
      <c r="L5232">
        <v>6537</v>
      </c>
      <c r="M5232" t="s">
        <v>12294</v>
      </c>
      <c r="N5232" t="s">
        <v>30</v>
      </c>
      <c r="O5232" t="s">
        <v>31</v>
      </c>
      <c r="P5232" t="str">
        <f>"15206"</f>
        <v>15206</v>
      </c>
    </row>
    <row r="5233" spans="1:16" x14ac:dyDescent="0.25">
      <c r="A5233" t="str">
        <f>"1120125B00071    00"</f>
        <v>1120125B00071    00</v>
      </c>
      <c r="B5233" t="s">
        <v>12295</v>
      </c>
      <c r="C5233" t="s">
        <v>12296</v>
      </c>
      <c r="D5233" t="s">
        <v>20</v>
      </c>
      <c r="E5233" t="s">
        <v>39</v>
      </c>
      <c r="F5233">
        <v>0</v>
      </c>
      <c r="G5233">
        <v>0</v>
      </c>
      <c r="H5233">
        <v>11</v>
      </c>
      <c r="I5233" s="3">
        <v>3786.75</v>
      </c>
      <c r="J5233" s="3">
        <v>1757.09</v>
      </c>
      <c r="L5233">
        <v>6527</v>
      </c>
      <c r="M5233" t="s">
        <v>12294</v>
      </c>
      <c r="N5233" t="s">
        <v>30</v>
      </c>
      <c r="O5233" t="s">
        <v>31</v>
      </c>
      <c r="P5233" t="str">
        <f>"15206"</f>
        <v>15206</v>
      </c>
    </row>
    <row r="5234" spans="1:16" x14ac:dyDescent="0.25">
      <c r="A5234" t="str">
        <f>"1120125B00082    00"</f>
        <v>1120125B00082    00</v>
      </c>
      <c r="B5234" t="s">
        <v>12297</v>
      </c>
      <c r="C5234" t="s">
        <v>12298</v>
      </c>
      <c r="D5234" t="s">
        <v>33</v>
      </c>
      <c r="E5234" t="s">
        <v>39</v>
      </c>
      <c r="F5234">
        <v>0</v>
      </c>
      <c r="G5234">
        <v>0</v>
      </c>
      <c r="H5234">
        <v>3</v>
      </c>
      <c r="I5234" s="3">
        <v>691.23</v>
      </c>
      <c r="J5234" s="3">
        <v>3.82</v>
      </c>
      <c r="L5234">
        <v>1074</v>
      </c>
      <c r="M5234" t="s">
        <v>12299</v>
      </c>
      <c r="N5234" t="s">
        <v>30</v>
      </c>
      <c r="O5234" t="s">
        <v>31</v>
      </c>
      <c r="P5234" t="str">
        <f>"15235"</f>
        <v>15235</v>
      </c>
    </row>
    <row r="5235" spans="1:16" x14ac:dyDescent="0.25">
      <c r="A5235" t="str">
        <f>"1120125B00090    00"</f>
        <v>1120125B00090    00</v>
      </c>
      <c r="B5235" t="s">
        <v>12300</v>
      </c>
      <c r="C5235" t="s">
        <v>11868</v>
      </c>
      <c r="D5235" t="s">
        <v>20</v>
      </c>
      <c r="E5235" t="s">
        <v>39</v>
      </c>
      <c r="F5235">
        <v>0</v>
      </c>
      <c r="G5235">
        <v>0</v>
      </c>
      <c r="H5235">
        <v>1</v>
      </c>
      <c r="I5235" s="3">
        <v>81.97</v>
      </c>
      <c r="J5235" s="3">
        <v>0</v>
      </c>
      <c r="K5235" t="s">
        <v>12301</v>
      </c>
      <c r="L5235">
        <v>437</v>
      </c>
      <c r="M5235" t="s">
        <v>11994</v>
      </c>
      <c r="N5235" t="s">
        <v>30</v>
      </c>
      <c r="O5235" t="s">
        <v>31</v>
      </c>
      <c r="P5235" t="str">
        <f t="shared" ref="P5235:P5241" si="68">"15206"</f>
        <v>15206</v>
      </c>
    </row>
    <row r="5236" spans="1:16" x14ac:dyDescent="0.25">
      <c r="A5236" t="str">
        <f>"1120125B00117    00"</f>
        <v>1120125B00117    00</v>
      </c>
      <c r="B5236" t="s">
        <v>12300</v>
      </c>
      <c r="C5236" t="s">
        <v>12302</v>
      </c>
      <c r="D5236" t="s">
        <v>20</v>
      </c>
      <c r="E5236" t="s">
        <v>21</v>
      </c>
      <c r="F5236">
        <v>0</v>
      </c>
      <c r="G5236">
        <v>0</v>
      </c>
      <c r="H5236">
        <v>1</v>
      </c>
      <c r="I5236" s="3">
        <v>13128.55</v>
      </c>
      <c r="J5236" s="3">
        <v>0</v>
      </c>
      <c r="K5236" t="s">
        <v>12301</v>
      </c>
      <c r="L5236">
        <v>437</v>
      </c>
      <c r="M5236" t="s">
        <v>11994</v>
      </c>
      <c r="N5236" t="s">
        <v>30</v>
      </c>
      <c r="O5236" t="s">
        <v>31</v>
      </c>
      <c r="P5236" t="str">
        <f t="shared" si="68"/>
        <v>15206</v>
      </c>
    </row>
    <row r="5237" spans="1:16" x14ac:dyDescent="0.25">
      <c r="A5237" t="str">
        <f>"1120125B00118    00"</f>
        <v>1120125B00118    00</v>
      </c>
      <c r="B5237" t="s">
        <v>12303</v>
      </c>
      <c r="C5237" t="s">
        <v>12304</v>
      </c>
      <c r="D5237" t="s">
        <v>20</v>
      </c>
      <c r="E5237" t="s">
        <v>39</v>
      </c>
      <c r="F5237">
        <v>0</v>
      </c>
      <c r="G5237">
        <v>0</v>
      </c>
      <c r="H5237">
        <v>2</v>
      </c>
      <c r="I5237" s="3">
        <v>548.94000000000005</v>
      </c>
      <c r="J5237" s="3">
        <v>0</v>
      </c>
      <c r="K5237" t="s">
        <v>12305</v>
      </c>
      <c r="L5237">
        <v>512</v>
      </c>
      <c r="M5237" t="s">
        <v>11963</v>
      </c>
      <c r="N5237" t="s">
        <v>30</v>
      </c>
      <c r="O5237" t="s">
        <v>31</v>
      </c>
      <c r="P5237" t="str">
        <f t="shared" si="68"/>
        <v>15206</v>
      </c>
    </row>
    <row r="5238" spans="1:16" x14ac:dyDescent="0.25">
      <c r="A5238" t="str">
        <f>"1120125B00122    00"</f>
        <v>1120125B00122    00</v>
      </c>
      <c r="B5238" t="s">
        <v>12300</v>
      </c>
      <c r="C5238" t="s">
        <v>11958</v>
      </c>
      <c r="D5238" t="s">
        <v>20</v>
      </c>
      <c r="E5238" t="s">
        <v>207</v>
      </c>
      <c r="F5238">
        <v>0</v>
      </c>
      <c r="G5238">
        <v>0</v>
      </c>
      <c r="H5238">
        <v>1</v>
      </c>
      <c r="I5238" s="3">
        <v>72.430000000000007</v>
      </c>
      <c r="J5238" s="3">
        <v>0</v>
      </c>
      <c r="K5238" t="s">
        <v>12301</v>
      </c>
      <c r="L5238">
        <v>437</v>
      </c>
      <c r="M5238" t="s">
        <v>11994</v>
      </c>
      <c r="N5238" t="s">
        <v>30</v>
      </c>
      <c r="O5238" t="s">
        <v>31</v>
      </c>
      <c r="P5238" t="str">
        <f t="shared" si="68"/>
        <v>15206</v>
      </c>
    </row>
    <row r="5239" spans="1:16" x14ac:dyDescent="0.25">
      <c r="A5239" t="str">
        <f>"1120125B00123    00"</f>
        <v>1120125B00123    00</v>
      </c>
      <c r="B5239" t="s">
        <v>12300</v>
      </c>
      <c r="C5239" t="s">
        <v>11868</v>
      </c>
      <c r="D5239" t="s">
        <v>20</v>
      </c>
      <c r="E5239" t="s">
        <v>39</v>
      </c>
      <c r="F5239">
        <v>0</v>
      </c>
      <c r="G5239">
        <v>0</v>
      </c>
      <c r="H5239">
        <v>2</v>
      </c>
      <c r="I5239" s="3">
        <v>133.44</v>
      </c>
      <c r="J5239" s="3">
        <v>0</v>
      </c>
      <c r="K5239" t="s">
        <v>12301</v>
      </c>
      <c r="L5239">
        <v>6507</v>
      </c>
      <c r="M5239" t="s">
        <v>2990</v>
      </c>
      <c r="N5239" t="s">
        <v>30</v>
      </c>
      <c r="O5239" t="s">
        <v>31</v>
      </c>
      <c r="P5239" t="str">
        <f t="shared" si="68"/>
        <v>15206</v>
      </c>
    </row>
    <row r="5240" spans="1:16" x14ac:dyDescent="0.25">
      <c r="A5240" t="str">
        <f>"1120125B00125    00"</f>
        <v>1120125B00125    00</v>
      </c>
      <c r="B5240" t="s">
        <v>12300</v>
      </c>
      <c r="C5240" t="s">
        <v>11868</v>
      </c>
      <c r="D5240" t="s">
        <v>20</v>
      </c>
      <c r="E5240" t="s">
        <v>39</v>
      </c>
      <c r="F5240">
        <v>0</v>
      </c>
      <c r="G5240">
        <v>0</v>
      </c>
      <c r="H5240">
        <v>2</v>
      </c>
      <c r="I5240" s="3">
        <v>137.24</v>
      </c>
      <c r="J5240" s="3">
        <v>0</v>
      </c>
      <c r="K5240" t="s">
        <v>12301</v>
      </c>
      <c r="L5240">
        <v>6503</v>
      </c>
      <c r="M5240" t="s">
        <v>2990</v>
      </c>
      <c r="N5240" t="s">
        <v>30</v>
      </c>
      <c r="O5240" t="s">
        <v>31</v>
      </c>
      <c r="P5240" t="str">
        <f t="shared" si="68"/>
        <v>15206</v>
      </c>
    </row>
    <row r="5241" spans="1:16" x14ac:dyDescent="0.25">
      <c r="A5241" t="str">
        <f>"1120125B00135    00"</f>
        <v>1120125B00135    00</v>
      </c>
      <c r="B5241" t="s">
        <v>12306</v>
      </c>
      <c r="C5241" t="s">
        <v>12307</v>
      </c>
      <c r="D5241" t="s">
        <v>20</v>
      </c>
      <c r="E5241" t="s">
        <v>39</v>
      </c>
      <c r="F5241">
        <v>0</v>
      </c>
      <c r="G5241">
        <v>0</v>
      </c>
      <c r="H5241">
        <v>2</v>
      </c>
      <c r="I5241" s="3">
        <v>377.1</v>
      </c>
      <c r="J5241" s="3">
        <v>0</v>
      </c>
      <c r="L5241">
        <v>239</v>
      </c>
      <c r="M5241" t="s">
        <v>11446</v>
      </c>
      <c r="N5241" t="s">
        <v>30</v>
      </c>
      <c r="O5241" t="s">
        <v>31</v>
      </c>
      <c r="P5241" t="str">
        <f t="shared" si="68"/>
        <v>15206</v>
      </c>
    </row>
    <row r="5242" spans="1:16" x14ac:dyDescent="0.25">
      <c r="A5242" t="str">
        <f>"1120125B00138    00"</f>
        <v>1120125B00138    00</v>
      </c>
      <c r="B5242" t="s">
        <v>1354</v>
      </c>
      <c r="C5242" t="s">
        <v>11046</v>
      </c>
      <c r="D5242" t="s">
        <v>20</v>
      </c>
      <c r="E5242" t="s">
        <v>39</v>
      </c>
      <c r="F5242">
        <v>0</v>
      </c>
      <c r="G5242">
        <v>0</v>
      </c>
      <c r="H5242">
        <v>1</v>
      </c>
      <c r="I5242" s="3">
        <v>87.65</v>
      </c>
      <c r="J5242" s="3">
        <v>29.95</v>
      </c>
      <c r="L5242">
        <v>422</v>
      </c>
      <c r="M5242" t="s">
        <v>1352</v>
      </c>
      <c r="N5242" t="s">
        <v>1353</v>
      </c>
      <c r="O5242" t="s">
        <v>31</v>
      </c>
      <c r="P5242" t="str">
        <f>"15085"</f>
        <v>15085</v>
      </c>
    </row>
    <row r="5243" spans="1:16" x14ac:dyDescent="0.25">
      <c r="A5243" t="str">
        <f>"1120125B00161    00"</f>
        <v>1120125B00161    00</v>
      </c>
      <c r="B5243" t="s">
        <v>12308</v>
      </c>
      <c r="C5243" t="s">
        <v>11046</v>
      </c>
      <c r="D5243" t="s">
        <v>20</v>
      </c>
      <c r="E5243" t="s">
        <v>39</v>
      </c>
      <c r="F5243">
        <v>0</v>
      </c>
      <c r="G5243">
        <v>0</v>
      </c>
      <c r="H5243">
        <v>1</v>
      </c>
      <c r="I5243" s="3">
        <v>95.3</v>
      </c>
      <c r="J5243" s="3">
        <v>0</v>
      </c>
      <c r="K5243" t="s">
        <v>12301</v>
      </c>
      <c r="L5243">
        <v>437</v>
      </c>
      <c r="M5243" t="s">
        <v>11994</v>
      </c>
      <c r="N5243" t="s">
        <v>30</v>
      </c>
      <c r="O5243" t="s">
        <v>31</v>
      </c>
      <c r="P5243" t="str">
        <f>"15206"</f>
        <v>15206</v>
      </c>
    </row>
    <row r="5244" spans="1:16" x14ac:dyDescent="0.25">
      <c r="A5244" t="str">
        <f>"1120125B00163    00"</f>
        <v>1120125B00163    00</v>
      </c>
      <c r="B5244" t="s">
        <v>12308</v>
      </c>
      <c r="C5244" t="s">
        <v>11046</v>
      </c>
      <c r="D5244" t="s">
        <v>20</v>
      </c>
      <c r="E5244" t="s">
        <v>39</v>
      </c>
      <c r="F5244">
        <v>0</v>
      </c>
      <c r="G5244">
        <v>0</v>
      </c>
      <c r="H5244">
        <v>1</v>
      </c>
      <c r="I5244" s="3">
        <v>38.119999999999997</v>
      </c>
      <c r="J5244" s="3">
        <v>0</v>
      </c>
      <c r="K5244" t="s">
        <v>12301</v>
      </c>
      <c r="L5244">
        <v>437</v>
      </c>
      <c r="M5244" t="s">
        <v>11994</v>
      </c>
      <c r="N5244" t="s">
        <v>30</v>
      </c>
      <c r="O5244" t="s">
        <v>31</v>
      </c>
      <c r="P5244" t="str">
        <f>"15206"</f>
        <v>15206</v>
      </c>
    </row>
    <row r="5245" spans="1:16" x14ac:dyDescent="0.25">
      <c r="A5245" t="str">
        <f>"1120125B00164    00"</f>
        <v>1120125B00164    00</v>
      </c>
      <c r="B5245" t="s">
        <v>12308</v>
      </c>
      <c r="C5245" t="s">
        <v>11046</v>
      </c>
      <c r="D5245" t="s">
        <v>20</v>
      </c>
      <c r="E5245" t="s">
        <v>39</v>
      </c>
      <c r="F5245">
        <v>0</v>
      </c>
      <c r="G5245">
        <v>0</v>
      </c>
      <c r="H5245">
        <v>1</v>
      </c>
      <c r="I5245" s="3">
        <v>22.87</v>
      </c>
      <c r="J5245" s="3">
        <v>0</v>
      </c>
      <c r="K5245" t="s">
        <v>12301</v>
      </c>
      <c r="L5245">
        <v>437</v>
      </c>
      <c r="M5245" t="s">
        <v>11994</v>
      </c>
      <c r="N5245" t="s">
        <v>30</v>
      </c>
      <c r="O5245" t="s">
        <v>31</v>
      </c>
      <c r="P5245" t="str">
        <f>"15206"</f>
        <v>15206</v>
      </c>
    </row>
    <row r="5246" spans="1:16" x14ac:dyDescent="0.25">
      <c r="A5246" t="str">
        <f>"1120125B00165    00"</f>
        <v>1120125B00165    00</v>
      </c>
      <c r="B5246" t="s">
        <v>12300</v>
      </c>
      <c r="C5246" t="s">
        <v>11868</v>
      </c>
      <c r="D5246" t="s">
        <v>20</v>
      </c>
      <c r="E5246" t="s">
        <v>21</v>
      </c>
      <c r="F5246">
        <v>0</v>
      </c>
      <c r="G5246">
        <v>0</v>
      </c>
      <c r="H5246">
        <v>1</v>
      </c>
      <c r="I5246" s="3">
        <v>135.34</v>
      </c>
      <c r="J5246" s="3">
        <v>0</v>
      </c>
      <c r="K5246" t="s">
        <v>12301</v>
      </c>
      <c r="L5246">
        <v>437</v>
      </c>
      <c r="M5246" t="s">
        <v>11994</v>
      </c>
      <c r="N5246" t="s">
        <v>30</v>
      </c>
      <c r="O5246" t="s">
        <v>31</v>
      </c>
      <c r="P5246" t="str">
        <f>"15206"</f>
        <v>15206</v>
      </c>
    </row>
    <row r="5247" spans="1:16" x14ac:dyDescent="0.25">
      <c r="A5247" t="str">
        <f>"1120125B00196    00"</f>
        <v>1120125B00196    00</v>
      </c>
      <c r="B5247" t="s">
        <v>12308</v>
      </c>
      <c r="C5247" t="s">
        <v>12309</v>
      </c>
      <c r="D5247" t="s">
        <v>20</v>
      </c>
      <c r="E5247" t="s">
        <v>39</v>
      </c>
      <c r="F5247">
        <v>0</v>
      </c>
      <c r="G5247">
        <v>0</v>
      </c>
      <c r="H5247">
        <v>1</v>
      </c>
      <c r="I5247" s="3">
        <v>560.39</v>
      </c>
      <c r="J5247" s="3">
        <v>0</v>
      </c>
      <c r="K5247" t="s">
        <v>12301</v>
      </c>
      <c r="L5247">
        <v>437</v>
      </c>
      <c r="M5247" t="s">
        <v>11994</v>
      </c>
      <c r="N5247" t="s">
        <v>30</v>
      </c>
      <c r="O5247" t="s">
        <v>31</v>
      </c>
      <c r="P5247" t="str">
        <f>"15206"</f>
        <v>15206</v>
      </c>
    </row>
    <row r="5248" spans="1:16" x14ac:dyDescent="0.25">
      <c r="A5248" t="str">
        <f>"1120125B00217    00"</f>
        <v>1120125B00217    00</v>
      </c>
      <c r="B5248" t="s">
        <v>12310</v>
      </c>
      <c r="C5248" t="s">
        <v>12038</v>
      </c>
      <c r="D5248" t="s">
        <v>20</v>
      </c>
      <c r="E5248" t="s">
        <v>39</v>
      </c>
      <c r="F5248">
        <v>0</v>
      </c>
      <c r="G5248">
        <v>0</v>
      </c>
      <c r="H5248">
        <v>2</v>
      </c>
      <c r="I5248" s="3">
        <v>148.68</v>
      </c>
      <c r="J5248" s="3">
        <v>0</v>
      </c>
      <c r="L5248">
        <v>804</v>
      </c>
      <c r="M5248" t="s">
        <v>12311</v>
      </c>
      <c r="N5248" t="s">
        <v>12312</v>
      </c>
      <c r="O5248" t="s">
        <v>2767</v>
      </c>
      <c r="P5248" t="str">
        <f>"36744"</f>
        <v>36744</v>
      </c>
    </row>
    <row r="5249" spans="1:16" x14ac:dyDescent="0.25">
      <c r="A5249" t="str">
        <f>"1120125B00244    00"</f>
        <v>1120125B00244    00</v>
      </c>
      <c r="B5249" t="s">
        <v>12313</v>
      </c>
      <c r="C5249" t="s">
        <v>12038</v>
      </c>
      <c r="D5249" t="s">
        <v>20</v>
      </c>
      <c r="E5249" t="s">
        <v>21</v>
      </c>
      <c r="F5249">
        <v>0</v>
      </c>
      <c r="G5249">
        <v>0</v>
      </c>
      <c r="H5249">
        <v>2</v>
      </c>
      <c r="I5249" s="3">
        <v>705.13</v>
      </c>
      <c r="J5249" s="3">
        <v>0</v>
      </c>
      <c r="L5249">
        <v>444</v>
      </c>
      <c r="M5249" t="s">
        <v>2789</v>
      </c>
      <c r="N5249" t="s">
        <v>30</v>
      </c>
      <c r="O5249" t="s">
        <v>31</v>
      </c>
      <c r="P5249" t="str">
        <f>"15206"</f>
        <v>15206</v>
      </c>
    </row>
    <row r="5250" spans="1:16" x14ac:dyDescent="0.25">
      <c r="A5250" t="str">
        <f>"1120125B00262    00"</f>
        <v>1120125B00262    00</v>
      </c>
      <c r="B5250" t="s">
        <v>12314</v>
      </c>
      <c r="C5250" t="s">
        <v>12315</v>
      </c>
      <c r="D5250" t="s">
        <v>20</v>
      </c>
      <c r="E5250" t="s">
        <v>39</v>
      </c>
      <c r="F5250">
        <v>0</v>
      </c>
      <c r="G5250">
        <v>0</v>
      </c>
      <c r="H5250">
        <v>8</v>
      </c>
      <c r="I5250" s="3">
        <v>1319.65</v>
      </c>
      <c r="J5250" s="3">
        <v>730.3</v>
      </c>
      <c r="L5250">
        <v>6914</v>
      </c>
      <c r="M5250" t="s">
        <v>2350</v>
      </c>
      <c r="N5250" t="s">
        <v>30</v>
      </c>
      <c r="O5250" t="s">
        <v>31</v>
      </c>
      <c r="P5250" t="str">
        <f>"15208"</f>
        <v>15208</v>
      </c>
    </row>
    <row r="5251" spans="1:16" x14ac:dyDescent="0.25">
      <c r="A5251" t="str">
        <f>"1120125B00270    00"</f>
        <v>1120125B00270    00</v>
      </c>
      <c r="B5251" t="s">
        <v>12316</v>
      </c>
      <c r="C5251" t="s">
        <v>12038</v>
      </c>
      <c r="D5251" t="s">
        <v>20</v>
      </c>
      <c r="E5251" t="s">
        <v>39</v>
      </c>
      <c r="F5251">
        <v>0</v>
      </c>
      <c r="G5251">
        <v>0</v>
      </c>
      <c r="H5251">
        <v>7</v>
      </c>
      <c r="I5251" s="3">
        <v>665.63</v>
      </c>
      <c r="J5251" s="3">
        <v>184.07</v>
      </c>
      <c r="L5251">
        <v>36</v>
      </c>
      <c r="M5251" t="s">
        <v>12317</v>
      </c>
      <c r="N5251" t="s">
        <v>9536</v>
      </c>
      <c r="O5251" t="s">
        <v>423</v>
      </c>
      <c r="P5251" t="str">
        <f>"08701"</f>
        <v>08701</v>
      </c>
    </row>
    <row r="5252" spans="1:16" x14ac:dyDescent="0.25">
      <c r="A5252" t="str">
        <f>"1120125B00281    00"</f>
        <v>1120125B00281    00</v>
      </c>
      <c r="B5252" t="s">
        <v>1997</v>
      </c>
      <c r="C5252" t="s">
        <v>12038</v>
      </c>
      <c r="E5252" t="s">
        <v>39</v>
      </c>
      <c r="F5252">
        <v>0</v>
      </c>
      <c r="G5252">
        <v>0</v>
      </c>
      <c r="H5252">
        <v>10</v>
      </c>
      <c r="I5252" s="3">
        <v>488.25</v>
      </c>
      <c r="J5252" s="3">
        <v>581.98</v>
      </c>
      <c r="K5252" t="s">
        <v>2361</v>
      </c>
      <c r="L5252">
        <v>412</v>
      </c>
      <c r="M5252" t="s">
        <v>221</v>
      </c>
      <c r="N5252" t="s">
        <v>30</v>
      </c>
      <c r="O5252" t="s">
        <v>31</v>
      </c>
      <c r="P5252" t="str">
        <f>"15219"</f>
        <v>15219</v>
      </c>
    </row>
    <row r="5253" spans="1:16" x14ac:dyDescent="0.25">
      <c r="A5253" t="str">
        <f>"1120125B00283    00"</f>
        <v>1120125B00283    00</v>
      </c>
      <c r="B5253" t="s">
        <v>1997</v>
      </c>
      <c r="C5253" t="s">
        <v>12038</v>
      </c>
      <c r="E5253" t="s">
        <v>39</v>
      </c>
      <c r="F5253">
        <v>0</v>
      </c>
      <c r="G5253">
        <v>0</v>
      </c>
      <c r="H5253">
        <v>10</v>
      </c>
      <c r="I5253" s="3">
        <v>318.81</v>
      </c>
      <c r="J5253" s="3">
        <v>356.17</v>
      </c>
      <c r="K5253" t="s">
        <v>2361</v>
      </c>
      <c r="L5253">
        <v>412</v>
      </c>
      <c r="M5253" t="s">
        <v>221</v>
      </c>
      <c r="N5253" t="s">
        <v>30</v>
      </c>
      <c r="O5253" t="s">
        <v>31</v>
      </c>
      <c r="P5253" t="str">
        <f>"15219"</f>
        <v>15219</v>
      </c>
    </row>
    <row r="5254" spans="1:16" x14ac:dyDescent="0.25">
      <c r="A5254" t="str">
        <f>"1120125B00323    00"</f>
        <v>1120125B00323    00</v>
      </c>
      <c r="B5254" t="s">
        <v>12318</v>
      </c>
      <c r="C5254" t="s">
        <v>12319</v>
      </c>
      <c r="D5254" t="s">
        <v>20</v>
      </c>
      <c r="E5254" t="s">
        <v>39</v>
      </c>
      <c r="F5254">
        <v>0</v>
      </c>
      <c r="G5254">
        <v>0</v>
      </c>
      <c r="H5254">
        <v>2</v>
      </c>
      <c r="I5254" s="3">
        <v>1269.42</v>
      </c>
      <c r="J5254" s="3">
        <v>126.94</v>
      </c>
      <c r="L5254">
        <v>527</v>
      </c>
      <c r="M5254" t="s">
        <v>12233</v>
      </c>
      <c r="N5254" t="s">
        <v>30</v>
      </c>
      <c r="O5254" t="s">
        <v>31</v>
      </c>
      <c r="P5254" t="str">
        <f>"15206"</f>
        <v>15206</v>
      </c>
    </row>
    <row r="5255" spans="1:16" x14ac:dyDescent="0.25">
      <c r="A5255" t="str">
        <f>"1120125B00330    00"</f>
        <v>1120125B00330    00</v>
      </c>
      <c r="B5255" t="s">
        <v>12320</v>
      </c>
      <c r="C5255" t="s">
        <v>12321</v>
      </c>
      <c r="E5255" t="s">
        <v>39</v>
      </c>
      <c r="F5255">
        <v>0</v>
      </c>
      <c r="G5255">
        <v>0</v>
      </c>
      <c r="H5255">
        <v>1</v>
      </c>
      <c r="I5255" s="3">
        <v>484.72</v>
      </c>
      <c r="J5255" s="3">
        <v>0</v>
      </c>
      <c r="L5255">
        <v>513</v>
      </c>
      <c r="M5255" t="s">
        <v>12233</v>
      </c>
      <c r="N5255" t="s">
        <v>30</v>
      </c>
      <c r="O5255" t="s">
        <v>31</v>
      </c>
      <c r="P5255" t="str">
        <f>"15206"</f>
        <v>15206</v>
      </c>
    </row>
    <row r="5256" spans="1:16" x14ac:dyDescent="0.25">
      <c r="A5256" t="str">
        <f>"1120125B00331    00"</f>
        <v>1120125B00331    00</v>
      </c>
      <c r="B5256" t="s">
        <v>12316</v>
      </c>
      <c r="C5256" t="s">
        <v>12322</v>
      </c>
      <c r="D5256" t="s">
        <v>20</v>
      </c>
      <c r="E5256" t="s">
        <v>21</v>
      </c>
      <c r="F5256">
        <v>0</v>
      </c>
      <c r="G5256">
        <v>0</v>
      </c>
      <c r="H5256">
        <v>6</v>
      </c>
      <c r="I5256" s="3">
        <v>1191.04</v>
      </c>
      <c r="J5256" s="3">
        <v>287.97000000000003</v>
      </c>
      <c r="L5256">
        <v>36</v>
      </c>
      <c r="M5256" t="s">
        <v>12317</v>
      </c>
      <c r="N5256" t="s">
        <v>9536</v>
      </c>
      <c r="O5256" t="s">
        <v>423</v>
      </c>
      <c r="P5256" t="str">
        <f>"08701"</f>
        <v>08701</v>
      </c>
    </row>
    <row r="5257" spans="1:16" x14ac:dyDescent="0.25">
      <c r="A5257" t="str">
        <f>"1120125B00336    00"</f>
        <v>1120125B00336    00</v>
      </c>
      <c r="B5257" t="s">
        <v>12316</v>
      </c>
      <c r="C5257" t="s">
        <v>12322</v>
      </c>
      <c r="D5257" t="s">
        <v>20</v>
      </c>
      <c r="E5257" t="s">
        <v>21</v>
      </c>
      <c r="F5257">
        <v>0</v>
      </c>
      <c r="G5257">
        <v>0</v>
      </c>
      <c r="H5257">
        <v>8</v>
      </c>
      <c r="I5257" s="3">
        <v>4436.34</v>
      </c>
      <c r="J5257" s="3">
        <v>1238.58</v>
      </c>
      <c r="L5257">
        <v>36</v>
      </c>
      <c r="M5257" t="s">
        <v>12317</v>
      </c>
      <c r="N5257" t="s">
        <v>9536</v>
      </c>
      <c r="O5257" t="s">
        <v>423</v>
      </c>
      <c r="P5257" t="str">
        <f>"08701"</f>
        <v>08701</v>
      </c>
    </row>
    <row r="5258" spans="1:16" x14ac:dyDescent="0.25">
      <c r="A5258" t="str">
        <f>"1120125B00350    00"</f>
        <v>1120125B00350    00</v>
      </c>
      <c r="B5258" t="s">
        <v>12323</v>
      </c>
      <c r="C5258" t="s">
        <v>12324</v>
      </c>
      <c r="D5258" t="s">
        <v>20</v>
      </c>
      <c r="E5258" t="s">
        <v>39</v>
      </c>
      <c r="F5258">
        <v>0</v>
      </c>
      <c r="G5258">
        <v>0</v>
      </c>
      <c r="H5258">
        <v>3</v>
      </c>
      <c r="I5258" s="3">
        <v>1080.72</v>
      </c>
      <c r="J5258" s="3">
        <v>0</v>
      </c>
      <c r="K5258" t="s">
        <v>12325</v>
      </c>
      <c r="L5258">
        <v>124</v>
      </c>
      <c r="M5258" t="s">
        <v>12326</v>
      </c>
      <c r="N5258" t="s">
        <v>30</v>
      </c>
      <c r="O5258" t="s">
        <v>31</v>
      </c>
      <c r="P5258" t="str">
        <f>"15206"</f>
        <v>15206</v>
      </c>
    </row>
    <row r="5259" spans="1:16" x14ac:dyDescent="0.25">
      <c r="A5259" t="str">
        <f>"1120125C00014    00"</f>
        <v>1120125C00014    00</v>
      </c>
      <c r="B5259" t="s">
        <v>12327</v>
      </c>
      <c r="C5259" t="s">
        <v>12328</v>
      </c>
      <c r="D5259" t="s">
        <v>20</v>
      </c>
      <c r="E5259" t="s">
        <v>21</v>
      </c>
      <c r="F5259">
        <v>0</v>
      </c>
      <c r="G5259">
        <v>0</v>
      </c>
      <c r="H5259">
        <v>2</v>
      </c>
      <c r="I5259" s="3">
        <v>1067.4000000000001</v>
      </c>
      <c r="J5259" s="3">
        <v>0</v>
      </c>
      <c r="K5259" t="s">
        <v>12329</v>
      </c>
      <c r="L5259">
        <v>2436</v>
      </c>
      <c r="M5259" t="s">
        <v>12330</v>
      </c>
      <c r="N5259" t="s">
        <v>509</v>
      </c>
      <c r="O5259" t="s">
        <v>31</v>
      </c>
      <c r="P5259" t="str">
        <f>"19148"</f>
        <v>19148</v>
      </c>
    </row>
    <row r="5260" spans="1:16" x14ac:dyDescent="0.25">
      <c r="A5260" t="str">
        <f>"1120125C00025    00"</f>
        <v>1120125C00025    00</v>
      </c>
      <c r="B5260" t="s">
        <v>12331</v>
      </c>
      <c r="C5260" t="s">
        <v>12332</v>
      </c>
      <c r="D5260" t="s">
        <v>20</v>
      </c>
      <c r="E5260" t="s">
        <v>39</v>
      </c>
      <c r="F5260">
        <v>0</v>
      </c>
      <c r="G5260">
        <v>0</v>
      </c>
      <c r="H5260">
        <v>1</v>
      </c>
      <c r="I5260" s="3">
        <v>163.86</v>
      </c>
      <c r="J5260" s="3">
        <v>0</v>
      </c>
      <c r="L5260">
        <v>617</v>
      </c>
      <c r="M5260" t="s">
        <v>2789</v>
      </c>
      <c r="N5260" t="s">
        <v>30</v>
      </c>
      <c r="O5260" t="s">
        <v>31</v>
      </c>
      <c r="P5260" t="str">
        <f>"15206"</f>
        <v>15206</v>
      </c>
    </row>
    <row r="5261" spans="1:16" x14ac:dyDescent="0.25">
      <c r="A5261" t="str">
        <f>"1120125C00028    00"</f>
        <v>1120125C00028    00</v>
      </c>
      <c r="B5261" t="s">
        <v>12333</v>
      </c>
      <c r="C5261" t="s">
        <v>12334</v>
      </c>
      <c r="D5261" t="s">
        <v>20</v>
      </c>
      <c r="E5261" t="s">
        <v>21</v>
      </c>
      <c r="F5261">
        <v>0</v>
      </c>
      <c r="G5261">
        <v>0</v>
      </c>
      <c r="H5261">
        <v>3</v>
      </c>
      <c r="I5261" s="3">
        <v>18120.349999999999</v>
      </c>
      <c r="J5261" s="3">
        <v>84.19</v>
      </c>
      <c r="K5261" t="s">
        <v>4330</v>
      </c>
      <c r="L5261">
        <v>6191</v>
      </c>
      <c r="M5261" t="s">
        <v>4331</v>
      </c>
      <c r="N5261" t="s">
        <v>331</v>
      </c>
      <c r="O5261" t="s">
        <v>108</v>
      </c>
      <c r="P5261" t="str">
        <f>"75038"</f>
        <v>75038</v>
      </c>
    </row>
    <row r="5262" spans="1:16" x14ac:dyDescent="0.25">
      <c r="A5262" t="str">
        <f>"1120125C00036    00"</f>
        <v>1120125C00036    00</v>
      </c>
      <c r="B5262" t="s">
        <v>12335</v>
      </c>
      <c r="C5262" t="s">
        <v>12336</v>
      </c>
      <c r="D5262" t="s">
        <v>20</v>
      </c>
      <c r="E5262" t="s">
        <v>39</v>
      </c>
      <c r="F5262">
        <v>0</v>
      </c>
      <c r="G5262">
        <v>0</v>
      </c>
      <c r="H5262">
        <v>15</v>
      </c>
      <c r="I5262" s="3">
        <v>6344.75</v>
      </c>
      <c r="J5262" s="3">
        <v>4559.72</v>
      </c>
      <c r="L5262">
        <v>6556</v>
      </c>
      <c r="M5262" t="s">
        <v>12001</v>
      </c>
      <c r="N5262" t="s">
        <v>30</v>
      </c>
      <c r="O5262" t="s">
        <v>31</v>
      </c>
      <c r="P5262" t="str">
        <f>"15206"</f>
        <v>15206</v>
      </c>
    </row>
    <row r="5263" spans="1:16" x14ac:dyDescent="0.25">
      <c r="A5263" t="str">
        <f>"1120125C00037    00"</f>
        <v>1120125C00037    00</v>
      </c>
      <c r="B5263" t="s">
        <v>12337</v>
      </c>
      <c r="C5263" t="s">
        <v>12338</v>
      </c>
      <c r="D5263" t="s">
        <v>20</v>
      </c>
      <c r="E5263" t="s">
        <v>21</v>
      </c>
      <c r="F5263">
        <v>0</v>
      </c>
      <c r="G5263">
        <v>0</v>
      </c>
      <c r="H5263">
        <v>1</v>
      </c>
      <c r="I5263" s="3">
        <v>905.36</v>
      </c>
      <c r="J5263" s="3">
        <v>0</v>
      </c>
      <c r="K5263" t="s">
        <v>12339</v>
      </c>
      <c r="L5263">
        <v>531</v>
      </c>
      <c r="M5263" t="s">
        <v>2058</v>
      </c>
      <c r="N5263" t="s">
        <v>2059</v>
      </c>
      <c r="O5263" t="s">
        <v>31</v>
      </c>
      <c r="P5263" t="str">
        <f>"15642"</f>
        <v>15642</v>
      </c>
    </row>
    <row r="5264" spans="1:16" x14ac:dyDescent="0.25">
      <c r="A5264" t="str">
        <f>"1120125C00045    00"</f>
        <v>1120125C00045    00</v>
      </c>
      <c r="B5264" t="s">
        <v>12340</v>
      </c>
      <c r="C5264" t="s">
        <v>12017</v>
      </c>
      <c r="D5264" t="s">
        <v>20</v>
      </c>
      <c r="E5264" t="s">
        <v>39</v>
      </c>
      <c r="F5264">
        <v>0</v>
      </c>
      <c r="G5264">
        <v>0</v>
      </c>
      <c r="H5264">
        <v>7</v>
      </c>
      <c r="I5264" s="3">
        <v>38.33</v>
      </c>
      <c r="J5264" s="3">
        <v>0.88</v>
      </c>
      <c r="L5264">
        <v>8901</v>
      </c>
      <c r="M5264" t="s">
        <v>12341</v>
      </c>
      <c r="N5264" t="s">
        <v>30</v>
      </c>
      <c r="O5264" t="s">
        <v>31</v>
      </c>
      <c r="P5264" t="str">
        <f>"15235"</f>
        <v>15235</v>
      </c>
    </row>
    <row r="5265" spans="1:16" x14ac:dyDescent="0.25">
      <c r="A5265" t="str">
        <f>"1120125C00052    00"</f>
        <v>1120125C00052    00</v>
      </c>
      <c r="B5265" t="s">
        <v>12342</v>
      </c>
      <c r="C5265" t="s">
        <v>11977</v>
      </c>
      <c r="D5265" t="s">
        <v>20</v>
      </c>
      <c r="E5265" t="s">
        <v>39</v>
      </c>
      <c r="F5265">
        <v>0</v>
      </c>
      <c r="G5265">
        <v>0</v>
      </c>
      <c r="H5265">
        <v>6</v>
      </c>
      <c r="I5265" s="3">
        <v>612.97</v>
      </c>
      <c r="J5265" s="3">
        <v>177.53</v>
      </c>
      <c r="L5265">
        <v>352</v>
      </c>
      <c r="M5265" t="s">
        <v>12343</v>
      </c>
      <c r="N5265" t="s">
        <v>30</v>
      </c>
      <c r="O5265" t="s">
        <v>31</v>
      </c>
      <c r="P5265" t="str">
        <f>"15206"</f>
        <v>15206</v>
      </c>
    </row>
    <row r="5266" spans="1:16" x14ac:dyDescent="0.25">
      <c r="A5266" t="str">
        <f>"1120125C00075    00"</f>
        <v>1120125C00075    00</v>
      </c>
      <c r="B5266" t="s">
        <v>12344</v>
      </c>
      <c r="C5266" t="s">
        <v>12038</v>
      </c>
      <c r="D5266" t="s">
        <v>20</v>
      </c>
      <c r="E5266" t="s">
        <v>39</v>
      </c>
      <c r="F5266">
        <v>0</v>
      </c>
      <c r="G5266">
        <v>0</v>
      </c>
      <c r="H5266">
        <v>1</v>
      </c>
      <c r="I5266" s="3">
        <v>83.86</v>
      </c>
      <c r="J5266" s="3">
        <v>0</v>
      </c>
      <c r="L5266">
        <v>748</v>
      </c>
      <c r="M5266" t="s">
        <v>12019</v>
      </c>
      <c r="N5266" t="s">
        <v>295</v>
      </c>
      <c r="O5266" t="s">
        <v>31</v>
      </c>
      <c r="P5266" t="str">
        <f>"15146"</f>
        <v>15146</v>
      </c>
    </row>
    <row r="5267" spans="1:16" x14ac:dyDescent="0.25">
      <c r="A5267" t="str">
        <f>"1120125C00088    00"</f>
        <v>1120125C00088    00</v>
      </c>
      <c r="B5267" t="s">
        <v>12345</v>
      </c>
      <c r="C5267" t="s">
        <v>12038</v>
      </c>
      <c r="D5267" t="s">
        <v>20</v>
      </c>
      <c r="E5267" t="s">
        <v>39</v>
      </c>
      <c r="F5267">
        <v>0</v>
      </c>
      <c r="G5267">
        <v>0</v>
      </c>
      <c r="H5267">
        <v>15</v>
      </c>
      <c r="I5267" s="3">
        <v>4736.87</v>
      </c>
      <c r="J5267" s="3">
        <v>4859.2700000000004</v>
      </c>
      <c r="L5267">
        <v>616</v>
      </c>
      <c r="M5267" t="s">
        <v>2789</v>
      </c>
      <c r="N5267" t="s">
        <v>30</v>
      </c>
      <c r="O5267" t="s">
        <v>31</v>
      </c>
      <c r="P5267" t="str">
        <f>"15206"</f>
        <v>15206</v>
      </c>
    </row>
    <row r="5268" spans="1:16" x14ac:dyDescent="0.25">
      <c r="A5268" t="str">
        <f>"1120125C00109    00"</f>
        <v>1120125C00109    00</v>
      </c>
      <c r="B5268" t="s">
        <v>12346</v>
      </c>
      <c r="C5268" t="s">
        <v>11466</v>
      </c>
      <c r="E5268" t="s">
        <v>39</v>
      </c>
      <c r="F5268">
        <v>0</v>
      </c>
      <c r="G5268">
        <v>0</v>
      </c>
      <c r="H5268">
        <v>2</v>
      </c>
      <c r="I5268" s="3">
        <v>175.36</v>
      </c>
      <c r="J5268" s="3">
        <v>5.84</v>
      </c>
      <c r="K5268" t="s">
        <v>12347</v>
      </c>
      <c r="L5268">
        <v>6619</v>
      </c>
      <c r="M5268" t="s">
        <v>12348</v>
      </c>
      <c r="N5268" t="s">
        <v>30</v>
      </c>
      <c r="O5268" t="s">
        <v>31</v>
      </c>
      <c r="P5268" t="str">
        <f>"15206"</f>
        <v>15206</v>
      </c>
    </row>
    <row r="5269" spans="1:16" x14ac:dyDescent="0.25">
      <c r="A5269" t="str">
        <f>"1120125C00119    00"</f>
        <v>1120125C00119    00</v>
      </c>
      <c r="B5269" t="s">
        <v>12349</v>
      </c>
      <c r="C5269" t="s">
        <v>11466</v>
      </c>
      <c r="D5269" t="s">
        <v>20</v>
      </c>
      <c r="E5269" t="s">
        <v>39</v>
      </c>
      <c r="F5269">
        <v>0</v>
      </c>
      <c r="G5269">
        <v>0</v>
      </c>
      <c r="H5269">
        <v>18</v>
      </c>
      <c r="I5269" s="3">
        <v>5281.6</v>
      </c>
      <c r="J5269" s="3">
        <v>6721.12</v>
      </c>
      <c r="L5269">
        <v>7047</v>
      </c>
      <c r="M5269" t="s">
        <v>11238</v>
      </c>
      <c r="N5269" t="s">
        <v>30</v>
      </c>
      <c r="O5269" t="s">
        <v>31</v>
      </c>
      <c r="P5269" t="str">
        <f>"15206"</f>
        <v>15206</v>
      </c>
    </row>
    <row r="5270" spans="1:16" x14ac:dyDescent="0.25">
      <c r="A5270" t="str">
        <f>"1120125C00204    00"</f>
        <v>1120125C00204    00</v>
      </c>
      <c r="B5270" t="s">
        <v>12350</v>
      </c>
      <c r="C5270" t="s">
        <v>12351</v>
      </c>
      <c r="D5270" t="s">
        <v>20</v>
      </c>
      <c r="E5270" t="s">
        <v>39</v>
      </c>
      <c r="F5270">
        <v>0</v>
      </c>
      <c r="G5270">
        <v>0</v>
      </c>
      <c r="H5270">
        <v>10</v>
      </c>
      <c r="I5270" s="3">
        <v>1361.52</v>
      </c>
      <c r="J5270" s="3">
        <v>918.37</v>
      </c>
      <c r="L5270">
        <v>844</v>
      </c>
      <c r="M5270" t="s">
        <v>12352</v>
      </c>
      <c r="N5270" t="s">
        <v>30</v>
      </c>
      <c r="O5270" t="s">
        <v>31</v>
      </c>
      <c r="P5270" t="str">
        <f>"15208"</f>
        <v>15208</v>
      </c>
    </row>
    <row r="5271" spans="1:16" x14ac:dyDescent="0.25">
      <c r="A5271" t="str">
        <f>"1120125C00205    00"</f>
        <v>1120125C00205    00</v>
      </c>
      <c r="B5271" t="s">
        <v>12353</v>
      </c>
      <c r="C5271" t="s">
        <v>12354</v>
      </c>
      <c r="D5271" t="s">
        <v>20</v>
      </c>
      <c r="E5271" t="s">
        <v>39</v>
      </c>
      <c r="F5271">
        <v>0</v>
      </c>
      <c r="G5271">
        <v>0</v>
      </c>
      <c r="H5271">
        <v>7</v>
      </c>
      <c r="I5271" s="3">
        <v>5043.32</v>
      </c>
      <c r="J5271" s="3">
        <v>1475.14</v>
      </c>
      <c r="L5271">
        <v>522</v>
      </c>
      <c r="M5271" t="s">
        <v>12355</v>
      </c>
      <c r="N5271" t="s">
        <v>12356</v>
      </c>
      <c r="O5271" t="s">
        <v>31</v>
      </c>
      <c r="P5271" t="str">
        <f>"15613"</f>
        <v>15613</v>
      </c>
    </row>
    <row r="5272" spans="1:16" x14ac:dyDescent="0.25">
      <c r="A5272" t="str">
        <f>"1120125C00206    00"</f>
        <v>1120125C00206    00</v>
      </c>
      <c r="B5272" t="s">
        <v>12357</v>
      </c>
      <c r="C5272" t="s">
        <v>12358</v>
      </c>
      <c r="D5272" t="s">
        <v>20</v>
      </c>
      <c r="E5272" t="s">
        <v>39</v>
      </c>
      <c r="F5272">
        <v>0</v>
      </c>
      <c r="G5272">
        <v>0</v>
      </c>
      <c r="H5272">
        <v>7</v>
      </c>
      <c r="I5272" s="3">
        <v>1044</v>
      </c>
      <c r="J5272" s="3">
        <v>288.7</v>
      </c>
      <c r="L5272">
        <v>848</v>
      </c>
      <c r="M5272" t="s">
        <v>12352</v>
      </c>
      <c r="N5272" t="s">
        <v>30</v>
      </c>
      <c r="O5272" t="s">
        <v>31</v>
      </c>
      <c r="P5272" t="str">
        <f>"15208"</f>
        <v>15208</v>
      </c>
    </row>
    <row r="5273" spans="1:16" x14ac:dyDescent="0.25">
      <c r="A5273" t="str">
        <f>"1120125C00208    00"</f>
        <v>1120125C00208    00</v>
      </c>
      <c r="B5273" t="s">
        <v>12359</v>
      </c>
      <c r="C5273" t="s">
        <v>12360</v>
      </c>
      <c r="D5273" t="s">
        <v>20</v>
      </c>
      <c r="E5273" t="s">
        <v>39</v>
      </c>
      <c r="F5273">
        <v>0</v>
      </c>
      <c r="G5273">
        <v>0</v>
      </c>
      <c r="H5273">
        <v>1</v>
      </c>
      <c r="I5273" s="3">
        <v>209.66</v>
      </c>
      <c r="J5273" s="3">
        <v>0</v>
      </c>
      <c r="L5273">
        <v>1302</v>
      </c>
      <c r="M5273" t="s">
        <v>12361</v>
      </c>
      <c r="N5273" t="s">
        <v>652</v>
      </c>
      <c r="O5273" t="s">
        <v>108</v>
      </c>
      <c r="P5273" t="str">
        <f>"77019"</f>
        <v>77019</v>
      </c>
    </row>
    <row r="5274" spans="1:16" x14ac:dyDescent="0.25">
      <c r="A5274" t="str">
        <f>"1120125C00209    00"</f>
        <v>1120125C00209    00</v>
      </c>
      <c r="B5274" t="s">
        <v>12362</v>
      </c>
      <c r="C5274" t="s">
        <v>12363</v>
      </c>
      <c r="D5274" t="s">
        <v>20</v>
      </c>
      <c r="E5274" t="s">
        <v>39</v>
      </c>
      <c r="F5274">
        <v>0</v>
      </c>
      <c r="G5274">
        <v>0</v>
      </c>
      <c r="H5274">
        <v>2</v>
      </c>
      <c r="I5274" s="3">
        <v>144.5</v>
      </c>
      <c r="J5274" s="3">
        <v>0</v>
      </c>
      <c r="L5274">
        <v>193</v>
      </c>
      <c r="M5274" t="s">
        <v>12364</v>
      </c>
      <c r="N5274" t="s">
        <v>1046</v>
      </c>
      <c r="O5274" t="s">
        <v>31</v>
      </c>
      <c r="P5274" t="str">
        <f>"15147"</f>
        <v>15147</v>
      </c>
    </row>
    <row r="5275" spans="1:16" x14ac:dyDescent="0.25">
      <c r="A5275" t="str">
        <f>"1120125C00212    00"</f>
        <v>1120125C00212    00</v>
      </c>
      <c r="B5275" t="s">
        <v>12365</v>
      </c>
      <c r="C5275" t="s">
        <v>12366</v>
      </c>
      <c r="D5275" t="s">
        <v>20</v>
      </c>
      <c r="E5275" t="s">
        <v>39</v>
      </c>
      <c r="F5275">
        <v>0</v>
      </c>
      <c r="G5275">
        <v>0</v>
      </c>
      <c r="H5275">
        <v>6</v>
      </c>
      <c r="I5275" s="3">
        <v>3617.82</v>
      </c>
      <c r="J5275" s="3">
        <v>811.39</v>
      </c>
      <c r="L5275">
        <v>42</v>
      </c>
      <c r="M5275" t="s">
        <v>12367</v>
      </c>
      <c r="N5275" t="s">
        <v>30</v>
      </c>
      <c r="O5275" t="s">
        <v>31</v>
      </c>
      <c r="P5275" t="str">
        <f>"15214"</f>
        <v>15214</v>
      </c>
    </row>
    <row r="5276" spans="1:16" x14ac:dyDescent="0.25">
      <c r="A5276" t="str">
        <f>"1120125C00218    00"</f>
        <v>1120125C00218    00</v>
      </c>
      <c r="B5276" t="s">
        <v>12368</v>
      </c>
      <c r="C5276" t="s">
        <v>12369</v>
      </c>
      <c r="D5276" t="s">
        <v>20</v>
      </c>
      <c r="E5276" t="s">
        <v>39</v>
      </c>
      <c r="F5276">
        <v>0</v>
      </c>
      <c r="G5276">
        <v>0</v>
      </c>
      <c r="H5276">
        <v>4</v>
      </c>
      <c r="I5276" s="3">
        <v>845.7</v>
      </c>
      <c r="J5276" s="3">
        <v>0</v>
      </c>
      <c r="K5276" t="s">
        <v>12370</v>
      </c>
      <c r="L5276">
        <v>889</v>
      </c>
      <c r="M5276" t="s">
        <v>12352</v>
      </c>
      <c r="N5276" t="s">
        <v>30</v>
      </c>
      <c r="O5276" t="s">
        <v>31</v>
      </c>
      <c r="P5276" t="str">
        <f>"15208"</f>
        <v>15208</v>
      </c>
    </row>
    <row r="5277" spans="1:16" x14ac:dyDescent="0.25">
      <c r="A5277" t="str">
        <f>"1120125C00229    00"</f>
        <v>1120125C00229    00</v>
      </c>
      <c r="B5277" t="s">
        <v>12371</v>
      </c>
      <c r="C5277" t="s">
        <v>12372</v>
      </c>
      <c r="D5277" t="s">
        <v>20</v>
      </c>
      <c r="E5277" t="s">
        <v>39</v>
      </c>
      <c r="F5277">
        <v>0</v>
      </c>
      <c r="G5277">
        <v>0</v>
      </c>
      <c r="H5277">
        <v>2</v>
      </c>
      <c r="I5277" s="3">
        <v>756.62</v>
      </c>
      <c r="J5277" s="3">
        <v>0</v>
      </c>
      <c r="L5277">
        <v>5534</v>
      </c>
      <c r="M5277" t="s">
        <v>5832</v>
      </c>
      <c r="N5277" t="s">
        <v>30</v>
      </c>
      <c r="O5277" t="s">
        <v>31</v>
      </c>
      <c r="P5277" t="str">
        <f>"15206"</f>
        <v>15206</v>
      </c>
    </row>
    <row r="5278" spans="1:16" x14ac:dyDescent="0.25">
      <c r="A5278" t="str">
        <f>"1120125C00231    00"</f>
        <v>1120125C00231    00</v>
      </c>
      <c r="B5278" t="s">
        <v>12373</v>
      </c>
      <c r="C5278" t="s">
        <v>12374</v>
      </c>
      <c r="D5278" t="s">
        <v>20</v>
      </c>
      <c r="E5278" t="s">
        <v>39</v>
      </c>
      <c r="F5278">
        <v>0</v>
      </c>
      <c r="G5278">
        <v>0</v>
      </c>
      <c r="H5278">
        <v>7</v>
      </c>
      <c r="I5278" s="3">
        <v>1646.47</v>
      </c>
      <c r="J5278" s="3">
        <v>543.75</v>
      </c>
      <c r="L5278">
        <v>851</v>
      </c>
      <c r="M5278" t="s">
        <v>12375</v>
      </c>
      <c r="N5278" t="s">
        <v>30</v>
      </c>
      <c r="O5278" t="s">
        <v>31</v>
      </c>
      <c r="P5278" t="str">
        <f>"15208"</f>
        <v>15208</v>
      </c>
    </row>
    <row r="5279" spans="1:16" x14ac:dyDescent="0.25">
      <c r="A5279" t="str">
        <f>"1120125C00232    00"</f>
        <v>1120125C00232    00</v>
      </c>
      <c r="B5279" t="s">
        <v>12373</v>
      </c>
      <c r="C5279" t="s">
        <v>12374</v>
      </c>
      <c r="D5279" t="s">
        <v>20</v>
      </c>
      <c r="E5279" t="s">
        <v>39</v>
      </c>
      <c r="F5279">
        <v>0</v>
      </c>
      <c r="G5279">
        <v>0</v>
      </c>
      <c r="H5279">
        <v>4</v>
      </c>
      <c r="I5279" s="3">
        <v>249</v>
      </c>
      <c r="J5279" s="3">
        <v>30.67</v>
      </c>
      <c r="L5279">
        <v>851</v>
      </c>
      <c r="M5279" t="s">
        <v>12375</v>
      </c>
      <c r="N5279" t="s">
        <v>30</v>
      </c>
      <c r="O5279" t="s">
        <v>31</v>
      </c>
      <c r="P5279" t="str">
        <f>"15208"</f>
        <v>15208</v>
      </c>
    </row>
    <row r="5280" spans="1:16" x14ac:dyDescent="0.25">
      <c r="A5280" t="str">
        <f>"1120125C00350    03"</f>
        <v>1120125C00350    03</v>
      </c>
      <c r="B5280" t="s">
        <v>4694</v>
      </c>
      <c r="C5280">
        <v>0</v>
      </c>
      <c r="E5280" t="s">
        <v>513</v>
      </c>
      <c r="F5280">
        <v>0</v>
      </c>
      <c r="G5280">
        <v>0</v>
      </c>
      <c r="H5280">
        <v>3</v>
      </c>
      <c r="I5280" s="3">
        <v>135.51</v>
      </c>
      <c r="J5280" s="3">
        <v>161.97</v>
      </c>
      <c r="K5280" t="s">
        <v>4696</v>
      </c>
      <c r="L5280">
        <v>519</v>
      </c>
      <c r="M5280" t="s">
        <v>11083</v>
      </c>
      <c r="N5280" t="s">
        <v>5847</v>
      </c>
      <c r="O5280" t="s">
        <v>31</v>
      </c>
      <c r="P5280" t="str">
        <f>"15139"</f>
        <v>15139</v>
      </c>
    </row>
    <row r="5281" spans="1:16" x14ac:dyDescent="0.25">
      <c r="A5281" t="str">
        <f>"1120125D00010    00"</f>
        <v>1120125D00010    00</v>
      </c>
      <c r="B5281" t="s">
        <v>12376</v>
      </c>
      <c r="C5281" t="s">
        <v>12377</v>
      </c>
      <c r="D5281" t="s">
        <v>20</v>
      </c>
      <c r="E5281" t="s">
        <v>39</v>
      </c>
      <c r="F5281">
        <v>0</v>
      </c>
      <c r="G5281">
        <v>0</v>
      </c>
      <c r="H5281">
        <v>19</v>
      </c>
      <c r="I5281" s="3">
        <v>17734.060000000001</v>
      </c>
      <c r="J5281" s="3">
        <v>13592.64</v>
      </c>
      <c r="L5281">
        <v>7331</v>
      </c>
      <c r="M5281" t="s">
        <v>12378</v>
      </c>
      <c r="N5281" t="s">
        <v>30</v>
      </c>
      <c r="O5281" t="s">
        <v>31</v>
      </c>
      <c r="P5281" t="str">
        <f>"15208"</f>
        <v>15208</v>
      </c>
    </row>
    <row r="5282" spans="1:16" x14ac:dyDescent="0.25">
      <c r="A5282" t="str">
        <f>"1120125D00020    00"</f>
        <v>1120125D00020    00</v>
      </c>
      <c r="B5282" t="s">
        <v>12379</v>
      </c>
      <c r="C5282" t="s">
        <v>12380</v>
      </c>
      <c r="D5282" t="s">
        <v>20</v>
      </c>
      <c r="E5282" t="s">
        <v>39</v>
      </c>
      <c r="F5282">
        <v>0</v>
      </c>
      <c r="G5282">
        <v>0</v>
      </c>
      <c r="H5282">
        <v>19</v>
      </c>
      <c r="I5282" s="3">
        <v>10473.31</v>
      </c>
      <c r="J5282" s="3">
        <v>13217.16</v>
      </c>
      <c r="L5282">
        <v>7331</v>
      </c>
      <c r="M5282" t="s">
        <v>12378</v>
      </c>
      <c r="N5282" t="s">
        <v>30</v>
      </c>
      <c r="O5282" t="s">
        <v>31</v>
      </c>
      <c r="P5282" t="str">
        <f>"15208"</f>
        <v>15208</v>
      </c>
    </row>
    <row r="5283" spans="1:16" x14ac:dyDescent="0.25">
      <c r="A5283" t="str">
        <f>"1120125D00027    00"</f>
        <v>1120125D00027    00</v>
      </c>
      <c r="B5283" t="s">
        <v>12381</v>
      </c>
      <c r="C5283" t="s">
        <v>12382</v>
      </c>
      <c r="D5283" t="s">
        <v>20</v>
      </c>
      <c r="E5283" t="s">
        <v>39</v>
      </c>
      <c r="F5283">
        <v>0</v>
      </c>
      <c r="G5283">
        <v>0</v>
      </c>
      <c r="H5283">
        <v>6</v>
      </c>
      <c r="I5283" s="3">
        <v>2272.0100000000002</v>
      </c>
      <c r="J5283" s="3">
        <v>481.26</v>
      </c>
      <c r="L5283">
        <v>1027</v>
      </c>
      <c r="M5283" t="s">
        <v>12383</v>
      </c>
      <c r="N5283" t="s">
        <v>30</v>
      </c>
      <c r="O5283" t="s">
        <v>31</v>
      </c>
      <c r="P5283" t="str">
        <f>"15208"</f>
        <v>15208</v>
      </c>
    </row>
    <row r="5284" spans="1:16" x14ac:dyDescent="0.25">
      <c r="A5284" t="str">
        <f>"1120125D00043    00"</f>
        <v>1120125D00043    00</v>
      </c>
      <c r="B5284" t="s">
        <v>12384</v>
      </c>
      <c r="C5284" t="s">
        <v>12385</v>
      </c>
      <c r="E5284" t="s">
        <v>39</v>
      </c>
      <c r="F5284">
        <v>0</v>
      </c>
      <c r="G5284">
        <v>0</v>
      </c>
      <c r="H5284">
        <v>3</v>
      </c>
      <c r="I5284" s="3">
        <v>541.87</v>
      </c>
      <c r="J5284" s="3">
        <v>75.67</v>
      </c>
      <c r="L5284">
        <v>404</v>
      </c>
      <c r="M5284" t="s">
        <v>12386</v>
      </c>
      <c r="N5284" t="s">
        <v>30</v>
      </c>
      <c r="O5284" t="s">
        <v>31</v>
      </c>
      <c r="P5284" t="str">
        <f>"15235"</f>
        <v>15235</v>
      </c>
    </row>
    <row r="5285" spans="1:16" x14ac:dyDescent="0.25">
      <c r="A5285" t="str">
        <f>"1120125D00044    00"</f>
        <v>1120125D00044    00</v>
      </c>
      <c r="B5285" t="s">
        <v>12387</v>
      </c>
      <c r="C5285" t="s">
        <v>12388</v>
      </c>
      <c r="D5285" t="s">
        <v>20</v>
      </c>
      <c r="E5285" t="s">
        <v>39</v>
      </c>
      <c r="F5285">
        <v>0</v>
      </c>
      <c r="G5285">
        <v>0</v>
      </c>
      <c r="H5285">
        <v>14</v>
      </c>
      <c r="I5285" s="3">
        <v>6675.61</v>
      </c>
      <c r="J5285" s="3">
        <v>7157.42</v>
      </c>
      <c r="L5285">
        <v>6946</v>
      </c>
      <c r="M5285" t="s">
        <v>12045</v>
      </c>
      <c r="N5285" t="s">
        <v>30</v>
      </c>
      <c r="O5285" t="s">
        <v>31</v>
      </c>
      <c r="P5285" t="str">
        <f>"15208"</f>
        <v>15208</v>
      </c>
    </row>
    <row r="5286" spans="1:16" x14ac:dyDescent="0.25">
      <c r="A5286" t="str">
        <f>"1120125D00048    00"</f>
        <v>1120125D00048    00</v>
      </c>
      <c r="B5286" t="s">
        <v>12389</v>
      </c>
      <c r="C5286" t="s">
        <v>12390</v>
      </c>
      <c r="D5286" t="s">
        <v>20</v>
      </c>
      <c r="E5286" t="s">
        <v>39</v>
      </c>
      <c r="F5286">
        <v>0</v>
      </c>
      <c r="G5286">
        <v>0</v>
      </c>
      <c r="H5286">
        <v>6</v>
      </c>
      <c r="I5286" s="3">
        <v>3916.77</v>
      </c>
      <c r="J5286" s="3">
        <v>647.82000000000005</v>
      </c>
      <c r="L5286">
        <v>5132</v>
      </c>
      <c r="M5286" t="s">
        <v>12391</v>
      </c>
      <c r="N5286" t="s">
        <v>12392</v>
      </c>
      <c r="O5286" t="s">
        <v>31</v>
      </c>
      <c r="P5286" t="str">
        <f>"15666"</f>
        <v>15666</v>
      </c>
    </row>
    <row r="5287" spans="1:16" x14ac:dyDescent="0.25">
      <c r="A5287" t="str">
        <f>"1120125D00128    00"</f>
        <v>1120125D00128    00</v>
      </c>
      <c r="B5287" t="s">
        <v>12393</v>
      </c>
      <c r="C5287" t="s">
        <v>12394</v>
      </c>
      <c r="D5287" t="s">
        <v>20</v>
      </c>
      <c r="E5287" t="s">
        <v>39</v>
      </c>
      <c r="F5287">
        <v>0</v>
      </c>
      <c r="G5287">
        <v>0</v>
      </c>
      <c r="H5287">
        <v>9</v>
      </c>
      <c r="I5287" s="3">
        <v>2682.85</v>
      </c>
      <c r="J5287" s="3">
        <v>955.2</v>
      </c>
      <c r="L5287">
        <v>7341</v>
      </c>
      <c r="M5287" t="s">
        <v>12395</v>
      </c>
      <c r="N5287" t="s">
        <v>30</v>
      </c>
      <c r="O5287" t="s">
        <v>31</v>
      </c>
      <c r="P5287" t="str">
        <f t="shared" ref="P5287:P5293" si="69">"15208"</f>
        <v>15208</v>
      </c>
    </row>
    <row r="5288" spans="1:16" x14ac:dyDescent="0.25">
      <c r="A5288" t="str">
        <f>"1120125D00136    00"</f>
        <v>1120125D00136    00</v>
      </c>
      <c r="B5288" t="s">
        <v>12396</v>
      </c>
      <c r="C5288" t="s">
        <v>12397</v>
      </c>
      <c r="D5288" t="s">
        <v>20</v>
      </c>
      <c r="E5288" t="s">
        <v>39</v>
      </c>
      <c r="F5288">
        <v>0</v>
      </c>
      <c r="G5288">
        <v>0</v>
      </c>
      <c r="H5288">
        <v>2</v>
      </c>
      <c r="I5288" s="3">
        <v>19.52</v>
      </c>
      <c r="J5288" s="3">
        <v>0</v>
      </c>
      <c r="K5288" t="s">
        <v>12398</v>
      </c>
      <c r="L5288">
        <v>6927</v>
      </c>
      <c r="M5288" t="s">
        <v>3980</v>
      </c>
      <c r="N5288" t="s">
        <v>30</v>
      </c>
      <c r="O5288" t="s">
        <v>31</v>
      </c>
      <c r="P5288" t="str">
        <f t="shared" si="69"/>
        <v>15208</v>
      </c>
    </row>
    <row r="5289" spans="1:16" x14ac:dyDescent="0.25">
      <c r="A5289" t="str">
        <f>"1120125D00137    00"</f>
        <v>1120125D00137    00</v>
      </c>
      <c r="B5289" t="s">
        <v>12396</v>
      </c>
      <c r="C5289" t="s">
        <v>12397</v>
      </c>
      <c r="D5289" t="s">
        <v>20</v>
      </c>
      <c r="E5289" t="s">
        <v>39</v>
      </c>
      <c r="F5289">
        <v>0</v>
      </c>
      <c r="G5289">
        <v>0</v>
      </c>
      <c r="H5289">
        <v>2</v>
      </c>
      <c r="I5289" s="3">
        <v>19.52</v>
      </c>
      <c r="J5289" s="3">
        <v>0</v>
      </c>
      <c r="K5289" t="s">
        <v>12398</v>
      </c>
      <c r="L5289">
        <v>6927</v>
      </c>
      <c r="M5289" t="s">
        <v>3980</v>
      </c>
      <c r="N5289" t="s">
        <v>30</v>
      </c>
      <c r="O5289" t="s">
        <v>31</v>
      </c>
      <c r="P5289" t="str">
        <f t="shared" si="69"/>
        <v>15208</v>
      </c>
    </row>
    <row r="5290" spans="1:16" x14ac:dyDescent="0.25">
      <c r="A5290" t="str">
        <f>"1120125D00138    00"</f>
        <v>1120125D00138    00</v>
      </c>
      <c r="B5290" t="s">
        <v>12396</v>
      </c>
      <c r="C5290" t="s">
        <v>12399</v>
      </c>
      <c r="D5290" t="s">
        <v>20</v>
      </c>
      <c r="E5290" t="s">
        <v>39</v>
      </c>
      <c r="F5290">
        <v>0</v>
      </c>
      <c r="G5290">
        <v>0</v>
      </c>
      <c r="H5290">
        <v>2</v>
      </c>
      <c r="I5290" s="3">
        <v>82.82</v>
      </c>
      <c r="J5290" s="3">
        <v>0</v>
      </c>
      <c r="K5290" t="s">
        <v>12398</v>
      </c>
      <c r="L5290">
        <v>6927</v>
      </c>
      <c r="M5290" t="s">
        <v>3980</v>
      </c>
      <c r="N5290" t="s">
        <v>30</v>
      </c>
      <c r="O5290" t="s">
        <v>31</v>
      </c>
      <c r="P5290" t="str">
        <f t="shared" si="69"/>
        <v>15208</v>
      </c>
    </row>
    <row r="5291" spans="1:16" x14ac:dyDescent="0.25">
      <c r="A5291" t="str">
        <f>"1120125D00162    00"</f>
        <v>1120125D00162    00</v>
      </c>
      <c r="B5291" t="s">
        <v>12400</v>
      </c>
      <c r="C5291" t="s">
        <v>12401</v>
      </c>
      <c r="D5291" t="s">
        <v>20</v>
      </c>
      <c r="E5291" t="s">
        <v>39</v>
      </c>
      <c r="F5291">
        <v>0</v>
      </c>
      <c r="G5291">
        <v>0</v>
      </c>
      <c r="H5291">
        <v>2</v>
      </c>
      <c r="I5291" s="3">
        <v>857.72</v>
      </c>
      <c r="J5291" s="3">
        <v>0</v>
      </c>
      <c r="L5291">
        <v>6910</v>
      </c>
      <c r="M5291" t="s">
        <v>3980</v>
      </c>
      <c r="N5291" t="s">
        <v>30</v>
      </c>
      <c r="O5291" t="s">
        <v>31</v>
      </c>
      <c r="P5291" t="str">
        <f t="shared" si="69"/>
        <v>15208</v>
      </c>
    </row>
    <row r="5292" spans="1:16" x14ac:dyDescent="0.25">
      <c r="A5292" t="str">
        <f>"1120125D00163    00"</f>
        <v>1120125D00163    00</v>
      </c>
      <c r="B5292" t="s">
        <v>12402</v>
      </c>
      <c r="C5292" t="s">
        <v>12403</v>
      </c>
      <c r="E5292" t="s">
        <v>39</v>
      </c>
      <c r="F5292">
        <v>0</v>
      </c>
      <c r="G5292">
        <v>0</v>
      </c>
      <c r="H5292">
        <v>8</v>
      </c>
      <c r="I5292" s="3">
        <v>837.97</v>
      </c>
      <c r="J5292" s="3">
        <v>538.07000000000005</v>
      </c>
      <c r="K5292" t="s">
        <v>12404</v>
      </c>
      <c r="L5292">
        <v>6914</v>
      </c>
      <c r="M5292" t="s">
        <v>3980</v>
      </c>
      <c r="N5292" t="s">
        <v>30</v>
      </c>
      <c r="O5292" t="s">
        <v>31</v>
      </c>
      <c r="P5292" t="str">
        <f t="shared" si="69"/>
        <v>15208</v>
      </c>
    </row>
    <row r="5293" spans="1:16" x14ac:dyDescent="0.25">
      <c r="A5293" t="str">
        <f>"1120125D00167    00"</f>
        <v>1120125D00167    00</v>
      </c>
      <c r="B5293" t="s">
        <v>12405</v>
      </c>
      <c r="C5293" t="s">
        <v>12406</v>
      </c>
      <c r="D5293" t="s">
        <v>20</v>
      </c>
      <c r="E5293" t="s">
        <v>39</v>
      </c>
      <c r="F5293">
        <v>0</v>
      </c>
      <c r="G5293">
        <v>0</v>
      </c>
      <c r="H5293">
        <v>2</v>
      </c>
      <c r="I5293" s="3">
        <v>495.6</v>
      </c>
      <c r="J5293" s="3">
        <v>0</v>
      </c>
      <c r="L5293">
        <v>7013</v>
      </c>
      <c r="M5293" t="s">
        <v>12378</v>
      </c>
      <c r="N5293" t="s">
        <v>30</v>
      </c>
      <c r="O5293" t="s">
        <v>31</v>
      </c>
      <c r="P5293" t="str">
        <f t="shared" si="69"/>
        <v>15208</v>
      </c>
    </row>
    <row r="5294" spans="1:16" x14ac:dyDescent="0.25">
      <c r="A5294" t="str">
        <f>"1120125D00169    00"</f>
        <v>1120125D00169    00</v>
      </c>
      <c r="B5294" t="s">
        <v>11631</v>
      </c>
      <c r="C5294" t="s">
        <v>12407</v>
      </c>
      <c r="D5294" t="s">
        <v>20</v>
      </c>
      <c r="E5294" t="s">
        <v>39</v>
      </c>
      <c r="F5294">
        <v>0</v>
      </c>
      <c r="G5294">
        <v>0</v>
      </c>
      <c r="H5294">
        <v>7</v>
      </c>
      <c r="I5294" s="3">
        <v>2227.6999999999998</v>
      </c>
      <c r="J5294" s="3">
        <v>581</v>
      </c>
      <c r="L5294">
        <v>1006</v>
      </c>
      <c r="M5294" t="s">
        <v>2789</v>
      </c>
      <c r="N5294" t="s">
        <v>30</v>
      </c>
      <c r="O5294" t="s">
        <v>31</v>
      </c>
      <c r="P5294" t="str">
        <f>"15206"</f>
        <v>15206</v>
      </c>
    </row>
    <row r="5295" spans="1:16" x14ac:dyDescent="0.25">
      <c r="A5295" t="str">
        <f>"1120125D00171    00"</f>
        <v>1120125D00171    00</v>
      </c>
      <c r="B5295" t="s">
        <v>12408</v>
      </c>
      <c r="C5295" t="s">
        <v>12409</v>
      </c>
      <c r="D5295" t="s">
        <v>20</v>
      </c>
      <c r="E5295" t="s">
        <v>39</v>
      </c>
      <c r="F5295">
        <v>0</v>
      </c>
      <c r="G5295">
        <v>0</v>
      </c>
      <c r="H5295">
        <v>4</v>
      </c>
      <c r="I5295" s="3">
        <v>1592.56</v>
      </c>
      <c r="J5295" s="3">
        <v>127.3</v>
      </c>
      <c r="L5295">
        <v>6948</v>
      </c>
      <c r="M5295" t="s">
        <v>3980</v>
      </c>
      <c r="N5295" t="s">
        <v>30</v>
      </c>
      <c r="O5295" t="s">
        <v>31</v>
      </c>
      <c r="P5295" t="str">
        <f>"15208"</f>
        <v>15208</v>
      </c>
    </row>
    <row r="5296" spans="1:16" x14ac:dyDescent="0.25">
      <c r="A5296" t="str">
        <f>"1120125D00179    00"</f>
        <v>1120125D00179    00</v>
      </c>
      <c r="B5296" t="s">
        <v>12410</v>
      </c>
      <c r="C5296" t="s">
        <v>12411</v>
      </c>
      <c r="D5296" t="s">
        <v>20</v>
      </c>
      <c r="E5296" t="s">
        <v>39</v>
      </c>
      <c r="F5296">
        <v>0</v>
      </c>
      <c r="G5296">
        <v>0</v>
      </c>
      <c r="H5296">
        <v>1</v>
      </c>
      <c r="I5296" s="3">
        <v>266.83999999999997</v>
      </c>
      <c r="J5296" s="3">
        <v>0</v>
      </c>
      <c r="L5296">
        <v>1205</v>
      </c>
      <c r="M5296" t="s">
        <v>12412</v>
      </c>
      <c r="N5296" t="s">
        <v>30</v>
      </c>
      <c r="O5296" t="s">
        <v>31</v>
      </c>
      <c r="P5296" t="str">
        <f>"15208"</f>
        <v>15208</v>
      </c>
    </row>
    <row r="5297" spans="1:16" x14ac:dyDescent="0.25">
      <c r="A5297" t="str">
        <f>"1120125D00191    00"</f>
        <v>1120125D00191    00</v>
      </c>
      <c r="B5297" t="s">
        <v>12413</v>
      </c>
      <c r="C5297" t="s">
        <v>12414</v>
      </c>
      <c r="E5297" t="s">
        <v>39</v>
      </c>
      <c r="F5297">
        <v>0</v>
      </c>
      <c r="G5297">
        <v>0</v>
      </c>
      <c r="H5297">
        <v>6</v>
      </c>
      <c r="I5297" s="3">
        <v>2281.17</v>
      </c>
      <c r="J5297" s="3">
        <v>2476.83</v>
      </c>
      <c r="L5297">
        <v>6957</v>
      </c>
      <c r="M5297" t="s">
        <v>12378</v>
      </c>
      <c r="N5297" t="s">
        <v>30</v>
      </c>
      <c r="O5297" t="s">
        <v>31</v>
      </c>
      <c r="P5297" t="str">
        <f>"15208"</f>
        <v>15208</v>
      </c>
    </row>
    <row r="5298" spans="1:16" x14ac:dyDescent="0.25">
      <c r="A5298" t="str">
        <f>"1120125D00361    00"</f>
        <v>1120125D00361    00</v>
      </c>
      <c r="B5298" t="s">
        <v>12415</v>
      </c>
      <c r="C5298" t="s">
        <v>12416</v>
      </c>
      <c r="D5298" t="s">
        <v>20</v>
      </c>
      <c r="E5298" t="s">
        <v>39</v>
      </c>
      <c r="F5298">
        <v>0</v>
      </c>
      <c r="G5298">
        <v>0</v>
      </c>
      <c r="H5298">
        <v>2</v>
      </c>
      <c r="I5298" s="3">
        <v>1440.96</v>
      </c>
      <c r="J5298" s="3">
        <v>0</v>
      </c>
      <c r="L5298">
        <v>4604</v>
      </c>
      <c r="M5298" t="s">
        <v>8639</v>
      </c>
      <c r="N5298" t="s">
        <v>30</v>
      </c>
      <c r="O5298" t="s">
        <v>31</v>
      </c>
      <c r="P5298" t="str">
        <f>"15201"</f>
        <v>15201</v>
      </c>
    </row>
    <row r="5299" spans="1:16" x14ac:dyDescent="0.25">
      <c r="A5299" t="str">
        <f>"1120125E00036    00"</f>
        <v>1120125E00036    00</v>
      </c>
      <c r="B5299" t="s">
        <v>12417</v>
      </c>
      <c r="C5299" t="s">
        <v>12418</v>
      </c>
      <c r="D5299" t="s">
        <v>20</v>
      </c>
      <c r="E5299" t="s">
        <v>39</v>
      </c>
      <c r="F5299">
        <v>0</v>
      </c>
      <c r="G5299">
        <v>0</v>
      </c>
      <c r="H5299">
        <v>2</v>
      </c>
      <c r="I5299" s="3">
        <v>82.31</v>
      </c>
      <c r="J5299" s="3">
        <v>7.0000000000000007E-2</v>
      </c>
      <c r="K5299" t="s">
        <v>12419</v>
      </c>
      <c r="L5299">
        <v>215</v>
      </c>
      <c r="M5299" t="s">
        <v>12420</v>
      </c>
      <c r="N5299" t="s">
        <v>199</v>
      </c>
      <c r="O5299" t="s">
        <v>200</v>
      </c>
      <c r="P5299" t="str">
        <f>"10003"</f>
        <v>10003</v>
      </c>
    </row>
    <row r="5300" spans="1:16" x14ac:dyDescent="0.25">
      <c r="A5300" t="str">
        <f>"1120125E00038    00"</f>
        <v>1120125E00038    00</v>
      </c>
      <c r="B5300" t="s">
        <v>12417</v>
      </c>
      <c r="C5300" t="s">
        <v>12418</v>
      </c>
      <c r="D5300" t="s">
        <v>20</v>
      </c>
      <c r="E5300" t="s">
        <v>39</v>
      </c>
      <c r="F5300">
        <v>0</v>
      </c>
      <c r="G5300">
        <v>0</v>
      </c>
      <c r="H5300">
        <v>2</v>
      </c>
      <c r="I5300" s="3">
        <v>23.28</v>
      </c>
      <c r="J5300" s="3">
        <v>0.08</v>
      </c>
      <c r="K5300" t="s">
        <v>12419</v>
      </c>
      <c r="L5300">
        <v>215</v>
      </c>
      <c r="M5300" t="s">
        <v>12420</v>
      </c>
      <c r="N5300" t="s">
        <v>199</v>
      </c>
      <c r="O5300" t="s">
        <v>200</v>
      </c>
      <c r="P5300" t="str">
        <f>"10003"</f>
        <v>10003</v>
      </c>
    </row>
    <row r="5301" spans="1:16" x14ac:dyDescent="0.25">
      <c r="A5301" t="str">
        <f>"1120125E00040    00"</f>
        <v>1120125E00040    00</v>
      </c>
      <c r="B5301" t="s">
        <v>12421</v>
      </c>
      <c r="C5301" t="s">
        <v>12418</v>
      </c>
      <c r="D5301" t="s">
        <v>20</v>
      </c>
      <c r="E5301" t="s">
        <v>39</v>
      </c>
      <c r="F5301">
        <v>0</v>
      </c>
      <c r="G5301">
        <v>0</v>
      </c>
      <c r="H5301">
        <v>2</v>
      </c>
      <c r="I5301" s="3">
        <v>23.28</v>
      </c>
      <c r="J5301" s="3">
        <v>0.08</v>
      </c>
      <c r="K5301" t="s">
        <v>12419</v>
      </c>
      <c r="L5301">
        <v>215</v>
      </c>
      <c r="M5301" t="s">
        <v>12420</v>
      </c>
      <c r="N5301" t="s">
        <v>199</v>
      </c>
      <c r="O5301" t="s">
        <v>200</v>
      </c>
      <c r="P5301" t="str">
        <f>"10003"</f>
        <v>10003</v>
      </c>
    </row>
    <row r="5302" spans="1:16" x14ac:dyDescent="0.25">
      <c r="A5302" t="str">
        <f>"1120125E00053    00"</f>
        <v>1120125E00053    00</v>
      </c>
      <c r="B5302" t="s">
        <v>12422</v>
      </c>
      <c r="C5302" t="s">
        <v>12423</v>
      </c>
      <c r="E5302" t="s">
        <v>290</v>
      </c>
      <c r="F5302">
        <v>0</v>
      </c>
      <c r="G5302">
        <v>0</v>
      </c>
      <c r="H5302">
        <v>2</v>
      </c>
      <c r="I5302" s="3">
        <v>16595.580000000002</v>
      </c>
      <c r="J5302" s="3">
        <v>250.23</v>
      </c>
      <c r="K5302" t="s">
        <v>12424</v>
      </c>
      <c r="L5302">
        <v>6503</v>
      </c>
      <c r="M5302" t="s">
        <v>11435</v>
      </c>
      <c r="N5302" t="s">
        <v>30</v>
      </c>
      <c r="O5302" t="s">
        <v>31</v>
      </c>
      <c r="P5302" t="str">
        <f>"15206"</f>
        <v>15206</v>
      </c>
    </row>
    <row r="5303" spans="1:16" x14ac:dyDescent="0.25">
      <c r="A5303" t="str">
        <f>"1120125E00095    00"</f>
        <v>1120125E00095    00</v>
      </c>
      <c r="B5303" t="s">
        <v>12425</v>
      </c>
      <c r="C5303" t="s">
        <v>12426</v>
      </c>
      <c r="D5303" t="s">
        <v>20</v>
      </c>
      <c r="E5303" t="s">
        <v>21</v>
      </c>
      <c r="F5303">
        <v>0</v>
      </c>
      <c r="G5303">
        <v>0</v>
      </c>
      <c r="H5303">
        <v>9</v>
      </c>
      <c r="I5303" s="3">
        <v>2126.13</v>
      </c>
      <c r="J5303" s="3">
        <v>1689.02</v>
      </c>
      <c r="M5303" t="s">
        <v>4083</v>
      </c>
      <c r="N5303" t="s">
        <v>30</v>
      </c>
      <c r="O5303" t="s">
        <v>31</v>
      </c>
      <c r="P5303" t="str">
        <f>"15224"</f>
        <v>15224</v>
      </c>
    </row>
    <row r="5304" spans="1:16" x14ac:dyDescent="0.25">
      <c r="A5304" t="str">
        <f>"1120125E00100    00"</f>
        <v>1120125E00100    00</v>
      </c>
      <c r="B5304" t="s">
        <v>12427</v>
      </c>
      <c r="C5304" t="s">
        <v>12428</v>
      </c>
      <c r="D5304" t="s">
        <v>20</v>
      </c>
      <c r="E5304" t="s">
        <v>21</v>
      </c>
      <c r="F5304">
        <v>0</v>
      </c>
      <c r="G5304">
        <v>0</v>
      </c>
      <c r="H5304">
        <v>1</v>
      </c>
      <c r="I5304" s="3">
        <v>686.16</v>
      </c>
      <c r="J5304" s="3">
        <v>0</v>
      </c>
      <c r="L5304">
        <v>8016</v>
      </c>
      <c r="M5304" t="s">
        <v>12429</v>
      </c>
      <c r="N5304" t="s">
        <v>1046</v>
      </c>
      <c r="O5304" t="s">
        <v>31</v>
      </c>
      <c r="P5304" t="str">
        <f>"15147"</f>
        <v>15147</v>
      </c>
    </row>
    <row r="5305" spans="1:16" x14ac:dyDescent="0.25">
      <c r="A5305" t="str">
        <f>"1120125E00104    00"</f>
        <v>1120125E00104    00</v>
      </c>
      <c r="B5305" t="s">
        <v>12430</v>
      </c>
      <c r="C5305" t="s">
        <v>12431</v>
      </c>
      <c r="D5305" t="s">
        <v>20</v>
      </c>
      <c r="E5305" t="s">
        <v>39</v>
      </c>
      <c r="F5305">
        <v>0</v>
      </c>
      <c r="G5305">
        <v>0</v>
      </c>
      <c r="H5305">
        <v>3</v>
      </c>
      <c r="I5305" s="3">
        <v>623.30999999999995</v>
      </c>
      <c r="J5305" s="3">
        <v>41.56</v>
      </c>
      <c r="L5305">
        <v>200</v>
      </c>
      <c r="M5305" t="s">
        <v>12432</v>
      </c>
      <c r="N5305" t="s">
        <v>30</v>
      </c>
      <c r="O5305" t="s">
        <v>31</v>
      </c>
      <c r="P5305" t="str">
        <f>"15206"</f>
        <v>15206</v>
      </c>
    </row>
    <row r="5306" spans="1:16" x14ac:dyDescent="0.25">
      <c r="A5306" t="str">
        <f>"1120125E00105000200"</f>
        <v>1120125E00105000200</v>
      </c>
      <c r="B5306" t="s">
        <v>12433</v>
      </c>
      <c r="C5306" t="s">
        <v>12434</v>
      </c>
      <c r="D5306" t="s">
        <v>20</v>
      </c>
      <c r="E5306" t="s">
        <v>39</v>
      </c>
      <c r="F5306">
        <v>0</v>
      </c>
      <c r="G5306">
        <v>0</v>
      </c>
      <c r="H5306">
        <v>11</v>
      </c>
      <c r="I5306" s="3">
        <v>73.44</v>
      </c>
      <c r="J5306" s="3">
        <v>56.35</v>
      </c>
      <c r="K5306" t="s">
        <v>12435</v>
      </c>
      <c r="L5306">
        <v>141</v>
      </c>
      <c r="M5306" t="s">
        <v>12436</v>
      </c>
      <c r="N5306" t="s">
        <v>30</v>
      </c>
      <c r="O5306" t="s">
        <v>31</v>
      </c>
      <c r="P5306" t="str">
        <f>"15220"</f>
        <v>15220</v>
      </c>
    </row>
    <row r="5307" spans="1:16" x14ac:dyDescent="0.25">
      <c r="A5307" t="str">
        <f>"1120125E00110    00"</f>
        <v>1120125E00110    00</v>
      </c>
      <c r="B5307" t="s">
        <v>12437</v>
      </c>
      <c r="C5307" t="s">
        <v>12438</v>
      </c>
      <c r="D5307" t="s">
        <v>20</v>
      </c>
      <c r="E5307" t="s">
        <v>39</v>
      </c>
      <c r="F5307">
        <v>0</v>
      </c>
      <c r="G5307">
        <v>0</v>
      </c>
      <c r="H5307">
        <v>13</v>
      </c>
      <c r="I5307" s="3">
        <v>3763.58</v>
      </c>
      <c r="J5307" s="3">
        <v>1867.71</v>
      </c>
      <c r="L5307">
        <v>6723</v>
      </c>
      <c r="M5307" t="s">
        <v>9086</v>
      </c>
      <c r="N5307" t="s">
        <v>30</v>
      </c>
      <c r="O5307" t="s">
        <v>31</v>
      </c>
      <c r="P5307" t="str">
        <f>"15208"</f>
        <v>15208</v>
      </c>
    </row>
    <row r="5308" spans="1:16" x14ac:dyDescent="0.25">
      <c r="A5308" t="str">
        <f>"1120125E00112    00"</f>
        <v>1120125E00112    00</v>
      </c>
      <c r="B5308" t="s">
        <v>12439</v>
      </c>
      <c r="C5308" t="s">
        <v>12440</v>
      </c>
      <c r="E5308" t="s">
        <v>21</v>
      </c>
      <c r="F5308">
        <v>0</v>
      </c>
      <c r="G5308">
        <v>0</v>
      </c>
      <c r="H5308">
        <v>11</v>
      </c>
      <c r="I5308" s="3">
        <v>4793.7299999999996</v>
      </c>
      <c r="J5308" s="3">
        <v>6317.93</v>
      </c>
      <c r="K5308" t="s">
        <v>12441</v>
      </c>
      <c r="L5308">
        <v>1091</v>
      </c>
      <c r="M5308" t="s">
        <v>1695</v>
      </c>
      <c r="N5308" t="s">
        <v>30</v>
      </c>
      <c r="O5308" t="s">
        <v>31</v>
      </c>
      <c r="P5308" t="str">
        <f>"15206"</f>
        <v>15206</v>
      </c>
    </row>
    <row r="5309" spans="1:16" x14ac:dyDescent="0.25">
      <c r="A5309" t="str">
        <f>"1120125E00291    00"</f>
        <v>1120125E00291    00</v>
      </c>
      <c r="B5309" t="s">
        <v>12442</v>
      </c>
      <c r="C5309" t="s">
        <v>12443</v>
      </c>
      <c r="D5309" t="s">
        <v>20</v>
      </c>
      <c r="E5309" t="s">
        <v>21</v>
      </c>
      <c r="F5309">
        <v>0</v>
      </c>
      <c r="G5309">
        <v>0</v>
      </c>
      <c r="H5309">
        <v>2</v>
      </c>
      <c r="I5309" s="3">
        <v>16126</v>
      </c>
      <c r="J5309" s="3">
        <v>3155.94</v>
      </c>
      <c r="K5309" t="s">
        <v>12444</v>
      </c>
      <c r="L5309">
        <v>999</v>
      </c>
      <c r="M5309" t="s">
        <v>12445</v>
      </c>
      <c r="N5309" t="s">
        <v>12446</v>
      </c>
      <c r="O5309" t="s">
        <v>370</v>
      </c>
      <c r="P5309" t="str">
        <f>"33431"</f>
        <v>33431</v>
      </c>
    </row>
    <row r="5310" spans="1:16" x14ac:dyDescent="0.25">
      <c r="A5310" t="str">
        <f>"1120125F00046    00"</f>
        <v>1120125F00046    00</v>
      </c>
      <c r="B5310" t="s">
        <v>12447</v>
      </c>
      <c r="C5310" t="s">
        <v>12448</v>
      </c>
      <c r="E5310" t="s">
        <v>21</v>
      </c>
      <c r="F5310">
        <v>0</v>
      </c>
      <c r="G5310">
        <v>0</v>
      </c>
      <c r="H5310">
        <v>1</v>
      </c>
      <c r="I5310" s="3">
        <v>51.1</v>
      </c>
      <c r="J5310" s="3">
        <v>0</v>
      </c>
      <c r="K5310" t="s">
        <v>12449</v>
      </c>
      <c r="L5310">
        <v>212</v>
      </c>
      <c r="M5310" t="s">
        <v>12450</v>
      </c>
      <c r="N5310" t="s">
        <v>30</v>
      </c>
      <c r="O5310" t="s">
        <v>31</v>
      </c>
      <c r="P5310" t="str">
        <f>"15208"</f>
        <v>15208</v>
      </c>
    </row>
    <row r="5311" spans="1:16" x14ac:dyDescent="0.25">
      <c r="A5311" t="str">
        <f>"1120125F00076    00"</f>
        <v>1120125F00076    00</v>
      </c>
      <c r="B5311" t="s">
        <v>12451</v>
      </c>
      <c r="C5311" t="s">
        <v>12452</v>
      </c>
      <c r="D5311" t="s">
        <v>20</v>
      </c>
      <c r="E5311" t="s">
        <v>290</v>
      </c>
      <c r="F5311">
        <v>0</v>
      </c>
      <c r="G5311">
        <v>0</v>
      </c>
      <c r="H5311">
        <v>1</v>
      </c>
      <c r="I5311" s="3">
        <v>404.71</v>
      </c>
      <c r="J5311" s="3">
        <v>0</v>
      </c>
      <c r="K5311" t="s">
        <v>12453</v>
      </c>
      <c r="L5311">
        <v>7371</v>
      </c>
      <c r="M5311" t="s">
        <v>12454</v>
      </c>
      <c r="N5311" t="s">
        <v>30</v>
      </c>
      <c r="O5311" t="s">
        <v>31</v>
      </c>
      <c r="P5311" t="str">
        <f>"15208"</f>
        <v>15208</v>
      </c>
    </row>
    <row r="5312" spans="1:16" x14ac:dyDescent="0.25">
      <c r="A5312" t="str">
        <f>"1120125F00128    00"</f>
        <v>1120125F00128    00</v>
      </c>
      <c r="B5312" t="s">
        <v>12455</v>
      </c>
      <c r="C5312" t="s">
        <v>12456</v>
      </c>
      <c r="D5312" t="s">
        <v>20</v>
      </c>
      <c r="E5312" t="s">
        <v>290</v>
      </c>
      <c r="F5312">
        <v>0</v>
      </c>
      <c r="G5312">
        <v>0</v>
      </c>
      <c r="H5312">
        <v>1</v>
      </c>
      <c r="I5312" s="3">
        <v>1916.81</v>
      </c>
      <c r="J5312" s="3">
        <v>0</v>
      </c>
      <c r="K5312" t="s">
        <v>12453</v>
      </c>
      <c r="L5312">
        <v>7371</v>
      </c>
      <c r="M5312" t="s">
        <v>12454</v>
      </c>
      <c r="N5312" t="s">
        <v>30</v>
      </c>
      <c r="O5312" t="s">
        <v>31</v>
      </c>
      <c r="P5312" t="str">
        <f>"15208"</f>
        <v>15208</v>
      </c>
    </row>
    <row r="5313" spans="1:16" x14ac:dyDescent="0.25">
      <c r="A5313" t="str">
        <f>"1120125F00178    00"</f>
        <v>1120125F00178    00</v>
      </c>
      <c r="B5313" t="s">
        <v>12457</v>
      </c>
      <c r="C5313" t="s">
        <v>12458</v>
      </c>
      <c r="D5313" t="s">
        <v>20</v>
      </c>
      <c r="E5313" t="s">
        <v>21</v>
      </c>
      <c r="F5313">
        <v>0</v>
      </c>
      <c r="G5313">
        <v>0</v>
      </c>
      <c r="H5313">
        <v>1</v>
      </c>
      <c r="I5313" s="3">
        <v>1601.67</v>
      </c>
      <c r="J5313" s="3">
        <v>0</v>
      </c>
      <c r="K5313" t="s">
        <v>12453</v>
      </c>
      <c r="L5313">
        <v>7371</v>
      </c>
      <c r="M5313" t="s">
        <v>12454</v>
      </c>
      <c r="N5313" t="s">
        <v>30</v>
      </c>
      <c r="O5313" t="s">
        <v>31</v>
      </c>
      <c r="P5313" t="str">
        <f>"15208"</f>
        <v>15208</v>
      </c>
    </row>
    <row r="5314" spans="1:16" x14ac:dyDescent="0.25">
      <c r="A5314" t="str">
        <f>"1120125F00179    00"</f>
        <v>1120125F00179    00</v>
      </c>
      <c r="B5314" t="s">
        <v>12457</v>
      </c>
      <c r="C5314" t="s">
        <v>12458</v>
      </c>
      <c r="D5314" t="s">
        <v>20</v>
      </c>
      <c r="E5314" t="s">
        <v>21</v>
      </c>
      <c r="F5314">
        <v>0</v>
      </c>
      <c r="G5314">
        <v>0</v>
      </c>
      <c r="H5314">
        <v>1</v>
      </c>
      <c r="I5314" s="3">
        <v>348.79</v>
      </c>
      <c r="J5314" s="3">
        <v>0</v>
      </c>
      <c r="K5314" t="s">
        <v>12453</v>
      </c>
      <c r="L5314">
        <v>7371</v>
      </c>
      <c r="M5314" t="s">
        <v>12454</v>
      </c>
      <c r="N5314" t="s">
        <v>30</v>
      </c>
      <c r="O5314" t="s">
        <v>31</v>
      </c>
      <c r="P5314" t="str">
        <f>"15208"</f>
        <v>15208</v>
      </c>
    </row>
    <row r="5315" spans="1:16" x14ac:dyDescent="0.25">
      <c r="A5315" t="str">
        <f>"1120125F00232    00"</f>
        <v>1120125F00232    00</v>
      </c>
      <c r="B5315" t="s">
        <v>12459</v>
      </c>
      <c r="C5315" t="s">
        <v>12460</v>
      </c>
      <c r="E5315" t="s">
        <v>21</v>
      </c>
      <c r="F5315">
        <v>0</v>
      </c>
      <c r="G5315">
        <v>0</v>
      </c>
      <c r="H5315">
        <v>1</v>
      </c>
      <c r="I5315" s="3">
        <v>4504.29</v>
      </c>
      <c r="J5315" s="3">
        <v>1238.6300000000001</v>
      </c>
      <c r="K5315" t="s">
        <v>12461</v>
      </c>
      <c r="L5315">
        <v>4150</v>
      </c>
      <c r="M5315" t="s">
        <v>12462</v>
      </c>
      <c r="N5315" t="s">
        <v>12463</v>
      </c>
      <c r="O5315" t="s">
        <v>31</v>
      </c>
      <c r="P5315" t="str">
        <f>"15142"</f>
        <v>15142</v>
      </c>
    </row>
    <row r="5316" spans="1:16" x14ac:dyDescent="0.25">
      <c r="A5316" t="str">
        <f>"1120125F00275    00"</f>
        <v>1120125F00275    00</v>
      </c>
      <c r="B5316" t="s">
        <v>12464</v>
      </c>
      <c r="C5316" t="s">
        <v>12465</v>
      </c>
      <c r="D5316" t="s">
        <v>20</v>
      </c>
      <c r="E5316" t="s">
        <v>21</v>
      </c>
      <c r="F5316">
        <v>0</v>
      </c>
      <c r="G5316">
        <v>0</v>
      </c>
      <c r="H5316">
        <v>5</v>
      </c>
      <c r="I5316" s="3">
        <v>75360</v>
      </c>
      <c r="J5316" s="3">
        <v>1495.39</v>
      </c>
      <c r="K5316" t="s">
        <v>12466</v>
      </c>
      <c r="L5316">
        <v>6655</v>
      </c>
      <c r="M5316" t="s">
        <v>9086</v>
      </c>
      <c r="N5316" t="s">
        <v>30</v>
      </c>
      <c r="O5316" t="s">
        <v>31</v>
      </c>
      <c r="P5316" t="str">
        <f>"15206"</f>
        <v>15206</v>
      </c>
    </row>
    <row r="5317" spans="1:16" x14ac:dyDescent="0.25">
      <c r="A5317" t="str">
        <f>"1120125F00280    00"</f>
        <v>1120125F00280    00</v>
      </c>
      <c r="B5317" t="s">
        <v>12316</v>
      </c>
      <c r="C5317" t="s">
        <v>12467</v>
      </c>
      <c r="D5317" t="s">
        <v>20</v>
      </c>
      <c r="E5317" t="s">
        <v>21</v>
      </c>
      <c r="F5317">
        <v>0</v>
      </c>
      <c r="G5317">
        <v>0</v>
      </c>
      <c r="H5317">
        <v>3</v>
      </c>
      <c r="I5317" s="3">
        <v>280400</v>
      </c>
      <c r="J5317" s="3">
        <v>4627.32</v>
      </c>
      <c r="L5317">
        <v>36</v>
      </c>
      <c r="M5317" t="s">
        <v>12468</v>
      </c>
      <c r="N5317" t="s">
        <v>9536</v>
      </c>
      <c r="O5317" t="s">
        <v>423</v>
      </c>
      <c r="P5317" t="str">
        <f>"08701"</f>
        <v>08701</v>
      </c>
    </row>
    <row r="5318" spans="1:16" x14ac:dyDescent="0.25">
      <c r="A5318" t="str">
        <f>"1120125F00285    00"</f>
        <v>1120125F00285    00</v>
      </c>
      <c r="B5318" t="s">
        <v>12316</v>
      </c>
      <c r="C5318" t="s">
        <v>12467</v>
      </c>
      <c r="D5318" t="s">
        <v>20</v>
      </c>
      <c r="E5318" t="s">
        <v>21</v>
      </c>
      <c r="F5318">
        <v>0</v>
      </c>
      <c r="G5318">
        <v>0</v>
      </c>
      <c r="H5318">
        <v>5</v>
      </c>
      <c r="I5318" s="3">
        <v>6004.7</v>
      </c>
      <c r="J5318" s="3">
        <v>158.84</v>
      </c>
      <c r="L5318">
        <v>36</v>
      </c>
      <c r="M5318" t="s">
        <v>12317</v>
      </c>
      <c r="N5318" t="s">
        <v>9536</v>
      </c>
      <c r="O5318" t="s">
        <v>423</v>
      </c>
      <c r="P5318" t="str">
        <f>"08701"</f>
        <v>08701</v>
      </c>
    </row>
    <row r="5319" spans="1:16" x14ac:dyDescent="0.25">
      <c r="A5319" t="str">
        <f>"1120125F00303    00"</f>
        <v>1120125F00303    00</v>
      </c>
      <c r="B5319" t="s">
        <v>12313</v>
      </c>
      <c r="C5319" t="s">
        <v>12469</v>
      </c>
      <c r="D5319" t="s">
        <v>20</v>
      </c>
      <c r="E5319" t="s">
        <v>39</v>
      </c>
      <c r="F5319">
        <v>0</v>
      </c>
      <c r="G5319">
        <v>0</v>
      </c>
      <c r="H5319">
        <v>3</v>
      </c>
      <c r="I5319" s="3">
        <v>3028.05</v>
      </c>
      <c r="J5319" s="3">
        <v>100.88</v>
      </c>
      <c r="K5319" t="s">
        <v>9045</v>
      </c>
      <c r="L5319">
        <v>444</v>
      </c>
      <c r="M5319" t="s">
        <v>2789</v>
      </c>
      <c r="N5319" t="s">
        <v>30</v>
      </c>
      <c r="O5319" t="s">
        <v>31</v>
      </c>
      <c r="P5319" t="str">
        <f>"15206"</f>
        <v>15206</v>
      </c>
    </row>
    <row r="5320" spans="1:16" x14ac:dyDescent="0.25">
      <c r="A5320" t="str">
        <f>"1120125F00305    00"</f>
        <v>1120125F00305    00</v>
      </c>
      <c r="B5320" t="s">
        <v>12470</v>
      </c>
      <c r="C5320" t="s">
        <v>12471</v>
      </c>
      <c r="E5320" t="s">
        <v>39</v>
      </c>
      <c r="F5320">
        <v>0</v>
      </c>
      <c r="G5320">
        <v>0</v>
      </c>
      <c r="H5320">
        <v>1</v>
      </c>
      <c r="I5320" s="3">
        <v>250.97</v>
      </c>
      <c r="J5320" s="3">
        <v>50.2</v>
      </c>
      <c r="L5320">
        <v>111</v>
      </c>
      <c r="M5320" t="s">
        <v>12233</v>
      </c>
      <c r="N5320" t="s">
        <v>30</v>
      </c>
      <c r="O5320" t="s">
        <v>31</v>
      </c>
      <c r="P5320" t="str">
        <f>"15206"</f>
        <v>15206</v>
      </c>
    </row>
    <row r="5321" spans="1:16" x14ac:dyDescent="0.25">
      <c r="A5321" t="str">
        <f>"1120125F00330    00"</f>
        <v>1120125F00330    00</v>
      </c>
      <c r="B5321" t="s">
        <v>12472</v>
      </c>
      <c r="C5321" t="s">
        <v>12473</v>
      </c>
      <c r="D5321" t="s">
        <v>20</v>
      </c>
      <c r="E5321" t="s">
        <v>39</v>
      </c>
      <c r="F5321">
        <v>0</v>
      </c>
      <c r="G5321">
        <v>0</v>
      </c>
      <c r="H5321">
        <v>2</v>
      </c>
      <c r="I5321" s="3">
        <v>899.62</v>
      </c>
      <c r="J5321" s="3">
        <v>0</v>
      </c>
      <c r="L5321">
        <v>111</v>
      </c>
      <c r="M5321" t="s">
        <v>12326</v>
      </c>
      <c r="N5321" t="s">
        <v>30</v>
      </c>
      <c r="O5321" t="s">
        <v>31</v>
      </c>
      <c r="P5321" t="str">
        <f>"15206"</f>
        <v>15206</v>
      </c>
    </row>
    <row r="5322" spans="1:16" x14ac:dyDescent="0.25">
      <c r="A5322" t="str">
        <f>"1120125F00331    00"</f>
        <v>1120125F00331    00</v>
      </c>
      <c r="B5322" t="s">
        <v>8294</v>
      </c>
      <c r="C5322" t="s">
        <v>12474</v>
      </c>
      <c r="D5322" t="s">
        <v>20</v>
      </c>
      <c r="E5322" t="s">
        <v>39</v>
      </c>
      <c r="F5322">
        <v>0</v>
      </c>
      <c r="G5322">
        <v>0</v>
      </c>
      <c r="H5322">
        <v>2</v>
      </c>
      <c r="I5322" s="3">
        <v>697.62</v>
      </c>
      <c r="J5322" s="3">
        <v>0</v>
      </c>
      <c r="L5322">
        <v>303</v>
      </c>
      <c r="M5322" t="s">
        <v>8296</v>
      </c>
      <c r="N5322" t="s">
        <v>30</v>
      </c>
      <c r="O5322" t="s">
        <v>31</v>
      </c>
      <c r="P5322" t="str">
        <f>"15211"</f>
        <v>15211</v>
      </c>
    </row>
    <row r="5323" spans="1:16" x14ac:dyDescent="0.25">
      <c r="A5323" t="str">
        <f>"1120125F00334    00"</f>
        <v>1120125F00334    00</v>
      </c>
      <c r="B5323" t="s">
        <v>12475</v>
      </c>
      <c r="C5323" t="s">
        <v>12476</v>
      </c>
      <c r="D5323" t="s">
        <v>20</v>
      </c>
      <c r="E5323" t="s">
        <v>39</v>
      </c>
      <c r="F5323">
        <v>0</v>
      </c>
      <c r="G5323">
        <v>0</v>
      </c>
      <c r="H5323">
        <v>6</v>
      </c>
      <c r="I5323" s="3">
        <v>605.46</v>
      </c>
      <c r="J5323" s="3">
        <v>25.52</v>
      </c>
      <c r="K5323" t="s">
        <v>12477</v>
      </c>
      <c r="M5323" t="s">
        <v>12478</v>
      </c>
      <c r="N5323" t="s">
        <v>30</v>
      </c>
      <c r="O5323" t="s">
        <v>31</v>
      </c>
      <c r="P5323" t="str">
        <f>"15206"</f>
        <v>15206</v>
      </c>
    </row>
    <row r="5324" spans="1:16" x14ac:dyDescent="0.25">
      <c r="A5324" t="str">
        <f>"1120125F00335A   00"</f>
        <v>1120125F00335A   00</v>
      </c>
      <c r="B5324" t="s">
        <v>12479</v>
      </c>
      <c r="C5324" t="s">
        <v>12480</v>
      </c>
      <c r="D5324" t="s">
        <v>20</v>
      </c>
      <c r="E5324" t="s">
        <v>39</v>
      </c>
      <c r="F5324">
        <v>0</v>
      </c>
      <c r="G5324">
        <v>0</v>
      </c>
      <c r="H5324">
        <v>3</v>
      </c>
      <c r="I5324" s="3">
        <v>58.14</v>
      </c>
      <c r="J5324" s="3">
        <v>3.88</v>
      </c>
      <c r="K5324" t="s">
        <v>12481</v>
      </c>
      <c r="L5324">
        <v>421</v>
      </c>
      <c r="M5324" t="s">
        <v>11623</v>
      </c>
      <c r="N5324" t="s">
        <v>30</v>
      </c>
      <c r="O5324" t="s">
        <v>31</v>
      </c>
      <c r="P5324" t="str">
        <f>"15208"</f>
        <v>15208</v>
      </c>
    </row>
    <row r="5325" spans="1:16" x14ac:dyDescent="0.25">
      <c r="A5325" t="str">
        <f>"1120125F00336    00"</f>
        <v>1120125F00336    00</v>
      </c>
      <c r="B5325" t="s">
        <v>12482</v>
      </c>
      <c r="C5325" t="s">
        <v>12483</v>
      </c>
      <c r="D5325" t="s">
        <v>20</v>
      </c>
      <c r="E5325" t="s">
        <v>39</v>
      </c>
      <c r="F5325">
        <v>0</v>
      </c>
      <c r="G5325">
        <v>0</v>
      </c>
      <c r="H5325">
        <v>9</v>
      </c>
      <c r="I5325" s="3">
        <v>717.26</v>
      </c>
      <c r="J5325" s="3">
        <v>484.76</v>
      </c>
      <c r="K5325" t="s">
        <v>8122</v>
      </c>
      <c r="L5325">
        <v>999</v>
      </c>
      <c r="M5325" t="s">
        <v>8123</v>
      </c>
      <c r="N5325" t="s">
        <v>8124</v>
      </c>
      <c r="O5325" t="s">
        <v>658</v>
      </c>
      <c r="P5325" t="str">
        <f>"73118"</f>
        <v>73118</v>
      </c>
    </row>
    <row r="5326" spans="1:16" x14ac:dyDescent="0.25">
      <c r="A5326" t="str">
        <f>"1120125G00013    00"</f>
        <v>1120125G00013    00</v>
      </c>
      <c r="B5326" t="s">
        <v>218</v>
      </c>
      <c r="C5326" t="s">
        <v>12484</v>
      </c>
      <c r="E5326" t="s">
        <v>21</v>
      </c>
      <c r="F5326">
        <v>0</v>
      </c>
      <c r="G5326">
        <v>0</v>
      </c>
      <c r="H5326">
        <v>1</v>
      </c>
      <c r="I5326" s="3">
        <v>89.59</v>
      </c>
      <c r="J5326" s="3">
        <v>17.93</v>
      </c>
      <c r="K5326" t="s">
        <v>220</v>
      </c>
      <c r="L5326">
        <v>412</v>
      </c>
      <c r="M5326" t="s">
        <v>221</v>
      </c>
      <c r="N5326" t="s">
        <v>30</v>
      </c>
      <c r="O5326" t="s">
        <v>31</v>
      </c>
      <c r="P5326" t="str">
        <f>"15219"</f>
        <v>15219</v>
      </c>
    </row>
    <row r="5327" spans="1:16" x14ac:dyDescent="0.25">
      <c r="A5327" t="str">
        <f>"1120125G00017    00"</f>
        <v>1120125G00017    00</v>
      </c>
      <c r="B5327" t="s">
        <v>12485</v>
      </c>
      <c r="C5327" t="s">
        <v>12486</v>
      </c>
      <c r="D5327" t="s">
        <v>20</v>
      </c>
      <c r="E5327" t="s">
        <v>39</v>
      </c>
      <c r="F5327">
        <v>0</v>
      </c>
      <c r="G5327">
        <v>0</v>
      </c>
      <c r="H5327">
        <v>8</v>
      </c>
      <c r="I5327" s="3">
        <v>1430.14</v>
      </c>
      <c r="J5327" s="3">
        <v>559.63</v>
      </c>
      <c r="L5327">
        <v>6730</v>
      </c>
      <c r="M5327" t="s">
        <v>12487</v>
      </c>
      <c r="N5327" t="s">
        <v>30</v>
      </c>
      <c r="O5327" t="s">
        <v>31</v>
      </c>
      <c r="P5327" t="str">
        <f>"15208"</f>
        <v>15208</v>
      </c>
    </row>
    <row r="5328" spans="1:16" x14ac:dyDescent="0.25">
      <c r="A5328" t="str">
        <f>"1120125G00022    00"</f>
        <v>1120125G00022    00</v>
      </c>
      <c r="B5328" t="s">
        <v>12488</v>
      </c>
      <c r="C5328" t="s">
        <v>12489</v>
      </c>
      <c r="D5328" t="s">
        <v>20</v>
      </c>
      <c r="E5328" t="s">
        <v>39</v>
      </c>
      <c r="F5328">
        <v>0</v>
      </c>
      <c r="G5328">
        <v>0</v>
      </c>
      <c r="H5328">
        <v>2</v>
      </c>
      <c r="I5328" s="3">
        <v>998.74</v>
      </c>
      <c r="J5328" s="3">
        <v>0</v>
      </c>
      <c r="L5328">
        <v>6829</v>
      </c>
      <c r="M5328" t="s">
        <v>12487</v>
      </c>
      <c r="N5328" t="s">
        <v>30</v>
      </c>
      <c r="O5328" t="s">
        <v>31</v>
      </c>
      <c r="P5328" t="str">
        <f>"15208"</f>
        <v>15208</v>
      </c>
    </row>
    <row r="5329" spans="1:16" x14ac:dyDescent="0.25">
      <c r="A5329" t="str">
        <f>"1120125G00025    00"</f>
        <v>1120125G00025    00</v>
      </c>
      <c r="B5329" t="s">
        <v>12490</v>
      </c>
      <c r="C5329" t="s">
        <v>12491</v>
      </c>
      <c r="D5329" t="s">
        <v>20</v>
      </c>
      <c r="E5329" t="s">
        <v>39</v>
      </c>
      <c r="F5329">
        <v>0</v>
      </c>
      <c r="G5329">
        <v>0</v>
      </c>
      <c r="H5329">
        <v>2</v>
      </c>
      <c r="I5329" s="3">
        <v>38.61</v>
      </c>
      <c r="J5329" s="3">
        <v>4.71</v>
      </c>
      <c r="L5329">
        <v>6823</v>
      </c>
      <c r="M5329" t="s">
        <v>12487</v>
      </c>
      <c r="N5329" t="s">
        <v>30</v>
      </c>
      <c r="O5329" t="s">
        <v>31</v>
      </c>
      <c r="P5329" t="str">
        <f>"15208"</f>
        <v>15208</v>
      </c>
    </row>
    <row r="5330" spans="1:16" x14ac:dyDescent="0.25">
      <c r="A5330" t="str">
        <f>"1120125G00027    00"</f>
        <v>1120125G00027    00</v>
      </c>
      <c r="B5330" t="s">
        <v>12492</v>
      </c>
      <c r="C5330" t="s">
        <v>12493</v>
      </c>
      <c r="D5330" t="s">
        <v>20</v>
      </c>
      <c r="E5330" t="s">
        <v>39</v>
      </c>
      <c r="F5330">
        <v>0</v>
      </c>
      <c r="G5330">
        <v>0</v>
      </c>
      <c r="H5330">
        <v>13</v>
      </c>
      <c r="I5330" s="3">
        <v>12113.27</v>
      </c>
      <c r="J5330" s="3">
        <v>13947.34</v>
      </c>
      <c r="L5330">
        <v>705</v>
      </c>
      <c r="M5330" t="s">
        <v>12494</v>
      </c>
      <c r="N5330" t="s">
        <v>30</v>
      </c>
      <c r="O5330" t="s">
        <v>31</v>
      </c>
      <c r="P5330" t="str">
        <f>"15208"</f>
        <v>15208</v>
      </c>
    </row>
    <row r="5331" spans="1:16" x14ac:dyDescent="0.25">
      <c r="A5331" t="str">
        <f>"1120125G00103    00"</f>
        <v>1120125G00103    00</v>
      </c>
      <c r="B5331" t="s">
        <v>12495</v>
      </c>
      <c r="C5331" t="s">
        <v>12496</v>
      </c>
      <c r="D5331" t="s">
        <v>20</v>
      </c>
      <c r="E5331" t="s">
        <v>39</v>
      </c>
      <c r="F5331">
        <v>0</v>
      </c>
      <c r="G5331">
        <v>0</v>
      </c>
      <c r="H5331">
        <v>17</v>
      </c>
      <c r="I5331" s="3">
        <v>3109.93</v>
      </c>
      <c r="J5331" s="3">
        <v>3050.5</v>
      </c>
      <c r="L5331">
        <v>203</v>
      </c>
      <c r="M5331" t="s">
        <v>12497</v>
      </c>
      <c r="N5331" t="s">
        <v>546</v>
      </c>
      <c r="O5331" t="s">
        <v>31</v>
      </c>
      <c r="P5331" t="str">
        <f>"15044"</f>
        <v>15044</v>
      </c>
    </row>
    <row r="5332" spans="1:16" x14ac:dyDescent="0.25">
      <c r="A5332" t="str">
        <f>"1120125G00104    00"</f>
        <v>1120125G00104    00</v>
      </c>
      <c r="B5332" t="s">
        <v>12495</v>
      </c>
      <c r="C5332" t="s">
        <v>12498</v>
      </c>
      <c r="D5332" t="s">
        <v>20</v>
      </c>
      <c r="E5332" t="s">
        <v>39</v>
      </c>
      <c r="F5332">
        <v>0</v>
      </c>
      <c r="G5332">
        <v>0</v>
      </c>
      <c r="H5332">
        <v>2</v>
      </c>
      <c r="I5332" s="3">
        <v>568.55999999999995</v>
      </c>
      <c r="J5332" s="3">
        <v>0</v>
      </c>
      <c r="L5332">
        <v>203</v>
      </c>
      <c r="M5332" t="s">
        <v>12499</v>
      </c>
      <c r="N5332" t="s">
        <v>546</v>
      </c>
      <c r="O5332" t="s">
        <v>31</v>
      </c>
      <c r="P5332" t="str">
        <f>"15044"</f>
        <v>15044</v>
      </c>
    </row>
    <row r="5333" spans="1:16" x14ac:dyDescent="0.25">
      <c r="A5333" t="str">
        <f>"1120125G00110    00"</f>
        <v>1120125G00110    00</v>
      </c>
      <c r="B5333" t="s">
        <v>12500</v>
      </c>
      <c r="C5333" t="s">
        <v>12501</v>
      </c>
      <c r="D5333" t="s">
        <v>20</v>
      </c>
      <c r="E5333" t="s">
        <v>39</v>
      </c>
      <c r="F5333">
        <v>0</v>
      </c>
      <c r="G5333">
        <v>0</v>
      </c>
      <c r="H5333">
        <v>10</v>
      </c>
      <c r="I5333" s="3">
        <v>5258.95</v>
      </c>
      <c r="J5333" s="3">
        <v>133.6</v>
      </c>
      <c r="K5333" t="s">
        <v>12502</v>
      </c>
      <c r="L5333">
        <v>7137</v>
      </c>
      <c r="M5333" t="s">
        <v>2350</v>
      </c>
      <c r="N5333" t="s">
        <v>30</v>
      </c>
      <c r="O5333" t="s">
        <v>31</v>
      </c>
      <c r="P5333" t="str">
        <f t="shared" ref="P5333:P5342" si="70">"15208"</f>
        <v>15208</v>
      </c>
    </row>
    <row r="5334" spans="1:16" x14ac:dyDescent="0.25">
      <c r="A5334" t="str">
        <f>"1120125G00140    00"</f>
        <v>1120125G00140    00</v>
      </c>
      <c r="B5334" t="s">
        <v>12503</v>
      </c>
      <c r="C5334" t="s">
        <v>12504</v>
      </c>
      <c r="D5334" t="s">
        <v>20</v>
      </c>
      <c r="E5334" t="s">
        <v>39</v>
      </c>
      <c r="F5334">
        <v>0</v>
      </c>
      <c r="G5334">
        <v>0</v>
      </c>
      <c r="H5334">
        <v>4</v>
      </c>
      <c r="I5334" s="3">
        <v>2098.04</v>
      </c>
      <c r="J5334" s="3">
        <v>268.58</v>
      </c>
      <c r="L5334">
        <v>842</v>
      </c>
      <c r="M5334" t="s">
        <v>12352</v>
      </c>
      <c r="N5334" t="s">
        <v>30</v>
      </c>
      <c r="O5334" t="s">
        <v>31</v>
      </c>
      <c r="P5334" t="str">
        <f t="shared" si="70"/>
        <v>15208</v>
      </c>
    </row>
    <row r="5335" spans="1:16" x14ac:dyDescent="0.25">
      <c r="A5335" t="str">
        <f>"1120125G00141    00"</f>
        <v>1120125G00141    00</v>
      </c>
      <c r="B5335" t="s">
        <v>12505</v>
      </c>
      <c r="C5335" t="s">
        <v>12506</v>
      </c>
      <c r="D5335" t="s">
        <v>20</v>
      </c>
      <c r="E5335" t="s">
        <v>39</v>
      </c>
      <c r="F5335">
        <v>0</v>
      </c>
      <c r="G5335">
        <v>0</v>
      </c>
      <c r="H5335">
        <v>3</v>
      </c>
      <c r="I5335" s="3">
        <v>1318.72</v>
      </c>
      <c r="J5335" s="3">
        <v>0</v>
      </c>
      <c r="L5335">
        <v>840</v>
      </c>
      <c r="M5335" t="s">
        <v>12352</v>
      </c>
      <c r="N5335" t="s">
        <v>30</v>
      </c>
      <c r="O5335" t="s">
        <v>31</v>
      </c>
      <c r="P5335" t="str">
        <f t="shared" si="70"/>
        <v>15208</v>
      </c>
    </row>
    <row r="5336" spans="1:16" x14ac:dyDescent="0.25">
      <c r="A5336" t="str">
        <f>"1120125G00142    00"</f>
        <v>1120125G00142    00</v>
      </c>
      <c r="B5336" t="s">
        <v>12507</v>
      </c>
      <c r="C5336" t="s">
        <v>12508</v>
      </c>
      <c r="D5336" t="s">
        <v>20</v>
      </c>
      <c r="E5336" t="s">
        <v>39</v>
      </c>
      <c r="F5336">
        <v>0</v>
      </c>
      <c r="G5336">
        <v>0</v>
      </c>
      <c r="H5336">
        <v>7</v>
      </c>
      <c r="I5336" s="3">
        <v>2003.76</v>
      </c>
      <c r="J5336" s="3">
        <v>1755.77</v>
      </c>
      <c r="L5336">
        <v>840</v>
      </c>
      <c r="M5336" t="s">
        <v>12352</v>
      </c>
      <c r="N5336" t="s">
        <v>30</v>
      </c>
      <c r="O5336" t="s">
        <v>31</v>
      </c>
      <c r="P5336" t="str">
        <f t="shared" si="70"/>
        <v>15208</v>
      </c>
    </row>
    <row r="5337" spans="1:16" x14ac:dyDescent="0.25">
      <c r="A5337" t="str">
        <f>"1120125G00146    00"</f>
        <v>1120125G00146    00</v>
      </c>
      <c r="B5337" t="s">
        <v>12509</v>
      </c>
      <c r="C5337" t="s">
        <v>12510</v>
      </c>
      <c r="D5337" t="s">
        <v>20</v>
      </c>
      <c r="E5337" t="s">
        <v>39</v>
      </c>
      <c r="F5337">
        <v>0</v>
      </c>
      <c r="G5337">
        <v>0</v>
      </c>
      <c r="H5337">
        <v>2</v>
      </c>
      <c r="I5337" s="3">
        <v>454.11</v>
      </c>
      <c r="J5337" s="3">
        <v>152.46</v>
      </c>
      <c r="L5337">
        <v>830</v>
      </c>
      <c r="M5337" t="s">
        <v>12352</v>
      </c>
      <c r="N5337" t="s">
        <v>30</v>
      </c>
      <c r="O5337" t="s">
        <v>31</v>
      </c>
      <c r="P5337" t="str">
        <f t="shared" si="70"/>
        <v>15208</v>
      </c>
    </row>
    <row r="5338" spans="1:16" x14ac:dyDescent="0.25">
      <c r="A5338" t="str">
        <f>"1120125G00152    00"</f>
        <v>1120125G00152    00</v>
      </c>
      <c r="B5338" t="s">
        <v>12511</v>
      </c>
      <c r="C5338" t="s">
        <v>12512</v>
      </c>
      <c r="D5338" t="s">
        <v>20</v>
      </c>
      <c r="E5338" t="s">
        <v>39</v>
      </c>
      <c r="F5338">
        <v>0</v>
      </c>
      <c r="G5338">
        <v>0</v>
      </c>
      <c r="H5338">
        <v>13</v>
      </c>
      <c r="I5338" s="3">
        <v>214.62</v>
      </c>
      <c r="J5338" s="3">
        <v>125.57</v>
      </c>
      <c r="L5338">
        <v>844</v>
      </c>
      <c r="M5338" t="s">
        <v>12352</v>
      </c>
      <c r="N5338" t="s">
        <v>30</v>
      </c>
      <c r="O5338" t="s">
        <v>31</v>
      </c>
      <c r="P5338" t="str">
        <f t="shared" si="70"/>
        <v>15208</v>
      </c>
    </row>
    <row r="5339" spans="1:16" x14ac:dyDescent="0.25">
      <c r="A5339" t="str">
        <f>"1120125G00153    00"</f>
        <v>1120125G00153    00</v>
      </c>
      <c r="B5339" t="s">
        <v>12511</v>
      </c>
      <c r="C5339" t="s">
        <v>12512</v>
      </c>
      <c r="D5339" t="s">
        <v>20</v>
      </c>
      <c r="E5339" t="s">
        <v>39</v>
      </c>
      <c r="F5339">
        <v>0</v>
      </c>
      <c r="G5339">
        <v>0</v>
      </c>
      <c r="H5339">
        <v>14</v>
      </c>
      <c r="I5339" s="3">
        <v>248.53</v>
      </c>
      <c r="J5339" s="3">
        <v>175.87</v>
      </c>
      <c r="L5339">
        <v>844</v>
      </c>
      <c r="M5339" t="s">
        <v>12352</v>
      </c>
      <c r="N5339" t="s">
        <v>30</v>
      </c>
      <c r="O5339" t="s">
        <v>31</v>
      </c>
      <c r="P5339" t="str">
        <f t="shared" si="70"/>
        <v>15208</v>
      </c>
    </row>
    <row r="5340" spans="1:16" x14ac:dyDescent="0.25">
      <c r="A5340" t="str">
        <f>"1120125G00154    00"</f>
        <v>1120125G00154    00</v>
      </c>
      <c r="B5340" t="s">
        <v>12513</v>
      </c>
      <c r="C5340" t="s">
        <v>12514</v>
      </c>
      <c r="D5340" t="s">
        <v>20</v>
      </c>
      <c r="E5340" t="s">
        <v>39</v>
      </c>
      <c r="F5340">
        <v>0</v>
      </c>
      <c r="G5340">
        <v>0</v>
      </c>
      <c r="H5340">
        <v>9</v>
      </c>
      <c r="I5340" s="3">
        <v>3966.92</v>
      </c>
      <c r="J5340" s="3">
        <v>2446.83</v>
      </c>
      <c r="L5340">
        <v>818</v>
      </c>
      <c r="M5340" t="s">
        <v>12515</v>
      </c>
      <c r="N5340" t="s">
        <v>30</v>
      </c>
      <c r="O5340" t="s">
        <v>31</v>
      </c>
      <c r="P5340" t="str">
        <f t="shared" si="70"/>
        <v>15208</v>
      </c>
    </row>
    <row r="5341" spans="1:16" x14ac:dyDescent="0.25">
      <c r="A5341" t="str">
        <f>"1120125G00167    00"</f>
        <v>1120125G00167    00</v>
      </c>
      <c r="B5341" t="s">
        <v>12516</v>
      </c>
      <c r="C5341" t="s">
        <v>12517</v>
      </c>
      <c r="D5341" t="s">
        <v>20</v>
      </c>
      <c r="E5341" t="s">
        <v>39</v>
      </c>
      <c r="F5341">
        <v>0</v>
      </c>
      <c r="G5341">
        <v>0</v>
      </c>
      <c r="H5341">
        <v>9</v>
      </c>
      <c r="I5341" s="3">
        <v>5349.5</v>
      </c>
      <c r="J5341" s="3">
        <v>5207.04</v>
      </c>
      <c r="L5341">
        <v>811</v>
      </c>
      <c r="M5341" t="s">
        <v>12515</v>
      </c>
      <c r="N5341" t="s">
        <v>30</v>
      </c>
      <c r="O5341" t="s">
        <v>31</v>
      </c>
      <c r="P5341" t="str">
        <f t="shared" si="70"/>
        <v>15208</v>
      </c>
    </row>
    <row r="5342" spans="1:16" x14ac:dyDescent="0.25">
      <c r="A5342" t="str">
        <f>"1120125G00171    00"</f>
        <v>1120125G00171    00</v>
      </c>
      <c r="B5342" t="s">
        <v>12518</v>
      </c>
      <c r="C5342" t="s">
        <v>12519</v>
      </c>
      <c r="D5342" t="s">
        <v>20</v>
      </c>
      <c r="E5342" t="s">
        <v>39</v>
      </c>
      <c r="F5342">
        <v>0</v>
      </c>
      <c r="G5342">
        <v>0</v>
      </c>
      <c r="H5342">
        <v>1</v>
      </c>
      <c r="I5342" s="3">
        <v>501.76</v>
      </c>
      <c r="J5342" s="3">
        <v>0</v>
      </c>
      <c r="K5342" t="s">
        <v>12520</v>
      </c>
      <c r="L5342">
        <v>6827</v>
      </c>
      <c r="M5342" t="s">
        <v>12521</v>
      </c>
      <c r="N5342" t="s">
        <v>12522</v>
      </c>
      <c r="O5342" t="s">
        <v>31</v>
      </c>
      <c r="P5342" t="str">
        <f t="shared" si="70"/>
        <v>15208</v>
      </c>
    </row>
    <row r="5343" spans="1:16" x14ac:dyDescent="0.25">
      <c r="A5343" t="str">
        <f>"1120125G00180    00"</f>
        <v>1120125G00180    00</v>
      </c>
      <c r="B5343" t="s">
        <v>12523</v>
      </c>
      <c r="C5343" t="s">
        <v>12524</v>
      </c>
      <c r="D5343" t="s">
        <v>20</v>
      </c>
      <c r="E5343" t="s">
        <v>39</v>
      </c>
      <c r="F5343">
        <v>0</v>
      </c>
      <c r="G5343">
        <v>0</v>
      </c>
      <c r="H5343">
        <v>11</v>
      </c>
      <c r="I5343" s="3">
        <v>828.71</v>
      </c>
      <c r="J5343" s="3">
        <v>397.78</v>
      </c>
      <c r="K5343" t="s">
        <v>12525</v>
      </c>
      <c r="L5343">
        <v>404</v>
      </c>
      <c r="M5343" t="s">
        <v>3295</v>
      </c>
      <c r="N5343" t="s">
        <v>30</v>
      </c>
      <c r="O5343" t="s">
        <v>31</v>
      </c>
      <c r="P5343" t="str">
        <f>"15210"</f>
        <v>15210</v>
      </c>
    </row>
    <row r="5344" spans="1:16" x14ac:dyDescent="0.25">
      <c r="A5344" t="str">
        <f>"1120125G00200    00"</f>
        <v>1120125G00200    00</v>
      </c>
      <c r="B5344" t="s">
        <v>12526</v>
      </c>
      <c r="C5344" t="s">
        <v>12527</v>
      </c>
      <c r="D5344" t="s">
        <v>20</v>
      </c>
      <c r="E5344" t="s">
        <v>39</v>
      </c>
      <c r="F5344">
        <v>0</v>
      </c>
      <c r="G5344">
        <v>0</v>
      </c>
      <c r="H5344">
        <v>2</v>
      </c>
      <c r="I5344" s="3">
        <v>56.2</v>
      </c>
      <c r="J5344" s="3">
        <v>3.17</v>
      </c>
      <c r="L5344">
        <v>3601</v>
      </c>
      <c r="M5344" t="s">
        <v>12528</v>
      </c>
      <c r="N5344" t="s">
        <v>30</v>
      </c>
      <c r="O5344" t="s">
        <v>31</v>
      </c>
      <c r="P5344" t="str">
        <f>"15235"</f>
        <v>15235</v>
      </c>
    </row>
    <row r="5345" spans="1:16" x14ac:dyDescent="0.25">
      <c r="A5345" t="str">
        <f>"1120125G00206    00"</f>
        <v>1120125G00206    00</v>
      </c>
      <c r="B5345" t="s">
        <v>12529</v>
      </c>
      <c r="C5345" t="s">
        <v>12530</v>
      </c>
      <c r="D5345" t="s">
        <v>20</v>
      </c>
      <c r="E5345" t="s">
        <v>39</v>
      </c>
      <c r="F5345">
        <v>0</v>
      </c>
      <c r="G5345">
        <v>0</v>
      </c>
      <c r="H5345">
        <v>6</v>
      </c>
      <c r="I5345" s="3">
        <v>3640.23</v>
      </c>
      <c r="J5345" s="3">
        <v>816.42</v>
      </c>
      <c r="L5345">
        <v>5501</v>
      </c>
      <c r="M5345" t="s">
        <v>11213</v>
      </c>
      <c r="N5345" t="s">
        <v>1046</v>
      </c>
      <c r="O5345" t="s">
        <v>31</v>
      </c>
      <c r="P5345" t="str">
        <f>"15147"</f>
        <v>15147</v>
      </c>
    </row>
    <row r="5346" spans="1:16" x14ac:dyDescent="0.25">
      <c r="A5346" t="str">
        <f>"1120125G00207    00"</f>
        <v>1120125G00207    00</v>
      </c>
      <c r="B5346" t="s">
        <v>12531</v>
      </c>
      <c r="C5346" t="s">
        <v>12532</v>
      </c>
      <c r="D5346" t="s">
        <v>20</v>
      </c>
      <c r="E5346" t="s">
        <v>39</v>
      </c>
      <c r="F5346">
        <v>0</v>
      </c>
      <c r="G5346">
        <v>0</v>
      </c>
      <c r="H5346">
        <v>1</v>
      </c>
      <c r="I5346" s="3">
        <v>209.68</v>
      </c>
      <c r="J5346" s="3">
        <v>0</v>
      </c>
      <c r="K5346" t="s">
        <v>12533</v>
      </c>
      <c r="L5346">
        <v>46</v>
      </c>
      <c r="M5346" t="s">
        <v>913</v>
      </c>
      <c r="N5346" t="s">
        <v>914</v>
      </c>
      <c r="O5346" t="s">
        <v>200</v>
      </c>
      <c r="P5346" t="str">
        <f>"10952"</f>
        <v>10952</v>
      </c>
    </row>
    <row r="5347" spans="1:16" x14ac:dyDescent="0.25">
      <c r="A5347" t="str">
        <f>"1120125G00217    00"</f>
        <v>1120125G00217    00</v>
      </c>
      <c r="B5347" t="s">
        <v>12534</v>
      </c>
      <c r="C5347" t="s">
        <v>12535</v>
      </c>
      <c r="D5347" t="s">
        <v>20</v>
      </c>
      <c r="E5347" t="s">
        <v>39</v>
      </c>
      <c r="F5347">
        <v>0</v>
      </c>
      <c r="G5347">
        <v>0</v>
      </c>
      <c r="H5347">
        <v>18</v>
      </c>
      <c r="I5347" s="3">
        <v>6458.59</v>
      </c>
      <c r="J5347" s="3">
        <v>4752.3599999999997</v>
      </c>
      <c r="L5347">
        <v>811</v>
      </c>
      <c r="M5347" t="s">
        <v>12352</v>
      </c>
      <c r="N5347" t="s">
        <v>30</v>
      </c>
      <c r="O5347" t="s">
        <v>31</v>
      </c>
      <c r="P5347" t="str">
        <f>"15208"</f>
        <v>15208</v>
      </c>
    </row>
    <row r="5348" spans="1:16" x14ac:dyDescent="0.25">
      <c r="A5348" t="str">
        <f>"1120125G00220    00"</f>
        <v>1120125G00220    00</v>
      </c>
      <c r="B5348" t="s">
        <v>12536</v>
      </c>
      <c r="C5348" t="s">
        <v>12537</v>
      </c>
      <c r="D5348" t="s">
        <v>20</v>
      </c>
      <c r="E5348" t="s">
        <v>39</v>
      </c>
      <c r="F5348">
        <v>0</v>
      </c>
      <c r="G5348">
        <v>0</v>
      </c>
      <c r="H5348">
        <v>3</v>
      </c>
      <c r="I5348" s="3">
        <v>1936.24</v>
      </c>
      <c r="J5348" s="3">
        <v>153.62</v>
      </c>
      <c r="L5348">
        <v>805</v>
      </c>
      <c r="M5348" t="s">
        <v>12352</v>
      </c>
      <c r="N5348" t="s">
        <v>30</v>
      </c>
      <c r="O5348" t="s">
        <v>31</v>
      </c>
      <c r="P5348" t="str">
        <f>"15208"</f>
        <v>15208</v>
      </c>
    </row>
    <row r="5349" spans="1:16" x14ac:dyDescent="0.25">
      <c r="A5349" t="str">
        <f>"1120125G00222    00"</f>
        <v>1120125G00222    00</v>
      </c>
      <c r="B5349" t="s">
        <v>12538</v>
      </c>
      <c r="C5349" t="s">
        <v>12539</v>
      </c>
      <c r="D5349" t="s">
        <v>20</v>
      </c>
      <c r="E5349" t="s">
        <v>39</v>
      </c>
      <c r="F5349">
        <v>0</v>
      </c>
      <c r="G5349">
        <v>0</v>
      </c>
      <c r="H5349">
        <v>2</v>
      </c>
      <c r="I5349" s="3">
        <v>257.3</v>
      </c>
      <c r="J5349" s="3">
        <v>0</v>
      </c>
      <c r="L5349">
        <v>6819</v>
      </c>
      <c r="M5349" t="s">
        <v>9086</v>
      </c>
      <c r="N5349" t="s">
        <v>30</v>
      </c>
      <c r="O5349" t="s">
        <v>31</v>
      </c>
      <c r="P5349" t="str">
        <f>"15208"</f>
        <v>15208</v>
      </c>
    </row>
    <row r="5350" spans="1:16" x14ac:dyDescent="0.25">
      <c r="A5350" t="str">
        <f>"1120125G00223    00"</f>
        <v>1120125G00223    00</v>
      </c>
      <c r="B5350" t="s">
        <v>12540</v>
      </c>
      <c r="C5350" t="s">
        <v>12541</v>
      </c>
      <c r="D5350" t="s">
        <v>20</v>
      </c>
      <c r="E5350" t="s">
        <v>39</v>
      </c>
      <c r="F5350">
        <v>0</v>
      </c>
      <c r="G5350">
        <v>0</v>
      </c>
      <c r="H5350">
        <v>4</v>
      </c>
      <c r="I5350" s="3">
        <v>3607.19</v>
      </c>
      <c r="J5350" s="3">
        <v>426.12</v>
      </c>
      <c r="L5350">
        <v>708</v>
      </c>
      <c r="M5350" t="s">
        <v>6227</v>
      </c>
      <c r="N5350" t="s">
        <v>30</v>
      </c>
      <c r="O5350" t="s">
        <v>31</v>
      </c>
      <c r="P5350" t="str">
        <f>"15206"</f>
        <v>15206</v>
      </c>
    </row>
    <row r="5351" spans="1:16" x14ac:dyDescent="0.25">
      <c r="A5351" t="str">
        <f>"1120125G00264    00"</f>
        <v>1120125G00264    00</v>
      </c>
      <c r="B5351" t="s">
        <v>12542</v>
      </c>
      <c r="C5351" t="s">
        <v>12543</v>
      </c>
      <c r="D5351" t="s">
        <v>20</v>
      </c>
      <c r="E5351" t="s">
        <v>39</v>
      </c>
      <c r="F5351">
        <v>0</v>
      </c>
      <c r="G5351">
        <v>0</v>
      </c>
      <c r="H5351">
        <v>5</v>
      </c>
      <c r="I5351" s="3">
        <v>268.83999999999997</v>
      </c>
      <c r="J5351" s="3">
        <v>46.21</v>
      </c>
      <c r="L5351">
        <v>3847</v>
      </c>
      <c r="M5351" t="s">
        <v>12544</v>
      </c>
      <c r="N5351" t="s">
        <v>6240</v>
      </c>
      <c r="O5351" t="s">
        <v>495</v>
      </c>
      <c r="P5351" t="str">
        <f>"93536"</f>
        <v>93536</v>
      </c>
    </row>
    <row r="5352" spans="1:16" x14ac:dyDescent="0.25">
      <c r="A5352" t="str">
        <f>"1120125G00276    03"</f>
        <v>1120125G00276    03</v>
      </c>
      <c r="B5352" t="s">
        <v>12545</v>
      </c>
      <c r="C5352" t="s">
        <v>12546</v>
      </c>
      <c r="E5352" t="s">
        <v>513</v>
      </c>
      <c r="F5352">
        <v>0</v>
      </c>
      <c r="G5352">
        <v>0</v>
      </c>
      <c r="H5352">
        <v>1</v>
      </c>
      <c r="I5352" s="3">
        <v>127.76</v>
      </c>
      <c r="J5352" s="3">
        <v>189.56</v>
      </c>
      <c r="K5352" t="s">
        <v>603</v>
      </c>
      <c r="L5352">
        <v>650</v>
      </c>
      <c r="M5352" t="s">
        <v>604</v>
      </c>
      <c r="N5352" t="s">
        <v>605</v>
      </c>
      <c r="O5352" t="s">
        <v>606</v>
      </c>
      <c r="P5352" t="str">
        <f>"30308"</f>
        <v>30308</v>
      </c>
    </row>
    <row r="5353" spans="1:16" x14ac:dyDescent="0.25">
      <c r="A5353" t="str">
        <f>"1120125G00283    00"</f>
        <v>1120125G00283    00</v>
      </c>
      <c r="B5353" t="s">
        <v>12547</v>
      </c>
      <c r="C5353" t="s">
        <v>12548</v>
      </c>
      <c r="E5353" t="s">
        <v>39</v>
      </c>
      <c r="F5353">
        <v>0</v>
      </c>
      <c r="G5353">
        <v>0</v>
      </c>
      <c r="H5353">
        <v>2</v>
      </c>
      <c r="I5353" s="3">
        <v>148.68</v>
      </c>
      <c r="J5353" s="3">
        <v>14.88</v>
      </c>
      <c r="L5353">
        <v>6932</v>
      </c>
      <c r="M5353" t="s">
        <v>12487</v>
      </c>
      <c r="N5353" t="s">
        <v>30</v>
      </c>
      <c r="O5353" t="s">
        <v>31</v>
      </c>
      <c r="P5353" t="str">
        <f>"15208"</f>
        <v>15208</v>
      </c>
    </row>
    <row r="5354" spans="1:16" x14ac:dyDescent="0.25">
      <c r="A5354" t="str">
        <f>"1120125G00286    00"</f>
        <v>1120125G00286    00</v>
      </c>
      <c r="B5354" t="s">
        <v>12549</v>
      </c>
      <c r="C5354" t="s">
        <v>12550</v>
      </c>
      <c r="D5354" t="s">
        <v>20</v>
      </c>
      <c r="E5354" t="s">
        <v>39</v>
      </c>
      <c r="F5354">
        <v>0</v>
      </c>
      <c r="G5354">
        <v>0</v>
      </c>
      <c r="H5354">
        <v>19</v>
      </c>
      <c r="I5354" s="3">
        <v>20310.48</v>
      </c>
      <c r="J5354" s="3">
        <v>20266.3</v>
      </c>
      <c r="L5354">
        <v>78</v>
      </c>
      <c r="M5354" t="s">
        <v>12551</v>
      </c>
      <c r="N5354" t="s">
        <v>30</v>
      </c>
      <c r="O5354" t="s">
        <v>31</v>
      </c>
      <c r="P5354" t="str">
        <f>"15235"</f>
        <v>15235</v>
      </c>
    </row>
    <row r="5355" spans="1:16" x14ac:dyDescent="0.25">
      <c r="A5355" t="str">
        <f>"1120125G00289    00"</f>
        <v>1120125G00289    00</v>
      </c>
      <c r="B5355" t="s">
        <v>12552</v>
      </c>
      <c r="C5355" t="s">
        <v>12553</v>
      </c>
      <c r="D5355" t="s">
        <v>20</v>
      </c>
      <c r="E5355" t="s">
        <v>39</v>
      </c>
      <c r="F5355">
        <v>0</v>
      </c>
      <c r="G5355">
        <v>0</v>
      </c>
      <c r="H5355">
        <v>4</v>
      </c>
      <c r="I5355" s="3">
        <v>2885.72</v>
      </c>
      <c r="J5355" s="3">
        <v>340.87</v>
      </c>
      <c r="L5355">
        <v>6729</v>
      </c>
      <c r="M5355" t="s">
        <v>9086</v>
      </c>
      <c r="N5355" t="s">
        <v>30</v>
      </c>
      <c r="O5355" t="s">
        <v>31</v>
      </c>
      <c r="P5355" t="str">
        <f>"15208"</f>
        <v>15208</v>
      </c>
    </row>
    <row r="5356" spans="1:16" x14ac:dyDescent="0.25">
      <c r="A5356" t="str">
        <f>"1120125G00305    00"</f>
        <v>1120125G00305    00</v>
      </c>
      <c r="B5356" t="s">
        <v>12554</v>
      </c>
      <c r="C5356" t="s">
        <v>12555</v>
      </c>
      <c r="D5356" t="s">
        <v>20</v>
      </c>
      <c r="E5356" t="s">
        <v>39</v>
      </c>
      <c r="F5356">
        <v>0</v>
      </c>
      <c r="G5356">
        <v>0</v>
      </c>
      <c r="H5356">
        <v>15</v>
      </c>
      <c r="I5356" s="3">
        <v>1021.21</v>
      </c>
      <c r="J5356" s="3">
        <v>1053.72</v>
      </c>
      <c r="K5356" t="s">
        <v>12556</v>
      </c>
      <c r="L5356">
        <v>815</v>
      </c>
      <c r="M5356" t="s">
        <v>12557</v>
      </c>
      <c r="N5356" t="s">
        <v>30</v>
      </c>
      <c r="O5356" t="s">
        <v>31</v>
      </c>
      <c r="P5356" t="str">
        <f>"15232"</f>
        <v>15232</v>
      </c>
    </row>
    <row r="5357" spans="1:16" x14ac:dyDescent="0.25">
      <c r="A5357" t="str">
        <f>"1120125G00306    00"</f>
        <v>1120125G00306    00</v>
      </c>
      <c r="B5357" t="s">
        <v>12558</v>
      </c>
      <c r="C5357" t="s">
        <v>12559</v>
      </c>
      <c r="D5357" t="s">
        <v>20</v>
      </c>
      <c r="E5357" t="s">
        <v>39</v>
      </c>
      <c r="F5357">
        <v>0</v>
      </c>
      <c r="G5357">
        <v>0</v>
      </c>
      <c r="H5357">
        <v>3</v>
      </c>
      <c r="I5357" s="3">
        <v>334.12</v>
      </c>
      <c r="J5357" s="3">
        <v>0.02</v>
      </c>
      <c r="L5357">
        <v>6723</v>
      </c>
      <c r="M5357" t="s">
        <v>9086</v>
      </c>
      <c r="N5357" t="s">
        <v>30</v>
      </c>
      <c r="O5357" t="s">
        <v>31</v>
      </c>
      <c r="P5357" t="str">
        <f>"15208"</f>
        <v>15208</v>
      </c>
    </row>
    <row r="5358" spans="1:16" x14ac:dyDescent="0.25">
      <c r="A5358" t="str">
        <f>"1120125G00310    00"</f>
        <v>1120125G00310    00</v>
      </c>
      <c r="B5358" t="s">
        <v>12560</v>
      </c>
      <c r="C5358" t="s">
        <v>12561</v>
      </c>
      <c r="D5358" t="s">
        <v>20</v>
      </c>
      <c r="E5358" t="s">
        <v>21</v>
      </c>
      <c r="F5358">
        <v>0</v>
      </c>
      <c r="G5358">
        <v>0</v>
      </c>
      <c r="H5358">
        <v>1</v>
      </c>
      <c r="I5358" s="3">
        <v>5876.2</v>
      </c>
      <c r="J5358" s="3">
        <v>0</v>
      </c>
      <c r="K5358" t="s">
        <v>2001</v>
      </c>
      <c r="L5358">
        <v>290</v>
      </c>
      <c r="M5358" t="s">
        <v>2002</v>
      </c>
      <c r="N5358" t="s">
        <v>30</v>
      </c>
      <c r="O5358" t="s">
        <v>31</v>
      </c>
      <c r="P5358" t="str">
        <f>"15205"</f>
        <v>15205</v>
      </c>
    </row>
    <row r="5359" spans="1:16" x14ac:dyDescent="0.25">
      <c r="A5359" t="str">
        <f>"1120125G00318    00"</f>
        <v>1120125G00318    00</v>
      </c>
      <c r="B5359" t="s">
        <v>12562</v>
      </c>
      <c r="C5359" t="s">
        <v>12563</v>
      </c>
      <c r="E5359" t="s">
        <v>39</v>
      </c>
      <c r="F5359">
        <v>0</v>
      </c>
      <c r="G5359">
        <v>0</v>
      </c>
      <c r="H5359">
        <v>1</v>
      </c>
      <c r="I5359" s="3">
        <v>20.100000000000001</v>
      </c>
      <c r="J5359" s="3">
        <v>4.03</v>
      </c>
      <c r="L5359">
        <v>808</v>
      </c>
      <c r="M5359" t="s">
        <v>1541</v>
      </c>
      <c r="N5359" t="s">
        <v>30</v>
      </c>
      <c r="O5359" t="s">
        <v>31</v>
      </c>
      <c r="P5359" t="str">
        <f>"15206"</f>
        <v>15206</v>
      </c>
    </row>
    <row r="5360" spans="1:16" x14ac:dyDescent="0.25">
      <c r="A5360" t="str">
        <f>"1120125H00007    00"</f>
        <v>1120125H00007    00</v>
      </c>
      <c r="B5360" t="s">
        <v>944</v>
      </c>
      <c r="C5360" t="s">
        <v>12564</v>
      </c>
      <c r="E5360" t="s">
        <v>39</v>
      </c>
      <c r="F5360">
        <v>0</v>
      </c>
      <c r="G5360">
        <v>0</v>
      </c>
      <c r="H5360">
        <v>8</v>
      </c>
      <c r="I5360" s="3">
        <v>233.52</v>
      </c>
      <c r="J5360" s="3">
        <v>286.54000000000002</v>
      </c>
      <c r="L5360">
        <v>200</v>
      </c>
      <c r="M5360" t="s">
        <v>946</v>
      </c>
      <c r="N5360" t="s">
        <v>30</v>
      </c>
      <c r="O5360" t="s">
        <v>31</v>
      </c>
      <c r="P5360" t="str">
        <f>"15219"</f>
        <v>15219</v>
      </c>
    </row>
    <row r="5361" spans="1:16" x14ac:dyDescent="0.25">
      <c r="A5361" t="str">
        <f>"1120125H00030    00"</f>
        <v>1120125H00030    00</v>
      </c>
      <c r="B5361" t="s">
        <v>944</v>
      </c>
      <c r="C5361" t="s">
        <v>12565</v>
      </c>
      <c r="E5361" t="s">
        <v>21</v>
      </c>
      <c r="F5361">
        <v>0</v>
      </c>
      <c r="G5361">
        <v>0</v>
      </c>
      <c r="H5361">
        <v>1</v>
      </c>
      <c r="I5361" s="3">
        <v>4408.37</v>
      </c>
      <c r="J5361" s="3">
        <v>8155.17</v>
      </c>
      <c r="L5361">
        <v>200</v>
      </c>
      <c r="M5361" t="s">
        <v>946</v>
      </c>
      <c r="N5361" t="s">
        <v>30</v>
      </c>
      <c r="O5361" t="s">
        <v>31</v>
      </c>
      <c r="P5361" t="str">
        <f>"15219"</f>
        <v>15219</v>
      </c>
    </row>
    <row r="5362" spans="1:16" x14ac:dyDescent="0.25">
      <c r="A5362" t="str">
        <f>"1120125H00053    00"</f>
        <v>1120125H00053    00</v>
      </c>
      <c r="B5362" t="s">
        <v>7111</v>
      </c>
      <c r="C5362" t="s">
        <v>12566</v>
      </c>
      <c r="D5362" t="s">
        <v>20</v>
      </c>
      <c r="E5362" t="s">
        <v>39</v>
      </c>
      <c r="F5362">
        <v>0</v>
      </c>
      <c r="G5362">
        <v>0</v>
      </c>
      <c r="H5362">
        <v>2</v>
      </c>
      <c r="I5362" s="3">
        <v>664.86</v>
      </c>
      <c r="J5362" s="3">
        <v>0</v>
      </c>
      <c r="L5362">
        <v>4735</v>
      </c>
      <c r="M5362" t="s">
        <v>841</v>
      </c>
      <c r="N5362" t="s">
        <v>30</v>
      </c>
      <c r="O5362" t="s">
        <v>31</v>
      </c>
      <c r="P5362" t="str">
        <f>"15201"</f>
        <v>15201</v>
      </c>
    </row>
    <row r="5363" spans="1:16" x14ac:dyDescent="0.25">
      <c r="A5363" t="str">
        <f>"1120125H00054    00"</f>
        <v>1120125H00054    00</v>
      </c>
      <c r="B5363" t="s">
        <v>12567</v>
      </c>
      <c r="C5363" t="s">
        <v>12568</v>
      </c>
      <c r="D5363" t="s">
        <v>20</v>
      </c>
      <c r="E5363" t="s">
        <v>39</v>
      </c>
      <c r="F5363">
        <v>0</v>
      </c>
      <c r="G5363">
        <v>0</v>
      </c>
      <c r="H5363">
        <v>19</v>
      </c>
      <c r="I5363" s="3">
        <v>10608.7</v>
      </c>
      <c r="J5363" s="3">
        <v>11055.17</v>
      </c>
      <c r="L5363">
        <v>7331</v>
      </c>
      <c r="M5363" t="s">
        <v>12378</v>
      </c>
      <c r="N5363" t="s">
        <v>30</v>
      </c>
      <c r="O5363" t="s">
        <v>31</v>
      </c>
      <c r="P5363" t="str">
        <f>"15208"</f>
        <v>15208</v>
      </c>
    </row>
    <row r="5364" spans="1:16" x14ac:dyDescent="0.25">
      <c r="A5364" t="str">
        <f>"1120125H00097    00"</f>
        <v>1120125H00097    00</v>
      </c>
      <c r="B5364" t="s">
        <v>12569</v>
      </c>
      <c r="C5364" t="s">
        <v>12564</v>
      </c>
      <c r="D5364" t="s">
        <v>20</v>
      </c>
      <c r="E5364" t="s">
        <v>39</v>
      </c>
      <c r="F5364">
        <v>0</v>
      </c>
      <c r="G5364">
        <v>0</v>
      </c>
      <c r="H5364">
        <v>18</v>
      </c>
      <c r="I5364" s="3">
        <v>9292.92</v>
      </c>
      <c r="J5364" s="3">
        <v>12687.1</v>
      </c>
      <c r="L5364">
        <v>2829</v>
      </c>
      <c r="M5364" t="s">
        <v>854</v>
      </c>
      <c r="N5364" t="s">
        <v>30</v>
      </c>
      <c r="O5364" t="s">
        <v>31</v>
      </c>
      <c r="P5364" t="str">
        <f>"15219"</f>
        <v>15219</v>
      </c>
    </row>
    <row r="5365" spans="1:16" x14ac:dyDescent="0.25">
      <c r="A5365" t="str">
        <f>"1120125H00104    00"</f>
        <v>1120125H00104    00</v>
      </c>
      <c r="B5365" t="s">
        <v>12570</v>
      </c>
      <c r="C5365" t="s">
        <v>12571</v>
      </c>
      <c r="D5365" t="s">
        <v>20</v>
      </c>
      <c r="E5365" t="s">
        <v>21</v>
      </c>
      <c r="F5365">
        <v>0</v>
      </c>
      <c r="G5365">
        <v>0</v>
      </c>
      <c r="H5365">
        <v>1</v>
      </c>
      <c r="I5365" s="3">
        <v>4116.96</v>
      </c>
      <c r="J5365" s="3">
        <v>0</v>
      </c>
      <c r="K5365" t="s">
        <v>12572</v>
      </c>
      <c r="L5365">
        <v>46</v>
      </c>
      <c r="M5365" t="s">
        <v>913</v>
      </c>
      <c r="N5365" t="s">
        <v>914</v>
      </c>
      <c r="O5365" t="s">
        <v>200</v>
      </c>
      <c r="P5365" t="str">
        <f>"10952"</f>
        <v>10952</v>
      </c>
    </row>
    <row r="5366" spans="1:16" x14ac:dyDescent="0.25">
      <c r="A5366" t="str">
        <f>"1120125H00306    00"</f>
        <v>1120125H00306    00</v>
      </c>
      <c r="B5366" t="s">
        <v>12573</v>
      </c>
      <c r="C5366" t="s">
        <v>12574</v>
      </c>
      <c r="E5366" t="s">
        <v>39</v>
      </c>
      <c r="F5366">
        <v>0</v>
      </c>
      <c r="G5366">
        <v>0</v>
      </c>
      <c r="H5366">
        <v>2</v>
      </c>
      <c r="I5366" s="3">
        <v>1337.83</v>
      </c>
      <c r="J5366" s="3">
        <v>1706.59</v>
      </c>
      <c r="L5366">
        <v>6923</v>
      </c>
      <c r="M5366" t="s">
        <v>4452</v>
      </c>
      <c r="N5366" t="s">
        <v>30</v>
      </c>
      <c r="O5366" t="s">
        <v>31</v>
      </c>
      <c r="P5366" t="str">
        <f>"15208"</f>
        <v>15208</v>
      </c>
    </row>
    <row r="5367" spans="1:16" x14ac:dyDescent="0.25">
      <c r="A5367" t="str">
        <f>"1120125H00308A   00"</f>
        <v>1120125H00308A   00</v>
      </c>
      <c r="B5367" t="s">
        <v>12575</v>
      </c>
      <c r="C5367" t="s">
        <v>12576</v>
      </c>
      <c r="D5367" t="s">
        <v>20</v>
      </c>
      <c r="E5367" t="s">
        <v>39</v>
      </c>
      <c r="F5367">
        <v>0</v>
      </c>
      <c r="G5367">
        <v>0</v>
      </c>
      <c r="H5367">
        <v>3</v>
      </c>
      <c r="I5367" s="3">
        <v>436.43</v>
      </c>
      <c r="J5367" s="3">
        <v>1.69</v>
      </c>
      <c r="K5367" t="s">
        <v>12577</v>
      </c>
      <c r="M5367" t="s">
        <v>12578</v>
      </c>
      <c r="N5367" t="s">
        <v>12579</v>
      </c>
      <c r="O5367" t="s">
        <v>31</v>
      </c>
      <c r="P5367" t="str">
        <f>"15112"</f>
        <v>15112</v>
      </c>
    </row>
    <row r="5368" spans="1:16" x14ac:dyDescent="0.25">
      <c r="A5368" t="str">
        <f>"1120125H00311    00"</f>
        <v>1120125H00311    00</v>
      </c>
      <c r="B5368" t="s">
        <v>12580</v>
      </c>
      <c r="C5368" t="s">
        <v>12581</v>
      </c>
      <c r="D5368" t="s">
        <v>20</v>
      </c>
      <c r="E5368" t="s">
        <v>39</v>
      </c>
      <c r="F5368">
        <v>0</v>
      </c>
      <c r="G5368">
        <v>0</v>
      </c>
      <c r="H5368">
        <v>1</v>
      </c>
      <c r="I5368" s="3">
        <v>303.07</v>
      </c>
      <c r="J5368" s="3">
        <v>0</v>
      </c>
      <c r="K5368" t="s">
        <v>12582</v>
      </c>
      <c r="L5368">
        <v>7167</v>
      </c>
      <c r="M5368" t="s">
        <v>12583</v>
      </c>
      <c r="N5368" t="s">
        <v>30</v>
      </c>
      <c r="O5368" t="s">
        <v>31</v>
      </c>
      <c r="P5368" t="str">
        <f>"15206"</f>
        <v>15206</v>
      </c>
    </row>
    <row r="5369" spans="1:16" x14ac:dyDescent="0.25">
      <c r="A5369" t="str">
        <f>"1120125H00313    00"</f>
        <v>1120125H00313    00</v>
      </c>
      <c r="B5369" t="s">
        <v>921</v>
      </c>
      <c r="C5369" t="s">
        <v>12584</v>
      </c>
      <c r="D5369" t="s">
        <v>20</v>
      </c>
      <c r="E5369" t="s">
        <v>39</v>
      </c>
      <c r="F5369">
        <v>0</v>
      </c>
      <c r="G5369">
        <v>0</v>
      </c>
      <c r="H5369">
        <v>1</v>
      </c>
      <c r="I5369" s="3">
        <v>675.12</v>
      </c>
      <c r="J5369" s="3">
        <v>0</v>
      </c>
      <c r="L5369">
        <v>46</v>
      </c>
      <c r="M5369" t="s">
        <v>913</v>
      </c>
      <c r="N5369" t="s">
        <v>914</v>
      </c>
      <c r="O5369" t="s">
        <v>200</v>
      </c>
      <c r="P5369" t="str">
        <f>"10952"</f>
        <v>10952</v>
      </c>
    </row>
    <row r="5370" spans="1:16" x14ac:dyDescent="0.25">
      <c r="A5370" t="str">
        <f>"1120125H00314    00"</f>
        <v>1120125H00314    00</v>
      </c>
      <c r="B5370" t="s">
        <v>918</v>
      </c>
      <c r="C5370" t="s">
        <v>12585</v>
      </c>
      <c r="D5370" t="s">
        <v>20</v>
      </c>
      <c r="E5370" t="s">
        <v>39</v>
      </c>
      <c r="F5370">
        <v>0</v>
      </c>
      <c r="G5370">
        <v>0</v>
      </c>
      <c r="H5370">
        <v>2</v>
      </c>
      <c r="I5370" s="3">
        <v>495.6</v>
      </c>
      <c r="J5370" s="3">
        <v>0</v>
      </c>
      <c r="K5370" t="s">
        <v>920</v>
      </c>
      <c r="L5370">
        <v>46</v>
      </c>
      <c r="M5370" t="s">
        <v>913</v>
      </c>
      <c r="N5370" t="s">
        <v>914</v>
      </c>
      <c r="O5370" t="s">
        <v>200</v>
      </c>
      <c r="P5370" t="str">
        <f>"10952"</f>
        <v>10952</v>
      </c>
    </row>
    <row r="5371" spans="1:16" x14ac:dyDescent="0.25">
      <c r="A5371" t="str">
        <f>"1120125J00002    00"</f>
        <v>1120125J00002    00</v>
      </c>
      <c r="B5371" t="s">
        <v>12586</v>
      </c>
      <c r="C5371" t="s">
        <v>12587</v>
      </c>
      <c r="D5371" t="s">
        <v>57</v>
      </c>
      <c r="E5371" t="s">
        <v>21</v>
      </c>
      <c r="F5371">
        <v>0</v>
      </c>
      <c r="G5371">
        <v>0</v>
      </c>
      <c r="H5371">
        <v>1</v>
      </c>
      <c r="I5371" s="3">
        <v>2167.69</v>
      </c>
      <c r="J5371" s="3">
        <v>0</v>
      </c>
      <c r="K5371" t="s">
        <v>161</v>
      </c>
      <c r="L5371">
        <v>1000</v>
      </c>
      <c r="M5371" t="s">
        <v>162</v>
      </c>
      <c r="N5371" t="s">
        <v>163</v>
      </c>
      <c r="O5371" t="s">
        <v>31</v>
      </c>
      <c r="P5371" t="str">
        <f>"19406"</f>
        <v>19406</v>
      </c>
    </row>
    <row r="5372" spans="1:16" x14ac:dyDescent="0.25">
      <c r="A5372" t="str">
        <f>"1120125K00148    00"</f>
        <v>1120125K00148    00</v>
      </c>
      <c r="B5372" t="s">
        <v>12588</v>
      </c>
      <c r="C5372" t="s">
        <v>12589</v>
      </c>
      <c r="D5372" t="s">
        <v>20</v>
      </c>
      <c r="E5372" t="s">
        <v>39</v>
      </c>
      <c r="F5372">
        <v>0</v>
      </c>
      <c r="G5372">
        <v>0</v>
      </c>
      <c r="H5372">
        <v>4</v>
      </c>
      <c r="I5372" s="3">
        <v>173.74</v>
      </c>
      <c r="J5372" s="3">
        <v>25.43</v>
      </c>
      <c r="L5372">
        <v>6725</v>
      </c>
      <c r="M5372" t="s">
        <v>11435</v>
      </c>
      <c r="N5372" t="s">
        <v>30</v>
      </c>
      <c r="O5372" t="s">
        <v>31</v>
      </c>
      <c r="P5372" t="str">
        <f>"15208"</f>
        <v>15208</v>
      </c>
    </row>
    <row r="5373" spans="1:16" x14ac:dyDescent="0.25">
      <c r="A5373" t="str">
        <f>"1120125K00151    00"</f>
        <v>1120125K00151    00</v>
      </c>
      <c r="B5373" t="s">
        <v>12590</v>
      </c>
      <c r="C5373" t="s">
        <v>12591</v>
      </c>
      <c r="D5373" t="s">
        <v>20</v>
      </c>
      <c r="E5373" t="s">
        <v>39</v>
      </c>
      <c r="F5373">
        <v>0</v>
      </c>
      <c r="G5373">
        <v>0</v>
      </c>
      <c r="H5373">
        <v>9</v>
      </c>
      <c r="I5373" s="3">
        <v>6000.16</v>
      </c>
      <c r="J5373" s="3">
        <v>1867.85</v>
      </c>
      <c r="K5373" t="s">
        <v>12592</v>
      </c>
      <c r="M5373" t="s">
        <v>12593</v>
      </c>
      <c r="N5373" t="s">
        <v>12594</v>
      </c>
      <c r="O5373" t="s">
        <v>692</v>
      </c>
      <c r="P5373" t="str">
        <f>"22194"</f>
        <v>22194</v>
      </c>
    </row>
    <row r="5374" spans="1:16" x14ac:dyDescent="0.25">
      <c r="A5374" t="str">
        <f>"1120125L00017    00"</f>
        <v>1120125L00017    00</v>
      </c>
      <c r="B5374" t="s">
        <v>12595</v>
      </c>
      <c r="C5374" t="s">
        <v>12596</v>
      </c>
      <c r="D5374" t="s">
        <v>20</v>
      </c>
      <c r="E5374" t="s">
        <v>39</v>
      </c>
      <c r="F5374">
        <v>0</v>
      </c>
      <c r="G5374">
        <v>0</v>
      </c>
      <c r="H5374">
        <v>1</v>
      </c>
      <c r="I5374" s="3">
        <v>372.13</v>
      </c>
      <c r="J5374" s="3">
        <v>0</v>
      </c>
      <c r="L5374">
        <v>701</v>
      </c>
      <c r="M5374" t="s">
        <v>11562</v>
      </c>
      <c r="N5374" t="s">
        <v>30</v>
      </c>
      <c r="O5374" t="s">
        <v>31</v>
      </c>
      <c r="P5374" t="str">
        <f t="shared" ref="P5374:P5380" si="71">"15208"</f>
        <v>15208</v>
      </c>
    </row>
    <row r="5375" spans="1:16" x14ac:dyDescent="0.25">
      <c r="A5375" t="str">
        <f>"1120125L00019    00"</f>
        <v>1120125L00019    00</v>
      </c>
      <c r="B5375" t="s">
        <v>12597</v>
      </c>
      <c r="C5375" t="s">
        <v>12598</v>
      </c>
      <c r="D5375" t="s">
        <v>20</v>
      </c>
      <c r="E5375" t="s">
        <v>39</v>
      </c>
      <c r="F5375">
        <v>0</v>
      </c>
      <c r="G5375">
        <v>0</v>
      </c>
      <c r="H5375">
        <v>8</v>
      </c>
      <c r="I5375" s="3">
        <v>2100.04</v>
      </c>
      <c r="J5375" s="3">
        <v>1115.8399999999999</v>
      </c>
      <c r="L5375">
        <v>705</v>
      </c>
      <c r="M5375" t="s">
        <v>11562</v>
      </c>
      <c r="N5375" t="s">
        <v>30</v>
      </c>
      <c r="O5375" t="s">
        <v>31</v>
      </c>
      <c r="P5375" t="str">
        <f t="shared" si="71"/>
        <v>15208</v>
      </c>
    </row>
    <row r="5376" spans="1:16" x14ac:dyDescent="0.25">
      <c r="A5376" t="str">
        <f>"1120125L00030    00"</f>
        <v>1120125L00030    00</v>
      </c>
      <c r="B5376" t="s">
        <v>12599</v>
      </c>
      <c r="C5376" t="s">
        <v>12600</v>
      </c>
      <c r="D5376" t="s">
        <v>20</v>
      </c>
      <c r="E5376" t="s">
        <v>39</v>
      </c>
      <c r="F5376">
        <v>0</v>
      </c>
      <c r="G5376">
        <v>0</v>
      </c>
      <c r="H5376">
        <v>4</v>
      </c>
      <c r="I5376" s="3">
        <v>1233.99</v>
      </c>
      <c r="J5376" s="3">
        <v>626.73</v>
      </c>
      <c r="L5376">
        <v>6911</v>
      </c>
      <c r="M5376" t="s">
        <v>12487</v>
      </c>
      <c r="N5376" t="s">
        <v>30</v>
      </c>
      <c r="O5376" t="s">
        <v>31</v>
      </c>
      <c r="P5376" t="str">
        <f t="shared" si="71"/>
        <v>15208</v>
      </c>
    </row>
    <row r="5377" spans="1:16" x14ac:dyDescent="0.25">
      <c r="A5377" t="str">
        <f>"1120125L00034    00"</f>
        <v>1120125L00034    00</v>
      </c>
      <c r="B5377" t="s">
        <v>12601</v>
      </c>
      <c r="C5377" t="s">
        <v>12602</v>
      </c>
      <c r="E5377" t="s">
        <v>39</v>
      </c>
      <c r="F5377">
        <v>0</v>
      </c>
      <c r="G5377">
        <v>0</v>
      </c>
      <c r="H5377">
        <v>13</v>
      </c>
      <c r="I5377" s="3">
        <v>4364.01</v>
      </c>
      <c r="J5377" s="3">
        <v>5589.41</v>
      </c>
      <c r="L5377">
        <v>6914</v>
      </c>
      <c r="M5377" t="s">
        <v>12487</v>
      </c>
      <c r="N5377" t="s">
        <v>30</v>
      </c>
      <c r="O5377" t="s">
        <v>31</v>
      </c>
      <c r="P5377" t="str">
        <f t="shared" si="71"/>
        <v>15208</v>
      </c>
    </row>
    <row r="5378" spans="1:16" x14ac:dyDescent="0.25">
      <c r="A5378" t="str">
        <f>"1120125L00035    00"</f>
        <v>1120125L00035    00</v>
      </c>
      <c r="B5378" t="s">
        <v>12603</v>
      </c>
      <c r="C5378" t="s">
        <v>12604</v>
      </c>
      <c r="D5378" t="s">
        <v>20</v>
      </c>
      <c r="E5378" t="s">
        <v>39</v>
      </c>
      <c r="F5378">
        <v>0</v>
      </c>
      <c r="G5378">
        <v>0</v>
      </c>
      <c r="H5378">
        <v>10</v>
      </c>
      <c r="I5378" s="3">
        <v>1362.48</v>
      </c>
      <c r="J5378" s="3">
        <v>602.03</v>
      </c>
      <c r="L5378">
        <v>6912</v>
      </c>
      <c r="M5378" t="s">
        <v>12487</v>
      </c>
      <c r="N5378" t="s">
        <v>30</v>
      </c>
      <c r="O5378" t="s">
        <v>31</v>
      </c>
      <c r="P5378" t="str">
        <f t="shared" si="71"/>
        <v>15208</v>
      </c>
    </row>
    <row r="5379" spans="1:16" x14ac:dyDescent="0.25">
      <c r="A5379" t="str">
        <f>"1120125L00036    00"</f>
        <v>1120125L00036    00</v>
      </c>
      <c r="B5379" t="s">
        <v>12605</v>
      </c>
      <c r="C5379" t="s">
        <v>12606</v>
      </c>
      <c r="D5379" t="s">
        <v>20</v>
      </c>
      <c r="E5379" t="s">
        <v>39</v>
      </c>
      <c r="F5379">
        <v>0</v>
      </c>
      <c r="G5379">
        <v>0</v>
      </c>
      <c r="H5379">
        <v>4</v>
      </c>
      <c r="I5379" s="3">
        <v>665.61</v>
      </c>
      <c r="J5379" s="3">
        <v>84.7</v>
      </c>
      <c r="L5379">
        <v>6910</v>
      </c>
      <c r="M5379" t="s">
        <v>12487</v>
      </c>
      <c r="N5379" t="s">
        <v>30</v>
      </c>
      <c r="O5379" t="s">
        <v>31</v>
      </c>
      <c r="P5379" t="str">
        <f t="shared" si="71"/>
        <v>15208</v>
      </c>
    </row>
    <row r="5380" spans="1:16" x14ac:dyDescent="0.25">
      <c r="A5380" t="str">
        <f>"1120125L00037    00"</f>
        <v>1120125L00037    00</v>
      </c>
      <c r="B5380" t="s">
        <v>12607</v>
      </c>
      <c r="C5380" t="s">
        <v>12608</v>
      </c>
      <c r="D5380" t="s">
        <v>20</v>
      </c>
      <c r="E5380" t="s">
        <v>39</v>
      </c>
      <c r="F5380">
        <v>0</v>
      </c>
      <c r="G5380">
        <v>0</v>
      </c>
      <c r="H5380">
        <v>2</v>
      </c>
      <c r="I5380" s="3">
        <v>505.09</v>
      </c>
      <c r="J5380" s="3">
        <v>0</v>
      </c>
      <c r="K5380" t="s">
        <v>12609</v>
      </c>
      <c r="L5380">
        <v>7043</v>
      </c>
      <c r="M5380" t="s">
        <v>11435</v>
      </c>
      <c r="N5380" t="s">
        <v>30</v>
      </c>
      <c r="O5380" t="s">
        <v>31</v>
      </c>
      <c r="P5380" t="str">
        <f t="shared" si="71"/>
        <v>15208</v>
      </c>
    </row>
    <row r="5381" spans="1:16" x14ac:dyDescent="0.25">
      <c r="A5381" t="str">
        <f>"1120125L00052    00"</f>
        <v>1120125L00052    00</v>
      </c>
      <c r="B5381" t="s">
        <v>7111</v>
      </c>
      <c r="C5381" t="s">
        <v>12610</v>
      </c>
      <c r="D5381" t="s">
        <v>20</v>
      </c>
      <c r="E5381" t="s">
        <v>39</v>
      </c>
      <c r="F5381">
        <v>0</v>
      </c>
      <c r="G5381">
        <v>0</v>
      </c>
      <c r="H5381">
        <v>2</v>
      </c>
      <c r="I5381" s="3">
        <v>849.93</v>
      </c>
      <c r="J5381" s="3">
        <v>0</v>
      </c>
      <c r="L5381">
        <v>4735</v>
      </c>
      <c r="M5381" t="s">
        <v>841</v>
      </c>
      <c r="N5381" t="s">
        <v>30</v>
      </c>
      <c r="O5381" t="s">
        <v>31</v>
      </c>
      <c r="P5381" t="str">
        <f>"15201"</f>
        <v>15201</v>
      </c>
    </row>
    <row r="5382" spans="1:16" x14ac:dyDescent="0.25">
      <c r="A5382" t="str">
        <f>"1120125L00054    00"</f>
        <v>1120125L00054    00</v>
      </c>
      <c r="B5382" t="s">
        <v>12611</v>
      </c>
      <c r="C5382" t="s">
        <v>12612</v>
      </c>
      <c r="D5382" t="s">
        <v>20</v>
      </c>
      <c r="E5382" t="s">
        <v>21</v>
      </c>
      <c r="F5382">
        <v>0</v>
      </c>
      <c r="G5382">
        <v>0</v>
      </c>
      <c r="H5382">
        <v>1</v>
      </c>
      <c r="I5382" s="3">
        <v>4113.16</v>
      </c>
      <c r="J5382" s="3">
        <v>0</v>
      </c>
      <c r="K5382" t="s">
        <v>12613</v>
      </c>
      <c r="L5382">
        <v>707</v>
      </c>
      <c r="M5382" t="s">
        <v>12614</v>
      </c>
      <c r="N5382" t="s">
        <v>30</v>
      </c>
      <c r="O5382" t="s">
        <v>31</v>
      </c>
      <c r="P5382" t="str">
        <f>"15219"</f>
        <v>15219</v>
      </c>
    </row>
    <row r="5383" spans="1:16" x14ac:dyDescent="0.25">
      <c r="A5383" t="str">
        <f>"1120125L00055    00"</f>
        <v>1120125L00055    00</v>
      </c>
      <c r="B5383" t="s">
        <v>12611</v>
      </c>
      <c r="C5383" t="s">
        <v>12615</v>
      </c>
      <c r="D5383" t="s">
        <v>20</v>
      </c>
      <c r="E5383" t="s">
        <v>39</v>
      </c>
      <c r="F5383">
        <v>0</v>
      </c>
      <c r="G5383">
        <v>0</v>
      </c>
      <c r="H5383">
        <v>1</v>
      </c>
      <c r="I5383" s="3">
        <v>2742.74</v>
      </c>
      <c r="J5383" s="3">
        <v>0</v>
      </c>
      <c r="K5383" t="s">
        <v>12613</v>
      </c>
      <c r="L5383">
        <v>707</v>
      </c>
      <c r="M5383" t="s">
        <v>12614</v>
      </c>
      <c r="N5383" t="s">
        <v>30</v>
      </c>
      <c r="O5383" t="s">
        <v>31</v>
      </c>
      <c r="P5383" t="str">
        <f>"15219"</f>
        <v>15219</v>
      </c>
    </row>
    <row r="5384" spans="1:16" x14ac:dyDescent="0.25">
      <c r="A5384" t="str">
        <f>"1120125L00057    00"</f>
        <v>1120125L00057    00</v>
      </c>
      <c r="B5384" t="s">
        <v>1313</v>
      </c>
      <c r="C5384" t="s">
        <v>12616</v>
      </c>
      <c r="D5384" t="s">
        <v>20</v>
      </c>
      <c r="E5384" t="s">
        <v>39</v>
      </c>
      <c r="F5384">
        <v>0</v>
      </c>
      <c r="G5384">
        <v>0</v>
      </c>
      <c r="H5384">
        <v>1</v>
      </c>
      <c r="I5384" s="3">
        <v>285.92</v>
      </c>
      <c r="J5384" s="3">
        <v>0</v>
      </c>
      <c r="L5384">
        <v>639</v>
      </c>
      <c r="M5384" t="s">
        <v>1315</v>
      </c>
      <c r="N5384" t="s">
        <v>30</v>
      </c>
      <c r="O5384" t="s">
        <v>31</v>
      </c>
      <c r="P5384" t="str">
        <f>"15206"</f>
        <v>15206</v>
      </c>
    </row>
    <row r="5385" spans="1:16" x14ac:dyDescent="0.25">
      <c r="A5385" t="str">
        <f>"1120125L00068    00"</f>
        <v>1120125L00068    00</v>
      </c>
      <c r="B5385" t="s">
        <v>12617</v>
      </c>
      <c r="C5385" t="s">
        <v>12491</v>
      </c>
      <c r="D5385" t="s">
        <v>20</v>
      </c>
      <c r="E5385" t="s">
        <v>21</v>
      </c>
      <c r="F5385">
        <v>0</v>
      </c>
      <c r="G5385">
        <v>0</v>
      </c>
      <c r="H5385">
        <v>4</v>
      </c>
      <c r="I5385" s="3">
        <v>470.82</v>
      </c>
      <c r="J5385" s="3">
        <v>55.61</v>
      </c>
      <c r="L5385">
        <v>1037</v>
      </c>
      <c r="M5385" t="s">
        <v>4053</v>
      </c>
      <c r="N5385" t="s">
        <v>30</v>
      </c>
      <c r="O5385" t="s">
        <v>31</v>
      </c>
      <c r="P5385" t="str">
        <f>"15201"</f>
        <v>15201</v>
      </c>
    </row>
    <row r="5386" spans="1:16" x14ac:dyDescent="0.25">
      <c r="A5386" t="str">
        <f>"1120125L00078    00"</f>
        <v>1120125L00078    00</v>
      </c>
      <c r="B5386" t="s">
        <v>12618</v>
      </c>
      <c r="C5386" t="s">
        <v>12619</v>
      </c>
      <c r="E5386" t="s">
        <v>39</v>
      </c>
      <c r="F5386">
        <v>0</v>
      </c>
      <c r="G5386">
        <v>0</v>
      </c>
      <c r="H5386">
        <v>1</v>
      </c>
      <c r="I5386" s="3">
        <v>500</v>
      </c>
      <c r="J5386" s="3">
        <v>299.99</v>
      </c>
      <c r="L5386">
        <v>5629</v>
      </c>
      <c r="M5386" t="s">
        <v>9872</v>
      </c>
      <c r="N5386" t="s">
        <v>30</v>
      </c>
      <c r="O5386" t="s">
        <v>31</v>
      </c>
      <c r="P5386" t="str">
        <f>"15206"</f>
        <v>15206</v>
      </c>
    </row>
    <row r="5387" spans="1:16" x14ac:dyDescent="0.25">
      <c r="A5387" t="str">
        <f>"1120125L00092    00"</f>
        <v>1120125L00092    00</v>
      </c>
      <c r="B5387" t="s">
        <v>12620</v>
      </c>
      <c r="C5387" t="s">
        <v>12621</v>
      </c>
      <c r="D5387" t="s">
        <v>20</v>
      </c>
      <c r="E5387" t="s">
        <v>21</v>
      </c>
      <c r="F5387">
        <v>0</v>
      </c>
      <c r="G5387">
        <v>0</v>
      </c>
      <c r="H5387">
        <v>5</v>
      </c>
      <c r="I5387" s="3">
        <v>9996.5300000000007</v>
      </c>
      <c r="J5387" s="3">
        <v>1564.8</v>
      </c>
      <c r="L5387">
        <v>4008</v>
      </c>
      <c r="M5387" t="s">
        <v>12622</v>
      </c>
      <c r="N5387" t="s">
        <v>625</v>
      </c>
      <c r="O5387" t="s">
        <v>31</v>
      </c>
      <c r="P5387" t="str">
        <f>"15108"</f>
        <v>15108</v>
      </c>
    </row>
    <row r="5388" spans="1:16" x14ac:dyDescent="0.25">
      <c r="A5388" t="str">
        <f>"1120125L00203    00"</f>
        <v>1120125L00203    00</v>
      </c>
      <c r="B5388" t="s">
        <v>12623</v>
      </c>
      <c r="C5388" t="s">
        <v>12624</v>
      </c>
      <c r="D5388" t="s">
        <v>20</v>
      </c>
      <c r="E5388" t="s">
        <v>39</v>
      </c>
      <c r="F5388">
        <v>0</v>
      </c>
      <c r="G5388">
        <v>0</v>
      </c>
      <c r="H5388">
        <v>1</v>
      </c>
      <c r="I5388" s="3">
        <v>190.6</v>
      </c>
      <c r="J5388" s="3">
        <v>0</v>
      </c>
      <c r="L5388">
        <v>46</v>
      </c>
      <c r="M5388" t="s">
        <v>913</v>
      </c>
      <c r="N5388" t="s">
        <v>914</v>
      </c>
      <c r="O5388" t="s">
        <v>200</v>
      </c>
      <c r="P5388" t="str">
        <f>"10952"</f>
        <v>10952</v>
      </c>
    </row>
    <row r="5389" spans="1:16" x14ac:dyDescent="0.25">
      <c r="A5389" t="str">
        <f>"1120125M00041    00"</f>
        <v>1120125M00041    00</v>
      </c>
      <c r="B5389" t="s">
        <v>918</v>
      </c>
      <c r="C5389" t="s">
        <v>12625</v>
      </c>
      <c r="D5389" t="s">
        <v>20</v>
      </c>
      <c r="E5389" t="s">
        <v>21</v>
      </c>
      <c r="F5389">
        <v>0</v>
      </c>
      <c r="G5389">
        <v>0</v>
      </c>
      <c r="H5389">
        <v>2</v>
      </c>
      <c r="I5389" s="3">
        <v>1982.26</v>
      </c>
      <c r="J5389" s="3">
        <v>0</v>
      </c>
      <c r="K5389" t="s">
        <v>920</v>
      </c>
      <c r="L5389">
        <v>46</v>
      </c>
      <c r="M5389" t="s">
        <v>913</v>
      </c>
      <c r="N5389" t="s">
        <v>914</v>
      </c>
      <c r="O5389" t="s">
        <v>200</v>
      </c>
      <c r="P5389" t="str">
        <f>"10952"</f>
        <v>10952</v>
      </c>
    </row>
    <row r="5390" spans="1:16" x14ac:dyDescent="0.25">
      <c r="A5390" t="str">
        <f>"1120125M00042    00"</f>
        <v>1120125M00042    00</v>
      </c>
      <c r="B5390" t="s">
        <v>910</v>
      </c>
      <c r="C5390" t="s">
        <v>12626</v>
      </c>
      <c r="D5390" t="s">
        <v>20</v>
      </c>
      <c r="E5390" t="s">
        <v>39</v>
      </c>
      <c r="F5390">
        <v>0</v>
      </c>
      <c r="G5390">
        <v>0</v>
      </c>
      <c r="H5390">
        <v>2</v>
      </c>
      <c r="I5390" s="3">
        <v>2592.16</v>
      </c>
      <c r="J5390" s="3">
        <v>0</v>
      </c>
      <c r="K5390" t="s">
        <v>912</v>
      </c>
      <c r="L5390">
        <v>46</v>
      </c>
      <c r="M5390" t="s">
        <v>913</v>
      </c>
      <c r="N5390" t="s">
        <v>914</v>
      </c>
      <c r="O5390" t="s">
        <v>200</v>
      </c>
      <c r="P5390" t="str">
        <f>"10952"</f>
        <v>10952</v>
      </c>
    </row>
    <row r="5391" spans="1:16" x14ac:dyDescent="0.25">
      <c r="A5391" t="str">
        <f>"1120125M00043    00"</f>
        <v>1120125M00043    00</v>
      </c>
      <c r="B5391" t="s">
        <v>918</v>
      </c>
      <c r="C5391" t="s">
        <v>12627</v>
      </c>
      <c r="D5391" t="s">
        <v>20</v>
      </c>
      <c r="E5391" t="s">
        <v>39</v>
      </c>
      <c r="F5391">
        <v>0</v>
      </c>
      <c r="G5391">
        <v>0</v>
      </c>
      <c r="H5391">
        <v>1</v>
      </c>
      <c r="I5391" s="3">
        <v>743.34</v>
      </c>
      <c r="J5391" s="3">
        <v>0</v>
      </c>
      <c r="K5391" t="s">
        <v>920</v>
      </c>
      <c r="L5391">
        <v>46</v>
      </c>
      <c r="M5391" t="s">
        <v>913</v>
      </c>
      <c r="N5391" t="s">
        <v>914</v>
      </c>
      <c r="O5391" t="s">
        <v>200</v>
      </c>
      <c r="P5391" t="str">
        <f>"10952"</f>
        <v>10952</v>
      </c>
    </row>
    <row r="5392" spans="1:16" x14ac:dyDescent="0.25">
      <c r="A5392" t="str">
        <f>"1120125M00139    00"</f>
        <v>1120125M00139    00</v>
      </c>
      <c r="B5392" t="s">
        <v>12628</v>
      </c>
      <c r="C5392" t="s">
        <v>12491</v>
      </c>
      <c r="E5392" t="s">
        <v>39</v>
      </c>
      <c r="F5392">
        <v>0</v>
      </c>
      <c r="G5392">
        <v>0</v>
      </c>
      <c r="H5392">
        <v>1</v>
      </c>
      <c r="I5392" s="3">
        <v>34.85</v>
      </c>
      <c r="J5392" s="3">
        <v>0</v>
      </c>
      <c r="L5392">
        <v>1842</v>
      </c>
      <c r="M5392" t="s">
        <v>12629</v>
      </c>
      <c r="N5392" t="s">
        <v>8912</v>
      </c>
      <c r="O5392" t="s">
        <v>495</v>
      </c>
      <c r="P5392" t="str">
        <f>"09150"</f>
        <v>09150</v>
      </c>
    </row>
    <row r="5393" spans="1:16" x14ac:dyDescent="0.25">
      <c r="A5393" t="str">
        <f>"1120125M00140    00"</f>
        <v>1120125M00140    00</v>
      </c>
      <c r="B5393" t="s">
        <v>12628</v>
      </c>
      <c r="C5393" t="s">
        <v>12491</v>
      </c>
      <c r="E5393" t="s">
        <v>39</v>
      </c>
      <c r="F5393">
        <v>0</v>
      </c>
      <c r="G5393">
        <v>0</v>
      </c>
      <c r="H5393">
        <v>1</v>
      </c>
      <c r="I5393" s="3">
        <v>14.35</v>
      </c>
      <c r="J5393" s="3">
        <v>0</v>
      </c>
      <c r="L5393">
        <v>1842</v>
      </c>
      <c r="M5393" t="s">
        <v>12629</v>
      </c>
      <c r="N5393" t="s">
        <v>12630</v>
      </c>
      <c r="O5393" t="s">
        <v>495</v>
      </c>
      <c r="P5393" t="str">
        <f>"91950"</f>
        <v>91950</v>
      </c>
    </row>
    <row r="5394" spans="1:16" x14ac:dyDescent="0.25">
      <c r="A5394" t="str">
        <f>"1120125M00141    00"</f>
        <v>1120125M00141    00</v>
      </c>
      <c r="B5394" t="s">
        <v>12631</v>
      </c>
      <c r="C5394" t="s">
        <v>12491</v>
      </c>
      <c r="E5394" t="s">
        <v>39</v>
      </c>
      <c r="F5394">
        <v>0</v>
      </c>
      <c r="G5394">
        <v>0</v>
      </c>
      <c r="H5394">
        <v>1</v>
      </c>
      <c r="I5394" s="3">
        <v>14.35</v>
      </c>
      <c r="J5394" s="3">
        <v>0</v>
      </c>
      <c r="L5394">
        <v>1842</v>
      </c>
      <c r="M5394" t="s">
        <v>12629</v>
      </c>
      <c r="N5394" t="s">
        <v>12630</v>
      </c>
      <c r="O5394" t="s">
        <v>495</v>
      </c>
      <c r="P5394" t="str">
        <f>"91950"</f>
        <v>91950</v>
      </c>
    </row>
    <row r="5395" spans="1:16" x14ac:dyDescent="0.25">
      <c r="A5395" t="str">
        <f>"1120125M00145    00"</f>
        <v>1120125M00145    00</v>
      </c>
      <c r="B5395" t="s">
        <v>12632</v>
      </c>
      <c r="C5395" t="s">
        <v>12633</v>
      </c>
      <c r="D5395" t="s">
        <v>20</v>
      </c>
      <c r="E5395" t="s">
        <v>39</v>
      </c>
      <c r="F5395">
        <v>0</v>
      </c>
      <c r="G5395">
        <v>0</v>
      </c>
      <c r="H5395">
        <v>10</v>
      </c>
      <c r="I5395" s="3">
        <v>1954.49</v>
      </c>
      <c r="J5395" s="3">
        <v>1163.92</v>
      </c>
      <c r="K5395" t="s">
        <v>12634</v>
      </c>
      <c r="L5395">
        <v>6935</v>
      </c>
      <c r="M5395" t="s">
        <v>12487</v>
      </c>
      <c r="N5395" t="s">
        <v>30</v>
      </c>
      <c r="O5395" t="s">
        <v>31</v>
      </c>
      <c r="P5395" t="str">
        <f>"15208"</f>
        <v>15208</v>
      </c>
    </row>
    <row r="5396" spans="1:16" x14ac:dyDescent="0.25">
      <c r="A5396" t="str">
        <f>"1120125M00146    00"</f>
        <v>1120125M00146    00</v>
      </c>
      <c r="B5396" t="s">
        <v>11560</v>
      </c>
      <c r="C5396" t="s">
        <v>12635</v>
      </c>
      <c r="D5396" t="s">
        <v>20</v>
      </c>
      <c r="E5396" t="s">
        <v>39</v>
      </c>
      <c r="F5396">
        <v>0</v>
      </c>
      <c r="G5396">
        <v>0</v>
      </c>
      <c r="H5396">
        <v>1</v>
      </c>
      <c r="I5396" s="3">
        <v>489.85</v>
      </c>
      <c r="J5396" s="3">
        <v>0</v>
      </c>
      <c r="L5396">
        <v>701</v>
      </c>
      <c r="M5396" t="s">
        <v>11562</v>
      </c>
      <c r="N5396" t="s">
        <v>30</v>
      </c>
      <c r="O5396" t="s">
        <v>31</v>
      </c>
      <c r="P5396" t="str">
        <f>"15208"</f>
        <v>15208</v>
      </c>
    </row>
    <row r="5397" spans="1:16" x14ac:dyDescent="0.25">
      <c r="A5397" t="str">
        <f>"1120125M00149    00"</f>
        <v>1120125M00149    00</v>
      </c>
      <c r="B5397" t="s">
        <v>12636</v>
      </c>
      <c r="C5397" t="s">
        <v>12637</v>
      </c>
      <c r="D5397" t="s">
        <v>20</v>
      </c>
      <c r="E5397" t="s">
        <v>290</v>
      </c>
      <c r="F5397">
        <v>0</v>
      </c>
      <c r="G5397">
        <v>0</v>
      </c>
      <c r="H5397">
        <v>2</v>
      </c>
      <c r="I5397" s="3">
        <v>721.37</v>
      </c>
      <c r="J5397" s="3">
        <v>0</v>
      </c>
      <c r="L5397">
        <v>1136</v>
      </c>
      <c r="M5397" t="s">
        <v>10911</v>
      </c>
      <c r="N5397" t="s">
        <v>30</v>
      </c>
      <c r="O5397" t="s">
        <v>31</v>
      </c>
      <c r="P5397" t="str">
        <f>"15206"</f>
        <v>15206</v>
      </c>
    </row>
    <row r="5398" spans="1:16" x14ac:dyDescent="0.25">
      <c r="A5398" t="str">
        <f>"1120125M00151    00"</f>
        <v>1120125M00151    00</v>
      </c>
      <c r="B5398" t="s">
        <v>12638</v>
      </c>
      <c r="C5398" t="s">
        <v>12639</v>
      </c>
      <c r="D5398" t="s">
        <v>20</v>
      </c>
      <c r="E5398" t="s">
        <v>290</v>
      </c>
      <c r="F5398">
        <v>0</v>
      </c>
      <c r="G5398">
        <v>0</v>
      </c>
      <c r="H5398">
        <v>2</v>
      </c>
      <c r="I5398" s="3">
        <v>2855.22</v>
      </c>
      <c r="J5398" s="3">
        <v>0</v>
      </c>
      <c r="M5398" t="s">
        <v>12640</v>
      </c>
      <c r="N5398" t="s">
        <v>30</v>
      </c>
      <c r="O5398" t="s">
        <v>31</v>
      </c>
      <c r="P5398" t="str">
        <f>"15237"</f>
        <v>15237</v>
      </c>
    </row>
    <row r="5399" spans="1:16" x14ac:dyDescent="0.25">
      <c r="A5399" t="str">
        <f>"1120125M00155    00"</f>
        <v>1120125M00155    00</v>
      </c>
      <c r="B5399" t="s">
        <v>12638</v>
      </c>
      <c r="C5399" t="s">
        <v>12639</v>
      </c>
      <c r="D5399" t="s">
        <v>20</v>
      </c>
      <c r="E5399" t="s">
        <v>21</v>
      </c>
      <c r="F5399">
        <v>0</v>
      </c>
      <c r="G5399">
        <v>0</v>
      </c>
      <c r="H5399">
        <v>9</v>
      </c>
      <c r="I5399" s="3">
        <v>1835.84</v>
      </c>
      <c r="J5399" s="3">
        <v>758.11</v>
      </c>
      <c r="M5399" t="s">
        <v>12640</v>
      </c>
      <c r="N5399" t="s">
        <v>30</v>
      </c>
      <c r="O5399" t="s">
        <v>31</v>
      </c>
      <c r="P5399" t="str">
        <f>"15237"</f>
        <v>15237</v>
      </c>
    </row>
    <row r="5400" spans="1:16" x14ac:dyDescent="0.25">
      <c r="A5400" t="str">
        <f>"1120125M00215    00"</f>
        <v>1120125M00215    00</v>
      </c>
      <c r="B5400" t="s">
        <v>12570</v>
      </c>
      <c r="C5400" t="s">
        <v>12641</v>
      </c>
      <c r="D5400" t="s">
        <v>20</v>
      </c>
      <c r="E5400" t="s">
        <v>21</v>
      </c>
      <c r="F5400">
        <v>0</v>
      </c>
      <c r="G5400">
        <v>0</v>
      </c>
      <c r="H5400">
        <v>1</v>
      </c>
      <c r="I5400" s="3">
        <v>2287.1999999999998</v>
      </c>
      <c r="J5400" s="3">
        <v>0</v>
      </c>
      <c r="K5400" t="s">
        <v>12572</v>
      </c>
      <c r="L5400">
        <v>46</v>
      </c>
      <c r="M5400" t="s">
        <v>913</v>
      </c>
      <c r="N5400" t="s">
        <v>914</v>
      </c>
      <c r="O5400" t="s">
        <v>200</v>
      </c>
      <c r="P5400" t="str">
        <f>"10952"</f>
        <v>10952</v>
      </c>
    </row>
    <row r="5401" spans="1:16" x14ac:dyDescent="0.25">
      <c r="A5401" t="str">
        <f>"1120125M00216    00"</f>
        <v>1120125M00216    00</v>
      </c>
      <c r="B5401" t="s">
        <v>12642</v>
      </c>
      <c r="C5401" t="s">
        <v>12643</v>
      </c>
      <c r="D5401" t="s">
        <v>20</v>
      </c>
      <c r="E5401" t="s">
        <v>39</v>
      </c>
      <c r="F5401">
        <v>0</v>
      </c>
      <c r="G5401">
        <v>0</v>
      </c>
      <c r="H5401">
        <v>3</v>
      </c>
      <c r="I5401" s="3">
        <v>105.08</v>
      </c>
      <c r="J5401" s="3">
        <v>11.09</v>
      </c>
      <c r="L5401">
        <v>6942</v>
      </c>
      <c r="M5401" t="s">
        <v>12487</v>
      </c>
      <c r="N5401" t="s">
        <v>30</v>
      </c>
      <c r="O5401" t="s">
        <v>31</v>
      </c>
      <c r="P5401" t="str">
        <f>"15208"</f>
        <v>15208</v>
      </c>
    </row>
    <row r="5402" spans="1:16" x14ac:dyDescent="0.25">
      <c r="A5402" t="str">
        <f>"1120125M00217    00"</f>
        <v>1120125M00217    00</v>
      </c>
      <c r="B5402" t="s">
        <v>12642</v>
      </c>
      <c r="C5402" t="s">
        <v>12643</v>
      </c>
      <c r="D5402" t="s">
        <v>20</v>
      </c>
      <c r="E5402" t="s">
        <v>39</v>
      </c>
      <c r="F5402">
        <v>0</v>
      </c>
      <c r="G5402">
        <v>0</v>
      </c>
      <c r="H5402">
        <v>3</v>
      </c>
      <c r="I5402" s="3">
        <v>39.49</v>
      </c>
      <c r="J5402" s="3">
        <v>6.51</v>
      </c>
      <c r="L5402">
        <v>6942</v>
      </c>
      <c r="M5402" t="s">
        <v>12487</v>
      </c>
      <c r="N5402" t="s">
        <v>30</v>
      </c>
      <c r="O5402" t="s">
        <v>31</v>
      </c>
      <c r="P5402" t="str">
        <f>"15208"</f>
        <v>15208</v>
      </c>
    </row>
    <row r="5403" spans="1:16" x14ac:dyDescent="0.25">
      <c r="A5403" t="str">
        <f>"1120125M00221    00"</f>
        <v>1120125M00221    00</v>
      </c>
      <c r="B5403" t="s">
        <v>12644</v>
      </c>
      <c r="C5403" t="s">
        <v>12645</v>
      </c>
      <c r="E5403" t="s">
        <v>39</v>
      </c>
      <c r="F5403">
        <v>0</v>
      </c>
      <c r="G5403">
        <v>0</v>
      </c>
      <c r="H5403">
        <v>3</v>
      </c>
      <c r="I5403" s="3">
        <v>501.98</v>
      </c>
      <c r="J5403" s="3">
        <v>203.57</v>
      </c>
      <c r="L5403">
        <v>6932</v>
      </c>
      <c r="M5403" t="s">
        <v>12487</v>
      </c>
      <c r="N5403" t="s">
        <v>30</v>
      </c>
      <c r="O5403" t="s">
        <v>31</v>
      </c>
      <c r="P5403" t="str">
        <f>"15208"</f>
        <v>15208</v>
      </c>
    </row>
    <row r="5404" spans="1:16" x14ac:dyDescent="0.25">
      <c r="A5404" t="str">
        <f>"1120125M00239    00"</f>
        <v>1120125M00239    00</v>
      </c>
      <c r="B5404" t="s">
        <v>12642</v>
      </c>
      <c r="C5404" t="s">
        <v>12643</v>
      </c>
      <c r="D5404" t="s">
        <v>20</v>
      </c>
      <c r="E5404" t="s">
        <v>39</v>
      </c>
      <c r="F5404">
        <v>0</v>
      </c>
      <c r="G5404">
        <v>0</v>
      </c>
      <c r="H5404">
        <v>2</v>
      </c>
      <c r="I5404" s="3">
        <v>45.74</v>
      </c>
      <c r="J5404" s="3">
        <v>4.57</v>
      </c>
      <c r="L5404">
        <v>6942</v>
      </c>
      <c r="M5404" t="s">
        <v>12487</v>
      </c>
      <c r="N5404" t="s">
        <v>30</v>
      </c>
      <c r="O5404" t="s">
        <v>31</v>
      </c>
      <c r="P5404" t="str">
        <f>"15208"</f>
        <v>15208</v>
      </c>
    </row>
    <row r="5405" spans="1:16" x14ac:dyDescent="0.25">
      <c r="A5405" t="str">
        <f>"1120125M00242    00"</f>
        <v>1120125M00242    00</v>
      </c>
      <c r="B5405" t="s">
        <v>12642</v>
      </c>
      <c r="C5405" t="s">
        <v>12646</v>
      </c>
      <c r="D5405" t="s">
        <v>20</v>
      </c>
      <c r="E5405" t="s">
        <v>39</v>
      </c>
      <c r="F5405">
        <v>0</v>
      </c>
      <c r="G5405">
        <v>0</v>
      </c>
      <c r="H5405">
        <v>2</v>
      </c>
      <c r="I5405" s="3">
        <v>41.96</v>
      </c>
      <c r="J5405" s="3">
        <v>4.2</v>
      </c>
      <c r="L5405">
        <v>6942</v>
      </c>
      <c r="M5405" t="s">
        <v>12487</v>
      </c>
      <c r="N5405" t="s">
        <v>30</v>
      </c>
      <c r="O5405" t="s">
        <v>31</v>
      </c>
      <c r="P5405" t="str">
        <f>"15208"</f>
        <v>15208</v>
      </c>
    </row>
    <row r="5406" spans="1:16" x14ac:dyDescent="0.25">
      <c r="A5406" t="str">
        <f>"1120125M00324    00"</f>
        <v>1120125M00324    00</v>
      </c>
      <c r="B5406" t="s">
        <v>218</v>
      </c>
      <c r="C5406" t="s">
        <v>12647</v>
      </c>
      <c r="E5406" t="s">
        <v>21</v>
      </c>
      <c r="F5406">
        <v>0</v>
      </c>
      <c r="G5406">
        <v>0</v>
      </c>
      <c r="H5406">
        <v>1</v>
      </c>
      <c r="I5406" s="3">
        <v>655.55</v>
      </c>
      <c r="J5406" s="3">
        <v>262.20999999999998</v>
      </c>
      <c r="K5406" t="s">
        <v>220</v>
      </c>
      <c r="L5406">
        <v>412</v>
      </c>
      <c r="M5406" t="s">
        <v>221</v>
      </c>
      <c r="N5406" t="s">
        <v>30</v>
      </c>
      <c r="O5406" t="s">
        <v>31</v>
      </c>
      <c r="P5406" t="str">
        <f>"15219"</f>
        <v>15219</v>
      </c>
    </row>
    <row r="5407" spans="1:16" x14ac:dyDescent="0.25">
      <c r="A5407" t="str">
        <f>"1120125M00377    00"</f>
        <v>1120125M00377    00</v>
      </c>
      <c r="B5407" t="s">
        <v>12648</v>
      </c>
      <c r="C5407" t="s">
        <v>12649</v>
      </c>
      <c r="E5407" t="s">
        <v>39</v>
      </c>
      <c r="F5407">
        <v>0</v>
      </c>
      <c r="G5407">
        <v>0</v>
      </c>
      <c r="H5407">
        <v>1</v>
      </c>
      <c r="I5407" s="3">
        <v>19.97</v>
      </c>
      <c r="J5407" s="3">
        <v>17.64</v>
      </c>
      <c r="K5407" t="s">
        <v>12650</v>
      </c>
      <c r="L5407">
        <v>6620</v>
      </c>
      <c r="M5407" t="s">
        <v>11435</v>
      </c>
      <c r="N5407" t="s">
        <v>30</v>
      </c>
      <c r="O5407" t="s">
        <v>31</v>
      </c>
      <c r="P5407" t="str">
        <f>"15206"</f>
        <v>15206</v>
      </c>
    </row>
    <row r="5408" spans="1:16" x14ac:dyDescent="0.25">
      <c r="A5408" t="str">
        <f>"1120125M00388    00"</f>
        <v>1120125M00388    00</v>
      </c>
      <c r="B5408" t="s">
        <v>12648</v>
      </c>
      <c r="C5408" t="s">
        <v>12651</v>
      </c>
      <c r="E5408" t="s">
        <v>39</v>
      </c>
      <c r="F5408">
        <v>0</v>
      </c>
      <c r="G5408">
        <v>0</v>
      </c>
      <c r="H5408">
        <v>1</v>
      </c>
      <c r="I5408" s="3">
        <v>59.9</v>
      </c>
      <c r="J5408" s="3">
        <v>52.91</v>
      </c>
      <c r="K5408" t="s">
        <v>12650</v>
      </c>
      <c r="L5408">
        <v>6620</v>
      </c>
      <c r="M5408" t="s">
        <v>11435</v>
      </c>
      <c r="N5408" t="s">
        <v>30</v>
      </c>
      <c r="O5408" t="s">
        <v>31</v>
      </c>
      <c r="P5408" t="str">
        <f>"15206"</f>
        <v>15206</v>
      </c>
    </row>
    <row r="5409" spans="1:16" x14ac:dyDescent="0.25">
      <c r="A5409" t="str">
        <f>"1120125N00290    00"</f>
        <v>1120125N00290    00</v>
      </c>
      <c r="B5409" t="s">
        <v>12652</v>
      </c>
      <c r="C5409" t="s">
        <v>12653</v>
      </c>
      <c r="D5409" t="s">
        <v>20</v>
      </c>
      <c r="E5409" t="s">
        <v>207</v>
      </c>
      <c r="F5409">
        <v>0</v>
      </c>
      <c r="G5409">
        <v>0</v>
      </c>
      <c r="H5409">
        <v>1</v>
      </c>
      <c r="I5409" s="3">
        <v>47210.1</v>
      </c>
      <c r="J5409" s="3">
        <v>0</v>
      </c>
      <c r="L5409">
        <v>108</v>
      </c>
      <c r="M5409" t="s">
        <v>237</v>
      </c>
      <c r="N5409" t="s">
        <v>30</v>
      </c>
      <c r="O5409" t="s">
        <v>31</v>
      </c>
      <c r="P5409" t="str">
        <f>"15232"</f>
        <v>15232</v>
      </c>
    </row>
    <row r="5410" spans="1:16" x14ac:dyDescent="0.25">
      <c r="A5410" t="str">
        <f>"1120171L00100    00"</f>
        <v>1120171L00100    00</v>
      </c>
      <c r="B5410" t="s">
        <v>4503</v>
      </c>
      <c r="C5410" t="s">
        <v>12654</v>
      </c>
      <c r="E5410" t="s">
        <v>21</v>
      </c>
      <c r="F5410">
        <v>0</v>
      </c>
      <c r="G5410">
        <v>0</v>
      </c>
      <c r="H5410">
        <v>1</v>
      </c>
      <c r="I5410" s="3">
        <v>809.05</v>
      </c>
      <c r="J5410" s="3">
        <v>1128.01</v>
      </c>
      <c r="K5410" t="s">
        <v>603</v>
      </c>
      <c r="L5410">
        <v>110</v>
      </c>
      <c r="M5410" t="s">
        <v>4504</v>
      </c>
      <c r="N5410" t="s">
        <v>4505</v>
      </c>
      <c r="O5410" t="s">
        <v>692</v>
      </c>
      <c r="P5410" t="str">
        <f>"24042"</f>
        <v>24042</v>
      </c>
    </row>
    <row r="5411" spans="1:16" x14ac:dyDescent="0.25">
      <c r="A5411" t="str">
        <f>"1120172C00100    01"</f>
        <v>1120172C00100    01</v>
      </c>
      <c r="B5411" t="s">
        <v>12078</v>
      </c>
      <c r="C5411" t="s">
        <v>12655</v>
      </c>
      <c r="E5411" t="s">
        <v>513</v>
      </c>
      <c r="F5411">
        <v>0</v>
      </c>
      <c r="G5411">
        <v>0</v>
      </c>
      <c r="H5411">
        <v>2</v>
      </c>
      <c r="I5411" s="3">
        <v>129.58000000000001</v>
      </c>
      <c r="J5411" s="3">
        <v>150.29</v>
      </c>
      <c r="L5411">
        <v>519</v>
      </c>
      <c r="M5411" t="s">
        <v>12656</v>
      </c>
      <c r="N5411" t="s">
        <v>5847</v>
      </c>
      <c r="O5411" t="s">
        <v>31</v>
      </c>
      <c r="P5411" t="str">
        <f>"15139"</f>
        <v>15139</v>
      </c>
    </row>
    <row r="5412" spans="1:16" x14ac:dyDescent="0.25">
      <c r="A5412" t="str">
        <f>"1120172F00001    00"</f>
        <v>1120172F00001    00</v>
      </c>
      <c r="B5412" t="s">
        <v>9290</v>
      </c>
      <c r="C5412" t="s">
        <v>12657</v>
      </c>
      <c r="D5412" t="s">
        <v>20</v>
      </c>
      <c r="E5412" t="s">
        <v>207</v>
      </c>
      <c r="F5412">
        <v>0</v>
      </c>
      <c r="G5412">
        <v>0</v>
      </c>
      <c r="H5412">
        <v>1</v>
      </c>
      <c r="I5412" s="3">
        <v>1045326.64</v>
      </c>
      <c r="J5412" s="3">
        <v>0</v>
      </c>
      <c r="K5412" t="s">
        <v>12658</v>
      </c>
      <c r="L5412">
        <v>414</v>
      </c>
      <c r="M5412" t="s">
        <v>9292</v>
      </c>
      <c r="N5412" t="s">
        <v>30</v>
      </c>
      <c r="O5412" t="s">
        <v>31</v>
      </c>
      <c r="P5412" t="str">
        <f>"15219"</f>
        <v>15219</v>
      </c>
    </row>
    <row r="5413" spans="1:16" x14ac:dyDescent="0.25">
      <c r="A5413" t="str">
        <f>"1120172L00010    00"</f>
        <v>1120172L00010    00</v>
      </c>
      <c r="B5413" t="s">
        <v>12659</v>
      </c>
      <c r="C5413" t="s">
        <v>12660</v>
      </c>
      <c r="D5413" t="s">
        <v>20</v>
      </c>
      <c r="E5413" t="s">
        <v>39</v>
      </c>
      <c r="F5413">
        <v>0</v>
      </c>
      <c r="G5413">
        <v>0</v>
      </c>
      <c r="H5413">
        <v>14</v>
      </c>
      <c r="I5413" s="3">
        <v>2932.18</v>
      </c>
      <c r="J5413" s="3">
        <v>1950.75</v>
      </c>
      <c r="L5413">
        <v>7125</v>
      </c>
      <c r="M5413" t="s">
        <v>12661</v>
      </c>
      <c r="N5413" t="s">
        <v>30</v>
      </c>
      <c r="O5413" t="s">
        <v>31</v>
      </c>
      <c r="P5413" t="str">
        <f t="shared" ref="P5413:P5419" si="72">"15235"</f>
        <v>15235</v>
      </c>
    </row>
    <row r="5414" spans="1:16" x14ac:dyDescent="0.25">
      <c r="A5414" t="str">
        <f>"1120172L00012    00"</f>
        <v>1120172L00012    00</v>
      </c>
      <c r="B5414" t="s">
        <v>12659</v>
      </c>
      <c r="C5414" t="s">
        <v>12662</v>
      </c>
      <c r="D5414" t="s">
        <v>20</v>
      </c>
      <c r="E5414" t="s">
        <v>39</v>
      </c>
      <c r="F5414">
        <v>0</v>
      </c>
      <c r="G5414">
        <v>0</v>
      </c>
      <c r="H5414">
        <v>12</v>
      </c>
      <c r="I5414" s="3">
        <v>383.38</v>
      </c>
      <c r="J5414" s="3">
        <v>189.21</v>
      </c>
      <c r="L5414">
        <v>7125</v>
      </c>
      <c r="M5414" t="s">
        <v>12661</v>
      </c>
      <c r="N5414" t="s">
        <v>30</v>
      </c>
      <c r="O5414" t="s">
        <v>31</v>
      </c>
      <c r="P5414" t="str">
        <f t="shared" si="72"/>
        <v>15235</v>
      </c>
    </row>
    <row r="5415" spans="1:16" x14ac:dyDescent="0.25">
      <c r="A5415" t="str">
        <f>"1120172L00015    00"</f>
        <v>1120172L00015    00</v>
      </c>
      <c r="B5415" t="s">
        <v>12659</v>
      </c>
      <c r="C5415" t="s">
        <v>12663</v>
      </c>
      <c r="D5415" t="s">
        <v>20</v>
      </c>
      <c r="E5415" t="s">
        <v>39</v>
      </c>
      <c r="F5415">
        <v>0</v>
      </c>
      <c r="G5415">
        <v>0</v>
      </c>
      <c r="H5415">
        <v>10</v>
      </c>
      <c r="I5415" s="3">
        <v>9098.59</v>
      </c>
      <c r="J5415" s="3">
        <v>2992.98</v>
      </c>
      <c r="L5415">
        <v>7125</v>
      </c>
      <c r="M5415" t="s">
        <v>12661</v>
      </c>
      <c r="N5415" t="s">
        <v>30</v>
      </c>
      <c r="O5415" t="s">
        <v>31</v>
      </c>
      <c r="P5415" t="str">
        <f t="shared" si="72"/>
        <v>15235</v>
      </c>
    </row>
    <row r="5416" spans="1:16" x14ac:dyDescent="0.25">
      <c r="A5416" t="str">
        <f>"1120172L00116    00"</f>
        <v>1120172L00116    00</v>
      </c>
      <c r="B5416" t="s">
        <v>12664</v>
      </c>
      <c r="C5416" t="s">
        <v>12665</v>
      </c>
      <c r="D5416" t="s">
        <v>20</v>
      </c>
      <c r="E5416" t="s">
        <v>39</v>
      </c>
      <c r="F5416">
        <v>0</v>
      </c>
      <c r="G5416">
        <v>0</v>
      </c>
      <c r="H5416">
        <v>1</v>
      </c>
      <c r="I5416" s="3">
        <v>250</v>
      </c>
      <c r="J5416" s="3">
        <v>0</v>
      </c>
      <c r="L5416">
        <v>130</v>
      </c>
      <c r="M5416" t="s">
        <v>12666</v>
      </c>
      <c r="N5416" t="s">
        <v>30</v>
      </c>
      <c r="O5416" t="s">
        <v>31</v>
      </c>
      <c r="P5416" t="str">
        <f t="shared" si="72"/>
        <v>15235</v>
      </c>
    </row>
    <row r="5417" spans="1:16" x14ac:dyDescent="0.25">
      <c r="A5417" t="str">
        <f>"1120172L00130    00"</f>
        <v>1120172L00130    00</v>
      </c>
      <c r="B5417" t="s">
        <v>12667</v>
      </c>
      <c r="C5417" t="s">
        <v>12668</v>
      </c>
      <c r="D5417" t="s">
        <v>20</v>
      </c>
      <c r="E5417" t="s">
        <v>39</v>
      </c>
      <c r="F5417">
        <v>0</v>
      </c>
      <c r="G5417">
        <v>0</v>
      </c>
      <c r="H5417">
        <v>4</v>
      </c>
      <c r="I5417" s="3">
        <v>1824.77</v>
      </c>
      <c r="J5417" s="3">
        <v>204.38</v>
      </c>
      <c r="L5417">
        <v>144</v>
      </c>
      <c r="M5417" t="s">
        <v>12666</v>
      </c>
      <c r="N5417" t="s">
        <v>30</v>
      </c>
      <c r="O5417" t="s">
        <v>31</v>
      </c>
      <c r="P5417" t="str">
        <f t="shared" si="72"/>
        <v>15235</v>
      </c>
    </row>
    <row r="5418" spans="1:16" x14ac:dyDescent="0.25">
      <c r="A5418" t="str">
        <f>"1120172L00136    00"</f>
        <v>1120172L00136    00</v>
      </c>
      <c r="B5418" t="s">
        <v>12669</v>
      </c>
      <c r="C5418" t="s">
        <v>12670</v>
      </c>
      <c r="E5418" t="s">
        <v>39</v>
      </c>
      <c r="F5418">
        <v>0</v>
      </c>
      <c r="G5418">
        <v>0</v>
      </c>
      <c r="H5418">
        <v>1</v>
      </c>
      <c r="I5418" s="3">
        <v>427.79</v>
      </c>
      <c r="J5418" s="3">
        <v>0</v>
      </c>
      <c r="L5418">
        <v>150</v>
      </c>
      <c r="M5418" t="s">
        <v>12666</v>
      </c>
      <c r="N5418" t="s">
        <v>30</v>
      </c>
      <c r="O5418" t="s">
        <v>31</v>
      </c>
      <c r="P5418" t="str">
        <f t="shared" si="72"/>
        <v>15235</v>
      </c>
    </row>
    <row r="5419" spans="1:16" x14ac:dyDescent="0.25">
      <c r="A5419" t="str">
        <f>"1120172N00007    00"</f>
        <v>1120172N00007    00</v>
      </c>
      <c r="B5419" t="s">
        <v>11205</v>
      </c>
      <c r="C5419" t="s">
        <v>12671</v>
      </c>
      <c r="D5419" t="s">
        <v>20</v>
      </c>
      <c r="E5419" t="s">
        <v>39</v>
      </c>
      <c r="F5419">
        <v>0</v>
      </c>
      <c r="G5419">
        <v>0</v>
      </c>
      <c r="H5419">
        <v>2</v>
      </c>
      <c r="I5419" s="3">
        <v>1642.98</v>
      </c>
      <c r="J5419" s="3">
        <v>0</v>
      </c>
      <c r="L5419">
        <v>650</v>
      </c>
      <c r="M5419" t="s">
        <v>4012</v>
      </c>
      <c r="N5419" t="s">
        <v>30</v>
      </c>
      <c r="O5419" t="s">
        <v>31</v>
      </c>
      <c r="P5419" t="str">
        <f t="shared" si="72"/>
        <v>15235</v>
      </c>
    </row>
    <row r="5420" spans="1:16" x14ac:dyDescent="0.25">
      <c r="A5420" t="str">
        <f>"1120172N00009    00"</f>
        <v>1120172N00009    00</v>
      </c>
      <c r="B5420" t="s">
        <v>12672</v>
      </c>
      <c r="C5420" t="s">
        <v>12673</v>
      </c>
      <c r="D5420" t="s">
        <v>20</v>
      </c>
      <c r="E5420" t="s">
        <v>39</v>
      </c>
      <c r="F5420">
        <v>0</v>
      </c>
      <c r="G5420">
        <v>0</v>
      </c>
      <c r="H5420">
        <v>9</v>
      </c>
      <c r="I5420" s="3">
        <v>3082.42</v>
      </c>
      <c r="J5420" s="3">
        <v>1068.95</v>
      </c>
      <c r="L5420">
        <v>6958</v>
      </c>
      <c r="M5420" t="s">
        <v>2507</v>
      </c>
      <c r="N5420" t="s">
        <v>30</v>
      </c>
      <c r="O5420" t="s">
        <v>31</v>
      </c>
      <c r="P5420" t="str">
        <f>"15206"</f>
        <v>15206</v>
      </c>
    </row>
    <row r="5421" spans="1:16" x14ac:dyDescent="0.25">
      <c r="A5421" t="str">
        <f>"1120172N00011    00"</f>
        <v>1120172N00011    00</v>
      </c>
      <c r="B5421" t="s">
        <v>12674</v>
      </c>
      <c r="C5421" t="s">
        <v>12675</v>
      </c>
      <c r="D5421" t="s">
        <v>20</v>
      </c>
      <c r="E5421" t="s">
        <v>39</v>
      </c>
      <c r="F5421">
        <v>0</v>
      </c>
      <c r="G5421">
        <v>0</v>
      </c>
      <c r="H5421">
        <v>13</v>
      </c>
      <c r="I5421" s="3">
        <v>5694.66</v>
      </c>
      <c r="J5421" s="3">
        <v>3430.01</v>
      </c>
      <c r="L5421">
        <v>6965</v>
      </c>
      <c r="M5421" t="s">
        <v>2507</v>
      </c>
      <c r="N5421" t="s">
        <v>30</v>
      </c>
      <c r="O5421" t="s">
        <v>31</v>
      </c>
      <c r="P5421" t="str">
        <f>"15206"</f>
        <v>15206</v>
      </c>
    </row>
    <row r="5422" spans="1:16" x14ac:dyDescent="0.25">
      <c r="A5422" t="str">
        <f>"1120172N00013    00"</f>
        <v>1120172N00013    00</v>
      </c>
      <c r="B5422" t="s">
        <v>12676</v>
      </c>
      <c r="C5422" t="s">
        <v>12677</v>
      </c>
      <c r="D5422" t="s">
        <v>20</v>
      </c>
      <c r="E5422" t="s">
        <v>39</v>
      </c>
      <c r="F5422">
        <v>0</v>
      </c>
      <c r="G5422">
        <v>0</v>
      </c>
      <c r="H5422">
        <v>4</v>
      </c>
      <c r="I5422" s="3">
        <v>394.76</v>
      </c>
      <c r="J5422" s="3">
        <v>46.88</v>
      </c>
      <c r="L5422">
        <v>6961</v>
      </c>
      <c r="M5422" t="s">
        <v>2507</v>
      </c>
      <c r="N5422" t="s">
        <v>30</v>
      </c>
      <c r="O5422" t="s">
        <v>31</v>
      </c>
      <c r="P5422" t="str">
        <f>"15206"</f>
        <v>15206</v>
      </c>
    </row>
    <row r="5423" spans="1:16" x14ac:dyDescent="0.25">
      <c r="A5423" t="str">
        <f>"1120172N00025    00"</f>
        <v>1120172N00025    00</v>
      </c>
      <c r="B5423" t="s">
        <v>12678</v>
      </c>
      <c r="C5423" t="s">
        <v>12679</v>
      </c>
      <c r="D5423" t="s">
        <v>20</v>
      </c>
      <c r="E5423" t="s">
        <v>39</v>
      </c>
      <c r="F5423">
        <v>0</v>
      </c>
      <c r="G5423">
        <v>0</v>
      </c>
      <c r="H5423">
        <v>3</v>
      </c>
      <c r="I5423" s="3">
        <v>268.77</v>
      </c>
      <c r="J5423" s="3">
        <v>17.93</v>
      </c>
      <c r="L5423">
        <v>429</v>
      </c>
      <c r="M5423" t="s">
        <v>11782</v>
      </c>
      <c r="N5423" t="s">
        <v>30</v>
      </c>
      <c r="O5423" t="s">
        <v>31</v>
      </c>
      <c r="P5423" t="str">
        <f>"15235"</f>
        <v>15235</v>
      </c>
    </row>
    <row r="5424" spans="1:16" x14ac:dyDescent="0.25">
      <c r="A5424" t="str">
        <f>"1120172N00031    00"</f>
        <v>1120172N00031    00</v>
      </c>
      <c r="B5424" t="s">
        <v>12680</v>
      </c>
      <c r="C5424" t="s">
        <v>12681</v>
      </c>
      <c r="D5424" t="s">
        <v>20</v>
      </c>
      <c r="E5424" t="s">
        <v>39</v>
      </c>
      <c r="F5424">
        <v>0</v>
      </c>
      <c r="G5424">
        <v>0</v>
      </c>
      <c r="H5424">
        <v>4</v>
      </c>
      <c r="I5424" s="3">
        <v>628.33000000000004</v>
      </c>
      <c r="J5424" s="3">
        <v>77.95</v>
      </c>
      <c r="L5424">
        <v>6912</v>
      </c>
      <c r="M5424" t="s">
        <v>12682</v>
      </c>
      <c r="N5424" t="s">
        <v>30</v>
      </c>
      <c r="O5424" t="s">
        <v>31</v>
      </c>
      <c r="P5424" t="str">
        <f>"15206"</f>
        <v>15206</v>
      </c>
    </row>
    <row r="5425" spans="1:16" x14ac:dyDescent="0.25">
      <c r="A5425" t="str">
        <f>"1120172N00049    00"</f>
        <v>1120172N00049    00</v>
      </c>
      <c r="B5425" t="s">
        <v>12683</v>
      </c>
      <c r="C5425" t="s">
        <v>12684</v>
      </c>
      <c r="D5425" t="s">
        <v>20</v>
      </c>
      <c r="E5425" t="s">
        <v>39</v>
      </c>
      <c r="F5425">
        <v>0</v>
      </c>
      <c r="G5425">
        <v>0</v>
      </c>
      <c r="H5425">
        <v>6</v>
      </c>
      <c r="I5425" s="3">
        <v>2669.82</v>
      </c>
      <c r="J5425" s="3">
        <v>363.87</v>
      </c>
      <c r="K5425" t="s">
        <v>12685</v>
      </c>
      <c r="L5425">
        <v>6935</v>
      </c>
      <c r="M5425" t="s">
        <v>12682</v>
      </c>
      <c r="N5425" t="s">
        <v>30</v>
      </c>
      <c r="O5425" t="s">
        <v>31</v>
      </c>
      <c r="P5425" t="str">
        <f>"15206"</f>
        <v>15206</v>
      </c>
    </row>
    <row r="5426" spans="1:16" x14ac:dyDescent="0.25">
      <c r="A5426" t="str">
        <f>"1120172N00052    00"</f>
        <v>1120172N00052    00</v>
      </c>
      <c r="B5426" t="s">
        <v>12686</v>
      </c>
      <c r="C5426" t="s">
        <v>12687</v>
      </c>
      <c r="E5426" t="s">
        <v>39</v>
      </c>
      <c r="F5426">
        <v>0</v>
      </c>
      <c r="G5426">
        <v>0</v>
      </c>
      <c r="H5426">
        <v>5</v>
      </c>
      <c r="I5426" s="3">
        <v>4728.09</v>
      </c>
      <c r="J5426" s="3">
        <v>5946.64</v>
      </c>
      <c r="L5426">
        <v>6927</v>
      </c>
      <c r="M5426" t="s">
        <v>12682</v>
      </c>
      <c r="N5426" t="s">
        <v>30</v>
      </c>
      <c r="O5426" t="s">
        <v>31</v>
      </c>
      <c r="P5426" t="str">
        <f>"15206"</f>
        <v>15206</v>
      </c>
    </row>
    <row r="5427" spans="1:16" x14ac:dyDescent="0.25">
      <c r="A5427" t="str">
        <f>"1120172N00053    00"</f>
        <v>1120172N00053    00</v>
      </c>
      <c r="B5427" t="s">
        <v>12688</v>
      </c>
      <c r="C5427" t="s">
        <v>12689</v>
      </c>
      <c r="D5427" t="s">
        <v>20</v>
      </c>
      <c r="E5427" t="s">
        <v>39</v>
      </c>
      <c r="F5427">
        <v>0</v>
      </c>
      <c r="G5427">
        <v>0</v>
      </c>
      <c r="H5427">
        <v>17</v>
      </c>
      <c r="I5427" s="3">
        <v>9504.31</v>
      </c>
      <c r="J5427" s="3">
        <v>6708.26</v>
      </c>
      <c r="L5427">
        <v>1308</v>
      </c>
      <c r="M5427" t="s">
        <v>12690</v>
      </c>
      <c r="N5427" t="s">
        <v>30</v>
      </c>
      <c r="O5427" t="s">
        <v>31</v>
      </c>
      <c r="P5427" t="str">
        <f>"15208"</f>
        <v>15208</v>
      </c>
    </row>
    <row r="5428" spans="1:16" x14ac:dyDescent="0.25">
      <c r="A5428" t="str">
        <f>"1120172N00054    00"</f>
        <v>1120172N00054    00</v>
      </c>
      <c r="B5428" t="s">
        <v>12691</v>
      </c>
      <c r="C5428" t="s">
        <v>12692</v>
      </c>
      <c r="D5428" t="s">
        <v>20</v>
      </c>
      <c r="E5428" t="s">
        <v>39</v>
      </c>
      <c r="F5428">
        <v>0</v>
      </c>
      <c r="G5428">
        <v>0</v>
      </c>
      <c r="H5428">
        <v>19</v>
      </c>
      <c r="I5428" s="3">
        <v>15562</v>
      </c>
      <c r="J5428" s="3">
        <v>16962.41</v>
      </c>
      <c r="K5428" t="s">
        <v>12693</v>
      </c>
      <c r="M5428" t="s">
        <v>12694</v>
      </c>
      <c r="N5428" t="s">
        <v>30</v>
      </c>
      <c r="O5428" t="s">
        <v>31</v>
      </c>
      <c r="P5428" t="str">
        <f>"15233"</f>
        <v>15233</v>
      </c>
    </row>
    <row r="5429" spans="1:16" x14ac:dyDescent="0.25">
      <c r="A5429" t="str">
        <f>"1120172N00057    00"</f>
        <v>1120172N00057    00</v>
      </c>
      <c r="B5429" t="s">
        <v>12695</v>
      </c>
      <c r="C5429" t="s">
        <v>12696</v>
      </c>
      <c r="D5429" t="s">
        <v>20</v>
      </c>
      <c r="E5429" t="s">
        <v>39</v>
      </c>
      <c r="F5429">
        <v>0</v>
      </c>
      <c r="G5429">
        <v>0</v>
      </c>
      <c r="H5429">
        <v>2</v>
      </c>
      <c r="I5429" s="3">
        <v>403.75</v>
      </c>
      <c r="J5429" s="3">
        <v>37.950000000000003</v>
      </c>
      <c r="L5429">
        <v>6915</v>
      </c>
      <c r="M5429" t="s">
        <v>12682</v>
      </c>
      <c r="N5429" t="s">
        <v>30</v>
      </c>
      <c r="O5429" t="s">
        <v>31</v>
      </c>
      <c r="P5429" t="str">
        <f>"15206"</f>
        <v>15206</v>
      </c>
    </row>
    <row r="5430" spans="1:16" x14ac:dyDescent="0.25">
      <c r="A5430" t="str">
        <f>"1120172N00058    00"</f>
        <v>1120172N00058    00</v>
      </c>
      <c r="B5430" t="s">
        <v>12697</v>
      </c>
      <c r="C5430" t="s">
        <v>12698</v>
      </c>
      <c r="D5430" t="s">
        <v>20</v>
      </c>
      <c r="E5430" t="s">
        <v>39</v>
      </c>
      <c r="F5430">
        <v>0</v>
      </c>
      <c r="G5430">
        <v>0</v>
      </c>
      <c r="H5430">
        <v>6</v>
      </c>
      <c r="I5430" s="3">
        <v>1115.8</v>
      </c>
      <c r="J5430" s="3">
        <v>366.72</v>
      </c>
      <c r="L5430">
        <v>6913</v>
      </c>
      <c r="M5430" t="s">
        <v>12682</v>
      </c>
      <c r="N5430" t="s">
        <v>30</v>
      </c>
      <c r="O5430" t="s">
        <v>31</v>
      </c>
      <c r="P5430" t="str">
        <f>"15206"</f>
        <v>15206</v>
      </c>
    </row>
    <row r="5431" spans="1:16" x14ac:dyDescent="0.25">
      <c r="A5431" t="str">
        <f>"1120172N00060    00"</f>
        <v>1120172N00060    00</v>
      </c>
      <c r="B5431" t="s">
        <v>12699</v>
      </c>
      <c r="C5431" t="s">
        <v>12700</v>
      </c>
      <c r="D5431" t="s">
        <v>20</v>
      </c>
      <c r="E5431" t="s">
        <v>39</v>
      </c>
      <c r="F5431">
        <v>0</v>
      </c>
      <c r="G5431">
        <v>0</v>
      </c>
      <c r="H5431">
        <v>9</v>
      </c>
      <c r="I5431" s="3">
        <v>4056.04</v>
      </c>
      <c r="J5431" s="3">
        <v>1465.35</v>
      </c>
      <c r="L5431">
        <v>615</v>
      </c>
      <c r="M5431" t="s">
        <v>12701</v>
      </c>
      <c r="N5431" t="s">
        <v>3623</v>
      </c>
      <c r="O5431" t="s">
        <v>31</v>
      </c>
      <c r="P5431" t="str">
        <f>"17102"</f>
        <v>17102</v>
      </c>
    </row>
    <row r="5432" spans="1:16" x14ac:dyDescent="0.25">
      <c r="A5432" t="str">
        <f>"1120172N00066    00"</f>
        <v>1120172N00066    00</v>
      </c>
      <c r="B5432" t="s">
        <v>12702</v>
      </c>
      <c r="C5432" t="s">
        <v>12703</v>
      </c>
      <c r="D5432" t="s">
        <v>20</v>
      </c>
      <c r="E5432" t="s">
        <v>21</v>
      </c>
      <c r="F5432">
        <v>0</v>
      </c>
      <c r="G5432">
        <v>0</v>
      </c>
      <c r="H5432">
        <v>19</v>
      </c>
      <c r="I5432" s="3">
        <v>10312.61</v>
      </c>
      <c r="J5432" s="3">
        <v>8875.4</v>
      </c>
      <c r="M5432" t="s">
        <v>12704</v>
      </c>
      <c r="N5432" t="s">
        <v>30</v>
      </c>
      <c r="O5432" t="s">
        <v>31</v>
      </c>
      <c r="P5432" t="str">
        <f>"15221"</f>
        <v>15221</v>
      </c>
    </row>
    <row r="5433" spans="1:16" x14ac:dyDescent="0.25">
      <c r="A5433" t="str">
        <f>"1120172N00088    00"</f>
        <v>1120172N00088    00</v>
      </c>
      <c r="B5433" t="s">
        <v>12705</v>
      </c>
      <c r="C5433" t="s">
        <v>12703</v>
      </c>
      <c r="D5433" t="s">
        <v>20</v>
      </c>
      <c r="E5433" t="s">
        <v>39</v>
      </c>
      <c r="F5433">
        <v>0</v>
      </c>
      <c r="G5433">
        <v>0</v>
      </c>
      <c r="H5433">
        <v>19</v>
      </c>
      <c r="I5433" s="3">
        <v>427.63</v>
      </c>
      <c r="J5433" s="3">
        <v>495.92</v>
      </c>
      <c r="K5433" t="s">
        <v>1008</v>
      </c>
      <c r="P5433" t="str">
        <f>""</f>
        <v/>
      </c>
    </row>
    <row r="5434" spans="1:16" x14ac:dyDescent="0.25">
      <c r="A5434" t="str">
        <f>"1120172N00089    00"</f>
        <v>1120172N00089    00</v>
      </c>
      <c r="B5434" t="s">
        <v>12706</v>
      </c>
      <c r="C5434" t="s">
        <v>12707</v>
      </c>
      <c r="D5434" t="s">
        <v>20</v>
      </c>
      <c r="E5434" t="s">
        <v>39</v>
      </c>
      <c r="F5434">
        <v>0</v>
      </c>
      <c r="G5434">
        <v>0</v>
      </c>
      <c r="H5434">
        <v>1</v>
      </c>
      <c r="I5434" s="3">
        <v>1265.58</v>
      </c>
      <c r="J5434" s="3">
        <v>0</v>
      </c>
      <c r="K5434" t="s">
        <v>12708</v>
      </c>
      <c r="L5434">
        <v>1236</v>
      </c>
      <c r="M5434" t="s">
        <v>11576</v>
      </c>
      <c r="N5434" t="s">
        <v>7608</v>
      </c>
      <c r="O5434" t="s">
        <v>31</v>
      </c>
      <c r="P5434" t="str">
        <f>"15068"</f>
        <v>15068</v>
      </c>
    </row>
    <row r="5435" spans="1:16" x14ac:dyDescent="0.25">
      <c r="A5435" t="str">
        <f>"1120172N00102    00"</f>
        <v>1120172N00102    00</v>
      </c>
      <c r="B5435" t="s">
        <v>12709</v>
      </c>
      <c r="C5435" t="s">
        <v>12710</v>
      </c>
      <c r="D5435" t="s">
        <v>20</v>
      </c>
      <c r="E5435" t="s">
        <v>39</v>
      </c>
      <c r="F5435">
        <v>0</v>
      </c>
      <c r="G5435">
        <v>0</v>
      </c>
      <c r="H5435">
        <v>19</v>
      </c>
      <c r="I5435" s="3">
        <v>427.63</v>
      </c>
      <c r="J5435" s="3">
        <v>495.92</v>
      </c>
      <c r="K5435" t="s">
        <v>1037</v>
      </c>
      <c r="L5435">
        <v>11748</v>
      </c>
      <c r="M5435" t="s">
        <v>11939</v>
      </c>
      <c r="N5435" t="s">
        <v>30</v>
      </c>
      <c r="O5435" t="s">
        <v>31</v>
      </c>
      <c r="P5435" t="str">
        <f>"15235"</f>
        <v>15235</v>
      </c>
    </row>
    <row r="5436" spans="1:16" x14ac:dyDescent="0.25">
      <c r="A5436" t="str">
        <f>"1120172N00107    00"</f>
        <v>1120172N00107    00</v>
      </c>
      <c r="B5436" t="s">
        <v>12711</v>
      </c>
      <c r="C5436" t="s">
        <v>12703</v>
      </c>
      <c r="D5436" t="s">
        <v>20</v>
      </c>
      <c r="E5436" t="s">
        <v>39</v>
      </c>
      <c r="F5436">
        <v>0</v>
      </c>
      <c r="G5436">
        <v>0</v>
      </c>
      <c r="H5436">
        <v>19</v>
      </c>
      <c r="I5436" s="3">
        <v>537.5</v>
      </c>
      <c r="J5436" s="3">
        <v>554</v>
      </c>
      <c r="K5436" t="s">
        <v>12712</v>
      </c>
      <c r="L5436">
        <v>100</v>
      </c>
      <c r="M5436" t="s">
        <v>12713</v>
      </c>
      <c r="N5436" t="s">
        <v>509</v>
      </c>
      <c r="O5436" t="s">
        <v>31</v>
      </c>
      <c r="P5436" t="str">
        <f>"19107"</f>
        <v>19107</v>
      </c>
    </row>
    <row r="5437" spans="1:16" x14ac:dyDescent="0.25">
      <c r="A5437" t="str">
        <f>"1120172N00112    00"</f>
        <v>1120172N00112    00</v>
      </c>
      <c r="B5437" t="s">
        <v>12714</v>
      </c>
      <c r="C5437" t="s">
        <v>12715</v>
      </c>
      <c r="E5437" t="s">
        <v>39</v>
      </c>
      <c r="F5437">
        <v>0</v>
      </c>
      <c r="G5437">
        <v>0</v>
      </c>
      <c r="H5437">
        <v>3</v>
      </c>
      <c r="I5437" s="3">
        <v>1046.82</v>
      </c>
      <c r="J5437" s="3">
        <v>308.27</v>
      </c>
      <c r="L5437">
        <v>6945</v>
      </c>
      <c r="M5437" t="s">
        <v>12716</v>
      </c>
      <c r="N5437" t="s">
        <v>30</v>
      </c>
      <c r="O5437" t="s">
        <v>31</v>
      </c>
      <c r="P5437" t="str">
        <f>"15206"</f>
        <v>15206</v>
      </c>
    </row>
    <row r="5438" spans="1:16" x14ac:dyDescent="0.25">
      <c r="A5438" t="str">
        <f>"1120172N00113    00"</f>
        <v>1120172N00113    00</v>
      </c>
      <c r="B5438" t="s">
        <v>12717</v>
      </c>
      <c r="C5438" t="s">
        <v>12718</v>
      </c>
      <c r="D5438" t="s">
        <v>20</v>
      </c>
      <c r="E5438" t="s">
        <v>39</v>
      </c>
      <c r="F5438">
        <v>0</v>
      </c>
      <c r="G5438">
        <v>0</v>
      </c>
      <c r="H5438">
        <v>9</v>
      </c>
      <c r="I5438" s="3">
        <v>3185.97</v>
      </c>
      <c r="J5438" s="3">
        <v>1206.4000000000001</v>
      </c>
      <c r="L5438">
        <v>6939</v>
      </c>
      <c r="M5438" t="s">
        <v>12716</v>
      </c>
      <c r="N5438" t="s">
        <v>30</v>
      </c>
      <c r="O5438" t="s">
        <v>31</v>
      </c>
      <c r="P5438" t="str">
        <f>"15206"</f>
        <v>15206</v>
      </c>
    </row>
    <row r="5439" spans="1:16" x14ac:dyDescent="0.25">
      <c r="A5439" t="str">
        <f>"1120172N00116    00"</f>
        <v>1120172N00116    00</v>
      </c>
      <c r="B5439" t="s">
        <v>12717</v>
      </c>
      <c r="C5439" t="s">
        <v>12719</v>
      </c>
      <c r="D5439" t="s">
        <v>20</v>
      </c>
      <c r="E5439" t="s">
        <v>39</v>
      </c>
      <c r="F5439">
        <v>0</v>
      </c>
      <c r="G5439">
        <v>0</v>
      </c>
      <c r="H5439">
        <v>16</v>
      </c>
      <c r="I5439" s="3">
        <v>6179.13</v>
      </c>
      <c r="J5439" s="3">
        <v>5904.41</v>
      </c>
      <c r="L5439">
        <v>6939</v>
      </c>
      <c r="M5439" t="s">
        <v>12716</v>
      </c>
      <c r="N5439" t="s">
        <v>30</v>
      </c>
      <c r="O5439" t="s">
        <v>31</v>
      </c>
      <c r="P5439" t="str">
        <f>"15206"</f>
        <v>15206</v>
      </c>
    </row>
    <row r="5440" spans="1:16" x14ac:dyDescent="0.25">
      <c r="A5440" t="str">
        <f>"1120172N00119    00"</f>
        <v>1120172N00119    00</v>
      </c>
      <c r="B5440" t="s">
        <v>12720</v>
      </c>
      <c r="C5440" t="s">
        <v>12721</v>
      </c>
      <c r="E5440" t="s">
        <v>39</v>
      </c>
      <c r="F5440">
        <v>0</v>
      </c>
      <c r="G5440">
        <v>0</v>
      </c>
      <c r="H5440">
        <v>2</v>
      </c>
      <c r="I5440" s="3">
        <v>788.28</v>
      </c>
      <c r="J5440" s="3">
        <v>6.04</v>
      </c>
      <c r="L5440">
        <v>6931</v>
      </c>
      <c r="M5440" t="s">
        <v>12716</v>
      </c>
      <c r="N5440" t="s">
        <v>30</v>
      </c>
      <c r="O5440" t="s">
        <v>31</v>
      </c>
      <c r="P5440" t="str">
        <f>"15206"</f>
        <v>15206</v>
      </c>
    </row>
    <row r="5441" spans="1:16" x14ac:dyDescent="0.25">
      <c r="A5441" t="str">
        <f>"1120172N00125    00"</f>
        <v>1120172N00125    00</v>
      </c>
      <c r="B5441" t="s">
        <v>12722</v>
      </c>
      <c r="C5441" t="s">
        <v>12723</v>
      </c>
      <c r="D5441" t="s">
        <v>20</v>
      </c>
      <c r="E5441" t="s">
        <v>39</v>
      </c>
      <c r="F5441">
        <v>0</v>
      </c>
      <c r="G5441">
        <v>0</v>
      </c>
      <c r="H5441">
        <v>2</v>
      </c>
      <c r="I5441" s="3">
        <v>597.29</v>
      </c>
      <c r="J5441" s="3">
        <v>0</v>
      </c>
      <c r="L5441">
        <v>6919</v>
      </c>
      <c r="M5441" t="s">
        <v>12716</v>
      </c>
      <c r="N5441" t="s">
        <v>30</v>
      </c>
      <c r="O5441" t="s">
        <v>31</v>
      </c>
      <c r="P5441" t="str">
        <f>"15206"</f>
        <v>15206</v>
      </c>
    </row>
    <row r="5442" spans="1:16" x14ac:dyDescent="0.25">
      <c r="A5442" t="str">
        <f>"1120172N00133    00"</f>
        <v>1120172N00133    00</v>
      </c>
      <c r="B5442" t="s">
        <v>12724</v>
      </c>
      <c r="C5442" t="s">
        <v>12725</v>
      </c>
      <c r="D5442" t="s">
        <v>20</v>
      </c>
      <c r="E5442" t="s">
        <v>39</v>
      </c>
      <c r="F5442">
        <v>0</v>
      </c>
      <c r="G5442">
        <v>0</v>
      </c>
      <c r="H5442">
        <v>19</v>
      </c>
      <c r="I5442" s="3">
        <v>23728.57</v>
      </c>
      <c r="J5442" s="3">
        <v>22350.9</v>
      </c>
      <c r="K5442" t="s">
        <v>12726</v>
      </c>
      <c r="L5442">
        <v>408</v>
      </c>
      <c r="M5442" t="s">
        <v>12727</v>
      </c>
      <c r="N5442" t="s">
        <v>6603</v>
      </c>
      <c r="O5442" t="s">
        <v>31</v>
      </c>
      <c r="P5442" t="str">
        <f>"15122"</f>
        <v>15122</v>
      </c>
    </row>
    <row r="5443" spans="1:16" x14ac:dyDescent="0.25">
      <c r="A5443" t="str">
        <f>"1120172N00137    00"</f>
        <v>1120172N00137    00</v>
      </c>
      <c r="B5443" t="s">
        <v>12728</v>
      </c>
      <c r="C5443" t="s">
        <v>12729</v>
      </c>
      <c r="D5443" t="s">
        <v>20</v>
      </c>
      <c r="E5443" t="s">
        <v>39</v>
      </c>
      <c r="F5443">
        <v>0</v>
      </c>
      <c r="G5443">
        <v>0</v>
      </c>
      <c r="H5443">
        <v>18</v>
      </c>
      <c r="I5443" s="3">
        <v>11357.45</v>
      </c>
      <c r="J5443" s="3">
        <v>8404.4500000000007</v>
      </c>
      <c r="L5443">
        <v>225</v>
      </c>
      <c r="M5443" t="s">
        <v>12730</v>
      </c>
      <c r="N5443" t="s">
        <v>6603</v>
      </c>
      <c r="O5443" t="s">
        <v>31</v>
      </c>
      <c r="P5443" t="str">
        <f>"15122"</f>
        <v>15122</v>
      </c>
    </row>
    <row r="5444" spans="1:16" x14ac:dyDescent="0.25">
      <c r="A5444" t="str">
        <f>"1120172N00140    00"</f>
        <v>1120172N00140    00</v>
      </c>
      <c r="B5444" t="s">
        <v>12731</v>
      </c>
      <c r="C5444" t="s">
        <v>12732</v>
      </c>
      <c r="D5444" t="s">
        <v>20</v>
      </c>
      <c r="E5444" t="s">
        <v>39</v>
      </c>
      <c r="F5444">
        <v>0</v>
      </c>
      <c r="G5444">
        <v>0</v>
      </c>
      <c r="H5444">
        <v>19</v>
      </c>
      <c r="I5444" s="3">
        <v>1075.55</v>
      </c>
      <c r="J5444" s="3">
        <v>748.59</v>
      </c>
      <c r="K5444" t="s">
        <v>1008</v>
      </c>
      <c r="P5444" t="str">
        <f>""</f>
        <v/>
      </c>
    </row>
    <row r="5445" spans="1:16" x14ac:dyDescent="0.25">
      <c r="A5445" t="str">
        <f>"1120172N00150    00"</f>
        <v>1120172N00150    00</v>
      </c>
      <c r="B5445" t="s">
        <v>12733</v>
      </c>
      <c r="C5445" t="s">
        <v>12732</v>
      </c>
      <c r="D5445" t="s">
        <v>20</v>
      </c>
      <c r="E5445" t="s">
        <v>39</v>
      </c>
      <c r="F5445">
        <v>0</v>
      </c>
      <c r="G5445">
        <v>0</v>
      </c>
      <c r="H5445">
        <v>17</v>
      </c>
      <c r="I5445" s="3">
        <v>3877.62</v>
      </c>
      <c r="J5445" s="3">
        <v>5338.04</v>
      </c>
      <c r="L5445">
        <v>11302</v>
      </c>
      <c r="M5445" t="s">
        <v>12734</v>
      </c>
      <c r="N5445" t="s">
        <v>2355</v>
      </c>
      <c r="O5445" t="s">
        <v>1413</v>
      </c>
      <c r="P5445" t="str">
        <f>"28078"</f>
        <v>28078</v>
      </c>
    </row>
    <row r="5446" spans="1:16" x14ac:dyDescent="0.25">
      <c r="A5446" t="str">
        <f>"1120172N00153    00"</f>
        <v>1120172N00153    00</v>
      </c>
      <c r="B5446" t="s">
        <v>12735</v>
      </c>
      <c r="C5446" t="s">
        <v>12736</v>
      </c>
      <c r="D5446" t="s">
        <v>20</v>
      </c>
      <c r="E5446" t="s">
        <v>39</v>
      </c>
      <c r="F5446">
        <v>0</v>
      </c>
      <c r="G5446">
        <v>0</v>
      </c>
      <c r="H5446">
        <v>1</v>
      </c>
      <c r="I5446" s="3">
        <v>1048.32</v>
      </c>
      <c r="J5446" s="3">
        <v>0</v>
      </c>
      <c r="L5446">
        <v>112</v>
      </c>
      <c r="M5446" t="s">
        <v>12737</v>
      </c>
      <c r="N5446" t="s">
        <v>30</v>
      </c>
      <c r="O5446" t="s">
        <v>31</v>
      </c>
      <c r="P5446" t="str">
        <f>"15219"</f>
        <v>15219</v>
      </c>
    </row>
    <row r="5447" spans="1:16" x14ac:dyDescent="0.25">
      <c r="A5447" t="str">
        <f>"1120172N00154    00"</f>
        <v>1120172N00154    00</v>
      </c>
      <c r="B5447" t="s">
        <v>12738</v>
      </c>
      <c r="C5447" t="s">
        <v>12732</v>
      </c>
      <c r="D5447" t="s">
        <v>20</v>
      </c>
      <c r="E5447" t="s">
        <v>39</v>
      </c>
      <c r="F5447">
        <v>0</v>
      </c>
      <c r="G5447">
        <v>0</v>
      </c>
      <c r="H5447">
        <v>17</v>
      </c>
      <c r="I5447" s="3">
        <v>2964.27</v>
      </c>
      <c r="J5447" s="3">
        <v>4399.1499999999996</v>
      </c>
      <c r="L5447">
        <v>1604</v>
      </c>
      <c r="M5447" t="s">
        <v>10391</v>
      </c>
      <c r="N5447" t="s">
        <v>30</v>
      </c>
      <c r="O5447" t="s">
        <v>31</v>
      </c>
      <c r="P5447" t="str">
        <f>"15206"</f>
        <v>15206</v>
      </c>
    </row>
    <row r="5448" spans="1:16" x14ac:dyDescent="0.25">
      <c r="A5448" t="str">
        <f>"1120172N00155    00"</f>
        <v>1120172N00155    00</v>
      </c>
      <c r="B5448" t="s">
        <v>12739</v>
      </c>
      <c r="C5448" t="s">
        <v>12740</v>
      </c>
      <c r="D5448" t="s">
        <v>20</v>
      </c>
      <c r="E5448" t="s">
        <v>39</v>
      </c>
      <c r="F5448">
        <v>0</v>
      </c>
      <c r="G5448">
        <v>0</v>
      </c>
      <c r="H5448">
        <v>19</v>
      </c>
      <c r="I5448" s="3">
        <v>4495.5200000000004</v>
      </c>
      <c r="J5448" s="3">
        <v>6065.06</v>
      </c>
      <c r="L5448">
        <v>6934</v>
      </c>
      <c r="M5448" t="s">
        <v>12741</v>
      </c>
      <c r="N5448" t="s">
        <v>30</v>
      </c>
      <c r="O5448" t="s">
        <v>31</v>
      </c>
      <c r="P5448" t="str">
        <f>"15206"</f>
        <v>15206</v>
      </c>
    </row>
    <row r="5449" spans="1:16" x14ac:dyDescent="0.25">
      <c r="A5449" t="str">
        <f>"1120172P00052    00"</f>
        <v>1120172P00052    00</v>
      </c>
      <c r="B5449" t="s">
        <v>12742</v>
      </c>
      <c r="C5449" t="s">
        <v>12743</v>
      </c>
      <c r="D5449" t="s">
        <v>20</v>
      </c>
      <c r="E5449" t="s">
        <v>39</v>
      </c>
      <c r="F5449">
        <v>0</v>
      </c>
      <c r="G5449">
        <v>0</v>
      </c>
      <c r="H5449">
        <v>19</v>
      </c>
      <c r="I5449" s="3">
        <v>3278.15</v>
      </c>
      <c r="J5449" s="3">
        <v>1904.83</v>
      </c>
      <c r="L5449">
        <v>6404</v>
      </c>
      <c r="M5449" t="s">
        <v>11103</v>
      </c>
      <c r="N5449" t="s">
        <v>30</v>
      </c>
      <c r="O5449" t="s">
        <v>31</v>
      </c>
      <c r="P5449" t="str">
        <f>"15206"</f>
        <v>15206</v>
      </c>
    </row>
    <row r="5450" spans="1:16" x14ac:dyDescent="0.25">
      <c r="A5450" t="str">
        <f>"1120172P00066    00"</f>
        <v>1120172P00066    00</v>
      </c>
      <c r="B5450" t="s">
        <v>12744</v>
      </c>
      <c r="C5450" t="s">
        <v>12745</v>
      </c>
      <c r="D5450" t="s">
        <v>20</v>
      </c>
      <c r="E5450" t="s">
        <v>39</v>
      </c>
      <c r="F5450">
        <v>0</v>
      </c>
      <c r="G5450">
        <v>0</v>
      </c>
      <c r="H5450">
        <v>19</v>
      </c>
      <c r="I5450" s="3">
        <v>3585.49</v>
      </c>
      <c r="J5450" s="3">
        <v>2246.9499999999998</v>
      </c>
      <c r="L5450">
        <v>6530</v>
      </c>
      <c r="M5450" t="s">
        <v>3089</v>
      </c>
      <c r="N5450" t="s">
        <v>30</v>
      </c>
      <c r="O5450" t="s">
        <v>31</v>
      </c>
      <c r="P5450" t="str">
        <f>"15206"</f>
        <v>15206</v>
      </c>
    </row>
    <row r="5451" spans="1:16" x14ac:dyDescent="0.25">
      <c r="A5451" t="str">
        <f>"1120172P00101    00"</f>
        <v>1120172P00101    00</v>
      </c>
      <c r="B5451" t="s">
        <v>12746</v>
      </c>
      <c r="C5451" t="s">
        <v>12747</v>
      </c>
      <c r="D5451" t="s">
        <v>20</v>
      </c>
      <c r="E5451" t="s">
        <v>39</v>
      </c>
      <c r="F5451">
        <v>0</v>
      </c>
      <c r="G5451">
        <v>0</v>
      </c>
      <c r="H5451">
        <v>2</v>
      </c>
      <c r="I5451" s="3">
        <v>1702.88</v>
      </c>
      <c r="J5451" s="3">
        <v>0</v>
      </c>
      <c r="K5451" t="s">
        <v>12748</v>
      </c>
      <c r="L5451">
        <v>7250</v>
      </c>
      <c r="M5451" t="s">
        <v>2507</v>
      </c>
      <c r="N5451" t="s">
        <v>30</v>
      </c>
      <c r="O5451" t="s">
        <v>31</v>
      </c>
      <c r="P5451" t="str">
        <f>"15206"</f>
        <v>15206</v>
      </c>
    </row>
    <row r="5452" spans="1:16" x14ac:dyDescent="0.25">
      <c r="A5452" t="str">
        <f>"1120172P00103    00"</f>
        <v>1120172P00103    00</v>
      </c>
      <c r="B5452" t="s">
        <v>12749</v>
      </c>
      <c r="C5452" t="s">
        <v>12750</v>
      </c>
      <c r="D5452" t="s">
        <v>20</v>
      </c>
      <c r="E5452" t="s">
        <v>39</v>
      </c>
      <c r="F5452">
        <v>0</v>
      </c>
      <c r="G5452">
        <v>0</v>
      </c>
      <c r="H5452">
        <v>7</v>
      </c>
      <c r="I5452" s="3">
        <v>9375.1200000000008</v>
      </c>
      <c r="J5452" s="3">
        <v>44.42</v>
      </c>
      <c r="L5452">
        <v>1228</v>
      </c>
      <c r="M5452" t="s">
        <v>12751</v>
      </c>
      <c r="N5452" t="s">
        <v>30</v>
      </c>
      <c r="O5452" t="s">
        <v>31</v>
      </c>
      <c r="P5452" t="str">
        <f>"15208"</f>
        <v>15208</v>
      </c>
    </row>
    <row r="5453" spans="1:16" x14ac:dyDescent="0.25">
      <c r="A5453" t="str">
        <f>"1120172P00111    00"</f>
        <v>1120172P00111    00</v>
      </c>
      <c r="B5453" t="s">
        <v>12752</v>
      </c>
      <c r="C5453" t="s">
        <v>12743</v>
      </c>
      <c r="D5453" t="s">
        <v>20</v>
      </c>
      <c r="E5453" t="s">
        <v>39</v>
      </c>
      <c r="F5453">
        <v>0</v>
      </c>
      <c r="G5453">
        <v>0</v>
      </c>
      <c r="H5453">
        <v>19</v>
      </c>
      <c r="I5453" s="3">
        <v>11898.14</v>
      </c>
      <c r="J5453" s="3">
        <v>14244.48</v>
      </c>
      <c r="K5453" t="s">
        <v>1008</v>
      </c>
      <c r="P5453" t="str">
        <f>""</f>
        <v/>
      </c>
    </row>
    <row r="5454" spans="1:16" x14ac:dyDescent="0.25">
      <c r="A5454" t="str">
        <f>"1120172P00148    00"</f>
        <v>1120172P00148    00</v>
      </c>
      <c r="B5454" t="s">
        <v>12753</v>
      </c>
      <c r="C5454" t="s">
        <v>12754</v>
      </c>
      <c r="D5454" t="s">
        <v>20</v>
      </c>
      <c r="E5454" t="s">
        <v>39</v>
      </c>
      <c r="F5454">
        <v>0</v>
      </c>
      <c r="G5454">
        <v>0</v>
      </c>
      <c r="H5454">
        <v>4</v>
      </c>
      <c r="I5454" s="3">
        <v>5430.71</v>
      </c>
      <c r="J5454" s="3">
        <v>525.78</v>
      </c>
      <c r="L5454">
        <v>7054</v>
      </c>
      <c r="M5454" t="s">
        <v>12755</v>
      </c>
      <c r="N5454" t="s">
        <v>30</v>
      </c>
      <c r="O5454" t="s">
        <v>31</v>
      </c>
      <c r="P5454" t="str">
        <f>"15206"</f>
        <v>15206</v>
      </c>
    </row>
    <row r="5455" spans="1:16" x14ac:dyDescent="0.25">
      <c r="A5455" t="str">
        <f>"1120172P00151    00"</f>
        <v>1120172P00151    00</v>
      </c>
      <c r="B5455" t="s">
        <v>12756</v>
      </c>
      <c r="C5455" t="s">
        <v>12757</v>
      </c>
      <c r="D5455" t="s">
        <v>20</v>
      </c>
      <c r="E5455" t="s">
        <v>39</v>
      </c>
      <c r="F5455">
        <v>0</v>
      </c>
      <c r="G5455">
        <v>0</v>
      </c>
      <c r="H5455">
        <v>1</v>
      </c>
      <c r="I5455" s="3">
        <v>185.29</v>
      </c>
      <c r="J5455" s="3">
        <v>37.06</v>
      </c>
      <c r="L5455">
        <v>103</v>
      </c>
      <c r="M5455" t="s">
        <v>8976</v>
      </c>
      <c r="N5455" t="s">
        <v>30</v>
      </c>
      <c r="O5455" t="s">
        <v>31</v>
      </c>
      <c r="P5455" t="str">
        <f>"15201"</f>
        <v>15201</v>
      </c>
    </row>
    <row r="5456" spans="1:16" x14ac:dyDescent="0.25">
      <c r="A5456" t="str">
        <f>"1120172P00154    00"</f>
        <v>1120172P00154    00</v>
      </c>
      <c r="B5456" t="s">
        <v>12758</v>
      </c>
      <c r="C5456" t="s">
        <v>12759</v>
      </c>
      <c r="D5456" t="s">
        <v>20</v>
      </c>
      <c r="E5456" t="s">
        <v>39</v>
      </c>
      <c r="F5456">
        <v>0</v>
      </c>
      <c r="G5456">
        <v>0</v>
      </c>
      <c r="H5456">
        <v>2</v>
      </c>
      <c r="I5456" s="3">
        <v>966.8</v>
      </c>
      <c r="J5456" s="3">
        <v>0</v>
      </c>
      <c r="L5456">
        <v>7062</v>
      </c>
      <c r="M5456" t="s">
        <v>12755</v>
      </c>
      <c r="N5456" t="s">
        <v>30</v>
      </c>
      <c r="O5456" t="s">
        <v>31</v>
      </c>
      <c r="P5456" t="str">
        <f>"15206"</f>
        <v>15206</v>
      </c>
    </row>
    <row r="5457" spans="1:16" x14ac:dyDescent="0.25">
      <c r="A5457" t="str">
        <f>"1120172P00168    00"</f>
        <v>1120172P00168    00</v>
      </c>
      <c r="B5457" t="s">
        <v>12760</v>
      </c>
      <c r="C5457" t="s">
        <v>12743</v>
      </c>
      <c r="E5457" t="s">
        <v>39</v>
      </c>
      <c r="F5457">
        <v>0</v>
      </c>
      <c r="G5457">
        <v>0</v>
      </c>
      <c r="H5457">
        <v>3</v>
      </c>
      <c r="I5457" s="3">
        <v>30.68</v>
      </c>
      <c r="J5457" s="3">
        <v>13.07</v>
      </c>
      <c r="L5457">
        <v>1223</v>
      </c>
      <c r="M5457" t="s">
        <v>12761</v>
      </c>
      <c r="N5457" t="s">
        <v>12762</v>
      </c>
      <c r="O5457" t="s">
        <v>495</v>
      </c>
      <c r="P5457" t="str">
        <f>"90403"</f>
        <v>90403</v>
      </c>
    </row>
    <row r="5458" spans="1:16" x14ac:dyDescent="0.25">
      <c r="A5458" t="str">
        <f>"1120172P00174    00"</f>
        <v>1120172P00174    00</v>
      </c>
      <c r="B5458" t="s">
        <v>11245</v>
      </c>
      <c r="C5458" t="s">
        <v>12763</v>
      </c>
      <c r="D5458" t="s">
        <v>20</v>
      </c>
      <c r="E5458" t="s">
        <v>39</v>
      </c>
      <c r="F5458">
        <v>0</v>
      </c>
      <c r="G5458">
        <v>0</v>
      </c>
      <c r="H5458">
        <v>2</v>
      </c>
      <c r="I5458" s="3">
        <v>1806.94</v>
      </c>
      <c r="J5458" s="3">
        <v>0</v>
      </c>
      <c r="K5458" t="s">
        <v>11247</v>
      </c>
      <c r="L5458">
        <v>6405</v>
      </c>
      <c r="M5458" t="s">
        <v>11228</v>
      </c>
      <c r="N5458" t="s">
        <v>30</v>
      </c>
      <c r="O5458" t="s">
        <v>31</v>
      </c>
      <c r="P5458" t="str">
        <f>"15206"</f>
        <v>15206</v>
      </c>
    </row>
    <row r="5459" spans="1:16" x14ac:dyDescent="0.25">
      <c r="A5459" t="str">
        <f>"1120172P00300    00"</f>
        <v>1120172P00300    00</v>
      </c>
      <c r="B5459" t="s">
        <v>12764</v>
      </c>
      <c r="C5459" t="s">
        <v>12765</v>
      </c>
      <c r="D5459" t="s">
        <v>20</v>
      </c>
      <c r="E5459" t="s">
        <v>39</v>
      </c>
      <c r="F5459">
        <v>0</v>
      </c>
      <c r="G5459">
        <v>0</v>
      </c>
      <c r="H5459">
        <v>19</v>
      </c>
      <c r="I5459" s="3">
        <v>10226.77</v>
      </c>
      <c r="J5459" s="3">
        <v>13954.11</v>
      </c>
      <c r="K5459" t="s">
        <v>12766</v>
      </c>
      <c r="L5459">
        <v>6724</v>
      </c>
      <c r="M5459" t="s">
        <v>10830</v>
      </c>
      <c r="N5459" t="s">
        <v>30</v>
      </c>
      <c r="O5459" t="s">
        <v>31</v>
      </c>
      <c r="P5459" t="str">
        <f>"15208"</f>
        <v>15208</v>
      </c>
    </row>
    <row r="5460" spans="1:16" x14ac:dyDescent="0.25">
      <c r="A5460" t="str">
        <f>"1120172P00302    00"</f>
        <v>1120172P00302    00</v>
      </c>
      <c r="B5460" t="s">
        <v>12767</v>
      </c>
      <c r="C5460" t="s">
        <v>12768</v>
      </c>
      <c r="D5460" t="s">
        <v>20</v>
      </c>
      <c r="E5460" t="s">
        <v>39</v>
      </c>
      <c r="F5460">
        <v>0</v>
      </c>
      <c r="G5460">
        <v>0</v>
      </c>
      <c r="H5460">
        <v>6</v>
      </c>
      <c r="I5460" s="3">
        <v>1010.16</v>
      </c>
      <c r="J5460" s="3">
        <v>291.73</v>
      </c>
      <c r="L5460">
        <v>178</v>
      </c>
      <c r="M5460" t="s">
        <v>2990</v>
      </c>
      <c r="N5460" t="s">
        <v>30</v>
      </c>
      <c r="O5460" t="s">
        <v>31</v>
      </c>
      <c r="P5460" t="str">
        <f>"15206"</f>
        <v>15206</v>
      </c>
    </row>
    <row r="5461" spans="1:16" x14ac:dyDescent="0.25">
      <c r="A5461" t="str">
        <f>"1120172R00003    00"</f>
        <v>1120172R00003    00</v>
      </c>
      <c r="B5461" t="s">
        <v>12769</v>
      </c>
      <c r="C5461" t="s">
        <v>12770</v>
      </c>
      <c r="D5461" t="s">
        <v>20</v>
      </c>
      <c r="E5461" t="s">
        <v>39</v>
      </c>
      <c r="F5461">
        <v>0</v>
      </c>
      <c r="G5461">
        <v>0</v>
      </c>
      <c r="H5461">
        <v>19</v>
      </c>
      <c r="I5461" s="3">
        <v>2387.56</v>
      </c>
      <c r="J5461" s="3">
        <v>2859.24</v>
      </c>
      <c r="L5461">
        <v>1717</v>
      </c>
      <c r="M5461" t="s">
        <v>11406</v>
      </c>
      <c r="N5461" t="s">
        <v>30</v>
      </c>
      <c r="O5461" t="s">
        <v>31</v>
      </c>
      <c r="P5461" t="str">
        <f>"15206"</f>
        <v>15206</v>
      </c>
    </row>
    <row r="5462" spans="1:16" x14ac:dyDescent="0.25">
      <c r="A5462" t="str">
        <f>"1120172R00010    00"</f>
        <v>1120172R00010    00</v>
      </c>
      <c r="B5462" t="s">
        <v>12771</v>
      </c>
      <c r="C5462" t="s">
        <v>12770</v>
      </c>
      <c r="D5462" t="s">
        <v>20</v>
      </c>
      <c r="E5462" t="s">
        <v>39</v>
      </c>
      <c r="F5462">
        <v>0</v>
      </c>
      <c r="G5462">
        <v>0</v>
      </c>
      <c r="H5462">
        <v>19</v>
      </c>
      <c r="I5462" s="3">
        <v>7116.09</v>
      </c>
      <c r="J5462" s="3">
        <v>9758.91</v>
      </c>
      <c r="L5462">
        <v>1729</v>
      </c>
      <c r="M5462" t="s">
        <v>12772</v>
      </c>
      <c r="N5462" t="s">
        <v>30</v>
      </c>
      <c r="O5462" t="s">
        <v>31</v>
      </c>
      <c r="P5462" t="str">
        <f>"15206"</f>
        <v>15206</v>
      </c>
    </row>
    <row r="5463" spans="1:16" x14ac:dyDescent="0.25">
      <c r="A5463" t="str">
        <f>"1120172R00015    00"</f>
        <v>1120172R00015    00</v>
      </c>
      <c r="B5463" t="s">
        <v>12773</v>
      </c>
      <c r="C5463" t="s">
        <v>12038</v>
      </c>
      <c r="D5463" t="s">
        <v>20</v>
      </c>
      <c r="E5463" t="s">
        <v>39</v>
      </c>
      <c r="F5463">
        <v>0</v>
      </c>
      <c r="G5463">
        <v>0</v>
      </c>
      <c r="H5463">
        <v>19</v>
      </c>
      <c r="I5463" s="3">
        <v>4104.6400000000003</v>
      </c>
      <c r="J5463" s="3">
        <v>5870.49</v>
      </c>
      <c r="L5463">
        <v>9742</v>
      </c>
      <c r="M5463" t="s">
        <v>12774</v>
      </c>
      <c r="N5463" t="s">
        <v>12775</v>
      </c>
      <c r="O5463" t="s">
        <v>495</v>
      </c>
      <c r="P5463" t="str">
        <f>"91343"</f>
        <v>91343</v>
      </c>
    </row>
    <row r="5464" spans="1:16" x14ac:dyDescent="0.25">
      <c r="A5464" t="str">
        <f>"1120172R00028    00"</f>
        <v>1120172R00028    00</v>
      </c>
      <c r="B5464" t="s">
        <v>12776</v>
      </c>
      <c r="C5464" t="s">
        <v>12777</v>
      </c>
      <c r="D5464" t="s">
        <v>20</v>
      </c>
      <c r="E5464" t="s">
        <v>39</v>
      </c>
      <c r="F5464">
        <v>0</v>
      </c>
      <c r="G5464">
        <v>0</v>
      </c>
      <c r="H5464">
        <v>1</v>
      </c>
      <c r="I5464" s="3">
        <v>171.18</v>
      </c>
      <c r="J5464" s="3">
        <v>0</v>
      </c>
      <c r="K5464" t="s">
        <v>12778</v>
      </c>
      <c r="L5464">
        <v>5046</v>
      </c>
      <c r="M5464" t="s">
        <v>3588</v>
      </c>
      <c r="N5464" t="s">
        <v>30</v>
      </c>
      <c r="O5464" t="s">
        <v>31</v>
      </c>
      <c r="P5464" t="str">
        <f>"15201"</f>
        <v>15201</v>
      </c>
    </row>
    <row r="5465" spans="1:16" x14ac:dyDescent="0.25">
      <c r="A5465" t="str">
        <f>"1120172R00033    00"</f>
        <v>1120172R00033    00</v>
      </c>
      <c r="B5465" t="s">
        <v>12779</v>
      </c>
      <c r="C5465" t="s">
        <v>12038</v>
      </c>
      <c r="D5465" t="s">
        <v>20</v>
      </c>
      <c r="E5465" t="s">
        <v>21</v>
      </c>
      <c r="F5465">
        <v>0</v>
      </c>
      <c r="G5465">
        <v>0</v>
      </c>
      <c r="H5465">
        <v>19</v>
      </c>
      <c r="I5465" s="3">
        <v>4316.49</v>
      </c>
      <c r="J5465" s="3">
        <v>3421.01</v>
      </c>
      <c r="L5465">
        <v>1836</v>
      </c>
      <c r="M5465" t="s">
        <v>12780</v>
      </c>
      <c r="N5465" t="s">
        <v>30</v>
      </c>
      <c r="O5465" t="s">
        <v>31</v>
      </c>
      <c r="P5465" t="str">
        <f>"15235"</f>
        <v>15235</v>
      </c>
    </row>
    <row r="5466" spans="1:16" x14ac:dyDescent="0.25">
      <c r="A5466" t="str">
        <f>"1120172R00038    00"</f>
        <v>1120172R00038    00</v>
      </c>
      <c r="B5466" t="s">
        <v>12781</v>
      </c>
      <c r="C5466" t="s">
        <v>12662</v>
      </c>
      <c r="D5466" t="s">
        <v>20</v>
      </c>
      <c r="E5466" t="s">
        <v>39</v>
      </c>
      <c r="F5466">
        <v>0</v>
      </c>
      <c r="G5466">
        <v>0</v>
      </c>
      <c r="H5466">
        <v>15</v>
      </c>
      <c r="I5466" s="3">
        <v>166.28</v>
      </c>
      <c r="J5466" s="3">
        <v>181.66</v>
      </c>
      <c r="L5466">
        <v>267</v>
      </c>
      <c r="M5466" t="s">
        <v>12782</v>
      </c>
      <c r="N5466" t="s">
        <v>30</v>
      </c>
      <c r="O5466" t="s">
        <v>31</v>
      </c>
      <c r="P5466" t="str">
        <f>"15235"</f>
        <v>15235</v>
      </c>
    </row>
    <row r="5467" spans="1:16" x14ac:dyDescent="0.25">
      <c r="A5467" t="str">
        <f>"1120172R00043    00"</f>
        <v>1120172R00043    00</v>
      </c>
      <c r="B5467" t="s">
        <v>12783</v>
      </c>
      <c r="C5467" t="s">
        <v>12784</v>
      </c>
      <c r="D5467" t="s">
        <v>20</v>
      </c>
      <c r="E5467" t="s">
        <v>39</v>
      </c>
      <c r="F5467">
        <v>0</v>
      </c>
      <c r="G5467">
        <v>0</v>
      </c>
      <c r="H5467">
        <v>3</v>
      </c>
      <c r="I5467" s="3">
        <v>61.17</v>
      </c>
      <c r="J5467" s="3">
        <v>1.0900000000000001</v>
      </c>
      <c r="L5467">
        <v>141</v>
      </c>
      <c r="M5467" t="s">
        <v>12785</v>
      </c>
      <c r="N5467" t="s">
        <v>8991</v>
      </c>
      <c r="O5467" t="s">
        <v>31</v>
      </c>
      <c r="P5467" t="str">
        <f>"15145"</f>
        <v>15145</v>
      </c>
    </row>
    <row r="5468" spans="1:16" x14ac:dyDescent="0.25">
      <c r="A5468" t="str">
        <f>"1120172R00046    00"</f>
        <v>1120172R00046    00</v>
      </c>
      <c r="B5468" t="s">
        <v>12783</v>
      </c>
      <c r="C5468" t="s">
        <v>12784</v>
      </c>
      <c r="D5468" t="s">
        <v>20</v>
      </c>
      <c r="E5468" t="s">
        <v>39</v>
      </c>
      <c r="F5468">
        <v>0</v>
      </c>
      <c r="G5468">
        <v>0</v>
      </c>
      <c r="H5468">
        <v>3</v>
      </c>
      <c r="I5468" s="3">
        <v>28.17</v>
      </c>
      <c r="J5468" s="3">
        <v>2.29</v>
      </c>
      <c r="L5468">
        <v>141</v>
      </c>
      <c r="M5468" t="s">
        <v>12785</v>
      </c>
      <c r="N5468" t="s">
        <v>8991</v>
      </c>
      <c r="O5468" t="s">
        <v>31</v>
      </c>
      <c r="P5468" t="str">
        <f>"15145"</f>
        <v>15145</v>
      </c>
    </row>
    <row r="5469" spans="1:16" x14ac:dyDescent="0.25">
      <c r="A5469" t="str">
        <f>"1120172R00068    00"</f>
        <v>1120172R00068    00</v>
      </c>
      <c r="B5469" t="s">
        <v>12786</v>
      </c>
      <c r="C5469" t="s">
        <v>12787</v>
      </c>
      <c r="D5469" t="s">
        <v>20</v>
      </c>
      <c r="E5469" t="s">
        <v>39</v>
      </c>
      <c r="F5469">
        <v>0</v>
      </c>
      <c r="G5469">
        <v>0</v>
      </c>
      <c r="H5469">
        <v>6</v>
      </c>
      <c r="I5469" s="3">
        <v>3169.34</v>
      </c>
      <c r="J5469" s="3">
        <v>715.42</v>
      </c>
      <c r="K5469" t="s">
        <v>12788</v>
      </c>
      <c r="L5469">
        <v>128</v>
      </c>
      <c r="M5469" t="s">
        <v>11047</v>
      </c>
      <c r="N5469" t="s">
        <v>30</v>
      </c>
      <c r="O5469" t="s">
        <v>31</v>
      </c>
      <c r="P5469" t="str">
        <f>"15235"</f>
        <v>15235</v>
      </c>
    </row>
    <row r="5470" spans="1:16" x14ac:dyDescent="0.25">
      <c r="A5470" t="str">
        <f>"1120172R00069    00"</f>
        <v>1120172R00069    00</v>
      </c>
      <c r="B5470" t="s">
        <v>12789</v>
      </c>
      <c r="C5470" t="s">
        <v>12790</v>
      </c>
      <c r="D5470" t="s">
        <v>20</v>
      </c>
      <c r="E5470" t="s">
        <v>39</v>
      </c>
      <c r="F5470">
        <v>0</v>
      </c>
      <c r="G5470">
        <v>0</v>
      </c>
      <c r="H5470">
        <v>19</v>
      </c>
      <c r="I5470" s="3">
        <v>409.89</v>
      </c>
      <c r="J5470" s="3">
        <v>394.14</v>
      </c>
      <c r="L5470">
        <v>203</v>
      </c>
      <c r="M5470" t="s">
        <v>12791</v>
      </c>
      <c r="N5470" t="s">
        <v>4150</v>
      </c>
      <c r="O5470" t="s">
        <v>31</v>
      </c>
      <c r="P5470" t="str">
        <f>"15116"</f>
        <v>15116</v>
      </c>
    </row>
    <row r="5471" spans="1:16" x14ac:dyDescent="0.25">
      <c r="A5471" t="str">
        <f>"1120172R00070    00"</f>
        <v>1120172R00070    00</v>
      </c>
      <c r="B5471" t="s">
        <v>12792</v>
      </c>
      <c r="C5471" t="s">
        <v>12790</v>
      </c>
      <c r="D5471" t="s">
        <v>20</v>
      </c>
      <c r="E5471" t="s">
        <v>39</v>
      </c>
      <c r="F5471">
        <v>0</v>
      </c>
      <c r="G5471">
        <v>0</v>
      </c>
      <c r="H5471">
        <v>19</v>
      </c>
      <c r="I5471" s="3">
        <v>322.08999999999997</v>
      </c>
      <c r="J5471" s="3">
        <v>347.73</v>
      </c>
      <c r="K5471" t="s">
        <v>12793</v>
      </c>
      <c r="L5471">
        <v>203</v>
      </c>
      <c r="M5471" t="s">
        <v>12791</v>
      </c>
      <c r="N5471" t="s">
        <v>4150</v>
      </c>
      <c r="O5471" t="s">
        <v>31</v>
      </c>
      <c r="P5471" t="str">
        <f>"15116"</f>
        <v>15116</v>
      </c>
    </row>
    <row r="5472" spans="1:16" x14ac:dyDescent="0.25">
      <c r="A5472" t="str">
        <f>"1120172R00071    00"</f>
        <v>1120172R00071    00</v>
      </c>
      <c r="B5472" t="s">
        <v>12789</v>
      </c>
      <c r="C5472" t="s">
        <v>12794</v>
      </c>
      <c r="D5472" t="s">
        <v>20</v>
      </c>
      <c r="E5472" t="s">
        <v>39</v>
      </c>
      <c r="F5472">
        <v>0</v>
      </c>
      <c r="G5472">
        <v>0</v>
      </c>
      <c r="H5472">
        <v>18</v>
      </c>
      <c r="I5472" s="3">
        <v>6609.12</v>
      </c>
      <c r="J5472" s="3">
        <v>6173.7</v>
      </c>
      <c r="K5472" t="s">
        <v>12793</v>
      </c>
      <c r="L5472">
        <v>203</v>
      </c>
      <c r="M5472" t="s">
        <v>12791</v>
      </c>
      <c r="N5472" t="s">
        <v>4150</v>
      </c>
      <c r="O5472" t="s">
        <v>31</v>
      </c>
      <c r="P5472" t="str">
        <f>"15116"</f>
        <v>15116</v>
      </c>
    </row>
    <row r="5473" spans="1:16" x14ac:dyDescent="0.25">
      <c r="A5473" t="str">
        <f>"1120172R00072    00"</f>
        <v>1120172R00072    00</v>
      </c>
      <c r="B5473" t="s">
        <v>12789</v>
      </c>
      <c r="C5473" t="s">
        <v>12790</v>
      </c>
      <c r="D5473" t="s">
        <v>20</v>
      </c>
      <c r="E5473" t="s">
        <v>39</v>
      </c>
      <c r="F5473">
        <v>0</v>
      </c>
      <c r="G5473">
        <v>0</v>
      </c>
      <c r="H5473">
        <v>19</v>
      </c>
      <c r="I5473" s="3">
        <v>439.26</v>
      </c>
      <c r="J5473" s="3">
        <v>463.43</v>
      </c>
      <c r="K5473" t="s">
        <v>12793</v>
      </c>
      <c r="L5473">
        <v>203</v>
      </c>
      <c r="M5473" t="s">
        <v>12791</v>
      </c>
      <c r="N5473" t="s">
        <v>4150</v>
      </c>
      <c r="O5473" t="s">
        <v>31</v>
      </c>
      <c r="P5473" t="str">
        <f>"15116"</f>
        <v>15116</v>
      </c>
    </row>
    <row r="5474" spans="1:16" x14ac:dyDescent="0.25">
      <c r="A5474" t="str">
        <f>"1120172R00073    00"</f>
        <v>1120172R00073    00</v>
      </c>
      <c r="B5474" t="s">
        <v>12795</v>
      </c>
      <c r="C5474" t="s">
        <v>12790</v>
      </c>
      <c r="D5474" t="s">
        <v>20</v>
      </c>
      <c r="E5474" t="s">
        <v>39</v>
      </c>
      <c r="F5474">
        <v>0</v>
      </c>
      <c r="G5474">
        <v>0</v>
      </c>
      <c r="H5474">
        <v>17</v>
      </c>
      <c r="I5474" s="3">
        <v>338.24</v>
      </c>
      <c r="J5474" s="3">
        <v>405.3</v>
      </c>
      <c r="K5474" t="s">
        <v>1037</v>
      </c>
      <c r="L5474">
        <v>124</v>
      </c>
      <c r="M5474" t="s">
        <v>11623</v>
      </c>
      <c r="N5474" t="s">
        <v>30</v>
      </c>
      <c r="O5474" t="s">
        <v>31</v>
      </c>
      <c r="P5474" t="str">
        <f>"15208"</f>
        <v>15208</v>
      </c>
    </row>
    <row r="5475" spans="1:16" x14ac:dyDescent="0.25">
      <c r="A5475" t="str">
        <f>"1120172R00075    00"</f>
        <v>1120172R00075    00</v>
      </c>
      <c r="B5475" t="s">
        <v>12796</v>
      </c>
      <c r="C5475" t="s">
        <v>12797</v>
      </c>
      <c r="D5475" t="s">
        <v>20</v>
      </c>
      <c r="E5475" t="s">
        <v>39</v>
      </c>
      <c r="F5475">
        <v>0</v>
      </c>
      <c r="G5475">
        <v>0</v>
      </c>
      <c r="H5475">
        <v>17</v>
      </c>
      <c r="I5475" s="3">
        <v>11452.91</v>
      </c>
      <c r="J5475" s="3">
        <v>12198.88</v>
      </c>
      <c r="M5475" t="s">
        <v>2690</v>
      </c>
      <c r="N5475" t="s">
        <v>30</v>
      </c>
      <c r="O5475" t="s">
        <v>31</v>
      </c>
      <c r="P5475" t="str">
        <f>"15206"</f>
        <v>15206</v>
      </c>
    </row>
    <row r="5476" spans="1:16" x14ac:dyDescent="0.25">
      <c r="A5476" t="str">
        <f>"1120172R00077    00"</f>
        <v>1120172R00077    00</v>
      </c>
      <c r="B5476" t="s">
        <v>12798</v>
      </c>
      <c r="C5476" t="s">
        <v>12038</v>
      </c>
      <c r="D5476" t="s">
        <v>20</v>
      </c>
      <c r="E5476" t="s">
        <v>39</v>
      </c>
      <c r="F5476">
        <v>0</v>
      </c>
      <c r="G5476">
        <v>0</v>
      </c>
      <c r="H5476">
        <v>19</v>
      </c>
      <c r="I5476" s="3">
        <v>1075.55</v>
      </c>
      <c r="J5476" s="3">
        <v>748.59</v>
      </c>
      <c r="L5476">
        <v>510</v>
      </c>
      <c r="M5476" t="s">
        <v>12799</v>
      </c>
      <c r="N5476" t="s">
        <v>30</v>
      </c>
      <c r="O5476" t="s">
        <v>31</v>
      </c>
      <c r="P5476" t="str">
        <f>"15235"</f>
        <v>15235</v>
      </c>
    </row>
    <row r="5477" spans="1:16" x14ac:dyDescent="0.25">
      <c r="A5477" t="str">
        <f>"1120172R00115    00"</f>
        <v>1120172R00115    00</v>
      </c>
      <c r="B5477" t="s">
        <v>12800</v>
      </c>
      <c r="C5477" t="s">
        <v>12038</v>
      </c>
      <c r="D5477" t="s">
        <v>20</v>
      </c>
      <c r="E5477" t="s">
        <v>21</v>
      </c>
      <c r="F5477">
        <v>0</v>
      </c>
      <c r="G5477">
        <v>0</v>
      </c>
      <c r="H5477">
        <v>19</v>
      </c>
      <c r="I5477" s="3">
        <v>4742.32</v>
      </c>
      <c r="J5477" s="3">
        <v>5021.16</v>
      </c>
      <c r="K5477" t="s">
        <v>12801</v>
      </c>
      <c r="L5477">
        <v>6513</v>
      </c>
      <c r="M5477" t="s">
        <v>2990</v>
      </c>
      <c r="N5477" t="s">
        <v>30</v>
      </c>
      <c r="O5477" t="s">
        <v>31</v>
      </c>
      <c r="P5477" t="str">
        <f>"15206"</f>
        <v>15206</v>
      </c>
    </row>
    <row r="5478" spans="1:16" x14ac:dyDescent="0.25">
      <c r="A5478" t="str">
        <f>"1120172R00117    00"</f>
        <v>1120172R00117    00</v>
      </c>
      <c r="B5478" t="s">
        <v>12802</v>
      </c>
      <c r="C5478" t="s">
        <v>12038</v>
      </c>
      <c r="D5478" t="s">
        <v>20</v>
      </c>
      <c r="E5478" t="s">
        <v>39</v>
      </c>
      <c r="F5478">
        <v>0</v>
      </c>
      <c r="G5478">
        <v>0</v>
      </c>
      <c r="H5478">
        <v>17</v>
      </c>
      <c r="I5478" s="3">
        <v>319.83</v>
      </c>
      <c r="J5478" s="3">
        <v>395.26</v>
      </c>
      <c r="K5478" t="s">
        <v>12801</v>
      </c>
      <c r="L5478">
        <v>6513</v>
      </c>
      <c r="M5478" t="s">
        <v>2990</v>
      </c>
      <c r="N5478" t="s">
        <v>30</v>
      </c>
      <c r="O5478" t="s">
        <v>31</v>
      </c>
      <c r="P5478" t="str">
        <f>"15206"</f>
        <v>15206</v>
      </c>
    </row>
    <row r="5479" spans="1:16" x14ac:dyDescent="0.25">
      <c r="A5479" t="str">
        <f>"1120172R00141    00"</f>
        <v>1120172R00141    00</v>
      </c>
      <c r="B5479" t="s">
        <v>12803</v>
      </c>
      <c r="C5479" t="s">
        <v>12804</v>
      </c>
      <c r="D5479" t="s">
        <v>20</v>
      </c>
      <c r="E5479" t="s">
        <v>39</v>
      </c>
      <c r="F5479">
        <v>0</v>
      </c>
      <c r="G5479">
        <v>0</v>
      </c>
      <c r="H5479">
        <v>17</v>
      </c>
      <c r="I5479" s="3">
        <v>308.5</v>
      </c>
      <c r="J5479" s="3">
        <v>377.11</v>
      </c>
      <c r="L5479">
        <v>8233</v>
      </c>
      <c r="M5479" t="s">
        <v>12805</v>
      </c>
      <c r="N5479" t="s">
        <v>652</v>
      </c>
      <c r="O5479" t="s">
        <v>108</v>
      </c>
      <c r="P5479" t="str">
        <f>"77074"</f>
        <v>77074</v>
      </c>
    </row>
    <row r="5480" spans="1:16" x14ac:dyDescent="0.25">
      <c r="A5480" t="str">
        <f>"1120172R00144    00"</f>
        <v>1120172R00144    00</v>
      </c>
      <c r="B5480" t="s">
        <v>12806</v>
      </c>
      <c r="C5480" t="s">
        <v>12804</v>
      </c>
      <c r="D5480" t="s">
        <v>20</v>
      </c>
      <c r="E5480" t="s">
        <v>39</v>
      </c>
      <c r="F5480">
        <v>0</v>
      </c>
      <c r="G5480">
        <v>0</v>
      </c>
      <c r="H5480">
        <v>19</v>
      </c>
      <c r="I5480" s="3">
        <v>419.7</v>
      </c>
      <c r="J5480" s="3">
        <v>436.16</v>
      </c>
      <c r="L5480">
        <v>536</v>
      </c>
      <c r="M5480" t="s">
        <v>10259</v>
      </c>
      <c r="N5480" t="s">
        <v>30</v>
      </c>
      <c r="O5480" t="s">
        <v>31</v>
      </c>
      <c r="P5480" t="str">
        <f>"15206"</f>
        <v>15206</v>
      </c>
    </row>
    <row r="5481" spans="1:16" x14ac:dyDescent="0.25">
      <c r="A5481" t="str">
        <f>"1120172R00150    00"</f>
        <v>1120172R00150    00</v>
      </c>
      <c r="B5481" t="s">
        <v>12807</v>
      </c>
      <c r="C5481" t="s">
        <v>12662</v>
      </c>
      <c r="D5481" t="s">
        <v>20</v>
      </c>
      <c r="E5481" t="s">
        <v>39</v>
      </c>
      <c r="F5481">
        <v>0</v>
      </c>
      <c r="G5481">
        <v>0</v>
      </c>
      <c r="H5481">
        <v>19</v>
      </c>
      <c r="I5481" s="3">
        <v>1075.55</v>
      </c>
      <c r="J5481" s="3">
        <v>748.59</v>
      </c>
      <c r="K5481" t="s">
        <v>1008</v>
      </c>
      <c r="P5481" t="str">
        <f>""</f>
        <v/>
      </c>
    </row>
    <row r="5482" spans="1:16" x14ac:dyDescent="0.25">
      <c r="A5482" t="str">
        <f>"1120172R00152    00"</f>
        <v>1120172R00152    00</v>
      </c>
      <c r="B5482" t="s">
        <v>12808</v>
      </c>
      <c r="C5482" t="s">
        <v>12809</v>
      </c>
      <c r="E5482" t="s">
        <v>39</v>
      </c>
      <c r="F5482">
        <v>0</v>
      </c>
      <c r="G5482">
        <v>0</v>
      </c>
      <c r="H5482">
        <v>9</v>
      </c>
      <c r="I5482" s="3">
        <v>3267.22</v>
      </c>
      <c r="J5482" s="3">
        <v>3721.88</v>
      </c>
      <c r="K5482" t="s">
        <v>12810</v>
      </c>
      <c r="L5482">
        <v>7167</v>
      </c>
      <c r="M5482" t="s">
        <v>12661</v>
      </c>
      <c r="N5482" t="s">
        <v>30</v>
      </c>
      <c r="O5482" t="s">
        <v>31</v>
      </c>
      <c r="P5482" t="str">
        <f>"15235"</f>
        <v>15235</v>
      </c>
    </row>
    <row r="5483" spans="1:16" x14ac:dyDescent="0.25">
      <c r="A5483" t="str">
        <f>"1120172R00157    00"</f>
        <v>1120172R00157    00</v>
      </c>
      <c r="B5483" t="s">
        <v>12806</v>
      </c>
      <c r="C5483" t="s">
        <v>12811</v>
      </c>
      <c r="D5483" t="s">
        <v>20</v>
      </c>
      <c r="E5483" t="s">
        <v>39</v>
      </c>
      <c r="F5483">
        <v>0</v>
      </c>
      <c r="G5483">
        <v>0</v>
      </c>
      <c r="H5483">
        <v>19</v>
      </c>
      <c r="I5483" s="3">
        <v>9912.5300000000007</v>
      </c>
      <c r="J5483" s="3">
        <v>10191.27</v>
      </c>
      <c r="L5483">
        <v>536</v>
      </c>
      <c r="M5483" t="s">
        <v>10453</v>
      </c>
      <c r="N5483" t="s">
        <v>30</v>
      </c>
      <c r="O5483" t="s">
        <v>31</v>
      </c>
      <c r="P5483" t="str">
        <f>"15206"</f>
        <v>15206</v>
      </c>
    </row>
    <row r="5484" spans="1:16" x14ac:dyDescent="0.25">
      <c r="A5484" t="str">
        <f>"1120172R00158    00"</f>
        <v>1120172R00158    00</v>
      </c>
      <c r="B5484" t="s">
        <v>12812</v>
      </c>
      <c r="C5484" t="s">
        <v>12813</v>
      </c>
      <c r="D5484" t="s">
        <v>20</v>
      </c>
      <c r="E5484" t="s">
        <v>39</v>
      </c>
      <c r="F5484">
        <v>0</v>
      </c>
      <c r="G5484">
        <v>0</v>
      </c>
      <c r="H5484">
        <v>3</v>
      </c>
      <c r="I5484" s="3">
        <v>227.53</v>
      </c>
      <c r="J5484" s="3">
        <v>11.69</v>
      </c>
      <c r="L5484">
        <v>7153</v>
      </c>
      <c r="M5484" t="s">
        <v>12661</v>
      </c>
      <c r="N5484" t="s">
        <v>30</v>
      </c>
      <c r="O5484" t="s">
        <v>31</v>
      </c>
      <c r="P5484" t="str">
        <f>"15235"</f>
        <v>15235</v>
      </c>
    </row>
    <row r="5485" spans="1:16" x14ac:dyDescent="0.25">
      <c r="A5485" t="str">
        <f>"1120172R00161    00"</f>
        <v>1120172R00161    00</v>
      </c>
      <c r="B5485" t="s">
        <v>12814</v>
      </c>
      <c r="C5485" t="s">
        <v>12815</v>
      </c>
      <c r="D5485" t="s">
        <v>20</v>
      </c>
      <c r="E5485" t="s">
        <v>39</v>
      </c>
      <c r="F5485">
        <v>0</v>
      </c>
      <c r="G5485">
        <v>0</v>
      </c>
      <c r="H5485">
        <v>2</v>
      </c>
      <c r="I5485" s="3">
        <v>693.33</v>
      </c>
      <c r="J5485" s="3">
        <v>108.47</v>
      </c>
      <c r="L5485">
        <v>7147</v>
      </c>
      <c r="M5485" t="s">
        <v>12661</v>
      </c>
      <c r="N5485" t="s">
        <v>30</v>
      </c>
      <c r="O5485" t="s">
        <v>31</v>
      </c>
      <c r="P5485" t="str">
        <f>"15235"</f>
        <v>15235</v>
      </c>
    </row>
    <row r="5486" spans="1:16" x14ac:dyDescent="0.25">
      <c r="A5486" t="str">
        <f>"1120172R00172    00"</f>
        <v>1120172R00172    00</v>
      </c>
      <c r="B5486" t="s">
        <v>12816</v>
      </c>
      <c r="C5486" t="s">
        <v>12817</v>
      </c>
      <c r="E5486" t="s">
        <v>39</v>
      </c>
      <c r="F5486">
        <v>0</v>
      </c>
      <c r="G5486">
        <v>0</v>
      </c>
      <c r="H5486">
        <v>4</v>
      </c>
      <c r="I5486" s="3">
        <v>4982.99</v>
      </c>
      <c r="J5486" s="3">
        <v>3436.23</v>
      </c>
      <c r="K5486" t="s">
        <v>12818</v>
      </c>
      <c r="L5486">
        <v>6914</v>
      </c>
      <c r="M5486" t="s">
        <v>12741</v>
      </c>
      <c r="N5486" t="s">
        <v>30</v>
      </c>
      <c r="O5486" t="s">
        <v>31</v>
      </c>
      <c r="P5486" t="str">
        <f>"15206"</f>
        <v>15206</v>
      </c>
    </row>
    <row r="5487" spans="1:16" x14ac:dyDescent="0.25">
      <c r="A5487" t="str">
        <f>"1120172R00197    00"</f>
        <v>1120172R00197    00</v>
      </c>
      <c r="B5487" t="s">
        <v>12819</v>
      </c>
      <c r="C5487" t="s">
        <v>12038</v>
      </c>
      <c r="D5487" t="s">
        <v>20</v>
      </c>
      <c r="E5487" t="s">
        <v>39</v>
      </c>
      <c r="F5487">
        <v>0</v>
      </c>
      <c r="G5487">
        <v>0</v>
      </c>
      <c r="H5487">
        <v>19</v>
      </c>
      <c r="I5487" s="3">
        <v>718.21</v>
      </c>
      <c r="J5487" s="3">
        <v>874.58</v>
      </c>
      <c r="K5487" t="s">
        <v>1037</v>
      </c>
      <c r="L5487">
        <v>1755</v>
      </c>
      <c r="M5487" t="s">
        <v>2789</v>
      </c>
      <c r="N5487" t="s">
        <v>30</v>
      </c>
      <c r="O5487" t="s">
        <v>31</v>
      </c>
      <c r="P5487" t="str">
        <f>"15206"</f>
        <v>15206</v>
      </c>
    </row>
    <row r="5488" spans="1:16" x14ac:dyDescent="0.25">
      <c r="A5488" t="str">
        <f>"1120172R00199    00"</f>
        <v>1120172R00199    00</v>
      </c>
      <c r="B5488" t="s">
        <v>12820</v>
      </c>
      <c r="C5488" t="s">
        <v>12038</v>
      </c>
      <c r="D5488" t="s">
        <v>20</v>
      </c>
      <c r="E5488" t="s">
        <v>39</v>
      </c>
      <c r="F5488">
        <v>0</v>
      </c>
      <c r="G5488">
        <v>0</v>
      </c>
      <c r="H5488">
        <v>19</v>
      </c>
      <c r="I5488" s="3">
        <v>718.21</v>
      </c>
      <c r="J5488" s="3">
        <v>874.58</v>
      </c>
      <c r="L5488">
        <v>467</v>
      </c>
      <c r="M5488" t="s">
        <v>12821</v>
      </c>
      <c r="N5488" t="s">
        <v>30</v>
      </c>
      <c r="O5488" t="s">
        <v>31</v>
      </c>
      <c r="P5488" t="str">
        <f>"15235"</f>
        <v>15235</v>
      </c>
    </row>
    <row r="5489" spans="1:16" x14ac:dyDescent="0.25">
      <c r="A5489" t="str">
        <f>"1120172R00268    00"</f>
        <v>1120172R00268    00</v>
      </c>
      <c r="B5489" t="s">
        <v>12822</v>
      </c>
      <c r="C5489" t="s">
        <v>12823</v>
      </c>
      <c r="D5489" t="s">
        <v>20</v>
      </c>
      <c r="E5489" t="s">
        <v>39</v>
      </c>
      <c r="F5489">
        <v>0</v>
      </c>
      <c r="G5489">
        <v>0</v>
      </c>
      <c r="H5489">
        <v>1</v>
      </c>
      <c r="I5489" s="3">
        <v>306</v>
      </c>
      <c r="J5489" s="3">
        <v>0</v>
      </c>
      <c r="L5489">
        <v>170</v>
      </c>
      <c r="M5489" t="s">
        <v>12666</v>
      </c>
      <c r="N5489" t="s">
        <v>30</v>
      </c>
      <c r="O5489" t="s">
        <v>31</v>
      </c>
      <c r="P5489" t="str">
        <f>"15235"</f>
        <v>15235</v>
      </c>
    </row>
    <row r="5490" spans="1:16" x14ac:dyDescent="0.25">
      <c r="A5490" t="str">
        <f>"1120172R00270    00"</f>
        <v>1120172R00270    00</v>
      </c>
      <c r="B5490" t="s">
        <v>12824</v>
      </c>
      <c r="C5490" t="s">
        <v>12825</v>
      </c>
      <c r="D5490" t="s">
        <v>20</v>
      </c>
      <c r="E5490" t="s">
        <v>39</v>
      </c>
      <c r="F5490">
        <v>0</v>
      </c>
      <c r="G5490">
        <v>0</v>
      </c>
      <c r="H5490">
        <v>5</v>
      </c>
      <c r="I5490" s="3">
        <v>5685.87</v>
      </c>
      <c r="J5490" s="3">
        <v>1012.31</v>
      </c>
      <c r="K5490" t="s">
        <v>12826</v>
      </c>
      <c r="L5490">
        <v>168</v>
      </c>
      <c r="M5490" t="s">
        <v>12666</v>
      </c>
      <c r="N5490" t="s">
        <v>30</v>
      </c>
      <c r="O5490" t="s">
        <v>31</v>
      </c>
      <c r="P5490" t="str">
        <f>"15235"</f>
        <v>15235</v>
      </c>
    </row>
    <row r="5491" spans="1:16" x14ac:dyDescent="0.25">
      <c r="A5491" t="str">
        <f>"1120172R00276    00"</f>
        <v>1120172R00276    00</v>
      </c>
      <c r="B5491" t="s">
        <v>12827</v>
      </c>
      <c r="C5491" t="s">
        <v>12828</v>
      </c>
      <c r="D5491" t="s">
        <v>20</v>
      </c>
      <c r="E5491" t="s">
        <v>39</v>
      </c>
      <c r="F5491">
        <v>0</v>
      </c>
      <c r="G5491">
        <v>0</v>
      </c>
      <c r="H5491">
        <v>3</v>
      </c>
      <c r="I5491" s="3">
        <v>4032.81</v>
      </c>
      <c r="J5491" s="3">
        <v>365.76</v>
      </c>
      <c r="L5491">
        <v>77</v>
      </c>
      <c r="M5491" t="s">
        <v>12829</v>
      </c>
      <c r="N5491" t="s">
        <v>199</v>
      </c>
      <c r="O5491" t="s">
        <v>200</v>
      </c>
      <c r="P5491" t="str">
        <f>"10025"</f>
        <v>10025</v>
      </c>
    </row>
    <row r="5492" spans="1:16" x14ac:dyDescent="0.25">
      <c r="A5492" t="str">
        <f>"1120173A00002    00"</f>
        <v>1120173A00002    00</v>
      </c>
      <c r="B5492" t="s">
        <v>12830</v>
      </c>
      <c r="C5492" t="s">
        <v>12831</v>
      </c>
      <c r="D5492" t="s">
        <v>20</v>
      </c>
      <c r="E5492" t="s">
        <v>39</v>
      </c>
      <c r="F5492">
        <v>0</v>
      </c>
      <c r="G5492">
        <v>0</v>
      </c>
      <c r="H5492">
        <v>9</v>
      </c>
      <c r="I5492" s="3">
        <v>2718.92</v>
      </c>
      <c r="J5492" s="3">
        <v>1029.52</v>
      </c>
      <c r="K5492" t="s">
        <v>12832</v>
      </c>
      <c r="L5492">
        <v>7023</v>
      </c>
      <c r="M5492" t="s">
        <v>12716</v>
      </c>
      <c r="N5492" t="s">
        <v>30</v>
      </c>
      <c r="O5492" t="s">
        <v>31</v>
      </c>
      <c r="P5492" t="str">
        <f>"15206"</f>
        <v>15206</v>
      </c>
    </row>
    <row r="5493" spans="1:16" x14ac:dyDescent="0.25">
      <c r="A5493" t="str">
        <f>"1120173A00003    00"</f>
        <v>1120173A00003    00</v>
      </c>
      <c r="B5493" t="s">
        <v>12833</v>
      </c>
      <c r="C5493" t="s">
        <v>12703</v>
      </c>
      <c r="D5493" t="s">
        <v>20</v>
      </c>
      <c r="E5493" t="s">
        <v>39</v>
      </c>
      <c r="F5493">
        <v>0</v>
      </c>
      <c r="G5493">
        <v>0</v>
      </c>
      <c r="H5493">
        <v>11</v>
      </c>
      <c r="I5493" s="3">
        <v>384.05</v>
      </c>
      <c r="J5493" s="3">
        <v>184.34</v>
      </c>
      <c r="K5493" t="s">
        <v>12832</v>
      </c>
      <c r="L5493">
        <v>383</v>
      </c>
      <c r="M5493" t="s">
        <v>12834</v>
      </c>
      <c r="N5493" t="s">
        <v>30</v>
      </c>
      <c r="O5493" t="s">
        <v>31</v>
      </c>
      <c r="P5493" t="str">
        <f>"15221"</f>
        <v>15221</v>
      </c>
    </row>
    <row r="5494" spans="1:16" x14ac:dyDescent="0.25">
      <c r="A5494" t="str">
        <f>"1120173A00005    00"</f>
        <v>1120173A00005    00</v>
      </c>
      <c r="B5494" t="s">
        <v>12835</v>
      </c>
      <c r="C5494" t="s">
        <v>12836</v>
      </c>
      <c r="D5494" t="s">
        <v>20</v>
      </c>
      <c r="E5494" t="s">
        <v>39</v>
      </c>
      <c r="F5494">
        <v>0</v>
      </c>
      <c r="G5494">
        <v>0</v>
      </c>
      <c r="H5494">
        <v>3</v>
      </c>
      <c r="I5494" s="3">
        <v>75.33</v>
      </c>
      <c r="J5494" s="3">
        <v>9.69</v>
      </c>
      <c r="L5494">
        <v>1668</v>
      </c>
      <c r="M5494" t="s">
        <v>12837</v>
      </c>
      <c r="N5494" t="s">
        <v>12838</v>
      </c>
      <c r="O5494" t="s">
        <v>6668</v>
      </c>
      <c r="P5494" t="str">
        <f>"98387"</f>
        <v>98387</v>
      </c>
    </row>
    <row r="5495" spans="1:16" x14ac:dyDescent="0.25">
      <c r="A5495" t="str">
        <f>"1120173A00010    00"</f>
        <v>1120173A00010    00</v>
      </c>
      <c r="B5495" t="s">
        <v>12839</v>
      </c>
      <c r="C5495" t="s">
        <v>12840</v>
      </c>
      <c r="E5495" t="s">
        <v>39</v>
      </c>
      <c r="F5495">
        <v>0</v>
      </c>
      <c r="G5495">
        <v>0</v>
      </c>
      <c r="H5495">
        <v>1</v>
      </c>
      <c r="I5495" s="3">
        <v>489.57</v>
      </c>
      <c r="J5495" s="3">
        <v>110.14</v>
      </c>
      <c r="K5495" t="s">
        <v>400</v>
      </c>
      <c r="L5495">
        <v>3001</v>
      </c>
      <c r="M5495" t="s">
        <v>330</v>
      </c>
      <c r="N5495" t="s">
        <v>331</v>
      </c>
      <c r="O5495" t="s">
        <v>108</v>
      </c>
      <c r="P5495" t="str">
        <f>"75063"</f>
        <v>75063</v>
      </c>
    </row>
    <row r="5496" spans="1:16" x14ac:dyDescent="0.25">
      <c r="A5496" t="str">
        <f>"1120173A00012    00"</f>
        <v>1120173A00012    00</v>
      </c>
      <c r="B5496" t="s">
        <v>12841</v>
      </c>
      <c r="C5496" t="s">
        <v>12842</v>
      </c>
      <c r="D5496" t="s">
        <v>20</v>
      </c>
      <c r="E5496" t="s">
        <v>39</v>
      </c>
      <c r="F5496">
        <v>0</v>
      </c>
      <c r="G5496">
        <v>0</v>
      </c>
      <c r="H5496">
        <v>12</v>
      </c>
      <c r="I5496" s="3">
        <v>3236.71</v>
      </c>
      <c r="J5496" s="3">
        <v>1802.23</v>
      </c>
      <c r="L5496">
        <v>7107</v>
      </c>
      <c r="M5496" t="s">
        <v>12716</v>
      </c>
      <c r="N5496" t="s">
        <v>30</v>
      </c>
      <c r="O5496" t="s">
        <v>31</v>
      </c>
      <c r="P5496" t="str">
        <f>"15206"</f>
        <v>15206</v>
      </c>
    </row>
    <row r="5497" spans="1:16" x14ac:dyDescent="0.25">
      <c r="A5497" t="str">
        <f>"1120173A00015    00"</f>
        <v>1120173A00015    00</v>
      </c>
      <c r="B5497" t="s">
        <v>12843</v>
      </c>
      <c r="C5497" t="s">
        <v>12844</v>
      </c>
      <c r="E5497" t="s">
        <v>39</v>
      </c>
      <c r="F5497">
        <v>0</v>
      </c>
      <c r="G5497">
        <v>0</v>
      </c>
      <c r="H5497">
        <v>1</v>
      </c>
      <c r="I5497" s="3">
        <v>248.45</v>
      </c>
      <c r="J5497" s="3">
        <v>0</v>
      </c>
      <c r="L5497">
        <v>1641</v>
      </c>
      <c r="M5497" t="s">
        <v>9152</v>
      </c>
      <c r="N5497" t="s">
        <v>30</v>
      </c>
      <c r="O5497" t="s">
        <v>31</v>
      </c>
      <c r="P5497" t="str">
        <f>"15206"</f>
        <v>15206</v>
      </c>
    </row>
    <row r="5498" spans="1:16" x14ac:dyDescent="0.25">
      <c r="A5498" t="str">
        <f>"1120173A00040    00"</f>
        <v>1120173A00040    00</v>
      </c>
      <c r="B5498" t="s">
        <v>12845</v>
      </c>
      <c r="C5498" t="s">
        <v>12846</v>
      </c>
      <c r="D5498" t="s">
        <v>20</v>
      </c>
      <c r="E5498" t="s">
        <v>39</v>
      </c>
      <c r="F5498">
        <v>0</v>
      </c>
      <c r="G5498">
        <v>0</v>
      </c>
      <c r="H5498">
        <v>19</v>
      </c>
      <c r="I5498" s="3">
        <v>14323.46</v>
      </c>
      <c r="J5498" s="3">
        <v>15057.11</v>
      </c>
      <c r="L5498">
        <v>6206</v>
      </c>
      <c r="M5498" t="s">
        <v>10595</v>
      </c>
      <c r="N5498" t="s">
        <v>30</v>
      </c>
      <c r="O5498" t="s">
        <v>31</v>
      </c>
      <c r="P5498" t="str">
        <f>"15206"</f>
        <v>15206</v>
      </c>
    </row>
    <row r="5499" spans="1:16" x14ac:dyDescent="0.25">
      <c r="A5499" t="str">
        <f>"1120173A00041    00"</f>
        <v>1120173A00041    00</v>
      </c>
      <c r="B5499" t="s">
        <v>12847</v>
      </c>
      <c r="C5499" t="s">
        <v>12848</v>
      </c>
      <c r="D5499" t="s">
        <v>20</v>
      </c>
      <c r="E5499" t="s">
        <v>39</v>
      </c>
      <c r="F5499">
        <v>0</v>
      </c>
      <c r="G5499">
        <v>0</v>
      </c>
      <c r="H5499">
        <v>18</v>
      </c>
      <c r="I5499" s="3">
        <v>11631.05</v>
      </c>
      <c r="J5499" s="3">
        <v>10562.61</v>
      </c>
      <c r="L5499">
        <v>7020</v>
      </c>
      <c r="M5499" t="s">
        <v>12716</v>
      </c>
      <c r="N5499" t="s">
        <v>30</v>
      </c>
      <c r="O5499" t="s">
        <v>31</v>
      </c>
      <c r="P5499" t="str">
        <f>"15206"</f>
        <v>15206</v>
      </c>
    </row>
    <row r="5500" spans="1:16" x14ac:dyDescent="0.25">
      <c r="A5500" t="str">
        <f>"1120173A00053    00"</f>
        <v>1120173A00053    00</v>
      </c>
      <c r="B5500" t="s">
        <v>12849</v>
      </c>
      <c r="C5500" t="s">
        <v>12679</v>
      </c>
      <c r="D5500" t="s">
        <v>20</v>
      </c>
      <c r="E5500" t="s">
        <v>39</v>
      </c>
      <c r="F5500">
        <v>0</v>
      </c>
      <c r="G5500">
        <v>0</v>
      </c>
      <c r="H5500">
        <v>19</v>
      </c>
      <c r="I5500" s="3">
        <v>5541.12</v>
      </c>
      <c r="J5500" s="3">
        <v>7614.51</v>
      </c>
      <c r="L5500">
        <v>7009</v>
      </c>
      <c r="M5500" t="s">
        <v>12682</v>
      </c>
      <c r="N5500" t="s">
        <v>30</v>
      </c>
      <c r="O5500" t="s">
        <v>31</v>
      </c>
      <c r="P5500" t="str">
        <f>"15206"</f>
        <v>15206</v>
      </c>
    </row>
    <row r="5501" spans="1:16" x14ac:dyDescent="0.25">
      <c r="A5501" t="str">
        <f>"1120173A00058    00"</f>
        <v>1120173A00058    00</v>
      </c>
      <c r="B5501" t="s">
        <v>12850</v>
      </c>
      <c r="C5501" t="s">
        <v>12679</v>
      </c>
      <c r="D5501" t="s">
        <v>20</v>
      </c>
      <c r="E5501" t="s">
        <v>39</v>
      </c>
      <c r="F5501">
        <v>0</v>
      </c>
      <c r="G5501">
        <v>0</v>
      </c>
      <c r="H5501">
        <v>19</v>
      </c>
      <c r="I5501" s="3">
        <v>427.63</v>
      </c>
      <c r="J5501" s="3">
        <v>495.92</v>
      </c>
      <c r="K5501" t="s">
        <v>12851</v>
      </c>
      <c r="L5501">
        <v>5536</v>
      </c>
      <c r="M5501" t="s">
        <v>12852</v>
      </c>
      <c r="N5501" t="s">
        <v>1061</v>
      </c>
      <c r="O5501" t="s">
        <v>495</v>
      </c>
      <c r="P5501" t="str">
        <f>"90038"</f>
        <v>90038</v>
      </c>
    </row>
    <row r="5502" spans="1:16" x14ac:dyDescent="0.25">
      <c r="A5502" t="str">
        <f>"1120173A00066    00"</f>
        <v>1120173A00066    00</v>
      </c>
      <c r="B5502" t="s">
        <v>12853</v>
      </c>
      <c r="C5502" t="s">
        <v>12854</v>
      </c>
      <c r="D5502" t="s">
        <v>20</v>
      </c>
      <c r="E5502" t="s">
        <v>39</v>
      </c>
      <c r="F5502">
        <v>0</v>
      </c>
      <c r="G5502">
        <v>0</v>
      </c>
      <c r="H5502">
        <v>3</v>
      </c>
      <c r="I5502" s="3">
        <v>430.38</v>
      </c>
      <c r="J5502" s="3">
        <v>30.05</v>
      </c>
      <c r="K5502" t="s">
        <v>8122</v>
      </c>
      <c r="L5502">
        <v>999</v>
      </c>
      <c r="M5502" t="s">
        <v>8123</v>
      </c>
      <c r="N5502" t="s">
        <v>8124</v>
      </c>
      <c r="O5502" t="s">
        <v>658</v>
      </c>
      <c r="P5502" t="str">
        <f>"73118"</f>
        <v>73118</v>
      </c>
    </row>
    <row r="5503" spans="1:16" x14ac:dyDescent="0.25">
      <c r="A5503" t="str">
        <f>"1120173A00069    00"</f>
        <v>1120173A00069    00</v>
      </c>
      <c r="B5503" t="s">
        <v>12855</v>
      </c>
      <c r="C5503" t="s">
        <v>12679</v>
      </c>
      <c r="D5503" t="s">
        <v>20</v>
      </c>
      <c r="E5503" t="s">
        <v>39</v>
      </c>
      <c r="F5503">
        <v>0</v>
      </c>
      <c r="G5503">
        <v>0</v>
      </c>
      <c r="H5503">
        <v>19</v>
      </c>
      <c r="I5503" s="3">
        <v>7210.69</v>
      </c>
      <c r="J5503" s="3">
        <v>10861.87</v>
      </c>
      <c r="L5503">
        <v>7121</v>
      </c>
      <c r="M5503" t="s">
        <v>12682</v>
      </c>
      <c r="N5503" t="s">
        <v>30</v>
      </c>
      <c r="O5503" t="s">
        <v>31</v>
      </c>
      <c r="P5503" t="str">
        <f>"15206"</f>
        <v>15206</v>
      </c>
    </row>
    <row r="5504" spans="1:16" x14ac:dyDescent="0.25">
      <c r="A5504" t="str">
        <f>"1120173A00074    00"</f>
        <v>1120173A00074    00</v>
      </c>
      <c r="B5504" t="s">
        <v>12856</v>
      </c>
      <c r="C5504" t="s">
        <v>12857</v>
      </c>
      <c r="D5504" t="s">
        <v>57</v>
      </c>
      <c r="E5504" t="s">
        <v>39</v>
      </c>
      <c r="F5504">
        <v>0</v>
      </c>
      <c r="G5504">
        <v>0</v>
      </c>
      <c r="H5504">
        <v>1</v>
      </c>
      <c r="I5504" s="3">
        <v>20.86</v>
      </c>
      <c r="J5504" s="3">
        <v>0</v>
      </c>
      <c r="K5504" t="s">
        <v>12858</v>
      </c>
      <c r="L5504">
        <v>7135</v>
      </c>
      <c r="M5504" t="s">
        <v>12682</v>
      </c>
      <c r="N5504" t="s">
        <v>30</v>
      </c>
      <c r="O5504" t="s">
        <v>31</v>
      </c>
      <c r="P5504" t="str">
        <f>"15206"</f>
        <v>15206</v>
      </c>
    </row>
    <row r="5505" spans="1:16" x14ac:dyDescent="0.25">
      <c r="A5505" t="str">
        <f>"1120173A00079    00"</f>
        <v>1120173A00079    00</v>
      </c>
      <c r="B5505" t="s">
        <v>10828</v>
      </c>
      <c r="C5505" t="s">
        <v>12859</v>
      </c>
      <c r="D5505" t="s">
        <v>20</v>
      </c>
      <c r="E5505" t="s">
        <v>39</v>
      </c>
      <c r="F5505">
        <v>0</v>
      </c>
      <c r="G5505">
        <v>0</v>
      </c>
      <c r="H5505">
        <v>9</v>
      </c>
      <c r="I5505" s="3">
        <v>3184.43</v>
      </c>
      <c r="J5505" s="3">
        <v>2872.9</v>
      </c>
      <c r="L5505">
        <v>6818</v>
      </c>
      <c r="M5505" t="s">
        <v>10830</v>
      </c>
      <c r="N5505" t="s">
        <v>30</v>
      </c>
      <c r="O5505" t="s">
        <v>31</v>
      </c>
      <c r="P5505" t="str">
        <f>"15208"</f>
        <v>15208</v>
      </c>
    </row>
    <row r="5506" spans="1:16" x14ac:dyDescent="0.25">
      <c r="A5506" t="str">
        <f>"1120173A00094    00"</f>
        <v>1120173A00094    00</v>
      </c>
      <c r="B5506" t="s">
        <v>12860</v>
      </c>
      <c r="C5506" t="s">
        <v>12679</v>
      </c>
      <c r="E5506" t="s">
        <v>39</v>
      </c>
      <c r="F5506">
        <v>0</v>
      </c>
      <c r="G5506">
        <v>0</v>
      </c>
      <c r="H5506">
        <v>2</v>
      </c>
      <c r="I5506" s="3">
        <v>168.04</v>
      </c>
      <c r="J5506" s="3">
        <v>58.8</v>
      </c>
      <c r="K5506" t="s">
        <v>12861</v>
      </c>
      <c r="L5506">
        <v>7019</v>
      </c>
      <c r="M5506" t="s">
        <v>12682</v>
      </c>
      <c r="N5506" t="s">
        <v>30</v>
      </c>
      <c r="O5506" t="s">
        <v>31</v>
      </c>
      <c r="P5506" t="str">
        <f>"15206"</f>
        <v>15206</v>
      </c>
    </row>
    <row r="5507" spans="1:16" x14ac:dyDescent="0.25">
      <c r="A5507" t="str">
        <f>"1120173A00095    00"</f>
        <v>1120173A00095    00</v>
      </c>
      <c r="B5507" t="s">
        <v>12862</v>
      </c>
      <c r="C5507" t="s">
        <v>12679</v>
      </c>
      <c r="D5507" t="s">
        <v>20</v>
      </c>
      <c r="E5507" t="s">
        <v>39</v>
      </c>
      <c r="F5507">
        <v>0</v>
      </c>
      <c r="G5507">
        <v>0</v>
      </c>
      <c r="H5507">
        <v>12</v>
      </c>
      <c r="I5507" s="3">
        <v>1496.18</v>
      </c>
      <c r="J5507" s="3">
        <v>1457.39</v>
      </c>
      <c r="K5507" t="s">
        <v>12863</v>
      </c>
      <c r="L5507">
        <v>800</v>
      </c>
      <c r="M5507" t="s">
        <v>12864</v>
      </c>
      <c r="N5507" t="s">
        <v>30</v>
      </c>
      <c r="O5507" t="s">
        <v>31</v>
      </c>
      <c r="P5507" t="str">
        <f>"15235"</f>
        <v>15235</v>
      </c>
    </row>
    <row r="5508" spans="1:16" x14ac:dyDescent="0.25">
      <c r="A5508" t="str">
        <f>"1120173A00096    00"</f>
        <v>1120173A00096    00</v>
      </c>
      <c r="B5508" t="s">
        <v>12865</v>
      </c>
      <c r="C5508" t="s">
        <v>12679</v>
      </c>
      <c r="D5508" t="s">
        <v>20</v>
      </c>
      <c r="E5508" t="s">
        <v>39</v>
      </c>
      <c r="F5508">
        <v>0</v>
      </c>
      <c r="G5508">
        <v>0</v>
      </c>
      <c r="H5508">
        <v>13</v>
      </c>
      <c r="I5508" s="3">
        <v>2389.14</v>
      </c>
      <c r="J5508" s="3">
        <v>2727.25</v>
      </c>
      <c r="L5508">
        <v>11632</v>
      </c>
      <c r="M5508" t="s">
        <v>12866</v>
      </c>
      <c r="N5508" t="s">
        <v>30</v>
      </c>
      <c r="O5508" t="s">
        <v>31</v>
      </c>
      <c r="P5508" t="str">
        <f>"15235"</f>
        <v>15235</v>
      </c>
    </row>
    <row r="5509" spans="1:16" x14ac:dyDescent="0.25">
      <c r="A5509" t="str">
        <f>"1120173A00097    00"</f>
        <v>1120173A00097    00</v>
      </c>
      <c r="B5509" t="s">
        <v>12867</v>
      </c>
      <c r="C5509" t="s">
        <v>12679</v>
      </c>
      <c r="D5509" t="s">
        <v>20</v>
      </c>
      <c r="E5509" t="s">
        <v>39</v>
      </c>
      <c r="F5509">
        <v>0</v>
      </c>
      <c r="G5509">
        <v>0</v>
      </c>
      <c r="H5509">
        <v>17</v>
      </c>
      <c r="I5509" s="3">
        <v>6276.41</v>
      </c>
      <c r="J5509" s="3">
        <v>9077.74</v>
      </c>
      <c r="K5509" t="s">
        <v>12868</v>
      </c>
      <c r="L5509">
        <v>1000</v>
      </c>
      <c r="M5509" t="s">
        <v>614</v>
      </c>
      <c r="N5509" t="s">
        <v>30</v>
      </c>
      <c r="O5509" t="s">
        <v>31</v>
      </c>
      <c r="P5509" t="str">
        <f>"15222"</f>
        <v>15222</v>
      </c>
    </row>
    <row r="5510" spans="1:16" x14ac:dyDescent="0.25">
      <c r="A5510" t="str">
        <f>"1120173A00098    00"</f>
        <v>1120173A00098    00</v>
      </c>
      <c r="B5510" t="s">
        <v>12869</v>
      </c>
      <c r="C5510" t="s">
        <v>12679</v>
      </c>
      <c r="D5510" t="s">
        <v>20</v>
      </c>
      <c r="E5510" t="s">
        <v>39</v>
      </c>
      <c r="F5510">
        <v>0</v>
      </c>
      <c r="G5510">
        <v>0</v>
      </c>
      <c r="H5510">
        <v>17</v>
      </c>
      <c r="I5510" s="3">
        <v>7953.33</v>
      </c>
      <c r="J5510" s="3">
        <v>11114.55</v>
      </c>
      <c r="L5510">
        <v>7401</v>
      </c>
      <c r="M5510" t="s">
        <v>12045</v>
      </c>
      <c r="N5510" t="s">
        <v>30</v>
      </c>
      <c r="O5510" t="s">
        <v>31</v>
      </c>
      <c r="P5510" t="str">
        <f>"15208"</f>
        <v>15208</v>
      </c>
    </row>
    <row r="5511" spans="1:16" x14ac:dyDescent="0.25">
      <c r="A5511" t="str">
        <f>"1120173A00100    00"</f>
        <v>1120173A00100    00</v>
      </c>
      <c r="B5511" t="s">
        <v>12870</v>
      </c>
      <c r="C5511" t="s">
        <v>12679</v>
      </c>
      <c r="D5511" t="s">
        <v>20</v>
      </c>
      <c r="E5511" t="s">
        <v>39</v>
      </c>
      <c r="F5511">
        <v>0</v>
      </c>
      <c r="G5511">
        <v>0</v>
      </c>
      <c r="H5511">
        <v>16</v>
      </c>
      <c r="I5511" s="3">
        <v>3846.92</v>
      </c>
      <c r="J5511" s="3">
        <v>4360.72</v>
      </c>
      <c r="K5511" t="s">
        <v>12871</v>
      </c>
      <c r="L5511">
        <v>4248</v>
      </c>
      <c r="M5511" t="s">
        <v>12872</v>
      </c>
      <c r="N5511" t="s">
        <v>12873</v>
      </c>
      <c r="O5511" t="s">
        <v>370</v>
      </c>
      <c r="P5511" t="str">
        <f>"32837"</f>
        <v>32837</v>
      </c>
    </row>
    <row r="5512" spans="1:16" x14ac:dyDescent="0.25">
      <c r="A5512" t="str">
        <f>"1120173A00104    00"</f>
        <v>1120173A00104    00</v>
      </c>
      <c r="B5512" t="s">
        <v>12874</v>
      </c>
      <c r="C5512" t="s">
        <v>12875</v>
      </c>
      <c r="D5512" t="s">
        <v>20</v>
      </c>
      <c r="E5512" t="s">
        <v>39</v>
      </c>
      <c r="F5512">
        <v>0</v>
      </c>
      <c r="G5512">
        <v>0</v>
      </c>
      <c r="H5512">
        <v>7</v>
      </c>
      <c r="I5512" s="3">
        <v>5738.01</v>
      </c>
      <c r="J5512" s="3">
        <v>1655.51</v>
      </c>
      <c r="L5512">
        <v>7112</v>
      </c>
      <c r="M5512" t="s">
        <v>12682</v>
      </c>
      <c r="N5512" t="s">
        <v>30</v>
      </c>
      <c r="O5512" t="s">
        <v>31</v>
      </c>
      <c r="P5512" t="str">
        <f>"15206"</f>
        <v>15206</v>
      </c>
    </row>
    <row r="5513" spans="1:16" x14ac:dyDescent="0.25">
      <c r="A5513" t="str">
        <f>"1120173A00109    00"</f>
        <v>1120173A00109    00</v>
      </c>
      <c r="B5513" t="s">
        <v>12531</v>
      </c>
      <c r="C5513" t="s">
        <v>12876</v>
      </c>
      <c r="D5513" t="s">
        <v>20</v>
      </c>
      <c r="E5513" t="s">
        <v>21</v>
      </c>
      <c r="F5513">
        <v>0</v>
      </c>
      <c r="G5513">
        <v>0</v>
      </c>
      <c r="H5513">
        <v>1</v>
      </c>
      <c r="I5513" s="3">
        <v>1593.41</v>
      </c>
      <c r="J5513" s="3">
        <v>0</v>
      </c>
      <c r="K5513" t="s">
        <v>12533</v>
      </c>
      <c r="L5513">
        <v>46</v>
      </c>
      <c r="M5513" t="s">
        <v>913</v>
      </c>
      <c r="N5513" t="s">
        <v>914</v>
      </c>
      <c r="O5513" t="s">
        <v>200</v>
      </c>
      <c r="P5513" t="str">
        <f>"10952"</f>
        <v>10952</v>
      </c>
    </row>
    <row r="5514" spans="1:16" x14ac:dyDescent="0.25">
      <c r="A5514" t="str">
        <f>"1120173A00113    00"</f>
        <v>1120173A00113    00</v>
      </c>
      <c r="B5514" t="s">
        <v>11858</v>
      </c>
      <c r="C5514" t="s">
        <v>12877</v>
      </c>
      <c r="D5514" t="s">
        <v>20</v>
      </c>
      <c r="E5514" t="s">
        <v>21</v>
      </c>
      <c r="F5514">
        <v>0</v>
      </c>
      <c r="G5514">
        <v>0</v>
      </c>
      <c r="H5514">
        <v>1</v>
      </c>
      <c r="I5514" s="3">
        <v>857.7</v>
      </c>
      <c r="J5514" s="3">
        <v>0</v>
      </c>
      <c r="K5514" t="s">
        <v>11860</v>
      </c>
      <c r="L5514">
        <v>46</v>
      </c>
      <c r="M5514" t="s">
        <v>1451</v>
      </c>
      <c r="N5514" t="s">
        <v>914</v>
      </c>
      <c r="O5514" t="s">
        <v>200</v>
      </c>
      <c r="P5514" t="str">
        <f>"10952"</f>
        <v>10952</v>
      </c>
    </row>
    <row r="5515" spans="1:16" x14ac:dyDescent="0.25">
      <c r="A5515" t="str">
        <f>"1120173A00119    00"</f>
        <v>1120173A00119    00</v>
      </c>
      <c r="B5515" t="s">
        <v>12878</v>
      </c>
      <c r="C5515" t="s">
        <v>12679</v>
      </c>
      <c r="D5515" t="s">
        <v>20</v>
      </c>
      <c r="E5515" t="s">
        <v>39</v>
      </c>
      <c r="F5515">
        <v>0</v>
      </c>
      <c r="G5515">
        <v>0</v>
      </c>
      <c r="H5515">
        <v>19</v>
      </c>
      <c r="I5515" s="3">
        <v>210.88</v>
      </c>
      <c r="J5515" s="3">
        <v>189.11</v>
      </c>
      <c r="K5515" t="s">
        <v>12879</v>
      </c>
      <c r="L5515">
        <v>7110</v>
      </c>
      <c r="M5515" t="s">
        <v>585</v>
      </c>
      <c r="N5515" t="s">
        <v>30</v>
      </c>
      <c r="O5515" t="s">
        <v>31</v>
      </c>
      <c r="P5515" t="str">
        <f>"15208"</f>
        <v>15208</v>
      </c>
    </row>
    <row r="5516" spans="1:16" x14ac:dyDescent="0.25">
      <c r="A5516" t="str">
        <f>"1120173A00121    00"</f>
        <v>1120173A00121    00</v>
      </c>
      <c r="B5516" t="s">
        <v>12880</v>
      </c>
      <c r="C5516" t="s">
        <v>12881</v>
      </c>
      <c r="D5516" t="s">
        <v>20</v>
      </c>
      <c r="E5516" t="s">
        <v>39</v>
      </c>
      <c r="F5516">
        <v>0</v>
      </c>
      <c r="G5516">
        <v>0</v>
      </c>
      <c r="H5516">
        <v>16</v>
      </c>
      <c r="I5516" s="3">
        <v>8087.61</v>
      </c>
      <c r="J5516" s="3">
        <v>5953.56</v>
      </c>
      <c r="L5516">
        <v>7014</v>
      </c>
      <c r="M5516" t="s">
        <v>12682</v>
      </c>
      <c r="N5516" t="s">
        <v>30</v>
      </c>
      <c r="O5516" t="s">
        <v>31</v>
      </c>
      <c r="P5516" t="str">
        <f>"15206"</f>
        <v>15206</v>
      </c>
    </row>
    <row r="5517" spans="1:16" x14ac:dyDescent="0.25">
      <c r="A5517" t="str">
        <f>"1120173A00125    00"</f>
        <v>1120173A00125    00</v>
      </c>
      <c r="B5517" t="s">
        <v>12882</v>
      </c>
      <c r="C5517" t="s">
        <v>12883</v>
      </c>
      <c r="D5517" t="s">
        <v>20</v>
      </c>
      <c r="E5517" t="s">
        <v>39</v>
      </c>
      <c r="F5517">
        <v>0</v>
      </c>
      <c r="G5517">
        <v>0</v>
      </c>
      <c r="H5517">
        <v>5</v>
      </c>
      <c r="I5517" s="3">
        <v>1368.12</v>
      </c>
      <c r="J5517" s="3">
        <v>11.3</v>
      </c>
      <c r="L5517">
        <v>7004</v>
      </c>
      <c r="M5517" t="s">
        <v>12682</v>
      </c>
      <c r="N5517" t="s">
        <v>30</v>
      </c>
      <c r="O5517" t="s">
        <v>31</v>
      </c>
      <c r="P5517" t="str">
        <f>"15206"</f>
        <v>15206</v>
      </c>
    </row>
    <row r="5518" spans="1:16" x14ac:dyDescent="0.25">
      <c r="A5518" t="str">
        <f>"1120173A00128    00"</f>
        <v>1120173A00128    00</v>
      </c>
      <c r="B5518" t="s">
        <v>12884</v>
      </c>
      <c r="C5518" t="s">
        <v>12885</v>
      </c>
      <c r="E5518" t="s">
        <v>39</v>
      </c>
      <c r="F5518">
        <v>0</v>
      </c>
      <c r="G5518">
        <v>0</v>
      </c>
      <c r="H5518">
        <v>1</v>
      </c>
      <c r="I5518" s="3">
        <v>152.41999999999999</v>
      </c>
      <c r="J5518" s="3">
        <v>0</v>
      </c>
      <c r="L5518">
        <v>7000</v>
      </c>
      <c r="M5518" t="s">
        <v>12682</v>
      </c>
      <c r="N5518" t="s">
        <v>30</v>
      </c>
      <c r="O5518" t="s">
        <v>31</v>
      </c>
      <c r="P5518" t="str">
        <f>"15206"</f>
        <v>15206</v>
      </c>
    </row>
    <row r="5519" spans="1:16" x14ac:dyDescent="0.25">
      <c r="A5519" t="str">
        <f>"1120173A00142    00"</f>
        <v>1120173A00142    00</v>
      </c>
      <c r="B5519" t="s">
        <v>12886</v>
      </c>
      <c r="C5519" t="s">
        <v>12887</v>
      </c>
      <c r="D5519" t="s">
        <v>20</v>
      </c>
      <c r="E5519" t="s">
        <v>39</v>
      </c>
      <c r="F5519">
        <v>0</v>
      </c>
      <c r="G5519">
        <v>0</v>
      </c>
      <c r="H5519">
        <v>3</v>
      </c>
      <c r="I5519" s="3">
        <v>446.07</v>
      </c>
      <c r="J5519" s="3">
        <v>29.73</v>
      </c>
      <c r="K5519" t="s">
        <v>12888</v>
      </c>
      <c r="L5519">
        <v>6979</v>
      </c>
      <c r="M5519" t="s">
        <v>2507</v>
      </c>
      <c r="N5519" t="s">
        <v>30</v>
      </c>
      <c r="O5519" t="s">
        <v>31</v>
      </c>
      <c r="P5519" t="str">
        <f>"15206"</f>
        <v>15206</v>
      </c>
    </row>
    <row r="5520" spans="1:16" x14ac:dyDescent="0.25">
      <c r="A5520" t="str">
        <f>"1120173A00144    00"</f>
        <v>1120173A00144    00</v>
      </c>
      <c r="B5520" t="s">
        <v>12889</v>
      </c>
      <c r="C5520" t="s">
        <v>12890</v>
      </c>
      <c r="E5520" t="s">
        <v>39</v>
      </c>
      <c r="F5520">
        <v>0</v>
      </c>
      <c r="G5520">
        <v>0</v>
      </c>
      <c r="H5520">
        <v>2</v>
      </c>
      <c r="I5520" s="3">
        <v>277.08999999999997</v>
      </c>
      <c r="J5520" s="3">
        <v>378.77</v>
      </c>
      <c r="L5520">
        <v>6985</v>
      </c>
      <c r="M5520" t="s">
        <v>2507</v>
      </c>
      <c r="N5520" t="s">
        <v>30</v>
      </c>
      <c r="O5520" t="s">
        <v>31</v>
      </c>
      <c r="P5520" t="str">
        <f>"15206"</f>
        <v>15206</v>
      </c>
    </row>
    <row r="5521" spans="1:16" x14ac:dyDescent="0.25">
      <c r="A5521" t="str">
        <f>"1120173A00147    00"</f>
        <v>1120173A00147    00</v>
      </c>
      <c r="B5521" t="s">
        <v>2936</v>
      </c>
      <c r="C5521" t="s">
        <v>12891</v>
      </c>
      <c r="D5521" t="s">
        <v>20</v>
      </c>
      <c r="E5521" t="s">
        <v>39</v>
      </c>
      <c r="F5521">
        <v>0</v>
      </c>
      <c r="G5521">
        <v>0</v>
      </c>
      <c r="H5521">
        <v>16</v>
      </c>
      <c r="I5521" s="3">
        <v>7484.4</v>
      </c>
      <c r="J5521" s="3">
        <v>7884.55</v>
      </c>
      <c r="L5521">
        <v>6901</v>
      </c>
      <c r="M5521" t="s">
        <v>872</v>
      </c>
      <c r="N5521" t="s">
        <v>30</v>
      </c>
      <c r="O5521" t="s">
        <v>31</v>
      </c>
      <c r="P5521" t="str">
        <f>"15208"</f>
        <v>15208</v>
      </c>
    </row>
    <row r="5522" spans="1:16" x14ac:dyDescent="0.25">
      <c r="A5522" t="str">
        <f>"1120173A00150    00"</f>
        <v>1120173A00150    00</v>
      </c>
      <c r="B5522" t="s">
        <v>12892</v>
      </c>
      <c r="C5522" t="s">
        <v>12893</v>
      </c>
      <c r="D5522" t="s">
        <v>20</v>
      </c>
      <c r="E5522" t="s">
        <v>39</v>
      </c>
      <c r="F5522">
        <v>0</v>
      </c>
      <c r="G5522">
        <v>0</v>
      </c>
      <c r="H5522">
        <v>2</v>
      </c>
      <c r="I5522" s="3">
        <v>23.28</v>
      </c>
      <c r="J5522" s="3">
        <v>0</v>
      </c>
      <c r="L5522">
        <v>7001</v>
      </c>
      <c r="M5522" t="s">
        <v>2507</v>
      </c>
      <c r="N5522" t="s">
        <v>30</v>
      </c>
      <c r="O5522" t="s">
        <v>31</v>
      </c>
      <c r="P5522" t="str">
        <f>"15206"</f>
        <v>15206</v>
      </c>
    </row>
    <row r="5523" spans="1:16" x14ac:dyDescent="0.25">
      <c r="A5523" t="str">
        <f>"1120173A00154    00"</f>
        <v>1120173A00154    00</v>
      </c>
      <c r="B5523" t="s">
        <v>11330</v>
      </c>
      <c r="C5523" t="s">
        <v>11125</v>
      </c>
      <c r="D5523" t="s">
        <v>20</v>
      </c>
      <c r="E5523" t="s">
        <v>39</v>
      </c>
      <c r="F5523">
        <v>0</v>
      </c>
      <c r="G5523">
        <v>0</v>
      </c>
      <c r="H5523">
        <v>19</v>
      </c>
      <c r="I5523" s="3">
        <v>9763.08</v>
      </c>
      <c r="J5523" s="3">
        <v>14035.53</v>
      </c>
      <c r="K5523" t="s">
        <v>11332</v>
      </c>
      <c r="L5523">
        <v>7013</v>
      </c>
      <c r="M5523" t="s">
        <v>2507</v>
      </c>
      <c r="N5523" t="s">
        <v>30</v>
      </c>
      <c r="O5523" t="s">
        <v>31</v>
      </c>
      <c r="P5523" t="str">
        <f>"15206"</f>
        <v>15206</v>
      </c>
    </row>
    <row r="5524" spans="1:16" x14ac:dyDescent="0.25">
      <c r="A5524" t="str">
        <f>"1120173A00155    00"</f>
        <v>1120173A00155    00</v>
      </c>
      <c r="B5524" t="s">
        <v>12894</v>
      </c>
      <c r="C5524" t="s">
        <v>12895</v>
      </c>
      <c r="D5524" t="s">
        <v>20</v>
      </c>
      <c r="E5524" t="s">
        <v>39</v>
      </c>
      <c r="F5524">
        <v>0</v>
      </c>
      <c r="G5524">
        <v>0</v>
      </c>
      <c r="H5524">
        <v>2</v>
      </c>
      <c r="I5524" s="3">
        <v>1124.17</v>
      </c>
      <c r="J5524" s="3">
        <v>120.28</v>
      </c>
      <c r="L5524">
        <v>7013</v>
      </c>
      <c r="M5524" t="s">
        <v>2507</v>
      </c>
      <c r="N5524" t="s">
        <v>30</v>
      </c>
      <c r="O5524" t="s">
        <v>31</v>
      </c>
      <c r="P5524" t="str">
        <f>"15206"</f>
        <v>15206</v>
      </c>
    </row>
    <row r="5525" spans="1:16" x14ac:dyDescent="0.25">
      <c r="A5525" t="str">
        <f>"1120173A00156    00"</f>
        <v>1120173A00156    00</v>
      </c>
      <c r="B5525" t="s">
        <v>12896</v>
      </c>
      <c r="C5525" t="s">
        <v>12897</v>
      </c>
      <c r="D5525" t="s">
        <v>20</v>
      </c>
      <c r="E5525" t="s">
        <v>39</v>
      </c>
      <c r="F5525">
        <v>0</v>
      </c>
      <c r="G5525">
        <v>0</v>
      </c>
      <c r="H5525">
        <v>10</v>
      </c>
      <c r="I5525" s="3">
        <v>2679.7</v>
      </c>
      <c r="J5525" s="3">
        <v>1356.08</v>
      </c>
      <c r="L5525">
        <v>672</v>
      </c>
      <c r="M5525" t="s">
        <v>12898</v>
      </c>
      <c r="N5525" t="s">
        <v>12899</v>
      </c>
      <c r="O5525" t="s">
        <v>31</v>
      </c>
      <c r="P5525" t="str">
        <f>"15148"</f>
        <v>15148</v>
      </c>
    </row>
    <row r="5526" spans="1:16" x14ac:dyDescent="0.25">
      <c r="A5526" t="str">
        <f>"1120173A00159    00"</f>
        <v>1120173A00159    00</v>
      </c>
      <c r="B5526" t="s">
        <v>12900</v>
      </c>
      <c r="C5526" t="s">
        <v>12901</v>
      </c>
      <c r="D5526" t="s">
        <v>20</v>
      </c>
      <c r="E5526" t="s">
        <v>39</v>
      </c>
      <c r="F5526">
        <v>0</v>
      </c>
      <c r="G5526">
        <v>0</v>
      </c>
      <c r="H5526">
        <v>2</v>
      </c>
      <c r="I5526" s="3">
        <v>783.15</v>
      </c>
      <c r="J5526" s="3">
        <v>0</v>
      </c>
      <c r="K5526" t="s">
        <v>12902</v>
      </c>
      <c r="L5526">
        <v>1610</v>
      </c>
      <c r="M5526" t="s">
        <v>12903</v>
      </c>
      <c r="N5526" t="s">
        <v>30</v>
      </c>
      <c r="O5526" t="s">
        <v>31</v>
      </c>
      <c r="P5526" t="str">
        <f>"15206"</f>
        <v>15206</v>
      </c>
    </row>
    <row r="5527" spans="1:16" x14ac:dyDescent="0.25">
      <c r="A5527" t="str">
        <f>"1120173A00168    00"</f>
        <v>1120173A00168    00</v>
      </c>
      <c r="B5527" t="s">
        <v>12904</v>
      </c>
      <c r="C5527" t="s">
        <v>12905</v>
      </c>
      <c r="D5527" t="s">
        <v>20</v>
      </c>
      <c r="E5527" t="s">
        <v>39</v>
      </c>
      <c r="F5527">
        <v>0</v>
      </c>
      <c r="G5527">
        <v>0</v>
      </c>
      <c r="H5527">
        <v>19</v>
      </c>
      <c r="I5527" s="3">
        <v>18791.060000000001</v>
      </c>
      <c r="J5527" s="3">
        <v>20800.71</v>
      </c>
      <c r="L5527">
        <v>7033</v>
      </c>
      <c r="M5527" t="s">
        <v>2507</v>
      </c>
      <c r="N5527" t="s">
        <v>30</v>
      </c>
      <c r="O5527" t="s">
        <v>31</v>
      </c>
      <c r="P5527" t="str">
        <f>"15206"</f>
        <v>15206</v>
      </c>
    </row>
    <row r="5528" spans="1:16" x14ac:dyDescent="0.25">
      <c r="A5528" t="str">
        <f>"1120173A00172    00"</f>
        <v>1120173A00172    00</v>
      </c>
      <c r="B5528" t="s">
        <v>12906</v>
      </c>
      <c r="C5528" t="s">
        <v>12907</v>
      </c>
      <c r="D5528" t="s">
        <v>20</v>
      </c>
      <c r="E5528" t="s">
        <v>39</v>
      </c>
      <c r="F5528">
        <v>0</v>
      </c>
      <c r="G5528">
        <v>0</v>
      </c>
      <c r="H5528">
        <v>8</v>
      </c>
      <c r="I5528" s="3">
        <v>5574.44</v>
      </c>
      <c r="J5528" s="3">
        <v>1824.06</v>
      </c>
      <c r="L5528">
        <v>9502</v>
      </c>
      <c r="M5528" t="s">
        <v>12908</v>
      </c>
      <c r="N5528" t="s">
        <v>1183</v>
      </c>
      <c r="O5528" t="s">
        <v>1184</v>
      </c>
      <c r="P5528" t="str">
        <f>"20772"</f>
        <v>20772</v>
      </c>
    </row>
    <row r="5529" spans="1:16" x14ac:dyDescent="0.25">
      <c r="A5529" t="str">
        <f>"1120173A00174    00"</f>
        <v>1120173A00174    00</v>
      </c>
      <c r="B5529" t="s">
        <v>12909</v>
      </c>
      <c r="C5529" t="s">
        <v>12910</v>
      </c>
      <c r="D5529" t="s">
        <v>20</v>
      </c>
      <c r="E5529" t="s">
        <v>39</v>
      </c>
      <c r="F5529">
        <v>0</v>
      </c>
      <c r="G5529">
        <v>0</v>
      </c>
      <c r="H5529">
        <v>2</v>
      </c>
      <c r="I5529" s="3">
        <v>1810.72</v>
      </c>
      <c r="J5529" s="3">
        <v>0</v>
      </c>
      <c r="K5529" t="s">
        <v>12911</v>
      </c>
      <c r="L5529">
        <v>412</v>
      </c>
      <c r="M5529" t="s">
        <v>221</v>
      </c>
      <c r="N5529" t="s">
        <v>30</v>
      </c>
      <c r="O5529" t="s">
        <v>31</v>
      </c>
      <c r="P5529" t="str">
        <f>"15219"</f>
        <v>15219</v>
      </c>
    </row>
    <row r="5530" spans="1:16" x14ac:dyDescent="0.25">
      <c r="A5530" t="str">
        <f>"1120173A00197    00"</f>
        <v>1120173A00197    00</v>
      </c>
      <c r="B5530" t="s">
        <v>12912</v>
      </c>
      <c r="C5530" t="s">
        <v>12913</v>
      </c>
      <c r="E5530" t="s">
        <v>39</v>
      </c>
      <c r="F5530">
        <v>0</v>
      </c>
      <c r="G5530">
        <v>0</v>
      </c>
      <c r="H5530">
        <v>2</v>
      </c>
      <c r="I5530" s="3">
        <v>71.14</v>
      </c>
      <c r="J5530" s="3">
        <v>2.48</v>
      </c>
      <c r="L5530">
        <v>1345</v>
      </c>
      <c r="M5530" t="s">
        <v>11059</v>
      </c>
      <c r="N5530" t="s">
        <v>30</v>
      </c>
      <c r="O5530" t="s">
        <v>31</v>
      </c>
      <c r="P5530" t="str">
        <f>"15206"</f>
        <v>15206</v>
      </c>
    </row>
    <row r="5531" spans="1:16" x14ac:dyDescent="0.25">
      <c r="A5531" t="str">
        <f>"1120173A00198    00"</f>
        <v>1120173A00198    00</v>
      </c>
      <c r="B5531" t="s">
        <v>12914</v>
      </c>
      <c r="C5531" t="s">
        <v>12915</v>
      </c>
      <c r="E5531" t="s">
        <v>39</v>
      </c>
      <c r="F5531">
        <v>0</v>
      </c>
      <c r="G5531">
        <v>0</v>
      </c>
      <c r="H5531">
        <v>3</v>
      </c>
      <c r="I5531" s="3">
        <v>941.68</v>
      </c>
      <c r="J5531" s="3">
        <v>287.95</v>
      </c>
      <c r="L5531">
        <v>1347</v>
      </c>
      <c r="M5531" t="s">
        <v>11059</v>
      </c>
      <c r="N5531" t="s">
        <v>30</v>
      </c>
      <c r="O5531" t="s">
        <v>31</v>
      </c>
      <c r="P5531" t="str">
        <f>"15206"</f>
        <v>15206</v>
      </c>
    </row>
    <row r="5532" spans="1:16" x14ac:dyDescent="0.25">
      <c r="A5532" t="str">
        <f>"1120173A00199    00"</f>
        <v>1120173A00199    00</v>
      </c>
      <c r="B5532" t="s">
        <v>12916</v>
      </c>
      <c r="C5532" t="s">
        <v>12917</v>
      </c>
      <c r="D5532" t="s">
        <v>20</v>
      </c>
      <c r="E5532" t="s">
        <v>39</v>
      </c>
      <c r="F5532">
        <v>0</v>
      </c>
      <c r="G5532">
        <v>0</v>
      </c>
      <c r="H5532">
        <v>3</v>
      </c>
      <c r="I5532" s="3">
        <v>391.57</v>
      </c>
      <c r="J5532" s="3">
        <v>12.32</v>
      </c>
      <c r="L5532">
        <v>1349</v>
      </c>
      <c r="M5532" t="s">
        <v>11059</v>
      </c>
      <c r="N5532" t="s">
        <v>30</v>
      </c>
      <c r="O5532" t="s">
        <v>31</v>
      </c>
      <c r="P5532" t="str">
        <f>"15206"</f>
        <v>15206</v>
      </c>
    </row>
    <row r="5533" spans="1:16" x14ac:dyDescent="0.25">
      <c r="A5533" t="str">
        <f>"1120173A00202    00"</f>
        <v>1120173A00202    00</v>
      </c>
      <c r="B5533" t="s">
        <v>12918</v>
      </c>
      <c r="C5533" t="s">
        <v>12919</v>
      </c>
      <c r="E5533" t="s">
        <v>39</v>
      </c>
      <c r="F5533">
        <v>0</v>
      </c>
      <c r="G5533">
        <v>0</v>
      </c>
      <c r="H5533">
        <v>1</v>
      </c>
      <c r="I5533" s="3">
        <v>779.57</v>
      </c>
      <c r="J5533" s="3">
        <v>0</v>
      </c>
      <c r="L5533">
        <v>1810</v>
      </c>
      <c r="M5533" t="s">
        <v>12920</v>
      </c>
      <c r="N5533" t="s">
        <v>30</v>
      </c>
      <c r="O5533" t="s">
        <v>31</v>
      </c>
      <c r="P5533" t="str">
        <f>"15219"</f>
        <v>15219</v>
      </c>
    </row>
    <row r="5534" spans="1:16" x14ac:dyDescent="0.25">
      <c r="A5534" t="str">
        <f>"1120173A00204    00"</f>
        <v>1120173A00204    00</v>
      </c>
      <c r="B5534" t="s">
        <v>12921</v>
      </c>
      <c r="C5534" t="s">
        <v>12922</v>
      </c>
      <c r="D5534" t="s">
        <v>20</v>
      </c>
      <c r="E5534" t="s">
        <v>39</v>
      </c>
      <c r="F5534">
        <v>0</v>
      </c>
      <c r="G5534">
        <v>0</v>
      </c>
      <c r="H5534">
        <v>3</v>
      </c>
      <c r="I5534" s="3">
        <v>901.56</v>
      </c>
      <c r="J5534" s="3">
        <v>4.18</v>
      </c>
      <c r="K5534" t="s">
        <v>12923</v>
      </c>
      <c r="M5534" t="s">
        <v>2628</v>
      </c>
      <c r="N5534" t="s">
        <v>30</v>
      </c>
      <c r="O5534" t="s">
        <v>31</v>
      </c>
      <c r="P5534" t="str">
        <f>"15213"</f>
        <v>15213</v>
      </c>
    </row>
    <row r="5535" spans="1:16" x14ac:dyDescent="0.25">
      <c r="A5535" t="str">
        <f>"1120173A00205    00"</f>
        <v>1120173A00205    00</v>
      </c>
      <c r="B5535" t="s">
        <v>12921</v>
      </c>
      <c r="C5535" t="s">
        <v>12924</v>
      </c>
      <c r="D5535" t="s">
        <v>20</v>
      </c>
      <c r="E5535" t="s">
        <v>39</v>
      </c>
      <c r="F5535">
        <v>0</v>
      </c>
      <c r="G5535">
        <v>0</v>
      </c>
      <c r="H5535">
        <v>3</v>
      </c>
      <c r="I5535" s="3">
        <v>901.56</v>
      </c>
      <c r="J5535" s="3">
        <v>4.18</v>
      </c>
      <c r="K5535" t="s">
        <v>12923</v>
      </c>
      <c r="M5535" t="s">
        <v>2628</v>
      </c>
      <c r="N5535" t="s">
        <v>30</v>
      </c>
      <c r="O5535" t="s">
        <v>31</v>
      </c>
      <c r="P5535" t="str">
        <f>"15213"</f>
        <v>15213</v>
      </c>
    </row>
    <row r="5536" spans="1:16" x14ac:dyDescent="0.25">
      <c r="A5536" t="str">
        <f>"1120173A00210    00"</f>
        <v>1120173A00210    00</v>
      </c>
      <c r="B5536" t="s">
        <v>12925</v>
      </c>
      <c r="C5536" t="s">
        <v>12926</v>
      </c>
      <c r="D5536" t="s">
        <v>20</v>
      </c>
      <c r="E5536" t="s">
        <v>39</v>
      </c>
      <c r="F5536">
        <v>0</v>
      </c>
      <c r="G5536">
        <v>0</v>
      </c>
      <c r="H5536">
        <v>11</v>
      </c>
      <c r="I5536" s="3">
        <v>6929.87</v>
      </c>
      <c r="J5536" s="3">
        <v>863.98</v>
      </c>
      <c r="L5536">
        <v>1375</v>
      </c>
      <c r="M5536" t="s">
        <v>11059</v>
      </c>
      <c r="N5536" t="s">
        <v>30</v>
      </c>
      <c r="O5536" t="s">
        <v>31</v>
      </c>
      <c r="P5536" t="str">
        <f>"15206"</f>
        <v>15206</v>
      </c>
    </row>
    <row r="5537" spans="1:16" x14ac:dyDescent="0.25">
      <c r="A5537" t="str">
        <f>"1120173A00214    00"</f>
        <v>1120173A00214    00</v>
      </c>
      <c r="B5537" t="s">
        <v>12927</v>
      </c>
      <c r="C5537" t="s">
        <v>11193</v>
      </c>
      <c r="D5537" t="s">
        <v>20</v>
      </c>
      <c r="E5537" t="s">
        <v>39</v>
      </c>
      <c r="F5537">
        <v>0</v>
      </c>
      <c r="G5537">
        <v>0</v>
      </c>
      <c r="H5537">
        <v>19</v>
      </c>
      <c r="I5537" s="3">
        <v>6449.67</v>
      </c>
      <c r="J5537" s="3">
        <v>8938.3799999999992</v>
      </c>
      <c r="L5537">
        <v>1381</v>
      </c>
      <c r="M5537" t="s">
        <v>11059</v>
      </c>
      <c r="N5537" t="s">
        <v>30</v>
      </c>
      <c r="O5537" t="s">
        <v>31</v>
      </c>
      <c r="P5537" t="str">
        <f>"15206"</f>
        <v>15206</v>
      </c>
    </row>
    <row r="5538" spans="1:16" x14ac:dyDescent="0.25">
      <c r="A5538" t="str">
        <f>"1120173A00244    00"</f>
        <v>1120173A00244    00</v>
      </c>
      <c r="B5538" t="s">
        <v>12928</v>
      </c>
      <c r="C5538" t="s">
        <v>11125</v>
      </c>
      <c r="D5538" t="s">
        <v>20</v>
      </c>
      <c r="E5538" t="s">
        <v>39</v>
      </c>
      <c r="F5538">
        <v>0</v>
      </c>
      <c r="G5538">
        <v>0</v>
      </c>
      <c r="H5538">
        <v>12</v>
      </c>
      <c r="I5538" s="3">
        <v>312.91000000000003</v>
      </c>
      <c r="J5538" s="3">
        <v>76.540000000000006</v>
      </c>
      <c r="L5538">
        <v>751</v>
      </c>
      <c r="M5538" t="s">
        <v>12929</v>
      </c>
      <c r="N5538" t="s">
        <v>30</v>
      </c>
      <c r="O5538" t="s">
        <v>31</v>
      </c>
      <c r="P5538" t="str">
        <f>"15221"</f>
        <v>15221</v>
      </c>
    </row>
    <row r="5539" spans="1:16" x14ac:dyDescent="0.25">
      <c r="A5539" t="str">
        <f>"1120173A00245    00"</f>
        <v>1120173A00245    00</v>
      </c>
      <c r="B5539" t="s">
        <v>12928</v>
      </c>
      <c r="C5539" t="s">
        <v>11125</v>
      </c>
      <c r="D5539" t="s">
        <v>20</v>
      </c>
      <c r="E5539" t="s">
        <v>39</v>
      </c>
      <c r="F5539">
        <v>0</v>
      </c>
      <c r="G5539">
        <v>0</v>
      </c>
      <c r="H5539">
        <v>3</v>
      </c>
      <c r="I5539" s="3">
        <v>154.41</v>
      </c>
      <c r="J5539" s="3">
        <v>10.3</v>
      </c>
      <c r="L5539">
        <v>750</v>
      </c>
      <c r="M5539" t="s">
        <v>12929</v>
      </c>
      <c r="N5539" t="s">
        <v>30</v>
      </c>
      <c r="O5539" t="s">
        <v>31</v>
      </c>
      <c r="P5539" t="str">
        <f>"15221"</f>
        <v>15221</v>
      </c>
    </row>
    <row r="5540" spans="1:16" x14ac:dyDescent="0.25">
      <c r="A5540" t="str">
        <f>"1120173A00251    00"</f>
        <v>1120173A00251    00</v>
      </c>
      <c r="B5540" t="s">
        <v>12930</v>
      </c>
      <c r="C5540" t="s">
        <v>12931</v>
      </c>
      <c r="D5540" t="s">
        <v>20</v>
      </c>
      <c r="E5540" t="s">
        <v>39</v>
      </c>
      <c r="F5540">
        <v>0</v>
      </c>
      <c r="G5540">
        <v>0</v>
      </c>
      <c r="H5540">
        <v>19</v>
      </c>
      <c r="I5540" s="3">
        <v>613.86</v>
      </c>
      <c r="J5540" s="3">
        <v>696.24</v>
      </c>
      <c r="K5540" t="s">
        <v>1037</v>
      </c>
      <c r="L5540">
        <v>3446</v>
      </c>
      <c r="M5540" t="s">
        <v>3510</v>
      </c>
      <c r="N5540" t="s">
        <v>30</v>
      </c>
      <c r="O5540" t="s">
        <v>31</v>
      </c>
      <c r="P5540" t="str">
        <f>"15213"</f>
        <v>15213</v>
      </c>
    </row>
    <row r="5541" spans="1:16" x14ac:dyDescent="0.25">
      <c r="A5541" t="str">
        <f>"1120173A00256    00"</f>
        <v>1120173A00256    00</v>
      </c>
      <c r="B5541" t="s">
        <v>12932</v>
      </c>
      <c r="C5541" t="s">
        <v>12933</v>
      </c>
      <c r="D5541" t="s">
        <v>20</v>
      </c>
      <c r="E5541" t="s">
        <v>39</v>
      </c>
      <c r="F5541">
        <v>0</v>
      </c>
      <c r="G5541">
        <v>0</v>
      </c>
      <c r="H5541">
        <v>18</v>
      </c>
      <c r="I5541" s="3">
        <v>8307.49</v>
      </c>
      <c r="J5541" s="3">
        <v>7747.62</v>
      </c>
      <c r="L5541">
        <v>6019</v>
      </c>
      <c r="M5541" t="s">
        <v>12934</v>
      </c>
      <c r="N5541" t="s">
        <v>1046</v>
      </c>
      <c r="O5541" t="s">
        <v>31</v>
      </c>
      <c r="P5541" t="str">
        <f>"15147"</f>
        <v>15147</v>
      </c>
    </row>
    <row r="5542" spans="1:16" x14ac:dyDescent="0.25">
      <c r="A5542" t="str">
        <f>"1120173A00258    00"</f>
        <v>1120173A00258    00</v>
      </c>
      <c r="B5542" t="s">
        <v>12935</v>
      </c>
      <c r="C5542" t="s">
        <v>12936</v>
      </c>
      <c r="D5542" t="s">
        <v>20</v>
      </c>
      <c r="E5542" t="s">
        <v>39</v>
      </c>
      <c r="F5542">
        <v>0</v>
      </c>
      <c r="G5542">
        <v>0</v>
      </c>
      <c r="H5542">
        <v>10</v>
      </c>
      <c r="I5542" s="3">
        <v>4123.2</v>
      </c>
      <c r="J5542" s="3">
        <v>1420.85</v>
      </c>
      <c r="L5542">
        <v>31</v>
      </c>
      <c r="M5542" t="s">
        <v>12937</v>
      </c>
      <c r="N5542" t="s">
        <v>10800</v>
      </c>
      <c r="O5542" t="s">
        <v>31</v>
      </c>
      <c r="P5542" t="str">
        <f>"15065"</f>
        <v>15065</v>
      </c>
    </row>
    <row r="5543" spans="1:16" x14ac:dyDescent="0.25">
      <c r="A5543" t="str">
        <f>"1120173A00263    00"</f>
        <v>1120173A00263    00</v>
      </c>
      <c r="B5543" t="s">
        <v>12938</v>
      </c>
      <c r="C5543" t="s">
        <v>12931</v>
      </c>
      <c r="D5543" t="s">
        <v>20</v>
      </c>
      <c r="E5543" t="s">
        <v>39</v>
      </c>
      <c r="F5543">
        <v>0</v>
      </c>
      <c r="G5543">
        <v>0</v>
      </c>
      <c r="H5543">
        <v>17</v>
      </c>
      <c r="I5543" s="3">
        <v>291.35000000000002</v>
      </c>
      <c r="J5543" s="3">
        <v>356.49</v>
      </c>
      <c r="L5543">
        <v>475</v>
      </c>
      <c r="M5543" t="s">
        <v>12939</v>
      </c>
      <c r="N5543" t="s">
        <v>12940</v>
      </c>
      <c r="O5543" t="s">
        <v>2928</v>
      </c>
      <c r="P5543" t="str">
        <f>"83001"</f>
        <v>83001</v>
      </c>
    </row>
    <row r="5544" spans="1:16" x14ac:dyDescent="0.25">
      <c r="A5544" t="str">
        <f>"1120173A00264    00"</f>
        <v>1120173A00264    00</v>
      </c>
      <c r="B5544" t="s">
        <v>12941</v>
      </c>
      <c r="C5544" t="s">
        <v>11095</v>
      </c>
      <c r="D5544" t="s">
        <v>20</v>
      </c>
      <c r="E5544" t="s">
        <v>39</v>
      </c>
      <c r="F5544">
        <v>0</v>
      </c>
      <c r="G5544">
        <v>0</v>
      </c>
      <c r="H5544">
        <v>19</v>
      </c>
      <c r="I5544" s="3">
        <v>378.35</v>
      </c>
      <c r="J5544" s="3">
        <v>424.97</v>
      </c>
      <c r="L5544">
        <v>6617</v>
      </c>
      <c r="M5544" t="s">
        <v>12942</v>
      </c>
      <c r="N5544" t="s">
        <v>30</v>
      </c>
      <c r="O5544" t="s">
        <v>31</v>
      </c>
      <c r="P5544" t="str">
        <f>"15235"</f>
        <v>15235</v>
      </c>
    </row>
    <row r="5545" spans="1:16" x14ac:dyDescent="0.25">
      <c r="A5545" t="str">
        <f>"1120173A00265    00"</f>
        <v>1120173A00265    00</v>
      </c>
      <c r="B5545" t="s">
        <v>12943</v>
      </c>
      <c r="C5545" t="s">
        <v>11095</v>
      </c>
      <c r="D5545" t="s">
        <v>20</v>
      </c>
      <c r="E5545" t="s">
        <v>39</v>
      </c>
      <c r="F5545">
        <v>0</v>
      </c>
      <c r="G5545">
        <v>0</v>
      </c>
      <c r="H5545">
        <v>19</v>
      </c>
      <c r="I5545" s="3">
        <v>378.35</v>
      </c>
      <c r="J5545" s="3">
        <v>424.97</v>
      </c>
      <c r="L5545">
        <v>6915</v>
      </c>
      <c r="M5545" t="s">
        <v>11435</v>
      </c>
      <c r="N5545" t="s">
        <v>30</v>
      </c>
      <c r="O5545" t="s">
        <v>31</v>
      </c>
      <c r="P5545" t="str">
        <f>"15208"</f>
        <v>15208</v>
      </c>
    </row>
    <row r="5546" spans="1:16" x14ac:dyDescent="0.25">
      <c r="A5546" t="str">
        <f>"1120173A00276    00"</f>
        <v>1120173A00276    00</v>
      </c>
      <c r="B5546" t="s">
        <v>12944</v>
      </c>
      <c r="C5546" t="s">
        <v>12945</v>
      </c>
      <c r="D5546" t="s">
        <v>20</v>
      </c>
      <c r="E5546" t="s">
        <v>39</v>
      </c>
      <c r="F5546">
        <v>0</v>
      </c>
      <c r="G5546">
        <v>0</v>
      </c>
      <c r="H5546">
        <v>16</v>
      </c>
      <c r="I5546" s="3">
        <v>6158.2</v>
      </c>
      <c r="J5546" s="3">
        <v>3561.98</v>
      </c>
      <c r="L5546">
        <v>7168</v>
      </c>
      <c r="M5546" t="s">
        <v>3702</v>
      </c>
      <c r="N5546" t="s">
        <v>30</v>
      </c>
      <c r="O5546" t="s">
        <v>31</v>
      </c>
      <c r="P5546" t="str">
        <f>"15206"</f>
        <v>15206</v>
      </c>
    </row>
    <row r="5547" spans="1:16" x14ac:dyDescent="0.25">
      <c r="A5547" t="str">
        <f>"1120173A00278    00"</f>
        <v>1120173A00278    00</v>
      </c>
      <c r="B5547" t="s">
        <v>12946</v>
      </c>
      <c r="C5547" t="s">
        <v>12931</v>
      </c>
      <c r="D5547" t="s">
        <v>20</v>
      </c>
      <c r="E5547" t="s">
        <v>39</v>
      </c>
      <c r="F5547">
        <v>0</v>
      </c>
      <c r="G5547">
        <v>0</v>
      </c>
      <c r="H5547">
        <v>2</v>
      </c>
      <c r="I5547" s="3">
        <v>139.35</v>
      </c>
      <c r="J5547" s="3">
        <v>0</v>
      </c>
      <c r="K5547" t="s">
        <v>12947</v>
      </c>
      <c r="L5547">
        <v>740</v>
      </c>
      <c r="M5547" t="s">
        <v>3600</v>
      </c>
      <c r="N5547" t="s">
        <v>30</v>
      </c>
      <c r="O5547" t="s">
        <v>31</v>
      </c>
      <c r="P5547" t="str">
        <f>"15221"</f>
        <v>15221</v>
      </c>
    </row>
    <row r="5548" spans="1:16" x14ac:dyDescent="0.25">
      <c r="A5548" t="str">
        <f>"1120173A00283A   00"</f>
        <v>1120173A00283A   00</v>
      </c>
      <c r="B5548" t="s">
        <v>12948</v>
      </c>
      <c r="C5548" t="s">
        <v>12949</v>
      </c>
      <c r="D5548" t="s">
        <v>20</v>
      </c>
      <c r="E5548" t="s">
        <v>39</v>
      </c>
      <c r="F5548">
        <v>0</v>
      </c>
      <c r="G5548">
        <v>0</v>
      </c>
      <c r="H5548">
        <v>1</v>
      </c>
      <c r="I5548" s="3">
        <v>331.66</v>
      </c>
      <c r="J5548" s="3">
        <v>0</v>
      </c>
      <c r="K5548" t="s">
        <v>12950</v>
      </c>
      <c r="L5548">
        <v>7016</v>
      </c>
      <c r="M5548" t="s">
        <v>2507</v>
      </c>
      <c r="N5548" t="s">
        <v>30</v>
      </c>
      <c r="O5548" t="s">
        <v>31</v>
      </c>
      <c r="P5548" t="str">
        <f>"15206"</f>
        <v>15206</v>
      </c>
    </row>
    <row r="5549" spans="1:16" x14ac:dyDescent="0.25">
      <c r="A5549" t="str">
        <f>"1120173A00284    00"</f>
        <v>1120173A00284    00</v>
      </c>
      <c r="B5549" t="s">
        <v>12951</v>
      </c>
      <c r="C5549" t="s">
        <v>12952</v>
      </c>
      <c r="D5549" t="s">
        <v>20</v>
      </c>
      <c r="E5549" t="s">
        <v>39</v>
      </c>
      <c r="F5549">
        <v>0</v>
      </c>
      <c r="G5549">
        <v>0</v>
      </c>
      <c r="H5549">
        <v>15</v>
      </c>
      <c r="I5549" s="3">
        <v>5755.68</v>
      </c>
      <c r="J5549" s="3">
        <v>4666.6499999999996</v>
      </c>
      <c r="L5549">
        <v>411</v>
      </c>
      <c r="M5549" t="s">
        <v>11782</v>
      </c>
      <c r="N5549" t="s">
        <v>30</v>
      </c>
      <c r="O5549" t="s">
        <v>31</v>
      </c>
      <c r="P5549" t="str">
        <f>"15235"</f>
        <v>15235</v>
      </c>
    </row>
    <row r="5550" spans="1:16" x14ac:dyDescent="0.25">
      <c r="A5550" t="str">
        <f>"1120173A00285    00"</f>
        <v>1120173A00285    00</v>
      </c>
      <c r="B5550" t="s">
        <v>10828</v>
      </c>
      <c r="C5550" t="s">
        <v>12953</v>
      </c>
      <c r="D5550" t="s">
        <v>20</v>
      </c>
      <c r="E5550" t="s">
        <v>39</v>
      </c>
      <c r="F5550">
        <v>0</v>
      </c>
      <c r="G5550">
        <v>0</v>
      </c>
      <c r="H5550">
        <v>2</v>
      </c>
      <c r="I5550" s="3">
        <v>484.96</v>
      </c>
      <c r="J5550" s="3">
        <v>0</v>
      </c>
      <c r="K5550" t="s">
        <v>12954</v>
      </c>
      <c r="L5550">
        <v>6818</v>
      </c>
      <c r="M5550" t="s">
        <v>10830</v>
      </c>
      <c r="N5550" t="s">
        <v>30</v>
      </c>
      <c r="O5550" t="s">
        <v>31</v>
      </c>
      <c r="P5550" t="str">
        <f>"15208"</f>
        <v>15208</v>
      </c>
    </row>
    <row r="5551" spans="1:16" x14ac:dyDescent="0.25">
      <c r="A5551" t="str">
        <f>"1120173A00287    00"</f>
        <v>1120173A00287    00</v>
      </c>
      <c r="B5551" t="s">
        <v>12955</v>
      </c>
      <c r="C5551" t="s">
        <v>12956</v>
      </c>
      <c r="D5551" t="s">
        <v>20</v>
      </c>
      <c r="E5551" t="s">
        <v>39</v>
      </c>
      <c r="F5551">
        <v>0</v>
      </c>
      <c r="G5551">
        <v>0</v>
      </c>
      <c r="H5551">
        <v>2</v>
      </c>
      <c r="I5551" s="3">
        <v>663.32</v>
      </c>
      <c r="J5551" s="3">
        <v>0</v>
      </c>
      <c r="L5551">
        <v>113</v>
      </c>
      <c r="M5551" t="s">
        <v>230</v>
      </c>
      <c r="N5551" t="s">
        <v>30</v>
      </c>
      <c r="O5551" t="s">
        <v>31</v>
      </c>
      <c r="P5551" t="str">
        <f>"15218"</f>
        <v>15218</v>
      </c>
    </row>
    <row r="5552" spans="1:16" x14ac:dyDescent="0.25">
      <c r="A5552" t="str">
        <f>"1120173A00310    00"</f>
        <v>1120173A00310    00</v>
      </c>
      <c r="B5552" t="s">
        <v>12957</v>
      </c>
      <c r="C5552" t="s">
        <v>11125</v>
      </c>
      <c r="D5552" t="s">
        <v>20</v>
      </c>
      <c r="E5552" t="s">
        <v>39</v>
      </c>
      <c r="F5552">
        <v>0</v>
      </c>
      <c r="G5552">
        <v>0</v>
      </c>
      <c r="H5552">
        <v>14</v>
      </c>
      <c r="I5552" s="3">
        <v>203.21</v>
      </c>
      <c r="J5552" s="3">
        <v>142.26</v>
      </c>
      <c r="L5552">
        <v>109</v>
      </c>
      <c r="M5552" t="s">
        <v>12958</v>
      </c>
      <c r="N5552" t="s">
        <v>7608</v>
      </c>
      <c r="O5552" t="s">
        <v>31</v>
      </c>
      <c r="P5552" t="str">
        <f>"15068"</f>
        <v>15068</v>
      </c>
    </row>
    <row r="5553" spans="1:16" x14ac:dyDescent="0.25">
      <c r="A5553" t="str">
        <f>"1120173A00314    00"</f>
        <v>1120173A00314    00</v>
      </c>
      <c r="B5553" t="s">
        <v>12959</v>
      </c>
      <c r="C5553" t="s">
        <v>12960</v>
      </c>
      <c r="E5553" t="s">
        <v>39</v>
      </c>
      <c r="F5553">
        <v>0</v>
      </c>
      <c r="G5553">
        <v>0</v>
      </c>
      <c r="H5553">
        <v>1</v>
      </c>
      <c r="I5553" s="3">
        <v>49.17</v>
      </c>
      <c r="J5553" s="3">
        <v>0</v>
      </c>
      <c r="L5553">
        <v>4</v>
      </c>
      <c r="M5553" t="s">
        <v>12961</v>
      </c>
      <c r="N5553" t="s">
        <v>30</v>
      </c>
      <c r="O5553" t="s">
        <v>31</v>
      </c>
      <c r="P5553" t="str">
        <f>"15235"</f>
        <v>15235</v>
      </c>
    </row>
    <row r="5554" spans="1:16" x14ac:dyDescent="0.25">
      <c r="A5554" t="str">
        <f>"1120173B00004    00"</f>
        <v>1120173B00004    00</v>
      </c>
      <c r="B5554" t="s">
        <v>12962</v>
      </c>
      <c r="C5554" t="s">
        <v>12963</v>
      </c>
      <c r="D5554" t="s">
        <v>20</v>
      </c>
      <c r="E5554" t="s">
        <v>39</v>
      </c>
      <c r="F5554">
        <v>0</v>
      </c>
      <c r="G5554">
        <v>0</v>
      </c>
      <c r="H5554">
        <v>19</v>
      </c>
      <c r="I5554" s="3">
        <v>449.64</v>
      </c>
      <c r="J5554" s="3">
        <v>507.57</v>
      </c>
      <c r="K5554" t="s">
        <v>1008</v>
      </c>
      <c r="P5554" t="str">
        <f>""</f>
        <v/>
      </c>
    </row>
    <row r="5555" spans="1:16" x14ac:dyDescent="0.25">
      <c r="A5555" t="str">
        <f>"1120173B00014    00"</f>
        <v>1120173B00014    00</v>
      </c>
      <c r="B5555" t="s">
        <v>12964</v>
      </c>
      <c r="C5555" t="s">
        <v>12965</v>
      </c>
      <c r="D5555" t="s">
        <v>20</v>
      </c>
      <c r="E5555" t="s">
        <v>39</v>
      </c>
      <c r="F5555">
        <v>0</v>
      </c>
      <c r="G5555">
        <v>0</v>
      </c>
      <c r="H5555">
        <v>6</v>
      </c>
      <c r="I5555" s="3">
        <v>2252.42</v>
      </c>
      <c r="J5555" s="3">
        <v>758.27</v>
      </c>
      <c r="L5555">
        <v>1625</v>
      </c>
      <c r="M5555" t="s">
        <v>11695</v>
      </c>
      <c r="N5555" t="s">
        <v>30</v>
      </c>
      <c r="O5555" t="s">
        <v>31</v>
      </c>
      <c r="P5555" t="str">
        <f>"15206"</f>
        <v>15206</v>
      </c>
    </row>
    <row r="5556" spans="1:16" x14ac:dyDescent="0.25">
      <c r="A5556" t="str">
        <f>"1120173B00018    00"</f>
        <v>1120173B00018    00</v>
      </c>
      <c r="B5556" t="s">
        <v>12966</v>
      </c>
      <c r="C5556" t="s">
        <v>12967</v>
      </c>
      <c r="D5556" t="s">
        <v>20</v>
      </c>
      <c r="E5556" t="s">
        <v>39</v>
      </c>
      <c r="F5556">
        <v>0</v>
      </c>
      <c r="G5556">
        <v>0</v>
      </c>
      <c r="H5556">
        <v>12</v>
      </c>
      <c r="I5556" s="3">
        <v>4657.01</v>
      </c>
      <c r="J5556" s="3">
        <v>2347.5300000000002</v>
      </c>
      <c r="L5556">
        <v>1631</v>
      </c>
      <c r="M5556" t="s">
        <v>12968</v>
      </c>
      <c r="N5556" t="s">
        <v>30</v>
      </c>
      <c r="O5556" t="s">
        <v>31</v>
      </c>
      <c r="P5556" t="str">
        <f>"15206"</f>
        <v>15206</v>
      </c>
    </row>
    <row r="5557" spans="1:16" x14ac:dyDescent="0.25">
      <c r="A5557" t="str">
        <f>"1120173B00020    00"</f>
        <v>1120173B00020    00</v>
      </c>
      <c r="B5557" t="s">
        <v>12969</v>
      </c>
      <c r="C5557" t="s">
        <v>12970</v>
      </c>
      <c r="D5557" t="s">
        <v>20</v>
      </c>
      <c r="E5557" t="s">
        <v>39</v>
      </c>
      <c r="F5557">
        <v>0</v>
      </c>
      <c r="G5557">
        <v>0</v>
      </c>
      <c r="H5557">
        <v>5</v>
      </c>
      <c r="I5557" s="3">
        <v>365.96</v>
      </c>
      <c r="J5557" s="3">
        <v>77.98</v>
      </c>
      <c r="L5557">
        <v>1639</v>
      </c>
      <c r="M5557" t="s">
        <v>12968</v>
      </c>
      <c r="N5557" t="s">
        <v>30</v>
      </c>
      <c r="O5557" t="s">
        <v>31</v>
      </c>
      <c r="P5557" t="str">
        <f>"15206"</f>
        <v>15206</v>
      </c>
    </row>
    <row r="5558" spans="1:16" x14ac:dyDescent="0.25">
      <c r="A5558" t="str">
        <f>"1120173B00055    00"</f>
        <v>1120173B00055    00</v>
      </c>
      <c r="B5558" t="s">
        <v>12971</v>
      </c>
      <c r="C5558" t="s">
        <v>12972</v>
      </c>
      <c r="D5558" t="s">
        <v>20</v>
      </c>
      <c r="E5558" t="s">
        <v>39</v>
      </c>
      <c r="F5558">
        <v>0</v>
      </c>
      <c r="G5558">
        <v>0</v>
      </c>
      <c r="H5558">
        <v>3</v>
      </c>
      <c r="I5558" s="3">
        <v>2796.15</v>
      </c>
      <c r="J5558" s="3">
        <v>186.4</v>
      </c>
      <c r="K5558" t="s">
        <v>12973</v>
      </c>
      <c r="L5558">
        <v>7216</v>
      </c>
      <c r="M5558" t="s">
        <v>12974</v>
      </c>
      <c r="N5558" t="s">
        <v>30</v>
      </c>
      <c r="O5558" t="s">
        <v>31</v>
      </c>
      <c r="P5558" t="str">
        <f>"15206"</f>
        <v>15206</v>
      </c>
    </row>
    <row r="5559" spans="1:16" x14ac:dyDescent="0.25">
      <c r="A5559" t="str">
        <f>"1120173B00105    00"</f>
        <v>1120173B00105    00</v>
      </c>
      <c r="B5559" t="s">
        <v>12975</v>
      </c>
      <c r="C5559" t="s">
        <v>12976</v>
      </c>
      <c r="E5559" t="s">
        <v>39</v>
      </c>
      <c r="F5559">
        <v>0</v>
      </c>
      <c r="G5559">
        <v>0</v>
      </c>
      <c r="H5559">
        <v>1</v>
      </c>
      <c r="I5559" s="3">
        <v>550.85</v>
      </c>
      <c r="J5559" s="3">
        <v>0</v>
      </c>
      <c r="K5559" t="s">
        <v>12977</v>
      </c>
      <c r="L5559">
        <v>4920</v>
      </c>
      <c r="M5559" t="s">
        <v>12978</v>
      </c>
      <c r="N5559" t="s">
        <v>526</v>
      </c>
      <c r="O5559" t="s">
        <v>527</v>
      </c>
      <c r="P5559" t="str">
        <f>"20019"</f>
        <v>20019</v>
      </c>
    </row>
    <row r="5560" spans="1:16" x14ac:dyDescent="0.25">
      <c r="A5560" t="str">
        <f>"1120173B00108    00"</f>
        <v>1120173B00108    00</v>
      </c>
      <c r="B5560" t="s">
        <v>12979</v>
      </c>
      <c r="C5560" t="s">
        <v>12038</v>
      </c>
      <c r="D5560" t="s">
        <v>20</v>
      </c>
      <c r="E5560" t="s">
        <v>39</v>
      </c>
      <c r="F5560">
        <v>0</v>
      </c>
      <c r="G5560">
        <v>0</v>
      </c>
      <c r="H5560">
        <v>19</v>
      </c>
      <c r="I5560" s="3">
        <v>496.26</v>
      </c>
      <c r="J5560" s="3">
        <v>11.57</v>
      </c>
      <c r="L5560">
        <v>7710</v>
      </c>
      <c r="M5560" t="s">
        <v>12980</v>
      </c>
      <c r="N5560" t="s">
        <v>30</v>
      </c>
      <c r="O5560" t="s">
        <v>31</v>
      </c>
      <c r="P5560" t="str">
        <f>"15208"</f>
        <v>15208</v>
      </c>
    </row>
    <row r="5561" spans="1:16" x14ac:dyDescent="0.25">
      <c r="A5561" t="str">
        <f>"1120173B00110    00"</f>
        <v>1120173B00110    00</v>
      </c>
      <c r="B5561" t="s">
        <v>12981</v>
      </c>
      <c r="C5561" t="s">
        <v>12038</v>
      </c>
      <c r="D5561" t="s">
        <v>20</v>
      </c>
      <c r="E5561" t="s">
        <v>39</v>
      </c>
      <c r="F5561">
        <v>0</v>
      </c>
      <c r="G5561">
        <v>0</v>
      </c>
      <c r="H5561">
        <v>17</v>
      </c>
      <c r="I5561" s="3">
        <v>336.36</v>
      </c>
      <c r="J5561" s="3">
        <v>312.2</v>
      </c>
      <c r="L5561">
        <v>600</v>
      </c>
      <c r="M5561" t="s">
        <v>7842</v>
      </c>
      <c r="N5561" t="s">
        <v>12982</v>
      </c>
      <c r="O5561" t="s">
        <v>200</v>
      </c>
      <c r="P5561" t="str">
        <f>"11572"</f>
        <v>11572</v>
      </c>
    </row>
    <row r="5562" spans="1:16" x14ac:dyDescent="0.25">
      <c r="A5562" t="str">
        <f>"1120173B00113    00"</f>
        <v>1120173B00113    00</v>
      </c>
      <c r="B5562" t="s">
        <v>12983</v>
      </c>
      <c r="C5562" t="s">
        <v>12984</v>
      </c>
      <c r="D5562" t="s">
        <v>20</v>
      </c>
      <c r="E5562" t="s">
        <v>39</v>
      </c>
      <c r="F5562">
        <v>0</v>
      </c>
      <c r="G5562">
        <v>0</v>
      </c>
      <c r="H5562">
        <v>2</v>
      </c>
      <c r="I5562" s="3">
        <v>286.58999999999997</v>
      </c>
      <c r="J5562" s="3">
        <v>40.29</v>
      </c>
      <c r="L5562">
        <v>1630</v>
      </c>
      <c r="M5562" t="s">
        <v>2789</v>
      </c>
      <c r="N5562" t="s">
        <v>30</v>
      </c>
      <c r="O5562" t="s">
        <v>31</v>
      </c>
      <c r="P5562" t="str">
        <f>"15206"</f>
        <v>15206</v>
      </c>
    </row>
    <row r="5563" spans="1:16" x14ac:dyDescent="0.25">
      <c r="A5563" t="str">
        <f>"1120173B00114    00"</f>
        <v>1120173B00114    00</v>
      </c>
      <c r="B5563" t="s">
        <v>12985</v>
      </c>
      <c r="C5563" t="s">
        <v>12986</v>
      </c>
      <c r="E5563" t="s">
        <v>39</v>
      </c>
      <c r="F5563">
        <v>0</v>
      </c>
      <c r="G5563">
        <v>0</v>
      </c>
      <c r="H5563">
        <v>5</v>
      </c>
      <c r="I5563" s="3">
        <v>911.33</v>
      </c>
      <c r="J5563" s="3">
        <v>710.95</v>
      </c>
      <c r="L5563">
        <v>1628</v>
      </c>
      <c r="M5563" t="s">
        <v>2789</v>
      </c>
      <c r="N5563" t="s">
        <v>30</v>
      </c>
      <c r="O5563" t="s">
        <v>31</v>
      </c>
      <c r="P5563" t="str">
        <f>"15206"</f>
        <v>15206</v>
      </c>
    </row>
    <row r="5564" spans="1:16" x14ac:dyDescent="0.25">
      <c r="A5564" t="str">
        <f>"1120173B00115    00"</f>
        <v>1120173B00115    00</v>
      </c>
      <c r="B5564" t="s">
        <v>12987</v>
      </c>
      <c r="C5564" t="s">
        <v>12988</v>
      </c>
      <c r="D5564" t="s">
        <v>20</v>
      </c>
      <c r="E5564" t="s">
        <v>39</v>
      </c>
      <c r="F5564">
        <v>0</v>
      </c>
      <c r="G5564">
        <v>0</v>
      </c>
      <c r="H5564">
        <v>17</v>
      </c>
      <c r="I5564" s="3">
        <v>8687.06</v>
      </c>
      <c r="J5564" s="3">
        <v>8410.6</v>
      </c>
      <c r="L5564">
        <v>1626</v>
      </c>
      <c r="M5564" t="s">
        <v>12989</v>
      </c>
      <c r="N5564" t="s">
        <v>30</v>
      </c>
      <c r="O5564" t="s">
        <v>31</v>
      </c>
      <c r="P5564" t="str">
        <f>"15206"</f>
        <v>15206</v>
      </c>
    </row>
    <row r="5565" spans="1:16" x14ac:dyDescent="0.25">
      <c r="A5565" t="str">
        <f>"1120173B00116    00"</f>
        <v>1120173B00116    00</v>
      </c>
      <c r="B5565" t="s">
        <v>12990</v>
      </c>
      <c r="C5565" t="s">
        <v>12991</v>
      </c>
      <c r="E5565" t="s">
        <v>39</v>
      </c>
      <c r="F5565">
        <v>0</v>
      </c>
      <c r="G5565">
        <v>0</v>
      </c>
      <c r="H5565">
        <v>1</v>
      </c>
      <c r="I5565" s="3">
        <v>51.98</v>
      </c>
      <c r="J5565" s="3">
        <v>0</v>
      </c>
      <c r="K5565" t="s">
        <v>12992</v>
      </c>
      <c r="L5565">
        <v>1624</v>
      </c>
      <c r="M5565" t="s">
        <v>2789</v>
      </c>
      <c r="N5565" t="s">
        <v>30</v>
      </c>
      <c r="O5565" t="s">
        <v>31</v>
      </c>
      <c r="P5565" t="str">
        <f>"15206"</f>
        <v>15206</v>
      </c>
    </row>
    <row r="5566" spans="1:16" x14ac:dyDescent="0.25">
      <c r="A5566" t="str">
        <f>"1120173B00117    00"</f>
        <v>1120173B00117    00</v>
      </c>
      <c r="B5566" t="s">
        <v>12993</v>
      </c>
      <c r="C5566" t="s">
        <v>12038</v>
      </c>
      <c r="E5566" t="s">
        <v>39</v>
      </c>
      <c r="F5566">
        <v>0</v>
      </c>
      <c r="G5566">
        <v>0</v>
      </c>
      <c r="H5566">
        <v>14</v>
      </c>
      <c r="I5566" s="3">
        <v>15268.38</v>
      </c>
      <c r="J5566" s="3">
        <v>19508.46</v>
      </c>
      <c r="K5566" t="s">
        <v>12994</v>
      </c>
      <c r="L5566">
        <v>465</v>
      </c>
      <c r="M5566" t="s">
        <v>3099</v>
      </c>
      <c r="N5566" t="s">
        <v>605</v>
      </c>
      <c r="O5566" t="s">
        <v>606</v>
      </c>
      <c r="P5566" t="str">
        <f>"30331"</f>
        <v>30331</v>
      </c>
    </row>
    <row r="5567" spans="1:16" x14ac:dyDescent="0.25">
      <c r="A5567" t="str">
        <f>"1120173B00118    00"</f>
        <v>1120173B00118    00</v>
      </c>
      <c r="B5567" t="s">
        <v>12995</v>
      </c>
      <c r="C5567" t="s">
        <v>12996</v>
      </c>
      <c r="E5567" t="s">
        <v>39</v>
      </c>
      <c r="F5567">
        <v>0</v>
      </c>
      <c r="G5567">
        <v>0</v>
      </c>
      <c r="H5567">
        <v>7</v>
      </c>
      <c r="I5567" s="3">
        <v>1947.25</v>
      </c>
      <c r="J5567" s="3">
        <v>585.9</v>
      </c>
      <c r="L5567">
        <v>1628</v>
      </c>
      <c r="M5567" t="s">
        <v>2789</v>
      </c>
      <c r="N5567" t="s">
        <v>30</v>
      </c>
      <c r="O5567" t="s">
        <v>31</v>
      </c>
      <c r="P5567" t="str">
        <f>"15206"</f>
        <v>15206</v>
      </c>
    </row>
    <row r="5568" spans="1:16" x14ac:dyDescent="0.25">
      <c r="A5568" t="str">
        <f>"1120173B00121    00"</f>
        <v>1120173B00121    00</v>
      </c>
      <c r="B5568" t="s">
        <v>12997</v>
      </c>
      <c r="C5568" t="s">
        <v>12998</v>
      </c>
      <c r="E5568" t="s">
        <v>39</v>
      </c>
      <c r="F5568">
        <v>0</v>
      </c>
      <c r="G5568">
        <v>0</v>
      </c>
      <c r="H5568">
        <v>1</v>
      </c>
      <c r="I5568" s="3">
        <v>392.05</v>
      </c>
      <c r="J5568" s="3">
        <v>192.75</v>
      </c>
      <c r="K5568" t="s">
        <v>12999</v>
      </c>
      <c r="L5568">
        <v>1614</v>
      </c>
      <c r="M5568" t="s">
        <v>2789</v>
      </c>
      <c r="N5568" t="s">
        <v>30</v>
      </c>
      <c r="O5568" t="s">
        <v>31</v>
      </c>
      <c r="P5568" t="str">
        <f>"15206"</f>
        <v>15206</v>
      </c>
    </row>
    <row r="5569" spans="1:16" x14ac:dyDescent="0.25">
      <c r="A5569" t="str">
        <f>"1120173B00123    00"</f>
        <v>1120173B00123    00</v>
      </c>
      <c r="B5569" t="s">
        <v>13000</v>
      </c>
      <c r="C5569" t="s">
        <v>12038</v>
      </c>
      <c r="D5569" t="s">
        <v>20</v>
      </c>
      <c r="E5569" t="s">
        <v>39</v>
      </c>
      <c r="F5569">
        <v>0</v>
      </c>
      <c r="G5569">
        <v>0</v>
      </c>
      <c r="H5569">
        <v>18</v>
      </c>
      <c r="I5569" s="3">
        <v>368.5</v>
      </c>
      <c r="J5569" s="3">
        <v>365.23</v>
      </c>
      <c r="L5569">
        <v>1612</v>
      </c>
      <c r="M5569" t="s">
        <v>2789</v>
      </c>
      <c r="N5569" t="s">
        <v>30</v>
      </c>
      <c r="O5569" t="s">
        <v>31</v>
      </c>
      <c r="P5569" t="str">
        <f>"15206"</f>
        <v>15206</v>
      </c>
    </row>
    <row r="5570" spans="1:16" x14ac:dyDescent="0.25">
      <c r="A5570" t="str">
        <f>"1120173B00123A   00"</f>
        <v>1120173B00123A   00</v>
      </c>
      <c r="B5570" t="s">
        <v>13001</v>
      </c>
      <c r="C5570" t="s">
        <v>12038</v>
      </c>
      <c r="D5570" t="s">
        <v>20</v>
      </c>
      <c r="E5570" t="s">
        <v>39</v>
      </c>
      <c r="F5570">
        <v>0</v>
      </c>
      <c r="G5570">
        <v>0</v>
      </c>
      <c r="H5570">
        <v>10</v>
      </c>
      <c r="I5570" s="3">
        <v>147.57</v>
      </c>
      <c r="J5570" s="3">
        <v>63.61</v>
      </c>
      <c r="M5570" t="s">
        <v>13002</v>
      </c>
      <c r="N5570" t="s">
        <v>13003</v>
      </c>
      <c r="O5570" t="s">
        <v>2171</v>
      </c>
      <c r="P5570" t="str">
        <f>"87125"</f>
        <v>87125</v>
      </c>
    </row>
    <row r="5571" spans="1:16" x14ac:dyDescent="0.25">
      <c r="A5571" t="str">
        <f>"1120173B00124    00"</f>
        <v>1120173B00124    00</v>
      </c>
      <c r="B5571" t="s">
        <v>13004</v>
      </c>
      <c r="C5571" t="s">
        <v>12038</v>
      </c>
      <c r="D5571" t="s">
        <v>20</v>
      </c>
      <c r="E5571" t="s">
        <v>39</v>
      </c>
      <c r="F5571">
        <v>0</v>
      </c>
      <c r="G5571">
        <v>0</v>
      </c>
      <c r="H5571">
        <v>19</v>
      </c>
      <c r="I5571" s="3">
        <v>657.99</v>
      </c>
      <c r="J5571" s="3">
        <v>707.78</v>
      </c>
      <c r="K5571" t="s">
        <v>1037</v>
      </c>
      <c r="L5571">
        <v>1610</v>
      </c>
      <c r="M5571" t="s">
        <v>2789</v>
      </c>
      <c r="N5571" t="s">
        <v>30</v>
      </c>
      <c r="O5571" t="s">
        <v>31</v>
      </c>
      <c r="P5571" t="str">
        <f>"15206"</f>
        <v>15206</v>
      </c>
    </row>
    <row r="5572" spans="1:16" x14ac:dyDescent="0.25">
      <c r="A5572" t="str">
        <f>"1120173B00132    00"</f>
        <v>1120173B00132    00</v>
      </c>
      <c r="B5572" t="s">
        <v>9290</v>
      </c>
      <c r="C5572" t="s">
        <v>13005</v>
      </c>
      <c r="E5572" t="s">
        <v>39</v>
      </c>
      <c r="F5572">
        <v>0</v>
      </c>
      <c r="G5572">
        <v>0</v>
      </c>
      <c r="H5572">
        <v>8</v>
      </c>
      <c r="I5572" s="3">
        <v>4903.42</v>
      </c>
      <c r="J5572" s="3">
        <v>7086.67</v>
      </c>
      <c r="L5572">
        <v>414</v>
      </c>
      <c r="M5572" t="s">
        <v>9292</v>
      </c>
      <c r="N5572" t="s">
        <v>30</v>
      </c>
      <c r="O5572" t="s">
        <v>31</v>
      </c>
      <c r="P5572" t="str">
        <f>"15219"</f>
        <v>15219</v>
      </c>
    </row>
    <row r="5573" spans="1:16" x14ac:dyDescent="0.25">
      <c r="A5573" t="str">
        <f>"1120173B00134    00"</f>
        <v>1120173B00134    00</v>
      </c>
      <c r="B5573" t="s">
        <v>13006</v>
      </c>
      <c r="C5573" t="s">
        <v>13007</v>
      </c>
      <c r="D5573" t="s">
        <v>20</v>
      </c>
      <c r="E5573" t="s">
        <v>39</v>
      </c>
      <c r="F5573">
        <v>0</v>
      </c>
      <c r="G5573">
        <v>0</v>
      </c>
      <c r="H5573">
        <v>1</v>
      </c>
      <c r="I5573" s="3">
        <v>506.99</v>
      </c>
      <c r="J5573" s="3">
        <v>0</v>
      </c>
      <c r="L5573">
        <v>1592</v>
      </c>
      <c r="M5573" t="s">
        <v>2789</v>
      </c>
      <c r="N5573" t="s">
        <v>30</v>
      </c>
      <c r="O5573" t="s">
        <v>31</v>
      </c>
      <c r="P5573" t="str">
        <f>"15206"</f>
        <v>15206</v>
      </c>
    </row>
    <row r="5574" spans="1:16" x14ac:dyDescent="0.25">
      <c r="A5574" t="str">
        <f>"1120173B00139    00"</f>
        <v>1120173B00139    00</v>
      </c>
      <c r="B5574" t="s">
        <v>13008</v>
      </c>
      <c r="C5574" t="s">
        <v>13009</v>
      </c>
      <c r="D5574" t="s">
        <v>20</v>
      </c>
      <c r="E5574" t="s">
        <v>39</v>
      </c>
      <c r="F5574">
        <v>0</v>
      </c>
      <c r="G5574">
        <v>0</v>
      </c>
      <c r="H5574">
        <v>4</v>
      </c>
      <c r="I5574" s="3">
        <v>919.37</v>
      </c>
      <c r="J5574" s="3">
        <v>84.12</v>
      </c>
      <c r="K5574" t="s">
        <v>13010</v>
      </c>
      <c r="L5574">
        <v>5536</v>
      </c>
      <c r="M5574" t="s">
        <v>10438</v>
      </c>
      <c r="N5574" t="s">
        <v>30</v>
      </c>
      <c r="O5574" t="s">
        <v>31</v>
      </c>
      <c r="P5574" t="str">
        <f>"15206"</f>
        <v>15206</v>
      </c>
    </row>
    <row r="5575" spans="1:16" x14ac:dyDescent="0.25">
      <c r="A5575" t="str">
        <f>"1120173B00140    00"</f>
        <v>1120173B00140    00</v>
      </c>
      <c r="B5575" t="s">
        <v>13011</v>
      </c>
      <c r="C5575" t="s">
        <v>12038</v>
      </c>
      <c r="D5575" t="s">
        <v>20</v>
      </c>
      <c r="E5575" t="s">
        <v>39</v>
      </c>
      <c r="F5575">
        <v>0</v>
      </c>
      <c r="G5575">
        <v>0</v>
      </c>
      <c r="H5575">
        <v>14</v>
      </c>
      <c r="I5575" s="3">
        <v>2058.7199999999998</v>
      </c>
      <c r="J5575" s="3">
        <v>2093.7800000000002</v>
      </c>
      <c r="L5575">
        <v>1570</v>
      </c>
      <c r="M5575" t="s">
        <v>2789</v>
      </c>
      <c r="N5575" t="s">
        <v>30</v>
      </c>
      <c r="O5575" t="s">
        <v>31</v>
      </c>
      <c r="P5575" t="str">
        <f>"15206"</f>
        <v>15206</v>
      </c>
    </row>
    <row r="5576" spans="1:16" x14ac:dyDescent="0.25">
      <c r="A5576" t="str">
        <f>"1120173B00149    00"</f>
        <v>1120173B00149    00</v>
      </c>
      <c r="B5576" t="s">
        <v>13012</v>
      </c>
      <c r="C5576" t="s">
        <v>13013</v>
      </c>
      <c r="D5576" t="s">
        <v>20</v>
      </c>
      <c r="E5576" t="s">
        <v>39</v>
      </c>
      <c r="F5576">
        <v>0</v>
      </c>
      <c r="G5576">
        <v>0</v>
      </c>
      <c r="H5576">
        <v>2</v>
      </c>
      <c r="I5576" s="3">
        <v>831.08</v>
      </c>
      <c r="J5576" s="3">
        <v>0</v>
      </c>
      <c r="M5576" t="s">
        <v>13014</v>
      </c>
      <c r="N5576" t="s">
        <v>30</v>
      </c>
      <c r="O5576" t="s">
        <v>31</v>
      </c>
      <c r="P5576" t="str">
        <f>"15207"</f>
        <v>15207</v>
      </c>
    </row>
    <row r="5577" spans="1:16" x14ac:dyDescent="0.25">
      <c r="A5577" t="str">
        <f>"1120173B00154    00"</f>
        <v>1120173B00154    00</v>
      </c>
      <c r="B5577" t="s">
        <v>13015</v>
      </c>
      <c r="C5577" t="s">
        <v>13016</v>
      </c>
      <c r="D5577" t="s">
        <v>20</v>
      </c>
      <c r="E5577" t="s">
        <v>39</v>
      </c>
      <c r="F5577">
        <v>0</v>
      </c>
      <c r="G5577">
        <v>0</v>
      </c>
      <c r="H5577">
        <v>1</v>
      </c>
      <c r="I5577" s="3">
        <v>428.86</v>
      </c>
      <c r="J5577" s="3">
        <v>0</v>
      </c>
      <c r="L5577">
        <v>231</v>
      </c>
      <c r="M5577" t="s">
        <v>9013</v>
      </c>
      <c r="N5577" t="s">
        <v>30</v>
      </c>
      <c r="O5577" t="s">
        <v>31</v>
      </c>
      <c r="P5577" t="str">
        <f>"15201"</f>
        <v>15201</v>
      </c>
    </row>
    <row r="5578" spans="1:16" x14ac:dyDescent="0.25">
      <c r="A5578" t="str">
        <f>"1120173B00155    00"</f>
        <v>1120173B00155    00</v>
      </c>
      <c r="B5578" t="s">
        <v>13017</v>
      </c>
      <c r="C5578" t="s">
        <v>13018</v>
      </c>
      <c r="E5578" t="s">
        <v>39</v>
      </c>
      <c r="F5578">
        <v>0</v>
      </c>
      <c r="G5578">
        <v>0</v>
      </c>
      <c r="H5578">
        <v>1</v>
      </c>
      <c r="I5578" s="3">
        <v>96.03</v>
      </c>
      <c r="J5578" s="3">
        <v>0</v>
      </c>
      <c r="L5578">
        <v>7151</v>
      </c>
      <c r="M5578" t="s">
        <v>12682</v>
      </c>
      <c r="N5578" t="s">
        <v>30</v>
      </c>
      <c r="O5578" t="s">
        <v>31</v>
      </c>
      <c r="P5578" t="str">
        <f>"15206"</f>
        <v>15206</v>
      </c>
    </row>
    <row r="5579" spans="1:16" x14ac:dyDescent="0.25">
      <c r="A5579" t="str">
        <f>"1120173B00157    00"</f>
        <v>1120173B00157    00</v>
      </c>
      <c r="B5579" t="s">
        <v>13019</v>
      </c>
      <c r="C5579" t="s">
        <v>13020</v>
      </c>
      <c r="D5579" t="s">
        <v>20</v>
      </c>
      <c r="E5579" t="s">
        <v>39</v>
      </c>
      <c r="F5579">
        <v>0</v>
      </c>
      <c r="G5579">
        <v>0</v>
      </c>
      <c r="H5579">
        <v>4</v>
      </c>
      <c r="I5579" s="3">
        <v>782.68</v>
      </c>
      <c r="J5579" s="3">
        <v>91.82</v>
      </c>
      <c r="L5579">
        <v>7157</v>
      </c>
      <c r="M5579" t="s">
        <v>12682</v>
      </c>
      <c r="N5579" t="s">
        <v>30</v>
      </c>
      <c r="O5579" t="s">
        <v>31</v>
      </c>
      <c r="P5579" t="str">
        <f>"15206"</f>
        <v>15206</v>
      </c>
    </row>
    <row r="5580" spans="1:16" x14ac:dyDescent="0.25">
      <c r="A5580" t="str">
        <f>"1120173B00187    00"</f>
        <v>1120173B00187    00</v>
      </c>
      <c r="B5580" t="s">
        <v>13021</v>
      </c>
      <c r="C5580" t="s">
        <v>13022</v>
      </c>
      <c r="D5580" t="s">
        <v>20</v>
      </c>
      <c r="E5580" t="s">
        <v>39</v>
      </c>
      <c r="F5580">
        <v>0</v>
      </c>
      <c r="G5580">
        <v>0</v>
      </c>
      <c r="H5580">
        <v>12</v>
      </c>
      <c r="I5580" s="3">
        <v>505.1</v>
      </c>
      <c r="J5580" s="3">
        <v>339.01</v>
      </c>
      <c r="L5580">
        <v>1503</v>
      </c>
      <c r="M5580" t="s">
        <v>13023</v>
      </c>
      <c r="N5580" t="s">
        <v>636</v>
      </c>
      <c r="O5580" t="s">
        <v>31</v>
      </c>
      <c r="P5580" t="str">
        <f>"15104"</f>
        <v>15104</v>
      </c>
    </row>
    <row r="5581" spans="1:16" x14ac:dyDescent="0.25">
      <c r="A5581" t="str">
        <f>"1120173B00189    00"</f>
        <v>1120173B00189    00</v>
      </c>
      <c r="B5581" t="s">
        <v>13024</v>
      </c>
      <c r="C5581" t="s">
        <v>13025</v>
      </c>
      <c r="D5581" t="s">
        <v>20</v>
      </c>
      <c r="E5581" t="s">
        <v>39</v>
      </c>
      <c r="F5581">
        <v>0</v>
      </c>
      <c r="G5581">
        <v>0</v>
      </c>
      <c r="H5581">
        <v>1</v>
      </c>
      <c r="I5581" s="3">
        <v>596.58000000000004</v>
      </c>
      <c r="J5581" s="3">
        <v>0</v>
      </c>
      <c r="L5581">
        <v>7140</v>
      </c>
      <c r="M5581" t="s">
        <v>12716</v>
      </c>
      <c r="N5581" t="s">
        <v>30</v>
      </c>
      <c r="O5581" t="s">
        <v>31</v>
      </c>
      <c r="P5581" t="str">
        <f>"15206"</f>
        <v>15206</v>
      </c>
    </row>
    <row r="5582" spans="1:16" x14ac:dyDescent="0.25">
      <c r="A5582" t="str">
        <f>"1120173B00200    00"</f>
        <v>1120173B00200    00</v>
      </c>
      <c r="B5582" t="s">
        <v>13026</v>
      </c>
      <c r="C5582" t="s">
        <v>13027</v>
      </c>
      <c r="D5582" t="s">
        <v>20</v>
      </c>
      <c r="E5582" t="s">
        <v>39</v>
      </c>
      <c r="F5582">
        <v>0</v>
      </c>
      <c r="G5582">
        <v>0</v>
      </c>
      <c r="H5582">
        <v>8</v>
      </c>
      <c r="I5582" s="3">
        <v>118.37</v>
      </c>
      <c r="J5582" s="3">
        <v>39</v>
      </c>
      <c r="K5582" t="s">
        <v>13028</v>
      </c>
      <c r="L5582">
        <v>7137</v>
      </c>
      <c r="M5582" t="s">
        <v>12716</v>
      </c>
      <c r="N5582" t="s">
        <v>30</v>
      </c>
      <c r="O5582" t="s">
        <v>31</v>
      </c>
      <c r="P5582" t="str">
        <f>"15206"</f>
        <v>15206</v>
      </c>
    </row>
    <row r="5583" spans="1:16" x14ac:dyDescent="0.25">
      <c r="A5583" t="str">
        <f>"1120173B00202    00"</f>
        <v>1120173B00202    00</v>
      </c>
      <c r="B5583" t="s">
        <v>13029</v>
      </c>
      <c r="C5583" t="s">
        <v>13030</v>
      </c>
      <c r="D5583" t="s">
        <v>20</v>
      </c>
      <c r="E5583" t="s">
        <v>39</v>
      </c>
      <c r="F5583">
        <v>0</v>
      </c>
      <c r="G5583">
        <v>0</v>
      </c>
      <c r="H5583">
        <v>2</v>
      </c>
      <c r="I5583" s="3">
        <v>2222.42</v>
      </c>
      <c r="J5583" s="3">
        <v>0</v>
      </c>
      <c r="L5583">
        <v>9608</v>
      </c>
      <c r="M5583" t="s">
        <v>9086</v>
      </c>
      <c r="N5583" t="s">
        <v>30</v>
      </c>
      <c r="O5583" t="s">
        <v>31</v>
      </c>
      <c r="P5583" t="str">
        <f>"15235"</f>
        <v>15235</v>
      </c>
    </row>
    <row r="5584" spans="1:16" x14ac:dyDescent="0.25">
      <c r="A5584" t="str">
        <f>"1120173B00204    00"</f>
        <v>1120173B00204    00</v>
      </c>
      <c r="B5584" t="s">
        <v>13031</v>
      </c>
      <c r="C5584" t="s">
        <v>12703</v>
      </c>
      <c r="D5584" t="s">
        <v>20</v>
      </c>
      <c r="E5584" t="s">
        <v>39</v>
      </c>
      <c r="F5584">
        <v>0</v>
      </c>
      <c r="G5584">
        <v>0</v>
      </c>
      <c r="H5584">
        <v>19</v>
      </c>
      <c r="I5584" s="3">
        <v>1240.08</v>
      </c>
      <c r="J5584" s="3">
        <v>925.45</v>
      </c>
      <c r="L5584">
        <v>7150</v>
      </c>
      <c r="M5584" t="s">
        <v>12583</v>
      </c>
      <c r="N5584" t="s">
        <v>30</v>
      </c>
      <c r="O5584" t="s">
        <v>31</v>
      </c>
      <c r="P5584" t="str">
        <f>"15206"</f>
        <v>15206</v>
      </c>
    </row>
    <row r="5585" spans="1:16" x14ac:dyDescent="0.25">
      <c r="A5585" t="str">
        <f>"1120173B00221    00"</f>
        <v>1120173B00221    00</v>
      </c>
      <c r="B5585" t="s">
        <v>13032</v>
      </c>
      <c r="C5585" t="s">
        <v>13033</v>
      </c>
      <c r="E5585" t="s">
        <v>39</v>
      </c>
      <c r="F5585">
        <v>0</v>
      </c>
      <c r="G5585">
        <v>0</v>
      </c>
      <c r="H5585">
        <v>4</v>
      </c>
      <c r="I5585" s="3">
        <v>4197.09</v>
      </c>
      <c r="J5585" s="3">
        <v>5709.52</v>
      </c>
      <c r="L5585">
        <v>1581</v>
      </c>
      <c r="M5585" t="s">
        <v>2789</v>
      </c>
      <c r="N5585" t="s">
        <v>30</v>
      </c>
      <c r="O5585" t="s">
        <v>31</v>
      </c>
      <c r="P5585" t="str">
        <f>"15206"</f>
        <v>15206</v>
      </c>
    </row>
    <row r="5586" spans="1:16" x14ac:dyDescent="0.25">
      <c r="A5586" t="str">
        <f>"1120173B00236    00"</f>
        <v>1120173B00236    00</v>
      </c>
      <c r="B5586" t="s">
        <v>13034</v>
      </c>
      <c r="C5586" t="s">
        <v>13035</v>
      </c>
      <c r="E5586" t="s">
        <v>39</v>
      </c>
      <c r="F5586">
        <v>0</v>
      </c>
      <c r="G5586">
        <v>0</v>
      </c>
      <c r="H5586">
        <v>1</v>
      </c>
      <c r="I5586" s="3">
        <v>552.6</v>
      </c>
      <c r="J5586" s="3">
        <v>151.97</v>
      </c>
      <c r="K5586" t="s">
        <v>13036</v>
      </c>
      <c r="L5586">
        <v>3001</v>
      </c>
      <c r="M5586" t="s">
        <v>404</v>
      </c>
      <c r="N5586" t="s">
        <v>331</v>
      </c>
      <c r="O5586" t="s">
        <v>108</v>
      </c>
      <c r="P5586" t="str">
        <f>"75063"</f>
        <v>75063</v>
      </c>
    </row>
    <row r="5587" spans="1:16" x14ac:dyDescent="0.25">
      <c r="A5587" t="str">
        <f>"1120173B00239    00"</f>
        <v>1120173B00239    00</v>
      </c>
      <c r="B5587" t="s">
        <v>13037</v>
      </c>
      <c r="C5587" t="s">
        <v>13038</v>
      </c>
      <c r="D5587" t="s">
        <v>20</v>
      </c>
      <c r="E5587" t="s">
        <v>39</v>
      </c>
      <c r="F5587">
        <v>0</v>
      </c>
      <c r="G5587">
        <v>0</v>
      </c>
      <c r="H5587">
        <v>4</v>
      </c>
      <c r="I5587" s="3">
        <v>288.12</v>
      </c>
      <c r="J5587" s="3">
        <v>37.86</v>
      </c>
      <c r="L5587">
        <v>359</v>
      </c>
      <c r="M5587" t="s">
        <v>13039</v>
      </c>
      <c r="N5587" t="s">
        <v>30</v>
      </c>
      <c r="O5587" t="s">
        <v>31</v>
      </c>
      <c r="P5587" t="str">
        <f>"15206"</f>
        <v>15206</v>
      </c>
    </row>
    <row r="5588" spans="1:16" x14ac:dyDescent="0.25">
      <c r="A5588" t="str">
        <f>"1120173B00240    00"</f>
        <v>1120173B00240    00</v>
      </c>
      <c r="B5588" t="s">
        <v>13040</v>
      </c>
      <c r="C5588" t="s">
        <v>13041</v>
      </c>
      <c r="E5588" t="s">
        <v>39</v>
      </c>
      <c r="F5588">
        <v>0</v>
      </c>
      <c r="G5588">
        <v>0</v>
      </c>
      <c r="H5588">
        <v>8</v>
      </c>
      <c r="I5588" s="3">
        <v>11399.45</v>
      </c>
      <c r="J5588" s="3">
        <v>16289.37</v>
      </c>
      <c r="K5588" t="s">
        <v>13042</v>
      </c>
      <c r="L5588">
        <v>1100</v>
      </c>
      <c r="M5588" t="s">
        <v>13043</v>
      </c>
      <c r="N5588" t="s">
        <v>6603</v>
      </c>
      <c r="O5588" t="s">
        <v>31</v>
      </c>
      <c r="P5588" t="str">
        <f>"15122"</f>
        <v>15122</v>
      </c>
    </row>
    <row r="5589" spans="1:16" x14ac:dyDescent="0.25">
      <c r="A5589" t="str">
        <f>"1120173B00273    00"</f>
        <v>1120173B00273    00</v>
      </c>
      <c r="B5589" t="s">
        <v>13044</v>
      </c>
      <c r="C5589" t="s">
        <v>13045</v>
      </c>
      <c r="E5589" t="s">
        <v>39</v>
      </c>
      <c r="F5589">
        <v>0</v>
      </c>
      <c r="G5589">
        <v>0</v>
      </c>
      <c r="H5589">
        <v>3</v>
      </c>
      <c r="I5589" s="3">
        <v>556.51</v>
      </c>
      <c r="J5589" s="3">
        <v>188.02</v>
      </c>
      <c r="L5589">
        <v>7129</v>
      </c>
      <c r="M5589" t="s">
        <v>12583</v>
      </c>
      <c r="N5589" t="s">
        <v>30</v>
      </c>
      <c r="O5589" t="s">
        <v>31</v>
      </c>
      <c r="P5589" t="str">
        <f>"15206"</f>
        <v>15206</v>
      </c>
    </row>
    <row r="5590" spans="1:16" x14ac:dyDescent="0.25">
      <c r="A5590" t="str">
        <f>"1120173B00277    00"</f>
        <v>1120173B00277    00</v>
      </c>
      <c r="B5590" t="s">
        <v>13046</v>
      </c>
      <c r="C5590" t="s">
        <v>13047</v>
      </c>
      <c r="D5590" t="s">
        <v>20</v>
      </c>
      <c r="E5590" t="s">
        <v>39</v>
      </c>
      <c r="F5590">
        <v>0</v>
      </c>
      <c r="G5590">
        <v>0</v>
      </c>
      <c r="H5590">
        <v>4</v>
      </c>
      <c r="I5590" s="3">
        <v>1355.34</v>
      </c>
      <c r="J5590" s="3">
        <v>138.21</v>
      </c>
      <c r="L5590">
        <v>7141</v>
      </c>
      <c r="M5590" t="s">
        <v>12583</v>
      </c>
      <c r="N5590" t="s">
        <v>30</v>
      </c>
      <c r="O5590" t="s">
        <v>31</v>
      </c>
      <c r="P5590" t="str">
        <f>"15206"</f>
        <v>15206</v>
      </c>
    </row>
    <row r="5591" spans="1:16" x14ac:dyDescent="0.25">
      <c r="A5591" t="str">
        <f>"1120173B00281    00"</f>
        <v>1120173B00281    00</v>
      </c>
      <c r="B5591" t="s">
        <v>13048</v>
      </c>
      <c r="C5591" t="s">
        <v>13049</v>
      </c>
      <c r="D5591" t="s">
        <v>20</v>
      </c>
      <c r="E5591" t="s">
        <v>39</v>
      </c>
      <c r="F5591">
        <v>0</v>
      </c>
      <c r="G5591">
        <v>0</v>
      </c>
      <c r="H5591">
        <v>1</v>
      </c>
      <c r="I5591" s="3">
        <v>838.66</v>
      </c>
      <c r="J5591" s="3">
        <v>0</v>
      </c>
      <c r="K5591" t="s">
        <v>10868</v>
      </c>
      <c r="L5591">
        <v>4425</v>
      </c>
      <c r="M5591" t="s">
        <v>10869</v>
      </c>
      <c r="N5591" t="s">
        <v>4652</v>
      </c>
      <c r="O5591" t="s">
        <v>370</v>
      </c>
      <c r="P5591" t="str">
        <f>"33146"</f>
        <v>33146</v>
      </c>
    </row>
    <row r="5592" spans="1:16" x14ac:dyDescent="0.25">
      <c r="A5592" t="str">
        <f>"1120173B00285    00"</f>
        <v>1120173B00285    00</v>
      </c>
      <c r="B5592" t="s">
        <v>13050</v>
      </c>
      <c r="C5592" t="s">
        <v>13051</v>
      </c>
      <c r="D5592" t="s">
        <v>20</v>
      </c>
      <c r="E5592" t="s">
        <v>39</v>
      </c>
      <c r="F5592">
        <v>0</v>
      </c>
      <c r="G5592">
        <v>0</v>
      </c>
      <c r="H5592">
        <v>8</v>
      </c>
      <c r="I5592" s="3">
        <v>4979.84</v>
      </c>
      <c r="J5592" s="3">
        <v>1629.49</v>
      </c>
      <c r="L5592">
        <v>7155</v>
      </c>
      <c r="M5592" t="s">
        <v>12583</v>
      </c>
      <c r="N5592" t="s">
        <v>30</v>
      </c>
      <c r="O5592" t="s">
        <v>31</v>
      </c>
      <c r="P5592" t="str">
        <f>"15206"</f>
        <v>15206</v>
      </c>
    </row>
    <row r="5593" spans="1:16" x14ac:dyDescent="0.25">
      <c r="A5593" t="str">
        <f>"1120173B00289    00"</f>
        <v>1120173B00289    00</v>
      </c>
      <c r="B5593" t="s">
        <v>13052</v>
      </c>
      <c r="C5593" t="s">
        <v>13053</v>
      </c>
      <c r="D5593" t="s">
        <v>20</v>
      </c>
      <c r="E5593" t="s">
        <v>39</v>
      </c>
      <c r="F5593">
        <v>0</v>
      </c>
      <c r="G5593">
        <v>0</v>
      </c>
      <c r="H5593">
        <v>3</v>
      </c>
      <c r="I5593" s="3">
        <v>2424.42</v>
      </c>
      <c r="J5593" s="3">
        <v>161.63</v>
      </c>
      <c r="K5593" t="s">
        <v>6184</v>
      </c>
      <c r="L5593">
        <v>901</v>
      </c>
      <c r="M5593" t="s">
        <v>1503</v>
      </c>
      <c r="N5593" t="s">
        <v>494</v>
      </c>
      <c r="O5593" t="s">
        <v>495</v>
      </c>
      <c r="P5593" t="str">
        <f>"91768"</f>
        <v>91768</v>
      </c>
    </row>
    <row r="5594" spans="1:16" x14ac:dyDescent="0.25">
      <c r="A5594" t="str">
        <f>"1120173B00321    00"</f>
        <v>1120173B00321    00</v>
      </c>
      <c r="B5594" t="s">
        <v>13054</v>
      </c>
      <c r="C5594" t="s">
        <v>13055</v>
      </c>
      <c r="E5594" t="s">
        <v>39</v>
      </c>
      <c r="F5594">
        <v>0</v>
      </c>
      <c r="G5594">
        <v>0</v>
      </c>
      <c r="H5594">
        <v>5</v>
      </c>
      <c r="I5594" s="3">
        <v>3064.69</v>
      </c>
      <c r="J5594" s="3">
        <v>4039.25</v>
      </c>
      <c r="L5594">
        <v>1659</v>
      </c>
      <c r="M5594" t="s">
        <v>2789</v>
      </c>
      <c r="N5594" t="s">
        <v>30</v>
      </c>
      <c r="O5594" t="s">
        <v>31</v>
      </c>
      <c r="P5594" t="str">
        <f>"15206"</f>
        <v>15206</v>
      </c>
    </row>
    <row r="5595" spans="1:16" x14ac:dyDescent="0.25">
      <c r="A5595" t="str">
        <f>"1120173C00005    00"</f>
        <v>1120173C00005    00</v>
      </c>
      <c r="B5595" t="s">
        <v>13056</v>
      </c>
      <c r="C5595" t="s">
        <v>13057</v>
      </c>
      <c r="D5595" t="s">
        <v>20</v>
      </c>
      <c r="E5595" t="s">
        <v>39</v>
      </c>
      <c r="F5595">
        <v>0</v>
      </c>
      <c r="G5595">
        <v>0</v>
      </c>
      <c r="H5595">
        <v>1</v>
      </c>
      <c r="I5595" s="3">
        <v>497.48</v>
      </c>
      <c r="J5595" s="3">
        <v>0</v>
      </c>
      <c r="L5595">
        <v>1702</v>
      </c>
      <c r="M5595" t="s">
        <v>11406</v>
      </c>
      <c r="N5595" t="s">
        <v>30</v>
      </c>
      <c r="O5595" t="s">
        <v>31</v>
      </c>
      <c r="P5595" t="str">
        <f>"15206"</f>
        <v>15206</v>
      </c>
    </row>
    <row r="5596" spans="1:16" x14ac:dyDescent="0.25">
      <c r="A5596" t="str">
        <f>"1120173C00009    00"</f>
        <v>1120173C00009    00</v>
      </c>
      <c r="B5596" t="s">
        <v>13058</v>
      </c>
      <c r="C5596" t="s">
        <v>12038</v>
      </c>
      <c r="D5596" t="s">
        <v>20</v>
      </c>
      <c r="E5596" t="s">
        <v>39</v>
      </c>
      <c r="F5596">
        <v>0</v>
      </c>
      <c r="G5596">
        <v>0</v>
      </c>
      <c r="H5596">
        <v>19</v>
      </c>
      <c r="I5596" s="3">
        <v>11235.02</v>
      </c>
      <c r="J5596" s="3">
        <v>15386.85</v>
      </c>
      <c r="P5596" t="str">
        <f>""</f>
        <v/>
      </c>
    </row>
    <row r="5597" spans="1:16" x14ac:dyDescent="0.25">
      <c r="A5597" t="str">
        <f>"1120173C00030    00"</f>
        <v>1120173C00030    00</v>
      </c>
      <c r="B5597" t="s">
        <v>13059</v>
      </c>
      <c r="C5597" t="s">
        <v>13060</v>
      </c>
      <c r="D5597" t="s">
        <v>20</v>
      </c>
      <c r="E5597" t="s">
        <v>39</v>
      </c>
      <c r="F5597">
        <v>0</v>
      </c>
      <c r="G5597">
        <v>0</v>
      </c>
      <c r="H5597">
        <v>19</v>
      </c>
      <c r="I5597" s="3">
        <v>7839.61</v>
      </c>
      <c r="J5597" s="3">
        <v>11010.82</v>
      </c>
      <c r="M5597" t="s">
        <v>13061</v>
      </c>
      <c r="N5597" t="s">
        <v>13062</v>
      </c>
      <c r="O5597" t="s">
        <v>606</v>
      </c>
      <c r="P5597" t="str">
        <f>"30046"</f>
        <v>30046</v>
      </c>
    </row>
    <row r="5598" spans="1:16" x14ac:dyDescent="0.25">
      <c r="A5598" t="str">
        <f>"1120173C00054    00"</f>
        <v>1120173C00054    00</v>
      </c>
      <c r="B5598" t="s">
        <v>13063</v>
      </c>
      <c r="C5598" t="s">
        <v>13064</v>
      </c>
      <c r="D5598" t="s">
        <v>20</v>
      </c>
      <c r="E5598" t="s">
        <v>39</v>
      </c>
      <c r="F5598">
        <v>0</v>
      </c>
      <c r="G5598">
        <v>0</v>
      </c>
      <c r="H5598">
        <v>2</v>
      </c>
      <c r="I5598" s="3">
        <v>255.5</v>
      </c>
      <c r="J5598" s="3">
        <v>0</v>
      </c>
      <c r="K5598" t="s">
        <v>13065</v>
      </c>
      <c r="L5598">
        <v>1661</v>
      </c>
      <c r="M5598" t="s">
        <v>12968</v>
      </c>
      <c r="N5598" t="s">
        <v>30</v>
      </c>
      <c r="O5598" t="s">
        <v>31</v>
      </c>
      <c r="P5598" t="str">
        <f>"15206"</f>
        <v>15206</v>
      </c>
    </row>
    <row r="5599" spans="1:16" x14ac:dyDescent="0.25">
      <c r="A5599" t="str">
        <f>"1120173C00056    00"</f>
        <v>1120173C00056    00</v>
      </c>
      <c r="B5599" t="s">
        <v>13066</v>
      </c>
      <c r="C5599" t="s">
        <v>13067</v>
      </c>
      <c r="D5599" t="s">
        <v>20</v>
      </c>
      <c r="E5599" t="s">
        <v>39</v>
      </c>
      <c r="F5599">
        <v>0</v>
      </c>
      <c r="G5599">
        <v>0</v>
      </c>
      <c r="H5599">
        <v>14</v>
      </c>
      <c r="I5599" s="3">
        <v>200.38</v>
      </c>
      <c r="J5599" s="3">
        <v>123.35</v>
      </c>
      <c r="L5599">
        <v>1657</v>
      </c>
      <c r="M5599" t="s">
        <v>13068</v>
      </c>
      <c r="N5599" t="s">
        <v>30</v>
      </c>
      <c r="O5599" t="s">
        <v>31</v>
      </c>
      <c r="P5599" t="str">
        <f>"15206"</f>
        <v>15206</v>
      </c>
    </row>
    <row r="5600" spans="1:16" x14ac:dyDescent="0.25">
      <c r="A5600" t="str">
        <f>"1120173C00059    00"</f>
        <v>1120173C00059    00</v>
      </c>
      <c r="B5600" t="s">
        <v>13069</v>
      </c>
      <c r="C5600" t="s">
        <v>13070</v>
      </c>
      <c r="D5600" t="s">
        <v>20</v>
      </c>
      <c r="E5600" t="s">
        <v>39</v>
      </c>
      <c r="F5600">
        <v>0</v>
      </c>
      <c r="G5600">
        <v>0</v>
      </c>
      <c r="H5600">
        <v>18</v>
      </c>
      <c r="I5600" s="3">
        <v>3829.77</v>
      </c>
      <c r="J5600" s="3">
        <v>3617.36</v>
      </c>
      <c r="K5600" t="s">
        <v>13071</v>
      </c>
      <c r="L5600">
        <v>3890</v>
      </c>
      <c r="M5600" t="s">
        <v>13072</v>
      </c>
      <c r="N5600" t="s">
        <v>30</v>
      </c>
      <c r="O5600" t="s">
        <v>31</v>
      </c>
      <c r="P5600" t="str">
        <f>"15213"</f>
        <v>15213</v>
      </c>
    </row>
    <row r="5601" spans="1:16" x14ac:dyDescent="0.25">
      <c r="A5601" t="str">
        <f>"1120173C00060    00"</f>
        <v>1120173C00060    00</v>
      </c>
      <c r="B5601" t="s">
        <v>13073</v>
      </c>
      <c r="C5601" t="s">
        <v>12963</v>
      </c>
      <c r="D5601" t="s">
        <v>20</v>
      </c>
      <c r="E5601" t="s">
        <v>39</v>
      </c>
      <c r="F5601">
        <v>0</v>
      </c>
      <c r="G5601">
        <v>0</v>
      </c>
      <c r="H5601">
        <v>19</v>
      </c>
      <c r="I5601" s="3">
        <v>1188.6300000000001</v>
      </c>
      <c r="J5601" s="3">
        <v>1203.9000000000001</v>
      </c>
      <c r="L5601">
        <v>1833</v>
      </c>
      <c r="M5601" t="s">
        <v>11100</v>
      </c>
      <c r="N5601" t="s">
        <v>30</v>
      </c>
      <c r="O5601" t="s">
        <v>31</v>
      </c>
      <c r="P5601" t="str">
        <f>"15235"</f>
        <v>15235</v>
      </c>
    </row>
    <row r="5602" spans="1:16" x14ac:dyDescent="0.25">
      <c r="A5602" t="str">
        <f>"1120173C00061000100"</f>
        <v>1120173C00061000100</v>
      </c>
      <c r="B5602" t="s">
        <v>13074</v>
      </c>
      <c r="C5602" t="s">
        <v>12963</v>
      </c>
      <c r="D5602" t="s">
        <v>20</v>
      </c>
      <c r="E5602" t="s">
        <v>39</v>
      </c>
      <c r="F5602">
        <v>0</v>
      </c>
      <c r="G5602">
        <v>0</v>
      </c>
      <c r="H5602">
        <v>9</v>
      </c>
      <c r="I5602" s="3">
        <v>63.85</v>
      </c>
      <c r="J5602" s="3">
        <v>30.39</v>
      </c>
      <c r="L5602">
        <v>1640</v>
      </c>
      <c r="M5602" t="s">
        <v>11695</v>
      </c>
      <c r="N5602" t="s">
        <v>30</v>
      </c>
      <c r="O5602" t="s">
        <v>31</v>
      </c>
      <c r="P5602" t="str">
        <f>"15206"</f>
        <v>15206</v>
      </c>
    </row>
    <row r="5603" spans="1:16" x14ac:dyDescent="0.25">
      <c r="A5603" t="str">
        <f>"1120173C00062    00"</f>
        <v>1120173C00062    00</v>
      </c>
      <c r="B5603" t="s">
        <v>13075</v>
      </c>
      <c r="C5603" t="s">
        <v>13076</v>
      </c>
      <c r="D5603" t="s">
        <v>20</v>
      </c>
      <c r="E5603" t="s">
        <v>39</v>
      </c>
      <c r="F5603">
        <v>0</v>
      </c>
      <c r="G5603">
        <v>0</v>
      </c>
      <c r="H5603">
        <v>8</v>
      </c>
      <c r="I5603" s="3">
        <v>2202.6799999999998</v>
      </c>
      <c r="J5603" s="3">
        <v>841.52</v>
      </c>
      <c r="K5603" t="s">
        <v>13077</v>
      </c>
      <c r="L5603">
        <v>1637</v>
      </c>
      <c r="M5603" t="s">
        <v>3968</v>
      </c>
      <c r="N5603" t="s">
        <v>7608</v>
      </c>
      <c r="O5603" t="s">
        <v>31</v>
      </c>
      <c r="P5603" t="str">
        <f>"15068"</f>
        <v>15068</v>
      </c>
    </row>
    <row r="5604" spans="1:16" x14ac:dyDescent="0.25">
      <c r="A5604" t="str">
        <f>"1120173C00067    00"</f>
        <v>1120173C00067    00</v>
      </c>
      <c r="B5604" t="s">
        <v>13078</v>
      </c>
      <c r="C5604" t="s">
        <v>13079</v>
      </c>
      <c r="D5604" t="s">
        <v>20</v>
      </c>
      <c r="E5604" t="s">
        <v>39</v>
      </c>
      <c r="F5604">
        <v>0</v>
      </c>
      <c r="G5604">
        <v>0</v>
      </c>
      <c r="H5604">
        <v>2</v>
      </c>
      <c r="I5604" s="3">
        <v>914.88</v>
      </c>
      <c r="J5604" s="3">
        <v>0</v>
      </c>
      <c r="K5604" t="s">
        <v>13080</v>
      </c>
      <c r="L5604">
        <v>1650</v>
      </c>
      <c r="M5604" t="s">
        <v>11695</v>
      </c>
      <c r="N5604" t="s">
        <v>30</v>
      </c>
      <c r="O5604" t="s">
        <v>31</v>
      </c>
      <c r="P5604" t="str">
        <f>"15206"</f>
        <v>15206</v>
      </c>
    </row>
    <row r="5605" spans="1:16" x14ac:dyDescent="0.25">
      <c r="A5605" t="str">
        <f>"1120173C00068    00"</f>
        <v>1120173C00068    00</v>
      </c>
      <c r="B5605" t="s">
        <v>13081</v>
      </c>
      <c r="C5605" t="s">
        <v>13082</v>
      </c>
      <c r="D5605" t="s">
        <v>20</v>
      </c>
      <c r="E5605" t="s">
        <v>39</v>
      </c>
      <c r="F5605">
        <v>0</v>
      </c>
      <c r="G5605">
        <v>0</v>
      </c>
      <c r="H5605">
        <v>13</v>
      </c>
      <c r="I5605" s="3">
        <v>8094.11</v>
      </c>
      <c r="J5605" s="3">
        <v>8825.9</v>
      </c>
      <c r="L5605">
        <v>7224</v>
      </c>
      <c r="M5605" t="s">
        <v>3980</v>
      </c>
      <c r="N5605" t="s">
        <v>30</v>
      </c>
      <c r="O5605" t="s">
        <v>31</v>
      </c>
      <c r="P5605" t="str">
        <f>"15208"</f>
        <v>15208</v>
      </c>
    </row>
    <row r="5606" spans="1:16" x14ac:dyDescent="0.25">
      <c r="A5606" t="str">
        <f>"1120173C00072    00"</f>
        <v>1120173C00072    00</v>
      </c>
      <c r="B5606" t="s">
        <v>13083</v>
      </c>
      <c r="C5606" t="s">
        <v>12963</v>
      </c>
      <c r="D5606" t="s">
        <v>20</v>
      </c>
      <c r="E5606" t="s">
        <v>39</v>
      </c>
      <c r="F5606">
        <v>0</v>
      </c>
      <c r="G5606">
        <v>0</v>
      </c>
      <c r="H5606">
        <v>19</v>
      </c>
      <c r="I5606" s="3">
        <v>5725.25</v>
      </c>
      <c r="J5606" s="3">
        <v>7709.02</v>
      </c>
      <c r="L5606">
        <v>1255</v>
      </c>
      <c r="M5606" t="s">
        <v>13084</v>
      </c>
      <c r="N5606" t="s">
        <v>30</v>
      </c>
      <c r="O5606" t="s">
        <v>31</v>
      </c>
      <c r="P5606" t="str">
        <f>"15218"</f>
        <v>15218</v>
      </c>
    </row>
    <row r="5607" spans="1:16" x14ac:dyDescent="0.25">
      <c r="A5607" t="str">
        <f>"1120173C00107    00"</f>
        <v>1120173C00107    00</v>
      </c>
      <c r="B5607" t="s">
        <v>13085</v>
      </c>
      <c r="C5607" t="s">
        <v>13086</v>
      </c>
      <c r="E5607" t="s">
        <v>39</v>
      </c>
      <c r="F5607">
        <v>0</v>
      </c>
      <c r="G5607">
        <v>0</v>
      </c>
      <c r="H5607">
        <v>2</v>
      </c>
      <c r="I5607" s="3">
        <v>1575.13</v>
      </c>
      <c r="J5607" s="3">
        <v>205.77</v>
      </c>
      <c r="L5607">
        <v>7250</v>
      </c>
      <c r="M5607" t="s">
        <v>12755</v>
      </c>
      <c r="N5607" t="s">
        <v>30</v>
      </c>
      <c r="O5607" t="s">
        <v>31</v>
      </c>
      <c r="P5607" t="str">
        <f>"15206"</f>
        <v>15206</v>
      </c>
    </row>
    <row r="5608" spans="1:16" x14ac:dyDescent="0.25">
      <c r="A5608" t="str">
        <f>"1120173C00114    00"</f>
        <v>1120173C00114    00</v>
      </c>
      <c r="B5608" t="s">
        <v>13087</v>
      </c>
      <c r="C5608" t="s">
        <v>13088</v>
      </c>
      <c r="D5608" t="s">
        <v>20</v>
      </c>
      <c r="E5608" t="s">
        <v>39</v>
      </c>
      <c r="F5608">
        <v>0</v>
      </c>
      <c r="G5608">
        <v>0</v>
      </c>
      <c r="H5608">
        <v>1</v>
      </c>
      <c r="I5608" s="3">
        <v>686.18</v>
      </c>
      <c r="J5608" s="3">
        <v>0</v>
      </c>
      <c r="L5608">
        <v>111</v>
      </c>
      <c r="M5608" t="s">
        <v>13089</v>
      </c>
      <c r="N5608" t="s">
        <v>13090</v>
      </c>
      <c r="O5608" t="s">
        <v>31</v>
      </c>
      <c r="P5608" t="str">
        <f>"15679"</f>
        <v>15679</v>
      </c>
    </row>
    <row r="5609" spans="1:16" x14ac:dyDescent="0.25">
      <c r="A5609" t="str">
        <f>"1120173C00120    00"</f>
        <v>1120173C00120    00</v>
      </c>
      <c r="B5609" t="s">
        <v>13091</v>
      </c>
      <c r="C5609" t="s">
        <v>13092</v>
      </c>
      <c r="D5609" t="s">
        <v>20</v>
      </c>
      <c r="E5609" t="s">
        <v>39</v>
      </c>
      <c r="F5609">
        <v>0</v>
      </c>
      <c r="G5609">
        <v>0</v>
      </c>
      <c r="H5609">
        <v>1</v>
      </c>
      <c r="I5609" s="3">
        <v>558.47</v>
      </c>
      <c r="J5609" s="3">
        <v>0</v>
      </c>
      <c r="L5609">
        <v>111</v>
      </c>
      <c r="M5609" t="s">
        <v>13089</v>
      </c>
      <c r="N5609" t="s">
        <v>13090</v>
      </c>
      <c r="O5609" t="s">
        <v>31</v>
      </c>
      <c r="P5609" t="str">
        <f>"15679"</f>
        <v>15679</v>
      </c>
    </row>
    <row r="5610" spans="1:16" x14ac:dyDescent="0.25">
      <c r="A5610" t="str">
        <f>"1120173C00126    00"</f>
        <v>1120173C00126    00</v>
      </c>
      <c r="B5610" t="s">
        <v>13093</v>
      </c>
      <c r="C5610" t="s">
        <v>13094</v>
      </c>
      <c r="D5610" t="s">
        <v>20</v>
      </c>
      <c r="E5610" t="s">
        <v>39</v>
      </c>
      <c r="F5610">
        <v>0</v>
      </c>
      <c r="G5610">
        <v>0</v>
      </c>
      <c r="H5610">
        <v>19</v>
      </c>
      <c r="I5610" s="3">
        <v>1122.26</v>
      </c>
      <c r="J5610" s="3">
        <v>795.69</v>
      </c>
      <c r="K5610" t="s">
        <v>1037</v>
      </c>
      <c r="L5610">
        <v>1663</v>
      </c>
      <c r="M5610" t="s">
        <v>10391</v>
      </c>
      <c r="N5610" t="s">
        <v>30</v>
      </c>
      <c r="O5610" t="s">
        <v>31</v>
      </c>
      <c r="P5610" t="str">
        <f>"15206"</f>
        <v>15206</v>
      </c>
    </row>
    <row r="5611" spans="1:16" x14ac:dyDescent="0.25">
      <c r="A5611" t="str">
        <f>"1120173C00135    00"</f>
        <v>1120173C00135    00</v>
      </c>
      <c r="B5611" t="s">
        <v>13095</v>
      </c>
      <c r="C5611" t="s">
        <v>13094</v>
      </c>
      <c r="D5611" t="s">
        <v>20</v>
      </c>
      <c r="E5611" t="s">
        <v>39</v>
      </c>
      <c r="F5611">
        <v>0</v>
      </c>
      <c r="G5611">
        <v>0</v>
      </c>
      <c r="H5611">
        <v>19</v>
      </c>
      <c r="I5611" s="3">
        <v>449.64</v>
      </c>
      <c r="J5611" s="3">
        <v>507.57</v>
      </c>
      <c r="K5611" t="s">
        <v>1008</v>
      </c>
      <c r="P5611" t="str">
        <f>""</f>
        <v/>
      </c>
    </row>
    <row r="5612" spans="1:16" x14ac:dyDescent="0.25">
      <c r="A5612" t="str">
        <f>"1120173C00137    00"</f>
        <v>1120173C00137    00</v>
      </c>
      <c r="B5612" t="s">
        <v>13096</v>
      </c>
      <c r="C5612" t="s">
        <v>13094</v>
      </c>
      <c r="D5612" t="s">
        <v>20</v>
      </c>
      <c r="E5612" t="s">
        <v>39</v>
      </c>
      <c r="F5612">
        <v>0</v>
      </c>
      <c r="G5612">
        <v>0</v>
      </c>
      <c r="H5612">
        <v>14</v>
      </c>
      <c r="I5612" s="3">
        <v>222.38</v>
      </c>
      <c r="J5612" s="3">
        <v>171.65</v>
      </c>
      <c r="L5612">
        <v>1668</v>
      </c>
      <c r="M5612" t="s">
        <v>10391</v>
      </c>
      <c r="N5612" t="s">
        <v>30</v>
      </c>
      <c r="O5612" t="s">
        <v>31</v>
      </c>
      <c r="P5612" t="str">
        <f>"15206"</f>
        <v>15206</v>
      </c>
    </row>
    <row r="5613" spans="1:16" x14ac:dyDescent="0.25">
      <c r="A5613" t="str">
        <f>"1120173C00141    00"</f>
        <v>1120173C00141    00</v>
      </c>
      <c r="B5613" t="s">
        <v>13097</v>
      </c>
      <c r="C5613" t="s">
        <v>13094</v>
      </c>
      <c r="D5613" t="s">
        <v>20</v>
      </c>
      <c r="E5613" t="s">
        <v>39</v>
      </c>
      <c r="F5613">
        <v>0</v>
      </c>
      <c r="G5613">
        <v>0</v>
      </c>
      <c r="H5613">
        <v>19</v>
      </c>
      <c r="I5613" s="3">
        <v>559.33000000000004</v>
      </c>
      <c r="J5613" s="3">
        <v>565.57000000000005</v>
      </c>
      <c r="L5613">
        <v>11700</v>
      </c>
      <c r="M5613" t="s">
        <v>13098</v>
      </c>
      <c r="N5613" t="s">
        <v>13099</v>
      </c>
      <c r="O5613" t="s">
        <v>692</v>
      </c>
      <c r="P5613" t="str">
        <f>"22408"</f>
        <v>22408</v>
      </c>
    </row>
    <row r="5614" spans="1:16" x14ac:dyDescent="0.25">
      <c r="A5614" t="str">
        <f>"1120173C00142    00"</f>
        <v>1120173C00142    00</v>
      </c>
      <c r="B5614" t="s">
        <v>13097</v>
      </c>
      <c r="C5614" t="s">
        <v>13094</v>
      </c>
      <c r="D5614" t="s">
        <v>20</v>
      </c>
      <c r="E5614" t="s">
        <v>39</v>
      </c>
      <c r="F5614">
        <v>0</v>
      </c>
      <c r="G5614">
        <v>0</v>
      </c>
      <c r="H5614">
        <v>19</v>
      </c>
      <c r="I5614" s="3">
        <v>559.33000000000004</v>
      </c>
      <c r="J5614" s="3">
        <v>565.57000000000005</v>
      </c>
      <c r="L5614">
        <v>11700</v>
      </c>
      <c r="M5614" t="s">
        <v>13098</v>
      </c>
      <c r="N5614" t="s">
        <v>13099</v>
      </c>
      <c r="O5614" t="s">
        <v>692</v>
      </c>
      <c r="P5614" t="str">
        <f>"22408"</f>
        <v>22408</v>
      </c>
    </row>
    <row r="5615" spans="1:16" x14ac:dyDescent="0.25">
      <c r="A5615" t="str">
        <f>"1120173C00143    00"</f>
        <v>1120173C00143    00</v>
      </c>
      <c r="B5615" t="s">
        <v>13097</v>
      </c>
      <c r="C5615" t="s">
        <v>13094</v>
      </c>
      <c r="D5615" t="s">
        <v>20</v>
      </c>
      <c r="E5615" t="s">
        <v>39</v>
      </c>
      <c r="F5615">
        <v>0</v>
      </c>
      <c r="G5615">
        <v>0</v>
      </c>
      <c r="H5615">
        <v>19</v>
      </c>
      <c r="I5615" s="3">
        <v>559.33000000000004</v>
      </c>
      <c r="J5615" s="3">
        <v>565.57000000000005</v>
      </c>
      <c r="K5615" t="s">
        <v>1008</v>
      </c>
      <c r="P5615" t="str">
        <f>""</f>
        <v/>
      </c>
    </row>
    <row r="5616" spans="1:16" x14ac:dyDescent="0.25">
      <c r="A5616" t="str">
        <f>"1120173C00144    00"</f>
        <v>1120173C00144    00</v>
      </c>
      <c r="B5616" t="s">
        <v>13100</v>
      </c>
      <c r="C5616" t="s">
        <v>13094</v>
      </c>
      <c r="D5616" t="s">
        <v>20</v>
      </c>
      <c r="E5616" t="s">
        <v>39</v>
      </c>
      <c r="F5616">
        <v>0</v>
      </c>
      <c r="G5616">
        <v>0</v>
      </c>
      <c r="H5616">
        <v>19</v>
      </c>
      <c r="I5616" s="3">
        <v>453.79</v>
      </c>
      <c r="J5616" s="3">
        <v>417.38</v>
      </c>
      <c r="K5616" t="s">
        <v>13101</v>
      </c>
      <c r="L5616">
        <v>5163</v>
      </c>
      <c r="M5616" t="s">
        <v>13102</v>
      </c>
      <c r="N5616" t="s">
        <v>13103</v>
      </c>
      <c r="O5616" t="s">
        <v>370</v>
      </c>
      <c r="P5616" t="str">
        <f>"32583"</f>
        <v>32583</v>
      </c>
    </row>
    <row r="5617" spans="1:16" x14ac:dyDescent="0.25">
      <c r="A5617" t="str">
        <f>"1120173C00147    00"</f>
        <v>1120173C00147    00</v>
      </c>
      <c r="B5617" t="s">
        <v>13104</v>
      </c>
      <c r="C5617" t="s">
        <v>13105</v>
      </c>
      <c r="D5617" t="s">
        <v>20</v>
      </c>
      <c r="E5617" t="s">
        <v>39</v>
      </c>
      <c r="F5617">
        <v>0</v>
      </c>
      <c r="G5617">
        <v>0</v>
      </c>
      <c r="H5617">
        <v>6</v>
      </c>
      <c r="I5617" s="3">
        <v>1661.06</v>
      </c>
      <c r="J5617" s="3">
        <v>417.51</v>
      </c>
      <c r="L5617">
        <v>1688</v>
      </c>
      <c r="M5617" t="s">
        <v>10391</v>
      </c>
      <c r="N5617" t="s">
        <v>30</v>
      </c>
      <c r="O5617" t="s">
        <v>31</v>
      </c>
      <c r="P5617" t="str">
        <f>"15206"</f>
        <v>15206</v>
      </c>
    </row>
    <row r="5618" spans="1:16" x14ac:dyDescent="0.25">
      <c r="A5618" t="str">
        <f>"1120173C00170    00"</f>
        <v>1120173C00170    00</v>
      </c>
      <c r="B5618" t="s">
        <v>13106</v>
      </c>
      <c r="C5618" t="s">
        <v>13107</v>
      </c>
      <c r="D5618" t="s">
        <v>20</v>
      </c>
      <c r="E5618" t="s">
        <v>39</v>
      </c>
      <c r="F5618">
        <v>0</v>
      </c>
      <c r="G5618">
        <v>0</v>
      </c>
      <c r="H5618">
        <v>8</v>
      </c>
      <c r="I5618" s="3">
        <v>4214.5200000000004</v>
      </c>
      <c r="J5618" s="3">
        <v>1407.71</v>
      </c>
      <c r="L5618">
        <v>7284</v>
      </c>
      <c r="M5618" t="s">
        <v>12755</v>
      </c>
      <c r="N5618" t="s">
        <v>30</v>
      </c>
      <c r="O5618" t="s">
        <v>31</v>
      </c>
      <c r="P5618" t="str">
        <f>"15206"</f>
        <v>15206</v>
      </c>
    </row>
    <row r="5619" spans="1:16" x14ac:dyDescent="0.25">
      <c r="A5619" t="str">
        <f>"1120173C00174    00"</f>
        <v>1120173C00174    00</v>
      </c>
      <c r="B5619" t="s">
        <v>13108</v>
      </c>
      <c r="C5619" t="s">
        <v>13109</v>
      </c>
      <c r="D5619" t="s">
        <v>20</v>
      </c>
      <c r="E5619" t="s">
        <v>39</v>
      </c>
      <c r="F5619">
        <v>0</v>
      </c>
      <c r="G5619">
        <v>0</v>
      </c>
      <c r="H5619">
        <v>19</v>
      </c>
      <c r="I5619" s="3">
        <v>1122.26</v>
      </c>
      <c r="J5619" s="3">
        <v>795.69</v>
      </c>
      <c r="K5619" t="s">
        <v>1037</v>
      </c>
      <c r="L5619">
        <v>1681</v>
      </c>
      <c r="M5619" t="s">
        <v>13110</v>
      </c>
      <c r="N5619" t="s">
        <v>30</v>
      </c>
      <c r="O5619" t="s">
        <v>31</v>
      </c>
      <c r="P5619" t="str">
        <f>"15206"</f>
        <v>15206</v>
      </c>
    </row>
    <row r="5620" spans="1:16" x14ac:dyDescent="0.25">
      <c r="A5620" t="str">
        <f>"1120173C00178    00"</f>
        <v>1120173C00178    00</v>
      </c>
      <c r="B5620" t="s">
        <v>13111</v>
      </c>
      <c r="C5620" t="s">
        <v>13109</v>
      </c>
      <c r="D5620" t="s">
        <v>20</v>
      </c>
      <c r="E5620" t="s">
        <v>39</v>
      </c>
      <c r="F5620">
        <v>0</v>
      </c>
      <c r="G5620">
        <v>0</v>
      </c>
      <c r="H5620">
        <v>19</v>
      </c>
      <c r="I5620" s="3">
        <v>8636.3700000000008</v>
      </c>
      <c r="J5620" s="3">
        <v>12303.44</v>
      </c>
      <c r="L5620">
        <v>9915</v>
      </c>
      <c r="M5620" t="s">
        <v>11939</v>
      </c>
      <c r="N5620" t="s">
        <v>30</v>
      </c>
      <c r="O5620" t="s">
        <v>31</v>
      </c>
      <c r="P5620" t="str">
        <f>"15235"</f>
        <v>15235</v>
      </c>
    </row>
    <row r="5621" spans="1:16" x14ac:dyDescent="0.25">
      <c r="A5621" t="str">
        <f>"1120173C00181    00"</f>
        <v>1120173C00181    00</v>
      </c>
      <c r="B5621" t="s">
        <v>13112</v>
      </c>
      <c r="C5621" t="s">
        <v>13109</v>
      </c>
      <c r="D5621" t="s">
        <v>20</v>
      </c>
      <c r="E5621" t="s">
        <v>39</v>
      </c>
      <c r="F5621">
        <v>0</v>
      </c>
      <c r="G5621">
        <v>0</v>
      </c>
      <c r="H5621">
        <v>19</v>
      </c>
      <c r="I5621" s="3">
        <v>4250.68</v>
      </c>
      <c r="J5621" s="3">
        <v>5483.78</v>
      </c>
      <c r="P5621" t="str">
        <f>""</f>
        <v/>
      </c>
    </row>
    <row r="5622" spans="1:16" x14ac:dyDescent="0.25">
      <c r="A5622" t="str">
        <f>"1120173C00182    00"</f>
        <v>1120173C00182    00</v>
      </c>
      <c r="B5622" t="s">
        <v>13113</v>
      </c>
      <c r="C5622" t="s">
        <v>13109</v>
      </c>
      <c r="D5622" t="s">
        <v>20</v>
      </c>
      <c r="E5622" t="s">
        <v>39</v>
      </c>
      <c r="F5622">
        <v>0</v>
      </c>
      <c r="G5622">
        <v>0</v>
      </c>
      <c r="H5622">
        <v>19</v>
      </c>
      <c r="I5622" s="3">
        <v>5534.97</v>
      </c>
      <c r="J5622" s="3">
        <v>7091.67</v>
      </c>
      <c r="L5622">
        <v>4010</v>
      </c>
      <c r="M5622" t="s">
        <v>3469</v>
      </c>
      <c r="N5622" t="s">
        <v>30</v>
      </c>
      <c r="O5622" t="s">
        <v>31</v>
      </c>
      <c r="P5622" t="str">
        <f>"15224"</f>
        <v>15224</v>
      </c>
    </row>
    <row r="5623" spans="1:16" x14ac:dyDescent="0.25">
      <c r="A5623" t="str">
        <f>"1120173C00185    00"</f>
        <v>1120173C00185    00</v>
      </c>
      <c r="B5623" t="s">
        <v>13114</v>
      </c>
      <c r="C5623" t="s">
        <v>13115</v>
      </c>
      <c r="D5623" t="s">
        <v>20</v>
      </c>
      <c r="E5623" t="s">
        <v>39</v>
      </c>
      <c r="F5623">
        <v>0</v>
      </c>
      <c r="G5623">
        <v>0</v>
      </c>
      <c r="H5623">
        <v>14</v>
      </c>
      <c r="I5623" s="3">
        <v>10038.15</v>
      </c>
      <c r="J5623" s="3">
        <v>6925.6</v>
      </c>
      <c r="L5623">
        <v>1704</v>
      </c>
      <c r="M5623" t="s">
        <v>13110</v>
      </c>
      <c r="N5623" t="s">
        <v>30</v>
      </c>
      <c r="O5623" t="s">
        <v>31</v>
      </c>
      <c r="P5623" t="str">
        <f t="shared" ref="P5623:P5628" si="73">"15206"</f>
        <v>15206</v>
      </c>
    </row>
    <row r="5624" spans="1:16" x14ac:dyDescent="0.25">
      <c r="A5624" t="str">
        <f>"1120173C00189    00"</f>
        <v>1120173C00189    00</v>
      </c>
      <c r="B5624" t="s">
        <v>13116</v>
      </c>
      <c r="C5624" t="s">
        <v>13109</v>
      </c>
      <c r="D5624" t="s">
        <v>20</v>
      </c>
      <c r="E5624" t="s">
        <v>39</v>
      </c>
      <c r="F5624">
        <v>0</v>
      </c>
      <c r="G5624">
        <v>0</v>
      </c>
      <c r="H5624">
        <v>19</v>
      </c>
      <c r="I5624" s="3">
        <v>490.79</v>
      </c>
      <c r="J5624" s="3">
        <v>506.94</v>
      </c>
      <c r="K5624" t="s">
        <v>1037</v>
      </c>
      <c r="M5624" t="s">
        <v>13110</v>
      </c>
      <c r="N5624" t="s">
        <v>30</v>
      </c>
      <c r="O5624" t="s">
        <v>31</v>
      </c>
      <c r="P5624" t="str">
        <f t="shared" si="73"/>
        <v>15206</v>
      </c>
    </row>
    <row r="5625" spans="1:16" x14ac:dyDescent="0.25">
      <c r="A5625" t="str">
        <f>"1120173C00225    00"</f>
        <v>1120173C00225    00</v>
      </c>
      <c r="B5625" t="s">
        <v>13117</v>
      </c>
      <c r="C5625" t="s">
        <v>13118</v>
      </c>
      <c r="D5625" t="s">
        <v>20</v>
      </c>
      <c r="E5625" t="s">
        <v>39</v>
      </c>
      <c r="F5625">
        <v>0</v>
      </c>
      <c r="G5625">
        <v>0</v>
      </c>
      <c r="H5625">
        <v>8</v>
      </c>
      <c r="I5625" s="3">
        <v>582.12</v>
      </c>
      <c r="J5625" s="3">
        <v>189.79</v>
      </c>
      <c r="L5625">
        <v>7239</v>
      </c>
      <c r="M5625" t="s">
        <v>12755</v>
      </c>
      <c r="N5625" t="s">
        <v>30</v>
      </c>
      <c r="O5625" t="s">
        <v>31</v>
      </c>
      <c r="P5625" t="str">
        <f t="shared" si="73"/>
        <v>15206</v>
      </c>
    </row>
    <row r="5626" spans="1:16" x14ac:dyDescent="0.25">
      <c r="A5626" t="str">
        <f>"1120173C00227    00"</f>
        <v>1120173C00227    00</v>
      </c>
      <c r="B5626" t="s">
        <v>13119</v>
      </c>
      <c r="C5626" t="s">
        <v>13120</v>
      </c>
      <c r="D5626" t="s">
        <v>20</v>
      </c>
      <c r="E5626" t="s">
        <v>39</v>
      </c>
      <c r="F5626">
        <v>0</v>
      </c>
      <c r="G5626">
        <v>0</v>
      </c>
      <c r="H5626">
        <v>11</v>
      </c>
      <c r="I5626" s="3">
        <v>4631.8500000000004</v>
      </c>
      <c r="J5626" s="3">
        <v>2122.6799999999998</v>
      </c>
      <c r="K5626" t="s">
        <v>13121</v>
      </c>
      <c r="M5626" t="s">
        <v>13122</v>
      </c>
      <c r="N5626" t="s">
        <v>30</v>
      </c>
      <c r="O5626" t="s">
        <v>31</v>
      </c>
      <c r="P5626" t="str">
        <f t="shared" si="73"/>
        <v>15206</v>
      </c>
    </row>
    <row r="5627" spans="1:16" x14ac:dyDescent="0.25">
      <c r="A5627" t="str">
        <f>"1120173C00228    01"</f>
        <v>1120173C00228    01</v>
      </c>
      <c r="B5627" t="s">
        <v>13123</v>
      </c>
      <c r="C5627" t="s">
        <v>13124</v>
      </c>
      <c r="D5627" t="s">
        <v>20</v>
      </c>
      <c r="E5627" t="s">
        <v>39</v>
      </c>
      <c r="F5627">
        <v>0</v>
      </c>
      <c r="G5627">
        <v>0</v>
      </c>
      <c r="H5627">
        <v>2</v>
      </c>
      <c r="I5627" s="3">
        <v>945.4</v>
      </c>
      <c r="J5627" s="3">
        <v>0</v>
      </c>
      <c r="L5627">
        <v>1702</v>
      </c>
      <c r="M5627" t="s">
        <v>11406</v>
      </c>
      <c r="N5627" t="s">
        <v>30</v>
      </c>
      <c r="O5627" t="s">
        <v>31</v>
      </c>
      <c r="P5627" t="str">
        <f t="shared" si="73"/>
        <v>15206</v>
      </c>
    </row>
    <row r="5628" spans="1:16" x14ac:dyDescent="0.25">
      <c r="A5628" t="str">
        <f>"1120173C00229    00"</f>
        <v>1120173C00229    00</v>
      </c>
      <c r="B5628" t="s">
        <v>13056</v>
      </c>
      <c r="C5628" t="s">
        <v>13125</v>
      </c>
      <c r="D5628" t="s">
        <v>20</v>
      </c>
      <c r="E5628" t="s">
        <v>39</v>
      </c>
      <c r="F5628">
        <v>0</v>
      </c>
      <c r="G5628">
        <v>0</v>
      </c>
      <c r="H5628">
        <v>1</v>
      </c>
      <c r="I5628" s="3">
        <v>436.48</v>
      </c>
      <c r="J5628" s="3">
        <v>0</v>
      </c>
      <c r="L5628">
        <v>1702</v>
      </c>
      <c r="M5628" t="s">
        <v>11406</v>
      </c>
      <c r="N5628" t="s">
        <v>30</v>
      </c>
      <c r="O5628" t="s">
        <v>31</v>
      </c>
      <c r="P5628" t="str">
        <f t="shared" si="73"/>
        <v>15206</v>
      </c>
    </row>
    <row r="5629" spans="1:16" x14ac:dyDescent="0.25">
      <c r="A5629" t="str">
        <f>"1120173C00232    00"</f>
        <v>1120173C00232    00</v>
      </c>
      <c r="B5629" t="s">
        <v>13126</v>
      </c>
      <c r="C5629" t="s">
        <v>12770</v>
      </c>
      <c r="D5629" t="s">
        <v>20</v>
      </c>
      <c r="E5629" t="s">
        <v>39</v>
      </c>
      <c r="F5629">
        <v>0</v>
      </c>
      <c r="G5629">
        <v>0</v>
      </c>
      <c r="H5629">
        <v>19</v>
      </c>
      <c r="I5629" s="3">
        <v>8059.13</v>
      </c>
      <c r="J5629" s="3">
        <v>11031.09</v>
      </c>
      <c r="P5629" t="str">
        <f>""</f>
        <v/>
      </c>
    </row>
    <row r="5630" spans="1:16" x14ac:dyDescent="0.25">
      <c r="A5630" t="str">
        <f>"1120173C00235    00"</f>
        <v>1120173C00235    00</v>
      </c>
      <c r="B5630" t="s">
        <v>13127</v>
      </c>
      <c r="C5630" t="s">
        <v>13128</v>
      </c>
      <c r="D5630" t="s">
        <v>20</v>
      </c>
      <c r="E5630" t="s">
        <v>39</v>
      </c>
      <c r="F5630">
        <v>0</v>
      </c>
      <c r="G5630">
        <v>0</v>
      </c>
      <c r="H5630">
        <v>10</v>
      </c>
      <c r="I5630" s="3">
        <v>7416.59</v>
      </c>
      <c r="J5630" s="3">
        <v>3175.62</v>
      </c>
      <c r="K5630" t="s">
        <v>13129</v>
      </c>
      <c r="L5630">
        <v>6914</v>
      </c>
      <c r="M5630" t="s">
        <v>13130</v>
      </c>
      <c r="N5630" t="s">
        <v>30</v>
      </c>
      <c r="O5630" t="s">
        <v>31</v>
      </c>
      <c r="P5630" t="str">
        <f>"15206"</f>
        <v>15206</v>
      </c>
    </row>
    <row r="5631" spans="1:16" x14ac:dyDescent="0.25">
      <c r="A5631" t="str">
        <f>"1120173C00238    00"</f>
        <v>1120173C00238    00</v>
      </c>
      <c r="B5631" t="s">
        <v>11404</v>
      </c>
      <c r="C5631" t="s">
        <v>13131</v>
      </c>
      <c r="E5631" t="s">
        <v>39</v>
      </c>
      <c r="F5631">
        <v>0</v>
      </c>
      <c r="G5631">
        <v>0</v>
      </c>
      <c r="H5631">
        <v>1</v>
      </c>
      <c r="I5631" s="3">
        <v>260.76</v>
      </c>
      <c r="J5631" s="3">
        <v>0</v>
      </c>
      <c r="L5631">
        <v>1727</v>
      </c>
      <c r="M5631" t="s">
        <v>11406</v>
      </c>
      <c r="N5631" t="s">
        <v>30</v>
      </c>
      <c r="O5631" t="s">
        <v>31</v>
      </c>
      <c r="P5631" t="str">
        <f>"15206"</f>
        <v>15206</v>
      </c>
    </row>
    <row r="5632" spans="1:16" x14ac:dyDescent="0.25">
      <c r="A5632" t="str">
        <f>"1120173C00246    00"</f>
        <v>1120173C00246    00</v>
      </c>
      <c r="B5632" t="s">
        <v>13132</v>
      </c>
      <c r="C5632" t="s">
        <v>12662</v>
      </c>
      <c r="D5632" t="s">
        <v>20</v>
      </c>
      <c r="E5632" t="s">
        <v>39</v>
      </c>
      <c r="F5632">
        <v>0</v>
      </c>
      <c r="G5632">
        <v>0</v>
      </c>
      <c r="H5632">
        <v>19</v>
      </c>
      <c r="I5632" s="3">
        <v>427.63</v>
      </c>
      <c r="J5632" s="3">
        <v>495.92</v>
      </c>
      <c r="L5632">
        <v>7150</v>
      </c>
      <c r="M5632" t="s">
        <v>12661</v>
      </c>
      <c r="N5632" t="s">
        <v>30</v>
      </c>
      <c r="O5632" t="s">
        <v>31</v>
      </c>
      <c r="P5632" t="str">
        <f>"15235"</f>
        <v>15235</v>
      </c>
    </row>
    <row r="5633" spans="1:16" x14ac:dyDescent="0.25">
      <c r="A5633" t="str">
        <f>"1120173C00254    00"</f>
        <v>1120173C00254    00</v>
      </c>
      <c r="B5633" t="s">
        <v>13133</v>
      </c>
      <c r="C5633" t="s">
        <v>12662</v>
      </c>
      <c r="D5633" t="s">
        <v>20</v>
      </c>
      <c r="E5633" t="s">
        <v>39</v>
      </c>
      <c r="F5633">
        <v>0</v>
      </c>
      <c r="G5633">
        <v>0</v>
      </c>
      <c r="H5633">
        <v>17</v>
      </c>
      <c r="I5633" s="3">
        <v>362.88</v>
      </c>
      <c r="J5633" s="3">
        <v>440.86</v>
      </c>
      <c r="K5633" t="s">
        <v>1008</v>
      </c>
      <c r="P5633" t="str">
        <f>""</f>
        <v/>
      </c>
    </row>
    <row r="5634" spans="1:16" x14ac:dyDescent="0.25">
      <c r="A5634" t="str">
        <f>"1120173C00257    00"</f>
        <v>1120173C00257    00</v>
      </c>
      <c r="B5634" t="s">
        <v>13134</v>
      </c>
      <c r="C5634" t="s">
        <v>13135</v>
      </c>
      <c r="D5634" t="s">
        <v>20</v>
      </c>
      <c r="E5634" t="s">
        <v>39</v>
      </c>
      <c r="F5634">
        <v>0</v>
      </c>
      <c r="G5634">
        <v>0</v>
      </c>
      <c r="H5634">
        <v>10</v>
      </c>
      <c r="I5634" s="3">
        <v>5585.48</v>
      </c>
      <c r="J5634" s="3">
        <v>2391.58</v>
      </c>
      <c r="L5634">
        <v>262</v>
      </c>
      <c r="M5634" t="s">
        <v>11273</v>
      </c>
      <c r="N5634" t="s">
        <v>1046</v>
      </c>
      <c r="O5634" t="s">
        <v>31</v>
      </c>
      <c r="P5634" t="str">
        <f>"15147"</f>
        <v>15147</v>
      </c>
    </row>
    <row r="5635" spans="1:16" x14ac:dyDescent="0.25">
      <c r="A5635" t="str">
        <f>"1120173C00258    00"</f>
        <v>1120173C00258    00</v>
      </c>
      <c r="B5635" t="s">
        <v>13136</v>
      </c>
      <c r="C5635" t="s">
        <v>12662</v>
      </c>
      <c r="D5635" t="s">
        <v>20</v>
      </c>
      <c r="E5635" t="s">
        <v>39</v>
      </c>
      <c r="F5635">
        <v>0</v>
      </c>
      <c r="G5635">
        <v>0</v>
      </c>
      <c r="H5635">
        <v>15</v>
      </c>
      <c r="I5635" s="3">
        <v>158.66</v>
      </c>
      <c r="J5635" s="3">
        <v>140.96</v>
      </c>
      <c r="L5635">
        <v>107</v>
      </c>
      <c r="M5635" t="s">
        <v>13137</v>
      </c>
      <c r="N5635" t="s">
        <v>30</v>
      </c>
      <c r="O5635" t="s">
        <v>31</v>
      </c>
      <c r="P5635" t="str">
        <f>"15235"</f>
        <v>15235</v>
      </c>
    </row>
    <row r="5636" spans="1:16" x14ac:dyDescent="0.25">
      <c r="A5636" t="str">
        <f>"1120173C00259    00"</f>
        <v>1120173C00259    00</v>
      </c>
      <c r="B5636" t="s">
        <v>13138</v>
      </c>
      <c r="C5636" t="s">
        <v>13139</v>
      </c>
      <c r="D5636" t="s">
        <v>20</v>
      </c>
      <c r="E5636" t="s">
        <v>39</v>
      </c>
      <c r="F5636">
        <v>0</v>
      </c>
      <c r="G5636">
        <v>0</v>
      </c>
      <c r="H5636">
        <v>11</v>
      </c>
      <c r="I5636" s="3">
        <v>5915.91</v>
      </c>
      <c r="J5636" s="3">
        <v>2823.46</v>
      </c>
      <c r="L5636">
        <v>2248</v>
      </c>
      <c r="M5636" t="s">
        <v>13140</v>
      </c>
      <c r="N5636" t="s">
        <v>13141</v>
      </c>
      <c r="O5636" t="s">
        <v>1321</v>
      </c>
      <c r="P5636" t="str">
        <f>"89423"</f>
        <v>89423</v>
      </c>
    </row>
    <row r="5637" spans="1:16" x14ac:dyDescent="0.25">
      <c r="A5637" t="str">
        <f>"1120173C00261    00"</f>
        <v>1120173C00261    00</v>
      </c>
      <c r="B5637" t="s">
        <v>13138</v>
      </c>
      <c r="C5637" t="s">
        <v>13109</v>
      </c>
      <c r="D5637" t="s">
        <v>20</v>
      </c>
      <c r="E5637" t="s">
        <v>39</v>
      </c>
      <c r="F5637">
        <v>0</v>
      </c>
      <c r="G5637">
        <v>0</v>
      </c>
      <c r="H5637">
        <v>11</v>
      </c>
      <c r="I5637" s="3">
        <v>303.23</v>
      </c>
      <c r="J5637" s="3">
        <v>145.58000000000001</v>
      </c>
      <c r="L5637">
        <v>2248</v>
      </c>
      <c r="M5637" t="s">
        <v>13140</v>
      </c>
      <c r="N5637" t="s">
        <v>13141</v>
      </c>
      <c r="O5637" t="s">
        <v>1321</v>
      </c>
      <c r="P5637" t="str">
        <f>"89423"</f>
        <v>89423</v>
      </c>
    </row>
    <row r="5638" spans="1:16" x14ac:dyDescent="0.25">
      <c r="A5638" t="str">
        <f>"1120173C00270    00"</f>
        <v>1120173C00270    00</v>
      </c>
      <c r="B5638" t="s">
        <v>13142</v>
      </c>
      <c r="C5638" t="s">
        <v>13143</v>
      </c>
      <c r="D5638" t="s">
        <v>20</v>
      </c>
      <c r="E5638" t="s">
        <v>39</v>
      </c>
      <c r="F5638">
        <v>0</v>
      </c>
      <c r="G5638">
        <v>0</v>
      </c>
      <c r="H5638">
        <v>17</v>
      </c>
      <c r="I5638" s="3">
        <v>732.77</v>
      </c>
      <c r="J5638" s="3">
        <v>973.74</v>
      </c>
      <c r="L5638">
        <v>7281</v>
      </c>
      <c r="M5638" t="s">
        <v>12661</v>
      </c>
      <c r="N5638" t="s">
        <v>30</v>
      </c>
      <c r="O5638" t="s">
        <v>31</v>
      </c>
      <c r="P5638" t="str">
        <f>"15206"</f>
        <v>15206</v>
      </c>
    </row>
    <row r="5639" spans="1:16" x14ac:dyDescent="0.25">
      <c r="A5639" t="str">
        <f>"1120173C00272    00"</f>
        <v>1120173C00272    00</v>
      </c>
      <c r="B5639" t="s">
        <v>13144</v>
      </c>
      <c r="C5639" t="s">
        <v>12662</v>
      </c>
      <c r="D5639" t="s">
        <v>20</v>
      </c>
      <c r="E5639" t="s">
        <v>39</v>
      </c>
      <c r="F5639">
        <v>0</v>
      </c>
      <c r="G5639">
        <v>0</v>
      </c>
      <c r="H5639">
        <v>17</v>
      </c>
      <c r="I5639" s="3">
        <v>362.88</v>
      </c>
      <c r="J5639" s="3">
        <v>440.86</v>
      </c>
      <c r="K5639" t="s">
        <v>1008</v>
      </c>
      <c r="P5639" t="str">
        <f>""</f>
        <v/>
      </c>
    </row>
    <row r="5640" spans="1:16" x14ac:dyDescent="0.25">
      <c r="A5640" t="str">
        <f>"1120173C00281    00"</f>
        <v>1120173C00281    00</v>
      </c>
      <c r="B5640" t="s">
        <v>13145</v>
      </c>
      <c r="C5640" t="s">
        <v>13146</v>
      </c>
      <c r="D5640" t="s">
        <v>20</v>
      </c>
      <c r="E5640" t="s">
        <v>39</v>
      </c>
      <c r="F5640">
        <v>0</v>
      </c>
      <c r="G5640">
        <v>0</v>
      </c>
      <c r="H5640">
        <v>7</v>
      </c>
      <c r="I5640" s="3">
        <v>451.31</v>
      </c>
      <c r="J5640" s="3">
        <v>124.36</v>
      </c>
      <c r="L5640">
        <v>7255</v>
      </c>
      <c r="M5640" t="s">
        <v>12661</v>
      </c>
      <c r="N5640" t="s">
        <v>30</v>
      </c>
      <c r="O5640" t="s">
        <v>31</v>
      </c>
      <c r="P5640" t="str">
        <f>"15235"</f>
        <v>15235</v>
      </c>
    </row>
    <row r="5641" spans="1:16" x14ac:dyDescent="0.25">
      <c r="A5641" t="str">
        <f>"1120173C00290    00"</f>
        <v>1120173C00290    00</v>
      </c>
      <c r="B5641" t="s">
        <v>13147</v>
      </c>
      <c r="C5641" t="s">
        <v>12784</v>
      </c>
      <c r="D5641" t="s">
        <v>20</v>
      </c>
      <c r="E5641" t="s">
        <v>39</v>
      </c>
      <c r="F5641">
        <v>0</v>
      </c>
      <c r="G5641">
        <v>0</v>
      </c>
      <c r="H5641">
        <v>1</v>
      </c>
      <c r="I5641" s="3">
        <v>68.62</v>
      </c>
      <c r="J5641" s="3">
        <v>0</v>
      </c>
      <c r="L5641">
        <v>1911</v>
      </c>
      <c r="M5641" t="s">
        <v>13148</v>
      </c>
      <c r="N5641" t="s">
        <v>30</v>
      </c>
      <c r="O5641" t="s">
        <v>31</v>
      </c>
      <c r="P5641" t="str">
        <f>"15218"</f>
        <v>15218</v>
      </c>
    </row>
    <row r="5642" spans="1:16" x14ac:dyDescent="0.25">
      <c r="A5642" t="str">
        <f>"1120173C00292    00"</f>
        <v>1120173C00292    00</v>
      </c>
      <c r="B5642" t="s">
        <v>12783</v>
      </c>
      <c r="C5642" t="s">
        <v>12784</v>
      </c>
      <c r="D5642" t="s">
        <v>20</v>
      </c>
      <c r="E5642" t="s">
        <v>39</v>
      </c>
      <c r="F5642">
        <v>0</v>
      </c>
      <c r="G5642">
        <v>0</v>
      </c>
      <c r="H5642">
        <v>6</v>
      </c>
      <c r="I5642" s="3">
        <v>2936.29</v>
      </c>
      <c r="J5642" s="3">
        <v>3996.21</v>
      </c>
      <c r="L5642">
        <v>141</v>
      </c>
      <c r="M5642" t="s">
        <v>12785</v>
      </c>
      <c r="N5642" t="s">
        <v>8991</v>
      </c>
      <c r="O5642" t="s">
        <v>31</v>
      </c>
      <c r="P5642" t="str">
        <f>"15145"</f>
        <v>15145</v>
      </c>
    </row>
    <row r="5643" spans="1:16" x14ac:dyDescent="0.25">
      <c r="A5643" t="str">
        <f>"1120173C00293    00"</f>
        <v>1120173C00293    00</v>
      </c>
      <c r="B5643" t="s">
        <v>12783</v>
      </c>
      <c r="C5643" t="s">
        <v>12784</v>
      </c>
      <c r="D5643" t="s">
        <v>20</v>
      </c>
      <c r="E5643" t="s">
        <v>39</v>
      </c>
      <c r="F5643">
        <v>0</v>
      </c>
      <c r="G5643">
        <v>0</v>
      </c>
      <c r="H5643">
        <v>9</v>
      </c>
      <c r="I5643" s="3">
        <v>1563.3</v>
      </c>
      <c r="J5643" s="3">
        <v>2235.12</v>
      </c>
      <c r="L5643">
        <v>141</v>
      </c>
      <c r="M5643" t="s">
        <v>12785</v>
      </c>
      <c r="N5643" t="s">
        <v>8991</v>
      </c>
      <c r="O5643" t="s">
        <v>31</v>
      </c>
      <c r="P5643" t="str">
        <f>"15145"</f>
        <v>15145</v>
      </c>
    </row>
    <row r="5644" spans="1:16" x14ac:dyDescent="0.25">
      <c r="A5644" t="str">
        <f>"1120173C00299    00"</f>
        <v>1120173C00299    00</v>
      </c>
      <c r="B5644" t="s">
        <v>8147</v>
      </c>
      <c r="C5644" t="s">
        <v>13149</v>
      </c>
      <c r="E5644" t="s">
        <v>39</v>
      </c>
      <c r="F5644">
        <v>0</v>
      </c>
      <c r="G5644">
        <v>0</v>
      </c>
      <c r="H5644">
        <v>1</v>
      </c>
      <c r="I5644" s="3">
        <v>358.34</v>
      </c>
      <c r="J5644" s="3">
        <v>71.66</v>
      </c>
      <c r="M5644" t="s">
        <v>11656</v>
      </c>
      <c r="N5644" t="s">
        <v>30</v>
      </c>
      <c r="O5644" t="s">
        <v>31</v>
      </c>
      <c r="P5644" t="str">
        <f>"15230"</f>
        <v>15230</v>
      </c>
    </row>
    <row r="5645" spans="1:16" x14ac:dyDescent="0.25">
      <c r="A5645" t="str">
        <f>"1120173C00303    00"</f>
        <v>1120173C00303    00</v>
      </c>
      <c r="B5645" t="s">
        <v>11189</v>
      </c>
      <c r="C5645" t="s">
        <v>13150</v>
      </c>
      <c r="D5645" t="s">
        <v>20</v>
      </c>
      <c r="E5645" t="s">
        <v>39</v>
      </c>
      <c r="F5645">
        <v>0</v>
      </c>
      <c r="G5645">
        <v>0</v>
      </c>
      <c r="H5645">
        <v>2</v>
      </c>
      <c r="I5645" s="3">
        <v>1136.02</v>
      </c>
      <c r="J5645" s="3">
        <v>0</v>
      </c>
      <c r="K5645" t="s">
        <v>13151</v>
      </c>
      <c r="L5645">
        <v>1421</v>
      </c>
      <c r="M5645" t="s">
        <v>13152</v>
      </c>
      <c r="N5645" t="s">
        <v>30</v>
      </c>
      <c r="O5645" t="s">
        <v>31</v>
      </c>
      <c r="P5645" t="str">
        <f>"15212"</f>
        <v>15212</v>
      </c>
    </row>
    <row r="5646" spans="1:16" x14ac:dyDescent="0.25">
      <c r="A5646" t="str">
        <f>"1120173C00304    00"</f>
        <v>1120173C00304    00</v>
      </c>
      <c r="B5646" t="s">
        <v>11189</v>
      </c>
      <c r="C5646" t="s">
        <v>12784</v>
      </c>
      <c r="D5646" t="s">
        <v>20</v>
      </c>
      <c r="E5646" t="s">
        <v>39</v>
      </c>
      <c r="F5646">
        <v>0</v>
      </c>
      <c r="G5646">
        <v>0</v>
      </c>
      <c r="H5646">
        <v>2</v>
      </c>
      <c r="I5646" s="3">
        <v>26.7</v>
      </c>
      <c r="J5646" s="3">
        <v>0</v>
      </c>
      <c r="L5646">
        <v>1421</v>
      </c>
      <c r="M5646" t="s">
        <v>13152</v>
      </c>
      <c r="N5646" t="s">
        <v>30</v>
      </c>
      <c r="O5646" t="s">
        <v>31</v>
      </c>
      <c r="P5646" t="str">
        <f>"15212"</f>
        <v>15212</v>
      </c>
    </row>
    <row r="5647" spans="1:16" x14ac:dyDescent="0.25">
      <c r="A5647" t="str">
        <f>"1120173C00306    00"</f>
        <v>1120173C00306    00</v>
      </c>
      <c r="B5647" t="s">
        <v>13153</v>
      </c>
      <c r="C5647" t="s">
        <v>13154</v>
      </c>
      <c r="E5647" t="s">
        <v>39</v>
      </c>
      <c r="F5647">
        <v>0</v>
      </c>
      <c r="G5647">
        <v>0</v>
      </c>
      <c r="H5647">
        <v>1</v>
      </c>
      <c r="I5647" s="3">
        <v>451.96</v>
      </c>
      <c r="J5647" s="3">
        <v>0</v>
      </c>
      <c r="L5647">
        <v>210</v>
      </c>
      <c r="M5647" t="s">
        <v>11362</v>
      </c>
      <c r="N5647" t="s">
        <v>1046</v>
      </c>
      <c r="O5647" t="s">
        <v>31</v>
      </c>
      <c r="P5647" t="str">
        <f>"15147"</f>
        <v>15147</v>
      </c>
    </row>
    <row r="5648" spans="1:16" x14ac:dyDescent="0.25">
      <c r="A5648" t="str">
        <f>"1120173C00307    00"</f>
        <v>1120173C00307    00</v>
      </c>
      <c r="B5648" t="s">
        <v>13155</v>
      </c>
      <c r="C5648" t="s">
        <v>12743</v>
      </c>
      <c r="D5648" t="s">
        <v>20</v>
      </c>
      <c r="E5648" t="s">
        <v>39</v>
      </c>
      <c r="F5648">
        <v>0</v>
      </c>
      <c r="G5648">
        <v>0</v>
      </c>
      <c r="H5648">
        <v>19</v>
      </c>
      <c r="I5648" s="3">
        <v>548.29999999999995</v>
      </c>
      <c r="J5648" s="3">
        <v>649.78</v>
      </c>
      <c r="K5648" t="s">
        <v>1037</v>
      </c>
      <c r="L5648">
        <v>7229</v>
      </c>
      <c r="M5648" t="s">
        <v>585</v>
      </c>
      <c r="N5648" t="s">
        <v>30</v>
      </c>
      <c r="O5648" t="s">
        <v>31</v>
      </c>
      <c r="P5648" t="str">
        <f>"15208"</f>
        <v>15208</v>
      </c>
    </row>
    <row r="5649" spans="1:16" x14ac:dyDescent="0.25">
      <c r="A5649" t="str">
        <f>"1120173C00319    00"</f>
        <v>1120173C00319    00</v>
      </c>
      <c r="B5649" t="s">
        <v>13156</v>
      </c>
      <c r="C5649" t="s">
        <v>12790</v>
      </c>
      <c r="D5649" t="s">
        <v>20</v>
      </c>
      <c r="E5649" t="s">
        <v>39</v>
      </c>
      <c r="F5649">
        <v>0</v>
      </c>
      <c r="G5649">
        <v>0</v>
      </c>
      <c r="H5649">
        <v>16</v>
      </c>
      <c r="I5649" s="3">
        <v>337.36</v>
      </c>
      <c r="J5649" s="3">
        <v>303.77</v>
      </c>
      <c r="L5649">
        <v>1810</v>
      </c>
      <c r="M5649" t="s">
        <v>13157</v>
      </c>
      <c r="N5649" t="s">
        <v>30</v>
      </c>
      <c r="O5649" t="s">
        <v>31</v>
      </c>
      <c r="P5649" t="str">
        <f>"15235"</f>
        <v>15235</v>
      </c>
    </row>
    <row r="5650" spans="1:16" x14ac:dyDescent="0.25">
      <c r="A5650" t="str">
        <f>"1120173C00320    00"</f>
        <v>1120173C00320    00</v>
      </c>
      <c r="B5650" t="s">
        <v>13156</v>
      </c>
      <c r="C5650" t="s">
        <v>13158</v>
      </c>
      <c r="D5650" t="s">
        <v>20</v>
      </c>
      <c r="E5650" t="s">
        <v>39</v>
      </c>
      <c r="F5650">
        <v>0</v>
      </c>
      <c r="G5650">
        <v>0</v>
      </c>
      <c r="H5650">
        <v>17</v>
      </c>
      <c r="I5650" s="3">
        <v>5432.9</v>
      </c>
      <c r="J5650" s="3">
        <v>81.63</v>
      </c>
      <c r="L5650">
        <v>1810</v>
      </c>
      <c r="M5650" t="s">
        <v>13157</v>
      </c>
      <c r="N5650" t="s">
        <v>30</v>
      </c>
      <c r="O5650" t="s">
        <v>31</v>
      </c>
      <c r="P5650" t="str">
        <f>"15235"</f>
        <v>15235</v>
      </c>
    </row>
    <row r="5651" spans="1:16" x14ac:dyDescent="0.25">
      <c r="A5651" t="str">
        <f>"1120173C00321    00"</f>
        <v>1120173C00321    00</v>
      </c>
      <c r="B5651" t="s">
        <v>13159</v>
      </c>
      <c r="C5651" t="s">
        <v>12790</v>
      </c>
      <c r="D5651" t="s">
        <v>20</v>
      </c>
      <c r="E5651" t="s">
        <v>39</v>
      </c>
      <c r="F5651">
        <v>0</v>
      </c>
      <c r="G5651">
        <v>0</v>
      </c>
      <c r="H5651">
        <v>19</v>
      </c>
      <c r="I5651" s="3">
        <v>400.36</v>
      </c>
      <c r="J5651" s="3">
        <v>436.62</v>
      </c>
      <c r="K5651" t="s">
        <v>13160</v>
      </c>
      <c r="L5651">
        <v>250</v>
      </c>
      <c r="M5651" t="s">
        <v>13161</v>
      </c>
      <c r="N5651" t="s">
        <v>295</v>
      </c>
      <c r="O5651" t="s">
        <v>31</v>
      </c>
      <c r="P5651" t="str">
        <f>"15146"</f>
        <v>15146</v>
      </c>
    </row>
    <row r="5652" spans="1:16" x14ac:dyDescent="0.25">
      <c r="A5652" t="str">
        <f>"1120173C00322    00"</f>
        <v>1120173C00322    00</v>
      </c>
      <c r="B5652" t="s">
        <v>13162</v>
      </c>
      <c r="C5652" t="s">
        <v>13163</v>
      </c>
      <c r="E5652" t="s">
        <v>39</v>
      </c>
      <c r="F5652">
        <v>0</v>
      </c>
      <c r="G5652">
        <v>0</v>
      </c>
      <c r="H5652">
        <v>1</v>
      </c>
      <c r="I5652" s="3">
        <v>285.44</v>
      </c>
      <c r="J5652" s="3">
        <v>0</v>
      </c>
      <c r="L5652">
        <v>101</v>
      </c>
      <c r="M5652" t="s">
        <v>13164</v>
      </c>
      <c r="N5652" t="s">
        <v>30</v>
      </c>
      <c r="O5652" t="s">
        <v>31</v>
      </c>
      <c r="P5652" t="str">
        <f>"15235"</f>
        <v>15235</v>
      </c>
    </row>
    <row r="5653" spans="1:16" x14ac:dyDescent="0.25">
      <c r="A5653" t="str">
        <f>"1120173C00324    00"</f>
        <v>1120173C00324    00</v>
      </c>
      <c r="B5653" t="s">
        <v>13159</v>
      </c>
      <c r="C5653" t="s">
        <v>12784</v>
      </c>
      <c r="D5653" t="s">
        <v>20</v>
      </c>
      <c r="E5653" t="s">
        <v>39</v>
      </c>
      <c r="F5653">
        <v>0</v>
      </c>
      <c r="G5653">
        <v>0</v>
      </c>
      <c r="H5653">
        <v>19</v>
      </c>
      <c r="I5653" s="3">
        <v>732.66</v>
      </c>
      <c r="J5653" s="3">
        <v>454.78</v>
      </c>
      <c r="L5653">
        <v>907</v>
      </c>
      <c r="M5653" t="s">
        <v>13165</v>
      </c>
      <c r="N5653" t="s">
        <v>295</v>
      </c>
      <c r="O5653" t="s">
        <v>31</v>
      </c>
      <c r="P5653" t="str">
        <f>"15146"</f>
        <v>15146</v>
      </c>
    </row>
    <row r="5654" spans="1:16" x14ac:dyDescent="0.25">
      <c r="A5654" t="str">
        <f>"1120173C00325    00"</f>
        <v>1120173C00325    00</v>
      </c>
      <c r="B5654" t="s">
        <v>13166</v>
      </c>
      <c r="C5654" t="s">
        <v>12784</v>
      </c>
      <c r="D5654" t="s">
        <v>20</v>
      </c>
      <c r="E5654" t="s">
        <v>39</v>
      </c>
      <c r="F5654">
        <v>0</v>
      </c>
      <c r="G5654">
        <v>0</v>
      </c>
      <c r="H5654">
        <v>19</v>
      </c>
      <c r="I5654" s="3">
        <v>5680.89</v>
      </c>
      <c r="J5654" s="3">
        <v>7927.27</v>
      </c>
      <c r="L5654">
        <v>206</v>
      </c>
      <c r="M5654" t="s">
        <v>13167</v>
      </c>
      <c r="N5654" t="s">
        <v>3324</v>
      </c>
      <c r="O5654" t="s">
        <v>273</v>
      </c>
      <c r="P5654" t="str">
        <f>"29445"</f>
        <v>29445</v>
      </c>
    </row>
    <row r="5655" spans="1:16" x14ac:dyDescent="0.25">
      <c r="A5655" t="str">
        <f>"1120173C00331000100"</f>
        <v>1120173C00331000100</v>
      </c>
      <c r="B5655" t="s">
        <v>13168</v>
      </c>
      <c r="C5655" t="s">
        <v>12784</v>
      </c>
      <c r="D5655" t="s">
        <v>20</v>
      </c>
      <c r="E5655" t="s">
        <v>39</v>
      </c>
      <c r="F5655">
        <v>0</v>
      </c>
      <c r="G5655">
        <v>0</v>
      </c>
      <c r="H5655">
        <v>15</v>
      </c>
      <c r="I5655" s="3">
        <v>444.77</v>
      </c>
      <c r="J5655" s="3">
        <v>400.48</v>
      </c>
      <c r="L5655">
        <v>7143</v>
      </c>
      <c r="M5655" t="s">
        <v>13164</v>
      </c>
      <c r="N5655" t="s">
        <v>30</v>
      </c>
      <c r="O5655" t="s">
        <v>31</v>
      </c>
      <c r="P5655" t="str">
        <f>"15235"</f>
        <v>15235</v>
      </c>
    </row>
    <row r="5656" spans="1:16" x14ac:dyDescent="0.25">
      <c r="A5656" t="str">
        <f>"1120173E00018    00"</f>
        <v>1120173E00018    00</v>
      </c>
      <c r="B5656" t="s">
        <v>13169</v>
      </c>
      <c r="C5656" t="s">
        <v>11125</v>
      </c>
      <c r="D5656" t="s">
        <v>20</v>
      </c>
      <c r="E5656" t="s">
        <v>39</v>
      </c>
      <c r="F5656">
        <v>0</v>
      </c>
      <c r="G5656">
        <v>0</v>
      </c>
      <c r="H5656">
        <v>18</v>
      </c>
      <c r="I5656" s="3">
        <v>813.87</v>
      </c>
      <c r="J5656" s="3">
        <v>530.4</v>
      </c>
      <c r="L5656">
        <v>1121</v>
      </c>
      <c r="M5656" t="s">
        <v>13170</v>
      </c>
      <c r="N5656" t="s">
        <v>30</v>
      </c>
      <c r="O5656" t="s">
        <v>31</v>
      </c>
      <c r="P5656" t="str">
        <f>"15221"</f>
        <v>15221</v>
      </c>
    </row>
    <row r="5657" spans="1:16" x14ac:dyDescent="0.25">
      <c r="A5657" t="str">
        <f>"1120173E00047    00"</f>
        <v>1120173E00047    00</v>
      </c>
      <c r="B5657" t="s">
        <v>13171</v>
      </c>
      <c r="C5657" t="s">
        <v>13172</v>
      </c>
      <c r="D5657" t="s">
        <v>20</v>
      </c>
      <c r="E5657" t="s">
        <v>39</v>
      </c>
      <c r="F5657">
        <v>0</v>
      </c>
      <c r="G5657">
        <v>0</v>
      </c>
      <c r="H5657">
        <v>2</v>
      </c>
      <c r="I5657" s="3">
        <v>76.819999999999993</v>
      </c>
      <c r="J5657" s="3">
        <v>0.03</v>
      </c>
      <c r="L5657">
        <v>1388</v>
      </c>
      <c r="M5657" t="s">
        <v>11059</v>
      </c>
      <c r="N5657" t="s">
        <v>30</v>
      </c>
      <c r="O5657" t="s">
        <v>31</v>
      </c>
      <c r="P5657" t="str">
        <f>"15206"</f>
        <v>15206</v>
      </c>
    </row>
    <row r="5658" spans="1:16" x14ac:dyDescent="0.25">
      <c r="A5658" t="str">
        <f>"1120173E00048    00"</f>
        <v>1120173E00048    00</v>
      </c>
      <c r="B5658" t="s">
        <v>13173</v>
      </c>
      <c r="C5658" t="s">
        <v>13174</v>
      </c>
      <c r="D5658" t="s">
        <v>20</v>
      </c>
      <c r="E5658" t="s">
        <v>39</v>
      </c>
      <c r="F5658">
        <v>0</v>
      </c>
      <c r="G5658">
        <v>0</v>
      </c>
      <c r="H5658">
        <v>5</v>
      </c>
      <c r="I5658" s="3">
        <v>1055.03</v>
      </c>
      <c r="J5658" s="3">
        <v>182.26</v>
      </c>
      <c r="K5658" t="s">
        <v>13175</v>
      </c>
      <c r="M5658" t="s">
        <v>13176</v>
      </c>
      <c r="N5658" t="s">
        <v>13177</v>
      </c>
      <c r="O5658" t="s">
        <v>200</v>
      </c>
      <c r="P5658" t="str">
        <f>"11432"</f>
        <v>11432</v>
      </c>
    </row>
    <row r="5659" spans="1:16" x14ac:dyDescent="0.25">
      <c r="A5659" t="str">
        <f>"1120173E00052    00"</f>
        <v>1120173E00052    00</v>
      </c>
      <c r="B5659" t="s">
        <v>13178</v>
      </c>
      <c r="C5659" t="s">
        <v>13179</v>
      </c>
      <c r="D5659" t="s">
        <v>20</v>
      </c>
      <c r="E5659" t="s">
        <v>39</v>
      </c>
      <c r="F5659">
        <v>0</v>
      </c>
      <c r="G5659">
        <v>0</v>
      </c>
      <c r="H5659">
        <v>2</v>
      </c>
      <c r="I5659" s="3">
        <v>31.78</v>
      </c>
      <c r="J5659" s="3">
        <v>0.01</v>
      </c>
      <c r="L5659">
        <v>1378</v>
      </c>
      <c r="M5659" t="s">
        <v>11059</v>
      </c>
      <c r="N5659" t="s">
        <v>30</v>
      </c>
      <c r="O5659" t="s">
        <v>31</v>
      </c>
      <c r="P5659" t="str">
        <f>"15206"</f>
        <v>15206</v>
      </c>
    </row>
    <row r="5660" spans="1:16" x14ac:dyDescent="0.25">
      <c r="A5660" t="str">
        <f>"1120173E00053    00"</f>
        <v>1120173E00053    00</v>
      </c>
      <c r="B5660" t="s">
        <v>13180</v>
      </c>
      <c r="C5660" t="s">
        <v>13181</v>
      </c>
      <c r="D5660" t="s">
        <v>20</v>
      </c>
      <c r="E5660" t="s">
        <v>39</v>
      </c>
      <c r="F5660">
        <v>0</v>
      </c>
      <c r="G5660">
        <v>0</v>
      </c>
      <c r="H5660">
        <v>2</v>
      </c>
      <c r="I5660" s="3">
        <v>637.1</v>
      </c>
      <c r="J5660" s="3">
        <v>0</v>
      </c>
      <c r="L5660">
        <v>1505</v>
      </c>
      <c r="M5660" t="s">
        <v>13182</v>
      </c>
      <c r="N5660" t="s">
        <v>1004</v>
      </c>
      <c r="O5660" t="s">
        <v>1005</v>
      </c>
      <c r="P5660" t="str">
        <f>"85004"</f>
        <v>85004</v>
      </c>
    </row>
    <row r="5661" spans="1:16" x14ac:dyDescent="0.25">
      <c r="A5661" t="str">
        <f>"1120173E00054    00"</f>
        <v>1120173E00054    00</v>
      </c>
      <c r="B5661" t="s">
        <v>13183</v>
      </c>
      <c r="C5661" t="s">
        <v>13184</v>
      </c>
      <c r="D5661" t="s">
        <v>20</v>
      </c>
      <c r="E5661" t="s">
        <v>39</v>
      </c>
      <c r="F5661">
        <v>0</v>
      </c>
      <c r="G5661">
        <v>0</v>
      </c>
      <c r="H5661">
        <v>13</v>
      </c>
      <c r="I5661" s="3">
        <v>2220.89</v>
      </c>
      <c r="J5661" s="3">
        <v>1487.28</v>
      </c>
      <c r="L5661">
        <v>7115</v>
      </c>
      <c r="M5661" t="s">
        <v>12395</v>
      </c>
      <c r="N5661" t="s">
        <v>30</v>
      </c>
      <c r="O5661" t="s">
        <v>31</v>
      </c>
      <c r="P5661" t="str">
        <f>"15208"</f>
        <v>15208</v>
      </c>
    </row>
    <row r="5662" spans="1:16" x14ac:dyDescent="0.25">
      <c r="A5662" t="str">
        <f>"1120173E00056    00"</f>
        <v>1120173E00056    00</v>
      </c>
      <c r="B5662" t="s">
        <v>13185</v>
      </c>
      <c r="C5662" t="s">
        <v>11193</v>
      </c>
      <c r="D5662" t="s">
        <v>20</v>
      </c>
      <c r="E5662" t="s">
        <v>39</v>
      </c>
      <c r="F5662">
        <v>0</v>
      </c>
      <c r="G5662">
        <v>0</v>
      </c>
      <c r="H5662">
        <v>19</v>
      </c>
      <c r="I5662" s="3">
        <v>449.64</v>
      </c>
      <c r="J5662" s="3">
        <v>507.57</v>
      </c>
      <c r="K5662" t="s">
        <v>1008</v>
      </c>
      <c r="P5662" t="str">
        <f>""</f>
        <v/>
      </c>
    </row>
    <row r="5663" spans="1:16" x14ac:dyDescent="0.25">
      <c r="A5663" t="str">
        <f>"1120173E00057    00"</f>
        <v>1120173E00057    00</v>
      </c>
      <c r="B5663" t="s">
        <v>13186</v>
      </c>
      <c r="C5663" t="s">
        <v>13187</v>
      </c>
      <c r="D5663" t="s">
        <v>20</v>
      </c>
      <c r="E5663" t="s">
        <v>39</v>
      </c>
      <c r="F5663">
        <v>0</v>
      </c>
      <c r="G5663">
        <v>0</v>
      </c>
      <c r="H5663">
        <v>14</v>
      </c>
      <c r="I5663" s="3">
        <v>3695.12</v>
      </c>
      <c r="J5663" s="3">
        <v>3651.32</v>
      </c>
      <c r="L5663">
        <v>1368</v>
      </c>
      <c r="M5663" t="s">
        <v>11059</v>
      </c>
      <c r="N5663" t="s">
        <v>30</v>
      </c>
      <c r="O5663" t="s">
        <v>31</v>
      </c>
      <c r="P5663" t="str">
        <f>"15206"</f>
        <v>15206</v>
      </c>
    </row>
    <row r="5664" spans="1:16" x14ac:dyDescent="0.25">
      <c r="A5664" t="str">
        <f>"1120173E00061    00"</f>
        <v>1120173E00061    00</v>
      </c>
      <c r="B5664" t="s">
        <v>13188</v>
      </c>
      <c r="C5664" t="s">
        <v>13189</v>
      </c>
      <c r="D5664" t="s">
        <v>20</v>
      </c>
      <c r="E5664" t="s">
        <v>39</v>
      </c>
      <c r="F5664">
        <v>0</v>
      </c>
      <c r="G5664">
        <v>0</v>
      </c>
      <c r="H5664">
        <v>4</v>
      </c>
      <c r="I5664" s="3">
        <v>1327.39</v>
      </c>
      <c r="J5664" s="3">
        <v>126.29</v>
      </c>
      <c r="L5664">
        <v>12110</v>
      </c>
      <c r="M5664" t="s">
        <v>13190</v>
      </c>
      <c r="N5664" t="s">
        <v>30</v>
      </c>
      <c r="O5664" t="s">
        <v>31</v>
      </c>
      <c r="P5664" t="str">
        <f>"15235"</f>
        <v>15235</v>
      </c>
    </row>
    <row r="5665" spans="1:16" x14ac:dyDescent="0.25">
      <c r="A5665" t="str">
        <f>"1120173E00064    00"</f>
        <v>1120173E00064    00</v>
      </c>
      <c r="B5665" t="s">
        <v>13191</v>
      </c>
      <c r="C5665" t="s">
        <v>13192</v>
      </c>
      <c r="E5665" t="s">
        <v>39</v>
      </c>
      <c r="F5665">
        <v>0</v>
      </c>
      <c r="G5665">
        <v>0</v>
      </c>
      <c r="H5665">
        <v>1</v>
      </c>
      <c r="I5665" s="3">
        <v>352.59</v>
      </c>
      <c r="J5665" s="3">
        <v>417.21</v>
      </c>
      <c r="L5665">
        <v>1346</v>
      </c>
      <c r="M5665" t="s">
        <v>11059</v>
      </c>
      <c r="N5665" t="s">
        <v>30</v>
      </c>
      <c r="O5665" t="s">
        <v>31</v>
      </c>
      <c r="P5665" t="str">
        <f>"15206"</f>
        <v>15206</v>
      </c>
    </row>
    <row r="5666" spans="1:16" x14ac:dyDescent="0.25">
      <c r="A5666" t="str">
        <f>"1120173E00065    00"</f>
        <v>1120173E00065    00</v>
      </c>
      <c r="B5666" t="s">
        <v>13193</v>
      </c>
      <c r="C5666" t="s">
        <v>13194</v>
      </c>
      <c r="E5666" t="s">
        <v>39</v>
      </c>
      <c r="F5666">
        <v>0</v>
      </c>
      <c r="G5666">
        <v>0</v>
      </c>
      <c r="H5666">
        <v>2</v>
      </c>
      <c r="I5666" s="3">
        <v>376.34</v>
      </c>
      <c r="J5666" s="3">
        <v>14.47</v>
      </c>
      <c r="L5666">
        <v>1345</v>
      </c>
      <c r="M5666" t="s">
        <v>11059</v>
      </c>
      <c r="N5666" t="s">
        <v>30</v>
      </c>
      <c r="O5666" t="s">
        <v>31</v>
      </c>
      <c r="P5666" t="str">
        <f>"15206"</f>
        <v>15206</v>
      </c>
    </row>
    <row r="5667" spans="1:16" x14ac:dyDescent="0.25">
      <c r="A5667" t="str">
        <f>"1120173E00067    00"</f>
        <v>1120173E00067    00</v>
      </c>
      <c r="B5667" t="s">
        <v>13195</v>
      </c>
      <c r="C5667" t="s">
        <v>11193</v>
      </c>
      <c r="E5667" t="s">
        <v>39</v>
      </c>
      <c r="F5667">
        <v>0</v>
      </c>
      <c r="G5667">
        <v>0</v>
      </c>
      <c r="H5667">
        <v>6</v>
      </c>
      <c r="I5667" s="3">
        <v>324.44</v>
      </c>
      <c r="J5667" s="3">
        <v>214.76</v>
      </c>
      <c r="L5667">
        <v>1345</v>
      </c>
      <c r="M5667" t="s">
        <v>11059</v>
      </c>
      <c r="N5667" t="s">
        <v>30</v>
      </c>
      <c r="O5667" t="s">
        <v>31</v>
      </c>
      <c r="P5667" t="str">
        <f>"15206"</f>
        <v>15206</v>
      </c>
    </row>
    <row r="5668" spans="1:16" x14ac:dyDescent="0.25">
      <c r="A5668" t="str">
        <f>"1120173E00070    00"</f>
        <v>1120173E00070    00</v>
      </c>
      <c r="B5668" t="s">
        <v>13196</v>
      </c>
      <c r="C5668" t="s">
        <v>11095</v>
      </c>
      <c r="D5668" t="s">
        <v>20</v>
      </c>
      <c r="E5668" t="s">
        <v>39</v>
      </c>
      <c r="F5668">
        <v>0</v>
      </c>
      <c r="G5668">
        <v>0</v>
      </c>
      <c r="H5668">
        <v>19</v>
      </c>
      <c r="I5668" s="3">
        <v>966.4</v>
      </c>
      <c r="J5668" s="3">
        <v>898.73</v>
      </c>
      <c r="L5668">
        <v>408</v>
      </c>
      <c r="M5668" t="s">
        <v>13197</v>
      </c>
      <c r="N5668" t="s">
        <v>1183</v>
      </c>
      <c r="O5668" t="s">
        <v>1184</v>
      </c>
      <c r="P5668" t="str">
        <f>"20774"</f>
        <v>20774</v>
      </c>
    </row>
    <row r="5669" spans="1:16" x14ac:dyDescent="0.25">
      <c r="A5669" t="str">
        <f>"1120173E00076    00"</f>
        <v>1120173E00076    00</v>
      </c>
      <c r="B5669" t="s">
        <v>13198</v>
      </c>
      <c r="C5669" t="s">
        <v>13199</v>
      </c>
      <c r="E5669" t="s">
        <v>39</v>
      </c>
      <c r="F5669">
        <v>0</v>
      </c>
      <c r="G5669">
        <v>0</v>
      </c>
      <c r="H5669">
        <v>1</v>
      </c>
      <c r="I5669" s="3">
        <v>278.39</v>
      </c>
      <c r="J5669" s="3">
        <v>0</v>
      </c>
      <c r="L5669">
        <v>6928</v>
      </c>
      <c r="M5669" t="s">
        <v>12682</v>
      </c>
      <c r="N5669" t="s">
        <v>30</v>
      </c>
      <c r="O5669" t="s">
        <v>31</v>
      </c>
      <c r="P5669" t="str">
        <f>"15206"</f>
        <v>15206</v>
      </c>
    </row>
    <row r="5670" spans="1:16" x14ac:dyDescent="0.25">
      <c r="A5670" t="str">
        <f>"1120173E00080    00"</f>
        <v>1120173E00080    00</v>
      </c>
      <c r="B5670" t="s">
        <v>13200</v>
      </c>
      <c r="C5670" t="s">
        <v>13201</v>
      </c>
      <c r="D5670" t="s">
        <v>20</v>
      </c>
      <c r="E5670" t="s">
        <v>39</v>
      </c>
      <c r="F5670">
        <v>0</v>
      </c>
      <c r="G5670">
        <v>0</v>
      </c>
      <c r="H5670">
        <v>3</v>
      </c>
      <c r="I5670" s="3">
        <v>685.63</v>
      </c>
      <c r="J5670" s="3">
        <v>18.809999999999999</v>
      </c>
      <c r="K5670" t="s">
        <v>13202</v>
      </c>
      <c r="L5670">
        <v>1381</v>
      </c>
      <c r="M5670" t="s">
        <v>3634</v>
      </c>
      <c r="N5670" t="s">
        <v>30</v>
      </c>
      <c r="O5670" t="s">
        <v>31</v>
      </c>
      <c r="P5670" t="str">
        <f>"15206"</f>
        <v>15206</v>
      </c>
    </row>
    <row r="5671" spans="1:16" x14ac:dyDescent="0.25">
      <c r="A5671" t="str">
        <f>"1120173E00083    00"</f>
        <v>1120173E00083    00</v>
      </c>
      <c r="B5671" t="s">
        <v>13203</v>
      </c>
      <c r="C5671" t="s">
        <v>11361</v>
      </c>
      <c r="D5671" t="s">
        <v>20</v>
      </c>
      <c r="E5671" t="s">
        <v>39</v>
      </c>
      <c r="F5671">
        <v>0</v>
      </c>
      <c r="G5671">
        <v>0</v>
      </c>
      <c r="H5671">
        <v>19</v>
      </c>
      <c r="I5671" s="3">
        <v>2754.34</v>
      </c>
      <c r="J5671" s="3">
        <v>3740.32</v>
      </c>
      <c r="K5671" t="s">
        <v>13204</v>
      </c>
      <c r="L5671">
        <v>909</v>
      </c>
      <c r="M5671" t="s">
        <v>13205</v>
      </c>
      <c r="N5671" t="s">
        <v>331</v>
      </c>
      <c r="O5671" t="s">
        <v>108</v>
      </c>
      <c r="P5671" t="str">
        <f>"75038"</f>
        <v>75038</v>
      </c>
    </row>
    <row r="5672" spans="1:16" x14ac:dyDescent="0.25">
      <c r="A5672" t="str">
        <f>"1120173E00084    00"</f>
        <v>1120173E00084    00</v>
      </c>
      <c r="B5672" t="s">
        <v>13206</v>
      </c>
      <c r="C5672" t="s">
        <v>11361</v>
      </c>
      <c r="D5672" t="s">
        <v>20</v>
      </c>
      <c r="E5672" t="s">
        <v>39</v>
      </c>
      <c r="F5672">
        <v>0</v>
      </c>
      <c r="G5672">
        <v>0</v>
      </c>
      <c r="H5672">
        <v>14</v>
      </c>
      <c r="I5672" s="3">
        <v>1358.57</v>
      </c>
      <c r="J5672" s="3">
        <v>1444.04</v>
      </c>
      <c r="L5672">
        <v>8803</v>
      </c>
      <c r="M5672" t="s">
        <v>13207</v>
      </c>
      <c r="N5672" t="s">
        <v>5797</v>
      </c>
      <c r="O5672" t="s">
        <v>200</v>
      </c>
      <c r="P5672" t="str">
        <f>"11236"</f>
        <v>11236</v>
      </c>
    </row>
    <row r="5673" spans="1:16" x14ac:dyDescent="0.25">
      <c r="A5673" t="str">
        <f>"1120173E00086    00"</f>
        <v>1120173E00086    00</v>
      </c>
      <c r="B5673" t="s">
        <v>13208</v>
      </c>
      <c r="C5673" t="s">
        <v>11361</v>
      </c>
      <c r="D5673" t="s">
        <v>20</v>
      </c>
      <c r="E5673" t="s">
        <v>39</v>
      </c>
      <c r="F5673">
        <v>0</v>
      </c>
      <c r="G5673">
        <v>0</v>
      </c>
      <c r="H5673">
        <v>19</v>
      </c>
      <c r="I5673" s="3">
        <v>8756.57</v>
      </c>
      <c r="J5673" s="3">
        <v>12366.15</v>
      </c>
      <c r="L5673">
        <v>22537</v>
      </c>
      <c r="M5673" t="s">
        <v>13209</v>
      </c>
      <c r="N5673" t="s">
        <v>461</v>
      </c>
      <c r="O5673" t="s">
        <v>180</v>
      </c>
      <c r="P5673" t="str">
        <f>"80015"</f>
        <v>80015</v>
      </c>
    </row>
    <row r="5674" spans="1:16" x14ac:dyDescent="0.25">
      <c r="A5674" t="str">
        <f>"1120173E00092    00"</f>
        <v>1120173E00092    00</v>
      </c>
      <c r="B5674" t="s">
        <v>13210</v>
      </c>
      <c r="C5674" t="s">
        <v>13211</v>
      </c>
      <c r="D5674" t="s">
        <v>20</v>
      </c>
      <c r="E5674" t="s">
        <v>39</v>
      </c>
      <c r="F5674">
        <v>0</v>
      </c>
      <c r="G5674">
        <v>0</v>
      </c>
      <c r="H5674">
        <v>13</v>
      </c>
      <c r="I5674" s="3">
        <v>7966.35</v>
      </c>
      <c r="J5674" s="3">
        <v>4804.5200000000004</v>
      </c>
      <c r="L5674">
        <v>1363</v>
      </c>
      <c r="M5674" t="s">
        <v>3634</v>
      </c>
      <c r="N5674" t="s">
        <v>30</v>
      </c>
      <c r="O5674" t="s">
        <v>31</v>
      </c>
      <c r="P5674" t="str">
        <f>"15206"</f>
        <v>15206</v>
      </c>
    </row>
    <row r="5675" spans="1:16" x14ac:dyDescent="0.25">
      <c r="A5675" t="str">
        <f>"1120173E00105    00"</f>
        <v>1120173E00105    00</v>
      </c>
      <c r="B5675" t="s">
        <v>13212</v>
      </c>
      <c r="C5675" t="s">
        <v>11361</v>
      </c>
      <c r="E5675" t="s">
        <v>39</v>
      </c>
      <c r="F5675">
        <v>0</v>
      </c>
      <c r="G5675">
        <v>0</v>
      </c>
      <c r="H5675">
        <v>17</v>
      </c>
      <c r="I5675" s="3">
        <v>876.47</v>
      </c>
      <c r="J5675" s="3">
        <v>797.72</v>
      </c>
      <c r="K5675" t="s">
        <v>13213</v>
      </c>
      <c r="L5675">
        <v>11976</v>
      </c>
      <c r="M5675" t="s">
        <v>13214</v>
      </c>
      <c r="N5675" t="s">
        <v>13215</v>
      </c>
      <c r="O5675" t="s">
        <v>1005</v>
      </c>
      <c r="P5675" t="str">
        <f>"85323"</f>
        <v>85323</v>
      </c>
    </row>
    <row r="5676" spans="1:16" x14ac:dyDescent="0.25">
      <c r="A5676" t="str">
        <f>"1120173E00122    00"</f>
        <v>1120173E00122    00</v>
      </c>
      <c r="B5676" t="s">
        <v>11232</v>
      </c>
      <c r="C5676" t="s">
        <v>13216</v>
      </c>
      <c r="D5676" t="s">
        <v>20</v>
      </c>
      <c r="E5676" t="s">
        <v>39</v>
      </c>
      <c r="F5676">
        <v>0</v>
      </c>
      <c r="G5676">
        <v>0</v>
      </c>
      <c r="H5676">
        <v>19</v>
      </c>
      <c r="I5676" s="3">
        <v>13663.3</v>
      </c>
      <c r="J5676" s="3">
        <v>14765.33</v>
      </c>
      <c r="M5676" t="s">
        <v>2690</v>
      </c>
      <c r="N5676" t="s">
        <v>30</v>
      </c>
      <c r="O5676" t="s">
        <v>31</v>
      </c>
      <c r="P5676" t="str">
        <f>"15206"</f>
        <v>15206</v>
      </c>
    </row>
    <row r="5677" spans="1:16" x14ac:dyDescent="0.25">
      <c r="A5677" t="str">
        <f>"1120173E00124    00"</f>
        <v>1120173E00124    00</v>
      </c>
      <c r="B5677" t="s">
        <v>13217</v>
      </c>
      <c r="C5677" t="s">
        <v>11095</v>
      </c>
      <c r="D5677" t="s">
        <v>20</v>
      </c>
      <c r="E5677" t="s">
        <v>39</v>
      </c>
      <c r="F5677">
        <v>0</v>
      </c>
      <c r="G5677">
        <v>0</v>
      </c>
      <c r="H5677">
        <v>15</v>
      </c>
      <c r="I5677" s="3">
        <v>3547.08</v>
      </c>
      <c r="J5677" s="3">
        <v>4753.6400000000003</v>
      </c>
      <c r="L5677">
        <v>655</v>
      </c>
      <c r="M5677" t="s">
        <v>13218</v>
      </c>
      <c r="N5677" t="s">
        <v>6718</v>
      </c>
      <c r="O5677" t="s">
        <v>108</v>
      </c>
      <c r="P5677" t="str">
        <f>"77477"</f>
        <v>77477</v>
      </c>
    </row>
    <row r="5678" spans="1:16" x14ac:dyDescent="0.25">
      <c r="A5678" t="str">
        <f>"1120173E00125    00"</f>
        <v>1120173E00125    00</v>
      </c>
      <c r="B5678" t="s">
        <v>13219</v>
      </c>
      <c r="C5678" t="s">
        <v>11095</v>
      </c>
      <c r="D5678" t="s">
        <v>20</v>
      </c>
      <c r="E5678" t="s">
        <v>39</v>
      </c>
      <c r="F5678">
        <v>0</v>
      </c>
      <c r="G5678">
        <v>0</v>
      </c>
      <c r="H5678">
        <v>17</v>
      </c>
      <c r="I5678" s="3">
        <v>6879.75</v>
      </c>
      <c r="J5678" s="3">
        <v>9823.07</v>
      </c>
      <c r="L5678">
        <v>125</v>
      </c>
      <c r="M5678" t="s">
        <v>13220</v>
      </c>
      <c r="N5678" t="s">
        <v>4598</v>
      </c>
      <c r="O5678" t="s">
        <v>31</v>
      </c>
      <c r="P5678" t="str">
        <f>"15401"</f>
        <v>15401</v>
      </c>
    </row>
    <row r="5679" spans="1:16" x14ac:dyDescent="0.25">
      <c r="A5679" t="str">
        <f>"1120173E00132    00"</f>
        <v>1120173E00132    00</v>
      </c>
      <c r="B5679" t="s">
        <v>13221</v>
      </c>
      <c r="C5679" t="s">
        <v>11095</v>
      </c>
      <c r="D5679" t="s">
        <v>20</v>
      </c>
      <c r="E5679" t="s">
        <v>39</v>
      </c>
      <c r="F5679">
        <v>0</v>
      </c>
      <c r="G5679">
        <v>0</v>
      </c>
      <c r="H5679">
        <v>17</v>
      </c>
      <c r="I5679" s="3">
        <v>5863.84</v>
      </c>
      <c r="J5679" s="3">
        <v>8620</v>
      </c>
      <c r="K5679" t="s">
        <v>13222</v>
      </c>
      <c r="L5679">
        <v>527</v>
      </c>
      <c r="M5679" t="s">
        <v>11137</v>
      </c>
      <c r="N5679" t="s">
        <v>30</v>
      </c>
      <c r="O5679" t="s">
        <v>31</v>
      </c>
      <c r="P5679" t="str">
        <f>"15206"</f>
        <v>15206</v>
      </c>
    </row>
    <row r="5680" spans="1:16" x14ac:dyDescent="0.25">
      <c r="A5680" t="str">
        <f>"1120173E00133    00"</f>
        <v>1120173E00133    00</v>
      </c>
      <c r="B5680" t="s">
        <v>11232</v>
      </c>
      <c r="C5680" t="s">
        <v>11095</v>
      </c>
      <c r="D5680" t="s">
        <v>20</v>
      </c>
      <c r="E5680" t="s">
        <v>39</v>
      </c>
      <c r="F5680">
        <v>0</v>
      </c>
      <c r="G5680">
        <v>0</v>
      </c>
      <c r="H5680">
        <v>19</v>
      </c>
      <c r="I5680" s="3">
        <v>8250.93</v>
      </c>
      <c r="J5680" s="3">
        <v>10848.89</v>
      </c>
      <c r="M5680" t="s">
        <v>2690</v>
      </c>
      <c r="N5680" t="s">
        <v>30</v>
      </c>
      <c r="O5680" t="s">
        <v>31</v>
      </c>
      <c r="P5680" t="str">
        <f>"15206"</f>
        <v>15206</v>
      </c>
    </row>
    <row r="5681" spans="1:16" x14ac:dyDescent="0.25">
      <c r="A5681" t="str">
        <f>"1120173E00139    00"</f>
        <v>1120173E00139    00</v>
      </c>
      <c r="B5681" t="s">
        <v>13223</v>
      </c>
      <c r="C5681" t="s">
        <v>11095</v>
      </c>
      <c r="D5681" t="s">
        <v>20</v>
      </c>
      <c r="E5681" t="s">
        <v>39</v>
      </c>
      <c r="F5681">
        <v>0</v>
      </c>
      <c r="G5681">
        <v>0</v>
      </c>
      <c r="H5681">
        <v>3</v>
      </c>
      <c r="I5681" s="3">
        <v>28.22</v>
      </c>
      <c r="J5681" s="3">
        <v>2.74</v>
      </c>
      <c r="L5681">
        <v>1330</v>
      </c>
      <c r="M5681" t="s">
        <v>3249</v>
      </c>
      <c r="N5681" t="s">
        <v>30</v>
      </c>
      <c r="O5681" t="s">
        <v>31</v>
      </c>
      <c r="P5681" t="str">
        <f>"15206"</f>
        <v>15206</v>
      </c>
    </row>
    <row r="5682" spans="1:16" x14ac:dyDescent="0.25">
      <c r="A5682" t="str">
        <f>"1120173E00140    00"</f>
        <v>1120173E00140    00</v>
      </c>
      <c r="B5682" t="s">
        <v>13224</v>
      </c>
      <c r="C5682" t="s">
        <v>11095</v>
      </c>
      <c r="D5682" t="s">
        <v>20</v>
      </c>
      <c r="E5682" t="s">
        <v>39</v>
      </c>
      <c r="F5682">
        <v>0</v>
      </c>
      <c r="G5682">
        <v>0</v>
      </c>
      <c r="H5682">
        <v>16</v>
      </c>
      <c r="I5682" s="3">
        <v>2120.06</v>
      </c>
      <c r="J5682" s="3">
        <v>2908.92</v>
      </c>
      <c r="M5682" t="s">
        <v>13225</v>
      </c>
      <c r="P5682" t="str">
        <f>""</f>
        <v/>
      </c>
    </row>
    <row r="5683" spans="1:16" x14ac:dyDescent="0.25">
      <c r="A5683" t="str">
        <f>"1120173E00141    00"</f>
        <v>1120173E00141    00</v>
      </c>
      <c r="B5683" t="s">
        <v>13226</v>
      </c>
      <c r="C5683" t="s">
        <v>13227</v>
      </c>
      <c r="D5683" t="s">
        <v>20</v>
      </c>
      <c r="E5683" t="s">
        <v>39</v>
      </c>
      <c r="F5683">
        <v>0</v>
      </c>
      <c r="G5683">
        <v>0</v>
      </c>
      <c r="H5683">
        <v>3</v>
      </c>
      <c r="I5683" s="3">
        <v>1177.92</v>
      </c>
      <c r="J5683" s="3">
        <v>78.53</v>
      </c>
      <c r="L5683">
        <v>3337</v>
      </c>
      <c r="M5683" t="s">
        <v>13228</v>
      </c>
      <c r="N5683" t="s">
        <v>30</v>
      </c>
      <c r="O5683" t="s">
        <v>31</v>
      </c>
      <c r="P5683" t="str">
        <f>"15212"</f>
        <v>15212</v>
      </c>
    </row>
    <row r="5684" spans="1:16" x14ac:dyDescent="0.25">
      <c r="A5684" t="str">
        <f>"1120173E00143    00"</f>
        <v>1120173E00143    00</v>
      </c>
      <c r="B5684" t="s">
        <v>13229</v>
      </c>
      <c r="C5684" t="s">
        <v>11361</v>
      </c>
      <c r="D5684" t="s">
        <v>20</v>
      </c>
      <c r="E5684" t="s">
        <v>39</v>
      </c>
      <c r="F5684">
        <v>0</v>
      </c>
      <c r="G5684">
        <v>0</v>
      </c>
      <c r="H5684">
        <v>19</v>
      </c>
      <c r="I5684" s="3">
        <v>449.64</v>
      </c>
      <c r="J5684" s="3">
        <v>507.57</v>
      </c>
      <c r="L5684">
        <v>1342</v>
      </c>
      <c r="M5684" t="s">
        <v>3634</v>
      </c>
      <c r="N5684" t="s">
        <v>30</v>
      </c>
      <c r="O5684" t="s">
        <v>31</v>
      </c>
      <c r="P5684" t="str">
        <f>"15206"</f>
        <v>15206</v>
      </c>
    </row>
    <row r="5685" spans="1:16" x14ac:dyDescent="0.25">
      <c r="A5685" t="str">
        <f>"1120173E00144    00"</f>
        <v>1120173E00144    00</v>
      </c>
      <c r="B5685" t="s">
        <v>13230</v>
      </c>
      <c r="C5685" t="s">
        <v>11361</v>
      </c>
      <c r="D5685" t="s">
        <v>20</v>
      </c>
      <c r="E5685" t="s">
        <v>39</v>
      </c>
      <c r="F5685">
        <v>0</v>
      </c>
      <c r="G5685">
        <v>0</v>
      </c>
      <c r="H5685">
        <v>19</v>
      </c>
      <c r="I5685" s="3">
        <v>1007.56</v>
      </c>
      <c r="J5685" s="3">
        <v>800.41</v>
      </c>
      <c r="K5685" t="s">
        <v>13231</v>
      </c>
      <c r="L5685">
        <v>1373</v>
      </c>
      <c r="M5685" t="s">
        <v>3634</v>
      </c>
      <c r="N5685" t="s">
        <v>30</v>
      </c>
      <c r="O5685" t="s">
        <v>31</v>
      </c>
      <c r="P5685" t="str">
        <f>"15206"</f>
        <v>15206</v>
      </c>
    </row>
    <row r="5686" spans="1:16" x14ac:dyDescent="0.25">
      <c r="A5686" t="str">
        <f>"1120173E00145    00"</f>
        <v>1120173E00145    00</v>
      </c>
      <c r="B5686" t="s">
        <v>13232</v>
      </c>
      <c r="C5686" t="s">
        <v>11361</v>
      </c>
      <c r="D5686" t="s">
        <v>20</v>
      </c>
      <c r="E5686" t="s">
        <v>39</v>
      </c>
      <c r="F5686">
        <v>0</v>
      </c>
      <c r="G5686">
        <v>0</v>
      </c>
      <c r="H5686">
        <v>19</v>
      </c>
      <c r="I5686" s="3">
        <v>2500.06</v>
      </c>
      <c r="J5686" s="3">
        <v>2941.25</v>
      </c>
      <c r="P5686" t="str">
        <f>""</f>
        <v/>
      </c>
    </row>
    <row r="5687" spans="1:16" x14ac:dyDescent="0.25">
      <c r="A5687" t="str">
        <f>"1120173E00151    00"</f>
        <v>1120173E00151    00</v>
      </c>
      <c r="B5687" t="s">
        <v>13233</v>
      </c>
      <c r="C5687" t="s">
        <v>13234</v>
      </c>
      <c r="D5687" t="s">
        <v>20</v>
      </c>
      <c r="E5687" t="s">
        <v>39</v>
      </c>
      <c r="F5687">
        <v>0</v>
      </c>
      <c r="G5687">
        <v>0</v>
      </c>
      <c r="H5687">
        <v>2</v>
      </c>
      <c r="I5687" s="3">
        <v>1021.6</v>
      </c>
      <c r="J5687" s="3">
        <v>0</v>
      </c>
      <c r="L5687">
        <v>1359</v>
      </c>
      <c r="M5687" t="s">
        <v>11753</v>
      </c>
      <c r="N5687" t="s">
        <v>30</v>
      </c>
      <c r="O5687" t="s">
        <v>31</v>
      </c>
      <c r="P5687" t="str">
        <f>"15206"</f>
        <v>15206</v>
      </c>
    </row>
    <row r="5688" spans="1:16" x14ac:dyDescent="0.25">
      <c r="A5688" t="str">
        <f>"1120173E00152    00"</f>
        <v>1120173E00152    00</v>
      </c>
      <c r="B5688" t="s">
        <v>13235</v>
      </c>
      <c r="C5688" t="s">
        <v>13236</v>
      </c>
      <c r="D5688" t="s">
        <v>20</v>
      </c>
      <c r="E5688" t="s">
        <v>39</v>
      </c>
      <c r="F5688">
        <v>0</v>
      </c>
      <c r="G5688">
        <v>0</v>
      </c>
      <c r="H5688">
        <v>16</v>
      </c>
      <c r="I5688" s="3">
        <v>8767.23</v>
      </c>
      <c r="J5688" s="3">
        <v>7157.63</v>
      </c>
      <c r="M5688" t="s">
        <v>13237</v>
      </c>
      <c r="N5688" t="s">
        <v>2644</v>
      </c>
      <c r="O5688" t="s">
        <v>1005</v>
      </c>
      <c r="P5688" t="str">
        <f>"85312"</f>
        <v>85312</v>
      </c>
    </row>
    <row r="5689" spans="1:16" x14ac:dyDescent="0.25">
      <c r="A5689" t="str">
        <f>"1120173E00153    00"</f>
        <v>1120173E00153    00</v>
      </c>
      <c r="B5689" t="s">
        <v>13238</v>
      </c>
      <c r="C5689" t="s">
        <v>13239</v>
      </c>
      <c r="D5689" t="s">
        <v>20</v>
      </c>
      <c r="E5689" t="s">
        <v>39</v>
      </c>
      <c r="F5689">
        <v>0</v>
      </c>
      <c r="G5689">
        <v>0</v>
      </c>
      <c r="H5689">
        <v>5</v>
      </c>
      <c r="I5689" s="3">
        <v>121.87</v>
      </c>
      <c r="J5689" s="3">
        <v>21.59</v>
      </c>
      <c r="L5689">
        <v>322</v>
      </c>
      <c r="M5689" t="s">
        <v>13240</v>
      </c>
      <c r="N5689" t="s">
        <v>30</v>
      </c>
      <c r="O5689" t="s">
        <v>31</v>
      </c>
      <c r="P5689" t="str">
        <f>"15212"</f>
        <v>15212</v>
      </c>
    </row>
    <row r="5690" spans="1:16" x14ac:dyDescent="0.25">
      <c r="A5690" t="str">
        <f>"1120173E00157    00"</f>
        <v>1120173E00157    00</v>
      </c>
      <c r="B5690" t="s">
        <v>13241</v>
      </c>
      <c r="C5690" t="s">
        <v>13239</v>
      </c>
      <c r="D5690" t="s">
        <v>20</v>
      </c>
      <c r="E5690" t="s">
        <v>39</v>
      </c>
      <c r="F5690">
        <v>0</v>
      </c>
      <c r="G5690">
        <v>0</v>
      </c>
      <c r="H5690">
        <v>4</v>
      </c>
      <c r="I5690" s="3">
        <v>3393.51</v>
      </c>
      <c r="J5690" s="3">
        <v>0</v>
      </c>
      <c r="K5690" t="s">
        <v>13242</v>
      </c>
      <c r="L5690">
        <v>119</v>
      </c>
      <c r="M5690" t="s">
        <v>13243</v>
      </c>
      <c r="N5690" t="s">
        <v>30</v>
      </c>
      <c r="O5690" t="s">
        <v>31</v>
      </c>
      <c r="P5690" t="str">
        <f>"15235"</f>
        <v>15235</v>
      </c>
    </row>
    <row r="5691" spans="1:16" x14ac:dyDescent="0.25">
      <c r="A5691" t="str">
        <f>"1120173E00161    00"</f>
        <v>1120173E00161    00</v>
      </c>
      <c r="B5691" t="s">
        <v>13238</v>
      </c>
      <c r="C5691" t="s">
        <v>13239</v>
      </c>
      <c r="D5691" t="s">
        <v>20</v>
      </c>
      <c r="E5691" t="s">
        <v>39</v>
      </c>
      <c r="F5691">
        <v>0</v>
      </c>
      <c r="G5691">
        <v>0</v>
      </c>
      <c r="H5691">
        <v>5</v>
      </c>
      <c r="I5691" s="3">
        <v>402.97</v>
      </c>
      <c r="J5691" s="3">
        <v>71.37</v>
      </c>
      <c r="L5691">
        <v>322</v>
      </c>
      <c r="M5691" t="s">
        <v>13240</v>
      </c>
      <c r="N5691" t="s">
        <v>30</v>
      </c>
      <c r="O5691" t="s">
        <v>31</v>
      </c>
      <c r="P5691" t="str">
        <f>"15212"</f>
        <v>15212</v>
      </c>
    </row>
    <row r="5692" spans="1:16" x14ac:dyDescent="0.25">
      <c r="A5692" t="str">
        <f>"1120173E00163    00"</f>
        <v>1120173E00163    00</v>
      </c>
      <c r="B5692" t="s">
        <v>13244</v>
      </c>
      <c r="C5692" t="s">
        <v>13245</v>
      </c>
      <c r="D5692" t="s">
        <v>20</v>
      </c>
      <c r="E5692" t="s">
        <v>39</v>
      </c>
      <c r="F5692">
        <v>0</v>
      </c>
      <c r="G5692">
        <v>0</v>
      </c>
      <c r="H5692">
        <v>2</v>
      </c>
      <c r="I5692" s="3">
        <v>713.09</v>
      </c>
      <c r="J5692" s="3">
        <v>0</v>
      </c>
      <c r="K5692" t="s">
        <v>13246</v>
      </c>
      <c r="L5692">
        <v>1331</v>
      </c>
      <c r="M5692" t="s">
        <v>11753</v>
      </c>
      <c r="N5692" t="s">
        <v>30</v>
      </c>
      <c r="O5692" t="s">
        <v>31</v>
      </c>
      <c r="P5692" t="str">
        <f t="shared" ref="P5692:P5700" si="74">"15206"</f>
        <v>15206</v>
      </c>
    </row>
    <row r="5693" spans="1:16" x14ac:dyDescent="0.25">
      <c r="A5693" t="str">
        <f>"1120173E00164    00"</f>
        <v>1120173E00164    00</v>
      </c>
      <c r="B5693" t="s">
        <v>13247</v>
      </c>
      <c r="C5693" t="s">
        <v>13248</v>
      </c>
      <c r="D5693" t="s">
        <v>20</v>
      </c>
      <c r="E5693" t="s">
        <v>39</v>
      </c>
      <c r="F5693">
        <v>0</v>
      </c>
      <c r="G5693">
        <v>0</v>
      </c>
      <c r="H5693">
        <v>2</v>
      </c>
      <c r="I5693" s="3">
        <v>1238.92</v>
      </c>
      <c r="J5693" s="3">
        <v>0</v>
      </c>
      <c r="L5693">
        <v>1329</v>
      </c>
      <c r="M5693" t="s">
        <v>11753</v>
      </c>
      <c r="N5693" t="s">
        <v>30</v>
      </c>
      <c r="O5693" t="s">
        <v>31</v>
      </c>
      <c r="P5693" t="str">
        <f t="shared" si="74"/>
        <v>15206</v>
      </c>
    </row>
    <row r="5694" spans="1:16" x14ac:dyDescent="0.25">
      <c r="A5694" t="str">
        <f>"1120173E00168    00"</f>
        <v>1120173E00168    00</v>
      </c>
      <c r="B5694" t="s">
        <v>13249</v>
      </c>
      <c r="C5694" t="s">
        <v>13250</v>
      </c>
      <c r="D5694" t="s">
        <v>20</v>
      </c>
      <c r="E5694" t="s">
        <v>39</v>
      </c>
      <c r="F5694">
        <v>0</v>
      </c>
      <c r="G5694">
        <v>0</v>
      </c>
      <c r="H5694">
        <v>8</v>
      </c>
      <c r="I5694" s="3">
        <v>4057.53</v>
      </c>
      <c r="J5694" s="3">
        <v>1257.06</v>
      </c>
      <c r="L5694">
        <v>1334</v>
      </c>
      <c r="M5694" t="s">
        <v>11753</v>
      </c>
      <c r="N5694" t="s">
        <v>30</v>
      </c>
      <c r="O5694" t="s">
        <v>31</v>
      </c>
      <c r="P5694" t="str">
        <f t="shared" si="74"/>
        <v>15206</v>
      </c>
    </row>
    <row r="5695" spans="1:16" x14ac:dyDescent="0.25">
      <c r="A5695" t="str">
        <f>"1120173E00170    00"</f>
        <v>1120173E00170    00</v>
      </c>
      <c r="B5695" t="s">
        <v>13251</v>
      </c>
      <c r="C5695" t="s">
        <v>13252</v>
      </c>
      <c r="D5695" t="s">
        <v>20</v>
      </c>
      <c r="E5695" t="s">
        <v>39</v>
      </c>
      <c r="F5695">
        <v>0</v>
      </c>
      <c r="G5695">
        <v>0</v>
      </c>
      <c r="H5695">
        <v>9</v>
      </c>
      <c r="I5695" s="3">
        <v>2890.67</v>
      </c>
      <c r="J5695" s="3">
        <v>2073.04</v>
      </c>
      <c r="L5695">
        <v>1340</v>
      </c>
      <c r="M5695" t="s">
        <v>11753</v>
      </c>
      <c r="N5695" t="s">
        <v>30</v>
      </c>
      <c r="O5695" t="s">
        <v>31</v>
      </c>
      <c r="P5695" t="str">
        <f t="shared" si="74"/>
        <v>15206</v>
      </c>
    </row>
    <row r="5696" spans="1:16" x14ac:dyDescent="0.25">
      <c r="A5696" t="str">
        <f>"1120173E00171    00"</f>
        <v>1120173E00171    00</v>
      </c>
      <c r="B5696" t="s">
        <v>13253</v>
      </c>
      <c r="C5696" t="s">
        <v>13254</v>
      </c>
      <c r="D5696" t="s">
        <v>20</v>
      </c>
      <c r="E5696" t="s">
        <v>39</v>
      </c>
      <c r="F5696">
        <v>0</v>
      </c>
      <c r="G5696">
        <v>0</v>
      </c>
      <c r="H5696">
        <v>2</v>
      </c>
      <c r="I5696" s="3">
        <v>964.44</v>
      </c>
      <c r="J5696" s="3">
        <v>96.44</v>
      </c>
      <c r="K5696" t="s">
        <v>13255</v>
      </c>
      <c r="L5696">
        <v>7013</v>
      </c>
      <c r="M5696" t="s">
        <v>2507</v>
      </c>
      <c r="N5696" t="s">
        <v>30</v>
      </c>
      <c r="O5696" t="s">
        <v>31</v>
      </c>
      <c r="P5696" t="str">
        <f t="shared" si="74"/>
        <v>15206</v>
      </c>
    </row>
    <row r="5697" spans="1:16" x14ac:dyDescent="0.25">
      <c r="A5697" t="str">
        <f>"1120173E00178    00"</f>
        <v>1120173E00178    00</v>
      </c>
      <c r="B5697" t="s">
        <v>13256</v>
      </c>
      <c r="C5697" t="s">
        <v>13257</v>
      </c>
      <c r="D5697" t="s">
        <v>20</v>
      </c>
      <c r="E5697" t="s">
        <v>39</v>
      </c>
      <c r="F5697">
        <v>0</v>
      </c>
      <c r="G5697">
        <v>0</v>
      </c>
      <c r="H5697">
        <v>4</v>
      </c>
      <c r="I5697" s="3">
        <v>201.5</v>
      </c>
      <c r="J5697" s="3">
        <v>47.97</v>
      </c>
      <c r="L5697">
        <v>1352</v>
      </c>
      <c r="M5697" t="s">
        <v>11753</v>
      </c>
      <c r="N5697" t="s">
        <v>30</v>
      </c>
      <c r="O5697" t="s">
        <v>31</v>
      </c>
      <c r="P5697" t="str">
        <f t="shared" si="74"/>
        <v>15206</v>
      </c>
    </row>
    <row r="5698" spans="1:16" x14ac:dyDescent="0.25">
      <c r="A5698" t="str">
        <f>"1120173E00181    00"</f>
        <v>1120173E00181    00</v>
      </c>
      <c r="B5698" t="s">
        <v>11232</v>
      </c>
      <c r="C5698" t="s">
        <v>11795</v>
      </c>
      <c r="D5698" t="s">
        <v>20</v>
      </c>
      <c r="E5698" t="s">
        <v>39</v>
      </c>
      <c r="F5698">
        <v>0</v>
      </c>
      <c r="G5698">
        <v>0</v>
      </c>
      <c r="H5698">
        <v>19</v>
      </c>
      <c r="I5698" s="3">
        <v>5218.47</v>
      </c>
      <c r="J5698" s="3">
        <v>7268.25</v>
      </c>
      <c r="L5698">
        <v>0</v>
      </c>
      <c r="M5698" t="s">
        <v>2690</v>
      </c>
      <c r="N5698" t="s">
        <v>30</v>
      </c>
      <c r="O5698" t="s">
        <v>31</v>
      </c>
      <c r="P5698" t="str">
        <f t="shared" si="74"/>
        <v>15206</v>
      </c>
    </row>
    <row r="5699" spans="1:16" x14ac:dyDescent="0.25">
      <c r="A5699" t="str">
        <f>"1120173E00182    00"</f>
        <v>1120173E00182    00</v>
      </c>
      <c r="B5699" t="s">
        <v>13258</v>
      </c>
      <c r="C5699" t="s">
        <v>11795</v>
      </c>
      <c r="D5699" t="s">
        <v>20</v>
      </c>
      <c r="E5699" t="s">
        <v>39</v>
      </c>
      <c r="F5699">
        <v>0</v>
      </c>
      <c r="G5699">
        <v>0</v>
      </c>
      <c r="H5699">
        <v>19</v>
      </c>
      <c r="I5699" s="3">
        <v>8091.11</v>
      </c>
      <c r="J5699" s="3">
        <v>11531.21</v>
      </c>
      <c r="L5699">
        <v>1364</v>
      </c>
      <c r="M5699" t="s">
        <v>11753</v>
      </c>
      <c r="N5699" t="s">
        <v>30</v>
      </c>
      <c r="O5699" t="s">
        <v>31</v>
      </c>
      <c r="P5699" t="str">
        <f t="shared" si="74"/>
        <v>15206</v>
      </c>
    </row>
    <row r="5700" spans="1:16" x14ac:dyDescent="0.25">
      <c r="A5700" t="str">
        <f>"1120173E00183    00"</f>
        <v>1120173E00183    00</v>
      </c>
      <c r="B5700" t="s">
        <v>13259</v>
      </c>
      <c r="C5700" t="s">
        <v>13260</v>
      </c>
      <c r="D5700" t="s">
        <v>20</v>
      </c>
      <c r="E5700" t="s">
        <v>39</v>
      </c>
      <c r="F5700">
        <v>0</v>
      </c>
      <c r="G5700">
        <v>0</v>
      </c>
      <c r="H5700">
        <v>1</v>
      </c>
      <c r="I5700" s="3">
        <v>96.03</v>
      </c>
      <c r="J5700" s="3">
        <v>0</v>
      </c>
      <c r="K5700" t="s">
        <v>13261</v>
      </c>
      <c r="L5700">
        <v>430</v>
      </c>
      <c r="M5700" t="s">
        <v>13262</v>
      </c>
      <c r="N5700" t="s">
        <v>30</v>
      </c>
      <c r="O5700" t="s">
        <v>31</v>
      </c>
      <c r="P5700" t="str">
        <f t="shared" si="74"/>
        <v>15206</v>
      </c>
    </row>
    <row r="5701" spans="1:16" x14ac:dyDescent="0.25">
      <c r="A5701" t="str">
        <f>"1120173E00185    00"</f>
        <v>1120173E00185    00</v>
      </c>
      <c r="B5701" t="s">
        <v>13263</v>
      </c>
      <c r="C5701" t="s">
        <v>11361</v>
      </c>
      <c r="D5701" t="s">
        <v>20</v>
      </c>
      <c r="E5701" t="s">
        <v>39</v>
      </c>
      <c r="F5701">
        <v>0</v>
      </c>
      <c r="G5701">
        <v>0</v>
      </c>
      <c r="H5701">
        <v>19</v>
      </c>
      <c r="I5701" s="3">
        <v>402.99</v>
      </c>
      <c r="J5701" s="3">
        <v>460.53</v>
      </c>
      <c r="K5701" t="s">
        <v>1008</v>
      </c>
      <c r="P5701" t="str">
        <f>""</f>
        <v/>
      </c>
    </row>
    <row r="5702" spans="1:16" x14ac:dyDescent="0.25">
      <c r="A5702" t="str">
        <f>"1120173E00186    00"</f>
        <v>1120173E00186    00</v>
      </c>
      <c r="B5702" t="s">
        <v>13264</v>
      </c>
      <c r="C5702" t="s">
        <v>11361</v>
      </c>
      <c r="D5702" t="s">
        <v>20</v>
      </c>
      <c r="E5702" t="s">
        <v>39</v>
      </c>
      <c r="F5702">
        <v>0</v>
      </c>
      <c r="G5702">
        <v>0</v>
      </c>
      <c r="H5702">
        <v>19</v>
      </c>
      <c r="I5702" s="3">
        <v>523.65</v>
      </c>
      <c r="J5702" s="3">
        <v>614.15</v>
      </c>
      <c r="L5702">
        <v>1358</v>
      </c>
      <c r="M5702" t="s">
        <v>3634</v>
      </c>
      <c r="N5702" t="s">
        <v>30</v>
      </c>
      <c r="O5702" t="s">
        <v>31</v>
      </c>
      <c r="P5702" t="str">
        <f>"15206"</f>
        <v>15206</v>
      </c>
    </row>
    <row r="5703" spans="1:16" x14ac:dyDescent="0.25">
      <c r="A5703" t="str">
        <f>"1120173E00188    00"</f>
        <v>1120173E00188    00</v>
      </c>
      <c r="B5703" t="s">
        <v>13265</v>
      </c>
      <c r="C5703" t="s">
        <v>13266</v>
      </c>
      <c r="D5703" t="s">
        <v>20</v>
      </c>
      <c r="E5703" t="s">
        <v>39</v>
      </c>
      <c r="F5703">
        <v>0</v>
      </c>
      <c r="G5703">
        <v>0</v>
      </c>
      <c r="H5703">
        <v>19</v>
      </c>
      <c r="I5703" s="3">
        <v>10271.26</v>
      </c>
      <c r="J5703" s="3">
        <v>13027.75</v>
      </c>
      <c r="K5703" t="s">
        <v>13267</v>
      </c>
      <c r="L5703">
        <v>1362</v>
      </c>
      <c r="M5703" t="s">
        <v>3634</v>
      </c>
      <c r="N5703" t="s">
        <v>30</v>
      </c>
      <c r="O5703" t="s">
        <v>31</v>
      </c>
      <c r="P5703" t="str">
        <f>"15206"</f>
        <v>15206</v>
      </c>
    </row>
    <row r="5704" spans="1:16" x14ac:dyDescent="0.25">
      <c r="A5704" t="str">
        <f>"1120173E00189    00"</f>
        <v>1120173E00189    00</v>
      </c>
      <c r="B5704" t="s">
        <v>13268</v>
      </c>
      <c r="C5704" t="s">
        <v>13269</v>
      </c>
      <c r="D5704" t="s">
        <v>20</v>
      </c>
      <c r="E5704" t="s">
        <v>39</v>
      </c>
      <c r="F5704">
        <v>0</v>
      </c>
      <c r="G5704">
        <v>0</v>
      </c>
      <c r="H5704">
        <v>1</v>
      </c>
      <c r="I5704" s="3">
        <v>237.43</v>
      </c>
      <c r="J5704" s="3">
        <v>0</v>
      </c>
      <c r="K5704" t="s">
        <v>13270</v>
      </c>
      <c r="L5704">
        <v>1364</v>
      </c>
      <c r="M5704" t="s">
        <v>3634</v>
      </c>
      <c r="N5704" t="s">
        <v>30</v>
      </c>
      <c r="O5704" t="s">
        <v>31</v>
      </c>
      <c r="P5704" t="str">
        <f>"15206"</f>
        <v>15206</v>
      </c>
    </row>
    <row r="5705" spans="1:16" x14ac:dyDescent="0.25">
      <c r="A5705" t="str">
        <f>"1120173E00190    00"</f>
        <v>1120173E00190    00</v>
      </c>
      <c r="B5705" t="s">
        <v>13271</v>
      </c>
      <c r="C5705" t="s">
        <v>13272</v>
      </c>
      <c r="D5705" t="s">
        <v>20</v>
      </c>
      <c r="E5705" t="s">
        <v>39</v>
      </c>
      <c r="F5705">
        <v>0</v>
      </c>
      <c r="G5705">
        <v>0</v>
      </c>
      <c r="H5705">
        <v>5</v>
      </c>
      <c r="I5705" s="3">
        <v>992.86</v>
      </c>
      <c r="J5705" s="3">
        <v>170.61</v>
      </c>
      <c r="L5705">
        <v>1366</v>
      </c>
      <c r="M5705" t="s">
        <v>3634</v>
      </c>
      <c r="N5705" t="s">
        <v>30</v>
      </c>
      <c r="O5705" t="s">
        <v>31</v>
      </c>
      <c r="P5705" t="str">
        <f>"15206"</f>
        <v>15206</v>
      </c>
    </row>
    <row r="5706" spans="1:16" x14ac:dyDescent="0.25">
      <c r="A5706" t="str">
        <f>"1120173E00191    00"</f>
        <v>1120173E00191    00</v>
      </c>
      <c r="B5706" t="s">
        <v>13273</v>
      </c>
      <c r="C5706" t="s">
        <v>11361</v>
      </c>
      <c r="D5706" t="s">
        <v>20</v>
      </c>
      <c r="E5706" t="s">
        <v>39</v>
      </c>
      <c r="F5706">
        <v>0</v>
      </c>
      <c r="G5706">
        <v>0</v>
      </c>
      <c r="H5706">
        <v>19</v>
      </c>
      <c r="I5706" s="3">
        <v>402.99</v>
      </c>
      <c r="J5706" s="3">
        <v>460.53</v>
      </c>
      <c r="K5706" t="s">
        <v>1037</v>
      </c>
      <c r="L5706">
        <v>8030</v>
      </c>
      <c r="M5706" t="s">
        <v>13274</v>
      </c>
      <c r="N5706" t="s">
        <v>1046</v>
      </c>
      <c r="O5706" t="s">
        <v>31</v>
      </c>
      <c r="P5706" t="str">
        <f>"15147"</f>
        <v>15147</v>
      </c>
    </row>
    <row r="5707" spans="1:16" x14ac:dyDescent="0.25">
      <c r="A5707" t="str">
        <f>"1120173E00195    00"</f>
        <v>1120173E00195    00</v>
      </c>
      <c r="B5707" t="s">
        <v>13275</v>
      </c>
      <c r="C5707" t="s">
        <v>13276</v>
      </c>
      <c r="D5707" t="s">
        <v>20</v>
      </c>
      <c r="E5707" t="s">
        <v>39</v>
      </c>
      <c r="F5707">
        <v>0</v>
      </c>
      <c r="G5707">
        <v>0</v>
      </c>
      <c r="H5707">
        <v>19</v>
      </c>
      <c r="I5707" s="3">
        <v>10371.83</v>
      </c>
      <c r="J5707" s="3">
        <v>14458.97</v>
      </c>
      <c r="L5707">
        <v>1343</v>
      </c>
      <c r="M5707" t="s">
        <v>13277</v>
      </c>
      <c r="N5707" t="s">
        <v>30</v>
      </c>
      <c r="O5707" t="s">
        <v>31</v>
      </c>
      <c r="P5707" t="str">
        <f>"15206"</f>
        <v>15206</v>
      </c>
    </row>
    <row r="5708" spans="1:16" x14ac:dyDescent="0.25">
      <c r="A5708" t="str">
        <f>"1120173E00196    00"</f>
        <v>1120173E00196    00</v>
      </c>
      <c r="B5708" t="s">
        <v>13278</v>
      </c>
      <c r="C5708" t="s">
        <v>13276</v>
      </c>
      <c r="D5708" t="s">
        <v>20</v>
      </c>
      <c r="E5708" t="s">
        <v>39</v>
      </c>
      <c r="F5708">
        <v>0</v>
      </c>
      <c r="G5708">
        <v>0</v>
      </c>
      <c r="H5708">
        <v>19</v>
      </c>
      <c r="I5708" s="3">
        <v>9094.76</v>
      </c>
      <c r="J5708" s="3">
        <v>12737.59</v>
      </c>
      <c r="P5708" t="str">
        <f>""</f>
        <v/>
      </c>
    </row>
    <row r="5709" spans="1:16" x14ac:dyDescent="0.25">
      <c r="A5709" t="str">
        <f>"1120173E00198    00"</f>
        <v>1120173E00198    00</v>
      </c>
      <c r="B5709" t="s">
        <v>13279</v>
      </c>
      <c r="C5709" t="s">
        <v>13280</v>
      </c>
      <c r="D5709" t="s">
        <v>20</v>
      </c>
      <c r="E5709" t="s">
        <v>39</v>
      </c>
      <c r="F5709">
        <v>0</v>
      </c>
      <c r="G5709">
        <v>0</v>
      </c>
      <c r="H5709">
        <v>1</v>
      </c>
      <c r="I5709" s="3">
        <v>240.88</v>
      </c>
      <c r="J5709" s="3">
        <v>0</v>
      </c>
      <c r="K5709" t="s">
        <v>13281</v>
      </c>
      <c r="L5709">
        <v>5046</v>
      </c>
      <c r="M5709" t="s">
        <v>3588</v>
      </c>
      <c r="N5709" t="s">
        <v>30</v>
      </c>
      <c r="O5709" t="s">
        <v>31</v>
      </c>
      <c r="P5709" t="str">
        <f>"15201"</f>
        <v>15201</v>
      </c>
    </row>
    <row r="5710" spans="1:16" x14ac:dyDescent="0.25">
      <c r="A5710" t="str">
        <f>"1120173E00199    00"</f>
        <v>1120173E00199    00</v>
      </c>
      <c r="B5710" t="s">
        <v>13282</v>
      </c>
      <c r="C5710" t="s">
        <v>13283</v>
      </c>
      <c r="D5710" t="s">
        <v>20</v>
      </c>
      <c r="E5710" t="s">
        <v>39</v>
      </c>
      <c r="F5710">
        <v>0</v>
      </c>
      <c r="G5710">
        <v>0</v>
      </c>
      <c r="H5710">
        <v>7</v>
      </c>
      <c r="I5710" s="3">
        <v>1024.08</v>
      </c>
      <c r="J5710" s="3">
        <v>288.95</v>
      </c>
      <c r="L5710">
        <v>1368</v>
      </c>
      <c r="M5710" t="s">
        <v>13284</v>
      </c>
      <c r="N5710" t="s">
        <v>30</v>
      </c>
      <c r="O5710" t="s">
        <v>31</v>
      </c>
      <c r="P5710" t="str">
        <f>"15206"</f>
        <v>15206</v>
      </c>
    </row>
    <row r="5711" spans="1:16" x14ac:dyDescent="0.25">
      <c r="A5711" t="str">
        <f>"1120173E00202    00"</f>
        <v>1120173E00202    00</v>
      </c>
      <c r="B5711" t="s">
        <v>13285</v>
      </c>
      <c r="C5711" t="s">
        <v>12038</v>
      </c>
      <c r="D5711" t="s">
        <v>20</v>
      </c>
      <c r="E5711" t="s">
        <v>39</v>
      </c>
      <c r="F5711">
        <v>0</v>
      </c>
      <c r="G5711">
        <v>0</v>
      </c>
      <c r="H5711">
        <v>19</v>
      </c>
      <c r="I5711" s="3">
        <v>402.99</v>
      </c>
      <c r="J5711" s="3">
        <v>460.53</v>
      </c>
      <c r="K5711" t="s">
        <v>1037</v>
      </c>
      <c r="L5711">
        <v>1335</v>
      </c>
      <c r="M5711" t="s">
        <v>2789</v>
      </c>
      <c r="N5711" t="s">
        <v>30</v>
      </c>
      <c r="O5711" t="s">
        <v>31</v>
      </c>
      <c r="P5711" t="str">
        <f>"15206"</f>
        <v>15206</v>
      </c>
    </row>
    <row r="5712" spans="1:16" x14ac:dyDescent="0.25">
      <c r="A5712" t="str">
        <f>"1120173E00207    00"</f>
        <v>1120173E00207    00</v>
      </c>
      <c r="B5712" t="s">
        <v>13286</v>
      </c>
      <c r="C5712" t="s">
        <v>12038</v>
      </c>
      <c r="D5712" t="s">
        <v>20</v>
      </c>
      <c r="E5712" t="s">
        <v>39</v>
      </c>
      <c r="F5712">
        <v>0</v>
      </c>
      <c r="G5712">
        <v>0</v>
      </c>
      <c r="H5712">
        <v>19</v>
      </c>
      <c r="I5712" s="3">
        <v>9802.6299999999992</v>
      </c>
      <c r="J5712" s="3">
        <v>12567.52</v>
      </c>
      <c r="L5712">
        <v>6946</v>
      </c>
      <c r="M5712" t="s">
        <v>12045</v>
      </c>
      <c r="N5712" t="s">
        <v>30</v>
      </c>
      <c r="O5712" t="s">
        <v>31</v>
      </c>
      <c r="P5712" t="str">
        <f>"15208"</f>
        <v>15208</v>
      </c>
    </row>
    <row r="5713" spans="1:16" x14ac:dyDescent="0.25">
      <c r="A5713" t="str">
        <f>"1120173E00208    00"</f>
        <v>1120173E00208    00</v>
      </c>
      <c r="B5713" t="s">
        <v>13287</v>
      </c>
      <c r="C5713" t="s">
        <v>13288</v>
      </c>
      <c r="D5713" t="s">
        <v>20</v>
      </c>
      <c r="E5713" t="s">
        <v>39</v>
      </c>
      <c r="F5713">
        <v>0</v>
      </c>
      <c r="G5713">
        <v>0</v>
      </c>
      <c r="H5713">
        <v>10</v>
      </c>
      <c r="I5713" s="3">
        <v>509.13</v>
      </c>
      <c r="J5713" s="3">
        <v>383.62</v>
      </c>
      <c r="L5713">
        <v>1349</v>
      </c>
      <c r="M5713" t="s">
        <v>2789</v>
      </c>
      <c r="N5713" t="s">
        <v>30</v>
      </c>
      <c r="O5713" t="s">
        <v>31</v>
      </c>
      <c r="P5713" t="str">
        <f>"15206"</f>
        <v>15206</v>
      </c>
    </row>
    <row r="5714" spans="1:16" x14ac:dyDescent="0.25">
      <c r="A5714" t="str">
        <f>"1120173E00220    00"</f>
        <v>1120173E00220    00</v>
      </c>
      <c r="B5714" t="s">
        <v>13289</v>
      </c>
      <c r="C5714" t="s">
        <v>13290</v>
      </c>
      <c r="D5714" t="s">
        <v>20</v>
      </c>
      <c r="E5714" t="s">
        <v>39</v>
      </c>
      <c r="F5714">
        <v>0</v>
      </c>
      <c r="G5714">
        <v>0</v>
      </c>
      <c r="H5714">
        <v>3</v>
      </c>
      <c r="I5714" s="3">
        <v>1046.58</v>
      </c>
      <c r="J5714" s="3">
        <v>94.91</v>
      </c>
      <c r="K5714" t="s">
        <v>13291</v>
      </c>
      <c r="L5714">
        <v>1342</v>
      </c>
      <c r="M5714" t="s">
        <v>13277</v>
      </c>
      <c r="N5714" t="s">
        <v>30</v>
      </c>
      <c r="O5714" t="s">
        <v>31</v>
      </c>
      <c r="P5714" t="str">
        <f>"15206"</f>
        <v>15206</v>
      </c>
    </row>
    <row r="5715" spans="1:16" x14ac:dyDescent="0.25">
      <c r="A5715" t="str">
        <f>"1120173E00221    00"</f>
        <v>1120173E00221    00</v>
      </c>
      <c r="B5715" t="s">
        <v>13292</v>
      </c>
      <c r="C5715" t="s">
        <v>13293</v>
      </c>
      <c r="D5715" t="s">
        <v>20</v>
      </c>
      <c r="E5715" t="s">
        <v>39</v>
      </c>
      <c r="F5715">
        <v>0</v>
      </c>
      <c r="G5715">
        <v>0</v>
      </c>
      <c r="H5715">
        <v>1</v>
      </c>
      <c r="I5715" s="3">
        <v>73.13</v>
      </c>
      <c r="J5715" s="3">
        <v>0</v>
      </c>
      <c r="K5715" t="s">
        <v>13294</v>
      </c>
      <c r="L5715">
        <v>7144</v>
      </c>
      <c r="M5715" t="s">
        <v>12192</v>
      </c>
      <c r="N5715" t="s">
        <v>30</v>
      </c>
      <c r="O5715" t="s">
        <v>31</v>
      </c>
      <c r="P5715" t="str">
        <f>"15208"</f>
        <v>15208</v>
      </c>
    </row>
    <row r="5716" spans="1:16" x14ac:dyDescent="0.25">
      <c r="A5716" t="str">
        <f>"1120173E00222    00"</f>
        <v>1120173E00222    00</v>
      </c>
      <c r="B5716" t="s">
        <v>13295</v>
      </c>
      <c r="C5716" t="s">
        <v>13296</v>
      </c>
      <c r="E5716" t="s">
        <v>39</v>
      </c>
      <c r="F5716">
        <v>0</v>
      </c>
      <c r="G5716">
        <v>0</v>
      </c>
      <c r="H5716">
        <v>5</v>
      </c>
      <c r="I5716" s="3">
        <v>2274.6999999999998</v>
      </c>
      <c r="J5716" s="3">
        <v>2806.16</v>
      </c>
      <c r="L5716">
        <v>1346</v>
      </c>
      <c r="M5716" t="s">
        <v>13277</v>
      </c>
      <c r="N5716" t="s">
        <v>30</v>
      </c>
      <c r="O5716" t="s">
        <v>31</v>
      </c>
      <c r="P5716" t="str">
        <f>"15206"</f>
        <v>15206</v>
      </c>
    </row>
    <row r="5717" spans="1:16" x14ac:dyDescent="0.25">
      <c r="A5717" t="str">
        <f>"1120173E00223    00"</f>
        <v>1120173E00223    00</v>
      </c>
      <c r="B5717" t="s">
        <v>13297</v>
      </c>
      <c r="C5717" t="s">
        <v>11361</v>
      </c>
      <c r="E5717" t="s">
        <v>39</v>
      </c>
      <c r="F5717">
        <v>0</v>
      </c>
      <c r="G5717">
        <v>0</v>
      </c>
      <c r="H5717">
        <v>5</v>
      </c>
      <c r="I5717" s="3">
        <v>953.38</v>
      </c>
      <c r="J5717" s="3">
        <v>1634.44</v>
      </c>
      <c r="L5717">
        <v>188</v>
      </c>
      <c r="M5717" t="s">
        <v>13298</v>
      </c>
      <c r="N5717" t="s">
        <v>30</v>
      </c>
      <c r="O5717" t="s">
        <v>31</v>
      </c>
      <c r="P5717" t="str">
        <f>"15235"</f>
        <v>15235</v>
      </c>
    </row>
    <row r="5718" spans="1:16" x14ac:dyDescent="0.25">
      <c r="A5718" t="str">
        <f>"1120173E00227    00"</f>
        <v>1120173E00227    00</v>
      </c>
      <c r="B5718" t="s">
        <v>13299</v>
      </c>
      <c r="C5718" t="s">
        <v>11361</v>
      </c>
      <c r="D5718" t="s">
        <v>20</v>
      </c>
      <c r="E5718" t="s">
        <v>39</v>
      </c>
      <c r="F5718">
        <v>0</v>
      </c>
      <c r="G5718">
        <v>0</v>
      </c>
      <c r="H5718">
        <v>19</v>
      </c>
      <c r="I5718" s="3">
        <v>496.26</v>
      </c>
      <c r="J5718" s="3">
        <v>554.79</v>
      </c>
      <c r="L5718">
        <v>537</v>
      </c>
      <c r="M5718" t="s">
        <v>13300</v>
      </c>
      <c r="N5718" t="s">
        <v>30</v>
      </c>
      <c r="O5718" t="s">
        <v>31</v>
      </c>
      <c r="P5718" t="str">
        <f>"15208"</f>
        <v>15208</v>
      </c>
    </row>
    <row r="5719" spans="1:16" x14ac:dyDescent="0.25">
      <c r="A5719" t="str">
        <f>"1120173E00233    00"</f>
        <v>1120173E00233    00</v>
      </c>
      <c r="B5719" t="s">
        <v>13301</v>
      </c>
      <c r="C5719" t="s">
        <v>11125</v>
      </c>
      <c r="D5719" t="s">
        <v>20</v>
      </c>
      <c r="E5719" t="s">
        <v>39</v>
      </c>
      <c r="F5719">
        <v>0</v>
      </c>
      <c r="G5719">
        <v>0</v>
      </c>
      <c r="H5719">
        <v>9</v>
      </c>
      <c r="I5719" s="3">
        <v>126.02</v>
      </c>
      <c r="J5719" s="3">
        <v>75.790000000000006</v>
      </c>
      <c r="L5719">
        <v>82</v>
      </c>
      <c r="M5719" t="s">
        <v>13302</v>
      </c>
      <c r="N5719" t="s">
        <v>13303</v>
      </c>
      <c r="O5719" t="s">
        <v>200</v>
      </c>
      <c r="P5719" t="str">
        <f>"11713"</f>
        <v>11713</v>
      </c>
    </row>
    <row r="5720" spans="1:16" x14ac:dyDescent="0.25">
      <c r="A5720" t="str">
        <f>"1120173E00271    00"</f>
        <v>1120173E00271    00</v>
      </c>
      <c r="B5720" t="s">
        <v>12900</v>
      </c>
      <c r="C5720" t="s">
        <v>13304</v>
      </c>
      <c r="D5720" t="s">
        <v>20</v>
      </c>
      <c r="E5720" t="s">
        <v>21</v>
      </c>
      <c r="F5720">
        <v>0</v>
      </c>
      <c r="G5720">
        <v>0</v>
      </c>
      <c r="H5720">
        <v>2</v>
      </c>
      <c r="I5720" s="3">
        <v>2156.6799999999998</v>
      </c>
      <c r="J5720" s="3">
        <v>0</v>
      </c>
      <c r="K5720" t="s">
        <v>12902</v>
      </c>
      <c r="L5720">
        <v>7317</v>
      </c>
      <c r="M5720" t="s">
        <v>12378</v>
      </c>
      <c r="N5720" t="s">
        <v>30</v>
      </c>
      <c r="O5720" t="s">
        <v>31</v>
      </c>
      <c r="P5720" t="str">
        <f>"15208"</f>
        <v>15208</v>
      </c>
    </row>
    <row r="5721" spans="1:16" x14ac:dyDescent="0.25">
      <c r="A5721" t="str">
        <f>"1120173E00296    00"</f>
        <v>1120173E00296    00</v>
      </c>
      <c r="B5721" t="s">
        <v>1313</v>
      </c>
      <c r="C5721" t="s">
        <v>13305</v>
      </c>
      <c r="D5721" t="s">
        <v>20</v>
      </c>
      <c r="E5721" t="s">
        <v>39</v>
      </c>
      <c r="F5721">
        <v>0</v>
      </c>
      <c r="G5721">
        <v>0</v>
      </c>
      <c r="H5721">
        <v>1</v>
      </c>
      <c r="I5721" s="3">
        <v>554.66</v>
      </c>
      <c r="J5721" s="3">
        <v>0</v>
      </c>
      <c r="L5721">
        <v>639</v>
      </c>
      <c r="M5721" t="s">
        <v>1315</v>
      </c>
      <c r="N5721" t="s">
        <v>30</v>
      </c>
      <c r="O5721" t="s">
        <v>31</v>
      </c>
      <c r="P5721" t="str">
        <f>"15206"</f>
        <v>15206</v>
      </c>
    </row>
    <row r="5722" spans="1:16" x14ac:dyDescent="0.25">
      <c r="A5722" t="str">
        <f>"1120173E00299    00"</f>
        <v>1120173E00299    00</v>
      </c>
      <c r="B5722" t="s">
        <v>13306</v>
      </c>
      <c r="C5722" t="s">
        <v>13307</v>
      </c>
      <c r="D5722" t="s">
        <v>20</v>
      </c>
      <c r="E5722" t="s">
        <v>39</v>
      </c>
      <c r="F5722">
        <v>0</v>
      </c>
      <c r="G5722">
        <v>0</v>
      </c>
      <c r="H5722">
        <v>2</v>
      </c>
      <c r="I5722" s="3">
        <v>799.88</v>
      </c>
      <c r="J5722" s="3">
        <v>0</v>
      </c>
      <c r="L5722">
        <v>1422</v>
      </c>
      <c r="M5722" t="s">
        <v>12218</v>
      </c>
      <c r="N5722" t="s">
        <v>30</v>
      </c>
      <c r="O5722" t="s">
        <v>31</v>
      </c>
      <c r="P5722" t="str">
        <f>"15221"</f>
        <v>15221</v>
      </c>
    </row>
    <row r="5723" spans="1:16" x14ac:dyDescent="0.25">
      <c r="A5723" t="str">
        <f>"1120173E00300    00"</f>
        <v>1120173E00300    00</v>
      </c>
      <c r="B5723" t="s">
        <v>13308</v>
      </c>
      <c r="C5723" t="s">
        <v>11125</v>
      </c>
      <c r="D5723" t="s">
        <v>20</v>
      </c>
      <c r="E5723" t="s">
        <v>39</v>
      </c>
      <c r="F5723">
        <v>0</v>
      </c>
      <c r="G5723">
        <v>0</v>
      </c>
      <c r="H5723">
        <v>19</v>
      </c>
      <c r="I5723" s="3">
        <v>402.99</v>
      </c>
      <c r="J5723" s="3">
        <v>460.53</v>
      </c>
      <c r="K5723" t="s">
        <v>13309</v>
      </c>
      <c r="L5723">
        <v>726</v>
      </c>
      <c r="M5723" t="s">
        <v>13310</v>
      </c>
      <c r="N5723" t="s">
        <v>13311</v>
      </c>
      <c r="O5723" t="s">
        <v>200</v>
      </c>
      <c r="P5723" t="str">
        <f>"14210"</f>
        <v>14210</v>
      </c>
    </row>
    <row r="5724" spans="1:16" x14ac:dyDescent="0.25">
      <c r="A5724" t="str">
        <f>"1120173E00301    00"</f>
        <v>1120173E00301    00</v>
      </c>
      <c r="B5724" t="s">
        <v>13312</v>
      </c>
      <c r="C5724" t="s">
        <v>13313</v>
      </c>
      <c r="D5724" t="s">
        <v>20</v>
      </c>
      <c r="E5724" t="s">
        <v>39</v>
      </c>
      <c r="F5724">
        <v>0</v>
      </c>
      <c r="G5724">
        <v>0</v>
      </c>
      <c r="H5724">
        <v>19</v>
      </c>
      <c r="I5724" s="3">
        <v>14551.12</v>
      </c>
      <c r="J5724" s="3">
        <v>16453.580000000002</v>
      </c>
      <c r="L5724">
        <v>7140</v>
      </c>
      <c r="M5724" t="s">
        <v>2507</v>
      </c>
      <c r="N5724" t="s">
        <v>30</v>
      </c>
      <c r="O5724" t="s">
        <v>31</v>
      </c>
      <c r="P5724" t="str">
        <f>"15206"</f>
        <v>15206</v>
      </c>
    </row>
    <row r="5725" spans="1:16" x14ac:dyDescent="0.25">
      <c r="A5725" t="str">
        <f>"1120173E00311A   00"</f>
        <v>1120173E00311A   00</v>
      </c>
      <c r="B5725" t="s">
        <v>13314</v>
      </c>
      <c r="C5725" t="s">
        <v>13315</v>
      </c>
      <c r="D5725" t="s">
        <v>20</v>
      </c>
      <c r="E5725" t="s">
        <v>39</v>
      </c>
      <c r="F5725">
        <v>0</v>
      </c>
      <c r="G5725">
        <v>0</v>
      </c>
      <c r="H5725">
        <v>17</v>
      </c>
      <c r="I5725" s="3">
        <v>246.28</v>
      </c>
      <c r="J5725" s="3">
        <v>292.70999999999998</v>
      </c>
      <c r="L5725">
        <v>164</v>
      </c>
      <c r="M5725" t="s">
        <v>11067</v>
      </c>
      <c r="N5725" t="s">
        <v>30</v>
      </c>
      <c r="O5725" t="s">
        <v>31</v>
      </c>
      <c r="P5725" t="str">
        <f>"15206"</f>
        <v>15206</v>
      </c>
    </row>
    <row r="5726" spans="1:16" x14ac:dyDescent="0.25">
      <c r="A5726" t="str">
        <f>"1120173E00312    00"</f>
        <v>1120173E00312    00</v>
      </c>
      <c r="B5726" t="s">
        <v>13316</v>
      </c>
      <c r="C5726" t="s">
        <v>13315</v>
      </c>
      <c r="D5726" t="s">
        <v>20</v>
      </c>
      <c r="E5726" t="s">
        <v>39</v>
      </c>
      <c r="F5726">
        <v>0</v>
      </c>
      <c r="G5726">
        <v>0</v>
      </c>
      <c r="H5726">
        <v>17</v>
      </c>
      <c r="I5726" s="3">
        <v>276.98</v>
      </c>
      <c r="J5726" s="3">
        <v>349.77</v>
      </c>
      <c r="L5726">
        <v>1940</v>
      </c>
      <c r="M5726" t="s">
        <v>13317</v>
      </c>
      <c r="N5726" t="s">
        <v>30</v>
      </c>
      <c r="O5726" t="s">
        <v>31</v>
      </c>
      <c r="P5726" t="str">
        <f>"15235"</f>
        <v>15235</v>
      </c>
    </row>
    <row r="5727" spans="1:16" x14ac:dyDescent="0.25">
      <c r="A5727" t="str">
        <f>"1120173E00313    00"</f>
        <v>1120173E00313    00</v>
      </c>
      <c r="B5727" t="s">
        <v>13318</v>
      </c>
      <c r="C5727" t="s">
        <v>13315</v>
      </c>
      <c r="D5727" t="s">
        <v>20</v>
      </c>
      <c r="E5727" t="s">
        <v>39</v>
      </c>
      <c r="F5727">
        <v>0</v>
      </c>
      <c r="G5727">
        <v>0</v>
      </c>
      <c r="H5727">
        <v>17</v>
      </c>
      <c r="I5727" s="3">
        <v>258.57</v>
      </c>
      <c r="J5727" s="3">
        <v>339.7</v>
      </c>
      <c r="K5727" t="s">
        <v>1037</v>
      </c>
      <c r="L5727">
        <v>400</v>
      </c>
      <c r="M5727" t="s">
        <v>13319</v>
      </c>
      <c r="N5727" t="s">
        <v>30</v>
      </c>
      <c r="O5727" t="s">
        <v>31</v>
      </c>
      <c r="P5727" t="str">
        <f>"15235"</f>
        <v>15235</v>
      </c>
    </row>
    <row r="5728" spans="1:16" x14ac:dyDescent="0.25">
      <c r="A5728" t="str">
        <f>"1120173E00314    00"</f>
        <v>1120173E00314    00</v>
      </c>
      <c r="B5728" t="s">
        <v>13320</v>
      </c>
      <c r="C5728" t="s">
        <v>13315</v>
      </c>
      <c r="D5728" t="s">
        <v>20</v>
      </c>
      <c r="E5728" t="s">
        <v>39</v>
      </c>
      <c r="F5728">
        <v>0</v>
      </c>
      <c r="G5728">
        <v>0</v>
      </c>
      <c r="H5728">
        <v>17</v>
      </c>
      <c r="I5728" s="3">
        <v>319.83</v>
      </c>
      <c r="J5728" s="3">
        <v>395.26</v>
      </c>
      <c r="L5728">
        <v>1415</v>
      </c>
      <c r="M5728" t="s">
        <v>9507</v>
      </c>
      <c r="N5728" t="s">
        <v>30</v>
      </c>
      <c r="O5728" t="s">
        <v>31</v>
      </c>
      <c r="P5728" t="str">
        <f>"15206"</f>
        <v>15206</v>
      </c>
    </row>
    <row r="5729" spans="1:16" x14ac:dyDescent="0.25">
      <c r="A5729" t="str">
        <f>"1120173E00315    00"</f>
        <v>1120173E00315    00</v>
      </c>
      <c r="B5729" t="s">
        <v>13321</v>
      </c>
      <c r="C5729" t="s">
        <v>13322</v>
      </c>
      <c r="D5729" t="s">
        <v>20</v>
      </c>
      <c r="E5729" t="s">
        <v>39</v>
      </c>
      <c r="F5729">
        <v>0</v>
      </c>
      <c r="G5729">
        <v>0</v>
      </c>
      <c r="H5729">
        <v>19</v>
      </c>
      <c r="I5729" s="3">
        <v>13033.45</v>
      </c>
      <c r="J5729" s="3">
        <v>14572.12</v>
      </c>
      <c r="L5729">
        <v>1369</v>
      </c>
      <c r="M5729" t="s">
        <v>9507</v>
      </c>
      <c r="N5729" t="s">
        <v>30</v>
      </c>
      <c r="O5729" t="s">
        <v>31</v>
      </c>
      <c r="P5729" t="str">
        <f>"15206"</f>
        <v>15206</v>
      </c>
    </row>
    <row r="5730" spans="1:16" x14ac:dyDescent="0.25">
      <c r="A5730" t="str">
        <f>"1120173E00319    00"</f>
        <v>1120173E00319    00</v>
      </c>
      <c r="B5730" t="s">
        <v>13323</v>
      </c>
      <c r="C5730" t="s">
        <v>13315</v>
      </c>
      <c r="D5730" t="s">
        <v>20</v>
      </c>
      <c r="E5730" t="s">
        <v>39</v>
      </c>
      <c r="F5730">
        <v>0</v>
      </c>
      <c r="G5730">
        <v>0</v>
      </c>
      <c r="H5730">
        <v>19</v>
      </c>
      <c r="I5730" s="3">
        <v>7435.21</v>
      </c>
      <c r="J5730" s="3">
        <v>10705.84</v>
      </c>
      <c r="L5730">
        <v>97</v>
      </c>
      <c r="M5730" t="s">
        <v>13324</v>
      </c>
      <c r="N5730" t="s">
        <v>30</v>
      </c>
      <c r="O5730" t="s">
        <v>31</v>
      </c>
      <c r="P5730" t="str">
        <f>"15205"</f>
        <v>15205</v>
      </c>
    </row>
    <row r="5731" spans="1:16" x14ac:dyDescent="0.25">
      <c r="A5731" t="str">
        <f>"1120173E00321    00"</f>
        <v>1120173E00321    00</v>
      </c>
      <c r="B5731" t="s">
        <v>13325</v>
      </c>
      <c r="C5731" t="s">
        <v>13326</v>
      </c>
      <c r="D5731" t="s">
        <v>20</v>
      </c>
      <c r="E5731" t="s">
        <v>39</v>
      </c>
      <c r="F5731">
        <v>0</v>
      </c>
      <c r="G5731">
        <v>0</v>
      </c>
      <c r="H5731">
        <v>12</v>
      </c>
      <c r="I5731" s="3">
        <v>3918.55</v>
      </c>
      <c r="J5731" s="3">
        <v>2576.7399999999998</v>
      </c>
      <c r="L5731">
        <v>25550</v>
      </c>
      <c r="M5731" t="s">
        <v>13327</v>
      </c>
      <c r="N5731" t="s">
        <v>13328</v>
      </c>
      <c r="O5731" t="s">
        <v>108</v>
      </c>
      <c r="P5731" t="str">
        <f>"77493"</f>
        <v>77493</v>
      </c>
    </row>
    <row r="5732" spans="1:16" x14ac:dyDescent="0.25">
      <c r="A5732" t="str">
        <f>"1120173E00322    00"</f>
        <v>1120173E00322    00</v>
      </c>
      <c r="B5732" t="s">
        <v>13329</v>
      </c>
      <c r="C5732" t="s">
        <v>13315</v>
      </c>
      <c r="D5732" t="s">
        <v>20</v>
      </c>
      <c r="E5732" t="s">
        <v>39</v>
      </c>
      <c r="F5732">
        <v>0</v>
      </c>
      <c r="G5732">
        <v>0</v>
      </c>
      <c r="H5732">
        <v>18</v>
      </c>
      <c r="I5732" s="3">
        <v>10941.37</v>
      </c>
      <c r="J5732" s="3">
        <v>15195.04</v>
      </c>
      <c r="L5732">
        <v>1353</v>
      </c>
      <c r="M5732" t="s">
        <v>9507</v>
      </c>
      <c r="N5732" t="s">
        <v>30</v>
      </c>
      <c r="O5732" t="s">
        <v>31</v>
      </c>
      <c r="P5732" t="str">
        <f>"15206"</f>
        <v>15206</v>
      </c>
    </row>
    <row r="5733" spans="1:16" x14ac:dyDescent="0.25">
      <c r="A5733" t="str">
        <f>"1120173E00339    00"</f>
        <v>1120173E00339    00</v>
      </c>
      <c r="B5733" t="s">
        <v>13330</v>
      </c>
      <c r="C5733" t="s">
        <v>13331</v>
      </c>
      <c r="D5733" t="s">
        <v>20</v>
      </c>
      <c r="E5733" t="s">
        <v>21</v>
      </c>
      <c r="F5733">
        <v>0</v>
      </c>
      <c r="G5733">
        <v>0</v>
      </c>
      <c r="H5733">
        <v>12</v>
      </c>
      <c r="I5733" s="3">
        <v>9440.7000000000007</v>
      </c>
      <c r="J5733" s="3">
        <v>4965.8999999999996</v>
      </c>
      <c r="L5733">
        <v>1404</v>
      </c>
      <c r="M5733" t="s">
        <v>2789</v>
      </c>
      <c r="N5733" t="s">
        <v>30</v>
      </c>
      <c r="O5733" t="s">
        <v>31</v>
      </c>
      <c r="P5733" t="str">
        <f>"15206"</f>
        <v>15206</v>
      </c>
    </row>
    <row r="5734" spans="1:16" x14ac:dyDescent="0.25">
      <c r="A5734" t="str">
        <f>"1120173E00340    00"</f>
        <v>1120173E00340    00</v>
      </c>
      <c r="B5734" t="s">
        <v>13332</v>
      </c>
      <c r="C5734" t="s">
        <v>12038</v>
      </c>
      <c r="D5734" t="s">
        <v>20</v>
      </c>
      <c r="E5734" t="s">
        <v>21</v>
      </c>
      <c r="F5734">
        <v>0</v>
      </c>
      <c r="G5734">
        <v>0</v>
      </c>
      <c r="H5734">
        <v>12</v>
      </c>
      <c r="I5734" s="3">
        <v>2826.23</v>
      </c>
      <c r="J5734" s="3">
        <v>1783.91</v>
      </c>
      <c r="L5734">
        <v>141</v>
      </c>
      <c r="M5734" t="s">
        <v>13333</v>
      </c>
      <c r="N5734" t="s">
        <v>30</v>
      </c>
      <c r="O5734" t="s">
        <v>31</v>
      </c>
      <c r="P5734" t="str">
        <f>"15239"</f>
        <v>15239</v>
      </c>
    </row>
    <row r="5735" spans="1:16" x14ac:dyDescent="0.25">
      <c r="A5735" t="str">
        <f>"1120173E00344    00"</f>
        <v>1120173E00344    00</v>
      </c>
      <c r="B5735" t="s">
        <v>13334</v>
      </c>
      <c r="C5735" t="s">
        <v>13335</v>
      </c>
      <c r="D5735" t="s">
        <v>20</v>
      </c>
      <c r="E5735" t="s">
        <v>39</v>
      </c>
      <c r="F5735">
        <v>0</v>
      </c>
      <c r="G5735">
        <v>0</v>
      </c>
      <c r="H5735">
        <v>4</v>
      </c>
      <c r="I5735" s="3">
        <v>1384.14</v>
      </c>
      <c r="J5735" s="3">
        <v>184.26</v>
      </c>
      <c r="L5735">
        <v>1351</v>
      </c>
      <c r="M5735" t="s">
        <v>9507</v>
      </c>
      <c r="N5735" t="s">
        <v>30</v>
      </c>
      <c r="O5735" t="s">
        <v>31</v>
      </c>
      <c r="P5735" t="str">
        <f>"15206"</f>
        <v>15206</v>
      </c>
    </row>
    <row r="5736" spans="1:16" x14ac:dyDescent="0.25">
      <c r="A5736" t="str">
        <f>"1120173E00352    00"</f>
        <v>1120173E00352    00</v>
      </c>
      <c r="B5736" t="s">
        <v>13336</v>
      </c>
      <c r="C5736" t="s">
        <v>13337</v>
      </c>
      <c r="D5736" t="s">
        <v>20</v>
      </c>
      <c r="E5736" t="s">
        <v>39</v>
      </c>
      <c r="F5736">
        <v>0</v>
      </c>
      <c r="G5736">
        <v>0</v>
      </c>
      <c r="H5736">
        <v>19</v>
      </c>
      <c r="I5736" s="3">
        <v>19840.53</v>
      </c>
      <c r="J5736" s="3">
        <v>20924.189999999999</v>
      </c>
      <c r="L5736">
        <v>1336</v>
      </c>
      <c r="M5736" t="s">
        <v>2789</v>
      </c>
      <c r="N5736" t="s">
        <v>30</v>
      </c>
      <c r="O5736" t="s">
        <v>31</v>
      </c>
      <c r="P5736" t="str">
        <f>"15206"</f>
        <v>15206</v>
      </c>
    </row>
    <row r="5737" spans="1:16" x14ac:dyDescent="0.25">
      <c r="A5737" t="str">
        <f>"1120173E00352A   00"</f>
        <v>1120173E00352A   00</v>
      </c>
      <c r="B5737" t="s">
        <v>13338</v>
      </c>
      <c r="C5737" t="s">
        <v>12038</v>
      </c>
      <c r="D5737" t="s">
        <v>20</v>
      </c>
      <c r="E5737" t="s">
        <v>39</v>
      </c>
      <c r="F5737">
        <v>0</v>
      </c>
      <c r="G5737">
        <v>0</v>
      </c>
      <c r="H5737">
        <v>17</v>
      </c>
      <c r="I5737" s="3">
        <v>925.46</v>
      </c>
      <c r="J5737" s="3">
        <v>1125.1500000000001</v>
      </c>
      <c r="K5737" t="s">
        <v>1037</v>
      </c>
      <c r="L5737">
        <v>1340</v>
      </c>
      <c r="M5737" t="s">
        <v>2789</v>
      </c>
      <c r="N5737" t="s">
        <v>30</v>
      </c>
      <c r="O5737" t="s">
        <v>31</v>
      </c>
      <c r="P5737" t="str">
        <f>"15206"</f>
        <v>15206</v>
      </c>
    </row>
    <row r="5738" spans="1:16" x14ac:dyDescent="0.25">
      <c r="A5738" t="str">
        <f>"1120173E00353    00"</f>
        <v>1120173E00353    00</v>
      </c>
      <c r="B5738" t="s">
        <v>13339</v>
      </c>
      <c r="C5738" t="s">
        <v>13340</v>
      </c>
      <c r="D5738" t="s">
        <v>20</v>
      </c>
      <c r="E5738" t="s">
        <v>39</v>
      </c>
      <c r="F5738">
        <v>0</v>
      </c>
      <c r="G5738">
        <v>0</v>
      </c>
      <c r="H5738">
        <v>19</v>
      </c>
      <c r="I5738" s="3">
        <v>19519.419999999998</v>
      </c>
      <c r="J5738" s="3">
        <v>20462.05</v>
      </c>
      <c r="L5738">
        <v>1336</v>
      </c>
      <c r="M5738" t="s">
        <v>2789</v>
      </c>
      <c r="N5738" t="s">
        <v>30</v>
      </c>
      <c r="O5738" t="s">
        <v>31</v>
      </c>
      <c r="P5738" t="str">
        <f>"15206"</f>
        <v>15206</v>
      </c>
    </row>
    <row r="5739" spans="1:16" x14ac:dyDescent="0.25">
      <c r="A5739" t="str">
        <f>"1120173E00354    00"</f>
        <v>1120173E00354    00</v>
      </c>
      <c r="B5739" t="s">
        <v>13341</v>
      </c>
      <c r="C5739" t="s">
        <v>12038</v>
      </c>
      <c r="D5739" t="s">
        <v>20</v>
      </c>
      <c r="E5739" t="s">
        <v>39</v>
      </c>
      <c r="F5739">
        <v>0</v>
      </c>
      <c r="G5739">
        <v>0</v>
      </c>
      <c r="H5739">
        <v>19</v>
      </c>
      <c r="I5739" s="3">
        <v>929.91</v>
      </c>
      <c r="J5739" s="3">
        <v>739.1</v>
      </c>
      <c r="K5739" t="s">
        <v>1008</v>
      </c>
      <c r="P5739" t="str">
        <f>""</f>
        <v/>
      </c>
    </row>
    <row r="5740" spans="1:16" x14ac:dyDescent="0.25">
      <c r="A5740" t="str">
        <f>"1120173F00013    00"</f>
        <v>1120173F00013    00</v>
      </c>
      <c r="B5740" t="s">
        <v>13342</v>
      </c>
      <c r="C5740" t="s">
        <v>13343</v>
      </c>
      <c r="D5740" t="s">
        <v>20</v>
      </c>
      <c r="E5740" t="s">
        <v>21</v>
      </c>
      <c r="F5740">
        <v>0</v>
      </c>
      <c r="G5740">
        <v>0</v>
      </c>
      <c r="H5740">
        <v>3</v>
      </c>
      <c r="I5740" s="3">
        <v>16370.64</v>
      </c>
      <c r="J5740" s="3">
        <v>1091.3399999999999</v>
      </c>
      <c r="K5740" t="s">
        <v>13344</v>
      </c>
      <c r="L5740">
        <v>1548</v>
      </c>
      <c r="M5740" t="s">
        <v>2789</v>
      </c>
      <c r="N5740" t="s">
        <v>30</v>
      </c>
      <c r="O5740" t="s">
        <v>31</v>
      </c>
      <c r="P5740" t="str">
        <f>"15206"</f>
        <v>15206</v>
      </c>
    </row>
    <row r="5741" spans="1:16" x14ac:dyDescent="0.25">
      <c r="A5741" t="str">
        <f>"1120173F00019    00"</f>
        <v>1120173F00019    00</v>
      </c>
      <c r="B5741" t="s">
        <v>13345</v>
      </c>
      <c r="C5741" t="s">
        <v>13346</v>
      </c>
      <c r="D5741" t="s">
        <v>20</v>
      </c>
      <c r="E5741" t="s">
        <v>21</v>
      </c>
      <c r="F5741">
        <v>0</v>
      </c>
      <c r="G5741">
        <v>0</v>
      </c>
      <c r="H5741">
        <v>2</v>
      </c>
      <c r="I5741" s="3">
        <v>1613.7</v>
      </c>
      <c r="J5741" s="3">
        <v>0</v>
      </c>
      <c r="L5741">
        <v>510</v>
      </c>
      <c r="M5741" t="s">
        <v>13347</v>
      </c>
      <c r="N5741" t="s">
        <v>30</v>
      </c>
      <c r="O5741" t="s">
        <v>31</v>
      </c>
      <c r="P5741" t="str">
        <f>"15221"</f>
        <v>15221</v>
      </c>
    </row>
    <row r="5742" spans="1:16" x14ac:dyDescent="0.25">
      <c r="A5742" t="str">
        <f>"1120173F00025    00"</f>
        <v>1120173F00025    00</v>
      </c>
      <c r="B5742" t="s">
        <v>13348</v>
      </c>
      <c r="C5742" t="s">
        <v>13349</v>
      </c>
      <c r="E5742" t="s">
        <v>39</v>
      </c>
      <c r="F5742">
        <v>0</v>
      </c>
      <c r="G5742">
        <v>0</v>
      </c>
      <c r="H5742">
        <v>8</v>
      </c>
      <c r="I5742" s="3">
        <v>3044.52</v>
      </c>
      <c r="J5742" s="3">
        <v>1738.63</v>
      </c>
      <c r="K5742" t="s">
        <v>13350</v>
      </c>
      <c r="L5742">
        <v>6015</v>
      </c>
      <c r="M5742" t="s">
        <v>13351</v>
      </c>
      <c r="N5742" t="s">
        <v>171</v>
      </c>
      <c r="O5742" t="s">
        <v>31</v>
      </c>
      <c r="P5742" t="str">
        <f>"15057"</f>
        <v>15057</v>
      </c>
    </row>
    <row r="5743" spans="1:16" x14ac:dyDescent="0.25">
      <c r="A5743" t="str">
        <f>"1120173F00026    00"</f>
        <v>1120173F00026    00</v>
      </c>
      <c r="B5743" t="s">
        <v>13352</v>
      </c>
      <c r="C5743" t="s">
        <v>12038</v>
      </c>
      <c r="D5743" t="s">
        <v>20</v>
      </c>
      <c r="E5743" t="s">
        <v>39</v>
      </c>
      <c r="F5743">
        <v>0</v>
      </c>
      <c r="G5743">
        <v>0</v>
      </c>
      <c r="H5743">
        <v>12</v>
      </c>
      <c r="I5743" s="3">
        <v>1981.27</v>
      </c>
      <c r="J5743" s="3">
        <v>1870.14</v>
      </c>
      <c r="L5743">
        <v>520</v>
      </c>
      <c r="M5743" t="s">
        <v>8098</v>
      </c>
      <c r="N5743" t="s">
        <v>2187</v>
      </c>
      <c r="O5743" t="s">
        <v>31</v>
      </c>
      <c r="P5743" t="str">
        <f>"15132"</f>
        <v>15132</v>
      </c>
    </row>
    <row r="5744" spans="1:16" x14ac:dyDescent="0.25">
      <c r="A5744" t="str">
        <f>"1120173F00077    00"</f>
        <v>1120173F00077    00</v>
      </c>
      <c r="B5744" t="s">
        <v>13353</v>
      </c>
      <c r="C5744" t="s">
        <v>13354</v>
      </c>
      <c r="D5744" t="s">
        <v>20</v>
      </c>
      <c r="E5744" t="s">
        <v>39</v>
      </c>
      <c r="F5744">
        <v>0</v>
      </c>
      <c r="G5744">
        <v>0</v>
      </c>
      <c r="H5744">
        <v>18</v>
      </c>
      <c r="I5744" s="3">
        <v>5608.33</v>
      </c>
      <c r="J5744" s="3">
        <v>4829.12</v>
      </c>
      <c r="L5744">
        <v>35</v>
      </c>
      <c r="M5744" t="s">
        <v>13355</v>
      </c>
      <c r="N5744" t="s">
        <v>30</v>
      </c>
      <c r="O5744" t="s">
        <v>31</v>
      </c>
      <c r="P5744" t="str">
        <f>"15235"</f>
        <v>15235</v>
      </c>
    </row>
    <row r="5745" spans="1:16" x14ac:dyDescent="0.25">
      <c r="A5745" t="str">
        <f>"1120173F00080    00"</f>
        <v>1120173F00080    00</v>
      </c>
      <c r="B5745" t="s">
        <v>13356</v>
      </c>
      <c r="C5745" t="s">
        <v>13357</v>
      </c>
      <c r="D5745" t="s">
        <v>20</v>
      </c>
      <c r="E5745" t="s">
        <v>39</v>
      </c>
      <c r="F5745">
        <v>0</v>
      </c>
      <c r="G5745">
        <v>0</v>
      </c>
      <c r="H5745">
        <v>16</v>
      </c>
      <c r="I5745" s="3">
        <v>14486.11</v>
      </c>
      <c r="J5745" s="3">
        <v>11450.53</v>
      </c>
      <c r="L5745">
        <v>1920</v>
      </c>
      <c r="M5745" t="s">
        <v>13358</v>
      </c>
      <c r="N5745" t="s">
        <v>30</v>
      </c>
      <c r="O5745" t="s">
        <v>31</v>
      </c>
      <c r="P5745" t="str">
        <f>"15210"</f>
        <v>15210</v>
      </c>
    </row>
    <row r="5746" spans="1:16" x14ac:dyDescent="0.25">
      <c r="A5746" t="str">
        <f>"1120173F00082    00"</f>
        <v>1120173F00082    00</v>
      </c>
      <c r="B5746" t="s">
        <v>13359</v>
      </c>
      <c r="C5746" t="s">
        <v>13360</v>
      </c>
      <c r="E5746" t="s">
        <v>39</v>
      </c>
      <c r="F5746">
        <v>0</v>
      </c>
      <c r="G5746">
        <v>0</v>
      </c>
      <c r="H5746">
        <v>6</v>
      </c>
      <c r="I5746" s="3">
        <v>4026.77</v>
      </c>
      <c r="J5746" s="3">
        <v>6132.38</v>
      </c>
      <c r="L5746">
        <v>7135</v>
      </c>
      <c r="M5746" t="s">
        <v>2507</v>
      </c>
      <c r="N5746" t="s">
        <v>30</v>
      </c>
      <c r="O5746" t="s">
        <v>31</v>
      </c>
      <c r="P5746" t="str">
        <f>"15206"</f>
        <v>15206</v>
      </c>
    </row>
    <row r="5747" spans="1:16" x14ac:dyDescent="0.25">
      <c r="A5747" t="str">
        <f>"1120173F00083    00"</f>
        <v>1120173F00083    00</v>
      </c>
      <c r="B5747" t="s">
        <v>13361</v>
      </c>
      <c r="C5747" t="s">
        <v>11125</v>
      </c>
      <c r="D5747" t="s">
        <v>20</v>
      </c>
      <c r="E5747" t="s">
        <v>39</v>
      </c>
      <c r="F5747">
        <v>0</v>
      </c>
      <c r="G5747">
        <v>0</v>
      </c>
      <c r="H5747">
        <v>12</v>
      </c>
      <c r="I5747" s="3">
        <v>439.12</v>
      </c>
      <c r="J5747" s="3">
        <v>232.18</v>
      </c>
      <c r="L5747">
        <v>7600</v>
      </c>
      <c r="M5747" t="s">
        <v>13362</v>
      </c>
      <c r="N5747" t="s">
        <v>30</v>
      </c>
      <c r="O5747" t="s">
        <v>31</v>
      </c>
      <c r="P5747" t="str">
        <f>"15218"</f>
        <v>15218</v>
      </c>
    </row>
    <row r="5748" spans="1:16" x14ac:dyDescent="0.25">
      <c r="A5748" t="str">
        <f>"1120173F00086    00"</f>
        <v>1120173F00086    00</v>
      </c>
      <c r="B5748" t="s">
        <v>13363</v>
      </c>
      <c r="C5748" t="s">
        <v>13364</v>
      </c>
      <c r="D5748" t="s">
        <v>20</v>
      </c>
      <c r="E5748" t="s">
        <v>39</v>
      </c>
      <c r="F5748">
        <v>0</v>
      </c>
      <c r="G5748">
        <v>0</v>
      </c>
      <c r="H5748">
        <v>5</v>
      </c>
      <c r="I5748" s="3">
        <v>2391.54</v>
      </c>
      <c r="J5748" s="3">
        <v>378.54</v>
      </c>
      <c r="L5748">
        <v>5619</v>
      </c>
      <c r="M5748" t="s">
        <v>13365</v>
      </c>
      <c r="N5748" t="s">
        <v>30</v>
      </c>
      <c r="O5748" t="s">
        <v>31</v>
      </c>
      <c r="P5748" t="str">
        <f>"15206"</f>
        <v>15206</v>
      </c>
    </row>
    <row r="5749" spans="1:16" x14ac:dyDescent="0.25">
      <c r="A5749" t="str">
        <f>"1120173F00088    00"</f>
        <v>1120173F00088    00</v>
      </c>
      <c r="B5749" t="s">
        <v>13366</v>
      </c>
      <c r="C5749" t="s">
        <v>11125</v>
      </c>
      <c r="D5749" t="s">
        <v>20</v>
      </c>
      <c r="E5749" t="s">
        <v>39</v>
      </c>
      <c r="F5749">
        <v>0</v>
      </c>
      <c r="G5749">
        <v>0</v>
      </c>
      <c r="H5749">
        <v>19</v>
      </c>
      <c r="I5749" s="3">
        <v>402.99</v>
      </c>
      <c r="J5749" s="3">
        <v>460.53</v>
      </c>
      <c r="K5749" t="s">
        <v>1037</v>
      </c>
      <c r="L5749">
        <v>1678</v>
      </c>
      <c r="M5749" t="s">
        <v>13110</v>
      </c>
      <c r="N5749" t="s">
        <v>30</v>
      </c>
      <c r="O5749" t="s">
        <v>31</v>
      </c>
      <c r="P5749" t="str">
        <f>"15206"</f>
        <v>15206</v>
      </c>
    </row>
    <row r="5750" spans="1:16" x14ac:dyDescent="0.25">
      <c r="A5750" t="str">
        <f>"1120173F00095    00"</f>
        <v>1120173F00095    00</v>
      </c>
      <c r="B5750" t="s">
        <v>13367</v>
      </c>
      <c r="C5750" t="s">
        <v>13368</v>
      </c>
      <c r="E5750" t="s">
        <v>39</v>
      </c>
      <c r="F5750">
        <v>0</v>
      </c>
      <c r="G5750">
        <v>0</v>
      </c>
      <c r="H5750">
        <v>1</v>
      </c>
      <c r="I5750" s="3">
        <v>359.29</v>
      </c>
      <c r="J5750" s="3">
        <v>71.849999999999994</v>
      </c>
      <c r="K5750" t="s">
        <v>408</v>
      </c>
      <c r="M5750" t="s">
        <v>409</v>
      </c>
      <c r="N5750" t="s">
        <v>410</v>
      </c>
      <c r="O5750" t="s">
        <v>31</v>
      </c>
      <c r="P5750" t="str">
        <f>"15701"</f>
        <v>15701</v>
      </c>
    </row>
    <row r="5751" spans="1:16" x14ac:dyDescent="0.25">
      <c r="A5751" t="str">
        <f>"1120173F00096    00"</f>
        <v>1120173F00096    00</v>
      </c>
      <c r="B5751" t="s">
        <v>13369</v>
      </c>
      <c r="C5751" t="s">
        <v>12963</v>
      </c>
      <c r="D5751" t="s">
        <v>20</v>
      </c>
      <c r="E5751" t="s">
        <v>39</v>
      </c>
      <c r="F5751">
        <v>0</v>
      </c>
      <c r="G5751">
        <v>0</v>
      </c>
      <c r="H5751">
        <v>19</v>
      </c>
      <c r="I5751" s="3">
        <v>393.88</v>
      </c>
      <c r="J5751" s="3">
        <v>288.8</v>
      </c>
      <c r="L5751">
        <v>1307</v>
      </c>
      <c r="M5751" t="s">
        <v>11695</v>
      </c>
      <c r="N5751" t="s">
        <v>30</v>
      </c>
      <c r="O5751" t="s">
        <v>31</v>
      </c>
      <c r="P5751" t="str">
        <f>"15206"</f>
        <v>15206</v>
      </c>
    </row>
    <row r="5752" spans="1:16" x14ac:dyDescent="0.25">
      <c r="A5752" t="str">
        <f>"1120173F00097    00"</f>
        <v>1120173F00097    00</v>
      </c>
      <c r="B5752" t="s">
        <v>13369</v>
      </c>
      <c r="C5752" t="s">
        <v>12963</v>
      </c>
      <c r="D5752" t="s">
        <v>20</v>
      </c>
      <c r="E5752" t="s">
        <v>39</v>
      </c>
      <c r="F5752">
        <v>0</v>
      </c>
      <c r="G5752">
        <v>0</v>
      </c>
      <c r="H5752">
        <v>19</v>
      </c>
      <c r="I5752" s="3">
        <v>326.81</v>
      </c>
      <c r="J5752" s="3">
        <v>334.07</v>
      </c>
      <c r="L5752">
        <v>1307</v>
      </c>
      <c r="M5752" t="s">
        <v>11695</v>
      </c>
      <c r="N5752" t="s">
        <v>30</v>
      </c>
      <c r="O5752" t="s">
        <v>31</v>
      </c>
      <c r="P5752" t="str">
        <f>"15206"</f>
        <v>15206</v>
      </c>
    </row>
    <row r="5753" spans="1:16" x14ac:dyDescent="0.25">
      <c r="A5753" t="str">
        <f>"1120173F00098    00"</f>
        <v>1120173F00098    00</v>
      </c>
      <c r="B5753" t="s">
        <v>13370</v>
      </c>
      <c r="C5753" t="s">
        <v>13371</v>
      </c>
      <c r="E5753" t="s">
        <v>39</v>
      </c>
      <c r="F5753">
        <v>0</v>
      </c>
      <c r="G5753">
        <v>0</v>
      </c>
      <c r="H5753">
        <v>7</v>
      </c>
      <c r="I5753" s="3">
        <v>2556.14</v>
      </c>
      <c r="J5753" s="3">
        <v>3528.87</v>
      </c>
      <c r="L5753">
        <v>1307</v>
      </c>
      <c r="M5753" t="s">
        <v>11695</v>
      </c>
      <c r="N5753" t="s">
        <v>30</v>
      </c>
      <c r="O5753" t="s">
        <v>31</v>
      </c>
      <c r="P5753" t="str">
        <f>"15206"</f>
        <v>15206</v>
      </c>
    </row>
    <row r="5754" spans="1:16" x14ac:dyDescent="0.25">
      <c r="A5754" t="str">
        <f>"1120173F00099    00"</f>
        <v>1120173F00099    00</v>
      </c>
      <c r="B5754" t="s">
        <v>13372</v>
      </c>
      <c r="C5754" t="s">
        <v>12963</v>
      </c>
      <c r="D5754" t="s">
        <v>20</v>
      </c>
      <c r="E5754" t="s">
        <v>39</v>
      </c>
      <c r="F5754">
        <v>0</v>
      </c>
      <c r="G5754">
        <v>0</v>
      </c>
      <c r="H5754">
        <v>17</v>
      </c>
      <c r="I5754" s="3">
        <v>11034.53</v>
      </c>
      <c r="J5754" s="3">
        <v>15053.36</v>
      </c>
      <c r="L5754">
        <v>1207</v>
      </c>
      <c r="M5754" t="s">
        <v>13373</v>
      </c>
      <c r="N5754" t="s">
        <v>30</v>
      </c>
      <c r="O5754" t="s">
        <v>31</v>
      </c>
      <c r="P5754" t="str">
        <f>"15221"</f>
        <v>15221</v>
      </c>
    </row>
    <row r="5755" spans="1:16" x14ac:dyDescent="0.25">
      <c r="A5755" t="str">
        <f>"1120173F00100    00"</f>
        <v>1120173F00100    00</v>
      </c>
      <c r="B5755" t="s">
        <v>13372</v>
      </c>
      <c r="C5755" t="s">
        <v>12963</v>
      </c>
      <c r="D5755" t="s">
        <v>20</v>
      </c>
      <c r="E5755" t="s">
        <v>39</v>
      </c>
      <c r="F5755">
        <v>0</v>
      </c>
      <c r="G5755">
        <v>0</v>
      </c>
      <c r="H5755">
        <v>19</v>
      </c>
      <c r="I5755" s="3">
        <v>422.25</v>
      </c>
      <c r="J5755" s="3">
        <v>448.19</v>
      </c>
      <c r="L5755">
        <v>1207</v>
      </c>
      <c r="M5755" t="s">
        <v>13373</v>
      </c>
      <c r="N5755" t="s">
        <v>30</v>
      </c>
      <c r="O5755" t="s">
        <v>31</v>
      </c>
      <c r="P5755" t="str">
        <f>"15221"</f>
        <v>15221</v>
      </c>
    </row>
    <row r="5756" spans="1:16" x14ac:dyDescent="0.25">
      <c r="A5756" t="str">
        <f>"1120173F00102    00"</f>
        <v>1120173F00102    00</v>
      </c>
      <c r="B5756" t="s">
        <v>13374</v>
      </c>
      <c r="C5756" t="s">
        <v>13375</v>
      </c>
      <c r="E5756" t="s">
        <v>39</v>
      </c>
      <c r="F5756">
        <v>0</v>
      </c>
      <c r="G5756">
        <v>0</v>
      </c>
      <c r="H5756">
        <v>4</v>
      </c>
      <c r="I5756" s="3">
        <v>1423.29</v>
      </c>
      <c r="J5756" s="3">
        <v>1426.42</v>
      </c>
      <c r="K5756" t="s">
        <v>13376</v>
      </c>
      <c r="L5756">
        <v>7600</v>
      </c>
      <c r="M5756" t="s">
        <v>13362</v>
      </c>
      <c r="N5756" t="s">
        <v>30</v>
      </c>
      <c r="O5756" t="s">
        <v>31</v>
      </c>
      <c r="P5756" t="str">
        <f>"15218"</f>
        <v>15218</v>
      </c>
    </row>
    <row r="5757" spans="1:16" x14ac:dyDescent="0.25">
      <c r="A5757" t="str">
        <f>"1120173F00104    00"</f>
        <v>1120173F00104    00</v>
      </c>
      <c r="B5757" t="s">
        <v>13377</v>
      </c>
      <c r="C5757" t="s">
        <v>13378</v>
      </c>
      <c r="D5757" t="s">
        <v>20</v>
      </c>
      <c r="E5757" t="s">
        <v>39</v>
      </c>
      <c r="F5757">
        <v>0</v>
      </c>
      <c r="G5757">
        <v>0</v>
      </c>
      <c r="H5757">
        <v>7</v>
      </c>
      <c r="I5757" s="3">
        <v>3279.03</v>
      </c>
      <c r="J5757" s="3">
        <v>989.09</v>
      </c>
      <c r="L5757">
        <v>1409</v>
      </c>
      <c r="M5757" t="s">
        <v>11695</v>
      </c>
      <c r="N5757" t="s">
        <v>30</v>
      </c>
      <c r="O5757" t="s">
        <v>31</v>
      </c>
      <c r="P5757" t="str">
        <f>"15206"</f>
        <v>15206</v>
      </c>
    </row>
    <row r="5758" spans="1:16" x14ac:dyDescent="0.25">
      <c r="A5758" t="str">
        <f>"1120173F00106    00"</f>
        <v>1120173F00106    00</v>
      </c>
      <c r="B5758" t="s">
        <v>13379</v>
      </c>
      <c r="C5758" t="s">
        <v>13380</v>
      </c>
      <c r="D5758" t="s">
        <v>20</v>
      </c>
      <c r="E5758" t="s">
        <v>39</v>
      </c>
      <c r="F5758">
        <v>0</v>
      </c>
      <c r="G5758">
        <v>0</v>
      </c>
      <c r="H5758">
        <v>19</v>
      </c>
      <c r="I5758" s="3">
        <v>1631.46</v>
      </c>
      <c r="J5758" s="3">
        <v>1482.57</v>
      </c>
      <c r="L5758">
        <v>1512</v>
      </c>
      <c r="M5758" t="s">
        <v>13068</v>
      </c>
      <c r="N5758" t="s">
        <v>30</v>
      </c>
      <c r="O5758" t="s">
        <v>31</v>
      </c>
      <c r="P5758" t="str">
        <f>"15206"</f>
        <v>15206</v>
      </c>
    </row>
    <row r="5759" spans="1:16" x14ac:dyDescent="0.25">
      <c r="A5759" t="str">
        <f>"1120173F00113    00"</f>
        <v>1120173F00113    00</v>
      </c>
      <c r="B5759" t="s">
        <v>13381</v>
      </c>
      <c r="C5759" t="s">
        <v>13382</v>
      </c>
      <c r="E5759" t="s">
        <v>39</v>
      </c>
      <c r="F5759">
        <v>0</v>
      </c>
      <c r="G5759">
        <v>0</v>
      </c>
      <c r="H5759">
        <v>17</v>
      </c>
      <c r="I5759" s="3">
        <v>9418.4500000000007</v>
      </c>
      <c r="J5759" s="3">
        <v>11702.39</v>
      </c>
      <c r="K5759" t="s">
        <v>13383</v>
      </c>
      <c r="L5759">
        <v>2209</v>
      </c>
      <c r="M5759" t="s">
        <v>13384</v>
      </c>
      <c r="N5759" t="s">
        <v>30</v>
      </c>
      <c r="O5759" t="s">
        <v>31</v>
      </c>
      <c r="P5759" t="str">
        <f>"15217"</f>
        <v>15217</v>
      </c>
    </row>
    <row r="5760" spans="1:16" x14ac:dyDescent="0.25">
      <c r="A5760" t="str">
        <f>"1120173F00115    00"</f>
        <v>1120173F00115    00</v>
      </c>
      <c r="B5760" t="s">
        <v>13385</v>
      </c>
      <c r="C5760" t="s">
        <v>13386</v>
      </c>
      <c r="D5760" t="s">
        <v>20</v>
      </c>
      <c r="E5760" t="s">
        <v>39</v>
      </c>
      <c r="F5760">
        <v>0</v>
      </c>
      <c r="G5760">
        <v>0</v>
      </c>
      <c r="H5760">
        <v>13</v>
      </c>
      <c r="I5760" s="3">
        <v>4595</v>
      </c>
      <c r="J5760" s="3">
        <v>2971.21</v>
      </c>
      <c r="L5760">
        <v>1519</v>
      </c>
      <c r="M5760" t="s">
        <v>11695</v>
      </c>
      <c r="N5760" t="s">
        <v>30</v>
      </c>
      <c r="O5760" t="s">
        <v>31</v>
      </c>
      <c r="P5760" t="str">
        <f>"15206"</f>
        <v>15206</v>
      </c>
    </row>
    <row r="5761" spans="1:16" x14ac:dyDescent="0.25">
      <c r="A5761" t="str">
        <f>"1120173F00117    00"</f>
        <v>1120173F00117    00</v>
      </c>
      <c r="B5761" t="s">
        <v>13387</v>
      </c>
      <c r="C5761" t="s">
        <v>13388</v>
      </c>
      <c r="E5761" t="s">
        <v>39</v>
      </c>
      <c r="F5761">
        <v>0</v>
      </c>
      <c r="G5761">
        <v>0</v>
      </c>
      <c r="H5761">
        <v>1</v>
      </c>
      <c r="I5761" s="3">
        <v>189.63</v>
      </c>
      <c r="J5761" s="3">
        <v>0</v>
      </c>
      <c r="K5761" t="s">
        <v>13389</v>
      </c>
      <c r="L5761">
        <v>1312</v>
      </c>
      <c r="M5761" t="s">
        <v>13390</v>
      </c>
      <c r="N5761" t="s">
        <v>30</v>
      </c>
      <c r="O5761" t="s">
        <v>31</v>
      </c>
      <c r="P5761" t="str">
        <f>"15209"</f>
        <v>15209</v>
      </c>
    </row>
    <row r="5762" spans="1:16" x14ac:dyDescent="0.25">
      <c r="A5762" t="str">
        <f>"1120173F00120    00"</f>
        <v>1120173F00120    00</v>
      </c>
      <c r="B5762" t="s">
        <v>13391</v>
      </c>
      <c r="C5762" t="s">
        <v>13392</v>
      </c>
      <c r="D5762" t="s">
        <v>20</v>
      </c>
      <c r="E5762" t="s">
        <v>39</v>
      </c>
      <c r="F5762">
        <v>0</v>
      </c>
      <c r="G5762">
        <v>0</v>
      </c>
      <c r="H5762">
        <v>5</v>
      </c>
      <c r="I5762" s="3">
        <v>2110.06</v>
      </c>
      <c r="J5762" s="3">
        <v>364.55</v>
      </c>
      <c r="K5762" t="s">
        <v>13393</v>
      </c>
      <c r="L5762">
        <v>1529</v>
      </c>
      <c r="M5762" t="s">
        <v>11695</v>
      </c>
      <c r="N5762" t="s">
        <v>30</v>
      </c>
      <c r="O5762" t="s">
        <v>31</v>
      </c>
      <c r="P5762" t="str">
        <f>"15206"</f>
        <v>15206</v>
      </c>
    </row>
    <row r="5763" spans="1:16" x14ac:dyDescent="0.25">
      <c r="A5763" t="str">
        <f>"1120173F00121    00"</f>
        <v>1120173F00121    00</v>
      </c>
      <c r="B5763" t="s">
        <v>13394</v>
      </c>
      <c r="C5763" t="s">
        <v>12963</v>
      </c>
      <c r="E5763" t="s">
        <v>39</v>
      </c>
      <c r="F5763">
        <v>0</v>
      </c>
      <c r="G5763">
        <v>0</v>
      </c>
      <c r="H5763">
        <v>1</v>
      </c>
      <c r="I5763" s="3">
        <v>41.15</v>
      </c>
      <c r="J5763" s="3">
        <v>20.23</v>
      </c>
      <c r="K5763" t="s">
        <v>13395</v>
      </c>
      <c r="L5763">
        <v>7922</v>
      </c>
      <c r="M5763" t="s">
        <v>2398</v>
      </c>
      <c r="N5763" t="s">
        <v>1046</v>
      </c>
      <c r="O5763" t="s">
        <v>31</v>
      </c>
      <c r="P5763" t="str">
        <f>"15147"</f>
        <v>15147</v>
      </c>
    </row>
    <row r="5764" spans="1:16" x14ac:dyDescent="0.25">
      <c r="A5764" t="str">
        <f>"1120173F00122    00"</f>
        <v>1120173F00122    00</v>
      </c>
      <c r="B5764" t="s">
        <v>13396</v>
      </c>
      <c r="C5764" t="s">
        <v>12963</v>
      </c>
      <c r="D5764" t="s">
        <v>20</v>
      </c>
      <c r="E5764" t="s">
        <v>39</v>
      </c>
      <c r="F5764">
        <v>0</v>
      </c>
      <c r="G5764">
        <v>0</v>
      </c>
      <c r="H5764">
        <v>19</v>
      </c>
      <c r="I5764" s="3">
        <v>5769.37</v>
      </c>
      <c r="J5764" s="3">
        <v>7864.55</v>
      </c>
      <c r="P5764" t="str">
        <f>""</f>
        <v/>
      </c>
    </row>
    <row r="5765" spans="1:16" x14ac:dyDescent="0.25">
      <c r="A5765" t="str">
        <f>"1120173F00125    00"</f>
        <v>1120173F00125    00</v>
      </c>
      <c r="B5765" t="s">
        <v>13397</v>
      </c>
      <c r="C5765" t="s">
        <v>13398</v>
      </c>
      <c r="D5765" t="s">
        <v>20</v>
      </c>
      <c r="E5765" t="s">
        <v>39</v>
      </c>
      <c r="F5765">
        <v>0</v>
      </c>
      <c r="G5765">
        <v>0</v>
      </c>
      <c r="H5765">
        <v>19</v>
      </c>
      <c r="I5765" s="3">
        <v>430.66</v>
      </c>
      <c r="J5765" s="3">
        <v>340.06</v>
      </c>
      <c r="L5765">
        <v>1545</v>
      </c>
      <c r="M5765" t="s">
        <v>13068</v>
      </c>
      <c r="N5765" t="s">
        <v>30</v>
      </c>
      <c r="O5765" t="s">
        <v>31</v>
      </c>
      <c r="P5765" t="str">
        <f>"15206"</f>
        <v>15206</v>
      </c>
    </row>
    <row r="5766" spans="1:16" x14ac:dyDescent="0.25">
      <c r="A5766" t="str">
        <f>"1120173F00128    00"</f>
        <v>1120173F00128    00</v>
      </c>
      <c r="B5766" t="s">
        <v>13399</v>
      </c>
      <c r="C5766" t="s">
        <v>13400</v>
      </c>
      <c r="D5766" t="s">
        <v>20</v>
      </c>
      <c r="E5766" t="s">
        <v>39</v>
      </c>
      <c r="F5766">
        <v>0</v>
      </c>
      <c r="G5766">
        <v>0</v>
      </c>
      <c r="H5766">
        <v>2</v>
      </c>
      <c r="I5766" s="3">
        <v>56.38</v>
      </c>
      <c r="J5766" s="3">
        <v>0</v>
      </c>
      <c r="L5766">
        <v>1551</v>
      </c>
      <c r="M5766" t="s">
        <v>11695</v>
      </c>
      <c r="N5766" t="s">
        <v>30</v>
      </c>
      <c r="O5766" t="s">
        <v>31</v>
      </c>
      <c r="P5766" t="str">
        <f>"15206"</f>
        <v>15206</v>
      </c>
    </row>
    <row r="5767" spans="1:16" x14ac:dyDescent="0.25">
      <c r="A5767" t="str">
        <f>"1120173F00130    00"</f>
        <v>1120173F00130    00</v>
      </c>
      <c r="B5767" t="s">
        <v>13401</v>
      </c>
      <c r="C5767" t="s">
        <v>12963</v>
      </c>
      <c r="D5767" t="s">
        <v>20</v>
      </c>
      <c r="E5767" t="s">
        <v>39</v>
      </c>
      <c r="F5767">
        <v>0</v>
      </c>
      <c r="G5767">
        <v>0</v>
      </c>
      <c r="H5767">
        <v>19</v>
      </c>
      <c r="I5767" s="3">
        <v>430.66</v>
      </c>
      <c r="J5767" s="3">
        <v>340.06</v>
      </c>
      <c r="K5767" t="s">
        <v>1008</v>
      </c>
      <c r="P5767" t="str">
        <f>""</f>
        <v/>
      </c>
    </row>
    <row r="5768" spans="1:16" x14ac:dyDescent="0.25">
      <c r="A5768" t="str">
        <f>"1120173F00131    00"</f>
        <v>1120173F00131    00</v>
      </c>
      <c r="B5768" t="s">
        <v>13402</v>
      </c>
      <c r="C5768" t="s">
        <v>13403</v>
      </c>
      <c r="D5768" t="s">
        <v>20</v>
      </c>
      <c r="E5768" t="s">
        <v>39</v>
      </c>
      <c r="F5768">
        <v>0</v>
      </c>
      <c r="G5768">
        <v>0</v>
      </c>
      <c r="H5768">
        <v>9</v>
      </c>
      <c r="I5768" s="3">
        <v>524.37</v>
      </c>
      <c r="J5768" s="3">
        <v>106.38</v>
      </c>
      <c r="L5768">
        <v>1559</v>
      </c>
      <c r="M5768" t="s">
        <v>11695</v>
      </c>
      <c r="N5768" t="s">
        <v>30</v>
      </c>
      <c r="O5768" t="s">
        <v>31</v>
      </c>
      <c r="P5768" t="str">
        <f>"15206"</f>
        <v>15206</v>
      </c>
    </row>
    <row r="5769" spans="1:16" x14ac:dyDescent="0.25">
      <c r="A5769" t="str">
        <f>"1120173F00132    00"</f>
        <v>1120173F00132    00</v>
      </c>
      <c r="B5769" t="s">
        <v>13404</v>
      </c>
      <c r="C5769" t="s">
        <v>13405</v>
      </c>
      <c r="D5769" t="s">
        <v>20</v>
      </c>
      <c r="E5769" t="s">
        <v>39</v>
      </c>
      <c r="F5769">
        <v>0</v>
      </c>
      <c r="G5769">
        <v>0</v>
      </c>
      <c r="H5769">
        <v>19</v>
      </c>
      <c r="I5769" s="3">
        <v>701.56</v>
      </c>
      <c r="J5769" s="3">
        <v>334.46</v>
      </c>
      <c r="K5769" t="s">
        <v>1037</v>
      </c>
      <c r="L5769">
        <v>1573</v>
      </c>
      <c r="M5769" t="s">
        <v>11695</v>
      </c>
      <c r="N5769" t="s">
        <v>30</v>
      </c>
      <c r="O5769" t="s">
        <v>31</v>
      </c>
      <c r="P5769" t="str">
        <f>"15206"</f>
        <v>15206</v>
      </c>
    </row>
    <row r="5770" spans="1:16" x14ac:dyDescent="0.25">
      <c r="A5770" t="str">
        <f>"1120173F00133    00"</f>
        <v>1120173F00133    00</v>
      </c>
      <c r="B5770" t="s">
        <v>13406</v>
      </c>
      <c r="C5770" t="s">
        <v>12963</v>
      </c>
      <c r="D5770" t="s">
        <v>20</v>
      </c>
      <c r="E5770" t="s">
        <v>39</v>
      </c>
      <c r="F5770">
        <v>0</v>
      </c>
      <c r="G5770">
        <v>0</v>
      </c>
      <c r="H5770">
        <v>15</v>
      </c>
      <c r="I5770" s="3">
        <v>242.41</v>
      </c>
      <c r="J5770" s="3">
        <v>177.96</v>
      </c>
      <c r="K5770" t="s">
        <v>13407</v>
      </c>
      <c r="P5770" t="str">
        <f>""</f>
        <v/>
      </c>
    </row>
    <row r="5771" spans="1:16" x14ac:dyDescent="0.25">
      <c r="A5771" t="str">
        <f>"1120173F00133000100"</f>
        <v>1120173F00133000100</v>
      </c>
      <c r="B5771" t="s">
        <v>3051</v>
      </c>
      <c r="C5771" t="s">
        <v>13408</v>
      </c>
      <c r="D5771" t="s">
        <v>20</v>
      </c>
      <c r="E5771" t="s">
        <v>39</v>
      </c>
      <c r="F5771">
        <v>0</v>
      </c>
      <c r="G5771">
        <v>0</v>
      </c>
      <c r="H5771">
        <v>12</v>
      </c>
      <c r="I5771" s="3">
        <v>1762.65</v>
      </c>
      <c r="J5771" s="3">
        <v>631.01</v>
      </c>
      <c r="L5771">
        <v>1000</v>
      </c>
      <c r="M5771" t="s">
        <v>614</v>
      </c>
      <c r="N5771" t="s">
        <v>30</v>
      </c>
      <c r="O5771" t="s">
        <v>31</v>
      </c>
      <c r="P5771" t="str">
        <f>"15222"</f>
        <v>15222</v>
      </c>
    </row>
    <row r="5772" spans="1:16" x14ac:dyDescent="0.25">
      <c r="A5772" t="str">
        <f>"1120173F00140    00"</f>
        <v>1120173F00140    00</v>
      </c>
      <c r="B5772" t="s">
        <v>13409</v>
      </c>
      <c r="C5772" t="s">
        <v>13410</v>
      </c>
      <c r="D5772" t="s">
        <v>20</v>
      </c>
      <c r="E5772" t="s">
        <v>39</v>
      </c>
      <c r="F5772">
        <v>0</v>
      </c>
      <c r="G5772">
        <v>0</v>
      </c>
      <c r="H5772">
        <v>3</v>
      </c>
      <c r="I5772" s="3">
        <v>855.01</v>
      </c>
      <c r="J5772" s="3">
        <v>54.35</v>
      </c>
      <c r="L5772">
        <v>1620</v>
      </c>
      <c r="M5772" t="s">
        <v>12968</v>
      </c>
      <c r="N5772" t="s">
        <v>30</v>
      </c>
      <c r="O5772" t="s">
        <v>31</v>
      </c>
      <c r="P5772" t="str">
        <f t="shared" ref="P5772:P5781" si="75">"15206"</f>
        <v>15206</v>
      </c>
    </row>
    <row r="5773" spans="1:16" x14ac:dyDescent="0.25">
      <c r="A5773" t="str">
        <f>"1120173F00149    00"</f>
        <v>1120173F00149    00</v>
      </c>
      <c r="B5773" t="s">
        <v>13411</v>
      </c>
      <c r="C5773" t="s">
        <v>13412</v>
      </c>
      <c r="D5773" t="s">
        <v>20</v>
      </c>
      <c r="E5773" t="s">
        <v>39</v>
      </c>
      <c r="F5773">
        <v>0</v>
      </c>
      <c r="G5773">
        <v>0</v>
      </c>
      <c r="H5773">
        <v>1</v>
      </c>
      <c r="I5773" s="3">
        <v>463.64</v>
      </c>
      <c r="J5773" s="3">
        <v>0</v>
      </c>
      <c r="L5773">
        <v>1600</v>
      </c>
      <c r="M5773" t="s">
        <v>11695</v>
      </c>
      <c r="N5773" t="s">
        <v>30</v>
      </c>
      <c r="O5773" t="s">
        <v>31</v>
      </c>
      <c r="P5773" t="str">
        <f t="shared" si="75"/>
        <v>15206</v>
      </c>
    </row>
    <row r="5774" spans="1:16" x14ac:dyDescent="0.25">
      <c r="A5774" t="str">
        <f>"1120173F00152    00"</f>
        <v>1120173F00152    00</v>
      </c>
      <c r="B5774" t="s">
        <v>13413</v>
      </c>
      <c r="C5774" t="s">
        <v>12963</v>
      </c>
      <c r="D5774" t="s">
        <v>20</v>
      </c>
      <c r="E5774" t="s">
        <v>39</v>
      </c>
      <c r="F5774">
        <v>0</v>
      </c>
      <c r="G5774">
        <v>0</v>
      </c>
      <c r="H5774">
        <v>19</v>
      </c>
      <c r="I5774" s="3">
        <v>277.07</v>
      </c>
      <c r="J5774" s="3">
        <v>258.88</v>
      </c>
      <c r="L5774">
        <v>1564</v>
      </c>
      <c r="M5774" t="s">
        <v>13414</v>
      </c>
      <c r="N5774" t="s">
        <v>30</v>
      </c>
      <c r="O5774" t="s">
        <v>31</v>
      </c>
      <c r="P5774" t="str">
        <f t="shared" si="75"/>
        <v>15206</v>
      </c>
    </row>
    <row r="5775" spans="1:16" x14ac:dyDescent="0.25">
      <c r="A5775" t="str">
        <f>"1120173F00154    00"</f>
        <v>1120173F00154    00</v>
      </c>
      <c r="B5775" t="s">
        <v>13415</v>
      </c>
      <c r="C5775" t="s">
        <v>13416</v>
      </c>
      <c r="D5775" t="s">
        <v>20</v>
      </c>
      <c r="E5775" t="s">
        <v>39</v>
      </c>
      <c r="F5775">
        <v>0</v>
      </c>
      <c r="G5775">
        <v>0</v>
      </c>
      <c r="H5775">
        <v>1</v>
      </c>
      <c r="I5775" s="3">
        <v>84.59</v>
      </c>
      <c r="J5775" s="3">
        <v>0</v>
      </c>
      <c r="L5775">
        <v>1566</v>
      </c>
      <c r="M5775" t="s">
        <v>12968</v>
      </c>
      <c r="N5775" t="s">
        <v>30</v>
      </c>
      <c r="O5775" t="s">
        <v>31</v>
      </c>
      <c r="P5775" t="str">
        <f t="shared" si="75"/>
        <v>15206</v>
      </c>
    </row>
    <row r="5776" spans="1:16" x14ac:dyDescent="0.25">
      <c r="A5776" t="str">
        <f>"1120173F00155    00"</f>
        <v>1120173F00155    00</v>
      </c>
      <c r="B5776" t="s">
        <v>13417</v>
      </c>
      <c r="C5776" t="s">
        <v>13418</v>
      </c>
      <c r="D5776" t="s">
        <v>20</v>
      </c>
      <c r="E5776" t="s">
        <v>39</v>
      </c>
      <c r="F5776">
        <v>0</v>
      </c>
      <c r="G5776">
        <v>0</v>
      </c>
      <c r="H5776">
        <v>5</v>
      </c>
      <c r="I5776" s="3">
        <v>278.7</v>
      </c>
      <c r="J5776" s="3">
        <v>48.05</v>
      </c>
      <c r="L5776">
        <v>1562</v>
      </c>
      <c r="M5776" t="s">
        <v>12968</v>
      </c>
      <c r="N5776" t="s">
        <v>30</v>
      </c>
      <c r="O5776" t="s">
        <v>31</v>
      </c>
      <c r="P5776" t="str">
        <f t="shared" si="75"/>
        <v>15206</v>
      </c>
    </row>
    <row r="5777" spans="1:16" x14ac:dyDescent="0.25">
      <c r="A5777" t="str">
        <f>"1120173F00157    00"</f>
        <v>1120173F00157    00</v>
      </c>
      <c r="B5777" t="s">
        <v>13419</v>
      </c>
      <c r="C5777" t="s">
        <v>12963</v>
      </c>
      <c r="D5777" t="s">
        <v>20</v>
      </c>
      <c r="E5777" t="s">
        <v>39</v>
      </c>
      <c r="F5777">
        <v>0</v>
      </c>
      <c r="G5777">
        <v>0</v>
      </c>
      <c r="H5777">
        <v>19</v>
      </c>
      <c r="I5777" s="3">
        <v>1122.26</v>
      </c>
      <c r="J5777" s="3">
        <v>795.69</v>
      </c>
      <c r="K5777" t="s">
        <v>1037</v>
      </c>
      <c r="L5777">
        <v>1558</v>
      </c>
      <c r="M5777" t="s">
        <v>11695</v>
      </c>
      <c r="N5777" t="s">
        <v>30</v>
      </c>
      <c r="O5777" t="s">
        <v>31</v>
      </c>
      <c r="P5777" t="str">
        <f t="shared" si="75"/>
        <v>15206</v>
      </c>
    </row>
    <row r="5778" spans="1:16" x14ac:dyDescent="0.25">
      <c r="A5778" t="str">
        <f>"1120173F00159    00"</f>
        <v>1120173F00159    00</v>
      </c>
      <c r="B5778" t="s">
        <v>13420</v>
      </c>
      <c r="C5778" t="s">
        <v>12963</v>
      </c>
      <c r="D5778" t="s">
        <v>20</v>
      </c>
      <c r="E5778" t="s">
        <v>39</v>
      </c>
      <c r="F5778">
        <v>0</v>
      </c>
      <c r="G5778">
        <v>0</v>
      </c>
      <c r="H5778">
        <v>19</v>
      </c>
      <c r="I5778" s="3">
        <v>386.76</v>
      </c>
      <c r="J5778" s="3">
        <v>316.88</v>
      </c>
      <c r="M5778" t="s">
        <v>13421</v>
      </c>
      <c r="N5778" t="s">
        <v>30</v>
      </c>
      <c r="O5778" t="s">
        <v>31</v>
      </c>
      <c r="P5778" t="str">
        <f t="shared" si="75"/>
        <v>15206</v>
      </c>
    </row>
    <row r="5779" spans="1:16" x14ac:dyDescent="0.25">
      <c r="A5779" t="str">
        <f>"1120173F00160    00"</f>
        <v>1120173F00160    00</v>
      </c>
      <c r="B5779" t="s">
        <v>13420</v>
      </c>
      <c r="C5779" t="s">
        <v>12963</v>
      </c>
      <c r="D5779" t="s">
        <v>20</v>
      </c>
      <c r="E5779" t="s">
        <v>39</v>
      </c>
      <c r="F5779">
        <v>0</v>
      </c>
      <c r="G5779">
        <v>0</v>
      </c>
      <c r="H5779">
        <v>19</v>
      </c>
      <c r="I5779" s="3">
        <v>559.33000000000004</v>
      </c>
      <c r="J5779" s="3">
        <v>565.57000000000005</v>
      </c>
      <c r="M5779" t="s">
        <v>13421</v>
      </c>
      <c r="N5779" t="s">
        <v>30</v>
      </c>
      <c r="O5779" t="s">
        <v>31</v>
      </c>
      <c r="P5779" t="str">
        <f t="shared" si="75"/>
        <v>15206</v>
      </c>
    </row>
    <row r="5780" spans="1:16" x14ac:dyDescent="0.25">
      <c r="A5780" t="str">
        <f>"1120173F00172    00"</f>
        <v>1120173F00172    00</v>
      </c>
      <c r="B5780" t="s">
        <v>13422</v>
      </c>
      <c r="C5780" t="s">
        <v>13423</v>
      </c>
      <c r="D5780" t="s">
        <v>20</v>
      </c>
      <c r="E5780" t="s">
        <v>39</v>
      </c>
      <c r="F5780">
        <v>0</v>
      </c>
      <c r="G5780">
        <v>0</v>
      </c>
      <c r="H5780">
        <v>7</v>
      </c>
      <c r="I5780" s="3">
        <v>4547.42</v>
      </c>
      <c r="J5780" s="3">
        <v>1256.1199999999999</v>
      </c>
      <c r="L5780">
        <v>1522</v>
      </c>
      <c r="M5780" t="s">
        <v>12968</v>
      </c>
      <c r="N5780" t="s">
        <v>30</v>
      </c>
      <c r="O5780" t="s">
        <v>31</v>
      </c>
      <c r="P5780" t="str">
        <f t="shared" si="75"/>
        <v>15206</v>
      </c>
    </row>
    <row r="5781" spans="1:16" x14ac:dyDescent="0.25">
      <c r="A5781" t="str">
        <f>"1120173F00176    00"</f>
        <v>1120173F00176    00</v>
      </c>
      <c r="B5781" t="s">
        <v>13424</v>
      </c>
      <c r="C5781" t="s">
        <v>12963</v>
      </c>
      <c r="D5781" t="s">
        <v>20</v>
      </c>
      <c r="E5781" t="s">
        <v>39</v>
      </c>
      <c r="F5781">
        <v>0</v>
      </c>
      <c r="G5781">
        <v>0</v>
      </c>
      <c r="H5781">
        <v>17</v>
      </c>
      <c r="I5781" s="3">
        <v>1447.85</v>
      </c>
      <c r="J5781" s="3">
        <v>979.33</v>
      </c>
      <c r="K5781" t="s">
        <v>13425</v>
      </c>
      <c r="L5781">
        <v>1522</v>
      </c>
      <c r="M5781" t="s">
        <v>12968</v>
      </c>
      <c r="N5781" t="s">
        <v>30</v>
      </c>
      <c r="O5781" t="s">
        <v>31</v>
      </c>
      <c r="P5781" t="str">
        <f t="shared" si="75"/>
        <v>15206</v>
      </c>
    </row>
    <row r="5782" spans="1:16" x14ac:dyDescent="0.25">
      <c r="A5782" t="str">
        <f>"1120173F00178    00"</f>
        <v>1120173F00178    00</v>
      </c>
      <c r="B5782" t="s">
        <v>13426</v>
      </c>
      <c r="C5782" t="s">
        <v>12963</v>
      </c>
      <c r="D5782" t="s">
        <v>20</v>
      </c>
      <c r="E5782" t="s">
        <v>39</v>
      </c>
      <c r="F5782">
        <v>0</v>
      </c>
      <c r="G5782">
        <v>0</v>
      </c>
      <c r="H5782">
        <v>19</v>
      </c>
      <c r="I5782" s="3">
        <v>1122.26</v>
      </c>
      <c r="J5782" s="3">
        <v>795.69</v>
      </c>
      <c r="K5782" t="s">
        <v>1008</v>
      </c>
      <c r="P5782" t="str">
        <f>""</f>
        <v/>
      </c>
    </row>
    <row r="5783" spans="1:16" x14ac:dyDescent="0.25">
      <c r="A5783" t="str">
        <f>"1120173F00179    00"</f>
        <v>1120173F00179    00</v>
      </c>
      <c r="B5783" t="s">
        <v>13427</v>
      </c>
      <c r="C5783" t="s">
        <v>13428</v>
      </c>
      <c r="D5783" t="s">
        <v>20</v>
      </c>
      <c r="E5783" t="s">
        <v>39</v>
      </c>
      <c r="F5783">
        <v>0</v>
      </c>
      <c r="G5783">
        <v>0</v>
      </c>
      <c r="H5783">
        <v>19</v>
      </c>
      <c r="I5783" s="3">
        <v>3462.82</v>
      </c>
      <c r="J5783" s="3">
        <v>4888.33</v>
      </c>
      <c r="L5783">
        <v>1502</v>
      </c>
      <c r="M5783" t="s">
        <v>11695</v>
      </c>
      <c r="N5783" t="s">
        <v>30</v>
      </c>
      <c r="O5783" t="s">
        <v>31</v>
      </c>
      <c r="P5783" t="str">
        <f>"15206"</f>
        <v>15206</v>
      </c>
    </row>
    <row r="5784" spans="1:16" x14ac:dyDescent="0.25">
      <c r="A5784" t="str">
        <f>"1120173F00182    00"</f>
        <v>1120173F00182    00</v>
      </c>
      <c r="B5784" t="s">
        <v>13381</v>
      </c>
      <c r="C5784" t="s">
        <v>13429</v>
      </c>
      <c r="E5784" t="s">
        <v>39</v>
      </c>
      <c r="F5784">
        <v>0</v>
      </c>
      <c r="G5784">
        <v>0</v>
      </c>
      <c r="H5784">
        <v>17</v>
      </c>
      <c r="I5784" s="3">
        <v>7684.69</v>
      </c>
      <c r="J5784" s="3">
        <v>8199.68</v>
      </c>
      <c r="K5784" t="s">
        <v>13383</v>
      </c>
      <c r="L5784">
        <v>2209</v>
      </c>
      <c r="M5784" t="s">
        <v>13384</v>
      </c>
      <c r="N5784" t="s">
        <v>30</v>
      </c>
      <c r="O5784" t="s">
        <v>31</v>
      </c>
      <c r="P5784" t="str">
        <f>"15217"</f>
        <v>15217</v>
      </c>
    </row>
    <row r="5785" spans="1:16" x14ac:dyDescent="0.25">
      <c r="A5785" t="str">
        <f>"1120173F00185    00"</f>
        <v>1120173F00185    00</v>
      </c>
      <c r="B5785" t="s">
        <v>13430</v>
      </c>
      <c r="C5785" t="s">
        <v>12963</v>
      </c>
      <c r="D5785" t="s">
        <v>20</v>
      </c>
      <c r="E5785" t="s">
        <v>39</v>
      </c>
      <c r="F5785">
        <v>0</v>
      </c>
      <c r="G5785">
        <v>0</v>
      </c>
      <c r="H5785">
        <v>19</v>
      </c>
      <c r="I5785" s="3">
        <v>4040.54</v>
      </c>
      <c r="J5785" s="3">
        <v>5237.21</v>
      </c>
      <c r="L5785">
        <v>533</v>
      </c>
      <c r="M5785" t="s">
        <v>13431</v>
      </c>
      <c r="N5785" t="s">
        <v>1046</v>
      </c>
      <c r="O5785" t="s">
        <v>31</v>
      </c>
      <c r="P5785" t="str">
        <f>"15147"</f>
        <v>15147</v>
      </c>
    </row>
    <row r="5786" spans="1:16" x14ac:dyDescent="0.25">
      <c r="A5786" t="str">
        <f>"1120173F00188    00"</f>
        <v>1120173F00188    00</v>
      </c>
      <c r="B5786" t="s">
        <v>13432</v>
      </c>
      <c r="C5786" t="s">
        <v>13433</v>
      </c>
      <c r="D5786" t="s">
        <v>20</v>
      </c>
      <c r="E5786" t="s">
        <v>39</v>
      </c>
      <c r="F5786">
        <v>0</v>
      </c>
      <c r="G5786">
        <v>0</v>
      </c>
      <c r="H5786">
        <v>11</v>
      </c>
      <c r="I5786" s="3">
        <v>641.20000000000005</v>
      </c>
      <c r="J5786" s="3">
        <v>304.08</v>
      </c>
      <c r="K5786" t="s">
        <v>13434</v>
      </c>
      <c r="L5786">
        <v>1304</v>
      </c>
      <c r="M5786" t="s">
        <v>12968</v>
      </c>
      <c r="N5786" t="s">
        <v>30</v>
      </c>
      <c r="O5786" t="s">
        <v>31</v>
      </c>
      <c r="P5786" t="str">
        <f>"15206"</f>
        <v>15206</v>
      </c>
    </row>
    <row r="5787" spans="1:16" x14ac:dyDescent="0.25">
      <c r="A5787" t="str">
        <f>"1120173F00198    00"</f>
        <v>1120173F00198    00</v>
      </c>
      <c r="B5787" t="s">
        <v>13435</v>
      </c>
      <c r="C5787" t="s">
        <v>13094</v>
      </c>
      <c r="D5787" t="s">
        <v>20</v>
      </c>
      <c r="E5787" t="s">
        <v>39</v>
      </c>
      <c r="F5787">
        <v>0</v>
      </c>
      <c r="G5787">
        <v>0</v>
      </c>
      <c r="H5787">
        <v>14</v>
      </c>
      <c r="I5787" s="3">
        <v>4681.57</v>
      </c>
      <c r="J5787" s="3">
        <v>6556.97</v>
      </c>
      <c r="K5787" t="s">
        <v>13436</v>
      </c>
      <c r="L5787">
        <v>307</v>
      </c>
      <c r="M5787" t="s">
        <v>13437</v>
      </c>
      <c r="N5787" t="s">
        <v>30</v>
      </c>
      <c r="O5787" t="s">
        <v>31</v>
      </c>
      <c r="P5787" t="str">
        <f>"15207"</f>
        <v>15207</v>
      </c>
    </row>
    <row r="5788" spans="1:16" x14ac:dyDescent="0.25">
      <c r="A5788" t="str">
        <f>"1120173F00205    00"</f>
        <v>1120173F00205    00</v>
      </c>
      <c r="B5788" t="s">
        <v>13438</v>
      </c>
      <c r="C5788" t="s">
        <v>13439</v>
      </c>
      <c r="E5788" t="s">
        <v>39</v>
      </c>
      <c r="F5788">
        <v>0</v>
      </c>
      <c r="G5788">
        <v>0</v>
      </c>
      <c r="H5788">
        <v>2</v>
      </c>
      <c r="I5788" s="3">
        <v>785.8</v>
      </c>
      <c r="J5788" s="3">
        <v>907.03</v>
      </c>
      <c r="L5788">
        <v>1529</v>
      </c>
      <c r="M5788" t="s">
        <v>10391</v>
      </c>
      <c r="N5788" t="s">
        <v>30</v>
      </c>
      <c r="O5788" t="s">
        <v>31</v>
      </c>
      <c r="P5788" t="str">
        <f t="shared" ref="P5788:P5793" si="76">"15206"</f>
        <v>15206</v>
      </c>
    </row>
    <row r="5789" spans="1:16" x14ac:dyDescent="0.25">
      <c r="A5789" t="str">
        <f>"1120173F00210    00"</f>
        <v>1120173F00210    00</v>
      </c>
      <c r="B5789" t="s">
        <v>13440</v>
      </c>
      <c r="C5789" t="s">
        <v>13441</v>
      </c>
      <c r="E5789" t="s">
        <v>39</v>
      </c>
      <c r="F5789">
        <v>0</v>
      </c>
      <c r="G5789">
        <v>0</v>
      </c>
      <c r="H5789">
        <v>1</v>
      </c>
      <c r="I5789" s="3">
        <v>155.05000000000001</v>
      </c>
      <c r="J5789" s="3">
        <v>0</v>
      </c>
      <c r="L5789">
        <v>1539</v>
      </c>
      <c r="M5789" t="s">
        <v>10391</v>
      </c>
      <c r="N5789" t="s">
        <v>30</v>
      </c>
      <c r="O5789" t="s">
        <v>31</v>
      </c>
      <c r="P5789" t="str">
        <f t="shared" si="76"/>
        <v>15206</v>
      </c>
    </row>
    <row r="5790" spans="1:16" x14ac:dyDescent="0.25">
      <c r="A5790" t="str">
        <f>"1120173F00211    00"</f>
        <v>1120173F00211    00</v>
      </c>
      <c r="B5790" t="s">
        <v>13442</v>
      </c>
      <c r="C5790" t="s">
        <v>13443</v>
      </c>
      <c r="D5790" t="s">
        <v>20</v>
      </c>
      <c r="E5790" t="s">
        <v>39</v>
      </c>
      <c r="F5790">
        <v>0</v>
      </c>
      <c r="G5790">
        <v>0</v>
      </c>
      <c r="H5790">
        <v>2</v>
      </c>
      <c r="I5790" s="3">
        <v>1364.7</v>
      </c>
      <c r="J5790" s="3">
        <v>0</v>
      </c>
      <c r="L5790">
        <v>1541</v>
      </c>
      <c r="M5790" t="s">
        <v>10391</v>
      </c>
      <c r="N5790" t="s">
        <v>30</v>
      </c>
      <c r="O5790" t="s">
        <v>31</v>
      </c>
      <c r="P5790" t="str">
        <f t="shared" si="76"/>
        <v>15206</v>
      </c>
    </row>
    <row r="5791" spans="1:16" x14ac:dyDescent="0.25">
      <c r="A5791" t="str">
        <f>"1120173F00213    00"</f>
        <v>1120173F00213    00</v>
      </c>
      <c r="B5791" t="s">
        <v>13444</v>
      </c>
      <c r="C5791" t="s">
        <v>13445</v>
      </c>
      <c r="E5791" t="s">
        <v>39</v>
      </c>
      <c r="F5791">
        <v>0</v>
      </c>
      <c r="G5791">
        <v>0</v>
      </c>
      <c r="H5791">
        <v>1</v>
      </c>
      <c r="I5791" s="3">
        <v>190.31</v>
      </c>
      <c r="J5791" s="3">
        <v>0</v>
      </c>
      <c r="L5791">
        <v>1549</v>
      </c>
      <c r="M5791" t="s">
        <v>10391</v>
      </c>
      <c r="N5791" t="s">
        <v>30</v>
      </c>
      <c r="O5791" t="s">
        <v>31</v>
      </c>
      <c r="P5791" t="str">
        <f t="shared" si="76"/>
        <v>15206</v>
      </c>
    </row>
    <row r="5792" spans="1:16" x14ac:dyDescent="0.25">
      <c r="A5792" t="str">
        <f>"1120173F00219    00"</f>
        <v>1120173F00219    00</v>
      </c>
      <c r="B5792" t="s">
        <v>13446</v>
      </c>
      <c r="C5792" t="s">
        <v>13447</v>
      </c>
      <c r="D5792" t="s">
        <v>20</v>
      </c>
      <c r="E5792" t="s">
        <v>39</v>
      </c>
      <c r="F5792">
        <v>0</v>
      </c>
      <c r="G5792">
        <v>0</v>
      </c>
      <c r="H5792">
        <v>3</v>
      </c>
      <c r="I5792" s="3">
        <v>39.659999999999997</v>
      </c>
      <c r="J5792" s="3">
        <v>2.65</v>
      </c>
      <c r="L5792">
        <v>1559</v>
      </c>
      <c r="M5792" t="s">
        <v>10391</v>
      </c>
      <c r="N5792" t="s">
        <v>30</v>
      </c>
      <c r="O5792" t="s">
        <v>31</v>
      </c>
      <c r="P5792" t="str">
        <f t="shared" si="76"/>
        <v>15206</v>
      </c>
    </row>
    <row r="5793" spans="1:16" x14ac:dyDescent="0.25">
      <c r="A5793" t="str">
        <f>"1120173F00225    00"</f>
        <v>1120173F00225    00</v>
      </c>
      <c r="B5793" t="s">
        <v>13448</v>
      </c>
      <c r="C5793" t="s">
        <v>13449</v>
      </c>
      <c r="D5793" t="s">
        <v>20</v>
      </c>
      <c r="E5793" t="s">
        <v>39</v>
      </c>
      <c r="F5793">
        <v>0</v>
      </c>
      <c r="G5793">
        <v>0</v>
      </c>
      <c r="H5793">
        <v>14</v>
      </c>
      <c r="I5793" s="3">
        <v>2856.96</v>
      </c>
      <c r="J5793" s="3">
        <v>0</v>
      </c>
      <c r="L5793">
        <v>1303</v>
      </c>
      <c r="M5793" t="s">
        <v>11753</v>
      </c>
      <c r="N5793" t="s">
        <v>30</v>
      </c>
      <c r="O5793" t="s">
        <v>31</v>
      </c>
      <c r="P5793" t="str">
        <f t="shared" si="76"/>
        <v>15206</v>
      </c>
    </row>
    <row r="5794" spans="1:16" x14ac:dyDescent="0.25">
      <c r="A5794" t="str">
        <f>"1120173F00227    00"</f>
        <v>1120173F00227    00</v>
      </c>
      <c r="B5794" t="s">
        <v>13450</v>
      </c>
      <c r="C5794" t="s">
        <v>13451</v>
      </c>
      <c r="E5794" t="s">
        <v>39</v>
      </c>
      <c r="F5794">
        <v>0</v>
      </c>
      <c r="G5794">
        <v>0</v>
      </c>
      <c r="H5794">
        <v>5</v>
      </c>
      <c r="I5794" s="3">
        <v>2020.99</v>
      </c>
      <c r="J5794" s="3">
        <v>2699.72</v>
      </c>
      <c r="L5794">
        <v>1882</v>
      </c>
      <c r="M5794" t="s">
        <v>11100</v>
      </c>
      <c r="N5794" t="s">
        <v>30</v>
      </c>
      <c r="O5794" t="s">
        <v>31</v>
      </c>
      <c r="P5794" t="str">
        <f>"15235"</f>
        <v>15235</v>
      </c>
    </row>
    <row r="5795" spans="1:16" x14ac:dyDescent="0.25">
      <c r="A5795" t="str">
        <f>"1120173F00228    00"</f>
        <v>1120173F00228    00</v>
      </c>
      <c r="B5795" t="s">
        <v>12240</v>
      </c>
      <c r="C5795" t="s">
        <v>13452</v>
      </c>
      <c r="D5795" t="s">
        <v>20</v>
      </c>
      <c r="E5795" t="s">
        <v>39</v>
      </c>
      <c r="F5795">
        <v>0</v>
      </c>
      <c r="G5795">
        <v>0</v>
      </c>
      <c r="H5795">
        <v>4</v>
      </c>
      <c r="I5795" s="3">
        <v>2700.63</v>
      </c>
      <c r="J5795" s="3">
        <v>482.08</v>
      </c>
      <c r="L5795">
        <v>1421</v>
      </c>
      <c r="M5795" t="s">
        <v>12218</v>
      </c>
      <c r="N5795" t="s">
        <v>30</v>
      </c>
      <c r="O5795" t="s">
        <v>31</v>
      </c>
      <c r="P5795" t="str">
        <f>"15221"</f>
        <v>15221</v>
      </c>
    </row>
    <row r="5796" spans="1:16" x14ac:dyDescent="0.25">
      <c r="A5796" t="str">
        <f>"1120173F00230    00"</f>
        <v>1120173F00230    00</v>
      </c>
      <c r="B5796" t="s">
        <v>13453</v>
      </c>
      <c r="C5796" t="s">
        <v>13094</v>
      </c>
      <c r="D5796" t="s">
        <v>20</v>
      </c>
      <c r="E5796" t="s">
        <v>39</v>
      </c>
      <c r="F5796">
        <v>0</v>
      </c>
      <c r="G5796">
        <v>0</v>
      </c>
      <c r="H5796">
        <v>19</v>
      </c>
      <c r="I5796" s="3">
        <v>1097.6199999999999</v>
      </c>
      <c r="J5796" s="3">
        <v>760.23</v>
      </c>
      <c r="K5796" t="s">
        <v>1008</v>
      </c>
      <c r="P5796" t="str">
        <f>""</f>
        <v/>
      </c>
    </row>
    <row r="5797" spans="1:16" x14ac:dyDescent="0.25">
      <c r="A5797" t="str">
        <f>"1120173F00232    00"</f>
        <v>1120173F00232    00</v>
      </c>
      <c r="B5797" t="s">
        <v>13454</v>
      </c>
      <c r="C5797" t="s">
        <v>13455</v>
      </c>
      <c r="D5797" t="s">
        <v>20</v>
      </c>
      <c r="E5797" t="s">
        <v>39</v>
      </c>
      <c r="F5797">
        <v>0</v>
      </c>
      <c r="G5797">
        <v>0</v>
      </c>
      <c r="H5797">
        <v>1</v>
      </c>
      <c r="I5797" s="3">
        <v>365.95</v>
      </c>
      <c r="J5797" s="3">
        <v>0</v>
      </c>
      <c r="K5797" t="s">
        <v>13456</v>
      </c>
      <c r="L5797">
        <v>1611</v>
      </c>
      <c r="M5797" t="s">
        <v>10391</v>
      </c>
      <c r="N5797" t="s">
        <v>30</v>
      </c>
      <c r="O5797" t="s">
        <v>31</v>
      </c>
      <c r="P5797" t="str">
        <f>"15206"</f>
        <v>15206</v>
      </c>
    </row>
    <row r="5798" spans="1:16" x14ac:dyDescent="0.25">
      <c r="A5798" t="str">
        <f>"1120173F00233    00"</f>
        <v>1120173F00233    00</v>
      </c>
      <c r="B5798" t="s">
        <v>13454</v>
      </c>
      <c r="C5798" t="s">
        <v>13094</v>
      </c>
      <c r="D5798" t="s">
        <v>20</v>
      </c>
      <c r="E5798" t="s">
        <v>39</v>
      </c>
      <c r="F5798">
        <v>0</v>
      </c>
      <c r="G5798">
        <v>0</v>
      </c>
      <c r="H5798">
        <v>6</v>
      </c>
      <c r="I5798" s="3">
        <v>134.21</v>
      </c>
      <c r="J5798" s="3">
        <v>30.62</v>
      </c>
      <c r="K5798" t="s">
        <v>13456</v>
      </c>
      <c r="L5798">
        <v>1611</v>
      </c>
      <c r="M5798" t="s">
        <v>10391</v>
      </c>
      <c r="N5798" t="s">
        <v>30</v>
      </c>
      <c r="O5798" t="s">
        <v>31</v>
      </c>
      <c r="P5798" t="str">
        <f>"15206"</f>
        <v>15206</v>
      </c>
    </row>
    <row r="5799" spans="1:16" x14ac:dyDescent="0.25">
      <c r="A5799" t="str">
        <f>"1120173F00234    00"</f>
        <v>1120173F00234    00</v>
      </c>
      <c r="B5799" t="s">
        <v>13454</v>
      </c>
      <c r="C5799" t="s">
        <v>13094</v>
      </c>
      <c r="D5799" t="s">
        <v>20</v>
      </c>
      <c r="E5799" t="s">
        <v>39</v>
      </c>
      <c r="F5799">
        <v>0</v>
      </c>
      <c r="G5799">
        <v>0</v>
      </c>
      <c r="H5799">
        <v>6</v>
      </c>
      <c r="I5799" s="3">
        <v>134.21</v>
      </c>
      <c r="J5799" s="3">
        <v>30.62</v>
      </c>
      <c r="K5799" t="s">
        <v>13456</v>
      </c>
      <c r="L5799">
        <v>1611</v>
      </c>
      <c r="M5799" t="s">
        <v>10391</v>
      </c>
      <c r="N5799" t="s">
        <v>30</v>
      </c>
      <c r="O5799" t="s">
        <v>31</v>
      </c>
      <c r="P5799" t="str">
        <f>"15206"</f>
        <v>15206</v>
      </c>
    </row>
    <row r="5800" spans="1:16" x14ac:dyDescent="0.25">
      <c r="A5800" t="str">
        <f>"1120173F00235    00"</f>
        <v>1120173F00235    00</v>
      </c>
      <c r="B5800" t="s">
        <v>13457</v>
      </c>
      <c r="C5800" t="s">
        <v>13458</v>
      </c>
      <c r="D5800" t="s">
        <v>20</v>
      </c>
      <c r="E5800" t="s">
        <v>39</v>
      </c>
      <c r="F5800">
        <v>0</v>
      </c>
      <c r="G5800">
        <v>0</v>
      </c>
      <c r="H5800">
        <v>3</v>
      </c>
      <c r="I5800" s="3">
        <v>67.650000000000006</v>
      </c>
      <c r="J5800" s="3">
        <v>6.57</v>
      </c>
      <c r="L5800">
        <v>7249</v>
      </c>
      <c r="M5800" t="s">
        <v>2507</v>
      </c>
      <c r="N5800" t="s">
        <v>30</v>
      </c>
      <c r="O5800" t="s">
        <v>31</v>
      </c>
      <c r="P5800" t="str">
        <f>"15206"</f>
        <v>15206</v>
      </c>
    </row>
    <row r="5801" spans="1:16" x14ac:dyDescent="0.25">
      <c r="A5801" t="str">
        <f>"1120173F00239    00"</f>
        <v>1120173F00239    00</v>
      </c>
      <c r="B5801" t="s">
        <v>13459</v>
      </c>
      <c r="C5801" t="s">
        <v>13094</v>
      </c>
      <c r="D5801" t="s">
        <v>20</v>
      </c>
      <c r="E5801" t="s">
        <v>39</v>
      </c>
      <c r="F5801">
        <v>0</v>
      </c>
      <c r="G5801">
        <v>0</v>
      </c>
      <c r="H5801">
        <v>19</v>
      </c>
      <c r="I5801" s="3">
        <v>430.66</v>
      </c>
      <c r="J5801" s="3">
        <v>340.06</v>
      </c>
      <c r="K5801" t="s">
        <v>1008</v>
      </c>
      <c r="P5801" t="str">
        <f>""</f>
        <v/>
      </c>
    </row>
    <row r="5802" spans="1:16" x14ac:dyDescent="0.25">
      <c r="A5802" t="str">
        <f>"1120173F00242    00"</f>
        <v>1120173F00242    00</v>
      </c>
      <c r="B5802" t="s">
        <v>13460</v>
      </c>
      <c r="C5802" t="s">
        <v>13461</v>
      </c>
      <c r="D5802" t="s">
        <v>20</v>
      </c>
      <c r="E5802" t="s">
        <v>39</v>
      </c>
      <c r="F5802">
        <v>0</v>
      </c>
      <c r="G5802">
        <v>0</v>
      </c>
      <c r="H5802">
        <v>12</v>
      </c>
      <c r="I5802" s="3">
        <v>3535.23</v>
      </c>
      <c r="J5802" s="3">
        <v>1701.85</v>
      </c>
      <c r="L5802">
        <v>1602</v>
      </c>
      <c r="M5802" t="s">
        <v>10391</v>
      </c>
      <c r="N5802" t="s">
        <v>30</v>
      </c>
      <c r="O5802" t="s">
        <v>31</v>
      </c>
      <c r="P5802" t="str">
        <f>"15206"</f>
        <v>15206</v>
      </c>
    </row>
    <row r="5803" spans="1:16" x14ac:dyDescent="0.25">
      <c r="A5803" t="str">
        <f>"1120173F00249    00"</f>
        <v>1120173F00249    00</v>
      </c>
      <c r="B5803" t="s">
        <v>13462</v>
      </c>
      <c r="C5803" t="s">
        <v>13094</v>
      </c>
      <c r="D5803" t="s">
        <v>20</v>
      </c>
      <c r="E5803" t="s">
        <v>39</v>
      </c>
      <c r="F5803">
        <v>0</v>
      </c>
      <c r="G5803">
        <v>0</v>
      </c>
      <c r="H5803">
        <v>16</v>
      </c>
      <c r="I5803" s="3">
        <v>7587.85</v>
      </c>
      <c r="J5803" s="3">
        <v>9606.4599999999991</v>
      </c>
      <c r="L5803">
        <v>2715</v>
      </c>
      <c r="M5803" t="s">
        <v>13463</v>
      </c>
      <c r="N5803" t="s">
        <v>1158</v>
      </c>
      <c r="O5803" t="s">
        <v>370</v>
      </c>
      <c r="P5803" t="str">
        <f>"33402"</f>
        <v>33402</v>
      </c>
    </row>
    <row r="5804" spans="1:16" x14ac:dyDescent="0.25">
      <c r="A5804" t="str">
        <f>"1120173F00251    00"</f>
        <v>1120173F00251    00</v>
      </c>
      <c r="B5804" t="s">
        <v>13464</v>
      </c>
      <c r="C5804" t="s">
        <v>13465</v>
      </c>
      <c r="D5804" t="s">
        <v>20</v>
      </c>
      <c r="E5804" t="s">
        <v>39</v>
      </c>
      <c r="F5804">
        <v>0</v>
      </c>
      <c r="G5804">
        <v>0</v>
      </c>
      <c r="H5804">
        <v>6</v>
      </c>
      <c r="I5804" s="3">
        <v>954.49</v>
      </c>
      <c r="J5804" s="3">
        <v>234.75</v>
      </c>
      <c r="L5804">
        <v>1542</v>
      </c>
      <c r="M5804" t="s">
        <v>10391</v>
      </c>
      <c r="N5804" t="s">
        <v>30</v>
      </c>
      <c r="O5804" t="s">
        <v>31</v>
      </c>
      <c r="P5804" t="str">
        <f>"15206"</f>
        <v>15206</v>
      </c>
    </row>
    <row r="5805" spans="1:16" x14ac:dyDescent="0.25">
      <c r="A5805" t="str">
        <f>"1120173F00252    00"</f>
        <v>1120173F00252    00</v>
      </c>
      <c r="B5805" t="s">
        <v>13466</v>
      </c>
      <c r="C5805" t="s">
        <v>13467</v>
      </c>
      <c r="D5805" t="s">
        <v>20</v>
      </c>
      <c r="E5805" t="s">
        <v>39</v>
      </c>
      <c r="F5805">
        <v>0</v>
      </c>
      <c r="G5805">
        <v>0</v>
      </c>
      <c r="H5805">
        <v>8</v>
      </c>
      <c r="I5805" s="3">
        <v>251.91</v>
      </c>
      <c r="J5805" s="3">
        <v>83.28</v>
      </c>
      <c r="K5805" t="s">
        <v>13468</v>
      </c>
      <c r="M5805" t="s">
        <v>13469</v>
      </c>
      <c r="N5805" t="s">
        <v>13470</v>
      </c>
      <c r="O5805" t="s">
        <v>7695</v>
      </c>
      <c r="P5805" t="str">
        <f>"42702"</f>
        <v>42702</v>
      </c>
    </row>
    <row r="5806" spans="1:16" x14ac:dyDescent="0.25">
      <c r="A5806" t="str">
        <f>"1120173F00253    00"</f>
        <v>1120173F00253    00</v>
      </c>
      <c r="B5806" t="s">
        <v>13471</v>
      </c>
      <c r="C5806" t="s">
        <v>13467</v>
      </c>
      <c r="E5806" t="s">
        <v>39</v>
      </c>
      <c r="F5806">
        <v>0</v>
      </c>
      <c r="G5806">
        <v>0</v>
      </c>
      <c r="H5806">
        <v>1</v>
      </c>
      <c r="I5806" s="3">
        <v>292.74</v>
      </c>
      <c r="J5806" s="3">
        <v>117.09</v>
      </c>
      <c r="K5806" t="s">
        <v>13468</v>
      </c>
      <c r="M5806" t="s">
        <v>13469</v>
      </c>
      <c r="N5806" t="s">
        <v>13470</v>
      </c>
      <c r="O5806" t="s">
        <v>7695</v>
      </c>
      <c r="P5806" t="str">
        <f>"42702"</f>
        <v>42702</v>
      </c>
    </row>
    <row r="5807" spans="1:16" x14ac:dyDescent="0.25">
      <c r="A5807" t="str">
        <f>"1120173F00255    00"</f>
        <v>1120173F00255    00</v>
      </c>
      <c r="B5807" t="s">
        <v>13472</v>
      </c>
      <c r="C5807" t="s">
        <v>13473</v>
      </c>
      <c r="D5807" t="s">
        <v>20</v>
      </c>
      <c r="E5807" t="s">
        <v>39</v>
      </c>
      <c r="F5807">
        <v>0</v>
      </c>
      <c r="G5807">
        <v>0</v>
      </c>
      <c r="H5807">
        <v>1</v>
      </c>
      <c r="I5807" s="3">
        <v>989.22</v>
      </c>
      <c r="J5807" s="3">
        <v>0</v>
      </c>
      <c r="K5807" t="s">
        <v>13474</v>
      </c>
      <c r="L5807">
        <v>1536</v>
      </c>
      <c r="M5807" t="s">
        <v>10391</v>
      </c>
      <c r="N5807" t="s">
        <v>30</v>
      </c>
      <c r="O5807" t="s">
        <v>31</v>
      </c>
      <c r="P5807" t="str">
        <f>"15206"</f>
        <v>15206</v>
      </c>
    </row>
    <row r="5808" spans="1:16" x14ac:dyDescent="0.25">
      <c r="A5808" t="str">
        <f>"1120173F00260    00"</f>
        <v>1120173F00260    00</v>
      </c>
      <c r="B5808" t="s">
        <v>13475</v>
      </c>
      <c r="C5808" t="s">
        <v>13094</v>
      </c>
      <c r="D5808" t="s">
        <v>20</v>
      </c>
      <c r="E5808" t="s">
        <v>39</v>
      </c>
      <c r="F5808">
        <v>0</v>
      </c>
      <c r="G5808">
        <v>0</v>
      </c>
      <c r="H5808">
        <v>19</v>
      </c>
      <c r="I5808" s="3">
        <v>296.55</v>
      </c>
      <c r="J5808" s="3">
        <v>253.68</v>
      </c>
      <c r="L5808">
        <v>1530</v>
      </c>
      <c r="M5808" t="s">
        <v>10391</v>
      </c>
      <c r="N5808" t="s">
        <v>30</v>
      </c>
      <c r="O5808" t="s">
        <v>31</v>
      </c>
      <c r="P5808" t="str">
        <f>"15206"</f>
        <v>15206</v>
      </c>
    </row>
    <row r="5809" spans="1:16" x14ac:dyDescent="0.25">
      <c r="A5809" t="str">
        <f>"1120173F00270    00"</f>
        <v>1120173F00270    00</v>
      </c>
      <c r="B5809" t="s">
        <v>13476</v>
      </c>
      <c r="C5809" t="s">
        <v>13477</v>
      </c>
      <c r="D5809" t="s">
        <v>20</v>
      </c>
      <c r="E5809" t="s">
        <v>39</v>
      </c>
      <c r="F5809">
        <v>0</v>
      </c>
      <c r="G5809">
        <v>0</v>
      </c>
      <c r="H5809">
        <v>1</v>
      </c>
      <c r="I5809" s="3">
        <v>337.37</v>
      </c>
      <c r="J5809" s="3">
        <v>0</v>
      </c>
      <c r="K5809" t="s">
        <v>13478</v>
      </c>
      <c r="L5809">
        <v>7229</v>
      </c>
      <c r="M5809" t="s">
        <v>13479</v>
      </c>
      <c r="N5809" t="s">
        <v>30</v>
      </c>
      <c r="O5809" t="s">
        <v>31</v>
      </c>
      <c r="P5809" t="str">
        <f>"15235"</f>
        <v>15235</v>
      </c>
    </row>
    <row r="5810" spans="1:16" x14ac:dyDescent="0.25">
      <c r="A5810" t="str">
        <f>"1120173F00272    00"</f>
        <v>1120173F00272    00</v>
      </c>
      <c r="B5810" t="s">
        <v>13480</v>
      </c>
      <c r="C5810" t="s">
        <v>13481</v>
      </c>
      <c r="E5810" t="s">
        <v>39</v>
      </c>
      <c r="F5810">
        <v>0</v>
      </c>
      <c r="G5810">
        <v>0</v>
      </c>
      <c r="H5810">
        <v>1</v>
      </c>
      <c r="I5810" s="3">
        <v>183.25</v>
      </c>
      <c r="J5810" s="3">
        <v>0</v>
      </c>
      <c r="L5810">
        <v>4661</v>
      </c>
      <c r="M5810" t="s">
        <v>13482</v>
      </c>
      <c r="N5810" t="s">
        <v>195</v>
      </c>
      <c r="O5810" t="s">
        <v>31</v>
      </c>
      <c r="P5810" t="str">
        <f>"15101"</f>
        <v>15101</v>
      </c>
    </row>
    <row r="5811" spans="1:16" x14ac:dyDescent="0.25">
      <c r="A5811" t="str">
        <f>"1120173F00273    00"</f>
        <v>1120173F00273    00</v>
      </c>
      <c r="B5811" t="s">
        <v>13483</v>
      </c>
      <c r="C5811" t="s">
        <v>13484</v>
      </c>
      <c r="E5811" t="s">
        <v>39</v>
      </c>
      <c r="F5811">
        <v>0</v>
      </c>
      <c r="G5811">
        <v>0</v>
      </c>
      <c r="H5811">
        <v>6</v>
      </c>
      <c r="I5811" s="3">
        <v>871.88</v>
      </c>
      <c r="J5811" s="3">
        <v>356.41</v>
      </c>
      <c r="L5811">
        <v>7235</v>
      </c>
      <c r="M5811" t="s">
        <v>4026</v>
      </c>
      <c r="N5811" t="s">
        <v>30</v>
      </c>
      <c r="O5811" t="s">
        <v>31</v>
      </c>
      <c r="P5811" t="str">
        <f>"15235"</f>
        <v>15235</v>
      </c>
    </row>
    <row r="5812" spans="1:16" x14ac:dyDescent="0.25">
      <c r="A5812" t="str">
        <f>"1120173F00275    00"</f>
        <v>1120173F00275    00</v>
      </c>
      <c r="B5812" t="s">
        <v>13485</v>
      </c>
      <c r="C5812" t="s">
        <v>13486</v>
      </c>
      <c r="D5812" t="s">
        <v>33</v>
      </c>
      <c r="E5812" t="s">
        <v>39</v>
      </c>
      <c r="F5812">
        <v>0</v>
      </c>
      <c r="G5812">
        <v>0</v>
      </c>
      <c r="H5812">
        <v>14</v>
      </c>
      <c r="I5812" s="3">
        <v>8862.68</v>
      </c>
      <c r="J5812" s="3">
        <v>5476.96</v>
      </c>
      <c r="K5812" t="s">
        <v>13487</v>
      </c>
      <c r="L5812">
        <v>8700</v>
      </c>
      <c r="M5812" t="s">
        <v>13488</v>
      </c>
      <c r="N5812" t="s">
        <v>30</v>
      </c>
      <c r="O5812" t="s">
        <v>31</v>
      </c>
      <c r="P5812" t="str">
        <f>"15237"</f>
        <v>15237</v>
      </c>
    </row>
    <row r="5813" spans="1:16" x14ac:dyDescent="0.25">
      <c r="A5813" t="str">
        <f>"1120173F00281    00"</f>
        <v>1120173F00281    00</v>
      </c>
      <c r="B5813" t="s">
        <v>13489</v>
      </c>
      <c r="C5813" t="s">
        <v>13490</v>
      </c>
      <c r="D5813" t="s">
        <v>20</v>
      </c>
      <c r="E5813" t="s">
        <v>39</v>
      </c>
      <c r="F5813">
        <v>0</v>
      </c>
      <c r="G5813">
        <v>0</v>
      </c>
      <c r="H5813">
        <v>8</v>
      </c>
      <c r="I5813" s="3">
        <v>251.91</v>
      </c>
      <c r="J5813" s="3">
        <v>83.28</v>
      </c>
      <c r="K5813" t="s">
        <v>13491</v>
      </c>
      <c r="L5813">
        <v>130</v>
      </c>
      <c r="M5813" t="s">
        <v>13492</v>
      </c>
      <c r="N5813" t="s">
        <v>1046</v>
      </c>
      <c r="O5813" t="s">
        <v>31</v>
      </c>
      <c r="P5813" t="str">
        <f>"15147"</f>
        <v>15147</v>
      </c>
    </row>
    <row r="5814" spans="1:16" x14ac:dyDescent="0.25">
      <c r="A5814" t="str">
        <f>"1120173F00285    00"</f>
        <v>1120173F00285    00</v>
      </c>
      <c r="B5814" t="s">
        <v>13493</v>
      </c>
      <c r="C5814" t="s">
        <v>13494</v>
      </c>
      <c r="D5814" t="s">
        <v>20</v>
      </c>
      <c r="E5814" t="s">
        <v>39</v>
      </c>
      <c r="F5814">
        <v>0</v>
      </c>
      <c r="G5814">
        <v>0</v>
      </c>
      <c r="H5814">
        <v>13</v>
      </c>
      <c r="I5814" s="3">
        <v>8812.2099999999991</v>
      </c>
      <c r="J5814" s="3">
        <v>4960.6400000000003</v>
      </c>
      <c r="L5814">
        <v>124</v>
      </c>
      <c r="M5814" t="s">
        <v>9203</v>
      </c>
      <c r="N5814" t="s">
        <v>30</v>
      </c>
      <c r="O5814" t="s">
        <v>31</v>
      </c>
      <c r="P5814" t="str">
        <f>"15235"</f>
        <v>15235</v>
      </c>
    </row>
    <row r="5815" spans="1:16" x14ac:dyDescent="0.25">
      <c r="A5815" t="str">
        <f>"1120173F00292    00"</f>
        <v>1120173F00292    00</v>
      </c>
      <c r="B5815" t="s">
        <v>13495</v>
      </c>
      <c r="C5815" t="s">
        <v>13496</v>
      </c>
      <c r="D5815" t="s">
        <v>20</v>
      </c>
      <c r="E5815" t="s">
        <v>39</v>
      </c>
      <c r="F5815">
        <v>0</v>
      </c>
      <c r="G5815">
        <v>0</v>
      </c>
      <c r="H5815">
        <v>5</v>
      </c>
      <c r="I5815" s="3">
        <v>2307.9499999999998</v>
      </c>
      <c r="J5815" s="3">
        <v>398.73</v>
      </c>
      <c r="L5815">
        <v>154</v>
      </c>
      <c r="M5815" t="s">
        <v>13497</v>
      </c>
      <c r="N5815" t="s">
        <v>30</v>
      </c>
      <c r="O5815" t="s">
        <v>31</v>
      </c>
      <c r="P5815" t="str">
        <f>"15235"</f>
        <v>15235</v>
      </c>
    </row>
    <row r="5816" spans="1:16" x14ac:dyDescent="0.25">
      <c r="A5816" t="str">
        <f>"1120173F00294    00"</f>
        <v>1120173F00294    00</v>
      </c>
      <c r="B5816" t="s">
        <v>13498</v>
      </c>
      <c r="C5816" t="s">
        <v>13499</v>
      </c>
      <c r="E5816" t="s">
        <v>39</v>
      </c>
      <c r="F5816">
        <v>0</v>
      </c>
      <c r="G5816">
        <v>0</v>
      </c>
      <c r="H5816">
        <v>1</v>
      </c>
      <c r="I5816" s="3">
        <v>171.8</v>
      </c>
      <c r="J5816" s="3">
        <v>0</v>
      </c>
      <c r="L5816">
        <v>1603</v>
      </c>
      <c r="M5816" t="s">
        <v>12903</v>
      </c>
      <c r="N5816" t="s">
        <v>30</v>
      </c>
      <c r="O5816" t="s">
        <v>31</v>
      </c>
      <c r="P5816" t="str">
        <f>"15206"</f>
        <v>15206</v>
      </c>
    </row>
    <row r="5817" spans="1:16" x14ac:dyDescent="0.25">
      <c r="A5817" t="str">
        <f>"1120173F00304    00"</f>
        <v>1120173F00304    00</v>
      </c>
      <c r="B5817" t="s">
        <v>3008</v>
      </c>
      <c r="C5817" t="s">
        <v>13500</v>
      </c>
      <c r="D5817" t="s">
        <v>20</v>
      </c>
      <c r="E5817" t="s">
        <v>39</v>
      </c>
      <c r="F5817">
        <v>0</v>
      </c>
      <c r="G5817">
        <v>0</v>
      </c>
      <c r="H5817">
        <v>3</v>
      </c>
      <c r="I5817" s="3">
        <v>106.52</v>
      </c>
      <c r="J5817" s="3">
        <v>0.02</v>
      </c>
      <c r="M5817" t="s">
        <v>2628</v>
      </c>
      <c r="N5817" t="s">
        <v>30</v>
      </c>
      <c r="O5817" t="s">
        <v>31</v>
      </c>
      <c r="P5817" t="str">
        <f>"15213"</f>
        <v>15213</v>
      </c>
    </row>
    <row r="5818" spans="1:16" x14ac:dyDescent="0.25">
      <c r="A5818" t="str">
        <f>"1120173F00306    00"</f>
        <v>1120173F00306    00</v>
      </c>
      <c r="B5818" t="s">
        <v>13501</v>
      </c>
      <c r="C5818" t="s">
        <v>13502</v>
      </c>
      <c r="D5818" t="s">
        <v>20</v>
      </c>
      <c r="E5818" t="s">
        <v>39</v>
      </c>
      <c r="F5818">
        <v>0</v>
      </c>
      <c r="G5818">
        <v>0</v>
      </c>
      <c r="H5818">
        <v>6</v>
      </c>
      <c r="I5818" s="3">
        <v>637.28</v>
      </c>
      <c r="J5818" s="3">
        <v>201.92</v>
      </c>
      <c r="L5818">
        <v>7305</v>
      </c>
      <c r="M5818" t="s">
        <v>4026</v>
      </c>
      <c r="N5818" t="s">
        <v>30</v>
      </c>
      <c r="O5818" t="s">
        <v>31</v>
      </c>
      <c r="P5818" t="str">
        <f>"15235"</f>
        <v>15235</v>
      </c>
    </row>
    <row r="5819" spans="1:16" x14ac:dyDescent="0.25">
      <c r="A5819" t="str">
        <f>"1120173F00316    00"</f>
        <v>1120173F00316    00</v>
      </c>
      <c r="B5819" t="s">
        <v>13503</v>
      </c>
      <c r="C5819" t="s">
        <v>13504</v>
      </c>
      <c r="D5819" t="s">
        <v>20</v>
      </c>
      <c r="E5819" t="s">
        <v>39</v>
      </c>
      <c r="F5819">
        <v>0</v>
      </c>
      <c r="G5819">
        <v>0</v>
      </c>
      <c r="H5819">
        <v>2</v>
      </c>
      <c r="I5819" s="3">
        <v>719.05</v>
      </c>
      <c r="J5819" s="3">
        <v>0</v>
      </c>
      <c r="K5819" t="s">
        <v>13505</v>
      </c>
      <c r="L5819">
        <v>1087</v>
      </c>
      <c r="M5819" t="s">
        <v>13506</v>
      </c>
      <c r="N5819" t="s">
        <v>30</v>
      </c>
      <c r="O5819" t="s">
        <v>31</v>
      </c>
      <c r="P5819" t="str">
        <f>"15221"</f>
        <v>15221</v>
      </c>
    </row>
    <row r="5820" spans="1:16" x14ac:dyDescent="0.25">
      <c r="A5820" t="str">
        <f>"1120173F00318    00"</f>
        <v>1120173F00318    00</v>
      </c>
      <c r="B5820" t="s">
        <v>13507</v>
      </c>
      <c r="C5820" t="s">
        <v>13490</v>
      </c>
      <c r="D5820" t="s">
        <v>20</v>
      </c>
      <c r="E5820" t="s">
        <v>39</v>
      </c>
      <c r="F5820">
        <v>0</v>
      </c>
      <c r="G5820">
        <v>0</v>
      </c>
      <c r="H5820">
        <v>13</v>
      </c>
      <c r="I5820" s="3">
        <v>1411.51</v>
      </c>
      <c r="J5820" s="3">
        <v>1623.98</v>
      </c>
      <c r="L5820">
        <v>820</v>
      </c>
      <c r="M5820" t="s">
        <v>10598</v>
      </c>
      <c r="N5820" t="s">
        <v>30</v>
      </c>
      <c r="O5820" t="s">
        <v>31</v>
      </c>
      <c r="P5820" t="str">
        <f>"15206"</f>
        <v>15206</v>
      </c>
    </row>
    <row r="5821" spans="1:16" x14ac:dyDescent="0.25">
      <c r="A5821" t="str">
        <f>"1120173F00322    00"</f>
        <v>1120173F00322    00</v>
      </c>
      <c r="B5821" t="s">
        <v>13508</v>
      </c>
      <c r="C5821" t="s">
        <v>13509</v>
      </c>
      <c r="D5821" t="s">
        <v>20</v>
      </c>
      <c r="E5821" t="s">
        <v>39</v>
      </c>
      <c r="F5821">
        <v>0</v>
      </c>
      <c r="G5821">
        <v>0</v>
      </c>
      <c r="H5821">
        <v>11</v>
      </c>
      <c r="I5821" s="3">
        <v>2244.04</v>
      </c>
      <c r="J5821" s="3">
        <v>2380.58</v>
      </c>
      <c r="L5821">
        <v>7258</v>
      </c>
      <c r="M5821" t="s">
        <v>4026</v>
      </c>
      <c r="N5821" t="s">
        <v>30</v>
      </c>
      <c r="O5821" t="s">
        <v>31</v>
      </c>
      <c r="P5821" t="str">
        <f>"15235"</f>
        <v>15235</v>
      </c>
    </row>
    <row r="5822" spans="1:16" x14ac:dyDescent="0.25">
      <c r="A5822" t="str">
        <f>"1120173F00323    00"</f>
        <v>1120173F00323    00</v>
      </c>
      <c r="B5822" t="s">
        <v>13510</v>
      </c>
      <c r="C5822" t="s">
        <v>13511</v>
      </c>
      <c r="D5822" t="s">
        <v>20</v>
      </c>
      <c r="E5822" t="s">
        <v>39</v>
      </c>
      <c r="F5822">
        <v>0</v>
      </c>
      <c r="G5822">
        <v>0</v>
      </c>
      <c r="H5822">
        <v>13</v>
      </c>
      <c r="I5822" s="3">
        <v>12529.45</v>
      </c>
      <c r="J5822" s="3">
        <v>8643.51</v>
      </c>
      <c r="L5822">
        <v>700</v>
      </c>
      <c r="M5822" t="s">
        <v>13512</v>
      </c>
      <c r="N5822" t="s">
        <v>30</v>
      </c>
      <c r="O5822" t="s">
        <v>31</v>
      </c>
      <c r="P5822" t="str">
        <f>"15219"</f>
        <v>15219</v>
      </c>
    </row>
    <row r="5823" spans="1:16" x14ac:dyDescent="0.25">
      <c r="A5823" t="str">
        <f>"1120173F00324    00"</f>
        <v>1120173F00324    00</v>
      </c>
      <c r="B5823" t="s">
        <v>13510</v>
      </c>
      <c r="C5823" t="s">
        <v>13490</v>
      </c>
      <c r="D5823" t="s">
        <v>20</v>
      </c>
      <c r="E5823" t="s">
        <v>39</v>
      </c>
      <c r="F5823">
        <v>0</v>
      </c>
      <c r="G5823">
        <v>0</v>
      </c>
      <c r="H5823">
        <v>13</v>
      </c>
      <c r="I5823" s="3">
        <v>255.68</v>
      </c>
      <c r="J5823" s="3">
        <v>175.83</v>
      </c>
      <c r="L5823">
        <v>700</v>
      </c>
      <c r="M5823" t="s">
        <v>13512</v>
      </c>
      <c r="N5823" t="s">
        <v>30</v>
      </c>
      <c r="O5823" t="s">
        <v>31</v>
      </c>
      <c r="P5823" t="str">
        <f>"15219"</f>
        <v>15219</v>
      </c>
    </row>
    <row r="5824" spans="1:16" x14ac:dyDescent="0.25">
      <c r="A5824" t="str">
        <f>"1120173F00325    00"</f>
        <v>1120173F00325    00</v>
      </c>
      <c r="B5824" t="s">
        <v>13510</v>
      </c>
      <c r="C5824" t="s">
        <v>13490</v>
      </c>
      <c r="D5824" t="s">
        <v>20</v>
      </c>
      <c r="E5824" t="s">
        <v>39</v>
      </c>
      <c r="F5824">
        <v>0</v>
      </c>
      <c r="G5824">
        <v>0</v>
      </c>
      <c r="H5824">
        <v>13</v>
      </c>
      <c r="I5824" s="3">
        <v>255.68</v>
      </c>
      <c r="J5824" s="3">
        <v>175.83</v>
      </c>
      <c r="L5824">
        <v>700</v>
      </c>
      <c r="M5824" t="s">
        <v>13512</v>
      </c>
      <c r="N5824" t="s">
        <v>30</v>
      </c>
      <c r="O5824" t="s">
        <v>31</v>
      </c>
      <c r="P5824" t="str">
        <f>"15219"</f>
        <v>15219</v>
      </c>
    </row>
    <row r="5825" spans="1:16" x14ac:dyDescent="0.25">
      <c r="A5825" t="str">
        <f>"1120173F00333    00"</f>
        <v>1120173F00333    00</v>
      </c>
      <c r="B5825" t="s">
        <v>13513</v>
      </c>
      <c r="C5825" t="s">
        <v>13514</v>
      </c>
      <c r="E5825" t="s">
        <v>39</v>
      </c>
      <c r="F5825">
        <v>0</v>
      </c>
      <c r="G5825">
        <v>0</v>
      </c>
      <c r="H5825">
        <v>1</v>
      </c>
      <c r="I5825" s="3">
        <v>76.23</v>
      </c>
      <c r="J5825" s="3">
        <v>67.34</v>
      </c>
      <c r="L5825">
        <v>7228</v>
      </c>
      <c r="M5825" t="s">
        <v>4026</v>
      </c>
      <c r="N5825" t="s">
        <v>30</v>
      </c>
      <c r="O5825" t="s">
        <v>31</v>
      </c>
      <c r="P5825" t="str">
        <f>"15235"</f>
        <v>15235</v>
      </c>
    </row>
    <row r="5826" spans="1:16" x14ac:dyDescent="0.25">
      <c r="A5826" t="str">
        <f>"1120173F00334    00"</f>
        <v>1120173F00334    00</v>
      </c>
      <c r="B5826" t="s">
        <v>13515</v>
      </c>
      <c r="C5826" t="s">
        <v>13516</v>
      </c>
      <c r="D5826" t="s">
        <v>20</v>
      </c>
      <c r="E5826" t="s">
        <v>39</v>
      </c>
      <c r="F5826">
        <v>0</v>
      </c>
      <c r="G5826">
        <v>0</v>
      </c>
      <c r="H5826">
        <v>3</v>
      </c>
      <c r="I5826" s="3">
        <v>2589.02</v>
      </c>
      <c r="J5826" s="3">
        <v>184.42</v>
      </c>
      <c r="L5826">
        <v>7228</v>
      </c>
      <c r="M5826" t="s">
        <v>4026</v>
      </c>
      <c r="N5826" t="s">
        <v>30</v>
      </c>
      <c r="O5826" t="s">
        <v>31</v>
      </c>
      <c r="P5826" t="str">
        <f>"15235"</f>
        <v>15235</v>
      </c>
    </row>
    <row r="5827" spans="1:16" x14ac:dyDescent="0.25">
      <c r="A5827" t="str">
        <f>"1120173F00335    00"</f>
        <v>1120173F00335    00</v>
      </c>
      <c r="B5827" t="s">
        <v>13517</v>
      </c>
      <c r="C5827" t="s">
        <v>13490</v>
      </c>
      <c r="D5827" t="s">
        <v>20</v>
      </c>
      <c r="E5827" t="s">
        <v>39</v>
      </c>
      <c r="F5827">
        <v>0</v>
      </c>
      <c r="G5827">
        <v>0</v>
      </c>
      <c r="H5827">
        <v>16</v>
      </c>
      <c r="I5827" s="3">
        <v>353.51</v>
      </c>
      <c r="J5827" s="3">
        <v>384.86</v>
      </c>
      <c r="L5827">
        <v>7224</v>
      </c>
      <c r="M5827" t="s">
        <v>4026</v>
      </c>
      <c r="N5827" t="s">
        <v>30</v>
      </c>
      <c r="O5827" t="s">
        <v>31</v>
      </c>
      <c r="P5827" t="str">
        <f>"15235"</f>
        <v>15235</v>
      </c>
    </row>
    <row r="5828" spans="1:16" x14ac:dyDescent="0.25">
      <c r="A5828" t="str">
        <f>"1120173F00337    00"</f>
        <v>1120173F00337    00</v>
      </c>
      <c r="B5828" t="s">
        <v>13518</v>
      </c>
      <c r="C5828" t="s">
        <v>13519</v>
      </c>
      <c r="D5828" t="s">
        <v>20</v>
      </c>
      <c r="E5828" t="s">
        <v>39</v>
      </c>
      <c r="F5828">
        <v>0</v>
      </c>
      <c r="G5828">
        <v>0</v>
      </c>
      <c r="H5828">
        <v>1</v>
      </c>
      <c r="I5828" s="3">
        <v>99.56</v>
      </c>
      <c r="J5828" s="3">
        <v>0</v>
      </c>
      <c r="L5828">
        <v>7224</v>
      </c>
      <c r="M5828" t="s">
        <v>4026</v>
      </c>
      <c r="N5828" t="s">
        <v>30</v>
      </c>
      <c r="O5828" t="s">
        <v>31</v>
      </c>
      <c r="P5828" t="str">
        <f>"15235"</f>
        <v>15235</v>
      </c>
    </row>
    <row r="5829" spans="1:16" x14ac:dyDescent="0.25">
      <c r="A5829" t="str">
        <f>"1120173F00339    00"</f>
        <v>1120173F00339    00</v>
      </c>
      <c r="B5829" t="s">
        <v>13520</v>
      </c>
      <c r="C5829" t="s">
        <v>13521</v>
      </c>
      <c r="D5829" t="s">
        <v>20</v>
      </c>
      <c r="E5829" t="s">
        <v>39</v>
      </c>
      <c r="F5829">
        <v>0</v>
      </c>
      <c r="G5829">
        <v>0</v>
      </c>
      <c r="H5829">
        <v>16</v>
      </c>
      <c r="I5829" s="3">
        <v>2408.14</v>
      </c>
      <c r="J5829" s="3">
        <v>1833.63</v>
      </c>
      <c r="L5829">
        <v>7234</v>
      </c>
      <c r="M5829" t="s">
        <v>3980</v>
      </c>
      <c r="N5829" t="s">
        <v>30</v>
      </c>
      <c r="O5829" t="s">
        <v>31</v>
      </c>
      <c r="P5829" t="str">
        <f>"15208"</f>
        <v>15208</v>
      </c>
    </row>
    <row r="5830" spans="1:16" x14ac:dyDescent="0.25">
      <c r="A5830" t="str">
        <f>"1120173F00344    00"</f>
        <v>1120173F00344    00</v>
      </c>
      <c r="B5830" t="s">
        <v>13522</v>
      </c>
      <c r="C5830" t="s">
        <v>12963</v>
      </c>
      <c r="D5830" t="s">
        <v>20</v>
      </c>
      <c r="E5830" t="s">
        <v>39</v>
      </c>
      <c r="F5830">
        <v>0</v>
      </c>
      <c r="G5830">
        <v>0</v>
      </c>
      <c r="H5830">
        <v>19</v>
      </c>
      <c r="I5830" s="3">
        <v>4214.8999999999996</v>
      </c>
      <c r="J5830" s="3">
        <v>6580.47</v>
      </c>
      <c r="L5830">
        <v>7620</v>
      </c>
      <c r="M5830" t="s">
        <v>13523</v>
      </c>
      <c r="N5830" t="s">
        <v>30</v>
      </c>
      <c r="O5830" t="s">
        <v>31</v>
      </c>
      <c r="P5830" t="str">
        <f>"15208"</f>
        <v>15208</v>
      </c>
    </row>
    <row r="5831" spans="1:16" x14ac:dyDescent="0.25">
      <c r="A5831" t="str">
        <f>"1120173G00006    00"</f>
        <v>1120173G00006    00</v>
      </c>
      <c r="B5831" t="s">
        <v>13457</v>
      </c>
      <c r="C5831" t="s">
        <v>13458</v>
      </c>
      <c r="D5831" t="s">
        <v>20</v>
      </c>
      <c r="E5831" t="s">
        <v>39</v>
      </c>
      <c r="F5831">
        <v>0</v>
      </c>
      <c r="G5831">
        <v>0</v>
      </c>
      <c r="H5831">
        <v>3</v>
      </c>
      <c r="I5831" s="3">
        <v>1751.94</v>
      </c>
      <c r="J5831" s="3">
        <v>158.88999999999999</v>
      </c>
      <c r="L5831">
        <v>7249</v>
      </c>
      <c r="M5831" t="s">
        <v>2507</v>
      </c>
      <c r="N5831" t="s">
        <v>30</v>
      </c>
      <c r="O5831" t="s">
        <v>31</v>
      </c>
      <c r="P5831" t="str">
        <f>"15206"</f>
        <v>15206</v>
      </c>
    </row>
    <row r="5832" spans="1:16" x14ac:dyDescent="0.25">
      <c r="A5832" t="str">
        <f>"1120173G00011    00"</f>
        <v>1120173G00011    00</v>
      </c>
      <c r="B5832" t="s">
        <v>13524</v>
      </c>
      <c r="C5832" t="s">
        <v>13094</v>
      </c>
      <c r="D5832" t="s">
        <v>20</v>
      </c>
      <c r="E5832" t="s">
        <v>39</v>
      </c>
      <c r="F5832">
        <v>0</v>
      </c>
      <c r="G5832">
        <v>0</v>
      </c>
      <c r="H5832">
        <v>19</v>
      </c>
      <c r="I5832" s="3">
        <v>449.64</v>
      </c>
      <c r="J5832" s="3">
        <v>507.57</v>
      </c>
      <c r="L5832">
        <v>3112</v>
      </c>
      <c r="M5832" t="s">
        <v>13525</v>
      </c>
      <c r="N5832" t="s">
        <v>546</v>
      </c>
      <c r="O5832" t="s">
        <v>31</v>
      </c>
      <c r="P5832" t="str">
        <f>"15044"</f>
        <v>15044</v>
      </c>
    </row>
    <row r="5833" spans="1:16" x14ac:dyDescent="0.25">
      <c r="A5833" t="str">
        <f>"1120173G00014    00"</f>
        <v>1120173G00014    00</v>
      </c>
      <c r="B5833" t="s">
        <v>13526</v>
      </c>
      <c r="C5833" t="s">
        <v>13527</v>
      </c>
      <c r="D5833" t="s">
        <v>20</v>
      </c>
      <c r="E5833" t="s">
        <v>39</v>
      </c>
      <c r="F5833">
        <v>0</v>
      </c>
      <c r="G5833">
        <v>0</v>
      </c>
      <c r="H5833">
        <v>4</v>
      </c>
      <c r="I5833" s="3">
        <v>713.82</v>
      </c>
      <c r="J5833" s="3">
        <v>84.32</v>
      </c>
      <c r="K5833" t="s">
        <v>13528</v>
      </c>
      <c r="L5833">
        <v>1645</v>
      </c>
      <c r="M5833" t="s">
        <v>10391</v>
      </c>
      <c r="N5833" t="s">
        <v>30</v>
      </c>
      <c r="O5833" t="s">
        <v>31</v>
      </c>
      <c r="P5833" t="str">
        <f>"15206"</f>
        <v>15206</v>
      </c>
    </row>
    <row r="5834" spans="1:16" x14ac:dyDescent="0.25">
      <c r="A5834" t="str">
        <f>"1120173G00016    00"</f>
        <v>1120173G00016    00</v>
      </c>
      <c r="B5834" t="s">
        <v>13529</v>
      </c>
      <c r="C5834" t="s">
        <v>13094</v>
      </c>
      <c r="D5834" t="s">
        <v>20</v>
      </c>
      <c r="E5834" t="s">
        <v>39</v>
      </c>
      <c r="F5834">
        <v>0</v>
      </c>
      <c r="G5834">
        <v>0</v>
      </c>
      <c r="H5834">
        <v>19</v>
      </c>
      <c r="I5834" s="3">
        <v>449.64</v>
      </c>
      <c r="J5834" s="3">
        <v>507.57</v>
      </c>
      <c r="K5834" t="s">
        <v>1008</v>
      </c>
      <c r="P5834" t="str">
        <f>""</f>
        <v/>
      </c>
    </row>
    <row r="5835" spans="1:16" x14ac:dyDescent="0.25">
      <c r="A5835" t="str">
        <f>"1120173G00017    00"</f>
        <v>1120173G00017    00</v>
      </c>
      <c r="B5835" t="s">
        <v>13530</v>
      </c>
      <c r="C5835" t="s">
        <v>13094</v>
      </c>
      <c r="D5835" t="s">
        <v>20</v>
      </c>
      <c r="E5835" t="s">
        <v>39</v>
      </c>
      <c r="F5835">
        <v>0</v>
      </c>
      <c r="G5835">
        <v>0</v>
      </c>
      <c r="H5835">
        <v>19</v>
      </c>
      <c r="I5835" s="3">
        <v>449.64</v>
      </c>
      <c r="J5835" s="3">
        <v>507.57</v>
      </c>
      <c r="K5835" t="s">
        <v>1037</v>
      </c>
      <c r="L5835">
        <v>1654</v>
      </c>
      <c r="M5835" t="s">
        <v>10391</v>
      </c>
      <c r="N5835" t="s">
        <v>30</v>
      </c>
      <c r="O5835" t="s">
        <v>31</v>
      </c>
      <c r="P5835" t="str">
        <f>"15206"</f>
        <v>15206</v>
      </c>
    </row>
    <row r="5836" spans="1:16" x14ac:dyDescent="0.25">
      <c r="A5836" t="str">
        <f>"1120173G00021    00"</f>
        <v>1120173G00021    00</v>
      </c>
      <c r="B5836" t="s">
        <v>13531</v>
      </c>
      <c r="C5836" t="s">
        <v>13094</v>
      </c>
      <c r="D5836" t="s">
        <v>20</v>
      </c>
      <c r="E5836" t="s">
        <v>39</v>
      </c>
      <c r="F5836">
        <v>0</v>
      </c>
      <c r="G5836">
        <v>0</v>
      </c>
      <c r="H5836">
        <v>19</v>
      </c>
      <c r="I5836" s="3">
        <v>1311.28</v>
      </c>
      <c r="J5836" s="3">
        <v>1008.14</v>
      </c>
      <c r="K5836" t="s">
        <v>1037</v>
      </c>
      <c r="L5836">
        <v>1654</v>
      </c>
      <c r="M5836" t="s">
        <v>10391</v>
      </c>
      <c r="N5836" t="s">
        <v>30</v>
      </c>
      <c r="O5836" t="s">
        <v>31</v>
      </c>
      <c r="P5836" t="str">
        <f>"15206"</f>
        <v>15206</v>
      </c>
    </row>
    <row r="5837" spans="1:16" x14ac:dyDescent="0.25">
      <c r="A5837" t="str">
        <f>"1120173G00022    00"</f>
        <v>1120173G00022    00</v>
      </c>
      <c r="B5837" t="s">
        <v>13531</v>
      </c>
      <c r="C5837" t="s">
        <v>13094</v>
      </c>
      <c r="D5837" t="s">
        <v>20</v>
      </c>
      <c r="E5837" t="s">
        <v>39</v>
      </c>
      <c r="F5837">
        <v>0</v>
      </c>
      <c r="G5837">
        <v>0</v>
      </c>
      <c r="H5837">
        <v>19</v>
      </c>
      <c r="I5837" s="3">
        <v>559.33000000000004</v>
      </c>
      <c r="J5837" s="3">
        <v>565.57000000000005</v>
      </c>
      <c r="K5837" t="s">
        <v>1037</v>
      </c>
      <c r="L5837">
        <v>1654</v>
      </c>
      <c r="M5837" t="s">
        <v>10391</v>
      </c>
      <c r="N5837" t="s">
        <v>30</v>
      </c>
      <c r="O5837" t="s">
        <v>31</v>
      </c>
      <c r="P5837" t="str">
        <f>"15206"</f>
        <v>15206</v>
      </c>
    </row>
    <row r="5838" spans="1:16" x14ac:dyDescent="0.25">
      <c r="A5838" t="str">
        <f>"1120173G00023    00"</f>
        <v>1120173G00023    00</v>
      </c>
      <c r="B5838" t="s">
        <v>13532</v>
      </c>
      <c r="C5838" t="s">
        <v>13094</v>
      </c>
      <c r="D5838" t="s">
        <v>20</v>
      </c>
      <c r="E5838" t="s">
        <v>39</v>
      </c>
      <c r="F5838">
        <v>0</v>
      </c>
      <c r="G5838">
        <v>0</v>
      </c>
      <c r="H5838">
        <v>19</v>
      </c>
      <c r="I5838" s="3">
        <v>449.64</v>
      </c>
      <c r="J5838" s="3">
        <v>507.57</v>
      </c>
      <c r="L5838">
        <v>1629</v>
      </c>
      <c r="M5838" t="s">
        <v>13533</v>
      </c>
      <c r="N5838" t="s">
        <v>5232</v>
      </c>
      <c r="O5838" t="s">
        <v>3486</v>
      </c>
      <c r="P5838" t="str">
        <f>"60626"</f>
        <v>60626</v>
      </c>
    </row>
    <row r="5839" spans="1:16" x14ac:dyDescent="0.25">
      <c r="A5839" t="str">
        <f>"1120173G00024    00"</f>
        <v>1120173G00024    00</v>
      </c>
      <c r="B5839" t="s">
        <v>13534</v>
      </c>
      <c r="C5839" t="s">
        <v>13094</v>
      </c>
      <c r="D5839" t="s">
        <v>20</v>
      </c>
      <c r="E5839" t="s">
        <v>39</v>
      </c>
      <c r="F5839">
        <v>0</v>
      </c>
      <c r="G5839">
        <v>0</v>
      </c>
      <c r="H5839">
        <v>19</v>
      </c>
      <c r="I5839" s="3">
        <v>449.64</v>
      </c>
      <c r="J5839" s="3">
        <v>507.57</v>
      </c>
      <c r="K5839" t="s">
        <v>13535</v>
      </c>
      <c r="L5839">
        <v>1629</v>
      </c>
      <c r="M5839" t="s">
        <v>13536</v>
      </c>
      <c r="N5839" t="s">
        <v>5232</v>
      </c>
      <c r="O5839" t="s">
        <v>3486</v>
      </c>
      <c r="P5839" t="str">
        <f>"60626"</f>
        <v>60626</v>
      </c>
    </row>
    <row r="5840" spans="1:16" x14ac:dyDescent="0.25">
      <c r="A5840" t="str">
        <f>"1120173G00025    00"</f>
        <v>1120173G00025    00</v>
      </c>
      <c r="B5840" t="s">
        <v>13537</v>
      </c>
      <c r="C5840" t="s">
        <v>13094</v>
      </c>
      <c r="D5840" t="s">
        <v>20</v>
      </c>
      <c r="E5840" t="s">
        <v>39</v>
      </c>
      <c r="F5840">
        <v>0</v>
      </c>
      <c r="G5840">
        <v>0</v>
      </c>
      <c r="H5840">
        <v>19</v>
      </c>
      <c r="I5840" s="3">
        <v>449.64</v>
      </c>
      <c r="J5840" s="3">
        <v>507.57</v>
      </c>
      <c r="K5840" t="s">
        <v>1037</v>
      </c>
      <c r="L5840">
        <v>1490</v>
      </c>
      <c r="M5840" t="s">
        <v>13538</v>
      </c>
      <c r="N5840" t="s">
        <v>195</v>
      </c>
      <c r="O5840" t="s">
        <v>31</v>
      </c>
      <c r="P5840" t="str">
        <f>"15101"</f>
        <v>15101</v>
      </c>
    </row>
    <row r="5841" spans="1:16" x14ac:dyDescent="0.25">
      <c r="A5841" t="str">
        <f>"1120173G00026    00"</f>
        <v>1120173G00026    00</v>
      </c>
      <c r="B5841" t="s">
        <v>13539</v>
      </c>
      <c r="C5841" t="s">
        <v>13540</v>
      </c>
      <c r="D5841" t="s">
        <v>20</v>
      </c>
      <c r="E5841" t="s">
        <v>39</v>
      </c>
      <c r="F5841">
        <v>0</v>
      </c>
      <c r="G5841">
        <v>0</v>
      </c>
      <c r="H5841">
        <v>1</v>
      </c>
      <c r="I5841" s="3">
        <v>104.7</v>
      </c>
      <c r="J5841" s="3">
        <v>20.94</v>
      </c>
      <c r="K5841" t="s">
        <v>13541</v>
      </c>
      <c r="L5841">
        <v>1634</v>
      </c>
      <c r="M5841" t="s">
        <v>10391</v>
      </c>
      <c r="N5841" t="s">
        <v>30</v>
      </c>
      <c r="O5841" t="s">
        <v>31</v>
      </c>
      <c r="P5841" t="str">
        <f>"15206"</f>
        <v>15206</v>
      </c>
    </row>
    <row r="5842" spans="1:16" x14ac:dyDescent="0.25">
      <c r="A5842" t="str">
        <f>"1120173G00027    00"</f>
        <v>1120173G00027    00</v>
      </c>
      <c r="B5842" t="s">
        <v>13542</v>
      </c>
      <c r="C5842" t="s">
        <v>13543</v>
      </c>
      <c r="D5842" t="s">
        <v>20</v>
      </c>
      <c r="E5842" t="s">
        <v>39</v>
      </c>
      <c r="F5842">
        <v>0</v>
      </c>
      <c r="G5842">
        <v>0</v>
      </c>
      <c r="H5842">
        <v>18</v>
      </c>
      <c r="I5842" s="3">
        <v>4037.76</v>
      </c>
      <c r="J5842" s="3">
        <v>3920.83</v>
      </c>
      <c r="L5842">
        <v>7917</v>
      </c>
      <c r="M5842" t="s">
        <v>13544</v>
      </c>
      <c r="N5842" t="s">
        <v>30</v>
      </c>
      <c r="O5842" t="s">
        <v>31</v>
      </c>
      <c r="P5842" t="str">
        <f>"15208"</f>
        <v>15208</v>
      </c>
    </row>
    <row r="5843" spans="1:16" x14ac:dyDescent="0.25">
      <c r="A5843" t="str">
        <f>"1120173G00030    00"</f>
        <v>1120173G00030    00</v>
      </c>
      <c r="B5843" t="s">
        <v>13545</v>
      </c>
      <c r="C5843" t="s">
        <v>13094</v>
      </c>
      <c r="D5843" t="s">
        <v>20</v>
      </c>
      <c r="E5843" t="s">
        <v>39</v>
      </c>
      <c r="F5843">
        <v>0</v>
      </c>
      <c r="G5843">
        <v>0</v>
      </c>
      <c r="H5843">
        <v>18</v>
      </c>
      <c r="I5843" s="3">
        <v>382.05</v>
      </c>
      <c r="J5843" s="3">
        <v>301.89999999999998</v>
      </c>
      <c r="L5843">
        <v>11</v>
      </c>
      <c r="M5843" t="s">
        <v>11213</v>
      </c>
      <c r="N5843" t="s">
        <v>30</v>
      </c>
      <c r="O5843" t="s">
        <v>31</v>
      </c>
      <c r="P5843" t="str">
        <f>"15235"</f>
        <v>15235</v>
      </c>
    </row>
    <row r="5844" spans="1:16" x14ac:dyDescent="0.25">
      <c r="A5844" t="str">
        <f>"1120173G00031000100"</f>
        <v>1120173G00031000100</v>
      </c>
      <c r="B5844" t="s">
        <v>13546</v>
      </c>
      <c r="C5844" t="s">
        <v>13547</v>
      </c>
      <c r="D5844" t="s">
        <v>20</v>
      </c>
      <c r="E5844" t="s">
        <v>39</v>
      </c>
      <c r="F5844">
        <v>0</v>
      </c>
      <c r="G5844">
        <v>0</v>
      </c>
      <c r="H5844">
        <v>17</v>
      </c>
      <c r="I5844" s="3">
        <v>276.98</v>
      </c>
      <c r="J5844" s="3">
        <v>349.77</v>
      </c>
      <c r="K5844" t="s">
        <v>1008</v>
      </c>
      <c r="P5844" t="str">
        <f>""</f>
        <v/>
      </c>
    </row>
    <row r="5845" spans="1:16" x14ac:dyDescent="0.25">
      <c r="A5845" t="str">
        <f>"1120173G00031000200"</f>
        <v>1120173G00031000200</v>
      </c>
      <c r="B5845" t="s">
        <v>13545</v>
      </c>
      <c r="C5845" t="s">
        <v>13547</v>
      </c>
      <c r="D5845" t="s">
        <v>20</v>
      </c>
      <c r="E5845" t="s">
        <v>39</v>
      </c>
      <c r="F5845">
        <v>0</v>
      </c>
      <c r="G5845">
        <v>0</v>
      </c>
      <c r="H5845">
        <v>18</v>
      </c>
      <c r="I5845" s="3">
        <v>4182.25</v>
      </c>
      <c r="J5845" s="3">
        <v>5557.71</v>
      </c>
      <c r="L5845">
        <v>113</v>
      </c>
      <c r="M5845" t="s">
        <v>13548</v>
      </c>
      <c r="N5845" t="s">
        <v>2757</v>
      </c>
      <c r="O5845" t="s">
        <v>31</v>
      </c>
      <c r="P5845" t="str">
        <f>"15690"</f>
        <v>15690</v>
      </c>
    </row>
    <row r="5846" spans="1:16" x14ac:dyDescent="0.25">
      <c r="A5846" t="str">
        <f>"1120173G00032    00"</f>
        <v>1120173G00032    00</v>
      </c>
      <c r="B5846" t="s">
        <v>13549</v>
      </c>
      <c r="C5846" t="s">
        <v>13550</v>
      </c>
      <c r="D5846" t="s">
        <v>20</v>
      </c>
      <c r="E5846" t="s">
        <v>39</v>
      </c>
      <c r="F5846">
        <v>0</v>
      </c>
      <c r="G5846">
        <v>0</v>
      </c>
      <c r="H5846">
        <v>5</v>
      </c>
      <c r="I5846" s="3">
        <v>1657.94</v>
      </c>
      <c r="J5846" s="3">
        <v>286.44</v>
      </c>
      <c r="L5846">
        <v>1618</v>
      </c>
      <c r="M5846" t="s">
        <v>10391</v>
      </c>
      <c r="N5846" t="s">
        <v>30</v>
      </c>
      <c r="O5846" t="s">
        <v>31</v>
      </c>
      <c r="P5846" t="str">
        <f>"15206"</f>
        <v>15206</v>
      </c>
    </row>
    <row r="5847" spans="1:16" x14ac:dyDescent="0.25">
      <c r="A5847" t="str">
        <f>"1120173G00033    00"</f>
        <v>1120173G00033    00</v>
      </c>
      <c r="B5847" t="s">
        <v>13551</v>
      </c>
      <c r="C5847" t="s">
        <v>13552</v>
      </c>
      <c r="D5847" t="s">
        <v>20</v>
      </c>
      <c r="E5847" t="s">
        <v>39</v>
      </c>
      <c r="F5847">
        <v>0</v>
      </c>
      <c r="G5847">
        <v>0</v>
      </c>
      <c r="H5847">
        <v>19</v>
      </c>
      <c r="I5847" s="3">
        <v>10590.45</v>
      </c>
      <c r="J5847" s="3">
        <v>13246.79</v>
      </c>
      <c r="K5847" t="s">
        <v>13553</v>
      </c>
      <c r="L5847">
        <v>1618</v>
      </c>
      <c r="M5847" t="s">
        <v>10391</v>
      </c>
      <c r="N5847" t="s">
        <v>30</v>
      </c>
      <c r="O5847" t="s">
        <v>31</v>
      </c>
      <c r="P5847" t="str">
        <f>"15206"</f>
        <v>15206</v>
      </c>
    </row>
    <row r="5848" spans="1:16" x14ac:dyDescent="0.25">
      <c r="A5848" t="str">
        <f>"1120173G00067    00"</f>
        <v>1120173G00067    00</v>
      </c>
      <c r="B5848" t="s">
        <v>13554</v>
      </c>
      <c r="C5848" t="s">
        <v>13547</v>
      </c>
      <c r="D5848" t="s">
        <v>20</v>
      </c>
      <c r="E5848" t="s">
        <v>21</v>
      </c>
      <c r="F5848">
        <v>0</v>
      </c>
      <c r="G5848">
        <v>0</v>
      </c>
      <c r="H5848">
        <v>19</v>
      </c>
      <c r="I5848" s="3">
        <v>1425.28</v>
      </c>
      <c r="J5848" s="3">
        <v>1160.77</v>
      </c>
      <c r="K5848" t="s">
        <v>13555</v>
      </c>
      <c r="L5848">
        <v>341</v>
      </c>
      <c r="M5848" t="s">
        <v>1330</v>
      </c>
      <c r="N5848" t="s">
        <v>30</v>
      </c>
      <c r="O5848" t="s">
        <v>31</v>
      </c>
      <c r="P5848" t="str">
        <f>"15213"</f>
        <v>15213</v>
      </c>
    </row>
    <row r="5849" spans="1:16" x14ac:dyDescent="0.25">
      <c r="A5849" t="str">
        <f>"1120173G00070    00"</f>
        <v>1120173G00070    00</v>
      </c>
      <c r="B5849" t="s">
        <v>13556</v>
      </c>
      <c r="C5849" t="s">
        <v>13547</v>
      </c>
      <c r="D5849" t="s">
        <v>20</v>
      </c>
      <c r="E5849" t="s">
        <v>39</v>
      </c>
      <c r="F5849">
        <v>0</v>
      </c>
      <c r="G5849">
        <v>0</v>
      </c>
      <c r="H5849">
        <v>19</v>
      </c>
      <c r="I5849" s="3">
        <v>6454.22</v>
      </c>
      <c r="J5849" s="3">
        <v>8472.09</v>
      </c>
      <c r="L5849">
        <v>1649</v>
      </c>
      <c r="M5849" t="s">
        <v>13557</v>
      </c>
      <c r="N5849" t="s">
        <v>30</v>
      </c>
      <c r="O5849" t="s">
        <v>31</v>
      </c>
      <c r="P5849" t="str">
        <f>"15206"</f>
        <v>15206</v>
      </c>
    </row>
    <row r="5850" spans="1:16" x14ac:dyDescent="0.25">
      <c r="A5850" t="str">
        <f>"1120173G00072    00"</f>
        <v>1120173G00072    00</v>
      </c>
      <c r="B5850" t="s">
        <v>13558</v>
      </c>
      <c r="C5850" t="s">
        <v>13547</v>
      </c>
      <c r="D5850" t="s">
        <v>20</v>
      </c>
      <c r="E5850" t="s">
        <v>39</v>
      </c>
      <c r="F5850">
        <v>0</v>
      </c>
      <c r="G5850">
        <v>0</v>
      </c>
      <c r="H5850">
        <v>19</v>
      </c>
      <c r="I5850" s="3">
        <v>277.07</v>
      </c>
      <c r="J5850" s="3">
        <v>258.88</v>
      </c>
      <c r="L5850">
        <v>59</v>
      </c>
      <c r="M5850" t="s">
        <v>11375</v>
      </c>
      <c r="N5850" t="s">
        <v>13559</v>
      </c>
      <c r="O5850" t="s">
        <v>25</v>
      </c>
      <c r="P5850" t="str">
        <f>"44471"</f>
        <v>44471</v>
      </c>
    </row>
    <row r="5851" spans="1:16" x14ac:dyDescent="0.25">
      <c r="A5851" t="str">
        <f>"1120173G00074    00"</f>
        <v>1120173G00074    00</v>
      </c>
      <c r="B5851" t="s">
        <v>13560</v>
      </c>
      <c r="C5851" t="s">
        <v>13109</v>
      </c>
      <c r="D5851" t="s">
        <v>20</v>
      </c>
      <c r="E5851" t="s">
        <v>39</v>
      </c>
      <c r="F5851">
        <v>0</v>
      </c>
      <c r="G5851">
        <v>0</v>
      </c>
      <c r="H5851">
        <v>19</v>
      </c>
      <c r="I5851" s="3">
        <v>1643.1</v>
      </c>
      <c r="J5851" s="3">
        <v>1386.07</v>
      </c>
      <c r="L5851">
        <v>7020</v>
      </c>
      <c r="M5851" t="s">
        <v>12682</v>
      </c>
      <c r="N5851" t="s">
        <v>30</v>
      </c>
      <c r="O5851" t="s">
        <v>31</v>
      </c>
      <c r="P5851" t="str">
        <f>"15206"</f>
        <v>15206</v>
      </c>
    </row>
    <row r="5852" spans="1:16" x14ac:dyDescent="0.25">
      <c r="A5852" t="str">
        <f>"1120173G00080    00"</f>
        <v>1120173G00080    00</v>
      </c>
      <c r="B5852" t="s">
        <v>13561</v>
      </c>
      <c r="C5852" t="s">
        <v>13109</v>
      </c>
      <c r="D5852" t="s">
        <v>20</v>
      </c>
      <c r="E5852" t="s">
        <v>39</v>
      </c>
      <c r="F5852">
        <v>0</v>
      </c>
      <c r="G5852">
        <v>0</v>
      </c>
      <c r="H5852">
        <v>19</v>
      </c>
      <c r="I5852" s="3">
        <v>449.64</v>
      </c>
      <c r="J5852" s="3">
        <v>507.57</v>
      </c>
      <c r="K5852" t="s">
        <v>13562</v>
      </c>
      <c r="P5852" t="str">
        <f>"10000"</f>
        <v>10000</v>
      </c>
    </row>
    <row r="5853" spans="1:16" x14ac:dyDescent="0.25">
      <c r="A5853" t="str">
        <f>"1120173G00082    00"</f>
        <v>1120173G00082    00</v>
      </c>
      <c r="B5853" t="s">
        <v>13563</v>
      </c>
      <c r="C5853" t="s">
        <v>13109</v>
      </c>
      <c r="D5853" t="s">
        <v>20</v>
      </c>
      <c r="E5853" t="s">
        <v>39</v>
      </c>
      <c r="F5853">
        <v>0</v>
      </c>
      <c r="G5853">
        <v>0</v>
      </c>
      <c r="H5853">
        <v>19</v>
      </c>
      <c r="I5853" s="3">
        <v>1382.64</v>
      </c>
      <c r="J5853" s="3">
        <v>1090.8699999999999</v>
      </c>
      <c r="K5853" t="s">
        <v>1037</v>
      </c>
      <c r="L5853">
        <v>1668</v>
      </c>
      <c r="M5853" t="s">
        <v>13110</v>
      </c>
      <c r="N5853" t="s">
        <v>30</v>
      </c>
      <c r="O5853" t="s">
        <v>31</v>
      </c>
      <c r="P5853" t="str">
        <f>"15206"</f>
        <v>15206</v>
      </c>
    </row>
    <row r="5854" spans="1:16" x14ac:dyDescent="0.25">
      <c r="A5854" t="str">
        <f>"1120173G00085    00"</f>
        <v>1120173G00085    00</v>
      </c>
      <c r="B5854" t="s">
        <v>13564</v>
      </c>
      <c r="C5854" t="s">
        <v>13109</v>
      </c>
      <c r="D5854" t="s">
        <v>20</v>
      </c>
      <c r="E5854" t="s">
        <v>39</v>
      </c>
      <c r="F5854">
        <v>0</v>
      </c>
      <c r="G5854">
        <v>0</v>
      </c>
      <c r="H5854">
        <v>19</v>
      </c>
      <c r="I5854" s="3">
        <v>1319.57</v>
      </c>
      <c r="J5854" s="3">
        <v>1080.03</v>
      </c>
      <c r="K5854" t="s">
        <v>1037</v>
      </c>
      <c r="L5854">
        <v>1672</v>
      </c>
      <c r="M5854" t="s">
        <v>13110</v>
      </c>
      <c r="N5854" t="s">
        <v>30</v>
      </c>
      <c r="O5854" t="s">
        <v>31</v>
      </c>
      <c r="P5854" t="str">
        <f>"15206"</f>
        <v>15206</v>
      </c>
    </row>
    <row r="5855" spans="1:16" x14ac:dyDescent="0.25">
      <c r="A5855" t="str">
        <f>"1120173G00087    00"</f>
        <v>1120173G00087    00</v>
      </c>
      <c r="B5855" t="s">
        <v>13565</v>
      </c>
      <c r="C5855" t="s">
        <v>13109</v>
      </c>
      <c r="D5855" t="s">
        <v>20</v>
      </c>
      <c r="E5855" t="s">
        <v>39</v>
      </c>
      <c r="F5855">
        <v>0</v>
      </c>
      <c r="G5855">
        <v>0</v>
      </c>
      <c r="H5855">
        <v>18</v>
      </c>
      <c r="I5855" s="3">
        <v>3228.27</v>
      </c>
      <c r="J5855" s="3">
        <v>3934.31</v>
      </c>
      <c r="L5855">
        <v>7245</v>
      </c>
      <c r="M5855" t="s">
        <v>11079</v>
      </c>
      <c r="N5855" t="s">
        <v>30</v>
      </c>
      <c r="O5855" t="s">
        <v>31</v>
      </c>
      <c r="P5855" t="str">
        <f>"15206"</f>
        <v>15206</v>
      </c>
    </row>
    <row r="5856" spans="1:16" x14ac:dyDescent="0.25">
      <c r="A5856" t="str">
        <f>"1120173G00105    00"</f>
        <v>1120173G00105    00</v>
      </c>
      <c r="B5856" t="s">
        <v>13566</v>
      </c>
      <c r="C5856" t="s">
        <v>13567</v>
      </c>
      <c r="D5856" t="s">
        <v>20</v>
      </c>
      <c r="E5856" t="s">
        <v>39</v>
      </c>
      <c r="F5856">
        <v>0</v>
      </c>
      <c r="G5856">
        <v>0</v>
      </c>
      <c r="H5856">
        <v>8</v>
      </c>
      <c r="I5856" s="3">
        <v>282.01</v>
      </c>
      <c r="J5856" s="3">
        <v>146.9</v>
      </c>
      <c r="L5856">
        <v>704</v>
      </c>
      <c r="M5856" t="s">
        <v>13568</v>
      </c>
      <c r="N5856" t="s">
        <v>30</v>
      </c>
      <c r="O5856" t="s">
        <v>31</v>
      </c>
      <c r="P5856" t="str">
        <f t="shared" ref="P5856:P5863" si="77">"15221"</f>
        <v>15221</v>
      </c>
    </row>
    <row r="5857" spans="1:16" x14ac:dyDescent="0.25">
      <c r="A5857" t="str">
        <f>"1120173G00107    00"</f>
        <v>1120173G00107    00</v>
      </c>
      <c r="B5857" t="s">
        <v>13566</v>
      </c>
      <c r="C5857" t="s">
        <v>13567</v>
      </c>
      <c r="D5857" t="s">
        <v>20</v>
      </c>
      <c r="E5857" t="s">
        <v>39</v>
      </c>
      <c r="F5857">
        <v>0</v>
      </c>
      <c r="G5857">
        <v>0</v>
      </c>
      <c r="H5857">
        <v>15</v>
      </c>
      <c r="I5857" s="3">
        <v>336.15</v>
      </c>
      <c r="J5857" s="3">
        <v>284.61</v>
      </c>
      <c r="L5857">
        <v>704</v>
      </c>
      <c r="M5857" t="s">
        <v>13568</v>
      </c>
      <c r="N5857" t="s">
        <v>30</v>
      </c>
      <c r="O5857" t="s">
        <v>31</v>
      </c>
      <c r="P5857" t="str">
        <f t="shared" si="77"/>
        <v>15221</v>
      </c>
    </row>
    <row r="5858" spans="1:16" x14ac:dyDescent="0.25">
      <c r="A5858" t="str">
        <f>"1120173G00113    00"</f>
        <v>1120173G00113    00</v>
      </c>
      <c r="B5858" t="s">
        <v>13566</v>
      </c>
      <c r="C5858" t="s">
        <v>13109</v>
      </c>
      <c r="D5858" t="s">
        <v>20</v>
      </c>
      <c r="E5858" t="s">
        <v>39</v>
      </c>
      <c r="F5858">
        <v>0</v>
      </c>
      <c r="G5858">
        <v>0</v>
      </c>
      <c r="H5858">
        <v>8</v>
      </c>
      <c r="I5858" s="3">
        <v>192.21</v>
      </c>
      <c r="J5858" s="3">
        <v>139.53</v>
      </c>
      <c r="L5858">
        <v>704</v>
      </c>
      <c r="M5858" t="s">
        <v>13568</v>
      </c>
      <c r="N5858" t="s">
        <v>30</v>
      </c>
      <c r="O5858" t="s">
        <v>31</v>
      </c>
      <c r="P5858" t="str">
        <f t="shared" si="77"/>
        <v>15221</v>
      </c>
    </row>
    <row r="5859" spans="1:16" x14ac:dyDescent="0.25">
      <c r="A5859" t="str">
        <f>"1120173G00114    00"</f>
        <v>1120173G00114    00</v>
      </c>
      <c r="B5859" t="s">
        <v>13566</v>
      </c>
      <c r="C5859" t="s">
        <v>13109</v>
      </c>
      <c r="D5859" t="s">
        <v>20</v>
      </c>
      <c r="E5859" t="s">
        <v>39</v>
      </c>
      <c r="F5859">
        <v>0</v>
      </c>
      <c r="G5859">
        <v>0</v>
      </c>
      <c r="H5859">
        <v>8</v>
      </c>
      <c r="I5859" s="3">
        <v>192.21</v>
      </c>
      <c r="J5859" s="3">
        <v>139.53</v>
      </c>
      <c r="L5859">
        <v>704</v>
      </c>
      <c r="M5859" t="s">
        <v>13568</v>
      </c>
      <c r="N5859" t="s">
        <v>30</v>
      </c>
      <c r="O5859" t="s">
        <v>31</v>
      </c>
      <c r="P5859" t="str">
        <f t="shared" si="77"/>
        <v>15221</v>
      </c>
    </row>
    <row r="5860" spans="1:16" x14ac:dyDescent="0.25">
      <c r="A5860" t="str">
        <f>"1120173G00115    00"</f>
        <v>1120173G00115    00</v>
      </c>
      <c r="B5860" t="s">
        <v>13566</v>
      </c>
      <c r="C5860" t="s">
        <v>13109</v>
      </c>
      <c r="D5860" t="s">
        <v>20</v>
      </c>
      <c r="E5860" t="s">
        <v>39</v>
      </c>
      <c r="F5860">
        <v>0</v>
      </c>
      <c r="G5860">
        <v>0</v>
      </c>
      <c r="H5860">
        <v>15</v>
      </c>
      <c r="I5860" s="3">
        <v>470.2</v>
      </c>
      <c r="J5860" s="3">
        <v>304.27999999999997</v>
      </c>
      <c r="L5860">
        <v>704</v>
      </c>
      <c r="M5860" t="s">
        <v>13568</v>
      </c>
      <c r="N5860" t="s">
        <v>30</v>
      </c>
      <c r="O5860" t="s">
        <v>31</v>
      </c>
      <c r="P5860" t="str">
        <f t="shared" si="77"/>
        <v>15221</v>
      </c>
    </row>
    <row r="5861" spans="1:16" x14ac:dyDescent="0.25">
      <c r="A5861" t="str">
        <f>"1120173G00117    00"</f>
        <v>1120173G00117    00</v>
      </c>
      <c r="B5861" t="s">
        <v>13566</v>
      </c>
      <c r="C5861" t="s">
        <v>13109</v>
      </c>
      <c r="D5861" t="s">
        <v>20</v>
      </c>
      <c r="E5861" t="s">
        <v>39</v>
      </c>
      <c r="F5861">
        <v>0</v>
      </c>
      <c r="G5861">
        <v>0</v>
      </c>
      <c r="H5861">
        <v>15</v>
      </c>
      <c r="I5861" s="3">
        <v>336.15</v>
      </c>
      <c r="J5861" s="3">
        <v>284.61</v>
      </c>
      <c r="L5861">
        <v>704</v>
      </c>
      <c r="M5861" t="s">
        <v>13568</v>
      </c>
      <c r="N5861" t="s">
        <v>30</v>
      </c>
      <c r="O5861" t="s">
        <v>31</v>
      </c>
      <c r="P5861" t="str">
        <f t="shared" si="77"/>
        <v>15221</v>
      </c>
    </row>
    <row r="5862" spans="1:16" x14ac:dyDescent="0.25">
      <c r="A5862" t="str">
        <f>"1120173G00118    00"</f>
        <v>1120173G00118    00</v>
      </c>
      <c r="B5862" t="s">
        <v>13566</v>
      </c>
      <c r="C5862" t="s">
        <v>13109</v>
      </c>
      <c r="D5862" t="s">
        <v>20</v>
      </c>
      <c r="E5862" t="s">
        <v>39</v>
      </c>
      <c r="F5862">
        <v>0</v>
      </c>
      <c r="G5862">
        <v>0</v>
      </c>
      <c r="H5862">
        <v>8</v>
      </c>
      <c r="I5862" s="3">
        <v>192.21</v>
      </c>
      <c r="J5862" s="3">
        <v>139.53</v>
      </c>
      <c r="L5862">
        <v>704</v>
      </c>
      <c r="M5862" t="s">
        <v>13568</v>
      </c>
      <c r="N5862" t="s">
        <v>30</v>
      </c>
      <c r="O5862" t="s">
        <v>31</v>
      </c>
      <c r="P5862" t="str">
        <f t="shared" si="77"/>
        <v>15221</v>
      </c>
    </row>
    <row r="5863" spans="1:16" x14ac:dyDescent="0.25">
      <c r="A5863" t="str">
        <f>"1120173G00119    00"</f>
        <v>1120173G00119    00</v>
      </c>
      <c r="B5863" t="s">
        <v>13566</v>
      </c>
      <c r="C5863" t="s">
        <v>13109</v>
      </c>
      <c r="D5863" t="s">
        <v>20</v>
      </c>
      <c r="E5863" t="s">
        <v>39</v>
      </c>
      <c r="F5863">
        <v>0</v>
      </c>
      <c r="G5863">
        <v>0</v>
      </c>
      <c r="H5863">
        <v>9</v>
      </c>
      <c r="I5863" s="3">
        <v>219.4</v>
      </c>
      <c r="J5863" s="3">
        <v>174.43</v>
      </c>
      <c r="L5863">
        <v>704</v>
      </c>
      <c r="M5863" t="s">
        <v>13568</v>
      </c>
      <c r="N5863" t="s">
        <v>30</v>
      </c>
      <c r="O5863" t="s">
        <v>31</v>
      </c>
      <c r="P5863" t="str">
        <f t="shared" si="77"/>
        <v>15221</v>
      </c>
    </row>
    <row r="5864" spans="1:16" x14ac:dyDescent="0.25">
      <c r="A5864" t="str">
        <f>"1120173G00160    00"</f>
        <v>1120173G00160    00</v>
      </c>
      <c r="B5864" t="s">
        <v>13569</v>
      </c>
      <c r="C5864" t="s">
        <v>13570</v>
      </c>
      <c r="D5864" t="s">
        <v>20</v>
      </c>
      <c r="E5864" t="s">
        <v>39</v>
      </c>
      <c r="F5864">
        <v>0</v>
      </c>
      <c r="G5864">
        <v>0</v>
      </c>
      <c r="H5864">
        <v>1</v>
      </c>
      <c r="I5864" s="3">
        <v>210.13</v>
      </c>
      <c r="J5864" s="3">
        <v>0</v>
      </c>
      <c r="K5864" t="s">
        <v>13571</v>
      </c>
      <c r="L5864">
        <v>3301</v>
      </c>
      <c r="M5864" t="s">
        <v>330</v>
      </c>
      <c r="N5864" t="s">
        <v>331</v>
      </c>
      <c r="O5864" t="s">
        <v>108</v>
      </c>
      <c r="P5864" t="str">
        <f>"75063"</f>
        <v>75063</v>
      </c>
    </row>
    <row r="5865" spans="1:16" x14ac:dyDescent="0.25">
      <c r="A5865" t="str">
        <f>"1120173G00168    00"</f>
        <v>1120173G00168    00</v>
      </c>
      <c r="B5865" t="s">
        <v>13572</v>
      </c>
      <c r="C5865" t="s">
        <v>13490</v>
      </c>
      <c r="D5865" t="s">
        <v>20</v>
      </c>
      <c r="E5865" t="s">
        <v>39</v>
      </c>
      <c r="F5865">
        <v>0</v>
      </c>
      <c r="G5865">
        <v>0</v>
      </c>
      <c r="H5865">
        <v>19</v>
      </c>
      <c r="I5865" s="3">
        <v>490.79</v>
      </c>
      <c r="J5865" s="3">
        <v>506.94</v>
      </c>
      <c r="L5865">
        <v>7339</v>
      </c>
      <c r="M5865" t="s">
        <v>4026</v>
      </c>
      <c r="N5865" t="s">
        <v>30</v>
      </c>
      <c r="O5865" t="s">
        <v>31</v>
      </c>
      <c r="P5865" t="str">
        <f>"15235"</f>
        <v>15235</v>
      </c>
    </row>
    <row r="5866" spans="1:16" x14ac:dyDescent="0.25">
      <c r="A5866" t="str">
        <f>"1120173G00169    00"</f>
        <v>1120173G00169    00</v>
      </c>
      <c r="B5866" t="s">
        <v>13572</v>
      </c>
      <c r="C5866" t="s">
        <v>13490</v>
      </c>
      <c r="D5866" t="s">
        <v>20</v>
      </c>
      <c r="E5866" t="s">
        <v>39</v>
      </c>
      <c r="F5866">
        <v>0</v>
      </c>
      <c r="G5866">
        <v>0</v>
      </c>
      <c r="H5866">
        <v>19</v>
      </c>
      <c r="I5866" s="3">
        <v>9655.11</v>
      </c>
      <c r="J5866" s="3">
        <v>13787.59</v>
      </c>
      <c r="L5866">
        <v>7339</v>
      </c>
      <c r="M5866" t="s">
        <v>4026</v>
      </c>
      <c r="N5866" t="s">
        <v>30</v>
      </c>
      <c r="O5866" t="s">
        <v>31</v>
      </c>
      <c r="P5866" t="str">
        <f>"15235"</f>
        <v>15235</v>
      </c>
    </row>
    <row r="5867" spans="1:16" x14ac:dyDescent="0.25">
      <c r="A5867" t="str">
        <f>"1120173G00176    00"</f>
        <v>1120173G00176    00</v>
      </c>
      <c r="B5867" t="s">
        <v>13573</v>
      </c>
      <c r="C5867" t="s">
        <v>13490</v>
      </c>
      <c r="D5867" t="s">
        <v>20</v>
      </c>
      <c r="E5867" t="s">
        <v>39</v>
      </c>
      <c r="F5867">
        <v>0</v>
      </c>
      <c r="G5867">
        <v>0</v>
      </c>
      <c r="H5867">
        <v>19</v>
      </c>
      <c r="I5867" s="3">
        <v>1264.81</v>
      </c>
      <c r="J5867" s="3">
        <v>961.1</v>
      </c>
      <c r="K5867" t="s">
        <v>1037</v>
      </c>
      <c r="L5867">
        <v>7327</v>
      </c>
      <c r="M5867" t="s">
        <v>4026</v>
      </c>
      <c r="N5867" t="s">
        <v>30</v>
      </c>
      <c r="O5867" t="s">
        <v>31</v>
      </c>
      <c r="P5867" t="str">
        <f>"15235"</f>
        <v>15235</v>
      </c>
    </row>
    <row r="5868" spans="1:16" x14ac:dyDescent="0.25">
      <c r="A5868" t="str">
        <f>"1120173G00196    00"</f>
        <v>1120173G00196    00</v>
      </c>
      <c r="B5868" t="s">
        <v>13574</v>
      </c>
      <c r="C5868" t="s">
        <v>13547</v>
      </c>
      <c r="D5868" t="s">
        <v>20</v>
      </c>
      <c r="E5868" t="s">
        <v>39</v>
      </c>
      <c r="F5868">
        <v>0</v>
      </c>
      <c r="G5868">
        <v>0</v>
      </c>
      <c r="H5868">
        <v>19</v>
      </c>
      <c r="I5868" s="3">
        <v>1122.26</v>
      </c>
      <c r="J5868" s="3">
        <v>795.69</v>
      </c>
      <c r="L5868">
        <v>7336</v>
      </c>
      <c r="M5868" t="s">
        <v>4026</v>
      </c>
      <c r="N5868" t="s">
        <v>30</v>
      </c>
      <c r="O5868" t="s">
        <v>31</v>
      </c>
      <c r="P5868" t="str">
        <f>"15235"</f>
        <v>15235</v>
      </c>
    </row>
    <row r="5869" spans="1:16" x14ac:dyDescent="0.25">
      <c r="A5869" t="str">
        <f>"1120173G00198    00"</f>
        <v>1120173G00198    00</v>
      </c>
      <c r="B5869" t="s">
        <v>13575</v>
      </c>
      <c r="C5869" t="s">
        <v>13547</v>
      </c>
      <c r="D5869" t="s">
        <v>20</v>
      </c>
      <c r="E5869" t="s">
        <v>39</v>
      </c>
      <c r="F5869">
        <v>0</v>
      </c>
      <c r="G5869">
        <v>0</v>
      </c>
      <c r="H5869">
        <v>19</v>
      </c>
      <c r="I5869" s="3">
        <v>636.42999999999995</v>
      </c>
      <c r="J5869" s="3">
        <v>516.47</v>
      </c>
      <c r="L5869">
        <v>1610</v>
      </c>
      <c r="M5869" t="s">
        <v>12903</v>
      </c>
      <c r="N5869" t="s">
        <v>30</v>
      </c>
      <c r="O5869" t="s">
        <v>31</v>
      </c>
      <c r="P5869" t="str">
        <f>"15206"</f>
        <v>15206</v>
      </c>
    </row>
    <row r="5870" spans="1:16" x14ac:dyDescent="0.25">
      <c r="A5870" t="str">
        <f>"1120173G00200    00"</f>
        <v>1120173G00200    00</v>
      </c>
      <c r="B5870" t="s">
        <v>13575</v>
      </c>
      <c r="C5870" t="s">
        <v>13547</v>
      </c>
      <c r="D5870" t="s">
        <v>20</v>
      </c>
      <c r="E5870" t="s">
        <v>39</v>
      </c>
      <c r="F5870">
        <v>0</v>
      </c>
      <c r="G5870">
        <v>0</v>
      </c>
      <c r="H5870">
        <v>19</v>
      </c>
      <c r="I5870" s="3">
        <v>636.42999999999995</v>
      </c>
      <c r="J5870" s="3">
        <v>516.47</v>
      </c>
      <c r="L5870">
        <v>1610</v>
      </c>
      <c r="M5870" t="s">
        <v>12903</v>
      </c>
      <c r="N5870" t="s">
        <v>30</v>
      </c>
      <c r="O5870" t="s">
        <v>31</v>
      </c>
      <c r="P5870" t="str">
        <f>"15206"</f>
        <v>15206</v>
      </c>
    </row>
    <row r="5871" spans="1:16" x14ac:dyDescent="0.25">
      <c r="A5871" t="str">
        <f>"1120173G00202    00"</f>
        <v>1120173G00202    00</v>
      </c>
      <c r="B5871" t="s">
        <v>13576</v>
      </c>
      <c r="C5871" t="s">
        <v>13577</v>
      </c>
      <c r="D5871" t="s">
        <v>20</v>
      </c>
      <c r="E5871" t="s">
        <v>39</v>
      </c>
      <c r="F5871">
        <v>0</v>
      </c>
      <c r="G5871">
        <v>0</v>
      </c>
      <c r="H5871">
        <v>2</v>
      </c>
      <c r="I5871" s="3">
        <v>1167.76</v>
      </c>
      <c r="J5871" s="3">
        <v>0</v>
      </c>
      <c r="L5871">
        <v>1610</v>
      </c>
      <c r="M5871" t="s">
        <v>12903</v>
      </c>
      <c r="N5871" t="s">
        <v>30</v>
      </c>
      <c r="O5871" t="s">
        <v>31</v>
      </c>
      <c r="P5871" t="str">
        <f>"15206"</f>
        <v>15206</v>
      </c>
    </row>
    <row r="5872" spans="1:16" x14ac:dyDescent="0.25">
      <c r="A5872" t="str">
        <f>"1120173G00221    00"</f>
        <v>1120173G00221    00</v>
      </c>
      <c r="B5872" t="s">
        <v>13578</v>
      </c>
      <c r="C5872" t="s">
        <v>13579</v>
      </c>
      <c r="D5872" t="s">
        <v>20</v>
      </c>
      <c r="E5872" t="s">
        <v>39</v>
      </c>
      <c r="F5872">
        <v>0</v>
      </c>
      <c r="G5872">
        <v>0</v>
      </c>
      <c r="H5872">
        <v>3</v>
      </c>
      <c r="I5872" s="3">
        <v>1835.52</v>
      </c>
      <c r="J5872" s="3">
        <v>122.36</v>
      </c>
      <c r="K5872" t="s">
        <v>13580</v>
      </c>
      <c r="L5872">
        <v>7308</v>
      </c>
      <c r="M5872" t="s">
        <v>4026</v>
      </c>
      <c r="N5872" t="s">
        <v>30</v>
      </c>
      <c r="O5872" t="s">
        <v>31</v>
      </c>
      <c r="P5872" t="str">
        <f>"15235"</f>
        <v>15235</v>
      </c>
    </row>
    <row r="5873" spans="1:16" x14ac:dyDescent="0.25">
      <c r="A5873" t="str">
        <f>"1120173G00228    00"</f>
        <v>1120173G00228    00</v>
      </c>
      <c r="B5873" t="s">
        <v>13581</v>
      </c>
      <c r="C5873" t="s">
        <v>13582</v>
      </c>
      <c r="D5873" t="s">
        <v>20</v>
      </c>
      <c r="E5873" t="s">
        <v>39</v>
      </c>
      <c r="F5873">
        <v>0</v>
      </c>
      <c r="G5873">
        <v>0</v>
      </c>
      <c r="H5873">
        <v>2</v>
      </c>
      <c r="I5873" s="3">
        <v>732.9</v>
      </c>
      <c r="J5873" s="3">
        <v>0</v>
      </c>
      <c r="L5873">
        <v>7320</v>
      </c>
      <c r="M5873" t="s">
        <v>4026</v>
      </c>
      <c r="N5873" t="s">
        <v>30</v>
      </c>
      <c r="O5873" t="s">
        <v>31</v>
      </c>
      <c r="P5873" t="str">
        <f>"15235"</f>
        <v>15235</v>
      </c>
    </row>
    <row r="5874" spans="1:16" x14ac:dyDescent="0.25">
      <c r="A5874" t="str">
        <f>"1120173G00235    00"</f>
        <v>1120173G00235    00</v>
      </c>
      <c r="B5874" t="s">
        <v>13583</v>
      </c>
      <c r="C5874" t="s">
        <v>11125</v>
      </c>
      <c r="D5874" t="s">
        <v>20</v>
      </c>
      <c r="E5874" t="s">
        <v>39</v>
      </c>
      <c r="F5874">
        <v>0</v>
      </c>
      <c r="G5874">
        <v>0</v>
      </c>
      <c r="H5874">
        <v>19</v>
      </c>
      <c r="I5874" s="3">
        <v>392.14</v>
      </c>
      <c r="J5874" s="3">
        <v>364.71</v>
      </c>
      <c r="L5874">
        <v>7297</v>
      </c>
      <c r="M5874" t="s">
        <v>2507</v>
      </c>
      <c r="N5874" t="s">
        <v>30</v>
      </c>
      <c r="O5874" t="s">
        <v>31</v>
      </c>
      <c r="P5874" t="str">
        <f>"15206"</f>
        <v>15206</v>
      </c>
    </row>
    <row r="5875" spans="1:16" x14ac:dyDescent="0.25">
      <c r="A5875" t="str">
        <f>"1120173G00243    00"</f>
        <v>1120173G00243    00</v>
      </c>
      <c r="B5875" t="s">
        <v>13584</v>
      </c>
      <c r="C5875" t="s">
        <v>13490</v>
      </c>
      <c r="D5875" t="s">
        <v>20</v>
      </c>
      <c r="E5875" t="s">
        <v>39</v>
      </c>
      <c r="F5875">
        <v>0</v>
      </c>
      <c r="G5875">
        <v>0</v>
      </c>
      <c r="H5875">
        <v>19</v>
      </c>
      <c r="I5875" s="3">
        <v>1429.17</v>
      </c>
      <c r="J5875" s="3">
        <v>1137.95</v>
      </c>
      <c r="K5875" t="s">
        <v>13585</v>
      </c>
      <c r="L5875">
        <v>2101</v>
      </c>
      <c r="M5875" t="s">
        <v>11098</v>
      </c>
      <c r="N5875" t="s">
        <v>295</v>
      </c>
      <c r="O5875" t="s">
        <v>31</v>
      </c>
      <c r="P5875" t="str">
        <f>"15146"</f>
        <v>15146</v>
      </c>
    </row>
    <row r="5876" spans="1:16" x14ac:dyDescent="0.25">
      <c r="A5876" t="str">
        <f>"1120173G00244    00"</f>
        <v>1120173G00244    00</v>
      </c>
      <c r="B5876" t="s">
        <v>13584</v>
      </c>
      <c r="C5876" t="s">
        <v>13490</v>
      </c>
      <c r="D5876" t="s">
        <v>20</v>
      </c>
      <c r="E5876" t="s">
        <v>39</v>
      </c>
      <c r="F5876">
        <v>0</v>
      </c>
      <c r="G5876">
        <v>0</v>
      </c>
      <c r="H5876">
        <v>17</v>
      </c>
      <c r="I5876" s="3">
        <v>313.60000000000002</v>
      </c>
      <c r="J5876" s="3">
        <v>369.72</v>
      </c>
      <c r="K5876" t="s">
        <v>13585</v>
      </c>
      <c r="L5876">
        <v>2101</v>
      </c>
      <c r="M5876" t="s">
        <v>11098</v>
      </c>
      <c r="N5876" t="s">
        <v>295</v>
      </c>
      <c r="O5876" t="s">
        <v>31</v>
      </c>
      <c r="P5876" t="str">
        <f>"15146"</f>
        <v>15146</v>
      </c>
    </row>
    <row r="5877" spans="1:16" x14ac:dyDescent="0.25">
      <c r="A5877" t="str">
        <f>"1120173G00245    00"</f>
        <v>1120173G00245    00</v>
      </c>
      <c r="B5877" t="s">
        <v>13586</v>
      </c>
      <c r="C5877" t="s">
        <v>13490</v>
      </c>
      <c r="D5877" t="s">
        <v>20</v>
      </c>
      <c r="E5877" t="s">
        <v>39</v>
      </c>
      <c r="F5877">
        <v>0</v>
      </c>
      <c r="G5877">
        <v>0</v>
      </c>
      <c r="H5877">
        <v>15</v>
      </c>
      <c r="I5877" s="3">
        <v>227.6</v>
      </c>
      <c r="J5877" s="3">
        <v>235.59</v>
      </c>
      <c r="L5877">
        <v>7346</v>
      </c>
      <c r="M5877" t="s">
        <v>4026</v>
      </c>
      <c r="N5877" t="s">
        <v>30</v>
      </c>
      <c r="O5877" t="s">
        <v>31</v>
      </c>
      <c r="P5877" t="str">
        <f>"15235"</f>
        <v>15235</v>
      </c>
    </row>
    <row r="5878" spans="1:16" x14ac:dyDescent="0.25">
      <c r="A5878" t="str">
        <f>"1120173G00246    00"</f>
        <v>1120173G00246    00</v>
      </c>
      <c r="B5878" t="s">
        <v>13587</v>
      </c>
      <c r="C5878" t="s">
        <v>13588</v>
      </c>
      <c r="D5878" t="s">
        <v>20</v>
      </c>
      <c r="E5878" t="s">
        <v>39</v>
      </c>
      <c r="F5878">
        <v>0</v>
      </c>
      <c r="G5878">
        <v>0</v>
      </c>
      <c r="H5878">
        <v>9</v>
      </c>
      <c r="I5878" s="3">
        <v>3474.9</v>
      </c>
      <c r="J5878" s="3">
        <v>1746.12</v>
      </c>
      <c r="K5878" t="s">
        <v>13589</v>
      </c>
      <c r="L5878">
        <v>7346</v>
      </c>
      <c r="M5878" t="s">
        <v>4026</v>
      </c>
      <c r="N5878" t="s">
        <v>30</v>
      </c>
      <c r="O5878" t="s">
        <v>31</v>
      </c>
      <c r="P5878" t="str">
        <f>"15235"</f>
        <v>15235</v>
      </c>
    </row>
    <row r="5879" spans="1:16" x14ac:dyDescent="0.25">
      <c r="A5879" t="str">
        <f>"1120173J00006    00"</f>
        <v>1120173J00006    00</v>
      </c>
      <c r="B5879" t="s">
        <v>13590</v>
      </c>
      <c r="C5879" t="s">
        <v>13591</v>
      </c>
      <c r="D5879" t="s">
        <v>20</v>
      </c>
      <c r="E5879" t="s">
        <v>39</v>
      </c>
      <c r="F5879">
        <v>0</v>
      </c>
      <c r="G5879">
        <v>0</v>
      </c>
      <c r="H5879">
        <v>17</v>
      </c>
      <c r="I5879" s="3">
        <v>7545.72</v>
      </c>
      <c r="J5879" s="3">
        <v>6341.64</v>
      </c>
      <c r="M5879" t="s">
        <v>13592</v>
      </c>
      <c r="N5879" t="s">
        <v>13593</v>
      </c>
      <c r="O5879" t="s">
        <v>200</v>
      </c>
      <c r="P5879" t="str">
        <f>"10526"</f>
        <v>10526</v>
      </c>
    </row>
    <row r="5880" spans="1:16" x14ac:dyDescent="0.25">
      <c r="A5880" t="str">
        <f>"1120173J00007    00"</f>
        <v>1120173J00007    00</v>
      </c>
      <c r="B5880" t="s">
        <v>13594</v>
      </c>
      <c r="C5880" t="s">
        <v>13595</v>
      </c>
      <c r="D5880" t="s">
        <v>20</v>
      </c>
      <c r="E5880" t="s">
        <v>39</v>
      </c>
      <c r="F5880">
        <v>0</v>
      </c>
      <c r="G5880">
        <v>0</v>
      </c>
      <c r="H5880">
        <v>19</v>
      </c>
      <c r="I5880" s="3">
        <v>8935.82</v>
      </c>
      <c r="J5880" s="3">
        <v>10271.219999999999</v>
      </c>
      <c r="L5880">
        <v>615</v>
      </c>
      <c r="M5880" t="s">
        <v>13596</v>
      </c>
      <c r="N5880" t="s">
        <v>509</v>
      </c>
      <c r="O5880" t="s">
        <v>31</v>
      </c>
      <c r="P5880" t="str">
        <f>"19119"</f>
        <v>19119</v>
      </c>
    </row>
    <row r="5881" spans="1:16" x14ac:dyDescent="0.25">
      <c r="A5881" t="str">
        <f>"1120173J00008    00"</f>
        <v>1120173J00008    00</v>
      </c>
      <c r="B5881" t="s">
        <v>13597</v>
      </c>
      <c r="C5881" t="s">
        <v>11095</v>
      </c>
      <c r="D5881" t="s">
        <v>20</v>
      </c>
      <c r="E5881" t="s">
        <v>39</v>
      </c>
      <c r="F5881">
        <v>0</v>
      </c>
      <c r="G5881">
        <v>0</v>
      </c>
      <c r="H5881">
        <v>13</v>
      </c>
      <c r="I5881" s="3">
        <v>302.18</v>
      </c>
      <c r="J5881" s="3">
        <v>170.65</v>
      </c>
      <c r="L5881">
        <v>1302</v>
      </c>
      <c r="M5881" t="s">
        <v>3249</v>
      </c>
      <c r="N5881" t="s">
        <v>30</v>
      </c>
      <c r="O5881" t="s">
        <v>31</v>
      </c>
      <c r="P5881" t="str">
        <f t="shared" ref="P5881:P5886" si="78">"15206"</f>
        <v>15206</v>
      </c>
    </row>
    <row r="5882" spans="1:16" x14ac:dyDescent="0.25">
      <c r="A5882" t="str">
        <f>"1120173J00009    00"</f>
        <v>1120173J00009    00</v>
      </c>
      <c r="B5882" t="s">
        <v>13598</v>
      </c>
      <c r="C5882" t="s">
        <v>13599</v>
      </c>
      <c r="D5882" t="s">
        <v>20</v>
      </c>
      <c r="E5882" t="s">
        <v>39</v>
      </c>
      <c r="F5882">
        <v>0</v>
      </c>
      <c r="G5882">
        <v>0</v>
      </c>
      <c r="H5882">
        <v>8</v>
      </c>
      <c r="I5882" s="3">
        <v>493.12</v>
      </c>
      <c r="J5882" s="3">
        <v>160.79</v>
      </c>
      <c r="L5882">
        <v>1302</v>
      </c>
      <c r="M5882" t="s">
        <v>3249</v>
      </c>
      <c r="N5882" t="s">
        <v>30</v>
      </c>
      <c r="O5882" t="s">
        <v>31</v>
      </c>
      <c r="P5882" t="str">
        <f t="shared" si="78"/>
        <v>15206</v>
      </c>
    </row>
    <row r="5883" spans="1:16" x14ac:dyDescent="0.25">
      <c r="A5883" t="str">
        <f>"1120173J00010    00"</f>
        <v>1120173J00010    00</v>
      </c>
      <c r="B5883" t="s">
        <v>13600</v>
      </c>
      <c r="C5883" t="s">
        <v>11095</v>
      </c>
      <c r="D5883" t="s">
        <v>20</v>
      </c>
      <c r="E5883" t="s">
        <v>39</v>
      </c>
      <c r="F5883">
        <v>0</v>
      </c>
      <c r="G5883">
        <v>0</v>
      </c>
      <c r="H5883">
        <v>19</v>
      </c>
      <c r="I5883" s="3">
        <v>400.36</v>
      </c>
      <c r="J5883" s="3">
        <v>436.62</v>
      </c>
      <c r="K5883" t="s">
        <v>1037</v>
      </c>
      <c r="L5883">
        <v>1300</v>
      </c>
      <c r="M5883" t="s">
        <v>3249</v>
      </c>
      <c r="N5883" t="s">
        <v>30</v>
      </c>
      <c r="O5883" t="s">
        <v>31</v>
      </c>
      <c r="P5883" t="str">
        <f t="shared" si="78"/>
        <v>15206</v>
      </c>
    </row>
    <row r="5884" spans="1:16" x14ac:dyDescent="0.25">
      <c r="A5884" t="str">
        <f>"1120173J00012    00"</f>
        <v>1120173J00012    00</v>
      </c>
      <c r="B5884" t="s">
        <v>13601</v>
      </c>
      <c r="C5884" t="s">
        <v>11795</v>
      </c>
      <c r="D5884" t="s">
        <v>20</v>
      </c>
      <c r="E5884" t="s">
        <v>39</v>
      </c>
      <c r="F5884">
        <v>0</v>
      </c>
      <c r="G5884">
        <v>0</v>
      </c>
      <c r="H5884">
        <v>19</v>
      </c>
      <c r="I5884" s="3">
        <v>3057.01</v>
      </c>
      <c r="J5884" s="3">
        <v>3900.27</v>
      </c>
      <c r="L5884">
        <v>1233</v>
      </c>
      <c r="M5884" t="s">
        <v>3044</v>
      </c>
      <c r="N5884" t="s">
        <v>30</v>
      </c>
      <c r="O5884" t="s">
        <v>31</v>
      </c>
      <c r="P5884" t="str">
        <f t="shared" si="78"/>
        <v>15206</v>
      </c>
    </row>
    <row r="5885" spans="1:16" x14ac:dyDescent="0.25">
      <c r="A5885" t="str">
        <f>"1120173J00014    00"</f>
        <v>1120173J00014    00</v>
      </c>
      <c r="B5885" t="s">
        <v>3247</v>
      </c>
      <c r="C5885" t="s">
        <v>13602</v>
      </c>
      <c r="D5885" t="s">
        <v>20</v>
      </c>
      <c r="E5885" t="s">
        <v>39</v>
      </c>
      <c r="F5885">
        <v>0</v>
      </c>
      <c r="G5885">
        <v>0</v>
      </c>
      <c r="H5885">
        <v>2</v>
      </c>
      <c r="I5885" s="3">
        <v>644.24</v>
      </c>
      <c r="J5885" s="3">
        <v>0</v>
      </c>
      <c r="L5885">
        <v>6389</v>
      </c>
      <c r="M5885" t="s">
        <v>3249</v>
      </c>
      <c r="N5885" t="s">
        <v>30</v>
      </c>
      <c r="O5885" t="s">
        <v>31</v>
      </c>
      <c r="P5885" t="str">
        <f t="shared" si="78"/>
        <v>15206</v>
      </c>
    </row>
    <row r="5886" spans="1:16" x14ac:dyDescent="0.25">
      <c r="A5886" t="str">
        <f>"1120173J00017    00"</f>
        <v>1120173J00017    00</v>
      </c>
      <c r="B5886" t="s">
        <v>13603</v>
      </c>
      <c r="C5886" t="s">
        <v>11795</v>
      </c>
      <c r="D5886" t="s">
        <v>20</v>
      </c>
      <c r="E5886" t="s">
        <v>39</v>
      </c>
      <c r="F5886">
        <v>0</v>
      </c>
      <c r="G5886">
        <v>0</v>
      </c>
      <c r="H5886">
        <v>19</v>
      </c>
      <c r="I5886" s="3">
        <v>3123.18</v>
      </c>
      <c r="J5886" s="3">
        <v>3933.38</v>
      </c>
      <c r="L5886">
        <v>1344</v>
      </c>
      <c r="M5886" t="s">
        <v>11753</v>
      </c>
      <c r="N5886" t="s">
        <v>30</v>
      </c>
      <c r="O5886" t="s">
        <v>31</v>
      </c>
      <c r="P5886" t="str">
        <f t="shared" si="78"/>
        <v>15206</v>
      </c>
    </row>
    <row r="5887" spans="1:16" x14ac:dyDescent="0.25">
      <c r="A5887" t="str">
        <f>"1120173J00022    00"</f>
        <v>1120173J00022    00</v>
      </c>
      <c r="B5887" t="s">
        <v>13604</v>
      </c>
      <c r="C5887" t="s">
        <v>13605</v>
      </c>
      <c r="E5887" t="s">
        <v>39</v>
      </c>
      <c r="F5887">
        <v>0</v>
      </c>
      <c r="G5887">
        <v>0</v>
      </c>
      <c r="H5887">
        <v>1</v>
      </c>
      <c r="I5887" s="3">
        <v>211.77</v>
      </c>
      <c r="J5887" s="3">
        <v>0</v>
      </c>
      <c r="L5887">
        <v>214</v>
      </c>
      <c r="M5887" t="s">
        <v>13606</v>
      </c>
      <c r="N5887" t="s">
        <v>30</v>
      </c>
      <c r="O5887" t="s">
        <v>31</v>
      </c>
      <c r="P5887" t="str">
        <f>"15235"</f>
        <v>15235</v>
      </c>
    </row>
    <row r="5888" spans="1:16" x14ac:dyDescent="0.25">
      <c r="A5888" t="str">
        <f>"1120173J00023    00"</f>
        <v>1120173J00023    00</v>
      </c>
      <c r="B5888" t="s">
        <v>13607</v>
      </c>
      <c r="C5888" t="s">
        <v>13608</v>
      </c>
      <c r="D5888" t="s">
        <v>20</v>
      </c>
      <c r="E5888" t="s">
        <v>39</v>
      </c>
      <c r="F5888">
        <v>0</v>
      </c>
      <c r="G5888">
        <v>0</v>
      </c>
      <c r="H5888">
        <v>9</v>
      </c>
      <c r="I5888" s="3">
        <v>3397.19</v>
      </c>
      <c r="J5888" s="3">
        <v>1117.68</v>
      </c>
      <c r="L5888">
        <v>478</v>
      </c>
      <c r="M5888" t="s">
        <v>3060</v>
      </c>
      <c r="N5888" t="s">
        <v>30</v>
      </c>
      <c r="O5888" t="s">
        <v>31</v>
      </c>
      <c r="P5888" t="str">
        <f>"15206"</f>
        <v>15206</v>
      </c>
    </row>
    <row r="5889" spans="1:16" x14ac:dyDescent="0.25">
      <c r="A5889" t="str">
        <f>"1120173J00025    00"</f>
        <v>1120173J00025    00</v>
      </c>
      <c r="B5889" t="s">
        <v>13609</v>
      </c>
      <c r="C5889" t="s">
        <v>13610</v>
      </c>
      <c r="D5889" t="s">
        <v>20</v>
      </c>
      <c r="E5889" t="s">
        <v>39</v>
      </c>
      <c r="F5889">
        <v>0</v>
      </c>
      <c r="G5889">
        <v>0</v>
      </c>
      <c r="H5889">
        <v>10</v>
      </c>
      <c r="I5889" s="3">
        <v>2655.83</v>
      </c>
      <c r="J5889" s="3">
        <v>1037.5899999999999</v>
      </c>
      <c r="L5889">
        <v>1309</v>
      </c>
      <c r="M5889" t="s">
        <v>13611</v>
      </c>
      <c r="N5889" t="s">
        <v>30</v>
      </c>
      <c r="O5889" t="s">
        <v>31</v>
      </c>
      <c r="P5889" t="str">
        <f>"15206"</f>
        <v>15206</v>
      </c>
    </row>
    <row r="5890" spans="1:16" x14ac:dyDescent="0.25">
      <c r="A5890" t="str">
        <f>"1120173J00029    00"</f>
        <v>1120173J00029    00</v>
      </c>
      <c r="B5890" t="s">
        <v>13612</v>
      </c>
      <c r="C5890" t="s">
        <v>11795</v>
      </c>
      <c r="E5890" t="s">
        <v>39</v>
      </c>
      <c r="F5890">
        <v>0</v>
      </c>
      <c r="G5890">
        <v>0</v>
      </c>
      <c r="H5890">
        <v>2</v>
      </c>
      <c r="I5890" s="3">
        <v>568.14</v>
      </c>
      <c r="J5890" s="3">
        <v>451.27</v>
      </c>
      <c r="K5890" t="s">
        <v>13613</v>
      </c>
      <c r="L5890">
        <v>5700</v>
      </c>
      <c r="M5890" t="s">
        <v>13614</v>
      </c>
      <c r="N5890" t="s">
        <v>30</v>
      </c>
      <c r="O5890" t="s">
        <v>31</v>
      </c>
      <c r="P5890" t="str">
        <f>"15206"</f>
        <v>15206</v>
      </c>
    </row>
    <row r="5891" spans="1:16" x14ac:dyDescent="0.25">
      <c r="A5891" t="str">
        <f>"1120173J00030    00"</f>
        <v>1120173J00030    00</v>
      </c>
      <c r="B5891" t="s">
        <v>13615</v>
      </c>
      <c r="C5891" t="s">
        <v>11795</v>
      </c>
      <c r="D5891" t="s">
        <v>20</v>
      </c>
      <c r="E5891" t="s">
        <v>39</v>
      </c>
      <c r="F5891">
        <v>0</v>
      </c>
      <c r="G5891">
        <v>0</v>
      </c>
      <c r="H5891">
        <v>18</v>
      </c>
      <c r="I5891" s="3">
        <v>2656.68</v>
      </c>
      <c r="J5891" s="3">
        <v>3371.67</v>
      </c>
      <c r="L5891">
        <v>509</v>
      </c>
      <c r="M5891" t="s">
        <v>13616</v>
      </c>
      <c r="N5891" t="s">
        <v>13617</v>
      </c>
      <c r="O5891" t="s">
        <v>9624</v>
      </c>
      <c r="P5891" t="str">
        <f>"83874"</f>
        <v>83874</v>
      </c>
    </row>
    <row r="5892" spans="1:16" x14ac:dyDescent="0.25">
      <c r="A5892" t="str">
        <f>"1120173J00035    00"</f>
        <v>1120173J00035    00</v>
      </c>
      <c r="B5892" t="s">
        <v>13618</v>
      </c>
      <c r="C5892" t="s">
        <v>13619</v>
      </c>
      <c r="D5892" t="s">
        <v>20</v>
      </c>
      <c r="E5892" t="s">
        <v>39</v>
      </c>
      <c r="F5892">
        <v>0</v>
      </c>
      <c r="G5892">
        <v>0</v>
      </c>
      <c r="H5892">
        <v>16</v>
      </c>
      <c r="I5892" s="3">
        <v>8860.42</v>
      </c>
      <c r="J5892" s="3">
        <v>8394.17</v>
      </c>
      <c r="L5892">
        <v>134</v>
      </c>
      <c r="M5892" t="s">
        <v>13620</v>
      </c>
      <c r="N5892" t="s">
        <v>30</v>
      </c>
      <c r="O5892" t="s">
        <v>31</v>
      </c>
      <c r="P5892" t="str">
        <f>"15235"</f>
        <v>15235</v>
      </c>
    </row>
    <row r="5893" spans="1:16" x14ac:dyDescent="0.25">
      <c r="A5893" t="str">
        <f>"1120173J00037    00"</f>
        <v>1120173J00037    00</v>
      </c>
      <c r="B5893" t="s">
        <v>13621</v>
      </c>
      <c r="C5893" t="s">
        <v>11795</v>
      </c>
      <c r="D5893" t="s">
        <v>20</v>
      </c>
      <c r="E5893" t="s">
        <v>39</v>
      </c>
      <c r="F5893">
        <v>0</v>
      </c>
      <c r="G5893">
        <v>0</v>
      </c>
      <c r="H5893">
        <v>19</v>
      </c>
      <c r="I5893" s="3">
        <v>990.5</v>
      </c>
      <c r="J5893" s="3">
        <v>726.04</v>
      </c>
      <c r="L5893">
        <v>1218</v>
      </c>
      <c r="M5893" t="s">
        <v>3959</v>
      </c>
      <c r="N5893" t="s">
        <v>30</v>
      </c>
      <c r="O5893" t="s">
        <v>31</v>
      </c>
      <c r="P5893" t="str">
        <f>"15221"</f>
        <v>15221</v>
      </c>
    </row>
    <row r="5894" spans="1:16" x14ac:dyDescent="0.25">
      <c r="A5894" t="str">
        <f>"1120173J00043    00"</f>
        <v>1120173J00043    00</v>
      </c>
      <c r="B5894" t="s">
        <v>13622</v>
      </c>
      <c r="C5894" t="s">
        <v>13623</v>
      </c>
      <c r="E5894" t="s">
        <v>39</v>
      </c>
      <c r="F5894">
        <v>0</v>
      </c>
      <c r="G5894">
        <v>0</v>
      </c>
      <c r="H5894">
        <v>1</v>
      </c>
      <c r="I5894" s="3">
        <v>152.93</v>
      </c>
      <c r="J5894" s="3">
        <v>75.19</v>
      </c>
      <c r="K5894" t="s">
        <v>13624</v>
      </c>
      <c r="L5894">
        <v>9500</v>
      </c>
      <c r="M5894" t="s">
        <v>13625</v>
      </c>
      <c r="N5894" t="s">
        <v>13626</v>
      </c>
      <c r="O5894" t="s">
        <v>25</v>
      </c>
      <c r="P5894" t="str">
        <f>"43064"</f>
        <v>43064</v>
      </c>
    </row>
    <row r="5895" spans="1:16" x14ac:dyDescent="0.25">
      <c r="A5895" t="str">
        <f>"1120173J00046    00"</f>
        <v>1120173J00046    00</v>
      </c>
      <c r="B5895" t="s">
        <v>13627</v>
      </c>
      <c r="C5895" t="s">
        <v>11795</v>
      </c>
      <c r="D5895" t="s">
        <v>20</v>
      </c>
      <c r="E5895" t="s">
        <v>39</v>
      </c>
      <c r="F5895">
        <v>0</v>
      </c>
      <c r="G5895">
        <v>0</v>
      </c>
      <c r="H5895">
        <v>19</v>
      </c>
      <c r="I5895" s="3">
        <v>4696.3500000000004</v>
      </c>
      <c r="J5895" s="3">
        <v>6581.16</v>
      </c>
      <c r="K5895" t="s">
        <v>13628</v>
      </c>
      <c r="L5895">
        <v>5635</v>
      </c>
      <c r="M5895" t="s">
        <v>5832</v>
      </c>
      <c r="N5895" t="s">
        <v>30</v>
      </c>
      <c r="O5895" t="s">
        <v>31</v>
      </c>
      <c r="P5895" t="str">
        <f>"15206"</f>
        <v>15206</v>
      </c>
    </row>
    <row r="5896" spans="1:16" x14ac:dyDescent="0.25">
      <c r="A5896" t="str">
        <f>"1120173J00053    00"</f>
        <v>1120173J00053    00</v>
      </c>
      <c r="B5896" t="s">
        <v>13629</v>
      </c>
      <c r="C5896" t="s">
        <v>13630</v>
      </c>
      <c r="D5896" t="s">
        <v>20</v>
      </c>
      <c r="E5896" t="s">
        <v>39</v>
      </c>
      <c r="F5896">
        <v>0</v>
      </c>
      <c r="G5896">
        <v>0</v>
      </c>
      <c r="H5896">
        <v>19</v>
      </c>
      <c r="I5896" s="3">
        <v>15973.89</v>
      </c>
      <c r="J5896" s="3">
        <v>15127.84</v>
      </c>
      <c r="L5896">
        <v>1244</v>
      </c>
      <c r="M5896" t="s">
        <v>11753</v>
      </c>
      <c r="N5896" t="s">
        <v>30</v>
      </c>
      <c r="O5896" t="s">
        <v>31</v>
      </c>
      <c r="P5896" t="str">
        <f>"15206"</f>
        <v>15206</v>
      </c>
    </row>
    <row r="5897" spans="1:16" x14ac:dyDescent="0.25">
      <c r="A5897" t="str">
        <f>"1120173J00054    00"</f>
        <v>1120173J00054    00</v>
      </c>
      <c r="B5897" t="s">
        <v>13631</v>
      </c>
      <c r="C5897" t="s">
        <v>11795</v>
      </c>
      <c r="D5897" t="s">
        <v>20</v>
      </c>
      <c r="E5897" t="s">
        <v>39</v>
      </c>
      <c r="F5897">
        <v>0</v>
      </c>
      <c r="G5897">
        <v>0</v>
      </c>
      <c r="H5897">
        <v>19</v>
      </c>
      <c r="I5897" s="3">
        <v>529.57000000000005</v>
      </c>
      <c r="J5897" s="3">
        <v>494.26</v>
      </c>
      <c r="L5897">
        <v>1244</v>
      </c>
      <c r="M5897" t="s">
        <v>11753</v>
      </c>
      <c r="N5897" t="s">
        <v>30</v>
      </c>
      <c r="O5897" t="s">
        <v>31</v>
      </c>
      <c r="P5897" t="str">
        <f>"15206"</f>
        <v>15206</v>
      </c>
    </row>
    <row r="5898" spans="1:16" x14ac:dyDescent="0.25">
      <c r="A5898" t="str">
        <f>"1120173J00055    00"</f>
        <v>1120173J00055    00</v>
      </c>
      <c r="B5898" t="s">
        <v>13632</v>
      </c>
      <c r="C5898" t="s">
        <v>11795</v>
      </c>
      <c r="D5898" t="s">
        <v>20</v>
      </c>
      <c r="E5898" t="s">
        <v>39</v>
      </c>
      <c r="F5898">
        <v>0</v>
      </c>
      <c r="G5898">
        <v>0</v>
      </c>
      <c r="H5898">
        <v>19</v>
      </c>
      <c r="I5898" s="3">
        <v>425</v>
      </c>
      <c r="J5898" s="3">
        <v>472.18</v>
      </c>
      <c r="L5898">
        <v>7222</v>
      </c>
      <c r="M5898" t="s">
        <v>13633</v>
      </c>
      <c r="N5898" t="s">
        <v>30</v>
      </c>
      <c r="O5898" t="s">
        <v>31</v>
      </c>
      <c r="P5898" t="str">
        <f>"15208"</f>
        <v>15208</v>
      </c>
    </row>
    <row r="5899" spans="1:16" x14ac:dyDescent="0.25">
      <c r="A5899" t="str">
        <f>"1120173J00056    00"</f>
        <v>1120173J00056    00</v>
      </c>
      <c r="B5899" t="s">
        <v>13634</v>
      </c>
      <c r="C5899" t="s">
        <v>13635</v>
      </c>
      <c r="D5899" t="s">
        <v>20</v>
      </c>
      <c r="E5899" t="s">
        <v>39</v>
      </c>
      <c r="F5899">
        <v>0</v>
      </c>
      <c r="G5899">
        <v>0</v>
      </c>
      <c r="H5899">
        <v>10</v>
      </c>
      <c r="I5899" s="3">
        <v>3027.74</v>
      </c>
      <c r="J5899" s="3">
        <v>1301.1199999999999</v>
      </c>
      <c r="K5899" t="s">
        <v>13636</v>
      </c>
      <c r="L5899">
        <v>1244</v>
      </c>
      <c r="M5899" t="s">
        <v>11753</v>
      </c>
      <c r="N5899" t="s">
        <v>30</v>
      </c>
      <c r="O5899" t="s">
        <v>31</v>
      </c>
      <c r="P5899" t="str">
        <f>"15206"</f>
        <v>15206</v>
      </c>
    </row>
    <row r="5900" spans="1:16" x14ac:dyDescent="0.25">
      <c r="A5900" t="str">
        <f>"1120173J00059    00"</f>
        <v>1120173J00059    00</v>
      </c>
      <c r="B5900" t="s">
        <v>13637</v>
      </c>
      <c r="C5900" t="s">
        <v>11795</v>
      </c>
      <c r="D5900" t="s">
        <v>20</v>
      </c>
      <c r="E5900" t="s">
        <v>39</v>
      </c>
      <c r="F5900">
        <v>0</v>
      </c>
      <c r="G5900">
        <v>0</v>
      </c>
      <c r="H5900">
        <v>19</v>
      </c>
      <c r="I5900" s="3">
        <v>1037.03</v>
      </c>
      <c r="J5900" s="3">
        <v>773.18</v>
      </c>
      <c r="L5900">
        <v>2011</v>
      </c>
      <c r="M5900" t="s">
        <v>13638</v>
      </c>
      <c r="N5900" t="s">
        <v>30</v>
      </c>
      <c r="O5900" t="s">
        <v>31</v>
      </c>
      <c r="P5900" t="str">
        <f>"15221"</f>
        <v>15221</v>
      </c>
    </row>
    <row r="5901" spans="1:16" x14ac:dyDescent="0.25">
      <c r="A5901" t="str">
        <f>"1120173J00060    00"</f>
        <v>1120173J00060    00</v>
      </c>
      <c r="B5901" t="s">
        <v>13639</v>
      </c>
      <c r="C5901" t="s">
        <v>11795</v>
      </c>
      <c r="D5901" t="s">
        <v>20</v>
      </c>
      <c r="E5901" t="s">
        <v>39</v>
      </c>
      <c r="F5901">
        <v>0</v>
      </c>
      <c r="G5901">
        <v>0</v>
      </c>
      <c r="H5901">
        <v>19</v>
      </c>
      <c r="I5901" s="3">
        <v>378.35</v>
      </c>
      <c r="J5901" s="3">
        <v>424.97</v>
      </c>
      <c r="L5901">
        <v>1224</v>
      </c>
      <c r="M5901" t="s">
        <v>11753</v>
      </c>
      <c r="N5901" t="s">
        <v>30</v>
      </c>
      <c r="O5901" t="s">
        <v>31</v>
      </c>
      <c r="P5901" t="str">
        <f>"15206"</f>
        <v>15206</v>
      </c>
    </row>
    <row r="5902" spans="1:16" x14ac:dyDescent="0.25">
      <c r="A5902" t="str">
        <f>"1120173J00065    00"</f>
        <v>1120173J00065    00</v>
      </c>
      <c r="B5902" t="s">
        <v>13640</v>
      </c>
      <c r="C5902" t="s">
        <v>11746</v>
      </c>
      <c r="D5902" t="s">
        <v>20</v>
      </c>
      <c r="E5902" t="s">
        <v>39</v>
      </c>
      <c r="F5902">
        <v>0</v>
      </c>
      <c r="G5902">
        <v>0</v>
      </c>
      <c r="H5902">
        <v>19</v>
      </c>
      <c r="I5902" s="3">
        <v>425</v>
      </c>
      <c r="J5902" s="3">
        <v>472.18</v>
      </c>
      <c r="K5902" t="s">
        <v>1008</v>
      </c>
      <c r="P5902" t="str">
        <f>""</f>
        <v/>
      </c>
    </row>
    <row r="5903" spans="1:16" x14ac:dyDescent="0.25">
      <c r="A5903" t="str">
        <f>"1120173J00069    00"</f>
        <v>1120173J00069    00</v>
      </c>
      <c r="B5903" t="s">
        <v>11232</v>
      </c>
      <c r="C5903" t="s">
        <v>11746</v>
      </c>
      <c r="D5903" t="s">
        <v>20</v>
      </c>
      <c r="E5903" t="s">
        <v>39</v>
      </c>
      <c r="F5903">
        <v>0</v>
      </c>
      <c r="G5903">
        <v>0</v>
      </c>
      <c r="H5903">
        <v>19</v>
      </c>
      <c r="I5903" s="3">
        <v>8047.87</v>
      </c>
      <c r="J5903" s="3">
        <v>9616.2199999999993</v>
      </c>
      <c r="M5903" t="s">
        <v>2690</v>
      </c>
      <c r="N5903" t="s">
        <v>30</v>
      </c>
      <c r="O5903" t="s">
        <v>31</v>
      </c>
      <c r="P5903" t="str">
        <f>"15206"</f>
        <v>15206</v>
      </c>
    </row>
    <row r="5904" spans="1:16" x14ac:dyDescent="0.25">
      <c r="A5904" t="str">
        <f>"1120173J00071    00"</f>
        <v>1120173J00071    00</v>
      </c>
      <c r="B5904" t="s">
        <v>13641</v>
      </c>
      <c r="C5904" t="s">
        <v>11746</v>
      </c>
      <c r="D5904" t="s">
        <v>20</v>
      </c>
      <c r="E5904" t="s">
        <v>39</v>
      </c>
      <c r="F5904">
        <v>0</v>
      </c>
      <c r="G5904">
        <v>0</v>
      </c>
      <c r="H5904">
        <v>19</v>
      </c>
      <c r="I5904" s="3">
        <v>378.35</v>
      </c>
      <c r="J5904" s="3">
        <v>424.97</v>
      </c>
      <c r="M5904" t="s">
        <v>13642</v>
      </c>
      <c r="N5904" t="s">
        <v>10293</v>
      </c>
      <c r="O5904" t="s">
        <v>31</v>
      </c>
      <c r="P5904" t="str">
        <f>"15074"</f>
        <v>15074</v>
      </c>
    </row>
    <row r="5905" spans="1:16" x14ac:dyDescent="0.25">
      <c r="A5905" t="str">
        <f>"1120173J00072    00"</f>
        <v>1120173J00072    00</v>
      </c>
      <c r="B5905" t="s">
        <v>13643</v>
      </c>
      <c r="C5905" t="s">
        <v>11746</v>
      </c>
      <c r="D5905" t="s">
        <v>20</v>
      </c>
      <c r="E5905" t="s">
        <v>39</v>
      </c>
      <c r="F5905">
        <v>0</v>
      </c>
      <c r="G5905">
        <v>0</v>
      </c>
      <c r="H5905">
        <v>19</v>
      </c>
      <c r="I5905" s="3">
        <v>378.35</v>
      </c>
      <c r="J5905" s="3">
        <v>424.97</v>
      </c>
      <c r="K5905" t="s">
        <v>1037</v>
      </c>
      <c r="L5905">
        <v>12</v>
      </c>
      <c r="M5905" t="s">
        <v>11664</v>
      </c>
      <c r="N5905" t="s">
        <v>30</v>
      </c>
      <c r="O5905" t="s">
        <v>31</v>
      </c>
      <c r="P5905" t="str">
        <f>"15206"</f>
        <v>15206</v>
      </c>
    </row>
    <row r="5906" spans="1:16" x14ac:dyDescent="0.25">
      <c r="A5906" t="str">
        <f>"1120173J00075    00"</f>
        <v>1120173J00075    00</v>
      </c>
      <c r="B5906" t="s">
        <v>13644</v>
      </c>
      <c r="C5906" t="s">
        <v>11746</v>
      </c>
      <c r="D5906" t="s">
        <v>20</v>
      </c>
      <c r="E5906" t="s">
        <v>39</v>
      </c>
      <c r="F5906">
        <v>0</v>
      </c>
      <c r="G5906">
        <v>0</v>
      </c>
      <c r="H5906">
        <v>19</v>
      </c>
      <c r="I5906" s="3">
        <v>1270.2</v>
      </c>
      <c r="J5906" s="3">
        <v>1008.81</v>
      </c>
      <c r="K5906" t="s">
        <v>1037</v>
      </c>
      <c r="L5906">
        <v>1251</v>
      </c>
      <c r="M5906" t="s">
        <v>11664</v>
      </c>
      <c r="N5906" t="s">
        <v>30</v>
      </c>
      <c r="O5906" t="s">
        <v>31</v>
      </c>
      <c r="P5906" t="str">
        <f>"15206"</f>
        <v>15206</v>
      </c>
    </row>
    <row r="5907" spans="1:16" x14ac:dyDescent="0.25">
      <c r="A5907" t="str">
        <f>"1120173J00079    00"</f>
        <v>1120173J00079    00</v>
      </c>
      <c r="B5907" t="s">
        <v>13645</v>
      </c>
      <c r="C5907" t="s">
        <v>13646</v>
      </c>
      <c r="D5907" t="s">
        <v>20</v>
      </c>
      <c r="E5907" t="s">
        <v>39</v>
      </c>
      <c r="F5907">
        <v>0</v>
      </c>
      <c r="G5907">
        <v>0</v>
      </c>
      <c r="H5907">
        <v>17</v>
      </c>
      <c r="I5907" s="3">
        <v>8413.16</v>
      </c>
      <c r="J5907" s="3">
        <v>7108.07</v>
      </c>
      <c r="L5907">
        <v>6440</v>
      </c>
      <c r="M5907" t="s">
        <v>11238</v>
      </c>
      <c r="N5907" t="s">
        <v>30</v>
      </c>
      <c r="O5907" t="s">
        <v>31</v>
      </c>
      <c r="P5907" t="str">
        <f>"15206"</f>
        <v>15206</v>
      </c>
    </row>
    <row r="5908" spans="1:16" x14ac:dyDescent="0.25">
      <c r="A5908" t="str">
        <f>"1120173J00080    00"</f>
        <v>1120173J00080    00</v>
      </c>
      <c r="B5908" t="s">
        <v>13647</v>
      </c>
      <c r="C5908" t="s">
        <v>13648</v>
      </c>
      <c r="D5908" t="s">
        <v>20</v>
      </c>
      <c r="E5908" t="s">
        <v>39</v>
      </c>
      <c r="F5908">
        <v>0</v>
      </c>
      <c r="G5908">
        <v>0</v>
      </c>
      <c r="H5908">
        <v>2</v>
      </c>
      <c r="I5908" s="3">
        <v>785.32</v>
      </c>
      <c r="J5908" s="3">
        <v>0</v>
      </c>
      <c r="L5908">
        <v>1273</v>
      </c>
      <c r="M5908" t="s">
        <v>11664</v>
      </c>
      <c r="N5908" t="s">
        <v>30</v>
      </c>
      <c r="O5908" t="s">
        <v>31</v>
      </c>
      <c r="P5908" t="str">
        <f>"15206"</f>
        <v>15206</v>
      </c>
    </row>
    <row r="5909" spans="1:16" x14ac:dyDescent="0.25">
      <c r="A5909" t="str">
        <f>"1120173J00091    00"</f>
        <v>1120173J00091    00</v>
      </c>
      <c r="B5909" t="s">
        <v>13649</v>
      </c>
      <c r="C5909" t="s">
        <v>13650</v>
      </c>
      <c r="E5909" t="s">
        <v>39</v>
      </c>
      <c r="F5909">
        <v>0</v>
      </c>
      <c r="G5909">
        <v>0</v>
      </c>
      <c r="H5909">
        <v>2</v>
      </c>
      <c r="I5909" s="3">
        <v>327.84</v>
      </c>
      <c r="J5909" s="3">
        <v>32.78</v>
      </c>
      <c r="K5909" t="s">
        <v>13651</v>
      </c>
      <c r="L5909">
        <v>1723</v>
      </c>
      <c r="M5909" t="s">
        <v>12028</v>
      </c>
      <c r="N5909" t="s">
        <v>30</v>
      </c>
      <c r="O5909" t="s">
        <v>31</v>
      </c>
      <c r="P5909" t="str">
        <f>"15221"</f>
        <v>15221</v>
      </c>
    </row>
    <row r="5910" spans="1:16" x14ac:dyDescent="0.25">
      <c r="A5910" t="str">
        <f>"1120173J00092    00"</f>
        <v>1120173J00092    00</v>
      </c>
      <c r="B5910" t="s">
        <v>13652</v>
      </c>
      <c r="C5910" t="s">
        <v>12038</v>
      </c>
      <c r="D5910" t="s">
        <v>20</v>
      </c>
      <c r="E5910" t="s">
        <v>39</v>
      </c>
      <c r="F5910">
        <v>0</v>
      </c>
      <c r="G5910">
        <v>0</v>
      </c>
      <c r="H5910">
        <v>19</v>
      </c>
      <c r="I5910" s="3">
        <v>3033.98</v>
      </c>
      <c r="J5910" s="3">
        <v>3914.78</v>
      </c>
      <c r="L5910">
        <v>1303</v>
      </c>
      <c r="M5910" t="s">
        <v>3249</v>
      </c>
      <c r="N5910" t="s">
        <v>30</v>
      </c>
      <c r="O5910" t="s">
        <v>31</v>
      </c>
      <c r="P5910" t="str">
        <f>"15206"</f>
        <v>15206</v>
      </c>
    </row>
    <row r="5911" spans="1:16" x14ac:dyDescent="0.25">
      <c r="A5911" t="str">
        <f>"1120173J00093    00"</f>
        <v>1120173J00093    00</v>
      </c>
      <c r="B5911" t="s">
        <v>13653</v>
      </c>
      <c r="C5911" t="s">
        <v>12038</v>
      </c>
      <c r="D5911" t="s">
        <v>20</v>
      </c>
      <c r="E5911" t="s">
        <v>39</v>
      </c>
      <c r="F5911">
        <v>0</v>
      </c>
      <c r="G5911">
        <v>0</v>
      </c>
      <c r="H5911">
        <v>15</v>
      </c>
      <c r="I5911" s="3">
        <v>2704.29</v>
      </c>
      <c r="J5911" s="3">
        <v>3730.51</v>
      </c>
      <c r="L5911">
        <v>7131</v>
      </c>
      <c r="M5911" t="s">
        <v>13654</v>
      </c>
      <c r="N5911" t="s">
        <v>30</v>
      </c>
      <c r="O5911" t="s">
        <v>31</v>
      </c>
      <c r="P5911" t="str">
        <f>"15208"</f>
        <v>15208</v>
      </c>
    </row>
    <row r="5912" spans="1:16" x14ac:dyDescent="0.25">
      <c r="A5912" t="str">
        <f>"1120173J00096    00"</f>
        <v>1120173J00096    00</v>
      </c>
      <c r="B5912" t="s">
        <v>13655</v>
      </c>
      <c r="C5912" t="s">
        <v>12038</v>
      </c>
      <c r="D5912" t="s">
        <v>20</v>
      </c>
      <c r="E5912" t="s">
        <v>39</v>
      </c>
      <c r="F5912">
        <v>0</v>
      </c>
      <c r="G5912">
        <v>0</v>
      </c>
      <c r="H5912">
        <v>9</v>
      </c>
      <c r="I5912" s="3">
        <v>107.8</v>
      </c>
      <c r="J5912" s="3">
        <v>82.82</v>
      </c>
      <c r="M5912" t="s">
        <v>13656</v>
      </c>
      <c r="N5912" t="s">
        <v>30</v>
      </c>
      <c r="O5912" t="s">
        <v>31</v>
      </c>
      <c r="P5912" t="str">
        <f>"15206"</f>
        <v>15206</v>
      </c>
    </row>
    <row r="5913" spans="1:16" x14ac:dyDescent="0.25">
      <c r="A5913" t="str">
        <f>"1120173J00097    00"</f>
        <v>1120173J00097    00</v>
      </c>
      <c r="B5913" t="s">
        <v>13657</v>
      </c>
      <c r="C5913" t="s">
        <v>12038</v>
      </c>
      <c r="D5913" t="s">
        <v>20</v>
      </c>
      <c r="E5913" t="s">
        <v>39</v>
      </c>
      <c r="F5913">
        <v>0</v>
      </c>
      <c r="G5913">
        <v>0</v>
      </c>
      <c r="H5913">
        <v>17</v>
      </c>
      <c r="I5913" s="3">
        <v>1680.83</v>
      </c>
      <c r="J5913" s="3">
        <v>2456.71</v>
      </c>
      <c r="L5913">
        <v>1327</v>
      </c>
      <c r="M5913" t="s">
        <v>2789</v>
      </c>
      <c r="N5913" t="s">
        <v>30</v>
      </c>
      <c r="O5913" t="s">
        <v>31</v>
      </c>
      <c r="P5913" t="str">
        <f>"15206"</f>
        <v>15206</v>
      </c>
    </row>
    <row r="5914" spans="1:16" x14ac:dyDescent="0.25">
      <c r="A5914" t="str">
        <f>"1120173J00098    00"</f>
        <v>1120173J00098    00</v>
      </c>
      <c r="B5914" t="s">
        <v>13658</v>
      </c>
      <c r="C5914" t="s">
        <v>12038</v>
      </c>
      <c r="D5914" t="s">
        <v>20</v>
      </c>
      <c r="E5914" t="s">
        <v>39</v>
      </c>
      <c r="F5914">
        <v>0</v>
      </c>
      <c r="G5914">
        <v>0</v>
      </c>
      <c r="H5914">
        <v>19</v>
      </c>
      <c r="I5914" s="3">
        <v>883.37</v>
      </c>
      <c r="J5914" s="3">
        <v>691.97</v>
      </c>
      <c r="L5914">
        <v>101</v>
      </c>
      <c r="M5914" t="s">
        <v>13659</v>
      </c>
      <c r="N5914" t="s">
        <v>826</v>
      </c>
      <c r="O5914" t="s">
        <v>31</v>
      </c>
      <c r="P5914" t="str">
        <f>"15601"</f>
        <v>15601</v>
      </c>
    </row>
    <row r="5915" spans="1:16" x14ac:dyDescent="0.25">
      <c r="A5915" t="str">
        <f>"1120173J00106    00"</f>
        <v>1120173J00106    00</v>
      </c>
      <c r="B5915" t="s">
        <v>13660</v>
      </c>
      <c r="C5915" t="s">
        <v>12038</v>
      </c>
      <c r="D5915" t="s">
        <v>20</v>
      </c>
      <c r="E5915" t="s">
        <v>39</v>
      </c>
      <c r="F5915">
        <v>0</v>
      </c>
      <c r="G5915">
        <v>0</v>
      </c>
      <c r="H5915">
        <v>19</v>
      </c>
      <c r="I5915" s="3">
        <v>9910.32</v>
      </c>
      <c r="J5915" s="3">
        <v>13297.52</v>
      </c>
      <c r="M5915" t="s">
        <v>13661</v>
      </c>
      <c r="N5915" t="s">
        <v>30</v>
      </c>
      <c r="O5915" t="s">
        <v>31</v>
      </c>
      <c r="P5915" t="str">
        <f>"15206"</f>
        <v>15206</v>
      </c>
    </row>
    <row r="5916" spans="1:16" x14ac:dyDescent="0.25">
      <c r="A5916" t="str">
        <f>"1120173J00113    00"</f>
        <v>1120173J00113    00</v>
      </c>
      <c r="B5916" t="s">
        <v>13662</v>
      </c>
      <c r="C5916" t="s">
        <v>13663</v>
      </c>
      <c r="E5916" t="s">
        <v>39</v>
      </c>
      <c r="F5916">
        <v>0</v>
      </c>
      <c r="G5916">
        <v>0</v>
      </c>
      <c r="H5916">
        <v>1</v>
      </c>
      <c r="I5916" s="3">
        <v>239.85</v>
      </c>
      <c r="J5916" s="3">
        <v>0</v>
      </c>
      <c r="K5916" t="s">
        <v>13664</v>
      </c>
      <c r="L5916">
        <v>169</v>
      </c>
      <c r="M5916" t="s">
        <v>13665</v>
      </c>
      <c r="N5916" t="s">
        <v>199</v>
      </c>
      <c r="O5916" t="s">
        <v>200</v>
      </c>
      <c r="P5916" t="str">
        <f>"10016"</f>
        <v>10016</v>
      </c>
    </row>
    <row r="5917" spans="1:16" x14ac:dyDescent="0.25">
      <c r="A5917" t="str">
        <f>"1120173J00139    00"</f>
        <v>1120173J00139    00</v>
      </c>
      <c r="B5917" t="s">
        <v>13666</v>
      </c>
      <c r="C5917" t="s">
        <v>12038</v>
      </c>
      <c r="D5917" t="s">
        <v>20</v>
      </c>
      <c r="E5917" t="s">
        <v>39</v>
      </c>
      <c r="F5917">
        <v>0</v>
      </c>
      <c r="G5917">
        <v>0</v>
      </c>
      <c r="H5917">
        <v>19</v>
      </c>
      <c r="I5917" s="3">
        <v>578.59</v>
      </c>
      <c r="J5917" s="3">
        <v>553.36</v>
      </c>
      <c r="K5917" t="s">
        <v>1008</v>
      </c>
      <c r="P5917" t="str">
        <f>""</f>
        <v/>
      </c>
    </row>
    <row r="5918" spans="1:16" x14ac:dyDescent="0.25">
      <c r="A5918" t="str">
        <f>"1120173J00140    00"</f>
        <v>1120173J00140    00</v>
      </c>
      <c r="B5918" t="s">
        <v>13666</v>
      </c>
      <c r="C5918" t="s">
        <v>12038</v>
      </c>
      <c r="D5918" t="s">
        <v>20</v>
      </c>
      <c r="E5918" t="s">
        <v>39</v>
      </c>
      <c r="F5918">
        <v>0</v>
      </c>
      <c r="G5918">
        <v>0</v>
      </c>
      <c r="H5918">
        <v>19</v>
      </c>
      <c r="I5918" s="3">
        <v>419.62</v>
      </c>
      <c r="J5918" s="3">
        <v>424.25</v>
      </c>
      <c r="L5918">
        <v>1237</v>
      </c>
      <c r="M5918" t="s">
        <v>2789</v>
      </c>
      <c r="N5918" t="s">
        <v>30</v>
      </c>
      <c r="O5918" t="s">
        <v>31</v>
      </c>
      <c r="P5918" t="str">
        <f>"15206"</f>
        <v>15206</v>
      </c>
    </row>
    <row r="5919" spans="1:16" x14ac:dyDescent="0.25">
      <c r="A5919" t="str">
        <f>"1120173J00141    00"</f>
        <v>1120173J00141    00</v>
      </c>
      <c r="B5919" t="s">
        <v>13667</v>
      </c>
      <c r="C5919" t="s">
        <v>12038</v>
      </c>
      <c r="D5919" t="s">
        <v>20</v>
      </c>
      <c r="E5919" t="s">
        <v>39</v>
      </c>
      <c r="F5919">
        <v>0</v>
      </c>
      <c r="G5919">
        <v>0</v>
      </c>
      <c r="H5919">
        <v>19</v>
      </c>
      <c r="I5919" s="3">
        <v>378.35</v>
      </c>
      <c r="J5919" s="3">
        <v>424.97</v>
      </c>
      <c r="L5919">
        <v>1914</v>
      </c>
      <c r="M5919" t="s">
        <v>12780</v>
      </c>
      <c r="N5919" t="s">
        <v>30</v>
      </c>
      <c r="O5919" t="s">
        <v>31</v>
      </c>
      <c r="P5919" t="str">
        <f>"15235"</f>
        <v>15235</v>
      </c>
    </row>
    <row r="5920" spans="1:16" x14ac:dyDescent="0.25">
      <c r="A5920" t="str">
        <f>"1120173J00142    00"</f>
        <v>1120173J00142    00</v>
      </c>
      <c r="B5920" t="s">
        <v>13668</v>
      </c>
      <c r="C5920" t="s">
        <v>13669</v>
      </c>
      <c r="D5920" t="s">
        <v>20</v>
      </c>
      <c r="E5920" t="s">
        <v>39</v>
      </c>
      <c r="F5920">
        <v>0</v>
      </c>
      <c r="G5920">
        <v>0</v>
      </c>
      <c r="H5920">
        <v>17</v>
      </c>
      <c r="I5920" s="3">
        <v>17794.93</v>
      </c>
      <c r="J5920" s="3">
        <v>18308.490000000002</v>
      </c>
      <c r="M5920" t="s">
        <v>13670</v>
      </c>
      <c r="N5920" t="s">
        <v>30</v>
      </c>
      <c r="O5920" t="s">
        <v>31</v>
      </c>
      <c r="P5920" t="str">
        <f>"15206"</f>
        <v>15206</v>
      </c>
    </row>
    <row r="5921" spans="1:16" x14ac:dyDescent="0.25">
      <c r="A5921" t="str">
        <f>"1120173J00143    00"</f>
        <v>1120173J00143    00</v>
      </c>
      <c r="B5921" t="s">
        <v>13671</v>
      </c>
      <c r="C5921" t="s">
        <v>13672</v>
      </c>
      <c r="D5921" t="s">
        <v>20</v>
      </c>
      <c r="E5921" t="s">
        <v>39</v>
      </c>
      <c r="F5921">
        <v>0</v>
      </c>
      <c r="G5921">
        <v>0</v>
      </c>
      <c r="H5921">
        <v>4</v>
      </c>
      <c r="I5921" s="3">
        <v>616.83000000000004</v>
      </c>
      <c r="J5921" s="3">
        <v>51.45</v>
      </c>
      <c r="L5921">
        <v>1229</v>
      </c>
      <c r="M5921" t="s">
        <v>2789</v>
      </c>
      <c r="N5921" t="s">
        <v>30</v>
      </c>
      <c r="O5921" t="s">
        <v>31</v>
      </c>
      <c r="P5921" t="str">
        <f>"15206"</f>
        <v>15206</v>
      </c>
    </row>
    <row r="5922" spans="1:16" x14ac:dyDescent="0.25">
      <c r="A5922" t="str">
        <f>"1120173J00144    00"</f>
        <v>1120173J00144    00</v>
      </c>
      <c r="B5922" t="s">
        <v>13668</v>
      </c>
      <c r="C5922" t="s">
        <v>12038</v>
      </c>
      <c r="D5922" t="s">
        <v>20</v>
      </c>
      <c r="E5922" t="s">
        <v>39</v>
      </c>
      <c r="F5922">
        <v>0</v>
      </c>
      <c r="G5922">
        <v>0</v>
      </c>
      <c r="H5922">
        <v>17</v>
      </c>
      <c r="I5922" s="3">
        <v>809.77</v>
      </c>
      <c r="J5922" s="3">
        <v>654.94000000000005</v>
      </c>
      <c r="M5922" t="s">
        <v>13670</v>
      </c>
      <c r="N5922" t="s">
        <v>30</v>
      </c>
      <c r="O5922" t="s">
        <v>31</v>
      </c>
      <c r="P5922" t="str">
        <f>"15206"</f>
        <v>15206</v>
      </c>
    </row>
    <row r="5923" spans="1:16" x14ac:dyDescent="0.25">
      <c r="A5923" t="str">
        <f>"1120173J00145    00"</f>
        <v>1120173J00145    00</v>
      </c>
      <c r="B5923" t="s">
        <v>13673</v>
      </c>
      <c r="C5923" t="s">
        <v>13674</v>
      </c>
      <c r="D5923" t="s">
        <v>20</v>
      </c>
      <c r="E5923" t="s">
        <v>39</v>
      </c>
      <c r="F5923">
        <v>0</v>
      </c>
      <c r="G5923">
        <v>0</v>
      </c>
      <c r="H5923">
        <v>9</v>
      </c>
      <c r="I5923" s="3">
        <v>2288.8000000000002</v>
      </c>
      <c r="J5923" s="3">
        <v>343.57</v>
      </c>
      <c r="K5923" t="s">
        <v>13675</v>
      </c>
      <c r="L5923">
        <v>55</v>
      </c>
      <c r="M5923" t="s">
        <v>13676</v>
      </c>
      <c r="N5923" t="s">
        <v>13677</v>
      </c>
      <c r="O5923" t="s">
        <v>1184</v>
      </c>
      <c r="P5923" t="str">
        <f>"21740"</f>
        <v>21740</v>
      </c>
    </row>
    <row r="5924" spans="1:16" x14ac:dyDescent="0.25">
      <c r="A5924" t="str">
        <f>"1120173J00147    00"</f>
        <v>1120173J00147    00</v>
      </c>
      <c r="B5924" t="s">
        <v>13678</v>
      </c>
      <c r="C5924" t="s">
        <v>13679</v>
      </c>
      <c r="D5924" t="s">
        <v>20</v>
      </c>
      <c r="E5924" t="s">
        <v>39</v>
      </c>
      <c r="F5924">
        <v>0</v>
      </c>
      <c r="G5924">
        <v>0</v>
      </c>
      <c r="H5924">
        <v>10</v>
      </c>
      <c r="I5924" s="3">
        <v>1498.19</v>
      </c>
      <c r="J5924" s="3">
        <v>641.47</v>
      </c>
      <c r="L5924">
        <v>2303</v>
      </c>
      <c r="M5924" t="s">
        <v>13680</v>
      </c>
      <c r="N5924" t="s">
        <v>13681</v>
      </c>
      <c r="O5924" t="s">
        <v>1184</v>
      </c>
      <c r="P5924" t="str">
        <f>"20747"</f>
        <v>20747</v>
      </c>
    </row>
    <row r="5925" spans="1:16" x14ac:dyDescent="0.25">
      <c r="A5925" t="str">
        <f>"1120173J00150    00"</f>
        <v>1120173J00150    00</v>
      </c>
      <c r="B5925" t="s">
        <v>13682</v>
      </c>
      <c r="C5925" t="s">
        <v>12038</v>
      </c>
      <c r="D5925" t="s">
        <v>20</v>
      </c>
      <c r="E5925" t="s">
        <v>21</v>
      </c>
      <c r="F5925">
        <v>0</v>
      </c>
      <c r="G5925">
        <v>0</v>
      </c>
      <c r="H5925">
        <v>1</v>
      </c>
      <c r="I5925" s="3">
        <v>133.41999999999999</v>
      </c>
      <c r="J5925" s="3">
        <v>0</v>
      </c>
      <c r="K5925" t="s">
        <v>13683</v>
      </c>
      <c r="L5925">
        <v>1204</v>
      </c>
      <c r="M5925" t="s">
        <v>2789</v>
      </c>
      <c r="N5925" t="s">
        <v>30</v>
      </c>
      <c r="O5925" t="s">
        <v>31</v>
      </c>
      <c r="P5925" t="str">
        <f>"15206"</f>
        <v>15206</v>
      </c>
    </row>
    <row r="5926" spans="1:16" x14ac:dyDescent="0.25">
      <c r="A5926" t="str">
        <f>"1120173J00174    00"</f>
        <v>1120173J00174    00</v>
      </c>
      <c r="B5926" t="s">
        <v>13684</v>
      </c>
      <c r="C5926" t="s">
        <v>12038</v>
      </c>
      <c r="D5926" t="s">
        <v>20</v>
      </c>
      <c r="E5926" t="s">
        <v>39</v>
      </c>
      <c r="F5926">
        <v>0</v>
      </c>
      <c r="G5926">
        <v>0</v>
      </c>
      <c r="H5926">
        <v>19</v>
      </c>
      <c r="I5926" s="3">
        <v>2901.26</v>
      </c>
      <c r="J5926" s="3">
        <v>2992.43</v>
      </c>
      <c r="P5926" t="str">
        <f>""</f>
        <v/>
      </c>
    </row>
    <row r="5927" spans="1:16" x14ac:dyDescent="0.25">
      <c r="A5927" t="str">
        <f>"1120173J00182    00"</f>
        <v>1120173J00182    00</v>
      </c>
      <c r="B5927" t="s">
        <v>11858</v>
      </c>
      <c r="C5927" t="s">
        <v>13685</v>
      </c>
      <c r="D5927" t="s">
        <v>20</v>
      </c>
      <c r="E5927" t="s">
        <v>39</v>
      </c>
      <c r="F5927">
        <v>0</v>
      </c>
      <c r="G5927">
        <v>0</v>
      </c>
      <c r="H5927">
        <v>1</v>
      </c>
      <c r="I5927" s="3">
        <v>686.18</v>
      </c>
      <c r="J5927" s="3">
        <v>0</v>
      </c>
      <c r="K5927" t="s">
        <v>11860</v>
      </c>
      <c r="L5927">
        <v>46</v>
      </c>
      <c r="M5927" t="s">
        <v>913</v>
      </c>
      <c r="N5927" t="s">
        <v>914</v>
      </c>
      <c r="O5927" t="s">
        <v>200</v>
      </c>
      <c r="P5927" t="str">
        <f>"10952"</f>
        <v>10952</v>
      </c>
    </row>
    <row r="5928" spans="1:16" x14ac:dyDescent="0.25">
      <c r="A5928" t="str">
        <f>"1120173J00186    00"</f>
        <v>1120173J00186    00</v>
      </c>
      <c r="B5928" t="s">
        <v>13686</v>
      </c>
      <c r="C5928" t="s">
        <v>13687</v>
      </c>
      <c r="D5928" t="s">
        <v>20</v>
      </c>
      <c r="E5928" t="s">
        <v>39</v>
      </c>
      <c r="F5928">
        <v>0</v>
      </c>
      <c r="G5928">
        <v>0</v>
      </c>
      <c r="H5928">
        <v>14</v>
      </c>
      <c r="I5928" s="3">
        <v>6162.33</v>
      </c>
      <c r="J5928" s="3">
        <v>4040.94</v>
      </c>
      <c r="L5928">
        <v>1258</v>
      </c>
      <c r="M5928" t="s">
        <v>2789</v>
      </c>
      <c r="N5928" t="s">
        <v>30</v>
      </c>
      <c r="O5928" t="s">
        <v>31</v>
      </c>
      <c r="P5928" t="str">
        <f>"15206"</f>
        <v>15206</v>
      </c>
    </row>
    <row r="5929" spans="1:16" x14ac:dyDescent="0.25">
      <c r="A5929" t="str">
        <f>"1120173J00190    00"</f>
        <v>1120173J00190    00</v>
      </c>
      <c r="B5929" t="s">
        <v>13688</v>
      </c>
      <c r="C5929" t="s">
        <v>13689</v>
      </c>
      <c r="D5929" t="s">
        <v>20</v>
      </c>
      <c r="E5929" t="s">
        <v>39</v>
      </c>
      <c r="F5929">
        <v>0</v>
      </c>
      <c r="G5929">
        <v>0</v>
      </c>
      <c r="H5929">
        <v>11</v>
      </c>
      <c r="I5929" s="3">
        <v>5537.65</v>
      </c>
      <c r="J5929" s="3">
        <v>2861.54</v>
      </c>
      <c r="L5929">
        <v>1306</v>
      </c>
      <c r="M5929" t="s">
        <v>2789</v>
      </c>
      <c r="N5929" t="s">
        <v>30</v>
      </c>
      <c r="O5929" t="s">
        <v>31</v>
      </c>
      <c r="P5929" t="str">
        <f>"15206"</f>
        <v>15206</v>
      </c>
    </row>
    <row r="5930" spans="1:16" x14ac:dyDescent="0.25">
      <c r="A5930" t="str">
        <f>"1120173J00196    00"</f>
        <v>1120173J00196    00</v>
      </c>
      <c r="B5930" t="s">
        <v>13690</v>
      </c>
      <c r="C5930" t="s">
        <v>12038</v>
      </c>
      <c r="D5930" t="s">
        <v>20</v>
      </c>
      <c r="E5930" t="s">
        <v>39</v>
      </c>
      <c r="F5930">
        <v>0</v>
      </c>
      <c r="G5930">
        <v>0</v>
      </c>
      <c r="H5930">
        <v>2</v>
      </c>
      <c r="I5930" s="3">
        <v>152.47999999999999</v>
      </c>
      <c r="J5930" s="3">
        <v>0</v>
      </c>
      <c r="L5930">
        <v>1203</v>
      </c>
      <c r="M5930" t="s">
        <v>7165</v>
      </c>
      <c r="N5930" t="s">
        <v>321</v>
      </c>
      <c r="O5930" t="s">
        <v>31</v>
      </c>
      <c r="P5930" t="str">
        <f>"15001"</f>
        <v>15001</v>
      </c>
    </row>
    <row r="5931" spans="1:16" x14ac:dyDescent="0.25">
      <c r="A5931" t="str">
        <f>"1120173J00199    00"</f>
        <v>1120173J00199    00</v>
      </c>
      <c r="B5931" t="s">
        <v>13691</v>
      </c>
      <c r="C5931" t="s">
        <v>12038</v>
      </c>
      <c r="D5931" t="s">
        <v>20</v>
      </c>
      <c r="E5931" t="s">
        <v>39</v>
      </c>
      <c r="F5931">
        <v>0</v>
      </c>
      <c r="G5931">
        <v>0</v>
      </c>
      <c r="H5931">
        <v>19</v>
      </c>
      <c r="I5931" s="3">
        <v>1410.12</v>
      </c>
      <c r="J5931" s="3">
        <v>1214.45</v>
      </c>
      <c r="P5931" t="str">
        <f>""</f>
        <v/>
      </c>
    </row>
    <row r="5932" spans="1:16" x14ac:dyDescent="0.25">
      <c r="A5932" t="str">
        <f>"1120173J00202    00"</f>
        <v>1120173J00202    00</v>
      </c>
      <c r="B5932" t="s">
        <v>13692</v>
      </c>
      <c r="C5932" t="s">
        <v>12038</v>
      </c>
      <c r="E5932" t="s">
        <v>39</v>
      </c>
      <c r="F5932">
        <v>0</v>
      </c>
      <c r="G5932">
        <v>0</v>
      </c>
      <c r="H5932">
        <v>16</v>
      </c>
      <c r="I5932" s="3">
        <v>620.63</v>
      </c>
      <c r="J5932" s="3">
        <v>650.84</v>
      </c>
      <c r="L5932">
        <v>585</v>
      </c>
      <c r="M5932" t="s">
        <v>12494</v>
      </c>
      <c r="N5932" t="s">
        <v>30</v>
      </c>
      <c r="O5932" t="s">
        <v>31</v>
      </c>
      <c r="P5932" t="str">
        <f>"15208"</f>
        <v>15208</v>
      </c>
    </row>
    <row r="5933" spans="1:16" x14ac:dyDescent="0.25">
      <c r="A5933" t="str">
        <f>"1120173J00207    00"</f>
        <v>1120173J00207    00</v>
      </c>
      <c r="B5933" t="s">
        <v>13693</v>
      </c>
      <c r="C5933" t="s">
        <v>12038</v>
      </c>
      <c r="E5933" t="s">
        <v>39</v>
      </c>
      <c r="F5933">
        <v>0</v>
      </c>
      <c r="G5933">
        <v>0</v>
      </c>
      <c r="H5933">
        <v>16</v>
      </c>
      <c r="I5933" s="3">
        <v>1051.8800000000001</v>
      </c>
      <c r="J5933" s="3">
        <v>1004.37</v>
      </c>
      <c r="L5933">
        <v>585</v>
      </c>
      <c r="M5933" t="s">
        <v>12494</v>
      </c>
      <c r="N5933" t="s">
        <v>30</v>
      </c>
      <c r="O5933" t="s">
        <v>31</v>
      </c>
      <c r="P5933" t="str">
        <f>"15208"</f>
        <v>15208</v>
      </c>
    </row>
    <row r="5934" spans="1:16" x14ac:dyDescent="0.25">
      <c r="A5934" t="str">
        <f>"1120173J00208    00"</f>
        <v>1120173J00208    00</v>
      </c>
      <c r="B5934" t="s">
        <v>13692</v>
      </c>
      <c r="C5934" t="s">
        <v>12038</v>
      </c>
      <c r="D5934" t="s">
        <v>20</v>
      </c>
      <c r="E5934" t="s">
        <v>39</v>
      </c>
      <c r="F5934">
        <v>0</v>
      </c>
      <c r="G5934">
        <v>0</v>
      </c>
      <c r="H5934">
        <v>19</v>
      </c>
      <c r="I5934" s="3">
        <v>458.11</v>
      </c>
      <c r="J5934" s="3">
        <v>399.61</v>
      </c>
      <c r="L5934">
        <v>585</v>
      </c>
      <c r="M5934" t="s">
        <v>12494</v>
      </c>
      <c r="N5934" t="s">
        <v>30</v>
      </c>
      <c r="O5934" t="s">
        <v>31</v>
      </c>
      <c r="P5934" t="str">
        <f>"15208"</f>
        <v>15208</v>
      </c>
    </row>
    <row r="5935" spans="1:16" x14ac:dyDescent="0.25">
      <c r="A5935" t="str">
        <f>"1120173J00212    00"</f>
        <v>1120173J00212    00</v>
      </c>
      <c r="B5935" t="s">
        <v>13694</v>
      </c>
      <c r="C5935" t="s">
        <v>12038</v>
      </c>
      <c r="D5935" t="s">
        <v>20</v>
      </c>
      <c r="E5935" t="s">
        <v>39</v>
      </c>
      <c r="F5935">
        <v>0</v>
      </c>
      <c r="G5935">
        <v>0</v>
      </c>
      <c r="H5935">
        <v>19</v>
      </c>
      <c r="I5935" s="3">
        <v>8711.33</v>
      </c>
      <c r="J5935" s="3">
        <v>11801.86</v>
      </c>
      <c r="K5935" t="s">
        <v>13695</v>
      </c>
      <c r="L5935">
        <v>10918</v>
      </c>
      <c r="M5935" t="s">
        <v>13696</v>
      </c>
      <c r="N5935" t="s">
        <v>30</v>
      </c>
      <c r="O5935" t="s">
        <v>31</v>
      </c>
      <c r="P5935" t="str">
        <f>"15235"</f>
        <v>15235</v>
      </c>
    </row>
    <row r="5936" spans="1:16" x14ac:dyDescent="0.25">
      <c r="A5936" t="str">
        <f>"1120173J00214    00"</f>
        <v>1120173J00214    00</v>
      </c>
      <c r="B5936" t="s">
        <v>11232</v>
      </c>
      <c r="C5936" t="s">
        <v>12038</v>
      </c>
      <c r="D5936" t="s">
        <v>20</v>
      </c>
      <c r="E5936" t="s">
        <v>39</v>
      </c>
      <c r="F5936">
        <v>0</v>
      </c>
      <c r="G5936">
        <v>0</v>
      </c>
      <c r="H5936">
        <v>18</v>
      </c>
      <c r="I5936" s="3">
        <v>6244.84</v>
      </c>
      <c r="J5936" s="3">
        <v>8488.36</v>
      </c>
      <c r="M5936" t="s">
        <v>2690</v>
      </c>
      <c r="N5936" t="s">
        <v>30</v>
      </c>
      <c r="O5936" t="s">
        <v>31</v>
      </c>
      <c r="P5936" t="str">
        <f>"15206"</f>
        <v>15206</v>
      </c>
    </row>
    <row r="5937" spans="1:16" x14ac:dyDescent="0.25">
      <c r="A5937" t="str">
        <f>"1120173J00223    00"</f>
        <v>1120173J00223    00</v>
      </c>
      <c r="B5937" t="s">
        <v>11858</v>
      </c>
      <c r="C5937" t="s">
        <v>13697</v>
      </c>
      <c r="D5937" t="s">
        <v>20</v>
      </c>
      <c r="E5937" t="s">
        <v>21</v>
      </c>
      <c r="F5937">
        <v>0</v>
      </c>
      <c r="G5937">
        <v>0</v>
      </c>
      <c r="H5937">
        <v>1</v>
      </c>
      <c r="I5937" s="3">
        <v>857.7</v>
      </c>
      <c r="J5937" s="3">
        <v>0</v>
      </c>
      <c r="K5937" t="s">
        <v>11860</v>
      </c>
      <c r="L5937">
        <v>46</v>
      </c>
      <c r="M5937" t="s">
        <v>913</v>
      </c>
      <c r="N5937" t="s">
        <v>914</v>
      </c>
      <c r="O5937" t="s">
        <v>200</v>
      </c>
      <c r="P5937" t="str">
        <f>"10952"</f>
        <v>10952</v>
      </c>
    </row>
    <row r="5938" spans="1:16" x14ac:dyDescent="0.25">
      <c r="A5938" t="str">
        <f>"1120173J00225    00"</f>
        <v>1120173J00225    00</v>
      </c>
      <c r="B5938" t="s">
        <v>13698</v>
      </c>
      <c r="C5938" t="s">
        <v>13315</v>
      </c>
      <c r="D5938" t="s">
        <v>20</v>
      </c>
      <c r="E5938" t="s">
        <v>39</v>
      </c>
      <c r="F5938">
        <v>0</v>
      </c>
      <c r="G5938">
        <v>0</v>
      </c>
      <c r="H5938">
        <v>17</v>
      </c>
      <c r="I5938" s="3">
        <v>295.19</v>
      </c>
      <c r="J5938" s="3">
        <v>359.68</v>
      </c>
      <c r="L5938">
        <v>93</v>
      </c>
      <c r="M5938" t="s">
        <v>13699</v>
      </c>
      <c r="N5938" t="s">
        <v>30</v>
      </c>
      <c r="O5938" t="s">
        <v>31</v>
      </c>
      <c r="P5938" t="str">
        <f>"15235"</f>
        <v>15235</v>
      </c>
    </row>
    <row r="5939" spans="1:16" x14ac:dyDescent="0.25">
      <c r="A5939" t="str">
        <f>"1120173J00226    00"</f>
        <v>1120173J00226    00</v>
      </c>
      <c r="B5939" t="s">
        <v>13700</v>
      </c>
      <c r="C5939" t="s">
        <v>13701</v>
      </c>
      <c r="D5939" t="s">
        <v>20</v>
      </c>
      <c r="E5939" t="s">
        <v>39</v>
      </c>
      <c r="F5939">
        <v>0</v>
      </c>
      <c r="G5939">
        <v>0</v>
      </c>
      <c r="H5939">
        <v>19</v>
      </c>
      <c r="I5939" s="3">
        <v>10903.88</v>
      </c>
      <c r="J5939" s="3">
        <v>11456.15</v>
      </c>
      <c r="L5939">
        <v>1329</v>
      </c>
      <c r="M5939" t="s">
        <v>9507</v>
      </c>
      <c r="N5939" t="s">
        <v>30</v>
      </c>
      <c r="O5939" t="s">
        <v>31</v>
      </c>
      <c r="P5939" t="str">
        <f>"15206"</f>
        <v>15206</v>
      </c>
    </row>
    <row r="5940" spans="1:16" x14ac:dyDescent="0.25">
      <c r="A5940" t="str">
        <f>"1120173J00229    00"</f>
        <v>1120173J00229    00</v>
      </c>
      <c r="B5940" t="s">
        <v>13702</v>
      </c>
      <c r="C5940" t="s">
        <v>13703</v>
      </c>
      <c r="D5940" t="s">
        <v>20</v>
      </c>
      <c r="E5940" t="s">
        <v>39</v>
      </c>
      <c r="F5940">
        <v>0</v>
      </c>
      <c r="G5940">
        <v>0</v>
      </c>
      <c r="H5940">
        <v>19</v>
      </c>
      <c r="I5940" s="3">
        <v>10815.55</v>
      </c>
      <c r="J5940" s="3">
        <v>12302.84</v>
      </c>
      <c r="L5940">
        <v>1323</v>
      </c>
      <c r="M5940" t="s">
        <v>9507</v>
      </c>
      <c r="N5940" t="s">
        <v>30</v>
      </c>
      <c r="O5940" t="s">
        <v>31</v>
      </c>
      <c r="P5940" t="str">
        <f>"15206"</f>
        <v>15206</v>
      </c>
    </row>
    <row r="5941" spans="1:16" x14ac:dyDescent="0.25">
      <c r="A5941" t="str">
        <f>"1120173J00236    00"</f>
        <v>1120173J00236    00</v>
      </c>
      <c r="B5941" t="s">
        <v>13704</v>
      </c>
      <c r="C5941" t="s">
        <v>13705</v>
      </c>
      <c r="D5941" t="s">
        <v>20</v>
      </c>
      <c r="E5941" t="s">
        <v>39</v>
      </c>
      <c r="F5941">
        <v>0</v>
      </c>
      <c r="G5941">
        <v>0</v>
      </c>
      <c r="H5941">
        <v>18</v>
      </c>
      <c r="I5941" s="3">
        <v>6142.9</v>
      </c>
      <c r="J5941" s="3">
        <v>6277.44</v>
      </c>
      <c r="L5941">
        <v>1307</v>
      </c>
      <c r="M5941" t="s">
        <v>9507</v>
      </c>
      <c r="N5941" t="s">
        <v>30</v>
      </c>
      <c r="O5941" t="s">
        <v>31</v>
      </c>
      <c r="P5941" t="str">
        <f>"15206"</f>
        <v>15206</v>
      </c>
    </row>
    <row r="5942" spans="1:16" x14ac:dyDescent="0.25">
      <c r="A5942" t="str">
        <f>"1120173J00244    00"</f>
        <v>1120173J00244    00</v>
      </c>
      <c r="B5942" t="s">
        <v>13706</v>
      </c>
      <c r="C5942" t="s">
        <v>13315</v>
      </c>
      <c r="D5942" t="s">
        <v>20</v>
      </c>
      <c r="E5942" t="s">
        <v>39</v>
      </c>
      <c r="F5942">
        <v>0</v>
      </c>
      <c r="G5942">
        <v>0</v>
      </c>
      <c r="H5942">
        <v>19</v>
      </c>
      <c r="I5942" s="3">
        <v>949.17</v>
      </c>
      <c r="J5942" s="3">
        <v>726.77</v>
      </c>
      <c r="K5942" t="s">
        <v>1008</v>
      </c>
      <c r="P5942" t="str">
        <f>""</f>
        <v/>
      </c>
    </row>
    <row r="5943" spans="1:16" x14ac:dyDescent="0.25">
      <c r="A5943" t="str">
        <f>"1120173J00252    00"</f>
        <v>1120173J00252    00</v>
      </c>
      <c r="B5943" t="s">
        <v>13707</v>
      </c>
      <c r="C5943" t="s">
        <v>13708</v>
      </c>
      <c r="E5943" t="s">
        <v>39</v>
      </c>
      <c r="F5943">
        <v>0</v>
      </c>
      <c r="G5943">
        <v>0</v>
      </c>
      <c r="H5943">
        <v>16</v>
      </c>
      <c r="I5943" s="3">
        <v>15804.51</v>
      </c>
      <c r="J5943" s="3">
        <v>18843.82</v>
      </c>
      <c r="L5943">
        <v>1241</v>
      </c>
      <c r="M5943" t="s">
        <v>9507</v>
      </c>
      <c r="N5943" t="s">
        <v>30</v>
      </c>
      <c r="O5943" t="s">
        <v>31</v>
      </c>
      <c r="P5943" t="str">
        <f>"15206"</f>
        <v>15206</v>
      </c>
    </row>
    <row r="5944" spans="1:16" x14ac:dyDescent="0.25">
      <c r="A5944" t="str">
        <f>"1120173J00255    00"</f>
        <v>1120173J00255    00</v>
      </c>
      <c r="B5944" t="s">
        <v>13709</v>
      </c>
      <c r="C5944" t="s">
        <v>13710</v>
      </c>
      <c r="D5944" t="s">
        <v>20</v>
      </c>
      <c r="E5944" t="s">
        <v>39</v>
      </c>
      <c r="F5944">
        <v>0</v>
      </c>
      <c r="G5944">
        <v>0</v>
      </c>
      <c r="H5944">
        <v>17</v>
      </c>
      <c r="I5944" s="3">
        <v>9686.07</v>
      </c>
      <c r="J5944" s="3">
        <v>8173.3</v>
      </c>
      <c r="M5944" t="s">
        <v>13711</v>
      </c>
      <c r="N5944" t="s">
        <v>30</v>
      </c>
      <c r="O5944" t="s">
        <v>31</v>
      </c>
      <c r="P5944" t="str">
        <f>"15235"</f>
        <v>15235</v>
      </c>
    </row>
    <row r="5945" spans="1:16" x14ac:dyDescent="0.25">
      <c r="A5945" t="str">
        <f>"1120173J00260    00"</f>
        <v>1120173J00260    00</v>
      </c>
      <c r="B5945" t="s">
        <v>13712</v>
      </c>
      <c r="C5945" t="s">
        <v>13315</v>
      </c>
      <c r="D5945" t="s">
        <v>20</v>
      </c>
      <c r="E5945" t="s">
        <v>39</v>
      </c>
      <c r="F5945">
        <v>0</v>
      </c>
      <c r="G5945">
        <v>0</v>
      </c>
      <c r="H5945">
        <v>18</v>
      </c>
      <c r="I5945" s="3">
        <v>994.28</v>
      </c>
      <c r="J5945" s="3">
        <v>817.5</v>
      </c>
      <c r="L5945">
        <v>707</v>
      </c>
      <c r="M5945" t="s">
        <v>13713</v>
      </c>
      <c r="N5945" t="s">
        <v>30</v>
      </c>
      <c r="O5945" t="s">
        <v>31</v>
      </c>
      <c r="P5945" t="str">
        <f>"15219"</f>
        <v>15219</v>
      </c>
    </row>
    <row r="5946" spans="1:16" x14ac:dyDescent="0.25">
      <c r="A5946" t="str">
        <f>"1120173J00261    00"</f>
        <v>1120173J00261    00</v>
      </c>
      <c r="B5946" t="s">
        <v>13714</v>
      </c>
      <c r="C5946" t="s">
        <v>13315</v>
      </c>
      <c r="D5946" t="s">
        <v>20</v>
      </c>
      <c r="E5946" t="s">
        <v>39</v>
      </c>
      <c r="F5946">
        <v>0</v>
      </c>
      <c r="G5946">
        <v>0</v>
      </c>
      <c r="H5946">
        <v>19</v>
      </c>
      <c r="I5946" s="3">
        <v>326.81</v>
      </c>
      <c r="J5946" s="3">
        <v>334.07</v>
      </c>
      <c r="L5946">
        <v>707</v>
      </c>
      <c r="M5946" t="s">
        <v>13713</v>
      </c>
      <c r="N5946" t="s">
        <v>30</v>
      </c>
      <c r="O5946" t="s">
        <v>31</v>
      </c>
      <c r="P5946" t="str">
        <f>"15219"</f>
        <v>15219</v>
      </c>
    </row>
    <row r="5947" spans="1:16" x14ac:dyDescent="0.25">
      <c r="A5947" t="str">
        <f>"1120173J00262000100"</f>
        <v>1120173J00262000100</v>
      </c>
      <c r="B5947" t="s">
        <v>13715</v>
      </c>
      <c r="C5947" t="s">
        <v>13315</v>
      </c>
      <c r="D5947" t="s">
        <v>20</v>
      </c>
      <c r="E5947" t="s">
        <v>39</v>
      </c>
      <c r="F5947">
        <v>0</v>
      </c>
      <c r="G5947">
        <v>0</v>
      </c>
      <c r="H5947">
        <v>17</v>
      </c>
      <c r="I5947" s="3">
        <v>209.2</v>
      </c>
      <c r="J5947" s="3">
        <v>268.61</v>
      </c>
      <c r="L5947">
        <v>4607</v>
      </c>
      <c r="M5947" t="s">
        <v>13716</v>
      </c>
      <c r="N5947" t="s">
        <v>4783</v>
      </c>
      <c r="O5947" t="s">
        <v>4784</v>
      </c>
      <c r="P5947" t="str">
        <f>"63108"</f>
        <v>63108</v>
      </c>
    </row>
    <row r="5948" spans="1:16" x14ac:dyDescent="0.25">
      <c r="A5948" t="str">
        <f>"1120173J00273    00"</f>
        <v>1120173J00273    00</v>
      </c>
      <c r="B5948" t="s">
        <v>13717</v>
      </c>
      <c r="C5948" t="s">
        <v>13718</v>
      </c>
      <c r="E5948" t="s">
        <v>39</v>
      </c>
      <c r="F5948">
        <v>0</v>
      </c>
      <c r="G5948">
        <v>0</v>
      </c>
      <c r="H5948">
        <v>3</v>
      </c>
      <c r="I5948" s="3">
        <v>1173.3800000000001</v>
      </c>
      <c r="J5948" s="3">
        <v>1168.48</v>
      </c>
      <c r="L5948">
        <v>1240</v>
      </c>
      <c r="M5948" t="s">
        <v>9507</v>
      </c>
      <c r="N5948" t="s">
        <v>30</v>
      </c>
      <c r="O5948" t="s">
        <v>31</v>
      </c>
      <c r="P5948" t="str">
        <f>"15206"</f>
        <v>15206</v>
      </c>
    </row>
    <row r="5949" spans="1:16" x14ac:dyDescent="0.25">
      <c r="A5949" t="str">
        <f>"1120173J00310    00"</f>
        <v>1120173J00310    00</v>
      </c>
      <c r="B5949" t="s">
        <v>13719</v>
      </c>
      <c r="C5949" t="s">
        <v>13720</v>
      </c>
      <c r="D5949" t="s">
        <v>20</v>
      </c>
      <c r="E5949" t="s">
        <v>39</v>
      </c>
      <c r="F5949">
        <v>0</v>
      </c>
      <c r="G5949">
        <v>0</v>
      </c>
      <c r="H5949">
        <v>13</v>
      </c>
      <c r="I5949" s="3">
        <v>2593.83</v>
      </c>
      <c r="J5949" s="3">
        <v>1576.65</v>
      </c>
      <c r="L5949">
        <v>327</v>
      </c>
      <c r="M5949" t="s">
        <v>13721</v>
      </c>
      <c r="N5949" t="s">
        <v>30</v>
      </c>
      <c r="O5949" t="s">
        <v>31</v>
      </c>
      <c r="P5949" t="str">
        <f>"15206"</f>
        <v>15206</v>
      </c>
    </row>
    <row r="5950" spans="1:16" x14ac:dyDescent="0.25">
      <c r="A5950" t="str">
        <f>"1120173J00316    00"</f>
        <v>1120173J00316    00</v>
      </c>
      <c r="B5950" t="s">
        <v>13719</v>
      </c>
      <c r="C5950" t="s">
        <v>13722</v>
      </c>
      <c r="D5950" t="s">
        <v>20</v>
      </c>
      <c r="E5950" t="s">
        <v>39</v>
      </c>
      <c r="F5950">
        <v>0</v>
      </c>
      <c r="G5950">
        <v>0</v>
      </c>
      <c r="H5950">
        <v>17</v>
      </c>
      <c r="I5950" s="3">
        <v>6388.87</v>
      </c>
      <c r="J5950" s="3">
        <v>6806.68</v>
      </c>
      <c r="L5950">
        <v>327</v>
      </c>
      <c r="M5950" t="s">
        <v>13721</v>
      </c>
      <c r="N5950" t="s">
        <v>30</v>
      </c>
      <c r="O5950" t="s">
        <v>31</v>
      </c>
      <c r="P5950" t="str">
        <f>"15206"</f>
        <v>15206</v>
      </c>
    </row>
    <row r="5951" spans="1:16" x14ac:dyDescent="0.25">
      <c r="A5951" t="str">
        <f>"1120173J00332    00"</f>
        <v>1120173J00332    00</v>
      </c>
      <c r="B5951" t="s">
        <v>13723</v>
      </c>
      <c r="C5951" t="s">
        <v>13315</v>
      </c>
      <c r="D5951" t="s">
        <v>20</v>
      </c>
      <c r="E5951" t="s">
        <v>39</v>
      </c>
      <c r="F5951">
        <v>0</v>
      </c>
      <c r="G5951">
        <v>0</v>
      </c>
      <c r="H5951">
        <v>19</v>
      </c>
      <c r="I5951" s="3">
        <v>1412.75</v>
      </c>
      <c r="J5951" s="3">
        <v>1174.22</v>
      </c>
      <c r="K5951" t="s">
        <v>1008</v>
      </c>
      <c r="P5951" t="str">
        <f>""</f>
        <v/>
      </c>
    </row>
    <row r="5952" spans="1:16" x14ac:dyDescent="0.25">
      <c r="A5952" t="str">
        <f>"1120173J00354    00"</f>
        <v>1120173J00354    00</v>
      </c>
      <c r="B5952" t="s">
        <v>13724</v>
      </c>
      <c r="C5952" t="s">
        <v>13315</v>
      </c>
      <c r="D5952" t="s">
        <v>20</v>
      </c>
      <c r="E5952" t="s">
        <v>39</v>
      </c>
      <c r="F5952">
        <v>0</v>
      </c>
      <c r="G5952">
        <v>0</v>
      </c>
      <c r="H5952">
        <v>17</v>
      </c>
      <c r="I5952" s="3">
        <v>327.54000000000002</v>
      </c>
      <c r="J5952" s="3">
        <v>379.36</v>
      </c>
      <c r="L5952">
        <v>506</v>
      </c>
      <c r="M5952" t="s">
        <v>3126</v>
      </c>
      <c r="N5952" t="s">
        <v>30</v>
      </c>
      <c r="O5952" t="s">
        <v>31</v>
      </c>
      <c r="P5952" t="str">
        <f>"15219"</f>
        <v>15219</v>
      </c>
    </row>
    <row r="5953" spans="1:16" x14ac:dyDescent="0.25">
      <c r="A5953" t="str">
        <f>"1120173J00354000100"</f>
        <v>1120173J00354000100</v>
      </c>
      <c r="B5953" t="s">
        <v>13725</v>
      </c>
      <c r="C5953" t="s">
        <v>13315</v>
      </c>
      <c r="D5953" t="s">
        <v>20</v>
      </c>
      <c r="E5953" t="s">
        <v>39</v>
      </c>
      <c r="F5953">
        <v>0</v>
      </c>
      <c r="G5953">
        <v>0</v>
      </c>
      <c r="H5953">
        <v>17</v>
      </c>
      <c r="I5953" s="3">
        <v>314.97000000000003</v>
      </c>
      <c r="J5953" s="3">
        <v>373.36</v>
      </c>
      <c r="K5953" t="s">
        <v>1008</v>
      </c>
      <c r="P5953" t="str">
        <f>""</f>
        <v/>
      </c>
    </row>
    <row r="5954" spans="1:16" x14ac:dyDescent="0.25">
      <c r="A5954" t="str">
        <f>"1120173J00354000200"</f>
        <v>1120173J00354000200</v>
      </c>
      <c r="B5954" t="s">
        <v>13726</v>
      </c>
      <c r="C5954" t="s">
        <v>13727</v>
      </c>
      <c r="D5954" t="s">
        <v>20</v>
      </c>
      <c r="E5954" t="s">
        <v>39</v>
      </c>
      <c r="F5954">
        <v>0</v>
      </c>
      <c r="G5954">
        <v>0</v>
      </c>
      <c r="H5954">
        <v>6</v>
      </c>
      <c r="I5954" s="3">
        <v>1761</v>
      </c>
      <c r="J5954" s="3">
        <v>1.76</v>
      </c>
      <c r="L5954">
        <v>1239</v>
      </c>
      <c r="M5954" t="s">
        <v>13728</v>
      </c>
      <c r="N5954" t="s">
        <v>30</v>
      </c>
      <c r="O5954" t="s">
        <v>31</v>
      </c>
      <c r="P5954" t="str">
        <f>"15212"</f>
        <v>15212</v>
      </c>
    </row>
    <row r="5955" spans="1:16" x14ac:dyDescent="0.25">
      <c r="A5955" t="str">
        <f>"1120173J00358    00"</f>
        <v>1120173J00358    00</v>
      </c>
      <c r="B5955" t="s">
        <v>13729</v>
      </c>
      <c r="C5955" t="s">
        <v>13730</v>
      </c>
      <c r="D5955" t="s">
        <v>20</v>
      </c>
      <c r="E5955" t="s">
        <v>39</v>
      </c>
      <c r="F5955">
        <v>0</v>
      </c>
      <c r="G5955">
        <v>0</v>
      </c>
      <c r="H5955">
        <v>2</v>
      </c>
      <c r="I5955" s="3">
        <v>1078.79</v>
      </c>
      <c r="J5955" s="3">
        <v>0</v>
      </c>
      <c r="L5955">
        <v>1326</v>
      </c>
      <c r="M5955" t="s">
        <v>9507</v>
      </c>
      <c r="N5955" t="s">
        <v>30</v>
      </c>
      <c r="O5955" t="s">
        <v>31</v>
      </c>
      <c r="P5955" t="str">
        <f>"15206"</f>
        <v>15206</v>
      </c>
    </row>
    <row r="5956" spans="1:16" x14ac:dyDescent="0.25">
      <c r="A5956" t="str">
        <f>"1120173J00360    00"</f>
        <v>1120173J00360    00</v>
      </c>
      <c r="B5956" t="s">
        <v>13731</v>
      </c>
      <c r="C5956" t="s">
        <v>13315</v>
      </c>
      <c r="D5956" t="s">
        <v>20</v>
      </c>
      <c r="E5956" t="s">
        <v>39</v>
      </c>
      <c r="F5956">
        <v>0</v>
      </c>
      <c r="G5956">
        <v>0</v>
      </c>
      <c r="H5956">
        <v>19</v>
      </c>
      <c r="I5956" s="3">
        <v>378.35</v>
      </c>
      <c r="J5956" s="3">
        <v>424.97</v>
      </c>
      <c r="K5956" t="s">
        <v>13732</v>
      </c>
      <c r="L5956">
        <v>5601</v>
      </c>
      <c r="M5956" t="s">
        <v>13733</v>
      </c>
      <c r="N5956" t="s">
        <v>30</v>
      </c>
      <c r="O5956" t="s">
        <v>31</v>
      </c>
      <c r="P5956" t="str">
        <f>"15206"</f>
        <v>15206</v>
      </c>
    </row>
    <row r="5957" spans="1:16" x14ac:dyDescent="0.25">
      <c r="A5957" t="str">
        <f>"1120173J00362    00"</f>
        <v>1120173J00362    00</v>
      </c>
      <c r="B5957" t="s">
        <v>1300</v>
      </c>
      <c r="C5957" t="s">
        <v>13734</v>
      </c>
      <c r="D5957" t="s">
        <v>20</v>
      </c>
      <c r="E5957" t="s">
        <v>39</v>
      </c>
      <c r="F5957">
        <v>0</v>
      </c>
      <c r="G5957">
        <v>0</v>
      </c>
      <c r="H5957">
        <v>3</v>
      </c>
      <c r="I5957" s="3">
        <v>807.89</v>
      </c>
      <c r="J5957" s="3">
        <v>3.75</v>
      </c>
      <c r="L5957">
        <v>2415</v>
      </c>
      <c r="M5957" t="s">
        <v>1302</v>
      </c>
      <c r="N5957" t="s">
        <v>30</v>
      </c>
      <c r="O5957" t="s">
        <v>31</v>
      </c>
      <c r="P5957" t="str">
        <f>"15213"</f>
        <v>15213</v>
      </c>
    </row>
    <row r="5958" spans="1:16" x14ac:dyDescent="0.25">
      <c r="A5958" t="str">
        <f>"1120173J00363    00"</f>
        <v>1120173J00363    00</v>
      </c>
      <c r="B5958" t="s">
        <v>13735</v>
      </c>
      <c r="C5958" t="s">
        <v>13736</v>
      </c>
      <c r="D5958" t="s">
        <v>20</v>
      </c>
      <c r="E5958" t="s">
        <v>39</v>
      </c>
      <c r="F5958">
        <v>0</v>
      </c>
      <c r="G5958">
        <v>0</v>
      </c>
      <c r="H5958">
        <v>3</v>
      </c>
      <c r="I5958" s="3">
        <v>1731.76</v>
      </c>
      <c r="J5958" s="3">
        <v>140.66</v>
      </c>
      <c r="L5958">
        <v>7111</v>
      </c>
      <c r="M5958" t="s">
        <v>13737</v>
      </c>
      <c r="N5958" t="s">
        <v>30</v>
      </c>
      <c r="O5958" t="s">
        <v>31</v>
      </c>
      <c r="P5958" t="str">
        <f>"15206"</f>
        <v>15206</v>
      </c>
    </row>
    <row r="5959" spans="1:16" x14ac:dyDescent="0.25">
      <c r="A5959" t="str">
        <f>"1120173J00374    00"</f>
        <v>1120173J00374    00</v>
      </c>
      <c r="B5959" t="s">
        <v>13738</v>
      </c>
      <c r="C5959" t="s">
        <v>13739</v>
      </c>
      <c r="D5959" t="s">
        <v>20</v>
      </c>
      <c r="E5959" t="s">
        <v>39</v>
      </c>
      <c r="F5959">
        <v>0</v>
      </c>
      <c r="G5959">
        <v>0</v>
      </c>
      <c r="H5959">
        <v>1</v>
      </c>
      <c r="I5959" s="3">
        <v>80.05</v>
      </c>
      <c r="J5959" s="3">
        <v>0</v>
      </c>
      <c r="L5959">
        <v>7143</v>
      </c>
      <c r="M5959" t="s">
        <v>13740</v>
      </c>
      <c r="N5959" t="s">
        <v>30</v>
      </c>
      <c r="O5959" t="s">
        <v>31</v>
      </c>
      <c r="P5959" t="str">
        <f>"15206"</f>
        <v>15206</v>
      </c>
    </row>
    <row r="5960" spans="1:16" x14ac:dyDescent="0.25">
      <c r="A5960" t="str">
        <f>"1120173J00376    00"</f>
        <v>1120173J00376    00</v>
      </c>
      <c r="B5960" t="s">
        <v>13741</v>
      </c>
      <c r="C5960" t="s">
        <v>13742</v>
      </c>
      <c r="E5960" t="s">
        <v>39</v>
      </c>
      <c r="F5960">
        <v>0</v>
      </c>
      <c r="G5960">
        <v>0</v>
      </c>
      <c r="H5960">
        <v>3</v>
      </c>
      <c r="I5960" s="3">
        <v>352.48</v>
      </c>
      <c r="J5960" s="3">
        <v>7.43</v>
      </c>
      <c r="K5960" t="s">
        <v>13743</v>
      </c>
      <c r="M5960" t="s">
        <v>13744</v>
      </c>
      <c r="N5960" t="s">
        <v>30</v>
      </c>
      <c r="O5960" t="s">
        <v>31</v>
      </c>
      <c r="P5960" t="str">
        <f>"15217"</f>
        <v>15217</v>
      </c>
    </row>
    <row r="5961" spans="1:16" x14ac:dyDescent="0.25">
      <c r="A5961" t="str">
        <f>"1120173J00376000100"</f>
        <v>1120173J00376000100</v>
      </c>
      <c r="B5961" t="s">
        <v>13741</v>
      </c>
      <c r="C5961" t="s">
        <v>13745</v>
      </c>
      <c r="E5961" t="s">
        <v>39</v>
      </c>
      <c r="F5961">
        <v>0</v>
      </c>
      <c r="G5961">
        <v>0</v>
      </c>
      <c r="H5961">
        <v>1</v>
      </c>
      <c r="I5961" s="3">
        <v>167.08</v>
      </c>
      <c r="J5961" s="3">
        <v>0</v>
      </c>
      <c r="K5961" t="s">
        <v>13746</v>
      </c>
      <c r="L5961">
        <v>200</v>
      </c>
      <c r="M5961" t="s">
        <v>13747</v>
      </c>
      <c r="N5961" t="s">
        <v>13748</v>
      </c>
      <c r="O5961" t="s">
        <v>31</v>
      </c>
      <c r="P5961" t="str">
        <f>"19096"</f>
        <v>19096</v>
      </c>
    </row>
    <row r="5962" spans="1:16" x14ac:dyDescent="0.25">
      <c r="A5962" t="str">
        <f>"1120173J00378    00"</f>
        <v>1120173J00378    00</v>
      </c>
      <c r="B5962" t="s">
        <v>13749</v>
      </c>
      <c r="C5962" t="s">
        <v>13739</v>
      </c>
      <c r="D5962" t="s">
        <v>20</v>
      </c>
      <c r="E5962" t="s">
        <v>39</v>
      </c>
      <c r="F5962">
        <v>0</v>
      </c>
      <c r="G5962">
        <v>0</v>
      </c>
      <c r="H5962">
        <v>15</v>
      </c>
      <c r="I5962" s="3">
        <v>922.18</v>
      </c>
      <c r="J5962" s="3">
        <v>1247.74</v>
      </c>
      <c r="L5962">
        <v>7129</v>
      </c>
      <c r="M5962" t="s">
        <v>13740</v>
      </c>
      <c r="N5962" t="s">
        <v>30</v>
      </c>
      <c r="O5962" t="s">
        <v>31</v>
      </c>
      <c r="P5962" t="str">
        <f>"15206"</f>
        <v>15206</v>
      </c>
    </row>
    <row r="5963" spans="1:16" x14ac:dyDescent="0.25">
      <c r="A5963" t="str">
        <f>"1120173K00004    00"</f>
        <v>1120173K00004    00</v>
      </c>
      <c r="B5963" t="s">
        <v>13750</v>
      </c>
      <c r="C5963" t="s">
        <v>11125</v>
      </c>
      <c r="D5963" t="s">
        <v>20</v>
      </c>
      <c r="E5963" t="s">
        <v>39</v>
      </c>
      <c r="F5963">
        <v>0</v>
      </c>
      <c r="G5963">
        <v>0</v>
      </c>
      <c r="H5963">
        <v>18</v>
      </c>
      <c r="I5963" s="3">
        <v>3558.56</v>
      </c>
      <c r="J5963" s="3">
        <v>4557.49</v>
      </c>
      <c r="L5963">
        <v>7258</v>
      </c>
      <c r="M5963" t="s">
        <v>13751</v>
      </c>
      <c r="N5963" t="s">
        <v>30</v>
      </c>
      <c r="O5963" t="s">
        <v>31</v>
      </c>
      <c r="P5963" t="str">
        <f>"15235"</f>
        <v>15235</v>
      </c>
    </row>
    <row r="5964" spans="1:16" x14ac:dyDescent="0.25">
      <c r="A5964" t="str">
        <f>"1120173K00016    00"</f>
        <v>1120173K00016    00</v>
      </c>
      <c r="B5964" t="s">
        <v>13752</v>
      </c>
      <c r="C5964" t="s">
        <v>13753</v>
      </c>
      <c r="D5964" t="s">
        <v>20</v>
      </c>
      <c r="E5964" t="s">
        <v>39</v>
      </c>
      <c r="F5964">
        <v>0</v>
      </c>
      <c r="G5964">
        <v>0</v>
      </c>
      <c r="H5964">
        <v>1</v>
      </c>
      <c r="I5964" s="3">
        <v>75.77</v>
      </c>
      <c r="J5964" s="3">
        <v>0</v>
      </c>
      <c r="L5964">
        <v>1208</v>
      </c>
      <c r="M5964" t="s">
        <v>12968</v>
      </c>
      <c r="N5964" t="s">
        <v>30</v>
      </c>
      <c r="O5964" t="s">
        <v>31</v>
      </c>
      <c r="P5964" t="str">
        <f>"15206"</f>
        <v>15206</v>
      </c>
    </row>
    <row r="5965" spans="1:16" x14ac:dyDescent="0.25">
      <c r="A5965" t="str">
        <f>"1120173K00023    00"</f>
        <v>1120173K00023    00</v>
      </c>
      <c r="B5965" t="s">
        <v>13754</v>
      </c>
      <c r="C5965" t="s">
        <v>13755</v>
      </c>
      <c r="D5965" t="s">
        <v>20</v>
      </c>
      <c r="E5965" t="s">
        <v>39</v>
      </c>
      <c r="F5965">
        <v>0</v>
      </c>
      <c r="G5965">
        <v>0</v>
      </c>
      <c r="H5965">
        <v>18</v>
      </c>
      <c r="I5965" s="3">
        <v>7593.27</v>
      </c>
      <c r="J5965" s="3">
        <v>8555.3799999999992</v>
      </c>
      <c r="L5965">
        <v>7205</v>
      </c>
      <c r="M5965" t="s">
        <v>2507</v>
      </c>
      <c r="N5965" t="s">
        <v>30</v>
      </c>
      <c r="O5965" t="s">
        <v>31</v>
      </c>
      <c r="P5965" t="str">
        <f>"15206"</f>
        <v>15206</v>
      </c>
    </row>
    <row r="5966" spans="1:16" x14ac:dyDescent="0.25">
      <c r="A5966" t="str">
        <f>"1120173K00027    00"</f>
        <v>1120173K00027    00</v>
      </c>
      <c r="B5966" t="s">
        <v>13756</v>
      </c>
      <c r="C5966" t="s">
        <v>13757</v>
      </c>
      <c r="E5966" t="s">
        <v>39</v>
      </c>
      <c r="F5966">
        <v>0</v>
      </c>
      <c r="G5966">
        <v>0</v>
      </c>
      <c r="H5966">
        <v>3</v>
      </c>
      <c r="I5966" s="3">
        <v>729.08</v>
      </c>
      <c r="J5966" s="3">
        <v>109.37</v>
      </c>
      <c r="K5966" t="s">
        <v>13758</v>
      </c>
      <c r="L5966">
        <v>1800</v>
      </c>
      <c r="M5966" t="s">
        <v>13759</v>
      </c>
      <c r="N5966" t="s">
        <v>30</v>
      </c>
      <c r="O5966" t="s">
        <v>31</v>
      </c>
      <c r="P5966" t="str">
        <f>"15217"</f>
        <v>15217</v>
      </c>
    </row>
    <row r="5967" spans="1:16" x14ac:dyDescent="0.25">
      <c r="A5967" t="str">
        <f>"1120173K00033    00"</f>
        <v>1120173K00033    00</v>
      </c>
      <c r="B5967" t="s">
        <v>13760</v>
      </c>
      <c r="C5967" t="s">
        <v>13761</v>
      </c>
      <c r="D5967" t="s">
        <v>20</v>
      </c>
      <c r="E5967" t="s">
        <v>39</v>
      </c>
      <c r="F5967">
        <v>0</v>
      </c>
      <c r="G5967">
        <v>0</v>
      </c>
      <c r="H5967">
        <v>1</v>
      </c>
      <c r="I5967" s="3">
        <v>51.34</v>
      </c>
      <c r="J5967" s="3">
        <v>0</v>
      </c>
      <c r="L5967">
        <v>7229</v>
      </c>
      <c r="M5967" t="s">
        <v>2507</v>
      </c>
      <c r="N5967" t="s">
        <v>30</v>
      </c>
      <c r="O5967" t="s">
        <v>31</v>
      </c>
      <c r="P5967" t="str">
        <f>"15206"</f>
        <v>15206</v>
      </c>
    </row>
    <row r="5968" spans="1:16" x14ac:dyDescent="0.25">
      <c r="A5968" t="str">
        <f>"1120173K00038    00"</f>
        <v>1120173K00038    00</v>
      </c>
      <c r="B5968" t="s">
        <v>13762</v>
      </c>
      <c r="C5968" t="s">
        <v>11125</v>
      </c>
      <c r="D5968" t="s">
        <v>20</v>
      </c>
      <c r="E5968" t="s">
        <v>39</v>
      </c>
      <c r="F5968">
        <v>0</v>
      </c>
      <c r="G5968">
        <v>0</v>
      </c>
      <c r="H5968">
        <v>19</v>
      </c>
      <c r="I5968" s="3">
        <v>4207.13</v>
      </c>
      <c r="J5968" s="3">
        <v>5235.68</v>
      </c>
      <c r="P5968" t="str">
        <f>""</f>
        <v/>
      </c>
    </row>
    <row r="5969" spans="1:16" x14ac:dyDescent="0.25">
      <c r="A5969" t="str">
        <f>"1120173K00040    00"</f>
        <v>1120173K00040    00</v>
      </c>
      <c r="B5969" t="s">
        <v>13457</v>
      </c>
      <c r="C5969" t="s">
        <v>13763</v>
      </c>
      <c r="D5969" t="s">
        <v>20</v>
      </c>
      <c r="E5969" t="s">
        <v>39</v>
      </c>
      <c r="F5969">
        <v>0</v>
      </c>
      <c r="G5969">
        <v>0</v>
      </c>
      <c r="H5969">
        <v>3</v>
      </c>
      <c r="I5969" s="3">
        <v>1336.71</v>
      </c>
      <c r="J5969" s="3">
        <v>121.24</v>
      </c>
      <c r="L5969">
        <v>7249</v>
      </c>
      <c r="M5969" t="s">
        <v>2507</v>
      </c>
      <c r="N5969" t="s">
        <v>30</v>
      </c>
      <c r="O5969" t="s">
        <v>31</v>
      </c>
      <c r="P5969" t="str">
        <f>"15206"</f>
        <v>15206</v>
      </c>
    </row>
    <row r="5970" spans="1:16" x14ac:dyDescent="0.25">
      <c r="A5970" t="str">
        <f>"1120173K00047    00"</f>
        <v>1120173K00047    00</v>
      </c>
      <c r="B5970" t="s">
        <v>13764</v>
      </c>
      <c r="C5970" t="s">
        <v>11125</v>
      </c>
      <c r="D5970" t="s">
        <v>20</v>
      </c>
      <c r="E5970" t="s">
        <v>39</v>
      </c>
      <c r="F5970">
        <v>0</v>
      </c>
      <c r="G5970">
        <v>0</v>
      </c>
      <c r="H5970">
        <v>19</v>
      </c>
      <c r="I5970" s="3">
        <v>402.99</v>
      </c>
      <c r="J5970" s="3">
        <v>460.53</v>
      </c>
      <c r="L5970">
        <v>6</v>
      </c>
      <c r="M5970" t="s">
        <v>13765</v>
      </c>
      <c r="N5970" t="s">
        <v>195</v>
      </c>
      <c r="O5970" t="s">
        <v>31</v>
      </c>
      <c r="P5970" t="str">
        <f>"15101"</f>
        <v>15101</v>
      </c>
    </row>
    <row r="5971" spans="1:16" x14ac:dyDescent="0.25">
      <c r="A5971" t="str">
        <f>"1120173K00058    00"</f>
        <v>1120173K00058    00</v>
      </c>
      <c r="B5971" t="s">
        <v>13766</v>
      </c>
      <c r="C5971" t="s">
        <v>11125</v>
      </c>
      <c r="D5971" t="s">
        <v>20</v>
      </c>
      <c r="E5971" t="s">
        <v>39</v>
      </c>
      <c r="F5971">
        <v>0</v>
      </c>
      <c r="G5971">
        <v>0</v>
      </c>
      <c r="H5971">
        <v>19</v>
      </c>
      <c r="I5971" s="3">
        <v>11250.39</v>
      </c>
      <c r="J5971" s="3">
        <v>14118.92</v>
      </c>
      <c r="L5971">
        <v>6813</v>
      </c>
      <c r="M5971" t="s">
        <v>12069</v>
      </c>
      <c r="N5971" t="s">
        <v>30</v>
      </c>
      <c r="O5971" t="s">
        <v>31</v>
      </c>
      <c r="P5971" t="str">
        <f>"15206"</f>
        <v>15206</v>
      </c>
    </row>
    <row r="5972" spans="1:16" x14ac:dyDescent="0.25">
      <c r="A5972" t="str">
        <f>"1120173K00059    00"</f>
        <v>1120173K00059    00</v>
      </c>
      <c r="B5972" t="s">
        <v>13767</v>
      </c>
      <c r="C5972" t="s">
        <v>11125</v>
      </c>
      <c r="D5972" t="s">
        <v>20</v>
      </c>
      <c r="E5972" t="s">
        <v>39</v>
      </c>
      <c r="F5972">
        <v>0</v>
      </c>
      <c r="G5972">
        <v>0</v>
      </c>
      <c r="H5972">
        <v>17</v>
      </c>
      <c r="I5972" s="3">
        <v>239.59</v>
      </c>
      <c r="J5972" s="3">
        <v>263.13</v>
      </c>
      <c r="K5972" t="s">
        <v>1008</v>
      </c>
      <c r="P5972" t="str">
        <f>""</f>
        <v/>
      </c>
    </row>
    <row r="5973" spans="1:16" x14ac:dyDescent="0.25">
      <c r="A5973" t="str">
        <f>"1120173K00082    00"</f>
        <v>1120173K00082    00</v>
      </c>
      <c r="B5973" t="s">
        <v>13768</v>
      </c>
      <c r="C5973" t="s">
        <v>13769</v>
      </c>
      <c r="D5973" t="s">
        <v>20</v>
      </c>
      <c r="E5973" t="s">
        <v>39</v>
      </c>
      <c r="F5973">
        <v>0</v>
      </c>
      <c r="G5973">
        <v>0</v>
      </c>
      <c r="H5973">
        <v>13</v>
      </c>
      <c r="I5973" s="3">
        <v>2704.41</v>
      </c>
      <c r="J5973" s="3">
        <v>1660.54</v>
      </c>
      <c r="L5973">
        <v>7214</v>
      </c>
      <c r="M5973" t="s">
        <v>2507</v>
      </c>
      <c r="N5973" t="s">
        <v>30</v>
      </c>
      <c r="O5973" t="s">
        <v>31</v>
      </c>
      <c r="P5973" t="str">
        <f>"15206"</f>
        <v>15206</v>
      </c>
    </row>
    <row r="5974" spans="1:16" x14ac:dyDescent="0.25">
      <c r="A5974" t="str">
        <f>"1120173K00083    00"</f>
        <v>1120173K00083    00</v>
      </c>
      <c r="B5974" t="s">
        <v>13770</v>
      </c>
      <c r="C5974" t="s">
        <v>11125</v>
      </c>
      <c r="D5974" t="s">
        <v>20</v>
      </c>
      <c r="E5974" t="s">
        <v>39</v>
      </c>
      <c r="F5974">
        <v>0</v>
      </c>
      <c r="G5974">
        <v>0</v>
      </c>
      <c r="H5974">
        <v>18</v>
      </c>
      <c r="I5974" s="3">
        <v>4280.57</v>
      </c>
      <c r="J5974" s="3">
        <v>5096.8900000000003</v>
      </c>
      <c r="L5974">
        <v>11</v>
      </c>
      <c r="M5974" t="s">
        <v>13771</v>
      </c>
      <c r="N5974" t="s">
        <v>509</v>
      </c>
      <c r="O5974" t="s">
        <v>31</v>
      </c>
      <c r="P5974" t="str">
        <f>"19119"</f>
        <v>19119</v>
      </c>
    </row>
    <row r="5975" spans="1:16" x14ac:dyDescent="0.25">
      <c r="A5975" t="str">
        <f>"1120173K00085    00"</f>
        <v>1120173K00085    00</v>
      </c>
      <c r="B5975" t="s">
        <v>13772</v>
      </c>
      <c r="C5975" t="s">
        <v>11125</v>
      </c>
      <c r="D5975" t="s">
        <v>20</v>
      </c>
      <c r="E5975" t="s">
        <v>39</v>
      </c>
      <c r="F5975">
        <v>0</v>
      </c>
      <c r="G5975">
        <v>0</v>
      </c>
      <c r="H5975">
        <v>15</v>
      </c>
      <c r="I5975" s="3">
        <v>776.55</v>
      </c>
      <c r="J5975" s="3">
        <v>449.28</v>
      </c>
      <c r="L5975">
        <v>7210</v>
      </c>
      <c r="M5975" t="s">
        <v>2507</v>
      </c>
      <c r="N5975" t="s">
        <v>30</v>
      </c>
      <c r="O5975" t="s">
        <v>31</v>
      </c>
      <c r="P5975" t="str">
        <f>"15206"</f>
        <v>15206</v>
      </c>
    </row>
    <row r="5976" spans="1:16" x14ac:dyDescent="0.25">
      <c r="A5976" t="str">
        <f>"1120173K00088    00"</f>
        <v>1120173K00088    00</v>
      </c>
      <c r="B5976" t="s">
        <v>13773</v>
      </c>
      <c r="C5976" t="s">
        <v>11125</v>
      </c>
      <c r="D5976" t="s">
        <v>20</v>
      </c>
      <c r="E5976" t="s">
        <v>39</v>
      </c>
      <c r="F5976">
        <v>0</v>
      </c>
      <c r="G5976">
        <v>0</v>
      </c>
      <c r="H5976">
        <v>17</v>
      </c>
      <c r="I5976" s="3">
        <v>214.95</v>
      </c>
      <c r="J5976" s="3">
        <v>227.56</v>
      </c>
      <c r="L5976">
        <v>7214</v>
      </c>
      <c r="M5976" t="s">
        <v>2507</v>
      </c>
      <c r="N5976" t="s">
        <v>30</v>
      </c>
      <c r="O5976" t="s">
        <v>31</v>
      </c>
      <c r="P5976" t="str">
        <f>"15206"</f>
        <v>15206</v>
      </c>
    </row>
    <row r="5977" spans="1:16" x14ac:dyDescent="0.25">
      <c r="A5977" t="str">
        <f>"1120173K00098    00"</f>
        <v>1120173K00098    00</v>
      </c>
      <c r="B5977" t="s">
        <v>13774</v>
      </c>
      <c r="C5977" t="s">
        <v>11125</v>
      </c>
      <c r="D5977" t="s">
        <v>20</v>
      </c>
      <c r="E5977" t="s">
        <v>39</v>
      </c>
      <c r="F5977">
        <v>0</v>
      </c>
      <c r="G5977">
        <v>0</v>
      </c>
      <c r="H5977">
        <v>8</v>
      </c>
      <c r="I5977" s="3">
        <v>29.6</v>
      </c>
      <c r="J5977" s="3">
        <v>12.64</v>
      </c>
      <c r="L5977">
        <v>7567</v>
      </c>
      <c r="M5977" t="s">
        <v>2394</v>
      </c>
      <c r="N5977" t="s">
        <v>30</v>
      </c>
      <c r="O5977" t="s">
        <v>31</v>
      </c>
      <c r="P5977" t="str">
        <f>"15235"</f>
        <v>15235</v>
      </c>
    </row>
    <row r="5978" spans="1:16" x14ac:dyDescent="0.25">
      <c r="A5978" t="str">
        <f>"1120173K00100    00"</f>
        <v>1120173K00100    00</v>
      </c>
      <c r="B5978" t="s">
        <v>13774</v>
      </c>
      <c r="C5978" t="s">
        <v>13775</v>
      </c>
      <c r="D5978" t="s">
        <v>20</v>
      </c>
      <c r="E5978" t="s">
        <v>39</v>
      </c>
      <c r="F5978">
        <v>0</v>
      </c>
      <c r="G5978">
        <v>0</v>
      </c>
      <c r="H5978">
        <v>10</v>
      </c>
      <c r="I5978" s="3">
        <v>3440.19</v>
      </c>
      <c r="J5978" s="3">
        <v>1473</v>
      </c>
      <c r="L5978">
        <v>7567</v>
      </c>
      <c r="M5978" t="s">
        <v>2394</v>
      </c>
      <c r="N5978" t="s">
        <v>30</v>
      </c>
      <c r="O5978" t="s">
        <v>31</v>
      </c>
      <c r="P5978" t="str">
        <f>"15235"</f>
        <v>15235</v>
      </c>
    </row>
    <row r="5979" spans="1:16" x14ac:dyDescent="0.25">
      <c r="A5979" t="str">
        <f>"1120173K00102    00"</f>
        <v>1120173K00102    00</v>
      </c>
      <c r="B5979" t="s">
        <v>13776</v>
      </c>
      <c r="C5979" t="s">
        <v>11125</v>
      </c>
      <c r="D5979" t="s">
        <v>20</v>
      </c>
      <c r="E5979" t="s">
        <v>39</v>
      </c>
      <c r="F5979">
        <v>0</v>
      </c>
      <c r="G5979">
        <v>0</v>
      </c>
      <c r="H5979">
        <v>19</v>
      </c>
      <c r="I5979" s="3">
        <v>4443.87</v>
      </c>
      <c r="J5979" s="3">
        <v>5891.5</v>
      </c>
      <c r="M5979" t="s">
        <v>13777</v>
      </c>
      <c r="N5979" t="s">
        <v>30</v>
      </c>
      <c r="O5979" t="s">
        <v>31</v>
      </c>
      <c r="P5979" t="str">
        <f>"15206"</f>
        <v>15206</v>
      </c>
    </row>
    <row r="5980" spans="1:16" x14ac:dyDescent="0.25">
      <c r="A5980" t="str">
        <f>"1120173K00107    00"</f>
        <v>1120173K00107    00</v>
      </c>
      <c r="B5980" t="s">
        <v>3811</v>
      </c>
      <c r="C5980" t="s">
        <v>11125</v>
      </c>
      <c r="D5980" t="s">
        <v>20</v>
      </c>
      <c r="E5980" t="s">
        <v>39</v>
      </c>
      <c r="F5980">
        <v>0</v>
      </c>
      <c r="G5980">
        <v>0</v>
      </c>
      <c r="H5980">
        <v>14</v>
      </c>
      <c r="I5980" s="3">
        <v>136.94999999999999</v>
      </c>
      <c r="J5980" s="3">
        <v>138.41</v>
      </c>
      <c r="K5980" t="s">
        <v>3813</v>
      </c>
      <c r="L5980">
        <v>825</v>
      </c>
      <c r="M5980" t="s">
        <v>970</v>
      </c>
      <c r="N5980" t="s">
        <v>30</v>
      </c>
      <c r="O5980" t="s">
        <v>31</v>
      </c>
      <c r="P5980" t="str">
        <f>"15219"</f>
        <v>15219</v>
      </c>
    </row>
    <row r="5981" spans="1:16" x14ac:dyDescent="0.25">
      <c r="A5981" t="str">
        <f>"1120173K00108    00"</f>
        <v>1120173K00108    00</v>
      </c>
      <c r="B5981" t="s">
        <v>13778</v>
      </c>
      <c r="C5981" t="s">
        <v>13779</v>
      </c>
      <c r="D5981" t="s">
        <v>20</v>
      </c>
      <c r="E5981" t="s">
        <v>39</v>
      </c>
      <c r="F5981">
        <v>0</v>
      </c>
      <c r="G5981">
        <v>0</v>
      </c>
      <c r="H5981">
        <v>6</v>
      </c>
      <c r="I5981" s="3">
        <v>488.22</v>
      </c>
      <c r="J5981" s="3">
        <v>182.84</v>
      </c>
      <c r="K5981" t="s">
        <v>13780</v>
      </c>
      <c r="L5981">
        <v>306</v>
      </c>
      <c r="M5981" t="s">
        <v>13137</v>
      </c>
      <c r="N5981" t="s">
        <v>12579</v>
      </c>
      <c r="O5981" t="s">
        <v>31</v>
      </c>
      <c r="P5981" t="str">
        <f>"15112"</f>
        <v>15112</v>
      </c>
    </row>
    <row r="5982" spans="1:16" x14ac:dyDescent="0.25">
      <c r="A5982" t="str">
        <f>"1120173K00109    00"</f>
        <v>1120173K00109    00</v>
      </c>
      <c r="B5982" t="s">
        <v>13781</v>
      </c>
      <c r="C5982" t="s">
        <v>11125</v>
      </c>
      <c r="D5982" t="s">
        <v>20</v>
      </c>
      <c r="E5982" t="s">
        <v>39</v>
      </c>
      <c r="F5982">
        <v>0</v>
      </c>
      <c r="G5982">
        <v>0</v>
      </c>
      <c r="H5982">
        <v>19</v>
      </c>
      <c r="I5982" s="3">
        <v>279.77999999999997</v>
      </c>
      <c r="J5982" s="3">
        <v>282.94</v>
      </c>
      <c r="K5982" t="s">
        <v>1008</v>
      </c>
      <c r="P5982" t="str">
        <f>""</f>
        <v/>
      </c>
    </row>
    <row r="5983" spans="1:16" x14ac:dyDescent="0.25">
      <c r="A5983" t="str">
        <f>"1120173K00115    00"</f>
        <v>1120173K00115    00</v>
      </c>
      <c r="B5983" t="s">
        <v>13782</v>
      </c>
      <c r="C5983" t="s">
        <v>13783</v>
      </c>
      <c r="D5983" t="s">
        <v>20</v>
      </c>
      <c r="E5983" t="s">
        <v>39</v>
      </c>
      <c r="F5983">
        <v>0</v>
      </c>
      <c r="G5983">
        <v>0</v>
      </c>
      <c r="H5983">
        <v>3</v>
      </c>
      <c r="I5983" s="3">
        <v>601.29999999999995</v>
      </c>
      <c r="J5983" s="3">
        <v>65.05</v>
      </c>
      <c r="L5983">
        <v>7125</v>
      </c>
      <c r="M5983" t="s">
        <v>13737</v>
      </c>
      <c r="N5983" t="s">
        <v>30</v>
      </c>
      <c r="O5983" t="s">
        <v>31</v>
      </c>
      <c r="P5983" t="str">
        <f>"15206"</f>
        <v>15206</v>
      </c>
    </row>
    <row r="5984" spans="1:16" x14ac:dyDescent="0.25">
      <c r="A5984" t="str">
        <f>"1120173K00116    00"</f>
        <v>1120173K00116    00</v>
      </c>
      <c r="B5984" t="s">
        <v>13784</v>
      </c>
      <c r="C5984" t="s">
        <v>13785</v>
      </c>
      <c r="D5984" t="s">
        <v>20</v>
      </c>
      <c r="E5984" t="s">
        <v>39</v>
      </c>
      <c r="F5984">
        <v>0</v>
      </c>
      <c r="G5984">
        <v>0</v>
      </c>
      <c r="H5984">
        <v>17</v>
      </c>
      <c r="I5984" s="3">
        <v>196.54</v>
      </c>
      <c r="J5984" s="3">
        <v>217.52</v>
      </c>
      <c r="K5984" t="s">
        <v>1037</v>
      </c>
      <c r="L5984">
        <v>6721</v>
      </c>
      <c r="M5984" t="s">
        <v>11435</v>
      </c>
      <c r="N5984" t="s">
        <v>30</v>
      </c>
      <c r="O5984" t="s">
        <v>31</v>
      </c>
      <c r="P5984" t="str">
        <f>"15208"</f>
        <v>15208</v>
      </c>
    </row>
    <row r="5985" spans="1:16" x14ac:dyDescent="0.25">
      <c r="A5985" t="str">
        <f>"1120173K00121    00"</f>
        <v>1120173K00121    00</v>
      </c>
      <c r="B5985" t="s">
        <v>13786</v>
      </c>
      <c r="C5985" t="s">
        <v>13785</v>
      </c>
      <c r="D5985" t="s">
        <v>20</v>
      </c>
      <c r="E5985" t="s">
        <v>39</v>
      </c>
      <c r="F5985">
        <v>0</v>
      </c>
      <c r="G5985">
        <v>0</v>
      </c>
      <c r="H5985">
        <v>17</v>
      </c>
      <c r="I5985" s="3">
        <v>196.54</v>
      </c>
      <c r="J5985" s="3">
        <v>217.52</v>
      </c>
      <c r="L5985">
        <v>7136</v>
      </c>
      <c r="M5985" t="s">
        <v>13737</v>
      </c>
      <c r="N5985" t="s">
        <v>30</v>
      </c>
      <c r="O5985" t="s">
        <v>31</v>
      </c>
      <c r="P5985" t="str">
        <f>"15206"</f>
        <v>15206</v>
      </c>
    </row>
    <row r="5986" spans="1:16" x14ac:dyDescent="0.25">
      <c r="A5986" t="str">
        <f>"1120173K00122    00"</f>
        <v>1120173K00122    00</v>
      </c>
      <c r="B5986" t="s">
        <v>13787</v>
      </c>
      <c r="C5986" t="s">
        <v>13785</v>
      </c>
      <c r="D5986" t="s">
        <v>20</v>
      </c>
      <c r="E5986" t="s">
        <v>39</v>
      </c>
      <c r="F5986">
        <v>0</v>
      </c>
      <c r="G5986">
        <v>0</v>
      </c>
      <c r="H5986">
        <v>19</v>
      </c>
      <c r="I5986" s="3">
        <v>1100.19</v>
      </c>
      <c r="J5986" s="3">
        <v>784.05</v>
      </c>
      <c r="K5986" t="s">
        <v>1037</v>
      </c>
      <c r="L5986">
        <v>7143</v>
      </c>
      <c r="M5986" t="s">
        <v>13788</v>
      </c>
      <c r="N5986" t="s">
        <v>30</v>
      </c>
      <c r="O5986" t="s">
        <v>31</v>
      </c>
      <c r="P5986" t="str">
        <f>"15206"</f>
        <v>15206</v>
      </c>
    </row>
    <row r="5987" spans="1:16" x14ac:dyDescent="0.25">
      <c r="A5987" t="str">
        <f>"1120173K00168    00"</f>
        <v>1120173K00168    00</v>
      </c>
      <c r="B5987" t="s">
        <v>13789</v>
      </c>
      <c r="C5987" t="s">
        <v>13790</v>
      </c>
      <c r="D5987" t="s">
        <v>20</v>
      </c>
      <c r="E5987" t="s">
        <v>39</v>
      </c>
      <c r="F5987">
        <v>0</v>
      </c>
      <c r="G5987">
        <v>0</v>
      </c>
      <c r="H5987">
        <v>17</v>
      </c>
      <c r="I5987" s="3">
        <v>214.95</v>
      </c>
      <c r="J5987" s="3">
        <v>227.56</v>
      </c>
      <c r="L5987">
        <v>4724</v>
      </c>
      <c r="M5987" t="s">
        <v>13791</v>
      </c>
      <c r="N5987" t="s">
        <v>5232</v>
      </c>
      <c r="O5987" t="s">
        <v>3486</v>
      </c>
      <c r="P5987" t="str">
        <f>"60615"</f>
        <v>60615</v>
      </c>
    </row>
    <row r="5988" spans="1:16" x14ac:dyDescent="0.25">
      <c r="A5988" t="str">
        <f>"1120173K00222    00"</f>
        <v>1120173K00222    00</v>
      </c>
      <c r="B5988" t="s">
        <v>13792</v>
      </c>
      <c r="C5988" t="s">
        <v>13793</v>
      </c>
      <c r="D5988" t="s">
        <v>20</v>
      </c>
      <c r="E5988" t="s">
        <v>39</v>
      </c>
      <c r="F5988">
        <v>0</v>
      </c>
      <c r="G5988">
        <v>0</v>
      </c>
      <c r="H5988">
        <v>5</v>
      </c>
      <c r="I5988" s="3">
        <v>2032.43</v>
      </c>
      <c r="J5988" s="3">
        <v>238.88</v>
      </c>
      <c r="L5988">
        <v>7136</v>
      </c>
      <c r="M5988" t="s">
        <v>13737</v>
      </c>
      <c r="N5988" t="s">
        <v>30</v>
      </c>
      <c r="O5988" t="s">
        <v>31</v>
      </c>
      <c r="P5988" t="str">
        <f>"15206"</f>
        <v>15206</v>
      </c>
    </row>
    <row r="5989" spans="1:16" x14ac:dyDescent="0.25">
      <c r="A5989" t="str">
        <f>"1120173L00003    00"</f>
        <v>1120173L00003    00</v>
      </c>
      <c r="B5989" t="s">
        <v>13794</v>
      </c>
      <c r="C5989" t="s">
        <v>13795</v>
      </c>
      <c r="D5989" t="s">
        <v>20</v>
      </c>
      <c r="E5989" t="s">
        <v>39</v>
      </c>
      <c r="F5989">
        <v>0</v>
      </c>
      <c r="G5989">
        <v>0</v>
      </c>
      <c r="H5989">
        <v>6</v>
      </c>
      <c r="I5989" s="3">
        <v>1806.76</v>
      </c>
      <c r="J5989" s="3">
        <v>547.91</v>
      </c>
      <c r="L5989">
        <v>7281</v>
      </c>
      <c r="M5989" t="s">
        <v>2507</v>
      </c>
      <c r="N5989" t="s">
        <v>30</v>
      </c>
      <c r="O5989" t="s">
        <v>31</v>
      </c>
      <c r="P5989" t="str">
        <f>"15206"</f>
        <v>15206</v>
      </c>
    </row>
    <row r="5990" spans="1:16" x14ac:dyDescent="0.25">
      <c r="A5990" t="str">
        <f>"1120173L00005    00"</f>
        <v>1120173L00005    00</v>
      </c>
      <c r="B5990" t="s">
        <v>13796</v>
      </c>
      <c r="C5990" t="s">
        <v>13797</v>
      </c>
      <c r="E5990" t="s">
        <v>39</v>
      </c>
      <c r="F5990">
        <v>0</v>
      </c>
      <c r="G5990">
        <v>0</v>
      </c>
      <c r="H5990">
        <v>2</v>
      </c>
      <c r="I5990" s="3">
        <v>376.99</v>
      </c>
      <c r="J5990" s="3">
        <v>455.64</v>
      </c>
      <c r="L5990">
        <v>7283</v>
      </c>
      <c r="M5990" t="s">
        <v>2507</v>
      </c>
      <c r="N5990" t="s">
        <v>30</v>
      </c>
      <c r="O5990" t="s">
        <v>31</v>
      </c>
      <c r="P5990" t="str">
        <f>"15206"</f>
        <v>15206</v>
      </c>
    </row>
    <row r="5991" spans="1:16" x14ac:dyDescent="0.25">
      <c r="A5991" t="str">
        <f>"1120173L00006    00"</f>
        <v>1120173L00006    00</v>
      </c>
      <c r="B5991" t="s">
        <v>13798</v>
      </c>
      <c r="C5991" t="s">
        <v>13799</v>
      </c>
      <c r="D5991" t="s">
        <v>20</v>
      </c>
      <c r="E5991" t="s">
        <v>39</v>
      </c>
      <c r="F5991">
        <v>0</v>
      </c>
      <c r="G5991">
        <v>0</v>
      </c>
      <c r="H5991">
        <v>1</v>
      </c>
      <c r="I5991" s="3">
        <v>106.01</v>
      </c>
      <c r="J5991" s="3">
        <v>42.4</v>
      </c>
      <c r="L5991">
        <v>244</v>
      </c>
      <c r="M5991" t="s">
        <v>13800</v>
      </c>
      <c r="N5991" t="s">
        <v>625</v>
      </c>
      <c r="O5991" t="s">
        <v>31</v>
      </c>
      <c r="P5991" t="str">
        <f>"15108"</f>
        <v>15108</v>
      </c>
    </row>
    <row r="5992" spans="1:16" x14ac:dyDescent="0.25">
      <c r="A5992" t="str">
        <f>"1120173L00007    00"</f>
        <v>1120173L00007    00</v>
      </c>
      <c r="B5992" t="s">
        <v>13801</v>
      </c>
      <c r="C5992" t="s">
        <v>13802</v>
      </c>
      <c r="E5992" t="s">
        <v>39</v>
      </c>
      <c r="F5992">
        <v>0</v>
      </c>
      <c r="G5992">
        <v>0</v>
      </c>
      <c r="H5992">
        <v>7</v>
      </c>
      <c r="I5992" s="3">
        <v>4518.5600000000004</v>
      </c>
      <c r="J5992" s="3">
        <v>5288.83</v>
      </c>
      <c r="K5992" t="s">
        <v>13803</v>
      </c>
      <c r="L5992">
        <v>6965</v>
      </c>
      <c r="M5992" t="s">
        <v>13804</v>
      </c>
      <c r="N5992" t="s">
        <v>1412</v>
      </c>
      <c r="O5992" t="s">
        <v>1413</v>
      </c>
      <c r="P5992" t="str">
        <f>"28216"</f>
        <v>28216</v>
      </c>
    </row>
    <row r="5993" spans="1:16" x14ac:dyDescent="0.25">
      <c r="A5993" t="str">
        <f>"1120173L00013    00"</f>
        <v>1120173L00013    00</v>
      </c>
      <c r="B5993" t="s">
        <v>13805</v>
      </c>
      <c r="C5993" t="s">
        <v>13806</v>
      </c>
      <c r="D5993" t="s">
        <v>20</v>
      </c>
      <c r="E5993" t="s">
        <v>39</v>
      </c>
      <c r="F5993">
        <v>0</v>
      </c>
      <c r="G5993">
        <v>0</v>
      </c>
      <c r="H5993">
        <v>8</v>
      </c>
      <c r="I5993" s="3">
        <v>1155.56</v>
      </c>
      <c r="J5993" s="3">
        <v>325.95999999999998</v>
      </c>
      <c r="L5993">
        <v>7297</v>
      </c>
      <c r="M5993" t="s">
        <v>2507</v>
      </c>
      <c r="N5993" t="s">
        <v>30</v>
      </c>
      <c r="O5993" t="s">
        <v>31</v>
      </c>
      <c r="P5993" t="str">
        <f>"15206"</f>
        <v>15206</v>
      </c>
    </row>
    <row r="5994" spans="1:16" x14ac:dyDescent="0.25">
      <c r="A5994" t="str">
        <f>"1120173L00015    00"</f>
        <v>1120173L00015    00</v>
      </c>
      <c r="B5994" t="s">
        <v>13807</v>
      </c>
      <c r="C5994" t="s">
        <v>13808</v>
      </c>
      <c r="D5994" t="s">
        <v>20</v>
      </c>
      <c r="E5994" t="s">
        <v>39</v>
      </c>
      <c r="F5994">
        <v>0</v>
      </c>
      <c r="G5994">
        <v>0</v>
      </c>
      <c r="H5994">
        <v>18</v>
      </c>
      <c r="I5994" s="3">
        <v>11315.51</v>
      </c>
      <c r="J5994" s="3">
        <v>9506.75</v>
      </c>
      <c r="L5994">
        <v>7301</v>
      </c>
      <c r="M5994" t="s">
        <v>2507</v>
      </c>
      <c r="N5994" t="s">
        <v>30</v>
      </c>
      <c r="O5994" t="s">
        <v>31</v>
      </c>
      <c r="P5994" t="str">
        <f>"15235"</f>
        <v>15235</v>
      </c>
    </row>
    <row r="5995" spans="1:16" x14ac:dyDescent="0.25">
      <c r="A5995" t="str">
        <f>"1120173L00019    00"</f>
        <v>1120173L00019    00</v>
      </c>
      <c r="B5995" t="s">
        <v>13809</v>
      </c>
      <c r="C5995" t="s">
        <v>11125</v>
      </c>
      <c r="D5995" t="s">
        <v>20</v>
      </c>
      <c r="E5995" t="s">
        <v>39</v>
      </c>
      <c r="F5995">
        <v>0</v>
      </c>
      <c r="G5995">
        <v>0</v>
      </c>
      <c r="H5995">
        <v>19</v>
      </c>
      <c r="I5995" s="3">
        <v>320.97000000000003</v>
      </c>
      <c r="J5995" s="3">
        <v>282.08999999999997</v>
      </c>
      <c r="K5995" t="s">
        <v>1037</v>
      </c>
      <c r="L5995">
        <v>7311</v>
      </c>
      <c r="M5995" t="s">
        <v>2507</v>
      </c>
      <c r="N5995" t="s">
        <v>30</v>
      </c>
      <c r="O5995" t="s">
        <v>31</v>
      </c>
      <c r="P5995" t="str">
        <f>"15235"</f>
        <v>15235</v>
      </c>
    </row>
    <row r="5996" spans="1:16" x14ac:dyDescent="0.25">
      <c r="A5996" t="str">
        <f>"1120173L00021    00"</f>
        <v>1120173L00021    00</v>
      </c>
      <c r="B5996" t="s">
        <v>13810</v>
      </c>
      <c r="C5996" t="s">
        <v>13811</v>
      </c>
      <c r="D5996" t="s">
        <v>20</v>
      </c>
      <c r="E5996" t="s">
        <v>39</v>
      </c>
      <c r="F5996">
        <v>0</v>
      </c>
      <c r="G5996">
        <v>0</v>
      </c>
      <c r="H5996">
        <v>2</v>
      </c>
      <c r="I5996" s="3">
        <v>1825.96</v>
      </c>
      <c r="J5996" s="3">
        <v>0</v>
      </c>
      <c r="L5996">
        <v>538</v>
      </c>
      <c r="M5996" t="s">
        <v>11547</v>
      </c>
      <c r="N5996" t="s">
        <v>295</v>
      </c>
      <c r="O5996" t="s">
        <v>31</v>
      </c>
      <c r="P5996" t="str">
        <f>"15146"</f>
        <v>15146</v>
      </c>
    </row>
    <row r="5997" spans="1:16" x14ac:dyDescent="0.25">
      <c r="A5997" t="str">
        <f>"1120173L00033    00"</f>
        <v>1120173L00033    00</v>
      </c>
      <c r="B5997" t="s">
        <v>13812</v>
      </c>
      <c r="C5997" t="s">
        <v>13813</v>
      </c>
      <c r="D5997" t="s">
        <v>20</v>
      </c>
      <c r="E5997" t="s">
        <v>39</v>
      </c>
      <c r="F5997">
        <v>0</v>
      </c>
      <c r="G5997">
        <v>0</v>
      </c>
      <c r="H5997">
        <v>19</v>
      </c>
      <c r="I5997" s="3">
        <v>466.15</v>
      </c>
      <c r="J5997" s="3">
        <v>471.38</v>
      </c>
      <c r="L5997">
        <v>7280</v>
      </c>
      <c r="M5997" t="s">
        <v>2507</v>
      </c>
      <c r="N5997" t="s">
        <v>30</v>
      </c>
      <c r="O5997" t="s">
        <v>31</v>
      </c>
      <c r="P5997" t="str">
        <f>"15206"</f>
        <v>15206</v>
      </c>
    </row>
    <row r="5998" spans="1:16" x14ac:dyDescent="0.25">
      <c r="A5998" t="str">
        <f>"1120173L00034    00"</f>
        <v>1120173L00034    00</v>
      </c>
      <c r="B5998" t="s">
        <v>13812</v>
      </c>
      <c r="C5998" t="s">
        <v>13813</v>
      </c>
      <c r="D5998" t="s">
        <v>20</v>
      </c>
      <c r="E5998" t="s">
        <v>39</v>
      </c>
      <c r="F5998">
        <v>0</v>
      </c>
      <c r="G5998">
        <v>0</v>
      </c>
      <c r="H5998">
        <v>19</v>
      </c>
      <c r="I5998" s="3">
        <v>9035.2999999999993</v>
      </c>
      <c r="J5998" s="3">
        <v>11726.05</v>
      </c>
      <c r="L5998">
        <v>7280</v>
      </c>
      <c r="M5998" t="s">
        <v>2507</v>
      </c>
      <c r="N5998" t="s">
        <v>30</v>
      </c>
      <c r="O5998" t="s">
        <v>31</v>
      </c>
      <c r="P5998" t="str">
        <f>"15206"</f>
        <v>15206</v>
      </c>
    </row>
    <row r="5999" spans="1:16" x14ac:dyDescent="0.25">
      <c r="A5999" t="str">
        <f>"1120173L00035    00"</f>
        <v>1120173L00035    00</v>
      </c>
      <c r="B5999" t="s">
        <v>13814</v>
      </c>
      <c r="C5999" t="s">
        <v>13815</v>
      </c>
      <c r="D5999" t="s">
        <v>20</v>
      </c>
      <c r="E5999" t="s">
        <v>39</v>
      </c>
      <c r="F5999">
        <v>0</v>
      </c>
      <c r="G5999">
        <v>0</v>
      </c>
      <c r="H5999">
        <v>6</v>
      </c>
      <c r="I5999" s="3">
        <v>5603.92</v>
      </c>
      <c r="J5999" s="3">
        <v>1211.17</v>
      </c>
      <c r="K5999" t="s">
        <v>13816</v>
      </c>
      <c r="L5999">
        <v>7280</v>
      </c>
      <c r="M5999" t="s">
        <v>2507</v>
      </c>
      <c r="N5999" t="s">
        <v>30</v>
      </c>
      <c r="O5999" t="s">
        <v>31</v>
      </c>
      <c r="P5999" t="str">
        <f>"15206"</f>
        <v>15206</v>
      </c>
    </row>
    <row r="6000" spans="1:16" x14ac:dyDescent="0.25">
      <c r="A6000" t="str">
        <f>"1120173L00044    00"</f>
        <v>1120173L00044    00</v>
      </c>
      <c r="B6000" t="s">
        <v>13817</v>
      </c>
      <c r="C6000" t="s">
        <v>13818</v>
      </c>
      <c r="D6000" t="s">
        <v>20</v>
      </c>
      <c r="E6000" t="s">
        <v>39</v>
      </c>
      <c r="F6000">
        <v>0</v>
      </c>
      <c r="G6000">
        <v>0</v>
      </c>
      <c r="H6000">
        <v>1</v>
      </c>
      <c r="I6000" s="3">
        <v>380.79</v>
      </c>
      <c r="J6000" s="3">
        <v>0</v>
      </c>
      <c r="L6000">
        <v>1549</v>
      </c>
      <c r="M6000" t="s">
        <v>13819</v>
      </c>
      <c r="N6000" t="s">
        <v>30</v>
      </c>
      <c r="O6000" t="s">
        <v>31</v>
      </c>
      <c r="P6000" t="str">
        <f>"15206"</f>
        <v>15206</v>
      </c>
    </row>
    <row r="6001" spans="1:16" x14ac:dyDescent="0.25">
      <c r="A6001" t="str">
        <f>"1120173L00047    00"</f>
        <v>1120173L00047    00</v>
      </c>
      <c r="B6001" t="s">
        <v>13820</v>
      </c>
      <c r="C6001" t="s">
        <v>13821</v>
      </c>
      <c r="D6001" t="s">
        <v>20</v>
      </c>
      <c r="E6001" t="s">
        <v>39</v>
      </c>
      <c r="F6001">
        <v>0</v>
      </c>
      <c r="G6001">
        <v>0</v>
      </c>
      <c r="H6001">
        <v>19</v>
      </c>
      <c r="I6001" s="3">
        <v>13873.29</v>
      </c>
      <c r="J6001" s="3">
        <v>14674.29</v>
      </c>
      <c r="P6001" t="str">
        <f>""</f>
        <v/>
      </c>
    </row>
    <row r="6002" spans="1:16" x14ac:dyDescent="0.25">
      <c r="A6002" t="str">
        <f>"1120173L00048    00"</f>
        <v>1120173L00048    00</v>
      </c>
      <c r="B6002" t="s">
        <v>13822</v>
      </c>
      <c r="C6002" t="s">
        <v>13790</v>
      </c>
      <c r="E6002" t="s">
        <v>39</v>
      </c>
      <c r="F6002">
        <v>0</v>
      </c>
      <c r="G6002">
        <v>0</v>
      </c>
      <c r="H6002">
        <v>1</v>
      </c>
      <c r="I6002" s="3">
        <v>30.84</v>
      </c>
      <c r="J6002" s="3">
        <v>0</v>
      </c>
      <c r="K6002" t="s">
        <v>13823</v>
      </c>
      <c r="L6002">
        <v>3001</v>
      </c>
      <c r="M6002" t="s">
        <v>330</v>
      </c>
      <c r="N6002" t="s">
        <v>331</v>
      </c>
      <c r="O6002" t="s">
        <v>108</v>
      </c>
      <c r="P6002" t="str">
        <f>"75063"</f>
        <v>75063</v>
      </c>
    </row>
    <row r="6003" spans="1:16" x14ac:dyDescent="0.25">
      <c r="A6003" t="str">
        <f>"1120173L00051    00"</f>
        <v>1120173L00051    00</v>
      </c>
      <c r="B6003" t="s">
        <v>13824</v>
      </c>
      <c r="C6003" t="s">
        <v>13825</v>
      </c>
      <c r="E6003" t="s">
        <v>39</v>
      </c>
      <c r="F6003">
        <v>0</v>
      </c>
      <c r="G6003">
        <v>0</v>
      </c>
      <c r="H6003">
        <v>12</v>
      </c>
      <c r="I6003" s="3">
        <v>2990.71</v>
      </c>
      <c r="J6003" s="3">
        <v>2056.91</v>
      </c>
      <c r="L6003">
        <v>1533</v>
      </c>
      <c r="M6003" t="s">
        <v>13819</v>
      </c>
      <c r="N6003" t="s">
        <v>30</v>
      </c>
      <c r="O6003" t="s">
        <v>31</v>
      </c>
      <c r="P6003" t="str">
        <f>"15206"</f>
        <v>15206</v>
      </c>
    </row>
    <row r="6004" spans="1:16" x14ac:dyDescent="0.25">
      <c r="A6004" t="str">
        <f>"1120173L00062    00"</f>
        <v>1120173L00062    00</v>
      </c>
      <c r="B6004" t="s">
        <v>13826</v>
      </c>
      <c r="C6004" t="s">
        <v>13790</v>
      </c>
      <c r="D6004" t="s">
        <v>20</v>
      </c>
      <c r="E6004" t="s">
        <v>39</v>
      </c>
      <c r="F6004">
        <v>0</v>
      </c>
      <c r="G6004">
        <v>0</v>
      </c>
      <c r="H6004">
        <v>6</v>
      </c>
      <c r="I6004" s="3">
        <v>797.76</v>
      </c>
      <c r="J6004" s="3">
        <v>178.95</v>
      </c>
      <c r="L6004">
        <v>6403</v>
      </c>
      <c r="M6004" t="s">
        <v>13827</v>
      </c>
      <c r="N6004" t="s">
        <v>30</v>
      </c>
      <c r="O6004" t="s">
        <v>31</v>
      </c>
      <c r="P6004" t="str">
        <f>"15206"</f>
        <v>15206</v>
      </c>
    </row>
    <row r="6005" spans="1:16" x14ac:dyDescent="0.25">
      <c r="A6005" t="str">
        <f>"1120173L00065    00"</f>
        <v>1120173L00065    00</v>
      </c>
      <c r="B6005" t="s">
        <v>13826</v>
      </c>
      <c r="C6005" t="s">
        <v>13828</v>
      </c>
      <c r="D6005" t="s">
        <v>20</v>
      </c>
      <c r="E6005" t="s">
        <v>39</v>
      </c>
      <c r="F6005">
        <v>0</v>
      </c>
      <c r="G6005">
        <v>0</v>
      </c>
      <c r="H6005">
        <v>6</v>
      </c>
      <c r="I6005" s="3">
        <v>2202.19</v>
      </c>
      <c r="J6005" s="3">
        <v>493.88</v>
      </c>
      <c r="L6005">
        <v>6403</v>
      </c>
      <c r="M6005" t="s">
        <v>13827</v>
      </c>
      <c r="N6005" t="s">
        <v>30</v>
      </c>
      <c r="O6005" t="s">
        <v>31</v>
      </c>
      <c r="P6005" t="str">
        <f>"15206"</f>
        <v>15206</v>
      </c>
    </row>
    <row r="6006" spans="1:16" x14ac:dyDescent="0.25">
      <c r="A6006" t="str">
        <f>"1120173L00066    00"</f>
        <v>1120173L00066    00</v>
      </c>
      <c r="B6006" t="s">
        <v>13829</v>
      </c>
      <c r="C6006" t="s">
        <v>13790</v>
      </c>
      <c r="D6006" t="s">
        <v>20</v>
      </c>
      <c r="E6006" t="s">
        <v>39</v>
      </c>
      <c r="F6006">
        <v>0</v>
      </c>
      <c r="G6006">
        <v>0</v>
      </c>
      <c r="H6006">
        <v>19</v>
      </c>
      <c r="I6006" s="3">
        <v>5447.58</v>
      </c>
      <c r="J6006" s="3">
        <v>5955.63</v>
      </c>
      <c r="K6006" t="s">
        <v>13830</v>
      </c>
      <c r="M6006" t="s">
        <v>13831</v>
      </c>
      <c r="N6006" t="s">
        <v>13832</v>
      </c>
      <c r="O6006" t="s">
        <v>495</v>
      </c>
      <c r="P6006" t="str">
        <f>"91106"</f>
        <v>91106</v>
      </c>
    </row>
    <row r="6007" spans="1:16" x14ac:dyDescent="0.25">
      <c r="A6007" t="str">
        <f>"1120173L00067    00"</f>
        <v>1120173L00067    00</v>
      </c>
      <c r="B6007" t="s">
        <v>13833</v>
      </c>
      <c r="C6007" t="s">
        <v>13790</v>
      </c>
      <c r="D6007" t="s">
        <v>20</v>
      </c>
      <c r="E6007" t="s">
        <v>39</v>
      </c>
      <c r="F6007">
        <v>0</v>
      </c>
      <c r="G6007">
        <v>0</v>
      </c>
      <c r="H6007">
        <v>7</v>
      </c>
      <c r="I6007" s="3">
        <v>1663.43</v>
      </c>
      <c r="J6007" s="3">
        <v>433.31</v>
      </c>
      <c r="K6007" t="s">
        <v>13834</v>
      </c>
      <c r="L6007">
        <v>1510</v>
      </c>
      <c r="M6007" t="s">
        <v>13819</v>
      </c>
      <c r="N6007" t="s">
        <v>30</v>
      </c>
      <c r="O6007" t="s">
        <v>31</v>
      </c>
      <c r="P6007" t="str">
        <f>"15206"</f>
        <v>15206</v>
      </c>
    </row>
    <row r="6008" spans="1:16" x14ac:dyDescent="0.25">
      <c r="A6008" t="str">
        <f>"1120173L00072    00"</f>
        <v>1120173L00072    00</v>
      </c>
      <c r="B6008" t="s">
        <v>13835</v>
      </c>
      <c r="C6008" t="s">
        <v>13836</v>
      </c>
      <c r="D6008" t="s">
        <v>20</v>
      </c>
      <c r="E6008" t="s">
        <v>39</v>
      </c>
      <c r="F6008">
        <v>0</v>
      </c>
      <c r="G6008">
        <v>0</v>
      </c>
      <c r="H6008">
        <v>13</v>
      </c>
      <c r="I6008" s="3">
        <v>539.98</v>
      </c>
      <c r="J6008" s="3">
        <v>285.87</v>
      </c>
      <c r="L6008">
        <v>250</v>
      </c>
      <c r="M6008" t="s">
        <v>13837</v>
      </c>
      <c r="N6008" t="s">
        <v>30</v>
      </c>
      <c r="O6008" t="s">
        <v>31</v>
      </c>
      <c r="P6008" t="str">
        <f>"15235"</f>
        <v>15235</v>
      </c>
    </row>
    <row r="6009" spans="1:16" x14ac:dyDescent="0.25">
      <c r="A6009" t="str">
        <f>"1120173L00074    00"</f>
        <v>1120173L00074    00</v>
      </c>
      <c r="B6009" t="s">
        <v>13835</v>
      </c>
      <c r="C6009" t="s">
        <v>13790</v>
      </c>
      <c r="D6009" t="s">
        <v>20</v>
      </c>
      <c r="E6009" t="s">
        <v>39</v>
      </c>
      <c r="F6009">
        <v>0</v>
      </c>
      <c r="G6009">
        <v>0</v>
      </c>
      <c r="H6009">
        <v>12</v>
      </c>
      <c r="I6009" s="3">
        <v>768.55</v>
      </c>
      <c r="J6009" s="3">
        <v>406.29</v>
      </c>
      <c r="L6009">
        <v>250</v>
      </c>
      <c r="M6009" t="s">
        <v>13837</v>
      </c>
      <c r="N6009" t="s">
        <v>30</v>
      </c>
      <c r="O6009" t="s">
        <v>31</v>
      </c>
      <c r="P6009" t="str">
        <f>"15235"</f>
        <v>15235</v>
      </c>
    </row>
    <row r="6010" spans="1:16" x14ac:dyDescent="0.25">
      <c r="A6010" t="str">
        <f>"1120173L00075    00"</f>
        <v>1120173L00075    00</v>
      </c>
      <c r="B6010" t="s">
        <v>13835</v>
      </c>
      <c r="C6010" t="s">
        <v>13790</v>
      </c>
      <c r="D6010" t="s">
        <v>20</v>
      </c>
      <c r="E6010" t="s">
        <v>39</v>
      </c>
      <c r="F6010">
        <v>0</v>
      </c>
      <c r="G6010">
        <v>0</v>
      </c>
      <c r="H6010">
        <v>12</v>
      </c>
      <c r="I6010" s="3">
        <v>1540.42</v>
      </c>
      <c r="J6010" s="3">
        <v>810.27</v>
      </c>
      <c r="L6010">
        <v>250</v>
      </c>
      <c r="M6010" t="s">
        <v>13837</v>
      </c>
      <c r="N6010" t="s">
        <v>30</v>
      </c>
      <c r="O6010" t="s">
        <v>31</v>
      </c>
      <c r="P6010" t="str">
        <f>"15235"</f>
        <v>15235</v>
      </c>
    </row>
    <row r="6011" spans="1:16" x14ac:dyDescent="0.25">
      <c r="A6011" t="str">
        <f>"1120173L00082    00"</f>
        <v>1120173L00082    00</v>
      </c>
      <c r="B6011" t="s">
        <v>13838</v>
      </c>
      <c r="C6011" t="s">
        <v>13839</v>
      </c>
      <c r="D6011" t="s">
        <v>20</v>
      </c>
      <c r="E6011" t="s">
        <v>39</v>
      </c>
      <c r="F6011">
        <v>0</v>
      </c>
      <c r="G6011">
        <v>0</v>
      </c>
      <c r="H6011">
        <v>2</v>
      </c>
      <c r="I6011" s="3">
        <v>1067.44</v>
      </c>
      <c r="J6011" s="3">
        <v>0</v>
      </c>
      <c r="L6011">
        <v>1422</v>
      </c>
      <c r="M6011" t="s">
        <v>12218</v>
      </c>
      <c r="N6011" t="s">
        <v>30</v>
      </c>
      <c r="O6011" t="s">
        <v>31</v>
      </c>
      <c r="P6011" t="str">
        <f>"15221"</f>
        <v>15221</v>
      </c>
    </row>
    <row r="6012" spans="1:16" x14ac:dyDescent="0.25">
      <c r="A6012" t="str">
        <f>"1120173L00084    00"</f>
        <v>1120173L00084    00</v>
      </c>
      <c r="B6012" t="s">
        <v>13840</v>
      </c>
      <c r="C6012" t="s">
        <v>13841</v>
      </c>
      <c r="D6012" t="s">
        <v>20</v>
      </c>
      <c r="E6012" t="s">
        <v>39</v>
      </c>
      <c r="F6012">
        <v>0</v>
      </c>
      <c r="G6012">
        <v>0</v>
      </c>
      <c r="H6012">
        <v>17</v>
      </c>
      <c r="I6012" s="3">
        <v>10107.34</v>
      </c>
      <c r="J6012" s="3">
        <v>7779.27</v>
      </c>
      <c r="K6012" t="s">
        <v>13842</v>
      </c>
      <c r="L6012">
        <v>225</v>
      </c>
      <c r="M6012" t="s">
        <v>13843</v>
      </c>
      <c r="N6012" t="s">
        <v>30</v>
      </c>
      <c r="O6012" t="s">
        <v>31</v>
      </c>
      <c r="P6012" t="str">
        <f>"15235"</f>
        <v>15235</v>
      </c>
    </row>
    <row r="6013" spans="1:16" x14ac:dyDescent="0.25">
      <c r="A6013" t="str">
        <f>"1120173L00088    00"</f>
        <v>1120173L00088    00</v>
      </c>
      <c r="B6013" t="s">
        <v>13844</v>
      </c>
      <c r="C6013" t="s">
        <v>13845</v>
      </c>
      <c r="D6013" t="s">
        <v>20</v>
      </c>
      <c r="E6013" t="s">
        <v>39</v>
      </c>
      <c r="F6013">
        <v>0</v>
      </c>
      <c r="G6013">
        <v>0</v>
      </c>
      <c r="H6013">
        <v>8</v>
      </c>
      <c r="I6013" s="3">
        <v>5098.7700000000004</v>
      </c>
      <c r="J6013" s="3">
        <v>1668.4</v>
      </c>
      <c r="L6013">
        <v>1513</v>
      </c>
      <c r="M6013" t="s">
        <v>13846</v>
      </c>
      <c r="N6013" t="s">
        <v>30</v>
      </c>
      <c r="O6013" t="s">
        <v>31</v>
      </c>
      <c r="P6013" t="str">
        <f>"15206"</f>
        <v>15206</v>
      </c>
    </row>
    <row r="6014" spans="1:16" x14ac:dyDescent="0.25">
      <c r="A6014" t="str">
        <f>"1120173L00092    00"</f>
        <v>1120173L00092    00</v>
      </c>
      <c r="B6014" t="s">
        <v>13847</v>
      </c>
      <c r="C6014" t="s">
        <v>13848</v>
      </c>
      <c r="E6014" t="s">
        <v>39</v>
      </c>
      <c r="F6014">
        <v>0</v>
      </c>
      <c r="G6014">
        <v>0</v>
      </c>
      <c r="H6014">
        <v>1</v>
      </c>
      <c r="I6014" s="3">
        <v>1014.34</v>
      </c>
      <c r="J6014" s="3">
        <v>8.4499999999999993</v>
      </c>
      <c r="L6014">
        <v>1503</v>
      </c>
      <c r="M6014" t="s">
        <v>13846</v>
      </c>
      <c r="N6014" t="s">
        <v>30</v>
      </c>
      <c r="O6014" t="s">
        <v>31</v>
      </c>
      <c r="P6014" t="str">
        <f>"15206"</f>
        <v>15206</v>
      </c>
    </row>
    <row r="6015" spans="1:16" x14ac:dyDescent="0.25">
      <c r="A6015" t="str">
        <f>"1120173L00098    00"</f>
        <v>1120173L00098    00</v>
      </c>
      <c r="B6015" t="s">
        <v>13849</v>
      </c>
      <c r="C6015" t="s">
        <v>13850</v>
      </c>
      <c r="E6015" t="s">
        <v>39</v>
      </c>
      <c r="F6015">
        <v>0</v>
      </c>
      <c r="G6015">
        <v>0</v>
      </c>
      <c r="H6015">
        <v>1</v>
      </c>
      <c r="I6015" s="3">
        <v>20.98</v>
      </c>
      <c r="J6015" s="3">
        <v>0</v>
      </c>
      <c r="L6015">
        <v>1508</v>
      </c>
      <c r="M6015" t="s">
        <v>13846</v>
      </c>
      <c r="N6015" t="s">
        <v>30</v>
      </c>
      <c r="O6015" t="s">
        <v>31</v>
      </c>
      <c r="P6015" t="str">
        <f>"15206"</f>
        <v>15206</v>
      </c>
    </row>
    <row r="6016" spans="1:16" x14ac:dyDescent="0.25">
      <c r="A6016" t="str">
        <f>"1120173L00104    00"</f>
        <v>1120173L00104    00</v>
      </c>
      <c r="B6016" t="s">
        <v>13851</v>
      </c>
      <c r="C6016" t="s">
        <v>13852</v>
      </c>
      <c r="D6016" t="s">
        <v>20</v>
      </c>
      <c r="E6016" t="s">
        <v>39</v>
      </c>
      <c r="F6016">
        <v>0</v>
      </c>
      <c r="G6016">
        <v>0</v>
      </c>
      <c r="H6016">
        <v>7</v>
      </c>
      <c r="I6016" s="3">
        <v>455.06</v>
      </c>
      <c r="J6016" s="3">
        <v>133.25</v>
      </c>
      <c r="L6016">
        <v>1528</v>
      </c>
      <c r="M6016" t="s">
        <v>13846</v>
      </c>
      <c r="N6016" t="s">
        <v>30</v>
      </c>
      <c r="O6016" t="s">
        <v>31</v>
      </c>
      <c r="P6016" t="str">
        <f>"15206"</f>
        <v>15206</v>
      </c>
    </row>
    <row r="6017" spans="1:16" x14ac:dyDescent="0.25">
      <c r="A6017" t="str">
        <f>"1120173L00108    00"</f>
        <v>1120173L00108    00</v>
      </c>
      <c r="B6017" t="s">
        <v>13853</v>
      </c>
      <c r="C6017" t="s">
        <v>13854</v>
      </c>
      <c r="E6017" t="s">
        <v>39</v>
      </c>
      <c r="F6017">
        <v>0</v>
      </c>
      <c r="G6017">
        <v>0</v>
      </c>
      <c r="H6017">
        <v>14</v>
      </c>
      <c r="I6017" s="3">
        <v>8034.77</v>
      </c>
      <c r="J6017" s="3">
        <v>5740.17</v>
      </c>
      <c r="K6017" t="s">
        <v>13855</v>
      </c>
      <c r="L6017">
        <v>1724</v>
      </c>
      <c r="M6017" t="s">
        <v>13856</v>
      </c>
      <c r="N6017" t="s">
        <v>30</v>
      </c>
      <c r="O6017" t="s">
        <v>31</v>
      </c>
      <c r="P6017" t="str">
        <f>"15212"</f>
        <v>15212</v>
      </c>
    </row>
    <row r="6018" spans="1:16" x14ac:dyDescent="0.25">
      <c r="A6018" t="str">
        <f>"1120173L00112    00"</f>
        <v>1120173L00112    00</v>
      </c>
      <c r="B6018" t="s">
        <v>13857</v>
      </c>
      <c r="C6018" t="s">
        <v>13858</v>
      </c>
      <c r="D6018" t="s">
        <v>20</v>
      </c>
      <c r="E6018" t="s">
        <v>39</v>
      </c>
      <c r="F6018">
        <v>0</v>
      </c>
      <c r="G6018">
        <v>0</v>
      </c>
      <c r="H6018">
        <v>5</v>
      </c>
      <c r="I6018" s="3">
        <v>3337.2</v>
      </c>
      <c r="J6018" s="3">
        <v>433.92</v>
      </c>
      <c r="M6018" t="s">
        <v>13859</v>
      </c>
      <c r="N6018" t="s">
        <v>13860</v>
      </c>
      <c r="O6018" t="s">
        <v>13861</v>
      </c>
      <c r="P6018" t="str">
        <f>"00841"</f>
        <v>00841</v>
      </c>
    </row>
    <row r="6019" spans="1:16" x14ac:dyDescent="0.25">
      <c r="A6019" t="str">
        <f>"1120173L00115    00"</f>
        <v>1120173L00115    00</v>
      </c>
      <c r="B6019" t="s">
        <v>13862</v>
      </c>
      <c r="C6019" t="s">
        <v>13863</v>
      </c>
      <c r="D6019" t="s">
        <v>20</v>
      </c>
      <c r="E6019" t="s">
        <v>39</v>
      </c>
      <c r="F6019">
        <v>0</v>
      </c>
      <c r="G6019">
        <v>0</v>
      </c>
      <c r="H6019">
        <v>5</v>
      </c>
      <c r="I6019" s="3">
        <v>2207.52</v>
      </c>
      <c r="J6019" s="3">
        <v>300.07</v>
      </c>
      <c r="K6019" t="s">
        <v>13864</v>
      </c>
      <c r="L6019">
        <v>93</v>
      </c>
      <c r="M6019" t="s">
        <v>5127</v>
      </c>
      <c r="N6019" t="s">
        <v>30</v>
      </c>
      <c r="O6019" t="s">
        <v>31</v>
      </c>
      <c r="P6019" t="str">
        <f>"15235"</f>
        <v>15235</v>
      </c>
    </row>
    <row r="6020" spans="1:16" x14ac:dyDescent="0.25">
      <c r="A6020" t="str">
        <f>"1120173L00116    00"</f>
        <v>1120173L00116    00</v>
      </c>
      <c r="B6020" t="s">
        <v>11751</v>
      </c>
      <c r="C6020" t="s">
        <v>13865</v>
      </c>
      <c r="D6020" t="s">
        <v>20</v>
      </c>
      <c r="E6020" t="s">
        <v>21</v>
      </c>
      <c r="F6020">
        <v>0</v>
      </c>
      <c r="G6020">
        <v>0</v>
      </c>
      <c r="H6020">
        <v>5</v>
      </c>
      <c r="I6020" s="3">
        <v>2908.59</v>
      </c>
      <c r="J6020" s="3">
        <v>699.37</v>
      </c>
      <c r="L6020">
        <v>1218</v>
      </c>
      <c r="M6020" t="s">
        <v>11753</v>
      </c>
      <c r="N6020" t="s">
        <v>30</v>
      </c>
      <c r="O6020" t="s">
        <v>31</v>
      </c>
      <c r="P6020" t="str">
        <f>"15206"</f>
        <v>15206</v>
      </c>
    </row>
    <row r="6021" spans="1:16" x14ac:dyDescent="0.25">
      <c r="A6021" t="str">
        <f>"1120173L00126    00"</f>
        <v>1120173L00126    00</v>
      </c>
      <c r="B6021" t="s">
        <v>13306</v>
      </c>
      <c r="C6021" t="s">
        <v>13866</v>
      </c>
      <c r="D6021" t="s">
        <v>20</v>
      </c>
      <c r="E6021" t="s">
        <v>39</v>
      </c>
      <c r="F6021">
        <v>0</v>
      </c>
      <c r="G6021">
        <v>0</v>
      </c>
      <c r="H6021">
        <v>2</v>
      </c>
      <c r="I6021" s="3">
        <v>1290.4000000000001</v>
      </c>
      <c r="J6021" s="3">
        <v>0</v>
      </c>
      <c r="L6021">
        <v>1422</v>
      </c>
      <c r="M6021" t="s">
        <v>12218</v>
      </c>
      <c r="N6021" t="s">
        <v>30</v>
      </c>
      <c r="O6021" t="s">
        <v>31</v>
      </c>
      <c r="P6021" t="str">
        <f>"15221"</f>
        <v>15221</v>
      </c>
    </row>
    <row r="6022" spans="1:16" x14ac:dyDescent="0.25">
      <c r="A6022" t="str">
        <f>"1120173L00127    00"</f>
        <v>1120173L00127    00</v>
      </c>
      <c r="B6022" t="s">
        <v>13867</v>
      </c>
      <c r="C6022" t="s">
        <v>11125</v>
      </c>
      <c r="D6022" t="s">
        <v>20</v>
      </c>
      <c r="E6022" t="s">
        <v>39</v>
      </c>
      <c r="F6022">
        <v>0</v>
      </c>
      <c r="G6022">
        <v>0</v>
      </c>
      <c r="H6022">
        <v>19</v>
      </c>
      <c r="I6022" s="3">
        <v>2909.73</v>
      </c>
      <c r="J6022" s="3">
        <v>2320.0700000000002</v>
      </c>
      <c r="L6022">
        <v>2625</v>
      </c>
      <c r="M6022" t="s">
        <v>13868</v>
      </c>
      <c r="N6022" t="s">
        <v>605</v>
      </c>
      <c r="O6022" t="s">
        <v>606</v>
      </c>
      <c r="P6022" t="str">
        <f>"30324"</f>
        <v>30324</v>
      </c>
    </row>
    <row r="6023" spans="1:16" x14ac:dyDescent="0.25">
      <c r="A6023" t="str">
        <f>"1120173L00131    00"</f>
        <v>1120173L00131    00</v>
      </c>
      <c r="B6023" t="s">
        <v>13869</v>
      </c>
      <c r="C6023" t="s">
        <v>11125</v>
      </c>
      <c r="D6023" t="s">
        <v>20</v>
      </c>
      <c r="E6023" t="s">
        <v>39</v>
      </c>
      <c r="F6023">
        <v>0</v>
      </c>
      <c r="G6023">
        <v>0</v>
      </c>
      <c r="H6023">
        <v>19</v>
      </c>
      <c r="I6023" s="3">
        <v>8910.43</v>
      </c>
      <c r="J6023" s="3">
        <v>10269.36</v>
      </c>
      <c r="L6023">
        <v>7336</v>
      </c>
      <c r="M6023" t="s">
        <v>2507</v>
      </c>
      <c r="N6023" t="s">
        <v>30</v>
      </c>
      <c r="O6023" t="s">
        <v>31</v>
      </c>
      <c r="P6023" t="str">
        <f>"15235"</f>
        <v>15235</v>
      </c>
    </row>
    <row r="6024" spans="1:16" x14ac:dyDescent="0.25">
      <c r="A6024" t="str">
        <f>"1120173L00133    00"</f>
        <v>1120173L00133    00</v>
      </c>
      <c r="B6024" t="s">
        <v>13870</v>
      </c>
      <c r="C6024" t="s">
        <v>13871</v>
      </c>
      <c r="D6024" t="s">
        <v>20</v>
      </c>
      <c r="E6024" t="s">
        <v>39</v>
      </c>
      <c r="F6024">
        <v>0</v>
      </c>
      <c r="G6024">
        <v>0</v>
      </c>
      <c r="H6024">
        <v>1</v>
      </c>
      <c r="I6024" s="3">
        <v>590.88</v>
      </c>
      <c r="J6024" s="3">
        <v>0</v>
      </c>
      <c r="K6024" t="s">
        <v>13872</v>
      </c>
      <c r="L6024">
        <v>3201</v>
      </c>
      <c r="M6024" t="s">
        <v>2154</v>
      </c>
      <c r="N6024" t="s">
        <v>30</v>
      </c>
      <c r="O6024" t="s">
        <v>31</v>
      </c>
      <c r="P6024" t="str">
        <f>"15213"</f>
        <v>15213</v>
      </c>
    </row>
    <row r="6025" spans="1:16" x14ac:dyDescent="0.25">
      <c r="A6025" t="str">
        <f>"1120173L00140    00"</f>
        <v>1120173L00140    00</v>
      </c>
      <c r="B6025" t="s">
        <v>13873</v>
      </c>
      <c r="C6025" t="s">
        <v>13874</v>
      </c>
      <c r="D6025" t="s">
        <v>57</v>
      </c>
      <c r="E6025" t="s">
        <v>39</v>
      </c>
      <c r="F6025">
        <v>0</v>
      </c>
      <c r="G6025">
        <v>0</v>
      </c>
      <c r="H6025">
        <v>1</v>
      </c>
      <c r="I6025" s="3">
        <v>657.22</v>
      </c>
      <c r="J6025" s="3">
        <v>0</v>
      </c>
      <c r="L6025">
        <v>200</v>
      </c>
      <c r="M6025" t="s">
        <v>13875</v>
      </c>
      <c r="N6025" t="s">
        <v>13876</v>
      </c>
      <c r="O6025" t="s">
        <v>31</v>
      </c>
      <c r="P6025" t="str">
        <f>"18301"</f>
        <v>18301</v>
      </c>
    </row>
    <row r="6026" spans="1:16" x14ac:dyDescent="0.25">
      <c r="A6026" t="str">
        <f>"1120173L00171    00"</f>
        <v>1120173L00171    00</v>
      </c>
      <c r="B6026" t="s">
        <v>13877</v>
      </c>
      <c r="C6026" t="s">
        <v>13878</v>
      </c>
      <c r="D6026" t="s">
        <v>20</v>
      </c>
      <c r="E6026" t="s">
        <v>39</v>
      </c>
      <c r="F6026">
        <v>0</v>
      </c>
      <c r="G6026">
        <v>0</v>
      </c>
      <c r="H6026">
        <v>2</v>
      </c>
      <c r="I6026" s="3">
        <v>569.44000000000005</v>
      </c>
      <c r="J6026" s="3">
        <v>0</v>
      </c>
      <c r="K6026" t="s">
        <v>1632</v>
      </c>
      <c r="L6026">
        <v>3001</v>
      </c>
      <c r="M6026" t="s">
        <v>330</v>
      </c>
      <c r="N6026" t="s">
        <v>331</v>
      </c>
      <c r="O6026" t="s">
        <v>108</v>
      </c>
      <c r="P6026" t="str">
        <f>"75063"</f>
        <v>75063</v>
      </c>
    </row>
    <row r="6027" spans="1:16" x14ac:dyDescent="0.25">
      <c r="A6027" t="str">
        <f>"1120173N00006    00"</f>
        <v>1120173N00006    00</v>
      </c>
      <c r="B6027" t="s">
        <v>13682</v>
      </c>
      <c r="C6027" t="s">
        <v>13879</v>
      </c>
      <c r="D6027" t="s">
        <v>20</v>
      </c>
      <c r="E6027" t="s">
        <v>21</v>
      </c>
      <c r="F6027">
        <v>0</v>
      </c>
      <c r="G6027">
        <v>0</v>
      </c>
      <c r="H6027">
        <v>1</v>
      </c>
      <c r="I6027" s="3">
        <v>1238.92</v>
      </c>
      <c r="J6027" s="3">
        <v>0</v>
      </c>
      <c r="K6027" t="s">
        <v>13683</v>
      </c>
      <c r="L6027">
        <v>1204</v>
      </c>
      <c r="M6027" t="s">
        <v>2789</v>
      </c>
      <c r="N6027" t="s">
        <v>30</v>
      </c>
      <c r="O6027" t="s">
        <v>31</v>
      </c>
      <c r="P6027" t="str">
        <f>"15206"</f>
        <v>15206</v>
      </c>
    </row>
    <row r="6028" spans="1:16" x14ac:dyDescent="0.25">
      <c r="A6028" t="str">
        <f>"1120173N00009    00"</f>
        <v>1120173N00009    00</v>
      </c>
      <c r="B6028" t="s">
        <v>13682</v>
      </c>
      <c r="C6028" t="s">
        <v>13880</v>
      </c>
      <c r="D6028" t="s">
        <v>20</v>
      </c>
      <c r="E6028" t="s">
        <v>21</v>
      </c>
      <c r="F6028">
        <v>0</v>
      </c>
      <c r="G6028">
        <v>0</v>
      </c>
      <c r="H6028">
        <v>2</v>
      </c>
      <c r="I6028" s="3">
        <v>1036.9000000000001</v>
      </c>
      <c r="J6028" s="3">
        <v>0</v>
      </c>
      <c r="K6028" t="s">
        <v>13683</v>
      </c>
      <c r="L6028">
        <v>234</v>
      </c>
      <c r="M6028" t="s">
        <v>13881</v>
      </c>
      <c r="N6028" t="s">
        <v>30</v>
      </c>
      <c r="O6028" t="s">
        <v>31</v>
      </c>
      <c r="P6028" t="str">
        <f>"15213"</f>
        <v>15213</v>
      </c>
    </row>
    <row r="6029" spans="1:16" x14ac:dyDescent="0.25">
      <c r="A6029" t="str">
        <f>"1120173N00066    00"</f>
        <v>1120173N00066    00</v>
      </c>
      <c r="B6029" t="s">
        <v>13882</v>
      </c>
      <c r="C6029" t="s">
        <v>11235</v>
      </c>
      <c r="D6029" t="s">
        <v>20</v>
      </c>
      <c r="E6029" t="s">
        <v>39</v>
      </c>
      <c r="F6029">
        <v>0</v>
      </c>
      <c r="G6029">
        <v>0</v>
      </c>
      <c r="H6029">
        <v>19</v>
      </c>
      <c r="I6029" s="3">
        <v>1130.21</v>
      </c>
      <c r="J6029" s="3">
        <v>867.36</v>
      </c>
      <c r="K6029" t="s">
        <v>1037</v>
      </c>
      <c r="L6029">
        <v>23</v>
      </c>
      <c r="M6029" t="s">
        <v>13883</v>
      </c>
      <c r="N6029" t="s">
        <v>30</v>
      </c>
      <c r="O6029" t="s">
        <v>31</v>
      </c>
      <c r="P6029" t="str">
        <f>"15214"</f>
        <v>15214</v>
      </c>
    </row>
    <row r="6030" spans="1:16" x14ac:dyDescent="0.25">
      <c r="A6030" t="str">
        <f>"1120173N00068    00"</f>
        <v>1120173N00068    00</v>
      </c>
      <c r="B6030" t="s">
        <v>13884</v>
      </c>
      <c r="C6030" t="s">
        <v>13885</v>
      </c>
      <c r="D6030" t="s">
        <v>20</v>
      </c>
      <c r="E6030" t="s">
        <v>39</v>
      </c>
      <c r="F6030">
        <v>0</v>
      </c>
      <c r="G6030">
        <v>0</v>
      </c>
      <c r="H6030">
        <v>6</v>
      </c>
      <c r="I6030" s="3">
        <v>7548.9</v>
      </c>
      <c r="J6030" s="3">
        <v>1633.97</v>
      </c>
      <c r="L6030">
        <v>7047</v>
      </c>
      <c r="M6030" t="s">
        <v>11228</v>
      </c>
      <c r="N6030" t="s">
        <v>30</v>
      </c>
      <c r="O6030" t="s">
        <v>31</v>
      </c>
      <c r="P6030" t="str">
        <f>"15206"</f>
        <v>15206</v>
      </c>
    </row>
    <row r="6031" spans="1:16" x14ac:dyDescent="0.25">
      <c r="A6031" t="str">
        <f>"1120173N00073    00"</f>
        <v>1120173N00073    00</v>
      </c>
      <c r="B6031" t="s">
        <v>13886</v>
      </c>
      <c r="C6031" t="s">
        <v>11235</v>
      </c>
      <c r="D6031" t="s">
        <v>20</v>
      </c>
      <c r="E6031" t="s">
        <v>39</v>
      </c>
      <c r="F6031">
        <v>0</v>
      </c>
      <c r="G6031">
        <v>0</v>
      </c>
      <c r="H6031">
        <v>19</v>
      </c>
      <c r="I6031" s="3">
        <v>691.09</v>
      </c>
      <c r="J6031" s="3">
        <v>635.22</v>
      </c>
      <c r="K6031" t="s">
        <v>1008</v>
      </c>
      <c r="P6031" t="str">
        <f>""</f>
        <v/>
      </c>
    </row>
    <row r="6032" spans="1:16" x14ac:dyDescent="0.25">
      <c r="A6032" t="str">
        <f>"1120173N00075    00"</f>
        <v>1120173N00075    00</v>
      </c>
      <c r="B6032" t="s">
        <v>13886</v>
      </c>
      <c r="C6032" t="s">
        <v>11235</v>
      </c>
      <c r="D6032" t="s">
        <v>20</v>
      </c>
      <c r="E6032" t="s">
        <v>39</v>
      </c>
      <c r="F6032">
        <v>0</v>
      </c>
      <c r="G6032">
        <v>0</v>
      </c>
      <c r="H6032">
        <v>19</v>
      </c>
      <c r="I6032" s="3">
        <v>556.76</v>
      </c>
      <c r="J6032" s="3">
        <v>541.84</v>
      </c>
      <c r="K6032" t="s">
        <v>1008</v>
      </c>
      <c r="P6032" t="str">
        <f>""</f>
        <v/>
      </c>
    </row>
    <row r="6033" spans="1:16" x14ac:dyDescent="0.25">
      <c r="A6033" t="str">
        <f>"1120173N00076    00"</f>
        <v>1120173N00076    00</v>
      </c>
      <c r="B6033" t="s">
        <v>13886</v>
      </c>
      <c r="C6033" t="s">
        <v>11235</v>
      </c>
      <c r="D6033" t="s">
        <v>20</v>
      </c>
      <c r="E6033" t="s">
        <v>39</v>
      </c>
      <c r="F6033">
        <v>0</v>
      </c>
      <c r="G6033">
        <v>0</v>
      </c>
      <c r="H6033">
        <v>19</v>
      </c>
      <c r="I6033" s="3">
        <v>1270.2</v>
      </c>
      <c r="J6033" s="3">
        <v>1008.81</v>
      </c>
      <c r="L6033">
        <v>1205</v>
      </c>
      <c r="M6033" t="s">
        <v>13887</v>
      </c>
      <c r="N6033" t="s">
        <v>30</v>
      </c>
      <c r="O6033" t="s">
        <v>31</v>
      </c>
      <c r="P6033" t="str">
        <f>"15221"</f>
        <v>15221</v>
      </c>
    </row>
    <row r="6034" spans="1:16" x14ac:dyDescent="0.25">
      <c r="A6034" t="str">
        <f>"1120173N00078    00"</f>
        <v>1120173N00078    00</v>
      </c>
      <c r="B6034" t="s">
        <v>13888</v>
      </c>
      <c r="C6034" t="s">
        <v>11235</v>
      </c>
      <c r="D6034" t="s">
        <v>20</v>
      </c>
      <c r="E6034" t="s">
        <v>39</v>
      </c>
      <c r="F6034">
        <v>0</v>
      </c>
      <c r="G6034">
        <v>0</v>
      </c>
      <c r="H6034">
        <v>19</v>
      </c>
      <c r="I6034" s="3">
        <v>1270.2</v>
      </c>
      <c r="J6034" s="3">
        <v>1008.81</v>
      </c>
      <c r="K6034" t="s">
        <v>1008</v>
      </c>
      <c r="P6034" t="str">
        <f>""</f>
        <v/>
      </c>
    </row>
    <row r="6035" spans="1:16" x14ac:dyDescent="0.25">
      <c r="A6035" t="str">
        <f>"1120173N00080    00"</f>
        <v>1120173N00080    00</v>
      </c>
      <c r="B6035" t="s">
        <v>13889</v>
      </c>
      <c r="C6035" t="s">
        <v>11235</v>
      </c>
      <c r="D6035" t="s">
        <v>20</v>
      </c>
      <c r="E6035" t="s">
        <v>39</v>
      </c>
      <c r="F6035">
        <v>0</v>
      </c>
      <c r="G6035">
        <v>0</v>
      </c>
      <c r="H6035">
        <v>19</v>
      </c>
      <c r="I6035" s="3">
        <v>425</v>
      </c>
      <c r="J6035" s="3">
        <v>472.18</v>
      </c>
      <c r="K6035" t="s">
        <v>1008</v>
      </c>
      <c r="P6035" t="str">
        <f>""</f>
        <v/>
      </c>
    </row>
    <row r="6036" spans="1:16" x14ac:dyDescent="0.25">
      <c r="A6036" t="str">
        <f>"1120173N00081    00"</f>
        <v>1120173N00081    00</v>
      </c>
      <c r="B6036" t="s">
        <v>13890</v>
      </c>
      <c r="C6036" t="s">
        <v>11125</v>
      </c>
      <c r="D6036" t="s">
        <v>20</v>
      </c>
      <c r="E6036" t="s">
        <v>39</v>
      </c>
      <c r="F6036">
        <v>0</v>
      </c>
      <c r="G6036">
        <v>0</v>
      </c>
      <c r="H6036">
        <v>19</v>
      </c>
      <c r="I6036" s="3">
        <v>425</v>
      </c>
      <c r="J6036" s="3">
        <v>472.18</v>
      </c>
      <c r="K6036" t="s">
        <v>1008</v>
      </c>
      <c r="P6036" t="str">
        <f>""</f>
        <v/>
      </c>
    </row>
    <row r="6037" spans="1:16" x14ac:dyDescent="0.25">
      <c r="A6037" t="str">
        <f>"1120173N00082    00"</f>
        <v>1120173N00082    00</v>
      </c>
      <c r="B6037" t="s">
        <v>13891</v>
      </c>
      <c r="C6037" t="s">
        <v>11235</v>
      </c>
      <c r="D6037" t="s">
        <v>20</v>
      </c>
      <c r="E6037" t="s">
        <v>39</v>
      </c>
      <c r="F6037">
        <v>0</v>
      </c>
      <c r="G6037">
        <v>0</v>
      </c>
      <c r="H6037">
        <v>19</v>
      </c>
      <c r="I6037" s="3">
        <v>1270.2</v>
      </c>
      <c r="J6037" s="3">
        <v>1008.81</v>
      </c>
      <c r="L6037">
        <v>1295</v>
      </c>
      <c r="M6037" t="s">
        <v>13892</v>
      </c>
      <c r="N6037" t="s">
        <v>30</v>
      </c>
      <c r="O6037" t="s">
        <v>31</v>
      </c>
      <c r="P6037" t="str">
        <f>"15221"</f>
        <v>15221</v>
      </c>
    </row>
    <row r="6038" spans="1:16" x14ac:dyDescent="0.25">
      <c r="A6038" t="str">
        <f>"1120173N00087    00"</f>
        <v>1120173N00087    00</v>
      </c>
      <c r="B6038" t="s">
        <v>13893</v>
      </c>
      <c r="C6038" t="s">
        <v>13894</v>
      </c>
      <c r="D6038" t="s">
        <v>20</v>
      </c>
      <c r="E6038" t="s">
        <v>39</v>
      </c>
      <c r="F6038">
        <v>0</v>
      </c>
      <c r="G6038">
        <v>0</v>
      </c>
      <c r="H6038">
        <v>2</v>
      </c>
      <c r="I6038" s="3">
        <v>678.58</v>
      </c>
      <c r="J6038" s="3">
        <v>0</v>
      </c>
      <c r="K6038" t="s">
        <v>13895</v>
      </c>
      <c r="L6038">
        <v>1205</v>
      </c>
      <c r="M6038" t="s">
        <v>13896</v>
      </c>
      <c r="N6038" t="s">
        <v>30</v>
      </c>
      <c r="O6038" t="s">
        <v>31</v>
      </c>
      <c r="P6038" t="str">
        <f>"15212"</f>
        <v>15212</v>
      </c>
    </row>
    <row r="6039" spans="1:16" x14ac:dyDescent="0.25">
      <c r="A6039" t="str">
        <f>"1120173N00159    00"</f>
        <v>1120173N00159    00</v>
      </c>
      <c r="B6039" t="s">
        <v>13897</v>
      </c>
      <c r="C6039" t="s">
        <v>12038</v>
      </c>
      <c r="D6039" t="s">
        <v>20</v>
      </c>
      <c r="E6039" t="s">
        <v>21</v>
      </c>
      <c r="F6039">
        <v>0</v>
      </c>
      <c r="G6039">
        <v>0</v>
      </c>
      <c r="H6039">
        <v>19</v>
      </c>
      <c r="I6039" s="3">
        <v>4328.5600000000004</v>
      </c>
      <c r="J6039" s="3">
        <v>5186.4799999999996</v>
      </c>
      <c r="K6039" t="s">
        <v>13898</v>
      </c>
      <c r="L6039">
        <v>7003</v>
      </c>
      <c r="M6039" t="s">
        <v>12221</v>
      </c>
      <c r="N6039" t="s">
        <v>30</v>
      </c>
      <c r="O6039" t="s">
        <v>31</v>
      </c>
      <c r="P6039" t="str">
        <f>"15208"</f>
        <v>15208</v>
      </c>
    </row>
    <row r="6040" spans="1:16" x14ac:dyDescent="0.25">
      <c r="A6040" t="str">
        <f>"1120173N00161    00"</f>
        <v>1120173N00161    00</v>
      </c>
      <c r="B6040" t="s">
        <v>13899</v>
      </c>
      <c r="C6040" t="s">
        <v>12038</v>
      </c>
      <c r="E6040" t="s">
        <v>39</v>
      </c>
      <c r="F6040">
        <v>0</v>
      </c>
      <c r="G6040">
        <v>0</v>
      </c>
      <c r="H6040">
        <v>12</v>
      </c>
      <c r="I6040" s="3">
        <v>286.64</v>
      </c>
      <c r="J6040" s="3">
        <v>365.42</v>
      </c>
      <c r="K6040" t="s">
        <v>13900</v>
      </c>
      <c r="L6040">
        <v>6517</v>
      </c>
      <c r="M6040" t="s">
        <v>3089</v>
      </c>
      <c r="N6040" t="s">
        <v>30</v>
      </c>
      <c r="O6040" t="s">
        <v>31</v>
      </c>
      <c r="P6040" t="str">
        <f>"15206"</f>
        <v>15206</v>
      </c>
    </row>
    <row r="6041" spans="1:16" x14ac:dyDescent="0.25">
      <c r="A6041" t="str">
        <f>"1120173N00165    00"</f>
        <v>1120173N00165    00</v>
      </c>
      <c r="B6041" t="s">
        <v>13901</v>
      </c>
      <c r="C6041" t="s">
        <v>13902</v>
      </c>
      <c r="D6041" t="s">
        <v>20</v>
      </c>
      <c r="E6041" t="s">
        <v>39</v>
      </c>
      <c r="F6041">
        <v>0</v>
      </c>
      <c r="G6041">
        <v>0</v>
      </c>
      <c r="H6041">
        <v>17</v>
      </c>
      <c r="I6041" s="3">
        <v>270.55</v>
      </c>
      <c r="J6041" s="3">
        <v>324.22000000000003</v>
      </c>
      <c r="K6041" t="s">
        <v>1008</v>
      </c>
      <c r="P6041" t="str">
        <f>""</f>
        <v/>
      </c>
    </row>
    <row r="6042" spans="1:16" x14ac:dyDescent="0.25">
      <c r="A6042" t="str">
        <f>"1120173N00169    00"</f>
        <v>1120173N00169    00</v>
      </c>
      <c r="B6042" t="s">
        <v>13903</v>
      </c>
      <c r="C6042" t="s">
        <v>13904</v>
      </c>
      <c r="D6042" t="s">
        <v>20</v>
      </c>
      <c r="E6042" t="s">
        <v>39</v>
      </c>
      <c r="F6042">
        <v>0</v>
      </c>
      <c r="G6042">
        <v>0</v>
      </c>
      <c r="H6042">
        <v>17</v>
      </c>
      <c r="I6042" s="3">
        <v>8412.5</v>
      </c>
      <c r="J6042" s="3">
        <v>9169.99</v>
      </c>
      <c r="K6042" t="s">
        <v>13905</v>
      </c>
      <c r="L6042">
        <v>709</v>
      </c>
      <c r="M6042" t="s">
        <v>13906</v>
      </c>
      <c r="N6042" t="s">
        <v>30</v>
      </c>
      <c r="O6042" t="s">
        <v>31</v>
      </c>
      <c r="P6042" t="str">
        <f>"15208"</f>
        <v>15208</v>
      </c>
    </row>
    <row r="6043" spans="1:16" x14ac:dyDescent="0.25">
      <c r="A6043" t="str">
        <f>"1120173N00172    00"</f>
        <v>1120173N00172    00</v>
      </c>
      <c r="B6043" t="s">
        <v>13907</v>
      </c>
      <c r="C6043" t="s">
        <v>13908</v>
      </c>
      <c r="D6043" t="s">
        <v>20</v>
      </c>
      <c r="E6043" t="s">
        <v>39</v>
      </c>
      <c r="F6043">
        <v>0</v>
      </c>
      <c r="G6043">
        <v>0</v>
      </c>
      <c r="H6043">
        <v>1</v>
      </c>
      <c r="I6043" s="3">
        <v>432.67</v>
      </c>
      <c r="J6043" s="3">
        <v>0</v>
      </c>
      <c r="K6043" t="s">
        <v>13909</v>
      </c>
      <c r="L6043">
        <v>6939</v>
      </c>
      <c r="M6043" t="s">
        <v>12221</v>
      </c>
      <c r="N6043" t="s">
        <v>30</v>
      </c>
      <c r="O6043" t="s">
        <v>31</v>
      </c>
      <c r="P6043" t="str">
        <f>"15208"</f>
        <v>15208</v>
      </c>
    </row>
    <row r="6044" spans="1:16" x14ac:dyDescent="0.25">
      <c r="A6044" t="str">
        <f>"1120173N00276    00"</f>
        <v>1120173N00276    00</v>
      </c>
      <c r="B6044" t="s">
        <v>13910</v>
      </c>
      <c r="C6044" t="s">
        <v>13911</v>
      </c>
      <c r="D6044" t="s">
        <v>20</v>
      </c>
      <c r="E6044" t="s">
        <v>39</v>
      </c>
      <c r="F6044">
        <v>0</v>
      </c>
      <c r="G6044">
        <v>0</v>
      </c>
      <c r="H6044">
        <v>17</v>
      </c>
      <c r="I6044" s="3">
        <v>2611.37</v>
      </c>
      <c r="J6044" s="3">
        <v>2820.7</v>
      </c>
      <c r="L6044">
        <v>4749</v>
      </c>
      <c r="M6044" t="s">
        <v>2720</v>
      </c>
      <c r="N6044" t="s">
        <v>30</v>
      </c>
      <c r="O6044" t="s">
        <v>31</v>
      </c>
      <c r="P6044" t="str">
        <f>"15213"</f>
        <v>15213</v>
      </c>
    </row>
    <row r="6045" spans="1:16" x14ac:dyDescent="0.25">
      <c r="A6045" t="str">
        <f>"1120173N00277    00"</f>
        <v>1120173N00277    00</v>
      </c>
      <c r="B6045" t="s">
        <v>13912</v>
      </c>
      <c r="C6045" t="s">
        <v>13911</v>
      </c>
      <c r="D6045" t="s">
        <v>20</v>
      </c>
      <c r="E6045" t="s">
        <v>39</v>
      </c>
      <c r="F6045">
        <v>0</v>
      </c>
      <c r="G6045">
        <v>0</v>
      </c>
      <c r="H6045">
        <v>13</v>
      </c>
      <c r="I6045" s="3">
        <v>2093.36</v>
      </c>
      <c r="J6045" s="3">
        <v>2261.44</v>
      </c>
      <c r="M6045" t="s">
        <v>13913</v>
      </c>
      <c r="N6045" t="s">
        <v>30</v>
      </c>
      <c r="O6045" t="s">
        <v>31</v>
      </c>
      <c r="P6045" t="str">
        <f>"15208"</f>
        <v>15208</v>
      </c>
    </row>
    <row r="6046" spans="1:16" x14ac:dyDescent="0.25">
      <c r="A6046" t="str">
        <f>"1120173N00279    00"</f>
        <v>1120173N00279    00</v>
      </c>
      <c r="B6046" t="s">
        <v>13914</v>
      </c>
      <c r="C6046" t="s">
        <v>13911</v>
      </c>
      <c r="D6046" t="s">
        <v>20</v>
      </c>
      <c r="E6046" t="s">
        <v>39</v>
      </c>
      <c r="F6046">
        <v>0</v>
      </c>
      <c r="G6046">
        <v>0</v>
      </c>
      <c r="H6046">
        <v>19</v>
      </c>
      <c r="I6046" s="3">
        <v>5981.61</v>
      </c>
      <c r="J6046" s="3">
        <v>8210</v>
      </c>
      <c r="P6046" t="str">
        <f>""</f>
        <v/>
      </c>
    </row>
    <row r="6047" spans="1:16" x14ac:dyDescent="0.25">
      <c r="A6047" t="str">
        <f>"1120173N00280    00"</f>
        <v>1120173N00280    00</v>
      </c>
      <c r="B6047" t="s">
        <v>13915</v>
      </c>
      <c r="C6047" t="s">
        <v>13916</v>
      </c>
      <c r="D6047" t="s">
        <v>20</v>
      </c>
      <c r="E6047" t="s">
        <v>39</v>
      </c>
      <c r="F6047">
        <v>0</v>
      </c>
      <c r="G6047">
        <v>0</v>
      </c>
      <c r="H6047">
        <v>5</v>
      </c>
      <c r="I6047" s="3">
        <v>612.35</v>
      </c>
      <c r="J6047" s="3">
        <v>105.81</v>
      </c>
      <c r="L6047">
        <v>719</v>
      </c>
      <c r="M6047" t="s">
        <v>3580</v>
      </c>
      <c r="N6047" t="s">
        <v>1353</v>
      </c>
      <c r="O6047" t="s">
        <v>31</v>
      </c>
      <c r="P6047" t="str">
        <f>"15085"</f>
        <v>15085</v>
      </c>
    </row>
    <row r="6048" spans="1:16" x14ac:dyDescent="0.25">
      <c r="A6048" t="str">
        <f>"1120173N00281    00"</f>
        <v>1120173N00281    00</v>
      </c>
      <c r="B6048" t="s">
        <v>13917</v>
      </c>
      <c r="C6048" t="s">
        <v>13918</v>
      </c>
      <c r="E6048" t="s">
        <v>39</v>
      </c>
      <c r="F6048">
        <v>0</v>
      </c>
      <c r="G6048">
        <v>0</v>
      </c>
      <c r="H6048">
        <v>5</v>
      </c>
      <c r="I6048" s="3">
        <v>3813.48</v>
      </c>
      <c r="J6048" s="3">
        <v>5742.71</v>
      </c>
      <c r="L6048">
        <v>1507</v>
      </c>
      <c r="M6048" t="s">
        <v>12412</v>
      </c>
      <c r="N6048" t="s">
        <v>30</v>
      </c>
      <c r="O6048" t="s">
        <v>31</v>
      </c>
      <c r="P6048" t="str">
        <f>"15208"</f>
        <v>15208</v>
      </c>
    </row>
    <row r="6049" spans="1:16" x14ac:dyDescent="0.25">
      <c r="A6049" t="str">
        <f>"1120173N00283    00"</f>
        <v>1120173N00283    00</v>
      </c>
      <c r="B6049" t="s">
        <v>13919</v>
      </c>
      <c r="C6049" t="s">
        <v>13911</v>
      </c>
      <c r="D6049" t="s">
        <v>20</v>
      </c>
      <c r="E6049" t="s">
        <v>39</v>
      </c>
      <c r="F6049">
        <v>0</v>
      </c>
      <c r="G6049">
        <v>0</v>
      </c>
      <c r="H6049">
        <v>19</v>
      </c>
      <c r="I6049" s="3">
        <v>4440.33</v>
      </c>
      <c r="J6049" s="3">
        <v>6228.71</v>
      </c>
      <c r="L6049">
        <v>101</v>
      </c>
      <c r="M6049" t="s">
        <v>13920</v>
      </c>
      <c r="N6049" t="s">
        <v>30</v>
      </c>
      <c r="O6049" t="s">
        <v>31</v>
      </c>
      <c r="P6049" t="str">
        <f>"15235"</f>
        <v>15235</v>
      </c>
    </row>
    <row r="6050" spans="1:16" x14ac:dyDescent="0.25">
      <c r="A6050" t="str">
        <f>"1120173P00008    00"</f>
        <v>1120173P00008    00</v>
      </c>
      <c r="B6050" t="s">
        <v>13921</v>
      </c>
      <c r="C6050" t="s">
        <v>13922</v>
      </c>
      <c r="D6050" t="s">
        <v>20</v>
      </c>
      <c r="E6050" t="s">
        <v>39</v>
      </c>
      <c r="F6050">
        <v>0</v>
      </c>
      <c r="G6050">
        <v>0</v>
      </c>
      <c r="H6050">
        <v>1</v>
      </c>
      <c r="I6050" s="3">
        <v>541.77</v>
      </c>
      <c r="J6050" s="3">
        <v>0</v>
      </c>
      <c r="K6050" t="s">
        <v>13923</v>
      </c>
      <c r="L6050">
        <v>7220</v>
      </c>
      <c r="M6050" t="s">
        <v>13721</v>
      </c>
      <c r="N6050" t="s">
        <v>30</v>
      </c>
      <c r="O6050" t="s">
        <v>31</v>
      </c>
      <c r="P6050" t="str">
        <f>"15206"</f>
        <v>15206</v>
      </c>
    </row>
    <row r="6051" spans="1:16" x14ac:dyDescent="0.25">
      <c r="A6051" t="str">
        <f>"1120173P00011    00"</f>
        <v>1120173P00011    00</v>
      </c>
      <c r="B6051" t="s">
        <v>13924</v>
      </c>
      <c r="C6051" t="s">
        <v>13925</v>
      </c>
      <c r="D6051" t="s">
        <v>20</v>
      </c>
      <c r="E6051" t="s">
        <v>39</v>
      </c>
      <c r="F6051">
        <v>0</v>
      </c>
      <c r="G6051">
        <v>0</v>
      </c>
      <c r="H6051">
        <v>1</v>
      </c>
      <c r="I6051" s="3">
        <v>277.32</v>
      </c>
      <c r="J6051" s="3">
        <v>0</v>
      </c>
      <c r="L6051">
        <v>7226</v>
      </c>
      <c r="M6051" t="s">
        <v>13721</v>
      </c>
      <c r="N6051" t="s">
        <v>30</v>
      </c>
      <c r="O6051" t="s">
        <v>31</v>
      </c>
      <c r="P6051" t="str">
        <f>"15206"</f>
        <v>15206</v>
      </c>
    </row>
    <row r="6052" spans="1:16" x14ac:dyDescent="0.25">
      <c r="A6052" t="str">
        <f>"1120173P00021    00"</f>
        <v>1120173P00021    00</v>
      </c>
      <c r="B6052" t="s">
        <v>13926</v>
      </c>
      <c r="C6052" t="s">
        <v>13927</v>
      </c>
      <c r="D6052" t="s">
        <v>20</v>
      </c>
      <c r="E6052" t="s">
        <v>39</v>
      </c>
      <c r="F6052">
        <v>0</v>
      </c>
      <c r="G6052">
        <v>0</v>
      </c>
      <c r="H6052">
        <v>18</v>
      </c>
      <c r="I6052" s="3">
        <v>397.53</v>
      </c>
      <c r="J6052" s="3">
        <v>412.34</v>
      </c>
      <c r="L6052">
        <v>1330</v>
      </c>
      <c r="M6052" t="s">
        <v>13928</v>
      </c>
      <c r="N6052" t="s">
        <v>30</v>
      </c>
      <c r="O6052" t="s">
        <v>31</v>
      </c>
      <c r="P6052" t="str">
        <f>"15206"</f>
        <v>15206</v>
      </c>
    </row>
    <row r="6053" spans="1:16" x14ac:dyDescent="0.25">
      <c r="A6053" t="str">
        <f>"1120173P00028    00"</f>
        <v>1120173P00028    00</v>
      </c>
      <c r="B6053" t="s">
        <v>13929</v>
      </c>
      <c r="C6053" t="s">
        <v>13930</v>
      </c>
      <c r="D6053" t="s">
        <v>20</v>
      </c>
      <c r="E6053" t="s">
        <v>39</v>
      </c>
      <c r="F6053">
        <v>0</v>
      </c>
      <c r="G6053">
        <v>0</v>
      </c>
      <c r="H6053">
        <v>5</v>
      </c>
      <c r="I6053" s="3">
        <v>3477.45</v>
      </c>
      <c r="J6053" s="3">
        <v>878.84</v>
      </c>
      <c r="L6053">
        <v>7225</v>
      </c>
      <c r="M6053" t="s">
        <v>13931</v>
      </c>
      <c r="N6053" t="s">
        <v>30</v>
      </c>
      <c r="O6053" t="s">
        <v>31</v>
      </c>
      <c r="P6053" t="str">
        <f>"15206"</f>
        <v>15206</v>
      </c>
    </row>
    <row r="6054" spans="1:16" x14ac:dyDescent="0.25">
      <c r="A6054" t="str">
        <f>"1120173P00030    00"</f>
        <v>1120173P00030    00</v>
      </c>
      <c r="B6054" t="s">
        <v>13932</v>
      </c>
      <c r="C6054" t="s">
        <v>13927</v>
      </c>
      <c r="D6054" t="s">
        <v>20</v>
      </c>
      <c r="E6054" t="s">
        <v>39</v>
      </c>
      <c r="F6054">
        <v>0</v>
      </c>
      <c r="G6054">
        <v>0</v>
      </c>
      <c r="H6054">
        <v>19</v>
      </c>
      <c r="I6054" s="3">
        <v>3401.44</v>
      </c>
      <c r="J6054" s="3">
        <v>2082.4699999999998</v>
      </c>
      <c r="L6054">
        <v>404</v>
      </c>
      <c r="M6054" t="s">
        <v>13933</v>
      </c>
      <c r="N6054" t="s">
        <v>30</v>
      </c>
      <c r="O6054" t="s">
        <v>31</v>
      </c>
      <c r="P6054" t="str">
        <f>"15220"</f>
        <v>15220</v>
      </c>
    </row>
    <row r="6055" spans="1:16" x14ac:dyDescent="0.25">
      <c r="A6055" t="str">
        <f>"1120173P00037    00"</f>
        <v>1120173P00037    00</v>
      </c>
      <c r="B6055" t="s">
        <v>13934</v>
      </c>
      <c r="C6055" t="s">
        <v>13935</v>
      </c>
      <c r="D6055" t="s">
        <v>20</v>
      </c>
      <c r="E6055" t="s">
        <v>39</v>
      </c>
      <c r="F6055">
        <v>0</v>
      </c>
      <c r="G6055">
        <v>0</v>
      </c>
      <c r="H6055">
        <v>19</v>
      </c>
      <c r="I6055" s="3">
        <v>7924.61</v>
      </c>
      <c r="J6055" s="3">
        <v>7620.53</v>
      </c>
      <c r="K6055" t="s">
        <v>13936</v>
      </c>
      <c r="L6055">
        <v>7317</v>
      </c>
      <c r="M6055" t="s">
        <v>4026</v>
      </c>
      <c r="N6055" t="s">
        <v>30</v>
      </c>
      <c r="O6055" t="s">
        <v>31</v>
      </c>
      <c r="P6055" t="str">
        <f>"15235"</f>
        <v>15235</v>
      </c>
    </row>
    <row r="6056" spans="1:16" x14ac:dyDescent="0.25">
      <c r="A6056" t="str">
        <f>"1120173P00038    00"</f>
        <v>1120173P00038    00</v>
      </c>
      <c r="B6056" t="s">
        <v>12396</v>
      </c>
      <c r="C6056" t="s">
        <v>13937</v>
      </c>
      <c r="D6056" t="s">
        <v>20</v>
      </c>
      <c r="E6056" t="s">
        <v>39</v>
      </c>
      <c r="F6056">
        <v>0</v>
      </c>
      <c r="G6056">
        <v>0</v>
      </c>
      <c r="H6056">
        <v>2</v>
      </c>
      <c r="I6056" s="3">
        <v>613.14</v>
      </c>
      <c r="J6056" s="3">
        <v>0</v>
      </c>
      <c r="K6056" t="s">
        <v>12398</v>
      </c>
      <c r="L6056">
        <v>6927</v>
      </c>
      <c r="M6056" t="s">
        <v>3980</v>
      </c>
      <c r="N6056" t="s">
        <v>30</v>
      </c>
      <c r="O6056" t="s">
        <v>31</v>
      </c>
      <c r="P6056" t="str">
        <f>"15208"</f>
        <v>15208</v>
      </c>
    </row>
    <row r="6057" spans="1:16" x14ac:dyDescent="0.25">
      <c r="A6057" t="str">
        <f>"1120173P00045    00"</f>
        <v>1120173P00045    00</v>
      </c>
      <c r="B6057" t="s">
        <v>13938</v>
      </c>
      <c r="C6057" t="s">
        <v>13939</v>
      </c>
      <c r="E6057" t="s">
        <v>39</v>
      </c>
      <c r="F6057">
        <v>0</v>
      </c>
      <c r="G6057">
        <v>0</v>
      </c>
      <c r="H6057">
        <v>1</v>
      </c>
      <c r="I6057" s="3">
        <v>362.97</v>
      </c>
      <c r="J6057" s="3">
        <v>0</v>
      </c>
      <c r="K6057" t="s">
        <v>13940</v>
      </c>
      <c r="L6057">
        <v>1724</v>
      </c>
      <c r="M6057" t="s">
        <v>13941</v>
      </c>
      <c r="N6057" t="s">
        <v>7608</v>
      </c>
      <c r="O6057" t="s">
        <v>31</v>
      </c>
      <c r="P6057" t="str">
        <f>"15068"</f>
        <v>15068</v>
      </c>
    </row>
    <row r="6058" spans="1:16" x14ac:dyDescent="0.25">
      <c r="A6058" t="str">
        <f>"1120173P00049    00"</f>
        <v>1120173P00049    00</v>
      </c>
      <c r="B6058" t="s">
        <v>13942</v>
      </c>
      <c r="C6058" t="s">
        <v>13943</v>
      </c>
      <c r="D6058" t="s">
        <v>20</v>
      </c>
      <c r="E6058" t="s">
        <v>39</v>
      </c>
      <c r="F6058">
        <v>0</v>
      </c>
      <c r="G6058">
        <v>0</v>
      </c>
      <c r="H6058">
        <v>2</v>
      </c>
      <c r="I6058" s="3">
        <v>339.07</v>
      </c>
      <c r="J6058" s="3">
        <v>4.51</v>
      </c>
      <c r="K6058" t="s">
        <v>13944</v>
      </c>
      <c r="M6058" t="s">
        <v>13945</v>
      </c>
      <c r="N6058" t="s">
        <v>13946</v>
      </c>
      <c r="O6058" t="s">
        <v>1005</v>
      </c>
      <c r="P6058" t="str">
        <f>"85261"</f>
        <v>85261</v>
      </c>
    </row>
    <row r="6059" spans="1:16" x14ac:dyDescent="0.25">
      <c r="A6059" t="str">
        <f>"1120173P00058    00"</f>
        <v>1120173P00058    00</v>
      </c>
      <c r="B6059" t="s">
        <v>13947</v>
      </c>
      <c r="C6059" t="s">
        <v>13790</v>
      </c>
      <c r="D6059" t="s">
        <v>20</v>
      </c>
      <c r="E6059" t="s">
        <v>39</v>
      </c>
      <c r="F6059">
        <v>0</v>
      </c>
      <c r="G6059">
        <v>0</v>
      </c>
      <c r="H6059">
        <v>19</v>
      </c>
      <c r="I6059" s="3">
        <v>891.85</v>
      </c>
      <c r="J6059" s="3">
        <v>583.88</v>
      </c>
      <c r="K6059" t="s">
        <v>13948</v>
      </c>
      <c r="L6059">
        <v>1401</v>
      </c>
      <c r="M6059" t="s">
        <v>13819</v>
      </c>
      <c r="N6059" t="s">
        <v>30</v>
      </c>
      <c r="O6059" t="s">
        <v>31</v>
      </c>
      <c r="P6059" t="str">
        <f>"15206"</f>
        <v>15206</v>
      </c>
    </row>
    <row r="6060" spans="1:16" x14ac:dyDescent="0.25">
      <c r="A6060" t="str">
        <f>"1120173P00060    00"</f>
        <v>1120173P00060    00</v>
      </c>
      <c r="B6060" t="s">
        <v>13947</v>
      </c>
      <c r="C6060" t="s">
        <v>13790</v>
      </c>
      <c r="D6060" t="s">
        <v>20</v>
      </c>
      <c r="E6060" t="s">
        <v>39</v>
      </c>
      <c r="F6060">
        <v>0</v>
      </c>
      <c r="G6060">
        <v>0</v>
      </c>
      <c r="H6060">
        <v>19</v>
      </c>
      <c r="I6060" s="3">
        <v>1811.65</v>
      </c>
      <c r="J6060" s="3">
        <v>1201.1600000000001</v>
      </c>
      <c r="K6060" t="s">
        <v>13948</v>
      </c>
      <c r="L6060">
        <v>1400</v>
      </c>
      <c r="M6060" t="s">
        <v>13819</v>
      </c>
      <c r="N6060" t="s">
        <v>30</v>
      </c>
      <c r="O6060" t="s">
        <v>31</v>
      </c>
      <c r="P6060" t="str">
        <f>"15206"</f>
        <v>15206</v>
      </c>
    </row>
    <row r="6061" spans="1:16" x14ac:dyDescent="0.25">
      <c r="A6061" t="str">
        <f>"1120173P00062    00"</f>
        <v>1120173P00062    00</v>
      </c>
      <c r="B6061" t="s">
        <v>13934</v>
      </c>
      <c r="C6061" t="s">
        <v>13949</v>
      </c>
      <c r="D6061" t="s">
        <v>20</v>
      </c>
      <c r="E6061" t="s">
        <v>39</v>
      </c>
      <c r="F6061">
        <v>0</v>
      </c>
      <c r="G6061">
        <v>0</v>
      </c>
      <c r="H6061">
        <v>17</v>
      </c>
      <c r="I6061" s="3">
        <v>10151.290000000001</v>
      </c>
      <c r="J6061" s="3">
        <v>9995.4599999999991</v>
      </c>
      <c r="L6061">
        <v>1337</v>
      </c>
      <c r="M6061" t="s">
        <v>13819</v>
      </c>
      <c r="N6061" t="s">
        <v>30</v>
      </c>
      <c r="O6061" t="s">
        <v>31</v>
      </c>
      <c r="P6061" t="str">
        <f>"15206"</f>
        <v>15206</v>
      </c>
    </row>
    <row r="6062" spans="1:16" x14ac:dyDescent="0.25">
      <c r="A6062" t="str">
        <f>"1120173P00064    00"</f>
        <v>1120173P00064    00</v>
      </c>
      <c r="B6062" t="s">
        <v>13934</v>
      </c>
      <c r="C6062" t="s">
        <v>13790</v>
      </c>
      <c r="D6062" t="s">
        <v>20</v>
      </c>
      <c r="E6062" t="s">
        <v>39</v>
      </c>
      <c r="F6062">
        <v>0</v>
      </c>
      <c r="G6062">
        <v>0</v>
      </c>
      <c r="H6062">
        <v>8</v>
      </c>
      <c r="I6062" s="3">
        <v>518.20000000000005</v>
      </c>
      <c r="J6062" s="3">
        <v>208.81</v>
      </c>
      <c r="L6062">
        <v>1337</v>
      </c>
      <c r="M6062" t="s">
        <v>13819</v>
      </c>
      <c r="N6062" t="s">
        <v>30</v>
      </c>
      <c r="O6062" t="s">
        <v>31</v>
      </c>
      <c r="P6062" t="str">
        <f>"15206"</f>
        <v>15206</v>
      </c>
    </row>
    <row r="6063" spans="1:16" x14ac:dyDescent="0.25">
      <c r="A6063" t="str">
        <f>"1120173P00071    00"</f>
        <v>1120173P00071    00</v>
      </c>
      <c r="B6063" t="s">
        <v>13950</v>
      </c>
      <c r="C6063" t="s">
        <v>13951</v>
      </c>
      <c r="D6063" t="s">
        <v>20</v>
      </c>
      <c r="E6063" t="s">
        <v>39</v>
      </c>
      <c r="F6063">
        <v>0</v>
      </c>
      <c r="G6063">
        <v>0</v>
      </c>
      <c r="H6063">
        <v>19</v>
      </c>
      <c r="I6063" s="3">
        <v>9332.56</v>
      </c>
      <c r="J6063" s="3">
        <v>12906.65</v>
      </c>
      <c r="K6063" t="s">
        <v>13952</v>
      </c>
      <c r="L6063">
        <v>1332</v>
      </c>
      <c r="M6063" t="s">
        <v>13953</v>
      </c>
      <c r="N6063" t="s">
        <v>30</v>
      </c>
      <c r="O6063" t="s">
        <v>31</v>
      </c>
      <c r="P6063" t="str">
        <f>"15206"</f>
        <v>15206</v>
      </c>
    </row>
    <row r="6064" spans="1:16" x14ac:dyDescent="0.25">
      <c r="A6064" t="str">
        <f>"1120173P00074    00"</f>
        <v>1120173P00074    00</v>
      </c>
      <c r="B6064" t="s">
        <v>13954</v>
      </c>
      <c r="C6064" t="s">
        <v>13955</v>
      </c>
      <c r="D6064" t="s">
        <v>20</v>
      </c>
      <c r="E6064" t="s">
        <v>39</v>
      </c>
      <c r="F6064">
        <v>0</v>
      </c>
      <c r="G6064">
        <v>0</v>
      </c>
      <c r="H6064">
        <v>10</v>
      </c>
      <c r="I6064" s="3">
        <v>4953.8100000000004</v>
      </c>
      <c r="J6064" s="3">
        <v>2676.37</v>
      </c>
      <c r="L6064">
        <v>7110</v>
      </c>
      <c r="M6064" t="s">
        <v>10830</v>
      </c>
      <c r="N6064" t="s">
        <v>30</v>
      </c>
      <c r="O6064" t="s">
        <v>31</v>
      </c>
      <c r="P6064" t="str">
        <f>"15208"</f>
        <v>15208</v>
      </c>
    </row>
    <row r="6065" spans="1:16" x14ac:dyDescent="0.25">
      <c r="A6065" t="str">
        <f>"1120173P00082    00"</f>
        <v>1120173P00082    00</v>
      </c>
      <c r="B6065" t="s">
        <v>13956</v>
      </c>
      <c r="C6065" t="s">
        <v>13957</v>
      </c>
      <c r="D6065" t="s">
        <v>20</v>
      </c>
      <c r="E6065" t="s">
        <v>39</v>
      </c>
      <c r="F6065">
        <v>0</v>
      </c>
      <c r="G6065">
        <v>0</v>
      </c>
      <c r="H6065">
        <v>19</v>
      </c>
      <c r="I6065" s="3">
        <v>23922.76</v>
      </c>
      <c r="J6065" s="3">
        <v>22893.06</v>
      </c>
      <c r="L6065">
        <v>8601</v>
      </c>
      <c r="M6065" t="s">
        <v>13958</v>
      </c>
      <c r="N6065" t="s">
        <v>30</v>
      </c>
      <c r="O6065" t="s">
        <v>31</v>
      </c>
      <c r="P6065" t="str">
        <f>"15221"</f>
        <v>15221</v>
      </c>
    </row>
    <row r="6066" spans="1:16" x14ac:dyDescent="0.25">
      <c r="A6066" t="str">
        <f>"1120173P00091    00"</f>
        <v>1120173P00091    00</v>
      </c>
      <c r="B6066" t="s">
        <v>13959</v>
      </c>
      <c r="C6066" t="s">
        <v>13960</v>
      </c>
      <c r="D6066" t="s">
        <v>20</v>
      </c>
      <c r="E6066" t="s">
        <v>39</v>
      </c>
      <c r="F6066">
        <v>0</v>
      </c>
      <c r="G6066">
        <v>0</v>
      </c>
      <c r="H6066">
        <v>5</v>
      </c>
      <c r="I6066" s="3">
        <v>4459.8500000000004</v>
      </c>
      <c r="J6066" s="3">
        <v>0</v>
      </c>
      <c r="L6066">
        <v>1826</v>
      </c>
      <c r="M6066" t="s">
        <v>13961</v>
      </c>
      <c r="N6066" t="s">
        <v>30</v>
      </c>
      <c r="O6066" t="s">
        <v>31</v>
      </c>
      <c r="P6066" t="str">
        <f>"15212"</f>
        <v>15212</v>
      </c>
    </row>
    <row r="6067" spans="1:16" x14ac:dyDescent="0.25">
      <c r="A6067" t="str">
        <f>"1120173P00092    00"</f>
        <v>1120173P00092    00</v>
      </c>
      <c r="B6067" t="s">
        <v>13962</v>
      </c>
      <c r="C6067" t="s">
        <v>13927</v>
      </c>
      <c r="D6067" t="s">
        <v>20</v>
      </c>
      <c r="E6067" t="s">
        <v>39</v>
      </c>
      <c r="F6067">
        <v>0</v>
      </c>
      <c r="G6067">
        <v>0</v>
      </c>
      <c r="H6067">
        <v>17</v>
      </c>
      <c r="I6067" s="3">
        <v>299.26</v>
      </c>
      <c r="J6067" s="3">
        <v>261.58</v>
      </c>
      <c r="K6067" t="s">
        <v>13963</v>
      </c>
      <c r="L6067">
        <v>7208</v>
      </c>
      <c r="M6067" t="s">
        <v>13931</v>
      </c>
      <c r="N6067" t="s">
        <v>30</v>
      </c>
      <c r="O6067" t="s">
        <v>31</v>
      </c>
      <c r="P6067" t="str">
        <f>"15206"</f>
        <v>15206</v>
      </c>
    </row>
    <row r="6068" spans="1:16" x14ac:dyDescent="0.25">
      <c r="A6068" t="str">
        <f>"1120173P00094    00"</f>
        <v>1120173P00094    00</v>
      </c>
      <c r="B6068" t="s">
        <v>13964</v>
      </c>
      <c r="C6068" t="s">
        <v>13965</v>
      </c>
      <c r="D6068" t="s">
        <v>20</v>
      </c>
      <c r="E6068" t="s">
        <v>39</v>
      </c>
      <c r="F6068">
        <v>0</v>
      </c>
      <c r="G6068">
        <v>0</v>
      </c>
      <c r="H6068">
        <v>18</v>
      </c>
      <c r="I6068" s="3">
        <v>16793.82</v>
      </c>
      <c r="J6068" s="3">
        <v>13552.57</v>
      </c>
      <c r="K6068" t="s">
        <v>13966</v>
      </c>
      <c r="L6068">
        <v>1338</v>
      </c>
      <c r="M6068" t="s">
        <v>13967</v>
      </c>
      <c r="N6068" t="s">
        <v>30</v>
      </c>
      <c r="O6068" t="s">
        <v>31</v>
      </c>
      <c r="P6068" t="str">
        <f>"15243"</f>
        <v>15243</v>
      </c>
    </row>
    <row r="6069" spans="1:16" x14ac:dyDescent="0.25">
      <c r="A6069" t="str">
        <f>"1120173P00106    00"</f>
        <v>1120173P00106    00</v>
      </c>
      <c r="B6069" t="s">
        <v>13968</v>
      </c>
      <c r="C6069" t="s">
        <v>13969</v>
      </c>
      <c r="D6069" t="s">
        <v>20</v>
      </c>
      <c r="E6069" t="s">
        <v>39</v>
      </c>
      <c r="F6069">
        <v>0</v>
      </c>
      <c r="G6069">
        <v>0</v>
      </c>
      <c r="H6069">
        <v>19</v>
      </c>
      <c r="I6069" s="3">
        <v>422.25</v>
      </c>
      <c r="J6069" s="3">
        <v>448.19</v>
      </c>
      <c r="K6069" t="s">
        <v>1037</v>
      </c>
      <c r="L6069">
        <v>7215</v>
      </c>
      <c r="M6069" t="s">
        <v>3702</v>
      </c>
      <c r="N6069" t="s">
        <v>30</v>
      </c>
      <c r="O6069" t="s">
        <v>31</v>
      </c>
      <c r="P6069" t="str">
        <f>"15206"</f>
        <v>15206</v>
      </c>
    </row>
    <row r="6070" spans="1:16" x14ac:dyDescent="0.25">
      <c r="A6070" t="str">
        <f>"1120173P00116    00"</f>
        <v>1120173P00116    00</v>
      </c>
      <c r="B6070" t="s">
        <v>13970</v>
      </c>
      <c r="C6070" t="s">
        <v>13971</v>
      </c>
      <c r="D6070" t="s">
        <v>20</v>
      </c>
      <c r="E6070" t="s">
        <v>39</v>
      </c>
      <c r="F6070">
        <v>0</v>
      </c>
      <c r="G6070">
        <v>0</v>
      </c>
      <c r="H6070">
        <v>3</v>
      </c>
      <c r="I6070" s="3">
        <v>2531.87</v>
      </c>
      <c r="J6070" s="3">
        <v>180.61</v>
      </c>
      <c r="L6070">
        <v>1345</v>
      </c>
      <c r="M6070" t="s">
        <v>13928</v>
      </c>
      <c r="N6070" t="s">
        <v>30</v>
      </c>
      <c r="O6070" t="s">
        <v>31</v>
      </c>
      <c r="P6070" t="str">
        <f>"15206"</f>
        <v>15206</v>
      </c>
    </row>
    <row r="6071" spans="1:16" x14ac:dyDescent="0.25">
      <c r="A6071" t="str">
        <f>"1120173P00117    00"</f>
        <v>1120173P00117    00</v>
      </c>
      <c r="B6071" t="s">
        <v>13972</v>
      </c>
      <c r="C6071" t="s">
        <v>13973</v>
      </c>
      <c r="D6071" t="s">
        <v>20</v>
      </c>
      <c r="E6071" t="s">
        <v>39</v>
      </c>
      <c r="F6071">
        <v>0</v>
      </c>
      <c r="G6071">
        <v>0</v>
      </c>
      <c r="H6071">
        <v>2</v>
      </c>
      <c r="I6071" s="3">
        <v>366.44</v>
      </c>
      <c r="J6071" s="3">
        <v>0</v>
      </c>
      <c r="L6071">
        <v>7223</v>
      </c>
      <c r="M6071" t="s">
        <v>13974</v>
      </c>
      <c r="N6071" t="s">
        <v>30</v>
      </c>
      <c r="O6071" t="s">
        <v>31</v>
      </c>
      <c r="P6071" t="str">
        <f>"15206"</f>
        <v>15206</v>
      </c>
    </row>
    <row r="6072" spans="1:16" x14ac:dyDescent="0.25">
      <c r="A6072" t="str">
        <f>"1120173P00118    00"</f>
        <v>1120173P00118    00</v>
      </c>
      <c r="B6072" t="s">
        <v>13975</v>
      </c>
      <c r="C6072" t="s">
        <v>13976</v>
      </c>
      <c r="E6072" t="s">
        <v>39</v>
      </c>
      <c r="F6072">
        <v>0</v>
      </c>
      <c r="G6072">
        <v>0</v>
      </c>
      <c r="H6072">
        <v>1</v>
      </c>
      <c r="I6072" s="3">
        <v>21.94</v>
      </c>
      <c r="J6072" s="3">
        <v>10.78</v>
      </c>
      <c r="K6072" t="s">
        <v>13977</v>
      </c>
      <c r="L6072">
        <v>1407</v>
      </c>
      <c r="M6072" t="s">
        <v>13978</v>
      </c>
      <c r="N6072" t="s">
        <v>30</v>
      </c>
      <c r="O6072" t="s">
        <v>31</v>
      </c>
      <c r="P6072" t="str">
        <f>"15206"</f>
        <v>15206</v>
      </c>
    </row>
    <row r="6073" spans="1:16" x14ac:dyDescent="0.25">
      <c r="A6073" t="str">
        <f>"1120173P00119    00"</f>
        <v>1120173P00119    00</v>
      </c>
      <c r="B6073" t="s">
        <v>13979</v>
      </c>
      <c r="C6073" t="s">
        <v>13980</v>
      </c>
      <c r="D6073" t="s">
        <v>20</v>
      </c>
      <c r="E6073" t="s">
        <v>39</v>
      </c>
      <c r="F6073">
        <v>0</v>
      </c>
      <c r="G6073">
        <v>0</v>
      </c>
      <c r="H6073">
        <v>19</v>
      </c>
      <c r="I6073" s="3">
        <v>6471.75</v>
      </c>
      <c r="J6073" s="3">
        <v>6805.84</v>
      </c>
      <c r="P6073" t="str">
        <f>""</f>
        <v/>
      </c>
    </row>
    <row r="6074" spans="1:16" x14ac:dyDescent="0.25">
      <c r="A6074" t="str">
        <f>"1120173P00143    00"</f>
        <v>1120173P00143    00</v>
      </c>
      <c r="B6074" t="s">
        <v>13981</v>
      </c>
      <c r="C6074" t="s">
        <v>13982</v>
      </c>
      <c r="D6074" t="s">
        <v>20</v>
      </c>
      <c r="E6074" t="s">
        <v>39</v>
      </c>
      <c r="F6074">
        <v>0</v>
      </c>
      <c r="G6074">
        <v>0</v>
      </c>
      <c r="H6074">
        <v>8</v>
      </c>
      <c r="I6074" s="3">
        <v>5702.17</v>
      </c>
      <c r="J6074" s="3">
        <v>2015.29</v>
      </c>
      <c r="K6074" t="s">
        <v>13983</v>
      </c>
      <c r="L6074">
        <v>340</v>
      </c>
      <c r="M6074" t="s">
        <v>10472</v>
      </c>
      <c r="N6074" t="s">
        <v>666</v>
      </c>
      <c r="O6074" t="s">
        <v>31</v>
      </c>
      <c r="P6074" t="str">
        <f>"16001"</f>
        <v>16001</v>
      </c>
    </row>
    <row r="6075" spans="1:16" x14ac:dyDescent="0.25">
      <c r="A6075" t="str">
        <f>"1120173P00145    00"</f>
        <v>1120173P00145    00</v>
      </c>
      <c r="B6075" t="s">
        <v>13984</v>
      </c>
      <c r="C6075" t="s">
        <v>13985</v>
      </c>
      <c r="D6075" t="s">
        <v>20</v>
      </c>
      <c r="E6075" t="s">
        <v>39</v>
      </c>
      <c r="F6075">
        <v>0</v>
      </c>
      <c r="G6075">
        <v>0</v>
      </c>
      <c r="H6075">
        <v>14</v>
      </c>
      <c r="I6075" s="3">
        <v>8953.02</v>
      </c>
      <c r="J6075" s="3">
        <v>5168.09</v>
      </c>
      <c r="L6075">
        <v>6703</v>
      </c>
      <c r="M6075" t="s">
        <v>12069</v>
      </c>
      <c r="N6075" t="s">
        <v>30</v>
      </c>
      <c r="O6075" t="s">
        <v>31</v>
      </c>
      <c r="P6075" t="str">
        <f>"15206"</f>
        <v>15206</v>
      </c>
    </row>
    <row r="6076" spans="1:16" x14ac:dyDescent="0.25">
      <c r="A6076" t="str">
        <f>"1120173P00146    00"</f>
        <v>1120173P00146    00</v>
      </c>
      <c r="B6076" t="s">
        <v>13984</v>
      </c>
      <c r="C6076" t="s">
        <v>13985</v>
      </c>
      <c r="D6076" t="s">
        <v>20</v>
      </c>
      <c r="E6076" t="s">
        <v>39</v>
      </c>
      <c r="F6076">
        <v>0</v>
      </c>
      <c r="G6076">
        <v>0</v>
      </c>
      <c r="H6076">
        <v>13</v>
      </c>
      <c r="I6076" s="3">
        <v>3171.81</v>
      </c>
      <c r="J6076" s="3">
        <v>1699.3</v>
      </c>
      <c r="L6076">
        <v>6703</v>
      </c>
      <c r="M6076" t="s">
        <v>12069</v>
      </c>
      <c r="N6076" t="s">
        <v>30</v>
      </c>
      <c r="O6076" t="s">
        <v>31</v>
      </c>
      <c r="P6076" t="str">
        <f>"15206"</f>
        <v>15206</v>
      </c>
    </row>
    <row r="6077" spans="1:16" x14ac:dyDescent="0.25">
      <c r="A6077" t="str">
        <f>"1120173P00152    00"</f>
        <v>1120173P00152    00</v>
      </c>
      <c r="B6077" t="s">
        <v>13986</v>
      </c>
      <c r="C6077" t="s">
        <v>13980</v>
      </c>
      <c r="D6077" t="s">
        <v>20</v>
      </c>
      <c r="E6077" t="s">
        <v>39</v>
      </c>
      <c r="F6077">
        <v>0</v>
      </c>
      <c r="G6077">
        <v>0</v>
      </c>
      <c r="H6077">
        <v>4</v>
      </c>
      <c r="I6077" s="3">
        <v>60.36</v>
      </c>
      <c r="J6077" s="3">
        <v>8.89</v>
      </c>
      <c r="L6077">
        <v>2011</v>
      </c>
      <c r="M6077" t="s">
        <v>13987</v>
      </c>
      <c r="N6077" t="s">
        <v>13988</v>
      </c>
      <c r="O6077" t="s">
        <v>2097</v>
      </c>
      <c r="P6077" t="str">
        <f>"38116"</f>
        <v>38116</v>
      </c>
    </row>
    <row r="6078" spans="1:16" x14ac:dyDescent="0.25">
      <c r="A6078" t="str">
        <f>"1120173P00176    00"</f>
        <v>1120173P00176    00</v>
      </c>
      <c r="B6078" t="s">
        <v>13989</v>
      </c>
      <c r="C6078" t="s">
        <v>13990</v>
      </c>
      <c r="D6078" t="s">
        <v>20</v>
      </c>
      <c r="E6078" t="s">
        <v>39</v>
      </c>
      <c r="F6078">
        <v>0</v>
      </c>
      <c r="G6078">
        <v>0</v>
      </c>
      <c r="H6078">
        <v>19</v>
      </c>
      <c r="I6078" s="3">
        <v>10092.94</v>
      </c>
      <c r="J6078" s="3">
        <v>10294.44</v>
      </c>
      <c r="L6078">
        <v>7201</v>
      </c>
      <c r="M6078" t="s">
        <v>13991</v>
      </c>
      <c r="N6078" t="s">
        <v>30</v>
      </c>
      <c r="O6078" t="s">
        <v>31</v>
      </c>
      <c r="P6078" t="str">
        <f>"15206"</f>
        <v>15206</v>
      </c>
    </row>
    <row r="6079" spans="1:16" x14ac:dyDescent="0.25">
      <c r="A6079" t="str">
        <f>"1120173P00177    00"</f>
        <v>1120173P00177    00</v>
      </c>
      <c r="B6079" t="s">
        <v>13992</v>
      </c>
      <c r="C6079" t="s">
        <v>13993</v>
      </c>
      <c r="D6079" t="s">
        <v>20</v>
      </c>
      <c r="E6079" t="s">
        <v>39</v>
      </c>
      <c r="F6079">
        <v>0</v>
      </c>
      <c r="G6079">
        <v>0</v>
      </c>
      <c r="H6079">
        <v>19</v>
      </c>
      <c r="I6079" s="3">
        <v>1223.48</v>
      </c>
      <c r="J6079" s="3">
        <v>961.72</v>
      </c>
      <c r="K6079" t="s">
        <v>1008</v>
      </c>
      <c r="P6079" t="str">
        <f>""</f>
        <v/>
      </c>
    </row>
    <row r="6080" spans="1:16" x14ac:dyDescent="0.25">
      <c r="A6080" t="str">
        <f>"1120173P00186    00"</f>
        <v>1120173P00186    00</v>
      </c>
      <c r="B6080" t="s">
        <v>13994</v>
      </c>
      <c r="C6080" t="s">
        <v>13993</v>
      </c>
      <c r="D6080" t="s">
        <v>20</v>
      </c>
      <c r="E6080" t="s">
        <v>39</v>
      </c>
      <c r="F6080">
        <v>0</v>
      </c>
      <c r="G6080">
        <v>0</v>
      </c>
      <c r="H6080">
        <v>18</v>
      </c>
      <c r="I6080" s="3">
        <v>353.63</v>
      </c>
      <c r="J6080" s="3">
        <v>391.39</v>
      </c>
      <c r="L6080">
        <v>245</v>
      </c>
      <c r="M6080" t="s">
        <v>13995</v>
      </c>
      <c r="N6080" t="s">
        <v>30</v>
      </c>
      <c r="O6080" t="s">
        <v>31</v>
      </c>
      <c r="P6080" t="str">
        <f>"15238"</f>
        <v>15238</v>
      </c>
    </row>
    <row r="6081" spans="1:16" x14ac:dyDescent="0.25">
      <c r="A6081" t="str">
        <f>"1120173R00010    00"</f>
        <v>1120173R00010    00</v>
      </c>
      <c r="B6081" t="s">
        <v>13996</v>
      </c>
      <c r="C6081" t="s">
        <v>13997</v>
      </c>
      <c r="D6081" t="s">
        <v>20</v>
      </c>
      <c r="E6081" t="s">
        <v>39</v>
      </c>
      <c r="F6081">
        <v>0</v>
      </c>
      <c r="G6081">
        <v>0</v>
      </c>
      <c r="H6081">
        <v>6</v>
      </c>
      <c r="I6081" s="3">
        <v>1710.85</v>
      </c>
      <c r="J6081" s="3">
        <v>404</v>
      </c>
      <c r="L6081">
        <v>1322</v>
      </c>
      <c r="M6081" t="s">
        <v>13819</v>
      </c>
      <c r="N6081" t="s">
        <v>30</v>
      </c>
      <c r="O6081" t="s">
        <v>31</v>
      </c>
      <c r="P6081" t="str">
        <f>"15206"</f>
        <v>15206</v>
      </c>
    </row>
    <row r="6082" spans="1:16" x14ac:dyDescent="0.25">
      <c r="A6082" t="str">
        <f>"1120173R00011    00"</f>
        <v>1120173R00011    00</v>
      </c>
      <c r="B6082" t="s">
        <v>13998</v>
      </c>
      <c r="C6082" t="s">
        <v>13999</v>
      </c>
      <c r="D6082" t="s">
        <v>20</v>
      </c>
      <c r="E6082" t="s">
        <v>39</v>
      </c>
      <c r="F6082">
        <v>0</v>
      </c>
      <c r="G6082">
        <v>0</v>
      </c>
      <c r="H6082">
        <v>3</v>
      </c>
      <c r="I6082" s="3">
        <v>2361.81</v>
      </c>
      <c r="J6082" s="3">
        <v>167.27</v>
      </c>
      <c r="L6082">
        <v>1326</v>
      </c>
      <c r="M6082" t="s">
        <v>13819</v>
      </c>
      <c r="N6082" t="s">
        <v>30</v>
      </c>
      <c r="O6082" t="s">
        <v>31</v>
      </c>
      <c r="P6082" t="str">
        <f>"15206"</f>
        <v>15206</v>
      </c>
    </row>
    <row r="6083" spans="1:16" x14ac:dyDescent="0.25">
      <c r="A6083" t="str">
        <f>"1120173R00014    00"</f>
        <v>1120173R00014    00</v>
      </c>
      <c r="B6083" t="s">
        <v>14000</v>
      </c>
      <c r="C6083" t="s">
        <v>14001</v>
      </c>
      <c r="E6083" t="s">
        <v>39</v>
      </c>
      <c r="F6083">
        <v>0</v>
      </c>
      <c r="G6083">
        <v>0</v>
      </c>
      <c r="H6083">
        <v>1</v>
      </c>
      <c r="I6083" s="3">
        <v>819.58</v>
      </c>
      <c r="J6083" s="3">
        <v>0</v>
      </c>
      <c r="L6083">
        <v>7813</v>
      </c>
      <c r="M6083" t="s">
        <v>12214</v>
      </c>
      <c r="N6083" t="s">
        <v>1046</v>
      </c>
      <c r="O6083" t="s">
        <v>31</v>
      </c>
      <c r="P6083" t="str">
        <f>"15147"</f>
        <v>15147</v>
      </c>
    </row>
    <row r="6084" spans="1:16" x14ac:dyDescent="0.25">
      <c r="A6084" t="str">
        <f>"1120173R00016    00"</f>
        <v>1120173R00016    00</v>
      </c>
      <c r="B6084" t="s">
        <v>14002</v>
      </c>
      <c r="C6084" t="s">
        <v>14003</v>
      </c>
      <c r="D6084" t="s">
        <v>20</v>
      </c>
      <c r="E6084" t="s">
        <v>39</v>
      </c>
      <c r="F6084">
        <v>0</v>
      </c>
      <c r="G6084">
        <v>0</v>
      </c>
      <c r="H6084">
        <v>2</v>
      </c>
      <c r="I6084" s="3">
        <v>554.76</v>
      </c>
      <c r="J6084" s="3">
        <v>64.36</v>
      </c>
      <c r="L6084">
        <v>1336</v>
      </c>
      <c r="M6084" t="s">
        <v>13819</v>
      </c>
      <c r="N6084" t="s">
        <v>30</v>
      </c>
      <c r="O6084" t="s">
        <v>31</v>
      </c>
      <c r="P6084" t="str">
        <f>"15206"</f>
        <v>15206</v>
      </c>
    </row>
    <row r="6085" spans="1:16" x14ac:dyDescent="0.25">
      <c r="A6085" t="str">
        <f>"1120173R00020    00"</f>
        <v>1120173R00020    00</v>
      </c>
      <c r="B6085" t="s">
        <v>14004</v>
      </c>
      <c r="C6085" t="s">
        <v>13790</v>
      </c>
      <c r="D6085" t="s">
        <v>20</v>
      </c>
      <c r="E6085" t="s">
        <v>39</v>
      </c>
      <c r="F6085">
        <v>0</v>
      </c>
      <c r="G6085">
        <v>0</v>
      </c>
      <c r="H6085">
        <v>19</v>
      </c>
      <c r="I6085" s="3">
        <v>971.24</v>
      </c>
      <c r="J6085" s="3">
        <v>738.43</v>
      </c>
      <c r="L6085">
        <v>213</v>
      </c>
      <c r="M6085" t="s">
        <v>14005</v>
      </c>
      <c r="N6085" t="s">
        <v>30</v>
      </c>
      <c r="O6085" t="s">
        <v>31</v>
      </c>
      <c r="P6085" t="str">
        <f>"15206"</f>
        <v>15206</v>
      </c>
    </row>
    <row r="6086" spans="1:16" x14ac:dyDescent="0.25">
      <c r="A6086" t="str">
        <f>"1120173R00021    00"</f>
        <v>1120173R00021    00</v>
      </c>
      <c r="B6086" t="s">
        <v>14006</v>
      </c>
      <c r="C6086" t="s">
        <v>13790</v>
      </c>
      <c r="D6086" t="s">
        <v>20</v>
      </c>
      <c r="E6086" t="s">
        <v>39</v>
      </c>
      <c r="F6086">
        <v>0</v>
      </c>
      <c r="G6086">
        <v>0</v>
      </c>
      <c r="H6086">
        <v>19</v>
      </c>
      <c r="I6086" s="3">
        <v>422.25</v>
      </c>
      <c r="J6086" s="3">
        <v>448.19</v>
      </c>
      <c r="L6086">
        <v>7104</v>
      </c>
      <c r="M6086" t="s">
        <v>3702</v>
      </c>
      <c r="N6086" t="s">
        <v>30</v>
      </c>
      <c r="O6086" t="s">
        <v>31</v>
      </c>
      <c r="P6086" t="str">
        <f>"15206"</f>
        <v>15206</v>
      </c>
    </row>
    <row r="6087" spans="1:16" x14ac:dyDescent="0.25">
      <c r="A6087" t="str">
        <f>"1120173R00022    00"</f>
        <v>1120173R00022    00</v>
      </c>
      <c r="B6087" t="s">
        <v>14007</v>
      </c>
      <c r="C6087" t="s">
        <v>14008</v>
      </c>
      <c r="D6087" t="s">
        <v>20</v>
      </c>
      <c r="E6087" t="s">
        <v>39</v>
      </c>
      <c r="F6087">
        <v>0</v>
      </c>
      <c r="G6087">
        <v>0</v>
      </c>
      <c r="H6087">
        <v>15</v>
      </c>
      <c r="I6087" s="3">
        <v>10171.200000000001</v>
      </c>
      <c r="J6087" s="3">
        <v>7422.34</v>
      </c>
      <c r="L6087">
        <v>1408</v>
      </c>
      <c r="M6087" t="s">
        <v>13819</v>
      </c>
      <c r="N6087" t="s">
        <v>30</v>
      </c>
      <c r="O6087" t="s">
        <v>31</v>
      </c>
      <c r="P6087" t="str">
        <f>"15206"</f>
        <v>15206</v>
      </c>
    </row>
    <row r="6088" spans="1:16" x14ac:dyDescent="0.25">
      <c r="A6088" t="str">
        <f>"1120173R00060    00"</f>
        <v>1120173R00060    00</v>
      </c>
      <c r="B6088" t="s">
        <v>14009</v>
      </c>
      <c r="C6088" t="s">
        <v>14010</v>
      </c>
      <c r="D6088" t="s">
        <v>20</v>
      </c>
      <c r="E6088" t="s">
        <v>39</v>
      </c>
      <c r="F6088">
        <v>0</v>
      </c>
      <c r="G6088">
        <v>0</v>
      </c>
      <c r="H6088">
        <v>1</v>
      </c>
      <c r="I6088" s="3">
        <v>223.46</v>
      </c>
      <c r="J6088" s="3">
        <v>0</v>
      </c>
      <c r="K6088" t="s">
        <v>14011</v>
      </c>
      <c r="L6088">
        <v>1415</v>
      </c>
      <c r="M6088" t="s">
        <v>13846</v>
      </c>
      <c r="N6088" t="s">
        <v>30</v>
      </c>
      <c r="O6088" t="s">
        <v>31</v>
      </c>
      <c r="P6088" t="str">
        <f>"15206"</f>
        <v>15206</v>
      </c>
    </row>
    <row r="6089" spans="1:16" x14ac:dyDescent="0.25">
      <c r="A6089" t="str">
        <f>"1120173R00062    00"</f>
        <v>1120173R00062    00</v>
      </c>
      <c r="B6089" t="s">
        <v>14012</v>
      </c>
      <c r="C6089" t="s">
        <v>14013</v>
      </c>
      <c r="D6089" t="s">
        <v>20</v>
      </c>
      <c r="E6089" t="s">
        <v>39</v>
      </c>
      <c r="F6089">
        <v>0</v>
      </c>
      <c r="G6089">
        <v>0</v>
      </c>
      <c r="H6089">
        <v>12</v>
      </c>
      <c r="I6089" s="3">
        <v>12342.26</v>
      </c>
      <c r="J6089" s="3">
        <v>3981.33</v>
      </c>
      <c r="L6089">
        <v>7447</v>
      </c>
      <c r="M6089" t="s">
        <v>11269</v>
      </c>
      <c r="N6089" t="s">
        <v>30</v>
      </c>
      <c r="O6089" t="s">
        <v>31</v>
      </c>
      <c r="P6089" t="str">
        <f>"15208"</f>
        <v>15208</v>
      </c>
    </row>
    <row r="6090" spans="1:16" x14ac:dyDescent="0.25">
      <c r="A6090" t="str">
        <f>"1120173R00064    00"</f>
        <v>1120173R00064    00</v>
      </c>
      <c r="B6090" t="s">
        <v>14014</v>
      </c>
      <c r="C6090" t="s">
        <v>14015</v>
      </c>
      <c r="D6090" t="s">
        <v>20</v>
      </c>
      <c r="E6090" t="s">
        <v>39</v>
      </c>
      <c r="F6090">
        <v>0</v>
      </c>
      <c r="G6090">
        <v>0</v>
      </c>
      <c r="H6090">
        <v>3</v>
      </c>
      <c r="I6090" s="3">
        <v>1365.06</v>
      </c>
      <c r="J6090" s="3">
        <v>138.56</v>
      </c>
      <c r="L6090">
        <v>1407</v>
      </c>
      <c r="M6090" t="s">
        <v>13846</v>
      </c>
      <c r="N6090" t="s">
        <v>30</v>
      </c>
      <c r="O6090" t="s">
        <v>31</v>
      </c>
      <c r="P6090" t="str">
        <f>"15206"</f>
        <v>15206</v>
      </c>
    </row>
    <row r="6091" spans="1:16" x14ac:dyDescent="0.25">
      <c r="A6091" t="str">
        <f>"1120173R00072    00"</f>
        <v>1120173R00072    00</v>
      </c>
      <c r="B6091" t="s">
        <v>14016</v>
      </c>
      <c r="C6091" t="s">
        <v>14017</v>
      </c>
      <c r="D6091" t="s">
        <v>20</v>
      </c>
      <c r="E6091" t="s">
        <v>39</v>
      </c>
      <c r="F6091">
        <v>0</v>
      </c>
      <c r="G6091">
        <v>0</v>
      </c>
      <c r="H6091">
        <v>5</v>
      </c>
      <c r="I6091" s="3">
        <v>1067.46</v>
      </c>
      <c r="J6091" s="3">
        <v>216.45</v>
      </c>
      <c r="L6091">
        <v>1343</v>
      </c>
      <c r="M6091" t="s">
        <v>13846</v>
      </c>
      <c r="N6091" t="s">
        <v>30</v>
      </c>
      <c r="O6091" t="s">
        <v>31</v>
      </c>
      <c r="P6091" t="str">
        <f>"15206"</f>
        <v>15206</v>
      </c>
    </row>
    <row r="6092" spans="1:16" x14ac:dyDescent="0.25">
      <c r="A6092" t="str">
        <f>"1120173R00074    00"</f>
        <v>1120173R00074    00</v>
      </c>
      <c r="B6092" t="s">
        <v>14018</v>
      </c>
      <c r="C6092" t="s">
        <v>14019</v>
      </c>
      <c r="D6092" t="s">
        <v>20</v>
      </c>
      <c r="E6092" t="s">
        <v>39</v>
      </c>
      <c r="F6092">
        <v>0</v>
      </c>
      <c r="G6092">
        <v>0</v>
      </c>
      <c r="H6092">
        <v>1</v>
      </c>
      <c r="I6092" s="3">
        <v>404.55</v>
      </c>
      <c r="J6092" s="3">
        <v>0</v>
      </c>
      <c r="L6092">
        <v>3201</v>
      </c>
      <c r="M6092" t="s">
        <v>14020</v>
      </c>
      <c r="N6092" t="s">
        <v>14021</v>
      </c>
      <c r="O6092" t="s">
        <v>692</v>
      </c>
      <c r="P6092" t="str">
        <f>"22305"</f>
        <v>22305</v>
      </c>
    </row>
    <row r="6093" spans="1:16" x14ac:dyDescent="0.25">
      <c r="A6093" t="str">
        <f>"1120173R00078    00"</f>
        <v>1120173R00078    00</v>
      </c>
      <c r="B6093" t="s">
        <v>14022</v>
      </c>
      <c r="C6093" t="s">
        <v>14023</v>
      </c>
      <c r="D6093" t="s">
        <v>20</v>
      </c>
      <c r="E6093" t="s">
        <v>39</v>
      </c>
      <c r="F6093">
        <v>0</v>
      </c>
      <c r="G6093">
        <v>0</v>
      </c>
      <c r="H6093">
        <v>1</v>
      </c>
      <c r="I6093" s="3">
        <v>892.01</v>
      </c>
      <c r="J6093" s="3">
        <v>0</v>
      </c>
      <c r="K6093" t="s">
        <v>14024</v>
      </c>
      <c r="L6093">
        <v>1327</v>
      </c>
      <c r="M6093" t="s">
        <v>13846</v>
      </c>
      <c r="N6093" t="s">
        <v>30</v>
      </c>
      <c r="O6093" t="s">
        <v>31</v>
      </c>
      <c r="P6093" t="str">
        <f>"15206"</f>
        <v>15206</v>
      </c>
    </row>
    <row r="6094" spans="1:16" x14ac:dyDescent="0.25">
      <c r="A6094" t="str">
        <f>"1120174B00003    00"</f>
        <v>1120174B00003    00</v>
      </c>
      <c r="B6094" t="s">
        <v>14025</v>
      </c>
      <c r="C6094" t="s">
        <v>13993</v>
      </c>
      <c r="D6094" t="s">
        <v>20</v>
      </c>
      <c r="E6094" t="s">
        <v>39</v>
      </c>
      <c r="F6094">
        <v>0</v>
      </c>
      <c r="G6094">
        <v>0</v>
      </c>
      <c r="H6094">
        <v>19</v>
      </c>
      <c r="I6094" s="3">
        <v>4936.3500000000004</v>
      </c>
      <c r="J6094" s="3">
        <v>6823.33</v>
      </c>
      <c r="L6094">
        <v>21</v>
      </c>
      <c r="M6094" t="s">
        <v>14026</v>
      </c>
      <c r="N6094" t="s">
        <v>30</v>
      </c>
      <c r="O6094" t="s">
        <v>31</v>
      </c>
      <c r="P6094" t="str">
        <f>"15235"</f>
        <v>15235</v>
      </c>
    </row>
    <row r="6095" spans="1:16" x14ac:dyDescent="0.25">
      <c r="A6095" t="str">
        <f>"1120174B00004    00"</f>
        <v>1120174B00004    00</v>
      </c>
      <c r="B6095" t="s">
        <v>14027</v>
      </c>
      <c r="C6095" t="s">
        <v>13993</v>
      </c>
      <c r="D6095" t="s">
        <v>20</v>
      </c>
      <c r="E6095" t="s">
        <v>39</v>
      </c>
      <c r="F6095">
        <v>0</v>
      </c>
      <c r="G6095">
        <v>0</v>
      </c>
      <c r="H6095">
        <v>19</v>
      </c>
      <c r="I6095" s="3">
        <v>5559.41</v>
      </c>
      <c r="J6095" s="3">
        <v>7676.35</v>
      </c>
      <c r="P6095" t="str">
        <f>""</f>
        <v/>
      </c>
    </row>
    <row r="6096" spans="1:16" x14ac:dyDescent="0.25">
      <c r="A6096" t="str">
        <f>"1120174B00005    00"</f>
        <v>1120174B00005    00</v>
      </c>
      <c r="B6096" t="s">
        <v>14028</v>
      </c>
      <c r="C6096" t="s">
        <v>13993</v>
      </c>
      <c r="D6096" t="s">
        <v>20</v>
      </c>
      <c r="E6096" t="s">
        <v>39</v>
      </c>
      <c r="F6096">
        <v>0</v>
      </c>
      <c r="G6096">
        <v>0</v>
      </c>
      <c r="H6096">
        <v>19</v>
      </c>
      <c r="I6096" s="3">
        <v>378.35</v>
      </c>
      <c r="J6096" s="3">
        <v>424.97</v>
      </c>
      <c r="K6096" t="s">
        <v>1037</v>
      </c>
      <c r="L6096">
        <v>7365</v>
      </c>
      <c r="M6096" t="s">
        <v>13991</v>
      </c>
      <c r="N6096" t="s">
        <v>30</v>
      </c>
      <c r="O6096" t="s">
        <v>31</v>
      </c>
      <c r="P6096" t="str">
        <f>"15206"</f>
        <v>15206</v>
      </c>
    </row>
    <row r="6097" spans="1:16" x14ac:dyDescent="0.25">
      <c r="A6097" t="str">
        <f>"1120174C00201    00"</f>
        <v>1120174C00201    00</v>
      </c>
      <c r="B6097" t="s">
        <v>14029</v>
      </c>
      <c r="C6097" t="s">
        <v>13850</v>
      </c>
      <c r="D6097" t="s">
        <v>20</v>
      </c>
      <c r="E6097" t="s">
        <v>39</v>
      </c>
      <c r="F6097">
        <v>0</v>
      </c>
      <c r="G6097">
        <v>0</v>
      </c>
      <c r="H6097">
        <v>19</v>
      </c>
      <c r="I6097" s="3">
        <v>718.57</v>
      </c>
      <c r="J6097" s="3">
        <v>694.81</v>
      </c>
      <c r="K6097" t="s">
        <v>1037</v>
      </c>
      <c r="L6097">
        <v>1315</v>
      </c>
      <c r="M6097" t="s">
        <v>13846</v>
      </c>
      <c r="N6097" t="s">
        <v>30</v>
      </c>
      <c r="O6097" t="s">
        <v>31</v>
      </c>
      <c r="P6097" t="str">
        <f>"15206"</f>
        <v>15206</v>
      </c>
    </row>
    <row r="6098" spans="1:16" x14ac:dyDescent="0.25">
      <c r="A6098" t="str">
        <f>"1120174C00203    00"</f>
        <v>1120174C00203    00</v>
      </c>
      <c r="B6098" t="s">
        <v>14030</v>
      </c>
      <c r="C6098" t="s">
        <v>14031</v>
      </c>
      <c r="D6098" t="s">
        <v>20</v>
      </c>
      <c r="E6098" t="s">
        <v>39</v>
      </c>
      <c r="F6098">
        <v>0</v>
      </c>
      <c r="G6098">
        <v>0</v>
      </c>
      <c r="H6098">
        <v>19</v>
      </c>
      <c r="I6098" s="3">
        <v>9481.67</v>
      </c>
      <c r="J6098" s="3">
        <v>10402.67</v>
      </c>
      <c r="L6098">
        <v>4991</v>
      </c>
      <c r="M6098" t="s">
        <v>14032</v>
      </c>
      <c r="N6098" t="s">
        <v>9967</v>
      </c>
      <c r="O6098" t="s">
        <v>692</v>
      </c>
      <c r="P6098" t="str">
        <f>"23060"</f>
        <v>23060</v>
      </c>
    </row>
    <row r="6099" spans="1:16" x14ac:dyDescent="0.25">
      <c r="A6099" t="str">
        <f>"1130021R00008    00"</f>
        <v>1130021R00008    00</v>
      </c>
      <c r="B6099" t="s">
        <v>14033</v>
      </c>
      <c r="C6099" t="s">
        <v>14034</v>
      </c>
      <c r="D6099" t="s">
        <v>20</v>
      </c>
      <c r="E6099" t="s">
        <v>39</v>
      </c>
      <c r="F6099">
        <v>0</v>
      </c>
      <c r="G6099">
        <v>0</v>
      </c>
      <c r="H6099">
        <v>4</v>
      </c>
      <c r="I6099" s="3">
        <v>1322.09</v>
      </c>
      <c r="J6099" s="3">
        <v>155.38</v>
      </c>
      <c r="L6099">
        <v>2315</v>
      </c>
      <c r="M6099" t="s">
        <v>11725</v>
      </c>
      <c r="N6099" t="s">
        <v>30</v>
      </c>
      <c r="O6099" t="s">
        <v>31</v>
      </c>
      <c r="P6099" t="str">
        <f>"15221"</f>
        <v>15221</v>
      </c>
    </row>
    <row r="6100" spans="1:16" x14ac:dyDescent="0.25">
      <c r="A6100" t="str">
        <f>"1130125D00085    00"</f>
        <v>1130125D00085    00</v>
      </c>
      <c r="B6100" t="s">
        <v>14035</v>
      </c>
      <c r="C6100" t="s">
        <v>14036</v>
      </c>
      <c r="D6100" t="s">
        <v>20</v>
      </c>
      <c r="E6100" t="s">
        <v>39</v>
      </c>
      <c r="F6100">
        <v>0</v>
      </c>
      <c r="G6100">
        <v>0</v>
      </c>
      <c r="H6100">
        <v>19</v>
      </c>
      <c r="I6100" s="3">
        <v>5718.17</v>
      </c>
      <c r="J6100" s="3">
        <v>6346.6</v>
      </c>
      <c r="K6100" t="s">
        <v>1008</v>
      </c>
      <c r="P6100" t="str">
        <f>""</f>
        <v/>
      </c>
    </row>
    <row r="6101" spans="1:16" x14ac:dyDescent="0.25">
      <c r="A6101" t="str">
        <f>"1130125D00112    00"</f>
        <v>1130125D00112    00</v>
      </c>
      <c r="B6101" t="s">
        <v>14037</v>
      </c>
      <c r="C6101" t="s">
        <v>14038</v>
      </c>
      <c r="D6101" t="s">
        <v>20</v>
      </c>
      <c r="E6101" t="s">
        <v>39</v>
      </c>
      <c r="F6101">
        <v>0</v>
      </c>
      <c r="G6101">
        <v>0</v>
      </c>
      <c r="H6101">
        <v>5</v>
      </c>
      <c r="I6101" s="3">
        <v>605.52</v>
      </c>
      <c r="J6101" s="3">
        <v>233.03</v>
      </c>
      <c r="L6101">
        <v>1206</v>
      </c>
      <c r="M6101" t="s">
        <v>12412</v>
      </c>
      <c r="N6101" t="s">
        <v>30</v>
      </c>
      <c r="O6101" t="s">
        <v>31</v>
      </c>
      <c r="P6101" t="str">
        <f>"15208"</f>
        <v>15208</v>
      </c>
    </row>
    <row r="6102" spans="1:16" x14ac:dyDescent="0.25">
      <c r="A6102" t="str">
        <f>"1130125D00116    00"</f>
        <v>1130125D00116    00</v>
      </c>
      <c r="B6102" t="s">
        <v>14039</v>
      </c>
      <c r="C6102" t="s">
        <v>13911</v>
      </c>
      <c r="D6102" t="s">
        <v>20</v>
      </c>
      <c r="E6102" t="s">
        <v>21</v>
      </c>
      <c r="F6102">
        <v>0</v>
      </c>
      <c r="G6102">
        <v>0</v>
      </c>
      <c r="H6102">
        <v>11</v>
      </c>
      <c r="I6102" s="3">
        <v>4802.03</v>
      </c>
      <c r="J6102" s="3">
        <v>3439.77</v>
      </c>
      <c r="L6102">
        <v>700</v>
      </c>
      <c r="M6102" t="s">
        <v>14040</v>
      </c>
      <c r="N6102" t="s">
        <v>8681</v>
      </c>
      <c r="O6102" t="s">
        <v>108</v>
      </c>
      <c r="P6102" t="str">
        <f>"75013"</f>
        <v>75013</v>
      </c>
    </row>
    <row r="6103" spans="1:16" x14ac:dyDescent="0.25">
      <c r="A6103" t="str">
        <f>"1130125H00153    00"</f>
        <v>1130125H00153    00</v>
      </c>
      <c r="B6103" t="s">
        <v>14041</v>
      </c>
      <c r="C6103" t="s">
        <v>14042</v>
      </c>
      <c r="D6103" t="s">
        <v>20</v>
      </c>
      <c r="E6103" t="s">
        <v>39</v>
      </c>
      <c r="F6103">
        <v>0</v>
      </c>
      <c r="G6103">
        <v>0</v>
      </c>
      <c r="H6103">
        <v>2</v>
      </c>
      <c r="I6103" s="3">
        <v>625.16</v>
      </c>
      <c r="J6103" s="3">
        <v>0</v>
      </c>
      <c r="K6103" t="s">
        <v>14043</v>
      </c>
      <c r="L6103">
        <v>7022</v>
      </c>
      <c r="M6103" t="s">
        <v>12045</v>
      </c>
      <c r="N6103" t="s">
        <v>30</v>
      </c>
      <c r="O6103" t="s">
        <v>31</v>
      </c>
      <c r="P6103" t="str">
        <f>"15208"</f>
        <v>15208</v>
      </c>
    </row>
    <row r="6104" spans="1:16" x14ac:dyDescent="0.25">
      <c r="A6104" t="str">
        <f>"1130125H00155    00"</f>
        <v>1130125H00155    00</v>
      </c>
      <c r="B6104" t="s">
        <v>14044</v>
      </c>
      <c r="C6104" t="s">
        <v>14045</v>
      </c>
      <c r="D6104" t="s">
        <v>20</v>
      </c>
      <c r="E6104" t="s">
        <v>39</v>
      </c>
      <c r="F6104">
        <v>0</v>
      </c>
      <c r="G6104">
        <v>0</v>
      </c>
      <c r="H6104">
        <v>2</v>
      </c>
      <c r="I6104" s="3">
        <v>369.8</v>
      </c>
      <c r="J6104" s="3">
        <v>36.99</v>
      </c>
      <c r="L6104">
        <v>63</v>
      </c>
      <c r="M6104" t="s">
        <v>14046</v>
      </c>
      <c r="N6104" t="s">
        <v>30</v>
      </c>
      <c r="O6104" t="s">
        <v>31</v>
      </c>
      <c r="P6104" t="str">
        <f>"15235"</f>
        <v>15235</v>
      </c>
    </row>
    <row r="6105" spans="1:16" x14ac:dyDescent="0.25">
      <c r="A6105" t="str">
        <f>"1130125H00171    00"</f>
        <v>1130125H00171    00</v>
      </c>
      <c r="B6105" t="s">
        <v>14047</v>
      </c>
      <c r="C6105" t="s">
        <v>14048</v>
      </c>
      <c r="D6105" t="s">
        <v>20</v>
      </c>
      <c r="E6105" t="s">
        <v>39</v>
      </c>
      <c r="F6105">
        <v>0</v>
      </c>
      <c r="G6105">
        <v>0</v>
      </c>
      <c r="H6105">
        <v>1</v>
      </c>
      <c r="I6105" s="3">
        <v>255.64</v>
      </c>
      <c r="J6105" s="3">
        <v>102.25</v>
      </c>
      <c r="K6105" t="s">
        <v>14049</v>
      </c>
      <c r="L6105">
        <v>7035</v>
      </c>
      <c r="M6105" t="s">
        <v>12221</v>
      </c>
      <c r="N6105" t="s">
        <v>30</v>
      </c>
      <c r="O6105" t="s">
        <v>31</v>
      </c>
      <c r="P6105" t="str">
        <f>"15208"</f>
        <v>15208</v>
      </c>
    </row>
    <row r="6106" spans="1:16" x14ac:dyDescent="0.25">
      <c r="A6106" t="str">
        <f>"1130125H00181    00"</f>
        <v>1130125H00181    00</v>
      </c>
      <c r="B6106" t="s">
        <v>14050</v>
      </c>
      <c r="C6106" t="s">
        <v>14051</v>
      </c>
      <c r="D6106" t="s">
        <v>20</v>
      </c>
      <c r="E6106" t="s">
        <v>39</v>
      </c>
      <c r="F6106">
        <v>0</v>
      </c>
      <c r="G6106">
        <v>0</v>
      </c>
      <c r="H6106">
        <v>14</v>
      </c>
      <c r="I6106" s="3">
        <v>2537.6</v>
      </c>
      <c r="J6106" s="3">
        <v>1139.29</v>
      </c>
      <c r="L6106">
        <v>7026</v>
      </c>
      <c r="M6106" t="s">
        <v>12395</v>
      </c>
      <c r="N6106" t="s">
        <v>30</v>
      </c>
      <c r="O6106" t="s">
        <v>31</v>
      </c>
      <c r="P6106" t="str">
        <f>"15208"</f>
        <v>15208</v>
      </c>
    </row>
    <row r="6107" spans="1:16" x14ac:dyDescent="0.25">
      <c r="A6107" t="str">
        <f>"1130125H00195    00"</f>
        <v>1130125H00195    00</v>
      </c>
      <c r="B6107" t="s">
        <v>12570</v>
      </c>
      <c r="C6107" t="s">
        <v>14052</v>
      </c>
      <c r="D6107" t="s">
        <v>20</v>
      </c>
      <c r="E6107" t="s">
        <v>39</v>
      </c>
      <c r="F6107">
        <v>0</v>
      </c>
      <c r="G6107">
        <v>0</v>
      </c>
      <c r="H6107">
        <v>1</v>
      </c>
      <c r="I6107" s="3">
        <v>914.88</v>
      </c>
      <c r="J6107" s="3">
        <v>0</v>
      </c>
      <c r="K6107" t="s">
        <v>12572</v>
      </c>
      <c r="L6107">
        <v>46</v>
      </c>
      <c r="M6107" t="s">
        <v>913</v>
      </c>
      <c r="N6107" t="s">
        <v>914</v>
      </c>
      <c r="O6107" t="s">
        <v>200</v>
      </c>
      <c r="P6107" t="str">
        <f>"10952"</f>
        <v>10952</v>
      </c>
    </row>
    <row r="6108" spans="1:16" x14ac:dyDescent="0.25">
      <c r="A6108" t="str">
        <f>"1130125H00196    00"</f>
        <v>1130125H00196    00</v>
      </c>
      <c r="B6108" t="s">
        <v>14053</v>
      </c>
      <c r="C6108" t="s">
        <v>14054</v>
      </c>
      <c r="D6108" t="s">
        <v>20</v>
      </c>
      <c r="E6108" t="s">
        <v>39</v>
      </c>
      <c r="F6108">
        <v>0</v>
      </c>
      <c r="G6108">
        <v>0</v>
      </c>
      <c r="H6108">
        <v>1</v>
      </c>
      <c r="I6108" s="3">
        <v>914.88</v>
      </c>
      <c r="J6108" s="3">
        <v>0</v>
      </c>
      <c r="K6108" t="s">
        <v>12572</v>
      </c>
      <c r="L6108">
        <v>46</v>
      </c>
      <c r="M6108" t="s">
        <v>1451</v>
      </c>
      <c r="N6108" t="s">
        <v>914</v>
      </c>
      <c r="O6108" t="s">
        <v>200</v>
      </c>
      <c r="P6108" t="str">
        <f>"10952"</f>
        <v>10952</v>
      </c>
    </row>
    <row r="6109" spans="1:16" x14ac:dyDescent="0.25">
      <c r="A6109" t="str">
        <f>"1130125H00238    00"</f>
        <v>1130125H00238    00</v>
      </c>
      <c r="B6109" t="s">
        <v>14055</v>
      </c>
      <c r="C6109" t="s">
        <v>14056</v>
      </c>
      <c r="E6109" t="s">
        <v>39</v>
      </c>
      <c r="F6109">
        <v>0</v>
      </c>
      <c r="G6109">
        <v>0</v>
      </c>
      <c r="H6109">
        <v>1</v>
      </c>
      <c r="I6109" s="3">
        <v>69.8</v>
      </c>
      <c r="J6109" s="3">
        <v>41.88</v>
      </c>
      <c r="L6109">
        <v>7017</v>
      </c>
      <c r="M6109" t="s">
        <v>9086</v>
      </c>
      <c r="N6109" t="s">
        <v>30</v>
      </c>
      <c r="O6109" t="s">
        <v>31</v>
      </c>
      <c r="P6109" t="str">
        <f>"15208"</f>
        <v>15208</v>
      </c>
    </row>
    <row r="6110" spans="1:16" x14ac:dyDescent="0.25">
      <c r="A6110" t="str">
        <f>"1130125H00239    00"</f>
        <v>1130125H00239    00</v>
      </c>
      <c r="B6110" t="s">
        <v>14057</v>
      </c>
      <c r="C6110" t="s">
        <v>14058</v>
      </c>
      <c r="D6110" t="s">
        <v>20</v>
      </c>
      <c r="E6110" t="s">
        <v>39</v>
      </c>
      <c r="F6110">
        <v>0</v>
      </c>
      <c r="G6110">
        <v>0</v>
      </c>
      <c r="H6110">
        <v>1</v>
      </c>
      <c r="I6110" s="3">
        <v>64.8</v>
      </c>
      <c r="J6110" s="3">
        <v>0</v>
      </c>
      <c r="L6110">
        <v>7021</v>
      </c>
      <c r="M6110" t="s">
        <v>9086</v>
      </c>
      <c r="N6110" t="s">
        <v>30</v>
      </c>
      <c r="O6110" t="s">
        <v>31</v>
      </c>
      <c r="P6110" t="str">
        <f>"15208"</f>
        <v>15208</v>
      </c>
    </row>
    <row r="6111" spans="1:16" x14ac:dyDescent="0.25">
      <c r="A6111" t="str">
        <f>"1130125H00240    00"</f>
        <v>1130125H00240    00</v>
      </c>
      <c r="B6111" t="s">
        <v>14059</v>
      </c>
      <c r="C6111" t="s">
        <v>14058</v>
      </c>
      <c r="D6111" t="s">
        <v>20</v>
      </c>
      <c r="E6111" t="s">
        <v>39</v>
      </c>
      <c r="F6111">
        <v>0</v>
      </c>
      <c r="G6111">
        <v>0</v>
      </c>
      <c r="H6111">
        <v>2</v>
      </c>
      <c r="I6111" s="3">
        <v>996.67</v>
      </c>
      <c r="J6111" s="3">
        <v>0</v>
      </c>
      <c r="L6111">
        <v>8017</v>
      </c>
      <c r="M6111" t="s">
        <v>1101</v>
      </c>
      <c r="N6111" t="s">
        <v>1046</v>
      </c>
      <c r="O6111" t="s">
        <v>31</v>
      </c>
      <c r="P6111" t="str">
        <f>"15147"</f>
        <v>15147</v>
      </c>
    </row>
    <row r="6112" spans="1:16" x14ac:dyDescent="0.25">
      <c r="A6112" t="str">
        <f>"1130125H00249    00"</f>
        <v>1130125H00249    00</v>
      </c>
      <c r="B6112" t="s">
        <v>14060</v>
      </c>
      <c r="C6112" t="s">
        <v>14061</v>
      </c>
      <c r="D6112" t="s">
        <v>20</v>
      </c>
      <c r="E6112" t="s">
        <v>39</v>
      </c>
      <c r="F6112">
        <v>0</v>
      </c>
      <c r="G6112">
        <v>0</v>
      </c>
      <c r="H6112">
        <v>6</v>
      </c>
      <c r="I6112" s="3">
        <v>4445.9399999999996</v>
      </c>
      <c r="J6112" s="3">
        <v>966.55</v>
      </c>
      <c r="L6112">
        <v>7032</v>
      </c>
      <c r="M6112" t="s">
        <v>9086</v>
      </c>
      <c r="N6112" t="s">
        <v>30</v>
      </c>
      <c r="O6112" t="s">
        <v>31</v>
      </c>
      <c r="P6112" t="str">
        <f>"15208"</f>
        <v>15208</v>
      </c>
    </row>
    <row r="6113" spans="1:16" x14ac:dyDescent="0.25">
      <c r="A6113" t="str">
        <f>"1130125H00254    00"</f>
        <v>1130125H00254    00</v>
      </c>
      <c r="B6113" t="s">
        <v>14062</v>
      </c>
      <c r="C6113" t="s">
        <v>14063</v>
      </c>
      <c r="D6113" t="s">
        <v>20</v>
      </c>
      <c r="E6113" t="s">
        <v>39</v>
      </c>
      <c r="F6113">
        <v>0</v>
      </c>
      <c r="G6113">
        <v>0</v>
      </c>
      <c r="H6113">
        <v>12</v>
      </c>
      <c r="I6113" s="3">
        <v>9682.64</v>
      </c>
      <c r="J6113" s="3">
        <v>5093.16</v>
      </c>
      <c r="L6113">
        <v>1036</v>
      </c>
      <c r="M6113" t="s">
        <v>14064</v>
      </c>
      <c r="N6113" t="s">
        <v>30</v>
      </c>
      <c r="O6113" t="s">
        <v>31</v>
      </c>
      <c r="P6113" t="str">
        <f>"15221"</f>
        <v>15221</v>
      </c>
    </row>
    <row r="6114" spans="1:16" x14ac:dyDescent="0.25">
      <c r="A6114" t="str">
        <f>"1130125H00256    00"</f>
        <v>1130125H00256    00</v>
      </c>
      <c r="B6114" t="s">
        <v>14065</v>
      </c>
      <c r="C6114" t="s">
        <v>14066</v>
      </c>
      <c r="D6114" t="s">
        <v>20</v>
      </c>
      <c r="E6114" t="s">
        <v>39</v>
      </c>
      <c r="F6114">
        <v>0</v>
      </c>
      <c r="G6114">
        <v>0</v>
      </c>
      <c r="H6114">
        <v>2</v>
      </c>
      <c r="I6114" s="3">
        <v>335.46</v>
      </c>
      <c r="J6114" s="3">
        <v>33.549999999999997</v>
      </c>
      <c r="L6114">
        <v>7018</v>
      </c>
      <c r="M6114" t="s">
        <v>9086</v>
      </c>
      <c r="N6114" t="s">
        <v>30</v>
      </c>
      <c r="O6114" t="s">
        <v>31</v>
      </c>
      <c r="P6114" t="str">
        <f>"15208"</f>
        <v>15208</v>
      </c>
    </row>
    <row r="6115" spans="1:16" x14ac:dyDescent="0.25">
      <c r="A6115" t="str">
        <f>"1130125H00256A   00"</f>
        <v>1130125H00256A   00</v>
      </c>
      <c r="B6115" t="s">
        <v>14065</v>
      </c>
      <c r="C6115" t="s">
        <v>14066</v>
      </c>
      <c r="D6115" t="s">
        <v>20</v>
      </c>
      <c r="E6115" t="s">
        <v>39</v>
      </c>
      <c r="F6115">
        <v>0</v>
      </c>
      <c r="G6115">
        <v>0</v>
      </c>
      <c r="H6115">
        <v>2</v>
      </c>
      <c r="I6115" s="3">
        <v>354.54</v>
      </c>
      <c r="J6115" s="3">
        <v>35.46</v>
      </c>
      <c r="L6115">
        <v>7018</v>
      </c>
      <c r="M6115" t="s">
        <v>9086</v>
      </c>
      <c r="N6115" t="s">
        <v>30</v>
      </c>
      <c r="O6115" t="s">
        <v>31</v>
      </c>
      <c r="P6115" t="str">
        <f>"15208"</f>
        <v>15208</v>
      </c>
    </row>
    <row r="6116" spans="1:16" x14ac:dyDescent="0.25">
      <c r="A6116" t="str">
        <f>"1130125H00257    00"</f>
        <v>1130125H00257    00</v>
      </c>
      <c r="B6116" t="s">
        <v>14067</v>
      </c>
      <c r="C6116" t="s">
        <v>14068</v>
      </c>
      <c r="E6116" t="s">
        <v>39</v>
      </c>
      <c r="F6116">
        <v>0</v>
      </c>
      <c r="G6116">
        <v>0</v>
      </c>
      <c r="H6116">
        <v>1</v>
      </c>
      <c r="I6116" s="3">
        <v>113.67</v>
      </c>
      <c r="J6116" s="3">
        <v>104.91</v>
      </c>
      <c r="L6116">
        <v>7016</v>
      </c>
      <c r="M6116" t="s">
        <v>9086</v>
      </c>
      <c r="N6116" t="s">
        <v>30</v>
      </c>
      <c r="O6116" t="s">
        <v>31</v>
      </c>
      <c r="P6116" t="str">
        <f>"15208"</f>
        <v>15208</v>
      </c>
    </row>
    <row r="6117" spans="1:16" x14ac:dyDescent="0.25">
      <c r="A6117" t="str">
        <f>"1130125H00258    00"</f>
        <v>1130125H00258    00</v>
      </c>
      <c r="B6117" t="s">
        <v>14069</v>
      </c>
      <c r="C6117" t="s">
        <v>14070</v>
      </c>
      <c r="D6117" t="s">
        <v>20</v>
      </c>
      <c r="E6117" t="s">
        <v>39</v>
      </c>
      <c r="F6117">
        <v>0</v>
      </c>
      <c r="G6117">
        <v>0</v>
      </c>
      <c r="H6117">
        <v>3</v>
      </c>
      <c r="I6117" s="3">
        <v>205.97</v>
      </c>
      <c r="J6117" s="3">
        <v>0</v>
      </c>
      <c r="K6117" t="s">
        <v>14071</v>
      </c>
      <c r="L6117">
        <v>9237</v>
      </c>
      <c r="M6117" t="s">
        <v>14072</v>
      </c>
      <c r="N6117" t="s">
        <v>509</v>
      </c>
      <c r="O6117" t="s">
        <v>31</v>
      </c>
      <c r="P6117" t="str">
        <f>"19114"</f>
        <v>19114</v>
      </c>
    </row>
    <row r="6118" spans="1:16" x14ac:dyDescent="0.25">
      <c r="A6118" t="str">
        <f>"1130125H00259    00"</f>
        <v>1130125H00259    00</v>
      </c>
      <c r="B6118" t="s">
        <v>14073</v>
      </c>
      <c r="C6118" t="s">
        <v>12265</v>
      </c>
      <c r="D6118" t="s">
        <v>20</v>
      </c>
      <c r="E6118" t="s">
        <v>39</v>
      </c>
      <c r="F6118">
        <v>0</v>
      </c>
      <c r="G6118">
        <v>0</v>
      </c>
      <c r="H6118">
        <v>1</v>
      </c>
      <c r="I6118" s="3">
        <v>68.62</v>
      </c>
      <c r="J6118" s="3">
        <v>0</v>
      </c>
      <c r="L6118">
        <v>6757</v>
      </c>
      <c r="M6118" t="s">
        <v>14074</v>
      </c>
      <c r="N6118" t="s">
        <v>30</v>
      </c>
      <c r="O6118" t="s">
        <v>31</v>
      </c>
      <c r="P6118" t="str">
        <f>"15208"</f>
        <v>15208</v>
      </c>
    </row>
    <row r="6119" spans="1:16" x14ac:dyDescent="0.25">
      <c r="A6119" t="str">
        <f>"1130125H00332A   00"</f>
        <v>1130125H00332A   00</v>
      </c>
      <c r="B6119" t="s">
        <v>14075</v>
      </c>
      <c r="C6119" t="s">
        <v>14076</v>
      </c>
      <c r="E6119" t="s">
        <v>39</v>
      </c>
      <c r="F6119">
        <v>0</v>
      </c>
      <c r="G6119">
        <v>0</v>
      </c>
      <c r="H6119">
        <v>1</v>
      </c>
      <c r="I6119" s="3">
        <v>139.13999999999999</v>
      </c>
      <c r="J6119" s="3">
        <v>0</v>
      </c>
      <c r="K6119" t="s">
        <v>14077</v>
      </c>
      <c r="L6119">
        <v>210</v>
      </c>
      <c r="M6119" t="s">
        <v>14078</v>
      </c>
      <c r="N6119" t="s">
        <v>14079</v>
      </c>
      <c r="O6119" t="s">
        <v>31</v>
      </c>
      <c r="P6119" t="str">
        <f>"18360"</f>
        <v>18360</v>
      </c>
    </row>
    <row r="6120" spans="1:16" x14ac:dyDescent="0.25">
      <c r="A6120" t="str">
        <f>"1130125H00333    00"</f>
        <v>1130125H00333    00</v>
      </c>
      <c r="B6120" t="s">
        <v>14075</v>
      </c>
      <c r="C6120" t="s">
        <v>14076</v>
      </c>
      <c r="E6120" t="s">
        <v>39</v>
      </c>
      <c r="F6120">
        <v>0</v>
      </c>
      <c r="G6120">
        <v>0</v>
      </c>
      <c r="H6120">
        <v>1</v>
      </c>
      <c r="I6120" s="3">
        <v>137.22999999999999</v>
      </c>
      <c r="J6120" s="3">
        <v>0</v>
      </c>
      <c r="K6120" t="s">
        <v>14077</v>
      </c>
      <c r="L6120">
        <v>210</v>
      </c>
      <c r="M6120" t="s">
        <v>14078</v>
      </c>
      <c r="N6120" t="s">
        <v>14079</v>
      </c>
      <c r="O6120" t="s">
        <v>31</v>
      </c>
      <c r="P6120" t="str">
        <f>"18360"</f>
        <v>18360</v>
      </c>
    </row>
    <row r="6121" spans="1:16" x14ac:dyDescent="0.25">
      <c r="A6121" t="str">
        <f>"1130125H00333A   00"</f>
        <v>1130125H00333A   00</v>
      </c>
      <c r="B6121" t="s">
        <v>14075</v>
      </c>
      <c r="C6121" t="s">
        <v>14080</v>
      </c>
      <c r="E6121" t="s">
        <v>39</v>
      </c>
      <c r="F6121">
        <v>0</v>
      </c>
      <c r="G6121">
        <v>0</v>
      </c>
      <c r="H6121">
        <v>1</v>
      </c>
      <c r="I6121" s="3">
        <v>137.22999999999999</v>
      </c>
      <c r="J6121" s="3">
        <v>0</v>
      </c>
      <c r="K6121" t="s">
        <v>14077</v>
      </c>
      <c r="L6121">
        <v>210</v>
      </c>
      <c r="M6121" t="s">
        <v>14078</v>
      </c>
      <c r="N6121" t="s">
        <v>14079</v>
      </c>
      <c r="O6121" t="s">
        <v>31</v>
      </c>
      <c r="P6121" t="str">
        <f>"18360"</f>
        <v>18360</v>
      </c>
    </row>
    <row r="6122" spans="1:16" x14ac:dyDescent="0.25">
      <c r="A6122" t="str">
        <f>"1130125H00334    00"</f>
        <v>1130125H00334    00</v>
      </c>
      <c r="B6122" t="s">
        <v>14075</v>
      </c>
      <c r="C6122" t="s">
        <v>14080</v>
      </c>
      <c r="E6122" t="s">
        <v>39</v>
      </c>
      <c r="F6122">
        <v>0</v>
      </c>
      <c r="G6122">
        <v>0</v>
      </c>
      <c r="H6122">
        <v>1</v>
      </c>
      <c r="I6122" s="3">
        <v>137.22999999999999</v>
      </c>
      <c r="J6122" s="3">
        <v>0</v>
      </c>
      <c r="K6122" t="s">
        <v>14077</v>
      </c>
      <c r="L6122">
        <v>210</v>
      </c>
      <c r="M6122" t="s">
        <v>14081</v>
      </c>
      <c r="N6122" t="s">
        <v>14079</v>
      </c>
      <c r="O6122" t="s">
        <v>31</v>
      </c>
      <c r="P6122" t="str">
        <f>"18360"</f>
        <v>18360</v>
      </c>
    </row>
    <row r="6123" spans="1:16" x14ac:dyDescent="0.25">
      <c r="A6123" t="str">
        <f>"1130125H00337    00"</f>
        <v>1130125H00337    00</v>
      </c>
      <c r="B6123" t="s">
        <v>14082</v>
      </c>
      <c r="C6123" t="s">
        <v>14083</v>
      </c>
      <c r="D6123" t="s">
        <v>20</v>
      </c>
      <c r="E6123" t="s">
        <v>39</v>
      </c>
      <c r="F6123">
        <v>0</v>
      </c>
      <c r="G6123">
        <v>0</v>
      </c>
      <c r="H6123">
        <v>7</v>
      </c>
      <c r="I6123" s="3">
        <v>1905.36</v>
      </c>
      <c r="J6123" s="3">
        <v>696.11</v>
      </c>
      <c r="K6123" t="s">
        <v>14084</v>
      </c>
      <c r="M6123" t="s">
        <v>14085</v>
      </c>
      <c r="N6123" t="s">
        <v>14086</v>
      </c>
      <c r="O6123" t="s">
        <v>495</v>
      </c>
      <c r="P6123" t="str">
        <f>"92583"</f>
        <v>92583</v>
      </c>
    </row>
    <row r="6124" spans="1:16" x14ac:dyDescent="0.25">
      <c r="A6124" t="str">
        <f>"1130125H00338    00"</f>
        <v>1130125H00338    00</v>
      </c>
      <c r="B6124" t="s">
        <v>14087</v>
      </c>
      <c r="C6124" t="s">
        <v>14088</v>
      </c>
      <c r="D6124" t="s">
        <v>20</v>
      </c>
      <c r="E6124" t="s">
        <v>39</v>
      </c>
      <c r="F6124">
        <v>0</v>
      </c>
      <c r="G6124">
        <v>0</v>
      </c>
      <c r="H6124">
        <v>4</v>
      </c>
      <c r="I6124" s="3">
        <v>3113.62</v>
      </c>
      <c r="J6124" s="3">
        <v>367.8</v>
      </c>
      <c r="K6124" t="s">
        <v>14089</v>
      </c>
      <c r="L6124">
        <v>11300</v>
      </c>
      <c r="M6124" t="s">
        <v>14090</v>
      </c>
      <c r="N6124" t="s">
        <v>1358</v>
      </c>
      <c r="O6124" t="s">
        <v>108</v>
      </c>
      <c r="P6124" t="str">
        <f>"77429"</f>
        <v>77429</v>
      </c>
    </row>
    <row r="6125" spans="1:16" x14ac:dyDescent="0.25">
      <c r="A6125" t="str">
        <f>"1130125H00340    00"</f>
        <v>1130125H00340    00</v>
      </c>
      <c r="B6125" t="s">
        <v>12531</v>
      </c>
      <c r="C6125" t="s">
        <v>14091</v>
      </c>
      <c r="D6125" t="s">
        <v>20</v>
      </c>
      <c r="E6125" t="s">
        <v>39</v>
      </c>
      <c r="F6125">
        <v>0</v>
      </c>
      <c r="G6125">
        <v>0</v>
      </c>
      <c r="H6125">
        <v>1</v>
      </c>
      <c r="I6125" s="3">
        <v>1257.96</v>
      </c>
      <c r="J6125" s="3">
        <v>0</v>
      </c>
      <c r="K6125" t="s">
        <v>12533</v>
      </c>
      <c r="L6125">
        <v>46</v>
      </c>
      <c r="M6125" t="s">
        <v>913</v>
      </c>
      <c r="N6125" t="s">
        <v>914</v>
      </c>
      <c r="O6125" t="s">
        <v>200</v>
      </c>
      <c r="P6125" t="str">
        <f>"10952"</f>
        <v>10952</v>
      </c>
    </row>
    <row r="6126" spans="1:16" x14ac:dyDescent="0.25">
      <c r="A6126" t="str">
        <f>"1130125M00013    00"</f>
        <v>1130125M00013    00</v>
      </c>
      <c r="B6126" t="s">
        <v>14092</v>
      </c>
      <c r="C6126" t="s">
        <v>14093</v>
      </c>
      <c r="D6126" t="s">
        <v>20</v>
      </c>
      <c r="E6126" t="s">
        <v>39</v>
      </c>
      <c r="F6126">
        <v>0</v>
      </c>
      <c r="G6126">
        <v>0</v>
      </c>
      <c r="H6126">
        <v>4</v>
      </c>
      <c r="I6126" s="3">
        <v>1571.26</v>
      </c>
      <c r="J6126" s="3">
        <v>141.16999999999999</v>
      </c>
      <c r="L6126">
        <v>200</v>
      </c>
      <c r="M6126" t="s">
        <v>14094</v>
      </c>
      <c r="N6126" t="s">
        <v>14095</v>
      </c>
      <c r="O6126" t="s">
        <v>692</v>
      </c>
      <c r="P6126" t="str">
        <f>"23320"</f>
        <v>23320</v>
      </c>
    </row>
    <row r="6127" spans="1:16" x14ac:dyDescent="0.25">
      <c r="A6127" t="str">
        <f>"1130125M00023    00"</f>
        <v>1130125M00023    00</v>
      </c>
      <c r="B6127" t="s">
        <v>14096</v>
      </c>
      <c r="C6127" t="s">
        <v>14097</v>
      </c>
      <c r="D6127" t="s">
        <v>20</v>
      </c>
      <c r="E6127" t="s">
        <v>39</v>
      </c>
      <c r="F6127">
        <v>0</v>
      </c>
      <c r="G6127">
        <v>0</v>
      </c>
      <c r="H6127">
        <v>7</v>
      </c>
      <c r="I6127" s="3">
        <v>4966.04</v>
      </c>
      <c r="J6127" s="3">
        <v>2834.08</v>
      </c>
      <c r="K6127" t="s">
        <v>14098</v>
      </c>
      <c r="L6127">
        <v>1224</v>
      </c>
      <c r="M6127" t="s">
        <v>3634</v>
      </c>
      <c r="N6127" t="s">
        <v>30</v>
      </c>
      <c r="O6127" t="s">
        <v>31</v>
      </c>
      <c r="P6127" t="str">
        <f>"15206"</f>
        <v>15206</v>
      </c>
    </row>
    <row r="6128" spans="1:16" x14ac:dyDescent="0.25">
      <c r="A6128" t="str">
        <f>"1130125M00029    00"</f>
        <v>1130125M00029    00</v>
      </c>
      <c r="B6128" t="s">
        <v>14099</v>
      </c>
      <c r="C6128" t="s">
        <v>14100</v>
      </c>
      <c r="D6128" t="s">
        <v>20</v>
      </c>
      <c r="E6128" t="s">
        <v>39</v>
      </c>
      <c r="F6128">
        <v>0</v>
      </c>
      <c r="G6128">
        <v>0</v>
      </c>
      <c r="H6128">
        <v>1</v>
      </c>
      <c r="I6128" s="3">
        <v>227.28</v>
      </c>
      <c r="J6128" s="3">
        <v>0</v>
      </c>
      <c r="K6128" t="s">
        <v>6184</v>
      </c>
      <c r="L6128">
        <v>901</v>
      </c>
      <c r="M6128" t="s">
        <v>1503</v>
      </c>
      <c r="N6128" t="s">
        <v>494</v>
      </c>
      <c r="O6128" t="s">
        <v>495</v>
      </c>
      <c r="P6128" t="str">
        <f>"91768"</f>
        <v>91768</v>
      </c>
    </row>
    <row r="6129" spans="1:16" x14ac:dyDescent="0.25">
      <c r="A6129" t="str">
        <f>"1130125M00031    00"</f>
        <v>1130125M00031    00</v>
      </c>
      <c r="B6129" t="s">
        <v>14101</v>
      </c>
      <c r="C6129" t="s">
        <v>14102</v>
      </c>
      <c r="D6129" t="s">
        <v>20</v>
      </c>
      <c r="E6129" t="s">
        <v>39</v>
      </c>
      <c r="F6129">
        <v>0</v>
      </c>
      <c r="G6129">
        <v>0</v>
      </c>
      <c r="H6129">
        <v>2</v>
      </c>
      <c r="I6129" s="3">
        <v>799.5</v>
      </c>
      <c r="J6129" s="3">
        <v>16.66</v>
      </c>
      <c r="K6129" t="s">
        <v>14103</v>
      </c>
      <c r="L6129">
        <v>400</v>
      </c>
      <c r="M6129" t="s">
        <v>14104</v>
      </c>
      <c r="N6129" t="s">
        <v>30</v>
      </c>
      <c r="O6129" t="s">
        <v>31</v>
      </c>
      <c r="P6129" t="str">
        <f>"15220"</f>
        <v>15220</v>
      </c>
    </row>
    <row r="6130" spans="1:16" x14ac:dyDescent="0.25">
      <c r="A6130" t="str">
        <f>"1130125M00033    00"</f>
        <v>1130125M00033    00</v>
      </c>
      <c r="B6130" t="s">
        <v>12051</v>
      </c>
      <c r="C6130" t="s">
        <v>14105</v>
      </c>
      <c r="D6130" t="s">
        <v>20</v>
      </c>
      <c r="E6130" t="s">
        <v>39</v>
      </c>
      <c r="F6130">
        <v>0</v>
      </c>
      <c r="G6130">
        <v>0</v>
      </c>
      <c r="H6130">
        <v>2</v>
      </c>
      <c r="I6130" s="3">
        <v>419.64</v>
      </c>
      <c r="J6130" s="3">
        <v>0</v>
      </c>
      <c r="M6130" t="s">
        <v>12053</v>
      </c>
      <c r="N6130" t="s">
        <v>30</v>
      </c>
      <c r="O6130" t="s">
        <v>31</v>
      </c>
      <c r="P6130" t="str">
        <f>"15206"</f>
        <v>15206</v>
      </c>
    </row>
    <row r="6131" spans="1:16" x14ac:dyDescent="0.25">
      <c r="A6131" t="str">
        <f>"1130125M00033A   00"</f>
        <v>1130125M00033A   00</v>
      </c>
      <c r="B6131" t="s">
        <v>12051</v>
      </c>
      <c r="C6131" t="s">
        <v>14106</v>
      </c>
      <c r="D6131" t="s">
        <v>20</v>
      </c>
      <c r="E6131" t="s">
        <v>39</v>
      </c>
      <c r="F6131">
        <v>0</v>
      </c>
      <c r="G6131">
        <v>0</v>
      </c>
      <c r="H6131">
        <v>1</v>
      </c>
      <c r="I6131" s="3">
        <v>449.82</v>
      </c>
      <c r="J6131" s="3">
        <v>0</v>
      </c>
      <c r="M6131" t="s">
        <v>12053</v>
      </c>
      <c r="N6131" t="s">
        <v>30</v>
      </c>
      <c r="O6131" t="s">
        <v>31</v>
      </c>
      <c r="P6131" t="str">
        <f>"15206"</f>
        <v>15206</v>
      </c>
    </row>
    <row r="6132" spans="1:16" x14ac:dyDescent="0.25">
      <c r="A6132" t="str">
        <f>"1130125M00160    00"</f>
        <v>1130125M00160    00</v>
      </c>
      <c r="B6132" t="s">
        <v>14107</v>
      </c>
      <c r="C6132" t="s">
        <v>14108</v>
      </c>
      <c r="E6132" t="s">
        <v>290</v>
      </c>
      <c r="F6132">
        <v>0</v>
      </c>
      <c r="G6132">
        <v>0</v>
      </c>
      <c r="H6132">
        <v>1</v>
      </c>
      <c r="I6132" s="3">
        <v>310.58</v>
      </c>
      <c r="J6132" s="3">
        <v>0</v>
      </c>
      <c r="L6132">
        <v>7007</v>
      </c>
      <c r="M6132" t="s">
        <v>12487</v>
      </c>
      <c r="N6132" t="s">
        <v>30</v>
      </c>
      <c r="O6132" t="s">
        <v>31</v>
      </c>
      <c r="P6132" t="str">
        <f>"15208"</f>
        <v>15208</v>
      </c>
    </row>
    <row r="6133" spans="1:16" x14ac:dyDescent="0.25">
      <c r="A6133" t="str">
        <f>"1130125M00164    00"</f>
        <v>1130125M00164    00</v>
      </c>
      <c r="B6133" t="s">
        <v>14107</v>
      </c>
      <c r="C6133" t="s">
        <v>14109</v>
      </c>
      <c r="E6133" t="s">
        <v>21</v>
      </c>
      <c r="F6133">
        <v>0</v>
      </c>
      <c r="G6133">
        <v>0</v>
      </c>
      <c r="H6133">
        <v>1</v>
      </c>
      <c r="I6133" s="3">
        <v>497.13</v>
      </c>
      <c r="J6133" s="3">
        <v>0</v>
      </c>
      <c r="L6133">
        <v>7007</v>
      </c>
      <c r="M6133" t="s">
        <v>12487</v>
      </c>
      <c r="N6133" t="s">
        <v>30</v>
      </c>
      <c r="O6133" t="s">
        <v>31</v>
      </c>
      <c r="P6133" t="str">
        <f>"15208"</f>
        <v>15208</v>
      </c>
    </row>
    <row r="6134" spans="1:16" x14ac:dyDescent="0.25">
      <c r="A6134" t="str">
        <f>"1130125M00166    00"</f>
        <v>1130125M00166    00</v>
      </c>
      <c r="B6134" t="s">
        <v>14110</v>
      </c>
      <c r="C6134" t="s">
        <v>14111</v>
      </c>
      <c r="E6134" t="s">
        <v>290</v>
      </c>
      <c r="F6134">
        <v>0</v>
      </c>
      <c r="G6134">
        <v>0</v>
      </c>
      <c r="H6134">
        <v>1</v>
      </c>
      <c r="I6134" s="3">
        <v>269.58</v>
      </c>
      <c r="J6134" s="3">
        <v>0</v>
      </c>
      <c r="L6134">
        <v>7007</v>
      </c>
      <c r="M6134" t="s">
        <v>12487</v>
      </c>
      <c r="N6134" t="s">
        <v>30</v>
      </c>
      <c r="O6134" t="s">
        <v>31</v>
      </c>
      <c r="P6134" t="str">
        <f>"15208"</f>
        <v>15208</v>
      </c>
    </row>
    <row r="6135" spans="1:16" x14ac:dyDescent="0.25">
      <c r="A6135" t="str">
        <f>"1130125M00167    00"</f>
        <v>1130125M00167    00</v>
      </c>
      <c r="B6135" t="s">
        <v>14112</v>
      </c>
      <c r="C6135" t="s">
        <v>14113</v>
      </c>
      <c r="D6135" t="s">
        <v>20</v>
      </c>
      <c r="E6135" t="s">
        <v>39</v>
      </c>
      <c r="F6135">
        <v>0</v>
      </c>
      <c r="G6135">
        <v>0</v>
      </c>
      <c r="H6135">
        <v>2</v>
      </c>
      <c r="I6135" s="3">
        <v>1162.68</v>
      </c>
      <c r="J6135" s="3">
        <v>0</v>
      </c>
      <c r="L6135">
        <v>7019</v>
      </c>
      <c r="M6135" t="s">
        <v>12487</v>
      </c>
      <c r="N6135" t="s">
        <v>30</v>
      </c>
      <c r="O6135" t="s">
        <v>31</v>
      </c>
      <c r="P6135" t="str">
        <f>"15208"</f>
        <v>15208</v>
      </c>
    </row>
    <row r="6136" spans="1:16" x14ac:dyDescent="0.25">
      <c r="A6136" t="str">
        <f>"1130125M00168    00"</f>
        <v>1130125M00168    00</v>
      </c>
      <c r="B6136" t="s">
        <v>11858</v>
      </c>
      <c r="C6136" t="s">
        <v>14114</v>
      </c>
      <c r="D6136" t="s">
        <v>20</v>
      </c>
      <c r="E6136" t="s">
        <v>207</v>
      </c>
      <c r="F6136">
        <v>0</v>
      </c>
      <c r="G6136">
        <v>0</v>
      </c>
      <c r="H6136">
        <v>1</v>
      </c>
      <c r="I6136" s="3">
        <v>857.72</v>
      </c>
      <c r="J6136" s="3">
        <v>0</v>
      </c>
      <c r="K6136" t="s">
        <v>11860</v>
      </c>
      <c r="L6136">
        <v>46</v>
      </c>
      <c r="M6136" t="s">
        <v>1451</v>
      </c>
      <c r="N6136" t="s">
        <v>914</v>
      </c>
      <c r="O6136" t="s">
        <v>200</v>
      </c>
      <c r="P6136" t="str">
        <f>"10952"</f>
        <v>10952</v>
      </c>
    </row>
    <row r="6137" spans="1:16" x14ac:dyDescent="0.25">
      <c r="A6137" t="str">
        <f>"1130125M00174    00"</f>
        <v>1130125M00174    00</v>
      </c>
      <c r="B6137" t="s">
        <v>12531</v>
      </c>
      <c r="C6137" t="s">
        <v>14115</v>
      </c>
      <c r="D6137" t="s">
        <v>20</v>
      </c>
      <c r="E6137" t="s">
        <v>21</v>
      </c>
      <c r="F6137">
        <v>0</v>
      </c>
      <c r="G6137">
        <v>0</v>
      </c>
      <c r="H6137">
        <v>1</v>
      </c>
      <c r="I6137" s="3">
        <v>1257.96</v>
      </c>
      <c r="J6137" s="3">
        <v>0</v>
      </c>
      <c r="K6137" t="s">
        <v>12533</v>
      </c>
      <c r="L6137">
        <v>46</v>
      </c>
      <c r="M6137" t="s">
        <v>913</v>
      </c>
      <c r="N6137" t="s">
        <v>914</v>
      </c>
      <c r="O6137" t="s">
        <v>200</v>
      </c>
      <c r="P6137" t="str">
        <f>"10952"</f>
        <v>10952</v>
      </c>
    </row>
    <row r="6138" spans="1:16" x14ac:dyDescent="0.25">
      <c r="A6138" t="str">
        <f>"1130125M00176    00"</f>
        <v>1130125M00176    00</v>
      </c>
      <c r="B6138" t="s">
        <v>14116</v>
      </c>
      <c r="C6138" t="s">
        <v>14117</v>
      </c>
      <c r="E6138" t="s">
        <v>39</v>
      </c>
      <c r="F6138">
        <v>0</v>
      </c>
      <c r="G6138">
        <v>0</v>
      </c>
      <c r="H6138">
        <v>8</v>
      </c>
      <c r="I6138" s="3">
        <v>1915.51</v>
      </c>
      <c r="J6138" s="3">
        <v>2639.78</v>
      </c>
      <c r="L6138">
        <v>7039</v>
      </c>
      <c r="M6138" t="s">
        <v>12487</v>
      </c>
      <c r="N6138" t="s">
        <v>30</v>
      </c>
      <c r="O6138" t="s">
        <v>31</v>
      </c>
      <c r="P6138" t="str">
        <f>"15208"</f>
        <v>15208</v>
      </c>
    </row>
    <row r="6139" spans="1:16" x14ac:dyDescent="0.25">
      <c r="A6139" t="str">
        <f>"1130125M00178    00"</f>
        <v>1130125M00178    00</v>
      </c>
      <c r="B6139" t="s">
        <v>14118</v>
      </c>
      <c r="C6139" t="s">
        <v>14119</v>
      </c>
      <c r="D6139" t="s">
        <v>20</v>
      </c>
      <c r="E6139" t="s">
        <v>39</v>
      </c>
      <c r="F6139">
        <v>0</v>
      </c>
      <c r="G6139">
        <v>0</v>
      </c>
      <c r="H6139">
        <v>7</v>
      </c>
      <c r="I6139" s="3">
        <v>881.36</v>
      </c>
      <c r="J6139" s="3">
        <v>557.91</v>
      </c>
      <c r="L6139">
        <v>7043</v>
      </c>
      <c r="M6139" t="s">
        <v>12487</v>
      </c>
      <c r="N6139" t="s">
        <v>30</v>
      </c>
      <c r="O6139" t="s">
        <v>31</v>
      </c>
      <c r="P6139" t="str">
        <f>"15208"</f>
        <v>15208</v>
      </c>
    </row>
    <row r="6140" spans="1:16" x14ac:dyDescent="0.25">
      <c r="A6140" t="str">
        <f>"1130125M00179    00"</f>
        <v>1130125M00179    00</v>
      </c>
      <c r="B6140" t="s">
        <v>14120</v>
      </c>
      <c r="C6140" t="s">
        <v>14121</v>
      </c>
      <c r="D6140" t="s">
        <v>20</v>
      </c>
      <c r="E6140" t="s">
        <v>39</v>
      </c>
      <c r="F6140">
        <v>0</v>
      </c>
      <c r="G6140">
        <v>0</v>
      </c>
      <c r="H6140">
        <v>7</v>
      </c>
      <c r="I6140" s="3">
        <v>1117.95</v>
      </c>
      <c r="J6140" s="3">
        <v>649.94000000000005</v>
      </c>
      <c r="L6140">
        <v>7045</v>
      </c>
      <c r="M6140" t="s">
        <v>12487</v>
      </c>
      <c r="N6140" t="s">
        <v>30</v>
      </c>
      <c r="O6140" t="s">
        <v>31</v>
      </c>
      <c r="P6140" t="str">
        <f>"15208"</f>
        <v>15208</v>
      </c>
    </row>
    <row r="6141" spans="1:16" x14ac:dyDescent="0.25">
      <c r="A6141" t="str">
        <f>"1130125M00184    00"</f>
        <v>1130125M00184    00</v>
      </c>
      <c r="B6141" t="s">
        <v>1997</v>
      </c>
      <c r="C6141" t="s">
        <v>14122</v>
      </c>
      <c r="E6141" t="s">
        <v>39</v>
      </c>
      <c r="F6141">
        <v>0</v>
      </c>
      <c r="G6141">
        <v>0</v>
      </c>
      <c r="H6141">
        <v>8</v>
      </c>
      <c r="I6141" s="3">
        <v>181.32</v>
      </c>
      <c r="J6141" s="3">
        <v>258.2</v>
      </c>
      <c r="L6141">
        <v>412</v>
      </c>
      <c r="M6141" t="s">
        <v>221</v>
      </c>
      <c r="N6141" t="s">
        <v>30</v>
      </c>
      <c r="O6141" t="s">
        <v>31</v>
      </c>
      <c r="P6141" t="str">
        <f>"15219"</f>
        <v>15219</v>
      </c>
    </row>
    <row r="6142" spans="1:16" x14ac:dyDescent="0.25">
      <c r="A6142" t="str">
        <f>"1130125M00340    00"</f>
        <v>1130125M00340    00</v>
      </c>
      <c r="B6142" t="s">
        <v>14123</v>
      </c>
      <c r="C6142" t="s">
        <v>14124</v>
      </c>
      <c r="D6142" t="s">
        <v>33</v>
      </c>
      <c r="E6142" t="s">
        <v>39</v>
      </c>
      <c r="F6142">
        <v>0</v>
      </c>
      <c r="G6142">
        <v>0</v>
      </c>
      <c r="H6142">
        <v>6</v>
      </c>
      <c r="I6142" s="3">
        <v>1589.17</v>
      </c>
      <c r="J6142" s="3">
        <v>713.35</v>
      </c>
      <c r="K6142" t="s">
        <v>14125</v>
      </c>
      <c r="L6142">
        <v>150</v>
      </c>
      <c r="M6142" t="s">
        <v>5999</v>
      </c>
      <c r="N6142" t="s">
        <v>30</v>
      </c>
      <c r="O6142" t="s">
        <v>31</v>
      </c>
      <c r="P6142" t="str">
        <f>"15206"</f>
        <v>15206</v>
      </c>
    </row>
    <row r="6143" spans="1:16" x14ac:dyDescent="0.25">
      <c r="A6143" t="str">
        <f>"1130125M00342    00"</f>
        <v>1130125M00342    00</v>
      </c>
      <c r="B6143" t="s">
        <v>14126</v>
      </c>
      <c r="C6143" t="s">
        <v>14127</v>
      </c>
      <c r="D6143" t="s">
        <v>20</v>
      </c>
      <c r="E6143" t="s">
        <v>39</v>
      </c>
      <c r="F6143">
        <v>0</v>
      </c>
      <c r="G6143">
        <v>0</v>
      </c>
      <c r="H6143">
        <v>1</v>
      </c>
      <c r="I6143" s="3">
        <v>492.22</v>
      </c>
      <c r="J6143" s="3">
        <v>0</v>
      </c>
      <c r="L6143">
        <v>7043</v>
      </c>
      <c r="M6143" t="s">
        <v>11435</v>
      </c>
      <c r="N6143" t="s">
        <v>30</v>
      </c>
      <c r="O6143" t="s">
        <v>31</v>
      </c>
      <c r="P6143" t="str">
        <f>"15208"</f>
        <v>15208</v>
      </c>
    </row>
    <row r="6144" spans="1:16" x14ac:dyDescent="0.25">
      <c r="A6144" t="str">
        <f>"1130125M00356B   00"</f>
        <v>1130125M00356B   00</v>
      </c>
      <c r="B6144" t="s">
        <v>14128</v>
      </c>
      <c r="C6144" t="s">
        <v>14129</v>
      </c>
      <c r="D6144" t="s">
        <v>20</v>
      </c>
      <c r="E6144" t="s">
        <v>39</v>
      </c>
      <c r="F6144">
        <v>0</v>
      </c>
      <c r="G6144">
        <v>0</v>
      </c>
      <c r="H6144">
        <v>5</v>
      </c>
      <c r="I6144" s="3">
        <v>1601.4</v>
      </c>
      <c r="J6144" s="3">
        <v>276.67</v>
      </c>
      <c r="L6144">
        <v>7016</v>
      </c>
      <c r="M6144" t="s">
        <v>14130</v>
      </c>
      <c r="N6144" t="s">
        <v>30</v>
      </c>
      <c r="O6144" t="s">
        <v>31</v>
      </c>
      <c r="P6144" t="str">
        <f>"15208"</f>
        <v>15208</v>
      </c>
    </row>
    <row r="6145" spans="1:16" x14ac:dyDescent="0.25">
      <c r="A6145" t="str">
        <f>"1130125M00365    00"</f>
        <v>1130125M00365    00</v>
      </c>
      <c r="B6145" t="s">
        <v>11858</v>
      </c>
      <c r="C6145" t="s">
        <v>14131</v>
      </c>
      <c r="D6145" t="s">
        <v>20</v>
      </c>
      <c r="E6145" t="s">
        <v>21</v>
      </c>
      <c r="F6145">
        <v>0</v>
      </c>
      <c r="G6145">
        <v>0</v>
      </c>
      <c r="H6145">
        <v>1</v>
      </c>
      <c r="I6145" s="3">
        <v>857.7</v>
      </c>
      <c r="J6145" s="3">
        <v>0</v>
      </c>
      <c r="K6145" t="s">
        <v>11860</v>
      </c>
      <c r="L6145">
        <v>46</v>
      </c>
      <c r="M6145" t="s">
        <v>913</v>
      </c>
      <c r="N6145" t="s">
        <v>914</v>
      </c>
      <c r="O6145" t="s">
        <v>200</v>
      </c>
      <c r="P6145" t="str">
        <f>"10952"</f>
        <v>10952</v>
      </c>
    </row>
    <row r="6146" spans="1:16" x14ac:dyDescent="0.25">
      <c r="A6146" t="str">
        <f>"1130125S00024    00"</f>
        <v>1130125S00024    00</v>
      </c>
      <c r="B6146" t="s">
        <v>14132</v>
      </c>
      <c r="C6146" t="s">
        <v>14133</v>
      </c>
      <c r="D6146" t="s">
        <v>20</v>
      </c>
      <c r="E6146" t="s">
        <v>39</v>
      </c>
      <c r="F6146">
        <v>0</v>
      </c>
      <c r="G6146">
        <v>0</v>
      </c>
      <c r="H6146">
        <v>2</v>
      </c>
      <c r="I6146" s="3">
        <v>19.079999999999998</v>
      </c>
      <c r="J6146" s="3">
        <v>0</v>
      </c>
      <c r="L6146">
        <v>532</v>
      </c>
      <c r="M6146" t="s">
        <v>12412</v>
      </c>
      <c r="N6146" t="s">
        <v>30</v>
      </c>
      <c r="O6146" t="s">
        <v>31</v>
      </c>
      <c r="P6146" t="str">
        <f>"15208"</f>
        <v>15208</v>
      </c>
    </row>
    <row r="6147" spans="1:16" x14ac:dyDescent="0.25">
      <c r="A6147" t="str">
        <f>"1130125S00027    00"</f>
        <v>1130125S00027    00</v>
      </c>
      <c r="B6147" t="s">
        <v>218</v>
      </c>
      <c r="C6147" t="s">
        <v>14133</v>
      </c>
      <c r="E6147" t="s">
        <v>39</v>
      </c>
      <c r="F6147">
        <v>0</v>
      </c>
      <c r="G6147">
        <v>0</v>
      </c>
      <c r="H6147">
        <v>3</v>
      </c>
      <c r="I6147" s="3">
        <v>317.7</v>
      </c>
      <c r="J6147" s="3">
        <v>187.24</v>
      </c>
      <c r="K6147" t="s">
        <v>220</v>
      </c>
      <c r="L6147">
        <v>412</v>
      </c>
      <c r="M6147" t="s">
        <v>2069</v>
      </c>
      <c r="N6147" t="s">
        <v>30</v>
      </c>
      <c r="O6147" t="s">
        <v>31</v>
      </c>
      <c r="P6147" t="str">
        <f>"15219"</f>
        <v>15219</v>
      </c>
    </row>
    <row r="6148" spans="1:16" x14ac:dyDescent="0.25">
      <c r="A6148" t="str">
        <f>"1130125S00030    00"</f>
        <v>1130125S00030    00</v>
      </c>
      <c r="B6148" t="s">
        <v>14134</v>
      </c>
      <c r="C6148" t="s">
        <v>14135</v>
      </c>
      <c r="D6148" t="s">
        <v>20</v>
      </c>
      <c r="E6148" t="s">
        <v>39</v>
      </c>
      <c r="F6148">
        <v>0</v>
      </c>
      <c r="G6148">
        <v>0</v>
      </c>
      <c r="H6148">
        <v>2</v>
      </c>
      <c r="I6148" s="3">
        <v>229.16</v>
      </c>
      <c r="J6148" s="3">
        <v>0</v>
      </c>
      <c r="K6148" t="s">
        <v>14136</v>
      </c>
      <c r="L6148">
        <v>7021</v>
      </c>
      <c r="M6148" t="s">
        <v>13523</v>
      </c>
      <c r="N6148" t="s">
        <v>30</v>
      </c>
      <c r="O6148" t="s">
        <v>31</v>
      </c>
      <c r="P6148" t="str">
        <f>"15208"</f>
        <v>15208</v>
      </c>
    </row>
    <row r="6149" spans="1:16" x14ac:dyDescent="0.25">
      <c r="A6149" t="str">
        <f>"1130125S00032    00"</f>
        <v>1130125S00032    00</v>
      </c>
      <c r="B6149" t="s">
        <v>14137</v>
      </c>
      <c r="C6149" t="s">
        <v>14133</v>
      </c>
      <c r="D6149" t="s">
        <v>20</v>
      </c>
      <c r="E6149" t="s">
        <v>39</v>
      </c>
      <c r="F6149">
        <v>0</v>
      </c>
      <c r="G6149">
        <v>0</v>
      </c>
      <c r="H6149">
        <v>6</v>
      </c>
      <c r="I6149" s="3">
        <v>39.590000000000003</v>
      </c>
      <c r="J6149" s="3">
        <v>0</v>
      </c>
      <c r="L6149">
        <v>2619</v>
      </c>
      <c r="M6149" t="s">
        <v>14138</v>
      </c>
      <c r="N6149" t="s">
        <v>14139</v>
      </c>
      <c r="O6149" t="s">
        <v>31</v>
      </c>
      <c r="P6149" t="str">
        <f>"15137"</f>
        <v>15137</v>
      </c>
    </row>
    <row r="6150" spans="1:16" x14ac:dyDescent="0.25">
      <c r="A6150" t="str">
        <f>"1130125S00034    00"</f>
        <v>1130125S00034    00</v>
      </c>
      <c r="B6150" t="s">
        <v>14140</v>
      </c>
      <c r="C6150" t="s">
        <v>14141</v>
      </c>
      <c r="D6150" t="s">
        <v>20</v>
      </c>
      <c r="E6150" t="s">
        <v>39</v>
      </c>
      <c r="F6150">
        <v>0</v>
      </c>
      <c r="G6150">
        <v>0</v>
      </c>
      <c r="H6150">
        <v>2</v>
      </c>
      <c r="I6150" s="3">
        <v>846.32</v>
      </c>
      <c r="J6150" s="3">
        <v>0</v>
      </c>
      <c r="L6150">
        <v>7031</v>
      </c>
      <c r="M6150" t="s">
        <v>13523</v>
      </c>
      <c r="N6150" t="s">
        <v>30</v>
      </c>
      <c r="O6150" t="s">
        <v>31</v>
      </c>
      <c r="P6150" t="str">
        <f>"15208"</f>
        <v>15208</v>
      </c>
    </row>
    <row r="6151" spans="1:16" x14ac:dyDescent="0.25">
      <c r="A6151" t="str">
        <f>"1130125S00125    00"</f>
        <v>1130125S00125    00</v>
      </c>
      <c r="B6151" t="s">
        <v>9290</v>
      </c>
      <c r="C6151" t="s">
        <v>14142</v>
      </c>
      <c r="E6151" t="s">
        <v>207</v>
      </c>
      <c r="F6151">
        <v>0</v>
      </c>
      <c r="G6151">
        <v>0</v>
      </c>
      <c r="H6151">
        <v>1</v>
      </c>
      <c r="I6151" s="3">
        <v>2676.02</v>
      </c>
      <c r="J6151" s="3">
        <v>535.17999999999995</v>
      </c>
      <c r="K6151" t="s">
        <v>12658</v>
      </c>
      <c r="L6151">
        <v>414</v>
      </c>
      <c r="M6151" t="s">
        <v>14143</v>
      </c>
      <c r="N6151" t="s">
        <v>30</v>
      </c>
      <c r="O6151" t="s">
        <v>31</v>
      </c>
      <c r="P6151" t="str">
        <f>"15219"</f>
        <v>15219</v>
      </c>
    </row>
    <row r="6152" spans="1:16" x14ac:dyDescent="0.25">
      <c r="A6152" t="str">
        <f>"1130173N00107    00"</f>
        <v>1130173N00107    00</v>
      </c>
      <c r="B6152" t="s">
        <v>14144</v>
      </c>
      <c r="C6152" t="s">
        <v>14145</v>
      </c>
      <c r="D6152" t="s">
        <v>20</v>
      </c>
      <c r="E6152" t="s">
        <v>39</v>
      </c>
      <c r="F6152">
        <v>0</v>
      </c>
      <c r="G6152">
        <v>0</v>
      </c>
      <c r="H6152">
        <v>8</v>
      </c>
      <c r="I6152" s="3">
        <v>3184.28</v>
      </c>
      <c r="J6152" s="3">
        <v>708.38</v>
      </c>
      <c r="L6152">
        <v>7110</v>
      </c>
      <c r="M6152" t="s">
        <v>11228</v>
      </c>
      <c r="N6152" t="s">
        <v>30</v>
      </c>
      <c r="O6152" t="s">
        <v>31</v>
      </c>
      <c r="P6152" t="str">
        <f>"15206"</f>
        <v>15206</v>
      </c>
    </row>
    <row r="6153" spans="1:16" x14ac:dyDescent="0.25">
      <c r="A6153" t="str">
        <f>"1130173N00109    00"</f>
        <v>1130173N00109    00</v>
      </c>
      <c r="B6153" t="s">
        <v>14146</v>
      </c>
      <c r="C6153" t="s">
        <v>14147</v>
      </c>
      <c r="D6153" t="s">
        <v>20</v>
      </c>
      <c r="E6153" t="s">
        <v>39</v>
      </c>
      <c r="F6153">
        <v>0</v>
      </c>
      <c r="G6153">
        <v>0</v>
      </c>
      <c r="H6153">
        <v>1</v>
      </c>
      <c r="I6153" s="3">
        <v>1.9</v>
      </c>
      <c r="J6153" s="3">
        <v>1.19</v>
      </c>
      <c r="L6153">
        <v>1025</v>
      </c>
      <c r="M6153" t="s">
        <v>14148</v>
      </c>
      <c r="N6153" t="s">
        <v>30</v>
      </c>
      <c r="O6153" t="s">
        <v>31</v>
      </c>
      <c r="P6153" t="str">
        <f>"15221"</f>
        <v>15221</v>
      </c>
    </row>
    <row r="6154" spans="1:16" x14ac:dyDescent="0.25">
      <c r="A6154" t="str">
        <f>"1130173N00111    00"</f>
        <v>1130173N00111    00</v>
      </c>
      <c r="B6154" t="s">
        <v>14149</v>
      </c>
      <c r="C6154" t="s">
        <v>14150</v>
      </c>
      <c r="D6154" t="s">
        <v>20</v>
      </c>
      <c r="E6154" t="s">
        <v>39</v>
      </c>
      <c r="F6154">
        <v>0</v>
      </c>
      <c r="G6154">
        <v>0</v>
      </c>
      <c r="H6154">
        <v>4</v>
      </c>
      <c r="I6154" s="3">
        <v>3288.25</v>
      </c>
      <c r="J6154" s="3">
        <v>388.44</v>
      </c>
      <c r="L6154">
        <v>1420</v>
      </c>
      <c r="M6154" t="s">
        <v>14151</v>
      </c>
      <c r="N6154" t="s">
        <v>30</v>
      </c>
      <c r="O6154" t="s">
        <v>31</v>
      </c>
      <c r="P6154" t="str">
        <f>"15212"</f>
        <v>15212</v>
      </c>
    </row>
    <row r="6155" spans="1:16" x14ac:dyDescent="0.25">
      <c r="A6155" t="str">
        <f>"1130173N00116    00"</f>
        <v>1130173N00116    00</v>
      </c>
      <c r="B6155" t="s">
        <v>14152</v>
      </c>
      <c r="C6155" t="s">
        <v>14153</v>
      </c>
      <c r="D6155" t="s">
        <v>20</v>
      </c>
      <c r="E6155" t="s">
        <v>39</v>
      </c>
      <c r="F6155">
        <v>0</v>
      </c>
      <c r="G6155">
        <v>0</v>
      </c>
      <c r="H6155">
        <v>14</v>
      </c>
      <c r="I6155" s="3">
        <v>1363.48</v>
      </c>
      <c r="J6155" s="3">
        <v>1373.57</v>
      </c>
      <c r="L6155">
        <v>5700</v>
      </c>
      <c r="M6155" t="s">
        <v>14154</v>
      </c>
      <c r="N6155" t="s">
        <v>30</v>
      </c>
      <c r="O6155" t="s">
        <v>31</v>
      </c>
      <c r="P6155" t="str">
        <f>"15206"</f>
        <v>15206</v>
      </c>
    </row>
    <row r="6156" spans="1:16" x14ac:dyDescent="0.25">
      <c r="A6156" t="str">
        <f>"1130173N00117    00"</f>
        <v>1130173N00117    00</v>
      </c>
      <c r="B6156" t="s">
        <v>14155</v>
      </c>
      <c r="C6156" t="s">
        <v>14156</v>
      </c>
      <c r="D6156" t="s">
        <v>20</v>
      </c>
      <c r="E6156" t="s">
        <v>39</v>
      </c>
      <c r="F6156">
        <v>0</v>
      </c>
      <c r="G6156">
        <v>0</v>
      </c>
      <c r="H6156">
        <v>15</v>
      </c>
      <c r="I6156" s="3">
        <v>232.39</v>
      </c>
      <c r="J6156" s="3">
        <v>200.74</v>
      </c>
      <c r="L6156">
        <v>7071</v>
      </c>
      <c r="M6156" t="s">
        <v>14157</v>
      </c>
      <c r="N6156" t="s">
        <v>30</v>
      </c>
      <c r="O6156" t="s">
        <v>31</v>
      </c>
      <c r="P6156" t="str">
        <f>"15206"</f>
        <v>15206</v>
      </c>
    </row>
    <row r="6157" spans="1:16" x14ac:dyDescent="0.25">
      <c r="A6157" t="str">
        <f>"1130173N00118    00"</f>
        <v>1130173N00118    00</v>
      </c>
      <c r="B6157" t="s">
        <v>14155</v>
      </c>
      <c r="C6157" t="s">
        <v>14158</v>
      </c>
      <c r="D6157" t="s">
        <v>20</v>
      </c>
      <c r="E6157" t="s">
        <v>39</v>
      </c>
      <c r="F6157">
        <v>0</v>
      </c>
      <c r="G6157">
        <v>0</v>
      </c>
      <c r="H6157">
        <v>15</v>
      </c>
      <c r="I6157" s="3">
        <v>250.67</v>
      </c>
      <c r="J6157" s="3">
        <v>211.1</v>
      </c>
      <c r="L6157">
        <v>7852</v>
      </c>
      <c r="M6157" t="s">
        <v>14159</v>
      </c>
      <c r="N6157" t="s">
        <v>1046</v>
      </c>
      <c r="O6157" t="s">
        <v>31</v>
      </c>
      <c r="P6157" t="str">
        <f>"15147"</f>
        <v>15147</v>
      </c>
    </row>
    <row r="6158" spans="1:16" x14ac:dyDescent="0.25">
      <c r="A6158" t="str">
        <f>"1130173N00135    00"</f>
        <v>1130173N00135    00</v>
      </c>
      <c r="B6158" t="s">
        <v>14160</v>
      </c>
      <c r="C6158" t="s">
        <v>11235</v>
      </c>
      <c r="D6158" t="s">
        <v>20</v>
      </c>
      <c r="E6158" t="s">
        <v>39</v>
      </c>
      <c r="F6158">
        <v>0</v>
      </c>
      <c r="G6158">
        <v>0</v>
      </c>
      <c r="H6158">
        <v>3</v>
      </c>
      <c r="I6158" s="3">
        <v>28.22</v>
      </c>
      <c r="J6158" s="3">
        <v>4.66</v>
      </c>
      <c r="K6158" t="s">
        <v>14161</v>
      </c>
      <c r="L6158">
        <v>430</v>
      </c>
      <c r="M6158" t="s">
        <v>14162</v>
      </c>
      <c r="N6158" t="s">
        <v>30</v>
      </c>
      <c r="O6158" t="s">
        <v>31</v>
      </c>
      <c r="P6158" t="str">
        <f>"15232"</f>
        <v>15232</v>
      </c>
    </row>
    <row r="6159" spans="1:16" x14ac:dyDescent="0.25">
      <c r="A6159" t="str">
        <f>"1130173N00136    00"</f>
        <v>1130173N00136    00</v>
      </c>
      <c r="B6159" t="s">
        <v>14163</v>
      </c>
      <c r="C6159" t="s">
        <v>11235</v>
      </c>
      <c r="D6159" t="s">
        <v>20</v>
      </c>
      <c r="E6159" t="s">
        <v>39</v>
      </c>
      <c r="F6159">
        <v>0</v>
      </c>
      <c r="G6159">
        <v>0</v>
      </c>
      <c r="H6159">
        <v>7</v>
      </c>
      <c r="I6159" s="3">
        <v>1036.02</v>
      </c>
      <c r="J6159" s="3">
        <v>332.24</v>
      </c>
      <c r="K6159" t="s">
        <v>14164</v>
      </c>
      <c r="L6159">
        <v>2851</v>
      </c>
      <c r="M6159" t="s">
        <v>14165</v>
      </c>
      <c r="N6159" t="s">
        <v>30</v>
      </c>
      <c r="O6159" t="s">
        <v>31</v>
      </c>
      <c r="P6159" t="str">
        <f>"15219"</f>
        <v>15219</v>
      </c>
    </row>
    <row r="6160" spans="1:16" x14ac:dyDescent="0.25">
      <c r="A6160" t="str">
        <f>"1130173N00146    00"</f>
        <v>1130173N00146    00</v>
      </c>
      <c r="B6160" t="s">
        <v>14166</v>
      </c>
      <c r="C6160" t="s">
        <v>11235</v>
      </c>
      <c r="D6160" t="s">
        <v>20</v>
      </c>
      <c r="E6160" t="s">
        <v>39</v>
      </c>
      <c r="F6160">
        <v>0</v>
      </c>
      <c r="G6160">
        <v>0</v>
      </c>
      <c r="H6160">
        <v>7</v>
      </c>
      <c r="I6160" s="3">
        <v>5020.03</v>
      </c>
      <c r="J6160" s="3">
        <v>7320.8</v>
      </c>
      <c r="L6160">
        <v>6614</v>
      </c>
      <c r="M6160" t="s">
        <v>11396</v>
      </c>
      <c r="N6160" t="s">
        <v>30</v>
      </c>
      <c r="O6160" t="s">
        <v>31</v>
      </c>
      <c r="P6160" t="str">
        <f>"15213"</f>
        <v>15213</v>
      </c>
    </row>
    <row r="6161" spans="1:16" x14ac:dyDescent="0.25">
      <c r="A6161" t="str">
        <f>"1130173N00173    00"</f>
        <v>1130173N00173    00</v>
      </c>
      <c r="B6161" t="s">
        <v>14167</v>
      </c>
      <c r="C6161" t="s">
        <v>13902</v>
      </c>
      <c r="D6161" t="s">
        <v>20</v>
      </c>
      <c r="E6161" t="s">
        <v>39</v>
      </c>
      <c r="F6161">
        <v>0</v>
      </c>
      <c r="G6161">
        <v>0</v>
      </c>
      <c r="H6161">
        <v>15</v>
      </c>
      <c r="I6161" s="3">
        <v>246.66</v>
      </c>
      <c r="J6161" s="3">
        <v>280.33</v>
      </c>
      <c r="L6161">
        <v>7001</v>
      </c>
      <c r="M6161" t="s">
        <v>12221</v>
      </c>
      <c r="N6161" t="s">
        <v>30</v>
      </c>
      <c r="O6161" t="s">
        <v>31</v>
      </c>
      <c r="P6161" t="str">
        <f>"15208"</f>
        <v>15208</v>
      </c>
    </row>
    <row r="6162" spans="1:16" x14ac:dyDescent="0.25">
      <c r="A6162" t="str">
        <f>"1130173N00175    00"</f>
        <v>1130173N00175    00</v>
      </c>
      <c r="B6162" t="s">
        <v>14168</v>
      </c>
      <c r="C6162" t="s">
        <v>14169</v>
      </c>
      <c r="E6162" t="s">
        <v>39</v>
      </c>
      <c r="F6162">
        <v>0</v>
      </c>
      <c r="G6162">
        <v>0</v>
      </c>
      <c r="H6162">
        <v>7</v>
      </c>
      <c r="I6162" s="3">
        <v>4010.63</v>
      </c>
      <c r="J6162" s="3">
        <v>5813.09</v>
      </c>
      <c r="L6162">
        <v>7001</v>
      </c>
      <c r="M6162" t="s">
        <v>12221</v>
      </c>
      <c r="N6162" t="s">
        <v>30</v>
      </c>
      <c r="O6162" t="s">
        <v>31</v>
      </c>
      <c r="P6162" t="str">
        <f>"15208"</f>
        <v>15208</v>
      </c>
    </row>
    <row r="6163" spans="1:16" x14ac:dyDescent="0.25">
      <c r="A6163" t="str">
        <f>"1130173N00179    00"</f>
        <v>1130173N00179    00</v>
      </c>
      <c r="B6163" t="s">
        <v>14170</v>
      </c>
      <c r="C6163" t="s">
        <v>13902</v>
      </c>
      <c r="D6163" t="s">
        <v>20</v>
      </c>
      <c r="E6163" t="s">
        <v>39</v>
      </c>
      <c r="F6163">
        <v>0</v>
      </c>
      <c r="G6163">
        <v>0</v>
      </c>
      <c r="H6163">
        <v>17</v>
      </c>
      <c r="I6163" s="3">
        <v>245.82</v>
      </c>
      <c r="J6163" s="3">
        <v>288.58999999999997</v>
      </c>
      <c r="L6163">
        <v>283</v>
      </c>
      <c r="M6163" t="s">
        <v>14171</v>
      </c>
      <c r="N6163" t="s">
        <v>30</v>
      </c>
      <c r="O6163" t="s">
        <v>31</v>
      </c>
      <c r="P6163" t="str">
        <f>"15235"</f>
        <v>15235</v>
      </c>
    </row>
    <row r="6164" spans="1:16" x14ac:dyDescent="0.25">
      <c r="A6164" t="str">
        <f>"1130173N00181    00"</f>
        <v>1130173N00181    00</v>
      </c>
      <c r="B6164" t="s">
        <v>14172</v>
      </c>
      <c r="C6164" t="s">
        <v>13902</v>
      </c>
      <c r="D6164" t="s">
        <v>20</v>
      </c>
      <c r="E6164" t="s">
        <v>39</v>
      </c>
      <c r="F6164">
        <v>0</v>
      </c>
      <c r="G6164">
        <v>0</v>
      </c>
      <c r="H6164">
        <v>17</v>
      </c>
      <c r="I6164" s="3">
        <v>258.18</v>
      </c>
      <c r="J6164" s="3">
        <v>297.14999999999998</v>
      </c>
      <c r="K6164" t="s">
        <v>1008</v>
      </c>
      <c r="P6164" t="str">
        <f>""</f>
        <v/>
      </c>
    </row>
    <row r="6165" spans="1:16" x14ac:dyDescent="0.25">
      <c r="A6165" t="str">
        <f>"1130173N00182    00"</f>
        <v>1130173N00182    00</v>
      </c>
      <c r="B6165" t="s">
        <v>14173</v>
      </c>
      <c r="C6165" t="s">
        <v>13902</v>
      </c>
      <c r="D6165" t="s">
        <v>20</v>
      </c>
      <c r="E6165" t="s">
        <v>39</v>
      </c>
      <c r="F6165">
        <v>0</v>
      </c>
      <c r="G6165">
        <v>0</v>
      </c>
      <c r="H6165">
        <v>10</v>
      </c>
      <c r="I6165" s="3">
        <v>3918.66</v>
      </c>
      <c r="J6165" s="3">
        <v>2076.88</v>
      </c>
      <c r="K6165" t="s">
        <v>14174</v>
      </c>
      <c r="L6165">
        <v>1050</v>
      </c>
      <c r="M6165" t="s">
        <v>14175</v>
      </c>
      <c r="N6165" t="s">
        <v>30</v>
      </c>
      <c r="O6165" t="s">
        <v>31</v>
      </c>
      <c r="P6165" t="str">
        <f>"15208"</f>
        <v>15208</v>
      </c>
    </row>
    <row r="6166" spans="1:16" x14ac:dyDescent="0.25">
      <c r="A6166" t="str">
        <f>"1130173N00183    00"</f>
        <v>1130173N00183    00</v>
      </c>
      <c r="B6166" t="s">
        <v>14176</v>
      </c>
      <c r="C6166" t="s">
        <v>13902</v>
      </c>
      <c r="D6166" t="s">
        <v>20</v>
      </c>
      <c r="E6166" t="s">
        <v>39</v>
      </c>
      <c r="F6166">
        <v>0</v>
      </c>
      <c r="G6166">
        <v>0</v>
      </c>
      <c r="H6166">
        <v>19</v>
      </c>
      <c r="I6166" s="3">
        <v>304.33999999999997</v>
      </c>
      <c r="J6166" s="3">
        <v>318.3</v>
      </c>
      <c r="L6166">
        <v>5442</v>
      </c>
      <c r="M6166" t="s">
        <v>7962</v>
      </c>
      <c r="N6166" t="s">
        <v>30</v>
      </c>
      <c r="O6166" t="s">
        <v>31</v>
      </c>
      <c r="P6166" t="str">
        <f>"15206"</f>
        <v>15206</v>
      </c>
    </row>
    <row r="6167" spans="1:16" x14ac:dyDescent="0.25">
      <c r="A6167" t="str">
        <f>"1130173N00194    00"</f>
        <v>1130173N00194    00</v>
      </c>
      <c r="B6167" t="s">
        <v>14177</v>
      </c>
      <c r="C6167" t="s">
        <v>14178</v>
      </c>
      <c r="D6167" t="s">
        <v>20</v>
      </c>
      <c r="E6167" t="s">
        <v>39</v>
      </c>
      <c r="F6167">
        <v>0</v>
      </c>
      <c r="G6167">
        <v>0</v>
      </c>
      <c r="H6167">
        <v>4</v>
      </c>
      <c r="I6167" s="3">
        <v>2288.91</v>
      </c>
      <c r="J6167" s="3">
        <v>213.13</v>
      </c>
      <c r="L6167">
        <v>7031</v>
      </c>
      <c r="M6167" t="s">
        <v>12221</v>
      </c>
      <c r="N6167" t="s">
        <v>30</v>
      </c>
      <c r="O6167" t="s">
        <v>31</v>
      </c>
      <c r="P6167" t="str">
        <f>"15208"</f>
        <v>15208</v>
      </c>
    </row>
    <row r="6168" spans="1:16" x14ac:dyDescent="0.25">
      <c r="A6168" t="str">
        <f>"1130173N00195    00"</f>
        <v>1130173N00195    00</v>
      </c>
      <c r="B6168" t="s">
        <v>14179</v>
      </c>
      <c r="C6168" t="s">
        <v>13902</v>
      </c>
      <c r="D6168" t="s">
        <v>20</v>
      </c>
      <c r="E6168" t="s">
        <v>39</v>
      </c>
      <c r="F6168">
        <v>0</v>
      </c>
      <c r="G6168">
        <v>0</v>
      </c>
      <c r="H6168">
        <v>17</v>
      </c>
      <c r="I6168" s="3">
        <v>264.23</v>
      </c>
      <c r="J6168" s="3">
        <v>298.63</v>
      </c>
      <c r="L6168">
        <v>7033</v>
      </c>
      <c r="M6168" t="s">
        <v>12221</v>
      </c>
      <c r="N6168" t="s">
        <v>30</v>
      </c>
      <c r="O6168" t="s">
        <v>31</v>
      </c>
      <c r="P6168" t="str">
        <f>"15206"</f>
        <v>15206</v>
      </c>
    </row>
    <row r="6169" spans="1:16" x14ac:dyDescent="0.25">
      <c r="A6169" t="str">
        <f>"1130173N00196    00"</f>
        <v>1130173N00196    00</v>
      </c>
      <c r="B6169" t="s">
        <v>14180</v>
      </c>
      <c r="C6169" t="s">
        <v>14181</v>
      </c>
      <c r="D6169" t="s">
        <v>20</v>
      </c>
      <c r="E6169" t="s">
        <v>39</v>
      </c>
      <c r="F6169">
        <v>0</v>
      </c>
      <c r="G6169">
        <v>0</v>
      </c>
      <c r="H6169">
        <v>7</v>
      </c>
      <c r="I6169" s="3">
        <v>4156.4799999999996</v>
      </c>
      <c r="J6169" s="3">
        <v>1391.41</v>
      </c>
      <c r="M6169" t="s">
        <v>14182</v>
      </c>
      <c r="N6169" t="s">
        <v>546</v>
      </c>
      <c r="O6169" t="s">
        <v>31</v>
      </c>
      <c r="P6169" t="str">
        <f>"15044"</f>
        <v>15044</v>
      </c>
    </row>
    <row r="6170" spans="1:16" x14ac:dyDescent="0.25">
      <c r="A6170" t="str">
        <f>"1130173N00197    00"</f>
        <v>1130173N00197    00</v>
      </c>
      <c r="B6170" t="s">
        <v>14183</v>
      </c>
      <c r="C6170" t="s">
        <v>13902</v>
      </c>
      <c r="D6170" t="s">
        <v>20</v>
      </c>
      <c r="E6170" t="s">
        <v>39</v>
      </c>
      <c r="F6170">
        <v>0</v>
      </c>
      <c r="G6170">
        <v>0</v>
      </c>
      <c r="H6170">
        <v>17</v>
      </c>
      <c r="I6170" s="3">
        <v>264.23</v>
      </c>
      <c r="J6170" s="3">
        <v>298.63</v>
      </c>
      <c r="K6170" t="s">
        <v>1008</v>
      </c>
      <c r="P6170" t="str">
        <f>""</f>
        <v/>
      </c>
    </row>
    <row r="6171" spans="1:16" x14ac:dyDescent="0.25">
      <c r="A6171" t="str">
        <f>"1130173N00198    00"</f>
        <v>1130173N00198    00</v>
      </c>
      <c r="B6171" t="s">
        <v>2540</v>
      </c>
      <c r="C6171" t="s">
        <v>13902</v>
      </c>
      <c r="D6171" t="s">
        <v>20</v>
      </c>
      <c r="E6171" t="s">
        <v>39</v>
      </c>
      <c r="F6171">
        <v>0</v>
      </c>
      <c r="G6171">
        <v>0</v>
      </c>
      <c r="H6171">
        <v>19</v>
      </c>
      <c r="I6171" s="3">
        <v>2648.5</v>
      </c>
      <c r="J6171" s="3">
        <v>3407.48</v>
      </c>
      <c r="L6171">
        <v>314</v>
      </c>
      <c r="M6171" t="s">
        <v>2541</v>
      </c>
      <c r="N6171" t="s">
        <v>1067</v>
      </c>
      <c r="O6171" t="s">
        <v>31</v>
      </c>
      <c r="P6171" t="str">
        <f>"15143"</f>
        <v>15143</v>
      </c>
    </row>
    <row r="6172" spans="1:16" x14ac:dyDescent="0.25">
      <c r="A6172" t="str">
        <f>"1130173N00199    00"</f>
        <v>1130173N00199    00</v>
      </c>
      <c r="B6172" t="s">
        <v>14184</v>
      </c>
      <c r="C6172" t="s">
        <v>13902</v>
      </c>
      <c r="D6172" t="s">
        <v>20</v>
      </c>
      <c r="E6172" t="s">
        <v>39</v>
      </c>
      <c r="F6172">
        <v>0</v>
      </c>
      <c r="G6172">
        <v>0</v>
      </c>
      <c r="H6172">
        <v>17</v>
      </c>
      <c r="I6172" s="3">
        <v>264.23</v>
      </c>
      <c r="J6172" s="3">
        <v>298.63</v>
      </c>
      <c r="L6172">
        <v>7047</v>
      </c>
      <c r="M6172" t="s">
        <v>12221</v>
      </c>
      <c r="N6172" t="s">
        <v>30</v>
      </c>
      <c r="O6172" t="s">
        <v>31</v>
      </c>
      <c r="P6172" t="str">
        <f>"15208"</f>
        <v>15208</v>
      </c>
    </row>
    <row r="6173" spans="1:16" x14ac:dyDescent="0.25">
      <c r="A6173" t="str">
        <f>"1130173N00204    00"</f>
        <v>1130173N00204    00</v>
      </c>
      <c r="B6173" t="s">
        <v>11378</v>
      </c>
      <c r="C6173" t="s">
        <v>14185</v>
      </c>
      <c r="D6173" t="s">
        <v>20</v>
      </c>
      <c r="E6173" t="s">
        <v>39</v>
      </c>
      <c r="F6173">
        <v>0</v>
      </c>
      <c r="G6173">
        <v>0</v>
      </c>
      <c r="H6173">
        <v>17</v>
      </c>
      <c r="I6173" s="3">
        <v>6511.01</v>
      </c>
      <c r="J6173" s="3">
        <v>5323.26</v>
      </c>
      <c r="L6173">
        <v>644</v>
      </c>
      <c r="M6173" t="s">
        <v>11380</v>
      </c>
      <c r="N6173" t="s">
        <v>30</v>
      </c>
      <c r="O6173" t="s">
        <v>31</v>
      </c>
      <c r="P6173" t="str">
        <f>"15206"</f>
        <v>15206</v>
      </c>
    </row>
    <row r="6174" spans="1:16" x14ac:dyDescent="0.25">
      <c r="A6174" t="str">
        <f>"1130173N00205    00"</f>
        <v>1130173N00205    00</v>
      </c>
      <c r="B6174" t="s">
        <v>14186</v>
      </c>
      <c r="C6174" t="s">
        <v>14187</v>
      </c>
      <c r="D6174" t="s">
        <v>20</v>
      </c>
      <c r="E6174" t="s">
        <v>39</v>
      </c>
      <c r="F6174">
        <v>0</v>
      </c>
      <c r="G6174">
        <v>0</v>
      </c>
      <c r="H6174">
        <v>17</v>
      </c>
      <c r="I6174" s="3">
        <v>748.73</v>
      </c>
      <c r="J6174" s="3">
        <v>755.11</v>
      </c>
      <c r="L6174">
        <v>7059</v>
      </c>
      <c r="M6174" t="s">
        <v>12221</v>
      </c>
      <c r="N6174" t="s">
        <v>30</v>
      </c>
      <c r="O6174" t="s">
        <v>31</v>
      </c>
      <c r="P6174" t="str">
        <f>"15208"</f>
        <v>15208</v>
      </c>
    </row>
    <row r="6175" spans="1:16" x14ac:dyDescent="0.25">
      <c r="A6175" t="str">
        <f>"1130173N00206    00"</f>
        <v>1130173N00206    00</v>
      </c>
      <c r="B6175" t="s">
        <v>11378</v>
      </c>
      <c r="C6175" t="s">
        <v>14188</v>
      </c>
      <c r="D6175" t="s">
        <v>20</v>
      </c>
      <c r="E6175" t="s">
        <v>39</v>
      </c>
      <c r="F6175">
        <v>0</v>
      </c>
      <c r="G6175">
        <v>0</v>
      </c>
      <c r="H6175">
        <v>17</v>
      </c>
      <c r="I6175" s="3">
        <v>4500.08</v>
      </c>
      <c r="J6175" s="3">
        <v>2769.03</v>
      </c>
      <c r="L6175">
        <v>632</v>
      </c>
      <c r="M6175" t="s">
        <v>11380</v>
      </c>
      <c r="N6175" t="s">
        <v>30</v>
      </c>
      <c r="O6175" t="s">
        <v>31</v>
      </c>
      <c r="P6175" t="str">
        <f>"15206"</f>
        <v>15206</v>
      </c>
    </row>
    <row r="6176" spans="1:16" x14ac:dyDescent="0.25">
      <c r="A6176" t="str">
        <f>"1130173N00207    00"</f>
        <v>1130173N00207    00</v>
      </c>
      <c r="B6176" t="s">
        <v>14189</v>
      </c>
      <c r="C6176" t="s">
        <v>14158</v>
      </c>
      <c r="D6176" t="s">
        <v>20</v>
      </c>
      <c r="E6176" t="s">
        <v>39</v>
      </c>
      <c r="F6176">
        <v>0</v>
      </c>
      <c r="G6176">
        <v>0</v>
      </c>
      <c r="H6176">
        <v>19</v>
      </c>
      <c r="I6176" s="3">
        <v>2854.95</v>
      </c>
      <c r="J6176" s="3">
        <v>3252.62</v>
      </c>
      <c r="P6176" t="str">
        <f>""</f>
        <v/>
      </c>
    </row>
    <row r="6177" spans="1:16" x14ac:dyDescent="0.25">
      <c r="A6177" t="str">
        <f>"1130173N00210    00"</f>
        <v>1130173N00210    00</v>
      </c>
      <c r="B6177" t="s">
        <v>14186</v>
      </c>
      <c r="C6177" t="s">
        <v>14158</v>
      </c>
      <c r="D6177" t="s">
        <v>20</v>
      </c>
      <c r="E6177" t="s">
        <v>39</v>
      </c>
      <c r="F6177">
        <v>0</v>
      </c>
      <c r="G6177">
        <v>0</v>
      </c>
      <c r="H6177">
        <v>17</v>
      </c>
      <c r="I6177" s="3">
        <v>440.68</v>
      </c>
      <c r="J6177" s="3">
        <v>326</v>
      </c>
      <c r="L6177">
        <v>7059</v>
      </c>
      <c r="M6177" t="s">
        <v>12221</v>
      </c>
      <c r="N6177" t="s">
        <v>30</v>
      </c>
      <c r="O6177" t="s">
        <v>31</v>
      </c>
      <c r="P6177" t="str">
        <f>"15208"</f>
        <v>15208</v>
      </c>
    </row>
    <row r="6178" spans="1:16" x14ac:dyDescent="0.25">
      <c r="A6178" t="str">
        <f>"1130173N00217    00"</f>
        <v>1130173N00217    00</v>
      </c>
      <c r="B6178" t="s">
        <v>14190</v>
      </c>
      <c r="C6178" t="s">
        <v>13902</v>
      </c>
      <c r="D6178" t="s">
        <v>20</v>
      </c>
      <c r="E6178" t="s">
        <v>39</v>
      </c>
      <c r="F6178">
        <v>0</v>
      </c>
      <c r="G6178">
        <v>0</v>
      </c>
      <c r="H6178">
        <v>2</v>
      </c>
      <c r="I6178" s="3">
        <v>22.4</v>
      </c>
      <c r="J6178" s="3">
        <v>3.28</v>
      </c>
      <c r="L6178">
        <v>8016</v>
      </c>
      <c r="M6178" t="s">
        <v>12429</v>
      </c>
      <c r="N6178" t="s">
        <v>1046</v>
      </c>
      <c r="O6178" t="s">
        <v>31</v>
      </c>
      <c r="P6178" t="str">
        <f>"15147"</f>
        <v>15147</v>
      </c>
    </row>
    <row r="6179" spans="1:16" x14ac:dyDescent="0.25">
      <c r="A6179" t="str">
        <f>"1130173N00221    00"</f>
        <v>1130173N00221    00</v>
      </c>
      <c r="B6179" t="s">
        <v>14191</v>
      </c>
      <c r="C6179" t="s">
        <v>14192</v>
      </c>
      <c r="D6179" t="s">
        <v>20</v>
      </c>
      <c r="E6179" t="s">
        <v>39</v>
      </c>
      <c r="F6179">
        <v>0</v>
      </c>
      <c r="G6179">
        <v>0</v>
      </c>
      <c r="H6179">
        <v>5</v>
      </c>
      <c r="I6179" s="3">
        <v>1825.33</v>
      </c>
      <c r="J6179" s="3">
        <v>347.14</v>
      </c>
      <c r="M6179" t="s">
        <v>14193</v>
      </c>
      <c r="N6179" t="s">
        <v>14194</v>
      </c>
      <c r="O6179" t="s">
        <v>10362</v>
      </c>
      <c r="P6179" t="str">
        <f>"96808"</f>
        <v>96808</v>
      </c>
    </row>
    <row r="6180" spans="1:16" x14ac:dyDescent="0.25">
      <c r="A6180" t="str">
        <f>"1130173N00228    00"</f>
        <v>1130173N00228    00</v>
      </c>
      <c r="B6180" t="s">
        <v>14191</v>
      </c>
      <c r="C6180" t="s">
        <v>13902</v>
      </c>
      <c r="D6180" t="s">
        <v>20</v>
      </c>
      <c r="E6180" t="s">
        <v>39</v>
      </c>
      <c r="F6180">
        <v>0</v>
      </c>
      <c r="G6180">
        <v>0</v>
      </c>
      <c r="H6180">
        <v>6</v>
      </c>
      <c r="I6180" s="3">
        <v>502.88</v>
      </c>
      <c r="J6180" s="3">
        <v>130.97999999999999</v>
      </c>
      <c r="M6180" t="s">
        <v>14193</v>
      </c>
      <c r="N6180" t="s">
        <v>14194</v>
      </c>
      <c r="O6180" t="s">
        <v>10362</v>
      </c>
      <c r="P6180" t="str">
        <f>"96808"</f>
        <v>96808</v>
      </c>
    </row>
    <row r="6181" spans="1:16" x14ac:dyDescent="0.25">
      <c r="A6181" t="str">
        <f>"1130173N00229    00"</f>
        <v>1130173N00229    00</v>
      </c>
      <c r="B6181" t="s">
        <v>14191</v>
      </c>
      <c r="C6181" t="s">
        <v>13902</v>
      </c>
      <c r="D6181" t="s">
        <v>20</v>
      </c>
      <c r="E6181" t="s">
        <v>39</v>
      </c>
      <c r="F6181">
        <v>0</v>
      </c>
      <c r="G6181">
        <v>0</v>
      </c>
      <c r="H6181">
        <v>5</v>
      </c>
      <c r="I6181" s="3">
        <v>93.59</v>
      </c>
      <c r="J6181" s="3">
        <v>18.2</v>
      </c>
      <c r="M6181" t="s">
        <v>14193</v>
      </c>
      <c r="N6181" t="s">
        <v>14194</v>
      </c>
      <c r="O6181" t="s">
        <v>10362</v>
      </c>
      <c r="P6181" t="str">
        <f>"96808"</f>
        <v>96808</v>
      </c>
    </row>
    <row r="6182" spans="1:16" x14ac:dyDescent="0.25">
      <c r="A6182" t="str">
        <f>"1130173N00230    00"</f>
        <v>1130173N00230    00</v>
      </c>
      <c r="B6182" t="s">
        <v>14191</v>
      </c>
      <c r="C6182" t="s">
        <v>13902</v>
      </c>
      <c r="D6182" t="s">
        <v>20</v>
      </c>
      <c r="E6182" t="s">
        <v>39</v>
      </c>
      <c r="F6182">
        <v>0</v>
      </c>
      <c r="G6182">
        <v>0</v>
      </c>
      <c r="H6182">
        <v>6</v>
      </c>
      <c r="I6182" s="3">
        <v>104.48</v>
      </c>
      <c r="J6182" s="3">
        <v>24.73</v>
      </c>
      <c r="M6182" t="s">
        <v>14193</v>
      </c>
      <c r="N6182" t="s">
        <v>14194</v>
      </c>
      <c r="O6182" t="s">
        <v>10362</v>
      </c>
      <c r="P6182" t="str">
        <f>"96808"</f>
        <v>96808</v>
      </c>
    </row>
    <row r="6183" spans="1:16" x14ac:dyDescent="0.25">
      <c r="A6183" t="str">
        <f>"1130173N00232    00"</f>
        <v>1130173N00232    00</v>
      </c>
      <c r="B6183" t="s">
        <v>14195</v>
      </c>
      <c r="C6183" t="s">
        <v>13902</v>
      </c>
      <c r="D6183" t="s">
        <v>20</v>
      </c>
      <c r="E6183" t="s">
        <v>39</v>
      </c>
      <c r="F6183">
        <v>0</v>
      </c>
      <c r="G6183">
        <v>0</v>
      </c>
      <c r="H6183">
        <v>19</v>
      </c>
      <c r="I6183" s="3">
        <v>329.07</v>
      </c>
      <c r="J6183" s="3">
        <v>353.93</v>
      </c>
      <c r="K6183" t="s">
        <v>1008</v>
      </c>
      <c r="P6183" t="str">
        <f>""</f>
        <v/>
      </c>
    </row>
    <row r="6184" spans="1:16" x14ac:dyDescent="0.25">
      <c r="A6184" t="str">
        <f>"1130173N00233    00"</f>
        <v>1130173N00233    00</v>
      </c>
      <c r="B6184" t="s">
        <v>14196</v>
      </c>
      <c r="C6184" t="s">
        <v>14197</v>
      </c>
      <c r="D6184" t="s">
        <v>20</v>
      </c>
      <c r="E6184" t="s">
        <v>39</v>
      </c>
      <c r="F6184">
        <v>0</v>
      </c>
      <c r="G6184">
        <v>0</v>
      </c>
      <c r="H6184">
        <v>14</v>
      </c>
      <c r="I6184" s="3">
        <v>7932.82</v>
      </c>
      <c r="J6184" s="3">
        <v>4865.08</v>
      </c>
      <c r="L6184">
        <v>491</v>
      </c>
      <c r="M6184" t="s">
        <v>14198</v>
      </c>
      <c r="N6184" t="s">
        <v>30</v>
      </c>
      <c r="O6184" t="s">
        <v>31</v>
      </c>
      <c r="P6184" t="str">
        <f>"15235"</f>
        <v>15235</v>
      </c>
    </row>
    <row r="6185" spans="1:16" x14ac:dyDescent="0.25">
      <c r="A6185" t="str">
        <f>"1130173N00235    00"</f>
        <v>1130173N00235    00</v>
      </c>
      <c r="B6185" t="s">
        <v>14199</v>
      </c>
      <c r="C6185" t="s">
        <v>14158</v>
      </c>
      <c r="D6185" t="s">
        <v>20</v>
      </c>
      <c r="E6185" t="s">
        <v>39</v>
      </c>
      <c r="F6185">
        <v>0</v>
      </c>
      <c r="G6185">
        <v>0</v>
      </c>
      <c r="H6185">
        <v>17</v>
      </c>
      <c r="I6185" s="3">
        <v>221.18</v>
      </c>
      <c r="J6185" s="3">
        <v>253.09</v>
      </c>
      <c r="L6185">
        <v>1518</v>
      </c>
      <c r="M6185" t="s">
        <v>14200</v>
      </c>
      <c r="N6185" t="s">
        <v>30</v>
      </c>
      <c r="O6185" t="s">
        <v>31</v>
      </c>
      <c r="P6185" t="str">
        <f>"15208"</f>
        <v>15208</v>
      </c>
    </row>
    <row r="6186" spans="1:16" x14ac:dyDescent="0.25">
      <c r="A6186" t="str">
        <f>"1130173N00236    00"</f>
        <v>1130173N00236    00</v>
      </c>
      <c r="B6186" t="s">
        <v>14196</v>
      </c>
      <c r="C6186" t="s">
        <v>14158</v>
      </c>
      <c r="D6186" t="s">
        <v>20</v>
      </c>
      <c r="E6186" t="s">
        <v>39</v>
      </c>
      <c r="F6186">
        <v>0</v>
      </c>
      <c r="G6186">
        <v>0</v>
      </c>
      <c r="H6186">
        <v>14</v>
      </c>
      <c r="I6186" s="3">
        <v>166.36</v>
      </c>
      <c r="J6186" s="3">
        <v>112.32</v>
      </c>
      <c r="K6186" t="s">
        <v>14201</v>
      </c>
      <c r="M6186" t="s">
        <v>14202</v>
      </c>
      <c r="P6186" t="str">
        <f>""</f>
        <v/>
      </c>
    </row>
    <row r="6187" spans="1:16" x14ac:dyDescent="0.25">
      <c r="A6187" t="str">
        <f>"1130173N00238    00"</f>
        <v>1130173N00238    00</v>
      </c>
      <c r="B6187" t="s">
        <v>14203</v>
      </c>
      <c r="C6187" t="s">
        <v>14204</v>
      </c>
      <c r="D6187" t="s">
        <v>20</v>
      </c>
      <c r="E6187" t="s">
        <v>39</v>
      </c>
      <c r="F6187">
        <v>0</v>
      </c>
      <c r="G6187">
        <v>0</v>
      </c>
      <c r="H6187">
        <v>1</v>
      </c>
      <c r="I6187" s="3">
        <v>266.51</v>
      </c>
      <c r="J6187" s="3">
        <v>0</v>
      </c>
      <c r="L6187">
        <v>242</v>
      </c>
      <c r="M6187" t="s">
        <v>14205</v>
      </c>
      <c r="N6187" t="s">
        <v>30</v>
      </c>
      <c r="O6187" t="s">
        <v>31</v>
      </c>
      <c r="P6187" t="str">
        <f>"15206"</f>
        <v>15206</v>
      </c>
    </row>
    <row r="6188" spans="1:16" x14ac:dyDescent="0.25">
      <c r="A6188" t="str">
        <f>"1130173N00241    00"</f>
        <v>1130173N00241    00</v>
      </c>
      <c r="B6188" t="s">
        <v>14206</v>
      </c>
      <c r="C6188" t="s">
        <v>14158</v>
      </c>
      <c r="D6188" t="s">
        <v>20</v>
      </c>
      <c r="E6188" t="s">
        <v>39</v>
      </c>
      <c r="F6188">
        <v>0</v>
      </c>
      <c r="G6188">
        <v>0</v>
      </c>
      <c r="H6188">
        <v>19</v>
      </c>
      <c r="I6188" s="3">
        <v>8736.8799999999992</v>
      </c>
      <c r="J6188" s="3">
        <v>11747.09</v>
      </c>
      <c r="K6188" t="s">
        <v>14207</v>
      </c>
      <c r="L6188">
        <v>983</v>
      </c>
      <c r="M6188" t="s">
        <v>14208</v>
      </c>
      <c r="N6188" t="s">
        <v>14209</v>
      </c>
      <c r="O6188" t="s">
        <v>606</v>
      </c>
      <c r="P6188" t="str">
        <f>"30501"</f>
        <v>30501</v>
      </c>
    </row>
    <row r="6189" spans="1:16" x14ac:dyDescent="0.25">
      <c r="A6189" t="str">
        <f>"1130173N00242    00"</f>
        <v>1130173N00242    00</v>
      </c>
      <c r="B6189" t="s">
        <v>14210</v>
      </c>
      <c r="C6189" t="s">
        <v>14158</v>
      </c>
      <c r="D6189" t="s">
        <v>20</v>
      </c>
      <c r="E6189" t="s">
        <v>39</v>
      </c>
      <c r="F6189">
        <v>0</v>
      </c>
      <c r="G6189">
        <v>0</v>
      </c>
      <c r="H6189">
        <v>15</v>
      </c>
      <c r="I6189" s="3">
        <v>5917.4</v>
      </c>
      <c r="J6189" s="3">
        <v>5135.83</v>
      </c>
      <c r="L6189">
        <v>491</v>
      </c>
      <c r="M6189" t="s">
        <v>14198</v>
      </c>
      <c r="N6189" t="s">
        <v>30</v>
      </c>
      <c r="O6189" t="s">
        <v>31</v>
      </c>
      <c r="P6189" t="str">
        <f>"15235"</f>
        <v>15235</v>
      </c>
    </row>
    <row r="6190" spans="1:16" x14ac:dyDescent="0.25">
      <c r="A6190" t="str">
        <f>"1130173N00243    00"</f>
        <v>1130173N00243    00</v>
      </c>
      <c r="B6190" t="s">
        <v>14211</v>
      </c>
      <c r="C6190" t="s">
        <v>14212</v>
      </c>
      <c r="D6190" t="s">
        <v>20</v>
      </c>
      <c r="E6190" t="s">
        <v>39</v>
      </c>
      <c r="F6190">
        <v>0</v>
      </c>
      <c r="G6190">
        <v>0</v>
      </c>
      <c r="H6190">
        <v>3</v>
      </c>
      <c r="I6190" s="3">
        <v>1697.22</v>
      </c>
      <c r="J6190" s="3">
        <v>5.51</v>
      </c>
      <c r="L6190">
        <v>7107</v>
      </c>
      <c r="M6190" t="s">
        <v>11269</v>
      </c>
      <c r="N6190" t="s">
        <v>30</v>
      </c>
      <c r="O6190" t="s">
        <v>31</v>
      </c>
      <c r="P6190" t="str">
        <f>"15208"</f>
        <v>15208</v>
      </c>
    </row>
    <row r="6191" spans="1:16" x14ac:dyDescent="0.25">
      <c r="A6191" t="str">
        <f>"1130173N00244    00"</f>
        <v>1130173N00244    00</v>
      </c>
      <c r="B6191" t="s">
        <v>14213</v>
      </c>
      <c r="C6191" t="s">
        <v>14214</v>
      </c>
      <c r="E6191" t="s">
        <v>39</v>
      </c>
      <c r="F6191">
        <v>0</v>
      </c>
      <c r="G6191">
        <v>0</v>
      </c>
      <c r="H6191">
        <v>2</v>
      </c>
      <c r="I6191" s="3">
        <v>151.19999999999999</v>
      </c>
      <c r="J6191" s="3">
        <v>186.48</v>
      </c>
      <c r="L6191">
        <v>7050</v>
      </c>
      <c r="M6191" t="s">
        <v>12221</v>
      </c>
      <c r="N6191" t="s">
        <v>30</v>
      </c>
      <c r="O6191" t="s">
        <v>31</v>
      </c>
      <c r="P6191" t="str">
        <f>"15208"</f>
        <v>15208</v>
      </c>
    </row>
    <row r="6192" spans="1:16" x14ac:dyDescent="0.25">
      <c r="A6192" t="str">
        <f>"1130173N00246    00"</f>
        <v>1130173N00246    00</v>
      </c>
      <c r="B6192" t="s">
        <v>14215</v>
      </c>
      <c r="C6192" t="s">
        <v>13902</v>
      </c>
      <c r="D6192" t="s">
        <v>20</v>
      </c>
      <c r="E6192" t="s">
        <v>39</v>
      </c>
      <c r="F6192">
        <v>0</v>
      </c>
      <c r="G6192">
        <v>0</v>
      </c>
      <c r="H6192">
        <v>17</v>
      </c>
      <c r="I6192" s="3">
        <v>4396.6400000000003</v>
      </c>
      <c r="J6192" s="3">
        <v>6200.93</v>
      </c>
      <c r="L6192">
        <v>1375</v>
      </c>
      <c r="M6192" t="s">
        <v>11059</v>
      </c>
      <c r="N6192" t="s">
        <v>30</v>
      </c>
      <c r="O6192" t="s">
        <v>31</v>
      </c>
      <c r="P6192" t="str">
        <f>"15206"</f>
        <v>15206</v>
      </c>
    </row>
    <row r="6193" spans="1:16" x14ac:dyDescent="0.25">
      <c r="A6193" t="str">
        <f>"1130173N00246A   00"</f>
        <v>1130173N00246A   00</v>
      </c>
      <c r="B6193" t="s">
        <v>14216</v>
      </c>
      <c r="C6193" t="s">
        <v>13902</v>
      </c>
      <c r="D6193" t="s">
        <v>20</v>
      </c>
      <c r="E6193" t="s">
        <v>39</v>
      </c>
      <c r="F6193">
        <v>0</v>
      </c>
      <c r="G6193">
        <v>0</v>
      </c>
      <c r="H6193">
        <v>16</v>
      </c>
      <c r="I6193" s="3">
        <v>2833.05</v>
      </c>
      <c r="J6193" s="3">
        <v>3860.95</v>
      </c>
      <c r="L6193">
        <v>325</v>
      </c>
      <c r="M6193" t="s">
        <v>14217</v>
      </c>
      <c r="N6193" t="s">
        <v>30</v>
      </c>
      <c r="O6193" t="s">
        <v>31</v>
      </c>
      <c r="P6193" t="str">
        <f>"15235"</f>
        <v>15235</v>
      </c>
    </row>
    <row r="6194" spans="1:16" x14ac:dyDescent="0.25">
      <c r="A6194" t="str">
        <f>"1130173N00248    00"</f>
        <v>1130173N00248    00</v>
      </c>
      <c r="B6194" t="s">
        <v>14218</v>
      </c>
      <c r="C6194" t="s">
        <v>14219</v>
      </c>
      <c r="D6194" t="s">
        <v>20</v>
      </c>
      <c r="E6194" t="s">
        <v>39</v>
      </c>
      <c r="F6194">
        <v>0</v>
      </c>
      <c r="G6194">
        <v>0</v>
      </c>
      <c r="H6194">
        <v>19</v>
      </c>
      <c r="I6194" s="3">
        <v>8116.34</v>
      </c>
      <c r="J6194" s="3">
        <v>8182.04</v>
      </c>
      <c r="P6194" t="str">
        <f>""</f>
        <v/>
      </c>
    </row>
    <row r="6195" spans="1:16" x14ac:dyDescent="0.25">
      <c r="A6195" t="str">
        <f>"1130173N00252    00"</f>
        <v>1130173N00252    00</v>
      </c>
      <c r="B6195" t="s">
        <v>14220</v>
      </c>
      <c r="C6195" t="s">
        <v>14221</v>
      </c>
      <c r="D6195" t="s">
        <v>20</v>
      </c>
      <c r="E6195" t="s">
        <v>39</v>
      </c>
      <c r="F6195">
        <v>0</v>
      </c>
      <c r="G6195">
        <v>0</v>
      </c>
      <c r="H6195">
        <v>1</v>
      </c>
      <c r="I6195" s="3">
        <v>63.43</v>
      </c>
      <c r="J6195" s="3">
        <v>0</v>
      </c>
      <c r="L6195">
        <v>7032</v>
      </c>
      <c r="M6195" t="s">
        <v>12221</v>
      </c>
      <c r="N6195" t="s">
        <v>30</v>
      </c>
      <c r="O6195" t="s">
        <v>31</v>
      </c>
      <c r="P6195" t="str">
        <f>"15208"</f>
        <v>15208</v>
      </c>
    </row>
    <row r="6196" spans="1:16" x14ac:dyDescent="0.25">
      <c r="A6196" t="str">
        <f>"1130173N00253    00"</f>
        <v>1130173N00253    00</v>
      </c>
      <c r="B6196" t="s">
        <v>12164</v>
      </c>
      <c r="C6196" t="s">
        <v>14222</v>
      </c>
      <c r="D6196" t="s">
        <v>20</v>
      </c>
      <c r="E6196" t="s">
        <v>39</v>
      </c>
      <c r="F6196">
        <v>0</v>
      </c>
      <c r="G6196">
        <v>0</v>
      </c>
      <c r="H6196">
        <v>6</v>
      </c>
      <c r="I6196" s="3">
        <v>2940.24</v>
      </c>
      <c r="J6196" s="3">
        <v>494.46</v>
      </c>
      <c r="L6196">
        <v>130</v>
      </c>
      <c r="M6196" t="s">
        <v>12166</v>
      </c>
      <c r="N6196" t="s">
        <v>30</v>
      </c>
      <c r="O6196" t="s">
        <v>31</v>
      </c>
      <c r="P6196" t="str">
        <f>"15235"</f>
        <v>15235</v>
      </c>
    </row>
    <row r="6197" spans="1:16" x14ac:dyDescent="0.25">
      <c r="A6197" t="str">
        <f>"1130173N00256    00"</f>
        <v>1130173N00256    00</v>
      </c>
      <c r="B6197" t="s">
        <v>14223</v>
      </c>
      <c r="C6197" t="s">
        <v>14224</v>
      </c>
      <c r="E6197" t="s">
        <v>39</v>
      </c>
      <c r="F6197">
        <v>0</v>
      </c>
      <c r="G6197">
        <v>0</v>
      </c>
      <c r="H6197">
        <v>1</v>
      </c>
      <c r="I6197" s="3">
        <v>453.63</v>
      </c>
      <c r="J6197" s="3">
        <v>0</v>
      </c>
      <c r="L6197">
        <v>2218</v>
      </c>
      <c r="M6197" t="s">
        <v>854</v>
      </c>
      <c r="N6197" t="s">
        <v>30</v>
      </c>
      <c r="O6197" t="s">
        <v>31</v>
      </c>
      <c r="P6197" t="str">
        <f>"15219"</f>
        <v>15219</v>
      </c>
    </row>
    <row r="6198" spans="1:16" x14ac:dyDescent="0.25">
      <c r="A6198" t="str">
        <f>"1130173N00260    00"</f>
        <v>1130173N00260    00</v>
      </c>
      <c r="B6198" t="s">
        <v>14225</v>
      </c>
      <c r="C6198" t="s">
        <v>13902</v>
      </c>
      <c r="D6198" t="s">
        <v>20</v>
      </c>
      <c r="E6198" t="s">
        <v>39</v>
      </c>
      <c r="F6198">
        <v>0</v>
      </c>
      <c r="G6198">
        <v>0</v>
      </c>
      <c r="H6198">
        <v>19</v>
      </c>
      <c r="I6198" s="3">
        <v>348.24</v>
      </c>
      <c r="J6198" s="3">
        <v>341.52</v>
      </c>
      <c r="K6198" t="s">
        <v>1008</v>
      </c>
      <c r="P6198" t="str">
        <f>""</f>
        <v/>
      </c>
    </row>
    <row r="6199" spans="1:16" x14ac:dyDescent="0.25">
      <c r="A6199" t="str">
        <f>"1130173N00272    00"</f>
        <v>1130173N00272    00</v>
      </c>
      <c r="B6199" t="s">
        <v>14226</v>
      </c>
      <c r="C6199" t="s">
        <v>13911</v>
      </c>
      <c r="D6199" t="s">
        <v>20</v>
      </c>
      <c r="E6199" t="s">
        <v>39</v>
      </c>
      <c r="F6199">
        <v>0</v>
      </c>
      <c r="G6199">
        <v>0</v>
      </c>
      <c r="H6199">
        <v>19</v>
      </c>
      <c r="I6199" s="3">
        <v>329.07</v>
      </c>
      <c r="J6199" s="3">
        <v>353.93</v>
      </c>
      <c r="K6199" t="s">
        <v>1037</v>
      </c>
      <c r="L6199">
        <v>1510</v>
      </c>
      <c r="M6199" t="s">
        <v>14227</v>
      </c>
      <c r="N6199" t="s">
        <v>30</v>
      </c>
      <c r="O6199" t="s">
        <v>31</v>
      </c>
      <c r="P6199" t="str">
        <f>"15208"</f>
        <v>15208</v>
      </c>
    </row>
    <row r="6200" spans="1:16" x14ac:dyDescent="0.25">
      <c r="A6200" t="str">
        <f>"1130173N00286    00"</f>
        <v>1130173N00286    00</v>
      </c>
      <c r="B6200" t="s">
        <v>14228</v>
      </c>
      <c r="C6200" t="s">
        <v>14229</v>
      </c>
      <c r="D6200" t="s">
        <v>20</v>
      </c>
      <c r="E6200" t="s">
        <v>39</v>
      </c>
      <c r="F6200">
        <v>0</v>
      </c>
      <c r="G6200">
        <v>0</v>
      </c>
      <c r="H6200">
        <v>14</v>
      </c>
      <c r="I6200" s="3">
        <v>4933.58</v>
      </c>
      <c r="J6200" s="3">
        <v>3433.3</v>
      </c>
      <c r="L6200">
        <v>212</v>
      </c>
      <c r="M6200" t="s">
        <v>14230</v>
      </c>
      <c r="N6200" t="s">
        <v>30</v>
      </c>
      <c r="O6200" t="s">
        <v>31</v>
      </c>
      <c r="P6200" t="str">
        <f>"15210"</f>
        <v>15210</v>
      </c>
    </row>
    <row r="6201" spans="1:16" x14ac:dyDescent="0.25">
      <c r="A6201" t="str">
        <f>"1130173N00286A   00"</f>
        <v>1130173N00286A   00</v>
      </c>
      <c r="B6201" t="s">
        <v>14231</v>
      </c>
      <c r="C6201" t="s">
        <v>14229</v>
      </c>
      <c r="D6201" t="s">
        <v>20</v>
      </c>
      <c r="E6201" t="s">
        <v>39</v>
      </c>
      <c r="F6201">
        <v>0</v>
      </c>
      <c r="G6201">
        <v>0</v>
      </c>
      <c r="H6201">
        <v>1</v>
      </c>
      <c r="I6201" s="3">
        <v>203.28</v>
      </c>
      <c r="J6201" s="3">
        <v>0</v>
      </c>
      <c r="K6201" t="s">
        <v>14232</v>
      </c>
      <c r="L6201">
        <v>148</v>
      </c>
      <c r="M6201" t="s">
        <v>14233</v>
      </c>
      <c r="N6201" t="s">
        <v>826</v>
      </c>
      <c r="O6201" t="s">
        <v>31</v>
      </c>
      <c r="P6201" t="str">
        <f>"15601"</f>
        <v>15601</v>
      </c>
    </row>
    <row r="6202" spans="1:16" x14ac:dyDescent="0.25">
      <c r="A6202" t="str">
        <f>"1130173N00288    00"</f>
        <v>1130173N00288    00</v>
      </c>
      <c r="B6202" t="s">
        <v>14234</v>
      </c>
      <c r="C6202" t="s">
        <v>13911</v>
      </c>
      <c r="D6202" t="s">
        <v>20</v>
      </c>
      <c r="E6202" t="s">
        <v>39</v>
      </c>
      <c r="F6202">
        <v>0</v>
      </c>
      <c r="G6202">
        <v>0</v>
      </c>
      <c r="H6202">
        <v>17</v>
      </c>
      <c r="I6202" s="3">
        <v>989.13</v>
      </c>
      <c r="J6202" s="3">
        <v>1245.27</v>
      </c>
      <c r="P6202" t="str">
        <f>""</f>
        <v/>
      </c>
    </row>
    <row r="6203" spans="1:16" x14ac:dyDescent="0.25">
      <c r="A6203" t="str">
        <f>"1130173N00288B   00"</f>
        <v>1130173N00288B   00</v>
      </c>
      <c r="B6203" t="s">
        <v>14235</v>
      </c>
      <c r="C6203" t="s">
        <v>14236</v>
      </c>
      <c r="D6203" t="s">
        <v>20</v>
      </c>
      <c r="E6203" t="s">
        <v>39</v>
      </c>
      <c r="F6203">
        <v>0</v>
      </c>
      <c r="G6203">
        <v>0</v>
      </c>
      <c r="H6203">
        <v>13</v>
      </c>
      <c r="I6203" s="3">
        <v>5157</v>
      </c>
      <c r="J6203" s="3">
        <v>3021.36</v>
      </c>
      <c r="L6203">
        <v>1213</v>
      </c>
      <c r="M6203" t="s">
        <v>11059</v>
      </c>
      <c r="N6203" t="s">
        <v>30</v>
      </c>
      <c r="O6203" t="s">
        <v>31</v>
      </c>
      <c r="P6203" t="str">
        <f>"15206"</f>
        <v>15206</v>
      </c>
    </row>
    <row r="6204" spans="1:16" x14ac:dyDescent="0.25">
      <c r="A6204" t="str">
        <f>"1130173N00291    00"</f>
        <v>1130173N00291    00</v>
      </c>
      <c r="B6204" t="s">
        <v>13910</v>
      </c>
      <c r="C6204" t="s">
        <v>11586</v>
      </c>
      <c r="D6204" t="s">
        <v>20</v>
      </c>
      <c r="E6204" t="s">
        <v>39</v>
      </c>
      <c r="F6204">
        <v>0</v>
      </c>
      <c r="G6204">
        <v>0</v>
      </c>
      <c r="H6204">
        <v>16</v>
      </c>
      <c r="I6204" s="3">
        <v>884.1</v>
      </c>
      <c r="J6204" s="3">
        <v>1447.58</v>
      </c>
      <c r="L6204">
        <v>4749</v>
      </c>
      <c r="M6204" t="s">
        <v>2720</v>
      </c>
      <c r="N6204" t="s">
        <v>30</v>
      </c>
      <c r="O6204" t="s">
        <v>31</v>
      </c>
      <c r="P6204" t="str">
        <f>"15213"</f>
        <v>15213</v>
      </c>
    </row>
    <row r="6205" spans="1:16" x14ac:dyDescent="0.25">
      <c r="A6205" t="str">
        <f>"1130173N00291A   00"</f>
        <v>1130173N00291A   00</v>
      </c>
      <c r="B6205" t="s">
        <v>14237</v>
      </c>
      <c r="C6205" t="s">
        <v>14238</v>
      </c>
      <c r="D6205" t="s">
        <v>20</v>
      </c>
      <c r="E6205" t="s">
        <v>39</v>
      </c>
      <c r="F6205">
        <v>0</v>
      </c>
      <c r="G6205">
        <v>0</v>
      </c>
      <c r="H6205">
        <v>17</v>
      </c>
      <c r="I6205" s="3">
        <v>4968.1499999999996</v>
      </c>
      <c r="J6205" s="3">
        <v>6426.3</v>
      </c>
      <c r="L6205">
        <v>7005</v>
      </c>
      <c r="M6205" t="s">
        <v>12207</v>
      </c>
      <c r="N6205" t="s">
        <v>30</v>
      </c>
      <c r="O6205" t="s">
        <v>31</v>
      </c>
      <c r="P6205" t="str">
        <f>"15208"</f>
        <v>15208</v>
      </c>
    </row>
    <row r="6206" spans="1:16" x14ac:dyDescent="0.25">
      <c r="A6206" t="str">
        <f>"1130173N00292    00"</f>
        <v>1130173N00292    00</v>
      </c>
      <c r="B6206" t="s">
        <v>13910</v>
      </c>
      <c r="C6206" t="s">
        <v>11586</v>
      </c>
      <c r="D6206" t="s">
        <v>20</v>
      </c>
      <c r="E6206" t="s">
        <v>39</v>
      </c>
      <c r="F6206">
        <v>0</v>
      </c>
      <c r="G6206">
        <v>0</v>
      </c>
      <c r="H6206">
        <v>17</v>
      </c>
      <c r="I6206" s="3">
        <v>2194.29</v>
      </c>
      <c r="J6206" s="3">
        <v>2276.62</v>
      </c>
      <c r="K6206" t="s">
        <v>14239</v>
      </c>
      <c r="L6206">
        <v>204</v>
      </c>
      <c r="M6206" t="s">
        <v>14240</v>
      </c>
      <c r="N6206" t="s">
        <v>30</v>
      </c>
      <c r="O6206" t="s">
        <v>31</v>
      </c>
      <c r="P6206" t="str">
        <f>"15206"</f>
        <v>15206</v>
      </c>
    </row>
    <row r="6207" spans="1:16" x14ac:dyDescent="0.25">
      <c r="A6207" t="str">
        <f>"1130173N00293    00"</f>
        <v>1130173N00293    00</v>
      </c>
      <c r="B6207" t="s">
        <v>14241</v>
      </c>
      <c r="C6207" t="s">
        <v>14242</v>
      </c>
      <c r="D6207" t="s">
        <v>20</v>
      </c>
      <c r="E6207" t="s">
        <v>39</v>
      </c>
      <c r="F6207">
        <v>0</v>
      </c>
      <c r="G6207">
        <v>0</v>
      </c>
      <c r="H6207">
        <v>1</v>
      </c>
      <c r="I6207" s="3">
        <v>560.37</v>
      </c>
      <c r="J6207" s="3">
        <v>0</v>
      </c>
      <c r="K6207" t="s">
        <v>14243</v>
      </c>
      <c r="L6207">
        <v>250</v>
      </c>
      <c r="M6207" t="s">
        <v>14244</v>
      </c>
      <c r="N6207" t="s">
        <v>30</v>
      </c>
      <c r="O6207" t="s">
        <v>31</v>
      </c>
      <c r="P6207" t="str">
        <f>"15235"</f>
        <v>15235</v>
      </c>
    </row>
    <row r="6208" spans="1:16" x14ac:dyDescent="0.25">
      <c r="A6208" t="str">
        <f>"1130173N00294    00"</f>
        <v>1130173N00294    00</v>
      </c>
      <c r="B6208" t="s">
        <v>14245</v>
      </c>
      <c r="C6208" t="s">
        <v>14246</v>
      </c>
      <c r="D6208" t="s">
        <v>20</v>
      </c>
      <c r="E6208" t="s">
        <v>39</v>
      </c>
      <c r="F6208">
        <v>0</v>
      </c>
      <c r="G6208">
        <v>0</v>
      </c>
      <c r="H6208">
        <v>18</v>
      </c>
      <c r="I6208" s="3">
        <v>6033.1</v>
      </c>
      <c r="J6208" s="3">
        <v>4937.05</v>
      </c>
      <c r="L6208">
        <v>2961</v>
      </c>
      <c r="M6208" t="s">
        <v>14247</v>
      </c>
      <c r="N6208" t="s">
        <v>1320</v>
      </c>
      <c r="O6208" t="s">
        <v>1321</v>
      </c>
      <c r="P6208" t="str">
        <f>"89103"</f>
        <v>89103</v>
      </c>
    </row>
    <row r="6209" spans="1:16" x14ac:dyDescent="0.25">
      <c r="A6209" t="str">
        <f>"1130173N00295    00"</f>
        <v>1130173N00295    00</v>
      </c>
      <c r="B6209" t="s">
        <v>14248</v>
      </c>
      <c r="C6209" t="s">
        <v>14249</v>
      </c>
      <c r="D6209" t="s">
        <v>20</v>
      </c>
      <c r="E6209" t="s">
        <v>39</v>
      </c>
      <c r="F6209">
        <v>0</v>
      </c>
      <c r="G6209">
        <v>0</v>
      </c>
      <c r="H6209">
        <v>16</v>
      </c>
      <c r="I6209" s="3">
        <v>5470.95</v>
      </c>
      <c r="J6209" s="3">
        <v>4674.8</v>
      </c>
      <c r="L6209">
        <v>208</v>
      </c>
      <c r="M6209" t="s">
        <v>14250</v>
      </c>
      <c r="N6209" t="s">
        <v>30</v>
      </c>
      <c r="O6209" t="s">
        <v>31</v>
      </c>
      <c r="P6209" t="str">
        <f>"15208"</f>
        <v>15208</v>
      </c>
    </row>
    <row r="6210" spans="1:16" x14ac:dyDescent="0.25">
      <c r="A6210" t="str">
        <f>"1130173N00295A   00"</f>
        <v>1130173N00295A   00</v>
      </c>
      <c r="B6210" t="s">
        <v>14251</v>
      </c>
      <c r="C6210" t="s">
        <v>14252</v>
      </c>
      <c r="D6210" t="s">
        <v>20</v>
      </c>
      <c r="E6210" t="s">
        <v>39</v>
      </c>
      <c r="F6210">
        <v>0</v>
      </c>
      <c r="G6210">
        <v>0</v>
      </c>
      <c r="H6210">
        <v>19</v>
      </c>
      <c r="I6210" s="3">
        <v>8591.2999999999993</v>
      </c>
      <c r="J6210" s="3">
        <v>9459.49</v>
      </c>
      <c r="P6210" t="str">
        <f>""</f>
        <v/>
      </c>
    </row>
    <row r="6211" spans="1:16" x14ac:dyDescent="0.25">
      <c r="A6211" t="str">
        <f>"1130173N00297    00"</f>
        <v>1130173N00297    00</v>
      </c>
      <c r="B6211" t="s">
        <v>14253</v>
      </c>
      <c r="C6211" t="s">
        <v>14254</v>
      </c>
      <c r="E6211" t="s">
        <v>39</v>
      </c>
      <c r="F6211">
        <v>0</v>
      </c>
      <c r="G6211">
        <v>0</v>
      </c>
      <c r="H6211">
        <v>1</v>
      </c>
      <c r="I6211" s="3">
        <v>139.19999999999999</v>
      </c>
      <c r="J6211" s="3">
        <v>215.75</v>
      </c>
      <c r="L6211">
        <v>7019</v>
      </c>
      <c r="M6211" t="s">
        <v>12207</v>
      </c>
      <c r="N6211" t="s">
        <v>30</v>
      </c>
      <c r="O6211" t="s">
        <v>31</v>
      </c>
      <c r="P6211" t="str">
        <f>"15208"</f>
        <v>15208</v>
      </c>
    </row>
    <row r="6212" spans="1:16" x14ac:dyDescent="0.25">
      <c r="A6212" t="str">
        <f>"1130173N00298    00"</f>
        <v>1130173N00298    00</v>
      </c>
      <c r="B6212" t="s">
        <v>14255</v>
      </c>
      <c r="C6212" t="s">
        <v>12188</v>
      </c>
      <c r="D6212" t="s">
        <v>20</v>
      </c>
      <c r="E6212" t="s">
        <v>39</v>
      </c>
      <c r="F6212">
        <v>0</v>
      </c>
      <c r="G6212">
        <v>0</v>
      </c>
      <c r="H6212">
        <v>19</v>
      </c>
      <c r="I6212" s="3">
        <v>2498.4499999999998</v>
      </c>
      <c r="J6212" s="3">
        <v>2997.13</v>
      </c>
      <c r="K6212" t="s">
        <v>1008</v>
      </c>
      <c r="P6212" t="str">
        <f>""</f>
        <v/>
      </c>
    </row>
    <row r="6213" spans="1:16" x14ac:dyDescent="0.25">
      <c r="A6213" t="str">
        <f>"1130173N00302    00"</f>
        <v>1130173N00302    00</v>
      </c>
      <c r="B6213" t="s">
        <v>14256</v>
      </c>
      <c r="C6213" t="s">
        <v>12188</v>
      </c>
      <c r="D6213" t="s">
        <v>20</v>
      </c>
      <c r="E6213" t="s">
        <v>39</v>
      </c>
      <c r="F6213">
        <v>0</v>
      </c>
      <c r="G6213">
        <v>0</v>
      </c>
      <c r="H6213">
        <v>17</v>
      </c>
      <c r="I6213" s="3">
        <v>5323.24</v>
      </c>
      <c r="J6213" s="3">
        <v>7846.07</v>
      </c>
      <c r="L6213">
        <v>7218</v>
      </c>
      <c r="M6213" t="s">
        <v>12395</v>
      </c>
      <c r="N6213" t="s">
        <v>30</v>
      </c>
      <c r="O6213" t="s">
        <v>31</v>
      </c>
      <c r="P6213" t="str">
        <f>"15208"</f>
        <v>15208</v>
      </c>
    </row>
    <row r="6214" spans="1:16" x14ac:dyDescent="0.25">
      <c r="A6214" t="str">
        <f>"1130173N00303    00"</f>
        <v>1130173N00303    00</v>
      </c>
      <c r="B6214" t="s">
        <v>14257</v>
      </c>
      <c r="C6214" t="s">
        <v>12188</v>
      </c>
      <c r="D6214" t="s">
        <v>20</v>
      </c>
      <c r="E6214" t="s">
        <v>39</v>
      </c>
      <c r="F6214">
        <v>0</v>
      </c>
      <c r="G6214">
        <v>0</v>
      </c>
      <c r="H6214">
        <v>14</v>
      </c>
      <c r="I6214" s="3">
        <v>739.39</v>
      </c>
      <c r="J6214" s="3">
        <v>820.98</v>
      </c>
      <c r="L6214">
        <v>6226</v>
      </c>
      <c r="M6214" t="s">
        <v>14258</v>
      </c>
      <c r="N6214" t="s">
        <v>4652</v>
      </c>
      <c r="O6214" t="s">
        <v>370</v>
      </c>
      <c r="P6214" t="str">
        <f>"33155"</f>
        <v>33155</v>
      </c>
    </row>
    <row r="6215" spans="1:16" x14ac:dyDescent="0.25">
      <c r="A6215" t="str">
        <f>"1130173N00305    00"</f>
        <v>1130173N00305    00</v>
      </c>
      <c r="B6215" t="s">
        <v>14259</v>
      </c>
      <c r="C6215" t="s">
        <v>14260</v>
      </c>
      <c r="D6215" t="s">
        <v>20</v>
      </c>
      <c r="E6215" t="s">
        <v>39</v>
      </c>
      <c r="F6215">
        <v>0</v>
      </c>
      <c r="G6215">
        <v>0</v>
      </c>
      <c r="H6215">
        <v>13</v>
      </c>
      <c r="I6215" s="3">
        <v>1215.4100000000001</v>
      </c>
      <c r="J6215" s="3">
        <v>788.11</v>
      </c>
      <c r="L6215">
        <v>7035</v>
      </c>
      <c r="M6215" t="s">
        <v>12207</v>
      </c>
      <c r="N6215" t="s">
        <v>30</v>
      </c>
      <c r="O6215" t="s">
        <v>31</v>
      </c>
      <c r="P6215" t="str">
        <f>"15208"</f>
        <v>15208</v>
      </c>
    </row>
    <row r="6216" spans="1:16" x14ac:dyDescent="0.25">
      <c r="A6216" t="str">
        <f>"1130173N00310    00"</f>
        <v>1130173N00310    00</v>
      </c>
      <c r="B6216" t="s">
        <v>14261</v>
      </c>
      <c r="C6216" t="s">
        <v>14262</v>
      </c>
      <c r="D6216" t="s">
        <v>20</v>
      </c>
      <c r="E6216" t="s">
        <v>39</v>
      </c>
      <c r="F6216">
        <v>0</v>
      </c>
      <c r="G6216">
        <v>0</v>
      </c>
      <c r="H6216">
        <v>19</v>
      </c>
      <c r="I6216" s="3">
        <v>2207.1999999999998</v>
      </c>
      <c r="J6216" s="3">
        <v>1271.6400000000001</v>
      </c>
      <c r="L6216">
        <v>6800</v>
      </c>
      <c r="M6216" t="s">
        <v>9086</v>
      </c>
      <c r="N6216" t="s">
        <v>30</v>
      </c>
      <c r="O6216" t="s">
        <v>31</v>
      </c>
      <c r="P6216" t="str">
        <f>"15208"</f>
        <v>15208</v>
      </c>
    </row>
    <row r="6217" spans="1:16" x14ac:dyDescent="0.25">
      <c r="A6217" t="str">
        <f>"1130173N00311    00"</f>
        <v>1130173N00311    00</v>
      </c>
      <c r="B6217" t="s">
        <v>14263</v>
      </c>
      <c r="C6217" t="s">
        <v>14264</v>
      </c>
      <c r="D6217" t="s">
        <v>20</v>
      </c>
      <c r="E6217" t="s">
        <v>39</v>
      </c>
      <c r="F6217">
        <v>0</v>
      </c>
      <c r="G6217">
        <v>0</v>
      </c>
      <c r="H6217">
        <v>1</v>
      </c>
      <c r="I6217" s="3">
        <v>166.06</v>
      </c>
      <c r="J6217" s="3">
        <v>0</v>
      </c>
      <c r="L6217">
        <v>6360</v>
      </c>
      <c r="M6217" t="s">
        <v>2901</v>
      </c>
      <c r="N6217" t="s">
        <v>30</v>
      </c>
      <c r="O6217" t="s">
        <v>31</v>
      </c>
      <c r="P6217" t="str">
        <f>"15206"</f>
        <v>15206</v>
      </c>
    </row>
    <row r="6218" spans="1:16" x14ac:dyDescent="0.25">
      <c r="A6218" t="str">
        <f>"1130173N00314    00"</f>
        <v>1130173N00314    00</v>
      </c>
      <c r="B6218" t="s">
        <v>14265</v>
      </c>
      <c r="C6218" t="s">
        <v>14266</v>
      </c>
      <c r="D6218" t="s">
        <v>20</v>
      </c>
      <c r="E6218" t="s">
        <v>21</v>
      </c>
      <c r="F6218">
        <v>0</v>
      </c>
      <c r="G6218">
        <v>0</v>
      </c>
      <c r="H6218">
        <v>17</v>
      </c>
      <c r="I6218" s="3">
        <v>11429.85</v>
      </c>
      <c r="J6218" s="3">
        <v>13992.84</v>
      </c>
      <c r="L6218">
        <v>540</v>
      </c>
      <c r="M6218" t="s">
        <v>11126</v>
      </c>
      <c r="N6218" t="s">
        <v>30</v>
      </c>
      <c r="O6218" t="s">
        <v>31</v>
      </c>
      <c r="P6218" t="str">
        <f>"15206"</f>
        <v>15206</v>
      </c>
    </row>
    <row r="6219" spans="1:16" x14ac:dyDescent="0.25">
      <c r="A6219" t="str">
        <f>"1130173N00319    00"</f>
        <v>1130173N00319    00</v>
      </c>
      <c r="B6219" t="s">
        <v>14267</v>
      </c>
      <c r="C6219" t="s">
        <v>14268</v>
      </c>
      <c r="D6219" t="s">
        <v>20</v>
      </c>
      <c r="E6219" t="s">
        <v>39</v>
      </c>
      <c r="F6219">
        <v>0</v>
      </c>
      <c r="G6219">
        <v>0</v>
      </c>
      <c r="H6219">
        <v>16</v>
      </c>
      <c r="I6219" s="3">
        <v>7795.76</v>
      </c>
      <c r="J6219" s="3">
        <v>5249.33</v>
      </c>
      <c r="L6219">
        <v>7115</v>
      </c>
      <c r="M6219" t="s">
        <v>12207</v>
      </c>
      <c r="N6219" t="s">
        <v>30</v>
      </c>
      <c r="O6219" t="s">
        <v>31</v>
      </c>
      <c r="P6219" t="str">
        <f>"15208"</f>
        <v>15208</v>
      </c>
    </row>
    <row r="6220" spans="1:16" x14ac:dyDescent="0.25">
      <c r="A6220" t="str">
        <f>"1130173N00326    00"</f>
        <v>1130173N00326    00</v>
      </c>
      <c r="B6220" t="s">
        <v>14269</v>
      </c>
      <c r="C6220" t="s">
        <v>14270</v>
      </c>
      <c r="D6220" t="s">
        <v>20</v>
      </c>
      <c r="E6220" t="s">
        <v>39</v>
      </c>
      <c r="F6220">
        <v>0</v>
      </c>
      <c r="G6220">
        <v>0</v>
      </c>
      <c r="H6220">
        <v>1</v>
      </c>
      <c r="I6220" s="3">
        <v>371.68</v>
      </c>
      <c r="J6220" s="3">
        <v>0</v>
      </c>
      <c r="L6220">
        <v>7129</v>
      </c>
      <c r="M6220" t="s">
        <v>12207</v>
      </c>
      <c r="N6220" t="s">
        <v>30</v>
      </c>
      <c r="O6220" t="s">
        <v>31</v>
      </c>
      <c r="P6220" t="str">
        <f>"15208"</f>
        <v>15208</v>
      </c>
    </row>
    <row r="6221" spans="1:16" x14ac:dyDescent="0.25">
      <c r="A6221" t="str">
        <f>"1130173N00327    00"</f>
        <v>1130173N00327    00</v>
      </c>
      <c r="B6221" t="s">
        <v>14271</v>
      </c>
      <c r="C6221" t="s">
        <v>14272</v>
      </c>
      <c r="E6221" t="s">
        <v>39</v>
      </c>
      <c r="F6221">
        <v>0</v>
      </c>
      <c r="G6221">
        <v>0</v>
      </c>
      <c r="H6221">
        <v>1</v>
      </c>
      <c r="I6221" s="3">
        <v>242.47</v>
      </c>
      <c r="J6221" s="3">
        <v>132.16999999999999</v>
      </c>
      <c r="L6221">
        <v>7131</v>
      </c>
      <c r="M6221" t="s">
        <v>12207</v>
      </c>
      <c r="N6221" t="s">
        <v>30</v>
      </c>
      <c r="O6221" t="s">
        <v>31</v>
      </c>
      <c r="P6221" t="str">
        <f>"15208"</f>
        <v>15208</v>
      </c>
    </row>
    <row r="6222" spans="1:16" x14ac:dyDescent="0.25">
      <c r="A6222" t="str">
        <f>"1130173N00329    00"</f>
        <v>1130173N00329    00</v>
      </c>
      <c r="B6222" t="s">
        <v>14273</v>
      </c>
      <c r="C6222" t="s">
        <v>14274</v>
      </c>
      <c r="D6222" t="s">
        <v>20</v>
      </c>
      <c r="E6222" t="s">
        <v>39</v>
      </c>
      <c r="F6222">
        <v>0</v>
      </c>
      <c r="G6222">
        <v>0</v>
      </c>
      <c r="H6222">
        <v>6</v>
      </c>
      <c r="I6222" s="3">
        <v>3254.91</v>
      </c>
      <c r="J6222" s="3">
        <v>742.56</v>
      </c>
      <c r="L6222">
        <v>4004</v>
      </c>
      <c r="M6222" t="s">
        <v>14275</v>
      </c>
      <c r="N6222" t="s">
        <v>30</v>
      </c>
      <c r="O6222" t="s">
        <v>31</v>
      </c>
      <c r="P6222" t="str">
        <f>"15212"</f>
        <v>15212</v>
      </c>
    </row>
    <row r="6223" spans="1:16" x14ac:dyDescent="0.25">
      <c r="A6223" t="str">
        <f>"1130173N00331    00"</f>
        <v>1130173N00331    00</v>
      </c>
      <c r="B6223" t="s">
        <v>14276</v>
      </c>
      <c r="C6223" t="s">
        <v>12188</v>
      </c>
      <c r="D6223" t="s">
        <v>20</v>
      </c>
      <c r="E6223" t="s">
        <v>39</v>
      </c>
      <c r="F6223">
        <v>0</v>
      </c>
      <c r="G6223">
        <v>0</v>
      </c>
      <c r="H6223">
        <v>19</v>
      </c>
      <c r="I6223" s="3">
        <v>8557.56</v>
      </c>
      <c r="J6223" s="3">
        <v>11720.53</v>
      </c>
      <c r="L6223">
        <v>608</v>
      </c>
      <c r="M6223" t="s">
        <v>14277</v>
      </c>
      <c r="N6223" t="s">
        <v>1412</v>
      </c>
      <c r="O6223" t="s">
        <v>1413</v>
      </c>
      <c r="P6223" t="str">
        <f>"28208"</f>
        <v>28208</v>
      </c>
    </row>
    <row r="6224" spans="1:16" x14ac:dyDescent="0.25">
      <c r="A6224" t="str">
        <f>"1130173N00332    00"</f>
        <v>1130173N00332    00</v>
      </c>
      <c r="B6224" t="s">
        <v>14278</v>
      </c>
      <c r="C6224" t="s">
        <v>14279</v>
      </c>
      <c r="D6224" t="s">
        <v>20</v>
      </c>
      <c r="E6224" t="s">
        <v>39</v>
      </c>
      <c r="F6224">
        <v>0</v>
      </c>
      <c r="G6224">
        <v>0</v>
      </c>
      <c r="H6224">
        <v>4</v>
      </c>
      <c r="I6224" s="3">
        <v>398.24</v>
      </c>
      <c r="J6224" s="3">
        <v>47.3</v>
      </c>
      <c r="L6224">
        <v>7141</v>
      </c>
      <c r="M6224" t="s">
        <v>12207</v>
      </c>
      <c r="N6224" t="s">
        <v>30</v>
      </c>
      <c r="O6224" t="s">
        <v>31</v>
      </c>
      <c r="P6224" t="str">
        <f>"15208"</f>
        <v>15208</v>
      </c>
    </row>
    <row r="6225" spans="1:16" x14ac:dyDescent="0.25">
      <c r="A6225" t="str">
        <f>"1130173N00334    00"</f>
        <v>1130173N00334    00</v>
      </c>
      <c r="B6225" t="s">
        <v>14280</v>
      </c>
      <c r="C6225" t="s">
        <v>14281</v>
      </c>
      <c r="D6225" t="s">
        <v>20</v>
      </c>
      <c r="E6225" t="s">
        <v>39</v>
      </c>
      <c r="F6225">
        <v>0</v>
      </c>
      <c r="G6225">
        <v>0</v>
      </c>
      <c r="H6225">
        <v>3</v>
      </c>
      <c r="I6225" s="3">
        <v>1638.15</v>
      </c>
      <c r="J6225" s="3">
        <v>148.57</v>
      </c>
      <c r="L6225">
        <v>4062</v>
      </c>
      <c r="M6225" t="s">
        <v>14282</v>
      </c>
      <c r="N6225" t="s">
        <v>1046</v>
      </c>
      <c r="O6225" t="s">
        <v>31</v>
      </c>
      <c r="P6225" t="str">
        <f>"15147"</f>
        <v>15147</v>
      </c>
    </row>
    <row r="6226" spans="1:16" x14ac:dyDescent="0.25">
      <c r="A6226" t="str">
        <f>"1130173N00339    00"</f>
        <v>1130173N00339    00</v>
      </c>
      <c r="B6226" t="s">
        <v>14283</v>
      </c>
      <c r="C6226" t="s">
        <v>12188</v>
      </c>
      <c r="D6226" t="s">
        <v>20</v>
      </c>
      <c r="E6226" t="s">
        <v>39</v>
      </c>
      <c r="F6226">
        <v>0</v>
      </c>
      <c r="G6226">
        <v>0</v>
      </c>
      <c r="H6226">
        <v>9</v>
      </c>
      <c r="I6226" s="3">
        <v>1897.56</v>
      </c>
      <c r="J6226" s="3">
        <v>2263.21</v>
      </c>
      <c r="L6226">
        <v>7104</v>
      </c>
      <c r="M6226" t="s">
        <v>12207</v>
      </c>
      <c r="N6226" t="s">
        <v>30</v>
      </c>
      <c r="O6226" t="s">
        <v>31</v>
      </c>
      <c r="P6226" t="str">
        <f>"15208"</f>
        <v>15208</v>
      </c>
    </row>
    <row r="6227" spans="1:16" x14ac:dyDescent="0.25">
      <c r="A6227" t="str">
        <f>"1130173N00342    00"</f>
        <v>1130173N00342    00</v>
      </c>
      <c r="B6227" t="s">
        <v>14284</v>
      </c>
      <c r="C6227" t="s">
        <v>14285</v>
      </c>
      <c r="D6227" t="s">
        <v>20</v>
      </c>
      <c r="E6227" t="s">
        <v>39</v>
      </c>
      <c r="F6227">
        <v>0</v>
      </c>
      <c r="G6227">
        <v>0</v>
      </c>
      <c r="H6227">
        <v>19</v>
      </c>
      <c r="I6227" s="3">
        <v>12432.86</v>
      </c>
      <c r="J6227" s="3">
        <v>14218.98</v>
      </c>
      <c r="L6227">
        <v>1126</v>
      </c>
      <c r="M6227" t="s">
        <v>14286</v>
      </c>
      <c r="N6227" t="s">
        <v>30</v>
      </c>
      <c r="O6227" t="s">
        <v>31</v>
      </c>
      <c r="P6227" t="str">
        <f>"15218"</f>
        <v>15218</v>
      </c>
    </row>
    <row r="6228" spans="1:16" x14ac:dyDescent="0.25">
      <c r="A6228" t="str">
        <f>"1130173N00344    00"</f>
        <v>1130173N00344    00</v>
      </c>
      <c r="B6228" t="s">
        <v>14287</v>
      </c>
      <c r="C6228" t="s">
        <v>14158</v>
      </c>
      <c r="D6228" t="s">
        <v>20</v>
      </c>
      <c r="E6228" t="s">
        <v>39</v>
      </c>
      <c r="F6228">
        <v>0</v>
      </c>
      <c r="G6228">
        <v>0</v>
      </c>
      <c r="H6228">
        <v>5</v>
      </c>
      <c r="I6228" s="3">
        <v>304.64999999999998</v>
      </c>
      <c r="J6228" s="3">
        <v>189.91</v>
      </c>
      <c r="L6228">
        <v>1407</v>
      </c>
      <c r="M6228" t="s">
        <v>13906</v>
      </c>
      <c r="N6228" t="s">
        <v>30</v>
      </c>
      <c r="O6228" t="s">
        <v>31</v>
      </c>
      <c r="P6228" t="str">
        <f>"15208"</f>
        <v>15208</v>
      </c>
    </row>
    <row r="6229" spans="1:16" x14ac:dyDescent="0.25">
      <c r="A6229" t="str">
        <f>"1130173N00346    00"</f>
        <v>1130173N00346    00</v>
      </c>
      <c r="B6229" t="s">
        <v>14288</v>
      </c>
      <c r="C6229" t="s">
        <v>14289</v>
      </c>
      <c r="D6229" t="s">
        <v>20</v>
      </c>
      <c r="E6229" t="s">
        <v>21</v>
      </c>
      <c r="F6229">
        <v>0</v>
      </c>
      <c r="G6229">
        <v>0</v>
      </c>
      <c r="H6229">
        <v>1</v>
      </c>
      <c r="I6229" s="3">
        <v>838.66</v>
      </c>
      <c r="J6229" s="3">
        <v>0</v>
      </c>
      <c r="L6229">
        <v>1417</v>
      </c>
      <c r="M6229" t="s">
        <v>14290</v>
      </c>
      <c r="N6229" t="s">
        <v>30</v>
      </c>
      <c r="O6229" t="s">
        <v>31</v>
      </c>
      <c r="P6229" t="str">
        <f>"15208"</f>
        <v>15208</v>
      </c>
    </row>
    <row r="6230" spans="1:16" x14ac:dyDescent="0.25">
      <c r="A6230" t="str">
        <f>"1130173N00353    00"</f>
        <v>1130173N00353    00</v>
      </c>
      <c r="B6230" t="s">
        <v>14291</v>
      </c>
      <c r="C6230" t="s">
        <v>14292</v>
      </c>
      <c r="D6230" t="s">
        <v>20</v>
      </c>
      <c r="E6230" t="s">
        <v>39</v>
      </c>
      <c r="F6230">
        <v>0</v>
      </c>
      <c r="G6230">
        <v>0</v>
      </c>
      <c r="H6230">
        <v>18</v>
      </c>
      <c r="I6230" s="3">
        <v>6700.36</v>
      </c>
      <c r="J6230" s="3">
        <v>7884.27</v>
      </c>
      <c r="K6230" t="s">
        <v>14293</v>
      </c>
      <c r="L6230">
        <v>232</v>
      </c>
      <c r="M6230" t="s">
        <v>14294</v>
      </c>
      <c r="N6230" t="s">
        <v>1827</v>
      </c>
      <c r="O6230" t="s">
        <v>692</v>
      </c>
      <c r="P6230" t="str">
        <f>"23227"</f>
        <v>23227</v>
      </c>
    </row>
    <row r="6231" spans="1:16" x14ac:dyDescent="0.25">
      <c r="A6231" t="str">
        <f>"1130173N00354    00"</f>
        <v>1130173N00354    00</v>
      </c>
      <c r="B6231" t="s">
        <v>14295</v>
      </c>
      <c r="C6231" t="s">
        <v>12188</v>
      </c>
      <c r="D6231" t="s">
        <v>20</v>
      </c>
      <c r="E6231" t="s">
        <v>39</v>
      </c>
      <c r="F6231">
        <v>0</v>
      </c>
      <c r="G6231">
        <v>0</v>
      </c>
      <c r="H6231">
        <v>17</v>
      </c>
      <c r="I6231" s="3">
        <v>264.23</v>
      </c>
      <c r="J6231" s="3">
        <v>298.63</v>
      </c>
      <c r="K6231" t="s">
        <v>1008</v>
      </c>
      <c r="P6231" t="str">
        <f>""</f>
        <v/>
      </c>
    </row>
    <row r="6232" spans="1:16" x14ac:dyDescent="0.25">
      <c r="A6232" t="str">
        <f>"1130173N00355    00"</f>
        <v>1130173N00355    00</v>
      </c>
      <c r="B6232" t="s">
        <v>14296</v>
      </c>
      <c r="C6232" t="s">
        <v>14297</v>
      </c>
      <c r="E6232" t="s">
        <v>39</v>
      </c>
      <c r="F6232">
        <v>0</v>
      </c>
      <c r="G6232">
        <v>0</v>
      </c>
      <c r="H6232">
        <v>1</v>
      </c>
      <c r="I6232" s="3">
        <v>404.09</v>
      </c>
      <c r="J6232" s="3">
        <v>0</v>
      </c>
      <c r="M6232" t="s">
        <v>14298</v>
      </c>
      <c r="N6232" t="s">
        <v>11414</v>
      </c>
      <c r="O6232" t="s">
        <v>495</v>
      </c>
      <c r="P6232" t="str">
        <f>"95158"</f>
        <v>95158</v>
      </c>
    </row>
    <row r="6233" spans="1:16" x14ac:dyDescent="0.25">
      <c r="A6233" t="str">
        <f>"1130173N00357    00"</f>
        <v>1130173N00357    00</v>
      </c>
      <c r="B6233" t="s">
        <v>14299</v>
      </c>
      <c r="C6233" t="s">
        <v>14300</v>
      </c>
      <c r="D6233" t="s">
        <v>20</v>
      </c>
      <c r="E6233" t="s">
        <v>39</v>
      </c>
      <c r="F6233">
        <v>0</v>
      </c>
      <c r="G6233">
        <v>0</v>
      </c>
      <c r="H6233">
        <v>17</v>
      </c>
      <c r="I6233" s="3">
        <v>1941.86</v>
      </c>
      <c r="J6233" s="3">
        <v>1886.05</v>
      </c>
      <c r="L6233">
        <v>7022</v>
      </c>
      <c r="M6233" t="s">
        <v>12207</v>
      </c>
      <c r="N6233" t="s">
        <v>30</v>
      </c>
      <c r="O6233" t="s">
        <v>31</v>
      </c>
      <c r="P6233" t="str">
        <f>"15208"</f>
        <v>15208</v>
      </c>
    </row>
    <row r="6234" spans="1:16" x14ac:dyDescent="0.25">
      <c r="A6234" t="str">
        <f>"1130173N00360    00"</f>
        <v>1130173N00360    00</v>
      </c>
      <c r="B6234" t="s">
        <v>14301</v>
      </c>
      <c r="C6234" t="s">
        <v>12188</v>
      </c>
      <c r="D6234" t="s">
        <v>20</v>
      </c>
      <c r="E6234" t="s">
        <v>39</v>
      </c>
      <c r="F6234">
        <v>0</v>
      </c>
      <c r="G6234">
        <v>0</v>
      </c>
      <c r="H6234">
        <v>19</v>
      </c>
      <c r="I6234" s="3">
        <v>765.48</v>
      </c>
      <c r="J6234" s="3">
        <v>562.11</v>
      </c>
      <c r="K6234" t="s">
        <v>14302</v>
      </c>
      <c r="M6234" t="s">
        <v>14303</v>
      </c>
      <c r="N6234" t="s">
        <v>30</v>
      </c>
      <c r="O6234" t="s">
        <v>31</v>
      </c>
      <c r="P6234" t="str">
        <f>"15210"</f>
        <v>15210</v>
      </c>
    </row>
    <row r="6235" spans="1:16" x14ac:dyDescent="0.25">
      <c r="A6235" t="str">
        <f>"1130173N00362    00"</f>
        <v>1130173N00362    00</v>
      </c>
      <c r="B6235" t="s">
        <v>14304</v>
      </c>
      <c r="C6235" t="s">
        <v>14305</v>
      </c>
      <c r="E6235" t="s">
        <v>39</v>
      </c>
      <c r="F6235">
        <v>0</v>
      </c>
      <c r="G6235">
        <v>0</v>
      </c>
      <c r="H6235">
        <v>2</v>
      </c>
      <c r="I6235" s="3">
        <v>29.39</v>
      </c>
      <c r="J6235" s="3">
        <v>6</v>
      </c>
      <c r="L6235">
        <v>7012</v>
      </c>
      <c r="M6235" t="s">
        <v>12207</v>
      </c>
      <c r="N6235" t="s">
        <v>30</v>
      </c>
      <c r="O6235" t="s">
        <v>31</v>
      </c>
      <c r="P6235" t="str">
        <f>"15208"</f>
        <v>15208</v>
      </c>
    </row>
    <row r="6236" spans="1:16" x14ac:dyDescent="0.25">
      <c r="A6236" t="str">
        <f>"1130173N00365    00"</f>
        <v>1130173N00365    00</v>
      </c>
      <c r="B6236" t="s">
        <v>14306</v>
      </c>
      <c r="C6236" t="s">
        <v>14307</v>
      </c>
      <c r="D6236" t="s">
        <v>20</v>
      </c>
      <c r="E6236" t="s">
        <v>39</v>
      </c>
      <c r="F6236">
        <v>0</v>
      </c>
      <c r="G6236">
        <v>0</v>
      </c>
      <c r="H6236">
        <v>11</v>
      </c>
      <c r="I6236" s="3">
        <v>4923.24</v>
      </c>
      <c r="J6236" s="3">
        <v>2110.67</v>
      </c>
      <c r="L6236">
        <v>1300</v>
      </c>
      <c r="M6236" t="s">
        <v>14308</v>
      </c>
      <c r="N6236" t="s">
        <v>30</v>
      </c>
      <c r="O6236" t="s">
        <v>31</v>
      </c>
      <c r="P6236" t="str">
        <f>"15208"</f>
        <v>15208</v>
      </c>
    </row>
    <row r="6237" spans="1:16" x14ac:dyDescent="0.25">
      <c r="A6237" t="str">
        <f>"1130173N00368    00"</f>
        <v>1130173N00368    00</v>
      </c>
      <c r="B6237" t="s">
        <v>11732</v>
      </c>
      <c r="C6237" t="s">
        <v>14309</v>
      </c>
      <c r="D6237" t="s">
        <v>20</v>
      </c>
      <c r="E6237" t="s">
        <v>39</v>
      </c>
      <c r="F6237">
        <v>0</v>
      </c>
      <c r="G6237">
        <v>0</v>
      </c>
      <c r="H6237">
        <v>11</v>
      </c>
      <c r="I6237" s="3">
        <v>3485.71</v>
      </c>
      <c r="J6237" s="3">
        <v>1555</v>
      </c>
      <c r="L6237">
        <v>1402</v>
      </c>
      <c r="M6237" t="s">
        <v>12412</v>
      </c>
      <c r="N6237" t="s">
        <v>30</v>
      </c>
      <c r="O6237" t="s">
        <v>31</v>
      </c>
      <c r="P6237" t="str">
        <f>"15208"</f>
        <v>15208</v>
      </c>
    </row>
    <row r="6238" spans="1:16" x14ac:dyDescent="0.25">
      <c r="A6238" t="str">
        <f>"1130173N00376    00"</f>
        <v>1130173N00376    00</v>
      </c>
      <c r="B6238" t="s">
        <v>14265</v>
      </c>
      <c r="C6238" t="s">
        <v>14310</v>
      </c>
      <c r="D6238" t="s">
        <v>20</v>
      </c>
      <c r="E6238" t="s">
        <v>39</v>
      </c>
      <c r="F6238">
        <v>0</v>
      </c>
      <c r="G6238">
        <v>0</v>
      </c>
      <c r="H6238">
        <v>17</v>
      </c>
      <c r="I6238" s="3">
        <v>7091.6</v>
      </c>
      <c r="J6238" s="3">
        <v>8383.98</v>
      </c>
      <c r="L6238">
        <v>540</v>
      </c>
      <c r="M6238" t="s">
        <v>11126</v>
      </c>
      <c r="N6238" t="s">
        <v>30</v>
      </c>
      <c r="O6238" t="s">
        <v>31</v>
      </c>
      <c r="P6238" t="str">
        <f>"15206"</f>
        <v>15206</v>
      </c>
    </row>
    <row r="6239" spans="1:16" x14ac:dyDescent="0.25">
      <c r="A6239" t="str">
        <f>"1130173N00381    00"</f>
        <v>1130173N00381    00</v>
      </c>
      <c r="B6239" t="s">
        <v>14311</v>
      </c>
      <c r="C6239" t="s">
        <v>14312</v>
      </c>
      <c r="E6239" t="s">
        <v>39</v>
      </c>
      <c r="F6239">
        <v>0</v>
      </c>
      <c r="G6239">
        <v>0</v>
      </c>
      <c r="H6239">
        <v>1</v>
      </c>
      <c r="I6239" s="3">
        <v>125.99</v>
      </c>
      <c r="J6239" s="3">
        <v>0</v>
      </c>
      <c r="L6239">
        <v>7029</v>
      </c>
      <c r="M6239" t="s">
        <v>12201</v>
      </c>
      <c r="N6239" t="s">
        <v>30</v>
      </c>
      <c r="O6239" t="s">
        <v>31</v>
      </c>
      <c r="P6239" t="str">
        <f>"15208"</f>
        <v>15208</v>
      </c>
    </row>
    <row r="6240" spans="1:16" x14ac:dyDescent="0.25">
      <c r="A6240" t="str">
        <f>"1130173P00195    00"</f>
        <v>1130173P00195    00</v>
      </c>
      <c r="B6240" t="s">
        <v>14313</v>
      </c>
      <c r="C6240" t="s">
        <v>11235</v>
      </c>
      <c r="D6240" t="s">
        <v>20</v>
      </c>
      <c r="E6240" t="s">
        <v>39</v>
      </c>
      <c r="F6240">
        <v>0</v>
      </c>
      <c r="G6240">
        <v>0</v>
      </c>
      <c r="H6240">
        <v>19</v>
      </c>
      <c r="I6240" s="3">
        <v>4953.45</v>
      </c>
      <c r="J6240" s="3">
        <v>6128.26</v>
      </c>
      <c r="L6240">
        <v>340</v>
      </c>
      <c r="M6240" t="s">
        <v>14314</v>
      </c>
      <c r="N6240" t="s">
        <v>1634</v>
      </c>
      <c r="O6240" t="s">
        <v>25</v>
      </c>
      <c r="P6240" t="str">
        <f>"45426"</f>
        <v>45426</v>
      </c>
    </row>
    <row r="6241" spans="1:16" x14ac:dyDescent="0.25">
      <c r="A6241" t="str">
        <f>"1130173P00199    00"</f>
        <v>1130173P00199    00</v>
      </c>
      <c r="B6241" t="s">
        <v>14315</v>
      </c>
      <c r="C6241" t="s">
        <v>14316</v>
      </c>
      <c r="D6241" t="s">
        <v>20</v>
      </c>
      <c r="E6241" t="s">
        <v>39</v>
      </c>
      <c r="F6241">
        <v>0</v>
      </c>
      <c r="G6241">
        <v>0</v>
      </c>
      <c r="H6241">
        <v>1</v>
      </c>
      <c r="I6241" s="3">
        <v>204.4</v>
      </c>
      <c r="J6241" s="3">
        <v>0</v>
      </c>
      <c r="L6241">
        <v>7142</v>
      </c>
      <c r="M6241" t="s">
        <v>11238</v>
      </c>
      <c r="N6241" t="s">
        <v>30</v>
      </c>
      <c r="O6241" t="s">
        <v>31</v>
      </c>
      <c r="P6241" t="str">
        <f>"15206"</f>
        <v>15206</v>
      </c>
    </row>
    <row r="6242" spans="1:16" x14ac:dyDescent="0.25">
      <c r="A6242" t="str">
        <f>"1130173P00201    00"</f>
        <v>1130173P00201    00</v>
      </c>
      <c r="B6242" t="s">
        <v>14317</v>
      </c>
      <c r="C6242" t="s">
        <v>14318</v>
      </c>
      <c r="D6242" t="s">
        <v>20</v>
      </c>
      <c r="E6242" t="s">
        <v>39</v>
      </c>
      <c r="F6242">
        <v>0</v>
      </c>
      <c r="G6242">
        <v>0</v>
      </c>
      <c r="H6242">
        <v>2</v>
      </c>
      <c r="I6242" s="3">
        <v>20.48</v>
      </c>
      <c r="J6242" s="3">
        <v>9.93</v>
      </c>
      <c r="L6242">
        <v>7126</v>
      </c>
      <c r="M6242" t="s">
        <v>12716</v>
      </c>
      <c r="N6242" t="s">
        <v>30</v>
      </c>
      <c r="O6242" t="s">
        <v>31</v>
      </c>
      <c r="P6242" t="str">
        <f>"15206"</f>
        <v>15206</v>
      </c>
    </row>
    <row r="6243" spans="1:16" x14ac:dyDescent="0.25">
      <c r="A6243" t="str">
        <f>"1130173P00201A   00"</f>
        <v>1130173P00201A   00</v>
      </c>
      <c r="B6243" t="s">
        <v>14149</v>
      </c>
      <c r="C6243" t="s">
        <v>14319</v>
      </c>
      <c r="D6243" t="s">
        <v>20</v>
      </c>
      <c r="E6243" t="s">
        <v>39</v>
      </c>
      <c r="F6243">
        <v>0</v>
      </c>
      <c r="G6243">
        <v>0</v>
      </c>
      <c r="H6243">
        <v>4</v>
      </c>
      <c r="I6243" s="3">
        <v>2923.73</v>
      </c>
      <c r="J6243" s="3">
        <v>345.37</v>
      </c>
      <c r="L6243">
        <v>1420</v>
      </c>
      <c r="M6243" t="s">
        <v>14320</v>
      </c>
      <c r="N6243" t="s">
        <v>30</v>
      </c>
      <c r="O6243" t="s">
        <v>31</v>
      </c>
      <c r="P6243" t="str">
        <f>"15212"</f>
        <v>15212</v>
      </c>
    </row>
    <row r="6244" spans="1:16" x14ac:dyDescent="0.25">
      <c r="A6244" t="str">
        <f>"1130173P00204    00"</f>
        <v>1130173P00204    00</v>
      </c>
      <c r="B6244" t="s">
        <v>14190</v>
      </c>
      <c r="C6244" t="s">
        <v>14321</v>
      </c>
      <c r="D6244" t="s">
        <v>20</v>
      </c>
      <c r="E6244" t="s">
        <v>39</v>
      </c>
      <c r="F6244">
        <v>0</v>
      </c>
      <c r="G6244">
        <v>0</v>
      </c>
      <c r="H6244">
        <v>2</v>
      </c>
      <c r="I6244" s="3">
        <v>583.26</v>
      </c>
      <c r="J6244" s="3">
        <v>0</v>
      </c>
      <c r="L6244">
        <v>8016</v>
      </c>
      <c r="M6244" t="s">
        <v>12429</v>
      </c>
      <c r="N6244" t="s">
        <v>1046</v>
      </c>
      <c r="O6244" t="s">
        <v>31</v>
      </c>
      <c r="P6244" t="str">
        <f>"15147"</f>
        <v>15147</v>
      </c>
    </row>
    <row r="6245" spans="1:16" x14ac:dyDescent="0.25">
      <c r="A6245" t="str">
        <f>"1130174A00002    00"</f>
        <v>1130174A00002    00</v>
      </c>
      <c r="B6245" t="s">
        <v>14322</v>
      </c>
      <c r="C6245" t="s">
        <v>14323</v>
      </c>
      <c r="D6245" t="s">
        <v>20</v>
      </c>
      <c r="E6245" t="s">
        <v>39</v>
      </c>
      <c r="F6245">
        <v>0</v>
      </c>
      <c r="G6245">
        <v>0</v>
      </c>
      <c r="H6245">
        <v>3</v>
      </c>
      <c r="I6245" s="3">
        <v>1789.74</v>
      </c>
      <c r="J6245" s="3">
        <v>119.31</v>
      </c>
      <c r="L6245">
        <v>7223</v>
      </c>
      <c r="M6245" t="s">
        <v>12201</v>
      </c>
      <c r="N6245" t="s">
        <v>30</v>
      </c>
      <c r="O6245" t="s">
        <v>31</v>
      </c>
      <c r="P6245" t="str">
        <f>"15208"</f>
        <v>15208</v>
      </c>
    </row>
    <row r="6246" spans="1:16" x14ac:dyDescent="0.25">
      <c r="A6246" t="str">
        <f>"1130174A00004    00"</f>
        <v>1130174A00004    00</v>
      </c>
      <c r="B6246" t="s">
        <v>14324</v>
      </c>
      <c r="C6246" t="s">
        <v>14325</v>
      </c>
      <c r="D6246" t="s">
        <v>20</v>
      </c>
      <c r="E6246" t="s">
        <v>39</v>
      </c>
      <c r="F6246">
        <v>0</v>
      </c>
      <c r="G6246">
        <v>0</v>
      </c>
      <c r="H6246">
        <v>1</v>
      </c>
      <c r="I6246" s="3">
        <v>600.4</v>
      </c>
      <c r="J6246" s="3">
        <v>0</v>
      </c>
      <c r="L6246">
        <v>8817</v>
      </c>
      <c r="M6246" t="s">
        <v>13958</v>
      </c>
      <c r="N6246" t="s">
        <v>30</v>
      </c>
      <c r="O6246" t="s">
        <v>31</v>
      </c>
      <c r="P6246" t="str">
        <f>"15221"</f>
        <v>15221</v>
      </c>
    </row>
    <row r="6247" spans="1:16" x14ac:dyDescent="0.25">
      <c r="A6247" t="str">
        <f>"1130174A00010    00"</f>
        <v>1130174A00010    00</v>
      </c>
      <c r="B6247" t="s">
        <v>14326</v>
      </c>
      <c r="C6247" t="s">
        <v>14327</v>
      </c>
      <c r="D6247" t="s">
        <v>20</v>
      </c>
      <c r="E6247" t="s">
        <v>39</v>
      </c>
      <c r="F6247">
        <v>0</v>
      </c>
      <c r="G6247">
        <v>0</v>
      </c>
      <c r="H6247">
        <v>1</v>
      </c>
      <c r="I6247" s="3">
        <v>154.18</v>
      </c>
      <c r="J6247" s="3">
        <v>0</v>
      </c>
      <c r="K6247" t="s">
        <v>14328</v>
      </c>
      <c r="L6247">
        <v>7136</v>
      </c>
      <c r="M6247" t="s">
        <v>12207</v>
      </c>
      <c r="N6247" t="s">
        <v>30</v>
      </c>
      <c r="O6247" t="s">
        <v>31</v>
      </c>
      <c r="P6247" t="str">
        <f>"15208"</f>
        <v>15208</v>
      </c>
    </row>
    <row r="6248" spans="1:16" x14ac:dyDescent="0.25">
      <c r="A6248" t="str">
        <f>"1130174A00011    00"</f>
        <v>1130174A00011    00</v>
      </c>
      <c r="B6248" t="s">
        <v>14329</v>
      </c>
      <c r="C6248" t="s">
        <v>14330</v>
      </c>
      <c r="D6248" t="s">
        <v>20</v>
      </c>
      <c r="E6248" t="s">
        <v>39</v>
      </c>
      <c r="F6248">
        <v>0</v>
      </c>
      <c r="G6248">
        <v>0</v>
      </c>
      <c r="H6248">
        <v>2</v>
      </c>
      <c r="I6248" s="3">
        <v>1208.42</v>
      </c>
      <c r="J6248" s="3">
        <v>0</v>
      </c>
      <c r="L6248">
        <v>7134</v>
      </c>
      <c r="M6248" t="s">
        <v>12207</v>
      </c>
      <c r="N6248" t="s">
        <v>30</v>
      </c>
      <c r="O6248" t="s">
        <v>31</v>
      </c>
      <c r="P6248" t="str">
        <f>"15208"</f>
        <v>15208</v>
      </c>
    </row>
    <row r="6249" spans="1:16" x14ac:dyDescent="0.25">
      <c r="A6249" t="str">
        <f>"1130174A00012    00"</f>
        <v>1130174A00012    00</v>
      </c>
      <c r="B6249" t="s">
        <v>1965</v>
      </c>
      <c r="C6249" t="s">
        <v>14331</v>
      </c>
      <c r="D6249" t="s">
        <v>20</v>
      </c>
      <c r="E6249" t="s">
        <v>39</v>
      </c>
      <c r="F6249">
        <v>0</v>
      </c>
      <c r="G6249">
        <v>0</v>
      </c>
      <c r="H6249">
        <v>5</v>
      </c>
      <c r="I6249" s="3">
        <v>612.35</v>
      </c>
      <c r="J6249" s="3">
        <v>105.81</v>
      </c>
      <c r="L6249">
        <v>1556</v>
      </c>
      <c r="M6249" t="s">
        <v>14332</v>
      </c>
      <c r="N6249" t="s">
        <v>30</v>
      </c>
      <c r="O6249" t="s">
        <v>31</v>
      </c>
      <c r="P6249" t="str">
        <f>"15216"</f>
        <v>15216</v>
      </c>
    </row>
    <row r="6250" spans="1:16" x14ac:dyDescent="0.25">
      <c r="A6250" t="str">
        <f>"1130174A00013    00"</f>
        <v>1130174A00013    00</v>
      </c>
      <c r="B6250" t="s">
        <v>14333</v>
      </c>
      <c r="C6250" t="s">
        <v>14334</v>
      </c>
      <c r="D6250" t="s">
        <v>20</v>
      </c>
      <c r="E6250" t="s">
        <v>39</v>
      </c>
      <c r="F6250">
        <v>0</v>
      </c>
      <c r="G6250">
        <v>0</v>
      </c>
      <c r="H6250">
        <v>2</v>
      </c>
      <c r="I6250" s="3">
        <v>191.46</v>
      </c>
      <c r="J6250" s="3">
        <v>0</v>
      </c>
      <c r="L6250">
        <v>7130</v>
      </c>
      <c r="M6250" t="s">
        <v>12207</v>
      </c>
      <c r="N6250" t="s">
        <v>30</v>
      </c>
      <c r="O6250" t="s">
        <v>31</v>
      </c>
      <c r="P6250" t="str">
        <f>"15208"</f>
        <v>15208</v>
      </c>
    </row>
    <row r="6251" spans="1:16" x14ac:dyDescent="0.25">
      <c r="A6251" t="str">
        <f>"1130174A00014    00"</f>
        <v>1130174A00014    00</v>
      </c>
      <c r="B6251" t="s">
        <v>14335</v>
      </c>
      <c r="C6251" t="s">
        <v>14336</v>
      </c>
      <c r="E6251" t="s">
        <v>39</v>
      </c>
      <c r="F6251">
        <v>0</v>
      </c>
      <c r="G6251">
        <v>0</v>
      </c>
      <c r="H6251">
        <v>8</v>
      </c>
      <c r="I6251" s="3">
        <v>5170.54</v>
      </c>
      <c r="J6251" s="3">
        <v>6735.11</v>
      </c>
      <c r="L6251">
        <v>7128</v>
      </c>
      <c r="M6251" t="s">
        <v>12207</v>
      </c>
      <c r="N6251" t="s">
        <v>30</v>
      </c>
      <c r="O6251" t="s">
        <v>31</v>
      </c>
      <c r="P6251" t="str">
        <f>"15208"</f>
        <v>15208</v>
      </c>
    </row>
    <row r="6252" spans="1:16" x14ac:dyDescent="0.25">
      <c r="A6252" t="str">
        <f>"1130174A00015    00"</f>
        <v>1130174A00015    00</v>
      </c>
      <c r="B6252" t="s">
        <v>14337</v>
      </c>
      <c r="C6252" t="s">
        <v>14338</v>
      </c>
      <c r="D6252" t="s">
        <v>20</v>
      </c>
      <c r="E6252" t="s">
        <v>39</v>
      </c>
      <c r="F6252">
        <v>0</v>
      </c>
      <c r="G6252">
        <v>0</v>
      </c>
      <c r="H6252">
        <v>1</v>
      </c>
      <c r="I6252" s="3">
        <v>177.26</v>
      </c>
      <c r="J6252" s="3">
        <v>0</v>
      </c>
      <c r="L6252">
        <v>3546</v>
      </c>
      <c r="M6252" t="s">
        <v>14339</v>
      </c>
      <c r="N6252" t="s">
        <v>4717</v>
      </c>
      <c r="O6252" t="s">
        <v>4718</v>
      </c>
      <c r="P6252" t="str">
        <f>"55443"</f>
        <v>55443</v>
      </c>
    </row>
    <row r="6253" spans="1:16" x14ac:dyDescent="0.25">
      <c r="A6253" t="str">
        <f>"1130174A00020    00"</f>
        <v>1130174A00020    00</v>
      </c>
      <c r="B6253" t="s">
        <v>14340</v>
      </c>
      <c r="C6253" t="s">
        <v>12188</v>
      </c>
      <c r="E6253" t="s">
        <v>39</v>
      </c>
      <c r="F6253">
        <v>0</v>
      </c>
      <c r="G6253">
        <v>0</v>
      </c>
      <c r="H6253">
        <v>9</v>
      </c>
      <c r="I6253" s="3">
        <v>4733.8500000000004</v>
      </c>
      <c r="J6253" s="3">
        <v>6270.36</v>
      </c>
      <c r="L6253">
        <v>118</v>
      </c>
      <c r="M6253" t="s">
        <v>14341</v>
      </c>
      <c r="N6253" t="s">
        <v>30</v>
      </c>
      <c r="O6253" t="s">
        <v>31</v>
      </c>
      <c r="P6253" t="str">
        <f>"15235"</f>
        <v>15235</v>
      </c>
    </row>
    <row r="6254" spans="1:16" x14ac:dyDescent="0.25">
      <c r="A6254" t="str">
        <f>"1130174A00021    00"</f>
        <v>1130174A00021    00</v>
      </c>
      <c r="B6254" t="s">
        <v>14342</v>
      </c>
      <c r="C6254" t="s">
        <v>12188</v>
      </c>
      <c r="D6254" t="s">
        <v>20</v>
      </c>
      <c r="E6254" t="s">
        <v>39</v>
      </c>
      <c r="F6254">
        <v>0</v>
      </c>
      <c r="G6254">
        <v>0</v>
      </c>
      <c r="H6254">
        <v>13</v>
      </c>
      <c r="I6254" s="3">
        <v>2405.41</v>
      </c>
      <c r="J6254" s="3">
        <v>2905.21</v>
      </c>
      <c r="L6254">
        <v>6609</v>
      </c>
      <c r="M6254" t="s">
        <v>12069</v>
      </c>
      <c r="N6254" t="s">
        <v>30</v>
      </c>
      <c r="O6254" t="s">
        <v>31</v>
      </c>
      <c r="P6254" t="str">
        <f>"15206"</f>
        <v>15206</v>
      </c>
    </row>
    <row r="6255" spans="1:16" x14ac:dyDescent="0.25">
      <c r="A6255" t="str">
        <f>"1130174A00022    00"</f>
        <v>1130174A00022    00</v>
      </c>
      <c r="B6255" t="s">
        <v>14343</v>
      </c>
      <c r="C6255" t="s">
        <v>12188</v>
      </c>
      <c r="D6255" t="s">
        <v>20</v>
      </c>
      <c r="E6255" t="s">
        <v>39</v>
      </c>
      <c r="F6255">
        <v>0</v>
      </c>
      <c r="G6255">
        <v>0</v>
      </c>
      <c r="H6255">
        <v>17</v>
      </c>
      <c r="I6255" s="3">
        <v>5410.98</v>
      </c>
      <c r="J6255" s="3">
        <v>7871.76</v>
      </c>
      <c r="M6255" t="s">
        <v>14344</v>
      </c>
      <c r="N6255" t="s">
        <v>295</v>
      </c>
      <c r="O6255" t="s">
        <v>31</v>
      </c>
      <c r="P6255" t="str">
        <f>"15146"</f>
        <v>15146</v>
      </c>
    </row>
    <row r="6256" spans="1:16" x14ac:dyDescent="0.25">
      <c r="A6256" t="str">
        <f>"1130174A00030    00"</f>
        <v>1130174A00030    00</v>
      </c>
      <c r="B6256" t="s">
        <v>14345</v>
      </c>
      <c r="C6256" t="s">
        <v>14346</v>
      </c>
      <c r="D6256" t="s">
        <v>20</v>
      </c>
      <c r="E6256" t="s">
        <v>39</v>
      </c>
      <c r="F6256">
        <v>0</v>
      </c>
      <c r="G6256">
        <v>0</v>
      </c>
      <c r="H6256">
        <v>15</v>
      </c>
      <c r="I6256" s="3">
        <v>8624.8700000000008</v>
      </c>
      <c r="J6256" s="3">
        <v>6444.96</v>
      </c>
      <c r="L6256">
        <v>7320</v>
      </c>
      <c r="M6256" t="s">
        <v>13974</v>
      </c>
      <c r="N6256" t="s">
        <v>30</v>
      </c>
      <c r="O6256" t="s">
        <v>31</v>
      </c>
      <c r="P6256" t="str">
        <f>"15206"</f>
        <v>15206</v>
      </c>
    </row>
    <row r="6257" spans="1:16" x14ac:dyDescent="0.25">
      <c r="A6257" t="str">
        <f>"1130174A00032    00"</f>
        <v>1130174A00032    00</v>
      </c>
      <c r="B6257" t="s">
        <v>14287</v>
      </c>
      <c r="C6257" t="s">
        <v>14347</v>
      </c>
      <c r="D6257" t="s">
        <v>20</v>
      </c>
      <c r="E6257" t="s">
        <v>39</v>
      </c>
      <c r="F6257">
        <v>0</v>
      </c>
      <c r="G6257">
        <v>0</v>
      </c>
      <c r="H6257">
        <v>3</v>
      </c>
      <c r="I6257" s="3">
        <v>1073.75</v>
      </c>
      <c r="J6257" s="3">
        <v>83.42</v>
      </c>
      <c r="L6257">
        <v>1407</v>
      </c>
      <c r="M6257" t="s">
        <v>14348</v>
      </c>
      <c r="N6257" t="s">
        <v>30</v>
      </c>
      <c r="O6257" t="s">
        <v>31</v>
      </c>
      <c r="P6257" t="str">
        <f>"15208"</f>
        <v>15208</v>
      </c>
    </row>
    <row r="6258" spans="1:16" x14ac:dyDescent="0.25">
      <c r="A6258" t="str">
        <f>"1130174A00034    00"</f>
        <v>1130174A00034    00</v>
      </c>
      <c r="B6258" t="s">
        <v>14349</v>
      </c>
      <c r="C6258" t="s">
        <v>14350</v>
      </c>
      <c r="D6258" t="s">
        <v>20</v>
      </c>
      <c r="E6258" t="s">
        <v>39</v>
      </c>
      <c r="F6258">
        <v>0</v>
      </c>
      <c r="G6258">
        <v>0</v>
      </c>
      <c r="H6258">
        <v>19</v>
      </c>
      <c r="I6258" s="3">
        <v>10521.6</v>
      </c>
      <c r="J6258" s="3">
        <v>12411.01</v>
      </c>
      <c r="L6258">
        <v>7101</v>
      </c>
      <c r="M6258" t="s">
        <v>12201</v>
      </c>
      <c r="N6258" t="s">
        <v>30</v>
      </c>
      <c r="O6258" t="s">
        <v>31</v>
      </c>
      <c r="P6258" t="str">
        <f>"15208"</f>
        <v>15208</v>
      </c>
    </row>
    <row r="6259" spans="1:16" x14ac:dyDescent="0.25">
      <c r="A6259" t="str">
        <f>"1130174A00035    00"</f>
        <v>1130174A00035    00</v>
      </c>
      <c r="B6259" t="s">
        <v>14351</v>
      </c>
      <c r="C6259" t="s">
        <v>14352</v>
      </c>
      <c r="D6259" t="s">
        <v>20</v>
      </c>
      <c r="E6259" t="s">
        <v>39</v>
      </c>
      <c r="F6259">
        <v>0</v>
      </c>
      <c r="G6259">
        <v>0</v>
      </c>
      <c r="H6259">
        <v>14</v>
      </c>
      <c r="I6259" s="3">
        <v>4974.3100000000004</v>
      </c>
      <c r="J6259" s="3">
        <v>4349.78</v>
      </c>
      <c r="L6259">
        <v>709</v>
      </c>
      <c r="M6259" t="s">
        <v>14353</v>
      </c>
      <c r="N6259" t="s">
        <v>30</v>
      </c>
      <c r="O6259" t="s">
        <v>31</v>
      </c>
      <c r="P6259" t="str">
        <f>"15208"</f>
        <v>15208</v>
      </c>
    </row>
    <row r="6260" spans="1:16" x14ac:dyDescent="0.25">
      <c r="A6260" t="str">
        <f>"1130174A00038    00"</f>
        <v>1130174A00038    00</v>
      </c>
      <c r="B6260" t="s">
        <v>14354</v>
      </c>
      <c r="C6260" t="s">
        <v>14355</v>
      </c>
      <c r="D6260" t="s">
        <v>20</v>
      </c>
      <c r="E6260" t="s">
        <v>39</v>
      </c>
      <c r="F6260">
        <v>0</v>
      </c>
      <c r="G6260">
        <v>0</v>
      </c>
      <c r="H6260">
        <v>5</v>
      </c>
      <c r="I6260" s="3">
        <v>791.36</v>
      </c>
      <c r="J6260" s="3">
        <v>136.71</v>
      </c>
      <c r="L6260">
        <v>423</v>
      </c>
      <c r="M6260" t="s">
        <v>14356</v>
      </c>
      <c r="N6260" t="s">
        <v>8991</v>
      </c>
      <c r="O6260" t="s">
        <v>31</v>
      </c>
      <c r="P6260" t="str">
        <f>"15145"</f>
        <v>15145</v>
      </c>
    </row>
    <row r="6261" spans="1:16" x14ac:dyDescent="0.25">
      <c r="A6261" t="str">
        <f>"1130174A00043    00"</f>
        <v>1130174A00043    00</v>
      </c>
      <c r="B6261" t="s">
        <v>14357</v>
      </c>
      <c r="C6261" t="s">
        <v>14358</v>
      </c>
      <c r="D6261" t="s">
        <v>20</v>
      </c>
      <c r="E6261" t="s">
        <v>39</v>
      </c>
      <c r="F6261">
        <v>0</v>
      </c>
      <c r="G6261">
        <v>0</v>
      </c>
      <c r="H6261">
        <v>9</v>
      </c>
      <c r="I6261" s="3">
        <v>1029.99</v>
      </c>
      <c r="J6261" s="3">
        <v>433.42</v>
      </c>
      <c r="L6261">
        <v>7119</v>
      </c>
      <c r="M6261" t="s">
        <v>12201</v>
      </c>
      <c r="N6261" t="s">
        <v>30</v>
      </c>
      <c r="O6261" t="s">
        <v>31</v>
      </c>
      <c r="P6261" t="str">
        <f>"15208"</f>
        <v>15208</v>
      </c>
    </row>
    <row r="6262" spans="1:16" x14ac:dyDescent="0.25">
      <c r="A6262" t="str">
        <f>"1130174A00044    00"</f>
        <v>1130174A00044    00</v>
      </c>
      <c r="B6262" t="s">
        <v>14359</v>
      </c>
      <c r="C6262" t="s">
        <v>14360</v>
      </c>
      <c r="D6262" t="s">
        <v>20</v>
      </c>
      <c r="E6262" t="s">
        <v>39</v>
      </c>
      <c r="F6262">
        <v>0</v>
      </c>
      <c r="G6262">
        <v>0</v>
      </c>
      <c r="H6262">
        <v>18</v>
      </c>
      <c r="I6262" s="3">
        <v>7584.18</v>
      </c>
      <c r="J6262" s="3">
        <v>7543.51</v>
      </c>
      <c r="K6262" t="s">
        <v>14361</v>
      </c>
      <c r="L6262">
        <v>7128</v>
      </c>
      <c r="M6262" t="s">
        <v>12207</v>
      </c>
      <c r="N6262" t="s">
        <v>30</v>
      </c>
      <c r="O6262" t="s">
        <v>31</v>
      </c>
      <c r="P6262" t="str">
        <f>"15208"</f>
        <v>15208</v>
      </c>
    </row>
    <row r="6263" spans="1:16" x14ac:dyDescent="0.25">
      <c r="A6263" t="str">
        <f>"1130174A00048    00"</f>
        <v>1130174A00048    00</v>
      </c>
      <c r="B6263" t="s">
        <v>14362</v>
      </c>
      <c r="C6263" t="s">
        <v>14363</v>
      </c>
      <c r="D6263" t="s">
        <v>20</v>
      </c>
      <c r="E6263" t="s">
        <v>39</v>
      </c>
      <c r="F6263">
        <v>0</v>
      </c>
      <c r="G6263">
        <v>0</v>
      </c>
      <c r="H6263">
        <v>19</v>
      </c>
      <c r="I6263" s="3">
        <v>14725.74</v>
      </c>
      <c r="J6263" s="3">
        <v>12272.07</v>
      </c>
      <c r="L6263">
        <v>1304</v>
      </c>
      <c r="M6263" t="s">
        <v>14364</v>
      </c>
      <c r="N6263" t="s">
        <v>636</v>
      </c>
      <c r="O6263" t="s">
        <v>31</v>
      </c>
      <c r="P6263" t="str">
        <f>"15104"</f>
        <v>15104</v>
      </c>
    </row>
    <row r="6264" spans="1:16" x14ac:dyDescent="0.25">
      <c r="A6264" t="str">
        <f>"1130174A00052    00"</f>
        <v>1130174A00052    00</v>
      </c>
      <c r="B6264" t="s">
        <v>14365</v>
      </c>
      <c r="C6264" t="s">
        <v>14366</v>
      </c>
      <c r="D6264" t="s">
        <v>20</v>
      </c>
      <c r="E6264" t="s">
        <v>39</v>
      </c>
      <c r="F6264">
        <v>0</v>
      </c>
      <c r="G6264">
        <v>0</v>
      </c>
      <c r="H6264">
        <v>1</v>
      </c>
      <c r="I6264" s="3">
        <v>133.91999999999999</v>
      </c>
      <c r="J6264" s="3">
        <v>0</v>
      </c>
      <c r="L6264">
        <v>7137</v>
      </c>
      <c r="M6264" t="s">
        <v>12201</v>
      </c>
      <c r="N6264" t="s">
        <v>30</v>
      </c>
      <c r="O6264" t="s">
        <v>31</v>
      </c>
      <c r="P6264" t="str">
        <f>"15208"</f>
        <v>15208</v>
      </c>
    </row>
    <row r="6265" spans="1:16" x14ac:dyDescent="0.25">
      <c r="A6265" t="str">
        <f>"1130174A00057    00"</f>
        <v>1130174A00057    00</v>
      </c>
      <c r="B6265" t="s">
        <v>14367</v>
      </c>
      <c r="C6265" t="s">
        <v>14368</v>
      </c>
      <c r="E6265" t="s">
        <v>39</v>
      </c>
      <c r="F6265">
        <v>0</v>
      </c>
      <c r="G6265">
        <v>0</v>
      </c>
      <c r="H6265">
        <v>2</v>
      </c>
      <c r="I6265" s="3">
        <v>618.49</v>
      </c>
      <c r="J6265" s="3">
        <v>346.78</v>
      </c>
      <c r="L6265">
        <v>7147</v>
      </c>
      <c r="M6265" t="s">
        <v>12201</v>
      </c>
      <c r="N6265" t="s">
        <v>30</v>
      </c>
      <c r="O6265" t="s">
        <v>31</v>
      </c>
      <c r="P6265" t="str">
        <f>"15208"</f>
        <v>15208</v>
      </c>
    </row>
    <row r="6266" spans="1:16" x14ac:dyDescent="0.25">
      <c r="A6266" t="str">
        <f>"1130174A00059    00"</f>
        <v>1130174A00059    00</v>
      </c>
      <c r="B6266" t="s">
        <v>14369</v>
      </c>
      <c r="C6266" t="s">
        <v>14370</v>
      </c>
      <c r="D6266" t="s">
        <v>20</v>
      </c>
      <c r="E6266" t="s">
        <v>39</v>
      </c>
      <c r="F6266">
        <v>0</v>
      </c>
      <c r="G6266">
        <v>0</v>
      </c>
      <c r="H6266">
        <v>3</v>
      </c>
      <c r="I6266" s="3">
        <v>857.76</v>
      </c>
      <c r="J6266" s="3">
        <v>57.18</v>
      </c>
      <c r="L6266">
        <v>2651</v>
      </c>
      <c r="M6266" t="s">
        <v>14371</v>
      </c>
      <c r="N6266" t="s">
        <v>30</v>
      </c>
      <c r="O6266" t="s">
        <v>31</v>
      </c>
      <c r="P6266" t="str">
        <f>"15212"</f>
        <v>15212</v>
      </c>
    </row>
    <row r="6267" spans="1:16" x14ac:dyDescent="0.25">
      <c r="A6267" t="str">
        <f>"1130174A00062    00"</f>
        <v>1130174A00062    00</v>
      </c>
      <c r="B6267" t="s">
        <v>14372</v>
      </c>
      <c r="C6267" t="s">
        <v>14373</v>
      </c>
      <c r="D6267" t="s">
        <v>20</v>
      </c>
      <c r="E6267" t="s">
        <v>39</v>
      </c>
      <c r="F6267">
        <v>0</v>
      </c>
      <c r="G6267">
        <v>0</v>
      </c>
      <c r="H6267">
        <v>8</v>
      </c>
      <c r="I6267" s="3">
        <v>1399.63</v>
      </c>
      <c r="J6267" s="3">
        <v>2292.7600000000002</v>
      </c>
      <c r="L6267">
        <v>7142</v>
      </c>
      <c r="M6267" t="s">
        <v>12201</v>
      </c>
      <c r="N6267" t="s">
        <v>30</v>
      </c>
      <c r="O6267" t="s">
        <v>31</v>
      </c>
      <c r="P6267" t="str">
        <f>"15208"</f>
        <v>15208</v>
      </c>
    </row>
    <row r="6268" spans="1:16" x14ac:dyDescent="0.25">
      <c r="A6268" t="str">
        <f>"1130174A00063    00"</f>
        <v>1130174A00063    00</v>
      </c>
      <c r="B6268" t="s">
        <v>14374</v>
      </c>
      <c r="C6268" t="s">
        <v>14375</v>
      </c>
      <c r="D6268" t="s">
        <v>20</v>
      </c>
      <c r="E6268" t="s">
        <v>39</v>
      </c>
      <c r="F6268">
        <v>0</v>
      </c>
      <c r="G6268">
        <v>0</v>
      </c>
      <c r="H6268">
        <v>7</v>
      </c>
      <c r="I6268" s="3">
        <v>4118.3</v>
      </c>
      <c r="J6268" s="3">
        <v>1063.97</v>
      </c>
      <c r="L6268">
        <v>7140</v>
      </c>
      <c r="M6268" t="s">
        <v>12201</v>
      </c>
      <c r="N6268" t="s">
        <v>30</v>
      </c>
      <c r="O6268" t="s">
        <v>31</v>
      </c>
      <c r="P6268" t="str">
        <f>"15208"</f>
        <v>15208</v>
      </c>
    </row>
    <row r="6269" spans="1:16" x14ac:dyDescent="0.25">
      <c r="A6269" t="str">
        <f>"1130174A00064    00"</f>
        <v>1130174A00064    00</v>
      </c>
      <c r="B6269" t="s">
        <v>14376</v>
      </c>
      <c r="C6269" t="s">
        <v>14377</v>
      </c>
      <c r="D6269" t="s">
        <v>20</v>
      </c>
      <c r="E6269" t="s">
        <v>39</v>
      </c>
      <c r="F6269">
        <v>0</v>
      </c>
      <c r="G6269">
        <v>0</v>
      </c>
      <c r="H6269">
        <v>18</v>
      </c>
      <c r="I6269" s="3">
        <v>8192.67</v>
      </c>
      <c r="J6269" s="3">
        <v>9200.69</v>
      </c>
      <c r="K6269" t="s">
        <v>14378</v>
      </c>
      <c r="M6269" t="s">
        <v>14379</v>
      </c>
      <c r="N6269" t="s">
        <v>30</v>
      </c>
      <c r="O6269" t="s">
        <v>31</v>
      </c>
      <c r="P6269" t="str">
        <f>"15230"</f>
        <v>15230</v>
      </c>
    </row>
    <row r="6270" spans="1:16" x14ac:dyDescent="0.25">
      <c r="A6270" t="str">
        <f>"1130174A00065    00"</f>
        <v>1130174A00065    00</v>
      </c>
      <c r="B6270" t="s">
        <v>14380</v>
      </c>
      <c r="C6270" t="s">
        <v>14381</v>
      </c>
      <c r="D6270" t="s">
        <v>20</v>
      </c>
      <c r="E6270" t="s">
        <v>39</v>
      </c>
      <c r="F6270">
        <v>0</v>
      </c>
      <c r="G6270">
        <v>0</v>
      </c>
      <c r="H6270">
        <v>17</v>
      </c>
      <c r="I6270" s="3">
        <v>5394.57</v>
      </c>
      <c r="J6270" s="3">
        <v>5335.5</v>
      </c>
      <c r="L6270">
        <v>136</v>
      </c>
      <c r="M6270" t="s">
        <v>12201</v>
      </c>
      <c r="N6270" t="s">
        <v>30</v>
      </c>
      <c r="O6270" t="s">
        <v>31</v>
      </c>
      <c r="P6270" t="str">
        <f>"15208"</f>
        <v>15208</v>
      </c>
    </row>
    <row r="6271" spans="1:16" x14ac:dyDescent="0.25">
      <c r="A6271" t="str">
        <f>"1130174A00066    00"</f>
        <v>1130174A00066    00</v>
      </c>
      <c r="B6271" t="s">
        <v>14382</v>
      </c>
      <c r="C6271" t="s">
        <v>14383</v>
      </c>
      <c r="D6271" t="s">
        <v>20</v>
      </c>
      <c r="E6271" t="s">
        <v>39</v>
      </c>
      <c r="F6271">
        <v>0</v>
      </c>
      <c r="G6271">
        <v>0</v>
      </c>
      <c r="H6271">
        <v>4</v>
      </c>
      <c r="I6271" s="3">
        <v>2342.0500000000002</v>
      </c>
      <c r="J6271" s="3">
        <v>333.75</v>
      </c>
      <c r="L6271">
        <v>6389</v>
      </c>
      <c r="M6271" t="s">
        <v>3249</v>
      </c>
      <c r="N6271" t="s">
        <v>30</v>
      </c>
      <c r="O6271" t="s">
        <v>31</v>
      </c>
      <c r="P6271" t="str">
        <f>"15206"</f>
        <v>15206</v>
      </c>
    </row>
    <row r="6272" spans="1:16" x14ac:dyDescent="0.25">
      <c r="A6272" t="str">
        <f>"1130174A00069    00"</f>
        <v>1130174A00069    00</v>
      </c>
      <c r="B6272" t="s">
        <v>14384</v>
      </c>
      <c r="C6272" t="s">
        <v>14385</v>
      </c>
      <c r="E6272" t="s">
        <v>39</v>
      </c>
      <c r="F6272">
        <v>0</v>
      </c>
      <c r="G6272">
        <v>0</v>
      </c>
      <c r="H6272">
        <v>1</v>
      </c>
      <c r="I6272" s="3">
        <v>84.26</v>
      </c>
      <c r="J6272" s="3">
        <v>58.27</v>
      </c>
      <c r="M6272" t="s">
        <v>14386</v>
      </c>
      <c r="N6272" t="s">
        <v>30</v>
      </c>
      <c r="O6272" t="s">
        <v>31</v>
      </c>
      <c r="P6272" t="str">
        <f>"15235"</f>
        <v>15235</v>
      </c>
    </row>
    <row r="6273" spans="1:16" x14ac:dyDescent="0.25">
      <c r="A6273" t="str">
        <f>"1130174A00071    00"</f>
        <v>1130174A00071    00</v>
      </c>
      <c r="B6273" t="s">
        <v>14387</v>
      </c>
      <c r="C6273" t="s">
        <v>14388</v>
      </c>
      <c r="D6273" t="s">
        <v>20</v>
      </c>
      <c r="E6273" t="s">
        <v>39</v>
      </c>
      <c r="F6273">
        <v>0</v>
      </c>
      <c r="G6273">
        <v>0</v>
      </c>
      <c r="H6273">
        <v>8</v>
      </c>
      <c r="I6273" s="3">
        <v>5091.18</v>
      </c>
      <c r="J6273" s="3">
        <v>1401.58</v>
      </c>
      <c r="L6273">
        <v>7124</v>
      </c>
      <c r="M6273" t="s">
        <v>14389</v>
      </c>
      <c r="N6273" t="s">
        <v>30</v>
      </c>
      <c r="O6273" t="s">
        <v>31</v>
      </c>
      <c r="P6273" t="str">
        <f t="shared" ref="P6273:P6278" si="79">"15208"</f>
        <v>15208</v>
      </c>
    </row>
    <row r="6274" spans="1:16" x14ac:dyDescent="0.25">
      <c r="A6274" t="str">
        <f>"1130174A00075    00"</f>
        <v>1130174A00075    00</v>
      </c>
      <c r="B6274" t="s">
        <v>14390</v>
      </c>
      <c r="C6274" t="s">
        <v>14391</v>
      </c>
      <c r="D6274" t="s">
        <v>20</v>
      </c>
      <c r="E6274" t="s">
        <v>39</v>
      </c>
      <c r="F6274">
        <v>0</v>
      </c>
      <c r="G6274">
        <v>0</v>
      </c>
      <c r="H6274">
        <v>15</v>
      </c>
      <c r="I6274" s="3">
        <v>8243.8700000000008</v>
      </c>
      <c r="J6274" s="3">
        <v>6892.73</v>
      </c>
      <c r="L6274">
        <v>7116</v>
      </c>
      <c r="M6274" t="s">
        <v>12201</v>
      </c>
      <c r="N6274" t="s">
        <v>30</v>
      </c>
      <c r="O6274" t="s">
        <v>31</v>
      </c>
      <c r="P6274" t="str">
        <f t="shared" si="79"/>
        <v>15208</v>
      </c>
    </row>
    <row r="6275" spans="1:16" x14ac:dyDescent="0.25">
      <c r="A6275" t="str">
        <f>"1130174A00077    00"</f>
        <v>1130174A00077    00</v>
      </c>
      <c r="B6275" t="s">
        <v>14392</v>
      </c>
      <c r="C6275" t="s">
        <v>14393</v>
      </c>
      <c r="D6275" t="s">
        <v>20</v>
      </c>
      <c r="E6275" t="s">
        <v>39</v>
      </c>
      <c r="F6275">
        <v>0</v>
      </c>
      <c r="G6275">
        <v>0</v>
      </c>
      <c r="H6275">
        <v>3</v>
      </c>
      <c r="I6275" s="3">
        <v>2120.8000000000002</v>
      </c>
      <c r="J6275" s="3">
        <v>116.49</v>
      </c>
      <c r="L6275">
        <v>7112</v>
      </c>
      <c r="M6275" t="s">
        <v>12201</v>
      </c>
      <c r="N6275" t="s">
        <v>30</v>
      </c>
      <c r="O6275" t="s">
        <v>31</v>
      </c>
      <c r="P6275" t="str">
        <f t="shared" si="79"/>
        <v>15208</v>
      </c>
    </row>
    <row r="6276" spans="1:16" x14ac:dyDescent="0.25">
      <c r="A6276" t="str">
        <f>"1130174A00079    00"</f>
        <v>1130174A00079    00</v>
      </c>
      <c r="B6276" t="s">
        <v>11325</v>
      </c>
      <c r="C6276" t="s">
        <v>14394</v>
      </c>
      <c r="D6276" t="s">
        <v>20</v>
      </c>
      <c r="E6276" t="s">
        <v>39</v>
      </c>
      <c r="F6276">
        <v>0</v>
      </c>
      <c r="G6276">
        <v>0</v>
      </c>
      <c r="H6276">
        <v>1</v>
      </c>
      <c r="I6276" s="3">
        <v>1042.5899999999999</v>
      </c>
      <c r="J6276" s="3">
        <v>0</v>
      </c>
      <c r="L6276">
        <v>7108</v>
      </c>
      <c r="M6276" t="s">
        <v>12201</v>
      </c>
      <c r="N6276" t="s">
        <v>30</v>
      </c>
      <c r="O6276" t="s">
        <v>31</v>
      </c>
      <c r="P6276" t="str">
        <f t="shared" si="79"/>
        <v>15208</v>
      </c>
    </row>
    <row r="6277" spans="1:16" x14ac:dyDescent="0.25">
      <c r="A6277" t="str">
        <f>"1130174A00088    00"</f>
        <v>1130174A00088    00</v>
      </c>
      <c r="B6277" t="s">
        <v>14395</v>
      </c>
      <c r="C6277" t="s">
        <v>14396</v>
      </c>
      <c r="E6277" t="s">
        <v>39</v>
      </c>
      <c r="F6277">
        <v>0</v>
      </c>
      <c r="G6277">
        <v>0</v>
      </c>
      <c r="H6277">
        <v>13</v>
      </c>
      <c r="I6277" s="3">
        <v>5720.99</v>
      </c>
      <c r="J6277" s="3">
        <v>8111.7</v>
      </c>
      <c r="L6277">
        <v>1323</v>
      </c>
      <c r="M6277" t="s">
        <v>13906</v>
      </c>
      <c r="N6277" t="s">
        <v>30</v>
      </c>
      <c r="O6277" t="s">
        <v>31</v>
      </c>
      <c r="P6277" t="str">
        <f t="shared" si="79"/>
        <v>15208</v>
      </c>
    </row>
    <row r="6278" spans="1:16" x14ac:dyDescent="0.25">
      <c r="A6278" t="str">
        <f>"1130174A00092    00"</f>
        <v>1130174A00092    00</v>
      </c>
      <c r="B6278" t="s">
        <v>14397</v>
      </c>
      <c r="C6278" t="s">
        <v>14398</v>
      </c>
      <c r="D6278" t="s">
        <v>20</v>
      </c>
      <c r="E6278" t="s">
        <v>39</v>
      </c>
      <c r="F6278">
        <v>0</v>
      </c>
      <c r="G6278">
        <v>0</v>
      </c>
      <c r="H6278">
        <v>16</v>
      </c>
      <c r="I6278" s="3">
        <v>11077.57</v>
      </c>
      <c r="J6278" s="3">
        <v>8165.2</v>
      </c>
      <c r="K6278" t="s">
        <v>14399</v>
      </c>
      <c r="L6278">
        <v>7037</v>
      </c>
      <c r="M6278" t="s">
        <v>12192</v>
      </c>
      <c r="N6278" t="s">
        <v>30</v>
      </c>
      <c r="O6278" t="s">
        <v>31</v>
      </c>
      <c r="P6278" t="str">
        <f t="shared" si="79"/>
        <v>15208</v>
      </c>
    </row>
    <row r="6279" spans="1:16" x14ac:dyDescent="0.25">
      <c r="A6279" t="str">
        <f>"1130174A00094    00"</f>
        <v>1130174A00094    00</v>
      </c>
      <c r="B6279" t="s">
        <v>14400</v>
      </c>
      <c r="C6279" t="s">
        <v>14401</v>
      </c>
      <c r="D6279" t="s">
        <v>20</v>
      </c>
      <c r="E6279" t="s">
        <v>39</v>
      </c>
      <c r="F6279">
        <v>0</v>
      </c>
      <c r="G6279">
        <v>0</v>
      </c>
      <c r="H6279">
        <v>1</v>
      </c>
      <c r="I6279" s="3">
        <v>379.94</v>
      </c>
      <c r="J6279" s="3">
        <v>0</v>
      </c>
      <c r="M6279" t="s">
        <v>14402</v>
      </c>
      <c r="N6279" t="s">
        <v>30</v>
      </c>
      <c r="O6279" t="s">
        <v>31</v>
      </c>
      <c r="P6279" t="str">
        <f>"15221"</f>
        <v>15221</v>
      </c>
    </row>
    <row r="6280" spans="1:16" x14ac:dyDescent="0.25">
      <c r="A6280" t="str">
        <f>"1130174A00099    00"</f>
        <v>1130174A00099    00</v>
      </c>
      <c r="B6280" t="s">
        <v>14403</v>
      </c>
      <c r="C6280" t="s">
        <v>14404</v>
      </c>
      <c r="D6280" t="s">
        <v>20</v>
      </c>
      <c r="E6280" t="s">
        <v>39</v>
      </c>
      <c r="F6280">
        <v>0</v>
      </c>
      <c r="G6280">
        <v>0</v>
      </c>
      <c r="H6280">
        <v>8</v>
      </c>
      <c r="I6280" s="3">
        <v>4310.9799999999996</v>
      </c>
      <c r="J6280" s="3">
        <v>1410.63</v>
      </c>
      <c r="M6280" t="s">
        <v>14405</v>
      </c>
      <c r="N6280" t="s">
        <v>14406</v>
      </c>
      <c r="O6280" t="s">
        <v>606</v>
      </c>
      <c r="P6280" t="str">
        <f>"30039"</f>
        <v>30039</v>
      </c>
    </row>
    <row r="6281" spans="1:16" x14ac:dyDescent="0.25">
      <c r="A6281" t="str">
        <f>"1130174A00100    00"</f>
        <v>1130174A00100    00</v>
      </c>
      <c r="B6281" t="s">
        <v>14407</v>
      </c>
      <c r="C6281" t="s">
        <v>14408</v>
      </c>
      <c r="D6281" t="s">
        <v>20</v>
      </c>
      <c r="E6281" t="s">
        <v>39</v>
      </c>
      <c r="F6281">
        <v>0</v>
      </c>
      <c r="G6281">
        <v>0</v>
      </c>
      <c r="H6281">
        <v>16</v>
      </c>
      <c r="I6281" s="3">
        <v>2334.67</v>
      </c>
      <c r="J6281" s="3">
        <v>2000.34</v>
      </c>
      <c r="L6281">
        <v>7024</v>
      </c>
      <c r="M6281" t="s">
        <v>12201</v>
      </c>
      <c r="N6281" t="s">
        <v>30</v>
      </c>
      <c r="O6281" t="s">
        <v>31</v>
      </c>
      <c r="P6281" t="str">
        <f>"15208"</f>
        <v>15208</v>
      </c>
    </row>
    <row r="6282" spans="1:16" x14ac:dyDescent="0.25">
      <c r="A6282" t="str">
        <f>"1130174A00115    00"</f>
        <v>1130174A00115    00</v>
      </c>
      <c r="B6282" t="s">
        <v>14409</v>
      </c>
      <c r="C6282" t="s">
        <v>14410</v>
      </c>
      <c r="D6282" t="s">
        <v>20</v>
      </c>
      <c r="E6282" t="s">
        <v>39</v>
      </c>
      <c r="F6282">
        <v>0</v>
      </c>
      <c r="G6282">
        <v>0</v>
      </c>
      <c r="H6282">
        <v>1</v>
      </c>
      <c r="I6282" s="3">
        <v>12.33</v>
      </c>
      <c r="J6282" s="3">
        <v>0</v>
      </c>
      <c r="L6282">
        <v>7009</v>
      </c>
      <c r="M6282" t="s">
        <v>3980</v>
      </c>
      <c r="N6282" t="s">
        <v>30</v>
      </c>
      <c r="O6282" t="s">
        <v>31</v>
      </c>
      <c r="P6282" t="str">
        <f>"15208"</f>
        <v>15208</v>
      </c>
    </row>
    <row r="6283" spans="1:16" x14ac:dyDescent="0.25">
      <c r="A6283" t="str">
        <f>"1130174A00117    00"</f>
        <v>1130174A00117    00</v>
      </c>
      <c r="B6283" t="s">
        <v>14411</v>
      </c>
      <c r="C6283" t="s">
        <v>14412</v>
      </c>
      <c r="D6283" t="s">
        <v>20</v>
      </c>
      <c r="E6283" t="s">
        <v>39</v>
      </c>
      <c r="F6283">
        <v>0</v>
      </c>
      <c r="G6283">
        <v>0</v>
      </c>
      <c r="H6283">
        <v>19</v>
      </c>
      <c r="I6283" s="3">
        <v>13447.31</v>
      </c>
      <c r="J6283" s="3">
        <v>13132.41</v>
      </c>
      <c r="L6283">
        <v>7015</v>
      </c>
      <c r="M6283" t="s">
        <v>3980</v>
      </c>
      <c r="N6283" t="s">
        <v>30</v>
      </c>
      <c r="O6283" t="s">
        <v>31</v>
      </c>
      <c r="P6283" t="str">
        <f>"15208"</f>
        <v>15208</v>
      </c>
    </row>
    <row r="6284" spans="1:16" x14ac:dyDescent="0.25">
      <c r="A6284" t="str">
        <f>"1130174A00122    00"</f>
        <v>1130174A00122    00</v>
      </c>
      <c r="B6284" t="s">
        <v>14413</v>
      </c>
      <c r="C6284" t="s">
        <v>14414</v>
      </c>
      <c r="D6284" t="s">
        <v>20</v>
      </c>
      <c r="E6284" t="s">
        <v>39</v>
      </c>
      <c r="F6284">
        <v>0</v>
      </c>
      <c r="G6284">
        <v>0</v>
      </c>
      <c r="H6284">
        <v>16</v>
      </c>
      <c r="I6284" s="3">
        <v>3378.45</v>
      </c>
      <c r="J6284" s="3">
        <v>4133.09</v>
      </c>
      <c r="L6284">
        <v>709</v>
      </c>
      <c r="M6284" t="s">
        <v>13906</v>
      </c>
      <c r="N6284" t="s">
        <v>30</v>
      </c>
      <c r="O6284" t="s">
        <v>31</v>
      </c>
      <c r="P6284" t="str">
        <f>"15208"</f>
        <v>15208</v>
      </c>
    </row>
    <row r="6285" spans="1:16" x14ac:dyDescent="0.25">
      <c r="A6285" t="str">
        <f>"1130174A00126    00"</f>
        <v>1130174A00126    00</v>
      </c>
      <c r="B6285" t="s">
        <v>14415</v>
      </c>
      <c r="C6285" t="s">
        <v>14416</v>
      </c>
      <c r="D6285" t="s">
        <v>20</v>
      </c>
      <c r="E6285" t="s">
        <v>39</v>
      </c>
      <c r="F6285">
        <v>0</v>
      </c>
      <c r="G6285">
        <v>0</v>
      </c>
      <c r="H6285">
        <v>7</v>
      </c>
      <c r="I6285" s="3">
        <v>160.11000000000001</v>
      </c>
      <c r="J6285" s="3">
        <v>48.4</v>
      </c>
      <c r="L6285">
        <v>7035</v>
      </c>
      <c r="M6285" t="s">
        <v>3980</v>
      </c>
      <c r="N6285" t="s">
        <v>30</v>
      </c>
      <c r="O6285" t="s">
        <v>31</v>
      </c>
      <c r="P6285" t="str">
        <f>"15208"</f>
        <v>15208</v>
      </c>
    </row>
    <row r="6286" spans="1:16" x14ac:dyDescent="0.25">
      <c r="A6286" t="str">
        <f>"1130174A00139    00"</f>
        <v>1130174A00139    00</v>
      </c>
      <c r="B6286" t="s">
        <v>11947</v>
      </c>
      <c r="C6286" t="s">
        <v>14417</v>
      </c>
      <c r="D6286" t="s">
        <v>20</v>
      </c>
      <c r="E6286" t="s">
        <v>39</v>
      </c>
      <c r="F6286">
        <v>0</v>
      </c>
      <c r="G6286">
        <v>0</v>
      </c>
      <c r="H6286">
        <v>4</v>
      </c>
      <c r="I6286" s="3">
        <v>2459.4</v>
      </c>
      <c r="J6286" s="3">
        <v>302.85000000000002</v>
      </c>
      <c r="L6286">
        <v>109</v>
      </c>
      <c r="M6286" t="s">
        <v>11949</v>
      </c>
      <c r="N6286" t="s">
        <v>1046</v>
      </c>
      <c r="O6286" t="s">
        <v>31</v>
      </c>
      <c r="P6286" t="str">
        <f>"15147"</f>
        <v>15147</v>
      </c>
    </row>
    <row r="6287" spans="1:16" x14ac:dyDescent="0.25">
      <c r="A6287" t="str">
        <f>"1130174A00141    00"</f>
        <v>1130174A00141    00</v>
      </c>
      <c r="B6287" t="s">
        <v>14418</v>
      </c>
      <c r="C6287" t="s">
        <v>14419</v>
      </c>
      <c r="D6287" t="s">
        <v>20</v>
      </c>
      <c r="E6287" t="s">
        <v>39</v>
      </c>
      <c r="F6287">
        <v>0</v>
      </c>
      <c r="G6287">
        <v>0</v>
      </c>
      <c r="H6287">
        <v>1</v>
      </c>
      <c r="I6287" s="3">
        <v>162.11000000000001</v>
      </c>
      <c r="J6287" s="3">
        <v>0</v>
      </c>
      <c r="K6287" t="s">
        <v>14420</v>
      </c>
      <c r="L6287">
        <v>7109</v>
      </c>
      <c r="M6287" t="s">
        <v>3980</v>
      </c>
      <c r="N6287" t="s">
        <v>30</v>
      </c>
      <c r="O6287" t="s">
        <v>31</v>
      </c>
      <c r="P6287" t="str">
        <f>"15208"</f>
        <v>15208</v>
      </c>
    </row>
    <row r="6288" spans="1:16" x14ac:dyDescent="0.25">
      <c r="A6288" t="str">
        <f>"1130174A00143    00"</f>
        <v>1130174A00143    00</v>
      </c>
      <c r="B6288" t="s">
        <v>14421</v>
      </c>
      <c r="C6288" t="s">
        <v>12397</v>
      </c>
      <c r="D6288" t="s">
        <v>20</v>
      </c>
      <c r="E6288" t="s">
        <v>39</v>
      </c>
      <c r="F6288">
        <v>0</v>
      </c>
      <c r="G6288">
        <v>0</v>
      </c>
      <c r="H6288">
        <v>17</v>
      </c>
      <c r="I6288" s="3">
        <v>1267.1400000000001</v>
      </c>
      <c r="J6288" s="3">
        <v>1197.01</v>
      </c>
      <c r="L6288">
        <v>10009</v>
      </c>
      <c r="M6288" t="s">
        <v>14422</v>
      </c>
      <c r="N6288" t="s">
        <v>4044</v>
      </c>
      <c r="O6288" t="s">
        <v>692</v>
      </c>
      <c r="P6288" t="str">
        <f>"20109"</f>
        <v>20109</v>
      </c>
    </row>
    <row r="6289" spans="1:16" x14ac:dyDescent="0.25">
      <c r="A6289" t="str">
        <f>"1130174A00145    00"</f>
        <v>1130174A00145    00</v>
      </c>
      <c r="B6289" t="s">
        <v>14423</v>
      </c>
      <c r="C6289" t="s">
        <v>14424</v>
      </c>
      <c r="D6289" t="s">
        <v>20</v>
      </c>
      <c r="E6289" t="s">
        <v>39</v>
      </c>
      <c r="F6289">
        <v>0</v>
      </c>
      <c r="G6289">
        <v>0</v>
      </c>
      <c r="H6289">
        <v>2</v>
      </c>
      <c r="I6289" s="3">
        <v>471.89</v>
      </c>
      <c r="J6289" s="3">
        <v>0</v>
      </c>
      <c r="L6289">
        <v>7117</v>
      </c>
      <c r="M6289" t="s">
        <v>3980</v>
      </c>
      <c r="N6289" t="s">
        <v>30</v>
      </c>
      <c r="O6289" t="s">
        <v>31</v>
      </c>
      <c r="P6289" t="str">
        <f>"15208"</f>
        <v>15208</v>
      </c>
    </row>
    <row r="6290" spans="1:16" x14ac:dyDescent="0.25">
      <c r="A6290" t="str">
        <f>"1130174A00146    00"</f>
        <v>1130174A00146    00</v>
      </c>
      <c r="B6290" t="s">
        <v>14425</v>
      </c>
      <c r="C6290" t="s">
        <v>12397</v>
      </c>
      <c r="D6290" t="s">
        <v>20</v>
      </c>
      <c r="E6290" t="s">
        <v>39</v>
      </c>
      <c r="F6290">
        <v>0</v>
      </c>
      <c r="G6290">
        <v>0</v>
      </c>
      <c r="H6290">
        <v>4</v>
      </c>
      <c r="I6290" s="3">
        <v>216.48</v>
      </c>
      <c r="J6290" s="3">
        <v>37.07</v>
      </c>
      <c r="K6290" t="s">
        <v>14426</v>
      </c>
      <c r="L6290">
        <v>7117</v>
      </c>
      <c r="M6290" t="s">
        <v>3980</v>
      </c>
      <c r="N6290" t="s">
        <v>30</v>
      </c>
      <c r="O6290" t="s">
        <v>31</v>
      </c>
      <c r="P6290" t="str">
        <f>"15208"</f>
        <v>15208</v>
      </c>
    </row>
    <row r="6291" spans="1:16" x14ac:dyDescent="0.25">
      <c r="A6291" t="str">
        <f>"1130174A00149    00"</f>
        <v>1130174A00149    00</v>
      </c>
      <c r="B6291" t="s">
        <v>14427</v>
      </c>
      <c r="C6291" t="s">
        <v>12397</v>
      </c>
      <c r="D6291" t="s">
        <v>20</v>
      </c>
      <c r="E6291" t="s">
        <v>39</v>
      </c>
      <c r="F6291">
        <v>0</v>
      </c>
      <c r="G6291">
        <v>0</v>
      </c>
      <c r="H6291">
        <v>17</v>
      </c>
      <c r="I6291" s="3">
        <v>10005.94</v>
      </c>
      <c r="J6291" s="3">
        <v>14925.03</v>
      </c>
      <c r="L6291">
        <v>1528</v>
      </c>
      <c r="M6291" t="s">
        <v>13373</v>
      </c>
      <c r="N6291" t="s">
        <v>30</v>
      </c>
      <c r="O6291" t="s">
        <v>31</v>
      </c>
      <c r="P6291" t="str">
        <f>"15221"</f>
        <v>15221</v>
      </c>
    </row>
    <row r="6292" spans="1:16" x14ac:dyDescent="0.25">
      <c r="A6292" t="str">
        <f>"1130174A00150    00"</f>
        <v>1130174A00150    00</v>
      </c>
      <c r="B6292" t="s">
        <v>13224</v>
      </c>
      <c r="C6292" t="s">
        <v>12397</v>
      </c>
      <c r="D6292" t="s">
        <v>20</v>
      </c>
      <c r="E6292" t="s">
        <v>39</v>
      </c>
      <c r="F6292">
        <v>0</v>
      </c>
      <c r="G6292">
        <v>0</v>
      </c>
      <c r="H6292">
        <v>16</v>
      </c>
      <c r="I6292" s="3">
        <v>3296.56</v>
      </c>
      <c r="J6292" s="3">
        <v>4368.43</v>
      </c>
      <c r="M6292">
        <v>100</v>
      </c>
      <c r="P6292" t="str">
        <f>""</f>
        <v/>
      </c>
    </row>
    <row r="6293" spans="1:16" x14ac:dyDescent="0.25">
      <c r="A6293" t="str">
        <f>"1130174A00151    00"</f>
        <v>1130174A00151    00</v>
      </c>
      <c r="B6293" t="s">
        <v>14421</v>
      </c>
      <c r="C6293" t="s">
        <v>14428</v>
      </c>
      <c r="D6293" t="s">
        <v>20</v>
      </c>
      <c r="E6293" t="s">
        <v>39</v>
      </c>
      <c r="F6293">
        <v>0</v>
      </c>
      <c r="G6293">
        <v>0</v>
      </c>
      <c r="H6293">
        <v>17</v>
      </c>
      <c r="I6293" s="3">
        <v>8077.31</v>
      </c>
      <c r="J6293" s="3">
        <v>7969.7</v>
      </c>
      <c r="L6293">
        <v>10009</v>
      </c>
      <c r="M6293" t="s">
        <v>14422</v>
      </c>
      <c r="N6293" t="s">
        <v>4044</v>
      </c>
      <c r="O6293" t="s">
        <v>692</v>
      </c>
      <c r="P6293" t="str">
        <f>"20109"</f>
        <v>20109</v>
      </c>
    </row>
    <row r="6294" spans="1:16" x14ac:dyDescent="0.25">
      <c r="A6294" t="str">
        <f>"1130174A00152    00"</f>
        <v>1130174A00152    00</v>
      </c>
      <c r="B6294" t="s">
        <v>14429</v>
      </c>
      <c r="C6294" t="s">
        <v>14430</v>
      </c>
      <c r="D6294" t="s">
        <v>20</v>
      </c>
      <c r="E6294" t="s">
        <v>39</v>
      </c>
      <c r="F6294">
        <v>0</v>
      </c>
      <c r="G6294">
        <v>0</v>
      </c>
      <c r="H6294">
        <v>3</v>
      </c>
      <c r="I6294" s="3">
        <v>1143.6400000000001</v>
      </c>
      <c r="J6294" s="3">
        <v>115.48</v>
      </c>
      <c r="M6294" t="s">
        <v>14431</v>
      </c>
      <c r="N6294" t="s">
        <v>30</v>
      </c>
      <c r="O6294" t="s">
        <v>31</v>
      </c>
      <c r="P6294" t="str">
        <f>"15230"</f>
        <v>15230</v>
      </c>
    </row>
    <row r="6295" spans="1:16" x14ac:dyDescent="0.25">
      <c r="A6295" t="str">
        <f>"1130174A00155    00"</f>
        <v>1130174A00155    00</v>
      </c>
      <c r="B6295" t="s">
        <v>14432</v>
      </c>
      <c r="C6295" t="s">
        <v>14433</v>
      </c>
      <c r="D6295" t="s">
        <v>20</v>
      </c>
      <c r="E6295" t="s">
        <v>39</v>
      </c>
      <c r="F6295">
        <v>0</v>
      </c>
      <c r="G6295">
        <v>0</v>
      </c>
      <c r="H6295">
        <v>5</v>
      </c>
      <c r="I6295" s="3">
        <v>2153.4299999999998</v>
      </c>
      <c r="J6295" s="3">
        <v>855.22</v>
      </c>
      <c r="K6295" t="s">
        <v>14434</v>
      </c>
      <c r="L6295">
        <v>133</v>
      </c>
      <c r="M6295" t="s">
        <v>14435</v>
      </c>
      <c r="N6295" t="s">
        <v>8181</v>
      </c>
      <c r="O6295" t="s">
        <v>31</v>
      </c>
      <c r="P6295" t="str">
        <f>"15110"</f>
        <v>15110</v>
      </c>
    </row>
    <row r="6296" spans="1:16" x14ac:dyDescent="0.25">
      <c r="A6296" t="str">
        <f>"1130174A00156    00"</f>
        <v>1130174A00156    00</v>
      </c>
      <c r="B6296" t="s">
        <v>13826</v>
      </c>
      <c r="C6296" t="s">
        <v>14436</v>
      </c>
      <c r="D6296" t="s">
        <v>20</v>
      </c>
      <c r="E6296" t="s">
        <v>39</v>
      </c>
      <c r="F6296">
        <v>0</v>
      </c>
      <c r="G6296">
        <v>0</v>
      </c>
      <c r="H6296">
        <v>7</v>
      </c>
      <c r="I6296" s="3">
        <v>4349.58</v>
      </c>
      <c r="J6296" s="3">
        <v>1953.75</v>
      </c>
      <c r="L6296">
        <v>6403</v>
      </c>
      <c r="M6296" t="s">
        <v>13827</v>
      </c>
      <c r="N6296" t="s">
        <v>30</v>
      </c>
      <c r="O6296" t="s">
        <v>31</v>
      </c>
      <c r="P6296" t="str">
        <f>"15206"</f>
        <v>15206</v>
      </c>
    </row>
    <row r="6297" spans="1:16" x14ac:dyDescent="0.25">
      <c r="A6297" t="str">
        <f>"1130174A00158    00"</f>
        <v>1130174A00158    00</v>
      </c>
      <c r="B6297" t="s">
        <v>14437</v>
      </c>
      <c r="C6297" t="s">
        <v>14438</v>
      </c>
      <c r="D6297" t="s">
        <v>20</v>
      </c>
      <c r="E6297" t="s">
        <v>39</v>
      </c>
      <c r="F6297">
        <v>0</v>
      </c>
      <c r="G6297">
        <v>0</v>
      </c>
      <c r="H6297">
        <v>5</v>
      </c>
      <c r="I6297" s="3">
        <v>4868.9799999999996</v>
      </c>
      <c r="J6297" s="3">
        <v>22.72</v>
      </c>
      <c r="L6297">
        <v>1228</v>
      </c>
      <c r="M6297" t="s">
        <v>14439</v>
      </c>
      <c r="N6297" t="s">
        <v>30</v>
      </c>
      <c r="O6297" t="s">
        <v>31</v>
      </c>
      <c r="P6297" t="str">
        <f>"15208"</f>
        <v>15208</v>
      </c>
    </row>
    <row r="6298" spans="1:16" x14ac:dyDescent="0.25">
      <c r="A6298" t="str">
        <f>"1130174A00159    00"</f>
        <v>1130174A00159    00</v>
      </c>
      <c r="B6298" t="s">
        <v>14440</v>
      </c>
      <c r="C6298" t="s">
        <v>14441</v>
      </c>
      <c r="D6298" t="s">
        <v>20</v>
      </c>
      <c r="E6298" t="s">
        <v>39</v>
      </c>
      <c r="F6298">
        <v>0</v>
      </c>
      <c r="G6298">
        <v>0</v>
      </c>
      <c r="H6298">
        <v>4</v>
      </c>
      <c r="I6298" s="3">
        <v>2597.2199999999998</v>
      </c>
      <c r="J6298" s="3">
        <v>306.8</v>
      </c>
      <c r="L6298">
        <v>1112</v>
      </c>
      <c r="M6298" t="s">
        <v>3112</v>
      </c>
      <c r="N6298" t="s">
        <v>30</v>
      </c>
      <c r="O6298" t="s">
        <v>31</v>
      </c>
      <c r="P6298" t="str">
        <f>"15201"</f>
        <v>15201</v>
      </c>
    </row>
    <row r="6299" spans="1:16" x14ac:dyDescent="0.25">
      <c r="A6299" t="str">
        <f>"1130174A00160    00"</f>
        <v>1130174A00160    00</v>
      </c>
      <c r="B6299" t="s">
        <v>14442</v>
      </c>
      <c r="C6299" t="s">
        <v>14443</v>
      </c>
      <c r="D6299" t="s">
        <v>20</v>
      </c>
      <c r="E6299" t="s">
        <v>39</v>
      </c>
      <c r="F6299">
        <v>0</v>
      </c>
      <c r="G6299">
        <v>0</v>
      </c>
      <c r="H6299">
        <v>4</v>
      </c>
      <c r="I6299" s="3">
        <v>2061.34</v>
      </c>
      <c r="J6299" s="3">
        <v>213.05</v>
      </c>
      <c r="L6299">
        <v>472</v>
      </c>
      <c r="M6299" t="s">
        <v>14444</v>
      </c>
      <c r="N6299" t="s">
        <v>1046</v>
      </c>
      <c r="O6299" t="s">
        <v>31</v>
      </c>
      <c r="P6299" t="str">
        <f>"15147"</f>
        <v>15147</v>
      </c>
    </row>
    <row r="6300" spans="1:16" x14ac:dyDescent="0.25">
      <c r="A6300" t="str">
        <f>"1130174A00161    00"</f>
        <v>1130174A00161    00</v>
      </c>
      <c r="B6300" t="s">
        <v>14445</v>
      </c>
      <c r="C6300" t="s">
        <v>14446</v>
      </c>
      <c r="D6300" t="s">
        <v>20</v>
      </c>
      <c r="E6300" t="s">
        <v>39</v>
      </c>
      <c r="F6300">
        <v>0</v>
      </c>
      <c r="G6300">
        <v>0</v>
      </c>
      <c r="H6300">
        <v>3</v>
      </c>
      <c r="I6300" s="3">
        <v>158.37</v>
      </c>
      <c r="J6300" s="3">
        <v>0</v>
      </c>
      <c r="L6300">
        <v>1228</v>
      </c>
      <c r="M6300" t="s">
        <v>14439</v>
      </c>
      <c r="N6300" t="s">
        <v>30</v>
      </c>
      <c r="O6300" t="s">
        <v>31</v>
      </c>
      <c r="P6300" t="str">
        <f>"15208"</f>
        <v>15208</v>
      </c>
    </row>
    <row r="6301" spans="1:16" x14ac:dyDescent="0.25">
      <c r="A6301" t="str">
        <f>"1130174A00164    00"</f>
        <v>1130174A00164    00</v>
      </c>
      <c r="B6301" t="s">
        <v>14447</v>
      </c>
      <c r="C6301" t="s">
        <v>14448</v>
      </c>
      <c r="E6301" t="s">
        <v>39</v>
      </c>
      <c r="F6301">
        <v>0</v>
      </c>
      <c r="G6301">
        <v>0</v>
      </c>
      <c r="H6301">
        <v>1</v>
      </c>
      <c r="I6301" s="3">
        <v>233.06</v>
      </c>
      <c r="J6301" s="3">
        <v>0</v>
      </c>
      <c r="K6301" t="s">
        <v>14449</v>
      </c>
      <c r="L6301">
        <v>100</v>
      </c>
      <c r="M6301" t="s">
        <v>14450</v>
      </c>
      <c r="N6301" t="s">
        <v>30</v>
      </c>
      <c r="O6301" t="s">
        <v>31</v>
      </c>
      <c r="P6301" t="str">
        <f>"15235"</f>
        <v>15235</v>
      </c>
    </row>
    <row r="6302" spans="1:16" x14ac:dyDescent="0.25">
      <c r="A6302" t="str">
        <f>"1130174A00165    00"</f>
        <v>1130174A00165    00</v>
      </c>
      <c r="B6302" t="s">
        <v>14451</v>
      </c>
      <c r="C6302" t="s">
        <v>14452</v>
      </c>
      <c r="E6302" t="s">
        <v>39</v>
      </c>
      <c r="F6302">
        <v>0</v>
      </c>
      <c r="G6302">
        <v>0</v>
      </c>
      <c r="H6302">
        <v>1</v>
      </c>
      <c r="I6302" s="3">
        <v>361.15</v>
      </c>
      <c r="J6302" s="3">
        <v>72.22</v>
      </c>
      <c r="K6302" t="s">
        <v>14453</v>
      </c>
      <c r="M6302" t="s">
        <v>11134</v>
      </c>
      <c r="N6302" t="s">
        <v>30</v>
      </c>
      <c r="O6302" t="s">
        <v>31</v>
      </c>
      <c r="P6302" t="str">
        <f>"15224"</f>
        <v>15224</v>
      </c>
    </row>
    <row r="6303" spans="1:16" x14ac:dyDescent="0.25">
      <c r="A6303" t="str">
        <f>"1130174A00169    00"</f>
        <v>1130174A00169    00</v>
      </c>
      <c r="B6303" t="s">
        <v>14454</v>
      </c>
      <c r="C6303" t="s">
        <v>12397</v>
      </c>
      <c r="D6303" t="s">
        <v>20</v>
      </c>
      <c r="E6303" t="s">
        <v>39</v>
      </c>
      <c r="F6303">
        <v>0</v>
      </c>
      <c r="G6303">
        <v>0</v>
      </c>
      <c r="H6303">
        <v>5</v>
      </c>
      <c r="I6303" s="3">
        <v>1127.8900000000001</v>
      </c>
      <c r="J6303" s="3">
        <v>440.69</v>
      </c>
      <c r="K6303" t="s">
        <v>14455</v>
      </c>
      <c r="L6303">
        <v>2667</v>
      </c>
      <c r="M6303" t="s">
        <v>14456</v>
      </c>
      <c r="N6303" t="s">
        <v>12594</v>
      </c>
      <c r="O6303" t="s">
        <v>692</v>
      </c>
      <c r="P6303" t="str">
        <f>"22191"</f>
        <v>22191</v>
      </c>
    </row>
    <row r="6304" spans="1:16" x14ac:dyDescent="0.25">
      <c r="A6304" t="str">
        <f>"1130174A00170    00"</f>
        <v>1130174A00170    00</v>
      </c>
      <c r="B6304" t="s">
        <v>14457</v>
      </c>
      <c r="C6304" t="s">
        <v>14458</v>
      </c>
      <c r="D6304" t="s">
        <v>20</v>
      </c>
      <c r="E6304" t="s">
        <v>39</v>
      </c>
      <c r="F6304">
        <v>0</v>
      </c>
      <c r="G6304">
        <v>0</v>
      </c>
      <c r="H6304">
        <v>6</v>
      </c>
      <c r="I6304" s="3">
        <v>1516.38</v>
      </c>
      <c r="J6304" s="3">
        <v>268.79000000000002</v>
      </c>
      <c r="L6304">
        <v>7140</v>
      </c>
      <c r="M6304" t="s">
        <v>3980</v>
      </c>
      <c r="N6304" t="s">
        <v>30</v>
      </c>
      <c r="O6304" t="s">
        <v>31</v>
      </c>
      <c r="P6304" t="str">
        <f>"15208"</f>
        <v>15208</v>
      </c>
    </row>
    <row r="6305" spans="1:16" x14ac:dyDescent="0.25">
      <c r="A6305" t="str">
        <f>"1130174A00171    00"</f>
        <v>1130174A00171    00</v>
      </c>
      <c r="B6305" t="s">
        <v>14459</v>
      </c>
      <c r="C6305" t="s">
        <v>14460</v>
      </c>
      <c r="D6305" t="s">
        <v>20</v>
      </c>
      <c r="E6305" t="s">
        <v>207</v>
      </c>
      <c r="F6305">
        <v>0</v>
      </c>
      <c r="G6305">
        <v>0</v>
      </c>
      <c r="H6305">
        <v>2</v>
      </c>
      <c r="I6305" s="3">
        <v>160.13999999999999</v>
      </c>
      <c r="J6305" s="3">
        <v>0</v>
      </c>
      <c r="K6305" t="s">
        <v>14461</v>
      </c>
      <c r="L6305">
        <v>4735</v>
      </c>
      <c r="M6305" t="s">
        <v>841</v>
      </c>
      <c r="N6305" t="s">
        <v>30</v>
      </c>
      <c r="O6305" t="s">
        <v>31</v>
      </c>
      <c r="P6305" t="str">
        <f t="shared" ref="P6305:P6310" si="80">"15201"</f>
        <v>15201</v>
      </c>
    </row>
    <row r="6306" spans="1:16" x14ac:dyDescent="0.25">
      <c r="A6306" t="str">
        <f>"1130174A00172    00"</f>
        <v>1130174A00172    00</v>
      </c>
      <c r="B6306" t="s">
        <v>14459</v>
      </c>
      <c r="C6306" t="s">
        <v>14460</v>
      </c>
      <c r="D6306" t="s">
        <v>20</v>
      </c>
      <c r="E6306" t="s">
        <v>207</v>
      </c>
      <c r="F6306">
        <v>0</v>
      </c>
      <c r="G6306">
        <v>0</v>
      </c>
      <c r="H6306">
        <v>2</v>
      </c>
      <c r="I6306" s="3">
        <v>114.4</v>
      </c>
      <c r="J6306" s="3">
        <v>0</v>
      </c>
      <c r="K6306" t="s">
        <v>14461</v>
      </c>
      <c r="L6306">
        <v>4735</v>
      </c>
      <c r="M6306" t="s">
        <v>841</v>
      </c>
      <c r="N6306" t="s">
        <v>30</v>
      </c>
      <c r="O6306" t="s">
        <v>31</v>
      </c>
      <c r="P6306" t="str">
        <f t="shared" si="80"/>
        <v>15201</v>
      </c>
    </row>
    <row r="6307" spans="1:16" x14ac:dyDescent="0.25">
      <c r="A6307" t="str">
        <f>"1130174A00173    00"</f>
        <v>1130174A00173    00</v>
      </c>
      <c r="B6307" t="s">
        <v>14459</v>
      </c>
      <c r="C6307" t="s">
        <v>14460</v>
      </c>
      <c r="D6307" t="s">
        <v>20</v>
      </c>
      <c r="E6307" t="s">
        <v>207</v>
      </c>
      <c r="F6307">
        <v>0</v>
      </c>
      <c r="G6307">
        <v>0</v>
      </c>
      <c r="H6307">
        <v>2</v>
      </c>
      <c r="I6307" s="3">
        <v>114.4</v>
      </c>
      <c r="J6307" s="3">
        <v>0</v>
      </c>
      <c r="K6307" t="s">
        <v>14461</v>
      </c>
      <c r="L6307">
        <v>4735</v>
      </c>
      <c r="M6307" t="s">
        <v>841</v>
      </c>
      <c r="N6307" t="s">
        <v>30</v>
      </c>
      <c r="O6307" t="s">
        <v>31</v>
      </c>
      <c r="P6307" t="str">
        <f t="shared" si="80"/>
        <v>15201</v>
      </c>
    </row>
    <row r="6308" spans="1:16" x14ac:dyDescent="0.25">
      <c r="A6308" t="str">
        <f>"1130174A00174    00"</f>
        <v>1130174A00174    00</v>
      </c>
      <c r="B6308" t="s">
        <v>14459</v>
      </c>
      <c r="C6308" t="s">
        <v>14460</v>
      </c>
      <c r="D6308" t="s">
        <v>20</v>
      </c>
      <c r="E6308" t="s">
        <v>207</v>
      </c>
      <c r="F6308">
        <v>0</v>
      </c>
      <c r="G6308">
        <v>0</v>
      </c>
      <c r="H6308">
        <v>2</v>
      </c>
      <c r="I6308" s="3">
        <v>114.4</v>
      </c>
      <c r="J6308" s="3">
        <v>0</v>
      </c>
      <c r="L6308">
        <v>4735</v>
      </c>
      <c r="M6308" t="s">
        <v>841</v>
      </c>
      <c r="N6308" t="s">
        <v>30</v>
      </c>
      <c r="O6308" t="s">
        <v>31</v>
      </c>
      <c r="P6308" t="str">
        <f t="shared" si="80"/>
        <v>15201</v>
      </c>
    </row>
    <row r="6309" spans="1:16" x14ac:dyDescent="0.25">
      <c r="A6309" t="str">
        <f>"1130174A00175    00"</f>
        <v>1130174A00175    00</v>
      </c>
      <c r="B6309" t="s">
        <v>14459</v>
      </c>
      <c r="C6309" t="s">
        <v>14460</v>
      </c>
      <c r="D6309" t="s">
        <v>20</v>
      </c>
      <c r="E6309" t="s">
        <v>207</v>
      </c>
      <c r="F6309">
        <v>0</v>
      </c>
      <c r="G6309">
        <v>0</v>
      </c>
      <c r="H6309">
        <v>2</v>
      </c>
      <c r="I6309" s="3">
        <v>213.48</v>
      </c>
      <c r="J6309" s="3">
        <v>0</v>
      </c>
      <c r="K6309" t="s">
        <v>14461</v>
      </c>
      <c r="L6309">
        <v>4735</v>
      </c>
      <c r="M6309" t="s">
        <v>841</v>
      </c>
      <c r="N6309" t="s">
        <v>30</v>
      </c>
      <c r="O6309" t="s">
        <v>31</v>
      </c>
      <c r="P6309" t="str">
        <f t="shared" si="80"/>
        <v>15201</v>
      </c>
    </row>
    <row r="6310" spans="1:16" x14ac:dyDescent="0.25">
      <c r="A6310" t="str">
        <f>"1130174A00187    00"</f>
        <v>1130174A00187    00</v>
      </c>
      <c r="B6310" t="s">
        <v>14459</v>
      </c>
      <c r="C6310" t="s">
        <v>14460</v>
      </c>
      <c r="D6310" t="s">
        <v>20</v>
      </c>
      <c r="E6310" t="s">
        <v>207</v>
      </c>
      <c r="F6310">
        <v>0</v>
      </c>
      <c r="G6310">
        <v>0</v>
      </c>
      <c r="H6310">
        <v>2</v>
      </c>
      <c r="I6310" s="3">
        <v>12297.5</v>
      </c>
      <c r="J6310" s="3">
        <v>0</v>
      </c>
      <c r="K6310" t="s">
        <v>14461</v>
      </c>
      <c r="L6310">
        <v>4735</v>
      </c>
      <c r="M6310" t="s">
        <v>841</v>
      </c>
      <c r="N6310" t="s">
        <v>30</v>
      </c>
      <c r="O6310" t="s">
        <v>31</v>
      </c>
      <c r="P6310" t="str">
        <f t="shared" si="80"/>
        <v>15201</v>
      </c>
    </row>
    <row r="6311" spans="1:16" x14ac:dyDescent="0.25">
      <c r="A6311" t="str">
        <f>"1130174A00193    00"</f>
        <v>1130174A00193    00</v>
      </c>
      <c r="B6311" t="s">
        <v>14462</v>
      </c>
      <c r="C6311" t="s">
        <v>14463</v>
      </c>
      <c r="D6311" t="s">
        <v>20</v>
      </c>
      <c r="E6311" t="s">
        <v>39</v>
      </c>
      <c r="F6311">
        <v>0</v>
      </c>
      <c r="G6311">
        <v>0</v>
      </c>
      <c r="H6311">
        <v>10</v>
      </c>
      <c r="I6311" s="3">
        <v>5003.84</v>
      </c>
      <c r="J6311" s="3">
        <v>3746.82</v>
      </c>
      <c r="L6311">
        <v>7050</v>
      </c>
      <c r="M6311" t="s">
        <v>3980</v>
      </c>
      <c r="N6311" t="s">
        <v>30</v>
      </c>
      <c r="O6311" t="s">
        <v>31</v>
      </c>
      <c r="P6311" t="str">
        <f>"15208"</f>
        <v>15208</v>
      </c>
    </row>
    <row r="6312" spans="1:16" x14ac:dyDescent="0.25">
      <c r="A6312" t="str">
        <f>"1130174A00194    00"</f>
        <v>1130174A00194    00</v>
      </c>
      <c r="B6312" t="s">
        <v>14464</v>
      </c>
      <c r="C6312" t="s">
        <v>14465</v>
      </c>
      <c r="D6312" t="s">
        <v>33</v>
      </c>
      <c r="E6312" t="s">
        <v>39</v>
      </c>
      <c r="F6312">
        <v>0</v>
      </c>
      <c r="G6312">
        <v>0</v>
      </c>
      <c r="H6312">
        <v>3</v>
      </c>
      <c r="I6312" s="3">
        <v>484.57</v>
      </c>
      <c r="J6312" s="3">
        <v>2.14</v>
      </c>
      <c r="L6312">
        <v>2388</v>
      </c>
      <c r="M6312" t="s">
        <v>14466</v>
      </c>
      <c r="N6312" t="s">
        <v>10447</v>
      </c>
      <c r="O6312" t="s">
        <v>200</v>
      </c>
      <c r="P6312" t="str">
        <f>"10468"</f>
        <v>10468</v>
      </c>
    </row>
    <row r="6313" spans="1:16" x14ac:dyDescent="0.25">
      <c r="A6313" t="str">
        <f>"1130174A00195    00"</f>
        <v>1130174A00195    00</v>
      </c>
      <c r="B6313" t="s">
        <v>14467</v>
      </c>
      <c r="C6313" t="s">
        <v>14468</v>
      </c>
      <c r="D6313" t="s">
        <v>20</v>
      </c>
      <c r="E6313" t="s">
        <v>39</v>
      </c>
      <c r="F6313">
        <v>0</v>
      </c>
      <c r="G6313">
        <v>0</v>
      </c>
      <c r="H6313">
        <v>19</v>
      </c>
      <c r="I6313" s="3">
        <v>3943.6</v>
      </c>
      <c r="J6313" s="3">
        <v>5137.8900000000003</v>
      </c>
      <c r="L6313">
        <v>7046</v>
      </c>
      <c r="M6313" t="s">
        <v>3980</v>
      </c>
      <c r="N6313" t="s">
        <v>30</v>
      </c>
      <c r="O6313" t="s">
        <v>31</v>
      </c>
      <c r="P6313" t="str">
        <f>"15208"</f>
        <v>15208</v>
      </c>
    </row>
    <row r="6314" spans="1:16" x14ac:dyDescent="0.25">
      <c r="A6314" t="str">
        <f>"1130174A00201    00"</f>
        <v>1130174A00201    00</v>
      </c>
      <c r="B6314" t="s">
        <v>14469</v>
      </c>
      <c r="C6314" t="s">
        <v>14470</v>
      </c>
      <c r="E6314" t="s">
        <v>39</v>
      </c>
      <c r="F6314">
        <v>0</v>
      </c>
      <c r="G6314">
        <v>0</v>
      </c>
      <c r="H6314">
        <v>1</v>
      </c>
      <c r="I6314" s="3">
        <v>24.57</v>
      </c>
      <c r="J6314" s="3">
        <v>29.07</v>
      </c>
      <c r="L6314">
        <v>7028</v>
      </c>
      <c r="M6314" t="s">
        <v>3980</v>
      </c>
      <c r="N6314" t="s">
        <v>30</v>
      </c>
      <c r="O6314" t="s">
        <v>31</v>
      </c>
      <c r="P6314" t="str">
        <f>"15208"</f>
        <v>15208</v>
      </c>
    </row>
    <row r="6315" spans="1:16" x14ac:dyDescent="0.25">
      <c r="A6315" t="str">
        <f>"1130174A00203    00"</f>
        <v>1130174A00203    00</v>
      </c>
      <c r="B6315" t="s">
        <v>14471</v>
      </c>
      <c r="C6315" t="s">
        <v>14470</v>
      </c>
      <c r="D6315" t="s">
        <v>20</v>
      </c>
      <c r="E6315" t="s">
        <v>39</v>
      </c>
      <c r="F6315">
        <v>0</v>
      </c>
      <c r="G6315">
        <v>0</v>
      </c>
      <c r="H6315">
        <v>1</v>
      </c>
      <c r="I6315" s="3">
        <v>23.79</v>
      </c>
      <c r="J6315" s="3">
        <v>0</v>
      </c>
      <c r="K6315" t="s">
        <v>14472</v>
      </c>
      <c r="L6315">
        <v>7028</v>
      </c>
      <c r="M6315" t="s">
        <v>3980</v>
      </c>
      <c r="N6315" t="s">
        <v>30</v>
      </c>
      <c r="O6315" t="s">
        <v>31</v>
      </c>
      <c r="P6315" t="str">
        <f>"15208"</f>
        <v>15208</v>
      </c>
    </row>
    <row r="6316" spans="1:16" x14ac:dyDescent="0.25">
      <c r="A6316" t="str">
        <f>"1130174A00205    00"</f>
        <v>1130174A00205    00</v>
      </c>
      <c r="B6316" t="s">
        <v>14473</v>
      </c>
      <c r="C6316" t="s">
        <v>14474</v>
      </c>
      <c r="D6316" t="s">
        <v>20</v>
      </c>
      <c r="E6316" t="s">
        <v>39</v>
      </c>
      <c r="F6316">
        <v>0</v>
      </c>
      <c r="G6316">
        <v>0</v>
      </c>
      <c r="H6316">
        <v>3</v>
      </c>
      <c r="I6316" s="3">
        <v>1078.7</v>
      </c>
      <c r="J6316" s="3">
        <v>19.03</v>
      </c>
      <c r="K6316" t="s">
        <v>14475</v>
      </c>
      <c r="L6316">
        <v>245</v>
      </c>
      <c r="M6316" t="s">
        <v>14476</v>
      </c>
      <c r="N6316" t="s">
        <v>30</v>
      </c>
      <c r="O6316" t="s">
        <v>31</v>
      </c>
      <c r="P6316" t="str">
        <f>"15212"</f>
        <v>15212</v>
      </c>
    </row>
    <row r="6317" spans="1:16" x14ac:dyDescent="0.25">
      <c r="A6317" t="str">
        <f>"1130174A00207    01"</f>
        <v>1130174A00207    01</v>
      </c>
      <c r="B6317" t="s">
        <v>14477</v>
      </c>
      <c r="C6317" t="s">
        <v>14478</v>
      </c>
      <c r="E6317" t="s">
        <v>39</v>
      </c>
      <c r="F6317">
        <v>0</v>
      </c>
      <c r="G6317">
        <v>0</v>
      </c>
      <c r="H6317">
        <v>1</v>
      </c>
      <c r="I6317" s="3">
        <v>84.58</v>
      </c>
      <c r="J6317" s="3">
        <v>16.91</v>
      </c>
      <c r="L6317">
        <v>7022</v>
      </c>
      <c r="M6317" t="s">
        <v>3980</v>
      </c>
      <c r="N6317" t="s">
        <v>30</v>
      </c>
      <c r="O6317" t="s">
        <v>31</v>
      </c>
      <c r="P6317" t="str">
        <f>"15208"</f>
        <v>15208</v>
      </c>
    </row>
    <row r="6318" spans="1:16" x14ac:dyDescent="0.25">
      <c r="A6318" t="str">
        <f>"1130174A00210    00"</f>
        <v>1130174A00210    00</v>
      </c>
      <c r="B6318" t="s">
        <v>14479</v>
      </c>
      <c r="C6318" t="s">
        <v>14480</v>
      </c>
      <c r="D6318" t="s">
        <v>20</v>
      </c>
      <c r="E6318" t="s">
        <v>39</v>
      </c>
      <c r="F6318">
        <v>0</v>
      </c>
      <c r="G6318">
        <v>0</v>
      </c>
      <c r="H6318">
        <v>9</v>
      </c>
      <c r="I6318" s="3">
        <v>3719.72</v>
      </c>
      <c r="J6318" s="3">
        <v>1408.5</v>
      </c>
      <c r="L6318">
        <v>197</v>
      </c>
      <c r="M6318" t="s">
        <v>14481</v>
      </c>
      <c r="N6318" t="s">
        <v>30</v>
      </c>
      <c r="O6318" t="s">
        <v>31</v>
      </c>
      <c r="P6318" t="str">
        <f>"15235"</f>
        <v>15235</v>
      </c>
    </row>
    <row r="6319" spans="1:16" x14ac:dyDescent="0.25">
      <c r="A6319" t="str">
        <f>"1130174A00211    00"</f>
        <v>1130174A00211    00</v>
      </c>
      <c r="B6319" t="s">
        <v>14482</v>
      </c>
      <c r="C6319" t="s">
        <v>14483</v>
      </c>
      <c r="D6319" t="s">
        <v>20</v>
      </c>
      <c r="E6319" t="s">
        <v>39</v>
      </c>
      <c r="F6319">
        <v>0</v>
      </c>
      <c r="G6319">
        <v>0</v>
      </c>
      <c r="H6319">
        <v>1</v>
      </c>
      <c r="I6319" s="3">
        <v>14.98</v>
      </c>
      <c r="J6319" s="3">
        <v>0</v>
      </c>
      <c r="M6319" t="s">
        <v>14484</v>
      </c>
      <c r="N6319" t="s">
        <v>30</v>
      </c>
      <c r="O6319" t="s">
        <v>31</v>
      </c>
      <c r="P6319" t="str">
        <f>"15208"</f>
        <v>15208</v>
      </c>
    </row>
    <row r="6320" spans="1:16" x14ac:dyDescent="0.25">
      <c r="A6320" t="str">
        <f>"1130174A00215    00"</f>
        <v>1130174A00215    00</v>
      </c>
      <c r="B6320" t="s">
        <v>14485</v>
      </c>
      <c r="C6320" t="s">
        <v>14486</v>
      </c>
      <c r="D6320" t="s">
        <v>57</v>
      </c>
      <c r="E6320" t="s">
        <v>39</v>
      </c>
      <c r="F6320">
        <v>0</v>
      </c>
      <c r="G6320">
        <v>0</v>
      </c>
      <c r="H6320">
        <v>1</v>
      </c>
      <c r="I6320" s="3">
        <v>97.79</v>
      </c>
      <c r="J6320" s="3">
        <v>0</v>
      </c>
      <c r="K6320" t="s">
        <v>14487</v>
      </c>
      <c r="L6320">
        <v>7013</v>
      </c>
      <c r="M6320" t="s">
        <v>12378</v>
      </c>
      <c r="N6320" t="s">
        <v>30</v>
      </c>
      <c r="O6320" t="s">
        <v>31</v>
      </c>
      <c r="P6320" t="str">
        <f>"15208"</f>
        <v>15208</v>
      </c>
    </row>
    <row r="6321" spans="1:16" x14ac:dyDescent="0.25">
      <c r="A6321" t="str">
        <f>"1130174A00222    00"</f>
        <v>1130174A00222    00</v>
      </c>
      <c r="B6321" t="s">
        <v>14488</v>
      </c>
      <c r="C6321" t="s">
        <v>14489</v>
      </c>
      <c r="D6321" t="s">
        <v>20</v>
      </c>
      <c r="E6321" t="s">
        <v>39</v>
      </c>
      <c r="F6321">
        <v>0</v>
      </c>
      <c r="G6321">
        <v>0</v>
      </c>
      <c r="H6321">
        <v>2</v>
      </c>
      <c r="I6321" s="3">
        <v>2660.82</v>
      </c>
      <c r="J6321" s="3">
        <v>0</v>
      </c>
      <c r="K6321" t="s">
        <v>12947</v>
      </c>
      <c r="L6321">
        <v>740</v>
      </c>
      <c r="M6321" t="s">
        <v>3600</v>
      </c>
      <c r="N6321" t="s">
        <v>30</v>
      </c>
      <c r="O6321" t="s">
        <v>31</v>
      </c>
      <c r="P6321" t="str">
        <f>"15221"</f>
        <v>15221</v>
      </c>
    </row>
    <row r="6322" spans="1:16" x14ac:dyDescent="0.25">
      <c r="A6322" t="str">
        <f>"1130174A00223    00"</f>
        <v>1130174A00223    00</v>
      </c>
      <c r="B6322" t="s">
        <v>14490</v>
      </c>
      <c r="C6322" t="s">
        <v>14491</v>
      </c>
      <c r="D6322" t="s">
        <v>20</v>
      </c>
      <c r="E6322" t="s">
        <v>39</v>
      </c>
      <c r="F6322">
        <v>0</v>
      </c>
      <c r="G6322">
        <v>0</v>
      </c>
      <c r="H6322">
        <v>2</v>
      </c>
      <c r="I6322" s="3">
        <v>114.29</v>
      </c>
      <c r="J6322" s="3">
        <v>0</v>
      </c>
      <c r="K6322" t="s">
        <v>12947</v>
      </c>
      <c r="L6322">
        <v>740</v>
      </c>
      <c r="M6322" t="s">
        <v>3600</v>
      </c>
      <c r="N6322" t="s">
        <v>30</v>
      </c>
      <c r="O6322" t="s">
        <v>31</v>
      </c>
      <c r="P6322" t="str">
        <f>"15221"</f>
        <v>15221</v>
      </c>
    </row>
    <row r="6323" spans="1:16" x14ac:dyDescent="0.25">
      <c r="A6323" t="str">
        <f>"1130174A00248    00"</f>
        <v>1130174A00248    00</v>
      </c>
      <c r="B6323" t="s">
        <v>14459</v>
      </c>
      <c r="C6323" t="s">
        <v>14460</v>
      </c>
      <c r="D6323" t="s">
        <v>20</v>
      </c>
      <c r="E6323" t="s">
        <v>207</v>
      </c>
      <c r="F6323">
        <v>0</v>
      </c>
      <c r="G6323">
        <v>0</v>
      </c>
      <c r="H6323">
        <v>2</v>
      </c>
      <c r="I6323" s="3">
        <v>114.4</v>
      </c>
      <c r="J6323" s="3">
        <v>0</v>
      </c>
      <c r="K6323" t="s">
        <v>14461</v>
      </c>
      <c r="L6323">
        <v>4735</v>
      </c>
      <c r="M6323" t="s">
        <v>841</v>
      </c>
      <c r="N6323" t="s">
        <v>30</v>
      </c>
      <c r="O6323" t="s">
        <v>31</v>
      </c>
      <c r="P6323" t="str">
        <f>"15201"</f>
        <v>15201</v>
      </c>
    </row>
    <row r="6324" spans="1:16" x14ac:dyDescent="0.25">
      <c r="A6324" t="str">
        <f>"1130174A00249    00"</f>
        <v>1130174A00249    00</v>
      </c>
      <c r="B6324" t="s">
        <v>14459</v>
      </c>
      <c r="C6324" t="s">
        <v>14460</v>
      </c>
      <c r="D6324" t="s">
        <v>20</v>
      </c>
      <c r="E6324" t="s">
        <v>207</v>
      </c>
      <c r="F6324">
        <v>0</v>
      </c>
      <c r="G6324">
        <v>0</v>
      </c>
      <c r="H6324">
        <v>2</v>
      </c>
      <c r="I6324" s="3">
        <v>114.4</v>
      </c>
      <c r="J6324" s="3">
        <v>0</v>
      </c>
      <c r="K6324" t="s">
        <v>14461</v>
      </c>
      <c r="L6324">
        <v>4735</v>
      </c>
      <c r="M6324" t="s">
        <v>841</v>
      </c>
      <c r="N6324" t="s">
        <v>30</v>
      </c>
      <c r="O6324" t="s">
        <v>31</v>
      </c>
      <c r="P6324" t="str">
        <f>"15201"</f>
        <v>15201</v>
      </c>
    </row>
    <row r="6325" spans="1:16" x14ac:dyDescent="0.25">
      <c r="A6325" t="str">
        <f>"1130174A00250    00"</f>
        <v>1130174A00250    00</v>
      </c>
      <c r="B6325" t="s">
        <v>14459</v>
      </c>
      <c r="C6325" t="s">
        <v>14460</v>
      </c>
      <c r="D6325" t="s">
        <v>20</v>
      </c>
      <c r="E6325" t="s">
        <v>207</v>
      </c>
      <c r="F6325">
        <v>0</v>
      </c>
      <c r="G6325">
        <v>0</v>
      </c>
      <c r="H6325">
        <v>2</v>
      </c>
      <c r="I6325" s="3">
        <v>129.63999999999999</v>
      </c>
      <c r="J6325" s="3">
        <v>0</v>
      </c>
      <c r="K6325" t="s">
        <v>14461</v>
      </c>
      <c r="L6325">
        <v>4735</v>
      </c>
      <c r="M6325" t="s">
        <v>841</v>
      </c>
      <c r="N6325" t="s">
        <v>30</v>
      </c>
      <c r="O6325" t="s">
        <v>31</v>
      </c>
      <c r="P6325" t="str">
        <f>"15201"</f>
        <v>15201</v>
      </c>
    </row>
    <row r="6326" spans="1:16" x14ac:dyDescent="0.25">
      <c r="A6326" t="str">
        <f>"1130174A00251    00"</f>
        <v>1130174A00251    00</v>
      </c>
      <c r="B6326" t="s">
        <v>14459</v>
      </c>
      <c r="C6326" t="s">
        <v>14460</v>
      </c>
      <c r="D6326" t="s">
        <v>20</v>
      </c>
      <c r="E6326" t="s">
        <v>207</v>
      </c>
      <c r="F6326">
        <v>0</v>
      </c>
      <c r="G6326">
        <v>0</v>
      </c>
      <c r="H6326">
        <v>2</v>
      </c>
      <c r="I6326" s="3">
        <v>114.4</v>
      </c>
      <c r="J6326" s="3">
        <v>0</v>
      </c>
      <c r="K6326" t="s">
        <v>14461</v>
      </c>
      <c r="L6326">
        <v>4735</v>
      </c>
      <c r="M6326" t="s">
        <v>841</v>
      </c>
      <c r="N6326" t="s">
        <v>30</v>
      </c>
      <c r="O6326" t="s">
        <v>31</v>
      </c>
      <c r="P6326" t="str">
        <f>"15201"</f>
        <v>15201</v>
      </c>
    </row>
    <row r="6327" spans="1:16" x14ac:dyDescent="0.25">
      <c r="A6327" t="str">
        <f>"1130174A00252    00"</f>
        <v>1130174A00252    00</v>
      </c>
      <c r="B6327" t="s">
        <v>14459</v>
      </c>
      <c r="C6327" t="s">
        <v>14460</v>
      </c>
      <c r="D6327" t="s">
        <v>20</v>
      </c>
      <c r="E6327" t="s">
        <v>207</v>
      </c>
      <c r="F6327">
        <v>0</v>
      </c>
      <c r="G6327">
        <v>0</v>
      </c>
      <c r="H6327">
        <v>2</v>
      </c>
      <c r="I6327" s="3">
        <v>160.13999999999999</v>
      </c>
      <c r="J6327" s="3">
        <v>0</v>
      </c>
      <c r="K6327" t="s">
        <v>14461</v>
      </c>
      <c r="L6327">
        <v>4735</v>
      </c>
      <c r="M6327" t="s">
        <v>841</v>
      </c>
      <c r="N6327" t="s">
        <v>30</v>
      </c>
      <c r="O6327" t="s">
        <v>31</v>
      </c>
      <c r="P6327" t="str">
        <f>"15201"</f>
        <v>15201</v>
      </c>
    </row>
    <row r="6328" spans="1:16" x14ac:dyDescent="0.25">
      <c r="A6328" t="str">
        <f>"1130174A00254    00"</f>
        <v>1130174A00254    00</v>
      </c>
      <c r="B6328" t="s">
        <v>14492</v>
      </c>
      <c r="C6328" t="s">
        <v>14493</v>
      </c>
      <c r="D6328" t="s">
        <v>20</v>
      </c>
      <c r="E6328" t="s">
        <v>39</v>
      </c>
      <c r="F6328">
        <v>0</v>
      </c>
      <c r="G6328">
        <v>0</v>
      </c>
      <c r="H6328">
        <v>2</v>
      </c>
      <c r="I6328" s="3">
        <v>1058.32</v>
      </c>
      <c r="J6328" s="3">
        <v>0</v>
      </c>
      <c r="K6328" t="s">
        <v>10868</v>
      </c>
      <c r="L6328">
        <v>4425</v>
      </c>
      <c r="M6328" t="s">
        <v>10869</v>
      </c>
      <c r="N6328" t="s">
        <v>4652</v>
      </c>
      <c r="O6328" t="s">
        <v>370</v>
      </c>
      <c r="P6328" t="str">
        <f>"33146"</f>
        <v>33146</v>
      </c>
    </row>
    <row r="6329" spans="1:16" x14ac:dyDescent="0.25">
      <c r="A6329" t="str">
        <f>"1130174A00258    00"</f>
        <v>1130174A00258    00</v>
      </c>
      <c r="B6329" t="s">
        <v>14494</v>
      </c>
      <c r="C6329" t="s">
        <v>14495</v>
      </c>
      <c r="D6329" t="s">
        <v>33</v>
      </c>
      <c r="E6329" t="s">
        <v>39</v>
      </c>
      <c r="F6329">
        <v>0</v>
      </c>
      <c r="G6329">
        <v>0</v>
      </c>
      <c r="H6329">
        <v>1</v>
      </c>
      <c r="I6329" s="3">
        <v>169.23</v>
      </c>
      <c r="J6329" s="3">
        <v>0</v>
      </c>
      <c r="L6329">
        <v>7147</v>
      </c>
      <c r="M6329" t="s">
        <v>12378</v>
      </c>
      <c r="N6329" t="s">
        <v>30</v>
      </c>
      <c r="O6329" t="s">
        <v>31</v>
      </c>
      <c r="P6329" t="str">
        <f>"15208"</f>
        <v>15208</v>
      </c>
    </row>
    <row r="6330" spans="1:16" x14ac:dyDescent="0.25">
      <c r="A6330" t="str">
        <f>"1130174A00264    00"</f>
        <v>1130174A00264    00</v>
      </c>
      <c r="B6330" t="s">
        <v>14496</v>
      </c>
      <c r="C6330" t="s">
        <v>14497</v>
      </c>
      <c r="D6330" t="s">
        <v>20</v>
      </c>
      <c r="E6330" t="s">
        <v>39</v>
      </c>
      <c r="F6330">
        <v>0</v>
      </c>
      <c r="G6330">
        <v>0</v>
      </c>
      <c r="H6330">
        <v>13</v>
      </c>
      <c r="I6330" s="3">
        <v>14029.71</v>
      </c>
      <c r="J6330" s="3">
        <v>8130</v>
      </c>
      <c r="L6330">
        <v>7721</v>
      </c>
      <c r="M6330" t="s">
        <v>9086</v>
      </c>
      <c r="N6330" t="s">
        <v>30</v>
      </c>
      <c r="O6330" t="s">
        <v>31</v>
      </c>
      <c r="P6330" t="str">
        <f>"15208"</f>
        <v>15208</v>
      </c>
    </row>
    <row r="6331" spans="1:16" x14ac:dyDescent="0.25">
      <c r="A6331" t="str">
        <f>"1130174A00271    00"</f>
        <v>1130174A00271    00</v>
      </c>
      <c r="B6331" t="s">
        <v>14498</v>
      </c>
      <c r="C6331" t="s">
        <v>14499</v>
      </c>
      <c r="D6331" t="s">
        <v>20</v>
      </c>
      <c r="E6331" t="s">
        <v>39</v>
      </c>
      <c r="F6331">
        <v>0</v>
      </c>
      <c r="G6331">
        <v>0</v>
      </c>
      <c r="H6331">
        <v>18</v>
      </c>
      <c r="I6331" s="3">
        <v>11574.87</v>
      </c>
      <c r="J6331" s="3">
        <v>10462.049999999999</v>
      </c>
      <c r="K6331" t="s">
        <v>14500</v>
      </c>
      <c r="L6331">
        <v>43</v>
      </c>
      <c r="M6331" t="s">
        <v>14501</v>
      </c>
      <c r="N6331" t="s">
        <v>509</v>
      </c>
      <c r="O6331" t="s">
        <v>31</v>
      </c>
      <c r="P6331" t="str">
        <f>"19139"</f>
        <v>19139</v>
      </c>
    </row>
    <row r="6332" spans="1:16" x14ac:dyDescent="0.25">
      <c r="A6332" t="str">
        <f>"1130174A00272    00"</f>
        <v>1130174A00272    00</v>
      </c>
      <c r="B6332" t="s">
        <v>14502</v>
      </c>
      <c r="C6332" t="s">
        <v>14503</v>
      </c>
      <c r="D6332" t="s">
        <v>20</v>
      </c>
      <c r="E6332" t="s">
        <v>39</v>
      </c>
      <c r="F6332">
        <v>0</v>
      </c>
      <c r="G6332">
        <v>0</v>
      </c>
      <c r="H6332">
        <v>18</v>
      </c>
      <c r="I6332" s="3">
        <v>19968.45</v>
      </c>
      <c r="J6332" s="3">
        <v>19082.63</v>
      </c>
      <c r="K6332" t="s">
        <v>14504</v>
      </c>
      <c r="L6332">
        <v>7128</v>
      </c>
      <c r="M6332" t="s">
        <v>12378</v>
      </c>
      <c r="N6332" t="s">
        <v>30</v>
      </c>
      <c r="O6332" t="s">
        <v>31</v>
      </c>
      <c r="P6332" t="str">
        <f>"15208"</f>
        <v>15208</v>
      </c>
    </row>
    <row r="6333" spans="1:16" x14ac:dyDescent="0.25">
      <c r="A6333" t="str">
        <f>"1130174A00273    00"</f>
        <v>1130174A00273    00</v>
      </c>
      <c r="B6333" t="s">
        <v>14505</v>
      </c>
      <c r="C6333" t="s">
        <v>14506</v>
      </c>
      <c r="D6333" t="s">
        <v>20</v>
      </c>
      <c r="E6333" t="s">
        <v>39</v>
      </c>
      <c r="F6333">
        <v>0</v>
      </c>
      <c r="G6333">
        <v>0</v>
      </c>
      <c r="H6333">
        <v>17</v>
      </c>
      <c r="I6333" s="3">
        <v>264.23</v>
      </c>
      <c r="J6333" s="3">
        <v>298.63</v>
      </c>
      <c r="K6333" t="s">
        <v>1008</v>
      </c>
      <c r="P6333" t="str">
        <f>""</f>
        <v/>
      </c>
    </row>
    <row r="6334" spans="1:16" x14ac:dyDescent="0.25">
      <c r="A6334" t="str">
        <f>"1130174A00275    00"</f>
        <v>1130174A00275    00</v>
      </c>
      <c r="B6334" t="s">
        <v>14507</v>
      </c>
      <c r="C6334" t="s">
        <v>14508</v>
      </c>
      <c r="E6334" t="s">
        <v>39</v>
      </c>
      <c r="F6334">
        <v>0</v>
      </c>
      <c r="G6334">
        <v>0</v>
      </c>
      <c r="H6334">
        <v>1</v>
      </c>
      <c r="I6334" s="3">
        <v>543.29999999999995</v>
      </c>
      <c r="J6334" s="3">
        <v>375.76</v>
      </c>
      <c r="L6334">
        <v>7122</v>
      </c>
      <c r="M6334" t="s">
        <v>12378</v>
      </c>
      <c r="N6334" t="s">
        <v>30</v>
      </c>
      <c r="O6334" t="s">
        <v>31</v>
      </c>
      <c r="P6334" t="str">
        <f t="shared" ref="P6334:P6340" si="81">"15208"</f>
        <v>15208</v>
      </c>
    </row>
    <row r="6335" spans="1:16" x14ac:dyDescent="0.25">
      <c r="A6335" t="str">
        <f>"1130174A00276    00"</f>
        <v>1130174A00276    00</v>
      </c>
      <c r="B6335" t="s">
        <v>14509</v>
      </c>
      <c r="C6335" t="s">
        <v>14510</v>
      </c>
      <c r="D6335" t="s">
        <v>20</v>
      </c>
      <c r="E6335" t="s">
        <v>39</v>
      </c>
      <c r="F6335">
        <v>0</v>
      </c>
      <c r="G6335">
        <v>0</v>
      </c>
      <c r="H6335">
        <v>6</v>
      </c>
      <c r="I6335" s="3">
        <v>992.57</v>
      </c>
      <c r="J6335" s="3">
        <v>656.74</v>
      </c>
      <c r="L6335">
        <v>7120</v>
      </c>
      <c r="M6335" t="s">
        <v>12378</v>
      </c>
      <c r="N6335" t="s">
        <v>30</v>
      </c>
      <c r="O6335" t="s">
        <v>31</v>
      </c>
      <c r="P6335" t="str">
        <f t="shared" si="81"/>
        <v>15208</v>
      </c>
    </row>
    <row r="6336" spans="1:16" x14ac:dyDescent="0.25">
      <c r="A6336" t="str">
        <f>"1130174A00277    00"</f>
        <v>1130174A00277    00</v>
      </c>
      <c r="B6336" t="s">
        <v>14511</v>
      </c>
      <c r="C6336" t="s">
        <v>14506</v>
      </c>
      <c r="D6336" t="s">
        <v>20</v>
      </c>
      <c r="E6336" t="s">
        <v>39</v>
      </c>
      <c r="F6336">
        <v>0</v>
      </c>
      <c r="G6336">
        <v>0</v>
      </c>
      <c r="H6336">
        <v>17</v>
      </c>
      <c r="I6336" s="3">
        <v>251.81</v>
      </c>
      <c r="J6336" s="3">
        <v>297.12</v>
      </c>
      <c r="L6336">
        <v>7116</v>
      </c>
      <c r="M6336" t="s">
        <v>12378</v>
      </c>
      <c r="N6336" t="s">
        <v>30</v>
      </c>
      <c r="O6336" t="s">
        <v>31</v>
      </c>
      <c r="P6336" t="str">
        <f t="shared" si="81"/>
        <v>15208</v>
      </c>
    </row>
    <row r="6337" spans="1:16" x14ac:dyDescent="0.25">
      <c r="A6337" t="str">
        <f>"1130174A00278    00"</f>
        <v>1130174A00278    00</v>
      </c>
      <c r="B6337" t="s">
        <v>14512</v>
      </c>
      <c r="C6337" t="s">
        <v>14513</v>
      </c>
      <c r="E6337" t="s">
        <v>39</v>
      </c>
      <c r="F6337">
        <v>0</v>
      </c>
      <c r="G6337">
        <v>0</v>
      </c>
      <c r="H6337">
        <v>3</v>
      </c>
      <c r="I6337" s="3">
        <v>1315.14</v>
      </c>
      <c r="J6337" s="3">
        <v>207.6</v>
      </c>
      <c r="L6337">
        <v>7116</v>
      </c>
      <c r="M6337" t="s">
        <v>12378</v>
      </c>
      <c r="N6337" t="s">
        <v>30</v>
      </c>
      <c r="O6337" t="s">
        <v>31</v>
      </c>
      <c r="P6337" t="str">
        <f t="shared" si="81"/>
        <v>15208</v>
      </c>
    </row>
    <row r="6338" spans="1:16" x14ac:dyDescent="0.25">
      <c r="A6338" t="str">
        <f>"1130174A00286    00"</f>
        <v>1130174A00286    00</v>
      </c>
      <c r="B6338" t="s">
        <v>14514</v>
      </c>
      <c r="C6338" t="s">
        <v>14515</v>
      </c>
      <c r="D6338" t="s">
        <v>20</v>
      </c>
      <c r="E6338" t="s">
        <v>39</v>
      </c>
      <c r="F6338">
        <v>0</v>
      </c>
      <c r="G6338">
        <v>0</v>
      </c>
      <c r="H6338">
        <v>11</v>
      </c>
      <c r="I6338" s="3">
        <v>199.72</v>
      </c>
      <c r="J6338" s="3">
        <v>95.38</v>
      </c>
      <c r="L6338">
        <v>7104</v>
      </c>
      <c r="M6338" t="s">
        <v>12378</v>
      </c>
      <c r="N6338" t="s">
        <v>30</v>
      </c>
      <c r="O6338" t="s">
        <v>31</v>
      </c>
      <c r="P6338" t="str">
        <f t="shared" si="81"/>
        <v>15208</v>
      </c>
    </row>
    <row r="6339" spans="1:16" x14ac:dyDescent="0.25">
      <c r="A6339" t="str">
        <f>"1130174A00297    00"</f>
        <v>1130174A00297    00</v>
      </c>
      <c r="B6339" t="s">
        <v>14516</v>
      </c>
      <c r="C6339" t="s">
        <v>14517</v>
      </c>
      <c r="E6339" t="s">
        <v>39</v>
      </c>
      <c r="F6339">
        <v>0</v>
      </c>
      <c r="G6339">
        <v>0</v>
      </c>
      <c r="H6339">
        <v>1</v>
      </c>
      <c r="I6339" s="3">
        <v>664.97</v>
      </c>
      <c r="J6339" s="3">
        <v>459.91</v>
      </c>
      <c r="L6339">
        <v>7058</v>
      </c>
      <c r="M6339" t="s">
        <v>12378</v>
      </c>
      <c r="N6339" t="s">
        <v>30</v>
      </c>
      <c r="O6339" t="s">
        <v>31</v>
      </c>
      <c r="P6339" t="str">
        <f t="shared" si="81"/>
        <v>15208</v>
      </c>
    </row>
    <row r="6340" spans="1:16" x14ac:dyDescent="0.25">
      <c r="A6340" t="str">
        <f>"1130174A00303    00"</f>
        <v>1130174A00303    00</v>
      </c>
      <c r="B6340" t="s">
        <v>14518</v>
      </c>
      <c r="C6340" t="s">
        <v>14519</v>
      </c>
      <c r="D6340" t="s">
        <v>20</v>
      </c>
      <c r="E6340" t="s">
        <v>39</v>
      </c>
      <c r="F6340">
        <v>0</v>
      </c>
      <c r="G6340">
        <v>0</v>
      </c>
      <c r="H6340">
        <v>3</v>
      </c>
      <c r="I6340" s="3">
        <v>919.16</v>
      </c>
      <c r="J6340" s="3">
        <v>94.29</v>
      </c>
      <c r="L6340">
        <v>7044</v>
      </c>
      <c r="M6340" t="s">
        <v>12378</v>
      </c>
      <c r="N6340" t="s">
        <v>30</v>
      </c>
      <c r="O6340" t="s">
        <v>31</v>
      </c>
      <c r="P6340" t="str">
        <f t="shared" si="81"/>
        <v>15208</v>
      </c>
    </row>
    <row r="6341" spans="1:16" x14ac:dyDescent="0.25">
      <c r="A6341" t="str">
        <f>"1130174A00313    00"</f>
        <v>1130174A00313    00</v>
      </c>
      <c r="B6341" t="s">
        <v>14520</v>
      </c>
      <c r="C6341" t="s">
        <v>14506</v>
      </c>
      <c r="D6341" t="s">
        <v>20</v>
      </c>
      <c r="E6341" t="s">
        <v>39</v>
      </c>
      <c r="F6341">
        <v>0</v>
      </c>
      <c r="G6341">
        <v>0</v>
      </c>
      <c r="H6341">
        <v>13</v>
      </c>
      <c r="I6341" s="3">
        <v>860.19</v>
      </c>
      <c r="J6341" s="3">
        <v>529.20000000000005</v>
      </c>
      <c r="L6341">
        <v>640</v>
      </c>
      <c r="M6341" t="s">
        <v>14521</v>
      </c>
      <c r="N6341" t="s">
        <v>30</v>
      </c>
      <c r="O6341" t="s">
        <v>31</v>
      </c>
      <c r="P6341" t="str">
        <f>"15221"</f>
        <v>15221</v>
      </c>
    </row>
    <row r="6342" spans="1:16" x14ac:dyDescent="0.25">
      <c r="A6342" t="str">
        <f>"1130174A00314    00"</f>
        <v>1130174A00314    00</v>
      </c>
      <c r="B6342" t="s">
        <v>14522</v>
      </c>
      <c r="C6342" t="s">
        <v>14523</v>
      </c>
      <c r="D6342" t="s">
        <v>20</v>
      </c>
      <c r="E6342" t="s">
        <v>39</v>
      </c>
      <c r="F6342">
        <v>0</v>
      </c>
      <c r="G6342">
        <v>0</v>
      </c>
      <c r="H6342">
        <v>2</v>
      </c>
      <c r="I6342" s="3">
        <v>114.4</v>
      </c>
      <c r="J6342" s="3">
        <v>0</v>
      </c>
      <c r="L6342">
        <v>7013</v>
      </c>
      <c r="M6342" t="s">
        <v>12378</v>
      </c>
      <c r="N6342" t="s">
        <v>30</v>
      </c>
      <c r="O6342" t="s">
        <v>31</v>
      </c>
      <c r="P6342" t="str">
        <f>"15208"</f>
        <v>15208</v>
      </c>
    </row>
    <row r="6343" spans="1:16" x14ac:dyDescent="0.25">
      <c r="A6343" t="str">
        <f>"1130174A00330    00"</f>
        <v>1130174A00330    00</v>
      </c>
      <c r="B6343" t="s">
        <v>11858</v>
      </c>
      <c r="C6343" t="s">
        <v>14524</v>
      </c>
      <c r="D6343" t="s">
        <v>20</v>
      </c>
      <c r="E6343" t="s">
        <v>39</v>
      </c>
      <c r="F6343">
        <v>0</v>
      </c>
      <c r="G6343">
        <v>0</v>
      </c>
      <c r="H6343">
        <v>1</v>
      </c>
      <c r="I6343" s="3">
        <v>171.56</v>
      </c>
      <c r="J6343" s="3">
        <v>0</v>
      </c>
      <c r="K6343" t="s">
        <v>11860</v>
      </c>
      <c r="L6343">
        <v>46</v>
      </c>
      <c r="M6343" t="s">
        <v>913</v>
      </c>
      <c r="N6343" t="s">
        <v>914</v>
      </c>
      <c r="O6343" t="s">
        <v>200</v>
      </c>
      <c r="P6343" t="str">
        <f>"10952"</f>
        <v>10952</v>
      </c>
    </row>
    <row r="6344" spans="1:16" x14ac:dyDescent="0.25">
      <c r="A6344" t="str">
        <f>"1130174A00336    00"</f>
        <v>1130174A00336    00</v>
      </c>
      <c r="B6344" t="s">
        <v>12570</v>
      </c>
      <c r="C6344" t="s">
        <v>14525</v>
      </c>
      <c r="D6344" t="s">
        <v>20</v>
      </c>
      <c r="E6344" t="s">
        <v>21</v>
      </c>
      <c r="F6344">
        <v>0</v>
      </c>
      <c r="G6344">
        <v>0</v>
      </c>
      <c r="H6344">
        <v>1</v>
      </c>
      <c r="I6344" s="3">
        <v>1143.6199999999999</v>
      </c>
      <c r="J6344" s="3">
        <v>0</v>
      </c>
      <c r="K6344" t="s">
        <v>12572</v>
      </c>
      <c r="L6344">
        <v>46</v>
      </c>
      <c r="M6344" t="s">
        <v>913</v>
      </c>
      <c r="N6344" t="s">
        <v>914</v>
      </c>
      <c r="O6344" t="s">
        <v>200</v>
      </c>
      <c r="P6344" t="str">
        <f>"10952"</f>
        <v>10952</v>
      </c>
    </row>
    <row r="6345" spans="1:16" x14ac:dyDescent="0.25">
      <c r="A6345" t="str">
        <f>"1130174A00353    00"</f>
        <v>1130174A00353    00</v>
      </c>
      <c r="B6345" t="s">
        <v>9004</v>
      </c>
      <c r="C6345" t="s">
        <v>14526</v>
      </c>
      <c r="D6345" t="s">
        <v>20</v>
      </c>
      <c r="E6345" t="s">
        <v>39</v>
      </c>
      <c r="F6345">
        <v>0</v>
      </c>
      <c r="G6345">
        <v>0</v>
      </c>
      <c r="H6345">
        <v>5</v>
      </c>
      <c r="I6345" s="3">
        <v>1600.59</v>
      </c>
      <c r="J6345" s="3">
        <v>481.96</v>
      </c>
      <c r="L6345">
        <v>930</v>
      </c>
      <c r="M6345" t="s">
        <v>8907</v>
      </c>
      <c r="N6345" t="s">
        <v>30</v>
      </c>
      <c r="O6345" t="s">
        <v>31</v>
      </c>
      <c r="P6345" t="str">
        <f>"15201"</f>
        <v>15201</v>
      </c>
    </row>
    <row r="6346" spans="1:16" x14ac:dyDescent="0.25">
      <c r="A6346" t="str">
        <f>"1130174A00357    00"</f>
        <v>1130174A00357    00</v>
      </c>
      <c r="B6346" t="s">
        <v>14527</v>
      </c>
      <c r="C6346" t="s">
        <v>14528</v>
      </c>
      <c r="E6346" t="s">
        <v>39</v>
      </c>
      <c r="F6346">
        <v>0</v>
      </c>
      <c r="G6346">
        <v>0</v>
      </c>
      <c r="H6346">
        <v>11</v>
      </c>
      <c r="I6346" s="3">
        <v>148.16999999999999</v>
      </c>
      <c r="J6346" s="3">
        <v>85.35</v>
      </c>
      <c r="L6346">
        <v>7037</v>
      </c>
      <c r="M6346" t="s">
        <v>12045</v>
      </c>
      <c r="N6346" t="s">
        <v>30</v>
      </c>
      <c r="O6346" t="s">
        <v>31</v>
      </c>
      <c r="P6346" t="str">
        <f>"15208"</f>
        <v>15208</v>
      </c>
    </row>
    <row r="6347" spans="1:16" x14ac:dyDescent="0.25">
      <c r="A6347" t="str">
        <f>"1130174A00358    00"</f>
        <v>1130174A00358    00</v>
      </c>
      <c r="B6347" t="s">
        <v>14529</v>
      </c>
      <c r="C6347" t="s">
        <v>14528</v>
      </c>
      <c r="D6347" t="s">
        <v>20</v>
      </c>
      <c r="E6347" t="s">
        <v>39</v>
      </c>
      <c r="F6347">
        <v>0</v>
      </c>
      <c r="G6347">
        <v>0</v>
      </c>
      <c r="H6347">
        <v>5</v>
      </c>
      <c r="I6347" s="3">
        <v>65.63</v>
      </c>
      <c r="J6347" s="3">
        <v>11.63</v>
      </c>
      <c r="L6347">
        <v>7041</v>
      </c>
      <c r="M6347" t="s">
        <v>12045</v>
      </c>
      <c r="N6347" t="s">
        <v>30</v>
      </c>
      <c r="O6347" t="s">
        <v>31</v>
      </c>
      <c r="P6347" t="str">
        <f>"15208"</f>
        <v>15208</v>
      </c>
    </row>
    <row r="6348" spans="1:16" x14ac:dyDescent="0.25">
      <c r="A6348" t="str">
        <f>"1130174A00359    00"</f>
        <v>1130174A00359    00</v>
      </c>
      <c r="B6348" t="s">
        <v>14529</v>
      </c>
      <c r="C6348" t="s">
        <v>14530</v>
      </c>
      <c r="D6348" t="s">
        <v>20</v>
      </c>
      <c r="E6348" t="s">
        <v>39</v>
      </c>
      <c r="F6348">
        <v>0</v>
      </c>
      <c r="G6348">
        <v>0</v>
      </c>
      <c r="H6348">
        <v>2</v>
      </c>
      <c r="I6348" s="3">
        <v>335.5</v>
      </c>
      <c r="J6348" s="3">
        <v>0</v>
      </c>
      <c r="L6348">
        <v>3825</v>
      </c>
      <c r="M6348" t="s">
        <v>14531</v>
      </c>
      <c r="N6348" t="s">
        <v>509</v>
      </c>
      <c r="O6348" t="s">
        <v>31</v>
      </c>
      <c r="P6348" t="str">
        <f>"19114"</f>
        <v>19114</v>
      </c>
    </row>
    <row r="6349" spans="1:16" x14ac:dyDescent="0.25">
      <c r="A6349" t="str">
        <f>"1130174A00360    00"</f>
        <v>1130174A00360    00</v>
      </c>
      <c r="B6349" t="s">
        <v>14532</v>
      </c>
      <c r="C6349" t="s">
        <v>14533</v>
      </c>
      <c r="D6349" t="s">
        <v>20</v>
      </c>
      <c r="E6349" t="s">
        <v>39</v>
      </c>
      <c r="F6349">
        <v>0</v>
      </c>
      <c r="G6349">
        <v>0</v>
      </c>
      <c r="H6349">
        <v>1</v>
      </c>
      <c r="I6349" s="3">
        <v>96.03</v>
      </c>
      <c r="J6349" s="3">
        <v>0</v>
      </c>
      <c r="L6349">
        <v>7043</v>
      </c>
      <c r="M6349" t="s">
        <v>12045</v>
      </c>
      <c r="N6349" t="s">
        <v>30</v>
      </c>
      <c r="O6349" t="s">
        <v>31</v>
      </c>
      <c r="P6349" t="str">
        <f>"15208"</f>
        <v>15208</v>
      </c>
    </row>
    <row r="6350" spans="1:16" x14ac:dyDescent="0.25">
      <c r="A6350" t="str">
        <f>"1130174A00374    00"</f>
        <v>1130174A00374    00</v>
      </c>
      <c r="B6350" t="s">
        <v>14534</v>
      </c>
      <c r="C6350" t="s">
        <v>14528</v>
      </c>
      <c r="D6350" t="s">
        <v>20</v>
      </c>
      <c r="E6350" t="s">
        <v>39</v>
      </c>
      <c r="F6350">
        <v>0</v>
      </c>
      <c r="G6350">
        <v>0</v>
      </c>
      <c r="H6350">
        <v>19</v>
      </c>
      <c r="I6350" s="3">
        <v>2583.84</v>
      </c>
      <c r="J6350" s="3">
        <v>3516.54</v>
      </c>
      <c r="L6350">
        <v>5600</v>
      </c>
      <c r="M6350" t="s">
        <v>14535</v>
      </c>
      <c r="N6350" t="s">
        <v>30</v>
      </c>
      <c r="O6350" t="s">
        <v>31</v>
      </c>
      <c r="P6350" t="str">
        <f>"15206"</f>
        <v>15206</v>
      </c>
    </row>
    <row r="6351" spans="1:16" x14ac:dyDescent="0.25">
      <c r="A6351" t="str">
        <f>"1130174A00376    00"</f>
        <v>1130174A00376    00</v>
      </c>
      <c r="B6351" t="s">
        <v>11814</v>
      </c>
      <c r="C6351" t="s">
        <v>14536</v>
      </c>
      <c r="D6351" t="s">
        <v>20</v>
      </c>
      <c r="E6351" t="s">
        <v>39</v>
      </c>
      <c r="F6351">
        <v>0</v>
      </c>
      <c r="G6351">
        <v>0</v>
      </c>
      <c r="H6351">
        <v>17</v>
      </c>
      <c r="I6351" s="3">
        <v>17800.36</v>
      </c>
      <c r="J6351" s="3">
        <v>13866.68</v>
      </c>
      <c r="L6351">
        <v>5233</v>
      </c>
      <c r="M6351" t="s">
        <v>2444</v>
      </c>
      <c r="N6351" t="s">
        <v>30</v>
      </c>
      <c r="O6351" t="s">
        <v>31</v>
      </c>
      <c r="P6351" t="str">
        <f>"15201"</f>
        <v>15201</v>
      </c>
    </row>
    <row r="6352" spans="1:16" x14ac:dyDescent="0.25">
      <c r="A6352" t="str">
        <f>"1130174A00377    00"</f>
        <v>1130174A00377    00</v>
      </c>
      <c r="B6352" t="s">
        <v>14537</v>
      </c>
      <c r="C6352" t="s">
        <v>14538</v>
      </c>
      <c r="D6352" t="s">
        <v>20</v>
      </c>
      <c r="E6352" t="s">
        <v>39</v>
      </c>
      <c r="F6352">
        <v>0</v>
      </c>
      <c r="G6352">
        <v>0</v>
      </c>
      <c r="H6352">
        <v>5</v>
      </c>
      <c r="I6352" s="3">
        <v>2619.6</v>
      </c>
      <c r="J6352" s="3">
        <v>49.23</v>
      </c>
      <c r="L6352">
        <v>7128</v>
      </c>
      <c r="M6352" t="s">
        <v>12207</v>
      </c>
      <c r="N6352" t="s">
        <v>30</v>
      </c>
      <c r="O6352" t="s">
        <v>31</v>
      </c>
      <c r="P6352" t="str">
        <f>"15208"</f>
        <v>15208</v>
      </c>
    </row>
    <row r="6353" spans="1:16" x14ac:dyDescent="0.25">
      <c r="A6353" t="str">
        <f>"1130174A00379    00"</f>
        <v>1130174A00379    00</v>
      </c>
      <c r="B6353" t="s">
        <v>14539</v>
      </c>
      <c r="C6353" t="s">
        <v>14540</v>
      </c>
      <c r="D6353" t="s">
        <v>20</v>
      </c>
      <c r="E6353" t="s">
        <v>39</v>
      </c>
      <c r="F6353">
        <v>0</v>
      </c>
      <c r="G6353">
        <v>0</v>
      </c>
      <c r="H6353">
        <v>8</v>
      </c>
      <c r="I6353" s="3">
        <v>5687.15</v>
      </c>
      <c r="J6353" s="3">
        <v>1713.34</v>
      </c>
      <c r="K6353" t="s">
        <v>14541</v>
      </c>
      <c r="L6353">
        <v>7216</v>
      </c>
      <c r="M6353" t="s">
        <v>12974</v>
      </c>
      <c r="N6353" t="s">
        <v>30</v>
      </c>
      <c r="O6353" t="s">
        <v>31</v>
      </c>
      <c r="P6353" t="str">
        <f>"15206"</f>
        <v>15206</v>
      </c>
    </row>
    <row r="6354" spans="1:16" x14ac:dyDescent="0.25">
      <c r="A6354" t="str">
        <f>"1130174B00022    00"</f>
        <v>1130174B00022    00</v>
      </c>
      <c r="B6354" t="s">
        <v>14542</v>
      </c>
      <c r="C6354" t="s">
        <v>13993</v>
      </c>
      <c r="D6354" t="s">
        <v>20</v>
      </c>
      <c r="E6354" t="s">
        <v>39</v>
      </c>
      <c r="F6354">
        <v>0</v>
      </c>
      <c r="G6354">
        <v>0</v>
      </c>
      <c r="H6354">
        <v>19</v>
      </c>
      <c r="I6354" s="3">
        <v>336.07</v>
      </c>
      <c r="J6354" s="3">
        <v>313.38</v>
      </c>
      <c r="L6354">
        <v>18690</v>
      </c>
      <c r="M6354" t="s">
        <v>14543</v>
      </c>
      <c r="N6354" t="s">
        <v>4652</v>
      </c>
      <c r="O6354" t="s">
        <v>370</v>
      </c>
      <c r="P6354" t="str">
        <f>"33177"</f>
        <v>33177</v>
      </c>
    </row>
    <row r="6355" spans="1:16" x14ac:dyDescent="0.25">
      <c r="A6355" t="str">
        <f>"1130174B00023    00"</f>
        <v>1130174B00023    00</v>
      </c>
      <c r="B6355" t="s">
        <v>14544</v>
      </c>
      <c r="C6355" t="s">
        <v>14545</v>
      </c>
      <c r="D6355" t="s">
        <v>20</v>
      </c>
      <c r="E6355" t="s">
        <v>39</v>
      </c>
      <c r="F6355">
        <v>0</v>
      </c>
      <c r="G6355">
        <v>0</v>
      </c>
      <c r="H6355">
        <v>18</v>
      </c>
      <c r="I6355" s="3">
        <v>5798.73</v>
      </c>
      <c r="J6355" s="3">
        <v>5902.29</v>
      </c>
      <c r="L6355">
        <v>7224</v>
      </c>
      <c r="M6355" t="s">
        <v>13991</v>
      </c>
      <c r="N6355" t="s">
        <v>30</v>
      </c>
      <c r="O6355" t="s">
        <v>31</v>
      </c>
      <c r="P6355" t="str">
        <f>"15206"</f>
        <v>15206</v>
      </c>
    </row>
    <row r="6356" spans="1:16" x14ac:dyDescent="0.25">
      <c r="A6356" t="str">
        <f>"1130174B00028    00"</f>
        <v>1130174B00028    00</v>
      </c>
      <c r="B6356" t="s">
        <v>14546</v>
      </c>
      <c r="C6356" t="s">
        <v>13993</v>
      </c>
      <c r="D6356" t="s">
        <v>20</v>
      </c>
      <c r="E6356" t="s">
        <v>39</v>
      </c>
      <c r="F6356">
        <v>0</v>
      </c>
      <c r="G6356">
        <v>0</v>
      </c>
      <c r="H6356">
        <v>17</v>
      </c>
      <c r="I6356" s="3">
        <v>264.23</v>
      </c>
      <c r="J6356" s="3">
        <v>298.63</v>
      </c>
      <c r="L6356">
        <v>919</v>
      </c>
      <c r="M6356" t="s">
        <v>3600</v>
      </c>
      <c r="N6356" t="s">
        <v>30</v>
      </c>
      <c r="O6356" t="s">
        <v>31</v>
      </c>
      <c r="P6356" t="str">
        <f>"15221"</f>
        <v>15221</v>
      </c>
    </row>
    <row r="6357" spans="1:16" x14ac:dyDescent="0.25">
      <c r="A6357" t="str">
        <f>"1130174B00030    00"</f>
        <v>1130174B00030    00</v>
      </c>
      <c r="B6357" t="s">
        <v>14547</v>
      </c>
      <c r="C6357" t="s">
        <v>13993</v>
      </c>
      <c r="D6357" t="s">
        <v>20</v>
      </c>
      <c r="E6357" t="s">
        <v>39</v>
      </c>
      <c r="F6357">
        <v>0</v>
      </c>
      <c r="G6357">
        <v>0</v>
      </c>
      <c r="H6357">
        <v>13</v>
      </c>
      <c r="I6357" s="3">
        <v>214.97</v>
      </c>
      <c r="J6357" s="3">
        <v>124.98</v>
      </c>
      <c r="L6357">
        <v>7249</v>
      </c>
      <c r="M6357" t="s">
        <v>12207</v>
      </c>
      <c r="N6357" t="s">
        <v>30</v>
      </c>
      <c r="O6357" t="s">
        <v>31</v>
      </c>
      <c r="P6357" t="str">
        <f>"15208"</f>
        <v>15208</v>
      </c>
    </row>
    <row r="6358" spans="1:16" x14ac:dyDescent="0.25">
      <c r="A6358" t="str">
        <f>"1130174B00031    00"</f>
        <v>1130174B00031    00</v>
      </c>
      <c r="B6358" t="s">
        <v>14547</v>
      </c>
      <c r="C6358" t="s">
        <v>13993</v>
      </c>
      <c r="D6358" t="s">
        <v>20</v>
      </c>
      <c r="E6358" t="s">
        <v>39</v>
      </c>
      <c r="F6358">
        <v>0</v>
      </c>
      <c r="G6358">
        <v>0</v>
      </c>
      <c r="H6358">
        <v>13</v>
      </c>
      <c r="I6358" s="3">
        <v>214.97</v>
      </c>
      <c r="J6358" s="3">
        <v>124.98</v>
      </c>
      <c r="L6358">
        <v>7249</v>
      </c>
      <c r="M6358" t="s">
        <v>12207</v>
      </c>
      <c r="N6358" t="s">
        <v>30</v>
      </c>
      <c r="O6358" t="s">
        <v>31</v>
      </c>
      <c r="P6358" t="str">
        <f>"15208"</f>
        <v>15208</v>
      </c>
    </row>
    <row r="6359" spans="1:16" x14ac:dyDescent="0.25">
      <c r="A6359" t="str">
        <f>"1130174B00032    00"</f>
        <v>1130174B00032    00</v>
      </c>
      <c r="B6359" t="s">
        <v>14548</v>
      </c>
      <c r="C6359" t="s">
        <v>13993</v>
      </c>
      <c r="D6359" t="s">
        <v>20</v>
      </c>
      <c r="E6359" t="s">
        <v>39</v>
      </c>
      <c r="F6359">
        <v>0</v>
      </c>
      <c r="G6359">
        <v>0</v>
      </c>
      <c r="H6359">
        <v>19</v>
      </c>
      <c r="I6359" s="3">
        <v>370.25</v>
      </c>
      <c r="J6359" s="3">
        <v>353.16</v>
      </c>
      <c r="L6359">
        <v>7259</v>
      </c>
      <c r="M6359" t="s">
        <v>12207</v>
      </c>
      <c r="N6359" t="s">
        <v>30</v>
      </c>
      <c r="O6359" t="s">
        <v>31</v>
      </c>
      <c r="P6359" t="str">
        <f>"15208"</f>
        <v>15208</v>
      </c>
    </row>
    <row r="6360" spans="1:16" x14ac:dyDescent="0.25">
      <c r="A6360" t="str">
        <f>"1130174B00032B   00"</f>
        <v>1130174B00032B   00</v>
      </c>
      <c r="B6360" t="s">
        <v>14549</v>
      </c>
      <c r="C6360" t="s">
        <v>13993</v>
      </c>
      <c r="D6360" t="s">
        <v>20</v>
      </c>
      <c r="E6360" t="s">
        <v>39</v>
      </c>
      <c r="F6360">
        <v>0</v>
      </c>
      <c r="G6360">
        <v>0</v>
      </c>
      <c r="H6360">
        <v>17</v>
      </c>
      <c r="I6360" s="3">
        <v>264.23</v>
      </c>
      <c r="J6360" s="3">
        <v>298.63</v>
      </c>
      <c r="L6360">
        <v>7257</v>
      </c>
      <c r="M6360" t="s">
        <v>12207</v>
      </c>
      <c r="N6360" t="s">
        <v>30</v>
      </c>
      <c r="O6360" t="s">
        <v>31</v>
      </c>
      <c r="P6360" t="str">
        <f>"15208"</f>
        <v>15208</v>
      </c>
    </row>
    <row r="6361" spans="1:16" x14ac:dyDescent="0.25">
      <c r="A6361" t="str">
        <f>"1130174B00033    00"</f>
        <v>1130174B00033    00</v>
      </c>
      <c r="B6361" t="s">
        <v>14550</v>
      </c>
      <c r="C6361" t="s">
        <v>13993</v>
      </c>
      <c r="D6361" t="s">
        <v>20</v>
      </c>
      <c r="E6361" t="s">
        <v>39</v>
      </c>
      <c r="F6361">
        <v>0</v>
      </c>
      <c r="G6361">
        <v>0</v>
      </c>
      <c r="H6361">
        <v>13</v>
      </c>
      <c r="I6361" s="3">
        <v>214.97</v>
      </c>
      <c r="J6361" s="3">
        <v>124.98</v>
      </c>
      <c r="L6361">
        <v>7249</v>
      </c>
      <c r="M6361" t="s">
        <v>12207</v>
      </c>
      <c r="N6361" t="s">
        <v>30</v>
      </c>
      <c r="O6361" t="s">
        <v>31</v>
      </c>
      <c r="P6361" t="str">
        <f>"15208"</f>
        <v>15208</v>
      </c>
    </row>
    <row r="6362" spans="1:16" x14ac:dyDescent="0.25">
      <c r="A6362" t="str">
        <f>"1130174B00034    00"</f>
        <v>1130174B00034    00</v>
      </c>
      <c r="B6362" t="s">
        <v>14551</v>
      </c>
      <c r="C6362" t="s">
        <v>13993</v>
      </c>
      <c r="D6362" t="s">
        <v>20</v>
      </c>
      <c r="E6362" t="s">
        <v>39</v>
      </c>
      <c r="F6362">
        <v>0</v>
      </c>
      <c r="G6362">
        <v>0</v>
      </c>
      <c r="H6362">
        <v>18</v>
      </c>
      <c r="I6362" s="3">
        <v>301.47000000000003</v>
      </c>
      <c r="J6362" s="3">
        <v>250.53</v>
      </c>
      <c r="M6362" t="s">
        <v>13991</v>
      </c>
      <c r="N6362" t="s">
        <v>30</v>
      </c>
      <c r="O6362" t="s">
        <v>31</v>
      </c>
      <c r="P6362" t="str">
        <f>"15206"</f>
        <v>15206</v>
      </c>
    </row>
    <row r="6363" spans="1:16" x14ac:dyDescent="0.25">
      <c r="A6363" t="str">
        <f>"1130174B00040    00"</f>
        <v>1130174B00040    00</v>
      </c>
      <c r="B6363" t="s">
        <v>14552</v>
      </c>
      <c r="C6363" t="s">
        <v>13993</v>
      </c>
      <c r="D6363" t="s">
        <v>20</v>
      </c>
      <c r="E6363" t="s">
        <v>39</v>
      </c>
      <c r="F6363">
        <v>0</v>
      </c>
      <c r="G6363">
        <v>0</v>
      </c>
      <c r="H6363">
        <v>19</v>
      </c>
      <c r="I6363" s="3">
        <v>1634.19</v>
      </c>
      <c r="J6363" s="3">
        <v>1673.68</v>
      </c>
      <c r="P6363" t="str">
        <f>"10000"</f>
        <v>10000</v>
      </c>
    </row>
    <row r="6364" spans="1:16" x14ac:dyDescent="0.25">
      <c r="A6364" t="str">
        <f>"1130174B00041    00"</f>
        <v>1130174B00041    00</v>
      </c>
      <c r="B6364" t="s">
        <v>14553</v>
      </c>
      <c r="C6364" t="s">
        <v>13993</v>
      </c>
      <c r="E6364" t="s">
        <v>39</v>
      </c>
      <c r="F6364">
        <v>0</v>
      </c>
      <c r="G6364">
        <v>0</v>
      </c>
      <c r="H6364">
        <v>17</v>
      </c>
      <c r="I6364" s="3">
        <v>1474.64</v>
      </c>
      <c r="J6364" s="3">
        <v>1660.72</v>
      </c>
      <c r="K6364" t="s">
        <v>14554</v>
      </c>
      <c r="L6364">
        <v>8210</v>
      </c>
      <c r="M6364" t="s">
        <v>14555</v>
      </c>
      <c r="N6364" t="s">
        <v>14556</v>
      </c>
      <c r="O6364" t="s">
        <v>1184</v>
      </c>
      <c r="P6364" t="str">
        <f>"20723"</f>
        <v>20723</v>
      </c>
    </row>
    <row r="6365" spans="1:16" x14ac:dyDescent="0.25">
      <c r="A6365" t="str">
        <f>"1130174B00050    00"</f>
        <v>1130174B00050    00</v>
      </c>
      <c r="B6365" t="s">
        <v>14557</v>
      </c>
      <c r="C6365" t="s">
        <v>12188</v>
      </c>
      <c r="D6365" t="s">
        <v>20</v>
      </c>
      <c r="E6365" t="s">
        <v>39</v>
      </c>
      <c r="F6365">
        <v>0</v>
      </c>
      <c r="G6365">
        <v>0</v>
      </c>
      <c r="H6365">
        <v>19</v>
      </c>
      <c r="I6365" s="3">
        <v>351.08</v>
      </c>
      <c r="J6365" s="3">
        <v>365.58</v>
      </c>
      <c r="K6365" t="s">
        <v>1008</v>
      </c>
      <c r="P6365" t="str">
        <f>""</f>
        <v/>
      </c>
    </row>
    <row r="6366" spans="1:16" x14ac:dyDescent="0.25">
      <c r="A6366" t="str">
        <f>"1130174B00050000100"</f>
        <v>1130174B00050000100</v>
      </c>
      <c r="B6366" t="s">
        <v>14558</v>
      </c>
      <c r="C6366" t="s">
        <v>12188</v>
      </c>
      <c r="D6366" t="s">
        <v>20</v>
      </c>
      <c r="E6366" t="s">
        <v>39</v>
      </c>
      <c r="F6366">
        <v>0</v>
      </c>
      <c r="G6366">
        <v>0</v>
      </c>
      <c r="H6366">
        <v>19</v>
      </c>
      <c r="I6366" s="3">
        <v>3839.82</v>
      </c>
      <c r="J6366" s="3">
        <v>5119.22</v>
      </c>
      <c r="P6366" t="str">
        <f>""</f>
        <v/>
      </c>
    </row>
    <row r="6367" spans="1:16" x14ac:dyDescent="0.25">
      <c r="A6367" t="str">
        <f>"1130174B00060    00"</f>
        <v>1130174B00060    00</v>
      </c>
      <c r="B6367" t="s">
        <v>14559</v>
      </c>
      <c r="C6367" t="s">
        <v>14560</v>
      </c>
      <c r="D6367" t="s">
        <v>20</v>
      </c>
      <c r="E6367" t="s">
        <v>39</v>
      </c>
      <c r="F6367">
        <v>0</v>
      </c>
      <c r="G6367">
        <v>0</v>
      </c>
      <c r="H6367">
        <v>19</v>
      </c>
      <c r="I6367" s="3">
        <v>8423.2800000000007</v>
      </c>
      <c r="J6367" s="3">
        <v>9878.6299999999992</v>
      </c>
      <c r="L6367">
        <v>7257</v>
      </c>
      <c r="M6367" t="s">
        <v>12207</v>
      </c>
      <c r="N6367" t="s">
        <v>30</v>
      </c>
      <c r="O6367" t="s">
        <v>31</v>
      </c>
      <c r="P6367" t="str">
        <f>"15208"</f>
        <v>15208</v>
      </c>
    </row>
    <row r="6368" spans="1:16" x14ac:dyDescent="0.25">
      <c r="A6368" t="str">
        <f>"1130174B00062    00"</f>
        <v>1130174B00062    00</v>
      </c>
      <c r="B6368" t="s">
        <v>14561</v>
      </c>
      <c r="C6368" t="s">
        <v>12188</v>
      </c>
      <c r="D6368" t="s">
        <v>20</v>
      </c>
      <c r="E6368" t="s">
        <v>39</v>
      </c>
      <c r="F6368">
        <v>0</v>
      </c>
      <c r="G6368">
        <v>0</v>
      </c>
      <c r="H6368">
        <v>19</v>
      </c>
      <c r="I6368" s="3">
        <v>370.25</v>
      </c>
      <c r="J6368" s="3">
        <v>353.16</v>
      </c>
      <c r="M6368" t="s">
        <v>12207</v>
      </c>
      <c r="N6368" t="s">
        <v>30</v>
      </c>
      <c r="O6368" t="s">
        <v>31</v>
      </c>
      <c r="P6368" t="str">
        <f>"15208"</f>
        <v>15208</v>
      </c>
    </row>
    <row r="6369" spans="1:16" x14ac:dyDescent="0.25">
      <c r="A6369" t="str">
        <f>"1130174B00063    00"</f>
        <v>1130174B00063    00</v>
      </c>
      <c r="B6369" t="s">
        <v>14561</v>
      </c>
      <c r="C6369" t="s">
        <v>14562</v>
      </c>
      <c r="D6369" t="s">
        <v>20</v>
      </c>
      <c r="E6369" t="s">
        <v>39</v>
      </c>
      <c r="F6369">
        <v>0</v>
      </c>
      <c r="G6369">
        <v>0</v>
      </c>
      <c r="H6369">
        <v>19</v>
      </c>
      <c r="I6369" s="3">
        <v>9121.99</v>
      </c>
      <c r="J6369" s="3">
        <v>10639.81</v>
      </c>
      <c r="L6369">
        <v>7251</v>
      </c>
      <c r="M6369" t="s">
        <v>12207</v>
      </c>
      <c r="N6369" t="s">
        <v>30</v>
      </c>
      <c r="O6369" t="s">
        <v>31</v>
      </c>
      <c r="P6369" t="str">
        <f>"15208"</f>
        <v>15208</v>
      </c>
    </row>
    <row r="6370" spans="1:16" x14ac:dyDescent="0.25">
      <c r="A6370" t="str">
        <f>"1130174B00064    00"</f>
        <v>1130174B00064    00</v>
      </c>
      <c r="B6370" t="s">
        <v>14550</v>
      </c>
      <c r="C6370" t="s">
        <v>14563</v>
      </c>
      <c r="D6370" t="s">
        <v>20</v>
      </c>
      <c r="E6370" t="s">
        <v>39</v>
      </c>
      <c r="F6370">
        <v>0</v>
      </c>
      <c r="G6370">
        <v>0</v>
      </c>
      <c r="H6370">
        <v>16</v>
      </c>
      <c r="I6370" s="3">
        <v>2475.4299999999998</v>
      </c>
      <c r="J6370" s="3">
        <v>3170.58</v>
      </c>
      <c r="L6370">
        <v>7249</v>
      </c>
      <c r="M6370" t="s">
        <v>12207</v>
      </c>
      <c r="N6370" t="s">
        <v>30</v>
      </c>
      <c r="O6370" t="s">
        <v>31</v>
      </c>
      <c r="P6370" t="str">
        <f>"15208"</f>
        <v>15208</v>
      </c>
    </row>
    <row r="6371" spans="1:16" x14ac:dyDescent="0.25">
      <c r="A6371" t="str">
        <f>"1130174B00066    00"</f>
        <v>1130174B00066    00</v>
      </c>
      <c r="B6371" t="s">
        <v>14564</v>
      </c>
      <c r="C6371" t="s">
        <v>12188</v>
      </c>
      <c r="D6371" t="s">
        <v>20</v>
      </c>
      <c r="E6371" t="s">
        <v>39</v>
      </c>
      <c r="F6371">
        <v>0</v>
      </c>
      <c r="G6371">
        <v>0</v>
      </c>
      <c r="H6371">
        <v>11</v>
      </c>
      <c r="I6371" s="3">
        <v>108.95</v>
      </c>
      <c r="J6371" s="3">
        <v>70.45</v>
      </c>
      <c r="L6371">
        <v>7249</v>
      </c>
      <c r="M6371" t="s">
        <v>12207</v>
      </c>
      <c r="N6371" t="s">
        <v>30</v>
      </c>
      <c r="O6371" t="s">
        <v>31</v>
      </c>
      <c r="P6371" t="str">
        <f>"15208"</f>
        <v>15208</v>
      </c>
    </row>
    <row r="6372" spans="1:16" x14ac:dyDescent="0.25">
      <c r="A6372" t="str">
        <f>"1130174B00070    00"</f>
        <v>1130174B00070    00</v>
      </c>
      <c r="B6372" t="s">
        <v>14565</v>
      </c>
      <c r="C6372" t="s">
        <v>14566</v>
      </c>
      <c r="D6372" t="s">
        <v>20</v>
      </c>
      <c r="E6372" t="s">
        <v>39</v>
      </c>
      <c r="F6372">
        <v>0</v>
      </c>
      <c r="G6372">
        <v>0</v>
      </c>
      <c r="H6372">
        <v>7</v>
      </c>
      <c r="I6372" s="3">
        <v>3272.63</v>
      </c>
      <c r="J6372" s="3">
        <v>679.26</v>
      </c>
      <c r="M6372" t="s">
        <v>14567</v>
      </c>
      <c r="N6372" t="s">
        <v>30</v>
      </c>
      <c r="O6372" t="s">
        <v>31</v>
      </c>
      <c r="P6372" t="str">
        <f>"15206"</f>
        <v>15206</v>
      </c>
    </row>
    <row r="6373" spans="1:16" x14ac:dyDescent="0.25">
      <c r="A6373" t="str">
        <f>"1130174B00071    00"</f>
        <v>1130174B00071    00</v>
      </c>
      <c r="B6373" t="s">
        <v>14568</v>
      </c>
      <c r="C6373" t="s">
        <v>13993</v>
      </c>
      <c r="D6373" t="s">
        <v>20</v>
      </c>
      <c r="E6373" t="s">
        <v>39</v>
      </c>
      <c r="F6373">
        <v>0</v>
      </c>
      <c r="G6373">
        <v>0</v>
      </c>
      <c r="H6373">
        <v>17</v>
      </c>
      <c r="I6373" s="3">
        <v>212.5</v>
      </c>
      <c r="J6373" s="3">
        <v>226.79</v>
      </c>
      <c r="L6373">
        <v>7327</v>
      </c>
      <c r="M6373" t="s">
        <v>12378</v>
      </c>
      <c r="N6373" t="s">
        <v>30</v>
      </c>
      <c r="O6373" t="s">
        <v>31</v>
      </c>
      <c r="P6373" t="str">
        <f>"15208"</f>
        <v>15208</v>
      </c>
    </row>
    <row r="6374" spans="1:16" x14ac:dyDescent="0.25">
      <c r="A6374" t="str">
        <f>"1130174B00073    00"</f>
        <v>1130174B00073    00</v>
      </c>
      <c r="B6374" t="s">
        <v>14569</v>
      </c>
      <c r="C6374" t="s">
        <v>14570</v>
      </c>
      <c r="D6374" t="s">
        <v>20</v>
      </c>
      <c r="E6374" t="s">
        <v>39</v>
      </c>
      <c r="F6374">
        <v>0</v>
      </c>
      <c r="G6374">
        <v>0</v>
      </c>
      <c r="H6374">
        <v>2</v>
      </c>
      <c r="I6374" s="3">
        <v>466.61</v>
      </c>
      <c r="J6374" s="3">
        <v>0</v>
      </c>
      <c r="L6374">
        <v>7223</v>
      </c>
      <c r="M6374" t="s">
        <v>12207</v>
      </c>
      <c r="N6374" t="s">
        <v>30</v>
      </c>
      <c r="O6374" t="s">
        <v>31</v>
      </c>
      <c r="P6374" t="str">
        <f>"15208"</f>
        <v>15208</v>
      </c>
    </row>
    <row r="6375" spans="1:16" x14ac:dyDescent="0.25">
      <c r="A6375" t="str">
        <f>"1130174B00075    00"</f>
        <v>1130174B00075    00</v>
      </c>
      <c r="B6375" t="s">
        <v>14571</v>
      </c>
      <c r="C6375" t="s">
        <v>14572</v>
      </c>
      <c r="D6375" t="s">
        <v>20</v>
      </c>
      <c r="E6375" t="s">
        <v>39</v>
      </c>
      <c r="F6375">
        <v>0</v>
      </c>
      <c r="G6375">
        <v>0</v>
      </c>
      <c r="H6375">
        <v>17</v>
      </c>
      <c r="I6375" s="3">
        <v>11164.74</v>
      </c>
      <c r="J6375" s="3">
        <v>9230.9500000000007</v>
      </c>
      <c r="L6375">
        <v>3540</v>
      </c>
      <c r="M6375" t="s">
        <v>14573</v>
      </c>
      <c r="N6375" t="s">
        <v>509</v>
      </c>
      <c r="O6375" t="s">
        <v>31</v>
      </c>
      <c r="P6375" t="str">
        <f>"19140"</f>
        <v>19140</v>
      </c>
    </row>
    <row r="6376" spans="1:16" x14ac:dyDescent="0.25">
      <c r="A6376" t="str">
        <f>"1130174B00081    00"</f>
        <v>1130174B00081    00</v>
      </c>
      <c r="B6376" t="s">
        <v>14574</v>
      </c>
      <c r="C6376" t="s">
        <v>14575</v>
      </c>
      <c r="D6376" t="s">
        <v>20</v>
      </c>
      <c r="E6376" t="s">
        <v>39</v>
      </c>
      <c r="F6376">
        <v>0</v>
      </c>
      <c r="G6376">
        <v>0</v>
      </c>
      <c r="H6376">
        <v>2</v>
      </c>
      <c r="I6376" s="3">
        <v>1335.38</v>
      </c>
      <c r="J6376" s="3">
        <v>0</v>
      </c>
      <c r="L6376">
        <v>7206</v>
      </c>
      <c r="M6376" t="s">
        <v>13991</v>
      </c>
      <c r="N6376" t="s">
        <v>30</v>
      </c>
      <c r="O6376" t="s">
        <v>31</v>
      </c>
      <c r="P6376" t="str">
        <f>"15206"</f>
        <v>15206</v>
      </c>
    </row>
    <row r="6377" spans="1:16" x14ac:dyDescent="0.25">
      <c r="A6377" t="str">
        <f>"1130174B00093    00"</f>
        <v>1130174B00093    00</v>
      </c>
      <c r="B6377" t="s">
        <v>14211</v>
      </c>
      <c r="C6377" t="s">
        <v>14576</v>
      </c>
      <c r="D6377" t="s">
        <v>20</v>
      </c>
      <c r="E6377" t="s">
        <v>39</v>
      </c>
      <c r="F6377">
        <v>0</v>
      </c>
      <c r="G6377">
        <v>0</v>
      </c>
      <c r="H6377">
        <v>2</v>
      </c>
      <c r="I6377" s="3">
        <v>507.08</v>
      </c>
      <c r="J6377" s="3">
        <v>0</v>
      </c>
      <c r="L6377">
        <v>7107</v>
      </c>
      <c r="M6377" t="s">
        <v>11269</v>
      </c>
      <c r="N6377" t="s">
        <v>30</v>
      </c>
      <c r="O6377" t="s">
        <v>31</v>
      </c>
      <c r="P6377" t="str">
        <f>"15208"</f>
        <v>15208</v>
      </c>
    </row>
    <row r="6378" spans="1:16" x14ac:dyDescent="0.25">
      <c r="A6378" t="str">
        <f>"1130174B00095    00"</f>
        <v>1130174B00095    00</v>
      </c>
      <c r="B6378" t="s">
        <v>14577</v>
      </c>
      <c r="C6378" t="s">
        <v>12188</v>
      </c>
      <c r="D6378" t="s">
        <v>20</v>
      </c>
      <c r="E6378" t="s">
        <v>39</v>
      </c>
      <c r="F6378">
        <v>0</v>
      </c>
      <c r="G6378">
        <v>0</v>
      </c>
      <c r="H6378">
        <v>15</v>
      </c>
      <c r="I6378" s="3">
        <v>3082.37</v>
      </c>
      <c r="J6378" s="3">
        <v>3818.74</v>
      </c>
      <c r="L6378">
        <v>7175</v>
      </c>
      <c r="M6378" t="s">
        <v>12207</v>
      </c>
      <c r="N6378" t="s">
        <v>30</v>
      </c>
      <c r="O6378" t="s">
        <v>31</v>
      </c>
      <c r="P6378" t="str">
        <f>"15208"</f>
        <v>15208</v>
      </c>
    </row>
    <row r="6379" spans="1:16" x14ac:dyDescent="0.25">
      <c r="A6379" t="str">
        <f>"1130174B00096    00"</f>
        <v>1130174B00096    00</v>
      </c>
      <c r="B6379" t="s">
        <v>14578</v>
      </c>
      <c r="C6379" t="s">
        <v>12188</v>
      </c>
      <c r="D6379" t="s">
        <v>20</v>
      </c>
      <c r="E6379" t="s">
        <v>39</v>
      </c>
      <c r="F6379">
        <v>0</v>
      </c>
      <c r="G6379">
        <v>0</v>
      </c>
      <c r="H6379">
        <v>16</v>
      </c>
      <c r="I6379" s="3">
        <v>4095.74</v>
      </c>
      <c r="J6379" s="3">
        <v>5631.82</v>
      </c>
      <c r="L6379">
        <v>1003</v>
      </c>
      <c r="M6379" t="s">
        <v>9451</v>
      </c>
      <c r="N6379" t="s">
        <v>30</v>
      </c>
      <c r="O6379" t="s">
        <v>31</v>
      </c>
      <c r="P6379" t="str">
        <f>"15201"</f>
        <v>15201</v>
      </c>
    </row>
    <row r="6380" spans="1:16" x14ac:dyDescent="0.25">
      <c r="A6380" t="str">
        <f>"1130174B00096B   00"</f>
        <v>1130174B00096B   00</v>
      </c>
      <c r="B6380" t="s">
        <v>14579</v>
      </c>
      <c r="C6380" t="s">
        <v>12188</v>
      </c>
      <c r="D6380" t="s">
        <v>20</v>
      </c>
      <c r="E6380" t="s">
        <v>39</v>
      </c>
      <c r="F6380">
        <v>0</v>
      </c>
      <c r="G6380">
        <v>0</v>
      </c>
      <c r="H6380">
        <v>17</v>
      </c>
      <c r="I6380" s="3">
        <v>5023.49</v>
      </c>
      <c r="J6380" s="3">
        <v>6750.02</v>
      </c>
      <c r="K6380" t="s">
        <v>1008</v>
      </c>
      <c r="P6380" t="str">
        <f>""</f>
        <v/>
      </c>
    </row>
    <row r="6381" spans="1:16" x14ac:dyDescent="0.25">
      <c r="A6381" t="str">
        <f>"1130174B00096C   00"</f>
        <v>1130174B00096C   00</v>
      </c>
      <c r="B6381" t="s">
        <v>14580</v>
      </c>
      <c r="C6381" t="s">
        <v>12188</v>
      </c>
      <c r="D6381" t="s">
        <v>20</v>
      </c>
      <c r="E6381" t="s">
        <v>39</v>
      </c>
      <c r="F6381">
        <v>0</v>
      </c>
      <c r="G6381">
        <v>0</v>
      </c>
      <c r="H6381">
        <v>9</v>
      </c>
      <c r="I6381" s="3">
        <v>524.33000000000004</v>
      </c>
      <c r="J6381" s="3">
        <v>469.04</v>
      </c>
      <c r="L6381">
        <v>426</v>
      </c>
      <c r="M6381" t="s">
        <v>8051</v>
      </c>
      <c r="N6381" t="s">
        <v>30</v>
      </c>
      <c r="O6381" t="s">
        <v>31</v>
      </c>
      <c r="P6381" t="str">
        <f>"15224"</f>
        <v>15224</v>
      </c>
    </row>
    <row r="6382" spans="1:16" x14ac:dyDescent="0.25">
      <c r="A6382" t="str">
        <f>"1130174B00100    00"</f>
        <v>1130174B00100    00</v>
      </c>
      <c r="B6382" t="s">
        <v>14581</v>
      </c>
      <c r="C6382" t="s">
        <v>12188</v>
      </c>
      <c r="D6382" t="s">
        <v>20</v>
      </c>
      <c r="E6382" t="s">
        <v>21</v>
      </c>
      <c r="F6382">
        <v>0</v>
      </c>
      <c r="G6382">
        <v>0</v>
      </c>
      <c r="H6382">
        <v>19</v>
      </c>
      <c r="I6382" s="3">
        <v>8867.2199999999993</v>
      </c>
      <c r="J6382" s="3">
        <v>11655.63</v>
      </c>
      <c r="M6382" t="s">
        <v>14582</v>
      </c>
      <c r="N6382" t="s">
        <v>30</v>
      </c>
      <c r="O6382" t="s">
        <v>31</v>
      </c>
      <c r="P6382" t="str">
        <f>"15222"</f>
        <v>15222</v>
      </c>
    </row>
    <row r="6383" spans="1:16" x14ac:dyDescent="0.25">
      <c r="A6383" t="str">
        <f>"1130174B00103    00"</f>
        <v>1130174B00103    00</v>
      </c>
      <c r="B6383" t="s">
        <v>14583</v>
      </c>
      <c r="C6383" t="s">
        <v>14584</v>
      </c>
      <c r="D6383" t="s">
        <v>20</v>
      </c>
      <c r="E6383" t="s">
        <v>39</v>
      </c>
      <c r="F6383">
        <v>0</v>
      </c>
      <c r="G6383">
        <v>0</v>
      </c>
      <c r="H6383">
        <v>3</v>
      </c>
      <c r="I6383" s="3">
        <v>1136.6600000000001</v>
      </c>
      <c r="J6383" s="3">
        <v>87.6</v>
      </c>
      <c r="L6383">
        <v>7156</v>
      </c>
      <c r="M6383" t="s">
        <v>12207</v>
      </c>
      <c r="N6383" t="s">
        <v>30</v>
      </c>
      <c r="O6383" t="s">
        <v>31</v>
      </c>
      <c r="P6383" t="str">
        <f>"15208"</f>
        <v>15208</v>
      </c>
    </row>
    <row r="6384" spans="1:16" x14ac:dyDescent="0.25">
      <c r="A6384" t="str">
        <f>"1130174B00105    00"</f>
        <v>1130174B00105    00</v>
      </c>
      <c r="B6384" t="s">
        <v>14585</v>
      </c>
      <c r="C6384" t="s">
        <v>14586</v>
      </c>
      <c r="D6384" t="s">
        <v>20</v>
      </c>
      <c r="E6384" t="s">
        <v>39</v>
      </c>
      <c r="F6384">
        <v>0</v>
      </c>
      <c r="G6384">
        <v>0</v>
      </c>
      <c r="H6384">
        <v>15</v>
      </c>
      <c r="I6384" s="3">
        <v>3388.07</v>
      </c>
      <c r="J6384" s="3">
        <v>2240.88</v>
      </c>
      <c r="L6384">
        <v>7160</v>
      </c>
      <c r="M6384" t="s">
        <v>12207</v>
      </c>
      <c r="N6384" t="s">
        <v>30</v>
      </c>
      <c r="O6384" t="s">
        <v>31</v>
      </c>
      <c r="P6384" t="str">
        <f>"15208"</f>
        <v>15208</v>
      </c>
    </row>
    <row r="6385" spans="1:16" x14ac:dyDescent="0.25">
      <c r="A6385" t="str">
        <f>"1130174B00106    00"</f>
        <v>1130174B00106    00</v>
      </c>
      <c r="B6385" t="s">
        <v>14587</v>
      </c>
      <c r="C6385" t="s">
        <v>14588</v>
      </c>
      <c r="D6385" t="s">
        <v>20</v>
      </c>
      <c r="E6385" t="s">
        <v>39</v>
      </c>
      <c r="F6385">
        <v>0</v>
      </c>
      <c r="G6385">
        <v>0</v>
      </c>
      <c r="H6385">
        <v>4</v>
      </c>
      <c r="I6385" s="3">
        <v>5300.78</v>
      </c>
      <c r="J6385" s="3">
        <v>613.73</v>
      </c>
      <c r="L6385">
        <v>7162</v>
      </c>
      <c r="M6385" t="s">
        <v>12207</v>
      </c>
      <c r="N6385" t="s">
        <v>30</v>
      </c>
      <c r="O6385" t="s">
        <v>31</v>
      </c>
      <c r="P6385" t="str">
        <f>"15208"</f>
        <v>15208</v>
      </c>
    </row>
    <row r="6386" spans="1:16" x14ac:dyDescent="0.25">
      <c r="A6386" t="str">
        <f>"1130174B00107    00"</f>
        <v>1130174B00107    00</v>
      </c>
      <c r="B6386" t="s">
        <v>14589</v>
      </c>
      <c r="C6386" t="s">
        <v>14590</v>
      </c>
      <c r="D6386" t="s">
        <v>20</v>
      </c>
      <c r="E6386" t="s">
        <v>39</v>
      </c>
      <c r="F6386">
        <v>0</v>
      </c>
      <c r="G6386">
        <v>0</v>
      </c>
      <c r="H6386">
        <v>1</v>
      </c>
      <c r="I6386" s="3">
        <v>362.14</v>
      </c>
      <c r="J6386" s="3">
        <v>0</v>
      </c>
      <c r="L6386">
        <v>113</v>
      </c>
      <c r="M6386" t="s">
        <v>12166</v>
      </c>
      <c r="N6386" t="s">
        <v>30</v>
      </c>
      <c r="O6386" t="s">
        <v>31</v>
      </c>
      <c r="P6386" t="str">
        <f>"15235"</f>
        <v>15235</v>
      </c>
    </row>
    <row r="6387" spans="1:16" x14ac:dyDescent="0.25">
      <c r="A6387" t="str">
        <f>"1130174B00116    00"</f>
        <v>1130174B00116    00</v>
      </c>
      <c r="B6387" t="s">
        <v>14591</v>
      </c>
      <c r="C6387" t="s">
        <v>14592</v>
      </c>
      <c r="E6387" t="s">
        <v>39</v>
      </c>
      <c r="F6387">
        <v>0</v>
      </c>
      <c r="G6387">
        <v>0</v>
      </c>
      <c r="H6387">
        <v>4</v>
      </c>
      <c r="I6387" s="3">
        <v>469.79</v>
      </c>
      <c r="J6387" s="3">
        <v>264.14</v>
      </c>
      <c r="L6387">
        <v>7212</v>
      </c>
      <c r="M6387" t="s">
        <v>12207</v>
      </c>
      <c r="N6387" t="s">
        <v>30</v>
      </c>
      <c r="O6387" t="s">
        <v>31</v>
      </c>
      <c r="P6387" t="str">
        <f>"15208"</f>
        <v>15208</v>
      </c>
    </row>
    <row r="6388" spans="1:16" x14ac:dyDescent="0.25">
      <c r="A6388" t="str">
        <f>"1130174B00120    00"</f>
        <v>1130174B00120    00</v>
      </c>
      <c r="B6388" t="s">
        <v>14593</v>
      </c>
      <c r="C6388" t="s">
        <v>14594</v>
      </c>
      <c r="D6388" t="s">
        <v>20</v>
      </c>
      <c r="E6388" t="s">
        <v>39</v>
      </c>
      <c r="F6388">
        <v>0</v>
      </c>
      <c r="G6388">
        <v>0</v>
      </c>
      <c r="H6388">
        <v>1</v>
      </c>
      <c r="I6388" s="3">
        <v>669.01</v>
      </c>
      <c r="J6388" s="3">
        <v>0</v>
      </c>
      <c r="K6388" t="s">
        <v>14595</v>
      </c>
      <c r="L6388">
        <v>4885</v>
      </c>
      <c r="M6388" t="e">
        <f>-A MCKNIGHT RD</f>
        <v>#NAME?</v>
      </c>
      <c r="N6388" t="s">
        <v>30</v>
      </c>
      <c r="O6388" t="s">
        <v>31</v>
      </c>
      <c r="P6388" t="str">
        <f>"15237"</f>
        <v>15237</v>
      </c>
    </row>
    <row r="6389" spans="1:16" x14ac:dyDescent="0.25">
      <c r="A6389" t="str">
        <f>"1130174B00121    00"</f>
        <v>1130174B00121    00</v>
      </c>
      <c r="B6389" t="s">
        <v>14596</v>
      </c>
      <c r="C6389" t="s">
        <v>14597</v>
      </c>
      <c r="D6389" t="s">
        <v>20</v>
      </c>
      <c r="E6389" t="s">
        <v>39</v>
      </c>
      <c r="F6389">
        <v>0</v>
      </c>
      <c r="G6389">
        <v>0</v>
      </c>
      <c r="H6389">
        <v>1</v>
      </c>
      <c r="I6389" s="3">
        <v>423.15</v>
      </c>
      <c r="J6389" s="3">
        <v>0</v>
      </c>
      <c r="K6389" t="s">
        <v>14598</v>
      </c>
      <c r="L6389">
        <v>8315</v>
      </c>
      <c r="M6389" t="s">
        <v>3107</v>
      </c>
      <c r="N6389" t="s">
        <v>30</v>
      </c>
      <c r="O6389" t="s">
        <v>31</v>
      </c>
      <c r="P6389" t="str">
        <f>"15221"</f>
        <v>15221</v>
      </c>
    </row>
    <row r="6390" spans="1:16" x14ac:dyDescent="0.25">
      <c r="A6390" t="str">
        <f>"1130174B00122    00"</f>
        <v>1130174B00122    00</v>
      </c>
      <c r="B6390" t="s">
        <v>14599</v>
      </c>
      <c r="C6390" t="s">
        <v>12188</v>
      </c>
      <c r="D6390" t="s">
        <v>20</v>
      </c>
      <c r="E6390" t="s">
        <v>39</v>
      </c>
      <c r="F6390">
        <v>0</v>
      </c>
      <c r="G6390">
        <v>0</v>
      </c>
      <c r="H6390">
        <v>6</v>
      </c>
      <c r="I6390" s="3">
        <v>55.92</v>
      </c>
      <c r="J6390" s="3">
        <v>16.39</v>
      </c>
      <c r="L6390">
        <v>1</v>
      </c>
      <c r="M6390" t="s">
        <v>14600</v>
      </c>
      <c r="N6390" t="s">
        <v>14601</v>
      </c>
      <c r="O6390" t="s">
        <v>440</v>
      </c>
      <c r="P6390" t="str">
        <f>"01760"</f>
        <v>01760</v>
      </c>
    </row>
    <row r="6391" spans="1:16" x14ac:dyDescent="0.25">
      <c r="A6391" t="str">
        <f>"1130174B00123    00"</f>
        <v>1130174B00123    00</v>
      </c>
      <c r="B6391" t="s">
        <v>14602</v>
      </c>
      <c r="C6391" t="s">
        <v>12188</v>
      </c>
      <c r="D6391" t="s">
        <v>20</v>
      </c>
      <c r="E6391" t="s">
        <v>39</v>
      </c>
      <c r="F6391">
        <v>0</v>
      </c>
      <c r="G6391">
        <v>0</v>
      </c>
      <c r="H6391">
        <v>10</v>
      </c>
      <c r="I6391" s="3">
        <v>166.06</v>
      </c>
      <c r="J6391" s="3">
        <v>71.58</v>
      </c>
      <c r="L6391">
        <v>405</v>
      </c>
      <c r="M6391" t="s">
        <v>14603</v>
      </c>
      <c r="N6391" t="s">
        <v>14604</v>
      </c>
      <c r="O6391" t="s">
        <v>606</v>
      </c>
      <c r="P6391" t="str">
        <f>"30080"</f>
        <v>30080</v>
      </c>
    </row>
    <row r="6392" spans="1:16" x14ac:dyDescent="0.25">
      <c r="A6392" t="str">
        <f>"1130174B00127A   00"</f>
        <v>1130174B00127A   00</v>
      </c>
      <c r="B6392" t="s">
        <v>14605</v>
      </c>
      <c r="C6392" t="s">
        <v>14606</v>
      </c>
      <c r="D6392" t="s">
        <v>20</v>
      </c>
      <c r="E6392" t="s">
        <v>39</v>
      </c>
      <c r="F6392">
        <v>0</v>
      </c>
      <c r="G6392">
        <v>0</v>
      </c>
      <c r="H6392">
        <v>2</v>
      </c>
      <c r="I6392" s="3">
        <v>75.78</v>
      </c>
      <c r="J6392" s="3">
        <v>0</v>
      </c>
      <c r="L6392">
        <v>7242</v>
      </c>
      <c r="M6392" t="s">
        <v>12207</v>
      </c>
      <c r="N6392" t="s">
        <v>30</v>
      </c>
      <c r="O6392" t="s">
        <v>31</v>
      </c>
      <c r="P6392" t="str">
        <f>"15208"</f>
        <v>15208</v>
      </c>
    </row>
    <row r="6393" spans="1:16" x14ac:dyDescent="0.25">
      <c r="A6393" t="str">
        <f>"1130174B00128    00"</f>
        <v>1130174B00128    00</v>
      </c>
      <c r="B6393" t="s">
        <v>14607</v>
      </c>
      <c r="C6393" t="s">
        <v>14608</v>
      </c>
      <c r="D6393" t="s">
        <v>20</v>
      </c>
      <c r="E6393" t="s">
        <v>39</v>
      </c>
      <c r="F6393">
        <v>0</v>
      </c>
      <c r="G6393">
        <v>0</v>
      </c>
      <c r="H6393">
        <v>8</v>
      </c>
      <c r="I6393" s="3">
        <v>954.48</v>
      </c>
      <c r="J6393" s="3">
        <v>96.03</v>
      </c>
      <c r="L6393">
        <v>7244</v>
      </c>
      <c r="M6393" t="s">
        <v>12207</v>
      </c>
      <c r="N6393" t="s">
        <v>30</v>
      </c>
      <c r="O6393" t="s">
        <v>31</v>
      </c>
      <c r="P6393" t="str">
        <f>"15208"</f>
        <v>15208</v>
      </c>
    </row>
    <row r="6394" spans="1:16" x14ac:dyDescent="0.25">
      <c r="A6394" t="str">
        <f>"1130174B00129    00"</f>
        <v>1130174B00129    00</v>
      </c>
      <c r="B6394" t="s">
        <v>14609</v>
      </c>
      <c r="C6394" t="s">
        <v>14610</v>
      </c>
      <c r="D6394" t="s">
        <v>20</v>
      </c>
      <c r="E6394" t="s">
        <v>39</v>
      </c>
      <c r="F6394">
        <v>0</v>
      </c>
      <c r="G6394">
        <v>0</v>
      </c>
      <c r="H6394">
        <v>1</v>
      </c>
      <c r="I6394" s="3">
        <v>421.23</v>
      </c>
      <c r="J6394" s="3">
        <v>0</v>
      </c>
      <c r="L6394">
        <v>557</v>
      </c>
      <c r="M6394" t="s">
        <v>11623</v>
      </c>
      <c r="N6394" t="s">
        <v>30</v>
      </c>
      <c r="O6394" t="s">
        <v>31</v>
      </c>
      <c r="P6394" t="str">
        <f>"15208"</f>
        <v>15208</v>
      </c>
    </row>
    <row r="6395" spans="1:16" x14ac:dyDescent="0.25">
      <c r="A6395" t="str">
        <f>"1130174B00130    00"</f>
        <v>1130174B00130    00</v>
      </c>
      <c r="B6395" t="s">
        <v>14611</v>
      </c>
      <c r="C6395" t="s">
        <v>12188</v>
      </c>
      <c r="D6395" t="s">
        <v>20</v>
      </c>
      <c r="E6395" t="s">
        <v>39</v>
      </c>
      <c r="F6395">
        <v>0</v>
      </c>
      <c r="G6395">
        <v>0</v>
      </c>
      <c r="H6395">
        <v>17</v>
      </c>
      <c r="I6395" s="3">
        <v>264.23</v>
      </c>
      <c r="J6395" s="3">
        <v>298.63</v>
      </c>
      <c r="K6395" t="s">
        <v>1037</v>
      </c>
      <c r="L6395">
        <v>7239</v>
      </c>
      <c r="M6395" t="s">
        <v>12201</v>
      </c>
      <c r="N6395" t="s">
        <v>30</v>
      </c>
      <c r="O6395" t="s">
        <v>31</v>
      </c>
      <c r="P6395" t="str">
        <f>"15208"</f>
        <v>15208</v>
      </c>
    </row>
    <row r="6396" spans="1:16" x14ac:dyDescent="0.25">
      <c r="A6396" t="str">
        <f>"1130174B00131    00"</f>
        <v>1130174B00131    00</v>
      </c>
      <c r="B6396" t="s">
        <v>14612</v>
      </c>
      <c r="C6396" t="s">
        <v>14613</v>
      </c>
      <c r="D6396" t="s">
        <v>20</v>
      </c>
      <c r="E6396" t="s">
        <v>39</v>
      </c>
      <c r="F6396">
        <v>0</v>
      </c>
      <c r="G6396">
        <v>0</v>
      </c>
      <c r="H6396">
        <v>15</v>
      </c>
      <c r="I6396" s="3">
        <v>7086.48</v>
      </c>
      <c r="J6396" s="3">
        <v>5282.4</v>
      </c>
      <c r="L6396">
        <v>14363</v>
      </c>
      <c r="M6396" t="s">
        <v>14614</v>
      </c>
      <c r="N6396" t="s">
        <v>14615</v>
      </c>
      <c r="O6396" t="s">
        <v>70</v>
      </c>
      <c r="P6396" t="str">
        <f>"48313"</f>
        <v>48313</v>
      </c>
    </row>
    <row r="6397" spans="1:16" x14ac:dyDescent="0.25">
      <c r="A6397" t="str">
        <f>"1130174B00132    01"</f>
        <v>1130174B00132    01</v>
      </c>
      <c r="B6397" t="s">
        <v>14616</v>
      </c>
      <c r="C6397" t="s">
        <v>13993</v>
      </c>
      <c r="E6397" t="s">
        <v>39</v>
      </c>
      <c r="F6397">
        <v>0</v>
      </c>
      <c r="G6397">
        <v>0</v>
      </c>
      <c r="H6397">
        <v>1</v>
      </c>
      <c r="I6397" s="3">
        <v>68.78</v>
      </c>
      <c r="J6397" s="3">
        <v>102.05</v>
      </c>
      <c r="K6397" t="s">
        <v>1008</v>
      </c>
      <c r="P6397" t="str">
        <f>""</f>
        <v/>
      </c>
    </row>
    <row r="6398" spans="1:16" x14ac:dyDescent="0.25">
      <c r="A6398" t="str">
        <f>"1130174B00132    02"</f>
        <v>1130174B00132    02</v>
      </c>
      <c r="B6398" t="s">
        <v>14617</v>
      </c>
      <c r="C6398" t="s">
        <v>12188</v>
      </c>
      <c r="D6398" t="s">
        <v>20</v>
      </c>
      <c r="E6398" t="s">
        <v>39</v>
      </c>
      <c r="F6398">
        <v>0</v>
      </c>
      <c r="G6398">
        <v>0</v>
      </c>
      <c r="H6398">
        <v>14</v>
      </c>
      <c r="I6398" s="3">
        <v>1980.81</v>
      </c>
      <c r="J6398" s="3">
        <v>2442.7399999999998</v>
      </c>
      <c r="L6398">
        <v>70</v>
      </c>
      <c r="M6398" t="s">
        <v>14618</v>
      </c>
      <c r="N6398" t="s">
        <v>14619</v>
      </c>
      <c r="O6398" t="s">
        <v>423</v>
      </c>
      <c r="P6398" t="str">
        <f>"07017"</f>
        <v>07017</v>
      </c>
    </row>
    <row r="6399" spans="1:16" x14ac:dyDescent="0.25">
      <c r="A6399" t="str">
        <f>"1130174B00133    00"</f>
        <v>1130174B00133    00</v>
      </c>
      <c r="B6399" t="s">
        <v>14620</v>
      </c>
      <c r="C6399" t="s">
        <v>12188</v>
      </c>
      <c r="D6399" t="s">
        <v>20</v>
      </c>
      <c r="E6399" t="s">
        <v>39</v>
      </c>
      <c r="F6399">
        <v>0</v>
      </c>
      <c r="G6399">
        <v>0</v>
      </c>
      <c r="H6399">
        <v>18</v>
      </c>
      <c r="I6399" s="3">
        <v>6726.3</v>
      </c>
      <c r="J6399" s="3">
        <v>9501.1200000000008</v>
      </c>
      <c r="L6399">
        <v>7254</v>
      </c>
      <c r="M6399" t="s">
        <v>12207</v>
      </c>
      <c r="N6399" t="s">
        <v>30</v>
      </c>
      <c r="O6399" t="s">
        <v>31</v>
      </c>
      <c r="P6399" t="str">
        <f>"15208"</f>
        <v>15208</v>
      </c>
    </row>
    <row r="6400" spans="1:16" x14ac:dyDescent="0.25">
      <c r="A6400" t="str">
        <f>"1130174B00140    00"</f>
        <v>1130174B00140    00</v>
      </c>
      <c r="B6400" t="s">
        <v>14621</v>
      </c>
      <c r="C6400" t="s">
        <v>12188</v>
      </c>
      <c r="D6400" t="s">
        <v>20</v>
      </c>
      <c r="E6400" t="s">
        <v>39</v>
      </c>
      <c r="F6400">
        <v>0</v>
      </c>
      <c r="G6400">
        <v>0</v>
      </c>
      <c r="H6400">
        <v>19</v>
      </c>
      <c r="I6400" s="3">
        <v>1711.01</v>
      </c>
      <c r="J6400" s="3">
        <v>1804.32</v>
      </c>
      <c r="L6400">
        <v>7310</v>
      </c>
      <c r="M6400" t="s">
        <v>12207</v>
      </c>
      <c r="N6400" t="s">
        <v>30</v>
      </c>
      <c r="O6400" t="s">
        <v>31</v>
      </c>
      <c r="P6400" t="str">
        <f>"15208"</f>
        <v>15208</v>
      </c>
    </row>
    <row r="6401" spans="1:16" x14ac:dyDescent="0.25">
      <c r="A6401" t="str">
        <f>"1130174B00141    00"</f>
        <v>1130174B00141    00</v>
      </c>
      <c r="B6401" t="s">
        <v>14622</v>
      </c>
      <c r="C6401" t="s">
        <v>12188</v>
      </c>
      <c r="D6401" t="s">
        <v>20</v>
      </c>
      <c r="E6401" t="s">
        <v>39</v>
      </c>
      <c r="F6401">
        <v>0</v>
      </c>
      <c r="G6401">
        <v>0</v>
      </c>
      <c r="H6401">
        <v>19</v>
      </c>
      <c r="I6401" s="3">
        <v>1661.73</v>
      </c>
      <c r="J6401" s="3">
        <v>1733.26</v>
      </c>
      <c r="L6401">
        <v>5161</v>
      </c>
      <c r="M6401" t="s">
        <v>14623</v>
      </c>
      <c r="N6401" t="s">
        <v>3681</v>
      </c>
      <c r="O6401" t="s">
        <v>1184</v>
      </c>
      <c r="P6401" t="str">
        <f>"21044"</f>
        <v>21044</v>
      </c>
    </row>
    <row r="6402" spans="1:16" x14ac:dyDescent="0.25">
      <c r="A6402" t="str">
        <f>"1130174B00142    00"</f>
        <v>1130174B00142    00</v>
      </c>
      <c r="B6402" t="s">
        <v>14624</v>
      </c>
      <c r="C6402" t="s">
        <v>14625</v>
      </c>
      <c r="D6402" t="s">
        <v>20</v>
      </c>
      <c r="E6402" t="s">
        <v>39</v>
      </c>
      <c r="F6402">
        <v>0</v>
      </c>
      <c r="G6402">
        <v>0</v>
      </c>
      <c r="H6402">
        <v>19</v>
      </c>
      <c r="I6402" s="3">
        <v>1766.93</v>
      </c>
      <c r="J6402" s="3">
        <v>1794.95</v>
      </c>
      <c r="L6402">
        <v>7318</v>
      </c>
      <c r="M6402" t="s">
        <v>12207</v>
      </c>
      <c r="N6402" t="s">
        <v>30</v>
      </c>
      <c r="O6402" t="s">
        <v>31</v>
      </c>
      <c r="P6402" t="str">
        <f>"15208"</f>
        <v>15208</v>
      </c>
    </row>
    <row r="6403" spans="1:16" x14ac:dyDescent="0.25">
      <c r="A6403" t="str">
        <f>"1130174B00144    00"</f>
        <v>1130174B00144    00</v>
      </c>
      <c r="B6403" t="s">
        <v>14626</v>
      </c>
      <c r="C6403" t="s">
        <v>14627</v>
      </c>
      <c r="D6403" t="s">
        <v>20</v>
      </c>
      <c r="E6403" t="s">
        <v>39</v>
      </c>
      <c r="F6403">
        <v>0</v>
      </c>
      <c r="G6403">
        <v>0</v>
      </c>
      <c r="H6403">
        <v>3</v>
      </c>
      <c r="I6403" s="3">
        <v>617.66</v>
      </c>
      <c r="J6403" s="3">
        <v>0</v>
      </c>
      <c r="L6403">
        <v>7320</v>
      </c>
      <c r="M6403" t="s">
        <v>12207</v>
      </c>
      <c r="N6403" t="s">
        <v>30</v>
      </c>
      <c r="O6403" t="s">
        <v>31</v>
      </c>
      <c r="P6403" t="str">
        <f>"15208"</f>
        <v>15208</v>
      </c>
    </row>
    <row r="6404" spans="1:16" x14ac:dyDescent="0.25">
      <c r="A6404" t="str">
        <f>"1130174B00148    00"</f>
        <v>1130174B00148    00</v>
      </c>
      <c r="B6404" t="s">
        <v>14628</v>
      </c>
      <c r="C6404" t="s">
        <v>14629</v>
      </c>
      <c r="E6404" t="s">
        <v>39</v>
      </c>
      <c r="F6404">
        <v>0</v>
      </c>
      <c r="G6404">
        <v>0</v>
      </c>
      <c r="H6404">
        <v>4</v>
      </c>
      <c r="I6404" s="3">
        <v>1563.27</v>
      </c>
      <c r="J6404" s="3">
        <v>2151.02</v>
      </c>
      <c r="L6404">
        <v>8980</v>
      </c>
      <c r="M6404" t="s">
        <v>14630</v>
      </c>
      <c r="N6404" t="s">
        <v>30</v>
      </c>
      <c r="O6404" t="s">
        <v>31</v>
      </c>
      <c r="P6404" t="str">
        <f>"15235"</f>
        <v>15235</v>
      </c>
    </row>
    <row r="6405" spans="1:16" x14ac:dyDescent="0.25">
      <c r="A6405" t="str">
        <f>"1130174B00149    00"</f>
        <v>1130174B00149    00</v>
      </c>
      <c r="B6405" t="s">
        <v>14631</v>
      </c>
      <c r="C6405" t="s">
        <v>14629</v>
      </c>
      <c r="D6405" t="s">
        <v>20</v>
      </c>
      <c r="E6405" t="s">
        <v>39</v>
      </c>
      <c r="F6405">
        <v>0</v>
      </c>
      <c r="G6405">
        <v>0</v>
      </c>
      <c r="H6405">
        <v>19</v>
      </c>
      <c r="I6405" s="3">
        <v>4516.9399999999996</v>
      </c>
      <c r="J6405" s="3">
        <v>6230.5</v>
      </c>
      <c r="L6405">
        <v>1163</v>
      </c>
      <c r="M6405" t="s">
        <v>2442</v>
      </c>
      <c r="N6405" t="s">
        <v>30</v>
      </c>
      <c r="O6405" t="s">
        <v>31</v>
      </c>
      <c r="P6405" t="str">
        <f>"15208"</f>
        <v>15208</v>
      </c>
    </row>
    <row r="6406" spans="1:16" x14ac:dyDescent="0.25">
      <c r="A6406" t="str">
        <f>"1130174B00150    00"</f>
        <v>1130174B00150    00</v>
      </c>
      <c r="B6406" t="s">
        <v>14632</v>
      </c>
      <c r="C6406" t="s">
        <v>14633</v>
      </c>
      <c r="D6406" t="s">
        <v>20</v>
      </c>
      <c r="E6406" t="s">
        <v>39</v>
      </c>
      <c r="F6406">
        <v>0</v>
      </c>
      <c r="G6406">
        <v>0</v>
      </c>
      <c r="H6406">
        <v>10</v>
      </c>
      <c r="I6406" s="3">
        <v>6469.47</v>
      </c>
      <c r="J6406" s="3">
        <v>2813.57</v>
      </c>
      <c r="L6406">
        <v>7241</v>
      </c>
      <c r="M6406" t="s">
        <v>12201</v>
      </c>
      <c r="N6406" t="s">
        <v>30</v>
      </c>
      <c r="O6406" t="s">
        <v>31</v>
      </c>
      <c r="P6406" t="str">
        <f>"15208"</f>
        <v>15208</v>
      </c>
    </row>
    <row r="6407" spans="1:16" x14ac:dyDescent="0.25">
      <c r="A6407" t="str">
        <f>"1130174B00152    00"</f>
        <v>1130174B00152    00</v>
      </c>
      <c r="B6407" t="s">
        <v>14634</v>
      </c>
      <c r="C6407" t="s">
        <v>14629</v>
      </c>
      <c r="D6407" t="s">
        <v>20</v>
      </c>
      <c r="E6407" t="s">
        <v>39</v>
      </c>
      <c r="F6407">
        <v>0</v>
      </c>
      <c r="G6407">
        <v>0</v>
      </c>
      <c r="H6407">
        <v>17</v>
      </c>
      <c r="I6407" s="3">
        <v>5245.59</v>
      </c>
      <c r="J6407" s="3">
        <v>7735.74</v>
      </c>
      <c r="L6407">
        <v>7237</v>
      </c>
      <c r="M6407" t="s">
        <v>12201</v>
      </c>
      <c r="N6407" t="s">
        <v>30</v>
      </c>
      <c r="O6407" t="s">
        <v>31</v>
      </c>
      <c r="P6407" t="str">
        <f>"15208"</f>
        <v>15208</v>
      </c>
    </row>
    <row r="6408" spans="1:16" x14ac:dyDescent="0.25">
      <c r="A6408" t="str">
        <f>"1130174B00153    00"</f>
        <v>1130174B00153    00</v>
      </c>
      <c r="B6408" t="s">
        <v>12867</v>
      </c>
      <c r="C6408" t="s">
        <v>14635</v>
      </c>
      <c r="D6408" t="s">
        <v>20</v>
      </c>
      <c r="E6408" t="s">
        <v>39</v>
      </c>
      <c r="F6408">
        <v>0</v>
      </c>
      <c r="G6408">
        <v>0</v>
      </c>
      <c r="H6408">
        <v>14</v>
      </c>
      <c r="I6408" s="3">
        <v>10800.78</v>
      </c>
      <c r="J6408" s="3">
        <v>7116.67</v>
      </c>
      <c r="L6408">
        <v>1000</v>
      </c>
      <c r="M6408" t="s">
        <v>614</v>
      </c>
      <c r="N6408" t="s">
        <v>30</v>
      </c>
      <c r="O6408" t="s">
        <v>31</v>
      </c>
      <c r="P6408" t="str">
        <f>"15222"</f>
        <v>15222</v>
      </c>
    </row>
    <row r="6409" spans="1:16" x14ac:dyDescent="0.25">
      <c r="A6409" t="str">
        <f>"1130174B00155    00"</f>
        <v>1130174B00155    00</v>
      </c>
      <c r="B6409" t="s">
        <v>14636</v>
      </c>
      <c r="C6409" t="s">
        <v>14629</v>
      </c>
      <c r="D6409" t="s">
        <v>20</v>
      </c>
      <c r="E6409" t="s">
        <v>39</v>
      </c>
      <c r="F6409">
        <v>0</v>
      </c>
      <c r="G6409">
        <v>0</v>
      </c>
      <c r="H6409">
        <v>2</v>
      </c>
      <c r="I6409" s="3">
        <v>19.079999999999998</v>
      </c>
      <c r="J6409" s="3">
        <v>0</v>
      </c>
      <c r="L6409">
        <v>7229</v>
      </c>
      <c r="M6409" t="s">
        <v>12201</v>
      </c>
      <c r="N6409" t="s">
        <v>30</v>
      </c>
      <c r="O6409" t="s">
        <v>31</v>
      </c>
      <c r="P6409" t="str">
        <f>"15208"</f>
        <v>15208</v>
      </c>
    </row>
    <row r="6410" spans="1:16" x14ac:dyDescent="0.25">
      <c r="A6410" t="str">
        <f>"1130174B00156    00"</f>
        <v>1130174B00156    00</v>
      </c>
      <c r="B6410" t="s">
        <v>14637</v>
      </c>
      <c r="C6410" t="s">
        <v>14638</v>
      </c>
      <c r="D6410" t="s">
        <v>20</v>
      </c>
      <c r="E6410" t="s">
        <v>39</v>
      </c>
      <c r="F6410">
        <v>0</v>
      </c>
      <c r="G6410">
        <v>0</v>
      </c>
      <c r="H6410">
        <v>9</v>
      </c>
      <c r="I6410" s="3">
        <v>903.29</v>
      </c>
      <c r="J6410" s="3">
        <v>323.39</v>
      </c>
      <c r="L6410">
        <v>7229</v>
      </c>
      <c r="M6410" t="s">
        <v>12201</v>
      </c>
      <c r="N6410" t="s">
        <v>30</v>
      </c>
      <c r="O6410" t="s">
        <v>31</v>
      </c>
      <c r="P6410" t="str">
        <f>"15208"</f>
        <v>15208</v>
      </c>
    </row>
    <row r="6411" spans="1:16" x14ac:dyDescent="0.25">
      <c r="A6411" t="str">
        <f>"1130174B00159    00"</f>
        <v>1130174B00159    00</v>
      </c>
      <c r="B6411" t="s">
        <v>14639</v>
      </c>
      <c r="C6411" t="s">
        <v>14640</v>
      </c>
      <c r="D6411" t="s">
        <v>20</v>
      </c>
      <c r="E6411" t="s">
        <v>39</v>
      </c>
      <c r="F6411">
        <v>0</v>
      </c>
      <c r="G6411">
        <v>0</v>
      </c>
      <c r="H6411">
        <v>2</v>
      </c>
      <c r="I6411" s="3">
        <v>340.06</v>
      </c>
      <c r="J6411" s="3">
        <v>0</v>
      </c>
      <c r="K6411" t="s">
        <v>14641</v>
      </c>
      <c r="L6411">
        <v>1</v>
      </c>
      <c r="M6411" t="s">
        <v>14642</v>
      </c>
      <c r="N6411" t="s">
        <v>1164</v>
      </c>
      <c r="O6411" t="s">
        <v>108</v>
      </c>
      <c r="P6411" t="str">
        <f>"76262"</f>
        <v>76262</v>
      </c>
    </row>
    <row r="6412" spans="1:16" x14ac:dyDescent="0.25">
      <c r="A6412" t="str">
        <f>"1130174B00160    00"</f>
        <v>1130174B00160    00</v>
      </c>
      <c r="B6412" t="s">
        <v>14643</v>
      </c>
      <c r="C6412" t="s">
        <v>14644</v>
      </c>
      <c r="D6412" t="s">
        <v>20</v>
      </c>
      <c r="E6412" t="s">
        <v>39</v>
      </c>
      <c r="F6412">
        <v>0</v>
      </c>
      <c r="G6412">
        <v>0</v>
      </c>
      <c r="H6412">
        <v>4</v>
      </c>
      <c r="I6412" s="3">
        <v>2463</v>
      </c>
      <c r="J6412" s="3">
        <v>704.99</v>
      </c>
      <c r="L6412">
        <v>2043</v>
      </c>
      <c r="M6412" t="s">
        <v>3382</v>
      </c>
      <c r="N6412" t="s">
        <v>30</v>
      </c>
      <c r="O6412" t="s">
        <v>31</v>
      </c>
      <c r="P6412" t="str">
        <f>"15219"</f>
        <v>15219</v>
      </c>
    </row>
    <row r="6413" spans="1:16" x14ac:dyDescent="0.25">
      <c r="A6413" t="str">
        <f>"1130174B00163    00"</f>
        <v>1130174B00163    00</v>
      </c>
      <c r="B6413" t="s">
        <v>14645</v>
      </c>
      <c r="C6413" t="s">
        <v>14629</v>
      </c>
      <c r="D6413" t="s">
        <v>20</v>
      </c>
      <c r="E6413" t="s">
        <v>39</v>
      </c>
      <c r="F6413">
        <v>0</v>
      </c>
      <c r="G6413">
        <v>0</v>
      </c>
      <c r="H6413">
        <v>17</v>
      </c>
      <c r="I6413" s="3">
        <v>264.23</v>
      </c>
      <c r="J6413" s="3">
        <v>298.63</v>
      </c>
      <c r="K6413" t="s">
        <v>1008</v>
      </c>
      <c r="P6413" t="str">
        <f>""</f>
        <v/>
      </c>
    </row>
    <row r="6414" spans="1:16" x14ac:dyDescent="0.25">
      <c r="A6414" t="str">
        <f>"1130174B00164    00"</f>
        <v>1130174B00164    00</v>
      </c>
      <c r="B6414" t="s">
        <v>14646</v>
      </c>
      <c r="C6414" t="s">
        <v>14629</v>
      </c>
      <c r="D6414" t="s">
        <v>20</v>
      </c>
      <c r="E6414" t="s">
        <v>39</v>
      </c>
      <c r="F6414">
        <v>0</v>
      </c>
      <c r="G6414">
        <v>0</v>
      </c>
      <c r="H6414">
        <v>19</v>
      </c>
      <c r="I6414" s="3">
        <v>1657.14</v>
      </c>
      <c r="J6414" s="3">
        <v>1850.98</v>
      </c>
      <c r="P6414" t="str">
        <f>""</f>
        <v/>
      </c>
    </row>
    <row r="6415" spans="1:16" x14ac:dyDescent="0.25">
      <c r="A6415" t="str">
        <f>"1130174B00165    00"</f>
        <v>1130174B00165    00</v>
      </c>
      <c r="B6415" t="s">
        <v>14647</v>
      </c>
      <c r="C6415" t="s">
        <v>14648</v>
      </c>
      <c r="D6415" t="s">
        <v>20</v>
      </c>
      <c r="E6415" t="s">
        <v>39</v>
      </c>
      <c r="F6415">
        <v>0</v>
      </c>
      <c r="G6415">
        <v>0</v>
      </c>
      <c r="H6415">
        <v>2</v>
      </c>
      <c r="I6415" s="3">
        <v>364.74</v>
      </c>
      <c r="J6415" s="3">
        <v>0</v>
      </c>
      <c r="K6415" t="s">
        <v>14649</v>
      </c>
      <c r="L6415">
        <v>7211</v>
      </c>
      <c r="M6415" t="s">
        <v>12201</v>
      </c>
      <c r="N6415" t="s">
        <v>30</v>
      </c>
      <c r="O6415" t="s">
        <v>31</v>
      </c>
      <c r="P6415" t="str">
        <f>"15208"</f>
        <v>15208</v>
      </c>
    </row>
    <row r="6416" spans="1:16" x14ac:dyDescent="0.25">
      <c r="A6416" t="str">
        <f>"1130174B00167    00"</f>
        <v>1130174B00167    00</v>
      </c>
      <c r="B6416" t="s">
        <v>14650</v>
      </c>
      <c r="C6416" t="s">
        <v>14651</v>
      </c>
      <c r="D6416" t="s">
        <v>20</v>
      </c>
      <c r="E6416" t="s">
        <v>39</v>
      </c>
      <c r="F6416">
        <v>0</v>
      </c>
      <c r="G6416">
        <v>0</v>
      </c>
      <c r="H6416">
        <v>19</v>
      </c>
      <c r="I6416" s="3">
        <v>9426.73</v>
      </c>
      <c r="J6416" s="3">
        <v>10079.459999999999</v>
      </c>
      <c r="L6416">
        <v>7207</v>
      </c>
      <c r="M6416" t="s">
        <v>12201</v>
      </c>
      <c r="N6416" t="s">
        <v>30</v>
      </c>
      <c r="O6416" t="s">
        <v>31</v>
      </c>
      <c r="P6416" t="str">
        <f>"15208"</f>
        <v>15208</v>
      </c>
    </row>
    <row r="6417" spans="1:16" x14ac:dyDescent="0.25">
      <c r="A6417" t="str">
        <f>"1130174B00168    00"</f>
        <v>1130174B00168    00</v>
      </c>
      <c r="B6417" t="s">
        <v>14652</v>
      </c>
      <c r="C6417" t="s">
        <v>14653</v>
      </c>
      <c r="D6417" t="s">
        <v>20</v>
      </c>
      <c r="E6417" t="s">
        <v>39</v>
      </c>
      <c r="F6417">
        <v>0</v>
      </c>
      <c r="G6417">
        <v>0</v>
      </c>
      <c r="H6417">
        <v>19</v>
      </c>
      <c r="I6417" s="3">
        <v>7544.92</v>
      </c>
      <c r="J6417" s="3">
        <v>7399.76</v>
      </c>
      <c r="L6417">
        <v>93</v>
      </c>
      <c r="M6417" t="s">
        <v>5127</v>
      </c>
      <c r="N6417" t="s">
        <v>30</v>
      </c>
      <c r="O6417" t="s">
        <v>31</v>
      </c>
      <c r="P6417" t="str">
        <f>"15235"</f>
        <v>15235</v>
      </c>
    </row>
    <row r="6418" spans="1:16" x14ac:dyDescent="0.25">
      <c r="A6418" t="str">
        <f>"1130174B00174    00"</f>
        <v>1130174B00174    00</v>
      </c>
      <c r="B6418" t="s">
        <v>14654</v>
      </c>
      <c r="C6418" t="s">
        <v>14629</v>
      </c>
      <c r="D6418" t="s">
        <v>20</v>
      </c>
      <c r="E6418" t="s">
        <v>39</v>
      </c>
      <c r="F6418">
        <v>0</v>
      </c>
      <c r="G6418">
        <v>0</v>
      </c>
      <c r="H6418">
        <v>19</v>
      </c>
      <c r="I6418" s="3">
        <v>920.6</v>
      </c>
      <c r="J6418" s="3">
        <v>662.21</v>
      </c>
      <c r="L6418">
        <v>7159</v>
      </c>
      <c r="M6418" t="s">
        <v>12201</v>
      </c>
      <c r="N6418" t="s">
        <v>30</v>
      </c>
      <c r="O6418" t="s">
        <v>31</v>
      </c>
      <c r="P6418" t="str">
        <f>"15208"</f>
        <v>15208</v>
      </c>
    </row>
    <row r="6419" spans="1:16" x14ac:dyDescent="0.25">
      <c r="A6419" t="str">
        <f>"1130174B00175    00"</f>
        <v>1130174B00175    00</v>
      </c>
      <c r="B6419" t="s">
        <v>14382</v>
      </c>
      <c r="C6419" t="s">
        <v>14655</v>
      </c>
      <c r="D6419" t="s">
        <v>20</v>
      </c>
      <c r="E6419" t="s">
        <v>39</v>
      </c>
      <c r="F6419">
        <v>0</v>
      </c>
      <c r="G6419">
        <v>0</v>
      </c>
      <c r="H6419">
        <v>2</v>
      </c>
      <c r="I6419" s="3">
        <v>682.36</v>
      </c>
      <c r="J6419" s="3">
        <v>0</v>
      </c>
      <c r="L6419">
        <v>6389</v>
      </c>
      <c r="M6419" t="s">
        <v>3249</v>
      </c>
      <c r="N6419" t="s">
        <v>30</v>
      </c>
      <c r="O6419" t="s">
        <v>31</v>
      </c>
      <c r="P6419" t="str">
        <f>"15206"</f>
        <v>15206</v>
      </c>
    </row>
    <row r="6420" spans="1:16" x14ac:dyDescent="0.25">
      <c r="A6420" t="str">
        <f>"1130174B00176    00"</f>
        <v>1130174B00176    00</v>
      </c>
      <c r="B6420" t="s">
        <v>14656</v>
      </c>
      <c r="C6420" t="s">
        <v>14629</v>
      </c>
      <c r="D6420" t="s">
        <v>20</v>
      </c>
      <c r="E6420" t="s">
        <v>39</v>
      </c>
      <c r="F6420">
        <v>0</v>
      </c>
      <c r="G6420">
        <v>0</v>
      </c>
      <c r="H6420">
        <v>19</v>
      </c>
      <c r="I6420" s="3">
        <v>1647.79</v>
      </c>
      <c r="J6420" s="3">
        <v>1793.38</v>
      </c>
      <c r="P6420" t="str">
        <f>""</f>
        <v/>
      </c>
    </row>
    <row r="6421" spans="1:16" x14ac:dyDescent="0.25">
      <c r="A6421" t="str">
        <f>"1130174B00177    00"</f>
        <v>1130174B00177    00</v>
      </c>
      <c r="B6421" t="s">
        <v>14657</v>
      </c>
      <c r="C6421" t="s">
        <v>14658</v>
      </c>
      <c r="D6421" t="s">
        <v>20</v>
      </c>
      <c r="E6421" t="s">
        <v>39</v>
      </c>
      <c r="F6421">
        <v>0</v>
      </c>
      <c r="G6421">
        <v>0</v>
      </c>
      <c r="H6421">
        <v>11</v>
      </c>
      <c r="I6421" s="3">
        <v>4030.89</v>
      </c>
      <c r="J6421" s="3">
        <v>2010.98</v>
      </c>
      <c r="L6421">
        <v>7153</v>
      </c>
      <c r="M6421" t="s">
        <v>12201</v>
      </c>
      <c r="N6421" t="s">
        <v>30</v>
      </c>
      <c r="O6421" t="s">
        <v>31</v>
      </c>
      <c r="P6421" t="str">
        <f>"15208"</f>
        <v>15208</v>
      </c>
    </row>
    <row r="6422" spans="1:16" x14ac:dyDescent="0.25">
      <c r="A6422" t="str">
        <f>"1130174B00178    00"</f>
        <v>1130174B00178    00</v>
      </c>
      <c r="B6422" t="s">
        <v>14659</v>
      </c>
      <c r="C6422" t="s">
        <v>14660</v>
      </c>
      <c r="D6422" t="s">
        <v>20</v>
      </c>
      <c r="E6422" t="s">
        <v>39</v>
      </c>
      <c r="F6422">
        <v>0</v>
      </c>
      <c r="G6422">
        <v>0</v>
      </c>
      <c r="H6422">
        <v>11</v>
      </c>
      <c r="I6422" s="3">
        <v>2198.33</v>
      </c>
      <c r="J6422" s="3">
        <v>935.6</v>
      </c>
      <c r="L6422">
        <v>7151</v>
      </c>
      <c r="M6422" t="s">
        <v>12201</v>
      </c>
      <c r="N6422" t="s">
        <v>30</v>
      </c>
      <c r="O6422" t="s">
        <v>31</v>
      </c>
      <c r="P6422" t="str">
        <f>"15208"</f>
        <v>15208</v>
      </c>
    </row>
    <row r="6423" spans="1:16" x14ac:dyDescent="0.25">
      <c r="A6423" t="str">
        <f>"1130174B00179    00"</f>
        <v>1130174B00179    00</v>
      </c>
      <c r="B6423" t="s">
        <v>14062</v>
      </c>
      <c r="C6423" t="s">
        <v>14661</v>
      </c>
      <c r="D6423" t="s">
        <v>20</v>
      </c>
      <c r="E6423" t="s">
        <v>39</v>
      </c>
      <c r="F6423">
        <v>0</v>
      </c>
      <c r="G6423">
        <v>0</v>
      </c>
      <c r="H6423">
        <v>6</v>
      </c>
      <c r="I6423" s="3">
        <v>3222.01</v>
      </c>
      <c r="J6423" s="3">
        <v>1506.69</v>
      </c>
      <c r="L6423">
        <v>1036</v>
      </c>
      <c r="M6423" t="s">
        <v>14064</v>
      </c>
      <c r="N6423" t="s">
        <v>30</v>
      </c>
      <c r="O6423" t="s">
        <v>31</v>
      </c>
      <c r="P6423" t="str">
        <f>"15221"</f>
        <v>15221</v>
      </c>
    </row>
    <row r="6424" spans="1:16" x14ac:dyDescent="0.25">
      <c r="A6424" t="str">
        <f>"1130174B00181    00"</f>
        <v>1130174B00181    00</v>
      </c>
      <c r="B6424" t="s">
        <v>14662</v>
      </c>
      <c r="C6424" t="s">
        <v>14663</v>
      </c>
      <c r="D6424" t="s">
        <v>20</v>
      </c>
      <c r="E6424" t="s">
        <v>39</v>
      </c>
      <c r="F6424">
        <v>0</v>
      </c>
      <c r="G6424">
        <v>0</v>
      </c>
      <c r="H6424">
        <v>2</v>
      </c>
      <c r="I6424" s="3">
        <v>156.82</v>
      </c>
      <c r="J6424" s="3">
        <v>0</v>
      </c>
      <c r="K6424" t="s">
        <v>1127</v>
      </c>
      <c r="M6424" t="s">
        <v>1128</v>
      </c>
      <c r="N6424" t="s">
        <v>1129</v>
      </c>
      <c r="O6424" t="s">
        <v>108</v>
      </c>
      <c r="P6424" t="str">
        <f>"76161"</f>
        <v>76161</v>
      </c>
    </row>
    <row r="6425" spans="1:16" x14ac:dyDescent="0.25">
      <c r="A6425" t="str">
        <f>"1130174B00190    00"</f>
        <v>1130174B00190    00</v>
      </c>
      <c r="B6425" t="s">
        <v>11358</v>
      </c>
      <c r="C6425" t="s">
        <v>14664</v>
      </c>
      <c r="D6425" t="s">
        <v>20</v>
      </c>
      <c r="E6425" t="s">
        <v>39</v>
      </c>
      <c r="F6425">
        <v>0</v>
      </c>
      <c r="G6425">
        <v>0</v>
      </c>
      <c r="H6425">
        <v>19</v>
      </c>
      <c r="I6425" s="3">
        <v>4445.58</v>
      </c>
      <c r="J6425" s="3">
        <v>4490.18</v>
      </c>
      <c r="L6425">
        <v>486</v>
      </c>
      <c r="M6425" t="s">
        <v>4950</v>
      </c>
      <c r="N6425" t="s">
        <v>30</v>
      </c>
      <c r="O6425" t="s">
        <v>31</v>
      </c>
      <c r="P6425" t="str">
        <f>"15235"</f>
        <v>15235</v>
      </c>
    </row>
    <row r="6426" spans="1:16" x14ac:dyDescent="0.25">
      <c r="A6426" t="str">
        <f>"1130174B00190A   00"</f>
        <v>1130174B00190A   00</v>
      </c>
      <c r="B6426" t="s">
        <v>14665</v>
      </c>
      <c r="C6426" t="s">
        <v>14666</v>
      </c>
      <c r="D6426" t="s">
        <v>20</v>
      </c>
      <c r="E6426" t="s">
        <v>39</v>
      </c>
      <c r="F6426">
        <v>0</v>
      </c>
      <c r="G6426">
        <v>0</v>
      </c>
      <c r="H6426">
        <v>6</v>
      </c>
      <c r="I6426" s="3">
        <v>1336.99</v>
      </c>
      <c r="J6426" s="3">
        <v>263.77999999999997</v>
      </c>
      <c r="L6426">
        <v>7232</v>
      </c>
      <c r="M6426" t="s">
        <v>3980</v>
      </c>
      <c r="N6426" t="s">
        <v>30</v>
      </c>
      <c r="O6426" t="s">
        <v>31</v>
      </c>
      <c r="P6426" t="str">
        <f>"15208"</f>
        <v>15208</v>
      </c>
    </row>
    <row r="6427" spans="1:16" x14ac:dyDescent="0.25">
      <c r="A6427" t="str">
        <f>"1130174B00191    00"</f>
        <v>1130174B00191    00</v>
      </c>
      <c r="B6427" t="s">
        <v>11858</v>
      </c>
      <c r="C6427" t="s">
        <v>14666</v>
      </c>
      <c r="D6427" t="s">
        <v>20</v>
      </c>
      <c r="E6427" t="s">
        <v>39</v>
      </c>
      <c r="F6427">
        <v>0</v>
      </c>
      <c r="G6427">
        <v>0</v>
      </c>
      <c r="H6427">
        <v>1</v>
      </c>
      <c r="I6427" s="3">
        <v>686.16</v>
      </c>
      <c r="J6427" s="3">
        <v>0</v>
      </c>
      <c r="K6427" t="s">
        <v>11860</v>
      </c>
      <c r="L6427">
        <v>46</v>
      </c>
      <c r="M6427" t="s">
        <v>913</v>
      </c>
      <c r="N6427" t="s">
        <v>914</v>
      </c>
      <c r="O6427" t="s">
        <v>200</v>
      </c>
      <c r="P6427" t="str">
        <f>"10952"</f>
        <v>10952</v>
      </c>
    </row>
    <row r="6428" spans="1:16" x14ac:dyDescent="0.25">
      <c r="A6428" t="str">
        <f>"1130174B00197    00"</f>
        <v>1130174B00197    00</v>
      </c>
      <c r="B6428" t="s">
        <v>14667</v>
      </c>
      <c r="C6428" t="s">
        <v>14629</v>
      </c>
      <c r="D6428" t="s">
        <v>20</v>
      </c>
      <c r="E6428" t="s">
        <v>39</v>
      </c>
      <c r="F6428">
        <v>0</v>
      </c>
      <c r="G6428">
        <v>0</v>
      </c>
      <c r="H6428">
        <v>17</v>
      </c>
      <c r="I6428" s="3">
        <v>5052.04</v>
      </c>
      <c r="J6428" s="3">
        <v>7395.13</v>
      </c>
      <c r="P6428" t="str">
        <f>""</f>
        <v/>
      </c>
    </row>
    <row r="6429" spans="1:16" x14ac:dyDescent="0.25">
      <c r="A6429" t="str">
        <f>"1130174B00198    00"</f>
        <v>1130174B00198    00</v>
      </c>
      <c r="B6429" t="s">
        <v>14668</v>
      </c>
      <c r="C6429" t="s">
        <v>14669</v>
      </c>
      <c r="E6429" t="s">
        <v>39</v>
      </c>
      <c r="F6429">
        <v>0</v>
      </c>
      <c r="G6429">
        <v>0</v>
      </c>
      <c r="H6429">
        <v>1</v>
      </c>
      <c r="I6429" s="3">
        <v>360.81</v>
      </c>
      <c r="J6429" s="3">
        <v>0</v>
      </c>
      <c r="L6429">
        <v>2319</v>
      </c>
      <c r="M6429" t="s">
        <v>1695</v>
      </c>
      <c r="N6429" t="s">
        <v>30</v>
      </c>
      <c r="O6429" t="s">
        <v>31</v>
      </c>
      <c r="P6429" t="str">
        <f>"15217"</f>
        <v>15217</v>
      </c>
    </row>
    <row r="6430" spans="1:16" x14ac:dyDescent="0.25">
      <c r="A6430" t="str">
        <f>"1130174B00207    00"</f>
        <v>1130174B00207    00</v>
      </c>
      <c r="B6430" t="s">
        <v>14670</v>
      </c>
      <c r="C6430" t="s">
        <v>14629</v>
      </c>
      <c r="D6430" t="s">
        <v>20</v>
      </c>
      <c r="E6430" t="s">
        <v>39</v>
      </c>
      <c r="F6430">
        <v>0</v>
      </c>
      <c r="G6430">
        <v>0</v>
      </c>
      <c r="H6430">
        <v>17</v>
      </c>
      <c r="I6430" s="3">
        <v>1763.66</v>
      </c>
      <c r="J6430" s="3">
        <v>2313.2399999999998</v>
      </c>
      <c r="K6430" t="s">
        <v>14671</v>
      </c>
      <c r="L6430">
        <v>811</v>
      </c>
      <c r="M6430" t="s">
        <v>14672</v>
      </c>
      <c r="N6430" t="s">
        <v>30</v>
      </c>
      <c r="O6430" t="s">
        <v>31</v>
      </c>
      <c r="P6430" t="str">
        <f>"15219"</f>
        <v>15219</v>
      </c>
    </row>
    <row r="6431" spans="1:16" x14ac:dyDescent="0.25">
      <c r="A6431" t="str">
        <f>"1130174B00208    00"</f>
        <v>1130174B00208    00</v>
      </c>
      <c r="B6431" t="s">
        <v>14673</v>
      </c>
      <c r="C6431" t="s">
        <v>14674</v>
      </c>
      <c r="D6431" t="s">
        <v>20</v>
      </c>
      <c r="E6431" t="s">
        <v>39</v>
      </c>
      <c r="F6431">
        <v>0</v>
      </c>
      <c r="G6431">
        <v>0</v>
      </c>
      <c r="H6431">
        <v>2</v>
      </c>
      <c r="I6431" s="3">
        <v>320.7</v>
      </c>
      <c r="J6431" s="3">
        <v>0</v>
      </c>
      <c r="K6431" t="s">
        <v>5861</v>
      </c>
      <c r="L6431">
        <v>3001</v>
      </c>
      <c r="M6431" t="s">
        <v>330</v>
      </c>
      <c r="N6431" t="s">
        <v>331</v>
      </c>
      <c r="O6431" t="s">
        <v>108</v>
      </c>
      <c r="P6431" t="str">
        <f>"75063"</f>
        <v>75063</v>
      </c>
    </row>
    <row r="6432" spans="1:16" x14ac:dyDescent="0.25">
      <c r="A6432" t="str">
        <f>"1130174B00209    00"</f>
        <v>1130174B00209    00</v>
      </c>
      <c r="B6432" t="s">
        <v>14675</v>
      </c>
      <c r="C6432" t="s">
        <v>14629</v>
      </c>
      <c r="D6432" t="s">
        <v>20</v>
      </c>
      <c r="E6432" t="s">
        <v>39</v>
      </c>
      <c r="F6432">
        <v>0</v>
      </c>
      <c r="G6432">
        <v>0</v>
      </c>
      <c r="H6432">
        <v>19</v>
      </c>
      <c r="I6432" s="3">
        <v>304.33999999999997</v>
      </c>
      <c r="J6432" s="3">
        <v>318.3</v>
      </c>
      <c r="K6432" t="s">
        <v>1008</v>
      </c>
      <c r="P6432" t="str">
        <f>""</f>
        <v/>
      </c>
    </row>
    <row r="6433" spans="1:16" x14ac:dyDescent="0.25">
      <c r="A6433" t="str">
        <f>"1130174B00210    00"</f>
        <v>1130174B00210    00</v>
      </c>
      <c r="B6433" t="s">
        <v>14676</v>
      </c>
      <c r="C6433" t="s">
        <v>14625</v>
      </c>
      <c r="D6433" t="s">
        <v>20</v>
      </c>
      <c r="E6433" t="s">
        <v>39</v>
      </c>
      <c r="F6433">
        <v>0</v>
      </c>
      <c r="G6433">
        <v>0</v>
      </c>
      <c r="H6433">
        <v>9</v>
      </c>
      <c r="I6433" s="3">
        <v>23.6</v>
      </c>
      <c r="J6433" s="3">
        <v>29.88</v>
      </c>
      <c r="K6433" t="s">
        <v>1037</v>
      </c>
      <c r="M6433" t="s">
        <v>12690</v>
      </c>
      <c r="N6433" t="s">
        <v>30</v>
      </c>
      <c r="O6433" t="s">
        <v>31</v>
      </c>
      <c r="P6433" t="str">
        <f>"15208"</f>
        <v>15208</v>
      </c>
    </row>
    <row r="6434" spans="1:16" x14ac:dyDescent="0.25">
      <c r="A6434" t="str">
        <f>"1130174B00214    00"</f>
        <v>1130174B00214    00</v>
      </c>
      <c r="B6434" t="s">
        <v>14677</v>
      </c>
      <c r="C6434" t="s">
        <v>14629</v>
      </c>
      <c r="D6434" t="s">
        <v>20</v>
      </c>
      <c r="E6434" t="s">
        <v>39</v>
      </c>
      <c r="F6434">
        <v>0</v>
      </c>
      <c r="G6434">
        <v>0</v>
      </c>
      <c r="H6434">
        <v>19</v>
      </c>
      <c r="I6434" s="3">
        <v>1760.29</v>
      </c>
      <c r="J6434" s="3">
        <v>1875.29</v>
      </c>
      <c r="L6434">
        <v>7305</v>
      </c>
      <c r="M6434" t="s">
        <v>12201</v>
      </c>
      <c r="N6434" t="s">
        <v>30</v>
      </c>
      <c r="O6434" t="s">
        <v>31</v>
      </c>
      <c r="P6434" t="str">
        <f>"15208"</f>
        <v>15208</v>
      </c>
    </row>
    <row r="6435" spans="1:16" x14ac:dyDescent="0.25">
      <c r="A6435" t="str">
        <f>"1130174B00215    00"</f>
        <v>1130174B00215    00</v>
      </c>
      <c r="B6435" t="s">
        <v>14678</v>
      </c>
      <c r="C6435" t="s">
        <v>14679</v>
      </c>
      <c r="D6435" t="s">
        <v>20</v>
      </c>
      <c r="E6435" t="s">
        <v>39</v>
      </c>
      <c r="F6435">
        <v>0</v>
      </c>
      <c r="G6435">
        <v>0</v>
      </c>
      <c r="H6435">
        <v>19</v>
      </c>
      <c r="I6435" s="3">
        <v>351.08</v>
      </c>
      <c r="J6435" s="3">
        <v>365.58</v>
      </c>
      <c r="K6435" t="s">
        <v>1008</v>
      </c>
      <c r="P6435" t="str">
        <f>""</f>
        <v/>
      </c>
    </row>
    <row r="6436" spans="1:16" x14ac:dyDescent="0.25">
      <c r="A6436" t="str">
        <f>"1130174B00216    00"</f>
        <v>1130174B00216    00</v>
      </c>
      <c r="B6436" t="s">
        <v>14680</v>
      </c>
      <c r="C6436" t="s">
        <v>14681</v>
      </c>
      <c r="D6436" t="s">
        <v>20</v>
      </c>
      <c r="E6436" t="s">
        <v>39</v>
      </c>
      <c r="F6436">
        <v>0</v>
      </c>
      <c r="G6436">
        <v>0</v>
      </c>
      <c r="H6436">
        <v>19</v>
      </c>
      <c r="I6436" s="3">
        <v>7941.13</v>
      </c>
      <c r="J6436" s="3">
        <v>8857.65</v>
      </c>
      <c r="L6436">
        <v>154</v>
      </c>
      <c r="M6436" t="s">
        <v>14682</v>
      </c>
      <c r="N6436" t="s">
        <v>1046</v>
      </c>
      <c r="O6436" t="s">
        <v>31</v>
      </c>
      <c r="P6436" t="str">
        <f>"15147"</f>
        <v>15147</v>
      </c>
    </row>
    <row r="6437" spans="1:16" x14ac:dyDescent="0.25">
      <c r="A6437" t="str">
        <f>"1130174B00218    00"</f>
        <v>1130174B00218    00</v>
      </c>
      <c r="B6437" t="s">
        <v>14683</v>
      </c>
      <c r="C6437" t="s">
        <v>14684</v>
      </c>
      <c r="E6437" t="s">
        <v>39</v>
      </c>
      <c r="F6437">
        <v>0</v>
      </c>
      <c r="G6437">
        <v>0</v>
      </c>
      <c r="H6437">
        <v>16</v>
      </c>
      <c r="I6437" s="3">
        <v>6327.41</v>
      </c>
      <c r="J6437" s="3">
        <v>7087.81</v>
      </c>
      <c r="L6437">
        <v>1118</v>
      </c>
      <c r="M6437" t="s">
        <v>14685</v>
      </c>
      <c r="N6437" t="s">
        <v>30</v>
      </c>
      <c r="O6437" t="s">
        <v>31</v>
      </c>
      <c r="P6437" t="str">
        <f>"15204"</f>
        <v>15204</v>
      </c>
    </row>
    <row r="6438" spans="1:16" x14ac:dyDescent="0.25">
      <c r="A6438" t="str">
        <f>"1130174B00219    00"</f>
        <v>1130174B00219    00</v>
      </c>
      <c r="B6438" t="s">
        <v>14686</v>
      </c>
      <c r="C6438" t="s">
        <v>14687</v>
      </c>
      <c r="D6438" t="s">
        <v>20</v>
      </c>
      <c r="E6438" t="s">
        <v>39</v>
      </c>
      <c r="F6438">
        <v>0</v>
      </c>
      <c r="G6438">
        <v>0</v>
      </c>
      <c r="H6438">
        <v>5</v>
      </c>
      <c r="I6438" s="3">
        <v>1300.6600000000001</v>
      </c>
      <c r="J6438" s="3">
        <v>148.13999999999999</v>
      </c>
      <c r="L6438">
        <v>475</v>
      </c>
      <c r="M6438" t="s">
        <v>14688</v>
      </c>
      <c r="N6438" t="s">
        <v>30</v>
      </c>
      <c r="O6438" t="s">
        <v>31</v>
      </c>
      <c r="P6438" t="str">
        <f>"15219"</f>
        <v>15219</v>
      </c>
    </row>
    <row r="6439" spans="1:16" x14ac:dyDescent="0.25">
      <c r="A6439" t="str">
        <f>"1130174B00222    00"</f>
        <v>1130174B00222    00</v>
      </c>
      <c r="B6439" t="s">
        <v>14689</v>
      </c>
      <c r="C6439" t="s">
        <v>14690</v>
      </c>
      <c r="D6439" t="s">
        <v>20</v>
      </c>
      <c r="E6439" t="s">
        <v>39</v>
      </c>
      <c r="F6439">
        <v>0</v>
      </c>
      <c r="G6439">
        <v>0</v>
      </c>
      <c r="H6439">
        <v>8</v>
      </c>
      <c r="I6439" s="3">
        <v>2363.63</v>
      </c>
      <c r="J6439" s="3">
        <v>773.41</v>
      </c>
      <c r="K6439" t="s">
        <v>14691</v>
      </c>
      <c r="L6439">
        <v>411</v>
      </c>
      <c r="M6439" t="s">
        <v>14692</v>
      </c>
      <c r="N6439" t="s">
        <v>14693</v>
      </c>
      <c r="O6439" t="s">
        <v>423</v>
      </c>
      <c r="P6439" t="str">
        <f>"07601"</f>
        <v>07601</v>
      </c>
    </row>
    <row r="6440" spans="1:16" x14ac:dyDescent="0.25">
      <c r="A6440" t="str">
        <f>"1130174B00223    00"</f>
        <v>1130174B00223    00</v>
      </c>
      <c r="B6440" t="s">
        <v>14694</v>
      </c>
      <c r="C6440" t="s">
        <v>14695</v>
      </c>
      <c r="D6440" t="s">
        <v>20</v>
      </c>
      <c r="E6440" t="s">
        <v>39</v>
      </c>
      <c r="F6440">
        <v>0</v>
      </c>
      <c r="G6440">
        <v>0</v>
      </c>
      <c r="H6440">
        <v>19</v>
      </c>
      <c r="I6440" s="3">
        <v>9910.42</v>
      </c>
      <c r="J6440" s="3">
        <v>11078.3</v>
      </c>
      <c r="P6440" t="str">
        <f>""</f>
        <v/>
      </c>
    </row>
    <row r="6441" spans="1:16" x14ac:dyDescent="0.25">
      <c r="A6441" t="str">
        <f>"1130174B00224    00"</f>
        <v>1130174B00224    00</v>
      </c>
      <c r="B6441" t="s">
        <v>14696</v>
      </c>
      <c r="C6441" t="s">
        <v>14629</v>
      </c>
      <c r="D6441" t="s">
        <v>20</v>
      </c>
      <c r="E6441" t="s">
        <v>39</v>
      </c>
      <c r="F6441">
        <v>0</v>
      </c>
      <c r="G6441">
        <v>0</v>
      </c>
      <c r="H6441">
        <v>14</v>
      </c>
      <c r="I6441" s="3">
        <v>3948.34</v>
      </c>
      <c r="J6441" s="3">
        <v>2933.72</v>
      </c>
      <c r="L6441">
        <v>2170</v>
      </c>
      <c r="M6441" t="s">
        <v>14697</v>
      </c>
      <c r="N6441" t="s">
        <v>30</v>
      </c>
      <c r="O6441" t="s">
        <v>31</v>
      </c>
      <c r="P6441" t="str">
        <f>"15237"</f>
        <v>15237</v>
      </c>
    </row>
    <row r="6442" spans="1:16" x14ac:dyDescent="0.25">
      <c r="A6442" t="str">
        <f>"1130174B00225    00"</f>
        <v>1130174B00225    00</v>
      </c>
      <c r="B6442" t="s">
        <v>14698</v>
      </c>
      <c r="C6442" t="s">
        <v>14629</v>
      </c>
      <c r="D6442" t="s">
        <v>20</v>
      </c>
      <c r="E6442" t="s">
        <v>39</v>
      </c>
      <c r="F6442">
        <v>0</v>
      </c>
      <c r="G6442">
        <v>0</v>
      </c>
      <c r="H6442">
        <v>17</v>
      </c>
      <c r="I6442" s="3">
        <v>6025.33</v>
      </c>
      <c r="J6442" s="3">
        <v>5494.76</v>
      </c>
      <c r="L6442">
        <v>2500</v>
      </c>
      <c r="M6442" t="s">
        <v>14699</v>
      </c>
      <c r="N6442" t="s">
        <v>14700</v>
      </c>
      <c r="O6442" t="s">
        <v>108</v>
      </c>
      <c r="P6442" t="str">
        <f>"75093"</f>
        <v>75093</v>
      </c>
    </row>
    <row r="6443" spans="1:16" x14ac:dyDescent="0.25">
      <c r="A6443" t="str">
        <f>"1130174B00226    00"</f>
        <v>1130174B00226    00</v>
      </c>
      <c r="B6443" t="s">
        <v>14701</v>
      </c>
      <c r="C6443" t="s">
        <v>14629</v>
      </c>
      <c r="D6443" t="s">
        <v>20</v>
      </c>
      <c r="E6443" t="s">
        <v>39</v>
      </c>
      <c r="F6443">
        <v>0</v>
      </c>
      <c r="G6443">
        <v>0</v>
      </c>
      <c r="H6443">
        <v>14</v>
      </c>
      <c r="I6443" s="3">
        <v>696.73</v>
      </c>
      <c r="J6443" s="3">
        <v>441.5</v>
      </c>
      <c r="K6443" t="s">
        <v>14702</v>
      </c>
      <c r="L6443">
        <v>7329</v>
      </c>
      <c r="M6443" t="s">
        <v>12192</v>
      </c>
      <c r="N6443" t="s">
        <v>30</v>
      </c>
      <c r="O6443" t="s">
        <v>31</v>
      </c>
      <c r="P6443" t="str">
        <f>"15208"</f>
        <v>15208</v>
      </c>
    </row>
    <row r="6444" spans="1:16" x14ac:dyDescent="0.25">
      <c r="A6444" t="str">
        <f>"1130174B00227000100"</f>
        <v>1130174B00227000100</v>
      </c>
      <c r="B6444" t="s">
        <v>14703</v>
      </c>
      <c r="C6444" t="s">
        <v>14704</v>
      </c>
      <c r="D6444" t="s">
        <v>20</v>
      </c>
      <c r="E6444" t="s">
        <v>39</v>
      </c>
      <c r="F6444">
        <v>0</v>
      </c>
      <c r="G6444">
        <v>0</v>
      </c>
      <c r="H6444">
        <v>7</v>
      </c>
      <c r="I6444" s="3">
        <v>2153.31</v>
      </c>
      <c r="J6444" s="3">
        <v>595.45000000000005</v>
      </c>
      <c r="L6444">
        <v>521</v>
      </c>
      <c r="M6444" t="s">
        <v>14705</v>
      </c>
      <c r="N6444" t="s">
        <v>1745</v>
      </c>
      <c r="O6444" t="s">
        <v>495</v>
      </c>
      <c r="P6444" t="str">
        <f>"92701"</f>
        <v>92701</v>
      </c>
    </row>
    <row r="6445" spans="1:16" x14ac:dyDescent="0.25">
      <c r="A6445" t="str">
        <f>"1130174B00228    00"</f>
        <v>1130174B00228    00</v>
      </c>
      <c r="B6445" t="s">
        <v>14706</v>
      </c>
      <c r="C6445" t="s">
        <v>14707</v>
      </c>
      <c r="D6445" t="s">
        <v>20</v>
      </c>
      <c r="E6445" t="s">
        <v>39</v>
      </c>
      <c r="F6445">
        <v>0</v>
      </c>
      <c r="G6445">
        <v>0</v>
      </c>
      <c r="H6445">
        <v>19</v>
      </c>
      <c r="I6445" s="3">
        <v>6985.33</v>
      </c>
      <c r="J6445" s="3">
        <v>7077.02</v>
      </c>
      <c r="L6445">
        <v>612</v>
      </c>
      <c r="M6445" t="s">
        <v>14708</v>
      </c>
      <c r="N6445" t="s">
        <v>4768</v>
      </c>
      <c r="O6445" t="s">
        <v>31</v>
      </c>
      <c r="P6445" t="str">
        <f>"15137"</f>
        <v>15137</v>
      </c>
    </row>
    <row r="6446" spans="1:16" x14ac:dyDescent="0.25">
      <c r="A6446" t="str">
        <f>"1130174B00229    00"</f>
        <v>1130174B00229    00</v>
      </c>
      <c r="B6446" t="s">
        <v>14709</v>
      </c>
      <c r="C6446" t="s">
        <v>14710</v>
      </c>
      <c r="D6446" t="s">
        <v>20</v>
      </c>
      <c r="E6446" t="s">
        <v>39</v>
      </c>
      <c r="F6446">
        <v>0</v>
      </c>
      <c r="G6446">
        <v>0</v>
      </c>
      <c r="H6446">
        <v>1</v>
      </c>
      <c r="I6446" s="3">
        <v>171.18</v>
      </c>
      <c r="J6446" s="3">
        <v>0</v>
      </c>
      <c r="L6446">
        <v>7320</v>
      </c>
      <c r="M6446" t="s">
        <v>12378</v>
      </c>
      <c r="N6446" t="s">
        <v>30</v>
      </c>
      <c r="O6446" t="s">
        <v>31</v>
      </c>
      <c r="P6446" t="str">
        <f>"15208"</f>
        <v>15208</v>
      </c>
    </row>
    <row r="6447" spans="1:16" x14ac:dyDescent="0.25">
      <c r="A6447" t="str">
        <f>"1130174B00230    00"</f>
        <v>1130174B00230    00</v>
      </c>
      <c r="B6447" t="s">
        <v>12549</v>
      </c>
      <c r="C6447" t="s">
        <v>14711</v>
      </c>
      <c r="D6447" t="s">
        <v>20</v>
      </c>
      <c r="E6447" t="s">
        <v>39</v>
      </c>
      <c r="F6447">
        <v>0</v>
      </c>
      <c r="G6447">
        <v>0</v>
      </c>
      <c r="H6447">
        <v>19</v>
      </c>
      <c r="I6447" s="3">
        <v>6107.05</v>
      </c>
      <c r="J6447" s="3">
        <v>6839.04</v>
      </c>
      <c r="L6447">
        <v>78</v>
      </c>
      <c r="M6447" t="s">
        <v>12551</v>
      </c>
      <c r="N6447" t="s">
        <v>30</v>
      </c>
      <c r="O6447" t="s">
        <v>31</v>
      </c>
      <c r="P6447" t="str">
        <f>"15235"</f>
        <v>15235</v>
      </c>
    </row>
    <row r="6448" spans="1:16" x14ac:dyDescent="0.25">
      <c r="A6448" t="str">
        <f>"1130174B00230000100"</f>
        <v>1130174B00230000100</v>
      </c>
      <c r="B6448" t="s">
        <v>14712</v>
      </c>
      <c r="C6448" t="s">
        <v>14629</v>
      </c>
      <c r="D6448" t="s">
        <v>20</v>
      </c>
      <c r="E6448" t="s">
        <v>39</v>
      </c>
      <c r="F6448">
        <v>0</v>
      </c>
      <c r="G6448">
        <v>0</v>
      </c>
      <c r="H6448">
        <v>16</v>
      </c>
      <c r="I6448" s="3">
        <v>284.12</v>
      </c>
      <c r="J6448" s="3">
        <v>320.54000000000002</v>
      </c>
      <c r="L6448">
        <v>514</v>
      </c>
      <c r="M6448" t="s">
        <v>14713</v>
      </c>
      <c r="N6448" t="s">
        <v>30</v>
      </c>
      <c r="O6448" t="s">
        <v>31</v>
      </c>
      <c r="P6448" t="str">
        <f>"15210"</f>
        <v>15210</v>
      </c>
    </row>
    <row r="6449" spans="1:16" x14ac:dyDescent="0.25">
      <c r="A6449" t="str">
        <f>"1130174B00231    00"</f>
        <v>1130174B00231    00</v>
      </c>
      <c r="B6449" t="s">
        <v>14714</v>
      </c>
      <c r="C6449" t="s">
        <v>14715</v>
      </c>
      <c r="D6449" t="s">
        <v>20</v>
      </c>
      <c r="E6449" t="s">
        <v>39</v>
      </c>
      <c r="F6449">
        <v>0</v>
      </c>
      <c r="G6449">
        <v>0</v>
      </c>
      <c r="H6449">
        <v>6</v>
      </c>
      <c r="I6449" s="3">
        <v>1662.79</v>
      </c>
      <c r="J6449" s="3">
        <v>372.92</v>
      </c>
      <c r="L6449">
        <v>734</v>
      </c>
      <c r="M6449" t="s">
        <v>14716</v>
      </c>
      <c r="N6449" t="s">
        <v>295</v>
      </c>
      <c r="O6449" t="s">
        <v>31</v>
      </c>
      <c r="P6449" t="str">
        <f>"15146"</f>
        <v>15146</v>
      </c>
    </row>
    <row r="6450" spans="1:16" x14ac:dyDescent="0.25">
      <c r="A6450" t="str">
        <f>"1130174B00233    00"</f>
        <v>1130174B00233    00</v>
      </c>
      <c r="B6450" t="s">
        <v>14717</v>
      </c>
      <c r="C6450" t="s">
        <v>14718</v>
      </c>
      <c r="D6450" t="s">
        <v>20</v>
      </c>
      <c r="E6450" t="s">
        <v>39</v>
      </c>
      <c r="F6450">
        <v>0</v>
      </c>
      <c r="G6450">
        <v>0</v>
      </c>
      <c r="H6450">
        <v>19</v>
      </c>
      <c r="I6450" s="3">
        <v>5180.51</v>
      </c>
      <c r="J6450" s="3">
        <v>5535.55</v>
      </c>
      <c r="L6450">
        <v>7341</v>
      </c>
      <c r="M6450" t="s">
        <v>12201</v>
      </c>
      <c r="N6450" t="s">
        <v>30</v>
      </c>
      <c r="O6450" t="s">
        <v>31</v>
      </c>
      <c r="P6450" t="str">
        <f>"15208"</f>
        <v>15208</v>
      </c>
    </row>
    <row r="6451" spans="1:16" x14ac:dyDescent="0.25">
      <c r="A6451" t="str">
        <f>"1130174B00237    00"</f>
        <v>1130174B00237    00</v>
      </c>
      <c r="B6451" t="s">
        <v>14719</v>
      </c>
      <c r="C6451" t="s">
        <v>14720</v>
      </c>
      <c r="D6451" t="s">
        <v>20</v>
      </c>
      <c r="E6451" t="s">
        <v>39</v>
      </c>
      <c r="F6451">
        <v>0</v>
      </c>
      <c r="G6451">
        <v>0</v>
      </c>
      <c r="H6451">
        <v>6</v>
      </c>
      <c r="I6451" s="3">
        <v>4201.87</v>
      </c>
      <c r="J6451" s="3">
        <v>942.4</v>
      </c>
      <c r="L6451">
        <v>6800</v>
      </c>
      <c r="M6451" t="s">
        <v>9086</v>
      </c>
      <c r="N6451" t="s">
        <v>30</v>
      </c>
      <c r="O6451" t="s">
        <v>31</v>
      </c>
      <c r="P6451" t="str">
        <f>"15208"</f>
        <v>15208</v>
      </c>
    </row>
    <row r="6452" spans="1:16" x14ac:dyDescent="0.25">
      <c r="A6452" t="str">
        <f>"1130174B00244    00"</f>
        <v>1130174B00244    00</v>
      </c>
      <c r="B6452" t="s">
        <v>14721</v>
      </c>
      <c r="C6452" t="s">
        <v>14629</v>
      </c>
      <c r="D6452" t="s">
        <v>20</v>
      </c>
      <c r="E6452" t="s">
        <v>39</v>
      </c>
      <c r="F6452">
        <v>0</v>
      </c>
      <c r="G6452">
        <v>0</v>
      </c>
      <c r="H6452">
        <v>17</v>
      </c>
      <c r="I6452" s="3">
        <v>264.23</v>
      </c>
      <c r="J6452" s="3">
        <v>298.63</v>
      </c>
      <c r="K6452" t="s">
        <v>1008</v>
      </c>
      <c r="P6452" t="str">
        <f>""</f>
        <v/>
      </c>
    </row>
    <row r="6453" spans="1:16" x14ac:dyDescent="0.25">
      <c r="A6453" t="str">
        <f>"1130174B00245    00"</f>
        <v>1130174B00245    00</v>
      </c>
      <c r="B6453" t="s">
        <v>14722</v>
      </c>
      <c r="C6453" t="s">
        <v>14723</v>
      </c>
      <c r="D6453" t="s">
        <v>20</v>
      </c>
      <c r="E6453" t="s">
        <v>39</v>
      </c>
      <c r="F6453">
        <v>0</v>
      </c>
      <c r="G6453">
        <v>0</v>
      </c>
      <c r="H6453">
        <v>2</v>
      </c>
      <c r="I6453" s="3">
        <v>250.2</v>
      </c>
      <c r="J6453" s="3">
        <v>0</v>
      </c>
      <c r="L6453">
        <v>7316</v>
      </c>
      <c r="M6453" t="s">
        <v>12201</v>
      </c>
      <c r="N6453" t="s">
        <v>30</v>
      </c>
      <c r="O6453" t="s">
        <v>31</v>
      </c>
      <c r="P6453" t="str">
        <f>"15208"</f>
        <v>15208</v>
      </c>
    </row>
    <row r="6454" spans="1:16" x14ac:dyDescent="0.25">
      <c r="A6454" t="str">
        <f>"1130174B00249    00"</f>
        <v>1130174B00249    00</v>
      </c>
      <c r="B6454" t="s">
        <v>14724</v>
      </c>
      <c r="C6454" t="s">
        <v>14629</v>
      </c>
      <c r="D6454" t="s">
        <v>20</v>
      </c>
      <c r="E6454" t="s">
        <v>39</v>
      </c>
      <c r="F6454">
        <v>0</v>
      </c>
      <c r="G6454">
        <v>0</v>
      </c>
      <c r="H6454">
        <v>19</v>
      </c>
      <c r="I6454" s="3">
        <v>1779.7</v>
      </c>
      <c r="J6454" s="3">
        <v>2003.01</v>
      </c>
      <c r="L6454">
        <v>5093</v>
      </c>
      <c r="M6454" t="s">
        <v>8947</v>
      </c>
      <c r="N6454" t="s">
        <v>30</v>
      </c>
      <c r="O6454" t="s">
        <v>31</v>
      </c>
      <c r="P6454" t="str">
        <f>"15201"</f>
        <v>15201</v>
      </c>
    </row>
    <row r="6455" spans="1:16" x14ac:dyDescent="0.25">
      <c r="A6455" t="str">
        <f>"1130174B00250A   00"</f>
        <v>1130174B00250A   00</v>
      </c>
      <c r="B6455" t="s">
        <v>14725</v>
      </c>
      <c r="C6455" t="s">
        <v>14629</v>
      </c>
      <c r="D6455" t="s">
        <v>20</v>
      </c>
      <c r="E6455" t="s">
        <v>39</v>
      </c>
      <c r="F6455">
        <v>0</v>
      </c>
      <c r="G6455">
        <v>0</v>
      </c>
      <c r="H6455">
        <v>17</v>
      </c>
      <c r="I6455" s="3">
        <v>3897.74</v>
      </c>
      <c r="J6455" s="3">
        <v>5924.22</v>
      </c>
      <c r="K6455" t="s">
        <v>14726</v>
      </c>
      <c r="L6455">
        <v>2407</v>
      </c>
      <c r="M6455" t="s">
        <v>14727</v>
      </c>
      <c r="N6455" t="s">
        <v>30</v>
      </c>
      <c r="O6455" t="s">
        <v>31</v>
      </c>
      <c r="P6455" t="str">
        <f>"15221"</f>
        <v>15221</v>
      </c>
    </row>
    <row r="6456" spans="1:16" x14ac:dyDescent="0.25">
      <c r="A6456" t="str">
        <f>"1130174B00254    00"</f>
        <v>1130174B00254    00</v>
      </c>
      <c r="B6456" t="s">
        <v>11358</v>
      </c>
      <c r="C6456" t="s">
        <v>14728</v>
      </c>
      <c r="D6456" t="s">
        <v>20</v>
      </c>
      <c r="E6456" t="s">
        <v>39</v>
      </c>
      <c r="F6456">
        <v>0</v>
      </c>
      <c r="G6456">
        <v>0</v>
      </c>
      <c r="H6456">
        <v>19</v>
      </c>
      <c r="I6456" s="3">
        <v>6277.44</v>
      </c>
      <c r="J6456" s="3">
        <v>6685.2</v>
      </c>
      <c r="L6456">
        <v>486</v>
      </c>
      <c r="M6456" t="s">
        <v>4950</v>
      </c>
      <c r="N6456" t="s">
        <v>30</v>
      </c>
      <c r="O6456" t="s">
        <v>31</v>
      </c>
      <c r="P6456" t="str">
        <f>"15235"</f>
        <v>15235</v>
      </c>
    </row>
    <row r="6457" spans="1:16" x14ac:dyDescent="0.25">
      <c r="A6457" t="str">
        <f>"1130174B00255    00"</f>
        <v>1130174B00255    00</v>
      </c>
      <c r="B6457" t="s">
        <v>12865</v>
      </c>
      <c r="C6457" t="s">
        <v>14729</v>
      </c>
      <c r="D6457" t="s">
        <v>20</v>
      </c>
      <c r="E6457" t="s">
        <v>39</v>
      </c>
      <c r="F6457">
        <v>0</v>
      </c>
      <c r="G6457">
        <v>0</v>
      </c>
      <c r="H6457">
        <v>14</v>
      </c>
      <c r="I6457" s="3">
        <v>7847.42</v>
      </c>
      <c r="J6457" s="3">
        <v>4756.88</v>
      </c>
      <c r="L6457">
        <v>1308</v>
      </c>
      <c r="M6457" t="s">
        <v>14730</v>
      </c>
      <c r="N6457" t="s">
        <v>30</v>
      </c>
      <c r="O6457" t="s">
        <v>31</v>
      </c>
      <c r="P6457" t="str">
        <f>"15208"</f>
        <v>15208</v>
      </c>
    </row>
    <row r="6458" spans="1:16" x14ac:dyDescent="0.25">
      <c r="A6458" t="str">
        <f>"1130174B00256    00"</f>
        <v>1130174B00256    00</v>
      </c>
      <c r="B6458" t="s">
        <v>14731</v>
      </c>
      <c r="C6458" t="s">
        <v>14625</v>
      </c>
      <c r="D6458" t="s">
        <v>20</v>
      </c>
      <c r="E6458" t="s">
        <v>39</v>
      </c>
      <c r="F6458">
        <v>0</v>
      </c>
      <c r="G6458">
        <v>0</v>
      </c>
      <c r="H6458">
        <v>19</v>
      </c>
      <c r="I6458" s="3">
        <v>809.37</v>
      </c>
      <c r="J6458" s="3">
        <v>585.29</v>
      </c>
      <c r="L6458">
        <v>7147</v>
      </c>
      <c r="M6458" t="s">
        <v>12207</v>
      </c>
      <c r="N6458" t="s">
        <v>30</v>
      </c>
      <c r="O6458" t="s">
        <v>31</v>
      </c>
      <c r="P6458" t="str">
        <f>"15208"</f>
        <v>15208</v>
      </c>
    </row>
    <row r="6459" spans="1:16" x14ac:dyDescent="0.25">
      <c r="A6459" t="str">
        <f>"1130174B00257    00"</f>
        <v>1130174B00257    00</v>
      </c>
      <c r="B6459" t="s">
        <v>14732</v>
      </c>
      <c r="C6459" t="s">
        <v>14733</v>
      </c>
      <c r="E6459" t="s">
        <v>39</v>
      </c>
      <c r="F6459">
        <v>0</v>
      </c>
      <c r="G6459">
        <v>0</v>
      </c>
      <c r="H6459">
        <v>5</v>
      </c>
      <c r="I6459" s="3">
        <v>125.81</v>
      </c>
      <c r="J6459" s="3">
        <v>182.48</v>
      </c>
      <c r="L6459">
        <v>6904</v>
      </c>
      <c r="M6459" t="s">
        <v>14734</v>
      </c>
      <c r="N6459" t="s">
        <v>14735</v>
      </c>
      <c r="O6459" t="s">
        <v>1184</v>
      </c>
      <c r="P6459" t="str">
        <f>"20815"</f>
        <v>20815</v>
      </c>
    </row>
    <row r="6460" spans="1:16" x14ac:dyDescent="0.25">
      <c r="A6460" t="str">
        <f>"1130174B00259    00"</f>
        <v>1130174B00259    00</v>
      </c>
      <c r="B6460" t="s">
        <v>14736</v>
      </c>
      <c r="C6460" t="s">
        <v>14733</v>
      </c>
      <c r="D6460" t="s">
        <v>20</v>
      </c>
      <c r="E6460" t="s">
        <v>39</v>
      </c>
      <c r="F6460">
        <v>0</v>
      </c>
      <c r="G6460">
        <v>0</v>
      </c>
      <c r="H6460">
        <v>19</v>
      </c>
      <c r="I6460" s="3">
        <v>326.35000000000002</v>
      </c>
      <c r="J6460" s="3">
        <v>329.95</v>
      </c>
      <c r="L6460">
        <v>7329</v>
      </c>
      <c r="M6460" t="s">
        <v>12378</v>
      </c>
      <c r="N6460" t="s">
        <v>30</v>
      </c>
      <c r="O6460" t="s">
        <v>31</v>
      </c>
      <c r="P6460" t="str">
        <f>"15208"</f>
        <v>15208</v>
      </c>
    </row>
    <row r="6461" spans="1:16" x14ac:dyDescent="0.25">
      <c r="A6461" t="str">
        <f>"1130174B00262    00"</f>
        <v>1130174B00262    00</v>
      </c>
      <c r="B6461" t="s">
        <v>14736</v>
      </c>
      <c r="C6461" t="s">
        <v>14733</v>
      </c>
      <c r="D6461" t="s">
        <v>20</v>
      </c>
      <c r="E6461" t="s">
        <v>39</v>
      </c>
      <c r="F6461">
        <v>0</v>
      </c>
      <c r="G6461">
        <v>0</v>
      </c>
      <c r="H6461">
        <v>17</v>
      </c>
      <c r="I6461" s="3">
        <v>239.59</v>
      </c>
      <c r="J6461" s="3">
        <v>263.13</v>
      </c>
      <c r="L6461">
        <v>7244</v>
      </c>
      <c r="M6461" t="s">
        <v>12045</v>
      </c>
      <c r="N6461" t="s">
        <v>30</v>
      </c>
      <c r="O6461" t="s">
        <v>31</v>
      </c>
      <c r="P6461" t="str">
        <f>"15208"</f>
        <v>15208</v>
      </c>
    </row>
    <row r="6462" spans="1:16" x14ac:dyDescent="0.25">
      <c r="A6462" t="str">
        <f>"1130174B00272    00"</f>
        <v>1130174B00272    00</v>
      </c>
      <c r="B6462" t="s">
        <v>14737</v>
      </c>
      <c r="C6462" t="s">
        <v>12397</v>
      </c>
      <c r="D6462" t="s">
        <v>20</v>
      </c>
      <c r="E6462" t="s">
        <v>39</v>
      </c>
      <c r="F6462">
        <v>0</v>
      </c>
      <c r="G6462">
        <v>0</v>
      </c>
      <c r="H6462">
        <v>16</v>
      </c>
      <c r="I6462" s="3">
        <v>1053.72</v>
      </c>
      <c r="J6462" s="3">
        <v>1031.0999999999999</v>
      </c>
      <c r="L6462">
        <v>3548</v>
      </c>
      <c r="M6462" t="s">
        <v>14738</v>
      </c>
      <c r="N6462" t="s">
        <v>3919</v>
      </c>
      <c r="O6462" t="s">
        <v>370</v>
      </c>
      <c r="P6462" t="str">
        <f>"32209"</f>
        <v>32209</v>
      </c>
    </row>
    <row r="6463" spans="1:16" x14ac:dyDescent="0.25">
      <c r="A6463" t="str">
        <f>"1130174B00272B   00"</f>
        <v>1130174B00272B   00</v>
      </c>
      <c r="B6463" t="s">
        <v>14739</v>
      </c>
      <c r="C6463" t="s">
        <v>14625</v>
      </c>
      <c r="D6463" t="s">
        <v>20</v>
      </c>
      <c r="E6463" t="s">
        <v>39</v>
      </c>
      <c r="F6463">
        <v>0</v>
      </c>
      <c r="G6463">
        <v>0</v>
      </c>
      <c r="H6463">
        <v>19</v>
      </c>
      <c r="I6463" s="3">
        <v>4303.51</v>
      </c>
      <c r="J6463" s="3">
        <v>6058.17</v>
      </c>
      <c r="L6463">
        <v>435</v>
      </c>
      <c r="M6463" t="s">
        <v>14740</v>
      </c>
      <c r="N6463" t="s">
        <v>30</v>
      </c>
      <c r="O6463" t="s">
        <v>31</v>
      </c>
      <c r="P6463" t="str">
        <f>"15221"</f>
        <v>15221</v>
      </c>
    </row>
    <row r="6464" spans="1:16" x14ac:dyDescent="0.25">
      <c r="A6464" t="str">
        <f>"1130174B00273    00"</f>
        <v>1130174B00273    00</v>
      </c>
      <c r="B6464" t="s">
        <v>14561</v>
      </c>
      <c r="C6464" t="s">
        <v>14741</v>
      </c>
      <c r="D6464" t="s">
        <v>20</v>
      </c>
      <c r="E6464" t="s">
        <v>39</v>
      </c>
      <c r="F6464">
        <v>0</v>
      </c>
      <c r="G6464">
        <v>0</v>
      </c>
      <c r="H6464">
        <v>18</v>
      </c>
      <c r="I6464" s="3">
        <v>8975.84</v>
      </c>
      <c r="J6464" s="3">
        <v>9505.67</v>
      </c>
      <c r="L6464">
        <v>1531</v>
      </c>
      <c r="M6464" t="s">
        <v>3959</v>
      </c>
      <c r="N6464" t="s">
        <v>30</v>
      </c>
      <c r="O6464" t="s">
        <v>31</v>
      </c>
      <c r="P6464" t="str">
        <f>"15221"</f>
        <v>15221</v>
      </c>
    </row>
    <row r="6465" spans="1:16" x14ac:dyDescent="0.25">
      <c r="A6465" t="str">
        <f>"1130174B00273A   00"</f>
        <v>1130174B00273A   00</v>
      </c>
      <c r="B6465" t="s">
        <v>14742</v>
      </c>
      <c r="C6465" t="s">
        <v>14743</v>
      </c>
      <c r="D6465" t="s">
        <v>20</v>
      </c>
      <c r="E6465" t="s">
        <v>39</v>
      </c>
      <c r="F6465">
        <v>0</v>
      </c>
      <c r="G6465">
        <v>0</v>
      </c>
      <c r="H6465">
        <v>16</v>
      </c>
      <c r="I6465" s="3">
        <v>5093.01</v>
      </c>
      <c r="J6465" s="3">
        <v>4825.42</v>
      </c>
      <c r="L6465">
        <v>935</v>
      </c>
      <c r="M6465" t="s">
        <v>9152</v>
      </c>
      <c r="N6465" t="s">
        <v>30</v>
      </c>
      <c r="O6465" t="s">
        <v>31</v>
      </c>
      <c r="P6465" t="str">
        <f>"15206"</f>
        <v>15206</v>
      </c>
    </row>
    <row r="6466" spans="1:16" x14ac:dyDescent="0.25">
      <c r="A6466" t="str">
        <f>"1130174B00274    00"</f>
        <v>1130174B00274    00</v>
      </c>
      <c r="B6466" t="s">
        <v>14744</v>
      </c>
      <c r="C6466" t="s">
        <v>14745</v>
      </c>
      <c r="D6466" t="s">
        <v>20</v>
      </c>
      <c r="E6466" t="s">
        <v>39</v>
      </c>
      <c r="F6466">
        <v>0</v>
      </c>
      <c r="G6466">
        <v>0</v>
      </c>
      <c r="H6466">
        <v>17</v>
      </c>
      <c r="I6466" s="3">
        <v>10291.52</v>
      </c>
      <c r="J6466" s="3">
        <v>8140.21</v>
      </c>
      <c r="L6466">
        <v>1445</v>
      </c>
      <c r="M6466" t="s">
        <v>1112</v>
      </c>
      <c r="N6466" t="s">
        <v>30</v>
      </c>
      <c r="O6466" t="s">
        <v>31</v>
      </c>
      <c r="P6466" t="str">
        <f>"15221"</f>
        <v>15221</v>
      </c>
    </row>
    <row r="6467" spans="1:16" x14ac:dyDescent="0.25">
      <c r="A6467" t="str">
        <f>"1130174B00274A   00"</f>
        <v>1130174B00274A   00</v>
      </c>
      <c r="B6467" t="s">
        <v>14746</v>
      </c>
      <c r="C6467" t="s">
        <v>14747</v>
      </c>
      <c r="D6467" t="s">
        <v>20</v>
      </c>
      <c r="E6467" t="s">
        <v>39</v>
      </c>
      <c r="F6467">
        <v>0</v>
      </c>
      <c r="G6467">
        <v>0</v>
      </c>
      <c r="H6467">
        <v>13</v>
      </c>
      <c r="I6467" s="3">
        <v>5005.45</v>
      </c>
      <c r="J6467" s="3">
        <v>4325.03</v>
      </c>
      <c r="L6467">
        <v>7251</v>
      </c>
      <c r="M6467" t="s">
        <v>3980</v>
      </c>
      <c r="N6467" t="s">
        <v>30</v>
      </c>
      <c r="O6467" t="s">
        <v>31</v>
      </c>
      <c r="P6467" t="str">
        <f>"15208"</f>
        <v>15208</v>
      </c>
    </row>
    <row r="6468" spans="1:16" x14ac:dyDescent="0.25">
      <c r="A6468" t="str">
        <f>"1130174B00275    00"</f>
        <v>1130174B00275    00</v>
      </c>
      <c r="B6468" t="s">
        <v>14748</v>
      </c>
      <c r="C6468" t="s">
        <v>14749</v>
      </c>
      <c r="D6468" t="s">
        <v>20</v>
      </c>
      <c r="E6468" t="s">
        <v>39</v>
      </c>
      <c r="F6468">
        <v>0</v>
      </c>
      <c r="G6468">
        <v>0</v>
      </c>
      <c r="H6468">
        <v>19</v>
      </c>
      <c r="I6468" s="3">
        <v>10501.9</v>
      </c>
      <c r="J6468" s="3">
        <v>11366.87</v>
      </c>
      <c r="L6468">
        <v>1812</v>
      </c>
      <c r="M6468" t="s">
        <v>3959</v>
      </c>
      <c r="N6468" t="s">
        <v>30</v>
      </c>
      <c r="O6468" t="s">
        <v>31</v>
      </c>
      <c r="P6468" t="str">
        <f>"15221"</f>
        <v>15221</v>
      </c>
    </row>
    <row r="6469" spans="1:16" x14ac:dyDescent="0.25">
      <c r="A6469" t="str">
        <f>"1130174B00276    00"</f>
        <v>1130174B00276    00</v>
      </c>
      <c r="B6469" t="s">
        <v>14750</v>
      </c>
      <c r="C6469" t="s">
        <v>14751</v>
      </c>
      <c r="D6469" t="s">
        <v>20</v>
      </c>
      <c r="E6469" t="s">
        <v>39</v>
      </c>
      <c r="F6469">
        <v>0</v>
      </c>
      <c r="G6469">
        <v>0</v>
      </c>
      <c r="H6469">
        <v>1</v>
      </c>
      <c r="I6469" s="3">
        <v>348.81</v>
      </c>
      <c r="J6469" s="3">
        <v>0</v>
      </c>
      <c r="L6469">
        <v>748</v>
      </c>
      <c r="M6469" t="s">
        <v>12019</v>
      </c>
      <c r="N6469" t="s">
        <v>295</v>
      </c>
      <c r="O6469" t="s">
        <v>31</v>
      </c>
      <c r="P6469" t="str">
        <f>"15146"</f>
        <v>15146</v>
      </c>
    </row>
    <row r="6470" spans="1:16" x14ac:dyDescent="0.25">
      <c r="A6470" t="str">
        <f>"1130174B00280    00"</f>
        <v>1130174B00280    00</v>
      </c>
      <c r="B6470" t="s">
        <v>14752</v>
      </c>
      <c r="C6470" t="s">
        <v>12397</v>
      </c>
      <c r="D6470" t="s">
        <v>20</v>
      </c>
      <c r="E6470" t="s">
        <v>39</v>
      </c>
      <c r="F6470">
        <v>0</v>
      </c>
      <c r="G6470">
        <v>0</v>
      </c>
      <c r="H6470">
        <v>19</v>
      </c>
      <c r="I6470" s="3">
        <v>9454.02</v>
      </c>
      <c r="J6470" s="3">
        <v>13112.95</v>
      </c>
      <c r="K6470" t="s">
        <v>14753</v>
      </c>
      <c r="M6470" t="s">
        <v>14754</v>
      </c>
      <c r="N6470" t="s">
        <v>30</v>
      </c>
      <c r="O6470" t="s">
        <v>31</v>
      </c>
      <c r="P6470" t="str">
        <f>"15208"</f>
        <v>15208</v>
      </c>
    </row>
    <row r="6471" spans="1:16" x14ac:dyDescent="0.25">
      <c r="A6471" t="str">
        <f>"1130174B00285    00"</f>
        <v>1130174B00285    00</v>
      </c>
      <c r="B6471" t="s">
        <v>14755</v>
      </c>
      <c r="C6471" t="s">
        <v>12397</v>
      </c>
      <c r="D6471" t="s">
        <v>20</v>
      </c>
      <c r="E6471" t="s">
        <v>39</v>
      </c>
      <c r="F6471">
        <v>0</v>
      </c>
      <c r="G6471">
        <v>0</v>
      </c>
      <c r="H6471">
        <v>17</v>
      </c>
      <c r="I6471" s="3">
        <v>264.23</v>
      </c>
      <c r="J6471" s="3">
        <v>298.63</v>
      </c>
      <c r="K6471" t="s">
        <v>1037</v>
      </c>
      <c r="L6471">
        <v>7219</v>
      </c>
      <c r="M6471" t="s">
        <v>3980</v>
      </c>
      <c r="N6471" t="s">
        <v>30</v>
      </c>
      <c r="O6471" t="s">
        <v>31</v>
      </c>
      <c r="P6471" t="str">
        <f>"15208"</f>
        <v>15208</v>
      </c>
    </row>
    <row r="6472" spans="1:16" x14ac:dyDescent="0.25">
      <c r="A6472" t="str">
        <f>"1130174B00286    00"</f>
        <v>1130174B00286    00</v>
      </c>
      <c r="B6472" t="s">
        <v>14756</v>
      </c>
      <c r="C6472" t="s">
        <v>14757</v>
      </c>
      <c r="E6472" t="s">
        <v>39</v>
      </c>
      <c r="F6472">
        <v>0</v>
      </c>
      <c r="G6472">
        <v>0</v>
      </c>
      <c r="H6472">
        <v>4</v>
      </c>
      <c r="I6472" s="3">
        <v>592.16999999999996</v>
      </c>
      <c r="J6472" s="3">
        <v>570.16999999999996</v>
      </c>
      <c r="L6472">
        <v>7217</v>
      </c>
      <c r="M6472" t="s">
        <v>3980</v>
      </c>
      <c r="N6472" t="s">
        <v>30</v>
      </c>
      <c r="O6472" t="s">
        <v>31</v>
      </c>
      <c r="P6472" t="str">
        <f>"15208"</f>
        <v>15208</v>
      </c>
    </row>
    <row r="6473" spans="1:16" x14ac:dyDescent="0.25">
      <c r="A6473" t="str">
        <f>"1130174B00287    00"</f>
        <v>1130174B00287    00</v>
      </c>
      <c r="B6473" t="s">
        <v>14758</v>
      </c>
      <c r="C6473" t="s">
        <v>14759</v>
      </c>
      <c r="D6473" t="s">
        <v>20</v>
      </c>
      <c r="E6473" t="s">
        <v>39</v>
      </c>
      <c r="F6473">
        <v>0</v>
      </c>
      <c r="G6473">
        <v>0</v>
      </c>
      <c r="H6473">
        <v>14</v>
      </c>
      <c r="I6473" s="3">
        <v>7778.74</v>
      </c>
      <c r="J6473" s="3">
        <v>4900.1400000000003</v>
      </c>
      <c r="L6473">
        <v>7215</v>
      </c>
      <c r="M6473" t="s">
        <v>3980</v>
      </c>
      <c r="N6473" t="s">
        <v>30</v>
      </c>
      <c r="O6473" t="s">
        <v>31</v>
      </c>
      <c r="P6473" t="str">
        <f>"15208"</f>
        <v>15208</v>
      </c>
    </row>
    <row r="6474" spans="1:16" x14ac:dyDescent="0.25">
      <c r="A6474" t="str">
        <f>"1130174B00288    00"</f>
        <v>1130174B00288    00</v>
      </c>
      <c r="B6474" t="s">
        <v>14760</v>
      </c>
      <c r="C6474" t="s">
        <v>14761</v>
      </c>
      <c r="D6474" t="s">
        <v>20</v>
      </c>
      <c r="E6474" t="s">
        <v>39</v>
      </c>
      <c r="F6474">
        <v>0</v>
      </c>
      <c r="G6474">
        <v>0</v>
      </c>
      <c r="H6474">
        <v>1</v>
      </c>
      <c r="I6474" s="3">
        <v>481.59</v>
      </c>
      <c r="J6474" s="3">
        <v>0</v>
      </c>
      <c r="K6474" t="s">
        <v>14762</v>
      </c>
      <c r="L6474">
        <v>7000</v>
      </c>
      <c r="M6474" t="s">
        <v>14763</v>
      </c>
      <c r="N6474" t="s">
        <v>4141</v>
      </c>
      <c r="O6474" t="s">
        <v>108</v>
      </c>
      <c r="P6474" t="str">
        <f>"78731"</f>
        <v>78731</v>
      </c>
    </row>
    <row r="6475" spans="1:16" x14ac:dyDescent="0.25">
      <c r="A6475" t="str">
        <f>"1130174B00289    00"</f>
        <v>1130174B00289    00</v>
      </c>
      <c r="B6475" t="s">
        <v>14764</v>
      </c>
      <c r="C6475" t="s">
        <v>14765</v>
      </c>
      <c r="D6475" t="s">
        <v>20</v>
      </c>
      <c r="E6475" t="s">
        <v>39</v>
      </c>
      <c r="F6475">
        <v>0</v>
      </c>
      <c r="G6475">
        <v>0</v>
      </c>
      <c r="H6475">
        <v>19</v>
      </c>
      <c r="I6475" s="3">
        <v>14960.98</v>
      </c>
      <c r="J6475" s="3">
        <v>12956.37</v>
      </c>
      <c r="L6475">
        <v>800</v>
      </c>
      <c r="M6475" t="s">
        <v>14766</v>
      </c>
      <c r="N6475" t="s">
        <v>30</v>
      </c>
      <c r="O6475" t="s">
        <v>31</v>
      </c>
      <c r="P6475" t="str">
        <f>"15235"</f>
        <v>15235</v>
      </c>
    </row>
    <row r="6476" spans="1:16" x14ac:dyDescent="0.25">
      <c r="A6476" t="str">
        <f>"1130174B00290    00"</f>
        <v>1130174B00290    00</v>
      </c>
      <c r="B6476" t="s">
        <v>14767</v>
      </c>
      <c r="C6476" t="s">
        <v>14768</v>
      </c>
      <c r="D6476" t="s">
        <v>57</v>
      </c>
      <c r="E6476" t="s">
        <v>39</v>
      </c>
      <c r="F6476">
        <v>0</v>
      </c>
      <c r="G6476">
        <v>0</v>
      </c>
      <c r="H6476">
        <v>1</v>
      </c>
      <c r="I6476" s="3">
        <v>155.81</v>
      </c>
      <c r="J6476" s="3">
        <v>0</v>
      </c>
      <c r="K6476" t="s">
        <v>14769</v>
      </c>
      <c r="L6476">
        <v>1150</v>
      </c>
      <c r="M6476" t="s">
        <v>14770</v>
      </c>
      <c r="N6476" t="s">
        <v>163</v>
      </c>
      <c r="O6476" t="s">
        <v>31</v>
      </c>
      <c r="P6476" t="str">
        <f>"19406"</f>
        <v>19406</v>
      </c>
    </row>
    <row r="6477" spans="1:16" x14ac:dyDescent="0.25">
      <c r="A6477" t="str">
        <f>"1130174B00304    00"</f>
        <v>1130174B00304    00</v>
      </c>
      <c r="B6477" t="s">
        <v>14771</v>
      </c>
      <c r="C6477" t="s">
        <v>14772</v>
      </c>
      <c r="D6477" t="s">
        <v>20</v>
      </c>
      <c r="E6477" t="s">
        <v>39</v>
      </c>
      <c r="F6477">
        <v>0</v>
      </c>
      <c r="G6477">
        <v>0</v>
      </c>
      <c r="H6477">
        <v>17</v>
      </c>
      <c r="I6477" s="3">
        <v>2783.63</v>
      </c>
      <c r="J6477" s="3">
        <v>4111.67</v>
      </c>
      <c r="L6477">
        <v>427</v>
      </c>
      <c r="M6477" t="s">
        <v>14773</v>
      </c>
      <c r="N6477" t="s">
        <v>30</v>
      </c>
      <c r="O6477" t="s">
        <v>31</v>
      </c>
      <c r="P6477" t="str">
        <f>"15239"</f>
        <v>15239</v>
      </c>
    </row>
    <row r="6478" spans="1:16" x14ac:dyDescent="0.25">
      <c r="A6478" t="str">
        <f>"1130174B00315    00"</f>
        <v>1130174B00315    00</v>
      </c>
      <c r="B6478" t="s">
        <v>14774</v>
      </c>
      <c r="C6478" t="s">
        <v>14775</v>
      </c>
      <c r="D6478" t="s">
        <v>20</v>
      </c>
      <c r="E6478" t="s">
        <v>39</v>
      </c>
      <c r="F6478">
        <v>0</v>
      </c>
      <c r="G6478">
        <v>0</v>
      </c>
      <c r="H6478">
        <v>3</v>
      </c>
      <c r="I6478" s="3">
        <v>1455.36</v>
      </c>
      <c r="J6478" s="3">
        <v>435.04</v>
      </c>
      <c r="L6478">
        <v>7218</v>
      </c>
      <c r="M6478" t="s">
        <v>3980</v>
      </c>
      <c r="N6478" t="s">
        <v>30</v>
      </c>
      <c r="O6478" t="s">
        <v>31</v>
      </c>
      <c r="P6478" t="str">
        <f>"15208"</f>
        <v>15208</v>
      </c>
    </row>
    <row r="6479" spans="1:16" x14ac:dyDescent="0.25">
      <c r="A6479" t="str">
        <f>"1130174B00316    00"</f>
        <v>1130174B00316    00</v>
      </c>
      <c r="B6479" t="s">
        <v>14776</v>
      </c>
      <c r="C6479" t="s">
        <v>14777</v>
      </c>
      <c r="D6479" t="s">
        <v>20</v>
      </c>
      <c r="E6479" t="s">
        <v>39</v>
      </c>
      <c r="F6479">
        <v>0</v>
      </c>
      <c r="G6479">
        <v>0</v>
      </c>
      <c r="H6479">
        <v>2</v>
      </c>
      <c r="I6479" s="3">
        <v>701.44</v>
      </c>
      <c r="J6479" s="3">
        <v>0</v>
      </c>
      <c r="L6479">
        <v>7220</v>
      </c>
      <c r="M6479" t="s">
        <v>3980</v>
      </c>
      <c r="N6479" t="s">
        <v>30</v>
      </c>
      <c r="O6479" t="s">
        <v>31</v>
      </c>
      <c r="P6479" t="str">
        <f>"15208"</f>
        <v>15208</v>
      </c>
    </row>
    <row r="6480" spans="1:16" x14ac:dyDescent="0.25">
      <c r="A6480" t="str">
        <f>"1130174B00317    00"</f>
        <v>1130174B00317    00</v>
      </c>
      <c r="B6480" t="s">
        <v>14778</v>
      </c>
      <c r="C6480" t="s">
        <v>14779</v>
      </c>
      <c r="D6480" t="s">
        <v>20</v>
      </c>
      <c r="E6480" t="s">
        <v>39</v>
      </c>
      <c r="F6480">
        <v>0</v>
      </c>
      <c r="G6480">
        <v>0</v>
      </c>
      <c r="H6480">
        <v>9</v>
      </c>
      <c r="I6480" s="3">
        <v>526.79</v>
      </c>
      <c r="J6480" s="3">
        <v>248.5</v>
      </c>
      <c r="L6480">
        <v>7224</v>
      </c>
      <c r="M6480" t="s">
        <v>3980</v>
      </c>
      <c r="N6480" t="s">
        <v>30</v>
      </c>
      <c r="O6480" t="s">
        <v>31</v>
      </c>
      <c r="P6480" t="str">
        <f>"15208"</f>
        <v>15208</v>
      </c>
    </row>
    <row r="6481" spans="1:16" x14ac:dyDescent="0.25">
      <c r="A6481" t="str">
        <f>"1130174B00318    00"</f>
        <v>1130174B00318    00</v>
      </c>
      <c r="B6481" t="s">
        <v>10745</v>
      </c>
      <c r="C6481" t="s">
        <v>14780</v>
      </c>
      <c r="D6481" t="s">
        <v>20</v>
      </c>
      <c r="E6481" t="s">
        <v>39</v>
      </c>
      <c r="F6481">
        <v>0</v>
      </c>
      <c r="G6481">
        <v>0</v>
      </c>
      <c r="H6481">
        <v>7</v>
      </c>
      <c r="I6481" s="3">
        <v>4115.67</v>
      </c>
      <c r="J6481" s="3">
        <v>1047.3499999999999</v>
      </c>
      <c r="K6481" t="s">
        <v>14781</v>
      </c>
      <c r="L6481">
        <v>417</v>
      </c>
      <c r="M6481" t="s">
        <v>10747</v>
      </c>
      <c r="N6481" t="s">
        <v>30</v>
      </c>
      <c r="O6481" t="s">
        <v>31</v>
      </c>
      <c r="P6481" t="str">
        <f>"15206"</f>
        <v>15206</v>
      </c>
    </row>
    <row r="6482" spans="1:16" x14ac:dyDescent="0.25">
      <c r="A6482" t="str">
        <f>"1130174B00319    00"</f>
        <v>1130174B00319    00</v>
      </c>
      <c r="B6482" t="s">
        <v>14782</v>
      </c>
      <c r="C6482" t="s">
        <v>14783</v>
      </c>
      <c r="D6482" t="s">
        <v>20</v>
      </c>
      <c r="E6482" t="s">
        <v>39</v>
      </c>
      <c r="F6482">
        <v>0</v>
      </c>
      <c r="G6482">
        <v>0</v>
      </c>
      <c r="H6482">
        <v>4</v>
      </c>
      <c r="I6482" s="3">
        <v>2612.4</v>
      </c>
      <c r="J6482" s="3">
        <v>308.60000000000002</v>
      </c>
      <c r="K6482" t="s">
        <v>14784</v>
      </c>
      <c r="L6482">
        <v>7611</v>
      </c>
      <c r="M6482" t="s">
        <v>14785</v>
      </c>
      <c r="N6482" t="s">
        <v>1320</v>
      </c>
      <c r="O6482" t="s">
        <v>1321</v>
      </c>
      <c r="P6482" t="str">
        <f>"89139"</f>
        <v>89139</v>
      </c>
    </row>
    <row r="6483" spans="1:16" x14ac:dyDescent="0.25">
      <c r="A6483" t="str">
        <f>"1130174B00321    00"</f>
        <v>1130174B00321    00</v>
      </c>
      <c r="B6483" t="s">
        <v>14786</v>
      </c>
      <c r="C6483" t="s">
        <v>14787</v>
      </c>
      <c r="E6483" t="s">
        <v>39</v>
      </c>
      <c r="F6483">
        <v>0</v>
      </c>
      <c r="G6483">
        <v>0</v>
      </c>
      <c r="H6483">
        <v>15</v>
      </c>
      <c r="I6483" s="3">
        <v>10488.23</v>
      </c>
      <c r="J6483" s="3">
        <v>12915.57</v>
      </c>
      <c r="M6483" t="s">
        <v>14788</v>
      </c>
      <c r="N6483" t="s">
        <v>1412</v>
      </c>
      <c r="O6483" t="s">
        <v>1413</v>
      </c>
      <c r="P6483" t="str">
        <f>"28299"</f>
        <v>28299</v>
      </c>
    </row>
    <row r="6484" spans="1:16" x14ac:dyDescent="0.25">
      <c r="A6484" t="str">
        <f>"1130174B00322    00"</f>
        <v>1130174B00322    00</v>
      </c>
      <c r="B6484" t="s">
        <v>14789</v>
      </c>
      <c r="C6484" t="s">
        <v>14790</v>
      </c>
      <c r="D6484" t="s">
        <v>20</v>
      </c>
      <c r="E6484" t="s">
        <v>39</v>
      </c>
      <c r="F6484">
        <v>0</v>
      </c>
      <c r="G6484">
        <v>0</v>
      </c>
      <c r="H6484">
        <v>5</v>
      </c>
      <c r="I6484" s="3">
        <v>624.25</v>
      </c>
      <c r="J6484" s="3">
        <v>109.9</v>
      </c>
      <c r="L6484">
        <v>7232</v>
      </c>
      <c r="M6484" t="s">
        <v>3980</v>
      </c>
      <c r="N6484" t="s">
        <v>30</v>
      </c>
      <c r="O6484" t="s">
        <v>31</v>
      </c>
      <c r="P6484" t="str">
        <f>"15208"</f>
        <v>15208</v>
      </c>
    </row>
    <row r="6485" spans="1:16" x14ac:dyDescent="0.25">
      <c r="A6485" t="str">
        <f>"1130174B00323    00"</f>
        <v>1130174B00323    00</v>
      </c>
      <c r="B6485" t="s">
        <v>14791</v>
      </c>
      <c r="C6485" t="s">
        <v>14792</v>
      </c>
      <c r="D6485" t="s">
        <v>20</v>
      </c>
      <c r="E6485" t="s">
        <v>39</v>
      </c>
      <c r="F6485">
        <v>0</v>
      </c>
      <c r="G6485">
        <v>0</v>
      </c>
      <c r="H6485">
        <v>10</v>
      </c>
      <c r="I6485" s="3">
        <v>6140.48</v>
      </c>
      <c r="J6485" s="3">
        <v>2629.22</v>
      </c>
      <c r="L6485">
        <v>231</v>
      </c>
      <c r="M6485" t="s">
        <v>14793</v>
      </c>
      <c r="N6485" t="s">
        <v>30</v>
      </c>
      <c r="O6485" t="s">
        <v>31</v>
      </c>
      <c r="P6485" t="str">
        <f>"15235"</f>
        <v>15235</v>
      </c>
    </row>
    <row r="6486" spans="1:16" x14ac:dyDescent="0.25">
      <c r="A6486" t="str">
        <f>"1130174B00324    00"</f>
        <v>1130174B00324    00</v>
      </c>
      <c r="B6486" t="s">
        <v>14791</v>
      </c>
      <c r="C6486" t="s">
        <v>12397</v>
      </c>
      <c r="D6486" t="s">
        <v>20</v>
      </c>
      <c r="E6486" t="s">
        <v>39</v>
      </c>
      <c r="F6486">
        <v>0</v>
      </c>
      <c r="G6486">
        <v>0</v>
      </c>
      <c r="H6486">
        <v>11</v>
      </c>
      <c r="I6486" s="3">
        <v>183.36</v>
      </c>
      <c r="J6486" s="3">
        <v>98.39</v>
      </c>
      <c r="L6486">
        <v>231</v>
      </c>
      <c r="M6486" t="s">
        <v>14793</v>
      </c>
      <c r="N6486" t="s">
        <v>30</v>
      </c>
      <c r="O6486" t="s">
        <v>31</v>
      </c>
      <c r="P6486" t="str">
        <f>"15235"</f>
        <v>15235</v>
      </c>
    </row>
    <row r="6487" spans="1:16" x14ac:dyDescent="0.25">
      <c r="A6487" t="str">
        <f>"1130174B00326    00"</f>
        <v>1130174B00326    00</v>
      </c>
      <c r="B6487" t="s">
        <v>14794</v>
      </c>
      <c r="C6487" t="s">
        <v>12397</v>
      </c>
      <c r="D6487" t="s">
        <v>20</v>
      </c>
      <c r="E6487" t="s">
        <v>39</v>
      </c>
      <c r="F6487">
        <v>0</v>
      </c>
      <c r="G6487">
        <v>0</v>
      </c>
      <c r="H6487">
        <v>17</v>
      </c>
      <c r="I6487" s="3">
        <v>264.23</v>
      </c>
      <c r="J6487" s="3">
        <v>298.63</v>
      </c>
      <c r="K6487" t="s">
        <v>3450</v>
      </c>
      <c r="L6487">
        <v>2344</v>
      </c>
      <c r="M6487" t="s">
        <v>14795</v>
      </c>
      <c r="N6487" t="s">
        <v>30</v>
      </c>
      <c r="O6487" t="s">
        <v>31</v>
      </c>
      <c r="P6487" t="str">
        <f>"15222"</f>
        <v>15222</v>
      </c>
    </row>
    <row r="6488" spans="1:16" x14ac:dyDescent="0.25">
      <c r="A6488" t="str">
        <f>"1130174B00327    00"</f>
        <v>1130174B00327    00</v>
      </c>
      <c r="B6488" t="s">
        <v>14796</v>
      </c>
      <c r="C6488" t="s">
        <v>12397</v>
      </c>
      <c r="D6488" t="s">
        <v>20</v>
      </c>
      <c r="E6488" t="s">
        <v>39</v>
      </c>
      <c r="F6488">
        <v>0</v>
      </c>
      <c r="G6488">
        <v>0</v>
      </c>
      <c r="H6488">
        <v>18</v>
      </c>
      <c r="I6488" s="3">
        <v>11843.86</v>
      </c>
      <c r="J6488" s="3">
        <v>10853.8</v>
      </c>
      <c r="L6488">
        <v>7242</v>
      </c>
      <c r="M6488" t="s">
        <v>3980</v>
      </c>
      <c r="N6488" t="s">
        <v>30</v>
      </c>
      <c r="O6488" t="s">
        <v>31</v>
      </c>
      <c r="P6488" t="str">
        <f>"15221"</f>
        <v>15221</v>
      </c>
    </row>
    <row r="6489" spans="1:16" x14ac:dyDescent="0.25">
      <c r="A6489" t="str">
        <f>"1130174B00328    00"</f>
        <v>1130174B00328    00</v>
      </c>
      <c r="B6489" t="s">
        <v>14797</v>
      </c>
      <c r="C6489" t="s">
        <v>12397</v>
      </c>
      <c r="D6489" t="s">
        <v>20</v>
      </c>
      <c r="E6489" t="s">
        <v>39</v>
      </c>
      <c r="F6489">
        <v>0</v>
      </c>
      <c r="G6489">
        <v>0</v>
      </c>
      <c r="H6489">
        <v>17</v>
      </c>
      <c r="I6489" s="3">
        <v>202.97</v>
      </c>
      <c r="J6489" s="3">
        <v>243.18</v>
      </c>
      <c r="L6489">
        <v>7244</v>
      </c>
      <c r="M6489" t="s">
        <v>3980</v>
      </c>
      <c r="N6489" t="s">
        <v>30</v>
      </c>
      <c r="O6489" t="s">
        <v>31</v>
      </c>
      <c r="P6489" t="str">
        <f>"15208"</f>
        <v>15208</v>
      </c>
    </row>
    <row r="6490" spans="1:16" x14ac:dyDescent="0.25">
      <c r="A6490" t="str">
        <f>"1130174B00329    00"</f>
        <v>1130174B00329    00</v>
      </c>
      <c r="B6490" t="s">
        <v>14798</v>
      </c>
      <c r="C6490" t="s">
        <v>14625</v>
      </c>
      <c r="D6490" t="s">
        <v>20</v>
      </c>
      <c r="E6490" t="s">
        <v>39</v>
      </c>
      <c r="F6490">
        <v>0</v>
      </c>
      <c r="G6490">
        <v>0</v>
      </c>
      <c r="H6490">
        <v>14</v>
      </c>
      <c r="I6490" s="3">
        <v>3591.83</v>
      </c>
      <c r="J6490" s="3">
        <v>4852.28</v>
      </c>
      <c r="L6490">
        <v>1334</v>
      </c>
      <c r="M6490" t="s">
        <v>14799</v>
      </c>
      <c r="N6490" t="s">
        <v>509</v>
      </c>
      <c r="O6490" t="s">
        <v>31</v>
      </c>
      <c r="P6490" t="str">
        <f>"19131"</f>
        <v>19131</v>
      </c>
    </row>
    <row r="6491" spans="1:16" x14ac:dyDescent="0.25">
      <c r="A6491" t="str">
        <f>"1130174B00330    00"</f>
        <v>1130174B00330    00</v>
      </c>
      <c r="B6491" t="s">
        <v>14800</v>
      </c>
      <c r="C6491" t="s">
        <v>14625</v>
      </c>
      <c r="D6491" t="s">
        <v>20</v>
      </c>
      <c r="E6491" t="s">
        <v>39</v>
      </c>
      <c r="F6491">
        <v>0</v>
      </c>
      <c r="G6491">
        <v>0</v>
      </c>
      <c r="H6491">
        <v>17</v>
      </c>
      <c r="I6491" s="3">
        <v>202.97</v>
      </c>
      <c r="J6491" s="3">
        <v>243.18</v>
      </c>
      <c r="L6491">
        <v>7216</v>
      </c>
      <c r="M6491" t="s">
        <v>12378</v>
      </c>
      <c r="N6491" t="s">
        <v>30</v>
      </c>
      <c r="O6491" t="s">
        <v>31</v>
      </c>
      <c r="P6491" t="str">
        <f>"15208"</f>
        <v>15208</v>
      </c>
    </row>
    <row r="6492" spans="1:16" x14ac:dyDescent="0.25">
      <c r="A6492" t="str">
        <f>"1130174B00332    00"</f>
        <v>1130174B00332    00</v>
      </c>
      <c r="B6492" t="s">
        <v>14801</v>
      </c>
      <c r="C6492" t="s">
        <v>14802</v>
      </c>
      <c r="D6492" t="s">
        <v>20</v>
      </c>
      <c r="E6492" t="s">
        <v>39</v>
      </c>
      <c r="F6492">
        <v>0</v>
      </c>
      <c r="G6492">
        <v>0</v>
      </c>
      <c r="H6492">
        <v>2</v>
      </c>
      <c r="I6492" s="3">
        <v>1391.4</v>
      </c>
      <c r="J6492" s="3">
        <v>0</v>
      </c>
      <c r="L6492">
        <v>7233</v>
      </c>
      <c r="M6492" t="s">
        <v>12378</v>
      </c>
      <c r="N6492" t="s">
        <v>30</v>
      </c>
      <c r="O6492" t="s">
        <v>31</v>
      </c>
      <c r="P6492" t="str">
        <f>"15208"</f>
        <v>15208</v>
      </c>
    </row>
    <row r="6493" spans="1:16" x14ac:dyDescent="0.25">
      <c r="A6493" t="str">
        <f>"1130174B00333    00"</f>
        <v>1130174B00333    00</v>
      </c>
      <c r="B6493" t="s">
        <v>14803</v>
      </c>
      <c r="C6493" t="s">
        <v>14506</v>
      </c>
      <c r="D6493" t="s">
        <v>20</v>
      </c>
      <c r="E6493" t="s">
        <v>39</v>
      </c>
      <c r="F6493">
        <v>0</v>
      </c>
      <c r="G6493">
        <v>0</v>
      </c>
      <c r="H6493">
        <v>15</v>
      </c>
      <c r="I6493" s="3">
        <v>246.07</v>
      </c>
      <c r="J6493" s="3">
        <v>285.08999999999997</v>
      </c>
      <c r="L6493">
        <v>1572</v>
      </c>
      <c r="M6493" t="s">
        <v>14804</v>
      </c>
      <c r="N6493" t="s">
        <v>30</v>
      </c>
      <c r="O6493" t="s">
        <v>31</v>
      </c>
      <c r="P6493" t="str">
        <f>"15206"</f>
        <v>15206</v>
      </c>
    </row>
    <row r="6494" spans="1:16" x14ac:dyDescent="0.25">
      <c r="A6494" t="str">
        <f>"1130174B00335    00"</f>
        <v>1130174B00335    00</v>
      </c>
      <c r="B6494" t="s">
        <v>14805</v>
      </c>
      <c r="C6494" t="s">
        <v>14506</v>
      </c>
      <c r="D6494" t="s">
        <v>20</v>
      </c>
      <c r="E6494" t="s">
        <v>39</v>
      </c>
      <c r="F6494">
        <v>0</v>
      </c>
      <c r="G6494">
        <v>0</v>
      </c>
      <c r="H6494">
        <v>18</v>
      </c>
      <c r="I6494" s="3">
        <v>300.73</v>
      </c>
      <c r="J6494" s="3">
        <v>261.66000000000003</v>
      </c>
      <c r="L6494">
        <v>7225</v>
      </c>
      <c r="M6494" t="s">
        <v>12378</v>
      </c>
      <c r="N6494" t="s">
        <v>30</v>
      </c>
      <c r="O6494" t="s">
        <v>31</v>
      </c>
      <c r="P6494" t="str">
        <f>"15208"</f>
        <v>15208</v>
      </c>
    </row>
    <row r="6495" spans="1:16" x14ac:dyDescent="0.25">
      <c r="A6495" t="str">
        <f>"1130174B00336    00"</f>
        <v>1130174B00336    00</v>
      </c>
      <c r="B6495" t="s">
        <v>14805</v>
      </c>
      <c r="C6495" t="s">
        <v>14806</v>
      </c>
      <c r="D6495" t="s">
        <v>20</v>
      </c>
      <c r="E6495" t="s">
        <v>39</v>
      </c>
      <c r="F6495">
        <v>0</v>
      </c>
      <c r="G6495">
        <v>0</v>
      </c>
      <c r="H6495">
        <v>16</v>
      </c>
      <c r="I6495" s="3">
        <v>5516.56</v>
      </c>
      <c r="J6495" s="3">
        <v>5693.57</v>
      </c>
      <c r="L6495">
        <v>7225</v>
      </c>
      <c r="M6495" t="s">
        <v>12378</v>
      </c>
      <c r="N6495" t="s">
        <v>30</v>
      </c>
      <c r="O6495" t="s">
        <v>31</v>
      </c>
      <c r="P6495" t="str">
        <f>"15208"</f>
        <v>15208</v>
      </c>
    </row>
    <row r="6496" spans="1:16" x14ac:dyDescent="0.25">
      <c r="A6496" t="str">
        <f>"1130174B00338    00"</f>
        <v>1130174B00338    00</v>
      </c>
      <c r="B6496" t="s">
        <v>14807</v>
      </c>
      <c r="C6496" t="s">
        <v>14808</v>
      </c>
      <c r="D6496" t="s">
        <v>20</v>
      </c>
      <c r="E6496" t="s">
        <v>39</v>
      </c>
      <c r="F6496">
        <v>0</v>
      </c>
      <c r="G6496">
        <v>0</v>
      </c>
      <c r="H6496">
        <v>19</v>
      </c>
      <c r="I6496" s="3">
        <v>15220.2</v>
      </c>
      <c r="J6496" s="3">
        <v>15276.89</v>
      </c>
      <c r="L6496">
        <v>7221</v>
      </c>
      <c r="M6496" t="s">
        <v>12378</v>
      </c>
      <c r="N6496" t="s">
        <v>30</v>
      </c>
      <c r="O6496" t="s">
        <v>31</v>
      </c>
      <c r="P6496" t="str">
        <f>"15208"</f>
        <v>15208</v>
      </c>
    </row>
    <row r="6497" spans="1:16" x14ac:dyDescent="0.25">
      <c r="A6497" t="str">
        <f>"1130174B00339    00"</f>
        <v>1130174B00339    00</v>
      </c>
      <c r="B6497" t="s">
        <v>14809</v>
      </c>
      <c r="C6497" t="s">
        <v>14810</v>
      </c>
      <c r="E6497" t="s">
        <v>39</v>
      </c>
      <c r="F6497">
        <v>0</v>
      </c>
      <c r="G6497">
        <v>0</v>
      </c>
      <c r="H6497">
        <v>8</v>
      </c>
      <c r="I6497" s="3">
        <v>6058.79</v>
      </c>
      <c r="J6497" s="3">
        <v>7731.74</v>
      </c>
      <c r="L6497">
        <v>2109</v>
      </c>
      <c r="M6497" t="s">
        <v>5024</v>
      </c>
      <c r="N6497" t="s">
        <v>30</v>
      </c>
      <c r="O6497" t="s">
        <v>31</v>
      </c>
      <c r="P6497" t="str">
        <f>"15221"</f>
        <v>15221</v>
      </c>
    </row>
    <row r="6498" spans="1:16" x14ac:dyDescent="0.25">
      <c r="A6498" t="str">
        <f>"1130174B00341    00"</f>
        <v>1130174B00341    00</v>
      </c>
      <c r="B6498" t="s">
        <v>14811</v>
      </c>
      <c r="C6498" t="s">
        <v>14812</v>
      </c>
      <c r="D6498" t="s">
        <v>20</v>
      </c>
      <c r="E6498" t="s">
        <v>39</v>
      </c>
      <c r="F6498">
        <v>0</v>
      </c>
      <c r="G6498">
        <v>0</v>
      </c>
      <c r="H6498">
        <v>19</v>
      </c>
      <c r="I6498" s="3">
        <v>15847.55</v>
      </c>
      <c r="J6498" s="3">
        <v>15848.07</v>
      </c>
      <c r="K6498" t="s">
        <v>14813</v>
      </c>
      <c r="L6498">
        <v>7215</v>
      </c>
      <c r="M6498" t="s">
        <v>12378</v>
      </c>
      <c r="N6498" t="s">
        <v>30</v>
      </c>
      <c r="O6498" t="s">
        <v>31</v>
      </c>
      <c r="P6498" t="str">
        <f>"15208"</f>
        <v>15208</v>
      </c>
    </row>
    <row r="6499" spans="1:16" x14ac:dyDescent="0.25">
      <c r="A6499" t="str">
        <f>"1130174B00342    00"</f>
        <v>1130174B00342    00</v>
      </c>
      <c r="B6499" t="s">
        <v>14814</v>
      </c>
      <c r="C6499" t="s">
        <v>14815</v>
      </c>
      <c r="D6499" t="s">
        <v>20</v>
      </c>
      <c r="E6499" t="s">
        <v>39</v>
      </c>
      <c r="F6499">
        <v>0</v>
      </c>
      <c r="G6499">
        <v>0</v>
      </c>
      <c r="H6499">
        <v>1</v>
      </c>
      <c r="I6499" s="3">
        <v>253.98</v>
      </c>
      <c r="J6499" s="3">
        <v>0</v>
      </c>
      <c r="K6499" t="s">
        <v>14816</v>
      </c>
      <c r="L6499">
        <v>944</v>
      </c>
      <c r="M6499" t="s">
        <v>14817</v>
      </c>
      <c r="N6499" t="s">
        <v>30</v>
      </c>
      <c r="O6499" t="s">
        <v>31</v>
      </c>
      <c r="P6499" t="str">
        <f>"15236"</f>
        <v>15236</v>
      </c>
    </row>
    <row r="6500" spans="1:16" x14ac:dyDescent="0.25">
      <c r="A6500" t="str">
        <f>"1130174B00348    00"</f>
        <v>1130174B00348    00</v>
      </c>
      <c r="B6500" t="s">
        <v>14818</v>
      </c>
      <c r="C6500" t="s">
        <v>14819</v>
      </c>
      <c r="D6500" t="s">
        <v>20</v>
      </c>
      <c r="E6500" t="s">
        <v>39</v>
      </c>
      <c r="F6500">
        <v>0</v>
      </c>
      <c r="G6500">
        <v>0</v>
      </c>
      <c r="H6500">
        <v>4</v>
      </c>
      <c r="I6500" s="3">
        <v>679.02</v>
      </c>
      <c r="J6500" s="3">
        <v>83.6</v>
      </c>
      <c r="L6500">
        <v>7146</v>
      </c>
      <c r="M6500" t="s">
        <v>14820</v>
      </c>
      <c r="N6500" t="s">
        <v>30</v>
      </c>
      <c r="O6500" t="s">
        <v>31</v>
      </c>
      <c r="P6500" t="str">
        <f>"15208"</f>
        <v>15208</v>
      </c>
    </row>
    <row r="6501" spans="1:16" x14ac:dyDescent="0.25">
      <c r="A6501" t="str">
        <f>"1130174C00003    00"</f>
        <v>1130174C00003    00</v>
      </c>
      <c r="B6501" t="s">
        <v>14821</v>
      </c>
      <c r="C6501" t="s">
        <v>14822</v>
      </c>
      <c r="D6501" t="s">
        <v>20</v>
      </c>
      <c r="E6501" t="s">
        <v>39</v>
      </c>
      <c r="F6501">
        <v>0</v>
      </c>
      <c r="G6501">
        <v>0</v>
      </c>
      <c r="H6501">
        <v>6</v>
      </c>
      <c r="I6501" s="3">
        <v>561.75</v>
      </c>
      <c r="J6501" s="3">
        <v>125.98</v>
      </c>
      <c r="L6501">
        <v>734</v>
      </c>
      <c r="M6501" t="s">
        <v>14716</v>
      </c>
      <c r="N6501" t="s">
        <v>295</v>
      </c>
      <c r="O6501" t="s">
        <v>31</v>
      </c>
      <c r="P6501" t="str">
        <f>"15146"</f>
        <v>15146</v>
      </c>
    </row>
    <row r="6502" spans="1:16" x14ac:dyDescent="0.25">
      <c r="A6502" t="str">
        <f>"1130174C00004    00"</f>
        <v>1130174C00004    00</v>
      </c>
      <c r="B6502" t="s">
        <v>14823</v>
      </c>
      <c r="C6502" t="s">
        <v>14629</v>
      </c>
      <c r="D6502" t="s">
        <v>20</v>
      </c>
      <c r="E6502" t="s">
        <v>39</v>
      </c>
      <c r="F6502">
        <v>0</v>
      </c>
      <c r="G6502">
        <v>0</v>
      </c>
      <c r="H6502">
        <v>10</v>
      </c>
      <c r="I6502" s="3">
        <v>2369.08</v>
      </c>
      <c r="J6502" s="3">
        <v>1203.72</v>
      </c>
      <c r="K6502" t="s">
        <v>14824</v>
      </c>
      <c r="L6502">
        <v>304</v>
      </c>
      <c r="M6502" t="s">
        <v>14825</v>
      </c>
      <c r="N6502" t="s">
        <v>1320</v>
      </c>
      <c r="O6502" t="s">
        <v>1321</v>
      </c>
      <c r="P6502" t="str">
        <f>"89107"</f>
        <v>89107</v>
      </c>
    </row>
    <row r="6503" spans="1:16" x14ac:dyDescent="0.25">
      <c r="A6503" t="str">
        <f>"1130174C00012    00"</f>
        <v>1130174C00012    00</v>
      </c>
      <c r="B6503" t="s">
        <v>14826</v>
      </c>
      <c r="C6503" t="s">
        <v>14827</v>
      </c>
      <c r="E6503" t="s">
        <v>39</v>
      </c>
      <c r="F6503">
        <v>0</v>
      </c>
      <c r="G6503">
        <v>0</v>
      </c>
      <c r="H6503">
        <v>16</v>
      </c>
      <c r="I6503" s="3">
        <v>6489.04</v>
      </c>
      <c r="J6503" s="3">
        <v>5518.95</v>
      </c>
      <c r="L6503">
        <v>7355</v>
      </c>
      <c r="M6503" t="s">
        <v>12201</v>
      </c>
      <c r="N6503" t="s">
        <v>30</v>
      </c>
      <c r="O6503" t="s">
        <v>31</v>
      </c>
      <c r="P6503" t="str">
        <f>"15208"</f>
        <v>15208</v>
      </c>
    </row>
    <row r="6504" spans="1:16" x14ac:dyDescent="0.25">
      <c r="A6504" t="str">
        <f>"1130174C00012A   00"</f>
        <v>1130174C00012A   00</v>
      </c>
      <c r="B6504" t="s">
        <v>14828</v>
      </c>
      <c r="C6504" t="s">
        <v>14629</v>
      </c>
      <c r="D6504" t="s">
        <v>20</v>
      </c>
      <c r="E6504" t="s">
        <v>39</v>
      </c>
      <c r="F6504">
        <v>0</v>
      </c>
      <c r="G6504">
        <v>0</v>
      </c>
      <c r="H6504">
        <v>17</v>
      </c>
      <c r="I6504" s="3">
        <v>56.38</v>
      </c>
      <c r="J6504" s="3">
        <v>49.83</v>
      </c>
      <c r="K6504" t="s">
        <v>1008</v>
      </c>
      <c r="P6504" t="str">
        <f>""</f>
        <v/>
      </c>
    </row>
    <row r="6505" spans="1:16" x14ac:dyDescent="0.25">
      <c r="A6505" t="str">
        <f>"1130174C00019    00"</f>
        <v>1130174C00019    00</v>
      </c>
      <c r="B6505" t="s">
        <v>14829</v>
      </c>
      <c r="C6505" t="s">
        <v>14830</v>
      </c>
      <c r="D6505" t="s">
        <v>20</v>
      </c>
      <c r="E6505" t="s">
        <v>39</v>
      </c>
      <c r="F6505">
        <v>0</v>
      </c>
      <c r="G6505">
        <v>0</v>
      </c>
      <c r="H6505">
        <v>5</v>
      </c>
      <c r="I6505" s="3">
        <v>424.85</v>
      </c>
      <c r="J6505" s="3">
        <v>64.260000000000005</v>
      </c>
      <c r="K6505" t="s">
        <v>14831</v>
      </c>
      <c r="L6505">
        <v>16502</v>
      </c>
      <c r="M6505" t="s">
        <v>14832</v>
      </c>
      <c r="N6505" t="s">
        <v>1183</v>
      </c>
      <c r="O6505" t="s">
        <v>1184</v>
      </c>
      <c r="P6505" t="str">
        <f>"20772"</f>
        <v>20772</v>
      </c>
    </row>
    <row r="6506" spans="1:16" x14ac:dyDescent="0.25">
      <c r="A6506" t="str">
        <f>"1130174C00021    00"</f>
        <v>1130174C00021    00</v>
      </c>
      <c r="B6506" t="s">
        <v>14833</v>
      </c>
      <c r="C6506" t="s">
        <v>14834</v>
      </c>
      <c r="D6506" t="s">
        <v>20</v>
      </c>
      <c r="E6506" t="s">
        <v>39</v>
      </c>
      <c r="F6506">
        <v>0</v>
      </c>
      <c r="G6506">
        <v>0</v>
      </c>
      <c r="H6506">
        <v>4</v>
      </c>
      <c r="I6506" s="3">
        <v>1246.28</v>
      </c>
      <c r="J6506" s="3">
        <v>107.97</v>
      </c>
      <c r="K6506" t="s">
        <v>14835</v>
      </c>
      <c r="L6506">
        <v>420</v>
      </c>
      <c r="M6506" t="s">
        <v>2444</v>
      </c>
      <c r="N6506" t="s">
        <v>6603</v>
      </c>
      <c r="O6506" t="s">
        <v>31</v>
      </c>
      <c r="P6506" t="str">
        <f>"15122"</f>
        <v>15122</v>
      </c>
    </row>
    <row r="6507" spans="1:16" x14ac:dyDescent="0.25">
      <c r="A6507" t="str">
        <f>"1130174C00102    00"</f>
        <v>1130174C00102    00</v>
      </c>
      <c r="B6507" t="s">
        <v>14836</v>
      </c>
      <c r="C6507" t="s">
        <v>14837</v>
      </c>
      <c r="D6507" t="s">
        <v>20</v>
      </c>
      <c r="E6507" t="s">
        <v>39</v>
      </c>
      <c r="F6507">
        <v>0</v>
      </c>
      <c r="G6507">
        <v>0</v>
      </c>
      <c r="H6507">
        <v>4</v>
      </c>
      <c r="I6507" s="3">
        <v>90.38</v>
      </c>
      <c r="J6507" s="3">
        <v>11.07</v>
      </c>
      <c r="L6507">
        <v>7500</v>
      </c>
      <c r="M6507" t="s">
        <v>12207</v>
      </c>
      <c r="N6507" t="s">
        <v>30</v>
      </c>
      <c r="O6507" t="s">
        <v>31</v>
      </c>
      <c r="P6507" t="str">
        <f>"15208"</f>
        <v>15208</v>
      </c>
    </row>
    <row r="6508" spans="1:16" x14ac:dyDescent="0.25">
      <c r="A6508" t="str">
        <f>"1130174C00104    00"</f>
        <v>1130174C00104    00</v>
      </c>
      <c r="B6508" t="s">
        <v>14838</v>
      </c>
      <c r="C6508" t="s">
        <v>14839</v>
      </c>
      <c r="D6508" t="s">
        <v>20</v>
      </c>
      <c r="E6508" t="s">
        <v>39</v>
      </c>
      <c r="F6508">
        <v>0</v>
      </c>
      <c r="G6508">
        <v>0</v>
      </c>
      <c r="H6508">
        <v>1</v>
      </c>
      <c r="I6508" s="3">
        <v>682.82</v>
      </c>
      <c r="J6508" s="3">
        <v>0</v>
      </c>
      <c r="L6508">
        <v>7350</v>
      </c>
      <c r="M6508" t="s">
        <v>12207</v>
      </c>
      <c r="N6508" t="s">
        <v>30</v>
      </c>
      <c r="O6508" t="s">
        <v>31</v>
      </c>
      <c r="P6508" t="str">
        <f>"15208"</f>
        <v>15208</v>
      </c>
    </row>
    <row r="6509" spans="1:16" x14ac:dyDescent="0.25">
      <c r="A6509" t="str">
        <f>"1130174C00106    00"</f>
        <v>1130174C00106    00</v>
      </c>
      <c r="B6509" t="s">
        <v>14840</v>
      </c>
      <c r="C6509" t="s">
        <v>12188</v>
      </c>
      <c r="D6509" t="s">
        <v>20</v>
      </c>
      <c r="E6509" t="s">
        <v>39</v>
      </c>
      <c r="F6509">
        <v>0</v>
      </c>
      <c r="G6509">
        <v>0</v>
      </c>
      <c r="H6509">
        <v>19</v>
      </c>
      <c r="I6509" s="3">
        <v>1960.68</v>
      </c>
      <c r="J6509" s="3">
        <v>2003.83</v>
      </c>
      <c r="L6509">
        <v>9401</v>
      </c>
      <c r="M6509" t="s">
        <v>11939</v>
      </c>
      <c r="N6509" t="s">
        <v>30</v>
      </c>
      <c r="O6509" t="s">
        <v>31</v>
      </c>
      <c r="P6509" t="str">
        <f>"15235"</f>
        <v>15235</v>
      </c>
    </row>
    <row r="6510" spans="1:16" x14ac:dyDescent="0.25">
      <c r="A6510" t="str">
        <f>"1130174C00107    00"</f>
        <v>1130174C00107    00</v>
      </c>
      <c r="B6510" t="s">
        <v>14840</v>
      </c>
      <c r="C6510" t="s">
        <v>12188</v>
      </c>
      <c r="D6510" t="s">
        <v>20</v>
      </c>
      <c r="E6510" t="s">
        <v>39</v>
      </c>
      <c r="F6510">
        <v>0</v>
      </c>
      <c r="G6510">
        <v>0</v>
      </c>
      <c r="H6510">
        <v>19</v>
      </c>
      <c r="I6510" s="3">
        <v>414.21</v>
      </c>
      <c r="J6510" s="3">
        <v>376.38</v>
      </c>
      <c r="L6510">
        <v>9401</v>
      </c>
      <c r="M6510" t="s">
        <v>11939</v>
      </c>
      <c r="N6510" t="s">
        <v>30</v>
      </c>
      <c r="O6510" t="s">
        <v>31</v>
      </c>
      <c r="P6510" t="str">
        <f>"15235"</f>
        <v>15235</v>
      </c>
    </row>
    <row r="6511" spans="1:16" x14ac:dyDescent="0.25">
      <c r="A6511" t="str">
        <f>"1130174C00169    00"</f>
        <v>1130174C00169    00</v>
      </c>
      <c r="B6511" t="s">
        <v>14841</v>
      </c>
      <c r="C6511" t="s">
        <v>13993</v>
      </c>
      <c r="D6511" t="s">
        <v>20</v>
      </c>
      <c r="E6511" t="s">
        <v>39</v>
      </c>
      <c r="F6511">
        <v>0</v>
      </c>
      <c r="G6511">
        <v>0</v>
      </c>
      <c r="H6511">
        <v>17</v>
      </c>
      <c r="I6511" s="3">
        <v>184.56</v>
      </c>
      <c r="J6511" s="3">
        <v>233.11</v>
      </c>
      <c r="L6511">
        <v>1509</v>
      </c>
      <c r="M6511" t="s">
        <v>13819</v>
      </c>
      <c r="N6511" t="s">
        <v>30</v>
      </c>
      <c r="O6511" t="s">
        <v>31</v>
      </c>
      <c r="P6511" t="str">
        <f>"15206"</f>
        <v>15206</v>
      </c>
    </row>
    <row r="6512" spans="1:16" x14ac:dyDescent="0.25">
      <c r="A6512" t="str">
        <f>"1130174C00344    00"</f>
        <v>1130174C00344    00</v>
      </c>
      <c r="B6512" t="s">
        <v>14842</v>
      </c>
      <c r="C6512" t="s">
        <v>14843</v>
      </c>
      <c r="D6512" t="s">
        <v>20</v>
      </c>
      <c r="E6512" t="s">
        <v>39</v>
      </c>
      <c r="F6512">
        <v>0</v>
      </c>
      <c r="G6512">
        <v>0</v>
      </c>
      <c r="H6512">
        <v>19</v>
      </c>
      <c r="I6512" s="3">
        <v>1949.38</v>
      </c>
      <c r="J6512" s="3">
        <v>2087.7199999999998</v>
      </c>
      <c r="K6512" t="s">
        <v>14844</v>
      </c>
      <c r="M6512" t="s">
        <v>14845</v>
      </c>
      <c r="N6512" t="s">
        <v>14846</v>
      </c>
      <c r="O6512" t="s">
        <v>692</v>
      </c>
      <c r="P6512" t="str">
        <f>"24460"</f>
        <v>24460</v>
      </c>
    </row>
    <row r="6513" spans="1:16" x14ac:dyDescent="0.25">
      <c r="A6513" t="str">
        <f>"1130174D00100    00"</f>
        <v>1130174D00100    00</v>
      </c>
      <c r="B6513" t="s">
        <v>14847</v>
      </c>
      <c r="C6513" t="s">
        <v>14848</v>
      </c>
      <c r="D6513" t="s">
        <v>20</v>
      </c>
      <c r="E6513" t="s">
        <v>39</v>
      </c>
      <c r="F6513">
        <v>0</v>
      </c>
      <c r="G6513">
        <v>0</v>
      </c>
      <c r="H6513">
        <v>19</v>
      </c>
      <c r="I6513" s="3">
        <v>1680.9</v>
      </c>
      <c r="J6513" s="3">
        <v>1720.84</v>
      </c>
      <c r="K6513" t="s">
        <v>14849</v>
      </c>
      <c r="L6513">
        <v>7458</v>
      </c>
      <c r="M6513" t="s">
        <v>12045</v>
      </c>
      <c r="N6513" t="s">
        <v>30</v>
      </c>
      <c r="O6513" t="s">
        <v>31</v>
      </c>
      <c r="P6513" t="str">
        <f>"15221"</f>
        <v>15221</v>
      </c>
    </row>
    <row r="6514" spans="1:16" x14ac:dyDescent="0.25">
      <c r="A6514" t="str">
        <f>"1130174D00130    00"</f>
        <v>1130174D00130    00</v>
      </c>
      <c r="B6514" t="s">
        <v>14850</v>
      </c>
      <c r="C6514" t="s">
        <v>14851</v>
      </c>
      <c r="D6514" t="s">
        <v>57</v>
      </c>
      <c r="E6514" t="s">
        <v>39</v>
      </c>
      <c r="F6514">
        <v>0</v>
      </c>
      <c r="G6514">
        <v>0</v>
      </c>
      <c r="H6514">
        <v>1</v>
      </c>
      <c r="I6514" s="3">
        <v>547.03</v>
      </c>
      <c r="J6514" s="3">
        <v>0</v>
      </c>
      <c r="L6514">
        <v>7228</v>
      </c>
      <c r="M6514" t="s">
        <v>4026</v>
      </c>
      <c r="N6514" t="s">
        <v>30</v>
      </c>
      <c r="O6514" t="s">
        <v>31</v>
      </c>
      <c r="P6514" t="str">
        <f>"15235"</f>
        <v>15235</v>
      </c>
    </row>
    <row r="6515" spans="1:16" x14ac:dyDescent="0.25">
      <c r="A6515" t="str">
        <f>"1130174D00133    00"</f>
        <v>1130174D00133    00</v>
      </c>
      <c r="B6515" t="s">
        <v>14852</v>
      </c>
      <c r="C6515" t="s">
        <v>14853</v>
      </c>
      <c r="D6515" t="s">
        <v>20</v>
      </c>
      <c r="E6515" t="s">
        <v>39</v>
      </c>
      <c r="F6515">
        <v>0</v>
      </c>
      <c r="G6515">
        <v>0</v>
      </c>
      <c r="H6515">
        <v>19</v>
      </c>
      <c r="I6515" s="3">
        <v>1683.56</v>
      </c>
      <c r="J6515" s="3">
        <v>1744.8</v>
      </c>
      <c r="L6515">
        <v>7412</v>
      </c>
      <c r="M6515" t="s">
        <v>12395</v>
      </c>
      <c r="N6515" t="s">
        <v>30</v>
      </c>
      <c r="O6515" t="s">
        <v>31</v>
      </c>
      <c r="P6515" t="str">
        <f>"15208"</f>
        <v>15208</v>
      </c>
    </row>
    <row r="6516" spans="1:16" x14ac:dyDescent="0.25">
      <c r="A6516" t="str">
        <f>"1130174E00007    00"</f>
        <v>1130174E00007    00</v>
      </c>
      <c r="B6516" t="s">
        <v>14854</v>
      </c>
      <c r="C6516" t="s">
        <v>14855</v>
      </c>
      <c r="D6516" t="s">
        <v>20</v>
      </c>
      <c r="E6516" t="s">
        <v>39</v>
      </c>
      <c r="F6516">
        <v>0</v>
      </c>
      <c r="G6516">
        <v>0</v>
      </c>
      <c r="H6516">
        <v>17</v>
      </c>
      <c r="I6516" s="3">
        <v>284.08999999999997</v>
      </c>
      <c r="J6516" s="3">
        <v>293.89999999999998</v>
      </c>
      <c r="K6516" t="s">
        <v>1008</v>
      </c>
      <c r="P6516" t="str">
        <f>""</f>
        <v/>
      </c>
    </row>
    <row r="6517" spans="1:16" x14ac:dyDescent="0.25">
      <c r="A6517" t="str">
        <f>"1130174E00008    00"</f>
        <v>1130174E00008    00</v>
      </c>
      <c r="B6517" t="s">
        <v>14856</v>
      </c>
      <c r="C6517" t="s">
        <v>14857</v>
      </c>
      <c r="D6517" t="s">
        <v>20</v>
      </c>
      <c r="E6517" t="s">
        <v>39</v>
      </c>
      <c r="F6517">
        <v>0</v>
      </c>
      <c r="G6517">
        <v>0</v>
      </c>
      <c r="H6517">
        <v>11</v>
      </c>
      <c r="I6517" s="3">
        <v>6321.27</v>
      </c>
      <c r="J6517" s="3">
        <v>3015.38</v>
      </c>
      <c r="M6517" t="s">
        <v>14858</v>
      </c>
      <c r="N6517" t="s">
        <v>30</v>
      </c>
      <c r="O6517" t="s">
        <v>31</v>
      </c>
      <c r="P6517" t="str">
        <f>"15208"</f>
        <v>15208</v>
      </c>
    </row>
    <row r="6518" spans="1:16" x14ac:dyDescent="0.25">
      <c r="A6518" t="str">
        <f>"1130174E00011    00"</f>
        <v>1130174E00011    00</v>
      </c>
      <c r="B6518" t="s">
        <v>14859</v>
      </c>
      <c r="C6518" t="s">
        <v>14860</v>
      </c>
      <c r="D6518" t="s">
        <v>20</v>
      </c>
      <c r="E6518" t="s">
        <v>39</v>
      </c>
      <c r="F6518">
        <v>0</v>
      </c>
      <c r="G6518">
        <v>0</v>
      </c>
      <c r="H6518">
        <v>4</v>
      </c>
      <c r="I6518" s="3">
        <v>1217.04</v>
      </c>
      <c r="J6518" s="3">
        <v>164.51</v>
      </c>
      <c r="L6518">
        <v>504</v>
      </c>
      <c r="M6518" t="s">
        <v>14861</v>
      </c>
      <c r="N6518" t="s">
        <v>3623</v>
      </c>
      <c r="O6518" t="s">
        <v>31</v>
      </c>
      <c r="P6518" t="str">
        <f>"17111"</f>
        <v>17111</v>
      </c>
    </row>
    <row r="6519" spans="1:16" x14ac:dyDescent="0.25">
      <c r="A6519" t="str">
        <f>"1130174E00023    00"</f>
        <v>1130174E00023    00</v>
      </c>
      <c r="B6519" t="s">
        <v>14862</v>
      </c>
      <c r="C6519" t="s">
        <v>14863</v>
      </c>
      <c r="D6519" t="s">
        <v>20</v>
      </c>
      <c r="E6519" t="s">
        <v>39</v>
      </c>
      <c r="F6519">
        <v>0</v>
      </c>
      <c r="G6519">
        <v>0</v>
      </c>
      <c r="H6519">
        <v>13</v>
      </c>
      <c r="I6519" s="3">
        <v>4252.16</v>
      </c>
      <c r="J6519" s="3">
        <v>2917.44</v>
      </c>
      <c r="K6519" t="s">
        <v>14864</v>
      </c>
      <c r="L6519">
        <v>2152</v>
      </c>
      <c r="M6519" t="s">
        <v>14865</v>
      </c>
      <c r="N6519" t="s">
        <v>509</v>
      </c>
      <c r="O6519" t="s">
        <v>31</v>
      </c>
      <c r="P6519" t="str">
        <f>"19121"</f>
        <v>19121</v>
      </c>
    </row>
    <row r="6520" spans="1:16" x14ac:dyDescent="0.25">
      <c r="A6520" t="str">
        <f>"1130174E00027    00"</f>
        <v>1130174E00027    00</v>
      </c>
      <c r="B6520" t="s">
        <v>14866</v>
      </c>
      <c r="C6520" t="s">
        <v>14867</v>
      </c>
      <c r="E6520" t="s">
        <v>39</v>
      </c>
      <c r="F6520">
        <v>0</v>
      </c>
      <c r="G6520">
        <v>0</v>
      </c>
      <c r="H6520">
        <v>1</v>
      </c>
      <c r="I6520" s="3">
        <v>638.89</v>
      </c>
      <c r="J6520" s="3">
        <v>314.11</v>
      </c>
      <c r="L6520">
        <v>3818</v>
      </c>
      <c r="M6520" t="s">
        <v>14868</v>
      </c>
      <c r="N6520" t="s">
        <v>14869</v>
      </c>
      <c r="O6520" t="s">
        <v>692</v>
      </c>
      <c r="P6520" t="str">
        <f>"22030"</f>
        <v>22030</v>
      </c>
    </row>
    <row r="6521" spans="1:16" x14ac:dyDescent="0.25">
      <c r="A6521" t="str">
        <f>"1130174E00028    00"</f>
        <v>1130174E00028    00</v>
      </c>
      <c r="B6521" t="s">
        <v>14870</v>
      </c>
      <c r="C6521" t="s">
        <v>14871</v>
      </c>
      <c r="D6521" t="s">
        <v>20</v>
      </c>
      <c r="E6521" t="s">
        <v>39</v>
      </c>
      <c r="F6521">
        <v>0</v>
      </c>
      <c r="G6521">
        <v>0</v>
      </c>
      <c r="H6521">
        <v>3</v>
      </c>
      <c r="I6521" s="3">
        <v>178.43</v>
      </c>
      <c r="J6521" s="3">
        <v>137.81</v>
      </c>
      <c r="L6521">
        <v>810</v>
      </c>
      <c r="M6521" t="s">
        <v>14872</v>
      </c>
      <c r="N6521" t="s">
        <v>30</v>
      </c>
      <c r="O6521" t="s">
        <v>31</v>
      </c>
      <c r="P6521" t="str">
        <f>"15221"</f>
        <v>15221</v>
      </c>
    </row>
    <row r="6522" spans="1:16" x14ac:dyDescent="0.25">
      <c r="A6522" t="str">
        <f>"1130174E00030    00"</f>
        <v>1130174E00030    00</v>
      </c>
      <c r="B6522" t="s">
        <v>14873</v>
      </c>
      <c r="C6522" t="s">
        <v>14874</v>
      </c>
      <c r="D6522" t="s">
        <v>20</v>
      </c>
      <c r="E6522" t="s">
        <v>39</v>
      </c>
      <c r="F6522">
        <v>0</v>
      </c>
      <c r="G6522">
        <v>0</v>
      </c>
      <c r="H6522">
        <v>9</v>
      </c>
      <c r="I6522" s="3">
        <v>975.26</v>
      </c>
      <c r="J6522" s="3">
        <v>367.98</v>
      </c>
      <c r="L6522">
        <v>6935</v>
      </c>
      <c r="M6522" t="s">
        <v>14875</v>
      </c>
      <c r="N6522" t="s">
        <v>30</v>
      </c>
      <c r="O6522" t="s">
        <v>31</v>
      </c>
      <c r="P6522" t="str">
        <f>"15208"</f>
        <v>15208</v>
      </c>
    </row>
    <row r="6523" spans="1:16" x14ac:dyDescent="0.25">
      <c r="A6523" t="str">
        <f>"1130174E00033    00"</f>
        <v>1130174E00033    00</v>
      </c>
      <c r="B6523" t="s">
        <v>14876</v>
      </c>
      <c r="C6523" t="s">
        <v>14528</v>
      </c>
      <c r="D6523" t="s">
        <v>20</v>
      </c>
      <c r="E6523" t="s">
        <v>39</v>
      </c>
      <c r="F6523">
        <v>0</v>
      </c>
      <c r="G6523">
        <v>0</v>
      </c>
      <c r="H6523">
        <v>17</v>
      </c>
      <c r="I6523" s="3">
        <v>264.23</v>
      </c>
      <c r="J6523" s="3">
        <v>298.63</v>
      </c>
      <c r="K6523" t="s">
        <v>1037</v>
      </c>
      <c r="L6523">
        <v>7080</v>
      </c>
      <c r="M6523" t="s">
        <v>2507</v>
      </c>
      <c r="N6523" t="s">
        <v>30</v>
      </c>
      <c r="O6523" t="s">
        <v>31</v>
      </c>
      <c r="P6523" t="str">
        <f>"15206"</f>
        <v>15206</v>
      </c>
    </row>
    <row r="6524" spans="1:16" x14ac:dyDescent="0.25">
      <c r="A6524" t="str">
        <f>"1130174E00039    00"</f>
        <v>1130174E00039    00</v>
      </c>
      <c r="B6524" t="s">
        <v>14877</v>
      </c>
      <c r="C6524" t="s">
        <v>14878</v>
      </c>
      <c r="D6524" t="s">
        <v>20</v>
      </c>
      <c r="E6524" t="s">
        <v>39</v>
      </c>
      <c r="F6524">
        <v>0</v>
      </c>
      <c r="G6524">
        <v>0</v>
      </c>
      <c r="H6524">
        <v>5</v>
      </c>
      <c r="I6524" s="3">
        <v>4785.37</v>
      </c>
      <c r="J6524" s="3">
        <v>826.74</v>
      </c>
      <c r="L6524">
        <v>7432</v>
      </c>
      <c r="M6524" t="s">
        <v>12045</v>
      </c>
      <c r="N6524" t="s">
        <v>30</v>
      </c>
      <c r="O6524" t="s">
        <v>31</v>
      </c>
      <c r="P6524" t="str">
        <f>"15208"</f>
        <v>15208</v>
      </c>
    </row>
    <row r="6525" spans="1:16" x14ac:dyDescent="0.25">
      <c r="A6525" t="str">
        <f>"1130174E00041    00"</f>
        <v>1130174E00041    00</v>
      </c>
      <c r="B6525" t="s">
        <v>14879</v>
      </c>
      <c r="C6525" t="s">
        <v>14528</v>
      </c>
      <c r="D6525" t="s">
        <v>20</v>
      </c>
      <c r="E6525" t="s">
        <v>39</v>
      </c>
      <c r="F6525">
        <v>0</v>
      </c>
      <c r="G6525">
        <v>0</v>
      </c>
      <c r="H6525">
        <v>19</v>
      </c>
      <c r="I6525" s="3">
        <v>1762.95</v>
      </c>
      <c r="J6525" s="3">
        <v>1899.33</v>
      </c>
      <c r="L6525">
        <v>151</v>
      </c>
      <c r="M6525" t="s">
        <v>14880</v>
      </c>
      <c r="N6525" t="s">
        <v>30</v>
      </c>
      <c r="O6525" t="s">
        <v>31</v>
      </c>
      <c r="P6525" t="str">
        <f>"15235"</f>
        <v>15235</v>
      </c>
    </row>
    <row r="6526" spans="1:16" x14ac:dyDescent="0.25">
      <c r="A6526" t="str">
        <f>"1130174E00051    00"</f>
        <v>1130174E00051    00</v>
      </c>
      <c r="B6526" t="s">
        <v>14881</v>
      </c>
      <c r="C6526" t="s">
        <v>14882</v>
      </c>
      <c r="D6526" t="s">
        <v>20</v>
      </c>
      <c r="E6526" t="s">
        <v>39</v>
      </c>
      <c r="F6526">
        <v>0</v>
      </c>
      <c r="G6526">
        <v>0</v>
      </c>
      <c r="H6526">
        <v>4</v>
      </c>
      <c r="I6526" s="3">
        <v>1375.7</v>
      </c>
      <c r="J6526" s="3">
        <v>95.98</v>
      </c>
      <c r="K6526" t="s">
        <v>14883</v>
      </c>
      <c r="L6526">
        <v>1541</v>
      </c>
      <c r="M6526" t="s">
        <v>10391</v>
      </c>
      <c r="N6526" t="s">
        <v>30</v>
      </c>
      <c r="O6526" t="s">
        <v>31</v>
      </c>
      <c r="P6526" t="str">
        <f>"15206"</f>
        <v>15206</v>
      </c>
    </row>
    <row r="6527" spans="1:16" x14ac:dyDescent="0.25">
      <c r="A6527" t="str">
        <f>"1130174E00053    00"</f>
        <v>1130174E00053    00</v>
      </c>
      <c r="B6527" t="s">
        <v>14884</v>
      </c>
      <c r="C6527" t="s">
        <v>14885</v>
      </c>
      <c r="D6527" t="s">
        <v>20</v>
      </c>
      <c r="E6527" t="s">
        <v>39</v>
      </c>
      <c r="F6527">
        <v>0</v>
      </c>
      <c r="G6527">
        <v>0</v>
      </c>
      <c r="H6527">
        <v>1</v>
      </c>
      <c r="I6527" s="3">
        <v>491.75</v>
      </c>
      <c r="J6527" s="3">
        <v>0</v>
      </c>
      <c r="L6527">
        <v>571</v>
      </c>
      <c r="M6527" t="s">
        <v>14886</v>
      </c>
      <c r="N6527" t="s">
        <v>30</v>
      </c>
      <c r="O6527" t="s">
        <v>31</v>
      </c>
      <c r="P6527" t="str">
        <f>"15208"</f>
        <v>15208</v>
      </c>
    </row>
    <row r="6528" spans="1:16" x14ac:dyDescent="0.25">
      <c r="A6528" t="str">
        <f>"1130174E00062    00"</f>
        <v>1130174E00062    00</v>
      </c>
      <c r="B6528" t="s">
        <v>14887</v>
      </c>
      <c r="C6528" t="s">
        <v>14888</v>
      </c>
      <c r="D6528" t="s">
        <v>20</v>
      </c>
      <c r="E6528" t="s">
        <v>39</v>
      </c>
      <c r="F6528">
        <v>0</v>
      </c>
      <c r="G6528">
        <v>0</v>
      </c>
      <c r="H6528">
        <v>5</v>
      </c>
      <c r="I6528" s="3">
        <v>89.78</v>
      </c>
      <c r="J6528" s="3">
        <v>118.91</v>
      </c>
      <c r="L6528">
        <v>7027</v>
      </c>
      <c r="M6528" t="s">
        <v>14889</v>
      </c>
      <c r="N6528" t="s">
        <v>30</v>
      </c>
      <c r="O6528" t="s">
        <v>31</v>
      </c>
      <c r="P6528" t="str">
        <f>"15208"</f>
        <v>15208</v>
      </c>
    </row>
    <row r="6529" spans="1:16" x14ac:dyDescent="0.25">
      <c r="A6529" t="str">
        <f>"1130174E00082    00"</f>
        <v>1130174E00082    00</v>
      </c>
      <c r="B6529" t="s">
        <v>14890</v>
      </c>
      <c r="C6529" t="s">
        <v>14891</v>
      </c>
      <c r="D6529" t="s">
        <v>20</v>
      </c>
      <c r="E6529" t="s">
        <v>21</v>
      </c>
      <c r="F6529">
        <v>0</v>
      </c>
      <c r="G6529">
        <v>0</v>
      </c>
      <c r="H6529">
        <v>1</v>
      </c>
      <c r="I6529" s="3">
        <v>1048.3</v>
      </c>
      <c r="J6529" s="3">
        <v>0</v>
      </c>
      <c r="K6529" t="s">
        <v>14892</v>
      </c>
      <c r="L6529">
        <v>46</v>
      </c>
      <c r="M6529" t="s">
        <v>913</v>
      </c>
      <c r="N6529" t="s">
        <v>914</v>
      </c>
      <c r="O6529" t="s">
        <v>200</v>
      </c>
      <c r="P6529" t="str">
        <f>"10952"</f>
        <v>10952</v>
      </c>
    </row>
    <row r="6530" spans="1:16" x14ac:dyDescent="0.25">
      <c r="A6530" t="str">
        <f>"1130174E00084    00"</f>
        <v>1130174E00084    00</v>
      </c>
      <c r="B6530" t="s">
        <v>14211</v>
      </c>
      <c r="C6530" t="s">
        <v>14893</v>
      </c>
      <c r="D6530" t="s">
        <v>20</v>
      </c>
      <c r="E6530" t="s">
        <v>39</v>
      </c>
      <c r="F6530">
        <v>0</v>
      </c>
      <c r="G6530">
        <v>0</v>
      </c>
      <c r="H6530">
        <v>2</v>
      </c>
      <c r="I6530" s="3">
        <v>25.09</v>
      </c>
      <c r="J6530" s="3">
        <v>0</v>
      </c>
      <c r="L6530">
        <v>7107</v>
      </c>
      <c r="M6530" t="s">
        <v>11269</v>
      </c>
      <c r="N6530" t="s">
        <v>30</v>
      </c>
      <c r="O6530" t="s">
        <v>31</v>
      </c>
      <c r="P6530" t="str">
        <f>"15208"</f>
        <v>15208</v>
      </c>
    </row>
    <row r="6531" spans="1:16" x14ac:dyDescent="0.25">
      <c r="A6531" t="str">
        <f>"1130174E00085    00"</f>
        <v>1130174E00085    00</v>
      </c>
      <c r="B6531" t="s">
        <v>14211</v>
      </c>
      <c r="C6531" t="s">
        <v>14894</v>
      </c>
      <c r="D6531" t="s">
        <v>20</v>
      </c>
      <c r="E6531" t="s">
        <v>39</v>
      </c>
      <c r="F6531">
        <v>0</v>
      </c>
      <c r="G6531">
        <v>0</v>
      </c>
      <c r="H6531">
        <v>1</v>
      </c>
      <c r="I6531" s="3">
        <v>170.03</v>
      </c>
      <c r="J6531" s="3">
        <v>0</v>
      </c>
      <c r="L6531">
        <v>7107</v>
      </c>
      <c r="M6531" t="s">
        <v>11269</v>
      </c>
      <c r="N6531" t="s">
        <v>30</v>
      </c>
      <c r="O6531" t="s">
        <v>31</v>
      </c>
      <c r="P6531" t="str">
        <f>"15208"</f>
        <v>15208</v>
      </c>
    </row>
    <row r="6532" spans="1:16" x14ac:dyDescent="0.25">
      <c r="A6532" t="str">
        <f>"1130174E00087    00"</f>
        <v>1130174E00087    00</v>
      </c>
      <c r="B6532" t="s">
        <v>14895</v>
      </c>
      <c r="C6532" t="s">
        <v>14896</v>
      </c>
      <c r="D6532" t="s">
        <v>20</v>
      </c>
      <c r="E6532" t="s">
        <v>39</v>
      </c>
      <c r="F6532">
        <v>0</v>
      </c>
      <c r="G6532">
        <v>0</v>
      </c>
      <c r="H6532">
        <v>3</v>
      </c>
      <c r="I6532" s="3">
        <v>236.9</v>
      </c>
      <c r="J6532" s="3">
        <v>24.11</v>
      </c>
      <c r="K6532" t="s">
        <v>14897</v>
      </c>
      <c r="L6532">
        <v>7113</v>
      </c>
      <c r="M6532" t="s">
        <v>11269</v>
      </c>
      <c r="N6532" t="s">
        <v>30</v>
      </c>
      <c r="O6532" t="s">
        <v>31</v>
      </c>
      <c r="P6532" t="str">
        <f>"15208"</f>
        <v>15208</v>
      </c>
    </row>
    <row r="6533" spans="1:16" x14ac:dyDescent="0.25">
      <c r="A6533" t="str">
        <f>"1130174E00088    00"</f>
        <v>1130174E00088    00</v>
      </c>
      <c r="B6533" t="s">
        <v>14898</v>
      </c>
      <c r="C6533" t="s">
        <v>14899</v>
      </c>
      <c r="D6533" t="s">
        <v>20</v>
      </c>
      <c r="E6533" t="s">
        <v>39</v>
      </c>
      <c r="F6533">
        <v>0</v>
      </c>
      <c r="G6533">
        <v>0</v>
      </c>
      <c r="H6533">
        <v>3</v>
      </c>
      <c r="I6533" s="3">
        <v>1894.91</v>
      </c>
      <c r="J6533" s="3">
        <v>74.03</v>
      </c>
      <c r="L6533">
        <v>115</v>
      </c>
      <c r="M6533" t="s">
        <v>14900</v>
      </c>
      <c r="N6533" t="s">
        <v>295</v>
      </c>
      <c r="O6533" t="s">
        <v>31</v>
      </c>
      <c r="P6533" t="str">
        <f>"15146"</f>
        <v>15146</v>
      </c>
    </row>
    <row r="6534" spans="1:16" x14ac:dyDescent="0.25">
      <c r="A6534" t="str">
        <f>"1130174E00099    00"</f>
        <v>1130174E00099    00</v>
      </c>
      <c r="B6534" t="s">
        <v>4108</v>
      </c>
      <c r="C6534" t="s">
        <v>14901</v>
      </c>
      <c r="D6534" t="s">
        <v>20</v>
      </c>
      <c r="E6534" t="s">
        <v>39</v>
      </c>
      <c r="F6534">
        <v>0</v>
      </c>
      <c r="G6534">
        <v>0</v>
      </c>
      <c r="H6534">
        <v>2</v>
      </c>
      <c r="I6534" s="3">
        <v>401.35</v>
      </c>
      <c r="J6534" s="3">
        <v>0</v>
      </c>
      <c r="L6534">
        <v>4735</v>
      </c>
      <c r="M6534" t="s">
        <v>841</v>
      </c>
      <c r="N6534" t="s">
        <v>30</v>
      </c>
      <c r="O6534" t="s">
        <v>31</v>
      </c>
      <c r="P6534" t="str">
        <f>"15201"</f>
        <v>15201</v>
      </c>
    </row>
    <row r="6535" spans="1:16" x14ac:dyDescent="0.25">
      <c r="A6535" t="str">
        <f>"1130174E00100    00"</f>
        <v>1130174E00100    00</v>
      </c>
      <c r="B6535" t="s">
        <v>14902</v>
      </c>
      <c r="C6535" t="s">
        <v>14903</v>
      </c>
      <c r="D6535" t="s">
        <v>20</v>
      </c>
      <c r="E6535" t="s">
        <v>39</v>
      </c>
      <c r="F6535">
        <v>0</v>
      </c>
      <c r="G6535">
        <v>0</v>
      </c>
      <c r="H6535">
        <v>2</v>
      </c>
      <c r="I6535" s="3">
        <v>1135.3599999999999</v>
      </c>
      <c r="J6535" s="3">
        <v>78.400000000000006</v>
      </c>
      <c r="L6535">
        <v>6717</v>
      </c>
      <c r="M6535" t="s">
        <v>14904</v>
      </c>
      <c r="N6535" t="s">
        <v>1046</v>
      </c>
      <c r="O6535" t="s">
        <v>31</v>
      </c>
      <c r="P6535" t="str">
        <f>"15147"</f>
        <v>15147</v>
      </c>
    </row>
    <row r="6536" spans="1:16" x14ac:dyDescent="0.25">
      <c r="A6536" t="str">
        <f>"1130174E00105    00"</f>
        <v>1130174E00105    00</v>
      </c>
      <c r="B6536" t="s">
        <v>14905</v>
      </c>
      <c r="C6536" t="s">
        <v>14906</v>
      </c>
      <c r="D6536" t="s">
        <v>20</v>
      </c>
      <c r="E6536" t="s">
        <v>21</v>
      </c>
      <c r="F6536">
        <v>0</v>
      </c>
      <c r="G6536">
        <v>0</v>
      </c>
      <c r="H6536">
        <v>1</v>
      </c>
      <c r="I6536" s="3">
        <v>38.99</v>
      </c>
      <c r="J6536" s="3">
        <v>0</v>
      </c>
      <c r="L6536">
        <v>1100</v>
      </c>
      <c r="M6536" t="s">
        <v>11623</v>
      </c>
      <c r="N6536" t="s">
        <v>30</v>
      </c>
      <c r="O6536" t="s">
        <v>31</v>
      </c>
      <c r="P6536" t="str">
        <f>"15208"</f>
        <v>15208</v>
      </c>
    </row>
    <row r="6537" spans="1:16" x14ac:dyDescent="0.25">
      <c r="A6537" t="str">
        <f>"1130174E00111    00"</f>
        <v>1130174E00111    00</v>
      </c>
      <c r="B6537" t="s">
        <v>14907</v>
      </c>
      <c r="C6537" t="s">
        <v>14908</v>
      </c>
      <c r="D6537" t="s">
        <v>20</v>
      </c>
      <c r="E6537" t="s">
        <v>39</v>
      </c>
      <c r="F6537">
        <v>0</v>
      </c>
      <c r="G6537">
        <v>0</v>
      </c>
      <c r="H6537">
        <v>6</v>
      </c>
      <c r="I6537" s="3">
        <v>4425.1899999999996</v>
      </c>
      <c r="J6537" s="3">
        <v>933.63</v>
      </c>
      <c r="L6537">
        <v>128</v>
      </c>
      <c r="M6537" t="s">
        <v>11047</v>
      </c>
      <c r="N6537" t="s">
        <v>30</v>
      </c>
      <c r="O6537" t="s">
        <v>31</v>
      </c>
      <c r="P6537" t="str">
        <f>"15235"</f>
        <v>15235</v>
      </c>
    </row>
    <row r="6538" spans="1:16" x14ac:dyDescent="0.25">
      <c r="A6538" t="str">
        <f>"1130174E00119    00"</f>
        <v>1130174E00119    00</v>
      </c>
      <c r="B6538" t="s">
        <v>14909</v>
      </c>
      <c r="C6538" t="s">
        <v>14910</v>
      </c>
      <c r="E6538" t="s">
        <v>39</v>
      </c>
      <c r="F6538">
        <v>0</v>
      </c>
      <c r="G6538">
        <v>0</v>
      </c>
      <c r="H6538">
        <v>3</v>
      </c>
      <c r="I6538" s="3">
        <v>1538.87</v>
      </c>
      <c r="J6538" s="3">
        <v>2268.44</v>
      </c>
      <c r="K6538" t="s">
        <v>14911</v>
      </c>
      <c r="L6538">
        <v>7142</v>
      </c>
      <c r="M6538" t="s">
        <v>11269</v>
      </c>
      <c r="N6538" t="s">
        <v>30</v>
      </c>
      <c r="O6538" t="s">
        <v>31</v>
      </c>
      <c r="P6538" t="str">
        <f>"15208"</f>
        <v>15208</v>
      </c>
    </row>
    <row r="6539" spans="1:16" x14ac:dyDescent="0.25">
      <c r="A6539" t="str">
        <f>"1130174E00126    00"</f>
        <v>1130174E00126    00</v>
      </c>
      <c r="B6539" t="s">
        <v>14912</v>
      </c>
      <c r="C6539" t="s">
        <v>14913</v>
      </c>
      <c r="D6539" t="s">
        <v>20</v>
      </c>
      <c r="E6539" t="s">
        <v>39</v>
      </c>
      <c r="F6539">
        <v>0</v>
      </c>
      <c r="G6539">
        <v>0</v>
      </c>
      <c r="H6539">
        <v>10</v>
      </c>
      <c r="I6539" s="3">
        <v>2475.5100000000002</v>
      </c>
      <c r="J6539" s="3">
        <v>968.07</v>
      </c>
      <c r="L6539">
        <v>6537</v>
      </c>
      <c r="M6539" t="s">
        <v>3089</v>
      </c>
      <c r="N6539" t="s">
        <v>30</v>
      </c>
      <c r="O6539" t="s">
        <v>31</v>
      </c>
      <c r="P6539" t="str">
        <f>"15206"</f>
        <v>15206</v>
      </c>
    </row>
    <row r="6540" spans="1:16" x14ac:dyDescent="0.25">
      <c r="A6540" t="str">
        <f>"1130174E00129    00"</f>
        <v>1130174E00129    00</v>
      </c>
      <c r="B6540" t="s">
        <v>14914</v>
      </c>
      <c r="C6540" t="s">
        <v>14915</v>
      </c>
      <c r="D6540" t="s">
        <v>20</v>
      </c>
      <c r="E6540" t="s">
        <v>39</v>
      </c>
      <c r="F6540">
        <v>0</v>
      </c>
      <c r="G6540">
        <v>0</v>
      </c>
      <c r="H6540">
        <v>2</v>
      </c>
      <c r="I6540" s="3">
        <v>877.92</v>
      </c>
      <c r="J6540" s="3">
        <v>0</v>
      </c>
      <c r="K6540" t="s">
        <v>14916</v>
      </c>
      <c r="L6540">
        <v>7107</v>
      </c>
      <c r="M6540" t="s">
        <v>11269</v>
      </c>
      <c r="N6540" t="s">
        <v>30</v>
      </c>
      <c r="O6540" t="s">
        <v>31</v>
      </c>
      <c r="P6540" t="str">
        <f>"15208"</f>
        <v>15208</v>
      </c>
    </row>
    <row r="6541" spans="1:16" x14ac:dyDescent="0.25">
      <c r="A6541" t="str">
        <f>"1130174E00131    00"</f>
        <v>1130174E00131    00</v>
      </c>
      <c r="B6541" t="s">
        <v>14211</v>
      </c>
      <c r="C6541" t="s">
        <v>14893</v>
      </c>
      <c r="D6541" t="s">
        <v>20</v>
      </c>
      <c r="E6541" t="s">
        <v>207</v>
      </c>
      <c r="F6541">
        <v>0</v>
      </c>
      <c r="G6541">
        <v>0</v>
      </c>
      <c r="H6541">
        <v>2</v>
      </c>
      <c r="I6541" s="3">
        <v>108.7</v>
      </c>
      <c r="J6541" s="3">
        <v>0</v>
      </c>
      <c r="K6541" t="s">
        <v>14917</v>
      </c>
      <c r="L6541">
        <v>7107</v>
      </c>
      <c r="M6541" t="s">
        <v>11269</v>
      </c>
      <c r="N6541" t="s">
        <v>30</v>
      </c>
      <c r="O6541" t="s">
        <v>31</v>
      </c>
      <c r="P6541" t="str">
        <f>"15208"</f>
        <v>15208</v>
      </c>
    </row>
    <row r="6542" spans="1:16" x14ac:dyDescent="0.25">
      <c r="A6542" t="str">
        <f>"1130174E00132    00"</f>
        <v>1130174E00132    00</v>
      </c>
      <c r="B6542" t="s">
        <v>14211</v>
      </c>
      <c r="C6542" t="s">
        <v>14918</v>
      </c>
      <c r="D6542" t="s">
        <v>20</v>
      </c>
      <c r="E6542" t="s">
        <v>39</v>
      </c>
      <c r="F6542">
        <v>0</v>
      </c>
      <c r="G6542">
        <v>0</v>
      </c>
      <c r="H6542">
        <v>4</v>
      </c>
      <c r="I6542" s="3">
        <v>2226.3200000000002</v>
      </c>
      <c r="J6542" s="3">
        <v>9.33</v>
      </c>
      <c r="L6542">
        <v>7107</v>
      </c>
      <c r="M6542" t="s">
        <v>11269</v>
      </c>
      <c r="N6542" t="s">
        <v>30</v>
      </c>
      <c r="O6542" t="s">
        <v>31</v>
      </c>
      <c r="P6542" t="str">
        <f>"15208"</f>
        <v>15208</v>
      </c>
    </row>
    <row r="6543" spans="1:16" x14ac:dyDescent="0.25">
      <c r="A6543" t="str">
        <f>"1130174E00133    00"</f>
        <v>1130174E00133    00</v>
      </c>
      <c r="B6543" t="s">
        <v>14919</v>
      </c>
      <c r="C6543" t="s">
        <v>14920</v>
      </c>
      <c r="D6543" t="s">
        <v>20</v>
      </c>
      <c r="E6543" t="s">
        <v>39</v>
      </c>
      <c r="F6543">
        <v>0</v>
      </c>
      <c r="G6543">
        <v>0</v>
      </c>
      <c r="H6543">
        <v>3</v>
      </c>
      <c r="I6543" s="3">
        <v>736.4</v>
      </c>
      <c r="J6543" s="3">
        <v>60.92</v>
      </c>
      <c r="K6543" t="s">
        <v>14921</v>
      </c>
      <c r="L6543">
        <v>7106</v>
      </c>
      <c r="M6543" t="s">
        <v>11269</v>
      </c>
      <c r="N6543" t="s">
        <v>30</v>
      </c>
      <c r="O6543" t="s">
        <v>31</v>
      </c>
      <c r="P6543" t="str">
        <f>"15208"</f>
        <v>15208</v>
      </c>
    </row>
    <row r="6544" spans="1:16" x14ac:dyDescent="0.25">
      <c r="A6544" t="str">
        <f>"1130174E00164    00"</f>
        <v>1130174E00164    00</v>
      </c>
      <c r="B6544" t="s">
        <v>14583</v>
      </c>
      <c r="C6544" t="s">
        <v>14922</v>
      </c>
      <c r="D6544" t="s">
        <v>20</v>
      </c>
      <c r="E6544" t="s">
        <v>39</v>
      </c>
      <c r="F6544">
        <v>0</v>
      </c>
      <c r="G6544">
        <v>0</v>
      </c>
      <c r="H6544">
        <v>2</v>
      </c>
      <c r="I6544" s="3">
        <v>565.76</v>
      </c>
      <c r="J6544" s="3">
        <v>0</v>
      </c>
      <c r="L6544">
        <v>7156</v>
      </c>
      <c r="M6544" t="s">
        <v>12207</v>
      </c>
      <c r="N6544" t="s">
        <v>30</v>
      </c>
      <c r="O6544" t="s">
        <v>31</v>
      </c>
      <c r="P6544" t="str">
        <f>"15208"</f>
        <v>15208</v>
      </c>
    </row>
    <row r="6545" spans="1:16" x14ac:dyDescent="0.25">
      <c r="A6545" t="str">
        <f>"1130174E00167    00"</f>
        <v>1130174E00167    00</v>
      </c>
      <c r="B6545" t="s">
        <v>14923</v>
      </c>
      <c r="C6545" t="s">
        <v>14924</v>
      </c>
      <c r="D6545" t="s">
        <v>20</v>
      </c>
      <c r="E6545" t="s">
        <v>39</v>
      </c>
      <c r="F6545">
        <v>0</v>
      </c>
      <c r="G6545">
        <v>0</v>
      </c>
      <c r="H6545">
        <v>13</v>
      </c>
      <c r="I6545" s="3">
        <v>1957.94</v>
      </c>
      <c r="J6545" s="3">
        <v>1304.98</v>
      </c>
      <c r="K6545" t="s">
        <v>14925</v>
      </c>
      <c r="P6545" t="str">
        <f>""</f>
        <v/>
      </c>
    </row>
    <row r="6546" spans="1:16" x14ac:dyDescent="0.25">
      <c r="A6546" t="str">
        <f>"1130174E00168    00"</f>
        <v>1130174E00168    00</v>
      </c>
      <c r="B6546" t="s">
        <v>14926</v>
      </c>
      <c r="C6546" t="s">
        <v>14927</v>
      </c>
      <c r="D6546" t="s">
        <v>20</v>
      </c>
      <c r="E6546" t="s">
        <v>21</v>
      </c>
      <c r="F6546">
        <v>0</v>
      </c>
      <c r="G6546">
        <v>0</v>
      </c>
      <c r="H6546">
        <v>16</v>
      </c>
      <c r="I6546" s="3">
        <v>16850.669999999998</v>
      </c>
      <c r="J6546" s="3">
        <v>16501.75</v>
      </c>
      <c r="K6546" t="s">
        <v>14928</v>
      </c>
      <c r="L6546">
        <v>2119</v>
      </c>
      <c r="M6546" t="s">
        <v>14929</v>
      </c>
      <c r="N6546" t="s">
        <v>285</v>
      </c>
      <c r="O6546" t="s">
        <v>31</v>
      </c>
      <c r="P6546" t="str">
        <f>"15120"</f>
        <v>15120</v>
      </c>
    </row>
    <row r="6547" spans="1:16" x14ac:dyDescent="0.25">
      <c r="A6547" t="str">
        <f>"1130174E00172000200"</f>
        <v>1130174E00172000200</v>
      </c>
      <c r="B6547" t="s">
        <v>14930</v>
      </c>
      <c r="C6547" t="s">
        <v>14931</v>
      </c>
      <c r="D6547" t="s">
        <v>20</v>
      </c>
      <c r="E6547" t="s">
        <v>39</v>
      </c>
      <c r="F6547">
        <v>0</v>
      </c>
      <c r="G6547">
        <v>0</v>
      </c>
      <c r="H6547">
        <v>13</v>
      </c>
      <c r="I6547" s="3">
        <v>2394.8200000000002</v>
      </c>
      <c r="J6547" s="3">
        <v>1482.78</v>
      </c>
      <c r="L6547">
        <v>100</v>
      </c>
      <c r="M6547" t="s">
        <v>14932</v>
      </c>
      <c r="N6547" t="s">
        <v>636</v>
      </c>
      <c r="O6547" t="s">
        <v>31</v>
      </c>
      <c r="P6547" t="str">
        <f>"15104"</f>
        <v>15104</v>
      </c>
    </row>
    <row r="6548" spans="1:16" x14ac:dyDescent="0.25">
      <c r="A6548" t="str">
        <f>"1130174E00177A   00"</f>
        <v>1130174E00177A   00</v>
      </c>
      <c r="B6548" t="s">
        <v>14930</v>
      </c>
      <c r="C6548" t="s">
        <v>14933</v>
      </c>
      <c r="D6548" t="s">
        <v>20</v>
      </c>
      <c r="E6548" t="s">
        <v>39</v>
      </c>
      <c r="F6548">
        <v>0</v>
      </c>
      <c r="G6548">
        <v>0</v>
      </c>
      <c r="H6548">
        <v>12</v>
      </c>
      <c r="I6548" s="3">
        <v>2045.55</v>
      </c>
      <c r="J6548" s="3">
        <v>1107.23</v>
      </c>
      <c r="L6548">
        <v>100</v>
      </c>
      <c r="M6548" t="s">
        <v>14932</v>
      </c>
      <c r="N6548" t="s">
        <v>636</v>
      </c>
      <c r="O6548" t="s">
        <v>31</v>
      </c>
      <c r="P6548" t="str">
        <f>"15104"</f>
        <v>15104</v>
      </c>
    </row>
    <row r="6549" spans="1:16" x14ac:dyDescent="0.25">
      <c r="A6549" t="str">
        <f>"1130174E00195    00"</f>
        <v>1130174E00195    00</v>
      </c>
      <c r="B6549" t="s">
        <v>13604</v>
      </c>
      <c r="C6549" t="s">
        <v>14934</v>
      </c>
      <c r="E6549" t="s">
        <v>39</v>
      </c>
      <c r="F6549">
        <v>0</v>
      </c>
      <c r="G6549">
        <v>0</v>
      </c>
      <c r="H6549">
        <v>2</v>
      </c>
      <c r="I6549" s="3">
        <v>400.36</v>
      </c>
      <c r="J6549" s="3">
        <v>0.02</v>
      </c>
      <c r="L6549">
        <v>214</v>
      </c>
      <c r="M6549" t="s">
        <v>13606</v>
      </c>
      <c r="N6549" t="s">
        <v>30</v>
      </c>
      <c r="O6549" t="s">
        <v>31</v>
      </c>
      <c r="P6549" t="str">
        <f>"15235"</f>
        <v>15235</v>
      </c>
    </row>
    <row r="6550" spans="1:16" x14ac:dyDescent="0.25">
      <c r="A6550" t="str">
        <f>"1130174E00202    00"</f>
        <v>1130174E00202    00</v>
      </c>
      <c r="B6550" t="s">
        <v>14935</v>
      </c>
      <c r="C6550" t="s">
        <v>14936</v>
      </c>
      <c r="D6550" t="s">
        <v>20</v>
      </c>
      <c r="E6550" t="s">
        <v>39</v>
      </c>
      <c r="F6550">
        <v>0</v>
      </c>
      <c r="G6550">
        <v>0</v>
      </c>
      <c r="H6550">
        <v>19</v>
      </c>
      <c r="I6550" s="3">
        <v>13059.38</v>
      </c>
      <c r="J6550" s="3">
        <v>13411.86</v>
      </c>
      <c r="K6550" t="s">
        <v>14937</v>
      </c>
      <c r="L6550">
        <v>7111</v>
      </c>
      <c r="M6550" t="s">
        <v>12395</v>
      </c>
      <c r="N6550" t="s">
        <v>30</v>
      </c>
      <c r="O6550" t="s">
        <v>31</v>
      </c>
      <c r="P6550" t="str">
        <f>"15208"</f>
        <v>15208</v>
      </c>
    </row>
    <row r="6551" spans="1:16" x14ac:dyDescent="0.25">
      <c r="A6551" t="str">
        <f>"1130174E00203    00"</f>
        <v>1130174E00203    00</v>
      </c>
      <c r="B6551" t="s">
        <v>14211</v>
      </c>
      <c r="C6551" t="s">
        <v>14938</v>
      </c>
      <c r="D6551" t="s">
        <v>20</v>
      </c>
      <c r="E6551" t="s">
        <v>39</v>
      </c>
      <c r="F6551">
        <v>0</v>
      </c>
      <c r="G6551">
        <v>0</v>
      </c>
      <c r="H6551">
        <v>3</v>
      </c>
      <c r="I6551" s="3">
        <v>1383.89</v>
      </c>
      <c r="J6551" s="3">
        <v>4</v>
      </c>
      <c r="L6551">
        <v>7107</v>
      </c>
      <c r="M6551" t="s">
        <v>11269</v>
      </c>
      <c r="N6551" t="s">
        <v>30</v>
      </c>
      <c r="O6551" t="s">
        <v>31</v>
      </c>
      <c r="P6551" t="str">
        <f>"15208"</f>
        <v>15208</v>
      </c>
    </row>
    <row r="6552" spans="1:16" x14ac:dyDescent="0.25">
      <c r="A6552" t="str">
        <f>"1130174E00205    00"</f>
        <v>1130174E00205    00</v>
      </c>
      <c r="B6552" t="s">
        <v>14939</v>
      </c>
      <c r="C6552" t="s">
        <v>14940</v>
      </c>
      <c r="E6552" t="s">
        <v>39</v>
      </c>
      <c r="F6552">
        <v>0</v>
      </c>
      <c r="G6552">
        <v>0</v>
      </c>
      <c r="H6552">
        <v>1</v>
      </c>
      <c r="I6552" s="3">
        <v>571.82000000000005</v>
      </c>
      <c r="J6552" s="3">
        <v>0</v>
      </c>
      <c r="K6552" t="s">
        <v>14941</v>
      </c>
      <c r="L6552">
        <v>7119</v>
      </c>
      <c r="M6552" t="s">
        <v>12395</v>
      </c>
      <c r="N6552" t="s">
        <v>30</v>
      </c>
      <c r="O6552" t="s">
        <v>31</v>
      </c>
      <c r="P6552" t="str">
        <f>"15208"</f>
        <v>15208</v>
      </c>
    </row>
    <row r="6553" spans="1:16" x14ac:dyDescent="0.25">
      <c r="A6553" t="str">
        <f>"1130174E00215    00"</f>
        <v>1130174E00215    00</v>
      </c>
      <c r="B6553" t="s">
        <v>14942</v>
      </c>
      <c r="C6553" t="s">
        <v>14943</v>
      </c>
      <c r="D6553" t="s">
        <v>20</v>
      </c>
      <c r="E6553" t="s">
        <v>39</v>
      </c>
      <c r="F6553">
        <v>0</v>
      </c>
      <c r="G6553">
        <v>0</v>
      </c>
      <c r="H6553">
        <v>2</v>
      </c>
      <c r="I6553" s="3">
        <v>19.079999999999998</v>
      </c>
      <c r="J6553" s="3">
        <v>0</v>
      </c>
      <c r="L6553">
        <v>100</v>
      </c>
      <c r="M6553" t="s">
        <v>14944</v>
      </c>
      <c r="N6553" t="s">
        <v>30</v>
      </c>
      <c r="O6553" t="s">
        <v>31</v>
      </c>
      <c r="P6553" t="str">
        <f>"15235"</f>
        <v>15235</v>
      </c>
    </row>
    <row r="6554" spans="1:16" x14ac:dyDescent="0.25">
      <c r="A6554" t="str">
        <f>"1130174E00216    00"</f>
        <v>1130174E00216    00</v>
      </c>
      <c r="B6554" t="s">
        <v>14945</v>
      </c>
      <c r="C6554" t="s">
        <v>14943</v>
      </c>
      <c r="D6554" t="s">
        <v>20</v>
      </c>
      <c r="E6554" t="s">
        <v>39</v>
      </c>
      <c r="F6554">
        <v>0</v>
      </c>
      <c r="G6554">
        <v>0</v>
      </c>
      <c r="H6554">
        <v>17</v>
      </c>
      <c r="I6554" s="3">
        <v>3378.4</v>
      </c>
      <c r="J6554" s="3">
        <v>5618.25</v>
      </c>
      <c r="L6554">
        <v>415</v>
      </c>
      <c r="M6554" t="s">
        <v>14946</v>
      </c>
      <c r="N6554" t="s">
        <v>30</v>
      </c>
      <c r="O6554" t="s">
        <v>31</v>
      </c>
      <c r="P6554" t="str">
        <f>"15221"</f>
        <v>15221</v>
      </c>
    </row>
    <row r="6555" spans="1:16" x14ac:dyDescent="0.25">
      <c r="A6555" t="str">
        <f>"1130174E00217    00"</f>
        <v>1130174E00217    00</v>
      </c>
      <c r="B6555" t="s">
        <v>14947</v>
      </c>
      <c r="C6555" t="s">
        <v>14943</v>
      </c>
      <c r="D6555" t="s">
        <v>20</v>
      </c>
      <c r="E6555" t="s">
        <v>39</v>
      </c>
      <c r="F6555">
        <v>0</v>
      </c>
      <c r="G6555">
        <v>0</v>
      </c>
      <c r="H6555">
        <v>2</v>
      </c>
      <c r="I6555" s="3">
        <v>19.079999999999998</v>
      </c>
      <c r="J6555" s="3">
        <v>0</v>
      </c>
      <c r="L6555">
        <v>6916</v>
      </c>
      <c r="M6555" t="s">
        <v>10830</v>
      </c>
      <c r="N6555" t="s">
        <v>30</v>
      </c>
      <c r="O6555" t="s">
        <v>31</v>
      </c>
      <c r="P6555" t="str">
        <f t="shared" ref="P6555:P6561" si="82">"15208"</f>
        <v>15208</v>
      </c>
    </row>
    <row r="6556" spans="1:16" x14ac:dyDescent="0.25">
      <c r="A6556" t="str">
        <f>"1130174E00227    00"</f>
        <v>1130174E00227    00</v>
      </c>
      <c r="B6556" t="s">
        <v>14948</v>
      </c>
      <c r="C6556" t="s">
        <v>14949</v>
      </c>
      <c r="D6556" t="s">
        <v>20</v>
      </c>
      <c r="E6556" t="s">
        <v>39</v>
      </c>
      <c r="F6556">
        <v>0</v>
      </c>
      <c r="G6556">
        <v>0</v>
      </c>
      <c r="H6556">
        <v>10</v>
      </c>
      <c r="I6556" s="3">
        <v>4311.82</v>
      </c>
      <c r="J6556" s="3">
        <v>1924</v>
      </c>
      <c r="L6556">
        <v>7128</v>
      </c>
      <c r="M6556" t="s">
        <v>12378</v>
      </c>
      <c r="N6556" t="s">
        <v>30</v>
      </c>
      <c r="O6556" t="s">
        <v>31</v>
      </c>
      <c r="P6556" t="str">
        <f t="shared" si="82"/>
        <v>15208</v>
      </c>
    </row>
    <row r="6557" spans="1:16" x14ac:dyDescent="0.25">
      <c r="A6557" t="str">
        <f>"1130174E00239    00"</f>
        <v>1130174E00239    00</v>
      </c>
      <c r="B6557" t="s">
        <v>14950</v>
      </c>
      <c r="C6557" t="s">
        <v>14943</v>
      </c>
      <c r="D6557" t="s">
        <v>20</v>
      </c>
      <c r="E6557" t="s">
        <v>21</v>
      </c>
      <c r="F6557">
        <v>0</v>
      </c>
      <c r="G6557">
        <v>0</v>
      </c>
      <c r="H6557">
        <v>2</v>
      </c>
      <c r="I6557" s="3">
        <v>130.69</v>
      </c>
      <c r="J6557" s="3">
        <v>0</v>
      </c>
      <c r="L6557">
        <v>7146</v>
      </c>
      <c r="M6557" t="s">
        <v>12395</v>
      </c>
      <c r="N6557" t="s">
        <v>30</v>
      </c>
      <c r="O6557" t="s">
        <v>31</v>
      </c>
      <c r="P6557" t="str">
        <f t="shared" si="82"/>
        <v>15208</v>
      </c>
    </row>
    <row r="6558" spans="1:16" x14ac:dyDescent="0.25">
      <c r="A6558" t="str">
        <f>"1130174E00247    00"</f>
        <v>1130174E00247    00</v>
      </c>
      <c r="B6558" t="s">
        <v>14951</v>
      </c>
      <c r="C6558" t="s">
        <v>14952</v>
      </c>
      <c r="D6558" t="s">
        <v>20</v>
      </c>
      <c r="E6558" t="s">
        <v>39</v>
      </c>
      <c r="F6558">
        <v>0</v>
      </c>
      <c r="G6558">
        <v>0</v>
      </c>
      <c r="H6558">
        <v>1</v>
      </c>
      <c r="I6558" s="3">
        <v>61.32</v>
      </c>
      <c r="J6558" s="3">
        <v>0</v>
      </c>
      <c r="K6558" t="s">
        <v>14953</v>
      </c>
      <c r="L6558">
        <v>7142</v>
      </c>
      <c r="M6558" t="s">
        <v>12395</v>
      </c>
      <c r="N6558" t="s">
        <v>30</v>
      </c>
      <c r="O6558" t="s">
        <v>31</v>
      </c>
      <c r="P6558" t="str">
        <f t="shared" si="82"/>
        <v>15208</v>
      </c>
    </row>
    <row r="6559" spans="1:16" x14ac:dyDescent="0.25">
      <c r="A6559" t="str">
        <f>"1130174E00248    00"</f>
        <v>1130174E00248    00</v>
      </c>
      <c r="B6559" t="s">
        <v>14954</v>
      </c>
      <c r="C6559" t="s">
        <v>14955</v>
      </c>
      <c r="D6559" t="s">
        <v>20</v>
      </c>
      <c r="E6559" t="s">
        <v>39</v>
      </c>
      <c r="F6559">
        <v>0</v>
      </c>
      <c r="G6559">
        <v>0</v>
      </c>
      <c r="H6559">
        <v>5</v>
      </c>
      <c r="I6559" s="3">
        <v>2637.6</v>
      </c>
      <c r="J6559" s="3">
        <v>455.68</v>
      </c>
      <c r="L6559">
        <v>7140</v>
      </c>
      <c r="M6559" t="s">
        <v>12395</v>
      </c>
      <c r="N6559" t="s">
        <v>30</v>
      </c>
      <c r="O6559" t="s">
        <v>31</v>
      </c>
      <c r="P6559" t="str">
        <f t="shared" si="82"/>
        <v>15208</v>
      </c>
    </row>
    <row r="6560" spans="1:16" x14ac:dyDescent="0.25">
      <c r="A6560" t="str">
        <f>"1130174E00251    00"</f>
        <v>1130174E00251    00</v>
      </c>
      <c r="B6560" t="s">
        <v>14956</v>
      </c>
      <c r="C6560" t="s">
        <v>14957</v>
      </c>
      <c r="D6560" t="s">
        <v>20</v>
      </c>
      <c r="E6560" t="s">
        <v>39</v>
      </c>
      <c r="F6560">
        <v>0</v>
      </c>
      <c r="G6560">
        <v>0</v>
      </c>
      <c r="H6560">
        <v>7</v>
      </c>
      <c r="I6560" s="3">
        <v>533.35</v>
      </c>
      <c r="J6560" s="3">
        <v>171.03</v>
      </c>
      <c r="L6560">
        <v>7132</v>
      </c>
      <c r="M6560" t="s">
        <v>12395</v>
      </c>
      <c r="N6560" t="s">
        <v>30</v>
      </c>
      <c r="O6560" t="s">
        <v>31</v>
      </c>
      <c r="P6560" t="str">
        <f t="shared" si="82"/>
        <v>15208</v>
      </c>
    </row>
    <row r="6561" spans="1:16" x14ac:dyDescent="0.25">
      <c r="A6561" t="str">
        <f>"1130174E00253    00"</f>
        <v>1130174E00253    00</v>
      </c>
      <c r="B6561" t="s">
        <v>14958</v>
      </c>
      <c r="C6561" t="s">
        <v>14959</v>
      </c>
      <c r="D6561" t="s">
        <v>20</v>
      </c>
      <c r="E6561" t="s">
        <v>39</v>
      </c>
      <c r="F6561">
        <v>0</v>
      </c>
      <c r="G6561">
        <v>0</v>
      </c>
      <c r="H6561">
        <v>10</v>
      </c>
      <c r="I6561" s="3">
        <v>2536.16</v>
      </c>
      <c r="J6561" s="3">
        <v>1925.88</v>
      </c>
      <c r="L6561">
        <v>7128</v>
      </c>
      <c r="M6561" t="s">
        <v>12395</v>
      </c>
      <c r="N6561" t="s">
        <v>30</v>
      </c>
      <c r="O6561" t="s">
        <v>31</v>
      </c>
      <c r="P6561" t="str">
        <f t="shared" si="82"/>
        <v>15208</v>
      </c>
    </row>
    <row r="6562" spans="1:16" x14ac:dyDescent="0.25">
      <c r="A6562" t="str">
        <f>"1130174E00259    00"</f>
        <v>1130174E00259    00</v>
      </c>
      <c r="B6562" t="s">
        <v>14960</v>
      </c>
      <c r="C6562" t="s">
        <v>14943</v>
      </c>
      <c r="D6562" t="s">
        <v>20</v>
      </c>
      <c r="E6562" t="s">
        <v>39</v>
      </c>
      <c r="F6562">
        <v>0</v>
      </c>
      <c r="G6562">
        <v>0</v>
      </c>
      <c r="H6562">
        <v>17</v>
      </c>
      <c r="I6562" s="3">
        <v>5487.23</v>
      </c>
      <c r="J6562" s="3">
        <v>6837.35</v>
      </c>
      <c r="L6562">
        <v>1110</v>
      </c>
      <c r="M6562" t="s">
        <v>14961</v>
      </c>
      <c r="N6562" t="s">
        <v>2652</v>
      </c>
      <c r="O6562" t="s">
        <v>606</v>
      </c>
      <c r="P6562" t="str">
        <f>"30152"</f>
        <v>30152</v>
      </c>
    </row>
    <row r="6563" spans="1:16" x14ac:dyDescent="0.25">
      <c r="A6563" t="str">
        <f>"1130174E00333    00"</f>
        <v>1130174E00333    00</v>
      </c>
      <c r="B6563" t="s">
        <v>14962</v>
      </c>
      <c r="C6563" t="s">
        <v>14963</v>
      </c>
      <c r="D6563" t="s">
        <v>20</v>
      </c>
      <c r="E6563" t="s">
        <v>39</v>
      </c>
      <c r="F6563">
        <v>0</v>
      </c>
      <c r="G6563">
        <v>0</v>
      </c>
      <c r="H6563">
        <v>3</v>
      </c>
      <c r="I6563" s="3">
        <v>73.33</v>
      </c>
      <c r="J6563" s="3">
        <v>12.09</v>
      </c>
      <c r="L6563">
        <v>7400</v>
      </c>
      <c r="M6563" t="s">
        <v>12378</v>
      </c>
      <c r="N6563" t="s">
        <v>30</v>
      </c>
      <c r="O6563" t="s">
        <v>31</v>
      </c>
      <c r="P6563" t="str">
        <f>"15208"</f>
        <v>15208</v>
      </c>
    </row>
    <row r="6564" spans="1:16" x14ac:dyDescent="0.25">
      <c r="A6564" t="str">
        <f>"1130174E00336    00"</f>
        <v>1130174E00336    00</v>
      </c>
      <c r="B6564" t="s">
        <v>14964</v>
      </c>
      <c r="C6564" t="s">
        <v>14965</v>
      </c>
      <c r="E6564" t="s">
        <v>39</v>
      </c>
      <c r="F6564">
        <v>0</v>
      </c>
      <c r="G6564">
        <v>0</v>
      </c>
      <c r="H6564">
        <v>1</v>
      </c>
      <c r="I6564" s="3">
        <v>206.42</v>
      </c>
      <c r="J6564" s="3">
        <v>0</v>
      </c>
      <c r="K6564" t="s">
        <v>14966</v>
      </c>
      <c r="L6564">
        <v>7129</v>
      </c>
      <c r="M6564" t="s">
        <v>9086</v>
      </c>
      <c r="N6564" t="s">
        <v>30</v>
      </c>
      <c r="O6564" t="s">
        <v>31</v>
      </c>
      <c r="P6564" t="str">
        <f>"15208"</f>
        <v>15208</v>
      </c>
    </row>
    <row r="6565" spans="1:16" x14ac:dyDescent="0.25">
      <c r="A6565" t="str">
        <f>"1130174E00341    00"</f>
        <v>1130174E00341    00</v>
      </c>
      <c r="B6565" t="s">
        <v>14962</v>
      </c>
      <c r="C6565" t="s">
        <v>12265</v>
      </c>
      <c r="D6565" t="s">
        <v>20</v>
      </c>
      <c r="E6565" t="s">
        <v>39</v>
      </c>
      <c r="F6565">
        <v>0</v>
      </c>
      <c r="G6565">
        <v>0</v>
      </c>
      <c r="H6565">
        <v>4</v>
      </c>
      <c r="I6565" s="3">
        <v>150.88</v>
      </c>
      <c r="J6565" s="3">
        <v>18.579999999999998</v>
      </c>
      <c r="K6565" t="s">
        <v>14967</v>
      </c>
      <c r="L6565">
        <v>7400</v>
      </c>
      <c r="M6565" t="s">
        <v>12378</v>
      </c>
      <c r="N6565" t="s">
        <v>30</v>
      </c>
      <c r="O6565" t="s">
        <v>31</v>
      </c>
      <c r="P6565" t="str">
        <f>"15208"</f>
        <v>15208</v>
      </c>
    </row>
    <row r="6566" spans="1:16" x14ac:dyDescent="0.25">
      <c r="A6566" t="str">
        <f>"1130174E00358    00"</f>
        <v>1130174E00358    00</v>
      </c>
      <c r="B6566" t="s">
        <v>14968</v>
      </c>
      <c r="C6566" t="s">
        <v>14969</v>
      </c>
      <c r="D6566" t="s">
        <v>20</v>
      </c>
      <c r="E6566" t="s">
        <v>39</v>
      </c>
      <c r="F6566">
        <v>0</v>
      </c>
      <c r="G6566">
        <v>0</v>
      </c>
      <c r="H6566">
        <v>2</v>
      </c>
      <c r="I6566" s="3">
        <v>100.34</v>
      </c>
      <c r="J6566" s="3">
        <v>0</v>
      </c>
      <c r="K6566" t="s">
        <v>2570</v>
      </c>
      <c r="L6566">
        <v>901</v>
      </c>
      <c r="M6566" t="s">
        <v>1503</v>
      </c>
      <c r="N6566" t="s">
        <v>494</v>
      </c>
      <c r="O6566" t="s">
        <v>495</v>
      </c>
      <c r="P6566" t="str">
        <f>"91768"</f>
        <v>91768</v>
      </c>
    </row>
    <row r="6567" spans="1:16" x14ac:dyDescent="0.25">
      <c r="A6567" t="str">
        <f>"1130174E00359    00"</f>
        <v>1130174E00359    00</v>
      </c>
      <c r="B6567" t="s">
        <v>14968</v>
      </c>
      <c r="C6567" t="s">
        <v>14969</v>
      </c>
      <c r="D6567" t="s">
        <v>20</v>
      </c>
      <c r="E6567" t="s">
        <v>39</v>
      </c>
      <c r="F6567">
        <v>0</v>
      </c>
      <c r="G6567">
        <v>0</v>
      </c>
      <c r="H6567">
        <v>2</v>
      </c>
      <c r="I6567" s="3">
        <v>672.54</v>
      </c>
      <c r="J6567" s="3">
        <v>0</v>
      </c>
      <c r="K6567" t="s">
        <v>2570</v>
      </c>
      <c r="L6567">
        <v>901</v>
      </c>
      <c r="M6567" t="s">
        <v>1503</v>
      </c>
      <c r="N6567" t="s">
        <v>494</v>
      </c>
      <c r="O6567" t="s">
        <v>495</v>
      </c>
      <c r="P6567" t="str">
        <f>"91768"</f>
        <v>91768</v>
      </c>
    </row>
    <row r="6568" spans="1:16" x14ac:dyDescent="0.25">
      <c r="A6568" t="str">
        <f>"1130174F00001    00"</f>
        <v>1130174F00001    00</v>
      </c>
      <c r="B6568" t="s">
        <v>14970</v>
      </c>
      <c r="C6568" t="s">
        <v>14971</v>
      </c>
      <c r="D6568" t="s">
        <v>20</v>
      </c>
      <c r="E6568" t="s">
        <v>39</v>
      </c>
      <c r="F6568">
        <v>0</v>
      </c>
      <c r="G6568">
        <v>0</v>
      </c>
      <c r="H6568">
        <v>5</v>
      </c>
      <c r="I6568" s="3">
        <v>1486.74</v>
      </c>
      <c r="J6568" s="3">
        <v>150.30000000000001</v>
      </c>
      <c r="L6568">
        <v>7212</v>
      </c>
      <c r="M6568" t="s">
        <v>11269</v>
      </c>
      <c r="N6568" t="s">
        <v>30</v>
      </c>
      <c r="O6568" t="s">
        <v>31</v>
      </c>
      <c r="P6568" t="str">
        <f>"15208"</f>
        <v>15208</v>
      </c>
    </row>
    <row r="6569" spans="1:16" x14ac:dyDescent="0.25">
      <c r="A6569" t="str">
        <f>"1130174F00024    00"</f>
        <v>1130174F00024    00</v>
      </c>
      <c r="B6569" t="s">
        <v>14972</v>
      </c>
      <c r="C6569" t="s">
        <v>14506</v>
      </c>
      <c r="D6569" t="s">
        <v>20</v>
      </c>
      <c r="E6569" t="s">
        <v>39</v>
      </c>
      <c r="F6569">
        <v>0</v>
      </c>
      <c r="G6569">
        <v>0</v>
      </c>
      <c r="H6569">
        <v>2</v>
      </c>
      <c r="I6569" s="3">
        <v>19.52</v>
      </c>
      <c r="J6569" s="3">
        <v>0</v>
      </c>
      <c r="K6569" t="s">
        <v>14973</v>
      </c>
      <c r="L6569">
        <v>7341</v>
      </c>
      <c r="M6569" t="s">
        <v>12378</v>
      </c>
      <c r="N6569" t="s">
        <v>30</v>
      </c>
      <c r="O6569" t="s">
        <v>31</v>
      </c>
      <c r="P6569" t="str">
        <f>"15208"</f>
        <v>15208</v>
      </c>
    </row>
    <row r="6570" spans="1:16" x14ac:dyDescent="0.25">
      <c r="A6570" t="str">
        <f>"1130174F00026    00"</f>
        <v>1130174F00026    00</v>
      </c>
      <c r="B6570" t="s">
        <v>14974</v>
      </c>
      <c r="C6570" t="s">
        <v>14975</v>
      </c>
      <c r="D6570" t="s">
        <v>20</v>
      </c>
      <c r="E6570" t="s">
        <v>39</v>
      </c>
      <c r="F6570">
        <v>0</v>
      </c>
      <c r="G6570">
        <v>0</v>
      </c>
      <c r="H6570">
        <v>1</v>
      </c>
      <c r="I6570" s="3">
        <v>214.7</v>
      </c>
      <c r="J6570" s="3">
        <v>73.349999999999994</v>
      </c>
      <c r="L6570">
        <v>7424</v>
      </c>
      <c r="M6570" t="s">
        <v>7837</v>
      </c>
      <c r="N6570" t="s">
        <v>30</v>
      </c>
      <c r="O6570" t="s">
        <v>31</v>
      </c>
      <c r="P6570" t="str">
        <f>"15218"</f>
        <v>15218</v>
      </c>
    </row>
    <row r="6571" spans="1:16" x14ac:dyDescent="0.25">
      <c r="A6571" t="str">
        <f>"1130174F00027    00"</f>
        <v>1130174F00027    00</v>
      </c>
      <c r="B6571" t="s">
        <v>1300</v>
      </c>
      <c r="C6571" t="s">
        <v>14976</v>
      </c>
      <c r="D6571" t="s">
        <v>20</v>
      </c>
      <c r="E6571" t="s">
        <v>39</v>
      </c>
      <c r="F6571">
        <v>0</v>
      </c>
      <c r="G6571">
        <v>0</v>
      </c>
      <c r="H6571">
        <v>4</v>
      </c>
      <c r="I6571" s="3">
        <v>1518.14</v>
      </c>
      <c r="J6571" s="3">
        <v>170.15</v>
      </c>
      <c r="K6571" t="s">
        <v>14977</v>
      </c>
      <c r="L6571">
        <v>2415</v>
      </c>
      <c r="M6571" t="s">
        <v>14978</v>
      </c>
      <c r="N6571" t="s">
        <v>30</v>
      </c>
      <c r="O6571" t="s">
        <v>31</v>
      </c>
      <c r="P6571" t="str">
        <f>"15213"</f>
        <v>15213</v>
      </c>
    </row>
    <row r="6572" spans="1:16" x14ac:dyDescent="0.25">
      <c r="A6572" t="str">
        <f>"1130174F00028    00"</f>
        <v>1130174F00028    00</v>
      </c>
      <c r="B6572" t="s">
        <v>14979</v>
      </c>
      <c r="C6572" t="s">
        <v>14980</v>
      </c>
      <c r="D6572" t="s">
        <v>20</v>
      </c>
      <c r="E6572" t="s">
        <v>39</v>
      </c>
      <c r="F6572">
        <v>0</v>
      </c>
      <c r="G6572">
        <v>0</v>
      </c>
      <c r="H6572">
        <v>19</v>
      </c>
      <c r="I6572" s="3">
        <v>5908.84</v>
      </c>
      <c r="J6572" s="3">
        <v>7048.96</v>
      </c>
      <c r="K6572" t="s">
        <v>1008</v>
      </c>
      <c r="P6572" t="str">
        <f>""</f>
        <v/>
      </c>
    </row>
    <row r="6573" spans="1:16" x14ac:dyDescent="0.25">
      <c r="A6573" t="str">
        <f>"1130174F00030    00"</f>
        <v>1130174F00030    00</v>
      </c>
      <c r="B6573" t="s">
        <v>14981</v>
      </c>
      <c r="C6573" t="s">
        <v>14982</v>
      </c>
      <c r="E6573" t="s">
        <v>39</v>
      </c>
      <c r="F6573">
        <v>0</v>
      </c>
      <c r="G6573">
        <v>0</v>
      </c>
      <c r="H6573">
        <v>16</v>
      </c>
      <c r="I6573" s="3">
        <v>9562.61</v>
      </c>
      <c r="J6573" s="3">
        <v>9377.1</v>
      </c>
      <c r="L6573">
        <v>7327</v>
      </c>
      <c r="M6573" t="s">
        <v>12378</v>
      </c>
      <c r="N6573" t="s">
        <v>30</v>
      </c>
      <c r="O6573" t="s">
        <v>31</v>
      </c>
      <c r="P6573" t="str">
        <f>"15208"</f>
        <v>15208</v>
      </c>
    </row>
    <row r="6574" spans="1:16" x14ac:dyDescent="0.25">
      <c r="A6574" t="str">
        <f>"1130174F00034    00"</f>
        <v>1130174F00034    00</v>
      </c>
      <c r="B6574" t="s">
        <v>14983</v>
      </c>
      <c r="C6574" t="s">
        <v>14984</v>
      </c>
      <c r="E6574" t="s">
        <v>39</v>
      </c>
      <c r="F6574">
        <v>0</v>
      </c>
      <c r="G6574">
        <v>0</v>
      </c>
      <c r="H6574">
        <v>2</v>
      </c>
      <c r="I6574" s="3">
        <v>111.44</v>
      </c>
      <c r="J6574" s="3">
        <v>31.65</v>
      </c>
      <c r="L6574">
        <v>7319</v>
      </c>
      <c r="M6574" t="s">
        <v>12378</v>
      </c>
      <c r="N6574" t="s">
        <v>30</v>
      </c>
      <c r="O6574" t="s">
        <v>31</v>
      </c>
      <c r="P6574" t="str">
        <f>"15208"</f>
        <v>15208</v>
      </c>
    </row>
    <row r="6575" spans="1:16" x14ac:dyDescent="0.25">
      <c r="A6575" t="str">
        <f>"1130174F00038    00"</f>
        <v>1130174F00038    00</v>
      </c>
      <c r="B6575" t="s">
        <v>14985</v>
      </c>
      <c r="C6575" t="s">
        <v>14986</v>
      </c>
      <c r="D6575" t="s">
        <v>20</v>
      </c>
      <c r="E6575" t="s">
        <v>39</v>
      </c>
      <c r="F6575">
        <v>0</v>
      </c>
      <c r="G6575">
        <v>0</v>
      </c>
      <c r="H6575">
        <v>11</v>
      </c>
      <c r="I6575" s="3">
        <v>3424</v>
      </c>
      <c r="J6575" s="3">
        <v>1634.14</v>
      </c>
      <c r="L6575">
        <v>387</v>
      </c>
      <c r="M6575" t="s">
        <v>9101</v>
      </c>
      <c r="N6575" t="s">
        <v>30</v>
      </c>
      <c r="O6575" t="s">
        <v>31</v>
      </c>
      <c r="P6575" t="str">
        <f>"15235"</f>
        <v>15235</v>
      </c>
    </row>
    <row r="6576" spans="1:16" x14ac:dyDescent="0.25">
      <c r="A6576" t="str">
        <f>"1130174F00039    00"</f>
        <v>1130174F00039    00</v>
      </c>
      <c r="B6576" t="s">
        <v>14987</v>
      </c>
      <c r="C6576" t="s">
        <v>14506</v>
      </c>
      <c r="E6576" t="s">
        <v>39</v>
      </c>
      <c r="F6576">
        <v>0</v>
      </c>
      <c r="G6576">
        <v>0</v>
      </c>
      <c r="H6576">
        <v>4</v>
      </c>
      <c r="I6576" s="3">
        <v>69.2</v>
      </c>
      <c r="J6576" s="3">
        <v>110.7</v>
      </c>
      <c r="L6576">
        <v>1036</v>
      </c>
      <c r="M6576" t="s">
        <v>14988</v>
      </c>
      <c r="N6576" t="s">
        <v>6941</v>
      </c>
      <c r="O6576" t="s">
        <v>31</v>
      </c>
      <c r="P6576" t="str">
        <f>"15003"</f>
        <v>15003</v>
      </c>
    </row>
    <row r="6577" spans="1:16" x14ac:dyDescent="0.25">
      <c r="A6577" t="str">
        <f>"1130174F00040    00"</f>
        <v>1130174F00040    00</v>
      </c>
      <c r="B6577" t="s">
        <v>14989</v>
      </c>
      <c r="C6577" t="s">
        <v>14506</v>
      </c>
      <c r="D6577" t="s">
        <v>20</v>
      </c>
      <c r="E6577" t="s">
        <v>39</v>
      </c>
      <c r="F6577">
        <v>0</v>
      </c>
      <c r="G6577">
        <v>0</v>
      </c>
      <c r="H6577">
        <v>17</v>
      </c>
      <c r="I6577" s="3">
        <v>3758.24</v>
      </c>
      <c r="J6577" s="3">
        <v>5112.87</v>
      </c>
      <c r="L6577">
        <v>7307</v>
      </c>
      <c r="M6577" t="s">
        <v>12378</v>
      </c>
      <c r="N6577" t="s">
        <v>30</v>
      </c>
      <c r="O6577" t="s">
        <v>31</v>
      </c>
      <c r="P6577" t="str">
        <f>"15208"</f>
        <v>15208</v>
      </c>
    </row>
    <row r="6578" spans="1:16" x14ac:dyDescent="0.25">
      <c r="A6578" t="str">
        <f>"1130174F00041    00"</f>
        <v>1130174F00041    00</v>
      </c>
      <c r="B6578" t="s">
        <v>14990</v>
      </c>
      <c r="C6578" t="s">
        <v>14506</v>
      </c>
      <c r="D6578" t="s">
        <v>20</v>
      </c>
      <c r="E6578" t="s">
        <v>39</v>
      </c>
      <c r="F6578">
        <v>0</v>
      </c>
      <c r="G6578">
        <v>0</v>
      </c>
      <c r="H6578">
        <v>17</v>
      </c>
      <c r="I6578" s="3">
        <v>4859.99</v>
      </c>
      <c r="J6578" s="3">
        <v>7041.6</v>
      </c>
      <c r="K6578" t="s">
        <v>14991</v>
      </c>
      <c r="L6578">
        <v>8290</v>
      </c>
      <c r="M6578" t="s">
        <v>14992</v>
      </c>
      <c r="N6578" t="s">
        <v>3919</v>
      </c>
      <c r="O6578" t="s">
        <v>370</v>
      </c>
      <c r="P6578" t="str">
        <f>"32216"</f>
        <v>32216</v>
      </c>
    </row>
    <row r="6579" spans="1:16" x14ac:dyDescent="0.25">
      <c r="A6579" t="str">
        <f>"1130174F00045    00"</f>
        <v>1130174F00045    00</v>
      </c>
      <c r="B6579" t="s">
        <v>14993</v>
      </c>
      <c r="C6579" t="s">
        <v>14506</v>
      </c>
      <c r="D6579" t="s">
        <v>20</v>
      </c>
      <c r="E6579" t="s">
        <v>39</v>
      </c>
      <c r="F6579">
        <v>0</v>
      </c>
      <c r="G6579">
        <v>0</v>
      </c>
      <c r="H6579">
        <v>9</v>
      </c>
      <c r="I6579" s="3">
        <v>253.41</v>
      </c>
      <c r="J6579" s="3">
        <v>250.37</v>
      </c>
      <c r="L6579">
        <v>46038</v>
      </c>
      <c r="M6579" t="s">
        <v>14994</v>
      </c>
      <c r="N6579" t="s">
        <v>14995</v>
      </c>
      <c r="O6579" t="s">
        <v>1184</v>
      </c>
      <c r="P6579" t="str">
        <f>"20653"</f>
        <v>20653</v>
      </c>
    </row>
    <row r="6580" spans="1:16" x14ac:dyDescent="0.25">
      <c r="A6580" t="str">
        <f>"1130174F00047    00"</f>
        <v>1130174F00047    00</v>
      </c>
      <c r="B6580" t="s">
        <v>14996</v>
      </c>
      <c r="C6580" t="s">
        <v>14506</v>
      </c>
      <c r="D6580" t="s">
        <v>20</v>
      </c>
      <c r="E6580" t="s">
        <v>39</v>
      </c>
      <c r="F6580">
        <v>0</v>
      </c>
      <c r="G6580">
        <v>0</v>
      </c>
      <c r="H6580">
        <v>15</v>
      </c>
      <c r="I6580" s="3">
        <v>5211.4799999999996</v>
      </c>
      <c r="J6580" s="3">
        <v>7807.91</v>
      </c>
      <c r="L6580">
        <v>138</v>
      </c>
      <c r="M6580" t="s">
        <v>14997</v>
      </c>
      <c r="N6580" t="s">
        <v>30</v>
      </c>
      <c r="O6580" t="s">
        <v>31</v>
      </c>
      <c r="P6580" t="str">
        <f>"15235"</f>
        <v>15235</v>
      </c>
    </row>
    <row r="6581" spans="1:16" x14ac:dyDescent="0.25">
      <c r="A6581" t="str">
        <f>"1130174F00053    00"</f>
        <v>1130174F00053    00</v>
      </c>
      <c r="B6581" t="s">
        <v>1300</v>
      </c>
      <c r="C6581" t="s">
        <v>14998</v>
      </c>
      <c r="D6581" t="s">
        <v>20</v>
      </c>
      <c r="E6581" t="s">
        <v>39</v>
      </c>
      <c r="F6581">
        <v>0</v>
      </c>
      <c r="G6581">
        <v>0</v>
      </c>
      <c r="H6581">
        <v>3</v>
      </c>
      <c r="I6581" s="3">
        <v>919.18</v>
      </c>
      <c r="J6581" s="3">
        <v>4.26</v>
      </c>
      <c r="M6581" t="s">
        <v>2628</v>
      </c>
      <c r="N6581" t="s">
        <v>30</v>
      </c>
      <c r="O6581" t="s">
        <v>31</v>
      </c>
      <c r="P6581" t="str">
        <f>"15213"</f>
        <v>15213</v>
      </c>
    </row>
    <row r="6582" spans="1:16" x14ac:dyDescent="0.25">
      <c r="A6582" t="str">
        <f>"1130174F00056    00"</f>
        <v>1130174F00056    00</v>
      </c>
      <c r="B6582" t="s">
        <v>14999</v>
      </c>
      <c r="C6582" t="s">
        <v>15000</v>
      </c>
      <c r="D6582" t="s">
        <v>20</v>
      </c>
      <c r="E6582" t="s">
        <v>39</v>
      </c>
      <c r="F6582">
        <v>0</v>
      </c>
      <c r="G6582">
        <v>0</v>
      </c>
      <c r="H6582">
        <v>3</v>
      </c>
      <c r="I6582" s="3">
        <v>1057.19</v>
      </c>
      <c r="J6582" s="3">
        <v>55.02</v>
      </c>
      <c r="K6582" t="s">
        <v>15001</v>
      </c>
      <c r="L6582">
        <v>806</v>
      </c>
      <c r="M6582" t="s">
        <v>15002</v>
      </c>
      <c r="N6582" t="s">
        <v>285</v>
      </c>
      <c r="O6582" t="s">
        <v>31</v>
      </c>
      <c r="P6582" t="str">
        <f>"15120"</f>
        <v>15120</v>
      </c>
    </row>
    <row r="6583" spans="1:16" x14ac:dyDescent="0.25">
      <c r="A6583" t="str">
        <f>"1130174F00059    00"</f>
        <v>1130174F00059    00</v>
      </c>
      <c r="B6583" t="s">
        <v>15003</v>
      </c>
      <c r="C6583" t="s">
        <v>15004</v>
      </c>
      <c r="D6583" t="s">
        <v>20</v>
      </c>
      <c r="E6583" t="s">
        <v>39</v>
      </c>
      <c r="F6583">
        <v>0</v>
      </c>
      <c r="G6583">
        <v>0</v>
      </c>
      <c r="H6583">
        <v>13</v>
      </c>
      <c r="I6583" s="3">
        <v>5563.9</v>
      </c>
      <c r="J6583" s="3">
        <v>3827.83</v>
      </c>
      <c r="K6583" t="s">
        <v>15005</v>
      </c>
      <c r="L6583">
        <v>7315</v>
      </c>
      <c r="M6583" t="s">
        <v>15006</v>
      </c>
      <c r="N6583" t="s">
        <v>30</v>
      </c>
      <c r="O6583" t="s">
        <v>31</v>
      </c>
      <c r="P6583" t="str">
        <f>"15221"</f>
        <v>15221</v>
      </c>
    </row>
    <row r="6584" spans="1:16" x14ac:dyDescent="0.25">
      <c r="A6584" t="str">
        <f>"1130174F00060    00"</f>
        <v>1130174F00060    00</v>
      </c>
      <c r="B6584" t="s">
        <v>15007</v>
      </c>
      <c r="C6584" t="s">
        <v>15008</v>
      </c>
      <c r="D6584" t="s">
        <v>20</v>
      </c>
      <c r="E6584" t="s">
        <v>39</v>
      </c>
      <c r="F6584">
        <v>0</v>
      </c>
      <c r="G6584">
        <v>0</v>
      </c>
      <c r="H6584">
        <v>16</v>
      </c>
      <c r="I6584" s="3">
        <v>7298.41</v>
      </c>
      <c r="J6584" s="3">
        <v>9040.67</v>
      </c>
      <c r="L6584">
        <v>7216</v>
      </c>
      <c r="M6584" t="s">
        <v>12378</v>
      </c>
      <c r="N6584" t="s">
        <v>30</v>
      </c>
      <c r="O6584" t="s">
        <v>31</v>
      </c>
      <c r="P6584" t="str">
        <f>"15208"</f>
        <v>15208</v>
      </c>
    </row>
    <row r="6585" spans="1:16" x14ac:dyDescent="0.25">
      <c r="A6585" t="str">
        <f>"1130174F00061    00"</f>
        <v>1130174F00061    00</v>
      </c>
      <c r="B6585" t="s">
        <v>15009</v>
      </c>
      <c r="C6585" t="s">
        <v>15010</v>
      </c>
      <c r="E6585" t="s">
        <v>39</v>
      </c>
      <c r="F6585">
        <v>0</v>
      </c>
      <c r="G6585">
        <v>0</v>
      </c>
      <c r="H6585">
        <v>1</v>
      </c>
      <c r="I6585" s="3">
        <v>43.17</v>
      </c>
      <c r="J6585" s="3">
        <v>8.64</v>
      </c>
      <c r="L6585">
        <v>7218</v>
      </c>
      <c r="M6585" t="s">
        <v>12378</v>
      </c>
      <c r="N6585" t="s">
        <v>30</v>
      </c>
      <c r="O6585" t="s">
        <v>31</v>
      </c>
      <c r="P6585" t="str">
        <f>"15208"</f>
        <v>15208</v>
      </c>
    </row>
    <row r="6586" spans="1:16" x14ac:dyDescent="0.25">
      <c r="A6586" t="str">
        <f>"1130174F00062    00"</f>
        <v>1130174F00062    00</v>
      </c>
      <c r="B6586" t="s">
        <v>15011</v>
      </c>
      <c r="C6586" t="s">
        <v>15012</v>
      </c>
      <c r="D6586" t="s">
        <v>20</v>
      </c>
      <c r="E6586" t="s">
        <v>39</v>
      </c>
      <c r="F6586">
        <v>0</v>
      </c>
      <c r="G6586">
        <v>0</v>
      </c>
      <c r="H6586">
        <v>19</v>
      </c>
      <c r="I6586" s="3">
        <v>8524.9699999999993</v>
      </c>
      <c r="J6586" s="3">
        <v>5679.82</v>
      </c>
      <c r="P6586" t="str">
        <f>""</f>
        <v/>
      </c>
    </row>
    <row r="6587" spans="1:16" x14ac:dyDescent="0.25">
      <c r="A6587" t="str">
        <f>"1130174F00063    00"</f>
        <v>1130174F00063    00</v>
      </c>
      <c r="B6587" t="s">
        <v>15013</v>
      </c>
      <c r="C6587" t="s">
        <v>14506</v>
      </c>
      <c r="D6587" t="s">
        <v>20</v>
      </c>
      <c r="E6587" t="s">
        <v>39</v>
      </c>
      <c r="F6587">
        <v>0</v>
      </c>
      <c r="G6587">
        <v>0</v>
      </c>
      <c r="H6587">
        <v>19</v>
      </c>
      <c r="I6587" s="3">
        <v>809.37</v>
      </c>
      <c r="J6587" s="3">
        <v>585.29</v>
      </c>
      <c r="K6587" t="s">
        <v>15014</v>
      </c>
      <c r="L6587">
        <v>7220</v>
      </c>
      <c r="M6587" t="s">
        <v>15015</v>
      </c>
      <c r="N6587" t="s">
        <v>30</v>
      </c>
      <c r="O6587" t="s">
        <v>31</v>
      </c>
      <c r="P6587" t="str">
        <f>"15208"</f>
        <v>15208</v>
      </c>
    </row>
    <row r="6588" spans="1:16" x14ac:dyDescent="0.25">
      <c r="A6588" t="str">
        <f>"1130174F00069    00"</f>
        <v>1130174F00069    00</v>
      </c>
      <c r="B6588" t="s">
        <v>9840</v>
      </c>
      <c r="C6588" t="s">
        <v>15016</v>
      </c>
      <c r="D6588" t="s">
        <v>20</v>
      </c>
      <c r="E6588" t="s">
        <v>39</v>
      </c>
      <c r="F6588">
        <v>0</v>
      </c>
      <c r="G6588">
        <v>0</v>
      </c>
      <c r="H6588">
        <v>3</v>
      </c>
      <c r="I6588" s="3">
        <v>816.44</v>
      </c>
      <c r="J6588" s="3">
        <v>66.25</v>
      </c>
      <c r="L6588">
        <v>7234</v>
      </c>
      <c r="M6588" t="s">
        <v>12378</v>
      </c>
      <c r="N6588" t="s">
        <v>30</v>
      </c>
      <c r="O6588" t="s">
        <v>31</v>
      </c>
      <c r="P6588" t="str">
        <f>"15208"</f>
        <v>15208</v>
      </c>
    </row>
    <row r="6589" spans="1:16" x14ac:dyDescent="0.25">
      <c r="A6589" t="str">
        <f>"1130174F00072    00"</f>
        <v>1130174F00072    00</v>
      </c>
      <c r="B6589" t="s">
        <v>15017</v>
      </c>
      <c r="C6589" t="s">
        <v>15018</v>
      </c>
      <c r="D6589" t="s">
        <v>20</v>
      </c>
      <c r="E6589" t="s">
        <v>39</v>
      </c>
      <c r="F6589">
        <v>0</v>
      </c>
      <c r="G6589">
        <v>0</v>
      </c>
      <c r="H6589">
        <v>19</v>
      </c>
      <c r="I6589" s="3">
        <v>7173.8</v>
      </c>
      <c r="J6589" s="3">
        <v>8169.4</v>
      </c>
      <c r="L6589">
        <v>7240</v>
      </c>
      <c r="M6589" t="s">
        <v>12378</v>
      </c>
      <c r="N6589" t="s">
        <v>30</v>
      </c>
      <c r="O6589" t="s">
        <v>31</v>
      </c>
      <c r="P6589" t="str">
        <f>"15208"</f>
        <v>15208</v>
      </c>
    </row>
    <row r="6590" spans="1:16" x14ac:dyDescent="0.25">
      <c r="A6590" t="str">
        <f>"1130174F00077    00"</f>
        <v>1130174F00077    00</v>
      </c>
      <c r="B6590" t="s">
        <v>15019</v>
      </c>
      <c r="C6590" t="s">
        <v>14506</v>
      </c>
      <c r="D6590" t="s">
        <v>20</v>
      </c>
      <c r="E6590" t="s">
        <v>39</v>
      </c>
      <c r="F6590">
        <v>0</v>
      </c>
      <c r="G6590">
        <v>0</v>
      </c>
      <c r="H6590">
        <v>19</v>
      </c>
      <c r="I6590" s="3">
        <v>2759.6</v>
      </c>
      <c r="J6590" s="3">
        <v>3392.96</v>
      </c>
      <c r="L6590">
        <v>11</v>
      </c>
      <c r="M6590" t="s">
        <v>9500</v>
      </c>
      <c r="N6590" t="s">
        <v>30</v>
      </c>
      <c r="O6590" t="s">
        <v>31</v>
      </c>
      <c r="P6590" t="str">
        <f>"15201"</f>
        <v>15201</v>
      </c>
    </row>
    <row r="6591" spans="1:16" x14ac:dyDescent="0.25">
      <c r="A6591" t="str">
        <f>"1130174F00078    00"</f>
        <v>1130174F00078    00</v>
      </c>
      <c r="B6591" t="s">
        <v>15020</v>
      </c>
      <c r="C6591" t="s">
        <v>14506</v>
      </c>
      <c r="D6591" t="s">
        <v>20</v>
      </c>
      <c r="E6591" t="s">
        <v>39</v>
      </c>
      <c r="F6591">
        <v>0</v>
      </c>
      <c r="G6591">
        <v>0</v>
      </c>
      <c r="H6591">
        <v>17</v>
      </c>
      <c r="I6591" s="3">
        <v>4155.79</v>
      </c>
      <c r="J6591" s="3">
        <v>6039.09</v>
      </c>
      <c r="L6591">
        <v>7718</v>
      </c>
      <c r="M6591" t="s">
        <v>15021</v>
      </c>
      <c r="N6591" t="s">
        <v>30</v>
      </c>
      <c r="O6591" t="s">
        <v>31</v>
      </c>
      <c r="P6591" t="str">
        <f>"15208"</f>
        <v>15208</v>
      </c>
    </row>
    <row r="6592" spans="1:16" x14ac:dyDescent="0.25">
      <c r="A6592" t="str">
        <f>"1130174F00084    00"</f>
        <v>1130174F00084    00</v>
      </c>
      <c r="B6592" t="s">
        <v>15022</v>
      </c>
      <c r="C6592" t="s">
        <v>15023</v>
      </c>
      <c r="D6592" t="s">
        <v>20</v>
      </c>
      <c r="E6592" t="s">
        <v>39</v>
      </c>
      <c r="F6592">
        <v>0</v>
      </c>
      <c r="G6592">
        <v>0</v>
      </c>
      <c r="H6592">
        <v>4</v>
      </c>
      <c r="I6592" s="3">
        <v>34.94</v>
      </c>
      <c r="J6592" s="3">
        <v>4.25</v>
      </c>
      <c r="L6592">
        <v>7320</v>
      </c>
      <c r="M6592" t="s">
        <v>12378</v>
      </c>
      <c r="N6592" t="s">
        <v>30</v>
      </c>
      <c r="O6592" t="s">
        <v>31</v>
      </c>
      <c r="P6592" t="str">
        <f>"15208"</f>
        <v>15208</v>
      </c>
    </row>
    <row r="6593" spans="1:16" x14ac:dyDescent="0.25">
      <c r="A6593" t="str">
        <f>"1130174F00085    00"</f>
        <v>1130174F00085    00</v>
      </c>
      <c r="B6593" t="s">
        <v>15024</v>
      </c>
      <c r="C6593" t="s">
        <v>15025</v>
      </c>
      <c r="D6593" t="s">
        <v>20</v>
      </c>
      <c r="E6593" t="s">
        <v>39</v>
      </c>
      <c r="F6593">
        <v>0</v>
      </c>
      <c r="G6593">
        <v>0</v>
      </c>
      <c r="H6593">
        <v>19</v>
      </c>
      <c r="I6593" s="3">
        <v>7007.99</v>
      </c>
      <c r="J6593" s="3">
        <v>8696.3799999999992</v>
      </c>
      <c r="P6593" t="str">
        <f>""</f>
        <v/>
      </c>
    </row>
    <row r="6594" spans="1:16" x14ac:dyDescent="0.25">
      <c r="A6594" t="str">
        <f>"1130174F00086    00"</f>
        <v>1130174F00086    00</v>
      </c>
      <c r="B6594" t="s">
        <v>15026</v>
      </c>
      <c r="C6594" t="s">
        <v>14506</v>
      </c>
      <c r="D6594" t="s">
        <v>20</v>
      </c>
      <c r="E6594" t="s">
        <v>39</v>
      </c>
      <c r="F6594">
        <v>0</v>
      </c>
      <c r="G6594">
        <v>0</v>
      </c>
      <c r="H6594">
        <v>19</v>
      </c>
      <c r="I6594" s="3">
        <v>390.03</v>
      </c>
      <c r="J6594" s="3">
        <v>366.85</v>
      </c>
      <c r="L6594">
        <v>2633</v>
      </c>
      <c r="M6594" t="s">
        <v>15027</v>
      </c>
      <c r="N6594" t="s">
        <v>30</v>
      </c>
      <c r="O6594" t="s">
        <v>31</v>
      </c>
      <c r="P6594" t="str">
        <f>"15216"</f>
        <v>15216</v>
      </c>
    </row>
    <row r="6595" spans="1:16" x14ac:dyDescent="0.25">
      <c r="A6595" t="str">
        <f>"1130174F00089    00"</f>
        <v>1130174F00089    00</v>
      </c>
      <c r="B6595" t="s">
        <v>15028</v>
      </c>
      <c r="C6595" t="s">
        <v>15029</v>
      </c>
      <c r="D6595" t="s">
        <v>20</v>
      </c>
      <c r="E6595" t="s">
        <v>39</v>
      </c>
      <c r="F6595">
        <v>0</v>
      </c>
      <c r="G6595">
        <v>0</v>
      </c>
      <c r="H6595">
        <v>2</v>
      </c>
      <c r="I6595" s="3">
        <v>85.53</v>
      </c>
      <c r="J6595" s="3">
        <v>42.38</v>
      </c>
      <c r="K6595" t="s">
        <v>15030</v>
      </c>
      <c r="L6595">
        <v>7330</v>
      </c>
      <c r="M6595" t="s">
        <v>12378</v>
      </c>
      <c r="N6595" t="s">
        <v>30</v>
      </c>
      <c r="O6595" t="s">
        <v>31</v>
      </c>
      <c r="P6595" t="str">
        <f>"15208"</f>
        <v>15208</v>
      </c>
    </row>
    <row r="6596" spans="1:16" x14ac:dyDescent="0.25">
      <c r="A6596" t="str">
        <f>"1130174F00091    00"</f>
        <v>1130174F00091    00</v>
      </c>
      <c r="B6596" t="s">
        <v>12216</v>
      </c>
      <c r="C6596" t="s">
        <v>15031</v>
      </c>
      <c r="D6596" t="s">
        <v>20</v>
      </c>
      <c r="E6596" t="s">
        <v>39</v>
      </c>
      <c r="F6596">
        <v>0</v>
      </c>
      <c r="G6596">
        <v>0</v>
      </c>
      <c r="H6596">
        <v>1</v>
      </c>
      <c r="I6596" s="3">
        <v>95.32</v>
      </c>
      <c r="J6596" s="3">
        <v>0</v>
      </c>
      <c r="K6596" t="s">
        <v>12287</v>
      </c>
      <c r="L6596">
        <v>1422</v>
      </c>
      <c r="M6596" t="s">
        <v>12218</v>
      </c>
      <c r="N6596" t="s">
        <v>30</v>
      </c>
      <c r="O6596" t="s">
        <v>31</v>
      </c>
      <c r="P6596" t="str">
        <f>"15221"</f>
        <v>15221</v>
      </c>
    </row>
    <row r="6597" spans="1:16" x14ac:dyDescent="0.25">
      <c r="A6597" t="str">
        <f>"1130174F00095    00"</f>
        <v>1130174F00095    00</v>
      </c>
      <c r="B6597" t="s">
        <v>15032</v>
      </c>
      <c r="C6597" t="s">
        <v>15033</v>
      </c>
      <c r="D6597" t="s">
        <v>20</v>
      </c>
      <c r="E6597" t="s">
        <v>39</v>
      </c>
      <c r="F6597">
        <v>0</v>
      </c>
      <c r="G6597">
        <v>0</v>
      </c>
      <c r="H6597">
        <v>17</v>
      </c>
      <c r="I6597" s="3">
        <v>4801.38</v>
      </c>
      <c r="J6597" s="3">
        <v>4788.29</v>
      </c>
      <c r="L6597">
        <v>2455</v>
      </c>
      <c r="M6597" t="s">
        <v>3993</v>
      </c>
      <c r="N6597" t="s">
        <v>30</v>
      </c>
      <c r="O6597" t="s">
        <v>31</v>
      </c>
      <c r="P6597" t="str">
        <f>"15221"</f>
        <v>15221</v>
      </c>
    </row>
    <row r="6598" spans="1:16" x14ac:dyDescent="0.25">
      <c r="A6598" t="str">
        <f>"1130174F00096    00"</f>
        <v>1130174F00096    00</v>
      </c>
      <c r="B6598" t="s">
        <v>15034</v>
      </c>
      <c r="C6598" t="s">
        <v>14506</v>
      </c>
      <c r="D6598" t="s">
        <v>20</v>
      </c>
      <c r="E6598" t="s">
        <v>39</v>
      </c>
      <c r="F6598">
        <v>0</v>
      </c>
      <c r="G6598">
        <v>0</v>
      </c>
      <c r="H6598">
        <v>19</v>
      </c>
      <c r="I6598" s="3">
        <v>809.37</v>
      </c>
      <c r="J6598" s="3">
        <v>585.29</v>
      </c>
      <c r="K6598" t="s">
        <v>1037</v>
      </c>
      <c r="L6598">
        <v>17711</v>
      </c>
      <c r="M6598" t="s">
        <v>15035</v>
      </c>
      <c r="N6598" t="s">
        <v>15036</v>
      </c>
      <c r="O6598" t="s">
        <v>25</v>
      </c>
      <c r="P6598" t="str">
        <f>"44122"</f>
        <v>44122</v>
      </c>
    </row>
    <row r="6599" spans="1:16" x14ac:dyDescent="0.25">
      <c r="A6599" t="str">
        <f>"1130174F00097    00"</f>
        <v>1130174F00097    00</v>
      </c>
      <c r="B6599" t="s">
        <v>15037</v>
      </c>
      <c r="C6599" t="s">
        <v>14506</v>
      </c>
      <c r="D6599" t="s">
        <v>20</v>
      </c>
      <c r="E6599" t="s">
        <v>39</v>
      </c>
      <c r="F6599">
        <v>0</v>
      </c>
      <c r="G6599">
        <v>0</v>
      </c>
      <c r="H6599">
        <v>2</v>
      </c>
      <c r="I6599" s="3">
        <v>19.079999999999998</v>
      </c>
      <c r="J6599" s="3">
        <v>0</v>
      </c>
      <c r="L6599">
        <v>4</v>
      </c>
      <c r="M6599" t="s">
        <v>15038</v>
      </c>
      <c r="N6599" t="s">
        <v>10447</v>
      </c>
      <c r="O6599" t="s">
        <v>200</v>
      </c>
      <c r="P6599" t="str">
        <f>"10468"</f>
        <v>10468</v>
      </c>
    </row>
    <row r="6600" spans="1:16" x14ac:dyDescent="0.25">
      <c r="A6600" t="str">
        <f>"1130174F00100    00"</f>
        <v>1130174F00100    00</v>
      </c>
      <c r="B6600" t="s">
        <v>15039</v>
      </c>
      <c r="C6600" t="s">
        <v>15040</v>
      </c>
      <c r="D6600" t="s">
        <v>20</v>
      </c>
      <c r="E6600" t="s">
        <v>39</v>
      </c>
      <c r="F6600">
        <v>0</v>
      </c>
      <c r="G6600">
        <v>0</v>
      </c>
      <c r="H6600">
        <v>10</v>
      </c>
      <c r="I6600" s="3">
        <v>6513.2</v>
      </c>
      <c r="J6600" s="3">
        <v>2774.56</v>
      </c>
      <c r="L6600">
        <v>7233</v>
      </c>
      <c r="M6600" t="s">
        <v>15041</v>
      </c>
      <c r="N6600" t="s">
        <v>30</v>
      </c>
      <c r="O6600" t="s">
        <v>31</v>
      </c>
      <c r="P6600" t="str">
        <f>"15235"</f>
        <v>15235</v>
      </c>
    </row>
    <row r="6601" spans="1:16" x14ac:dyDescent="0.25">
      <c r="A6601" t="str">
        <f>"1130174F00101    00"</f>
        <v>1130174F00101    00</v>
      </c>
      <c r="B6601" t="s">
        <v>15042</v>
      </c>
      <c r="C6601" t="s">
        <v>15043</v>
      </c>
      <c r="D6601" t="s">
        <v>20</v>
      </c>
      <c r="E6601" t="s">
        <v>39</v>
      </c>
      <c r="F6601">
        <v>0</v>
      </c>
      <c r="G6601">
        <v>0</v>
      </c>
      <c r="H6601">
        <v>3</v>
      </c>
      <c r="I6601" s="3">
        <v>2012.79</v>
      </c>
      <c r="J6601" s="3">
        <v>0</v>
      </c>
      <c r="K6601" t="s">
        <v>15044</v>
      </c>
      <c r="L6601">
        <v>2812</v>
      </c>
      <c r="M6601" t="s">
        <v>15045</v>
      </c>
      <c r="N6601" t="s">
        <v>30</v>
      </c>
      <c r="O6601" t="s">
        <v>31</v>
      </c>
      <c r="P6601" t="str">
        <f>"15204"</f>
        <v>15204</v>
      </c>
    </row>
    <row r="6602" spans="1:16" x14ac:dyDescent="0.25">
      <c r="A6602" t="str">
        <f>"1130174F00102    00"</f>
        <v>1130174F00102    00</v>
      </c>
      <c r="B6602" t="s">
        <v>15046</v>
      </c>
      <c r="C6602" t="s">
        <v>14528</v>
      </c>
      <c r="D6602" t="s">
        <v>20</v>
      </c>
      <c r="E6602" t="s">
        <v>39</v>
      </c>
      <c r="F6602">
        <v>0</v>
      </c>
      <c r="G6602">
        <v>0</v>
      </c>
      <c r="H6602">
        <v>19</v>
      </c>
      <c r="I6602" s="3">
        <v>913.2</v>
      </c>
      <c r="J6602" s="3">
        <v>657.1</v>
      </c>
      <c r="L6602">
        <v>1261</v>
      </c>
      <c r="M6602" t="s">
        <v>13892</v>
      </c>
      <c r="N6602" t="s">
        <v>30</v>
      </c>
      <c r="O6602" t="s">
        <v>31</v>
      </c>
      <c r="P6602" t="str">
        <f>"15221"</f>
        <v>15221</v>
      </c>
    </row>
    <row r="6603" spans="1:16" x14ac:dyDescent="0.25">
      <c r="A6603" t="str">
        <f>"1130174F00104    00"</f>
        <v>1130174F00104    00</v>
      </c>
      <c r="B6603" t="s">
        <v>15047</v>
      </c>
      <c r="C6603" t="s">
        <v>15048</v>
      </c>
      <c r="D6603" t="s">
        <v>20</v>
      </c>
      <c r="E6603" t="s">
        <v>39</v>
      </c>
      <c r="F6603">
        <v>0</v>
      </c>
      <c r="G6603">
        <v>0</v>
      </c>
      <c r="H6603">
        <v>19</v>
      </c>
      <c r="I6603" s="3">
        <v>19270.7</v>
      </c>
      <c r="J6603" s="3">
        <v>20558.810000000001</v>
      </c>
      <c r="L6603">
        <v>321</v>
      </c>
      <c r="M6603" t="s">
        <v>15049</v>
      </c>
      <c r="N6603" t="s">
        <v>30</v>
      </c>
      <c r="O6603" t="s">
        <v>31</v>
      </c>
      <c r="P6603" t="str">
        <f>"15235"</f>
        <v>15235</v>
      </c>
    </row>
    <row r="6604" spans="1:16" x14ac:dyDescent="0.25">
      <c r="A6604" t="str">
        <f>"1130174F00110    00"</f>
        <v>1130174F00110    00</v>
      </c>
      <c r="B6604" t="s">
        <v>15050</v>
      </c>
      <c r="C6604" t="s">
        <v>15051</v>
      </c>
      <c r="D6604" t="s">
        <v>20</v>
      </c>
      <c r="E6604" t="s">
        <v>39</v>
      </c>
      <c r="F6604">
        <v>0</v>
      </c>
      <c r="G6604">
        <v>0</v>
      </c>
      <c r="H6604">
        <v>19</v>
      </c>
      <c r="I6604" s="3">
        <v>9570.1299999999992</v>
      </c>
      <c r="J6604" s="3">
        <v>11800.29</v>
      </c>
      <c r="L6604">
        <v>93</v>
      </c>
      <c r="M6604" t="s">
        <v>5127</v>
      </c>
      <c r="N6604" t="s">
        <v>30</v>
      </c>
      <c r="O6604" t="s">
        <v>31</v>
      </c>
      <c r="P6604" t="str">
        <f>"15235"</f>
        <v>15235</v>
      </c>
    </row>
    <row r="6605" spans="1:16" x14ac:dyDescent="0.25">
      <c r="A6605" t="str">
        <f>"1130174F00111    01"</f>
        <v>1130174F00111    01</v>
      </c>
      <c r="B6605" t="s">
        <v>15052</v>
      </c>
      <c r="C6605" t="s">
        <v>14528</v>
      </c>
      <c r="D6605" t="s">
        <v>20</v>
      </c>
      <c r="E6605" t="s">
        <v>39</v>
      </c>
      <c r="F6605">
        <v>0</v>
      </c>
      <c r="G6605">
        <v>0</v>
      </c>
      <c r="H6605">
        <v>19</v>
      </c>
      <c r="I6605" s="3">
        <v>370.25</v>
      </c>
      <c r="J6605" s="3">
        <v>353.16</v>
      </c>
      <c r="L6605">
        <v>7321</v>
      </c>
      <c r="M6605" t="s">
        <v>12045</v>
      </c>
      <c r="N6605" t="s">
        <v>30</v>
      </c>
      <c r="O6605" t="s">
        <v>31</v>
      </c>
      <c r="P6605" t="str">
        <f t="shared" ref="P6605:P6611" si="83">"15208"</f>
        <v>15208</v>
      </c>
    </row>
    <row r="6606" spans="1:16" x14ac:dyDescent="0.25">
      <c r="A6606" t="str">
        <f>"1130174F00113    00"</f>
        <v>1130174F00113    00</v>
      </c>
      <c r="B6606" t="s">
        <v>15053</v>
      </c>
      <c r="C6606" t="s">
        <v>14528</v>
      </c>
      <c r="D6606" t="s">
        <v>20</v>
      </c>
      <c r="E6606" t="s">
        <v>39</v>
      </c>
      <c r="F6606">
        <v>0</v>
      </c>
      <c r="G6606">
        <v>0</v>
      </c>
      <c r="H6606">
        <v>19</v>
      </c>
      <c r="I6606" s="3">
        <v>5358.21</v>
      </c>
      <c r="J6606" s="3">
        <v>7483.47</v>
      </c>
      <c r="L6606">
        <v>7319</v>
      </c>
      <c r="M6606" t="s">
        <v>12045</v>
      </c>
      <c r="N6606" t="s">
        <v>30</v>
      </c>
      <c r="O6606" t="s">
        <v>31</v>
      </c>
      <c r="P6606" t="str">
        <f t="shared" si="83"/>
        <v>15208</v>
      </c>
    </row>
    <row r="6607" spans="1:16" x14ac:dyDescent="0.25">
      <c r="A6607" t="str">
        <f>"1130174F00117    00"</f>
        <v>1130174F00117    00</v>
      </c>
      <c r="B6607" t="s">
        <v>15054</v>
      </c>
      <c r="C6607" t="s">
        <v>15055</v>
      </c>
      <c r="D6607" t="s">
        <v>20</v>
      </c>
      <c r="E6607" t="s">
        <v>39</v>
      </c>
      <c r="F6607">
        <v>0</v>
      </c>
      <c r="G6607">
        <v>0</v>
      </c>
      <c r="H6607">
        <v>19</v>
      </c>
      <c r="I6607" s="3">
        <v>15542.28</v>
      </c>
      <c r="J6607" s="3">
        <v>15710.06</v>
      </c>
      <c r="K6607" t="s">
        <v>1037</v>
      </c>
      <c r="L6607">
        <v>7311</v>
      </c>
      <c r="M6607" t="s">
        <v>12045</v>
      </c>
      <c r="N6607" t="s">
        <v>30</v>
      </c>
      <c r="O6607" t="s">
        <v>31</v>
      </c>
      <c r="P6607" t="str">
        <f t="shared" si="83"/>
        <v>15208</v>
      </c>
    </row>
    <row r="6608" spans="1:16" x14ac:dyDescent="0.25">
      <c r="A6608" t="str">
        <f>"1130174F00118    00"</f>
        <v>1130174F00118    00</v>
      </c>
      <c r="B6608" t="s">
        <v>15056</v>
      </c>
      <c r="C6608" t="s">
        <v>15057</v>
      </c>
      <c r="D6608" t="s">
        <v>20</v>
      </c>
      <c r="E6608" t="s">
        <v>39</v>
      </c>
      <c r="F6608">
        <v>0</v>
      </c>
      <c r="G6608">
        <v>0</v>
      </c>
      <c r="H6608">
        <v>3</v>
      </c>
      <c r="I6608" s="3">
        <v>408.82</v>
      </c>
      <c r="J6608" s="3">
        <v>64.95</v>
      </c>
      <c r="L6608">
        <v>7309</v>
      </c>
      <c r="M6608" t="s">
        <v>12045</v>
      </c>
      <c r="N6608" t="s">
        <v>30</v>
      </c>
      <c r="O6608" t="s">
        <v>31</v>
      </c>
      <c r="P6608" t="str">
        <f t="shared" si="83"/>
        <v>15208</v>
      </c>
    </row>
    <row r="6609" spans="1:16" x14ac:dyDescent="0.25">
      <c r="A6609" t="str">
        <f>"1130174F00119    00"</f>
        <v>1130174F00119    00</v>
      </c>
      <c r="B6609" t="s">
        <v>15058</v>
      </c>
      <c r="C6609" t="s">
        <v>15059</v>
      </c>
      <c r="E6609" t="s">
        <v>39</v>
      </c>
      <c r="F6609">
        <v>0</v>
      </c>
      <c r="G6609">
        <v>0</v>
      </c>
      <c r="H6609">
        <v>2</v>
      </c>
      <c r="I6609" s="3">
        <v>249.06</v>
      </c>
      <c r="J6609" s="3">
        <v>59.87</v>
      </c>
      <c r="L6609">
        <v>7307</v>
      </c>
      <c r="M6609" t="s">
        <v>12045</v>
      </c>
      <c r="N6609" t="s">
        <v>30</v>
      </c>
      <c r="O6609" t="s">
        <v>31</v>
      </c>
      <c r="P6609" t="str">
        <f t="shared" si="83"/>
        <v>15208</v>
      </c>
    </row>
    <row r="6610" spans="1:16" x14ac:dyDescent="0.25">
      <c r="A6610" t="str">
        <f>"1130174F00125    00"</f>
        <v>1130174F00125    00</v>
      </c>
      <c r="B6610" t="s">
        <v>15060</v>
      </c>
      <c r="C6610" t="s">
        <v>15061</v>
      </c>
      <c r="D6610" t="s">
        <v>20</v>
      </c>
      <c r="E6610" t="s">
        <v>39</v>
      </c>
      <c r="F6610">
        <v>0</v>
      </c>
      <c r="G6610">
        <v>0</v>
      </c>
      <c r="H6610">
        <v>2</v>
      </c>
      <c r="I6610" s="3">
        <v>1139.8</v>
      </c>
      <c r="J6610" s="3">
        <v>0</v>
      </c>
      <c r="K6610" t="s">
        <v>15062</v>
      </c>
      <c r="L6610">
        <v>7241</v>
      </c>
      <c r="M6610" t="s">
        <v>12045</v>
      </c>
      <c r="N6610" t="s">
        <v>30</v>
      </c>
      <c r="O6610" t="s">
        <v>31</v>
      </c>
      <c r="P6610" t="str">
        <f t="shared" si="83"/>
        <v>15208</v>
      </c>
    </row>
    <row r="6611" spans="1:16" x14ac:dyDescent="0.25">
      <c r="A6611" t="str">
        <f>"1130174F00126    00"</f>
        <v>1130174F00126    00</v>
      </c>
      <c r="B6611" t="s">
        <v>15060</v>
      </c>
      <c r="C6611" t="s">
        <v>14528</v>
      </c>
      <c r="D6611" t="s">
        <v>20</v>
      </c>
      <c r="E6611" t="s">
        <v>39</v>
      </c>
      <c r="F6611">
        <v>0</v>
      </c>
      <c r="G6611">
        <v>0</v>
      </c>
      <c r="H6611">
        <v>4</v>
      </c>
      <c r="I6611" s="3">
        <v>218.8</v>
      </c>
      <c r="J6611" s="3">
        <v>26.95</v>
      </c>
      <c r="K6611" t="s">
        <v>15062</v>
      </c>
      <c r="L6611">
        <v>7421</v>
      </c>
      <c r="M6611" t="s">
        <v>12045</v>
      </c>
      <c r="N6611" t="s">
        <v>30</v>
      </c>
      <c r="O6611" t="s">
        <v>31</v>
      </c>
      <c r="P6611" t="str">
        <f t="shared" si="83"/>
        <v>15208</v>
      </c>
    </row>
    <row r="6612" spans="1:16" x14ac:dyDescent="0.25">
      <c r="A6612" t="str">
        <f>"1130174F00131    00"</f>
        <v>1130174F00131    00</v>
      </c>
      <c r="B6612" t="s">
        <v>15063</v>
      </c>
      <c r="C6612" t="s">
        <v>14528</v>
      </c>
      <c r="D6612" t="s">
        <v>20</v>
      </c>
      <c r="E6612" t="s">
        <v>39</v>
      </c>
      <c r="F6612">
        <v>0</v>
      </c>
      <c r="G6612">
        <v>0</v>
      </c>
      <c r="H6612">
        <v>19</v>
      </c>
      <c r="I6612" s="3">
        <v>438.94</v>
      </c>
      <c r="J6612" s="3">
        <v>412.01</v>
      </c>
      <c r="K6612" t="s">
        <v>1008</v>
      </c>
      <c r="P6612" t="str">
        <f>""</f>
        <v/>
      </c>
    </row>
    <row r="6613" spans="1:16" x14ac:dyDescent="0.25">
      <c r="A6613" t="str">
        <f>"1130174F00132    00"</f>
        <v>1130174F00132    00</v>
      </c>
      <c r="B6613" t="s">
        <v>15064</v>
      </c>
      <c r="C6613" t="s">
        <v>15065</v>
      </c>
      <c r="E6613" t="s">
        <v>39</v>
      </c>
      <c r="F6613">
        <v>0</v>
      </c>
      <c r="G6613">
        <v>0</v>
      </c>
      <c r="H6613">
        <v>2</v>
      </c>
      <c r="I6613" s="3">
        <v>1768.82</v>
      </c>
      <c r="J6613" s="3">
        <v>176.88</v>
      </c>
      <c r="L6613">
        <v>7227</v>
      </c>
      <c r="M6613" t="s">
        <v>12045</v>
      </c>
      <c r="N6613" t="s">
        <v>30</v>
      </c>
      <c r="O6613" t="s">
        <v>31</v>
      </c>
      <c r="P6613" t="str">
        <f>"15208"</f>
        <v>15208</v>
      </c>
    </row>
    <row r="6614" spans="1:16" x14ac:dyDescent="0.25">
      <c r="A6614" t="str">
        <f>"1130174F00133    00"</f>
        <v>1130174F00133    00</v>
      </c>
      <c r="B6614" t="s">
        <v>15066</v>
      </c>
      <c r="C6614" t="s">
        <v>14528</v>
      </c>
      <c r="D6614" t="s">
        <v>20</v>
      </c>
      <c r="E6614" t="s">
        <v>39</v>
      </c>
      <c r="F6614">
        <v>0</v>
      </c>
      <c r="G6614">
        <v>0</v>
      </c>
      <c r="H6614">
        <v>17</v>
      </c>
      <c r="I6614" s="3">
        <v>264.23</v>
      </c>
      <c r="J6614" s="3">
        <v>298.63</v>
      </c>
      <c r="K6614" t="s">
        <v>1008</v>
      </c>
      <c r="P6614" t="str">
        <f>""</f>
        <v/>
      </c>
    </row>
    <row r="6615" spans="1:16" x14ac:dyDescent="0.25">
      <c r="A6615" t="str">
        <f>"1130174F00137    00"</f>
        <v>1130174F00137    00</v>
      </c>
      <c r="B6615" t="s">
        <v>15067</v>
      </c>
      <c r="C6615" t="s">
        <v>14528</v>
      </c>
      <c r="D6615" t="s">
        <v>20</v>
      </c>
      <c r="E6615" t="s">
        <v>39</v>
      </c>
      <c r="F6615">
        <v>0</v>
      </c>
      <c r="G6615">
        <v>0</v>
      </c>
      <c r="H6615">
        <v>19</v>
      </c>
      <c r="I6615" s="3">
        <v>438.94</v>
      </c>
      <c r="J6615" s="3">
        <v>412.01</v>
      </c>
      <c r="L6615">
        <v>7217</v>
      </c>
      <c r="M6615" t="s">
        <v>12045</v>
      </c>
      <c r="N6615" t="s">
        <v>30</v>
      </c>
      <c r="O6615" t="s">
        <v>31</v>
      </c>
      <c r="P6615" t="str">
        <f>"15208"</f>
        <v>15208</v>
      </c>
    </row>
    <row r="6616" spans="1:16" x14ac:dyDescent="0.25">
      <c r="A6616" t="str">
        <f>"1130174F00139    00"</f>
        <v>1130174F00139    00</v>
      </c>
      <c r="B6616" t="s">
        <v>15068</v>
      </c>
      <c r="C6616" t="s">
        <v>14528</v>
      </c>
      <c r="D6616" t="s">
        <v>20</v>
      </c>
      <c r="E6616" t="s">
        <v>39</v>
      </c>
      <c r="F6616">
        <v>0</v>
      </c>
      <c r="G6616">
        <v>0</v>
      </c>
      <c r="H6616">
        <v>2</v>
      </c>
      <c r="I6616" s="3">
        <v>22.88</v>
      </c>
      <c r="J6616" s="3">
        <v>0</v>
      </c>
      <c r="L6616">
        <v>7209</v>
      </c>
      <c r="M6616" t="s">
        <v>12045</v>
      </c>
      <c r="N6616" t="s">
        <v>30</v>
      </c>
      <c r="O6616" t="s">
        <v>31</v>
      </c>
      <c r="P6616" t="str">
        <f>"15208"</f>
        <v>15208</v>
      </c>
    </row>
    <row r="6617" spans="1:16" x14ac:dyDescent="0.25">
      <c r="A6617" t="str">
        <f>"1130174F00140    00"</f>
        <v>1130174F00140    00</v>
      </c>
      <c r="B6617" t="s">
        <v>15069</v>
      </c>
      <c r="C6617" t="s">
        <v>15070</v>
      </c>
      <c r="D6617" t="s">
        <v>20</v>
      </c>
      <c r="E6617" t="s">
        <v>39</v>
      </c>
      <c r="F6617">
        <v>0</v>
      </c>
      <c r="G6617">
        <v>0</v>
      </c>
      <c r="H6617">
        <v>3</v>
      </c>
      <c r="I6617" s="3">
        <v>2426.94</v>
      </c>
      <c r="J6617" s="3">
        <v>151.44</v>
      </c>
      <c r="L6617">
        <v>7209</v>
      </c>
      <c r="M6617" t="s">
        <v>12045</v>
      </c>
      <c r="N6617" t="s">
        <v>30</v>
      </c>
      <c r="O6617" t="s">
        <v>31</v>
      </c>
      <c r="P6617" t="str">
        <f>"15208"</f>
        <v>15208</v>
      </c>
    </row>
    <row r="6618" spans="1:16" x14ac:dyDescent="0.25">
      <c r="A6618" t="str">
        <f>"1130174F00141    00"</f>
        <v>1130174F00141    00</v>
      </c>
      <c r="B6618" t="s">
        <v>15071</v>
      </c>
      <c r="C6618" t="s">
        <v>15072</v>
      </c>
      <c r="D6618" t="s">
        <v>20</v>
      </c>
      <c r="E6618" t="s">
        <v>39</v>
      </c>
      <c r="F6618">
        <v>0</v>
      </c>
      <c r="G6618">
        <v>0</v>
      </c>
      <c r="H6618">
        <v>3</v>
      </c>
      <c r="I6618" s="3">
        <v>543.24</v>
      </c>
      <c r="J6618" s="3">
        <v>36.22</v>
      </c>
      <c r="K6618" t="s">
        <v>15073</v>
      </c>
      <c r="L6618">
        <v>9725</v>
      </c>
      <c r="M6618" t="s">
        <v>11939</v>
      </c>
      <c r="N6618" t="s">
        <v>30</v>
      </c>
      <c r="O6618" t="s">
        <v>31</v>
      </c>
      <c r="P6618" t="str">
        <f>"15235"</f>
        <v>15235</v>
      </c>
    </row>
    <row r="6619" spans="1:16" x14ac:dyDescent="0.25">
      <c r="A6619" t="str">
        <f>"1130174F00142    00"</f>
        <v>1130174F00142    00</v>
      </c>
      <c r="B6619" t="s">
        <v>15071</v>
      </c>
      <c r="C6619" t="s">
        <v>15074</v>
      </c>
      <c r="D6619" t="s">
        <v>20</v>
      </c>
      <c r="E6619" t="s">
        <v>39</v>
      </c>
      <c r="F6619">
        <v>0</v>
      </c>
      <c r="G6619">
        <v>0</v>
      </c>
      <c r="H6619">
        <v>2</v>
      </c>
      <c r="I6619" s="3">
        <v>1174.1199999999999</v>
      </c>
      <c r="J6619" s="3">
        <v>0</v>
      </c>
      <c r="K6619" t="s">
        <v>15073</v>
      </c>
      <c r="L6619">
        <v>9725</v>
      </c>
      <c r="M6619" t="s">
        <v>11939</v>
      </c>
      <c r="N6619" t="s">
        <v>30</v>
      </c>
      <c r="O6619" t="s">
        <v>31</v>
      </c>
      <c r="P6619" t="str">
        <f>"15235"</f>
        <v>15235</v>
      </c>
    </row>
    <row r="6620" spans="1:16" x14ac:dyDescent="0.25">
      <c r="A6620" t="str">
        <f>"1130174F00143    00"</f>
        <v>1130174F00143    00</v>
      </c>
      <c r="B6620" t="s">
        <v>15075</v>
      </c>
      <c r="C6620" t="s">
        <v>15076</v>
      </c>
      <c r="D6620" t="s">
        <v>20</v>
      </c>
      <c r="E6620" t="s">
        <v>39</v>
      </c>
      <c r="F6620">
        <v>0</v>
      </c>
      <c r="G6620">
        <v>0</v>
      </c>
      <c r="H6620">
        <v>17</v>
      </c>
      <c r="I6620" s="3">
        <v>13117.19</v>
      </c>
      <c r="J6620" s="3">
        <v>11449.95</v>
      </c>
      <c r="L6620">
        <v>2571</v>
      </c>
      <c r="M6620" t="s">
        <v>15077</v>
      </c>
      <c r="N6620" t="s">
        <v>15078</v>
      </c>
      <c r="O6620" t="s">
        <v>1413</v>
      </c>
      <c r="P6620" t="str">
        <f>"28601"</f>
        <v>28601</v>
      </c>
    </row>
    <row r="6621" spans="1:16" x14ac:dyDescent="0.25">
      <c r="A6621" t="str">
        <f>"1130174F00153    00"</f>
        <v>1130174F00153    00</v>
      </c>
      <c r="B6621" t="s">
        <v>11624</v>
      </c>
      <c r="C6621" t="s">
        <v>15079</v>
      </c>
      <c r="D6621" t="s">
        <v>20</v>
      </c>
      <c r="E6621" t="s">
        <v>39</v>
      </c>
      <c r="F6621">
        <v>0</v>
      </c>
      <c r="G6621">
        <v>0</v>
      </c>
      <c r="H6621">
        <v>3</v>
      </c>
      <c r="I6621" s="3">
        <v>1274.5</v>
      </c>
      <c r="J6621" s="3">
        <v>0.69</v>
      </c>
      <c r="L6621">
        <v>557</v>
      </c>
      <c r="M6621" t="s">
        <v>11623</v>
      </c>
      <c r="N6621" t="s">
        <v>30</v>
      </c>
      <c r="O6621" t="s">
        <v>31</v>
      </c>
      <c r="P6621" t="str">
        <f>"15208"</f>
        <v>15208</v>
      </c>
    </row>
    <row r="6622" spans="1:16" x14ac:dyDescent="0.25">
      <c r="A6622" t="str">
        <f>"1130174F00156    00"</f>
        <v>1130174F00156    00</v>
      </c>
      <c r="B6622" t="s">
        <v>15080</v>
      </c>
      <c r="C6622" t="s">
        <v>14528</v>
      </c>
      <c r="D6622" t="s">
        <v>20</v>
      </c>
      <c r="E6622" t="s">
        <v>39</v>
      </c>
      <c r="F6622">
        <v>0</v>
      </c>
      <c r="G6622">
        <v>0</v>
      </c>
      <c r="H6622">
        <v>9</v>
      </c>
      <c r="I6622" s="3">
        <v>1097.33</v>
      </c>
      <c r="J6622" s="3">
        <v>1234.1600000000001</v>
      </c>
      <c r="L6622">
        <v>649</v>
      </c>
      <c r="M6622" t="s">
        <v>15081</v>
      </c>
      <c r="N6622" t="s">
        <v>30</v>
      </c>
      <c r="O6622" t="s">
        <v>31</v>
      </c>
      <c r="P6622" t="str">
        <f>"15204"</f>
        <v>15204</v>
      </c>
    </row>
    <row r="6623" spans="1:16" x14ac:dyDescent="0.25">
      <c r="A6623" t="str">
        <f>"1130174F00158    00"</f>
        <v>1130174F00158    00</v>
      </c>
      <c r="B6623" t="s">
        <v>15082</v>
      </c>
      <c r="C6623" t="s">
        <v>14528</v>
      </c>
      <c r="D6623" t="s">
        <v>20</v>
      </c>
      <c r="E6623" t="s">
        <v>39</v>
      </c>
      <c r="F6623">
        <v>0</v>
      </c>
      <c r="G6623">
        <v>0</v>
      </c>
      <c r="H6623">
        <v>3</v>
      </c>
      <c r="I6623" s="3">
        <v>28.62</v>
      </c>
      <c r="J6623" s="3">
        <v>1.92</v>
      </c>
      <c r="K6623" t="s">
        <v>15083</v>
      </c>
      <c r="L6623">
        <v>7224</v>
      </c>
      <c r="M6623" t="s">
        <v>12045</v>
      </c>
      <c r="N6623" t="s">
        <v>30</v>
      </c>
      <c r="O6623" t="s">
        <v>31</v>
      </c>
      <c r="P6623" t="str">
        <f>"15208"</f>
        <v>15208</v>
      </c>
    </row>
    <row r="6624" spans="1:16" x14ac:dyDescent="0.25">
      <c r="A6624" t="str">
        <f>"1130174F00165    00"</f>
        <v>1130174F00165    00</v>
      </c>
      <c r="B6624" t="s">
        <v>15084</v>
      </c>
      <c r="C6624" t="s">
        <v>15085</v>
      </c>
      <c r="D6624" t="s">
        <v>20</v>
      </c>
      <c r="E6624" t="s">
        <v>39</v>
      </c>
      <c r="F6624">
        <v>0</v>
      </c>
      <c r="G6624">
        <v>0</v>
      </c>
      <c r="H6624">
        <v>5</v>
      </c>
      <c r="I6624" s="3">
        <v>1814.02</v>
      </c>
      <c r="J6624" s="3">
        <v>433.17</v>
      </c>
      <c r="K6624" t="s">
        <v>15086</v>
      </c>
      <c r="L6624">
        <v>215</v>
      </c>
      <c r="M6624" t="s">
        <v>15087</v>
      </c>
      <c r="N6624" t="s">
        <v>30</v>
      </c>
      <c r="O6624" t="s">
        <v>31</v>
      </c>
      <c r="P6624" t="str">
        <f>"15235"</f>
        <v>15235</v>
      </c>
    </row>
    <row r="6625" spans="1:16" x14ac:dyDescent="0.25">
      <c r="A6625" t="str">
        <f>"1130174F00166    00"</f>
        <v>1130174F00166    00</v>
      </c>
      <c r="B6625" t="s">
        <v>15088</v>
      </c>
      <c r="C6625" t="s">
        <v>14528</v>
      </c>
      <c r="D6625" t="s">
        <v>20</v>
      </c>
      <c r="E6625" t="s">
        <v>39</v>
      </c>
      <c r="F6625">
        <v>0</v>
      </c>
      <c r="G6625">
        <v>0</v>
      </c>
      <c r="H6625">
        <v>17</v>
      </c>
      <c r="I6625" s="3">
        <v>264.23</v>
      </c>
      <c r="J6625" s="3">
        <v>298.63</v>
      </c>
      <c r="L6625">
        <v>7244</v>
      </c>
      <c r="M6625" t="s">
        <v>12045</v>
      </c>
      <c r="N6625" t="s">
        <v>30</v>
      </c>
      <c r="O6625" t="s">
        <v>31</v>
      </c>
      <c r="P6625" t="str">
        <f>"15208"</f>
        <v>15208</v>
      </c>
    </row>
    <row r="6626" spans="1:16" x14ac:dyDescent="0.25">
      <c r="A6626" t="str">
        <f>"1130174F00169    00"</f>
        <v>1130174F00169    00</v>
      </c>
      <c r="B6626" t="s">
        <v>15089</v>
      </c>
      <c r="C6626" t="s">
        <v>15090</v>
      </c>
      <c r="D6626" t="s">
        <v>20</v>
      </c>
      <c r="E6626" t="s">
        <v>39</v>
      </c>
      <c r="F6626">
        <v>0</v>
      </c>
      <c r="G6626">
        <v>0</v>
      </c>
      <c r="H6626">
        <v>19</v>
      </c>
      <c r="I6626" s="3">
        <v>8229.5</v>
      </c>
      <c r="J6626" s="3">
        <v>5845.23</v>
      </c>
      <c r="L6626">
        <v>1652</v>
      </c>
      <c r="M6626" t="s">
        <v>11695</v>
      </c>
      <c r="N6626" t="s">
        <v>30</v>
      </c>
      <c r="O6626" t="s">
        <v>31</v>
      </c>
      <c r="P6626" t="str">
        <f>"15206"</f>
        <v>15206</v>
      </c>
    </row>
    <row r="6627" spans="1:16" x14ac:dyDescent="0.25">
      <c r="A6627" t="str">
        <f>"1130174F00170    00"</f>
        <v>1130174F00170    00</v>
      </c>
      <c r="B6627" t="s">
        <v>15091</v>
      </c>
      <c r="C6627" t="s">
        <v>15092</v>
      </c>
      <c r="D6627" t="s">
        <v>20</v>
      </c>
      <c r="E6627" t="s">
        <v>39</v>
      </c>
      <c r="F6627">
        <v>0</v>
      </c>
      <c r="G6627">
        <v>0</v>
      </c>
      <c r="H6627">
        <v>3</v>
      </c>
      <c r="I6627" s="3">
        <v>213.36</v>
      </c>
      <c r="J6627" s="3">
        <v>21.32</v>
      </c>
      <c r="K6627" t="s">
        <v>15093</v>
      </c>
      <c r="L6627">
        <v>452</v>
      </c>
      <c r="M6627" t="s">
        <v>15094</v>
      </c>
      <c r="N6627" t="s">
        <v>30</v>
      </c>
      <c r="O6627" t="s">
        <v>31</v>
      </c>
      <c r="P6627" t="str">
        <f>"15235"</f>
        <v>15235</v>
      </c>
    </row>
    <row r="6628" spans="1:16" x14ac:dyDescent="0.25">
      <c r="A6628" t="str">
        <f>"1130174F00175    00"</f>
        <v>1130174F00175    00</v>
      </c>
      <c r="B6628" t="s">
        <v>15095</v>
      </c>
      <c r="C6628" t="s">
        <v>15096</v>
      </c>
      <c r="D6628" t="s">
        <v>20</v>
      </c>
      <c r="E6628" t="s">
        <v>39</v>
      </c>
      <c r="F6628">
        <v>0</v>
      </c>
      <c r="G6628">
        <v>0</v>
      </c>
      <c r="H6628">
        <v>1</v>
      </c>
      <c r="I6628" s="3">
        <v>644.24</v>
      </c>
      <c r="J6628" s="3">
        <v>0</v>
      </c>
      <c r="L6628">
        <v>4885</v>
      </c>
      <c r="M6628" t="s">
        <v>15097</v>
      </c>
      <c r="N6628" t="s">
        <v>30</v>
      </c>
      <c r="O6628" t="s">
        <v>31</v>
      </c>
      <c r="P6628" t="str">
        <f>"15237"</f>
        <v>15237</v>
      </c>
    </row>
    <row r="6629" spans="1:16" x14ac:dyDescent="0.25">
      <c r="A6629" t="str">
        <f>"1130174F00178    00"</f>
        <v>1130174F00178    00</v>
      </c>
      <c r="B6629" t="s">
        <v>14809</v>
      </c>
      <c r="C6629" t="s">
        <v>15098</v>
      </c>
      <c r="E6629" t="s">
        <v>39</v>
      </c>
      <c r="F6629">
        <v>0</v>
      </c>
      <c r="G6629">
        <v>0</v>
      </c>
      <c r="H6629">
        <v>6</v>
      </c>
      <c r="I6629" s="3">
        <v>3392.49</v>
      </c>
      <c r="J6629" s="3">
        <v>4195.8500000000004</v>
      </c>
      <c r="L6629">
        <v>2109</v>
      </c>
      <c r="M6629" t="s">
        <v>5024</v>
      </c>
      <c r="N6629" t="s">
        <v>30</v>
      </c>
      <c r="O6629" t="s">
        <v>31</v>
      </c>
      <c r="P6629" t="str">
        <f>"15221"</f>
        <v>15221</v>
      </c>
    </row>
    <row r="6630" spans="1:16" x14ac:dyDescent="0.25">
      <c r="A6630" t="str">
        <f>"1130174F00180    00"</f>
        <v>1130174F00180    00</v>
      </c>
      <c r="B6630" t="s">
        <v>15099</v>
      </c>
      <c r="C6630" t="s">
        <v>15100</v>
      </c>
      <c r="D6630" t="s">
        <v>20</v>
      </c>
      <c r="E6630" t="s">
        <v>39</v>
      </c>
      <c r="F6630">
        <v>0</v>
      </c>
      <c r="G6630">
        <v>0</v>
      </c>
      <c r="H6630">
        <v>11</v>
      </c>
      <c r="I6630" s="3">
        <v>9288.64</v>
      </c>
      <c r="J6630" s="3">
        <v>9812.81</v>
      </c>
      <c r="L6630">
        <v>230</v>
      </c>
      <c r="M6630" t="s">
        <v>15101</v>
      </c>
      <c r="N6630" t="s">
        <v>30</v>
      </c>
      <c r="O6630" t="s">
        <v>31</v>
      </c>
      <c r="P6630" t="str">
        <f>"15235"</f>
        <v>15235</v>
      </c>
    </row>
    <row r="6631" spans="1:16" x14ac:dyDescent="0.25">
      <c r="A6631" t="str">
        <f>"1130174F00182    00"</f>
        <v>1130174F00182    00</v>
      </c>
      <c r="B6631" t="s">
        <v>15102</v>
      </c>
      <c r="C6631" t="s">
        <v>15103</v>
      </c>
      <c r="D6631" t="s">
        <v>20</v>
      </c>
      <c r="E6631" t="s">
        <v>39</v>
      </c>
      <c r="F6631">
        <v>0</v>
      </c>
      <c r="G6631">
        <v>0</v>
      </c>
      <c r="H6631">
        <v>4</v>
      </c>
      <c r="I6631" s="3">
        <v>2231.7600000000002</v>
      </c>
      <c r="J6631" s="3">
        <v>382.16</v>
      </c>
      <c r="L6631">
        <v>109</v>
      </c>
      <c r="M6631" t="s">
        <v>11949</v>
      </c>
      <c r="N6631" t="s">
        <v>1046</v>
      </c>
      <c r="O6631" t="s">
        <v>31</v>
      </c>
      <c r="P6631" t="str">
        <f>"15147"</f>
        <v>15147</v>
      </c>
    </row>
    <row r="6632" spans="1:16" x14ac:dyDescent="0.25">
      <c r="A6632" t="str">
        <f>"1130174F00183    00"</f>
        <v>1130174F00183    00</v>
      </c>
      <c r="B6632" t="s">
        <v>15104</v>
      </c>
      <c r="C6632" t="s">
        <v>14528</v>
      </c>
      <c r="D6632" t="s">
        <v>20</v>
      </c>
      <c r="E6632" t="s">
        <v>39</v>
      </c>
      <c r="F6632">
        <v>0</v>
      </c>
      <c r="G6632">
        <v>0</v>
      </c>
      <c r="H6632">
        <v>17</v>
      </c>
      <c r="I6632" s="3">
        <v>264.23</v>
      </c>
      <c r="J6632" s="3">
        <v>298.63</v>
      </c>
      <c r="K6632" t="s">
        <v>1008</v>
      </c>
      <c r="P6632" t="str">
        <f>""</f>
        <v/>
      </c>
    </row>
    <row r="6633" spans="1:16" x14ac:dyDescent="0.25">
      <c r="A6633" t="str">
        <f>"1130174F00184    00"</f>
        <v>1130174F00184    00</v>
      </c>
      <c r="B6633" t="s">
        <v>15105</v>
      </c>
      <c r="C6633" t="s">
        <v>15106</v>
      </c>
      <c r="D6633" t="s">
        <v>20</v>
      </c>
      <c r="E6633" t="s">
        <v>39</v>
      </c>
      <c r="F6633">
        <v>0</v>
      </c>
      <c r="G6633">
        <v>0</v>
      </c>
      <c r="H6633">
        <v>9</v>
      </c>
      <c r="I6633" s="3">
        <v>321.18</v>
      </c>
      <c r="J6633" s="3">
        <v>344.87</v>
      </c>
      <c r="L6633">
        <v>7332</v>
      </c>
      <c r="M6633" t="s">
        <v>12045</v>
      </c>
      <c r="N6633" t="s">
        <v>30</v>
      </c>
      <c r="O6633" t="s">
        <v>31</v>
      </c>
      <c r="P6633" t="str">
        <f>"15208"</f>
        <v>15208</v>
      </c>
    </row>
    <row r="6634" spans="1:16" x14ac:dyDescent="0.25">
      <c r="A6634" t="str">
        <f>"1130174F00185    00"</f>
        <v>1130174F00185    00</v>
      </c>
      <c r="B6634" t="s">
        <v>15107</v>
      </c>
      <c r="C6634" t="s">
        <v>15108</v>
      </c>
      <c r="D6634" t="s">
        <v>20</v>
      </c>
      <c r="E6634" t="s">
        <v>39</v>
      </c>
      <c r="F6634">
        <v>0</v>
      </c>
      <c r="G6634">
        <v>0</v>
      </c>
      <c r="H6634">
        <v>14</v>
      </c>
      <c r="I6634" s="3">
        <v>8186.79</v>
      </c>
      <c r="J6634" s="3">
        <v>5444.54</v>
      </c>
      <c r="L6634">
        <v>8926</v>
      </c>
      <c r="M6634" t="s">
        <v>11939</v>
      </c>
      <c r="N6634" t="s">
        <v>30</v>
      </c>
      <c r="O6634" t="s">
        <v>31</v>
      </c>
      <c r="P6634" t="str">
        <f>"15235"</f>
        <v>15235</v>
      </c>
    </row>
    <row r="6635" spans="1:16" x14ac:dyDescent="0.25">
      <c r="A6635" t="str">
        <f>"1130174F00186    00"</f>
        <v>1130174F00186    00</v>
      </c>
      <c r="B6635" t="s">
        <v>15109</v>
      </c>
      <c r="C6635" t="s">
        <v>15110</v>
      </c>
      <c r="D6635" t="s">
        <v>20</v>
      </c>
      <c r="E6635" t="s">
        <v>39</v>
      </c>
      <c r="F6635">
        <v>0</v>
      </c>
      <c r="G6635">
        <v>0</v>
      </c>
      <c r="H6635">
        <v>13</v>
      </c>
      <c r="I6635" s="3">
        <v>693.68</v>
      </c>
      <c r="J6635" s="3">
        <v>595.49</v>
      </c>
      <c r="L6635">
        <v>7336</v>
      </c>
      <c r="M6635" t="s">
        <v>12045</v>
      </c>
      <c r="N6635" t="s">
        <v>30</v>
      </c>
      <c r="O6635" t="s">
        <v>31</v>
      </c>
      <c r="P6635" t="str">
        <f>"15208"</f>
        <v>15208</v>
      </c>
    </row>
    <row r="6636" spans="1:16" x14ac:dyDescent="0.25">
      <c r="A6636" t="str">
        <f>"1130174F00188    00"</f>
        <v>1130174F00188    00</v>
      </c>
      <c r="B6636" t="s">
        <v>15111</v>
      </c>
      <c r="C6636" t="s">
        <v>15112</v>
      </c>
      <c r="D6636" t="s">
        <v>20</v>
      </c>
      <c r="E6636" t="s">
        <v>39</v>
      </c>
      <c r="F6636">
        <v>0</v>
      </c>
      <c r="G6636">
        <v>0</v>
      </c>
      <c r="H6636">
        <v>1</v>
      </c>
      <c r="I6636" s="3">
        <v>474.6</v>
      </c>
      <c r="J6636" s="3">
        <v>0</v>
      </c>
      <c r="K6636" t="s">
        <v>15113</v>
      </c>
      <c r="L6636">
        <v>5044</v>
      </c>
      <c r="M6636" t="s">
        <v>8947</v>
      </c>
      <c r="N6636" t="s">
        <v>30</v>
      </c>
      <c r="O6636" t="s">
        <v>31</v>
      </c>
      <c r="P6636" t="str">
        <f>"15201"</f>
        <v>15201</v>
      </c>
    </row>
    <row r="6637" spans="1:16" x14ac:dyDescent="0.25">
      <c r="A6637" t="str">
        <f>"1130174F00190    00"</f>
        <v>1130174F00190    00</v>
      </c>
      <c r="B6637" t="s">
        <v>15114</v>
      </c>
      <c r="C6637" t="s">
        <v>15115</v>
      </c>
      <c r="D6637" t="s">
        <v>20</v>
      </c>
      <c r="E6637" t="s">
        <v>39</v>
      </c>
      <c r="F6637">
        <v>0</v>
      </c>
      <c r="G6637">
        <v>0</v>
      </c>
      <c r="H6637">
        <v>1</v>
      </c>
      <c r="I6637" s="3">
        <v>659.49</v>
      </c>
      <c r="J6637" s="3">
        <v>0</v>
      </c>
      <c r="K6637" t="s">
        <v>15116</v>
      </c>
      <c r="L6637">
        <v>7344</v>
      </c>
      <c r="M6637" t="s">
        <v>15117</v>
      </c>
      <c r="N6637" t="s">
        <v>30</v>
      </c>
      <c r="O6637" t="s">
        <v>31</v>
      </c>
      <c r="P6637" t="str">
        <f>"15208"</f>
        <v>15208</v>
      </c>
    </row>
    <row r="6638" spans="1:16" x14ac:dyDescent="0.25">
      <c r="A6638" t="str">
        <f>"1130174F00191    00"</f>
        <v>1130174F00191    00</v>
      </c>
      <c r="B6638" t="s">
        <v>15118</v>
      </c>
      <c r="C6638" t="s">
        <v>15119</v>
      </c>
      <c r="D6638" t="s">
        <v>20</v>
      </c>
      <c r="E6638" t="s">
        <v>39</v>
      </c>
      <c r="F6638">
        <v>0</v>
      </c>
      <c r="G6638">
        <v>0</v>
      </c>
      <c r="H6638">
        <v>6</v>
      </c>
      <c r="I6638" s="3">
        <v>1646.96</v>
      </c>
      <c r="J6638" s="3">
        <v>467.28</v>
      </c>
      <c r="L6638">
        <v>127</v>
      </c>
      <c r="M6638" t="s">
        <v>15120</v>
      </c>
      <c r="N6638" t="s">
        <v>30</v>
      </c>
      <c r="O6638" t="s">
        <v>31</v>
      </c>
      <c r="P6638" t="str">
        <f>"15235"</f>
        <v>15235</v>
      </c>
    </row>
    <row r="6639" spans="1:16" x14ac:dyDescent="0.25">
      <c r="A6639" t="str">
        <f>"1130174F00192    00"</f>
        <v>1130174F00192    00</v>
      </c>
      <c r="B6639" t="s">
        <v>15121</v>
      </c>
      <c r="C6639" t="s">
        <v>15122</v>
      </c>
      <c r="D6639" t="s">
        <v>20</v>
      </c>
      <c r="E6639" t="s">
        <v>39</v>
      </c>
      <c r="F6639">
        <v>0</v>
      </c>
      <c r="G6639">
        <v>0</v>
      </c>
      <c r="H6639">
        <v>4</v>
      </c>
      <c r="I6639" s="3">
        <v>362.96</v>
      </c>
      <c r="J6639" s="3">
        <v>43.11</v>
      </c>
      <c r="K6639" t="s">
        <v>15123</v>
      </c>
      <c r="L6639">
        <v>7348</v>
      </c>
      <c r="M6639" t="s">
        <v>12045</v>
      </c>
      <c r="N6639" t="s">
        <v>30</v>
      </c>
      <c r="O6639" t="s">
        <v>31</v>
      </c>
      <c r="P6639" t="str">
        <f>"15208"</f>
        <v>15208</v>
      </c>
    </row>
    <row r="6640" spans="1:16" x14ac:dyDescent="0.25">
      <c r="A6640" t="str">
        <f>"1130174F00199    00"</f>
        <v>1130174F00199    00</v>
      </c>
      <c r="B6640" t="s">
        <v>15124</v>
      </c>
      <c r="C6640" t="s">
        <v>15125</v>
      </c>
      <c r="E6640" t="s">
        <v>39</v>
      </c>
      <c r="F6640">
        <v>0</v>
      </c>
      <c r="G6640">
        <v>0</v>
      </c>
      <c r="H6640">
        <v>1</v>
      </c>
      <c r="I6640" s="3">
        <v>487.6</v>
      </c>
      <c r="J6640" s="3">
        <v>292.56</v>
      </c>
      <c r="K6640" t="s">
        <v>15126</v>
      </c>
      <c r="L6640">
        <v>7341</v>
      </c>
      <c r="M6640" t="s">
        <v>11269</v>
      </c>
      <c r="N6640" t="s">
        <v>30</v>
      </c>
      <c r="O6640" t="s">
        <v>31</v>
      </c>
      <c r="P6640" t="str">
        <f>"15208"</f>
        <v>15208</v>
      </c>
    </row>
    <row r="6641" spans="1:16" x14ac:dyDescent="0.25">
      <c r="A6641" t="str">
        <f>"1130174F00200    00"</f>
        <v>1130174F00200    00</v>
      </c>
      <c r="B6641" t="s">
        <v>15127</v>
      </c>
      <c r="C6641" t="s">
        <v>15128</v>
      </c>
      <c r="E6641" t="s">
        <v>39</v>
      </c>
      <c r="F6641">
        <v>0</v>
      </c>
      <c r="G6641">
        <v>0</v>
      </c>
      <c r="H6641">
        <v>5</v>
      </c>
      <c r="I6641" s="3">
        <v>1426.08</v>
      </c>
      <c r="J6641" s="3">
        <v>1031.31</v>
      </c>
      <c r="L6641">
        <v>333</v>
      </c>
      <c r="M6641" t="s">
        <v>15129</v>
      </c>
      <c r="N6641" t="s">
        <v>7608</v>
      </c>
      <c r="O6641" t="s">
        <v>31</v>
      </c>
      <c r="P6641" t="str">
        <f>"15068"</f>
        <v>15068</v>
      </c>
    </row>
    <row r="6642" spans="1:16" x14ac:dyDescent="0.25">
      <c r="A6642" t="str">
        <f>"1130174F00203    00"</f>
        <v>1130174F00203    00</v>
      </c>
      <c r="B6642" t="s">
        <v>15130</v>
      </c>
      <c r="C6642" t="s">
        <v>15131</v>
      </c>
      <c r="D6642" t="s">
        <v>20</v>
      </c>
      <c r="E6642" t="s">
        <v>39</v>
      </c>
      <c r="F6642">
        <v>0</v>
      </c>
      <c r="G6642">
        <v>0</v>
      </c>
      <c r="H6642">
        <v>5</v>
      </c>
      <c r="I6642" s="3">
        <v>3075.91</v>
      </c>
      <c r="J6642" s="3">
        <v>603.25</v>
      </c>
      <c r="L6642">
        <v>7327</v>
      </c>
      <c r="M6642" t="s">
        <v>11269</v>
      </c>
      <c r="N6642" t="s">
        <v>30</v>
      </c>
      <c r="O6642" t="s">
        <v>31</v>
      </c>
      <c r="P6642" t="str">
        <f>"15208"</f>
        <v>15208</v>
      </c>
    </row>
    <row r="6643" spans="1:16" x14ac:dyDescent="0.25">
      <c r="A6643" t="str">
        <f>"1130174F00205    00"</f>
        <v>1130174F00205    00</v>
      </c>
      <c r="B6643" t="s">
        <v>15132</v>
      </c>
      <c r="C6643" t="s">
        <v>15133</v>
      </c>
      <c r="D6643" t="s">
        <v>20</v>
      </c>
      <c r="E6643" t="s">
        <v>39</v>
      </c>
      <c r="F6643">
        <v>0</v>
      </c>
      <c r="G6643">
        <v>0</v>
      </c>
      <c r="H6643">
        <v>6</v>
      </c>
      <c r="I6643" s="3">
        <v>1776.79</v>
      </c>
      <c r="J6643" s="3">
        <v>428.75</v>
      </c>
      <c r="L6643">
        <v>7323</v>
      </c>
      <c r="M6643" t="s">
        <v>11269</v>
      </c>
      <c r="N6643" t="s">
        <v>30</v>
      </c>
      <c r="O6643" t="s">
        <v>31</v>
      </c>
      <c r="P6643" t="str">
        <f>"15208"</f>
        <v>15208</v>
      </c>
    </row>
    <row r="6644" spans="1:16" x14ac:dyDescent="0.25">
      <c r="A6644" t="str">
        <f>"1130174F00209    00"</f>
        <v>1130174F00209    00</v>
      </c>
      <c r="B6644" t="s">
        <v>14211</v>
      </c>
      <c r="C6644" t="s">
        <v>15134</v>
      </c>
      <c r="D6644" t="s">
        <v>20</v>
      </c>
      <c r="E6644" t="s">
        <v>39</v>
      </c>
      <c r="F6644">
        <v>0</v>
      </c>
      <c r="G6644">
        <v>0</v>
      </c>
      <c r="H6644">
        <v>4</v>
      </c>
      <c r="I6644" s="3">
        <v>2933.62</v>
      </c>
      <c r="J6644" s="3">
        <v>13.98</v>
      </c>
      <c r="L6644">
        <v>1100</v>
      </c>
      <c r="M6644" t="s">
        <v>7837</v>
      </c>
      <c r="N6644" t="s">
        <v>5847</v>
      </c>
      <c r="O6644" t="s">
        <v>31</v>
      </c>
      <c r="P6644" t="str">
        <f>"15139"</f>
        <v>15139</v>
      </c>
    </row>
    <row r="6645" spans="1:16" x14ac:dyDescent="0.25">
      <c r="A6645" t="str">
        <f>"1130174F00211    00"</f>
        <v>1130174F00211    00</v>
      </c>
      <c r="B6645" t="s">
        <v>15135</v>
      </c>
      <c r="C6645" t="s">
        <v>15136</v>
      </c>
      <c r="D6645" t="s">
        <v>20</v>
      </c>
      <c r="E6645" t="s">
        <v>39</v>
      </c>
      <c r="F6645">
        <v>0</v>
      </c>
      <c r="G6645">
        <v>0</v>
      </c>
      <c r="H6645">
        <v>6</v>
      </c>
      <c r="I6645" s="3">
        <v>3871.59</v>
      </c>
      <c r="J6645" s="3">
        <v>750.65</v>
      </c>
      <c r="L6645">
        <v>7311</v>
      </c>
      <c r="M6645" t="s">
        <v>11269</v>
      </c>
      <c r="N6645" t="s">
        <v>30</v>
      </c>
      <c r="O6645" t="s">
        <v>31</v>
      </c>
      <c r="P6645" t="str">
        <f>"15208"</f>
        <v>15208</v>
      </c>
    </row>
    <row r="6646" spans="1:16" x14ac:dyDescent="0.25">
      <c r="A6646" t="str">
        <f>"1130174F00212    00"</f>
        <v>1130174F00212    00</v>
      </c>
      <c r="B6646" t="s">
        <v>15137</v>
      </c>
      <c r="C6646" t="s">
        <v>15138</v>
      </c>
      <c r="E6646" t="s">
        <v>39</v>
      </c>
      <c r="F6646">
        <v>0</v>
      </c>
      <c r="G6646">
        <v>0</v>
      </c>
      <c r="H6646">
        <v>1</v>
      </c>
      <c r="I6646" s="3">
        <v>491.61</v>
      </c>
      <c r="J6646" s="3">
        <v>0</v>
      </c>
      <c r="K6646" t="s">
        <v>15139</v>
      </c>
      <c r="L6646">
        <v>1600</v>
      </c>
      <c r="M6646" t="s">
        <v>15140</v>
      </c>
      <c r="N6646" t="s">
        <v>13062</v>
      </c>
      <c r="O6646" t="s">
        <v>606</v>
      </c>
      <c r="P6646" t="str">
        <f>"30043"</f>
        <v>30043</v>
      </c>
    </row>
    <row r="6647" spans="1:16" x14ac:dyDescent="0.25">
      <c r="A6647" t="str">
        <f>"1130174F00213    00"</f>
        <v>1130174F00213    00</v>
      </c>
      <c r="B6647" t="s">
        <v>15141</v>
      </c>
      <c r="C6647" t="s">
        <v>15142</v>
      </c>
      <c r="D6647" t="s">
        <v>20</v>
      </c>
      <c r="E6647" t="s">
        <v>39</v>
      </c>
      <c r="F6647">
        <v>0</v>
      </c>
      <c r="G6647">
        <v>0</v>
      </c>
      <c r="H6647">
        <v>19</v>
      </c>
      <c r="I6647" s="3">
        <v>16974.2</v>
      </c>
      <c r="J6647" s="3">
        <v>17702.29</v>
      </c>
      <c r="L6647">
        <v>1015</v>
      </c>
      <c r="M6647" t="s">
        <v>14308</v>
      </c>
      <c r="N6647" t="s">
        <v>30</v>
      </c>
      <c r="O6647" t="s">
        <v>31</v>
      </c>
      <c r="P6647" t="str">
        <f>"15208"</f>
        <v>15208</v>
      </c>
    </row>
    <row r="6648" spans="1:16" x14ac:dyDescent="0.25">
      <c r="A6648" t="str">
        <f>"1130174F00226    00"</f>
        <v>1130174F00226    00</v>
      </c>
      <c r="B6648" t="s">
        <v>15143</v>
      </c>
      <c r="C6648" t="s">
        <v>15144</v>
      </c>
      <c r="D6648" t="s">
        <v>20</v>
      </c>
      <c r="E6648" t="s">
        <v>39</v>
      </c>
      <c r="F6648">
        <v>0</v>
      </c>
      <c r="G6648">
        <v>0</v>
      </c>
      <c r="H6648">
        <v>18</v>
      </c>
      <c r="I6648" s="3">
        <v>21414.93</v>
      </c>
      <c r="J6648" s="3">
        <v>22456.57</v>
      </c>
      <c r="L6648">
        <v>7227</v>
      </c>
      <c r="M6648" t="s">
        <v>11269</v>
      </c>
      <c r="N6648" t="s">
        <v>30</v>
      </c>
      <c r="O6648" t="s">
        <v>31</v>
      </c>
      <c r="P6648" t="str">
        <f>"15208"</f>
        <v>15208</v>
      </c>
    </row>
    <row r="6649" spans="1:16" x14ac:dyDescent="0.25">
      <c r="A6649" t="str">
        <f>"1130174F00228    00"</f>
        <v>1130174F00228    00</v>
      </c>
      <c r="B6649" t="s">
        <v>15145</v>
      </c>
      <c r="C6649" t="s">
        <v>15146</v>
      </c>
      <c r="D6649" t="s">
        <v>20</v>
      </c>
      <c r="E6649" t="s">
        <v>39</v>
      </c>
      <c r="F6649">
        <v>0</v>
      </c>
      <c r="G6649">
        <v>0</v>
      </c>
      <c r="H6649">
        <v>5</v>
      </c>
      <c r="I6649" s="3">
        <v>947.07</v>
      </c>
      <c r="J6649" s="3">
        <v>177.44</v>
      </c>
      <c r="K6649" t="s">
        <v>8122</v>
      </c>
      <c r="L6649">
        <v>999</v>
      </c>
      <c r="M6649" t="s">
        <v>8123</v>
      </c>
      <c r="N6649" t="s">
        <v>8124</v>
      </c>
      <c r="O6649" t="s">
        <v>658</v>
      </c>
      <c r="P6649" t="str">
        <f>"73118"</f>
        <v>73118</v>
      </c>
    </row>
    <row r="6650" spans="1:16" x14ac:dyDescent="0.25">
      <c r="A6650" t="str">
        <f>"1130174F00229    00"</f>
        <v>1130174F00229    00</v>
      </c>
      <c r="B6650" t="s">
        <v>15147</v>
      </c>
      <c r="C6650" t="s">
        <v>14893</v>
      </c>
      <c r="D6650" t="s">
        <v>20</v>
      </c>
      <c r="E6650" t="s">
        <v>39</v>
      </c>
      <c r="F6650">
        <v>0</v>
      </c>
      <c r="G6650">
        <v>0</v>
      </c>
      <c r="H6650">
        <v>12</v>
      </c>
      <c r="I6650" s="3">
        <v>128.19999999999999</v>
      </c>
      <c r="J6650" s="3">
        <v>65.75</v>
      </c>
      <c r="L6650">
        <v>7223</v>
      </c>
      <c r="M6650" t="s">
        <v>11269</v>
      </c>
      <c r="N6650" t="s">
        <v>30</v>
      </c>
      <c r="O6650" t="s">
        <v>31</v>
      </c>
      <c r="P6650" t="str">
        <f>"15208"</f>
        <v>15208</v>
      </c>
    </row>
    <row r="6651" spans="1:16" x14ac:dyDescent="0.25">
      <c r="A6651" t="str">
        <f>"1130174F00230    00"</f>
        <v>1130174F00230    00</v>
      </c>
      <c r="B6651" t="s">
        <v>15148</v>
      </c>
      <c r="C6651" t="s">
        <v>15149</v>
      </c>
      <c r="D6651" t="s">
        <v>20</v>
      </c>
      <c r="E6651" t="s">
        <v>39</v>
      </c>
      <c r="F6651">
        <v>0</v>
      </c>
      <c r="G6651">
        <v>0</v>
      </c>
      <c r="H6651">
        <v>7</v>
      </c>
      <c r="I6651" s="3">
        <v>2179.5300000000002</v>
      </c>
      <c r="J6651" s="3">
        <v>630.72</v>
      </c>
      <c r="L6651">
        <v>7219</v>
      </c>
      <c r="M6651" t="s">
        <v>11269</v>
      </c>
      <c r="N6651" t="s">
        <v>30</v>
      </c>
      <c r="O6651" t="s">
        <v>31</v>
      </c>
      <c r="P6651" t="str">
        <f>"15208"</f>
        <v>15208</v>
      </c>
    </row>
    <row r="6652" spans="1:16" x14ac:dyDescent="0.25">
      <c r="A6652" t="str">
        <f>"1130174F00234    00"</f>
        <v>1130174F00234    00</v>
      </c>
      <c r="B6652" t="s">
        <v>15150</v>
      </c>
      <c r="C6652" t="s">
        <v>15151</v>
      </c>
      <c r="D6652" t="s">
        <v>20</v>
      </c>
      <c r="E6652" t="s">
        <v>39</v>
      </c>
      <c r="F6652">
        <v>0</v>
      </c>
      <c r="G6652">
        <v>0</v>
      </c>
      <c r="H6652">
        <v>4</v>
      </c>
      <c r="I6652" s="3">
        <v>1747.41</v>
      </c>
      <c r="J6652" s="3">
        <v>106.26</v>
      </c>
      <c r="M6652" t="s">
        <v>15152</v>
      </c>
      <c r="N6652" t="s">
        <v>30</v>
      </c>
      <c r="O6652" t="s">
        <v>31</v>
      </c>
      <c r="P6652" t="str">
        <f>"15206"</f>
        <v>15206</v>
      </c>
    </row>
    <row r="6653" spans="1:16" x14ac:dyDescent="0.25">
      <c r="A6653" t="str">
        <f>"1130174F00240    00"</f>
        <v>1130174F00240    00</v>
      </c>
      <c r="B6653" t="s">
        <v>15153</v>
      </c>
      <c r="C6653" t="s">
        <v>15154</v>
      </c>
      <c r="D6653" t="s">
        <v>20</v>
      </c>
      <c r="E6653" t="s">
        <v>39</v>
      </c>
      <c r="F6653">
        <v>0</v>
      </c>
      <c r="G6653">
        <v>0</v>
      </c>
      <c r="H6653">
        <v>3</v>
      </c>
      <c r="I6653" s="3">
        <v>1639.3</v>
      </c>
      <c r="J6653" s="3">
        <v>0.02</v>
      </c>
      <c r="L6653">
        <v>7212</v>
      </c>
      <c r="M6653" t="s">
        <v>11269</v>
      </c>
      <c r="N6653" t="s">
        <v>30</v>
      </c>
      <c r="O6653" t="s">
        <v>31</v>
      </c>
      <c r="P6653" t="str">
        <f>"15208"</f>
        <v>15208</v>
      </c>
    </row>
    <row r="6654" spans="1:16" x14ac:dyDescent="0.25">
      <c r="A6654" t="str">
        <f>"1130174F00243    00"</f>
        <v>1130174F00243    00</v>
      </c>
      <c r="B6654" t="s">
        <v>15155</v>
      </c>
      <c r="C6654" t="s">
        <v>15156</v>
      </c>
      <c r="D6654" t="s">
        <v>20</v>
      </c>
      <c r="E6654" t="s">
        <v>39</v>
      </c>
      <c r="F6654">
        <v>0</v>
      </c>
      <c r="G6654">
        <v>0</v>
      </c>
      <c r="H6654">
        <v>9</v>
      </c>
      <c r="I6654" s="3">
        <v>8640.2000000000007</v>
      </c>
      <c r="J6654" s="3">
        <v>3271.69</v>
      </c>
      <c r="K6654" t="s">
        <v>15157</v>
      </c>
      <c r="L6654">
        <v>7218</v>
      </c>
      <c r="M6654" t="s">
        <v>11269</v>
      </c>
      <c r="N6654" t="s">
        <v>30</v>
      </c>
      <c r="O6654" t="s">
        <v>31</v>
      </c>
      <c r="P6654" t="str">
        <f>"15208"</f>
        <v>15208</v>
      </c>
    </row>
    <row r="6655" spans="1:16" x14ac:dyDescent="0.25">
      <c r="A6655" t="str">
        <f>"1130174F00247    00"</f>
        <v>1130174F00247    00</v>
      </c>
      <c r="B6655" t="s">
        <v>15158</v>
      </c>
      <c r="C6655" t="s">
        <v>15159</v>
      </c>
      <c r="D6655" t="s">
        <v>20</v>
      </c>
      <c r="E6655" t="s">
        <v>39</v>
      </c>
      <c r="F6655">
        <v>0</v>
      </c>
      <c r="G6655">
        <v>0</v>
      </c>
      <c r="H6655">
        <v>19</v>
      </c>
      <c r="I6655" s="3">
        <v>7841.42</v>
      </c>
      <c r="J6655" s="3">
        <v>5213.67</v>
      </c>
      <c r="L6655">
        <v>220</v>
      </c>
      <c r="M6655" t="s">
        <v>15160</v>
      </c>
      <c r="N6655" t="s">
        <v>30</v>
      </c>
      <c r="O6655" t="s">
        <v>31</v>
      </c>
      <c r="P6655" t="str">
        <f>"15235"</f>
        <v>15235</v>
      </c>
    </row>
    <row r="6656" spans="1:16" x14ac:dyDescent="0.25">
      <c r="A6656" t="str">
        <f>"1130174F00248    00"</f>
        <v>1130174F00248    00</v>
      </c>
      <c r="B6656" t="s">
        <v>15161</v>
      </c>
      <c r="C6656" t="s">
        <v>15162</v>
      </c>
      <c r="D6656" t="s">
        <v>20</v>
      </c>
      <c r="E6656" t="s">
        <v>39</v>
      </c>
      <c r="F6656">
        <v>0</v>
      </c>
      <c r="G6656">
        <v>0</v>
      </c>
      <c r="H6656">
        <v>3</v>
      </c>
      <c r="I6656" s="3">
        <v>343.73</v>
      </c>
      <c r="J6656" s="3">
        <v>4.96</v>
      </c>
      <c r="L6656">
        <v>7228</v>
      </c>
      <c r="M6656" t="s">
        <v>11269</v>
      </c>
      <c r="N6656" t="s">
        <v>30</v>
      </c>
      <c r="O6656" t="s">
        <v>31</v>
      </c>
      <c r="P6656" t="str">
        <f>"15208"</f>
        <v>15208</v>
      </c>
    </row>
    <row r="6657" spans="1:16" x14ac:dyDescent="0.25">
      <c r="A6657" t="str">
        <f>"1130174F00250    00"</f>
        <v>1130174F00250    00</v>
      </c>
      <c r="B6657" t="s">
        <v>15163</v>
      </c>
      <c r="C6657" t="s">
        <v>15164</v>
      </c>
      <c r="D6657" t="s">
        <v>20</v>
      </c>
      <c r="E6657" t="s">
        <v>39</v>
      </c>
      <c r="F6657">
        <v>0</v>
      </c>
      <c r="G6657">
        <v>0</v>
      </c>
      <c r="H6657">
        <v>16</v>
      </c>
      <c r="I6657" s="3">
        <v>12154.52</v>
      </c>
      <c r="J6657" s="3">
        <v>9268.3700000000008</v>
      </c>
      <c r="K6657" t="s">
        <v>15165</v>
      </c>
      <c r="L6657">
        <v>8017</v>
      </c>
      <c r="M6657" t="s">
        <v>15166</v>
      </c>
      <c r="N6657" t="s">
        <v>15167</v>
      </c>
      <c r="O6657" t="s">
        <v>1184</v>
      </c>
      <c r="P6657" t="str">
        <f>"20770"</f>
        <v>20770</v>
      </c>
    </row>
    <row r="6658" spans="1:16" x14ac:dyDescent="0.25">
      <c r="A6658" t="str">
        <f>"1130174F00260    00"</f>
        <v>1130174F00260    00</v>
      </c>
      <c r="B6658" t="s">
        <v>15168</v>
      </c>
      <c r="C6658" t="s">
        <v>15169</v>
      </c>
      <c r="D6658" t="s">
        <v>20</v>
      </c>
      <c r="E6658" t="s">
        <v>39</v>
      </c>
      <c r="F6658">
        <v>0</v>
      </c>
      <c r="G6658">
        <v>0</v>
      </c>
      <c r="H6658">
        <v>16</v>
      </c>
      <c r="I6658" s="3">
        <v>5404.49</v>
      </c>
      <c r="J6658" s="3">
        <v>5310.4</v>
      </c>
      <c r="L6658">
        <v>7304</v>
      </c>
      <c r="M6658" t="s">
        <v>11269</v>
      </c>
      <c r="N6658" t="s">
        <v>30</v>
      </c>
      <c r="O6658" t="s">
        <v>31</v>
      </c>
      <c r="P6658" t="str">
        <f>"15208"</f>
        <v>15208</v>
      </c>
    </row>
    <row r="6659" spans="1:16" x14ac:dyDescent="0.25">
      <c r="A6659" t="str">
        <f>"1130174F00264    00"</f>
        <v>1130174F00264    00</v>
      </c>
      <c r="B6659" t="s">
        <v>15170</v>
      </c>
      <c r="C6659" t="s">
        <v>15171</v>
      </c>
      <c r="E6659" t="s">
        <v>39</v>
      </c>
      <c r="F6659">
        <v>0</v>
      </c>
      <c r="G6659">
        <v>0</v>
      </c>
      <c r="H6659">
        <v>1</v>
      </c>
      <c r="I6659" s="3">
        <v>114.08</v>
      </c>
      <c r="J6659" s="3">
        <v>22.82</v>
      </c>
      <c r="L6659">
        <v>539</v>
      </c>
      <c r="M6659" t="s">
        <v>15172</v>
      </c>
      <c r="N6659" t="s">
        <v>30</v>
      </c>
      <c r="O6659" t="s">
        <v>31</v>
      </c>
      <c r="P6659" t="str">
        <f>"15235"</f>
        <v>15235</v>
      </c>
    </row>
    <row r="6660" spans="1:16" x14ac:dyDescent="0.25">
      <c r="A6660" t="str">
        <f>"1130174F00266    00"</f>
        <v>1130174F00266    00</v>
      </c>
      <c r="B6660" t="s">
        <v>15173</v>
      </c>
      <c r="C6660" t="s">
        <v>15174</v>
      </c>
      <c r="D6660" t="s">
        <v>20</v>
      </c>
      <c r="E6660" t="s">
        <v>39</v>
      </c>
      <c r="F6660">
        <v>0</v>
      </c>
      <c r="G6660">
        <v>0</v>
      </c>
      <c r="H6660">
        <v>11</v>
      </c>
      <c r="I6660" s="3">
        <v>2667.12</v>
      </c>
      <c r="J6660" s="3">
        <v>1343.79</v>
      </c>
      <c r="L6660">
        <v>7316</v>
      </c>
      <c r="M6660" t="s">
        <v>11269</v>
      </c>
      <c r="N6660" t="s">
        <v>30</v>
      </c>
      <c r="O6660" t="s">
        <v>31</v>
      </c>
      <c r="P6660" t="str">
        <f>"15208"</f>
        <v>15208</v>
      </c>
    </row>
    <row r="6661" spans="1:16" x14ac:dyDescent="0.25">
      <c r="A6661" t="str">
        <f>"1130174F00269    00"</f>
        <v>1130174F00269    00</v>
      </c>
      <c r="B6661" t="s">
        <v>15175</v>
      </c>
      <c r="C6661" t="s">
        <v>15176</v>
      </c>
      <c r="D6661" t="s">
        <v>20</v>
      </c>
      <c r="E6661" t="s">
        <v>39</v>
      </c>
      <c r="F6661">
        <v>0</v>
      </c>
      <c r="G6661">
        <v>0</v>
      </c>
      <c r="H6661">
        <v>9</v>
      </c>
      <c r="I6661" s="3">
        <v>6166.11</v>
      </c>
      <c r="J6661" s="3">
        <v>1940.09</v>
      </c>
      <c r="L6661">
        <v>7322</v>
      </c>
      <c r="M6661" t="s">
        <v>11269</v>
      </c>
      <c r="N6661" t="s">
        <v>30</v>
      </c>
      <c r="O6661" t="s">
        <v>31</v>
      </c>
      <c r="P6661" t="str">
        <f>"15208"</f>
        <v>15208</v>
      </c>
    </row>
    <row r="6662" spans="1:16" x14ac:dyDescent="0.25">
      <c r="A6662" t="str">
        <f>"1130174F00273    00"</f>
        <v>1130174F00273    00</v>
      </c>
      <c r="B6662" t="s">
        <v>14719</v>
      </c>
      <c r="C6662" t="s">
        <v>15177</v>
      </c>
      <c r="D6662" t="s">
        <v>20</v>
      </c>
      <c r="E6662" t="s">
        <v>39</v>
      </c>
      <c r="F6662">
        <v>0</v>
      </c>
      <c r="G6662">
        <v>0</v>
      </c>
      <c r="H6662">
        <v>1</v>
      </c>
      <c r="I6662" s="3">
        <v>749.07</v>
      </c>
      <c r="J6662" s="3">
        <v>0</v>
      </c>
      <c r="L6662">
        <v>7124</v>
      </c>
      <c r="M6662" t="s">
        <v>15178</v>
      </c>
      <c r="N6662" t="s">
        <v>30</v>
      </c>
      <c r="O6662" t="s">
        <v>31</v>
      </c>
      <c r="P6662" t="str">
        <f>"15235"</f>
        <v>15235</v>
      </c>
    </row>
    <row r="6663" spans="1:16" x14ac:dyDescent="0.25">
      <c r="A6663" t="str">
        <f>"1130174F00274    00"</f>
        <v>1130174F00274    00</v>
      </c>
      <c r="B6663" t="s">
        <v>15179</v>
      </c>
      <c r="C6663" t="s">
        <v>15180</v>
      </c>
      <c r="E6663" t="s">
        <v>39</v>
      </c>
      <c r="F6663">
        <v>0</v>
      </c>
      <c r="G6663">
        <v>0</v>
      </c>
      <c r="H6663">
        <v>1</v>
      </c>
      <c r="I6663" s="3">
        <v>47.41</v>
      </c>
      <c r="J6663" s="3">
        <v>37.93</v>
      </c>
      <c r="L6663">
        <v>6800</v>
      </c>
      <c r="M6663" t="s">
        <v>9086</v>
      </c>
      <c r="N6663" t="s">
        <v>30</v>
      </c>
      <c r="O6663" t="s">
        <v>31</v>
      </c>
      <c r="P6663" t="str">
        <f>"15208"</f>
        <v>15208</v>
      </c>
    </row>
    <row r="6664" spans="1:16" x14ac:dyDescent="0.25">
      <c r="A6664" t="str">
        <f>"1130174F00289    00"</f>
        <v>1130174F00289    00</v>
      </c>
      <c r="B6664" t="s">
        <v>15181</v>
      </c>
      <c r="C6664" t="s">
        <v>15182</v>
      </c>
      <c r="D6664" t="s">
        <v>20</v>
      </c>
      <c r="E6664" t="s">
        <v>39</v>
      </c>
      <c r="F6664">
        <v>0</v>
      </c>
      <c r="G6664">
        <v>0</v>
      </c>
      <c r="H6664">
        <v>18</v>
      </c>
      <c r="I6664" s="3">
        <v>13533.83</v>
      </c>
      <c r="J6664" s="3">
        <v>11988.42</v>
      </c>
      <c r="K6664" t="s">
        <v>15183</v>
      </c>
      <c r="L6664">
        <v>7309</v>
      </c>
      <c r="M6664" t="s">
        <v>12395</v>
      </c>
      <c r="N6664" t="s">
        <v>30</v>
      </c>
      <c r="O6664" t="s">
        <v>31</v>
      </c>
      <c r="P6664" t="str">
        <f>"15208"</f>
        <v>15208</v>
      </c>
    </row>
    <row r="6665" spans="1:16" x14ac:dyDescent="0.25">
      <c r="A6665" t="str">
        <f>"1130174F00290    00"</f>
        <v>1130174F00290    00</v>
      </c>
      <c r="B6665" t="s">
        <v>15184</v>
      </c>
      <c r="C6665" t="s">
        <v>15185</v>
      </c>
      <c r="D6665" t="s">
        <v>20</v>
      </c>
      <c r="E6665" t="s">
        <v>39</v>
      </c>
      <c r="F6665">
        <v>0</v>
      </c>
      <c r="G6665">
        <v>0</v>
      </c>
      <c r="H6665">
        <v>1</v>
      </c>
      <c r="I6665" s="3">
        <v>463.81</v>
      </c>
      <c r="J6665" s="3">
        <v>0</v>
      </c>
      <c r="L6665">
        <v>7866</v>
      </c>
      <c r="M6665" t="s">
        <v>2398</v>
      </c>
      <c r="N6665" t="s">
        <v>1046</v>
      </c>
      <c r="O6665" t="s">
        <v>31</v>
      </c>
      <c r="P6665" t="str">
        <f>"15147"</f>
        <v>15147</v>
      </c>
    </row>
    <row r="6666" spans="1:16" x14ac:dyDescent="0.25">
      <c r="A6666" t="str">
        <f>"1130174F00295    00"</f>
        <v>1130174F00295    00</v>
      </c>
      <c r="B6666" t="s">
        <v>15186</v>
      </c>
      <c r="C6666" t="s">
        <v>14943</v>
      </c>
      <c r="E6666" t="s">
        <v>39</v>
      </c>
      <c r="F6666">
        <v>0</v>
      </c>
      <c r="G6666">
        <v>0</v>
      </c>
      <c r="H6666">
        <v>3</v>
      </c>
      <c r="I6666" s="3">
        <v>45.19</v>
      </c>
      <c r="J6666" s="3">
        <v>62.39</v>
      </c>
      <c r="L6666">
        <v>7334</v>
      </c>
      <c r="M6666" t="s">
        <v>12487</v>
      </c>
      <c r="N6666" t="s">
        <v>30</v>
      </c>
      <c r="O6666" t="s">
        <v>31</v>
      </c>
      <c r="P6666" t="str">
        <f>"15208"</f>
        <v>15208</v>
      </c>
    </row>
    <row r="6667" spans="1:16" x14ac:dyDescent="0.25">
      <c r="A6667" t="str">
        <f>"1130174F00297    00"</f>
        <v>1130174F00297    00</v>
      </c>
      <c r="B6667" t="s">
        <v>15187</v>
      </c>
      <c r="C6667" t="s">
        <v>15188</v>
      </c>
      <c r="D6667" t="s">
        <v>20</v>
      </c>
      <c r="E6667" t="s">
        <v>39</v>
      </c>
      <c r="F6667">
        <v>0</v>
      </c>
      <c r="G6667">
        <v>0</v>
      </c>
      <c r="H6667">
        <v>19</v>
      </c>
      <c r="I6667" s="3">
        <v>15845.77</v>
      </c>
      <c r="J6667" s="3">
        <v>16072.57</v>
      </c>
      <c r="L6667">
        <v>7239</v>
      </c>
      <c r="M6667" t="s">
        <v>12395</v>
      </c>
      <c r="N6667" t="s">
        <v>30</v>
      </c>
      <c r="O6667" t="s">
        <v>31</v>
      </c>
      <c r="P6667" t="str">
        <f>"15208"</f>
        <v>15208</v>
      </c>
    </row>
    <row r="6668" spans="1:16" x14ac:dyDescent="0.25">
      <c r="A6668" t="str">
        <f>"1130174F00298    00"</f>
        <v>1130174F00298    00</v>
      </c>
      <c r="B6668" t="s">
        <v>15189</v>
      </c>
      <c r="C6668" t="s">
        <v>15190</v>
      </c>
      <c r="D6668" t="s">
        <v>20</v>
      </c>
      <c r="E6668" t="s">
        <v>39</v>
      </c>
      <c r="F6668">
        <v>0</v>
      </c>
      <c r="G6668">
        <v>0</v>
      </c>
      <c r="H6668">
        <v>19</v>
      </c>
      <c r="I6668" s="3">
        <v>11135.43</v>
      </c>
      <c r="J6668" s="3">
        <v>10864.48</v>
      </c>
      <c r="K6668" t="s">
        <v>15191</v>
      </c>
      <c r="L6668">
        <v>7237</v>
      </c>
      <c r="M6668" t="s">
        <v>12395</v>
      </c>
      <c r="N6668" t="s">
        <v>30</v>
      </c>
      <c r="O6668" t="s">
        <v>31</v>
      </c>
      <c r="P6668" t="str">
        <f>"15208"</f>
        <v>15208</v>
      </c>
    </row>
    <row r="6669" spans="1:16" x14ac:dyDescent="0.25">
      <c r="A6669" t="str">
        <f>"1130174F00303    00"</f>
        <v>1130174F00303    00</v>
      </c>
      <c r="B6669" t="s">
        <v>15192</v>
      </c>
      <c r="C6669" t="s">
        <v>15193</v>
      </c>
      <c r="E6669" t="s">
        <v>39</v>
      </c>
      <c r="F6669">
        <v>0</v>
      </c>
      <c r="G6669">
        <v>0</v>
      </c>
      <c r="H6669">
        <v>2</v>
      </c>
      <c r="I6669" s="3">
        <v>534.72</v>
      </c>
      <c r="J6669" s="3">
        <v>8.91</v>
      </c>
      <c r="K6669" t="s">
        <v>15194</v>
      </c>
      <c r="L6669">
        <v>339</v>
      </c>
      <c r="M6669" t="s">
        <v>15195</v>
      </c>
      <c r="N6669" t="s">
        <v>295</v>
      </c>
      <c r="O6669" t="s">
        <v>31</v>
      </c>
      <c r="P6669" t="str">
        <f>"15146"</f>
        <v>15146</v>
      </c>
    </row>
    <row r="6670" spans="1:16" x14ac:dyDescent="0.25">
      <c r="A6670" t="str">
        <f>"1130174F00314    00"</f>
        <v>1130174F00314    00</v>
      </c>
      <c r="B6670" t="s">
        <v>15196</v>
      </c>
      <c r="C6670" t="s">
        <v>14943</v>
      </c>
      <c r="D6670" t="s">
        <v>20</v>
      </c>
      <c r="E6670" t="s">
        <v>39</v>
      </c>
      <c r="F6670">
        <v>0</v>
      </c>
      <c r="G6670">
        <v>0</v>
      </c>
      <c r="H6670">
        <v>9</v>
      </c>
      <c r="I6670" s="3">
        <v>720.19</v>
      </c>
      <c r="J6670" s="3">
        <v>413.71</v>
      </c>
      <c r="L6670">
        <v>7218</v>
      </c>
      <c r="M6670" t="s">
        <v>12395</v>
      </c>
      <c r="N6670" t="s">
        <v>30</v>
      </c>
      <c r="O6670" t="s">
        <v>31</v>
      </c>
      <c r="P6670" t="str">
        <f>"15208"</f>
        <v>15208</v>
      </c>
    </row>
    <row r="6671" spans="1:16" x14ac:dyDescent="0.25">
      <c r="A6671" t="str">
        <f>"1130174F00320    00"</f>
        <v>1130174F00320    00</v>
      </c>
      <c r="B6671" t="s">
        <v>15197</v>
      </c>
      <c r="C6671" t="s">
        <v>15198</v>
      </c>
      <c r="D6671" t="s">
        <v>20</v>
      </c>
      <c r="E6671" t="s">
        <v>39</v>
      </c>
      <c r="F6671">
        <v>0</v>
      </c>
      <c r="G6671">
        <v>0</v>
      </c>
      <c r="H6671">
        <v>6</v>
      </c>
      <c r="I6671" s="3">
        <v>959.98</v>
      </c>
      <c r="J6671" s="3">
        <v>254.93</v>
      </c>
      <c r="K6671" t="s">
        <v>15199</v>
      </c>
      <c r="L6671">
        <v>7909</v>
      </c>
      <c r="M6671" t="s">
        <v>15200</v>
      </c>
      <c r="N6671" t="s">
        <v>30</v>
      </c>
      <c r="O6671" t="s">
        <v>31</v>
      </c>
      <c r="P6671" t="str">
        <f>"15208"</f>
        <v>15208</v>
      </c>
    </row>
    <row r="6672" spans="1:16" x14ac:dyDescent="0.25">
      <c r="A6672" t="str">
        <f>"1130174F00323    00"</f>
        <v>1130174F00323    00</v>
      </c>
      <c r="B6672" t="s">
        <v>15201</v>
      </c>
      <c r="C6672" t="s">
        <v>15202</v>
      </c>
      <c r="D6672" t="s">
        <v>20</v>
      </c>
      <c r="E6672" t="s">
        <v>39</v>
      </c>
      <c r="F6672">
        <v>0</v>
      </c>
      <c r="G6672">
        <v>0</v>
      </c>
      <c r="H6672">
        <v>5</v>
      </c>
      <c r="I6672" s="3">
        <v>998.61</v>
      </c>
      <c r="J6672" s="3">
        <v>188.84</v>
      </c>
      <c r="L6672">
        <v>7236</v>
      </c>
      <c r="M6672" t="s">
        <v>12395</v>
      </c>
      <c r="N6672" t="s">
        <v>30</v>
      </c>
      <c r="O6672" t="s">
        <v>31</v>
      </c>
      <c r="P6672" t="str">
        <f>"15208"</f>
        <v>15208</v>
      </c>
    </row>
    <row r="6673" spans="1:16" x14ac:dyDescent="0.25">
      <c r="A6673" t="str">
        <f>"1130174G00001    00"</f>
        <v>1130174G00001    00</v>
      </c>
      <c r="B6673" t="s">
        <v>7884</v>
      </c>
      <c r="C6673" t="s">
        <v>15203</v>
      </c>
      <c r="D6673" t="s">
        <v>20</v>
      </c>
      <c r="E6673" t="s">
        <v>39</v>
      </c>
      <c r="F6673">
        <v>0</v>
      </c>
      <c r="G6673">
        <v>0</v>
      </c>
      <c r="H6673">
        <v>10</v>
      </c>
      <c r="I6673" s="3">
        <v>4659.91</v>
      </c>
      <c r="J6673" s="3">
        <v>4265.8599999999997</v>
      </c>
      <c r="M6673" t="s">
        <v>7886</v>
      </c>
      <c r="N6673" t="s">
        <v>30</v>
      </c>
      <c r="O6673" t="s">
        <v>31</v>
      </c>
      <c r="P6673" t="str">
        <f>"15206"</f>
        <v>15206</v>
      </c>
    </row>
    <row r="6674" spans="1:16" x14ac:dyDescent="0.25">
      <c r="A6674" t="str">
        <f>"1130174G00003    00"</f>
        <v>1130174G00003    00</v>
      </c>
      <c r="B6674" t="s">
        <v>15204</v>
      </c>
      <c r="C6674" t="s">
        <v>15205</v>
      </c>
      <c r="D6674" t="s">
        <v>20</v>
      </c>
      <c r="E6674" t="s">
        <v>39</v>
      </c>
      <c r="F6674">
        <v>0</v>
      </c>
      <c r="G6674">
        <v>0</v>
      </c>
      <c r="H6674">
        <v>19</v>
      </c>
      <c r="I6674" s="3">
        <v>13623.66</v>
      </c>
      <c r="J6674" s="3">
        <v>15150.55</v>
      </c>
      <c r="L6674">
        <v>7439</v>
      </c>
      <c r="M6674" t="s">
        <v>11269</v>
      </c>
      <c r="N6674" t="s">
        <v>30</v>
      </c>
      <c r="O6674" t="s">
        <v>31</v>
      </c>
      <c r="P6674" t="str">
        <f>"15208"</f>
        <v>15208</v>
      </c>
    </row>
    <row r="6675" spans="1:16" x14ac:dyDescent="0.25">
      <c r="A6675" t="str">
        <f>"1130174G00004    00"</f>
        <v>1130174G00004    00</v>
      </c>
      <c r="B6675" t="s">
        <v>15206</v>
      </c>
      <c r="C6675" t="s">
        <v>15207</v>
      </c>
      <c r="D6675" t="s">
        <v>20</v>
      </c>
      <c r="E6675" t="s">
        <v>39</v>
      </c>
      <c r="F6675">
        <v>0</v>
      </c>
      <c r="G6675">
        <v>0</v>
      </c>
      <c r="H6675">
        <v>18</v>
      </c>
      <c r="I6675" s="3">
        <v>9765.9699999999993</v>
      </c>
      <c r="J6675" s="3">
        <v>12304.18</v>
      </c>
      <c r="K6675" t="s">
        <v>15208</v>
      </c>
      <c r="L6675">
        <v>7437</v>
      </c>
      <c r="M6675" t="s">
        <v>11269</v>
      </c>
      <c r="N6675" t="s">
        <v>30</v>
      </c>
      <c r="O6675" t="s">
        <v>31</v>
      </c>
      <c r="P6675" t="str">
        <f>"15208"</f>
        <v>15208</v>
      </c>
    </row>
    <row r="6676" spans="1:16" x14ac:dyDescent="0.25">
      <c r="A6676" t="str">
        <f>"1130174G00005    00"</f>
        <v>1130174G00005    00</v>
      </c>
      <c r="B6676" t="s">
        <v>7884</v>
      </c>
      <c r="C6676" t="s">
        <v>15209</v>
      </c>
      <c r="D6676" t="s">
        <v>20</v>
      </c>
      <c r="E6676" t="s">
        <v>39</v>
      </c>
      <c r="F6676">
        <v>0</v>
      </c>
      <c r="G6676">
        <v>0</v>
      </c>
      <c r="H6676">
        <v>2</v>
      </c>
      <c r="I6676" s="3">
        <v>604.36</v>
      </c>
      <c r="J6676" s="3">
        <v>0</v>
      </c>
      <c r="M6676" t="s">
        <v>7886</v>
      </c>
      <c r="N6676" t="s">
        <v>30</v>
      </c>
      <c r="O6676" t="s">
        <v>31</v>
      </c>
      <c r="P6676" t="str">
        <f>"15206"</f>
        <v>15206</v>
      </c>
    </row>
    <row r="6677" spans="1:16" x14ac:dyDescent="0.25">
      <c r="A6677" t="str">
        <f>"1130174G00008    00"</f>
        <v>1130174G00008    00</v>
      </c>
      <c r="B6677" t="s">
        <v>15210</v>
      </c>
      <c r="C6677" t="s">
        <v>14893</v>
      </c>
      <c r="D6677" t="s">
        <v>20</v>
      </c>
      <c r="E6677" t="s">
        <v>39</v>
      </c>
      <c r="F6677">
        <v>0</v>
      </c>
      <c r="G6677">
        <v>0</v>
      </c>
      <c r="H6677">
        <v>7</v>
      </c>
      <c r="I6677" s="3">
        <v>170.39</v>
      </c>
      <c r="J6677" s="3">
        <v>194</v>
      </c>
      <c r="L6677">
        <v>7426</v>
      </c>
      <c r="M6677" t="s">
        <v>11269</v>
      </c>
      <c r="N6677" t="s">
        <v>30</v>
      </c>
      <c r="O6677" t="s">
        <v>31</v>
      </c>
      <c r="P6677" t="str">
        <f>"15208"</f>
        <v>15208</v>
      </c>
    </row>
    <row r="6678" spans="1:16" x14ac:dyDescent="0.25">
      <c r="A6678" t="str">
        <f>"1130174G00013    00"</f>
        <v>1130174G00013    00</v>
      </c>
      <c r="B6678" t="s">
        <v>15211</v>
      </c>
      <c r="C6678" t="s">
        <v>15212</v>
      </c>
      <c r="D6678" t="s">
        <v>20</v>
      </c>
      <c r="E6678" t="s">
        <v>39</v>
      </c>
      <c r="F6678">
        <v>0</v>
      </c>
      <c r="G6678">
        <v>0</v>
      </c>
      <c r="H6678">
        <v>2</v>
      </c>
      <c r="I6678" s="3">
        <v>461.26</v>
      </c>
      <c r="J6678" s="3">
        <v>0</v>
      </c>
      <c r="L6678">
        <v>1121</v>
      </c>
      <c r="M6678" t="s">
        <v>7241</v>
      </c>
      <c r="N6678" t="s">
        <v>30</v>
      </c>
      <c r="O6678" t="s">
        <v>31</v>
      </c>
      <c r="P6678" t="str">
        <f>"15206"</f>
        <v>15206</v>
      </c>
    </row>
    <row r="6679" spans="1:16" x14ac:dyDescent="0.25">
      <c r="A6679" t="str">
        <f>"1130174G00014    00"</f>
        <v>1130174G00014    00</v>
      </c>
      <c r="B6679" t="s">
        <v>15213</v>
      </c>
      <c r="C6679" t="s">
        <v>15214</v>
      </c>
      <c r="E6679" t="s">
        <v>39</v>
      </c>
      <c r="F6679">
        <v>0</v>
      </c>
      <c r="G6679">
        <v>0</v>
      </c>
      <c r="H6679">
        <v>4</v>
      </c>
      <c r="I6679" s="3">
        <v>1168.55</v>
      </c>
      <c r="J6679" s="3">
        <v>387.8</v>
      </c>
      <c r="L6679">
        <v>404</v>
      </c>
      <c r="M6679" t="s">
        <v>12386</v>
      </c>
      <c r="N6679" t="s">
        <v>30</v>
      </c>
      <c r="O6679" t="s">
        <v>31</v>
      </c>
      <c r="P6679" t="str">
        <f>"15235"</f>
        <v>15235</v>
      </c>
    </row>
    <row r="6680" spans="1:16" x14ac:dyDescent="0.25">
      <c r="A6680" t="str">
        <f>"1130174G00016    00"</f>
        <v>1130174G00016    00</v>
      </c>
      <c r="B6680" t="s">
        <v>15215</v>
      </c>
      <c r="C6680" t="s">
        <v>15216</v>
      </c>
      <c r="D6680" t="s">
        <v>20</v>
      </c>
      <c r="E6680" t="s">
        <v>39</v>
      </c>
      <c r="F6680">
        <v>0</v>
      </c>
      <c r="G6680">
        <v>0</v>
      </c>
      <c r="H6680">
        <v>16</v>
      </c>
      <c r="I6680" s="3">
        <v>8350.39</v>
      </c>
      <c r="J6680" s="3">
        <v>12600.51</v>
      </c>
      <c r="L6680">
        <v>7413</v>
      </c>
      <c r="M6680" t="s">
        <v>11269</v>
      </c>
      <c r="N6680" t="s">
        <v>30</v>
      </c>
      <c r="O6680" t="s">
        <v>31</v>
      </c>
      <c r="P6680" t="str">
        <f>"15208"</f>
        <v>15208</v>
      </c>
    </row>
    <row r="6681" spans="1:16" x14ac:dyDescent="0.25">
      <c r="A6681" t="str">
        <f>"1130174G00018    00"</f>
        <v>1130174G00018    00</v>
      </c>
      <c r="B6681" t="s">
        <v>15217</v>
      </c>
      <c r="C6681" t="s">
        <v>15218</v>
      </c>
      <c r="D6681" t="s">
        <v>20</v>
      </c>
      <c r="E6681" t="s">
        <v>39</v>
      </c>
      <c r="F6681">
        <v>0</v>
      </c>
      <c r="G6681">
        <v>0</v>
      </c>
      <c r="H6681">
        <v>2</v>
      </c>
      <c r="I6681" s="3">
        <v>767.95</v>
      </c>
      <c r="J6681" s="3">
        <v>0</v>
      </c>
      <c r="L6681">
        <v>7409</v>
      </c>
      <c r="M6681" t="s">
        <v>11269</v>
      </c>
      <c r="N6681" t="s">
        <v>30</v>
      </c>
      <c r="O6681" t="s">
        <v>31</v>
      </c>
      <c r="P6681" t="str">
        <f>"15208"</f>
        <v>15208</v>
      </c>
    </row>
    <row r="6682" spans="1:16" x14ac:dyDescent="0.25">
      <c r="A6682" t="str">
        <f>"1130174G00019    00"</f>
        <v>1130174G00019    00</v>
      </c>
      <c r="B6682" t="s">
        <v>15219</v>
      </c>
      <c r="C6682" t="s">
        <v>15220</v>
      </c>
      <c r="D6682" t="s">
        <v>20</v>
      </c>
      <c r="E6682" t="s">
        <v>39</v>
      </c>
      <c r="F6682">
        <v>0</v>
      </c>
      <c r="G6682">
        <v>0</v>
      </c>
      <c r="H6682">
        <v>2</v>
      </c>
      <c r="I6682" s="3">
        <v>816.42</v>
      </c>
      <c r="J6682" s="3">
        <v>0</v>
      </c>
      <c r="L6682">
        <v>7404</v>
      </c>
      <c r="M6682" t="s">
        <v>11269</v>
      </c>
      <c r="N6682" t="s">
        <v>30</v>
      </c>
      <c r="O6682" t="s">
        <v>31</v>
      </c>
      <c r="P6682" t="str">
        <f>"15208"</f>
        <v>15208</v>
      </c>
    </row>
    <row r="6683" spans="1:16" x14ac:dyDescent="0.25">
      <c r="A6683" t="str">
        <f>"1130174G00024    00"</f>
        <v>1130174G00024    00</v>
      </c>
      <c r="B6683" t="s">
        <v>15221</v>
      </c>
      <c r="C6683" t="s">
        <v>15222</v>
      </c>
      <c r="D6683" t="s">
        <v>20</v>
      </c>
      <c r="E6683" t="s">
        <v>39</v>
      </c>
      <c r="F6683">
        <v>0</v>
      </c>
      <c r="G6683">
        <v>0</v>
      </c>
      <c r="H6683">
        <v>9</v>
      </c>
      <c r="I6683" s="3">
        <v>8713.33</v>
      </c>
      <c r="J6683" s="3">
        <v>3060.7</v>
      </c>
      <c r="L6683">
        <v>7400</v>
      </c>
      <c r="M6683" t="s">
        <v>12045</v>
      </c>
      <c r="N6683" t="s">
        <v>30</v>
      </c>
      <c r="O6683" t="s">
        <v>31</v>
      </c>
      <c r="P6683" t="str">
        <f>"15208"</f>
        <v>15208</v>
      </c>
    </row>
    <row r="6684" spans="1:16" x14ac:dyDescent="0.25">
      <c r="A6684" t="str">
        <f>"1130174G00026    00"</f>
        <v>1130174G00026    00</v>
      </c>
      <c r="B6684" t="s">
        <v>11875</v>
      </c>
      <c r="C6684" t="s">
        <v>15223</v>
      </c>
      <c r="D6684" t="s">
        <v>20</v>
      </c>
      <c r="E6684" t="s">
        <v>39</v>
      </c>
      <c r="F6684">
        <v>0</v>
      </c>
      <c r="G6684">
        <v>0</v>
      </c>
      <c r="H6684">
        <v>3</v>
      </c>
      <c r="I6684" s="3">
        <v>797.23</v>
      </c>
      <c r="J6684" s="3">
        <v>68.239999999999995</v>
      </c>
      <c r="L6684">
        <v>6389</v>
      </c>
      <c r="M6684" t="s">
        <v>3249</v>
      </c>
      <c r="N6684" t="s">
        <v>30</v>
      </c>
      <c r="O6684" t="s">
        <v>31</v>
      </c>
      <c r="P6684" t="str">
        <f>"15206"</f>
        <v>15206</v>
      </c>
    </row>
    <row r="6685" spans="1:16" x14ac:dyDescent="0.25">
      <c r="A6685" t="str">
        <f>"1130174G00027    00"</f>
        <v>1130174G00027    00</v>
      </c>
      <c r="B6685" t="s">
        <v>15224</v>
      </c>
      <c r="C6685" t="s">
        <v>15225</v>
      </c>
      <c r="D6685" t="s">
        <v>20</v>
      </c>
      <c r="E6685" t="s">
        <v>39</v>
      </c>
      <c r="F6685">
        <v>0</v>
      </c>
      <c r="G6685">
        <v>0</v>
      </c>
      <c r="H6685">
        <v>18</v>
      </c>
      <c r="I6685" s="3">
        <v>7094.28</v>
      </c>
      <c r="J6685" s="3">
        <v>9598.5499999999993</v>
      </c>
      <c r="K6685" t="s">
        <v>15226</v>
      </c>
      <c r="L6685">
        <v>7406</v>
      </c>
      <c r="M6685" t="s">
        <v>12045</v>
      </c>
      <c r="N6685" t="s">
        <v>30</v>
      </c>
      <c r="O6685" t="s">
        <v>31</v>
      </c>
      <c r="P6685" t="str">
        <f>"15208"</f>
        <v>15208</v>
      </c>
    </row>
    <row r="6686" spans="1:16" x14ac:dyDescent="0.25">
      <c r="A6686" t="str">
        <f>"1130174G00033    00"</f>
        <v>1130174G00033    00</v>
      </c>
      <c r="B6686" t="s">
        <v>15227</v>
      </c>
      <c r="C6686" t="s">
        <v>15228</v>
      </c>
      <c r="E6686" t="s">
        <v>39</v>
      </c>
      <c r="F6686">
        <v>0</v>
      </c>
      <c r="G6686">
        <v>0</v>
      </c>
      <c r="H6686">
        <v>1</v>
      </c>
      <c r="I6686" s="3">
        <v>206.03</v>
      </c>
      <c r="J6686" s="3">
        <v>0</v>
      </c>
      <c r="L6686">
        <v>460</v>
      </c>
      <c r="M6686" t="s">
        <v>14198</v>
      </c>
      <c r="N6686" t="s">
        <v>30</v>
      </c>
      <c r="O6686" t="s">
        <v>31</v>
      </c>
      <c r="P6686" t="str">
        <f>"15235"</f>
        <v>15235</v>
      </c>
    </row>
    <row r="6687" spans="1:16" x14ac:dyDescent="0.25">
      <c r="A6687" t="str">
        <f>"1130174G00040    00"</f>
        <v>1130174G00040    00</v>
      </c>
      <c r="B6687" t="s">
        <v>15229</v>
      </c>
      <c r="C6687" t="s">
        <v>15230</v>
      </c>
      <c r="D6687" t="s">
        <v>20</v>
      </c>
      <c r="E6687" t="s">
        <v>39</v>
      </c>
      <c r="F6687">
        <v>0</v>
      </c>
      <c r="G6687">
        <v>0</v>
      </c>
      <c r="H6687">
        <v>5</v>
      </c>
      <c r="I6687" s="3">
        <v>1318.9</v>
      </c>
      <c r="J6687" s="3">
        <v>227.85</v>
      </c>
      <c r="L6687">
        <v>7432</v>
      </c>
      <c r="M6687" t="s">
        <v>12045</v>
      </c>
      <c r="N6687" t="s">
        <v>30</v>
      </c>
      <c r="O6687" t="s">
        <v>31</v>
      </c>
      <c r="P6687" t="str">
        <f>"15208"</f>
        <v>15208</v>
      </c>
    </row>
    <row r="6688" spans="1:16" x14ac:dyDescent="0.25">
      <c r="A6688" t="str">
        <f>"1130174G00044    00"</f>
        <v>1130174G00044    00</v>
      </c>
      <c r="B6688" t="s">
        <v>15231</v>
      </c>
      <c r="C6688" t="s">
        <v>15232</v>
      </c>
      <c r="D6688" t="s">
        <v>33</v>
      </c>
      <c r="E6688" t="s">
        <v>39</v>
      </c>
      <c r="F6688">
        <v>0</v>
      </c>
      <c r="G6688">
        <v>0</v>
      </c>
      <c r="H6688">
        <v>5</v>
      </c>
      <c r="I6688" s="3">
        <v>2500.23</v>
      </c>
      <c r="J6688" s="3">
        <v>82.9</v>
      </c>
      <c r="L6688">
        <v>7440</v>
      </c>
      <c r="M6688" t="s">
        <v>12045</v>
      </c>
      <c r="N6688" t="s">
        <v>30</v>
      </c>
      <c r="O6688" t="s">
        <v>31</v>
      </c>
      <c r="P6688" t="str">
        <f>"15208"</f>
        <v>15208</v>
      </c>
    </row>
    <row r="6689" spans="1:16" x14ac:dyDescent="0.25">
      <c r="A6689" t="str">
        <f>"1130174G00091    00"</f>
        <v>1130174G00091    00</v>
      </c>
      <c r="B6689" t="s">
        <v>15105</v>
      </c>
      <c r="C6689" t="s">
        <v>15233</v>
      </c>
      <c r="D6689" t="s">
        <v>20</v>
      </c>
      <c r="E6689" t="s">
        <v>39</v>
      </c>
      <c r="F6689">
        <v>0</v>
      </c>
      <c r="G6689">
        <v>0</v>
      </c>
      <c r="H6689">
        <v>8</v>
      </c>
      <c r="I6689" s="3">
        <v>1763.62</v>
      </c>
      <c r="J6689" s="3">
        <v>347.2</v>
      </c>
      <c r="L6689">
        <v>7737</v>
      </c>
      <c r="M6689" t="s">
        <v>12045</v>
      </c>
      <c r="N6689" t="s">
        <v>30</v>
      </c>
      <c r="O6689" t="s">
        <v>31</v>
      </c>
      <c r="P6689" t="str">
        <f>"15208"</f>
        <v>15208</v>
      </c>
    </row>
    <row r="6690" spans="1:16" x14ac:dyDescent="0.25">
      <c r="A6690" t="str">
        <f>"1130174G00102    00"</f>
        <v>1130174G00102    00</v>
      </c>
      <c r="B6690" t="s">
        <v>15234</v>
      </c>
      <c r="C6690" t="s">
        <v>15235</v>
      </c>
      <c r="D6690" t="s">
        <v>20</v>
      </c>
      <c r="E6690" t="s">
        <v>39</v>
      </c>
      <c r="F6690">
        <v>0</v>
      </c>
      <c r="G6690">
        <v>0</v>
      </c>
      <c r="H6690">
        <v>19</v>
      </c>
      <c r="I6690" s="3">
        <v>1987.9</v>
      </c>
      <c r="J6690" s="3">
        <v>2063.0700000000002</v>
      </c>
      <c r="P6690" t="str">
        <f>""</f>
        <v/>
      </c>
    </row>
    <row r="6691" spans="1:16" x14ac:dyDescent="0.25">
      <c r="A6691" t="str">
        <f>"1130174G00135    00"</f>
        <v>1130174G00135    00</v>
      </c>
      <c r="B6691" t="s">
        <v>15236</v>
      </c>
      <c r="C6691" t="s">
        <v>13567</v>
      </c>
      <c r="D6691" t="s">
        <v>20</v>
      </c>
      <c r="E6691" t="s">
        <v>39</v>
      </c>
      <c r="F6691">
        <v>0</v>
      </c>
      <c r="G6691">
        <v>0</v>
      </c>
      <c r="H6691">
        <v>17</v>
      </c>
      <c r="I6691" s="3">
        <v>245.82</v>
      </c>
      <c r="J6691" s="3">
        <v>288.58999999999997</v>
      </c>
      <c r="K6691" t="s">
        <v>1008</v>
      </c>
      <c r="P6691" t="str">
        <f>""</f>
        <v/>
      </c>
    </row>
    <row r="6692" spans="1:16" x14ac:dyDescent="0.25">
      <c r="A6692" t="str">
        <f>"1130174G00139    00"</f>
        <v>1130174G00139    00</v>
      </c>
      <c r="B6692" t="s">
        <v>15237</v>
      </c>
      <c r="C6692" t="s">
        <v>15238</v>
      </c>
      <c r="D6692" t="s">
        <v>20</v>
      </c>
      <c r="E6692" t="s">
        <v>39</v>
      </c>
      <c r="F6692">
        <v>0</v>
      </c>
      <c r="G6692">
        <v>0</v>
      </c>
      <c r="H6692">
        <v>2</v>
      </c>
      <c r="I6692" s="3">
        <v>457.09</v>
      </c>
      <c r="J6692" s="3">
        <v>0</v>
      </c>
      <c r="K6692" t="s">
        <v>15239</v>
      </c>
      <c r="L6692">
        <v>7449</v>
      </c>
      <c r="M6692" t="s">
        <v>12045</v>
      </c>
      <c r="N6692" t="s">
        <v>30</v>
      </c>
      <c r="O6692" t="s">
        <v>31</v>
      </c>
      <c r="P6692" t="str">
        <f>"15208"</f>
        <v>15208</v>
      </c>
    </row>
    <row r="6693" spans="1:16" x14ac:dyDescent="0.25">
      <c r="A6693" t="str">
        <f>"1130174G00140    00"</f>
        <v>1130174G00140    00</v>
      </c>
      <c r="B6693" t="s">
        <v>14287</v>
      </c>
      <c r="C6693" t="s">
        <v>14528</v>
      </c>
      <c r="D6693" t="s">
        <v>20</v>
      </c>
      <c r="E6693" t="s">
        <v>39</v>
      </c>
      <c r="F6693">
        <v>0</v>
      </c>
      <c r="G6693">
        <v>0</v>
      </c>
      <c r="H6693">
        <v>7</v>
      </c>
      <c r="I6693" s="3">
        <v>2503.4299999999998</v>
      </c>
      <c r="J6693" s="3">
        <v>3310.03</v>
      </c>
      <c r="K6693" t="s">
        <v>15240</v>
      </c>
      <c r="L6693">
        <v>1407</v>
      </c>
      <c r="M6693" t="s">
        <v>15241</v>
      </c>
      <c r="N6693" t="s">
        <v>30</v>
      </c>
      <c r="O6693" t="s">
        <v>31</v>
      </c>
      <c r="P6693" t="str">
        <f>"15208"</f>
        <v>15208</v>
      </c>
    </row>
    <row r="6694" spans="1:16" x14ac:dyDescent="0.25">
      <c r="A6694" t="str">
        <f>"1130174G00141    00"</f>
        <v>1130174G00141    00</v>
      </c>
      <c r="B6694" t="s">
        <v>15242</v>
      </c>
      <c r="C6694" t="s">
        <v>15243</v>
      </c>
      <c r="D6694" t="s">
        <v>20</v>
      </c>
      <c r="E6694" t="s">
        <v>39</v>
      </c>
      <c r="F6694">
        <v>0</v>
      </c>
      <c r="G6694">
        <v>0</v>
      </c>
      <c r="H6694">
        <v>19</v>
      </c>
      <c r="I6694" s="3">
        <v>6502.07</v>
      </c>
      <c r="J6694" s="3">
        <v>7953.59</v>
      </c>
      <c r="K6694" t="s">
        <v>15244</v>
      </c>
      <c r="L6694">
        <v>1</v>
      </c>
      <c r="M6694" t="s">
        <v>15245</v>
      </c>
      <c r="N6694" t="s">
        <v>15246</v>
      </c>
      <c r="O6694" t="s">
        <v>1184</v>
      </c>
      <c r="P6694" t="str">
        <f>"20832"</f>
        <v>20832</v>
      </c>
    </row>
    <row r="6695" spans="1:16" x14ac:dyDescent="0.25">
      <c r="A6695" t="str">
        <f>"1130174G00142    00"</f>
        <v>1130174G00142    00</v>
      </c>
      <c r="B6695" t="s">
        <v>15247</v>
      </c>
      <c r="C6695" t="s">
        <v>15248</v>
      </c>
      <c r="D6695" t="s">
        <v>20</v>
      </c>
      <c r="E6695" t="s">
        <v>39</v>
      </c>
      <c r="F6695">
        <v>0</v>
      </c>
      <c r="G6695">
        <v>0</v>
      </c>
      <c r="H6695">
        <v>3</v>
      </c>
      <c r="I6695" s="3">
        <v>829.14</v>
      </c>
      <c r="J6695" s="3">
        <v>55.27</v>
      </c>
      <c r="K6695" t="s">
        <v>15249</v>
      </c>
      <c r="L6695">
        <v>7443</v>
      </c>
      <c r="M6695" t="s">
        <v>12045</v>
      </c>
      <c r="N6695" t="s">
        <v>30</v>
      </c>
      <c r="O6695" t="s">
        <v>31</v>
      </c>
      <c r="P6695" t="str">
        <f>"15208"</f>
        <v>15208</v>
      </c>
    </row>
    <row r="6696" spans="1:16" x14ac:dyDescent="0.25">
      <c r="A6696" t="str">
        <f>"1130174G00144    00"</f>
        <v>1130174G00144    00</v>
      </c>
      <c r="B6696" t="s">
        <v>15250</v>
      </c>
      <c r="C6696" t="s">
        <v>15251</v>
      </c>
      <c r="D6696" t="s">
        <v>20</v>
      </c>
      <c r="E6696" t="s">
        <v>39</v>
      </c>
      <c r="F6696">
        <v>0</v>
      </c>
      <c r="G6696">
        <v>0</v>
      </c>
      <c r="H6696">
        <v>5</v>
      </c>
      <c r="I6696" s="3">
        <v>1350.69</v>
      </c>
      <c r="J6696" s="3">
        <v>270.61</v>
      </c>
      <c r="K6696" t="s">
        <v>15252</v>
      </c>
      <c r="L6696">
        <v>1528</v>
      </c>
      <c r="M6696" t="s">
        <v>3112</v>
      </c>
      <c r="N6696" t="s">
        <v>30</v>
      </c>
      <c r="O6696" t="s">
        <v>31</v>
      </c>
      <c r="P6696" t="str">
        <f>"15201"</f>
        <v>15201</v>
      </c>
    </row>
    <row r="6697" spans="1:16" x14ac:dyDescent="0.25">
      <c r="A6697" t="str">
        <f>"1130174G00145    00"</f>
        <v>1130174G00145    00</v>
      </c>
      <c r="B6697" t="s">
        <v>15253</v>
      </c>
      <c r="C6697" t="s">
        <v>15254</v>
      </c>
      <c r="D6697" t="s">
        <v>20</v>
      </c>
      <c r="E6697" t="s">
        <v>39</v>
      </c>
      <c r="F6697">
        <v>0</v>
      </c>
      <c r="G6697">
        <v>0</v>
      </c>
      <c r="H6697">
        <v>19</v>
      </c>
      <c r="I6697" s="3">
        <v>5747.62</v>
      </c>
      <c r="J6697" s="3">
        <v>5841.47</v>
      </c>
      <c r="L6697">
        <v>5631</v>
      </c>
      <c r="M6697" t="s">
        <v>15255</v>
      </c>
      <c r="N6697" t="s">
        <v>30</v>
      </c>
      <c r="O6697" t="s">
        <v>31</v>
      </c>
      <c r="P6697" t="str">
        <f>"15206"</f>
        <v>15206</v>
      </c>
    </row>
    <row r="6698" spans="1:16" x14ac:dyDescent="0.25">
      <c r="A6698" t="str">
        <f>"1130174G00145A   00"</f>
        <v>1130174G00145A   00</v>
      </c>
      <c r="B6698" t="s">
        <v>15256</v>
      </c>
      <c r="C6698" t="s">
        <v>15257</v>
      </c>
      <c r="E6698" t="s">
        <v>39</v>
      </c>
      <c r="F6698">
        <v>0</v>
      </c>
      <c r="G6698">
        <v>0</v>
      </c>
      <c r="H6698">
        <v>4</v>
      </c>
      <c r="I6698" s="3">
        <v>1274.43</v>
      </c>
      <c r="J6698" s="3">
        <v>2120.44</v>
      </c>
      <c r="K6698" t="s">
        <v>15258</v>
      </c>
      <c r="L6698">
        <v>7433</v>
      </c>
      <c r="M6698" t="s">
        <v>12045</v>
      </c>
      <c r="N6698" t="s">
        <v>30</v>
      </c>
      <c r="O6698" t="s">
        <v>31</v>
      </c>
      <c r="P6698" t="str">
        <f>"15208"</f>
        <v>15208</v>
      </c>
    </row>
    <row r="6699" spans="1:16" x14ac:dyDescent="0.25">
      <c r="A6699" t="str">
        <f>"1130174G00146    00"</f>
        <v>1130174G00146    00</v>
      </c>
      <c r="B6699" t="s">
        <v>15259</v>
      </c>
      <c r="C6699" t="s">
        <v>15257</v>
      </c>
      <c r="D6699" t="s">
        <v>20</v>
      </c>
      <c r="E6699" t="s">
        <v>39</v>
      </c>
      <c r="F6699">
        <v>0</v>
      </c>
      <c r="G6699">
        <v>0</v>
      </c>
      <c r="H6699">
        <v>19</v>
      </c>
      <c r="I6699" s="3">
        <v>7339.2</v>
      </c>
      <c r="J6699" s="3">
        <v>7993.09</v>
      </c>
      <c r="L6699">
        <v>4288</v>
      </c>
      <c r="M6699" t="s">
        <v>15260</v>
      </c>
      <c r="N6699" t="s">
        <v>30</v>
      </c>
      <c r="O6699" t="s">
        <v>31</v>
      </c>
      <c r="P6699" t="str">
        <f>"15235"</f>
        <v>15235</v>
      </c>
    </row>
    <row r="6700" spans="1:16" x14ac:dyDescent="0.25">
      <c r="A6700" t="str">
        <f>"1130174G00149    00"</f>
        <v>1130174G00149    00</v>
      </c>
      <c r="B6700" t="s">
        <v>15261</v>
      </c>
      <c r="C6700" t="s">
        <v>15262</v>
      </c>
      <c r="E6700" t="s">
        <v>39</v>
      </c>
      <c r="F6700">
        <v>0</v>
      </c>
      <c r="G6700">
        <v>0</v>
      </c>
      <c r="H6700">
        <v>2</v>
      </c>
      <c r="I6700" s="3">
        <v>575.08000000000004</v>
      </c>
      <c r="J6700" s="3">
        <v>116.48</v>
      </c>
      <c r="L6700">
        <v>819</v>
      </c>
      <c r="M6700" t="s">
        <v>15263</v>
      </c>
      <c r="N6700" t="s">
        <v>30</v>
      </c>
      <c r="O6700" t="s">
        <v>31</v>
      </c>
      <c r="P6700" t="str">
        <f>"15221"</f>
        <v>15221</v>
      </c>
    </row>
    <row r="6701" spans="1:16" x14ac:dyDescent="0.25">
      <c r="A6701" t="str">
        <f>"1130174G00150    00"</f>
        <v>1130174G00150    00</v>
      </c>
      <c r="B6701" t="s">
        <v>15264</v>
      </c>
      <c r="C6701" t="s">
        <v>15265</v>
      </c>
      <c r="D6701" t="s">
        <v>20</v>
      </c>
      <c r="E6701" t="s">
        <v>39</v>
      </c>
      <c r="F6701">
        <v>0</v>
      </c>
      <c r="G6701">
        <v>0</v>
      </c>
      <c r="H6701">
        <v>3</v>
      </c>
      <c r="I6701" s="3">
        <v>317.19</v>
      </c>
      <c r="J6701" s="3">
        <v>21.14</v>
      </c>
      <c r="L6701">
        <v>7425</v>
      </c>
      <c r="M6701" t="s">
        <v>12045</v>
      </c>
      <c r="N6701" t="s">
        <v>30</v>
      </c>
      <c r="O6701" t="s">
        <v>31</v>
      </c>
      <c r="P6701" t="str">
        <f>"15208"</f>
        <v>15208</v>
      </c>
    </row>
    <row r="6702" spans="1:16" x14ac:dyDescent="0.25">
      <c r="A6702" t="str">
        <f>"1130174G00151    00"</f>
        <v>1130174G00151    00</v>
      </c>
      <c r="B6702" t="s">
        <v>15266</v>
      </c>
      <c r="C6702" t="s">
        <v>15267</v>
      </c>
      <c r="D6702" t="s">
        <v>20</v>
      </c>
      <c r="E6702" t="s">
        <v>39</v>
      </c>
      <c r="F6702">
        <v>0</v>
      </c>
      <c r="G6702">
        <v>0</v>
      </c>
      <c r="H6702">
        <v>3</v>
      </c>
      <c r="I6702" s="3">
        <v>461.28</v>
      </c>
      <c r="J6702" s="3">
        <v>0</v>
      </c>
      <c r="L6702">
        <v>11979</v>
      </c>
      <c r="M6702" t="s">
        <v>15268</v>
      </c>
      <c r="N6702" t="s">
        <v>30</v>
      </c>
      <c r="O6702" t="s">
        <v>31</v>
      </c>
      <c r="P6702" t="str">
        <f>"15235"</f>
        <v>15235</v>
      </c>
    </row>
    <row r="6703" spans="1:16" x14ac:dyDescent="0.25">
      <c r="A6703" t="str">
        <f>"1130174G00157    00"</f>
        <v>1130174G00157    00</v>
      </c>
      <c r="B6703" t="s">
        <v>15269</v>
      </c>
      <c r="C6703" t="s">
        <v>15270</v>
      </c>
      <c r="D6703" t="s">
        <v>20</v>
      </c>
      <c r="E6703" t="s">
        <v>39</v>
      </c>
      <c r="F6703">
        <v>0</v>
      </c>
      <c r="G6703">
        <v>0</v>
      </c>
      <c r="H6703">
        <v>2</v>
      </c>
      <c r="I6703" s="3">
        <v>1113.1400000000001</v>
      </c>
      <c r="J6703" s="3">
        <v>0</v>
      </c>
      <c r="K6703" t="s">
        <v>15271</v>
      </c>
      <c r="L6703">
        <v>603</v>
      </c>
      <c r="M6703" t="s">
        <v>15272</v>
      </c>
      <c r="N6703" t="s">
        <v>30</v>
      </c>
      <c r="O6703" t="s">
        <v>31</v>
      </c>
      <c r="P6703" t="str">
        <f>"15228"</f>
        <v>15228</v>
      </c>
    </row>
    <row r="6704" spans="1:16" x14ac:dyDescent="0.25">
      <c r="A6704" t="str">
        <f>"1130174G00164    00"</f>
        <v>1130174G00164    00</v>
      </c>
      <c r="B6704" t="s">
        <v>15273</v>
      </c>
      <c r="C6704" t="s">
        <v>15274</v>
      </c>
      <c r="E6704" t="s">
        <v>39</v>
      </c>
      <c r="F6704">
        <v>0</v>
      </c>
      <c r="G6704">
        <v>0</v>
      </c>
      <c r="H6704">
        <v>2</v>
      </c>
      <c r="I6704" s="3">
        <v>199.1</v>
      </c>
      <c r="J6704" s="3">
        <v>19.91</v>
      </c>
      <c r="L6704">
        <v>7347</v>
      </c>
      <c r="M6704" t="s">
        <v>12045</v>
      </c>
      <c r="N6704" t="s">
        <v>30</v>
      </c>
      <c r="O6704" t="s">
        <v>31</v>
      </c>
      <c r="P6704" t="str">
        <f>"15208"</f>
        <v>15208</v>
      </c>
    </row>
    <row r="6705" spans="1:16" x14ac:dyDescent="0.25">
      <c r="A6705" t="str">
        <f>"1130174G00167    00"</f>
        <v>1130174G00167    00</v>
      </c>
      <c r="B6705" t="s">
        <v>15275</v>
      </c>
      <c r="C6705" t="s">
        <v>15276</v>
      </c>
      <c r="D6705" t="s">
        <v>20</v>
      </c>
      <c r="E6705" t="s">
        <v>39</v>
      </c>
      <c r="F6705">
        <v>0</v>
      </c>
      <c r="G6705">
        <v>0</v>
      </c>
      <c r="H6705">
        <v>2</v>
      </c>
      <c r="I6705" s="3">
        <v>876.78</v>
      </c>
      <c r="J6705" s="3">
        <v>0</v>
      </c>
      <c r="L6705">
        <v>7413</v>
      </c>
      <c r="M6705" t="s">
        <v>12045</v>
      </c>
      <c r="N6705" t="s">
        <v>30</v>
      </c>
      <c r="O6705" t="s">
        <v>31</v>
      </c>
      <c r="P6705" t="str">
        <f>"15208"</f>
        <v>15208</v>
      </c>
    </row>
    <row r="6706" spans="1:16" x14ac:dyDescent="0.25">
      <c r="A6706" t="str">
        <f>"1130174G00169    00"</f>
        <v>1130174G00169    00</v>
      </c>
      <c r="B6706" t="s">
        <v>15277</v>
      </c>
      <c r="C6706" t="s">
        <v>15278</v>
      </c>
      <c r="D6706" t="s">
        <v>20</v>
      </c>
      <c r="E6706" t="s">
        <v>39</v>
      </c>
      <c r="F6706">
        <v>0</v>
      </c>
      <c r="G6706">
        <v>0</v>
      </c>
      <c r="H6706">
        <v>15</v>
      </c>
      <c r="I6706" s="3">
        <v>6810.55</v>
      </c>
      <c r="J6706" s="3">
        <v>4099.0200000000004</v>
      </c>
      <c r="L6706">
        <v>7400</v>
      </c>
      <c r="M6706" t="s">
        <v>12378</v>
      </c>
      <c r="N6706" t="s">
        <v>30</v>
      </c>
      <c r="O6706" t="s">
        <v>31</v>
      </c>
      <c r="P6706" t="str">
        <f>"15208"</f>
        <v>15208</v>
      </c>
    </row>
    <row r="6707" spans="1:16" x14ac:dyDescent="0.25">
      <c r="A6707" t="str">
        <f>"1130174G00171    00"</f>
        <v>1130174G00171    00</v>
      </c>
      <c r="B6707" t="s">
        <v>15279</v>
      </c>
      <c r="C6707" t="s">
        <v>14506</v>
      </c>
      <c r="D6707" t="s">
        <v>20</v>
      </c>
      <c r="E6707" t="s">
        <v>39</v>
      </c>
      <c r="F6707">
        <v>0</v>
      </c>
      <c r="G6707">
        <v>0</v>
      </c>
      <c r="H6707">
        <v>19</v>
      </c>
      <c r="I6707" s="3">
        <v>3360.73</v>
      </c>
      <c r="J6707" s="3">
        <v>4394.32</v>
      </c>
      <c r="L6707">
        <v>7404</v>
      </c>
      <c r="M6707" t="s">
        <v>12378</v>
      </c>
      <c r="N6707" t="s">
        <v>30</v>
      </c>
      <c r="O6707" t="s">
        <v>31</v>
      </c>
      <c r="P6707" t="str">
        <f>"15208"</f>
        <v>15208</v>
      </c>
    </row>
    <row r="6708" spans="1:16" x14ac:dyDescent="0.25">
      <c r="A6708" t="str">
        <f>"1130174G00172    00"</f>
        <v>1130174G00172    00</v>
      </c>
      <c r="B6708" t="s">
        <v>15280</v>
      </c>
      <c r="C6708" t="s">
        <v>15281</v>
      </c>
      <c r="D6708" t="s">
        <v>20</v>
      </c>
      <c r="E6708" t="s">
        <v>39</v>
      </c>
      <c r="F6708">
        <v>0</v>
      </c>
      <c r="G6708">
        <v>0</v>
      </c>
      <c r="H6708">
        <v>19</v>
      </c>
      <c r="I6708" s="3">
        <v>11270</v>
      </c>
      <c r="J6708" s="3">
        <v>11247.31</v>
      </c>
      <c r="L6708">
        <v>250</v>
      </c>
      <c r="M6708" t="s">
        <v>15282</v>
      </c>
      <c r="N6708" t="s">
        <v>30</v>
      </c>
      <c r="O6708" t="s">
        <v>31</v>
      </c>
      <c r="P6708" t="str">
        <f>"15235"</f>
        <v>15235</v>
      </c>
    </row>
    <row r="6709" spans="1:16" x14ac:dyDescent="0.25">
      <c r="A6709" t="str">
        <f>"1130174G00173    00"</f>
        <v>1130174G00173    00</v>
      </c>
      <c r="B6709" t="s">
        <v>15283</v>
      </c>
      <c r="C6709" t="s">
        <v>14506</v>
      </c>
      <c r="D6709" t="s">
        <v>20</v>
      </c>
      <c r="E6709" t="s">
        <v>39</v>
      </c>
      <c r="F6709">
        <v>0</v>
      </c>
      <c r="G6709">
        <v>0</v>
      </c>
      <c r="H6709">
        <v>19</v>
      </c>
      <c r="I6709" s="3">
        <v>7270.08</v>
      </c>
      <c r="J6709" s="3">
        <v>9894.17</v>
      </c>
      <c r="P6709" t="str">
        <f>""</f>
        <v/>
      </c>
    </row>
    <row r="6710" spans="1:16" x14ac:dyDescent="0.25">
      <c r="A6710" t="str">
        <f>"1130174G00174    00"</f>
        <v>1130174G00174    00</v>
      </c>
      <c r="B6710" t="s">
        <v>15284</v>
      </c>
      <c r="C6710" t="s">
        <v>15285</v>
      </c>
      <c r="E6710" t="s">
        <v>39</v>
      </c>
      <c r="F6710">
        <v>0</v>
      </c>
      <c r="G6710">
        <v>0</v>
      </c>
      <c r="H6710">
        <v>2</v>
      </c>
      <c r="I6710" s="3">
        <v>19.559999999999999</v>
      </c>
      <c r="J6710" s="3">
        <v>4.74</v>
      </c>
      <c r="L6710">
        <v>156</v>
      </c>
      <c r="M6710" t="s">
        <v>15286</v>
      </c>
      <c r="N6710" t="s">
        <v>30</v>
      </c>
      <c r="O6710" t="s">
        <v>31</v>
      </c>
      <c r="P6710" t="str">
        <f>"15235"</f>
        <v>15235</v>
      </c>
    </row>
    <row r="6711" spans="1:16" x14ac:dyDescent="0.25">
      <c r="A6711" t="str">
        <f>"1130174G00175    00"</f>
        <v>1130174G00175    00</v>
      </c>
      <c r="B6711" t="s">
        <v>15287</v>
      </c>
      <c r="C6711" t="s">
        <v>14506</v>
      </c>
      <c r="E6711" t="s">
        <v>39</v>
      </c>
      <c r="F6711">
        <v>0</v>
      </c>
      <c r="G6711">
        <v>0</v>
      </c>
      <c r="H6711">
        <v>12</v>
      </c>
      <c r="I6711" s="3">
        <v>143.74</v>
      </c>
      <c r="J6711" s="3">
        <v>162.32</v>
      </c>
      <c r="L6711">
        <v>2920</v>
      </c>
      <c r="M6711" t="s">
        <v>15288</v>
      </c>
      <c r="N6711" t="s">
        <v>9653</v>
      </c>
      <c r="O6711" t="s">
        <v>31</v>
      </c>
      <c r="P6711" t="str">
        <f>"15632"</f>
        <v>15632</v>
      </c>
    </row>
    <row r="6712" spans="1:16" x14ac:dyDescent="0.25">
      <c r="A6712" t="str">
        <f>"1130174G00176    00"</f>
        <v>1130174G00176    00</v>
      </c>
      <c r="B6712" t="s">
        <v>15289</v>
      </c>
      <c r="C6712" t="s">
        <v>14506</v>
      </c>
      <c r="D6712" t="s">
        <v>20</v>
      </c>
      <c r="E6712" t="s">
        <v>39</v>
      </c>
      <c r="F6712">
        <v>0</v>
      </c>
      <c r="G6712">
        <v>0</v>
      </c>
      <c r="H6712">
        <v>19</v>
      </c>
      <c r="I6712" s="3">
        <v>3143.75</v>
      </c>
      <c r="J6712" s="3">
        <v>4659.17</v>
      </c>
      <c r="K6712" t="s">
        <v>15290</v>
      </c>
      <c r="L6712">
        <v>3206</v>
      </c>
      <c r="M6712" t="s">
        <v>15291</v>
      </c>
      <c r="N6712" t="s">
        <v>30</v>
      </c>
      <c r="O6712" t="s">
        <v>31</v>
      </c>
      <c r="P6712" t="str">
        <f>"15213"</f>
        <v>15213</v>
      </c>
    </row>
    <row r="6713" spans="1:16" x14ac:dyDescent="0.25">
      <c r="A6713" t="str">
        <f>"1130174G00177    00"</f>
        <v>1130174G00177    00</v>
      </c>
      <c r="B6713" t="s">
        <v>15292</v>
      </c>
      <c r="C6713" t="s">
        <v>15293</v>
      </c>
      <c r="D6713" t="s">
        <v>20</v>
      </c>
      <c r="E6713" t="s">
        <v>39</v>
      </c>
      <c r="F6713">
        <v>0</v>
      </c>
      <c r="G6713">
        <v>0</v>
      </c>
      <c r="H6713">
        <v>12</v>
      </c>
      <c r="I6713" s="3">
        <v>6002.41</v>
      </c>
      <c r="J6713" s="3">
        <v>2166.65</v>
      </c>
      <c r="L6713">
        <v>7418</v>
      </c>
      <c r="M6713" t="s">
        <v>15294</v>
      </c>
      <c r="N6713" t="s">
        <v>30</v>
      </c>
      <c r="O6713" t="s">
        <v>31</v>
      </c>
      <c r="P6713" t="str">
        <f>"15208"</f>
        <v>15208</v>
      </c>
    </row>
    <row r="6714" spans="1:16" x14ac:dyDescent="0.25">
      <c r="A6714" t="str">
        <f>"1130174G00178    00"</f>
        <v>1130174G00178    00</v>
      </c>
      <c r="B6714" t="s">
        <v>15295</v>
      </c>
      <c r="C6714" t="s">
        <v>14506</v>
      </c>
      <c r="D6714" t="s">
        <v>20</v>
      </c>
      <c r="E6714" t="s">
        <v>39</v>
      </c>
      <c r="F6714">
        <v>0</v>
      </c>
      <c r="G6714">
        <v>0</v>
      </c>
      <c r="H6714">
        <v>16</v>
      </c>
      <c r="I6714" s="3">
        <v>715.91</v>
      </c>
      <c r="J6714" s="3">
        <v>440.97</v>
      </c>
      <c r="L6714">
        <v>3032</v>
      </c>
      <c r="M6714" t="s">
        <v>15296</v>
      </c>
      <c r="N6714" t="s">
        <v>15297</v>
      </c>
      <c r="O6714" t="s">
        <v>692</v>
      </c>
      <c r="P6714" t="str">
        <f>"22026"</f>
        <v>22026</v>
      </c>
    </row>
    <row r="6715" spans="1:16" x14ac:dyDescent="0.25">
      <c r="A6715" t="str">
        <f>"1130174G00187    00"</f>
        <v>1130174G00187    00</v>
      </c>
      <c r="B6715" t="s">
        <v>15298</v>
      </c>
      <c r="C6715" t="s">
        <v>14506</v>
      </c>
      <c r="D6715" t="s">
        <v>20</v>
      </c>
      <c r="E6715" t="s">
        <v>39</v>
      </c>
      <c r="F6715">
        <v>0</v>
      </c>
      <c r="G6715">
        <v>0</v>
      </c>
      <c r="H6715">
        <v>19</v>
      </c>
      <c r="I6715" s="3">
        <v>765.47</v>
      </c>
      <c r="J6715" s="3">
        <v>562.1</v>
      </c>
      <c r="K6715" t="s">
        <v>1008</v>
      </c>
      <c r="P6715" t="str">
        <f>""</f>
        <v/>
      </c>
    </row>
    <row r="6716" spans="1:16" x14ac:dyDescent="0.25">
      <c r="A6716" t="str">
        <f>"1130174G00188    00"</f>
        <v>1130174G00188    00</v>
      </c>
      <c r="B6716" t="s">
        <v>15299</v>
      </c>
      <c r="C6716" t="s">
        <v>14506</v>
      </c>
      <c r="D6716" t="s">
        <v>20</v>
      </c>
      <c r="E6716" t="s">
        <v>39</v>
      </c>
      <c r="F6716">
        <v>0</v>
      </c>
      <c r="G6716">
        <v>0</v>
      </c>
      <c r="H6716">
        <v>19</v>
      </c>
      <c r="I6716" s="3">
        <v>765.47</v>
      </c>
      <c r="J6716" s="3">
        <v>562.1</v>
      </c>
      <c r="K6716" t="s">
        <v>1008</v>
      </c>
      <c r="P6716" t="str">
        <f>""</f>
        <v/>
      </c>
    </row>
    <row r="6717" spans="1:16" x14ac:dyDescent="0.25">
      <c r="A6717" t="str">
        <f>"1130174G00191    00"</f>
        <v>1130174G00191    00</v>
      </c>
      <c r="B6717" t="s">
        <v>15300</v>
      </c>
      <c r="C6717" t="s">
        <v>14506</v>
      </c>
      <c r="D6717" t="s">
        <v>20</v>
      </c>
      <c r="E6717" t="s">
        <v>39</v>
      </c>
      <c r="F6717">
        <v>0</v>
      </c>
      <c r="G6717">
        <v>0</v>
      </c>
      <c r="H6717">
        <v>19</v>
      </c>
      <c r="I6717" s="3">
        <v>2148.56</v>
      </c>
      <c r="J6717" s="3">
        <v>2592.25</v>
      </c>
      <c r="P6717" t="str">
        <f>""</f>
        <v/>
      </c>
    </row>
    <row r="6718" spans="1:16" x14ac:dyDescent="0.25">
      <c r="A6718" t="str">
        <f>"1130174G00192    00"</f>
        <v>1130174G00192    00</v>
      </c>
      <c r="B6718" t="s">
        <v>15301</v>
      </c>
      <c r="C6718" t="s">
        <v>14506</v>
      </c>
      <c r="D6718" t="s">
        <v>20</v>
      </c>
      <c r="E6718" t="s">
        <v>39</v>
      </c>
      <c r="F6718">
        <v>0</v>
      </c>
      <c r="G6718">
        <v>0</v>
      </c>
      <c r="H6718">
        <v>11</v>
      </c>
      <c r="I6718" s="3">
        <v>543.88</v>
      </c>
      <c r="J6718" s="3">
        <v>279.54000000000002</v>
      </c>
      <c r="K6718" t="s">
        <v>15302</v>
      </c>
      <c r="L6718">
        <v>7130</v>
      </c>
      <c r="M6718" t="s">
        <v>15303</v>
      </c>
      <c r="N6718" t="s">
        <v>30</v>
      </c>
      <c r="O6718" t="s">
        <v>31</v>
      </c>
      <c r="P6718" t="str">
        <f>"15208"</f>
        <v>15208</v>
      </c>
    </row>
    <row r="6719" spans="1:16" x14ac:dyDescent="0.25">
      <c r="A6719" t="str">
        <f>"1130174G00193    00"</f>
        <v>1130174G00193    00</v>
      </c>
      <c r="B6719" t="s">
        <v>15304</v>
      </c>
      <c r="C6719" t="s">
        <v>15305</v>
      </c>
      <c r="D6719" t="s">
        <v>20</v>
      </c>
      <c r="E6719" t="s">
        <v>39</v>
      </c>
      <c r="F6719">
        <v>0</v>
      </c>
      <c r="G6719">
        <v>0</v>
      </c>
      <c r="H6719">
        <v>13</v>
      </c>
      <c r="I6719" s="3">
        <v>1092.23</v>
      </c>
      <c r="J6719" s="3">
        <v>605.98</v>
      </c>
      <c r="K6719" t="s">
        <v>15306</v>
      </c>
      <c r="L6719">
        <v>7130</v>
      </c>
      <c r="M6719" t="s">
        <v>15303</v>
      </c>
      <c r="N6719" t="s">
        <v>30</v>
      </c>
      <c r="O6719" t="s">
        <v>31</v>
      </c>
      <c r="P6719" t="str">
        <f>"15208"</f>
        <v>15208</v>
      </c>
    </row>
    <row r="6720" spans="1:16" x14ac:dyDescent="0.25">
      <c r="A6720" t="str">
        <f>"1130174G00255    00"</f>
        <v>1130174G00255    00</v>
      </c>
      <c r="B6720" t="s">
        <v>12827</v>
      </c>
      <c r="C6720" t="s">
        <v>15307</v>
      </c>
      <c r="D6720" t="s">
        <v>20</v>
      </c>
      <c r="E6720" t="s">
        <v>39</v>
      </c>
      <c r="F6720">
        <v>0</v>
      </c>
      <c r="G6720">
        <v>0</v>
      </c>
      <c r="H6720">
        <v>3</v>
      </c>
      <c r="I6720" s="3">
        <v>847.53</v>
      </c>
      <c r="J6720" s="3">
        <v>76.87</v>
      </c>
      <c r="L6720">
        <v>77</v>
      </c>
      <c r="M6720" t="s">
        <v>12829</v>
      </c>
      <c r="N6720" t="s">
        <v>199</v>
      </c>
      <c r="O6720" t="s">
        <v>200</v>
      </c>
      <c r="P6720" t="str">
        <f>"10025"</f>
        <v>10025</v>
      </c>
    </row>
    <row r="6721" spans="1:16" x14ac:dyDescent="0.25">
      <c r="A6721" t="str">
        <f>"1130174G00257    00"</f>
        <v>1130174G00257    00</v>
      </c>
      <c r="B6721" t="s">
        <v>3811</v>
      </c>
      <c r="C6721" t="s">
        <v>14506</v>
      </c>
      <c r="D6721" t="s">
        <v>20</v>
      </c>
      <c r="E6721" t="s">
        <v>39</v>
      </c>
      <c r="F6721">
        <v>0</v>
      </c>
      <c r="G6721">
        <v>0</v>
      </c>
      <c r="H6721">
        <v>18</v>
      </c>
      <c r="I6721" s="3">
        <v>811.63</v>
      </c>
      <c r="J6721" s="3">
        <v>630.08000000000004</v>
      </c>
      <c r="K6721" t="s">
        <v>3813</v>
      </c>
      <c r="L6721">
        <v>825</v>
      </c>
      <c r="M6721" t="s">
        <v>970</v>
      </c>
      <c r="N6721" t="s">
        <v>30</v>
      </c>
      <c r="O6721" t="s">
        <v>31</v>
      </c>
      <c r="P6721" t="str">
        <f>"15219"</f>
        <v>15219</v>
      </c>
    </row>
    <row r="6722" spans="1:16" x14ac:dyDescent="0.25">
      <c r="A6722" t="str">
        <f>"1130174G00258    00"</f>
        <v>1130174G00258    00</v>
      </c>
      <c r="B6722" t="s">
        <v>15308</v>
      </c>
      <c r="C6722" t="s">
        <v>15309</v>
      </c>
      <c r="D6722" t="s">
        <v>20</v>
      </c>
      <c r="E6722" t="s">
        <v>39</v>
      </c>
      <c r="F6722">
        <v>0</v>
      </c>
      <c r="G6722">
        <v>0</v>
      </c>
      <c r="H6722">
        <v>11</v>
      </c>
      <c r="I6722" s="3">
        <v>2135.9</v>
      </c>
      <c r="J6722" s="3">
        <v>1060.98</v>
      </c>
      <c r="L6722">
        <v>5464</v>
      </c>
      <c r="M6722" t="s">
        <v>2901</v>
      </c>
      <c r="N6722" t="s">
        <v>30</v>
      </c>
      <c r="O6722" t="s">
        <v>31</v>
      </c>
      <c r="P6722" t="str">
        <f>"15206"</f>
        <v>15206</v>
      </c>
    </row>
    <row r="6723" spans="1:16" x14ac:dyDescent="0.25">
      <c r="A6723" t="str">
        <f>"1130174G00259    00"</f>
        <v>1130174G00259    00</v>
      </c>
      <c r="B6723" t="s">
        <v>15310</v>
      </c>
      <c r="C6723" t="s">
        <v>14506</v>
      </c>
      <c r="D6723" t="s">
        <v>20</v>
      </c>
      <c r="E6723" t="s">
        <v>39</v>
      </c>
      <c r="F6723">
        <v>0</v>
      </c>
      <c r="G6723">
        <v>0</v>
      </c>
      <c r="H6723">
        <v>17</v>
      </c>
      <c r="I6723" s="3">
        <v>233.77</v>
      </c>
      <c r="J6723" s="3">
        <v>307.77999999999997</v>
      </c>
      <c r="K6723" t="s">
        <v>1008</v>
      </c>
      <c r="P6723" t="str">
        <f>""</f>
        <v/>
      </c>
    </row>
    <row r="6724" spans="1:16" x14ac:dyDescent="0.25">
      <c r="A6724" t="str">
        <f>"1130174G00259A   00"</f>
        <v>1130174G00259A   00</v>
      </c>
      <c r="B6724" t="s">
        <v>15311</v>
      </c>
      <c r="C6724" t="s">
        <v>15312</v>
      </c>
      <c r="E6724" t="s">
        <v>39</v>
      </c>
      <c r="F6724">
        <v>0</v>
      </c>
      <c r="G6724">
        <v>0</v>
      </c>
      <c r="H6724">
        <v>18</v>
      </c>
      <c r="I6724" s="3">
        <v>5845.01</v>
      </c>
      <c r="J6724" s="3">
        <v>6552.25</v>
      </c>
      <c r="L6724">
        <v>124</v>
      </c>
      <c r="M6724" t="s">
        <v>15313</v>
      </c>
      <c r="N6724" t="s">
        <v>30</v>
      </c>
      <c r="O6724" t="s">
        <v>31</v>
      </c>
      <c r="P6724" t="str">
        <f>"15235"</f>
        <v>15235</v>
      </c>
    </row>
    <row r="6725" spans="1:16" x14ac:dyDescent="0.25">
      <c r="A6725" t="str">
        <f>"1130174G00260    00"</f>
        <v>1130174G00260    00</v>
      </c>
      <c r="B6725" t="s">
        <v>15314</v>
      </c>
      <c r="C6725" t="s">
        <v>15315</v>
      </c>
      <c r="D6725" t="s">
        <v>20</v>
      </c>
      <c r="E6725" t="s">
        <v>39</v>
      </c>
      <c r="F6725">
        <v>0</v>
      </c>
      <c r="G6725">
        <v>0</v>
      </c>
      <c r="H6725">
        <v>17</v>
      </c>
      <c r="I6725" s="3">
        <v>579.24</v>
      </c>
      <c r="J6725" s="3">
        <v>368.23</v>
      </c>
      <c r="K6725" t="s">
        <v>15316</v>
      </c>
      <c r="L6725">
        <v>4870</v>
      </c>
      <c r="M6725" t="s">
        <v>15317</v>
      </c>
      <c r="N6725" t="s">
        <v>2847</v>
      </c>
      <c r="O6725" t="s">
        <v>70</v>
      </c>
      <c r="P6725" t="str">
        <f>"48098"</f>
        <v>48098</v>
      </c>
    </row>
    <row r="6726" spans="1:16" x14ac:dyDescent="0.25">
      <c r="A6726" t="str">
        <f>"1130174G00262    00"</f>
        <v>1130174G00262    00</v>
      </c>
      <c r="B6726" t="s">
        <v>15318</v>
      </c>
      <c r="C6726" t="s">
        <v>15319</v>
      </c>
      <c r="D6726" t="s">
        <v>20</v>
      </c>
      <c r="E6726" t="s">
        <v>39</v>
      </c>
      <c r="F6726">
        <v>0</v>
      </c>
      <c r="G6726">
        <v>0</v>
      </c>
      <c r="H6726">
        <v>1</v>
      </c>
      <c r="I6726" s="3">
        <v>238.26</v>
      </c>
      <c r="J6726" s="3">
        <v>0</v>
      </c>
      <c r="L6726">
        <v>1509</v>
      </c>
      <c r="M6726" t="s">
        <v>15320</v>
      </c>
      <c r="N6726" t="s">
        <v>30</v>
      </c>
      <c r="O6726" t="s">
        <v>31</v>
      </c>
      <c r="P6726" t="str">
        <f>"15221"</f>
        <v>15221</v>
      </c>
    </row>
    <row r="6727" spans="1:16" x14ac:dyDescent="0.25">
      <c r="A6727" t="str">
        <f>"1130174G00280    00"</f>
        <v>1130174G00280    00</v>
      </c>
      <c r="B6727" t="s">
        <v>15321</v>
      </c>
      <c r="C6727" t="s">
        <v>15315</v>
      </c>
      <c r="D6727" t="s">
        <v>20</v>
      </c>
      <c r="E6727" t="s">
        <v>39</v>
      </c>
      <c r="F6727">
        <v>0</v>
      </c>
      <c r="G6727">
        <v>0</v>
      </c>
      <c r="H6727">
        <v>19</v>
      </c>
      <c r="I6727" s="3">
        <v>1398.54</v>
      </c>
      <c r="J6727" s="3">
        <v>1003.54</v>
      </c>
      <c r="L6727">
        <v>330</v>
      </c>
      <c r="M6727" t="s">
        <v>15322</v>
      </c>
      <c r="N6727" t="s">
        <v>30</v>
      </c>
      <c r="O6727" t="s">
        <v>31</v>
      </c>
      <c r="P6727" t="str">
        <f>"15206"</f>
        <v>15206</v>
      </c>
    </row>
    <row r="6728" spans="1:16" x14ac:dyDescent="0.25">
      <c r="A6728" t="str">
        <f>"1130174G00281    00"</f>
        <v>1130174G00281    00</v>
      </c>
      <c r="B6728" t="s">
        <v>15323</v>
      </c>
      <c r="C6728" t="s">
        <v>15324</v>
      </c>
      <c r="D6728" t="s">
        <v>20</v>
      </c>
      <c r="E6728" t="s">
        <v>39</v>
      </c>
      <c r="F6728">
        <v>0</v>
      </c>
      <c r="G6728">
        <v>0</v>
      </c>
      <c r="H6728">
        <v>19</v>
      </c>
      <c r="I6728" s="3">
        <v>9523.1299999999992</v>
      </c>
      <c r="J6728" s="3">
        <v>10151.709999999999</v>
      </c>
      <c r="L6728">
        <v>7420</v>
      </c>
      <c r="M6728" t="s">
        <v>12201</v>
      </c>
      <c r="N6728" t="s">
        <v>30</v>
      </c>
      <c r="O6728" t="s">
        <v>31</v>
      </c>
      <c r="P6728" t="str">
        <f>"15208"</f>
        <v>15208</v>
      </c>
    </row>
    <row r="6729" spans="1:16" x14ac:dyDescent="0.25">
      <c r="A6729" t="str">
        <f>"1130174G00287    00"</f>
        <v>1130174G00287    00</v>
      </c>
      <c r="B6729" t="s">
        <v>15325</v>
      </c>
      <c r="C6729" t="s">
        <v>15326</v>
      </c>
      <c r="D6729" t="s">
        <v>20</v>
      </c>
      <c r="E6729" t="s">
        <v>39</v>
      </c>
      <c r="F6729">
        <v>0</v>
      </c>
      <c r="G6729">
        <v>0</v>
      </c>
      <c r="H6729">
        <v>12</v>
      </c>
      <c r="I6729" s="3">
        <v>4918.45</v>
      </c>
      <c r="J6729" s="3">
        <v>2683.82</v>
      </c>
      <c r="K6729" t="s">
        <v>15327</v>
      </c>
      <c r="L6729">
        <v>8240</v>
      </c>
      <c r="M6729" t="s">
        <v>13390</v>
      </c>
      <c r="N6729" t="s">
        <v>3827</v>
      </c>
      <c r="O6729" t="s">
        <v>70</v>
      </c>
      <c r="P6729" t="str">
        <f>"48228"</f>
        <v>48228</v>
      </c>
    </row>
    <row r="6730" spans="1:16" x14ac:dyDescent="0.25">
      <c r="A6730" t="str">
        <f>"1130174G00288    00"</f>
        <v>1130174G00288    00</v>
      </c>
      <c r="B6730" t="s">
        <v>15328</v>
      </c>
      <c r="C6730" t="s">
        <v>15315</v>
      </c>
      <c r="D6730" t="s">
        <v>20</v>
      </c>
      <c r="E6730" t="s">
        <v>39</v>
      </c>
      <c r="F6730">
        <v>0</v>
      </c>
      <c r="G6730">
        <v>0</v>
      </c>
      <c r="H6730">
        <v>19</v>
      </c>
      <c r="I6730" s="3">
        <v>787.36</v>
      </c>
      <c r="J6730" s="3">
        <v>573.65</v>
      </c>
      <c r="K6730" t="s">
        <v>15329</v>
      </c>
      <c r="L6730">
        <v>7051</v>
      </c>
      <c r="M6730" t="s">
        <v>9086</v>
      </c>
      <c r="N6730" t="s">
        <v>30</v>
      </c>
      <c r="O6730" t="s">
        <v>31</v>
      </c>
      <c r="P6730" t="str">
        <f>"15208"</f>
        <v>15208</v>
      </c>
    </row>
    <row r="6731" spans="1:16" x14ac:dyDescent="0.25">
      <c r="A6731" t="str">
        <f>"1130174G00290    00"</f>
        <v>1130174G00290    00</v>
      </c>
      <c r="B6731" t="s">
        <v>15330</v>
      </c>
      <c r="C6731" t="s">
        <v>15315</v>
      </c>
      <c r="D6731" t="s">
        <v>20</v>
      </c>
      <c r="E6731" t="s">
        <v>39</v>
      </c>
      <c r="F6731">
        <v>0</v>
      </c>
      <c r="G6731">
        <v>0</v>
      </c>
      <c r="H6731">
        <v>19</v>
      </c>
      <c r="I6731" s="3">
        <v>765.47</v>
      </c>
      <c r="J6731" s="3">
        <v>562.1</v>
      </c>
      <c r="K6731" t="s">
        <v>1008</v>
      </c>
      <c r="P6731" t="str">
        <f>""</f>
        <v/>
      </c>
    </row>
    <row r="6732" spans="1:16" x14ac:dyDescent="0.25">
      <c r="A6732" t="str">
        <f>"1130174G00292    00"</f>
        <v>1130174G00292    00</v>
      </c>
      <c r="B6732" t="s">
        <v>15331</v>
      </c>
      <c r="C6732" t="s">
        <v>15315</v>
      </c>
      <c r="D6732" t="s">
        <v>20</v>
      </c>
      <c r="E6732" t="s">
        <v>39</v>
      </c>
      <c r="F6732">
        <v>0</v>
      </c>
      <c r="G6732">
        <v>0</v>
      </c>
      <c r="H6732">
        <v>19</v>
      </c>
      <c r="I6732" s="3">
        <v>4842.37</v>
      </c>
      <c r="J6732" s="3">
        <v>5690.21</v>
      </c>
      <c r="L6732">
        <v>1700</v>
      </c>
      <c r="M6732" t="s">
        <v>942</v>
      </c>
      <c r="N6732" t="s">
        <v>30</v>
      </c>
      <c r="O6732" t="s">
        <v>31</v>
      </c>
      <c r="P6732" t="str">
        <f>"15219"</f>
        <v>15219</v>
      </c>
    </row>
    <row r="6733" spans="1:16" x14ac:dyDescent="0.25">
      <c r="A6733" t="str">
        <f>"1130174G00296    00"</f>
        <v>1130174G00296    00</v>
      </c>
      <c r="B6733" t="s">
        <v>15332</v>
      </c>
      <c r="C6733" t="s">
        <v>14506</v>
      </c>
      <c r="D6733" t="s">
        <v>20</v>
      </c>
      <c r="E6733" t="s">
        <v>39</v>
      </c>
      <c r="F6733">
        <v>0</v>
      </c>
      <c r="G6733">
        <v>0</v>
      </c>
      <c r="H6733">
        <v>17</v>
      </c>
      <c r="I6733" s="3">
        <v>3300.05</v>
      </c>
      <c r="J6733" s="3">
        <v>4807.34</v>
      </c>
      <c r="L6733">
        <v>417</v>
      </c>
      <c r="M6733" t="s">
        <v>10574</v>
      </c>
      <c r="N6733" t="s">
        <v>30</v>
      </c>
      <c r="O6733" t="s">
        <v>31</v>
      </c>
      <c r="P6733" t="str">
        <f>"15206"</f>
        <v>15206</v>
      </c>
    </row>
    <row r="6734" spans="1:16" x14ac:dyDescent="0.25">
      <c r="A6734" t="str">
        <f>"1130174G00297    00"</f>
        <v>1130174G00297    00</v>
      </c>
      <c r="B6734" t="s">
        <v>15333</v>
      </c>
      <c r="C6734" t="s">
        <v>14506</v>
      </c>
      <c r="D6734" t="s">
        <v>20</v>
      </c>
      <c r="E6734" t="s">
        <v>39</v>
      </c>
      <c r="F6734">
        <v>0</v>
      </c>
      <c r="G6734">
        <v>0</v>
      </c>
      <c r="H6734">
        <v>17</v>
      </c>
      <c r="I6734" s="3">
        <v>2550.59</v>
      </c>
      <c r="J6734" s="3">
        <v>3814.97</v>
      </c>
      <c r="L6734">
        <v>15325</v>
      </c>
      <c r="M6734" t="s">
        <v>15334</v>
      </c>
      <c r="N6734" t="s">
        <v>13177</v>
      </c>
      <c r="O6734" t="s">
        <v>200</v>
      </c>
      <c r="P6734" t="str">
        <f>"11433"</f>
        <v>11433</v>
      </c>
    </row>
    <row r="6735" spans="1:16" x14ac:dyDescent="0.25">
      <c r="A6735" t="str">
        <f>"1130174G00298    00"</f>
        <v>1130174G00298    00</v>
      </c>
      <c r="B6735" t="s">
        <v>15335</v>
      </c>
      <c r="C6735" t="s">
        <v>14506</v>
      </c>
      <c r="E6735" t="s">
        <v>39</v>
      </c>
      <c r="F6735">
        <v>0</v>
      </c>
      <c r="G6735">
        <v>0</v>
      </c>
      <c r="H6735">
        <v>9</v>
      </c>
      <c r="I6735" s="3">
        <v>3832.14</v>
      </c>
      <c r="J6735" s="3">
        <v>5274.43</v>
      </c>
      <c r="L6735">
        <v>6945</v>
      </c>
      <c r="M6735" t="s">
        <v>2350</v>
      </c>
      <c r="N6735" t="s">
        <v>30</v>
      </c>
      <c r="O6735" t="s">
        <v>31</v>
      </c>
      <c r="P6735" t="str">
        <f>"15208"</f>
        <v>15208</v>
      </c>
    </row>
    <row r="6736" spans="1:16" x14ac:dyDescent="0.25">
      <c r="A6736" t="str">
        <f>"1130174G00299    00"</f>
        <v>1130174G00299    00</v>
      </c>
      <c r="B6736" t="s">
        <v>15336</v>
      </c>
      <c r="C6736" t="s">
        <v>14506</v>
      </c>
      <c r="D6736" t="s">
        <v>20</v>
      </c>
      <c r="E6736" t="s">
        <v>39</v>
      </c>
      <c r="F6736">
        <v>0</v>
      </c>
      <c r="G6736">
        <v>0</v>
      </c>
      <c r="H6736">
        <v>17</v>
      </c>
      <c r="I6736" s="3">
        <v>4032.34</v>
      </c>
      <c r="J6736" s="3">
        <v>5689.71</v>
      </c>
      <c r="P6736" t="str">
        <f>""</f>
        <v/>
      </c>
    </row>
    <row r="6737" spans="1:16" x14ac:dyDescent="0.25">
      <c r="A6737" t="str">
        <f>"1130174G00300    00"</f>
        <v>1130174G00300    00</v>
      </c>
      <c r="B6737" t="s">
        <v>15337</v>
      </c>
      <c r="C6737" t="s">
        <v>14506</v>
      </c>
      <c r="D6737" t="s">
        <v>20</v>
      </c>
      <c r="E6737" t="s">
        <v>39</v>
      </c>
      <c r="F6737">
        <v>0</v>
      </c>
      <c r="G6737">
        <v>0</v>
      </c>
      <c r="H6737">
        <v>17</v>
      </c>
      <c r="I6737" s="3">
        <v>7138.74</v>
      </c>
      <c r="J6737" s="3">
        <v>10101.91</v>
      </c>
      <c r="L6737">
        <v>202</v>
      </c>
      <c r="M6737" t="s">
        <v>15338</v>
      </c>
      <c r="N6737" t="s">
        <v>11223</v>
      </c>
      <c r="O6737" t="s">
        <v>606</v>
      </c>
      <c r="P6737" t="str">
        <f>"30092"</f>
        <v>30092</v>
      </c>
    </row>
    <row r="6738" spans="1:16" x14ac:dyDescent="0.25">
      <c r="A6738" t="str">
        <f>"1130174G00301    00"</f>
        <v>1130174G00301    00</v>
      </c>
      <c r="B6738" t="s">
        <v>15339</v>
      </c>
      <c r="C6738" t="s">
        <v>14506</v>
      </c>
      <c r="D6738" t="s">
        <v>20</v>
      </c>
      <c r="E6738" t="s">
        <v>39</v>
      </c>
      <c r="F6738">
        <v>0</v>
      </c>
      <c r="G6738">
        <v>0</v>
      </c>
      <c r="H6738">
        <v>17</v>
      </c>
      <c r="I6738" s="3">
        <v>2436.5100000000002</v>
      </c>
      <c r="J6738" s="3">
        <v>3292.56</v>
      </c>
      <c r="K6738" t="s">
        <v>15340</v>
      </c>
      <c r="L6738">
        <v>7401</v>
      </c>
      <c r="M6738" t="s">
        <v>12378</v>
      </c>
      <c r="N6738" t="s">
        <v>30</v>
      </c>
      <c r="O6738" t="s">
        <v>31</v>
      </c>
      <c r="P6738" t="str">
        <f>"15208"</f>
        <v>15208</v>
      </c>
    </row>
    <row r="6739" spans="1:16" x14ac:dyDescent="0.25">
      <c r="A6739" t="str">
        <f>"1130174G00302    00"</f>
        <v>1130174G00302    00</v>
      </c>
      <c r="B6739" t="s">
        <v>15341</v>
      </c>
      <c r="C6739" t="s">
        <v>15342</v>
      </c>
      <c r="D6739" t="s">
        <v>20</v>
      </c>
      <c r="E6739" t="s">
        <v>39</v>
      </c>
      <c r="F6739">
        <v>0</v>
      </c>
      <c r="G6739">
        <v>0</v>
      </c>
      <c r="H6739">
        <v>19</v>
      </c>
      <c r="I6739" s="3">
        <v>304.33999999999997</v>
      </c>
      <c r="J6739" s="3">
        <v>318.3</v>
      </c>
      <c r="K6739" t="s">
        <v>1008</v>
      </c>
      <c r="P6739" t="str">
        <f>""</f>
        <v/>
      </c>
    </row>
    <row r="6740" spans="1:16" x14ac:dyDescent="0.25">
      <c r="A6740" t="str">
        <f>"1130174G00303    00"</f>
        <v>1130174G00303    00</v>
      </c>
      <c r="B6740" t="s">
        <v>15341</v>
      </c>
      <c r="C6740" t="s">
        <v>15342</v>
      </c>
      <c r="D6740" t="s">
        <v>20</v>
      </c>
      <c r="E6740" t="s">
        <v>39</v>
      </c>
      <c r="F6740">
        <v>0</v>
      </c>
      <c r="G6740">
        <v>0</v>
      </c>
      <c r="H6740">
        <v>19</v>
      </c>
      <c r="I6740" s="3">
        <v>360.6</v>
      </c>
      <c r="J6740" s="3">
        <v>350.07</v>
      </c>
      <c r="L6740">
        <v>735</v>
      </c>
      <c r="M6740" t="s">
        <v>10574</v>
      </c>
      <c r="N6740" t="s">
        <v>30</v>
      </c>
      <c r="O6740" t="s">
        <v>31</v>
      </c>
      <c r="P6740" t="str">
        <f>"15206"</f>
        <v>15206</v>
      </c>
    </row>
    <row r="6741" spans="1:16" x14ac:dyDescent="0.25">
      <c r="A6741" t="str">
        <f>"1130174G00305    00"</f>
        <v>1130174G00305    00</v>
      </c>
      <c r="B6741" t="s">
        <v>15343</v>
      </c>
      <c r="C6741" t="s">
        <v>15342</v>
      </c>
      <c r="D6741" t="s">
        <v>20</v>
      </c>
      <c r="E6741" t="s">
        <v>39</v>
      </c>
      <c r="F6741">
        <v>0</v>
      </c>
      <c r="G6741">
        <v>0</v>
      </c>
      <c r="H6741">
        <v>19</v>
      </c>
      <c r="I6741" s="3">
        <v>1034.4000000000001</v>
      </c>
      <c r="J6741" s="3">
        <v>749.28</v>
      </c>
      <c r="K6741" t="s">
        <v>1008</v>
      </c>
      <c r="P6741" t="str">
        <f>""</f>
        <v/>
      </c>
    </row>
    <row r="6742" spans="1:16" x14ac:dyDescent="0.25">
      <c r="A6742" t="str">
        <f>"1130174G00310    00"</f>
        <v>1130174G00310    00</v>
      </c>
      <c r="B6742" t="s">
        <v>15344</v>
      </c>
      <c r="C6742" t="s">
        <v>15342</v>
      </c>
      <c r="D6742" t="s">
        <v>20</v>
      </c>
      <c r="E6742" t="s">
        <v>39</v>
      </c>
      <c r="F6742">
        <v>0</v>
      </c>
      <c r="G6742">
        <v>0</v>
      </c>
      <c r="H6742">
        <v>19</v>
      </c>
      <c r="I6742" s="3">
        <v>787.36</v>
      </c>
      <c r="J6742" s="3">
        <v>573.65</v>
      </c>
      <c r="K6742" t="s">
        <v>1008</v>
      </c>
      <c r="P6742" t="str">
        <f>""</f>
        <v/>
      </c>
    </row>
    <row r="6743" spans="1:16" x14ac:dyDescent="0.25">
      <c r="A6743" t="str">
        <f>"1130174G00311    00"</f>
        <v>1130174G00311    00</v>
      </c>
      <c r="B6743" t="s">
        <v>15345</v>
      </c>
      <c r="C6743" t="s">
        <v>15342</v>
      </c>
      <c r="D6743" t="s">
        <v>20</v>
      </c>
      <c r="E6743" t="s">
        <v>39</v>
      </c>
      <c r="F6743">
        <v>0</v>
      </c>
      <c r="G6743">
        <v>0</v>
      </c>
      <c r="H6743">
        <v>19</v>
      </c>
      <c r="I6743" s="3">
        <v>787.36</v>
      </c>
      <c r="J6743" s="3">
        <v>573.65</v>
      </c>
      <c r="K6743" t="s">
        <v>15346</v>
      </c>
      <c r="L6743">
        <v>837</v>
      </c>
      <c r="M6743" t="s">
        <v>15347</v>
      </c>
      <c r="N6743" t="s">
        <v>30</v>
      </c>
      <c r="O6743" t="s">
        <v>31</v>
      </c>
      <c r="P6743" t="str">
        <f>"15215"</f>
        <v>15215</v>
      </c>
    </row>
    <row r="6744" spans="1:16" x14ac:dyDescent="0.25">
      <c r="A6744" t="str">
        <f>"1130174G00314    00"</f>
        <v>1130174G00314    00</v>
      </c>
      <c r="B6744" t="s">
        <v>15348</v>
      </c>
      <c r="C6744" t="s">
        <v>14506</v>
      </c>
      <c r="D6744" t="s">
        <v>20</v>
      </c>
      <c r="E6744" t="s">
        <v>39</v>
      </c>
      <c r="F6744">
        <v>0</v>
      </c>
      <c r="G6744">
        <v>0</v>
      </c>
      <c r="H6744">
        <v>16</v>
      </c>
      <c r="I6744" s="3">
        <v>668.01</v>
      </c>
      <c r="J6744" s="3">
        <v>454.7</v>
      </c>
      <c r="L6744">
        <v>7345</v>
      </c>
      <c r="M6744" t="s">
        <v>12378</v>
      </c>
      <c r="N6744" t="s">
        <v>30</v>
      </c>
      <c r="O6744" t="s">
        <v>31</v>
      </c>
      <c r="P6744" t="str">
        <f>"15208"</f>
        <v>15208</v>
      </c>
    </row>
    <row r="6745" spans="1:16" x14ac:dyDescent="0.25">
      <c r="A6745" t="str">
        <f>"1130174G00315    00"</f>
        <v>1130174G00315    00</v>
      </c>
      <c r="B6745" t="s">
        <v>15349</v>
      </c>
      <c r="C6745" t="s">
        <v>15350</v>
      </c>
      <c r="D6745" t="s">
        <v>20</v>
      </c>
      <c r="E6745" t="s">
        <v>39</v>
      </c>
      <c r="F6745">
        <v>0</v>
      </c>
      <c r="G6745">
        <v>0</v>
      </c>
      <c r="H6745">
        <v>8</v>
      </c>
      <c r="I6745" s="3">
        <v>3628.64</v>
      </c>
      <c r="J6745" s="3">
        <v>3415.81</v>
      </c>
      <c r="L6745">
        <v>7345</v>
      </c>
      <c r="M6745" t="s">
        <v>12378</v>
      </c>
      <c r="N6745" t="s">
        <v>30</v>
      </c>
      <c r="O6745" t="s">
        <v>31</v>
      </c>
      <c r="P6745" t="str">
        <f>"15208"</f>
        <v>15208</v>
      </c>
    </row>
    <row r="6746" spans="1:16" x14ac:dyDescent="0.25">
      <c r="A6746" t="str">
        <f>"1130174G00316    00"</f>
        <v>1130174G00316    00</v>
      </c>
      <c r="B6746" t="s">
        <v>15351</v>
      </c>
      <c r="C6746" t="s">
        <v>15352</v>
      </c>
      <c r="D6746" t="s">
        <v>20</v>
      </c>
      <c r="E6746" t="s">
        <v>39</v>
      </c>
      <c r="F6746">
        <v>0</v>
      </c>
      <c r="G6746">
        <v>0</v>
      </c>
      <c r="H6746">
        <v>2</v>
      </c>
      <c r="I6746" s="3">
        <v>507.28</v>
      </c>
      <c r="J6746" s="3">
        <v>0</v>
      </c>
      <c r="K6746" t="s">
        <v>15353</v>
      </c>
      <c r="L6746">
        <v>2751</v>
      </c>
      <c r="M6746" t="s">
        <v>15354</v>
      </c>
      <c r="N6746" t="s">
        <v>8009</v>
      </c>
      <c r="O6746" t="s">
        <v>25</v>
      </c>
      <c r="P6746" t="str">
        <f>"45005"</f>
        <v>45005</v>
      </c>
    </row>
    <row r="6747" spans="1:16" x14ac:dyDescent="0.25">
      <c r="A6747" t="str">
        <f>"1130174G00325    00"</f>
        <v>1130174G00325    00</v>
      </c>
      <c r="B6747" t="s">
        <v>15355</v>
      </c>
      <c r="C6747" t="s">
        <v>15356</v>
      </c>
      <c r="D6747" t="s">
        <v>20</v>
      </c>
      <c r="E6747" t="s">
        <v>39</v>
      </c>
      <c r="F6747">
        <v>0</v>
      </c>
      <c r="G6747">
        <v>0</v>
      </c>
      <c r="H6747">
        <v>17</v>
      </c>
      <c r="I6747" s="3">
        <v>8279.9500000000007</v>
      </c>
      <c r="J6747" s="3">
        <v>5153.88</v>
      </c>
      <c r="L6747">
        <v>1313</v>
      </c>
      <c r="M6747" t="s">
        <v>15357</v>
      </c>
      <c r="N6747" t="s">
        <v>30</v>
      </c>
      <c r="O6747" t="s">
        <v>31</v>
      </c>
      <c r="P6747" t="str">
        <f>"15208"</f>
        <v>15208</v>
      </c>
    </row>
    <row r="6748" spans="1:16" x14ac:dyDescent="0.25">
      <c r="A6748" t="str">
        <f>"1130174H00022    00"</f>
        <v>1130174H00022    00</v>
      </c>
      <c r="B6748" t="s">
        <v>15358</v>
      </c>
      <c r="C6748" t="s">
        <v>15359</v>
      </c>
      <c r="D6748" t="s">
        <v>20</v>
      </c>
      <c r="E6748" t="s">
        <v>39</v>
      </c>
      <c r="F6748">
        <v>0</v>
      </c>
      <c r="G6748">
        <v>0</v>
      </c>
      <c r="H6748">
        <v>19</v>
      </c>
      <c r="I6748" s="3">
        <v>6099.07</v>
      </c>
      <c r="J6748" s="3">
        <v>8417.68</v>
      </c>
      <c r="L6748">
        <v>810</v>
      </c>
      <c r="M6748" t="s">
        <v>15360</v>
      </c>
      <c r="N6748" t="s">
        <v>15361</v>
      </c>
      <c r="O6748" t="s">
        <v>2109</v>
      </c>
      <c r="P6748" t="str">
        <f>"84404"</f>
        <v>84404</v>
      </c>
    </row>
    <row r="6749" spans="1:16" x14ac:dyDescent="0.25">
      <c r="A6749" t="str">
        <f>"1130174H00023    00"</f>
        <v>1130174H00023    00</v>
      </c>
      <c r="B6749" t="s">
        <v>15362</v>
      </c>
      <c r="C6749" t="s">
        <v>15359</v>
      </c>
      <c r="D6749" t="s">
        <v>20</v>
      </c>
      <c r="E6749" t="s">
        <v>39</v>
      </c>
      <c r="F6749">
        <v>0</v>
      </c>
      <c r="G6749">
        <v>0</v>
      </c>
      <c r="H6749">
        <v>19</v>
      </c>
      <c r="I6749" s="3">
        <v>4273.01</v>
      </c>
      <c r="J6749" s="3">
        <v>6321.44</v>
      </c>
      <c r="L6749">
        <v>1006</v>
      </c>
      <c r="M6749" t="s">
        <v>15363</v>
      </c>
      <c r="N6749" t="s">
        <v>285</v>
      </c>
      <c r="O6749" t="s">
        <v>31</v>
      </c>
      <c r="P6749" t="str">
        <f>"15120"</f>
        <v>15120</v>
      </c>
    </row>
    <row r="6750" spans="1:16" x14ac:dyDescent="0.25">
      <c r="A6750" t="str">
        <f>"1130174H00025    00"</f>
        <v>1130174H00025    00</v>
      </c>
      <c r="B6750" t="s">
        <v>15364</v>
      </c>
      <c r="C6750" t="s">
        <v>15359</v>
      </c>
      <c r="D6750" t="s">
        <v>20</v>
      </c>
      <c r="E6750" t="s">
        <v>39</v>
      </c>
      <c r="F6750">
        <v>0</v>
      </c>
      <c r="G6750">
        <v>0</v>
      </c>
      <c r="H6750">
        <v>19</v>
      </c>
      <c r="I6750" s="3">
        <v>1815.56</v>
      </c>
      <c r="J6750" s="3">
        <v>2308.52</v>
      </c>
      <c r="L6750">
        <v>676</v>
      </c>
      <c r="M6750" t="s">
        <v>15365</v>
      </c>
      <c r="N6750" t="s">
        <v>15366</v>
      </c>
      <c r="O6750" t="s">
        <v>3486</v>
      </c>
      <c r="P6750" t="str">
        <f>"60440"</f>
        <v>60440</v>
      </c>
    </row>
    <row r="6751" spans="1:16" x14ac:dyDescent="0.25">
      <c r="A6751" t="str">
        <f>"1130174H00027    00"</f>
        <v>1130174H00027    00</v>
      </c>
      <c r="B6751" t="s">
        <v>15367</v>
      </c>
      <c r="C6751" t="s">
        <v>15359</v>
      </c>
      <c r="D6751" t="s">
        <v>20</v>
      </c>
      <c r="E6751" t="s">
        <v>39</v>
      </c>
      <c r="F6751">
        <v>0</v>
      </c>
      <c r="G6751">
        <v>0</v>
      </c>
      <c r="H6751">
        <v>19</v>
      </c>
      <c r="I6751" s="3">
        <v>6118.34</v>
      </c>
      <c r="J6751" s="3">
        <v>8595.1</v>
      </c>
      <c r="L6751">
        <v>1</v>
      </c>
      <c r="M6751" t="s">
        <v>15368</v>
      </c>
      <c r="N6751" t="s">
        <v>13311</v>
      </c>
      <c r="O6751" t="s">
        <v>200</v>
      </c>
      <c r="P6751" t="str">
        <f>"14203"</f>
        <v>14203</v>
      </c>
    </row>
    <row r="6752" spans="1:16" x14ac:dyDescent="0.25">
      <c r="A6752" t="str">
        <f>"1130174H00028    00"</f>
        <v>1130174H00028    00</v>
      </c>
      <c r="B6752" t="s">
        <v>15369</v>
      </c>
      <c r="C6752" t="s">
        <v>15359</v>
      </c>
      <c r="D6752" t="s">
        <v>20</v>
      </c>
      <c r="E6752" t="s">
        <v>39</v>
      </c>
      <c r="F6752">
        <v>0</v>
      </c>
      <c r="G6752">
        <v>0</v>
      </c>
      <c r="H6752">
        <v>18</v>
      </c>
      <c r="I6752" s="3">
        <v>2814.02</v>
      </c>
      <c r="J6752" s="3">
        <v>3863.09</v>
      </c>
      <c r="L6752">
        <v>219</v>
      </c>
      <c r="M6752" t="s">
        <v>15370</v>
      </c>
      <c r="N6752" t="s">
        <v>30</v>
      </c>
      <c r="O6752" t="s">
        <v>31</v>
      </c>
      <c r="P6752" t="str">
        <f>"15208"</f>
        <v>15208</v>
      </c>
    </row>
    <row r="6753" spans="1:16" x14ac:dyDescent="0.25">
      <c r="A6753" t="str">
        <f>"1130174H00031    00"</f>
        <v>1130174H00031    00</v>
      </c>
      <c r="B6753" t="s">
        <v>15371</v>
      </c>
      <c r="C6753" t="s">
        <v>15372</v>
      </c>
      <c r="E6753" t="s">
        <v>39</v>
      </c>
      <c r="F6753">
        <v>0</v>
      </c>
      <c r="G6753">
        <v>0</v>
      </c>
      <c r="H6753">
        <v>9</v>
      </c>
      <c r="I6753" s="3">
        <v>3205.38</v>
      </c>
      <c r="J6753" s="3">
        <v>4551.43</v>
      </c>
      <c r="L6753">
        <v>222</v>
      </c>
      <c r="M6753" t="s">
        <v>15370</v>
      </c>
      <c r="N6753" t="s">
        <v>30</v>
      </c>
      <c r="O6753" t="s">
        <v>31</v>
      </c>
      <c r="P6753" t="str">
        <f>"15208"</f>
        <v>15208</v>
      </c>
    </row>
    <row r="6754" spans="1:16" x14ac:dyDescent="0.25">
      <c r="A6754" t="str">
        <f>"1130174H00034    00"</f>
        <v>1130174H00034    00</v>
      </c>
      <c r="B6754" t="s">
        <v>15373</v>
      </c>
      <c r="C6754" t="s">
        <v>15359</v>
      </c>
      <c r="D6754" t="s">
        <v>20</v>
      </c>
      <c r="E6754" t="s">
        <v>39</v>
      </c>
      <c r="F6754">
        <v>0</v>
      </c>
      <c r="G6754">
        <v>0</v>
      </c>
      <c r="H6754">
        <v>12</v>
      </c>
      <c r="I6754" s="3">
        <v>244.11</v>
      </c>
      <c r="J6754" s="3">
        <v>186.64</v>
      </c>
      <c r="L6754">
        <v>402</v>
      </c>
      <c r="M6754" t="s">
        <v>15374</v>
      </c>
      <c r="N6754" t="s">
        <v>15375</v>
      </c>
      <c r="O6754" t="s">
        <v>2767</v>
      </c>
      <c r="P6754" t="str">
        <f>"36867"</f>
        <v>36867</v>
      </c>
    </row>
    <row r="6755" spans="1:16" x14ac:dyDescent="0.25">
      <c r="A6755" t="str">
        <f>"1130174H00044    00"</f>
        <v>1130174H00044    00</v>
      </c>
      <c r="B6755" t="s">
        <v>15376</v>
      </c>
      <c r="C6755" t="s">
        <v>14848</v>
      </c>
      <c r="D6755" t="s">
        <v>20</v>
      </c>
      <c r="E6755" t="s">
        <v>39</v>
      </c>
      <c r="F6755">
        <v>0</v>
      </c>
      <c r="G6755">
        <v>0</v>
      </c>
      <c r="H6755">
        <v>19</v>
      </c>
      <c r="I6755" s="3">
        <v>6780.55</v>
      </c>
      <c r="J6755" s="3">
        <v>8860.35</v>
      </c>
      <c r="L6755">
        <v>5444</v>
      </c>
      <c r="M6755" t="s">
        <v>10247</v>
      </c>
      <c r="N6755" t="s">
        <v>30</v>
      </c>
      <c r="O6755" t="s">
        <v>31</v>
      </c>
      <c r="P6755" t="str">
        <f>"15206"</f>
        <v>15206</v>
      </c>
    </row>
    <row r="6756" spans="1:16" x14ac:dyDescent="0.25">
      <c r="A6756" t="str">
        <f>"1130174H00049    00"</f>
        <v>1130174H00049    00</v>
      </c>
      <c r="B6756" t="s">
        <v>15377</v>
      </c>
      <c r="C6756" t="s">
        <v>14848</v>
      </c>
      <c r="D6756" t="s">
        <v>20</v>
      </c>
      <c r="E6756" t="s">
        <v>39</v>
      </c>
      <c r="F6756">
        <v>0</v>
      </c>
      <c r="G6756">
        <v>0</v>
      </c>
      <c r="H6756">
        <v>19</v>
      </c>
      <c r="I6756" s="3">
        <v>1870.69</v>
      </c>
      <c r="J6756" s="3">
        <v>1374.04</v>
      </c>
      <c r="K6756" t="s">
        <v>1008</v>
      </c>
      <c r="P6756" t="str">
        <f>""</f>
        <v/>
      </c>
    </row>
    <row r="6757" spans="1:16" x14ac:dyDescent="0.25">
      <c r="A6757" t="str">
        <f>"1130174H00050    00"</f>
        <v>1130174H00050    00</v>
      </c>
      <c r="B6757" t="s">
        <v>15378</v>
      </c>
      <c r="C6757" t="s">
        <v>15379</v>
      </c>
      <c r="D6757" t="s">
        <v>20</v>
      </c>
      <c r="E6757" t="s">
        <v>39</v>
      </c>
      <c r="F6757">
        <v>0</v>
      </c>
      <c r="G6757">
        <v>0</v>
      </c>
      <c r="H6757">
        <v>19</v>
      </c>
      <c r="I6757" s="3">
        <v>7704.3</v>
      </c>
      <c r="J6757" s="3">
        <v>7656.76</v>
      </c>
      <c r="L6757">
        <v>1102</v>
      </c>
      <c r="M6757" t="s">
        <v>2442</v>
      </c>
      <c r="N6757" t="s">
        <v>30</v>
      </c>
      <c r="O6757" t="s">
        <v>31</v>
      </c>
      <c r="P6757" t="str">
        <f>"15208"</f>
        <v>15208</v>
      </c>
    </row>
    <row r="6758" spans="1:16" x14ac:dyDescent="0.25">
      <c r="A6758" t="str">
        <f>"1130174H00051    00"</f>
        <v>1130174H00051    00</v>
      </c>
      <c r="B6758" t="s">
        <v>15380</v>
      </c>
      <c r="C6758" t="s">
        <v>15381</v>
      </c>
      <c r="D6758" t="s">
        <v>20</v>
      </c>
      <c r="E6758" t="s">
        <v>39</v>
      </c>
      <c r="F6758">
        <v>0</v>
      </c>
      <c r="G6758">
        <v>0</v>
      </c>
      <c r="H6758">
        <v>3</v>
      </c>
      <c r="I6758" s="3">
        <v>514.64</v>
      </c>
      <c r="J6758" s="3">
        <v>72.540000000000006</v>
      </c>
      <c r="L6758">
        <v>970</v>
      </c>
      <c r="M6758" t="s">
        <v>15382</v>
      </c>
      <c r="N6758" t="s">
        <v>5797</v>
      </c>
      <c r="O6758" t="s">
        <v>200</v>
      </c>
      <c r="P6758" t="str">
        <f>"11205"</f>
        <v>11205</v>
      </c>
    </row>
    <row r="6759" spans="1:16" x14ac:dyDescent="0.25">
      <c r="A6759" t="str">
        <f>"1130174H00052    00"</f>
        <v>1130174H00052    00</v>
      </c>
      <c r="B6759" t="s">
        <v>15383</v>
      </c>
      <c r="C6759" t="s">
        <v>15384</v>
      </c>
      <c r="D6759" t="s">
        <v>20</v>
      </c>
      <c r="E6759" t="s">
        <v>39</v>
      </c>
      <c r="F6759">
        <v>0</v>
      </c>
      <c r="G6759">
        <v>0</v>
      </c>
      <c r="H6759">
        <v>4</v>
      </c>
      <c r="I6759" s="3">
        <v>979.65</v>
      </c>
      <c r="J6759" s="3">
        <v>115.72</v>
      </c>
      <c r="L6759">
        <v>1624</v>
      </c>
      <c r="M6759" t="s">
        <v>5055</v>
      </c>
      <c r="N6759" t="s">
        <v>30</v>
      </c>
      <c r="O6759" t="s">
        <v>31</v>
      </c>
      <c r="P6759" t="str">
        <f>"15221"</f>
        <v>15221</v>
      </c>
    </row>
    <row r="6760" spans="1:16" x14ac:dyDescent="0.25">
      <c r="A6760" t="str">
        <f>"1130174H00053    00"</f>
        <v>1130174H00053    00</v>
      </c>
      <c r="B6760" t="s">
        <v>15385</v>
      </c>
      <c r="C6760" t="s">
        <v>15386</v>
      </c>
      <c r="D6760" t="s">
        <v>20</v>
      </c>
      <c r="E6760" t="s">
        <v>39</v>
      </c>
      <c r="F6760">
        <v>0</v>
      </c>
      <c r="G6760">
        <v>0</v>
      </c>
      <c r="H6760">
        <v>1</v>
      </c>
      <c r="I6760" s="3">
        <v>306.88</v>
      </c>
      <c r="J6760" s="3">
        <v>0</v>
      </c>
      <c r="L6760">
        <v>557</v>
      </c>
      <c r="M6760" t="s">
        <v>11623</v>
      </c>
      <c r="N6760" t="s">
        <v>30</v>
      </c>
      <c r="O6760" t="s">
        <v>31</v>
      </c>
      <c r="P6760" t="str">
        <f>"15208"</f>
        <v>15208</v>
      </c>
    </row>
    <row r="6761" spans="1:16" x14ac:dyDescent="0.25">
      <c r="A6761" t="str">
        <f>"1130174H00056    00"</f>
        <v>1130174H00056    00</v>
      </c>
      <c r="B6761" t="s">
        <v>15387</v>
      </c>
      <c r="C6761" t="s">
        <v>15388</v>
      </c>
      <c r="D6761" t="s">
        <v>20</v>
      </c>
      <c r="E6761" t="s">
        <v>39</v>
      </c>
      <c r="F6761">
        <v>0</v>
      </c>
      <c r="G6761">
        <v>0</v>
      </c>
      <c r="H6761">
        <v>19</v>
      </c>
      <c r="I6761" s="3">
        <v>5041.3500000000004</v>
      </c>
      <c r="J6761" s="3">
        <v>4791</v>
      </c>
      <c r="L6761">
        <v>146</v>
      </c>
      <c r="M6761" t="s">
        <v>12364</v>
      </c>
      <c r="N6761" t="s">
        <v>1046</v>
      </c>
      <c r="O6761" t="s">
        <v>31</v>
      </c>
      <c r="P6761" t="str">
        <f>"15147"</f>
        <v>15147</v>
      </c>
    </row>
    <row r="6762" spans="1:16" x14ac:dyDescent="0.25">
      <c r="A6762" t="str">
        <f>"1130174H00057    00"</f>
        <v>1130174H00057    00</v>
      </c>
      <c r="B6762" t="s">
        <v>11694</v>
      </c>
      <c r="C6762" t="s">
        <v>15389</v>
      </c>
      <c r="D6762" t="s">
        <v>20</v>
      </c>
      <c r="E6762" t="s">
        <v>39</v>
      </c>
      <c r="F6762">
        <v>0</v>
      </c>
      <c r="G6762">
        <v>0</v>
      </c>
      <c r="H6762">
        <v>7</v>
      </c>
      <c r="I6762" s="3">
        <v>2244.7600000000002</v>
      </c>
      <c r="J6762" s="3">
        <v>620.73</v>
      </c>
      <c r="K6762" t="s">
        <v>15390</v>
      </c>
      <c r="L6762">
        <v>1208</v>
      </c>
      <c r="M6762" t="s">
        <v>11695</v>
      </c>
      <c r="N6762" t="s">
        <v>30</v>
      </c>
      <c r="O6762" t="s">
        <v>31</v>
      </c>
      <c r="P6762" t="str">
        <f>"15206"</f>
        <v>15206</v>
      </c>
    </row>
    <row r="6763" spans="1:16" x14ac:dyDescent="0.25">
      <c r="A6763" t="str">
        <f>"1130174H00058    00"</f>
        <v>1130174H00058    00</v>
      </c>
      <c r="B6763" t="s">
        <v>15391</v>
      </c>
      <c r="C6763" t="s">
        <v>15392</v>
      </c>
      <c r="D6763" t="s">
        <v>20</v>
      </c>
      <c r="E6763" t="s">
        <v>39</v>
      </c>
      <c r="F6763">
        <v>0</v>
      </c>
      <c r="G6763">
        <v>0</v>
      </c>
      <c r="H6763">
        <v>4</v>
      </c>
      <c r="I6763" s="3">
        <v>1518.88</v>
      </c>
      <c r="J6763" s="3">
        <v>179.43</v>
      </c>
      <c r="L6763">
        <v>10420</v>
      </c>
      <c r="M6763" t="s">
        <v>11939</v>
      </c>
      <c r="N6763" t="s">
        <v>30</v>
      </c>
      <c r="O6763" t="s">
        <v>31</v>
      </c>
      <c r="P6763" t="str">
        <f>"15235"</f>
        <v>15235</v>
      </c>
    </row>
    <row r="6764" spans="1:16" x14ac:dyDescent="0.25">
      <c r="A6764" t="str">
        <f>"1130174H00060    00"</f>
        <v>1130174H00060    00</v>
      </c>
      <c r="B6764" t="s">
        <v>1125</v>
      </c>
      <c r="C6764" t="s">
        <v>14848</v>
      </c>
      <c r="D6764" t="s">
        <v>20</v>
      </c>
      <c r="E6764" t="s">
        <v>39</v>
      </c>
      <c r="F6764">
        <v>0</v>
      </c>
      <c r="G6764">
        <v>0</v>
      </c>
      <c r="H6764">
        <v>19</v>
      </c>
      <c r="I6764" s="3">
        <v>6005.16</v>
      </c>
      <c r="J6764" s="3">
        <v>6571.04</v>
      </c>
      <c r="L6764">
        <v>1809</v>
      </c>
      <c r="M6764" t="s">
        <v>1132</v>
      </c>
      <c r="N6764" t="s">
        <v>30</v>
      </c>
      <c r="O6764" t="s">
        <v>31</v>
      </c>
      <c r="P6764" t="str">
        <f>"15219"</f>
        <v>15219</v>
      </c>
    </row>
    <row r="6765" spans="1:16" x14ac:dyDescent="0.25">
      <c r="A6765" t="str">
        <f>"1130174H00080    00"</f>
        <v>1130174H00080    00</v>
      </c>
      <c r="B6765" t="s">
        <v>15393</v>
      </c>
      <c r="C6765" t="s">
        <v>15394</v>
      </c>
      <c r="D6765" t="s">
        <v>20</v>
      </c>
      <c r="E6765" t="s">
        <v>39</v>
      </c>
      <c r="F6765">
        <v>0</v>
      </c>
      <c r="G6765">
        <v>0</v>
      </c>
      <c r="H6765">
        <v>12</v>
      </c>
      <c r="I6765" s="3">
        <v>7702.28</v>
      </c>
      <c r="J6765" s="3">
        <v>4051.47</v>
      </c>
      <c r="L6765">
        <v>13024</v>
      </c>
      <c r="M6765" t="s">
        <v>15395</v>
      </c>
      <c r="N6765" t="s">
        <v>15396</v>
      </c>
      <c r="O6765" t="s">
        <v>495</v>
      </c>
      <c r="P6765" t="str">
        <f>"90250"</f>
        <v>90250</v>
      </c>
    </row>
    <row r="6766" spans="1:16" x14ac:dyDescent="0.25">
      <c r="A6766" t="str">
        <f>"1130174H00083    00"</f>
        <v>1130174H00083    00</v>
      </c>
      <c r="B6766" t="s">
        <v>15397</v>
      </c>
      <c r="C6766" t="s">
        <v>15398</v>
      </c>
      <c r="D6766" t="s">
        <v>20</v>
      </c>
      <c r="E6766" t="s">
        <v>39</v>
      </c>
      <c r="F6766">
        <v>0</v>
      </c>
      <c r="G6766">
        <v>0</v>
      </c>
      <c r="H6766">
        <v>7</v>
      </c>
      <c r="I6766" s="3">
        <v>258.77999999999997</v>
      </c>
      <c r="J6766" s="3">
        <v>71.31</v>
      </c>
      <c r="L6766">
        <v>1107</v>
      </c>
      <c r="M6766" t="s">
        <v>13892</v>
      </c>
      <c r="N6766" t="s">
        <v>30</v>
      </c>
      <c r="O6766" t="s">
        <v>31</v>
      </c>
      <c r="P6766" t="str">
        <f>"15221"</f>
        <v>15221</v>
      </c>
    </row>
    <row r="6767" spans="1:16" x14ac:dyDescent="0.25">
      <c r="A6767" t="str">
        <f>"1130174H00085    00"</f>
        <v>1130174H00085    00</v>
      </c>
      <c r="B6767" t="s">
        <v>15399</v>
      </c>
      <c r="C6767" t="s">
        <v>14853</v>
      </c>
      <c r="D6767" t="s">
        <v>20</v>
      </c>
      <c r="E6767" t="s">
        <v>39</v>
      </c>
      <c r="F6767">
        <v>0</v>
      </c>
      <c r="G6767">
        <v>0</v>
      </c>
      <c r="H6767">
        <v>19</v>
      </c>
      <c r="I6767" s="3">
        <v>8212.23</v>
      </c>
      <c r="J6767" s="3">
        <v>11328.41</v>
      </c>
      <c r="L6767">
        <v>548</v>
      </c>
      <c r="M6767" t="s">
        <v>13300</v>
      </c>
      <c r="N6767" t="s">
        <v>30</v>
      </c>
      <c r="O6767" t="s">
        <v>31</v>
      </c>
      <c r="P6767" t="str">
        <f>"15208"</f>
        <v>15208</v>
      </c>
    </row>
    <row r="6768" spans="1:16" x14ac:dyDescent="0.25">
      <c r="A6768" t="str">
        <f>"1130174H00086    00"</f>
        <v>1130174H00086    00</v>
      </c>
      <c r="B6768" t="s">
        <v>15400</v>
      </c>
      <c r="C6768" t="s">
        <v>14853</v>
      </c>
      <c r="D6768" t="s">
        <v>20</v>
      </c>
      <c r="E6768" t="s">
        <v>39</v>
      </c>
      <c r="F6768">
        <v>0</v>
      </c>
      <c r="G6768">
        <v>0</v>
      </c>
      <c r="H6768">
        <v>14</v>
      </c>
      <c r="I6768" s="3">
        <v>1022.8</v>
      </c>
      <c r="J6768" s="3">
        <v>713.13</v>
      </c>
      <c r="K6768" t="s">
        <v>15401</v>
      </c>
      <c r="L6768">
        <v>509</v>
      </c>
      <c r="M6768" t="s">
        <v>15402</v>
      </c>
      <c r="N6768" t="s">
        <v>636</v>
      </c>
      <c r="O6768" t="s">
        <v>31</v>
      </c>
      <c r="P6768" t="str">
        <f>"15104"</f>
        <v>15104</v>
      </c>
    </row>
    <row r="6769" spans="1:16" x14ac:dyDescent="0.25">
      <c r="A6769" t="str">
        <f>"1130174H00091    00"</f>
        <v>1130174H00091    00</v>
      </c>
      <c r="B6769" t="s">
        <v>15403</v>
      </c>
      <c r="C6769" t="s">
        <v>14853</v>
      </c>
      <c r="D6769" t="s">
        <v>20</v>
      </c>
      <c r="E6769" t="s">
        <v>39</v>
      </c>
      <c r="F6769">
        <v>0</v>
      </c>
      <c r="G6769">
        <v>0</v>
      </c>
      <c r="H6769">
        <v>19</v>
      </c>
      <c r="I6769" s="3">
        <v>1957.78</v>
      </c>
      <c r="J6769" s="3">
        <v>1979.7</v>
      </c>
      <c r="K6769" t="s">
        <v>15404</v>
      </c>
      <c r="L6769">
        <v>833</v>
      </c>
      <c r="M6769" t="s">
        <v>15405</v>
      </c>
      <c r="N6769" t="s">
        <v>30</v>
      </c>
      <c r="O6769" t="s">
        <v>31</v>
      </c>
      <c r="P6769" t="str">
        <f>"15208"</f>
        <v>15208</v>
      </c>
    </row>
    <row r="6770" spans="1:16" x14ac:dyDescent="0.25">
      <c r="A6770" t="str">
        <f>"1130174H00093    00"</f>
        <v>1130174H00093    00</v>
      </c>
      <c r="B6770" t="s">
        <v>15406</v>
      </c>
      <c r="C6770" t="s">
        <v>14853</v>
      </c>
      <c r="D6770" t="s">
        <v>20</v>
      </c>
      <c r="E6770" t="s">
        <v>39</v>
      </c>
      <c r="F6770">
        <v>0</v>
      </c>
      <c r="G6770">
        <v>0</v>
      </c>
      <c r="H6770">
        <v>16</v>
      </c>
      <c r="I6770" s="3">
        <v>1404.49</v>
      </c>
      <c r="J6770" s="3">
        <v>1572.24</v>
      </c>
      <c r="K6770" t="s">
        <v>15407</v>
      </c>
      <c r="L6770">
        <v>1112</v>
      </c>
      <c r="M6770" t="s">
        <v>15408</v>
      </c>
      <c r="N6770" t="s">
        <v>30</v>
      </c>
      <c r="O6770" t="s">
        <v>31</v>
      </c>
      <c r="P6770" t="str">
        <f>"15221"</f>
        <v>15221</v>
      </c>
    </row>
    <row r="6771" spans="1:16" x14ac:dyDescent="0.25">
      <c r="A6771" t="str">
        <f>"1130174H00094    00"</f>
        <v>1130174H00094    00</v>
      </c>
      <c r="B6771" t="s">
        <v>15406</v>
      </c>
      <c r="C6771" t="s">
        <v>15409</v>
      </c>
      <c r="E6771" t="s">
        <v>39</v>
      </c>
      <c r="F6771">
        <v>0</v>
      </c>
      <c r="G6771">
        <v>0</v>
      </c>
      <c r="H6771">
        <v>11</v>
      </c>
      <c r="I6771" s="3">
        <v>5402.92</v>
      </c>
      <c r="J6771" s="3">
        <v>7539.96</v>
      </c>
      <c r="K6771" t="s">
        <v>15407</v>
      </c>
      <c r="L6771">
        <v>1108</v>
      </c>
      <c r="M6771" t="s">
        <v>15408</v>
      </c>
      <c r="N6771" t="s">
        <v>30</v>
      </c>
      <c r="O6771" t="s">
        <v>31</v>
      </c>
      <c r="P6771" t="str">
        <f>"15221"</f>
        <v>15221</v>
      </c>
    </row>
    <row r="6772" spans="1:16" x14ac:dyDescent="0.25">
      <c r="A6772" t="str">
        <f>"1130174H00095    00"</f>
        <v>1130174H00095    00</v>
      </c>
      <c r="B6772" t="s">
        <v>15410</v>
      </c>
      <c r="C6772" t="s">
        <v>15411</v>
      </c>
      <c r="D6772" t="s">
        <v>20</v>
      </c>
      <c r="E6772" t="s">
        <v>39</v>
      </c>
      <c r="F6772">
        <v>0</v>
      </c>
      <c r="G6772">
        <v>0</v>
      </c>
      <c r="H6772">
        <v>8</v>
      </c>
      <c r="I6772" s="3">
        <v>3285.2</v>
      </c>
      <c r="J6772" s="3">
        <v>1074.97</v>
      </c>
      <c r="L6772">
        <v>940</v>
      </c>
      <c r="M6772" t="s">
        <v>8907</v>
      </c>
      <c r="N6772" t="s">
        <v>30</v>
      </c>
      <c r="O6772" t="s">
        <v>31</v>
      </c>
      <c r="P6772" t="str">
        <f>"15201"</f>
        <v>15201</v>
      </c>
    </row>
    <row r="6773" spans="1:16" x14ac:dyDescent="0.25">
      <c r="A6773" t="str">
        <f>"1130174H00096    00"</f>
        <v>1130174H00096    00</v>
      </c>
      <c r="B6773" t="s">
        <v>15412</v>
      </c>
      <c r="C6773" t="s">
        <v>15413</v>
      </c>
      <c r="D6773" t="s">
        <v>20</v>
      </c>
      <c r="E6773" t="s">
        <v>39</v>
      </c>
      <c r="F6773">
        <v>0</v>
      </c>
      <c r="G6773">
        <v>0</v>
      </c>
      <c r="H6773">
        <v>17</v>
      </c>
      <c r="I6773" s="3">
        <v>178.33</v>
      </c>
      <c r="J6773" s="3">
        <v>207.61</v>
      </c>
      <c r="L6773">
        <v>5170</v>
      </c>
      <c r="M6773" t="s">
        <v>2901</v>
      </c>
      <c r="N6773" t="s">
        <v>30</v>
      </c>
      <c r="O6773" t="s">
        <v>31</v>
      </c>
      <c r="P6773" t="str">
        <f>"15224"</f>
        <v>15224</v>
      </c>
    </row>
    <row r="6774" spans="1:16" x14ac:dyDescent="0.25">
      <c r="A6774" t="str">
        <f>"1130174H00099    00"</f>
        <v>1130174H00099    00</v>
      </c>
      <c r="B6774" t="s">
        <v>15414</v>
      </c>
      <c r="C6774" t="s">
        <v>15415</v>
      </c>
      <c r="D6774" t="s">
        <v>20</v>
      </c>
      <c r="E6774" t="s">
        <v>39</v>
      </c>
      <c r="F6774">
        <v>0</v>
      </c>
      <c r="G6774">
        <v>0</v>
      </c>
      <c r="H6774">
        <v>7</v>
      </c>
      <c r="I6774" s="3">
        <v>2175.34</v>
      </c>
      <c r="J6774" s="3">
        <v>482.23</v>
      </c>
      <c r="K6774" t="s">
        <v>15416</v>
      </c>
      <c r="L6774">
        <v>653</v>
      </c>
      <c r="M6774" t="s">
        <v>15417</v>
      </c>
      <c r="N6774" t="s">
        <v>30</v>
      </c>
      <c r="O6774" t="s">
        <v>31</v>
      </c>
      <c r="P6774" t="str">
        <f>"15202"</f>
        <v>15202</v>
      </c>
    </row>
    <row r="6775" spans="1:16" x14ac:dyDescent="0.25">
      <c r="A6775" t="str">
        <f>"1130174H00108    00"</f>
        <v>1130174H00108    00</v>
      </c>
      <c r="B6775" t="s">
        <v>15418</v>
      </c>
      <c r="C6775" t="s">
        <v>14853</v>
      </c>
      <c r="E6775" t="s">
        <v>39</v>
      </c>
      <c r="F6775">
        <v>0</v>
      </c>
      <c r="G6775">
        <v>0</v>
      </c>
      <c r="H6775">
        <v>2</v>
      </c>
      <c r="I6775" s="3">
        <v>487.43</v>
      </c>
      <c r="J6775" s="3">
        <v>795.49</v>
      </c>
      <c r="K6775" t="s">
        <v>15419</v>
      </c>
      <c r="L6775">
        <v>5330</v>
      </c>
      <c r="M6775" t="s">
        <v>15420</v>
      </c>
      <c r="N6775" t="s">
        <v>30</v>
      </c>
      <c r="O6775" t="s">
        <v>31</v>
      </c>
      <c r="P6775" t="str">
        <f>"15224"</f>
        <v>15224</v>
      </c>
    </row>
    <row r="6776" spans="1:16" x14ac:dyDescent="0.25">
      <c r="A6776" t="str">
        <f>"1130174H00116    00"</f>
        <v>1130174H00116    00</v>
      </c>
      <c r="B6776" t="s">
        <v>15421</v>
      </c>
      <c r="C6776" t="s">
        <v>15422</v>
      </c>
      <c r="D6776" t="s">
        <v>20</v>
      </c>
      <c r="E6776" t="s">
        <v>39</v>
      </c>
      <c r="F6776">
        <v>0</v>
      </c>
      <c r="G6776">
        <v>0</v>
      </c>
      <c r="H6776">
        <v>2</v>
      </c>
      <c r="I6776" s="3">
        <v>201.44</v>
      </c>
      <c r="J6776" s="3">
        <v>0</v>
      </c>
      <c r="L6776">
        <v>1082</v>
      </c>
      <c r="M6776" t="s">
        <v>13892</v>
      </c>
      <c r="N6776" t="s">
        <v>30</v>
      </c>
      <c r="O6776" t="s">
        <v>31</v>
      </c>
      <c r="P6776" t="str">
        <f>"15221"</f>
        <v>15221</v>
      </c>
    </row>
    <row r="6777" spans="1:16" x14ac:dyDescent="0.25">
      <c r="A6777" t="str">
        <f>"1130174H00121    00"</f>
        <v>1130174H00121    00</v>
      </c>
      <c r="B6777" t="s">
        <v>15423</v>
      </c>
      <c r="C6777" t="s">
        <v>15424</v>
      </c>
      <c r="E6777" t="s">
        <v>39</v>
      </c>
      <c r="F6777">
        <v>0</v>
      </c>
      <c r="G6777">
        <v>0</v>
      </c>
      <c r="H6777">
        <v>5</v>
      </c>
      <c r="I6777" s="3">
        <v>708.19</v>
      </c>
      <c r="J6777" s="3">
        <v>693.1</v>
      </c>
      <c r="L6777">
        <v>1223</v>
      </c>
      <c r="M6777" t="s">
        <v>15425</v>
      </c>
      <c r="N6777" t="s">
        <v>295</v>
      </c>
      <c r="O6777" t="s">
        <v>31</v>
      </c>
      <c r="P6777" t="str">
        <f>"15146"</f>
        <v>15146</v>
      </c>
    </row>
    <row r="6778" spans="1:16" x14ac:dyDescent="0.25">
      <c r="A6778" t="str">
        <f>"1130174H00122    00"</f>
        <v>1130174H00122    00</v>
      </c>
      <c r="B6778" t="s">
        <v>15423</v>
      </c>
      <c r="C6778" t="s">
        <v>14853</v>
      </c>
      <c r="E6778" t="s">
        <v>39</v>
      </c>
      <c r="F6778">
        <v>0</v>
      </c>
      <c r="G6778">
        <v>0</v>
      </c>
      <c r="H6778">
        <v>3</v>
      </c>
      <c r="I6778" s="3">
        <v>221.21</v>
      </c>
      <c r="J6778" s="3">
        <v>167.88</v>
      </c>
      <c r="L6778">
        <v>1223</v>
      </c>
      <c r="M6778" t="s">
        <v>15425</v>
      </c>
      <c r="N6778" t="s">
        <v>295</v>
      </c>
      <c r="O6778" t="s">
        <v>31</v>
      </c>
      <c r="P6778" t="str">
        <f>"15146"</f>
        <v>15146</v>
      </c>
    </row>
    <row r="6779" spans="1:16" x14ac:dyDescent="0.25">
      <c r="A6779" t="str">
        <f>"1130174H00125    00"</f>
        <v>1130174H00125    00</v>
      </c>
      <c r="B6779" t="s">
        <v>15426</v>
      </c>
      <c r="C6779" t="s">
        <v>14853</v>
      </c>
      <c r="D6779" t="s">
        <v>20</v>
      </c>
      <c r="E6779" t="s">
        <v>39</v>
      </c>
      <c r="F6779">
        <v>0</v>
      </c>
      <c r="G6779">
        <v>0</v>
      </c>
      <c r="H6779">
        <v>19</v>
      </c>
      <c r="I6779" s="3">
        <v>4814.62</v>
      </c>
      <c r="J6779" s="3">
        <v>6131.74</v>
      </c>
      <c r="P6779" t="str">
        <f>""</f>
        <v/>
      </c>
    </row>
    <row r="6780" spans="1:16" x14ac:dyDescent="0.25">
      <c r="A6780" t="str">
        <f>"1130174H00134    00"</f>
        <v>1130174H00134    00</v>
      </c>
      <c r="B6780" t="s">
        <v>15427</v>
      </c>
      <c r="C6780" t="s">
        <v>15428</v>
      </c>
      <c r="D6780" t="s">
        <v>20</v>
      </c>
      <c r="E6780" t="s">
        <v>39</v>
      </c>
      <c r="F6780">
        <v>0</v>
      </c>
      <c r="G6780">
        <v>0</v>
      </c>
      <c r="H6780">
        <v>3</v>
      </c>
      <c r="I6780" s="3">
        <v>886.32</v>
      </c>
      <c r="J6780" s="3">
        <v>59.09</v>
      </c>
      <c r="K6780" t="s">
        <v>15429</v>
      </c>
      <c r="L6780">
        <v>1045</v>
      </c>
      <c r="M6780" t="s">
        <v>15408</v>
      </c>
      <c r="N6780" t="s">
        <v>30</v>
      </c>
      <c r="O6780" t="s">
        <v>31</v>
      </c>
      <c r="P6780" t="str">
        <f>"15221"</f>
        <v>15221</v>
      </c>
    </row>
    <row r="6781" spans="1:16" x14ac:dyDescent="0.25">
      <c r="A6781" t="str">
        <f>"1130174H00141    00"</f>
        <v>1130174H00141    00</v>
      </c>
      <c r="B6781" t="s">
        <v>15430</v>
      </c>
      <c r="C6781" t="s">
        <v>15431</v>
      </c>
      <c r="D6781" t="s">
        <v>20</v>
      </c>
      <c r="E6781" t="s">
        <v>39</v>
      </c>
      <c r="F6781">
        <v>0</v>
      </c>
      <c r="G6781">
        <v>0</v>
      </c>
      <c r="H6781">
        <v>18</v>
      </c>
      <c r="I6781" s="3">
        <v>7792.02</v>
      </c>
      <c r="J6781" s="3">
        <v>6854.55</v>
      </c>
      <c r="L6781">
        <v>7508</v>
      </c>
      <c r="M6781" t="s">
        <v>15432</v>
      </c>
      <c r="N6781" t="s">
        <v>15433</v>
      </c>
      <c r="O6781" t="s">
        <v>692</v>
      </c>
      <c r="P6781" t="str">
        <f>"22150"</f>
        <v>22150</v>
      </c>
    </row>
    <row r="6782" spans="1:16" x14ac:dyDescent="0.25">
      <c r="A6782" t="str">
        <f>"1130174H00143    00"</f>
        <v>1130174H00143    00</v>
      </c>
      <c r="B6782" t="s">
        <v>15434</v>
      </c>
      <c r="C6782" t="s">
        <v>14853</v>
      </c>
      <c r="D6782" t="s">
        <v>20</v>
      </c>
      <c r="E6782" t="s">
        <v>39</v>
      </c>
      <c r="F6782">
        <v>0</v>
      </c>
      <c r="G6782">
        <v>0</v>
      </c>
      <c r="H6782">
        <v>19</v>
      </c>
      <c r="I6782" s="3">
        <v>2341.73</v>
      </c>
      <c r="J6782" s="3">
        <v>2880.2</v>
      </c>
      <c r="L6782">
        <v>1063</v>
      </c>
      <c r="M6782" t="s">
        <v>13892</v>
      </c>
      <c r="N6782" t="s">
        <v>30</v>
      </c>
      <c r="O6782" t="s">
        <v>31</v>
      </c>
      <c r="P6782" t="str">
        <f>"15221"</f>
        <v>15221</v>
      </c>
    </row>
    <row r="6783" spans="1:16" x14ac:dyDescent="0.25">
      <c r="A6783" t="str">
        <f>"1130174H00144    00"</f>
        <v>1130174H00144    00</v>
      </c>
      <c r="B6783" t="s">
        <v>15435</v>
      </c>
      <c r="C6783" t="s">
        <v>14853</v>
      </c>
      <c r="D6783" t="s">
        <v>20</v>
      </c>
      <c r="E6783" t="s">
        <v>39</v>
      </c>
      <c r="F6783">
        <v>0</v>
      </c>
      <c r="G6783">
        <v>0</v>
      </c>
      <c r="H6783">
        <v>19</v>
      </c>
      <c r="I6783" s="3">
        <v>1900.1</v>
      </c>
      <c r="J6783" s="3">
        <v>2016.62</v>
      </c>
      <c r="P6783" t="str">
        <f>""</f>
        <v/>
      </c>
    </row>
    <row r="6784" spans="1:16" x14ac:dyDescent="0.25">
      <c r="A6784" t="str">
        <f>"1130174H00146    00"</f>
        <v>1130174H00146    00</v>
      </c>
      <c r="B6784" t="s">
        <v>15436</v>
      </c>
      <c r="C6784" t="s">
        <v>15437</v>
      </c>
      <c r="E6784" t="s">
        <v>39</v>
      </c>
      <c r="F6784">
        <v>0</v>
      </c>
      <c r="G6784">
        <v>0</v>
      </c>
      <c r="H6784">
        <v>5</v>
      </c>
      <c r="I6784" s="3">
        <v>1227.47</v>
      </c>
      <c r="J6784" s="3">
        <v>1190.07</v>
      </c>
      <c r="L6784">
        <v>1223</v>
      </c>
      <c r="M6784" t="s">
        <v>15425</v>
      </c>
      <c r="N6784" t="s">
        <v>295</v>
      </c>
      <c r="O6784" t="s">
        <v>31</v>
      </c>
      <c r="P6784" t="str">
        <f>"15146"</f>
        <v>15146</v>
      </c>
    </row>
    <row r="6785" spans="1:16" x14ac:dyDescent="0.25">
      <c r="A6785" t="str">
        <f>"1130174H00147    00"</f>
        <v>1130174H00147    00</v>
      </c>
      <c r="B6785" t="s">
        <v>15423</v>
      </c>
      <c r="C6785" t="s">
        <v>14853</v>
      </c>
      <c r="E6785" t="s">
        <v>39</v>
      </c>
      <c r="F6785">
        <v>0</v>
      </c>
      <c r="G6785">
        <v>0</v>
      </c>
      <c r="H6785">
        <v>4</v>
      </c>
      <c r="I6785" s="3">
        <v>926.91</v>
      </c>
      <c r="J6785" s="3">
        <v>930.28</v>
      </c>
      <c r="L6785">
        <v>1223</v>
      </c>
      <c r="M6785" t="s">
        <v>15425</v>
      </c>
      <c r="N6785" t="s">
        <v>295</v>
      </c>
      <c r="O6785" t="s">
        <v>31</v>
      </c>
      <c r="P6785" t="str">
        <f>"15146"</f>
        <v>15146</v>
      </c>
    </row>
    <row r="6786" spans="1:16" x14ac:dyDescent="0.25">
      <c r="A6786" t="str">
        <f>"1130174H00154    00"</f>
        <v>1130174H00154    00</v>
      </c>
      <c r="B6786" t="s">
        <v>15438</v>
      </c>
      <c r="C6786" t="s">
        <v>15439</v>
      </c>
      <c r="D6786" t="s">
        <v>20</v>
      </c>
      <c r="E6786" t="s">
        <v>39</v>
      </c>
      <c r="F6786">
        <v>0</v>
      </c>
      <c r="G6786">
        <v>0</v>
      </c>
      <c r="H6786">
        <v>1</v>
      </c>
      <c r="I6786" s="3">
        <v>472.71</v>
      </c>
      <c r="J6786" s="3">
        <v>0</v>
      </c>
      <c r="K6786" t="s">
        <v>15440</v>
      </c>
      <c r="L6786">
        <v>1085</v>
      </c>
      <c r="M6786" t="s">
        <v>15408</v>
      </c>
      <c r="N6786" t="s">
        <v>30</v>
      </c>
      <c r="O6786" t="s">
        <v>31</v>
      </c>
      <c r="P6786" t="str">
        <f>"15221"</f>
        <v>15221</v>
      </c>
    </row>
    <row r="6787" spans="1:16" x14ac:dyDescent="0.25">
      <c r="A6787" t="str">
        <f>"1130174H00158    00"</f>
        <v>1130174H00158    00</v>
      </c>
      <c r="B6787" t="s">
        <v>15441</v>
      </c>
      <c r="C6787" t="s">
        <v>15442</v>
      </c>
      <c r="D6787" t="s">
        <v>20</v>
      </c>
      <c r="E6787" t="s">
        <v>39</v>
      </c>
      <c r="F6787">
        <v>0</v>
      </c>
      <c r="G6787">
        <v>0</v>
      </c>
      <c r="H6787">
        <v>4</v>
      </c>
      <c r="I6787" s="3">
        <v>2423.8200000000002</v>
      </c>
      <c r="J6787" s="3">
        <v>348.14</v>
      </c>
      <c r="L6787">
        <v>522</v>
      </c>
      <c r="M6787" t="s">
        <v>12355</v>
      </c>
      <c r="N6787" t="s">
        <v>12356</v>
      </c>
      <c r="O6787" t="s">
        <v>31</v>
      </c>
      <c r="P6787" t="str">
        <f>"15613"</f>
        <v>15613</v>
      </c>
    </row>
    <row r="6788" spans="1:16" x14ac:dyDescent="0.25">
      <c r="A6788" t="str">
        <f>"1130174H00159    00"</f>
        <v>1130174H00159    00</v>
      </c>
      <c r="B6788" t="s">
        <v>15441</v>
      </c>
      <c r="C6788" t="s">
        <v>14853</v>
      </c>
      <c r="D6788" t="s">
        <v>20</v>
      </c>
      <c r="E6788" t="s">
        <v>39</v>
      </c>
      <c r="F6788">
        <v>0</v>
      </c>
      <c r="G6788">
        <v>0</v>
      </c>
      <c r="H6788">
        <v>3</v>
      </c>
      <c r="I6788" s="3">
        <v>177.3</v>
      </c>
      <c r="J6788" s="3">
        <v>11.83</v>
      </c>
      <c r="L6788">
        <v>522</v>
      </c>
      <c r="M6788" t="s">
        <v>12355</v>
      </c>
      <c r="N6788" t="s">
        <v>12356</v>
      </c>
      <c r="O6788" t="s">
        <v>31</v>
      </c>
      <c r="P6788" t="str">
        <f>"15613"</f>
        <v>15613</v>
      </c>
    </row>
    <row r="6789" spans="1:16" x14ac:dyDescent="0.25">
      <c r="A6789" t="str">
        <f>"1130174H00160    00"</f>
        <v>1130174H00160    00</v>
      </c>
      <c r="B6789" t="s">
        <v>15443</v>
      </c>
      <c r="C6789" t="s">
        <v>15444</v>
      </c>
      <c r="E6789" t="s">
        <v>39</v>
      </c>
      <c r="F6789">
        <v>0</v>
      </c>
      <c r="G6789">
        <v>0</v>
      </c>
      <c r="H6789">
        <v>2</v>
      </c>
      <c r="I6789" s="3">
        <v>655.72</v>
      </c>
      <c r="J6789" s="3">
        <v>65.569999999999993</v>
      </c>
      <c r="L6789">
        <v>1095</v>
      </c>
      <c r="M6789" t="s">
        <v>15408</v>
      </c>
      <c r="N6789" t="s">
        <v>30</v>
      </c>
      <c r="O6789" t="s">
        <v>31</v>
      </c>
      <c r="P6789" t="str">
        <f>"15221"</f>
        <v>15221</v>
      </c>
    </row>
    <row r="6790" spans="1:16" x14ac:dyDescent="0.25">
      <c r="A6790" t="str">
        <f>"1130174H00161    00"</f>
        <v>1130174H00161    00</v>
      </c>
      <c r="B6790" t="s">
        <v>15445</v>
      </c>
      <c r="C6790" t="s">
        <v>15446</v>
      </c>
      <c r="E6790" t="s">
        <v>39</v>
      </c>
      <c r="F6790">
        <v>0</v>
      </c>
      <c r="G6790">
        <v>0</v>
      </c>
      <c r="H6790">
        <v>4</v>
      </c>
      <c r="I6790" s="3">
        <v>1343.61</v>
      </c>
      <c r="J6790" s="3">
        <v>456.11</v>
      </c>
      <c r="L6790">
        <v>109</v>
      </c>
      <c r="M6790" t="s">
        <v>15447</v>
      </c>
      <c r="N6790" t="s">
        <v>826</v>
      </c>
      <c r="O6790" t="s">
        <v>31</v>
      </c>
      <c r="P6790" t="str">
        <f>"15601"</f>
        <v>15601</v>
      </c>
    </row>
    <row r="6791" spans="1:16" x14ac:dyDescent="0.25">
      <c r="A6791" t="str">
        <f>"1130174H00162    00"</f>
        <v>1130174H00162    00</v>
      </c>
      <c r="B6791" t="s">
        <v>15448</v>
      </c>
      <c r="C6791" t="s">
        <v>14853</v>
      </c>
      <c r="D6791" t="s">
        <v>20</v>
      </c>
      <c r="E6791" t="s">
        <v>39</v>
      </c>
      <c r="F6791">
        <v>0</v>
      </c>
      <c r="G6791">
        <v>0</v>
      </c>
      <c r="H6791">
        <v>19</v>
      </c>
      <c r="I6791" s="3">
        <v>4480.3100000000004</v>
      </c>
      <c r="J6791" s="3">
        <v>5890.93</v>
      </c>
      <c r="L6791">
        <v>118</v>
      </c>
      <c r="M6791" t="s">
        <v>15449</v>
      </c>
      <c r="N6791" t="s">
        <v>30</v>
      </c>
      <c r="O6791" t="s">
        <v>31</v>
      </c>
      <c r="P6791" t="str">
        <f>"15235"</f>
        <v>15235</v>
      </c>
    </row>
    <row r="6792" spans="1:16" x14ac:dyDescent="0.25">
      <c r="A6792" t="str">
        <f>"1130174H00165    00"</f>
        <v>1130174H00165    00</v>
      </c>
      <c r="B6792" t="s">
        <v>15450</v>
      </c>
      <c r="C6792" t="s">
        <v>15451</v>
      </c>
      <c r="D6792" t="s">
        <v>20</v>
      </c>
      <c r="E6792" t="s">
        <v>39</v>
      </c>
      <c r="F6792">
        <v>0</v>
      </c>
      <c r="G6792">
        <v>0</v>
      </c>
      <c r="H6792">
        <v>19</v>
      </c>
      <c r="I6792" s="3">
        <v>329.07</v>
      </c>
      <c r="J6792" s="3">
        <v>353.93</v>
      </c>
      <c r="K6792" t="s">
        <v>1008</v>
      </c>
      <c r="P6792" t="str">
        <f>""</f>
        <v/>
      </c>
    </row>
    <row r="6793" spans="1:16" x14ac:dyDescent="0.25">
      <c r="A6793" t="str">
        <f>"1130174H00219    00"</f>
        <v>1130174H00219    00</v>
      </c>
      <c r="B6793" t="s">
        <v>15452</v>
      </c>
      <c r="C6793" t="s">
        <v>15451</v>
      </c>
      <c r="D6793" t="s">
        <v>20</v>
      </c>
      <c r="E6793" t="s">
        <v>39</v>
      </c>
      <c r="F6793">
        <v>0</v>
      </c>
      <c r="G6793">
        <v>0</v>
      </c>
      <c r="H6793">
        <v>12</v>
      </c>
      <c r="I6793" s="3">
        <v>229.18</v>
      </c>
      <c r="J6793" s="3">
        <v>139.29</v>
      </c>
      <c r="L6793">
        <v>165</v>
      </c>
      <c r="M6793" t="s">
        <v>14682</v>
      </c>
      <c r="N6793" t="s">
        <v>1046</v>
      </c>
      <c r="O6793" t="s">
        <v>31</v>
      </c>
      <c r="P6793" t="str">
        <f>"15147"</f>
        <v>15147</v>
      </c>
    </row>
    <row r="6794" spans="1:16" x14ac:dyDescent="0.25">
      <c r="A6794" t="str">
        <f>"1130174H00220    00"</f>
        <v>1130174H00220    00</v>
      </c>
      <c r="B6794" t="s">
        <v>15453</v>
      </c>
      <c r="C6794" t="s">
        <v>15451</v>
      </c>
      <c r="D6794" t="s">
        <v>20</v>
      </c>
      <c r="E6794" t="s">
        <v>39</v>
      </c>
      <c r="F6794">
        <v>0</v>
      </c>
      <c r="G6794">
        <v>0</v>
      </c>
      <c r="H6794">
        <v>17</v>
      </c>
      <c r="I6794" s="3">
        <v>152.36000000000001</v>
      </c>
      <c r="J6794" s="3">
        <v>159.4</v>
      </c>
      <c r="K6794" t="s">
        <v>1037</v>
      </c>
      <c r="L6794">
        <v>1088</v>
      </c>
      <c r="M6794" t="s">
        <v>2442</v>
      </c>
      <c r="N6794" t="s">
        <v>30</v>
      </c>
      <c r="O6794" t="s">
        <v>31</v>
      </c>
      <c r="P6794" t="str">
        <f>"15208"</f>
        <v>15208</v>
      </c>
    </row>
    <row r="6795" spans="1:16" x14ac:dyDescent="0.25">
      <c r="A6795" t="str">
        <f>"1130174H00221    00"</f>
        <v>1130174H00221    00</v>
      </c>
      <c r="B6795" t="s">
        <v>15454</v>
      </c>
      <c r="C6795" t="s">
        <v>14848</v>
      </c>
      <c r="D6795" t="s">
        <v>20</v>
      </c>
      <c r="E6795" t="s">
        <v>39</v>
      </c>
      <c r="F6795">
        <v>0</v>
      </c>
      <c r="G6795">
        <v>0</v>
      </c>
      <c r="H6795">
        <v>19</v>
      </c>
      <c r="I6795" s="3">
        <v>279.7</v>
      </c>
      <c r="J6795" s="3">
        <v>282.8</v>
      </c>
      <c r="K6795" t="s">
        <v>1008</v>
      </c>
      <c r="P6795" t="str">
        <f>""</f>
        <v/>
      </c>
    </row>
    <row r="6796" spans="1:16" x14ac:dyDescent="0.25">
      <c r="A6796" t="str">
        <f>"1130174H00222    00"</f>
        <v>1130174H00222    00</v>
      </c>
      <c r="B6796" t="s">
        <v>15455</v>
      </c>
      <c r="C6796" t="s">
        <v>14848</v>
      </c>
      <c r="D6796" t="s">
        <v>20</v>
      </c>
      <c r="E6796" t="s">
        <v>39</v>
      </c>
      <c r="F6796">
        <v>0</v>
      </c>
      <c r="G6796">
        <v>0</v>
      </c>
      <c r="H6796">
        <v>17</v>
      </c>
      <c r="I6796" s="3">
        <v>178.33</v>
      </c>
      <c r="J6796" s="3">
        <v>207.61</v>
      </c>
      <c r="K6796" t="s">
        <v>1037</v>
      </c>
      <c r="L6796">
        <v>1092</v>
      </c>
      <c r="M6796" t="s">
        <v>2442</v>
      </c>
      <c r="N6796" t="s">
        <v>30</v>
      </c>
      <c r="O6796" t="s">
        <v>31</v>
      </c>
      <c r="P6796" t="str">
        <f t="shared" ref="P6796:P6801" si="84">"15208"</f>
        <v>15208</v>
      </c>
    </row>
    <row r="6797" spans="1:16" x14ac:dyDescent="0.25">
      <c r="A6797" t="str">
        <f>"1130174H00224    00"</f>
        <v>1130174H00224    00</v>
      </c>
      <c r="B6797" t="s">
        <v>15453</v>
      </c>
      <c r="C6797" t="s">
        <v>14848</v>
      </c>
      <c r="D6797" t="s">
        <v>20</v>
      </c>
      <c r="E6797" t="s">
        <v>39</v>
      </c>
      <c r="F6797">
        <v>0</v>
      </c>
      <c r="G6797">
        <v>0</v>
      </c>
      <c r="H6797">
        <v>19</v>
      </c>
      <c r="I6797" s="3">
        <v>255.06</v>
      </c>
      <c r="J6797" s="3">
        <v>247.23</v>
      </c>
      <c r="K6797" t="s">
        <v>1037</v>
      </c>
      <c r="L6797">
        <v>1088</v>
      </c>
      <c r="M6797" t="s">
        <v>2442</v>
      </c>
      <c r="N6797" t="s">
        <v>30</v>
      </c>
      <c r="O6797" t="s">
        <v>31</v>
      </c>
      <c r="P6797" t="str">
        <f t="shared" si="84"/>
        <v>15208</v>
      </c>
    </row>
    <row r="6798" spans="1:16" x14ac:dyDescent="0.25">
      <c r="A6798" t="str">
        <f>"1130174H00225    00"</f>
        <v>1130174H00225    00</v>
      </c>
      <c r="B6798" t="s">
        <v>15456</v>
      </c>
      <c r="C6798" t="s">
        <v>14848</v>
      </c>
      <c r="D6798" t="s">
        <v>20</v>
      </c>
      <c r="E6798" t="s">
        <v>39</v>
      </c>
      <c r="F6798">
        <v>0</v>
      </c>
      <c r="G6798">
        <v>0</v>
      </c>
      <c r="H6798">
        <v>19</v>
      </c>
      <c r="I6798" s="3">
        <v>1565.65</v>
      </c>
      <c r="J6798" s="3">
        <v>1614.97</v>
      </c>
      <c r="L6798">
        <v>1086</v>
      </c>
      <c r="M6798" t="s">
        <v>2442</v>
      </c>
      <c r="N6798" t="s">
        <v>30</v>
      </c>
      <c r="O6798" t="s">
        <v>31</v>
      </c>
      <c r="P6798" t="str">
        <f t="shared" si="84"/>
        <v>15208</v>
      </c>
    </row>
    <row r="6799" spans="1:16" x14ac:dyDescent="0.25">
      <c r="A6799" t="str">
        <f>"1130174H00226    00"</f>
        <v>1130174H00226    00</v>
      </c>
      <c r="B6799" t="s">
        <v>15456</v>
      </c>
      <c r="C6799" t="s">
        <v>14848</v>
      </c>
      <c r="D6799" t="s">
        <v>20</v>
      </c>
      <c r="E6799" t="s">
        <v>39</v>
      </c>
      <c r="F6799">
        <v>0</v>
      </c>
      <c r="G6799">
        <v>0</v>
      </c>
      <c r="H6799">
        <v>19</v>
      </c>
      <c r="I6799" s="3">
        <v>1565.65</v>
      </c>
      <c r="J6799" s="3">
        <v>1614.97</v>
      </c>
      <c r="L6799">
        <v>1086</v>
      </c>
      <c r="M6799" t="s">
        <v>2442</v>
      </c>
      <c r="N6799" t="s">
        <v>30</v>
      </c>
      <c r="O6799" t="s">
        <v>31</v>
      </c>
      <c r="P6799" t="str">
        <f t="shared" si="84"/>
        <v>15208</v>
      </c>
    </row>
    <row r="6800" spans="1:16" x14ac:dyDescent="0.25">
      <c r="A6800" t="str">
        <f>"1130174H00227    00"</f>
        <v>1130174H00227    00</v>
      </c>
      <c r="B6800" t="s">
        <v>15457</v>
      </c>
      <c r="C6800" t="s">
        <v>14848</v>
      </c>
      <c r="D6800" t="s">
        <v>20</v>
      </c>
      <c r="E6800" t="s">
        <v>39</v>
      </c>
      <c r="F6800">
        <v>0</v>
      </c>
      <c r="G6800">
        <v>0</v>
      </c>
      <c r="H6800">
        <v>19</v>
      </c>
      <c r="I6800" s="3">
        <v>1911.31</v>
      </c>
      <c r="J6800" s="3">
        <v>1932.69</v>
      </c>
      <c r="L6800">
        <v>1082</v>
      </c>
      <c r="M6800" t="s">
        <v>15458</v>
      </c>
      <c r="N6800" t="s">
        <v>30</v>
      </c>
      <c r="O6800" t="s">
        <v>31</v>
      </c>
      <c r="P6800" t="str">
        <f t="shared" si="84"/>
        <v>15208</v>
      </c>
    </row>
    <row r="6801" spans="1:16" x14ac:dyDescent="0.25">
      <c r="A6801" t="str">
        <f>"1130174H00230    00"</f>
        <v>1130174H00230    00</v>
      </c>
      <c r="B6801" t="s">
        <v>15459</v>
      </c>
      <c r="C6801" t="s">
        <v>14848</v>
      </c>
      <c r="D6801" t="s">
        <v>20</v>
      </c>
      <c r="E6801" t="s">
        <v>39</v>
      </c>
      <c r="F6801">
        <v>0</v>
      </c>
      <c r="G6801">
        <v>0</v>
      </c>
      <c r="H6801">
        <v>19</v>
      </c>
      <c r="I6801" s="3">
        <v>4158.75</v>
      </c>
      <c r="J6801" s="3">
        <v>5982.78</v>
      </c>
      <c r="L6801">
        <v>7236</v>
      </c>
      <c r="M6801" t="s">
        <v>15460</v>
      </c>
      <c r="N6801" t="s">
        <v>30</v>
      </c>
      <c r="O6801" t="s">
        <v>31</v>
      </c>
      <c r="P6801" t="str">
        <f t="shared" si="84"/>
        <v>15208</v>
      </c>
    </row>
    <row r="6802" spans="1:16" x14ac:dyDescent="0.25">
      <c r="A6802" t="str">
        <f>"1130174H00231    00"</f>
        <v>1130174H00231    00</v>
      </c>
      <c r="B6802" t="s">
        <v>15461</v>
      </c>
      <c r="C6802" t="s">
        <v>14848</v>
      </c>
      <c r="D6802" t="s">
        <v>20</v>
      </c>
      <c r="E6802" t="s">
        <v>39</v>
      </c>
      <c r="F6802">
        <v>0</v>
      </c>
      <c r="G6802">
        <v>0</v>
      </c>
      <c r="H6802">
        <v>19</v>
      </c>
      <c r="I6802" s="3">
        <v>2352.4</v>
      </c>
      <c r="J6802" s="3">
        <v>2548.25</v>
      </c>
      <c r="P6802" t="str">
        <f>"15219"</f>
        <v>15219</v>
      </c>
    </row>
    <row r="6803" spans="1:16" x14ac:dyDescent="0.25">
      <c r="A6803" t="str">
        <f>"1130174H00234    00"</f>
        <v>1130174H00234    00</v>
      </c>
      <c r="B6803" t="s">
        <v>15462</v>
      </c>
      <c r="C6803" t="s">
        <v>15463</v>
      </c>
      <c r="D6803" t="s">
        <v>20</v>
      </c>
      <c r="E6803" t="s">
        <v>39</v>
      </c>
      <c r="F6803">
        <v>0</v>
      </c>
      <c r="G6803">
        <v>0</v>
      </c>
      <c r="H6803">
        <v>13</v>
      </c>
      <c r="I6803" s="3">
        <v>605.74</v>
      </c>
      <c r="J6803" s="3">
        <v>642.61</v>
      </c>
      <c r="L6803">
        <v>1068</v>
      </c>
      <c r="M6803" t="s">
        <v>2442</v>
      </c>
      <c r="N6803" t="s">
        <v>30</v>
      </c>
      <c r="O6803" t="s">
        <v>31</v>
      </c>
      <c r="P6803" t="str">
        <f>"15208"</f>
        <v>15208</v>
      </c>
    </row>
    <row r="6804" spans="1:16" x14ac:dyDescent="0.25">
      <c r="A6804" t="str">
        <f>"1130174H00235    00"</f>
        <v>1130174H00235    00</v>
      </c>
      <c r="B6804" t="s">
        <v>15464</v>
      </c>
      <c r="C6804" t="s">
        <v>15465</v>
      </c>
      <c r="D6804" t="s">
        <v>20</v>
      </c>
      <c r="E6804" t="s">
        <v>39</v>
      </c>
      <c r="F6804">
        <v>0</v>
      </c>
      <c r="G6804">
        <v>0</v>
      </c>
      <c r="H6804">
        <v>19</v>
      </c>
      <c r="I6804" s="3">
        <v>8229.4599999999991</v>
      </c>
      <c r="J6804" s="3">
        <v>8998.4</v>
      </c>
      <c r="P6804" t="str">
        <f>""</f>
        <v/>
      </c>
    </row>
    <row r="6805" spans="1:16" x14ac:dyDescent="0.25">
      <c r="A6805" t="str">
        <f>"1130174H00240    00"</f>
        <v>1130174H00240    00</v>
      </c>
      <c r="B6805" t="s">
        <v>15423</v>
      </c>
      <c r="C6805" t="s">
        <v>14848</v>
      </c>
      <c r="E6805" t="s">
        <v>39</v>
      </c>
      <c r="F6805">
        <v>0</v>
      </c>
      <c r="G6805">
        <v>0</v>
      </c>
      <c r="H6805">
        <v>4</v>
      </c>
      <c r="I6805" s="3">
        <v>82.04</v>
      </c>
      <c r="J6805" s="3">
        <v>69.62</v>
      </c>
      <c r="L6805">
        <v>1223</v>
      </c>
      <c r="M6805" t="s">
        <v>15425</v>
      </c>
      <c r="N6805" t="s">
        <v>295</v>
      </c>
      <c r="O6805" t="s">
        <v>31</v>
      </c>
      <c r="P6805" t="str">
        <f>"15146"</f>
        <v>15146</v>
      </c>
    </row>
    <row r="6806" spans="1:16" x14ac:dyDescent="0.25">
      <c r="A6806" t="str">
        <f>"1130174H00241    00"</f>
        <v>1130174H00241    00</v>
      </c>
      <c r="B6806" t="s">
        <v>15423</v>
      </c>
      <c r="C6806" t="s">
        <v>14848</v>
      </c>
      <c r="E6806" t="s">
        <v>39</v>
      </c>
      <c r="F6806">
        <v>0</v>
      </c>
      <c r="G6806">
        <v>0</v>
      </c>
      <c r="H6806">
        <v>4</v>
      </c>
      <c r="I6806" s="3">
        <v>82.04</v>
      </c>
      <c r="J6806" s="3">
        <v>69.62</v>
      </c>
      <c r="L6806">
        <v>1223</v>
      </c>
      <c r="M6806" t="s">
        <v>15425</v>
      </c>
      <c r="N6806" t="s">
        <v>295</v>
      </c>
      <c r="O6806" t="s">
        <v>31</v>
      </c>
      <c r="P6806" t="str">
        <f>"15146"</f>
        <v>15146</v>
      </c>
    </row>
    <row r="6807" spans="1:16" x14ac:dyDescent="0.25">
      <c r="A6807" t="str">
        <f>"1130174H00242    00"</f>
        <v>1130174H00242    00</v>
      </c>
      <c r="B6807" t="s">
        <v>15466</v>
      </c>
      <c r="C6807" t="s">
        <v>15467</v>
      </c>
      <c r="E6807" t="s">
        <v>39</v>
      </c>
      <c r="F6807">
        <v>0</v>
      </c>
      <c r="G6807">
        <v>0</v>
      </c>
      <c r="H6807">
        <v>6</v>
      </c>
      <c r="I6807" s="3">
        <v>417.9</v>
      </c>
      <c r="J6807" s="3">
        <v>568.01</v>
      </c>
      <c r="L6807">
        <v>7600</v>
      </c>
      <c r="M6807" t="s">
        <v>15468</v>
      </c>
      <c r="N6807" t="s">
        <v>1046</v>
      </c>
      <c r="O6807" t="s">
        <v>31</v>
      </c>
      <c r="P6807" t="str">
        <f>"15147"</f>
        <v>15147</v>
      </c>
    </row>
    <row r="6808" spans="1:16" x14ac:dyDescent="0.25">
      <c r="A6808" t="str">
        <f>"1130174H00249    00"</f>
        <v>1130174H00249    00</v>
      </c>
      <c r="B6808" t="s">
        <v>15469</v>
      </c>
      <c r="C6808" t="s">
        <v>14848</v>
      </c>
      <c r="D6808" t="s">
        <v>20</v>
      </c>
      <c r="E6808" t="s">
        <v>39</v>
      </c>
      <c r="F6808">
        <v>0</v>
      </c>
      <c r="G6808">
        <v>0</v>
      </c>
      <c r="H6808">
        <v>19</v>
      </c>
      <c r="I6808" s="3">
        <v>4630.07</v>
      </c>
      <c r="J6808" s="3">
        <v>6237.69</v>
      </c>
      <c r="K6808" t="s">
        <v>15470</v>
      </c>
      <c r="L6808">
        <v>1038</v>
      </c>
      <c r="M6808" t="s">
        <v>15458</v>
      </c>
      <c r="N6808" t="s">
        <v>30</v>
      </c>
      <c r="O6808" t="s">
        <v>31</v>
      </c>
      <c r="P6808" t="str">
        <f>"15208"</f>
        <v>15208</v>
      </c>
    </row>
    <row r="6809" spans="1:16" x14ac:dyDescent="0.25">
      <c r="A6809" t="str">
        <f>"1130174H00251    00"</f>
        <v>1130174H00251    00</v>
      </c>
      <c r="B6809" t="s">
        <v>15471</v>
      </c>
      <c r="C6809" t="s">
        <v>15472</v>
      </c>
      <c r="D6809" t="s">
        <v>20</v>
      </c>
      <c r="E6809" t="s">
        <v>39</v>
      </c>
      <c r="F6809">
        <v>0</v>
      </c>
      <c r="G6809">
        <v>0</v>
      </c>
      <c r="H6809">
        <v>18</v>
      </c>
      <c r="I6809" s="3">
        <v>4442.88</v>
      </c>
      <c r="J6809" s="3">
        <v>6274.97</v>
      </c>
      <c r="L6809">
        <v>1329</v>
      </c>
      <c r="M6809" t="s">
        <v>2431</v>
      </c>
      <c r="N6809" t="s">
        <v>30</v>
      </c>
      <c r="O6809" t="s">
        <v>31</v>
      </c>
      <c r="P6809" t="str">
        <f>"15221"</f>
        <v>15221</v>
      </c>
    </row>
    <row r="6810" spans="1:16" x14ac:dyDescent="0.25">
      <c r="A6810" t="str">
        <f>"1130174H00253    00"</f>
        <v>1130174H00253    00</v>
      </c>
      <c r="B6810" t="s">
        <v>3660</v>
      </c>
      <c r="C6810" t="s">
        <v>14848</v>
      </c>
      <c r="D6810" t="s">
        <v>20</v>
      </c>
      <c r="E6810" t="s">
        <v>39</v>
      </c>
      <c r="F6810">
        <v>0</v>
      </c>
      <c r="G6810">
        <v>0</v>
      </c>
      <c r="H6810">
        <v>17</v>
      </c>
      <c r="I6810" s="3">
        <v>196.54</v>
      </c>
      <c r="J6810" s="3">
        <v>217.52</v>
      </c>
      <c r="L6810">
        <v>2615</v>
      </c>
      <c r="M6810" t="s">
        <v>3661</v>
      </c>
      <c r="N6810" t="s">
        <v>139</v>
      </c>
      <c r="O6810" t="s">
        <v>31</v>
      </c>
      <c r="P6810" t="str">
        <f>"15090"</f>
        <v>15090</v>
      </c>
    </row>
    <row r="6811" spans="1:16" x14ac:dyDescent="0.25">
      <c r="A6811" t="str">
        <f>"1130174H00254    00"</f>
        <v>1130174H00254    00</v>
      </c>
      <c r="B6811" t="s">
        <v>15473</v>
      </c>
      <c r="C6811" t="s">
        <v>14848</v>
      </c>
      <c r="D6811" t="s">
        <v>20</v>
      </c>
      <c r="E6811" t="s">
        <v>39</v>
      </c>
      <c r="F6811">
        <v>0</v>
      </c>
      <c r="G6811">
        <v>0</v>
      </c>
      <c r="H6811">
        <v>19</v>
      </c>
      <c r="I6811" s="3">
        <v>255.06</v>
      </c>
      <c r="J6811" s="3">
        <v>247.23</v>
      </c>
      <c r="L6811">
        <v>1043</v>
      </c>
      <c r="M6811" t="s">
        <v>15474</v>
      </c>
      <c r="N6811" t="s">
        <v>30</v>
      </c>
      <c r="O6811" t="s">
        <v>31</v>
      </c>
      <c r="P6811" t="str">
        <f>"15208"</f>
        <v>15208</v>
      </c>
    </row>
    <row r="6812" spans="1:16" x14ac:dyDescent="0.25">
      <c r="A6812" t="str">
        <f>"1130174H00255    00"</f>
        <v>1130174H00255    00</v>
      </c>
      <c r="B6812" t="s">
        <v>15475</v>
      </c>
      <c r="C6812" t="s">
        <v>14848</v>
      </c>
      <c r="D6812" t="s">
        <v>20</v>
      </c>
      <c r="E6812" t="s">
        <v>39</v>
      </c>
      <c r="F6812">
        <v>0</v>
      </c>
      <c r="G6812">
        <v>0</v>
      </c>
      <c r="H6812">
        <v>17</v>
      </c>
      <c r="I6812" s="3">
        <v>196.54</v>
      </c>
      <c r="J6812" s="3">
        <v>217.52</v>
      </c>
      <c r="L6812">
        <v>33</v>
      </c>
      <c r="M6812" t="s">
        <v>13274</v>
      </c>
      <c r="N6812" t="s">
        <v>30</v>
      </c>
      <c r="O6812" t="s">
        <v>31</v>
      </c>
      <c r="P6812" t="str">
        <f>"15223"</f>
        <v>15223</v>
      </c>
    </row>
    <row r="6813" spans="1:16" x14ac:dyDescent="0.25">
      <c r="A6813" t="str">
        <f>"1130174H00256    00"</f>
        <v>1130174H00256    00</v>
      </c>
      <c r="B6813" t="s">
        <v>15476</v>
      </c>
      <c r="C6813" t="s">
        <v>14848</v>
      </c>
      <c r="D6813" t="s">
        <v>20</v>
      </c>
      <c r="E6813" t="s">
        <v>39</v>
      </c>
      <c r="F6813">
        <v>0</v>
      </c>
      <c r="G6813">
        <v>0</v>
      </c>
      <c r="H6813">
        <v>17</v>
      </c>
      <c r="I6813" s="3">
        <v>239.59</v>
      </c>
      <c r="J6813" s="3">
        <v>263.13</v>
      </c>
      <c r="K6813" t="s">
        <v>1037</v>
      </c>
      <c r="L6813">
        <v>1049</v>
      </c>
      <c r="M6813" t="s">
        <v>2442</v>
      </c>
      <c r="N6813" t="s">
        <v>30</v>
      </c>
      <c r="O6813" t="s">
        <v>31</v>
      </c>
      <c r="P6813" t="str">
        <f>"15208"</f>
        <v>15208</v>
      </c>
    </row>
    <row r="6814" spans="1:16" x14ac:dyDescent="0.25">
      <c r="A6814" t="str">
        <f>"1130174H00257    00"</f>
        <v>1130174H00257    00</v>
      </c>
      <c r="B6814" t="s">
        <v>15477</v>
      </c>
      <c r="C6814" t="s">
        <v>14848</v>
      </c>
      <c r="D6814" t="s">
        <v>20</v>
      </c>
      <c r="E6814" t="s">
        <v>39</v>
      </c>
      <c r="F6814">
        <v>0</v>
      </c>
      <c r="G6814">
        <v>0</v>
      </c>
      <c r="H6814">
        <v>17</v>
      </c>
      <c r="I6814" s="3">
        <v>56.38</v>
      </c>
      <c r="J6814" s="3">
        <v>49.83</v>
      </c>
      <c r="K6814" t="s">
        <v>1008</v>
      </c>
      <c r="P6814" t="str">
        <f>""</f>
        <v/>
      </c>
    </row>
    <row r="6815" spans="1:16" x14ac:dyDescent="0.25">
      <c r="A6815" t="str">
        <f>"1130174H00258    00"</f>
        <v>1130174H00258    00</v>
      </c>
      <c r="B6815" t="s">
        <v>15478</v>
      </c>
      <c r="C6815" t="s">
        <v>14848</v>
      </c>
      <c r="D6815" t="s">
        <v>20</v>
      </c>
      <c r="E6815" t="s">
        <v>39</v>
      </c>
      <c r="F6815">
        <v>0</v>
      </c>
      <c r="G6815">
        <v>0</v>
      </c>
      <c r="H6815">
        <v>19</v>
      </c>
      <c r="I6815" s="3">
        <v>279.7</v>
      </c>
      <c r="J6815" s="3">
        <v>282.8</v>
      </c>
      <c r="K6815" t="s">
        <v>1008</v>
      </c>
      <c r="P6815" t="str">
        <f>""</f>
        <v/>
      </c>
    </row>
    <row r="6816" spans="1:16" x14ac:dyDescent="0.25">
      <c r="A6816" t="str">
        <f>"1130174H00259    00"</f>
        <v>1130174H00259    00</v>
      </c>
      <c r="B6816" t="s">
        <v>15479</v>
      </c>
      <c r="C6816" t="s">
        <v>14848</v>
      </c>
      <c r="D6816" t="s">
        <v>20</v>
      </c>
      <c r="E6816" t="s">
        <v>39</v>
      </c>
      <c r="F6816">
        <v>0</v>
      </c>
      <c r="G6816">
        <v>0</v>
      </c>
      <c r="H6816">
        <v>19</v>
      </c>
      <c r="I6816" s="3">
        <v>279.7</v>
      </c>
      <c r="J6816" s="3">
        <v>282.8</v>
      </c>
      <c r="L6816">
        <v>6857</v>
      </c>
      <c r="M6816" t="s">
        <v>585</v>
      </c>
      <c r="N6816" t="s">
        <v>30</v>
      </c>
      <c r="O6816" t="s">
        <v>31</v>
      </c>
      <c r="P6816" t="str">
        <f>"15208"</f>
        <v>15208</v>
      </c>
    </row>
    <row r="6817" spans="1:16" x14ac:dyDescent="0.25">
      <c r="A6817" t="str">
        <f>"1130174H00264    00"</f>
        <v>1130174H00264    00</v>
      </c>
      <c r="B6817" t="s">
        <v>15480</v>
      </c>
      <c r="C6817" t="s">
        <v>15481</v>
      </c>
      <c r="D6817" t="s">
        <v>20</v>
      </c>
      <c r="E6817" t="s">
        <v>39</v>
      </c>
      <c r="F6817">
        <v>0</v>
      </c>
      <c r="G6817">
        <v>0</v>
      </c>
      <c r="H6817">
        <v>1</v>
      </c>
      <c r="I6817" s="3">
        <v>295.44</v>
      </c>
      <c r="J6817" s="3">
        <v>0</v>
      </c>
      <c r="L6817">
        <v>1048</v>
      </c>
      <c r="M6817" t="s">
        <v>15458</v>
      </c>
      <c r="N6817" t="s">
        <v>30</v>
      </c>
      <c r="O6817" t="s">
        <v>31</v>
      </c>
      <c r="P6817" t="str">
        <f>"15208"</f>
        <v>15208</v>
      </c>
    </row>
    <row r="6818" spans="1:16" x14ac:dyDescent="0.25">
      <c r="A6818" t="str">
        <f>"1130174H00268    00"</f>
        <v>1130174H00268    00</v>
      </c>
      <c r="B6818" t="s">
        <v>15482</v>
      </c>
      <c r="C6818" t="s">
        <v>14848</v>
      </c>
      <c r="D6818" t="s">
        <v>20</v>
      </c>
      <c r="E6818" t="s">
        <v>39</v>
      </c>
      <c r="F6818">
        <v>0</v>
      </c>
      <c r="G6818">
        <v>0</v>
      </c>
      <c r="H6818">
        <v>19</v>
      </c>
      <c r="I6818" s="3">
        <v>7436.15</v>
      </c>
      <c r="J6818" s="3">
        <v>9845.9599999999991</v>
      </c>
      <c r="L6818">
        <v>207</v>
      </c>
      <c r="M6818" t="s">
        <v>15483</v>
      </c>
      <c r="N6818" t="s">
        <v>494</v>
      </c>
      <c r="O6818" t="s">
        <v>495</v>
      </c>
      <c r="P6818" t="str">
        <f>"91767"</f>
        <v>91767</v>
      </c>
    </row>
    <row r="6819" spans="1:16" x14ac:dyDescent="0.25">
      <c r="A6819" t="str">
        <f>"1130174H00270    00"</f>
        <v>1130174H00270    00</v>
      </c>
      <c r="B6819" t="s">
        <v>15484</v>
      </c>
      <c r="C6819" t="s">
        <v>14848</v>
      </c>
      <c r="D6819" t="s">
        <v>20</v>
      </c>
      <c r="E6819" t="s">
        <v>39</v>
      </c>
      <c r="F6819">
        <v>0</v>
      </c>
      <c r="G6819">
        <v>0</v>
      </c>
      <c r="H6819">
        <v>19</v>
      </c>
      <c r="I6819" s="3">
        <v>279.7</v>
      </c>
      <c r="J6819" s="3">
        <v>282.8</v>
      </c>
      <c r="K6819" t="s">
        <v>1037</v>
      </c>
      <c r="L6819">
        <v>7606</v>
      </c>
      <c r="M6819" t="s">
        <v>4452</v>
      </c>
      <c r="N6819" t="s">
        <v>30</v>
      </c>
      <c r="O6819" t="s">
        <v>31</v>
      </c>
      <c r="P6819" t="str">
        <f>"15208"</f>
        <v>15208</v>
      </c>
    </row>
    <row r="6820" spans="1:16" x14ac:dyDescent="0.25">
      <c r="A6820" t="str">
        <f>"1130174H00271    00"</f>
        <v>1130174H00271    00</v>
      </c>
      <c r="B6820" t="s">
        <v>15485</v>
      </c>
      <c r="C6820" t="s">
        <v>14848</v>
      </c>
      <c r="D6820" t="s">
        <v>20</v>
      </c>
      <c r="E6820" t="s">
        <v>39</v>
      </c>
      <c r="F6820">
        <v>0</v>
      </c>
      <c r="G6820">
        <v>0</v>
      </c>
      <c r="H6820">
        <v>19</v>
      </c>
      <c r="I6820" s="3">
        <v>279.7</v>
      </c>
      <c r="J6820" s="3">
        <v>282.8</v>
      </c>
      <c r="L6820">
        <v>1218</v>
      </c>
      <c r="M6820" t="s">
        <v>3959</v>
      </c>
      <c r="N6820" t="s">
        <v>30</v>
      </c>
      <c r="O6820" t="s">
        <v>31</v>
      </c>
      <c r="P6820" t="str">
        <f>"15221"</f>
        <v>15221</v>
      </c>
    </row>
    <row r="6821" spans="1:16" x14ac:dyDescent="0.25">
      <c r="A6821" t="str">
        <f>"1130174H00272    00"</f>
        <v>1130174H00272    00</v>
      </c>
      <c r="B6821" t="s">
        <v>15486</v>
      </c>
      <c r="C6821" t="s">
        <v>14848</v>
      </c>
      <c r="D6821" t="s">
        <v>20</v>
      </c>
      <c r="E6821" t="s">
        <v>39</v>
      </c>
      <c r="F6821">
        <v>0</v>
      </c>
      <c r="G6821">
        <v>0</v>
      </c>
      <c r="H6821">
        <v>19</v>
      </c>
      <c r="I6821" s="3">
        <v>279.7</v>
      </c>
      <c r="J6821" s="3">
        <v>282.8</v>
      </c>
      <c r="K6821" t="s">
        <v>15487</v>
      </c>
      <c r="L6821">
        <v>400</v>
      </c>
      <c r="M6821" t="s">
        <v>15488</v>
      </c>
      <c r="N6821" t="s">
        <v>30</v>
      </c>
      <c r="O6821" t="s">
        <v>31</v>
      </c>
      <c r="P6821" t="str">
        <f>"15220"</f>
        <v>15220</v>
      </c>
    </row>
    <row r="6822" spans="1:16" x14ac:dyDescent="0.25">
      <c r="A6822" t="str">
        <f>"1130174H00273    00"</f>
        <v>1130174H00273    00</v>
      </c>
      <c r="B6822" t="s">
        <v>15489</v>
      </c>
      <c r="C6822" t="s">
        <v>14848</v>
      </c>
      <c r="D6822" t="s">
        <v>20</v>
      </c>
      <c r="E6822" t="s">
        <v>39</v>
      </c>
      <c r="F6822">
        <v>0</v>
      </c>
      <c r="G6822">
        <v>0</v>
      </c>
      <c r="H6822">
        <v>19</v>
      </c>
      <c r="I6822" s="3">
        <v>279.7</v>
      </c>
      <c r="J6822" s="3">
        <v>282.8</v>
      </c>
      <c r="K6822" t="s">
        <v>1037</v>
      </c>
      <c r="L6822">
        <v>5644</v>
      </c>
      <c r="M6822" t="s">
        <v>3717</v>
      </c>
      <c r="N6822" t="s">
        <v>30</v>
      </c>
      <c r="O6822" t="s">
        <v>31</v>
      </c>
      <c r="P6822" t="str">
        <f>"15217"</f>
        <v>15217</v>
      </c>
    </row>
    <row r="6823" spans="1:16" x14ac:dyDescent="0.25">
      <c r="A6823" t="str">
        <f>"1130174H00277    00"</f>
        <v>1130174H00277    00</v>
      </c>
      <c r="B6823" t="s">
        <v>15490</v>
      </c>
      <c r="C6823" t="s">
        <v>14843</v>
      </c>
      <c r="D6823" t="s">
        <v>20</v>
      </c>
      <c r="E6823" t="s">
        <v>39</v>
      </c>
      <c r="F6823">
        <v>0</v>
      </c>
      <c r="G6823">
        <v>0</v>
      </c>
      <c r="H6823">
        <v>19</v>
      </c>
      <c r="I6823" s="3">
        <v>301.70999999999998</v>
      </c>
      <c r="J6823" s="3">
        <v>294.45</v>
      </c>
      <c r="L6823">
        <v>201</v>
      </c>
      <c r="M6823" t="s">
        <v>15491</v>
      </c>
      <c r="N6823" t="s">
        <v>3435</v>
      </c>
      <c r="O6823" t="s">
        <v>31</v>
      </c>
      <c r="P6823" t="str">
        <f>"15104"</f>
        <v>15104</v>
      </c>
    </row>
    <row r="6824" spans="1:16" x14ac:dyDescent="0.25">
      <c r="A6824" t="str">
        <f>"1130174H00279    00"</f>
        <v>1130174H00279    00</v>
      </c>
      <c r="B6824" t="s">
        <v>15492</v>
      </c>
      <c r="C6824" t="s">
        <v>14843</v>
      </c>
      <c r="D6824" t="s">
        <v>20</v>
      </c>
      <c r="E6824" t="s">
        <v>39</v>
      </c>
      <c r="F6824">
        <v>0</v>
      </c>
      <c r="G6824">
        <v>0</v>
      </c>
      <c r="H6824">
        <v>19</v>
      </c>
      <c r="I6824" s="3">
        <v>2053.87</v>
      </c>
      <c r="J6824" s="3">
        <v>2097.94</v>
      </c>
      <c r="L6824">
        <v>7308</v>
      </c>
      <c r="M6824" t="s">
        <v>12378</v>
      </c>
      <c r="N6824" t="s">
        <v>30</v>
      </c>
      <c r="O6824" t="s">
        <v>31</v>
      </c>
      <c r="P6824" t="str">
        <f>"15208"</f>
        <v>15208</v>
      </c>
    </row>
    <row r="6825" spans="1:16" x14ac:dyDescent="0.25">
      <c r="A6825" t="str">
        <f>"1130174H00285    00"</f>
        <v>1130174H00285    00</v>
      </c>
      <c r="B6825" t="s">
        <v>15493</v>
      </c>
      <c r="C6825" t="s">
        <v>15359</v>
      </c>
      <c r="D6825" t="s">
        <v>20</v>
      </c>
      <c r="E6825" t="s">
        <v>39</v>
      </c>
      <c r="F6825">
        <v>0</v>
      </c>
      <c r="G6825">
        <v>0</v>
      </c>
      <c r="H6825">
        <v>19</v>
      </c>
      <c r="I6825" s="3">
        <v>255.06</v>
      </c>
      <c r="J6825" s="3">
        <v>247.23</v>
      </c>
      <c r="K6825" t="s">
        <v>1037</v>
      </c>
      <c r="L6825">
        <v>31</v>
      </c>
      <c r="M6825" t="s">
        <v>15370</v>
      </c>
      <c r="N6825" t="s">
        <v>30</v>
      </c>
      <c r="O6825" t="s">
        <v>31</v>
      </c>
      <c r="P6825" t="str">
        <f>"15208"</f>
        <v>15208</v>
      </c>
    </row>
    <row r="6826" spans="1:16" x14ac:dyDescent="0.25">
      <c r="A6826" t="str">
        <f>"1130174H00286    00"</f>
        <v>1130174H00286    00</v>
      </c>
      <c r="B6826" t="s">
        <v>15494</v>
      </c>
      <c r="C6826" t="s">
        <v>15359</v>
      </c>
      <c r="D6826" t="s">
        <v>20</v>
      </c>
      <c r="E6826" t="s">
        <v>39</v>
      </c>
      <c r="F6826">
        <v>0</v>
      </c>
      <c r="G6826">
        <v>0</v>
      </c>
      <c r="H6826">
        <v>15</v>
      </c>
      <c r="I6826" s="3">
        <v>211.36</v>
      </c>
      <c r="J6826" s="3">
        <v>225.5</v>
      </c>
      <c r="M6826" t="s">
        <v>15495</v>
      </c>
      <c r="N6826" t="s">
        <v>8991</v>
      </c>
      <c r="O6826" t="s">
        <v>31</v>
      </c>
      <c r="P6826" t="str">
        <f>"15145"</f>
        <v>15145</v>
      </c>
    </row>
    <row r="6827" spans="1:16" x14ac:dyDescent="0.25">
      <c r="A6827" t="str">
        <f>"1130174H00287    00"</f>
        <v>1130174H00287    00</v>
      </c>
      <c r="B6827" t="s">
        <v>15496</v>
      </c>
      <c r="C6827" t="s">
        <v>15359</v>
      </c>
      <c r="D6827" t="s">
        <v>20</v>
      </c>
      <c r="E6827" t="s">
        <v>39</v>
      </c>
      <c r="F6827">
        <v>0</v>
      </c>
      <c r="G6827">
        <v>0</v>
      </c>
      <c r="H6827">
        <v>19</v>
      </c>
      <c r="I6827" s="3">
        <v>4914.8900000000003</v>
      </c>
      <c r="J6827" s="3">
        <v>6872.99</v>
      </c>
      <c r="K6827" t="s">
        <v>1008</v>
      </c>
      <c r="P6827" t="str">
        <f>""</f>
        <v/>
      </c>
    </row>
    <row r="6828" spans="1:16" x14ac:dyDescent="0.25">
      <c r="A6828" t="str">
        <f>"1130174H00288    00"</f>
        <v>1130174H00288    00</v>
      </c>
      <c r="B6828" t="s">
        <v>15497</v>
      </c>
      <c r="C6828" t="s">
        <v>14843</v>
      </c>
      <c r="D6828" t="s">
        <v>20</v>
      </c>
      <c r="E6828" t="s">
        <v>39</v>
      </c>
      <c r="F6828">
        <v>0</v>
      </c>
      <c r="G6828">
        <v>0</v>
      </c>
      <c r="H6828">
        <v>19</v>
      </c>
      <c r="I6828" s="3">
        <v>255.06</v>
      </c>
      <c r="J6828" s="3">
        <v>247.23</v>
      </c>
      <c r="K6828" t="s">
        <v>1037</v>
      </c>
      <c r="L6828">
        <v>28</v>
      </c>
      <c r="M6828" t="s">
        <v>15370</v>
      </c>
      <c r="N6828" t="s">
        <v>30</v>
      </c>
      <c r="O6828" t="s">
        <v>31</v>
      </c>
      <c r="P6828" t="str">
        <f>"15208"</f>
        <v>15208</v>
      </c>
    </row>
    <row r="6829" spans="1:16" x14ac:dyDescent="0.25">
      <c r="A6829" t="str">
        <f>"1130174H00298    00"</f>
        <v>1130174H00298    00</v>
      </c>
      <c r="B6829" t="s">
        <v>15473</v>
      </c>
      <c r="C6829" t="s">
        <v>14843</v>
      </c>
      <c r="D6829" t="s">
        <v>20</v>
      </c>
      <c r="E6829" t="s">
        <v>39</v>
      </c>
      <c r="F6829">
        <v>0</v>
      </c>
      <c r="G6829">
        <v>0</v>
      </c>
      <c r="H6829">
        <v>19</v>
      </c>
      <c r="I6829" s="3">
        <v>320.97000000000003</v>
      </c>
      <c r="J6829" s="3">
        <v>282.08999999999997</v>
      </c>
      <c r="L6829">
        <v>1043</v>
      </c>
      <c r="M6829" t="s">
        <v>2442</v>
      </c>
      <c r="N6829" t="s">
        <v>30</v>
      </c>
      <c r="O6829" t="s">
        <v>31</v>
      </c>
      <c r="P6829" t="str">
        <f>"15208"</f>
        <v>15208</v>
      </c>
    </row>
    <row r="6830" spans="1:16" x14ac:dyDescent="0.25">
      <c r="A6830" t="str">
        <f>"1130174H00299    00"</f>
        <v>1130174H00299    00</v>
      </c>
      <c r="B6830" t="s">
        <v>15477</v>
      </c>
      <c r="C6830" t="s">
        <v>14843</v>
      </c>
      <c r="D6830" t="s">
        <v>20</v>
      </c>
      <c r="E6830" t="s">
        <v>39</v>
      </c>
      <c r="F6830">
        <v>0</v>
      </c>
      <c r="G6830">
        <v>0</v>
      </c>
      <c r="H6830">
        <v>19</v>
      </c>
      <c r="I6830" s="3">
        <v>320.97000000000003</v>
      </c>
      <c r="J6830" s="3">
        <v>282.08999999999997</v>
      </c>
      <c r="K6830" t="s">
        <v>1008</v>
      </c>
      <c r="P6830" t="str">
        <f>""</f>
        <v/>
      </c>
    </row>
    <row r="6831" spans="1:16" x14ac:dyDescent="0.25">
      <c r="A6831" t="str">
        <f>"1130174H00300    00"</f>
        <v>1130174H00300    00</v>
      </c>
      <c r="B6831" t="s">
        <v>15498</v>
      </c>
      <c r="C6831" t="s">
        <v>14843</v>
      </c>
      <c r="D6831" t="s">
        <v>20</v>
      </c>
      <c r="E6831" t="s">
        <v>39</v>
      </c>
      <c r="F6831">
        <v>0</v>
      </c>
      <c r="G6831">
        <v>0</v>
      </c>
      <c r="H6831">
        <v>19</v>
      </c>
      <c r="I6831" s="3">
        <v>210.88</v>
      </c>
      <c r="J6831" s="3">
        <v>189.11</v>
      </c>
      <c r="L6831">
        <v>7330</v>
      </c>
      <c r="M6831" t="s">
        <v>12201</v>
      </c>
      <c r="N6831" t="s">
        <v>30</v>
      </c>
      <c r="O6831" t="s">
        <v>31</v>
      </c>
      <c r="P6831" t="str">
        <f>"15208"</f>
        <v>15208</v>
      </c>
    </row>
    <row r="6832" spans="1:16" x14ac:dyDescent="0.25">
      <c r="A6832" t="str">
        <f>"1130174H00300A   00"</f>
        <v>1130174H00300A   00</v>
      </c>
      <c r="B6832" t="s">
        <v>15498</v>
      </c>
      <c r="C6832" t="s">
        <v>14843</v>
      </c>
      <c r="D6832" t="s">
        <v>20</v>
      </c>
      <c r="E6832" t="s">
        <v>39</v>
      </c>
      <c r="F6832">
        <v>0</v>
      </c>
      <c r="G6832">
        <v>0</v>
      </c>
      <c r="H6832">
        <v>17</v>
      </c>
      <c r="I6832" s="3">
        <v>134.15</v>
      </c>
      <c r="J6832" s="3">
        <v>149.49</v>
      </c>
      <c r="L6832">
        <v>7330</v>
      </c>
      <c r="M6832" t="s">
        <v>12201</v>
      </c>
      <c r="N6832" t="s">
        <v>30</v>
      </c>
      <c r="O6832" t="s">
        <v>31</v>
      </c>
      <c r="P6832" t="str">
        <f>"15208"</f>
        <v>15208</v>
      </c>
    </row>
    <row r="6833" spans="1:16" x14ac:dyDescent="0.25">
      <c r="A6833" t="str">
        <f>"1130174H00301    00"</f>
        <v>1130174H00301    00</v>
      </c>
      <c r="B6833" t="s">
        <v>15499</v>
      </c>
      <c r="C6833" t="s">
        <v>15500</v>
      </c>
      <c r="D6833" t="s">
        <v>20</v>
      </c>
      <c r="E6833" t="s">
        <v>39</v>
      </c>
      <c r="F6833">
        <v>0</v>
      </c>
      <c r="G6833">
        <v>0</v>
      </c>
      <c r="H6833">
        <v>19</v>
      </c>
      <c r="I6833" s="3">
        <v>3587.27</v>
      </c>
      <c r="J6833" s="3">
        <v>5154.42</v>
      </c>
      <c r="L6833">
        <v>900</v>
      </c>
      <c r="M6833" t="s">
        <v>15501</v>
      </c>
      <c r="N6833" t="s">
        <v>30</v>
      </c>
      <c r="O6833" t="s">
        <v>31</v>
      </c>
      <c r="P6833" t="str">
        <f>"15208"</f>
        <v>15208</v>
      </c>
    </row>
    <row r="6834" spans="1:16" x14ac:dyDescent="0.25">
      <c r="A6834" t="str">
        <f>"1130174H00348    00"</f>
        <v>1130174H00348    00</v>
      </c>
      <c r="B6834" t="s">
        <v>15502</v>
      </c>
      <c r="C6834" t="s">
        <v>14528</v>
      </c>
      <c r="D6834" t="s">
        <v>20</v>
      </c>
      <c r="E6834" t="s">
        <v>39</v>
      </c>
      <c r="F6834">
        <v>0</v>
      </c>
      <c r="G6834">
        <v>0</v>
      </c>
      <c r="H6834">
        <v>17</v>
      </c>
      <c r="I6834" s="3">
        <v>170.77</v>
      </c>
      <c r="J6834" s="3">
        <v>169.44</v>
      </c>
      <c r="K6834" t="s">
        <v>1008</v>
      </c>
      <c r="P6834" t="str">
        <f>""</f>
        <v/>
      </c>
    </row>
    <row r="6835" spans="1:16" x14ac:dyDescent="0.25">
      <c r="A6835" t="str">
        <f>"1130174H00350    00"</f>
        <v>1130174H00350    00</v>
      </c>
      <c r="B6835" t="s">
        <v>15502</v>
      </c>
      <c r="C6835" t="s">
        <v>15235</v>
      </c>
      <c r="D6835" t="s">
        <v>20</v>
      </c>
      <c r="E6835" t="s">
        <v>39</v>
      </c>
      <c r="F6835">
        <v>0</v>
      </c>
      <c r="G6835">
        <v>0</v>
      </c>
      <c r="H6835">
        <v>19</v>
      </c>
      <c r="I6835" s="3">
        <v>636.42999999999995</v>
      </c>
      <c r="J6835" s="3">
        <v>516.47</v>
      </c>
      <c r="K6835" t="s">
        <v>1037</v>
      </c>
      <c r="L6835">
        <v>7768</v>
      </c>
      <c r="M6835" t="s">
        <v>12045</v>
      </c>
      <c r="N6835" t="s">
        <v>30</v>
      </c>
      <c r="O6835" t="s">
        <v>31</v>
      </c>
      <c r="P6835" t="str">
        <f>"15208"</f>
        <v>15208</v>
      </c>
    </row>
    <row r="6836" spans="1:16" x14ac:dyDescent="0.25">
      <c r="A6836" t="str">
        <f>"1130174H00361    00"</f>
        <v>1130174H00361    00</v>
      </c>
      <c r="B6836" t="s">
        <v>15503</v>
      </c>
      <c r="C6836" t="s">
        <v>15504</v>
      </c>
      <c r="D6836" t="s">
        <v>20</v>
      </c>
      <c r="E6836" t="s">
        <v>39</v>
      </c>
      <c r="F6836">
        <v>0</v>
      </c>
      <c r="G6836">
        <v>0</v>
      </c>
      <c r="H6836">
        <v>1</v>
      </c>
      <c r="I6836" s="3">
        <v>291.63</v>
      </c>
      <c r="J6836" s="3">
        <v>0</v>
      </c>
      <c r="L6836">
        <v>7738</v>
      </c>
      <c r="M6836" t="s">
        <v>12045</v>
      </c>
      <c r="N6836" t="s">
        <v>30</v>
      </c>
      <c r="O6836" t="s">
        <v>31</v>
      </c>
      <c r="P6836" t="str">
        <f>"15208"</f>
        <v>15208</v>
      </c>
    </row>
    <row r="6837" spans="1:16" x14ac:dyDescent="0.25">
      <c r="A6837" t="str">
        <f>"1130174H00363    00"</f>
        <v>1130174H00363    00</v>
      </c>
      <c r="B6837" t="s">
        <v>15505</v>
      </c>
      <c r="C6837" t="s">
        <v>15506</v>
      </c>
      <c r="D6837" t="s">
        <v>20</v>
      </c>
      <c r="E6837" t="s">
        <v>39</v>
      </c>
      <c r="F6837">
        <v>0</v>
      </c>
      <c r="G6837">
        <v>0</v>
      </c>
      <c r="H6837">
        <v>4</v>
      </c>
      <c r="I6837" s="3">
        <v>51.38</v>
      </c>
      <c r="J6837" s="3">
        <v>8.73</v>
      </c>
      <c r="L6837">
        <v>7736</v>
      </c>
      <c r="M6837" t="s">
        <v>12045</v>
      </c>
      <c r="N6837" t="s">
        <v>30</v>
      </c>
      <c r="O6837" t="s">
        <v>31</v>
      </c>
      <c r="P6837" t="str">
        <f>"15208"</f>
        <v>15208</v>
      </c>
    </row>
    <row r="6838" spans="1:16" x14ac:dyDescent="0.25">
      <c r="A6838" t="str">
        <f>"1130174H00367    00"</f>
        <v>1130174H00367    00</v>
      </c>
      <c r="B6838" t="s">
        <v>944</v>
      </c>
      <c r="C6838" t="s">
        <v>15507</v>
      </c>
      <c r="E6838" t="s">
        <v>207</v>
      </c>
      <c r="F6838">
        <v>0</v>
      </c>
      <c r="G6838">
        <v>0</v>
      </c>
      <c r="H6838">
        <v>7</v>
      </c>
      <c r="I6838" s="3">
        <v>192.02</v>
      </c>
      <c r="J6838" s="3">
        <v>235.92</v>
      </c>
      <c r="L6838">
        <v>200</v>
      </c>
      <c r="M6838" t="s">
        <v>946</v>
      </c>
      <c r="N6838" t="s">
        <v>30</v>
      </c>
      <c r="O6838" t="s">
        <v>31</v>
      </c>
      <c r="P6838" t="str">
        <f>"15219"</f>
        <v>15219</v>
      </c>
    </row>
    <row r="6839" spans="1:16" x14ac:dyDescent="0.25">
      <c r="A6839" t="str">
        <f>"1130174H00369    00"</f>
        <v>1130174H00369    00</v>
      </c>
      <c r="B6839" t="s">
        <v>944</v>
      </c>
      <c r="C6839" t="s">
        <v>15508</v>
      </c>
      <c r="E6839" t="s">
        <v>207</v>
      </c>
      <c r="F6839">
        <v>0</v>
      </c>
      <c r="G6839">
        <v>0</v>
      </c>
      <c r="H6839">
        <v>7</v>
      </c>
      <c r="I6839" s="3">
        <v>54306.28</v>
      </c>
      <c r="J6839" s="3">
        <v>70454.38</v>
      </c>
      <c r="L6839">
        <v>200</v>
      </c>
      <c r="M6839" t="s">
        <v>946</v>
      </c>
      <c r="N6839" t="s">
        <v>30</v>
      </c>
      <c r="O6839" t="s">
        <v>31</v>
      </c>
      <c r="P6839" t="str">
        <f>"15219"</f>
        <v>15219</v>
      </c>
    </row>
    <row r="6840" spans="1:16" x14ac:dyDescent="0.25">
      <c r="A6840" t="str">
        <f>"1130174H00371    00"</f>
        <v>1130174H00371    00</v>
      </c>
      <c r="B6840" t="s">
        <v>944</v>
      </c>
      <c r="C6840" t="s">
        <v>15509</v>
      </c>
      <c r="E6840" t="s">
        <v>207</v>
      </c>
      <c r="F6840">
        <v>0</v>
      </c>
      <c r="G6840">
        <v>0</v>
      </c>
      <c r="H6840">
        <v>7</v>
      </c>
      <c r="I6840" s="3">
        <v>1750.33</v>
      </c>
      <c r="J6840" s="3">
        <v>2332.4699999999998</v>
      </c>
      <c r="L6840">
        <v>200</v>
      </c>
      <c r="M6840" t="s">
        <v>946</v>
      </c>
      <c r="N6840" t="s">
        <v>30</v>
      </c>
      <c r="O6840" t="s">
        <v>31</v>
      </c>
      <c r="P6840" t="str">
        <f>"15219"</f>
        <v>15219</v>
      </c>
    </row>
    <row r="6841" spans="1:16" x14ac:dyDescent="0.25">
      <c r="A6841" t="str">
        <f>"1130174H00374    00"</f>
        <v>1130174H00374    00</v>
      </c>
      <c r="B6841" t="s">
        <v>944</v>
      </c>
      <c r="C6841" t="s">
        <v>15235</v>
      </c>
      <c r="E6841" t="s">
        <v>207</v>
      </c>
      <c r="F6841">
        <v>0</v>
      </c>
      <c r="G6841">
        <v>0</v>
      </c>
      <c r="H6841">
        <v>7</v>
      </c>
      <c r="I6841" s="3">
        <v>1075.06</v>
      </c>
      <c r="J6841" s="3">
        <v>1438.13</v>
      </c>
      <c r="L6841">
        <v>200</v>
      </c>
      <c r="M6841" t="s">
        <v>946</v>
      </c>
      <c r="N6841" t="s">
        <v>30</v>
      </c>
      <c r="O6841" t="s">
        <v>31</v>
      </c>
      <c r="P6841" t="str">
        <f>"15219"</f>
        <v>15219</v>
      </c>
    </row>
    <row r="6842" spans="1:16" x14ac:dyDescent="0.25">
      <c r="A6842" t="str">
        <f>"1130174H00377    00"</f>
        <v>1130174H00377    00</v>
      </c>
      <c r="B6842" t="s">
        <v>15510</v>
      </c>
      <c r="C6842" t="s">
        <v>15359</v>
      </c>
      <c r="D6842" t="s">
        <v>20</v>
      </c>
      <c r="E6842" t="s">
        <v>39</v>
      </c>
      <c r="F6842">
        <v>0</v>
      </c>
      <c r="G6842">
        <v>0</v>
      </c>
      <c r="H6842">
        <v>3</v>
      </c>
      <c r="I6842" s="3">
        <v>245.91</v>
      </c>
      <c r="J6842" s="3">
        <v>16.399999999999999</v>
      </c>
      <c r="L6842">
        <v>8927</v>
      </c>
      <c r="M6842" t="s">
        <v>14630</v>
      </c>
      <c r="N6842" t="s">
        <v>30</v>
      </c>
      <c r="O6842" t="s">
        <v>31</v>
      </c>
      <c r="P6842" t="str">
        <f>"15235"</f>
        <v>15235</v>
      </c>
    </row>
    <row r="6843" spans="1:16" x14ac:dyDescent="0.25">
      <c r="A6843" t="str">
        <f>"1130174H00385    00"</f>
        <v>1130174H00385    00</v>
      </c>
      <c r="B6843" t="s">
        <v>15511</v>
      </c>
      <c r="C6843" t="s">
        <v>15359</v>
      </c>
      <c r="D6843" t="s">
        <v>20</v>
      </c>
      <c r="E6843" t="s">
        <v>39</v>
      </c>
      <c r="F6843">
        <v>0</v>
      </c>
      <c r="G6843">
        <v>0</v>
      </c>
      <c r="H6843">
        <v>19</v>
      </c>
      <c r="I6843" s="3">
        <v>301.70999999999998</v>
      </c>
      <c r="J6843" s="3">
        <v>294.45</v>
      </c>
      <c r="L6843">
        <v>38</v>
      </c>
      <c r="M6843" t="s">
        <v>15370</v>
      </c>
      <c r="N6843" t="s">
        <v>30</v>
      </c>
      <c r="O6843" t="s">
        <v>31</v>
      </c>
      <c r="P6843" t="str">
        <f>"15208"</f>
        <v>15208</v>
      </c>
    </row>
    <row r="6844" spans="1:16" x14ac:dyDescent="0.25">
      <c r="A6844" t="str">
        <f>"1130174H00389    00"</f>
        <v>1130174H00389    00</v>
      </c>
      <c r="B6844" t="s">
        <v>15512</v>
      </c>
      <c r="C6844" t="s">
        <v>15359</v>
      </c>
      <c r="D6844" t="s">
        <v>20</v>
      </c>
      <c r="E6844" t="s">
        <v>39</v>
      </c>
      <c r="F6844">
        <v>0</v>
      </c>
      <c r="G6844">
        <v>0</v>
      </c>
      <c r="H6844">
        <v>19</v>
      </c>
      <c r="I6844" s="3">
        <v>255.06</v>
      </c>
      <c r="J6844" s="3">
        <v>247.23</v>
      </c>
      <c r="K6844" t="s">
        <v>1008</v>
      </c>
      <c r="P6844" t="str">
        <f>""</f>
        <v/>
      </c>
    </row>
    <row r="6845" spans="1:16" x14ac:dyDescent="0.25">
      <c r="A6845" t="str">
        <f>"1130174H00390    00"</f>
        <v>1130174H00390    00</v>
      </c>
      <c r="B6845" t="s">
        <v>15513</v>
      </c>
      <c r="C6845" t="s">
        <v>15359</v>
      </c>
      <c r="D6845" t="s">
        <v>20</v>
      </c>
      <c r="E6845" t="s">
        <v>39</v>
      </c>
      <c r="F6845">
        <v>0</v>
      </c>
      <c r="G6845">
        <v>0</v>
      </c>
      <c r="H6845">
        <v>19</v>
      </c>
      <c r="I6845" s="3">
        <v>392.14</v>
      </c>
      <c r="J6845" s="3">
        <v>364.71</v>
      </c>
      <c r="K6845" t="s">
        <v>1037</v>
      </c>
      <c r="L6845">
        <v>1120</v>
      </c>
      <c r="M6845" t="s">
        <v>15501</v>
      </c>
      <c r="N6845" t="s">
        <v>30</v>
      </c>
      <c r="O6845" t="s">
        <v>31</v>
      </c>
      <c r="P6845" t="str">
        <f>"15208"</f>
        <v>15208</v>
      </c>
    </row>
    <row r="6846" spans="1:16" x14ac:dyDescent="0.25">
      <c r="A6846" t="str">
        <f>"1130174H00391    00"</f>
        <v>1130174H00391    00</v>
      </c>
      <c r="B6846" t="s">
        <v>15514</v>
      </c>
      <c r="C6846" t="s">
        <v>15359</v>
      </c>
      <c r="D6846" t="s">
        <v>20</v>
      </c>
      <c r="E6846" t="s">
        <v>39</v>
      </c>
      <c r="F6846">
        <v>0</v>
      </c>
      <c r="G6846">
        <v>0</v>
      </c>
      <c r="H6846">
        <v>19</v>
      </c>
      <c r="I6846" s="3">
        <v>392.14</v>
      </c>
      <c r="J6846" s="3">
        <v>364.71</v>
      </c>
      <c r="L6846">
        <v>35</v>
      </c>
      <c r="M6846" t="s">
        <v>15370</v>
      </c>
      <c r="N6846" t="s">
        <v>30</v>
      </c>
      <c r="O6846" t="s">
        <v>31</v>
      </c>
      <c r="P6846" t="str">
        <f>"15208"</f>
        <v>15208</v>
      </c>
    </row>
    <row r="6847" spans="1:16" x14ac:dyDescent="0.25">
      <c r="A6847" t="str">
        <f>"1130174J00022    00"</f>
        <v>1130174J00022    00</v>
      </c>
      <c r="B6847" t="s">
        <v>15515</v>
      </c>
      <c r="C6847" t="s">
        <v>15516</v>
      </c>
      <c r="D6847" t="s">
        <v>20</v>
      </c>
      <c r="E6847" t="s">
        <v>39</v>
      </c>
      <c r="F6847">
        <v>0</v>
      </c>
      <c r="G6847">
        <v>0</v>
      </c>
      <c r="H6847">
        <v>15</v>
      </c>
      <c r="I6847" s="3">
        <v>2813.62</v>
      </c>
      <c r="J6847" s="3">
        <v>2216.84</v>
      </c>
      <c r="L6847">
        <v>709</v>
      </c>
      <c r="M6847" t="s">
        <v>13906</v>
      </c>
      <c r="N6847" t="s">
        <v>30</v>
      </c>
      <c r="O6847" t="s">
        <v>31</v>
      </c>
      <c r="P6847" t="str">
        <f>"15208"</f>
        <v>15208</v>
      </c>
    </row>
    <row r="6848" spans="1:16" x14ac:dyDescent="0.25">
      <c r="A6848" t="str">
        <f>"1130174J00025    00"</f>
        <v>1130174J00025    00</v>
      </c>
      <c r="B6848" t="s">
        <v>15517</v>
      </c>
      <c r="C6848" t="s">
        <v>15518</v>
      </c>
      <c r="D6848" t="s">
        <v>20</v>
      </c>
      <c r="E6848" t="s">
        <v>39</v>
      </c>
      <c r="F6848">
        <v>0</v>
      </c>
      <c r="G6848">
        <v>0</v>
      </c>
      <c r="H6848">
        <v>17</v>
      </c>
      <c r="I6848" s="3">
        <v>12599.09</v>
      </c>
      <c r="J6848" s="3">
        <v>12302.5</v>
      </c>
      <c r="K6848" t="s">
        <v>15519</v>
      </c>
      <c r="L6848">
        <v>703</v>
      </c>
      <c r="M6848" t="s">
        <v>13906</v>
      </c>
      <c r="N6848" t="s">
        <v>30</v>
      </c>
      <c r="O6848" t="s">
        <v>31</v>
      </c>
      <c r="P6848" t="str">
        <f>"15208"</f>
        <v>15208</v>
      </c>
    </row>
    <row r="6849" spans="1:16" x14ac:dyDescent="0.25">
      <c r="A6849" t="str">
        <f>"1130174J00028    00"</f>
        <v>1130174J00028    00</v>
      </c>
      <c r="B6849" t="s">
        <v>15520</v>
      </c>
      <c r="C6849" t="s">
        <v>15521</v>
      </c>
      <c r="E6849" t="s">
        <v>39</v>
      </c>
      <c r="F6849">
        <v>0</v>
      </c>
      <c r="G6849">
        <v>0</v>
      </c>
      <c r="H6849">
        <v>8</v>
      </c>
      <c r="I6849" s="3">
        <v>186.55</v>
      </c>
      <c r="J6849" s="3">
        <v>263.91000000000003</v>
      </c>
      <c r="K6849" t="s">
        <v>15522</v>
      </c>
      <c r="L6849">
        <v>805</v>
      </c>
      <c r="M6849" t="s">
        <v>11623</v>
      </c>
      <c r="N6849" t="s">
        <v>30</v>
      </c>
      <c r="O6849" t="s">
        <v>31</v>
      </c>
      <c r="P6849" t="str">
        <f>"15208"</f>
        <v>15208</v>
      </c>
    </row>
    <row r="6850" spans="1:16" x14ac:dyDescent="0.25">
      <c r="A6850" t="str">
        <f>"1130174J00036    00"</f>
        <v>1130174J00036    00</v>
      </c>
      <c r="B6850" t="s">
        <v>15523</v>
      </c>
      <c r="C6850" t="s">
        <v>15524</v>
      </c>
      <c r="E6850" t="s">
        <v>66</v>
      </c>
      <c r="F6850">
        <v>0</v>
      </c>
      <c r="G6850">
        <v>0</v>
      </c>
      <c r="H6850">
        <v>3</v>
      </c>
      <c r="I6850" s="3">
        <v>32869.71</v>
      </c>
      <c r="J6850" s="3">
        <v>6015.03</v>
      </c>
      <c r="K6850" t="s">
        <v>15525</v>
      </c>
      <c r="L6850">
        <v>2701</v>
      </c>
      <c r="M6850" t="s">
        <v>1117</v>
      </c>
      <c r="N6850" t="s">
        <v>30</v>
      </c>
      <c r="O6850" t="s">
        <v>31</v>
      </c>
      <c r="P6850" t="str">
        <f>"15219"</f>
        <v>15219</v>
      </c>
    </row>
    <row r="6851" spans="1:16" x14ac:dyDescent="0.25">
      <c r="A6851" t="str">
        <f>"1130174J00094    00"</f>
        <v>1130174J00094    00</v>
      </c>
      <c r="B6851" t="s">
        <v>15526</v>
      </c>
      <c r="C6851" t="s">
        <v>15527</v>
      </c>
      <c r="E6851" t="s">
        <v>21</v>
      </c>
      <c r="F6851">
        <v>0</v>
      </c>
      <c r="G6851">
        <v>0</v>
      </c>
      <c r="H6851">
        <v>2</v>
      </c>
      <c r="I6851" s="3">
        <v>711.06</v>
      </c>
      <c r="J6851" s="3">
        <v>168.65</v>
      </c>
      <c r="L6851">
        <v>801</v>
      </c>
      <c r="M6851" t="s">
        <v>11623</v>
      </c>
      <c r="N6851" t="s">
        <v>30</v>
      </c>
      <c r="O6851" t="s">
        <v>31</v>
      </c>
      <c r="P6851" t="str">
        <f>"15208"</f>
        <v>15208</v>
      </c>
    </row>
    <row r="6852" spans="1:16" x14ac:dyDescent="0.25">
      <c r="A6852" t="str">
        <f>"1130174J00101    00"</f>
        <v>1130174J00101    00</v>
      </c>
      <c r="B6852" t="s">
        <v>15528</v>
      </c>
      <c r="C6852" t="s">
        <v>15529</v>
      </c>
      <c r="E6852" t="s">
        <v>21</v>
      </c>
      <c r="F6852">
        <v>0</v>
      </c>
      <c r="G6852">
        <v>0</v>
      </c>
      <c r="H6852">
        <v>1</v>
      </c>
      <c r="I6852" s="3">
        <v>45</v>
      </c>
      <c r="J6852" s="3">
        <v>21.37</v>
      </c>
      <c r="K6852" t="s">
        <v>15530</v>
      </c>
      <c r="L6852">
        <v>7238</v>
      </c>
      <c r="M6852" t="s">
        <v>15531</v>
      </c>
      <c r="N6852" t="s">
        <v>30</v>
      </c>
      <c r="O6852" t="s">
        <v>31</v>
      </c>
      <c r="P6852" t="str">
        <f>"15208"</f>
        <v>15208</v>
      </c>
    </row>
    <row r="6853" spans="1:16" x14ac:dyDescent="0.25">
      <c r="A6853" t="str">
        <f>"1130174J00103    00"</f>
        <v>1130174J00103    00</v>
      </c>
      <c r="B6853" t="s">
        <v>15532</v>
      </c>
      <c r="C6853" t="s">
        <v>15533</v>
      </c>
      <c r="D6853" t="s">
        <v>20</v>
      </c>
      <c r="E6853" t="s">
        <v>39</v>
      </c>
      <c r="F6853">
        <v>0</v>
      </c>
      <c r="G6853">
        <v>0</v>
      </c>
      <c r="H6853">
        <v>1</v>
      </c>
      <c r="I6853" s="3">
        <v>28</v>
      </c>
      <c r="J6853" s="3">
        <v>0</v>
      </c>
      <c r="L6853">
        <v>7239</v>
      </c>
      <c r="M6853" t="s">
        <v>12487</v>
      </c>
      <c r="N6853" t="s">
        <v>30</v>
      </c>
      <c r="O6853" t="s">
        <v>31</v>
      </c>
      <c r="P6853" t="str">
        <f>"15208"</f>
        <v>15208</v>
      </c>
    </row>
    <row r="6854" spans="1:16" x14ac:dyDescent="0.25">
      <c r="A6854" t="str">
        <f>"1130174J00105    00"</f>
        <v>1130174J00105    00</v>
      </c>
      <c r="B6854" t="s">
        <v>15534</v>
      </c>
      <c r="C6854" t="s">
        <v>15535</v>
      </c>
      <c r="D6854" t="s">
        <v>33</v>
      </c>
      <c r="E6854" t="s">
        <v>21</v>
      </c>
      <c r="F6854">
        <v>0</v>
      </c>
      <c r="G6854">
        <v>0</v>
      </c>
      <c r="H6854">
        <v>2</v>
      </c>
      <c r="I6854" s="3">
        <v>45.1</v>
      </c>
      <c r="J6854" s="3">
        <v>1.1299999999999999</v>
      </c>
      <c r="L6854">
        <v>255</v>
      </c>
      <c r="M6854" t="s">
        <v>1668</v>
      </c>
      <c r="N6854" t="s">
        <v>30</v>
      </c>
      <c r="O6854" t="s">
        <v>31</v>
      </c>
      <c r="P6854" t="str">
        <f>"15213"</f>
        <v>15213</v>
      </c>
    </row>
    <row r="6855" spans="1:16" x14ac:dyDescent="0.25">
      <c r="A6855" t="str">
        <f>"1130174J00188    00"</f>
        <v>1130174J00188    00</v>
      </c>
      <c r="B6855" t="s">
        <v>15536</v>
      </c>
      <c r="C6855" t="s">
        <v>15537</v>
      </c>
      <c r="D6855" t="s">
        <v>20</v>
      </c>
      <c r="E6855" t="s">
        <v>21</v>
      </c>
      <c r="F6855">
        <v>0</v>
      </c>
      <c r="G6855">
        <v>0</v>
      </c>
      <c r="H6855">
        <v>4</v>
      </c>
      <c r="I6855" s="3">
        <v>523.71</v>
      </c>
      <c r="J6855" s="3">
        <v>35.69</v>
      </c>
      <c r="L6855">
        <v>437</v>
      </c>
      <c r="M6855" t="s">
        <v>2777</v>
      </c>
      <c r="N6855" t="s">
        <v>30</v>
      </c>
      <c r="O6855" t="s">
        <v>31</v>
      </c>
      <c r="P6855" t="str">
        <f>"15235"</f>
        <v>15235</v>
      </c>
    </row>
    <row r="6856" spans="1:16" x14ac:dyDescent="0.25">
      <c r="A6856" t="str">
        <f>"1130174J00190    00"</f>
        <v>1130174J00190    00</v>
      </c>
      <c r="B6856" t="s">
        <v>15536</v>
      </c>
      <c r="C6856" t="s">
        <v>15537</v>
      </c>
      <c r="D6856" t="s">
        <v>20</v>
      </c>
      <c r="E6856" t="s">
        <v>21</v>
      </c>
      <c r="F6856">
        <v>0</v>
      </c>
      <c r="G6856">
        <v>0</v>
      </c>
      <c r="H6856">
        <v>4</v>
      </c>
      <c r="I6856" s="3">
        <v>13658.81</v>
      </c>
      <c r="J6856" s="3">
        <v>1474.55</v>
      </c>
      <c r="L6856">
        <v>437</v>
      </c>
      <c r="M6856" t="s">
        <v>2777</v>
      </c>
      <c r="N6856" t="s">
        <v>30</v>
      </c>
      <c r="O6856" t="s">
        <v>31</v>
      </c>
      <c r="P6856" t="str">
        <f>"15235"</f>
        <v>15235</v>
      </c>
    </row>
    <row r="6857" spans="1:16" x14ac:dyDescent="0.25">
      <c r="A6857" t="str">
        <f>"1130174J00269    00"</f>
        <v>1130174J00269    00</v>
      </c>
      <c r="B6857" t="s">
        <v>14287</v>
      </c>
      <c r="C6857" t="s">
        <v>15538</v>
      </c>
      <c r="D6857" t="s">
        <v>20</v>
      </c>
      <c r="E6857" t="s">
        <v>39</v>
      </c>
      <c r="F6857">
        <v>0</v>
      </c>
      <c r="G6857">
        <v>0</v>
      </c>
      <c r="H6857">
        <v>2</v>
      </c>
      <c r="I6857" s="3">
        <v>26.7</v>
      </c>
      <c r="J6857" s="3">
        <v>0</v>
      </c>
      <c r="L6857">
        <v>1407</v>
      </c>
      <c r="M6857" t="s">
        <v>15241</v>
      </c>
      <c r="N6857" t="s">
        <v>30</v>
      </c>
      <c r="O6857" t="s">
        <v>31</v>
      </c>
      <c r="P6857" t="str">
        <f>"15208"</f>
        <v>15208</v>
      </c>
    </row>
    <row r="6858" spans="1:16" x14ac:dyDescent="0.25">
      <c r="A6858" t="str">
        <f>"1130174J00277    00"</f>
        <v>1130174J00277    00</v>
      </c>
      <c r="B6858" t="s">
        <v>11560</v>
      </c>
      <c r="C6858" t="s">
        <v>15539</v>
      </c>
      <c r="D6858" t="s">
        <v>20</v>
      </c>
      <c r="E6858" t="s">
        <v>39</v>
      </c>
      <c r="F6858">
        <v>0</v>
      </c>
      <c r="G6858">
        <v>0</v>
      </c>
      <c r="H6858">
        <v>2</v>
      </c>
      <c r="I6858" s="3">
        <v>1538.79</v>
      </c>
      <c r="J6858" s="3">
        <v>0</v>
      </c>
      <c r="L6858">
        <v>701</v>
      </c>
      <c r="M6858" t="s">
        <v>11562</v>
      </c>
      <c r="N6858" t="s">
        <v>30</v>
      </c>
      <c r="O6858" t="s">
        <v>31</v>
      </c>
      <c r="P6858" t="str">
        <f>"15208"</f>
        <v>15208</v>
      </c>
    </row>
    <row r="6859" spans="1:16" x14ac:dyDescent="0.25">
      <c r="A6859" t="str">
        <f>"1130174J00280    00"</f>
        <v>1130174J00280    00</v>
      </c>
      <c r="B6859" t="s">
        <v>15540</v>
      </c>
      <c r="C6859" t="s">
        <v>15541</v>
      </c>
      <c r="D6859" t="s">
        <v>20</v>
      </c>
      <c r="E6859" t="s">
        <v>39</v>
      </c>
      <c r="F6859">
        <v>0</v>
      </c>
      <c r="G6859">
        <v>0</v>
      </c>
      <c r="H6859">
        <v>19</v>
      </c>
      <c r="I6859" s="3">
        <v>8311.08</v>
      </c>
      <c r="J6859" s="3">
        <v>10288.39</v>
      </c>
      <c r="K6859" t="s">
        <v>15542</v>
      </c>
      <c r="L6859">
        <v>1445</v>
      </c>
      <c r="M6859" t="s">
        <v>1112</v>
      </c>
      <c r="N6859" t="s">
        <v>30</v>
      </c>
      <c r="O6859" t="s">
        <v>31</v>
      </c>
      <c r="P6859" t="str">
        <f>"15221"</f>
        <v>15221</v>
      </c>
    </row>
    <row r="6860" spans="1:16" x14ac:dyDescent="0.25">
      <c r="A6860" t="str">
        <f>"1130174J00318    00"</f>
        <v>1130174J00318    00</v>
      </c>
      <c r="B6860" t="s">
        <v>15543</v>
      </c>
      <c r="C6860" t="s">
        <v>15544</v>
      </c>
      <c r="D6860" t="s">
        <v>20</v>
      </c>
      <c r="E6860" t="s">
        <v>39</v>
      </c>
      <c r="F6860">
        <v>0</v>
      </c>
      <c r="G6860">
        <v>0</v>
      </c>
      <c r="H6860">
        <v>2</v>
      </c>
      <c r="I6860" s="3">
        <v>1288.5</v>
      </c>
      <c r="J6860" s="3">
        <v>0</v>
      </c>
      <c r="L6860">
        <v>1716</v>
      </c>
      <c r="M6860" t="s">
        <v>15545</v>
      </c>
      <c r="N6860" t="s">
        <v>1067</v>
      </c>
      <c r="O6860" t="s">
        <v>31</v>
      </c>
      <c r="P6860" t="str">
        <f>"15143"</f>
        <v>15143</v>
      </c>
    </row>
    <row r="6861" spans="1:16" x14ac:dyDescent="0.25">
      <c r="A6861" t="str">
        <f>"1130174J00320    00"</f>
        <v>1130174J00320    00</v>
      </c>
      <c r="B6861" t="s">
        <v>15546</v>
      </c>
      <c r="C6861" t="s">
        <v>15538</v>
      </c>
      <c r="D6861" t="s">
        <v>20</v>
      </c>
      <c r="E6861" t="s">
        <v>39</v>
      </c>
      <c r="F6861">
        <v>0</v>
      </c>
      <c r="G6861">
        <v>0</v>
      </c>
      <c r="H6861">
        <v>6</v>
      </c>
      <c r="I6861" s="3">
        <v>455.53</v>
      </c>
      <c r="J6861" s="3">
        <v>108.64</v>
      </c>
      <c r="K6861" t="s">
        <v>15547</v>
      </c>
      <c r="L6861">
        <v>477</v>
      </c>
      <c r="M6861" t="s">
        <v>15548</v>
      </c>
      <c r="N6861" t="s">
        <v>30</v>
      </c>
      <c r="O6861" t="s">
        <v>31</v>
      </c>
      <c r="P6861" t="str">
        <f>"15235"</f>
        <v>15235</v>
      </c>
    </row>
    <row r="6862" spans="1:16" x14ac:dyDescent="0.25">
      <c r="A6862" t="str">
        <f>"1130174J00321    00"</f>
        <v>1130174J00321    00</v>
      </c>
      <c r="B6862" t="s">
        <v>15546</v>
      </c>
      <c r="C6862" t="s">
        <v>15538</v>
      </c>
      <c r="D6862" t="s">
        <v>20</v>
      </c>
      <c r="E6862" t="s">
        <v>39</v>
      </c>
      <c r="F6862">
        <v>0</v>
      </c>
      <c r="G6862">
        <v>0</v>
      </c>
      <c r="H6862">
        <v>2</v>
      </c>
      <c r="I6862" s="3">
        <v>129.6</v>
      </c>
      <c r="J6862" s="3">
        <v>0</v>
      </c>
      <c r="K6862" t="s">
        <v>15547</v>
      </c>
      <c r="L6862">
        <v>477</v>
      </c>
      <c r="M6862" t="s">
        <v>15548</v>
      </c>
      <c r="N6862" t="s">
        <v>30</v>
      </c>
      <c r="O6862" t="s">
        <v>31</v>
      </c>
      <c r="P6862" t="str">
        <f>"15235"</f>
        <v>15235</v>
      </c>
    </row>
    <row r="6863" spans="1:16" x14ac:dyDescent="0.25">
      <c r="A6863" t="str">
        <f>"1130174J00326    00"</f>
        <v>1130174J00326    00</v>
      </c>
      <c r="B6863" t="s">
        <v>15549</v>
      </c>
      <c r="C6863" t="s">
        <v>15550</v>
      </c>
      <c r="D6863" t="s">
        <v>20</v>
      </c>
      <c r="E6863" t="s">
        <v>39</v>
      </c>
      <c r="F6863">
        <v>0</v>
      </c>
      <c r="G6863">
        <v>0</v>
      </c>
      <c r="H6863">
        <v>5</v>
      </c>
      <c r="I6863" s="3">
        <v>1478.98</v>
      </c>
      <c r="J6863" s="3">
        <v>255.52</v>
      </c>
      <c r="K6863" t="s">
        <v>15551</v>
      </c>
      <c r="L6863">
        <v>1234</v>
      </c>
      <c r="M6863" t="s">
        <v>15552</v>
      </c>
      <c r="N6863" t="s">
        <v>15553</v>
      </c>
      <c r="O6863" t="s">
        <v>31</v>
      </c>
      <c r="P6863" t="str">
        <f>"15035"</f>
        <v>15035</v>
      </c>
    </row>
    <row r="6864" spans="1:16" x14ac:dyDescent="0.25">
      <c r="A6864" t="str">
        <f>"1130174J00327    00"</f>
        <v>1130174J00327    00</v>
      </c>
      <c r="B6864" t="s">
        <v>15554</v>
      </c>
      <c r="C6864" t="s">
        <v>15555</v>
      </c>
      <c r="D6864" t="s">
        <v>20</v>
      </c>
      <c r="E6864" t="s">
        <v>39</v>
      </c>
      <c r="F6864">
        <v>0</v>
      </c>
      <c r="G6864">
        <v>0</v>
      </c>
      <c r="H6864">
        <v>5</v>
      </c>
      <c r="I6864" s="3">
        <v>1460.15</v>
      </c>
      <c r="J6864" s="3">
        <v>252.26</v>
      </c>
      <c r="L6864">
        <v>1247</v>
      </c>
      <c r="M6864" t="s">
        <v>15556</v>
      </c>
      <c r="N6864" t="s">
        <v>903</v>
      </c>
      <c r="O6864" t="s">
        <v>31</v>
      </c>
      <c r="P6864" t="str">
        <f>"15136"</f>
        <v>15136</v>
      </c>
    </row>
    <row r="6865" spans="1:16" x14ac:dyDescent="0.25">
      <c r="A6865" t="str">
        <f>"1130174J00328    00"</f>
        <v>1130174J00328    00</v>
      </c>
      <c r="B6865" t="s">
        <v>15557</v>
      </c>
      <c r="C6865" t="s">
        <v>15558</v>
      </c>
      <c r="D6865" t="s">
        <v>20</v>
      </c>
      <c r="E6865" t="s">
        <v>39</v>
      </c>
      <c r="F6865">
        <v>0</v>
      </c>
      <c r="G6865">
        <v>0</v>
      </c>
      <c r="H6865">
        <v>6</v>
      </c>
      <c r="I6865" s="3">
        <v>1441.03</v>
      </c>
      <c r="J6865" s="3">
        <v>435.82</v>
      </c>
      <c r="L6865">
        <v>7115</v>
      </c>
      <c r="M6865" t="s">
        <v>4452</v>
      </c>
      <c r="N6865" t="s">
        <v>30</v>
      </c>
      <c r="O6865" t="s">
        <v>31</v>
      </c>
      <c r="P6865" t="str">
        <f>"15208"</f>
        <v>15208</v>
      </c>
    </row>
    <row r="6866" spans="1:16" x14ac:dyDescent="0.25">
      <c r="A6866" t="str">
        <f>"1130174J00347    00"</f>
        <v>1130174J00347    00</v>
      </c>
      <c r="B6866" t="s">
        <v>15559</v>
      </c>
      <c r="C6866" t="s">
        <v>15560</v>
      </c>
      <c r="E6866" t="s">
        <v>39</v>
      </c>
      <c r="F6866">
        <v>0</v>
      </c>
      <c r="G6866">
        <v>0</v>
      </c>
      <c r="H6866">
        <v>1</v>
      </c>
      <c r="I6866" s="3">
        <v>495.58</v>
      </c>
      <c r="J6866" s="3">
        <v>0</v>
      </c>
      <c r="K6866" t="s">
        <v>15561</v>
      </c>
      <c r="L6866">
        <v>3871</v>
      </c>
      <c r="M6866" t="s">
        <v>15562</v>
      </c>
      <c r="N6866" t="s">
        <v>14406</v>
      </c>
      <c r="O6866" t="s">
        <v>606</v>
      </c>
      <c r="P6866" t="str">
        <f>"30039"</f>
        <v>30039</v>
      </c>
    </row>
    <row r="6867" spans="1:16" x14ac:dyDescent="0.25">
      <c r="A6867" t="str">
        <f>"1130174J00349    00"</f>
        <v>1130174J00349    00</v>
      </c>
      <c r="B6867" t="s">
        <v>15563</v>
      </c>
      <c r="C6867" t="s">
        <v>15564</v>
      </c>
      <c r="D6867" t="s">
        <v>20</v>
      </c>
      <c r="E6867" t="s">
        <v>39</v>
      </c>
      <c r="F6867">
        <v>0</v>
      </c>
      <c r="G6867">
        <v>0</v>
      </c>
      <c r="H6867">
        <v>3</v>
      </c>
      <c r="I6867" s="3">
        <v>248.25</v>
      </c>
      <c r="J6867" s="3">
        <v>13.22</v>
      </c>
      <c r="L6867">
        <v>808</v>
      </c>
      <c r="M6867" t="s">
        <v>13906</v>
      </c>
      <c r="N6867" t="s">
        <v>30</v>
      </c>
      <c r="O6867" t="s">
        <v>31</v>
      </c>
      <c r="P6867" t="str">
        <f>"15208"</f>
        <v>15208</v>
      </c>
    </row>
    <row r="6868" spans="1:16" x14ac:dyDescent="0.25">
      <c r="A6868" t="str">
        <f>"1130174J00350    00"</f>
        <v>1130174J00350    00</v>
      </c>
      <c r="B6868" t="s">
        <v>15565</v>
      </c>
      <c r="C6868" t="s">
        <v>15566</v>
      </c>
      <c r="D6868" t="s">
        <v>20</v>
      </c>
      <c r="E6868" t="s">
        <v>39</v>
      </c>
      <c r="F6868">
        <v>0</v>
      </c>
      <c r="G6868">
        <v>0</v>
      </c>
      <c r="H6868">
        <v>1</v>
      </c>
      <c r="I6868" s="3">
        <v>487.94</v>
      </c>
      <c r="J6868" s="3">
        <v>0</v>
      </c>
      <c r="K6868" t="s">
        <v>15567</v>
      </c>
      <c r="L6868">
        <v>139</v>
      </c>
      <c r="M6868" t="s">
        <v>15568</v>
      </c>
      <c r="N6868" t="s">
        <v>30</v>
      </c>
      <c r="O6868" t="s">
        <v>31</v>
      </c>
      <c r="P6868" t="str">
        <f>"15235"</f>
        <v>15235</v>
      </c>
    </row>
    <row r="6869" spans="1:16" x14ac:dyDescent="0.25">
      <c r="A6869" t="str">
        <f>"1130174J00378    00"</f>
        <v>1130174J00378    00</v>
      </c>
      <c r="B6869" t="s">
        <v>15569</v>
      </c>
      <c r="C6869" t="s">
        <v>15570</v>
      </c>
      <c r="D6869" t="s">
        <v>20</v>
      </c>
      <c r="E6869" t="s">
        <v>21</v>
      </c>
      <c r="F6869">
        <v>0</v>
      </c>
      <c r="G6869">
        <v>0</v>
      </c>
      <c r="H6869">
        <v>2</v>
      </c>
      <c r="I6869" s="3">
        <v>580.37</v>
      </c>
      <c r="J6869" s="3">
        <v>0.04</v>
      </c>
      <c r="L6869">
        <v>8977</v>
      </c>
      <c r="M6869" t="s">
        <v>14630</v>
      </c>
      <c r="N6869" t="s">
        <v>30</v>
      </c>
      <c r="O6869" t="s">
        <v>31</v>
      </c>
      <c r="P6869" t="str">
        <f>"15235"</f>
        <v>15235</v>
      </c>
    </row>
    <row r="6870" spans="1:16" x14ac:dyDescent="0.25">
      <c r="A6870" t="str">
        <f>"1130174J00379    00"</f>
        <v>1130174J00379    00</v>
      </c>
      <c r="B6870" t="s">
        <v>14948</v>
      </c>
      <c r="C6870" t="s">
        <v>15571</v>
      </c>
      <c r="D6870" t="s">
        <v>20</v>
      </c>
      <c r="E6870" t="s">
        <v>21</v>
      </c>
      <c r="F6870">
        <v>0</v>
      </c>
      <c r="G6870">
        <v>0</v>
      </c>
      <c r="H6870">
        <v>17</v>
      </c>
      <c r="I6870" s="3">
        <v>166405.94</v>
      </c>
      <c r="J6870" s="3">
        <v>143065.98000000001</v>
      </c>
      <c r="M6870" t="s">
        <v>15572</v>
      </c>
      <c r="N6870" t="s">
        <v>30</v>
      </c>
      <c r="O6870" t="s">
        <v>31</v>
      </c>
      <c r="P6870" t="str">
        <f>"15206"</f>
        <v>15206</v>
      </c>
    </row>
    <row r="6871" spans="1:16" x14ac:dyDescent="0.25">
      <c r="A6871" t="str">
        <f>"1130174J00396    00"</f>
        <v>1130174J00396    00</v>
      </c>
      <c r="B6871" t="s">
        <v>15573</v>
      </c>
      <c r="C6871" t="s">
        <v>15574</v>
      </c>
      <c r="D6871" t="s">
        <v>20</v>
      </c>
      <c r="E6871" t="s">
        <v>21</v>
      </c>
      <c r="F6871">
        <v>0</v>
      </c>
      <c r="G6871">
        <v>0</v>
      </c>
      <c r="H6871">
        <v>1</v>
      </c>
      <c r="I6871" s="3">
        <v>846.28</v>
      </c>
      <c r="J6871" s="3">
        <v>0</v>
      </c>
      <c r="L6871">
        <v>4734</v>
      </c>
      <c r="M6871" t="s">
        <v>3385</v>
      </c>
      <c r="N6871" t="s">
        <v>30</v>
      </c>
      <c r="O6871" t="s">
        <v>31</v>
      </c>
      <c r="P6871" t="str">
        <f>"15201"</f>
        <v>15201</v>
      </c>
    </row>
    <row r="6872" spans="1:16" x14ac:dyDescent="0.25">
      <c r="A6872" t="str">
        <f>"1130174J00397    00"</f>
        <v>1130174J00397    00</v>
      </c>
      <c r="B6872" t="s">
        <v>15575</v>
      </c>
      <c r="C6872" t="s">
        <v>15576</v>
      </c>
      <c r="D6872" t="s">
        <v>20</v>
      </c>
      <c r="E6872" t="s">
        <v>21</v>
      </c>
      <c r="F6872">
        <v>0</v>
      </c>
      <c r="G6872">
        <v>0</v>
      </c>
      <c r="H6872">
        <v>1</v>
      </c>
      <c r="I6872" s="3">
        <v>579.44000000000005</v>
      </c>
      <c r="J6872" s="3">
        <v>0</v>
      </c>
      <c r="L6872">
        <v>4734</v>
      </c>
      <c r="M6872" t="s">
        <v>3385</v>
      </c>
      <c r="N6872" t="s">
        <v>30</v>
      </c>
      <c r="O6872" t="s">
        <v>31</v>
      </c>
      <c r="P6872" t="str">
        <f>"15201"</f>
        <v>15201</v>
      </c>
    </row>
    <row r="6873" spans="1:16" x14ac:dyDescent="0.25">
      <c r="A6873" t="str">
        <f>"1130174J00398    00"</f>
        <v>1130174J00398    00</v>
      </c>
      <c r="B6873" t="s">
        <v>15575</v>
      </c>
      <c r="C6873" t="s">
        <v>15577</v>
      </c>
      <c r="D6873" t="s">
        <v>20</v>
      </c>
      <c r="E6873" t="s">
        <v>21</v>
      </c>
      <c r="F6873">
        <v>0</v>
      </c>
      <c r="G6873">
        <v>0</v>
      </c>
      <c r="H6873">
        <v>1</v>
      </c>
      <c r="I6873" s="3">
        <v>1278.93</v>
      </c>
      <c r="J6873" s="3">
        <v>0</v>
      </c>
      <c r="L6873">
        <v>4734</v>
      </c>
      <c r="M6873" t="s">
        <v>3385</v>
      </c>
      <c r="N6873" t="s">
        <v>30</v>
      </c>
      <c r="O6873" t="s">
        <v>31</v>
      </c>
      <c r="P6873" t="str">
        <f>"15201"</f>
        <v>15201</v>
      </c>
    </row>
    <row r="6874" spans="1:16" x14ac:dyDescent="0.25">
      <c r="A6874" t="str">
        <f>"1130174K00001    00"</f>
        <v>1130174K00001    00</v>
      </c>
      <c r="B6874" t="s">
        <v>15578</v>
      </c>
      <c r="C6874" t="s">
        <v>15579</v>
      </c>
      <c r="D6874" t="s">
        <v>20</v>
      </c>
      <c r="E6874" t="s">
        <v>39</v>
      </c>
      <c r="F6874">
        <v>0</v>
      </c>
      <c r="G6874">
        <v>0</v>
      </c>
      <c r="H6874">
        <v>2</v>
      </c>
      <c r="I6874" s="3">
        <v>58.96</v>
      </c>
      <c r="J6874" s="3">
        <v>0</v>
      </c>
      <c r="L6874">
        <v>1008</v>
      </c>
      <c r="M6874" t="s">
        <v>15357</v>
      </c>
      <c r="N6874" t="s">
        <v>30</v>
      </c>
      <c r="O6874" t="s">
        <v>31</v>
      </c>
      <c r="P6874" t="str">
        <f>"15208"</f>
        <v>15208</v>
      </c>
    </row>
    <row r="6875" spans="1:16" x14ac:dyDescent="0.25">
      <c r="A6875" t="str">
        <f>"1130174K00006    00"</f>
        <v>1130174K00006    00</v>
      </c>
      <c r="B6875" t="s">
        <v>15580</v>
      </c>
      <c r="C6875" t="s">
        <v>15581</v>
      </c>
      <c r="D6875" t="s">
        <v>20</v>
      </c>
      <c r="E6875" t="s">
        <v>39</v>
      </c>
      <c r="F6875">
        <v>0</v>
      </c>
      <c r="G6875">
        <v>0</v>
      </c>
      <c r="H6875">
        <v>13</v>
      </c>
      <c r="I6875" s="3">
        <v>7583.53</v>
      </c>
      <c r="J6875" s="3">
        <v>3838.13</v>
      </c>
      <c r="L6875">
        <v>7347</v>
      </c>
      <c r="M6875" t="s">
        <v>12395</v>
      </c>
      <c r="N6875" t="s">
        <v>30</v>
      </c>
      <c r="O6875" t="s">
        <v>31</v>
      </c>
      <c r="P6875" t="str">
        <f>"15208"</f>
        <v>15208</v>
      </c>
    </row>
    <row r="6876" spans="1:16" x14ac:dyDescent="0.25">
      <c r="A6876" t="str">
        <f>"1130174K00009    00"</f>
        <v>1130174K00009    00</v>
      </c>
      <c r="B6876" t="s">
        <v>12393</v>
      </c>
      <c r="C6876" t="s">
        <v>15582</v>
      </c>
      <c r="D6876" t="s">
        <v>20</v>
      </c>
      <c r="E6876" t="s">
        <v>39</v>
      </c>
      <c r="F6876">
        <v>0</v>
      </c>
      <c r="G6876">
        <v>0</v>
      </c>
      <c r="H6876">
        <v>2</v>
      </c>
      <c r="I6876" s="3">
        <v>243.16</v>
      </c>
      <c r="J6876" s="3">
        <v>0</v>
      </c>
      <c r="L6876">
        <v>7341</v>
      </c>
      <c r="M6876" t="s">
        <v>12395</v>
      </c>
      <c r="N6876" t="s">
        <v>30</v>
      </c>
      <c r="O6876" t="s">
        <v>31</v>
      </c>
      <c r="P6876" t="str">
        <f>"15208"</f>
        <v>15208</v>
      </c>
    </row>
    <row r="6877" spans="1:16" x14ac:dyDescent="0.25">
      <c r="A6877" t="str">
        <f>"1130174K00011    00"</f>
        <v>1130174K00011    00</v>
      </c>
      <c r="B6877" t="s">
        <v>15583</v>
      </c>
      <c r="C6877" t="s">
        <v>15584</v>
      </c>
      <c r="D6877" t="s">
        <v>20</v>
      </c>
      <c r="E6877" t="s">
        <v>39</v>
      </c>
      <c r="F6877">
        <v>0</v>
      </c>
      <c r="G6877">
        <v>0</v>
      </c>
      <c r="H6877">
        <v>8</v>
      </c>
      <c r="I6877" s="3">
        <v>8532.6200000000008</v>
      </c>
      <c r="J6877" s="3">
        <v>2792</v>
      </c>
      <c r="L6877">
        <v>7337</v>
      </c>
      <c r="M6877" t="s">
        <v>15585</v>
      </c>
      <c r="N6877" t="s">
        <v>30</v>
      </c>
      <c r="O6877" t="s">
        <v>31</v>
      </c>
      <c r="P6877" t="str">
        <f>"15208"</f>
        <v>15208</v>
      </c>
    </row>
    <row r="6878" spans="1:16" x14ac:dyDescent="0.25">
      <c r="A6878" t="str">
        <f>"1130174K00012    00"</f>
        <v>1130174K00012    00</v>
      </c>
      <c r="B6878" t="s">
        <v>15586</v>
      </c>
      <c r="C6878" t="s">
        <v>15587</v>
      </c>
      <c r="D6878" t="s">
        <v>20</v>
      </c>
      <c r="E6878" t="s">
        <v>39</v>
      </c>
      <c r="F6878">
        <v>0</v>
      </c>
      <c r="G6878">
        <v>0</v>
      </c>
      <c r="H6878">
        <v>6</v>
      </c>
      <c r="I6878" s="3">
        <v>2726.31</v>
      </c>
      <c r="J6878" s="3">
        <v>582.08000000000004</v>
      </c>
      <c r="L6878">
        <v>60</v>
      </c>
      <c r="M6878" t="s">
        <v>15588</v>
      </c>
      <c r="N6878" t="s">
        <v>15589</v>
      </c>
      <c r="O6878" t="s">
        <v>31</v>
      </c>
      <c r="P6878" t="str">
        <f>"17331"</f>
        <v>17331</v>
      </c>
    </row>
    <row r="6879" spans="1:16" x14ac:dyDescent="0.25">
      <c r="A6879" t="str">
        <f>"1130174K00014    00"</f>
        <v>1130174K00014    00</v>
      </c>
      <c r="B6879" t="s">
        <v>15590</v>
      </c>
      <c r="C6879" t="s">
        <v>14943</v>
      </c>
      <c r="D6879" t="s">
        <v>20</v>
      </c>
      <c r="E6879" t="s">
        <v>39</v>
      </c>
      <c r="F6879">
        <v>0</v>
      </c>
      <c r="G6879">
        <v>0</v>
      </c>
      <c r="H6879">
        <v>7</v>
      </c>
      <c r="I6879" s="3">
        <v>65</v>
      </c>
      <c r="J6879" s="3">
        <v>23.65</v>
      </c>
      <c r="L6879">
        <v>12461</v>
      </c>
      <c r="M6879" t="s">
        <v>15591</v>
      </c>
      <c r="N6879" t="s">
        <v>2059</v>
      </c>
      <c r="O6879" t="s">
        <v>31</v>
      </c>
      <c r="P6879" t="str">
        <f>"15642"</f>
        <v>15642</v>
      </c>
    </row>
    <row r="6880" spans="1:16" x14ac:dyDescent="0.25">
      <c r="A6880" t="str">
        <f>"1130174K00015    00"</f>
        <v>1130174K00015    00</v>
      </c>
      <c r="B6880" t="s">
        <v>15592</v>
      </c>
      <c r="C6880" t="s">
        <v>14943</v>
      </c>
      <c r="D6880" t="s">
        <v>20</v>
      </c>
      <c r="E6880" t="s">
        <v>39</v>
      </c>
      <c r="F6880">
        <v>0</v>
      </c>
      <c r="G6880">
        <v>0</v>
      </c>
      <c r="H6880">
        <v>7</v>
      </c>
      <c r="I6880" s="3">
        <v>1393.44</v>
      </c>
      <c r="J6880" s="3">
        <v>660.35</v>
      </c>
      <c r="K6880" t="s">
        <v>15593</v>
      </c>
      <c r="L6880">
        <v>7329</v>
      </c>
      <c r="M6880" t="s">
        <v>12395</v>
      </c>
      <c r="N6880" t="s">
        <v>30</v>
      </c>
      <c r="O6880" t="s">
        <v>31</v>
      </c>
      <c r="P6880" t="str">
        <f>"15208"</f>
        <v>15208</v>
      </c>
    </row>
    <row r="6881" spans="1:16" x14ac:dyDescent="0.25">
      <c r="A6881" t="str">
        <f>"1130174K00020    00"</f>
        <v>1130174K00020    00</v>
      </c>
      <c r="B6881" t="s">
        <v>15594</v>
      </c>
      <c r="C6881" t="s">
        <v>15595</v>
      </c>
      <c r="D6881" t="s">
        <v>20</v>
      </c>
      <c r="E6881" t="s">
        <v>39</v>
      </c>
      <c r="F6881">
        <v>0</v>
      </c>
      <c r="G6881">
        <v>0</v>
      </c>
      <c r="H6881">
        <v>2</v>
      </c>
      <c r="I6881" s="3">
        <v>1665.86</v>
      </c>
      <c r="J6881" s="3">
        <v>0</v>
      </c>
      <c r="L6881">
        <v>7240</v>
      </c>
      <c r="M6881" t="s">
        <v>12395</v>
      </c>
      <c r="N6881" t="s">
        <v>30</v>
      </c>
      <c r="O6881" t="s">
        <v>31</v>
      </c>
      <c r="P6881" t="str">
        <f>"15208"</f>
        <v>15208</v>
      </c>
    </row>
    <row r="6882" spans="1:16" x14ac:dyDescent="0.25">
      <c r="A6882" t="str">
        <f>"1130174K00021    00"</f>
        <v>1130174K00021    00</v>
      </c>
      <c r="B6882" t="s">
        <v>15596</v>
      </c>
      <c r="C6882" t="s">
        <v>14943</v>
      </c>
      <c r="D6882" t="s">
        <v>20</v>
      </c>
      <c r="E6882" t="s">
        <v>39</v>
      </c>
      <c r="F6882">
        <v>0</v>
      </c>
      <c r="G6882">
        <v>0</v>
      </c>
      <c r="H6882">
        <v>9</v>
      </c>
      <c r="I6882" s="3">
        <v>506.25</v>
      </c>
      <c r="J6882" s="3">
        <v>236.47</v>
      </c>
      <c r="L6882">
        <v>2020</v>
      </c>
      <c r="M6882" t="s">
        <v>15597</v>
      </c>
      <c r="N6882" t="s">
        <v>9017</v>
      </c>
      <c r="O6882" t="s">
        <v>692</v>
      </c>
      <c r="P6882" t="str">
        <f>"23663"</f>
        <v>23663</v>
      </c>
    </row>
    <row r="6883" spans="1:16" x14ac:dyDescent="0.25">
      <c r="A6883" t="str">
        <f>"1130174K00028    00"</f>
        <v>1130174K00028    00</v>
      </c>
      <c r="B6883" t="s">
        <v>15598</v>
      </c>
      <c r="C6883" t="s">
        <v>15599</v>
      </c>
      <c r="E6883" t="s">
        <v>39</v>
      </c>
      <c r="F6883">
        <v>0</v>
      </c>
      <c r="G6883">
        <v>0</v>
      </c>
      <c r="H6883">
        <v>2</v>
      </c>
      <c r="I6883" s="3">
        <v>738.17</v>
      </c>
      <c r="J6883" s="3">
        <v>1313.5</v>
      </c>
      <c r="L6883">
        <v>7306</v>
      </c>
      <c r="M6883" t="s">
        <v>12395</v>
      </c>
      <c r="N6883" t="s">
        <v>30</v>
      </c>
      <c r="O6883" t="s">
        <v>31</v>
      </c>
      <c r="P6883" t="str">
        <f>"15208"</f>
        <v>15208</v>
      </c>
    </row>
    <row r="6884" spans="1:16" x14ac:dyDescent="0.25">
      <c r="A6884" t="str">
        <f>"1130174K00030    00"</f>
        <v>1130174K00030    00</v>
      </c>
      <c r="B6884" t="s">
        <v>15600</v>
      </c>
      <c r="C6884" t="s">
        <v>15601</v>
      </c>
      <c r="D6884" t="s">
        <v>20</v>
      </c>
      <c r="E6884" t="s">
        <v>39</v>
      </c>
      <c r="F6884">
        <v>0</v>
      </c>
      <c r="G6884">
        <v>0</v>
      </c>
      <c r="H6884">
        <v>1</v>
      </c>
      <c r="I6884" s="3">
        <v>730.01</v>
      </c>
      <c r="J6884" s="3">
        <v>0</v>
      </c>
      <c r="L6884">
        <v>1615</v>
      </c>
      <c r="M6884" t="s">
        <v>15602</v>
      </c>
      <c r="N6884" t="s">
        <v>30</v>
      </c>
      <c r="O6884" t="s">
        <v>31</v>
      </c>
      <c r="P6884" t="str">
        <f>"15219"</f>
        <v>15219</v>
      </c>
    </row>
    <row r="6885" spans="1:16" x14ac:dyDescent="0.25">
      <c r="A6885" t="str">
        <f>"1130174K00032    00"</f>
        <v>1130174K00032    00</v>
      </c>
      <c r="B6885" t="s">
        <v>15603</v>
      </c>
      <c r="C6885" t="s">
        <v>15604</v>
      </c>
      <c r="D6885" t="s">
        <v>20</v>
      </c>
      <c r="E6885" t="s">
        <v>39</v>
      </c>
      <c r="F6885">
        <v>0</v>
      </c>
      <c r="G6885">
        <v>0</v>
      </c>
      <c r="H6885">
        <v>2</v>
      </c>
      <c r="I6885" s="3">
        <v>183.24</v>
      </c>
      <c r="J6885" s="3">
        <v>0</v>
      </c>
      <c r="L6885">
        <v>7314</v>
      </c>
      <c r="M6885" t="s">
        <v>12395</v>
      </c>
      <c r="N6885" t="s">
        <v>30</v>
      </c>
      <c r="O6885" t="s">
        <v>31</v>
      </c>
      <c r="P6885" t="str">
        <f>"15208"</f>
        <v>15208</v>
      </c>
    </row>
    <row r="6886" spans="1:16" x14ac:dyDescent="0.25">
      <c r="A6886" t="str">
        <f>"1130174K00033    00"</f>
        <v>1130174K00033    00</v>
      </c>
      <c r="B6886" t="s">
        <v>14211</v>
      </c>
      <c r="C6886" t="s">
        <v>15605</v>
      </c>
      <c r="D6886" t="s">
        <v>20</v>
      </c>
      <c r="E6886" t="s">
        <v>39</v>
      </c>
      <c r="F6886">
        <v>0</v>
      </c>
      <c r="G6886">
        <v>0</v>
      </c>
      <c r="H6886">
        <v>2</v>
      </c>
      <c r="I6886" s="3">
        <v>900.22</v>
      </c>
      <c r="J6886" s="3">
        <v>0</v>
      </c>
      <c r="L6886">
        <v>7107</v>
      </c>
      <c r="M6886" t="s">
        <v>11269</v>
      </c>
      <c r="N6886" t="s">
        <v>30</v>
      </c>
      <c r="O6886" t="s">
        <v>31</v>
      </c>
      <c r="P6886" t="str">
        <f>"15208"</f>
        <v>15208</v>
      </c>
    </row>
    <row r="6887" spans="1:16" x14ac:dyDescent="0.25">
      <c r="A6887" t="str">
        <f>"1130174K00038    01"</f>
        <v>1130174K00038    01</v>
      </c>
      <c r="B6887" t="s">
        <v>15606</v>
      </c>
      <c r="C6887" t="s">
        <v>15607</v>
      </c>
      <c r="D6887" t="s">
        <v>20</v>
      </c>
      <c r="E6887" t="s">
        <v>39</v>
      </c>
      <c r="F6887">
        <v>0</v>
      </c>
      <c r="G6887">
        <v>0</v>
      </c>
      <c r="H6887">
        <v>2</v>
      </c>
      <c r="I6887" s="3">
        <v>66.88</v>
      </c>
      <c r="J6887" s="3">
        <v>0</v>
      </c>
      <c r="L6887">
        <v>7328</v>
      </c>
      <c r="M6887" t="s">
        <v>12395</v>
      </c>
      <c r="N6887" t="s">
        <v>30</v>
      </c>
      <c r="O6887" t="s">
        <v>31</v>
      </c>
      <c r="P6887" t="str">
        <f>"15208"</f>
        <v>15208</v>
      </c>
    </row>
    <row r="6888" spans="1:16" x14ac:dyDescent="0.25">
      <c r="A6888" t="str">
        <f>"1130174K00039    00"</f>
        <v>1130174K00039    00</v>
      </c>
      <c r="B6888" t="s">
        <v>15606</v>
      </c>
      <c r="C6888" t="s">
        <v>15607</v>
      </c>
      <c r="D6888" t="s">
        <v>20</v>
      </c>
      <c r="E6888" t="s">
        <v>39</v>
      </c>
      <c r="F6888">
        <v>0</v>
      </c>
      <c r="G6888">
        <v>0</v>
      </c>
      <c r="H6888">
        <v>5</v>
      </c>
      <c r="I6888" s="3">
        <v>2348.56</v>
      </c>
      <c r="J6888" s="3">
        <v>317.27</v>
      </c>
      <c r="L6888">
        <v>7328</v>
      </c>
      <c r="M6888" t="s">
        <v>12395</v>
      </c>
      <c r="N6888" t="s">
        <v>30</v>
      </c>
      <c r="O6888" t="s">
        <v>31</v>
      </c>
      <c r="P6888" t="str">
        <f>"15208"</f>
        <v>15208</v>
      </c>
    </row>
    <row r="6889" spans="1:16" x14ac:dyDescent="0.25">
      <c r="A6889" t="str">
        <f>"1130174K00053    00"</f>
        <v>1130174K00053    00</v>
      </c>
      <c r="B6889" t="s">
        <v>15608</v>
      </c>
      <c r="C6889" t="s">
        <v>14943</v>
      </c>
      <c r="D6889" t="s">
        <v>20</v>
      </c>
      <c r="E6889" t="s">
        <v>39</v>
      </c>
      <c r="F6889">
        <v>0</v>
      </c>
      <c r="G6889">
        <v>0</v>
      </c>
      <c r="H6889">
        <v>1</v>
      </c>
      <c r="I6889" s="3">
        <v>22.87</v>
      </c>
      <c r="J6889" s="3">
        <v>0</v>
      </c>
      <c r="L6889">
        <v>7043</v>
      </c>
      <c r="M6889" t="s">
        <v>11435</v>
      </c>
      <c r="N6889" t="s">
        <v>30</v>
      </c>
      <c r="O6889" t="s">
        <v>31</v>
      </c>
      <c r="P6889" t="str">
        <f>"15208"</f>
        <v>15208</v>
      </c>
    </row>
    <row r="6890" spans="1:16" x14ac:dyDescent="0.25">
      <c r="A6890" t="str">
        <f>"1130174K00099    00"</f>
        <v>1130174K00099    00</v>
      </c>
      <c r="B6890" t="s">
        <v>15609</v>
      </c>
      <c r="C6890" t="s">
        <v>12265</v>
      </c>
      <c r="E6890" t="s">
        <v>39</v>
      </c>
      <c r="F6890">
        <v>0</v>
      </c>
      <c r="G6890">
        <v>0</v>
      </c>
      <c r="H6890">
        <v>16</v>
      </c>
      <c r="I6890" s="3">
        <v>5165.24</v>
      </c>
      <c r="J6890" s="3">
        <v>5137.0600000000004</v>
      </c>
      <c r="L6890">
        <v>621</v>
      </c>
      <c r="M6890" t="s">
        <v>11994</v>
      </c>
      <c r="N6890" t="s">
        <v>30</v>
      </c>
      <c r="O6890" t="s">
        <v>31</v>
      </c>
      <c r="P6890" t="str">
        <f>"15206"</f>
        <v>15206</v>
      </c>
    </row>
    <row r="6891" spans="1:16" x14ac:dyDescent="0.25">
      <c r="A6891" t="str">
        <f>"1130174K00100    00"</f>
        <v>1130174K00100    00</v>
      </c>
      <c r="B6891" t="s">
        <v>15610</v>
      </c>
      <c r="C6891" t="s">
        <v>15611</v>
      </c>
      <c r="E6891" t="s">
        <v>39</v>
      </c>
      <c r="F6891">
        <v>0</v>
      </c>
      <c r="G6891">
        <v>0</v>
      </c>
      <c r="H6891">
        <v>1</v>
      </c>
      <c r="I6891" s="3">
        <v>60.2</v>
      </c>
      <c r="J6891" s="3">
        <v>0</v>
      </c>
      <c r="L6891">
        <v>612</v>
      </c>
      <c r="M6891" t="s">
        <v>15612</v>
      </c>
      <c r="N6891" t="s">
        <v>4768</v>
      </c>
      <c r="O6891" t="s">
        <v>31</v>
      </c>
      <c r="P6891" t="str">
        <f>"15137"</f>
        <v>15137</v>
      </c>
    </row>
    <row r="6892" spans="1:16" x14ac:dyDescent="0.25">
      <c r="A6892" t="str">
        <f>"1130174K00108    00"</f>
        <v>1130174K00108    00</v>
      </c>
      <c r="B6892" t="s">
        <v>218</v>
      </c>
      <c r="C6892" t="s">
        <v>15613</v>
      </c>
      <c r="E6892" t="s">
        <v>207</v>
      </c>
      <c r="F6892">
        <v>0</v>
      </c>
      <c r="G6892">
        <v>0</v>
      </c>
      <c r="H6892">
        <v>2</v>
      </c>
      <c r="I6892" s="3">
        <v>4743.24</v>
      </c>
      <c r="J6892" s="3">
        <v>5394.85</v>
      </c>
      <c r="K6892" t="s">
        <v>220</v>
      </c>
      <c r="L6892">
        <v>412</v>
      </c>
      <c r="M6892" t="s">
        <v>221</v>
      </c>
      <c r="N6892" t="s">
        <v>30</v>
      </c>
      <c r="O6892" t="s">
        <v>31</v>
      </c>
      <c r="P6892" t="str">
        <f>"15219"</f>
        <v>15219</v>
      </c>
    </row>
    <row r="6893" spans="1:16" x14ac:dyDescent="0.25">
      <c r="A6893" t="str">
        <f>"1130174K00110    00"</f>
        <v>1130174K00110    00</v>
      </c>
      <c r="B6893" t="s">
        <v>15614</v>
      </c>
      <c r="C6893" t="s">
        <v>15615</v>
      </c>
      <c r="D6893" t="s">
        <v>20</v>
      </c>
      <c r="E6893" t="s">
        <v>21</v>
      </c>
      <c r="F6893">
        <v>0</v>
      </c>
      <c r="G6893">
        <v>0</v>
      </c>
      <c r="H6893">
        <v>3</v>
      </c>
      <c r="I6893" s="3">
        <v>2854.01</v>
      </c>
      <c r="J6893" s="3">
        <v>884.84</v>
      </c>
      <c r="K6893" t="s">
        <v>15616</v>
      </c>
      <c r="L6893">
        <v>1882</v>
      </c>
      <c r="M6893" t="s">
        <v>11100</v>
      </c>
      <c r="N6893" t="s">
        <v>30</v>
      </c>
      <c r="O6893" t="s">
        <v>31</v>
      </c>
      <c r="P6893" t="str">
        <f>"15235"</f>
        <v>15235</v>
      </c>
    </row>
    <row r="6894" spans="1:16" x14ac:dyDescent="0.25">
      <c r="A6894" t="str">
        <f>"1130174K00112    00"</f>
        <v>1130174K00112    00</v>
      </c>
      <c r="B6894" t="s">
        <v>7824</v>
      </c>
      <c r="C6894" t="s">
        <v>15617</v>
      </c>
      <c r="D6894" t="s">
        <v>20</v>
      </c>
      <c r="E6894" t="s">
        <v>21</v>
      </c>
      <c r="F6894">
        <v>0</v>
      </c>
      <c r="G6894">
        <v>0</v>
      </c>
      <c r="H6894">
        <v>8</v>
      </c>
      <c r="I6894" s="3">
        <v>4231.47</v>
      </c>
      <c r="J6894" s="3">
        <v>1157.0999999999999</v>
      </c>
      <c r="L6894">
        <v>2714</v>
      </c>
      <c r="M6894" t="s">
        <v>854</v>
      </c>
      <c r="N6894" t="s">
        <v>30</v>
      </c>
      <c r="O6894" t="s">
        <v>31</v>
      </c>
      <c r="P6894" t="str">
        <f>"15219"</f>
        <v>15219</v>
      </c>
    </row>
    <row r="6895" spans="1:16" x14ac:dyDescent="0.25">
      <c r="A6895" t="str">
        <f>"1130174K00113    00"</f>
        <v>1130174K00113    00</v>
      </c>
      <c r="B6895" t="s">
        <v>7824</v>
      </c>
      <c r="C6895" t="s">
        <v>15617</v>
      </c>
      <c r="D6895" t="s">
        <v>20</v>
      </c>
      <c r="E6895" t="s">
        <v>21</v>
      </c>
      <c r="F6895">
        <v>0</v>
      </c>
      <c r="G6895">
        <v>0</v>
      </c>
      <c r="H6895">
        <v>8</v>
      </c>
      <c r="I6895" s="3">
        <v>2066.33</v>
      </c>
      <c r="J6895" s="3">
        <v>676.12</v>
      </c>
      <c r="L6895">
        <v>2714</v>
      </c>
      <c r="M6895" t="s">
        <v>854</v>
      </c>
      <c r="N6895" t="s">
        <v>30</v>
      </c>
      <c r="O6895" t="s">
        <v>31</v>
      </c>
      <c r="P6895" t="str">
        <f>"15219"</f>
        <v>15219</v>
      </c>
    </row>
    <row r="6896" spans="1:16" x14ac:dyDescent="0.25">
      <c r="A6896" t="str">
        <f>"1130174K00116    00"</f>
        <v>1130174K00116    00</v>
      </c>
      <c r="B6896" t="s">
        <v>15618</v>
      </c>
      <c r="C6896" t="s">
        <v>15619</v>
      </c>
      <c r="D6896" t="s">
        <v>20</v>
      </c>
      <c r="E6896" t="s">
        <v>39</v>
      </c>
      <c r="F6896">
        <v>0</v>
      </c>
      <c r="G6896">
        <v>0</v>
      </c>
      <c r="H6896">
        <v>12</v>
      </c>
      <c r="I6896" s="3">
        <v>8010.89</v>
      </c>
      <c r="J6896" s="3">
        <v>4481.96</v>
      </c>
      <c r="K6896" t="s">
        <v>15620</v>
      </c>
      <c r="L6896">
        <v>3407</v>
      </c>
      <c r="M6896" t="s">
        <v>9431</v>
      </c>
      <c r="N6896" t="s">
        <v>238</v>
      </c>
      <c r="O6896" t="s">
        <v>31</v>
      </c>
      <c r="P6896" t="str">
        <f>"15132"</f>
        <v>15132</v>
      </c>
    </row>
    <row r="6897" spans="1:16" x14ac:dyDescent="0.25">
      <c r="A6897" t="str">
        <f>"1130174K00117    01"</f>
        <v>1130174K00117    01</v>
      </c>
      <c r="B6897" t="s">
        <v>15621</v>
      </c>
      <c r="C6897" t="s">
        <v>15622</v>
      </c>
      <c r="D6897" t="s">
        <v>20</v>
      </c>
      <c r="E6897" t="s">
        <v>21</v>
      </c>
      <c r="F6897">
        <v>0</v>
      </c>
      <c r="G6897">
        <v>0</v>
      </c>
      <c r="H6897">
        <v>10</v>
      </c>
      <c r="I6897" s="3">
        <v>3410.4</v>
      </c>
      <c r="J6897" s="3">
        <v>1408.87</v>
      </c>
      <c r="L6897">
        <v>7313</v>
      </c>
      <c r="M6897" t="s">
        <v>9086</v>
      </c>
      <c r="N6897" t="s">
        <v>30</v>
      </c>
      <c r="O6897" t="s">
        <v>31</v>
      </c>
      <c r="P6897" t="str">
        <f>"15208"</f>
        <v>15208</v>
      </c>
    </row>
    <row r="6898" spans="1:16" x14ac:dyDescent="0.25">
      <c r="A6898" t="str">
        <f>"1130174K00118    00"</f>
        <v>1130174K00118    00</v>
      </c>
      <c r="B6898" t="s">
        <v>15623</v>
      </c>
      <c r="C6898" t="s">
        <v>15624</v>
      </c>
      <c r="D6898" t="s">
        <v>20</v>
      </c>
      <c r="E6898" t="s">
        <v>21</v>
      </c>
      <c r="F6898">
        <v>0</v>
      </c>
      <c r="G6898">
        <v>0</v>
      </c>
      <c r="H6898">
        <v>3</v>
      </c>
      <c r="I6898" s="3">
        <v>3472.6</v>
      </c>
      <c r="J6898" s="3">
        <v>84.73</v>
      </c>
      <c r="L6898">
        <v>1412</v>
      </c>
      <c r="M6898" t="s">
        <v>13892</v>
      </c>
      <c r="N6898" t="s">
        <v>30</v>
      </c>
      <c r="O6898" t="s">
        <v>31</v>
      </c>
      <c r="P6898" t="str">
        <f>"15235"</f>
        <v>15235</v>
      </c>
    </row>
    <row r="6899" spans="1:16" x14ac:dyDescent="0.25">
      <c r="A6899" t="str">
        <f>"1130174K00129    00"</f>
        <v>1130174K00129    00</v>
      </c>
      <c r="B6899" t="s">
        <v>15625</v>
      </c>
      <c r="C6899" t="s">
        <v>15626</v>
      </c>
      <c r="D6899" t="s">
        <v>20</v>
      </c>
      <c r="E6899" t="s">
        <v>21</v>
      </c>
      <c r="F6899">
        <v>0</v>
      </c>
      <c r="G6899">
        <v>0</v>
      </c>
      <c r="H6899">
        <v>1</v>
      </c>
      <c r="I6899" s="3">
        <v>346.89</v>
      </c>
      <c r="J6899" s="3">
        <v>0</v>
      </c>
      <c r="L6899">
        <v>1904</v>
      </c>
      <c r="M6899" t="s">
        <v>15627</v>
      </c>
      <c r="N6899" t="s">
        <v>30</v>
      </c>
      <c r="O6899" t="s">
        <v>31</v>
      </c>
      <c r="P6899" t="str">
        <f>"15235"</f>
        <v>15235</v>
      </c>
    </row>
    <row r="6900" spans="1:16" x14ac:dyDescent="0.25">
      <c r="A6900" t="str">
        <f>"1130174K00134    00"</f>
        <v>1130174K00134    00</v>
      </c>
      <c r="B6900" t="s">
        <v>15628</v>
      </c>
      <c r="C6900" t="s">
        <v>15629</v>
      </c>
      <c r="D6900" t="s">
        <v>20</v>
      </c>
      <c r="E6900" t="s">
        <v>21</v>
      </c>
      <c r="F6900">
        <v>0</v>
      </c>
      <c r="G6900">
        <v>0</v>
      </c>
      <c r="H6900">
        <v>1</v>
      </c>
      <c r="I6900" s="3">
        <v>2485.44</v>
      </c>
      <c r="J6900" s="3">
        <v>0</v>
      </c>
      <c r="K6900" t="s">
        <v>15630</v>
      </c>
      <c r="M6900" t="s">
        <v>4256</v>
      </c>
      <c r="N6900" t="s">
        <v>30</v>
      </c>
      <c r="O6900" t="s">
        <v>31</v>
      </c>
      <c r="P6900" t="str">
        <f>"15232"</f>
        <v>15232</v>
      </c>
    </row>
    <row r="6901" spans="1:16" x14ac:dyDescent="0.25">
      <c r="A6901" t="str">
        <f>"1130174K00136    00"</f>
        <v>1130174K00136    00</v>
      </c>
      <c r="B6901" t="s">
        <v>15631</v>
      </c>
      <c r="C6901" t="s">
        <v>15632</v>
      </c>
      <c r="D6901" t="s">
        <v>20</v>
      </c>
      <c r="E6901" t="s">
        <v>21</v>
      </c>
      <c r="F6901">
        <v>0</v>
      </c>
      <c r="G6901">
        <v>0</v>
      </c>
      <c r="H6901">
        <v>5</v>
      </c>
      <c r="I6901" s="3">
        <v>3587.47</v>
      </c>
      <c r="J6901" s="3">
        <v>961.41</v>
      </c>
      <c r="L6901">
        <v>2777</v>
      </c>
      <c r="M6901" t="s">
        <v>15633</v>
      </c>
      <c r="N6901" t="s">
        <v>30</v>
      </c>
      <c r="O6901" t="s">
        <v>31</v>
      </c>
      <c r="P6901" t="str">
        <f>"15204"</f>
        <v>15204</v>
      </c>
    </row>
    <row r="6902" spans="1:16" x14ac:dyDescent="0.25">
      <c r="A6902" t="str">
        <f>"1130174K00174    00"</f>
        <v>1130174K00174    00</v>
      </c>
      <c r="B6902" t="s">
        <v>218</v>
      </c>
      <c r="C6902" t="s">
        <v>15634</v>
      </c>
      <c r="E6902" t="s">
        <v>21</v>
      </c>
      <c r="F6902">
        <v>0</v>
      </c>
      <c r="G6902">
        <v>0</v>
      </c>
      <c r="H6902">
        <v>1</v>
      </c>
      <c r="I6902" s="3">
        <v>6842.03</v>
      </c>
      <c r="J6902" s="3">
        <v>2736.7</v>
      </c>
      <c r="K6902" t="s">
        <v>220</v>
      </c>
      <c r="L6902">
        <v>412</v>
      </c>
      <c r="M6902" t="s">
        <v>221</v>
      </c>
      <c r="N6902" t="s">
        <v>30</v>
      </c>
      <c r="O6902" t="s">
        <v>31</v>
      </c>
      <c r="P6902" t="str">
        <f>"15219"</f>
        <v>15219</v>
      </c>
    </row>
    <row r="6903" spans="1:16" x14ac:dyDescent="0.25">
      <c r="A6903" t="str">
        <f>"1130174K00282000100"</f>
        <v>1130174K00282000100</v>
      </c>
      <c r="B6903" t="s">
        <v>15635</v>
      </c>
      <c r="C6903" t="s">
        <v>15636</v>
      </c>
      <c r="D6903" t="s">
        <v>20</v>
      </c>
      <c r="E6903" t="s">
        <v>39</v>
      </c>
      <c r="F6903">
        <v>0</v>
      </c>
      <c r="G6903">
        <v>0</v>
      </c>
      <c r="H6903">
        <v>3</v>
      </c>
      <c r="I6903" s="3">
        <v>3038.93</v>
      </c>
      <c r="J6903" s="3">
        <v>957.12</v>
      </c>
      <c r="K6903" t="s">
        <v>15637</v>
      </c>
      <c r="L6903">
        <v>248</v>
      </c>
      <c r="M6903" t="s">
        <v>15638</v>
      </c>
      <c r="N6903" t="s">
        <v>30</v>
      </c>
      <c r="O6903" t="s">
        <v>31</v>
      </c>
      <c r="P6903" t="str">
        <f>"15235"</f>
        <v>15235</v>
      </c>
    </row>
    <row r="6904" spans="1:16" x14ac:dyDescent="0.25">
      <c r="A6904" t="str">
        <f>"1130174K00308    00"</f>
        <v>1130174K00308    00</v>
      </c>
      <c r="B6904" t="s">
        <v>15625</v>
      </c>
      <c r="C6904" t="s">
        <v>15639</v>
      </c>
      <c r="D6904" t="s">
        <v>20</v>
      </c>
      <c r="E6904" t="s">
        <v>39</v>
      </c>
      <c r="F6904">
        <v>0</v>
      </c>
      <c r="G6904">
        <v>0</v>
      </c>
      <c r="H6904">
        <v>1</v>
      </c>
      <c r="I6904" s="3">
        <v>611.84</v>
      </c>
      <c r="J6904" s="3">
        <v>0</v>
      </c>
      <c r="L6904">
        <v>3100</v>
      </c>
      <c r="M6904" t="s">
        <v>12367</v>
      </c>
      <c r="N6904" t="s">
        <v>30</v>
      </c>
      <c r="O6904" t="s">
        <v>31</v>
      </c>
      <c r="P6904" t="str">
        <f>"15214"</f>
        <v>15214</v>
      </c>
    </row>
    <row r="6905" spans="1:16" x14ac:dyDescent="0.25">
      <c r="A6905" t="str">
        <f>"1130174K00313    00"</f>
        <v>1130174K00313    00</v>
      </c>
      <c r="B6905" t="s">
        <v>15640</v>
      </c>
      <c r="C6905" t="s">
        <v>15641</v>
      </c>
      <c r="D6905" t="s">
        <v>20</v>
      </c>
      <c r="E6905" t="s">
        <v>39</v>
      </c>
      <c r="F6905">
        <v>0</v>
      </c>
      <c r="G6905">
        <v>0</v>
      </c>
      <c r="H6905">
        <v>3</v>
      </c>
      <c r="I6905" s="3">
        <v>34.32</v>
      </c>
      <c r="J6905" s="3">
        <v>2.29</v>
      </c>
      <c r="K6905" t="s">
        <v>15642</v>
      </c>
      <c r="L6905">
        <v>7523</v>
      </c>
      <c r="M6905" t="s">
        <v>4452</v>
      </c>
      <c r="N6905" t="s">
        <v>30</v>
      </c>
      <c r="O6905" t="s">
        <v>31</v>
      </c>
      <c r="P6905" t="str">
        <f>"15208"</f>
        <v>15208</v>
      </c>
    </row>
    <row r="6906" spans="1:16" x14ac:dyDescent="0.25">
      <c r="A6906" t="str">
        <f>"1130174K00327    00"</f>
        <v>1130174K00327    00</v>
      </c>
      <c r="B6906" t="s">
        <v>15643</v>
      </c>
      <c r="C6906" t="s">
        <v>15644</v>
      </c>
      <c r="D6906" t="s">
        <v>20</v>
      </c>
      <c r="E6906" t="s">
        <v>39</v>
      </c>
      <c r="F6906">
        <v>0</v>
      </c>
      <c r="G6906">
        <v>0</v>
      </c>
      <c r="H6906">
        <v>10</v>
      </c>
      <c r="I6906" s="3">
        <v>5197.1400000000003</v>
      </c>
      <c r="J6906" s="3">
        <v>2225.3200000000002</v>
      </c>
      <c r="K6906" t="s">
        <v>15645</v>
      </c>
      <c r="L6906">
        <v>504</v>
      </c>
      <c r="M6906" t="s">
        <v>12143</v>
      </c>
      <c r="N6906" t="s">
        <v>30</v>
      </c>
      <c r="O6906" t="s">
        <v>31</v>
      </c>
      <c r="P6906" t="str">
        <f>"15235"</f>
        <v>15235</v>
      </c>
    </row>
    <row r="6907" spans="1:16" x14ac:dyDescent="0.25">
      <c r="A6907" t="str">
        <f>"1130174K00328    00"</f>
        <v>1130174K00328    00</v>
      </c>
      <c r="B6907" t="s">
        <v>15643</v>
      </c>
      <c r="C6907" t="s">
        <v>15646</v>
      </c>
      <c r="D6907" t="s">
        <v>20</v>
      </c>
      <c r="E6907" t="s">
        <v>39</v>
      </c>
      <c r="F6907">
        <v>0</v>
      </c>
      <c r="G6907">
        <v>0</v>
      </c>
      <c r="H6907">
        <v>10</v>
      </c>
      <c r="I6907" s="3">
        <v>6658.35</v>
      </c>
      <c r="J6907" s="3">
        <v>2850.98</v>
      </c>
      <c r="K6907" t="s">
        <v>15645</v>
      </c>
      <c r="L6907">
        <v>504</v>
      </c>
      <c r="M6907" t="s">
        <v>12143</v>
      </c>
      <c r="N6907" t="s">
        <v>30</v>
      </c>
      <c r="O6907" t="s">
        <v>31</v>
      </c>
      <c r="P6907" t="str">
        <f>"15235"</f>
        <v>15235</v>
      </c>
    </row>
    <row r="6908" spans="1:16" x14ac:dyDescent="0.25">
      <c r="A6908" t="str">
        <f>"1130174K00329    00"</f>
        <v>1130174K00329    00</v>
      </c>
      <c r="B6908" t="s">
        <v>15647</v>
      </c>
      <c r="C6908" t="s">
        <v>15648</v>
      </c>
      <c r="D6908" t="s">
        <v>20</v>
      </c>
      <c r="E6908" t="s">
        <v>39</v>
      </c>
      <c r="F6908">
        <v>0</v>
      </c>
      <c r="G6908">
        <v>0</v>
      </c>
      <c r="H6908">
        <v>8</v>
      </c>
      <c r="I6908" s="3">
        <v>3574.05</v>
      </c>
      <c r="J6908" s="3">
        <v>833.59</v>
      </c>
      <c r="L6908">
        <v>619</v>
      </c>
      <c r="M6908" t="s">
        <v>12412</v>
      </c>
      <c r="N6908" t="s">
        <v>30</v>
      </c>
      <c r="O6908" t="s">
        <v>31</v>
      </c>
      <c r="P6908" t="str">
        <f>"15208"</f>
        <v>15208</v>
      </c>
    </row>
    <row r="6909" spans="1:16" x14ac:dyDescent="0.25">
      <c r="A6909" t="str">
        <f>"1130174K00335    00"</f>
        <v>1130174K00335    00</v>
      </c>
      <c r="B6909" t="s">
        <v>15649</v>
      </c>
      <c r="C6909" t="s">
        <v>15650</v>
      </c>
      <c r="D6909" t="s">
        <v>20</v>
      </c>
      <c r="E6909" t="s">
        <v>39</v>
      </c>
      <c r="F6909">
        <v>0</v>
      </c>
      <c r="G6909">
        <v>0</v>
      </c>
      <c r="H6909">
        <v>1</v>
      </c>
      <c r="I6909" s="3">
        <v>133.91</v>
      </c>
      <c r="J6909" s="3">
        <v>0</v>
      </c>
      <c r="K6909" t="s">
        <v>15651</v>
      </c>
      <c r="L6909">
        <v>15</v>
      </c>
      <c r="M6909" t="s">
        <v>15652</v>
      </c>
      <c r="N6909" t="s">
        <v>30</v>
      </c>
      <c r="O6909" t="s">
        <v>31</v>
      </c>
      <c r="P6909" t="str">
        <f>"15202"</f>
        <v>15202</v>
      </c>
    </row>
    <row r="6910" spans="1:16" x14ac:dyDescent="0.25">
      <c r="A6910" t="str">
        <f>"1130174K00342B   00"</f>
        <v>1130174K00342B   00</v>
      </c>
      <c r="B6910" t="s">
        <v>15653</v>
      </c>
      <c r="C6910" t="s">
        <v>15654</v>
      </c>
      <c r="E6910" t="s">
        <v>39</v>
      </c>
      <c r="F6910">
        <v>0</v>
      </c>
      <c r="G6910">
        <v>0</v>
      </c>
      <c r="H6910">
        <v>1</v>
      </c>
      <c r="I6910" s="3">
        <v>53.31</v>
      </c>
      <c r="J6910" s="3">
        <v>0</v>
      </c>
      <c r="K6910" t="s">
        <v>15655</v>
      </c>
      <c r="L6910">
        <v>727</v>
      </c>
      <c r="M6910" t="s">
        <v>15656</v>
      </c>
      <c r="N6910" t="s">
        <v>30</v>
      </c>
      <c r="O6910" t="s">
        <v>31</v>
      </c>
      <c r="P6910" t="str">
        <f>"15221"</f>
        <v>15221</v>
      </c>
    </row>
    <row r="6911" spans="1:16" x14ac:dyDescent="0.25">
      <c r="A6911" t="str">
        <f>"1130174K00343    00"</f>
        <v>1130174K00343    00</v>
      </c>
      <c r="B6911" t="s">
        <v>15653</v>
      </c>
      <c r="C6911" t="s">
        <v>15657</v>
      </c>
      <c r="D6911" t="s">
        <v>20</v>
      </c>
      <c r="E6911" t="s">
        <v>39</v>
      </c>
      <c r="F6911">
        <v>0</v>
      </c>
      <c r="G6911">
        <v>0</v>
      </c>
      <c r="H6911">
        <v>2</v>
      </c>
      <c r="I6911" s="3">
        <v>53.32</v>
      </c>
      <c r="J6911" s="3">
        <v>0</v>
      </c>
      <c r="K6911" t="s">
        <v>15655</v>
      </c>
      <c r="L6911">
        <v>727</v>
      </c>
      <c r="M6911" t="s">
        <v>15656</v>
      </c>
      <c r="N6911" t="s">
        <v>30</v>
      </c>
      <c r="O6911" t="s">
        <v>31</v>
      </c>
      <c r="P6911" t="str">
        <f>"15221"</f>
        <v>15221</v>
      </c>
    </row>
    <row r="6912" spans="1:16" x14ac:dyDescent="0.25">
      <c r="A6912" t="str">
        <f>"1130174K00343B   00"</f>
        <v>1130174K00343B   00</v>
      </c>
      <c r="B6912" t="s">
        <v>15653</v>
      </c>
      <c r="C6912" t="s">
        <v>15658</v>
      </c>
      <c r="E6912" t="s">
        <v>39</v>
      </c>
      <c r="F6912">
        <v>0</v>
      </c>
      <c r="G6912">
        <v>0</v>
      </c>
      <c r="H6912">
        <v>1</v>
      </c>
      <c r="I6912" s="3">
        <v>155.81</v>
      </c>
      <c r="J6912" s="3">
        <v>0</v>
      </c>
      <c r="K6912" t="s">
        <v>15655</v>
      </c>
      <c r="L6912">
        <v>727</v>
      </c>
      <c r="M6912" t="s">
        <v>15656</v>
      </c>
      <c r="N6912" t="s">
        <v>30</v>
      </c>
      <c r="O6912" t="s">
        <v>31</v>
      </c>
      <c r="P6912" t="str">
        <f>"15221"</f>
        <v>15221</v>
      </c>
    </row>
    <row r="6913" spans="1:16" x14ac:dyDescent="0.25">
      <c r="A6913" t="str">
        <f>"1130174K00344    00"</f>
        <v>1130174K00344    00</v>
      </c>
      <c r="B6913" t="s">
        <v>12531</v>
      </c>
      <c r="C6913" t="s">
        <v>15659</v>
      </c>
      <c r="D6913" t="s">
        <v>20</v>
      </c>
      <c r="E6913" t="s">
        <v>39</v>
      </c>
      <c r="F6913">
        <v>0</v>
      </c>
      <c r="G6913">
        <v>0</v>
      </c>
      <c r="H6913">
        <v>1</v>
      </c>
      <c r="I6913" s="3">
        <v>209.68</v>
      </c>
      <c r="J6913" s="3">
        <v>0</v>
      </c>
      <c r="K6913" t="s">
        <v>12533</v>
      </c>
      <c r="L6913">
        <v>46</v>
      </c>
      <c r="M6913" t="s">
        <v>913</v>
      </c>
      <c r="N6913" t="s">
        <v>914</v>
      </c>
      <c r="O6913" t="s">
        <v>200</v>
      </c>
      <c r="P6913" t="str">
        <f>"10952"</f>
        <v>10952</v>
      </c>
    </row>
    <row r="6914" spans="1:16" x14ac:dyDescent="0.25">
      <c r="A6914" t="str">
        <f>"1130174K00344A   00"</f>
        <v>1130174K00344A   00</v>
      </c>
      <c r="B6914" t="s">
        <v>15653</v>
      </c>
      <c r="C6914" t="s">
        <v>15660</v>
      </c>
      <c r="E6914" t="s">
        <v>39</v>
      </c>
      <c r="F6914">
        <v>0</v>
      </c>
      <c r="G6914">
        <v>0</v>
      </c>
      <c r="H6914">
        <v>1</v>
      </c>
      <c r="I6914" s="3">
        <v>268.55</v>
      </c>
      <c r="J6914" s="3">
        <v>0</v>
      </c>
      <c r="K6914" t="s">
        <v>15655</v>
      </c>
      <c r="L6914">
        <v>727</v>
      </c>
      <c r="M6914" t="s">
        <v>15661</v>
      </c>
      <c r="N6914" t="s">
        <v>30</v>
      </c>
      <c r="O6914" t="s">
        <v>31</v>
      </c>
      <c r="P6914" t="str">
        <f>"15221"</f>
        <v>15221</v>
      </c>
    </row>
    <row r="6915" spans="1:16" x14ac:dyDescent="0.25">
      <c r="A6915" t="str">
        <f>"1130174K00344B   00"</f>
        <v>1130174K00344B   00</v>
      </c>
      <c r="B6915" t="s">
        <v>15653</v>
      </c>
      <c r="C6915" t="s">
        <v>15662</v>
      </c>
      <c r="E6915" t="s">
        <v>21</v>
      </c>
      <c r="F6915">
        <v>0</v>
      </c>
      <c r="G6915">
        <v>0</v>
      </c>
      <c r="H6915">
        <v>1</v>
      </c>
      <c r="I6915" s="3">
        <v>358.75</v>
      </c>
      <c r="J6915" s="3">
        <v>0</v>
      </c>
      <c r="K6915" t="s">
        <v>15655</v>
      </c>
      <c r="L6915">
        <v>727</v>
      </c>
      <c r="M6915" t="s">
        <v>15656</v>
      </c>
      <c r="N6915" t="s">
        <v>30</v>
      </c>
      <c r="O6915" t="s">
        <v>31</v>
      </c>
      <c r="P6915" t="str">
        <f>"15221"</f>
        <v>15221</v>
      </c>
    </row>
    <row r="6916" spans="1:16" x14ac:dyDescent="0.25">
      <c r="A6916" t="str">
        <f>"1130174K00357    00"</f>
        <v>1130174K00357    00</v>
      </c>
      <c r="B6916" t="s">
        <v>11858</v>
      </c>
      <c r="C6916" t="s">
        <v>15663</v>
      </c>
      <c r="D6916" t="s">
        <v>20</v>
      </c>
      <c r="E6916" t="s">
        <v>39</v>
      </c>
      <c r="F6916">
        <v>0</v>
      </c>
      <c r="G6916">
        <v>0</v>
      </c>
      <c r="H6916">
        <v>1</v>
      </c>
      <c r="I6916" s="3">
        <v>514.64</v>
      </c>
      <c r="J6916" s="3">
        <v>0</v>
      </c>
      <c r="K6916" t="s">
        <v>11860</v>
      </c>
      <c r="L6916">
        <v>46</v>
      </c>
      <c r="M6916" t="s">
        <v>913</v>
      </c>
      <c r="N6916" t="s">
        <v>914</v>
      </c>
      <c r="O6916" t="s">
        <v>200</v>
      </c>
      <c r="P6916" t="str">
        <f>"10952"</f>
        <v>10952</v>
      </c>
    </row>
    <row r="6917" spans="1:16" x14ac:dyDescent="0.25">
      <c r="A6917" t="str">
        <f>"1130174K00362A   00"</f>
        <v>1130174K00362A   00</v>
      </c>
      <c r="B6917" t="s">
        <v>15653</v>
      </c>
      <c r="C6917" t="s">
        <v>15664</v>
      </c>
      <c r="D6917" t="s">
        <v>20</v>
      </c>
      <c r="E6917" t="s">
        <v>39</v>
      </c>
      <c r="F6917">
        <v>0</v>
      </c>
      <c r="G6917">
        <v>0</v>
      </c>
      <c r="H6917">
        <v>2</v>
      </c>
      <c r="I6917" s="3">
        <v>152.52000000000001</v>
      </c>
      <c r="J6917" s="3">
        <v>0</v>
      </c>
      <c r="K6917" t="s">
        <v>15655</v>
      </c>
      <c r="L6917">
        <v>727</v>
      </c>
      <c r="M6917" t="s">
        <v>15656</v>
      </c>
      <c r="N6917" t="s">
        <v>30</v>
      </c>
      <c r="O6917" t="s">
        <v>31</v>
      </c>
      <c r="P6917" t="str">
        <f>"15221"</f>
        <v>15221</v>
      </c>
    </row>
    <row r="6918" spans="1:16" x14ac:dyDescent="0.25">
      <c r="A6918" t="str">
        <f>"1130174K00365    00"</f>
        <v>1130174K00365    00</v>
      </c>
      <c r="B6918" t="s">
        <v>15653</v>
      </c>
      <c r="C6918" t="s">
        <v>15665</v>
      </c>
      <c r="D6918" t="s">
        <v>20</v>
      </c>
      <c r="E6918" t="s">
        <v>39</v>
      </c>
      <c r="F6918">
        <v>0</v>
      </c>
      <c r="G6918">
        <v>0</v>
      </c>
      <c r="H6918">
        <v>2</v>
      </c>
      <c r="I6918" s="3">
        <v>148.69999999999999</v>
      </c>
      <c r="J6918" s="3">
        <v>0</v>
      </c>
      <c r="K6918" t="s">
        <v>15655</v>
      </c>
      <c r="L6918">
        <v>727</v>
      </c>
      <c r="M6918" t="s">
        <v>15656</v>
      </c>
      <c r="N6918" t="s">
        <v>30</v>
      </c>
      <c r="O6918" t="s">
        <v>31</v>
      </c>
      <c r="P6918" t="str">
        <f>"15221"</f>
        <v>15221</v>
      </c>
    </row>
    <row r="6919" spans="1:16" x14ac:dyDescent="0.25">
      <c r="A6919" t="str">
        <f>"1130174K00365A   00"</f>
        <v>1130174K00365A   00</v>
      </c>
      <c r="B6919" t="s">
        <v>15653</v>
      </c>
      <c r="C6919" t="s">
        <v>15666</v>
      </c>
      <c r="D6919" t="s">
        <v>20</v>
      </c>
      <c r="E6919" t="s">
        <v>39</v>
      </c>
      <c r="F6919">
        <v>0</v>
      </c>
      <c r="G6919">
        <v>0</v>
      </c>
      <c r="H6919">
        <v>2</v>
      </c>
      <c r="I6919" s="3">
        <v>148.69999999999999</v>
      </c>
      <c r="J6919" s="3">
        <v>0</v>
      </c>
      <c r="K6919" t="s">
        <v>15655</v>
      </c>
      <c r="L6919">
        <v>727</v>
      </c>
      <c r="M6919" t="s">
        <v>15656</v>
      </c>
      <c r="N6919" t="s">
        <v>30</v>
      </c>
      <c r="O6919" t="s">
        <v>31</v>
      </c>
      <c r="P6919" t="str">
        <f>"15221"</f>
        <v>15221</v>
      </c>
    </row>
    <row r="6920" spans="1:16" x14ac:dyDescent="0.25">
      <c r="A6920" t="str">
        <f>"1130174K00365B   00"</f>
        <v>1130174K00365B   00</v>
      </c>
      <c r="B6920" t="s">
        <v>15653</v>
      </c>
      <c r="C6920" t="s">
        <v>15667</v>
      </c>
      <c r="D6920" t="s">
        <v>20</v>
      </c>
      <c r="E6920" t="s">
        <v>39</v>
      </c>
      <c r="F6920">
        <v>0</v>
      </c>
      <c r="G6920">
        <v>0</v>
      </c>
      <c r="H6920">
        <v>2</v>
      </c>
      <c r="I6920" s="3">
        <v>148.69999999999999</v>
      </c>
      <c r="J6920" s="3">
        <v>0</v>
      </c>
      <c r="K6920" t="s">
        <v>15655</v>
      </c>
      <c r="L6920">
        <v>727</v>
      </c>
      <c r="M6920" t="s">
        <v>15656</v>
      </c>
      <c r="N6920" t="s">
        <v>30</v>
      </c>
      <c r="O6920" t="s">
        <v>31</v>
      </c>
      <c r="P6920" t="str">
        <f>"15221"</f>
        <v>15221</v>
      </c>
    </row>
    <row r="6921" spans="1:16" x14ac:dyDescent="0.25">
      <c r="A6921" t="str">
        <f>"1130174K00367    00"</f>
        <v>1130174K00367    00</v>
      </c>
      <c r="B6921" t="s">
        <v>11858</v>
      </c>
      <c r="C6921" t="s">
        <v>15668</v>
      </c>
      <c r="D6921" t="s">
        <v>20</v>
      </c>
      <c r="E6921" t="s">
        <v>39</v>
      </c>
      <c r="F6921">
        <v>0</v>
      </c>
      <c r="G6921">
        <v>0</v>
      </c>
      <c r="H6921">
        <v>1</v>
      </c>
      <c r="I6921" s="3">
        <v>343.1</v>
      </c>
      <c r="J6921" s="3">
        <v>0</v>
      </c>
      <c r="K6921" t="s">
        <v>11860</v>
      </c>
      <c r="L6921">
        <v>46</v>
      </c>
      <c r="M6921" t="s">
        <v>913</v>
      </c>
      <c r="N6921" t="s">
        <v>914</v>
      </c>
      <c r="O6921" t="s">
        <v>200</v>
      </c>
      <c r="P6921" t="str">
        <f>"10952"</f>
        <v>10952</v>
      </c>
    </row>
    <row r="6922" spans="1:16" x14ac:dyDescent="0.25">
      <c r="A6922" t="str">
        <f>"1130174K00372    00"</f>
        <v>1130174K00372    00</v>
      </c>
      <c r="B6922" t="s">
        <v>15653</v>
      </c>
      <c r="C6922" t="s">
        <v>15669</v>
      </c>
      <c r="D6922" t="s">
        <v>20</v>
      </c>
      <c r="E6922" t="s">
        <v>39</v>
      </c>
      <c r="F6922">
        <v>0</v>
      </c>
      <c r="G6922">
        <v>0</v>
      </c>
      <c r="H6922">
        <v>2</v>
      </c>
      <c r="I6922" s="3">
        <v>152.47999999999999</v>
      </c>
      <c r="J6922" s="3">
        <v>0</v>
      </c>
      <c r="K6922" t="s">
        <v>15655</v>
      </c>
      <c r="L6922">
        <v>727</v>
      </c>
      <c r="M6922" t="s">
        <v>15656</v>
      </c>
      <c r="N6922" t="s">
        <v>30</v>
      </c>
      <c r="O6922" t="s">
        <v>31</v>
      </c>
      <c r="P6922" t="str">
        <f>"15221"</f>
        <v>15221</v>
      </c>
    </row>
    <row r="6923" spans="1:16" x14ac:dyDescent="0.25">
      <c r="A6923" t="str">
        <f>"1130174K00385    00"</f>
        <v>1130174K00385    00</v>
      </c>
      <c r="B6923" t="s">
        <v>15653</v>
      </c>
      <c r="C6923" t="s">
        <v>15670</v>
      </c>
      <c r="D6923" t="s">
        <v>20</v>
      </c>
      <c r="E6923" t="s">
        <v>39</v>
      </c>
      <c r="F6923">
        <v>0</v>
      </c>
      <c r="G6923">
        <v>0</v>
      </c>
      <c r="H6923">
        <v>2</v>
      </c>
      <c r="I6923" s="3">
        <v>152.47999999999999</v>
      </c>
      <c r="J6923" s="3">
        <v>0</v>
      </c>
      <c r="K6923" t="s">
        <v>15655</v>
      </c>
      <c r="L6923">
        <v>727</v>
      </c>
      <c r="M6923" t="s">
        <v>15656</v>
      </c>
      <c r="N6923" t="s">
        <v>30</v>
      </c>
      <c r="O6923" t="s">
        <v>31</v>
      </c>
      <c r="P6923" t="str">
        <f>"15221"</f>
        <v>15221</v>
      </c>
    </row>
    <row r="6924" spans="1:16" x14ac:dyDescent="0.25">
      <c r="A6924" t="str">
        <f>"1130174K00385A   00"</f>
        <v>1130174K00385A   00</v>
      </c>
      <c r="B6924" t="s">
        <v>12570</v>
      </c>
      <c r="C6924" t="s">
        <v>15671</v>
      </c>
      <c r="D6924" t="s">
        <v>20</v>
      </c>
      <c r="E6924" t="s">
        <v>39</v>
      </c>
      <c r="F6924">
        <v>0</v>
      </c>
      <c r="G6924">
        <v>0</v>
      </c>
      <c r="H6924">
        <v>1</v>
      </c>
      <c r="I6924" s="3">
        <v>457.44</v>
      </c>
      <c r="J6924" s="3">
        <v>0</v>
      </c>
      <c r="K6924" t="s">
        <v>12572</v>
      </c>
      <c r="L6924">
        <v>46</v>
      </c>
      <c r="M6924" t="s">
        <v>913</v>
      </c>
      <c r="N6924" t="s">
        <v>914</v>
      </c>
      <c r="O6924" t="s">
        <v>200</v>
      </c>
      <c r="P6924" t="str">
        <f>"10952"</f>
        <v>10952</v>
      </c>
    </row>
    <row r="6925" spans="1:16" x14ac:dyDescent="0.25">
      <c r="A6925" t="str">
        <f>"1130174K00385B   00"</f>
        <v>1130174K00385B   00</v>
      </c>
      <c r="B6925" t="s">
        <v>15653</v>
      </c>
      <c r="C6925" t="s">
        <v>15672</v>
      </c>
      <c r="D6925" t="s">
        <v>20</v>
      </c>
      <c r="E6925" t="s">
        <v>39</v>
      </c>
      <c r="F6925">
        <v>0</v>
      </c>
      <c r="G6925">
        <v>0</v>
      </c>
      <c r="H6925">
        <v>2</v>
      </c>
      <c r="I6925" s="3">
        <v>190.6</v>
      </c>
      <c r="J6925" s="3">
        <v>0</v>
      </c>
      <c r="K6925" t="s">
        <v>15655</v>
      </c>
      <c r="L6925">
        <v>727</v>
      </c>
      <c r="M6925" t="s">
        <v>15656</v>
      </c>
      <c r="N6925" t="s">
        <v>30</v>
      </c>
      <c r="O6925" t="s">
        <v>31</v>
      </c>
      <c r="P6925" t="str">
        <f>"15221"</f>
        <v>15221</v>
      </c>
    </row>
    <row r="6926" spans="1:16" x14ac:dyDescent="0.25">
      <c r="A6926" t="str">
        <f>"1130174K00387A   00"</f>
        <v>1130174K00387A   00</v>
      </c>
      <c r="B6926" t="s">
        <v>15653</v>
      </c>
      <c r="C6926" t="s">
        <v>15673</v>
      </c>
      <c r="D6926" t="s">
        <v>20</v>
      </c>
      <c r="E6926" t="s">
        <v>39</v>
      </c>
      <c r="F6926">
        <v>0</v>
      </c>
      <c r="G6926">
        <v>0</v>
      </c>
      <c r="H6926">
        <v>2</v>
      </c>
      <c r="I6926" s="3">
        <v>163.92</v>
      </c>
      <c r="J6926" s="3">
        <v>0</v>
      </c>
      <c r="K6926" t="s">
        <v>15655</v>
      </c>
      <c r="L6926">
        <v>727</v>
      </c>
      <c r="M6926" t="s">
        <v>15656</v>
      </c>
      <c r="N6926" t="s">
        <v>30</v>
      </c>
      <c r="O6926" t="s">
        <v>31</v>
      </c>
      <c r="P6926" t="str">
        <f>"15221"</f>
        <v>15221</v>
      </c>
    </row>
    <row r="6927" spans="1:16" x14ac:dyDescent="0.25">
      <c r="A6927" t="str">
        <f>"1130174K00389A   00"</f>
        <v>1130174K00389A   00</v>
      </c>
      <c r="B6927" t="s">
        <v>15653</v>
      </c>
      <c r="C6927" t="s">
        <v>15674</v>
      </c>
      <c r="D6927" t="s">
        <v>20</v>
      </c>
      <c r="E6927" t="s">
        <v>39</v>
      </c>
      <c r="F6927">
        <v>0</v>
      </c>
      <c r="G6927">
        <v>0</v>
      </c>
      <c r="H6927">
        <v>2</v>
      </c>
      <c r="I6927" s="3">
        <v>163.94</v>
      </c>
      <c r="J6927" s="3">
        <v>0</v>
      </c>
      <c r="K6927" t="s">
        <v>15655</v>
      </c>
      <c r="L6927">
        <v>727</v>
      </c>
      <c r="M6927" t="s">
        <v>15656</v>
      </c>
      <c r="N6927" t="s">
        <v>30</v>
      </c>
      <c r="O6927" t="s">
        <v>31</v>
      </c>
      <c r="P6927" t="str">
        <f>"15221"</f>
        <v>15221</v>
      </c>
    </row>
    <row r="6928" spans="1:16" x14ac:dyDescent="0.25">
      <c r="A6928" t="str">
        <f>"1130174K00391A   00"</f>
        <v>1130174K00391A   00</v>
      </c>
      <c r="B6928" t="s">
        <v>15653</v>
      </c>
      <c r="C6928" t="s">
        <v>15675</v>
      </c>
      <c r="D6928" t="s">
        <v>20</v>
      </c>
      <c r="E6928" t="s">
        <v>39</v>
      </c>
      <c r="F6928">
        <v>0</v>
      </c>
      <c r="G6928">
        <v>0</v>
      </c>
      <c r="H6928">
        <v>2</v>
      </c>
      <c r="I6928" s="3">
        <v>163.94</v>
      </c>
      <c r="J6928" s="3">
        <v>0</v>
      </c>
      <c r="K6928" t="s">
        <v>15655</v>
      </c>
      <c r="L6928">
        <v>727</v>
      </c>
      <c r="M6928" t="s">
        <v>15656</v>
      </c>
      <c r="N6928" t="s">
        <v>30</v>
      </c>
      <c r="O6928" t="s">
        <v>31</v>
      </c>
      <c r="P6928" t="str">
        <f>"15221"</f>
        <v>15221</v>
      </c>
    </row>
    <row r="6929" spans="1:16" x14ac:dyDescent="0.25">
      <c r="A6929" t="str">
        <f>"1130174K00391B   00"</f>
        <v>1130174K00391B   00</v>
      </c>
      <c r="B6929" t="s">
        <v>15676</v>
      </c>
      <c r="C6929" t="s">
        <v>15677</v>
      </c>
      <c r="E6929" t="s">
        <v>39</v>
      </c>
      <c r="F6929">
        <v>0</v>
      </c>
      <c r="G6929">
        <v>0</v>
      </c>
      <c r="H6929">
        <v>6</v>
      </c>
      <c r="I6929" s="3">
        <v>600.33000000000004</v>
      </c>
      <c r="J6929" s="3">
        <v>192.55</v>
      </c>
      <c r="K6929" t="s">
        <v>15678</v>
      </c>
      <c r="L6929">
        <v>738</v>
      </c>
      <c r="M6929" t="s">
        <v>15679</v>
      </c>
      <c r="N6929" t="s">
        <v>1046</v>
      </c>
      <c r="O6929" t="s">
        <v>31</v>
      </c>
      <c r="P6929" t="str">
        <f>"15147"</f>
        <v>15147</v>
      </c>
    </row>
    <row r="6930" spans="1:16" x14ac:dyDescent="0.25">
      <c r="A6930" t="str">
        <f>"1130174K00400    00"</f>
        <v>1130174K00400    00</v>
      </c>
      <c r="B6930" t="s">
        <v>15653</v>
      </c>
      <c r="C6930" t="s">
        <v>15680</v>
      </c>
      <c r="D6930" t="s">
        <v>20</v>
      </c>
      <c r="E6930" t="s">
        <v>21</v>
      </c>
      <c r="F6930">
        <v>0</v>
      </c>
      <c r="G6930">
        <v>0</v>
      </c>
      <c r="H6930">
        <v>2</v>
      </c>
      <c r="I6930" s="3">
        <v>594.67999999999995</v>
      </c>
      <c r="J6930" s="3">
        <v>0</v>
      </c>
      <c r="K6930" t="s">
        <v>15655</v>
      </c>
      <c r="L6930">
        <v>727</v>
      </c>
      <c r="M6930" t="s">
        <v>15656</v>
      </c>
      <c r="N6930" t="s">
        <v>30</v>
      </c>
      <c r="O6930" t="s">
        <v>31</v>
      </c>
      <c r="P6930" t="str">
        <f>"15221"</f>
        <v>15221</v>
      </c>
    </row>
    <row r="6931" spans="1:16" x14ac:dyDescent="0.25">
      <c r="A6931" t="str">
        <f>"1130174L00004    00"</f>
        <v>1130174L00004    00</v>
      </c>
      <c r="B6931" t="s">
        <v>15681</v>
      </c>
      <c r="C6931" t="s">
        <v>15682</v>
      </c>
      <c r="D6931" t="s">
        <v>20</v>
      </c>
      <c r="E6931" t="s">
        <v>39</v>
      </c>
      <c r="F6931">
        <v>0</v>
      </c>
      <c r="G6931">
        <v>0</v>
      </c>
      <c r="H6931">
        <v>7</v>
      </c>
      <c r="I6931" s="3">
        <v>6454.36</v>
      </c>
      <c r="J6931" s="3">
        <v>2046.18</v>
      </c>
      <c r="L6931">
        <v>1112</v>
      </c>
      <c r="M6931" t="s">
        <v>3112</v>
      </c>
      <c r="N6931" t="s">
        <v>30</v>
      </c>
      <c r="O6931" t="s">
        <v>31</v>
      </c>
      <c r="P6931" t="str">
        <f>"15201"</f>
        <v>15201</v>
      </c>
    </row>
    <row r="6932" spans="1:16" x14ac:dyDescent="0.25">
      <c r="A6932" t="str">
        <f>"1130174L00005    00"</f>
        <v>1130174L00005    00</v>
      </c>
      <c r="B6932" t="s">
        <v>15683</v>
      </c>
      <c r="C6932" t="s">
        <v>14893</v>
      </c>
      <c r="D6932" t="s">
        <v>20</v>
      </c>
      <c r="E6932" t="s">
        <v>39</v>
      </c>
      <c r="F6932">
        <v>0</v>
      </c>
      <c r="G6932">
        <v>0</v>
      </c>
      <c r="H6932">
        <v>19</v>
      </c>
      <c r="I6932" s="3">
        <v>6407.01</v>
      </c>
      <c r="J6932" s="3">
        <v>8650.57</v>
      </c>
      <c r="L6932">
        <v>7414</v>
      </c>
      <c r="M6932" t="s">
        <v>11269</v>
      </c>
      <c r="N6932" t="s">
        <v>30</v>
      </c>
      <c r="O6932" t="s">
        <v>31</v>
      </c>
      <c r="P6932" t="str">
        <f>"15208"</f>
        <v>15208</v>
      </c>
    </row>
    <row r="6933" spans="1:16" x14ac:dyDescent="0.25">
      <c r="A6933" t="str">
        <f>"1130174L00006    00"</f>
        <v>1130174L00006    00</v>
      </c>
      <c r="B6933" t="s">
        <v>11560</v>
      </c>
      <c r="C6933" t="s">
        <v>15684</v>
      </c>
      <c r="D6933" t="s">
        <v>20</v>
      </c>
      <c r="E6933" t="s">
        <v>39</v>
      </c>
      <c r="F6933">
        <v>0</v>
      </c>
      <c r="G6933">
        <v>0</v>
      </c>
      <c r="H6933">
        <v>2</v>
      </c>
      <c r="I6933" s="3">
        <v>1455.91</v>
      </c>
      <c r="J6933" s="3">
        <v>0</v>
      </c>
      <c r="L6933">
        <v>701</v>
      </c>
      <c r="M6933" t="s">
        <v>11562</v>
      </c>
      <c r="N6933" t="s">
        <v>30</v>
      </c>
      <c r="O6933" t="s">
        <v>31</v>
      </c>
      <c r="P6933" t="str">
        <f>"15208"</f>
        <v>15208</v>
      </c>
    </row>
    <row r="6934" spans="1:16" x14ac:dyDescent="0.25">
      <c r="A6934" t="str">
        <f>"1130174L00007    00"</f>
        <v>1130174L00007    00</v>
      </c>
      <c r="B6934" t="s">
        <v>15685</v>
      </c>
      <c r="C6934" t="s">
        <v>15686</v>
      </c>
      <c r="D6934" t="s">
        <v>20</v>
      </c>
      <c r="E6934" t="s">
        <v>39</v>
      </c>
      <c r="F6934">
        <v>0</v>
      </c>
      <c r="G6934">
        <v>0</v>
      </c>
      <c r="H6934">
        <v>1</v>
      </c>
      <c r="I6934" s="3">
        <v>190.3</v>
      </c>
      <c r="J6934" s="3">
        <v>0</v>
      </c>
      <c r="L6934">
        <v>7418</v>
      </c>
      <c r="M6934" t="s">
        <v>11269</v>
      </c>
      <c r="N6934" t="s">
        <v>30</v>
      </c>
      <c r="O6934" t="s">
        <v>31</v>
      </c>
      <c r="P6934" t="str">
        <f>"15208"</f>
        <v>15208</v>
      </c>
    </row>
    <row r="6935" spans="1:16" x14ac:dyDescent="0.25">
      <c r="A6935" t="str">
        <f>"1130174L00021    00"</f>
        <v>1130174L00021    00</v>
      </c>
      <c r="B6935" t="s">
        <v>15687</v>
      </c>
      <c r="C6935" t="s">
        <v>15688</v>
      </c>
      <c r="E6935" t="s">
        <v>39</v>
      </c>
      <c r="F6935">
        <v>0</v>
      </c>
      <c r="G6935">
        <v>0</v>
      </c>
      <c r="H6935">
        <v>2</v>
      </c>
      <c r="I6935" s="3">
        <v>262.54000000000002</v>
      </c>
      <c r="J6935" s="3">
        <v>62.36</v>
      </c>
      <c r="L6935">
        <v>7431</v>
      </c>
      <c r="M6935" t="s">
        <v>12395</v>
      </c>
      <c r="N6935" t="s">
        <v>30</v>
      </c>
      <c r="O6935" t="s">
        <v>31</v>
      </c>
      <c r="P6935" t="str">
        <f>"15208"</f>
        <v>15208</v>
      </c>
    </row>
    <row r="6936" spans="1:16" x14ac:dyDescent="0.25">
      <c r="A6936" t="str">
        <f>"1130174L00028    00"</f>
        <v>1130174L00028    00</v>
      </c>
      <c r="B6936" t="s">
        <v>15689</v>
      </c>
      <c r="C6936" t="s">
        <v>15690</v>
      </c>
      <c r="D6936" t="s">
        <v>20</v>
      </c>
      <c r="E6936" t="s">
        <v>39</v>
      </c>
      <c r="F6936">
        <v>0</v>
      </c>
      <c r="G6936">
        <v>0</v>
      </c>
      <c r="H6936">
        <v>18</v>
      </c>
      <c r="I6936" s="3">
        <v>9543.25</v>
      </c>
      <c r="J6936" s="3">
        <v>8860.26</v>
      </c>
      <c r="M6936" t="s">
        <v>15691</v>
      </c>
      <c r="N6936" t="s">
        <v>30</v>
      </c>
      <c r="O6936" t="s">
        <v>31</v>
      </c>
      <c r="P6936" t="str">
        <f>"15208"</f>
        <v>15208</v>
      </c>
    </row>
    <row r="6937" spans="1:16" x14ac:dyDescent="0.25">
      <c r="A6937" t="str">
        <f>"1130174L00029    00"</f>
        <v>1130174L00029    00</v>
      </c>
      <c r="B6937" t="s">
        <v>15692</v>
      </c>
      <c r="C6937" t="s">
        <v>14943</v>
      </c>
      <c r="D6937" t="s">
        <v>20</v>
      </c>
      <c r="E6937" t="s">
        <v>39</v>
      </c>
      <c r="F6937">
        <v>0</v>
      </c>
      <c r="G6937">
        <v>0</v>
      </c>
      <c r="H6937">
        <v>4</v>
      </c>
      <c r="I6937" s="3">
        <v>170.5</v>
      </c>
      <c r="J6937" s="3">
        <v>71.67</v>
      </c>
      <c r="K6937" t="s">
        <v>15693</v>
      </c>
      <c r="L6937">
        <v>1213</v>
      </c>
      <c r="M6937" t="s">
        <v>15694</v>
      </c>
      <c r="N6937" t="s">
        <v>30</v>
      </c>
      <c r="O6937" t="s">
        <v>31</v>
      </c>
      <c r="P6937" t="str">
        <f>"15205"</f>
        <v>15205</v>
      </c>
    </row>
    <row r="6938" spans="1:16" x14ac:dyDescent="0.25">
      <c r="A6938" t="str">
        <f>"1130174L00030    00"</f>
        <v>1130174L00030    00</v>
      </c>
      <c r="B6938" t="s">
        <v>15695</v>
      </c>
      <c r="C6938" t="s">
        <v>14943</v>
      </c>
      <c r="D6938" t="s">
        <v>20</v>
      </c>
      <c r="E6938" t="s">
        <v>39</v>
      </c>
      <c r="F6938">
        <v>0</v>
      </c>
      <c r="G6938">
        <v>0</v>
      </c>
      <c r="H6938">
        <v>9</v>
      </c>
      <c r="I6938" s="3">
        <v>1114.71</v>
      </c>
      <c r="J6938" s="3">
        <v>474.9</v>
      </c>
      <c r="L6938">
        <v>7236</v>
      </c>
      <c r="M6938" t="s">
        <v>12395</v>
      </c>
      <c r="N6938" t="s">
        <v>30</v>
      </c>
      <c r="O6938" t="s">
        <v>31</v>
      </c>
      <c r="P6938" t="str">
        <f>"15208"</f>
        <v>15208</v>
      </c>
    </row>
    <row r="6939" spans="1:16" x14ac:dyDescent="0.25">
      <c r="A6939" t="str">
        <f>"1130174L00031    00"</f>
        <v>1130174L00031    00</v>
      </c>
      <c r="B6939" t="s">
        <v>15696</v>
      </c>
      <c r="C6939" t="s">
        <v>15697</v>
      </c>
      <c r="D6939" t="s">
        <v>33</v>
      </c>
      <c r="E6939" t="s">
        <v>39</v>
      </c>
      <c r="F6939">
        <v>0</v>
      </c>
      <c r="G6939">
        <v>0</v>
      </c>
      <c r="H6939">
        <v>6</v>
      </c>
      <c r="I6939" s="3">
        <v>1404.84</v>
      </c>
      <c r="J6939" s="3">
        <v>20.88</v>
      </c>
      <c r="K6939" t="s">
        <v>15698</v>
      </c>
      <c r="M6939" t="s">
        <v>11134</v>
      </c>
      <c r="N6939" t="s">
        <v>30</v>
      </c>
      <c r="O6939" t="s">
        <v>31</v>
      </c>
      <c r="P6939" t="str">
        <f>"15224"</f>
        <v>15224</v>
      </c>
    </row>
    <row r="6940" spans="1:16" x14ac:dyDescent="0.25">
      <c r="A6940" t="str">
        <f>"1130174L00037    00"</f>
        <v>1130174L00037    00</v>
      </c>
      <c r="B6940" t="s">
        <v>15608</v>
      </c>
      <c r="C6940" t="s">
        <v>14943</v>
      </c>
      <c r="D6940" t="s">
        <v>20</v>
      </c>
      <c r="E6940" t="s">
        <v>39</v>
      </c>
      <c r="F6940">
        <v>0</v>
      </c>
      <c r="G6940">
        <v>0</v>
      </c>
      <c r="H6940">
        <v>1</v>
      </c>
      <c r="I6940" s="3">
        <v>22.87</v>
      </c>
      <c r="J6940" s="3">
        <v>0</v>
      </c>
      <c r="L6940">
        <v>7043</v>
      </c>
      <c r="M6940" t="s">
        <v>11435</v>
      </c>
      <c r="N6940" t="s">
        <v>30</v>
      </c>
      <c r="O6940" t="s">
        <v>31</v>
      </c>
      <c r="P6940" t="str">
        <f>"15208"</f>
        <v>15208</v>
      </c>
    </row>
    <row r="6941" spans="1:16" x14ac:dyDescent="0.25">
      <c r="A6941" t="str">
        <f>"1130174L00066    00"</f>
        <v>1130174L00066    00</v>
      </c>
      <c r="B6941" t="s">
        <v>15699</v>
      </c>
      <c r="C6941" t="s">
        <v>15700</v>
      </c>
      <c r="D6941" t="s">
        <v>20</v>
      </c>
      <c r="E6941" t="s">
        <v>39</v>
      </c>
      <c r="F6941">
        <v>0</v>
      </c>
      <c r="G6941">
        <v>0</v>
      </c>
      <c r="H6941">
        <v>2</v>
      </c>
      <c r="I6941" s="3">
        <v>1018.17</v>
      </c>
      <c r="J6941" s="3">
        <v>0</v>
      </c>
      <c r="K6941" t="s">
        <v>2106</v>
      </c>
      <c r="L6941">
        <v>6053</v>
      </c>
      <c r="M6941" t="s">
        <v>2107</v>
      </c>
      <c r="N6941" t="s">
        <v>2108</v>
      </c>
      <c r="O6941" t="s">
        <v>2109</v>
      </c>
      <c r="P6941" t="str">
        <f>"84107"</f>
        <v>84107</v>
      </c>
    </row>
    <row r="6942" spans="1:16" x14ac:dyDescent="0.25">
      <c r="A6942" t="str">
        <f>"1130174L00079    00"</f>
        <v>1130174L00079    00</v>
      </c>
      <c r="B6942" t="s">
        <v>15701</v>
      </c>
      <c r="C6942" t="s">
        <v>15702</v>
      </c>
      <c r="D6942" t="s">
        <v>20</v>
      </c>
      <c r="E6942" t="s">
        <v>39</v>
      </c>
      <c r="F6942">
        <v>0</v>
      </c>
      <c r="G6942">
        <v>0</v>
      </c>
      <c r="H6942">
        <v>5</v>
      </c>
      <c r="I6942" s="3">
        <v>1516.69</v>
      </c>
      <c r="J6942" s="3">
        <v>262.02999999999997</v>
      </c>
      <c r="L6942">
        <v>7112</v>
      </c>
      <c r="M6942" t="s">
        <v>12201</v>
      </c>
      <c r="N6942" t="s">
        <v>30</v>
      </c>
      <c r="O6942" t="s">
        <v>31</v>
      </c>
      <c r="P6942" t="str">
        <f>"15208"</f>
        <v>15208</v>
      </c>
    </row>
    <row r="6943" spans="1:16" x14ac:dyDescent="0.25">
      <c r="A6943" t="str">
        <f>"1130174L00080    00"</f>
        <v>1130174L00080    00</v>
      </c>
      <c r="B6943" t="s">
        <v>15703</v>
      </c>
      <c r="C6943" t="s">
        <v>15704</v>
      </c>
      <c r="D6943" t="s">
        <v>20</v>
      </c>
      <c r="E6943" t="s">
        <v>39</v>
      </c>
      <c r="F6943">
        <v>0</v>
      </c>
      <c r="G6943">
        <v>0</v>
      </c>
      <c r="H6943">
        <v>16</v>
      </c>
      <c r="I6943" s="3">
        <v>4649.6000000000004</v>
      </c>
      <c r="J6943" s="3">
        <v>3716.54</v>
      </c>
      <c r="L6943">
        <v>7145</v>
      </c>
      <c r="M6943" t="s">
        <v>12045</v>
      </c>
      <c r="N6943" t="s">
        <v>30</v>
      </c>
      <c r="O6943" t="s">
        <v>31</v>
      </c>
      <c r="P6943" t="str">
        <f>"15208"</f>
        <v>15208</v>
      </c>
    </row>
    <row r="6944" spans="1:16" x14ac:dyDescent="0.25">
      <c r="A6944" t="str">
        <f>"1130174L00081    00"</f>
        <v>1130174L00081    00</v>
      </c>
      <c r="B6944" t="s">
        <v>15705</v>
      </c>
      <c r="C6944" t="s">
        <v>15706</v>
      </c>
      <c r="D6944" t="s">
        <v>20</v>
      </c>
      <c r="E6944" t="s">
        <v>39</v>
      </c>
      <c r="F6944">
        <v>0</v>
      </c>
      <c r="G6944">
        <v>0</v>
      </c>
      <c r="H6944">
        <v>2</v>
      </c>
      <c r="I6944" s="3">
        <v>613.76</v>
      </c>
      <c r="J6944" s="3">
        <v>0</v>
      </c>
      <c r="L6944">
        <v>607</v>
      </c>
      <c r="M6944" t="s">
        <v>15707</v>
      </c>
      <c r="N6944" t="s">
        <v>30</v>
      </c>
      <c r="O6944" t="s">
        <v>31</v>
      </c>
      <c r="P6944" t="str">
        <f>"15221"</f>
        <v>15221</v>
      </c>
    </row>
    <row r="6945" spans="1:16" x14ac:dyDescent="0.25">
      <c r="A6945" t="str">
        <f>"1130174L00082    00"</f>
        <v>1130174L00082    00</v>
      </c>
      <c r="B6945" t="s">
        <v>12531</v>
      </c>
      <c r="C6945" t="s">
        <v>15708</v>
      </c>
      <c r="D6945" t="s">
        <v>20</v>
      </c>
      <c r="E6945" t="s">
        <v>21</v>
      </c>
      <c r="F6945">
        <v>0</v>
      </c>
      <c r="G6945">
        <v>0</v>
      </c>
      <c r="H6945">
        <v>1</v>
      </c>
      <c r="I6945" s="3">
        <v>1257.96</v>
      </c>
      <c r="J6945" s="3">
        <v>0</v>
      </c>
      <c r="K6945" t="s">
        <v>12533</v>
      </c>
      <c r="L6945">
        <v>46</v>
      </c>
      <c r="M6945" t="s">
        <v>913</v>
      </c>
      <c r="N6945" t="s">
        <v>914</v>
      </c>
      <c r="O6945" t="s">
        <v>200</v>
      </c>
      <c r="P6945" t="str">
        <f>"10952"</f>
        <v>10952</v>
      </c>
    </row>
    <row r="6946" spans="1:16" x14ac:dyDescent="0.25">
      <c r="A6946" t="str">
        <f>"1130174L00088    00"</f>
        <v>1130174L00088    00</v>
      </c>
      <c r="B6946" t="s">
        <v>15709</v>
      </c>
      <c r="C6946" t="s">
        <v>15710</v>
      </c>
      <c r="D6946" t="s">
        <v>20</v>
      </c>
      <c r="E6946" t="s">
        <v>39</v>
      </c>
      <c r="F6946">
        <v>0</v>
      </c>
      <c r="G6946">
        <v>0</v>
      </c>
      <c r="H6946">
        <v>14</v>
      </c>
      <c r="I6946" s="3">
        <v>14976.43</v>
      </c>
      <c r="J6946" s="3">
        <v>8820.35</v>
      </c>
      <c r="K6946" t="s">
        <v>15711</v>
      </c>
      <c r="L6946">
        <v>540</v>
      </c>
      <c r="M6946" t="s">
        <v>11126</v>
      </c>
      <c r="N6946" t="s">
        <v>30</v>
      </c>
      <c r="O6946" t="s">
        <v>31</v>
      </c>
      <c r="P6946" t="str">
        <f>"15206"</f>
        <v>15206</v>
      </c>
    </row>
    <row r="6947" spans="1:16" x14ac:dyDescent="0.25">
      <c r="A6947" t="str">
        <f>"1130174L00094    00"</f>
        <v>1130174L00094    00</v>
      </c>
      <c r="B6947" t="s">
        <v>15712</v>
      </c>
      <c r="C6947" t="s">
        <v>15713</v>
      </c>
      <c r="D6947" t="s">
        <v>20</v>
      </c>
      <c r="E6947" t="s">
        <v>39</v>
      </c>
      <c r="F6947">
        <v>0</v>
      </c>
      <c r="G6947">
        <v>0</v>
      </c>
      <c r="H6947">
        <v>11</v>
      </c>
      <c r="I6947" s="3">
        <v>6179.38</v>
      </c>
      <c r="J6947" s="3">
        <v>2949.2</v>
      </c>
      <c r="L6947">
        <v>7605</v>
      </c>
      <c r="M6947" t="s">
        <v>15714</v>
      </c>
      <c r="N6947" t="s">
        <v>30</v>
      </c>
      <c r="O6947" t="s">
        <v>31</v>
      </c>
      <c r="P6947" t="str">
        <f>"15208"</f>
        <v>15208</v>
      </c>
    </row>
    <row r="6948" spans="1:16" x14ac:dyDescent="0.25">
      <c r="A6948" t="str">
        <f>"1130174L00126    00"</f>
        <v>1130174L00126    00</v>
      </c>
      <c r="B6948" t="s">
        <v>15715</v>
      </c>
      <c r="C6948" t="s">
        <v>15716</v>
      </c>
      <c r="D6948" t="s">
        <v>20</v>
      </c>
      <c r="E6948" t="s">
        <v>21</v>
      </c>
      <c r="F6948">
        <v>0</v>
      </c>
      <c r="G6948">
        <v>0</v>
      </c>
      <c r="H6948">
        <v>1</v>
      </c>
      <c r="I6948" s="3">
        <v>76.239999999999995</v>
      </c>
      <c r="J6948" s="3">
        <v>0</v>
      </c>
      <c r="L6948">
        <v>117</v>
      </c>
      <c r="M6948" t="s">
        <v>15717</v>
      </c>
      <c r="N6948" t="s">
        <v>903</v>
      </c>
      <c r="O6948" t="s">
        <v>31</v>
      </c>
      <c r="P6948" t="str">
        <f>"15136"</f>
        <v>15136</v>
      </c>
    </row>
    <row r="6949" spans="1:16" x14ac:dyDescent="0.25">
      <c r="A6949" t="str">
        <f>"1130174L00130    00"</f>
        <v>1130174L00130    00</v>
      </c>
      <c r="B6949" t="s">
        <v>15718</v>
      </c>
      <c r="C6949" t="s">
        <v>15719</v>
      </c>
      <c r="E6949" t="s">
        <v>21</v>
      </c>
      <c r="F6949">
        <v>0</v>
      </c>
      <c r="G6949">
        <v>0</v>
      </c>
      <c r="H6949">
        <v>9</v>
      </c>
      <c r="I6949" s="3">
        <v>8243.6</v>
      </c>
      <c r="J6949" s="3">
        <v>6224.81</v>
      </c>
      <c r="K6949" t="s">
        <v>15720</v>
      </c>
      <c r="L6949">
        <v>7620</v>
      </c>
      <c r="M6949" t="s">
        <v>9086</v>
      </c>
      <c r="N6949" t="s">
        <v>30</v>
      </c>
      <c r="O6949" t="s">
        <v>31</v>
      </c>
      <c r="P6949" t="str">
        <f>"15208"</f>
        <v>15208</v>
      </c>
    </row>
    <row r="6950" spans="1:16" x14ac:dyDescent="0.25">
      <c r="A6950" t="str">
        <f>"1130174L00139    00"</f>
        <v>1130174L00139    00</v>
      </c>
      <c r="B6950" t="s">
        <v>15721</v>
      </c>
      <c r="C6950" t="s">
        <v>15722</v>
      </c>
      <c r="E6950" t="s">
        <v>39</v>
      </c>
      <c r="F6950">
        <v>0</v>
      </c>
      <c r="G6950">
        <v>0</v>
      </c>
      <c r="H6950">
        <v>1</v>
      </c>
      <c r="I6950" s="3">
        <v>56.27</v>
      </c>
      <c r="J6950" s="3">
        <v>33.76</v>
      </c>
      <c r="L6950">
        <v>7628</v>
      </c>
      <c r="M6950" t="s">
        <v>9086</v>
      </c>
      <c r="N6950" t="s">
        <v>30</v>
      </c>
      <c r="O6950" t="s">
        <v>31</v>
      </c>
      <c r="P6950" t="str">
        <f>"15208"</f>
        <v>15208</v>
      </c>
    </row>
    <row r="6951" spans="1:16" x14ac:dyDescent="0.25">
      <c r="A6951" t="str">
        <f>"1130174L00158    00"</f>
        <v>1130174L00158    00</v>
      </c>
      <c r="B6951" t="s">
        <v>15723</v>
      </c>
      <c r="C6951" t="s">
        <v>13567</v>
      </c>
      <c r="D6951" t="s">
        <v>20</v>
      </c>
      <c r="E6951" t="s">
        <v>39</v>
      </c>
      <c r="F6951">
        <v>0</v>
      </c>
      <c r="G6951">
        <v>0</v>
      </c>
      <c r="H6951">
        <v>1</v>
      </c>
      <c r="I6951" s="3">
        <v>62.91</v>
      </c>
      <c r="J6951" s="3">
        <v>0</v>
      </c>
      <c r="K6951" t="s">
        <v>15724</v>
      </c>
      <c r="L6951">
        <v>7232</v>
      </c>
      <c r="M6951" t="s">
        <v>872</v>
      </c>
      <c r="N6951" t="s">
        <v>30</v>
      </c>
      <c r="O6951" t="s">
        <v>31</v>
      </c>
      <c r="P6951" t="str">
        <f>"15208"</f>
        <v>15208</v>
      </c>
    </row>
    <row r="6952" spans="1:16" x14ac:dyDescent="0.25">
      <c r="A6952" t="str">
        <f>"1130174L00164    00"</f>
        <v>1130174L00164    00</v>
      </c>
      <c r="B6952" t="s">
        <v>14496</v>
      </c>
      <c r="C6952" t="s">
        <v>15725</v>
      </c>
      <c r="D6952" t="s">
        <v>20</v>
      </c>
      <c r="E6952" t="s">
        <v>39</v>
      </c>
      <c r="F6952">
        <v>0</v>
      </c>
      <c r="G6952">
        <v>0</v>
      </c>
      <c r="H6952">
        <v>2</v>
      </c>
      <c r="I6952" s="3">
        <v>720.48</v>
      </c>
      <c r="J6952" s="3">
        <v>0</v>
      </c>
      <c r="K6952" t="s">
        <v>15726</v>
      </c>
      <c r="L6952">
        <v>7721</v>
      </c>
      <c r="M6952" t="s">
        <v>9086</v>
      </c>
      <c r="N6952" t="s">
        <v>30</v>
      </c>
      <c r="O6952" t="s">
        <v>31</v>
      </c>
      <c r="P6952" t="str">
        <f>"15208"</f>
        <v>15208</v>
      </c>
    </row>
    <row r="6953" spans="1:16" x14ac:dyDescent="0.25">
      <c r="A6953" t="str">
        <f>"1130174L00168    00"</f>
        <v>1130174L00168    00</v>
      </c>
      <c r="B6953" t="s">
        <v>15727</v>
      </c>
      <c r="C6953" t="s">
        <v>15728</v>
      </c>
      <c r="D6953" t="s">
        <v>20</v>
      </c>
      <c r="E6953" t="s">
        <v>21</v>
      </c>
      <c r="F6953">
        <v>0</v>
      </c>
      <c r="G6953">
        <v>0</v>
      </c>
      <c r="H6953">
        <v>8</v>
      </c>
      <c r="I6953" s="3">
        <v>7982.56</v>
      </c>
      <c r="J6953" s="3">
        <v>2612</v>
      </c>
      <c r="L6953">
        <v>1104</v>
      </c>
      <c r="M6953" t="s">
        <v>9307</v>
      </c>
      <c r="N6953" t="s">
        <v>30</v>
      </c>
      <c r="O6953" t="s">
        <v>31</v>
      </c>
      <c r="P6953" t="str">
        <f>"15201"</f>
        <v>15201</v>
      </c>
    </row>
    <row r="6954" spans="1:16" x14ac:dyDescent="0.25">
      <c r="A6954" t="str">
        <f>"1130174L00169    00"</f>
        <v>1130174L00169    00</v>
      </c>
      <c r="B6954" t="s">
        <v>15729</v>
      </c>
      <c r="C6954" t="s">
        <v>15730</v>
      </c>
      <c r="D6954" t="s">
        <v>20</v>
      </c>
      <c r="E6954" t="s">
        <v>39</v>
      </c>
      <c r="F6954">
        <v>0</v>
      </c>
      <c r="G6954">
        <v>0</v>
      </c>
      <c r="H6954">
        <v>2</v>
      </c>
      <c r="I6954" s="3">
        <v>97.56</v>
      </c>
      <c r="J6954" s="3">
        <v>0</v>
      </c>
      <c r="K6954" t="s">
        <v>15731</v>
      </c>
      <c r="L6954">
        <v>9618</v>
      </c>
      <c r="M6954" t="s">
        <v>11939</v>
      </c>
      <c r="N6954" t="s">
        <v>30</v>
      </c>
      <c r="O6954" t="s">
        <v>31</v>
      </c>
      <c r="P6954" t="str">
        <f>"15235"</f>
        <v>15235</v>
      </c>
    </row>
    <row r="6955" spans="1:16" x14ac:dyDescent="0.25">
      <c r="A6955" t="str">
        <f>"1130174L00176    00"</f>
        <v>1130174L00176    00</v>
      </c>
      <c r="B6955" t="s">
        <v>15732</v>
      </c>
      <c r="C6955" t="s">
        <v>15733</v>
      </c>
      <c r="D6955" t="s">
        <v>20</v>
      </c>
      <c r="E6955" t="s">
        <v>21</v>
      </c>
      <c r="F6955">
        <v>0</v>
      </c>
      <c r="G6955">
        <v>0</v>
      </c>
      <c r="H6955">
        <v>2</v>
      </c>
      <c r="I6955" s="3">
        <v>1185.21</v>
      </c>
      <c r="J6955" s="3">
        <v>19.75</v>
      </c>
      <c r="K6955" t="s">
        <v>15734</v>
      </c>
      <c r="M6955" t="s">
        <v>15735</v>
      </c>
      <c r="N6955" t="s">
        <v>295</v>
      </c>
      <c r="O6955" t="s">
        <v>31</v>
      </c>
      <c r="P6955" t="str">
        <f>"15146"</f>
        <v>15146</v>
      </c>
    </row>
    <row r="6956" spans="1:16" x14ac:dyDescent="0.25">
      <c r="A6956" t="str">
        <f>"1130174L00212    00"</f>
        <v>1130174L00212    00</v>
      </c>
      <c r="B6956" t="s">
        <v>15736</v>
      </c>
      <c r="C6956" t="s">
        <v>15737</v>
      </c>
      <c r="D6956" t="s">
        <v>20</v>
      </c>
      <c r="E6956" t="s">
        <v>21</v>
      </c>
      <c r="F6956">
        <v>0</v>
      </c>
      <c r="G6956">
        <v>0</v>
      </c>
      <c r="H6956">
        <v>1</v>
      </c>
      <c r="I6956" s="3">
        <v>3836.79</v>
      </c>
      <c r="J6956" s="3">
        <v>0</v>
      </c>
      <c r="K6956" t="s">
        <v>15738</v>
      </c>
      <c r="L6956">
        <v>46</v>
      </c>
      <c r="M6956" t="s">
        <v>913</v>
      </c>
      <c r="N6956" t="s">
        <v>914</v>
      </c>
      <c r="O6956" t="s">
        <v>200</v>
      </c>
      <c r="P6956" t="str">
        <f>"10952"</f>
        <v>10952</v>
      </c>
    </row>
    <row r="6957" spans="1:16" x14ac:dyDescent="0.25">
      <c r="A6957" t="str">
        <f>"1130174L00217    00"</f>
        <v>1130174L00217    00</v>
      </c>
      <c r="B6957" t="s">
        <v>15739</v>
      </c>
      <c r="C6957" t="s">
        <v>13567</v>
      </c>
      <c r="D6957" t="s">
        <v>20</v>
      </c>
      <c r="E6957" t="s">
        <v>39</v>
      </c>
      <c r="F6957">
        <v>0</v>
      </c>
      <c r="G6957">
        <v>0</v>
      </c>
      <c r="H6957">
        <v>17</v>
      </c>
      <c r="I6957" s="3">
        <v>2391.3000000000002</v>
      </c>
      <c r="J6957" s="3">
        <v>3390.66</v>
      </c>
      <c r="L6957">
        <v>902</v>
      </c>
      <c r="M6957" t="s">
        <v>15740</v>
      </c>
      <c r="N6957" t="s">
        <v>4768</v>
      </c>
      <c r="O6957" t="s">
        <v>31</v>
      </c>
      <c r="P6957" t="str">
        <f>"15137"</f>
        <v>15137</v>
      </c>
    </row>
    <row r="6958" spans="1:16" x14ac:dyDescent="0.25">
      <c r="A6958" t="str">
        <f>"1130174L00283    00"</f>
        <v>1130174L00283    00</v>
      </c>
      <c r="B6958" t="s">
        <v>15741</v>
      </c>
      <c r="C6958" t="s">
        <v>15742</v>
      </c>
      <c r="D6958" t="s">
        <v>20</v>
      </c>
      <c r="E6958" t="s">
        <v>39</v>
      </c>
      <c r="F6958">
        <v>0</v>
      </c>
      <c r="G6958">
        <v>0</v>
      </c>
      <c r="H6958">
        <v>19</v>
      </c>
      <c r="I6958" s="3">
        <v>5156.51</v>
      </c>
      <c r="J6958" s="3">
        <v>4268.93</v>
      </c>
      <c r="L6958">
        <v>7710</v>
      </c>
      <c r="M6958" t="s">
        <v>12980</v>
      </c>
      <c r="N6958" t="s">
        <v>30</v>
      </c>
      <c r="O6958" t="s">
        <v>31</v>
      </c>
      <c r="P6958" t="str">
        <f>"15208"</f>
        <v>15208</v>
      </c>
    </row>
    <row r="6959" spans="1:16" x14ac:dyDescent="0.25">
      <c r="A6959" t="str">
        <f>"1130174L00283A   00"</f>
        <v>1130174L00283A   00</v>
      </c>
      <c r="B6959" t="s">
        <v>15743</v>
      </c>
      <c r="C6959" t="s">
        <v>15744</v>
      </c>
      <c r="D6959" t="s">
        <v>20</v>
      </c>
      <c r="E6959" t="s">
        <v>39</v>
      </c>
      <c r="F6959">
        <v>0</v>
      </c>
      <c r="G6959">
        <v>0</v>
      </c>
      <c r="H6959">
        <v>2</v>
      </c>
      <c r="I6959" s="3">
        <v>19.399999999999999</v>
      </c>
      <c r="J6959" s="3">
        <v>0</v>
      </c>
      <c r="L6959">
        <v>7708</v>
      </c>
      <c r="M6959" t="s">
        <v>12980</v>
      </c>
      <c r="N6959" t="s">
        <v>30</v>
      </c>
      <c r="O6959" t="s">
        <v>31</v>
      </c>
      <c r="P6959" t="str">
        <f>"15208"</f>
        <v>15208</v>
      </c>
    </row>
    <row r="6960" spans="1:16" x14ac:dyDescent="0.25">
      <c r="A6960" t="str">
        <f>"1130174L00284    00"</f>
        <v>1130174L00284    00</v>
      </c>
      <c r="B6960" t="s">
        <v>15745</v>
      </c>
      <c r="C6960" t="s">
        <v>15746</v>
      </c>
      <c r="E6960" t="s">
        <v>39</v>
      </c>
      <c r="F6960">
        <v>0</v>
      </c>
      <c r="G6960">
        <v>0</v>
      </c>
      <c r="H6960">
        <v>1</v>
      </c>
      <c r="I6960" s="3">
        <v>14.1</v>
      </c>
      <c r="J6960" s="3">
        <v>2.82</v>
      </c>
      <c r="K6960" t="s">
        <v>15747</v>
      </c>
      <c r="L6960">
        <v>7712</v>
      </c>
      <c r="M6960" t="s">
        <v>12980</v>
      </c>
      <c r="N6960" t="s">
        <v>30</v>
      </c>
      <c r="O6960" t="s">
        <v>31</v>
      </c>
      <c r="P6960" t="str">
        <f>"15208"</f>
        <v>15208</v>
      </c>
    </row>
    <row r="6961" spans="1:16" x14ac:dyDescent="0.25">
      <c r="A6961" t="str">
        <f>"1130174L00285    00"</f>
        <v>1130174L00285    00</v>
      </c>
      <c r="B6961" t="s">
        <v>15748</v>
      </c>
      <c r="C6961" t="s">
        <v>15749</v>
      </c>
      <c r="D6961" t="s">
        <v>20</v>
      </c>
      <c r="E6961" t="s">
        <v>39</v>
      </c>
      <c r="F6961">
        <v>0</v>
      </c>
      <c r="G6961">
        <v>0</v>
      </c>
      <c r="H6961">
        <v>8</v>
      </c>
      <c r="I6961" s="3">
        <v>1331.72</v>
      </c>
      <c r="J6961" s="3">
        <v>528.14</v>
      </c>
      <c r="L6961">
        <v>7718</v>
      </c>
      <c r="M6961" t="s">
        <v>12980</v>
      </c>
      <c r="N6961" t="s">
        <v>30</v>
      </c>
      <c r="O6961" t="s">
        <v>31</v>
      </c>
      <c r="P6961" t="str">
        <f>"15208"</f>
        <v>15208</v>
      </c>
    </row>
    <row r="6962" spans="1:16" x14ac:dyDescent="0.25">
      <c r="A6962" t="str">
        <f>"1130174L00286    00"</f>
        <v>1130174L00286    00</v>
      </c>
      <c r="B6962" t="s">
        <v>15745</v>
      </c>
      <c r="C6962" t="s">
        <v>15750</v>
      </c>
      <c r="E6962" t="s">
        <v>39</v>
      </c>
      <c r="F6962">
        <v>0</v>
      </c>
      <c r="G6962">
        <v>0</v>
      </c>
      <c r="H6962">
        <v>2</v>
      </c>
      <c r="I6962" s="3">
        <v>474.82</v>
      </c>
      <c r="J6962" s="3">
        <v>61.75</v>
      </c>
      <c r="K6962" t="s">
        <v>15747</v>
      </c>
      <c r="L6962">
        <v>7712</v>
      </c>
      <c r="M6962" t="s">
        <v>12980</v>
      </c>
      <c r="N6962" t="s">
        <v>30</v>
      </c>
      <c r="O6962" t="s">
        <v>31</v>
      </c>
      <c r="P6962" t="str">
        <f>"15208"</f>
        <v>15208</v>
      </c>
    </row>
    <row r="6963" spans="1:16" x14ac:dyDescent="0.25">
      <c r="A6963" t="str">
        <f>"1130174L00287    00"</f>
        <v>1130174L00287    00</v>
      </c>
      <c r="B6963" t="s">
        <v>15751</v>
      </c>
      <c r="C6963" t="s">
        <v>15752</v>
      </c>
      <c r="D6963" t="s">
        <v>20</v>
      </c>
      <c r="E6963" t="s">
        <v>39</v>
      </c>
      <c r="F6963">
        <v>0</v>
      </c>
      <c r="G6963">
        <v>0</v>
      </c>
      <c r="H6963">
        <v>19</v>
      </c>
      <c r="I6963" s="3">
        <v>1758.46</v>
      </c>
      <c r="J6963" s="3">
        <v>2240.9899999999998</v>
      </c>
      <c r="L6963">
        <v>5527</v>
      </c>
      <c r="M6963" t="s">
        <v>10083</v>
      </c>
      <c r="N6963" t="s">
        <v>30</v>
      </c>
      <c r="O6963" t="s">
        <v>31</v>
      </c>
      <c r="P6963" t="str">
        <f>"15206"</f>
        <v>15206</v>
      </c>
    </row>
    <row r="6964" spans="1:16" x14ac:dyDescent="0.25">
      <c r="A6964" t="str">
        <f>"1130174L00290    00"</f>
        <v>1130174L00290    00</v>
      </c>
      <c r="B6964" t="s">
        <v>15753</v>
      </c>
      <c r="C6964" t="s">
        <v>15752</v>
      </c>
      <c r="D6964" t="s">
        <v>20</v>
      </c>
      <c r="E6964" t="s">
        <v>39</v>
      </c>
      <c r="F6964">
        <v>0</v>
      </c>
      <c r="G6964">
        <v>0</v>
      </c>
      <c r="H6964">
        <v>19</v>
      </c>
      <c r="I6964" s="3">
        <v>1527.59</v>
      </c>
      <c r="J6964" s="3">
        <v>1094.58</v>
      </c>
      <c r="K6964" t="s">
        <v>1008</v>
      </c>
      <c r="P6964" t="str">
        <f>""</f>
        <v/>
      </c>
    </row>
    <row r="6965" spans="1:16" x14ac:dyDescent="0.25">
      <c r="A6965" t="str">
        <f>"1130174L00291    00"</f>
        <v>1130174L00291    00</v>
      </c>
      <c r="B6965" t="s">
        <v>15754</v>
      </c>
      <c r="C6965" t="s">
        <v>15755</v>
      </c>
      <c r="D6965" t="s">
        <v>20</v>
      </c>
      <c r="E6965" t="s">
        <v>39</v>
      </c>
      <c r="F6965">
        <v>0</v>
      </c>
      <c r="G6965">
        <v>0</v>
      </c>
      <c r="H6965">
        <v>19</v>
      </c>
      <c r="I6965" s="3">
        <v>2157.9</v>
      </c>
      <c r="J6965" s="3">
        <v>2287.94</v>
      </c>
      <c r="P6965" t="str">
        <f>""</f>
        <v/>
      </c>
    </row>
    <row r="6966" spans="1:16" x14ac:dyDescent="0.25">
      <c r="A6966" t="str">
        <f>"1130174L00293    00"</f>
        <v>1130174L00293    00</v>
      </c>
      <c r="B6966" t="s">
        <v>15754</v>
      </c>
      <c r="C6966" t="s">
        <v>15752</v>
      </c>
      <c r="D6966" t="s">
        <v>20</v>
      </c>
      <c r="E6966" t="s">
        <v>39</v>
      </c>
      <c r="F6966">
        <v>0</v>
      </c>
      <c r="G6966">
        <v>0</v>
      </c>
      <c r="H6966">
        <v>19</v>
      </c>
      <c r="I6966" s="3">
        <v>707.78</v>
      </c>
      <c r="J6966" s="3">
        <v>599.16</v>
      </c>
      <c r="L6966">
        <v>7246</v>
      </c>
      <c r="M6966" t="s">
        <v>15756</v>
      </c>
      <c r="N6966" t="s">
        <v>30</v>
      </c>
      <c r="O6966" t="s">
        <v>31</v>
      </c>
      <c r="P6966" t="str">
        <f>"15209"</f>
        <v>15209</v>
      </c>
    </row>
    <row r="6967" spans="1:16" x14ac:dyDescent="0.25">
      <c r="A6967" t="str">
        <f>"1130174L00297    00"</f>
        <v>1130174L00297    00</v>
      </c>
      <c r="B6967" t="s">
        <v>14322</v>
      </c>
      <c r="C6967" t="s">
        <v>15757</v>
      </c>
      <c r="D6967" t="s">
        <v>20</v>
      </c>
      <c r="E6967" t="s">
        <v>39</v>
      </c>
      <c r="F6967">
        <v>0</v>
      </c>
      <c r="G6967">
        <v>0</v>
      </c>
      <c r="H6967">
        <v>3</v>
      </c>
      <c r="I6967" s="3">
        <v>1509.54</v>
      </c>
      <c r="J6967" s="3">
        <v>100.63</v>
      </c>
      <c r="L6967">
        <v>7223</v>
      </c>
      <c r="M6967" t="s">
        <v>12201</v>
      </c>
      <c r="N6967" t="s">
        <v>30</v>
      </c>
      <c r="O6967" t="s">
        <v>31</v>
      </c>
      <c r="P6967" t="str">
        <f>"15208"</f>
        <v>15208</v>
      </c>
    </row>
    <row r="6968" spans="1:16" x14ac:dyDescent="0.25">
      <c r="A6968" t="str">
        <f>"1130174L00307    00"</f>
        <v>1130174L00307    00</v>
      </c>
      <c r="B6968" t="s">
        <v>15758</v>
      </c>
      <c r="C6968" t="s">
        <v>15759</v>
      </c>
      <c r="D6968" t="s">
        <v>20</v>
      </c>
      <c r="E6968" t="s">
        <v>39</v>
      </c>
      <c r="F6968">
        <v>0</v>
      </c>
      <c r="G6968">
        <v>0</v>
      </c>
      <c r="H6968">
        <v>1</v>
      </c>
      <c r="I6968" s="3">
        <v>116.3</v>
      </c>
      <c r="J6968" s="3">
        <v>0</v>
      </c>
      <c r="L6968">
        <v>7615</v>
      </c>
      <c r="M6968" t="s">
        <v>12980</v>
      </c>
      <c r="N6968" t="s">
        <v>30</v>
      </c>
      <c r="O6968" t="s">
        <v>31</v>
      </c>
      <c r="P6968" t="str">
        <f>"15208"</f>
        <v>15208</v>
      </c>
    </row>
    <row r="6969" spans="1:16" x14ac:dyDescent="0.25">
      <c r="A6969" t="str">
        <f>"1130174L00308    00"</f>
        <v>1130174L00308    00</v>
      </c>
      <c r="B6969" t="s">
        <v>15760</v>
      </c>
      <c r="C6969" t="s">
        <v>15752</v>
      </c>
      <c r="D6969" t="s">
        <v>20</v>
      </c>
      <c r="E6969" t="s">
        <v>39</v>
      </c>
      <c r="F6969">
        <v>0</v>
      </c>
      <c r="G6969">
        <v>0</v>
      </c>
      <c r="H6969">
        <v>19</v>
      </c>
      <c r="I6969" s="3">
        <v>1262.3499999999999</v>
      </c>
      <c r="J6969" s="3">
        <v>905.77</v>
      </c>
      <c r="L6969">
        <v>7613</v>
      </c>
      <c r="M6969" t="s">
        <v>12980</v>
      </c>
      <c r="N6969" t="s">
        <v>30</v>
      </c>
      <c r="O6969" t="s">
        <v>31</v>
      </c>
      <c r="P6969" t="str">
        <f>"15208"</f>
        <v>15208</v>
      </c>
    </row>
    <row r="6970" spans="1:16" x14ac:dyDescent="0.25">
      <c r="A6970" t="str">
        <f>"1130174L00310    00"</f>
        <v>1130174L00310    00</v>
      </c>
      <c r="B6970" t="s">
        <v>15761</v>
      </c>
      <c r="C6970" t="s">
        <v>15762</v>
      </c>
      <c r="E6970" t="s">
        <v>39</v>
      </c>
      <c r="F6970">
        <v>0</v>
      </c>
      <c r="G6970">
        <v>0</v>
      </c>
      <c r="H6970">
        <v>2</v>
      </c>
      <c r="I6970" s="3">
        <v>121.58</v>
      </c>
      <c r="J6970" s="3">
        <v>12.16</v>
      </c>
      <c r="K6970" t="s">
        <v>15763</v>
      </c>
      <c r="L6970">
        <v>400</v>
      </c>
      <c r="M6970" t="s">
        <v>15764</v>
      </c>
      <c r="N6970" t="s">
        <v>8991</v>
      </c>
      <c r="O6970" t="s">
        <v>31</v>
      </c>
      <c r="P6970" t="str">
        <f>"15145"</f>
        <v>15145</v>
      </c>
    </row>
    <row r="6971" spans="1:16" x14ac:dyDescent="0.25">
      <c r="A6971" t="str">
        <f>"1130174L00311    00"</f>
        <v>1130174L00311    00</v>
      </c>
      <c r="B6971" t="s">
        <v>15765</v>
      </c>
      <c r="C6971" t="s">
        <v>15752</v>
      </c>
      <c r="E6971" t="s">
        <v>39</v>
      </c>
      <c r="F6971">
        <v>0</v>
      </c>
      <c r="G6971">
        <v>0</v>
      </c>
      <c r="H6971">
        <v>14</v>
      </c>
      <c r="I6971" s="3">
        <v>197.72</v>
      </c>
      <c r="J6971" s="3">
        <v>251.08</v>
      </c>
      <c r="L6971">
        <v>8134</v>
      </c>
      <c r="M6971" t="s">
        <v>9086</v>
      </c>
      <c r="N6971" t="s">
        <v>30</v>
      </c>
      <c r="O6971" t="s">
        <v>31</v>
      </c>
      <c r="P6971" t="str">
        <f>"15221"</f>
        <v>15221</v>
      </c>
    </row>
    <row r="6972" spans="1:16" x14ac:dyDescent="0.25">
      <c r="A6972" t="str">
        <f>"1130174L00313    00"</f>
        <v>1130174L00313    00</v>
      </c>
      <c r="B6972" t="s">
        <v>15766</v>
      </c>
      <c r="C6972" t="s">
        <v>15752</v>
      </c>
      <c r="D6972" t="s">
        <v>20</v>
      </c>
      <c r="E6972" t="s">
        <v>39</v>
      </c>
      <c r="F6972">
        <v>0</v>
      </c>
      <c r="G6972">
        <v>0</v>
      </c>
      <c r="H6972">
        <v>19</v>
      </c>
      <c r="I6972" s="3">
        <v>5795.93</v>
      </c>
      <c r="J6972" s="3">
        <v>7810.19</v>
      </c>
      <c r="K6972" t="s">
        <v>15767</v>
      </c>
      <c r="L6972">
        <v>7603</v>
      </c>
      <c r="M6972" t="s">
        <v>12980</v>
      </c>
      <c r="N6972" t="s">
        <v>30</v>
      </c>
      <c r="O6972" t="s">
        <v>31</v>
      </c>
      <c r="P6972" t="str">
        <f>"15208"</f>
        <v>15208</v>
      </c>
    </row>
    <row r="6973" spans="1:16" x14ac:dyDescent="0.25">
      <c r="A6973" t="str">
        <f>"1130174L00314    00"</f>
        <v>1130174L00314    00</v>
      </c>
      <c r="B6973" t="s">
        <v>15768</v>
      </c>
      <c r="C6973" t="s">
        <v>15769</v>
      </c>
      <c r="D6973" t="s">
        <v>20</v>
      </c>
      <c r="E6973" t="s">
        <v>39</v>
      </c>
      <c r="F6973">
        <v>0</v>
      </c>
      <c r="G6973">
        <v>0</v>
      </c>
      <c r="H6973">
        <v>2</v>
      </c>
      <c r="I6973" s="3">
        <v>297.33999999999997</v>
      </c>
      <c r="J6973" s="3">
        <v>0</v>
      </c>
      <c r="K6973" t="s">
        <v>15770</v>
      </c>
      <c r="L6973">
        <v>8051</v>
      </c>
      <c r="M6973" t="s">
        <v>1101</v>
      </c>
      <c r="N6973" t="s">
        <v>1046</v>
      </c>
      <c r="O6973" t="s">
        <v>31</v>
      </c>
      <c r="P6973" t="str">
        <f>"15147"</f>
        <v>15147</v>
      </c>
    </row>
    <row r="6974" spans="1:16" x14ac:dyDescent="0.25">
      <c r="A6974" t="str">
        <f>"1130174L00316    00"</f>
        <v>1130174L00316    00</v>
      </c>
      <c r="B6974" t="s">
        <v>15771</v>
      </c>
      <c r="C6974" t="s">
        <v>15772</v>
      </c>
      <c r="D6974" t="s">
        <v>20</v>
      </c>
      <c r="E6974" t="s">
        <v>39</v>
      </c>
      <c r="F6974">
        <v>0</v>
      </c>
      <c r="G6974">
        <v>0</v>
      </c>
      <c r="H6974">
        <v>19</v>
      </c>
      <c r="I6974" s="3">
        <v>13793.11</v>
      </c>
      <c r="J6974" s="3">
        <v>12827.4</v>
      </c>
      <c r="K6974" t="s">
        <v>15773</v>
      </c>
      <c r="L6974">
        <v>414</v>
      </c>
      <c r="M6974" t="s">
        <v>15774</v>
      </c>
      <c r="N6974" t="s">
        <v>15775</v>
      </c>
      <c r="O6974" t="s">
        <v>273</v>
      </c>
      <c r="P6974" t="str">
        <f>"29461"</f>
        <v>29461</v>
      </c>
    </row>
    <row r="6975" spans="1:16" x14ac:dyDescent="0.25">
      <c r="A6975" t="str">
        <f>"1130174L00319    00"</f>
        <v>1130174L00319    00</v>
      </c>
      <c r="B6975" t="s">
        <v>15776</v>
      </c>
      <c r="C6975" t="s">
        <v>15777</v>
      </c>
      <c r="D6975" t="s">
        <v>20</v>
      </c>
      <c r="E6975" t="s">
        <v>39</v>
      </c>
      <c r="F6975">
        <v>0</v>
      </c>
      <c r="G6975">
        <v>0</v>
      </c>
      <c r="H6975">
        <v>4</v>
      </c>
      <c r="I6975" s="3">
        <v>2044.44</v>
      </c>
      <c r="J6975" s="3">
        <v>301.23</v>
      </c>
      <c r="L6975">
        <v>7608</v>
      </c>
      <c r="M6975" t="s">
        <v>11269</v>
      </c>
      <c r="N6975" t="s">
        <v>30</v>
      </c>
      <c r="O6975" t="s">
        <v>31</v>
      </c>
      <c r="P6975" t="str">
        <f>"15208"</f>
        <v>15208</v>
      </c>
    </row>
    <row r="6976" spans="1:16" x14ac:dyDescent="0.25">
      <c r="A6976" t="str">
        <f>"1130174L00322    00"</f>
        <v>1130174L00322    00</v>
      </c>
      <c r="B6976" t="s">
        <v>15778</v>
      </c>
      <c r="C6976" t="s">
        <v>15779</v>
      </c>
      <c r="D6976" t="s">
        <v>20</v>
      </c>
      <c r="E6976" t="s">
        <v>39</v>
      </c>
      <c r="F6976">
        <v>0</v>
      </c>
      <c r="G6976">
        <v>0</v>
      </c>
      <c r="H6976">
        <v>15</v>
      </c>
      <c r="I6976" s="3">
        <v>3179.3</v>
      </c>
      <c r="J6976" s="3">
        <v>3699.89</v>
      </c>
      <c r="K6976" t="s">
        <v>15780</v>
      </c>
      <c r="L6976">
        <v>412</v>
      </c>
      <c r="M6976" t="s">
        <v>15781</v>
      </c>
      <c r="N6976" t="s">
        <v>4768</v>
      </c>
      <c r="O6976" t="s">
        <v>31</v>
      </c>
      <c r="P6976" t="str">
        <f>"15137"</f>
        <v>15137</v>
      </c>
    </row>
    <row r="6977" spans="1:16" x14ac:dyDescent="0.25">
      <c r="A6977" t="str">
        <f>"1130174L00327    00"</f>
        <v>1130174L00327    00</v>
      </c>
      <c r="B6977" t="s">
        <v>15782</v>
      </c>
      <c r="C6977" t="s">
        <v>14893</v>
      </c>
      <c r="D6977" t="s">
        <v>20</v>
      </c>
      <c r="E6977" t="s">
        <v>39</v>
      </c>
      <c r="F6977">
        <v>0</v>
      </c>
      <c r="G6977">
        <v>0</v>
      </c>
      <c r="H6977">
        <v>11</v>
      </c>
      <c r="I6977" s="3">
        <v>141.54</v>
      </c>
      <c r="J6977" s="3">
        <v>67.94</v>
      </c>
      <c r="P6977" t="str">
        <f>""</f>
        <v/>
      </c>
    </row>
    <row r="6978" spans="1:16" x14ac:dyDescent="0.25">
      <c r="A6978" t="str">
        <f>"1130174L00330    00"</f>
        <v>1130174L00330    00</v>
      </c>
      <c r="B6978" t="s">
        <v>15783</v>
      </c>
      <c r="C6978" t="s">
        <v>13567</v>
      </c>
      <c r="D6978" t="s">
        <v>20</v>
      </c>
      <c r="E6978" t="s">
        <v>39</v>
      </c>
      <c r="F6978">
        <v>0</v>
      </c>
      <c r="G6978">
        <v>0</v>
      </c>
      <c r="H6978">
        <v>17</v>
      </c>
      <c r="I6978" s="3">
        <v>280.27</v>
      </c>
      <c r="J6978" s="3">
        <v>343.09</v>
      </c>
      <c r="L6978">
        <v>7437</v>
      </c>
      <c r="M6978" t="s">
        <v>11269</v>
      </c>
      <c r="N6978" t="s">
        <v>30</v>
      </c>
      <c r="O6978" t="s">
        <v>31</v>
      </c>
      <c r="P6978" t="str">
        <f>"15208"</f>
        <v>15208</v>
      </c>
    </row>
    <row r="6979" spans="1:16" x14ac:dyDescent="0.25">
      <c r="A6979" t="str">
        <f>"1130174L00336    00"</f>
        <v>1130174L00336    00</v>
      </c>
      <c r="B6979" t="s">
        <v>15784</v>
      </c>
      <c r="C6979" t="s">
        <v>15785</v>
      </c>
      <c r="D6979" t="s">
        <v>20</v>
      </c>
      <c r="E6979" t="s">
        <v>39</v>
      </c>
      <c r="F6979">
        <v>0</v>
      </c>
      <c r="G6979">
        <v>0</v>
      </c>
      <c r="H6979">
        <v>19</v>
      </c>
      <c r="I6979" s="3">
        <v>694.18</v>
      </c>
      <c r="J6979" s="3">
        <v>479.38</v>
      </c>
      <c r="L6979">
        <v>7712</v>
      </c>
      <c r="M6979" t="s">
        <v>15786</v>
      </c>
      <c r="N6979" t="s">
        <v>30</v>
      </c>
      <c r="O6979" t="s">
        <v>31</v>
      </c>
      <c r="P6979" t="str">
        <f>"15208"</f>
        <v>15208</v>
      </c>
    </row>
    <row r="6980" spans="1:16" x14ac:dyDescent="0.25">
      <c r="A6980" t="str">
        <f>"1130174L00346    00"</f>
        <v>1130174L00346    00</v>
      </c>
      <c r="B6980" t="s">
        <v>15787</v>
      </c>
      <c r="C6980" t="s">
        <v>15785</v>
      </c>
      <c r="D6980" t="s">
        <v>20</v>
      </c>
      <c r="E6980" t="s">
        <v>39</v>
      </c>
      <c r="F6980">
        <v>0</v>
      </c>
      <c r="G6980">
        <v>0</v>
      </c>
      <c r="H6980">
        <v>19</v>
      </c>
      <c r="I6980" s="3">
        <v>2111.19</v>
      </c>
      <c r="J6980" s="3">
        <v>2240.85</v>
      </c>
      <c r="L6980">
        <v>7708</v>
      </c>
      <c r="M6980" t="s">
        <v>15786</v>
      </c>
      <c r="N6980" t="s">
        <v>30</v>
      </c>
      <c r="O6980" t="s">
        <v>31</v>
      </c>
      <c r="P6980" t="str">
        <f>"15208"</f>
        <v>15208</v>
      </c>
    </row>
    <row r="6981" spans="1:16" x14ac:dyDescent="0.25">
      <c r="A6981" t="str">
        <f>"1130174L00350    00"</f>
        <v>1130174L00350    00</v>
      </c>
      <c r="B6981" t="s">
        <v>15788</v>
      </c>
      <c r="C6981" t="s">
        <v>15785</v>
      </c>
      <c r="D6981" t="s">
        <v>20</v>
      </c>
      <c r="E6981" t="s">
        <v>39</v>
      </c>
      <c r="F6981">
        <v>0</v>
      </c>
      <c r="G6981">
        <v>0</v>
      </c>
      <c r="H6981">
        <v>19</v>
      </c>
      <c r="I6981" s="3">
        <v>326.35000000000002</v>
      </c>
      <c r="J6981" s="3">
        <v>329.95</v>
      </c>
      <c r="K6981" t="s">
        <v>15789</v>
      </c>
      <c r="L6981">
        <v>1628</v>
      </c>
      <c r="M6981" t="s">
        <v>3993</v>
      </c>
      <c r="N6981" t="s">
        <v>30</v>
      </c>
      <c r="O6981" t="s">
        <v>31</v>
      </c>
      <c r="P6981" t="str">
        <f>"15221"</f>
        <v>15221</v>
      </c>
    </row>
    <row r="6982" spans="1:16" x14ac:dyDescent="0.25">
      <c r="A6982" t="str">
        <f>"1130174L00366A   00"</f>
        <v>1130174L00366A   00</v>
      </c>
      <c r="B6982" t="s">
        <v>15790</v>
      </c>
      <c r="C6982" t="s">
        <v>14893</v>
      </c>
      <c r="D6982" t="s">
        <v>20</v>
      </c>
      <c r="E6982" t="s">
        <v>39</v>
      </c>
      <c r="F6982">
        <v>0</v>
      </c>
      <c r="G6982">
        <v>0</v>
      </c>
      <c r="H6982">
        <v>17</v>
      </c>
      <c r="I6982" s="3">
        <v>3393.28</v>
      </c>
      <c r="J6982" s="3">
        <v>4625.2700000000004</v>
      </c>
      <c r="L6982">
        <v>7623</v>
      </c>
      <c r="M6982" t="s">
        <v>11269</v>
      </c>
      <c r="N6982" t="s">
        <v>30</v>
      </c>
      <c r="O6982" t="s">
        <v>31</v>
      </c>
      <c r="P6982" t="str">
        <f>"15208"</f>
        <v>15208</v>
      </c>
    </row>
    <row r="6983" spans="1:16" x14ac:dyDescent="0.25">
      <c r="A6983" t="str">
        <f>"1130174L00369    00"</f>
        <v>1130174L00369    00</v>
      </c>
      <c r="B6983" t="s">
        <v>15791</v>
      </c>
      <c r="C6983" t="s">
        <v>15792</v>
      </c>
      <c r="D6983" t="s">
        <v>20</v>
      </c>
      <c r="E6983" t="s">
        <v>39</v>
      </c>
      <c r="F6983">
        <v>0</v>
      </c>
      <c r="G6983">
        <v>0</v>
      </c>
      <c r="H6983">
        <v>15</v>
      </c>
      <c r="I6983" s="3">
        <v>5598.8</v>
      </c>
      <c r="J6983" s="3">
        <v>4807.71</v>
      </c>
      <c r="L6983">
        <v>412</v>
      </c>
      <c r="M6983" t="s">
        <v>15793</v>
      </c>
      <c r="N6983" t="s">
        <v>4768</v>
      </c>
      <c r="O6983" t="s">
        <v>31</v>
      </c>
      <c r="P6983" t="str">
        <f>"15137"</f>
        <v>15137</v>
      </c>
    </row>
    <row r="6984" spans="1:16" x14ac:dyDescent="0.25">
      <c r="A6984" t="str">
        <f>"1130174L00370    00"</f>
        <v>1130174L00370    00</v>
      </c>
      <c r="B6984" t="s">
        <v>15794</v>
      </c>
      <c r="C6984" t="s">
        <v>15795</v>
      </c>
      <c r="D6984" t="s">
        <v>20</v>
      </c>
      <c r="E6984" t="s">
        <v>39</v>
      </c>
      <c r="F6984">
        <v>0</v>
      </c>
      <c r="G6984">
        <v>0</v>
      </c>
      <c r="H6984">
        <v>18</v>
      </c>
      <c r="I6984" s="3">
        <v>4877.3</v>
      </c>
      <c r="J6984" s="3">
        <v>6147.88</v>
      </c>
      <c r="L6984">
        <v>7615</v>
      </c>
      <c r="M6984" t="s">
        <v>11269</v>
      </c>
      <c r="N6984" t="s">
        <v>30</v>
      </c>
      <c r="O6984" t="s">
        <v>31</v>
      </c>
      <c r="P6984" t="str">
        <f>"15208"</f>
        <v>15208</v>
      </c>
    </row>
    <row r="6985" spans="1:16" x14ac:dyDescent="0.25">
      <c r="A6985" t="str">
        <f>"1130174L00376    00"</f>
        <v>1130174L00376    00</v>
      </c>
      <c r="B6985" t="s">
        <v>15796</v>
      </c>
      <c r="C6985" t="s">
        <v>14893</v>
      </c>
      <c r="D6985" t="s">
        <v>20</v>
      </c>
      <c r="E6985" t="s">
        <v>39</v>
      </c>
      <c r="F6985">
        <v>0</v>
      </c>
      <c r="G6985">
        <v>0</v>
      </c>
      <c r="H6985">
        <v>14</v>
      </c>
      <c r="I6985" s="3">
        <v>666.45</v>
      </c>
      <c r="J6985" s="3">
        <v>373.22</v>
      </c>
      <c r="L6985">
        <v>222</v>
      </c>
      <c r="M6985" t="s">
        <v>9013</v>
      </c>
      <c r="N6985" t="s">
        <v>30</v>
      </c>
      <c r="O6985" t="s">
        <v>31</v>
      </c>
      <c r="P6985" t="str">
        <f>"15201"</f>
        <v>15201</v>
      </c>
    </row>
    <row r="6986" spans="1:16" x14ac:dyDescent="0.25">
      <c r="A6986" t="str">
        <f>"1130174L00378    00"</f>
        <v>1130174L00378    00</v>
      </c>
      <c r="B6986" t="s">
        <v>14760</v>
      </c>
      <c r="C6986" t="s">
        <v>15797</v>
      </c>
      <c r="D6986" t="s">
        <v>20</v>
      </c>
      <c r="E6986" t="s">
        <v>39</v>
      </c>
      <c r="F6986">
        <v>0</v>
      </c>
      <c r="G6986">
        <v>0</v>
      </c>
      <c r="H6986">
        <v>2</v>
      </c>
      <c r="I6986" s="3">
        <v>594</v>
      </c>
      <c r="J6986" s="3">
        <v>8.2200000000000006</v>
      </c>
      <c r="K6986" t="s">
        <v>14762</v>
      </c>
      <c r="L6986">
        <v>7000</v>
      </c>
      <c r="M6986" t="s">
        <v>14763</v>
      </c>
      <c r="N6986" t="s">
        <v>4141</v>
      </c>
      <c r="O6986" t="s">
        <v>108</v>
      </c>
      <c r="P6986" t="str">
        <f>"78731"</f>
        <v>78731</v>
      </c>
    </row>
    <row r="6987" spans="1:16" x14ac:dyDescent="0.25">
      <c r="A6987" t="str">
        <f>"1130174M00015    00"</f>
        <v>1130174M00015    00</v>
      </c>
      <c r="B6987" t="s">
        <v>15798</v>
      </c>
      <c r="C6987" t="s">
        <v>15799</v>
      </c>
      <c r="D6987" t="s">
        <v>20</v>
      </c>
      <c r="E6987" t="s">
        <v>21</v>
      </c>
      <c r="F6987">
        <v>0</v>
      </c>
      <c r="G6987">
        <v>0</v>
      </c>
      <c r="H6987">
        <v>19</v>
      </c>
      <c r="I6987" s="3">
        <v>6758.44</v>
      </c>
      <c r="J6987" s="3">
        <v>6910.52</v>
      </c>
      <c r="L6987">
        <v>35</v>
      </c>
      <c r="M6987" t="s">
        <v>15800</v>
      </c>
      <c r="N6987" t="s">
        <v>30</v>
      </c>
      <c r="O6987" t="s">
        <v>31</v>
      </c>
      <c r="P6987" t="str">
        <f>"15235"</f>
        <v>15235</v>
      </c>
    </row>
    <row r="6988" spans="1:16" x14ac:dyDescent="0.25">
      <c r="A6988" t="str">
        <f>"1130174M00018    00"</f>
        <v>1130174M00018    00</v>
      </c>
      <c r="B6988" t="s">
        <v>15801</v>
      </c>
      <c r="C6988" t="s">
        <v>15802</v>
      </c>
      <c r="D6988" t="s">
        <v>20</v>
      </c>
      <c r="E6988" t="s">
        <v>39</v>
      </c>
      <c r="F6988">
        <v>0</v>
      </c>
      <c r="G6988">
        <v>0</v>
      </c>
      <c r="H6988">
        <v>14</v>
      </c>
      <c r="I6988" s="3">
        <v>3787.58</v>
      </c>
      <c r="J6988" s="3">
        <v>2719.04</v>
      </c>
      <c r="L6988">
        <v>8106</v>
      </c>
      <c r="M6988" t="s">
        <v>9086</v>
      </c>
      <c r="N6988" t="s">
        <v>30</v>
      </c>
      <c r="O6988" t="s">
        <v>31</v>
      </c>
      <c r="P6988" t="str">
        <f>"15221"</f>
        <v>15221</v>
      </c>
    </row>
    <row r="6989" spans="1:16" x14ac:dyDescent="0.25">
      <c r="A6989" t="str">
        <f>"1130174M00020    00"</f>
        <v>1130174M00020    00</v>
      </c>
      <c r="B6989" t="s">
        <v>15803</v>
      </c>
      <c r="C6989" t="s">
        <v>15804</v>
      </c>
      <c r="D6989" t="s">
        <v>20</v>
      </c>
      <c r="E6989" t="s">
        <v>39</v>
      </c>
      <c r="F6989">
        <v>0</v>
      </c>
      <c r="G6989">
        <v>0</v>
      </c>
      <c r="H6989">
        <v>17</v>
      </c>
      <c r="I6989" s="3">
        <v>5371.97</v>
      </c>
      <c r="J6989" s="3">
        <v>4709.6899999999996</v>
      </c>
      <c r="L6989">
        <v>8110</v>
      </c>
      <c r="M6989" t="s">
        <v>9086</v>
      </c>
      <c r="N6989" t="s">
        <v>30</v>
      </c>
      <c r="O6989" t="s">
        <v>31</v>
      </c>
      <c r="P6989" t="str">
        <f>"15221"</f>
        <v>15221</v>
      </c>
    </row>
    <row r="6990" spans="1:16" x14ac:dyDescent="0.25">
      <c r="A6990" t="str">
        <f>"1130174M00024    00"</f>
        <v>1130174M00024    00</v>
      </c>
      <c r="B6990" t="s">
        <v>12865</v>
      </c>
      <c r="C6990" t="s">
        <v>14853</v>
      </c>
      <c r="D6990" t="s">
        <v>20</v>
      </c>
      <c r="E6990" t="s">
        <v>39</v>
      </c>
      <c r="F6990">
        <v>0</v>
      </c>
      <c r="G6990">
        <v>0</v>
      </c>
      <c r="H6990">
        <v>19</v>
      </c>
      <c r="I6990" s="3">
        <v>7600.39</v>
      </c>
      <c r="J6990" s="3">
        <v>10382.469999999999</v>
      </c>
      <c r="L6990">
        <v>210</v>
      </c>
      <c r="M6990" t="s">
        <v>15805</v>
      </c>
      <c r="N6990" t="s">
        <v>30</v>
      </c>
      <c r="O6990" t="s">
        <v>31</v>
      </c>
      <c r="P6990" t="str">
        <f>"15206"</f>
        <v>15206</v>
      </c>
    </row>
    <row r="6991" spans="1:16" x14ac:dyDescent="0.25">
      <c r="A6991" t="str">
        <f>"1130174M00026    00"</f>
        <v>1130174M00026    00</v>
      </c>
      <c r="B6991" t="s">
        <v>15806</v>
      </c>
      <c r="C6991" t="s">
        <v>15807</v>
      </c>
      <c r="E6991" t="s">
        <v>39</v>
      </c>
      <c r="F6991">
        <v>0</v>
      </c>
      <c r="G6991">
        <v>0</v>
      </c>
      <c r="H6991">
        <v>8</v>
      </c>
      <c r="I6991" s="3">
        <v>3565.37</v>
      </c>
      <c r="J6991" s="3">
        <v>763.7</v>
      </c>
      <c r="K6991" t="s">
        <v>15808</v>
      </c>
      <c r="L6991">
        <v>11405</v>
      </c>
      <c r="M6991" t="s">
        <v>11933</v>
      </c>
      <c r="N6991" t="s">
        <v>30</v>
      </c>
      <c r="O6991" t="s">
        <v>31</v>
      </c>
      <c r="P6991" t="str">
        <f>"15235"</f>
        <v>15235</v>
      </c>
    </row>
    <row r="6992" spans="1:16" x14ac:dyDescent="0.25">
      <c r="A6992" t="str">
        <f>"1130174M00027    00"</f>
        <v>1130174M00027    00</v>
      </c>
      <c r="B6992" t="s">
        <v>15643</v>
      </c>
      <c r="C6992" t="s">
        <v>15809</v>
      </c>
      <c r="D6992" t="s">
        <v>20</v>
      </c>
      <c r="E6992" t="s">
        <v>39</v>
      </c>
      <c r="F6992">
        <v>0</v>
      </c>
      <c r="G6992">
        <v>0</v>
      </c>
      <c r="H6992">
        <v>15</v>
      </c>
      <c r="I6992" s="3">
        <v>7797.73</v>
      </c>
      <c r="J6992" s="3">
        <v>5826.14</v>
      </c>
      <c r="K6992" t="s">
        <v>15645</v>
      </c>
      <c r="L6992">
        <v>504</v>
      </c>
      <c r="M6992" t="s">
        <v>12143</v>
      </c>
      <c r="N6992" t="s">
        <v>30</v>
      </c>
      <c r="O6992" t="s">
        <v>31</v>
      </c>
      <c r="P6992" t="str">
        <f>"15235"</f>
        <v>15235</v>
      </c>
    </row>
    <row r="6993" spans="1:16" x14ac:dyDescent="0.25">
      <c r="A6993" t="str">
        <f>"1130174M00029    00"</f>
        <v>1130174M00029    00</v>
      </c>
      <c r="B6993" t="s">
        <v>15643</v>
      </c>
      <c r="C6993" t="s">
        <v>15810</v>
      </c>
      <c r="D6993" t="s">
        <v>20</v>
      </c>
      <c r="E6993" t="s">
        <v>39</v>
      </c>
      <c r="F6993">
        <v>0</v>
      </c>
      <c r="G6993">
        <v>0</v>
      </c>
      <c r="H6993">
        <v>12</v>
      </c>
      <c r="I6993" s="3">
        <v>5585.6</v>
      </c>
      <c r="J6993" s="3">
        <v>2741.14</v>
      </c>
      <c r="K6993" t="s">
        <v>15645</v>
      </c>
      <c r="L6993">
        <v>504</v>
      </c>
      <c r="M6993" t="s">
        <v>12143</v>
      </c>
      <c r="N6993" t="s">
        <v>30</v>
      </c>
      <c r="O6993" t="s">
        <v>31</v>
      </c>
      <c r="P6993" t="str">
        <f>"15235"</f>
        <v>15235</v>
      </c>
    </row>
    <row r="6994" spans="1:16" x14ac:dyDescent="0.25">
      <c r="A6994" t="str">
        <f>"1130174M00033    00"</f>
        <v>1130174M00033    00</v>
      </c>
      <c r="B6994" t="s">
        <v>15811</v>
      </c>
      <c r="C6994" t="s">
        <v>14853</v>
      </c>
      <c r="D6994" t="s">
        <v>20</v>
      </c>
      <c r="E6994" t="s">
        <v>21</v>
      </c>
      <c r="F6994">
        <v>0</v>
      </c>
      <c r="G6994">
        <v>0</v>
      </c>
      <c r="H6994">
        <v>19</v>
      </c>
      <c r="I6994" s="3">
        <v>8737.64</v>
      </c>
      <c r="J6994" s="3">
        <v>10028.01</v>
      </c>
      <c r="M6994" t="s">
        <v>15812</v>
      </c>
      <c r="N6994" t="s">
        <v>30</v>
      </c>
      <c r="O6994" t="s">
        <v>31</v>
      </c>
      <c r="P6994" t="str">
        <f>"15233"</f>
        <v>15233</v>
      </c>
    </row>
    <row r="6995" spans="1:16" x14ac:dyDescent="0.25">
      <c r="A6995" t="str">
        <f>"1130174M00040    00"</f>
        <v>1130174M00040    00</v>
      </c>
      <c r="B6995" t="s">
        <v>15813</v>
      </c>
      <c r="C6995" t="s">
        <v>15814</v>
      </c>
      <c r="D6995" t="s">
        <v>20</v>
      </c>
      <c r="E6995" t="s">
        <v>39</v>
      </c>
      <c r="F6995">
        <v>0</v>
      </c>
      <c r="G6995">
        <v>0</v>
      </c>
      <c r="H6995">
        <v>17</v>
      </c>
      <c r="I6995" s="3">
        <v>2948.72</v>
      </c>
      <c r="J6995" s="3">
        <v>2554.44</v>
      </c>
      <c r="L6995">
        <v>9837</v>
      </c>
      <c r="M6995" t="s">
        <v>15815</v>
      </c>
      <c r="N6995" t="s">
        <v>15816</v>
      </c>
      <c r="O6995" t="s">
        <v>370</v>
      </c>
      <c r="P6995" t="str">
        <f>"34668"</f>
        <v>34668</v>
      </c>
    </row>
    <row r="6996" spans="1:16" x14ac:dyDescent="0.25">
      <c r="A6996" t="str">
        <f>"1130174M00044    00"</f>
        <v>1130174M00044    00</v>
      </c>
      <c r="B6996" t="s">
        <v>15817</v>
      </c>
      <c r="C6996" t="s">
        <v>15818</v>
      </c>
      <c r="D6996" t="s">
        <v>20</v>
      </c>
      <c r="E6996" t="s">
        <v>39</v>
      </c>
      <c r="F6996">
        <v>0</v>
      </c>
      <c r="G6996">
        <v>0</v>
      </c>
      <c r="H6996">
        <v>5</v>
      </c>
      <c r="I6996" s="3">
        <v>163.65</v>
      </c>
      <c r="J6996" s="3">
        <v>28.81</v>
      </c>
      <c r="L6996">
        <v>1020</v>
      </c>
      <c r="M6996" t="s">
        <v>13892</v>
      </c>
      <c r="N6996" t="s">
        <v>30</v>
      </c>
      <c r="O6996" t="s">
        <v>31</v>
      </c>
      <c r="P6996" t="str">
        <f>"15221"</f>
        <v>15221</v>
      </c>
    </row>
    <row r="6997" spans="1:16" x14ac:dyDescent="0.25">
      <c r="A6997" t="str">
        <f>"1130174M00045    00"</f>
        <v>1130174M00045    00</v>
      </c>
      <c r="B6997" t="s">
        <v>15819</v>
      </c>
      <c r="C6997" t="s">
        <v>15820</v>
      </c>
      <c r="D6997" t="s">
        <v>20</v>
      </c>
      <c r="E6997" t="s">
        <v>39</v>
      </c>
      <c r="F6997">
        <v>0</v>
      </c>
      <c r="G6997">
        <v>0</v>
      </c>
      <c r="H6997">
        <v>4</v>
      </c>
      <c r="I6997" s="3">
        <v>862.45</v>
      </c>
      <c r="J6997" s="3">
        <v>0</v>
      </c>
      <c r="L6997">
        <v>1024</v>
      </c>
      <c r="M6997" t="s">
        <v>15408</v>
      </c>
      <c r="N6997" t="s">
        <v>30</v>
      </c>
      <c r="O6997" t="s">
        <v>31</v>
      </c>
      <c r="P6997" t="str">
        <f>"15221"</f>
        <v>15221</v>
      </c>
    </row>
    <row r="6998" spans="1:16" x14ac:dyDescent="0.25">
      <c r="A6998" t="str">
        <f>"1130174M00045A   00"</f>
        <v>1130174M00045A   00</v>
      </c>
      <c r="B6998" t="s">
        <v>15821</v>
      </c>
      <c r="C6998" t="s">
        <v>15822</v>
      </c>
      <c r="D6998" t="s">
        <v>20</v>
      </c>
      <c r="E6998" t="s">
        <v>39</v>
      </c>
      <c r="F6998">
        <v>0</v>
      </c>
      <c r="G6998">
        <v>0</v>
      </c>
      <c r="H6998">
        <v>1</v>
      </c>
      <c r="I6998" s="3">
        <v>371.68</v>
      </c>
      <c r="J6998" s="3">
        <v>0</v>
      </c>
      <c r="K6998" t="s">
        <v>15823</v>
      </c>
      <c r="L6998">
        <v>936</v>
      </c>
      <c r="M6998" t="s">
        <v>4053</v>
      </c>
      <c r="N6998" t="s">
        <v>30</v>
      </c>
      <c r="O6998" t="s">
        <v>31</v>
      </c>
      <c r="P6998" t="str">
        <f>"15201"</f>
        <v>15201</v>
      </c>
    </row>
    <row r="6999" spans="1:16" x14ac:dyDescent="0.25">
      <c r="A6999" t="str">
        <f>"1130174M00050    00"</f>
        <v>1130174M00050    00</v>
      </c>
      <c r="B6999" t="s">
        <v>15824</v>
      </c>
      <c r="C6999" t="s">
        <v>15825</v>
      </c>
      <c r="D6999" t="s">
        <v>20</v>
      </c>
      <c r="E6999" t="s">
        <v>39</v>
      </c>
      <c r="F6999">
        <v>0</v>
      </c>
      <c r="G6999">
        <v>0</v>
      </c>
      <c r="H6999">
        <v>17</v>
      </c>
      <c r="I6999" s="3">
        <v>7655.88</v>
      </c>
      <c r="J6999" s="3">
        <v>7765.11</v>
      </c>
      <c r="L6999">
        <v>1043</v>
      </c>
      <c r="M6999" t="s">
        <v>13892</v>
      </c>
      <c r="N6999" t="s">
        <v>30</v>
      </c>
      <c r="O6999" t="s">
        <v>31</v>
      </c>
      <c r="P6999" t="str">
        <f>"15221"</f>
        <v>15221</v>
      </c>
    </row>
    <row r="7000" spans="1:16" x14ac:dyDescent="0.25">
      <c r="A7000" t="str">
        <f>"1130174M00052    00"</f>
        <v>1130174M00052    00</v>
      </c>
      <c r="B7000" t="s">
        <v>15826</v>
      </c>
      <c r="C7000" t="s">
        <v>14853</v>
      </c>
      <c r="D7000" t="s">
        <v>20</v>
      </c>
      <c r="E7000" t="s">
        <v>39</v>
      </c>
      <c r="F7000">
        <v>0</v>
      </c>
      <c r="G7000">
        <v>0</v>
      </c>
      <c r="H7000">
        <v>17</v>
      </c>
      <c r="I7000" s="3">
        <v>2927.79</v>
      </c>
      <c r="J7000" s="3">
        <v>3827.98</v>
      </c>
      <c r="L7000">
        <v>7617</v>
      </c>
      <c r="M7000" t="s">
        <v>4452</v>
      </c>
      <c r="N7000" t="s">
        <v>30</v>
      </c>
      <c r="O7000" t="s">
        <v>31</v>
      </c>
      <c r="P7000" t="str">
        <f>"15208"</f>
        <v>15208</v>
      </c>
    </row>
    <row r="7001" spans="1:16" x14ac:dyDescent="0.25">
      <c r="A7001" t="str">
        <f>"1130174M00053    00"</f>
        <v>1130174M00053    00</v>
      </c>
      <c r="B7001" t="s">
        <v>15827</v>
      </c>
      <c r="C7001" t="s">
        <v>15828</v>
      </c>
      <c r="D7001" t="s">
        <v>20</v>
      </c>
      <c r="E7001" t="s">
        <v>39</v>
      </c>
      <c r="F7001">
        <v>0</v>
      </c>
      <c r="G7001">
        <v>0</v>
      </c>
      <c r="H7001">
        <v>17</v>
      </c>
      <c r="I7001" s="3">
        <v>5402.33</v>
      </c>
      <c r="J7001" s="3">
        <v>3432.93</v>
      </c>
      <c r="L7001">
        <v>4725</v>
      </c>
      <c r="M7001" t="s">
        <v>15829</v>
      </c>
      <c r="N7001" t="s">
        <v>526</v>
      </c>
      <c r="O7001" t="s">
        <v>527</v>
      </c>
      <c r="P7001" t="str">
        <f>"20011"</f>
        <v>20011</v>
      </c>
    </row>
    <row r="7002" spans="1:16" x14ac:dyDescent="0.25">
      <c r="A7002" t="str">
        <f>"1130174M00057    00"</f>
        <v>1130174M00057    00</v>
      </c>
      <c r="B7002" t="s">
        <v>15830</v>
      </c>
      <c r="C7002" t="s">
        <v>15831</v>
      </c>
      <c r="E7002" t="s">
        <v>39</v>
      </c>
      <c r="F7002">
        <v>0</v>
      </c>
      <c r="G7002">
        <v>0</v>
      </c>
      <c r="H7002">
        <v>1</v>
      </c>
      <c r="I7002" s="3">
        <v>74.34</v>
      </c>
      <c r="J7002" s="3">
        <v>14.88</v>
      </c>
      <c r="K7002" t="s">
        <v>15832</v>
      </c>
      <c r="L7002">
        <v>1257</v>
      </c>
      <c r="M7002" t="s">
        <v>15833</v>
      </c>
      <c r="N7002" t="s">
        <v>15834</v>
      </c>
      <c r="O7002" t="s">
        <v>606</v>
      </c>
      <c r="P7002" t="str">
        <f>"30296"</f>
        <v>30296</v>
      </c>
    </row>
    <row r="7003" spans="1:16" x14ac:dyDescent="0.25">
      <c r="A7003" t="str">
        <f>"1130174M00061    00"</f>
        <v>1130174M00061    00</v>
      </c>
      <c r="B7003" t="s">
        <v>15835</v>
      </c>
      <c r="C7003" t="s">
        <v>15836</v>
      </c>
      <c r="D7003" t="s">
        <v>20</v>
      </c>
      <c r="E7003" t="s">
        <v>39</v>
      </c>
      <c r="F7003">
        <v>0</v>
      </c>
      <c r="G7003">
        <v>0</v>
      </c>
      <c r="H7003">
        <v>7</v>
      </c>
      <c r="I7003" s="3">
        <v>246.76</v>
      </c>
      <c r="J7003" s="3">
        <v>74.81</v>
      </c>
      <c r="L7003">
        <v>1023</v>
      </c>
      <c r="M7003" t="s">
        <v>15408</v>
      </c>
      <c r="N7003" t="s">
        <v>30</v>
      </c>
      <c r="O7003" t="s">
        <v>31</v>
      </c>
      <c r="P7003" t="str">
        <f>"15221"</f>
        <v>15221</v>
      </c>
    </row>
    <row r="7004" spans="1:16" x14ac:dyDescent="0.25">
      <c r="A7004" t="str">
        <f>"1130174M00062    00"</f>
        <v>1130174M00062    00</v>
      </c>
      <c r="B7004" t="s">
        <v>15837</v>
      </c>
      <c r="C7004" t="s">
        <v>14853</v>
      </c>
      <c r="D7004" t="s">
        <v>20</v>
      </c>
      <c r="E7004" t="s">
        <v>39</v>
      </c>
      <c r="F7004">
        <v>0</v>
      </c>
      <c r="G7004">
        <v>0</v>
      </c>
      <c r="H7004">
        <v>19</v>
      </c>
      <c r="I7004" s="3">
        <v>1762.95</v>
      </c>
      <c r="J7004" s="3">
        <v>1899.33</v>
      </c>
      <c r="K7004" t="s">
        <v>1008</v>
      </c>
      <c r="P7004" t="str">
        <f>""</f>
        <v/>
      </c>
    </row>
    <row r="7005" spans="1:16" x14ac:dyDescent="0.25">
      <c r="A7005" t="str">
        <f>"1130174M00067000100"</f>
        <v>1130174M00067000100</v>
      </c>
      <c r="B7005" t="s">
        <v>15838</v>
      </c>
      <c r="C7005" t="s">
        <v>15839</v>
      </c>
      <c r="D7005" t="s">
        <v>20</v>
      </c>
      <c r="E7005" t="s">
        <v>39</v>
      </c>
      <c r="F7005">
        <v>0</v>
      </c>
      <c r="G7005">
        <v>0</v>
      </c>
      <c r="H7005">
        <v>14</v>
      </c>
      <c r="I7005" s="3">
        <v>3210.01</v>
      </c>
      <c r="J7005" s="3">
        <v>1684.5</v>
      </c>
      <c r="L7005">
        <v>1009</v>
      </c>
      <c r="M7005" t="s">
        <v>13892</v>
      </c>
      <c r="N7005" t="s">
        <v>30</v>
      </c>
      <c r="O7005" t="s">
        <v>31</v>
      </c>
      <c r="P7005" t="str">
        <f>"15221"</f>
        <v>15221</v>
      </c>
    </row>
    <row r="7006" spans="1:16" x14ac:dyDescent="0.25">
      <c r="A7006" t="str">
        <f>"1130174M00071    00"</f>
        <v>1130174M00071    00</v>
      </c>
      <c r="B7006" t="s">
        <v>15840</v>
      </c>
      <c r="C7006" t="s">
        <v>14853</v>
      </c>
      <c r="D7006" t="s">
        <v>20</v>
      </c>
      <c r="E7006" t="s">
        <v>39</v>
      </c>
      <c r="F7006">
        <v>0</v>
      </c>
      <c r="G7006">
        <v>0</v>
      </c>
      <c r="H7006">
        <v>19</v>
      </c>
      <c r="I7006" s="3">
        <v>2034.61</v>
      </c>
      <c r="J7006" s="3">
        <v>2110.2800000000002</v>
      </c>
      <c r="K7006" t="s">
        <v>15841</v>
      </c>
      <c r="M7006" t="s">
        <v>15842</v>
      </c>
      <c r="N7006" t="s">
        <v>15843</v>
      </c>
      <c r="O7006" t="s">
        <v>31</v>
      </c>
      <c r="P7006" t="str">
        <f>"16603"</f>
        <v>16603</v>
      </c>
    </row>
    <row r="7007" spans="1:16" x14ac:dyDescent="0.25">
      <c r="A7007" t="str">
        <f>"1130174M00072    00"</f>
        <v>1130174M00072    00</v>
      </c>
      <c r="B7007" t="s">
        <v>15844</v>
      </c>
      <c r="C7007" t="s">
        <v>14853</v>
      </c>
      <c r="D7007" t="s">
        <v>20</v>
      </c>
      <c r="E7007" t="s">
        <v>39</v>
      </c>
      <c r="F7007">
        <v>0</v>
      </c>
      <c r="G7007">
        <v>0</v>
      </c>
      <c r="H7007">
        <v>19</v>
      </c>
      <c r="I7007" s="3">
        <v>1787.59</v>
      </c>
      <c r="J7007" s="3">
        <v>1934.76</v>
      </c>
      <c r="P7007" t="str">
        <f>""</f>
        <v/>
      </c>
    </row>
    <row r="7008" spans="1:16" x14ac:dyDescent="0.25">
      <c r="A7008" t="str">
        <f>"1130174M00074    00"</f>
        <v>1130174M00074    00</v>
      </c>
      <c r="B7008" t="s">
        <v>15845</v>
      </c>
      <c r="C7008" t="s">
        <v>14853</v>
      </c>
      <c r="D7008" t="s">
        <v>20</v>
      </c>
      <c r="E7008" t="s">
        <v>39</v>
      </c>
      <c r="F7008">
        <v>0</v>
      </c>
      <c r="G7008">
        <v>0</v>
      </c>
      <c r="H7008">
        <v>19</v>
      </c>
      <c r="I7008" s="3">
        <v>4897.92</v>
      </c>
      <c r="J7008" s="3">
        <v>6159.94</v>
      </c>
      <c r="M7008" t="s">
        <v>11611</v>
      </c>
      <c r="N7008" t="s">
        <v>30</v>
      </c>
      <c r="O7008" t="s">
        <v>31</v>
      </c>
      <c r="P7008" t="str">
        <f>"15235"</f>
        <v>15235</v>
      </c>
    </row>
    <row r="7009" spans="1:16" x14ac:dyDescent="0.25">
      <c r="A7009" t="str">
        <f>"1130174M00075    00"</f>
        <v>1130174M00075    00</v>
      </c>
      <c r="B7009" t="s">
        <v>15846</v>
      </c>
      <c r="C7009" t="s">
        <v>15847</v>
      </c>
      <c r="D7009" t="s">
        <v>20</v>
      </c>
      <c r="E7009" t="s">
        <v>39</v>
      </c>
      <c r="F7009">
        <v>0</v>
      </c>
      <c r="G7009">
        <v>0</v>
      </c>
      <c r="H7009">
        <v>3</v>
      </c>
      <c r="I7009" s="3">
        <v>1549.59</v>
      </c>
      <c r="J7009" s="3">
        <v>103.3</v>
      </c>
      <c r="K7009" t="s">
        <v>445</v>
      </c>
      <c r="L7009">
        <v>1</v>
      </c>
      <c r="M7009" t="s">
        <v>1163</v>
      </c>
      <c r="N7009" t="s">
        <v>1164</v>
      </c>
      <c r="O7009" t="s">
        <v>108</v>
      </c>
      <c r="P7009" t="str">
        <f>"76262"</f>
        <v>76262</v>
      </c>
    </row>
    <row r="7010" spans="1:16" x14ac:dyDescent="0.25">
      <c r="A7010" t="str">
        <f>"1130174M00077    00"</f>
        <v>1130174M00077    00</v>
      </c>
      <c r="B7010" t="s">
        <v>15848</v>
      </c>
      <c r="C7010" t="s">
        <v>14853</v>
      </c>
      <c r="D7010" t="s">
        <v>20</v>
      </c>
      <c r="E7010" t="s">
        <v>39</v>
      </c>
      <c r="F7010">
        <v>0</v>
      </c>
      <c r="G7010">
        <v>0</v>
      </c>
      <c r="H7010">
        <v>18</v>
      </c>
      <c r="I7010" s="3">
        <v>2112.2600000000002</v>
      </c>
      <c r="J7010" s="3">
        <v>2276.2199999999998</v>
      </c>
      <c r="L7010">
        <v>11013</v>
      </c>
      <c r="M7010" t="s">
        <v>11933</v>
      </c>
      <c r="N7010" t="s">
        <v>30</v>
      </c>
      <c r="O7010" t="s">
        <v>31</v>
      </c>
      <c r="P7010" t="str">
        <f>"15235"</f>
        <v>15235</v>
      </c>
    </row>
    <row r="7011" spans="1:16" x14ac:dyDescent="0.25">
      <c r="A7011" t="str">
        <f>"1130174M00080    00"</f>
        <v>1130174M00080    00</v>
      </c>
      <c r="B7011" t="s">
        <v>15849</v>
      </c>
      <c r="C7011" t="s">
        <v>14853</v>
      </c>
      <c r="D7011" t="s">
        <v>20</v>
      </c>
      <c r="E7011" t="s">
        <v>39</v>
      </c>
      <c r="F7011">
        <v>0</v>
      </c>
      <c r="G7011">
        <v>0</v>
      </c>
      <c r="H7011">
        <v>17</v>
      </c>
      <c r="I7011" s="3">
        <v>2483.7800000000002</v>
      </c>
      <c r="J7011" s="3">
        <v>3109.82</v>
      </c>
      <c r="L7011">
        <v>1409</v>
      </c>
      <c r="M7011" t="s">
        <v>15850</v>
      </c>
      <c r="N7011" t="s">
        <v>30</v>
      </c>
      <c r="O7011" t="s">
        <v>31</v>
      </c>
      <c r="P7011" t="str">
        <f>"15221"</f>
        <v>15221</v>
      </c>
    </row>
    <row r="7012" spans="1:16" x14ac:dyDescent="0.25">
      <c r="A7012" t="str">
        <f>"1130174M00082    00"</f>
        <v>1130174M00082    00</v>
      </c>
      <c r="B7012" t="s">
        <v>13756</v>
      </c>
      <c r="C7012" t="s">
        <v>15851</v>
      </c>
      <c r="D7012" t="s">
        <v>20</v>
      </c>
      <c r="E7012" t="s">
        <v>39</v>
      </c>
      <c r="F7012">
        <v>0</v>
      </c>
      <c r="G7012">
        <v>0</v>
      </c>
      <c r="H7012">
        <v>5</v>
      </c>
      <c r="I7012" s="3">
        <v>1039.99</v>
      </c>
      <c r="J7012" s="3">
        <v>27.6</v>
      </c>
      <c r="K7012" t="s">
        <v>13758</v>
      </c>
      <c r="L7012">
        <v>1800</v>
      </c>
      <c r="M7012" t="s">
        <v>15852</v>
      </c>
      <c r="N7012" t="s">
        <v>30</v>
      </c>
      <c r="O7012" t="s">
        <v>31</v>
      </c>
      <c r="P7012" t="str">
        <f>"15217"</f>
        <v>15217</v>
      </c>
    </row>
    <row r="7013" spans="1:16" x14ac:dyDescent="0.25">
      <c r="A7013" t="str">
        <f>"1130174M00084    00"</f>
        <v>1130174M00084    00</v>
      </c>
      <c r="B7013" t="s">
        <v>15853</v>
      </c>
      <c r="C7013" t="s">
        <v>12265</v>
      </c>
      <c r="D7013" t="s">
        <v>20</v>
      </c>
      <c r="E7013" t="s">
        <v>39</v>
      </c>
      <c r="F7013">
        <v>0</v>
      </c>
      <c r="G7013">
        <v>0</v>
      </c>
      <c r="H7013">
        <v>6</v>
      </c>
      <c r="I7013" s="3">
        <v>503.38</v>
      </c>
      <c r="J7013" s="3">
        <v>114.84</v>
      </c>
      <c r="L7013">
        <v>2126</v>
      </c>
      <c r="M7013" t="s">
        <v>15854</v>
      </c>
      <c r="N7013" t="s">
        <v>30</v>
      </c>
      <c r="O7013" t="s">
        <v>31</v>
      </c>
      <c r="P7013" t="str">
        <f>"15216"</f>
        <v>15216</v>
      </c>
    </row>
    <row r="7014" spans="1:16" x14ac:dyDescent="0.25">
      <c r="A7014" t="str">
        <f>"1130174M00154    00"</f>
        <v>1130174M00154    00</v>
      </c>
      <c r="B7014" t="s">
        <v>15855</v>
      </c>
      <c r="C7014" t="s">
        <v>14848</v>
      </c>
      <c r="D7014" t="s">
        <v>20</v>
      </c>
      <c r="E7014" t="s">
        <v>39</v>
      </c>
      <c r="F7014">
        <v>0</v>
      </c>
      <c r="G7014">
        <v>0</v>
      </c>
      <c r="H7014">
        <v>8</v>
      </c>
      <c r="I7014" s="3">
        <v>812.26</v>
      </c>
      <c r="J7014" s="3">
        <v>287.01</v>
      </c>
      <c r="K7014" t="s">
        <v>15856</v>
      </c>
      <c r="L7014">
        <v>916</v>
      </c>
      <c r="M7014" t="s">
        <v>15857</v>
      </c>
      <c r="N7014" t="s">
        <v>30</v>
      </c>
      <c r="O7014" t="s">
        <v>31</v>
      </c>
      <c r="P7014" t="str">
        <f>"15208"</f>
        <v>15208</v>
      </c>
    </row>
    <row r="7015" spans="1:16" x14ac:dyDescent="0.25">
      <c r="A7015" t="str">
        <f>"1130174M00157    00"</f>
        <v>1130174M00157    00</v>
      </c>
      <c r="B7015" t="s">
        <v>15858</v>
      </c>
      <c r="C7015" t="s">
        <v>14848</v>
      </c>
      <c r="D7015" t="s">
        <v>20</v>
      </c>
      <c r="E7015" t="s">
        <v>39</v>
      </c>
      <c r="F7015">
        <v>0</v>
      </c>
      <c r="G7015">
        <v>0</v>
      </c>
      <c r="H7015">
        <v>19</v>
      </c>
      <c r="I7015" s="3">
        <v>796.31</v>
      </c>
      <c r="J7015" s="3">
        <v>594.53</v>
      </c>
      <c r="K7015" t="s">
        <v>15859</v>
      </c>
      <c r="P7015" t="str">
        <f>""</f>
        <v/>
      </c>
    </row>
    <row r="7016" spans="1:16" x14ac:dyDescent="0.25">
      <c r="A7016" t="str">
        <f>"1130174M00157A   00"</f>
        <v>1130174M00157A   00</v>
      </c>
      <c r="B7016" t="s">
        <v>15860</v>
      </c>
      <c r="C7016" t="s">
        <v>14848</v>
      </c>
      <c r="D7016" t="s">
        <v>20</v>
      </c>
      <c r="E7016" t="s">
        <v>39</v>
      </c>
      <c r="F7016">
        <v>0</v>
      </c>
      <c r="G7016">
        <v>0</v>
      </c>
      <c r="H7016">
        <v>19</v>
      </c>
      <c r="I7016" s="3">
        <v>784.73</v>
      </c>
      <c r="J7016" s="3">
        <v>549.79</v>
      </c>
      <c r="L7016">
        <v>924</v>
      </c>
      <c r="M7016" t="s">
        <v>15458</v>
      </c>
      <c r="N7016" t="s">
        <v>30</v>
      </c>
      <c r="O7016" t="s">
        <v>31</v>
      </c>
      <c r="P7016" t="str">
        <f>"15208"</f>
        <v>15208</v>
      </c>
    </row>
    <row r="7017" spans="1:16" x14ac:dyDescent="0.25">
      <c r="A7017" t="str">
        <f>"1130174M00158    00"</f>
        <v>1130174M00158    00</v>
      </c>
      <c r="B7017" t="s">
        <v>15861</v>
      </c>
      <c r="C7017" t="s">
        <v>14848</v>
      </c>
      <c r="D7017" t="s">
        <v>20</v>
      </c>
      <c r="E7017" t="s">
        <v>39</v>
      </c>
      <c r="F7017">
        <v>0</v>
      </c>
      <c r="G7017">
        <v>0</v>
      </c>
      <c r="H7017">
        <v>19</v>
      </c>
      <c r="I7017" s="3">
        <v>716.19</v>
      </c>
      <c r="J7017" s="3">
        <v>491.03</v>
      </c>
      <c r="L7017">
        <v>926</v>
      </c>
      <c r="M7017" t="s">
        <v>15458</v>
      </c>
      <c r="N7017" t="s">
        <v>30</v>
      </c>
      <c r="O7017" t="s">
        <v>31</v>
      </c>
      <c r="P7017" t="str">
        <f>"15208"</f>
        <v>15208</v>
      </c>
    </row>
    <row r="7018" spans="1:16" x14ac:dyDescent="0.25">
      <c r="A7018" t="str">
        <f>"1130174M00161    00"</f>
        <v>1130174M00161    00</v>
      </c>
      <c r="B7018" t="s">
        <v>15862</v>
      </c>
      <c r="C7018" t="s">
        <v>15863</v>
      </c>
      <c r="D7018" t="s">
        <v>20</v>
      </c>
      <c r="E7018" t="s">
        <v>39</v>
      </c>
      <c r="F7018">
        <v>0</v>
      </c>
      <c r="G7018">
        <v>0</v>
      </c>
      <c r="H7018">
        <v>19</v>
      </c>
      <c r="I7018" s="3">
        <v>1864.42</v>
      </c>
      <c r="J7018" s="3">
        <v>2065.35</v>
      </c>
      <c r="P7018" t="str">
        <f>""</f>
        <v/>
      </c>
    </row>
    <row r="7019" spans="1:16" x14ac:dyDescent="0.25">
      <c r="A7019" t="str">
        <f>"1130174M00163    00"</f>
        <v>1130174M00163    00</v>
      </c>
      <c r="B7019" t="s">
        <v>15864</v>
      </c>
      <c r="C7019" t="s">
        <v>14848</v>
      </c>
      <c r="D7019" t="s">
        <v>20</v>
      </c>
      <c r="E7019" t="s">
        <v>39</v>
      </c>
      <c r="F7019">
        <v>0</v>
      </c>
      <c r="G7019">
        <v>0</v>
      </c>
      <c r="H7019">
        <v>19</v>
      </c>
      <c r="I7019" s="3">
        <v>2111.19</v>
      </c>
      <c r="J7019" s="3">
        <v>2240.85</v>
      </c>
      <c r="P7019" t="str">
        <f>""</f>
        <v/>
      </c>
    </row>
    <row r="7020" spans="1:16" x14ac:dyDescent="0.25">
      <c r="A7020" t="str">
        <f>"1130174M00165    00"</f>
        <v>1130174M00165    00</v>
      </c>
      <c r="B7020" t="s">
        <v>15865</v>
      </c>
      <c r="C7020" t="s">
        <v>14848</v>
      </c>
      <c r="D7020" t="s">
        <v>20</v>
      </c>
      <c r="E7020" t="s">
        <v>39</v>
      </c>
      <c r="F7020">
        <v>0</v>
      </c>
      <c r="G7020">
        <v>0</v>
      </c>
      <c r="H7020">
        <v>13</v>
      </c>
      <c r="I7020" s="3">
        <v>1771.13</v>
      </c>
      <c r="J7020" s="3">
        <v>1486.37</v>
      </c>
      <c r="L7020">
        <v>2246</v>
      </c>
      <c r="M7020" t="s">
        <v>15866</v>
      </c>
      <c r="N7020" t="s">
        <v>30</v>
      </c>
      <c r="O7020" t="s">
        <v>31</v>
      </c>
      <c r="P7020" t="str">
        <f>"15218"</f>
        <v>15218</v>
      </c>
    </row>
    <row r="7021" spans="1:16" x14ac:dyDescent="0.25">
      <c r="A7021" t="str">
        <f>"1130174M00167    00"</f>
        <v>1130174M00167    00</v>
      </c>
      <c r="B7021" t="s">
        <v>15469</v>
      </c>
      <c r="C7021" t="s">
        <v>14848</v>
      </c>
      <c r="D7021" t="s">
        <v>20</v>
      </c>
      <c r="E7021" t="s">
        <v>39</v>
      </c>
      <c r="F7021">
        <v>0</v>
      </c>
      <c r="G7021">
        <v>0</v>
      </c>
      <c r="H7021">
        <v>19</v>
      </c>
      <c r="I7021" s="3">
        <v>2061.91</v>
      </c>
      <c r="J7021" s="3">
        <v>2169.79</v>
      </c>
      <c r="P7021" t="str">
        <f>""</f>
        <v/>
      </c>
    </row>
    <row r="7022" spans="1:16" x14ac:dyDescent="0.25">
      <c r="A7022" t="str">
        <f>"1130174M00169    00"</f>
        <v>1130174M00169    00</v>
      </c>
      <c r="B7022" t="s">
        <v>15867</v>
      </c>
      <c r="C7022" t="s">
        <v>14848</v>
      </c>
      <c r="D7022" t="s">
        <v>20</v>
      </c>
      <c r="E7022" t="s">
        <v>39</v>
      </c>
      <c r="F7022">
        <v>0</v>
      </c>
      <c r="G7022">
        <v>0</v>
      </c>
      <c r="H7022">
        <v>19</v>
      </c>
      <c r="I7022" s="3">
        <v>2015.29</v>
      </c>
      <c r="J7022" s="3">
        <v>2122.59</v>
      </c>
      <c r="L7022">
        <v>1014</v>
      </c>
      <c r="M7022" t="s">
        <v>2442</v>
      </c>
      <c r="N7022" t="s">
        <v>30</v>
      </c>
      <c r="O7022" t="s">
        <v>31</v>
      </c>
      <c r="P7022" t="str">
        <f>"15208"</f>
        <v>15208</v>
      </c>
    </row>
    <row r="7023" spans="1:16" x14ac:dyDescent="0.25">
      <c r="A7023" t="str">
        <f>"1130174M00170    00"</f>
        <v>1130174M00170    00</v>
      </c>
      <c r="B7023" t="s">
        <v>15868</v>
      </c>
      <c r="C7023" t="s">
        <v>14848</v>
      </c>
      <c r="D7023" t="s">
        <v>20</v>
      </c>
      <c r="E7023" t="s">
        <v>39</v>
      </c>
      <c r="F7023">
        <v>0</v>
      </c>
      <c r="G7023">
        <v>0</v>
      </c>
      <c r="H7023">
        <v>19</v>
      </c>
      <c r="I7023" s="3">
        <v>1760.29</v>
      </c>
      <c r="J7023" s="3">
        <v>1875.29</v>
      </c>
      <c r="L7023">
        <v>1415</v>
      </c>
      <c r="M7023" t="s">
        <v>15869</v>
      </c>
      <c r="N7023" t="s">
        <v>30</v>
      </c>
      <c r="O7023" t="s">
        <v>31</v>
      </c>
      <c r="P7023" t="str">
        <f>"15221"</f>
        <v>15221</v>
      </c>
    </row>
    <row r="7024" spans="1:16" x14ac:dyDescent="0.25">
      <c r="A7024" t="str">
        <f>"1130174M00171    00"</f>
        <v>1130174M00171    00</v>
      </c>
      <c r="B7024" t="s">
        <v>15870</v>
      </c>
      <c r="C7024" t="s">
        <v>15871</v>
      </c>
      <c r="D7024" t="s">
        <v>20</v>
      </c>
      <c r="E7024" t="s">
        <v>39</v>
      </c>
      <c r="F7024">
        <v>0</v>
      </c>
      <c r="G7024">
        <v>0</v>
      </c>
      <c r="H7024">
        <v>19</v>
      </c>
      <c r="I7024" s="3">
        <v>2083.98</v>
      </c>
      <c r="J7024" s="3">
        <v>2181.4299999999998</v>
      </c>
      <c r="L7024">
        <v>5916</v>
      </c>
      <c r="M7024" t="s">
        <v>10021</v>
      </c>
      <c r="N7024" t="s">
        <v>30</v>
      </c>
      <c r="O7024" t="s">
        <v>31</v>
      </c>
      <c r="P7024" t="str">
        <f>"15206"</f>
        <v>15206</v>
      </c>
    </row>
    <row r="7025" spans="1:16" x14ac:dyDescent="0.25">
      <c r="A7025" t="str">
        <f>"1130174M00173    00"</f>
        <v>1130174M00173    00</v>
      </c>
      <c r="B7025" t="s">
        <v>15259</v>
      </c>
      <c r="C7025" t="s">
        <v>14848</v>
      </c>
      <c r="D7025" t="s">
        <v>20</v>
      </c>
      <c r="E7025" t="s">
        <v>39</v>
      </c>
      <c r="F7025">
        <v>0</v>
      </c>
      <c r="G7025">
        <v>0</v>
      </c>
      <c r="H7025">
        <v>19</v>
      </c>
      <c r="I7025" s="3">
        <v>5814.02</v>
      </c>
      <c r="J7025" s="3">
        <v>7445.83</v>
      </c>
      <c r="L7025">
        <v>4288</v>
      </c>
      <c r="M7025" t="s">
        <v>15260</v>
      </c>
      <c r="N7025" t="s">
        <v>30</v>
      </c>
      <c r="O7025" t="s">
        <v>31</v>
      </c>
      <c r="P7025" t="str">
        <f>"15235"</f>
        <v>15235</v>
      </c>
    </row>
    <row r="7026" spans="1:16" x14ac:dyDescent="0.25">
      <c r="A7026" t="str">
        <f>"1130174M00177    00"</f>
        <v>1130174M00177    00</v>
      </c>
      <c r="B7026" t="s">
        <v>15872</v>
      </c>
      <c r="C7026" t="s">
        <v>14848</v>
      </c>
      <c r="D7026" t="s">
        <v>20</v>
      </c>
      <c r="E7026" t="s">
        <v>39</v>
      </c>
      <c r="F7026">
        <v>0</v>
      </c>
      <c r="G7026">
        <v>0</v>
      </c>
      <c r="H7026">
        <v>13</v>
      </c>
      <c r="I7026" s="3">
        <v>752.51</v>
      </c>
      <c r="J7026" s="3">
        <v>915.93</v>
      </c>
      <c r="L7026">
        <v>307</v>
      </c>
      <c r="M7026" t="s">
        <v>15873</v>
      </c>
      <c r="N7026" t="s">
        <v>15874</v>
      </c>
      <c r="O7026" t="s">
        <v>31</v>
      </c>
      <c r="P7026" t="str">
        <f>"15644"</f>
        <v>15644</v>
      </c>
    </row>
    <row r="7027" spans="1:16" x14ac:dyDescent="0.25">
      <c r="A7027" t="str">
        <f>"1130174M00178    00"</f>
        <v>1130174M00178    00</v>
      </c>
      <c r="B7027" t="s">
        <v>2094</v>
      </c>
      <c r="C7027" t="s">
        <v>15863</v>
      </c>
      <c r="D7027" t="s">
        <v>20</v>
      </c>
      <c r="E7027" t="s">
        <v>39</v>
      </c>
      <c r="F7027">
        <v>0</v>
      </c>
      <c r="G7027">
        <v>0</v>
      </c>
      <c r="H7027">
        <v>19</v>
      </c>
      <c r="I7027" s="3">
        <v>828.69</v>
      </c>
      <c r="J7027" s="3">
        <v>573.02</v>
      </c>
      <c r="K7027" t="s">
        <v>1008</v>
      </c>
      <c r="P7027" t="str">
        <f>""</f>
        <v/>
      </c>
    </row>
    <row r="7028" spans="1:16" x14ac:dyDescent="0.25">
      <c r="A7028" t="str">
        <f>"1130174M00181    00"</f>
        <v>1130174M00181    00</v>
      </c>
      <c r="B7028" t="s">
        <v>15875</v>
      </c>
      <c r="C7028" t="s">
        <v>14848</v>
      </c>
      <c r="D7028" t="s">
        <v>20</v>
      </c>
      <c r="E7028" t="s">
        <v>39</v>
      </c>
      <c r="F7028">
        <v>0</v>
      </c>
      <c r="G7028">
        <v>0</v>
      </c>
      <c r="H7028">
        <v>19</v>
      </c>
      <c r="I7028" s="3">
        <v>3121.34</v>
      </c>
      <c r="J7028" s="3">
        <v>3764.45</v>
      </c>
      <c r="L7028">
        <v>7026</v>
      </c>
      <c r="M7028" t="s">
        <v>2451</v>
      </c>
      <c r="N7028" t="s">
        <v>30</v>
      </c>
      <c r="O7028" t="s">
        <v>31</v>
      </c>
      <c r="P7028" t="str">
        <f>"15218"</f>
        <v>15218</v>
      </c>
    </row>
    <row r="7029" spans="1:16" x14ac:dyDescent="0.25">
      <c r="A7029" t="str">
        <f>"1130174M00183    00"</f>
        <v>1130174M00183    00</v>
      </c>
      <c r="B7029" t="s">
        <v>15876</v>
      </c>
      <c r="C7029" t="s">
        <v>14848</v>
      </c>
      <c r="D7029" t="s">
        <v>20</v>
      </c>
      <c r="E7029" t="s">
        <v>39</v>
      </c>
      <c r="F7029">
        <v>0</v>
      </c>
      <c r="G7029">
        <v>0</v>
      </c>
      <c r="H7029">
        <v>19</v>
      </c>
      <c r="I7029" s="3">
        <v>1968.64</v>
      </c>
      <c r="J7029" s="3">
        <v>2075.42</v>
      </c>
      <c r="L7029">
        <v>1029</v>
      </c>
      <c r="M7029" t="s">
        <v>2442</v>
      </c>
      <c r="N7029" t="s">
        <v>30</v>
      </c>
      <c r="O7029" t="s">
        <v>31</v>
      </c>
      <c r="P7029" t="str">
        <f>"15208"</f>
        <v>15208</v>
      </c>
    </row>
    <row r="7030" spans="1:16" x14ac:dyDescent="0.25">
      <c r="A7030" t="str">
        <f>"1130174M00184    00"</f>
        <v>1130174M00184    00</v>
      </c>
      <c r="B7030" t="s">
        <v>15877</v>
      </c>
      <c r="C7030" t="s">
        <v>14848</v>
      </c>
      <c r="D7030" t="s">
        <v>20</v>
      </c>
      <c r="E7030" t="s">
        <v>39</v>
      </c>
      <c r="F7030">
        <v>0</v>
      </c>
      <c r="G7030">
        <v>0</v>
      </c>
      <c r="H7030">
        <v>19</v>
      </c>
      <c r="I7030" s="3">
        <v>975.74</v>
      </c>
      <c r="J7030" s="3">
        <v>670.53</v>
      </c>
      <c r="L7030">
        <v>3301</v>
      </c>
      <c r="M7030" t="s">
        <v>15878</v>
      </c>
      <c r="N7030" t="s">
        <v>30</v>
      </c>
      <c r="O7030" t="s">
        <v>31</v>
      </c>
      <c r="P7030" t="str">
        <f>"15217"</f>
        <v>15217</v>
      </c>
    </row>
    <row r="7031" spans="1:16" x14ac:dyDescent="0.25">
      <c r="A7031" t="str">
        <f>"1130174M00185    00"</f>
        <v>1130174M00185    00</v>
      </c>
      <c r="B7031" t="s">
        <v>15879</v>
      </c>
      <c r="C7031" t="s">
        <v>14848</v>
      </c>
      <c r="D7031" t="s">
        <v>20</v>
      </c>
      <c r="E7031" t="s">
        <v>39</v>
      </c>
      <c r="F7031">
        <v>0</v>
      </c>
      <c r="G7031">
        <v>0</v>
      </c>
      <c r="H7031">
        <v>19</v>
      </c>
      <c r="I7031" s="3">
        <v>953.49</v>
      </c>
      <c r="J7031" s="3">
        <v>655.15</v>
      </c>
      <c r="M7031" t="s">
        <v>15880</v>
      </c>
      <c r="N7031" t="s">
        <v>30</v>
      </c>
      <c r="O7031" t="s">
        <v>31</v>
      </c>
      <c r="P7031" t="str">
        <f>"15208"</f>
        <v>15208</v>
      </c>
    </row>
    <row r="7032" spans="1:16" x14ac:dyDescent="0.25">
      <c r="A7032" t="str">
        <f>"1130174M00186    00"</f>
        <v>1130174M00186    00</v>
      </c>
      <c r="B7032" t="s">
        <v>15881</v>
      </c>
      <c r="C7032" t="s">
        <v>14848</v>
      </c>
      <c r="E7032" t="s">
        <v>39</v>
      </c>
      <c r="F7032">
        <v>0</v>
      </c>
      <c r="G7032">
        <v>0</v>
      </c>
      <c r="H7032">
        <v>13</v>
      </c>
      <c r="I7032" s="3">
        <v>472.2</v>
      </c>
      <c r="J7032" s="3">
        <v>325.27999999999997</v>
      </c>
      <c r="L7032">
        <v>40</v>
      </c>
      <c r="M7032" t="s">
        <v>15882</v>
      </c>
      <c r="N7032" t="s">
        <v>6718</v>
      </c>
      <c r="O7032" t="s">
        <v>692</v>
      </c>
      <c r="P7032" t="str">
        <f>"22554"</f>
        <v>22554</v>
      </c>
    </row>
    <row r="7033" spans="1:16" x14ac:dyDescent="0.25">
      <c r="A7033" t="str">
        <f>"1130174M00187    00"</f>
        <v>1130174M00187    00</v>
      </c>
      <c r="B7033" t="s">
        <v>15883</v>
      </c>
      <c r="C7033" t="s">
        <v>14848</v>
      </c>
      <c r="D7033" t="s">
        <v>20</v>
      </c>
      <c r="E7033" t="s">
        <v>39</v>
      </c>
      <c r="F7033">
        <v>0</v>
      </c>
      <c r="G7033">
        <v>0</v>
      </c>
      <c r="H7033">
        <v>19</v>
      </c>
      <c r="I7033" s="3">
        <v>716.19</v>
      </c>
      <c r="J7033" s="3">
        <v>491.03</v>
      </c>
      <c r="K7033" t="s">
        <v>1008</v>
      </c>
      <c r="P7033" t="str">
        <f>""</f>
        <v/>
      </c>
    </row>
    <row r="7034" spans="1:16" x14ac:dyDescent="0.25">
      <c r="A7034" t="str">
        <f>"1130174M00189    00"</f>
        <v>1130174M00189    00</v>
      </c>
      <c r="B7034" t="s">
        <v>15884</v>
      </c>
      <c r="C7034" t="s">
        <v>15871</v>
      </c>
      <c r="D7034" t="s">
        <v>20</v>
      </c>
      <c r="E7034" t="s">
        <v>39</v>
      </c>
      <c r="F7034">
        <v>0</v>
      </c>
      <c r="G7034">
        <v>0</v>
      </c>
      <c r="H7034">
        <v>19</v>
      </c>
      <c r="I7034" s="3">
        <v>606.04</v>
      </c>
      <c r="J7034" s="3">
        <v>398.01</v>
      </c>
      <c r="L7034">
        <v>7243</v>
      </c>
      <c r="M7034" t="s">
        <v>4026</v>
      </c>
      <c r="N7034" t="s">
        <v>30</v>
      </c>
      <c r="O7034" t="s">
        <v>31</v>
      </c>
      <c r="P7034" t="str">
        <f>"15235"</f>
        <v>15235</v>
      </c>
    </row>
    <row r="7035" spans="1:16" x14ac:dyDescent="0.25">
      <c r="A7035" t="str">
        <f>"1130174M00192    00"</f>
        <v>1130174M00192    00</v>
      </c>
      <c r="B7035" t="s">
        <v>15885</v>
      </c>
      <c r="C7035" t="s">
        <v>14848</v>
      </c>
      <c r="E7035" t="s">
        <v>39</v>
      </c>
      <c r="F7035">
        <v>0</v>
      </c>
      <c r="G7035">
        <v>0</v>
      </c>
      <c r="H7035">
        <v>12</v>
      </c>
      <c r="I7035" s="3">
        <v>2311.3200000000002</v>
      </c>
      <c r="J7035" s="3">
        <v>3315.54</v>
      </c>
      <c r="K7035" t="s">
        <v>15886</v>
      </c>
      <c r="L7035">
        <v>7609</v>
      </c>
      <c r="M7035" t="s">
        <v>15887</v>
      </c>
      <c r="N7035" t="s">
        <v>30</v>
      </c>
      <c r="O7035" t="s">
        <v>31</v>
      </c>
      <c r="P7035" t="str">
        <f>"15221"</f>
        <v>15221</v>
      </c>
    </row>
    <row r="7036" spans="1:16" x14ac:dyDescent="0.25">
      <c r="A7036" t="str">
        <f>"1130174M00194    00"</f>
        <v>1130174M00194    00</v>
      </c>
      <c r="B7036" t="s">
        <v>15888</v>
      </c>
      <c r="C7036" t="s">
        <v>15889</v>
      </c>
      <c r="D7036" t="s">
        <v>20</v>
      </c>
      <c r="E7036" t="s">
        <v>39</v>
      </c>
      <c r="F7036">
        <v>0</v>
      </c>
      <c r="G7036">
        <v>0</v>
      </c>
      <c r="H7036">
        <v>2</v>
      </c>
      <c r="I7036" s="3">
        <v>826.09</v>
      </c>
      <c r="J7036" s="3">
        <v>0</v>
      </c>
      <c r="K7036" t="s">
        <v>15890</v>
      </c>
      <c r="L7036">
        <v>1302</v>
      </c>
      <c r="M7036" t="s">
        <v>15891</v>
      </c>
      <c r="N7036" t="s">
        <v>30</v>
      </c>
      <c r="O7036" t="s">
        <v>31</v>
      </c>
      <c r="P7036" t="str">
        <f>"15223"</f>
        <v>15223</v>
      </c>
    </row>
    <row r="7037" spans="1:16" x14ac:dyDescent="0.25">
      <c r="A7037" t="str">
        <f>"1130174M00195    00"</f>
        <v>1130174M00195    00</v>
      </c>
      <c r="B7037" t="s">
        <v>15892</v>
      </c>
      <c r="C7037" t="s">
        <v>14848</v>
      </c>
      <c r="D7037" t="s">
        <v>20</v>
      </c>
      <c r="E7037" t="s">
        <v>39</v>
      </c>
      <c r="F7037">
        <v>0</v>
      </c>
      <c r="G7037">
        <v>0</v>
      </c>
      <c r="H7037">
        <v>19</v>
      </c>
      <c r="I7037" s="3">
        <v>1798.45</v>
      </c>
      <c r="J7037" s="3">
        <v>2030.48</v>
      </c>
      <c r="K7037" t="s">
        <v>15893</v>
      </c>
      <c r="L7037">
        <v>1801</v>
      </c>
      <c r="M7037" t="s">
        <v>15894</v>
      </c>
      <c r="N7037" t="s">
        <v>2008</v>
      </c>
      <c r="O7037" t="s">
        <v>31</v>
      </c>
      <c r="P7037" t="str">
        <f>"16066"</f>
        <v>16066</v>
      </c>
    </row>
    <row r="7038" spans="1:16" x14ac:dyDescent="0.25">
      <c r="A7038" t="str">
        <f>"1130174M00196    00"</f>
        <v>1130174M00196    00</v>
      </c>
      <c r="B7038" t="s">
        <v>15895</v>
      </c>
      <c r="C7038" t="s">
        <v>14848</v>
      </c>
      <c r="D7038" t="s">
        <v>20</v>
      </c>
      <c r="E7038" t="s">
        <v>39</v>
      </c>
      <c r="F7038">
        <v>0</v>
      </c>
      <c r="G7038">
        <v>0</v>
      </c>
      <c r="H7038">
        <v>19</v>
      </c>
      <c r="I7038" s="3">
        <v>784.73</v>
      </c>
      <c r="J7038" s="3">
        <v>549.79</v>
      </c>
      <c r="L7038">
        <v>7423</v>
      </c>
      <c r="M7038" t="s">
        <v>12045</v>
      </c>
      <c r="N7038" t="s">
        <v>30</v>
      </c>
      <c r="O7038" t="s">
        <v>31</v>
      </c>
      <c r="P7038" t="str">
        <f>"15208"</f>
        <v>15208</v>
      </c>
    </row>
    <row r="7039" spans="1:16" x14ac:dyDescent="0.25">
      <c r="A7039" t="str">
        <f>"1130174M00197    00"</f>
        <v>1130174M00197    00</v>
      </c>
      <c r="B7039" t="s">
        <v>15896</v>
      </c>
      <c r="C7039" t="s">
        <v>14848</v>
      </c>
      <c r="D7039" t="s">
        <v>20</v>
      </c>
      <c r="E7039" t="s">
        <v>39</v>
      </c>
      <c r="F7039">
        <v>0</v>
      </c>
      <c r="G7039">
        <v>0</v>
      </c>
      <c r="H7039">
        <v>19</v>
      </c>
      <c r="I7039" s="3">
        <v>694.18</v>
      </c>
      <c r="J7039" s="3">
        <v>479.38</v>
      </c>
      <c r="L7039">
        <v>7423</v>
      </c>
      <c r="M7039" t="s">
        <v>12045</v>
      </c>
      <c r="N7039" t="s">
        <v>30</v>
      </c>
      <c r="O7039" t="s">
        <v>31</v>
      </c>
      <c r="P7039" t="str">
        <f>"15208"</f>
        <v>15208</v>
      </c>
    </row>
    <row r="7040" spans="1:16" x14ac:dyDescent="0.25">
      <c r="A7040" t="str">
        <f>"1130174M00200    00"</f>
        <v>1130174M00200    00</v>
      </c>
      <c r="B7040" t="s">
        <v>15897</v>
      </c>
      <c r="C7040" t="s">
        <v>15898</v>
      </c>
      <c r="D7040" t="s">
        <v>20</v>
      </c>
      <c r="E7040" t="s">
        <v>39</v>
      </c>
      <c r="F7040">
        <v>0</v>
      </c>
      <c r="G7040">
        <v>0</v>
      </c>
      <c r="H7040">
        <v>19</v>
      </c>
      <c r="I7040" s="3">
        <v>4917.7700000000004</v>
      </c>
      <c r="J7040" s="3">
        <v>5939.78</v>
      </c>
      <c r="L7040">
        <v>1030</v>
      </c>
      <c r="M7040" t="s">
        <v>15501</v>
      </c>
      <c r="N7040" t="s">
        <v>30</v>
      </c>
      <c r="O7040" t="s">
        <v>31</v>
      </c>
      <c r="P7040" t="str">
        <f>"15208"</f>
        <v>15208</v>
      </c>
    </row>
    <row r="7041" spans="1:16" x14ac:dyDescent="0.25">
      <c r="A7041" t="str">
        <f>"1130174M00201    00"</f>
        <v>1130174M00201    00</v>
      </c>
      <c r="B7041" t="s">
        <v>15899</v>
      </c>
      <c r="C7041" t="s">
        <v>15900</v>
      </c>
      <c r="D7041" t="s">
        <v>20</v>
      </c>
      <c r="E7041" t="s">
        <v>39</v>
      </c>
      <c r="F7041">
        <v>0</v>
      </c>
      <c r="G7041">
        <v>0</v>
      </c>
      <c r="H7041">
        <v>1</v>
      </c>
      <c r="I7041" s="3">
        <v>31.72</v>
      </c>
      <c r="J7041" s="3">
        <v>0</v>
      </c>
      <c r="L7041">
        <v>1032</v>
      </c>
      <c r="M7041" t="s">
        <v>15501</v>
      </c>
      <c r="N7041" t="s">
        <v>30</v>
      </c>
      <c r="O7041" t="s">
        <v>31</v>
      </c>
      <c r="P7041" t="str">
        <f>"15208"</f>
        <v>15208</v>
      </c>
    </row>
    <row r="7042" spans="1:16" x14ac:dyDescent="0.25">
      <c r="A7042" t="str">
        <f>"1130174M00205    00"</f>
        <v>1130174M00205    00</v>
      </c>
      <c r="B7042" t="s">
        <v>15901</v>
      </c>
      <c r="C7042" t="s">
        <v>14843</v>
      </c>
      <c r="D7042" t="s">
        <v>20</v>
      </c>
      <c r="E7042" t="s">
        <v>39</v>
      </c>
      <c r="F7042">
        <v>0</v>
      </c>
      <c r="G7042">
        <v>0</v>
      </c>
      <c r="H7042">
        <v>19</v>
      </c>
      <c r="I7042" s="3">
        <v>738.08</v>
      </c>
      <c r="J7042" s="3">
        <v>502.58</v>
      </c>
      <c r="K7042" t="s">
        <v>1037</v>
      </c>
      <c r="L7042">
        <v>409</v>
      </c>
      <c r="M7042" t="s">
        <v>10747</v>
      </c>
      <c r="N7042" t="s">
        <v>30</v>
      </c>
      <c r="O7042" t="s">
        <v>31</v>
      </c>
      <c r="P7042" t="str">
        <f>"15206"</f>
        <v>15206</v>
      </c>
    </row>
    <row r="7043" spans="1:16" x14ac:dyDescent="0.25">
      <c r="A7043" t="str">
        <f>"1130174M00207    00"</f>
        <v>1130174M00207    00</v>
      </c>
      <c r="B7043" t="s">
        <v>15902</v>
      </c>
      <c r="C7043" t="s">
        <v>14843</v>
      </c>
      <c r="D7043" t="s">
        <v>20</v>
      </c>
      <c r="E7043" t="s">
        <v>39</v>
      </c>
      <c r="F7043">
        <v>0</v>
      </c>
      <c r="G7043">
        <v>0</v>
      </c>
      <c r="H7043">
        <v>19</v>
      </c>
      <c r="I7043" s="3">
        <v>1112.08</v>
      </c>
      <c r="J7043" s="3">
        <v>892.64</v>
      </c>
      <c r="P7043" t="str">
        <f>""</f>
        <v/>
      </c>
    </row>
    <row r="7044" spans="1:16" x14ac:dyDescent="0.25">
      <c r="A7044" t="str">
        <f>"1130174M00208    00"</f>
        <v>1130174M00208    00</v>
      </c>
      <c r="B7044" t="s">
        <v>15903</v>
      </c>
      <c r="C7044" t="s">
        <v>15871</v>
      </c>
      <c r="D7044" t="s">
        <v>20</v>
      </c>
      <c r="E7044" t="s">
        <v>39</v>
      </c>
      <c r="F7044">
        <v>0</v>
      </c>
      <c r="G7044">
        <v>0</v>
      </c>
      <c r="H7044">
        <v>19</v>
      </c>
      <c r="I7044" s="3">
        <v>5258.61</v>
      </c>
      <c r="J7044" s="3">
        <v>6237.18</v>
      </c>
      <c r="P7044" t="str">
        <f>""</f>
        <v/>
      </c>
    </row>
    <row r="7045" spans="1:16" x14ac:dyDescent="0.25">
      <c r="A7045" t="str">
        <f>"1130174M00209    00"</f>
        <v>1130174M00209    00</v>
      </c>
      <c r="B7045" t="s">
        <v>15904</v>
      </c>
      <c r="C7045" t="s">
        <v>14843</v>
      </c>
      <c r="D7045" t="s">
        <v>20</v>
      </c>
      <c r="E7045" t="s">
        <v>39</v>
      </c>
      <c r="F7045">
        <v>0</v>
      </c>
      <c r="G7045">
        <v>0</v>
      </c>
      <c r="H7045">
        <v>19</v>
      </c>
      <c r="I7045" s="3">
        <v>872.59</v>
      </c>
      <c r="J7045" s="3">
        <v>596.26</v>
      </c>
      <c r="K7045" t="s">
        <v>1008</v>
      </c>
      <c r="P7045" t="str">
        <f>""</f>
        <v/>
      </c>
    </row>
    <row r="7046" spans="1:16" x14ac:dyDescent="0.25">
      <c r="A7046" t="str">
        <f>"1130174M00210    00"</f>
        <v>1130174M00210    00</v>
      </c>
      <c r="B7046" t="s">
        <v>15905</v>
      </c>
      <c r="C7046" t="s">
        <v>14843</v>
      </c>
      <c r="D7046" t="s">
        <v>20</v>
      </c>
      <c r="E7046" t="s">
        <v>39</v>
      </c>
      <c r="F7046">
        <v>0</v>
      </c>
      <c r="G7046">
        <v>0</v>
      </c>
      <c r="H7046">
        <v>19</v>
      </c>
      <c r="I7046" s="3">
        <v>1809.66</v>
      </c>
      <c r="J7046" s="3">
        <v>1946.42</v>
      </c>
      <c r="P7046" t="str">
        <f>""</f>
        <v/>
      </c>
    </row>
    <row r="7047" spans="1:16" x14ac:dyDescent="0.25">
      <c r="A7047" t="str">
        <f>"1130174M00211    00"</f>
        <v>1130174M00211    00</v>
      </c>
      <c r="B7047" t="s">
        <v>15906</v>
      </c>
      <c r="C7047" t="s">
        <v>14843</v>
      </c>
      <c r="D7047" t="s">
        <v>20</v>
      </c>
      <c r="E7047" t="s">
        <v>39</v>
      </c>
      <c r="F7047">
        <v>0</v>
      </c>
      <c r="G7047">
        <v>0</v>
      </c>
      <c r="H7047">
        <v>19</v>
      </c>
      <c r="I7047" s="3">
        <v>1809.66</v>
      </c>
      <c r="J7047" s="3">
        <v>1946.42</v>
      </c>
      <c r="L7047">
        <v>10180</v>
      </c>
      <c r="M7047" t="s">
        <v>11939</v>
      </c>
      <c r="N7047" t="s">
        <v>30</v>
      </c>
      <c r="O7047" t="s">
        <v>31</v>
      </c>
      <c r="P7047" t="str">
        <f>"15235"</f>
        <v>15235</v>
      </c>
    </row>
    <row r="7048" spans="1:16" x14ac:dyDescent="0.25">
      <c r="A7048" t="str">
        <f>"1130174M00212    00"</f>
        <v>1130174M00212    00</v>
      </c>
      <c r="B7048" t="s">
        <v>15906</v>
      </c>
      <c r="C7048" t="s">
        <v>14843</v>
      </c>
      <c r="D7048" t="s">
        <v>20</v>
      </c>
      <c r="E7048" t="s">
        <v>39</v>
      </c>
      <c r="F7048">
        <v>0</v>
      </c>
      <c r="G7048">
        <v>0</v>
      </c>
      <c r="H7048">
        <v>19</v>
      </c>
      <c r="I7048" s="3">
        <v>1809.66</v>
      </c>
      <c r="J7048" s="3">
        <v>1946.42</v>
      </c>
      <c r="L7048">
        <v>2007</v>
      </c>
      <c r="M7048" t="s">
        <v>3959</v>
      </c>
      <c r="N7048" t="s">
        <v>30</v>
      </c>
      <c r="O7048" t="s">
        <v>31</v>
      </c>
      <c r="P7048" t="str">
        <f>"15221"</f>
        <v>15221</v>
      </c>
    </row>
    <row r="7049" spans="1:16" x14ac:dyDescent="0.25">
      <c r="A7049" t="str">
        <f>"1130174M00214    00"</f>
        <v>1130174M00214    00</v>
      </c>
      <c r="B7049" t="s">
        <v>15906</v>
      </c>
      <c r="C7049" t="s">
        <v>14843</v>
      </c>
      <c r="D7049" t="s">
        <v>20</v>
      </c>
      <c r="E7049" t="s">
        <v>39</v>
      </c>
      <c r="F7049">
        <v>0</v>
      </c>
      <c r="G7049">
        <v>0</v>
      </c>
      <c r="H7049">
        <v>19</v>
      </c>
      <c r="I7049" s="3">
        <v>1809.66</v>
      </c>
      <c r="J7049" s="3">
        <v>1946.42</v>
      </c>
      <c r="L7049">
        <v>2007</v>
      </c>
      <c r="M7049" t="s">
        <v>3959</v>
      </c>
      <c r="N7049" t="s">
        <v>30</v>
      </c>
      <c r="O7049" t="s">
        <v>31</v>
      </c>
      <c r="P7049" t="str">
        <f>"15221"</f>
        <v>15221</v>
      </c>
    </row>
    <row r="7050" spans="1:16" x14ac:dyDescent="0.25">
      <c r="A7050" t="str">
        <f>"1130174M00246    00"</f>
        <v>1130174M00246    00</v>
      </c>
      <c r="B7050" t="s">
        <v>15907</v>
      </c>
      <c r="C7050" t="s">
        <v>15755</v>
      </c>
      <c r="E7050" t="s">
        <v>39</v>
      </c>
      <c r="F7050">
        <v>0</v>
      </c>
      <c r="G7050">
        <v>0</v>
      </c>
      <c r="H7050">
        <v>16</v>
      </c>
      <c r="I7050" s="3">
        <v>633.57000000000005</v>
      </c>
      <c r="J7050" s="3">
        <v>531.38</v>
      </c>
      <c r="K7050" t="s">
        <v>15908</v>
      </c>
      <c r="L7050">
        <v>205</v>
      </c>
      <c r="M7050" t="s">
        <v>15909</v>
      </c>
      <c r="N7050" t="s">
        <v>295</v>
      </c>
      <c r="O7050" t="s">
        <v>31</v>
      </c>
      <c r="P7050" t="str">
        <f>"15146"</f>
        <v>15146</v>
      </c>
    </row>
    <row r="7051" spans="1:16" x14ac:dyDescent="0.25">
      <c r="A7051" t="str">
        <f>"1130174M00252    00"</f>
        <v>1130174M00252    00</v>
      </c>
      <c r="B7051" t="s">
        <v>15910</v>
      </c>
      <c r="C7051" t="s">
        <v>15755</v>
      </c>
      <c r="D7051" t="s">
        <v>20</v>
      </c>
      <c r="E7051" t="s">
        <v>39</v>
      </c>
      <c r="F7051">
        <v>0</v>
      </c>
      <c r="G7051">
        <v>0</v>
      </c>
      <c r="H7051">
        <v>17</v>
      </c>
      <c r="I7051" s="3">
        <v>1699.12</v>
      </c>
      <c r="J7051" s="3">
        <v>1297.58</v>
      </c>
      <c r="K7051" t="s">
        <v>15908</v>
      </c>
      <c r="L7051">
        <v>205</v>
      </c>
      <c r="M7051" t="s">
        <v>15909</v>
      </c>
      <c r="N7051" t="s">
        <v>295</v>
      </c>
      <c r="O7051" t="s">
        <v>31</v>
      </c>
      <c r="P7051" t="str">
        <f>"15146"</f>
        <v>15146</v>
      </c>
    </row>
    <row r="7052" spans="1:16" x14ac:dyDescent="0.25">
      <c r="A7052" t="str">
        <f>"1130174M00253    00"</f>
        <v>1130174M00253    00</v>
      </c>
      <c r="B7052" t="s">
        <v>15911</v>
      </c>
      <c r="C7052" t="s">
        <v>15755</v>
      </c>
      <c r="D7052" t="s">
        <v>20</v>
      </c>
      <c r="E7052" t="s">
        <v>39</v>
      </c>
      <c r="F7052">
        <v>0</v>
      </c>
      <c r="G7052">
        <v>0</v>
      </c>
      <c r="H7052">
        <v>19</v>
      </c>
      <c r="I7052" s="3">
        <v>986.4</v>
      </c>
      <c r="J7052" s="3">
        <v>697.02</v>
      </c>
      <c r="L7052">
        <v>650</v>
      </c>
      <c r="M7052" t="s">
        <v>15912</v>
      </c>
      <c r="N7052" t="s">
        <v>30</v>
      </c>
      <c r="O7052" t="s">
        <v>31</v>
      </c>
      <c r="P7052" t="str">
        <f>"15221"</f>
        <v>15221</v>
      </c>
    </row>
    <row r="7053" spans="1:16" x14ac:dyDescent="0.25">
      <c r="A7053" t="str">
        <f>"1130174M00264    00"</f>
        <v>1130174M00264    00</v>
      </c>
      <c r="B7053" t="s">
        <v>15913</v>
      </c>
      <c r="C7053" t="s">
        <v>15755</v>
      </c>
      <c r="D7053" t="s">
        <v>20</v>
      </c>
      <c r="E7053" t="s">
        <v>39</v>
      </c>
      <c r="F7053">
        <v>0</v>
      </c>
      <c r="G7053">
        <v>0</v>
      </c>
      <c r="H7053">
        <v>19</v>
      </c>
      <c r="I7053" s="3">
        <v>1809.66</v>
      </c>
      <c r="J7053" s="3">
        <v>1946.42</v>
      </c>
      <c r="L7053">
        <v>7724</v>
      </c>
      <c r="M7053" t="s">
        <v>15914</v>
      </c>
      <c r="N7053" t="s">
        <v>30</v>
      </c>
      <c r="O7053" t="s">
        <v>31</v>
      </c>
      <c r="P7053" t="str">
        <f>"15208"</f>
        <v>15208</v>
      </c>
    </row>
    <row r="7054" spans="1:16" x14ac:dyDescent="0.25">
      <c r="A7054" t="str">
        <f>"1130174M00283    00"</f>
        <v>1130174M00283    00</v>
      </c>
      <c r="B7054" t="s">
        <v>13406</v>
      </c>
      <c r="C7054" t="s">
        <v>15755</v>
      </c>
      <c r="D7054" t="s">
        <v>20</v>
      </c>
      <c r="E7054" t="s">
        <v>39</v>
      </c>
      <c r="F7054">
        <v>0</v>
      </c>
      <c r="G7054">
        <v>0</v>
      </c>
      <c r="H7054">
        <v>19</v>
      </c>
      <c r="I7054" s="3">
        <v>2034.61</v>
      </c>
      <c r="J7054" s="3">
        <v>2110.2800000000002</v>
      </c>
      <c r="P7054" t="str">
        <f>""</f>
        <v/>
      </c>
    </row>
    <row r="7055" spans="1:16" x14ac:dyDescent="0.25">
      <c r="A7055" t="str">
        <f>"1130174M00286    00"</f>
        <v>1130174M00286    00</v>
      </c>
      <c r="B7055" t="s">
        <v>15915</v>
      </c>
      <c r="C7055" t="s">
        <v>15916</v>
      </c>
      <c r="D7055" t="s">
        <v>20</v>
      </c>
      <c r="E7055" t="s">
        <v>39</v>
      </c>
      <c r="F7055">
        <v>0</v>
      </c>
      <c r="G7055">
        <v>0</v>
      </c>
      <c r="H7055">
        <v>19</v>
      </c>
      <c r="I7055" s="3">
        <v>828.69</v>
      </c>
      <c r="J7055" s="3">
        <v>573.02</v>
      </c>
      <c r="K7055" t="s">
        <v>1037</v>
      </c>
      <c r="L7055">
        <v>6361</v>
      </c>
      <c r="M7055" t="s">
        <v>10354</v>
      </c>
      <c r="N7055" t="s">
        <v>30</v>
      </c>
      <c r="O7055" t="s">
        <v>31</v>
      </c>
      <c r="P7055" t="str">
        <f>"15206"</f>
        <v>15206</v>
      </c>
    </row>
    <row r="7056" spans="1:16" x14ac:dyDescent="0.25">
      <c r="A7056" t="str">
        <f>"1130174M00293    00"</f>
        <v>1130174M00293    00</v>
      </c>
      <c r="B7056" t="s">
        <v>15917</v>
      </c>
      <c r="C7056" t="s">
        <v>15918</v>
      </c>
      <c r="D7056" t="s">
        <v>20</v>
      </c>
      <c r="E7056" t="s">
        <v>39</v>
      </c>
      <c r="F7056">
        <v>0</v>
      </c>
      <c r="G7056">
        <v>0</v>
      </c>
      <c r="H7056">
        <v>19</v>
      </c>
      <c r="I7056" s="3">
        <v>578.45000000000005</v>
      </c>
      <c r="J7056" s="3">
        <v>584.76</v>
      </c>
      <c r="L7056">
        <v>6833</v>
      </c>
      <c r="M7056" t="s">
        <v>12487</v>
      </c>
      <c r="N7056" t="s">
        <v>30</v>
      </c>
      <c r="O7056" t="s">
        <v>31</v>
      </c>
      <c r="P7056" t="str">
        <f>"15208"</f>
        <v>15208</v>
      </c>
    </row>
    <row r="7057" spans="1:16" x14ac:dyDescent="0.25">
      <c r="A7057" t="str">
        <f>"1130174M00296    00"</f>
        <v>1130174M00296    00</v>
      </c>
      <c r="B7057" t="s">
        <v>15919</v>
      </c>
      <c r="C7057" t="s">
        <v>15752</v>
      </c>
      <c r="D7057" t="s">
        <v>20</v>
      </c>
      <c r="E7057" t="s">
        <v>39</v>
      </c>
      <c r="F7057">
        <v>0</v>
      </c>
      <c r="G7057">
        <v>0</v>
      </c>
      <c r="H7057">
        <v>19</v>
      </c>
      <c r="I7057" s="3">
        <v>1873.47</v>
      </c>
      <c r="J7057" s="3">
        <v>2066.4</v>
      </c>
      <c r="P7057" t="str">
        <f>""</f>
        <v/>
      </c>
    </row>
    <row r="7058" spans="1:16" x14ac:dyDescent="0.25">
      <c r="A7058" t="str">
        <f>"1130174M00297    00"</f>
        <v>1130174M00297    00</v>
      </c>
      <c r="B7058" t="s">
        <v>15919</v>
      </c>
      <c r="C7058" t="s">
        <v>15752</v>
      </c>
      <c r="D7058" t="s">
        <v>20</v>
      </c>
      <c r="E7058" t="s">
        <v>39</v>
      </c>
      <c r="F7058">
        <v>0</v>
      </c>
      <c r="G7058">
        <v>0</v>
      </c>
      <c r="H7058">
        <v>19</v>
      </c>
      <c r="I7058" s="3">
        <v>458.11</v>
      </c>
      <c r="J7058" s="3">
        <v>399.61</v>
      </c>
      <c r="K7058" t="s">
        <v>1008</v>
      </c>
      <c r="P7058" t="str">
        <f>""</f>
        <v/>
      </c>
    </row>
    <row r="7059" spans="1:16" x14ac:dyDescent="0.25">
      <c r="A7059" t="str">
        <f>"1130174M00299    00"</f>
        <v>1130174M00299    00</v>
      </c>
      <c r="B7059" t="s">
        <v>15920</v>
      </c>
      <c r="C7059" t="s">
        <v>15752</v>
      </c>
      <c r="D7059" t="s">
        <v>20</v>
      </c>
      <c r="E7059" t="s">
        <v>39</v>
      </c>
      <c r="F7059">
        <v>0</v>
      </c>
      <c r="G7059">
        <v>0</v>
      </c>
      <c r="H7059">
        <v>16</v>
      </c>
      <c r="I7059" s="3">
        <v>4613.68</v>
      </c>
      <c r="J7059" s="3">
        <v>6147.38</v>
      </c>
      <c r="L7059">
        <v>1739</v>
      </c>
      <c r="M7059" t="s">
        <v>15921</v>
      </c>
      <c r="N7059" t="s">
        <v>30</v>
      </c>
      <c r="O7059" t="s">
        <v>31</v>
      </c>
      <c r="P7059" t="str">
        <f>"15203"</f>
        <v>15203</v>
      </c>
    </row>
    <row r="7060" spans="1:16" x14ac:dyDescent="0.25">
      <c r="A7060" t="str">
        <f>"1130174M00300    00"</f>
        <v>1130174M00300    00</v>
      </c>
      <c r="B7060" t="s">
        <v>15922</v>
      </c>
      <c r="C7060" t="s">
        <v>15923</v>
      </c>
      <c r="D7060" t="s">
        <v>20</v>
      </c>
      <c r="E7060" t="s">
        <v>39</v>
      </c>
      <c r="F7060">
        <v>0</v>
      </c>
      <c r="G7060">
        <v>0</v>
      </c>
      <c r="H7060">
        <v>17</v>
      </c>
      <c r="I7060" s="3">
        <v>3921.72</v>
      </c>
      <c r="J7060" s="3">
        <v>5739.36</v>
      </c>
      <c r="L7060">
        <v>7753</v>
      </c>
      <c r="M7060" t="s">
        <v>12980</v>
      </c>
      <c r="N7060" t="s">
        <v>30</v>
      </c>
      <c r="O7060" t="s">
        <v>31</v>
      </c>
      <c r="P7060" t="str">
        <f>"15208"</f>
        <v>15208</v>
      </c>
    </row>
    <row r="7061" spans="1:16" x14ac:dyDescent="0.25">
      <c r="A7061" t="str">
        <f>"1130174M00305    00"</f>
        <v>1130174M00305    00</v>
      </c>
      <c r="B7061" t="s">
        <v>15924</v>
      </c>
      <c r="C7061" t="s">
        <v>15752</v>
      </c>
      <c r="D7061" t="s">
        <v>20</v>
      </c>
      <c r="E7061" t="s">
        <v>39</v>
      </c>
      <c r="F7061">
        <v>0</v>
      </c>
      <c r="G7061">
        <v>0</v>
      </c>
      <c r="H7061">
        <v>19</v>
      </c>
      <c r="I7061" s="3">
        <v>897.23</v>
      </c>
      <c r="J7061" s="3">
        <v>631.76</v>
      </c>
      <c r="K7061" t="s">
        <v>15925</v>
      </c>
      <c r="L7061">
        <v>431</v>
      </c>
      <c r="M7061" t="s">
        <v>174</v>
      </c>
      <c r="N7061" t="s">
        <v>15926</v>
      </c>
      <c r="O7061" t="s">
        <v>554</v>
      </c>
      <c r="P7061" t="str">
        <f>"25701"</f>
        <v>25701</v>
      </c>
    </row>
    <row r="7062" spans="1:16" x14ac:dyDescent="0.25">
      <c r="A7062" t="str">
        <f>"1130174M00306    00"</f>
        <v>1130174M00306    00</v>
      </c>
      <c r="B7062" t="s">
        <v>15927</v>
      </c>
      <c r="C7062" t="s">
        <v>15752</v>
      </c>
      <c r="E7062" t="s">
        <v>39</v>
      </c>
      <c r="F7062">
        <v>0</v>
      </c>
      <c r="G7062">
        <v>0</v>
      </c>
      <c r="H7062">
        <v>1</v>
      </c>
      <c r="I7062" s="3">
        <v>462.83</v>
      </c>
      <c r="J7062" s="3">
        <v>408.82</v>
      </c>
      <c r="L7062">
        <v>3730</v>
      </c>
      <c r="M7062" t="s">
        <v>15928</v>
      </c>
      <c r="N7062" t="s">
        <v>30</v>
      </c>
      <c r="O7062" t="s">
        <v>31</v>
      </c>
      <c r="P7062" t="str">
        <f>"15221"</f>
        <v>15221</v>
      </c>
    </row>
    <row r="7063" spans="1:16" x14ac:dyDescent="0.25">
      <c r="A7063" t="str">
        <f>"1130174M00311    00"</f>
        <v>1130174M00311    00</v>
      </c>
      <c r="B7063" t="s">
        <v>15929</v>
      </c>
      <c r="C7063" t="s">
        <v>15752</v>
      </c>
      <c r="D7063" t="s">
        <v>20</v>
      </c>
      <c r="E7063" t="s">
        <v>39</v>
      </c>
      <c r="F7063">
        <v>0</v>
      </c>
      <c r="G7063">
        <v>0</v>
      </c>
      <c r="H7063">
        <v>19</v>
      </c>
      <c r="I7063" s="3">
        <v>897.23</v>
      </c>
      <c r="J7063" s="3">
        <v>631.76</v>
      </c>
      <c r="L7063">
        <v>6648</v>
      </c>
      <c r="M7063" t="s">
        <v>11757</v>
      </c>
      <c r="N7063" t="s">
        <v>30</v>
      </c>
      <c r="O7063" t="s">
        <v>31</v>
      </c>
      <c r="P7063" t="str">
        <f>"15206"</f>
        <v>15206</v>
      </c>
    </row>
    <row r="7064" spans="1:16" x14ac:dyDescent="0.25">
      <c r="A7064" t="str">
        <f>"1130174M00312    00"</f>
        <v>1130174M00312    00</v>
      </c>
      <c r="B7064" t="s">
        <v>15930</v>
      </c>
      <c r="C7064" t="s">
        <v>15752</v>
      </c>
      <c r="D7064" t="s">
        <v>20</v>
      </c>
      <c r="E7064" t="s">
        <v>39</v>
      </c>
      <c r="F7064">
        <v>0</v>
      </c>
      <c r="G7064">
        <v>0</v>
      </c>
      <c r="H7064">
        <v>17</v>
      </c>
      <c r="I7064" s="3">
        <v>811.15</v>
      </c>
      <c r="J7064" s="3">
        <v>501.17</v>
      </c>
      <c r="L7064">
        <v>32</v>
      </c>
      <c r="M7064" t="s">
        <v>15931</v>
      </c>
      <c r="N7064" t="s">
        <v>30</v>
      </c>
      <c r="O7064" t="s">
        <v>31</v>
      </c>
      <c r="P7064" t="str">
        <f>"15220"</f>
        <v>15220</v>
      </c>
    </row>
    <row r="7065" spans="1:16" x14ac:dyDescent="0.25">
      <c r="A7065" t="str">
        <f>"1130174M00317    00"</f>
        <v>1130174M00317    00</v>
      </c>
      <c r="B7065" t="s">
        <v>15932</v>
      </c>
      <c r="C7065" t="s">
        <v>15752</v>
      </c>
      <c r="D7065" t="s">
        <v>20</v>
      </c>
      <c r="E7065" t="s">
        <v>39</v>
      </c>
      <c r="F7065">
        <v>0</v>
      </c>
      <c r="G7065">
        <v>0</v>
      </c>
      <c r="H7065">
        <v>19</v>
      </c>
      <c r="I7065" s="3">
        <v>1779.55</v>
      </c>
      <c r="J7065" s="3">
        <v>1863.04</v>
      </c>
      <c r="L7065">
        <v>7724</v>
      </c>
      <c r="M7065" t="s">
        <v>15933</v>
      </c>
      <c r="N7065" t="s">
        <v>30</v>
      </c>
      <c r="O7065" t="s">
        <v>31</v>
      </c>
      <c r="P7065" t="str">
        <f>"15208"</f>
        <v>15208</v>
      </c>
    </row>
    <row r="7066" spans="1:16" x14ac:dyDescent="0.25">
      <c r="A7066" t="str">
        <f>"1130174M00318    00"</f>
        <v>1130174M00318    00</v>
      </c>
      <c r="B7066" t="s">
        <v>15934</v>
      </c>
      <c r="C7066" t="s">
        <v>15752</v>
      </c>
      <c r="D7066" t="s">
        <v>20</v>
      </c>
      <c r="E7066" t="s">
        <v>39</v>
      </c>
      <c r="F7066">
        <v>0</v>
      </c>
      <c r="G7066">
        <v>0</v>
      </c>
      <c r="H7066">
        <v>19</v>
      </c>
      <c r="I7066" s="3">
        <v>1902.85</v>
      </c>
      <c r="J7066" s="3">
        <v>2040.63</v>
      </c>
      <c r="L7066">
        <v>7726</v>
      </c>
      <c r="M7066" t="s">
        <v>12980</v>
      </c>
      <c r="N7066" t="s">
        <v>30</v>
      </c>
      <c r="O7066" t="s">
        <v>31</v>
      </c>
      <c r="P7066" t="str">
        <f>"15208"</f>
        <v>15208</v>
      </c>
    </row>
    <row r="7067" spans="1:16" x14ac:dyDescent="0.25">
      <c r="A7067" t="str">
        <f>"1130174M00319    00"</f>
        <v>1130174M00319    00</v>
      </c>
      <c r="B7067" t="s">
        <v>2936</v>
      </c>
      <c r="C7067" t="s">
        <v>15752</v>
      </c>
      <c r="D7067" t="s">
        <v>20</v>
      </c>
      <c r="E7067" t="s">
        <v>39</v>
      </c>
      <c r="F7067">
        <v>0</v>
      </c>
      <c r="G7067">
        <v>0</v>
      </c>
      <c r="H7067">
        <v>18</v>
      </c>
      <c r="I7067" s="3">
        <v>3793.08</v>
      </c>
      <c r="J7067" s="3">
        <v>5194.46</v>
      </c>
      <c r="L7067">
        <v>6901</v>
      </c>
      <c r="M7067" t="s">
        <v>872</v>
      </c>
      <c r="N7067" t="s">
        <v>30</v>
      </c>
      <c r="O7067" t="s">
        <v>31</v>
      </c>
      <c r="P7067" t="str">
        <f>"15208"</f>
        <v>15208</v>
      </c>
    </row>
    <row r="7068" spans="1:16" x14ac:dyDescent="0.25">
      <c r="A7068" t="str">
        <f>"1130174M00320    00"</f>
        <v>1130174M00320    00</v>
      </c>
      <c r="B7068" t="s">
        <v>15935</v>
      </c>
      <c r="C7068" t="s">
        <v>15752</v>
      </c>
      <c r="D7068" t="s">
        <v>20</v>
      </c>
      <c r="E7068" t="s">
        <v>39</v>
      </c>
      <c r="F7068">
        <v>0</v>
      </c>
      <c r="G7068">
        <v>0</v>
      </c>
      <c r="H7068">
        <v>15</v>
      </c>
      <c r="I7068" s="3">
        <v>227.56</v>
      </c>
      <c r="J7068" s="3">
        <v>159.04</v>
      </c>
      <c r="L7068">
        <v>300</v>
      </c>
      <c r="M7068" t="s">
        <v>15936</v>
      </c>
      <c r="N7068" t="s">
        <v>15937</v>
      </c>
      <c r="O7068" t="s">
        <v>423</v>
      </c>
      <c r="P7068" t="str">
        <f>"07666"</f>
        <v>07666</v>
      </c>
    </row>
    <row r="7069" spans="1:16" x14ac:dyDescent="0.25">
      <c r="A7069" t="str">
        <f>"1130174M00324    00"</f>
        <v>1130174M00324    00</v>
      </c>
      <c r="B7069" t="s">
        <v>15938</v>
      </c>
      <c r="C7069" t="s">
        <v>15752</v>
      </c>
      <c r="D7069" t="s">
        <v>20</v>
      </c>
      <c r="E7069" t="s">
        <v>39</v>
      </c>
      <c r="F7069">
        <v>0</v>
      </c>
      <c r="G7069">
        <v>0</v>
      </c>
      <c r="H7069">
        <v>19</v>
      </c>
      <c r="I7069" s="3">
        <v>3073.98</v>
      </c>
      <c r="J7069" s="3">
        <v>4332.78</v>
      </c>
      <c r="P7069" t="str">
        <f>"15219"</f>
        <v>15219</v>
      </c>
    </row>
    <row r="7070" spans="1:16" x14ac:dyDescent="0.25">
      <c r="A7070" t="str">
        <f>"1130174M00325    00"</f>
        <v>1130174M00325    00</v>
      </c>
      <c r="B7070" t="s">
        <v>15939</v>
      </c>
      <c r="C7070" t="s">
        <v>15752</v>
      </c>
      <c r="D7070" t="s">
        <v>20</v>
      </c>
      <c r="E7070" t="s">
        <v>39</v>
      </c>
      <c r="F7070">
        <v>0</v>
      </c>
      <c r="G7070">
        <v>0</v>
      </c>
      <c r="H7070">
        <v>19</v>
      </c>
      <c r="I7070" s="3">
        <v>12792.13</v>
      </c>
      <c r="J7070" s="3">
        <v>16067.1</v>
      </c>
      <c r="P7070" t="str">
        <f>""</f>
        <v/>
      </c>
    </row>
    <row r="7071" spans="1:16" x14ac:dyDescent="0.25">
      <c r="A7071" t="str">
        <f>"1130174M00327    00"</f>
        <v>1130174M00327    00</v>
      </c>
      <c r="B7071" t="s">
        <v>15940</v>
      </c>
      <c r="C7071" t="s">
        <v>15941</v>
      </c>
      <c r="D7071" t="s">
        <v>20</v>
      </c>
      <c r="E7071" t="s">
        <v>39</v>
      </c>
      <c r="F7071">
        <v>0</v>
      </c>
      <c r="G7071">
        <v>0</v>
      </c>
      <c r="H7071">
        <v>8</v>
      </c>
      <c r="I7071" s="3">
        <v>5009.5600000000004</v>
      </c>
      <c r="J7071" s="3">
        <v>1705.46</v>
      </c>
      <c r="K7071" t="s">
        <v>15942</v>
      </c>
      <c r="M7071" t="s">
        <v>15943</v>
      </c>
      <c r="N7071" t="s">
        <v>30</v>
      </c>
      <c r="O7071" t="s">
        <v>31</v>
      </c>
      <c r="P7071" t="str">
        <f>"15208"</f>
        <v>15208</v>
      </c>
    </row>
    <row r="7072" spans="1:16" x14ac:dyDescent="0.25">
      <c r="A7072" t="str">
        <f>"1130174M00335    00"</f>
        <v>1130174M00335    00</v>
      </c>
      <c r="B7072" t="s">
        <v>15944</v>
      </c>
      <c r="C7072" t="s">
        <v>14963</v>
      </c>
      <c r="D7072" t="s">
        <v>20</v>
      </c>
      <c r="E7072" t="s">
        <v>39</v>
      </c>
      <c r="F7072">
        <v>0</v>
      </c>
      <c r="G7072">
        <v>0</v>
      </c>
      <c r="H7072">
        <v>19</v>
      </c>
      <c r="I7072" s="3">
        <v>1351.36</v>
      </c>
      <c r="J7072" s="3">
        <v>1458.2</v>
      </c>
      <c r="P7072" t="str">
        <f>""</f>
        <v/>
      </c>
    </row>
    <row r="7073" spans="1:16" x14ac:dyDescent="0.25">
      <c r="A7073" t="str">
        <f>"1130174M00358    00"</f>
        <v>1130174M00358    00</v>
      </c>
      <c r="B7073" t="s">
        <v>15945</v>
      </c>
      <c r="C7073" t="s">
        <v>12265</v>
      </c>
      <c r="D7073" t="s">
        <v>20</v>
      </c>
      <c r="E7073" t="s">
        <v>39</v>
      </c>
      <c r="F7073">
        <v>0</v>
      </c>
      <c r="G7073">
        <v>0</v>
      </c>
      <c r="H7073">
        <v>7</v>
      </c>
      <c r="I7073" s="3">
        <v>116.94</v>
      </c>
      <c r="J7073" s="3">
        <v>39.15</v>
      </c>
      <c r="L7073">
        <v>2308</v>
      </c>
      <c r="M7073" t="s">
        <v>5665</v>
      </c>
      <c r="N7073" t="s">
        <v>30</v>
      </c>
      <c r="O7073" t="s">
        <v>31</v>
      </c>
      <c r="P7073" t="str">
        <f>"15218"</f>
        <v>15218</v>
      </c>
    </row>
    <row r="7074" spans="1:16" x14ac:dyDescent="0.25">
      <c r="A7074" t="str">
        <f>"1130174M00359    00"</f>
        <v>1130174M00359    00</v>
      </c>
      <c r="B7074" t="s">
        <v>15945</v>
      </c>
      <c r="C7074" t="s">
        <v>15946</v>
      </c>
      <c r="D7074" t="s">
        <v>20</v>
      </c>
      <c r="E7074" t="s">
        <v>39</v>
      </c>
      <c r="F7074">
        <v>0</v>
      </c>
      <c r="G7074">
        <v>0</v>
      </c>
      <c r="H7074">
        <v>10</v>
      </c>
      <c r="I7074" s="3">
        <v>7052.9</v>
      </c>
      <c r="J7074" s="3">
        <v>2784.24</v>
      </c>
      <c r="L7074">
        <v>2308</v>
      </c>
      <c r="M7074" t="s">
        <v>5665</v>
      </c>
      <c r="N7074" t="s">
        <v>30</v>
      </c>
      <c r="O7074" t="s">
        <v>31</v>
      </c>
      <c r="P7074" t="str">
        <f>"15218"</f>
        <v>15218</v>
      </c>
    </row>
    <row r="7075" spans="1:16" x14ac:dyDescent="0.25">
      <c r="A7075" t="str">
        <f>"1130174M00360    00"</f>
        <v>1130174M00360    00</v>
      </c>
      <c r="B7075" t="s">
        <v>15947</v>
      </c>
      <c r="C7075" t="s">
        <v>15948</v>
      </c>
      <c r="D7075" t="s">
        <v>20</v>
      </c>
      <c r="E7075" t="s">
        <v>39</v>
      </c>
      <c r="F7075">
        <v>0</v>
      </c>
      <c r="G7075">
        <v>0</v>
      </c>
      <c r="H7075">
        <v>15</v>
      </c>
      <c r="I7075" s="3">
        <v>8682.11</v>
      </c>
      <c r="J7075" s="3">
        <v>5954.33</v>
      </c>
      <c r="K7075" t="s">
        <v>15949</v>
      </c>
      <c r="L7075">
        <v>918</v>
      </c>
      <c r="M7075" t="s">
        <v>15950</v>
      </c>
      <c r="N7075" t="s">
        <v>30</v>
      </c>
      <c r="O7075" t="s">
        <v>31</v>
      </c>
      <c r="P7075" t="str">
        <f>"15208"</f>
        <v>15208</v>
      </c>
    </row>
    <row r="7076" spans="1:16" x14ac:dyDescent="0.25">
      <c r="A7076" t="str">
        <f>"1130174M00361    00"</f>
        <v>1130174M00361    00</v>
      </c>
      <c r="B7076" t="s">
        <v>15951</v>
      </c>
      <c r="C7076" t="s">
        <v>15952</v>
      </c>
      <c r="D7076" t="s">
        <v>20</v>
      </c>
      <c r="E7076" t="s">
        <v>39</v>
      </c>
      <c r="F7076">
        <v>0</v>
      </c>
      <c r="G7076">
        <v>0</v>
      </c>
      <c r="H7076">
        <v>17</v>
      </c>
      <c r="I7076" s="3">
        <v>293.70999999999998</v>
      </c>
      <c r="J7076" s="3">
        <v>217.26</v>
      </c>
      <c r="L7076">
        <v>7921</v>
      </c>
      <c r="M7076" t="s">
        <v>9086</v>
      </c>
      <c r="N7076" t="s">
        <v>30</v>
      </c>
      <c r="O7076" t="s">
        <v>31</v>
      </c>
      <c r="P7076" t="str">
        <f>"15221"</f>
        <v>15221</v>
      </c>
    </row>
    <row r="7077" spans="1:16" x14ac:dyDescent="0.25">
      <c r="A7077" t="str">
        <f>"1130174M00362    00"</f>
        <v>1130174M00362    00</v>
      </c>
      <c r="B7077" t="s">
        <v>15953</v>
      </c>
      <c r="C7077" t="s">
        <v>15918</v>
      </c>
      <c r="D7077" t="s">
        <v>20</v>
      </c>
      <c r="E7077" t="s">
        <v>39</v>
      </c>
      <c r="F7077">
        <v>0</v>
      </c>
      <c r="G7077">
        <v>0</v>
      </c>
      <c r="H7077">
        <v>19</v>
      </c>
      <c r="I7077" s="3">
        <v>8261.09</v>
      </c>
      <c r="J7077" s="3">
        <v>7951.21</v>
      </c>
      <c r="L7077">
        <v>105</v>
      </c>
      <c r="M7077" t="s">
        <v>15954</v>
      </c>
      <c r="N7077" t="s">
        <v>15955</v>
      </c>
      <c r="O7077" t="s">
        <v>31</v>
      </c>
      <c r="P7077" t="str">
        <f>"15438"</f>
        <v>15438</v>
      </c>
    </row>
    <row r="7078" spans="1:16" x14ac:dyDescent="0.25">
      <c r="A7078" t="str">
        <f>"1130174M00365    00"</f>
        <v>1130174M00365    00</v>
      </c>
      <c r="B7078" t="s">
        <v>15956</v>
      </c>
      <c r="C7078" t="s">
        <v>15916</v>
      </c>
      <c r="D7078" t="s">
        <v>20</v>
      </c>
      <c r="E7078" t="s">
        <v>39</v>
      </c>
      <c r="F7078">
        <v>0</v>
      </c>
      <c r="G7078">
        <v>0</v>
      </c>
      <c r="H7078">
        <v>19</v>
      </c>
      <c r="I7078" s="3">
        <v>741.37</v>
      </c>
      <c r="J7078" s="3">
        <v>657.2</v>
      </c>
      <c r="K7078" t="s">
        <v>1008</v>
      </c>
      <c r="P7078" t="str">
        <f>""</f>
        <v/>
      </c>
    </row>
    <row r="7079" spans="1:16" x14ac:dyDescent="0.25">
      <c r="A7079" t="str">
        <f>"1130174M00380    00"</f>
        <v>1130174M00380    00</v>
      </c>
      <c r="B7079" t="s">
        <v>7003</v>
      </c>
      <c r="C7079" t="s">
        <v>12265</v>
      </c>
      <c r="D7079" t="s">
        <v>20</v>
      </c>
      <c r="E7079" t="s">
        <v>39</v>
      </c>
      <c r="F7079">
        <v>0</v>
      </c>
      <c r="G7079">
        <v>0</v>
      </c>
      <c r="H7079">
        <v>18</v>
      </c>
      <c r="I7079" s="3">
        <v>381.52</v>
      </c>
      <c r="J7079" s="3">
        <v>267.18</v>
      </c>
      <c r="L7079">
        <v>500</v>
      </c>
      <c r="M7079" t="s">
        <v>7004</v>
      </c>
      <c r="N7079" t="s">
        <v>6603</v>
      </c>
      <c r="O7079" t="s">
        <v>31</v>
      </c>
      <c r="P7079" t="str">
        <f>"15122"</f>
        <v>15122</v>
      </c>
    </row>
    <row r="7080" spans="1:16" x14ac:dyDescent="0.25">
      <c r="A7080" t="str">
        <f>"1130174M00381    00"</f>
        <v>1130174M00381    00</v>
      </c>
      <c r="B7080" t="s">
        <v>7003</v>
      </c>
      <c r="C7080" t="s">
        <v>12265</v>
      </c>
      <c r="D7080" t="s">
        <v>20</v>
      </c>
      <c r="E7080" t="s">
        <v>39</v>
      </c>
      <c r="F7080">
        <v>0</v>
      </c>
      <c r="G7080">
        <v>0</v>
      </c>
      <c r="H7080">
        <v>16</v>
      </c>
      <c r="I7080" s="3">
        <v>147.4</v>
      </c>
      <c r="J7080" s="3">
        <v>144.63999999999999</v>
      </c>
      <c r="L7080">
        <v>500</v>
      </c>
      <c r="M7080" t="s">
        <v>7004</v>
      </c>
      <c r="N7080" t="s">
        <v>6603</v>
      </c>
      <c r="O7080" t="s">
        <v>31</v>
      </c>
      <c r="P7080" t="str">
        <f>"15122"</f>
        <v>15122</v>
      </c>
    </row>
    <row r="7081" spans="1:16" x14ac:dyDescent="0.25">
      <c r="A7081" t="str">
        <f>"1130174M00389    00"</f>
        <v>1130174M00389    00</v>
      </c>
      <c r="B7081" t="s">
        <v>15957</v>
      </c>
      <c r="C7081" t="s">
        <v>15958</v>
      </c>
      <c r="D7081" t="s">
        <v>20</v>
      </c>
      <c r="E7081" t="s">
        <v>39</v>
      </c>
      <c r="F7081">
        <v>0</v>
      </c>
      <c r="G7081">
        <v>0</v>
      </c>
      <c r="H7081">
        <v>14</v>
      </c>
      <c r="I7081" s="3">
        <v>4196.24</v>
      </c>
      <c r="J7081" s="3">
        <v>2389.11</v>
      </c>
      <c r="L7081">
        <v>7138</v>
      </c>
      <c r="M7081" t="s">
        <v>12395</v>
      </c>
      <c r="N7081" t="s">
        <v>30</v>
      </c>
      <c r="O7081" t="s">
        <v>31</v>
      </c>
      <c r="P7081" t="str">
        <f>"15208"</f>
        <v>15208</v>
      </c>
    </row>
    <row r="7082" spans="1:16" x14ac:dyDescent="0.25">
      <c r="A7082" t="str">
        <f>"1130174M00391    00"</f>
        <v>1130174M00391    00</v>
      </c>
      <c r="B7082" t="s">
        <v>15959</v>
      </c>
      <c r="C7082" t="s">
        <v>15960</v>
      </c>
      <c r="D7082" t="s">
        <v>20</v>
      </c>
      <c r="E7082" t="s">
        <v>39</v>
      </c>
      <c r="F7082">
        <v>0</v>
      </c>
      <c r="G7082">
        <v>0</v>
      </c>
      <c r="H7082">
        <v>16</v>
      </c>
      <c r="I7082" s="3">
        <v>5528.5</v>
      </c>
      <c r="J7082" s="3">
        <v>4596.26</v>
      </c>
      <c r="L7082">
        <v>7739</v>
      </c>
      <c r="M7082" t="s">
        <v>9086</v>
      </c>
      <c r="N7082" t="s">
        <v>30</v>
      </c>
      <c r="O7082" t="s">
        <v>31</v>
      </c>
      <c r="P7082" t="str">
        <f>"15208"</f>
        <v>15208</v>
      </c>
    </row>
    <row r="7083" spans="1:16" x14ac:dyDescent="0.25">
      <c r="A7083" t="str">
        <f>"1130174M00397    00"</f>
        <v>1130174M00397    00</v>
      </c>
      <c r="B7083" t="s">
        <v>15961</v>
      </c>
      <c r="C7083" t="s">
        <v>15725</v>
      </c>
      <c r="D7083" t="s">
        <v>20</v>
      </c>
      <c r="E7083" t="s">
        <v>39</v>
      </c>
      <c r="F7083">
        <v>0</v>
      </c>
      <c r="G7083">
        <v>0</v>
      </c>
      <c r="H7083">
        <v>1</v>
      </c>
      <c r="I7083" s="3">
        <v>400.26</v>
      </c>
      <c r="J7083" s="3">
        <v>0</v>
      </c>
      <c r="L7083">
        <v>639</v>
      </c>
      <c r="M7083" t="s">
        <v>1315</v>
      </c>
      <c r="N7083" t="s">
        <v>30</v>
      </c>
      <c r="O7083" t="s">
        <v>31</v>
      </c>
      <c r="P7083" t="str">
        <f>"15206"</f>
        <v>15206</v>
      </c>
    </row>
    <row r="7084" spans="1:16" x14ac:dyDescent="0.25">
      <c r="A7084" t="str">
        <f>"1130174N00013    00"</f>
        <v>1130174N00013    00</v>
      </c>
      <c r="B7084" t="s">
        <v>15962</v>
      </c>
      <c r="C7084" t="s">
        <v>12491</v>
      </c>
      <c r="D7084" t="s">
        <v>20</v>
      </c>
      <c r="E7084" t="s">
        <v>21</v>
      </c>
      <c r="F7084">
        <v>0</v>
      </c>
      <c r="G7084">
        <v>0</v>
      </c>
      <c r="H7084">
        <v>3</v>
      </c>
      <c r="I7084" s="3">
        <v>307.44</v>
      </c>
      <c r="J7084" s="3">
        <v>2.0499999999999998</v>
      </c>
      <c r="L7084">
        <v>255</v>
      </c>
      <c r="M7084" t="s">
        <v>1668</v>
      </c>
      <c r="N7084" t="s">
        <v>30</v>
      </c>
      <c r="O7084" t="s">
        <v>31</v>
      </c>
      <c r="P7084" t="str">
        <f>"15213"</f>
        <v>15213</v>
      </c>
    </row>
    <row r="7085" spans="1:16" x14ac:dyDescent="0.25">
      <c r="A7085" t="str">
        <f>"1130174N00107    00"</f>
        <v>1130174N00107    00</v>
      </c>
      <c r="B7085" t="s">
        <v>15963</v>
      </c>
      <c r="C7085" t="s">
        <v>12651</v>
      </c>
      <c r="E7085" t="s">
        <v>21</v>
      </c>
      <c r="F7085">
        <v>0</v>
      </c>
      <c r="G7085">
        <v>0</v>
      </c>
      <c r="H7085">
        <v>3</v>
      </c>
      <c r="I7085" s="3">
        <v>580.23</v>
      </c>
      <c r="J7085" s="3">
        <v>91.5</v>
      </c>
      <c r="L7085">
        <v>7119</v>
      </c>
      <c r="M7085" t="s">
        <v>11435</v>
      </c>
      <c r="N7085" t="s">
        <v>30</v>
      </c>
      <c r="O7085" t="s">
        <v>31</v>
      </c>
      <c r="P7085" t="str">
        <f t="shared" ref="P7085:P7093" si="85">"15208"</f>
        <v>15208</v>
      </c>
    </row>
    <row r="7086" spans="1:16" x14ac:dyDescent="0.25">
      <c r="A7086" t="str">
        <f>"1130174N00152    00"</f>
        <v>1130174N00152    00</v>
      </c>
      <c r="B7086" t="s">
        <v>15964</v>
      </c>
      <c r="C7086" t="s">
        <v>15965</v>
      </c>
      <c r="D7086" t="s">
        <v>20</v>
      </c>
      <c r="E7086" t="s">
        <v>39</v>
      </c>
      <c r="F7086">
        <v>0</v>
      </c>
      <c r="G7086">
        <v>0</v>
      </c>
      <c r="H7086">
        <v>2</v>
      </c>
      <c r="I7086" s="3">
        <v>229.06</v>
      </c>
      <c r="J7086" s="3">
        <v>0</v>
      </c>
      <c r="L7086">
        <v>546</v>
      </c>
      <c r="M7086" t="s">
        <v>15966</v>
      </c>
      <c r="N7086" t="s">
        <v>30</v>
      </c>
      <c r="O7086" t="s">
        <v>31</v>
      </c>
      <c r="P7086" t="str">
        <f t="shared" si="85"/>
        <v>15208</v>
      </c>
    </row>
    <row r="7087" spans="1:16" x14ac:dyDescent="0.25">
      <c r="A7087" t="str">
        <f>"1130174N00167000200"</f>
        <v>1130174N00167000200</v>
      </c>
      <c r="B7087" t="s">
        <v>15967</v>
      </c>
      <c r="C7087" t="s">
        <v>15968</v>
      </c>
      <c r="D7087" t="s">
        <v>20</v>
      </c>
      <c r="E7087" t="s">
        <v>39</v>
      </c>
      <c r="F7087">
        <v>0</v>
      </c>
      <c r="G7087">
        <v>0</v>
      </c>
      <c r="H7087">
        <v>9</v>
      </c>
      <c r="I7087" s="3">
        <v>4131.72</v>
      </c>
      <c r="J7087" s="3">
        <v>1630.76</v>
      </c>
      <c r="L7087">
        <v>553</v>
      </c>
      <c r="M7087" t="s">
        <v>11623</v>
      </c>
      <c r="N7087" t="s">
        <v>30</v>
      </c>
      <c r="O7087" t="s">
        <v>31</v>
      </c>
      <c r="P7087" t="str">
        <f t="shared" si="85"/>
        <v>15208</v>
      </c>
    </row>
    <row r="7088" spans="1:16" x14ac:dyDescent="0.25">
      <c r="A7088" t="str">
        <f>"1130174N00167000500"</f>
        <v>1130174N00167000500</v>
      </c>
      <c r="B7088" t="s">
        <v>15969</v>
      </c>
      <c r="C7088" t="s">
        <v>15970</v>
      </c>
      <c r="E7088" t="s">
        <v>39</v>
      </c>
      <c r="F7088">
        <v>0</v>
      </c>
      <c r="G7088">
        <v>0</v>
      </c>
      <c r="H7088">
        <v>1</v>
      </c>
      <c r="I7088" s="3">
        <v>444.57</v>
      </c>
      <c r="J7088" s="3">
        <v>118.55</v>
      </c>
      <c r="K7088" t="s">
        <v>15971</v>
      </c>
      <c r="L7088">
        <v>559</v>
      </c>
      <c r="M7088" t="s">
        <v>11623</v>
      </c>
      <c r="N7088" t="s">
        <v>30</v>
      </c>
      <c r="O7088" t="s">
        <v>31</v>
      </c>
      <c r="P7088" t="str">
        <f t="shared" si="85"/>
        <v>15208</v>
      </c>
    </row>
    <row r="7089" spans="1:16" x14ac:dyDescent="0.25">
      <c r="A7089" t="str">
        <f>"1130174N00216    00"</f>
        <v>1130174N00216    00</v>
      </c>
      <c r="B7089" t="s">
        <v>15972</v>
      </c>
      <c r="C7089" t="s">
        <v>15973</v>
      </c>
      <c r="D7089" t="s">
        <v>20</v>
      </c>
      <c r="E7089" t="s">
        <v>21</v>
      </c>
      <c r="F7089">
        <v>0</v>
      </c>
      <c r="G7089">
        <v>0</v>
      </c>
      <c r="H7089">
        <v>9</v>
      </c>
      <c r="I7089" s="3">
        <v>5298.13</v>
      </c>
      <c r="J7089" s="3">
        <v>1709.25</v>
      </c>
      <c r="L7089">
        <v>7300</v>
      </c>
      <c r="M7089" t="s">
        <v>11435</v>
      </c>
      <c r="N7089" t="s">
        <v>30</v>
      </c>
      <c r="O7089" t="s">
        <v>31</v>
      </c>
      <c r="P7089" t="str">
        <f t="shared" si="85"/>
        <v>15208</v>
      </c>
    </row>
    <row r="7090" spans="1:16" x14ac:dyDescent="0.25">
      <c r="A7090" t="str">
        <f>"1130174N00231    00"</f>
        <v>1130174N00231    00</v>
      </c>
      <c r="B7090" t="s">
        <v>15974</v>
      </c>
      <c r="C7090" t="s">
        <v>15975</v>
      </c>
      <c r="D7090" t="s">
        <v>20</v>
      </c>
      <c r="E7090" t="s">
        <v>39</v>
      </c>
      <c r="F7090">
        <v>0</v>
      </c>
      <c r="G7090">
        <v>0</v>
      </c>
      <c r="H7090">
        <v>4</v>
      </c>
      <c r="I7090" s="3">
        <v>1107.28</v>
      </c>
      <c r="J7090" s="3">
        <v>125.03</v>
      </c>
      <c r="L7090">
        <v>7237</v>
      </c>
      <c r="M7090" t="s">
        <v>13633</v>
      </c>
      <c r="N7090" t="s">
        <v>30</v>
      </c>
      <c r="O7090" t="s">
        <v>31</v>
      </c>
      <c r="P7090" t="str">
        <f t="shared" si="85"/>
        <v>15208</v>
      </c>
    </row>
    <row r="7091" spans="1:16" x14ac:dyDescent="0.25">
      <c r="A7091" t="str">
        <f>"1130174N00250    00"</f>
        <v>1130174N00250    00</v>
      </c>
      <c r="B7091" t="s">
        <v>15976</v>
      </c>
      <c r="C7091" t="s">
        <v>15977</v>
      </c>
      <c r="D7091" t="s">
        <v>20</v>
      </c>
      <c r="E7091" t="s">
        <v>39</v>
      </c>
      <c r="F7091">
        <v>0</v>
      </c>
      <c r="G7091">
        <v>0</v>
      </c>
      <c r="H7091">
        <v>2</v>
      </c>
      <c r="I7091" s="3">
        <v>1132.18</v>
      </c>
      <c r="J7091" s="3">
        <v>0</v>
      </c>
      <c r="L7091">
        <v>7506</v>
      </c>
      <c r="M7091" t="s">
        <v>13633</v>
      </c>
      <c r="N7091" t="s">
        <v>30</v>
      </c>
      <c r="O7091" t="s">
        <v>31</v>
      </c>
      <c r="P7091" t="str">
        <f t="shared" si="85"/>
        <v>15208</v>
      </c>
    </row>
    <row r="7092" spans="1:16" x14ac:dyDescent="0.25">
      <c r="A7092" t="str">
        <f>"1130174N00251    00"</f>
        <v>1130174N00251    00</v>
      </c>
      <c r="B7092" t="s">
        <v>15978</v>
      </c>
      <c r="C7092" t="s">
        <v>15977</v>
      </c>
      <c r="D7092" t="s">
        <v>20</v>
      </c>
      <c r="E7092" t="s">
        <v>39</v>
      </c>
      <c r="F7092">
        <v>0</v>
      </c>
      <c r="G7092">
        <v>0</v>
      </c>
      <c r="H7092">
        <v>2</v>
      </c>
      <c r="I7092" s="3">
        <v>38.119999999999997</v>
      </c>
      <c r="J7092" s="3">
        <v>0</v>
      </c>
      <c r="L7092">
        <v>7506</v>
      </c>
      <c r="M7092" t="s">
        <v>13633</v>
      </c>
      <c r="N7092" t="s">
        <v>30</v>
      </c>
      <c r="O7092" t="s">
        <v>31</v>
      </c>
      <c r="P7092" t="str">
        <f t="shared" si="85"/>
        <v>15208</v>
      </c>
    </row>
    <row r="7093" spans="1:16" x14ac:dyDescent="0.25">
      <c r="A7093" t="str">
        <f>"1130174N00252    00"</f>
        <v>1130174N00252    00</v>
      </c>
      <c r="B7093" t="s">
        <v>15978</v>
      </c>
      <c r="C7093" t="s">
        <v>15977</v>
      </c>
      <c r="D7093" t="s">
        <v>20</v>
      </c>
      <c r="E7093" t="s">
        <v>39</v>
      </c>
      <c r="F7093">
        <v>0</v>
      </c>
      <c r="G7093">
        <v>0</v>
      </c>
      <c r="H7093">
        <v>2</v>
      </c>
      <c r="I7093" s="3">
        <v>38.119999999999997</v>
      </c>
      <c r="J7093" s="3">
        <v>0</v>
      </c>
      <c r="L7093">
        <v>7506</v>
      </c>
      <c r="M7093" t="s">
        <v>13633</v>
      </c>
      <c r="N7093" t="s">
        <v>30</v>
      </c>
      <c r="O7093" t="s">
        <v>31</v>
      </c>
      <c r="P7093" t="str">
        <f t="shared" si="85"/>
        <v>15208</v>
      </c>
    </row>
    <row r="7094" spans="1:16" x14ac:dyDescent="0.25">
      <c r="A7094" t="str">
        <f>"1130174N00254    00"</f>
        <v>1130174N00254    00</v>
      </c>
      <c r="B7094" t="s">
        <v>15979</v>
      </c>
      <c r="C7094" t="s">
        <v>15980</v>
      </c>
      <c r="D7094" t="s">
        <v>20</v>
      </c>
      <c r="E7094" t="s">
        <v>39</v>
      </c>
      <c r="F7094">
        <v>0</v>
      </c>
      <c r="G7094">
        <v>0</v>
      </c>
      <c r="H7094">
        <v>2</v>
      </c>
      <c r="I7094" s="3">
        <v>182.96</v>
      </c>
      <c r="J7094" s="3">
        <v>0</v>
      </c>
      <c r="L7094">
        <v>8531</v>
      </c>
      <c r="M7094" t="s">
        <v>11939</v>
      </c>
      <c r="N7094" t="s">
        <v>30</v>
      </c>
      <c r="O7094" t="s">
        <v>31</v>
      </c>
      <c r="P7094" t="str">
        <f>"15235"</f>
        <v>15235</v>
      </c>
    </row>
    <row r="7095" spans="1:16" x14ac:dyDescent="0.25">
      <c r="A7095" t="str">
        <f>"1130174N00258    00"</f>
        <v>1130174N00258    00</v>
      </c>
      <c r="B7095" t="s">
        <v>15981</v>
      </c>
      <c r="C7095" t="s">
        <v>15982</v>
      </c>
      <c r="D7095" t="s">
        <v>20</v>
      </c>
      <c r="E7095" t="s">
        <v>39</v>
      </c>
      <c r="F7095">
        <v>0</v>
      </c>
      <c r="G7095">
        <v>0</v>
      </c>
      <c r="H7095">
        <v>2</v>
      </c>
      <c r="I7095" s="3">
        <v>22.88</v>
      </c>
      <c r="J7095" s="3">
        <v>0</v>
      </c>
      <c r="K7095" t="s">
        <v>15983</v>
      </c>
      <c r="L7095">
        <v>8531</v>
      </c>
      <c r="M7095" t="s">
        <v>11939</v>
      </c>
      <c r="N7095" t="s">
        <v>30</v>
      </c>
      <c r="O7095" t="s">
        <v>31</v>
      </c>
      <c r="P7095" t="str">
        <f>"15235"</f>
        <v>15235</v>
      </c>
    </row>
    <row r="7096" spans="1:16" x14ac:dyDescent="0.25">
      <c r="A7096" t="str">
        <f>"1130174N00261    00"</f>
        <v>1130174N00261    00</v>
      </c>
      <c r="B7096" t="s">
        <v>15984</v>
      </c>
      <c r="C7096" t="s">
        <v>15982</v>
      </c>
      <c r="D7096" t="s">
        <v>20</v>
      </c>
      <c r="E7096" t="s">
        <v>39</v>
      </c>
      <c r="F7096">
        <v>0</v>
      </c>
      <c r="G7096">
        <v>0</v>
      </c>
      <c r="H7096">
        <v>11</v>
      </c>
      <c r="I7096" s="3">
        <v>468.16</v>
      </c>
      <c r="J7096" s="3">
        <v>315.56</v>
      </c>
      <c r="L7096">
        <v>480</v>
      </c>
      <c r="M7096" t="s">
        <v>4767</v>
      </c>
      <c r="N7096" t="s">
        <v>15985</v>
      </c>
      <c r="O7096" t="s">
        <v>31</v>
      </c>
      <c r="P7096" t="str">
        <f>"15137"</f>
        <v>15137</v>
      </c>
    </row>
    <row r="7097" spans="1:16" x14ac:dyDescent="0.25">
      <c r="A7097" t="str">
        <f>"1130174N00262A   00"</f>
        <v>1130174N00262A   00</v>
      </c>
      <c r="B7097" t="s">
        <v>15986</v>
      </c>
      <c r="C7097" t="s">
        <v>15982</v>
      </c>
      <c r="D7097" t="s">
        <v>20</v>
      </c>
      <c r="E7097" t="s">
        <v>39</v>
      </c>
      <c r="F7097">
        <v>0</v>
      </c>
      <c r="G7097">
        <v>0</v>
      </c>
      <c r="H7097">
        <v>4</v>
      </c>
      <c r="I7097" s="3">
        <v>113.2</v>
      </c>
      <c r="J7097" s="3">
        <v>13.95</v>
      </c>
      <c r="L7097">
        <v>350</v>
      </c>
      <c r="M7097" t="s">
        <v>15987</v>
      </c>
      <c r="N7097" t="s">
        <v>30</v>
      </c>
      <c r="O7097" t="s">
        <v>31</v>
      </c>
      <c r="P7097" t="str">
        <f>"15212"</f>
        <v>15212</v>
      </c>
    </row>
    <row r="7098" spans="1:16" x14ac:dyDescent="0.25">
      <c r="A7098" t="str">
        <f>"1130174N00287    00"</f>
        <v>1130174N00287    00</v>
      </c>
      <c r="B7098" t="s">
        <v>15988</v>
      </c>
      <c r="C7098" t="s">
        <v>15989</v>
      </c>
      <c r="D7098" t="s">
        <v>20</v>
      </c>
      <c r="E7098" t="s">
        <v>39</v>
      </c>
      <c r="F7098">
        <v>0</v>
      </c>
      <c r="G7098">
        <v>0</v>
      </c>
      <c r="H7098">
        <v>5</v>
      </c>
      <c r="I7098" s="3">
        <v>886.81</v>
      </c>
      <c r="J7098" s="3">
        <v>180.68</v>
      </c>
      <c r="L7098">
        <v>1447</v>
      </c>
      <c r="M7098" t="s">
        <v>15320</v>
      </c>
      <c r="N7098" t="s">
        <v>30</v>
      </c>
      <c r="O7098" t="s">
        <v>31</v>
      </c>
      <c r="P7098" t="str">
        <f>"15221"</f>
        <v>15221</v>
      </c>
    </row>
    <row r="7099" spans="1:16" x14ac:dyDescent="0.25">
      <c r="A7099" t="str">
        <f>"1130174N00288    00"</f>
        <v>1130174N00288    00</v>
      </c>
      <c r="B7099" t="s">
        <v>15990</v>
      </c>
      <c r="C7099" t="s">
        <v>14133</v>
      </c>
      <c r="D7099" t="s">
        <v>20</v>
      </c>
      <c r="E7099" t="s">
        <v>39</v>
      </c>
      <c r="F7099">
        <v>0</v>
      </c>
      <c r="G7099">
        <v>0</v>
      </c>
      <c r="H7099">
        <v>2</v>
      </c>
      <c r="I7099" s="3">
        <v>43.94</v>
      </c>
      <c r="J7099" s="3">
        <v>0.39</v>
      </c>
      <c r="L7099">
        <v>6135</v>
      </c>
      <c r="M7099" t="s">
        <v>8048</v>
      </c>
      <c r="N7099" t="s">
        <v>30</v>
      </c>
      <c r="O7099" t="s">
        <v>31</v>
      </c>
      <c r="P7099" t="str">
        <f>"15236"</f>
        <v>15236</v>
      </c>
    </row>
    <row r="7100" spans="1:16" x14ac:dyDescent="0.25">
      <c r="A7100" t="str">
        <f>"1130174N00295    00"</f>
        <v>1130174N00295    00</v>
      </c>
      <c r="B7100" t="s">
        <v>15991</v>
      </c>
      <c r="C7100" t="s">
        <v>14133</v>
      </c>
      <c r="D7100" t="s">
        <v>20</v>
      </c>
      <c r="E7100" t="s">
        <v>39</v>
      </c>
      <c r="F7100">
        <v>0</v>
      </c>
      <c r="G7100">
        <v>0</v>
      </c>
      <c r="H7100">
        <v>2</v>
      </c>
      <c r="I7100" s="3">
        <v>22.88</v>
      </c>
      <c r="J7100" s="3">
        <v>0</v>
      </c>
      <c r="L7100">
        <v>6703</v>
      </c>
      <c r="M7100" t="s">
        <v>15992</v>
      </c>
      <c r="N7100" t="s">
        <v>652</v>
      </c>
      <c r="O7100" t="s">
        <v>108</v>
      </c>
      <c r="P7100" t="str">
        <f>"77083"</f>
        <v>77083</v>
      </c>
    </row>
    <row r="7101" spans="1:16" x14ac:dyDescent="0.25">
      <c r="A7101" t="str">
        <f>"1130174N00297    00"</f>
        <v>1130174N00297    00</v>
      </c>
      <c r="B7101" t="s">
        <v>11328</v>
      </c>
      <c r="C7101" t="s">
        <v>15993</v>
      </c>
      <c r="E7101" t="s">
        <v>39</v>
      </c>
      <c r="F7101">
        <v>0</v>
      </c>
      <c r="G7101">
        <v>0</v>
      </c>
      <c r="H7101">
        <v>1</v>
      </c>
      <c r="I7101" s="3">
        <v>172.2</v>
      </c>
      <c r="J7101" s="3">
        <v>0</v>
      </c>
      <c r="L7101">
        <v>8330</v>
      </c>
      <c r="M7101" t="s">
        <v>5818</v>
      </c>
      <c r="N7101" t="s">
        <v>1046</v>
      </c>
      <c r="O7101" t="s">
        <v>31</v>
      </c>
      <c r="P7101" t="str">
        <f>"15147"</f>
        <v>15147</v>
      </c>
    </row>
    <row r="7102" spans="1:16" x14ac:dyDescent="0.25">
      <c r="A7102" t="str">
        <f>"1130174N00303    00"</f>
        <v>1130174N00303    00</v>
      </c>
      <c r="B7102" t="s">
        <v>15994</v>
      </c>
      <c r="C7102" t="s">
        <v>15995</v>
      </c>
      <c r="D7102" t="s">
        <v>20</v>
      </c>
      <c r="E7102" t="s">
        <v>39</v>
      </c>
      <c r="F7102">
        <v>0</v>
      </c>
      <c r="G7102">
        <v>0</v>
      </c>
      <c r="H7102">
        <v>14</v>
      </c>
      <c r="I7102" s="3">
        <v>8239.15</v>
      </c>
      <c r="J7102" s="3">
        <v>11067.91</v>
      </c>
      <c r="L7102">
        <v>7220</v>
      </c>
      <c r="M7102" t="s">
        <v>13523</v>
      </c>
      <c r="N7102" t="s">
        <v>30</v>
      </c>
      <c r="O7102" t="s">
        <v>31</v>
      </c>
      <c r="P7102" t="str">
        <f>"15208"</f>
        <v>15208</v>
      </c>
    </row>
    <row r="7103" spans="1:16" x14ac:dyDescent="0.25">
      <c r="A7103" t="str">
        <f>"1130174N00307    00"</f>
        <v>1130174N00307    00</v>
      </c>
      <c r="B7103" t="s">
        <v>15996</v>
      </c>
      <c r="C7103" t="s">
        <v>15997</v>
      </c>
      <c r="D7103" t="s">
        <v>20</v>
      </c>
      <c r="E7103" t="s">
        <v>39</v>
      </c>
      <c r="F7103">
        <v>0</v>
      </c>
      <c r="G7103">
        <v>0</v>
      </c>
      <c r="H7103">
        <v>1</v>
      </c>
      <c r="I7103" s="3">
        <v>501.29</v>
      </c>
      <c r="J7103" s="3">
        <v>0</v>
      </c>
      <c r="K7103" t="s">
        <v>15998</v>
      </c>
      <c r="L7103">
        <v>2382</v>
      </c>
      <c r="M7103" t="s">
        <v>1996</v>
      </c>
      <c r="N7103" t="s">
        <v>295</v>
      </c>
      <c r="O7103" t="s">
        <v>31</v>
      </c>
      <c r="P7103" t="str">
        <f>"15146"</f>
        <v>15146</v>
      </c>
    </row>
    <row r="7104" spans="1:16" x14ac:dyDescent="0.25">
      <c r="A7104" t="str">
        <f>"1130174N00311    00"</f>
        <v>1130174N00311    00</v>
      </c>
      <c r="B7104" t="s">
        <v>15999</v>
      </c>
      <c r="C7104" t="s">
        <v>16000</v>
      </c>
      <c r="D7104" t="s">
        <v>20</v>
      </c>
      <c r="E7104" t="s">
        <v>39</v>
      </c>
      <c r="F7104">
        <v>0</v>
      </c>
      <c r="G7104">
        <v>0</v>
      </c>
      <c r="H7104">
        <v>7</v>
      </c>
      <c r="I7104" s="3">
        <v>1840.08</v>
      </c>
      <c r="J7104" s="3">
        <v>508.85</v>
      </c>
      <c r="L7104">
        <v>1640</v>
      </c>
      <c r="M7104" t="s">
        <v>16001</v>
      </c>
      <c r="N7104" t="s">
        <v>30</v>
      </c>
      <c r="O7104" t="s">
        <v>31</v>
      </c>
      <c r="P7104" t="str">
        <f>"15221"</f>
        <v>15221</v>
      </c>
    </row>
    <row r="7105" spans="1:16" x14ac:dyDescent="0.25">
      <c r="A7105" t="str">
        <f>"1130174N00312    00"</f>
        <v>1130174N00312    00</v>
      </c>
      <c r="B7105" t="s">
        <v>16002</v>
      </c>
      <c r="C7105" t="s">
        <v>16000</v>
      </c>
      <c r="E7105" t="s">
        <v>39</v>
      </c>
      <c r="F7105">
        <v>0</v>
      </c>
      <c r="G7105">
        <v>0</v>
      </c>
      <c r="H7105">
        <v>7</v>
      </c>
      <c r="I7105" s="3">
        <v>4412</v>
      </c>
      <c r="J7105" s="3">
        <v>6440.33</v>
      </c>
      <c r="L7105">
        <v>7238</v>
      </c>
      <c r="M7105" t="s">
        <v>13523</v>
      </c>
      <c r="N7105" t="s">
        <v>30</v>
      </c>
      <c r="O7105" t="s">
        <v>31</v>
      </c>
      <c r="P7105" t="str">
        <f>"15208"</f>
        <v>15208</v>
      </c>
    </row>
    <row r="7106" spans="1:16" x14ac:dyDescent="0.25">
      <c r="A7106" t="str">
        <f>"1130174N00313A   00"</f>
        <v>1130174N00313A   00</v>
      </c>
      <c r="B7106" t="s">
        <v>16003</v>
      </c>
      <c r="C7106" t="s">
        <v>16004</v>
      </c>
      <c r="D7106" t="s">
        <v>20</v>
      </c>
      <c r="E7106" t="s">
        <v>39</v>
      </c>
      <c r="F7106">
        <v>0</v>
      </c>
      <c r="G7106">
        <v>0</v>
      </c>
      <c r="H7106">
        <v>10</v>
      </c>
      <c r="I7106" s="3">
        <v>57.34</v>
      </c>
      <c r="J7106" s="3">
        <v>33.229999999999997</v>
      </c>
      <c r="L7106">
        <v>521</v>
      </c>
      <c r="M7106" t="s">
        <v>16005</v>
      </c>
      <c r="N7106" t="s">
        <v>30</v>
      </c>
      <c r="O7106" t="s">
        <v>31</v>
      </c>
      <c r="P7106" t="str">
        <f>"15208"</f>
        <v>15208</v>
      </c>
    </row>
    <row r="7107" spans="1:16" x14ac:dyDescent="0.25">
      <c r="A7107" t="str">
        <f>"1130174N00314    00"</f>
        <v>1130174N00314    00</v>
      </c>
      <c r="B7107" t="s">
        <v>218</v>
      </c>
      <c r="C7107" t="s">
        <v>16006</v>
      </c>
      <c r="E7107" t="s">
        <v>39</v>
      </c>
      <c r="F7107">
        <v>0</v>
      </c>
      <c r="G7107">
        <v>0</v>
      </c>
      <c r="H7107">
        <v>1</v>
      </c>
      <c r="I7107" s="3">
        <v>230.72</v>
      </c>
      <c r="J7107" s="3">
        <v>327.79</v>
      </c>
      <c r="K7107" t="s">
        <v>220</v>
      </c>
      <c r="L7107">
        <v>412</v>
      </c>
      <c r="M7107" t="s">
        <v>221</v>
      </c>
      <c r="N7107" t="s">
        <v>30</v>
      </c>
      <c r="O7107" t="s">
        <v>31</v>
      </c>
      <c r="P7107" t="str">
        <f>"15219"</f>
        <v>15219</v>
      </c>
    </row>
    <row r="7108" spans="1:16" x14ac:dyDescent="0.25">
      <c r="A7108" t="str">
        <f>"1130174N00317    00"</f>
        <v>1130174N00317    00</v>
      </c>
      <c r="B7108" t="s">
        <v>16007</v>
      </c>
      <c r="C7108" t="s">
        <v>16008</v>
      </c>
      <c r="E7108" t="s">
        <v>39</v>
      </c>
      <c r="F7108">
        <v>0</v>
      </c>
      <c r="G7108">
        <v>0</v>
      </c>
      <c r="H7108">
        <v>1</v>
      </c>
      <c r="I7108" s="3">
        <v>286.69</v>
      </c>
      <c r="J7108" s="3">
        <v>114.67</v>
      </c>
      <c r="L7108">
        <v>6019</v>
      </c>
      <c r="M7108" t="s">
        <v>12934</v>
      </c>
      <c r="N7108" t="s">
        <v>1046</v>
      </c>
      <c r="O7108" t="s">
        <v>31</v>
      </c>
      <c r="P7108" t="str">
        <f>"15147"</f>
        <v>15147</v>
      </c>
    </row>
    <row r="7109" spans="1:16" x14ac:dyDescent="0.25">
      <c r="A7109" t="str">
        <f>"1130174N00322    00"</f>
        <v>1130174N00322    00</v>
      </c>
      <c r="B7109" t="s">
        <v>16009</v>
      </c>
      <c r="C7109" t="s">
        <v>16010</v>
      </c>
      <c r="D7109" t="s">
        <v>20</v>
      </c>
      <c r="E7109" t="s">
        <v>39</v>
      </c>
      <c r="F7109">
        <v>0</v>
      </c>
      <c r="G7109">
        <v>0</v>
      </c>
      <c r="H7109">
        <v>1</v>
      </c>
      <c r="I7109" s="3">
        <v>734.44</v>
      </c>
      <c r="J7109" s="3">
        <v>0</v>
      </c>
      <c r="L7109">
        <v>7233</v>
      </c>
      <c r="M7109" t="s">
        <v>16011</v>
      </c>
      <c r="N7109" t="s">
        <v>30</v>
      </c>
      <c r="O7109" t="s">
        <v>31</v>
      </c>
      <c r="P7109" t="str">
        <f>"15208"</f>
        <v>15208</v>
      </c>
    </row>
    <row r="7110" spans="1:16" x14ac:dyDescent="0.25">
      <c r="A7110" t="str">
        <f>"1130174P00001    00"</f>
        <v>1130174P00001    00</v>
      </c>
      <c r="B7110" t="s">
        <v>16012</v>
      </c>
      <c r="C7110" t="s">
        <v>16013</v>
      </c>
      <c r="D7110" t="s">
        <v>20</v>
      </c>
      <c r="E7110" t="s">
        <v>21</v>
      </c>
      <c r="F7110">
        <v>0</v>
      </c>
      <c r="G7110">
        <v>0</v>
      </c>
      <c r="H7110">
        <v>1</v>
      </c>
      <c r="I7110" s="3">
        <v>112.47</v>
      </c>
      <c r="J7110" s="3">
        <v>0</v>
      </c>
      <c r="L7110">
        <v>7318</v>
      </c>
      <c r="M7110" t="s">
        <v>13633</v>
      </c>
      <c r="N7110" t="s">
        <v>30</v>
      </c>
      <c r="O7110" t="s">
        <v>31</v>
      </c>
      <c r="P7110" t="str">
        <f>"15208"</f>
        <v>15208</v>
      </c>
    </row>
    <row r="7111" spans="1:16" x14ac:dyDescent="0.25">
      <c r="A7111" t="str">
        <f>"1130174P00002    00"</f>
        <v>1130174P00002    00</v>
      </c>
      <c r="B7111" t="s">
        <v>16014</v>
      </c>
      <c r="C7111" t="s">
        <v>15982</v>
      </c>
      <c r="D7111" t="s">
        <v>20</v>
      </c>
      <c r="E7111" t="s">
        <v>21</v>
      </c>
      <c r="F7111">
        <v>0</v>
      </c>
      <c r="G7111">
        <v>0</v>
      </c>
      <c r="H7111">
        <v>1</v>
      </c>
      <c r="I7111" s="3">
        <v>112.47</v>
      </c>
      <c r="J7111" s="3">
        <v>0</v>
      </c>
      <c r="L7111">
        <v>7318</v>
      </c>
      <c r="M7111" t="s">
        <v>13633</v>
      </c>
      <c r="N7111" t="s">
        <v>30</v>
      </c>
      <c r="O7111" t="s">
        <v>31</v>
      </c>
      <c r="P7111" t="str">
        <f>"15208"</f>
        <v>15208</v>
      </c>
    </row>
    <row r="7112" spans="1:16" x14ac:dyDescent="0.25">
      <c r="A7112" t="str">
        <f>"1130174P00023    00"</f>
        <v>1130174P00023    00</v>
      </c>
      <c r="B7112" t="s">
        <v>16015</v>
      </c>
      <c r="C7112" t="s">
        <v>16016</v>
      </c>
      <c r="D7112" t="s">
        <v>20</v>
      </c>
      <c r="E7112" t="s">
        <v>39</v>
      </c>
      <c r="F7112">
        <v>0</v>
      </c>
      <c r="G7112">
        <v>0</v>
      </c>
      <c r="H7112">
        <v>19</v>
      </c>
      <c r="I7112" s="3">
        <v>11927.18</v>
      </c>
      <c r="J7112" s="3">
        <v>11461.46</v>
      </c>
      <c r="L7112">
        <v>2405</v>
      </c>
      <c r="M7112" t="s">
        <v>16017</v>
      </c>
      <c r="N7112" t="s">
        <v>30</v>
      </c>
      <c r="O7112" t="s">
        <v>31</v>
      </c>
      <c r="P7112" t="str">
        <f>"15221"</f>
        <v>15221</v>
      </c>
    </row>
    <row r="7113" spans="1:16" x14ac:dyDescent="0.25">
      <c r="A7113" t="str">
        <f>"1130174P00026    00"</f>
        <v>1130174P00026    00</v>
      </c>
      <c r="B7113" t="s">
        <v>16018</v>
      </c>
      <c r="C7113" t="s">
        <v>16019</v>
      </c>
      <c r="D7113" t="s">
        <v>20</v>
      </c>
      <c r="E7113" t="s">
        <v>39</v>
      </c>
      <c r="F7113">
        <v>0</v>
      </c>
      <c r="G7113">
        <v>0</v>
      </c>
      <c r="H7113">
        <v>13</v>
      </c>
      <c r="I7113" s="3">
        <v>3641.13</v>
      </c>
      <c r="J7113" s="3">
        <v>2785.08</v>
      </c>
      <c r="L7113">
        <v>7441</v>
      </c>
      <c r="M7113" t="s">
        <v>13633</v>
      </c>
      <c r="N7113" t="s">
        <v>30</v>
      </c>
      <c r="O7113" t="s">
        <v>31</v>
      </c>
      <c r="P7113" t="str">
        <f>"15208"</f>
        <v>15208</v>
      </c>
    </row>
    <row r="7114" spans="1:16" x14ac:dyDescent="0.25">
      <c r="A7114" t="str">
        <f>"1130174P00029    00"</f>
        <v>1130174P00029    00</v>
      </c>
      <c r="B7114" t="s">
        <v>16020</v>
      </c>
      <c r="C7114" t="s">
        <v>16021</v>
      </c>
      <c r="E7114" t="s">
        <v>39</v>
      </c>
      <c r="F7114">
        <v>0</v>
      </c>
      <c r="G7114">
        <v>0</v>
      </c>
      <c r="H7114">
        <v>1</v>
      </c>
      <c r="I7114" s="3">
        <v>114.53</v>
      </c>
      <c r="J7114" s="3">
        <v>0</v>
      </c>
      <c r="L7114">
        <v>7435</v>
      </c>
      <c r="M7114" t="s">
        <v>13633</v>
      </c>
      <c r="N7114" t="s">
        <v>30</v>
      </c>
      <c r="O7114" t="s">
        <v>31</v>
      </c>
      <c r="P7114" t="str">
        <f>"15208"</f>
        <v>15208</v>
      </c>
    </row>
    <row r="7115" spans="1:16" x14ac:dyDescent="0.25">
      <c r="A7115" t="str">
        <f>"1130174P00030    00"</f>
        <v>1130174P00030    00</v>
      </c>
      <c r="B7115" t="s">
        <v>16022</v>
      </c>
      <c r="C7115" t="s">
        <v>16023</v>
      </c>
      <c r="E7115" t="s">
        <v>39</v>
      </c>
      <c r="F7115">
        <v>0</v>
      </c>
      <c r="G7115">
        <v>0</v>
      </c>
      <c r="H7115">
        <v>2</v>
      </c>
      <c r="I7115" s="3">
        <v>1040.7</v>
      </c>
      <c r="J7115" s="3">
        <v>104.07</v>
      </c>
      <c r="L7115">
        <v>1723</v>
      </c>
      <c r="M7115" t="s">
        <v>12028</v>
      </c>
      <c r="N7115" t="s">
        <v>30</v>
      </c>
      <c r="O7115" t="s">
        <v>31</v>
      </c>
      <c r="P7115" t="str">
        <f>"15221"</f>
        <v>15221</v>
      </c>
    </row>
    <row r="7116" spans="1:16" x14ac:dyDescent="0.25">
      <c r="A7116" t="str">
        <f>"1130174P00032    00"</f>
        <v>1130174P00032    00</v>
      </c>
      <c r="B7116" t="s">
        <v>16024</v>
      </c>
      <c r="C7116" t="s">
        <v>16025</v>
      </c>
      <c r="E7116" t="s">
        <v>39</v>
      </c>
      <c r="F7116">
        <v>0</v>
      </c>
      <c r="G7116">
        <v>0</v>
      </c>
      <c r="H7116">
        <v>8</v>
      </c>
      <c r="I7116" s="3">
        <v>3750.08</v>
      </c>
      <c r="J7116" s="3">
        <v>5181.37</v>
      </c>
      <c r="L7116">
        <v>7429</v>
      </c>
      <c r="M7116" t="s">
        <v>13633</v>
      </c>
      <c r="N7116" t="s">
        <v>30</v>
      </c>
      <c r="O7116" t="s">
        <v>31</v>
      </c>
      <c r="P7116" t="str">
        <f>"15208"</f>
        <v>15208</v>
      </c>
    </row>
    <row r="7117" spans="1:16" x14ac:dyDescent="0.25">
      <c r="A7117" t="str">
        <f>"1130174P00035    00"</f>
        <v>1130174P00035    00</v>
      </c>
      <c r="B7117" t="s">
        <v>16026</v>
      </c>
      <c r="C7117" t="s">
        <v>16027</v>
      </c>
      <c r="D7117" t="s">
        <v>20</v>
      </c>
      <c r="E7117" t="s">
        <v>39</v>
      </c>
      <c r="F7117">
        <v>0</v>
      </c>
      <c r="G7117">
        <v>0</v>
      </c>
      <c r="H7117">
        <v>4</v>
      </c>
      <c r="I7117" s="3">
        <v>417.71</v>
      </c>
      <c r="J7117" s="3">
        <v>49.36</v>
      </c>
      <c r="L7117">
        <v>945</v>
      </c>
      <c r="M7117" t="s">
        <v>16028</v>
      </c>
      <c r="N7117" t="s">
        <v>30</v>
      </c>
      <c r="O7117" t="s">
        <v>31</v>
      </c>
      <c r="P7117" t="str">
        <f>"15207"</f>
        <v>15207</v>
      </c>
    </row>
    <row r="7118" spans="1:16" x14ac:dyDescent="0.25">
      <c r="A7118" t="str">
        <f>"1130174P00050    00"</f>
        <v>1130174P00050    00</v>
      </c>
      <c r="B7118" t="s">
        <v>16029</v>
      </c>
      <c r="C7118" t="s">
        <v>16030</v>
      </c>
      <c r="D7118" t="s">
        <v>20</v>
      </c>
      <c r="E7118" t="s">
        <v>39</v>
      </c>
      <c r="F7118">
        <v>0</v>
      </c>
      <c r="G7118">
        <v>0</v>
      </c>
      <c r="H7118">
        <v>2</v>
      </c>
      <c r="I7118" s="3">
        <v>1280.8599999999999</v>
      </c>
      <c r="J7118" s="3">
        <v>0</v>
      </c>
      <c r="K7118" t="s">
        <v>2570</v>
      </c>
      <c r="L7118">
        <v>901</v>
      </c>
      <c r="M7118" t="s">
        <v>1503</v>
      </c>
      <c r="N7118" t="s">
        <v>494</v>
      </c>
      <c r="O7118" t="s">
        <v>495</v>
      </c>
      <c r="P7118" t="str">
        <f>"91768"</f>
        <v>91768</v>
      </c>
    </row>
    <row r="7119" spans="1:16" x14ac:dyDescent="0.25">
      <c r="A7119" t="str">
        <f>"1130174P00057    00"</f>
        <v>1130174P00057    00</v>
      </c>
      <c r="B7119" t="s">
        <v>16031</v>
      </c>
      <c r="C7119" t="s">
        <v>16032</v>
      </c>
      <c r="D7119" t="s">
        <v>20</v>
      </c>
      <c r="E7119" t="s">
        <v>39</v>
      </c>
      <c r="F7119">
        <v>0</v>
      </c>
      <c r="G7119">
        <v>0</v>
      </c>
      <c r="H7119">
        <v>6</v>
      </c>
      <c r="I7119" s="3">
        <v>637.86</v>
      </c>
      <c r="J7119" s="3">
        <v>142.61000000000001</v>
      </c>
      <c r="K7119" t="s">
        <v>16033</v>
      </c>
      <c r="L7119">
        <v>76</v>
      </c>
      <c r="M7119" t="s">
        <v>16034</v>
      </c>
      <c r="N7119" t="s">
        <v>30</v>
      </c>
      <c r="O7119" t="s">
        <v>31</v>
      </c>
      <c r="P7119" t="str">
        <f>"15239"</f>
        <v>15239</v>
      </c>
    </row>
    <row r="7120" spans="1:16" x14ac:dyDescent="0.25">
      <c r="A7120" t="str">
        <f>"1130174P00061    00"</f>
        <v>1130174P00061    00</v>
      </c>
      <c r="B7120" t="s">
        <v>16035</v>
      </c>
      <c r="C7120" t="s">
        <v>15982</v>
      </c>
      <c r="E7120" t="s">
        <v>39</v>
      </c>
      <c r="F7120">
        <v>0</v>
      </c>
      <c r="G7120">
        <v>0</v>
      </c>
      <c r="H7120">
        <v>1</v>
      </c>
      <c r="I7120" s="3">
        <v>43.05</v>
      </c>
      <c r="J7120" s="3">
        <v>0</v>
      </c>
      <c r="L7120">
        <v>235</v>
      </c>
      <c r="M7120" t="s">
        <v>16036</v>
      </c>
      <c r="N7120" t="s">
        <v>30</v>
      </c>
      <c r="O7120" t="s">
        <v>31</v>
      </c>
      <c r="P7120" t="str">
        <f>"15235"</f>
        <v>15235</v>
      </c>
    </row>
    <row r="7121" spans="1:16" x14ac:dyDescent="0.25">
      <c r="A7121" t="str">
        <f>"1130174P00062    00"</f>
        <v>1130174P00062    00</v>
      </c>
      <c r="B7121" t="s">
        <v>16035</v>
      </c>
      <c r="C7121" t="s">
        <v>16037</v>
      </c>
      <c r="E7121" t="s">
        <v>39</v>
      </c>
      <c r="F7121">
        <v>0</v>
      </c>
      <c r="G7121">
        <v>0</v>
      </c>
      <c r="H7121">
        <v>1</v>
      </c>
      <c r="I7121" s="3">
        <v>1543.02</v>
      </c>
      <c r="J7121" s="3">
        <v>1873.49</v>
      </c>
      <c r="L7121">
        <v>235</v>
      </c>
      <c r="M7121" t="s">
        <v>16036</v>
      </c>
      <c r="N7121" t="s">
        <v>30</v>
      </c>
      <c r="O7121" t="s">
        <v>31</v>
      </c>
      <c r="P7121" t="str">
        <f>"15235"</f>
        <v>15235</v>
      </c>
    </row>
    <row r="7122" spans="1:16" x14ac:dyDescent="0.25">
      <c r="A7122" t="str">
        <f>"1130174P00063    00"</f>
        <v>1130174P00063    00</v>
      </c>
      <c r="B7122" t="s">
        <v>16035</v>
      </c>
      <c r="C7122" t="s">
        <v>16038</v>
      </c>
      <c r="E7122" t="s">
        <v>39</v>
      </c>
      <c r="F7122">
        <v>0</v>
      </c>
      <c r="G7122">
        <v>0</v>
      </c>
      <c r="H7122">
        <v>1</v>
      </c>
      <c r="I7122" s="3">
        <v>29.3</v>
      </c>
      <c r="J7122" s="3">
        <v>35.590000000000003</v>
      </c>
      <c r="L7122">
        <v>235</v>
      </c>
      <c r="M7122" t="s">
        <v>16036</v>
      </c>
      <c r="N7122" t="s">
        <v>30</v>
      </c>
      <c r="O7122" t="s">
        <v>31</v>
      </c>
      <c r="P7122" t="str">
        <f>"15235"</f>
        <v>15235</v>
      </c>
    </row>
    <row r="7123" spans="1:16" x14ac:dyDescent="0.25">
      <c r="A7123" t="str">
        <f>"1130174P00064    00"</f>
        <v>1130174P00064    00</v>
      </c>
      <c r="B7123" t="s">
        <v>16039</v>
      </c>
      <c r="C7123" t="s">
        <v>15982</v>
      </c>
      <c r="D7123" t="s">
        <v>20</v>
      </c>
      <c r="E7123" t="s">
        <v>39</v>
      </c>
      <c r="F7123">
        <v>0</v>
      </c>
      <c r="G7123">
        <v>0</v>
      </c>
      <c r="H7123">
        <v>3</v>
      </c>
      <c r="I7123" s="3">
        <v>34.32</v>
      </c>
      <c r="J7123" s="3">
        <v>2.29</v>
      </c>
      <c r="L7123">
        <v>7317</v>
      </c>
      <c r="M7123" t="s">
        <v>13633</v>
      </c>
      <c r="N7123" t="s">
        <v>30</v>
      </c>
      <c r="O7123" t="s">
        <v>31</v>
      </c>
      <c r="P7123" t="str">
        <f>"15208"</f>
        <v>15208</v>
      </c>
    </row>
    <row r="7124" spans="1:16" x14ac:dyDescent="0.25">
      <c r="A7124" t="str">
        <f>"1130174P00065    00"</f>
        <v>1130174P00065    00</v>
      </c>
      <c r="B7124" t="s">
        <v>16039</v>
      </c>
      <c r="C7124" t="s">
        <v>16040</v>
      </c>
      <c r="D7124" t="s">
        <v>20</v>
      </c>
      <c r="E7124" t="s">
        <v>39</v>
      </c>
      <c r="F7124">
        <v>0</v>
      </c>
      <c r="G7124">
        <v>0</v>
      </c>
      <c r="H7124">
        <v>3</v>
      </c>
      <c r="I7124" s="3">
        <v>142.97999999999999</v>
      </c>
      <c r="J7124" s="3">
        <v>9.5399999999999991</v>
      </c>
      <c r="L7124">
        <v>7317</v>
      </c>
      <c r="M7124" t="s">
        <v>13633</v>
      </c>
      <c r="N7124" t="s">
        <v>30</v>
      </c>
      <c r="O7124" t="s">
        <v>31</v>
      </c>
      <c r="P7124" t="str">
        <f>"15208"</f>
        <v>15208</v>
      </c>
    </row>
    <row r="7125" spans="1:16" x14ac:dyDescent="0.25">
      <c r="A7125" t="str">
        <f>"1130174P00082    00"</f>
        <v>1130174P00082    00</v>
      </c>
      <c r="B7125" t="s">
        <v>16041</v>
      </c>
      <c r="C7125" t="s">
        <v>16042</v>
      </c>
      <c r="D7125" t="s">
        <v>20</v>
      </c>
      <c r="E7125" t="s">
        <v>21</v>
      </c>
      <c r="F7125">
        <v>0</v>
      </c>
      <c r="G7125">
        <v>0</v>
      </c>
      <c r="H7125">
        <v>1</v>
      </c>
      <c r="I7125" s="3">
        <v>11338.81</v>
      </c>
      <c r="J7125" s="3">
        <v>0</v>
      </c>
      <c r="L7125">
        <v>1151</v>
      </c>
      <c r="M7125" t="s">
        <v>16043</v>
      </c>
      <c r="N7125" t="s">
        <v>30</v>
      </c>
      <c r="O7125" t="s">
        <v>31</v>
      </c>
      <c r="P7125" t="str">
        <f>"15238"</f>
        <v>15238</v>
      </c>
    </row>
    <row r="7126" spans="1:16" x14ac:dyDescent="0.25">
      <c r="A7126" t="str">
        <f>"1130174P00084    00"</f>
        <v>1130174P00084    00</v>
      </c>
      <c r="B7126" t="s">
        <v>12570</v>
      </c>
      <c r="C7126" t="s">
        <v>16044</v>
      </c>
      <c r="D7126" t="s">
        <v>20</v>
      </c>
      <c r="E7126" t="s">
        <v>21</v>
      </c>
      <c r="F7126">
        <v>0</v>
      </c>
      <c r="G7126">
        <v>0</v>
      </c>
      <c r="H7126">
        <v>1</v>
      </c>
      <c r="I7126" s="3">
        <v>2515.92</v>
      </c>
      <c r="J7126" s="3">
        <v>0</v>
      </c>
      <c r="K7126" t="s">
        <v>12572</v>
      </c>
      <c r="L7126">
        <v>46</v>
      </c>
      <c r="M7126" t="s">
        <v>913</v>
      </c>
      <c r="N7126" t="s">
        <v>914</v>
      </c>
      <c r="O7126" t="s">
        <v>200</v>
      </c>
      <c r="P7126" t="str">
        <f>"10952"</f>
        <v>10952</v>
      </c>
    </row>
    <row r="7127" spans="1:16" x14ac:dyDescent="0.25">
      <c r="A7127" t="str">
        <f>"1130174P00090    00"</f>
        <v>1130174P00090    00</v>
      </c>
      <c r="B7127" t="s">
        <v>12570</v>
      </c>
      <c r="C7127" t="s">
        <v>16045</v>
      </c>
      <c r="D7127" t="s">
        <v>20</v>
      </c>
      <c r="E7127" t="s">
        <v>21</v>
      </c>
      <c r="F7127">
        <v>0</v>
      </c>
      <c r="G7127">
        <v>0</v>
      </c>
      <c r="H7127">
        <v>1</v>
      </c>
      <c r="I7127" s="3">
        <v>2515.92</v>
      </c>
      <c r="J7127" s="3">
        <v>0</v>
      </c>
      <c r="K7127" t="s">
        <v>12572</v>
      </c>
      <c r="L7127">
        <v>46</v>
      </c>
      <c r="M7127" t="s">
        <v>913</v>
      </c>
      <c r="N7127" t="s">
        <v>914</v>
      </c>
      <c r="O7127" t="s">
        <v>200</v>
      </c>
      <c r="P7127" t="str">
        <f>"10952"</f>
        <v>10952</v>
      </c>
    </row>
    <row r="7128" spans="1:16" x14ac:dyDescent="0.25">
      <c r="A7128" t="str">
        <f>"1130174P00112    00"</f>
        <v>1130174P00112    00</v>
      </c>
      <c r="B7128" t="s">
        <v>16046</v>
      </c>
      <c r="C7128" t="s">
        <v>12651</v>
      </c>
      <c r="D7128" t="s">
        <v>20</v>
      </c>
      <c r="E7128" t="s">
        <v>39</v>
      </c>
      <c r="F7128">
        <v>0</v>
      </c>
      <c r="G7128">
        <v>0</v>
      </c>
      <c r="H7128">
        <v>4</v>
      </c>
      <c r="I7128" s="3">
        <v>220.14</v>
      </c>
      <c r="J7128" s="3">
        <v>23.71</v>
      </c>
      <c r="K7128" t="s">
        <v>16047</v>
      </c>
      <c r="M7128" t="s">
        <v>16048</v>
      </c>
      <c r="N7128" t="s">
        <v>526</v>
      </c>
      <c r="O7128" t="s">
        <v>527</v>
      </c>
      <c r="P7128" t="str">
        <f>"20015"</f>
        <v>20015</v>
      </c>
    </row>
    <row r="7129" spans="1:16" x14ac:dyDescent="0.25">
      <c r="A7129" t="str">
        <f>"1130174P00114    00"</f>
        <v>1130174P00114    00</v>
      </c>
      <c r="B7129" t="s">
        <v>12570</v>
      </c>
      <c r="C7129" t="s">
        <v>16049</v>
      </c>
      <c r="D7129" t="s">
        <v>20</v>
      </c>
      <c r="E7129" t="s">
        <v>21</v>
      </c>
      <c r="F7129">
        <v>0</v>
      </c>
      <c r="G7129">
        <v>0</v>
      </c>
      <c r="H7129">
        <v>1</v>
      </c>
      <c r="I7129" s="3">
        <v>3202.08</v>
      </c>
      <c r="J7129" s="3">
        <v>0</v>
      </c>
      <c r="K7129" t="s">
        <v>12572</v>
      </c>
      <c r="L7129">
        <v>46</v>
      </c>
      <c r="M7129" t="s">
        <v>913</v>
      </c>
      <c r="N7129" t="s">
        <v>914</v>
      </c>
      <c r="O7129" t="s">
        <v>200</v>
      </c>
      <c r="P7129" t="str">
        <f>"10952"</f>
        <v>10952</v>
      </c>
    </row>
    <row r="7130" spans="1:16" x14ac:dyDescent="0.25">
      <c r="A7130" t="str">
        <f>"1130174P00125    00"</f>
        <v>1130174P00125    00</v>
      </c>
      <c r="B7130" t="s">
        <v>12240</v>
      </c>
      <c r="C7130" t="s">
        <v>12651</v>
      </c>
      <c r="D7130" t="s">
        <v>20</v>
      </c>
      <c r="E7130" t="s">
        <v>39</v>
      </c>
      <c r="F7130">
        <v>0</v>
      </c>
      <c r="G7130">
        <v>0</v>
      </c>
      <c r="H7130">
        <v>9</v>
      </c>
      <c r="I7130" s="3">
        <v>229.08</v>
      </c>
      <c r="J7130" s="3">
        <v>120.83</v>
      </c>
      <c r="L7130">
        <v>1421</v>
      </c>
      <c r="M7130" t="s">
        <v>12218</v>
      </c>
      <c r="N7130" t="s">
        <v>30</v>
      </c>
      <c r="O7130" t="s">
        <v>31</v>
      </c>
      <c r="P7130" t="str">
        <f>"15221"</f>
        <v>15221</v>
      </c>
    </row>
    <row r="7131" spans="1:16" x14ac:dyDescent="0.25">
      <c r="A7131" t="str">
        <f>"1130174P00127    00"</f>
        <v>1130174P00127    00</v>
      </c>
      <c r="B7131" t="s">
        <v>12240</v>
      </c>
      <c r="C7131" t="s">
        <v>16050</v>
      </c>
      <c r="D7131" t="s">
        <v>20</v>
      </c>
      <c r="E7131" t="s">
        <v>21</v>
      </c>
      <c r="F7131">
        <v>0</v>
      </c>
      <c r="G7131">
        <v>0</v>
      </c>
      <c r="H7131">
        <v>2</v>
      </c>
      <c r="I7131" s="3">
        <v>564.16999999999996</v>
      </c>
      <c r="J7131" s="3">
        <v>83.19</v>
      </c>
      <c r="L7131">
        <v>1421</v>
      </c>
      <c r="M7131" t="s">
        <v>12218</v>
      </c>
      <c r="N7131" t="s">
        <v>30</v>
      </c>
      <c r="O7131" t="s">
        <v>31</v>
      </c>
      <c r="P7131" t="str">
        <f>"15221"</f>
        <v>15221</v>
      </c>
    </row>
    <row r="7132" spans="1:16" x14ac:dyDescent="0.25">
      <c r="A7132" t="str">
        <f>"1130174P00138    00"</f>
        <v>1130174P00138    00</v>
      </c>
      <c r="B7132" t="s">
        <v>16051</v>
      </c>
      <c r="C7132" t="s">
        <v>12651</v>
      </c>
      <c r="D7132" t="s">
        <v>20</v>
      </c>
      <c r="E7132" t="s">
        <v>39</v>
      </c>
      <c r="F7132">
        <v>0</v>
      </c>
      <c r="G7132">
        <v>0</v>
      </c>
      <c r="H7132">
        <v>3</v>
      </c>
      <c r="I7132" s="3">
        <v>177.3</v>
      </c>
      <c r="J7132" s="3">
        <v>1.97</v>
      </c>
      <c r="L7132">
        <v>214</v>
      </c>
      <c r="M7132" t="s">
        <v>13920</v>
      </c>
      <c r="N7132" t="s">
        <v>30</v>
      </c>
      <c r="O7132" t="s">
        <v>31</v>
      </c>
      <c r="P7132" t="str">
        <f>"15235"</f>
        <v>15235</v>
      </c>
    </row>
    <row r="7133" spans="1:16" x14ac:dyDescent="0.25">
      <c r="A7133" t="str">
        <f>"1130174P00139    00"</f>
        <v>1130174P00139    00</v>
      </c>
      <c r="B7133" t="s">
        <v>16051</v>
      </c>
      <c r="C7133" t="s">
        <v>16052</v>
      </c>
      <c r="D7133" t="s">
        <v>20</v>
      </c>
      <c r="E7133" t="s">
        <v>39</v>
      </c>
      <c r="F7133">
        <v>0</v>
      </c>
      <c r="G7133">
        <v>0</v>
      </c>
      <c r="H7133">
        <v>4</v>
      </c>
      <c r="I7133" s="3">
        <v>1705.22</v>
      </c>
      <c r="J7133" s="3">
        <v>26.73</v>
      </c>
      <c r="L7133">
        <v>214</v>
      </c>
      <c r="M7133" t="s">
        <v>13920</v>
      </c>
      <c r="N7133" t="s">
        <v>30</v>
      </c>
      <c r="O7133" t="s">
        <v>31</v>
      </c>
      <c r="P7133" t="str">
        <f>"15235"</f>
        <v>15235</v>
      </c>
    </row>
    <row r="7134" spans="1:16" x14ac:dyDescent="0.25">
      <c r="A7134" t="str">
        <f>"1130174P00140    00"</f>
        <v>1130174P00140    00</v>
      </c>
      <c r="B7134" t="s">
        <v>16051</v>
      </c>
      <c r="C7134" t="s">
        <v>12651</v>
      </c>
      <c r="D7134" t="s">
        <v>20</v>
      </c>
      <c r="E7134" t="s">
        <v>39</v>
      </c>
      <c r="F7134">
        <v>0</v>
      </c>
      <c r="G7134">
        <v>0</v>
      </c>
      <c r="H7134">
        <v>3</v>
      </c>
      <c r="I7134" s="3">
        <v>40.049999999999997</v>
      </c>
      <c r="J7134" s="3">
        <v>0.45</v>
      </c>
      <c r="L7134">
        <v>214</v>
      </c>
      <c r="M7134" t="s">
        <v>13920</v>
      </c>
      <c r="N7134" t="s">
        <v>30</v>
      </c>
      <c r="O7134" t="s">
        <v>31</v>
      </c>
      <c r="P7134" t="str">
        <f>"15235"</f>
        <v>15235</v>
      </c>
    </row>
    <row r="7135" spans="1:16" x14ac:dyDescent="0.25">
      <c r="A7135" t="str">
        <f>"1130174P00156    00"</f>
        <v>1130174P00156    00</v>
      </c>
      <c r="B7135" t="s">
        <v>15653</v>
      </c>
      <c r="C7135" t="s">
        <v>16053</v>
      </c>
      <c r="D7135" t="s">
        <v>20</v>
      </c>
      <c r="E7135" t="s">
        <v>21</v>
      </c>
      <c r="F7135">
        <v>0</v>
      </c>
      <c r="G7135">
        <v>0</v>
      </c>
      <c r="H7135">
        <v>2</v>
      </c>
      <c r="I7135" s="3">
        <v>2676.02</v>
      </c>
      <c r="J7135" s="3">
        <v>0</v>
      </c>
      <c r="K7135" t="s">
        <v>15655</v>
      </c>
      <c r="L7135">
        <v>727</v>
      </c>
      <c r="M7135" t="s">
        <v>15656</v>
      </c>
      <c r="N7135" t="s">
        <v>30</v>
      </c>
      <c r="O7135" t="s">
        <v>31</v>
      </c>
      <c r="P7135" t="str">
        <f>"15221"</f>
        <v>15221</v>
      </c>
    </row>
    <row r="7136" spans="1:16" x14ac:dyDescent="0.25">
      <c r="A7136" t="str">
        <f>"1130174P00163    00"</f>
        <v>1130174P00163    00</v>
      </c>
      <c r="B7136" t="s">
        <v>15653</v>
      </c>
      <c r="C7136" t="s">
        <v>16054</v>
      </c>
      <c r="E7136" t="s">
        <v>39</v>
      </c>
      <c r="F7136">
        <v>0</v>
      </c>
      <c r="G7136">
        <v>0</v>
      </c>
      <c r="H7136">
        <v>1</v>
      </c>
      <c r="I7136" s="3">
        <v>169.13</v>
      </c>
      <c r="J7136" s="3">
        <v>0</v>
      </c>
      <c r="K7136" t="s">
        <v>15655</v>
      </c>
      <c r="L7136">
        <v>727</v>
      </c>
      <c r="M7136" t="s">
        <v>15661</v>
      </c>
      <c r="N7136" t="s">
        <v>30</v>
      </c>
      <c r="O7136" t="s">
        <v>31</v>
      </c>
      <c r="P7136" t="str">
        <f>"15221"</f>
        <v>15221</v>
      </c>
    </row>
    <row r="7137" spans="1:16" x14ac:dyDescent="0.25">
      <c r="A7137" t="str">
        <f>"1130174P00167    00"</f>
        <v>1130174P00167    00</v>
      </c>
      <c r="B7137" t="s">
        <v>15653</v>
      </c>
      <c r="C7137" t="s">
        <v>16055</v>
      </c>
      <c r="D7137" t="s">
        <v>20</v>
      </c>
      <c r="E7137" t="s">
        <v>39</v>
      </c>
      <c r="F7137">
        <v>0</v>
      </c>
      <c r="G7137">
        <v>0</v>
      </c>
      <c r="H7137">
        <v>2</v>
      </c>
      <c r="I7137" s="3">
        <v>205.88</v>
      </c>
      <c r="J7137" s="3">
        <v>0</v>
      </c>
      <c r="K7137" t="s">
        <v>15655</v>
      </c>
      <c r="L7137">
        <v>727</v>
      </c>
      <c r="M7137" t="s">
        <v>15656</v>
      </c>
      <c r="N7137" t="s">
        <v>30</v>
      </c>
      <c r="O7137" t="s">
        <v>31</v>
      </c>
      <c r="P7137" t="str">
        <f>"15221"</f>
        <v>15221</v>
      </c>
    </row>
    <row r="7138" spans="1:16" x14ac:dyDescent="0.25">
      <c r="A7138" t="str">
        <f>"1130174P00168    00"</f>
        <v>1130174P00168    00</v>
      </c>
      <c r="B7138" t="s">
        <v>15653</v>
      </c>
      <c r="C7138" t="s">
        <v>16056</v>
      </c>
      <c r="D7138" t="s">
        <v>20</v>
      </c>
      <c r="E7138" t="s">
        <v>39</v>
      </c>
      <c r="F7138">
        <v>0</v>
      </c>
      <c r="G7138">
        <v>0</v>
      </c>
      <c r="H7138">
        <v>2</v>
      </c>
      <c r="I7138" s="3">
        <v>629</v>
      </c>
      <c r="J7138" s="3">
        <v>0</v>
      </c>
      <c r="K7138" t="s">
        <v>15655</v>
      </c>
      <c r="L7138">
        <v>727</v>
      </c>
      <c r="M7138" t="s">
        <v>15656</v>
      </c>
      <c r="N7138" t="s">
        <v>30</v>
      </c>
      <c r="O7138" t="s">
        <v>31</v>
      </c>
      <c r="P7138" t="str">
        <f>"15221"</f>
        <v>15221</v>
      </c>
    </row>
    <row r="7139" spans="1:16" x14ac:dyDescent="0.25">
      <c r="A7139" t="str">
        <f>"1130174P00170    00"</f>
        <v>1130174P00170    00</v>
      </c>
      <c r="B7139" t="s">
        <v>16057</v>
      </c>
      <c r="C7139" t="s">
        <v>16058</v>
      </c>
      <c r="D7139" t="s">
        <v>20</v>
      </c>
      <c r="E7139" t="s">
        <v>39</v>
      </c>
      <c r="F7139">
        <v>0</v>
      </c>
      <c r="G7139">
        <v>0</v>
      </c>
      <c r="H7139">
        <v>7</v>
      </c>
      <c r="I7139" s="3">
        <v>1966.22</v>
      </c>
      <c r="J7139" s="3">
        <v>484.51</v>
      </c>
      <c r="L7139">
        <v>7355</v>
      </c>
      <c r="M7139" t="s">
        <v>11435</v>
      </c>
      <c r="N7139" t="s">
        <v>30</v>
      </c>
      <c r="O7139" t="s">
        <v>31</v>
      </c>
      <c r="P7139" t="str">
        <f>"15208"</f>
        <v>15208</v>
      </c>
    </row>
    <row r="7140" spans="1:16" x14ac:dyDescent="0.25">
      <c r="A7140" t="str">
        <f>"1130174P00174    00"</f>
        <v>1130174P00174    00</v>
      </c>
      <c r="B7140" t="s">
        <v>15653</v>
      </c>
      <c r="C7140" t="s">
        <v>16059</v>
      </c>
      <c r="D7140" t="s">
        <v>20</v>
      </c>
      <c r="E7140" t="s">
        <v>39</v>
      </c>
      <c r="F7140">
        <v>0</v>
      </c>
      <c r="G7140">
        <v>0</v>
      </c>
      <c r="H7140">
        <v>2</v>
      </c>
      <c r="I7140" s="3">
        <v>205.88</v>
      </c>
      <c r="J7140" s="3">
        <v>0</v>
      </c>
      <c r="K7140" t="s">
        <v>15655</v>
      </c>
      <c r="L7140">
        <v>727</v>
      </c>
      <c r="M7140" t="s">
        <v>15656</v>
      </c>
      <c r="N7140" t="s">
        <v>30</v>
      </c>
      <c r="O7140" t="s">
        <v>31</v>
      </c>
      <c r="P7140" t="str">
        <f>"15221"</f>
        <v>15221</v>
      </c>
    </row>
    <row r="7141" spans="1:16" x14ac:dyDescent="0.25">
      <c r="A7141" t="str">
        <f>"1130174P00175    00"</f>
        <v>1130174P00175    00</v>
      </c>
      <c r="B7141" t="s">
        <v>15653</v>
      </c>
      <c r="C7141" t="s">
        <v>16060</v>
      </c>
      <c r="D7141" t="s">
        <v>20</v>
      </c>
      <c r="E7141" t="s">
        <v>39</v>
      </c>
      <c r="F7141">
        <v>0</v>
      </c>
      <c r="G7141">
        <v>0</v>
      </c>
      <c r="H7141">
        <v>2</v>
      </c>
      <c r="I7141" s="3">
        <v>205.88</v>
      </c>
      <c r="J7141" s="3">
        <v>0</v>
      </c>
      <c r="K7141" t="s">
        <v>15655</v>
      </c>
      <c r="L7141">
        <v>727</v>
      </c>
      <c r="M7141" t="s">
        <v>15656</v>
      </c>
      <c r="N7141" t="s">
        <v>30</v>
      </c>
      <c r="O7141" t="s">
        <v>31</v>
      </c>
      <c r="P7141" t="str">
        <f>"15221"</f>
        <v>15221</v>
      </c>
    </row>
    <row r="7142" spans="1:16" x14ac:dyDescent="0.25">
      <c r="A7142" t="str">
        <f>"1130174P00177    00"</f>
        <v>1130174P00177    00</v>
      </c>
      <c r="B7142" t="s">
        <v>15653</v>
      </c>
      <c r="C7142" t="s">
        <v>16061</v>
      </c>
      <c r="D7142" t="s">
        <v>20</v>
      </c>
      <c r="E7142" t="s">
        <v>39</v>
      </c>
      <c r="F7142">
        <v>0</v>
      </c>
      <c r="G7142">
        <v>0</v>
      </c>
      <c r="H7142">
        <v>2</v>
      </c>
      <c r="I7142" s="3">
        <v>205.88</v>
      </c>
      <c r="J7142" s="3">
        <v>0</v>
      </c>
      <c r="K7142" t="s">
        <v>15655</v>
      </c>
      <c r="L7142">
        <v>727</v>
      </c>
      <c r="M7142" t="s">
        <v>15656</v>
      </c>
      <c r="N7142" t="s">
        <v>30</v>
      </c>
      <c r="O7142" t="s">
        <v>31</v>
      </c>
      <c r="P7142" t="str">
        <f>"15221"</f>
        <v>15221</v>
      </c>
    </row>
    <row r="7143" spans="1:16" x14ac:dyDescent="0.25">
      <c r="A7143" t="str">
        <f>"1130174P00180    00"</f>
        <v>1130174P00180    00</v>
      </c>
      <c r="B7143" t="s">
        <v>15653</v>
      </c>
      <c r="C7143" t="s">
        <v>16062</v>
      </c>
      <c r="D7143" t="s">
        <v>20</v>
      </c>
      <c r="E7143" t="s">
        <v>39</v>
      </c>
      <c r="F7143">
        <v>0</v>
      </c>
      <c r="G7143">
        <v>0</v>
      </c>
      <c r="H7143">
        <v>2</v>
      </c>
      <c r="I7143" s="3">
        <v>205.88</v>
      </c>
      <c r="J7143" s="3">
        <v>0</v>
      </c>
      <c r="K7143" t="s">
        <v>15655</v>
      </c>
      <c r="L7143">
        <v>727</v>
      </c>
      <c r="M7143" t="s">
        <v>15656</v>
      </c>
      <c r="N7143" t="s">
        <v>30</v>
      </c>
      <c r="O7143" t="s">
        <v>31</v>
      </c>
      <c r="P7143" t="str">
        <f>"15221"</f>
        <v>15221</v>
      </c>
    </row>
    <row r="7144" spans="1:16" x14ac:dyDescent="0.25">
      <c r="A7144" t="str">
        <f>"1130174P00181    00"</f>
        <v>1130174P00181    00</v>
      </c>
      <c r="B7144" t="s">
        <v>16063</v>
      </c>
      <c r="C7144" t="s">
        <v>16064</v>
      </c>
      <c r="D7144" t="s">
        <v>20</v>
      </c>
      <c r="E7144" t="s">
        <v>39</v>
      </c>
      <c r="F7144">
        <v>0</v>
      </c>
      <c r="G7144">
        <v>0</v>
      </c>
      <c r="H7144">
        <v>15</v>
      </c>
      <c r="I7144" s="3">
        <v>3503.69</v>
      </c>
      <c r="J7144" s="3">
        <v>5471.55</v>
      </c>
      <c r="L7144">
        <v>7333</v>
      </c>
      <c r="M7144" t="s">
        <v>11435</v>
      </c>
      <c r="N7144" t="s">
        <v>30</v>
      </c>
      <c r="O7144" t="s">
        <v>31</v>
      </c>
      <c r="P7144" t="str">
        <f>"15208"</f>
        <v>15208</v>
      </c>
    </row>
    <row r="7145" spans="1:16" x14ac:dyDescent="0.25">
      <c r="A7145" t="str">
        <f>"1130174P00182    00"</f>
        <v>1130174P00182    00</v>
      </c>
      <c r="B7145" t="s">
        <v>15653</v>
      </c>
      <c r="C7145" t="s">
        <v>16065</v>
      </c>
      <c r="D7145" t="s">
        <v>20</v>
      </c>
      <c r="E7145" t="s">
        <v>39</v>
      </c>
      <c r="F7145">
        <v>0</v>
      </c>
      <c r="G7145">
        <v>0</v>
      </c>
      <c r="H7145">
        <v>2</v>
      </c>
      <c r="I7145" s="3">
        <v>205.88</v>
      </c>
      <c r="J7145" s="3">
        <v>0</v>
      </c>
      <c r="K7145" t="s">
        <v>15655</v>
      </c>
      <c r="L7145">
        <v>727</v>
      </c>
      <c r="M7145" t="s">
        <v>15656</v>
      </c>
      <c r="N7145" t="s">
        <v>30</v>
      </c>
      <c r="O7145" t="s">
        <v>31</v>
      </c>
      <c r="P7145" t="str">
        <f>"15221"</f>
        <v>15221</v>
      </c>
    </row>
    <row r="7146" spans="1:16" x14ac:dyDescent="0.25">
      <c r="A7146" t="str">
        <f>"1130174P00185    00"</f>
        <v>1130174P00185    00</v>
      </c>
      <c r="B7146" t="s">
        <v>15653</v>
      </c>
      <c r="C7146" t="s">
        <v>16066</v>
      </c>
      <c r="D7146" t="s">
        <v>20</v>
      </c>
      <c r="E7146" t="s">
        <v>39</v>
      </c>
      <c r="F7146">
        <v>0</v>
      </c>
      <c r="G7146">
        <v>0</v>
      </c>
      <c r="H7146">
        <v>2</v>
      </c>
      <c r="I7146" s="3">
        <v>205.88</v>
      </c>
      <c r="J7146" s="3">
        <v>0</v>
      </c>
      <c r="K7146" t="s">
        <v>15655</v>
      </c>
      <c r="L7146">
        <v>727</v>
      </c>
      <c r="M7146" t="s">
        <v>15656</v>
      </c>
      <c r="N7146" t="s">
        <v>30</v>
      </c>
      <c r="O7146" t="s">
        <v>31</v>
      </c>
      <c r="P7146" t="str">
        <f>"15221"</f>
        <v>15221</v>
      </c>
    </row>
    <row r="7147" spans="1:16" x14ac:dyDescent="0.25">
      <c r="A7147" t="str">
        <f>"1130174P00186    00"</f>
        <v>1130174P00186    00</v>
      </c>
      <c r="B7147" t="s">
        <v>15653</v>
      </c>
      <c r="C7147" t="s">
        <v>16067</v>
      </c>
      <c r="D7147" t="s">
        <v>20</v>
      </c>
      <c r="E7147" t="s">
        <v>39</v>
      </c>
      <c r="F7147">
        <v>0</v>
      </c>
      <c r="G7147">
        <v>0</v>
      </c>
      <c r="H7147">
        <v>2</v>
      </c>
      <c r="I7147" s="3">
        <v>205.88</v>
      </c>
      <c r="J7147" s="3">
        <v>0</v>
      </c>
      <c r="K7147" t="s">
        <v>15655</v>
      </c>
      <c r="L7147">
        <v>727</v>
      </c>
      <c r="M7147" t="s">
        <v>15656</v>
      </c>
      <c r="N7147" t="s">
        <v>30</v>
      </c>
      <c r="O7147" t="s">
        <v>31</v>
      </c>
      <c r="P7147" t="str">
        <f>"15221"</f>
        <v>15221</v>
      </c>
    </row>
    <row r="7148" spans="1:16" x14ac:dyDescent="0.25">
      <c r="A7148" t="str">
        <f>"1130174P00189    00"</f>
        <v>1130174P00189    00</v>
      </c>
      <c r="B7148" t="s">
        <v>16068</v>
      </c>
      <c r="C7148" t="s">
        <v>16069</v>
      </c>
      <c r="D7148" t="s">
        <v>20</v>
      </c>
      <c r="E7148" t="s">
        <v>39</v>
      </c>
      <c r="F7148">
        <v>0</v>
      </c>
      <c r="G7148">
        <v>0</v>
      </c>
      <c r="H7148">
        <v>9</v>
      </c>
      <c r="I7148" s="3">
        <v>1876.94</v>
      </c>
      <c r="J7148" s="3">
        <v>505.33</v>
      </c>
      <c r="L7148">
        <v>4</v>
      </c>
      <c r="M7148" t="s">
        <v>16070</v>
      </c>
      <c r="N7148" t="s">
        <v>30</v>
      </c>
      <c r="O7148" t="s">
        <v>31</v>
      </c>
      <c r="P7148" t="str">
        <f>"15235"</f>
        <v>15235</v>
      </c>
    </row>
    <row r="7149" spans="1:16" x14ac:dyDescent="0.25">
      <c r="A7149" t="str">
        <f>"1130174P00190    00"</f>
        <v>1130174P00190    00</v>
      </c>
      <c r="B7149" t="s">
        <v>15653</v>
      </c>
      <c r="C7149" t="s">
        <v>16071</v>
      </c>
      <c r="D7149" t="s">
        <v>20</v>
      </c>
      <c r="E7149" t="s">
        <v>39</v>
      </c>
      <c r="F7149">
        <v>0</v>
      </c>
      <c r="G7149">
        <v>0</v>
      </c>
      <c r="H7149">
        <v>2</v>
      </c>
      <c r="I7149" s="3">
        <v>205.88</v>
      </c>
      <c r="J7149" s="3">
        <v>0</v>
      </c>
      <c r="K7149" t="s">
        <v>15655</v>
      </c>
      <c r="L7149">
        <v>727</v>
      </c>
      <c r="M7149" t="s">
        <v>15656</v>
      </c>
      <c r="N7149" t="s">
        <v>30</v>
      </c>
      <c r="O7149" t="s">
        <v>31</v>
      </c>
      <c r="P7149" t="str">
        <f>"15221"</f>
        <v>15221</v>
      </c>
    </row>
    <row r="7150" spans="1:16" x14ac:dyDescent="0.25">
      <c r="A7150" t="str">
        <f>"1130174P00200    00"</f>
        <v>1130174P00200    00</v>
      </c>
      <c r="B7150" t="s">
        <v>15653</v>
      </c>
      <c r="C7150" t="s">
        <v>16072</v>
      </c>
      <c r="D7150" t="s">
        <v>20</v>
      </c>
      <c r="E7150" t="s">
        <v>39</v>
      </c>
      <c r="F7150">
        <v>0</v>
      </c>
      <c r="G7150">
        <v>0</v>
      </c>
      <c r="H7150">
        <v>2</v>
      </c>
      <c r="I7150" s="3">
        <v>163.94</v>
      </c>
      <c r="J7150" s="3">
        <v>0</v>
      </c>
      <c r="K7150" t="s">
        <v>15655</v>
      </c>
      <c r="L7150">
        <v>727</v>
      </c>
      <c r="M7150" t="s">
        <v>15656</v>
      </c>
      <c r="N7150" t="s">
        <v>30</v>
      </c>
      <c r="O7150" t="s">
        <v>31</v>
      </c>
      <c r="P7150" t="str">
        <f>"15221"</f>
        <v>15221</v>
      </c>
    </row>
    <row r="7151" spans="1:16" x14ac:dyDescent="0.25">
      <c r="A7151" t="str">
        <f>"1130174P00201    00"</f>
        <v>1130174P00201    00</v>
      </c>
      <c r="B7151" t="s">
        <v>15653</v>
      </c>
      <c r="C7151" t="s">
        <v>16073</v>
      </c>
      <c r="D7151" t="s">
        <v>20</v>
      </c>
      <c r="E7151" t="s">
        <v>39</v>
      </c>
      <c r="F7151">
        <v>0</v>
      </c>
      <c r="G7151">
        <v>0</v>
      </c>
      <c r="H7151">
        <v>2</v>
      </c>
      <c r="I7151" s="3">
        <v>118.2</v>
      </c>
      <c r="J7151" s="3">
        <v>0</v>
      </c>
      <c r="K7151" t="s">
        <v>15655</v>
      </c>
      <c r="L7151">
        <v>727</v>
      </c>
      <c r="M7151" t="s">
        <v>15656</v>
      </c>
      <c r="N7151" t="s">
        <v>30</v>
      </c>
      <c r="O7151" t="s">
        <v>31</v>
      </c>
      <c r="P7151" t="str">
        <f>"15221"</f>
        <v>15221</v>
      </c>
    </row>
    <row r="7152" spans="1:16" x14ac:dyDescent="0.25">
      <c r="A7152" t="str">
        <f>"1130174P00202    00"</f>
        <v>1130174P00202    00</v>
      </c>
      <c r="B7152" t="s">
        <v>15653</v>
      </c>
      <c r="C7152" t="s">
        <v>16074</v>
      </c>
      <c r="D7152" t="s">
        <v>20</v>
      </c>
      <c r="E7152" t="s">
        <v>39</v>
      </c>
      <c r="F7152">
        <v>0</v>
      </c>
      <c r="G7152">
        <v>0</v>
      </c>
      <c r="H7152">
        <v>2</v>
      </c>
      <c r="I7152" s="3">
        <v>118.2</v>
      </c>
      <c r="J7152" s="3">
        <v>0</v>
      </c>
      <c r="K7152" t="s">
        <v>15655</v>
      </c>
      <c r="L7152">
        <v>727</v>
      </c>
      <c r="M7152" t="s">
        <v>15656</v>
      </c>
      <c r="N7152" t="s">
        <v>30</v>
      </c>
      <c r="O7152" t="s">
        <v>31</v>
      </c>
      <c r="P7152" t="str">
        <f>"15221"</f>
        <v>15221</v>
      </c>
    </row>
    <row r="7153" spans="1:16" x14ac:dyDescent="0.25">
      <c r="A7153" t="str">
        <f>"1130174P00203    00"</f>
        <v>1130174P00203    00</v>
      </c>
      <c r="B7153" t="s">
        <v>15653</v>
      </c>
      <c r="C7153" t="s">
        <v>16075</v>
      </c>
      <c r="D7153" t="s">
        <v>20</v>
      </c>
      <c r="E7153" t="s">
        <v>39</v>
      </c>
      <c r="F7153">
        <v>0</v>
      </c>
      <c r="G7153">
        <v>0</v>
      </c>
      <c r="H7153">
        <v>2</v>
      </c>
      <c r="I7153" s="3">
        <v>171.56</v>
      </c>
      <c r="J7153" s="3">
        <v>0</v>
      </c>
      <c r="K7153" t="s">
        <v>15655</v>
      </c>
      <c r="L7153">
        <v>727</v>
      </c>
      <c r="M7153" t="s">
        <v>15656</v>
      </c>
      <c r="N7153" t="s">
        <v>30</v>
      </c>
      <c r="O7153" t="s">
        <v>31</v>
      </c>
      <c r="P7153" t="str">
        <f>"15221"</f>
        <v>15221</v>
      </c>
    </row>
    <row r="7154" spans="1:16" x14ac:dyDescent="0.25">
      <c r="A7154" t="str">
        <f>"1130174P00219    00"</f>
        <v>1130174P00219    00</v>
      </c>
      <c r="B7154" t="s">
        <v>16051</v>
      </c>
      <c r="C7154" t="s">
        <v>12651</v>
      </c>
      <c r="D7154" t="s">
        <v>20</v>
      </c>
      <c r="E7154" t="s">
        <v>39</v>
      </c>
      <c r="F7154">
        <v>0</v>
      </c>
      <c r="G7154">
        <v>0</v>
      </c>
      <c r="H7154">
        <v>3</v>
      </c>
      <c r="I7154" s="3">
        <v>25.51</v>
      </c>
      <c r="J7154" s="3">
        <v>0.22</v>
      </c>
      <c r="L7154">
        <v>214</v>
      </c>
      <c r="M7154" t="s">
        <v>13920</v>
      </c>
      <c r="N7154" t="s">
        <v>30</v>
      </c>
      <c r="O7154" t="s">
        <v>31</v>
      </c>
      <c r="P7154" t="str">
        <f>"15235"</f>
        <v>15235</v>
      </c>
    </row>
    <row r="7155" spans="1:16" x14ac:dyDescent="0.25">
      <c r="A7155" t="str">
        <f>"1130174P00220    00"</f>
        <v>1130174P00220    00</v>
      </c>
      <c r="B7155" t="s">
        <v>16051</v>
      </c>
      <c r="C7155" t="s">
        <v>12651</v>
      </c>
      <c r="D7155" t="s">
        <v>20</v>
      </c>
      <c r="E7155" t="s">
        <v>39</v>
      </c>
      <c r="F7155">
        <v>0</v>
      </c>
      <c r="G7155">
        <v>0</v>
      </c>
      <c r="H7155">
        <v>3</v>
      </c>
      <c r="I7155" s="3">
        <v>20.37</v>
      </c>
      <c r="J7155" s="3">
        <v>0.16</v>
      </c>
      <c r="L7155">
        <v>214</v>
      </c>
      <c r="M7155" t="s">
        <v>13920</v>
      </c>
      <c r="N7155" t="s">
        <v>30</v>
      </c>
      <c r="O7155" t="s">
        <v>31</v>
      </c>
      <c r="P7155" t="str">
        <f>"15235"</f>
        <v>15235</v>
      </c>
    </row>
    <row r="7156" spans="1:16" x14ac:dyDescent="0.25">
      <c r="A7156" t="str">
        <f>"1130174P00221    00"</f>
        <v>1130174P00221    00</v>
      </c>
      <c r="B7156" t="s">
        <v>16051</v>
      </c>
      <c r="C7156" t="s">
        <v>12646</v>
      </c>
      <c r="D7156" t="s">
        <v>20</v>
      </c>
      <c r="E7156" t="s">
        <v>39</v>
      </c>
      <c r="F7156">
        <v>0</v>
      </c>
      <c r="G7156">
        <v>0</v>
      </c>
      <c r="H7156">
        <v>3</v>
      </c>
      <c r="I7156" s="3">
        <v>20.37</v>
      </c>
      <c r="J7156" s="3">
        <v>0.16</v>
      </c>
      <c r="L7156">
        <v>214</v>
      </c>
      <c r="M7156" t="s">
        <v>13920</v>
      </c>
      <c r="N7156" t="s">
        <v>30</v>
      </c>
      <c r="O7156" t="s">
        <v>31</v>
      </c>
      <c r="P7156" t="str">
        <f>"15235"</f>
        <v>15235</v>
      </c>
    </row>
    <row r="7157" spans="1:16" x14ac:dyDescent="0.25">
      <c r="A7157" t="str">
        <f>"1130174P00298    00"</f>
        <v>1130174P00298    00</v>
      </c>
      <c r="B7157" t="s">
        <v>16076</v>
      </c>
      <c r="C7157" t="s">
        <v>16077</v>
      </c>
      <c r="D7157" t="s">
        <v>20</v>
      </c>
      <c r="E7157" t="s">
        <v>39</v>
      </c>
      <c r="F7157">
        <v>0</v>
      </c>
      <c r="G7157">
        <v>0</v>
      </c>
      <c r="H7157">
        <v>14</v>
      </c>
      <c r="I7157" s="3">
        <v>8472.4599999999991</v>
      </c>
      <c r="J7157" s="3">
        <v>4682.63</v>
      </c>
      <c r="K7157" t="s">
        <v>16078</v>
      </c>
      <c r="L7157">
        <v>7506</v>
      </c>
      <c r="M7157" t="s">
        <v>12487</v>
      </c>
      <c r="N7157" t="s">
        <v>30</v>
      </c>
      <c r="O7157" t="s">
        <v>31</v>
      </c>
      <c r="P7157" t="str">
        <f>"15208"</f>
        <v>15208</v>
      </c>
    </row>
    <row r="7158" spans="1:16" x14ac:dyDescent="0.25">
      <c r="A7158" t="str">
        <f>"1130174P00308    00"</f>
        <v>1130174P00308    00</v>
      </c>
      <c r="B7158" t="s">
        <v>12570</v>
      </c>
      <c r="C7158" t="s">
        <v>16079</v>
      </c>
      <c r="D7158" t="s">
        <v>20</v>
      </c>
      <c r="E7158" t="s">
        <v>21</v>
      </c>
      <c r="F7158">
        <v>0</v>
      </c>
      <c r="G7158">
        <v>0</v>
      </c>
      <c r="H7158">
        <v>1</v>
      </c>
      <c r="I7158" s="3">
        <v>3099.16</v>
      </c>
      <c r="J7158" s="3">
        <v>0</v>
      </c>
      <c r="K7158" t="s">
        <v>12572</v>
      </c>
      <c r="L7158">
        <v>46</v>
      </c>
      <c r="M7158" t="s">
        <v>913</v>
      </c>
      <c r="N7158" t="s">
        <v>914</v>
      </c>
      <c r="O7158" t="s">
        <v>200</v>
      </c>
      <c r="P7158" t="str">
        <f>"10952"</f>
        <v>10952</v>
      </c>
    </row>
    <row r="7159" spans="1:16" x14ac:dyDescent="0.25">
      <c r="A7159" t="str">
        <f>"1130174P00334    00"</f>
        <v>1130174P00334    00</v>
      </c>
      <c r="B7159" t="s">
        <v>4450</v>
      </c>
      <c r="C7159" t="s">
        <v>16080</v>
      </c>
      <c r="D7159" t="s">
        <v>20</v>
      </c>
      <c r="E7159" t="s">
        <v>21</v>
      </c>
      <c r="F7159">
        <v>0</v>
      </c>
      <c r="G7159">
        <v>0</v>
      </c>
      <c r="H7159">
        <v>1</v>
      </c>
      <c r="I7159" s="3">
        <v>2576.91</v>
      </c>
      <c r="J7159" s="3">
        <v>0</v>
      </c>
      <c r="L7159">
        <v>7901</v>
      </c>
      <c r="M7159" t="s">
        <v>4452</v>
      </c>
      <c r="N7159" t="s">
        <v>30</v>
      </c>
      <c r="O7159" t="s">
        <v>31</v>
      </c>
      <c r="P7159" t="str">
        <f>"15221"</f>
        <v>15221</v>
      </c>
    </row>
    <row r="7160" spans="1:16" x14ac:dyDescent="0.25">
      <c r="A7160" t="str">
        <f>"1130174P00342    00"</f>
        <v>1130174P00342    00</v>
      </c>
      <c r="B7160" t="s">
        <v>4450</v>
      </c>
      <c r="C7160" t="s">
        <v>16081</v>
      </c>
      <c r="D7160" t="s">
        <v>20</v>
      </c>
      <c r="E7160" t="s">
        <v>39</v>
      </c>
      <c r="F7160">
        <v>0</v>
      </c>
      <c r="G7160">
        <v>0</v>
      </c>
      <c r="H7160">
        <v>1</v>
      </c>
      <c r="I7160" s="3">
        <v>124.22</v>
      </c>
      <c r="J7160" s="3">
        <v>0</v>
      </c>
      <c r="K7160" t="s">
        <v>16082</v>
      </c>
      <c r="L7160">
        <v>7232</v>
      </c>
      <c r="M7160" t="s">
        <v>11435</v>
      </c>
      <c r="N7160" t="s">
        <v>30</v>
      </c>
      <c r="O7160" t="s">
        <v>31</v>
      </c>
      <c r="P7160" t="str">
        <f>"15208"</f>
        <v>15208</v>
      </c>
    </row>
    <row r="7161" spans="1:16" x14ac:dyDescent="0.25">
      <c r="A7161" t="str">
        <f>"1130174P00343    00"</f>
        <v>1130174P00343    00</v>
      </c>
      <c r="B7161" t="s">
        <v>16083</v>
      </c>
      <c r="C7161" t="s">
        <v>16084</v>
      </c>
      <c r="D7161" t="s">
        <v>57</v>
      </c>
      <c r="E7161" t="s">
        <v>39</v>
      </c>
      <c r="F7161">
        <v>0</v>
      </c>
      <c r="G7161">
        <v>0</v>
      </c>
      <c r="H7161">
        <v>1</v>
      </c>
      <c r="I7161" s="3">
        <v>306.48</v>
      </c>
      <c r="J7161" s="3">
        <v>0</v>
      </c>
      <c r="L7161">
        <v>81</v>
      </c>
      <c r="M7161" t="s">
        <v>16085</v>
      </c>
      <c r="N7161" t="s">
        <v>30</v>
      </c>
      <c r="O7161" t="s">
        <v>31</v>
      </c>
      <c r="P7161" t="str">
        <f>"15202"</f>
        <v>15202</v>
      </c>
    </row>
    <row r="7162" spans="1:16" x14ac:dyDescent="0.25">
      <c r="A7162" t="str">
        <f>"1130174P00395    00"</f>
        <v>1130174P00395    00</v>
      </c>
      <c r="B7162" t="s">
        <v>16086</v>
      </c>
      <c r="C7162" t="s">
        <v>16087</v>
      </c>
      <c r="D7162" t="s">
        <v>20</v>
      </c>
      <c r="E7162" t="s">
        <v>39</v>
      </c>
      <c r="F7162">
        <v>0</v>
      </c>
      <c r="G7162">
        <v>0</v>
      </c>
      <c r="H7162">
        <v>1</v>
      </c>
      <c r="I7162" s="3">
        <v>13.75</v>
      </c>
      <c r="J7162" s="3">
        <v>0</v>
      </c>
      <c r="L7162">
        <v>7526</v>
      </c>
      <c r="M7162" t="s">
        <v>4452</v>
      </c>
      <c r="N7162" t="s">
        <v>30</v>
      </c>
      <c r="O7162" t="s">
        <v>31</v>
      </c>
      <c r="P7162" t="str">
        <f>"15208"</f>
        <v>15208</v>
      </c>
    </row>
    <row r="7163" spans="1:16" x14ac:dyDescent="0.25">
      <c r="A7163" t="str">
        <f>"1130174P00400    00"</f>
        <v>1130174P00400    00</v>
      </c>
      <c r="B7163" t="s">
        <v>15653</v>
      </c>
      <c r="C7163" t="s">
        <v>15342</v>
      </c>
      <c r="D7163" t="s">
        <v>20</v>
      </c>
      <c r="E7163" t="s">
        <v>21</v>
      </c>
      <c r="F7163">
        <v>0</v>
      </c>
      <c r="G7163">
        <v>0</v>
      </c>
      <c r="H7163">
        <v>2</v>
      </c>
      <c r="I7163" s="3">
        <v>232.56</v>
      </c>
      <c r="J7163" s="3">
        <v>0</v>
      </c>
      <c r="K7163" t="s">
        <v>15655</v>
      </c>
      <c r="L7163">
        <v>727</v>
      </c>
      <c r="M7163" t="s">
        <v>15656</v>
      </c>
      <c r="N7163" t="s">
        <v>30</v>
      </c>
      <c r="O7163" t="s">
        <v>31</v>
      </c>
      <c r="P7163" t="str">
        <f>"15221"</f>
        <v>15221</v>
      </c>
    </row>
    <row r="7164" spans="1:16" x14ac:dyDescent="0.25">
      <c r="A7164" t="str">
        <f>"1130174R00012    00"</f>
        <v>1130174R00012    00</v>
      </c>
      <c r="B7164" t="s">
        <v>11858</v>
      </c>
      <c r="C7164" t="s">
        <v>16088</v>
      </c>
      <c r="D7164" t="s">
        <v>20</v>
      </c>
      <c r="E7164" t="s">
        <v>21</v>
      </c>
      <c r="F7164">
        <v>0</v>
      </c>
      <c r="G7164">
        <v>0</v>
      </c>
      <c r="H7164">
        <v>1</v>
      </c>
      <c r="I7164" s="3">
        <v>1029.24</v>
      </c>
      <c r="J7164" s="3">
        <v>0</v>
      </c>
      <c r="K7164" t="s">
        <v>11860</v>
      </c>
      <c r="L7164">
        <v>46</v>
      </c>
      <c r="M7164" t="s">
        <v>913</v>
      </c>
      <c r="N7164" t="s">
        <v>914</v>
      </c>
      <c r="O7164" t="s">
        <v>200</v>
      </c>
      <c r="P7164" t="str">
        <f>"10952"</f>
        <v>10952</v>
      </c>
    </row>
    <row r="7165" spans="1:16" x14ac:dyDescent="0.25">
      <c r="A7165" t="str">
        <f>"1130174R00013    00"</f>
        <v>1130174R00013    00</v>
      </c>
      <c r="B7165" t="s">
        <v>16089</v>
      </c>
      <c r="C7165" t="s">
        <v>16090</v>
      </c>
      <c r="D7165" t="s">
        <v>20</v>
      </c>
      <c r="E7165" t="s">
        <v>39</v>
      </c>
      <c r="F7165">
        <v>0</v>
      </c>
      <c r="G7165">
        <v>0</v>
      </c>
      <c r="H7165">
        <v>2</v>
      </c>
      <c r="I7165" s="3">
        <v>244.94</v>
      </c>
      <c r="J7165" s="3">
        <v>0</v>
      </c>
      <c r="L7165">
        <v>7627</v>
      </c>
      <c r="M7165" t="s">
        <v>4452</v>
      </c>
      <c r="N7165" t="s">
        <v>30</v>
      </c>
      <c r="O7165" t="s">
        <v>31</v>
      </c>
      <c r="P7165" t="str">
        <f>"15208"</f>
        <v>15208</v>
      </c>
    </row>
    <row r="7166" spans="1:16" x14ac:dyDescent="0.25">
      <c r="A7166" t="str">
        <f>"1130174R00014    00"</f>
        <v>1130174R00014    00</v>
      </c>
      <c r="B7166" t="s">
        <v>12389</v>
      </c>
      <c r="C7166" t="s">
        <v>16091</v>
      </c>
      <c r="D7166" t="s">
        <v>20</v>
      </c>
      <c r="E7166" t="s">
        <v>39</v>
      </c>
      <c r="F7166">
        <v>0</v>
      </c>
      <c r="G7166">
        <v>0</v>
      </c>
      <c r="H7166">
        <v>6</v>
      </c>
      <c r="I7166" s="3">
        <v>1914.23</v>
      </c>
      <c r="J7166" s="3">
        <v>243.35</v>
      </c>
      <c r="L7166">
        <v>2781</v>
      </c>
      <c r="M7166" t="s">
        <v>16092</v>
      </c>
      <c r="N7166" t="s">
        <v>16093</v>
      </c>
      <c r="O7166" t="s">
        <v>31</v>
      </c>
      <c r="P7166" t="str">
        <f>"15650"</f>
        <v>15650</v>
      </c>
    </row>
    <row r="7167" spans="1:16" x14ac:dyDescent="0.25">
      <c r="A7167" t="str">
        <f>"1130174R00025    00"</f>
        <v>1130174R00025    00</v>
      </c>
      <c r="B7167" t="s">
        <v>16094</v>
      </c>
      <c r="C7167" t="s">
        <v>16095</v>
      </c>
      <c r="D7167" t="s">
        <v>20</v>
      </c>
      <c r="E7167" t="s">
        <v>39</v>
      </c>
      <c r="F7167">
        <v>0</v>
      </c>
      <c r="G7167">
        <v>0</v>
      </c>
      <c r="H7167">
        <v>2</v>
      </c>
      <c r="I7167" s="3">
        <v>449.82</v>
      </c>
      <c r="J7167" s="3">
        <v>0</v>
      </c>
      <c r="L7167">
        <v>2149</v>
      </c>
      <c r="M7167" t="s">
        <v>11098</v>
      </c>
      <c r="N7167" t="s">
        <v>295</v>
      </c>
      <c r="O7167" t="s">
        <v>31</v>
      </c>
      <c r="P7167" t="str">
        <f>"15146"</f>
        <v>15146</v>
      </c>
    </row>
    <row r="7168" spans="1:16" x14ac:dyDescent="0.25">
      <c r="A7168" t="str">
        <f>"1130174R00038    00"</f>
        <v>1130174R00038    00</v>
      </c>
      <c r="B7168" t="s">
        <v>16096</v>
      </c>
      <c r="C7168" t="s">
        <v>16097</v>
      </c>
      <c r="D7168" t="s">
        <v>20</v>
      </c>
      <c r="E7168" t="s">
        <v>39</v>
      </c>
      <c r="F7168">
        <v>0</v>
      </c>
      <c r="G7168">
        <v>0</v>
      </c>
      <c r="H7168">
        <v>7</v>
      </c>
      <c r="I7168" s="3">
        <v>631.82000000000005</v>
      </c>
      <c r="J7168" s="3">
        <v>174.1</v>
      </c>
      <c r="L7168">
        <v>7620</v>
      </c>
      <c r="M7168" t="s">
        <v>4452</v>
      </c>
      <c r="N7168" t="s">
        <v>30</v>
      </c>
      <c r="O7168" t="s">
        <v>31</v>
      </c>
      <c r="P7168" t="str">
        <f>"15208"</f>
        <v>15208</v>
      </c>
    </row>
    <row r="7169" spans="1:16" x14ac:dyDescent="0.25">
      <c r="A7169" t="str">
        <f>"1130174R00045    00"</f>
        <v>1130174R00045    00</v>
      </c>
      <c r="B7169" t="s">
        <v>16098</v>
      </c>
      <c r="C7169" t="s">
        <v>16099</v>
      </c>
      <c r="D7169" t="s">
        <v>20</v>
      </c>
      <c r="E7169" t="s">
        <v>39</v>
      </c>
      <c r="F7169">
        <v>0</v>
      </c>
      <c r="G7169">
        <v>0</v>
      </c>
      <c r="H7169">
        <v>10</v>
      </c>
      <c r="I7169" s="3">
        <v>2663.31</v>
      </c>
      <c r="J7169" s="3">
        <v>1140.3699999999999</v>
      </c>
      <c r="L7169">
        <v>7601</v>
      </c>
      <c r="M7169" t="s">
        <v>16100</v>
      </c>
      <c r="N7169" t="s">
        <v>509</v>
      </c>
      <c r="O7169" t="s">
        <v>31</v>
      </c>
      <c r="P7169" t="str">
        <f>"19118"</f>
        <v>19118</v>
      </c>
    </row>
    <row r="7170" spans="1:16" x14ac:dyDescent="0.25">
      <c r="A7170" t="str">
        <f>"1130174R00046    00"</f>
        <v>1130174R00046    00</v>
      </c>
      <c r="B7170" t="s">
        <v>16101</v>
      </c>
      <c r="C7170" t="s">
        <v>16102</v>
      </c>
      <c r="D7170" t="s">
        <v>20</v>
      </c>
      <c r="E7170" t="s">
        <v>39</v>
      </c>
      <c r="F7170">
        <v>0</v>
      </c>
      <c r="G7170">
        <v>0</v>
      </c>
      <c r="H7170">
        <v>13</v>
      </c>
      <c r="I7170" s="3">
        <v>3155.36</v>
      </c>
      <c r="J7170" s="3">
        <v>1922.25</v>
      </c>
      <c r="K7170" t="s">
        <v>16103</v>
      </c>
      <c r="L7170">
        <v>718</v>
      </c>
      <c r="M7170" t="s">
        <v>4069</v>
      </c>
      <c r="N7170" t="s">
        <v>30</v>
      </c>
      <c r="O7170" t="s">
        <v>31</v>
      </c>
      <c r="P7170" t="str">
        <f>"15208"</f>
        <v>15208</v>
      </c>
    </row>
    <row r="7171" spans="1:16" x14ac:dyDescent="0.25">
      <c r="A7171" t="str">
        <f>"1130174R00047    00"</f>
        <v>1130174R00047    00</v>
      </c>
      <c r="B7171" t="s">
        <v>16104</v>
      </c>
      <c r="C7171" t="s">
        <v>16105</v>
      </c>
      <c r="D7171" t="s">
        <v>20</v>
      </c>
      <c r="E7171" t="s">
        <v>39</v>
      </c>
      <c r="F7171">
        <v>0</v>
      </c>
      <c r="G7171">
        <v>0</v>
      </c>
      <c r="H7171">
        <v>1</v>
      </c>
      <c r="I7171" s="3">
        <v>69.430000000000007</v>
      </c>
      <c r="J7171" s="3">
        <v>19.09</v>
      </c>
      <c r="L7171">
        <v>8807</v>
      </c>
      <c r="M7171" t="s">
        <v>13958</v>
      </c>
      <c r="N7171" t="s">
        <v>30</v>
      </c>
      <c r="O7171" t="s">
        <v>31</v>
      </c>
      <c r="P7171" t="str">
        <f>"15221"</f>
        <v>15221</v>
      </c>
    </row>
    <row r="7172" spans="1:16" x14ac:dyDescent="0.25">
      <c r="A7172" t="str">
        <f>"1130174R00064    00"</f>
        <v>1130174R00064    00</v>
      </c>
      <c r="B7172" t="s">
        <v>16106</v>
      </c>
      <c r="C7172" t="s">
        <v>15722</v>
      </c>
      <c r="D7172" t="s">
        <v>20</v>
      </c>
      <c r="E7172" t="s">
        <v>39</v>
      </c>
      <c r="F7172">
        <v>0</v>
      </c>
      <c r="G7172">
        <v>0</v>
      </c>
      <c r="H7172">
        <v>17</v>
      </c>
      <c r="I7172" s="3">
        <v>245.82</v>
      </c>
      <c r="J7172" s="3">
        <v>288.58999999999997</v>
      </c>
      <c r="K7172" t="s">
        <v>16107</v>
      </c>
      <c r="M7172" t="s">
        <v>13661</v>
      </c>
      <c r="N7172" t="s">
        <v>30</v>
      </c>
      <c r="O7172" t="s">
        <v>31</v>
      </c>
      <c r="P7172" t="str">
        <f>"15206"</f>
        <v>15206</v>
      </c>
    </row>
    <row r="7173" spans="1:16" x14ac:dyDescent="0.25">
      <c r="A7173" t="str">
        <f>"1130174R00066    00"</f>
        <v>1130174R00066    00</v>
      </c>
      <c r="B7173" t="s">
        <v>16108</v>
      </c>
      <c r="C7173" t="s">
        <v>16109</v>
      </c>
      <c r="D7173" t="s">
        <v>20</v>
      </c>
      <c r="E7173" t="s">
        <v>39</v>
      </c>
      <c r="F7173">
        <v>0</v>
      </c>
      <c r="G7173">
        <v>0</v>
      </c>
      <c r="H7173">
        <v>2</v>
      </c>
      <c r="I7173" s="3">
        <v>998.8</v>
      </c>
      <c r="J7173" s="3">
        <v>0</v>
      </c>
      <c r="L7173">
        <v>7170</v>
      </c>
      <c r="M7173" t="s">
        <v>3702</v>
      </c>
      <c r="N7173" t="s">
        <v>30</v>
      </c>
      <c r="O7173" t="s">
        <v>31</v>
      </c>
      <c r="P7173" t="str">
        <f>"15206"</f>
        <v>15206</v>
      </c>
    </row>
    <row r="7174" spans="1:16" x14ac:dyDescent="0.25">
      <c r="A7174" t="str">
        <f>"1130174R00074    00"</f>
        <v>1130174R00074    00</v>
      </c>
      <c r="B7174" t="s">
        <v>16110</v>
      </c>
      <c r="C7174" t="s">
        <v>12491</v>
      </c>
      <c r="D7174" t="s">
        <v>20</v>
      </c>
      <c r="E7174" t="s">
        <v>39</v>
      </c>
      <c r="F7174">
        <v>0</v>
      </c>
      <c r="G7174">
        <v>0</v>
      </c>
      <c r="H7174">
        <v>19</v>
      </c>
      <c r="I7174" s="3">
        <v>2061.91</v>
      </c>
      <c r="J7174" s="3">
        <v>2169.79</v>
      </c>
      <c r="M7174" t="s">
        <v>16111</v>
      </c>
      <c r="N7174" t="s">
        <v>30</v>
      </c>
      <c r="O7174" t="s">
        <v>31</v>
      </c>
      <c r="P7174" t="str">
        <f>"15235"</f>
        <v>15235</v>
      </c>
    </row>
    <row r="7175" spans="1:16" x14ac:dyDescent="0.25">
      <c r="A7175" t="str">
        <f>"1130174R00089    00"</f>
        <v>1130174R00089    00</v>
      </c>
      <c r="B7175" t="s">
        <v>14053</v>
      </c>
      <c r="C7175" t="s">
        <v>16112</v>
      </c>
      <c r="D7175" t="s">
        <v>20</v>
      </c>
      <c r="E7175" t="s">
        <v>21</v>
      </c>
      <c r="F7175">
        <v>0</v>
      </c>
      <c r="G7175">
        <v>0</v>
      </c>
      <c r="H7175">
        <v>1</v>
      </c>
      <c r="I7175" s="3">
        <v>2058.48</v>
      </c>
      <c r="J7175" s="3">
        <v>0</v>
      </c>
      <c r="K7175" t="s">
        <v>12572</v>
      </c>
      <c r="L7175">
        <v>46</v>
      </c>
      <c r="M7175" t="s">
        <v>1451</v>
      </c>
      <c r="N7175" t="s">
        <v>914</v>
      </c>
      <c r="O7175" t="s">
        <v>200</v>
      </c>
      <c r="P7175" t="str">
        <f>"10952"</f>
        <v>10952</v>
      </c>
    </row>
    <row r="7176" spans="1:16" x14ac:dyDescent="0.25">
      <c r="A7176" t="str">
        <f>"1130174R00092    00"</f>
        <v>1130174R00092    00</v>
      </c>
      <c r="B7176" t="s">
        <v>12570</v>
      </c>
      <c r="C7176" t="s">
        <v>12491</v>
      </c>
      <c r="D7176" t="s">
        <v>20</v>
      </c>
      <c r="E7176" t="s">
        <v>39</v>
      </c>
      <c r="F7176">
        <v>0</v>
      </c>
      <c r="G7176">
        <v>0</v>
      </c>
      <c r="H7176">
        <v>1</v>
      </c>
      <c r="I7176" s="3">
        <v>19.059999999999999</v>
      </c>
      <c r="J7176" s="3">
        <v>0</v>
      </c>
      <c r="K7176" t="s">
        <v>16113</v>
      </c>
      <c r="L7176">
        <v>117</v>
      </c>
      <c r="M7176" t="s">
        <v>16114</v>
      </c>
      <c r="N7176" t="s">
        <v>139</v>
      </c>
      <c r="O7176" t="s">
        <v>31</v>
      </c>
      <c r="P7176" t="str">
        <f>"15090"</f>
        <v>15090</v>
      </c>
    </row>
    <row r="7177" spans="1:16" x14ac:dyDescent="0.25">
      <c r="A7177" t="str">
        <f>"1130174R00096    00"</f>
        <v>1130174R00096    00</v>
      </c>
      <c r="B7177" t="s">
        <v>16115</v>
      </c>
      <c r="C7177" t="s">
        <v>12491</v>
      </c>
      <c r="E7177" t="s">
        <v>39</v>
      </c>
      <c r="F7177">
        <v>0</v>
      </c>
      <c r="G7177">
        <v>0</v>
      </c>
      <c r="H7177">
        <v>14</v>
      </c>
      <c r="I7177" s="3">
        <v>3091.65</v>
      </c>
      <c r="J7177" s="3">
        <v>4317.5</v>
      </c>
      <c r="L7177">
        <v>212</v>
      </c>
      <c r="M7177" t="s">
        <v>7483</v>
      </c>
      <c r="N7177" t="s">
        <v>30</v>
      </c>
      <c r="O7177" t="s">
        <v>31</v>
      </c>
      <c r="P7177" t="str">
        <f>"15235"</f>
        <v>15235</v>
      </c>
    </row>
    <row r="7178" spans="1:16" x14ac:dyDescent="0.25">
      <c r="A7178" t="str">
        <f>"1130174R00097    00"</f>
        <v>1130174R00097    00</v>
      </c>
      <c r="B7178" t="s">
        <v>16116</v>
      </c>
      <c r="C7178" t="s">
        <v>16117</v>
      </c>
      <c r="D7178" t="s">
        <v>20</v>
      </c>
      <c r="E7178" t="s">
        <v>39</v>
      </c>
      <c r="F7178">
        <v>0</v>
      </c>
      <c r="G7178">
        <v>0</v>
      </c>
      <c r="H7178">
        <v>8</v>
      </c>
      <c r="I7178" s="3">
        <v>1828.57</v>
      </c>
      <c r="J7178" s="3">
        <v>674.51</v>
      </c>
      <c r="L7178">
        <v>7620</v>
      </c>
      <c r="M7178" t="s">
        <v>12487</v>
      </c>
      <c r="N7178" t="s">
        <v>30</v>
      </c>
      <c r="O7178" t="s">
        <v>31</v>
      </c>
      <c r="P7178" t="str">
        <f>"15208"</f>
        <v>15208</v>
      </c>
    </row>
    <row r="7179" spans="1:16" x14ac:dyDescent="0.25">
      <c r="A7179" t="str">
        <f>"1130174R00098    00"</f>
        <v>1130174R00098    00</v>
      </c>
      <c r="B7179" t="s">
        <v>16118</v>
      </c>
      <c r="C7179" t="s">
        <v>16119</v>
      </c>
      <c r="E7179" t="s">
        <v>39</v>
      </c>
      <c r="F7179">
        <v>0</v>
      </c>
      <c r="G7179">
        <v>0</v>
      </c>
      <c r="H7179">
        <v>5</v>
      </c>
      <c r="I7179" s="3">
        <v>3605.53</v>
      </c>
      <c r="J7179" s="3">
        <v>6303.43</v>
      </c>
      <c r="L7179">
        <v>7622</v>
      </c>
      <c r="M7179" t="s">
        <v>12487</v>
      </c>
      <c r="N7179" t="s">
        <v>30</v>
      </c>
      <c r="O7179" t="s">
        <v>31</v>
      </c>
      <c r="P7179" t="str">
        <f>"15208"</f>
        <v>15208</v>
      </c>
    </row>
    <row r="7180" spans="1:16" x14ac:dyDescent="0.25">
      <c r="A7180" t="str">
        <f>"1130174R00102    00"</f>
        <v>1130174R00102    00</v>
      </c>
      <c r="B7180" t="s">
        <v>16120</v>
      </c>
      <c r="C7180" t="s">
        <v>12491</v>
      </c>
      <c r="D7180" t="s">
        <v>20</v>
      </c>
      <c r="E7180" t="s">
        <v>39</v>
      </c>
      <c r="F7180">
        <v>0</v>
      </c>
      <c r="G7180">
        <v>0</v>
      </c>
      <c r="H7180">
        <v>19</v>
      </c>
      <c r="I7180" s="3">
        <v>1741.12</v>
      </c>
      <c r="J7180" s="3">
        <v>1887.75</v>
      </c>
      <c r="P7180" t="str">
        <f>""</f>
        <v/>
      </c>
    </row>
    <row r="7181" spans="1:16" x14ac:dyDescent="0.25">
      <c r="A7181" t="str">
        <f>"1130174R00103    00"</f>
        <v>1130174R00103    00</v>
      </c>
      <c r="B7181" t="s">
        <v>16121</v>
      </c>
      <c r="C7181" t="s">
        <v>12491</v>
      </c>
      <c r="D7181" t="s">
        <v>20</v>
      </c>
      <c r="E7181" t="s">
        <v>39</v>
      </c>
      <c r="F7181">
        <v>0</v>
      </c>
      <c r="G7181">
        <v>0</v>
      </c>
      <c r="H7181">
        <v>18</v>
      </c>
      <c r="I7181" s="3">
        <v>5040.2</v>
      </c>
      <c r="J7181" s="3">
        <v>5970.54</v>
      </c>
      <c r="L7181">
        <v>6076</v>
      </c>
      <c r="M7181" t="s">
        <v>16122</v>
      </c>
      <c r="N7181" t="s">
        <v>16123</v>
      </c>
      <c r="O7181" t="s">
        <v>31</v>
      </c>
      <c r="P7181" t="str">
        <f>"17202"</f>
        <v>17202</v>
      </c>
    </row>
    <row r="7182" spans="1:16" x14ac:dyDescent="0.25">
      <c r="A7182" t="str">
        <f>"1130174R00131    00"</f>
        <v>1130174R00131    00</v>
      </c>
      <c r="B7182" t="s">
        <v>16124</v>
      </c>
      <c r="C7182" t="s">
        <v>12651</v>
      </c>
      <c r="D7182" t="s">
        <v>20</v>
      </c>
      <c r="E7182" t="s">
        <v>21</v>
      </c>
      <c r="F7182">
        <v>0</v>
      </c>
      <c r="G7182">
        <v>0</v>
      </c>
      <c r="H7182">
        <v>1</v>
      </c>
      <c r="I7182" s="3">
        <v>112.46</v>
      </c>
      <c r="J7182" s="3">
        <v>0</v>
      </c>
      <c r="L7182">
        <v>748</v>
      </c>
      <c r="M7182" t="s">
        <v>12019</v>
      </c>
      <c r="N7182" t="s">
        <v>295</v>
      </c>
      <c r="O7182" t="s">
        <v>31</v>
      </c>
      <c r="P7182" t="str">
        <f>"15146"</f>
        <v>15146</v>
      </c>
    </row>
    <row r="7183" spans="1:16" x14ac:dyDescent="0.25">
      <c r="A7183" t="str">
        <f>"1130174R00133    00"</f>
        <v>1130174R00133    00</v>
      </c>
      <c r="B7183" t="s">
        <v>16124</v>
      </c>
      <c r="C7183" t="s">
        <v>12651</v>
      </c>
      <c r="D7183" t="s">
        <v>20</v>
      </c>
      <c r="E7183" t="s">
        <v>39</v>
      </c>
      <c r="F7183">
        <v>0</v>
      </c>
      <c r="G7183">
        <v>0</v>
      </c>
      <c r="H7183">
        <v>1</v>
      </c>
      <c r="I7183" s="3">
        <v>28.6</v>
      </c>
      <c r="J7183" s="3">
        <v>0</v>
      </c>
      <c r="L7183">
        <v>748</v>
      </c>
      <c r="M7183" t="s">
        <v>12019</v>
      </c>
      <c r="N7183" t="s">
        <v>295</v>
      </c>
      <c r="O7183" t="s">
        <v>31</v>
      </c>
      <c r="P7183" t="str">
        <f>"15146"</f>
        <v>15146</v>
      </c>
    </row>
    <row r="7184" spans="1:16" x14ac:dyDescent="0.25">
      <c r="A7184" t="str">
        <f>"1130174R00134    00"</f>
        <v>1130174R00134    00</v>
      </c>
      <c r="B7184" t="s">
        <v>16125</v>
      </c>
      <c r="C7184" t="s">
        <v>16126</v>
      </c>
      <c r="D7184" t="s">
        <v>20</v>
      </c>
      <c r="E7184" t="s">
        <v>39</v>
      </c>
      <c r="F7184">
        <v>0</v>
      </c>
      <c r="G7184">
        <v>0</v>
      </c>
      <c r="H7184">
        <v>4</v>
      </c>
      <c r="I7184" s="3">
        <v>1543.96</v>
      </c>
      <c r="J7184" s="3">
        <v>417.41</v>
      </c>
      <c r="K7184" t="s">
        <v>16127</v>
      </c>
      <c r="L7184">
        <v>5534</v>
      </c>
      <c r="M7184" t="s">
        <v>7845</v>
      </c>
      <c r="N7184" t="s">
        <v>30</v>
      </c>
      <c r="O7184" t="s">
        <v>31</v>
      </c>
      <c r="P7184" t="str">
        <f>"15206"</f>
        <v>15206</v>
      </c>
    </row>
    <row r="7185" spans="1:16" x14ac:dyDescent="0.25">
      <c r="A7185" t="str">
        <f>"1130174R00145    00"</f>
        <v>1130174R00145    00</v>
      </c>
      <c r="B7185" t="s">
        <v>12026</v>
      </c>
      <c r="C7185" t="s">
        <v>16128</v>
      </c>
      <c r="E7185" t="s">
        <v>21</v>
      </c>
      <c r="F7185">
        <v>0</v>
      </c>
      <c r="G7185">
        <v>0</v>
      </c>
      <c r="H7185">
        <v>2</v>
      </c>
      <c r="I7185" s="3">
        <v>571.79999999999995</v>
      </c>
      <c r="J7185" s="3">
        <v>57.18</v>
      </c>
      <c r="K7185" t="s">
        <v>13651</v>
      </c>
      <c r="L7185">
        <v>1723</v>
      </c>
      <c r="M7185" t="s">
        <v>12028</v>
      </c>
      <c r="N7185" t="s">
        <v>30</v>
      </c>
      <c r="O7185" t="s">
        <v>31</v>
      </c>
      <c r="P7185" t="str">
        <f>"15221"</f>
        <v>15221</v>
      </c>
    </row>
    <row r="7186" spans="1:16" x14ac:dyDescent="0.25">
      <c r="A7186" t="str">
        <f>"1130174R00148    00"</f>
        <v>1130174R00148    00</v>
      </c>
      <c r="B7186" t="s">
        <v>16129</v>
      </c>
      <c r="C7186" t="s">
        <v>16130</v>
      </c>
      <c r="D7186" t="s">
        <v>20</v>
      </c>
      <c r="E7186" t="s">
        <v>39</v>
      </c>
      <c r="F7186">
        <v>0</v>
      </c>
      <c r="G7186">
        <v>0</v>
      </c>
      <c r="H7186">
        <v>2</v>
      </c>
      <c r="I7186" s="3">
        <v>1448.56</v>
      </c>
      <c r="J7186" s="3">
        <v>0</v>
      </c>
      <c r="K7186" t="s">
        <v>16131</v>
      </c>
      <c r="L7186">
        <v>1121</v>
      </c>
      <c r="M7186" t="s">
        <v>7241</v>
      </c>
      <c r="N7186" t="s">
        <v>30</v>
      </c>
      <c r="O7186" t="s">
        <v>31</v>
      </c>
      <c r="P7186" t="str">
        <f>"15206"</f>
        <v>15206</v>
      </c>
    </row>
    <row r="7187" spans="1:16" x14ac:dyDescent="0.25">
      <c r="A7187" t="str">
        <f>"1130174R00152    00"</f>
        <v>1130174R00152    00</v>
      </c>
      <c r="B7187" t="s">
        <v>16132</v>
      </c>
      <c r="C7187" t="s">
        <v>12651</v>
      </c>
      <c r="D7187" t="s">
        <v>20</v>
      </c>
      <c r="E7187" t="s">
        <v>39</v>
      </c>
      <c r="F7187">
        <v>0</v>
      </c>
      <c r="G7187">
        <v>0</v>
      </c>
      <c r="H7187">
        <v>6</v>
      </c>
      <c r="I7187" s="3">
        <v>357.91</v>
      </c>
      <c r="J7187" s="3">
        <v>81.66</v>
      </c>
      <c r="K7187" t="s">
        <v>16133</v>
      </c>
      <c r="L7187">
        <v>2115</v>
      </c>
      <c r="M7187" t="s">
        <v>3993</v>
      </c>
      <c r="N7187" t="s">
        <v>30</v>
      </c>
      <c r="O7187" t="s">
        <v>31</v>
      </c>
      <c r="P7187" t="str">
        <f>"15221"</f>
        <v>15221</v>
      </c>
    </row>
    <row r="7188" spans="1:16" x14ac:dyDescent="0.25">
      <c r="A7188" t="str">
        <f>"1130174R00154    00"</f>
        <v>1130174R00154    00</v>
      </c>
      <c r="B7188" t="s">
        <v>16134</v>
      </c>
      <c r="C7188" t="s">
        <v>16135</v>
      </c>
      <c r="D7188" t="s">
        <v>20</v>
      </c>
      <c r="E7188" t="s">
        <v>39</v>
      </c>
      <c r="F7188">
        <v>0</v>
      </c>
      <c r="G7188">
        <v>0</v>
      </c>
      <c r="H7188">
        <v>5</v>
      </c>
      <c r="I7188" s="3">
        <v>1695.02</v>
      </c>
      <c r="J7188" s="3">
        <v>268.74</v>
      </c>
      <c r="K7188" t="s">
        <v>16136</v>
      </c>
      <c r="L7188">
        <v>2728</v>
      </c>
      <c r="M7188" t="s">
        <v>16137</v>
      </c>
      <c r="N7188" t="s">
        <v>16138</v>
      </c>
      <c r="O7188" t="s">
        <v>606</v>
      </c>
      <c r="P7188" t="str">
        <f>"30281"</f>
        <v>30281</v>
      </c>
    </row>
    <row r="7189" spans="1:16" x14ac:dyDescent="0.25">
      <c r="A7189" t="str">
        <f>"1130174R00155    00"</f>
        <v>1130174R00155    00</v>
      </c>
      <c r="B7189" t="s">
        <v>16139</v>
      </c>
      <c r="C7189" t="s">
        <v>12651</v>
      </c>
      <c r="D7189" t="s">
        <v>20</v>
      </c>
      <c r="E7189" t="s">
        <v>39</v>
      </c>
      <c r="F7189">
        <v>0</v>
      </c>
      <c r="G7189">
        <v>0</v>
      </c>
      <c r="H7189">
        <v>19</v>
      </c>
      <c r="I7189" s="3">
        <v>1890.98</v>
      </c>
      <c r="J7189" s="3">
        <v>1943.71</v>
      </c>
      <c r="P7189" t="str">
        <f>""</f>
        <v/>
      </c>
    </row>
    <row r="7190" spans="1:16" x14ac:dyDescent="0.25">
      <c r="A7190" t="str">
        <f>"1130174R00156    00"</f>
        <v>1130174R00156    00</v>
      </c>
      <c r="B7190" t="s">
        <v>16140</v>
      </c>
      <c r="C7190" t="s">
        <v>16141</v>
      </c>
      <c r="D7190" t="s">
        <v>20</v>
      </c>
      <c r="E7190" t="s">
        <v>39</v>
      </c>
      <c r="F7190">
        <v>0</v>
      </c>
      <c r="G7190">
        <v>0</v>
      </c>
      <c r="H7190">
        <v>1</v>
      </c>
      <c r="I7190" s="3">
        <v>11.46</v>
      </c>
      <c r="J7190" s="3">
        <v>0</v>
      </c>
      <c r="K7190" t="s">
        <v>10868</v>
      </c>
      <c r="L7190">
        <v>4425</v>
      </c>
      <c r="M7190" t="s">
        <v>10869</v>
      </c>
      <c r="N7190" t="s">
        <v>4652</v>
      </c>
      <c r="O7190" t="s">
        <v>370</v>
      </c>
      <c r="P7190" t="str">
        <f>"33146"</f>
        <v>33146</v>
      </c>
    </row>
    <row r="7191" spans="1:16" x14ac:dyDescent="0.25">
      <c r="A7191" t="str">
        <f>"1130174R00157    00"</f>
        <v>1130174R00157    00</v>
      </c>
      <c r="B7191" t="s">
        <v>16142</v>
      </c>
      <c r="C7191" t="s">
        <v>16143</v>
      </c>
      <c r="D7191" t="s">
        <v>20</v>
      </c>
      <c r="E7191" t="s">
        <v>39</v>
      </c>
      <c r="F7191">
        <v>0</v>
      </c>
      <c r="G7191">
        <v>0</v>
      </c>
      <c r="H7191">
        <v>19</v>
      </c>
      <c r="I7191" s="3">
        <v>6924.8</v>
      </c>
      <c r="J7191" s="3">
        <v>5750.53</v>
      </c>
      <c r="L7191">
        <v>621</v>
      </c>
      <c r="M7191" t="s">
        <v>16144</v>
      </c>
      <c r="N7191" t="s">
        <v>30</v>
      </c>
      <c r="O7191" t="s">
        <v>31</v>
      </c>
      <c r="P7191" t="str">
        <f>"15206"</f>
        <v>15206</v>
      </c>
    </row>
    <row r="7192" spans="1:16" x14ac:dyDescent="0.25">
      <c r="A7192" t="str">
        <f>"1130174R00177    00"</f>
        <v>1130174R00177    00</v>
      </c>
      <c r="B7192" t="s">
        <v>16145</v>
      </c>
      <c r="C7192" t="s">
        <v>13567</v>
      </c>
      <c r="D7192" t="s">
        <v>20</v>
      </c>
      <c r="E7192" t="s">
        <v>39</v>
      </c>
      <c r="F7192">
        <v>0</v>
      </c>
      <c r="G7192">
        <v>0</v>
      </c>
      <c r="H7192">
        <v>1</v>
      </c>
      <c r="I7192" s="3">
        <v>24.79</v>
      </c>
      <c r="J7192" s="3">
        <v>0</v>
      </c>
      <c r="L7192">
        <v>555</v>
      </c>
      <c r="M7192" t="s">
        <v>4069</v>
      </c>
      <c r="N7192" t="s">
        <v>30</v>
      </c>
      <c r="O7192" t="s">
        <v>31</v>
      </c>
      <c r="P7192" t="str">
        <f>"15208"</f>
        <v>15208</v>
      </c>
    </row>
    <row r="7193" spans="1:16" x14ac:dyDescent="0.25">
      <c r="A7193" t="str">
        <f>"1130174R00178    00"</f>
        <v>1130174R00178    00</v>
      </c>
      <c r="B7193" t="s">
        <v>16145</v>
      </c>
      <c r="C7193" t="s">
        <v>13567</v>
      </c>
      <c r="D7193" t="s">
        <v>20</v>
      </c>
      <c r="E7193" t="s">
        <v>39</v>
      </c>
      <c r="F7193">
        <v>0</v>
      </c>
      <c r="G7193">
        <v>0</v>
      </c>
      <c r="H7193">
        <v>1</v>
      </c>
      <c r="I7193" s="3">
        <v>24.79</v>
      </c>
      <c r="J7193" s="3">
        <v>0</v>
      </c>
      <c r="L7193">
        <v>555</v>
      </c>
      <c r="M7193" t="s">
        <v>4069</v>
      </c>
      <c r="N7193" t="s">
        <v>30</v>
      </c>
      <c r="O7193" t="s">
        <v>31</v>
      </c>
      <c r="P7193" t="str">
        <f>"15208"</f>
        <v>15208</v>
      </c>
    </row>
    <row r="7194" spans="1:16" x14ac:dyDescent="0.25">
      <c r="A7194" t="str">
        <f>"1130174R00183    00"</f>
        <v>1130174R00183    00</v>
      </c>
      <c r="B7194" t="s">
        <v>16146</v>
      </c>
      <c r="C7194" t="s">
        <v>13567</v>
      </c>
      <c r="E7194" t="s">
        <v>39</v>
      </c>
      <c r="F7194">
        <v>0</v>
      </c>
      <c r="G7194">
        <v>0</v>
      </c>
      <c r="H7194">
        <v>5</v>
      </c>
      <c r="I7194" s="3">
        <v>744.15</v>
      </c>
      <c r="J7194" s="3">
        <v>1084.6400000000001</v>
      </c>
      <c r="L7194">
        <v>125</v>
      </c>
      <c r="M7194" t="s">
        <v>16147</v>
      </c>
      <c r="N7194" t="s">
        <v>30</v>
      </c>
      <c r="O7194" t="s">
        <v>31</v>
      </c>
      <c r="P7194" t="str">
        <f>"15235"</f>
        <v>15235</v>
      </c>
    </row>
    <row r="7195" spans="1:16" x14ac:dyDescent="0.25">
      <c r="A7195" t="str">
        <f>"1130174R00186    00"</f>
        <v>1130174R00186    00</v>
      </c>
      <c r="B7195" t="s">
        <v>16148</v>
      </c>
      <c r="C7195" t="s">
        <v>16149</v>
      </c>
      <c r="D7195" t="s">
        <v>20</v>
      </c>
      <c r="E7195" t="s">
        <v>21</v>
      </c>
      <c r="F7195">
        <v>0</v>
      </c>
      <c r="G7195">
        <v>0</v>
      </c>
      <c r="H7195">
        <v>2</v>
      </c>
      <c r="I7195" s="3">
        <v>1219.76</v>
      </c>
      <c r="J7195" s="3">
        <v>0</v>
      </c>
      <c r="L7195">
        <v>721</v>
      </c>
      <c r="M7195" t="s">
        <v>12494</v>
      </c>
      <c r="N7195" t="s">
        <v>30</v>
      </c>
      <c r="O7195" t="s">
        <v>31</v>
      </c>
      <c r="P7195" t="str">
        <f>"15208"</f>
        <v>15208</v>
      </c>
    </row>
    <row r="7196" spans="1:16" x14ac:dyDescent="0.25">
      <c r="A7196" t="str">
        <f>"1130174R00196    00"</f>
        <v>1130174R00196    00</v>
      </c>
      <c r="B7196" t="s">
        <v>16150</v>
      </c>
      <c r="C7196" t="s">
        <v>16151</v>
      </c>
      <c r="D7196" t="s">
        <v>20</v>
      </c>
      <c r="E7196" t="s">
        <v>21</v>
      </c>
      <c r="F7196">
        <v>0</v>
      </c>
      <c r="G7196">
        <v>0</v>
      </c>
      <c r="H7196">
        <v>8</v>
      </c>
      <c r="I7196" s="3">
        <v>6215.95</v>
      </c>
      <c r="J7196" s="3">
        <v>2226.4699999999998</v>
      </c>
      <c r="K7196" t="s">
        <v>16152</v>
      </c>
      <c r="L7196">
        <v>52</v>
      </c>
      <c r="M7196" t="s">
        <v>16153</v>
      </c>
      <c r="N7196" t="s">
        <v>30</v>
      </c>
      <c r="O7196" t="s">
        <v>31</v>
      </c>
      <c r="P7196" t="str">
        <f>"15235"</f>
        <v>15235</v>
      </c>
    </row>
    <row r="7197" spans="1:16" x14ac:dyDescent="0.25">
      <c r="A7197" t="str">
        <f>"1130174R00197    00"</f>
        <v>1130174R00197    00</v>
      </c>
      <c r="B7197" t="s">
        <v>16150</v>
      </c>
      <c r="C7197" t="s">
        <v>16154</v>
      </c>
      <c r="D7197" t="s">
        <v>20</v>
      </c>
      <c r="E7197" t="s">
        <v>21</v>
      </c>
      <c r="F7197">
        <v>0</v>
      </c>
      <c r="G7197">
        <v>0</v>
      </c>
      <c r="H7197">
        <v>4</v>
      </c>
      <c r="I7197" s="3">
        <v>829.92</v>
      </c>
      <c r="J7197" s="3">
        <v>102.2</v>
      </c>
      <c r="K7197" t="s">
        <v>16152</v>
      </c>
      <c r="L7197">
        <v>52</v>
      </c>
      <c r="M7197" t="s">
        <v>16153</v>
      </c>
      <c r="N7197" t="s">
        <v>30</v>
      </c>
      <c r="O7197" t="s">
        <v>31</v>
      </c>
      <c r="P7197" t="str">
        <f>"15235"</f>
        <v>15235</v>
      </c>
    </row>
    <row r="7198" spans="1:16" x14ac:dyDescent="0.25">
      <c r="A7198" t="str">
        <f>"1130174R00198    00"</f>
        <v>1130174R00198    00</v>
      </c>
      <c r="B7198" t="s">
        <v>16155</v>
      </c>
      <c r="C7198" t="s">
        <v>13567</v>
      </c>
      <c r="E7198" t="s">
        <v>21</v>
      </c>
      <c r="F7198">
        <v>0</v>
      </c>
      <c r="G7198">
        <v>0</v>
      </c>
      <c r="H7198">
        <v>1</v>
      </c>
      <c r="I7198" s="3">
        <v>188.7</v>
      </c>
      <c r="J7198" s="3">
        <v>37.75</v>
      </c>
      <c r="L7198">
        <v>7803</v>
      </c>
      <c r="M7198" t="s">
        <v>11435</v>
      </c>
      <c r="N7198" t="s">
        <v>30</v>
      </c>
      <c r="O7198" t="s">
        <v>31</v>
      </c>
      <c r="P7198" t="str">
        <f>"15208"</f>
        <v>15208</v>
      </c>
    </row>
    <row r="7199" spans="1:16" x14ac:dyDescent="0.25">
      <c r="A7199" t="str">
        <f>"1130174R00200    00"</f>
        <v>1130174R00200    00</v>
      </c>
      <c r="B7199" t="s">
        <v>16155</v>
      </c>
      <c r="C7199" t="s">
        <v>13567</v>
      </c>
      <c r="E7199" t="s">
        <v>21</v>
      </c>
      <c r="F7199">
        <v>0</v>
      </c>
      <c r="G7199">
        <v>0</v>
      </c>
      <c r="H7199">
        <v>1</v>
      </c>
      <c r="I7199" s="3">
        <v>263.02999999999997</v>
      </c>
      <c r="J7199" s="3">
        <v>52.61</v>
      </c>
      <c r="L7199">
        <v>7803</v>
      </c>
      <c r="M7199" t="s">
        <v>11435</v>
      </c>
      <c r="N7199" t="s">
        <v>30</v>
      </c>
      <c r="O7199" t="s">
        <v>31</v>
      </c>
      <c r="P7199" t="str">
        <f>"15208"</f>
        <v>15208</v>
      </c>
    </row>
    <row r="7200" spans="1:16" x14ac:dyDescent="0.25">
      <c r="A7200" t="str">
        <f>"1130174R00204    00"</f>
        <v>1130174R00204    00</v>
      </c>
      <c r="B7200" t="s">
        <v>16155</v>
      </c>
      <c r="C7200" t="s">
        <v>16156</v>
      </c>
      <c r="E7200" t="s">
        <v>21</v>
      </c>
      <c r="F7200">
        <v>0</v>
      </c>
      <c r="G7200">
        <v>0</v>
      </c>
      <c r="H7200">
        <v>2</v>
      </c>
      <c r="I7200" s="3">
        <v>1997.5</v>
      </c>
      <c r="J7200" s="3">
        <v>199.75</v>
      </c>
      <c r="L7200">
        <v>7803</v>
      </c>
      <c r="M7200" t="s">
        <v>11435</v>
      </c>
      <c r="N7200" t="s">
        <v>30</v>
      </c>
      <c r="O7200" t="s">
        <v>31</v>
      </c>
      <c r="P7200" t="str">
        <f>"15208"</f>
        <v>15208</v>
      </c>
    </row>
    <row r="7201" spans="1:16" x14ac:dyDescent="0.25">
      <c r="A7201" t="str">
        <f>"1130174R00208    00"</f>
        <v>1130174R00208    00</v>
      </c>
      <c r="B7201" t="s">
        <v>16155</v>
      </c>
      <c r="C7201" t="s">
        <v>13567</v>
      </c>
      <c r="E7201" t="s">
        <v>39</v>
      </c>
      <c r="F7201">
        <v>0</v>
      </c>
      <c r="G7201">
        <v>0</v>
      </c>
      <c r="H7201">
        <v>2</v>
      </c>
      <c r="I7201" s="3">
        <v>156.32</v>
      </c>
      <c r="J7201" s="3">
        <v>15.64</v>
      </c>
      <c r="L7201">
        <v>7803</v>
      </c>
      <c r="M7201" t="s">
        <v>11435</v>
      </c>
      <c r="N7201" t="s">
        <v>30</v>
      </c>
      <c r="O7201" t="s">
        <v>31</v>
      </c>
      <c r="P7201" t="str">
        <f>"15208"</f>
        <v>15208</v>
      </c>
    </row>
    <row r="7202" spans="1:16" x14ac:dyDescent="0.25">
      <c r="A7202" t="str">
        <f>"1130174R00209    00"</f>
        <v>1130174R00209    00</v>
      </c>
      <c r="B7202" t="s">
        <v>16155</v>
      </c>
      <c r="C7202" t="s">
        <v>16157</v>
      </c>
      <c r="E7202" t="s">
        <v>39</v>
      </c>
      <c r="F7202">
        <v>0</v>
      </c>
      <c r="G7202">
        <v>0</v>
      </c>
      <c r="H7202">
        <v>2</v>
      </c>
      <c r="I7202" s="3">
        <v>2958.16</v>
      </c>
      <c r="J7202" s="3">
        <v>295.81</v>
      </c>
      <c r="L7202">
        <v>7803</v>
      </c>
      <c r="M7202" t="s">
        <v>11435</v>
      </c>
      <c r="N7202" t="s">
        <v>30</v>
      </c>
      <c r="O7202" t="s">
        <v>31</v>
      </c>
      <c r="P7202" t="str">
        <f>"15208"</f>
        <v>15208</v>
      </c>
    </row>
    <row r="7203" spans="1:16" x14ac:dyDescent="0.25">
      <c r="A7203" t="str">
        <f>"1130174R00212    00"</f>
        <v>1130174R00212    00</v>
      </c>
      <c r="B7203" t="s">
        <v>12570</v>
      </c>
      <c r="C7203" t="s">
        <v>16158</v>
      </c>
      <c r="D7203" t="s">
        <v>20</v>
      </c>
      <c r="E7203" t="s">
        <v>39</v>
      </c>
      <c r="F7203">
        <v>0</v>
      </c>
      <c r="G7203">
        <v>0</v>
      </c>
      <c r="H7203">
        <v>1</v>
      </c>
      <c r="I7203" s="3">
        <v>19.059999999999999</v>
      </c>
      <c r="J7203" s="3">
        <v>0</v>
      </c>
      <c r="K7203" t="s">
        <v>12572</v>
      </c>
      <c r="L7203">
        <v>46</v>
      </c>
      <c r="M7203" t="s">
        <v>913</v>
      </c>
      <c r="N7203" t="s">
        <v>914</v>
      </c>
      <c r="O7203" t="s">
        <v>200</v>
      </c>
      <c r="P7203" t="str">
        <f>"10952"</f>
        <v>10952</v>
      </c>
    </row>
    <row r="7204" spans="1:16" x14ac:dyDescent="0.25">
      <c r="A7204" t="str">
        <f>"1130174R00226    00"</f>
        <v>1130174R00226    00</v>
      </c>
      <c r="B7204" t="s">
        <v>16159</v>
      </c>
      <c r="C7204" t="s">
        <v>16160</v>
      </c>
      <c r="D7204" t="s">
        <v>20</v>
      </c>
      <c r="E7204" t="s">
        <v>21</v>
      </c>
      <c r="F7204">
        <v>0</v>
      </c>
      <c r="G7204">
        <v>0</v>
      </c>
      <c r="H7204">
        <v>1</v>
      </c>
      <c r="I7204" s="3">
        <v>424.35</v>
      </c>
      <c r="J7204" s="3">
        <v>0</v>
      </c>
      <c r="L7204">
        <v>9804</v>
      </c>
      <c r="M7204" t="s">
        <v>11939</v>
      </c>
      <c r="N7204" t="s">
        <v>30</v>
      </c>
      <c r="O7204" t="s">
        <v>31</v>
      </c>
      <c r="P7204" t="str">
        <f>"15235"</f>
        <v>15235</v>
      </c>
    </row>
    <row r="7205" spans="1:16" x14ac:dyDescent="0.25">
      <c r="A7205" t="str">
        <f>"1130174R00234    00"</f>
        <v>1130174R00234    00</v>
      </c>
      <c r="B7205" t="s">
        <v>16161</v>
      </c>
      <c r="C7205" t="s">
        <v>16162</v>
      </c>
      <c r="D7205" t="s">
        <v>20</v>
      </c>
      <c r="E7205" t="s">
        <v>39</v>
      </c>
      <c r="F7205">
        <v>0</v>
      </c>
      <c r="G7205">
        <v>0</v>
      </c>
      <c r="H7205">
        <v>3</v>
      </c>
      <c r="I7205" s="3">
        <v>1348.07</v>
      </c>
      <c r="J7205" s="3">
        <v>23.35</v>
      </c>
      <c r="L7205">
        <v>806</v>
      </c>
      <c r="M7205" t="s">
        <v>12494</v>
      </c>
      <c r="N7205" t="s">
        <v>30</v>
      </c>
      <c r="O7205" t="s">
        <v>31</v>
      </c>
      <c r="P7205" t="str">
        <f>"15208"</f>
        <v>15208</v>
      </c>
    </row>
    <row r="7206" spans="1:16" x14ac:dyDescent="0.25">
      <c r="A7206" t="str">
        <f>"1130174R00236    00"</f>
        <v>1130174R00236    00</v>
      </c>
      <c r="B7206" t="s">
        <v>14180</v>
      </c>
      <c r="C7206" t="s">
        <v>16163</v>
      </c>
      <c r="D7206" t="s">
        <v>20</v>
      </c>
      <c r="E7206" t="s">
        <v>39</v>
      </c>
      <c r="F7206">
        <v>0</v>
      </c>
      <c r="G7206">
        <v>0</v>
      </c>
      <c r="H7206">
        <v>14</v>
      </c>
      <c r="I7206" s="3">
        <v>12534.98</v>
      </c>
      <c r="J7206" s="3">
        <v>13039.83</v>
      </c>
      <c r="M7206" t="s">
        <v>14182</v>
      </c>
      <c r="N7206" t="s">
        <v>546</v>
      </c>
      <c r="O7206" t="s">
        <v>31</v>
      </c>
      <c r="P7206" t="str">
        <f>"15044"</f>
        <v>15044</v>
      </c>
    </row>
    <row r="7207" spans="1:16" x14ac:dyDescent="0.25">
      <c r="A7207" t="str">
        <f>"1130174R00239    00"</f>
        <v>1130174R00239    00</v>
      </c>
      <c r="B7207" t="s">
        <v>15723</v>
      </c>
      <c r="C7207" t="s">
        <v>13567</v>
      </c>
      <c r="D7207" t="s">
        <v>20</v>
      </c>
      <c r="E7207" t="s">
        <v>39</v>
      </c>
      <c r="F7207">
        <v>0</v>
      </c>
      <c r="G7207">
        <v>0</v>
      </c>
      <c r="H7207">
        <v>1</v>
      </c>
      <c r="I7207" s="3">
        <v>62.91</v>
      </c>
      <c r="J7207" s="3">
        <v>0</v>
      </c>
      <c r="K7207" t="s">
        <v>15724</v>
      </c>
      <c r="L7207">
        <v>7232</v>
      </c>
      <c r="M7207" t="s">
        <v>872</v>
      </c>
      <c r="N7207" t="s">
        <v>30</v>
      </c>
      <c r="O7207" t="s">
        <v>31</v>
      </c>
      <c r="P7207" t="str">
        <f>"15208"</f>
        <v>15208</v>
      </c>
    </row>
    <row r="7208" spans="1:16" x14ac:dyDescent="0.25">
      <c r="A7208" t="str">
        <f>"1130174R00240    00"</f>
        <v>1130174R00240    00</v>
      </c>
      <c r="B7208" t="s">
        <v>15723</v>
      </c>
      <c r="C7208" t="s">
        <v>13567</v>
      </c>
      <c r="D7208" t="s">
        <v>20</v>
      </c>
      <c r="E7208" t="s">
        <v>39</v>
      </c>
      <c r="F7208">
        <v>0</v>
      </c>
      <c r="G7208">
        <v>0</v>
      </c>
      <c r="H7208">
        <v>1</v>
      </c>
      <c r="I7208" s="3">
        <v>62.91</v>
      </c>
      <c r="J7208" s="3">
        <v>0</v>
      </c>
      <c r="K7208" t="s">
        <v>15724</v>
      </c>
      <c r="L7208">
        <v>7232</v>
      </c>
      <c r="M7208" t="s">
        <v>872</v>
      </c>
      <c r="N7208" t="s">
        <v>30</v>
      </c>
      <c r="O7208" t="s">
        <v>31</v>
      </c>
      <c r="P7208" t="str">
        <f>"15208"</f>
        <v>15208</v>
      </c>
    </row>
    <row r="7209" spans="1:16" x14ac:dyDescent="0.25">
      <c r="A7209" t="str">
        <f>"1130174R00272    00"</f>
        <v>1130174R00272    00</v>
      </c>
      <c r="B7209" t="s">
        <v>16164</v>
      </c>
      <c r="C7209" t="s">
        <v>12651</v>
      </c>
      <c r="D7209" t="s">
        <v>20</v>
      </c>
      <c r="E7209" t="s">
        <v>39</v>
      </c>
      <c r="F7209">
        <v>0</v>
      </c>
      <c r="G7209">
        <v>0</v>
      </c>
      <c r="H7209">
        <v>19</v>
      </c>
      <c r="I7209" s="3">
        <v>1694.32</v>
      </c>
      <c r="J7209" s="3">
        <v>1840.39</v>
      </c>
      <c r="K7209" t="s">
        <v>16165</v>
      </c>
      <c r="L7209">
        <v>1935</v>
      </c>
      <c r="M7209" t="s">
        <v>16166</v>
      </c>
      <c r="N7209" t="s">
        <v>16167</v>
      </c>
      <c r="O7209" t="s">
        <v>1413</v>
      </c>
      <c r="P7209" t="str">
        <f>"28451"</f>
        <v>28451</v>
      </c>
    </row>
    <row r="7210" spans="1:16" x14ac:dyDescent="0.25">
      <c r="A7210" t="str">
        <f>"1130174R00273    00"</f>
        <v>1130174R00273    00</v>
      </c>
      <c r="B7210" t="s">
        <v>16168</v>
      </c>
      <c r="C7210" t="s">
        <v>16169</v>
      </c>
      <c r="D7210" t="s">
        <v>20</v>
      </c>
      <c r="E7210" t="s">
        <v>39</v>
      </c>
      <c r="F7210">
        <v>0</v>
      </c>
      <c r="G7210">
        <v>0</v>
      </c>
      <c r="H7210">
        <v>4</v>
      </c>
      <c r="I7210" s="3">
        <v>1151.3599999999999</v>
      </c>
      <c r="J7210" s="3">
        <v>93.41</v>
      </c>
      <c r="L7210">
        <v>213</v>
      </c>
      <c r="M7210" t="s">
        <v>16170</v>
      </c>
      <c r="N7210" t="s">
        <v>295</v>
      </c>
      <c r="O7210" t="s">
        <v>31</v>
      </c>
      <c r="P7210" t="str">
        <f>"15146"</f>
        <v>15146</v>
      </c>
    </row>
    <row r="7211" spans="1:16" x14ac:dyDescent="0.25">
      <c r="A7211" t="str">
        <f>"1130174R00300    00"</f>
        <v>1130174R00300    00</v>
      </c>
      <c r="B7211" t="s">
        <v>11858</v>
      </c>
      <c r="C7211" t="s">
        <v>16171</v>
      </c>
      <c r="D7211" t="s">
        <v>20</v>
      </c>
      <c r="E7211" t="s">
        <v>39</v>
      </c>
      <c r="F7211">
        <v>0</v>
      </c>
      <c r="G7211">
        <v>0</v>
      </c>
      <c r="H7211">
        <v>1</v>
      </c>
      <c r="I7211" s="3">
        <v>686.18</v>
      </c>
      <c r="J7211" s="3">
        <v>0</v>
      </c>
      <c r="K7211" t="s">
        <v>11860</v>
      </c>
      <c r="L7211">
        <v>46</v>
      </c>
      <c r="M7211" t="s">
        <v>913</v>
      </c>
      <c r="N7211" t="s">
        <v>914</v>
      </c>
      <c r="O7211" t="s">
        <v>200</v>
      </c>
      <c r="P7211" t="str">
        <f>"10952"</f>
        <v>10952</v>
      </c>
    </row>
    <row r="7212" spans="1:16" x14ac:dyDescent="0.25">
      <c r="A7212" t="str">
        <f>"1130174R00300A   00"</f>
        <v>1130174R00300A   00</v>
      </c>
      <c r="B7212" t="s">
        <v>16172</v>
      </c>
      <c r="C7212" t="s">
        <v>12646</v>
      </c>
      <c r="D7212" t="s">
        <v>20</v>
      </c>
      <c r="E7212" t="s">
        <v>39</v>
      </c>
      <c r="F7212">
        <v>0</v>
      </c>
      <c r="G7212">
        <v>0</v>
      </c>
      <c r="H7212">
        <v>17</v>
      </c>
      <c r="I7212" s="3">
        <v>329.76</v>
      </c>
      <c r="J7212" s="3">
        <v>295.29000000000002</v>
      </c>
      <c r="P7212" t="str">
        <f>""</f>
        <v/>
      </c>
    </row>
    <row r="7213" spans="1:16" x14ac:dyDescent="0.25">
      <c r="A7213" t="str">
        <f>"1130174R00302    00"</f>
        <v>1130174R00302    00</v>
      </c>
      <c r="B7213" t="s">
        <v>16173</v>
      </c>
      <c r="C7213" t="s">
        <v>12491</v>
      </c>
      <c r="D7213" t="s">
        <v>20</v>
      </c>
      <c r="E7213" t="s">
        <v>39</v>
      </c>
      <c r="F7213">
        <v>0</v>
      </c>
      <c r="G7213">
        <v>0</v>
      </c>
      <c r="H7213">
        <v>4</v>
      </c>
      <c r="I7213" s="3">
        <v>160.58000000000001</v>
      </c>
      <c r="J7213" s="3">
        <v>11.5</v>
      </c>
      <c r="K7213" t="s">
        <v>16174</v>
      </c>
      <c r="L7213">
        <v>182</v>
      </c>
      <c r="M7213" t="s">
        <v>16175</v>
      </c>
      <c r="N7213" t="s">
        <v>16176</v>
      </c>
      <c r="O7213" t="s">
        <v>606</v>
      </c>
      <c r="P7213" t="str">
        <f>"31204"</f>
        <v>31204</v>
      </c>
    </row>
    <row r="7214" spans="1:16" x14ac:dyDescent="0.25">
      <c r="A7214" t="str">
        <f>"1130174R00304    00"</f>
        <v>1130174R00304    00</v>
      </c>
      <c r="B7214" t="s">
        <v>16177</v>
      </c>
      <c r="C7214" t="s">
        <v>12491</v>
      </c>
      <c r="D7214" t="s">
        <v>20</v>
      </c>
      <c r="E7214" t="s">
        <v>39</v>
      </c>
      <c r="F7214">
        <v>0</v>
      </c>
      <c r="G7214">
        <v>0</v>
      </c>
      <c r="H7214">
        <v>17</v>
      </c>
      <c r="I7214" s="3">
        <v>421.94</v>
      </c>
      <c r="J7214" s="3">
        <v>393.43</v>
      </c>
      <c r="L7214">
        <v>120</v>
      </c>
      <c r="M7214" t="s">
        <v>14900</v>
      </c>
      <c r="N7214" t="s">
        <v>295</v>
      </c>
      <c r="O7214" t="s">
        <v>31</v>
      </c>
      <c r="P7214" t="str">
        <f>"15146"</f>
        <v>15146</v>
      </c>
    </row>
    <row r="7215" spans="1:16" x14ac:dyDescent="0.25">
      <c r="A7215" t="str">
        <f>"1130174R00314A   00"</f>
        <v>1130174R00314A   00</v>
      </c>
      <c r="B7215" t="s">
        <v>16178</v>
      </c>
      <c r="C7215" t="s">
        <v>16179</v>
      </c>
      <c r="D7215" t="s">
        <v>20</v>
      </c>
      <c r="E7215" t="s">
        <v>39</v>
      </c>
      <c r="F7215">
        <v>0</v>
      </c>
      <c r="G7215">
        <v>0</v>
      </c>
      <c r="H7215">
        <v>11</v>
      </c>
      <c r="I7215" s="3">
        <v>305.02999999999997</v>
      </c>
      <c r="J7215" s="3">
        <v>145.66999999999999</v>
      </c>
      <c r="L7215">
        <v>7743</v>
      </c>
      <c r="M7215" t="s">
        <v>12487</v>
      </c>
      <c r="N7215" t="s">
        <v>30</v>
      </c>
      <c r="O7215" t="s">
        <v>31</v>
      </c>
      <c r="P7215" t="str">
        <f>"15208"</f>
        <v>15208</v>
      </c>
    </row>
    <row r="7216" spans="1:16" x14ac:dyDescent="0.25">
      <c r="A7216" t="str">
        <f>"1130174R00316    00"</f>
        <v>1130174R00316    00</v>
      </c>
      <c r="B7216" t="s">
        <v>11567</v>
      </c>
      <c r="C7216" t="s">
        <v>16180</v>
      </c>
      <c r="E7216" t="s">
        <v>39</v>
      </c>
      <c r="F7216">
        <v>0</v>
      </c>
      <c r="G7216">
        <v>0</v>
      </c>
      <c r="H7216">
        <v>8</v>
      </c>
      <c r="I7216" s="3">
        <v>2180.09</v>
      </c>
      <c r="J7216" s="3">
        <v>1173.79</v>
      </c>
      <c r="K7216" t="s">
        <v>14453</v>
      </c>
      <c r="M7216" t="s">
        <v>11134</v>
      </c>
      <c r="N7216" t="s">
        <v>30</v>
      </c>
      <c r="O7216" t="s">
        <v>31</v>
      </c>
      <c r="P7216" t="str">
        <f>"15224"</f>
        <v>15224</v>
      </c>
    </row>
    <row r="7217" spans="1:16" x14ac:dyDescent="0.25">
      <c r="A7217" t="str">
        <f>"1130174R00344    00"</f>
        <v>1130174R00344    00</v>
      </c>
      <c r="B7217" t="s">
        <v>16181</v>
      </c>
      <c r="C7217" t="s">
        <v>16182</v>
      </c>
      <c r="D7217" t="s">
        <v>20</v>
      </c>
      <c r="E7217" t="s">
        <v>39</v>
      </c>
      <c r="F7217">
        <v>0</v>
      </c>
      <c r="G7217">
        <v>0</v>
      </c>
      <c r="H7217">
        <v>2</v>
      </c>
      <c r="I7217" s="3">
        <v>895.84</v>
      </c>
      <c r="J7217" s="3">
        <v>0</v>
      </c>
      <c r="L7217">
        <v>650</v>
      </c>
      <c r="M7217" t="s">
        <v>4012</v>
      </c>
      <c r="N7217" t="s">
        <v>30</v>
      </c>
      <c r="O7217" t="s">
        <v>31</v>
      </c>
      <c r="P7217" t="str">
        <f>"15235"</f>
        <v>15235</v>
      </c>
    </row>
    <row r="7218" spans="1:16" x14ac:dyDescent="0.25">
      <c r="A7218" t="str">
        <f>"1130174R00345    00"</f>
        <v>1130174R00345    00</v>
      </c>
      <c r="B7218" t="s">
        <v>16183</v>
      </c>
      <c r="C7218" t="s">
        <v>16184</v>
      </c>
      <c r="D7218" t="s">
        <v>20</v>
      </c>
      <c r="E7218" t="s">
        <v>39</v>
      </c>
      <c r="F7218">
        <v>0</v>
      </c>
      <c r="G7218">
        <v>0</v>
      </c>
      <c r="H7218">
        <v>13</v>
      </c>
      <c r="I7218" s="3">
        <v>5674.23</v>
      </c>
      <c r="J7218" s="3">
        <v>3043.67</v>
      </c>
      <c r="L7218">
        <v>7706</v>
      </c>
      <c r="M7218" t="s">
        <v>4452</v>
      </c>
      <c r="N7218" t="s">
        <v>30</v>
      </c>
      <c r="O7218" t="s">
        <v>31</v>
      </c>
      <c r="P7218" t="str">
        <f>"15208"</f>
        <v>15208</v>
      </c>
    </row>
    <row r="7219" spans="1:16" x14ac:dyDescent="0.25">
      <c r="A7219" t="str">
        <f>"1130174R00348    00"</f>
        <v>1130174R00348    00</v>
      </c>
      <c r="B7219" t="s">
        <v>16185</v>
      </c>
      <c r="C7219" t="s">
        <v>16186</v>
      </c>
      <c r="D7219" t="s">
        <v>20</v>
      </c>
      <c r="E7219" t="s">
        <v>39</v>
      </c>
      <c r="F7219">
        <v>0</v>
      </c>
      <c r="G7219">
        <v>0</v>
      </c>
      <c r="H7219">
        <v>1</v>
      </c>
      <c r="I7219" s="3">
        <v>859.62</v>
      </c>
      <c r="J7219" s="3">
        <v>0</v>
      </c>
      <c r="L7219">
        <v>7712</v>
      </c>
      <c r="M7219" t="s">
        <v>4452</v>
      </c>
      <c r="N7219" t="s">
        <v>30</v>
      </c>
      <c r="O7219" t="s">
        <v>31</v>
      </c>
      <c r="P7219" t="str">
        <f>"15208"</f>
        <v>15208</v>
      </c>
    </row>
    <row r="7220" spans="1:16" x14ac:dyDescent="0.25">
      <c r="A7220" t="str">
        <f>"1130174R00350    00"</f>
        <v>1130174R00350    00</v>
      </c>
      <c r="B7220" t="s">
        <v>16187</v>
      </c>
      <c r="C7220" t="s">
        <v>16188</v>
      </c>
      <c r="D7220" t="s">
        <v>20</v>
      </c>
      <c r="E7220" t="s">
        <v>39</v>
      </c>
      <c r="F7220">
        <v>0</v>
      </c>
      <c r="G7220">
        <v>0</v>
      </c>
      <c r="H7220">
        <v>12</v>
      </c>
      <c r="I7220" s="3">
        <v>7853.91</v>
      </c>
      <c r="J7220" s="3">
        <v>3901.85</v>
      </c>
      <c r="K7220" t="s">
        <v>16189</v>
      </c>
      <c r="L7220">
        <v>7714</v>
      </c>
      <c r="M7220" t="s">
        <v>4452</v>
      </c>
      <c r="N7220" t="s">
        <v>30</v>
      </c>
      <c r="O7220" t="s">
        <v>31</v>
      </c>
      <c r="P7220" t="str">
        <f>"15208"</f>
        <v>15208</v>
      </c>
    </row>
    <row r="7221" spans="1:16" x14ac:dyDescent="0.25">
      <c r="A7221" t="str">
        <f>"1130174R00362    00"</f>
        <v>1130174R00362    00</v>
      </c>
      <c r="B7221" t="s">
        <v>16190</v>
      </c>
      <c r="C7221" t="s">
        <v>15538</v>
      </c>
      <c r="D7221" t="s">
        <v>20</v>
      </c>
      <c r="E7221" t="s">
        <v>39</v>
      </c>
      <c r="F7221">
        <v>0</v>
      </c>
      <c r="G7221">
        <v>0</v>
      </c>
      <c r="H7221">
        <v>1</v>
      </c>
      <c r="I7221" s="3">
        <v>72.430000000000007</v>
      </c>
      <c r="J7221" s="3">
        <v>0</v>
      </c>
      <c r="K7221" t="s">
        <v>16191</v>
      </c>
      <c r="L7221">
        <v>88</v>
      </c>
      <c r="M7221" t="s">
        <v>7693</v>
      </c>
      <c r="N7221" t="s">
        <v>7694</v>
      </c>
      <c r="O7221" t="s">
        <v>7695</v>
      </c>
      <c r="P7221" t="str">
        <f>"40601"</f>
        <v>40601</v>
      </c>
    </row>
    <row r="7222" spans="1:16" x14ac:dyDescent="0.25">
      <c r="A7222" t="str">
        <f>"1130174R00365    00"</f>
        <v>1130174R00365    00</v>
      </c>
      <c r="B7222" t="s">
        <v>16192</v>
      </c>
      <c r="C7222" t="s">
        <v>16193</v>
      </c>
      <c r="D7222" t="s">
        <v>20</v>
      </c>
      <c r="E7222" t="s">
        <v>39</v>
      </c>
      <c r="F7222">
        <v>0</v>
      </c>
      <c r="G7222">
        <v>0</v>
      </c>
      <c r="H7222">
        <v>3</v>
      </c>
      <c r="I7222" s="3">
        <v>652.96</v>
      </c>
      <c r="J7222" s="3">
        <v>145.54</v>
      </c>
      <c r="K7222" t="s">
        <v>16194</v>
      </c>
      <c r="L7222">
        <v>7526</v>
      </c>
      <c r="M7222" t="s">
        <v>13523</v>
      </c>
      <c r="N7222" t="s">
        <v>30</v>
      </c>
      <c r="O7222" t="s">
        <v>31</v>
      </c>
      <c r="P7222" t="str">
        <f>"15208"</f>
        <v>15208</v>
      </c>
    </row>
    <row r="7223" spans="1:16" x14ac:dyDescent="0.25">
      <c r="A7223" t="str">
        <f>"1130174R00366    00"</f>
        <v>1130174R00366    00</v>
      </c>
      <c r="B7223" t="s">
        <v>12026</v>
      </c>
      <c r="C7223" t="s">
        <v>16195</v>
      </c>
      <c r="E7223" t="s">
        <v>39</v>
      </c>
      <c r="F7223">
        <v>0</v>
      </c>
      <c r="G7223">
        <v>0</v>
      </c>
      <c r="H7223">
        <v>2</v>
      </c>
      <c r="I7223" s="3">
        <v>419.36</v>
      </c>
      <c r="J7223" s="3">
        <v>41.93</v>
      </c>
      <c r="L7223">
        <v>1723</v>
      </c>
      <c r="M7223" t="s">
        <v>12028</v>
      </c>
      <c r="N7223" t="s">
        <v>30</v>
      </c>
      <c r="O7223" t="s">
        <v>31</v>
      </c>
      <c r="P7223" t="str">
        <f>"15221"</f>
        <v>15221</v>
      </c>
    </row>
    <row r="7224" spans="1:16" x14ac:dyDescent="0.25">
      <c r="A7224" t="str">
        <f>"1130174R00368    00"</f>
        <v>1130174R00368    00</v>
      </c>
      <c r="B7224" t="s">
        <v>16196</v>
      </c>
      <c r="C7224" t="s">
        <v>16195</v>
      </c>
      <c r="D7224" t="s">
        <v>20</v>
      </c>
      <c r="E7224" t="s">
        <v>39</v>
      </c>
      <c r="F7224">
        <v>0</v>
      </c>
      <c r="G7224">
        <v>0</v>
      </c>
      <c r="H7224">
        <v>16</v>
      </c>
      <c r="I7224" s="3">
        <v>18367.580000000002</v>
      </c>
      <c r="J7224" s="3">
        <v>14804.64</v>
      </c>
      <c r="K7224" t="s">
        <v>16197</v>
      </c>
      <c r="L7224">
        <v>2250</v>
      </c>
      <c r="M7224" t="s">
        <v>16198</v>
      </c>
      <c r="N7224" t="s">
        <v>30</v>
      </c>
      <c r="O7224" t="s">
        <v>31</v>
      </c>
      <c r="P7224" t="str">
        <f>"15235"</f>
        <v>15235</v>
      </c>
    </row>
    <row r="7225" spans="1:16" x14ac:dyDescent="0.25">
      <c r="A7225" t="str">
        <f>"1130174R00386    00"</f>
        <v>1130174R00386    00</v>
      </c>
      <c r="B7225" t="s">
        <v>16199</v>
      </c>
      <c r="C7225" t="s">
        <v>16200</v>
      </c>
      <c r="D7225" t="s">
        <v>20</v>
      </c>
      <c r="E7225" t="s">
        <v>290</v>
      </c>
      <c r="F7225">
        <v>0</v>
      </c>
      <c r="G7225">
        <v>0</v>
      </c>
      <c r="H7225">
        <v>17</v>
      </c>
      <c r="I7225" s="3">
        <v>5445.79</v>
      </c>
      <c r="J7225" s="3">
        <v>5284.47</v>
      </c>
      <c r="L7225">
        <v>6821</v>
      </c>
      <c r="M7225" t="s">
        <v>12487</v>
      </c>
      <c r="N7225" t="s">
        <v>30</v>
      </c>
      <c r="O7225" t="s">
        <v>31</v>
      </c>
      <c r="P7225" t="str">
        <f>"15208"</f>
        <v>15208</v>
      </c>
    </row>
    <row r="7226" spans="1:16" x14ac:dyDescent="0.25">
      <c r="A7226" t="str">
        <f>"1130174R00387    00"</f>
        <v>1130174R00387    00</v>
      </c>
      <c r="B7226" t="s">
        <v>16199</v>
      </c>
      <c r="C7226" t="s">
        <v>16201</v>
      </c>
      <c r="D7226" t="s">
        <v>20</v>
      </c>
      <c r="E7226" t="s">
        <v>290</v>
      </c>
      <c r="F7226">
        <v>0</v>
      </c>
      <c r="G7226">
        <v>0</v>
      </c>
      <c r="H7226">
        <v>3</v>
      </c>
      <c r="I7226" s="3">
        <v>1332.33</v>
      </c>
      <c r="J7226" s="3">
        <v>88.82</v>
      </c>
      <c r="L7226">
        <v>705</v>
      </c>
      <c r="M7226" t="s">
        <v>12494</v>
      </c>
      <c r="N7226" t="s">
        <v>30</v>
      </c>
      <c r="O7226" t="s">
        <v>31</v>
      </c>
      <c r="P7226" t="str">
        <f>"15208"</f>
        <v>15208</v>
      </c>
    </row>
    <row r="7227" spans="1:16" x14ac:dyDescent="0.25">
      <c r="A7227" t="str">
        <f>"1130174R00389    00"</f>
        <v>1130174R00389    00</v>
      </c>
      <c r="B7227" t="s">
        <v>16202</v>
      </c>
      <c r="C7227" t="s">
        <v>12265</v>
      </c>
      <c r="D7227" t="s">
        <v>20</v>
      </c>
      <c r="E7227" t="s">
        <v>39</v>
      </c>
      <c r="F7227">
        <v>0</v>
      </c>
      <c r="G7227">
        <v>0</v>
      </c>
      <c r="H7227">
        <v>2</v>
      </c>
      <c r="I7227" s="3">
        <v>41.96</v>
      </c>
      <c r="J7227" s="3">
        <v>0</v>
      </c>
      <c r="K7227" t="s">
        <v>16203</v>
      </c>
      <c r="L7227">
        <v>310</v>
      </c>
      <c r="M7227" t="s">
        <v>16204</v>
      </c>
      <c r="N7227" t="s">
        <v>30</v>
      </c>
      <c r="O7227" t="s">
        <v>31</v>
      </c>
      <c r="P7227" t="str">
        <f>"15235"</f>
        <v>15235</v>
      </c>
    </row>
    <row r="7228" spans="1:16" x14ac:dyDescent="0.25">
      <c r="A7228" t="str">
        <f>"1130174S00005    00"</f>
        <v>1130174S00005    00</v>
      </c>
      <c r="B7228" t="s">
        <v>12928</v>
      </c>
      <c r="C7228" t="s">
        <v>12646</v>
      </c>
      <c r="D7228" t="s">
        <v>20</v>
      </c>
      <c r="E7228" t="s">
        <v>39</v>
      </c>
      <c r="F7228">
        <v>0</v>
      </c>
      <c r="G7228">
        <v>0</v>
      </c>
      <c r="H7228">
        <v>3</v>
      </c>
      <c r="I7228" s="3">
        <v>22.86</v>
      </c>
      <c r="J7228" s="3">
        <v>1.52</v>
      </c>
      <c r="L7228">
        <v>751</v>
      </c>
      <c r="M7228" t="s">
        <v>12929</v>
      </c>
      <c r="N7228" t="s">
        <v>30</v>
      </c>
      <c r="O7228" t="s">
        <v>31</v>
      </c>
      <c r="P7228" t="str">
        <f>"15221"</f>
        <v>15221</v>
      </c>
    </row>
    <row r="7229" spans="1:16" x14ac:dyDescent="0.25">
      <c r="A7229" t="str">
        <f>"1130174S00009    00"</f>
        <v>1130174S00009    00</v>
      </c>
      <c r="B7229" t="s">
        <v>16205</v>
      </c>
      <c r="C7229" t="s">
        <v>16206</v>
      </c>
      <c r="D7229" t="s">
        <v>20</v>
      </c>
      <c r="E7229" t="s">
        <v>39</v>
      </c>
      <c r="F7229">
        <v>0</v>
      </c>
      <c r="G7229">
        <v>0</v>
      </c>
      <c r="H7229">
        <v>17</v>
      </c>
      <c r="I7229" s="3">
        <v>9249.2999999999993</v>
      </c>
      <c r="J7229" s="3">
        <v>7882.36</v>
      </c>
      <c r="K7229" t="s">
        <v>16207</v>
      </c>
      <c r="L7229">
        <v>645</v>
      </c>
      <c r="M7229" t="s">
        <v>16208</v>
      </c>
      <c r="N7229" t="s">
        <v>30</v>
      </c>
      <c r="O7229" t="s">
        <v>31</v>
      </c>
      <c r="P7229" t="str">
        <f>"15221"</f>
        <v>15221</v>
      </c>
    </row>
    <row r="7230" spans="1:16" x14ac:dyDescent="0.25">
      <c r="A7230" t="str">
        <f>"1130174S00011    00"</f>
        <v>1130174S00011    00</v>
      </c>
      <c r="B7230" t="s">
        <v>16209</v>
      </c>
      <c r="C7230" t="s">
        <v>12491</v>
      </c>
      <c r="D7230" t="s">
        <v>20</v>
      </c>
      <c r="E7230" t="s">
        <v>39</v>
      </c>
      <c r="F7230">
        <v>0</v>
      </c>
      <c r="G7230">
        <v>0</v>
      </c>
      <c r="H7230">
        <v>12</v>
      </c>
      <c r="I7230" s="3">
        <v>181.22</v>
      </c>
      <c r="J7230" s="3">
        <v>114.11</v>
      </c>
      <c r="L7230">
        <v>7832</v>
      </c>
      <c r="M7230" t="s">
        <v>12487</v>
      </c>
      <c r="N7230" t="s">
        <v>30</v>
      </c>
      <c r="O7230" t="s">
        <v>31</v>
      </c>
      <c r="P7230" t="str">
        <f>"15208"</f>
        <v>15208</v>
      </c>
    </row>
    <row r="7231" spans="1:16" x14ac:dyDescent="0.25">
      <c r="A7231" t="str">
        <f>"1130174S00012    00"</f>
        <v>1130174S00012    00</v>
      </c>
      <c r="B7231" t="s">
        <v>16210</v>
      </c>
      <c r="C7231" t="s">
        <v>16211</v>
      </c>
      <c r="D7231" t="s">
        <v>20</v>
      </c>
      <c r="E7231" t="s">
        <v>39</v>
      </c>
      <c r="F7231">
        <v>0</v>
      </c>
      <c r="G7231">
        <v>0</v>
      </c>
      <c r="H7231">
        <v>14</v>
      </c>
      <c r="I7231" s="3">
        <v>11889.56</v>
      </c>
      <c r="J7231" s="3">
        <v>6789.91</v>
      </c>
      <c r="L7231">
        <v>7832</v>
      </c>
      <c r="M7231" t="s">
        <v>12487</v>
      </c>
      <c r="N7231" t="s">
        <v>30</v>
      </c>
      <c r="O7231" t="s">
        <v>31</v>
      </c>
      <c r="P7231" t="str">
        <f>"15208"</f>
        <v>15208</v>
      </c>
    </row>
    <row r="7232" spans="1:16" x14ac:dyDescent="0.25">
      <c r="A7232" t="str">
        <f>"1130174S00014    00"</f>
        <v>1130174S00014    00</v>
      </c>
      <c r="B7232" t="s">
        <v>16212</v>
      </c>
      <c r="C7232" t="s">
        <v>12491</v>
      </c>
      <c r="D7232" t="s">
        <v>20</v>
      </c>
      <c r="E7232" t="s">
        <v>39</v>
      </c>
      <c r="F7232">
        <v>0</v>
      </c>
      <c r="G7232">
        <v>0</v>
      </c>
      <c r="H7232">
        <v>19</v>
      </c>
      <c r="I7232" s="3">
        <v>4596.0200000000004</v>
      </c>
      <c r="J7232" s="3">
        <v>6104.87</v>
      </c>
      <c r="P7232" t="str">
        <f>""</f>
        <v/>
      </c>
    </row>
    <row r="7233" spans="1:16" x14ac:dyDescent="0.25">
      <c r="A7233" t="str">
        <f>"1130174S00022    00"</f>
        <v>1130174S00022    00</v>
      </c>
      <c r="B7233" t="s">
        <v>16213</v>
      </c>
      <c r="C7233" t="s">
        <v>16214</v>
      </c>
      <c r="D7233" t="s">
        <v>20</v>
      </c>
      <c r="E7233" t="s">
        <v>39</v>
      </c>
      <c r="F7233">
        <v>0</v>
      </c>
      <c r="G7233">
        <v>0</v>
      </c>
      <c r="H7233">
        <v>1</v>
      </c>
      <c r="I7233" s="3">
        <v>402.18</v>
      </c>
      <c r="J7233" s="3">
        <v>0</v>
      </c>
      <c r="M7233" t="s">
        <v>16215</v>
      </c>
      <c r="N7233" t="s">
        <v>1210</v>
      </c>
      <c r="O7233" t="s">
        <v>495</v>
      </c>
      <c r="P7233" t="str">
        <f>"94128"</f>
        <v>94128</v>
      </c>
    </row>
    <row r="7234" spans="1:16" x14ac:dyDescent="0.25">
      <c r="A7234" t="str">
        <f>"1130174S00030    00"</f>
        <v>1130174S00030    00</v>
      </c>
      <c r="B7234" t="s">
        <v>16216</v>
      </c>
      <c r="C7234" t="s">
        <v>16217</v>
      </c>
      <c r="D7234" t="s">
        <v>20</v>
      </c>
      <c r="E7234" t="s">
        <v>39</v>
      </c>
      <c r="F7234">
        <v>0</v>
      </c>
      <c r="G7234">
        <v>0</v>
      </c>
      <c r="H7234">
        <v>2</v>
      </c>
      <c r="I7234" s="3">
        <v>328.9</v>
      </c>
      <c r="J7234" s="3">
        <v>0</v>
      </c>
      <c r="K7234" t="s">
        <v>16218</v>
      </c>
      <c r="L7234">
        <v>209</v>
      </c>
      <c r="M7234" t="s">
        <v>16219</v>
      </c>
      <c r="N7234" t="s">
        <v>30</v>
      </c>
      <c r="O7234" t="s">
        <v>31</v>
      </c>
      <c r="P7234" t="str">
        <f>"15235"</f>
        <v>15235</v>
      </c>
    </row>
    <row r="7235" spans="1:16" x14ac:dyDescent="0.25">
      <c r="A7235" t="str">
        <f>"1130174S00032    00"</f>
        <v>1130174S00032    00</v>
      </c>
      <c r="B7235" t="s">
        <v>16220</v>
      </c>
      <c r="C7235" t="s">
        <v>16221</v>
      </c>
      <c r="E7235" t="s">
        <v>39</v>
      </c>
      <c r="F7235">
        <v>0</v>
      </c>
      <c r="G7235">
        <v>0</v>
      </c>
      <c r="H7235">
        <v>1</v>
      </c>
      <c r="I7235" s="3">
        <v>169.37</v>
      </c>
      <c r="J7235" s="3">
        <v>184.89</v>
      </c>
      <c r="L7235">
        <v>7813</v>
      </c>
      <c r="M7235" t="s">
        <v>12487</v>
      </c>
      <c r="N7235" t="s">
        <v>30</v>
      </c>
      <c r="O7235" t="s">
        <v>31</v>
      </c>
      <c r="P7235" t="str">
        <f>"15208"</f>
        <v>15208</v>
      </c>
    </row>
    <row r="7236" spans="1:16" x14ac:dyDescent="0.25">
      <c r="A7236" t="str">
        <f>"1130174S00033    00"</f>
        <v>1130174S00033    00</v>
      </c>
      <c r="B7236" t="s">
        <v>16220</v>
      </c>
      <c r="C7236" t="s">
        <v>16222</v>
      </c>
      <c r="D7236" t="s">
        <v>20</v>
      </c>
      <c r="E7236" t="s">
        <v>39</v>
      </c>
      <c r="F7236">
        <v>0</v>
      </c>
      <c r="G7236">
        <v>0</v>
      </c>
      <c r="H7236">
        <v>11</v>
      </c>
      <c r="I7236" s="3">
        <v>1816.2</v>
      </c>
      <c r="J7236" s="3">
        <v>976.06</v>
      </c>
      <c r="L7236">
        <v>7813</v>
      </c>
      <c r="M7236" t="s">
        <v>12487</v>
      </c>
      <c r="N7236" t="s">
        <v>30</v>
      </c>
      <c r="O7236" t="s">
        <v>31</v>
      </c>
      <c r="P7236" t="str">
        <f>"15208"</f>
        <v>15208</v>
      </c>
    </row>
    <row r="7237" spans="1:16" x14ac:dyDescent="0.25">
      <c r="A7237" t="str">
        <f>"1130174S00044    00"</f>
        <v>1130174S00044    00</v>
      </c>
      <c r="B7237" t="s">
        <v>16223</v>
      </c>
      <c r="C7237" t="s">
        <v>16224</v>
      </c>
      <c r="E7237" t="s">
        <v>39</v>
      </c>
      <c r="F7237">
        <v>0</v>
      </c>
      <c r="G7237">
        <v>0</v>
      </c>
      <c r="H7237">
        <v>6</v>
      </c>
      <c r="I7237" s="3">
        <v>1742.48</v>
      </c>
      <c r="J7237" s="3">
        <v>1382.91</v>
      </c>
      <c r="L7237">
        <v>703</v>
      </c>
      <c r="M7237" t="s">
        <v>2802</v>
      </c>
      <c r="N7237" t="s">
        <v>30</v>
      </c>
      <c r="O7237" t="s">
        <v>31</v>
      </c>
      <c r="P7237" t="str">
        <f>"15208"</f>
        <v>15208</v>
      </c>
    </row>
    <row r="7238" spans="1:16" x14ac:dyDescent="0.25">
      <c r="A7238" t="str">
        <f>"1130174S00067    00"</f>
        <v>1130174S00067    00</v>
      </c>
      <c r="B7238" t="s">
        <v>16225</v>
      </c>
      <c r="C7238" t="s">
        <v>16226</v>
      </c>
      <c r="D7238" t="s">
        <v>7100</v>
      </c>
      <c r="E7238" t="s">
        <v>39</v>
      </c>
      <c r="F7238">
        <v>0</v>
      </c>
      <c r="G7238">
        <v>0</v>
      </c>
      <c r="H7238">
        <v>1</v>
      </c>
      <c r="I7238" s="3">
        <v>211.44</v>
      </c>
      <c r="J7238" s="3">
        <v>0</v>
      </c>
      <c r="L7238">
        <v>721</v>
      </c>
      <c r="M7238" t="s">
        <v>2802</v>
      </c>
      <c r="N7238" t="s">
        <v>30</v>
      </c>
      <c r="O7238" t="s">
        <v>31</v>
      </c>
      <c r="P7238" t="str">
        <f>"15208"</f>
        <v>15208</v>
      </c>
    </row>
    <row r="7239" spans="1:16" x14ac:dyDescent="0.25">
      <c r="A7239" t="str">
        <f>"1130174S00070    00"</f>
        <v>1130174S00070    00</v>
      </c>
      <c r="B7239" t="s">
        <v>16227</v>
      </c>
      <c r="C7239" t="s">
        <v>16228</v>
      </c>
      <c r="D7239" t="s">
        <v>20</v>
      </c>
      <c r="E7239" t="s">
        <v>39</v>
      </c>
      <c r="F7239">
        <v>0</v>
      </c>
      <c r="G7239">
        <v>0</v>
      </c>
      <c r="H7239">
        <v>17</v>
      </c>
      <c r="I7239" s="3">
        <v>264.23</v>
      </c>
      <c r="J7239" s="3">
        <v>298.63</v>
      </c>
      <c r="K7239" t="s">
        <v>1008</v>
      </c>
      <c r="P7239" t="str">
        <f>""</f>
        <v/>
      </c>
    </row>
    <row r="7240" spans="1:16" x14ac:dyDescent="0.25">
      <c r="A7240" t="str">
        <f>"1130174S00072    00"</f>
        <v>1130174S00072    00</v>
      </c>
      <c r="B7240" t="s">
        <v>12607</v>
      </c>
      <c r="C7240" t="s">
        <v>16229</v>
      </c>
      <c r="D7240" t="s">
        <v>20</v>
      </c>
      <c r="E7240" t="s">
        <v>39</v>
      </c>
      <c r="F7240">
        <v>0</v>
      </c>
      <c r="G7240">
        <v>0</v>
      </c>
      <c r="H7240">
        <v>2</v>
      </c>
      <c r="I7240" s="3">
        <v>282.12</v>
      </c>
      <c r="J7240" s="3">
        <v>0</v>
      </c>
      <c r="L7240">
        <v>7045</v>
      </c>
      <c r="M7240" t="s">
        <v>11435</v>
      </c>
      <c r="N7240" t="s">
        <v>30</v>
      </c>
      <c r="O7240" t="s">
        <v>31</v>
      </c>
      <c r="P7240" t="str">
        <f>"15208"</f>
        <v>15208</v>
      </c>
    </row>
    <row r="7241" spans="1:16" x14ac:dyDescent="0.25">
      <c r="A7241" t="str">
        <f>"1130174S00073    00"</f>
        <v>1130174S00073    00</v>
      </c>
      <c r="B7241" t="s">
        <v>16230</v>
      </c>
      <c r="C7241" t="s">
        <v>15538</v>
      </c>
      <c r="D7241" t="s">
        <v>20</v>
      </c>
      <c r="E7241" t="s">
        <v>39</v>
      </c>
      <c r="F7241">
        <v>0</v>
      </c>
      <c r="G7241">
        <v>0</v>
      </c>
      <c r="H7241">
        <v>19</v>
      </c>
      <c r="I7241" s="3">
        <v>2479.08</v>
      </c>
      <c r="J7241" s="3">
        <v>2424.27</v>
      </c>
      <c r="K7241" t="s">
        <v>16231</v>
      </c>
      <c r="L7241">
        <v>6837</v>
      </c>
      <c r="M7241" t="s">
        <v>10830</v>
      </c>
      <c r="N7241" t="s">
        <v>30</v>
      </c>
      <c r="O7241" t="s">
        <v>31</v>
      </c>
      <c r="P7241" t="str">
        <f>"15208"</f>
        <v>15208</v>
      </c>
    </row>
    <row r="7242" spans="1:16" x14ac:dyDescent="0.25">
      <c r="A7242" t="str">
        <f>"1130174S00074    00"</f>
        <v>1130174S00074    00</v>
      </c>
      <c r="B7242" t="s">
        <v>16232</v>
      </c>
      <c r="C7242" t="s">
        <v>15538</v>
      </c>
      <c r="D7242" t="s">
        <v>20</v>
      </c>
      <c r="E7242" t="s">
        <v>39</v>
      </c>
      <c r="F7242">
        <v>0</v>
      </c>
      <c r="G7242">
        <v>0</v>
      </c>
      <c r="H7242">
        <v>19</v>
      </c>
      <c r="I7242" s="3">
        <v>2149.44</v>
      </c>
      <c r="J7242" s="3">
        <v>2395.9699999999998</v>
      </c>
      <c r="K7242" t="s">
        <v>1008</v>
      </c>
      <c r="P7242" t="str">
        <f>""</f>
        <v/>
      </c>
    </row>
    <row r="7243" spans="1:16" x14ac:dyDescent="0.25">
      <c r="A7243" t="str">
        <f>"1130174S00077    00"</f>
        <v>1130174S00077    00</v>
      </c>
      <c r="B7243" t="s">
        <v>16233</v>
      </c>
      <c r="C7243" t="s">
        <v>16234</v>
      </c>
      <c r="D7243" t="s">
        <v>20</v>
      </c>
      <c r="E7243" t="s">
        <v>39</v>
      </c>
      <c r="F7243">
        <v>0</v>
      </c>
      <c r="G7243">
        <v>0</v>
      </c>
      <c r="H7243">
        <v>19</v>
      </c>
      <c r="I7243" s="3">
        <v>14584.72</v>
      </c>
      <c r="J7243" s="3">
        <v>15860.58</v>
      </c>
      <c r="P7243" t="str">
        <f>""</f>
        <v/>
      </c>
    </row>
    <row r="7244" spans="1:16" x14ac:dyDescent="0.25">
      <c r="A7244" t="str">
        <f>"1130174S00078    00"</f>
        <v>1130174S00078    00</v>
      </c>
      <c r="B7244" t="s">
        <v>16235</v>
      </c>
      <c r="C7244" t="s">
        <v>16236</v>
      </c>
      <c r="D7244" t="s">
        <v>20</v>
      </c>
      <c r="E7244" t="s">
        <v>39</v>
      </c>
      <c r="F7244">
        <v>0</v>
      </c>
      <c r="G7244">
        <v>0</v>
      </c>
      <c r="H7244">
        <v>19</v>
      </c>
      <c r="I7244" s="3">
        <v>10187.52</v>
      </c>
      <c r="J7244" s="3">
        <v>8786.5400000000009</v>
      </c>
      <c r="L7244">
        <v>7810</v>
      </c>
      <c r="M7244" t="s">
        <v>4452</v>
      </c>
      <c r="N7244" t="s">
        <v>30</v>
      </c>
      <c r="O7244" t="s">
        <v>31</v>
      </c>
      <c r="P7244" t="str">
        <f>"15208"</f>
        <v>15208</v>
      </c>
    </row>
    <row r="7245" spans="1:16" x14ac:dyDescent="0.25">
      <c r="A7245" t="str">
        <f>"1130174S00081    00"</f>
        <v>1130174S00081    00</v>
      </c>
      <c r="B7245" t="s">
        <v>16237</v>
      </c>
      <c r="C7245" t="s">
        <v>16238</v>
      </c>
      <c r="D7245" t="s">
        <v>20</v>
      </c>
      <c r="E7245" t="s">
        <v>39</v>
      </c>
      <c r="F7245">
        <v>0</v>
      </c>
      <c r="G7245">
        <v>0</v>
      </c>
      <c r="H7245">
        <v>4</v>
      </c>
      <c r="I7245" s="3">
        <v>1821.01</v>
      </c>
      <c r="J7245" s="3">
        <v>123.34</v>
      </c>
      <c r="L7245">
        <v>7806</v>
      </c>
      <c r="M7245" t="s">
        <v>4452</v>
      </c>
      <c r="N7245" t="s">
        <v>30</v>
      </c>
      <c r="O7245" t="s">
        <v>31</v>
      </c>
      <c r="P7245" t="str">
        <f>"15208"</f>
        <v>15208</v>
      </c>
    </row>
    <row r="7246" spans="1:16" x14ac:dyDescent="0.25">
      <c r="A7246" t="str">
        <f>"1130174S00085    00"</f>
        <v>1130174S00085    00</v>
      </c>
      <c r="B7246" t="s">
        <v>16239</v>
      </c>
      <c r="C7246" t="s">
        <v>16240</v>
      </c>
      <c r="D7246" t="s">
        <v>20</v>
      </c>
      <c r="E7246" t="s">
        <v>39</v>
      </c>
      <c r="F7246">
        <v>0</v>
      </c>
      <c r="G7246">
        <v>0</v>
      </c>
      <c r="H7246">
        <v>18</v>
      </c>
      <c r="I7246" s="3">
        <v>10344.709999999999</v>
      </c>
      <c r="J7246" s="3">
        <v>9345.31</v>
      </c>
      <c r="L7246">
        <v>2507</v>
      </c>
      <c r="M7246" t="s">
        <v>16241</v>
      </c>
      <c r="N7246" t="s">
        <v>30</v>
      </c>
      <c r="O7246" t="s">
        <v>31</v>
      </c>
      <c r="P7246" t="str">
        <f>"15235"</f>
        <v>15235</v>
      </c>
    </row>
    <row r="7247" spans="1:16" x14ac:dyDescent="0.25">
      <c r="A7247" t="str">
        <f>"1130174S00096    00"</f>
        <v>1130174S00096    00</v>
      </c>
      <c r="B7247" t="s">
        <v>16242</v>
      </c>
      <c r="C7247" t="s">
        <v>15538</v>
      </c>
      <c r="D7247" t="s">
        <v>20</v>
      </c>
      <c r="E7247" t="s">
        <v>39</v>
      </c>
      <c r="F7247">
        <v>0</v>
      </c>
      <c r="G7247">
        <v>0</v>
      </c>
      <c r="H7247">
        <v>19</v>
      </c>
      <c r="I7247" s="3">
        <v>5651.25</v>
      </c>
      <c r="J7247" s="3">
        <v>7842.23</v>
      </c>
      <c r="L7247">
        <v>3100</v>
      </c>
      <c r="M7247" t="s">
        <v>16243</v>
      </c>
      <c r="N7247" t="s">
        <v>30</v>
      </c>
      <c r="O7247" t="s">
        <v>31</v>
      </c>
      <c r="P7247" t="str">
        <f>"15221"</f>
        <v>15221</v>
      </c>
    </row>
    <row r="7248" spans="1:16" x14ac:dyDescent="0.25">
      <c r="A7248" t="str">
        <f>"1130174S00109    00"</f>
        <v>1130174S00109    00</v>
      </c>
      <c r="B7248" t="s">
        <v>12531</v>
      </c>
      <c r="C7248" t="s">
        <v>16244</v>
      </c>
      <c r="D7248" t="s">
        <v>20</v>
      </c>
      <c r="E7248" t="s">
        <v>39</v>
      </c>
      <c r="F7248">
        <v>0</v>
      </c>
      <c r="G7248">
        <v>0</v>
      </c>
      <c r="H7248">
        <v>1</v>
      </c>
      <c r="I7248" s="3">
        <v>629</v>
      </c>
      <c r="J7248" s="3">
        <v>0</v>
      </c>
      <c r="K7248" t="s">
        <v>12533</v>
      </c>
      <c r="L7248">
        <v>46</v>
      </c>
      <c r="M7248" t="s">
        <v>913</v>
      </c>
      <c r="N7248" t="s">
        <v>914</v>
      </c>
      <c r="O7248" t="s">
        <v>200</v>
      </c>
      <c r="P7248" t="str">
        <f>"10952"</f>
        <v>10952</v>
      </c>
    </row>
    <row r="7249" spans="1:16" x14ac:dyDescent="0.25">
      <c r="A7249" t="str">
        <f>"1130174S00114    00"</f>
        <v>1130174S00114    00</v>
      </c>
      <c r="B7249" t="s">
        <v>16202</v>
      </c>
      <c r="C7249" t="s">
        <v>16245</v>
      </c>
      <c r="D7249" t="s">
        <v>20</v>
      </c>
      <c r="E7249" t="s">
        <v>21</v>
      </c>
      <c r="F7249">
        <v>0</v>
      </c>
      <c r="G7249">
        <v>0</v>
      </c>
      <c r="H7249">
        <v>2</v>
      </c>
      <c r="I7249" s="3">
        <v>682.38</v>
      </c>
      <c r="J7249" s="3">
        <v>0</v>
      </c>
      <c r="L7249">
        <v>310</v>
      </c>
      <c r="M7249" t="s">
        <v>16204</v>
      </c>
      <c r="N7249" t="s">
        <v>30</v>
      </c>
      <c r="O7249" t="s">
        <v>31</v>
      </c>
      <c r="P7249" t="str">
        <f>"15235"</f>
        <v>15235</v>
      </c>
    </row>
    <row r="7250" spans="1:16" x14ac:dyDescent="0.25">
      <c r="A7250" t="str">
        <f>"1130174S00117    00"</f>
        <v>1130174S00117    00</v>
      </c>
      <c r="B7250" t="s">
        <v>16246</v>
      </c>
      <c r="C7250" t="s">
        <v>12265</v>
      </c>
      <c r="D7250" t="s">
        <v>20</v>
      </c>
      <c r="E7250" t="s">
        <v>39</v>
      </c>
      <c r="F7250">
        <v>0</v>
      </c>
      <c r="G7250">
        <v>0</v>
      </c>
      <c r="H7250">
        <v>16</v>
      </c>
      <c r="I7250" s="3">
        <v>763.65</v>
      </c>
      <c r="J7250" s="3">
        <v>479.42</v>
      </c>
      <c r="M7250" t="s">
        <v>16247</v>
      </c>
      <c r="N7250" t="s">
        <v>826</v>
      </c>
      <c r="O7250" t="s">
        <v>31</v>
      </c>
      <c r="P7250" t="str">
        <f>"15601"</f>
        <v>15601</v>
      </c>
    </row>
    <row r="7251" spans="1:16" x14ac:dyDescent="0.25">
      <c r="A7251" t="str">
        <f>"1130174S00123    00"</f>
        <v>1130174S00123    00</v>
      </c>
      <c r="B7251" t="s">
        <v>16248</v>
      </c>
      <c r="C7251" t="s">
        <v>12265</v>
      </c>
      <c r="D7251" t="s">
        <v>20</v>
      </c>
      <c r="E7251" t="s">
        <v>21</v>
      </c>
      <c r="F7251">
        <v>0</v>
      </c>
      <c r="G7251">
        <v>0</v>
      </c>
      <c r="H7251">
        <v>5</v>
      </c>
      <c r="I7251" s="3">
        <v>1197.79</v>
      </c>
      <c r="J7251" s="3">
        <v>402.18</v>
      </c>
      <c r="L7251">
        <v>650</v>
      </c>
      <c r="M7251" t="s">
        <v>16249</v>
      </c>
      <c r="N7251" t="s">
        <v>30</v>
      </c>
      <c r="O7251" t="s">
        <v>31</v>
      </c>
      <c r="P7251" t="str">
        <f>"15235"</f>
        <v>15235</v>
      </c>
    </row>
    <row r="7252" spans="1:16" x14ac:dyDescent="0.25">
      <c r="A7252" t="str">
        <f>"1130174S00126    00"</f>
        <v>1130174S00126    00</v>
      </c>
      <c r="B7252" t="s">
        <v>16250</v>
      </c>
      <c r="C7252" t="s">
        <v>16228</v>
      </c>
      <c r="D7252" t="s">
        <v>20</v>
      </c>
      <c r="E7252" t="s">
        <v>21</v>
      </c>
      <c r="F7252">
        <v>0</v>
      </c>
      <c r="G7252">
        <v>0</v>
      </c>
      <c r="H7252">
        <v>4</v>
      </c>
      <c r="I7252" s="3">
        <v>752.8</v>
      </c>
      <c r="J7252" s="3">
        <v>163.89</v>
      </c>
      <c r="L7252">
        <v>650</v>
      </c>
      <c r="M7252" t="s">
        <v>16249</v>
      </c>
      <c r="N7252" t="s">
        <v>30</v>
      </c>
      <c r="O7252" t="s">
        <v>31</v>
      </c>
      <c r="P7252" t="str">
        <f>"15235"</f>
        <v>15235</v>
      </c>
    </row>
    <row r="7253" spans="1:16" x14ac:dyDescent="0.25">
      <c r="A7253" t="str">
        <f>"1130174S00127    00"</f>
        <v>1130174S00127    00</v>
      </c>
      <c r="B7253" t="s">
        <v>16181</v>
      </c>
      <c r="C7253" t="s">
        <v>16228</v>
      </c>
      <c r="D7253" t="s">
        <v>20</v>
      </c>
      <c r="E7253" t="s">
        <v>21</v>
      </c>
      <c r="F7253">
        <v>0</v>
      </c>
      <c r="G7253">
        <v>0</v>
      </c>
      <c r="H7253">
        <v>5</v>
      </c>
      <c r="I7253" s="3">
        <v>770.1</v>
      </c>
      <c r="J7253" s="3">
        <v>184.37</v>
      </c>
      <c r="L7253">
        <v>650</v>
      </c>
      <c r="M7253" t="s">
        <v>4012</v>
      </c>
      <c r="N7253" t="s">
        <v>30</v>
      </c>
      <c r="O7253" t="s">
        <v>31</v>
      </c>
      <c r="P7253" t="str">
        <f>"15235"</f>
        <v>15235</v>
      </c>
    </row>
    <row r="7254" spans="1:16" x14ac:dyDescent="0.25">
      <c r="A7254" t="str">
        <f>"1130174S00133    00"</f>
        <v>1130174S00133    00</v>
      </c>
      <c r="B7254" t="s">
        <v>16251</v>
      </c>
      <c r="C7254" t="s">
        <v>16228</v>
      </c>
      <c r="D7254" t="s">
        <v>20</v>
      </c>
      <c r="E7254" t="s">
        <v>21</v>
      </c>
      <c r="F7254">
        <v>0</v>
      </c>
      <c r="G7254">
        <v>0</v>
      </c>
      <c r="H7254">
        <v>6</v>
      </c>
      <c r="I7254" s="3">
        <v>901.18</v>
      </c>
      <c r="J7254" s="3">
        <v>499.88</v>
      </c>
      <c r="L7254">
        <v>650</v>
      </c>
      <c r="M7254" t="s">
        <v>16249</v>
      </c>
      <c r="N7254" t="s">
        <v>30</v>
      </c>
      <c r="O7254" t="s">
        <v>31</v>
      </c>
      <c r="P7254" t="str">
        <f>"15235"</f>
        <v>15235</v>
      </c>
    </row>
    <row r="7255" spans="1:16" x14ac:dyDescent="0.25">
      <c r="A7255" t="str">
        <f>"1130174S00135C   00"</f>
        <v>1130174S00135C   00</v>
      </c>
      <c r="B7255" t="s">
        <v>16252</v>
      </c>
      <c r="C7255" t="s">
        <v>16253</v>
      </c>
      <c r="D7255" t="s">
        <v>20</v>
      </c>
      <c r="E7255" t="s">
        <v>39</v>
      </c>
      <c r="F7255">
        <v>0</v>
      </c>
      <c r="G7255">
        <v>0</v>
      </c>
      <c r="H7255">
        <v>19</v>
      </c>
      <c r="I7255" s="3">
        <v>1414.63</v>
      </c>
      <c r="J7255" s="3">
        <v>1557.58</v>
      </c>
      <c r="L7255">
        <v>88</v>
      </c>
      <c r="M7255" t="s">
        <v>5127</v>
      </c>
      <c r="N7255" t="s">
        <v>30</v>
      </c>
      <c r="O7255" t="s">
        <v>31</v>
      </c>
      <c r="P7255" t="str">
        <f>"15235"</f>
        <v>15235</v>
      </c>
    </row>
    <row r="7256" spans="1:16" x14ac:dyDescent="0.25">
      <c r="A7256" t="str">
        <f>"1130174S00135E   00"</f>
        <v>1130174S00135E   00</v>
      </c>
      <c r="B7256" t="s">
        <v>16254</v>
      </c>
      <c r="C7256" t="s">
        <v>16253</v>
      </c>
      <c r="D7256" t="s">
        <v>20</v>
      </c>
      <c r="E7256" t="s">
        <v>39</v>
      </c>
      <c r="F7256">
        <v>0</v>
      </c>
      <c r="G7256">
        <v>0</v>
      </c>
      <c r="H7256">
        <v>17</v>
      </c>
      <c r="I7256" s="3">
        <v>178.33</v>
      </c>
      <c r="J7256" s="3">
        <v>207.61</v>
      </c>
      <c r="K7256" t="s">
        <v>1008</v>
      </c>
      <c r="P7256" t="str">
        <f>""</f>
        <v/>
      </c>
    </row>
    <row r="7257" spans="1:16" x14ac:dyDescent="0.25">
      <c r="A7257" t="str">
        <f>"1130174S00135F   00"</f>
        <v>1130174S00135F   00</v>
      </c>
      <c r="B7257" t="s">
        <v>16252</v>
      </c>
      <c r="C7257" t="s">
        <v>16253</v>
      </c>
      <c r="D7257" t="s">
        <v>20</v>
      </c>
      <c r="E7257" t="s">
        <v>39</v>
      </c>
      <c r="F7257">
        <v>0</v>
      </c>
      <c r="G7257">
        <v>0</v>
      </c>
      <c r="H7257">
        <v>17</v>
      </c>
      <c r="I7257" s="3">
        <v>196.54</v>
      </c>
      <c r="J7257" s="3">
        <v>217.52</v>
      </c>
      <c r="K7257" t="s">
        <v>1037</v>
      </c>
      <c r="L7257">
        <v>88</v>
      </c>
      <c r="M7257" t="s">
        <v>5127</v>
      </c>
      <c r="N7257" t="s">
        <v>30</v>
      </c>
      <c r="O7257" t="s">
        <v>31</v>
      </c>
      <c r="P7257" t="str">
        <f>"15235"</f>
        <v>15235</v>
      </c>
    </row>
    <row r="7258" spans="1:16" x14ac:dyDescent="0.25">
      <c r="A7258" t="str">
        <f>"1130174S00135G   00"</f>
        <v>1130174S00135G   00</v>
      </c>
      <c r="B7258" t="s">
        <v>16255</v>
      </c>
      <c r="C7258" t="s">
        <v>16253</v>
      </c>
      <c r="D7258" t="s">
        <v>20</v>
      </c>
      <c r="E7258" t="s">
        <v>39</v>
      </c>
      <c r="F7258">
        <v>0</v>
      </c>
      <c r="G7258">
        <v>0</v>
      </c>
      <c r="H7258">
        <v>4</v>
      </c>
      <c r="I7258" s="3">
        <v>22.68</v>
      </c>
      <c r="J7258" s="3">
        <v>2.8</v>
      </c>
      <c r="L7258">
        <v>7</v>
      </c>
      <c r="M7258" t="s">
        <v>16256</v>
      </c>
      <c r="N7258" t="s">
        <v>30</v>
      </c>
      <c r="O7258" t="s">
        <v>31</v>
      </c>
      <c r="P7258" t="str">
        <f>"15208"</f>
        <v>15208</v>
      </c>
    </row>
    <row r="7259" spans="1:16" x14ac:dyDescent="0.25">
      <c r="A7259" t="str">
        <f>"1130174S00135H   00"</f>
        <v>1130174S00135H   00</v>
      </c>
      <c r="B7259" t="s">
        <v>16257</v>
      </c>
      <c r="C7259" t="s">
        <v>16253</v>
      </c>
      <c r="D7259" t="s">
        <v>20</v>
      </c>
      <c r="E7259" t="s">
        <v>39</v>
      </c>
      <c r="F7259">
        <v>0</v>
      </c>
      <c r="G7259">
        <v>0</v>
      </c>
      <c r="H7259">
        <v>17</v>
      </c>
      <c r="I7259" s="3">
        <v>666.06</v>
      </c>
      <c r="J7259" s="3">
        <v>880.42</v>
      </c>
      <c r="K7259" t="s">
        <v>1008</v>
      </c>
      <c r="P7259" t="str">
        <f>""</f>
        <v/>
      </c>
    </row>
    <row r="7260" spans="1:16" x14ac:dyDescent="0.25">
      <c r="A7260" t="str">
        <f>"1130174S00140    00"</f>
        <v>1130174S00140    00</v>
      </c>
      <c r="B7260" t="s">
        <v>4450</v>
      </c>
      <c r="C7260" t="s">
        <v>16258</v>
      </c>
      <c r="D7260" t="s">
        <v>20</v>
      </c>
      <c r="E7260" t="s">
        <v>21</v>
      </c>
      <c r="F7260">
        <v>0</v>
      </c>
      <c r="G7260">
        <v>0</v>
      </c>
      <c r="H7260">
        <v>3</v>
      </c>
      <c r="I7260" s="3">
        <v>2169.06</v>
      </c>
      <c r="J7260" s="3">
        <v>0</v>
      </c>
      <c r="L7260">
        <v>7901</v>
      </c>
      <c r="M7260" t="s">
        <v>4452</v>
      </c>
      <c r="N7260" t="s">
        <v>30</v>
      </c>
      <c r="O7260" t="s">
        <v>31</v>
      </c>
      <c r="P7260" t="str">
        <f>"15221"</f>
        <v>15221</v>
      </c>
    </row>
    <row r="7261" spans="1:16" x14ac:dyDescent="0.25">
      <c r="A7261" t="str">
        <f>"1130174S00148    00"</f>
        <v>1130174S00148    00</v>
      </c>
      <c r="B7261" t="s">
        <v>16259</v>
      </c>
      <c r="C7261" t="s">
        <v>16228</v>
      </c>
      <c r="D7261" t="s">
        <v>20</v>
      </c>
      <c r="E7261" t="s">
        <v>39</v>
      </c>
      <c r="F7261">
        <v>0</v>
      </c>
      <c r="G7261">
        <v>0</v>
      </c>
      <c r="H7261">
        <v>15</v>
      </c>
      <c r="I7261" s="3">
        <v>165.8</v>
      </c>
      <c r="J7261" s="3">
        <v>151.18</v>
      </c>
      <c r="L7261">
        <v>345</v>
      </c>
      <c r="M7261" t="s">
        <v>11744</v>
      </c>
      <c r="N7261" t="s">
        <v>30</v>
      </c>
      <c r="O7261" t="s">
        <v>31</v>
      </c>
      <c r="P7261" t="str">
        <f>"15215"</f>
        <v>15215</v>
      </c>
    </row>
    <row r="7262" spans="1:16" x14ac:dyDescent="0.25">
      <c r="A7262" t="str">
        <f>"1130174S00159    00"</f>
        <v>1130174S00159    00</v>
      </c>
      <c r="B7262" t="s">
        <v>16260</v>
      </c>
      <c r="C7262" t="s">
        <v>16261</v>
      </c>
      <c r="D7262" t="s">
        <v>20</v>
      </c>
      <c r="E7262" t="s">
        <v>21</v>
      </c>
      <c r="F7262">
        <v>0</v>
      </c>
      <c r="G7262">
        <v>0</v>
      </c>
      <c r="H7262">
        <v>8</v>
      </c>
      <c r="I7262" s="3">
        <v>2144.48</v>
      </c>
      <c r="J7262" s="3">
        <v>1196.3699999999999</v>
      </c>
      <c r="K7262" t="s">
        <v>16262</v>
      </c>
      <c r="L7262">
        <v>650</v>
      </c>
      <c r="M7262" t="s">
        <v>4012</v>
      </c>
      <c r="N7262" t="s">
        <v>30</v>
      </c>
      <c r="O7262" t="s">
        <v>31</v>
      </c>
      <c r="P7262" t="str">
        <f>"15235"</f>
        <v>15235</v>
      </c>
    </row>
    <row r="7263" spans="1:16" x14ac:dyDescent="0.25">
      <c r="A7263" t="str">
        <f>"1130174S00163    00"</f>
        <v>1130174S00163    00</v>
      </c>
      <c r="B7263" t="s">
        <v>16260</v>
      </c>
      <c r="C7263" t="s">
        <v>16261</v>
      </c>
      <c r="D7263" t="s">
        <v>20</v>
      </c>
      <c r="E7263" t="s">
        <v>21</v>
      </c>
      <c r="F7263">
        <v>0</v>
      </c>
      <c r="G7263">
        <v>0</v>
      </c>
      <c r="H7263">
        <v>2</v>
      </c>
      <c r="I7263" s="3">
        <v>3316.44</v>
      </c>
      <c r="J7263" s="3">
        <v>0</v>
      </c>
      <c r="K7263" t="s">
        <v>16262</v>
      </c>
      <c r="L7263">
        <v>650</v>
      </c>
      <c r="M7263" t="s">
        <v>4012</v>
      </c>
      <c r="N7263" t="s">
        <v>30</v>
      </c>
      <c r="O7263" t="s">
        <v>31</v>
      </c>
      <c r="P7263" t="str">
        <f>"15235"</f>
        <v>15235</v>
      </c>
    </row>
    <row r="7264" spans="1:16" x14ac:dyDescent="0.25">
      <c r="A7264" t="str">
        <f>"1130174S00175    00"</f>
        <v>1130174S00175    00</v>
      </c>
      <c r="B7264" t="s">
        <v>4450</v>
      </c>
      <c r="C7264" t="s">
        <v>16263</v>
      </c>
      <c r="D7264" t="s">
        <v>20</v>
      </c>
      <c r="E7264" t="s">
        <v>39</v>
      </c>
      <c r="F7264">
        <v>0</v>
      </c>
      <c r="G7264">
        <v>0</v>
      </c>
      <c r="H7264">
        <v>1</v>
      </c>
      <c r="I7264" s="3">
        <v>545.12</v>
      </c>
      <c r="J7264" s="3">
        <v>0</v>
      </c>
      <c r="L7264">
        <v>7901</v>
      </c>
      <c r="M7264" t="s">
        <v>4452</v>
      </c>
      <c r="N7264" t="s">
        <v>30</v>
      </c>
      <c r="O7264" t="s">
        <v>31</v>
      </c>
      <c r="P7264" t="str">
        <f>"15221"</f>
        <v>15221</v>
      </c>
    </row>
    <row r="7265" spans="1:16" x14ac:dyDescent="0.25">
      <c r="A7265" t="str">
        <f>"1130174S00186    00"</f>
        <v>1130174S00186    00</v>
      </c>
      <c r="B7265" t="s">
        <v>16264</v>
      </c>
      <c r="C7265" t="s">
        <v>16265</v>
      </c>
      <c r="D7265" t="s">
        <v>20</v>
      </c>
      <c r="E7265" t="s">
        <v>21</v>
      </c>
      <c r="F7265">
        <v>0</v>
      </c>
      <c r="G7265">
        <v>0</v>
      </c>
      <c r="H7265">
        <v>4</v>
      </c>
      <c r="I7265" s="3">
        <v>667.24</v>
      </c>
      <c r="J7265" s="3">
        <v>34.99</v>
      </c>
      <c r="L7265">
        <v>6389</v>
      </c>
      <c r="M7265" t="s">
        <v>3249</v>
      </c>
      <c r="N7265" t="s">
        <v>30</v>
      </c>
      <c r="O7265" t="s">
        <v>31</v>
      </c>
      <c r="P7265" t="str">
        <f>"15206"</f>
        <v>15206</v>
      </c>
    </row>
    <row r="7266" spans="1:16" x14ac:dyDescent="0.25">
      <c r="A7266" t="str">
        <f>"1130174S00187    00"</f>
        <v>1130174S00187    00</v>
      </c>
      <c r="B7266" t="s">
        <v>16266</v>
      </c>
      <c r="C7266" t="s">
        <v>12265</v>
      </c>
      <c r="D7266" t="s">
        <v>20</v>
      </c>
      <c r="E7266" t="s">
        <v>39</v>
      </c>
      <c r="F7266">
        <v>0</v>
      </c>
      <c r="G7266">
        <v>0</v>
      </c>
      <c r="H7266">
        <v>19</v>
      </c>
      <c r="I7266" s="3">
        <v>290.63</v>
      </c>
      <c r="J7266" s="3">
        <v>280.72000000000003</v>
      </c>
      <c r="L7266">
        <v>7344</v>
      </c>
      <c r="M7266" t="s">
        <v>15117</v>
      </c>
      <c r="N7266" t="s">
        <v>30</v>
      </c>
      <c r="O7266" t="s">
        <v>31</v>
      </c>
      <c r="P7266" t="str">
        <f>"15208"</f>
        <v>15208</v>
      </c>
    </row>
    <row r="7267" spans="1:16" x14ac:dyDescent="0.25">
      <c r="A7267" t="str">
        <f>"1130174S00189    00"</f>
        <v>1130174S00189    00</v>
      </c>
      <c r="B7267" t="s">
        <v>10828</v>
      </c>
      <c r="C7267" t="s">
        <v>16267</v>
      </c>
      <c r="D7267" t="s">
        <v>20</v>
      </c>
      <c r="E7267" t="s">
        <v>21</v>
      </c>
      <c r="F7267">
        <v>0</v>
      </c>
      <c r="G7267">
        <v>0</v>
      </c>
      <c r="H7267">
        <v>2</v>
      </c>
      <c r="I7267" s="3">
        <v>604.79</v>
      </c>
      <c r="J7267" s="3">
        <v>0</v>
      </c>
      <c r="L7267">
        <v>6818</v>
      </c>
      <c r="M7267" t="s">
        <v>10830</v>
      </c>
      <c r="N7267" t="s">
        <v>30</v>
      </c>
      <c r="O7267" t="s">
        <v>31</v>
      </c>
      <c r="P7267" t="str">
        <f>"15206"</f>
        <v>15206</v>
      </c>
    </row>
    <row r="7268" spans="1:16" x14ac:dyDescent="0.25">
      <c r="A7268" t="str">
        <f>"1130174S00190    00"</f>
        <v>1130174S00190    00</v>
      </c>
      <c r="B7268" t="s">
        <v>16268</v>
      </c>
      <c r="C7268" t="s">
        <v>16269</v>
      </c>
      <c r="D7268" t="s">
        <v>20</v>
      </c>
      <c r="E7268" t="s">
        <v>39</v>
      </c>
      <c r="F7268">
        <v>0</v>
      </c>
      <c r="G7268">
        <v>0</v>
      </c>
      <c r="H7268">
        <v>3</v>
      </c>
      <c r="I7268" s="3">
        <v>2521.06</v>
      </c>
      <c r="J7268" s="3">
        <v>126.05</v>
      </c>
      <c r="L7268">
        <v>6389</v>
      </c>
      <c r="M7268" t="s">
        <v>3249</v>
      </c>
      <c r="N7268" t="s">
        <v>30</v>
      </c>
      <c r="O7268" t="s">
        <v>31</v>
      </c>
      <c r="P7268" t="str">
        <f>"15206"</f>
        <v>15206</v>
      </c>
    </row>
    <row r="7269" spans="1:16" x14ac:dyDescent="0.25">
      <c r="A7269" t="str">
        <f>"1130174S00191    00"</f>
        <v>1130174S00191    00</v>
      </c>
      <c r="B7269" t="s">
        <v>16264</v>
      </c>
      <c r="C7269" t="s">
        <v>16270</v>
      </c>
      <c r="D7269" t="s">
        <v>20</v>
      </c>
      <c r="E7269" t="s">
        <v>21</v>
      </c>
      <c r="F7269">
        <v>0</v>
      </c>
      <c r="G7269">
        <v>0</v>
      </c>
      <c r="H7269">
        <v>4</v>
      </c>
      <c r="I7269" s="3">
        <v>3279.78</v>
      </c>
      <c r="J7269" s="3">
        <v>171.97</v>
      </c>
      <c r="L7269">
        <v>6389</v>
      </c>
      <c r="M7269" t="s">
        <v>3249</v>
      </c>
      <c r="N7269" t="s">
        <v>30</v>
      </c>
      <c r="O7269" t="s">
        <v>31</v>
      </c>
      <c r="P7269" t="str">
        <f>"15206"</f>
        <v>15206</v>
      </c>
    </row>
    <row r="7270" spans="1:16" x14ac:dyDescent="0.25">
      <c r="A7270" t="str">
        <f>"1130174S00194    00"</f>
        <v>1130174S00194    00</v>
      </c>
      <c r="B7270" t="s">
        <v>16271</v>
      </c>
      <c r="C7270" t="s">
        <v>16272</v>
      </c>
      <c r="D7270" t="s">
        <v>20</v>
      </c>
      <c r="E7270" t="s">
        <v>39</v>
      </c>
      <c r="F7270">
        <v>0</v>
      </c>
      <c r="G7270">
        <v>0</v>
      </c>
      <c r="H7270">
        <v>2</v>
      </c>
      <c r="I7270" s="3">
        <v>406.89</v>
      </c>
      <c r="J7270" s="3">
        <v>0</v>
      </c>
      <c r="K7270" t="s">
        <v>1127</v>
      </c>
      <c r="M7270" t="s">
        <v>1128</v>
      </c>
      <c r="N7270" t="s">
        <v>1129</v>
      </c>
      <c r="O7270" t="s">
        <v>108</v>
      </c>
      <c r="P7270" t="str">
        <f>"76161"</f>
        <v>76161</v>
      </c>
    </row>
    <row r="7271" spans="1:16" x14ac:dyDescent="0.25">
      <c r="A7271" t="str">
        <f>"1130174S00211    00"</f>
        <v>1130174S00211    00</v>
      </c>
      <c r="B7271" t="s">
        <v>16273</v>
      </c>
      <c r="C7271" t="s">
        <v>16274</v>
      </c>
      <c r="D7271" t="s">
        <v>20</v>
      </c>
      <c r="E7271" t="s">
        <v>39</v>
      </c>
      <c r="F7271">
        <v>0</v>
      </c>
      <c r="G7271">
        <v>0</v>
      </c>
      <c r="H7271">
        <v>17</v>
      </c>
      <c r="I7271" s="3">
        <v>202.97</v>
      </c>
      <c r="J7271" s="3">
        <v>243.18</v>
      </c>
      <c r="K7271" t="s">
        <v>1037</v>
      </c>
      <c r="L7271">
        <v>8105</v>
      </c>
      <c r="M7271" t="s">
        <v>16275</v>
      </c>
      <c r="N7271" t="s">
        <v>30</v>
      </c>
      <c r="O7271" t="s">
        <v>31</v>
      </c>
      <c r="P7271" t="str">
        <f>"15221"</f>
        <v>15221</v>
      </c>
    </row>
    <row r="7272" spans="1:16" x14ac:dyDescent="0.25">
      <c r="A7272" t="str">
        <f>"1130174S00214    00"</f>
        <v>1130174S00214    00</v>
      </c>
      <c r="B7272" t="s">
        <v>16276</v>
      </c>
      <c r="C7272" t="s">
        <v>16274</v>
      </c>
      <c r="D7272" t="s">
        <v>20</v>
      </c>
      <c r="E7272" t="s">
        <v>39</v>
      </c>
      <c r="F7272">
        <v>0</v>
      </c>
      <c r="G7272">
        <v>0</v>
      </c>
      <c r="H7272">
        <v>17</v>
      </c>
      <c r="I7272" s="3">
        <v>202.97</v>
      </c>
      <c r="J7272" s="3">
        <v>243.18</v>
      </c>
      <c r="K7272" t="s">
        <v>1008</v>
      </c>
      <c r="P7272" t="str">
        <f>""</f>
        <v/>
      </c>
    </row>
    <row r="7273" spans="1:16" x14ac:dyDescent="0.25">
      <c r="A7273" t="str">
        <f>"1130174S00215    00"</f>
        <v>1130174S00215    00</v>
      </c>
      <c r="B7273" t="s">
        <v>16277</v>
      </c>
      <c r="C7273" t="s">
        <v>16274</v>
      </c>
      <c r="D7273" t="s">
        <v>20</v>
      </c>
      <c r="E7273" t="s">
        <v>39</v>
      </c>
      <c r="F7273">
        <v>0</v>
      </c>
      <c r="G7273">
        <v>0</v>
      </c>
      <c r="H7273">
        <v>9</v>
      </c>
      <c r="I7273" s="3">
        <v>49.73</v>
      </c>
      <c r="J7273" s="3">
        <v>24.76</v>
      </c>
      <c r="M7273" t="s">
        <v>16278</v>
      </c>
      <c r="N7273" t="s">
        <v>30</v>
      </c>
      <c r="O7273" t="s">
        <v>31</v>
      </c>
      <c r="P7273" t="str">
        <f>"15210"</f>
        <v>15210</v>
      </c>
    </row>
    <row r="7274" spans="1:16" x14ac:dyDescent="0.25">
      <c r="A7274" t="str">
        <f>"1130174S00216    00"</f>
        <v>1130174S00216    00</v>
      </c>
      <c r="B7274" t="s">
        <v>16277</v>
      </c>
      <c r="C7274" t="s">
        <v>16274</v>
      </c>
      <c r="D7274" t="s">
        <v>20</v>
      </c>
      <c r="E7274" t="s">
        <v>39</v>
      </c>
      <c r="F7274">
        <v>0</v>
      </c>
      <c r="G7274">
        <v>0</v>
      </c>
      <c r="H7274">
        <v>12</v>
      </c>
      <c r="I7274" s="3">
        <v>94.22</v>
      </c>
      <c r="J7274" s="3">
        <v>85.44</v>
      </c>
      <c r="M7274" t="s">
        <v>16278</v>
      </c>
      <c r="N7274" t="s">
        <v>30</v>
      </c>
      <c r="O7274" t="s">
        <v>31</v>
      </c>
      <c r="P7274" t="str">
        <f>"15210"</f>
        <v>15210</v>
      </c>
    </row>
    <row r="7275" spans="1:16" x14ac:dyDescent="0.25">
      <c r="A7275" t="str">
        <f>"1130174S00217    00"</f>
        <v>1130174S00217    00</v>
      </c>
      <c r="B7275" t="s">
        <v>16277</v>
      </c>
      <c r="C7275" t="s">
        <v>16274</v>
      </c>
      <c r="D7275" t="s">
        <v>20</v>
      </c>
      <c r="E7275" t="s">
        <v>39</v>
      </c>
      <c r="F7275">
        <v>0</v>
      </c>
      <c r="G7275">
        <v>0</v>
      </c>
      <c r="H7275">
        <v>12</v>
      </c>
      <c r="I7275" s="3">
        <v>94.22</v>
      </c>
      <c r="J7275" s="3">
        <v>86.92</v>
      </c>
      <c r="M7275" t="s">
        <v>16278</v>
      </c>
      <c r="N7275" t="s">
        <v>30</v>
      </c>
      <c r="O7275" t="s">
        <v>31</v>
      </c>
      <c r="P7275" t="str">
        <f>"15210"</f>
        <v>15210</v>
      </c>
    </row>
    <row r="7276" spans="1:16" x14ac:dyDescent="0.25">
      <c r="A7276" t="str">
        <f>"1130174S00218    00"</f>
        <v>1130174S00218    00</v>
      </c>
      <c r="B7276" t="s">
        <v>16279</v>
      </c>
      <c r="C7276" t="s">
        <v>16274</v>
      </c>
      <c r="D7276" t="s">
        <v>20</v>
      </c>
      <c r="E7276" t="s">
        <v>39</v>
      </c>
      <c r="F7276">
        <v>0</v>
      </c>
      <c r="G7276">
        <v>0</v>
      </c>
      <c r="H7276">
        <v>13</v>
      </c>
      <c r="I7276" s="3">
        <v>3442.19</v>
      </c>
      <c r="J7276" s="3">
        <v>4948.3900000000003</v>
      </c>
      <c r="L7276">
        <v>2017</v>
      </c>
      <c r="M7276" t="s">
        <v>2874</v>
      </c>
      <c r="N7276" t="s">
        <v>30</v>
      </c>
      <c r="O7276" t="s">
        <v>31</v>
      </c>
      <c r="P7276" t="str">
        <f>"15221"</f>
        <v>15221</v>
      </c>
    </row>
    <row r="7277" spans="1:16" x14ac:dyDescent="0.25">
      <c r="A7277" t="str">
        <f>"1130174S00219    00"</f>
        <v>1130174S00219    00</v>
      </c>
      <c r="B7277" t="s">
        <v>16280</v>
      </c>
      <c r="C7277" t="s">
        <v>16274</v>
      </c>
      <c r="D7277" t="s">
        <v>20</v>
      </c>
      <c r="E7277" t="s">
        <v>39</v>
      </c>
      <c r="F7277">
        <v>0</v>
      </c>
      <c r="G7277">
        <v>0</v>
      </c>
      <c r="H7277">
        <v>17</v>
      </c>
      <c r="I7277" s="3">
        <v>4008.64</v>
      </c>
      <c r="J7277" s="3">
        <v>5452.38</v>
      </c>
      <c r="L7277">
        <v>2333</v>
      </c>
      <c r="M7277" t="s">
        <v>16281</v>
      </c>
      <c r="N7277" t="s">
        <v>30</v>
      </c>
      <c r="O7277" t="s">
        <v>31</v>
      </c>
      <c r="P7277" t="str">
        <f>"15221"</f>
        <v>15221</v>
      </c>
    </row>
    <row r="7278" spans="1:16" x14ac:dyDescent="0.25">
      <c r="A7278" t="str">
        <f>"1130174S00220    00"</f>
        <v>1130174S00220    00</v>
      </c>
      <c r="B7278" t="s">
        <v>16282</v>
      </c>
      <c r="C7278" t="s">
        <v>16283</v>
      </c>
      <c r="D7278" t="s">
        <v>20</v>
      </c>
      <c r="E7278" t="s">
        <v>39</v>
      </c>
      <c r="F7278">
        <v>0</v>
      </c>
      <c r="G7278">
        <v>0</v>
      </c>
      <c r="H7278">
        <v>16</v>
      </c>
      <c r="I7278" s="3">
        <v>4113.3500000000004</v>
      </c>
      <c r="J7278" s="3">
        <v>4098.2700000000004</v>
      </c>
      <c r="L7278">
        <v>8123</v>
      </c>
      <c r="M7278" t="s">
        <v>16275</v>
      </c>
      <c r="N7278" t="s">
        <v>30</v>
      </c>
      <c r="O7278" t="s">
        <v>31</v>
      </c>
      <c r="P7278" t="str">
        <f>"15221"</f>
        <v>15221</v>
      </c>
    </row>
    <row r="7279" spans="1:16" x14ac:dyDescent="0.25">
      <c r="A7279" t="str">
        <f>"1130174S00221    00"</f>
        <v>1130174S00221    00</v>
      </c>
      <c r="B7279" t="s">
        <v>16284</v>
      </c>
      <c r="C7279" t="s">
        <v>16285</v>
      </c>
      <c r="D7279" t="s">
        <v>20</v>
      </c>
      <c r="E7279" t="s">
        <v>39</v>
      </c>
      <c r="F7279">
        <v>0</v>
      </c>
      <c r="G7279">
        <v>0</v>
      </c>
      <c r="H7279">
        <v>19</v>
      </c>
      <c r="I7279" s="3">
        <v>13362.16</v>
      </c>
      <c r="J7279" s="3">
        <v>13422.7</v>
      </c>
      <c r="L7279">
        <v>8112</v>
      </c>
      <c r="M7279" t="s">
        <v>9086</v>
      </c>
      <c r="N7279" t="s">
        <v>30</v>
      </c>
      <c r="O7279" t="s">
        <v>31</v>
      </c>
      <c r="P7279" t="str">
        <f>"15221"</f>
        <v>15221</v>
      </c>
    </row>
    <row r="7280" spans="1:16" x14ac:dyDescent="0.25">
      <c r="A7280" t="str">
        <f>"1130174S00225    00"</f>
        <v>1130174S00225    00</v>
      </c>
      <c r="B7280" t="s">
        <v>16286</v>
      </c>
      <c r="C7280" t="s">
        <v>16287</v>
      </c>
      <c r="D7280" t="s">
        <v>20</v>
      </c>
      <c r="E7280" t="s">
        <v>290</v>
      </c>
      <c r="F7280">
        <v>0</v>
      </c>
      <c r="G7280">
        <v>0</v>
      </c>
      <c r="H7280">
        <v>2</v>
      </c>
      <c r="I7280" s="3">
        <v>6137.34</v>
      </c>
      <c r="J7280" s="3">
        <v>0</v>
      </c>
      <c r="L7280">
        <v>4735</v>
      </c>
      <c r="M7280" t="s">
        <v>841</v>
      </c>
      <c r="N7280" t="s">
        <v>30</v>
      </c>
      <c r="O7280" t="s">
        <v>31</v>
      </c>
      <c r="P7280" t="str">
        <f>"15201"</f>
        <v>15201</v>
      </c>
    </row>
    <row r="7281" spans="1:16" x14ac:dyDescent="0.25">
      <c r="A7281" t="str">
        <f>"1130174S00227    00"</f>
        <v>1130174S00227    00</v>
      </c>
      <c r="B7281" t="s">
        <v>16288</v>
      </c>
      <c r="C7281" t="s">
        <v>16289</v>
      </c>
      <c r="D7281" t="s">
        <v>20</v>
      </c>
      <c r="E7281" t="s">
        <v>21</v>
      </c>
      <c r="F7281">
        <v>0</v>
      </c>
      <c r="G7281">
        <v>0</v>
      </c>
      <c r="H7281">
        <v>6</v>
      </c>
      <c r="I7281" s="3">
        <v>11029.53</v>
      </c>
      <c r="J7281" s="3">
        <v>2238.52</v>
      </c>
      <c r="L7281">
        <v>792</v>
      </c>
      <c r="M7281" t="s">
        <v>585</v>
      </c>
      <c r="N7281" t="s">
        <v>30</v>
      </c>
      <c r="O7281" t="s">
        <v>31</v>
      </c>
      <c r="P7281" t="str">
        <f>"15221"</f>
        <v>15221</v>
      </c>
    </row>
    <row r="7282" spans="1:16" x14ac:dyDescent="0.25">
      <c r="A7282" t="str">
        <f>"1130174S00237    00"</f>
        <v>1130174S00237    00</v>
      </c>
      <c r="B7282" t="s">
        <v>16290</v>
      </c>
      <c r="C7282" t="s">
        <v>15871</v>
      </c>
      <c r="D7282" t="s">
        <v>20</v>
      </c>
      <c r="E7282" t="s">
        <v>39</v>
      </c>
      <c r="F7282">
        <v>0</v>
      </c>
      <c r="G7282">
        <v>0</v>
      </c>
      <c r="H7282">
        <v>15</v>
      </c>
      <c r="I7282" s="3">
        <v>205.67</v>
      </c>
      <c r="J7282" s="3">
        <v>147.47</v>
      </c>
      <c r="L7282">
        <v>529</v>
      </c>
      <c r="M7282" t="s">
        <v>14880</v>
      </c>
      <c r="N7282" t="s">
        <v>1412</v>
      </c>
      <c r="O7282" t="s">
        <v>1413</v>
      </c>
      <c r="P7282" t="str">
        <f>"28215"</f>
        <v>28215</v>
      </c>
    </row>
    <row r="7283" spans="1:16" x14ac:dyDescent="0.25">
      <c r="A7283" t="str">
        <f>"1130174S00238    00"</f>
        <v>1130174S00238    00</v>
      </c>
      <c r="B7283" t="s">
        <v>16291</v>
      </c>
      <c r="C7283" t="s">
        <v>16292</v>
      </c>
      <c r="D7283" t="s">
        <v>20</v>
      </c>
      <c r="E7283" t="s">
        <v>39</v>
      </c>
      <c r="F7283">
        <v>0</v>
      </c>
      <c r="G7283">
        <v>0</v>
      </c>
      <c r="H7283">
        <v>2</v>
      </c>
      <c r="I7283" s="3">
        <v>346.9</v>
      </c>
      <c r="J7283" s="3">
        <v>0</v>
      </c>
      <c r="L7283">
        <v>6</v>
      </c>
      <c r="M7283" t="s">
        <v>15458</v>
      </c>
      <c r="N7283" t="s">
        <v>30</v>
      </c>
      <c r="O7283" t="s">
        <v>31</v>
      </c>
      <c r="P7283" t="str">
        <f>"15221"</f>
        <v>15221</v>
      </c>
    </row>
    <row r="7284" spans="1:16" x14ac:dyDescent="0.25">
      <c r="A7284" t="str">
        <f>"1130174S00258    00"</f>
        <v>1130174S00258    00</v>
      </c>
      <c r="B7284" t="s">
        <v>16293</v>
      </c>
      <c r="C7284" t="s">
        <v>15538</v>
      </c>
      <c r="D7284" t="s">
        <v>20</v>
      </c>
      <c r="E7284" t="s">
        <v>290</v>
      </c>
      <c r="F7284">
        <v>0</v>
      </c>
      <c r="G7284">
        <v>0</v>
      </c>
      <c r="H7284">
        <v>8</v>
      </c>
      <c r="I7284" s="3">
        <v>400.06</v>
      </c>
      <c r="J7284" s="3">
        <v>132.21</v>
      </c>
      <c r="K7284" t="s">
        <v>16294</v>
      </c>
      <c r="L7284">
        <v>3900</v>
      </c>
      <c r="M7284" t="s">
        <v>16295</v>
      </c>
      <c r="N7284" t="s">
        <v>79</v>
      </c>
      <c r="O7284" t="s">
        <v>31</v>
      </c>
      <c r="P7284" t="str">
        <f>"15668"</f>
        <v>15668</v>
      </c>
    </row>
    <row r="7285" spans="1:16" x14ac:dyDescent="0.25">
      <c r="A7285" t="str">
        <f>"1130174S00261    00"</f>
        <v>1130174S00261    00</v>
      </c>
      <c r="B7285" t="s">
        <v>16296</v>
      </c>
      <c r="C7285" t="s">
        <v>16297</v>
      </c>
      <c r="D7285" t="s">
        <v>20</v>
      </c>
      <c r="E7285" t="s">
        <v>21</v>
      </c>
      <c r="F7285">
        <v>0</v>
      </c>
      <c r="G7285">
        <v>0</v>
      </c>
      <c r="H7285">
        <v>1</v>
      </c>
      <c r="I7285" s="3">
        <v>1679.2</v>
      </c>
      <c r="J7285" s="3">
        <v>0</v>
      </c>
      <c r="K7285" t="s">
        <v>16298</v>
      </c>
      <c r="L7285">
        <v>8006</v>
      </c>
      <c r="M7285" t="s">
        <v>4452</v>
      </c>
      <c r="N7285" t="s">
        <v>30</v>
      </c>
      <c r="O7285" t="s">
        <v>31</v>
      </c>
      <c r="P7285" t="str">
        <f>"15221"</f>
        <v>15221</v>
      </c>
    </row>
    <row r="7286" spans="1:16" x14ac:dyDescent="0.25">
      <c r="A7286" t="str">
        <f>"1130174S00275    00"</f>
        <v>1130174S00275    00</v>
      </c>
      <c r="B7286" t="s">
        <v>16299</v>
      </c>
      <c r="C7286" t="s">
        <v>16300</v>
      </c>
      <c r="D7286" t="s">
        <v>20</v>
      </c>
      <c r="E7286" t="s">
        <v>21</v>
      </c>
      <c r="F7286">
        <v>0</v>
      </c>
      <c r="G7286">
        <v>0</v>
      </c>
      <c r="H7286">
        <v>17</v>
      </c>
      <c r="I7286" s="3">
        <v>4197.12</v>
      </c>
      <c r="J7286" s="3">
        <v>4368.66</v>
      </c>
      <c r="L7286">
        <v>329</v>
      </c>
      <c r="M7286" t="s">
        <v>16301</v>
      </c>
      <c r="N7286" t="s">
        <v>30</v>
      </c>
      <c r="O7286" t="s">
        <v>31</v>
      </c>
      <c r="P7286" t="str">
        <f>"15235"</f>
        <v>15235</v>
      </c>
    </row>
    <row r="7287" spans="1:16" x14ac:dyDescent="0.25">
      <c r="A7287" t="str">
        <f>"1130174S00280    00"</f>
        <v>1130174S00280    00</v>
      </c>
      <c r="B7287" t="s">
        <v>16299</v>
      </c>
      <c r="C7287" t="s">
        <v>16300</v>
      </c>
      <c r="D7287" t="s">
        <v>20</v>
      </c>
      <c r="E7287" t="s">
        <v>290</v>
      </c>
      <c r="F7287">
        <v>0</v>
      </c>
      <c r="G7287">
        <v>0</v>
      </c>
      <c r="H7287">
        <v>17</v>
      </c>
      <c r="I7287" s="3">
        <v>13507.99</v>
      </c>
      <c r="J7287" s="3">
        <v>10919.34</v>
      </c>
      <c r="L7287">
        <v>329</v>
      </c>
      <c r="M7287" t="s">
        <v>16301</v>
      </c>
      <c r="N7287" t="s">
        <v>30</v>
      </c>
      <c r="O7287" t="s">
        <v>31</v>
      </c>
      <c r="P7287" t="str">
        <f>"15235"</f>
        <v>15235</v>
      </c>
    </row>
    <row r="7288" spans="1:16" x14ac:dyDescent="0.25">
      <c r="A7288" t="str">
        <f>"1130174S00281    00"</f>
        <v>1130174S00281    00</v>
      </c>
      <c r="B7288" t="s">
        <v>16302</v>
      </c>
      <c r="C7288" t="s">
        <v>16303</v>
      </c>
      <c r="D7288" t="s">
        <v>20</v>
      </c>
      <c r="E7288" t="s">
        <v>39</v>
      </c>
      <c r="F7288">
        <v>0</v>
      </c>
      <c r="G7288">
        <v>0</v>
      </c>
      <c r="H7288">
        <v>19</v>
      </c>
      <c r="I7288" s="3">
        <v>2111.19</v>
      </c>
      <c r="J7288" s="3">
        <v>2240.85</v>
      </c>
      <c r="L7288">
        <v>514</v>
      </c>
      <c r="M7288" t="s">
        <v>16304</v>
      </c>
      <c r="N7288" t="s">
        <v>30</v>
      </c>
      <c r="O7288" t="s">
        <v>31</v>
      </c>
      <c r="P7288" t="str">
        <f>"15210"</f>
        <v>15210</v>
      </c>
    </row>
    <row r="7289" spans="1:16" x14ac:dyDescent="0.25">
      <c r="A7289" t="str">
        <f>"1130174S00281000100"</f>
        <v>1130174S00281000100</v>
      </c>
      <c r="B7289" t="s">
        <v>16305</v>
      </c>
      <c r="C7289" t="s">
        <v>16303</v>
      </c>
      <c r="D7289" t="s">
        <v>20</v>
      </c>
      <c r="E7289" t="s">
        <v>39</v>
      </c>
      <c r="F7289">
        <v>0</v>
      </c>
      <c r="G7289">
        <v>0</v>
      </c>
      <c r="H7289">
        <v>19</v>
      </c>
      <c r="I7289" s="3">
        <v>2111.19</v>
      </c>
      <c r="J7289" s="3">
        <v>2240.85</v>
      </c>
      <c r="L7289">
        <v>4301</v>
      </c>
      <c r="M7289" t="s">
        <v>16306</v>
      </c>
      <c r="N7289" t="s">
        <v>2534</v>
      </c>
      <c r="O7289" t="s">
        <v>1184</v>
      </c>
      <c r="P7289" t="str">
        <f>"21229"</f>
        <v>21229</v>
      </c>
    </row>
    <row r="7290" spans="1:16" x14ac:dyDescent="0.25">
      <c r="A7290" t="str">
        <f>"1130174S00281000200"</f>
        <v>1130174S00281000200</v>
      </c>
      <c r="B7290" t="s">
        <v>16307</v>
      </c>
      <c r="C7290" t="s">
        <v>16303</v>
      </c>
      <c r="D7290" t="s">
        <v>20</v>
      </c>
      <c r="E7290" t="s">
        <v>39</v>
      </c>
      <c r="F7290">
        <v>0</v>
      </c>
      <c r="G7290">
        <v>0</v>
      </c>
      <c r="H7290">
        <v>19</v>
      </c>
      <c r="I7290" s="3">
        <v>2111.19</v>
      </c>
      <c r="J7290" s="3">
        <v>2240.85</v>
      </c>
      <c r="M7290" t="s">
        <v>16308</v>
      </c>
      <c r="N7290" t="s">
        <v>30</v>
      </c>
      <c r="O7290" t="s">
        <v>31</v>
      </c>
      <c r="P7290" t="str">
        <f>"15221"</f>
        <v>15221</v>
      </c>
    </row>
    <row r="7291" spans="1:16" x14ac:dyDescent="0.25">
      <c r="A7291" t="str">
        <f>"1130174S00281000400"</f>
        <v>1130174S00281000400</v>
      </c>
      <c r="B7291" t="s">
        <v>16309</v>
      </c>
      <c r="C7291" t="s">
        <v>16303</v>
      </c>
      <c r="D7291" t="s">
        <v>20</v>
      </c>
      <c r="E7291" t="s">
        <v>39</v>
      </c>
      <c r="F7291">
        <v>0</v>
      </c>
      <c r="G7291">
        <v>0</v>
      </c>
      <c r="H7291">
        <v>19</v>
      </c>
      <c r="I7291" s="3">
        <v>1867.04</v>
      </c>
      <c r="J7291" s="3">
        <v>1813.6</v>
      </c>
      <c r="L7291">
        <v>8893</v>
      </c>
      <c r="M7291" t="s">
        <v>11939</v>
      </c>
      <c r="N7291" t="s">
        <v>30</v>
      </c>
      <c r="O7291" t="s">
        <v>31</v>
      </c>
      <c r="P7291" t="str">
        <f>"15235"</f>
        <v>15235</v>
      </c>
    </row>
    <row r="7292" spans="1:16" x14ac:dyDescent="0.25">
      <c r="A7292" t="str">
        <f>"1130174S00281000600"</f>
        <v>1130174S00281000600</v>
      </c>
      <c r="B7292" t="s">
        <v>16310</v>
      </c>
      <c r="C7292" t="s">
        <v>16303</v>
      </c>
      <c r="D7292" t="s">
        <v>20</v>
      </c>
      <c r="E7292" t="s">
        <v>39</v>
      </c>
      <c r="F7292">
        <v>0</v>
      </c>
      <c r="G7292">
        <v>0</v>
      </c>
      <c r="H7292">
        <v>19</v>
      </c>
      <c r="I7292" s="3">
        <v>1060.3900000000001</v>
      </c>
      <c r="J7292" s="3">
        <v>1185.92</v>
      </c>
      <c r="L7292">
        <v>525</v>
      </c>
      <c r="M7292" t="s">
        <v>1380</v>
      </c>
      <c r="N7292" t="s">
        <v>30</v>
      </c>
      <c r="O7292" t="s">
        <v>31</v>
      </c>
      <c r="P7292" t="str">
        <f>"15206"</f>
        <v>15206</v>
      </c>
    </row>
    <row r="7293" spans="1:16" x14ac:dyDescent="0.25">
      <c r="A7293" t="str">
        <f>"1130174S00283    00"</f>
        <v>1130174S00283    00</v>
      </c>
      <c r="B7293" t="s">
        <v>16311</v>
      </c>
      <c r="C7293" t="s">
        <v>16228</v>
      </c>
      <c r="D7293" t="s">
        <v>20</v>
      </c>
      <c r="E7293" t="s">
        <v>39</v>
      </c>
      <c r="F7293">
        <v>0</v>
      </c>
      <c r="G7293">
        <v>0</v>
      </c>
      <c r="H7293">
        <v>19</v>
      </c>
      <c r="I7293" s="3">
        <v>5977.11</v>
      </c>
      <c r="J7293" s="3">
        <v>8212.31</v>
      </c>
      <c r="L7293">
        <v>16300</v>
      </c>
      <c r="M7293" t="s">
        <v>16312</v>
      </c>
      <c r="N7293" t="s">
        <v>16313</v>
      </c>
      <c r="O7293" t="s">
        <v>1184</v>
      </c>
      <c r="P7293" t="str">
        <f>"20613"</f>
        <v>20613</v>
      </c>
    </row>
    <row r="7294" spans="1:16" x14ac:dyDescent="0.25">
      <c r="A7294" t="str">
        <f>"1130174S00284    00"</f>
        <v>1130174S00284    00</v>
      </c>
      <c r="B7294" t="s">
        <v>16309</v>
      </c>
      <c r="C7294" t="s">
        <v>16228</v>
      </c>
      <c r="D7294" t="s">
        <v>20</v>
      </c>
      <c r="E7294" t="s">
        <v>39</v>
      </c>
      <c r="F7294">
        <v>0</v>
      </c>
      <c r="G7294">
        <v>0</v>
      </c>
      <c r="H7294">
        <v>15</v>
      </c>
      <c r="I7294" s="3">
        <v>1038.67</v>
      </c>
      <c r="J7294" s="3">
        <v>920.54</v>
      </c>
      <c r="L7294">
        <v>8893</v>
      </c>
      <c r="M7294" t="s">
        <v>11939</v>
      </c>
      <c r="N7294" t="s">
        <v>30</v>
      </c>
      <c r="O7294" t="s">
        <v>31</v>
      </c>
      <c r="P7294" t="str">
        <f>"15235"</f>
        <v>15235</v>
      </c>
    </row>
    <row r="7295" spans="1:16" x14ac:dyDescent="0.25">
      <c r="A7295" t="str">
        <f>"1130174S00285    00"</f>
        <v>1130174S00285    00</v>
      </c>
      <c r="B7295" t="s">
        <v>16314</v>
      </c>
      <c r="C7295" t="s">
        <v>16228</v>
      </c>
      <c r="D7295" t="s">
        <v>20</v>
      </c>
      <c r="E7295" t="s">
        <v>39</v>
      </c>
      <c r="F7295">
        <v>0</v>
      </c>
      <c r="G7295">
        <v>0</v>
      </c>
      <c r="H7295">
        <v>10</v>
      </c>
      <c r="I7295" s="3">
        <v>566.72</v>
      </c>
      <c r="J7295" s="3">
        <v>578.15</v>
      </c>
      <c r="L7295">
        <v>1013</v>
      </c>
      <c r="M7295" t="s">
        <v>16315</v>
      </c>
      <c r="N7295" t="s">
        <v>30</v>
      </c>
      <c r="O7295" t="s">
        <v>31</v>
      </c>
      <c r="P7295" t="str">
        <f>"15221"</f>
        <v>15221</v>
      </c>
    </row>
    <row r="7296" spans="1:16" x14ac:dyDescent="0.25">
      <c r="A7296" t="str">
        <f>"1130174S00287    00"</f>
        <v>1130174S00287    00</v>
      </c>
      <c r="B7296" t="s">
        <v>16316</v>
      </c>
      <c r="C7296" t="s">
        <v>16228</v>
      </c>
      <c r="D7296" t="s">
        <v>20</v>
      </c>
      <c r="E7296" t="s">
        <v>39</v>
      </c>
      <c r="F7296">
        <v>0</v>
      </c>
      <c r="G7296">
        <v>0</v>
      </c>
      <c r="H7296">
        <v>17</v>
      </c>
      <c r="I7296" s="3">
        <v>7292.9</v>
      </c>
      <c r="J7296" s="3">
        <v>10867.58</v>
      </c>
      <c r="L7296">
        <v>4301</v>
      </c>
      <c r="M7296" t="s">
        <v>16306</v>
      </c>
      <c r="N7296" t="s">
        <v>2534</v>
      </c>
      <c r="O7296" t="s">
        <v>1184</v>
      </c>
      <c r="P7296" t="str">
        <f>"21229"</f>
        <v>21229</v>
      </c>
    </row>
    <row r="7297" spans="1:16" x14ac:dyDescent="0.25">
      <c r="A7297" t="str">
        <f>"1130174S00288    00"</f>
        <v>1130174S00288    00</v>
      </c>
      <c r="B7297" t="s">
        <v>16310</v>
      </c>
      <c r="C7297" t="s">
        <v>16228</v>
      </c>
      <c r="D7297" t="s">
        <v>20</v>
      </c>
      <c r="E7297" t="s">
        <v>39</v>
      </c>
      <c r="F7297">
        <v>0</v>
      </c>
      <c r="G7297">
        <v>0</v>
      </c>
      <c r="H7297">
        <v>19</v>
      </c>
      <c r="I7297" s="3">
        <v>316.31</v>
      </c>
      <c r="J7297" s="3">
        <v>283.55</v>
      </c>
      <c r="L7297">
        <v>525</v>
      </c>
      <c r="M7297" t="s">
        <v>1380</v>
      </c>
      <c r="N7297" t="s">
        <v>30</v>
      </c>
      <c r="O7297" t="s">
        <v>31</v>
      </c>
      <c r="P7297" t="str">
        <f>"15206"</f>
        <v>15206</v>
      </c>
    </row>
    <row r="7298" spans="1:16" x14ac:dyDescent="0.25">
      <c r="A7298" t="str">
        <f>"1130174S00289    00"</f>
        <v>1130174S00289    00</v>
      </c>
      <c r="B7298" t="s">
        <v>16302</v>
      </c>
      <c r="C7298" t="s">
        <v>16228</v>
      </c>
      <c r="D7298" t="s">
        <v>20</v>
      </c>
      <c r="E7298" t="s">
        <v>39</v>
      </c>
      <c r="F7298">
        <v>0</v>
      </c>
      <c r="G7298">
        <v>0</v>
      </c>
      <c r="H7298">
        <v>19</v>
      </c>
      <c r="I7298" s="3">
        <v>12933.24</v>
      </c>
      <c r="J7298" s="3">
        <v>15733.06</v>
      </c>
      <c r="L7298">
        <v>514</v>
      </c>
      <c r="M7298" t="s">
        <v>16304</v>
      </c>
      <c r="N7298" t="s">
        <v>30</v>
      </c>
      <c r="O7298" t="s">
        <v>31</v>
      </c>
      <c r="P7298" t="str">
        <f>"15210"</f>
        <v>15210</v>
      </c>
    </row>
    <row r="7299" spans="1:16" x14ac:dyDescent="0.25">
      <c r="A7299" t="str">
        <f>"1130174S00290    00"</f>
        <v>1130174S00290    00</v>
      </c>
      <c r="B7299" t="s">
        <v>16317</v>
      </c>
      <c r="C7299" t="s">
        <v>16228</v>
      </c>
      <c r="D7299" t="s">
        <v>20</v>
      </c>
      <c r="E7299" t="s">
        <v>39</v>
      </c>
      <c r="F7299">
        <v>0</v>
      </c>
      <c r="G7299">
        <v>0</v>
      </c>
      <c r="H7299">
        <v>17</v>
      </c>
      <c r="I7299" s="3">
        <v>8154.25</v>
      </c>
      <c r="J7299" s="3">
        <v>11909.49</v>
      </c>
      <c r="L7299">
        <v>7821</v>
      </c>
      <c r="M7299" t="s">
        <v>13633</v>
      </c>
      <c r="N7299" t="s">
        <v>30</v>
      </c>
      <c r="O7299" t="s">
        <v>31</v>
      </c>
      <c r="P7299" t="str">
        <f>"15208"</f>
        <v>15208</v>
      </c>
    </row>
    <row r="7300" spans="1:16" x14ac:dyDescent="0.25">
      <c r="A7300" t="str">
        <f>"1130174S00291    00"</f>
        <v>1130174S00291    00</v>
      </c>
      <c r="B7300" t="s">
        <v>16318</v>
      </c>
      <c r="C7300" t="s">
        <v>16228</v>
      </c>
      <c r="D7300" t="s">
        <v>20</v>
      </c>
      <c r="E7300" t="s">
        <v>39</v>
      </c>
      <c r="F7300">
        <v>0</v>
      </c>
      <c r="G7300">
        <v>0</v>
      </c>
      <c r="H7300">
        <v>19</v>
      </c>
      <c r="I7300" s="3">
        <v>8610.09</v>
      </c>
      <c r="J7300" s="3">
        <v>10695.78</v>
      </c>
      <c r="L7300">
        <v>514</v>
      </c>
      <c r="M7300" t="s">
        <v>16304</v>
      </c>
      <c r="N7300" t="s">
        <v>30</v>
      </c>
      <c r="O7300" t="s">
        <v>31</v>
      </c>
      <c r="P7300" t="str">
        <f>"15210"</f>
        <v>15210</v>
      </c>
    </row>
    <row r="7301" spans="1:16" x14ac:dyDescent="0.25">
      <c r="A7301" t="str">
        <f>"1130174S00292    00"</f>
        <v>1130174S00292    00</v>
      </c>
      <c r="B7301" t="s">
        <v>16318</v>
      </c>
      <c r="C7301" t="s">
        <v>16228</v>
      </c>
      <c r="D7301" t="s">
        <v>20</v>
      </c>
      <c r="E7301" t="s">
        <v>39</v>
      </c>
      <c r="F7301">
        <v>0</v>
      </c>
      <c r="G7301">
        <v>0</v>
      </c>
      <c r="H7301">
        <v>19</v>
      </c>
      <c r="I7301" s="3">
        <v>255.06</v>
      </c>
      <c r="J7301" s="3">
        <v>247.23</v>
      </c>
      <c r="L7301">
        <v>514</v>
      </c>
      <c r="M7301" t="s">
        <v>16304</v>
      </c>
      <c r="N7301" t="s">
        <v>30</v>
      </c>
      <c r="O7301" t="s">
        <v>31</v>
      </c>
      <c r="P7301" t="str">
        <f>"15210"</f>
        <v>15210</v>
      </c>
    </row>
    <row r="7302" spans="1:16" x14ac:dyDescent="0.25">
      <c r="A7302" t="str">
        <f>"1130174S00293    00"</f>
        <v>1130174S00293    00</v>
      </c>
      <c r="B7302" t="s">
        <v>16319</v>
      </c>
      <c r="C7302" t="s">
        <v>16228</v>
      </c>
      <c r="D7302" t="s">
        <v>20</v>
      </c>
      <c r="E7302" t="s">
        <v>39</v>
      </c>
      <c r="F7302">
        <v>0</v>
      </c>
      <c r="G7302">
        <v>0</v>
      </c>
      <c r="H7302">
        <v>17</v>
      </c>
      <c r="I7302" s="3">
        <v>178.33</v>
      </c>
      <c r="J7302" s="3">
        <v>207.61</v>
      </c>
      <c r="L7302">
        <v>1</v>
      </c>
      <c r="M7302" t="s">
        <v>16320</v>
      </c>
      <c r="N7302" t="s">
        <v>30</v>
      </c>
      <c r="O7302" t="s">
        <v>31</v>
      </c>
      <c r="P7302" t="str">
        <f>"15235"</f>
        <v>15235</v>
      </c>
    </row>
    <row r="7303" spans="1:16" x14ac:dyDescent="0.25">
      <c r="A7303" t="str">
        <f>"1130174S00340    00"</f>
        <v>1130174S00340    00</v>
      </c>
      <c r="B7303" t="s">
        <v>16321</v>
      </c>
      <c r="C7303" t="s">
        <v>16322</v>
      </c>
      <c r="D7303" t="s">
        <v>20</v>
      </c>
      <c r="E7303" t="s">
        <v>39</v>
      </c>
      <c r="F7303">
        <v>0</v>
      </c>
      <c r="G7303">
        <v>0</v>
      </c>
      <c r="H7303">
        <v>19</v>
      </c>
      <c r="I7303" s="3">
        <v>4073.07</v>
      </c>
      <c r="J7303" s="3">
        <v>4217.88</v>
      </c>
      <c r="M7303" t="s">
        <v>16208</v>
      </c>
      <c r="N7303" t="s">
        <v>30</v>
      </c>
      <c r="O7303" t="s">
        <v>31</v>
      </c>
      <c r="P7303" t="str">
        <f>"15221"</f>
        <v>15221</v>
      </c>
    </row>
    <row r="7304" spans="1:16" x14ac:dyDescent="0.25">
      <c r="A7304" t="str">
        <f>"1130174S00345    00"</f>
        <v>1130174S00345    00</v>
      </c>
      <c r="B7304" t="s">
        <v>16323</v>
      </c>
      <c r="C7304" t="s">
        <v>16324</v>
      </c>
      <c r="D7304" t="s">
        <v>20</v>
      </c>
      <c r="E7304" t="s">
        <v>39</v>
      </c>
      <c r="F7304">
        <v>0</v>
      </c>
      <c r="G7304">
        <v>0</v>
      </c>
      <c r="H7304">
        <v>4</v>
      </c>
      <c r="I7304" s="3">
        <v>3197.2</v>
      </c>
      <c r="J7304" s="3">
        <v>261.35000000000002</v>
      </c>
      <c r="L7304">
        <v>628</v>
      </c>
      <c r="M7304" t="s">
        <v>16325</v>
      </c>
      <c r="N7304" t="s">
        <v>30</v>
      </c>
      <c r="O7304" t="s">
        <v>31</v>
      </c>
      <c r="P7304" t="str">
        <f>"15208"</f>
        <v>15208</v>
      </c>
    </row>
    <row r="7305" spans="1:16" x14ac:dyDescent="0.25">
      <c r="A7305" t="str">
        <f>"1130174S00358    00"</f>
        <v>1130174S00358    00</v>
      </c>
      <c r="B7305" t="s">
        <v>16326</v>
      </c>
      <c r="C7305" t="s">
        <v>16327</v>
      </c>
      <c r="D7305" t="s">
        <v>20</v>
      </c>
      <c r="E7305" t="s">
        <v>39</v>
      </c>
      <c r="F7305">
        <v>0</v>
      </c>
      <c r="G7305">
        <v>0</v>
      </c>
      <c r="H7305">
        <v>13</v>
      </c>
      <c r="I7305" s="3">
        <v>3054.37</v>
      </c>
      <c r="J7305" s="3">
        <v>1602.9</v>
      </c>
      <c r="L7305">
        <v>400</v>
      </c>
      <c r="M7305" t="s">
        <v>16328</v>
      </c>
      <c r="N7305" t="s">
        <v>30</v>
      </c>
      <c r="O7305" t="s">
        <v>31</v>
      </c>
      <c r="P7305" t="str">
        <f>"15210"</f>
        <v>15210</v>
      </c>
    </row>
    <row r="7306" spans="1:16" x14ac:dyDescent="0.25">
      <c r="A7306" t="str">
        <f>"1130174S00358A   00"</f>
        <v>1130174S00358A   00</v>
      </c>
      <c r="B7306" t="s">
        <v>16329</v>
      </c>
      <c r="C7306" t="s">
        <v>16330</v>
      </c>
      <c r="D7306" t="s">
        <v>20</v>
      </c>
      <c r="E7306" t="s">
        <v>39</v>
      </c>
      <c r="F7306">
        <v>0</v>
      </c>
      <c r="G7306">
        <v>0</v>
      </c>
      <c r="H7306">
        <v>19</v>
      </c>
      <c r="I7306" s="3">
        <v>8258.94</v>
      </c>
      <c r="J7306" s="3">
        <v>8916.2099999999991</v>
      </c>
      <c r="L7306">
        <v>636</v>
      </c>
      <c r="M7306" t="s">
        <v>16331</v>
      </c>
      <c r="N7306" t="s">
        <v>30</v>
      </c>
      <c r="O7306" t="s">
        <v>31</v>
      </c>
      <c r="P7306" t="str">
        <f>"15221"</f>
        <v>15221</v>
      </c>
    </row>
    <row r="7307" spans="1:16" x14ac:dyDescent="0.25">
      <c r="A7307" t="str">
        <f>"1130174S00359    00"</f>
        <v>1130174S00359    00</v>
      </c>
      <c r="B7307" t="s">
        <v>7884</v>
      </c>
      <c r="C7307" t="s">
        <v>16332</v>
      </c>
      <c r="D7307" t="s">
        <v>20</v>
      </c>
      <c r="E7307" t="s">
        <v>39</v>
      </c>
      <c r="F7307">
        <v>0</v>
      </c>
      <c r="G7307">
        <v>0</v>
      </c>
      <c r="H7307">
        <v>10</v>
      </c>
      <c r="I7307" s="3">
        <v>1682.34</v>
      </c>
      <c r="J7307" s="3">
        <v>1959.37</v>
      </c>
      <c r="M7307" t="s">
        <v>7886</v>
      </c>
      <c r="N7307" t="s">
        <v>30</v>
      </c>
      <c r="O7307" t="s">
        <v>31</v>
      </c>
      <c r="P7307" t="str">
        <f>"15206"</f>
        <v>15206</v>
      </c>
    </row>
    <row r="7308" spans="1:16" x14ac:dyDescent="0.25">
      <c r="A7308" t="str">
        <f>"1130174S00360    00"</f>
        <v>1130174S00360    00</v>
      </c>
      <c r="B7308" t="s">
        <v>16333</v>
      </c>
      <c r="C7308" t="s">
        <v>16334</v>
      </c>
      <c r="D7308" t="s">
        <v>20</v>
      </c>
      <c r="E7308" t="s">
        <v>39</v>
      </c>
      <c r="F7308">
        <v>0</v>
      </c>
      <c r="G7308">
        <v>0</v>
      </c>
      <c r="H7308">
        <v>9</v>
      </c>
      <c r="I7308" s="3">
        <v>2124.9</v>
      </c>
      <c r="J7308" s="3">
        <v>747.95</v>
      </c>
      <c r="L7308">
        <v>5484</v>
      </c>
      <c r="M7308" t="s">
        <v>2901</v>
      </c>
      <c r="N7308" t="s">
        <v>30</v>
      </c>
      <c r="O7308" t="s">
        <v>31</v>
      </c>
      <c r="P7308" t="str">
        <f>"15206"</f>
        <v>15206</v>
      </c>
    </row>
    <row r="7309" spans="1:16" x14ac:dyDescent="0.25">
      <c r="A7309" t="str">
        <f>"1130174S00361    00"</f>
        <v>1130174S00361    00</v>
      </c>
      <c r="B7309" t="s">
        <v>16335</v>
      </c>
      <c r="C7309" t="s">
        <v>16322</v>
      </c>
      <c r="D7309" t="s">
        <v>20</v>
      </c>
      <c r="E7309" t="s">
        <v>39</v>
      </c>
      <c r="F7309">
        <v>0</v>
      </c>
      <c r="G7309">
        <v>0</v>
      </c>
      <c r="H7309">
        <v>18</v>
      </c>
      <c r="I7309" s="3">
        <v>3372.06</v>
      </c>
      <c r="J7309" s="3">
        <v>4557.08</v>
      </c>
      <c r="K7309" t="s">
        <v>16336</v>
      </c>
      <c r="L7309">
        <v>717</v>
      </c>
      <c r="M7309" t="s">
        <v>16208</v>
      </c>
      <c r="N7309" t="s">
        <v>30</v>
      </c>
      <c r="O7309" t="s">
        <v>31</v>
      </c>
      <c r="P7309" t="str">
        <f>"15221"</f>
        <v>15221</v>
      </c>
    </row>
    <row r="7310" spans="1:16" x14ac:dyDescent="0.25">
      <c r="A7310" t="str">
        <f>"1130174S00365    00"</f>
        <v>1130174S00365    00</v>
      </c>
      <c r="B7310" t="s">
        <v>16337</v>
      </c>
      <c r="C7310" t="s">
        <v>16322</v>
      </c>
      <c r="D7310" t="s">
        <v>20</v>
      </c>
      <c r="E7310" t="s">
        <v>39</v>
      </c>
      <c r="F7310">
        <v>0</v>
      </c>
      <c r="G7310">
        <v>0</v>
      </c>
      <c r="H7310">
        <v>9</v>
      </c>
      <c r="I7310" s="3">
        <v>438.06</v>
      </c>
      <c r="J7310" s="3">
        <v>509.39</v>
      </c>
      <c r="K7310" t="s">
        <v>16338</v>
      </c>
      <c r="P7310" t="str">
        <f>""</f>
        <v/>
      </c>
    </row>
    <row r="7311" spans="1:16" x14ac:dyDescent="0.25">
      <c r="A7311" t="str">
        <f>"1130174S00366    00"</f>
        <v>1130174S00366    00</v>
      </c>
      <c r="B7311" t="s">
        <v>16339</v>
      </c>
      <c r="C7311" t="s">
        <v>16340</v>
      </c>
      <c r="D7311" t="s">
        <v>20</v>
      </c>
      <c r="E7311" t="s">
        <v>39</v>
      </c>
      <c r="F7311">
        <v>0</v>
      </c>
      <c r="G7311">
        <v>0</v>
      </c>
      <c r="H7311">
        <v>19</v>
      </c>
      <c r="I7311" s="3">
        <v>8561.2900000000009</v>
      </c>
      <c r="J7311" s="3">
        <v>9376.0499999999993</v>
      </c>
      <c r="P7311" t="str">
        <f>""</f>
        <v/>
      </c>
    </row>
    <row r="7312" spans="1:16" x14ac:dyDescent="0.25">
      <c r="A7312" t="str">
        <f>"1130174S00368    00"</f>
        <v>1130174S00368    00</v>
      </c>
      <c r="B7312" t="s">
        <v>16341</v>
      </c>
      <c r="C7312" t="s">
        <v>16342</v>
      </c>
      <c r="D7312" t="s">
        <v>20</v>
      </c>
      <c r="E7312" t="s">
        <v>39</v>
      </c>
      <c r="F7312">
        <v>0</v>
      </c>
      <c r="G7312">
        <v>0</v>
      </c>
      <c r="H7312">
        <v>5</v>
      </c>
      <c r="I7312" s="3">
        <v>2605.2399999999998</v>
      </c>
      <c r="J7312" s="3">
        <v>11.14</v>
      </c>
      <c r="K7312" t="s">
        <v>16343</v>
      </c>
      <c r="L7312">
        <v>3550</v>
      </c>
      <c r="M7312" t="s">
        <v>13961</v>
      </c>
      <c r="N7312" t="s">
        <v>30</v>
      </c>
      <c r="O7312" t="s">
        <v>31</v>
      </c>
      <c r="P7312" t="str">
        <f>"15212"</f>
        <v>15212</v>
      </c>
    </row>
    <row r="7313" spans="1:16" x14ac:dyDescent="0.25">
      <c r="A7313" t="str">
        <f>"1130174S00371    00"</f>
        <v>1130174S00371    00</v>
      </c>
      <c r="B7313" t="s">
        <v>16344</v>
      </c>
      <c r="C7313" t="s">
        <v>16345</v>
      </c>
      <c r="D7313" t="s">
        <v>20</v>
      </c>
      <c r="E7313" t="s">
        <v>39</v>
      </c>
      <c r="F7313">
        <v>0</v>
      </c>
      <c r="G7313">
        <v>0</v>
      </c>
      <c r="H7313">
        <v>19</v>
      </c>
      <c r="I7313" s="3">
        <v>8117</v>
      </c>
      <c r="J7313" s="3">
        <v>9149.3799999999992</v>
      </c>
      <c r="K7313" t="s">
        <v>16346</v>
      </c>
      <c r="L7313">
        <v>113</v>
      </c>
      <c r="M7313" t="s">
        <v>16347</v>
      </c>
      <c r="N7313" t="s">
        <v>30</v>
      </c>
      <c r="O7313" t="s">
        <v>31</v>
      </c>
      <c r="P7313" t="str">
        <f>"15220"</f>
        <v>15220</v>
      </c>
    </row>
    <row r="7314" spans="1:16" x14ac:dyDescent="0.25">
      <c r="A7314" t="str">
        <f>"1130174S00376    00"</f>
        <v>1130174S00376    00</v>
      </c>
      <c r="B7314" t="s">
        <v>16348</v>
      </c>
      <c r="C7314" t="s">
        <v>16349</v>
      </c>
      <c r="D7314" t="s">
        <v>20</v>
      </c>
      <c r="E7314" t="s">
        <v>39</v>
      </c>
      <c r="F7314">
        <v>0</v>
      </c>
      <c r="G7314">
        <v>0</v>
      </c>
      <c r="H7314">
        <v>3</v>
      </c>
      <c r="I7314" s="3">
        <v>36.99</v>
      </c>
      <c r="J7314" s="3">
        <v>2.4700000000000002</v>
      </c>
      <c r="L7314">
        <v>652</v>
      </c>
      <c r="M7314" t="s">
        <v>16208</v>
      </c>
      <c r="N7314" t="s">
        <v>30</v>
      </c>
      <c r="O7314" t="s">
        <v>31</v>
      </c>
      <c r="P7314" t="str">
        <f>"15221"</f>
        <v>15221</v>
      </c>
    </row>
    <row r="7315" spans="1:16" x14ac:dyDescent="0.25">
      <c r="A7315" t="str">
        <f>"1130174S00377    00"</f>
        <v>1130174S00377    00</v>
      </c>
      <c r="B7315" t="s">
        <v>16350</v>
      </c>
      <c r="C7315" t="s">
        <v>16351</v>
      </c>
      <c r="D7315" t="s">
        <v>20</v>
      </c>
      <c r="E7315" t="s">
        <v>39</v>
      </c>
      <c r="F7315">
        <v>0</v>
      </c>
      <c r="G7315">
        <v>0</v>
      </c>
      <c r="H7315">
        <v>19</v>
      </c>
      <c r="I7315" s="3">
        <v>4521.67</v>
      </c>
      <c r="J7315" s="3">
        <v>5933.87</v>
      </c>
      <c r="P7315" t="str">
        <f>""</f>
        <v/>
      </c>
    </row>
    <row r="7316" spans="1:16" x14ac:dyDescent="0.25">
      <c r="A7316" t="str">
        <f>"1130174S00378    00"</f>
        <v>1130174S00378    00</v>
      </c>
      <c r="B7316" t="s">
        <v>16352</v>
      </c>
      <c r="C7316" t="s">
        <v>16351</v>
      </c>
      <c r="D7316" t="s">
        <v>20</v>
      </c>
      <c r="E7316" t="s">
        <v>39</v>
      </c>
      <c r="F7316">
        <v>0</v>
      </c>
      <c r="G7316">
        <v>0</v>
      </c>
      <c r="H7316">
        <v>19</v>
      </c>
      <c r="I7316" s="3">
        <v>2111.19</v>
      </c>
      <c r="J7316" s="3">
        <v>2240.85</v>
      </c>
      <c r="L7316">
        <v>21</v>
      </c>
      <c r="M7316" t="s">
        <v>8008</v>
      </c>
      <c r="N7316" t="s">
        <v>1823</v>
      </c>
      <c r="O7316" t="s">
        <v>31</v>
      </c>
      <c r="P7316" t="str">
        <f>"15024"</f>
        <v>15024</v>
      </c>
    </row>
    <row r="7317" spans="1:16" x14ac:dyDescent="0.25">
      <c r="A7317" t="str">
        <f>"1130175A00019    00"</f>
        <v>1130175A00019    00</v>
      </c>
      <c r="B7317" t="s">
        <v>14881</v>
      </c>
      <c r="C7317" t="s">
        <v>14133</v>
      </c>
      <c r="D7317" t="s">
        <v>20</v>
      </c>
      <c r="E7317" t="s">
        <v>39</v>
      </c>
      <c r="F7317">
        <v>0</v>
      </c>
      <c r="G7317">
        <v>0</v>
      </c>
      <c r="H7317">
        <v>4</v>
      </c>
      <c r="I7317" s="3">
        <v>75.44</v>
      </c>
      <c r="J7317" s="3">
        <v>9.2799999999999994</v>
      </c>
      <c r="K7317" t="s">
        <v>14883</v>
      </c>
      <c r="L7317">
        <v>1541</v>
      </c>
      <c r="M7317" t="s">
        <v>10391</v>
      </c>
      <c r="N7317" t="s">
        <v>30</v>
      </c>
      <c r="O7317" t="s">
        <v>31</v>
      </c>
      <c r="P7317" t="str">
        <f>"15206"</f>
        <v>15206</v>
      </c>
    </row>
    <row r="7318" spans="1:16" x14ac:dyDescent="0.25">
      <c r="A7318" t="str">
        <f>"1130175A00037    00"</f>
        <v>1130175A00037    00</v>
      </c>
      <c r="B7318" t="s">
        <v>16353</v>
      </c>
      <c r="C7318" t="s">
        <v>16354</v>
      </c>
      <c r="D7318" t="s">
        <v>57</v>
      </c>
      <c r="E7318" t="s">
        <v>39</v>
      </c>
      <c r="F7318">
        <v>0</v>
      </c>
      <c r="G7318">
        <v>0</v>
      </c>
      <c r="H7318">
        <v>1</v>
      </c>
      <c r="I7318" s="3">
        <v>67.239999999999995</v>
      </c>
      <c r="J7318" s="3">
        <v>59.39</v>
      </c>
      <c r="K7318" t="s">
        <v>16355</v>
      </c>
      <c r="L7318">
        <v>4800</v>
      </c>
      <c r="M7318" t="s">
        <v>16356</v>
      </c>
      <c r="N7318" t="s">
        <v>15433</v>
      </c>
      <c r="O7318" t="s">
        <v>3486</v>
      </c>
      <c r="P7318" t="str">
        <f>"62711"</f>
        <v>62711</v>
      </c>
    </row>
    <row r="7319" spans="1:16" x14ac:dyDescent="0.25">
      <c r="A7319" t="str">
        <f>"1130175A00044    00"</f>
        <v>1130175A00044    00</v>
      </c>
      <c r="B7319" t="s">
        <v>16357</v>
      </c>
      <c r="C7319" t="s">
        <v>16358</v>
      </c>
      <c r="D7319" t="s">
        <v>20</v>
      </c>
      <c r="E7319" t="s">
        <v>39</v>
      </c>
      <c r="F7319">
        <v>0</v>
      </c>
      <c r="G7319">
        <v>0</v>
      </c>
      <c r="H7319">
        <v>6</v>
      </c>
      <c r="I7319" s="3">
        <v>514.64</v>
      </c>
      <c r="J7319" s="3">
        <v>117.39</v>
      </c>
      <c r="K7319" t="s">
        <v>16359</v>
      </c>
      <c r="L7319">
        <v>1056</v>
      </c>
      <c r="M7319" t="s">
        <v>16360</v>
      </c>
      <c r="N7319" t="s">
        <v>30</v>
      </c>
      <c r="O7319" t="s">
        <v>31</v>
      </c>
      <c r="P7319" t="str">
        <f>"15208"</f>
        <v>15208</v>
      </c>
    </row>
    <row r="7320" spans="1:16" x14ac:dyDescent="0.25">
      <c r="A7320" t="str">
        <f>"1130175B00009    00"</f>
        <v>1130175B00009    00</v>
      </c>
      <c r="B7320" t="s">
        <v>16361</v>
      </c>
      <c r="C7320" t="s">
        <v>16362</v>
      </c>
      <c r="D7320" t="s">
        <v>20</v>
      </c>
      <c r="E7320" t="s">
        <v>39</v>
      </c>
      <c r="F7320">
        <v>0</v>
      </c>
      <c r="G7320">
        <v>0</v>
      </c>
      <c r="H7320">
        <v>2</v>
      </c>
      <c r="I7320" s="3">
        <v>30.5</v>
      </c>
      <c r="J7320" s="3">
        <v>0</v>
      </c>
      <c r="L7320">
        <v>3053</v>
      </c>
      <c r="M7320" t="s">
        <v>14282</v>
      </c>
      <c r="N7320" t="s">
        <v>1046</v>
      </c>
      <c r="O7320" t="s">
        <v>31</v>
      </c>
      <c r="P7320" t="str">
        <f>"15147"</f>
        <v>15147</v>
      </c>
    </row>
    <row r="7321" spans="1:16" x14ac:dyDescent="0.25">
      <c r="A7321" t="str">
        <f>"1130175B00010    00"</f>
        <v>1130175B00010    00</v>
      </c>
      <c r="B7321" t="s">
        <v>16361</v>
      </c>
      <c r="C7321" t="s">
        <v>16363</v>
      </c>
      <c r="D7321" t="s">
        <v>20</v>
      </c>
      <c r="E7321" t="s">
        <v>39</v>
      </c>
      <c r="F7321">
        <v>0</v>
      </c>
      <c r="G7321">
        <v>0</v>
      </c>
      <c r="H7321">
        <v>2</v>
      </c>
      <c r="I7321" s="3">
        <v>41.96</v>
      </c>
      <c r="J7321" s="3">
        <v>0</v>
      </c>
      <c r="L7321">
        <v>3053</v>
      </c>
      <c r="M7321" t="s">
        <v>14282</v>
      </c>
      <c r="N7321" t="s">
        <v>1046</v>
      </c>
      <c r="O7321" t="s">
        <v>31</v>
      </c>
      <c r="P7321" t="str">
        <f>"15147"</f>
        <v>15147</v>
      </c>
    </row>
    <row r="7322" spans="1:16" x14ac:dyDescent="0.25">
      <c r="A7322" t="str">
        <f>"1130175B00011    00"</f>
        <v>1130175B00011    00</v>
      </c>
      <c r="B7322" t="s">
        <v>16361</v>
      </c>
      <c r="C7322" t="s">
        <v>16364</v>
      </c>
      <c r="D7322" t="s">
        <v>20</v>
      </c>
      <c r="E7322" t="s">
        <v>39</v>
      </c>
      <c r="F7322">
        <v>0</v>
      </c>
      <c r="G7322">
        <v>0</v>
      </c>
      <c r="H7322">
        <v>2</v>
      </c>
      <c r="I7322" s="3">
        <v>789.12</v>
      </c>
      <c r="J7322" s="3">
        <v>0</v>
      </c>
      <c r="L7322">
        <v>3053</v>
      </c>
      <c r="M7322" t="s">
        <v>14282</v>
      </c>
      <c r="N7322" t="s">
        <v>1046</v>
      </c>
      <c r="O7322" t="s">
        <v>31</v>
      </c>
      <c r="P7322" t="str">
        <f>"15147"</f>
        <v>15147</v>
      </c>
    </row>
    <row r="7323" spans="1:16" x14ac:dyDescent="0.25">
      <c r="A7323" t="str">
        <f>"1130175B00012    00"</f>
        <v>1130175B00012    00</v>
      </c>
      <c r="B7323" t="s">
        <v>16365</v>
      </c>
      <c r="C7323" t="s">
        <v>16366</v>
      </c>
      <c r="D7323" t="s">
        <v>20</v>
      </c>
      <c r="E7323" t="s">
        <v>39</v>
      </c>
      <c r="F7323">
        <v>0</v>
      </c>
      <c r="G7323">
        <v>0</v>
      </c>
      <c r="H7323">
        <v>4</v>
      </c>
      <c r="I7323" s="3">
        <v>37.76</v>
      </c>
      <c r="J7323" s="3">
        <v>4.66</v>
      </c>
      <c r="L7323">
        <v>7604</v>
      </c>
      <c r="M7323" t="s">
        <v>16367</v>
      </c>
      <c r="N7323" t="s">
        <v>30</v>
      </c>
      <c r="O7323" t="s">
        <v>31</v>
      </c>
      <c r="P7323" t="str">
        <f>"15208"</f>
        <v>15208</v>
      </c>
    </row>
    <row r="7324" spans="1:16" x14ac:dyDescent="0.25">
      <c r="A7324" t="str">
        <f>"1130175B00030    00"</f>
        <v>1130175B00030    00</v>
      </c>
      <c r="B7324" t="s">
        <v>16368</v>
      </c>
      <c r="C7324" t="s">
        <v>15982</v>
      </c>
      <c r="D7324" t="s">
        <v>20</v>
      </c>
      <c r="E7324" t="s">
        <v>39</v>
      </c>
      <c r="F7324">
        <v>0</v>
      </c>
      <c r="G7324">
        <v>0</v>
      </c>
      <c r="H7324">
        <v>8</v>
      </c>
      <c r="I7324" s="3">
        <v>51.24</v>
      </c>
      <c r="J7324" s="3">
        <v>29.73</v>
      </c>
      <c r="L7324">
        <v>375</v>
      </c>
      <c r="M7324" t="s">
        <v>16369</v>
      </c>
      <c r="N7324" t="s">
        <v>30</v>
      </c>
      <c r="O7324" t="s">
        <v>31</v>
      </c>
      <c r="P7324" t="str">
        <f>"15235"</f>
        <v>15235</v>
      </c>
    </row>
    <row r="7325" spans="1:16" x14ac:dyDescent="0.25">
      <c r="A7325" t="str">
        <f>"1130175B00033    00"</f>
        <v>1130175B00033    00</v>
      </c>
      <c r="B7325" t="s">
        <v>16029</v>
      </c>
      <c r="C7325" t="s">
        <v>16370</v>
      </c>
      <c r="D7325" t="s">
        <v>20</v>
      </c>
      <c r="E7325" t="s">
        <v>39</v>
      </c>
      <c r="F7325">
        <v>0</v>
      </c>
      <c r="G7325">
        <v>0</v>
      </c>
      <c r="H7325">
        <v>2</v>
      </c>
      <c r="I7325" s="3">
        <v>487.98</v>
      </c>
      <c r="J7325" s="3">
        <v>0</v>
      </c>
      <c r="L7325">
        <v>7506</v>
      </c>
      <c r="M7325" t="s">
        <v>13633</v>
      </c>
      <c r="N7325" t="s">
        <v>30</v>
      </c>
      <c r="O7325" t="s">
        <v>31</v>
      </c>
      <c r="P7325" t="str">
        <f>"15208"</f>
        <v>15208</v>
      </c>
    </row>
    <row r="7326" spans="1:16" x14ac:dyDescent="0.25">
      <c r="A7326" t="str">
        <f>"1130175B00034    00"</f>
        <v>1130175B00034    00</v>
      </c>
      <c r="B7326" t="s">
        <v>16029</v>
      </c>
      <c r="C7326" t="s">
        <v>15982</v>
      </c>
      <c r="D7326" t="s">
        <v>20</v>
      </c>
      <c r="E7326" t="s">
        <v>39</v>
      </c>
      <c r="F7326">
        <v>0</v>
      </c>
      <c r="G7326">
        <v>0</v>
      </c>
      <c r="H7326">
        <v>2</v>
      </c>
      <c r="I7326" s="3">
        <v>129.6</v>
      </c>
      <c r="J7326" s="3">
        <v>0</v>
      </c>
      <c r="L7326">
        <v>7506</v>
      </c>
      <c r="M7326" t="s">
        <v>13633</v>
      </c>
      <c r="N7326" t="s">
        <v>30</v>
      </c>
      <c r="O7326" t="s">
        <v>31</v>
      </c>
      <c r="P7326" t="str">
        <f>"15208"</f>
        <v>15208</v>
      </c>
    </row>
    <row r="7327" spans="1:16" x14ac:dyDescent="0.25">
      <c r="A7327" t="str">
        <f>"1130175B00035    00"</f>
        <v>1130175B00035    00</v>
      </c>
      <c r="B7327" t="s">
        <v>16029</v>
      </c>
      <c r="C7327" t="s">
        <v>15982</v>
      </c>
      <c r="D7327" t="s">
        <v>20</v>
      </c>
      <c r="E7327" t="s">
        <v>39</v>
      </c>
      <c r="F7327">
        <v>0</v>
      </c>
      <c r="G7327">
        <v>0</v>
      </c>
      <c r="H7327">
        <v>2</v>
      </c>
      <c r="I7327" s="3">
        <v>36.24</v>
      </c>
      <c r="J7327" s="3">
        <v>0</v>
      </c>
      <c r="K7327" t="s">
        <v>16371</v>
      </c>
      <c r="L7327">
        <v>7506</v>
      </c>
      <c r="M7327" t="s">
        <v>13633</v>
      </c>
      <c r="N7327" t="s">
        <v>30</v>
      </c>
      <c r="O7327" t="s">
        <v>31</v>
      </c>
      <c r="P7327" t="str">
        <f>"15208"</f>
        <v>15208</v>
      </c>
    </row>
    <row r="7328" spans="1:16" x14ac:dyDescent="0.25">
      <c r="A7328" t="str">
        <f>"1130175B00036    00"</f>
        <v>1130175B00036    00</v>
      </c>
      <c r="B7328" t="s">
        <v>15978</v>
      </c>
      <c r="C7328" t="s">
        <v>16372</v>
      </c>
      <c r="D7328" t="s">
        <v>20</v>
      </c>
      <c r="E7328" t="s">
        <v>21</v>
      </c>
      <c r="F7328">
        <v>0</v>
      </c>
      <c r="G7328">
        <v>0</v>
      </c>
      <c r="H7328">
        <v>2</v>
      </c>
      <c r="I7328" s="3">
        <v>1063.54</v>
      </c>
      <c r="J7328" s="3">
        <v>0</v>
      </c>
      <c r="K7328" t="s">
        <v>16373</v>
      </c>
      <c r="L7328">
        <v>7506</v>
      </c>
      <c r="M7328" t="s">
        <v>16374</v>
      </c>
      <c r="N7328" t="s">
        <v>30</v>
      </c>
      <c r="O7328" t="s">
        <v>31</v>
      </c>
      <c r="P7328" t="str">
        <f>"15208"</f>
        <v>15208</v>
      </c>
    </row>
    <row r="7329" spans="1:16" x14ac:dyDescent="0.25">
      <c r="A7329" t="str">
        <f>"1130175B00037    00"</f>
        <v>1130175B00037    00</v>
      </c>
      <c r="B7329" t="s">
        <v>15978</v>
      </c>
      <c r="C7329" t="s">
        <v>15982</v>
      </c>
      <c r="D7329" t="s">
        <v>20</v>
      </c>
      <c r="E7329" t="s">
        <v>39</v>
      </c>
      <c r="F7329">
        <v>0</v>
      </c>
      <c r="G7329">
        <v>0</v>
      </c>
      <c r="H7329">
        <v>6</v>
      </c>
      <c r="I7329" s="3">
        <v>1028.79</v>
      </c>
      <c r="J7329" s="3">
        <v>1208.44</v>
      </c>
      <c r="L7329">
        <v>7506</v>
      </c>
      <c r="M7329" t="s">
        <v>13633</v>
      </c>
      <c r="N7329" t="s">
        <v>30</v>
      </c>
      <c r="O7329" t="s">
        <v>31</v>
      </c>
      <c r="P7329" t="str">
        <f>"15208"</f>
        <v>15208</v>
      </c>
    </row>
    <row r="7330" spans="1:16" x14ac:dyDescent="0.25">
      <c r="A7330" t="str">
        <f>"1130175B00040    00"</f>
        <v>1130175B00040    00</v>
      </c>
      <c r="B7330" t="s">
        <v>16375</v>
      </c>
      <c r="C7330" t="s">
        <v>15982</v>
      </c>
      <c r="D7330" t="s">
        <v>20</v>
      </c>
      <c r="E7330" t="s">
        <v>39</v>
      </c>
      <c r="F7330">
        <v>0</v>
      </c>
      <c r="G7330">
        <v>0</v>
      </c>
      <c r="H7330">
        <v>6</v>
      </c>
      <c r="I7330" s="3">
        <v>89.49</v>
      </c>
      <c r="J7330" s="3">
        <v>20.41</v>
      </c>
      <c r="L7330">
        <v>5133</v>
      </c>
      <c r="M7330" t="s">
        <v>3738</v>
      </c>
      <c r="N7330" t="s">
        <v>30</v>
      </c>
      <c r="O7330" t="s">
        <v>31</v>
      </c>
      <c r="P7330" t="str">
        <f>"15201"</f>
        <v>15201</v>
      </c>
    </row>
    <row r="7331" spans="1:16" x14ac:dyDescent="0.25">
      <c r="A7331" t="str">
        <f>"1130175B00041    00"</f>
        <v>1130175B00041    00</v>
      </c>
      <c r="B7331" t="s">
        <v>16376</v>
      </c>
      <c r="C7331" t="s">
        <v>16377</v>
      </c>
      <c r="D7331" t="s">
        <v>20</v>
      </c>
      <c r="E7331" t="s">
        <v>290</v>
      </c>
      <c r="F7331">
        <v>0</v>
      </c>
      <c r="G7331">
        <v>0</v>
      </c>
      <c r="H7331">
        <v>4</v>
      </c>
      <c r="I7331" s="3">
        <v>9181.6</v>
      </c>
      <c r="J7331" s="3">
        <v>792.64</v>
      </c>
      <c r="M7331" t="s">
        <v>16378</v>
      </c>
      <c r="N7331" t="s">
        <v>30</v>
      </c>
      <c r="O7331" t="s">
        <v>31</v>
      </c>
      <c r="P7331" t="str">
        <f>"15201"</f>
        <v>15201</v>
      </c>
    </row>
    <row r="7332" spans="1:16" x14ac:dyDescent="0.25">
      <c r="A7332" t="str">
        <f>"1130175B00050    00"</f>
        <v>1130175B00050    00</v>
      </c>
      <c r="B7332" t="s">
        <v>16379</v>
      </c>
      <c r="C7332" t="s">
        <v>16380</v>
      </c>
      <c r="D7332" t="s">
        <v>20</v>
      </c>
      <c r="E7332" t="s">
        <v>21</v>
      </c>
      <c r="F7332">
        <v>0</v>
      </c>
      <c r="G7332">
        <v>0</v>
      </c>
      <c r="H7332">
        <v>1</v>
      </c>
      <c r="I7332" s="3">
        <v>291.63</v>
      </c>
      <c r="J7332" s="3">
        <v>0</v>
      </c>
      <c r="M7332" t="s">
        <v>16381</v>
      </c>
      <c r="N7332" t="s">
        <v>30</v>
      </c>
      <c r="O7332" t="s">
        <v>31</v>
      </c>
      <c r="P7332" t="str">
        <f>"15235"</f>
        <v>15235</v>
      </c>
    </row>
    <row r="7333" spans="1:16" x14ac:dyDescent="0.25">
      <c r="A7333" t="str">
        <f>"1130175B00057    00"</f>
        <v>1130175B00057    00</v>
      </c>
      <c r="B7333" t="s">
        <v>1997</v>
      </c>
      <c r="C7333" t="s">
        <v>15982</v>
      </c>
      <c r="E7333" t="s">
        <v>39</v>
      </c>
      <c r="F7333">
        <v>0</v>
      </c>
      <c r="G7333">
        <v>0</v>
      </c>
      <c r="H7333">
        <v>7</v>
      </c>
      <c r="I7333" s="3">
        <v>710.25</v>
      </c>
      <c r="J7333" s="3">
        <v>984.7</v>
      </c>
      <c r="K7333" t="s">
        <v>2361</v>
      </c>
      <c r="L7333">
        <v>412</v>
      </c>
      <c r="M7333" t="s">
        <v>221</v>
      </c>
      <c r="N7333" t="s">
        <v>30</v>
      </c>
      <c r="O7333" t="s">
        <v>31</v>
      </c>
      <c r="P7333" t="str">
        <f>"15219"</f>
        <v>15219</v>
      </c>
    </row>
    <row r="7334" spans="1:16" x14ac:dyDescent="0.25">
      <c r="A7334" t="str">
        <f>"1130175B00058    00"</f>
        <v>1130175B00058    00</v>
      </c>
      <c r="B7334" t="s">
        <v>1997</v>
      </c>
      <c r="C7334" t="s">
        <v>15982</v>
      </c>
      <c r="E7334" t="s">
        <v>21</v>
      </c>
      <c r="F7334">
        <v>0</v>
      </c>
      <c r="G7334">
        <v>0</v>
      </c>
      <c r="H7334">
        <v>7</v>
      </c>
      <c r="I7334" s="3">
        <v>1598.3</v>
      </c>
      <c r="J7334" s="3">
        <v>2245.38</v>
      </c>
      <c r="K7334" t="s">
        <v>2361</v>
      </c>
      <c r="L7334">
        <v>412</v>
      </c>
      <c r="M7334" t="s">
        <v>221</v>
      </c>
      <c r="N7334" t="s">
        <v>30</v>
      </c>
      <c r="O7334" t="s">
        <v>31</v>
      </c>
      <c r="P7334" t="str">
        <f>"15219"</f>
        <v>15219</v>
      </c>
    </row>
    <row r="7335" spans="1:16" x14ac:dyDescent="0.25">
      <c r="A7335" t="str">
        <f>"1130175B00060    00"</f>
        <v>1130175B00060    00</v>
      </c>
      <c r="B7335" t="s">
        <v>1997</v>
      </c>
      <c r="C7335" t="s">
        <v>15982</v>
      </c>
      <c r="E7335" t="s">
        <v>39</v>
      </c>
      <c r="F7335">
        <v>0</v>
      </c>
      <c r="G7335">
        <v>0</v>
      </c>
      <c r="H7335">
        <v>7</v>
      </c>
      <c r="I7335" s="3">
        <v>458.09</v>
      </c>
      <c r="J7335" s="3">
        <v>646.15</v>
      </c>
      <c r="K7335" t="s">
        <v>2361</v>
      </c>
      <c r="L7335">
        <v>412</v>
      </c>
      <c r="M7335" t="s">
        <v>221</v>
      </c>
      <c r="N7335" t="s">
        <v>30</v>
      </c>
      <c r="O7335" t="s">
        <v>31</v>
      </c>
      <c r="P7335" t="str">
        <f>"15219"</f>
        <v>15219</v>
      </c>
    </row>
    <row r="7336" spans="1:16" x14ac:dyDescent="0.25">
      <c r="A7336" t="str">
        <f>"1130175B00077    00"</f>
        <v>1130175B00077    00</v>
      </c>
      <c r="B7336" t="s">
        <v>9057</v>
      </c>
      <c r="C7336" t="s">
        <v>15982</v>
      </c>
      <c r="D7336" t="s">
        <v>20</v>
      </c>
      <c r="E7336" t="s">
        <v>39</v>
      </c>
      <c r="F7336">
        <v>0</v>
      </c>
      <c r="G7336">
        <v>0</v>
      </c>
      <c r="H7336">
        <v>7</v>
      </c>
      <c r="I7336" s="3">
        <v>441.98</v>
      </c>
      <c r="J7336" s="3">
        <v>123.78</v>
      </c>
      <c r="M7336" t="s">
        <v>16378</v>
      </c>
      <c r="N7336" t="s">
        <v>30</v>
      </c>
      <c r="O7336" t="s">
        <v>31</v>
      </c>
      <c r="P7336" t="str">
        <f>"15201"</f>
        <v>15201</v>
      </c>
    </row>
    <row r="7337" spans="1:16" x14ac:dyDescent="0.25">
      <c r="A7337" t="str">
        <f>"1130175B00082A   00"</f>
        <v>1130175B00082A   00</v>
      </c>
      <c r="B7337" t="s">
        <v>16382</v>
      </c>
      <c r="C7337" t="s">
        <v>15982</v>
      </c>
      <c r="D7337" t="s">
        <v>20</v>
      </c>
      <c r="E7337" t="s">
        <v>39</v>
      </c>
      <c r="F7337">
        <v>0</v>
      </c>
      <c r="G7337">
        <v>0</v>
      </c>
      <c r="H7337">
        <v>2</v>
      </c>
      <c r="I7337" s="3">
        <v>104.5</v>
      </c>
      <c r="J7337" s="3">
        <v>15.34</v>
      </c>
      <c r="L7337">
        <v>471</v>
      </c>
      <c r="M7337" t="s">
        <v>14198</v>
      </c>
      <c r="N7337" t="s">
        <v>30</v>
      </c>
      <c r="O7337" t="s">
        <v>31</v>
      </c>
      <c r="P7337" t="str">
        <f>"15235"</f>
        <v>15235</v>
      </c>
    </row>
    <row r="7338" spans="1:16" x14ac:dyDescent="0.25">
      <c r="A7338" t="str">
        <f>"1130175B00083    00"</f>
        <v>1130175B00083    00</v>
      </c>
      <c r="B7338" t="s">
        <v>16383</v>
      </c>
      <c r="C7338" t="s">
        <v>16384</v>
      </c>
      <c r="D7338" t="s">
        <v>20</v>
      </c>
      <c r="E7338" t="s">
        <v>39</v>
      </c>
      <c r="F7338">
        <v>0</v>
      </c>
      <c r="G7338">
        <v>0</v>
      </c>
      <c r="H7338">
        <v>4</v>
      </c>
      <c r="I7338" s="3">
        <v>27.84</v>
      </c>
      <c r="J7338" s="3">
        <v>3.4</v>
      </c>
      <c r="L7338">
        <v>7510</v>
      </c>
      <c r="M7338" t="s">
        <v>13633</v>
      </c>
      <c r="N7338" t="s">
        <v>30</v>
      </c>
      <c r="O7338" t="s">
        <v>31</v>
      </c>
      <c r="P7338" t="str">
        <f>"15208"</f>
        <v>15208</v>
      </c>
    </row>
    <row r="7339" spans="1:16" x14ac:dyDescent="0.25">
      <c r="A7339" t="str">
        <f>"1130175B00085    00"</f>
        <v>1130175B00085    00</v>
      </c>
      <c r="B7339" t="s">
        <v>16385</v>
      </c>
      <c r="C7339" t="s">
        <v>16386</v>
      </c>
      <c r="D7339" t="s">
        <v>20</v>
      </c>
      <c r="E7339" t="s">
        <v>39</v>
      </c>
      <c r="F7339">
        <v>0</v>
      </c>
      <c r="G7339">
        <v>0</v>
      </c>
      <c r="H7339">
        <v>2</v>
      </c>
      <c r="I7339" s="3">
        <v>815.82</v>
      </c>
      <c r="J7339" s="3">
        <v>0</v>
      </c>
      <c r="L7339">
        <v>7411</v>
      </c>
      <c r="M7339" t="s">
        <v>13633</v>
      </c>
      <c r="N7339" t="s">
        <v>30</v>
      </c>
      <c r="O7339" t="s">
        <v>31</v>
      </c>
      <c r="P7339" t="str">
        <f>"15208"</f>
        <v>15208</v>
      </c>
    </row>
    <row r="7340" spans="1:16" x14ac:dyDescent="0.25">
      <c r="A7340" t="str">
        <f>"1130175B00086    00"</f>
        <v>1130175B00086    00</v>
      </c>
      <c r="B7340" t="s">
        <v>15978</v>
      </c>
      <c r="C7340" t="s">
        <v>15982</v>
      </c>
      <c r="D7340" t="s">
        <v>20</v>
      </c>
      <c r="E7340" t="s">
        <v>39</v>
      </c>
      <c r="F7340">
        <v>0</v>
      </c>
      <c r="G7340">
        <v>0</v>
      </c>
      <c r="H7340">
        <v>2</v>
      </c>
      <c r="I7340" s="3">
        <v>41.96</v>
      </c>
      <c r="J7340" s="3">
        <v>0</v>
      </c>
      <c r="L7340">
        <v>7224</v>
      </c>
      <c r="M7340" t="s">
        <v>13633</v>
      </c>
      <c r="N7340" t="s">
        <v>30</v>
      </c>
      <c r="O7340" t="s">
        <v>31</v>
      </c>
      <c r="P7340" t="str">
        <f>"15208"</f>
        <v>15208</v>
      </c>
    </row>
    <row r="7341" spans="1:16" x14ac:dyDescent="0.25">
      <c r="A7341" t="str">
        <f>"1130175B00088    00"</f>
        <v>1130175B00088    00</v>
      </c>
      <c r="B7341" t="s">
        <v>15978</v>
      </c>
      <c r="C7341" t="s">
        <v>16387</v>
      </c>
      <c r="D7341" t="s">
        <v>20</v>
      </c>
      <c r="E7341" t="s">
        <v>39</v>
      </c>
      <c r="F7341">
        <v>0</v>
      </c>
      <c r="G7341">
        <v>0</v>
      </c>
      <c r="H7341">
        <v>2</v>
      </c>
      <c r="I7341" s="3">
        <v>156.32</v>
      </c>
      <c r="J7341" s="3">
        <v>0</v>
      </c>
      <c r="L7341">
        <v>7411</v>
      </c>
      <c r="M7341" t="s">
        <v>13633</v>
      </c>
      <c r="N7341" t="s">
        <v>30</v>
      </c>
      <c r="O7341" t="s">
        <v>31</v>
      </c>
      <c r="P7341" t="str">
        <f>"15208"</f>
        <v>15208</v>
      </c>
    </row>
    <row r="7342" spans="1:16" x14ac:dyDescent="0.25">
      <c r="A7342" t="str">
        <f>"1130175B00136    00"</f>
        <v>1130175B00136    00</v>
      </c>
      <c r="B7342" t="s">
        <v>16388</v>
      </c>
      <c r="C7342" t="s">
        <v>16389</v>
      </c>
      <c r="E7342" t="s">
        <v>39</v>
      </c>
      <c r="F7342">
        <v>0</v>
      </c>
      <c r="G7342">
        <v>0</v>
      </c>
      <c r="H7342">
        <v>1</v>
      </c>
      <c r="I7342" s="3">
        <v>19.78</v>
      </c>
      <c r="J7342" s="3">
        <v>23.4</v>
      </c>
      <c r="K7342" t="s">
        <v>9056</v>
      </c>
      <c r="L7342">
        <v>3001</v>
      </c>
      <c r="M7342" t="s">
        <v>404</v>
      </c>
      <c r="N7342" t="s">
        <v>331</v>
      </c>
      <c r="O7342" t="s">
        <v>108</v>
      </c>
      <c r="P7342" t="str">
        <f>"75063"</f>
        <v>75063</v>
      </c>
    </row>
    <row r="7343" spans="1:16" x14ac:dyDescent="0.25">
      <c r="A7343" t="str">
        <f>"1130175B00138    00"</f>
        <v>1130175B00138    00</v>
      </c>
      <c r="B7343" t="s">
        <v>16390</v>
      </c>
      <c r="C7343" t="s">
        <v>16391</v>
      </c>
      <c r="E7343" t="s">
        <v>39</v>
      </c>
      <c r="F7343">
        <v>0</v>
      </c>
      <c r="G7343">
        <v>0</v>
      </c>
      <c r="H7343">
        <v>1</v>
      </c>
      <c r="I7343" s="3">
        <v>465.35</v>
      </c>
      <c r="J7343" s="3">
        <v>0</v>
      </c>
      <c r="L7343">
        <v>7513</v>
      </c>
      <c r="M7343" t="s">
        <v>13523</v>
      </c>
      <c r="N7343" t="s">
        <v>30</v>
      </c>
      <c r="O7343" t="s">
        <v>31</v>
      </c>
      <c r="P7343" t="str">
        <f>"15208"</f>
        <v>15208</v>
      </c>
    </row>
    <row r="7344" spans="1:16" x14ac:dyDescent="0.25">
      <c r="A7344" t="str">
        <f>"1130175B00141    00"</f>
        <v>1130175B00141    00</v>
      </c>
      <c r="B7344" t="s">
        <v>16392</v>
      </c>
      <c r="C7344" t="s">
        <v>14133</v>
      </c>
      <c r="E7344" t="s">
        <v>39</v>
      </c>
      <c r="F7344">
        <v>0</v>
      </c>
      <c r="G7344">
        <v>0</v>
      </c>
      <c r="H7344">
        <v>1</v>
      </c>
      <c r="I7344" s="3">
        <v>61.8</v>
      </c>
      <c r="J7344" s="3">
        <v>73.13</v>
      </c>
      <c r="L7344">
        <v>500</v>
      </c>
      <c r="M7344" t="s">
        <v>3863</v>
      </c>
      <c r="N7344" t="s">
        <v>636</v>
      </c>
      <c r="O7344" t="s">
        <v>31</v>
      </c>
      <c r="P7344" t="str">
        <f>"15104"</f>
        <v>15104</v>
      </c>
    </row>
    <row r="7345" spans="1:16" x14ac:dyDescent="0.25">
      <c r="A7345" t="str">
        <f>"1130175B00146    00"</f>
        <v>1130175B00146    00</v>
      </c>
      <c r="B7345" t="s">
        <v>16393</v>
      </c>
      <c r="C7345" t="s">
        <v>14133</v>
      </c>
      <c r="D7345" t="s">
        <v>20</v>
      </c>
      <c r="E7345" t="s">
        <v>39</v>
      </c>
      <c r="F7345">
        <v>0</v>
      </c>
      <c r="G7345">
        <v>0</v>
      </c>
      <c r="H7345">
        <v>4</v>
      </c>
      <c r="I7345" s="3">
        <v>229.32</v>
      </c>
      <c r="J7345" s="3">
        <v>158.71</v>
      </c>
      <c r="K7345" t="s">
        <v>16394</v>
      </c>
      <c r="N7345" t="s">
        <v>16395</v>
      </c>
      <c r="P7345" t="str">
        <f>""</f>
        <v/>
      </c>
    </row>
    <row r="7346" spans="1:16" x14ac:dyDescent="0.25">
      <c r="A7346" t="str">
        <f>"1130175B00163    00"</f>
        <v>1130175B00163    00</v>
      </c>
      <c r="B7346" t="s">
        <v>16396</v>
      </c>
      <c r="C7346" t="s">
        <v>16397</v>
      </c>
      <c r="D7346" t="s">
        <v>20</v>
      </c>
      <c r="E7346" t="s">
        <v>39</v>
      </c>
      <c r="F7346">
        <v>0</v>
      </c>
      <c r="G7346">
        <v>0</v>
      </c>
      <c r="H7346">
        <v>2</v>
      </c>
      <c r="I7346" s="3">
        <v>133.44</v>
      </c>
      <c r="J7346" s="3">
        <v>13.35</v>
      </c>
      <c r="K7346" t="s">
        <v>16398</v>
      </c>
      <c r="L7346">
        <v>2604</v>
      </c>
      <c r="M7346" t="s">
        <v>16399</v>
      </c>
      <c r="N7346" t="s">
        <v>30</v>
      </c>
      <c r="O7346" t="s">
        <v>31</v>
      </c>
      <c r="P7346" t="str">
        <f>"15235"</f>
        <v>15235</v>
      </c>
    </row>
    <row r="7347" spans="1:16" x14ac:dyDescent="0.25">
      <c r="A7347" t="str">
        <f>"1130175B00165    00"</f>
        <v>1130175B00165    00</v>
      </c>
      <c r="B7347" t="s">
        <v>16400</v>
      </c>
      <c r="C7347" t="s">
        <v>16401</v>
      </c>
      <c r="D7347" t="s">
        <v>20</v>
      </c>
      <c r="E7347" t="s">
        <v>39</v>
      </c>
      <c r="F7347">
        <v>0</v>
      </c>
      <c r="G7347">
        <v>0</v>
      </c>
      <c r="H7347">
        <v>3</v>
      </c>
      <c r="I7347" s="3">
        <v>443.62</v>
      </c>
      <c r="J7347" s="3">
        <v>1.89</v>
      </c>
      <c r="L7347">
        <v>7619</v>
      </c>
      <c r="M7347" t="s">
        <v>13523</v>
      </c>
      <c r="N7347" t="s">
        <v>30</v>
      </c>
      <c r="O7347" t="s">
        <v>31</v>
      </c>
      <c r="P7347" t="str">
        <f>"15208"</f>
        <v>15208</v>
      </c>
    </row>
    <row r="7348" spans="1:16" x14ac:dyDescent="0.25">
      <c r="A7348" t="str">
        <f>"1130175B00166    00"</f>
        <v>1130175B00166    00</v>
      </c>
      <c r="B7348" t="s">
        <v>16402</v>
      </c>
      <c r="C7348" t="s">
        <v>16403</v>
      </c>
      <c r="E7348" t="s">
        <v>39</v>
      </c>
      <c r="F7348">
        <v>0</v>
      </c>
      <c r="G7348">
        <v>0</v>
      </c>
      <c r="H7348">
        <v>13</v>
      </c>
      <c r="I7348" s="3">
        <v>5250.16</v>
      </c>
      <c r="J7348" s="3">
        <v>6831.23</v>
      </c>
      <c r="L7348">
        <v>7617</v>
      </c>
      <c r="M7348" t="s">
        <v>13523</v>
      </c>
      <c r="N7348" t="s">
        <v>30</v>
      </c>
      <c r="O7348" t="s">
        <v>31</v>
      </c>
      <c r="P7348" t="str">
        <f>"15208"</f>
        <v>15208</v>
      </c>
    </row>
    <row r="7349" spans="1:16" x14ac:dyDescent="0.25">
      <c r="A7349" t="str">
        <f>"1130175B00174    00"</f>
        <v>1130175B00174    00</v>
      </c>
      <c r="B7349" t="s">
        <v>16404</v>
      </c>
      <c r="C7349" t="s">
        <v>14133</v>
      </c>
      <c r="D7349" t="s">
        <v>20</v>
      </c>
      <c r="E7349" t="s">
        <v>21</v>
      </c>
      <c r="F7349">
        <v>0</v>
      </c>
      <c r="G7349">
        <v>0</v>
      </c>
      <c r="H7349">
        <v>3</v>
      </c>
      <c r="I7349" s="3">
        <v>419.39</v>
      </c>
      <c r="J7349" s="3">
        <v>60.7</v>
      </c>
      <c r="L7349">
        <v>536</v>
      </c>
      <c r="M7349" t="s">
        <v>4069</v>
      </c>
      <c r="N7349" t="s">
        <v>30</v>
      </c>
      <c r="O7349" t="s">
        <v>31</v>
      </c>
      <c r="P7349" t="str">
        <f>"15208"</f>
        <v>15208</v>
      </c>
    </row>
    <row r="7350" spans="1:16" x14ac:dyDescent="0.25">
      <c r="A7350" t="str">
        <f>"1130175B00175    00"</f>
        <v>1130175B00175    00</v>
      </c>
      <c r="B7350" t="s">
        <v>16404</v>
      </c>
      <c r="C7350" t="s">
        <v>14133</v>
      </c>
      <c r="D7350" t="s">
        <v>20</v>
      </c>
      <c r="E7350" t="s">
        <v>290</v>
      </c>
      <c r="F7350">
        <v>0</v>
      </c>
      <c r="G7350">
        <v>0</v>
      </c>
      <c r="H7350">
        <v>4</v>
      </c>
      <c r="I7350" s="3">
        <v>317.62</v>
      </c>
      <c r="J7350" s="3">
        <v>69.81</v>
      </c>
      <c r="L7350">
        <v>536</v>
      </c>
      <c r="M7350" t="s">
        <v>4069</v>
      </c>
      <c r="N7350" t="s">
        <v>30</v>
      </c>
      <c r="O7350" t="s">
        <v>31</v>
      </c>
      <c r="P7350" t="str">
        <f>"15208"</f>
        <v>15208</v>
      </c>
    </row>
    <row r="7351" spans="1:16" x14ac:dyDescent="0.25">
      <c r="A7351" t="str">
        <f>"1130175B00278    00"</f>
        <v>1130175B00278    00</v>
      </c>
      <c r="B7351" t="s">
        <v>12531</v>
      </c>
      <c r="C7351" t="s">
        <v>16405</v>
      </c>
      <c r="D7351" t="s">
        <v>20</v>
      </c>
      <c r="E7351" t="s">
        <v>39</v>
      </c>
      <c r="F7351">
        <v>0</v>
      </c>
      <c r="G7351">
        <v>0</v>
      </c>
      <c r="H7351">
        <v>1</v>
      </c>
      <c r="I7351" s="3">
        <v>419.32</v>
      </c>
      <c r="J7351" s="3">
        <v>0</v>
      </c>
      <c r="K7351" t="s">
        <v>12533</v>
      </c>
      <c r="L7351">
        <v>46</v>
      </c>
      <c r="M7351" t="s">
        <v>913</v>
      </c>
      <c r="N7351" t="s">
        <v>914</v>
      </c>
      <c r="O7351" t="s">
        <v>200</v>
      </c>
      <c r="P7351" t="str">
        <f>"10952"</f>
        <v>10952</v>
      </c>
    </row>
    <row r="7352" spans="1:16" x14ac:dyDescent="0.25">
      <c r="A7352" t="str">
        <f>"1130175C00018    00"</f>
        <v>1130175C00018    00</v>
      </c>
      <c r="B7352" t="s">
        <v>16406</v>
      </c>
      <c r="C7352" t="s">
        <v>16407</v>
      </c>
      <c r="D7352" t="s">
        <v>20</v>
      </c>
      <c r="E7352" t="s">
        <v>39</v>
      </c>
      <c r="F7352">
        <v>0</v>
      </c>
      <c r="G7352">
        <v>0</v>
      </c>
      <c r="H7352">
        <v>5</v>
      </c>
      <c r="I7352" s="3">
        <v>378.9</v>
      </c>
      <c r="J7352" s="3">
        <v>86.53</v>
      </c>
      <c r="L7352">
        <v>7631</v>
      </c>
      <c r="M7352" t="s">
        <v>16367</v>
      </c>
      <c r="N7352" t="s">
        <v>30</v>
      </c>
      <c r="O7352" t="s">
        <v>31</v>
      </c>
      <c r="P7352" t="str">
        <f>"15208"</f>
        <v>15208</v>
      </c>
    </row>
    <row r="7353" spans="1:16" x14ac:dyDescent="0.25">
      <c r="A7353" t="str">
        <f>"1130175C00022    00"</f>
        <v>1130175C00022    00</v>
      </c>
      <c r="B7353" t="s">
        <v>16408</v>
      </c>
      <c r="C7353" t="s">
        <v>16409</v>
      </c>
      <c r="D7353" t="s">
        <v>20</v>
      </c>
      <c r="E7353" t="s">
        <v>39</v>
      </c>
      <c r="F7353">
        <v>0</v>
      </c>
      <c r="G7353">
        <v>0</v>
      </c>
      <c r="H7353">
        <v>17</v>
      </c>
      <c r="I7353" s="3">
        <v>196.54</v>
      </c>
      <c r="J7353" s="3">
        <v>217.52</v>
      </c>
      <c r="L7353">
        <v>7623</v>
      </c>
      <c r="M7353" t="s">
        <v>16367</v>
      </c>
      <c r="N7353" t="s">
        <v>30</v>
      </c>
      <c r="O7353" t="s">
        <v>31</v>
      </c>
      <c r="P7353" t="str">
        <f>"15208"</f>
        <v>15208</v>
      </c>
    </row>
    <row r="7354" spans="1:16" x14ac:dyDescent="0.25">
      <c r="A7354" t="str">
        <f>"1130175C00023    00"</f>
        <v>1130175C00023    00</v>
      </c>
      <c r="B7354" t="s">
        <v>16410</v>
      </c>
      <c r="C7354" t="s">
        <v>16409</v>
      </c>
      <c r="D7354" t="s">
        <v>20</v>
      </c>
      <c r="E7354" t="s">
        <v>39</v>
      </c>
      <c r="F7354">
        <v>0</v>
      </c>
      <c r="G7354">
        <v>0</v>
      </c>
      <c r="H7354">
        <v>19</v>
      </c>
      <c r="I7354" s="3">
        <v>10460.42</v>
      </c>
      <c r="J7354" s="3">
        <v>10013.23</v>
      </c>
      <c r="L7354">
        <v>7623</v>
      </c>
      <c r="M7354" t="s">
        <v>16367</v>
      </c>
      <c r="N7354" t="s">
        <v>30</v>
      </c>
      <c r="O7354" t="s">
        <v>31</v>
      </c>
      <c r="P7354" t="str">
        <f>"15208"</f>
        <v>15208</v>
      </c>
    </row>
    <row r="7355" spans="1:16" x14ac:dyDescent="0.25">
      <c r="A7355" t="str">
        <f>"1130175C00024    00"</f>
        <v>1130175C00024    00</v>
      </c>
      <c r="B7355" t="s">
        <v>16411</v>
      </c>
      <c r="C7355" t="s">
        <v>16366</v>
      </c>
      <c r="D7355" t="s">
        <v>20</v>
      </c>
      <c r="E7355" t="s">
        <v>39</v>
      </c>
      <c r="F7355">
        <v>0</v>
      </c>
      <c r="G7355">
        <v>0</v>
      </c>
      <c r="H7355">
        <v>17</v>
      </c>
      <c r="I7355" s="3">
        <v>196.54</v>
      </c>
      <c r="J7355" s="3">
        <v>217.52</v>
      </c>
      <c r="L7355">
        <v>7623</v>
      </c>
      <c r="M7355" t="s">
        <v>16367</v>
      </c>
      <c r="N7355" t="s">
        <v>30</v>
      </c>
      <c r="O7355" t="s">
        <v>31</v>
      </c>
      <c r="P7355" t="str">
        <f>"15208"</f>
        <v>15208</v>
      </c>
    </row>
    <row r="7356" spans="1:16" x14ac:dyDescent="0.25">
      <c r="A7356" t="str">
        <f>"1130175C00026    00"</f>
        <v>1130175C00026    00</v>
      </c>
      <c r="B7356" t="s">
        <v>16412</v>
      </c>
      <c r="C7356" t="s">
        <v>16366</v>
      </c>
      <c r="D7356" t="s">
        <v>20</v>
      </c>
      <c r="E7356" t="s">
        <v>39</v>
      </c>
      <c r="F7356">
        <v>0</v>
      </c>
      <c r="G7356">
        <v>0</v>
      </c>
      <c r="H7356">
        <v>6</v>
      </c>
      <c r="I7356" s="3">
        <v>357.91</v>
      </c>
      <c r="J7356" s="3">
        <v>81.66</v>
      </c>
      <c r="L7356">
        <v>153</v>
      </c>
      <c r="M7356" t="s">
        <v>16413</v>
      </c>
      <c r="N7356" t="s">
        <v>30</v>
      </c>
      <c r="O7356" t="s">
        <v>31</v>
      </c>
      <c r="P7356" t="str">
        <f>"15235"</f>
        <v>15235</v>
      </c>
    </row>
    <row r="7357" spans="1:16" x14ac:dyDescent="0.25">
      <c r="A7357" t="str">
        <f>"1130175C00027    00"</f>
        <v>1130175C00027    00</v>
      </c>
      <c r="B7357" t="s">
        <v>16414</v>
      </c>
      <c r="C7357" t="s">
        <v>16366</v>
      </c>
      <c r="D7357" t="s">
        <v>20</v>
      </c>
      <c r="E7357" t="s">
        <v>39</v>
      </c>
      <c r="F7357">
        <v>0</v>
      </c>
      <c r="G7357">
        <v>0</v>
      </c>
      <c r="H7357">
        <v>4</v>
      </c>
      <c r="I7357" s="3">
        <v>30.16</v>
      </c>
      <c r="J7357" s="3">
        <v>3.71</v>
      </c>
      <c r="L7357">
        <v>153</v>
      </c>
      <c r="M7357" t="s">
        <v>16413</v>
      </c>
      <c r="N7357" t="s">
        <v>30</v>
      </c>
      <c r="O7357" t="s">
        <v>31</v>
      </c>
      <c r="P7357" t="str">
        <f>"15235"</f>
        <v>15235</v>
      </c>
    </row>
    <row r="7358" spans="1:16" x14ac:dyDescent="0.25">
      <c r="A7358" t="str">
        <f>"1130175C00030    00"</f>
        <v>1130175C00030    00</v>
      </c>
      <c r="B7358" t="s">
        <v>16415</v>
      </c>
      <c r="C7358" t="s">
        <v>16416</v>
      </c>
      <c r="D7358" t="s">
        <v>33</v>
      </c>
      <c r="E7358" t="s">
        <v>39</v>
      </c>
      <c r="F7358">
        <v>0</v>
      </c>
      <c r="G7358">
        <v>0</v>
      </c>
      <c r="H7358">
        <v>14</v>
      </c>
      <c r="I7358" s="3">
        <v>4552.92</v>
      </c>
      <c r="J7358" s="3">
        <v>6494.42</v>
      </c>
      <c r="K7358" t="s">
        <v>16417</v>
      </c>
      <c r="M7358" t="s">
        <v>14402</v>
      </c>
      <c r="N7358" t="s">
        <v>30</v>
      </c>
      <c r="O7358" t="s">
        <v>31</v>
      </c>
      <c r="P7358" t="str">
        <f>"15221"</f>
        <v>15221</v>
      </c>
    </row>
    <row r="7359" spans="1:16" x14ac:dyDescent="0.25">
      <c r="A7359" t="str">
        <f>"1130175C00036    00"</f>
        <v>1130175C00036    00</v>
      </c>
      <c r="B7359" t="s">
        <v>16365</v>
      </c>
      <c r="C7359" t="s">
        <v>16366</v>
      </c>
      <c r="D7359" t="s">
        <v>20</v>
      </c>
      <c r="E7359" t="s">
        <v>39</v>
      </c>
      <c r="F7359">
        <v>0</v>
      </c>
      <c r="G7359">
        <v>0</v>
      </c>
      <c r="H7359">
        <v>4</v>
      </c>
      <c r="I7359" s="3">
        <v>60.36</v>
      </c>
      <c r="J7359" s="3">
        <v>7.43</v>
      </c>
      <c r="L7359">
        <v>7604</v>
      </c>
      <c r="M7359" t="s">
        <v>16367</v>
      </c>
      <c r="N7359" t="s">
        <v>30</v>
      </c>
      <c r="O7359" t="s">
        <v>31</v>
      </c>
      <c r="P7359" t="str">
        <f>"15208"</f>
        <v>15208</v>
      </c>
    </row>
    <row r="7360" spans="1:16" x14ac:dyDescent="0.25">
      <c r="A7360" t="str">
        <f>"1130175C00038000100"</f>
        <v>1130175C00038000100</v>
      </c>
      <c r="B7360" t="s">
        <v>16418</v>
      </c>
      <c r="C7360" t="s">
        <v>16419</v>
      </c>
      <c r="D7360" t="s">
        <v>20</v>
      </c>
      <c r="E7360" t="s">
        <v>39</v>
      </c>
      <c r="F7360">
        <v>0</v>
      </c>
      <c r="G7360">
        <v>0</v>
      </c>
      <c r="H7360">
        <v>1</v>
      </c>
      <c r="I7360" s="3">
        <v>386.93</v>
      </c>
      <c r="J7360" s="3">
        <v>0</v>
      </c>
      <c r="K7360" t="s">
        <v>16420</v>
      </c>
      <c r="L7360">
        <v>7608</v>
      </c>
      <c r="M7360" t="s">
        <v>16367</v>
      </c>
      <c r="N7360" t="s">
        <v>30</v>
      </c>
      <c r="O7360" t="s">
        <v>31</v>
      </c>
      <c r="P7360" t="str">
        <f>"15208"</f>
        <v>15208</v>
      </c>
    </row>
    <row r="7361" spans="1:16" x14ac:dyDescent="0.25">
      <c r="A7361" t="str">
        <f>"1130175C00038000200"</f>
        <v>1130175C00038000200</v>
      </c>
      <c r="B7361" t="s">
        <v>16418</v>
      </c>
      <c r="C7361" t="s">
        <v>16421</v>
      </c>
      <c r="D7361" t="s">
        <v>20</v>
      </c>
      <c r="E7361" t="s">
        <v>39</v>
      </c>
      <c r="F7361">
        <v>0</v>
      </c>
      <c r="G7361">
        <v>0</v>
      </c>
      <c r="H7361">
        <v>1</v>
      </c>
      <c r="I7361" s="3">
        <v>259.22000000000003</v>
      </c>
      <c r="J7361" s="3">
        <v>0</v>
      </c>
      <c r="K7361" t="s">
        <v>16420</v>
      </c>
      <c r="L7361">
        <v>7608</v>
      </c>
      <c r="M7361" t="s">
        <v>16367</v>
      </c>
      <c r="N7361" t="s">
        <v>30</v>
      </c>
      <c r="O7361" t="s">
        <v>31</v>
      </c>
      <c r="P7361" t="str">
        <f>"15208"</f>
        <v>15208</v>
      </c>
    </row>
    <row r="7362" spans="1:16" x14ac:dyDescent="0.25">
      <c r="A7362" t="str">
        <f>"1130175C00040    00"</f>
        <v>1130175C00040    00</v>
      </c>
      <c r="B7362" t="s">
        <v>16422</v>
      </c>
      <c r="C7362" t="s">
        <v>16423</v>
      </c>
      <c r="D7362" t="s">
        <v>20</v>
      </c>
      <c r="E7362" t="s">
        <v>39</v>
      </c>
      <c r="F7362">
        <v>0</v>
      </c>
      <c r="G7362">
        <v>0</v>
      </c>
      <c r="H7362">
        <v>19</v>
      </c>
      <c r="I7362" s="3">
        <v>8146.54</v>
      </c>
      <c r="J7362" s="3">
        <v>6404.89</v>
      </c>
      <c r="K7362" t="s">
        <v>16424</v>
      </c>
      <c r="L7362">
        <v>8601</v>
      </c>
      <c r="M7362" t="s">
        <v>16425</v>
      </c>
      <c r="N7362" t="s">
        <v>30</v>
      </c>
      <c r="O7362" t="s">
        <v>31</v>
      </c>
      <c r="P7362" t="str">
        <f>"15221"</f>
        <v>15221</v>
      </c>
    </row>
    <row r="7363" spans="1:16" x14ac:dyDescent="0.25">
      <c r="A7363" t="str">
        <f>"1130175C00041    00"</f>
        <v>1130175C00041    00</v>
      </c>
      <c r="B7363" t="s">
        <v>16426</v>
      </c>
      <c r="C7363" t="s">
        <v>16427</v>
      </c>
      <c r="D7363" t="s">
        <v>20</v>
      </c>
      <c r="E7363" t="s">
        <v>39</v>
      </c>
      <c r="F7363">
        <v>0</v>
      </c>
      <c r="G7363">
        <v>0</v>
      </c>
      <c r="H7363">
        <v>14</v>
      </c>
      <c r="I7363" s="3">
        <v>9666.0499999999993</v>
      </c>
      <c r="J7363" s="3">
        <v>5873.49</v>
      </c>
      <c r="L7363">
        <v>7212</v>
      </c>
      <c r="M7363" t="s">
        <v>11269</v>
      </c>
      <c r="N7363" t="s">
        <v>30</v>
      </c>
      <c r="O7363" t="s">
        <v>31</v>
      </c>
      <c r="P7363" t="str">
        <f t="shared" ref="P7363:P7383" si="86">"15208"</f>
        <v>15208</v>
      </c>
    </row>
    <row r="7364" spans="1:16" x14ac:dyDescent="0.25">
      <c r="A7364" t="str">
        <f>"1130175C00046    00"</f>
        <v>1130175C00046    00</v>
      </c>
      <c r="B7364" t="s">
        <v>16428</v>
      </c>
      <c r="C7364" t="s">
        <v>16429</v>
      </c>
      <c r="D7364" t="s">
        <v>20</v>
      </c>
      <c r="E7364" t="s">
        <v>39</v>
      </c>
      <c r="F7364">
        <v>0</v>
      </c>
      <c r="G7364">
        <v>0</v>
      </c>
      <c r="H7364">
        <v>5</v>
      </c>
      <c r="I7364" s="3">
        <v>486.5</v>
      </c>
      <c r="J7364" s="3">
        <v>111.11</v>
      </c>
      <c r="L7364">
        <v>7628</v>
      </c>
      <c r="M7364" t="s">
        <v>16367</v>
      </c>
      <c r="N7364" t="s">
        <v>30</v>
      </c>
      <c r="O7364" t="s">
        <v>31</v>
      </c>
      <c r="P7364" t="str">
        <f t="shared" si="86"/>
        <v>15208</v>
      </c>
    </row>
    <row r="7365" spans="1:16" x14ac:dyDescent="0.25">
      <c r="A7365" t="str">
        <f>"1130175C00047    00"</f>
        <v>1130175C00047    00</v>
      </c>
      <c r="B7365" t="s">
        <v>16430</v>
      </c>
      <c r="C7365" t="s">
        <v>16431</v>
      </c>
      <c r="D7365" t="s">
        <v>20</v>
      </c>
      <c r="E7365" t="s">
        <v>39</v>
      </c>
      <c r="F7365">
        <v>0</v>
      </c>
      <c r="G7365">
        <v>0</v>
      </c>
      <c r="H7365">
        <v>1</v>
      </c>
      <c r="I7365" s="3">
        <v>388.82</v>
      </c>
      <c r="J7365" s="3">
        <v>0</v>
      </c>
      <c r="K7365" t="s">
        <v>16432</v>
      </c>
      <c r="M7365" t="s">
        <v>16433</v>
      </c>
      <c r="N7365" t="s">
        <v>30</v>
      </c>
      <c r="O7365" t="s">
        <v>31</v>
      </c>
      <c r="P7365" t="str">
        <f t="shared" si="86"/>
        <v>15208</v>
      </c>
    </row>
    <row r="7366" spans="1:16" x14ac:dyDescent="0.25">
      <c r="A7366" t="str">
        <f>"1130175C00048    00"</f>
        <v>1130175C00048    00</v>
      </c>
      <c r="B7366" t="s">
        <v>16430</v>
      </c>
      <c r="C7366" t="s">
        <v>16366</v>
      </c>
      <c r="D7366" t="s">
        <v>20</v>
      </c>
      <c r="E7366" t="s">
        <v>39</v>
      </c>
      <c r="F7366">
        <v>0</v>
      </c>
      <c r="G7366">
        <v>0</v>
      </c>
      <c r="H7366">
        <v>1</v>
      </c>
      <c r="I7366" s="3">
        <v>62.91</v>
      </c>
      <c r="J7366" s="3">
        <v>0</v>
      </c>
      <c r="K7366" t="s">
        <v>16432</v>
      </c>
      <c r="M7366" t="s">
        <v>16433</v>
      </c>
      <c r="N7366" t="s">
        <v>30</v>
      </c>
      <c r="O7366" t="s">
        <v>31</v>
      </c>
      <c r="P7366" t="str">
        <f t="shared" si="86"/>
        <v>15208</v>
      </c>
    </row>
    <row r="7367" spans="1:16" x14ac:dyDescent="0.25">
      <c r="A7367" t="str">
        <f>"1130175C00049    00"</f>
        <v>1130175C00049    00</v>
      </c>
      <c r="B7367" t="s">
        <v>16434</v>
      </c>
      <c r="C7367" t="s">
        <v>16435</v>
      </c>
      <c r="D7367" t="s">
        <v>20</v>
      </c>
      <c r="E7367" t="s">
        <v>39</v>
      </c>
      <c r="F7367">
        <v>0</v>
      </c>
      <c r="G7367">
        <v>0</v>
      </c>
      <c r="H7367">
        <v>1</v>
      </c>
      <c r="I7367" s="3">
        <v>177.08</v>
      </c>
      <c r="J7367" s="3">
        <v>0</v>
      </c>
      <c r="L7367">
        <v>7634</v>
      </c>
      <c r="M7367" t="s">
        <v>16367</v>
      </c>
      <c r="N7367" t="s">
        <v>30</v>
      </c>
      <c r="O7367" t="s">
        <v>31</v>
      </c>
      <c r="P7367" t="str">
        <f t="shared" si="86"/>
        <v>15208</v>
      </c>
    </row>
    <row r="7368" spans="1:16" x14ac:dyDescent="0.25">
      <c r="A7368" t="str">
        <f>"1130175C00050    00"</f>
        <v>1130175C00050    00</v>
      </c>
      <c r="B7368" t="s">
        <v>16434</v>
      </c>
      <c r="C7368" t="s">
        <v>16366</v>
      </c>
      <c r="D7368" t="s">
        <v>20</v>
      </c>
      <c r="E7368" t="s">
        <v>39</v>
      </c>
      <c r="F7368">
        <v>0</v>
      </c>
      <c r="G7368">
        <v>0</v>
      </c>
      <c r="H7368">
        <v>18</v>
      </c>
      <c r="I7368" s="3">
        <v>1547.77</v>
      </c>
      <c r="J7368" s="3">
        <v>1746.21</v>
      </c>
      <c r="L7368">
        <v>7634</v>
      </c>
      <c r="M7368" t="s">
        <v>16367</v>
      </c>
      <c r="N7368" t="s">
        <v>30</v>
      </c>
      <c r="O7368" t="s">
        <v>31</v>
      </c>
      <c r="P7368" t="str">
        <f t="shared" si="86"/>
        <v>15208</v>
      </c>
    </row>
    <row r="7369" spans="1:16" x14ac:dyDescent="0.25">
      <c r="A7369" t="str">
        <f>"1130175C00051    00"</f>
        <v>1130175C00051    00</v>
      </c>
      <c r="B7369" t="s">
        <v>16436</v>
      </c>
      <c r="C7369" t="s">
        <v>16366</v>
      </c>
      <c r="E7369" t="s">
        <v>39</v>
      </c>
      <c r="F7369">
        <v>0</v>
      </c>
      <c r="G7369">
        <v>0</v>
      </c>
      <c r="H7369">
        <v>3</v>
      </c>
      <c r="I7369" s="3">
        <v>19.059999999999999</v>
      </c>
      <c r="J7369" s="3">
        <v>6.37</v>
      </c>
      <c r="M7369" t="s">
        <v>16437</v>
      </c>
      <c r="N7369" t="s">
        <v>30</v>
      </c>
      <c r="O7369" t="s">
        <v>31</v>
      </c>
      <c r="P7369" t="str">
        <f t="shared" si="86"/>
        <v>15208</v>
      </c>
    </row>
    <row r="7370" spans="1:16" x14ac:dyDescent="0.25">
      <c r="A7370" t="str">
        <f>"1130175C00059    00"</f>
        <v>1130175C00059    00</v>
      </c>
      <c r="B7370" t="s">
        <v>16438</v>
      </c>
      <c r="C7370" t="s">
        <v>13567</v>
      </c>
      <c r="D7370" t="s">
        <v>20</v>
      </c>
      <c r="E7370" t="s">
        <v>21</v>
      </c>
      <c r="F7370">
        <v>0</v>
      </c>
      <c r="G7370">
        <v>0</v>
      </c>
      <c r="H7370">
        <v>2</v>
      </c>
      <c r="I7370" s="3">
        <v>362.16</v>
      </c>
      <c r="J7370" s="3">
        <v>0</v>
      </c>
      <c r="L7370">
        <v>7810</v>
      </c>
      <c r="M7370" t="s">
        <v>13633</v>
      </c>
      <c r="N7370" t="s">
        <v>30</v>
      </c>
      <c r="O7370" t="s">
        <v>31</v>
      </c>
      <c r="P7370" t="str">
        <f t="shared" si="86"/>
        <v>15208</v>
      </c>
    </row>
    <row r="7371" spans="1:16" x14ac:dyDescent="0.25">
      <c r="A7371" t="str">
        <f>"1130175C00060    00"</f>
        <v>1130175C00060    00</v>
      </c>
      <c r="B7371" t="s">
        <v>16438</v>
      </c>
      <c r="C7371" t="s">
        <v>13567</v>
      </c>
      <c r="D7371" t="s">
        <v>20</v>
      </c>
      <c r="E7371" t="s">
        <v>21</v>
      </c>
      <c r="F7371">
        <v>0</v>
      </c>
      <c r="G7371">
        <v>0</v>
      </c>
      <c r="H7371">
        <v>2</v>
      </c>
      <c r="I7371" s="3">
        <v>362.16</v>
      </c>
      <c r="J7371" s="3">
        <v>0</v>
      </c>
      <c r="L7371">
        <v>7810</v>
      </c>
      <c r="M7371" t="s">
        <v>13633</v>
      </c>
      <c r="N7371" t="s">
        <v>30</v>
      </c>
      <c r="O7371" t="s">
        <v>31</v>
      </c>
      <c r="P7371" t="str">
        <f t="shared" si="86"/>
        <v>15208</v>
      </c>
    </row>
    <row r="7372" spans="1:16" x14ac:dyDescent="0.25">
      <c r="A7372" t="str">
        <f>"1130175C00061    00"</f>
        <v>1130175C00061    00</v>
      </c>
      <c r="B7372" t="s">
        <v>16438</v>
      </c>
      <c r="C7372" t="s">
        <v>13567</v>
      </c>
      <c r="D7372" t="s">
        <v>20</v>
      </c>
      <c r="E7372" t="s">
        <v>21</v>
      </c>
      <c r="F7372">
        <v>0</v>
      </c>
      <c r="G7372">
        <v>0</v>
      </c>
      <c r="H7372">
        <v>2</v>
      </c>
      <c r="I7372" s="3">
        <v>362.16</v>
      </c>
      <c r="J7372" s="3">
        <v>0</v>
      </c>
      <c r="L7372">
        <v>7810</v>
      </c>
      <c r="M7372" t="s">
        <v>13633</v>
      </c>
      <c r="N7372" t="s">
        <v>30</v>
      </c>
      <c r="O7372" t="s">
        <v>31</v>
      </c>
      <c r="P7372" t="str">
        <f t="shared" si="86"/>
        <v>15208</v>
      </c>
    </row>
    <row r="7373" spans="1:16" x14ac:dyDescent="0.25">
      <c r="A7373" t="str">
        <f>"1130175C00062    00"</f>
        <v>1130175C00062    00</v>
      </c>
      <c r="B7373" t="s">
        <v>16438</v>
      </c>
      <c r="C7373" t="s">
        <v>13567</v>
      </c>
      <c r="D7373" t="s">
        <v>20</v>
      </c>
      <c r="E7373" t="s">
        <v>21</v>
      </c>
      <c r="F7373">
        <v>0</v>
      </c>
      <c r="G7373">
        <v>0</v>
      </c>
      <c r="H7373">
        <v>2</v>
      </c>
      <c r="I7373" s="3">
        <v>362.16</v>
      </c>
      <c r="J7373" s="3">
        <v>0</v>
      </c>
      <c r="L7373">
        <v>7810</v>
      </c>
      <c r="M7373" t="s">
        <v>13633</v>
      </c>
      <c r="N7373" t="s">
        <v>30</v>
      </c>
      <c r="O7373" t="s">
        <v>31</v>
      </c>
      <c r="P7373" t="str">
        <f t="shared" si="86"/>
        <v>15208</v>
      </c>
    </row>
    <row r="7374" spans="1:16" x14ac:dyDescent="0.25">
      <c r="A7374" t="str">
        <f>"1130175C00065    00"</f>
        <v>1130175C00065    00</v>
      </c>
      <c r="B7374" t="s">
        <v>16439</v>
      </c>
      <c r="C7374" t="s">
        <v>16440</v>
      </c>
      <c r="D7374" t="s">
        <v>20</v>
      </c>
      <c r="E7374" t="s">
        <v>290</v>
      </c>
      <c r="F7374">
        <v>0</v>
      </c>
      <c r="G7374">
        <v>0</v>
      </c>
      <c r="H7374">
        <v>2</v>
      </c>
      <c r="I7374" s="3">
        <v>3346.96</v>
      </c>
      <c r="J7374" s="3">
        <v>0</v>
      </c>
      <c r="L7374">
        <v>7810</v>
      </c>
      <c r="M7374" t="s">
        <v>13633</v>
      </c>
      <c r="N7374" t="s">
        <v>30</v>
      </c>
      <c r="O7374" t="s">
        <v>31</v>
      </c>
      <c r="P7374" t="str">
        <f t="shared" si="86"/>
        <v>15208</v>
      </c>
    </row>
    <row r="7375" spans="1:16" x14ac:dyDescent="0.25">
      <c r="A7375" t="str">
        <f>"1130175C00084    01"</f>
        <v>1130175C00084    01</v>
      </c>
      <c r="B7375" t="s">
        <v>16438</v>
      </c>
      <c r="C7375" t="s">
        <v>15982</v>
      </c>
      <c r="D7375" t="s">
        <v>20</v>
      </c>
      <c r="E7375" t="s">
        <v>39</v>
      </c>
      <c r="F7375">
        <v>0</v>
      </c>
      <c r="G7375">
        <v>0</v>
      </c>
      <c r="H7375">
        <v>2</v>
      </c>
      <c r="I7375" s="3">
        <v>156.32</v>
      </c>
      <c r="J7375" s="3">
        <v>0</v>
      </c>
      <c r="L7375">
        <v>7810</v>
      </c>
      <c r="M7375" t="s">
        <v>13633</v>
      </c>
      <c r="N7375" t="s">
        <v>30</v>
      </c>
      <c r="O7375" t="s">
        <v>31</v>
      </c>
      <c r="P7375" t="str">
        <f t="shared" si="86"/>
        <v>15208</v>
      </c>
    </row>
    <row r="7376" spans="1:16" x14ac:dyDescent="0.25">
      <c r="A7376" t="str">
        <f>"1130175C00086    02"</f>
        <v>1130175C00086    02</v>
      </c>
      <c r="B7376" t="s">
        <v>16438</v>
      </c>
      <c r="C7376" t="s">
        <v>15982</v>
      </c>
      <c r="D7376" t="s">
        <v>20</v>
      </c>
      <c r="E7376" t="s">
        <v>39</v>
      </c>
      <c r="F7376">
        <v>0</v>
      </c>
      <c r="G7376">
        <v>0</v>
      </c>
      <c r="H7376">
        <v>2</v>
      </c>
      <c r="I7376" s="3">
        <v>144.86000000000001</v>
      </c>
      <c r="J7376" s="3">
        <v>0</v>
      </c>
      <c r="L7376">
        <v>7810</v>
      </c>
      <c r="M7376" t="s">
        <v>13633</v>
      </c>
      <c r="N7376" t="s">
        <v>30</v>
      </c>
      <c r="O7376" t="s">
        <v>31</v>
      </c>
      <c r="P7376" t="str">
        <f t="shared" si="86"/>
        <v>15208</v>
      </c>
    </row>
    <row r="7377" spans="1:16" x14ac:dyDescent="0.25">
      <c r="A7377" t="str">
        <f>"1130175C00087    00"</f>
        <v>1130175C00087    00</v>
      </c>
      <c r="B7377" t="s">
        <v>16438</v>
      </c>
      <c r="C7377" t="s">
        <v>15982</v>
      </c>
      <c r="D7377" t="s">
        <v>20</v>
      </c>
      <c r="E7377" t="s">
        <v>39</v>
      </c>
      <c r="F7377">
        <v>0</v>
      </c>
      <c r="G7377">
        <v>0</v>
      </c>
      <c r="H7377">
        <v>2</v>
      </c>
      <c r="I7377" s="3">
        <v>125.82</v>
      </c>
      <c r="J7377" s="3">
        <v>0</v>
      </c>
      <c r="L7377">
        <v>7810</v>
      </c>
      <c r="M7377" t="s">
        <v>13633</v>
      </c>
      <c r="N7377" t="s">
        <v>30</v>
      </c>
      <c r="O7377" t="s">
        <v>31</v>
      </c>
      <c r="P7377" t="str">
        <f t="shared" si="86"/>
        <v>15208</v>
      </c>
    </row>
    <row r="7378" spans="1:16" x14ac:dyDescent="0.25">
      <c r="A7378" t="str">
        <f>"1130175C00088    00"</f>
        <v>1130175C00088    00</v>
      </c>
      <c r="B7378" t="s">
        <v>16438</v>
      </c>
      <c r="C7378" t="s">
        <v>15982</v>
      </c>
      <c r="D7378" t="s">
        <v>20</v>
      </c>
      <c r="E7378" t="s">
        <v>39</v>
      </c>
      <c r="F7378">
        <v>0</v>
      </c>
      <c r="G7378">
        <v>0</v>
      </c>
      <c r="H7378">
        <v>2</v>
      </c>
      <c r="I7378" s="3">
        <v>49.58</v>
      </c>
      <c r="J7378" s="3">
        <v>0</v>
      </c>
      <c r="L7378">
        <v>7810</v>
      </c>
      <c r="M7378" t="s">
        <v>13633</v>
      </c>
      <c r="N7378" t="s">
        <v>30</v>
      </c>
      <c r="O7378" t="s">
        <v>31</v>
      </c>
      <c r="P7378" t="str">
        <f t="shared" si="86"/>
        <v>15208</v>
      </c>
    </row>
    <row r="7379" spans="1:16" x14ac:dyDescent="0.25">
      <c r="A7379" t="str">
        <f>"1130175C00090    00"</f>
        <v>1130175C00090    00</v>
      </c>
      <c r="B7379" t="s">
        <v>16438</v>
      </c>
      <c r="C7379" t="s">
        <v>15982</v>
      </c>
      <c r="D7379" t="s">
        <v>20</v>
      </c>
      <c r="E7379" t="s">
        <v>39</v>
      </c>
      <c r="F7379">
        <v>0</v>
      </c>
      <c r="G7379">
        <v>0</v>
      </c>
      <c r="H7379">
        <v>2</v>
      </c>
      <c r="I7379" s="3">
        <v>156.32</v>
      </c>
      <c r="J7379" s="3">
        <v>0</v>
      </c>
      <c r="L7379">
        <v>7810</v>
      </c>
      <c r="M7379" t="s">
        <v>13633</v>
      </c>
      <c r="N7379" t="s">
        <v>30</v>
      </c>
      <c r="O7379" t="s">
        <v>31</v>
      </c>
      <c r="P7379" t="str">
        <f t="shared" si="86"/>
        <v>15208</v>
      </c>
    </row>
    <row r="7380" spans="1:16" x14ac:dyDescent="0.25">
      <c r="A7380" t="str">
        <f>"1130175C00092    00"</f>
        <v>1130175C00092    00</v>
      </c>
      <c r="B7380" t="s">
        <v>16438</v>
      </c>
      <c r="C7380" t="s">
        <v>15982</v>
      </c>
      <c r="D7380" t="s">
        <v>20</v>
      </c>
      <c r="E7380" t="s">
        <v>39</v>
      </c>
      <c r="F7380">
        <v>0</v>
      </c>
      <c r="G7380">
        <v>0</v>
      </c>
      <c r="H7380">
        <v>2</v>
      </c>
      <c r="I7380" s="3">
        <v>49.58</v>
      </c>
      <c r="J7380" s="3">
        <v>0</v>
      </c>
      <c r="L7380">
        <v>7810</v>
      </c>
      <c r="M7380" t="s">
        <v>13633</v>
      </c>
      <c r="N7380" t="s">
        <v>30</v>
      </c>
      <c r="O7380" t="s">
        <v>31</v>
      </c>
      <c r="P7380" t="str">
        <f t="shared" si="86"/>
        <v>15208</v>
      </c>
    </row>
    <row r="7381" spans="1:16" x14ac:dyDescent="0.25">
      <c r="A7381" t="str">
        <f>"1130175C00094    00"</f>
        <v>1130175C00094    00</v>
      </c>
      <c r="B7381" t="s">
        <v>16441</v>
      </c>
      <c r="C7381" t="s">
        <v>15982</v>
      </c>
      <c r="D7381" t="s">
        <v>20</v>
      </c>
      <c r="E7381" t="s">
        <v>39</v>
      </c>
      <c r="F7381">
        <v>0</v>
      </c>
      <c r="G7381">
        <v>0</v>
      </c>
      <c r="H7381">
        <v>2</v>
      </c>
      <c r="I7381" s="3">
        <v>121.98</v>
      </c>
      <c r="J7381" s="3">
        <v>0</v>
      </c>
      <c r="L7381">
        <v>7810</v>
      </c>
      <c r="M7381" t="s">
        <v>13633</v>
      </c>
      <c r="N7381" t="s">
        <v>30</v>
      </c>
      <c r="O7381" t="s">
        <v>31</v>
      </c>
      <c r="P7381" t="str">
        <f t="shared" si="86"/>
        <v>15208</v>
      </c>
    </row>
    <row r="7382" spans="1:16" x14ac:dyDescent="0.25">
      <c r="A7382" t="str">
        <f>"1130175C00095    00"</f>
        <v>1130175C00095    00</v>
      </c>
      <c r="B7382" t="s">
        <v>16442</v>
      </c>
      <c r="C7382" t="s">
        <v>15982</v>
      </c>
      <c r="D7382" t="s">
        <v>20</v>
      </c>
      <c r="E7382" t="s">
        <v>39</v>
      </c>
      <c r="F7382">
        <v>0</v>
      </c>
      <c r="G7382">
        <v>0</v>
      </c>
      <c r="H7382">
        <v>2</v>
      </c>
      <c r="I7382" s="3">
        <v>125.82</v>
      </c>
      <c r="J7382" s="3">
        <v>0</v>
      </c>
      <c r="L7382">
        <v>7810</v>
      </c>
      <c r="M7382" t="s">
        <v>13633</v>
      </c>
      <c r="N7382" t="s">
        <v>30</v>
      </c>
      <c r="O7382" t="s">
        <v>31</v>
      </c>
      <c r="P7382" t="str">
        <f t="shared" si="86"/>
        <v>15208</v>
      </c>
    </row>
    <row r="7383" spans="1:16" x14ac:dyDescent="0.25">
      <c r="A7383" t="str">
        <f>"1130175C00096000100"</f>
        <v>1130175C00096000100</v>
      </c>
      <c r="B7383" t="s">
        <v>16441</v>
      </c>
      <c r="C7383" t="s">
        <v>15982</v>
      </c>
      <c r="D7383" t="s">
        <v>20</v>
      </c>
      <c r="E7383" t="s">
        <v>290</v>
      </c>
      <c r="F7383">
        <v>0</v>
      </c>
      <c r="G7383">
        <v>0</v>
      </c>
      <c r="H7383">
        <v>2</v>
      </c>
      <c r="I7383" s="3">
        <v>373.58</v>
      </c>
      <c r="J7383" s="3">
        <v>0</v>
      </c>
      <c r="L7383">
        <v>7810</v>
      </c>
      <c r="M7383" t="s">
        <v>13633</v>
      </c>
      <c r="N7383" t="s">
        <v>30</v>
      </c>
      <c r="O7383" t="s">
        <v>31</v>
      </c>
      <c r="P7383" t="str">
        <f t="shared" si="86"/>
        <v>15208</v>
      </c>
    </row>
    <row r="7384" spans="1:16" x14ac:dyDescent="0.25">
      <c r="A7384" t="str">
        <f>"1130175C00123    00"</f>
        <v>1130175C00123    00</v>
      </c>
      <c r="B7384" t="s">
        <v>16443</v>
      </c>
      <c r="C7384" t="s">
        <v>16444</v>
      </c>
      <c r="D7384" t="s">
        <v>20</v>
      </c>
      <c r="E7384" t="s">
        <v>39</v>
      </c>
      <c r="F7384">
        <v>0</v>
      </c>
      <c r="G7384">
        <v>0</v>
      </c>
      <c r="H7384">
        <v>1</v>
      </c>
      <c r="I7384" s="3">
        <v>301.14999999999998</v>
      </c>
      <c r="J7384" s="3">
        <v>0</v>
      </c>
      <c r="M7384" t="s">
        <v>14402</v>
      </c>
      <c r="N7384" t="s">
        <v>30</v>
      </c>
      <c r="O7384" t="s">
        <v>31</v>
      </c>
      <c r="P7384" t="str">
        <f>"15221"</f>
        <v>15221</v>
      </c>
    </row>
    <row r="7385" spans="1:16" x14ac:dyDescent="0.25">
      <c r="A7385" t="str">
        <f>"1130175C00137    00"</f>
        <v>1130175C00137    00</v>
      </c>
      <c r="B7385" t="s">
        <v>15653</v>
      </c>
      <c r="C7385" t="s">
        <v>16445</v>
      </c>
      <c r="D7385" t="s">
        <v>20</v>
      </c>
      <c r="E7385" t="s">
        <v>21</v>
      </c>
      <c r="F7385">
        <v>0</v>
      </c>
      <c r="G7385">
        <v>0</v>
      </c>
      <c r="H7385">
        <v>2</v>
      </c>
      <c r="I7385" s="3">
        <v>9686.32</v>
      </c>
      <c r="J7385" s="3">
        <v>0</v>
      </c>
      <c r="K7385" t="s">
        <v>15655</v>
      </c>
      <c r="L7385">
        <v>727</v>
      </c>
      <c r="M7385" t="s">
        <v>15656</v>
      </c>
      <c r="N7385" t="s">
        <v>30</v>
      </c>
      <c r="O7385" t="s">
        <v>31</v>
      </c>
      <c r="P7385" t="str">
        <f>"15221"</f>
        <v>15221</v>
      </c>
    </row>
    <row r="7386" spans="1:16" x14ac:dyDescent="0.25">
      <c r="A7386" t="str">
        <f>"1130175C00140    00"</f>
        <v>1130175C00140    00</v>
      </c>
      <c r="B7386" t="s">
        <v>16446</v>
      </c>
      <c r="C7386" t="s">
        <v>13567</v>
      </c>
      <c r="E7386" t="s">
        <v>21</v>
      </c>
      <c r="F7386">
        <v>0</v>
      </c>
      <c r="G7386">
        <v>0</v>
      </c>
      <c r="H7386">
        <v>5</v>
      </c>
      <c r="I7386" s="3">
        <v>6649.08</v>
      </c>
      <c r="J7386" s="3">
        <v>5287.97</v>
      </c>
      <c r="L7386">
        <v>534</v>
      </c>
      <c r="M7386" t="s">
        <v>12494</v>
      </c>
      <c r="N7386" t="s">
        <v>30</v>
      </c>
      <c r="O7386" t="s">
        <v>31</v>
      </c>
      <c r="P7386" t="str">
        <f>"15208"</f>
        <v>15208</v>
      </c>
    </row>
    <row r="7387" spans="1:16" x14ac:dyDescent="0.25">
      <c r="A7387" t="str">
        <f>"1130175C00144    00"</f>
        <v>1130175C00144    00</v>
      </c>
      <c r="B7387" t="s">
        <v>16447</v>
      </c>
      <c r="C7387" t="s">
        <v>16448</v>
      </c>
      <c r="E7387" t="s">
        <v>39</v>
      </c>
      <c r="F7387">
        <v>0</v>
      </c>
      <c r="G7387">
        <v>0</v>
      </c>
      <c r="H7387">
        <v>4</v>
      </c>
      <c r="I7387" s="3">
        <v>3927.36</v>
      </c>
      <c r="J7387" s="3">
        <v>5214.3900000000003</v>
      </c>
      <c r="L7387">
        <v>534</v>
      </c>
      <c r="M7387" t="s">
        <v>12494</v>
      </c>
      <c r="N7387" t="s">
        <v>30</v>
      </c>
      <c r="O7387" t="s">
        <v>31</v>
      </c>
      <c r="P7387" t="str">
        <f>"15208"</f>
        <v>15208</v>
      </c>
    </row>
    <row r="7388" spans="1:16" x14ac:dyDescent="0.25">
      <c r="A7388" t="str">
        <f>"1130175C00152    00"</f>
        <v>1130175C00152    00</v>
      </c>
      <c r="B7388" t="s">
        <v>12531</v>
      </c>
      <c r="C7388" t="s">
        <v>16449</v>
      </c>
      <c r="D7388" t="s">
        <v>20</v>
      </c>
      <c r="E7388" t="s">
        <v>39</v>
      </c>
      <c r="F7388">
        <v>0</v>
      </c>
      <c r="G7388">
        <v>0</v>
      </c>
      <c r="H7388">
        <v>1</v>
      </c>
      <c r="I7388" s="3">
        <v>209.68</v>
      </c>
      <c r="J7388" s="3">
        <v>0</v>
      </c>
      <c r="K7388" t="s">
        <v>12533</v>
      </c>
      <c r="L7388">
        <v>46</v>
      </c>
      <c r="M7388" t="s">
        <v>913</v>
      </c>
      <c r="N7388" t="s">
        <v>914</v>
      </c>
      <c r="O7388" t="s">
        <v>200</v>
      </c>
      <c r="P7388" t="str">
        <f>"10952"</f>
        <v>10952</v>
      </c>
    </row>
    <row r="7389" spans="1:16" x14ac:dyDescent="0.25">
      <c r="A7389" t="str">
        <f>"1130175C00153    00"</f>
        <v>1130175C00153    00</v>
      </c>
      <c r="B7389" t="s">
        <v>12531</v>
      </c>
      <c r="C7389" t="s">
        <v>16450</v>
      </c>
      <c r="D7389" t="s">
        <v>20</v>
      </c>
      <c r="E7389" t="s">
        <v>39</v>
      </c>
      <c r="F7389">
        <v>0</v>
      </c>
      <c r="G7389">
        <v>0</v>
      </c>
      <c r="H7389">
        <v>1</v>
      </c>
      <c r="I7389" s="3">
        <v>209.66</v>
      </c>
      <c r="J7389" s="3">
        <v>0</v>
      </c>
      <c r="K7389" t="s">
        <v>12533</v>
      </c>
      <c r="L7389">
        <v>46</v>
      </c>
      <c r="M7389" t="s">
        <v>913</v>
      </c>
      <c r="N7389" t="s">
        <v>914</v>
      </c>
      <c r="O7389" t="s">
        <v>200</v>
      </c>
      <c r="P7389" t="str">
        <f>"10952"</f>
        <v>10952</v>
      </c>
    </row>
    <row r="7390" spans="1:16" x14ac:dyDescent="0.25">
      <c r="A7390" t="str">
        <f>"1130175C00157    00"</f>
        <v>1130175C00157    00</v>
      </c>
      <c r="B7390" t="s">
        <v>16451</v>
      </c>
      <c r="C7390" t="s">
        <v>15982</v>
      </c>
      <c r="D7390" t="s">
        <v>20</v>
      </c>
      <c r="E7390" t="s">
        <v>39</v>
      </c>
      <c r="F7390">
        <v>0</v>
      </c>
      <c r="G7390">
        <v>0</v>
      </c>
      <c r="H7390">
        <v>2</v>
      </c>
      <c r="I7390" s="3">
        <v>94.75</v>
      </c>
      <c r="J7390" s="3">
        <v>0</v>
      </c>
      <c r="L7390">
        <v>7236</v>
      </c>
      <c r="M7390" t="s">
        <v>11269</v>
      </c>
      <c r="N7390" t="s">
        <v>30</v>
      </c>
      <c r="O7390" t="s">
        <v>31</v>
      </c>
      <c r="P7390" t="str">
        <f>"15208"</f>
        <v>15208</v>
      </c>
    </row>
    <row r="7391" spans="1:16" x14ac:dyDescent="0.25">
      <c r="A7391" t="str">
        <f>"1130175C00159    00"</f>
        <v>1130175C00159    00</v>
      </c>
      <c r="B7391" t="s">
        <v>16452</v>
      </c>
      <c r="C7391" t="s">
        <v>15982</v>
      </c>
      <c r="D7391" t="s">
        <v>20</v>
      </c>
      <c r="E7391" t="s">
        <v>39</v>
      </c>
      <c r="F7391">
        <v>0</v>
      </c>
      <c r="G7391">
        <v>0</v>
      </c>
      <c r="H7391">
        <v>16</v>
      </c>
      <c r="I7391" s="3">
        <v>3795.79</v>
      </c>
      <c r="J7391" s="3">
        <v>3834.47</v>
      </c>
      <c r="L7391">
        <v>7720</v>
      </c>
      <c r="M7391" t="s">
        <v>13633</v>
      </c>
      <c r="N7391" t="s">
        <v>30</v>
      </c>
      <c r="O7391" t="s">
        <v>31</v>
      </c>
      <c r="P7391" t="str">
        <f>"15208"</f>
        <v>15208</v>
      </c>
    </row>
    <row r="7392" spans="1:16" x14ac:dyDescent="0.25">
      <c r="A7392" t="str">
        <f>"1130175C00190    00"</f>
        <v>1130175C00190    00</v>
      </c>
      <c r="B7392" t="s">
        <v>16453</v>
      </c>
      <c r="C7392" t="s">
        <v>16454</v>
      </c>
      <c r="D7392" t="s">
        <v>20</v>
      </c>
      <c r="E7392" t="s">
        <v>39</v>
      </c>
      <c r="F7392">
        <v>0</v>
      </c>
      <c r="G7392">
        <v>0</v>
      </c>
      <c r="H7392">
        <v>1</v>
      </c>
      <c r="I7392" s="3">
        <v>71.37</v>
      </c>
      <c r="J7392" s="3">
        <v>0</v>
      </c>
      <c r="K7392" t="s">
        <v>16455</v>
      </c>
      <c r="M7392" t="s">
        <v>16456</v>
      </c>
      <c r="N7392" t="s">
        <v>30</v>
      </c>
      <c r="O7392" t="s">
        <v>31</v>
      </c>
      <c r="P7392" t="str">
        <f>"15208"</f>
        <v>15208</v>
      </c>
    </row>
    <row r="7393" spans="1:16" x14ac:dyDescent="0.25">
      <c r="A7393" t="str">
        <f>"1130175C00191    00"</f>
        <v>1130175C00191    00</v>
      </c>
      <c r="B7393" t="s">
        <v>16453</v>
      </c>
      <c r="C7393" t="s">
        <v>16454</v>
      </c>
      <c r="D7393" t="s">
        <v>20</v>
      </c>
      <c r="E7393" t="s">
        <v>39</v>
      </c>
      <c r="F7393">
        <v>0</v>
      </c>
      <c r="G7393">
        <v>0</v>
      </c>
      <c r="H7393">
        <v>1</v>
      </c>
      <c r="I7393" s="3">
        <v>59.1</v>
      </c>
      <c r="J7393" s="3">
        <v>0</v>
      </c>
      <c r="K7393" t="s">
        <v>16455</v>
      </c>
      <c r="M7393" t="s">
        <v>16456</v>
      </c>
      <c r="N7393" t="s">
        <v>30</v>
      </c>
      <c r="O7393" t="s">
        <v>31</v>
      </c>
      <c r="P7393" t="str">
        <f>"15208"</f>
        <v>15208</v>
      </c>
    </row>
    <row r="7394" spans="1:16" x14ac:dyDescent="0.25">
      <c r="A7394" t="str">
        <f>"1130175C00210    00"</f>
        <v>1130175C00210    00</v>
      </c>
      <c r="B7394" t="s">
        <v>3482</v>
      </c>
      <c r="C7394" t="s">
        <v>16457</v>
      </c>
      <c r="D7394" t="s">
        <v>20</v>
      </c>
      <c r="E7394" t="s">
        <v>39</v>
      </c>
      <c r="F7394">
        <v>0</v>
      </c>
      <c r="G7394">
        <v>0</v>
      </c>
      <c r="H7394">
        <v>18</v>
      </c>
      <c r="I7394" s="3">
        <v>1450.81</v>
      </c>
      <c r="J7394" s="3">
        <v>1369.95</v>
      </c>
      <c r="K7394" t="s">
        <v>3483</v>
      </c>
      <c r="L7394">
        <v>242</v>
      </c>
      <c r="M7394" t="s">
        <v>3484</v>
      </c>
      <c r="N7394" t="s">
        <v>3485</v>
      </c>
      <c r="O7394" t="s">
        <v>3486</v>
      </c>
      <c r="P7394" t="str">
        <f>"60126"</f>
        <v>60126</v>
      </c>
    </row>
    <row r="7395" spans="1:16" x14ac:dyDescent="0.25">
      <c r="A7395" t="str">
        <f>"1130175C00212    00"</f>
        <v>1130175C00212    00</v>
      </c>
      <c r="B7395" t="s">
        <v>16458</v>
      </c>
      <c r="C7395" t="s">
        <v>16459</v>
      </c>
      <c r="D7395" t="s">
        <v>20</v>
      </c>
      <c r="E7395" t="s">
        <v>39</v>
      </c>
      <c r="F7395">
        <v>0</v>
      </c>
      <c r="G7395">
        <v>0</v>
      </c>
      <c r="H7395">
        <v>18</v>
      </c>
      <c r="I7395" s="3">
        <v>5074.97</v>
      </c>
      <c r="J7395" s="3">
        <v>6103.53</v>
      </c>
      <c r="L7395">
        <v>517</v>
      </c>
      <c r="M7395" t="s">
        <v>13300</v>
      </c>
      <c r="N7395" t="s">
        <v>30</v>
      </c>
      <c r="O7395" t="s">
        <v>31</v>
      </c>
      <c r="P7395" t="str">
        <f>"15208"</f>
        <v>15208</v>
      </c>
    </row>
    <row r="7396" spans="1:16" x14ac:dyDescent="0.25">
      <c r="A7396" t="str">
        <f>"1130175C00213    00"</f>
        <v>1130175C00213    00</v>
      </c>
      <c r="B7396" t="s">
        <v>11858</v>
      </c>
      <c r="C7396" t="s">
        <v>16460</v>
      </c>
      <c r="D7396" t="s">
        <v>20</v>
      </c>
      <c r="E7396" t="s">
        <v>39</v>
      </c>
      <c r="F7396">
        <v>0</v>
      </c>
      <c r="G7396">
        <v>0</v>
      </c>
      <c r="H7396">
        <v>1</v>
      </c>
      <c r="I7396" s="3">
        <v>171.56</v>
      </c>
      <c r="J7396" s="3">
        <v>0</v>
      </c>
      <c r="K7396" t="s">
        <v>11860</v>
      </c>
      <c r="L7396">
        <v>46</v>
      </c>
      <c r="M7396" t="s">
        <v>913</v>
      </c>
      <c r="N7396" t="s">
        <v>914</v>
      </c>
      <c r="O7396" t="s">
        <v>200</v>
      </c>
      <c r="P7396" t="str">
        <f>"10952"</f>
        <v>10952</v>
      </c>
    </row>
    <row r="7397" spans="1:16" x14ac:dyDescent="0.25">
      <c r="A7397" t="str">
        <f>"1130175C00231    00"</f>
        <v>1130175C00231    00</v>
      </c>
      <c r="B7397" t="s">
        <v>16461</v>
      </c>
      <c r="C7397" t="s">
        <v>16462</v>
      </c>
      <c r="D7397" t="s">
        <v>20</v>
      </c>
      <c r="E7397" t="s">
        <v>39</v>
      </c>
      <c r="F7397">
        <v>0</v>
      </c>
      <c r="G7397">
        <v>0</v>
      </c>
      <c r="H7397">
        <v>18</v>
      </c>
      <c r="I7397" s="3">
        <v>6162.1</v>
      </c>
      <c r="J7397" s="3">
        <v>5310.84</v>
      </c>
      <c r="M7397" t="s">
        <v>16463</v>
      </c>
      <c r="N7397" t="s">
        <v>3681</v>
      </c>
      <c r="O7397" t="s">
        <v>273</v>
      </c>
      <c r="P7397" t="str">
        <f>"29229"</f>
        <v>29229</v>
      </c>
    </row>
    <row r="7398" spans="1:16" x14ac:dyDescent="0.25">
      <c r="A7398" t="str">
        <f>"1130175C00232    00"</f>
        <v>1130175C00232    00</v>
      </c>
      <c r="B7398" t="s">
        <v>16464</v>
      </c>
      <c r="C7398" t="s">
        <v>16465</v>
      </c>
      <c r="D7398" t="s">
        <v>20</v>
      </c>
      <c r="E7398" t="s">
        <v>39</v>
      </c>
      <c r="F7398">
        <v>0</v>
      </c>
      <c r="G7398">
        <v>0</v>
      </c>
      <c r="H7398">
        <v>6</v>
      </c>
      <c r="I7398" s="3">
        <v>347.13</v>
      </c>
      <c r="J7398" s="3">
        <v>91.35</v>
      </c>
      <c r="L7398">
        <v>7727</v>
      </c>
      <c r="M7398" t="s">
        <v>13633</v>
      </c>
      <c r="N7398" t="s">
        <v>30</v>
      </c>
      <c r="O7398" t="s">
        <v>31</v>
      </c>
      <c r="P7398" t="str">
        <f>"15208"</f>
        <v>15208</v>
      </c>
    </row>
    <row r="7399" spans="1:16" x14ac:dyDescent="0.25">
      <c r="A7399" t="str">
        <f>"1130175C00237    00"</f>
        <v>1130175C00237    00</v>
      </c>
      <c r="B7399" t="s">
        <v>16466</v>
      </c>
      <c r="C7399" t="s">
        <v>15982</v>
      </c>
      <c r="D7399" t="s">
        <v>20</v>
      </c>
      <c r="E7399" t="s">
        <v>39</v>
      </c>
      <c r="F7399">
        <v>0</v>
      </c>
      <c r="G7399">
        <v>0</v>
      </c>
      <c r="H7399">
        <v>14</v>
      </c>
      <c r="I7399" s="3">
        <v>920.12</v>
      </c>
      <c r="J7399" s="3">
        <v>639.73</v>
      </c>
      <c r="L7399">
        <v>8922</v>
      </c>
      <c r="M7399" t="s">
        <v>16467</v>
      </c>
      <c r="N7399" t="s">
        <v>14556</v>
      </c>
      <c r="O7399" t="s">
        <v>1184</v>
      </c>
      <c r="P7399" t="str">
        <f>"20708"</f>
        <v>20708</v>
      </c>
    </row>
    <row r="7400" spans="1:16" x14ac:dyDescent="0.25">
      <c r="A7400" t="str">
        <f>"1130175C00238    00"</f>
        <v>1130175C00238    00</v>
      </c>
      <c r="B7400" t="s">
        <v>16468</v>
      </c>
      <c r="C7400" t="s">
        <v>16469</v>
      </c>
      <c r="D7400" t="s">
        <v>20</v>
      </c>
      <c r="E7400" t="s">
        <v>39</v>
      </c>
      <c r="F7400">
        <v>0</v>
      </c>
      <c r="G7400">
        <v>0</v>
      </c>
      <c r="H7400">
        <v>12</v>
      </c>
      <c r="I7400" s="3">
        <v>1879.5</v>
      </c>
      <c r="J7400" s="3">
        <v>1193.93</v>
      </c>
      <c r="M7400" t="s">
        <v>16470</v>
      </c>
      <c r="N7400" t="s">
        <v>30</v>
      </c>
      <c r="O7400" t="s">
        <v>31</v>
      </c>
      <c r="P7400" t="str">
        <f>"15206"</f>
        <v>15206</v>
      </c>
    </row>
    <row r="7401" spans="1:16" x14ac:dyDescent="0.25">
      <c r="A7401" t="str">
        <f>"1130175C00239    00"</f>
        <v>1130175C00239    00</v>
      </c>
      <c r="B7401" t="s">
        <v>16471</v>
      </c>
      <c r="C7401" t="s">
        <v>16472</v>
      </c>
      <c r="D7401" t="s">
        <v>20</v>
      </c>
      <c r="E7401" t="s">
        <v>39</v>
      </c>
      <c r="F7401">
        <v>0</v>
      </c>
      <c r="G7401">
        <v>0</v>
      </c>
      <c r="H7401">
        <v>8</v>
      </c>
      <c r="I7401" s="3">
        <v>2135.4</v>
      </c>
      <c r="J7401" s="3">
        <v>914.01</v>
      </c>
      <c r="L7401">
        <v>320</v>
      </c>
      <c r="M7401" t="s">
        <v>16473</v>
      </c>
      <c r="N7401" t="s">
        <v>30</v>
      </c>
      <c r="O7401" t="s">
        <v>31</v>
      </c>
      <c r="P7401" t="str">
        <f>"15210"</f>
        <v>15210</v>
      </c>
    </row>
    <row r="7402" spans="1:16" x14ac:dyDescent="0.25">
      <c r="A7402" t="str">
        <f>"1130175C00240    00"</f>
        <v>1130175C00240    00</v>
      </c>
      <c r="B7402" t="s">
        <v>16474</v>
      </c>
      <c r="C7402" t="s">
        <v>16475</v>
      </c>
      <c r="D7402" t="s">
        <v>20</v>
      </c>
      <c r="E7402" t="s">
        <v>39</v>
      </c>
      <c r="F7402">
        <v>0</v>
      </c>
      <c r="G7402">
        <v>0</v>
      </c>
      <c r="H7402">
        <v>13</v>
      </c>
      <c r="I7402" s="3">
        <v>129.63</v>
      </c>
      <c r="J7402" s="3">
        <v>158.38</v>
      </c>
      <c r="L7402">
        <v>7718</v>
      </c>
      <c r="M7402" t="s">
        <v>16476</v>
      </c>
      <c r="N7402" t="s">
        <v>30</v>
      </c>
      <c r="O7402" t="s">
        <v>31</v>
      </c>
      <c r="P7402" t="str">
        <f>"15208"</f>
        <v>15208</v>
      </c>
    </row>
    <row r="7403" spans="1:16" x14ac:dyDescent="0.25">
      <c r="A7403" t="str">
        <f>"1130175C00243    00"</f>
        <v>1130175C00243    00</v>
      </c>
      <c r="B7403" t="s">
        <v>16477</v>
      </c>
      <c r="C7403" t="s">
        <v>16475</v>
      </c>
      <c r="D7403" t="s">
        <v>20</v>
      </c>
      <c r="E7403" t="s">
        <v>39</v>
      </c>
      <c r="F7403">
        <v>0</v>
      </c>
      <c r="G7403">
        <v>0</v>
      </c>
      <c r="H7403">
        <v>9</v>
      </c>
      <c r="I7403" s="3">
        <v>116.47</v>
      </c>
      <c r="J7403" s="3">
        <v>44.45</v>
      </c>
      <c r="K7403" t="s">
        <v>16478</v>
      </c>
      <c r="L7403">
        <v>566</v>
      </c>
      <c r="M7403" t="s">
        <v>12494</v>
      </c>
      <c r="N7403" t="s">
        <v>30</v>
      </c>
      <c r="O7403" t="s">
        <v>31</v>
      </c>
      <c r="P7403" t="str">
        <f>"15205"</f>
        <v>15205</v>
      </c>
    </row>
    <row r="7404" spans="1:16" x14ac:dyDescent="0.25">
      <c r="A7404" t="str">
        <f>"1130175C00245    00"</f>
        <v>1130175C00245    00</v>
      </c>
      <c r="B7404" t="s">
        <v>16477</v>
      </c>
      <c r="C7404" t="s">
        <v>15982</v>
      </c>
      <c r="D7404" t="s">
        <v>20</v>
      </c>
      <c r="E7404" t="s">
        <v>39</v>
      </c>
      <c r="F7404">
        <v>0</v>
      </c>
      <c r="G7404">
        <v>0</v>
      </c>
      <c r="H7404">
        <v>10</v>
      </c>
      <c r="I7404" s="3">
        <v>532.96</v>
      </c>
      <c r="J7404" s="3">
        <v>239.38</v>
      </c>
      <c r="L7404">
        <v>566</v>
      </c>
      <c r="M7404" t="s">
        <v>12494</v>
      </c>
      <c r="N7404" t="s">
        <v>30</v>
      </c>
      <c r="O7404" t="s">
        <v>31</v>
      </c>
      <c r="P7404" t="str">
        <f>"15208"</f>
        <v>15208</v>
      </c>
    </row>
    <row r="7405" spans="1:16" x14ac:dyDescent="0.25">
      <c r="A7405" t="str">
        <f>"1130175C00250    00"</f>
        <v>1130175C00250    00</v>
      </c>
      <c r="B7405" t="s">
        <v>16477</v>
      </c>
      <c r="C7405" t="s">
        <v>15982</v>
      </c>
      <c r="D7405" t="s">
        <v>20</v>
      </c>
      <c r="E7405" t="s">
        <v>39</v>
      </c>
      <c r="F7405">
        <v>0</v>
      </c>
      <c r="G7405">
        <v>0</v>
      </c>
      <c r="H7405">
        <v>10</v>
      </c>
      <c r="I7405" s="3">
        <v>110.28</v>
      </c>
      <c r="J7405" s="3">
        <v>49.52</v>
      </c>
      <c r="L7405">
        <v>7711</v>
      </c>
      <c r="M7405" t="s">
        <v>13633</v>
      </c>
      <c r="N7405" t="s">
        <v>30</v>
      </c>
      <c r="O7405" t="s">
        <v>31</v>
      </c>
      <c r="P7405" t="str">
        <f>"15208"</f>
        <v>15208</v>
      </c>
    </row>
    <row r="7406" spans="1:16" x14ac:dyDescent="0.25">
      <c r="A7406" t="str">
        <f>"1130175C00251    00"</f>
        <v>1130175C00251    00</v>
      </c>
      <c r="B7406" t="s">
        <v>16477</v>
      </c>
      <c r="C7406" t="s">
        <v>13567</v>
      </c>
      <c r="D7406" t="s">
        <v>20</v>
      </c>
      <c r="E7406" t="s">
        <v>39</v>
      </c>
      <c r="F7406">
        <v>0</v>
      </c>
      <c r="G7406">
        <v>0</v>
      </c>
      <c r="H7406">
        <v>9</v>
      </c>
      <c r="I7406" s="3">
        <v>582.12</v>
      </c>
      <c r="J7406" s="3">
        <v>222.19</v>
      </c>
      <c r="K7406" t="s">
        <v>16478</v>
      </c>
      <c r="L7406">
        <v>566</v>
      </c>
      <c r="M7406" t="s">
        <v>16479</v>
      </c>
      <c r="N7406" t="s">
        <v>30</v>
      </c>
      <c r="O7406" t="s">
        <v>31</v>
      </c>
      <c r="P7406" t="str">
        <f>"15208"</f>
        <v>15208</v>
      </c>
    </row>
    <row r="7407" spans="1:16" x14ac:dyDescent="0.25">
      <c r="A7407" t="str">
        <f>"1130175C00253    00"</f>
        <v>1130175C00253    00</v>
      </c>
      <c r="B7407" t="s">
        <v>16480</v>
      </c>
      <c r="C7407" t="s">
        <v>13567</v>
      </c>
      <c r="D7407" t="s">
        <v>20</v>
      </c>
      <c r="E7407" t="s">
        <v>39</v>
      </c>
      <c r="F7407">
        <v>0</v>
      </c>
      <c r="G7407">
        <v>0</v>
      </c>
      <c r="H7407">
        <v>7</v>
      </c>
      <c r="I7407" s="3">
        <v>65</v>
      </c>
      <c r="J7407" s="3">
        <v>23.65</v>
      </c>
      <c r="L7407">
        <v>2521</v>
      </c>
      <c r="M7407" t="s">
        <v>16481</v>
      </c>
      <c r="N7407" t="s">
        <v>30</v>
      </c>
      <c r="O7407" t="s">
        <v>31</v>
      </c>
      <c r="P7407" t="str">
        <f>"15218"</f>
        <v>15218</v>
      </c>
    </row>
    <row r="7408" spans="1:16" x14ac:dyDescent="0.25">
      <c r="A7408" t="str">
        <f>"1130175C00256    00"</f>
        <v>1130175C00256    00</v>
      </c>
      <c r="B7408" t="s">
        <v>16482</v>
      </c>
      <c r="C7408" t="s">
        <v>16475</v>
      </c>
      <c r="D7408" t="s">
        <v>20</v>
      </c>
      <c r="E7408" t="s">
        <v>39</v>
      </c>
      <c r="F7408">
        <v>0</v>
      </c>
      <c r="G7408">
        <v>0</v>
      </c>
      <c r="H7408">
        <v>19</v>
      </c>
      <c r="I7408" s="3">
        <v>5481.79</v>
      </c>
      <c r="J7408" s="3">
        <v>6897.06</v>
      </c>
      <c r="L7408">
        <v>101</v>
      </c>
      <c r="M7408" t="s">
        <v>16483</v>
      </c>
      <c r="N7408" t="s">
        <v>16484</v>
      </c>
      <c r="O7408" t="s">
        <v>2767</v>
      </c>
      <c r="P7408" t="str">
        <f>"36310"</f>
        <v>36310</v>
      </c>
    </row>
    <row r="7409" spans="1:16" x14ac:dyDescent="0.25">
      <c r="A7409" t="str">
        <f>"1130175C00257    00"</f>
        <v>1130175C00257    00</v>
      </c>
      <c r="B7409" t="s">
        <v>16485</v>
      </c>
      <c r="C7409" t="s">
        <v>16486</v>
      </c>
      <c r="D7409" t="s">
        <v>20</v>
      </c>
      <c r="E7409" t="s">
        <v>39</v>
      </c>
      <c r="F7409">
        <v>0</v>
      </c>
      <c r="G7409">
        <v>0</v>
      </c>
      <c r="H7409">
        <v>7</v>
      </c>
      <c r="I7409" s="3">
        <v>2492.58</v>
      </c>
      <c r="J7409" s="3">
        <v>689.28</v>
      </c>
      <c r="L7409">
        <v>83</v>
      </c>
      <c r="M7409" t="s">
        <v>5127</v>
      </c>
      <c r="N7409" t="s">
        <v>30</v>
      </c>
      <c r="O7409" t="s">
        <v>31</v>
      </c>
      <c r="P7409" t="str">
        <f>"15235"</f>
        <v>15235</v>
      </c>
    </row>
    <row r="7410" spans="1:16" x14ac:dyDescent="0.25">
      <c r="A7410" t="str">
        <f>"1130175C00258    00"</f>
        <v>1130175C00258    00</v>
      </c>
      <c r="B7410" t="s">
        <v>16485</v>
      </c>
      <c r="C7410" t="s">
        <v>16487</v>
      </c>
      <c r="D7410" t="s">
        <v>20</v>
      </c>
      <c r="E7410" t="s">
        <v>39</v>
      </c>
      <c r="F7410">
        <v>0</v>
      </c>
      <c r="G7410">
        <v>0</v>
      </c>
      <c r="H7410">
        <v>7</v>
      </c>
      <c r="I7410" s="3">
        <v>2153.31</v>
      </c>
      <c r="J7410" s="3">
        <v>595.45000000000005</v>
      </c>
      <c r="L7410">
        <v>83</v>
      </c>
      <c r="M7410" t="s">
        <v>5127</v>
      </c>
      <c r="N7410" t="s">
        <v>30</v>
      </c>
      <c r="O7410" t="s">
        <v>31</v>
      </c>
      <c r="P7410" t="str">
        <f>"15235"</f>
        <v>15235</v>
      </c>
    </row>
    <row r="7411" spans="1:16" x14ac:dyDescent="0.25">
      <c r="A7411" t="str">
        <f>"1130175C00276    00"</f>
        <v>1130175C00276    00</v>
      </c>
      <c r="B7411" t="s">
        <v>16488</v>
      </c>
      <c r="C7411" t="s">
        <v>16489</v>
      </c>
      <c r="D7411" t="s">
        <v>20</v>
      </c>
      <c r="E7411" t="s">
        <v>39</v>
      </c>
      <c r="F7411">
        <v>0</v>
      </c>
      <c r="G7411">
        <v>0</v>
      </c>
      <c r="H7411">
        <v>19</v>
      </c>
      <c r="I7411" s="3">
        <v>1601.14</v>
      </c>
      <c r="J7411" s="3">
        <v>1746.21</v>
      </c>
      <c r="L7411">
        <v>5168</v>
      </c>
      <c r="M7411" t="s">
        <v>8947</v>
      </c>
      <c r="N7411" t="s">
        <v>30</v>
      </c>
      <c r="O7411" t="s">
        <v>31</v>
      </c>
      <c r="P7411" t="str">
        <f>"15201"</f>
        <v>15201</v>
      </c>
    </row>
    <row r="7412" spans="1:16" x14ac:dyDescent="0.25">
      <c r="A7412" t="str">
        <f>"1130175C00279    00"</f>
        <v>1130175C00279    00</v>
      </c>
      <c r="B7412" t="s">
        <v>16490</v>
      </c>
      <c r="C7412" t="s">
        <v>16489</v>
      </c>
      <c r="D7412" t="s">
        <v>20</v>
      </c>
      <c r="E7412" t="s">
        <v>39</v>
      </c>
      <c r="F7412">
        <v>0</v>
      </c>
      <c r="G7412">
        <v>0</v>
      </c>
      <c r="H7412">
        <v>16</v>
      </c>
      <c r="I7412" s="3">
        <v>321.25</v>
      </c>
      <c r="J7412" s="3">
        <v>416.04</v>
      </c>
      <c r="L7412">
        <v>1856</v>
      </c>
      <c r="M7412" t="s">
        <v>13373</v>
      </c>
      <c r="N7412" t="s">
        <v>30</v>
      </c>
      <c r="O7412" t="s">
        <v>31</v>
      </c>
      <c r="P7412" t="str">
        <f>"15221"</f>
        <v>15221</v>
      </c>
    </row>
    <row r="7413" spans="1:16" x14ac:dyDescent="0.25">
      <c r="A7413" t="str">
        <f>"1130175C00286    00"</f>
        <v>1130175C00286    00</v>
      </c>
      <c r="B7413" t="s">
        <v>16491</v>
      </c>
      <c r="C7413" t="s">
        <v>16489</v>
      </c>
      <c r="E7413" t="s">
        <v>39</v>
      </c>
      <c r="F7413">
        <v>0</v>
      </c>
      <c r="G7413">
        <v>0</v>
      </c>
      <c r="H7413">
        <v>16</v>
      </c>
      <c r="I7413" s="3">
        <v>125.1</v>
      </c>
      <c r="J7413" s="3">
        <v>150.54</v>
      </c>
      <c r="K7413" t="s">
        <v>16492</v>
      </c>
      <c r="L7413">
        <v>302</v>
      </c>
      <c r="M7413" t="s">
        <v>3942</v>
      </c>
      <c r="N7413" t="s">
        <v>30</v>
      </c>
      <c r="O7413" t="s">
        <v>31</v>
      </c>
      <c r="P7413" t="str">
        <f>"15208"</f>
        <v>15208</v>
      </c>
    </row>
    <row r="7414" spans="1:16" x14ac:dyDescent="0.25">
      <c r="A7414" t="str">
        <f>"1130175C00292    00"</f>
        <v>1130175C00292    00</v>
      </c>
      <c r="B7414" t="s">
        <v>16488</v>
      </c>
      <c r="C7414" t="s">
        <v>16489</v>
      </c>
      <c r="D7414" t="s">
        <v>20</v>
      </c>
      <c r="E7414" t="s">
        <v>39</v>
      </c>
      <c r="F7414">
        <v>0</v>
      </c>
      <c r="G7414">
        <v>0</v>
      </c>
      <c r="H7414">
        <v>17</v>
      </c>
      <c r="I7414" s="3">
        <v>214.95</v>
      </c>
      <c r="J7414" s="3">
        <v>227.56</v>
      </c>
      <c r="L7414">
        <v>5168</v>
      </c>
      <c r="M7414" t="s">
        <v>8947</v>
      </c>
      <c r="N7414" t="s">
        <v>30</v>
      </c>
      <c r="O7414" t="s">
        <v>31</v>
      </c>
      <c r="P7414" t="str">
        <f>"15201"</f>
        <v>15201</v>
      </c>
    </row>
    <row r="7415" spans="1:16" x14ac:dyDescent="0.25">
      <c r="A7415" t="str">
        <f>"1130175C00294    00"</f>
        <v>1130175C00294    00</v>
      </c>
      <c r="B7415" t="s">
        <v>16488</v>
      </c>
      <c r="C7415" t="s">
        <v>16489</v>
      </c>
      <c r="D7415" t="s">
        <v>20</v>
      </c>
      <c r="E7415" t="s">
        <v>39</v>
      </c>
      <c r="F7415">
        <v>0</v>
      </c>
      <c r="G7415">
        <v>0</v>
      </c>
      <c r="H7415">
        <v>17</v>
      </c>
      <c r="I7415" s="3">
        <v>196.54</v>
      </c>
      <c r="J7415" s="3">
        <v>217.52</v>
      </c>
      <c r="L7415">
        <v>5168</v>
      </c>
      <c r="M7415" t="s">
        <v>8947</v>
      </c>
      <c r="N7415" t="s">
        <v>30</v>
      </c>
      <c r="O7415" t="s">
        <v>31</v>
      </c>
      <c r="P7415" t="str">
        <f>"15201"</f>
        <v>15201</v>
      </c>
    </row>
    <row r="7416" spans="1:16" x14ac:dyDescent="0.25">
      <c r="A7416" t="str">
        <f>"1130175C00295    00"</f>
        <v>1130175C00295    00</v>
      </c>
      <c r="B7416" t="s">
        <v>16488</v>
      </c>
      <c r="C7416" t="s">
        <v>16489</v>
      </c>
      <c r="D7416" t="s">
        <v>20</v>
      </c>
      <c r="E7416" t="s">
        <v>39</v>
      </c>
      <c r="F7416">
        <v>0</v>
      </c>
      <c r="G7416">
        <v>0</v>
      </c>
      <c r="H7416">
        <v>17</v>
      </c>
      <c r="I7416" s="3">
        <v>196.54</v>
      </c>
      <c r="J7416" s="3">
        <v>217.52</v>
      </c>
      <c r="L7416">
        <v>5168</v>
      </c>
      <c r="M7416" t="s">
        <v>8947</v>
      </c>
      <c r="N7416" t="s">
        <v>30</v>
      </c>
      <c r="O7416" t="s">
        <v>31</v>
      </c>
      <c r="P7416" t="str">
        <f>"15201"</f>
        <v>15201</v>
      </c>
    </row>
    <row r="7417" spans="1:16" x14ac:dyDescent="0.25">
      <c r="A7417" t="str">
        <f>"1130175C00296    00"</f>
        <v>1130175C00296    00</v>
      </c>
      <c r="B7417" t="s">
        <v>16488</v>
      </c>
      <c r="C7417" t="s">
        <v>16489</v>
      </c>
      <c r="D7417" t="s">
        <v>20</v>
      </c>
      <c r="E7417" t="s">
        <v>39</v>
      </c>
      <c r="F7417">
        <v>0</v>
      </c>
      <c r="G7417">
        <v>0</v>
      </c>
      <c r="H7417">
        <v>19</v>
      </c>
      <c r="I7417" s="3">
        <v>323.60000000000002</v>
      </c>
      <c r="J7417" s="3">
        <v>306.02</v>
      </c>
      <c r="L7417">
        <v>5168</v>
      </c>
      <c r="M7417" t="s">
        <v>8947</v>
      </c>
      <c r="N7417" t="s">
        <v>30</v>
      </c>
      <c r="O7417" t="s">
        <v>31</v>
      </c>
      <c r="P7417" t="str">
        <f>"15201"</f>
        <v>15201</v>
      </c>
    </row>
    <row r="7418" spans="1:16" x14ac:dyDescent="0.25">
      <c r="A7418" t="str">
        <f>"1130175C00298    00"</f>
        <v>1130175C00298    00</v>
      </c>
      <c r="B7418" t="s">
        <v>16493</v>
      </c>
      <c r="C7418" t="s">
        <v>16489</v>
      </c>
      <c r="D7418" t="s">
        <v>20</v>
      </c>
      <c r="E7418" t="s">
        <v>39</v>
      </c>
      <c r="F7418">
        <v>0</v>
      </c>
      <c r="G7418">
        <v>0</v>
      </c>
      <c r="H7418">
        <v>17</v>
      </c>
      <c r="I7418" s="3">
        <v>4543.0200000000004</v>
      </c>
      <c r="J7418" s="3">
        <v>6496.53</v>
      </c>
      <c r="L7418">
        <v>324</v>
      </c>
      <c r="M7418" t="s">
        <v>3942</v>
      </c>
      <c r="N7418" t="s">
        <v>30</v>
      </c>
      <c r="O7418" t="s">
        <v>31</v>
      </c>
      <c r="P7418" t="str">
        <f>"15208"</f>
        <v>15208</v>
      </c>
    </row>
    <row r="7419" spans="1:16" x14ac:dyDescent="0.25">
      <c r="A7419" t="str">
        <f>"1130175C00306    00"</f>
        <v>1130175C00306    00</v>
      </c>
      <c r="B7419" t="s">
        <v>16494</v>
      </c>
      <c r="C7419" t="s">
        <v>16495</v>
      </c>
      <c r="D7419" t="s">
        <v>20</v>
      </c>
      <c r="E7419" t="s">
        <v>39</v>
      </c>
      <c r="F7419">
        <v>0</v>
      </c>
      <c r="G7419">
        <v>0</v>
      </c>
      <c r="H7419">
        <v>2</v>
      </c>
      <c r="I7419" s="3">
        <v>106.74</v>
      </c>
      <c r="J7419" s="3">
        <v>0</v>
      </c>
      <c r="K7419" t="s">
        <v>16496</v>
      </c>
      <c r="L7419">
        <v>4101</v>
      </c>
      <c r="M7419" t="s">
        <v>11011</v>
      </c>
      <c r="N7419" t="s">
        <v>546</v>
      </c>
      <c r="O7419" t="s">
        <v>31</v>
      </c>
      <c r="P7419" t="str">
        <f>"15044"</f>
        <v>15044</v>
      </c>
    </row>
    <row r="7420" spans="1:16" x14ac:dyDescent="0.25">
      <c r="A7420" t="str">
        <f>"1130175C00309    00"</f>
        <v>1130175C00309    00</v>
      </c>
      <c r="B7420" t="s">
        <v>16497</v>
      </c>
      <c r="C7420" t="s">
        <v>16495</v>
      </c>
      <c r="D7420" t="s">
        <v>20</v>
      </c>
      <c r="E7420" t="s">
        <v>39</v>
      </c>
      <c r="F7420">
        <v>0</v>
      </c>
      <c r="G7420">
        <v>0</v>
      </c>
      <c r="H7420">
        <v>8</v>
      </c>
      <c r="I7420" s="3">
        <v>44.33</v>
      </c>
      <c r="J7420" s="3">
        <v>19.510000000000002</v>
      </c>
      <c r="L7420">
        <v>323</v>
      </c>
      <c r="M7420" t="s">
        <v>16498</v>
      </c>
      <c r="N7420" t="s">
        <v>30</v>
      </c>
      <c r="O7420" t="s">
        <v>31</v>
      </c>
      <c r="P7420" t="str">
        <f>"15208"</f>
        <v>15208</v>
      </c>
    </row>
    <row r="7421" spans="1:16" x14ac:dyDescent="0.25">
      <c r="A7421" t="str">
        <f>"1130175C00311    00"</f>
        <v>1130175C00311    00</v>
      </c>
      <c r="B7421" t="s">
        <v>16499</v>
      </c>
      <c r="C7421" t="s">
        <v>16495</v>
      </c>
      <c r="D7421" t="s">
        <v>20</v>
      </c>
      <c r="E7421" t="s">
        <v>39</v>
      </c>
      <c r="F7421">
        <v>0</v>
      </c>
      <c r="G7421">
        <v>0</v>
      </c>
      <c r="H7421">
        <v>16</v>
      </c>
      <c r="I7421" s="3">
        <v>3014.85</v>
      </c>
      <c r="J7421" s="3">
        <v>4508.37</v>
      </c>
      <c r="L7421">
        <v>141</v>
      </c>
      <c r="M7421" t="s">
        <v>16500</v>
      </c>
      <c r="N7421" t="s">
        <v>30</v>
      </c>
      <c r="O7421" t="s">
        <v>31</v>
      </c>
      <c r="P7421" t="str">
        <f>"15235"</f>
        <v>15235</v>
      </c>
    </row>
    <row r="7422" spans="1:16" x14ac:dyDescent="0.25">
      <c r="A7422" t="str">
        <f>"1130175C00312    00"</f>
        <v>1130175C00312    00</v>
      </c>
      <c r="B7422" t="s">
        <v>16501</v>
      </c>
      <c r="C7422" t="s">
        <v>16495</v>
      </c>
      <c r="D7422" t="s">
        <v>20</v>
      </c>
      <c r="E7422" t="s">
        <v>39</v>
      </c>
      <c r="F7422">
        <v>0</v>
      </c>
      <c r="G7422">
        <v>0</v>
      </c>
      <c r="H7422">
        <v>17</v>
      </c>
      <c r="I7422" s="3">
        <v>2712.43</v>
      </c>
      <c r="J7422" s="3">
        <v>4050.52</v>
      </c>
      <c r="L7422">
        <v>1332</v>
      </c>
      <c r="M7422" t="s">
        <v>16502</v>
      </c>
      <c r="N7422" t="s">
        <v>30</v>
      </c>
      <c r="O7422" t="s">
        <v>31</v>
      </c>
      <c r="P7422" t="str">
        <f t="shared" ref="P7422:P7428" si="87">"15208"</f>
        <v>15208</v>
      </c>
    </row>
    <row r="7423" spans="1:16" x14ac:dyDescent="0.25">
      <c r="A7423" t="str">
        <f>"1130175C00315    00"</f>
        <v>1130175C00315    00</v>
      </c>
      <c r="B7423" t="s">
        <v>16503</v>
      </c>
      <c r="C7423" t="s">
        <v>16495</v>
      </c>
      <c r="D7423" t="s">
        <v>20</v>
      </c>
      <c r="E7423" t="s">
        <v>39</v>
      </c>
      <c r="F7423">
        <v>0</v>
      </c>
      <c r="G7423">
        <v>0</v>
      </c>
      <c r="H7423">
        <v>17</v>
      </c>
      <c r="I7423" s="3">
        <v>2571.27</v>
      </c>
      <c r="J7423" s="3">
        <v>3851.19</v>
      </c>
      <c r="L7423">
        <v>311</v>
      </c>
      <c r="M7423" t="s">
        <v>16498</v>
      </c>
      <c r="N7423" t="s">
        <v>30</v>
      </c>
      <c r="O7423" t="s">
        <v>31</v>
      </c>
      <c r="P7423" t="str">
        <f t="shared" si="87"/>
        <v>15208</v>
      </c>
    </row>
    <row r="7424" spans="1:16" x14ac:dyDescent="0.25">
      <c r="A7424" t="str">
        <f>"1130175C00320    00"</f>
        <v>1130175C00320    00</v>
      </c>
      <c r="B7424" t="s">
        <v>16504</v>
      </c>
      <c r="C7424" t="s">
        <v>16495</v>
      </c>
      <c r="D7424" t="s">
        <v>20</v>
      </c>
      <c r="E7424" t="s">
        <v>39</v>
      </c>
      <c r="F7424">
        <v>0</v>
      </c>
      <c r="G7424">
        <v>0</v>
      </c>
      <c r="H7424">
        <v>17</v>
      </c>
      <c r="I7424" s="3">
        <v>4251.3100000000004</v>
      </c>
      <c r="J7424" s="3">
        <v>6071.59</v>
      </c>
      <c r="L7424">
        <v>7443</v>
      </c>
      <c r="M7424" t="s">
        <v>11269</v>
      </c>
      <c r="N7424" t="s">
        <v>30</v>
      </c>
      <c r="O7424" t="s">
        <v>31</v>
      </c>
      <c r="P7424" t="str">
        <f t="shared" si="87"/>
        <v>15208</v>
      </c>
    </row>
    <row r="7425" spans="1:16" x14ac:dyDescent="0.25">
      <c r="A7425" t="str">
        <f>"1130175C00322    00"</f>
        <v>1130175C00322    00</v>
      </c>
      <c r="B7425" t="s">
        <v>16505</v>
      </c>
      <c r="C7425" t="s">
        <v>16506</v>
      </c>
      <c r="D7425" t="s">
        <v>20</v>
      </c>
      <c r="E7425" t="s">
        <v>39</v>
      </c>
      <c r="F7425">
        <v>0</v>
      </c>
      <c r="G7425">
        <v>0</v>
      </c>
      <c r="H7425">
        <v>6</v>
      </c>
      <c r="I7425" s="3">
        <v>123.3</v>
      </c>
      <c r="J7425" s="3">
        <v>30.16</v>
      </c>
      <c r="L7425">
        <v>306</v>
      </c>
      <c r="M7425" t="s">
        <v>16498</v>
      </c>
      <c r="N7425" t="s">
        <v>30</v>
      </c>
      <c r="O7425" t="s">
        <v>31</v>
      </c>
      <c r="P7425" t="str">
        <f t="shared" si="87"/>
        <v>15208</v>
      </c>
    </row>
    <row r="7426" spans="1:16" x14ac:dyDescent="0.25">
      <c r="A7426" t="str">
        <f>"1130175C00323    00"</f>
        <v>1130175C00323    00</v>
      </c>
      <c r="B7426" t="s">
        <v>16199</v>
      </c>
      <c r="C7426" t="s">
        <v>16507</v>
      </c>
      <c r="D7426" t="s">
        <v>20</v>
      </c>
      <c r="E7426" t="s">
        <v>39</v>
      </c>
      <c r="F7426">
        <v>0</v>
      </c>
      <c r="G7426">
        <v>0</v>
      </c>
      <c r="H7426">
        <v>19</v>
      </c>
      <c r="I7426" s="3">
        <v>9733.19</v>
      </c>
      <c r="J7426" s="3">
        <v>10601.65</v>
      </c>
      <c r="L7426">
        <v>705</v>
      </c>
      <c r="M7426" t="s">
        <v>12494</v>
      </c>
      <c r="N7426" t="s">
        <v>30</v>
      </c>
      <c r="O7426" t="s">
        <v>31</v>
      </c>
      <c r="P7426" t="str">
        <f t="shared" si="87"/>
        <v>15208</v>
      </c>
    </row>
    <row r="7427" spans="1:16" x14ac:dyDescent="0.25">
      <c r="A7427" t="str">
        <f>"1130175C00326    00"</f>
        <v>1130175C00326    00</v>
      </c>
      <c r="B7427" t="s">
        <v>16508</v>
      </c>
      <c r="C7427" t="s">
        <v>16495</v>
      </c>
      <c r="D7427" t="s">
        <v>20</v>
      </c>
      <c r="E7427" t="s">
        <v>39</v>
      </c>
      <c r="F7427">
        <v>0</v>
      </c>
      <c r="G7427">
        <v>0</v>
      </c>
      <c r="H7427">
        <v>12</v>
      </c>
      <c r="I7427" s="3">
        <v>614.78</v>
      </c>
      <c r="J7427" s="3">
        <v>324.99</v>
      </c>
      <c r="L7427">
        <v>316</v>
      </c>
      <c r="M7427" t="s">
        <v>16498</v>
      </c>
      <c r="N7427" t="s">
        <v>30</v>
      </c>
      <c r="O7427" t="s">
        <v>31</v>
      </c>
      <c r="P7427" t="str">
        <f t="shared" si="87"/>
        <v>15208</v>
      </c>
    </row>
    <row r="7428" spans="1:16" x14ac:dyDescent="0.25">
      <c r="A7428" t="str">
        <f>"1130175C00327    00"</f>
        <v>1130175C00327    00</v>
      </c>
      <c r="B7428" t="s">
        <v>16509</v>
      </c>
      <c r="C7428" t="s">
        <v>16495</v>
      </c>
      <c r="D7428" t="s">
        <v>20</v>
      </c>
      <c r="E7428" t="s">
        <v>39</v>
      </c>
      <c r="F7428">
        <v>0</v>
      </c>
      <c r="G7428">
        <v>0</v>
      </c>
      <c r="H7428">
        <v>17</v>
      </c>
      <c r="I7428" s="3">
        <v>1843.03</v>
      </c>
      <c r="J7428" s="3">
        <v>2473.2600000000002</v>
      </c>
      <c r="L7428">
        <v>318</v>
      </c>
      <c r="M7428" t="s">
        <v>16498</v>
      </c>
      <c r="N7428" t="s">
        <v>30</v>
      </c>
      <c r="O7428" t="s">
        <v>31</v>
      </c>
      <c r="P7428" t="str">
        <f t="shared" si="87"/>
        <v>15208</v>
      </c>
    </row>
    <row r="7429" spans="1:16" x14ac:dyDescent="0.25">
      <c r="A7429" t="str">
        <f>"1130175C00332    00"</f>
        <v>1130175C00332    00</v>
      </c>
      <c r="B7429" t="s">
        <v>9290</v>
      </c>
      <c r="C7429" t="s">
        <v>16495</v>
      </c>
      <c r="D7429" t="s">
        <v>20</v>
      </c>
      <c r="E7429" t="s">
        <v>39</v>
      </c>
      <c r="F7429">
        <v>0</v>
      </c>
      <c r="G7429">
        <v>0</v>
      </c>
      <c r="H7429">
        <v>17</v>
      </c>
      <c r="I7429" s="3">
        <v>214.95</v>
      </c>
      <c r="J7429" s="3">
        <v>227.56</v>
      </c>
      <c r="L7429">
        <v>414</v>
      </c>
      <c r="M7429" t="s">
        <v>9292</v>
      </c>
      <c r="N7429" t="s">
        <v>30</v>
      </c>
      <c r="O7429" t="s">
        <v>31</v>
      </c>
      <c r="P7429" t="str">
        <f>"15219"</f>
        <v>15219</v>
      </c>
    </row>
    <row r="7430" spans="1:16" x14ac:dyDescent="0.25">
      <c r="A7430" t="str">
        <f>"1130175C00333    00"</f>
        <v>1130175C00333    00</v>
      </c>
      <c r="B7430" t="s">
        <v>16510</v>
      </c>
      <c r="C7430" t="s">
        <v>16495</v>
      </c>
      <c r="D7430" t="s">
        <v>20</v>
      </c>
      <c r="E7430" t="s">
        <v>39</v>
      </c>
      <c r="F7430">
        <v>0</v>
      </c>
      <c r="G7430">
        <v>0</v>
      </c>
      <c r="H7430">
        <v>17</v>
      </c>
      <c r="I7430" s="3">
        <v>214.95</v>
      </c>
      <c r="J7430" s="3">
        <v>227.56</v>
      </c>
      <c r="K7430" t="s">
        <v>1008</v>
      </c>
      <c r="P7430" t="str">
        <f>""</f>
        <v/>
      </c>
    </row>
    <row r="7431" spans="1:16" x14ac:dyDescent="0.25">
      <c r="A7431" t="str">
        <f>"1130175C00334    00"</f>
        <v>1130175C00334    00</v>
      </c>
      <c r="B7431" t="s">
        <v>16511</v>
      </c>
      <c r="C7431" t="s">
        <v>16495</v>
      </c>
      <c r="E7431" t="s">
        <v>39</v>
      </c>
      <c r="F7431">
        <v>0</v>
      </c>
      <c r="G7431">
        <v>0</v>
      </c>
      <c r="H7431">
        <v>2</v>
      </c>
      <c r="I7431" s="3">
        <v>33.049999999999997</v>
      </c>
      <c r="J7431" s="3">
        <v>19.2</v>
      </c>
      <c r="L7431">
        <v>344</v>
      </c>
      <c r="M7431" t="s">
        <v>16498</v>
      </c>
      <c r="N7431" t="s">
        <v>30</v>
      </c>
      <c r="O7431" t="s">
        <v>31</v>
      </c>
      <c r="P7431" t="str">
        <f>"15208"</f>
        <v>15208</v>
      </c>
    </row>
    <row r="7432" spans="1:16" x14ac:dyDescent="0.25">
      <c r="A7432" t="str">
        <f>"1130175C00335A   00"</f>
        <v>1130175C00335A   00</v>
      </c>
      <c r="B7432" t="s">
        <v>16511</v>
      </c>
      <c r="C7432" t="s">
        <v>16495</v>
      </c>
      <c r="E7432" t="s">
        <v>39</v>
      </c>
      <c r="F7432">
        <v>0</v>
      </c>
      <c r="G7432">
        <v>0</v>
      </c>
      <c r="H7432">
        <v>2</v>
      </c>
      <c r="I7432" s="3">
        <v>18.37</v>
      </c>
      <c r="J7432" s="3">
        <v>10.68</v>
      </c>
      <c r="L7432">
        <v>344</v>
      </c>
      <c r="M7432" t="s">
        <v>16498</v>
      </c>
      <c r="N7432" t="s">
        <v>30</v>
      </c>
      <c r="O7432" t="s">
        <v>31</v>
      </c>
      <c r="P7432" t="str">
        <f>"15208"</f>
        <v>15208</v>
      </c>
    </row>
    <row r="7433" spans="1:16" x14ac:dyDescent="0.25">
      <c r="A7433" t="str">
        <f>"1130175C00338    00"</f>
        <v>1130175C00338    00</v>
      </c>
      <c r="B7433" t="s">
        <v>16512</v>
      </c>
      <c r="C7433" t="s">
        <v>16513</v>
      </c>
      <c r="D7433" t="s">
        <v>20</v>
      </c>
      <c r="E7433" t="s">
        <v>39</v>
      </c>
      <c r="F7433">
        <v>0</v>
      </c>
      <c r="G7433">
        <v>0</v>
      </c>
      <c r="H7433">
        <v>18</v>
      </c>
      <c r="I7433" s="3">
        <v>5002.93</v>
      </c>
      <c r="J7433" s="3">
        <v>4682.8599999999997</v>
      </c>
      <c r="L7433">
        <v>7810</v>
      </c>
      <c r="M7433" t="s">
        <v>16367</v>
      </c>
      <c r="N7433" t="s">
        <v>30</v>
      </c>
      <c r="O7433" t="s">
        <v>31</v>
      </c>
      <c r="P7433" t="str">
        <f>"15208"</f>
        <v>15208</v>
      </c>
    </row>
    <row r="7434" spans="1:16" x14ac:dyDescent="0.25">
      <c r="A7434" t="str">
        <f>"1130175C00339    00"</f>
        <v>1130175C00339    00</v>
      </c>
      <c r="B7434" t="s">
        <v>16514</v>
      </c>
      <c r="C7434" t="s">
        <v>16366</v>
      </c>
      <c r="D7434" t="s">
        <v>20</v>
      </c>
      <c r="E7434" t="s">
        <v>39</v>
      </c>
      <c r="F7434">
        <v>0</v>
      </c>
      <c r="G7434">
        <v>0</v>
      </c>
      <c r="H7434">
        <v>17</v>
      </c>
      <c r="I7434" s="3">
        <v>7419.8</v>
      </c>
      <c r="J7434" s="3">
        <v>10558.76</v>
      </c>
      <c r="L7434">
        <v>9343</v>
      </c>
      <c r="M7434" t="s">
        <v>16515</v>
      </c>
      <c r="N7434" t="s">
        <v>1412</v>
      </c>
      <c r="O7434" t="s">
        <v>1413</v>
      </c>
      <c r="P7434" t="str">
        <f>"28213"</f>
        <v>28213</v>
      </c>
    </row>
    <row r="7435" spans="1:16" x14ac:dyDescent="0.25">
      <c r="A7435" t="str">
        <f>"1130175C00340    00"</f>
        <v>1130175C00340    00</v>
      </c>
      <c r="B7435" t="s">
        <v>16516</v>
      </c>
      <c r="C7435" t="s">
        <v>16517</v>
      </c>
      <c r="D7435" t="s">
        <v>20</v>
      </c>
      <c r="E7435" t="s">
        <v>39</v>
      </c>
      <c r="F7435">
        <v>0</v>
      </c>
      <c r="G7435">
        <v>0</v>
      </c>
      <c r="H7435">
        <v>9</v>
      </c>
      <c r="I7435" s="3">
        <v>4310.38</v>
      </c>
      <c r="J7435" s="3">
        <v>5049.29</v>
      </c>
      <c r="L7435">
        <v>7816</v>
      </c>
      <c r="M7435" t="s">
        <v>16367</v>
      </c>
      <c r="N7435" t="s">
        <v>30</v>
      </c>
      <c r="O7435" t="s">
        <v>31</v>
      </c>
      <c r="P7435" t="str">
        <f>"15208"</f>
        <v>15208</v>
      </c>
    </row>
    <row r="7436" spans="1:16" x14ac:dyDescent="0.25">
      <c r="A7436" t="str">
        <f>"1130175C00341    00"</f>
        <v>1130175C00341    00</v>
      </c>
      <c r="B7436" t="s">
        <v>16518</v>
      </c>
      <c r="C7436" t="s">
        <v>16366</v>
      </c>
      <c r="D7436" t="s">
        <v>20</v>
      </c>
      <c r="E7436" t="s">
        <v>39</v>
      </c>
      <c r="F7436">
        <v>0</v>
      </c>
      <c r="G7436">
        <v>0</v>
      </c>
      <c r="H7436">
        <v>13</v>
      </c>
      <c r="I7436" s="3">
        <v>995.33</v>
      </c>
      <c r="J7436" s="3">
        <v>1253.74</v>
      </c>
      <c r="L7436">
        <v>1765</v>
      </c>
      <c r="M7436" t="s">
        <v>16519</v>
      </c>
      <c r="N7436" t="s">
        <v>16520</v>
      </c>
      <c r="O7436" t="s">
        <v>1413</v>
      </c>
      <c r="P7436" t="str">
        <f>"27252"</f>
        <v>27252</v>
      </c>
    </row>
    <row r="7437" spans="1:16" x14ac:dyDescent="0.25">
      <c r="A7437" t="str">
        <f>"1130175C00342    00"</f>
        <v>1130175C00342    00</v>
      </c>
      <c r="B7437" t="s">
        <v>8385</v>
      </c>
      <c r="C7437" t="s">
        <v>16521</v>
      </c>
      <c r="D7437" t="s">
        <v>20</v>
      </c>
      <c r="E7437" t="s">
        <v>21</v>
      </c>
      <c r="F7437">
        <v>0</v>
      </c>
      <c r="G7437">
        <v>0</v>
      </c>
      <c r="H7437">
        <v>19</v>
      </c>
      <c r="I7437" s="3">
        <v>30658.49</v>
      </c>
      <c r="J7437" s="3">
        <v>28511.58</v>
      </c>
      <c r="M7437" t="s">
        <v>16522</v>
      </c>
      <c r="N7437" t="s">
        <v>295</v>
      </c>
      <c r="O7437" t="s">
        <v>31</v>
      </c>
      <c r="P7437" t="str">
        <f>"15146"</f>
        <v>15146</v>
      </c>
    </row>
    <row r="7438" spans="1:16" x14ac:dyDescent="0.25">
      <c r="A7438" t="str">
        <f>"1130175C00345    00"</f>
        <v>1130175C00345    00</v>
      </c>
      <c r="B7438" t="s">
        <v>12570</v>
      </c>
      <c r="C7438" t="s">
        <v>16523</v>
      </c>
      <c r="D7438" t="s">
        <v>20</v>
      </c>
      <c r="E7438" t="s">
        <v>21</v>
      </c>
      <c r="F7438">
        <v>0</v>
      </c>
      <c r="G7438">
        <v>0</v>
      </c>
      <c r="H7438">
        <v>1</v>
      </c>
      <c r="I7438" s="3">
        <v>1143.6199999999999</v>
      </c>
      <c r="J7438" s="3">
        <v>0</v>
      </c>
      <c r="K7438" t="s">
        <v>12572</v>
      </c>
      <c r="L7438">
        <v>46</v>
      </c>
      <c r="M7438" t="s">
        <v>913</v>
      </c>
      <c r="N7438" t="s">
        <v>914</v>
      </c>
      <c r="O7438" t="s">
        <v>200</v>
      </c>
      <c r="P7438" t="str">
        <f>"10952"</f>
        <v>10952</v>
      </c>
    </row>
    <row r="7439" spans="1:16" x14ac:dyDescent="0.25">
      <c r="A7439" t="str">
        <f>"1130175C00352    00"</f>
        <v>1130175C00352    00</v>
      </c>
      <c r="B7439" t="s">
        <v>16524</v>
      </c>
      <c r="C7439" t="s">
        <v>16525</v>
      </c>
      <c r="D7439" t="s">
        <v>20</v>
      </c>
      <c r="E7439" t="s">
        <v>39</v>
      </c>
      <c r="F7439">
        <v>0</v>
      </c>
      <c r="G7439">
        <v>0</v>
      </c>
      <c r="H7439">
        <v>14</v>
      </c>
      <c r="I7439" s="3">
        <v>6598.41</v>
      </c>
      <c r="J7439" s="3">
        <v>4397.33</v>
      </c>
      <c r="M7439" t="s">
        <v>16526</v>
      </c>
      <c r="N7439" t="s">
        <v>30</v>
      </c>
      <c r="O7439" t="s">
        <v>31</v>
      </c>
      <c r="P7439" t="str">
        <f>"15208"</f>
        <v>15208</v>
      </c>
    </row>
    <row r="7440" spans="1:16" x14ac:dyDescent="0.25">
      <c r="A7440" t="str">
        <f>"1130175C00353    00"</f>
        <v>1130175C00353    00</v>
      </c>
      <c r="B7440" t="s">
        <v>16527</v>
      </c>
      <c r="C7440" t="s">
        <v>16528</v>
      </c>
      <c r="E7440" t="s">
        <v>39</v>
      </c>
      <c r="F7440">
        <v>0</v>
      </c>
      <c r="G7440">
        <v>0</v>
      </c>
      <c r="H7440">
        <v>13</v>
      </c>
      <c r="I7440" s="3">
        <v>5454.03</v>
      </c>
      <c r="J7440" s="3">
        <v>4799.17</v>
      </c>
      <c r="L7440">
        <v>7718</v>
      </c>
      <c r="M7440" t="s">
        <v>11435</v>
      </c>
      <c r="N7440" t="s">
        <v>30</v>
      </c>
      <c r="O7440" t="s">
        <v>31</v>
      </c>
      <c r="P7440" t="str">
        <f>"15208"</f>
        <v>15208</v>
      </c>
    </row>
    <row r="7441" spans="1:16" x14ac:dyDescent="0.25">
      <c r="A7441" t="str">
        <f>"1130175C00355    00"</f>
        <v>1130175C00355    00</v>
      </c>
      <c r="B7441" t="s">
        <v>16529</v>
      </c>
      <c r="C7441" t="s">
        <v>16530</v>
      </c>
      <c r="E7441" t="s">
        <v>39</v>
      </c>
      <c r="F7441">
        <v>0</v>
      </c>
      <c r="G7441">
        <v>0</v>
      </c>
      <c r="H7441">
        <v>1</v>
      </c>
      <c r="I7441" s="3">
        <v>27.38</v>
      </c>
      <c r="J7441" s="3">
        <v>8.2200000000000006</v>
      </c>
      <c r="L7441">
        <v>7712</v>
      </c>
      <c r="M7441" t="s">
        <v>11435</v>
      </c>
      <c r="N7441" t="s">
        <v>30</v>
      </c>
      <c r="O7441" t="s">
        <v>31</v>
      </c>
      <c r="P7441" t="str">
        <f>"15208"</f>
        <v>15208</v>
      </c>
    </row>
    <row r="7442" spans="1:16" x14ac:dyDescent="0.25">
      <c r="A7442" t="str">
        <f>"1130175C00372    00"</f>
        <v>1130175C00372    00</v>
      </c>
      <c r="B7442" t="s">
        <v>16531</v>
      </c>
      <c r="C7442" t="s">
        <v>16532</v>
      </c>
      <c r="E7442" t="s">
        <v>39</v>
      </c>
      <c r="F7442">
        <v>0</v>
      </c>
      <c r="G7442">
        <v>0</v>
      </c>
      <c r="H7442">
        <v>1</v>
      </c>
      <c r="I7442" s="3">
        <v>286.33</v>
      </c>
      <c r="J7442" s="3">
        <v>0</v>
      </c>
      <c r="L7442">
        <v>7803</v>
      </c>
      <c r="M7442" t="s">
        <v>11435</v>
      </c>
      <c r="N7442" t="s">
        <v>30</v>
      </c>
      <c r="O7442" t="s">
        <v>31</v>
      </c>
      <c r="P7442" t="str">
        <f>"15208"</f>
        <v>15208</v>
      </c>
    </row>
    <row r="7443" spans="1:16" x14ac:dyDescent="0.25">
      <c r="A7443" t="str">
        <f>"1130175C00373    00"</f>
        <v>1130175C00373    00</v>
      </c>
      <c r="B7443" t="s">
        <v>12570</v>
      </c>
      <c r="C7443" t="s">
        <v>16533</v>
      </c>
      <c r="D7443" t="s">
        <v>20</v>
      </c>
      <c r="E7443" t="s">
        <v>39</v>
      </c>
      <c r="F7443">
        <v>0</v>
      </c>
      <c r="G7443">
        <v>0</v>
      </c>
      <c r="H7443">
        <v>1</v>
      </c>
      <c r="I7443" s="3">
        <v>228.74</v>
      </c>
      <c r="J7443" s="3">
        <v>0</v>
      </c>
      <c r="K7443" t="s">
        <v>12572</v>
      </c>
      <c r="L7443">
        <v>46</v>
      </c>
      <c r="M7443" t="s">
        <v>913</v>
      </c>
      <c r="N7443" t="s">
        <v>914</v>
      </c>
      <c r="O7443" t="s">
        <v>200</v>
      </c>
      <c r="P7443" t="str">
        <f>"10952"</f>
        <v>10952</v>
      </c>
    </row>
    <row r="7444" spans="1:16" x14ac:dyDescent="0.25">
      <c r="A7444" t="str">
        <f>"1130175C00377    00"</f>
        <v>1130175C00377    00</v>
      </c>
      <c r="B7444" t="s">
        <v>12570</v>
      </c>
      <c r="C7444" t="s">
        <v>16534</v>
      </c>
      <c r="D7444" t="s">
        <v>20</v>
      </c>
      <c r="E7444" t="s">
        <v>39</v>
      </c>
      <c r="F7444">
        <v>0</v>
      </c>
      <c r="G7444">
        <v>0</v>
      </c>
      <c r="H7444">
        <v>1</v>
      </c>
      <c r="I7444" s="3">
        <v>228.74</v>
      </c>
      <c r="J7444" s="3">
        <v>0</v>
      </c>
      <c r="K7444" t="s">
        <v>12572</v>
      </c>
      <c r="L7444">
        <v>46</v>
      </c>
      <c r="M7444" t="s">
        <v>913</v>
      </c>
      <c r="N7444" t="s">
        <v>914</v>
      </c>
      <c r="O7444" t="s">
        <v>200</v>
      </c>
      <c r="P7444" t="str">
        <f>"10952"</f>
        <v>10952</v>
      </c>
    </row>
    <row r="7445" spans="1:16" x14ac:dyDescent="0.25">
      <c r="A7445" t="str">
        <f>"1130175D00001    00"</f>
        <v>1130175D00001    00</v>
      </c>
      <c r="B7445" t="s">
        <v>11940</v>
      </c>
      <c r="C7445" t="s">
        <v>12646</v>
      </c>
      <c r="D7445" t="s">
        <v>20</v>
      </c>
      <c r="E7445" t="s">
        <v>39</v>
      </c>
      <c r="F7445">
        <v>0</v>
      </c>
      <c r="G7445">
        <v>0</v>
      </c>
      <c r="H7445">
        <v>17</v>
      </c>
      <c r="I7445" s="3">
        <v>245.82</v>
      </c>
      <c r="J7445" s="3">
        <v>288.58999999999997</v>
      </c>
      <c r="L7445">
        <v>7423</v>
      </c>
      <c r="M7445" t="s">
        <v>12192</v>
      </c>
      <c r="N7445" t="s">
        <v>30</v>
      </c>
      <c r="O7445" t="s">
        <v>31</v>
      </c>
      <c r="P7445" t="str">
        <f>"15208"</f>
        <v>15208</v>
      </c>
    </row>
    <row r="7446" spans="1:16" x14ac:dyDescent="0.25">
      <c r="A7446" t="str">
        <f>"1130175D00014    00"</f>
        <v>1130175D00014    00</v>
      </c>
      <c r="B7446" t="s">
        <v>16535</v>
      </c>
      <c r="C7446" t="s">
        <v>16366</v>
      </c>
      <c r="D7446" t="s">
        <v>20</v>
      </c>
      <c r="E7446" t="s">
        <v>39</v>
      </c>
      <c r="F7446">
        <v>0</v>
      </c>
      <c r="G7446">
        <v>0</v>
      </c>
      <c r="H7446">
        <v>14</v>
      </c>
      <c r="I7446" s="3">
        <v>1521.29</v>
      </c>
      <c r="J7446" s="3">
        <v>1637.74</v>
      </c>
      <c r="L7446">
        <v>7847</v>
      </c>
      <c r="M7446" t="s">
        <v>16367</v>
      </c>
      <c r="N7446" t="s">
        <v>30</v>
      </c>
      <c r="O7446" t="s">
        <v>31</v>
      </c>
      <c r="P7446" t="str">
        <f>"15208"</f>
        <v>15208</v>
      </c>
    </row>
    <row r="7447" spans="1:16" x14ac:dyDescent="0.25">
      <c r="A7447" t="str">
        <f>"1130175D00018    00"</f>
        <v>1130175D00018    00</v>
      </c>
      <c r="B7447" t="s">
        <v>14261</v>
      </c>
      <c r="C7447" t="s">
        <v>16228</v>
      </c>
      <c r="D7447" t="s">
        <v>20</v>
      </c>
      <c r="E7447" t="s">
        <v>39</v>
      </c>
      <c r="F7447">
        <v>0</v>
      </c>
      <c r="G7447">
        <v>0</v>
      </c>
      <c r="H7447">
        <v>17</v>
      </c>
      <c r="I7447" s="3">
        <v>245.82</v>
      </c>
      <c r="J7447" s="3">
        <v>288.58999999999997</v>
      </c>
      <c r="M7447" t="s">
        <v>16536</v>
      </c>
      <c r="N7447" t="s">
        <v>30</v>
      </c>
      <c r="O7447" t="s">
        <v>31</v>
      </c>
      <c r="P7447" t="str">
        <f>"15208"</f>
        <v>15208</v>
      </c>
    </row>
    <row r="7448" spans="1:16" x14ac:dyDescent="0.25">
      <c r="A7448" t="str">
        <f>"1130175D00019    00"</f>
        <v>1130175D00019    00</v>
      </c>
      <c r="B7448" t="s">
        <v>16537</v>
      </c>
      <c r="C7448" t="s">
        <v>16228</v>
      </c>
      <c r="D7448" t="s">
        <v>20</v>
      </c>
      <c r="E7448" t="s">
        <v>39</v>
      </c>
      <c r="F7448">
        <v>0</v>
      </c>
      <c r="G7448">
        <v>0</v>
      </c>
      <c r="H7448">
        <v>19</v>
      </c>
      <c r="I7448" s="3">
        <v>1716.39</v>
      </c>
      <c r="J7448" s="3">
        <v>1852.05</v>
      </c>
      <c r="P7448" t="str">
        <f>""</f>
        <v/>
      </c>
    </row>
    <row r="7449" spans="1:16" x14ac:dyDescent="0.25">
      <c r="A7449" t="str">
        <f>"1130175D00021    00"</f>
        <v>1130175D00021    00</v>
      </c>
      <c r="B7449" t="s">
        <v>16538</v>
      </c>
      <c r="C7449" t="s">
        <v>16228</v>
      </c>
      <c r="D7449" t="s">
        <v>20</v>
      </c>
      <c r="E7449" t="s">
        <v>39</v>
      </c>
      <c r="F7449">
        <v>0</v>
      </c>
      <c r="G7449">
        <v>0</v>
      </c>
      <c r="H7449">
        <v>19</v>
      </c>
      <c r="I7449" s="3">
        <v>351.08</v>
      </c>
      <c r="J7449" s="3">
        <v>365.58</v>
      </c>
      <c r="K7449" t="s">
        <v>1008</v>
      </c>
      <c r="P7449" t="str">
        <f>""</f>
        <v/>
      </c>
    </row>
    <row r="7450" spans="1:16" x14ac:dyDescent="0.25">
      <c r="A7450" t="str">
        <f>"1130175D00023    00"</f>
        <v>1130175D00023    00</v>
      </c>
      <c r="B7450" t="s">
        <v>16539</v>
      </c>
      <c r="C7450" t="s">
        <v>16540</v>
      </c>
      <c r="D7450" t="s">
        <v>20</v>
      </c>
      <c r="E7450" t="s">
        <v>21</v>
      </c>
      <c r="F7450">
        <v>0</v>
      </c>
      <c r="G7450">
        <v>0</v>
      </c>
      <c r="H7450">
        <v>4</v>
      </c>
      <c r="I7450" s="3">
        <v>4360.24</v>
      </c>
      <c r="J7450" s="3">
        <v>574.13</v>
      </c>
      <c r="M7450" t="s">
        <v>16541</v>
      </c>
      <c r="N7450" t="s">
        <v>30</v>
      </c>
      <c r="O7450" t="s">
        <v>31</v>
      </c>
      <c r="P7450" t="str">
        <f>"15238"</f>
        <v>15238</v>
      </c>
    </row>
    <row r="7451" spans="1:16" x14ac:dyDescent="0.25">
      <c r="A7451" t="str">
        <f>"1130175D00036    00"</f>
        <v>1130175D00036    00</v>
      </c>
      <c r="B7451" t="s">
        <v>16542</v>
      </c>
      <c r="C7451" t="s">
        <v>16366</v>
      </c>
      <c r="D7451" t="s">
        <v>20</v>
      </c>
      <c r="E7451" t="s">
        <v>39</v>
      </c>
      <c r="F7451">
        <v>0</v>
      </c>
      <c r="G7451">
        <v>0</v>
      </c>
      <c r="H7451">
        <v>17</v>
      </c>
      <c r="I7451" s="3">
        <v>202.97</v>
      </c>
      <c r="J7451" s="3">
        <v>243.18</v>
      </c>
      <c r="L7451">
        <v>2922</v>
      </c>
      <c r="M7451" t="s">
        <v>16543</v>
      </c>
      <c r="N7451" t="s">
        <v>2187</v>
      </c>
      <c r="O7451" t="s">
        <v>31</v>
      </c>
      <c r="P7451" t="str">
        <f>"15132"</f>
        <v>15132</v>
      </c>
    </row>
    <row r="7452" spans="1:16" x14ac:dyDescent="0.25">
      <c r="A7452" t="str">
        <f>"1130175D00037    00"</f>
        <v>1130175D00037    00</v>
      </c>
      <c r="B7452" t="s">
        <v>16544</v>
      </c>
      <c r="C7452" t="s">
        <v>16366</v>
      </c>
      <c r="D7452" t="s">
        <v>20</v>
      </c>
      <c r="E7452" t="s">
        <v>39</v>
      </c>
      <c r="F7452">
        <v>0</v>
      </c>
      <c r="G7452">
        <v>0</v>
      </c>
      <c r="H7452">
        <v>17</v>
      </c>
      <c r="I7452" s="3">
        <v>202.97</v>
      </c>
      <c r="J7452" s="3">
        <v>243.18</v>
      </c>
      <c r="K7452" t="s">
        <v>1008</v>
      </c>
      <c r="P7452" t="str">
        <f>""</f>
        <v/>
      </c>
    </row>
    <row r="7453" spans="1:16" x14ac:dyDescent="0.25">
      <c r="A7453" t="str">
        <f>"1130175D00058    00"</f>
        <v>1130175D00058    00</v>
      </c>
      <c r="B7453" t="s">
        <v>16545</v>
      </c>
      <c r="C7453" t="s">
        <v>12651</v>
      </c>
      <c r="D7453" t="s">
        <v>20</v>
      </c>
      <c r="E7453" t="s">
        <v>39</v>
      </c>
      <c r="F7453">
        <v>0</v>
      </c>
      <c r="G7453">
        <v>0</v>
      </c>
      <c r="H7453">
        <v>19</v>
      </c>
      <c r="I7453" s="3">
        <v>1614.7</v>
      </c>
      <c r="J7453" s="3">
        <v>1153.6500000000001</v>
      </c>
      <c r="K7453" t="s">
        <v>1008</v>
      </c>
      <c r="P7453" t="str">
        <f>""</f>
        <v/>
      </c>
    </row>
    <row r="7454" spans="1:16" x14ac:dyDescent="0.25">
      <c r="A7454" t="str">
        <f>"1130175D00065    00"</f>
        <v>1130175D00065    00</v>
      </c>
      <c r="B7454" t="s">
        <v>16546</v>
      </c>
      <c r="C7454" t="s">
        <v>16457</v>
      </c>
      <c r="D7454" t="s">
        <v>20</v>
      </c>
      <c r="E7454" t="s">
        <v>39</v>
      </c>
      <c r="F7454">
        <v>0</v>
      </c>
      <c r="G7454">
        <v>0</v>
      </c>
      <c r="H7454">
        <v>17</v>
      </c>
      <c r="I7454" s="3">
        <v>270.33</v>
      </c>
      <c r="J7454" s="3">
        <v>329.54</v>
      </c>
      <c r="K7454" t="s">
        <v>1037</v>
      </c>
      <c r="L7454">
        <v>11748</v>
      </c>
      <c r="M7454" t="s">
        <v>11939</v>
      </c>
      <c r="N7454" t="s">
        <v>30</v>
      </c>
      <c r="O7454" t="s">
        <v>31</v>
      </c>
      <c r="P7454" t="str">
        <f>"15235"</f>
        <v>15235</v>
      </c>
    </row>
    <row r="7455" spans="1:16" x14ac:dyDescent="0.25">
      <c r="A7455" t="str">
        <f>"1130175D00066    00"</f>
        <v>1130175D00066    00</v>
      </c>
      <c r="B7455" t="s">
        <v>16546</v>
      </c>
      <c r="C7455" t="s">
        <v>16457</v>
      </c>
      <c r="D7455" t="s">
        <v>20</v>
      </c>
      <c r="E7455" t="s">
        <v>39</v>
      </c>
      <c r="F7455">
        <v>0</v>
      </c>
      <c r="G7455">
        <v>0</v>
      </c>
      <c r="H7455">
        <v>17</v>
      </c>
      <c r="I7455" s="3">
        <v>270.33</v>
      </c>
      <c r="J7455" s="3">
        <v>329.54</v>
      </c>
      <c r="K7455" t="s">
        <v>1037</v>
      </c>
      <c r="L7455">
        <v>11748</v>
      </c>
      <c r="M7455" t="s">
        <v>11939</v>
      </c>
      <c r="N7455" t="s">
        <v>30</v>
      </c>
      <c r="O7455" t="s">
        <v>31</v>
      </c>
      <c r="P7455" t="str">
        <f>"15235"</f>
        <v>15235</v>
      </c>
    </row>
    <row r="7456" spans="1:16" x14ac:dyDescent="0.25">
      <c r="A7456" t="str">
        <f>"1130175D00067    00"</f>
        <v>1130175D00067    00</v>
      </c>
      <c r="B7456" t="s">
        <v>16547</v>
      </c>
      <c r="C7456" t="s">
        <v>16457</v>
      </c>
      <c r="D7456" t="s">
        <v>20</v>
      </c>
      <c r="E7456" t="s">
        <v>39</v>
      </c>
      <c r="F7456">
        <v>0</v>
      </c>
      <c r="G7456">
        <v>0</v>
      </c>
      <c r="H7456">
        <v>17</v>
      </c>
      <c r="I7456" s="3">
        <v>2652.21</v>
      </c>
      <c r="J7456" s="3">
        <v>4549.51</v>
      </c>
      <c r="L7456">
        <v>169</v>
      </c>
      <c r="M7456" t="s">
        <v>11273</v>
      </c>
      <c r="N7456" t="s">
        <v>1046</v>
      </c>
      <c r="O7456" t="s">
        <v>31</v>
      </c>
      <c r="P7456" t="str">
        <f>"15147"</f>
        <v>15147</v>
      </c>
    </row>
    <row r="7457" spans="1:16" x14ac:dyDescent="0.25">
      <c r="A7457" t="str">
        <f>"1130175D00068    00"</f>
        <v>1130175D00068    00</v>
      </c>
      <c r="B7457" t="s">
        <v>11858</v>
      </c>
      <c r="C7457" t="s">
        <v>16457</v>
      </c>
      <c r="D7457" t="s">
        <v>20</v>
      </c>
      <c r="E7457" t="s">
        <v>39</v>
      </c>
      <c r="F7457">
        <v>0</v>
      </c>
      <c r="G7457">
        <v>0</v>
      </c>
      <c r="H7457">
        <v>1</v>
      </c>
      <c r="I7457" s="3">
        <v>53.37</v>
      </c>
      <c r="J7457" s="3">
        <v>0</v>
      </c>
      <c r="K7457" t="s">
        <v>11860</v>
      </c>
      <c r="L7457">
        <v>46</v>
      </c>
      <c r="M7457" t="s">
        <v>913</v>
      </c>
      <c r="N7457" t="s">
        <v>914</v>
      </c>
      <c r="O7457" t="s">
        <v>200</v>
      </c>
      <c r="P7457" t="str">
        <f>"10952"</f>
        <v>10952</v>
      </c>
    </row>
    <row r="7458" spans="1:16" x14ac:dyDescent="0.25">
      <c r="A7458" t="str">
        <f>"1130175D00071    00"</f>
        <v>1130175D00071    00</v>
      </c>
      <c r="B7458" t="s">
        <v>16548</v>
      </c>
      <c r="C7458" t="s">
        <v>16457</v>
      </c>
      <c r="D7458" t="s">
        <v>20</v>
      </c>
      <c r="E7458" t="s">
        <v>39</v>
      </c>
      <c r="F7458">
        <v>0</v>
      </c>
      <c r="G7458">
        <v>0</v>
      </c>
      <c r="H7458">
        <v>17</v>
      </c>
      <c r="I7458" s="3">
        <v>2133.09</v>
      </c>
      <c r="J7458" s="3">
        <v>2961.79</v>
      </c>
      <c r="L7458">
        <v>7130</v>
      </c>
      <c r="M7458" t="s">
        <v>16549</v>
      </c>
      <c r="N7458" t="s">
        <v>30</v>
      </c>
      <c r="O7458" t="s">
        <v>31</v>
      </c>
      <c r="P7458" t="str">
        <f>"15208"</f>
        <v>15208</v>
      </c>
    </row>
    <row r="7459" spans="1:16" x14ac:dyDescent="0.25">
      <c r="A7459" t="str">
        <f>"1130175D00071A   00"</f>
        <v>1130175D00071A   00</v>
      </c>
      <c r="B7459" t="s">
        <v>16550</v>
      </c>
      <c r="C7459" t="s">
        <v>16457</v>
      </c>
      <c r="D7459" t="s">
        <v>20</v>
      </c>
      <c r="E7459" t="s">
        <v>39</v>
      </c>
      <c r="F7459">
        <v>0</v>
      </c>
      <c r="G7459">
        <v>0</v>
      </c>
      <c r="H7459">
        <v>16</v>
      </c>
      <c r="I7459" s="3">
        <v>867.82</v>
      </c>
      <c r="J7459" s="3">
        <v>1492.64</v>
      </c>
      <c r="L7459">
        <v>8921</v>
      </c>
      <c r="M7459" t="s">
        <v>11939</v>
      </c>
      <c r="N7459" t="s">
        <v>30</v>
      </c>
      <c r="O7459" t="s">
        <v>31</v>
      </c>
      <c r="P7459" t="str">
        <f>"15235"</f>
        <v>15235</v>
      </c>
    </row>
    <row r="7460" spans="1:16" x14ac:dyDescent="0.25">
      <c r="A7460" t="str">
        <f>"1130175D00109    00"</f>
        <v>1130175D00109    00</v>
      </c>
      <c r="B7460" t="s">
        <v>16551</v>
      </c>
      <c r="C7460" t="s">
        <v>16552</v>
      </c>
      <c r="E7460" t="s">
        <v>39</v>
      </c>
      <c r="F7460">
        <v>0</v>
      </c>
      <c r="G7460">
        <v>0</v>
      </c>
      <c r="H7460">
        <v>1</v>
      </c>
      <c r="I7460" s="3">
        <v>598.48</v>
      </c>
      <c r="J7460" s="3">
        <v>119.69</v>
      </c>
      <c r="K7460" t="s">
        <v>16553</v>
      </c>
      <c r="M7460" t="s">
        <v>16554</v>
      </c>
      <c r="N7460" t="s">
        <v>30</v>
      </c>
      <c r="O7460" t="s">
        <v>31</v>
      </c>
      <c r="P7460" t="str">
        <f>"15230"</f>
        <v>15230</v>
      </c>
    </row>
    <row r="7461" spans="1:16" x14ac:dyDescent="0.25">
      <c r="A7461" t="str">
        <f>"1130175D00117    00"</f>
        <v>1130175D00117    00</v>
      </c>
      <c r="B7461" t="s">
        <v>16555</v>
      </c>
      <c r="C7461" t="s">
        <v>16556</v>
      </c>
      <c r="D7461" t="s">
        <v>20</v>
      </c>
      <c r="E7461" t="s">
        <v>39</v>
      </c>
      <c r="F7461">
        <v>0</v>
      </c>
      <c r="G7461">
        <v>0</v>
      </c>
      <c r="H7461">
        <v>1</v>
      </c>
      <c r="I7461" s="3">
        <v>230.64</v>
      </c>
      <c r="J7461" s="3">
        <v>0</v>
      </c>
      <c r="L7461">
        <v>125</v>
      </c>
      <c r="M7461" t="s">
        <v>6030</v>
      </c>
      <c r="N7461" t="s">
        <v>6603</v>
      </c>
      <c r="O7461" t="s">
        <v>31</v>
      </c>
      <c r="P7461" t="str">
        <f>"15122"</f>
        <v>15122</v>
      </c>
    </row>
    <row r="7462" spans="1:16" x14ac:dyDescent="0.25">
      <c r="A7462" t="str">
        <f>"1130175D00120    00"</f>
        <v>1130175D00120    00</v>
      </c>
      <c r="B7462" t="s">
        <v>11729</v>
      </c>
      <c r="C7462" t="s">
        <v>16228</v>
      </c>
      <c r="D7462" t="s">
        <v>20</v>
      </c>
      <c r="E7462" t="s">
        <v>39</v>
      </c>
      <c r="F7462">
        <v>0</v>
      </c>
      <c r="G7462">
        <v>0</v>
      </c>
      <c r="H7462">
        <v>19</v>
      </c>
      <c r="I7462" s="3">
        <v>5228.32</v>
      </c>
      <c r="J7462" s="3">
        <v>6971.61</v>
      </c>
      <c r="L7462">
        <v>601</v>
      </c>
      <c r="M7462" t="s">
        <v>16557</v>
      </c>
      <c r="N7462" t="s">
        <v>16558</v>
      </c>
      <c r="O7462" t="s">
        <v>370</v>
      </c>
      <c r="P7462" t="str">
        <f>"33317"</f>
        <v>33317</v>
      </c>
    </row>
    <row r="7463" spans="1:16" x14ac:dyDescent="0.25">
      <c r="A7463" t="str">
        <f>"1130175D00123    00"</f>
        <v>1130175D00123    00</v>
      </c>
      <c r="B7463" t="s">
        <v>16559</v>
      </c>
      <c r="C7463" t="s">
        <v>16560</v>
      </c>
      <c r="D7463" t="s">
        <v>20</v>
      </c>
      <c r="E7463" t="s">
        <v>39</v>
      </c>
      <c r="F7463">
        <v>0</v>
      </c>
      <c r="G7463">
        <v>0</v>
      </c>
      <c r="H7463">
        <v>19</v>
      </c>
      <c r="I7463" s="3">
        <v>3794.61</v>
      </c>
      <c r="J7463" s="3">
        <v>4841.79</v>
      </c>
      <c r="P7463" t="str">
        <f>""</f>
        <v/>
      </c>
    </row>
    <row r="7464" spans="1:16" x14ac:dyDescent="0.25">
      <c r="A7464" t="str">
        <f>"1130175D00124    00"</f>
        <v>1130175D00124    00</v>
      </c>
      <c r="B7464" t="s">
        <v>16561</v>
      </c>
      <c r="C7464" t="s">
        <v>16228</v>
      </c>
      <c r="D7464" t="s">
        <v>20</v>
      </c>
      <c r="E7464" t="s">
        <v>39</v>
      </c>
      <c r="F7464">
        <v>0</v>
      </c>
      <c r="G7464">
        <v>0</v>
      </c>
      <c r="H7464">
        <v>9</v>
      </c>
      <c r="I7464" s="3">
        <v>82.96</v>
      </c>
      <c r="J7464" s="3">
        <v>119.47</v>
      </c>
      <c r="K7464" t="s">
        <v>13562</v>
      </c>
      <c r="P7464" t="str">
        <f>"10000"</f>
        <v>10000</v>
      </c>
    </row>
    <row r="7465" spans="1:16" x14ac:dyDescent="0.25">
      <c r="A7465" t="str">
        <f>"1130175D00125    00"</f>
        <v>1130175D00125    00</v>
      </c>
      <c r="B7465" t="s">
        <v>16562</v>
      </c>
      <c r="C7465" t="s">
        <v>16560</v>
      </c>
      <c r="D7465" t="s">
        <v>20</v>
      </c>
      <c r="E7465" t="s">
        <v>39</v>
      </c>
      <c r="F7465">
        <v>0</v>
      </c>
      <c r="G7465">
        <v>0</v>
      </c>
      <c r="H7465">
        <v>14</v>
      </c>
      <c r="I7465" s="3">
        <v>4201.95</v>
      </c>
      <c r="J7465" s="3">
        <v>4719.25</v>
      </c>
      <c r="L7465">
        <v>204</v>
      </c>
      <c r="M7465" t="s">
        <v>7241</v>
      </c>
      <c r="N7465" t="s">
        <v>30</v>
      </c>
      <c r="O7465" t="s">
        <v>31</v>
      </c>
      <c r="P7465" t="str">
        <f>"15206"</f>
        <v>15206</v>
      </c>
    </row>
    <row r="7466" spans="1:16" x14ac:dyDescent="0.25">
      <c r="A7466" t="str">
        <f>"1130175D00126    00"</f>
        <v>1130175D00126    00</v>
      </c>
      <c r="B7466" t="s">
        <v>16563</v>
      </c>
      <c r="C7466" t="s">
        <v>16560</v>
      </c>
      <c r="D7466" t="s">
        <v>20</v>
      </c>
      <c r="E7466" t="s">
        <v>39</v>
      </c>
      <c r="F7466">
        <v>0</v>
      </c>
      <c r="G7466">
        <v>0</v>
      </c>
      <c r="H7466">
        <v>12</v>
      </c>
      <c r="I7466" s="3">
        <v>746.48</v>
      </c>
      <c r="J7466" s="3">
        <v>394.64</v>
      </c>
      <c r="L7466">
        <v>7939</v>
      </c>
      <c r="M7466" t="s">
        <v>13544</v>
      </c>
      <c r="N7466" t="s">
        <v>30</v>
      </c>
      <c r="O7466" t="s">
        <v>31</v>
      </c>
      <c r="P7466" t="str">
        <f>"15208"</f>
        <v>15208</v>
      </c>
    </row>
    <row r="7467" spans="1:16" x14ac:dyDescent="0.25">
      <c r="A7467" t="str">
        <f>"1130175D00127    00"</f>
        <v>1130175D00127    00</v>
      </c>
      <c r="B7467" t="s">
        <v>2691</v>
      </c>
      <c r="C7467" t="s">
        <v>16560</v>
      </c>
      <c r="D7467" t="s">
        <v>20</v>
      </c>
      <c r="E7467" t="s">
        <v>39</v>
      </c>
      <c r="F7467">
        <v>0</v>
      </c>
      <c r="G7467">
        <v>0</v>
      </c>
      <c r="H7467">
        <v>19</v>
      </c>
      <c r="I7467" s="3">
        <v>326.35000000000002</v>
      </c>
      <c r="J7467" s="3">
        <v>329.95</v>
      </c>
      <c r="K7467" t="s">
        <v>1008</v>
      </c>
      <c r="P7467" t="str">
        <f>""</f>
        <v/>
      </c>
    </row>
    <row r="7468" spans="1:16" x14ac:dyDescent="0.25">
      <c r="A7468" t="str">
        <f>"1130175D00128    00"</f>
        <v>1130175D00128    00</v>
      </c>
      <c r="B7468" t="s">
        <v>16564</v>
      </c>
      <c r="C7468" t="s">
        <v>16560</v>
      </c>
      <c r="D7468" t="s">
        <v>20</v>
      </c>
      <c r="E7468" t="s">
        <v>39</v>
      </c>
      <c r="F7468">
        <v>0</v>
      </c>
      <c r="G7468">
        <v>0</v>
      </c>
      <c r="H7468">
        <v>18</v>
      </c>
      <c r="I7468" s="3">
        <v>2806.08</v>
      </c>
      <c r="J7468" s="3">
        <v>3517.09</v>
      </c>
      <c r="L7468">
        <v>19660</v>
      </c>
      <c r="M7468" t="s">
        <v>16565</v>
      </c>
      <c r="N7468" t="s">
        <v>16566</v>
      </c>
      <c r="O7468" t="s">
        <v>4718</v>
      </c>
      <c r="P7468" t="str">
        <f>"55330"</f>
        <v>55330</v>
      </c>
    </row>
    <row r="7469" spans="1:16" x14ac:dyDescent="0.25">
      <c r="A7469" t="str">
        <f>"1130175D00129    00"</f>
        <v>1130175D00129    00</v>
      </c>
      <c r="B7469" t="s">
        <v>16567</v>
      </c>
      <c r="C7469" t="s">
        <v>16560</v>
      </c>
      <c r="D7469" t="s">
        <v>20</v>
      </c>
      <c r="E7469" t="s">
        <v>39</v>
      </c>
      <c r="F7469">
        <v>0</v>
      </c>
      <c r="G7469">
        <v>0</v>
      </c>
      <c r="H7469">
        <v>19</v>
      </c>
      <c r="I7469" s="3">
        <v>3475.95</v>
      </c>
      <c r="J7469" s="3">
        <v>4643.3900000000003</v>
      </c>
      <c r="L7469">
        <v>7933</v>
      </c>
      <c r="M7469" t="s">
        <v>13544</v>
      </c>
      <c r="N7469" t="s">
        <v>30</v>
      </c>
      <c r="O7469" t="s">
        <v>31</v>
      </c>
      <c r="P7469" t="str">
        <f>"15208"</f>
        <v>15208</v>
      </c>
    </row>
    <row r="7470" spans="1:16" x14ac:dyDescent="0.25">
      <c r="A7470" t="str">
        <f>"1130175D00130    00"</f>
        <v>1130175D00130    00</v>
      </c>
      <c r="B7470" t="s">
        <v>3669</v>
      </c>
      <c r="C7470" t="s">
        <v>16568</v>
      </c>
      <c r="D7470" t="s">
        <v>20</v>
      </c>
      <c r="E7470" t="s">
        <v>39</v>
      </c>
      <c r="F7470">
        <v>0</v>
      </c>
      <c r="G7470">
        <v>0</v>
      </c>
      <c r="H7470">
        <v>1</v>
      </c>
      <c r="I7470" s="3">
        <v>527.97</v>
      </c>
      <c r="J7470" s="3">
        <v>0</v>
      </c>
      <c r="L7470">
        <v>639</v>
      </c>
      <c r="M7470" t="s">
        <v>1315</v>
      </c>
      <c r="N7470" t="s">
        <v>30</v>
      </c>
      <c r="O7470" t="s">
        <v>31</v>
      </c>
      <c r="P7470" t="str">
        <f>"15206"</f>
        <v>15206</v>
      </c>
    </row>
    <row r="7471" spans="1:16" x14ac:dyDescent="0.25">
      <c r="A7471" t="str">
        <f>"1130175D00131    00"</f>
        <v>1130175D00131    00</v>
      </c>
      <c r="B7471" t="s">
        <v>16569</v>
      </c>
      <c r="C7471" t="s">
        <v>16570</v>
      </c>
      <c r="D7471" t="s">
        <v>20</v>
      </c>
      <c r="E7471" t="s">
        <v>39</v>
      </c>
      <c r="F7471">
        <v>0</v>
      </c>
      <c r="G7471">
        <v>0</v>
      </c>
      <c r="H7471">
        <v>3</v>
      </c>
      <c r="I7471" s="3">
        <v>790.23</v>
      </c>
      <c r="J7471" s="3">
        <v>87.02</v>
      </c>
      <c r="L7471">
        <v>2107</v>
      </c>
      <c r="M7471" t="s">
        <v>16571</v>
      </c>
      <c r="N7471" t="s">
        <v>238</v>
      </c>
      <c r="O7471" t="s">
        <v>31</v>
      </c>
      <c r="P7471" t="str">
        <f>"15131"</f>
        <v>15131</v>
      </c>
    </row>
    <row r="7472" spans="1:16" x14ac:dyDescent="0.25">
      <c r="A7472" t="str">
        <f>"1130175D00140    00"</f>
        <v>1130175D00140    00</v>
      </c>
      <c r="B7472" t="s">
        <v>15961</v>
      </c>
      <c r="C7472" t="s">
        <v>16572</v>
      </c>
      <c r="E7472" t="s">
        <v>39</v>
      </c>
      <c r="F7472">
        <v>0</v>
      </c>
      <c r="G7472">
        <v>0</v>
      </c>
      <c r="H7472">
        <v>11</v>
      </c>
      <c r="I7472" s="3">
        <v>6383.09</v>
      </c>
      <c r="J7472" s="3">
        <v>3656.28</v>
      </c>
      <c r="K7472" t="s">
        <v>16573</v>
      </c>
      <c r="L7472">
        <v>111</v>
      </c>
      <c r="M7472" t="s">
        <v>16574</v>
      </c>
      <c r="N7472" t="s">
        <v>1046</v>
      </c>
      <c r="O7472" t="s">
        <v>31</v>
      </c>
      <c r="P7472" t="str">
        <f>"15147"</f>
        <v>15147</v>
      </c>
    </row>
    <row r="7473" spans="1:16" x14ac:dyDescent="0.25">
      <c r="A7473" t="str">
        <f>"1130175D00146    00"</f>
        <v>1130175D00146    00</v>
      </c>
      <c r="B7473" t="s">
        <v>16575</v>
      </c>
      <c r="C7473" t="s">
        <v>16576</v>
      </c>
      <c r="E7473" t="s">
        <v>39</v>
      </c>
      <c r="F7473">
        <v>0</v>
      </c>
      <c r="G7473">
        <v>0</v>
      </c>
      <c r="H7473">
        <v>2</v>
      </c>
      <c r="I7473" s="3">
        <v>101.64</v>
      </c>
      <c r="J7473" s="3">
        <v>75.8</v>
      </c>
      <c r="L7473">
        <v>568</v>
      </c>
      <c r="M7473" t="s">
        <v>14886</v>
      </c>
      <c r="N7473" t="s">
        <v>30</v>
      </c>
      <c r="O7473" t="s">
        <v>31</v>
      </c>
      <c r="P7473" t="str">
        <f>"15208"</f>
        <v>15208</v>
      </c>
    </row>
    <row r="7474" spans="1:16" x14ac:dyDescent="0.25">
      <c r="A7474" t="str">
        <f>"1130175D00160    00"</f>
        <v>1130175D00160    00</v>
      </c>
      <c r="B7474" t="s">
        <v>16577</v>
      </c>
      <c r="C7474" t="s">
        <v>16578</v>
      </c>
      <c r="D7474" t="s">
        <v>20</v>
      </c>
      <c r="E7474" t="s">
        <v>39</v>
      </c>
      <c r="F7474">
        <v>0</v>
      </c>
      <c r="G7474">
        <v>0</v>
      </c>
      <c r="H7474">
        <v>3</v>
      </c>
      <c r="I7474" s="3">
        <v>886.32</v>
      </c>
      <c r="J7474" s="3">
        <v>12.31</v>
      </c>
      <c r="K7474" t="s">
        <v>16579</v>
      </c>
      <c r="L7474">
        <v>449</v>
      </c>
      <c r="M7474" t="s">
        <v>2777</v>
      </c>
      <c r="N7474" t="s">
        <v>30</v>
      </c>
      <c r="O7474" t="s">
        <v>31</v>
      </c>
      <c r="P7474" t="str">
        <f>"15235"</f>
        <v>15235</v>
      </c>
    </row>
    <row r="7475" spans="1:16" x14ac:dyDescent="0.25">
      <c r="A7475" t="str">
        <f>"1130175D00161    00"</f>
        <v>1130175D00161    00</v>
      </c>
      <c r="B7475" t="s">
        <v>16580</v>
      </c>
      <c r="C7475" t="s">
        <v>16581</v>
      </c>
      <c r="D7475" t="s">
        <v>20</v>
      </c>
      <c r="E7475" t="s">
        <v>39</v>
      </c>
      <c r="F7475">
        <v>0</v>
      </c>
      <c r="G7475">
        <v>0</v>
      </c>
      <c r="H7475">
        <v>4</v>
      </c>
      <c r="I7475" s="3">
        <v>267.83999999999997</v>
      </c>
      <c r="J7475" s="3">
        <v>31.8</v>
      </c>
      <c r="L7475">
        <v>7920</v>
      </c>
      <c r="M7475" t="s">
        <v>15200</v>
      </c>
      <c r="N7475" t="s">
        <v>30</v>
      </c>
      <c r="O7475" t="s">
        <v>31</v>
      </c>
      <c r="P7475" t="str">
        <f>"15208"</f>
        <v>15208</v>
      </c>
    </row>
    <row r="7476" spans="1:16" x14ac:dyDescent="0.25">
      <c r="A7476" t="str">
        <f>"1130175D00162    00"</f>
        <v>1130175D00162    00</v>
      </c>
      <c r="B7476" t="s">
        <v>16582</v>
      </c>
      <c r="C7476" t="s">
        <v>16583</v>
      </c>
      <c r="D7476" t="s">
        <v>20</v>
      </c>
      <c r="E7476" t="s">
        <v>39</v>
      </c>
      <c r="F7476">
        <v>0</v>
      </c>
      <c r="G7476">
        <v>0</v>
      </c>
      <c r="H7476">
        <v>11</v>
      </c>
      <c r="I7476" s="3">
        <v>3201.09</v>
      </c>
      <c r="J7476" s="3">
        <v>1527.79</v>
      </c>
      <c r="L7476">
        <v>7922</v>
      </c>
      <c r="M7476" t="s">
        <v>15200</v>
      </c>
      <c r="N7476" t="s">
        <v>30</v>
      </c>
      <c r="O7476" t="s">
        <v>31</v>
      </c>
      <c r="P7476" t="str">
        <f>"15208"</f>
        <v>15208</v>
      </c>
    </row>
    <row r="7477" spans="1:16" x14ac:dyDescent="0.25">
      <c r="A7477" t="str">
        <f>"1130175D00163    00"</f>
        <v>1130175D00163    00</v>
      </c>
      <c r="B7477" t="s">
        <v>16584</v>
      </c>
      <c r="C7477" t="s">
        <v>16585</v>
      </c>
      <c r="D7477" t="s">
        <v>20</v>
      </c>
      <c r="E7477" t="s">
        <v>39</v>
      </c>
      <c r="F7477">
        <v>0</v>
      </c>
      <c r="G7477">
        <v>0</v>
      </c>
      <c r="H7477">
        <v>16</v>
      </c>
      <c r="I7477" s="3">
        <v>4718.2299999999996</v>
      </c>
      <c r="J7477" s="3">
        <v>4299.57</v>
      </c>
      <c r="K7477" t="s">
        <v>16586</v>
      </c>
      <c r="L7477">
        <v>6226</v>
      </c>
      <c r="M7477" t="s">
        <v>16587</v>
      </c>
      <c r="N7477" t="s">
        <v>30</v>
      </c>
      <c r="O7477" t="s">
        <v>31</v>
      </c>
      <c r="P7477" t="str">
        <f>"15206"</f>
        <v>15206</v>
      </c>
    </row>
    <row r="7478" spans="1:16" x14ac:dyDescent="0.25">
      <c r="A7478" t="str">
        <f>"1130175D00164    00"</f>
        <v>1130175D00164    00</v>
      </c>
      <c r="B7478" t="s">
        <v>16588</v>
      </c>
      <c r="C7478" t="s">
        <v>16589</v>
      </c>
      <c r="D7478" t="s">
        <v>20</v>
      </c>
      <c r="E7478" t="s">
        <v>39</v>
      </c>
      <c r="F7478">
        <v>0</v>
      </c>
      <c r="G7478">
        <v>0</v>
      </c>
      <c r="H7478">
        <v>19</v>
      </c>
      <c r="I7478" s="3">
        <v>7124.77</v>
      </c>
      <c r="J7478" s="3">
        <v>9704.86</v>
      </c>
      <c r="P7478" t="str">
        <f>""</f>
        <v/>
      </c>
    </row>
    <row r="7479" spans="1:16" x14ac:dyDescent="0.25">
      <c r="A7479" t="str">
        <f>"1130175D00165    00"</f>
        <v>1130175D00165    00</v>
      </c>
      <c r="B7479" t="s">
        <v>16590</v>
      </c>
      <c r="C7479" t="s">
        <v>16591</v>
      </c>
      <c r="D7479" t="s">
        <v>20</v>
      </c>
      <c r="E7479" t="s">
        <v>39</v>
      </c>
      <c r="F7479">
        <v>0</v>
      </c>
      <c r="G7479">
        <v>0</v>
      </c>
      <c r="H7479">
        <v>17</v>
      </c>
      <c r="I7479" s="3">
        <v>6040.06</v>
      </c>
      <c r="J7479" s="3">
        <v>6063.47</v>
      </c>
      <c r="K7479" t="s">
        <v>16592</v>
      </c>
      <c r="L7479">
        <v>6226</v>
      </c>
      <c r="M7479" t="s">
        <v>16587</v>
      </c>
      <c r="N7479" t="s">
        <v>30</v>
      </c>
      <c r="O7479" t="s">
        <v>31</v>
      </c>
      <c r="P7479" t="str">
        <f>"15206"</f>
        <v>15206</v>
      </c>
    </row>
    <row r="7480" spans="1:16" x14ac:dyDescent="0.25">
      <c r="A7480" t="str">
        <f>"1130175D00175    00"</f>
        <v>1130175D00175    00</v>
      </c>
      <c r="B7480" t="s">
        <v>16593</v>
      </c>
      <c r="C7480" t="s">
        <v>16594</v>
      </c>
      <c r="D7480" t="s">
        <v>20</v>
      </c>
      <c r="E7480" t="s">
        <v>39</v>
      </c>
      <c r="F7480">
        <v>0</v>
      </c>
      <c r="G7480">
        <v>0</v>
      </c>
      <c r="H7480">
        <v>4</v>
      </c>
      <c r="I7480" s="3">
        <v>1536.27</v>
      </c>
      <c r="J7480" s="3">
        <v>1254.07</v>
      </c>
      <c r="L7480">
        <v>76</v>
      </c>
      <c r="M7480" t="s">
        <v>16595</v>
      </c>
      <c r="N7480" t="s">
        <v>30</v>
      </c>
      <c r="O7480" t="s">
        <v>31</v>
      </c>
      <c r="P7480" t="str">
        <f>"15207"</f>
        <v>15207</v>
      </c>
    </row>
    <row r="7481" spans="1:16" x14ac:dyDescent="0.25">
      <c r="A7481" t="str">
        <f>"1130175D00177    00"</f>
        <v>1130175D00177    00</v>
      </c>
      <c r="B7481" t="s">
        <v>16596</v>
      </c>
      <c r="C7481" t="s">
        <v>16597</v>
      </c>
      <c r="D7481" t="s">
        <v>20</v>
      </c>
      <c r="E7481" t="s">
        <v>39</v>
      </c>
      <c r="F7481">
        <v>0</v>
      </c>
      <c r="G7481">
        <v>0</v>
      </c>
      <c r="H7481">
        <v>5</v>
      </c>
      <c r="I7481" s="3">
        <v>1605.32</v>
      </c>
      <c r="J7481" s="3">
        <v>441.45</v>
      </c>
      <c r="M7481" t="s">
        <v>16598</v>
      </c>
      <c r="N7481" t="s">
        <v>16599</v>
      </c>
      <c r="O7481" t="s">
        <v>495</v>
      </c>
      <c r="P7481" t="str">
        <f>"93062"</f>
        <v>93062</v>
      </c>
    </row>
    <row r="7482" spans="1:16" x14ac:dyDescent="0.25">
      <c r="A7482" t="str">
        <f>"1130175D00178    00"</f>
        <v>1130175D00178    00</v>
      </c>
      <c r="B7482" t="s">
        <v>16600</v>
      </c>
      <c r="C7482" t="s">
        <v>16601</v>
      </c>
      <c r="D7482" t="s">
        <v>20</v>
      </c>
      <c r="E7482" t="s">
        <v>39</v>
      </c>
      <c r="F7482">
        <v>0</v>
      </c>
      <c r="G7482">
        <v>0</v>
      </c>
      <c r="H7482">
        <v>19</v>
      </c>
      <c r="I7482" s="3">
        <v>5828.24</v>
      </c>
      <c r="J7482" s="3">
        <v>5576.45</v>
      </c>
      <c r="M7482" t="s">
        <v>16602</v>
      </c>
      <c r="N7482" t="s">
        <v>30</v>
      </c>
      <c r="O7482" t="s">
        <v>31</v>
      </c>
      <c r="P7482" t="str">
        <f>"15233"</f>
        <v>15233</v>
      </c>
    </row>
    <row r="7483" spans="1:16" x14ac:dyDescent="0.25">
      <c r="A7483" t="str">
        <f>"1130175D00179    00"</f>
        <v>1130175D00179    00</v>
      </c>
      <c r="B7483" t="s">
        <v>16603</v>
      </c>
      <c r="C7483" t="s">
        <v>16604</v>
      </c>
      <c r="D7483" t="s">
        <v>20</v>
      </c>
      <c r="E7483" t="s">
        <v>39</v>
      </c>
      <c r="F7483">
        <v>0</v>
      </c>
      <c r="G7483">
        <v>0</v>
      </c>
      <c r="H7483">
        <v>16</v>
      </c>
      <c r="I7483" s="3">
        <v>1299.27</v>
      </c>
      <c r="J7483" s="3">
        <v>1470.84</v>
      </c>
      <c r="L7483">
        <v>917</v>
      </c>
      <c r="M7483" t="s">
        <v>16605</v>
      </c>
      <c r="N7483" t="s">
        <v>30</v>
      </c>
      <c r="O7483" t="s">
        <v>31</v>
      </c>
      <c r="P7483" t="str">
        <f>"15208"</f>
        <v>15208</v>
      </c>
    </row>
    <row r="7484" spans="1:16" x14ac:dyDescent="0.25">
      <c r="A7484" t="str">
        <f>"1130175D00180    00"</f>
        <v>1130175D00180    00</v>
      </c>
      <c r="B7484" t="s">
        <v>16606</v>
      </c>
      <c r="C7484" t="s">
        <v>16607</v>
      </c>
      <c r="D7484" t="s">
        <v>20</v>
      </c>
      <c r="E7484" t="s">
        <v>39</v>
      </c>
      <c r="F7484">
        <v>0</v>
      </c>
      <c r="G7484">
        <v>0</v>
      </c>
      <c r="H7484">
        <v>19</v>
      </c>
      <c r="I7484" s="3">
        <v>3851.44</v>
      </c>
      <c r="J7484" s="3">
        <v>2589.87</v>
      </c>
      <c r="K7484" t="s">
        <v>16608</v>
      </c>
      <c r="L7484">
        <v>623</v>
      </c>
      <c r="M7484" t="s">
        <v>2682</v>
      </c>
      <c r="N7484" t="s">
        <v>30</v>
      </c>
      <c r="O7484" t="s">
        <v>31</v>
      </c>
      <c r="P7484" t="str">
        <f>"15219"</f>
        <v>15219</v>
      </c>
    </row>
    <row r="7485" spans="1:16" x14ac:dyDescent="0.25">
      <c r="A7485" t="str">
        <f>"1130175D00181    00"</f>
        <v>1130175D00181    00</v>
      </c>
      <c r="B7485" t="s">
        <v>16609</v>
      </c>
      <c r="C7485" t="s">
        <v>16610</v>
      </c>
      <c r="D7485" t="s">
        <v>20</v>
      </c>
      <c r="E7485" t="s">
        <v>39</v>
      </c>
      <c r="F7485">
        <v>0</v>
      </c>
      <c r="G7485">
        <v>0</v>
      </c>
      <c r="H7485">
        <v>5</v>
      </c>
      <c r="I7485" s="3">
        <v>1123.92</v>
      </c>
      <c r="J7485" s="3">
        <v>166.73</v>
      </c>
      <c r="L7485">
        <v>7901</v>
      </c>
      <c r="M7485" t="s">
        <v>15200</v>
      </c>
      <c r="N7485" t="s">
        <v>30</v>
      </c>
      <c r="O7485" t="s">
        <v>31</v>
      </c>
      <c r="P7485" t="str">
        <f t="shared" ref="P7485:P7492" si="88">"15208"</f>
        <v>15208</v>
      </c>
    </row>
    <row r="7486" spans="1:16" x14ac:dyDescent="0.25">
      <c r="A7486" t="str">
        <f>"1130175D00183    00"</f>
        <v>1130175D00183    00</v>
      </c>
      <c r="B7486" t="s">
        <v>16611</v>
      </c>
      <c r="C7486" t="s">
        <v>16589</v>
      </c>
      <c r="D7486" t="s">
        <v>20</v>
      </c>
      <c r="E7486" t="s">
        <v>39</v>
      </c>
      <c r="F7486">
        <v>0</v>
      </c>
      <c r="G7486">
        <v>0</v>
      </c>
      <c r="H7486">
        <v>3</v>
      </c>
      <c r="I7486" s="3">
        <v>133.09</v>
      </c>
      <c r="J7486" s="3">
        <v>1.46</v>
      </c>
      <c r="L7486">
        <v>584</v>
      </c>
      <c r="M7486" t="s">
        <v>14886</v>
      </c>
      <c r="N7486" t="s">
        <v>30</v>
      </c>
      <c r="O7486" t="s">
        <v>31</v>
      </c>
      <c r="P7486" t="str">
        <f t="shared" si="88"/>
        <v>15208</v>
      </c>
    </row>
    <row r="7487" spans="1:16" x14ac:dyDescent="0.25">
      <c r="A7487" t="str">
        <f>"1130175D00185    00"</f>
        <v>1130175D00185    00</v>
      </c>
      <c r="B7487" t="s">
        <v>16611</v>
      </c>
      <c r="C7487" t="s">
        <v>16612</v>
      </c>
      <c r="D7487" t="s">
        <v>20</v>
      </c>
      <c r="E7487" t="s">
        <v>39</v>
      </c>
      <c r="F7487">
        <v>0</v>
      </c>
      <c r="G7487">
        <v>0</v>
      </c>
      <c r="H7487">
        <v>4</v>
      </c>
      <c r="I7487" s="3">
        <v>1772.93</v>
      </c>
      <c r="J7487" s="3">
        <v>168.32</v>
      </c>
      <c r="L7487">
        <v>584</v>
      </c>
      <c r="M7487" t="s">
        <v>14886</v>
      </c>
      <c r="N7487" t="s">
        <v>30</v>
      </c>
      <c r="O7487" t="s">
        <v>31</v>
      </c>
      <c r="P7487" t="str">
        <f t="shared" si="88"/>
        <v>15208</v>
      </c>
    </row>
    <row r="7488" spans="1:16" x14ac:dyDescent="0.25">
      <c r="A7488" t="str">
        <f>"1130175D00199    00"</f>
        <v>1130175D00199    00</v>
      </c>
      <c r="B7488" t="s">
        <v>16613</v>
      </c>
      <c r="C7488" t="s">
        <v>16614</v>
      </c>
      <c r="D7488" t="s">
        <v>20</v>
      </c>
      <c r="E7488" t="s">
        <v>39</v>
      </c>
      <c r="F7488">
        <v>0</v>
      </c>
      <c r="G7488">
        <v>0</v>
      </c>
      <c r="H7488">
        <v>7</v>
      </c>
      <c r="I7488" s="3">
        <v>191</v>
      </c>
      <c r="J7488" s="3">
        <v>53.29</v>
      </c>
      <c r="L7488">
        <v>7918</v>
      </c>
      <c r="M7488" t="s">
        <v>11435</v>
      </c>
      <c r="N7488" t="s">
        <v>30</v>
      </c>
      <c r="O7488" t="s">
        <v>31</v>
      </c>
      <c r="P7488" t="str">
        <f t="shared" si="88"/>
        <v>15208</v>
      </c>
    </row>
    <row r="7489" spans="1:16" x14ac:dyDescent="0.25">
      <c r="A7489" t="str">
        <f>"1130175D00201    00"</f>
        <v>1130175D00201    00</v>
      </c>
      <c r="B7489" t="s">
        <v>16615</v>
      </c>
      <c r="C7489" t="s">
        <v>16616</v>
      </c>
      <c r="D7489" t="s">
        <v>20</v>
      </c>
      <c r="E7489" t="s">
        <v>39</v>
      </c>
      <c r="F7489">
        <v>0</v>
      </c>
      <c r="G7489">
        <v>0</v>
      </c>
      <c r="H7489">
        <v>4</v>
      </c>
      <c r="I7489" s="3">
        <v>60.74</v>
      </c>
      <c r="J7489" s="3">
        <v>26.68</v>
      </c>
      <c r="L7489">
        <v>7922</v>
      </c>
      <c r="M7489" t="s">
        <v>11435</v>
      </c>
      <c r="N7489" t="s">
        <v>30</v>
      </c>
      <c r="O7489" t="s">
        <v>31</v>
      </c>
      <c r="P7489" t="str">
        <f t="shared" si="88"/>
        <v>15208</v>
      </c>
    </row>
    <row r="7490" spans="1:16" x14ac:dyDescent="0.25">
      <c r="A7490" t="str">
        <f>"1130175D00213    00"</f>
        <v>1130175D00213    00</v>
      </c>
      <c r="B7490" t="s">
        <v>16617</v>
      </c>
      <c r="C7490" t="s">
        <v>16618</v>
      </c>
      <c r="E7490" t="s">
        <v>39</v>
      </c>
      <c r="F7490">
        <v>0</v>
      </c>
      <c r="G7490">
        <v>0</v>
      </c>
      <c r="H7490">
        <v>1</v>
      </c>
      <c r="I7490" s="3">
        <v>222.9</v>
      </c>
      <c r="J7490" s="3">
        <v>0</v>
      </c>
      <c r="L7490">
        <v>604</v>
      </c>
      <c r="M7490" t="s">
        <v>16619</v>
      </c>
      <c r="N7490" t="s">
        <v>30</v>
      </c>
      <c r="O7490" t="s">
        <v>31</v>
      </c>
      <c r="P7490" t="str">
        <f t="shared" si="88"/>
        <v>15208</v>
      </c>
    </row>
    <row r="7491" spans="1:16" x14ac:dyDescent="0.25">
      <c r="A7491" t="str">
        <f>"1130175D00214    00"</f>
        <v>1130175D00214    00</v>
      </c>
      <c r="B7491" t="s">
        <v>11741</v>
      </c>
      <c r="C7491" t="s">
        <v>16620</v>
      </c>
      <c r="D7491" t="s">
        <v>20</v>
      </c>
      <c r="E7491" t="s">
        <v>39</v>
      </c>
      <c r="F7491">
        <v>0</v>
      </c>
      <c r="G7491">
        <v>0</v>
      </c>
      <c r="H7491">
        <v>15</v>
      </c>
      <c r="I7491" s="3">
        <v>3704.88</v>
      </c>
      <c r="J7491" s="3">
        <v>3156.36</v>
      </c>
      <c r="L7491">
        <v>594</v>
      </c>
      <c r="M7491" t="s">
        <v>2802</v>
      </c>
      <c r="N7491" t="s">
        <v>30</v>
      </c>
      <c r="O7491" t="s">
        <v>31</v>
      </c>
      <c r="P7491" t="str">
        <f t="shared" si="88"/>
        <v>15208</v>
      </c>
    </row>
    <row r="7492" spans="1:16" x14ac:dyDescent="0.25">
      <c r="A7492" t="str">
        <f>"1130175D00218    00"</f>
        <v>1130175D00218    00</v>
      </c>
      <c r="B7492" t="s">
        <v>16621</v>
      </c>
      <c r="C7492" t="s">
        <v>16622</v>
      </c>
      <c r="D7492" t="s">
        <v>20</v>
      </c>
      <c r="E7492" t="s">
        <v>39</v>
      </c>
      <c r="F7492">
        <v>0</v>
      </c>
      <c r="G7492">
        <v>0</v>
      </c>
      <c r="H7492">
        <v>1</v>
      </c>
      <c r="I7492" s="3">
        <v>227.3</v>
      </c>
      <c r="J7492" s="3">
        <v>0</v>
      </c>
      <c r="L7492">
        <v>592</v>
      </c>
      <c r="M7492" t="s">
        <v>2802</v>
      </c>
      <c r="N7492" t="s">
        <v>30</v>
      </c>
      <c r="O7492" t="s">
        <v>31</v>
      </c>
      <c r="P7492" t="str">
        <f t="shared" si="88"/>
        <v>15208</v>
      </c>
    </row>
    <row r="7493" spans="1:16" x14ac:dyDescent="0.25">
      <c r="A7493" t="str">
        <f>"1130175D00219    00"</f>
        <v>1130175D00219    00</v>
      </c>
      <c r="B7493" t="s">
        <v>11404</v>
      </c>
      <c r="C7493" t="s">
        <v>16623</v>
      </c>
      <c r="E7493" t="s">
        <v>39</v>
      </c>
      <c r="F7493">
        <v>0</v>
      </c>
      <c r="G7493">
        <v>0</v>
      </c>
      <c r="H7493">
        <v>1</v>
      </c>
      <c r="I7493" s="3">
        <v>218.11</v>
      </c>
      <c r="J7493" s="3">
        <v>145.4</v>
      </c>
      <c r="L7493">
        <v>1727</v>
      </c>
      <c r="M7493" t="s">
        <v>11406</v>
      </c>
      <c r="N7493" t="s">
        <v>30</v>
      </c>
      <c r="O7493" t="s">
        <v>31</v>
      </c>
      <c r="P7493" t="str">
        <f>"15206"</f>
        <v>15206</v>
      </c>
    </row>
    <row r="7494" spans="1:16" x14ac:dyDescent="0.25">
      <c r="A7494" t="str">
        <f>"1130175D00221    00"</f>
        <v>1130175D00221    00</v>
      </c>
      <c r="B7494" t="s">
        <v>16624</v>
      </c>
      <c r="C7494" t="s">
        <v>16625</v>
      </c>
      <c r="D7494" t="s">
        <v>20</v>
      </c>
      <c r="E7494" t="s">
        <v>39</v>
      </c>
      <c r="F7494">
        <v>0</v>
      </c>
      <c r="G7494">
        <v>0</v>
      </c>
      <c r="H7494">
        <v>8</v>
      </c>
      <c r="I7494" s="3">
        <v>5285.3</v>
      </c>
      <c r="J7494" s="3">
        <v>2169.67</v>
      </c>
      <c r="L7494">
        <v>2149</v>
      </c>
      <c r="M7494" t="s">
        <v>11098</v>
      </c>
      <c r="N7494" t="s">
        <v>295</v>
      </c>
      <c r="O7494" t="s">
        <v>31</v>
      </c>
      <c r="P7494" t="str">
        <f>"15146"</f>
        <v>15146</v>
      </c>
    </row>
    <row r="7495" spans="1:16" x14ac:dyDescent="0.25">
      <c r="A7495" t="str">
        <f>"1130175D00223    00"</f>
        <v>1130175D00223    00</v>
      </c>
      <c r="B7495" t="s">
        <v>16626</v>
      </c>
      <c r="C7495" t="s">
        <v>16228</v>
      </c>
      <c r="D7495" t="s">
        <v>20</v>
      </c>
      <c r="E7495" t="s">
        <v>39</v>
      </c>
      <c r="F7495">
        <v>0</v>
      </c>
      <c r="G7495">
        <v>0</v>
      </c>
      <c r="H7495">
        <v>19</v>
      </c>
      <c r="I7495" s="3">
        <v>7241.97</v>
      </c>
      <c r="J7495" s="3">
        <v>9984.89</v>
      </c>
      <c r="L7495">
        <v>1710</v>
      </c>
      <c r="M7495" t="s">
        <v>16627</v>
      </c>
      <c r="N7495" t="s">
        <v>30</v>
      </c>
      <c r="O7495" t="s">
        <v>31</v>
      </c>
      <c r="P7495" t="str">
        <f>"15218"</f>
        <v>15218</v>
      </c>
    </row>
    <row r="7496" spans="1:16" x14ac:dyDescent="0.25">
      <c r="A7496" t="str">
        <f>"1130175D00227    00"</f>
        <v>1130175D00227    00</v>
      </c>
      <c r="B7496" t="s">
        <v>16628</v>
      </c>
      <c r="C7496" t="s">
        <v>16228</v>
      </c>
      <c r="D7496" t="s">
        <v>20</v>
      </c>
      <c r="E7496" t="s">
        <v>39</v>
      </c>
      <c r="F7496">
        <v>0</v>
      </c>
      <c r="G7496">
        <v>0</v>
      </c>
      <c r="H7496">
        <v>19</v>
      </c>
      <c r="I7496" s="3">
        <v>1006.92</v>
      </c>
      <c r="J7496" s="3">
        <v>689.74</v>
      </c>
      <c r="M7496" t="s">
        <v>16629</v>
      </c>
      <c r="N7496" t="s">
        <v>30</v>
      </c>
      <c r="O7496" t="s">
        <v>31</v>
      </c>
      <c r="P7496" t="str">
        <f>"15208"</f>
        <v>15208</v>
      </c>
    </row>
    <row r="7497" spans="1:16" x14ac:dyDescent="0.25">
      <c r="A7497" t="str">
        <f>"1130175D00228    00"</f>
        <v>1130175D00228    00</v>
      </c>
      <c r="B7497" t="s">
        <v>16630</v>
      </c>
      <c r="C7497" t="s">
        <v>16228</v>
      </c>
      <c r="D7497" t="s">
        <v>20</v>
      </c>
      <c r="E7497" t="s">
        <v>39</v>
      </c>
      <c r="F7497">
        <v>0</v>
      </c>
      <c r="G7497">
        <v>0</v>
      </c>
      <c r="H7497">
        <v>19</v>
      </c>
      <c r="I7497" s="3">
        <v>485.41</v>
      </c>
      <c r="J7497" s="3">
        <v>459.04</v>
      </c>
      <c r="K7497" t="s">
        <v>1037</v>
      </c>
      <c r="L7497">
        <v>574</v>
      </c>
      <c r="M7497" t="s">
        <v>2802</v>
      </c>
      <c r="N7497" t="s">
        <v>30</v>
      </c>
      <c r="O7497" t="s">
        <v>31</v>
      </c>
      <c r="P7497" t="str">
        <f>"15208"</f>
        <v>15208</v>
      </c>
    </row>
    <row r="7498" spans="1:16" x14ac:dyDescent="0.25">
      <c r="A7498" t="str">
        <f>"1130175D00231    00"</f>
        <v>1130175D00231    00</v>
      </c>
      <c r="B7498" t="s">
        <v>16631</v>
      </c>
      <c r="C7498" t="s">
        <v>16632</v>
      </c>
      <c r="D7498" t="s">
        <v>20</v>
      </c>
      <c r="E7498" t="s">
        <v>39</v>
      </c>
      <c r="F7498">
        <v>0</v>
      </c>
      <c r="G7498">
        <v>0</v>
      </c>
      <c r="H7498">
        <v>6</v>
      </c>
      <c r="I7498" s="3">
        <v>4606.3500000000004</v>
      </c>
      <c r="J7498" s="3">
        <v>1033.1099999999999</v>
      </c>
      <c r="K7498" t="s">
        <v>16633</v>
      </c>
      <c r="M7498" t="s">
        <v>16634</v>
      </c>
      <c r="N7498" t="s">
        <v>30</v>
      </c>
      <c r="O7498" t="s">
        <v>31</v>
      </c>
      <c r="P7498" t="str">
        <f>"15206"</f>
        <v>15206</v>
      </c>
    </row>
    <row r="7499" spans="1:16" x14ac:dyDescent="0.25">
      <c r="A7499" t="str">
        <f>"1130175D00233    00"</f>
        <v>1130175D00233    00</v>
      </c>
      <c r="B7499" t="s">
        <v>16635</v>
      </c>
      <c r="C7499" t="s">
        <v>16228</v>
      </c>
      <c r="D7499" t="s">
        <v>20</v>
      </c>
      <c r="E7499" t="s">
        <v>39</v>
      </c>
      <c r="F7499">
        <v>0</v>
      </c>
      <c r="G7499">
        <v>0</v>
      </c>
      <c r="H7499">
        <v>19</v>
      </c>
      <c r="I7499" s="3">
        <v>1902.85</v>
      </c>
      <c r="J7499" s="3">
        <v>2040.63</v>
      </c>
      <c r="K7499" t="s">
        <v>1008</v>
      </c>
      <c r="P7499" t="str">
        <f>""</f>
        <v/>
      </c>
    </row>
    <row r="7500" spans="1:16" x14ac:dyDescent="0.25">
      <c r="A7500" t="str">
        <f>"1130175D00234    00"</f>
        <v>1130175D00234    00</v>
      </c>
      <c r="B7500" t="s">
        <v>16636</v>
      </c>
      <c r="C7500" t="s">
        <v>16228</v>
      </c>
      <c r="D7500" t="s">
        <v>20</v>
      </c>
      <c r="E7500" t="s">
        <v>39</v>
      </c>
      <c r="F7500">
        <v>0</v>
      </c>
      <c r="G7500">
        <v>0</v>
      </c>
      <c r="H7500">
        <v>19</v>
      </c>
      <c r="I7500" s="3">
        <v>2061.8000000000002</v>
      </c>
      <c r="J7500" s="3">
        <v>2695.52</v>
      </c>
      <c r="P7500" t="str">
        <f>""</f>
        <v/>
      </c>
    </row>
    <row r="7501" spans="1:16" x14ac:dyDescent="0.25">
      <c r="A7501" t="str">
        <f>"1130175D00236    00"</f>
        <v>1130175D00236    00</v>
      </c>
      <c r="B7501" t="s">
        <v>16637</v>
      </c>
      <c r="C7501" t="s">
        <v>16638</v>
      </c>
      <c r="D7501" t="s">
        <v>20</v>
      </c>
      <c r="E7501" t="s">
        <v>39</v>
      </c>
      <c r="F7501">
        <v>0</v>
      </c>
      <c r="G7501">
        <v>0</v>
      </c>
      <c r="H7501">
        <v>1</v>
      </c>
      <c r="I7501" s="3">
        <v>61.7</v>
      </c>
      <c r="J7501" s="3">
        <v>7.71</v>
      </c>
      <c r="L7501">
        <v>5427</v>
      </c>
      <c r="M7501" t="s">
        <v>8639</v>
      </c>
      <c r="N7501" t="s">
        <v>30</v>
      </c>
      <c r="O7501" t="s">
        <v>31</v>
      </c>
      <c r="P7501" t="str">
        <f>"15201"</f>
        <v>15201</v>
      </c>
    </row>
    <row r="7502" spans="1:16" x14ac:dyDescent="0.25">
      <c r="A7502" t="str">
        <f>"1130175D00238    00"</f>
        <v>1130175D00238    00</v>
      </c>
      <c r="B7502" t="s">
        <v>16639</v>
      </c>
      <c r="C7502" t="s">
        <v>16228</v>
      </c>
      <c r="D7502" t="s">
        <v>20</v>
      </c>
      <c r="E7502" t="s">
        <v>39</v>
      </c>
      <c r="F7502">
        <v>0</v>
      </c>
      <c r="G7502">
        <v>0</v>
      </c>
      <c r="H7502">
        <v>9</v>
      </c>
      <c r="I7502" s="3">
        <v>2948.36</v>
      </c>
      <c r="J7502" s="3">
        <v>1577.46</v>
      </c>
      <c r="L7502">
        <v>560</v>
      </c>
      <c r="M7502" t="s">
        <v>2802</v>
      </c>
      <c r="N7502" t="s">
        <v>30</v>
      </c>
      <c r="O7502" t="s">
        <v>31</v>
      </c>
      <c r="P7502" t="str">
        <f>"15208"</f>
        <v>15208</v>
      </c>
    </row>
    <row r="7503" spans="1:16" x14ac:dyDescent="0.25">
      <c r="A7503" t="str">
        <f>"1130175D00246    00"</f>
        <v>1130175D00246    00</v>
      </c>
      <c r="B7503" t="s">
        <v>16640</v>
      </c>
      <c r="C7503" t="s">
        <v>16322</v>
      </c>
      <c r="D7503" t="s">
        <v>20</v>
      </c>
      <c r="E7503" t="s">
        <v>39</v>
      </c>
      <c r="F7503">
        <v>0</v>
      </c>
      <c r="G7503">
        <v>0</v>
      </c>
      <c r="H7503">
        <v>19</v>
      </c>
      <c r="I7503" s="3">
        <v>1856.14</v>
      </c>
      <c r="J7503" s="3">
        <v>1993.41</v>
      </c>
      <c r="M7503" t="s">
        <v>16208</v>
      </c>
      <c r="N7503" t="s">
        <v>30</v>
      </c>
      <c r="O7503" t="s">
        <v>31</v>
      </c>
      <c r="P7503" t="str">
        <f>"15221"</f>
        <v>15221</v>
      </c>
    </row>
    <row r="7504" spans="1:16" x14ac:dyDescent="0.25">
      <c r="A7504" t="str">
        <f>"1130175D00247    00"</f>
        <v>1130175D00247    00</v>
      </c>
      <c r="B7504" t="s">
        <v>16641</v>
      </c>
      <c r="C7504" t="s">
        <v>16322</v>
      </c>
      <c r="D7504" t="s">
        <v>20</v>
      </c>
      <c r="E7504" t="s">
        <v>39</v>
      </c>
      <c r="F7504">
        <v>0</v>
      </c>
      <c r="G7504">
        <v>0</v>
      </c>
      <c r="H7504">
        <v>17</v>
      </c>
      <c r="I7504" s="3">
        <v>239.59</v>
      </c>
      <c r="J7504" s="3">
        <v>263.13</v>
      </c>
      <c r="K7504" t="s">
        <v>16642</v>
      </c>
      <c r="L7504">
        <v>555</v>
      </c>
      <c r="M7504" t="s">
        <v>16208</v>
      </c>
      <c r="N7504" t="s">
        <v>30</v>
      </c>
      <c r="O7504" t="s">
        <v>31</v>
      </c>
      <c r="P7504" t="str">
        <f>"15221"</f>
        <v>15221</v>
      </c>
    </row>
    <row r="7505" spans="1:16" x14ac:dyDescent="0.25">
      <c r="A7505" t="str">
        <f>"1130175D00251    00"</f>
        <v>1130175D00251    00</v>
      </c>
      <c r="B7505" t="s">
        <v>16643</v>
      </c>
      <c r="C7505" t="s">
        <v>16322</v>
      </c>
      <c r="D7505" t="s">
        <v>20</v>
      </c>
      <c r="E7505" t="s">
        <v>39</v>
      </c>
      <c r="F7505">
        <v>0</v>
      </c>
      <c r="G7505">
        <v>0</v>
      </c>
      <c r="H7505">
        <v>17</v>
      </c>
      <c r="I7505" s="3">
        <v>214.95</v>
      </c>
      <c r="J7505" s="3">
        <v>227.56</v>
      </c>
      <c r="K7505" t="s">
        <v>1037</v>
      </c>
      <c r="L7505">
        <v>557</v>
      </c>
      <c r="M7505" t="s">
        <v>16208</v>
      </c>
      <c r="N7505" t="s">
        <v>30</v>
      </c>
      <c r="O7505" t="s">
        <v>31</v>
      </c>
      <c r="P7505" t="str">
        <f>"15221"</f>
        <v>15221</v>
      </c>
    </row>
    <row r="7506" spans="1:16" x14ac:dyDescent="0.25">
      <c r="A7506" t="str">
        <f>"1130175D00251000100"</f>
        <v>1130175D00251000100</v>
      </c>
      <c r="B7506" t="s">
        <v>16644</v>
      </c>
      <c r="C7506" t="s">
        <v>16322</v>
      </c>
      <c r="D7506" t="s">
        <v>20</v>
      </c>
      <c r="E7506" t="s">
        <v>39</v>
      </c>
      <c r="F7506">
        <v>0</v>
      </c>
      <c r="G7506">
        <v>0</v>
      </c>
      <c r="H7506">
        <v>19</v>
      </c>
      <c r="I7506" s="3">
        <v>781.94</v>
      </c>
      <c r="J7506" s="3">
        <v>530.78</v>
      </c>
      <c r="L7506">
        <v>250</v>
      </c>
      <c r="M7506" t="s">
        <v>16645</v>
      </c>
      <c r="N7506" t="s">
        <v>295</v>
      </c>
      <c r="O7506" t="s">
        <v>31</v>
      </c>
      <c r="P7506" t="str">
        <f>"15146"</f>
        <v>15146</v>
      </c>
    </row>
    <row r="7507" spans="1:16" x14ac:dyDescent="0.25">
      <c r="A7507" t="str">
        <f>"1130175D00251000200"</f>
        <v>1130175D00251000200</v>
      </c>
      <c r="B7507" t="s">
        <v>16646</v>
      </c>
      <c r="C7507" t="s">
        <v>16322</v>
      </c>
      <c r="D7507" t="s">
        <v>20</v>
      </c>
      <c r="E7507" t="s">
        <v>39</v>
      </c>
      <c r="F7507">
        <v>0</v>
      </c>
      <c r="G7507">
        <v>0</v>
      </c>
      <c r="H7507">
        <v>17</v>
      </c>
      <c r="I7507" s="3">
        <v>196.54</v>
      </c>
      <c r="J7507" s="3">
        <v>217.52</v>
      </c>
      <c r="K7507" t="s">
        <v>1008</v>
      </c>
      <c r="P7507" t="str">
        <f>""</f>
        <v/>
      </c>
    </row>
    <row r="7508" spans="1:16" x14ac:dyDescent="0.25">
      <c r="A7508" t="str">
        <f>"1130175D00251A   00"</f>
        <v>1130175D00251A   00</v>
      </c>
      <c r="B7508" t="s">
        <v>16647</v>
      </c>
      <c r="C7508" t="s">
        <v>16322</v>
      </c>
      <c r="D7508" t="s">
        <v>20</v>
      </c>
      <c r="E7508" t="s">
        <v>39</v>
      </c>
      <c r="F7508">
        <v>0</v>
      </c>
      <c r="G7508">
        <v>0</v>
      </c>
      <c r="H7508">
        <v>9</v>
      </c>
      <c r="I7508" s="3">
        <v>23.6</v>
      </c>
      <c r="J7508" s="3">
        <v>29.88</v>
      </c>
      <c r="L7508">
        <v>563</v>
      </c>
      <c r="M7508" t="s">
        <v>16208</v>
      </c>
      <c r="N7508" t="s">
        <v>30</v>
      </c>
      <c r="O7508" t="s">
        <v>31</v>
      </c>
      <c r="P7508" t="str">
        <f>"15221"</f>
        <v>15221</v>
      </c>
    </row>
    <row r="7509" spans="1:16" x14ac:dyDescent="0.25">
      <c r="A7509" t="str">
        <f>"1130175D00251B   00"</f>
        <v>1130175D00251B   00</v>
      </c>
      <c r="B7509" t="s">
        <v>16648</v>
      </c>
      <c r="C7509" t="s">
        <v>16322</v>
      </c>
      <c r="D7509" t="s">
        <v>20</v>
      </c>
      <c r="E7509" t="s">
        <v>39</v>
      </c>
      <c r="F7509">
        <v>0</v>
      </c>
      <c r="G7509">
        <v>0</v>
      </c>
      <c r="H7509">
        <v>17</v>
      </c>
      <c r="I7509" s="3">
        <v>393.85</v>
      </c>
      <c r="J7509" s="3">
        <v>501.87</v>
      </c>
      <c r="L7509">
        <v>4946</v>
      </c>
      <c r="M7509" t="s">
        <v>16649</v>
      </c>
      <c r="N7509" t="s">
        <v>3681</v>
      </c>
      <c r="O7509" t="s">
        <v>1184</v>
      </c>
      <c r="P7509" t="str">
        <f>"21044"</f>
        <v>21044</v>
      </c>
    </row>
    <row r="7510" spans="1:16" x14ac:dyDescent="0.25">
      <c r="A7510" t="str">
        <f>"1130175D00251C   00"</f>
        <v>1130175D00251C   00</v>
      </c>
      <c r="B7510" t="s">
        <v>16650</v>
      </c>
      <c r="C7510" t="s">
        <v>16322</v>
      </c>
      <c r="D7510" t="s">
        <v>20</v>
      </c>
      <c r="E7510" t="s">
        <v>39</v>
      </c>
      <c r="F7510">
        <v>0</v>
      </c>
      <c r="G7510">
        <v>0</v>
      </c>
      <c r="H7510">
        <v>17</v>
      </c>
      <c r="I7510" s="3">
        <v>196.54</v>
      </c>
      <c r="J7510" s="3">
        <v>217.52</v>
      </c>
      <c r="L7510">
        <v>222</v>
      </c>
      <c r="M7510" t="s">
        <v>41</v>
      </c>
      <c r="N7510" t="s">
        <v>16651</v>
      </c>
      <c r="O7510" t="s">
        <v>31</v>
      </c>
      <c r="P7510" t="str">
        <f>"15656"</f>
        <v>15656</v>
      </c>
    </row>
    <row r="7511" spans="1:16" x14ac:dyDescent="0.25">
      <c r="A7511" t="str">
        <f>"1130175D00252    00"</f>
        <v>1130175D00252    00</v>
      </c>
      <c r="B7511" t="s">
        <v>16652</v>
      </c>
      <c r="C7511" t="s">
        <v>16322</v>
      </c>
      <c r="D7511" t="s">
        <v>20</v>
      </c>
      <c r="E7511" t="s">
        <v>39</v>
      </c>
      <c r="F7511">
        <v>0</v>
      </c>
      <c r="G7511">
        <v>0</v>
      </c>
      <c r="H7511">
        <v>17</v>
      </c>
      <c r="I7511" s="3">
        <v>214.95</v>
      </c>
      <c r="J7511" s="3">
        <v>227.56</v>
      </c>
      <c r="K7511" t="s">
        <v>1008</v>
      </c>
      <c r="P7511" t="str">
        <f>""</f>
        <v/>
      </c>
    </row>
    <row r="7512" spans="1:16" x14ac:dyDescent="0.25">
      <c r="A7512" t="str">
        <f>"1130175D00256    00"</f>
        <v>1130175D00256    00</v>
      </c>
      <c r="B7512" t="s">
        <v>16653</v>
      </c>
      <c r="C7512" t="s">
        <v>16654</v>
      </c>
      <c r="E7512" t="s">
        <v>39</v>
      </c>
      <c r="F7512">
        <v>0</v>
      </c>
      <c r="G7512">
        <v>0</v>
      </c>
      <c r="H7512">
        <v>5</v>
      </c>
      <c r="I7512" s="3">
        <v>2058.08</v>
      </c>
      <c r="J7512" s="3">
        <v>2936.74</v>
      </c>
      <c r="L7512">
        <v>573</v>
      </c>
      <c r="M7512" t="s">
        <v>16208</v>
      </c>
      <c r="N7512" t="s">
        <v>30</v>
      </c>
      <c r="O7512" t="s">
        <v>31</v>
      </c>
      <c r="P7512" t="str">
        <f>"15221"</f>
        <v>15221</v>
      </c>
    </row>
    <row r="7513" spans="1:16" x14ac:dyDescent="0.25">
      <c r="A7513" t="str">
        <f>"1130175D00261    00"</f>
        <v>1130175D00261    00</v>
      </c>
      <c r="B7513" t="s">
        <v>16655</v>
      </c>
      <c r="C7513" t="s">
        <v>16322</v>
      </c>
      <c r="D7513" t="s">
        <v>20</v>
      </c>
      <c r="E7513" t="s">
        <v>39</v>
      </c>
      <c r="F7513">
        <v>0</v>
      </c>
      <c r="G7513">
        <v>0</v>
      </c>
      <c r="H7513">
        <v>19</v>
      </c>
      <c r="I7513" s="3">
        <v>2157.9</v>
      </c>
      <c r="J7513" s="3">
        <v>2287.94</v>
      </c>
      <c r="L7513">
        <v>607</v>
      </c>
      <c r="M7513" t="s">
        <v>16208</v>
      </c>
      <c r="N7513" t="s">
        <v>30</v>
      </c>
      <c r="O7513" t="s">
        <v>31</v>
      </c>
      <c r="P7513" t="str">
        <f>"15221"</f>
        <v>15221</v>
      </c>
    </row>
    <row r="7514" spans="1:16" x14ac:dyDescent="0.25">
      <c r="A7514" t="str">
        <f>"1130175D00262    00"</f>
        <v>1130175D00262    00</v>
      </c>
      <c r="B7514" t="s">
        <v>16656</v>
      </c>
      <c r="C7514" t="s">
        <v>16657</v>
      </c>
      <c r="D7514" t="s">
        <v>20</v>
      </c>
      <c r="E7514" t="s">
        <v>39</v>
      </c>
      <c r="F7514">
        <v>0</v>
      </c>
      <c r="G7514">
        <v>0</v>
      </c>
      <c r="H7514">
        <v>10</v>
      </c>
      <c r="I7514" s="3">
        <v>5112.93</v>
      </c>
      <c r="J7514" s="3">
        <v>2027.96</v>
      </c>
      <c r="K7514" t="s">
        <v>16658</v>
      </c>
      <c r="L7514">
        <v>606</v>
      </c>
      <c r="M7514" t="s">
        <v>3600</v>
      </c>
      <c r="N7514" t="s">
        <v>30</v>
      </c>
      <c r="O7514" t="s">
        <v>31</v>
      </c>
      <c r="P7514" t="str">
        <f>"15221"</f>
        <v>15221</v>
      </c>
    </row>
    <row r="7515" spans="1:16" x14ac:dyDescent="0.25">
      <c r="A7515" t="str">
        <f>"1130175D00268    00"</f>
        <v>1130175D00268    00</v>
      </c>
      <c r="B7515" t="s">
        <v>16659</v>
      </c>
      <c r="C7515" t="s">
        <v>16660</v>
      </c>
      <c r="D7515" t="s">
        <v>20</v>
      </c>
      <c r="E7515" t="s">
        <v>39</v>
      </c>
      <c r="F7515">
        <v>0</v>
      </c>
      <c r="G7515">
        <v>0</v>
      </c>
      <c r="H7515">
        <v>2</v>
      </c>
      <c r="I7515" s="3">
        <v>1471.48</v>
      </c>
      <c r="J7515" s="3">
        <v>0</v>
      </c>
      <c r="L7515">
        <v>621</v>
      </c>
      <c r="M7515" t="s">
        <v>16208</v>
      </c>
      <c r="N7515" t="s">
        <v>30</v>
      </c>
      <c r="O7515" t="s">
        <v>31</v>
      </c>
      <c r="P7515" t="str">
        <f>"15221"</f>
        <v>15221</v>
      </c>
    </row>
    <row r="7516" spans="1:16" x14ac:dyDescent="0.25">
      <c r="A7516" t="str">
        <f>"1130175D00271    00"</f>
        <v>1130175D00271    00</v>
      </c>
      <c r="B7516" t="s">
        <v>16661</v>
      </c>
      <c r="C7516" t="s">
        <v>16322</v>
      </c>
      <c r="D7516" t="s">
        <v>20</v>
      </c>
      <c r="E7516" t="s">
        <v>39</v>
      </c>
      <c r="F7516">
        <v>0</v>
      </c>
      <c r="G7516">
        <v>0</v>
      </c>
      <c r="H7516">
        <v>19</v>
      </c>
      <c r="I7516" s="3">
        <v>3271.51</v>
      </c>
      <c r="J7516" s="3">
        <v>4672.62</v>
      </c>
      <c r="L7516">
        <v>1015</v>
      </c>
      <c r="M7516" t="s">
        <v>1112</v>
      </c>
      <c r="N7516" t="s">
        <v>30</v>
      </c>
      <c r="O7516" t="s">
        <v>31</v>
      </c>
      <c r="P7516" t="str">
        <f>"15221"</f>
        <v>15221</v>
      </c>
    </row>
    <row r="7517" spans="1:16" x14ac:dyDescent="0.25">
      <c r="A7517" t="str">
        <f>"1130175D00274    00"</f>
        <v>1130175D00274    00</v>
      </c>
      <c r="B7517" t="s">
        <v>16662</v>
      </c>
      <c r="C7517" t="s">
        <v>16663</v>
      </c>
      <c r="D7517" t="s">
        <v>20</v>
      </c>
      <c r="E7517" t="s">
        <v>39</v>
      </c>
      <c r="F7517">
        <v>0</v>
      </c>
      <c r="G7517">
        <v>0</v>
      </c>
      <c r="H7517">
        <v>6</v>
      </c>
      <c r="I7517" s="3">
        <v>2119.56</v>
      </c>
      <c r="J7517" s="3">
        <v>388.54</v>
      </c>
      <c r="L7517">
        <v>922</v>
      </c>
      <c r="M7517" t="s">
        <v>1315</v>
      </c>
      <c r="N7517" t="s">
        <v>30</v>
      </c>
      <c r="O7517" t="s">
        <v>31</v>
      </c>
      <c r="P7517" t="str">
        <f>"15206"</f>
        <v>15206</v>
      </c>
    </row>
    <row r="7518" spans="1:16" x14ac:dyDescent="0.25">
      <c r="A7518" t="str">
        <f>"1130175D00275    00"</f>
        <v>1130175D00275    00</v>
      </c>
      <c r="B7518" t="s">
        <v>16664</v>
      </c>
      <c r="C7518" t="s">
        <v>16322</v>
      </c>
      <c r="D7518" t="s">
        <v>20</v>
      </c>
      <c r="E7518" t="s">
        <v>39</v>
      </c>
      <c r="F7518">
        <v>0</v>
      </c>
      <c r="G7518">
        <v>0</v>
      </c>
      <c r="H7518">
        <v>19</v>
      </c>
      <c r="I7518" s="3">
        <v>5228.8599999999997</v>
      </c>
      <c r="J7518" s="3">
        <v>7103.63</v>
      </c>
      <c r="L7518">
        <v>255</v>
      </c>
      <c r="M7518" t="s">
        <v>16665</v>
      </c>
      <c r="N7518" t="s">
        <v>30</v>
      </c>
      <c r="O7518" t="s">
        <v>31</v>
      </c>
      <c r="P7518" t="str">
        <f>"15235"</f>
        <v>15235</v>
      </c>
    </row>
    <row r="7519" spans="1:16" x14ac:dyDescent="0.25">
      <c r="A7519" t="str">
        <f>"1130175D00276    00"</f>
        <v>1130175D00276    00</v>
      </c>
      <c r="B7519" t="s">
        <v>16666</v>
      </c>
      <c r="C7519" t="s">
        <v>16667</v>
      </c>
      <c r="D7519" t="s">
        <v>20</v>
      </c>
      <c r="E7519" t="s">
        <v>39</v>
      </c>
      <c r="F7519">
        <v>0</v>
      </c>
      <c r="G7519">
        <v>0</v>
      </c>
      <c r="H7519">
        <v>6</v>
      </c>
      <c r="I7519" s="3">
        <v>3179.57</v>
      </c>
      <c r="J7519" s="3">
        <v>713.1</v>
      </c>
      <c r="L7519">
        <v>6945</v>
      </c>
      <c r="M7519" t="s">
        <v>12682</v>
      </c>
      <c r="N7519" t="s">
        <v>30</v>
      </c>
      <c r="O7519" t="s">
        <v>31</v>
      </c>
      <c r="P7519" t="str">
        <f>"15206"</f>
        <v>15206</v>
      </c>
    </row>
    <row r="7520" spans="1:16" x14ac:dyDescent="0.25">
      <c r="A7520" t="str">
        <f>"1130175D00279    00"</f>
        <v>1130175D00279    00</v>
      </c>
      <c r="B7520" t="s">
        <v>14954</v>
      </c>
      <c r="C7520" t="s">
        <v>16668</v>
      </c>
      <c r="D7520" t="s">
        <v>20</v>
      </c>
      <c r="E7520" t="s">
        <v>39</v>
      </c>
      <c r="F7520">
        <v>0</v>
      </c>
      <c r="G7520">
        <v>0</v>
      </c>
      <c r="H7520">
        <v>10</v>
      </c>
      <c r="I7520" s="3">
        <v>1232.3900000000001</v>
      </c>
      <c r="J7520" s="3">
        <v>1643.17</v>
      </c>
      <c r="K7520" t="s">
        <v>16669</v>
      </c>
      <c r="L7520">
        <v>8201</v>
      </c>
      <c r="M7520" t="s">
        <v>16670</v>
      </c>
      <c r="N7520" t="s">
        <v>1320</v>
      </c>
      <c r="O7520" t="s">
        <v>1321</v>
      </c>
      <c r="P7520" t="str">
        <f>"89128"</f>
        <v>89128</v>
      </c>
    </row>
    <row r="7521" spans="1:16" x14ac:dyDescent="0.25">
      <c r="A7521" t="str">
        <f>"1130175D00280    00"</f>
        <v>1130175D00280    00</v>
      </c>
      <c r="B7521" t="s">
        <v>16671</v>
      </c>
      <c r="C7521" t="s">
        <v>16672</v>
      </c>
      <c r="D7521" t="s">
        <v>20</v>
      </c>
      <c r="E7521" t="s">
        <v>39</v>
      </c>
      <c r="F7521">
        <v>0</v>
      </c>
      <c r="G7521">
        <v>0</v>
      </c>
      <c r="H7521">
        <v>11</v>
      </c>
      <c r="I7521" s="3">
        <v>5781.34</v>
      </c>
      <c r="J7521" s="3">
        <v>3073.53</v>
      </c>
      <c r="K7521" t="s">
        <v>16673</v>
      </c>
      <c r="L7521">
        <v>1058</v>
      </c>
      <c r="M7521" t="s">
        <v>15408</v>
      </c>
      <c r="N7521" t="s">
        <v>30</v>
      </c>
      <c r="O7521" t="s">
        <v>31</v>
      </c>
      <c r="P7521" t="str">
        <f>"15221"</f>
        <v>15221</v>
      </c>
    </row>
    <row r="7522" spans="1:16" x14ac:dyDescent="0.25">
      <c r="A7522" t="str">
        <f>"1130175D00288    00"</f>
        <v>1130175D00288    00</v>
      </c>
      <c r="B7522" t="s">
        <v>16674</v>
      </c>
      <c r="C7522" t="s">
        <v>16675</v>
      </c>
      <c r="D7522" t="s">
        <v>20</v>
      </c>
      <c r="E7522" t="s">
        <v>39</v>
      </c>
      <c r="F7522">
        <v>0</v>
      </c>
      <c r="G7522">
        <v>0</v>
      </c>
      <c r="H7522">
        <v>7</v>
      </c>
      <c r="I7522" s="3">
        <v>2601.77</v>
      </c>
      <c r="J7522" s="3">
        <v>444.38</v>
      </c>
      <c r="L7522">
        <v>5825</v>
      </c>
      <c r="M7522" t="s">
        <v>9872</v>
      </c>
      <c r="N7522" t="s">
        <v>30</v>
      </c>
      <c r="O7522" t="s">
        <v>31</v>
      </c>
      <c r="P7522" t="str">
        <f>"15206"</f>
        <v>15206</v>
      </c>
    </row>
    <row r="7523" spans="1:16" x14ac:dyDescent="0.25">
      <c r="A7523" t="str">
        <f>"1130175D00290    00"</f>
        <v>1130175D00290    00</v>
      </c>
      <c r="B7523" t="s">
        <v>16676</v>
      </c>
      <c r="C7523" t="s">
        <v>16322</v>
      </c>
      <c r="D7523" t="s">
        <v>20</v>
      </c>
      <c r="E7523" t="s">
        <v>39</v>
      </c>
      <c r="F7523">
        <v>0</v>
      </c>
      <c r="G7523">
        <v>0</v>
      </c>
      <c r="H7523">
        <v>19</v>
      </c>
      <c r="I7523" s="3">
        <v>2143.61</v>
      </c>
      <c r="J7523" s="3">
        <v>2264.36</v>
      </c>
      <c r="L7523">
        <v>2801</v>
      </c>
      <c r="M7523" t="s">
        <v>11100</v>
      </c>
      <c r="N7523" t="s">
        <v>30</v>
      </c>
      <c r="O7523" t="s">
        <v>31</v>
      </c>
      <c r="P7523" t="str">
        <f>"15235"</f>
        <v>15235</v>
      </c>
    </row>
    <row r="7524" spans="1:16" x14ac:dyDescent="0.25">
      <c r="A7524" t="str">
        <f>"1130175D00293    00"</f>
        <v>1130175D00293    00</v>
      </c>
      <c r="B7524" t="s">
        <v>16677</v>
      </c>
      <c r="C7524" t="s">
        <v>16322</v>
      </c>
      <c r="D7524" t="s">
        <v>20</v>
      </c>
      <c r="E7524" t="s">
        <v>39</v>
      </c>
      <c r="F7524">
        <v>0</v>
      </c>
      <c r="G7524">
        <v>0</v>
      </c>
      <c r="H7524">
        <v>19</v>
      </c>
      <c r="I7524" s="3">
        <v>2451.63</v>
      </c>
      <c r="J7524" s="3">
        <v>2796.3</v>
      </c>
      <c r="L7524">
        <v>645</v>
      </c>
      <c r="M7524" t="s">
        <v>16208</v>
      </c>
      <c r="N7524" t="s">
        <v>30</v>
      </c>
      <c r="O7524" t="s">
        <v>31</v>
      </c>
      <c r="P7524" t="str">
        <f>"15221"</f>
        <v>15221</v>
      </c>
    </row>
    <row r="7525" spans="1:16" x14ac:dyDescent="0.25">
      <c r="A7525" t="str">
        <f>"1130175D00295    00"</f>
        <v>1130175D00295    00</v>
      </c>
      <c r="B7525" t="s">
        <v>16678</v>
      </c>
      <c r="C7525" t="s">
        <v>16679</v>
      </c>
      <c r="D7525" t="s">
        <v>20</v>
      </c>
      <c r="E7525" t="s">
        <v>39</v>
      </c>
      <c r="F7525">
        <v>0</v>
      </c>
      <c r="G7525">
        <v>0</v>
      </c>
      <c r="H7525">
        <v>19</v>
      </c>
      <c r="I7525" s="3">
        <v>5526.81</v>
      </c>
      <c r="J7525" s="3">
        <v>5132.3500000000004</v>
      </c>
      <c r="L7525">
        <v>622</v>
      </c>
      <c r="M7525" t="s">
        <v>16208</v>
      </c>
      <c r="N7525" t="s">
        <v>30</v>
      </c>
      <c r="O7525" t="s">
        <v>31</v>
      </c>
      <c r="P7525" t="str">
        <f>"15221"</f>
        <v>15221</v>
      </c>
    </row>
    <row r="7526" spans="1:16" x14ac:dyDescent="0.25">
      <c r="A7526" t="str">
        <f>"1130175D00296    00"</f>
        <v>1130175D00296    00</v>
      </c>
      <c r="B7526" t="s">
        <v>16680</v>
      </c>
      <c r="C7526" t="s">
        <v>16681</v>
      </c>
      <c r="D7526" t="s">
        <v>20</v>
      </c>
      <c r="E7526" t="s">
        <v>39</v>
      </c>
      <c r="F7526">
        <v>0</v>
      </c>
      <c r="G7526">
        <v>0</v>
      </c>
      <c r="H7526">
        <v>19</v>
      </c>
      <c r="I7526" s="3">
        <v>9867.18</v>
      </c>
      <c r="J7526" s="3">
        <v>10875.07</v>
      </c>
      <c r="L7526">
        <v>620</v>
      </c>
      <c r="M7526" t="s">
        <v>16208</v>
      </c>
      <c r="N7526" t="s">
        <v>30</v>
      </c>
      <c r="O7526" t="s">
        <v>31</v>
      </c>
      <c r="P7526" t="str">
        <f>"15221"</f>
        <v>15221</v>
      </c>
    </row>
    <row r="7527" spans="1:16" x14ac:dyDescent="0.25">
      <c r="A7527" t="str">
        <f>"1130175D00298    00"</f>
        <v>1130175D00298    00</v>
      </c>
      <c r="B7527" t="s">
        <v>16682</v>
      </c>
      <c r="C7527" t="s">
        <v>16322</v>
      </c>
      <c r="D7527" t="s">
        <v>20</v>
      </c>
      <c r="E7527" t="s">
        <v>39</v>
      </c>
      <c r="F7527">
        <v>0</v>
      </c>
      <c r="G7527">
        <v>0</v>
      </c>
      <c r="H7527">
        <v>19</v>
      </c>
      <c r="I7527" s="3">
        <v>1658.79</v>
      </c>
      <c r="J7527" s="3">
        <v>1611.05</v>
      </c>
      <c r="N7527" t="s">
        <v>2656</v>
      </c>
      <c r="O7527" t="s">
        <v>31</v>
      </c>
      <c r="P7527" t="str">
        <f>"15901"</f>
        <v>15901</v>
      </c>
    </row>
    <row r="7528" spans="1:16" x14ac:dyDescent="0.25">
      <c r="A7528" t="str">
        <f>"1130175D00299    00"</f>
        <v>1130175D00299    00</v>
      </c>
      <c r="B7528" t="s">
        <v>16683</v>
      </c>
      <c r="C7528" t="s">
        <v>16322</v>
      </c>
      <c r="D7528" t="s">
        <v>20</v>
      </c>
      <c r="E7528" t="s">
        <v>39</v>
      </c>
      <c r="F7528">
        <v>0</v>
      </c>
      <c r="G7528">
        <v>0</v>
      </c>
      <c r="H7528">
        <v>19</v>
      </c>
      <c r="I7528" s="3">
        <v>5632.93</v>
      </c>
      <c r="J7528" s="3">
        <v>7674.09</v>
      </c>
      <c r="L7528">
        <v>604</v>
      </c>
      <c r="M7528" t="s">
        <v>4860</v>
      </c>
      <c r="N7528" t="s">
        <v>30</v>
      </c>
      <c r="O7528" t="s">
        <v>31</v>
      </c>
      <c r="P7528" t="str">
        <f>"15212"</f>
        <v>15212</v>
      </c>
    </row>
    <row r="7529" spans="1:16" x14ac:dyDescent="0.25">
      <c r="A7529" t="str">
        <f>"1130175D00301    00"</f>
        <v>1130175D00301    00</v>
      </c>
      <c r="B7529" t="s">
        <v>16684</v>
      </c>
      <c r="C7529" t="s">
        <v>16685</v>
      </c>
      <c r="D7529" t="s">
        <v>20</v>
      </c>
      <c r="E7529" t="s">
        <v>39</v>
      </c>
      <c r="F7529">
        <v>0</v>
      </c>
      <c r="G7529">
        <v>0</v>
      </c>
      <c r="H7529">
        <v>3</v>
      </c>
      <c r="I7529" s="3">
        <v>1576.14</v>
      </c>
      <c r="J7529" s="3">
        <v>83.43</v>
      </c>
      <c r="L7529">
        <v>70</v>
      </c>
      <c r="M7529" t="s">
        <v>16686</v>
      </c>
      <c r="N7529" t="s">
        <v>30</v>
      </c>
      <c r="O7529" t="s">
        <v>31</v>
      </c>
      <c r="P7529" t="str">
        <f>"15235"</f>
        <v>15235</v>
      </c>
    </row>
    <row r="7530" spans="1:16" x14ac:dyDescent="0.25">
      <c r="A7530" t="str">
        <f>"1130175D00303    00"</f>
        <v>1130175D00303    00</v>
      </c>
      <c r="B7530" t="s">
        <v>16687</v>
      </c>
      <c r="C7530" t="s">
        <v>16322</v>
      </c>
      <c r="D7530" t="s">
        <v>20</v>
      </c>
      <c r="E7530" t="s">
        <v>39</v>
      </c>
      <c r="F7530">
        <v>0</v>
      </c>
      <c r="G7530">
        <v>0</v>
      </c>
      <c r="H7530">
        <v>19</v>
      </c>
      <c r="I7530" s="3">
        <v>7046.85</v>
      </c>
      <c r="J7530" s="3">
        <v>9180.74</v>
      </c>
      <c r="K7530" t="s">
        <v>16688</v>
      </c>
      <c r="L7530">
        <v>628</v>
      </c>
      <c r="M7530" t="s">
        <v>16689</v>
      </c>
      <c r="N7530" t="s">
        <v>30</v>
      </c>
      <c r="O7530" t="s">
        <v>31</v>
      </c>
      <c r="P7530" t="str">
        <f>"15221"</f>
        <v>15221</v>
      </c>
    </row>
    <row r="7531" spans="1:16" x14ac:dyDescent="0.25">
      <c r="A7531" t="str">
        <f>"1130175D00306    00"</f>
        <v>1130175D00306    00</v>
      </c>
      <c r="B7531" t="s">
        <v>16690</v>
      </c>
      <c r="C7531" t="s">
        <v>16322</v>
      </c>
      <c r="D7531" t="s">
        <v>20</v>
      </c>
      <c r="E7531" t="s">
        <v>39</v>
      </c>
      <c r="F7531">
        <v>0</v>
      </c>
      <c r="G7531">
        <v>0</v>
      </c>
      <c r="H7531">
        <v>19</v>
      </c>
      <c r="I7531" s="3">
        <v>1809.66</v>
      </c>
      <c r="J7531" s="3">
        <v>1946.42</v>
      </c>
      <c r="P7531" t="str">
        <f>""</f>
        <v/>
      </c>
    </row>
    <row r="7532" spans="1:16" x14ac:dyDescent="0.25">
      <c r="A7532" t="str">
        <f>"1130175D00308    00"</f>
        <v>1130175D00308    00</v>
      </c>
      <c r="B7532" t="s">
        <v>16691</v>
      </c>
      <c r="C7532" t="s">
        <v>16322</v>
      </c>
      <c r="D7532" t="s">
        <v>20</v>
      </c>
      <c r="E7532" t="s">
        <v>39</v>
      </c>
      <c r="F7532">
        <v>0</v>
      </c>
      <c r="G7532">
        <v>0</v>
      </c>
      <c r="H7532">
        <v>19</v>
      </c>
      <c r="I7532" s="3">
        <v>1902.85</v>
      </c>
      <c r="J7532" s="3">
        <v>2040.63</v>
      </c>
      <c r="L7532">
        <v>560</v>
      </c>
      <c r="M7532" t="s">
        <v>16208</v>
      </c>
      <c r="N7532" t="s">
        <v>30</v>
      </c>
      <c r="O7532" t="s">
        <v>31</v>
      </c>
      <c r="P7532" t="str">
        <f>"15221"</f>
        <v>15221</v>
      </c>
    </row>
    <row r="7533" spans="1:16" x14ac:dyDescent="0.25">
      <c r="A7533" t="str">
        <f>"1130175D00316    00"</f>
        <v>1130175D00316    00</v>
      </c>
      <c r="B7533" t="s">
        <v>16692</v>
      </c>
      <c r="C7533" t="s">
        <v>16693</v>
      </c>
      <c r="D7533" t="s">
        <v>20</v>
      </c>
      <c r="E7533" t="s">
        <v>39</v>
      </c>
      <c r="F7533">
        <v>0</v>
      </c>
      <c r="G7533">
        <v>0</v>
      </c>
      <c r="H7533">
        <v>18</v>
      </c>
      <c r="I7533" s="3">
        <v>1494.75</v>
      </c>
      <c r="J7533" s="3">
        <v>1401.61</v>
      </c>
      <c r="L7533">
        <v>7525</v>
      </c>
      <c r="M7533" t="s">
        <v>16694</v>
      </c>
      <c r="N7533" t="s">
        <v>16695</v>
      </c>
      <c r="O7533" t="s">
        <v>495</v>
      </c>
      <c r="P7533" t="str">
        <f>"92618"</f>
        <v>92618</v>
      </c>
    </row>
    <row r="7534" spans="1:16" x14ac:dyDescent="0.25">
      <c r="A7534" t="str">
        <f>"1130175D00332    00"</f>
        <v>1130175D00332    00</v>
      </c>
      <c r="B7534" t="s">
        <v>16696</v>
      </c>
      <c r="C7534" t="s">
        <v>16351</v>
      </c>
      <c r="D7534" t="s">
        <v>20</v>
      </c>
      <c r="E7534" t="s">
        <v>39</v>
      </c>
      <c r="F7534">
        <v>0</v>
      </c>
      <c r="G7534">
        <v>0</v>
      </c>
      <c r="H7534">
        <v>7</v>
      </c>
      <c r="I7534" s="3">
        <v>730.82</v>
      </c>
      <c r="J7534" s="3">
        <v>202.09</v>
      </c>
      <c r="L7534">
        <v>617</v>
      </c>
      <c r="M7534" t="s">
        <v>14521</v>
      </c>
      <c r="N7534" t="s">
        <v>30</v>
      </c>
      <c r="O7534" t="s">
        <v>31</v>
      </c>
      <c r="P7534" t="str">
        <f>"15221"</f>
        <v>15221</v>
      </c>
    </row>
    <row r="7535" spans="1:16" x14ac:dyDescent="0.25">
      <c r="A7535" t="str">
        <f>"1130175D00336    00"</f>
        <v>1130175D00336    00</v>
      </c>
      <c r="B7535" t="s">
        <v>13810</v>
      </c>
      <c r="C7535" t="s">
        <v>16697</v>
      </c>
      <c r="D7535" t="s">
        <v>20</v>
      </c>
      <c r="E7535" t="s">
        <v>39</v>
      </c>
      <c r="F7535">
        <v>0</v>
      </c>
      <c r="G7535">
        <v>0</v>
      </c>
      <c r="H7535">
        <v>2</v>
      </c>
      <c r="I7535" s="3">
        <v>930.12</v>
      </c>
      <c r="J7535" s="3">
        <v>0</v>
      </c>
      <c r="K7535" t="s">
        <v>16698</v>
      </c>
      <c r="L7535">
        <v>538</v>
      </c>
      <c r="M7535" t="s">
        <v>16699</v>
      </c>
      <c r="N7535" t="s">
        <v>295</v>
      </c>
      <c r="O7535" t="s">
        <v>31</v>
      </c>
      <c r="P7535" t="str">
        <f>"15146"</f>
        <v>15146</v>
      </c>
    </row>
    <row r="7536" spans="1:16" x14ac:dyDescent="0.25">
      <c r="A7536" t="str">
        <f>"1130175D00338    00"</f>
        <v>1130175D00338    00</v>
      </c>
      <c r="B7536" t="s">
        <v>16700</v>
      </c>
      <c r="C7536" t="s">
        <v>16351</v>
      </c>
      <c r="D7536" t="s">
        <v>20</v>
      </c>
      <c r="E7536" t="s">
        <v>39</v>
      </c>
      <c r="F7536">
        <v>0</v>
      </c>
      <c r="G7536">
        <v>0</v>
      </c>
      <c r="H7536">
        <v>19</v>
      </c>
      <c r="I7536" s="3">
        <v>2121.84</v>
      </c>
      <c r="J7536" s="3">
        <v>2060.13</v>
      </c>
      <c r="L7536">
        <v>532</v>
      </c>
      <c r="M7536" t="s">
        <v>16701</v>
      </c>
      <c r="N7536" t="s">
        <v>1061</v>
      </c>
      <c r="O7536" t="s">
        <v>495</v>
      </c>
      <c r="P7536" t="str">
        <f>"90004"</f>
        <v>90004</v>
      </c>
    </row>
    <row r="7537" spans="1:16" x14ac:dyDescent="0.25">
      <c r="A7537" t="str">
        <f>"1130175D00344    00"</f>
        <v>1130175D00344    00</v>
      </c>
      <c r="B7537" t="s">
        <v>16700</v>
      </c>
      <c r="C7537" t="s">
        <v>16351</v>
      </c>
      <c r="D7537" t="s">
        <v>20</v>
      </c>
      <c r="E7537" t="s">
        <v>39</v>
      </c>
      <c r="F7537">
        <v>0</v>
      </c>
      <c r="G7537">
        <v>0</v>
      </c>
      <c r="H7537">
        <v>19</v>
      </c>
      <c r="I7537" s="3">
        <v>374.74</v>
      </c>
      <c r="J7537" s="3">
        <v>302.58999999999997</v>
      </c>
      <c r="L7537">
        <v>532</v>
      </c>
      <c r="M7537" t="s">
        <v>16702</v>
      </c>
      <c r="N7537" t="s">
        <v>1061</v>
      </c>
      <c r="O7537" t="s">
        <v>495</v>
      </c>
      <c r="P7537" t="str">
        <f>"90004"</f>
        <v>90004</v>
      </c>
    </row>
    <row r="7538" spans="1:16" x14ac:dyDescent="0.25">
      <c r="A7538" t="str">
        <f>"1130175D00346    00"</f>
        <v>1130175D00346    00</v>
      </c>
      <c r="B7538" t="s">
        <v>16703</v>
      </c>
      <c r="C7538" t="s">
        <v>16704</v>
      </c>
      <c r="D7538" t="s">
        <v>20</v>
      </c>
      <c r="E7538" t="s">
        <v>39</v>
      </c>
      <c r="F7538">
        <v>0</v>
      </c>
      <c r="G7538">
        <v>0</v>
      </c>
      <c r="H7538">
        <v>5</v>
      </c>
      <c r="I7538" s="3">
        <v>1865.76</v>
      </c>
      <c r="J7538" s="3">
        <v>317.33999999999997</v>
      </c>
      <c r="K7538" t="s">
        <v>16705</v>
      </c>
      <c r="L7538">
        <v>643</v>
      </c>
      <c r="M7538" t="s">
        <v>14521</v>
      </c>
      <c r="N7538" t="s">
        <v>30</v>
      </c>
      <c r="O7538" t="s">
        <v>31</v>
      </c>
      <c r="P7538" t="str">
        <f>"15221"</f>
        <v>15221</v>
      </c>
    </row>
    <row r="7539" spans="1:16" x14ac:dyDescent="0.25">
      <c r="A7539" t="str">
        <f>"1130175F00254    00"</f>
        <v>1130175F00254    00</v>
      </c>
      <c r="B7539" t="s">
        <v>16706</v>
      </c>
      <c r="C7539" t="s">
        <v>16707</v>
      </c>
      <c r="D7539" t="s">
        <v>20</v>
      </c>
      <c r="E7539" t="s">
        <v>21</v>
      </c>
      <c r="F7539">
        <v>0</v>
      </c>
      <c r="G7539">
        <v>0</v>
      </c>
      <c r="H7539">
        <v>4</v>
      </c>
      <c r="I7539" s="3">
        <v>972.04</v>
      </c>
      <c r="J7539" s="3">
        <v>114.82</v>
      </c>
      <c r="L7539">
        <v>122</v>
      </c>
      <c r="M7539" t="s">
        <v>16708</v>
      </c>
      <c r="N7539" t="s">
        <v>16709</v>
      </c>
      <c r="O7539" t="s">
        <v>2767</v>
      </c>
      <c r="P7539" t="str">
        <f>"35756"</f>
        <v>35756</v>
      </c>
    </row>
    <row r="7540" spans="1:16" x14ac:dyDescent="0.25">
      <c r="A7540" t="str">
        <f>"1130175G00010    00"</f>
        <v>1130175G00010    00</v>
      </c>
      <c r="B7540" t="s">
        <v>16710</v>
      </c>
      <c r="C7540" t="s">
        <v>15982</v>
      </c>
      <c r="E7540" t="s">
        <v>39</v>
      </c>
      <c r="F7540">
        <v>0</v>
      </c>
      <c r="G7540">
        <v>0</v>
      </c>
      <c r="H7540">
        <v>1</v>
      </c>
      <c r="I7540" s="3">
        <v>28.19</v>
      </c>
      <c r="J7540" s="3">
        <v>0</v>
      </c>
      <c r="K7540" t="s">
        <v>16711</v>
      </c>
      <c r="L7540">
        <v>7745</v>
      </c>
      <c r="M7540" t="s">
        <v>13633</v>
      </c>
      <c r="N7540" t="s">
        <v>30</v>
      </c>
      <c r="O7540" t="s">
        <v>31</v>
      </c>
      <c r="P7540" t="str">
        <f>"15208"</f>
        <v>15208</v>
      </c>
    </row>
    <row r="7541" spans="1:16" x14ac:dyDescent="0.25">
      <c r="A7541" t="str">
        <f>"1130175G00011    00"</f>
        <v>1130175G00011    00</v>
      </c>
      <c r="B7541" t="s">
        <v>16712</v>
      </c>
      <c r="C7541" t="s">
        <v>16713</v>
      </c>
      <c r="D7541" t="s">
        <v>20</v>
      </c>
      <c r="E7541" t="s">
        <v>39</v>
      </c>
      <c r="F7541">
        <v>0</v>
      </c>
      <c r="G7541">
        <v>0</v>
      </c>
      <c r="H7541">
        <v>19</v>
      </c>
      <c r="I7541" s="3">
        <v>5294.92</v>
      </c>
      <c r="J7541" s="3">
        <v>7588.74</v>
      </c>
      <c r="K7541" t="s">
        <v>16714</v>
      </c>
      <c r="L7541">
        <v>409</v>
      </c>
      <c r="M7541" t="s">
        <v>12412</v>
      </c>
      <c r="N7541" t="s">
        <v>30</v>
      </c>
      <c r="O7541" t="s">
        <v>31</v>
      </c>
      <c r="P7541" t="str">
        <f>"15208"</f>
        <v>15208</v>
      </c>
    </row>
    <row r="7542" spans="1:16" x14ac:dyDescent="0.25">
      <c r="A7542" t="str">
        <f>"1130175G00011A   00"</f>
        <v>1130175G00011A   00</v>
      </c>
      <c r="B7542" t="s">
        <v>16715</v>
      </c>
      <c r="C7542" t="s">
        <v>16716</v>
      </c>
      <c r="D7542" t="s">
        <v>20</v>
      </c>
      <c r="E7542" t="s">
        <v>39</v>
      </c>
      <c r="F7542">
        <v>0</v>
      </c>
      <c r="G7542">
        <v>0</v>
      </c>
      <c r="H7542">
        <v>7</v>
      </c>
      <c r="I7542" s="3">
        <v>1653.97</v>
      </c>
      <c r="J7542" s="3">
        <v>361.84</v>
      </c>
      <c r="L7542">
        <v>7750</v>
      </c>
      <c r="M7542" t="s">
        <v>13633</v>
      </c>
      <c r="N7542" t="s">
        <v>30</v>
      </c>
      <c r="O7542" t="s">
        <v>31</v>
      </c>
      <c r="P7542" t="str">
        <f>"15208"</f>
        <v>15208</v>
      </c>
    </row>
    <row r="7543" spans="1:16" x14ac:dyDescent="0.25">
      <c r="A7543" t="str">
        <f>"1130175G00013    00"</f>
        <v>1130175G00013    00</v>
      </c>
      <c r="B7543" t="s">
        <v>1313</v>
      </c>
      <c r="C7543" t="s">
        <v>16717</v>
      </c>
      <c r="D7543" t="s">
        <v>20</v>
      </c>
      <c r="E7543" t="s">
        <v>39</v>
      </c>
      <c r="F7543">
        <v>0</v>
      </c>
      <c r="G7543">
        <v>0</v>
      </c>
      <c r="H7543">
        <v>2</v>
      </c>
      <c r="I7543" s="3">
        <v>347.17</v>
      </c>
      <c r="J7543" s="3">
        <v>26.73</v>
      </c>
      <c r="L7543">
        <v>639</v>
      </c>
      <c r="M7543" t="s">
        <v>1315</v>
      </c>
      <c r="N7543" t="s">
        <v>30</v>
      </c>
      <c r="O7543" t="s">
        <v>31</v>
      </c>
      <c r="P7543" t="str">
        <f>"15206"</f>
        <v>15206</v>
      </c>
    </row>
    <row r="7544" spans="1:16" x14ac:dyDescent="0.25">
      <c r="A7544" t="str">
        <f>"1130175G00014    00"</f>
        <v>1130175G00014    00</v>
      </c>
      <c r="B7544" t="s">
        <v>16718</v>
      </c>
      <c r="C7544" t="s">
        <v>16719</v>
      </c>
      <c r="E7544" t="s">
        <v>39</v>
      </c>
      <c r="F7544">
        <v>0</v>
      </c>
      <c r="G7544">
        <v>0</v>
      </c>
      <c r="H7544">
        <v>14</v>
      </c>
      <c r="I7544" s="3">
        <v>6597.24</v>
      </c>
      <c r="J7544" s="3">
        <v>6254.6</v>
      </c>
      <c r="L7544">
        <v>7756</v>
      </c>
      <c r="M7544" t="s">
        <v>13633</v>
      </c>
      <c r="N7544" t="s">
        <v>30</v>
      </c>
      <c r="O7544" t="s">
        <v>31</v>
      </c>
      <c r="P7544" t="str">
        <f t="shared" ref="P7544:P7555" si="89">"15208"</f>
        <v>15208</v>
      </c>
    </row>
    <row r="7545" spans="1:16" x14ac:dyDescent="0.25">
      <c r="A7545" t="str">
        <f>"1130175G00019    00"</f>
        <v>1130175G00019    00</v>
      </c>
      <c r="B7545" t="s">
        <v>16720</v>
      </c>
      <c r="C7545" t="s">
        <v>16721</v>
      </c>
      <c r="D7545" t="s">
        <v>20</v>
      </c>
      <c r="E7545" t="s">
        <v>21</v>
      </c>
      <c r="F7545">
        <v>0</v>
      </c>
      <c r="G7545">
        <v>0</v>
      </c>
      <c r="H7545">
        <v>2</v>
      </c>
      <c r="I7545" s="3">
        <v>53.36</v>
      </c>
      <c r="J7545" s="3">
        <v>0</v>
      </c>
      <c r="L7545">
        <v>7810</v>
      </c>
      <c r="M7545" t="s">
        <v>13633</v>
      </c>
      <c r="N7545" t="s">
        <v>30</v>
      </c>
      <c r="O7545" t="s">
        <v>31</v>
      </c>
      <c r="P7545" t="str">
        <f t="shared" si="89"/>
        <v>15208</v>
      </c>
    </row>
    <row r="7546" spans="1:16" x14ac:dyDescent="0.25">
      <c r="A7546" t="str">
        <f>"1130175G00021    00"</f>
        <v>1130175G00021    00</v>
      </c>
      <c r="B7546" t="s">
        <v>16720</v>
      </c>
      <c r="C7546" t="s">
        <v>16722</v>
      </c>
      <c r="D7546" t="s">
        <v>20</v>
      </c>
      <c r="E7546" t="s">
        <v>21</v>
      </c>
      <c r="F7546">
        <v>0</v>
      </c>
      <c r="G7546">
        <v>0</v>
      </c>
      <c r="H7546">
        <v>2</v>
      </c>
      <c r="I7546" s="3">
        <v>7776.52</v>
      </c>
      <c r="J7546" s="3">
        <v>0</v>
      </c>
      <c r="L7546">
        <v>7810</v>
      </c>
      <c r="M7546" t="s">
        <v>13633</v>
      </c>
      <c r="N7546" t="s">
        <v>30</v>
      </c>
      <c r="O7546" t="s">
        <v>31</v>
      </c>
      <c r="P7546" t="str">
        <f t="shared" si="89"/>
        <v>15208</v>
      </c>
    </row>
    <row r="7547" spans="1:16" x14ac:dyDescent="0.25">
      <c r="A7547" t="str">
        <f>"1130175G00031    00"</f>
        <v>1130175G00031    00</v>
      </c>
      <c r="B7547" t="s">
        <v>16720</v>
      </c>
      <c r="C7547" t="s">
        <v>16576</v>
      </c>
      <c r="D7547" t="s">
        <v>20</v>
      </c>
      <c r="E7547" t="s">
        <v>39</v>
      </c>
      <c r="F7547">
        <v>0</v>
      </c>
      <c r="G7547">
        <v>0</v>
      </c>
      <c r="H7547">
        <v>2</v>
      </c>
      <c r="I7547" s="3">
        <v>64.819999999999993</v>
      </c>
      <c r="J7547" s="3">
        <v>0</v>
      </c>
      <c r="L7547">
        <v>7810</v>
      </c>
      <c r="M7547" t="s">
        <v>13633</v>
      </c>
      <c r="N7547" t="s">
        <v>30</v>
      </c>
      <c r="O7547" t="s">
        <v>31</v>
      </c>
      <c r="P7547" t="str">
        <f t="shared" si="89"/>
        <v>15208</v>
      </c>
    </row>
    <row r="7548" spans="1:16" x14ac:dyDescent="0.25">
      <c r="A7548" t="str">
        <f>"1130175G00068    00"</f>
        <v>1130175G00068    00</v>
      </c>
      <c r="B7548" t="s">
        <v>16720</v>
      </c>
      <c r="C7548" t="s">
        <v>14133</v>
      </c>
      <c r="D7548" t="s">
        <v>20</v>
      </c>
      <c r="E7548" t="s">
        <v>39</v>
      </c>
      <c r="F7548">
        <v>0</v>
      </c>
      <c r="G7548">
        <v>0</v>
      </c>
      <c r="H7548">
        <v>2</v>
      </c>
      <c r="I7548" s="3">
        <v>57.2</v>
      </c>
      <c r="J7548" s="3">
        <v>0</v>
      </c>
      <c r="L7548">
        <v>7810</v>
      </c>
      <c r="M7548" t="s">
        <v>13633</v>
      </c>
      <c r="N7548" t="s">
        <v>30</v>
      </c>
      <c r="O7548" t="s">
        <v>31</v>
      </c>
      <c r="P7548" t="str">
        <f t="shared" si="89"/>
        <v>15208</v>
      </c>
    </row>
    <row r="7549" spans="1:16" x14ac:dyDescent="0.25">
      <c r="A7549" t="str">
        <f>"1130175G00069    00"</f>
        <v>1130175G00069    00</v>
      </c>
      <c r="B7549" t="s">
        <v>16720</v>
      </c>
      <c r="C7549" t="s">
        <v>14133</v>
      </c>
      <c r="D7549" t="s">
        <v>20</v>
      </c>
      <c r="E7549" t="s">
        <v>39</v>
      </c>
      <c r="F7549">
        <v>0</v>
      </c>
      <c r="G7549">
        <v>0</v>
      </c>
      <c r="H7549">
        <v>2</v>
      </c>
      <c r="I7549" s="3">
        <v>57.2</v>
      </c>
      <c r="J7549" s="3">
        <v>0</v>
      </c>
      <c r="L7549">
        <v>7810</v>
      </c>
      <c r="M7549" t="s">
        <v>13633</v>
      </c>
      <c r="N7549" t="s">
        <v>30</v>
      </c>
      <c r="O7549" t="s">
        <v>31</v>
      </c>
      <c r="P7549" t="str">
        <f t="shared" si="89"/>
        <v>15208</v>
      </c>
    </row>
    <row r="7550" spans="1:16" x14ac:dyDescent="0.25">
      <c r="A7550" t="str">
        <f>"1130175G00070    00"</f>
        <v>1130175G00070    00</v>
      </c>
      <c r="B7550" t="s">
        <v>16720</v>
      </c>
      <c r="C7550" t="s">
        <v>14133</v>
      </c>
      <c r="D7550" t="s">
        <v>20</v>
      </c>
      <c r="E7550" t="s">
        <v>39</v>
      </c>
      <c r="F7550">
        <v>0</v>
      </c>
      <c r="G7550">
        <v>0</v>
      </c>
      <c r="H7550">
        <v>2</v>
      </c>
      <c r="I7550" s="3">
        <v>57.2</v>
      </c>
      <c r="J7550" s="3">
        <v>0</v>
      </c>
      <c r="L7550">
        <v>7810</v>
      </c>
      <c r="M7550" t="s">
        <v>13633</v>
      </c>
      <c r="N7550" t="s">
        <v>30</v>
      </c>
      <c r="O7550" t="s">
        <v>31</v>
      </c>
      <c r="P7550" t="str">
        <f t="shared" si="89"/>
        <v>15208</v>
      </c>
    </row>
    <row r="7551" spans="1:16" x14ac:dyDescent="0.25">
      <c r="A7551" t="str">
        <f>"1130175G00071    00"</f>
        <v>1130175G00071    00</v>
      </c>
      <c r="B7551" t="s">
        <v>16720</v>
      </c>
      <c r="C7551" t="s">
        <v>14133</v>
      </c>
      <c r="D7551" t="s">
        <v>20</v>
      </c>
      <c r="E7551" t="s">
        <v>39</v>
      </c>
      <c r="F7551">
        <v>0</v>
      </c>
      <c r="G7551">
        <v>0</v>
      </c>
      <c r="H7551">
        <v>2</v>
      </c>
      <c r="I7551" s="3">
        <v>41.96</v>
      </c>
      <c r="J7551" s="3">
        <v>0</v>
      </c>
      <c r="L7551">
        <v>7810</v>
      </c>
      <c r="M7551" t="s">
        <v>13633</v>
      </c>
      <c r="N7551" t="s">
        <v>30</v>
      </c>
      <c r="O7551" t="s">
        <v>31</v>
      </c>
      <c r="P7551" t="str">
        <f t="shared" si="89"/>
        <v>15208</v>
      </c>
    </row>
    <row r="7552" spans="1:16" x14ac:dyDescent="0.25">
      <c r="A7552" t="str">
        <f>"1130175G00078    00"</f>
        <v>1130175G00078    00</v>
      </c>
      <c r="B7552" t="s">
        <v>16723</v>
      </c>
      <c r="C7552" t="s">
        <v>16724</v>
      </c>
      <c r="D7552" t="s">
        <v>20</v>
      </c>
      <c r="E7552" t="s">
        <v>39</v>
      </c>
      <c r="F7552">
        <v>0</v>
      </c>
      <c r="G7552">
        <v>0</v>
      </c>
      <c r="H7552">
        <v>3</v>
      </c>
      <c r="I7552" s="3">
        <v>34.75</v>
      </c>
      <c r="J7552" s="3">
        <v>2.4900000000000002</v>
      </c>
      <c r="L7552">
        <v>7813</v>
      </c>
      <c r="M7552" t="s">
        <v>13523</v>
      </c>
      <c r="N7552" t="s">
        <v>30</v>
      </c>
      <c r="O7552" t="s">
        <v>31</v>
      </c>
      <c r="P7552" t="str">
        <f t="shared" si="89"/>
        <v>15208</v>
      </c>
    </row>
    <row r="7553" spans="1:16" x14ac:dyDescent="0.25">
      <c r="A7553" t="str">
        <f>"1130175G00080    00"</f>
        <v>1130175G00080    00</v>
      </c>
      <c r="B7553" t="s">
        <v>16725</v>
      </c>
      <c r="C7553" t="s">
        <v>16726</v>
      </c>
      <c r="D7553" t="s">
        <v>20</v>
      </c>
      <c r="E7553" t="s">
        <v>39</v>
      </c>
      <c r="F7553">
        <v>0</v>
      </c>
      <c r="G7553">
        <v>0</v>
      </c>
      <c r="H7553">
        <v>13</v>
      </c>
      <c r="I7553" s="3">
        <v>10430.39</v>
      </c>
      <c r="J7553" s="3">
        <v>5648.01</v>
      </c>
      <c r="L7553">
        <v>7813</v>
      </c>
      <c r="M7553" t="s">
        <v>13523</v>
      </c>
      <c r="N7553" t="s">
        <v>30</v>
      </c>
      <c r="O7553" t="s">
        <v>31</v>
      </c>
      <c r="P7553" t="str">
        <f t="shared" si="89"/>
        <v>15208</v>
      </c>
    </row>
    <row r="7554" spans="1:16" x14ac:dyDescent="0.25">
      <c r="A7554" t="str">
        <f>"1130175G00082    00"</f>
        <v>1130175G00082    00</v>
      </c>
      <c r="B7554" t="s">
        <v>16727</v>
      </c>
      <c r="C7554" t="s">
        <v>16728</v>
      </c>
      <c r="D7554" t="s">
        <v>20</v>
      </c>
      <c r="E7554" t="s">
        <v>39</v>
      </c>
      <c r="F7554">
        <v>0</v>
      </c>
      <c r="G7554">
        <v>0</v>
      </c>
      <c r="H7554">
        <v>1</v>
      </c>
      <c r="I7554" s="3">
        <v>615.65</v>
      </c>
      <c r="J7554" s="3">
        <v>0</v>
      </c>
      <c r="K7554" t="s">
        <v>16729</v>
      </c>
      <c r="L7554">
        <v>1415</v>
      </c>
      <c r="M7554" t="s">
        <v>13906</v>
      </c>
      <c r="N7554" t="s">
        <v>30</v>
      </c>
      <c r="O7554" t="s">
        <v>31</v>
      </c>
      <c r="P7554" t="str">
        <f t="shared" si="89"/>
        <v>15208</v>
      </c>
    </row>
    <row r="7555" spans="1:16" x14ac:dyDescent="0.25">
      <c r="A7555" t="str">
        <f>"1130175G00086    00"</f>
        <v>1130175G00086    00</v>
      </c>
      <c r="B7555" t="s">
        <v>16730</v>
      </c>
      <c r="C7555" t="s">
        <v>16731</v>
      </c>
      <c r="E7555" t="s">
        <v>39</v>
      </c>
      <c r="F7555">
        <v>0</v>
      </c>
      <c r="G7555">
        <v>0</v>
      </c>
      <c r="H7555">
        <v>1</v>
      </c>
      <c r="I7555" s="3">
        <v>46.7</v>
      </c>
      <c r="J7555" s="3">
        <v>0</v>
      </c>
      <c r="K7555" t="s">
        <v>16732</v>
      </c>
      <c r="L7555">
        <v>7737</v>
      </c>
      <c r="M7555" t="s">
        <v>13523</v>
      </c>
      <c r="N7555" t="s">
        <v>30</v>
      </c>
      <c r="O7555" t="s">
        <v>31</v>
      </c>
      <c r="P7555" t="str">
        <f t="shared" si="89"/>
        <v>15208</v>
      </c>
    </row>
    <row r="7556" spans="1:16" x14ac:dyDescent="0.25">
      <c r="A7556" t="str">
        <f>"1130175G00087    00"</f>
        <v>1130175G00087    00</v>
      </c>
      <c r="B7556" t="s">
        <v>16733</v>
      </c>
      <c r="C7556" t="s">
        <v>14133</v>
      </c>
      <c r="E7556" t="s">
        <v>39</v>
      </c>
      <c r="F7556">
        <v>0</v>
      </c>
      <c r="G7556">
        <v>0</v>
      </c>
      <c r="H7556">
        <v>3</v>
      </c>
      <c r="I7556" s="3">
        <v>103.53</v>
      </c>
      <c r="J7556" s="3">
        <v>3.44</v>
      </c>
      <c r="L7556">
        <v>7737</v>
      </c>
      <c r="M7556" t="s">
        <v>13523</v>
      </c>
      <c r="N7556" t="s">
        <v>30</v>
      </c>
      <c r="O7556" t="s">
        <v>31</v>
      </c>
      <c r="P7556" t="str">
        <f>"15206"</f>
        <v>15206</v>
      </c>
    </row>
    <row r="7557" spans="1:16" x14ac:dyDescent="0.25">
      <c r="A7557" t="str">
        <f>"1130175G00087A   00"</f>
        <v>1130175G00087A   00</v>
      </c>
      <c r="B7557" t="s">
        <v>16730</v>
      </c>
      <c r="C7557" t="s">
        <v>16734</v>
      </c>
      <c r="E7557" t="s">
        <v>39</v>
      </c>
      <c r="F7557">
        <v>0</v>
      </c>
      <c r="G7557">
        <v>0</v>
      </c>
      <c r="H7557">
        <v>2</v>
      </c>
      <c r="I7557" s="3">
        <v>14.36</v>
      </c>
      <c r="J7557" s="3">
        <v>0.35</v>
      </c>
      <c r="L7557">
        <v>7737</v>
      </c>
      <c r="M7557" t="s">
        <v>13523</v>
      </c>
      <c r="N7557" t="s">
        <v>30</v>
      </c>
      <c r="O7557" t="s">
        <v>31</v>
      </c>
      <c r="P7557" t="str">
        <f>"15208"</f>
        <v>15208</v>
      </c>
    </row>
    <row r="7558" spans="1:16" x14ac:dyDescent="0.25">
      <c r="A7558" t="str">
        <f>"1130175G00088    00"</f>
        <v>1130175G00088    00</v>
      </c>
      <c r="B7558" t="s">
        <v>16735</v>
      </c>
      <c r="C7558" t="s">
        <v>16736</v>
      </c>
      <c r="D7558" t="s">
        <v>20</v>
      </c>
      <c r="E7558" t="s">
        <v>39</v>
      </c>
      <c r="F7558">
        <v>0</v>
      </c>
      <c r="G7558">
        <v>0</v>
      </c>
      <c r="H7558">
        <v>1</v>
      </c>
      <c r="I7558" s="3">
        <v>361.83</v>
      </c>
      <c r="J7558" s="3">
        <v>0</v>
      </c>
      <c r="L7558">
        <v>7733</v>
      </c>
      <c r="M7558" t="s">
        <v>13523</v>
      </c>
      <c r="N7558" t="s">
        <v>30</v>
      </c>
      <c r="O7558" t="s">
        <v>31</v>
      </c>
      <c r="P7558" t="str">
        <f>"15208"</f>
        <v>15208</v>
      </c>
    </row>
    <row r="7559" spans="1:16" x14ac:dyDescent="0.25">
      <c r="A7559" t="str">
        <f>"1130175G00100    00"</f>
        <v>1130175G00100    00</v>
      </c>
      <c r="B7559" t="s">
        <v>16737</v>
      </c>
      <c r="C7559" t="s">
        <v>13567</v>
      </c>
      <c r="E7559" t="s">
        <v>21</v>
      </c>
      <c r="F7559">
        <v>0</v>
      </c>
      <c r="G7559">
        <v>0</v>
      </c>
      <c r="H7559">
        <v>17</v>
      </c>
      <c r="I7559" s="3">
        <v>2002.16</v>
      </c>
      <c r="J7559" s="3">
        <v>1878.13</v>
      </c>
      <c r="L7559">
        <v>310</v>
      </c>
      <c r="M7559" t="s">
        <v>16738</v>
      </c>
      <c r="N7559" t="s">
        <v>30</v>
      </c>
      <c r="O7559" t="s">
        <v>31</v>
      </c>
      <c r="P7559" t="str">
        <f>"15219"</f>
        <v>15219</v>
      </c>
    </row>
    <row r="7560" spans="1:16" x14ac:dyDescent="0.25">
      <c r="A7560" t="str">
        <f>"1130175G00123    00"</f>
        <v>1130175G00123    00</v>
      </c>
      <c r="B7560" t="s">
        <v>16739</v>
      </c>
      <c r="C7560" t="s">
        <v>14133</v>
      </c>
      <c r="E7560" t="s">
        <v>39</v>
      </c>
      <c r="F7560">
        <v>0</v>
      </c>
      <c r="G7560">
        <v>0</v>
      </c>
      <c r="H7560">
        <v>12</v>
      </c>
      <c r="I7560" s="3">
        <v>8433.6</v>
      </c>
      <c r="J7560" s="3">
        <v>10639.23</v>
      </c>
      <c r="K7560" t="s">
        <v>16740</v>
      </c>
      <c r="L7560">
        <v>310</v>
      </c>
      <c r="M7560" t="s">
        <v>16738</v>
      </c>
      <c r="N7560" t="s">
        <v>30</v>
      </c>
      <c r="O7560" t="s">
        <v>31</v>
      </c>
      <c r="P7560" t="str">
        <f>"15219"</f>
        <v>15219</v>
      </c>
    </row>
    <row r="7561" spans="1:16" x14ac:dyDescent="0.25">
      <c r="A7561" t="str">
        <f>"1130175G00131    00"</f>
        <v>1130175G00131    00</v>
      </c>
      <c r="B7561" t="s">
        <v>16741</v>
      </c>
      <c r="C7561" t="s">
        <v>14133</v>
      </c>
      <c r="D7561" t="s">
        <v>57</v>
      </c>
      <c r="E7561" t="s">
        <v>39</v>
      </c>
      <c r="F7561">
        <v>0</v>
      </c>
      <c r="G7561">
        <v>0</v>
      </c>
      <c r="H7561">
        <v>3</v>
      </c>
      <c r="I7561" s="3">
        <v>1721.93</v>
      </c>
      <c r="J7561" s="3">
        <v>2189.48</v>
      </c>
      <c r="K7561" t="s">
        <v>16740</v>
      </c>
      <c r="L7561">
        <v>310</v>
      </c>
      <c r="M7561" t="s">
        <v>16738</v>
      </c>
      <c r="N7561" t="s">
        <v>30</v>
      </c>
      <c r="O7561" t="s">
        <v>31</v>
      </c>
      <c r="P7561" t="str">
        <f>"15219"</f>
        <v>15219</v>
      </c>
    </row>
    <row r="7562" spans="1:16" x14ac:dyDescent="0.25">
      <c r="A7562" t="str">
        <f>"1130175G00133    00"</f>
        <v>1130175G00133    00</v>
      </c>
      <c r="B7562" t="s">
        <v>16737</v>
      </c>
      <c r="C7562" t="s">
        <v>14133</v>
      </c>
      <c r="E7562" t="s">
        <v>39</v>
      </c>
      <c r="F7562">
        <v>0</v>
      </c>
      <c r="G7562">
        <v>0</v>
      </c>
      <c r="H7562">
        <v>18</v>
      </c>
      <c r="I7562" s="3">
        <v>662.98</v>
      </c>
      <c r="J7562" s="3">
        <v>527.25</v>
      </c>
      <c r="L7562">
        <v>310</v>
      </c>
      <c r="M7562" t="s">
        <v>16738</v>
      </c>
      <c r="N7562" t="s">
        <v>30</v>
      </c>
      <c r="O7562" t="s">
        <v>31</v>
      </c>
      <c r="P7562" t="str">
        <f>"15219"</f>
        <v>15219</v>
      </c>
    </row>
    <row r="7563" spans="1:16" x14ac:dyDescent="0.25">
      <c r="A7563" t="str">
        <f>"1130175G00134    00"</f>
        <v>1130175G00134    00</v>
      </c>
      <c r="B7563" t="s">
        <v>16737</v>
      </c>
      <c r="C7563" t="s">
        <v>14133</v>
      </c>
      <c r="E7563" t="s">
        <v>39</v>
      </c>
      <c r="F7563">
        <v>0</v>
      </c>
      <c r="G7563">
        <v>0</v>
      </c>
      <c r="H7563">
        <v>15</v>
      </c>
      <c r="I7563" s="3">
        <v>10610.96</v>
      </c>
      <c r="J7563" s="3">
        <v>9873.89</v>
      </c>
      <c r="L7563">
        <v>310</v>
      </c>
      <c r="M7563" t="s">
        <v>16738</v>
      </c>
      <c r="N7563" t="s">
        <v>30</v>
      </c>
      <c r="O7563" t="s">
        <v>31</v>
      </c>
      <c r="P7563" t="str">
        <f>"15219"</f>
        <v>15219</v>
      </c>
    </row>
    <row r="7564" spans="1:16" x14ac:dyDescent="0.25">
      <c r="A7564" t="str">
        <f>"1130175G00200    00"</f>
        <v>1130175G00200    00</v>
      </c>
      <c r="B7564" t="s">
        <v>16742</v>
      </c>
      <c r="C7564" t="s">
        <v>16743</v>
      </c>
      <c r="D7564" t="s">
        <v>20</v>
      </c>
      <c r="E7564" t="s">
        <v>39</v>
      </c>
      <c r="F7564">
        <v>0</v>
      </c>
      <c r="G7564">
        <v>0</v>
      </c>
      <c r="H7564">
        <v>14</v>
      </c>
      <c r="I7564" s="3">
        <v>94.59</v>
      </c>
      <c r="J7564" s="3">
        <v>82.2</v>
      </c>
      <c r="L7564">
        <v>3621</v>
      </c>
      <c r="M7564" t="s">
        <v>16744</v>
      </c>
      <c r="N7564" t="s">
        <v>11414</v>
      </c>
      <c r="O7564" t="s">
        <v>495</v>
      </c>
      <c r="P7564" t="str">
        <f>"95148"</f>
        <v>95148</v>
      </c>
    </row>
    <row r="7565" spans="1:16" x14ac:dyDescent="0.25">
      <c r="A7565" t="str">
        <f>"1130175G00205    00"</f>
        <v>1130175G00205    00</v>
      </c>
      <c r="B7565" t="s">
        <v>16745</v>
      </c>
      <c r="C7565" t="s">
        <v>16576</v>
      </c>
      <c r="D7565" t="s">
        <v>20</v>
      </c>
      <c r="E7565" t="s">
        <v>39</v>
      </c>
      <c r="F7565">
        <v>0</v>
      </c>
      <c r="G7565">
        <v>0</v>
      </c>
      <c r="H7565">
        <v>12</v>
      </c>
      <c r="I7565" s="3">
        <v>391.08</v>
      </c>
      <c r="J7565" s="3">
        <v>393.22</v>
      </c>
      <c r="L7565">
        <v>7526</v>
      </c>
      <c r="M7565" t="s">
        <v>4452</v>
      </c>
      <c r="N7565" t="s">
        <v>30</v>
      </c>
      <c r="O7565" t="s">
        <v>31</v>
      </c>
      <c r="P7565" t="str">
        <f>"15208"</f>
        <v>15208</v>
      </c>
    </row>
    <row r="7566" spans="1:16" x14ac:dyDescent="0.25">
      <c r="A7566" t="str">
        <f>"1130175G00211    00"</f>
        <v>1130175G00211    00</v>
      </c>
      <c r="B7566" t="s">
        <v>16746</v>
      </c>
      <c r="C7566" t="s">
        <v>16747</v>
      </c>
      <c r="D7566" t="s">
        <v>20</v>
      </c>
      <c r="E7566" t="s">
        <v>39</v>
      </c>
      <c r="F7566">
        <v>0</v>
      </c>
      <c r="G7566">
        <v>0</v>
      </c>
      <c r="H7566">
        <v>2</v>
      </c>
      <c r="I7566" s="3">
        <v>1177.94</v>
      </c>
      <c r="J7566" s="3">
        <v>0</v>
      </c>
      <c r="L7566">
        <v>421</v>
      </c>
      <c r="M7566" t="s">
        <v>14886</v>
      </c>
      <c r="N7566" t="s">
        <v>30</v>
      </c>
      <c r="O7566" t="s">
        <v>31</v>
      </c>
      <c r="P7566" t="str">
        <f>"15208"</f>
        <v>15208</v>
      </c>
    </row>
    <row r="7567" spans="1:16" x14ac:dyDescent="0.25">
      <c r="A7567" t="str">
        <f>"1130175G00213    00"</f>
        <v>1130175G00213    00</v>
      </c>
      <c r="B7567" t="s">
        <v>16748</v>
      </c>
      <c r="C7567" t="s">
        <v>16576</v>
      </c>
      <c r="D7567" t="s">
        <v>20</v>
      </c>
      <c r="E7567" t="s">
        <v>39</v>
      </c>
      <c r="F7567">
        <v>0</v>
      </c>
      <c r="G7567">
        <v>0</v>
      </c>
      <c r="H7567">
        <v>10</v>
      </c>
      <c r="I7567" s="3">
        <v>110.39</v>
      </c>
      <c r="J7567" s="3">
        <v>48.58</v>
      </c>
      <c r="L7567">
        <v>416</v>
      </c>
      <c r="M7567" t="s">
        <v>14886</v>
      </c>
      <c r="N7567" t="s">
        <v>30</v>
      </c>
      <c r="O7567" t="s">
        <v>31</v>
      </c>
      <c r="P7567" t="str">
        <f>"15221"</f>
        <v>15221</v>
      </c>
    </row>
    <row r="7568" spans="1:16" x14ac:dyDescent="0.25">
      <c r="A7568" t="str">
        <f>"1130175G00214    00"</f>
        <v>1130175G00214    00</v>
      </c>
      <c r="B7568" t="s">
        <v>16748</v>
      </c>
      <c r="C7568" t="s">
        <v>16576</v>
      </c>
      <c r="D7568" t="s">
        <v>20</v>
      </c>
      <c r="E7568" t="s">
        <v>39</v>
      </c>
      <c r="F7568">
        <v>0</v>
      </c>
      <c r="G7568">
        <v>0</v>
      </c>
      <c r="H7568">
        <v>10</v>
      </c>
      <c r="I7568" s="3">
        <v>717.46</v>
      </c>
      <c r="J7568" s="3">
        <v>315.85000000000002</v>
      </c>
      <c r="L7568">
        <v>416</v>
      </c>
      <c r="M7568" t="s">
        <v>14886</v>
      </c>
      <c r="N7568" t="s">
        <v>30</v>
      </c>
      <c r="O7568" t="s">
        <v>31</v>
      </c>
      <c r="P7568" t="str">
        <f>"15221"</f>
        <v>15221</v>
      </c>
    </row>
    <row r="7569" spans="1:16" x14ac:dyDescent="0.25">
      <c r="A7569" t="str">
        <f>"1130175G00215    00"</f>
        <v>1130175G00215    00</v>
      </c>
      <c r="B7569" t="s">
        <v>16749</v>
      </c>
      <c r="C7569" t="s">
        <v>16576</v>
      </c>
      <c r="D7569" t="s">
        <v>20</v>
      </c>
      <c r="E7569" t="s">
        <v>39</v>
      </c>
      <c r="F7569">
        <v>0</v>
      </c>
      <c r="G7569">
        <v>0</v>
      </c>
      <c r="H7569">
        <v>10</v>
      </c>
      <c r="I7569" s="3">
        <v>717.46</v>
      </c>
      <c r="J7569" s="3">
        <v>315.85000000000002</v>
      </c>
      <c r="L7569">
        <v>416</v>
      </c>
      <c r="M7569" t="s">
        <v>14886</v>
      </c>
      <c r="N7569" t="s">
        <v>30</v>
      </c>
      <c r="O7569" t="s">
        <v>31</v>
      </c>
      <c r="P7569" t="str">
        <f>"15221"</f>
        <v>15221</v>
      </c>
    </row>
    <row r="7570" spans="1:16" x14ac:dyDescent="0.25">
      <c r="A7570" t="str">
        <f>"1130175G00220    00"</f>
        <v>1130175G00220    00</v>
      </c>
      <c r="B7570" t="s">
        <v>16748</v>
      </c>
      <c r="C7570" t="s">
        <v>16750</v>
      </c>
      <c r="D7570" t="s">
        <v>20</v>
      </c>
      <c r="E7570" t="s">
        <v>39</v>
      </c>
      <c r="F7570">
        <v>0</v>
      </c>
      <c r="G7570">
        <v>0</v>
      </c>
      <c r="H7570">
        <v>10</v>
      </c>
      <c r="I7570" s="3">
        <v>4090.99</v>
      </c>
      <c r="J7570" s="3">
        <v>1592.62</v>
      </c>
      <c r="L7570">
        <v>416</v>
      </c>
      <c r="M7570" t="s">
        <v>14886</v>
      </c>
      <c r="N7570" t="s">
        <v>30</v>
      </c>
      <c r="O7570" t="s">
        <v>31</v>
      </c>
      <c r="P7570" t="str">
        <f>"15221"</f>
        <v>15221</v>
      </c>
    </row>
    <row r="7571" spans="1:16" x14ac:dyDescent="0.25">
      <c r="A7571" t="str">
        <f>"1130175G00221    00"</f>
        <v>1130175G00221    00</v>
      </c>
      <c r="B7571" t="s">
        <v>16751</v>
      </c>
      <c r="C7571" t="s">
        <v>16752</v>
      </c>
      <c r="D7571" t="s">
        <v>20</v>
      </c>
      <c r="E7571" t="s">
        <v>39</v>
      </c>
      <c r="F7571">
        <v>0</v>
      </c>
      <c r="G7571">
        <v>0</v>
      </c>
      <c r="H7571">
        <v>15</v>
      </c>
      <c r="I7571" s="3">
        <v>4780.7</v>
      </c>
      <c r="J7571" s="3">
        <v>3540.13</v>
      </c>
      <c r="K7571" t="s">
        <v>16753</v>
      </c>
      <c r="L7571">
        <v>1800</v>
      </c>
      <c r="M7571" t="s">
        <v>16754</v>
      </c>
      <c r="N7571" t="s">
        <v>30</v>
      </c>
      <c r="O7571" t="s">
        <v>31</v>
      </c>
      <c r="P7571" t="str">
        <f>"15217"</f>
        <v>15217</v>
      </c>
    </row>
    <row r="7572" spans="1:16" x14ac:dyDescent="0.25">
      <c r="A7572" t="str">
        <f>"1130175G00222    00"</f>
        <v>1130175G00222    00</v>
      </c>
      <c r="B7572" t="s">
        <v>16755</v>
      </c>
      <c r="C7572" t="s">
        <v>16756</v>
      </c>
      <c r="D7572" t="s">
        <v>20</v>
      </c>
      <c r="E7572" t="s">
        <v>39</v>
      </c>
      <c r="F7572">
        <v>0</v>
      </c>
      <c r="G7572">
        <v>0</v>
      </c>
      <c r="H7572">
        <v>10</v>
      </c>
      <c r="I7572" s="3">
        <v>1603.93</v>
      </c>
      <c r="J7572" s="3">
        <v>331.38</v>
      </c>
      <c r="L7572">
        <v>2817</v>
      </c>
      <c r="M7572" t="s">
        <v>16757</v>
      </c>
      <c r="N7572" t="s">
        <v>16758</v>
      </c>
      <c r="O7572" t="s">
        <v>1005</v>
      </c>
      <c r="P7572" t="str">
        <f>"85705"</f>
        <v>85705</v>
      </c>
    </row>
    <row r="7573" spans="1:16" x14ac:dyDescent="0.25">
      <c r="A7573" t="str">
        <f>"1130175G00237    00"</f>
        <v>1130175G00237    00</v>
      </c>
      <c r="B7573" t="s">
        <v>16759</v>
      </c>
      <c r="C7573" t="s">
        <v>16760</v>
      </c>
      <c r="D7573" t="s">
        <v>20</v>
      </c>
      <c r="E7573" t="s">
        <v>39</v>
      </c>
      <c r="F7573">
        <v>0</v>
      </c>
      <c r="G7573">
        <v>0</v>
      </c>
      <c r="H7573">
        <v>19</v>
      </c>
      <c r="I7573" s="3">
        <v>553.95000000000005</v>
      </c>
      <c r="J7573" s="3">
        <v>517.79999999999995</v>
      </c>
      <c r="K7573" t="s">
        <v>1008</v>
      </c>
      <c r="P7573" t="str">
        <f>""</f>
        <v/>
      </c>
    </row>
    <row r="7574" spans="1:16" x14ac:dyDescent="0.25">
      <c r="A7574" t="str">
        <f>"1130175G00248    00"</f>
        <v>1130175G00248    00</v>
      </c>
      <c r="B7574" t="s">
        <v>16761</v>
      </c>
      <c r="C7574" t="s">
        <v>16576</v>
      </c>
      <c r="D7574" t="s">
        <v>20</v>
      </c>
      <c r="E7574" t="s">
        <v>39</v>
      </c>
      <c r="F7574">
        <v>0</v>
      </c>
      <c r="G7574">
        <v>0</v>
      </c>
      <c r="H7574">
        <v>8</v>
      </c>
      <c r="I7574" s="3">
        <v>85.58</v>
      </c>
      <c r="J7574" s="3">
        <v>52.98</v>
      </c>
      <c r="L7574">
        <v>7908</v>
      </c>
      <c r="M7574" t="s">
        <v>13523</v>
      </c>
      <c r="N7574" t="s">
        <v>30</v>
      </c>
      <c r="O7574" t="s">
        <v>31</v>
      </c>
      <c r="P7574" t="str">
        <f>"15221"</f>
        <v>15221</v>
      </c>
    </row>
    <row r="7575" spans="1:16" x14ac:dyDescent="0.25">
      <c r="A7575" t="str">
        <f>"1130175G00250    00"</f>
        <v>1130175G00250    00</v>
      </c>
      <c r="B7575" t="s">
        <v>16762</v>
      </c>
      <c r="C7575" t="s">
        <v>16763</v>
      </c>
      <c r="D7575" t="s">
        <v>20</v>
      </c>
      <c r="E7575" t="s">
        <v>39</v>
      </c>
      <c r="F7575">
        <v>0</v>
      </c>
      <c r="G7575">
        <v>0</v>
      </c>
      <c r="H7575">
        <v>8</v>
      </c>
      <c r="I7575" s="3">
        <v>64.459999999999994</v>
      </c>
      <c r="J7575" s="3">
        <v>37.479999999999997</v>
      </c>
      <c r="L7575">
        <v>7908</v>
      </c>
      <c r="M7575" t="s">
        <v>13523</v>
      </c>
      <c r="N7575" t="s">
        <v>30</v>
      </c>
      <c r="O7575" t="s">
        <v>31</v>
      </c>
      <c r="P7575" t="str">
        <f>"15221"</f>
        <v>15221</v>
      </c>
    </row>
    <row r="7576" spans="1:16" x14ac:dyDescent="0.25">
      <c r="A7576" t="str">
        <f>"1130175G00251    00"</f>
        <v>1130175G00251    00</v>
      </c>
      <c r="B7576" t="s">
        <v>16762</v>
      </c>
      <c r="C7576" t="s">
        <v>16763</v>
      </c>
      <c r="D7576" t="s">
        <v>20</v>
      </c>
      <c r="E7576" t="s">
        <v>39</v>
      </c>
      <c r="F7576">
        <v>0</v>
      </c>
      <c r="G7576">
        <v>0</v>
      </c>
      <c r="H7576">
        <v>9</v>
      </c>
      <c r="I7576" s="3">
        <v>519.4</v>
      </c>
      <c r="J7576" s="3">
        <v>299.62</v>
      </c>
      <c r="L7576">
        <v>7908</v>
      </c>
      <c r="M7576" t="s">
        <v>13523</v>
      </c>
      <c r="N7576" t="s">
        <v>30</v>
      </c>
      <c r="O7576" t="s">
        <v>31</v>
      </c>
      <c r="P7576" t="str">
        <f>"15221"</f>
        <v>15221</v>
      </c>
    </row>
    <row r="7577" spans="1:16" x14ac:dyDescent="0.25">
      <c r="A7577" t="str">
        <f>"1130175H00010    00"</f>
        <v>1130175H00010    00</v>
      </c>
      <c r="B7577" t="s">
        <v>16764</v>
      </c>
      <c r="C7577" t="s">
        <v>16760</v>
      </c>
      <c r="D7577" t="s">
        <v>20</v>
      </c>
      <c r="E7577" t="s">
        <v>39</v>
      </c>
      <c r="F7577">
        <v>0</v>
      </c>
      <c r="G7577">
        <v>0</v>
      </c>
      <c r="H7577">
        <v>8</v>
      </c>
      <c r="I7577" s="3">
        <v>1663.07</v>
      </c>
      <c r="J7577" s="3">
        <v>838.01</v>
      </c>
      <c r="K7577" t="s">
        <v>16765</v>
      </c>
      <c r="L7577">
        <v>710</v>
      </c>
      <c r="M7577" t="s">
        <v>16766</v>
      </c>
      <c r="N7577" t="s">
        <v>636</v>
      </c>
      <c r="O7577" t="s">
        <v>31</v>
      </c>
      <c r="P7577" t="str">
        <f>"15104"</f>
        <v>15104</v>
      </c>
    </row>
    <row r="7578" spans="1:16" x14ac:dyDescent="0.25">
      <c r="A7578" t="str">
        <f>"1130175H00012    00"</f>
        <v>1130175H00012    00</v>
      </c>
      <c r="B7578" t="s">
        <v>16767</v>
      </c>
      <c r="C7578" t="s">
        <v>16768</v>
      </c>
      <c r="D7578" t="s">
        <v>20</v>
      </c>
      <c r="E7578" t="s">
        <v>39</v>
      </c>
      <c r="F7578">
        <v>0</v>
      </c>
      <c r="G7578">
        <v>0</v>
      </c>
      <c r="H7578">
        <v>17</v>
      </c>
      <c r="I7578" s="3">
        <v>13838.6</v>
      </c>
      <c r="J7578" s="3">
        <v>10026.86</v>
      </c>
      <c r="K7578" t="s">
        <v>16769</v>
      </c>
      <c r="L7578">
        <v>3114</v>
      </c>
      <c r="M7578" t="s">
        <v>16770</v>
      </c>
      <c r="N7578" t="s">
        <v>16771</v>
      </c>
      <c r="O7578" t="s">
        <v>1413</v>
      </c>
      <c r="P7578" t="str">
        <f>"27265"</f>
        <v>27265</v>
      </c>
    </row>
    <row r="7579" spans="1:16" x14ac:dyDescent="0.25">
      <c r="A7579" t="str">
        <f>"1130175H00019    00"</f>
        <v>1130175H00019    00</v>
      </c>
      <c r="B7579" t="s">
        <v>16772</v>
      </c>
      <c r="C7579" t="s">
        <v>16773</v>
      </c>
      <c r="D7579" t="s">
        <v>20</v>
      </c>
      <c r="E7579" t="s">
        <v>39</v>
      </c>
      <c r="F7579">
        <v>0</v>
      </c>
      <c r="G7579">
        <v>0</v>
      </c>
      <c r="H7579">
        <v>19</v>
      </c>
      <c r="I7579" s="3">
        <v>10418.59</v>
      </c>
      <c r="J7579" s="3">
        <v>7012.6</v>
      </c>
      <c r="L7579">
        <v>7943</v>
      </c>
      <c r="M7579" t="s">
        <v>16774</v>
      </c>
      <c r="N7579" t="s">
        <v>30</v>
      </c>
      <c r="O7579" t="s">
        <v>31</v>
      </c>
      <c r="P7579" t="str">
        <f>"15221"</f>
        <v>15221</v>
      </c>
    </row>
    <row r="7580" spans="1:16" x14ac:dyDescent="0.25">
      <c r="A7580" t="str">
        <f>"1130175H00020    00"</f>
        <v>1130175H00020    00</v>
      </c>
      <c r="B7580" t="s">
        <v>16775</v>
      </c>
      <c r="C7580" t="s">
        <v>16760</v>
      </c>
      <c r="D7580" t="s">
        <v>20</v>
      </c>
      <c r="E7580" t="s">
        <v>39</v>
      </c>
      <c r="F7580">
        <v>0</v>
      </c>
      <c r="G7580">
        <v>0</v>
      </c>
      <c r="H7580">
        <v>19</v>
      </c>
      <c r="I7580" s="3">
        <v>12589.55</v>
      </c>
      <c r="J7580" s="3">
        <v>17606.64</v>
      </c>
      <c r="L7580">
        <v>7945</v>
      </c>
      <c r="M7580" t="s">
        <v>16774</v>
      </c>
      <c r="N7580" t="s">
        <v>30</v>
      </c>
      <c r="O7580" t="s">
        <v>31</v>
      </c>
      <c r="P7580" t="str">
        <f>"15221"</f>
        <v>15221</v>
      </c>
    </row>
    <row r="7581" spans="1:16" x14ac:dyDescent="0.25">
      <c r="A7581" t="str">
        <f>"1130175H00031    00"</f>
        <v>1130175H00031    00</v>
      </c>
      <c r="B7581" t="s">
        <v>16776</v>
      </c>
      <c r="C7581" t="s">
        <v>16777</v>
      </c>
      <c r="D7581" t="s">
        <v>20</v>
      </c>
      <c r="E7581" t="s">
        <v>39</v>
      </c>
      <c r="F7581">
        <v>0</v>
      </c>
      <c r="G7581">
        <v>0</v>
      </c>
      <c r="H7581">
        <v>4</v>
      </c>
      <c r="I7581" s="3">
        <v>683.73</v>
      </c>
      <c r="J7581" s="3">
        <v>58.58</v>
      </c>
      <c r="K7581" t="s">
        <v>16778</v>
      </c>
      <c r="L7581">
        <v>7944</v>
      </c>
      <c r="M7581" t="s">
        <v>13523</v>
      </c>
      <c r="N7581" t="s">
        <v>30</v>
      </c>
      <c r="O7581" t="s">
        <v>31</v>
      </c>
      <c r="P7581" t="str">
        <f>"15221"</f>
        <v>15221</v>
      </c>
    </row>
    <row r="7582" spans="1:16" x14ac:dyDescent="0.25">
      <c r="A7582" t="str">
        <f>"1130175H00033    00"</f>
        <v>1130175H00033    00</v>
      </c>
      <c r="B7582" t="s">
        <v>16779</v>
      </c>
      <c r="C7582" t="s">
        <v>16780</v>
      </c>
      <c r="E7582" t="s">
        <v>39</v>
      </c>
      <c r="F7582">
        <v>0</v>
      </c>
      <c r="G7582">
        <v>0</v>
      </c>
      <c r="H7582">
        <v>18</v>
      </c>
      <c r="I7582" s="3">
        <v>13756.87</v>
      </c>
      <c r="J7582" s="3">
        <v>13686</v>
      </c>
      <c r="M7582" t="s">
        <v>16781</v>
      </c>
      <c r="N7582" t="s">
        <v>30</v>
      </c>
      <c r="O7582" t="s">
        <v>31</v>
      </c>
      <c r="P7582" t="str">
        <f>"15206"</f>
        <v>15206</v>
      </c>
    </row>
    <row r="7583" spans="1:16" x14ac:dyDescent="0.25">
      <c r="A7583" t="str">
        <f>"1130175H00036    00"</f>
        <v>1130175H00036    00</v>
      </c>
      <c r="B7583" t="s">
        <v>16782</v>
      </c>
      <c r="C7583" t="s">
        <v>16783</v>
      </c>
      <c r="D7583" t="s">
        <v>20</v>
      </c>
      <c r="E7583" t="s">
        <v>39</v>
      </c>
      <c r="F7583">
        <v>0</v>
      </c>
      <c r="G7583">
        <v>0</v>
      </c>
      <c r="H7583">
        <v>2</v>
      </c>
      <c r="I7583" s="3">
        <v>148.69999999999999</v>
      </c>
      <c r="J7583" s="3">
        <v>0</v>
      </c>
      <c r="L7583">
        <v>7932</v>
      </c>
      <c r="M7583" t="s">
        <v>13523</v>
      </c>
      <c r="N7583" t="s">
        <v>30</v>
      </c>
      <c r="O7583" t="s">
        <v>31</v>
      </c>
      <c r="P7583" t="str">
        <f t="shared" ref="P7583:P7588" si="90">"15221"</f>
        <v>15221</v>
      </c>
    </row>
    <row r="7584" spans="1:16" x14ac:dyDescent="0.25">
      <c r="A7584" t="str">
        <f>"1130175H00037    00"</f>
        <v>1130175H00037    00</v>
      </c>
      <c r="B7584" t="s">
        <v>16782</v>
      </c>
      <c r="C7584" t="s">
        <v>16783</v>
      </c>
      <c r="D7584" t="s">
        <v>20</v>
      </c>
      <c r="E7584" t="s">
        <v>39</v>
      </c>
      <c r="F7584">
        <v>0</v>
      </c>
      <c r="G7584">
        <v>0</v>
      </c>
      <c r="H7584">
        <v>9</v>
      </c>
      <c r="I7584" s="3">
        <v>3116.63</v>
      </c>
      <c r="J7584" s="3">
        <v>2608.79</v>
      </c>
      <c r="L7584">
        <v>7932</v>
      </c>
      <c r="M7584" t="s">
        <v>13523</v>
      </c>
      <c r="N7584" t="s">
        <v>30</v>
      </c>
      <c r="O7584" t="s">
        <v>31</v>
      </c>
      <c r="P7584" t="str">
        <f t="shared" si="90"/>
        <v>15221</v>
      </c>
    </row>
    <row r="7585" spans="1:16" x14ac:dyDescent="0.25">
      <c r="A7585" t="str">
        <f>"1130175H00038    00"</f>
        <v>1130175H00038    00</v>
      </c>
      <c r="B7585" t="s">
        <v>16784</v>
      </c>
      <c r="C7585" t="s">
        <v>16785</v>
      </c>
      <c r="D7585" t="s">
        <v>20</v>
      </c>
      <c r="E7585" t="s">
        <v>39</v>
      </c>
      <c r="F7585">
        <v>0</v>
      </c>
      <c r="G7585">
        <v>0</v>
      </c>
      <c r="H7585">
        <v>3</v>
      </c>
      <c r="I7585" s="3">
        <v>234.21</v>
      </c>
      <c r="J7585" s="3">
        <v>120.91</v>
      </c>
      <c r="L7585">
        <v>7930</v>
      </c>
      <c r="M7585" t="s">
        <v>13523</v>
      </c>
      <c r="N7585" t="s">
        <v>30</v>
      </c>
      <c r="O7585" t="s">
        <v>31</v>
      </c>
      <c r="P7585" t="str">
        <f t="shared" si="90"/>
        <v>15221</v>
      </c>
    </row>
    <row r="7586" spans="1:16" x14ac:dyDescent="0.25">
      <c r="A7586" t="str">
        <f>"1130175H00039    00"</f>
        <v>1130175H00039    00</v>
      </c>
      <c r="B7586" t="s">
        <v>16786</v>
      </c>
      <c r="C7586" t="s">
        <v>16787</v>
      </c>
      <c r="D7586" t="s">
        <v>20</v>
      </c>
      <c r="E7586" t="s">
        <v>39</v>
      </c>
      <c r="F7586">
        <v>0</v>
      </c>
      <c r="G7586">
        <v>0</v>
      </c>
      <c r="H7586">
        <v>6</v>
      </c>
      <c r="I7586" s="3">
        <v>2411.77</v>
      </c>
      <c r="J7586" s="3">
        <v>1923.24</v>
      </c>
      <c r="L7586">
        <v>7930</v>
      </c>
      <c r="M7586" t="s">
        <v>13523</v>
      </c>
      <c r="N7586" t="s">
        <v>30</v>
      </c>
      <c r="O7586" t="s">
        <v>31</v>
      </c>
      <c r="P7586" t="str">
        <f t="shared" si="90"/>
        <v>15221</v>
      </c>
    </row>
    <row r="7587" spans="1:16" x14ac:dyDescent="0.25">
      <c r="A7587" t="str">
        <f>"1130175H00040000100"</f>
        <v>1130175H00040000100</v>
      </c>
      <c r="B7587" t="s">
        <v>16788</v>
      </c>
      <c r="C7587" t="s">
        <v>14133</v>
      </c>
      <c r="D7587" t="s">
        <v>20</v>
      </c>
      <c r="E7587" t="s">
        <v>39</v>
      </c>
      <c r="F7587">
        <v>0</v>
      </c>
      <c r="G7587">
        <v>0</v>
      </c>
      <c r="H7587">
        <v>4</v>
      </c>
      <c r="I7587" s="3">
        <v>36.229999999999997</v>
      </c>
      <c r="J7587" s="3">
        <v>14.42</v>
      </c>
      <c r="L7587">
        <v>7924</v>
      </c>
      <c r="M7587" t="s">
        <v>13523</v>
      </c>
      <c r="N7587" t="s">
        <v>30</v>
      </c>
      <c r="O7587" t="s">
        <v>31</v>
      </c>
      <c r="P7587" t="str">
        <f t="shared" si="90"/>
        <v>15221</v>
      </c>
    </row>
    <row r="7588" spans="1:16" x14ac:dyDescent="0.25">
      <c r="A7588" t="str">
        <f>"1130175H00041    00"</f>
        <v>1130175H00041    00</v>
      </c>
      <c r="B7588" t="s">
        <v>16788</v>
      </c>
      <c r="C7588" t="s">
        <v>16789</v>
      </c>
      <c r="E7588" t="s">
        <v>39</v>
      </c>
      <c r="F7588">
        <v>0</v>
      </c>
      <c r="G7588">
        <v>0</v>
      </c>
      <c r="H7588">
        <v>3</v>
      </c>
      <c r="I7588" s="3">
        <v>2246.92</v>
      </c>
      <c r="J7588" s="3">
        <v>1060.5</v>
      </c>
      <c r="L7588">
        <v>7924</v>
      </c>
      <c r="M7588" t="s">
        <v>13523</v>
      </c>
      <c r="N7588" t="s">
        <v>30</v>
      </c>
      <c r="O7588" t="s">
        <v>31</v>
      </c>
      <c r="P7588" t="str">
        <f t="shared" si="90"/>
        <v>15221</v>
      </c>
    </row>
    <row r="7589" spans="1:16" x14ac:dyDescent="0.25">
      <c r="A7589" t="str">
        <f>"1130175H00045    00"</f>
        <v>1130175H00045    00</v>
      </c>
      <c r="B7589" t="s">
        <v>16779</v>
      </c>
      <c r="C7589" t="s">
        <v>16790</v>
      </c>
      <c r="E7589" t="s">
        <v>39</v>
      </c>
      <c r="F7589">
        <v>0</v>
      </c>
      <c r="G7589">
        <v>0</v>
      </c>
      <c r="H7589">
        <v>14</v>
      </c>
      <c r="I7589" s="3">
        <v>5305.31</v>
      </c>
      <c r="J7589" s="3">
        <v>176.86</v>
      </c>
      <c r="K7589" t="s">
        <v>16791</v>
      </c>
      <c r="M7589" t="s">
        <v>16781</v>
      </c>
      <c r="N7589" t="s">
        <v>30</v>
      </c>
      <c r="O7589" t="s">
        <v>31</v>
      </c>
      <c r="P7589" t="str">
        <f>"15206"</f>
        <v>15206</v>
      </c>
    </row>
    <row r="7590" spans="1:16" x14ac:dyDescent="0.25">
      <c r="A7590" t="str">
        <f>"1130175H00046    00"</f>
        <v>1130175H00046    00</v>
      </c>
      <c r="B7590" t="s">
        <v>16792</v>
      </c>
      <c r="C7590" t="s">
        <v>14133</v>
      </c>
      <c r="D7590" t="s">
        <v>20</v>
      </c>
      <c r="E7590" t="s">
        <v>39</v>
      </c>
      <c r="F7590">
        <v>0</v>
      </c>
      <c r="G7590">
        <v>0</v>
      </c>
      <c r="H7590">
        <v>19</v>
      </c>
      <c r="I7590" s="3">
        <v>2263.83</v>
      </c>
      <c r="J7590" s="3">
        <v>2554.2800000000002</v>
      </c>
      <c r="L7590">
        <v>7910</v>
      </c>
      <c r="M7590" t="s">
        <v>13523</v>
      </c>
      <c r="N7590" t="s">
        <v>30</v>
      </c>
      <c r="O7590" t="s">
        <v>31</v>
      </c>
      <c r="P7590" t="str">
        <f>"15221"</f>
        <v>15221</v>
      </c>
    </row>
    <row r="7591" spans="1:16" x14ac:dyDescent="0.25">
      <c r="A7591" t="str">
        <f>"1130175H00052    00"</f>
        <v>1130175H00052    00</v>
      </c>
      <c r="B7591" t="s">
        <v>16793</v>
      </c>
      <c r="C7591" t="s">
        <v>16794</v>
      </c>
      <c r="D7591" t="s">
        <v>20</v>
      </c>
      <c r="E7591" t="s">
        <v>39</v>
      </c>
      <c r="F7591">
        <v>0</v>
      </c>
      <c r="G7591">
        <v>0</v>
      </c>
      <c r="H7591">
        <v>2</v>
      </c>
      <c r="I7591" s="3">
        <v>208.86</v>
      </c>
      <c r="J7591" s="3">
        <v>40.549999999999997</v>
      </c>
      <c r="L7591">
        <v>130</v>
      </c>
      <c r="M7591" t="s">
        <v>13492</v>
      </c>
      <c r="N7591" t="s">
        <v>1046</v>
      </c>
      <c r="O7591" t="s">
        <v>31</v>
      </c>
      <c r="P7591" t="str">
        <f>"15147"</f>
        <v>15147</v>
      </c>
    </row>
    <row r="7592" spans="1:16" x14ac:dyDescent="0.25">
      <c r="A7592" t="str">
        <f>"1130175H00055    00"</f>
        <v>1130175H00055    00</v>
      </c>
      <c r="B7592" t="s">
        <v>16795</v>
      </c>
      <c r="C7592" t="s">
        <v>14133</v>
      </c>
      <c r="D7592" t="s">
        <v>20</v>
      </c>
      <c r="E7592" t="s">
        <v>39</v>
      </c>
      <c r="F7592">
        <v>0</v>
      </c>
      <c r="G7592">
        <v>0</v>
      </c>
      <c r="H7592">
        <v>19</v>
      </c>
      <c r="I7592" s="3">
        <v>1875.45</v>
      </c>
      <c r="J7592" s="3">
        <v>1981.17</v>
      </c>
      <c r="L7592">
        <v>333</v>
      </c>
      <c r="M7592" t="s">
        <v>3060</v>
      </c>
      <c r="N7592" t="s">
        <v>30</v>
      </c>
      <c r="O7592" t="s">
        <v>31</v>
      </c>
      <c r="P7592" t="str">
        <f>"15206"</f>
        <v>15206</v>
      </c>
    </row>
    <row r="7593" spans="1:16" x14ac:dyDescent="0.25">
      <c r="A7593" t="str">
        <f>"1130175H00061    00"</f>
        <v>1130175H00061    00</v>
      </c>
      <c r="B7593" t="s">
        <v>16796</v>
      </c>
      <c r="C7593" t="s">
        <v>16797</v>
      </c>
      <c r="D7593" t="s">
        <v>20</v>
      </c>
      <c r="E7593" t="s">
        <v>39</v>
      </c>
      <c r="F7593">
        <v>0</v>
      </c>
      <c r="G7593">
        <v>0</v>
      </c>
      <c r="H7593">
        <v>1</v>
      </c>
      <c r="I7593" s="3">
        <v>636.62</v>
      </c>
      <c r="J7593" s="3">
        <v>0</v>
      </c>
      <c r="L7593">
        <v>7929</v>
      </c>
      <c r="M7593" t="s">
        <v>13523</v>
      </c>
      <c r="N7593" t="s">
        <v>30</v>
      </c>
      <c r="O7593" t="s">
        <v>31</v>
      </c>
      <c r="P7593" t="str">
        <f>"15221"</f>
        <v>15221</v>
      </c>
    </row>
    <row r="7594" spans="1:16" x14ac:dyDescent="0.25">
      <c r="A7594" t="str">
        <f>"1130175H00071    00"</f>
        <v>1130175H00071    00</v>
      </c>
      <c r="B7594" t="s">
        <v>16798</v>
      </c>
      <c r="C7594" t="s">
        <v>14133</v>
      </c>
      <c r="E7594" t="s">
        <v>39</v>
      </c>
      <c r="F7594">
        <v>0</v>
      </c>
      <c r="G7594">
        <v>0</v>
      </c>
      <c r="H7594">
        <v>1</v>
      </c>
      <c r="I7594" s="3">
        <v>64.8</v>
      </c>
      <c r="J7594" s="3">
        <v>0</v>
      </c>
      <c r="L7594">
        <v>521</v>
      </c>
      <c r="M7594" t="s">
        <v>3600</v>
      </c>
      <c r="N7594" t="s">
        <v>30</v>
      </c>
      <c r="O7594" t="s">
        <v>31</v>
      </c>
      <c r="P7594" t="str">
        <f>"15221"</f>
        <v>15221</v>
      </c>
    </row>
    <row r="7595" spans="1:16" x14ac:dyDescent="0.25">
      <c r="A7595" t="str">
        <f>"1130175H00079    00"</f>
        <v>1130175H00079    00</v>
      </c>
      <c r="B7595" t="s">
        <v>16799</v>
      </c>
      <c r="C7595" t="s">
        <v>16800</v>
      </c>
      <c r="D7595" t="s">
        <v>20</v>
      </c>
      <c r="E7595" t="s">
        <v>39</v>
      </c>
      <c r="F7595">
        <v>0</v>
      </c>
      <c r="G7595">
        <v>0</v>
      </c>
      <c r="H7595">
        <v>2</v>
      </c>
      <c r="I7595" s="3">
        <v>267.82</v>
      </c>
      <c r="J7595" s="3">
        <v>0</v>
      </c>
      <c r="L7595">
        <v>7958</v>
      </c>
      <c r="M7595" t="s">
        <v>13633</v>
      </c>
      <c r="N7595" t="s">
        <v>30</v>
      </c>
      <c r="O7595" t="s">
        <v>31</v>
      </c>
      <c r="P7595" t="str">
        <f>"15208"</f>
        <v>15208</v>
      </c>
    </row>
    <row r="7596" spans="1:16" x14ac:dyDescent="0.25">
      <c r="A7596" t="str">
        <f>"1130175H00083    00"</f>
        <v>1130175H00083    00</v>
      </c>
      <c r="B7596" t="s">
        <v>16801</v>
      </c>
      <c r="C7596" t="s">
        <v>16802</v>
      </c>
      <c r="D7596" t="s">
        <v>20</v>
      </c>
      <c r="E7596" t="s">
        <v>39</v>
      </c>
      <c r="F7596">
        <v>0</v>
      </c>
      <c r="G7596">
        <v>0</v>
      </c>
      <c r="H7596">
        <v>19</v>
      </c>
      <c r="I7596" s="3">
        <v>10156.86</v>
      </c>
      <c r="J7596" s="3">
        <v>8407.34</v>
      </c>
      <c r="L7596">
        <v>7946</v>
      </c>
      <c r="M7596" t="s">
        <v>13633</v>
      </c>
      <c r="N7596" t="s">
        <v>30</v>
      </c>
      <c r="O7596" t="s">
        <v>31</v>
      </c>
      <c r="P7596" t="str">
        <f>"15208"</f>
        <v>15208</v>
      </c>
    </row>
    <row r="7597" spans="1:16" x14ac:dyDescent="0.25">
      <c r="A7597" t="str">
        <f>"1130175H00085    00"</f>
        <v>1130175H00085    00</v>
      </c>
      <c r="B7597" t="s">
        <v>16803</v>
      </c>
      <c r="C7597" t="s">
        <v>15982</v>
      </c>
      <c r="D7597" t="s">
        <v>20</v>
      </c>
      <c r="E7597" t="s">
        <v>39</v>
      </c>
      <c r="F7597">
        <v>0</v>
      </c>
      <c r="G7597">
        <v>0</v>
      </c>
      <c r="H7597">
        <v>19</v>
      </c>
      <c r="I7597" s="3">
        <v>5530.15</v>
      </c>
      <c r="J7597" s="3">
        <v>7089.83</v>
      </c>
      <c r="L7597">
        <v>7944</v>
      </c>
      <c r="M7597" t="s">
        <v>13633</v>
      </c>
      <c r="N7597" t="s">
        <v>30</v>
      </c>
      <c r="O7597" t="s">
        <v>31</v>
      </c>
      <c r="P7597" t="str">
        <f>"15208"</f>
        <v>15208</v>
      </c>
    </row>
    <row r="7598" spans="1:16" x14ac:dyDescent="0.25">
      <c r="A7598" t="str">
        <f>"1130175H00087    00"</f>
        <v>1130175H00087    00</v>
      </c>
      <c r="B7598" t="s">
        <v>16804</v>
      </c>
      <c r="C7598" t="s">
        <v>16805</v>
      </c>
      <c r="D7598" t="s">
        <v>20</v>
      </c>
      <c r="E7598" t="s">
        <v>39</v>
      </c>
      <c r="F7598">
        <v>0</v>
      </c>
      <c r="G7598">
        <v>0</v>
      </c>
      <c r="H7598">
        <v>7</v>
      </c>
      <c r="I7598" s="3">
        <v>4001.33</v>
      </c>
      <c r="J7598" s="3">
        <v>999.14</v>
      </c>
      <c r="L7598">
        <v>7940</v>
      </c>
      <c r="M7598" t="s">
        <v>13633</v>
      </c>
      <c r="N7598" t="s">
        <v>30</v>
      </c>
      <c r="O7598" t="s">
        <v>31</v>
      </c>
      <c r="P7598" t="str">
        <f>"15208"</f>
        <v>15208</v>
      </c>
    </row>
    <row r="7599" spans="1:16" x14ac:dyDescent="0.25">
      <c r="A7599" t="str">
        <f>"1130175H00088    00"</f>
        <v>1130175H00088    00</v>
      </c>
      <c r="B7599" t="s">
        <v>16806</v>
      </c>
      <c r="C7599" t="s">
        <v>16807</v>
      </c>
      <c r="D7599" t="s">
        <v>20</v>
      </c>
      <c r="E7599" t="s">
        <v>39</v>
      </c>
      <c r="F7599">
        <v>0</v>
      </c>
      <c r="G7599">
        <v>0</v>
      </c>
      <c r="H7599">
        <v>3</v>
      </c>
      <c r="I7599" s="3">
        <v>1888.47</v>
      </c>
      <c r="J7599" s="3">
        <v>297.83</v>
      </c>
      <c r="K7599" t="s">
        <v>16808</v>
      </c>
      <c r="L7599">
        <v>322</v>
      </c>
      <c r="M7599" t="s">
        <v>16809</v>
      </c>
      <c r="N7599" t="s">
        <v>30</v>
      </c>
      <c r="O7599" t="s">
        <v>31</v>
      </c>
      <c r="P7599" t="str">
        <f>"15211"</f>
        <v>15211</v>
      </c>
    </row>
    <row r="7600" spans="1:16" x14ac:dyDescent="0.25">
      <c r="A7600" t="str">
        <f>"1130175H00091    00"</f>
        <v>1130175H00091    00</v>
      </c>
      <c r="B7600" t="s">
        <v>16810</v>
      </c>
      <c r="C7600" t="s">
        <v>15982</v>
      </c>
      <c r="D7600" t="s">
        <v>20</v>
      </c>
      <c r="E7600" t="s">
        <v>39</v>
      </c>
      <c r="F7600">
        <v>0</v>
      </c>
      <c r="G7600">
        <v>0</v>
      </c>
      <c r="H7600">
        <v>4</v>
      </c>
      <c r="I7600" s="3">
        <v>286.68</v>
      </c>
      <c r="J7600" s="3">
        <v>35.299999999999997</v>
      </c>
      <c r="L7600">
        <v>100</v>
      </c>
      <c r="M7600" t="s">
        <v>16811</v>
      </c>
      <c r="N7600" t="s">
        <v>8991</v>
      </c>
      <c r="O7600" t="s">
        <v>31</v>
      </c>
      <c r="P7600" t="str">
        <f>"15145"</f>
        <v>15145</v>
      </c>
    </row>
    <row r="7601" spans="1:16" x14ac:dyDescent="0.25">
      <c r="A7601" t="str">
        <f>"1130175H00101    00"</f>
        <v>1130175H00101    00</v>
      </c>
      <c r="B7601" t="s">
        <v>12570</v>
      </c>
      <c r="C7601" t="s">
        <v>16812</v>
      </c>
      <c r="D7601" t="s">
        <v>20</v>
      </c>
      <c r="E7601" t="s">
        <v>39</v>
      </c>
      <c r="F7601">
        <v>0</v>
      </c>
      <c r="G7601">
        <v>0</v>
      </c>
      <c r="H7601">
        <v>1</v>
      </c>
      <c r="I7601" s="3">
        <v>686.18</v>
      </c>
      <c r="J7601" s="3">
        <v>0</v>
      </c>
      <c r="K7601" t="s">
        <v>12572</v>
      </c>
      <c r="L7601">
        <v>46</v>
      </c>
      <c r="M7601" t="s">
        <v>913</v>
      </c>
      <c r="N7601" t="s">
        <v>914</v>
      </c>
      <c r="O7601" t="s">
        <v>200</v>
      </c>
      <c r="P7601" t="str">
        <f>"10952"</f>
        <v>10952</v>
      </c>
    </row>
    <row r="7602" spans="1:16" x14ac:dyDescent="0.25">
      <c r="A7602" t="str">
        <f>"1130175H00104    00"</f>
        <v>1130175H00104    00</v>
      </c>
      <c r="B7602" t="s">
        <v>16720</v>
      </c>
      <c r="C7602" t="s">
        <v>16576</v>
      </c>
      <c r="D7602" t="s">
        <v>20</v>
      </c>
      <c r="E7602" t="s">
        <v>39</v>
      </c>
      <c r="F7602">
        <v>0</v>
      </c>
      <c r="G7602">
        <v>0</v>
      </c>
      <c r="H7602">
        <v>2</v>
      </c>
      <c r="I7602" s="3">
        <v>45.74</v>
      </c>
      <c r="J7602" s="3">
        <v>0</v>
      </c>
      <c r="L7602">
        <v>7810</v>
      </c>
      <c r="M7602" t="s">
        <v>13633</v>
      </c>
      <c r="N7602" t="s">
        <v>30</v>
      </c>
      <c r="O7602" t="s">
        <v>31</v>
      </c>
      <c r="P7602" t="str">
        <f>"15208"</f>
        <v>15208</v>
      </c>
    </row>
    <row r="7603" spans="1:16" x14ac:dyDescent="0.25">
      <c r="A7603" t="str">
        <f>"1130175H00105    00"</f>
        <v>1130175H00105    00</v>
      </c>
      <c r="B7603" t="s">
        <v>16720</v>
      </c>
      <c r="C7603" t="s">
        <v>16576</v>
      </c>
      <c r="D7603" t="s">
        <v>20</v>
      </c>
      <c r="E7603" t="s">
        <v>39</v>
      </c>
      <c r="F7603">
        <v>0</v>
      </c>
      <c r="G7603">
        <v>0</v>
      </c>
      <c r="H7603">
        <v>3</v>
      </c>
      <c r="I7603" s="3">
        <v>49.62</v>
      </c>
      <c r="J7603" s="3">
        <v>0</v>
      </c>
      <c r="L7603">
        <v>7810</v>
      </c>
      <c r="M7603" t="s">
        <v>13633</v>
      </c>
      <c r="N7603" t="s">
        <v>30</v>
      </c>
      <c r="O7603" t="s">
        <v>31</v>
      </c>
      <c r="P7603" t="str">
        <f>"15208"</f>
        <v>15208</v>
      </c>
    </row>
    <row r="7604" spans="1:16" x14ac:dyDescent="0.25">
      <c r="A7604" t="str">
        <f>"1130175H00106    00"</f>
        <v>1130175H00106    00</v>
      </c>
      <c r="B7604" t="s">
        <v>16813</v>
      </c>
      <c r="C7604" t="s">
        <v>16814</v>
      </c>
      <c r="D7604" t="s">
        <v>20</v>
      </c>
      <c r="E7604" t="s">
        <v>39</v>
      </c>
      <c r="F7604">
        <v>0</v>
      </c>
      <c r="G7604">
        <v>0</v>
      </c>
      <c r="H7604">
        <v>1</v>
      </c>
      <c r="I7604" s="3">
        <v>91.64</v>
      </c>
      <c r="J7604" s="3">
        <v>0</v>
      </c>
      <c r="L7604">
        <v>520</v>
      </c>
      <c r="M7604" t="s">
        <v>14886</v>
      </c>
      <c r="N7604" t="s">
        <v>30</v>
      </c>
      <c r="O7604" t="s">
        <v>31</v>
      </c>
      <c r="P7604" t="str">
        <f>"15221"</f>
        <v>15221</v>
      </c>
    </row>
    <row r="7605" spans="1:16" x14ac:dyDescent="0.25">
      <c r="A7605" t="str">
        <f>"1130175H00115    00"</f>
        <v>1130175H00115    00</v>
      </c>
      <c r="B7605" t="s">
        <v>16815</v>
      </c>
      <c r="C7605" t="s">
        <v>16816</v>
      </c>
      <c r="D7605" t="s">
        <v>57</v>
      </c>
      <c r="E7605" t="s">
        <v>39</v>
      </c>
      <c r="F7605">
        <v>0</v>
      </c>
      <c r="G7605">
        <v>0</v>
      </c>
      <c r="H7605">
        <v>1</v>
      </c>
      <c r="I7605" s="3">
        <v>649.96</v>
      </c>
      <c r="J7605" s="3">
        <v>0</v>
      </c>
      <c r="K7605" t="s">
        <v>16817</v>
      </c>
      <c r="L7605">
        <v>229</v>
      </c>
      <c r="M7605" t="s">
        <v>16818</v>
      </c>
      <c r="N7605" t="s">
        <v>30</v>
      </c>
      <c r="O7605" t="s">
        <v>31</v>
      </c>
      <c r="P7605" t="str">
        <f>"15211"</f>
        <v>15211</v>
      </c>
    </row>
    <row r="7606" spans="1:16" x14ac:dyDescent="0.25">
      <c r="A7606" t="str">
        <f>"1130175H00117    00"</f>
        <v>1130175H00117    00</v>
      </c>
      <c r="B7606" t="s">
        <v>16819</v>
      </c>
      <c r="C7606" t="s">
        <v>15982</v>
      </c>
      <c r="D7606" t="s">
        <v>20</v>
      </c>
      <c r="E7606" t="s">
        <v>39</v>
      </c>
      <c r="F7606">
        <v>0</v>
      </c>
      <c r="G7606">
        <v>0</v>
      </c>
      <c r="H7606">
        <v>19</v>
      </c>
      <c r="I7606" s="3">
        <v>1809.66</v>
      </c>
      <c r="J7606" s="3">
        <v>1946.42</v>
      </c>
      <c r="K7606" t="s">
        <v>1008</v>
      </c>
      <c r="P7606" t="str">
        <f>""</f>
        <v/>
      </c>
    </row>
    <row r="7607" spans="1:16" x14ac:dyDescent="0.25">
      <c r="A7607" t="str">
        <f>"1130175H00118    00"</f>
        <v>1130175H00118    00</v>
      </c>
      <c r="B7607" t="s">
        <v>16820</v>
      </c>
      <c r="C7607" t="s">
        <v>14853</v>
      </c>
      <c r="D7607" t="s">
        <v>20</v>
      </c>
      <c r="E7607" t="s">
        <v>39</v>
      </c>
      <c r="F7607">
        <v>0</v>
      </c>
      <c r="G7607">
        <v>0</v>
      </c>
      <c r="H7607">
        <v>19</v>
      </c>
      <c r="I7607" s="3">
        <v>3614.12</v>
      </c>
      <c r="J7607" s="3">
        <v>4478</v>
      </c>
      <c r="K7607" t="s">
        <v>1008</v>
      </c>
      <c r="P7607" t="str">
        <f>""</f>
        <v/>
      </c>
    </row>
    <row r="7608" spans="1:16" x14ac:dyDescent="0.25">
      <c r="A7608" t="str">
        <f>"1130175H00120    00"</f>
        <v>1130175H00120    00</v>
      </c>
      <c r="B7608" t="s">
        <v>16821</v>
      </c>
      <c r="C7608" t="s">
        <v>16822</v>
      </c>
      <c r="D7608" t="s">
        <v>20</v>
      </c>
      <c r="E7608" t="s">
        <v>39</v>
      </c>
      <c r="F7608">
        <v>0</v>
      </c>
      <c r="G7608">
        <v>0</v>
      </c>
      <c r="H7608">
        <v>17</v>
      </c>
      <c r="I7608" s="3">
        <v>911.66</v>
      </c>
      <c r="J7608" s="3">
        <v>1247.96</v>
      </c>
      <c r="L7608">
        <v>5712</v>
      </c>
      <c r="M7608" t="s">
        <v>16823</v>
      </c>
      <c r="N7608" t="s">
        <v>30</v>
      </c>
      <c r="O7608" t="s">
        <v>31</v>
      </c>
      <c r="P7608" t="str">
        <f>"15206"</f>
        <v>15206</v>
      </c>
    </row>
    <row r="7609" spans="1:16" x14ac:dyDescent="0.25">
      <c r="A7609" t="str">
        <f>"1130175H00129    00"</f>
        <v>1130175H00129    00</v>
      </c>
      <c r="B7609" t="s">
        <v>16824</v>
      </c>
      <c r="C7609" t="s">
        <v>15982</v>
      </c>
      <c r="D7609" t="s">
        <v>20</v>
      </c>
      <c r="E7609" t="s">
        <v>39</v>
      </c>
      <c r="F7609">
        <v>0</v>
      </c>
      <c r="G7609">
        <v>0</v>
      </c>
      <c r="H7609">
        <v>19</v>
      </c>
      <c r="I7609" s="3">
        <v>548.29999999999995</v>
      </c>
      <c r="J7609" s="3">
        <v>649.78</v>
      </c>
      <c r="K7609" t="s">
        <v>1008</v>
      </c>
      <c r="P7609" t="str">
        <f>""</f>
        <v/>
      </c>
    </row>
    <row r="7610" spans="1:16" x14ac:dyDescent="0.25">
      <c r="A7610" t="str">
        <f>"1130175H00133    00"</f>
        <v>1130175H00133    00</v>
      </c>
      <c r="B7610" t="s">
        <v>13587</v>
      </c>
      <c r="C7610" t="s">
        <v>16825</v>
      </c>
      <c r="D7610" t="s">
        <v>20</v>
      </c>
      <c r="E7610" t="s">
        <v>39</v>
      </c>
      <c r="F7610">
        <v>0</v>
      </c>
      <c r="G7610">
        <v>0</v>
      </c>
      <c r="H7610">
        <v>2</v>
      </c>
      <c r="I7610" s="3">
        <v>1547.66</v>
      </c>
      <c r="J7610" s="3">
        <v>0</v>
      </c>
      <c r="L7610">
        <v>7945</v>
      </c>
      <c r="M7610" t="s">
        <v>13633</v>
      </c>
      <c r="N7610" t="s">
        <v>30</v>
      </c>
      <c r="O7610" t="s">
        <v>31</v>
      </c>
      <c r="P7610" t="str">
        <f>"15208"</f>
        <v>15208</v>
      </c>
    </row>
    <row r="7611" spans="1:16" x14ac:dyDescent="0.25">
      <c r="A7611" t="str">
        <f>"1130175H00134    00"</f>
        <v>1130175H00134    00</v>
      </c>
      <c r="B7611" t="s">
        <v>16826</v>
      </c>
      <c r="C7611" t="s">
        <v>16827</v>
      </c>
      <c r="D7611" t="s">
        <v>20</v>
      </c>
      <c r="E7611" t="s">
        <v>39</v>
      </c>
      <c r="F7611">
        <v>0</v>
      </c>
      <c r="G7611">
        <v>0</v>
      </c>
      <c r="H7611">
        <v>3</v>
      </c>
      <c r="I7611" s="3">
        <v>701.8</v>
      </c>
      <c r="J7611" s="3">
        <v>58.26</v>
      </c>
      <c r="L7611">
        <v>7951</v>
      </c>
      <c r="M7611" t="s">
        <v>13633</v>
      </c>
      <c r="N7611" t="s">
        <v>30</v>
      </c>
      <c r="O7611" t="s">
        <v>31</v>
      </c>
      <c r="P7611" t="str">
        <f>"15208"</f>
        <v>15208</v>
      </c>
    </row>
    <row r="7612" spans="1:16" x14ac:dyDescent="0.25">
      <c r="A7612" t="str">
        <f>"1130175H00138    00"</f>
        <v>1130175H00138    00</v>
      </c>
      <c r="B7612" t="s">
        <v>16828</v>
      </c>
      <c r="C7612" t="s">
        <v>15982</v>
      </c>
      <c r="D7612" t="s">
        <v>20</v>
      </c>
      <c r="E7612" t="s">
        <v>39</v>
      </c>
      <c r="F7612">
        <v>0</v>
      </c>
      <c r="G7612">
        <v>0</v>
      </c>
      <c r="H7612">
        <v>19</v>
      </c>
      <c r="I7612" s="3">
        <v>1806.85</v>
      </c>
      <c r="J7612" s="3">
        <v>1922.53</v>
      </c>
      <c r="P7612" t="str">
        <f>""</f>
        <v/>
      </c>
    </row>
    <row r="7613" spans="1:16" x14ac:dyDescent="0.25">
      <c r="A7613" t="str">
        <f>"1130175H00172    00"</f>
        <v>1130175H00172    00</v>
      </c>
      <c r="B7613" t="s">
        <v>16829</v>
      </c>
      <c r="C7613" t="s">
        <v>16560</v>
      </c>
      <c r="D7613" t="s">
        <v>20</v>
      </c>
      <c r="E7613" t="s">
        <v>39</v>
      </c>
      <c r="F7613">
        <v>0</v>
      </c>
      <c r="G7613">
        <v>0</v>
      </c>
      <c r="H7613">
        <v>19</v>
      </c>
      <c r="I7613" s="3">
        <v>6602.08</v>
      </c>
      <c r="J7613" s="3">
        <v>8865.2199999999993</v>
      </c>
      <c r="L7613">
        <v>1035</v>
      </c>
      <c r="M7613" t="s">
        <v>16830</v>
      </c>
      <c r="N7613" t="s">
        <v>30</v>
      </c>
      <c r="O7613" t="s">
        <v>31</v>
      </c>
      <c r="P7613" t="str">
        <f>"15221"</f>
        <v>15221</v>
      </c>
    </row>
    <row r="7614" spans="1:16" x14ac:dyDescent="0.25">
      <c r="A7614" t="str">
        <f>"1130175H00173    00"</f>
        <v>1130175H00173    00</v>
      </c>
      <c r="B7614" t="s">
        <v>16831</v>
      </c>
      <c r="C7614" t="s">
        <v>16560</v>
      </c>
      <c r="D7614" t="s">
        <v>20</v>
      </c>
      <c r="E7614" t="s">
        <v>39</v>
      </c>
      <c r="F7614">
        <v>0</v>
      </c>
      <c r="G7614">
        <v>0</v>
      </c>
      <c r="H7614">
        <v>19</v>
      </c>
      <c r="I7614" s="3">
        <v>4845.32</v>
      </c>
      <c r="J7614" s="3">
        <v>6340.54</v>
      </c>
      <c r="L7614">
        <v>916</v>
      </c>
      <c r="M7614" t="s">
        <v>16832</v>
      </c>
      <c r="N7614" t="s">
        <v>30</v>
      </c>
      <c r="O7614" t="s">
        <v>31</v>
      </c>
      <c r="P7614" t="str">
        <f>"15206"</f>
        <v>15206</v>
      </c>
    </row>
    <row r="7615" spans="1:16" x14ac:dyDescent="0.25">
      <c r="A7615" t="str">
        <f>"1130175H00174    00"</f>
        <v>1130175H00174    00</v>
      </c>
      <c r="B7615" t="s">
        <v>2428</v>
      </c>
      <c r="C7615" t="s">
        <v>16833</v>
      </c>
      <c r="D7615" t="s">
        <v>20</v>
      </c>
      <c r="E7615" t="s">
        <v>39</v>
      </c>
      <c r="F7615">
        <v>0</v>
      </c>
      <c r="G7615">
        <v>0</v>
      </c>
      <c r="H7615">
        <v>13</v>
      </c>
      <c r="I7615" s="3">
        <v>1357.16</v>
      </c>
      <c r="J7615" s="3">
        <v>713.59</v>
      </c>
      <c r="L7615">
        <v>7930</v>
      </c>
      <c r="M7615" t="s">
        <v>13544</v>
      </c>
      <c r="N7615" t="s">
        <v>30</v>
      </c>
      <c r="O7615" t="s">
        <v>31</v>
      </c>
      <c r="P7615" t="str">
        <f>"15208"</f>
        <v>15208</v>
      </c>
    </row>
    <row r="7616" spans="1:16" x14ac:dyDescent="0.25">
      <c r="A7616" t="str">
        <f>"1130175H00175    00"</f>
        <v>1130175H00175    00</v>
      </c>
      <c r="B7616" t="s">
        <v>16834</v>
      </c>
      <c r="C7616" t="s">
        <v>16560</v>
      </c>
      <c r="D7616" t="s">
        <v>20</v>
      </c>
      <c r="E7616" t="s">
        <v>39</v>
      </c>
      <c r="F7616">
        <v>0</v>
      </c>
      <c r="G7616">
        <v>0</v>
      </c>
      <c r="H7616">
        <v>19</v>
      </c>
      <c r="I7616" s="3">
        <v>326.35000000000002</v>
      </c>
      <c r="J7616" s="3">
        <v>329.95</v>
      </c>
      <c r="K7616" t="s">
        <v>1008</v>
      </c>
      <c r="P7616" t="str">
        <f>""</f>
        <v/>
      </c>
    </row>
    <row r="7617" spans="1:16" x14ac:dyDescent="0.25">
      <c r="A7617" t="str">
        <f>"1130175H00176    00"</f>
        <v>1130175H00176    00</v>
      </c>
      <c r="B7617" t="s">
        <v>16835</v>
      </c>
      <c r="C7617" t="s">
        <v>16836</v>
      </c>
      <c r="D7617" t="s">
        <v>20</v>
      </c>
      <c r="E7617" t="s">
        <v>39</v>
      </c>
      <c r="F7617">
        <v>0</v>
      </c>
      <c r="G7617">
        <v>0</v>
      </c>
      <c r="H7617">
        <v>3</v>
      </c>
      <c r="I7617" s="3">
        <v>94.99</v>
      </c>
      <c r="J7617" s="3">
        <v>1.22</v>
      </c>
      <c r="L7617">
        <v>7934</v>
      </c>
      <c r="M7617" t="s">
        <v>13544</v>
      </c>
      <c r="N7617" t="s">
        <v>30</v>
      </c>
      <c r="O7617" t="s">
        <v>31</v>
      </c>
      <c r="P7617" t="str">
        <f>"15208"</f>
        <v>15208</v>
      </c>
    </row>
    <row r="7618" spans="1:16" x14ac:dyDescent="0.25">
      <c r="A7618" t="str">
        <f>"1130175H00177    00"</f>
        <v>1130175H00177    00</v>
      </c>
      <c r="B7618" t="s">
        <v>16837</v>
      </c>
      <c r="C7618" t="s">
        <v>16838</v>
      </c>
      <c r="D7618" t="s">
        <v>20</v>
      </c>
      <c r="E7618" t="s">
        <v>39</v>
      </c>
      <c r="F7618">
        <v>0</v>
      </c>
      <c r="G7618">
        <v>0</v>
      </c>
      <c r="H7618">
        <v>4</v>
      </c>
      <c r="I7618" s="3">
        <v>1338.64</v>
      </c>
      <c r="J7618" s="3">
        <v>178.88</v>
      </c>
      <c r="M7618" t="s">
        <v>16839</v>
      </c>
      <c r="N7618" t="s">
        <v>30</v>
      </c>
      <c r="O7618" t="s">
        <v>31</v>
      </c>
      <c r="P7618" t="str">
        <f>"15230"</f>
        <v>15230</v>
      </c>
    </row>
    <row r="7619" spans="1:16" x14ac:dyDescent="0.25">
      <c r="A7619" t="str">
        <f>"1130175H00178    00"</f>
        <v>1130175H00178    00</v>
      </c>
      <c r="B7619" t="s">
        <v>16840</v>
      </c>
      <c r="C7619" t="s">
        <v>16841</v>
      </c>
      <c r="D7619" t="s">
        <v>20</v>
      </c>
      <c r="E7619" t="s">
        <v>39</v>
      </c>
      <c r="F7619">
        <v>0</v>
      </c>
      <c r="G7619">
        <v>0</v>
      </c>
      <c r="H7619">
        <v>2</v>
      </c>
      <c r="I7619" s="3">
        <v>958.72</v>
      </c>
      <c r="J7619" s="3">
        <v>0</v>
      </c>
      <c r="K7619" t="s">
        <v>16842</v>
      </c>
      <c r="L7619">
        <v>7938</v>
      </c>
      <c r="M7619" t="s">
        <v>13544</v>
      </c>
      <c r="N7619" t="s">
        <v>30</v>
      </c>
      <c r="O7619" t="s">
        <v>31</v>
      </c>
      <c r="P7619" t="str">
        <f>"15208"</f>
        <v>15208</v>
      </c>
    </row>
    <row r="7620" spans="1:16" x14ac:dyDescent="0.25">
      <c r="A7620" t="str">
        <f>"1130175H00179    00"</f>
        <v>1130175H00179    00</v>
      </c>
      <c r="B7620" t="s">
        <v>16843</v>
      </c>
      <c r="C7620" t="s">
        <v>16560</v>
      </c>
      <c r="D7620" t="s">
        <v>20</v>
      </c>
      <c r="E7620" t="s">
        <v>39</v>
      </c>
      <c r="F7620">
        <v>0</v>
      </c>
      <c r="G7620">
        <v>0</v>
      </c>
      <c r="H7620">
        <v>19</v>
      </c>
      <c r="I7620" s="3">
        <v>597.58000000000004</v>
      </c>
      <c r="J7620" s="3">
        <v>720.7</v>
      </c>
      <c r="K7620" t="s">
        <v>1037</v>
      </c>
      <c r="L7620">
        <v>7940</v>
      </c>
      <c r="M7620" t="s">
        <v>13544</v>
      </c>
      <c r="N7620" t="s">
        <v>30</v>
      </c>
      <c r="O7620" t="s">
        <v>31</v>
      </c>
      <c r="P7620" t="str">
        <f>"15208"</f>
        <v>15208</v>
      </c>
    </row>
    <row r="7621" spans="1:16" x14ac:dyDescent="0.25">
      <c r="A7621" t="str">
        <f>"1130175H00180    00"</f>
        <v>1130175H00180    00</v>
      </c>
      <c r="B7621" t="s">
        <v>13853</v>
      </c>
      <c r="C7621" t="s">
        <v>16560</v>
      </c>
      <c r="E7621" t="s">
        <v>39</v>
      </c>
      <c r="F7621">
        <v>0</v>
      </c>
      <c r="G7621">
        <v>0</v>
      </c>
      <c r="H7621">
        <v>4</v>
      </c>
      <c r="I7621" s="3">
        <v>24.42</v>
      </c>
      <c r="J7621" s="3">
        <v>4.7699999999999996</v>
      </c>
      <c r="K7621" t="s">
        <v>16844</v>
      </c>
      <c r="L7621">
        <v>1724</v>
      </c>
      <c r="M7621" t="s">
        <v>13856</v>
      </c>
      <c r="N7621" t="s">
        <v>30</v>
      </c>
      <c r="O7621" t="s">
        <v>31</v>
      </c>
      <c r="P7621" t="str">
        <f>"15212"</f>
        <v>15212</v>
      </c>
    </row>
    <row r="7622" spans="1:16" x14ac:dyDescent="0.25">
      <c r="A7622" t="str">
        <f>"1130175H00181    00"</f>
        <v>1130175H00181    00</v>
      </c>
      <c r="B7622" t="s">
        <v>16845</v>
      </c>
      <c r="C7622" t="s">
        <v>16560</v>
      </c>
      <c r="D7622" t="s">
        <v>20</v>
      </c>
      <c r="E7622" t="s">
        <v>39</v>
      </c>
      <c r="F7622">
        <v>0</v>
      </c>
      <c r="G7622">
        <v>0</v>
      </c>
      <c r="H7622">
        <v>11</v>
      </c>
      <c r="I7622" s="3">
        <v>635.03</v>
      </c>
      <c r="J7622" s="3">
        <v>479.99</v>
      </c>
      <c r="K7622" t="s">
        <v>16846</v>
      </c>
      <c r="L7622">
        <v>3505</v>
      </c>
      <c r="M7622" t="s">
        <v>16847</v>
      </c>
      <c r="N7622" t="s">
        <v>16848</v>
      </c>
      <c r="O7622" t="s">
        <v>31</v>
      </c>
      <c r="P7622" t="str">
        <f>"19090"</f>
        <v>19090</v>
      </c>
    </row>
    <row r="7623" spans="1:16" x14ac:dyDescent="0.25">
      <c r="A7623" t="str">
        <f>"1130175H00187    00"</f>
        <v>1130175H00187    00</v>
      </c>
      <c r="B7623" t="s">
        <v>16849</v>
      </c>
      <c r="C7623" t="s">
        <v>16228</v>
      </c>
      <c r="D7623" t="s">
        <v>20</v>
      </c>
      <c r="E7623" t="s">
        <v>39</v>
      </c>
      <c r="F7623">
        <v>0</v>
      </c>
      <c r="G7623">
        <v>0</v>
      </c>
      <c r="H7623">
        <v>2</v>
      </c>
      <c r="I7623" s="3">
        <v>105.46</v>
      </c>
      <c r="J7623" s="3">
        <v>6.99</v>
      </c>
      <c r="K7623" t="s">
        <v>16850</v>
      </c>
      <c r="L7623">
        <v>1100</v>
      </c>
      <c r="M7623" t="s">
        <v>16851</v>
      </c>
      <c r="N7623" t="s">
        <v>526</v>
      </c>
      <c r="O7623" t="s">
        <v>31</v>
      </c>
      <c r="P7623" t="str">
        <f>"15301"</f>
        <v>15301</v>
      </c>
    </row>
    <row r="7624" spans="1:16" x14ac:dyDescent="0.25">
      <c r="A7624" t="str">
        <f>"1130175H00190    00"</f>
        <v>1130175H00190    00</v>
      </c>
      <c r="B7624" t="s">
        <v>16852</v>
      </c>
      <c r="C7624" t="s">
        <v>16228</v>
      </c>
      <c r="D7624" t="s">
        <v>20</v>
      </c>
      <c r="E7624" t="s">
        <v>39</v>
      </c>
      <c r="F7624">
        <v>0</v>
      </c>
      <c r="G7624">
        <v>0</v>
      </c>
      <c r="H7624">
        <v>5</v>
      </c>
      <c r="I7624" s="3">
        <v>6021.27</v>
      </c>
      <c r="J7624" s="3">
        <v>8995.7900000000009</v>
      </c>
      <c r="L7624">
        <v>724</v>
      </c>
      <c r="M7624" t="s">
        <v>11623</v>
      </c>
      <c r="N7624" t="s">
        <v>30</v>
      </c>
      <c r="O7624" t="s">
        <v>31</v>
      </c>
      <c r="P7624" t="str">
        <f>"15208"</f>
        <v>15208</v>
      </c>
    </row>
    <row r="7625" spans="1:16" x14ac:dyDescent="0.25">
      <c r="A7625" t="str">
        <f>"1130175H00193    00"</f>
        <v>1130175H00193    00</v>
      </c>
      <c r="B7625" t="s">
        <v>16853</v>
      </c>
      <c r="C7625" t="s">
        <v>16228</v>
      </c>
      <c r="D7625" t="s">
        <v>20</v>
      </c>
      <c r="E7625" t="s">
        <v>39</v>
      </c>
      <c r="F7625">
        <v>0</v>
      </c>
      <c r="G7625">
        <v>0</v>
      </c>
      <c r="H7625">
        <v>19</v>
      </c>
      <c r="I7625" s="3">
        <v>279.7</v>
      </c>
      <c r="J7625" s="3">
        <v>282.8</v>
      </c>
      <c r="K7625" t="s">
        <v>1008</v>
      </c>
      <c r="P7625" t="str">
        <f>""</f>
        <v/>
      </c>
    </row>
    <row r="7626" spans="1:16" x14ac:dyDescent="0.25">
      <c r="A7626" t="str">
        <f>"1130175H00197    00"</f>
        <v>1130175H00197    00</v>
      </c>
      <c r="B7626" t="s">
        <v>16854</v>
      </c>
      <c r="C7626" t="s">
        <v>16693</v>
      </c>
      <c r="D7626" t="s">
        <v>20</v>
      </c>
      <c r="E7626" t="s">
        <v>39</v>
      </c>
      <c r="F7626">
        <v>0</v>
      </c>
      <c r="G7626">
        <v>0</v>
      </c>
      <c r="H7626">
        <v>12</v>
      </c>
      <c r="I7626" s="3">
        <v>102.81</v>
      </c>
      <c r="J7626" s="3">
        <v>118.2</v>
      </c>
      <c r="K7626" t="s">
        <v>16855</v>
      </c>
      <c r="L7626">
        <v>11335</v>
      </c>
      <c r="M7626" t="s">
        <v>16856</v>
      </c>
      <c r="N7626" t="s">
        <v>16857</v>
      </c>
      <c r="O7626" t="s">
        <v>1005</v>
      </c>
      <c r="P7626" t="str">
        <f>"85363"</f>
        <v>85363</v>
      </c>
    </row>
    <row r="7627" spans="1:16" x14ac:dyDescent="0.25">
      <c r="A7627" t="str">
        <f>"1130175H00198    00"</f>
        <v>1130175H00198    00</v>
      </c>
      <c r="B7627" t="s">
        <v>16858</v>
      </c>
      <c r="C7627" t="s">
        <v>16859</v>
      </c>
      <c r="D7627" t="s">
        <v>20</v>
      </c>
      <c r="E7627" t="s">
        <v>39</v>
      </c>
      <c r="F7627">
        <v>0</v>
      </c>
      <c r="G7627">
        <v>0</v>
      </c>
      <c r="H7627">
        <v>1</v>
      </c>
      <c r="I7627" s="3">
        <v>237.5</v>
      </c>
      <c r="J7627" s="3">
        <v>0</v>
      </c>
      <c r="K7627" t="s">
        <v>16860</v>
      </c>
      <c r="L7627">
        <v>530</v>
      </c>
      <c r="M7627" t="s">
        <v>2802</v>
      </c>
      <c r="N7627" t="s">
        <v>30</v>
      </c>
      <c r="O7627" t="s">
        <v>31</v>
      </c>
      <c r="P7627" t="str">
        <f>"15208"</f>
        <v>15208</v>
      </c>
    </row>
    <row r="7628" spans="1:16" x14ac:dyDescent="0.25">
      <c r="A7628" t="str">
        <f>"1130175H00199    00"</f>
        <v>1130175H00199    00</v>
      </c>
      <c r="B7628" t="s">
        <v>16861</v>
      </c>
      <c r="C7628" t="s">
        <v>16862</v>
      </c>
      <c r="E7628" t="s">
        <v>39</v>
      </c>
      <c r="F7628">
        <v>0</v>
      </c>
      <c r="G7628">
        <v>0</v>
      </c>
      <c r="H7628">
        <v>1</v>
      </c>
      <c r="I7628" s="3">
        <v>90.91</v>
      </c>
      <c r="J7628" s="3">
        <v>171.96</v>
      </c>
      <c r="L7628">
        <v>529</v>
      </c>
      <c r="M7628" t="s">
        <v>16863</v>
      </c>
      <c r="N7628" t="s">
        <v>16864</v>
      </c>
      <c r="O7628" t="s">
        <v>108</v>
      </c>
      <c r="P7628" t="str">
        <f>"75044"</f>
        <v>75044</v>
      </c>
    </row>
    <row r="7629" spans="1:16" x14ac:dyDescent="0.25">
      <c r="A7629" t="str">
        <f>"1130175H00204    00"</f>
        <v>1130175H00204    00</v>
      </c>
      <c r="B7629" t="s">
        <v>16865</v>
      </c>
      <c r="C7629" t="s">
        <v>16866</v>
      </c>
      <c r="D7629" t="s">
        <v>20</v>
      </c>
      <c r="E7629" t="s">
        <v>39</v>
      </c>
      <c r="F7629">
        <v>0</v>
      </c>
      <c r="G7629">
        <v>0</v>
      </c>
      <c r="H7629">
        <v>19</v>
      </c>
      <c r="I7629" s="3">
        <v>7364.52</v>
      </c>
      <c r="J7629" s="3">
        <v>9423.2800000000007</v>
      </c>
      <c r="L7629">
        <v>512</v>
      </c>
      <c r="M7629" t="s">
        <v>2802</v>
      </c>
      <c r="N7629" t="s">
        <v>30</v>
      </c>
      <c r="O7629" t="s">
        <v>31</v>
      </c>
      <c r="P7629" t="str">
        <f>"15208"</f>
        <v>15208</v>
      </c>
    </row>
    <row r="7630" spans="1:16" x14ac:dyDescent="0.25">
      <c r="A7630" t="str">
        <f>"1130175H00205    00"</f>
        <v>1130175H00205    00</v>
      </c>
      <c r="B7630" t="s">
        <v>16867</v>
      </c>
      <c r="C7630" t="s">
        <v>16868</v>
      </c>
      <c r="D7630" t="s">
        <v>20</v>
      </c>
      <c r="E7630" t="s">
        <v>39</v>
      </c>
      <c r="F7630">
        <v>0</v>
      </c>
      <c r="G7630">
        <v>0</v>
      </c>
      <c r="H7630">
        <v>19</v>
      </c>
      <c r="I7630" s="3">
        <v>12636.49</v>
      </c>
      <c r="J7630" s="3">
        <v>15670.55</v>
      </c>
      <c r="L7630">
        <v>512</v>
      </c>
      <c r="M7630" t="s">
        <v>2802</v>
      </c>
      <c r="N7630" t="s">
        <v>30</v>
      </c>
      <c r="O7630" t="s">
        <v>31</v>
      </c>
      <c r="P7630" t="str">
        <f>"15208"</f>
        <v>15208</v>
      </c>
    </row>
    <row r="7631" spans="1:16" x14ac:dyDescent="0.25">
      <c r="A7631" t="str">
        <f>"1130175H00207    00"</f>
        <v>1130175H00207    00</v>
      </c>
      <c r="B7631" t="s">
        <v>3958</v>
      </c>
      <c r="C7631" t="s">
        <v>16869</v>
      </c>
      <c r="D7631" t="s">
        <v>20</v>
      </c>
      <c r="E7631" t="s">
        <v>39</v>
      </c>
      <c r="F7631">
        <v>0</v>
      </c>
      <c r="G7631">
        <v>0</v>
      </c>
      <c r="H7631">
        <v>11</v>
      </c>
      <c r="I7631" s="3">
        <v>1602.04</v>
      </c>
      <c r="J7631" s="3">
        <v>707.08</v>
      </c>
      <c r="L7631">
        <v>1216</v>
      </c>
      <c r="M7631" t="s">
        <v>3959</v>
      </c>
      <c r="N7631" t="s">
        <v>30</v>
      </c>
      <c r="O7631" t="s">
        <v>31</v>
      </c>
      <c r="P7631" t="str">
        <f>"15221"</f>
        <v>15221</v>
      </c>
    </row>
    <row r="7632" spans="1:16" x14ac:dyDescent="0.25">
      <c r="A7632" t="str">
        <f>"1130175H00208    00"</f>
        <v>1130175H00208    00</v>
      </c>
      <c r="B7632" t="s">
        <v>16870</v>
      </c>
      <c r="C7632" t="s">
        <v>16871</v>
      </c>
      <c r="D7632" t="s">
        <v>20</v>
      </c>
      <c r="E7632" t="s">
        <v>39</v>
      </c>
      <c r="F7632">
        <v>0</v>
      </c>
      <c r="G7632">
        <v>0</v>
      </c>
      <c r="H7632">
        <v>1</v>
      </c>
      <c r="I7632" s="3">
        <v>905.36</v>
      </c>
      <c r="J7632" s="3">
        <v>0</v>
      </c>
      <c r="L7632">
        <v>504</v>
      </c>
      <c r="M7632" t="s">
        <v>2802</v>
      </c>
      <c r="N7632" t="s">
        <v>30</v>
      </c>
      <c r="O7632" t="s">
        <v>31</v>
      </c>
      <c r="P7632" t="str">
        <f>"15208"</f>
        <v>15208</v>
      </c>
    </row>
    <row r="7633" spans="1:16" x14ac:dyDescent="0.25">
      <c r="A7633" t="str">
        <f>"1130175H00210    00"</f>
        <v>1130175H00210    00</v>
      </c>
      <c r="B7633" t="s">
        <v>3958</v>
      </c>
      <c r="C7633" t="s">
        <v>16228</v>
      </c>
      <c r="D7633" t="s">
        <v>20</v>
      </c>
      <c r="E7633" t="s">
        <v>39</v>
      </c>
      <c r="F7633">
        <v>0</v>
      </c>
      <c r="G7633">
        <v>0</v>
      </c>
      <c r="H7633">
        <v>19</v>
      </c>
      <c r="I7633" s="3">
        <v>1773.68</v>
      </c>
      <c r="J7633" s="3">
        <v>1868.93</v>
      </c>
      <c r="L7633">
        <v>1216</v>
      </c>
      <c r="M7633" t="s">
        <v>3959</v>
      </c>
      <c r="N7633" t="s">
        <v>30</v>
      </c>
      <c r="O7633" t="s">
        <v>31</v>
      </c>
      <c r="P7633" t="str">
        <f>"15221"</f>
        <v>15221</v>
      </c>
    </row>
    <row r="7634" spans="1:16" x14ac:dyDescent="0.25">
      <c r="A7634" t="str">
        <f>"1130175H00222    00"</f>
        <v>1130175H00222    00</v>
      </c>
      <c r="B7634" t="s">
        <v>3660</v>
      </c>
      <c r="C7634" t="s">
        <v>16693</v>
      </c>
      <c r="D7634" t="s">
        <v>20</v>
      </c>
      <c r="E7634" t="s">
        <v>39</v>
      </c>
      <c r="F7634">
        <v>0</v>
      </c>
      <c r="G7634">
        <v>0</v>
      </c>
      <c r="H7634">
        <v>17</v>
      </c>
      <c r="I7634" s="3">
        <v>196.54</v>
      </c>
      <c r="J7634" s="3">
        <v>217.52</v>
      </c>
      <c r="L7634">
        <v>2615</v>
      </c>
      <c r="M7634" t="s">
        <v>3661</v>
      </c>
      <c r="N7634" t="s">
        <v>139</v>
      </c>
      <c r="O7634" t="s">
        <v>31</v>
      </c>
      <c r="P7634" t="str">
        <f>"15090"</f>
        <v>15090</v>
      </c>
    </row>
    <row r="7635" spans="1:16" x14ac:dyDescent="0.25">
      <c r="A7635" t="str">
        <f>"1130175H00224    00"</f>
        <v>1130175H00224    00</v>
      </c>
      <c r="B7635" t="s">
        <v>16872</v>
      </c>
      <c r="C7635" t="s">
        <v>16873</v>
      </c>
      <c r="D7635" t="s">
        <v>20</v>
      </c>
      <c r="E7635" t="s">
        <v>39</v>
      </c>
      <c r="F7635">
        <v>0</v>
      </c>
      <c r="G7635">
        <v>0</v>
      </c>
      <c r="H7635">
        <v>19</v>
      </c>
      <c r="I7635" s="3">
        <v>12709.15</v>
      </c>
      <c r="J7635" s="3">
        <v>13520.54</v>
      </c>
      <c r="P7635" t="str">
        <f>""</f>
        <v/>
      </c>
    </row>
    <row r="7636" spans="1:16" x14ac:dyDescent="0.25">
      <c r="A7636" t="str">
        <f>"1130175H00225    00"</f>
        <v>1130175H00225    00</v>
      </c>
      <c r="B7636" t="s">
        <v>16874</v>
      </c>
      <c r="C7636" t="s">
        <v>16693</v>
      </c>
      <c r="D7636" t="s">
        <v>20</v>
      </c>
      <c r="E7636" t="s">
        <v>39</v>
      </c>
      <c r="F7636">
        <v>0</v>
      </c>
      <c r="G7636">
        <v>0</v>
      </c>
      <c r="H7636">
        <v>19</v>
      </c>
      <c r="I7636" s="3">
        <v>3745.1</v>
      </c>
      <c r="J7636" s="3">
        <v>5511.93</v>
      </c>
      <c r="L7636">
        <v>8021</v>
      </c>
      <c r="M7636" t="s">
        <v>16875</v>
      </c>
      <c r="N7636" t="s">
        <v>30</v>
      </c>
      <c r="O7636" t="s">
        <v>31</v>
      </c>
      <c r="P7636" t="str">
        <f>"15221"</f>
        <v>15221</v>
      </c>
    </row>
    <row r="7637" spans="1:16" x14ac:dyDescent="0.25">
      <c r="A7637" t="str">
        <f>"1130175H00226    00"</f>
        <v>1130175H00226    00</v>
      </c>
      <c r="B7637" t="s">
        <v>16876</v>
      </c>
      <c r="C7637" t="s">
        <v>16877</v>
      </c>
      <c r="E7637" t="s">
        <v>39</v>
      </c>
      <c r="F7637">
        <v>0</v>
      </c>
      <c r="G7637">
        <v>0</v>
      </c>
      <c r="H7637">
        <v>3</v>
      </c>
      <c r="I7637" s="3">
        <v>180.51</v>
      </c>
      <c r="J7637" s="3">
        <v>86.32</v>
      </c>
      <c r="L7637">
        <v>624</v>
      </c>
      <c r="M7637" t="s">
        <v>14521</v>
      </c>
      <c r="N7637" t="s">
        <v>30</v>
      </c>
      <c r="O7637" t="s">
        <v>31</v>
      </c>
      <c r="P7637" t="str">
        <f>"15221"</f>
        <v>15221</v>
      </c>
    </row>
    <row r="7638" spans="1:16" x14ac:dyDescent="0.25">
      <c r="A7638" t="str">
        <f>"1130175H00227    00"</f>
        <v>1130175H00227    00</v>
      </c>
      <c r="B7638" t="s">
        <v>16878</v>
      </c>
      <c r="C7638" t="s">
        <v>16879</v>
      </c>
      <c r="D7638" t="s">
        <v>20</v>
      </c>
      <c r="E7638" t="s">
        <v>39</v>
      </c>
      <c r="F7638">
        <v>0</v>
      </c>
      <c r="G7638">
        <v>0</v>
      </c>
      <c r="H7638">
        <v>4</v>
      </c>
      <c r="I7638" s="3">
        <v>1526.45</v>
      </c>
      <c r="J7638" s="3">
        <v>180.31</v>
      </c>
      <c r="L7638">
        <v>640</v>
      </c>
      <c r="M7638" t="s">
        <v>14521</v>
      </c>
      <c r="N7638" t="s">
        <v>30</v>
      </c>
      <c r="O7638" t="s">
        <v>31</v>
      </c>
      <c r="P7638" t="str">
        <f>"15221"</f>
        <v>15221</v>
      </c>
    </row>
    <row r="7639" spans="1:16" x14ac:dyDescent="0.25">
      <c r="A7639" t="str">
        <f>"1130175H00231    00"</f>
        <v>1130175H00231    00</v>
      </c>
      <c r="B7639" t="s">
        <v>16880</v>
      </c>
      <c r="C7639" t="s">
        <v>16693</v>
      </c>
      <c r="D7639" t="s">
        <v>20</v>
      </c>
      <c r="E7639" t="s">
        <v>39</v>
      </c>
      <c r="F7639">
        <v>0</v>
      </c>
      <c r="G7639">
        <v>0</v>
      </c>
      <c r="H7639">
        <v>17</v>
      </c>
      <c r="I7639" s="3">
        <v>196.54</v>
      </c>
      <c r="J7639" s="3">
        <v>217.52</v>
      </c>
      <c r="K7639" t="s">
        <v>1008</v>
      </c>
      <c r="P7639" t="str">
        <f>""</f>
        <v/>
      </c>
    </row>
    <row r="7640" spans="1:16" x14ac:dyDescent="0.25">
      <c r="A7640" t="str">
        <f>"1130175H00234    00"</f>
        <v>1130175H00234    00</v>
      </c>
      <c r="B7640" t="s">
        <v>16881</v>
      </c>
      <c r="C7640" t="s">
        <v>16693</v>
      </c>
      <c r="D7640" t="s">
        <v>20</v>
      </c>
      <c r="E7640" t="s">
        <v>39</v>
      </c>
      <c r="F7640">
        <v>0</v>
      </c>
      <c r="G7640">
        <v>0</v>
      </c>
      <c r="H7640">
        <v>19</v>
      </c>
      <c r="I7640" s="3">
        <v>1163.5999999999999</v>
      </c>
      <c r="J7640" s="3">
        <v>1151.75</v>
      </c>
      <c r="L7640">
        <v>8617</v>
      </c>
      <c r="M7640" t="s">
        <v>8864</v>
      </c>
      <c r="N7640" t="s">
        <v>30</v>
      </c>
      <c r="O7640" t="s">
        <v>31</v>
      </c>
      <c r="P7640" t="str">
        <f>"15235"</f>
        <v>15235</v>
      </c>
    </row>
    <row r="7641" spans="1:16" x14ac:dyDescent="0.25">
      <c r="A7641" t="str">
        <f>"1130175H00240    00"</f>
        <v>1130175H00240    00</v>
      </c>
      <c r="B7641" t="s">
        <v>16882</v>
      </c>
      <c r="C7641" t="s">
        <v>16883</v>
      </c>
      <c r="D7641" t="s">
        <v>20</v>
      </c>
      <c r="E7641" t="s">
        <v>39</v>
      </c>
      <c r="F7641">
        <v>0</v>
      </c>
      <c r="G7641">
        <v>0</v>
      </c>
      <c r="H7641">
        <v>12</v>
      </c>
      <c r="I7641" s="3">
        <v>3696.96</v>
      </c>
      <c r="J7641" s="3">
        <v>1944.65</v>
      </c>
      <c r="L7641">
        <v>521</v>
      </c>
      <c r="M7641" t="s">
        <v>16208</v>
      </c>
      <c r="N7641" t="s">
        <v>30</v>
      </c>
      <c r="O7641" t="s">
        <v>31</v>
      </c>
      <c r="P7641" t="str">
        <f>"15221"</f>
        <v>15221</v>
      </c>
    </row>
    <row r="7642" spans="1:16" x14ac:dyDescent="0.25">
      <c r="A7642" t="str">
        <f>"1130175H00241    00"</f>
        <v>1130175H00241    00</v>
      </c>
      <c r="B7642" t="s">
        <v>16884</v>
      </c>
      <c r="C7642" t="s">
        <v>16322</v>
      </c>
      <c r="D7642" t="s">
        <v>20</v>
      </c>
      <c r="E7642" t="s">
        <v>39</v>
      </c>
      <c r="F7642">
        <v>0</v>
      </c>
      <c r="G7642">
        <v>0</v>
      </c>
      <c r="H7642">
        <v>19</v>
      </c>
      <c r="I7642" s="3">
        <v>1806.85</v>
      </c>
      <c r="J7642" s="3">
        <v>1922.53</v>
      </c>
      <c r="P7642" t="str">
        <f>""</f>
        <v/>
      </c>
    </row>
    <row r="7643" spans="1:16" x14ac:dyDescent="0.25">
      <c r="A7643" t="str">
        <f>"1130175H00242    00"</f>
        <v>1130175H00242    00</v>
      </c>
      <c r="B7643" t="s">
        <v>16884</v>
      </c>
      <c r="C7643" t="s">
        <v>16322</v>
      </c>
      <c r="D7643" t="s">
        <v>20</v>
      </c>
      <c r="E7643" t="s">
        <v>39</v>
      </c>
      <c r="F7643">
        <v>0</v>
      </c>
      <c r="G7643">
        <v>0</v>
      </c>
      <c r="H7643">
        <v>19</v>
      </c>
      <c r="I7643" s="3">
        <v>1806.85</v>
      </c>
      <c r="J7643" s="3">
        <v>1922.53</v>
      </c>
      <c r="L7643">
        <v>218</v>
      </c>
      <c r="M7643" t="s">
        <v>5665</v>
      </c>
      <c r="N7643" t="s">
        <v>30</v>
      </c>
      <c r="O7643" t="s">
        <v>31</v>
      </c>
      <c r="P7643" t="str">
        <f>"15221"</f>
        <v>15221</v>
      </c>
    </row>
    <row r="7644" spans="1:16" x14ac:dyDescent="0.25">
      <c r="A7644" t="str">
        <f>"1130175H00243    00"</f>
        <v>1130175H00243    00</v>
      </c>
      <c r="B7644" t="s">
        <v>16884</v>
      </c>
      <c r="C7644" t="s">
        <v>16322</v>
      </c>
      <c r="D7644" t="s">
        <v>20</v>
      </c>
      <c r="E7644" t="s">
        <v>39</v>
      </c>
      <c r="F7644">
        <v>0</v>
      </c>
      <c r="G7644">
        <v>0</v>
      </c>
      <c r="H7644">
        <v>19</v>
      </c>
      <c r="I7644" s="3">
        <v>1806.85</v>
      </c>
      <c r="J7644" s="3">
        <v>1922.53</v>
      </c>
      <c r="P7644" t="str">
        <f>""</f>
        <v/>
      </c>
    </row>
    <row r="7645" spans="1:16" x14ac:dyDescent="0.25">
      <c r="A7645" t="str">
        <f>"1130175H00245    00"</f>
        <v>1130175H00245    00</v>
      </c>
      <c r="B7645" t="s">
        <v>16885</v>
      </c>
      <c r="C7645" t="s">
        <v>16886</v>
      </c>
      <c r="D7645" t="s">
        <v>20</v>
      </c>
      <c r="E7645" t="s">
        <v>39</v>
      </c>
      <c r="F7645">
        <v>0</v>
      </c>
      <c r="G7645">
        <v>0</v>
      </c>
      <c r="H7645">
        <v>19</v>
      </c>
      <c r="I7645" s="3">
        <v>326.35000000000002</v>
      </c>
      <c r="J7645" s="3">
        <v>329.95</v>
      </c>
      <c r="L7645">
        <v>755</v>
      </c>
      <c r="M7645" t="s">
        <v>16887</v>
      </c>
      <c r="N7645" t="s">
        <v>30</v>
      </c>
      <c r="O7645" t="s">
        <v>31</v>
      </c>
      <c r="P7645" t="str">
        <f>"15221"</f>
        <v>15221</v>
      </c>
    </row>
    <row r="7646" spans="1:16" x14ac:dyDescent="0.25">
      <c r="A7646" t="str">
        <f>"1130175H00246    00"</f>
        <v>1130175H00246    00</v>
      </c>
      <c r="B7646" t="s">
        <v>16888</v>
      </c>
      <c r="C7646" t="s">
        <v>16889</v>
      </c>
      <c r="E7646" t="s">
        <v>39</v>
      </c>
      <c r="F7646">
        <v>0</v>
      </c>
      <c r="G7646">
        <v>0</v>
      </c>
      <c r="H7646">
        <v>1</v>
      </c>
      <c r="I7646" s="3">
        <v>37.58</v>
      </c>
      <c r="J7646" s="3">
        <v>0</v>
      </c>
      <c r="K7646" t="s">
        <v>16890</v>
      </c>
      <c r="L7646">
        <v>1434</v>
      </c>
      <c r="M7646" t="s">
        <v>16891</v>
      </c>
      <c r="N7646" t="s">
        <v>903</v>
      </c>
      <c r="O7646" t="s">
        <v>31</v>
      </c>
      <c r="P7646" t="str">
        <f>"15136"</f>
        <v>15136</v>
      </c>
    </row>
    <row r="7647" spans="1:16" x14ac:dyDescent="0.25">
      <c r="A7647" t="str">
        <f>"1130175L00003    00"</f>
        <v>1130175L00003    00</v>
      </c>
      <c r="B7647" t="s">
        <v>16892</v>
      </c>
      <c r="C7647" t="s">
        <v>16576</v>
      </c>
      <c r="D7647" t="s">
        <v>20</v>
      </c>
      <c r="E7647" t="s">
        <v>39</v>
      </c>
      <c r="F7647">
        <v>0</v>
      </c>
      <c r="G7647">
        <v>0</v>
      </c>
      <c r="H7647">
        <v>2</v>
      </c>
      <c r="I7647" s="3">
        <v>19.52</v>
      </c>
      <c r="J7647" s="3">
        <v>0</v>
      </c>
      <c r="L7647">
        <v>308</v>
      </c>
      <c r="M7647" t="s">
        <v>16893</v>
      </c>
      <c r="N7647" t="s">
        <v>30</v>
      </c>
      <c r="O7647" t="s">
        <v>31</v>
      </c>
      <c r="P7647" t="str">
        <f>"15238"</f>
        <v>15238</v>
      </c>
    </row>
    <row r="7648" spans="1:16" x14ac:dyDescent="0.25">
      <c r="A7648" t="str">
        <f>"1130175L00004    00"</f>
        <v>1130175L00004    00</v>
      </c>
      <c r="B7648" t="s">
        <v>16892</v>
      </c>
      <c r="C7648" t="s">
        <v>16576</v>
      </c>
      <c r="D7648" t="s">
        <v>20</v>
      </c>
      <c r="E7648" t="s">
        <v>39</v>
      </c>
      <c r="F7648">
        <v>0</v>
      </c>
      <c r="G7648">
        <v>0</v>
      </c>
      <c r="H7648">
        <v>2</v>
      </c>
      <c r="I7648" s="3">
        <v>19.52</v>
      </c>
      <c r="J7648" s="3">
        <v>0</v>
      </c>
      <c r="L7648">
        <v>308</v>
      </c>
      <c r="M7648" t="s">
        <v>16893</v>
      </c>
      <c r="N7648" t="s">
        <v>30</v>
      </c>
      <c r="O7648" t="s">
        <v>31</v>
      </c>
      <c r="P7648" t="str">
        <f>"15238"</f>
        <v>15238</v>
      </c>
    </row>
    <row r="7649" spans="1:16" x14ac:dyDescent="0.25">
      <c r="A7649" t="str">
        <f>"1130175L00006    00"</f>
        <v>1130175L00006    00</v>
      </c>
      <c r="B7649" t="s">
        <v>16894</v>
      </c>
      <c r="C7649" t="s">
        <v>16895</v>
      </c>
      <c r="D7649" t="s">
        <v>20</v>
      </c>
      <c r="E7649" t="s">
        <v>21</v>
      </c>
      <c r="F7649">
        <v>0</v>
      </c>
      <c r="G7649">
        <v>0</v>
      </c>
      <c r="H7649">
        <v>2</v>
      </c>
      <c r="I7649" s="3">
        <v>872.96</v>
      </c>
      <c r="J7649" s="3">
        <v>0</v>
      </c>
      <c r="L7649">
        <v>440</v>
      </c>
      <c r="M7649" t="s">
        <v>16896</v>
      </c>
      <c r="N7649" t="s">
        <v>295</v>
      </c>
      <c r="O7649" t="s">
        <v>31</v>
      </c>
      <c r="P7649" t="str">
        <f>"15146"</f>
        <v>15146</v>
      </c>
    </row>
    <row r="7650" spans="1:16" x14ac:dyDescent="0.25">
      <c r="A7650" t="str">
        <f>"1130175M00003    00"</f>
        <v>1130175M00003    00</v>
      </c>
      <c r="B7650" t="s">
        <v>16897</v>
      </c>
      <c r="C7650" t="s">
        <v>16898</v>
      </c>
      <c r="D7650" t="s">
        <v>20</v>
      </c>
      <c r="E7650" t="s">
        <v>39</v>
      </c>
      <c r="F7650">
        <v>0</v>
      </c>
      <c r="G7650">
        <v>0</v>
      </c>
      <c r="H7650">
        <v>7</v>
      </c>
      <c r="I7650" s="3">
        <v>2570.9</v>
      </c>
      <c r="J7650" s="3">
        <v>710.92</v>
      </c>
      <c r="L7650">
        <v>7928</v>
      </c>
      <c r="M7650" t="s">
        <v>16774</v>
      </c>
      <c r="N7650" t="s">
        <v>30</v>
      </c>
      <c r="O7650" t="s">
        <v>31</v>
      </c>
      <c r="P7650" t="str">
        <f>"15221"</f>
        <v>15221</v>
      </c>
    </row>
    <row r="7651" spans="1:16" x14ac:dyDescent="0.25">
      <c r="A7651" t="str">
        <f>"1130175M00005    00"</f>
        <v>1130175M00005    00</v>
      </c>
      <c r="B7651" t="s">
        <v>16899</v>
      </c>
      <c r="C7651" t="s">
        <v>16900</v>
      </c>
      <c r="D7651" t="s">
        <v>20</v>
      </c>
      <c r="E7651" t="s">
        <v>39</v>
      </c>
      <c r="F7651">
        <v>0</v>
      </c>
      <c r="G7651">
        <v>0</v>
      </c>
      <c r="H7651">
        <v>2</v>
      </c>
      <c r="I7651" s="3">
        <v>402.43</v>
      </c>
      <c r="J7651" s="3">
        <v>49.51</v>
      </c>
      <c r="L7651">
        <v>7930</v>
      </c>
      <c r="M7651" t="s">
        <v>16774</v>
      </c>
      <c r="N7651" t="s">
        <v>30</v>
      </c>
      <c r="O7651" t="s">
        <v>31</v>
      </c>
      <c r="P7651" t="str">
        <f>"15221"</f>
        <v>15221</v>
      </c>
    </row>
    <row r="7652" spans="1:16" x14ac:dyDescent="0.25">
      <c r="A7652" t="str">
        <f>"1130175M00007    00"</f>
        <v>1130175M00007    00</v>
      </c>
      <c r="B7652" t="s">
        <v>16901</v>
      </c>
      <c r="C7652" t="s">
        <v>16902</v>
      </c>
      <c r="D7652" t="s">
        <v>20</v>
      </c>
      <c r="E7652" t="s">
        <v>39</v>
      </c>
      <c r="F7652">
        <v>0</v>
      </c>
      <c r="G7652">
        <v>0</v>
      </c>
      <c r="H7652">
        <v>13</v>
      </c>
      <c r="I7652" s="3">
        <v>3884.3</v>
      </c>
      <c r="J7652" s="3">
        <v>1798.32</v>
      </c>
      <c r="K7652" t="s">
        <v>16903</v>
      </c>
      <c r="L7652">
        <v>2405</v>
      </c>
      <c r="M7652" t="s">
        <v>16904</v>
      </c>
      <c r="N7652" t="s">
        <v>30</v>
      </c>
      <c r="O7652" t="s">
        <v>31</v>
      </c>
      <c r="P7652" t="str">
        <f>"15221"</f>
        <v>15221</v>
      </c>
    </row>
    <row r="7653" spans="1:16" x14ac:dyDescent="0.25">
      <c r="A7653" t="str">
        <f>"1130175M00009    00"</f>
        <v>1130175M00009    00</v>
      </c>
      <c r="B7653" t="s">
        <v>16905</v>
      </c>
      <c r="C7653" t="s">
        <v>16906</v>
      </c>
      <c r="D7653" t="s">
        <v>20</v>
      </c>
      <c r="E7653" t="s">
        <v>39</v>
      </c>
      <c r="F7653">
        <v>0</v>
      </c>
      <c r="G7653">
        <v>0</v>
      </c>
      <c r="H7653">
        <v>5</v>
      </c>
      <c r="I7653" s="3">
        <v>489.86</v>
      </c>
      <c r="J7653" s="3">
        <v>107.18</v>
      </c>
      <c r="L7653">
        <v>7936</v>
      </c>
      <c r="M7653" t="s">
        <v>16774</v>
      </c>
      <c r="N7653" t="s">
        <v>30</v>
      </c>
      <c r="O7653" t="s">
        <v>31</v>
      </c>
      <c r="P7653" t="str">
        <f>"15221"</f>
        <v>15221</v>
      </c>
    </row>
    <row r="7654" spans="1:16" x14ac:dyDescent="0.25">
      <c r="A7654" t="str">
        <f>"1130175M00010    00"</f>
        <v>1130175M00010    00</v>
      </c>
      <c r="B7654" t="s">
        <v>16907</v>
      </c>
      <c r="C7654" t="s">
        <v>16908</v>
      </c>
      <c r="D7654" t="s">
        <v>20</v>
      </c>
      <c r="E7654" t="s">
        <v>39</v>
      </c>
      <c r="F7654">
        <v>0</v>
      </c>
      <c r="G7654">
        <v>0</v>
      </c>
      <c r="H7654">
        <v>10</v>
      </c>
      <c r="I7654" s="3">
        <v>8005.11</v>
      </c>
      <c r="J7654" s="3">
        <v>3450.76</v>
      </c>
      <c r="L7654">
        <v>7922</v>
      </c>
      <c r="M7654" t="s">
        <v>11435</v>
      </c>
      <c r="N7654" t="s">
        <v>30</v>
      </c>
      <c r="O7654" t="s">
        <v>31</v>
      </c>
      <c r="P7654" t="str">
        <f>"15208"</f>
        <v>15208</v>
      </c>
    </row>
    <row r="7655" spans="1:16" x14ac:dyDescent="0.25">
      <c r="A7655" t="str">
        <f>"1130175M00013    00"</f>
        <v>1130175M00013    00</v>
      </c>
      <c r="B7655" t="s">
        <v>16909</v>
      </c>
      <c r="C7655" t="s">
        <v>16910</v>
      </c>
      <c r="D7655" t="s">
        <v>20</v>
      </c>
      <c r="E7655" t="s">
        <v>39</v>
      </c>
      <c r="F7655">
        <v>0</v>
      </c>
      <c r="G7655">
        <v>0</v>
      </c>
      <c r="H7655">
        <v>18</v>
      </c>
      <c r="I7655" s="3">
        <v>11329.47</v>
      </c>
      <c r="J7655" s="3">
        <v>11231.63</v>
      </c>
      <c r="L7655">
        <v>7942</v>
      </c>
      <c r="M7655" t="s">
        <v>16774</v>
      </c>
      <c r="N7655" t="s">
        <v>30</v>
      </c>
      <c r="O7655" t="s">
        <v>31</v>
      </c>
      <c r="P7655" t="str">
        <f>"15221"</f>
        <v>15221</v>
      </c>
    </row>
    <row r="7656" spans="1:16" x14ac:dyDescent="0.25">
      <c r="A7656" t="str">
        <f>"1130175M00029    00"</f>
        <v>1130175M00029    00</v>
      </c>
      <c r="B7656" t="s">
        <v>16911</v>
      </c>
      <c r="C7656" t="s">
        <v>16912</v>
      </c>
      <c r="D7656" t="s">
        <v>20</v>
      </c>
      <c r="E7656" t="s">
        <v>39</v>
      </c>
      <c r="F7656">
        <v>0</v>
      </c>
      <c r="G7656">
        <v>0</v>
      </c>
      <c r="H7656">
        <v>18</v>
      </c>
      <c r="I7656" s="3">
        <v>264.64</v>
      </c>
      <c r="J7656" s="3">
        <v>218.54</v>
      </c>
      <c r="L7656">
        <v>1218</v>
      </c>
      <c r="M7656" t="s">
        <v>15869</v>
      </c>
      <c r="N7656" t="s">
        <v>30</v>
      </c>
      <c r="O7656" t="s">
        <v>31</v>
      </c>
      <c r="P7656" t="str">
        <f>"15221"</f>
        <v>15221</v>
      </c>
    </row>
    <row r="7657" spans="1:16" x14ac:dyDescent="0.25">
      <c r="A7657" t="str">
        <f>"1130231B00157    00"</f>
        <v>1130231B00157    00</v>
      </c>
      <c r="B7657" t="s">
        <v>16913</v>
      </c>
      <c r="C7657" t="s">
        <v>16914</v>
      </c>
      <c r="D7657" t="s">
        <v>20</v>
      </c>
      <c r="E7657" t="s">
        <v>39</v>
      </c>
      <c r="F7657">
        <v>0</v>
      </c>
      <c r="G7657">
        <v>0</v>
      </c>
      <c r="H7657">
        <v>7</v>
      </c>
      <c r="I7657" s="3">
        <v>3079.48</v>
      </c>
      <c r="J7657" s="3">
        <v>740.03</v>
      </c>
      <c r="L7657">
        <v>1411</v>
      </c>
      <c r="M7657" t="s">
        <v>16915</v>
      </c>
      <c r="N7657" t="s">
        <v>30</v>
      </c>
      <c r="O7657" t="s">
        <v>31</v>
      </c>
      <c r="P7657" t="str">
        <f>"15221"</f>
        <v>15221</v>
      </c>
    </row>
    <row r="7658" spans="1:16" x14ac:dyDescent="0.25">
      <c r="A7658" t="str">
        <f>"1130231B00159    00"</f>
        <v>1130231B00159    00</v>
      </c>
      <c r="B7658" t="s">
        <v>16916</v>
      </c>
      <c r="C7658" t="s">
        <v>16917</v>
      </c>
      <c r="D7658" t="s">
        <v>20</v>
      </c>
      <c r="E7658" t="s">
        <v>39</v>
      </c>
      <c r="F7658">
        <v>0</v>
      </c>
      <c r="G7658">
        <v>0</v>
      </c>
      <c r="H7658">
        <v>17</v>
      </c>
      <c r="I7658" s="3">
        <v>13453.11</v>
      </c>
      <c r="J7658" s="3">
        <v>11397.08</v>
      </c>
      <c r="L7658">
        <v>5207</v>
      </c>
      <c r="M7658" t="s">
        <v>16918</v>
      </c>
      <c r="N7658" t="s">
        <v>2534</v>
      </c>
      <c r="O7658" t="s">
        <v>1184</v>
      </c>
      <c r="P7658" t="str">
        <f>"21215"</f>
        <v>21215</v>
      </c>
    </row>
    <row r="7659" spans="1:16" x14ac:dyDescent="0.25">
      <c r="A7659" t="str">
        <f>"1130231B00165    00"</f>
        <v>1130231B00165    00</v>
      </c>
      <c r="B7659" t="s">
        <v>16919</v>
      </c>
      <c r="C7659" t="s">
        <v>16920</v>
      </c>
      <c r="E7659" t="s">
        <v>39</v>
      </c>
      <c r="F7659">
        <v>0</v>
      </c>
      <c r="G7659">
        <v>0</v>
      </c>
      <c r="H7659">
        <v>1</v>
      </c>
      <c r="I7659" s="3">
        <v>62.16</v>
      </c>
      <c r="J7659" s="3">
        <v>0</v>
      </c>
      <c r="K7659" t="s">
        <v>16921</v>
      </c>
      <c r="L7659">
        <v>8601</v>
      </c>
      <c r="M7659" t="s">
        <v>16922</v>
      </c>
      <c r="N7659" t="s">
        <v>30</v>
      </c>
      <c r="O7659" t="s">
        <v>31</v>
      </c>
      <c r="P7659" t="str">
        <f>"15235"</f>
        <v>15235</v>
      </c>
    </row>
    <row r="7660" spans="1:16" x14ac:dyDescent="0.25">
      <c r="A7660" t="str">
        <f>"1130231B00169    00"</f>
        <v>1130231B00169    00</v>
      </c>
      <c r="B7660" t="s">
        <v>16923</v>
      </c>
      <c r="C7660" t="s">
        <v>16924</v>
      </c>
      <c r="D7660" t="s">
        <v>20</v>
      </c>
      <c r="E7660" t="s">
        <v>39</v>
      </c>
      <c r="F7660">
        <v>0</v>
      </c>
      <c r="G7660">
        <v>0</v>
      </c>
      <c r="H7660">
        <v>19</v>
      </c>
      <c r="I7660" s="3">
        <v>2043.01</v>
      </c>
      <c r="J7660" s="3">
        <v>2002.34</v>
      </c>
      <c r="L7660">
        <v>109</v>
      </c>
      <c r="M7660" t="s">
        <v>6506</v>
      </c>
      <c r="N7660" t="s">
        <v>30</v>
      </c>
      <c r="O7660" t="s">
        <v>31</v>
      </c>
      <c r="P7660" t="str">
        <f>"15224"</f>
        <v>15224</v>
      </c>
    </row>
    <row r="7661" spans="1:16" x14ac:dyDescent="0.25">
      <c r="A7661" t="str">
        <f>"1130231B00184    00"</f>
        <v>1130231B00184    00</v>
      </c>
      <c r="B7661" t="s">
        <v>16925</v>
      </c>
      <c r="C7661" t="s">
        <v>16926</v>
      </c>
      <c r="D7661" t="s">
        <v>20</v>
      </c>
      <c r="E7661" t="s">
        <v>39</v>
      </c>
      <c r="F7661">
        <v>0</v>
      </c>
      <c r="G7661">
        <v>0</v>
      </c>
      <c r="H7661">
        <v>3</v>
      </c>
      <c r="I7661" s="3">
        <v>1641.09</v>
      </c>
      <c r="J7661" s="3">
        <v>109.4</v>
      </c>
      <c r="K7661" t="s">
        <v>16927</v>
      </c>
      <c r="L7661">
        <v>8529</v>
      </c>
      <c r="M7661" t="s">
        <v>16922</v>
      </c>
      <c r="N7661" t="s">
        <v>30</v>
      </c>
      <c r="O7661" t="s">
        <v>31</v>
      </c>
      <c r="P7661" t="str">
        <f>"15235"</f>
        <v>15235</v>
      </c>
    </row>
    <row r="7662" spans="1:16" x14ac:dyDescent="0.25">
      <c r="A7662" t="str">
        <f>"1130231B00190    00"</f>
        <v>1130231B00190    00</v>
      </c>
      <c r="B7662" t="s">
        <v>16928</v>
      </c>
      <c r="C7662" t="s">
        <v>16929</v>
      </c>
      <c r="D7662" t="s">
        <v>20</v>
      </c>
      <c r="E7662" t="s">
        <v>39</v>
      </c>
      <c r="F7662">
        <v>0</v>
      </c>
      <c r="G7662">
        <v>0</v>
      </c>
      <c r="H7662">
        <v>16</v>
      </c>
      <c r="I7662" s="3">
        <v>6472.14</v>
      </c>
      <c r="J7662" s="3">
        <v>4151.04</v>
      </c>
      <c r="L7662">
        <v>707</v>
      </c>
      <c r="M7662" t="s">
        <v>2451</v>
      </c>
      <c r="N7662" t="s">
        <v>16930</v>
      </c>
      <c r="O7662" t="s">
        <v>31</v>
      </c>
      <c r="P7662" t="str">
        <f>"16641"</f>
        <v>16641</v>
      </c>
    </row>
    <row r="7663" spans="1:16" x14ac:dyDescent="0.25">
      <c r="A7663" t="str">
        <f>"1130231C00014    00"</f>
        <v>1130231C00014    00</v>
      </c>
      <c r="B7663" t="s">
        <v>16104</v>
      </c>
      <c r="C7663" t="s">
        <v>16931</v>
      </c>
      <c r="D7663" t="s">
        <v>20</v>
      </c>
      <c r="E7663" t="s">
        <v>39</v>
      </c>
      <c r="F7663">
        <v>0</v>
      </c>
      <c r="G7663">
        <v>0</v>
      </c>
      <c r="H7663">
        <v>1</v>
      </c>
      <c r="I7663" s="3">
        <v>106.55</v>
      </c>
      <c r="J7663" s="3">
        <v>29.3</v>
      </c>
      <c r="L7663">
        <v>8807</v>
      </c>
      <c r="M7663" t="s">
        <v>13958</v>
      </c>
      <c r="N7663" t="s">
        <v>30</v>
      </c>
      <c r="O7663" t="s">
        <v>31</v>
      </c>
      <c r="P7663" t="str">
        <f>"15221"</f>
        <v>15221</v>
      </c>
    </row>
    <row r="7664" spans="1:16" x14ac:dyDescent="0.25">
      <c r="A7664" t="str">
        <f>"1130231C00015    00"</f>
        <v>1130231C00015    00</v>
      </c>
      <c r="B7664" t="s">
        <v>16104</v>
      </c>
      <c r="C7664" t="s">
        <v>16932</v>
      </c>
      <c r="D7664" t="s">
        <v>20</v>
      </c>
      <c r="E7664" t="s">
        <v>39</v>
      </c>
      <c r="F7664">
        <v>0</v>
      </c>
      <c r="G7664">
        <v>0</v>
      </c>
      <c r="H7664">
        <v>1</v>
      </c>
      <c r="I7664" s="3">
        <v>85.33</v>
      </c>
      <c r="J7664" s="3">
        <v>23.46</v>
      </c>
      <c r="L7664">
        <v>8813</v>
      </c>
      <c r="M7664" t="s">
        <v>13958</v>
      </c>
      <c r="N7664" t="s">
        <v>30</v>
      </c>
      <c r="O7664" t="s">
        <v>31</v>
      </c>
      <c r="P7664" t="str">
        <f>"15221"</f>
        <v>15221</v>
      </c>
    </row>
    <row r="7665" spans="1:16" x14ac:dyDescent="0.25">
      <c r="A7665" t="str">
        <f>"1130231C00016    00"</f>
        <v>1130231C00016    00</v>
      </c>
      <c r="B7665" t="s">
        <v>16104</v>
      </c>
      <c r="C7665" t="s">
        <v>16933</v>
      </c>
      <c r="D7665" t="s">
        <v>20</v>
      </c>
      <c r="E7665" t="s">
        <v>39</v>
      </c>
      <c r="F7665">
        <v>0</v>
      </c>
      <c r="G7665">
        <v>0</v>
      </c>
      <c r="H7665">
        <v>1</v>
      </c>
      <c r="I7665" s="3">
        <v>92.21</v>
      </c>
      <c r="J7665" s="3">
        <v>25.36</v>
      </c>
      <c r="L7665">
        <v>8807</v>
      </c>
      <c r="M7665" t="s">
        <v>13958</v>
      </c>
      <c r="N7665" t="s">
        <v>30</v>
      </c>
      <c r="O7665" t="s">
        <v>31</v>
      </c>
      <c r="P7665" t="str">
        <f>"15221"</f>
        <v>15221</v>
      </c>
    </row>
    <row r="7666" spans="1:16" x14ac:dyDescent="0.25">
      <c r="A7666" t="str">
        <f>"1130231C00019    00"</f>
        <v>1130231C00019    00</v>
      </c>
      <c r="B7666" t="s">
        <v>16104</v>
      </c>
      <c r="C7666" t="s">
        <v>16934</v>
      </c>
      <c r="D7666" t="s">
        <v>20</v>
      </c>
      <c r="E7666" t="s">
        <v>39</v>
      </c>
      <c r="F7666">
        <v>0</v>
      </c>
      <c r="G7666">
        <v>0</v>
      </c>
      <c r="H7666">
        <v>3</v>
      </c>
      <c r="I7666" s="3">
        <v>2657.63</v>
      </c>
      <c r="J7666" s="3">
        <v>1400.69</v>
      </c>
      <c r="L7666">
        <v>8807</v>
      </c>
      <c r="M7666" t="s">
        <v>13958</v>
      </c>
      <c r="N7666" t="s">
        <v>30</v>
      </c>
      <c r="O7666" t="s">
        <v>31</v>
      </c>
      <c r="P7666" t="str">
        <f>"15221"</f>
        <v>15221</v>
      </c>
    </row>
    <row r="7667" spans="1:16" x14ac:dyDescent="0.25">
      <c r="A7667" t="str">
        <f>"1130231C00021    00"</f>
        <v>1130231C00021    00</v>
      </c>
      <c r="B7667" t="s">
        <v>16104</v>
      </c>
      <c r="C7667" t="s">
        <v>16935</v>
      </c>
      <c r="D7667" t="s">
        <v>20</v>
      </c>
      <c r="E7667" t="s">
        <v>39</v>
      </c>
      <c r="F7667">
        <v>0</v>
      </c>
      <c r="G7667">
        <v>0</v>
      </c>
      <c r="H7667">
        <v>1</v>
      </c>
      <c r="I7667" s="3">
        <v>945.51</v>
      </c>
      <c r="J7667" s="3">
        <v>260</v>
      </c>
      <c r="L7667">
        <v>8807</v>
      </c>
      <c r="M7667" t="s">
        <v>13958</v>
      </c>
      <c r="N7667" t="s">
        <v>30</v>
      </c>
      <c r="O7667" t="s">
        <v>31</v>
      </c>
      <c r="P7667" t="str">
        <f>"15221"</f>
        <v>15221</v>
      </c>
    </row>
    <row r="7668" spans="1:16" x14ac:dyDescent="0.25">
      <c r="A7668" t="str">
        <f>"1130231E00002    00"</f>
        <v>1130231E00002    00</v>
      </c>
      <c r="B7668" t="s">
        <v>16936</v>
      </c>
      <c r="C7668" t="s">
        <v>14853</v>
      </c>
      <c r="D7668" t="s">
        <v>20</v>
      </c>
      <c r="E7668" t="s">
        <v>39</v>
      </c>
      <c r="F7668">
        <v>0</v>
      </c>
      <c r="G7668">
        <v>0</v>
      </c>
      <c r="H7668">
        <v>18</v>
      </c>
      <c r="I7668" s="3">
        <v>1790.43</v>
      </c>
      <c r="J7668" s="3">
        <v>1783.44</v>
      </c>
      <c r="M7668" t="s">
        <v>16937</v>
      </c>
      <c r="P7668" t="str">
        <f>""</f>
        <v/>
      </c>
    </row>
    <row r="7669" spans="1:16" x14ac:dyDescent="0.25">
      <c r="A7669" t="str">
        <f>"1130231E00003    00"</f>
        <v>1130231E00003    00</v>
      </c>
      <c r="B7669" t="s">
        <v>16938</v>
      </c>
      <c r="C7669" t="s">
        <v>14853</v>
      </c>
      <c r="D7669" t="s">
        <v>20</v>
      </c>
      <c r="E7669" t="s">
        <v>39</v>
      </c>
      <c r="F7669">
        <v>0</v>
      </c>
      <c r="G7669">
        <v>0</v>
      </c>
      <c r="H7669">
        <v>18</v>
      </c>
      <c r="I7669" s="3">
        <v>1787.15</v>
      </c>
      <c r="J7669" s="3">
        <v>1831.65</v>
      </c>
      <c r="P7669" t="str">
        <f>""</f>
        <v/>
      </c>
    </row>
    <row r="7670" spans="1:16" x14ac:dyDescent="0.25">
      <c r="A7670" t="str">
        <f>"1130231E00005    00"</f>
        <v>1130231E00005    00</v>
      </c>
      <c r="B7670" t="s">
        <v>16939</v>
      </c>
      <c r="C7670" t="s">
        <v>14853</v>
      </c>
      <c r="D7670" t="s">
        <v>20</v>
      </c>
      <c r="E7670" t="s">
        <v>39</v>
      </c>
      <c r="F7670">
        <v>0</v>
      </c>
      <c r="G7670">
        <v>0</v>
      </c>
      <c r="H7670">
        <v>19</v>
      </c>
      <c r="I7670" s="3">
        <v>1886.67</v>
      </c>
      <c r="J7670" s="3">
        <v>1897.16</v>
      </c>
      <c r="P7670" t="str">
        <f>""</f>
        <v/>
      </c>
    </row>
    <row r="7671" spans="1:16" x14ac:dyDescent="0.25">
      <c r="A7671" t="str">
        <f>"1130231E00015    00"</f>
        <v>1130231E00015    00</v>
      </c>
      <c r="B7671" t="s">
        <v>16940</v>
      </c>
      <c r="C7671" t="s">
        <v>16941</v>
      </c>
      <c r="D7671" t="s">
        <v>20</v>
      </c>
      <c r="E7671" t="s">
        <v>39</v>
      </c>
      <c r="F7671">
        <v>0</v>
      </c>
      <c r="G7671">
        <v>0</v>
      </c>
      <c r="H7671">
        <v>19</v>
      </c>
      <c r="I7671" s="3">
        <v>2018.01</v>
      </c>
      <c r="J7671" s="3">
        <v>2146.5700000000002</v>
      </c>
      <c r="L7671">
        <v>1080</v>
      </c>
      <c r="M7671" t="s">
        <v>13892</v>
      </c>
      <c r="N7671" t="s">
        <v>30</v>
      </c>
      <c r="O7671" t="s">
        <v>31</v>
      </c>
      <c r="P7671" t="str">
        <f>"15221"</f>
        <v>15221</v>
      </c>
    </row>
    <row r="7672" spans="1:16" x14ac:dyDescent="0.25">
      <c r="A7672" t="str">
        <f>"1130231E00029    00"</f>
        <v>1130231E00029    00</v>
      </c>
      <c r="B7672" t="s">
        <v>16942</v>
      </c>
      <c r="C7672" t="s">
        <v>15413</v>
      </c>
      <c r="D7672" t="s">
        <v>20</v>
      </c>
      <c r="E7672" t="s">
        <v>39</v>
      </c>
      <c r="F7672">
        <v>0</v>
      </c>
      <c r="G7672">
        <v>0</v>
      </c>
      <c r="H7672">
        <v>19</v>
      </c>
      <c r="I7672" s="3">
        <v>1834.31</v>
      </c>
      <c r="J7672" s="3">
        <v>1981.87</v>
      </c>
      <c r="P7672" t="str">
        <f>""</f>
        <v/>
      </c>
    </row>
    <row r="7673" spans="1:16" x14ac:dyDescent="0.25">
      <c r="A7673" t="str">
        <f>"1130231E00030    00"</f>
        <v>1130231E00030    00</v>
      </c>
      <c r="B7673" t="s">
        <v>16943</v>
      </c>
      <c r="C7673" t="s">
        <v>16944</v>
      </c>
      <c r="D7673" t="s">
        <v>20</v>
      </c>
      <c r="E7673" t="s">
        <v>39</v>
      </c>
      <c r="F7673">
        <v>0</v>
      </c>
      <c r="G7673">
        <v>0</v>
      </c>
      <c r="H7673">
        <v>19</v>
      </c>
      <c r="I7673" s="3">
        <v>5940.21</v>
      </c>
      <c r="J7673" s="3">
        <v>7002.75</v>
      </c>
      <c r="L7673">
        <v>1210</v>
      </c>
      <c r="M7673" t="s">
        <v>16945</v>
      </c>
      <c r="N7673" t="s">
        <v>30</v>
      </c>
      <c r="O7673" t="s">
        <v>31</v>
      </c>
      <c r="P7673" t="str">
        <f>"15221"</f>
        <v>15221</v>
      </c>
    </row>
    <row r="7674" spans="1:16" x14ac:dyDescent="0.25">
      <c r="A7674" t="str">
        <f>"1130231E00032    00"</f>
        <v>1130231E00032    00</v>
      </c>
      <c r="B7674" t="s">
        <v>16946</v>
      </c>
      <c r="C7674" t="s">
        <v>15413</v>
      </c>
      <c r="D7674" t="s">
        <v>20</v>
      </c>
      <c r="E7674" t="s">
        <v>39</v>
      </c>
      <c r="F7674">
        <v>0</v>
      </c>
      <c r="G7674">
        <v>0</v>
      </c>
      <c r="H7674">
        <v>19</v>
      </c>
      <c r="I7674" s="3">
        <v>1661.73</v>
      </c>
      <c r="J7674" s="3">
        <v>1733.26</v>
      </c>
      <c r="P7674" t="str">
        <f>""</f>
        <v/>
      </c>
    </row>
    <row r="7675" spans="1:16" x14ac:dyDescent="0.25">
      <c r="A7675" t="str">
        <f>"1130231E00033    00"</f>
        <v>1130231E00033    00</v>
      </c>
      <c r="B7675" t="s">
        <v>16947</v>
      </c>
      <c r="C7675" t="s">
        <v>16948</v>
      </c>
      <c r="D7675" t="s">
        <v>20</v>
      </c>
      <c r="E7675" t="s">
        <v>39</v>
      </c>
      <c r="F7675">
        <v>0</v>
      </c>
      <c r="G7675">
        <v>0</v>
      </c>
      <c r="H7675">
        <v>5</v>
      </c>
      <c r="I7675" s="3">
        <v>187.3</v>
      </c>
      <c r="J7675" s="3">
        <v>32.29</v>
      </c>
      <c r="K7675" t="s">
        <v>16949</v>
      </c>
      <c r="L7675">
        <v>1214</v>
      </c>
      <c r="M7675" t="s">
        <v>16945</v>
      </c>
      <c r="N7675" t="s">
        <v>30</v>
      </c>
      <c r="O7675" t="s">
        <v>31</v>
      </c>
      <c r="P7675" t="str">
        <f>"15221"</f>
        <v>15221</v>
      </c>
    </row>
    <row r="7676" spans="1:16" x14ac:dyDescent="0.25">
      <c r="A7676" t="str">
        <f>"1130231E00034    00"</f>
        <v>1130231E00034    00</v>
      </c>
      <c r="B7676" t="s">
        <v>16950</v>
      </c>
      <c r="C7676" t="s">
        <v>15413</v>
      </c>
      <c r="D7676" t="s">
        <v>20</v>
      </c>
      <c r="E7676" t="s">
        <v>39</v>
      </c>
      <c r="F7676">
        <v>0</v>
      </c>
      <c r="G7676">
        <v>0</v>
      </c>
      <c r="H7676">
        <v>19</v>
      </c>
      <c r="I7676" s="3">
        <v>1637</v>
      </c>
      <c r="J7676" s="3">
        <v>1697.65</v>
      </c>
      <c r="P7676" t="str">
        <f>""</f>
        <v/>
      </c>
    </row>
    <row r="7677" spans="1:16" x14ac:dyDescent="0.25">
      <c r="A7677" t="str">
        <f>"1130231E00035    00"</f>
        <v>1130231E00035    00</v>
      </c>
      <c r="B7677" t="s">
        <v>16951</v>
      </c>
      <c r="C7677" t="s">
        <v>15413</v>
      </c>
      <c r="D7677" t="s">
        <v>20</v>
      </c>
      <c r="E7677" t="s">
        <v>39</v>
      </c>
      <c r="F7677">
        <v>0</v>
      </c>
      <c r="G7677">
        <v>0</v>
      </c>
      <c r="H7677">
        <v>19</v>
      </c>
      <c r="I7677" s="3">
        <v>1787.59</v>
      </c>
      <c r="J7677" s="3">
        <v>1934.76</v>
      </c>
      <c r="L7677">
        <v>8103</v>
      </c>
      <c r="M7677" t="s">
        <v>2429</v>
      </c>
      <c r="N7677" t="s">
        <v>30</v>
      </c>
      <c r="O7677" t="s">
        <v>31</v>
      </c>
      <c r="P7677" t="str">
        <f>"15221"</f>
        <v>15221</v>
      </c>
    </row>
    <row r="7678" spans="1:16" x14ac:dyDescent="0.25">
      <c r="A7678" t="str">
        <f>"1130231E00075    00"</f>
        <v>1130231E00075    00</v>
      </c>
      <c r="B7678" t="s">
        <v>16952</v>
      </c>
      <c r="C7678" t="s">
        <v>16953</v>
      </c>
      <c r="D7678" t="s">
        <v>20</v>
      </c>
      <c r="E7678" t="s">
        <v>39</v>
      </c>
      <c r="F7678">
        <v>0</v>
      </c>
      <c r="G7678">
        <v>0</v>
      </c>
      <c r="H7678">
        <v>16</v>
      </c>
      <c r="I7678" s="3">
        <v>11126.36</v>
      </c>
      <c r="J7678" s="3">
        <v>11559.79</v>
      </c>
      <c r="L7678">
        <v>8612</v>
      </c>
      <c r="M7678" t="s">
        <v>13958</v>
      </c>
      <c r="N7678" t="s">
        <v>30</v>
      </c>
      <c r="O7678" t="s">
        <v>31</v>
      </c>
      <c r="P7678" t="str">
        <f>"15221"</f>
        <v>15221</v>
      </c>
    </row>
    <row r="7679" spans="1:16" x14ac:dyDescent="0.25">
      <c r="A7679" t="str">
        <f>"1130231E00079    00"</f>
        <v>1130231E00079    00</v>
      </c>
      <c r="B7679" t="s">
        <v>16954</v>
      </c>
      <c r="C7679" t="s">
        <v>16953</v>
      </c>
      <c r="D7679" t="s">
        <v>20</v>
      </c>
      <c r="E7679" t="s">
        <v>39</v>
      </c>
      <c r="F7679">
        <v>0</v>
      </c>
      <c r="G7679">
        <v>0</v>
      </c>
      <c r="H7679">
        <v>19</v>
      </c>
      <c r="I7679" s="3">
        <v>1787.59</v>
      </c>
      <c r="J7679" s="3">
        <v>1934.76</v>
      </c>
      <c r="L7679">
        <v>2166</v>
      </c>
      <c r="M7679" t="s">
        <v>16955</v>
      </c>
      <c r="N7679" t="s">
        <v>30</v>
      </c>
      <c r="O7679" t="s">
        <v>31</v>
      </c>
      <c r="P7679" t="str">
        <f>"15219"</f>
        <v>15219</v>
      </c>
    </row>
    <row r="7680" spans="1:16" x14ac:dyDescent="0.25">
      <c r="A7680" t="str">
        <f>"1130231E00085    00"</f>
        <v>1130231E00085    00</v>
      </c>
      <c r="B7680" t="s">
        <v>16956</v>
      </c>
      <c r="C7680" t="s">
        <v>16953</v>
      </c>
      <c r="D7680" t="s">
        <v>20</v>
      </c>
      <c r="E7680" t="s">
        <v>39</v>
      </c>
      <c r="F7680">
        <v>0</v>
      </c>
      <c r="G7680">
        <v>0</v>
      </c>
      <c r="H7680">
        <v>16</v>
      </c>
      <c r="I7680" s="3">
        <v>1305.71</v>
      </c>
      <c r="J7680" s="3">
        <v>1010.55</v>
      </c>
      <c r="L7680">
        <v>6957</v>
      </c>
      <c r="M7680" t="s">
        <v>4452</v>
      </c>
      <c r="N7680" t="s">
        <v>30</v>
      </c>
      <c r="O7680" t="s">
        <v>31</v>
      </c>
      <c r="P7680" t="str">
        <f>"15208"</f>
        <v>15208</v>
      </c>
    </row>
    <row r="7681" spans="1:16" x14ac:dyDescent="0.25">
      <c r="A7681" t="str">
        <f>"1130231E00087    00"</f>
        <v>1130231E00087    00</v>
      </c>
      <c r="B7681" t="s">
        <v>16957</v>
      </c>
      <c r="C7681" t="s">
        <v>16953</v>
      </c>
      <c r="D7681" t="s">
        <v>20</v>
      </c>
      <c r="E7681" t="s">
        <v>39</v>
      </c>
      <c r="F7681">
        <v>0</v>
      </c>
      <c r="G7681">
        <v>0</v>
      </c>
      <c r="H7681">
        <v>19</v>
      </c>
      <c r="I7681" s="3">
        <v>1911.31</v>
      </c>
      <c r="J7681" s="3">
        <v>1932.69</v>
      </c>
      <c r="L7681">
        <v>6491</v>
      </c>
      <c r="M7681" t="s">
        <v>9086</v>
      </c>
      <c r="N7681" t="s">
        <v>30</v>
      </c>
      <c r="O7681" t="s">
        <v>31</v>
      </c>
      <c r="P7681" t="str">
        <f>"15206"</f>
        <v>15206</v>
      </c>
    </row>
    <row r="7682" spans="1:16" x14ac:dyDescent="0.25">
      <c r="A7682" t="str">
        <f>"1130231E00089    00"</f>
        <v>1130231E00089    00</v>
      </c>
      <c r="B7682" t="s">
        <v>16958</v>
      </c>
      <c r="C7682" t="s">
        <v>16953</v>
      </c>
      <c r="D7682" t="s">
        <v>20</v>
      </c>
      <c r="E7682" t="s">
        <v>39</v>
      </c>
      <c r="F7682">
        <v>0</v>
      </c>
      <c r="G7682">
        <v>0</v>
      </c>
      <c r="H7682">
        <v>16</v>
      </c>
      <c r="I7682" s="3">
        <v>1305.71</v>
      </c>
      <c r="J7682" s="3">
        <v>1010.55</v>
      </c>
      <c r="L7682">
        <v>6957</v>
      </c>
      <c r="M7682" t="s">
        <v>4452</v>
      </c>
      <c r="N7682" t="s">
        <v>30</v>
      </c>
      <c r="O7682" t="s">
        <v>31</v>
      </c>
      <c r="P7682" t="str">
        <f>"15208"</f>
        <v>15208</v>
      </c>
    </row>
    <row r="7683" spans="1:16" x14ac:dyDescent="0.25">
      <c r="A7683" t="str">
        <f>"1130231E00091    00"</f>
        <v>1130231E00091    00</v>
      </c>
      <c r="B7683" t="s">
        <v>16959</v>
      </c>
      <c r="C7683" t="s">
        <v>16953</v>
      </c>
      <c r="D7683" t="s">
        <v>20</v>
      </c>
      <c r="E7683" t="s">
        <v>39</v>
      </c>
      <c r="F7683">
        <v>0</v>
      </c>
      <c r="G7683">
        <v>0</v>
      </c>
      <c r="H7683">
        <v>18</v>
      </c>
      <c r="I7683" s="3">
        <v>4509.62</v>
      </c>
      <c r="J7683" s="3">
        <v>5597.36</v>
      </c>
      <c r="K7683" t="s">
        <v>16960</v>
      </c>
      <c r="L7683">
        <v>6957</v>
      </c>
      <c r="M7683" t="s">
        <v>4452</v>
      </c>
      <c r="N7683" t="s">
        <v>30</v>
      </c>
      <c r="O7683" t="s">
        <v>31</v>
      </c>
      <c r="P7683" t="str">
        <f>"15208"</f>
        <v>15208</v>
      </c>
    </row>
    <row r="7684" spans="1:16" x14ac:dyDescent="0.25">
      <c r="A7684" t="str">
        <f>"1130231E00093    00"</f>
        <v>1130231E00093    00</v>
      </c>
      <c r="B7684" t="s">
        <v>16961</v>
      </c>
      <c r="C7684" t="s">
        <v>16953</v>
      </c>
      <c r="D7684" t="s">
        <v>20</v>
      </c>
      <c r="E7684" t="s">
        <v>39</v>
      </c>
      <c r="F7684">
        <v>0</v>
      </c>
      <c r="G7684">
        <v>0</v>
      </c>
      <c r="H7684">
        <v>19</v>
      </c>
      <c r="I7684" s="3">
        <v>3527.74</v>
      </c>
      <c r="J7684" s="3">
        <v>4158.8599999999997</v>
      </c>
      <c r="L7684">
        <v>1094</v>
      </c>
      <c r="M7684" t="s">
        <v>16962</v>
      </c>
      <c r="N7684" t="s">
        <v>30</v>
      </c>
      <c r="O7684" t="s">
        <v>31</v>
      </c>
      <c r="P7684" t="str">
        <f>"15221"</f>
        <v>15221</v>
      </c>
    </row>
    <row r="7685" spans="1:16" x14ac:dyDescent="0.25">
      <c r="A7685" t="str">
        <f>"1130231E00106    00"</f>
        <v>1130231E00106    00</v>
      </c>
      <c r="B7685" t="s">
        <v>16963</v>
      </c>
      <c r="C7685" t="s">
        <v>16953</v>
      </c>
      <c r="D7685" t="s">
        <v>20</v>
      </c>
      <c r="E7685" t="s">
        <v>39</v>
      </c>
      <c r="F7685">
        <v>0</v>
      </c>
      <c r="G7685">
        <v>0</v>
      </c>
      <c r="H7685">
        <v>14</v>
      </c>
      <c r="I7685" s="3">
        <v>3295.34</v>
      </c>
      <c r="J7685" s="3">
        <v>3502.97</v>
      </c>
      <c r="L7685">
        <v>6910</v>
      </c>
      <c r="M7685" t="s">
        <v>11228</v>
      </c>
      <c r="N7685" t="s">
        <v>30</v>
      </c>
      <c r="O7685" t="s">
        <v>31</v>
      </c>
      <c r="P7685" t="str">
        <f>"15206"</f>
        <v>15206</v>
      </c>
    </row>
    <row r="7686" spans="1:16" x14ac:dyDescent="0.25">
      <c r="A7686" t="str">
        <f>"1130231E00110    00"</f>
        <v>1130231E00110    00</v>
      </c>
      <c r="B7686" t="s">
        <v>16963</v>
      </c>
      <c r="C7686" t="s">
        <v>16953</v>
      </c>
      <c r="D7686" t="s">
        <v>20</v>
      </c>
      <c r="E7686" t="s">
        <v>39</v>
      </c>
      <c r="F7686">
        <v>0</v>
      </c>
      <c r="G7686">
        <v>0</v>
      </c>
      <c r="H7686">
        <v>14</v>
      </c>
      <c r="I7686" s="3">
        <v>245.9</v>
      </c>
      <c r="J7686" s="3">
        <v>163.86</v>
      </c>
      <c r="L7686">
        <v>6910</v>
      </c>
      <c r="M7686" t="s">
        <v>11228</v>
      </c>
      <c r="N7686" t="s">
        <v>30</v>
      </c>
      <c r="O7686" t="s">
        <v>31</v>
      </c>
      <c r="P7686" t="str">
        <f>"15206"</f>
        <v>15206</v>
      </c>
    </row>
    <row r="7687" spans="1:16" x14ac:dyDescent="0.25">
      <c r="A7687" t="str">
        <f>"1130231E00137    00"</f>
        <v>1130231E00137    00</v>
      </c>
      <c r="B7687" t="s">
        <v>16964</v>
      </c>
      <c r="C7687" t="s">
        <v>15451</v>
      </c>
      <c r="D7687" t="s">
        <v>20</v>
      </c>
      <c r="E7687" t="s">
        <v>39</v>
      </c>
      <c r="F7687">
        <v>0</v>
      </c>
      <c r="G7687">
        <v>0</v>
      </c>
      <c r="H7687">
        <v>19</v>
      </c>
      <c r="I7687" s="3">
        <v>2522.67</v>
      </c>
      <c r="J7687" s="3">
        <v>2567.65</v>
      </c>
      <c r="P7687" t="str">
        <f>""</f>
        <v/>
      </c>
    </row>
    <row r="7688" spans="1:16" x14ac:dyDescent="0.25">
      <c r="A7688" t="str">
        <f>"1130231E00147    00"</f>
        <v>1130231E00147    00</v>
      </c>
      <c r="B7688" t="s">
        <v>16965</v>
      </c>
      <c r="C7688" t="s">
        <v>16953</v>
      </c>
      <c r="D7688" t="s">
        <v>20</v>
      </c>
      <c r="E7688" t="s">
        <v>39</v>
      </c>
      <c r="F7688">
        <v>0</v>
      </c>
      <c r="G7688">
        <v>0</v>
      </c>
      <c r="H7688">
        <v>19</v>
      </c>
      <c r="I7688" s="3">
        <v>1938.61</v>
      </c>
      <c r="J7688" s="3">
        <v>1992.19</v>
      </c>
      <c r="L7688">
        <v>7220</v>
      </c>
      <c r="M7688" t="s">
        <v>15531</v>
      </c>
      <c r="N7688" t="s">
        <v>30</v>
      </c>
      <c r="O7688" t="s">
        <v>31</v>
      </c>
      <c r="P7688" t="str">
        <f>"15208"</f>
        <v>15208</v>
      </c>
    </row>
    <row r="7689" spans="1:16" x14ac:dyDescent="0.25">
      <c r="A7689" t="str">
        <f>"1130231E00148    00"</f>
        <v>1130231E00148    00</v>
      </c>
      <c r="B7689" t="s">
        <v>16966</v>
      </c>
      <c r="C7689" t="s">
        <v>16967</v>
      </c>
      <c r="D7689" t="s">
        <v>20</v>
      </c>
      <c r="E7689" t="s">
        <v>39</v>
      </c>
      <c r="F7689">
        <v>0</v>
      </c>
      <c r="G7689">
        <v>0</v>
      </c>
      <c r="H7689">
        <v>2</v>
      </c>
      <c r="I7689" s="3">
        <v>1370.74</v>
      </c>
      <c r="J7689" s="3">
        <v>0</v>
      </c>
      <c r="K7689" t="s">
        <v>5861</v>
      </c>
      <c r="L7689">
        <v>3001</v>
      </c>
      <c r="M7689" t="s">
        <v>330</v>
      </c>
      <c r="N7689" t="s">
        <v>331</v>
      </c>
      <c r="O7689" t="s">
        <v>108</v>
      </c>
      <c r="P7689" t="str">
        <f>"75063"</f>
        <v>75063</v>
      </c>
    </row>
    <row r="7690" spans="1:16" x14ac:dyDescent="0.25">
      <c r="A7690" t="str">
        <f>"1130231E00157    00"</f>
        <v>1130231E00157    00</v>
      </c>
      <c r="B7690" t="s">
        <v>16968</v>
      </c>
      <c r="C7690" t="s">
        <v>16969</v>
      </c>
      <c r="D7690" t="s">
        <v>20</v>
      </c>
      <c r="E7690" t="s">
        <v>39</v>
      </c>
      <c r="F7690">
        <v>0</v>
      </c>
      <c r="G7690">
        <v>0</v>
      </c>
      <c r="H7690">
        <v>2</v>
      </c>
      <c r="I7690" s="3">
        <v>1669.66</v>
      </c>
      <c r="J7690" s="3">
        <v>0</v>
      </c>
      <c r="K7690" t="s">
        <v>16970</v>
      </c>
      <c r="L7690">
        <v>1070</v>
      </c>
      <c r="M7690" t="s">
        <v>16962</v>
      </c>
      <c r="N7690" t="s">
        <v>30</v>
      </c>
      <c r="O7690" t="s">
        <v>31</v>
      </c>
      <c r="P7690" t="str">
        <f>"15221"</f>
        <v>15221</v>
      </c>
    </row>
    <row r="7691" spans="1:16" x14ac:dyDescent="0.25">
      <c r="A7691" t="str">
        <f>"1130231E00161    00"</f>
        <v>1130231E00161    00</v>
      </c>
      <c r="B7691" t="s">
        <v>12816</v>
      </c>
      <c r="C7691" t="s">
        <v>16971</v>
      </c>
      <c r="D7691" t="s">
        <v>20</v>
      </c>
      <c r="E7691" t="s">
        <v>39</v>
      </c>
      <c r="F7691">
        <v>0</v>
      </c>
      <c r="G7691">
        <v>0</v>
      </c>
      <c r="H7691">
        <v>2</v>
      </c>
      <c r="I7691" s="3">
        <v>1768.76</v>
      </c>
      <c r="J7691" s="3">
        <v>0</v>
      </c>
      <c r="K7691" t="s">
        <v>16972</v>
      </c>
      <c r="L7691">
        <v>6914</v>
      </c>
      <c r="M7691" t="s">
        <v>16973</v>
      </c>
      <c r="N7691" t="s">
        <v>30</v>
      </c>
      <c r="O7691" t="s">
        <v>31</v>
      </c>
      <c r="P7691" t="str">
        <f>"15206"</f>
        <v>15206</v>
      </c>
    </row>
    <row r="7692" spans="1:16" x14ac:dyDescent="0.25">
      <c r="A7692" t="str">
        <f>"1130231E00164    00"</f>
        <v>1130231E00164    00</v>
      </c>
      <c r="B7692" t="s">
        <v>16974</v>
      </c>
      <c r="C7692" t="s">
        <v>16975</v>
      </c>
      <c r="D7692" t="s">
        <v>20</v>
      </c>
      <c r="E7692" t="s">
        <v>39</v>
      </c>
      <c r="F7692">
        <v>0</v>
      </c>
      <c r="G7692">
        <v>0</v>
      </c>
      <c r="H7692">
        <v>3</v>
      </c>
      <c r="I7692" s="3">
        <v>2658.88</v>
      </c>
      <c r="J7692" s="3">
        <v>106.35</v>
      </c>
      <c r="L7692">
        <v>6914</v>
      </c>
      <c r="M7692" t="s">
        <v>16976</v>
      </c>
      <c r="N7692" t="s">
        <v>30</v>
      </c>
      <c r="O7692" t="s">
        <v>31</v>
      </c>
      <c r="P7692" t="str">
        <f>"15206"</f>
        <v>15206</v>
      </c>
    </row>
    <row r="7693" spans="1:16" x14ac:dyDescent="0.25">
      <c r="A7693" t="str">
        <f>"1130231E00166000100"</f>
        <v>1130231E00166000100</v>
      </c>
      <c r="B7693" t="s">
        <v>16977</v>
      </c>
      <c r="C7693" t="s">
        <v>16978</v>
      </c>
      <c r="D7693" t="s">
        <v>20</v>
      </c>
      <c r="E7693" t="s">
        <v>39</v>
      </c>
      <c r="F7693">
        <v>0</v>
      </c>
      <c r="G7693">
        <v>0</v>
      </c>
      <c r="H7693">
        <v>17</v>
      </c>
      <c r="I7693" s="3">
        <v>196.54</v>
      </c>
      <c r="J7693" s="3">
        <v>217.52</v>
      </c>
      <c r="L7693">
        <v>6947</v>
      </c>
      <c r="M7693" t="s">
        <v>4452</v>
      </c>
      <c r="N7693" t="s">
        <v>30</v>
      </c>
      <c r="O7693" t="s">
        <v>31</v>
      </c>
      <c r="P7693" t="str">
        <f>"15208"</f>
        <v>15208</v>
      </c>
    </row>
    <row r="7694" spans="1:16" x14ac:dyDescent="0.25">
      <c r="A7694" t="str">
        <f>"1130231E00167    00"</f>
        <v>1130231E00167    00</v>
      </c>
      <c r="B7694" t="s">
        <v>16979</v>
      </c>
      <c r="C7694" t="s">
        <v>16978</v>
      </c>
      <c r="D7694" t="s">
        <v>20</v>
      </c>
      <c r="E7694" t="s">
        <v>39</v>
      </c>
      <c r="F7694">
        <v>0</v>
      </c>
      <c r="G7694">
        <v>0</v>
      </c>
      <c r="H7694">
        <v>10</v>
      </c>
      <c r="I7694" s="3">
        <v>966.3</v>
      </c>
      <c r="J7694" s="3">
        <v>1476.91</v>
      </c>
      <c r="K7694" t="s">
        <v>16980</v>
      </c>
      <c r="L7694">
        <v>2851</v>
      </c>
      <c r="M7694" t="s">
        <v>16981</v>
      </c>
      <c r="N7694" t="s">
        <v>30</v>
      </c>
      <c r="O7694" t="s">
        <v>31</v>
      </c>
      <c r="P7694" t="str">
        <f>"15219"</f>
        <v>15219</v>
      </c>
    </row>
    <row r="7695" spans="1:16" x14ac:dyDescent="0.25">
      <c r="A7695" t="str">
        <f>"1130231E00168    00"</f>
        <v>1130231E00168    00</v>
      </c>
      <c r="B7695" t="s">
        <v>16982</v>
      </c>
      <c r="C7695" t="s">
        <v>16983</v>
      </c>
      <c r="D7695" t="s">
        <v>20</v>
      </c>
      <c r="E7695" t="s">
        <v>39</v>
      </c>
      <c r="F7695">
        <v>0</v>
      </c>
      <c r="G7695">
        <v>0</v>
      </c>
      <c r="H7695">
        <v>10</v>
      </c>
      <c r="I7695" s="3">
        <v>2607.64</v>
      </c>
      <c r="J7695" s="3">
        <v>1558.93</v>
      </c>
      <c r="L7695">
        <v>1061</v>
      </c>
      <c r="M7695" t="s">
        <v>16984</v>
      </c>
      <c r="N7695" t="s">
        <v>30</v>
      </c>
      <c r="O7695" t="s">
        <v>31</v>
      </c>
      <c r="P7695" t="str">
        <f t="shared" ref="P7695:P7706" si="91">"15221"</f>
        <v>15221</v>
      </c>
    </row>
    <row r="7696" spans="1:16" x14ac:dyDescent="0.25">
      <c r="A7696" t="str">
        <f>"1130231E00169    00"</f>
        <v>1130231E00169    00</v>
      </c>
      <c r="B7696" t="s">
        <v>16985</v>
      </c>
      <c r="C7696" t="s">
        <v>16986</v>
      </c>
      <c r="D7696" t="s">
        <v>20</v>
      </c>
      <c r="E7696" t="s">
        <v>39</v>
      </c>
      <c r="F7696">
        <v>0</v>
      </c>
      <c r="G7696">
        <v>0</v>
      </c>
      <c r="H7696">
        <v>3</v>
      </c>
      <c r="I7696" s="3">
        <v>384.86</v>
      </c>
      <c r="J7696" s="3">
        <v>60.64</v>
      </c>
      <c r="L7696">
        <v>1068</v>
      </c>
      <c r="M7696" t="s">
        <v>16984</v>
      </c>
      <c r="N7696" t="s">
        <v>30</v>
      </c>
      <c r="O7696" t="s">
        <v>31</v>
      </c>
      <c r="P7696" t="str">
        <f t="shared" si="91"/>
        <v>15221</v>
      </c>
    </row>
    <row r="7697" spans="1:16" x14ac:dyDescent="0.25">
      <c r="A7697" t="str">
        <f>"1130231E00170    00"</f>
        <v>1130231E00170    00</v>
      </c>
      <c r="B7697" t="s">
        <v>16987</v>
      </c>
      <c r="C7697" t="s">
        <v>16988</v>
      </c>
      <c r="D7697" t="s">
        <v>20</v>
      </c>
      <c r="E7697" t="s">
        <v>39</v>
      </c>
      <c r="F7697">
        <v>0</v>
      </c>
      <c r="G7697">
        <v>0</v>
      </c>
      <c r="H7697">
        <v>6</v>
      </c>
      <c r="I7697" s="3">
        <v>385.73</v>
      </c>
      <c r="J7697" s="3">
        <v>125.1</v>
      </c>
      <c r="L7697">
        <v>1065</v>
      </c>
      <c r="M7697" t="s">
        <v>16984</v>
      </c>
      <c r="N7697" t="s">
        <v>30</v>
      </c>
      <c r="O7697" t="s">
        <v>31</v>
      </c>
      <c r="P7697" t="str">
        <f t="shared" si="91"/>
        <v>15221</v>
      </c>
    </row>
    <row r="7698" spans="1:16" x14ac:dyDescent="0.25">
      <c r="A7698" t="str">
        <f>"1130231E00171    00"</f>
        <v>1130231E00171    00</v>
      </c>
      <c r="B7698" t="s">
        <v>16989</v>
      </c>
      <c r="C7698" t="s">
        <v>16990</v>
      </c>
      <c r="D7698" t="s">
        <v>20</v>
      </c>
      <c r="E7698" t="s">
        <v>39</v>
      </c>
      <c r="F7698">
        <v>0</v>
      </c>
      <c r="G7698">
        <v>0</v>
      </c>
      <c r="H7698">
        <v>13</v>
      </c>
      <c r="I7698" s="3">
        <v>3275.67</v>
      </c>
      <c r="J7698" s="3">
        <v>1252.3</v>
      </c>
      <c r="L7698">
        <v>1067</v>
      </c>
      <c r="M7698" t="s">
        <v>16984</v>
      </c>
      <c r="N7698" t="s">
        <v>30</v>
      </c>
      <c r="O7698" t="s">
        <v>31</v>
      </c>
      <c r="P7698" t="str">
        <f t="shared" si="91"/>
        <v>15221</v>
      </c>
    </row>
    <row r="7699" spans="1:16" x14ac:dyDescent="0.25">
      <c r="A7699" t="str">
        <f>"1130231E00173    00"</f>
        <v>1130231E00173    00</v>
      </c>
      <c r="B7699" t="s">
        <v>16991</v>
      </c>
      <c r="C7699" t="s">
        <v>16992</v>
      </c>
      <c r="D7699" t="s">
        <v>20</v>
      </c>
      <c r="E7699" t="s">
        <v>39</v>
      </c>
      <c r="F7699">
        <v>0</v>
      </c>
      <c r="G7699">
        <v>0</v>
      </c>
      <c r="H7699">
        <v>15</v>
      </c>
      <c r="I7699" s="3">
        <v>1687.59</v>
      </c>
      <c r="J7699" s="3">
        <v>871.25</v>
      </c>
      <c r="K7699" t="s">
        <v>16993</v>
      </c>
      <c r="L7699">
        <v>1071</v>
      </c>
      <c r="M7699" t="s">
        <v>16984</v>
      </c>
      <c r="N7699" t="s">
        <v>30</v>
      </c>
      <c r="O7699" t="s">
        <v>31</v>
      </c>
      <c r="P7699" t="str">
        <f t="shared" si="91"/>
        <v>15221</v>
      </c>
    </row>
    <row r="7700" spans="1:16" x14ac:dyDescent="0.25">
      <c r="A7700" t="str">
        <f>"1130231E00190    00"</f>
        <v>1130231E00190    00</v>
      </c>
      <c r="B7700" t="s">
        <v>16994</v>
      </c>
      <c r="C7700" t="s">
        <v>16978</v>
      </c>
      <c r="D7700" t="s">
        <v>20</v>
      </c>
      <c r="E7700" t="s">
        <v>39</v>
      </c>
      <c r="F7700">
        <v>0</v>
      </c>
      <c r="G7700">
        <v>0</v>
      </c>
      <c r="H7700">
        <v>19</v>
      </c>
      <c r="I7700" s="3">
        <v>2097.46</v>
      </c>
      <c r="J7700" s="3">
        <v>2082.63</v>
      </c>
      <c r="L7700">
        <v>1089</v>
      </c>
      <c r="M7700" t="s">
        <v>16984</v>
      </c>
      <c r="N7700" t="s">
        <v>30</v>
      </c>
      <c r="O7700" t="s">
        <v>31</v>
      </c>
      <c r="P7700" t="str">
        <f t="shared" si="91"/>
        <v>15221</v>
      </c>
    </row>
    <row r="7701" spans="1:16" x14ac:dyDescent="0.25">
      <c r="A7701" t="str">
        <f>"1130231E00198    00"</f>
        <v>1130231E00198    00</v>
      </c>
      <c r="B7701" t="s">
        <v>16995</v>
      </c>
      <c r="C7701" t="s">
        <v>16996</v>
      </c>
      <c r="E7701" t="s">
        <v>39</v>
      </c>
      <c r="F7701">
        <v>0</v>
      </c>
      <c r="G7701">
        <v>0</v>
      </c>
      <c r="H7701">
        <v>4</v>
      </c>
      <c r="I7701" s="3">
        <v>463.51</v>
      </c>
      <c r="J7701" s="3">
        <v>99.05</v>
      </c>
      <c r="L7701">
        <v>1064</v>
      </c>
      <c r="M7701" t="s">
        <v>16984</v>
      </c>
      <c r="N7701" t="s">
        <v>30</v>
      </c>
      <c r="O7701" t="s">
        <v>31</v>
      </c>
      <c r="P7701" t="str">
        <f t="shared" si="91"/>
        <v>15221</v>
      </c>
    </row>
    <row r="7702" spans="1:16" x14ac:dyDescent="0.25">
      <c r="A7702" t="str">
        <f>"1130231E00199    00"</f>
        <v>1130231E00199    00</v>
      </c>
      <c r="B7702" t="s">
        <v>16997</v>
      </c>
      <c r="C7702" t="s">
        <v>16978</v>
      </c>
      <c r="D7702" t="s">
        <v>20</v>
      </c>
      <c r="E7702" t="s">
        <v>39</v>
      </c>
      <c r="F7702">
        <v>0</v>
      </c>
      <c r="G7702">
        <v>0</v>
      </c>
      <c r="H7702">
        <v>2</v>
      </c>
      <c r="I7702" s="3">
        <v>25.46</v>
      </c>
      <c r="J7702" s="3">
        <v>0.06</v>
      </c>
      <c r="L7702">
        <v>1068</v>
      </c>
      <c r="M7702" t="s">
        <v>16984</v>
      </c>
      <c r="N7702" t="s">
        <v>30</v>
      </c>
      <c r="O7702" t="s">
        <v>31</v>
      </c>
      <c r="P7702" t="str">
        <f t="shared" si="91"/>
        <v>15221</v>
      </c>
    </row>
    <row r="7703" spans="1:16" x14ac:dyDescent="0.25">
      <c r="A7703" t="str">
        <f>"1130231E00200    00"</f>
        <v>1130231E00200    00</v>
      </c>
      <c r="B7703" t="s">
        <v>16997</v>
      </c>
      <c r="C7703" t="s">
        <v>16998</v>
      </c>
      <c r="D7703" t="s">
        <v>20</v>
      </c>
      <c r="E7703" t="s">
        <v>39</v>
      </c>
      <c r="F7703">
        <v>0</v>
      </c>
      <c r="G7703">
        <v>0</v>
      </c>
      <c r="H7703">
        <v>3</v>
      </c>
      <c r="I7703" s="3">
        <v>444.82</v>
      </c>
      <c r="J7703" s="3">
        <v>190.96</v>
      </c>
      <c r="L7703">
        <v>1068</v>
      </c>
      <c r="M7703" t="s">
        <v>16984</v>
      </c>
      <c r="N7703" t="s">
        <v>30</v>
      </c>
      <c r="O7703" t="s">
        <v>31</v>
      </c>
      <c r="P7703" t="str">
        <f t="shared" si="91"/>
        <v>15221</v>
      </c>
    </row>
    <row r="7704" spans="1:16" x14ac:dyDescent="0.25">
      <c r="A7704" t="str">
        <f>"1130231E00202    00"</f>
        <v>1130231E00202    00</v>
      </c>
      <c r="B7704" t="s">
        <v>16997</v>
      </c>
      <c r="C7704" t="s">
        <v>16998</v>
      </c>
      <c r="D7704" t="s">
        <v>20</v>
      </c>
      <c r="E7704" t="s">
        <v>39</v>
      </c>
      <c r="F7704">
        <v>0</v>
      </c>
      <c r="G7704">
        <v>0</v>
      </c>
      <c r="H7704">
        <v>2</v>
      </c>
      <c r="I7704" s="3">
        <v>213.87</v>
      </c>
      <c r="J7704" s="3">
        <v>0.45</v>
      </c>
      <c r="L7704">
        <v>1068</v>
      </c>
      <c r="M7704" t="s">
        <v>16984</v>
      </c>
      <c r="N7704" t="s">
        <v>30</v>
      </c>
      <c r="O7704" t="s">
        <v>31</v>
      </c>
      <c r="P7704" t="str">
        <f t="shared" si="91"/>
        <v>15221</v>
      </c>
    </row>
    <row r="7705" spans="1:16" x14ac:dyDescent="0.25">
      <c r="A7705" t="str">
        <f>"1130231E00218    00"</f>
        <v>1130231E00218    00</v>
      </c>
      <c r="B7705" t="s">
        <v>16999</v>
      </c>
      <c r="C7705" t="s">
        <v>16978</v>
      </c>
      <c r="D7705" t="s">
        <v>20</v>
      </c>
      <c r="E7705" t="s">
        <v>39</v>
      </c>
      <c r="F7705">
        <v>0</v>
      </c>
      <c r="G7705">
        <v>0</v>
      </c>
      <c r="H7705">
        <v>19</v>
      </c>
      <c r="I7705" s="3">
        <v>2429.38</v>
      </c>
      <c r="J7705" s="3">
        <v>2473.54</v>
      </c>
      <c r="L7705">
        <v>1515</v>
      </c>
      <c r="M7705" t="s">
        <v>17000</v>
      </c>
      <c r="N7705" t="s">
        <v>30</v>
      </c>
      <c r="O7705" t="s">
        <v>31</v>
      </c>
      <c r="P7705" t="str">
        <f t="shared" si="91"/>
        <v>15221</v>
      </c>
    </row>
    <row r="7706" spans="1:16" x14ac:dyDescent="0.25">
      <c r="A7706" t="str">
        <f>"1130231E00263    00"</f>
        <v>1130231E00263    00</v>
      </c>
      <c r="B7706" t="s">
        <v>17001</v>
      </c>
      <c r="C7706" t="s">
        <v>17002</v>
      </c>
      <c r="D7706" t="s">
        <v>20</v>
      </c>
      <c r="E7706" t="s">
        <v>39</v>
      </c>
      <c r="F7706">
        <v>0</v>
      </c>
      <c r="G7706">
        <v>0</v>
      </c>
      <c r="H7706">
        <v>3</v>
      </c>
      <c r="I7706" s="3">
        <v>880.58</v>
      </c>
      <c r="J7706" s="3">
        <v>0</v>
      </c>
      <c r="K7706" t="s">
        <v>17003</v>
      </c>
      <c r="L7706">
        <v>1043</v>
      </c>
      <c r="M7706" t="s">
        <v>13506</v>
      </c>
      <c r="N7706" t="s">
        <v>30</v>
      </c>
      <c r="O7706" t="s">
        <v>31</v>
      </c>
      <c r="P7706" t="str">
        <f t="shared" si="91"/>
        <v>15221</v>
      </c>
    </row>
    <row r="7707" spans="1:16" x14ac:dyDescent="0.25">
      <c r="A7707" t="str">
        <f>"1130231E00271    00"</f>
        <v>1130231E00271    00</v>
      </c>
      <c r="B7707" t="s">
        <v>17004</v>
      </c>
      <c r="C7707" t="s">
        <v>17005</v>
      </c>
      <c r="D7707" t="s">
        <v>20</v>
      </c>
      <c r="E7707" t="s">
        <v>39</v>
      </c>
      <c r="F7707">
        <v>0</v>
      </c>
      <c r="G7707">
        <v>0</v>
      </c>
      <c r="H7707">
        <v>19</v>
      </c>
      <c r="I7707" s="3">
        <v>1902.85</v>
      </c>
      <c r="J7707" s="3">
        <v>2040.63</v>
      </c>
      <c r="L7707">
        <v>804</v>
      </c>
      <c r="M7707" t="s">
        <v>12019</v>
      </c>
      <c r="N7707" t="s">
        <v>295</v>
      </c>
      <c r="O7707" t="s">
        <v>31</v>
      </c>
      <c r="P7707" t="str">
        <f>"15146"</f>
        <v>15146</v>
      </c>
    </row>
    <row r="7708" spans="1:16" x14ac:dyDescent="0.25">
      <c r="A7708" t="str">
        <f>"1130231E00273    00"</f>
        <v>1130231E00273    00</v>
      </c>
      <c r="B7708" t="s">
        <v>17006</v>
      </c>
      <c r="C7708" t="s">
        <v>17007</v>
      </c>
      <c r="D7708" t="s">
        <v>20</v>
      </c>
      <c r="E7708" t="s">
        <v>39</v>
      </c>
      <c r="F7708">
        <v>0</v>
      </c>
      <c r="G7708">
        <v>0</v>
      </c>
      <c r="H7708">
        <v>17</v>
      </c>
      <c r="I7708" s="3">
        <v>4323</v>
      </c>
      <c r="J7708" s="3">
        <v>2998.66</v>
      </c>
      <c r="L7708">
        <v>138</v>
      </c>
      <c r="M7708" t="s">
        <v>17008</v>
      </c>
      <c r="N7708" t="s">
        <v>285</v>
      </c>
      <c r="O7708" t="s">
        <v>31</v>
      </c>
      <c r="P7708" t="str">
        <f>"15120"</f>
        <v>15120</v>
      </c>
    </row>
    <row r="7709" spans="1:16" x14ac:dyDescent="0.25">
      <c r="A7709" t="str">
        <f>"1130231E00276    00"</f>
        <v>1130231E00276    00</v>
      </c>
      <c r="B7709" t="s">
        <v>17006</v>
      </c>
      <c r="C7709" t="s">
        <v>17005</v>
      </c>
      <c r="D7709" t="s">
        <v>20</v>
      </c>
      <c r="E7709" t="s">
        <v>39</v>
      </c>
      <c r="F7709">
        <v>0</v>
      </c>
      <c r="G7709">
        <v>0</v>
      </c>
      <c r="H7709">
        <v>16</v>
      </c>
      <c r="I7709" s="3">
        <v>1223.3900000000001</v>
      </c>
      <c r="J7709" s="3">
        <v>1089.47</v>
      </c>
      <c r="L7709">
        <v>138</v>
      </c>
      <c r="M7709" t="s">
        <v>17008</v>
      </c>
      <c r="N7709" t="s">
        <v>285</v>
      </c>
      <c r="O7709" t="s">
        <v>31</v>
      </c>
      <c r="P7709" t="str">
        <f>"15120"</f>
        <v>15120</v>
      </c>
    </row>
    <row r="7710" spans="1:16" x14ac:dyDescent="0.25">
      <c r="A7710" t="str">
        <f>"1130231E00304    00"</f>
        <v>1130231E00304    00</v>
      </c>
      <c r="B7710" t="s">
        <v>10733</v>
      </c>
      <c r="C7710" t="s">
        <v>17009</v>
      </c>
      <c r="D7710" t="s">
        <v>20</v>
      </c>
      <c r="E7710" t="s">
        <v>39</v>
      </c>
      <c r="F7710">
        <v>0</v>
      </c>
      <c r="G7710">
        <v>0</v>
      </c>
      <c r="H7710">
        <v>1</v>
      </c>
      <c r="I7710" s="3">
        <v>32.6</v>
      </c>
      <c r="J7710" s="3">
        <v>0</v>
      </c>
      <c r="L7710">
        <v>1080</v>
      </c>
      <c r="M7710" t="s">
        <v>13506</v>
      </c>
      <c r="N7710" t="s">
        <v>30</v>
      </c>
      <c r="O7710" t="s">
        <v>31</v>
      </c>
      <c r="P7710" t="str">
        <f>"15221"</f>
        <v>15221</v>
      </c>
    </row>
    <row r="7711" spans="1:16" x14ac:dyDescent="0.25">
      <c r="A7711" t="str">
        <f>"1130231E00305    00"</f>
        <v>1130231E00305    00</v>
      </c>
      <c r="B7711" t="s">
        <v>17010</v>
      </c>
      <c r="C7711" t="s">
        <v>17005</v>
      </c>
      <c r="D7711" t="s">
        <v>20</v>
      </c>
      <c r="E7711" t="s">
        <v>39</v>
      </c>
      <c r="F7711">
        <v>0</v>
      </c>
      <c r="G7711">
        <v>0</v>
      </c>
      <c r="H7711">
        <v>19</v>
      </c>
      <c r="I7711" s="3">
        <v>323.60000000000002</v>
      </c>
      <c r="J7711" s="3">
        <v>306.02</v>
      </c>
      <c r="K7711" t="s">
        <v>1037</v>
      </c>
      <c r="M7711" t="s">
        <v>17011</v>
      </c>
      <c r="N7711" t="s">
        <v>30</v>
      </c>
      <c r="O7711" t="s">
        <v>31</v>
      </c>
      <c r="P7711" t="str">
        <f>"15206"</f>
        <v>15206</v>
      </c>
    </row>
    <row r="7712" spans="1:16" x14ac:dyDescent="0.25">
      <c r="A7712" t="str">
        <f>"1130231E00312    00"</f>
        <v>1130231E00312    00</v>
      </c>
      <c r="B7712" t="s">
        <v>17012</v>
      </c>
      <c r="C7712" t="s">
        <v>17013</v>
      </c>
      <c r="D7712" t="s">
        <v>20</v>
      </c>
      <c r="E7712" t="s">
        <v>39</v>
      </c>
      <c r="F7712">
        <v>0</v>
      </c>
      <c r="G7712">
        <v>0</v>
      </c>
      <c r="H7712">
        <v>19</v>
      </c>
      <c r="I7712" s="3">
        <v>2906.67</v>
      </c>
      <c r="J7712" s="3">
        <v>4051.57</v>
      </c>
      <c r="L7712">
        <v>1019</v>
      </c>
      <c r="M7712" t="s">
        <v>17014</v>
      </c>
      <c r="N7712" t="s">
        <v>30</v>
      </c>
      <c r="O7712" t="s">
        <v>31</v>
      </c>
      <c r="P7712" t="str">
        <f>"15221"</f>
        <v>15221</v>
      </c>
    </row>
    <row r="7713" spans="1:16" x14ac:dyDescent="0.25">
      <c r="A7713" t="str">
        <f>"1130231E00313    00"</f>
        <v>1130231E00313    00</v>
      </c>
      <c r="B7713" t="s">
        <v>17015</v>
      </c>
      <c r="C7713" t="s">
        <v>17005</v>
      </c>
      <c r="D7713" t="s">
        <v>20</v>
      </c>
      <c r="E7713" t="s">
        <v>39</v>
      </c>
      <c r="F7713">
        <v>0</v>
      </c>
      <c r="G7713">
        <v>0</v>
      </c>
      <c r="H7713">
        <v>19</v>
      </c>
      <c r="I7713" s="3">
        <v>1787.59</v>
      </c>
      <c r="J7713" s="3">
        <v>1934.76</v>
      </c>
      <c r="K7713" t="s">
        <v>17016</v>
      </c>
      <c r="P7713" t="str">
        <f>""</f>
        <v/>
      </c>
    </row>
    <row r="7714" spans="1:16" x14ac:dyDescent="0.25">
      <c r="A7714" t="str">
        <f>"1130231E00316    00"</f>
        <v>1130231E00316    00</v>
      </c>
      <c r="B7714" t="s">
        <v>17017</v>
      </c>
      <c r="C7714" t="s">
        <v>17018</v>
      </c>
      <c r="D7714" t="s">
        <v>20</v>
      </c>
      <c r="E7714" t="s">
        <v>39</v>
      </c>
      <c r="F7714">
        <v>0</v>
      </c>
      <c r="G7714">
        <v>0</v>
      </c>
      <c r="H7714">
        <v>19</v>
      </c>
      <c r="I7714" s="3">
        <v>11247.73</v>
      </c>
      <c r="J7714" s="3">
        <v>11126.44</v>
      </c>
      <c r="N7714" t="s">
        <v>30</v>
      </c>
      <c r="O7714" t="s">
        <v>31</v>
      </c>
      <c r="P7714" t="str">
        <f>"15221"</f>
        <v>15221</v>
      </c>
    </row>
    <row r="7715" spans="1:16" x14ac:dyDescent="0.25">
      <c r="A7715" t="str">
        <f>"1130231E00327    00"</f>
        <v>1130231E00327    00</v>
      </c>
      <c r="B7715" t="s">
        <v>17019</v>
      </c>
      <c r="C7715" t="s">
        <v>17020</v>
      </c>
      <c r="D7715" t="s">
        <v>20</v>
      </c>
      <c r="E7715" t="s">
        <v>39</v>
      </c>
      <c r="F7715">
        <v>0</v>
      </c>
      <c r="G7715">
        <v>0</v>
      </c>
      <c r="H7715">
        <v>2</v>
      </c>
      <c r="I7715" s="3">
        <v>375.32</v>
      </c>
      <c r="J7715" s="3">
        <v>0</v>
      </c>
      <c r="K7715" t="s">
        <v>2570</v>
      </c>
      <c r="L7715">
        <v>901</v>
      </c>
      <c r="M7715" t="s">
        <v>1503</v>
      </c>
      <c r="N7715" t="s">
        <v>494</v>
      </c>
      <c r="O7715" t="s">
        <v>495</v>
      </c>
      <c r="P7715" t="str">
        <f>"91768"</f>
        <v>91768</v>
      </c>
    </row>
    <row r="7716" spans="1:16" x14ac:dyDescent="0.25">
      <c r="A7716" t="str">
        <f>"1130231E00344    00"</f>
        <v>1130231E00344    00</v>
      </c>
      <c r="B7716" t="s">
        <v>17021</v>
      </c>
      <c r="C7716" t="s">
        <v>17022</v>
      </c>
      <c r="D7716" t="s">
        <v>20</v>
      </c>
      <c r="E7716" t="s">
        <v>39</v>
      </c>
      <c r="F7716">
        <v>0</v>
      </c>
      <c r="G7716">
        <v>0</v>
      </c>
      <c r="H7716">
        <v>5</v>
      </c>
      <c r="I7716" s="3">
        <v>2445.08</v>
      </c>
      <c r="J7716" s="3">
        <v>207.77</v>
      </c>
      <c r="L7716">
        <v>4277</v>
      </c>
      <c r="M7716" t="s">
        <v>8768</v>
      </c>
      <c r="N7716" t="s">
        <v>30</v>
      </c>
      <c r="O7716" t="s">
        <v>31</v>
      </c>
      <c r="P7716" t="str">
        <f>"15201"</f>
        <v>15201</v>
      </c>
    </row>
    <row r="7717" spans="1:16" x14ac:dyDescent="0.25">
      <c r="A7717" t="str">
        <f>"1130231E00347    00"</f>
        <v>1130231E00347    00</v>
      </c>
      <c r="B7717" t="s">
        <v>17023</v>
      </c>
      <c r="C7717" t="s">
        <v>17024</v>
      </c>
      <c r="D7717" t="s">
        <v>20</v>
      </c>
      <c r="E7717" t="s">
        <v>39</v>
      </c>
      <c r="F7717">
        <v>0</v>
      </c>
      <c r="G7717">
        <v>0</v>
      </c>
      <c r="H7717">
        <v>19</v>
      </c>
      <c r="I7717" s="3">
        <v>2007.15</v>
      </c>
      <c r="J7717" s="3">
        <v>2050.83</v>
      </c>
      <c r="L7717">
        <v>1166</v>
      </c>
      <c r="M7717" t="s">
        <v>8907</v>
      </c>
      <c r="N7717" t="s">
        <v>30</v>
      </c>
      <c r="O7717" t="s">
        <v>31</v>
      </c>
      <c r="P7717" t="str">
        <f>"15201"</f>
        <v>15201</v>
      </c>
    </row>
    <row r="7718" spans="1:16" x14ac:dyDescent="0.25">
      <c r="A7718" t="str">
        <f>"1130231E00364    00"</f>
        <v>1130231E00364    00</v>
      </c>
      <c r="B7718" t="s">
        <v>17025</v>
      </c>
      <c r="C7718" t="s">
        <v>17026</v>
      </c>
      <c r="D7718" t="s">
        <v>20</v>
      </c>
      <c r="E7718" t="s">
        <v>39</v>
      </c>
      <c r="F7718">
        <v>0</v>
      </c>
      <c r="G7718">
        <v>0</v>
      </c>
      <c r="H7718">
        <v>4</v>
      </c>
      <c r="I7718" s="3">
        <v>1854.42</v>
      </c>
      <c r="J7718" s="3">
        <v>76.900000000000006</v>
      </c>
      <c r="L7718">
        <v>197</v>
      </c>
      <c r="M7718" t="s">
        <v>17027</v>
      </c>
      <c r="N7718" t="s">
        <v>17028</v>
      </c>
      <c r="O7718" t="s">
        <v>31</v>
      </c>
      <c r="P7718" t="str">
        <f>"15147"</f>
        <v>15147</v>
      </c>
    </row>
    <row r="7719" spans="1:16" x14ac:dyDescent="0.25">
      <c r="A7719" t="str">
        <f>"1130231F00003    00"</f>
        <v>1130231F00003    00</v>
      </c>
      <c r="B7719" t="s">
        <v>17029</v>
      </c>
      <c r="C7719" t="s">
        <v>17030</v>
      </c>
      <c r="D7719" t="s">
        <v>20</v>
      </c>
      <c r="E7719" t="s">
        <v>39</v>
      </c>
      <c r="F7719">
        <v>0</v>
      </c>
      <c r="G7719">
        <v>0</v>
      </c>
      <c r="H7719">
        <v>12</v>
      </c>
      <c r="I7719" s="3">
        <v>7154.93</v>
      </c>
      <c r="J7719" s="3">
        <v>3945.04</v>
      </c>
      <c r="L7719">
        <v>8520</v>
      </c>
      <c r="M7719" t="s">
        <v>16922</v>
      </c>
      <c r="N7719" t="s">
        <v>30</v>
      </c>
      <c r="O7719" t="s">
        <v>31</v>
      </c>
      <c r="P7719" t="str">
        <f>"15235"</f>
        <v>15235</v>
      </c>
    </row>
    <row r="7720" spans="1:16" x14ac:dyDescent="0.25">
      <c r="A7720" t="str">
        <f>"1130231F00012    00"</f>
        <v>1130231F00012    00</v>
      </c>
      <c r="B7720" t="s">
        <v>17031</v>
      </c>
      <c r="C7720" t="s">
        <v>17032</v>
      </c>
      <c r="D7720" t="s">
        <v>20</v>
      </c>
      <c r="E7720" t="s">
        <v>39</v>
      </c>
      <c r="F7720">
        <v>0</v>
      </c>
      <c r="G7720">
        <v>0</v>
      </c>
      <c r="H7720">
        <v>2</v>
      </c>
      <c r="I7720" s="3">
        <v>32.71</v>
      </c>
      <c r="J7720" s="3">
        <v>8.64</v>
      </c>
      <c r="L7720">
        <v>8515</v>
      </c>
      <c r="M7720" t="s">
        <v>2751</v>
      </c>
      <c r="N7720" t="s">
        <v>30</v>
      </c>
      <c r="O7720" t="s">
        <v>31</v>
      </c>
      <c r="P7720" t="str">
        <f>"15235"</f>
        <v>15235</v>
      </c>
    </row>
    <row r="7721" spans="1:16" x14ac:dyDescent="0.25">
      <c r="A7721" t="str">
        <f>"1130231F00015    00"</f>
        <v>1130231F00015    00</v>
      </c>
      <c r="B7721" t="s">
        <v>17033</v>
      </c>
      <c r="C7721" t="s">
        <v>17034</v>
      </c>
      <c r="D7721" t="s">
        <v>20</v>
      </c>
      <c r="E7721" t="s">
        <v>39</v>
      </c>
      <c r="F7721">
        <v>0</v>
      </c>
      <c r="G7721">
        <v>0</v>
      </c>
      <c r="H7721">
        <v>19</v>
      </c>
      <c r="I7721" s="3">
        <v>2432.2199999999998</v>
      </c>
      <c r="J7721" s="3">
        <v>2522.92</v>
      </c>
      <c r="P7721" t="str">
        <f>""</f>
        <v/>
      </c>
    </row>
    <row r="7722" spans="1:16" x14ac:dyDescent="0.25">
      <c r="A7722" t="str">
        <f>"1130231F00049    00"</f>
        <v>1130231F00049    00</v>
      </c>
      <c r="B7722" t="s">
        <v>17035</v>
      </c>
      <c r="C7722" t="s">
        <v>17036</v>
      </c>
      <c r="D7722" t="s">
        <v>20</v>
      </c>
      <c r="E7722" t="s">
        <v>39</v>
      </c>
      <c r="F7722">
        <v>0</v>
      </c>
      <c r="G7722">
        <v>0</v>
      </c>
      <c r="H7722">
        <v>17</v>
      </c>
      <c r="I7722" s="3">
        <v>11409.24</v>
      </c>
      <c r="J7722" s="3">
        <v>8716.99</v>
      </c>
      <c r="L7722">
        <v>8436</v>
      </c>
      <c r="M7722" t="s">
        <v>17037</v>
      </c>
      <c r="N7722" t="s">
        <v>30</v>
      </c>
      <c r="O7722" t="s">
        <v>31</v>
      </c>
      <c r="P7722" t="str">
        <f>"15235"</f>
        <v>15235</v>
      </c>
    </row>
    <row r="7723" spans="1:16" x14ac:dyDescent="0.25">
      <c r="A7723" t="str">
        <f>"1130231F00050    00"</f>
        <v>1130231F00050    00</v>
      </c>
      <c r="B7723" t="s">
        <v>17038</v>
      </c>
      <c r="C7723" t="s">
        <v>17039</v>
      </c>
      <c r="D7723" t="s">
        <v>20</v>
      </c>
      <c r="E7723" t="s">
        <v>39</v>
      </c>
      <c r="F7723">
        <v>0</v>
      </c>
      <c r="G7723">
        <v>0</v>
      </c>
      <c r="H7723">
        <v>19</v>
      </c>
      <c r="I7723" s="3">
        <v>5493.08</v>
      </c>
      <c r="J7723" s="3">
        <v>4648.49</v>
      </c>
      <c r="L7723">
        <v>21</v>
      </c>
      <c r="M7723" t="s">
        <v>17040</v>
      </c>
      <c r="N7723" t="s">
        <v>4158</v>
      </c>
      <c r="O7723" t="s">
        <v>31</v>
      </c>
      <c r="P7723" t="str">
        <f>"15034"</f>
        <v>15034</v>
      </c>
    </row>
    <row r="7724" spans="1:16" x14ac:dyDescent="0.25">
      <c r="A7724" t="str">
        <f>"1130231F00055    00"</f>
        <v>1130231F00055    00</v>
      </c>
      <c r="B7724" t="s">
        <v>17041</v>
      </c>
      <c r="C7724" t="s">
        <v>17042</v>
      </c>
      <c r="D7724" t="s">
        <v>20</v>
      </c>
      <c r="E7724" t="s">
        <v>39</v>
      </c>
      <c r="F7724">
        <v>0</v>
      </c>
      <c r="G7724">
        <v>0</v>
      </c>
      <c r="H7724">
        <v>2</v>
      </c>
      <c r="I7724" s="3">
        <v>827.22</v>
      </c>
      <c r="J7724" s="3">
        <v>0</v>
      </c>
      <c r="L7724">
        <v>8446</v>
      </c>
      <c r="M7724" t="s">
        <v>17043</v>
      </c>
      <c r="N7724" t="s">
        <v>30</v>
      </c>
      <c r="O7724" t="s">
        <v>31</v>
      </c>
      <c r="P7724" t="str">
        <f>"15235"</f>
        <v>15235</v>
      </c>
    </row>
    <row r="7725" spans="1:16" x14ac:dyDescent="0.25">
      <c r="A7725" t="str">
        <f>"1130231F00058    00"</f>
        <v>1130231F00058    00</v>
      </c>
      <c r="B7725" t="s">
        <v>17044</v>
      </c>
      <c r="C7725" t="s">
        <v>17045</v>
      </c>
      <c r="D7725" t="s">
        <v>20</v>
      </c>
      <c r="E7725" t="s">
        <v>39</v>
      </c>
      <c r="F7725">
        <v>0</v>
      </c>
      <c r="G7725">
        <v>0</v>
      </c>
      <c r="H7725">
        <v>19</v>
      </c>
      <c r="I7725" s="3">
        <v>2575.8000000000002</v>
      </c>
      <c r="J7725" s="3">
        <v>2826.93</v>
      </c>
      <c r="L7725">
        <v>8449</v>
      </c>
      <c r="M7725" t="s">
        <v>2751</v>
      </c>
      <c r="N7725" t="s">
        <v>30</v>
      </c>
      <c r="O7725" t="s">
        <v>31</v>
      </c>
      <c r="P7725" t="str">
        <f>"15235"</f>
        <v>15235</v>
      </c>
    </row>
    <row r="7726" spans="1:16" x14ac:dyDescent="0.25">
      <c r="A7726" t="str">
        <f>"1130231F00098    00"</f>
        <v>1130231F00098    00</v>
      </c>
      <c r="B7726" t="s">
        <v>17046</v>
      </c>
      <c r="C7726" t="s">
        <v>17047</v>
      </c>
      <c r="D7726" t="s">
        <v>20</v>
      </c>
      <c r="E7726" t="s">
        <v>39</v>
      </c>
      <c r="F7726">
        <v>0</v>
      </c>
      <c r="G7726">
        <v>0</v>
      </c>
      <c r="H7726">
        <v>8</v>
      </c>
      <c r="I7726" s="3">
        <v>3954.11</v>
      </c>
      <c r="J7726" s="3">
        <v>1293.8499999999999</v>
      </c>
      <c r="L7726">
        <v>8451</v>
      </c>
      <c r="M7726" t="s">
        <v>2751</v>
      </c>
      <c r="N7726" t="s">
        <v>30</v>
      </c>
      <c r="O7726" t="s">
        <v>31</v>
      </c>
      <c r="P7726" t="str">
        <f>"15235"</f>
        <v>15235</v>
      </c>
    </row>
    <row r="7727" spans="1:16" x14ac:dyDescent="0.25">
      <c r="A7727" t="str">
        <f>"1130231F00099    00"</f>
        <v>1130231F00099    00</v>
      </c>
      <c r="B7727" t="s">
        <v>17048</v>
      </c>
      <c r="C7727" t="s">
        <v>17049</v>
      </c>
      <c r="E7727" t="s">
        <v>39</v>
      </c>
      <c r="F7727">
        <v>0</v>
      </c>
      <c r="G7727">
        <v>0</v>
      </c>
      <c r="H7727">
        <v>9</v>
      </c>
      <c r="I7727" s="3">
        <v>6277.64</v>
      </c>
      <c r="J7727" s="3">
        <v>8734.07</v>
      </c>
      <c r="K7727" t="s">
        <v>17050</v>
      </c>
      <c r="M7727" t="s">
        <v>17051</v>
      </c>
      <c r="N7727" t="s">
        <v>30</v>
      </c>
      <c r="O7727" t="s">
        <v>31</v>
      </c>
      <c r="P7727" t="str">
        <f>"15235"</f>
        <v>15235</v>
      </c>
    </row>
    <row r="7728" spans="1:16" x14ac:dyDescent="0.25">
      <c r="A7728" t="str">
        <f>"1130231F00128    00"</f>
        <v>1130231F00128    00</v>
      </c>
      <c r="B7728" t="s">
        <v>17052</v>
      </c>
      <c r="C7728" t="s">
        <v>17053</v>
      </c>
      <c r="D7728" t="s">
        <v>20</v>
      </c>
      <c r="E7728" t="s">
        <v>39</v>
      </c>
      <c r="F7728">
        <v>0</v>
      </c>
      <c r="G7728">
        <v>0</v>
      </c>
      <c r="H7728">
        <v>19</v>
      </c>
      <c r="I7728" s="3">
        <v>1902.85</v>
      </c>
      <c r="J7728" s="3">
        <v>2040.63</v>
      </c>
      <c r="L7728">
        <v>265</v>
      </c>
      <c r="M7728" t="s">
        <v>17054</v>
      </c>
      <c r="N7728" t="s">
        <v>30</v>
      </c>
      <c r="O7728" t="s">
        <v>31</v>
      </c>
      <c r="P7728" t="str">
        <f>"15235"</f>
        <v>15235</v>
      </c>
    </row>
    <row r="7729" spans="1:16" x14ac:dyDescent="0.25">
      <c r="A7729" t="str">
        <f>"1130231F00129    00"</f>
        <v>1130231F00129    00</v>
      </c>
      <c r="B7729" t="s">
        <v>17055</v>
      </c>
      <c r="C7729" t="s">
        <v>17056</v>
      </c>
      <c r="D7729" t="s">
        <v>20</v>
      </c>
      <c r="E7729" t="s">
        <v>39</v>
      </c>
      <c r="F7729">
        <v>0</v>
      </c>
      <c r="G7729">
        <v>0</v>
      </c>
      <c r="H7729">
        <v>19</v>
      </c>
      <c r="I7729" s="3">
        <v>1902.85</v>
      </c>
      <c r="J7729" s="3">
        <v>2040.63</v>
      </c>
      <c r="L7729">
        <v>5827</v>
      </c>
      <c r="M7729" t="s">
        <v>17057</v>
      </c>
      <c r="N7729" t="s">
        <v>30</v>
      </c>
      <c r="O7729" t="s">
        <v>31</v>
      </c>
      <c r="P7729" t="str">
        <f>"15207"</f>
        <v>15207</v>
      </c>
    </row>
    <row r="7730" spans="1:16" x14ac:dyDescent="0.25">
      <c r="A7730" t="str">
        <f>"1130231F00130    00"</f>
        <v>1130231F00130    00</v>
      </c>
      <c r="B7730" t="s">
        <v>17058</v>
      </c>
      <c r="C7730" t="s">
        <v>17059</v>
      </c>
      <c r="D7730" t="s">
        <v>20</v>
      </c>
      <c r="E7730" t="s">
        <v>39</v>
      </c>
      <c r="F7730">
        <v>0</v>
      </c>
      <c r="G7730">
        <v>0</v>
      </c>
      <c r="H7730">
        <v>4</v>
      </c>
      <c r="I7730" s="3">
        <v>806.06</v>
      </c>
      <c r="J7730" s="3">
        <v>136.29</v>
      </c>
      <c r="L7730">
        <v>3005</v>
      </c>
      <c r="M7730" t="s">
        <v>17060</v>
      </c>
      <c r="N7730" t="s">
        <v>79</v>
      </c>
      <c r="O7730" t="s">
        <v>31</v>
      </c>
      <c r="P7730" t="str">
        <f>"15668"</f>
        <v>15668</v>
      </c>
    </row>
    <row r="7731" spans="1:16" x14ac:dyDescent="0.25">
      <c r="A7731" t="str">
        <f>"1130231F00131    00"</f>
        <v>1130231F00131    00</v>
      </c>
      <c r="B7731" t="s">
        <v>17055</v>
      </c>
      <c r="C7731" t="s">
        <v>17056</v>
      </c>
      <c r="D7731" t="s">
        <v>20</v>
      </c>
      <c r="E7731" t="s">
        <v>39</v>
      </c>
      <c r="F7731">
        <v>0</v>
      </c>
      <c r="G7731">
        <v>0</v>
      </c>
      <c r="H7731">
        <v>19</v>
      </c>
      <c r="I7731" s="3">
        <v>1902.85</v>
      </c>
      <c r="J7731" s="3">
        <v>2040.63</v>
      </c>
      <c r="L7731">
        <v>8435</v>
      </c>
      <c r="M7731" t="s">
        <v>2751</v>
      </c>
      <c r="N7731" t="s">
        <v>30</v>
      </c>
      <c r="O7731" t="s">
        <v>31</v>
      </c>
      <c r="P7731" t="str">
        <f>"15235"</f>
        <v>15235</v>
      </c>
    </row>
    <row r="7732" spans="1:16" x14ac:dyDescent="0.25">
      <c r="A7732" t="str">
        <f>"1130231F00132    00"</f>
        <v>1130231F00132    00</v>
      </c>
      <c r="B7732" t="s">
        <v>17055</v>
      </c>
      <c r="C7732" t="s">
        <v>17056</v>
      </c>
      <c r="D7732" t="s">
        <v>20</v>
      </c>
      <c r="E7732" t="s">
        <v>39</v>
      </c>
      <c r="F7732">
        <v>0</v>
      </c>
      <c r="G7732">
        <v>0</v>
      </c>
      <c r="H7732">
        <v>19</v>
      </c>
      <c r="I7732" s="3">
        <v>1902.85</v>
      </c>
      <c r="J7732" s="3">
        <v>2040.63</v>
      </c>
      <c r="L7732">
        <v>5827</v>
      </c>
      <c r="M7732" t="s">
        <v>17057</v>
      </c>
      <c r="N7732" t="s">
        <v>30</v>
      </c>
      <c r="O7732" t="s">
        <v>31</v>
      </c>
      <c r="P7732" t="str">
        <f>"15207"</f>
        <v>15207</v>
      </c>
    </row>
    <row r="7733" spans="1:16" x14ac:dyDescent="0.25">
      <c r="A7733" t="str">
        <f>"1130231F00133    00"</f>
        <v>1130231F00133    00</v>
      </c>
      <c r="B7733" t="s">
        <v>17055</v>
      </c>
      <c r="C7733" t="s">
        <v>17056</v>
      </c>
      <c r="D7733" t="s">
        <v>20</v>
      </c>
      <c r="E7733" t="s">
        <v>39</v>
      </c>
      <c r="F7733">
        <v>0</v>
      </c>
      <c r="G7733">
        <v>0</v>
      </c>
      <c r="H7733">
        <v>19</v>
      </c>
      <c r="I7733" s="3">
        <v>1902.85</v>
      </c>
      <c r="J7733" s="3">
        <v>2040.63</v>
      </c>
      <c r="L7733">
        <v>5827</v>
      </c>
      <c r="M7733" t="s">
        <v>17057</v>
      </c>
      <c r="N7733" t="s">
        <v>30</v>
      </c>
      <c r="O7733" t="s">
        <v>31</v>
      </c>
      <c r="P7733" t="str">
        <f>"15207"</f>
        <v>15207</v>
      </c>
    </row>
    <row r="7734" spans="1:16" x14ac:dyDescent="0.25">
      <c r="A7734" t="str">
        <f>"1130231F00134    00"</f>
        <v>1130231F00134    00</v>
      </c>
      <c r="B7734" t="s">
        <v>17061</v>
      </c>
      <c r="C7734" t="s">
        <v>17062</v>
      </c>
      <c r="D7734" t="s">
        <v>20</v>
      </c>
      <c r="E7734" t="s">
        <v>39</v>
      </c>
      <c r="F7734">
        <v>0</v>
      </c>
      <c r="G7734">
        <v>0</v>
      </c>
      <c r="H7734">
        <v>3</v>
      </c>
      <c r="I7734" s="3">
        <v>773.64</v>
      </c>
      <c r="J7734" s="3">
        <v>122</v>
      </c>
      <c r="L7734">
        <v>270</v>
      </c>
      <c r="M7734" t="s">
        <v>17063</v>
      </c>
      <c r="N7734" t="s">
        <v>30</v>
      </c>
      <c r="O7734" t="s">
        <v>31</v>
      </c>
      <c r="P7734" t="str">
        <f>"15235"</f>
        <v>15235</v>
      </c>
    </row>
    <row r="7735" spans="1:16" x14ac:dyDescent="0.25">
      <c r="A7735" t="str">
        <f>"1130231F00135    00"</f>
        <v>1130231F00135    00</v>
      </c>
      <c r="B7735" t="s">
        <v>17064</v>
      </c>
      <c r="C7735" t="s">
        <v>17065</v>
      </c>
      <c r="D7735" t="s">
        <v>20</v>
      </c>
      <c r="E7735" t="s">
        <v>39</v>
      </c>
      <c r="F7735">
        <v>0</v>
      </c>
      <c r="G7735">
        <v>0</v>
      </c>
      <c r="H7735">
        <v>1</v>
      </c>
      <c r="I7735" s="3">
        <v>562.91999999999996</v>
      </c>
      <c r="J7735" s="3">
        <v>0</v>
      </c>
      <c r="L7735">
        <v>805</v>
      </c>
      <c r="M7735" t="s">
        <v>3007</v>
      </c>
      <c r="N7735" t="s">
        <v>30</v>
      </c>
      <c r="O7735" t="s">
        <v>31</v>
      </c>
      <c r="P7735" t="str">
        <f>"15235"</f>
        <v>15235</v>
      </c>
    </row>
    <row r="7736" spans="1:16" x14ac:dyDescent="0.25">
      <c r="A7736" t="str">
        <f>"1130231F00137    00"</f>
        <v>1130231F00137    00</v>
      </c>
      <c r="B7736" t="s">
        <v>17066</v>
      </c>
      <c r="C7736" t="s">
        <v>17067</v>
      </c>
      <c r="D7736" t="s">
        <v>20</v>
      </c>
      <c r="E7736" t="s">
        <v>39</v>
      </c>
      <c r="F7736">
        <v>0</v>
      </c>
      <c r="G7736">
        <v>0</v>
      </c>
      <c r="H7736">
        <v>13</v>
      </c>
      <c r="I7736" s="3">
        <v>6694.25</v>
      </c>
      <c r="J7736" s="3">
        <v>5610.58</v>
      </c>
      <c r="L7736">
        <v>8435</v>
      </c>
      <c r="M7736" t="s">
        <v>2751</v>
      </c>
      <c r="N7736" t="s">
        <v>30</v>
      </c>
      <c r="O7736" t="s">
        <v>31</v>
      </c>
      <c r="P7736" t="str">
        <f>"15235"</f>
        <v>15235</v>
      </c>
    </row>
    <row r="7737" spans="1:16" x14ac:dyDescent="0.25">
      <c r="A7737" t="str">
        <f>"1130231F00160    00"</f>
        <v>1130231F00160    00</v>
      </c>
      <c r="B7737" t="s">
        <v>17068</v>
      </c>
      <c r="C7737" t="s">
        <v>17069</v>
      </c>
      <c r="D7737" t="s">
        <v>20</v>
      </c>
      <c r="E7737" t="s">
        <v>39</v>
      </c>
      <c r="F7737">
        <v>0</v>
      </c>
      <c r="G7737">
        <v>0</v>
      </c>
      <c r="H7737">
        <v>19</v>
      </c>
      <c r="I7737" s="3">
        <v>3203.19</v>
      </c>
      <c r="J7737" s="3">
        <v>3286.62</v>
      </c>
      <c r="P7737" t="str">
        <f>""</f>
        <v/>
      </c>
    </row>
    <row r="7738" spans="1:16" x14ac:dyDescent="0.25">
      <c r="A7738" t="str">
        <f>"1130231F00161    00"</f>
        <v>1130231F00161    00</v>
      </c>
      <c r="B7738" t="s">
        <v>17070</v>
      </c>
      <c r="C7738" t="s">
        <v>17071</v>
      </c>
      <c r="D7738" t="s">
        <v>20</v>
      </c>
      <c r="E7738" t="s">
        <v>39</v>
      </c>
      <c r="F7738">
        <v>0</v>
      </c>
      <c r="G7738">
        <v>0</v>
      </c>
      <c r="H7738">
        <v>2</v>
      </c>
      <c r="I7738" s="3">
        <v>1189.4000000000001</v>
      </c>
      <c r="J7738" s="3">
        <v>0</v>
      </c>
      <c r="L7738">
        <v>2918</v>
      </c>
      <c r="M7738" t="s">
        <v>17072</v>
      </c>
      <c r="N7738" t="s">
        <v>17073</v>
      </c>
      <c r="O7738" t="s">
        <v>1413</v>
      </c>
      <c r="P7738" t="str">
        <f>"28348"</f>
        <v>28348</v>
      </c>
    </row>
    <row r="7739" spans="1:16" x14ac:dyDescent="0.25">
      <c r="A7739" t="str">
        <f>"1130231F00166    00"</f>
        <v>1130231F00166    00</v>
      </c>
      <c r="B7739" t="s">
        <v>17074</v>
      </c>
      <c r="C7739" t="s">
        <v>17075</v>
      </c>
      <c r="D7739" t="s">
        <v>20</v>
      </c>
      <c r="E7739" t="s">
        <v>39</v>
      </c>
      <c r="F7739">
        <v>0</v>
      </c>
      <c r="G7739">
        <v>0</v>
      </c>
      <c r="H7739">
        <v>16</v>
      </c>
      <c r="I7739" s="3">
        <v>1941.99</v>
      </c>
      <c r="J7739" s="3">
        <v>2158.9</v>
      </c>
      <c r="L7739">
        <v>1773</v>
      </c>
      <c r="M7739" t="s">
        <v>2357</v>
      </c>
      <c r="N7739" t="s">
        <v>30</v>
      </c>
      <c r="O7739" t="s">
        <v>31</v>
      </c>
      <c r="P7739" t="str">
        <f>"15221"</f>
        <v>15221</v>
      </c>
    </row>
    <row r="7740" spans="1:16" x14ac:dyDescent="0.25">
      <c r="A7740" t="str">
        <f>"1130231F00167    00"</f>
        <v>1130231F00167    00</v>
      </c>
      <c r="B7740" t="s">
        <v>17076</v>
      </c>
      <c r="C7740" t="s">
        <v>17077</v>
      </c>
      <c r="D7740" t="s">
        <v>20</v>
      </c>
      <c r="E7740" t="s">
        <v>39</v>
      </c>
      <c r="F7740">
        <v>0</v>
      </c>
      <c r="G7740">
        <v>0</v>
      </c>
      <c r="H7740">
        <v>14</v>
      </c>
      <c r="I7740" s="3">
        <v>10520.93</v>
      </c>
      <c r="J7740" s="3">
        <v>5942.43</v>
      </c>
      <c r="L7740">
        <v>8421</v>
      </c>
      <c r="M7740" t="s">
        <v>2751</v>
      </c>
      <c r="N7740" t="s">
        <v>30</v>
      </c>
      <c r="O7740" t="s">
        <v>31</v>
      </c>
      <c r="P7740" t="str">
        <f>"15235"</f>
        <v>15235</v>
      </c>
    </row>
    <row r="7741" spans="1:16" x14ac:dyDescent="0.25">
      <c r="A7741" t="str">
        <f>"1130231F00168    00"</f>
        <v>1130231F00168    00</v>
      </c>
      <c r="B7741" t="s">
        <v>17076</v>
      </c>
      <c r="C7741" t="s">
        <v>17077</v>
      </c>
      <c r="D7741" t="s">
        <v>20</v>
      </c>
      <c r="E7741" t="s">
        <v>39</v>
      </c>
      <c r="F7741">
        <v>0</v>
      </c>
      <c r="G7741">
        <v>0</v>
      </c>
      <c r="H7741">
        <v>12</v>
      </c>
      <c r="I7741" s="3">
        <v>841.29</v>
      </c>
      <c r="J7741" s="3">
        <v>495.16</v>
      </c>
      <c r="L7741">
        <v>8421</v>
      </c>
      <c r="M7741" t="s">
        <v>2751</v>
      </c>
      <c r="N7741" t="s">
        <v>30</v>
      </c>
      <c r="O7741" t="s">
        <v>31</v>
      </c>
      <c r="P7741" t="str">
        <f>"15235"</f>
        <v>15235</v>
      </c>
    </row>
    <row r="7742" spans="1:16" x14ac:dyDescent="0.25">
      <c r="A7742" t="str">
        <f>"1130231F00174    00"</f>
        <v>1130231F00174    00</v>
      </c>
      <c r="B7742" t="s">
        <v>15261</v>
      </c>
      <c r="C7742" t="s">
        <v>17078</v>
      </c>
      <c r="E7742" t="s">
        <v>39</v>
      </c>
      <c r="F7742">
        <v>0</v>
      </c>
      <c r="G7742">
        <v>0</v>
      </c>
      <c r="H7742">
        <v>1</v>
      </c>
      <c r="I7742" s="3">
        <v>373.58</v>
      </c>
      <c r="J7742" s="3">
        <v>74.709999999999994</v>
      </c>
      <c r="L7742">
        <v>819</v>
      </c>
      <c r="M7742" t="s">
        <v>15263</v>
      </c>
      <c r="N7742" t="s">
        <v>30</v>
      </c>
      <c r="O7742" t="s">
        <v>31</v>
      </c>
      <c r="P7742" t="str">
        <f>"15221"</f>
        <v>15221</v>
      </c>
    </row>
    <row r="7743" spans="1:16" x14ac:dyDescent="0.25">
      <c r="A7743" t="str">
        <f>"1130231F00181    00"</f>
        <v>1130231F00181    00</v>
      </c>
      <c r="B7743" t="s">
        <v>17079</v>
      </c>
      <c r="C7743" t="s">
        <v>17075</v>
      </c>
      <c r="D7743" t="s">
        <v>20</v>
      </c>
      <c r="E7743" t="s">
        <v>39</v>
      </c>
      <c r="F7743">
        <v>0</v>
      </c>
      <c r="G7743">
        <v>0</v>
      </c>
      <c r="H7743">
        <v>19</v>
      </c>
      <c r="I7743" s="3">
        <v>2160.41</v>
      </c>
      <c r="J7743" s="3">
        <v>2301.92</v>
      </c>
      <c r="L7743">
        <v>7</v>
      </c>
      <c r="M7743" t="s">
        <v>17080</v>
      </c>
      <c r="N7743" t="s">
        <v>17081</v>
      </c>
      <c r="O7743" t="s">
        <v>31</v>
      </c>
      <c r="P7743" t="str">
        <f>"18210"</f>
        <v>18210</v>
      </c>
    </row>
    <row r="7744" spans="1:16" x14ac:dyDescent="0.25">
      <c r="A7744" t="str">
        <f>"1130231F00190    00"</f>
        <v>1130231F00190    00</v>
      </c>
      <c r="B7744" t="s">
        <v>17082</v>
      </c>
      <c r="C7744" t="s">
        <v>17083</v>
      </c>
      <c r="D7744" t="s">
        <v>20</v>
      </c>
      <c r="E7744" t="s">
        <v>39</v>
      </c>
      <c r="F7744">
        <v>0</v>
      </c>
      <c r="G7744">
        <v>0</v>
      </c>
      <c r="H7744">
        <v>2</v>
      </c>
      <c r="I7744" s="3">
        <v>503.31</v>
      </c>
      <c r="J7744" s="3">
        <v>0</v>
      </c>
      <c r="L7744">
        <v>100</v>
      </c>
      <c r="M7744" t="s">
        <v>14944</v>
      </c>
      <c r="N7744" t="s">
        <v>30</v>
      </c>
      <c r="O7744" t="s">
        <v>31</v>
      </c>
      <c r="P7744" t="str">
        <f>"15235"</f>
        <v>15235</v>
      </c>
    </row>
    <row r="7745" spans="1:16" x14ac:dyDescent="0.25">
      <c r="A7745" t="str">
        <f>"1130231F00195    00"</f>
        <v>1130231F00195    00</v>
      </c>
      <c r="B7745" t="s">
        <v>17084</v>
      </c>
      <c r="C7745" t="s">
        <v>17075</v>
      </c>
      <c r="D7745" t="s">
        <v>20</v>
      </c>
      <c r="E7745" t="s">
        <v>39</v>
      </c>
      <c r="F7745">
        <v>0</v>
      </c>
      <c r="G7745">
        <v>0</v>
      </c>
      <c r="H7745">
        <v>11</v>
      </c>
      <c r="I7745" s="3">
        <v>685.98</v>
      </c>
      <c r="J7745" s="3">
        <v>277.37</v>
      </c>
      <c r="K7745" t="s">
        <v>17085</v>
      </c>
      <c r="L7745">
        <v>1721</v>
      </c>
      <c r="M7745" t="s">
        <v>899</v>
      </c>
      <c r="N7745" t="s">
        <v>30</v>
      </c>
      <c r="O7745" t="s">
        <v>31</v>
      </c>
      <c r="P7745" t="str">
        <f>"15219"</f>
        <v>15219</v>
      </c>
    </row>
    <row r="7746" spans="1:16" x14ac:dyDescent="0.25">
      <c r="A7746" t="str">
        <f>"1130231F00198    00"</f>
        <v>1130231F00198    00</v>
      </c>
      <c r="B7746" t="s">
        <v>17086</v>
      </c>
      <c r="C7746" t="s">
        <v>17075</v>
      </c>
      <c r="D7746" t="s">
        <v>20</v>
      </c>
      <c r="E7746" t="s">
        <v>39</v>
      </c>
      <c r="F7746">
        <v>0</v>
      </c>
      <c r="G7746">
        <v>0</v>
      </c>
      <c r="H7746">
        <v>19</v>
      </c>
      <c r="I7746" s="3">
        <v>296.76</v>
      </c>
      <c r="J7746" s="3">
        <v>269.74</v>
      </c>
      <c r="L7746">
        <v>1295</v>
      </c>
      <c r="M7746" t="s">
        <v>17087</v>
      </c>
      <c r="N7746" t="s">
        <v>1928</v>
      </c>
      <c r="O7746" t="s">
        <v>31</v>
      </c>
      <c r="P7746" t="str">
        <f>"15317"</f>
        <v>15317</v>
      </c>
    </row>
    <row r="7747" spans="1:16" x14ac:dyDescent="0.25">
      <c r="A7747" t="str">
        <f>"1130231F00204    00"</f>
        <v>1130231F00204    00</v>
      </c>
      <c r="B7747" t="s">
        <v>17088</v>
      </c>
      <c r="C7747" t="s">
        <v>17089</v>
      </c>
      <c r="D7747" t="s">
        <v>20</v>
      </c>
      <c r="E7747" t="s">
        <v>39</v>
      </c>
      <c r="F7747">
        <v>0</v>
      </c>
      <c r="G7747">
        <v>0</v>
      </c>
      <c r="H7747">
        <v>7</v>
      </c>
      <c r="I7747" s="3">
        <v>4824.54</v>
      </c>
      <c r="J7747" s="3">
        <v>1529.49</v>
      </c>
      <c r="L7747">
        <v>211</v>
      </c>
      <c r="M7747" t="s">
        <v>15805</v>
      </c>
      <c r="N7747" t="s">
        <v>30</v>
      </c>
      <c r="O7747" t="s">
        <v>31</v>
      </c>
      <c r="P7747" t="str">
        <f>"15235"</f>
        <v>15235</v>
      </c>
    </row>
    <row r="7748" spans="1:16" x14ac:dyDescent="0.25">
      <c r="A7748" t="str">
        <f>"1130231F00207    00"</f>
        <v>1130231F00207    00</v>
      </c>
      <c r="B7748" t="s">
        <v>17090</v>
      </c>
      <c r="C7748" t="s">
        <v>17091</v>
      </c>
      <c r="D7748" t="s">
        <v>57</v>
      </c>
      <c r="E7748" t="s">
        <v>39</v>
      </c>
      <c r="F7748">
        <v>0</v>
      </c>
      <c r="G7748">
        <v>0</v>
      </c>
      <c r="H7748">
        <v>1</v>
      </c>
      <c r="I7748" s="3">
        <v>67.84</v>
      </c>
      <c r="J7748" s="3">
        <v>0</v>
      </c>
      <c r="L7748">
        <v>8428</v>
      </c>
      <c r="M7748" t="s">
        <v>2751</v>
      </c>
      <c r="N7748" t="s">
        <v>30</v>
      </c>
      <c r="O7748" t="s">
        <v>31</v>
      </c>
      <c r="P7748" t="str">
        <f>"15235"</f>
        <v>15235</v>
      </c>
    </row>
    <row r="7749" spans="1:16" x14ac:dyDescent="0.25">
      <c r="A7749" t="str">
        <f>"1130231F00208    00"</f>
        <v>1130231F00208    00</v>
      </c>
      <c r="B7749" t="s">
        <v>17092</v>
      </c>
      <c r="C7749" t="s">
        <v>17093</v>
      </c>
      <c r="D7749" t="s">
        <v>20</v>
      </c>
      <c r="E7749" t="s">
        <v>39</v>
      </c>
      <c r="F7749">
        <v>0</v>
      </c>
      <c r="G7749">
        <v>0</v>
      </c>
      <c r="H7749">
        <v>19</v>
      </c>
      <c r="I7749" s="3">
        <v>9479.0300000000007</v>
      </c>
      <c r="J7749" s="3">
        <v>11840.49</v>
      </c>
      <c r="P7749" t="str">
        <f>""</f>
        <v/>
      </c>
    </row>
    <row r="7750" spans="1:16" x14ac:dyDescent="0.25">
      <c r="A7750" t="str">
        <f>"1130231F00209    00"</f>
        <v>1130231F00209    00</v>
      </c>
      <c r="B7750" t="s">
        <v>17094</v>
      </c>
      <c r="C7750" t="s">
        <v>17075</v>
      </c>
      <c r="D7750" t="s">
        <v>20</v>
      </c>
      <c r="E7750" t="s">
        <v>39</v>
      </c>
      <c r="F7750">
        <v>0</v>
      </c>
      <c r="G7750">
        <v>0</v>
      </c>
      <c r="H7750">
        <v>13</v>
      </c>
      <c r="I7750" s="3">
        <v>793.27</v>
      </c>
      <c r="J7750" s="3">
        <v>435.54</v>
      </c>
      <c r="L7750">
        <v>11210</v>
      </c>
      <c r="M7750" t="s">
        <v>17095</v>
      </c>
      <c r="N7750" t="s">
        <v>2059</v>
      </c>
      <c r="O7750" t="s">
        <v>31</v>
      </c>
      <c r="P7750" t="str">
        <f>"15642"</f>
        <v>15642</v>
      </c>
    </row>
    <row r="7751" spans="1:16" x14ac:dyDescent="0.25">
      <c r="A7751" t="str">
        <f>"1130231F00210    00"</f>
        <v>1130231F00210    00</v>
      </c>
      <c r="B7751" t="s">
        <v>17096</v>
      </c>
      <c r="C7751" t="s">
        <v>17097</v>
      </c>
      <c r="D7751" t="s">
        <v>20</v>
      </c>
      <c r="E7751" t="s">
        <v>39</v>
      </c>
      <c r="F7751">
        <v>0</v>
      </c>
      <c r="G7751">
        <v>0</v>
      </c>
      <c r="H7751">
        <v>19</v>
      </c>
      <c r="I7751" s="3">
        <v>4963.66</v>
      </c>
      <c r="J7751" s="3">
        <v>5699.49</v>
      </c>
      <c r="P7751" t="str">
        <f>""</f>
        <v/>
      </c>
    </row>
    <row r="7752" spans="1:16" x14ac:dyDescent="0.25">
      <c r="A7752" t="str">
        <f>"1130231F00211    00"</f>
        <v>1130231F00211    00</v>
      </c>
      <c r="B7752" t="s">
        <v>13520</v>
      </c>
      <c r="C7752" t="s">
        <v>17098</v>
      </c>
      <c r="D7752" t="s">
        <v>20</v>
      </c>
      <c r="E7752" t="s">
        <v>39</v>
      </c>
      <c r="F7752">
        <v>0</v>
      </c>
      <c r="G7752">
        <v>0</v>
      </c>
      <c r="H7752">
        <v>19</v>
      </c>
      <c r="I7752" s="3">
        <v>12744.23</v>
      </c>
      <c r="J7752" s="3">
        <v>9128.8799999999992</v>
      </c>
      <c r="L7752">
        <v>231</v>
      </c>
      <c r="M7752" t="s">
        <v>14793</v>
      </c>
      <c r="N7752" t="s">
        <v>30</v>
      </c>
      <c r="O7752" t="s">
        <v>31</v>
      </c>
      <c r="P7752" t="str">
        <f>"15235"</f>
        <v>15235</v>
      </c>
    </row>
    <row r="7753" spans="1:16" x14ac:dyDescent="0.25">
      <c r="A7753" t="str">
        <f>"1130231F00216    00"</f>
        <v>1130231F00216    00</v>
      </c>
      <c r="B7753" t="s">
        <v>17099</v>
      </c>
      <c r="C7753" t="s">
        <v>17100</v>
      </c>
      <c r="D7753" t="s">
        <v>20</v>
      </c>
      <c r="E7753" t="s">
        <v>39</v>
      </c>
      <c r="F7753">
        <v>0</v>
      </c>
      <c r="G7753">
        <v>0</v>
      </c>
      <c r="H7753">
        <v>2</v>
      </c>
      <c r="I7753" s="3">
        <v>1158.9000000000001</v>
      </c>
      <c r="J7753" s="3">
        <v>0</v>
      </c>
      <c r="L7753">
        <v>136</v>
      </c>
      <c r="M7753" t="s">
        <v>17101</v>
      </c>
      <c r="N7753" t="s">
        <v>30</v>
      </c>
      <c r="O7753" t="s">
        <v>31</v>
      </c>
      <c r="P7753" t="str">
        <f>"15221"</f>
        <v>15221</v>
      </c>
    </row>
    <row r="7754" spans="1:16" x14ac:dyDescent="0.25">
      <c r="A7754" t="str">
        <f>"1130231F00229    00"</f>
        <v>1130231F00229    00</v>
      </c>
      <c r="B7754" t="s">
        <v>17102</v>
      </c>
      <c r="C7754" t="s">
        <v>17103</v>
      </c>
      <c r="D7754" t="s">
        <v>20</v>
      </c>
      <c r="E7754" t="s">
        <v>39</v>
      </c>
      <c r="F7754">
        <v>0</v>
      </c>
      <c r="G7754">
        <v>0</v>
      </c>
      <c r="H7754">
        <v>18</v>
      </c>
      <c r="I7754" s="3">
        <v>9334.11</v>
      </c>
      <c r="J7754" s="3">
        <v>10866.88</v>
      </c>
      <c r="L7754">
        <v>8514</v>
      </c>
      <c r="M7754" t="s">
        <v>2751</v>
      </c>
      <c r="N7754" t="s">
        <v>30</v>
      </c>
      <c r="O7754" t="s">
        <v>31</v>
      </c>
      <c r="P7754" t="str">
        <f>"15235"</f>
        <v>15235</v>
      </c>
    </row>
    <row r="7755" spans="1:16" x14ac:dyDescent="0.25">
      <c r="A7755" t="str">
        <f>"1130231F00230    00"</f>
        <v>1130231F00230    00</v>
      </c>
      <c r="B7755" t="s">
        <v>17104</v>
      </c>
      <c r="C7755" t="s">
        <v>17105</v>
      </c>
      <c r="D7755" t="s">
        <v>20</v>
      </c>
      <c r="E7755" t="s">
        <v>39</v>
      </c>
      <c r="F7755">
        <v>0</v>
      </c>
      <c r="G7755">
        <v>0</v>
      </c>
      <c r="H7755">
        <v>16</v>
      </c>
      <c r="I7755" s="3">
        <v>7206.41</v>
      </c>
      <c r="J7755" s="3">
        <v>6563.77</v>
      </c>
      <c r="K7755" t="s">
        <v>17106</v>
      </c>
      <c r="L7755">
        <v>328</v>
      </c>
      <c r="M7755" t="s">
        <v>3833</v>
      </c>
      <c r="N7755" t="s">
        <v>17107</v>
      </c>
      <c r="O7755" t="s">
        <v>4435</v>
      </c>
      <c r="P7755" t="str">
        <f>"71457"</f>
        <v>71457</v>
      </c>
    </row>
    <row r="7756" spans="1:16" x14ac:dyDescent="0.25">
      <c r="A7756" t="str">
        <f>"1130231F00231    00"</f>
        <v>1130231F00231    00</v>
      </c>
      <c r="B7756" t="s">
        <v>17108</v>
      </c>
      <c r="C7756" t="s">
        <v>17109</v>
      </c>
      <c r="D7756" t="s">
        <v>20</v>
      </c>
      <c r="E7756" t="s">
        <v>39</v>
      </c>
      <c r="F7756">
        <v>0</v>
      </c>
      <c r="G7756">
        <v>0</v>
      </c>
      <c r="H7756">
        <v>19</v>
      </c>
      <c r="I7756" s="3">
        <v>10489.07</v>
      </c>
      <c r="J7756" s="3">
        <v>11505.27</v>
      </c>
      <c r="L7756">
        <v>8518</v>
      </c>
      <c r="M7756" t="s">
        <v>2751</v>
      </c>
      <c r="N7756" t="s">
        <v>30</v>
      </c>
      <c r="O7756" t="s">
        <v>31</v>
      </c>
      <c r="P7756" t="str">
        <f>"15235"</f>
        <v>15235</v>
      </c>
    </row>
    <row r="7757" spans="1:16" x14ac:dyDescent="0.25">
      <c r="A7757" t="str">
        <f>"1130231F00233    00"</f>
        <v>1130231F00233    00</v>
      </c>
      <c r="B7757" t="s">
        <v>17110</v>
      </c>
      <c r="C7757" t="s">
        <v>17111</v>
      </c>
      <c r="D7757" t="s">
        <v>20</v>
      </c>
      <c r="E7757" t="s">
        <v>39</v>
      </c>
      <c r="F7757">
        <v>0</v>
      </c>
      <c r="G7757">
        <v>0</v>
      </c>
      <c r="H7757">
        <v>19</v>
      </c>
      <c r="I7757" s="3">
        <v>11380.65</v>
      </c>
      <c r="J7757" s="3">
        <v>11760.23</v>
      </c>
      <c r="L7757">
        <v>8520</v>
      </c>
      <c r="M7757" t="s">
        <v>2751</v>
      </c>
      <c r="N7757" t="s">
        <v>30</v>
      </c>
      <c r="O7757" t="s">
        <v>31</v>
      </c>
      <c r="P7757" t="str">
        <f>"15235"</f>
        <v>15235</v>
      </c>
    </row>
    <row r="7758" spans="1:16" x14ac:dyDescent="0.25">
      <c r="A7758" t="str">
        <f>"1130231F00234    00"</f>
        <v>1130231F00234    00</v>
      </c>
      <c r="B7758" t="s">
        <v>17112</v>
      </c>
      <c r="C7758" t="s">
        <v>17113</v>
      </c>
      <c r="D7758" t="s">
        <v>20</v>
      </c>
      <c r="E7758" t="s">
        <v>39</v>
      </c>
      <c r="F7758">
        <v>0</v>
      </c>
      <c r="G7758">
        <v>0</v>
      </c>
      <c r="H7758">
        <v>7</v>
      </c>
      <c r="I7758" s="3">
        <v>915.61</v>
      </c>
      <c r="J7758" s="3">
        <v>253.28</v>
      </c>
      <c r="L7758">
        <v>8522</v>
      </c>
      <c r="M7758" t="s">
        <v>2751</v>
      </c>
      <c r="N7758" t="s">
        <v>30</v>
      </c>
      <c r="O7758" t="s">
        <v>31</v>
      </c>
      <c r="P7758" t="str">
        <f>"15235"</f>
        <v>15235</v>
      </c>
    </row>
    <row r="7759" spans="1:16" x14ac:dyDescent="0.25">
      <c r="A7759" t="str">
        <f>"1130231F00250    00"</f>
        <v>1130231F00250    00</v>
      </c>
      <c r="B7759" t="s">
        <v>17114</v>
      </c>
      <c r="C7759" t="s">
        <v>17115</v>
      </c>
      <c r="D7759" t="s">
        <v>20</v>
      </c>
      <c r="E7759" t="s">
        <v>39</v>
      </c>
      <c r="F7759">
        <v>0</v>
      </c>
      <c r="G7759">
        <v>0</v>
      </c>
      <c r="H7759">
        <v>6</v>
      </c>
      <c r="I7759" s="3">
        <v>2269.5100000000002</v>
      </c>
      <c r="J7759" s="3">
        <v>509</v>
      </c>
      <c r="L7759">
        <v>8519</v>
      </c>
      <c r="M7759" t="s">
        <v>9086</v>
      </c>
      <c r="N7759" t="s">
        <v>30</v>
      </c>
      <c r="O7759" t="s">
        <v>31</v>
      </c>
      <c r="P7759" t="str">
        <f>"15235"</f>
        <v>15235</v>
      </c>
    </row>
    <row r="7760" spans="1:16" x14ac:dyDescent="0.25">
      <c r="A7760" t="str">
        <f>"1130231F00252    00"</f>
        <v>1130231F00252    00</v>
      </c>
      <c r="B7760" t="s">
        <v>17114</v>
      </c>
      <c r="C7760" t="s">
        <v>17116</v>
      </c>
      <c r="D7760" t="s">
        <v>20</v>
      </c>
      <c r="E7760" t="s">
        <v>39</v>
      </c>
      <c r="F7760">
        <v>0</v>
      </c>
      <c r="G7760">
        <v>0</v>
      </c>
      <c r="H7760">
        <v>6</v>
      </c>
      <c r="I7760" s="3">
        <v>2797.6</v>
      </c>
      <c r="J7760" s="3">
        <v>627.42999999999995</v>
      </c>
      <c r="L7760">
        <v>8519</v>
      </c>
      <c r="M7760" t="s">
        <v>9086</v>
      </c>
      <c r="N7760" t="s">
        <v>30</v>
      </c>
      <c r="O7760" t="s">
        <v>31</v>
      </c>
      <c r="P7760" t="str">
        <f>"15235"</f>
        <v>15235</v>
      </c>
    </row>
    <row r="7761" spans="1:16" x14ac:dyDescent="0.25">
      <c r="A7761" t="str">
        <f>"1130231F00256    00"</f>
        <v>1130231F00256    00</v>
      </c>
      <c r="B7761" t="s">
        <v>17117</v>
      </c>
      <c r="C7761" t="s">
        <v>17118</v>
      </c>
      <c r="D7761" t="s">
        <v>20</v>
      </c>
      <c r="E7761" t="s">
        <v>39</v>
      </c>
      <c r="F7761">
        <v>0</v>
      </c>
      <c r="G7761">
        <v>0</v>
      </c>
      <c r="H7761">
        <v>7</v>
      </c>
      <c r="I7761" s="3">
        <v>3016.53</v>
      </c>
      <c r="J7761" s="3">
        <v>716.06</v>
      </c>
      <c r="K7761" t="s">
        <v>17119</v>
      </c>
      <c r="L7761">
        <v>3698</v>
      </c>
      <c r="M7761" t="s">
        <v>17120</v>
      </c>
      <c r="N7761" t="s">
        <v>1320</v>
      </c>
      <c r="O7761" t="s">
        <v>1321</v>
      </c>
      <c r="P7761" t="str">
        <f>"89142"</f>
        <v>89142</v>
      </c>
    </row>
    <row r="7762" spans="1:16" x14ac:dyDescent="0.25">
      <c r="A7762" t="str">
        <f>"1130231F00258    00"</f>
        <v>1130231F00258    00</v>
      </c>
      <c r="B7762" t="s">
        <v>17117</v>
      </c>
      <c r="C7762" t="s">
        <v>12265</v>
      </c>
      <c r="D7762" t="s">
        <v>20</v>
      </c>
      <c r="E7762" t="s">
        <v>39</v>
      </c>
      <c r="F7762">
        <v>0</v>
      </c>
      <c r="G7762">
        <v>0</v>
      </c>
      <c r="H7762">
        <v>9</v>
      </c>
      <c r="I7762" s="3">
        <v>748.42</v>
      </c>
      <c r="J7762" s="3">
        <v>285.68</v>
      </c>
      <c r="M7762" t="s">
        <v>17121</v>
      </c>
      <c r="N7762" t="s">
        <v>30</v>
      </c>
      <c r="O7762" t="s">
        <v>31</v>
      </c>
      <c r="P7762" t="str">
        <f>"15221"</f>
        <v>15221</v>
      </c>
    </row>
    <row r="7763" spans="1:16" x14ac:dyDescent="0.25">
      <c r="A7763" t="str">
        <f>"1130231F00267    00"</f>
        <v>1130231F00267    00</v>
      </c>
      <c r="B7763" t="s">
        <v>17122</v>
      </c>
      <c r="C7763" t="s">
        <v>12265</v>
      </c>
      <c r="D7763" t="s">
        <v>20</v>
      </c>
      <c r="E7763" t="s">
        <v>39</v>
      </c>
      <c r="F7763">
        <v>0</v>
      </c>
      <c r="G7763">
        <v>0</v>
      </c>
      <c r="H7763">
        <v>19</v>
      </c>
      <c r="I7763" s="3">
        <v>1902.85</v>
      </c>
      <c r="J7763" s="3">
        <v>2040.63</v>
      </c>
      <c r="P7763" t="str">
        <f>""</f>
        <v/>
      </c>
    </row>
    <row r="7764" spans="1:16" x14ac:dyDescent="0.25">
      <c r="A7764" t="str">
        <f>"1130231F00286    00"</f>
        <v>1130231F00286    00</v>
      </c>
      <c r="B7764" t="s">
        <v>17123</v>
      </c>
      <c r="C7764" t="s">
        <v>17124</v>
      </c>
      <c r="E7764" t="s">
        <v>39</v>
      </c>
      <c r="F7764">
        <v>0</v>
      </c>
      <c r="G7764">
        <v>0</v>
      </c>
      <c r="H7764">
        <v>15</v>
      </c>
      <c r="I7764" s="3">
        <v>2204.9699999999998</v>
      </c>
      <c r="J7764" s="3">
        <v>2193.0100000000002</v>
      </c>
      <c r="L7764">
        <v>3</v>
      </c>
      <c r="M7764" t="s">
        <v>4190</v>
      </c>
      <c r="N7764" t="s">
        <v>30</v>
      </c>
      <c r="O7764" t="s">
        <v>31</v>
      </c>
      <c r="P7764" t="str">
        <f>"15235"</f>
        <v>15235</v>
      </c>
    </row>
    <row r="7765" spans="1:16" x14ac:dyDescent="0.25">
      <c r="A7765" t="str">
        <f>"1130231F00287    00"</f>
        <v>1130231F00287    00</v>
      </c>
      <c r="B7765" t="s">
        <v>17123</v>
      </c>
      <c r="C7765" t="s">
        <v>17124</v>
      </c>
      <c r="E7765" t="s">
        <v>39</v>
      </c>
      <c r="F7765">
        <v>0</v>
      </c>
      <c r="G7765">
        <v>0</v>
      </c>
      <c r="H7765">
        <v>14</v>
      </c>
      <c r="I7765" s="3">
        <v>15134.89</v>
      </c>
      <c r="J7765" s="3">
        <v>14794.75</v>
      </c>
      <c r="L7765">
        <v>3</v>
      </c>
      <c r="M7765" t="s">
        <v>4190</v>
      </c>
      <c r="N7765" t="s">
        <v>30</v>
      </c>
      <c r="O7765" t="s">
        <v>31</v>
      </c>
      <c r="P7765" t="str">
        <f>"15235"</f>
        <v>15235</v>
      </c>
    </row>
    <row r="7766" spans="1:16" x14ac:dyDescent="0.25">
      <c r="A7766" t="str">
        <f>"1130231F00288    00"</f>
        <v>1130231F00288    00</v>
      </c>
      <c r="B7766" t="s">
        <v>17125</v>
      </c>
      <c r="C7766" t="s">
        <v>12265</v>
      </c>
      <c r="D7766" t="s">
        <v>20</v>
      </c>
      <c r="E7766" t="s">
        <v>39</v>
      </c>
      <c r="F7766">
        <v>0</v>
      </c>
      <c r="G7766">
        <v>0</v>
      </c>
      <c r="H7766">
        <v>19</v>
      </c>
      <c r="I7766" s="3">
        <v>411.4</v>
      </c>
      <c r="J7766" s="3">
        <v>352.45</v>
      </c>
      <c r="L7766">
        <v>2683</v>
      </c>
      <c r="M7766" t="s">
        <v>17126</v>
      </c>
      <c r="N7766" t="s">
        <v>17127</v>
      </c>
      <c r="O7766" t="s">
        <v>495</v>
      </c>
      <c r="P7766" t="str">
        <f>"92014"</f>
        <v>92014</v>
      </c>
    </row>
    <row r="7767" spans="1:16" x14ac:dyDescent="0.25">
      <c r="A7767" t="str">
        <f>"1130231F00292    00"</f>
        <v>1130231F00292    00</v>
      </c>
      <c r="B7767" t="s">
        <v>17128</v>
      </c>
      <c r="C7767" t="s">
        <v>17129</v>
      </c>
      <c r="D7767" t="s">
        <v>20</v>
      </c>
      <c r="E7767" t="s">
        <v>39</v>
      </c>
      <c r="F7767">
        <v>0</v>
      </c>
      <c r="G7767">
        <v>0</v>
      </c>
      <c r="H7767">
        <v>19</v>
      </c>
      <c r="I7767" s="3">
        <v>28912.6</v>
      </c>
      <c r="J7767" s="3">
        <v>27436.78</v>
      </c>
      <c r="L7767">
        <v>1006</v>
      </c>
      <c r="M7767" t="s">
        <v>17130</v>
      </c>
      <c r="N7767" t="s">
        <v>903</v>
      </c>
      <c r="O7767" t="s">
        <v>31</v>
      </c>
      <c r="P7767" t="str">
        <f>"15136"</f>
        <v>15136</v>
      </c>
    </row>
    <row r="7768" spans="1:16" x14ac:dyDescent="0.25">
      <c r="A7768" t="str">
        <f>"1130231F00299    00"</f>
        <v>1130231F00299    00</v>
      </c>
      <c r="B7768" t="s">
        <v>17131</v>
      </c>
      <c r="C7768" t="s">
        <v>17132</v>
      </c>
      <c r="D7768" t="s">
        <v>20</v>
      </c>
      <c r="E7768" t="s">
        <v>39</v>
      </c>
      <c r="F7768">
        <v>0</v>
      </c>
      <c r="G7768">
        <v>0</v>
      </c>
      <c r="H7768">
        <v>1</v>
      </c>
      <c r="I7768" s="3">
        <v>400.26</v>
      </c>
      <c r="J7768" s="3">
        <v>0</v>
      </c>
      <c r="L7768">
        <v>208</v>
      </c>
      <c r="M7768" t="s">
        <v>4219</v>
      </c>
      <c r="N7768" t="s">
        <v>30</v>
      </c>
      <c r="O7768" t="s">
        <v>31</v>
      </c>
      <c r="P7768" t="str">
        <f>"15206"</f>
        <v>15206</v>
      </c>
    </row>
    <row r="7769" spans="1:16" x14ac:dyDescent="0.25">
      <c r="A7769" t="str">
        <f>"1130231F00314    00"</f>
        <v>1130231F00314    00</v>
      </c>
      <c r="B7769" t="s">
        <v>17133</v>
      </c>
      <c r="C7769" t="s">
        <v>17134</v>
      </c>
      <c r="D7769" t="s">
        <v>20</v>
      </c>
      <c r="E7769" t="s">
        <v>39</v>
      </c>
      <c r="F7769">
        <v>0</v>
      </c>
      <c r="G7769">
        <v>0</v>
      </c>
      <c r="H7769">
        <v>2</v>
      </c>
      <c r="I7769" s="3">
        <v>51.9</v>
      </c>
      <c r="J7769" s="3">
        <v>0</v>
      </c>
      <c r="L7769">
        <v>8977</v>
      </c>
      <c r="M7769" t="s">
        <v>14630</v>
      </c>
      <c r="N7769" t="s">
        <v>30</v>
      </c>
      <c r="O7769" t="s">
        <v>31</v>
      </c>
      <c r="P7769" t="str">
        <f>"15235"</f>
        <v>15235</v>
      </c>
    </row>
    <row r="7770" spans="1:16" x14ac:dyDescent="0.25">
      <c r="A7770" t="str">
        <f>"1130231F00318    00"</f>
        <v>1130231F00318    00</v>
      </c>
      <c r="B7770" t="s">
        <v>17133</v>
      </c>
      <c r="C7770" t="s">
        <v>17135</v>
      </c>
      <c r="D7770" t="s">
        <v>20</v>
      </c>
      <c r="E7770" t="s">
        <v>21</v>
      </c>
      <c r="F7770">
        <v>0</v>
      </c>
      <c r="G7770">
        <v>0</v>
      </c>
      <c r="H7770">
        <v>2</v>
      </c>
      <c r="I7770" s="3">
        <v>2348.38</v>
      </c>
      <c r="J7770" s="3">
        <v>0.16</v>
      </c>
      <c r="L7770">
        <v>8977</v>
      </c>
      <c r="M7770" t="s">
        <v>14630</v>
      </c>
      <c r="N7770" t="s">
        <v>30</v>
      </c>
      <c r="O7770" t="s">
        <v>31</v>
      </c>
      <c r="P7770" t="str">
        <f>"15235"</f>
        <v>15235</v>
      </c>
    </row>
    <row r="7771" spans="1:16" x14ac:dyDescent="0.25">
      <c r="A7771" t="str">
        <f>"1130231G00040    00"</f>
        <v>1130231G00040    00</v>
      </c>
      <c r="B7771" t="s">
        <v>17136</v>
      </c>
      <c r="C7771" t="s">
        <v>17137</v>
      </c>
      <c r="D7771" t="s">
        <v>20</v>
      </c>
      <c r="E7771" t="s">
        <v>39</v>
      </c>
      <c r="F7771">
        <v>0</v>
      </c>
      <c r="G7771">
        <v>0</v>
      </c>
      <c r="H7771">
        <v>1</v>
      </c>
      <c r="I7771" s="3">
        <v>1471.45</v>
      </c>
      <c r="J7771" s="3">
        <v>0</v>
      </c>
      <c r="K7771" t="s">
        <v>417</v>
      </c>
      <c r="L7771">
        <v>3001</v>
      </c>
      <c r="M7771" t="s">
        <v>330</v>
      </c>
      <c r="N7771" t="s">
        <v>331</v>
      </c>
      <c r="O7771" t="s">
        <v>108</v>
      </c>
      <c r="P7771" t="str">
        <f>"75063"</f>
        <v>75063</v>
      </c>
    </row>
    <row r="7772" spans="1:16" x14ac:dyDescent="0.25">
      <c r="A7772" t="str">
        <f>"1130231G00062    00"</f>
        <v>1130231G00062    00</v>
      </c>
      <c r="B7772" t="s">
        <v>17138</v>
      </c>
      <c r="C7772" t="s">
        <v>17134</v>
      </c>
      <c r="E7772" t="s">
        <v>21</v>
      </c>
      <c r="F7772">
        <v>0</v>
      </c>
      <c r="G7772">
        <v>0</v>
      </c>
      <c r="H7772">
        <v>1</v>
      </c>
      <c r="I7772" s="3">
        <v>607.16999999999996</v>
      </c>
      <c r="J7772" s="3">
        <v>602.09</v>
      </c>
      <c r="L7772">
        <v>8610</v>
      </c>
      <c r="M7772" t="s">
        <v>13958</v>
      </c>
      <c r="N7772" t="s">
        <v>30</v>
      </c>
      <c r="O7772" t="s">
        <v>31</v>
      </c>
      <c r="P7772" t="str">
        <f>"15221"</f>
        <v>15221</v>
      </c>
    </row>
    <row r="7773" spans="1:16" x14ac:dyDescent="0.25">
      <c r="A7773" t="str">
        <f>"1130231G00139    00"</f>
        <v>1130231G00139    00</v>
      </c>
      <c r="B7773" t="s">
        <v>17139</v>
      </c>
      <c r="C7773" t="s">
        <v>17140</v>
      </c>
      <c r="D7773" t="s">
        <v>20</v>
      </c>
      <c r="E7773" t="s">
        <v>39</v>
      </c>
      <c r="F7773">
        <v>0</v>
      </c>
      <c r="G7773">
        <v>0</v>
      </c>
      <c r="H7773">
        <v>2</v>
      </c>
      <c r="I7773" s="3">
        <v>414.08</v>
      </c>
      <c r="J7773" s="3">
        <v>0</v>
      </c>
      <c r="L7773">
        <v>8508</v>
      </c>
      <c r="M7773" t="s">
        <v>13958</v>
      </c>
      <c r="N7773" t="s">
        <v>30</v>
      </c>
      <c r="O7773" t="s">
        <v>31</v>
      </c>
      <c r="P7773" t="str">
        <f>"15221"</f>
        <v>15221</v>
      </c>
    </row>
    <row r="7774" spans="1:16" x14ac:dyDescent="0.25">
      <c r="A7774" t="str">
        <f>"1130231G00143    00"</f>
        <v>1130231G00143    00</v>
      </c>
      <c r="B7774" t="s">
        <v>17141</v>
      </c>
      <c r="C7774" t="s">
        <v>17142</v>
      </c>
      <c r="D7774" t="s">
        <v>20</v>
      </c>
      <c r="E7774" t="s">
        <v>39</v>
      </c>
      <c r="F7774">
        <v>0</v>
      </c>
      <c r="G7774">
        <v>0</v>
      </c>
      <c r="H7774">
        <v>3</v>
      </c>
      <c r="I7774" s="3">
        <v>2510.6799999999998</v>
      </c>
      <c r="J7774" s="3">
        <v>188.31</v>
      </c>
      <c r="K7774" t="s">
        <v>17143</v>
      </c>
      <c r="L7774">
        <v>8612</v>
      </c>
      <c r="M7774" t="s">
        <v>13958</v>
      </c>
      <c r="N7774" t="s">
        <v>30</v>
      </c>
      <c r="O7774" t="s">
        <v>31</v>
      </c>
      <c r="P7774" t="str">
        <f>"15221"</f>
        <v>15221</v>
      </c>
    </row>
    <row r="7775" spans="1:16" x14ac:dyDescent="0.25">
      <c r="A7775" t="str">
        <f>"1130231G00149    00"</f>
        <v>1130231G00149    00</v>
      </c>
      <c r="B7775" t="s">
        <v>17144</v>
      </c>
      <c r="C7775" t="s">
        <v>17145</v>
      </c>
      <c r="D7775" t="s">
        <v>20</v>
      </c>
      <c r="E7775" t="s">
        <v>39</v>
      </c>
      <c r="F7775">
        <v>0</v>
      </c>
      <c r="G7775">
        <v>0</v>
      </c>
      <c r="H7775">
        <v>17</v>
      </c>
      <c r="I7775" s="3">
        <v>19838.75</v>
      </c>
      <c r="J7775" s="3">
        <v>14273.92</v>
      </c>
      <c r="L7775">
        <v>132</v>
      </c>
      <c r="M7775" t="s">
        <v>17146</v>
      </c>
      <c r="N7775" t="s">
        <v>1692</v>
      </c>
      <c r="O7775" t="s">
        <v>31</v>
      </c>
      <c r="P7775" t="str">
        <f>"15005"</f>
        <v>15005</v>
      </c>
    </row>
    <row r="7776" spans="1:16" x14ac:dyDescent="0.25">
      <c r="A7776" t="str">
        <f>"1130231G00157    00"</f>
        <v>1130231G00157    00</v>
      </c>
      <c r="B7776" t="s">
        <v>17147</v>
      </c>
      <c r="C7776" t="s">
        <v>17148</v>
      </c>
      <c r="D7776" t="s">
        <v>20</v>
      </c>
      <c r="E7776" t="s">
        <v>39</v>
      </c>
      <c r="F7776">
        <v>0</v>
      </c>
      <c r="G7776">
        <v>0</v>
      </c>
      <c r="H7776">
        <v>6</v>
      </c>
      <c r="I7776" s="3">
        <v>2332.2600000000002</v>
      </c>
      <c r="J7776" s="3">
        <v>562.09</v>
      </c>
      <c r="K7776" t="s">
        <v>8393</v>
      </c>
      <c r="M7776" t="s">
        <v>8394</v>
      </c>
      <c r="N7776" t="s">
        <v>8395</v>
      </c>
      <c r="O7776" t="s">
        <v>1616</v>
      </c>
      <c r="P7776" t="str">
        <f>"57709"</f>
        <v>57709</v>
      </c>
    </row>
    <row r="7777" spans="1:16" x14ac:dyDescent="0.25">
      <c r="A7777" t="str">
        <f>"1130231G00161    00"</f>
        <v>1130231G00161    00</v>
      </c>
      <c r="B7777" t="s">
        <v>17149</v>
      </c>
      <c r="C7777" t="s">
        <v>17150</v>
      </c>
      <c r="D7777" t="s">
        <v>20</v>
      </c>
      <c r="E7777" t="s">
        <v>39</v>
      </c>
      <c r="F7777">
        <v>0</v>
      </c>
      <c r="G7777">
        <v>0</v>
      </c>
      <c r="H7777">
        <v>1</v>
      </c>
      <c r="I7777" s="3">
        <v>916.8</v>
      </c>
      <c r="J7777" s="3">
        <v>0</v>
      </c>
      <c r="L7777">
        <v>1158</v>
      </c>
      <c r="M7777" t="s">
        <v>14685</v>
      </c>
      <c r="N7777" t="s">
        <v>30</v>
      </c>
      <c r="O7777" t="s">
        <v>31</v>
      </c>
      <c r="P7777" t="str">
        <f>"15204"</f>
        <v>15204</v>
      </c>
    </row>
    <row r="7778" spans="1:16" x14ac:dyDescent="0.25">
      <c r="A7778" t="str">
        <f>"1130231G00166    00"</f>
        <v>1130231G00166    00</v>
      </c>
      <c r="B7778" t="s">
        <v>17151</v>
      </c>
      <c r="C7778" t="s">
        <v>17152</v>
      </c>
      <c r="D7778" t="s">
        <v>20</v>
      </c>
      <c r="E7778" t="s">
        <v>21</v>
      </c>
      <c r="F7778">
        <v>0</v>
      </c>
      <c r="G7778">
        <v>0</v>
      </c>
      <c r="H7778">
        <v>1</v>
      </c>
      <c r="I7778" s="3">
        <v>5969.59</v>
      </c>
      <c r="J7778" s="3">
        <v>0</v>
      </c>
      <c r="L7778">
        <v>8630</v>
      </c>
      <c r="M7778" t="s">
        <v>13958</v>
      </c>
      <c r="N7778" t="s">
        <v>30</v>
      </c>
      <c r="O7778" t="s">
        <v>31</v>
      </c>
      <c r="P7778" t="str">
        <f>"15221"</f>
        <v>15221</v>
      </c>
    </row>
    <row r="7779" spans="1:16" x14ac:dyDescent="0.25">
      <c r="A7779" t="str">
        <f>"1130231G00168    00"</f>
        <v>1130231G00168    00</v>
      </c>
      <c r="B7779" t="s">
        <v>17138</v>
      </c>
      <c r="C7779" t="s">
        <v>17153</v>
      </c>
      <c r="E7779" t="s">
        <v>21</v>
      </c>
      <c r="F7779">
        <v>0</v>
      </c>
      <c r="G7779">
        <v>0</v>
      </c>
      <c r="H7779">
        <v>1</v>
      </c>
      <c r="I7779" s="3">
        <v>13881.73</v>
      </c>
      <c r="J7779" s="3">
        <v>13765.49</v>
      </c>
      <c r="L7779">
        <v>8610</v>
      </c>
      <c r="M7779" t="s">
        <v>13958</v>
      </c>
      <c r="N7779" t="s">
        <v>30</v>
      </c>
      <c r="O7779" t="s">
        <v>31</v>
      </c>
      <c r="P7779" t="str">
        <f>"15221"</f>
        <v>15221</v>
      </c>
    </row>
    <row r="7780" spans="1:16" x14ac:dyDescent="0.25">
      <c r="A7780" t="str">
        <f>"1130231G00212    00"</f>
        <v>1130231G00212    00</v>
      </c>
      <c r="B7780" t="s">
        <v>17154</v>
      </c>
      <c r="C7780" t="s">
        <v>17155</v>
      </c>
      <c r="D7780" t="s">
        <v>20</v>
      </c>
      <c r="E7780" t="s">
        <v>39</v>
      </c>
      <c r="F7780">
        <v>0</v>
      </c>
      <c r="G7780">
        <v>0</v>
      </c>
      <c r="H7780">
        <v>12</v>
      </c>
      <c r="I7780" s="3">
        <v>11905.36</v>
      </c>
      <c r="J7780" s="3">
        <v>6262.32</v>
      </c>
      <c r="K7780" t="s">
        <v>17156</v>
      </c>
      <c r="L7780">
        <v>1500</v>
      </c>
      <c r="M7780" t="s">
        <v>17157</v>
      </c>
      <c r="N7780" t="s">
        <v>3934</v>
      </c>
      <c r="O7780" t="s">
        <v>31</v>
      </c>
      <c r="P7780" t="str">
        <f>"15102"</f>
        <v>15102</v>
      </c>
    </row>
    <row r="7781" spans="1:16" x14ac:dyDescent="0.25">
      <c r="A7781" t="str">
        <f>"1130231G00229    00"</f>
        <v>1130231G00229    00</v>
      </c>
      <c r="B7781" t="s">
        <v>17158</v>
      </c>
      <c r="C7781" t="s">
        <v>17159</v>
      </c>
      <c r="D7781" t="s">
        <v>20</v>
      </c>
      <c r="E7781" t="s">
        <v>39</v>
      </c>
      <c r="F7781">
        <v>0</v>
      </c>
      <c r="G7781">
        <v>0</v>
      </c>
      <c r="H7781">
        <v>6</v>
      </c>
      <c r="I7781" s="3">
        <v>6477.14</v>
      </c>
      <c r="J7781" s="3">
        <v>1358.96</v>
      </c>
      <c r="K7781" t="s">
        <v>17160</v>
      </c>
      <c r="L7781">
        <v>129</v>
      </c>
      <c r="M7781" t="s">
        <v>17161</v>
      </c>
      <c r="N7781" t="s">
        <v>30</v>
      </c>
      <c r="O7781" t="s">
        <v>31</v>
      </c>
      <c r="P7781" t="str">
        <f t="shared" ref="P7781:P7786" si="92">"15221"</f>
        <v>15221</v>
      </c>
    </row>
    <row r="7782" spans="1:16" x14ac:dyDescent="0.25">
      <c r="A7782" t="str">
        <f>"1130231G00241    00"</f>
        <v>1130231G00241    00</v>
      </c>
      <c r="B7782" t="s">
        <v>17162</v>
      </c>
      <c r="C7782" t="s">
        <v>17163</v>
      </c>
      <c r="D7782" t="s">
        <v>20</v>
      </c>
      <c r="E7782" t="s">
        <v>39</v>
      </c>
      <c r="F7782">
        <v>0</v>
      </c>
      <c r="G7782">
        <v>0</v>
      </c>
      <c r="H7782">
        <v>4</v>
      </c>
      <c r="I7782" s="3">
        <v>892.92</v>
      </c>
      <c r="J7782" s="3">
        <v>121.47</v>
      </c>
      <c r="L7782">
        <v>151</v>
      </c>
      <c r="M7782" t="s">
        <v>17161</v>
      </c>
      <c r="N7782" t="s">
        <v>30</v>
      </c>
      <c r="O7782" t="s">
        <v>31</v>
      </c>
      <c r="P7782" t="str">
        <f t="shared" si="92"/>
        <v>15221</v>
      </c>
    </row>
    <row r="7783" spans="1:16" x14ac:dyDescent="0.25">
      <c r="A7783" t="str">
        <f>"1130231G00243    00"</f>
        <v>1130231G00243    00</v>
      </c>
      <c r="B7783" t="s">
        <v>17164</v>
      </c>
      <c r="C7783" t="s">
        <v>17165</v>
      </c>
      <c r="D7783" t="s">
        <v>20</v>
      </c>
      <c r="E7783" t="s">
        <v>39</v>
      </c>
      <c r="F7783">
        <v>0</v>
      </c>
      <c r="G7783">
        <v>0</v>
      </c>
      <c r="H7783">
        <v>6</v>
      </c>
      <c r="I7783" s="3">
        <v>4129.3500000000004</v>
      </c>
      <c r="J7783" s="3">
        <v>788.17</v>
      </c>
      <c r="L7783">
        <v>159</v>
      </c>
      <c r="M7783" t="s">
        <v>17161</v>
      </c>
      <c r="N7783" t="s">
        <v>30</v>
      </c>
      <c r="O7783" t="s">
        <v>31</v>
      </c>
      <c r="P7783" t="str">
        <f t="shared" si="92"/>
        <v>15221</v>
      </c>
    </row>
    <row r="7784" spans="1:16" x14ac:dyDescent="0.25">
      <c r="A7784" t="str">
        <f>"1130231G00245    00"</f>
        <v>1130231G00245    00</v>
      </c>
      <c r="B7784" t="s">
        <v>17164</v>
      </c>
      <c r="C7784" t="s">
        <v>17166</v>
      </c>
      <c r="D7784" t="s">
        <v>20</v>
      </c>
      <c r="E7784" t="s">
        <v>39</v>
      </c>
      <c r="F7784">
        <v>0</v>
      </c>
      <c r="G7784">
        <v>0</v>
      </c>
      <c r="H7784">
        <v>9</v>
      </c>
      <c r="I7784" s="3">
        <v>872.28</v>
      </c>
      <c r="J7784" s="3">
        <v>304.67</v>
      </c>
      <c r="L7784">
        <v>159</v>
      </c>
      <c r="M7784" t="s">
        <v>17161</v>
      </c>
      <c r="N7784" t="s">
        <v>30</v>
      </c>
      <c r="O7784" t="s">
        <v>31</v>
      </c>
      <c r="P7784" t="str">
        <f t="shared" si="92"/>
        <v>15221</v>
      </c>
    </row>
    <row r="7785" spans="1:16" x14ac:dyDescent="0.25">
      <c r="A7785" t="str">
        <f>"1130231J00004    00"</f>
        <v>1130231J00004    00</v>
      </c>
      <c r="B7785" t="s">
        <v>17167</v>
      </c>
      <c r="C7785" t="s">
        <v>17024</v>
      </c>
      <c r="D7785" t="s">
        <v>20</v>
      </c>
      <c r="E7785" t="s">
        <v>39</v>
      </c>
      <c r="F7785">
        <v>0</v>
      </c>
      <c r="G7785">
        <v>0</v>
      </c>
      <c r="H7785">
        <v>19</v>
      </c>
      <c r="I7785" s="3">
        <v>301.70999999999998</v>
      </c>
      <c r="J7785" s="3">
        <v>294.45</v>
      </c>
      <c r="L7785">
        <v>8105</v>
      </c>
      <c r="M7785" t="s">
        <v>2429</v>
      </c>
      <c r="N7785" t="s">
        <v>30</v>
      </c>
      <c r="O7785" t="s">
        <v>31</v>
      </c>
      <c r="P7785" t="str">
        <f t="shared" si="92"/>
        <v>15221</v>
      </c>
    </row>
    <row r="7786" spans="1:16" x14ac:dyDescent="0.25">
      <c r="A7786" t="str">
        <f>"1130231J00005    00"</f>
        <v>1130231J00005    00</v>
      </c>
      <c r="B7786" t="s">
        <v>17168</v>
      </c>
      <c r="C7786" t="s">
        <v>17169</v>
      </c>
      <c r="D7786" t="s">
        <v>20</v>
      </c>
      <c r="E7786" t="s">
        <v>39</v>
      </c>
      <c r="F7786">
        <v>0</v>
      </c>
      <c r="G7786">
        <v>0</v>
      </c>
      <c r="H7786">
        <v>9</v>
      </c>
      <c r="I7786" s="3">
        <v>3530.84</v>
      </c>
      <c r="J7786" s="3">
        <v>1356.55</v>
      </c>
      <c r="L7786">
        <v>8107</v>
      </c>
      <c r="M7786" t="s">
        <v>2429</v>
      </c>
      <c r="N7786" t="s">
        <v>30</v>
      </c>
      <c r="O7786" t="s">
        <v>31</v>
      </c>
      <c r="P7786" t="str">
        <f t="shared" si="92"/>
        <v>15221</v>
      </c>
    </row>
    <row r="7787" spans="1:16" x14ac:dyDescent="0.25">
      <c r="A7787" t="str">
        <f>"1130231J00010    00"</f>
        <v>1130231J00010    00</v>
      </c>
      <c r="B7787" t="s">
        <v>17170</v>
      </c>
      <c r="C7787" t="s">
        <v>16941</v>
      </c>
      <c r="D7787" t="s">
        <v>20</v>
      </c>
      <c r="E7787" t="s">
        <v>39</v>
      </c>
      <c r="F7787">
        <v>0</v>
      </c>
      <c r="G7787">
        <v>0</v>
      </c>
      <c r="H7787">
        <v>17</v>
      </c>
      <c r="I7787" s="3">
        <v>196.54</v>
      </c>
      <c r="J7787" s="3">
        <v>217.52</v>
      </c>
      <c r="K7787" t="s">
        <v>1008</v>
      </c>
      <c r="P7787" t="str">
        <f>""</f>
        <v/>
      </c>
    </row>
    <row r="7788" spans="1:16" x14ac:dyDescent="0.25">
      <c r="A7788" t="str">
        <f>"1130231J00016    00"</f>
        <v>1130231J00016    00</v>
      </c>
      <c r="B7788" t="s">
        <v>17171</v>
      </c>
      <c r="C7788" t="s">
        <v>17172</v>
      </c>
      <c r="D7788" t="s">
        <v>20</v>
      </c>
      <c r="E7788" t="s">
        <v>39</v>
      </c>
      <c r="F7788">
        <v>0</v>
      </c>
      <c r="G7788">
        <v>0</v>
      </c>
      <c r="H7788">
        <v>18</v>
      </c>
      <c r="I7788" s="3">
        <v>9985.2000000000007</v>
      </c>
      <c r="J7788" s="3">
        <v>8984.9500000000007</v>
      </c>
      <c r="L7788">
        <v>2008</v>
      </c>
      <c r="M7788" t="s">
        <v>2357</v>
      </c>
      <c r="N7788" t="s">
        <v>30</v>
      </c>
      <c r="O7788" t="s">
        <v>31</v>
      </c>
      <c r="P7788" t="str">
        <f>"15221"</f>
        <v>15221</v>
      </c>
    </row>
    <row r="7789" spans="1:16" x14ac:dyDescent="0.25">
      <c r="A7789" t="str">
        <f>"1130231J00017    00"</f>
        <v>1130231J00017    00</v>
      </c>
      <c r="B7789" t="s">
        <v>17173</v>
      </c>
      <c r="C7789" t="s">
        <v>14853</v>
      </c>
      <c r="D7789" t="s">
        <v>20</v>
      </c>
      <c r="E7789" t="s">
        <v>39</v>
      </c>
      <c r="F7789">
        <v>0</v>
      </c>
      <c r="G7789">
        <v>0</v>
      </c>
      <c r="H7789">
        <v>17</v>
      </c>
      <c r="I7789" s="3">
        <v>239.59</v>
      </c>
      <c r="J7789" s="3">
        <v>263.13</v>
      </c>
      <c r="K7789" t="s">
        <v>1008</v>
      </c>
      <c r="P7789" t="str">
        <f>""</f>
        <v/>
      </c>
    </row>
    <row r="7790" spans="1:16" x14ac:dyDescent="0.25">
      <c r="A7790" t="str">
        <f>"1130231J00017A   00"</f>
        <v>1130231J00017A   00</v>
      </c>
      <c r="B7790" t="s">
        <v>17174</v>
      </c>
      <c r="C7790" t="s">
        <v>16941</v>
      </c>
      <c r="D7790" t="s">
        <v>20</v>
      </c>
      <c r="E7790" t="s">
        <v>39</v>
      </c>
      <c r="F7790">
        <v>0</v>
      </c>
      <c r="G7790">
        <v>0</v>
      </c>
      <c r="H7790">
        <v>17</v>
      </c>
      <c r="I7790" s="3">
        <v>239.59</v>
      </c>
      <c r="J7790" s="3">
        <v>263.13</v>
      </c>
      <c r="K7790" t="s">
        <v>1008</v>
      </c>
      <c r="P7790" t="str">
        <f>""</f>
        <v/>
      </c>
    </row>
    <row r="7791" spans="1:16" x14ac:dyDescent="0.25">
      <c r="A7791" t="str">
        <f>"1130231J00020    00"</f>
        <v>1130231J00020    00</v>
      </c>
      <c r="B7791" t="s">
        <v>12531</v>
      </c>
      <c r="C7791" t="s">
        <v>17175</v>
      </c>
      <c r="D7791" t="s">
        <v>20</v>
      </c>
      <c r="E7791" t="s">
        <v>39</v>
      </c>
      <c r="F7791">
        <v>0</v>
      </c>
      <c r="G7791">
        <v>0</v>
      </c>
      <c r="H7791">
        <v>1</v>
      </c>
      <c r="I7791" s="3">
        <v>838.66</v>
      </c>
      <c r="J7791" s="3">
        <v>0</v>
      </c>
      <c r="K7791" t="s">
        <v>12533</v>
      </c>
      <c r="L7791">
        <v>46</v>
      </c>
      <c r="M7791" t="s">
        <v>913</v>
      </c>
      <c r="N7791" t="s">
        <v>914</v>
      </c>
      <c r="O7791" t="s">
        <v>200</v>
      </c>
      <c r="P7791" t="str">
        <f>"10952"</f>
        <v>10952</v>
      </c>
    </row>
    <row r="7792" spans="1:16" x14ac:dyDescent="0.25">
      <c r="A7792" t="str">
        <f>"1130231J00024    00"</f>
        <v>1130231J00024    00</v>
      </c>
      <c r="B7792" t="s">
        <v>17176</v>
      </c>
      <c r="C7792" t="s">
        <v>14853</v>
      </c>
      <c r="D7792" t="s">
        <v>20</v>
      </c>
      <c r="E7792" t="s">
        <v>39</v>
      </c>
      <c r="F7792">
        <v>0</v>
      </c>
      <c r="G7792">
        <v>0</v>
      </c>
      <c r="H7792">
        <v>19</v>
      </c>
      <c r="I7792" s="3">
        <v>1935.95</v>
      </c>
      <c r="J7792" s="3">
        <v>1968.13</v>
      </c>
      <c r="K7792" t="s">
        <v>17177</v>
      </c>
      <c r="L7792">
        <v>4301</v>
      </c>
      <c r="M7792" t="s">
        <v>17178</v>
      </c>
      <c r="N7792" t="s">
        <v>17179</v>
      </c>
      <c r="O7792" t="s">
        <v>1184</v>
      </c>
      <c r="P7792" t="str">
        <f>"20748"</f>
        <v>20748</v>
      </c>
    </row>
    <row r="7793" spans="1:16" x14ac:dyDescent="0.25">
      <c r="A7793" t="str">
        <f>"1130231J00026    00"</f>
        <v>1130231J00026    00</v>
      </c>
      <c r="B7793" t="s">
        <v>17180</v>
      </c>
      <c r="C7793" t="s">
        <v>14853</v>
      </c>
      <c r="D7793" t="s">
        <v>20</v>
      </c>
      <c r="E7793" t="s">
        <v>39</v>
      </c>
      <c r="F7793">
        <v>0</v>
      </c>
      <c r="G7793">
        <v>0</v>
      </c>
      <c r="H7793">
        <v>19</v>
      </c>
      <c r="I7793" s="3">
        <v>1957.78</v>
      </c>
      <c r="J7793" s="3">
        <v>1979.7</v>
      </c>
      <c r="L7793">
        <v>13000</v>
      </c>
      <c r="M7793" t="s">
        <v>11939</v>
      </c>
      <c r="N7793" t="s">
        <v>30</v>
      </c>
      <c r="O7793" t="s">
        <v>31</v>
      </c>
      <c r="P7793" t="str">
        <f>"15235"</f>
        <v>15235</v>
      </c>
    </row>
    <row r="7794" spans="1:16" x14ac:dyDescent="0.25">
      <c r="A7794" t="str">
        <f>"1130231J00028    00"</f>
        <v>1130231J00028    00</v>
      </c>
      <c r="B7794" t="s">
        <v>17181</v>
      </c>
      <c r="C7794" t="s">
        <v>14853</v>
      </c>
      <c r="D7794" t="s">
        <v>20</v>
      </c>
      <c r="E7794" t="s">
        <v>39</v>
      </c>
      <c r="F7794">
        <v>0</v>
      </c>
      <c r="G7794">
        <v>0</v>
      </c>
      <c r="H7794">
        <v>19</v>
      </c>
      <c r="I7794" s="3">
        <v>1889.24</v>
      </c>
      <c r="J7794" s="3">
        <v>1921.05</v>
      </c>
      <c r="P7794" t="str">
        <f>""</f>
        <v/>
      </c>
    </row>
    <row r="7795" spans="1:16" x14ac:dyDescent="0.25">
      <c r="A7795" t="str">
        <f>"1130231J00029    00"</f>
        <v>1130231J00029    00</v>
      </c>
      <c r="B7795" t="s">
        <v>17182</v>
      </c>
      <c r="C7795" t="s">
        <v>14853</v>
      </c>
      <c r="D7795" t="s">
        <v>20</v>
      </c>
      <c r="E7795" t="s">
        <v>39</v>
      </c>
      <c r="F7795">
        <v>0</v>
      </c>
      <c r="G7795">
        <v>0</v>
      </c>
      <c r="H7795">
        <v>19</v>
      </c>
      <c r="I7795" s="3">
        <v>1911.31</v>
      </c>
      <c r="J7795" s="3">
        <v>1932.69</v>
      </c>
      <c r="L7795">
        <v>1040</v>
      </c>
      <c r="M7795" t="s">
        <v>17183</v>
      </c>
      <c r="N7795" t="s">
        <v>30</v>
      </c>
      <c r="O7795" t="s">
        <v>31</v>
      </c>
      <c r="P7795" t="str">
        <f>"15221"</f>
        <v>15221</v>
      </c>
    </row>
    <row r="7796" spans="1:16" x14ac:dyDescent="0.25">
      <c r="A7796" t="str">
        <f>"1130231J00052    00"</f>
        <v>1130231J00052    00</v>
      </c>
      <c r="B7796" t="s">
        <v>17184</v>
      </c>
      <c r="C7796" t="s">
        <v>16953</v>
      </c>
      <c r="D7796" t="s">
        <v>20</v>
      </c>
      <c r="E7796" t="s">
        <v>39</v>
      </c>
      <c r="F7796">
        <v>0</v>
      </c>
      <c r="G7796">
        <v>0</v>
      </c>
      <c r="H7796">
        <v>19</v>
      </c>
      <c r="I7796" s="3">
        <v>2056.85</v>
      </c>
      <c r="J7796" s="3">
        <v>1955.26</v>
      </c>
      <c r="M7796" t="s">
        <v>17185</v>
      </c>
      <c r="N7796" t="s">
        <v>17186</v>
      </c>
      <c r="O7796" t="s">
        <v>440</v>
      </c>
      <c r="P7796" t="str">
        <f>"01613"</f>
        <v>01613</v>
      </c>
    </row>
    <row r="7797" spans="1:16" x14ac:dyDescent="0.25">
      <c r="A7797" t="str">
        <f>"1130231J00058    00"</f>
        <v>1130231J00058    00</v>
      </c>
      <c r="B7797" t="s">
        <v>17187</v>
      </c>
      <c r="C7797" t="s">
        <v>16953</v>
      </c>
      <c r="D7797" t="s">
        <v>20</v>
      </c>
      <c r="E7797" t="s">
        <v>39</v>
      </c>
      <c r="F7797">
        <v>0</v>
      </c>
      <c r="G7797">
        <v>0</v>
      </c>
      <c r="H7797">
        <v>19</v>
      </c>
      <c r="I7797" s="3">
        <v>1985.32</v>
      </c>
      <c r="J7797" s="3">
        <v>2039.26</v>
      </c>
      <c r="L7797">
        <v>7231</v>
      </c>
      <c r="M7797" t="s">
        <v>872</v>
      </c>
      <c r="N7797" t="s">
        <v>30</v>
      </c>
      <c r="O7797" t="s">
        <v>31</v>
      </c>
      <c r="P7797" t="str">
        <f>"15208"</f>
        <v>15208</v>
      </c>
    </row>
    <row r="7798" spans="1:16" x14ac:dyDescent="0.25">
      <c r="A7798" t="str">
        <f>"1130231J00060    00"</f>
        <v>1130231J00060    00</v>
      </c>
      <c r="B7798" t="s">
        <v>17188</v>
      </c>
      <c r="C7798" t="s">
        <v>16941</v>
      </c>
      <c r="D7798" t="s">
        <v>20</v>
      </c>
      <c r="E7798" t="s">
        <v>39</v>
      </c>
      <c r="F7798">
        <v>0</v>
      </c>
      <c r="G7798">
        <v>0</v>
      </c>
      <c r="H7798">
        <v>19</v>
      </c>
      <c r="I7798" s="3">
        <v>1168.73</v>
      </c>
      <c r="J7798" s="3">
        <v>842.84</v>
      </c>
      <c r="K7798" t="s">
        <v>1008</v>
      </c>
      <c r="P7798" t="str">
        <f>""</f>
        <v/>
      </c>
    </row>
    <row r="7799" spans="1:16" x14ac:dyDescent="0.25">
      <c r="A7799" t="str">
        <f>"1130231J00062    00"</f>
        <v>1130231J00062    00</v>
      </c>
      <c r="B7799" t="s">
        <v>17189</v>
      </c>
      <c r="C7799" t="s">
        <v>16953</v>
      </c>
      <c r="D7799" t="s">
        <v>20</v>
      </c>
      <c r="E7799" t="s">
        <v>39</v>
      </c>
      <c r="F7799">
        <v>0</v>
      </c>
      <c r="G7799">
        <v>0</v>
      </c>
      <c r="H7799">
        <v>18</v>
      </c>
      <c r="I7799" s="3">
        <v>5632.64</v>
      </c>
      <c r="J7799" s="3">
        <v>6170.05</v>
      </c>
      <c r="L7799">
        <v>1021</v>
      </c>
      <c r="M7799" t="s">
        <v>16962</v>
      </c>
      <c r="N7799" t="s">
        <v>30</v>
      </c>
      <c r="O7799" t="s">
        <v>31</v>
      </c>
      <c r="P7799" t="str">
        <f>"15221"</f>
        <v>15221</v>
      </c>
    </row>
    <row r="7800" spans="1:16" x14ac:dyDescent="0.25">
      <c r="A7800" t="str">
        <f>"1130231J00070    00"</f>
        <v>1130231J00070    00</v>
      </c>
      <c r="B7800" t="s">
        <v>17190</v>
      </c>
      <c r="C7800" t="s">
        <v>17191</v>
      </c>
      <c r="D7800" t="s">
        <v>20</v>
      </c>
      <c r="E7800" t="s">
        <v>39</v>
      </c>
      <c r="F7800">
        <v>0</v>
      </c>
      <c r="G7800">
        <v>0</v>
      </c>
      <c r="H7800">
        <v>10</v>
      </c>
      <c r="I7800" s="3">
        <v>629.70000000000005</v>
      </c>
      <c r="J7800" s="3">
        <v>268.72000000000003</v>
      </c>
      <c r="L7800">
        <v>1039</v>
      </c>
      <c r="M7800" t="s">
        <v>16962</v>
      </c>
      <c r="N7800" t="s">
        <v>30</v>
      </c>
      <c r="O7800" t="s">
        <v>31</v>
      </c>
      <c r="P7800" t="str">
        <f>"15221"</f>
        <v>15221</v>
      </c>
    </row>
    <row r="7801" spans="1:16" x14ac:dyDescent="0.25">
      <c r="A7801" t="str">
        <f>"1130231J00071    00"</f>
        <v>1130231J00071    00</v>
      </c>
      <c r="B7801" t="s">
        <v>11858</v>
      </c>
      <c r="C7801" t="s">
        <v>17192</v>
      </c>
      <c r="D7801" t="s">
        <v>20</v>
      </c>
      <c r="E7801" t="s">
        <v>39</v>
      </c>
      <c r="F7801">
        <v>0</v>
      </c>
      <c r="G7801">
        <v>0</v>
      </c>
      <c r="H7801">
        <v>1</v>
      </c>
      <c r="I7801" s="3">
        <v>343.1</v>
      </c>
      <c r="J7801" s="3">
        <v>0</v>
      </c>
      <c r="K7801" t="s">
        <v>11860</v>
      </c>
      <c r="L7801">
        <v>46</v>
      </c>
      <c r="M7801" t="s">
        <v>913</v>
      </c>
      <c r="N7801" t="s">
        <v>914</v>
      </c>
      <c r="O7801" t="s">
        <v>200</v>
      </c>
      <c r="P7801" t="str">
        <f>"10952"</f>
        <v>10952</v>
      </c>
    </row>
    <row r="7802" spans="1:16" x14ac:dyDescent="0.25">
      <c r="A7802" t="str">
        <f>"1130231J00075    00"</f>
        <v>1130231J00075    00</v>
      </c>
      <c r="B7802" t="s">
        <v>2280</v>
      </c>
      <c r="C7802" t="s">
        <v>16953</v>
      </c>
      <c r="D7802" t="s">
        <v>20</v>
      </c>
      <c r="E7802" t="s">
        <v>39</v>
      </c>
      <c r="F7802">
        <v>0</v>
      </c>
      <c r="G7802">
        <v>0</v>
      </c>
      <c r="H7802">
        <v>19</v>
      </c>
      <c r="I7802" s="3">
        <v>1713.58</v>
      </c>
      <c r="J7802" s="3">
        <v>1828.19</v>
      </c>
      <c r="L7802">
        <v>1049</v>
      </c>
      <c r="M7802" t="s">
        <v>16962</v>
      </c>
      <c r="N7802" t="s">
        <v>30</v>
      </c>
      <c r="O7802" t="s">
        <v>31</v>
      </c>
      <c r="P7802" t="str">
        <f>"15221"</f>
        <v>15221</v>
      </c>
    </row>
    <row r="7803" spans="1:16" x14ac:dyDescent="0.25">
      <c r="A7803" t="str">
        <f>"1130231J00080    00"</f>
        <v>1130231J00080    00</v>
      </c>
      <c r="B7803" t="s">
        <v>17193</v>
      </c>
      <c r="C7803" t="s">
        <v>16941</v>
      </c>
      <c r="D7803" t="s">
        <v>20</v>
      </c>
      <c r="E7803" t="s">
        <v>39</v>
      </c>
      <c r="F7803">
        <v>0</v>
      </c>
      <c r="G7803">
        <v>0</v>
      </c>
      <c r="H7803">
        <v>18</v>
      </c>
      <c r="I7803" s="3">
        <v>3286.61</v>
      </c>
      <c r="J7803" s="3">
        <v>3939.04</v>
      </c>
      <c r="L7803">
        <v>123</v>
      </c>
      <c r="M7803" t="s">
        <v>17194</v>
      </c>
      <c r="N7803" t="s">
        <v>30</v>
      </c>
      <c r="O7803" t="s">
        <v>31</v>
      </c>
      <c r="P7803" t="str">
        <f>"15208"</f>
        <v>15208</v>
      </c>
    </row>
    <row r="7804" spans="1:16" x14ac:dyDescent="0.25">
      <c r="A7804" t="str">
        <f>"1130231J00086    00"</f>
        <v>1130231J00086    00</v>
      </c>
      <c r="B7804" t="s">
        <v>16974</v>
      </c>
      <c r="C7804" t="s">
        <v>16953</v>
      </c>
      <c r="D7804" t="s">
        <v>20</v>
      </c>
      <c r="E7804" t="s">
        <v>39</v>
      </c>
      <c r="F7804">
        <v>0</v>
      </c>
      <c r="G7804">
        <v>0</v>
      </c>
      <c r="H7804">
        <v>13</v>
      </c>
      <c r="I7804" s="3">
        <v>493.5</v>
      </c>
      <c r="J7804" s="3">
        <v>296.52</v>
      </c>
      <c r="K7804" t="s">
        <v>17195</v>
      </c>
      <c r="L7804">
        <v>6914</v>
      </c>
      <c r="M7804" t="s">
        <v>16976</v>
      </c>
      <c r="N7804" t="s">
        <v>30</v>
      </c>
      <c r="O7804" t="s">
        <v>31</v>
      </c>
      <c r="P7804" t="str">
        <f>"15206"</f>
        <v>15206</v>
      </c>
    </row>
    <row r="7805" spans="1:16" x14ac:dyDescent="0.25">
      <c r="A7805" t="str">
        <f>"1130231J00088    00"</f>
        <v>1130231J00088    00</v>
      </c>
      <c r="B7805" t="s">
        <v>17196</v>
      </c>
      <c r="C7805" t="s">
        <v>17197</v>
      </c>
      <c r="D7805" t="s">
        <v>20</v>
      </c>
      <c r="E7805" t="s">
        <v>39</v>
      </c>
      <c r="F7805">
        <v>0</v>
      </c>
      <c r="G7805">
        <v>0</v>
      </c>
      <c r="H7805">
        <v>3</v>
      </c>
      <c r="I7805" s="3">
        <v>1069.01</v>
      </c>
      <c r="J7805" s="3">
        <v>84.24</v>
      </c>
      <c r="L7805">
        <v>3915</v>
      </c>
      <c r="M7805" t="s">
        <v>17198</v>
      </c>
      <c r="N7805" t="s">
        <v>30</v>
      </c>
      <c r="O7805" t="s">
        <v>31</v>
      </c>
      <c r="P7805" t="str">
        <f>"15212"</f>
        <v>15212</v>
      </c>
    </row>
    <row r="7806" spans="1:16" x14ac:dyDescent="0.25">
      <c r="A7806" t="str">
        <f>"1130231J00090    00"</f>
        <v>1130231J00090    00</v>
      </c>
      <c r="B7806" t="s">
        <v>17199</v>
      </c>
      <c r="C7806" t="s">
        <v>16953</v>
      </c>
      <c r="D7806" t="s">
        <v>20</v>
      </c>
      <c r="E7806" t="s">
        <v>39</v>
      </c>
      <c r="F7806">
        <v>0</v>
      </c>
      <c r="G7806">
        <v>0</v>
      </c>
      <c r="H7806">
        <v>1</v>
      </c>
      <c r="I7806" s="3">
        <v>19.059999999999999</v>
      </c>
      <c r="J7806" s="3">
        <v>0</v>
      </c>
      <c r="K7806" t="s">
        <v>17200</v>
      </c>
      <c r="L7806">
        <v>1042</v>
      </c>
      <c r="M7806" t="s">
        <v>16962</v>
      </c>
      <c r="N7806" t="s">
        <v>30</v>
      </c>
      <c r="O7806" t="s">
        <v>31</v>
      </c>
      <c r="P7806" t="str">
        <f>"15221"</f>
        <v>15221</v>
      </c>
    </row>
    <row r="7807" spans="1:16" x14ac:dyDescent="0.25">
      <c r="A7807" t="str">
        <f>"1130231J00092    00"</f>
        <v>1130231J00092    00</v>
      </c>
      <c r="B7807" t="s">
        <v>17199</v>
      </c>
      <c r="C7807" t="s">
        <v>16953</v>
      </c>
      <c r="D7807" t="s">
        <v>20</v>
      </c>
      <c r="E7807" t="s">
        <v>39</v>
      </c>
      <c r="F7807">
        <v>0</v>
      </c>
      <c r="G7807">
        <v>0</v>
      </c>
      <c r="H7807">
        <v>1</v>
      </c>
      <c r="I7807" s="3">
        <v>76.239999999999995</v>
      </c>
      <c r="J7807" s="3">
        <v>0</v>
      </c>
      <c r="K7807" t="s">
        <v>17200</v>
      </c>
      <c r="L7807">
        <v>1042</v>
      </c>
      <c r="M7807" t="s">
        <v>16962</v>
      </c>
      <c r="N7807" t="s">
        <v>30</v>
      </c>
      <c r="O7807" t="s">
        <v>31</v>
      </c>
      <c r="P7807" t="str">
        <f>"15221"</f>
        <v>15221</v>
      </c>
    </row>
    <row r="7808" spans="1:16" x14ac:dyDescent="0.25">
      <c r="A7808" t="str">
        <f>"1130231J00096    00"</f>
        <v>1130231J00096    00</v>
      </c>
      <c r="B7808" t="s">
        <v>17201</v>
      </c>
      <c r="C7808" t="s">
        <v>16953</v>
      </c>
      <c r="D7808" t="s">
        <v>20</v>
      </c>
      <c r="E7808" t="s">
        <v>39</v>
      </c>
      <c r="F7808">
        <v>0</v>
      </c>
      <c r="G7808">
        <v>0</v>
      </c>
      <c r="H7808">
        <v>19</v>
      </c>
      <c r="I7808" s="3">
        <v>2303.38</v>
      </c>
      <c r="J7808" s="3">
        <v>2462.96</v>
      </c>
      <c r="L7808">
        <v>2147</v>
      </c>
      <c r="M7808" t="s">
        <v>17202</v>
      </c>
      <c r="N7808" t="s">
        <v>30</v>
      </c>
      <c r="O7808" t="s">
        <v>31</v>
      </c>
      <c r="P7808" t="str">
        <f>"15235"</f>
        <v>15235</v>
      </c>
    </row>
    <row r="7809" spans="1:16" x14ac:dyDescent="0.25">
      <c r="A7809" t="str">
        <f>"1130231J00105    00"</f>
        <v>1130231J00105    00</v>
      </c>
      <c r="B7809" t="s">
        <v>17203</v>
      </c>
      <c r="C7809" t="s">
        <v>16953</v>
      </c>
      <c r="D7809" t="s">
        <v>20</v>
      </c>
      <c r="E7809" t="s">
        <v>39</v>
      </c>
      <c r="F7809">
        <v>0</v>
      </c>
      <c r="G7809">
        <v>0</v>
      </c>
      <c r="H7809">
        <v>19</v>
      </c>
      <c r="I7809" s="3">
        <v>1776.8</v>
      </c>
      <c r="J7809" s="3">
        <v>1839.07</v>
      </c>
      <c r="P7809" t="str">
        <f>""</f>
        <v/>
      </c>
    </row>
    <row r="7810" spans="1:16" x14ac:dyDescent="0.25">
      <c r="A7810" t="str">
        <f>"1130231J00127    00"</f>
        <v>1130231J00127    00</v>
      </c>
      <c r="B7810" t="s">
        <v>17204</v>
      </c>
      <c r="C7810" t="s">
        <v>16978</v>
      </c>
      <c r="D7810" t="s">
        <v>20</v>
      </c>
      <c r="E7810" t="s">
        <v>39</v>
      </c>
      <c r="F7810">
        <v>0</v>
      </c>
      <c r="G7810">
        <v>0</v>
      </c>
      <c r="H7810">
        <v>19</v>
      </c>
      <c r="I7810" s="3">
        <v>2755.9</v>
      </c>
      <c r="J7810" s="3">
        <v>2803.18</v>
      </c>
      <c r="P7810" t="str">
        <f>""</f>
        <v/>
      </c>
    </row>
    <row r="7811" spans="1:16" x14ac:dyDescent="0.25">
      <c r="A7811" t="str">
        <f>"1130231J00138    00"</f>
        <v>1130231J00138    00</v>
      </c>
      <c r="B7811" t="s">
        <v>17205</v>
      </c>
      <c r="C7811" t="s">
        <v>17206</v>
      </c>
      <c r="D7811" t="s">
        <v>20</v>
      </c>
      <c r="E7811" t="s">
        <v>39</v>
      </c>
      <c r="F7811">
        <v>0</v>
      </c>
      <c r="G7811">
        <v>0</v>
      </c>
      <c r="H7811">
        <v>6</v>
      </c>
      <c r="I7811" s="3">
        <v>898.8</v>
      </c>
      <c r="J7811" s="3">
        <v>201.58</v>
      </c>
      <c r="K7811" t="s">
        <v>17207</v>
      </c>
      <c r="L7811">
        <v>1220</v>
      </c>
      <c r="M7811" t="s">
        <v>13887</v>
      </c>
      <c r="N7811" t="s">
        <v>30</v>
      </c>
      <c r="O7811" t="s">
        <v>31</v>
      </c>
      <c r="P7811" t="str">
        <f>"15221"</f>
        <v>15221</v>
      </c>
    </row>
    <row r="7812" spans="1:16" x14ac:dyDescent="0.25">
      <c r="A7812" t="str">
        <f>"1130231J00139    00"</f>
        <v>1130231J00139    00</v>
      </c>
      <c r="B7812" t="s">
        <v>17208</v>
      </c>
      <c r="C7812" t="s">
        <v>16978</v>
      </c>
      <c r="D7812" t="s">
        <v>20</v>
      </c>
      <c r="E7812" t="s">
        <v>39</v>
      </c>
      <c r="F7812">
        <v>0</v>
      </c>
      <c r="G7812">
        <v>0</v>
      </c>
      <c r="H7812">
        <v>19</v>
      </c>
      <c r="I7812" s="3">
        <v>279.7</v>
      </c>
      <c r="J7812" s="3">
        <v>282.8</v>
      </c>
      <c r="K7812" t="s">
        <v>1037</v>
      </c>
      <c r="L7812">
        <v>7304</v>
      </c>
      <c r="M7812" t="s">
        <v>11435</v>
      </c>
      <c r="N7812" t="s">
        <v>30</v>
      </c>
      <c r="O7812" t="s">
        <v>31</v>
      </c>
      <c r="P7812" t="str">
        <f>"15208"</f>
        <v>15208</v>
      </c>
    </row>
    <row r="7813" spans="1:16" x14ac:dyDescent="0.25">
      <c r="A7813" t="str">
        <f>"1130231J00140    00"</f>
        <v>1130231J00140    00</v>
      </c>
      <c r="B7813" t="s">
        <v>17209</v>
      </c>
      <c r="C7813" t="s">
        <v>16978</v>
      </c>
      <c r="D7813" t="s">
        <v>20</v>
      </c>
      <c r="E7813" t="s">
        <v>39</v>
      </c>
      <c r="F7813">
        <v>0</v>
      </c>
      <c r="G7813">
        <v>0</v>
      </c>
      <c r="H7813">
        <v>19</v>
      </c>
      <c r="I7813" s="3">
        <v>279.7</v>
      </c>
      <c r="J7813" s="3">
        <v>282.8</v>
      </c>
      <c r="K7813" t="s">
        <v>17210</v>
      </c>
      <c r="L7813">
        <v>570</v>
      </c>
      <c r="M7813" t="s">
        <v>17211</v>
      </c>
      <c r="N7813" t="s">
        <v>636</v>
      </c>
      <c r="O7813" t="s">
        <v>31</v>
      </c>
      <c r="P7813" t="str">
        <f>"15104"</f>
        <v>15104</v>
      </c>
    </row>
    <row r="7814" spans="1:16" x14ac:dyDescent="0.25">
      <c r="A7814" t="str">
        <f>"1130231J00141    00"</f>
        <v>1130231J00141    00</v>
      </c>
      <c r="B7814" t="s">
        <v>17212</v>
      </c>
      <c r="C7814" t="s">
        <v>16978</v>
      </c>
      <c r="D7814" t="s">
        <v>20</v>
      </c>
      <c r="E7814" t="s">
        <v>39</v>
      </c>
      <c r="F7814">
        <v>0</v>
      </c>
      <c r="G7814">
        <v>0</v>
      </c>
      <c r="H7814">
        <v>19</v>
      </c>
      <c r="I7814" s="3">
        <v>2419.3200000000002</v>
      </c>
      <c r="J7814" s="3">
        <v>2973.15</v>
      </c>
      <c r="M7814" t="s">
        <v>17213</v>
      </c>
      <c r="N7814" t="s">
        <v>30</v>
      </c>
      <c r="O7814" t="s">
        <v>31</v>
      </c>
      <c r="P7814" t="str">
        <f>"15235"</f>
        <v>15235</v>
      </c>
    </row>
    <row r="7815" spans="1:16" x14ac:dyDescent="0.25">
      <c r="A7815" t="str">
        <f>"1130231J00142    00"</f>
        <v>1130231J00142    00</v>
      </c>
      <c r="B7815" t="s">
        <v>17214</v>
      </c>
      <c r="C7815" t="s">
        <v>16978</v>
      </c>
      <c r="D7815" t="s">
        <v>20</v>
      </c>
      <c r="E7815" t="s">
        <v>39</v>
      </c>
      <c r="F7815">
        <v>0</v>
      </c>
      <c r="G7815">
        <v>0</v>
      </c>
      <c r="H7815">
        <v>19</v>
      </c>
      <c r="I7815" s="3">
        <v>367.5</v>
      </c>
      <c r="J7815" s="3">
        <v>329.21</v>
      </c>
      <c r="K7815" t="s">
        <v>1008</v>
      </c>
      <c r="P7815" t="str">
        <f>""</f>
        <v/>
      </c>
    </row>
    <row r="7816" spans="1:16" x14ac:dyDescent="0.25">
      <c r="A7816" t="str">
        <f>"1130231J00143    00"</f>
        <v>1130231J00143    00</v>
      </c>
      <c r="B7816" t="s">
        <v>17215</v>
      </c>
      <c r="C7816" t="s">
        <v>16978</v>
      </c>
      <c r="D7816" t="s">
        <v>20</v>
      </c>
      <c r="E7816" t="s">
        <v>39</v>
      </c>
      <c r="F7816">
        <v>0</v>
      </c>
      <c r="G7816">
        <v>0</v>
      </c>
      <c r="H7816">
        <v>19</v>
      </c>
      <c r="I7816" s="3">
        <v>6765.93</v>
      </c>
      <c r="J7816" s="3">
        <v>7271.45</v>
      </c>
      <c r="P7816" t="str">
        <f>""</f>
        <v/>
      </c>
    </row>
    <row r="7817" spans="1:16" x14ac:dyDescent="0.25">
      <c r="A7817" t="str">
        <f>"1130231J00148    00"</f>
        <v>1130231J00148    00</v>
      </c>
      <c r="B7817" t="s">
        <v>17216</v>
      </c>
      <c r="C7817" t="s">
        <v>17217</v>
      </c>
      <c r="D7817" t="s">
        <v>20</v>
      </c>
      <c r="E7817" t="s">
        <v>39</v>
      </c>
      <c r="F7817">
        <v>0</v>
      </c>
      <c r="G7817">
        <v>0</v>
      </c>
      <c r="H7817">
        <v>8</v>
      </c>
      <c r="I7817" s="3">
        <v>2556.77</v>
      </c>
      <c r="J7817" s="3">
        <v>836.59</v>
      </c>
      <c r="L7817">
        <v>1042</v>
      </c>
      <c r="M7817" t="s">
        <v>16984</v>
      </c>
      <c r="N7817" t="s">
        <v>30</v>
      </c>
      <c r="O7817" t="s">
        <v>31</v>
      </c>
      <c r="P7817" t="str">
        <f>"15221"</f>
        <v>15221</v>
      </c>
    </row>
    <row r="7818" spans="1:16" x14ac:dyDescent="0.25">
      <c r="A7818" t="str">
        <f>"1130231J00192    00"</f>
        <v>1130231J00192    00</v>
      </c>
      <c r="B7818" t="s">
        <v>17218</v>
      </c>
      <c r="C7818" t="s">
        <v>17219</v>
      </c>
      <c r="E7818" t="s">
        <v>39</v>
      </c>
      <c r="F7818">
        <v>0</v>
      </c>
      <c r="G7818">
        <v>0</v>
      </c>
      <c r="H7818">
        <v>2</v>
      </c>
      <c r="I7818" s="3">
        <v>248.44</v>
      </c>
      <c r="J7818" s="3">
        <v>34.159999999999997</v>
      </c>
      <c r="L7818">
        <v>1023</v>
      </c>
      <c r="M7818" t="s">
        <v>13506</v>
      </c>
      <c r="N7818" t="s">
        <v>30</v>
      </c>
      <c r="O7818" t="s">
        <v>31</v>
      </c>
      <c r="P7818" t="str">
        <f>"15221"</f>
        <v>15221</v>
      </c>
    </row>
    <row r="7819" spans="1:16" x14ac:dyDescent="0.25">
      <c r="A7819" t="str">
        <f>"1130231J00195    00"</f>
        <v>1130231J00195    00</v>
      </c>
      <c r="B7819" t="s">
        <v>17220</v>
      </c>
      <c r="C7819" t="s">
        <v>17221</v>
      </c>
      <c r="D7819" t="s">
        <v>20</v>
      </c>
      <c r="E7819" t="s">
        <v>39</v>
      </c>
      <c r="F7819">
        <v>0</v>
      </c>
      <c r="G7819">
        <v>0</v>
      </c>
      <c r="H7819">
        <v>10</v>
      </c>
      <c r="I7819" s="3">
        <v>3624.48</v>
      </c>
      <c r="J7819" s="3">
        <v>1628.93</v>
      </c>
      <c r="L7819">
        <v>1019</v>
      </c>
      <c r="M7819" t="s">
        <v>13506</v>
      </c>
      <c r="N7819" t="s">
        <v>30</v>
      </c>
      <c r="O7819" t="s">
        <v>31</v>
      </c>
      <c r="P7819" t="str">
        <f>"15221"</f>
        <v>15221</v>
      </c>
    </row>
    <row r="7820" spans="1:16" x14ac:dyDescent="0.25">
      <c r="A7820" t="str">
        <f>"1130231J00204    00"</f>
        <v>1130231J00204    00</v>
      </c>
      <c r="B7820" t="s">
        <v>17222</v>
      </c>
      <c r="C7820" t="s">
        <v>17005</v>
      </c>
      <c r="D7820" t="s">
        <v>20</v>
      </c>
      <c r="E7820" t="s">
        <v>39</v>
      </c>
      <c r="F7820">
        <v>0</v>
      </c>
      <c r="G7820">
        <v>0</v>
      </c>
      <c r="H7820">
        <v>19</v>
      </c>
      <c r="I7820" s="3">
        <v>1601.62</v>
      </c>
      <c r="J7820" s="3">
        <v>1643.82</v>
      </c>
      <c r="P7820" t="str">
        <f>""</f>
        <v/>
      </c>
    </row>
    <row r="7821" spans="1:16" x14ac:dyDescent="0.25">
      <c r="A7821" t="str">
        <f>"1130231J00205    00"</f>
        <v>1130231J00205    00</v>
      </c>
      <c r="B7821" t="s">
        <v>17214</v>
      </c>
      <c r="C7821" t="s">
        <v>17005</v>
      </c>
      <c r="D7821" t="s">
        <v>20</v>
      </c>
      <c r="E7821" t="s">
        <v>39</v>
      </c>
      <c r="F7821">
        <v>0</v>
      </c>
      <c r="G7821">
        <v>0</v>
      </c>
      <c r="H7821">
        <v>19</v>
      </c>
      <c r="I7821" s="3">
        <v>1631.62</v>
      </c>
      <c r="J7821" s="3">
        <v>1649.82</v>
      </c>
      <c r="P7821" t="str">
        <f>""</f>
        <v/>
      </c>
    </row>
    <row r="7822" spans="1:16" x14ac:dyDescent="0.25">
      <c r="A7822" t="str">
        <f>"1130231J00209    00"</f>
        <v>1130231J00209    00</v>
      </c>
      <c r="B7822" t="s">
        <v>17223</v>
      </c>
      <c r="C7822" t="s">
        <v>17024</v>
      </c>
      <c r="D7822" t="s">
        <v>20</v>
      </c>
      <c r="E7822" t="s">
        <v>39</v>
      </c>
      <c r="F7822">
        <v>0</v>
      </c>
      <c r="G7822">
        <v>0</v>
      </c>
      <c r="H7822">
        <v>18</v>
      </c>
      <c r="I7822" s="3">
        <v>1588.96</v>
      </c>
      <c r="J7822" s="3">
        <v>1390.54</v>
      </c>
      <c r="L7822">
        <v>1306</v>
      </c>
      <c r="M7822" t="s">
        <v>17224</v>
      </c>
      <c r="N7822" t="s">
        <v>30</v>
      </c>
      <c r="O7822" t="s">
        <v>31</v>
      </c>
      <c r="P7822" t="str">
        <f>"15216"</f>
        <v>15216</v>
      </c>
    </row>
    <row r="7823" spans="1:16" x14ac:dyDescent="0.25">
      <c r="A7823" t="str">
        <f>"1130231J00212    00"</f>
        <v>1130231J00212    00</v>
      </c>
      <c r="B7823" t="s">
        <v>16510</v>
      </c>
      <c r="C7823" t="s">
        <v>17024</v>
      </c>
      <c r="D7823" t="s">
        <v>20</v>
      </c>
      <c r="E7823" t="s">
        <v>39</v>
      </c>
      <c r="F7823">
        <v>0</v>
      </c>
      <c r="G7823">
        <v>0</v>
      </c>
      <c r="H7823">
        <v>19</v>
      </c>
      <c r="I7823" s="3">
        <v>1872.82</v>
      </c>
      <c r="J7823" s="3">
        <v>1957.42</v>
      </c>
      <c r="P7823" t="str">
        <f>""</f>
        <v/>
      </c>
    </row>
    <row r="7824" spans="1:16" x14ac:dyDescent="0.25">
      <c r="A7824" t="str">
        <f>"1130231J00222    00"</f>
        <v>1130231J00222    00</v>
      </c>
      <c r="B7824" t="s">
        <v>9734</v>
      </c>
      <c r="C7824" t="s">
        <v>17024</v>
      </c>
      <c r="D7824" t="s">
        <v>20</v>
      </c>
      <c r="E7824" t="s">
        <v>39</v>
      </c>
      <c r="F7824">
        <v>0</v>
      </c>
      <c r="G7824">
        <v>0</v>
      </c>
      <c r="H7824">
        <v>5</v>
      </c>
      <c r="I7824" s="3">
        <v>499.32</v>
      </c>
      <c r="J7824" s="3">
        <v>86.28</v>
      </c>
      <c r="M7824" t="s">
        <v>9735</v>
      </c>
      <c r="N7824" t="s">
        <v>295</v>
      </c>
      <c r="O7824" t="s">
        <v>31</v>
      </c>
      <c r="P7824" t="str">
        <f>"15146"</f>
        <v>15146</v>
      </c>
    </row>
    <row r="7825" spans="1:16" x14ac:dyDescent="0.25">
      <c r="A7825" t="str">
        <f>"1130231J00234    00"</f>
        <v>1130231J00234    00</v>
      </c>
      <c r="B7825" t="s">
        <v>17225</v>
      </c>
      <c r="C7825" t="s">
        <v>17024</v>
      </c>
      <c r="D7825" t="s">
        <v>20</v>
      </c>
      <c r="E7825" t="s">
        <v>39</v>
      </c>
      <c r="F7825">
        <v>0</v>
      </c>
      <c r="G7825">
        <v>0</v>
      </c>
      <c r="H7825">
        <v>19</v>
      </c>
      <c r="I7825" s="3">
        <v>2869.37</v>
      </c>
      <c r="J7825" s="3">
        <v>2850.98</v>
      </c>
      <c r="L7825">
        <v>8360</v>
      </c>
      <c r="M7825" t="s">
        <v>2429</v>
      </c>
      <c r="N7825" t="s">
        <v>30</v>
      </c>
      <c r="O7825" t="s">
        <v>31</v>
      </c>
      <c r="P7825" t="str">
        <f>"15221"</f>
        <v>15221</v>
      </c>
    </row>
    <row r="7826" spans="1:16" x14ac:dyDescent="0.25">
      <c r="A7826" t="str">
        <f>"1130231J00247    00"</f>
        <v>1130231J00247    00</v>
      </c>
      <c r="B7826" t="s">
        <v>17226</v>
      </c>
      <c r="C7826" t="s">
        <v>17024</v>
      </c>
      <c r="D7826" t="s">
        <v>20</v>
      </c>
      <c r="E7826" t="s">
        <v>39</v>
      </c>
      <c r="F7826">
        <v>0</v>
      </c>
      <c r="G7826">
        <v>0</v>
      </c>
      <c r="H7826">
        <v>5</v>
      </c>
      <c r="I7826" s="3">
        <v>328</v>
      </c>
      <c r="J7826" s="3">
        <v>58.08</v>
      </c>
      <c r="L7826">
        <v>8336</v>
      </c>
      <c r="M7826" t="s">
        <v>2429</v>
      </c>
      <c r="N7826" t="s">
        <v>30</v>
      </c>
      <c r="O7826" t="s">
        <v>31</v>
      </c>
      <c r="P7826" t="str">
        <f>"15221"</f>
        <v>15221</v>
      </c>
    </row>
    <row r="7827" spans="1:16" x14ac:dyDescent="0.25">
      <c r="A7827" t="str">
        <f>"1130231J00249    00"</f>
        <v>1130231J00249    00</v>
      </c>
      <c r="B7827" t="s">
        <v>17226</v>
      </c>
      <c r="C7827" t="s">
        <v>17024</v>
      </c>
      <c r="D7827" t="s">
        <v>20</v>
      </c>
      <c r="E7827" t="s">
        <v>39</v>
      </c>
      <c r="F7827">
        <v>0</v>
      </c>
      <c r="G7827">
        <v>0</v>
      </c>
      <c r="H7827">
        <v>5</v>
      </c>
      <c r="I7827" s="3">
        <v>328</v>
      </c>
      <c r="J7827" s="3">
        <v>58.08</v>
      </c>
      <c r="L7827">
        <v>8336</v>
      </c>
      <c r="M7827" t="s">
        <v>2429</v>
      </c>
      <c r="N7827" t="s">
        <v>30</v>
      </c>
      <c r="O7827" t="s">
        <v>31</v>
      </c>
      <c r="P7827" t="str">
        <f>"15221"</f>
        <v>15221</v>
      </c>
    </row>
    <row r="7828" spans="1:16" x14ac:dyDescent="0.25">
      <c r="A7828" t="str">
        <f>"1130231J00250    00"</f>
        <v>1130231J00250    00</v>
      </c>
      <c r="B7828" t="s">
        <v>17226</v>
      </c>
      <c r="C7828" t="s">
        <v>17024</v>
      </c>
      <c r="D7828" t="s">
        <v>20</v>
      </c>
      <c r="E7828" t="s">
        <v>39</v>
      </c>
      <c r="F7828">
        <v>0</v>
      </c>
      <c r="G7828">
        <v>0</v>
      </c>
      <c r="H7828">
        <v>6</v>
      </c>
      <c r="I7828" s="3">
        <v>328</v>
      </c>
      <c r="J7828" s="3">
        <v>58.8</v>
      </c>
      <c r="L7828">
        <v>8336</v>
      </c>
      <c r="M7828" t="s">
        <v>2429</v>
      </c>
      <c r="N7828" t="s">
        <v>30</v>
      </c>
      <c r="O7828" t="s">
        <v>31</v>
      </c>
      <c r="P7828" t="str">
        <f>"15221"</f>
        <v>15221</v>
      </c>
    </row>
    <row r="7829" spans="1:16" x14ac:dyDescent="0.25">
      <c r="A7829" t="str">
        <f>"1130231J00251    00"</f>
        <v>1130231J00251    00</v>
      </c>
      <c r="B7829" t="s">
        <v>17226</v>
      </c>
      <c r="C7829" t="s">
        <v>17024</v>
      </c>
      <c r="D7829" t="s">
        <v>20</v>
      </c>
      <c r="E7829" t="s">
        <v>39</v>
      </c>
      <c r="F7829">
        <v>0</v>
      </c>
      <c r="G7829">
        <v>0</v>
      </c>
      <c r="H7829">
        <v>5</v>
      </c>
      <c r="I7829" s="3">
        <v>328</v>
      </c>
      <c r="J7829" s="3">
        <v>58.08</v>
      </c>
      <c r="L7829">
        <v>8336</v>
      </c>
      <c r="M7829" t="s">
        <v>2429</v>
      </c>
      <c r="N7829" t="s">
        <v>30</v>
      </c>
      <c r="O7829" t="s">
        <v>31</v>
      </c>
      <c r="P7829" t="str">
        <f>"15221"</f>
        <v>15221</v>
      </c>
    </row>
    <row r="7830" spans="1:16" x14ac:dyDescent="0.25">
      <c r="A7830" t="str">
        <f>"1130231J00261    00"</f>
        <v>1130231J00261    00</v>
      </c>
      <c r="B7830" t="s">
        <v>17227</v>
      </c>
      <c r="C7830" t="s">
        <v>17024</v>
      </c>
      <c r="D7830" t="s">
        <v>20</v>
      </c>
      <c r="E7830" t="s">
        <v>39</v>
      </c>
      <c r="F7830">
        <v>0</v>
      </c>
      <c r="G7830">
        <v>0</v>
      </c>
      <c r="H7830">
        <v>19</v>
      </c>
      <c r="I7830" s="3">
        <v>1631.62</v>
      </c>
      <c r="J7830" s="3">
        <v>1649.82</v>
      </c>
      <c r="L7830">
        <v>353</v>
      </c>
      <c r="M7830" t="s">
        <v>17228</v>
      </c>
      <c r="N7830" t="s">
        <v>30</v>
      </c>
      <c r="O7830" t="s">
        <v>31</v>
      </c>
      <c r="P7830" t="str">
        <f>"15213"</f>
        <v>15213</v>
      </c>
    </row>
    <row r="7831" spans="1:16" x14ac:dyDescent="0.25">
      <c r="A7831" t="str">
        <f>"1130231J00262    00"</f>
        <v>1130231J00262    00</v>
      </c>
      <c r="B7831" t="s">
        <v>17227</v>
      </c>
      <c r="C7831" t="s">
        <v>17024</v>
      </c>
      <c r="D7831" t="s">
        <v>20</v>
      </c>
      <c r="E7831" t="s">
        <v>39</v>
      </c>
      <c r="F7831">
        <v>0</v>
      </c>
      <c r="G7831">
        <v>0</v>
      </c>
      <c r="H7831">
        <v>19</v>
      </c>
      <c r="I7831" s="3">
        <v>1631.62</v>
      </c>
      <c r="J7831" s="3">
        <v>1649.82</v>
      </c>
      <c r="L7831">
        <v>353</v>
      </c>
      <c r="M7831" t="s">
        <v>1432</v>
      </c>
      <c r="N7831" t="s">
        <v>30</v>
      </c>
      <c r="O7831" t="s">
        <v>31</v>
      </c>
      <c r="P7831" t="str">
        <f>"15213"</f>
        <v>15213</v>
      </c>
    </row>
    <row r="7832" spans="1:16" x14ac:dyDescent="0.25">
      <c r="A7832" t="str">
        <f>"1130231J00263    00"</f>
        <v>1130231J00263    00</v>
      </c>
      <c r="B7832" t="s">
        <v>17229</v>
      </c>
      <c r="C7832" t="s">
        <v>17024</v>
      </c>
      <c r="D7832" t="s">
        <v>20</v>
      </c>
      <c r="E7832" t="s">
        <v>39</v>
      </c>
      <c r="F7832">
        <v>0</v>
      </c>
      <c r="G7832">
        <v>0</v>
      </c>
      <c r="H7832">
        <v>19</v>
      </c>
      <c r="I7832" s="3">
        <v>1631.62</v>
      </c>
      <c r="J7832" s="3">
        <v>1649.82</v>
      </c>
      <c r="L7832">
        <v>211</v>
      </c>
      <c r="M7832" t="s">
        <v>17230</v>
      </c>
      <c r="N7832" t="s">
        <v>30</v>
      </c>
      <c r="O7832" t="s">
        <v>31</v>
      </c>
      <c r="P7832" t="str">
        <f>"15208"</f>
        <v>15208</v>
      </c>
    </row>
    <row r="7833" spans="1:16" x14ac:dyDescent="0.25">
      <c r="A7833" t="str">
        <f>"1130231J00264    00"</f>
        <v>1130231J00264    00</v>
      </c>
      <c r="B7833" t="s">
        <v>17231</v>
      </c>
      <c r="C7833" t="s">
        <v>17024</v>
      </c>
      <c r="D7833" t="s">
        <v>20</v>
      </c>
      <c r="E7833" t="s">
        <v>39</v>
      </c>
      <c r="F7833">
        <v>0</v>
      </c>
      <c r="G7833">
        <v>0</v>
      </c>
      <c r="H7833">
        <v>19</v>
      </c>
      <c r="I7833" s="3">
        <v>1460.71</v>
      </c>
      <c r="J7833" s="3">
        <v>1450.99</v>
      </c>
      <c r="K7833" t="s">
        <v>1008</v>
      </c>
      <c r="P7833" t="str">
        <f>""</f>
        <v/>
      </c>
    </row>
    <row r="7834" spans="1:16" x14ac:dyDescent="0.25">
      <c r="A7834" t="str">
        <f>"1130231J00274    00"</f>
        <v>1130231J00274    00</v>
      </c>
      <c r="B7834" t="s">
        <v>17232</v>
      </c>
      <c r="C7834" t="s">
        <v>17233</v>
      </c>
      <c r="D7834" t="s">
        <v>20</v>
      </c>
      <c r="E7834" t="s">
        <v>39</v>
      </c>
      <c r="F7834">
        <v>0</v>
      </c>
      <c r="G7834">
        <v>0</v>
      </c>
      <c r="H7834">
        <v>2</v>
      </c>
      <c r="I7834" s="3">
        <v>27.48</v>
      </c>
      <c r="J7834" s="3">
        <v>5.1100000000000003</v>
      </c>
      <c r="L7834">
        <v>8220</v>
      </c>
      <c r="M7834" t="s">
        <v>2429</v>
      </c>
      <c r="N7834" t="s">
        <v>30</v>
      </c>
      <c r="O7834" t="s">
        <v>31</v>
      </c>
      <c r="P7834" t="str">
        <f>"15221"</f>
        <v>15221</v>
      </c>
    </row>
    <row r="7835" spans="1:16" x14ac:dyDescent="0.25">
      <c r="A7835" t="str">
        <f>"1130231J00280    00"</f>
        <v>1130231J00280    00</v>
      </c>
      <c r="B7835" t="s">
        <v>17234</v>
      </c>
      <c r="C7835" t="s">
        <v>17235</v>
      </c>
      <c r="D7835" t="s">
        <v>20</v>
      </c>
      <c r="E7835" t="s">
        <v>39</v>
      </c>
      <c r="F7835">
        <v>0</v>
      </c>
      <c r="G7835">
        <v>0</v>
      </c>
      <c r="H7835">
        <v>4</v>
      </c>
      <c r="I7835" s="3">
        <v>970.89</v>
      </c>
      <c r="J7835" s="3">
        <v>73.86</v>
      </c>
      <c r="M7835" t="s">
        <v>17236</v>
      </c>
      <c r="N7835" t="s">
        <v>30</v>
      </c>
      <c r="O7835" t="s">
        <v>31</v>
      </c>
      <c r="P7835" t="str">
        <f>"15218"</f>
        <v>15218</v>
      </c>
    </row>
    <row r="7836" spans="1:16" x14ac:dyDescent="0.25">
      <c r="A7836" t="str">
        <f>"1130231J00302    00"</f>
        <v>1130231J00302    00</v>
      </c>
      <c r="B7836" t="s">
        <v>17237</v>
      </c>
      <c r="C7836" t="s">
        <v>12265</v>
      </c>
      <c r="D7836" t="s">
        <v>20</v>
      </c>
      <c r="E7836" t="s">
        <v>39</v>
      </c>
      <c r="F7836">
        <v>0</v>
      </c>
      <c r="G7836">
        <v>0</v>
      </c>
      <c r="H7836">
        <v>19</v>
      </c>
      <c r="I7836" s="3">
        <v>1908.5</v>
      </c>
      <c r="J7836" s="3">
        <v>1908.73</v>
      </c>
      <c r="L7836">
        <v>8109</v>
      </c>
      <c r="M7836" t="s">
        <v>9086</v>
      </c>
      <c r="N7836" t="s">
        <v>30</v>
      </c>
      <c r="O7836" t="s">
        <v>31</v>
      </c>
      <c r="P7836" t="str">
        <f>"15221"</f>
        <v>15221</v>
      </c>
    </row>
    <row r="7837" spans="1:16" x14ac:dyDescent="0.25">
      <c r="A7837" t="str">
        <f>"1130231J00304    00"</f>
        <v>1130231J00304    00</v>
      </c>
      <c r="B7837" t="s">
        <v>17238</v>
      </c>
      <c r="C7837" t="s">
        <v>12265</v>
      </c>
      <c r="D7837" t="s">
        <v>20</v>
      </c>
      <c r="E7837" t="s">
        <v>39</v>
      </c>
      <c r="F7837">
        <v>0</v>
      </c>
      <c r="G7837">
        <v>0</v>
      </c>
      <c r="H7837">
        <v>19</v>
      </c>
      <c r="I7837" s="3">
        <v>1908.5</v>
      </c>
      <c r="J7837" s="3">
        <v>1908.73</v>
      </c>
      <c r="K7837" t="s">
        <v>17239</v>
      </c>
      <c r="L7837">
        <v>5601</v>
      </c>
      <c r="M7837" t="s">
        <v>17240</v>
      </c>
      <c r="N7837" t="s">
        <v>30</v>
      </c>
      <c r="O7837" t="s">
        <v>31</v>
      </c>
      <c r="P7837" t="str">
        <f>"15206"</f>
        <v>15206</v>
      </c>
    </row>
    <row r="7838" spans="1:16" x14ac:dyDescent="0.25">
      <c r="A7838" t="str">
        <f>"1130231J00306    00"</f>
        <v>1130231J00306    00</v>
      </c>
      <c r="B7838" t="s">
        <v>13546</v>
      </c>
      <c r="C7838" t="s">
        <v>12265</v>
      </c>
      <c r="D7838" t="s">
        <v>20</v>
      </c>
      <c r="E7838" t="s">
        <v>39</v>
      </c>
      <c r="F7838">
        <v>0</v>
      </c>
      <c r="G7838">
        <v>0</v>
      </c>
      <c r="H7838">
        <v>19</v>
      </c>
      <c r="I7838" s="3">
        <v>1582.33</v>
      </c>
      <c r="J7838" s="3">
        <v>1578.85</v>
      </c>
      <c r="P7838" t="str">
        <f>""</f>
        <v/>
      </c>
    </row>
    <row r="7839" spans="1:16" x14ac:dyDescent="0.25">
      <c r="A7839" t="str">
        <f>"1130231J00307    00"</f>
        <v>1130231J00307    00</v>
      </c>
      <c r="B7839" t="s">
        <v>17241</v>
      </c>
      <c r="C7839" t="s">
        <v>12265</v>
      </c>
      <c r="D7839" t="s">
        <v>20</v>
      </c>
      <c r="E7839" t="s">
        <v>39</v>
      </c>
      <c r="F7839">
        <v>0</v>
      </c>
      <c r="G7839">
        <v>0</v>
      </c>
      <c r="H7839">
        <v>19</v>
      </c>
      <c r="I7839" s="3">
        <v>1499.8</v>
      </c>
      <c r="J7839" s="3">
        <v>1041.3399999999999</v>
      </c>
      <c r="K7839" t="s">
        <v>1008</v>
      </c>
      <c r="P7839" t="str">
        <f>""</f>
        <v/>
      </c>
    </row>
    <row r="7840" spans="1:16" x14ac:dyDescent="0.25">
      <c r="A7840" t="str">
        <f>"1130231J00308    00"</f>
        <v>1130231J00308    00</v>
      </c>
      <c r="B7840" t="s">
        <v>17242</v>
      </c>
      <c r="C7840" t="s">
        <v>17243</v>
      </c>
      <c r="D7840" t="s">
        <v>20</v>
      </c>
      <c r="E7840" t="s">
        <v>39</v>
      </c>
      <c r="F7840">
        <v>0</v>
      </c>
      <c r="G7840">
        <v>0</v>
      </c>
      <c r="H7840">
        <v>18</v>
      </c>
      <c r="I7840" s="3">
        <v>4708.08</v>
      </c>
      <c r="J7840" s="3">
        <v>5330.45</v>
      </c>
      <c r="L7840">
        <v>8125</v>
      </c>
      <c r="M7840" t="s">
        <v>9086</v>
      </c>
      <c r="N7840" t="s">
        <v>30</v>
      </c>
      <c r="O7840" t="s">
        <v>31</v>
      </c>
      <c r="P7840" t="str">
        <f>"15221"</f>
        <v>15221</v>
      </c>
    </row>
    <row r="7841" spans="1:16" x14ac:dyDescent="0.25">
      <c r="A7841" t="str">
        <f>"1130231J00325    00"</f>
        <v>1130231J00325    00</v>
      </c>
      <c r="B7841" t="s">
        <v>17244</v>
      </c>
      <c r="C7841" t="s">
        <v>12265</v>
      </c>
      <c r="E7841" t="s">
        <v>39</v>
      </c>
      <c r="F7841">
        <v>0</v>
      </c>
      <c r="G7841">
        <v>0</v>
      </c>
      <c r="H7841">
        <v>17</v>
      </c>
      <c r="I7841" s="3">
        <v>1545.49</v>
      </c>
      <c r="J7841" s="3">
        <v>1725.78</v>
      </c>
      <c r="L7841">
        <v>1016</v>
      </c>
      <c r="M7841" t="s">
        <v>13170</v>
      </c>
      <c r="N7841" t="s">
        <v>30</v>
      </c>
      <c r="O7841" t="s">
        <v>31</v>
      </c>
      <c r="P7841" t="str">
        <f>"15221"</f>
        <v>15221</v>
      </c>
    </row>
    <row r="7842" spans="1:16" x14ac:dyDescent="0.25">
      <c r="A7842" t="str">
        <f>"1130231J00327    00"</f>
        <v>1130231J00327    00</v>
      </c>
      <c r="B7842" t="s">
        <v>17245</v>
      </c>
      <c r="C7842" t="s">
        <v>12265</v>
      </c>
      <c r="D7842" t="s">
        <v>20</v>
      </c>
      <c r="E7842" t="s">
        <v>39</v>
      </c>
      <c r="F7842">
        <v>0</v>
      </c>
      <c r="G7842">
        <v>0</v>
      </c>
      <c r="H7842">
        <v>17</v>
      </c>
      <c r="I7842" s="3">
        <v>1205.3399999999999</v>
      </c>
      <c r="J7842" s="3">
        <v>1204.1300000000001</v>
      </c>
      <c r="M7842" t="s">
        <v>17246</v>
      </c>
      <c r="N7842" t="s">
        <v>17247</v>
      </c>
      <c r="O7842" t="s">
        <v>495</v>
      </c>
      <c r="P7842" t="str">
        <f>"93702"</f>
        <v>93702</v>
      </c>
    </row>
    <row r="7843" spans="1:16" x14ac:dyDescent="0.25">
      <c r="A7843" t="str">
        <f>"1130231J00329    00"</f>
        <v>1130231J00329    00</v>
      </c>
      <c r="B7843" t="s">
        <v>17248</v>
      </c>
      <c r="C7843" t="s">
        <v>17249</v>
      </c>
      <c r="D7843" t="s">
        <v>20</v>
      </c>
      <c r="E7843" t="s">
        <v>39</v>
      </c>
      <c r="F7843">
        <v>0</v>
      </c>
      <c r="G7843">
        <v>0</v>
      </c>
      <c r="H7843">
        <v>11</v>
      </c>
      <c r="I7843" s="3">
        <v>3388.63</v>
      </c>
      <c r="J7843" s="3">
        <v>826.5</v>
      </c>
      <c r="L7843">
        <v>10212</v>
      </c>
      <c r="M7843" t="s">
        <v>17250</v>
      </c>
      <c r="N7843" t="s">
        <v>30</v>
      </c>
      <c r="O7843" t="s">
        <v>31</v>
      </c>
      <c r="P7843" t="str">
        <f>"15235"</f>
        <v>15235</v>
      </c>
    </row>
    <row r="7844" spans="1:16" x14ac:dyDescent="0.25">
      <c r="A7844" t="str">
        <f>"1130231J00336    00"</f>
        <v>1130231J00336    00</v>
      </c>
      <c r="B7844" t="s">
        <v>7003</v>
      </c>
      <c r="C7844" t="s">
        <v>12265</v>
      </c>
      <c r="D7844" t="s">
        <v>20</v>
      </c>
      <c r="E7844" t="s">
        <v>39</v>
      </c>
      <c r="F7844">
        <v>0</v>
      </c>
      <c r="G7844">
        <v>0</v>
      </c>
      <c r="H7844">
        <v>19</v>
      </c>
      <c r="I7844" s="3">
        <v>963.97</v>
      </c>
      <c r="J7844" s="3">
        <v>529.04999999999995</v>
      </c>
      <c r="L7844">
        <v>500</v>
      </c>
      <c r="M7844" t="s">
        <v>7004</v>
      </c>
      <c r="N7844" t="s">
        <v>6603</v>
      </c>
      <c r="O7844" t="s">
        <v>31</v>
      </c>
      <c r="P7844" t="str">
        <f>"15122"</f>
        <v>15122</v>
      </c>
    </row>
    <row r="7845" spans="1:16" x14ac:dyDescent="0.25">
      <c r="A7845" t="str">
        <f>"1130231J00340    00"</f>
        <v>1130231J00340    00</v>
      </c>
      <c r="B7845" t="s">
        <v>17251</v>
      </c>
      <c r="C7845" t="s">
        <v>12265</v>
      </c>
      <c r="D7845" t="s">
        <v>20</v>
      </c>
      <c r="E7845" t="s">
        <v>39</v>
      </c>
      <c r="F7845">
        <v>0</v>
      </c>
      <c r="G7845">
        <v>0</v>
      </c>
      <c r="H7845">
        <v>19</v>
      </c>
      <c r="I7845" s="3">
        <v>1512.65</v>
      </c>
      <c r="J7845" s="3">
        <v>1483.87</v>
      </c>
      <c r="L7845">
        <v>4807</v>
      </c>
      <c r="M7845" t="s">
        <v>7845</v>
      </c>
      <c r="N7845" t="s">
        <v>30</v>
      </c>
      <c r="O7845" t="s">
        <v>31</v>
      </c>
      <c r="P7845" t="str">
        <f>"15224"</f>
        <v>15224</v>
      </c>
    </row>
    <row r="7846" spans="1:16" x14ac:dyDescent="0.25">
      <c r="A7846" t="str">
        <f>"1130231J00341    00"</f>
        <v>1130231J00341    00</v>
      </c>
      <c r="B7846" t="s">
        <v>17252</v>
      </c>
      <c r="C7846" t="s">
        <v>12265</v>
      </c>
      <c r="D7846" t="s">
        <v>20</v>
      </c>
      <c r="E7846" t="s">
        <v>39</v>
      </c>
      <c r="F7846">
        <v>0</v>
      </c>
      <c r="G7846">
        <v>0</v>
      </c>
      <c r="H7846">
        <v>19</v>
      </c>
      <c r="I7846" s="3">
        <v>1535.53</v>
      </c>
      <c r="J7846" s="3">
        <v>1531.53</v>
      </c>
      <c r="L7846">
        <v>4807</v>
      </c>
      <c r="M7846" t="s">
        <v>7845</v>
      </c>
      <c r="N7846" t="s">
        <v>30</v>
      </c>
      <c r="O7846" t="s">
        <v>31</v>
      </c>
      <c r="P7846" t="str">
        <f>"15224"</f>
        <v>15224</v>
      </c>
    </row>
    <row r="7847" spans="1:16" x14ac:dyDescent="0.25">
      <c r="A7847" t="str">
        <f>"1130231J00368    00"</f>
        <v>1130231J00368    00</v>
      </c>
      <c r="B7847" t="s">
        <v>17253</v>
      </c>
      <c r="C7847" t="s">
        <v>12265</v>
      </c>
      <c r="D7847" t="s">
        <v>20</v>
      </c>
      <c r="E7847" t="s">
        <v>21</v>
      </c>
      <c r="F7847">
        <v>0</v>
      </c>
      <c r="G7847">
        <v>0</v>
      </c>
      <c r="H7847">
        <v>17</v>
      </c>
      <c r="I7847" s="3">
        <v>5576.78</v>
      </c>
      <c r="J7847" s="3">
        <v>5191.0600000000004</v>
      </c>
      <c r="K7847" t="s">
        <v>17254</v>
      </c>
      <c r="L7847">
        <v>174</v>
      </c>
      <c r="M7847" t="s">
        <v>15160</v>
      </c>
      <c r="N7847" t="s">
        <v>30</v>
      </c>
      <c r="O7847" t="s">
        <v>31</v>
      </c>
      <c r="P7847" t="str">
        <f>"15235"</f>
        <v>15235</v>
      </c>
    </row>
    <row r="7848" spans="1:16" x14ac:dyDescent="0.25">
      <c r="A7848" t="str">
        <f>"1130231J00371    00"</f>
        <v>1130231J00371    00</v>
      </c>
      <c r="B7848" t="s">
        <v>17255</v>
      </c>
      <c r="C7848" t="s">
        <v>12265</v>
      </c>
      <c r="D7848" t="s">
        <v>20</v>
      </c>
      <c r="E7848" t="s">
        <v>39</v>
      </c>
      <c r="F7848">
        <v>0</v>
      </c>
      <c r="G7848">
        <v>0</v>
      </c>
      <c r="H7848">
        <v>19</v>
      </c>
      <c r="I7848" s="3">
        <v>865.88</v>
      </c>
      <c r="J7848" s="3">
        <v>639.35</v>
      </c>
      <c r="K7848" t="s">
        <v>1008</v>
      </c>
      <c r="P7848" t="str">
        <f>""</f>
        <v/>
      </c>
    </row>
    <row r="7849" spans="1:16" x14ac:dyDescent="0.25">
      <c r="A7849" t="str">
        <f>"1130231J00372    00"</f>
        <v>1130231J00372    00</v>
      </c>
      <c r="B7849" t="s">
        <v>17256</v>
      </c>
      <c r="C7849" t="s">
        <v>12265</v>
      </c>
      <c r="D7849" t="s">
        <v>20</v>
      </c>
      <c r="E7849" t="s">
        <v>39</v>
      </c>
      <c r="F7849">
        <v>0</v>
      </c>
      <c r="G7849">
        <v>0</v>
      </c>
      <c r="H7849">
        <v>17</v>
      </c>
      <c r="I7849" s="3">
        <v>443.13</v>
      </c>
      <c r="J7849" s="3">
        <v>572.79999999999995</v>
      </c>
      <c r="K7849" t="s">
        <v>1008</v>
      </c>
      <c r="P7849" t="str">
        <f>""</f>
        <v/>
      </c>
    </row>
    <row r="7850" spans="1:16" x14ac:dyDescent="0.25">
      <c r="A7850" t="str">
        <f>"1130231J00377    00"</f>
        <v>1130231J00377    00</v>
      </c>
      <c r="B7850" t="s">
        <v>17257</v>
      </c>
      <c r="C7850" t="s">
        <v>12265</v>
      </c>
      <c r="D7850" t="s">
        <v>20</v>
      </c>
      <c r="E7850" t="s">
        <v>39</v>
      </c>
      <c r="F7850">
        <v>0</v>
      </c>
      <c r="G7850">
        <v>0</v>
      </c>
      <c r="H7850">
        <v>19</v>
      </c>
      <c r="I7850" s="3">
        <v>1486.07</v>
      </c>
      <c r="J7850" s="3">
        <v>1640.38</v>
      </c>
      <c r="P7850" t="str">
        <f>""</f>
        <v/>
      </c>
    </row>
    <row r="7851" spans="1:16" x14ac:dyDescent="0.25">
      <c r="A7851" t="str">
        <f>"1130231K00035    00"</f>
        <v>1130231K00035    00</v>
      </c>
      <c r="B7851" t="s">
        <v>17258</v>
      </c>
      <c r="C7851" t="s">
        <v>17259</v>
      </c>
      <c r="D7851" t="s">
        <v>20</v>
      </c>
      <c r="E7851" t="s">
        <v>39</v>
      </c>
      <c r="F7851">
        <v>0</v>
      </c>
      <c r="G7851">
        <v>0</v>
      </c>
      <c r="H7851">
        <v>12</v>
      </c>
      <c r="I7851" s="3">
        <v>16903.45</v>
      </c>
      <c r="J7851" s="3">
        <v>8880.5</v>
      </c>
      <c r="L7851">
        <v>561</v>
      </c>
      <c r="M7851" t="s">
        <v>17260</v>
      </c>
      <c r="N7851" t="s">
        <v>30</v>
      </c>
      <c r="O7851" t="s">
        <v>31</v>
      </c>
      <c r="P7851" t="str">
        <f>"15235"</f>
        <v>15235</v>
      </c>
    </row>
    <row r="7852" spans="1:16" x14ac:dyDescent="0.25">
      <c r="A7852" t="str">
        <f>"1130231K00038    00"</f>
        <v>1130231K00038    00</v>
      </c>
      <c r="B7852" t="s">
        <v>17261</v>
      </c>
      <c r="C7852" t="s">
        <v>17262</v>
      </c>
      <c r="D7852" t="s">
        <v>20</v>
      </c>
      <c r="E7852" t="s">
        <v>21</v>
      </c>
      <c r="F7852">
        <v>0</v>
      </c>
      <c r="G7852">
        <v>0</v>
      </c>
      <c r="H7852">
        <v>2</v>
      </c>
      <c r="I7852" s="3">
        <v>1081.5899999999999</v>
      </c>
      <c r="J7852" s="3">
        <v>3281.47</v>
      </c>
      <c r="K7852" t="s">
        <v>17263</v>
      </c>
      <c r="M7852" t="s">
        <v>17264</v>
      </c>
      <c r="N7852" t="s">
        <v>285</v>
      </c>
      <c r="O7852" t="s">
        <v>31</v>
      </c>
      <c r="P7852" t="str">
        <f>"15120"</f>
        <v>15120</v>
      </c>
    </row>
    <row r="7853" spans="1:16" x14ac:dyDescent="0.25">
      <c r="A7853" t="str">
        <f>"1130231K00044    00"</f>
        <v>1130231K00044    00</v>
      </c>
      <c r="B7853" t="s">
        <v>17265</v>
      </c>
      <c r="C7853" t="s">
        <v>12265</v>
      </c>
      <c r="D7853" t="s">
        <v>20</v>
      </c>
      <c r="E7853" t="s">
        <v>39</v>
      </c>
      <c r="F7853">
        <v>0</v>
      </c>
      <c r="G7853">
        <v>0</v>
      </c>
      <c r="H7853">
        <v>19</v>
      </c>
      <c r="I7853" s="3">
        <v>1757.48</v>
      </c>
      <c r="J7853" s="3">
        <v>1851.39</v>
      </c>
      <c r="L7853">
        <v>10918</v>
      </c>
      <c r="M7853" t="s">
        <v>11939</v>
      </c>
      <c r="N7853" t="s">
        <v>30</v>
      </c>
      <c r="O7853" t="s">
        <v>31</v>
      </c>
      <c r="P7853" t="str">
        <f>"15235"</f>
        <v>15235</v>
      </c>
    </row>
    <row r="7854" spans="1:16" x14ac:dyDescent="0.25">
      <c r="A7854" t="str">
        <f>"1130231K00056    00"</f>
        <v>1130231K00056    00</v>
      </c>
      <c r="B7854" t="s">
        <v>17266</v>
      </c>
      <c r="C7854" t="s">
        <v>17267</v>
      </c>
      <c r="E7854" t="s">
        <v>39</v>
      </c>
      <c r="F7854">
        <v>0</v>
      </c>
      <c r="G7854">
        <v>0</v>
      </c>
      <c r="H7854">
        <v>1</v>
      </c>
      <c r="I7854" s="3">
        <v>799.77</v>
      </c>
      <c r="J7854" s="3">
        <v>0</v>
      </c>
      <c r="L7854">
        <v>8426</v>
      </c>
      <c r="M7854" t="s">
        <v>11939</v>
      </c>
      <c r="N7854" t="s">
        <v>30</v>
      </c>
      <c r="O7854" t="s">
        <v>31</v>
      </c>
      <c r="P7854" t="str">
        <f>"15235"</f>
        <v>15235</v>
      </c>
    </row>
    <row r="7855" spans="1:16" x14ac:dyDescent="0.25">
      <c r="A7855" t="str">
        <f>"1130231K00058    00"</f>
        <v>1130231K00058    00</v>
      </c>
      <c r="B7855" t="s">
        <v>17268</v>
      </c>
      <c r="C7855" t="s">
        <v>12265</v>
      </c>
      <c r="D7855" t="s">
        <v>20</v>
      </c>
      <c r="E7855" t="s">
        <v>39</v>
      </c>
      <c r="F7855">
        <v>0</v>
      </c>
      <c r="G7855">
        <v>0</v>
      </c>
      <c r="H7855">
        <v>1</v>
      </c>
      <c r="I7855" s="3">
        <v>60.99</v>
      </c>
      <c r="J7855" s="3">
        <v>0</v>
      </c>
      <c r="K7855" t="s">
        <v>17269</v>
      </c>
      <c r="L7855">
        <v>208</v>
      </c>
      <c r="M7855" t="s">
        <v>4219</v>
      </c>
      <c r="N7855" t="s">
        <v>30</v>
      </c>
      <c r="O7855" t="s">
        <v>31</v>
      </c>
      <c r="P7855" t="str">
        <f>"15206"</f>
        <v>15206</v>
      </c>
    </row>
    <row r="7856" spans="1:16" x14ac:dyDescent="0.25">
      <c r="A7856" t="str">
        <f>"1130231K00059    00"</f>
        <v>1130231K00059    00</v>
      </c>
      <c r="B7856" t="s">
        <v>17268</v>
      </c>
      <c r="C7856" t="s">
        <v>17270</v>
      </c>
      <c r="D7856" t="s">
        <v>20</v>
      </c>
      <c r="E7856" t="s">
        <v>39</v>
      </c>
      <c r="F7856">
        <v>0</v>
      </c>
      <c r="G7856">
        <v>0</v>
      </c>
      <c r="H7856">
        <v>1</v>
      </c>
      <c r="I7856" s="3">
        <v>505.1</v>
      </c>
      <c r="J7856" s="3">
        <v>0</v>
      </c>
      <c r="K7856" t="s">
        <v>17269</v>
      </c>
      <c r="L7856">
        <v>208</v>
      </c>
      <c r="M7856" t="s">
        <v>4219</v>
      </c>
      <c r="N7856" t="s">
        <v>30</v>
      </c>
      <c r="O7856" t="s">
        <v>31</v>
      </c>
      <c r="P7856" t="str">
        <f>"15206"</f>
        <v>15206</v>
      </c>
    </row>
    <row r="7857" spans="1:16" x14ac:dyDescent="0.25">
      <c r="A7857" t="str">
        <f>"1130231K00060    00"</f>
        <v>1130231K00060    00</v>
      </c>
      <c r="B7857" t="s">
        <v>17271</v>
      </c>
      <c r="C7857" t="s">
        <v>12265</v>
      </c>
      <c r="D7857" t="s">
        <v>20</v>
      </c>
      <c r="E7857" t="s">
        <v>39</v>
      </c>
      <c r="F7857">
        <v>0</v>
      </c>
      <c r="G7857">
        <v>0</v>
      </c>
      <c r="H7857">
        <v>19</v>
      </c>
      <c r="I7857" s="3">
        <v>4894.96</v>
      </c>
      <c r="J7857" s="3">
        <v>6528.4</v>
      </c>
      <c r="L7857">
        <v>4274</v>
      </c>
      <c r="M7857" t="s">
        <v>8768</v>
      </c>
      <c r="N7857" t="s">
        <v>30</v>
      </c>
      <c r="O7857" t="s">
        <v>31</v>
      </c>
      <c r="P7857" t="str">
        <f>"15201"</f>
        <v>15201</v>
      </c>
    </row>
    <row r="7858" spans="1:16" x14ac:dyDescent="0.25">
      <c r="A7858" t="str">
        <f>"1130231K00061    00"</f>
        <v>1130231K00061    00</v>
      </c>
      <c r="B7858" t="s">
        <v>17272</v>
      </c>
      <c r="C7858" t="s">
        <v>12265</v>
      </c>
      <c r="D7858" t="s">
        <v>20</v>
      </c>
      <c r="E7858" t="s">
        <v>39</v>
      </c>
      <c r="F7858">
        <v>0</v>
      </c>
      <c r="G7858">
        <v>0</v>
      </c>
      <c r="H7858">
        <v>19</v>
      </c>
      <c r="I7858" s="3">
        <v>1809.66</v>
      </c>
      <c r="J7858" s="3">
        <v>1946.42</v>
      </c>
      <c r="P7858" t="str">
        <f>""</f>
        <v/>
      </c>
    </row>
    <row r="7859" spans="1:16" x14ac:dyDescent="0.25">
      <c r="A7859" t="str">
        <f>"1130231K00062    00"</f>
        <v>1130231K00062    00</v>
      </c>
      <c r="B7859" t="s">
        <v>17273</v>
      </c>
      <c r="C7859" t="s">
        <v>12265</v>
      </c>
      <c r="D7859" t="s">
        <v>20</v>
      </c>
      <c r="E7859" t="s">
        <v>39</v>
      </c>
      <c r="F7859">
        <v>0</v>
      </c>
      <c r="G7859">
        <v>0</v>
      </c>
      <c r="H7859">
        <v>19</v>
      </c>
      <c r="I7859" s="3">
        <v>1848.09</v>
      </c>
      <c r="J7859" s="3">
        <v>1921.72</v>
      </c>
      <c r="L7859">
        <v>8410</v>
      </c>
      <c r="M7859" t="s">
        <v>11939</v>
      </c>
      <c r="N7859" t="s">
        <v>30</v>
      </c>
      <c r="O7859" t="s">
        <v>31</v>
      </c>
      <c r="P7859" t="str">
        <f>"15235"</f>
        <v>15235</v>
      </c>
    </row>
    <row r="7860" spans="1:16" x14ac:dyDescent="0.25">
      <c r="A7860" t="str">
        <f>"1130231K00089    00"</f>
        <v>1130231K00089    00</v>
      </c>
      <c r="B7860" t="s">
        <v>17274</v>
      </c>
      <c r="C7860" t="s">
        <v>12265</v>
      </c>
      <c r="D7860" t="s">
        <v>20</v>
      </c>
      <c r="E7860" t="s">
        <v>39</v>
      </c>
      <c r="F7860">
        <v>0</v>
      </c>
      <c r="G7860">
        <v>0</v>
      </c>
      <c r="H7860">
        <v>19</v>
      </c>
      <c r="I7860" s="3">
        <v>1732.84</v>
      </c>
      <c r="J7860" s="3">
        <v>1815.86</v>
      </c>
      <c r="P7860" t="str">
        <f>""</f>
        <v/>
      </c>
    </row>
    <row r="7861" spans="1:16" x14ac:dyDescent="0.25">
      <c r="A7861" t="str">
        <f>"1130231K00098    00"</f>
        <v>1130231K00098    00</v>
      </c>
      <c r="B7861" t="s">
        <v>17275</v>
      </c>
      <c r="C7861" t="s">
        <v>17276</v>
      </c>
      <c r="D7861" t="s">
        <v>20</v>
      </c>
      <c r="E7861" t="s">
        <v>21</v>
      </c>
      <c r="F7861">
        <v>0</v>
      </c>
      <c r="G7861">
        <v>0</v>
      </c>
      <c r="H7861">
        <v>19</v>
      </c>
      <c r="I7861" s="3">
        <v>2403.3000000000002</v>
      </c>
      <c r="J7861" s="3">
        <v>2993.69</v>
      </c>
      <c r="P7861" t="str">
        <f>""</f>
        <v/>
      </c>
    </row>
    <row r="7862" spans="1:16" x14ac:dyDescent="0.25">
      <c r="A7862" t="str">
        <f>"1130231K00136    00"</f>
        <v>1130231K00136    00</v>
      </c>
      <c r="B7862" t="s">
        <v>17277</v>
      </c>
      <c r="C7862" t="s">
        <v>17134</v>
      </c>
      <c r="D7862" t="s">
        <v>20</v>
      </c>
      <c r="E7862" t="s">
        <v>39</v>
      </c>
      <c r="F7862">
        <v>0</v>
      </c>
      <c r="G7862">
        <v>0</v>
      </c>
      <c r="H7862">
        <v>19</v>
      </c>
      <c r="I7862" s="3">
        <v>2182.54</v>
      </c>
      <c r="J7862" s="3">
        <v>2323.42</v>
      </c>
      <c r="P7862" t="str">
        <f>""</f>
        <v/>
      </c>
    </row>
    <row r="7863" spans="1:16" x14ac:dyDescent="0.25">
      <c r="A7863" t="str">
        <f>"1130231K00138    00"</f>
        <v>1130231K00138    00</v>
      </c>
      <c r="B7863" t="s">
        <v>17278</v>
      </c>
      <c r="C7863" t="s">
        <v>17134</v>
      </c>
      <c r="E7863" t="s">
        <v>39</v>
      </c>
      <c r="F7863">
        <v>0</v>
      </c>
      <c r="G7863">
        <v>0</v>
      </c>
      <c r="H7863">
        <v>16</v>
      </c>
      <c r="I7863" s="3">
        <v>1586.6</v>
      </c>
      <c r="J7863" s="3">
        <v>1799.21</v>
      </c>
      <c r="L7863">
        <v>5619</v>
      </c>
      <c r="M7863" t="s">
        <v>17279</v>
      </c>
      <c r="N7863" t="s">
        <v>17280</v>
      </c>
      <c r="O7863" t="s">
        <v>6668</v>
      </c>
      <c r="P7863" t="str">
        <f>"98105"</f>
        <v>98105</v>
      </c>
    </row>
    <row r="7864" spans="1:16" x14ac:dyDescent="0.25">
      <c r="A7864" t="str">
        <f>"1130231K00143    00"</f>
        <v>1130231K00143    00</v>
      </c>
      <c r="B7864" t="s">
        <v>17281</v>
      </c>
      <c r="C7864" t="s">
        <v>17282</v>
      </c>
      <c r="D7864" t="s">
        <v>20</v>
      </c>
      <c r="E7864" t="s">
        <v>39</v>
      </c>
      <c r="F7864">
        <v>0</v>
      </c>
      <c r="G7864">
        <v>0</v>
      </c>
      <c r="H7864">
        <v>19</v>
      </c>
      <c r="I7864" s="3">
        <v>10442.1</v>
      </c>
      <c r="J7864" s="3">
        <v>10590</v>
      </c>
      <c r="K7864" t="s">
        <v>17283</v>
      </c>
      <c r="L7864">
        <v>437</v>
      </c>
      <c r="M7864" t="s">
        <v>6251</v>
      </c>
      <c r="N7864" t="s">
        <v>30</v>
      </c>
      <c r="O7864" t="s">
        <v>31</v>
      </c>
      <c r="P7864" t="str">
        <f>"15221"</f>
        <v>15221</v>
      </c>
    </row>
    <row r="7865" spans="1:16" x14ac:dyDescent="0.25">
      <c r="A7865" t="str">
        <f>"1130231K00145    00"</f>
        <v>1130231K00145    00</v>
      </c>
      <c r="B7865" t="s">
        <v>17284</v>
      </c>
      <c r="C7865" t="s">
        <v>17134</v>
      </c>
      <c r="D7865" t="s">
        <v>20</v>
      </c>
      <c r="E7865" t="s">
        <v>39</v>
      </c>
      <c r="F7865">
        <v>0</v>
      </c>
      <c r="G7865">
        <v>0</v>
      </c>
      <c r="H7865">
        <v>19</v>
      </c>
      <c r="I7865" s="3">
        <v>4028.58</v>
      </c>
      <c r="J7865" s="3">
        <v>5397.41</v>
      </c>
      <c r="K7865" t="s">
        <v>17285</v>
      </c>
      <c r="M7865" t="s">
        <v>17286</v>
      </c>
      <c r="N7865" t="s">
        <v>14095</v>
      </c>
      <c r="O7865" t="s">
        <v>692</v>
      </c>
      <c r="P7865" t="str">
        <f>"23327"</f>
        <v>23327</v>
      </c>
    </row>
    <row r="7866" spans="1:16" x14ac:dyDescent="0.25">
      <c r="A7866" t="str">
        <f>"1130231K00146    00"</f>
        <v>1130231K00146    00</v>
      </c>
      <c r="B7866" t="s">
        <v>17272</v>
      </c>
      <c r="C7866" t="s">
        <v>17134</v>
      </c>
      <c r="D7866" t="s">
        <v>20</v>
      </c>
      <c r="E7866" t="s">
        <v>39</v>
      </c>
      <c r="F7866">
        <v>0</v>
      </c>
      <c r="G7866">
        <v>0</v>
      </c>
      <c r="H7866">
        <v>19</v>
      </c>
      <c r="I7866" s="3">
        <v>367.5</v>
      </c>
      <c r="J7866" s="3">
        <v>329.21</v>
      </c>
      <c r="L7866">
        <v>135</v>
      </c>
      <c r="M7866" t="s">
        <v>7315</v>
      </c>
      <c r="N7866" t="s">
        <v>30</v>
      </c>
      <c r="O7866" t="s">
        <v>31</v>
      </c>
      <c r="P7866" t="str">
        <f>"15201"</f>
        <v>15201</v>
      </c>
    </row>
    <row r="7867" spans="1:16" x14ac:dyDescent="0.25">
      <c r="A7867" t="str">
        <f>"1130231K00148    00"</f>
        <v>1130231K00148    00</v>
      </c>
      <c r="B7867" t="s">
        <v>17272</v>
      </c>
      <c r="C7867" t="s">
        <v>17134</v>
      </c>
      <c r="D7867" t="s">
        <v>20</v>
      </c>
      <c r="E7867" t="s">
        <v>39</v>
      </c>
      <c r="F7867">
        <v>0</v>
      </c>
      <c r="G7867">
        <v>0</v>
      </c>
      <c r="H7867">
        <v>19</v>
      </c>
      <c r="I7867" s="3">
        <v>2111.19</v>
      </c>
      <c r="J7867" s="3">
        <v>2240.85</v>
      </c>
      <c r="P7867" t="str">
        <f>""</f>
        <v/>
      </c>
    </row>
    <row r="7868" spans="1:16" x14ac:dyDescent="0.25">
      <c r="A7868" t="str">
        <f>"1130231K00150    00"</f>
        <v>1130231K00150    00</v>
      </c>
      <c r="B7868" t="s">
        <v>17272</v>
      </c>
      <c r="C7868" t="s">
        <v>17134</v>
      </c>
      <c r="D7868" t="s">
        <v>20</v>
      </c>
      <c r="E7868" t="s">
        <v>39</v>
      </c>
      <c r="F7868">
        <v>0</v>
      </c>
      <c r="G7868">
        <v>0</v>
      </c>
      <c r="H7868">
        <v>19</v>
      </c>
      <c r="I7868" s="3">
        <v>2111.19</v>
      </c>
      <c r="J7868" s="3">
        <v>2240.85</v>
      </c>
      <c r="P7868" t="str">
        <f>""</f>
        <v/>
      </c>
    </row>
    <row r="7869" spans="1:16" x14ac:dyDescent="0.25">
      <c r="A7869" t="str">
        <f>"1130231K00152    00"</f>
        <v>1130231K00152    00</v>
      </c>
      <c r="B7869" t="s">
        <v>17272</v>
      </c>
      <c r="C7869" t="s">
        <v>17134</v>
      </c>
      <c r="D7869" t="s">
        <v>20</v>
      </c>
      <c r="E7869" t="s">
        <v>39</v>
      </c>
      <c r="F7869">
        <v>0</v>
      </c>
      <c r="G7869">
        <v>0</v>
      </c>
      <c r="H7869">
        <v>19</v>
      </c>
      <c r="I7869" s="3">
        <v>2111.19</v>
      </c>
      <c r="J7869" s="3">
        <v>2240.85</v>
      </c>
      <c r="P7869" t="str">
        <f>""</f>
        <v/>
      </c>
    </row>
    <row r="7870" spans="1:16" x14ac:dyDescent="0.25">
      <c r="A7870" t="str">
        <f>"1130231K00153    00"</f>
        <v>1130231K00153    00</v>
      </c>
      <c r="B7870" t="s">
        <v>17287</v>
      </c>
      <c r="C7870" t="s">
        <v>17134</v>
      </c>
      <c r="D7870" t="s">
        <v>20</v>
      </c>
      <c r="E7870" t="s">
        <v>39</v>
      </c>
      <c r="F7870">
        <v>0</v>
      </c>
      <c r="G7870">
        <v>0</v>
      </c>
      <c r="H7870">
        <v>19</v>
      </c>
      <c r="I7870" s="3">
        <v>910.45</v>
      </c>
      <c r="J7870" s="3">
        <v>633.16</v>
      </c>
      <c r="L7870">
        <v>8377</v>
      </c>
      <c r="M7870" t="s">
        <v>13958</v>
      </c>
      <c r="N7870" t="s">
        <v>30</v>
      </c>
      <c r="O7870" t="s">
        <v>31</v>
      </c>
      <c r="P7870" t="str">
        <f>"15221"</f>
        <v>15221</v>
      </c>
    </row>
    <row r="7871" spans="1:16" x14ac:dyDescent="0.25">
      <c r="A7871" t="str">
        <f>"1130231K00157    00"</f>
        <v>1130231K00157    00</v>
      </c>
      <c r="B7871" t="s">
        <v>17288</v>
      </c>
      <c r="C7871" t="s">
        <v>17289</v>
      </c>
      <c r="E7871" t="s">
        <v>39</v>
      </c>
      <c r="F7871">
        <v>0</v>
      </c>
      <c r="G7871">
        <v>0</v>
      </c>
      <c r="H7871">
        <v>7</v>
      </c>
      <c r="I7871" s="3">
        <v>5291.73</v>
      </c>
      <c r="J7871" s="3">
        <v>4039.33</v>
      </c>
      <c r="L7871">
        <v>41</v>
      </c>
      <c r="M7871" t="s">
        <v>17290</v>
      </c>
      <c r="N7871" t="s">
        <v>30</v>
      </c>
      <c r="O7871" t="s">
        <v>31</v>
      </c>
      <c r="P7871" t="str">
        <f>"15214"</f>
        <v>15214</v>
      </c>
    </row>
    <row r="7872" spans="1:16" x14ac:dyDescent="0.25">
      <c r="A7872" t="str">
        <f>"1130231K00158    00"</f>
        <v>1130231K00158    00</v>
      </c>
      <c r="B7872" t="s">
        <v>17291</v>
      </c>
      <c r="C7872" t="s">
        <v>17134</v>
      </c>
      <c r="D7872" t="s">
        <v>20</v>
      </c>
      <c r="E7872" t="s">
        <v>39</v>
      </c>
      <c r="F7872">
        <v>0</v>
      </c>
      <c r="G7872">
        <v>0</v>
      </c>
      <c r="H7872">
        <v>19</v>
      </c>
      <c r="I7872" s="3">
        <v>6227.54</v>
      </c>
      <c r="J7872" s="3">
        <v>7896.42</v>
      </c>
      <c r="L7872">
        <v>1120</v>
      </c>
      <c r="M7872" t="s">
        <v>2431</v>
      </c>
      <c r="N7872" t="s">
        <v>30</v>
      </c>
      <c r="O7872" t="s">
        <v>31</v>
      </c>
      <c r="P7872" t="str">
        <f>"15221"</f>
        <v>15221</v>
      </c>
    </row>
    <row r="7873" spans="1:16" x14ac:dyDescent="0.25">
      <c r="A7873" t="str">
        <f>"1130231K00159    00"</f>
        <v>1130231K00159    00</v>
      </c>
      <c r="B7873" t="s">
        <v>17292</v>
      </c>
      <c r="C7873" t="s">
        <v>17293</v>
      </c>
      <c r="E7873" t="s">
        <v>39</v>
      </c>
      <c r="F7873">
        <v>0</v>
      </c>
      <c r="G7873">
        <v>0</v>
      </c>
      <c r="H7873">
        <v>1</v>
      </c>
      <c r="I7873" s="3">
        <v>360.24</v>
      </c>
      <c r="J7873" s="3">
        <v>0</v>
      </c>
      <c r="K7873" t="s">
        <v>17294</v>
      </c>
      <c r="L7873">
        <v>323</v>
      </c>
      <c r="M7873" t="s">
        <v>15491</v>
      </c>
      <c r="N7873" t="s">
        <v>17295</v>
      </c>
      <c r="O7873" t="s">
        <v>495</v>
      </c>
      <c r="P7873" t="str">
        <f>"95502"</f>
        <v>95502</v>
      </c>
    </row>
    <row r="7874" spans="1:16" x14ac:dyDescent="0.25">
      <c r="A7874" t="str">
        <f>"1130231K00161    00"</f>
        <v>1130231K00161    00</v>
      </c>
      <c r="B7874" t="s">
        <v>1234</v>
      </c>
      <c r="C7874" t="s">
        <v>17296</v>
      </c>
      <c r="D7874" t="s">
        <v>20</v>
      </c>
      <c r="E7874" t="s">
        <v>39</v>
      </c>
      <c r="F7874">
        <v>0</v>
      </c>
      <c r="G7874">
        <v>0</v>
      </c>
      <c r="H7874">
        <v>1</v>
      </c>
      <c r="I7874" s="3">
        <v>516.54</v>
      </c>
      <c r="J7874" s="3">
        <v>0</v>
      </c>
      <c r="L7874">
        <v>639</v>
      </c>
      <c r="M7874" t="s">
        <v>1315</v>
      </c>
      <c r="N7874" t="s">
        <v>30</v>
      </c>
      <c r="O7874" t="s">
        <v>31</v>
      </c>
      <c r="P7874" t="str">
        <f>"15206"</f>
        <v>15206</v>
      </c>
    </row>
    <row r="7875" spans="1:16" x14ac:dyDescent="0.25">
      <c r="A7875" t="str">
        <f>"1130231K00164    00"</f>
        <v>1130231K00164    00</v>
      </c>
      <c r="B7875" t="s">
        <v>17297</v>
      </c>
      <c r="C7875" t="s">
        <v>17134</v>
      </c>
      <c r="D7875" t="s">
        <v>20</v>
      </c>
      <c r="E7875" t="s">
        <v>39</v>
      </c>
      <c r="F7875">
        <v>0</v>
      </c>
      <c r="G7875">
        <v>0</v>
      </c>
      <c r="H7875">
        <v>19</v>
      </c>
      <c r="I7875" s="3">
        <v>1889.24</v>
      </c>
      <c r="J7875" s="3">
        <v>1921.05</v>
      </c>
      <c r="P7875" t="str">
        <f>""</f>
        <v/>
      </c>
    </row>
    <row r="7876" spans="1:16" x14ac:dyDescent="0.25">
      <c r="A7876" t="str">
        <f>"1130231K00165    00"</f>
        <v>1130231K00165    00</v>
      </c>
      <c r="B7876" t="s">
        <v>17298</v>
      </c>
      <c r="C7876" t="s">
        <v>17134</v>
      </c>
      <c r="D7876" t="s">
        <v>20</v>
      </c>
      <c r="E7876" t="s">
        <v>39</v>
      </c>
      <c r="F7876">
        <v>0</v>
      </c>
      <c r="G7876">
        <v>0</v>
      </c>
      <c r="H7876">
        <v>8</v>
      </c>
      <c r="I7876" s="3">
        <v>88.91</v>
      </c>
      <c r="J7876" s="3">
        <v>29.37</v>
      </c>
      <c r="K7876" t="s">
        <v>17299</v>
      </c>
      <c r="L7876">
        <v>5088</v>
      </c>
      <c r="M7876" t="s">
        <v>17300</v>
      </c>
      <c r="N7876" t="s">
        <v>30</v>
      </c>
      <c r="O7876" t="s">
        <v>31</v>
      </c>
      <c r="P7876" t="str">
        <f>"15224"</f>
        <v>15224</v>
      </c>
    </row>
    <row r="7877" spans="1:16" x14ac:dyDescent="0.25">
      <c r="A7877" t="str">
        <f>"1130231K00167    00"</f>
        <v>1130231K00167    00</v>
      </c>
      <c r="B7877" t="s">
        <v>17301</v>
      </c>
      <c r="C7877" t="s">
        <v>17134</v>
      </c>
      <c r="D7877" t="s">
        <v>20</v>
      </c>
      <c r="E7877" t="s">
        <v>39</v>
      </c>
      <c r="F7877">
        <v>0</v>
      </c>
      <c r="G7877">
        <v>0</v>
      </c>
      <c r="H7877">
        <v>1</v>
      </c>
      <c r="I7877" s="3">
        <v>19.059999999999999</v>
      </c>
      <c r="J7877" s="3">
        <v>0</v>
      </c>
      <c r="L7877">
        <v>8345</v>
      </c>
      <c r="M7877" t="s">
        <v>13958</v>
      </c>
      <c r="N7877" t="s">
        <v>30</v>
      </c>
      <c r="O7877" t="s">
        <v>31</v>
      </c>
      <c r="P7877" t="str">
        <f>"15221"</f>
        <v>15221</v>
      </c>
    </row>
    <row r="7878" spans="1:16" x14ac:dyDescent="0.25">
      <c r="A7878" t="str">
        <f>"1130231K00168    00"</f>
        <v>1130231K00168    00</v>
      </c>
      <c r="B7878" t="s">
        <v>17302</v>
      </c>
      <c r="C7878" t="s">
        <v>17303</v>
      </c>
      <c r="D7878" t="s">
        <v>20</v>
      </c>
      <c r="E7878" t="s">
        <v>39</v>
      </c>
      <c r="F7878">
        <v>0</v>
      </c>
      <c r="G7878">
        <v>0</v>
      </c>
      <c r="H7878">
        <v>1</v>
      </c>
      <c r="I7878" s="3">
        <v>38.450000000000003</v>
      </c>
      <c r="J7878" s="3">
        <v>0</v>
      </c>
      <c r="L7878">
        <v>8341</v>
      </c>
      <c r="M7878" t="s">
        <v>13958</v>
      </c>
      <c r="N7878" t="s">
        <v>30</v>
      </c>
      <c r="O7878" t="s">
        <v>31</v>
      </c>
      <c r="P7878" t="str">
        <f>"15221"</f>
        <v>15221</v>
      </c>
    </row>
    <row r="7879" spans="1:16" x14ac:dyDescent="0.25">
      <c r="A7879" t="str">
        <f>"1130231K00169    00"</f>
        <v>1130231K00169    00</v>
      </c>
      <c r="B7879" t="s">
        <v>16828</v>
      </c>
      <c r="C7879" t="s">
        <v>17134</v>
      </c>
      <c r="D7879" t="s">
        <v>20</v>
      </c>
      <c r="E7879" t="s">
        <v>39</v>
      </c>
      <c r="F7879">
        <v>0</v>
      </c>
      <c r="G7879">
        <v>0</v>
      </c>
      <c r="H7879">
        <v>19</v>
      </c>
      <c r="I7879" s="3">
        <v>279.7</v>
      </c>
      <c r="J7879" s="3">
        <v>282.8</v>
      </c>
      <c r="L7879">
        <v>251</v>
      </c>
      <c r="M7879" t="s">
        <v>17304</v>
      </c>
      <c r="N7879" t="s">
        <v>295</v>
      </c>
      <c r="O7879" t="s">
        <v>31</v>
      </c>
      <c r="P7879" t="str">
        <f>"15146"</f>
        <v>15146</v>
      </c>
    </row>
    <row r="7880" spans="1:16" x14ac:dyDescent="0.25">
      <c r="A7880" t="str">
        <f>"1130231K00171    00"</f>
        <v>1130231K00171    00</v>
      </c>
      <c r="B7880" t="s">
        <v>17305</v>
      </c>
      <c r="C7880" t="s">
        <v>17134</v>
      </c>
      <c r="D7880" t="s">
        <v>20</v>
      </c>
      <c r="E7880" t="s">
        <v>39</v>
      </c>
      <c r="F7880">
        <v>0</v>
      </c>
      <c r="G7880">
        <v>0</v>
      </c>
      <c r="H7880">
        <v>19</v>
      </c>
      <c r="I7880" s="3">
        <v>11111.73</v>
      </c>
      <c r="J7880" s="3">
        <v>15209.14</v>
      </c>
      <c r="L7880">
        <v>8335</v>
      </c>
      <c r="M7880" t="s">
        <v>13958</v>
      </c>
      <c r="N7880" t="s">
        <v>30</v>
      </c>
      <c r="O7880" t="s">
        <v>31</v>
      </c>
      <c r="P7880" t="str">
        <f>"15221"</f>
        <v>15221</v>
      </c>
    </row>
    <row r="7881" spans="1:16" x14ac:dyDescent="0.25">
      <c r="A7881" t="str">
        <f>"1130231K00172    00"</f>
        <v>1130231K00172    00</v>
      </c>
      <c r="B7881" t="s">
        <v>17306</v>
      </c>
      <c r="C7881" t="s">
        <v>17134</v>
      </c>
      <c r="D7881" t="s">
        <v>20</v>
      </c>
      <c r="E7881" t="s">
        <v>39</v>
      </c>
      <c r="F7881">
        <v>0</v>
      </c>
      <c r="G7881">
        <v>0</v>
      </c>
      <c r="H7881">
        <v>19</v>
      </c>
      <c r="I7881" s="3">
        <v>545.54999999999995</v>
      </c>
      <c r="J7881" s="3">
        <v>601.39</v>
      </c>
      <c r="K7881" t="s">
        <v>17307</v>
      </c>
      <c r="L7881">
        <v>177</v>
      </c>
      <c r="M7881" t="s">
        <v>2507</v>
      </c>
      <c r="N7881" t="s">
        <v>30</v>
      </c>
      <c r="O7881" t="s">
        <v>31</v>
      </c>
      <c r="P7881" t="str">
        <f>"15235"</f>
        <v>15235</v>
      </c>
    </row>
    <row r="7882" spans="1:16" x14ac:dyDescent="0.25">
      <c r="A7882" t="str">
        <f>"1130231K00173    00"</f>
        <v>1130231K00173    00</v>
      </c>
      <c r="B7882" t="s">
        <v>16872</v>
      </c>
      <c r="C7882" t="s">
        <v>17308</v>
      </c>
      <c r="D7882" t="s">
        <v>20</v>
      </c>
      <c r="E7882" t="s">
        <v>39</v>
      </c>
      <c r="F7882">
        <v>0</v>
      </c>
      <c r="G7882">
        <v>0</v>
      </c>
      <c r="H7882">
        <v>5</v>
      </c>
      <c r="I7882" s="3">
        <v>1893.49</v>
      </c>
      <c r="J7882" s="3">
        <v>327.12</v>
      </c>
      <c r="L7882">
        <v>401</v>
      </c>
      <c r="M7882" t="s">
        <v>9842</v>
      </c>
      <c r="N7882" t="s">
        <v>30</v>
      </c>
      <c r="O7882" t="s">
        <v>31</v>
      </c>
      <c r="P7882" t="str">
        <f>"15235"</f>
        <v>15235</v>
      </c>
    </row>
    <row r="7883" spans="1:16" x14ac:dyDescent="0.25">
      <c r="A7883" t="str">
        <f>"1130231K00176    00"</f>
        <v>1130231K00176    00</v>
      </c>
      <c r="B7883" t="s">
        <v>1463</v>
      </c>
      <c r="C7883" t="s">
        <v>17309</v>
      </c>
      <c r="D7883" t="s">
        <v>20</v>
      </c>
      <c r="E7883" t="s">
        <v>39</v>
      </c>
      <c r="F7883">
        <v>0</v>
      </c>
      <c r="G7883">
        <v>0</v>
      </c>
      <c r="H7883">
        <v>2</v>
      </c>
      <c r="I7883" s="3">
        <v>713.48</v>
      </c>
      <c r="J7883" s="3">
        <v>0</v>
      </c>
      <c r="K7883" t="s">
        <v>1465</v>
      </c>
      <c r="L7883">
        <v>14225</v>
      </c>
      <c r="M7883" t="s">
        <v>17310</v>
      </c>
      <c r="N7883" t="s">
        <v>4007</v>
      </c>
      <c r="O7883" t="s">
        <v>1184</v>
      </c>
      <c r="P7883" t="str">
        <f>"20720"</f>
        <v>20720</v>
      </c>
    </row>
    <row r="7884" spans="1:16" x14ac:dyDescent="0.25">
      <c r="A7884" t="str">
        <f>"1130231K00183    00"</f>
        <v>1130231K00183    00</v>
      </c>
      <c r="B7884" t="s">
        <v>17311</v>
      </c>
      <c r="C7884" t="s">
        <v>17134</v>
      </c>
      <c r="D7884" t="s">
        <v>20</v>
      </c>
      <c r="E7884" t="s">
        <v>39</v>
      </c>
      <c r="F7884">
        <v>0</v>
      </c>
      <c r="G7884">
        <v>0</v>
      </c>
      <c r="H7884">
        <v>19</v>
      </c>
      <c r="I7884" s="3">
        <v>279.7</v>
      </c>
      <c r="J7884" s="3">
        <v>282.8</v>
      </c>
      <c r="K7884" t="s">
        <v>1008</v>
      </c>
      <c r="P7884" t="str">
        <f>""</f>
        <v/>
      </c>
    </row>
    <row r="7885" spans="1:16" x14ac:dyDescent="0.25">
      <c r="A7885" t="str">
        <f>"1130231K00184    00"</f>
        <v>1130231K00184    00</v>
      </c>
      <c r="B7885" t="s">
        <v>17312</v>
      </c>
      <c r="C7885" t="s">
        <v>17313</v>
      </c>
      <c r="D7885" t="s">
        <v>20</v>
      </c>
      <c r="E7885" t="s">
        <v>39</v>
      </c>
      <c r="F7885">
        <v>0</v>
      </c>
      <c r="G7885">
        <v>0</v>
      </c>
      <c r="H7885">
        <v>15</v>
      </c>
      <c r="I7885" s="3">
        <v>6472.79</v>
      </c>
      <c r="J7885" s="3">
        <v>6308.45</v>
      </c>
      <c r="L7885">
        <v>8305</v>
      </c>
      <c r="M7885" t="s">
        <v>13958</v>
      </c>
      <c r="N7885" t="s">
        <v>30</v>
      </c>
      <c r="O7885" t="s">
        <v>31</v>
      </c>
      <c r="P7885" t="str">
        <f>"15221"</f>
        <v>15221</v>
      </c>
    </row>
    <row r="7886" spans="1:16" x14ac:dyDescent="0.25">
      <c r="A7886" t="str">
        <f>"1130231K00186    00"</f>
        <v>1130231K00186    00</v>
      </c>
      <c r="B7886" t="s">
        <v>17314</v>
      </c>
      <c r="C7886" t="s">
        <v>17315</v>
      </c>
      <c r="D7886" t="s">
        <v>20</v>
      </c>
      <c r="E7886" t="s">
        <v>39</v>
      </c>
      <c r="F7886">
        <v>0</v>
      </c>
      <c r="G7886">
        <v>0</v>
      </c>
      <c r="H7886">
        <v>19</v>
      </c>
      <c r="I7886" s="3">
        <v>975.39</v>
      </c>
      <c r="J7886" s="3">
        <v>395.24</v>
      </c>
      <c r="K7886" t="s">
        <v>1008</v>
      </c>
      <c r="P7886" t="str">
        <f>""</f>
        <v/>
      </c>
    </row>
    <row r="7887" spans="1:16" x14ac:dyDescent="0.25">
      <c r="A7887" t="str">
        <f>"1130231K00195    00"</f>
        <v>1130231K00195    00</v>
      </c>
      <c r="B7887" t="s">
        <v>17316</v>
      </c>
      <c r="C7887" t="s">
        <v>17134</v>
      </c>
      <c r="D7887" t="s">
        <v>20</v>
      </c>
      <c r="E7887" t="s">
        <v>39</v>
      </c>
      <c r="F7887">
        <v>0</v>
      </c>
      <c r="G7887">
        <v>0</v>
      </c>
      <c r="H7887">
        <v>19</v>
      </c>
      <c r="I7887" s="3">
        <v>6182.31</v>
      </c>
      <c r="J7887" s="3">
        <v>8306.85</v>
      </c>
      <c r="K7887" t="s">
        <v>1008</v>
      </c>
      <c r="P7887" t="str">
        <f>""</f>
        <v/>
      </c>
    </row>
    <row r="7888" spans="1:16" x14ac:dyDescent="0.25">
      <c r="A7888" t="str">
        <f>"1130231K00218    00"</f>
        <v>1130231K00218    00</v>
      </c>
      <c r="B7888" t="s">
        <v>17317</v>
      </c>
      <c r="C7888" t="s">
        <v>17318</v>
      </c>
      <c r="D7888" t="s">
        <v>20</v>
      </c>
      <c r="E7888" t="s">
        <v>39</v>
      </c>
      <c r="F7888">
        <v>0</v>
      </c>
      <c r="G7888">
        <v>0</v>
      </c>
      <c r="H7888">
        <v>3</v>
      </c>
      <c r="I7888" s="3">
        <v>1239.5899999999999</v>
      </c>
      <c r="J7888" s="3">
        <v>94.46</v>
      </c>
      <c r="L7888">
        <v>1003</v>
      </c>
      <c r="M7888" t="s">
        <v>17319</v>
      </c>
      <c r="N7888" t="s">
        <v>17320</v>
      </c>
      <c r="O7888" t="s">
        <v>423</v>
      </c>
      <c r="P7888" t="str">
        <f>"08021"</f>
        <v>08021</v>
      </c>
    </row>
    <row r="7889" spans="1:16" x14ac:dyDescent="0.25">
      <c r="A7889" t="str">
        <f>"1130231K00221    00"</f>
        <v>1130231K00221    00</v>
      </c>
      <c r="B7889" t="s">
        <v>17321</v>
      </c>
      <c r="C7889" t="s">
        <v>17322</v>
      </c>
      <c r="D7889" t="s">
        <v>20</v>
      </c>
      <c r="E7889" t="s">
        <v>39</v>
      </c>
      <c r="F7889">
        <v>0</v>
      </c>
      <c r="G7889">
        <v>0</v>
      </c>
      <c r="H7889">
        <v>2</v>
      </c>
      <c r="I7889" s="3">
        <v>2851.38</v>
      </c>
      <c r="J7889" s="3">
        <v>23.76</v>
      </c>
      <c r="K7889" t="s">
        <v>17323</v>
      </c>
      <c r="L7889">
        <v>11650</v>
      </c>
      <c r="M7889" t="s">
        <v>17324</v>
      </c>
      <c r="N7889" t="s">
        <v>30</v>
      </c>
      <c r="O7889" t="s">
        <v>31</v>
      </c>
      <c r="P7889" t="str">
        <f>"15235"</f>
        <v>15235</v>
      </c>
    </row>
    <row r="7890" spans="1:16" x14ac:dyDescent="0.25">
      <c r="A7890" t="str">
        <f>"1130231K00232    00"</f>
        <v>1130231K00232    00</v>
      </c>
      <c r="B7890" t="s">
        <v>17325</v>
      </c>
      <c r="C7890" t="s">
        <v>17326</v>
      </c>
      <c r="D7890" t="s">
        <v>20</v>
      </c>
      <c r="E7890" t="s">
        <v>39</v>
      </c>
      <c r="F7890">
        <v>0</v>
      </c>
      <c r="G7890">
        <v>0</v>
      </c>
      <c r="H7890">
        <v>5</v>
      </c>
      <c r="I7890" s="3">
        <v>662.06</v>
      </c>
      <c r="J7890" s="3">
        <v>188.79</v>
      </c>
      <c r="K7890" t="s">
        <v>17327</v>
      </c>
      <c r="L7890">
        <v>1023</v>
      </c>
      <c r="M7890" t="s">
        <v>17328</v>
      </c>
      <c r="N7890" t="s">
        <v>17329</v>
      </c>
      <c r="O7890" t="s">
        <v>1413</v>
      </c>
      <c r="P7890" t="str">
        <f>"27713"</f>
        <v>27713</v>
      </c>
    </row>
    <row r="7891" spans="1:16" x14ac:dyDescent="0.25">
      <c r="A7891" t="str">
        <f>"1130231K00236    00"</f>
        <v>1130231K00236    00</v>
      </c>
      <c r="B7891" t="s">
        <v>17330</v>
      </c>
      <c r="C7891" t="s">
        <v>17331</v>
      </c>
      <c r="D7891" t="s">
        <v>20</v>
      </c>
      <c r="E7891" t="s">
        <v>39</v>
      </c>
      <c r="F7891">
        <v>0</v>
      </c>
      <c r="G7891">
        <v>0</v>
      </c>
      <c r="H7891">
        <v>9</v>
      </c>
      <c r="I7891" s="3">
        <v>5490.39</v>
      </c>
      <c r="J7891" s="3">
        <v>2816.22</v>
      </c>
      <c r="L7891">
        <v>8367</v>
      </c>
      <c r="M7891" t="s">
        <v>3107</v>
      </c>
      <c r="N7891" t="s">
        <v>30</v>
      </c>
      <c r="O7891" t="s">
        <v>31</v>
      </c>
      <c r="P7891" t="str">
        <f>"15221"</f>
        <v>15221</v>
      </c>
    </row>
    <row r="7892" spans="1:16" x14ac:dyDescent="0.25">
      <c r="A7892" t="str">
        <f>"1130231K00240    00"</f>
        <v>1130231K00240    00</v>
      </c>
      <c r="B7892" t="s">
        <v>17332</v>
      </c>
      <c r="C7892" t="s">
        <v>17333</v>
      </c>
      <c r="D7892" t="s">
        <v>20</v>
      </c>
      <c r="E7892" t="s">
        <v>39</v>
      </c>
      <c r="F7892">
        <v>0</v>
      </c>
      <c r="G7892">
        <v>0</v>
      </c>
      <c r="H7892">
        <v>14</v>
      </c>
      <c r="I7892" s="3">
        <v>6869.1</v>
      </c>
      <c r="J7892" s="3">
        <v>4673.5</v>
      </c>
      <c r="L7892">
        <v>12823</v>
      </c>
      <c r="M7892" t="s">
        <v>17334</v>
      </c>
      <c r="N7892" t="s">
        <v>3951</v>
      </c>
      <c r="O7892" t="s">
        <v>370</v>
      </c>
      <c r="P7892" t="str">
        <f>"33625"</f>
        <v>33625</v>
      </c>
    </row>
    <row r="7893" spans="1:16" x14ac:dyDescent="0.25">
      <c r="A7893" t="str">
        <f>"1130231K00241    00"</f>
        <v>1130231K00241    00</v>
      </c>
      <c r="B7893" t="s">
        <v>17335</v>
      </c>
      <c r="C7893" t="s">
        <v>17336</v>
      </c>
      <c r="D7893" t="s">
        <v>20</v>
      </c>
      <c r="E7893" t="s">
        <v>39</v>
      </c>
      <c r="F7893">
        <v>0</v>
      </c>
      <c r="G7893">
        <v>0</v>
      </c>
      <c r="H7893">
        <v>1</v>
      </c>
      <c r="I7893" s="3">
        <v>194.71</v>
      </c>
      <c r="J7893" s="3">
        <v>0</v>
      </c>
      <c r="K7893" t="s">
        <v>17337</v>
      </c>
      <c r="L7893">
        <v>8361</v>
      </c>
      <c r="M7893" t="s">
        <v>3107</v>
      </c>
      <c r="N7893" t="s">
        <v>30</v>
      </c>
      <c r="O7893" t="s">
        <v>31</v>
      </c>
      <c r="P7893" t="str">
        <f>"15221"</f>
        <v>15221</v>
      </c>
    </row>
    <row r="7894" spans="1:16" x14ac:dyDescent="0.25">
      <c r="A7894" t="str">
        <f>"1130231K00250    00"</f>
        <v>1130231K00250    00</v>
      </c>
      <c r="B7894" t="s">
        <v>17338</v>
      </c>
      <c r="C7894" t="s">
        <v>17339</v>
      </c>
      <c r="D7894" t="s">
        <v>20</v>
      </c>
      <c r="E7894" t="s">
        <v>39</v>
      </c>
      <c r="F7894">
        <v>0</v>
      </c>
      <c r="G7894">
        <v>0</v>
      </c>
      <c r="H7894">
        <v>11</v>
      </c>
      <c r="I7894" s="3">
        <v>6444.57</v>
      </c>
      <c r="J7894" s="3">
        <v>3274.05</v>
      </c>
      <c r="L7894">
        <v>2325</v>
      </c>
      <c r="M7894" t="s">
        <v>5665</v>
      </c>
      <c r="N7894" t="s">
        <v>30</v>
      </c>
      <c r="O7894" t="s">
        <v>31</v>
      </c>
      <c r="P7894" t="str">
        <f>"15218"</f>
        <v>15218</v>
      </c>
    </row>
    <row r="7895" spans="1:16" x14ac:dyDescent="0.25">
      <c r="A7895" t="str">
        <f>"1130231K00252    00"</f>
        <v>1130231K00252    00</v>
      </c>
      <c r="B7895" t="s">
        <v>17340</v>
      </c>
      <c r="C7895" t="s">
        <v>17341</v>
      </c>
      <c r="D7895" t="s">
        <v>20</v>
      </c>
      <c r="E7895" t="s">
        <v>39</v>
      </c>
      <c r="F7895">
        <v>0</v>
      </c>
      <c r="G7895">
        <v>0</v>
      </c>
      <c r="H7895">
        <v>5</v>
      </c>
      <c r="I7895" s="3">
        <v>799.81</v>
      </c>
      <c r="J7895" s="3">
        <v>182.97</v>
      </c>
      <c r="L7895">
        <v>7122</v>
      </c>
      <c r="M7895" t="s">
        <v>17342</v>
      </c>
      <c r="N7895" t="s">
        <v>30</v>
      </c>
      <c r="O7895" t="s">
        <v>31</v>
      </c>
      <c r="P7895" t="str">
        <f>"15206"</f>
        <v>15206</v>
      </c>
    </row>
    <row r="7896" spans="1:16" x14ac:dyDescent="0.25">
      <c r="A7896" t="str">
        <f>"1130231K00255    00"</f>
        <v>1130231K00255    00</v>
      </c>
      <c r="B7896" t="s">
        <v>17343</v>
      </c>
      <c r="C7896" t="s">
        <v>17344</v>
      </c>
      <c r="D7896" t="s">
        <v>20</v>
      </c>
      <c r="E7896" t="s">
        <v>39</v>
      </c>
      <c r="F7896">
        <v>0</v>
      </c>
      <c r="G7896">
        <v>0</v>
      </c>
      <c r="H7896">
        <v>17</v>
      </c>
      <c r="I7896" s="3">
        <v>7584.16</v>
      </c>
      <c r="J7896" s="3">
        <v>6487.25</v>
      </c>
      <c r="L7896">
        <v>8374</v>
      </c>
      <c r="M7896" t="s">
        <v>3107</v>
      </c>
      <c r="N7896" t="s">
        <v>30</v>
      </c>
      <c r="O7896" t="s">
        <v>31</v>
      </c>
      <c r="P7896" t="str">
        <f>"15221"</f>
        <v>15221</v>
      </c>
    </row>
    <row r="7897" spans="1:16" x14ac:dyDescent="0.25">
      <c r="A7897" t="str">
        <f>"1130231K00259    00"</f>
        <v>1130231K00259    00</v>
      </c>
      <c r="B7897" t="s">
        <v>17345</v>
      </c>
      <c r="C7897" t="s">
        <v>17346</v>
      </c>
      <c r="D7897" t="s">
        <v>20</v>
      </c>
      <c r="E7897" t="s">
        <v>39</v>
      </c>
      <c r="F7897">
        <v>0</v>
      </c>
      <c r="G7897">
        <v>0</v>
      </c>
      <c r="H7897">
        <v>19</v>
      </c>
      <c r="I7897" s="3">
        <v>12462.97</v>
      </c>
      <c r="J7897" s="3">
        <v>15650.24</v>
      </c>
      <c r="L7897">
        <v>8382</v>
      </c>
      <c r="M7897" t="s">
        <v>3107</v>
      </c>
      <c r="N7897" t="s">
        <v>30</v>
      </c>
      <c r="O7897" t="s">
        <v>31</v>
      </c>
      <c r="P7897" t="str">
        <f>"15221"</f>
        <v>15221</v>
      </c>
    </row>
    <row r="7898" spans="1:16" x14ac:dyDescent="0.25">
      <c r="A7898" t="str">
        <f>"1130231K00267    00"</f>
        <v>1130231K00267    00</v>
      </c>
      <c r="B7898" t="s">
        <v>17347</v>
      </c>
      <c r="C7898" t="s">
        <v>17348</v>
      </c>
      <c r="D7898" t="s">
        <v>20</v>
      </c>
      <c r="E7898" t="s">
        <v>39</v>
      </c>
      <c r="F7898">
        <v>0</v>
      </c>
      <c r="G7898">
        <v>0</v>
      </c>
      <c r="H7898">
        <v>13</v>
      </c>
      <c r="I7898" s="3">
        <v>444.42</v>
      </c>
      <c r="J7898" s="3">
        <v>252.74</v>
      </c>
      <c r="L7898">
        <v>9853</v>
      </c>
      <c r="M7898" t="s">
        <v>17349</v>
      </c>
      <c r="N7898" t="s">
        <v>7577</v>
      </c>
      <c r="O7898" t="s">
        <v>1184</v>
      </c>
      <c r="P7898" t="str">
        <f>"20886"</f>
        <v>20886</v>
      </c>
    </row>
    <row r="7899" spans="1:16" x14ac:dyDescent="0.25">
      <c r="A7899" t="str">
        <f>"1130231K00269    00"</f>
        <v>1130231K00269    00</v>
      </c>
      <c r="B7899" t="s">
        <v>17350</v>
      </c>
      <c r="C7899" t="s">
        <v>17351</v>
      </c>
      <c r="D7899" t="s">
        <v>20</v>
      </c>
      <c r="E7899" t="s">
        <v>39</v>
      </c>
      <c r="F7899">
        <v>0</v>
      </c>
      <c r="G7899">
        <v>0</v>
      </c>
      <c r="H7899">
        <v>12</v>
      </c>
      <c r="I7899" s="3">
        <v>3754.59</v>
      </c>
      <c r="J7899" s="3">
        <v>3064.19</v>
      </c>
      <c r="L7899">
        <v>1628</v>
      </c>
      <c r="M7899" t="s">
        <v>15363</v>
      </c>
      <c r="N7899" t="s">
        <v>285</v>
      </c>
      <c r="O7899" t="s">
        <v>31</v>
      </c>
      <c r="P7899" t="str">
        <f>"15120"</f>
        <v>15120</v>
      </c>
    </row>
    <row r="7900" spans="1:16" x14ac:dyDescent="0.25">
      <c r="A7900" t="str">
        <f>"1130231K00271    00"</f>
        <v>1130231K00271    00</v>
      </c>
      <c r="B7900" t="s">
        <v>17352</v>
      </c>
      <c r="C7900" t="s">
        <v>17353</v>
      </c>
      <c r="D7900" t="s">
        <v>20</v>
      </c>
      <c r="E7900" t="s">
        <v>39</v>
      </c>
      <c r="F7900">
        <v>0</v>
      </c>
      <c r="G7900">
        <v>0</v>
      </c>
      <c r="H7900">
        <v>4</v>
      </c>
      <c r="I7900" s="3">
        <v>1518.8</v>
      </c>
      <c r="J7900" s="3">
        <v>179.41</v>
      </c>
      <c r="K7900" t="s">
        <v>17354</v>
      </c>
      <c r="M7900" t="s">
        <v>17355</v>
      </c>
      <c r="N7900" t="s">
        <v>30</v>
      </c>
      <c r="O7900" t="s">
        <v>31</v>
      </c>
      <c r="P7900" t="str">
        <f>"15212"</f>
        <v>15212</v>
      </c>
    </row>
    <row r="7901" spans="1:16" x14ac:dyDescent="0.25">
      <c r="A7901" t="str">
        <f>"1130231K00272    00"</f>
        <v>1130231K00272    00</v>
      </c>
      <c r="B7901" t="s">
        <v>17356</v>
      </c>
      <c r="C7901" t="s">
        <v>17357</v>
      </c>
      <c r="D7901" t="s">
        <v>20</v>
      </c>
      <c r="E7901" t="s">
        <v>39</v>
      </c>
      <c r="F7901">
        <v>0</v>
      </c>
      <c r="G7901">
        <v>0</v>
      </c>
      <c r="H7901">
        <v>7</v>
      </c>
      <c r="I7901" s="3">
        <v>2343.14</v>
      </c>
      <c r="J7901" s="3">
        <v>681.07</v>
      </c>
      <c r="L7901">
        <v>723</v>
      </c>
      <c r="M7901" t="s">
        <v>17358</v>
      </c>
      <c r="N7901" t="s">
        <v>30</v>
      </c>
      <c r="O7901" t="s">
        <v>31</v>
      </c>
      <c r="P7901" t="str">
        <f>"15221"</f>
        <v>15221</v>
      </c>
    </row>
    <row r="7902" spans="1:16" x14ac:dyDescent="0.25">
      <c r="A7902" t="str">
        <f>"1130231K00274    00"</f>
        <v>1130231K00274    00</v>
      </c>
      <c r="B7902" t="s">
        <v>17359</v>
      </c>
      <c r="C7902" t="s">
        <v>17360</v>
      </c>
      <c r="D7902" t="s">
        <v>20</v>
      </c>
      <c r="E7902" t="s">
        <v>39</v>
      </c>
      <c r="F7902">
        <v>0</v>
      </c>
      <c r="G7902">
        <v>0</v>
      </c>
      <c r="H7902">
        <v>19</v>
      </c>
      <c r="I7902" s="3">
        <v>9815.84</v>
      </c>
      <c r="J7902" s="3">
        <v>11908.38</v>
      </c>
      <c r="L7902">
        <v>732</v>
      </c>
      <c r="M7902" t="s">
        <v>17358</v>
      </c>
      <c r="N7902" t="s">
        <v>30</v>
      </c>
      <c r="O7902" t="s">
        <v>31</v>
      </c>
      <c r="P7902" t="str">
        <f>"15221"</f>
        <v>15221</v>
      </c>
    </row>
    <row r="7903" spans="1:16" x14ac:dyDescent="0.25">
      <c r="A7903" t="str">
        <f>"1130231K00287    00"</f>
        <v>1130231K00287    00</v>
      </c>
      <c r="B7903" t="s">
        <v>17361</v>
      </c>
      <c r="C7903" t="s">
        <v>17348</v>
      </c>
      <c r="D7903" t="s">
        <v>20</v>
      </c>
      <c r="E7903" t="s">
        <v>39</v>
      </c>
      <c r="F7903">
        <v>0</v>
      </c>
      <c r="G7903">
        <v>0</v>
      </c>
      <c r="H7903">
        <v>19</v>
      </c>
      <c r="I7903" s="3">
        <v>279.7</v>
      </c>
      <c r="J7903" s="3">
        <v>282.8</v>
      </c>
      <c r="K7903" t="s">
        <v>1037</v>
      </c>
      <c r="L7903">
        <v>245</v>
      </c>
      <c r="M7903" t="s">
        <v>11446</v>
      </c>
      <c r="N7903" t="s">
        <v>30</v>
      </c>
      <c r="O7903" t="s">
        <v>31</v>
      </c>
      <c r="P7903" t="str">
        <f>"15206"</f>
        <v>15206</v>
      </c>
    </row>
    <row r="7904" spans="1:16" x14ac:dyDescent="0.25">
      <c r="A7904" t="str">
        <f>"1130231K00288    00"</f>
        <v>1130231K00288    00</v>
      </c>
      <c r="B7904" t="s">
        <v>17362</v>
      </c>
      <c r="C7904" t="s">
        <v>17348</v>
      </c>
      <c r="D7904" t="s">
        <v>20</v>
      </c>
      <c r="E7904" t="s">
        <v>39</v>
      </c>
      <c r="F7904">
        <v>0</v>
      </c>
      <c r="G7904">
        <v>0</v>
      </c>
      <c r="H7904">
        <v>9</v>
      </c>
      <c r="I7904" s="3">
        <v>140.56</v>
      </c>
      <c r="J7904" s="3">
        <v>190.49</v>
      </c>
      <c r="L7904">
        <v>63</v>
      </c>
      <c r="M7904" t="s">
        <v>16153</v>
      </c>
      <c r="N7904" t="s">
        <v>30</v>
      </c>
      <c r="O7904" t="s">
        <v>31</v>
      </c>
      <c r="P7904" t="str">
        <f>"15235"</f>
        <v>15235</v>
      </c>
    </row>
    <row r="7905" spans="1:16" x14ac:dyDescent="0.25">
      <c r="A7905" t="str">
        <f>"1130231K00291    00"</f>
        <v>1130231K00291    00</v>
      </c>
      <c r="B7905" t="s">
        <v>17363</v>
      </c>
      <c r="C7905" t="s">
        <v>17364</v>
      </c>
      <c r="D7905" t="s">
        <v>20</v>
      </c>
      <c r="E7905" t="s">
        <v>39</v>
      </c>
      <c r="F7905">
        <v>0</v>
      </c>
      <c r="G7905">
        <v>0</v>
      </c>
      <c r="H7905">
        <v>19</v>
      </c>
      <c r="I7905" s="3">
        <v>13044.62</v>
      </c>
      <c r="J7905" s="3">
        <v>13742.1</v>
      </c>
      <c r="P7905" t="str">
        <f>""</f>
        <v/>
      </c>
    </row>
    <row r="7906" spans="1:16" x14ac:dyDescent="0.25">
      <c r="A7906" t="str">
        <f>"1130231K00294    00"</f>
        <v>1130231K00294    00</v>
      </c>
      <c r="B7906" t="s">
        <v>16104</v>
      </c>
      <c r="C7906" t="s">
        <v>17365</v>
      </c>
      <c r="D7906" t="s">
        <v>20</v>
      </c>
      <c r="E7906" t="s">
        <v>39</v>
      </c>
      <c r="F7906">
        <v>0</v>
      </c>
      <c r="G7906">
        <v>0</v>
      </c>
      <c r="H7906">
        <v>1</v>
      </c>
      <c r="I7906" s="3">
        <v>73.989999999999995</v>
      </c>
      <c r="J7906" s="3">
        <v>20.350000000000001</v>
      </c>
      <c r="L7906">
        <v>8807</v>
      </c>
      <c r="M7906" t="s">
        <v>13958</v>
      </c>
      <c r="N7906" t="s">
        <v>30</v>
      </c>
      <c r="O7906" t="s">
        <v>31</v>
      </c>
      <c r="P7906" t="str">
        <f>"15221"</f>
        <v>15221</v>
      </c>
    </row>
    <row r="7907" spans="1:16" x14ac:dyDescent="0.25">
      <c r="A7907" t="str">
        <f>"1130231K00360    00"</f>
        <v>1130231K00360    00</v>
      </c>
      <c r="B7907" t="s">
        <v>17366</v>
      </c>
      <c r="C7907" t="s">
        <v>17367</v>
      </c>
      <c r="D7907" t="s">
        <v>20</v>
      </c>
      <c r="E7907" t="s">
        <v>39</v>
      </c>
      <c r="F7907">
        <v>0</v>
      </c>
      <c r="G7907">
        <v>0</v>
      </c>
      <c r="H7907">
        <v>2</v>
      </c>
      <c r="I7907" s="3">
        <v>1662.06</v>
      </c>
      <c r="J7907" s="3">
        <v>0</v>
      </c>
      <c r="K7907" t="s">
        <v>17368</v>
      </c>
      <c r="L7907">
        <v>819</v>
      </c>
      <c r="M7907" t="s">
        <v>17369</v>
      </c>
      <c r="N7907" t="s">
        <v>7608</v>
      </c>
      <c r="O7907" t="s">
        <v>31</v>
      </c>
      <c r="P7907" t="str">
        <f>"15068"</f>
        <v>15068</v>
      </c>
    </row>
    <row r="7908" spans="1:16" x14ac:dyDescent="0.25">
      <c r="A7908" t="str">
        <f>"1130231L00001    00"</f>
        <v>1130231L00001    00</v>
      </c>
      <c r="B7908" t="s">
        <v>17370</v>
      </c>
      <c r="C7908" t="s">
        <v>17371</v>
      </c>
      <c r="D7908" t="s">
        <v>20</v>
      </c>
      <c r="E7908" t="s">
        <v>39</v>
      </c>
      <c r="F7908">
        <v>0</v>
      </c>
      <c r="G7908">
        <v>0</v>
      </c>
      <c r="H7908">
        <v>2</v>
      </c>
      <c r="I7908" s="3">
        <v>2073.75</v>
      </c>
      <c r="J7908" s="3">
        <v>0</v>
      </c>
      <c r="K7908" t="s">
        <v>17372</v>
      </c>
      <c r="L7908">
        <v>110</v>
      </c>
      <c r="M7908" t="s">
        <v>17373</v>
      </c>
      <c r="N7908" t="s">
        <v>30</v>
      </c>
      <c r="O7908" t="s">
        <v>31</v>
      </c>
      <c r="P7908" t="str">
        <f>"15221"</f>
        <v>15221</v>
      </c>
    </row>
    <row r="7909" spans="1:16" x14ac:dyDescent="0.25">
      <c r="A7909" t="str">
        <f>"1130231L00009    00"</f>
        <v>1130231L00009    00</v>
      </c>
      <c r="B7909" t="s">
        <v>16104</v>
      </c>
      <c r="C7909" t="s">
        <v>17374</v>
      </c>
      <c r="D7909" t="s">
        <v>20</v>
      </c>
      <c r="E7909" t="s">
        <v>39</v>
      </c>
      <c r="F7909">
        <v>0</v>
      </c>
      <c r="G7909">
        <v>0</v>
      </c>
      <c r="H7909">
        <v>2</v>
      </c>
      <c r="I7909" s="3">
        <v>815.83</v>
      </c>
      <c r="J7909" s="3">
        <v>29.35</v>
      </c>
      <c r="L7909">
        <v>8807</v>
      </c>
      <c r="M7909" t="s">
        <v>13958</v>
      </c>
      <c r="N7909" t="s">
        <v>30</v>
      </c>
      <c r="O7909" t="s">
        <v>31</v>
      </c>
      <c r="P7909" t="str">
        <f>"15221"</f>
        <v>15221</v>
      </c>
    </row>
    <row r="7910" spans="1:16" x14ac:dyDescent="0.25">
      <c r="A7910" t="str">
        <f>"1130231L00011    00"</f>
        <v>1130231L00011    00</v>
      </c>
      <c r="B7910" t="s">
        <v>17375</v>
      </c>
      <c r="C7910" t="s">
        <v>17376</v>
      </c>
      <c r="E7910" t="s">
        <v>39</v>
      </c>
      <c r="F7910">
        <v>0</v>
      </c>
      <c r="G7910">
        <v>0</v>
      </c>
      <c r="H7910">
        <v>3</v>
      </c>
      <c r="I7910" s="3">
        <v>486.65</v>
      </c>
      <c r="J7910" s="3">
        <v>157.91999999999999</v>
      </c>
      <c r="K7910" t="s">
        <v>17377</v>
      </c>
      <c r="L7910">
        <v>130</v>
      </c>
      <c r="M7910" t="s">
        <v>17373</v>
      </c>
      <c r="N7910" t="s">
        <v>30</v>
      </c>
      <c r="O7910" t="s">
        <v>31</v>
      </c>
      <c r="P7910" t="str">
        <f>"15221"</f>
        <v>15221</v>
      </c>
    </row>
    <row r="7911" spans="1:16" x14ac:dyDescent="0.25">
      <c r="A7911" t="str">
        <f>"1130231L00015    00"</f>
        <v>1130231L00015    00</v>
      </c>
      <c r="B7911" t="s">
        <v>17378</v>
      </c>
      <c r="C7911" t="s">
        <v>17379</v>
      </c>
      <c r="D7911" t="s">
        <v>20</v>
      </c>
      <c r="E7911" t="s">
        <v>39</v>
      </c>
      <c r="F7911">
        <v>0</v>
      </c>
      <c r="G7911">
        <v>0</v>
      </c>
      <c r="H7911">
        <v>2</v>
      </c>
      <c r="I7911" s="3">
        <v>292.5</v>
      </c>
      <c r="J7911" s="3">
        <v>0</v>
      </c>
      <c r="L7911">
        <v>138</v>
      </c>
      <c r="M7911" t="s">
        <v>17373</v>
      </c>
      <c r="N7911" t="s">
        <v>30</v>
      </c>
      <c r="O7911" t="s">
        <v>31</v>
      </c>
      <c r="P7911" t="str">
        <f>"15221"</f>
        <v>15221</v>
      </c>
    </row>
    <row r="7912" spans="1:16" x14ac:dyDescent="0.25">
      <c r="A7912" t="str">
        <f>"1130231L00023    00"</f>
        <v>1130231L00023    00</v>
      </c>
      <c r="B7912" t="s">
        <v>17380</v>
      </c>
      <c r="C7912" t="s">
        <v>17381</v>
      </c>
      <c r="D7912" t="s">
        <v>20</v>
      </c>
      <c r="E7912" t="s">
        <v>39</v>
      </c>
      <c r="F7912">
        <v>0</v>
      </c>
      <c r="G7912">
        <v>0</v>
      </c>
      <c r="H7912">
        <v>8</v>
      </c>
      <c r="I7912" s="3">
        <v>1420.28</v>
      </c>
      <c r="J7912" s="3">
        <v>1133.92</v>
      </c>
      <c r="L7912">
        <v>150</v>
      </c>
      <c r="M7912" t="s">
        <v>17373</v>
      </c>
      <c r="N7912" t="s">
        <v>30</v>
      </c>
      <c r="O7912" t="s">
        <v>31</v>
      </c>
      <c r="P7912" t="str">
        <f>"15221"</f>
        <v>15221</v>
      </c>
    </row>
    <row r="7913" spans="1:16" x14ac:dyDescent="0.25">
      <c r="A7913" t="str">
        <f>"1130231L00044    00"</f>
        <v>1130231L00044    00</v>
      </c>
      <c r="B7913" t="s">
        <v>17382</v>
      </c>
      <c r="C7913" t="s">
        <v>17383</v>
      </c>
      <c r="D7913" t="s">
        <v>20</v>
      </c>
      <c r="E7913" t="s">
        <v>39</v>
      </c>
      <c r="F7913">
        <v>0</v>
      </c>
      <c r="G7913">
        <v>0</v>
      </c>
      <c r="H7913">
        <v>1</v>
      </c>
      <c r="I7913" s="3">
        <v>162.99</v>
      </c>
      <c r="J7913" s="3">
        <v>0</v>
      </c>
      <c r="K7913" t="s">
        <v>17384</v>
      </c>
      <c r="L7913">
        <v>6375</v>
      </c>
      <c r="M7913" t="s">
        <v>17385</v>
      </c>
      <c r="N7913" t="s">
        <v>30</v>
      </c>
      <c r="O7913" t="s">
        <v>31</v>
      </c>
      <c r="P7913" t="str">
        <f>"15206"</f>
        <v>15206</v>
      </c>
    </row>
    <row r="7914" spans="1:16" x14ac:dyDescent="0.25">
      <c r="A7914" t="str">
        <f>"1130231L00046    00"</f>
        <v>1130231L00046    00</v>
      </c>
      <c r="B7914" t="s">
        <v>17366</v>
      </c>
      <c r="C7914" t="s">
        <v>17386</v>
      </c>
      <c r="D7914" t="s">
        <v>20</v>
      </c>
      <c r="E7914" t="s">
        <v>39</v>
      </c>
      <c r="F7914">
        <v>0</v>
      </c>
      <c r="G7914">
        <v>0</v>
      </c>
      <c r="H7914">
        <v>2</v>
      </c>
      <c r="I7914" s="3">
        <v>1372.36</v>
      </c>
      <c r="J7914" s="3">
        <v>0</v>
      </c>
      <c r="K7914" t="s">
        <v>17368</v>
      </c>
      <c r="L7914">
        <v>819</v>
      </c>
      <c r="M7914" t="s">
        <v>17369</v>
      </c>
      <c r="N7914" t="s">
        <v>7608</v>
      </c>
      <c r="O7914" t="s">
        <v>31</v>
      </c>
      <c r="P7914" t="str">
        <f>"15068"</f>
        <v>15068</v>
      </c>
    </row>
    <row r="7915" spans="1:16" x14ac:dyDescent="0.25">
      <c r="A7915" t="str">
        <f>"1130231L00048    00"</f>
        <v>1130231L00048    00</v>
      </c>
      <c r="B7915" t="s">
        <v>17387</v>
      </c>
      <c r="C7915" t="s">
        <v>17388</v>
      </c>
      <c r="D7915" t="s">
        <v>20</v>
      </c>
      <c r="E7915" t="s">
        <v>39</v>
      </c>
      <c r="F7915">
        <v>0</v>
      </c>
      <c r="G7915">
        <v>0</v>
      </c>
      <c r="H7915">
        <v>2</v>
      </c>
      <c r="I7915" s="3">
        <v>1471.46</v>
      </c>
      <c r="J7915" s="3">
        <v>0</v>
      </c>
      <c r="K7915" t="s">
        <v>17389</v>
      </c>
      <c r="L7915">
        <v>2717</v>
      </c>
      <c r="M7915" t="s">
        <v>16754</v>
      </c>
      <c r="N7915" t="s">
        <v>30</v>
      </c>
      <c r="O7915" t="s">
        <v>31</v>
      </c>
      <c r="P7915" t="str">
        <f>"15217"</f>
        <v>15217</v>
      </c>
    </row>
    <row r="7916" spans="1:16" x14ac:dyDescent="0.25">
      <c r="A7916" t="str">
        <f>"1130231L00052    00"</f>
        <v>1130231L00052    00</v>
      </c>
      <c r="B7916" t="s">
        <v>17390</v>
      </c>
      <c r="C7916" t="s">
        <v>17391</v>
      </c>
      <c r="D7916" t="s">
        <v>20</v>
      </c>
      <c r="E7916" t="s">
        <v>39</v>
      </c>
      <c r="F7916">
        <v>0</v>
      </c>
      <c r="G7916">
        <v>0</v>
      </c>
      <c r="H7916">
        <v>2</v>
      </c>
      <c r="I7916" s="3">
        <v>340.53</v>
      </c>
      <c r="J7916" s="3">
        <v>1.68</v>
      </c>
      <c r="L7916">
        <v>2359</v>
      </c>
      <c r="M7916" t="s">
        <v>11725</v>
      </c>
      <c r="N7916" t="s">
        <v>30</v>
      </c>
      <c r="O7916" t="s">
        <v>31</v>
      </c>
      <c r="P7916" t="str">
        <f>"15221"</f>
        <v>15221</v>
      </c>
    </row>
    <row r="7917" spans="1:16" x14ac:dyDescent="0.25">
      <c r="A7917" t="str">
        <f>"1130231L00054    00"</f>
        <v>1130231L00054    00</v>
      </c>
      <c r="B7917" t="s">
        <v>17392</v>
      </c>
      <c r="C7917" t="s">
        <v>17393</v>
      </c>
      <c r="D7917" t="s">
        <v>20</v>
      </c>
      <c r="E7917" t="s">
        <v>39</v>
      </c>
      <c r="F7917">
        <v>0</v>
      </c>
      <c r="G7917">
        <v>0</v>
      </c>
      <c r="H7917">
        <v>19</v>
      </c>
      <c r="I7917" s="3">
        <v>14090.27</v>
      </c>
      <c r="J7917" s="3">
        <v>14173.59</v>
      </c>
      <c r="L7917">
        <v>1240</v>
      </c>
      <c r="M7917" t="s">
        <v>17394</v>
      </c>
      <c r="N7917" t="s">
        <v>4768</v>
      </c>
      <c r="O7917" t="s">
        <v>31</v>
      </c>
      <c r="P7917" t="str">
        <f>"15137"</f>
        <v>15137</v>
      </c>
    </row>
    <row r="7918" spans="1:16" x14ac:dyDescent="0.25">
      <c r="A7918" t="str">
        <f>"1130231L00058    00"</f>
        <v>1130231L00058    00</v>
      </c>
      <c r="B7918" t="s">
        <v>17395</v>
      </c>
      <c r="C7918" t="s">
        <v>17396</v>
      </c>
      <c r="D7918" t="s">
        <v>20</v>
      </c>
      <c r="E7918" t="s">
        <v>39</v>
      </c>
      <c r="F7918">
        <v>0</v>
      </c>
      <c r="G7918">
        <v>0</v>
      </c>
      <c r="H7918">
        <v>18</v>
      </c>
      <c r="I7918" s="3">
        <v>4449.76</v>
      </c>
      <c r="J7918" s="3">
        <v>4623.33</v>
      </c>
      <c r="L7918">
        <v>2401</v>
      </c>
      <c r="M7918" t="s">
        <v>11725</v>
      </c>
      <c r="N7918" t="s">
        <v>30</v>
      </c>
      <c r="O7918" t="s">
        <v>31</v>
      </c>
      <c r="P7918" t="str">
        <f>"15221"</f>
        <v>15221</v>
      </c>
    </row>
    <row r="7919" spans="1:16" x14ac:dyDescent="0.25">
      <c r="A7919" t="str">
        <f>"1130231L00074    00"</f>
        <v>1130231L00074    00</v>
      </c>
      <c r="B7919" t="s">
        <v>17397</v>
      </c>
      <c r="C7919" t="s">
        <v>17398</v>
      </c>
      <c r="D7919" t="s">
        <v>20</v>
      </c>
      <c r="E7919" t="s">
        <v>39</v>
      </c>
      <c r="F7919">
        <v>0</v>
      </c>
      <c r="G7919">
        <v>0</v>
      </c>
      <c r="H7919">
        <v>5</v>
      </c>
      <c r="I7919" s="3">
        <v>3034.44</v>
      </c>
      <c r="J7919" s="3">
        <v>434.93</v>
      </c>
      <c r="L7919">
        <v>2417</v>
      </c>
      <c r="M7919" t="s">
        <v>11725</v>
      </c>
      <c r="N7919" t="s">
        <v>30</v>
      </c>
      <c r="O7919" t="s">
        <v>31</v>
      </c>
      <c r="P7919" t="str">
        <f>"15221"</f>
        <v>15221</v>
      </c>
    </row>
    <row r="7920" spans="1:16" x14ac:dyDescent="0.25">
      <c r="A7920" t="str">
        <f>"1130231L00088    00"</f>
        <v>1130231L00088    00</v>
      </c>
      <c r="B7920" t="s">
        <v>17399</v>
      </c>
      <c r="C7920" t="s">
        <v>17400</v>
      </c>
      <c r="D7920" t="s">
        <v>20</v>
      </c>
      <c r="E7920" t="s">
        <v>39</v>
      </c>
      <c r="F7920">
        <v>0</v>
      </c>
      <c r="G7920">
        <v>0</v>
      </c>
      <c r="H7920">
        <v>7</v>
      </c>
      <c r="I7920" s="3">
        <v>5781.22</v>
      </c>
      <c r="J7920" s="3">
        <v>1598.7</v>
      </c>
      <c r="K7920" t="s">
        <v>17401</v>
      </c>
      <c r="L7920">
        <v>2433</v>
      </c>
      <c r="M7920" t="s">
        <v>11725</v>
      </c>
      <c r="N7920" t="s">
        <v>30</v>
      </c>
      <c r="O7920" t="s">
        <v>31</v>
      </c>
      <c r="P7920" t="str">
        <f>"15221"</f>
        <v>15221</v>
      </c>
    </row>
    <row r="7921" spans="1:16" x14ac:dyDescent="0.25">
      <c r="A7921" t="str">
        <f>"1130231L00090    00"</f>
        <v>1130231L00090    00</v>
      </c>
      <c r="B7921" t="s">
        <v>17402</v>
      </c>
      <c r="C7921" t="s">
        <v>17403</v>
      </c>
      <c r="D7921" t="s">
        <v>20</v>
      </c>
      <c r="E7921" t="s">
        <v>39</v>
      </c>
      <c r="F7921">
        <v>0</v>
      </c>
      <c r="G7921">
        <v>0</v>
      </c>
      <c r="H7921">
        <v>11</v>
      </c>
      <c r="I7921" s="3">
        <v>8425.65</v>
      </c>
      <c r="J7921" s="3">
        <v>3961.31</v>
      </c>
      <c r="L7921">
        <v>401</v>
      </c>
      <c r="M7921" t="s">
        <v>17404</v>
      </c>
      <c r="N7921" t="s">
        <v>30</v>
      </c>
      <c r="O7921" t="s">
        <v>31</v>
      </c>
      <c r="P7921" t="str">
        <f>"15235"</f>
        <v>15235</v>
      </c>
    </row>
    <row r="7922" spans="1:16" x14ac:dyDescent="0.25">
      <c r="A7922" t="str">
        <f>"1130231L00092    00"</f>
        <v>1130231L00092    00</v>
      </c>
      <c r="B7922" t="s">
        <v>17405</v>
      </c>
      <c r="C7922" t="s">
        <v>17406</v>
      </c>
      <c r="D7922" t="s">
        <v>20</v>
      </c>
      <c r="E7922" t="s">
        <v>39</v>
      </c>
      <c r="F7922">
        <v>0</v>
      </c>
      <c r="G7922">
        <v>0</v>
      </c>
      <c r="H7922">
        <v>13</v>
      </c>
      <c r="I7922" s="3">
        <v>4431.01</v>
      </c>
      <c r="J7922" s="3">
        <v>3420.08</v>
      </c>
      <c r="L7922">
        <v>706</v>
      </c>
      <c r="M7922" t="s">
        <v>17407</v>
      </c>
      <c r="N7922" t="s">
        <v>17408</v>
      </c>
      <c r="O7922" t="s">
        <v>606</v>
      </c>
      <c r="P7922" t="str">
        <f>"30253"</f>
        <v>30253</v>
      </c>
    </row>
    <row r="7923" spans="1:16" x14ac:dyDescent="0.25">
      <c r="A7923" t="str">
        <f>"1130231L00096    00"</f>
        <v>1130231L00096    00</v>
      </c>
      <c r="B7923" t="s">
        <v>17409</v>
      </c>
      <c r="C7923" t="s">
        <v>17410</v>
      </c>
      <c r="E7923" t="s">
        <v>39</v>
      </c>
      <c r="F7923">
        <v>0</v>
      </c>
      <c r="G7923">
        <v>0</v>
      </c>
      <c r="H7923">
        <v>1</v>
      </c>
      <c r="I7923" s="3">
        <v>716.88</v>
      </c>
      <c r="J7923" s="3">
        <v>836.32</v>
      </c>
      <c r="L7923">
        <v>727</v>
      </c>
      <c r="M7923" t="s">
        <v>15656</v>
      </c>
      <c r="N7923" t="s">
        <v>30</v>
      </c>
      <c r="O7923" t="s">
        <v>31</v>
      </c>
      <c r="P7923" t="str">
        <f>"15221"</f>
        <v>15221</v>
      </c>
    </row>
    <row r="7924" spans="1:16" x14ac:dyDescent="0.25">
      <c r="A7924" t="str">
        <f>"1130231L00102    00"</f>
        <v>1130231L00102    00</v>
      </c>
      <c r="B7924" t="s">
        <v>17409</v>
      </c>
      <c r="C7924" t="s">
        <v>17411</v>
      </c>
      <c r="E7924" t="s">
        <v>39</v>
      </c>
      <c r="F7924">
        <v>0</v>
      </c>
      <c r="G7924">
        <v>0</v>
      </c>
      <c r="H7924">
        <v>3</v>
      </c>
      <c r="I7924" s="3">
        <v>626.01</v>
      </c>
      <c r="J7924" s="3">
        <v>83.2</v>
      </c>
      <c r="K7924" t="s">
        <v>17412</v>
      </c>
      <c r="L7924">
        <v>727</v>
      </c>
      <c r="M7924" t="s">
        <v>17413</v>
      </c>
      <c r="N7924" t="s">
        <v>30</v>
      </c>
      <c r="O7924" t="s">
        <v>31</v>
      </c>
      <c r="P7924" t="str">
        <f>"15221"</f>
        <v>15221</v>
      </c>
    </row>
    <row r="7925" spans="1:16" x14ac:dyDescent="0.25">
      <c r="A7925" t="str">
        <f>"1130231L00104    00"</f>
        <v>1130231L00104    00</v>
      </c>
      <c r="B7925" t="s">
        <v>17414</v>
      </c>
      <c r="C7925" t="s">
        <v>17415</v>
      </c>
      <c r="D7925" t="s">
        <v>20</v>
      </c>
      <c r="E7925" t="s">
        <v>39</v>
      </c>
      <c r="F7925">
        <v>0</v>
      </c>
      <c r="G7925">
        <v>0</v>
      </c>
      <c r="H7925">
        <v>3</v>
      </c>
      <c r="I7925" s="3">
        <v>965.54</v>
      </c>
      <c r="J7925" s="3">
        <v>3.75</v>
      </c>
      <c r="K7925" t="s">
        <v>17416</v>
      </c>
      <c r="L7925">
        <v>2509</v>
      </c>
      <c r="M7925" t="s">
        <v>11725</v>
      </c>
      <c r="N7925" t="s">
        <v>30</v>
      </c>
      <c r="O7925" t="s">
        <v>31</v>
      </c>
      <c r="P7925" t="str">
        <f>"15221"</f>
        <v>15221</v>
      </c>
    </row>
    <row r="7926" spans="1:16" x14ac:dyDescent="0.25">
      <c r="A7926" t="str">
        <f>"1130231L00114    00"</f>
        <v>1130231L00114    00</v>
      </c>
      <c r="B7926" t="s">
        <v>17417</v>
      </c>
      <c r="C7926" t="s">
        <v>17418</v>
      </c>
      <c r="D7926" t="s">
        <v>20</v>
      </c>
      <c r="E7926" t="s">
        <v>39</v>
      </c>
      <c r="F7926">
        <v>0</v>
      </c>
      <c r="G7926">
        <v>0</v>
      </c>
      <c r="H7926">
        <v>19</v>
      </c>
      <c r="I7926" s="3">
        <v>14112.74</v>
      </c>
      <c r="J7926" s="3">
        <v>10753.08</v>
      </c>
      <c r="L7926">
        <v>427</v>
      </c>
      <c r="M7926" t="s">
        <v>3295</v>
      </c>
      <c r="N7926" t="s">
        <v>30</v>
      </c>
      <c r="O7926" t="s">
        <v>31</v>
      </c>
      <c r="P7926" t="str">
        <f>"15210"</f>
        <v>15210</v>
      </c>
    </row>
    <row r="7927" spans="1:16" x14ac:dyDescent="0.25">
      <c r="A7927" t="str">
        <f>"1130231L00126    00"</f>
        <v>1130231L00126    00</v>
      </c>
      <c r="B7927" t="s">
        <v>17419</v>
      </c>
      <c r="C7927" t="s">
        <v>17393</v>
      </c>
      <c r="D7927" t="s">
        <v>20</v>
      </c>
      <c r="E7927" t="s">
        <v>39</v>
      </c>
      <c r="F7927">
        <v>0</v>
      </c>
      <c r="G7927">
        <v>0</v>
      </c>
      <c r="H7927">
        <v>6</v>
      </c>
      <c r="I7927" s="3">
        <v>190.16</v>
      </c>
      <c r="J7927" s="3">
        <v>234.02</v>
      </c>
      <c r="L7927">
        <v>5720</v>
      </c>
      <c r="M7927" t="s">
        <v>17420</v>
      </c>
      <c r="N7927" t="s">
        <v>17421</v>
      </c>
      <c r="O7927" t="s">
        <v>1184</v>
      </c>
      <c r="P7927" t="str">
        <f>"20782"</f>
        <v>20782</v>
      </c>
    </row>
    <row r="7928" spans="1:16" x14ac:dyDescent="0.25">
      <c r="A7928" t="str">
        <f>"1130231L00142    00"</f>
        <v>1130231L00142    00</v>
      </c>
      <c r="B7928" t="s">
        <v>17422</v>
      </c>
      <c r="C7928" t="s">
        <v>17423</v>
      </c>
      <c r="D7928" t="s">
        <v>20</v>
      </c>
      <c r="E7928" t="s">
        <v>39</v>
      </c>
      <c r="F7928">
        <v>0</v>
      </c>
      <c r="G7928">
        <v>0</v>
      </c>
      <c r="H7928">
        <v>3</v>
      </c>
      <c r="I7928" s="3">
        <v>2201.46</v>
      </c>
      <c r="J7928" s="3">
        <v>0</v>
      </c>
      <c r="K7928" t="s">
        <v>17424</v>
      </c>
      <c r="L7928">
        <v>1211</v>
      </c>
      <c r="M7928" t="s">
        <v>17425</v>
      </c>
      <c r="N7928" t="s">
        <v>30</v>
      </c>
      <c r="O7928" t="s">
        <v>31</v>
      </c>
      <c r="P7928" t="str">
        <f>"15233"</f>
        <v>15233</v>
      </c>
    </row>
    <row r="7929" spans="1:16" x14ac:dyDescent="0.25">
      <c r="A7929" t="str">
        <f>"1130231L00152    00"</f>
        <v>1130231L00152    00</v>
      </c>
      <c r="B7929" t="s">
        <v>17426</v>
      </c>
      <c r="C7929" t="s">
        <v>17427</v>
      </c>
      <c r="D7929" t="s">
        <v>20</v>
      </c>
      <c r="E7929" t="s">
        <v>39</v>
      </c>
      <c r="F7929">
        <v>0</v>
      </c>
      <c r="G7929">
        <v>0</v>
      </c>
      <c r="H7929">
        <v>4</v>
      </c>
      <c r="I7929" s="3">
        <v>1437.29</v>
      </c>
      <c r="J7929" s="3">
        <v>190.55</v>
      </c>
      <c r="L7929">
        <v>2100</v>
      </c>
      <c r="M7929" t="s">
        <v>17428</v>
      </c>
      <c r="N7929" t="s">
        <v>4768</v>
      </c>
      <c r="O7929" t="s">
        <v>31</v>
      </c>
      <c r="P7929" t="str">
        <f>"15137"</f>
        <v>15137</v>
      </c>
    </row>
    <row r="7930" spans="1:16" x14ac:dyDescent="0.25">
      <c r="A7930" t="str">
        <f>"1130231L00156    00"</f>
        <v>1130231L00156    00</v>
      </c>
      <c r="B7930" t="s">
        <v>17429</v>
      </c>
      <c r="C7930" t="s">
        <v>17430</v>
      </c>
      <c r="D7930" t="s">
        <v>20</v>
      </c>
      <c r="E7930" t="s">
        <v>39</v>
      </c>
      <c r="F7930">
        <v>0</v>
      </c>
      <c r="G7930">
        <v>0</v>
      </c>
      <c r="H7930">
        <v>19</v>
      </c>
      <c r="I7930" s="3">
        <v>11982.02</v>
      </c>
      <c r="J7930" s="3">
        <v>9748.6</v>
      </c>
      <c r="L7930">
        <v>2567</v>
      </c>
      <c r="M7930" t="s">
        <v>11725</v>
      </c>
      <c r="N7930" t="s">
        <v>30</v>
      </c>
      <c r="O7930" t="s">
        <v>31</v>
      </c>
      <c r="P7930" t="str">
        <f>"15221"</f>
        <v>15221</v>
      </c>
    </row>
    <row r="7931" spans="1:16" x14ac:dyDescent="0.25">
      <c r="A7931" t="str">
        <f>"1130231L00166    00"</f>
        <v>1130231L00166    00</v>
      </c>
      <c r="B7931" t="s">
        <v>17431</v>
      </c>
      <c r="C7931" t="s">
        <v>17432</v>
      </c>
      <c r="D7931" t="s">
        <v>20</v>
      </c>
      <c r="E7931" t="s">
        <v>39</v>
      </c>
      <c r="F7931">
        <v>0</v>
      </c>
      <c r="G7931">
        <v>0</v>
      </c>
      <c r="H7931">
        <v>2</v>
      </c>
      <c r="I7931" s="3">
        <v>906.26</v>
      </c>
      <c r="J7931" s="3">
        <v>0</v>
      </c>
      <c r="M7931" t="s">
        <v>17433</v>
      </c>
      <c r="N7931" t="s">
        <v>295</v>
      </c>
      <c r="O7931" t="s">
        <v>31</v>
      </c>
      <c r="P7931" t="str">
        <f>"15146"</f>
        <v>15146</v>
      </c>
    </row>
    <row r="7932" spans="1:16" x14ac:dyDescent="0.25">
      <c r="A7932" t="str">
        <f>"1130231L00170    00"</f>
        <v>1130231L00170    00</v>
      </c>
      <c r="B7932" t="s">
        <v>17434</v>
      </c>
      <c r="C7932" t="s">
        <v>17435</v>
      </c>
      <c r="D7932" t="s">
        <v>20</v>
      </c>
      <c r="E7932" t="s">
        <v>39</v>
      </c>
      <c r="F7932">
        <v>0</v>
      </c>
      <c r="G7932">
        <v>0</v>
      </c>
      <c r="H7932">
        <v>1</v>
      </c>
      <c r="I7932" s="3">
        <v>207.04</v>
      </c>
      <c r="J7932" s="3">
        <v>0</v>
      </c>
      <c r="K7932" t="s">
        <v>17436</v>
      </c>
      <c r="L7932">
        <v>2553</v>
      </c>
      <c r="M7932" t="s">
        <v>11725</v>
      </c>
      <c r="N7932" t="s">
        <v>30</v>
      </c>
      <c r="O7932" t="s">
        <v>31</v>
      </c>
      <c r="P7932" t="str">
        <f>"15221"</f>
        <v>15221</v>
      </c>
    </row>
    <row r="7933" spans="1:16" x14ac:dyDescent="0.25">
      <c r="A7933" t="str">
        <f>"1130231L00172    00"</f>
        <v>1130231L00172    00</v>
      </c>
      <c r="B7933" t="s">
        <v>17437</v>
      </c>
      <c r="C7933" t="s">
        <v>17438</v>
      </c>
      <c r="D7933" t="s">
        <v>20</v>
      </c>
      <c r="E7933" t="s">
        <v>39</v>
      </c>
      <c r="F7933">
        <v>0</v>
      </c>
      <c r="G7933">
        <v>0</v>
      </c>
      <c r="H7933">
        <v>4</v>
      </c>
      <c r="I7933" s="3">
        <v>2127.29</v>
      </c>
      <c r="J7933" s="3">
        <v>130.5</v>
      </c>
      <c r="L7933">
        <v>2552</v>
      </c>
      <c r="M7933" t="s">
        <v>11725</v>
      </c>
      <c r="N7933" t="s">
        <v>30</v>
      </c>
      <c r="O7933" t="s">
        <v>31</v>
      </c>
      <c r="P7933" t="str">
        <f>"15221"</f>
        <v>15221</v>
      </c>
    </row>
    <row r="7934" spans="1:16" x14ac:dyDescent="0.25">
      <c r="A7934" t="str">
        <f>"1130231L00176    00"</f>
        <v>1130231L00176    00</v>
      </c>
      <c r="B7934" t="s">
        <v>17439</v>
      </c>
      <c r="C7934" t="s">
        <v>17393</v>
      </c>
      <c r="D7934" t="s">
        <v>20</v>
      </c>
      <c r="E7934" t="s">
        <v>39</v>
      </c>
      <c r="F7934">
        <v>0</v>
      </c>
      <c r="G7934">
        <v>0</v>
      </c>
      <c r="H7934">
        <v>19</v>
      </c>
      <c r="I7934" s="3">
        <v>617.16999999999996</v>
      </c>
      <c r="J7934" s="3">
        <v>528.69000000000005</v>
      </c>
      <c r="L7934">
        <v>249</v>
      </c>
      <c r="M7934" t="s">
        <v>17440</v>
      </c>
      <c r="N7934" t="s">
        <v>295</v>
      </c>
      <c r="O7934" t="s">
        <v>31</v>
      </c>
      <c r="P7934" t="str">
        <f>"15146"</f>
        <v>15146</v>
      </c>
    </row>
    <row r="7935" spans="1:16" x14ac:dyDescent="0.25">
      <c r="A7935" t="str">
        <f>"1130231L00182    00"</f>
        <v>1130231L00182    00</v>
      </c>
      <c r="B7935" t="s">
        <v>17441</v>
      </c>
      <c r="C7935" t="s">
        <v>17442</v>
      </c>
      <c r="D7935" t="s">
        <v>20</v>
      </c>
      <c r="E7935" t="s">
        <v>39</v>
      </c>
      <c r="F7935">
        <v>0</v>
      </c>
      <c r="G7935">
        <v>0</v>
      </c>
      <c r="H7935">
        <v>1</v>
      </c>
      <c r="I7935" s="3">
        <v>27.17</v>
      </c>
      <c r="J7935" s="3">
        <v>0</v>
      </c>
      <c r="L7935">
        <v>2542</v>
      </c>
      <c r="M7935" t="s">
        <v>11725</v>
      </c>
      <c r="N7935" t="s">
        <v>30</v>
      </c>
      <c r="O7935" t="s">
        <v>31</v>
      </c>
      <c r="P7935" t="str">
        <f>"15221"</f>
        <v>15221</v>
      </c>
    </row>
    <row r="7936" spans="1:16" x14ac:dyDescent="0.25">
      <c r="A7936" t="str">
        <f>"1130231L00186    00"</f>
        <v>1130231L00186    00</v>
      </c>
      <c r="B7936" t="s">
        <v>17443</v>
      </c>
      <c r="C7936" t="s">
        <v>17444</v>
      </c>
      <c r="D7936" t="s">
        <v>20</v>
      </c>
      <c r="E7936" t="s">
        <v>39</v>
      </c>
      <c r="F7936">
        <v>0</v>
      </c>
      <c r="G7936">
        <v>0</v>
      </c>
      <c r="H7936">
        <v>5</v>
      </c>
      <c r="I7936" s="3">
        <v>1343.18</v>
      </c>
      <c r="J7936" s="3">
        <v>262.07</v>
      </c>
      <c r="L7936">
        <v>2538</v>
      </c>
      <c r="M7936" t="s">
        <v>11725</v>
      </c>
      <c r="N7936" t="s">
        <v>30</v>
      </c>
      <c r="O7936" t="s">
        <v>31</v>
      </c>
      <c r="P7936" t="str">
        <f>"15221"</f>
        <v>15221</v>
      </c>
    </row>
    <row r="7937" spans="1:16" x14ac:dyDescent="0.25">
      <c r="A7937" t="str">
        <f>"1130231L00190    00"</f>
        <v>1130231L00190    00</v>
      </c>
      <c r="B7937" t="s">
        <v>218</v>
      </c>
      <c r="C7937" t="s">
        <v>17445</v>
      </c>
      <c r="D7937" t="s">
        <v>20</v>
      </c>
      <c r="E7937" t="s">
        <v>39</v>
      </c>
      <c r="F7937">
        <v>0</v>
      </c>
      <c r="G7937">
        <v>0</v>
      </c>
      <c r="H7937">
        <v>1</v>
      </c>
      <c r="I7937" s="3">
        <v>787.19</v>
      </c>
      <c r="J7937" s="3">
        <v>0</v>
      </c>
      <c r="K7937" t="s">
        <v>220</v>
      </c>
      <c r="L7937">
        <v>412</v>
      </c>
      <c r="M7937" t="s">
        <v>221</v>
      </c>
      <c r="N7937" t="s">
        <v>30</v>
      </c>
      <c r="O7937" t="s">
        <v>31</v>
      </c>
      <c r="P7937" t="str">
        <f>"15219"</f>
        <v>15219</v>
      </c>
    </row>
    <row r="7938" spans="1:16" x14ac:dyDescent="0.25">
      <c r="A7938" t="str">
        <f>"1130231L00194    00"</f>
        <v>1130231L00194    00</v>
      </c>
      <c r="B7938" t="s">
        <v>17446</v>
      </c>
      <c r="C7938" t="s">
        <v>17447</v>
      </c>
      <c r="D7938" t="s">
        <v>20</v>
      </c>
      <c r="E7938" t="s">
        <v>39</v>
      </c>
      <c r="F7938">
        <v>0</v>
      </c>
      <c r="G7938">
        <v>0</v>
      </c>
      <c r="H7938">
        <v>19</v>
      </c>
      <c r="I7938" s="3">
        <v>6865.59</v>
      </c>
      <c r="J7938" s="3">
        <v>6463.28</v>
      </c>
      <c r="L7938">
        <v>2518</v>
      </c>
      <c r="M7938" t="s">
        <v>11725</v>
      </c>
      <c r="N7938" t="s">
        <v>30</v>
      </c>
      <c r="O7938" t="s">
        <v>31</v>
      </c>
      <c r="P7938" t="str">
        <f>"15221"</f>
        <v>15221</v>
      </c>
    </row>
    <row r="7939" spans="1:16" x14ac:dyDescent="0.25">
      <c r="A7939" t="str">
        <f>"1130231L00196    00"</f>
        <v>1130231L00196    00</v>
      </c>
      <c r="B7939" t="s">
        <v>17409</v>
      </c>
      <c r="C7939" t="s">
        <v>17448</v>
      </c>
      <c r="E7939" t="s">
        <v>39</v>
      </c>
      <c r="F7939">
        <v>0</v>
      </c>
      <c r="G7939">
        <v>0</v>
      </c>
      <c r="H7939">
        <v>2</v>
      </c>
      <c r="I7939" s="3">
        <v>1399.17</v>
      </c>
      <c r="J7939" s="3">
        <v>214.62</v>
      </c>
      <c r="L7939">
        <v>727</v>
      </c>
      <c r="M7939" t="s">
        <v>15656</v>
      </c>
      <c r="N7939" t="s">
        <v>30</v>
      </c>
      <c r="O7939" t="s">
        <v>31</v>
      </c>
      <c r="P7939" t="str">
        <f>"15221"</f>
        <v>15221</v>
      </c>
    </row>
    <row r="7940" spans="1:16" x14ac:dyDescent="0.25">
      <c r="A7940" t="str">
        <f>"1130231L00200    00"</f>
        <v>1130231L00200    00</v>
      </c>
      <c r="B7940" t="s">
        <v>17449</v>
      </c>
      <c r="C7940" t="s">
        <v>17450</v>
      </c>
      <c r="D7940" t="s">
        <v>20</v>
      </c>
      <c r="E7940" t="s">
        <v>39</v>
      </c>
      <c r="F7940">
        <v>0</v>
      </c>
      <c r="G7940">
        <v>0</v>
      </c>
      <c r="H7940">
        <v>10</v>
      </c>
      <c r="I7940" s="3">
        <v>5073.5200000000004</v>
      </c>
      <c r="J7940" s="3">
        <v>4910.03</v>
      </c>
      <c r="L7940">
        <v>2534</v>
      </c>
      <c r="M7940" t="s">
        <v>11725</v>
      </c>
      <c r="N7940" t="s">
        <v>30</v>
      </c>
      <c r="O7940" t="s">
        <v>31</v>
      </c>
      <c r="P7940" t="str">
        <f>"15221"</f>
        <v>15221</v>
      </c>
    </row>
    <row r="7941" spans="1:16" x14ac:dyDescent="0.25">
      <c r="A7941" t="str">
        <f>"1130231L00204    00"</f>
        <v>1130231L00204    00</v>
      </c>
      <c r="B7941" t="s">
        <v>17451</v>
      </c>
      <c r="C7941" t="s">
        <v>17452</v>
      </c>
      <c r="D7941" t="s">
        <v>20</v>
      </c>
      <c r="E7941" t="s">
        <v>39</v>
      </c>
      <c r="F7941">
        <v>0</v>
      </c>
      <c r="G7941">
        <v>0</v>
      </c>
      <c r="H7941">
        <v>19</v>
      </c>
      <c r="I7941" s="3">
        <v>14315.25</v>
      </c>
      <c r="J7941" s="3">
        <v>13345</v>
      </c>
      <c r="L7941">
        <v>2530</v>
      </c>
      <c r="M7941" t="s">
        <v>11725</v>
      </c>
      <c r="N7941" t="s">
        <v>30</v>
      </c>
      <c r="O7941" t="s">
        <v>31</v>
      </c>
      <c r="P7941" t="str">
        <f>"15221"</f>
        <v>15221</v>
      </c>
    </row>
    <row r="7942" spans="1:16" x14ac:dyDescent="0.25">
      <c r="A7942" t="str">
        <f>"1130231L00206    00"</f>
        <v>1130231L00206    00</v>
      </c>
      <c r="B7942" t="s">
        <v>17366</v>
      </c>
      <c r="C7942" t="s">
        <v>17453</v>
      </c>
      <c r="D7942" t="s">
        <v>20</v>
      </c>
      <c r="E7942" t="s">
        <v>39</v>
      </c>
      <c r="F7942">
        <v>0</v>
      </c>
      <c r="G7942">
        <v>0</v>
      </c>
      <c r="H7942">
        <v>3</v>
      </c>
      <c r="I7942" s="3">
        <v>2630.28</v>
      </c>
      <c r="J7942" s="3">
        <v>175.35</v>
      </c>
      <c r="K7942" t="s">
        <v>17368</v>
      </c>
      <c r="L7942">
        <v>819</v>
      </c>
      <c r="M7942" t="s">
        <v>17369</v>
      </c>
      <c r="N7942" t="s">
        <v>7608</v>
      </c>
      <c r="O7942" t="s">
        <v>31</v>
      </c>
      <c r="P7942" t="str">
        <f>"15068"</f>
        <v>15068</v>
      </c>
    </row>
    <row r="7943" spans="1:16" x14ac:dyDescent="0.25">
      <c r="A7943" t="str">
        <f>"1130231L00210    00"</f>
        <v>1130231L00210    00</v>
      </c>
      <c r="B7943" t="s">
        <v>17454</v>
      </c>
      <c r="C7943" t="s">
        <v>17455</v>
      </c>
      <c r="D7943" t="s">
        <v>20</v>
      </c>
      <c r="E7943" t="s">
        <v>39</v>
      </c>
      <c r="F7943">
        <v>0</v>
      </c>
      <c r="G7943">
        <v>0</v>
      </c>
      <c r="H7943">
        <v>6</v>
      </c>
      <c r="I7943" s="3">
        <v>1032.04</v>
      </c>
      <c r="J7943" s="3">
        <v>335.71</v>
      </c>
      <c r="L7943">
        <v>2524</v>
      </c>
      <c r="M7943" t="s">
        <v>11725</v>
      </c>
      <c r="N7943" t="s">
        <v>30</v>
      </c>
      <c r="O7943" t="s">
        <v>31</v>
      </c>
      <c r="P7943" t="str">
        <f>"15221"</f>
        <v>15221</v>
      </c>
    </row>
    <row r="7944" spans="1:16" x14ac:dyDescent="0.25">
      <c r="A7944" t="str">
        <f>"1130231L00212    00"</f>
        <v>1130231L00212    00</v>
      </c>
      <c r="B7944" t="s">
        <v>17409</v>
      </c>
      <c r="C7944" t="s">
        <v>17456</v>
      </c>
      <c r="E7944" t="s">
        <v>39</v>
      </c>
      <c r="F7944">
        <v>0</v>
      </c>
      <c r="G7944">
        <v>0</v>
      </c>
      <c r="H7944">
        <v>1</v>
      </c>
      <c r="I7944" s="3">
        <v>467.2</v>
      </c>
      <c r="J7944" s="3">
        <v>545.04999999999995</v>
      </c>
      <c r="L7944">
        <v>727</v>
      </c>
      <c r="M7944" t="s">
        <v>15656</v>
      </c>
      <c r="N7944" t="s">
        <v>30</v>
      </c>
      <c r="O7944" t="s">
        <v>31</v>
      </c>
      <c r="P7944" t="str">
        <f>"15221"</f>
        <v>15221</v>
      </c>
    </row>
    <row r="7945" spans="1:16" x14ac:dyDescent="0.25">
      <c r="A7945" t="str">
        <f>"1130231L00214    00"</f>
        <v>1130231L00214    00</v>
      </c>
      <c r="B7945" t="s">
        <v>17457</v>
      </c>
      <c r="C7945" t="s">
        <v>17458</v>
      </c>
      <c r="D7945" t="s">
        <v>20</v>
      </c>
      <c r="E7945" t="s">
        <v>39</v>
      </c>
      <c r="F7945">
        <v>0</v>
      </c>
      <c r="G7945">
        <v>0</v>
      </c>
      <c r="H7945">
        <v>6</v>
      </c>
      <c r="I7945" s="3">
        <v>4033.4</v>
      </c>
      <c r="J7945" s="3">
        <v>904.62</v>
      </c>
      <c r="L7945">
        <v>2502</v>
      </c>
      <c r="M7945" t="s">
        <v>11725</v>
      </c>
      <c r="N7945" t="s">
        <v>30</v>
      </c>
      <c r="O7945" t="s">
        <v>31</v>
      </c>
      <c r="P7945" t="str">
        <f>"15221"</f>
        <v>15221</v>
      </c>
    </row>
    <row r="7946" spans="1:16" x14ac:dyDescent="0.25">
      <c r="A7946" t="str">
        <f>"1130231L00222    00"</f>
        <v>1130231L00222    00</v>
      </c>
      <c r="B7946" t="s">
        <v>218</v>
      </c>
      <c r="C7946" t="s">
        <v>17459</v>
      </c>
      <c r="D7946" t="s">
        <v>20</v>
      </c>
      <c r="E7946" t="s">
        <v>39</v>
      </c>
      <c r="F7946">
        <v>0</v>
      </c>
      <c r="G7946">
        <v>0</v>
      </c>
      <c r="H7946">
        <v>1</v>
      </c>
      <c r="I7946" s="3">
        <v>804.33</v>
      </c>
      <c r="J7946" s="3">
        <v>0</v>
      </c>
      <c r="K7946" t="s">
        <v>220</v>
      </c>
      <c r="L7946">
        <v>412</v>
      </c>
      <c r="M7946" t="s">
        <v>221</v>
      </c>
      <c r="N7946" t="s">
        <v>30</v>
      </c>
      <c r="O7946" t="s">
        <v>31</v>
      </c>
      <c r="P7946" t="str">
        <f>"15219"</f>
        <v>15219</v>
      </c>
    </row>
    <row r="7947" spans="1:16" x14ac:dyDescent="0.25">
      <c r="A7947" t="str">
        <f>"1130231L00232    00"</f>
        <v>1130231L00232    00</v>
      </c>
      <c r="B7947" t="s">
        <v>17460</v>
      </c>
      <c r="C7947" t="s">
        <v>17461</v>
      </c>
      <c r="D7947" t="s">
        <v>20</v>
      </c>
      <c r="E7947" t="s">
        <v>39</v>
      </c>
      <c r="F7947">
        <v>0</v>
      </c>
      <c r="G7947">
        <v>0</v>
      </c>
      <c r="H7947">
        <v>7</v>
      </c>
      <c r="I7947" s="3">
        <v>1373.77</v>
      </c>
      <c r="J7947" s="3">
        <v>508.49</v>
      </c>
      <c r="L7947">
        <v>2442</v>
      </c>
      <c r="M7947" t="s">
        <v>11725</v>
      </c>
      <c r="N7947" t="s">
        <v>30</v>
      </c>
      <c r="O7947" t="s">
        <v>31</v>
      </c>
      <c r="P7947" t="str">
        <f>"15221"</f>
        <v>15221</v>
      </c>
    </row>
    <row r="7948" spans="1:16" x14ac:dyDescent="0.25">
      <c r="A7948" t="str">
        <f>"1130231L00234    00"</f>
        <v>1130231L00234    00</v>
      </c>
      <c r="B7948" t="s">
        <v>17462</v>
      </c>
      <c r="C7948" t="s">
        <v>17463</v>
      </c>
      <c r="D7948" t="s">
        <v>20</v>
      </c>
      <c r="E7948" t="s">
        <v>39</v>
      </c>
      <c r="F7948">
        <v>0</v>
      </c>
      <c r="G7948">
        <v>0</v>
      </c>
      <c r="H7948">
        <v>5</v>
      </c>
      <c r="I7948" s="3">
        <v>3678.14</v>
      </c>
      <c r="J7948" s="3">
        <v>787.53</v>
      </c>
      <c r="L7948">
        <v>2426</v>
      </c>
      <c r="M7948" t="s">
        <v>11725</v>
      </c>
      <c r="N7948" t="s">
        <v>30</v>
      </c>
      <c r="O7948" t="s">
        <v>31</v>
      </c>
      <c r="P7948" t="str">
        <f>"15221"</f>
        <v>15221</v>
      </c>
    </row>
    <row r="7949" spans="1:16" x14ac:dyDescent="0.25">
      <c r="A7949" t="str">
        <f>"1130231L00240    00"</f>
        <v>1130231L00240    00</v>
      </c>
      <c r="B7949" t="s">
        <v>17464</v>
      </c>
      <c r="C7949" t="s">
        <v>17465</v>
      </c>
      <c r="D7949" t="s">
        <v>20</v>
      </c>
      <c r="E7949" t="s">
        <v>39</v>
      </c>
      <c r="F7949">
        <v>0</v>
      </c>
      <c r="G7949">
        <v>0</v>
      </c>
      <c r="H7949">
        <v>15</v>
      </c>
      <c r="I7949" s="3">
        <v>10925.8</v>
      </c>
      <c r="J7949" s="3">
        <v>7461.95</v>
      </c>
      <c r="L7949">
        <v>2434</v>
      </c>
      <c r="M7949" t="s">
        <v>17466</v>
      </c>
      <c r="N7949" t="s">
        <v>30</v>
      </c>
      <c r="O7949" t="s">
        <v>31</v>
      </c>
      <c r="P7949" t="str">
        <f>"15221"</f>
        <v>15221</v>
      </c>
    </row>
    <row r="7950" spans="1:16" x14ac:dyDescent="0.25">
      <c r="A7950" t="str">
        <f>"1130231L00244    00"</f>
        <v>1130231L00244    00</v>
      </c>
      <c r="B7950" t="s">
        <v>17467</v>
      </c>
      <c r="C7950" t="s">
        <v>17468</v>
      </c>
      <c r="D7950" t="s">
        <v>20</v>
      </c>
      <c r="E7950" t="s">
        <v>39</v>
      </c>
      <c r="F7950">
        <v>0</v>
      </c>
      <c r="G7950">
        <v>0</v>
      </c>
      <c r="H7950">
        <v>6</v>
      </c>
      <c r="I7950" s="3">
        <v>4404.22</v>
      </c>
      <c r="J7950" s="3">
        <v>987.76</v>
      </c>
      <c r="M7950" t="s">
        <v>17469</v>
      </c>
      <c r="N7950" t="s">
        <v>636</v>
      </c>
      <c r="O7950" t="s">
        <v>31</v>
      </c>
      <c r="P7950" t="str">
        <f>"15104"</f>
        <v>15104</v>
      </c>
    </row>
    <row r="7951" spans="1:16" x14ac:dyDescent="0.25">
      <c r="A7951" t="str">
        <f>"1130231L00248    00"</f>
        <v>1130231L00248    00</v>
      </c>
      <c r="B7951" t="s">
        <v>17470</v>
      </c>
      <c r="C7951" t="s">
        <v>17471</v>
      </c>
      <c r="D7951" t="s">
        <v>20</v>
      </c>
      <c r="E7951" t="s">
        <v>39</v>
      </c>
      <c r="F7951">
        <v>0</v>
      </c>
      <c r="G7951">
        <v>0</v>
      </c>
      <c r="H7951">
        <v>7</v>
      </c>
      <c r="I7951" s="3">
        <v>1232.1199999999999</v>
      </c>
      <c r="J7951" s="3">
        <v>307.93</v>
      </c>
      <c r="L7951">
        <v>2408</v>
      </c>
      <c r="M7951" t="s">
        <v>11725</v>
      </c>
      <c r="N7951" t="s">
        <v>30</v>
      </c>
      <c r="O7951" t="s">
        <v>31</v>
      </c>
      <c r="P7951" t="str">
        <f t="shared" ref="P7951:P7956" si="93">"15221"</f>
        <v>15221</v>
      </c>
    </row>
    <row r="7952" spans="1:16" x14ac:dyDescent="0.25">
      <c r="A7952" t="str">
        <f>"1130231L00254    00"</f>
        <v>1130231L00254    00</v>
      </c>
      <c r="B7952" t="s">
        <v>17467</v>
      </c>
      <c r="C7952" t="s">
        <v>17472</v>
      </c>
      <c r="D7952" t="s">
        <v>20</v>
      </c>
      <c r="E7952" t="s">
        <v>39</v>
      </c>
      <c r="F7952">
        <v>0</v>
      </c>
      <c r="G7952">
        <v>0</v>
      </c>
      <c r="H7952">
        <v>17</v>
      </c>
      <c r="I7952" s="3">
        <v>10764.93</v>
      </c>
      <c r="J7952" s="3">
        <v>8421.82</v>
      </c>
      <c r="L7952">
        <v>2414</v>
      </c>
      <c r="M7952" t="s">
        <v>11725</v>
      </c>
      <c r="N7952" t="s">
        <v>30</v>
      </c>
      <c r="O7952" t="s">
        <v>31</v>
      </c>
      <c r="P7952" t="str">
        <f t="shared" si="93"/>
        <v>15221</v>
      </c>
    </row>
    <row r="7953" spans="1:16" x14ac:dyDescent="0.25">
      <c r="A7953" t="str">
        <f>"1130231L00256    00"</f>
        <v>1130231L00256    00</v>
      </c>
      <c r="B7953" t="s">
        <v>17409</v>
      </c>
      <c r="C7953" t="s">
        <v>17473</v>
      </c>
      <c r="E7953" t="s">
        <v>39</v>
      </c>
      <c r="F7953">
        <v>0</v>
      </c>
      <c r="G7953">
        <v>0</v>
      </c>
      <c r="H7953">
        <v>5</v>
      </c>
      <c r="I7953" s="3">
        <v>3091.71</v>
      </c>
      <c r="J7953" s="3">
        <v>724.3</v>
      </c>
      <c r="L7953">
        <v>727</v>
      </c>
      <c r="M7953" t="s">
        <v>17413</v>
      </c>
      <c r="N7953" t="s">
        <v>30</v>
      </c>
      <c r="O7953" t="s">
        <v>31</v>
      </c>
      <c r="P7953" t="str">
        <f t="shared" si="93"/>
        <v>15221</v>
      </c>
    </row>
    <row r="7954" spans="1:16" x14ac:dyDescent="0.25">
      <c r="A7954" t="str">
        <f>"1130231L00258    00"</f>
        <v>1130231L00258    00</v>
      </c>
      <c r="B7954" t="s">
        <v>17474</v>
      </c>
      <c r="C7954" t="s">
        <v>17475</v>
      </c>
      <c r="D7954" t="s">
        <v>20</v>
      </c>
      <c r="E7954" t="s">
        <v>39</v>
      </c>
      <c r="F7954">
        <v>0</v>
      </c>
      <c r="G7954">
        <v>0</v>
      </c>
      <c r="H7954">
        <v>6</v>
      </c>
      <c r="I7954" s="3">
        <v>4325.53</v>
      </c>
      <c r="J7954" s="3">
        <v>970.12</v>
      </c>
      <c r="L7954">
        <v>2418</v>
      </c>
      <c r="M7954" t="s">
        <v>11725</v>
      </c>
      <c r="N7954" t="s">
        <v>30</v>
      </c>
      <c r="O7954" t="s">
        <v>31</v>
      </c>
      <c r="P7954" t="str">
        <f t="shared" si="93"/>
        <v>15221</v>
      </c>
    </row>
    <row r="7955" spans="1:16" x14ac:dyDescent="0.25">
      <c r="A7955" t="str">
        <f>"1130231L00262    00"</f>
        <v>1130231L00262    00</v>
      </c>
      <c r="B7955" t="s">
        <v>17476</v>
      </c>
      <c r="C7955" t="s">
        <v>17477</v>
      </c>
      <c r="D7955" t="s">
        <v>20</v>
      </c>
      <c r="E7955" t="s">
        <v>39</v>
      </c>
      <c r="F7955">
        <v>0</v>
      </c>
      <c r="G7955">
        <v>0</v>
      </c>
      <c r="H7955">
        <v>5</v>
      </c>
      <c r="I7955" s="3">
        <v>4114.1099999999997</v>
      </c>
      <c r="J7955" s="3">
        <v>943.11</v>
      </c>
      <c r="L7955">
        <v>2426</v>
      </c>
      <c r="M7955" t="s">
        <v>11725</v>
      </c>
      <c r="N7955" t="s">
        <v>30</v>
      </c>
      <c r="O7955" t="s">
        <v>31</v>
      </c>
      <c r="P7955" t="str">
        <f t="shared" si="93"/>
        <v>15221</v>
      </c>
    </row>
    <row r="7956" spans="1:16" x14ac:dyDescent="0.25">
      <c r="A7956" t="str">
        <f>"1130231L00264    00"</f>
        <v>1130231L00264    00</v>
      </c>
      <c r="B7956" t="s">
        <v>17478</v>
      </c>
      <c r="C7956" t="s">
        <v>17479</v>
      </c>
      <c r="D7956" t="s">
        <v>20</v>
      </c>
      <c r="E7956" t="s">
        <v>39</v>
      </c>
      <c r="F7956">
        <v>0</v>
      </c>
      <c r="G7956">
        <v>0</v>
      </c>
      <c r="H7956">
        <v>1</v>
      </c>
      <c r="I7956" s="3">
        <v>247.15</v>
      </c>
      <c r="J7956" s="3">
        <v>0</v>
      </c>
      <c r="K7956" t="s">
        <v>17480</v>
      </c>
      <c r="L7956">
        <v>2424</v>
      </c>
      <c r="M7956" t="s">
        <v>11725</v>
      </c>
      <c r="N7956" t="s">
        <v>30</v>
      </c>
      <c r="O7956" t="s">
        <v>31</v>
      </c>
      <c r="P7956" t="str">
        <f t="shared" si="93"/>
        <v>15221</v>
      </c>
    </row>
    <row r="7957" spans="1:16" x14ac:dyDescent="0.25">
      <c r="A7957" t="str">
        <f>"1130231L00266    00"</f>
        <v>1130231L00266    00</v>
      </c>
      <c r="B7957" t="s">
        <v>17481</v>
      </c>
      <c r="C7957" t="s">
        <v>17482</v>
      </c>
      <c r="D7957" t="s">
        <v>20</v>
      </c>
      <c r="E7957" t="s">
        <v>39</v>
      </c>
      <c r="F7957">
        <v>0</v>
      </c>
      <c r="G7957">
        <v>0</v>
      </c>
      <c r="H7957">
        <v>15</v>
      </c>
      <c r="I7957" s="3">
        <v>10493.99</v>
      </c>
      <c r="J7957" s="3">
        <v>7714</v>
      </c>
      <c r="K7957" t="s">
        <v>17483</v>
      </c>
      <c r="M7957" t="s">
        <v>17484</v>
      </c>
      <c r="N7957" t="s">
        <v>636</v>
      </c>
      <c r="O7957" t="s">
        <v>31</v>
      </c>
      <c r="P7957" t="str">
        <f>"15104"</f>
        <v>15104</v>
      </c>
    </row>
    <row r="7958" spans="1:16" x14ac:dyDescent="0.25">
      <c r="A7958" t="str">
        <f>"1130231L00380    00"</f>
        <v>1130231L00380    00</v>
      </c>
      <c r="B7958" t="s">
        <v>17485</v>
      </c>
      <c r="C7958" t="s">
        <v>17486</v>
      </c>
      <c r="D7958" t="s">
        <v>20</v>
      </c>
      <c r="E7958" t="s">
        <v>39</v>
      </c>
      <c r="F7958">
        <v>0</v>
      </c>
      <c r="G7958">
        <v>0</v>
      </c>
      <c r="H7958">
        <v>19</v>
      </c>
      <c r="I7958" s="3">
        <v>17552.91</v>
      </c>
      <c r="J7958" s="3">
        <v>13006.98</v>
      </c>
      <c r="L7958">
        <v>2347</v>
      </c>
      <c r="M7958" t="s">
        <v>17487</v>
      </c>
      <c r="N7958" t="s">
        <v>30</v>
      </c>
      <c r="O7958" t="s">
        <v>31</v>
      </c>
      <c r="P7958" t="str">
        <f>"15221"</f>
        <v>15221</v>
      </c>
    </row>
    <row r="7959" spans="1:16" x14ac:dyDescent="0.25">
      <c r="A7959" t="str">
        <f>"1130231N00001    00"</f>
        <v>1130231N00001    00</v>
      </c>
      <c r="B7959" t="s">
        <v>17488</v>
      </c>
      <c r="C7959" t="s">
        <v>17489</v>
      </c>
      <c r="E7959" t="s">
        <v>39</v>
      </c>
      <c r="F7959">
        <v>0</v>
      </c>
      <c r="G7959">
        <v>0</v>
      </c>
      <c r="H7959">
        <v>8</v>
      </c>
      <c r="I7959" s="3">
        <v>1534.01</v>
      </c>
      <c r="J7959" s="3">
        <v>1190.07</v>
      </c>
      <c r="L7959">
        <v>8125</v>
      </c>
      <c r="M7959" t="s">
        <v>16275</v>
      </c>
      <c r="N7959" t="s">
        <v>30</v>
      </c>
      <c r="O7959" t="s">
        <v>31</v>
      </c>
      <c r="P7959" t="str">
        <f>"15221"</f>
        <v>15221</v>
      </c>
    </row>
    <row r="7960" spans="1:16" x14ac:dyDescent="0.25">
      <c r="A7960" t="str">
        <f>"1130231N00002    00"</f>
        <v>1130231N00002    00</v>
      </c>
      <c r="B7960" t="s">
        <v>17490</v>
      </c>
      <c r="C7960" t="s">
        <v>16274</v>
      </c>
      <c r="D7960" t="s">
        <v>20</v>
      </c>
      <c r="E7960" t="s">
        <v>39</v>
      </c>
      <c r="F7960">
        <v>0</v>
      </c>
      <c r="G7960">
        <v>0</v>
      </c>
      <c r="H7960">
        <v>19</v>
      </c>
      <c r="I7960" s="3">
        <v>2358.08</v>
      </c>
      <c r="J7960" s="3">
        <v>3008.92</v>
      </c>
      <c r="P7960" t="str">
        <f>""</f>
        <v/>
      </c>
    </row>
    <row r="7961" spans="1:16" x14ac:dyDescent="0.25">
      <c r="A7961" t="str">
        <f>"1130231N00003    00"</f>
        <v>1130231N00003    00</v>
      </c>
      <c r="B7961" t="s">
        <v>17491</v>
      </c>
      <c r="C7961" t="s">
        <v>17492</v>
      </c>
      <c r="E7961" t="s">
        <v>39</v>
      </c>
      <c r="F7961">
        <v>0</v>
      </c>
      <c r="G7961">
        <v>0</v>
      </c>
      <c r="H7961">
        <v>7</v>
      </c>
      <c r="I7961" s="3">
        <v>2497.0500000000002</v>
      </c>
      <c r="J7961" s="3">
        <v>3449.61</v>
      </c>
      <c r="L7961">
        <v>8129</v>
      </c>
      <c r="M7961" t="s">
        <v>16275</v>
      </c>
      <c r="N7961" t="s">
        <v>30</v>
      </c>
      <c r="O7961" t="s">
        <v>31</v>
      </c>
      <c r="P7961" t="str">
        <f>"15221"</f>
        <v>15221</v>
      </c>
    </row>
    <row r="7962" spans="1:16" x14ac:dyDescent="0.25">
      <c r="A7962" t="str">
        <f>"1130231N00004    00"</f>
        <v>1130231N00004    00</v>
      </c>
      <c r="B7962" t="s">
        <v>17493</v>
      </c>
      <c r="C7962" t="s">
        <v>17494</v>
      </c>
      <c r="D7962" t="s">
        <v>20</v>
      </c>
      <c r="E7962" t="s">
        <v>39</v>
      </c>
      <c r="F7962">
        <v>0</v>
      </c>
      <c r="G7962">
        <v>0</v>
      </c>
      <c r="H7962">
        <v>19</v>
      </c>
      <c r="I7962" s="3">
        <v>5720.07</v>
      </c>
      <c r="J7962" s="3">
        <v>5676.64</v>
      </c>
      <c r="L7962">
        <v>316</v>
      </c>
      <c r="M7962" t="s">
        <v>17495</v>
      </c>
      <c r="N7962" t="s">
        <v>17496</v>
      </c>
      <c r="O7962" t="s">
        <v>423</v>
      </c>
      <c r="P7962" t="str">
        <f>"08205"</f>
        <v>08205</v>
      </c>
    </row>
    <row r="7963" spans="1:16" x14ac:dyDescent="0.25">
      <c r="A7963" t="str">
        <f>"1130231N00009    00"</f>
        <v>1130231N00009    00</v>
      </c>
      <c r="B7963" t="s">
        <v>17497</v>
      </c>
      <c r="C7963" t="s">
        <v>17498</v>
      </c>
      <c r="D7963" t="s">
        <v>20</v>
      </c>
      <c r="E7963" t="s">
        <v>39</v>
      </c>
      <c r="F7963">
        <v>0</v>
      </c>
      <c r="G7963">
        <v>0</v>
      </c>
      <c r="H7963">
        <v>10</v>
      </c>
      <c r="I7963" s="3">
        <v>3304.12</v>
      </c>
      <c r="J7963" s="3">
        <v>1109.24</v>
      </c>
      <c r="L7963">
        <v>3816</v>
      </c>
      <c r="M7963" t="s">
        <v>16891</v>
      </c>
      <c r="N7963" t="s">
        <v>30</v>
      </c>
      <c r="O7963" t="s">
        <v>31</v>
      </c>
      <c r="P7963" t="str">
        <f>"15204"</f>
        <v>15204</v>
      </c>
    </row>
    <row r="7964" spans="1:16" x14ac:dyDescent="0.25">
      <c r="A7964" t="str">
        <f>"1130231N00010    00"</f>
        <v>1130231N00010    00</v>
      </c>
      <c r="B7964" t="s">
        <v>16237</v>
      </c>
      <c r="C7964" t="s">
        <v>17499</v>
      </c>
      <c r="D7964" t="s">
        <v>20</v>
      </c>
      <c r="E7964" t="s">
        <v>39</v>
      </c>
      <c r="F7964">
        <v>0</v>
      </c>
      <c r="G7964">
        <v>0</v>
      </c>
      <c r="H7964">
        <v>7</v>
      </c>
      <c r="I7964" s="3">
        <v>3079.77</v>
      </c>
      <c r="J7964" s="3">
        <v>851.65</v>
      </c>
      <c r="L7964">
        <v>650</v>
      </c>
      <c r="M7964" t="s">
        <v>4012</v>
      </c>
      <c r="N7964" t="s">
        <v>30</v>
      </c>
      <c r="O7964" t="s">
        <v>31</v>
      </c>
      <c r="P7964" t="str">
        <f>"15235"</f>
        <v>15235</v>
      </c>
    </row>
    <row r="7965" spans="1:16" x14ac:dyDescent="0.25">
      <c r="A7965" t="str">
        <f>"1130231N00011    00"</f>
        <v>1130231N00011    00</v>
      </c>
      <c r="B7965" t="s">
        <v>17500</v>
      </c>
      <c r="C7965" t="s">
        <v>17501</v>
      </c>
      <c r="D7965" t="s">
        <v>20</v>
      </c>
      <c r="E7965" t="s">
        <v>39</v>
      </c>
      <c r="F7965">
        <v>0</v>
      </c>
      <c r="G7965">
        <v>0</v>
      </c>
      <c r="H7965">
        <v>11</v>
      </c>
      <c r="I7965" s="3">
        <v>4465.54</v>
      </c>
      <c r="J7965" s="3">
        <v>2062.5300000000002</v>
      </c>
      <c r="K7965" t="s">
        <v>17502</v>
      </c>
      <c r="L7965">
        <v>8145</v>
      </c>
      <c r="M7965" t="s">
        <v>16275</v>
      </c>
      <c r="N7965" t="s">
        <v>30</v>
      </c>
      <c r="O7965" t="s">
        <v>31</v>
      </c>
      <c r="P7965" t="str">
        <f>"15221"</f>
        <v>15221</v>
      </c>
    </row>
    <row r="7966" spans="1:16" x14ac:dyDescent="0.25">
      <c r="A7966" t="str">
        <f>"1130231N00015    00"</f>
        <v>1130231N00015    00</v>
      </c>
      <c r="B7966" t="s">
        <v>17503</v>
      </c>
      <c r="C7966" t="s">
        <v>17504</v>
      </c>
      <c r="D7966" t="s">
        <v>20</v>
      </c>
      <c r="E7966" t="s">
        <v>39</v>
      </c>
      <c r="F7966">
        <v>0</v>
      </c>
      <c r="G7966">
        <v>0</v>
      </c>
      <c r="H7966">
        <v>3</v>
      </c>
      <c r="I7966" s="3">
        <v>129.54</v>
      </c>
      <c r="J7966" s="3">
        <v>8.64</v>
      </c>
      <c r="L7966">
        <v>8153</v>
      </c>
      <c r="M7966" t="s">
        <v>16275</v>
      </c>
      <c r="N7966" t="s">
        <v>30</v>
      </c>
      <c r="O7966" t="s">
        <v>31</v>
      </c>
      <c r="P7966" t="str">
        <f>"15221"</f>
        <v>15221</v>
      </c>
    </row>
    <row r="7967" spans="1:16" x14ac:dyDescent="0.25">
      <c r="A7967" t="str">
        <f>"1130231N00030    00"</f>
        <v>1130231N00030    00</v>
      </c>
      <c r="B7967" t="s">
        <v>17505</v>
      </c>
      <c r="C7967" t="s">
        <v>17506</v>
      </c>
      <c r="E7967" t="s">
        <v>39</v>
      </c>
      <c r="F7967">
        <v>0</v>
      </c>
      <c r="G7967">
        <v>0</v>
      </c>
      <c r="H7967">
        <v>1</v>
      </c>
      <c r="I7967" s="3">
        <v>121.58</v>
      </c>
      <c r="J7967" s="3">
        <v>0</v>
      </c>
      <c r="L7967">
        <v>8118</v>
      </c>
      <c r="M7967" t="s">
        <v>9086</v>
      </c>
      <c r="N7967" t="s">
        <v>30</v>
      </c>
      <c r="O7967" t="s">
        <v>31</v>
      </c>
      <c r="P7967" t="str">
        <f>"15221"</f>
        <v>15221</v>
      </c>
    </row>
    <row r="7968" spans="1:16" x14ac:dyDescent="0.25">
      <c r="A7968" t="str">
        <f>"1130231N00033    00"</f>
        <v>1130231N00033    00</v>
      </c>
      <c r="B7968" t="s">
        <v>17507</v>
      </c>
      <c r="C7968" t="s">
        <v>17508</v>
      </c>
      <c r="E7968" t="s">
        <v>39</v>
      </c>
      <c r="F7968">
        <v>0</v>
      </c>
      <c r="G7968">
        <v>0</v>
      </c>
      <c r="H7968">
        <v>1</v>
      </c>
      <c r="I7968" s="3">
        <v>123.53</v>
      </c>
      <c r="J7968" s="3">
        <v>0</v>
      </c>
      <c r="L7968">
        <v>8124</v>
      </c>
      <c r="M7968" t="s">
        <v>9086</v>
      </c>
      <c r="N7968" t="s">
        <v>30</v>
      </c>
      <c r="O7968" t="s">
        <v>31</v>
      </c>
      <c r="P7968" t="str">
        <f>"15221"</f>
        <v>15221</v>
      </c>
    </row>
    <row r="7969" spans="1:16" x14ac:dyDescent="0.25">
      <c r="A7969" t="str">
        <f>"1130231N00035    00"</f>
        <v>1130231N00035    00</v>
      </c>
      <c r="B7969" t="s">
        <v>17509</v>
      </c>
      <c r="C7969" t="s">
        <v>17510</v>
      </c>
      <c r="D7969" t="s">
        <v>20</v>
      </c>
      <c r="E7969" t="s">
        <v>39</v>
      </c>
      <c r="F7969">
        <v>0</v>
      </c>
      <c r="G7969">
        <v>0</v>
      </c>
      <c r="H7969">
        <v>16</v>
      </c>
      <c r="I7969" s="3">
        <v>7067.44</v>
      </c>
      <c r="J7969" s="3">
        <v>5019.49</v>
      </c>
      <c r="L7969">
        <v>7128</v>
      </c>
      <c r="M7969" t="s">
        <v>12395</v>
      </c>
      <c r="N7969" t="s">
        <v>30</v>
      </c>
      <c r="O7969" t="s">
        <v>31</v>
      </c>
      <c r="P7969" t="str">
        <f>"15208"</f>
        <v>15208</v>
      </c>
    </row>
    <row r="7970" spans="1:16" x14ac:dyDescent="0.25">
      <c r="A7970" t="str">
        <f>"1130231N00036    00"</f>
        <v>1130231N00036    00</v>
      </c>
      <c r="B7970" t="s">
        <v>14958</v>
      </c>
      <c r="C7970" t="s">
        <v>17511</v>
      </c>
      <c r="D7970" t="s">
        <v>20</v>
      </c>
      <c r="E7970" t="s">
        <v>39</v>
      </c>
      <c r="F7970">
        <v>0</v>
      </c>
      <c r="G7970">
        <v>0</v>
      </c>
      <c r="H7970">
        <v>16</v>
      </c>
      <c r="I7970" s="3">
        <v>5931.16</v>
      </c>
      <c r="J7970" s="3">
        <v>3893.71</v>
      </c>
      <c r="L7970">
        <v>7128</v>
      </c>
      <c r="M7970" t="s">
        <v>12395</v>
      </c>
      <c r="N7970" t="s">
        <v>30</v>
      </c>
      <c r="O7970" t="s">
        <v>31</v>
      </c>
      <c r="P7970" t="str">
        <f>"15208"</f>
        <v>15208</v>
      </c>
    </row>
    <row r="7971" spans="1:16" x14ac:dyDescent="0.25">
      <c r="A7971" t="str">
        <f>"1130231N00037    00"</f>
        <v>1130231N00037    00</v>
      </c>
      <c r="B7971" t="s">
        <v>17512</v>
      </c>
      <c r="C7971" t="s">
        <v>17513</v>
      </c>
      <c r="E7971" t="s">
        <v>39</v>
      </c>
      <c r="F7971">
        <v>0</v>
      </c>
      <c r="G7971">
        <v>0</v>
      </c>
      <c r="H7971">
        <v>12</v>
      </c>
      <c r="I7971" s="3">
        <v>289.87</v>
      </c>
      <c r="J7971" s="3">
        <v>233.1</v>
      </c>
      <c r="L7971">
        <v>8134</v>
      </c>
      <c r="M7971" t="s">
        <v>9086</v>
      </c>
      <c r="N7971" t="s">
        <v>30</v>
      </c>
      <c r="O7971" t="s">
        <v>31</v>
      </c>
      <c r="P7971" t="str">
        <f>"15221"</f>
        <v>15221</v>
      </c>
    </row>
    <row r="7972" spans="1:16" x14ac:dyDescent="0.25">
      <c r="A7972" t="str">
        <f>"1130231N00070    00"</f>
        <v>1130231N00070    00</v>
      </c>
      <c r="B7972" t="s">
        <v>17312</v>
      </c>
      <c r="C7972" t="s">
        <v>17514</v>
      </c>
      <c r="D7972" t="s">
        <v>20</v>
      </c>
      <c r="E7972" t="s">
        <v>39</v>
      </c>
      <c r="F7972">
        <v>0</v>
      </c>
      <c r="G7972">
        <v>0</v>
      </c>
      <c r="H7972">
        <v>19</v>
      </c>
      <c r="I7972" s="3">
        <v>323.37</v>
      </c>
      <c r="J7972" s="3">
        <v>267.67</v>
      </c>
      <c r="L7972">
        <v>8305</v>
      </c>
      <c r="M7972" t="s">
        <v>13958</v>
      </c>
      <c r="N7972" t="s">
        <v>30</v>
      </c>
      <c r="O7972" t="s">
        <v>31</v>
      </c>
      <c r="P7972" t="str">
        <f>"15221"</f>
        <v>15221</v>
      </c>
    </row>
    <row r="7973" spans="1:16" x14ac:dyDescent="0.25">
      <c r="A7973" t="str">
        <f>"1130231N00071    00"</f>
        <v>1130231N00071    00</v>
      </c>
      <c r="B7973" t="s">
        <v>17312</v>
      </c>
      <c r="C7973" t="s">
        <v>17134</v>
      </c>
      <c r="D7973" t="s">
        <v>20</v>
      </c>
      <c r="E7973" t="s">
        <v>39</v>
      </c>
      <c r="F7973">
        <v>0</v>
      </c>
      <c r="G7973">
        <v>0</v>
      </c>
      <c r="H7973">
        <v>19</v>
      </c>
      <c r="I7973" s="3">
        <v>323.37</v>
      </c>
      <c r="J7973" s="3">
        <v>267.67</v>
      </c>
      <c r="L7973">
        <v>8305</v>
      </c>
      <c r="M7973" t="s">
        <v>13958</v>
      </c>
      <c r="N7973" t="s">
        <v>30</v>
      </c>
      <c r="O7973" t="s">
        <v>31</v>
      </c>
      <c r="P7973" t="str">
        <f>"15221"</f>
        <v>15221</v>
      </c>
    </row>
    <row r="7974" spans="1:16" x14ac:dyDescent="0.25">
      <c r="A7974" t="str">
        <f>"1130231N00072    00"</f>
        <v>1130231N00072    00</v>
      </c>
      <c r="B7974" t="s">
        <v>17312</v>
      </c>
      <c r="C7974" t="s">
        <v>17515</v>
      </c>
      <c r="D7974" t="s">
        <v>20</v>
      </c>
      <c r="E7974" t="s">
        <v>39</v>
      </c>
      <c r="F7974">
        <v>0</v>
      </c>
      <c r="G7974">
        <v>0</v>
      </c>
      <c r="H7974">
        <v>19</v>
      </c>
      <c r="I7974" s="3">
        <v>10709.48</v>
      </c>
      <c r="J7974" s="3">
        <v>11182.73</v>
      </c>
      <c r="L7974">
        <v>8305</v>
      </c>
      <c r="M7974" t="s">
        <v>13958</v>
      </c>
      <c r="N7974" t="s">
        <v>30</v>
      </c>
      <c r="O7974" t="s">
        <v>31</v>
      </c>
      <c r="P7974" t="str">
        <f>"15221"</f>
        <v>15221</v>
      </c>
    </row>
    <row r="7975" spans="1:16" x14ac:dyDescent="0.25">
      <c r="A7975" t="str">
        <f>"1130231N00085    00"</f>
        <v>1130231N00085    00</v>
      </c>
      <c r="B7975" t="s">
        <v>17516</v>
      </c>
      <c r="C7975" t="s">
        <v>17517</v>
      </c>
      <c r="D7975" t="s">
        <v>20</v>
      </c>
      <c r="E7975" t="s">
        <v>39</v>
      </c>
      <c r="F7975">
        <v>0</v>
      </c>
      <c r="G7975">
        <v>0</v>
      </c>
      <c r="H7975">
        <v>16</v>
      </c>
      <c r="I7975" s="3">
        <v>10728.22</v>
      </c>
      <c r="J7975" s="3">
        <v>7884.89</v>
      </c>
      <c r="L7975">
        <v>8401</v>
      </c>
      <c r="M7975" t="s">
        <v>11939</v>
      </c>
      <c r="N7975" t="s">
        <v>30</v>
      </c>
      <c r="O7975" t="s">
        <v>31</v>
      </c>
      <c r="P7975" t="str">
        <f>"15235"</f>
        <v>15235</v>
      </c>
    </row>
    <row r="7976" spans="1:16" x14ac:dyDescent="0.25">
      <c r="A7976" t="str">
        <f>"1130231N00090    00"</f>
        <v>1130231N00090    00</v>
      </c>
      <c r="B7976" t="s">
        <v>17518</v>
      </c>
      <c r="C7976" t="s">
        <v>17519</v>
      </c>
      <c r="D7976" t="s">
        <v>20</v>
      </c>
      <c r="E7976" t="s">
        <v>39</v>
      </c>
      <c r="F7976">
        <v>0</v>
      </c>
      <c r="G7976">
        <v>0</v>
      </c>
      <c r="H7976">
        <v>14</v>
      </c>
      <c r="I7976" s="3">
        <v>3399.96</v>
      </c>
      <c r="J7976" s="3">
        <v>4230.8599999999997</v>
      </c>
      <c r="M7976" t="s">
        <v>17520</v>
      </c>
      <c r="N7976" t="s">
        <v>238</v>
      </c>
      <c r="O7976" t="s">
        <v>31</v>
      </c>
      <c r="P7976" t="str">
        <f>"15134"</f>
        <v>15134</v>
      </c>
    </row>
    <row r="7977" spans="1:16" x14ac:dyDescent="0.25">
      <c r="A7977" t="str">
        <f>"1130231N00092    00"</f>
        <v>1130231N00092    00</v>
      </c>
      <c r="B7977" t="s">
        <v>17521</v>
      </c>
      <c r="C7977" t="s">
        <v>17514</v>
      </c>
      <c r="D7977" t="s">
        <v>20</v>
      </c>
      <c r="E7977" t="s">
        <v>39</v>
      </c>
      <c r="F7977">
        <v>0</v>
      </c>
      <c r="G7977">
        <v>0</v>
      </c>
      <c r="H7977">
        <v>19</v>
      </c>
      <c r="I7977" s="3">
        <v>2061.91</v>
      </c>
      <c r="J7977" s="3">
        <v>2169.79</v>
      </c>
      <c r="K7977" t="s">
        <v>17522</v>
      </c>
      <c r="M7977" t="s">
        <v>17523</v>
      </c>
      <c r="N7977" t="s">
        <v>2187</v>
      </c>
      <c r="O7977" t="s">
        <v>31</v>
      </c>
      <c r="P7977" t="str">
        <f>"15134"</f>
        <v>15134</v>
      </c>
    </row>
    <row r="7978" spans="1:16" x14ac:dyDescent="0.25">
      <c r="A7978" t="str">
        <f>"1130231N00093    00"</f>
        <v>1130231N00093    00</v>
      </c>
      <c r="B7978" t="s">
        <v>17524</v>
      </c>
      <c r="C7978" t="s">
        <v>17514</v>
      </c>
      <c r="D7978" t="s">
        <v>20</v>
      </c>
      <c r="E7978" t="s">
        <v>39</v>
      </c>
      <c r="F7978">
        <v>0</v>
      </c>
      <c r="G7978">
        <v>0</v>
      </c>
      <c r="H7978">
        <v>17</v>
      </c>
      <c r="I7978" s="3">
        <v>239.59</v>
      </c>
      <c r="J7978" s="3">
        <v>263.13</v>
      </c>
      <c r="K7978" t="s">
        <v>1037</v>
      </c>
      <c r="L7978">
        <v>7914</v>
      </c>
      <c r="M7978" t="s">
        <v>17525</v>
      </c>
      <c r="N7978" t="s">
        <v>30</v>
      </c>
      <c r="O7978" t="s">
        <v>31</v>
      </c>
      <c r="P7978" t="str">
        <f>"15221"</f>
        <v>15221</v>
      </c>
    </row>
    <row r="7979" spans="1:16" x14ac:dyDescent="0.25">
      <c r="A7979" t="str">
        <f>"1130231N00094    00"</f>
        <v>1130231N00094    00</v>
      </c>
      <c r="B7979" t="s">
        <v>17526</v>
      </c>
      <c r="C7979" t="s">
        <v>17514</v>
      </c>
      <c r="D7979" t="s">
        <v>20</v>
      </c>
      <c r="E7979" t="s">
        <v>39</v>
      </c>
      <c r="F7979">
        <v>0</v>
      </c>
      <c r="G7979">
        <v>0</v>
      </c>
      <c r="H7979">
        <v>19</v>
      </c>
      <c r="I7979" s="3">
        <v>1806.85</v>
      </c>
      <c r="J7979" s="3">
        <v>1922.53</v>
      </c>
      <c r="P7979" t="str">
        <f>""</f>
        <v/>
      </c>
    </row>
    <row r="7980" spans="1:16" x14ac:dyDescent="0.25">
      <c r="A7980" t="str">
        <f>"1130231N00097    00"</f>
        <v>1130231N00097    00</v>
      </c>
      <c r="B7980" t="s">
        <v>17527</v>
      </c>
      <c r="C7980" t="s">
        <v>17514</v>
      </c>
      <c r="D7980" t="s">
        <v>20</v>
      </c>
      <c r="E7980" t="s">
        <v>39</v>
      </c>
      <c r="F7980">
        <v>0</v>
      </c>
      <c r="G7980">
        <v>0</v>
      </c>
      <c r="H7980">
        <v>19</v>
      </c>
      <c r="I7980" s="3">
        <v>2130.4499999999998</v>
      </c>
      <c r="J7980" s="3">
        <v>2228.4699999999998</v>
      </c>
      <c r="L7980">
        <v>121</v>
      </c>
      <c r="M7980" t="s">
        <v>6683</v>
      </c>
      <c r="N7980" t="s">
        <v>30</v>
      </c>
      <c r="O7980" t="s">
        <v>31</v>
      </c>
      <c r="P7980" t="str">
        <f>"15206"</f>
        <v>15206</v>
      </c>
    </row>
    <row r="7981" spans="1:16" x14ac:dyDescent="0.25">
      <c r="A7981" t="str">
        <f>"1130231N00100    00"</f>
        <v>1130231N00100    00</v>
      </c>
      <c r="B7981" t="s">
        <v>17528</v>
      </c>
      <c r="C7981" t="s">
        <v>17134</v>
      </c>
      <c r="E7981" t="s">
        <v>39</v>
      </c>
      <c r="F7981">
        <v>0</v>
      </c>
      <c r="G7981">
        <v>0</v>
      </c>
      <c r="H7981">
        <v>5</v>
      </c>
      <c r="I7981" s="3">
        <v>3529</v>
      </c>
      <c r="J7981" s="3">
        <v>5190.9799999999996</v>
      </c>
      <c r="L7981">
        <v>10089</v>
      </c>
      <c r="M7981" t="s">
        <v>3777</v>
      </c>
      <c r="N7981" t="s">
        <v>30</v>
      </c>
      <c r="O7981" t="s">
        <v>31</v>
      </c>
      <c r="P7981" t="str">
        <f>"15235"</f>
        <v>15235</v>
      </c>
    </row>
    <row r="7982" spans="1:16" x14ac:dyDescent="0.25">
      <c r="A7982" t="str">
        <f>"1130231N00105    00"</f>
        <v>1130231N00105    00</v>
      </c>
      <c r="B7982" t="s">
        <v>17529</v>
      </c>
      <c r="C7982" t="s">
        <v>17530</v>
      </c>
      <c r="D7982" t="s">
        <v>20</v>
      </c>
      <c r="E7982" t="s">
        <v>39</v>
      </c>
      <c r="F7982">
        <v>0</v>
      </c>
      <c r="G7982">
        <v>0</v>
      </c>
      <c r="H7982">
        <v>19</v>
      </c>
      <c r="I7982" s="3">
        <v>11306.63</v>
      </c>
      <c r="J7982" s="3">
        <v>13073.63</v>
      </c>
      <c r="L7982">
        <v>883</v>
      </c>
      <c r="M7982" t="s">
        <v>12352</v>
      </c>
      <c r="N7982" t="s">
        <v>30</v>
      </c>
      <c r="O7982" t="s">
        <v>31</v>
      </c>
      <c r="P7982" t="str">
        <f>"15208"</f>
        <v>15208</v>
      </c>
    </row>
    <row r="7983" spans="1:16" x14ac:dyDescent="0.25">
      <c r="A7983" t="str">
        <f>"1130231N00113    00"</f>
        <v>1130231N00113    00</v>
      </c>
      <c r="B7983" t="s">
        <v>17531</v>
      </c>
      <c r="C7983" t="s">
        <v>17532</v>
      </c>
      <c r="D7983" t="s">
        <v>20</v>
      </c>
      <c r="E7983" t="s">
        <v>39</v>
      </c>
      <c r="F7983">
        <v>0</v>
      </c>
      <c r="G7983">
        <v>0</v>
      </c>
      <c r="H7983">
        <v>2</v>
      </c>
      <c r="I7983" s="3">
        <v>1913.62</v>
      </c>
      <c r="J7983" s="3">
        <v>0</v>
      </c>
      <c r="L7983">
        <v>8330</v>
      </c>
      <c r="M7983" t="s">
        <v>5818</v>
      </c>
      <c r="N7983" t="s">
        <v>1046</v>
      </c>
      <c r="O7983" t="s">
        <v>31</v>
      </c>
      <c r="P7983" t="str">
        <f>"15147"</f>
        <v>15147</v>
      </c>
    </row>
    <row r="7984" spans="1:16" x14ac:dyDescent="0.25">
      <c r="A7984" t="str">
        <f>"1130231N00114    00"</f>
        <v>1130231N00114    00</v>
      </c>
      <c r="B7984" t="s">
        <v>17533</v>
      </c>
      <c r="C7984" t="s">
        <v>17534</v>
      </c>
      <c r="D7984" t="s">
        <v>20</v>
      </c>
      <c r="E7984" t="s">
        <v>39</v>
      </c>
      <c r="F7984">
        <v>0</v>
      </c>
      <c r="G7984">
        <v>0</v>
      </c>
      <c r="H7984">
        <v>4</v>
      </c>
      <c r="I7984" s="3">
        <v>1222.69</v>
      </c>
      <c r="J7984" s="3">
        <v>144.43</v>
      </c>
      <c r="L7984">
        <v>8208</v>
      </c>
      <c r="M7984" t="s">
        <v>4452</v>
      </c>
      <c r="N7984" t="s">
        <v>30</v>
      </c>
      <c r="O7984" t="s">
        <v>31</v>
      </c>
      <c r="P7984" t="str">
        <f>"15221"</f>
        <v>15221</v>
      </c>
    </row>
    <row r="7985" spans="1:16" x14ac:dyDescent="0.25">
      <c r="A7985" t="str">
        <f>"1130231N00129    00"</f>
        <v>1130231N00129    00</v>
      </c>
      <c r="B7985" t="s">
        <v>17535</v>
      </c>
      <c r="C7985" t="s">
        <v>17536</v>
      </c>
      <c r="D7985" t="s">
        <v>20</v>
      </c>
      <c r="E7985" t="s">
        <v>39</v>
      </c>
      <c r="F7985">
        <v>0</v>
      </c>
      <c r="G7985">
        <v>0</v>
      </c>
      <c r="H7985">
        <v>1</v>
      </c>
      <c r="I7985" s="3">
        <v>75.77</v>
      </c>
      <c r="J7985" s="3">
        <v>0</v>
      </c>
      <c r="L7985">
        <v>734</v>
      </c>
      <c r="M7985" t="s">
        <v>15912</v>
      </c>
      <c r="N7985" t="s">
        <v>30</v>
      </c>
      <c r="O7985" t="s">
        <v>31</v>
      </c>
      <c r="P7985" t="str">
        <f>"15221"</f>
        <v>15221</v>
      </c>
    </row>
    <row r="7986" spans="1:16" x14ac:dyDescent="0.25">
      <c r="A7986" t="str">
        <f>"1130231N00131    00"</f>
        <v>1130231N00131    00</v>
      </c>
      <c r="B7986" t="s">
        <v>17537</v>
      </c>
      <c r="C7986" t="s">
        <v>17538</v>
      </c>
      <c r="D7986" t="s">
        <v>20</v>
      </c>
      <c r="E7986" t="s">
        <v>39</v>
      </c>
      <c r="F7986">
        <v>0</v>
      </c>
      <c r="G7986">
        <v>0</v>
      </c>
      <c r="H7986">
        <v>17</v>
      </c>
      <c r="I7986" s="3">
        <v>3730.91</v>
      </c>
      <c r="J7986" s="3">
        <v>3818.8</v>
      </c>
      <c r="L7986">
        <v>730</v>
      </c>
      <c r="M7986" t="s">
        <v>15912</v>
      </c>
      <c r="N7986" t="s">
        <v>30</v>
      </c>
      <c r="O7986" t="s">
        <v>31</v>
      </c>
      <c r="P7986" t="str">
        <f>"15221"</f>
        <v>15221</v>
      </c>
    </row>
    <row r="7987" spans="1:16" x14ac:dyDescent="0.25">
      <c r="A7987" t="str">
        <f>"1130231N00133    00"</f>
        <v>1130231N00133    00</v>
      </c>
      <c r="B7987" t="s">
        <v>17539</v>
      </c>
      <c r="C7987" t="s">
        <v>17540</v>
      </c>
      <c r="D7987" t="s">
        <v>20</v>
      </c>
      <c r="E7987" t="s">
        <v>39</v>
      </c>
      <c r="F7987">
        <v>0</v>
      </c>
      <c r="G7987">
        <v>0</v>
      </c>
      <c r="H7987">
        <v>19</v>
      </c>
      <c r="I7987" s="3">
        <v>7185.07</v>
      </c>
      <c r="J7987" s="3">
        <v>8285.15</v>
      </c>
      <c r="M7987" t="s">
        <v>17541</v>
      </c>
      <c r="N7987" t="s">
        <v>30</v>
      </c>
      <c r="O7987" t="s">
        <v>31</v>
      </c>
      <c r="P7987" t="str">
        <f>"15221"</f>
        <v>15221</v>
      </c>
    </row>
    <row r="7988" spans="1:16" x14ac:dyDescent="0.25">
      <c r="A7988" t="str">
        <f>"1130231N00143    00"</f>
        <v>1130231N00143    00</v>
      </c>
      <c r="B7988" t="s">
        <v>17542</v>
      </c>
      <c r="C7988" t="s">
        <v>17543</v>
      </c>
      <c r="D7988" t="s">
        <v>20</v>
      </c>
      <c r="E7988" t="s">
        <v>39</v>
      </c>
      <c r="F7988">
        <v>0</v>
      </c>
      <c r="G7988">
        <v>0</v>
      </c>
      <c r="H7988">
        <v>7</v>
      </c>
      <c r="I7988" s="3">
        <v>83.62</v>
      </c>
      <c r="J7988" s="3">
        <v>60.13</v>
      </c>
      <c r="L7988">
        <v>320</v>
      </c>
      <c r="M7988" t="s">
        <v>16473</v>
      </c>
      <c r="N7988" t="s">
        <v>30</v>
      </c>
      <c r="O7988" t="s">
        <v>31</v>
      </c>
      <c r="P7988" t="str">
        <f>"15210"</f>
        <v>15210</v>
      </c>
    </row>
    <row r="7989" spans="1:16" x14ac:dyDescent="0.25">
      <c r="A7989" t="str">
        <f>"1130231N00144    00"</f>
        <v>1130231N00144    00</v>
      </c>
      <c r="B7989" t="s">
        <v>17544</v>
      </c>
      <c r="C7989" t="s">
        <v>17543</v>
      </c>
      <c r="D7989" t="s">
        <v>20</v>
      </c>
      <c r="E7989" t="s">
        <v>39</v>
      </c>
      <c r="F7989">
        <v>0</v>
      </c>
      <c r="G7989">
        <v>0</v>
      </c>
      <c r="H7989">
        <v>19</v>
      </c>
      <c r="I7989" s="3">
        <v>8691.17</v>
      </c>
      <c r="J7989" s="3">
        <v>10128.83</v>
      </c>
      <c r="K7989" t="s">
        <v>17545</v>
      </c>
      <c r="L7989">
        <v>8203</v>
      </c>
      <c r="M7989" t="s">
        <v>17546</v>
      </c>
      <c r="N7989" t="s">
        <v>30</v>
      </c>
      <c r="O7989" t="s">
        <v>31</v>
      </c>
      <c r="P7989" t="str">
        <f>"15221"</f>
        <v>15221</v>
      </c>
    </row>
    <row r="7990" spans="1:16" x14ac:dyDescent="0.25">
      <c r="A7990" t="str">
        <f>"1130231N00150    00"</f>
        <v>1130231N00150    00</v>
      </c>
      <c r="B7990" t="s">
        <v>17547</v>
      </c>
      <c r="C7990" t="s">
        <v>17548</v>
      </c>
      <c r="D7990" t="s">
        <v>20</v>
      </c>
      <c r="E7990" t="s">
        <v>39</v>
      </c>
      <c r="F7990">
        <v>0</v>
      </c>
      <c r="G7990">
        <v>0</v>
      </c>
      <c r="H7990">
        <v>3</v>
      </c>
      <c r="I7990" s="3">
        <v>670.47</v>
      </c>
      <c r="J7990" s="3">
        <v>45.99</v>
      </c>
      <c r="K7990" t="s">
        <v>8103</v>
      </c>
      <c r="L7990">
        <v>411</v>
      </c>
      <c r="M7990" t="s">
        <v>8104</v>
      </c>
      <c r="N7990" t="s">
        <v>30</v>
      </c>
      <c r="O7990" t="s">
        <v>31</v>
      </c>
      <c r="P7990" t="str">
        <f>"15219"</f>
        <v>15219</v>
      </c>
    </row>
    <row r="7991" spans="1:16" x14ac:dyDescent="0.25">
      <c r="A7991" t="str">
        <f>"1130231N00152    00"</f>
        <v>1130231N00152    00</v>
      </c>
      <c r="B7991" t="s">
        <v>17549</v>
      </c>
      <c r="C7991" t="s">
        <v>17550</v>
      </c>
      <c r="D7991" t="s">
        <v>20</v>
      </c>
      <c r="E7991" t="s">
        <v>39</v>
      </c>
      <c r="F7991">
        <v>0</v>
      </c>
      <c r="G7991">
        <v>0</v>
      </c>
      <c r="H7991">
        <v>3</v>
      </c>
      <c r="I7991" s="3">
        <v>440.31</v>
      </c>
      <c r="J7991" s="3">
        <v>29.36</v>
      </c>
      <c r="K7991" t="s">
        <v>17551</v>
      </c>
      <c r="M7991" t="s">
        <v>17552</v>
      </c>
      <c r="N7991" t="s">
        <v>30</v>
      </c>
      <c r="O7991" t="s">
        <v>31</v>
      </c>
      <c r="P7991" t="str">
        <f>"15221"</f>
        <v>15221</v>
      </c>
    </row>
    <row r="7992" spans="1:16" x14ac:dyDescent="0.25">
      <c r="A7992" t="str">
        <f>"1130231N00158    00"</f>
        <v>1130231N00158    00</v>
      </c>
      <c r="B7992" t="s">
        <v>17553</v>
      </c>
      <c r="C7992" t="s">
        <v>17554</v>
      </c>
      <c r="E7992" t="s">
        <v>39</v>
      </c>
      <c r="F7992">
        <v>0</v>
      </c>
      <c r="G7992">
        <v>0</v>
      </c>
      <c r="H7992">
        <v>1</v>
      </c>
      <c r="I7992" s="3">
        <v>77.39</v>
      </c>
      <c r="J7992" s="3">
        <v>14.82</v>
      </c>
      <c r="L7992">
        <v>634</v>
      </c>
      <c r="M7992" t="s">
        <v>17555</v>
      </c>
      <c r="N7992" t="s">
        <v>30</v>
      </c>
      <c r="O7992" t="s">
        <v>31</v>
      </c>
      <c r="P7992" t="str">
        <f>"15221"</f>
        <v>15221</v>
      </c>
    </row>
    <row r="7993" spans="1:16" x14ac:dyDescent="0.25">
      <c r="A7993" t="str">
        <f>"1130231N00161    00"</f>
        <v>1130231N00161    00</v>
      </c>
      <c r="B7993" t="s">
        <v>17556</v>
      </c>
      <c r="C7993" t="s">
        <v>17543</v>
      </c>
      <c r="E7993" t="s">
        <v>39</v>
      </c>
      <c r="F7993">
        <v>0</v>
      </c>
      <c r="G7993">
        <v>0</v>
      </c>
      <c r="H7993">
        <v>16</v>
      </c>
      <c r="I7993" s="3">
        <v>9167.3700000000008</v>
      </c>
      <c r="J7993" s="3">
        <v>12727.26</v>
      </c>
      <c r="L7993">
        <v>1340</v>
      </c>
      <c r="M7993" t="s">
        <v>16502</v>
      </c>
      <c r="N7993" t="s">
        <v>30</v>
      </c>
      <c r="O7993" t="s">
        <v>31</v>
      </c>
      <c r="P7993" t="str">
        <f>"15208"</f>
        <v>15208</v>
      </c>
    </row>
    <row r="7994" spans="1:16" x14ac:dyDescent="0.25">
      <c r="A7994" t="str">
        <f>"1130231N00162    00"</f>
        <v>1130231N00162    00</v>
      </c>
      <c r="B7994" t="s">
        <v>17557</v>
      </c>
      <c r="C7994" t="s">
        <v>17558</v>
      </c>
      <c r="D7994" t="s">
        <v>20</v>
      </c>
      <c r="E7994" t="s">
        <v>39</v>
      </c>
      <c r="F7994">
        <v>0</v>
      </c>
      <c r="G7994">
        <v>0</v>
      </c>
      <c r="H7994">
        <v>13</v>
      </c>
      <c r="I7994" s="3">
        <v>5058.8100000000004</v>
      </c>
      <c r="J7994" s="3">
        <v>6215.27</v>
      </c>
      <c r="L7994">
        <v>641</v>
      </c>
      <c r="M7994" t="s">
        <v>15912</v>
      </c>
      <c r="N7994" t="s">
        <v>30</v>
      </c>
      <c r="O7994" t="s">
        <v>31</v>
      </c>
      <c r="P7994" t="str">
        <f>"15221"</f>
        <v>15221</v>
      </c>
    </row>
    <row r="7995" spans="1:16" x14ac:dyDescent="0.25">
      <c r="A7995" t="str">
        <f>"1130231N00163    00"</f>
        <v>1130231N00163    00</v>
      </c>
      <c r="B7995" t="s">
        <v>17559</v>
      </c>
      <c r="C7995" t="s">
        <v>17560</v>
      </c>
      <c r="D7995" t="s">
        <v>20</v>
      </c>
      <c r="E7995" t="s">
        <v>39</v>
      </c>
      <c r="F7995">
        <v>0</v>
      </c>
      <c r="G7995">
        <v>0</v>
      </c>
      <c r="H7995">
        <v>17</v>
      </c>
      <c r="I7995" s="3">
        <v>8476.09</v>
      </c>
      <c r="J7995" s="3">
        <v>8034.38</v>
      </c>
      <c r="L7995">
        <v>703</v>
      </c>
      <c r="M7995" t="s">
        <v>15912</v>
      </c>
      <c r="N7995" t="s">
        <v>30</v>
      </c>
      <c r="O7995" t="s">
        <v>31</v>
      </c>
      <c r="P7995" t="str">
        <f>"15221"</f>
        <v>15221</v>
      </c>
    </row>
    <row r="7996" spans="1:16" x14ac:dyDescent="0.25">
      <c r="A7996" t="str">
        <f>"1130231N00172    00"</f>
        <v>1130231N00172    00</v>
      </c>
      <c r="B7996" t="s">
        <v>17561</v>
      </c>
      <c r="C7996" t="s">
        <v>17562</v>
      </c>
      <c r="D7996" t="s">
        <v>20</v>
      </c>
      <c r="E7996" t="s">
        <v>39</v>
      </c>
      <c r="F7996">
        <v>0</v>
      </c>
      <c r="G7996">
        <v>0</v>
      </c>
      <c r="H7996">
        <v>4</v>
      </c>
      <c r="I7996" s="3">
        <v>1381.22</v>
      </c>
      <c r="J7996" s="3">
        <v>115.54</v>
      </c>
      <c r="L7996">
        <v>646</v>
      </c>
      <c r="M7996" t="s">
        <v>17555</v>
      </c>
      <c r="N7996" t="s">
        <v>30</v>
      </c>
      <c r="O7996" t="s">
        <v>31</v>
      </c>
      <c r="P7996" t="str">
        <f>"15221"</f>
        <v>15221</v>
      </c>
    </row>
    <row r="7997" spans="1:16" x14ac:dyDescent="0.25">
      <c r="A7997" t="str">
        <f>"1130231N00173    00"</f>
        <v>1130231N00173    00</v>
      </c>
      <c r="B7997" t="s">
        <v>17563</v>
      </c>
      <c r="C7997" t="s">
        <v>17564</v>
      </c>
      <c r="D7997" t="s">
        <v>20</v>
      </c>
      <c r="E7997" t="s">
        <v>39</v>
      </c>
      <c r="F7997">
        <v>0</v>
      </c>
      <c r="G7997">
        <v>0</v>
      </c>
      <c r="H7997">
        <v>3</v>
      </c>
      <c r="I7997" s="3">
        <v>609.58000000000004</v>
      </c>
      <c r="J7997" s="3">
        <v>41.82</v>
      </c>
      <c r="K7997" t="s">
        <v>8103</v>
      </c>
      <c r="L7997">
        <v>411</v>
      </c>
      <c r="M7997" t="s">
        <v>8104</v>
      </c>
      <c r="N7997" t="s">
        <v>30</v>
      </c>
      <c r="O7997" t="s">
        <v>31</v>
      </c>
      <c r="P7997" t="str">
        <f>"15219"</f>
        <v>15219</v>
      </c>
    </row>
    <row r="7998" spans="1:16" x14ac:dyDescent="0.25">
      <c r="A7998" t="str">
        <f>"1130231N00175    00"</f>
        <v>1130231N00175    00</v>
      </c>
      <c r="B7998" t="s">
        <v>17565</v>
      </c>
      <c r="C7998" t="s">
        <v>17566</v>
      </c>
      <c r="D7998" t="s">
        <v>20</v>
      </c>
      <c r="E7998" t="s">
        <v>39</v>
      </c>
      <c r="F7998">
        <v>0</v>
      </c>
      <c r="G7998">
        <v>0</v>
      </c>
      <c r="H7998">
        <v>17</v>
      </c>
      <c r="I7998" s="3">
        <v>239.59</v>
      </c>
      <c r="J7998" s="3">
        <v>263.13</v>
      </c>
      <c r="K7998" t="s">
        <v>1037</v>
      </c>
      <c r="L7998">
        <v>7620</v>
      </c>
      <c r="M7998" t="s">
        <v>13633</v>
      </c>
      <c r="N7998" t="s">
        <v>30</v>
      </c>
      <c r="O7998" t="s">
        <v>31</v>
      </c>
      <c r="P7998" t="str">
        <f>"15208"</f>
        <v>15208</v>
      </c>
    </row>
    <row r="7999" spans="1:16" x14ac:dyDescent="0.25">
      <c r="A7999" t="str">
        <f>"1130231N00182    00"</f>
        <v>1130231N00182    00</v>
      </c>
      <c r="B7999" t="s">
        <v>15387</v>
      </c>
      <c r="C7999" t="s">
        <v>17567</v>
      </c>
      <c r="D7999" t="s">
        <v>20</v>
      </c>
      <c r="E7999" t="s">
        <v>39</v>
      </c>
      <c r="F7999">
        <v>0</v>
      </c>
      <c r="G7999">
        <v>0</v>
      </c>
      <c r="H7999">
        <v>19</v>
      </c>
      <c r="I7999" s="3">
        <v>6555.9</v>
      </c>
      <c r="J7999" s="3">
        <v>7508.31</v>
      </c>
      <c r="M7999" t="s">
        <v>16111</v>
      </c>
      <c r="N7999" t="s">
        <v>30</v>
      </c>
      <c r="O7999" t="s">
        <v>31</v>
      </c>
      <c r="P7999" t="str">
        <f>"15235"</f>
        <v>15235</v>
      </c>
    </row>
    <row r="8000" spans="1:16" x14ac:dyDescent="0.25">
      <c r="A8000" t="str">
        <f>"1130231N00185    00"</f>
        <v>1130231N00185    00</v>
      </c>
      <c r="B8000" t="s">
        <v>17568</v>
      </c>
      <c r="C8000" t="s">
        <v>17569</v>
      </c>
      <c r="D8000" t="s">
        <v>20</v>
      </c>
      <c r="E8000" t="s">
        <v>39</v>
      </c>
      <c r="F8000">
        <v>0</v>
      </c>
      <c r="G8000">
        <v>0</v>
      </c>
      <c r="H8000">
        <v>10</v>
      </c>
      <c r="I8000" s="3">
        <v>2237.9899999999998</v>
      </c>
      <c r="J8000" s="3">
        <v>958.28</v>
      </c>
      <c r="L8000">
        <v>635</v>
      </c>
      <c r="M8000" t="s">
        <v>17555</v>
      </c>
      <c r="N8000" t="s">
        <v>30</v>
      </c>
      <c r="O8000" t="s">
        <v>31</v>
      </c>
      <c r="P8000" t="str">
        <f>"15221"</f>
        <v>15221</v>
      </c>
    </row>
    <row r="8001" spans="1:16" x14ac:dyDescent="0.25">
      <c r="A8001" t="str">
        <f>"1130231N00195    00"</f>
        <v>1130231N00195    00</v>
      </c>
      <c r="B8001" t="s">
        <v>17570</v>
      </c>
      <c r="C8001" t="s">
        <v>17571</v>
      </c>
      <c r="D8001" t="s">
        <v>20</v>
      </c>
      <c r="E8001" t="s">
        <v>39</v>
      </c>
      <c r="F8001">
        <v>0</v>
      </c>
      <c r="G8001">
        <v>0</v>
      </c>
      <c r="H8001">
        <v>8</v>
      </c>
      <c r="I8001" s="3">
        <v>1307.4100000000001</v>
      </c>
      <c r="J8001" s="3">
        <v>472.6</v>
      </c>
      <c r="K8001" t="s">
        <v>17572</v>
      </c>
      <c r="L8001">
        <v>7300</v>
      </c>
      <c r="M8001" t="s">
        <v>12201</v>
      </c>
      <c r="N8001" t="s">
        <v>30</v>
      </c>
      <c r="O8001" t="s">
        <v>31</v>
      </c>
      <c r="P8001" t="str">
        <f>"15208"</f>
        <v>15208</v>
      </c>
    </row>
    <row r="8002" spans="1:16" x14ac:dyDescent="0.25">
      <c r="A8002" t="str">
        <f>"1130231N00199    00"</f>
        <v>1130231N00199    00</v>
      </c>
      <c r="B8002" t="s">
        <v>17573</v>
      </c>
      <c r="C8002" t="s">
        <v>17574</v>
      </c>
      <c r="D8002" t="s">
        <v>20</v>
      </c>
      <c r="E8002" t="s">
        <v>39</v>
      </c>
      <c r="F8002">
        <v>0</v>
      </c>
      <c r="G8002">
        <v>0</v>
      </c>
      <c r="H8002">
        <v>2</v>
      </c>
      <c r="I8002" s="3">
        <v>1334.24</v>
      </c>
      <c r="J8002" s="3">
        <v>0</v>
      </c>
      <c r="L8002">
        <v>667</v>
      </c>
      <c r="M8002" t="s">
        <v>17555</v>
      </c>
      <c r="N8002" t="s">
        <v>30</v>
      </c>
      <c r="O8002" t="s">
        <v>31</v>
      </c>
      <c r="P8002" t="str">
        <f>"15221"</f>
        <v>15221</v>
      </c>
    </row>
    <row r="8003" spans="1:16" x14ac:dyDescent="0.25">
      <c r="A8003" t="str">
        <f>"1130231N00202    00"</f>
        <v>1130231N00202    00</v>
      </c>
      <c r="B8003" t="s">
        <v>17575</v>
      </c>
      <c r="C8003" t="s">
        <v>17576</v>
      </c>
      <c r="D8003" t="s">
        <v>20</v>
      </c>
      <c r="E8003" t="s">
        <v>21</v>
      </c>
      <c r="F8003">
        <v>0</v>
      </c>
      <c r="G8003">
        <v>0</v>
      </c>
      <c r="H8003">
        <v>2</v>
      </c>
      <c r="I8003" s="3">
        <v>278.3</v>
      </c>
      <c r="J8003" s="3">
        <v>0</v>
      </c>
      <c r="K8003" t="s">
        <v>17577</v>
      </c>
      <c r="L8003">
        <v>558</v>
      </c>
      <c r="M8003" t="s">
        <v>11362</v>
      </c>
      <c r="N8003" t="s">
        <v>1046</v>
      </c>
      <c r="O8003" t="s">
        <v>31</v>
      </c>
      <c r="P8003" t="str">
        <f>"15147"</f>
        <v>15147</v>
      </c>
    </row>
    <row r="8004" spans="1:16" x14ac:dyDescent="0.25">
      <c r="A8004" t="str">
        <f>"1130231N00226    00"</f>
        <v>1130231N00226    00</v>
      </c>
      <c r="B8004" t="s">
        <v>17578</v>
      </c>
      <c r="C8004" t="s">
        <v>15538</v>
      </c>
      <c r="D8004" t="s">
        <v>20</v>
      </c>
      <c r="E8004" t="s">
        <v>207</v>
      </c>
      <c r="F8004">
        <v>0</v>
      </c>
      <c r="G8004">
        <v>0</v>
      </c>
      <c r="H8004">
        <v>7</v>
      </c>
      <c r="I8004" s="3">
        <v>3393</v>
      </c>
      <c r="J8004" s="3">
        <v>938.28</v>
      </c>
      <c r="L8004">
        <v>8054</v>
      </c>
      <c r="M8004" t="s">
        <v>4452</v>
      </c>
      <c r="N8004" t="s">
        <v>30</v>
      </c>
      <c r="O8004" t="s">
        <v>31</v>
      </c>
      <c r="P8004" t="str">
        <f>"15221"</f>
        <v>15221</v>
      </c>
    </row>
    <row r="8005" spans="1:16" x14ac:dyDescent="0.25">
      <c r="A8005" t="str">
        <f>"1130231N00229    00"</f>
        <v>1130231N00229    00</v>
      </c>
      <c r="B8005" t="s">
        <v>17579</v>
      </c>
      <c r="C8005" t="s">
        <v>17580</v>
      </c>
      <c r="D8005" t="s">
        <v>20</v>
      </c>
      <c r="E8005" t="s">
        <v>21</v>
      </c>
      <c r="F8005">
        <v>0</v>
      </c>
      <c r="G8005">
        <v>0</v>
      </c>
      <c r="H8005">
        <v>16</v>
      </c>
      <c r="I8005" s="3">
        <v>15944.43</v>
      </c>
      <c r="J8005" s="3">
        <v>12068.9</v>
      </c>
      <c r="L8005">
        <v>113</v>
      </c>
      <c r="M8005" t="s">
        <v>17581</v>
      </c>
      <c r="N8005" t="s">
        <v>30</v>
      </c>
      <c r="O8005" t="s">
        <v>31</v>
      </c>
      <c r="P8005" t="str">
        <f>"15235"</f>
        <v>15235</v>
      </c>
    </row>
    <row r="8006" spans="1:16" x14ac:dyDescent="0.25">
      <c r="A8006" t="str">
        <f>"1130231N00235    00"</f>
        <v>1130231N00235    00</v>
      </c>
      <c r="B8006" t="s">
        <v>17582</v>
      </c>
      <c r="C8006" t="s">
        <v>17583</v>
      </c>
      <c r="D8006" t="s">
        <v>20</v>
      </c>
      <c r="E8006" t="s">
        <v>290</v>
      </c>
      <c r="F8006">
        <v>0</v>
      </c>
      <c r="G8006">
        <v>0</v>
      </c>
      <c r="H8006">
        <v>6</v>
      </c>
      <c r="I8006" s="3">
        <v>43007.65</v>
      </c>
      <c r="J8006" s="3">
        <v>9645.7199999999993</v>
      </c>
      <c r="K8006" t="s">
        <v>17584</v>
      </c>
      <c r="L8006">
        <v>3900</v>
      </c>
      <c r="M8006" t="s">
        <v>16295</v>
      </c>
      <c r="N8006" t="s">
        <v>79</v>
      </c>
      <c r="O8006" t="s">
        <v>31</v>
      </c>
      <c r="P8006" t="str">
        <f>"15668"</f>
        <v>15668</v>
      </c>
    </row>
    <row r="8007" spans="1:16" x14ac:dyDescent="0.25">
      <c r="A8007" t="str">
        <f>"1130231N00240    00"</f>
        <v>1130231N00240    00</v>
      </c>
      <c r="B8007" t="s">
        <v>17578</v>
      </c>
      <c r="C8007" t="s">
        <v>16303</v>
      </c>
      <c r="D8007" t="s">
        <v>20</v>
      </c>
      <c r="E8007" t="s">
        <v>207</v>
      </c>
      <c r="F8007">
        <v>0</v>
      </c>
      <c r="G8007">
        <v>0</v>
      </c>
      <c r="H8007">
        <v>7</v>
      </c>
      <c r="I8007" s="3">
        <v>390</v>
      </c>
      <c r="J8007" s="3">
        <v>109.21</v>
      </c>
      <c r="L8007">
        <v>8054</v>
      </c>
      <c r="M8007" t="s">
        <v>4452</v>
      </c>
      <c r="N8007" t="s">
        <v>30</v>
      </c>
      <c r="O8007" t="s">
        <v>31</v>
      </c>
      <c r="P8007" t="str">
        <f>"15221"</f>
        <v>15221</v>
      </c>
    </row>
    <row r="8008" spans="1:16" x14ac:dyDescent="0.25">
      <c r="A8008" t="str">
        <f>"1130231N00270    00"</f>
        <v>1130231N00270    00</v>
      </c>
      <c r="B8008" t="s">
        <v>17585</v>
      </c>
      <c r="C8008" t="s">
        <v>17586</v>
      </c>
      <c r="D8008" t="s">
        <v>20</v>
      </c>
      <c r="E8008" t="s">
        <v>39</v>
      </c>
      <c r="F8008">
        <v>0</v>
      </c>
      <c r="G8008">
        <v>0</v>
      </c>
      <c r="H8008">
        <v>17</v>
      </c>
      <c r="I8008" s="3">
        <v>237.46</v>
      </c>
      <c r="J8008" s="3">
        <v>177.19</v>
      </c>
      <c r="L8008">
        <v>301</v>
      </c>
      <c r="M8008" t="s">
        <v>17581</v>
      </c>
      <c r="N8008" t="s">
        <v>30</v>
      </c>
      <c r="O8008" t="s">
        <v>31</v>
      </c>
      <c r="P8008" t="str">
        <f>"15235"</f>
        <v>15235</v>
      </c>
    </row>
    <row r="8009" spans="1:16" x14ac:dyDescent="0.25">
      <c r="A8009" t="str">
        <f>"1130231N00271    00"</f>
        <v>1130231N00271    00</v>
      </c>
      <c r="B8009" t="s">
        <v>17585</v>
      </c>
      <c r="C8009" t="s">
        <v>17586</v>
      </c>
      <c r="D8009" t="s">
        <v>20</v>
      </c>
      <c r="E8009" t="s">
        <v>39</v>
      </c>
      <c r="F8009">
        <v>0</v>
      </c>
      <c r="G8009">
        <v>0</v>
      </c>
      <c r="H8009">
        <v>17</v>
      </c>
      <c r="I8009" s="3">
        <v>215.57</v>
      </c>
      <c r="J8009" s="3">
        <v>165.62</v>
      </c>
      <c r="L8009">
        <v>301</v>
      </c>
      <c r="M8009" t="s">
        <v>17581</v>
      </c>
      <c r="N8009" t="s">
        <v>30</v>
      </c>
      <c r="O8009" t="s">
        <v>31</v>
      </c>
      <c r="P8009" t="str">
        <f>"15235"</f>
        <v>15235</v>
      </c>
    </row>
    <row r="8010" spans="1:16" x14ac:dyDescent="0.25">
      <c r="A8010" t="str">
        <f>"1130231N00272    00"</f>
        <v>1130231N00272    00</v>
      </c>
      <c r="B8010" t="s">
        <v>17587</v>
      </c>
      <c r="C8010" t="s">
        <v>17586</v>
      </c>
      <c r="D8010" t="s">
        <v>20</v>
      </c>
      <c r="E8010" t="s">
        <v>39</v>
      </c>
      <c r="F8010">
        <v>0</v>
      </c>
      <c r="G8010">
        <v>0</v>
      </c>
      <c r="H8010">
        <v>17</v>
      </c>
      <c r="I8010" s="3">
        <v>337.61</v>
      </c>
      <c r="J8010" s="3">
        <v>240.5</v>
      </c>
      <c r="L8010">
        <v>4991</v>
      </c>
      <c r="M8010" t="s">
        <v>17588</v>
      </c>
      <c r="N8010" t="s">
        <v>9967</v>
      </c>
      <c r="O8010" t="s">
        <v>692</v>
      </c>
      <c r="P8010" t="str">
        <f>"23060"</f>
        <v>23060</v>
      </c>
    </row>
    <row r="8011" spans="1:16" x14ac:dyDescent="0.25">
      <c r="A8011" t="str">
        <f>"1130231N00273    00"</f>
        <v>1130231N00273    00</v>
      </c>
      <c r="B8011" t="s">
        <v>17587</v>
      </c>
      <c r="C8011" t="s">
        <v>17586</v>
      </c>
      <c r="D8011" t="s">
        <v>20</v>
      </c>
      <c r="E8011" t="s">
        <v>39</v>
      </c>
      <c r="F8011">
        <v>0</v>
      </c>
      <c r="G8011">
        <v>0</v>
      </c>
      <c r="H8011">
        <v>17</v>
      </c>
      <c r="I8011" s="3">
        <v>315.77999999999997</v>
      </c>
      <c r="J8011" s="3">
        <v>228.93</v>
      </c>
      <c r="L8011">
        <v>4991</v>
      </c>
      <c r="M8011" t="s">
        <v>17588</v>
      </c>
      <c r="N8011" t="s">
        <v>9967</v>
      </c>
      <c r="O8011" t="s">
        <v>692</v>
      </c>
      <c r="P8011" t="str">
        <f>"23060"</f>
        <v>23060</v>
      </c>
    </row>
    <row r="8012" spans="1:16" x14ac:dyDescent="0.25">
      <c r="A8012" t="str">
        <f>"1130231N00274    00"</f>
        <v>1130231N00274    00</v>
      </c>
      <c r="B8012" t="s">
        <v>17587</v>
      </c>
      <c r="C8012" t="s">
        <v>17586</v>
      </c>
      <c r="D8012" t="s">
        <v>20</v>
      </c>
      <c r="E8012" t="s">
        <v>39</v>
      </c>
      <c r="F8012">
        <v>0</v>
      </c>
      <c r="G8012">
        <v>0</v>
      </c>
      <c r="H8012">
        <v>17</v>
      </c>
      <c r="I8012" s="3">
        <v>259.47000000000003</v>
      </c>
      <c r="J8012" s="3">
        <v>188.83</v>
      </c>
      <c r="L8012">
        <v>4991</v>
      </c>
      <c r="M8012" t="s">
        <v>17588</v>
      </c>
      <c r="N8012" t="s">
        <v>9967</v>
      </c>
      <c r="O8012" t="s">
        <v>692</v>
      </c>
      <c r="P8012" t="str">
        <f>"23060"</f>
        <v>23060</v>
      </c>
    </row>
    <row r="8013" spans="1:16" x14ac:dyDescent="0.25">
      <c r="A8013" t="str">
        <f>"1130231N00280    00"</f>
        <v>1130231N00280    00</v>
      </c>
      <c r="B8013" t="s">
        <v>17589</v>
      </c>
      <c r="C8013" t="s">
        <v>17590</v>
      </c>
      <c r="D8013" t="s">
        <v>20</v>
      </c>
      <c r="E8013" t="s">
        <v>39</v>
      </c>
      <c r="F8013">
        <v>0</v>
      </c>
      <c r="G8013">
        <v>0</v>
      </c>
      <c r="H8013">
        <v>19</v>
      </c>
      <c r="I8013" s="3">
        <v>2703.95</v>
      </c>
      <c r="J8013" s="3">
        <v>2708.15</v>
      </c>
      <c r="P8013" t="str">
        <f>""</f>
        <v/>
      </c>
    </row>
    <row r="8014" spans="1:16" x14ac:dyDescent="0.25">
      <c r="A8014" t="str">
        <f>"1130231N00285    00"</f>
        <v>1130231N00285    00</v>
      </c>
      <c r="B8014" t="s">
        <v>17591</v>
      </c>
      <c r="C8014" t="s">
        <v>17592</v>
      </c>
      <c r="D8014" t="s">
        <v>20</v>
      </c>
      <c r="E8014" t="s">
        <v>39</v>
      </c>
      <c r="F8014">
        <v>0</v>
      </c>
      <c r="G8014">
        <v>0</v>
      </c>
      <c r="H8014">
        <v>14</v>
      </c>
      <c r="I8014" s="3">
        <v>244.28</v>
      </c>
      <c r="J8014" s="3">
        <v>146.54</v>
      </c>
      <c r="L8014">
        <v>5850</v>
      </c>
      <c r="M8014" t="s">
        <v>17593</v>
      </c>
      <c r="N8014" t="s">
        <v>1061</v>
      </c>
      <c r="O8014" t="s">
        <v>495</v>
      </c>
      <c r="P8014" t="str">
        <f>"90036"</f>
        <v>90036</v>
      </c>
    </row>
    <row r="8015" spans="1:16" x14ac:dyDescent="0.25">
      <c r="A8015" t="str">
        <f>"1130231N00286    00"</f>
        <v>1130231N00286    00</v>
      </c>
      <c r="B8015" t="s">
        <v>17591</v>
      </c>
      <c r="C8015" t="s">
        <v>17592</v>
      </c>
      <c r="D8015" t="s">
        <v>20</v>
      </c>
      <c r="E8015" t="s">
        <v>39</v>
      </c>
      <c r="F8015">
        <v>0</v>
      </c>
      <c r="G8015">
        <v>0</v>
      </c>
      <c r="H8015">
        <v>14</v>
      </c>
      <c r="I8015" s="3">
        <v>1205.6500000000001</v>
      </c>
      <c r="J8015" s="3">
        <v>790.67</v>
      </c>
      <c r="L8015">
        <v>5850</v>
      </c>
      <c r="M8015" t="s">
        <v>17593</v>
      </c>
      <c r="N8015" t="s">
        <v>1061</v>
      </c>
      <c r="O8015" t="s">
        <v>495</v>
      </c>
      <c r="P8015" t="str">
        <f>"90036"</f>
        <v>90036</v>
      </c>
    </row>
    <row r="8016" spans="1:16" x14ac:dyDescent="0.25">
      <c r="A8016" t="str">
        <f>"1130231N00288    00"</f>
        <v>1130231N00288    00</v>
      </c>
      <c r="B8016" t="s">
        <v>17591</v>
      </c>
      <c r="C8016" t="s">
        <v>17592</v>
      </c>
      <c r="D8016" t="s">
        <v>20</v>
      </c>
      <c r="E8016" t="s">
        <v>39</v>
      </c>
      <c r="F8016">
        <v>0</v>
      </c>
      <c r="G8016">
        <v>0</v>
      </c>
      <c r="H8016">
        <v>14</v>
      </c>
      <c r="I8016" s="3">
        <v>244.28</v>
      </c>
      <c r="J8016" s="3">
        <v>146.54</v>
      </c>
      <c r="L8016">
        <v>5850</v>
      </c>
      <c r="M8016" t="s">
        <v>17593</v>
      </c>
      <c r="N8016" t="s">
        <v>1061</v>
      </c>
      <c r="O8016" t="s">
        <v>495</v>
      </c>
      <c r="P8016" t="str">
        <f>"90036"</f>
        <v>90036</v>
      </c>
    </row>
    <row r="8017" spans="1:16" x14ac:dyDescent="0.25">
      <c r="A8017" t="str">
        <f>"1130231P00003    00"</f>
        <v>1130231P00003    00</v>
      </c>
      <c r="B8017" t="s">
        <v>17594</v>
      </c>
      <c r="C8017" t="s">
        <v>17543</v>
      </c>
      <c r="D8017" t="s">
        <v>20</v>
      </c>
      <c r="E8017" t="s">
        <v>39</v>
      </c>
      <c r="F8017">
        <v>0</v>
      </c>
      <c r="G8017">
        <v>0</v>
      </c>
      <c r="H8017">
        <v>19</v>
      </c>
      <c r="I8017" s="3">
        <v>1677.1</v>
      </c>
      <c r="J8017" s="3">
        <v>1441.91</v>
      </c>
      <c r="L8017">
        <v>653</v>
      </c>
      <c r="M8017" t="s">
        <v>15912</v>
      </c>
      <c r="N8017" t="s">
        <v>30</v>
      </c>
      <c r="O8017" t="s">
        <v>31</v>
      </c>
      <c r="P8017" t="str">
        <f>"15221"</f>
        <v>15221</v>
      </c>
    </row>
    <row r="8018" spans="1:16" x14ac:dyDescent="0.25">
      <c r="A8018" t="str">
        <f>"1130231P00007    00"</f>
        <v>1130231P00007    00</v>
      </c>
      <c r="B8018" t="s">
        <v>17595</v>
      </c>
      <c r="C8018" t="s">
        <v>17596</v>
      </c>
      <c r="D8018" t="s">
        <v>20</v>
      </c>
      <c r="E8018" t="s">
        <v>39</v>
      </c>
      <c r="F8018">
        <v>0</v>
      </c>
      <c r="G8018">
        <v>0</v>
      </c>
      <c r="H8018">
        <v>5</v>
      </c>
      <c r="I8018" s="3">
        <v>3071.04</v>
      </c>
      <c r="J8018" s="3">
        <v>530.55999999999995</v>
      </c>
      <c r="L8018">
        <v>365</v>
      </c>
      <c r="M8018" t="s">
        <v>17597</v>
      </c>
      <c r="N8018" t="s">
        <v>30</v>
      </c>
      <c r="O8018" t="s">
        <v>31</v>
      </c>
      <c r="P8018" t="str">
        <f>"15235"</f>
        <v>15235</v>
      </c>
    </row>
    <row r="8019" spans="1:16" x14ac:dyDescent="0.25">
      <c r="A8019" t="str">
        <f>"1130231P00011    00"</f>
        <v>1130231P00011    00</v>
      </c>
      <c r="B8019" t="s">
        <v>17598</v>
      </c>
      <c r="C8019" t="s">
        <v>17599</v>
      </c>
      <c r="D8019" t="s">
        <v>20</v>
      </c>
      <c r="E8019" t="s">
        <v>39</v>
      </c>
      <c r="F8019">
        <v>0</v>
      </c>
      <c r="G8019">
        <v>0</v>
      </c>
      <c r="H8019">
        <v>17</v>
      </c>
      <c r="I8019" s="3">
        <v>7310.32</v>
      </c>
      <c r="J8019" s="3">
        <v>6183.09</v>
      </c>
      <c r="L8019">
        <v>1839</v>
      </c>
      <c r="M8019" t="s">
        <v>17600</v>
      </c>
      <c r="N8019" t="s">
        <v>30</v>
      </c>
      <c r="O8019" t="s">
        <v>31</v>
      </c>
      <c r="P8019" t="str">
        <f>"15221"</f>
        <v>15221</v>
      </c>
    </row>
    <row r="8020" spans="1:16" x14ac:dyDescent="0.25">
      <c r="A8020" t="str">
        <f>"1130231P00012    00"</f>
        <v>1130231P00012    00</v>
      </c>
      <c r="B8020" t="s">
        <v>17601</v>
      </c>
      <c r="C8020" t="s">
        <v>17602</v>
      </c>
      <c r="D8020" t="s">
        <v>20</v>
      </c>
      <c r="E8020" t="s">
        <v>39</v>
      </c>
      <c r="F8020">
        <v>0</v>
      </c>
      <c r="G8020">
        <v>0</v>
      </c>
      <c r="H8020">
        <v>5</v>
      </c>
      <c r="I8020" s="3">
        <v>355.18</v>
      </c>
      <c r="J8020" s="3">
        <v>54.35</v>
      </c>
      <c r="L8020">
        <v>649</v>
      </c>
      <c r="M8020" t="s">
        <v>17603</v>
      </c>
      <c r="N8020" t="s">
        <v>30</v>
      </c>
      <c r="O8020" t="s">
        <v>31</v>
      </c>
      <c r="P8020" t="str">
        <f>"15221"</f>
        <v>15221</v>
      </c>
    </row>
    <row r="8021" spans="1:16" x14ac:dyDescent="0.25">
      <c r="A8021" t="str">
        <f>"1130231P00017    00"</f>
        <v>1130231P00017    00</v>
      </c>
      <c r="B8021" t="s">
        <v>17604</v>
      </c>
      <c r="C8021" t="s">
        <v>17602</v>
      </c>
      <c r="D8021" t="s">
        <v>20</v>
      </c>
      <c r="E8021" t="s">
        <v>39</v>
      </c>
      <c r="F8021">
        <v>0</v>
      </c>
      <c r="G8021">
        <v>0</v>
      </c>
      <c r="H8021">
        <v>19</v>
      </c>
      <c r="I8021" s="3">
        <v>1033.99</v>
      </c>
      <c r="J8021" s="3">
        <v>693.97</v>
      </c>
      <c r="L8021">
        <v>49</v>
      </c>
      <c r="M8021" t="s">
        <v>17605</v>
      </c>
      <c r="N8021" t="s">
        <v>149</v>
      </c>
      <c r="O8021" t="s">
        <v>31</v>
      </c>
      <c r="P8021" t="str">
        <f>"15106"</f>
        <v>15106</v>
      </c>
    </row>
    <row r="8022" spans="1:16" x14ac:dyDescent="0.25">
      <c r="A8022" t="str">
        <f>"1130231P00027    00"</f>
        <v>1130231P00027    00</v>
      </c>
      <c r="B8022" t="s">
        <v>17606</v>
      </c>
      <c r="C8022" t="s">
        <v>17602</v>
      </c>
      <c r="D8022" t="s">
        <v>20</v>
      </c>
      <c r="E8022" t="s">
        <v>39</v>
      </c>
      <c r="F8022">
        <v>0</v>
      </c>
      <c r="G8022">
        <v>0</v>
      </c>
      <c r="H8022">
        <v>19</v>
      </c>
      <c r="I8022" s="3">
        <v>1806.85</v>
      </c>
      <c r="J8022" s="3">
        <v>1922.53</v>
      </c>
      <c r="L8022">
        <v>8008</v>
      </c>
      <c r="M8022" t="s">
        <v>16275</v>
      </c>
      <c r="N8022" t="s">
        <v>30</v>
      </c>
      <c r="O8022" t="s">
        <v>31</v>
      </c>
      <c r="P8022" t="str">
        <f>"15221"</f>
        <v>15221</v>
      </c>
    </row>
    <row r="8023" spans="1:16" x14ac:dyDescent="0.25">
      <c r="A8023" t="str">
        <f>"1130231P00028    00"</f>
        <v>1130231P00028    00</v>
      </c>
      <c r="B8023" t="s">
        <v>17601</v>
      </c>
      <c r="C8023" t="s">
        <v>17602</v>
      </c>
      <c r="D8023" t="s">
        <v>20</v>
      </c>
      <c r="E8023" t="s">
        <v>39</v>
      </c>
      <c r="F8023">
        <v>0</v>
      </c>
      <c r="G8023">
        <v>0</v>
      </c>
      <c r="H8023">
        <v>4</v>
      </c>
      <c r="I8023" s="3">
        <v>197.4</v>
      </c>
      <c r="J8023" s="3">
        <v>15.19</v>
      </c>
      <c r="L8023">
        <v>649</v>
      </c>
      <c r="M8023" t="s">
        <v>17603</v>
      </c>
      <c r="N8023" t="s">
        <v>30</v>
      </c>
      <c r="O8023" t="s">
        <v>31</v>
      </c>
      <c r="P8023" t="str">
        <f>"15221"</f>
        <v>15221</v>
      </c>
    </row>
    <row r="8024" spans="1:16" x14ac:dyDescent="0.25">
      <c r="A8024" t="str">
        <f>"1130231P00029    00"</f>
        <v>1130231P00029    00</v>
      </c>
      <c r="B8024" t="s">
        <v>17601</v>
      </c>
      <c r="C8024" t="s">
        <v>17602</v>
      </c>
      <c r="D8024" t="s">
        <v>20</v>
      </c>
      <c r="E8024" t="s">
        <v>39</v>
      </c>
      <c r="F8024">
        <v>0</v>
      </c>
      <c r="G8024">
        <v>0</v>
      </c>
      <c r="H8024">
        <v>5</v>
      </c>
      <c r="I8024" s="3">
        <v>279.13</v>
      </c>
      <c r="J8024" s="3">
        <v>42.72</v>
      </c>
      <c r="L8024">
        <v>649</v>
      </c>
      <c r="M8024" t="s">
        <v>17603</v>
      </c>
      <c r="N8024" t="s">
        <v>30</v>
      </c>
      <c r="O8024" t="s">
        <v>31</v>
      </c>
      <c r="P8024" t="str">
        <f>"15221"</f>
        <v>15221</v>
      </c>
    </row>
    <row r="8025" spans="1:16" x14ac:dyDescent="0.25">
      <c r="A8025" t="str">
        <f>"1130231P00053    00"</f>
        <v>1130231P00053    00</v>
      </c>
      <c r="B8025" t="s">
        <v>17568</v>
      </c>
      <c r="C8025" t="s">
        <v>17607</v>
      </c>
      <c r="D8025" t="s">
        <v>20</v>
      </c>
      <c r="E8025" t="s">
        <v>39</v>
      </c>
      <c r="F8025">
        <v>0</v>
      </c>
      <c r="G8025">
        <v>0</v>
      </c>
      <c r="H8025">
        <v>17</v>
      </c>
      <c r="I8025" s="3">
        <v>8905.16</v>
      </c>
      <c r="J8025" s="3">
        <v>8635.2000000000007</v>
      </c>
      <c r="K8025" t="s">
        <v>17608</v>
      </c>
      <c r="L8025">
        <v>2011</v>
      </c>
      <c r="M8025" t="s">
        <v>17609</v>
      </c>
      <c r="N8025" t="s">
        <v>30</v>
      </c>
      <c r="O8025" t="s">
        <v>31</v>
      </c>
      <c r="P8025" t="str">
        <f>"15221"</f>
        <v>15221</v>
      </c>
    </row>
    <row r="8026" spans="1:16" x14ac:dyDescent="0.25">
      <c r="A8026" t="str">
        <f>"1130231P00055    00"</f>
        <v>1130231P00055    00</v>
      </c>
      <c r="B8026" t="s">
        <v>17610</v>
      </c>
      <c r="C8026" t="s">
        <v>17134</v>
      </c>
      <c r="E8026" t="s">
        <v>39</v>
      </c>
      <c r="F8026">
        <v>0</v>
      </c>
      <c r="G8026">
        <v>0</v>
      </c>
      <c r="H8026">
        <v>6</v>
      </c>
      <c r="I8026" s="3">
        <v>1050.69</v>
      </c>
      <c r="J8026" s="3">
        <v>1455.76</v>
      </c>
      <c r="L8026">
        <v>6721</v>
      </c>
      <c r="M8026" t="s">
        <v>17611</v>
      </c>
      <c r="N8026" t="s">
        <v>17612</v>
      </c>
      <c r="O8026" t="s">
        <v>370</v>
      </c>
      <c r="P8026" t="str">
        <f>"33813"</f>
        <v>33813</v>
      </c>
    </row>
    <row r="8027" spans="1:16" x14ac:dyDescent="0.25">
      <c r="A8027" t="str">
        <f>"1130231P00076    00"</f>
        <v>1130231P00076    00</v>
      </c>
      <c r="B8027" t="s">
        <v>17613</v>
      </c>
      <c r="C8027" t="s">
        <v>17326</v>
      </c>
      <c r="D8027" t="s">
        <v>20</v>
      </c>
      <c r="E8027" t="s">
        <v>39</v>
      </c>
      <c r="F8027">
        <v>0</v>
      </c>
      <c r="G8027">
        <v>0</v>
      </c>
      <c r="H8027">
        <v>1</v>
      </c>
      <c r="I8027" s="3">
        <v>20.98</v>
      </c>
      <c r="J8027" s="3">
        <v>0</v>
      </c>
      <c r="L8027">
        <v>8305</v>
      </c>
      <c r="M8027" t="s">
        <v>3107</v>
      </c>
      <c r="N8027" t="s">
        <v>30</v>
      </c>
      <c r="O8027" t="s">
        <v>31</v>
      </c>
      <c r="P8027" t="str">
        <f>"15221"</f>
        <v>15221</v>
      </c>
    </row>
    <row r="8028" spans="1:16" x14ac:dyDescent="0.25">
      <c r="A8028" t="str">
        <f>"1130231P00078    00"</f>
        <v>1130231P00078    00</v>
      </c>
      <c r="B8028" t="s">
        <v>17613</v>
      </c>
      <c r="C8028" t="s">
        <v>17614</v>
      </c>
      <c r="D8028" t="s">
        <v>20</v>
      </c>
      <c r="E8028" t="s">
        <v>39</v>
      </c>
      <c r="F8028">
        <v>0</v>
      </c>
      <c r="G8028">
        <v>0</v>
      </c>
      <c r="H8028">
        <v>1</v>
      </c>
      <c r="I8028" s="3">
        <v>13.76</v>
      </c>
      <c r="J8028" s="3">
        <v>0</v>
      </c>
      <c r="L8028">
        <v>8305</v>
      </c>
      <c r="M8028" t="s">
        <v>3107</v>
      </c>
      <c r="N8028" t="s">
        <v>30</v>
      </c>
      <c r="O8028" t="s">
        <v>31</v>
      </c>
      <c r="P8028" t="str">
        <f>"15221"</f>
        <v>15221</v>
      </c>
    </row>
    <row r="8029" spans="1:16" x14ac:dyDescent="0.25">
      <c r="A8029" t="str">
        <f>"1130231P00080    00"</f>
        <v>1130231P00080    00</v>
      </c>
      <c r="B8029" t="s">
        <v>17613</v>
      </c>
      <c r="C8029" t="s">
        <v>17326</v>
      </c>
      <c r="D8029" t="s">
        <v>20</v>
      </c>
      <c r="E8029" t="s">
        <v>39</v>
      </c>
      <c r="F8029">
        <v>0</v>
      </c>
      <c r="G8029">
        <v>0</v>
      </c>
      <c r="H8029">
        <v>5</v>
      </c>
      <c r="I8029" s="3">
        <v>380.5</v>
      </c>
      <c r="J8029" s="3">
        <v>104.64</v>
      </c>
      <c r="L8029">
        <v>8305</v>
      </c>
      <c r="M8029" t="s">
        <v>3107</v>
      </c>
      <c r="N8029" t="s">
        <v>30</v>
      </c>
      <c r="O8029" t="s">
        <v>31</v>
      </c>
      <c r="P8029" t="str">
        <f>"15221"</f>
        <v>15221</v>
      </c>
    </row>
    <row r="8030" spans="1:16" x14ac:dyDescent="0.25">
      <c r="A8030" t="str">
        <f>"1130231P00082    00"</f>
        <v>1130231P00082    00</v>
      </c>
      <c r="B8030" t="s">
        <v>12240</v>
      </c>
      <c r="C8030" t="s">
        <v>17326</v>
      </c>
      <c r="D8030" t="s">
        <v>20</v>
      </c>
      <c r="E8030" t="s">
        <v>39</v>
      </c>
      <c r="F8030">
        <v>0</v>
      </c>
      <c r="G8030">
        <v>0</v>
      </c>
      <c r="H8030">
        <v>10</v>
      </c>
      <c r="I8030" s="3">
        <v>127.8</v>
      </c>
      <c r="J8030" s="3">
        <v>141.22</v>
      </c>
      <c r="L8030">
        <v>1421</v>
      </c>
      <c r="M8030" t="s">
        <v>12218</v>
      </c>
      <c r="N8030" t="s">
        <v>30</v>
      </c>
      <c r="O8030" t="s">
        <v>31</v>
      </c>
      <c r="P8030" t="str">
        <f>"15221"</f>
        <v>15221</v>
      </c>
    </row>
    <row r="8031" spans="1:16" x14ac:dyDescent="0.25">
      <c r="A8031" t="str">
        <f>"1130231P00090    00"</f>
        <v>1130231P00090    00</v>
      </c>
      <c r="B8031" t="s">
        <v>16104</v>
      </c>
      <c r="C8031" t="s">
        <v>17615</v>
      </c>
      <c r="D8031" t="s">
        <v>20</v>
      </c>
      <c r="E8031" t="s">
        <v>39</v>
      </c>
      <c r="F8031">
        <v>0</v>
      </c>
      <c r="G8031">
        <v>0</v>
      </c>
      <c r="H8031">
        <v>1</v>
      </c>
      <c r="I8031" s="3">
        <v>87.79</v>
      </c>
      <c r="J8031" s="3">
        <v>24.14</v>
      </c>
      <c r="L8031">
        <v>8807</v>
      </c>
      <c r="M8031" t="s">
        <v>13958</v>
      </c>
      <c r="N8031" t="s">
        <v>30</v>
      </c>
      <c r="O8031" t="s">
        <v>31</v>
      </c>
      <c r="P8031" t="str">
        <f>"15221"</f>
        <v>15221</v>
      </c>
    </row>
    <row r="8032" spans="1:16" x14ac:dyDescent="0.25">
      <c r="A8032" t="str">
        <f>"1130231P00092    00"</f>
        <v>1130231P00092    00</v>
      </c>
      <c r="B8032" t="s">
        <v>17616</v>
      </c>
      <c r="C8032" t="s">
        <v>17617</v>
      </c>
      <c r="D8032" t="s">
        <v>20</v>
      </c>
      <c r="E8032" t="s">
        <v>39</v>
      </c>
      <c r="F8032">
        <v>0</v>
      </c>
      <c r="G8032">
        <v>0</v>
      </c>
      <c r="H8032">
        <v>2</v>
      </c>
      <c r="I8032" s="3">
        <v>407.04</v>
      </c>
      <c r="J8032" s="3">
        <v>0</v>
      </c>
      <c r="K8032" t="s">
        <v>9056</v>
      </c>
      <c r="L8032">
        <v>3001</v>
      </c>
      <c r="M8032" t="s">
        <v>404</v>
      </c>
      <c r="N8032" t="s">
        <v>331</v>
      </c>
      <c r="O8032" t="s">
        <v>108</v>
      </c>
      <c r="P8032" t="str">
        <f>"75063"</f>
        <v>75063</v>
      </c>
    </row>
    <row r="8033" spans="1:16" x14ac:dyDescent="0.25">
      <c r="A8033" t="str">
        <f>"1130231P00098    00"</f>
        <v>1130231P00098    00</v>
      </c>
      <c r="B8033" t="s">
        <v>17618</v>
      </c>
      <c r="C8033" t="s">
        <v>17619</v>
      </c>
      <c r="D8033" t="s">
        <v>20</v>
      </c>
      <c r="E8033" t="s">
        <v>39</v>
      </c>
      <c r="F8033">
        <v>0</v>
      </c>
      <c r="G8033">
        <v>0</v>
      </c>
      <c r="H8033">
        <v>8</v>
      </c>
      <c r="I8033" s="3">
        <v>4870.29</v>
      </c>
      <c r="J8033" s="3">
        <v>1595.75</v>
      </c>
      <c r="L8033">
        <v>8340</v>
      </c>
      <c r="M8033" t="s">
        <v>3107</v>
      </c>
      <c r="N8033" t="s">
        <v>30</v>
      </c>
      <c r="O8033" t="s">
        <v>31</v>
      </c>
      <c r="P8033" t="str">
        <f>"15221"</f>
        <v>15221</v>
      </c>
    </row>
    <row r="8034" spans="1:16" x14ac:dyDescent="0.25">
      <c r="A8034" t="str">
        <f>"1130231P00102    00"</f>
        <v>1130231P00102    00</v>
      </c>
      <c r="B8034" t="s">
        <v>17620</v>
      </c>
      <c r="C8034" t="s">
        <v>17621</v>
      </c>
      <c r="D8034" t="s">
        <v>20</v>
      </c>
      <c r="E8034" t="s">
        <v>39</v>
      </c>
      <c r="F8034">
        <v>0</v>
      </c>
      <c r="G8034">
        <v>0</v>
      </c>
      <c r="H8034">
        <v>3</v>
      </c>
      <c r="I8034" s="3">
        <v>1870.28</v>
      </c>
      <c r="J8034" s="3">
        <v>134.01</v>
      </c>
      <c r="L8034">
        <v>130</v>
      </c>
      <c r="M8034" t="s">
        <v>12166</v>
      </c>
      <c r="N8034" t="s">
        <v>30</v>
      </c>
      <c r="O8034" t="s">
        <v>31</v>
      </c>
      <c r="P8034" t="str">
        <f>"15235"</f>
        <v>15235</v>
      </c>
    </row>
    <row r="8035" spans="1:16" x14ac:dyDescent="0.25">
      <c r="A8035" t="str">
        <f>"1130231P00110    00"</f>
        <v>1130231P00110    00</v>
      </c>
      <c r="B8035" t="s">
        <v>17622</v>
      </c>
      <c r="C8035" t="s">
        <v>17623</v>
      </c>
      <c r="D8035" t="s">
        <v>20</v>
      </c>
      <c r="E8035" t="s">
        <v>39</v>
      </c>
      <c r="F8035">
        <v>0</v>
      </c>
      <c r="G8035">
        <v>0</v>
      </c>
      <c r="H8035">
        <v>3</v>
      </c>
      <c r="I8035" s="3">
        <v>34.32</v>
      </c>
      <c r="J8035" s="3">
        <v>2.29</v>
      </c>
      <c r="K8035" t="s">
        <v>17624</v>
      </c>
      <c r="L8035">
        <v>521</v>
      </c>
      <c r="M8035" t="s">
        <v>17625</v>
      </c>
      <c r="N8035" t="s">
        <v>30</v>
      </c>
      <c r="O8035" t="s">
        <v>31</v>
      </c>
      <c r="P8035" t="str">
        <f>"15205"</f>
        <v>15205</v>
      </c>
    </row>
    <row r="8036" spans="1:16" x14ac:dyDescent="0.25">
      <c r="A8036" t="str">
        <f>"1130231P00112022700"</f>
        <v>1130231P00112022700</v>
      </c>
      <c r="B8036" t="s">
        <v>17622</v>
      </c>
      <c r="C8036" t="s">
        <v>17623</v>
      </c>
      <c r="D8036" t="s">
        <v>20</v>
      </c>
      <c r="E8036" t="s">
        <v>39</v>
      </c>
      <c r="F8036">
        <v>0</v>
      </c>
      <c r="G8036">
        <v>0</v>
      </c>
      <c r="H8036">
        <v>3</v>
      </c>
      <c r="I8036" s="3">
        <v>257.33999999999997</v>
      </c>
      <c r="J8036" s="3">
        <v>17.16</v>
      </c>
      <c r="K8036" t="s">
        <v>17624</v>
      </c>
      <c r="L8036">
        <v>521</v>
      </c>
      <c r="M8036" t="s">
        <v>17625</v>
      </c>
      <c r="N8036" t="s">
        <v>30</v>
      </c>
      <c r="O8036" t="s">
        <v>31</v>
      </c>
      <c r="P8036" t="str">
        <f>"15205"</f>
        <v>15205</v>
      </c>
    </row>
    <row r="8037" spans="1:16" x14ac:dyDescent="0.25">
      <c r="A8037" t="str">
        <f>"1130231P00129    00"</f>
        <v>1130231P00129    00</v>
      </c>
      <c r="B8037" t="s">
        <v>17626</v>
      </c>
      <c r="C8037" t="s">
        <v>17623</v>
      </c>
      <c r="D8037" t="s">
        <v>20</v>
      </c>
      <c r="E8037" t="s">
        <v>39</v>
      </c>
      <c r="F8037">
        <v>0</v>
      </c>
      <c r="G8037">
        <v>0</v>
      </c>
      <c r="H8037">
        <v>19</v>
      </c>
      <c r="I8037" s="3">
        <v>389.57</v>
      </c>
      <c r="J8037" s="3">
        <v>340.88</v>
      </c>
      <c r="K8037" t="s">
        <v>1037</v>
      </c>
      <c r="L8037">
        <v>247</v>
      </c>
      <c r="M8037" t="s">
        <v>2592</v>
      </c>
      <c r="N8037" t="s">
        <v>30</v>
      </c>
      <c r="O8037" t="s">
        <v>31</v>
      </c>
      <c r="P8037" t="str">
        <f>"15221"</f>
        <v>15221</v>
      </c>
    </row>
    <row r="8038" spans="1:16" x14ac:dyDescent="0.25">
      <c r="A8038" t="str">
        <f>"1130231P00130    00"</f>
        <v>1130231P00130    00</v>
      </c>
      <c r="B8038" t="s">
        <v>17626</v>
      </c>
      <c r="C8038" t="s">
        <v>17623</v>
      </c>
      <c r="D8038" t="s">
        <v>20</v>
      </c>
      <c r="E8038" t="s">
        <v>39</v>
      </c>
      <c r="F8038">
        <v>0</v>
      </c>
      <c r="G8038">
        <v>0</v>
      </c>
      <c r="H8038">
        <v>19</v>
      </c>
      <c r="I8038" s="3">
        <v>389.57</v>
      </c>
      <c r="J8038" s="3">
        <v>340.88</v>
      </c>
      <c r="K8038" t="s">
        <v>1037</v>
      </c>
      <c r="L8038">
        <v>247</v>
      </c>
      <c r="M8038" t="s">
        <v>2592</v>
      </c>
      <c r="N8038" t="s">
        <v>30</v>
      </c>
      <c r="O8038" t="s">
        <v>31</v>
      </c>
      <c r="P8038" t="str">
        <f>"15221"</f>
        <v>15221</v>
      </c>
    </row>
    <row r="8039" spans="1:16" x14ac:dyDescent="0.25">
      <c r="A8039" t="str">
        <f>"1130231P00132    00"</f>
        <v>1130231P00132    00</v>
      </c>
      <c r="B8039" t="s">
        <v>17626</v>
      </c>
      <c r="C8039" t="s">
        <v>17623</v>
      </c>
      <c r="D8039" t="s">
        <v>20</v>
      </c>
      <c r="E8039" t="s">
        <v>39</v>
      </c>
      <c r="F8039">
        <v>0</v>
      </c>
      <c r="G8039">
        <v>0</v>
      </c>
      <c r="H8039">
        <v>19</v>
      </c>
      <c r="I8039" s="3">
        <v>2009.97</v>
      </c>
      <c r="J8039" s="3">
        <v>2074.71</v>
      </c>
      <c r="L8039">
        <v>247</v>
      </c>
      <c r="M8039" t="s">
        <v>2592</v>
      </c>
      <c r="N8039" t="s">
        <v>30</v>
      </c>
      <c r="O8039" t="s">
        <v>31</v>
      </c>
      <c r="P8039" t="str">
        <f>"15221"</f>
        <v>15221</v>
      </c>
    </row>
    <row r="8040" spans="1:16" x14ac:dyDescent="0.25">
      <c r="A8040" t="str">
        <f>"1130231P00153    00"</f>
        <v>1130231P00153    00</v>
      </c>
      <c r="B8040" t="s">
        <v>3449</v>
      </c>
      <c r="C8040" t="s">
        <v>17623</v>
      </c>
      <c r="D8040" t="s">
        <v>20</v>
      </c>
      <c r="E8040" t="s">
        <v>39</v>
      </c>
      <c r="F8040">
        <v>0</v>
      </c>
      <c r="G8040">
        <v>0</v>
      </c>
      <c r="H8040">
        <v>19</v>
      </c>
      <c r="I8040" s="3">
        <v>279.7</v>
      </c>
      <c r="J8040" s="3">
        <v>282.8</v>
      </c>
      <c r="K8040" t="s">
        <v>1008</v>
      </c>
      <c r="P8040" t="str">
        <f>""</f>
        <v/>
      </c>
    </row>
    <row r="8041" spans="1:16" x14ac:dyDescent="0.25">
      <c r="A8041" t="str">
        <f>"1130231P00156    00"</f>
        <v>1130231P00156    00</v>
      </c>
      <c r="B8041" t="s">
        <v>17627</v>
      </c>
      <c r="C8041" t="s">
        <v>17628</v>
      </c>
      <c r="D8041" t="s">
        <v>20</v>
      </c>
      <c r="E8041" t="s">
        <v>39</v>
      </c>
      <c r="F8041">
        <v>0</v>
      </c>
      <c r="G8041">
        <v>0</v>
      </c>
      <c r="H8041">
        <v>6</v>
      </c>
      <c r="I8041" s="3">
        <v>1346.93</v>
      </c>
      <c r="J8041" s="3">
        <v>355.92</v>
      </c>
      <c r="L8041">
        <v>8342</v>
      </c>
      <c r="M8041" t="s">
        <v>2592</v>
      </c>
      <c r="N8041" t="s">
        <v>30</v>
      </c>
      <c r="O8041" t="s">
        <v>31</v>
      </c>
      <c r="P8041" t="str">
        <f>"15221"</f>
        <v>15221</v>
      </c>
    </row>
    <row r="8042" spans="1:16" x14ac:dyDescent="0.25">
      <c r="A8042" t="str">
        <f>"1130231P00160    00"</f>
        <v>1130231P00160    00</v>
      </c>
      <c r="B8042" t="s">
        <v>17629</v>
      </c>
      <c r="C8042" t="s">
        <v>17630</v>
      </c>
      <c r="E8042" t="s">
        <v>39</v>
      </c>
      <c r="F8042">
        <v>0</v>
      </c>
      <c r="G8042">
        <v>0</v>
      </c>
      <c r="H8042">
        <v>3</v>
      </c>
      <c r="I8042" s="3">
        <v>160.08000000000001</v>
      </c>
      <c r="J8042" s="3">
        <v>152.15</v>
      </c>
      <c r="K8042" t="s">
        <v>17631</v>
      </c>
      <c r="L8042">
        <v>134</v>
      </c>
      <c r="M8042" t="s">
        <v>6683</v>
      </c>
      <c r="N8042" t="s">
        <v>30</v>
      </c>
      <c r="O8042" t="s">
        <v>31</v>
      </c>
      <c r="P8042" t="str">
        <f>"15206"</f>
        <v>15206</v>
      </c>
    </row>
    <row r="8043" spans="1:16" x14ac:dyDescent="0.25">
      <c r="A8043" t="str">
        <f>"1130231P00162    00"</f>
        <v>1130231P00162    00</v>
      </c>
      <c r="B8043" t="s">
        <v>17632</v>
      </c>
      <c r="C8043" t="s">
        <v>17633</v>
      </c>
      <c r="D8043" t="s">
        <v>20</v>
      </c>
      <c r="E8043" t="s">
        <v>39</v>
      </c>
      <c r="F8043">
        <v>0</v>
      </c>
      <c r="G8043">
        <v>0</v>
      </c>
      <c r="H8043">
        <v>19</v>
      </c>
      <c r="I8043" s="3">
        <v>7837.85</v>
      </c>
      <c r="J8043" s="3">
        <v>8971.99</v>
      </c>
      <c r="K8043" t="s">
        <v>17634</v>
      </c>
      <c r="L8043">
        <v>206</v>
      </c>
      <c r="M8043" t="s">
        <v>2592</v>
      </c>
      <c r="N8043" t="s">
        <v>30</v>
      </c>
      <c r="O8043" t="s">
        <v>31</v>
      </c>
      <c r="P8043" t="str">
        <f>"15221"</f>
        <v>15221</v>
      </c>
    </row>
    <row r="8044" spans="1:16" x14ac:dyDescent="0.25">
      <c r="A8044" t="str">
        <f>"1130231P00163    00"</f>
        <v>1130231P00163    00</v>
      </c>
      <c r="B8044" t="s">
        <v>17635</v>
      </c>
      <c r="C8044" t="s">
        <v>17623</v>
      </c>
      <c r="D8044" t="s">
        <v>20</v>
      </c>
      <c r="E8044" t="s">
        <v>39</v>
      </c>
      <c r="F8044">
        <v>0</v>
      </c>
      <c r="G8044">
        <v>0</v>
      </c>
      <c r="H8044">
        <v>19</v>
      </c>
      <c r="I8044" s="3">
        <v>2163.56</v>
      </c>
      <c r="J8044" s="3">
        <v>2155.92</v>
      </c>
      <c r="P8044" t="str">
        <f>""</f>
        <v/>
      </c>
    </row>
    <row r="8045" spans="1:16" x14ac:dyDescent="0.25">
      <c r="A8045" t="str">
        <f>"1130231P00190    00"</f>
        <v>1130231P00190    00</v>
      </c>
      <c r="B8045" t="s">
        <v>17636</v>
      </c>
      <c r="C8045" t="s">
        <v>17637</v>
      </c>
      <c r="D8045" t="s">
        <v>20</v>
      </c>
      <c r="E8045" t="s">
        <v>39</v>
      </c>
      <c r="F8045">
        <v>0</v>
      </c>
      <c r="G8045">
        <v>0</v>
      </c>
      <c r="H8045">
        <v>4</v>
      </c>
      <c r="I8045" s="3">
        <v>2836.09</v>
      </c>
      <c r="J8045" s="3">
        <v>296.25</v>
      </c>
      <c r="L8045">
        <v>612</v>
      </c>
      <c r="M8045" t="s">
        <v>17603</v>
      </c>
      <c r="N8045" t="s">
        <v>30</v>
      </c>
      <c r="O8045" t="s">
        <v>31</v>
      </c>
      <c r="P8045" t="str">
        <f>"15221"</f>
        <v>15221</v>
      </c>
    </row>
    <row r="8046" spans="1:16" x14ac:dyDescent="0.25">
      <c r="A8046" t="str">
        <f>"1130231P00212    00"</f>
        <v>1130231P00212    00</v>
      </c>
      <c r="B8046" t="s">
        <v>17638</v>
      </c>
      <c r="C8046" t="s">
        <v>17639</v>
      </c>
      <c r="D8046" t="s">
        <v>20</v>
      </c>
      <c r="E8046" t="s">
        <v>39</v>
      </c>
      <c r="F8046">
        <v>0</v>
      </c>
      <c r="G8046">
        <v>0</v>
      </c>
      <c r="H8046">
        <v>1</v>
      </c>
      <c r="I8046" s="3">
        <v>608.02</v>
      </c>
      <c r="J8046" s="3">
        <v>0</v>
      </c>
      <c r="K8046" t="s">
        <v>17640</v>
      </c>
      <c r="L8046">
        <v>603</v>
      </c>
      <c r="M8046" t="s">
        <v>17358</v>
      </c>
      <c r="N8046" t="s">
        <v>30</v>
      </c>
      <c r="O8046" t="s">
        <v>31</v>
      </c>
      <c r="P8046" t="str">
        <f>"15221"</f>
        <v>15221</v>
      </c>
    </row>
    <row r="8047" spans="1:16" x14ac:dyDescent="0.25">
      <c r="A8047" t="str">
        <f>"1130231P00215    00"</f>
        <v>1130231P00215    00</v>
      </c>
      <c r="B8047" t="s">
        <v>17641</v>
      </c>
      <c r="C8047" t="s">
        <v>17642</v>
      </c>
      <c r="D8047" t="s">
        <v>20</v>
      </c>
      <c r="E8047" t="s">
        <v>39</v>
      </c>
      <c r="F8047">
        <v>0</v>
      </c>
      <c r="G8047">
        <v>0</v>
      </c>
      <c r="H8047">
        <v>5</v>
      </c>
      <c r="I8047" s="3">
        <v>2589.08</v>
      </c>
      <c r="J8047" s="3">
        <v>103.72</v>
      </c>
      <c r="L8047">
        <v>1855</v>
      </c>
      <c r="M8047" t="s">
        <v>17600</v>
      </c>
      <c r="N8047" t="s">
        <v>30</v>
      </c>
      <c r="O8047" t="s">
        <v>31</v>
      </c>
      <c r="P8047" t="str">
        <f>"15221"</f>
        <v>15221</v>
      </c>
    </row>
    <row r="8048" spans="1:16" x14ac:dyDescent="0.25">
      <c r="A8048" t="str">
        <f>"1130231P00234    00"</f>
        <v>1130231P00234    00</v>
      </c>
      <c r="B8048" t="s">
        <v>17643</v>
      </c>
      <c r="C8048" t="s">
        <v>17644</v>
      </c>
      <c r="E8048" t="s">
        <v>39</v>
      </c>
      <c r="F8048">
        <v>0</v>
      </c>
      <c r="G8048">
        <v>0</v>
      </c>
      <c r="H8048">
        <v>1</v>
      </c>
      <c r="I8048" s="3">
        <v>149.55000000000001</v>
      </c>
      <c r="J8048" s="3">
        <v>29.92</v>
      </c>
      <c r="K8048" t="s">
        <v>17645</v>
      </c>
      <c r="L8048">
        <v>2305</v>
      </c>
      <c r="M8048" t="s">
        <v>3993</v>
      </c>
      <c r="N8048" t="s">
        <v>30</v>
      </c>
      <c r="O8048" t="s">
        <v>31</v>
      </c>
      <c r="P8048" t="str">
        <f>"15221"</f>
        <v>15221</v>
      </c>
    </row>
    <row r="8049" spans="1:16" x14ac:dyDescent="0.25">
      <c r="A8049" t="str">
        <f>"1130231P00235    00"</f>
        <v>1130231P00235    00</v>
      </c>
      <c r="B8049" t="s">
        <v>17646</v>
      </c>
      <c r="C8049" t="s">
        <v>17647</v>
      </c>
      <c r="D8049" t="s">
        <v>20</v>
      </c>
      <c r="E8049" t="s">
        <v>39</v>
      </c>
      <c r="F8049">
        <v>0</v>
      </c>
      <c r="G8049">
        <v>0</v>
      </c>
      <c r="H8049">
        <v>12</v>
      </c>
      <c r="I8049" s="3">
        <v>12641.8</v>
      </c>
      <c r="J8049" s="3">
        <v>6070.5</v>
      </c>
      <c r="L8049">
        <v>417</v>
      </c>
      <c r="M8049" t="s">
        <v>17648</v>
      </c>
      <c r="N8049" t="s">
        <v>30</v>
      </c>
      <c r="O8049" t="s">
        <v>31</v>
      </c>
      <c r="P8049" t="str">
        <f>"15235"</f>
        <v>15235</v>
      </c>
    </row>
    <row r="8050" spans="1:16" x14ac:dyDescent="0.25">
      <c r="A8050" t="str">
        <f>"1130231P00240    00"</f>
        <v>1130231P00240    00</v>
      </c>
      <c r="B8050" t="s">
        <v>17649</v>
      </c>
      <c r="C8050" t="s">
        <v>17348</v>
      </c>
      <c r="D8050" t="s">
        <v>20</v>
      </c>
      <c r="E8050" t="s">
        <v>39</v>
      </c>
      <c r="F8050">
        <v>0</v>
      </c>
      <c r="G8050">
        <v>0</v>
      </c>
      <c r="H8050">
        <v>19</v>
      </c>
      <c r="I8050" s="3">
        <v>2377.25</v>
      </c>
      <c r="J8050" s="3">
        <v>2378.46</v>
      </c>
      <c r="P8050" t="str">
        <f>""</f>
        <v/>
      </c>
    </row>
    <row r="8051" spans="1:16" x14ac:dyDescent="0.25">
      <c r="A8051" t="str">
        <f>"1130231P00242    00"</f>
        <v>1130231P00242    00</v>
      </c>
      <c r="B8051" t="s">
        <v>17649</v>
      </c>
      <c r="C8051" t="s">
        <v>17348</v>
      </c>
      <c r="D8051" t="s">
        <v>20</v>
      </c>
      <c r="E8051" t="s">
        <v>39</v>
      </c>
      <c r="F8051">
        <v>0</v>
      </c>
      <c r="G8051">
        <v>0</v>
      </c>
      <c r="H8051">
        <v>19</v>
      </c>
      <c r="I8051" s="3">
        <v>2377.25</v>
      </c>
      <c r="J8051" s="3">
        <v>2378.46</v>
      </c>
      <c r="P8051" t="str">
        <f>""</f>
        <v/>
      </c>
    </row>
    <row r="8052" spans="1:16" x14ac:dyDescent="0.25">
      <c r="A8052" t="str">
        <f>"1130231P00243    00"</f>
        <v>1130231P00243    00</v>
      </c>
      <c r="B8052" t="s">
        <v>17649</v>
      </c>
      <c r="C8052" t="s">
        <v>17348</v>
      </c>
      <c r="D8052" t="s">
        <v>20</v>
      </c>
      <c r="E8052" t="s">
        <v>39</v>
      </c>
      <c r="F8052">
        <v>0</v>
      </c>
      <c r="G8052">
        <v>0</v>
      </c>
      <c r="H8052">
        <v>19</v>
      </c>
      <c r="I8052" s="3">
        <v>2320.08</v>
      </c>
      <c r="J8052" s="3">
        <v>2235.46</v>
      </c>
      <c r="K8052" t="s">
        <v>17650</v>
      </c>
      <c r="L8052">
        <v>9324</v>
      </c>
      <c r="M8052" t="s">
        <v>17651</v>
      </c>
      <c r="N8052" t="s">
        <v>5232</v>
      </c>
      <c r="O8052" t="s">
        <v>3486</v>
      </c>
      <c r="P8052" t="str">
        <f>"60620"</f>
        <v>60620</v>
      </c>
    </row>
    <row r="8053" spans="1:16" x14ac:dyDescent="0.25">
      <c r="A8053" t="str">
        <f>"1130231P00249    00"</f>
        <v>1130231P00249    00</v>
      </c>
      <c r="B8053" t="s">
        <v>17652</v>
      </c>
      <c r="C8053" t="s">
        <v>17653</v>
      </c>
      <c r="D8053" t="s">
        <v>20</v>
      </c>
      <c r="E8053" t="s">
        <v>39</v>
      </c>
      <c r="F8053">
        <v>0</v>
      </c>
      <c r="G8053">
        <v>0</v>
      </c>
      <c r="H8053">
        <v>2</v>
      </c>
      <c r="I8053" s="3">
        <v>1006.4</v>
      </c>
      <c r="J8053" s="3">
        <v>0</v>
      </c>
      <c r="K8053" t="s">
        <v>17654</v>
      </c>
      <c r="L8053">
        <v>644</v>
      </c>
      <c r="M8053" t="s">
        <v>17358</v>
      </c>
      <c r="N8053" t="s">
        <v>30</v>
      </c>
      <c r="O8053" t="s">
        <v>31</v>
      </c>
      <c r="P8053" t="str">
        <f>"15221"</f>
        <v>15221</v>
      </c>
    </row>
    <row r="8054" spans="1:16" x14ac:dyDescent="0.25">
      <c r="A8054" t="str">
        <f>"1130231P00253    00"</f>
        <v>1130231P00253    00</v>
      </c>
      <c r="B8054" t="s">
        <v>17655</v>
      </c>
      <c r="C8054" t="s">
        <v>17656</v>
      </c>
      <c r="E8054" t="s">
        <v>39</v>
      </c>
      <c r="F8054">
        <v>0</v>
      </c>
      <c r="G8054">
        <v>0</v>
      </c>
      <c r="H8054">
        <v>3</v>
      </c>
      <c r="I8054" s="3">
        <v>964.89</v>
      </c>
      <c r="J8054" s="3">
        <v>172.87</v>
      </c>
      <c r="L8054">
        <v>646</v>
      </c>
      <c r="M8054" t="s">
        <v>17358</v>
      </c>
      <c r="N8054" t="s">
        <v>30</v>
      </c>
      <c r="O8054" t="s">
        <v>31</v>
      </c>
      <c r="P8054" t="str">
        <f>"15221"</f>
        <v>15221</v>
      </c>
    </row>
    <row r="8055" spans="1:16" x14ac:dyDescent="0.25">
      <c r="A8055" t="str">
        <f>"1130231P00254    00"</f>
        <v>1130231P00254    00</v>
      </c>
      <c r="B8055" t="s">
        <v>17657</v>
      </c>
      <c r="C8055" t="s">
        <v>17348</v>
      </c>
      <c r="D8055" t="s">
        <v>20</v>
      </c>
      <c r="E8055" t="s">
        <v>39</v>
      </c>
      <c r="F8055">
        <v>0</v>
      </c>
      <c r="G8055">
        <v>0</v>
      </c>
      <c r="H8055">
        <v>19</v>
      </c>
      <c r="I8055" s="3">
        <v>1831.92</v>
      </c>
      <c r="J8055" s="3">
        <v>1778.21</v>
      </c>
      <c r="L8055">
        <v>515</v>
      </c>
      <c r="M8055" t="s">
        <v>10574</v>
      </c>
      <c r="N8055" t="s">
        <v>30</v>
      </c>
      <c r="O8055" t="s">
        <v>31</v>
      </c>
      <c r="P8055" t="str">
        <f>"15206"</f>
        <v>15206</v>
      </c>
    </row>
    <row r="8056" spans="1:16" x14ac:dyDescent="0.25">
      <c r="A8056" t="str">
        <f>"1130231P00255    00"</f>
        <v>1130231P00255    00</v>
      </c>
      <c r="B8056" t="s">
        <v>17658</v>
      </c>
      <c r="C8056" t="s">
        <v>17348</v>
      </c>
      <c r="D8056" t="s">
        <v>20</v>
      </c>
      <c r="E8056" t="s">
        <v>39</v>
      </c>
      <c r="F8056">
        <v>0</v>
      </c>
      <c r="G8056">
        <v>0</v>
      </c>
      <c r="H8056">
        <v>18</v>
      </c>
      <c r="I8056" s="3">
        <v>1723.16</v>
      </c>
      <c r="J8056" s="3">
        <v>1408.79</v>
      </c>
      <c r="L8056">
        <v>1845</v>
      </c>
      <c r="M8056" t="s">
        <v>17659</v>
      </c>
      <c r="N8056" t="s">
        <v>30</v>
      </c>
      <c r="O8056" t="s">
        <v>31</v>
      </c>
      <c r="P8056" t="str">
        <f>"15235"</f>
        <v>15235</v>
      </c>
    </row>
    <row r="8057" spans="1:16" x14ac:dyDescent="0.25">
      <c r="A8057" t="str">
        <f>"1130231P00260    00"</f>
        <v>1130231P00260    00</v>
      </c>
      <c r="B8057" t="s">
        <v>17660</v>
      </c>
      <c r="C8057" t="s">
        <v>17661</v>
      </c>
      <c r="D8057" t="s">
        <v>20</v>
      </c>
      <c r="E8057" t="s">
        <v>39</v>
      </c>
      <c r="F8057">
        <v>0</v>
      </c>
      <c r="G8057">
        <v>0</v>
      </c>
      <c r="H8057">
        <v>4</v>
      </c>
      <c r="I8057" s="3">
        <v>129.30000000000001</v>
      </c>
      <c r="J8057" s="3">
        <v>9.18</v>
      </c>
      <c r="L8057">
        <v>1935</v>
      </c>
      <c r="M8057" t="s">
        <v>17662</v>
      </c>
      <c r="N8057" t="s">
        <v>30</v>
      </c>
      <c r="O8057" t="s">
        <v>31</v>
      </c>
      <c r="P8057" t="str">
        <f>"15218"</f>
        <v>15218</v>
      </c>
    </row>
    <row r="8058" spans="1:16" x14ac:dyDescent="0.25">
      <c r="A8058" t="str">
        <f>"1130231P00262    00"</f>
        <v>1130231P00262    00</v>
      </c>
      <c r="B8058" t="s">
        <v>17663</v>
      </c>
      <c r="C8058" t="s">
        <v>17664</v>
      </c>
      <c r="D8058" t="s">
        <v>20</v>
      </c>
      <c r="E8058" t="s">
        <v>39</v>
      </c>
      <c r="F8058">
        <v>0</v>
      </c>
      <c r="G8058">
        <v>0</v>
      </c>
      <c r="H8058">
        <v>5</v>
      </c>
      <c r="I8058" s="3">
        <v>4373.1000000000004</v>
      </c>
      <c r="J8058" s="3">
        <v>776.7</v>
      </c>
      <c r="L8058">
        <v>701</v>
      </c>
      <c r="M8058" t="s">
        <v>17358</v>
      </c>
      <c r="N8058" t="s">
        <v>30</v>
      </c>
      <c r="O8058" t="s">
        <v>31</v>
      </c>
      <c r="P8058" t="str">
        <f>"15221"</f>
        <v>15221</v>
      </c>
    </row>
    <row r="8059" spans="1:16" x14ac:dyDescent="0.25">
      <c r="A8059" t="str">
        <f>"1130231P00400    00"</f>
        <v>1130231P00400    00</v>
      </c>
      <c r="B8059" t="s">
        <v>17665</v>
      </c>
      <c r="C8059" t="s">
        <v>17666</v>
      </c>
      <c r="E8059" t="s">
        <v>21</v>
      </c>
      <c r="F8059">
        <v>0</v>
      </c>
      <c r="G8059">
        <v>0</v>
      </c>
      <c r="H8059">
        <v>2</v>
      </c>
      <c r="I8059" s="3">
        <v>97158.36</v>
      </c>
      <c r="J8059" s="3">
        <v>1617.31</v>
      </c>
      <c r="K8059" t="s">
        <v>17667</v>
      </c>
      <c r="L8059">
        <v>2607</v>
      </c>
      <c r="M8059" t="s">
        <v>17668</v>
      </c>
      <c r="N8059" t="s">
        <v>17280</v>
      </c>
      <c r="O8059" t="s">
        <v>6668</v>
      </c>
      <c r="P8059" t="str">
        <f>"98121"</f>
        <v>98121</v>
      </c>
    </row>
    <row r="8060" spans="1:16" x14ac:dyDescent="0.25">
      <c r="A8060" t="str">
        <f>"1130231R00002    00"</f>
        <v>1130231R00002    00</v>
      </c>
      <c r="B8060" t="s">
        <v>17669</v>
      </c>
      <c r="C8060" t="s">
        <v>17670</v>
      </c>
      <c r="D8060" t="s">
        <v>20</v>
      </c>
      <c r="E8060" t="s">
        <v>39</v>
      </c>
      <c r="F8060">
        <v>0</v>
      </c>
      <c r="G8060">
        <v>0</v>
      </c>
      <c r="H8060">
        <v>5</v>
      </c>
      <c r="I8060" s="3">
        <v>4012.94</v>
      </c>
      <c r="J8060" s="3">
        <v>693.3</v>
      </c>
      <c r="L8060">
        <v>28700</v>
      </c>
      <c r="M8060" t="s">
        <v>17671</v>
      </c>
      <c r="N8060" t="s">
        <v>17672</v>
      </c>
      <c r="O8060" t="s">
        <v>25</v>
      </c>
      <c r="P8060" t="str">
        <f>"44092"</f>
        <v>44092</v>
      </c>
    </row>
    <row r="8061" spans="1:16" x14ac:dyDescent="0.25">
      <c r="A8061" t="str">
        <f>"1130231R00012    00"</f>
        <v>1130231R00012    00</v>
      </c>
      <c r="B8061" t="s">
        <v>17409</v>
      </c>
      <c r="C8061" t="s">
        <v>17673</v>
      </c>
      <c r="D8061" t="s">
        <v>20</v>
      </c>
      <c r="E8061" t="s">
        <v>39</v>
      </c>
      <c r="F8061">
        <v>0</v>
      </c>
      <c r="G8061">
        <v>0</v>
      </c>
      <c r="H8061">
        <v>18</v>
      </c>
      <c r="I8061" s="3">
        <v>10829.28</v>
      </c>
      <c r="J8061" s="3">
        <v>7173.15</v>
      </c>
      <c r="L8061">
        <v>727</v>
      </c>
      <c r="M8061" t="s">
        <v>17413</v>
      </c>
      <c r="N8061" t="s">
        <v>30</v>
      </c>
      <c r="O8061" t="s">
        <v>31</v>
      </c>
      <c r="P8061" t="str">
        <f>"15221"</f>
        <v>15221</v>
      </c>
    </row>
    <row r="8062" spans="1:16" x14ac:dyDescent="0.25">
      <c r="A8062" t="str">
        <f>"1130231R00015    00"</f>
        <v>1130231R00015    00</v>
      </c>
      <c r="B8062" t="s">
        <v>17674</v>
      </c>
      <c r="C8062" t="s">
        <v>17675</v>
      </c>
      <c r="E8062" t="s">
        <v>21</v>
      </c>
      <c r="F8062">
        <v>0</v>
      </c>
      <c r="G8062">
        <v>0</v>
      </c>
      <c r="H8062">
        <v>2</v>
      </c>
      <c r="I8062" s="3">
        <v>34.619999999999997</v>
      </c>
      <c r="J8062" s="3">
        <v>0.14000000000000001</v>
      </c>
      <c r="K8062" t="s">
        <v>3621</v>
      </c>
      <c r="L8062">
        <v>211</v>
      </c>
      <c r="M8062" t="s">
        <v>3622</v>
      </c>
      <c r="N8062" t="s">
        <v>3623</v>
      </c>
      <c r="O8062" t="s">
        <v>31</v>
      </c>
      <c r="P8062" t="str">
        <f>"17101"</f>
        <v>17101</v>
      </c>
    </row>
    <row r="8063" spans="1:16" x14ac:dyDescent="0.25">
      <c r="A8063" t="str">
        <f>"1130231R00016    00"</f>
        <v>1130231R00016    00</v>
      </c>
      <c r="B8063" t="s">
        <v>17676</v>
      </c>
      <c r="C8063" t="s">
        <v>17677</v>
      </c>
      <c r="D8063" t="s">
        <v>20</v>
      </c>
      <c r="E8063" t="s">
        <v>39</v>
      </c>
      <c r="F8063">
        <v>0</v>
      </c>
      <c r="G8063">
        <v>0</v>
      </c>
      <c r="H8063">
        <v>13</v>
      </c>
      <c r="I8063" s="3">
        <v>3462.88</v>
      </c>
      <c r="J8063" s="3">
        <v>2154.17</v>
      </c>
      <c r="L8063">
        <v>2335</v>
      </c>
      <c r="M8063" t="s">
        <v>17678</v>
      </c>
      <c r="N8063" t="s">
        <v>30</v>
      </c>
      <c r="O8063" t="s">
        <v>31</v>
      </c>
      <c r="P8063" t="str">
        <f>"15221"</f>
        <v>15221</v>
      </c>
    </row>
    <row r="8064" spans="1:16" x14ac:dyDescent="0.25">
      <c r="A8064" t="str">
        <f>"1130231R00028    00"</f>
        <v>1130231R00028    00</v>
      </c>
      <c r="B8064" t="s">
        <v>17679</v>
      </c>
      <c r="C8064" t="s">
        <v>17680</v>
      </c>
      <c r="D8064" t="s">
        <v>20</v>
      </c>
      <c r="E8064" t="s">
        <v>39</v>
      </c>
      <c r="F8064">
        <v>0</v>
      </c>
      <c r="G8064">
        <v>0</v>
      </c>
      <c r="H8064">
        <v>1</v>
      </c>
      <c r="I8064" s="3">
        <v>61.86</v>
      </c>
      <c r="J8064" s="3">
        <v>0</v>
      </c>
      <c r="L8064">
        <v>2323</v>
      </c>
      <c r="M8064" t="s">
        <v>11725</v>
      </c>
      <c r="N8064" t="s">
        <v>30</v>
      </c>
      <c r="O8064" t="s">
        <v>31</v>
      </c>
      <c r="P8064" t="str">
        <f>"15221"</f>
        <v>15221</v>
      </c>
    </row>
    <row r="8065" spans="1:16" x14ac:dyDescent="0.25">
      <c r="A8065" t="str">
        <f>"1130231R00036    00"</f>
        <v>1130231R00036    00</v>
      </c>
      <c r="B8065" t="s">
        <v>17409</v>
      </c>
      <c r="C8065" t="s">
        <v>17681</v>
      </c>
      <c r="E8065" t="s">
        <v>39</v>
      </c>
      <c r="F8065">
        <v>0</v>
      </c>
      <c r="G8065">
        <v>0</v>
      </c>
      <c r="H8065">
        <v>3</v>
      </c>
      <c r="I8065" s="3">
        <v>1417.54</v>
      </c>
      <c r="J8065" s="3">
        <v>908.19</v>
      </c>
      <c r="L8065">
        <v>727</v>
      </c>
      <c r="M8065" t="s">
        <v>15656</v>
      </c>
      <c r="N8065" t="s">
        <v>30</v>
      </c>
      <c r="O8065" t="s">
        <v>31</v>
      </c>
      <c r="P8065" t="str">
        <f>"15221"</f>
        <v>15221</v>
      </c>
    </row>
    <row r="8066" spans="1:16" x14ac:dyDescent="0.25">
      <c r="A8066" t="str">
        <f>"1130231R00042    00"</f>
        <v>1130231R00042    00</v>
      </c>
      <c r="B8066" t="s">
        <v>17682</v>
      </c>
      <c r="C8066" t="s">
        <v>17683</v>
      </c>
      <c r="D8066" t="s">
        <v>20</v>
      </c>
      <c r="E8066" t="s">
        <v>39</v>
      </c>
      <c r="F8066">
        <v>0</v>
      </c>
      <c r="G8066">
        <v>0</v>
      </c>
      <c r="H8066">
        <v>15</v>
      </c>
      <c r="I8066" s="3">
        <v>9804.2800000000007</v>
      </c>
      <c r="J8066" s="3">
        <v>6718.47</v>
      </c>
      <c r="L8066">
        <v>211</v>
      </c>
      <c r="M8066" t="s">
        <v>13606</v>
      </c>
      <c r="N8066" t="s">
        <v>30</v>
      </c>
      <c r="O8066" t="s">
        <v>31</v>
      </c>
      <c r="P8066" t="str">
        <f>"15235"</f>
        <v>15235</v>
      </c>
    </row>
    <row r="8067" spans="1:16" x14ac:dyDescent="0.25">
      <c r="A8067" t="str">
        <f>"1130231R00044    00"</f>
        <v>1130231R00044    00</v>
      </c>
      <c r="B8067" t="s">
        <v>17409</v>
      </c>
      <c r="C8067" t="s">
        <v>17684</v>
      </c>
      <c r="D8067" t="s">
        <v>20</v>
      </c>
      <c r="E8067" t="s">
        <v>39</v>
      </c>
      <c r="F8067">
        <v>0</v>
      </c>
      <c r="G8067">
        <v>0</v>
      </c>
      <c r="H8067">
        <v>19</v>
      </c>
      <c r="I8067" s="3">
        <v>13652.38</v>
      </c>
      <c r="J8067" s="3">
        <v>15354.07</v>
      </c>
      <c r="L8067">
        <v>727</v>
      </c>
      <c r="M8067" t="s">
        <v>17413</v>
      </c>
      <c r="N8067" t="s">
        <v>30</v>
      </c>
      <c r="O8067" t="s">
        <v>31</v>
      </c>
      <c r="P8067" t="str">
        <f>"15221"</f>
        <v>15221</v>
      </c>
    </row>
    <row r="8068" spans="1:16" x14ac:dyDescent="0.25">
      <c r="A8068" t="str">
        <f>"1130231R00050    00"</f>
        <v>1130231R00050    00</v>
      </c>
      <c r="B8068" t="s">
        <v>14942</v>
      </c>
      <c r="C8068" t="s">
        <v>17685</v>
      </c>
      <c r="D8068" t="s">
        <v>20</v>
      </c>
      <c r="E8068" t="s">
        <v>39</v>
      </c>
      <c r="F8068">
        <v>0</v>
      </c>
      <c r="G8068">
        <v>0</v>
      </c>
      <c r="H8068">
        <v>3</v>
      </c>
      <c r="I8068" s="3">
        <v>1979.49</v>
      </c>
      <c r="J8068" s="3">
        <v>312.19</v>
      </c>
      <c r="L8068">
        <v>106</v>
      </c>
      <c r="M8068" t="s">
        <v>17686</v>
      </c>
      <c r="N8068" t="s">
        <v>17687</v>
      </c>
      <c r="O8068" t="s">
        <v>1413</v>
      </c>
      <c r="P8068" t="str">
        <f>"28117"</f>
        <v>28117</v>
      </c>
    </row>
    <row r="8069" spans="1:16" x14ac:dyDescent="0.25">
      <c r="A8069" t="str">
        <f>"1130231R00052    00"</f>
        <v>1130231R00052    00</v>
      </c>
      <c r="B8069" t="s">
        <v>17409</v>
      </c>
      <c r="C8069" t="s">
        <v>17688</v>
      </c>
      <c r="D8069" t="s">
        <v>20</v>
      </c>
      <c r="E8069" t="s">
        <v>39</v>
      </c>
      <c r="F8069">
        <v>0</v>
      </c>
      <c r="G8069">
        <v>0</v>
      </c>
      <c r="H8069">
        <v>11</v>
      </c>
      <c r="I8069" s="3">
        <v>6844.4</v>
      </c>
      <c r="J8069" s="3">
        <v>3161.9</v>
      </c>
      <c r="K8069" t="s">
        <v>17412</v>
      </c>
      <c r="L8069">
        <v>727</v>
      </c>
      <c r="M8069" t="s">
        <v>17413</v>
      </c>
      <c r="N8069" t="s">
        <v>30</v>
      </c>
      <c r="O8069" t="s">
        <v>31</v>
      </c>
      <c r="P8069" t="str">
        <f>"15221"</f>
        <v>15221</v>
      </c>
    </row>
    <row r="8070" spans="1:16" x14ac:dyDescent="0.25">
      <c r="A8070" t="str">
        <f>"1130231R00068    00"</f>
        <v>1130231R00068    00</v>
      </c>
      <c r="B8070" t="s">
        <v>17689</v>
      </c>
      <c r="C8070" t="s">
        <v>17690</v>
      </c>
      <c r="D8070" t="s">
        <v>20</v>
      </c>
      <c r="E8070" t="s">
        <v>39</v>
      </c>
      <c r="F8070">
        <v>0</v>
      </c>
      <c r="G8070">
        <v>0</v>
      </c>
      <c r="H8070">
        <v>3</v>
      </c>
      <c r="I8070" s="3">
        <v>1925.38</v>
      </c>
      <c r="J8070" s="3">
        <v>131.12</v>
      </c>
      <c r="L8070">
        <v>611</v>
      </c>
      <c r="M8070" t="s">
        <v>11362</v>
      </c>
      <c r="N8070" t="s">
        <v>1046</v>
      </c>
      <c r="O8070" t="s">
        <v>31</v>
      </c>
      <c r="P8070" t="str">
        <f>"15147"</f>
        <v>15147</v>
      </c>
    </row>
    <row r="8071" spans="1:16" x14ac:dyDescent="0.25">
      <c r="A8071" t="str">
        <f>"1130231R00070    00"</f>
        <v>1130231R00070    00</v>
      </c>
      <c r="B8071" t="s">
        <v>17691</v>
      </c>
      <c r="C8071" t="s">
        <v>17692</v>
      </c>
      <c r="D8071" t="s">
        <v>20</v>
      </c>
      <c r="E8071" t="s">
        <v>39</v>
      </c>
      <c r="F8071">
        <v>0</v>
      </c>
      <c r="G8071">
        <v>0</v>
      </c>
      <c r="H8071">
        <v>3</v>
      </c>
      <c r="I8071" s="3">
        <v>492.74</v>
      </c>
      <c r="J8071" s="3">
        <v>36.520000000000003</v>
      </c>
      <c r="L8071">
        <v>104</v>
      </c>
      <c r="M8071" t="s">
        <v>17693</v>
      </c>
      <c r="N8071" t="s">
        <v>30</v>
      </c>
      <c r="O8071" t="s">
        <v>31</v>
      </c>
      <c r="P8071" t="str">
        <f>"15221"</f>
        <v>15221</v>
      </c>
    </row>
    <row r="8072" spans="1:16" x14ac:dyDescent="0.25">
      <c r="A8072" t="str">
        <f>"1130231R00072    00"</f>
        <v>1130231R00072    00</v>
      </c>
      <c r="B8072" t="s">
        <v>17694</v>
      </c>
      <c r="C8072" t="s">
        <v>17695</v>
      </c>
      <c r="D8072" t="s">
        <v>20</v>
      </c>
      <c r="E8072" t="s">
        <v>39</v>
      </c>
      <c r="F8072">
        <v>0</v>
      </c>
      <c r="G8072">
        <v>0</v>
      </c>
      <c r="H8072">
        <v>4</v>
      </c>
      <c r="I8072" s="3">
        <v>2468.09</v>
      </c>
      <c r="J8072" s="3">
        <v>291.56</v>
      </c>
      <c r="K8072" t="s">
        <v>17696</v>
      </c>
      <c r="L8072">
        <v>102</v>
      </c>
      <c r="M8072" t="s">
        <v>17693</v>
      </c>
      <c r="N8072" t="s">
        <v>30</v>
      </c>
      <c r="O8072" t="s">
        <v>31</v>
      </c>
      <c r="P8072" t="str">
        <f>"15221"</f>
        <v>15221</v>
      </c>
    </row>
    <row r="8073" spans="1:16" x14ac:dyDescent="0.25">
      <c r="A8073" t="str">
        <f>"1130231R00074    00"</f>
        <v>1130231R00074    00</v>
      </c>
      <c r="B8073" t="s">
        <v>17697</v>
      </c>
      <c r="C8073" t="s">
        <v>17698</v>
      </c>
      <c r="D8073" t="s">
        <v>20</v>
      </c>
      <c r="E8073" t="s">
        <v>39</v>
      </c>
      <c r="F8073">
        <v>0</v>
      </c>
      <c r="G8073">
        <v>0</v>
      </c>
      <c r="H8073">
        <v>2</v>
      </c>
      <c r="I8073" s="3">
        <v>75.06</v>
      </c>
      <c r="J8073" s="3">
        <v>0</v>
      </c>
      <c r="L8073">
        <v>100</v>
      </c>
      <c r="M8073" t="s">
        <v>17693</v>
      </c>
      <c r="N8073" t="s">
        <v>30</v>
      </c>
      <c r="O8073" t="s">
        <v>31</v>
      </c>
      <c r="P8073" t="str">
        <f>"15221"</f>
        <v>15221</v>
      </c>
    </row>
    <row r="8074" spans="1:16" x14ac:dyDescent="0.25">
      <c r="A8074" t="str">
        <f>"1130231R00084    00"</f>
        <v>1130231R00084    00</v>
      </c>
      <c r="B8074" t="s">
        <v>17409</v>
      </c>
      <c r="C8074" t="s">
        <v>17699</v>
      </c>
      <c r="D8074" t="s">
        <v>20</v>
      </c>
      <c r="E8074" t="s">
        <v>39</v>
      </c>
      <c r="F8074">
        <v>0</v>
      </c>
      <c r="G8074">
        <v>0</v>
      </c>
      <c r="H8074">
        <v>16</v>
      </c>
      <c r="I8074" s="3">
        <v>11874.19</v>
      </c>
      <c r="J8074" s="3">
        <v>8228.89</v>
      </c>
      <c r="L8074">
        <v>727</v>
      </c>
      <c r="M8074" t="s">
        <v>17413</v>
      </c>
      <c r="N8074" t="s">
        <v>30</v>
      </c>
      <c r="O8074" t="s">
        <v>31</v>
      </c>
      <c r="P8074" t="str">
        <f>"15221"</f>
        <v>15221</v>
      </c>
    </row>
    <row r="8075" spans="1:16" x14ac:dyDescent="0.25">
      <c r="A8075" t="str">
        <f>"1130231R00088    00"</f>
        <v>1130231R00088    00</v>
      </c>
      <c r="B8075" t="s">
        <v>17700</v>
      </c>
      <c r="C8075" t="s">
        <v>17701</v>
      </c>
      <c r="D8075" t="s">
        <v>20</v>
      </c>
      <c r="E8075" t="s">
        <v>39</v>
      </c>
      <c r="F8075">
        <v>0</v>
      </c>
      <c r="G8075">
        <v>0</v>
      </c>
      <c r="H8075">
        <v>18</v>
      </c>
      <c r="I8075" s="3">
        <v>3042.65</v>
      </c>
      <c r="J8075" s="3">
        <v>2946.84</v>
      </c>
      <c r="L8075">
        <v>2218</v>
      </c>
      <c r="M8075" t="s">
        <v>11725</v>
      </c>
      <c r="N8075" t="s">
        <v>30</v>
      </c>
      <c r="O8075" t="s">
        <v>31</v>
      </c>
      <c r="P8075" t="str">
        <f>"15221"</f>
        <v>15221</v>
      </c>
    </row>
    <row r="8076" spans="1:16" x14ac:dyDescent="0.25">
      <c r="A8076" t="str">
        <f>"1130231R00096    00"</f>
        <v>1130231R00096    00</v>
      </c>
      <c r="B8076" t="s">
        <v>17702</v>
      </c>
      <c r="C8076" t="s">
        <v>17703</v>
      </c>
      <c r="D8076" t="s">
        <v>20</v>
      </c>
      <c r="E8076" t="s">
        <v>39</v>
      </c>
      <c r="F8076">
        <v>0</v>
      </c>
      <c r="G8076">
        <v>0</v>
      </c>
      <c r="H8076">
        <v>19</v>
      </c>
      <c r="I8076" s="3">
        <v>10693.18</v>
      </c>
      <c r="J8076" s="3">
        <v>8582.08</v>
      </c>
      <c r="L8076">
        <v>7024</v>
      </c>
      <c r="M8076" t="s">
        <v>12207</v>
      </c>
      <c r="N8076" t="s">
        <v>30</v>
      </c>
      <c r="O8076" t="s">
        <v>31</v>
      </c>
      <c r="P8076" t="str">
        <f>"15208"</f>
        <v>15208</v>
      </c>
    </row>
    <row r="8077" spans="1:16" x14ac:dyDescent="0.25">
      <c r="A8077" t="str">
        <f>"1130232A00007    00"</f>
        <v>1130232A00007    00</v>
      </c>
      <c r="B8077" t="s">
        <v>17704</v>
      </c>
      <c r="C8077" t="s">
        <v>16693</v>
      </c>
      <c r="D8077" t="s">
        <v>20</v>
      </c>
      <c r="E8077" t="s">
        <v>39</v>
      </c>
      <c r="F8077">
        <v>0</v>
      </c>
      <c r="G8077">
        <v>0</v>
      </c>
      <c r="H8077">
        <v>19</v>
      </c>
      <c r="I8077" s="3">
        <v>2062.27</v>
      </c>
      <c r="J8077" s="3">
        <v>1990.01</v>
      </c>
      <c r="L8077">
        <v>7424</v>
      </c>
      <c r="M8077" t="s">
        <v>11269</v>
      </c>
      <c r="N8077" t="s">
        <v>30</v>
      </c>
      <c r="O8077" t="s">
        <v>31</v>
      </c>
      <c r="P8077" t="str">
        <f>"15208"</f>
        <v>15208</v>
      </c>
    </row>
    <row r="8078" spans="1:16" x14ac:dyDescent="0.25">
      <c r="A8078" t="str">
        <f>"1130232A00012    00"</f>
        <v>1130232A00012    00</v>
      </c>
      <c r="B8078" t="s">
        <v>17705</v>
      </c>
      <c r="C8078" t="s">
        <v>16693</v>
      </c>
      <c r="D8078" t="s">
        <v>20</v>
      </c>
      <c r="E8078" t="s">
        <v>39</v>
      </c>
      <c r="F8078">
        <v>0</v>
      </c>
      <c r="G8078">
        <v>0</v>
      </c>
      <c r="H8078">
        <v>19</v>
      </c>
      <c r="I8078" s="3">
        <v>210.88</v>
      </c>
      <c r="J8078" s="3">
        <v>189.11</v>
      </c>
      <c r="K8078" t="s">
        <v>1008</v>
      </c>
      <c r="P8078" t="str">
        <f>""</f>
        <v/>
      </c>
    </row>
    <row r="8079" spans="1:16" x14ac:dyDescent="0.25">
      <c r="A8079" t="str">
        <f>"1130232A00016    00"</f>
        <v>1130232A00016    00</v>
      </c>
      <c r="B8079" t="s">
        <v>17706</v>
      </c>
      <c r="C8079" t="s">
        <v>17707</v>
      </c>
      <c r="D8079" t="s">
        <v>20</v>
      </c>
      <c r="E8079" t="s">
        <v>39</v>
      </c>
      <c r="F8079">
        <v>0</v>
      </c>
      <c r="G8079">
        <v>0</v>
      </c>
      <c r="H8079">
        <v>1</v>
      </c>
      <c r="I8079" s="3">
        <v>91.62</v>
      </c>
      <c r="J8079" s="3">
        <v>0</v>
      </c>
      <c r="L8079">
        <v>6945</v>
      </c>
      <c r="M8079" t="s">
        <v>12682</v>
      </c>
      <c r="N8079" t="s">
        <v>30</v>
      </c>
      <c r="O8079" t="s">
        <v>31</v>
      </c>
      <c r="P8079" t="str">
        <f>"15206"</f>
        <v>15206</v>
      </c>
    </row>
    <row r="8080" spans="1:16" x14ac:dyDescent="0.25">
      <c r="A8080" t="str">
        <f>"1130232A00021    00"</f>
        <v>1130232A00021    00</v>
      </c>
      <c r="B8080" t="s">
        <v>17708</v>
      </c>
      <c r="C8080" t="s">
        <v>17709</v>
      </c>
      <c r="D8080" t="s">
        <v>20</v>
      </c>
      <c r="E8080" t="s">
        <v>39</v>
      </c>
      <c r="F8080">
        <v>0</v>
      </c>
      <c r="G8080">
        <v>0</v>
      </c>
      <c r="H8080">
        <v>1</v>
      </c>
      <c r="I8080" s="3">
        <v>106.74</v>
      </c>
      <c r="J8080" s="3">
        <v>0</v>
      </c>
      <c r="L8080">
        <v>628</v>
      </c>
      <c r="M8080" t="s">
        <v>16689</v>
      </c>
      <c r="N8080" t="s">
        <v>30</v>
      </c>
      <c r="O8080" t="s">
        <v>31</v>
      </c>
      <c r="P8080" t="str">
        <f>"15221"</f>
        <v>15221</v>
      </c>
    </row>
    <row r="8081" spans="1:16" x14ac:dyDescent="0.25">
      <c r="A8081" t="str">
        <f>"1130232A00023    00"</f>
        <v>1130232A00023    00</v>
      </c>
      <c r="B8081" t="s">
        <v>17710</v>
      </c>
      <c r="C8081" t="s">
        <v>17711</v>
      </c>
      <c r="D8081" t="s">
        <v>20</v>
      </c>
      <c r="E8081" t="s">
        <v>39</v>
      </c>
      <c r="F8081">
        <v>0</v>
      </c>
      <c r="G8081">
        <v>0</v>
      </c>
      <c r="H8081">
        <v>9</v>
      </c>
      <c r="I8081" s="3">
        <v>5791.44</v>
      </c>
      <c r="J8081" s="3">
        <v>8633.2000000000007</v>
      </c>
      <c r="L8081">
        <v>628</v>
      </c>
      <c r="M8081" t="s">
        <v>16689</v>
      </c>
      <c r="N8081" t="s">
        <v>30</v>
      </c>
      <c r="O8081" t="s">
        <v>31</v>
      </c>
      <c r="P8081" t="str">
        <f>"15221"</f>
        <v>15221</v>
      </c>
    </row>
    <row r="8082" spans="1:16" x14ac:dyDescent="0.25">
      <c r="A8082" t="str">
        <f>"1130232A00025    00"</f>
        <v>1130232A00025    00</v>
      </c>
      <c r="B8082" t="s">
        <v>17712</v>
      </c>
      <c r="C8082" t="s">
        <v>17709</v>
      </c>
      <c r="D8082" t="s">
        <v>20</v>
      </c>
      <c r="E8082" t="s">
        <v>39</v>
      </c>
      <c r="F8082">
        <v>0</v>
      </c>
      <c r="G8082">
        <v>0</v>
      </c>
      <c r="H8082">
        <v>19</v>
      </c>
      <c r="I8082" s="3">
        <v>2111.3000000000002</v>
      </c>
      <c r="J8082" s="3">
        <v>2035.5</v>
      </c>
      <c r="L8082">
        <v>335</v>
      </c>
      <c r="M8082" t="s">
        <v>17713</v>
      </c>
      <c r="N8082" t="s">
        <v>30</v>
      </c>
      <c r="O8082" t="s">
        <v>31</v>
      </c>
      <c r="P8082" t="str">
        <f>"15239"</f>
        <v>15239</v>
      </c>
    </row>
    <row r="8083" spans="1:16" x14ac:dyDescent="0.25">
      <c r="A8083" t="str">
        <f>"1130232A00027    00"</f>
        <v>1130232A00027    00</v>
      </c>
      <c r="B8083" t="s">
        <v>17714</v>
      </c>
      <c r="C8083" t="s">
        <v>17709</v>
      </c>
      <c r="D8083" t="s">
        <v>20</v>
      </c>
      <c r="E8083" t="s">
        <v>39</v>
      </c>
      <c r="F8083">
        <v>0</v>
      </c>
      <c r="G8083">
        <v>0</v>
      </c>
      <c r="H8083">
        <v>19</v>
      </c>
      <c r="I8083" s="3">
        <v>1916.97</v>
      </c>
      <c r="J8083" s="3">
        <v>1800.68</v>
      </c>
      <c r="L8083">
        <v>632</v>
      </c>
      <c r="M8083" t="s">
        <v>16689</v>
      </c>
      <c r="N8083" t="s">
        <v>30</v>
      </c>
      <c r="O8083" t="s">
        <v>31</v>
      </c>
      <c r="P8083" t="str">
        <f>"15221"</f>
        <v>15221</v>
      </c>
    </row>
    <row r="8084" spans="1:16" x14ac:dyDescent="0.25">
      <c r="A8084" t="str">
        <f>"1130232A00038    00"</f>
        <v>1130232A00038    00</v>
      </c>
      <c r="B8084" t="s">
        <v>17715</v>
      </c>
      <c r="C8084" t="s">
        <v>16351</v>
      </c>
      <c r="D8084" t="s">
        <v>20</v>
      </c>
      <c r="E8084" t="s">
        <v>39</v>
      </c>
      <c r="F8084">
        <v>0</v>
      </c>
      <c r="G8084">
        <v>0</v>
      </c>
      <c r="H8084">
        <v>19</v>
      </c>
      <c r="I8084" s="3">
        <v>2429.29</v>
      </c>
      <c r="J8084" s="3">
        <v>2473.4299999999998</v>
      </c>
      <c r="L8084">
        <v>5424</v>
      </c>
      <c r="M8084" t="s">
        <v>13512</v>
      </c>
      <c r="N8084" t="s">
        <v>30</v>
      </c>
      <c r="O8084" t="s">
        <v>31</v>
      </c>
      <c r="P8084" t="str">
        <f>"15207"</f>
        <v>15207</v>
      </c>
    </row>
    <row r="8085" spans="1:16" x14ac:dyDescent="0.25">
      <c r="A8085" t="str">
        <f>"1130232A00041    00"</f>
        <v>1130232A00041    00</v>
      </c>
      <c r="B8085" t="s">
        <v>17716</v>
      </c>
      <c r="C8085" t="s">
        <v>17717</v>
      </c>
      <c r="D8085" t="s">
        <v>20</v>
      </c>
      <c r="E8085" t="s">
        <v>39</v>
      </c>
      <c r="F8085">
        <v>0</v>
      </c>
      <c r="G8085">
        <v>0</v>
      </c>
      <c r="H8085">
        <v>2</v>
      </c>
      <c r="I8085" s="3">
        <v>804.36</v>
      </c>
      <c r="J8085" s="3">
        <v>0</v>
      </c>
      <c r="K8085" t="s">
        <v>17718</v>
      </c>
      <c r="L8085">
        <v>951</v>
      </c>
      <c r="M8085" t="s">
        <v>4776</v>
      </c>
      <c r="N8085" t="s">
        <v>30</v>
      </c>
      <c r="O8085" t="s">
        <v>31</v>
      </c>
      <c r="P8085" t="str">
        <f t="shared" ref="P8085:P8091" si="94">"15221"</f>
        <v>15221</v>
      </c>
    </row>
    <row r="8086" spans="1:16" x14ac:dyDescent="0.25">
      <c r="A8086" t="str">
        <f>"1130232A00043    00"</f>
        <v>1130232A00043    00</v>
      </c>
      <c r="B8086" t="s">
        <v>17719</v>
      </c>
      <c r="C8086" t="s">
        <v>17720</v>
      </c>
      <c r="E8086" t="s">
        <v>39</v>
      </c>
      <c r="F8086">
        <v>0</v>
      </c>
      <c r="G8086">
        <v>0</v>
      </c>
      <c r="H8086">
        <v>3</v>
      </c>
      <c r="I8086" s="3">
        <v>94.75</v>
      </c>
      <c r="J8086" s="3">
        <v>41.62</v>
      </c>
      <c r="L8086">
        <v>640</v>
      </c>
      <c r="M8086" t="s">
        <v>14521</v>
      </c>
      <c r="N8086" t="s">
        <v>30</v>
      </c>
      <c r="O8086" t="s">
        <v>31</v>
      </c>
      <c r="P8086" t="str">
        <f t="shared" si="94"/>
        <v>15221</v>
      </c>
    </row>
    <row r="8087" spans="1:16" x14ac:dyDescent="0.25">
      <c r="A8087" t="str">
        <f>"1130232A00052    00"</f>
        <v>1130232A00052    00</v>
      </c>
      <c r="B8087" t="s">
        <v>17719</v>
      </c>
      <c r="C8087" t="s">
        <v>17720</v>
      </c>
      <c r="E8087" t="s">
        <v>39</v>
      </c>
      <c r="F8087">
        <v>0</v>
      </c>
      <c r="G8087">
        <v>0</v>
      </c>
      <c r="H8087">
        <v>3</v>
      </c>
      <c r="I8087" s="3">
        <v>40.61</v>
      </c>
      <c r="J8087" s="3">
        <v>17.84</v>
      </c>
      <c r="L8087">
        <v>640</v>
      </c>
      <c r="M8087" t="s">
        <v>14521</v>
      </c>
      <c r="N8087" t="s">
        <v>30</v>
      </c>
      <c r="O8087" t="s">
        <v>31</v>
      </c>
      <c r="P8087" t="str">
        <f t="shared" si="94"/>
        <v>15221</v>
      </c>
    </row>
    <row r="8088" spans="1:16" x14ac:dyDescent="0.25">
      <c r="A8088" t="str">
        <f>"1130232A00053    00"</f>
        <v>1130232A00053    00</v>
      </c>
      <c r="B8088" t="s">
        <v>17719</v>
      </c>
      <c r="C8088" t="s">
        <v>17720</v>
      </c>
      <c r="E8088" t="s">
        <v>39</v>
      </c>
      <c r="F8088">
        <v>0</v>
      </c>
      <c r="G8088">
        <v>0</v>
      </c>
      <c r="H8088">
        <v>3</v>
      </c>
      <c r="I8088" s="3">
        <v>40.61</v>
      </c>
      <c r="J8088" s="3">
        <v>17.84</v>
      </c>
      <c r="L8088">
        <v>640</v>
      </c>
      <c r="M8088" t="s">
        <v>14521</v>
      </c>
      <c r="N8088" t="s">
        <v>30</v>
      </c>
      <c r="O8088" t="s">
        <v>31</v>
      </c>
      <c r="P8088" t="str">
        <f t="shared" si="94"/>
        <v>15221</v>
      </c>
    </row>
    <row r="8089" spans="1:16" x14ac:dyDescent="0.25">
      <c r="A8089" t="str">
        <f>"1130232A00056    00"</f>
        <v>1130232A00056    00</v>
      </c>
      <c r="B8089" t="s">
        <v>17721</v>
      </c>
      <c r="C8089" t="s">
        <v>17720</v>
      </c>
      <c r="D8089" t="s">
        <v>20</v>
      </c>
      <c r="E8089" t="s">
        <v>39</v>
      </c>
      <c r="F8089">
        <v>0</v>
      </c>
      <c r="G8089">
        <v>0</v>
      </c>
      <c r="H8089">
        <v>2</v>
      </c>
      <c r="I8089" s="3">
        <v>1623.94</v>
      </c>
      <c r="J8089" s="3">
        <v>0</v>
      </c>
      <c r="L8089">
        <v>630</v>
      </c>
      <c r="M8089" t="s">
        <v>14521</v>
      </c>
      <c r="N8089" t="s">
        <v>30</v>
      </c>
      <c r="O8089" t="s">
        <v>31</v>
      </c>
      <c r="P8089" t="str">
        <f t="shared" si="94"/>
        <v>15221</v>
      </c>
    </row>
    <row r="8090" spans="1:16" x14ac:dyDescent="0.25">
      <c r="A8090" t="str">
        <f>"1130232A00081    00"</f>
        <v>1130232A00081    00</v>
      </c>
      <c r="B8090" t="s">
        <v>17722</v>
      </c>
      <c r="C8090" t="s">
        <v>17723</v>
      </c>
      <c r="D8090" t="s">
        <v>20</v>
      </c>
      <c r="E8090" t="s">
        <v>39</v>
      </c>
      <c r="F8090">
        <v>0</v>
      </c>
      <c r="G8090">
        <v>0</v>
      </c>
      <c r="H8090">
        <v>4</v>
      </c>
      <c r="I8090" s="3">
        <v>967.54</v>
      </c>
      <c r="J8090" s="3">
        <v>134.63999999999999</v>
      </c>
      <c r="L8090">
        <v>562</v>
      </c>
      <c r="M8090" t="s">
        <v>14521</v>
      </c>
      <c r="N8090" t="s">
        <v>30</v>
      </c>
      <c r="O8090" t="s">
        <v>31</v>
      </c>
      <c r="P8090" t="str">
        <f t="shared" si="94"/>
        <v>15221</v>
      </c>
    </row>
    <row r="8091" spans="1:16" x14ac:dyDescent="0.25">
      <c r="A8091" t="str">
        <f>"1130232A00082    00"</f>
        <v>1130232A00082    00</v>
      </c>
      <c r="B8091" t="s">
        <v>17724</v>
      </c>
      <c r="C8091" t="s">
        <v>17725</v>
      </c>
      <c r="D8091" t="s">
        <v>20</v>
      </c>
      <c r="E8091" t="s">
        <v>39</v>
      </c>
      <c r="F8091">
        <v>0</v>
      </c>
      <c r="G8091">
        <v>0</v>
      </c>
      <c r="H8091">
        <v>4</v>
      </c>
      <c r="I8091" s="3">
        <v>451.08</v>
      </c>
      <c r="J8091" s="3">
        <v>53.56</v>
      </c>
      <c r="L8091">
        <v>564</v>
      </c>
      <c r="M8091" t="s">
        <v>14521</v>
      </c>
      <c r="N8091" t="s">
        <v>30</v>
      </c>
      <c r="O8091" t="s">
        <v>31</v>
      </c>
      <c r="P8091" t="str">
        <f t="shared" si="94"/>
        <v>15221</v>
      </c>
    </row>
    <row r="8092" spans="1:16" x14ac:dyDescent="0.25">
      <c r="A8092" t="str">
        <f>"1130232A00115    00"</f>
        <v>1130232A00115    00</v>
      </c>
      <c r="B8092" t="s">
        <v>17726</v>
      </c>
      <c r="C8092" t="s">
        <v>17590</v>
      </c>
      <c r="D8092" t="s">
        <v>20</v>
      </c>
      <c r="E8092" t="s">
        <v>39</v>
      </c>
      <c r="F8092">
        <v>0</v>
      </c>
      <c r="G8092">
        <v>0</v>
      </c>
      <c r="H8092">
        <v>17</v>
      </c>
      <c r="I8092" s="3">
        <v>152.36000000000001</v>
      </c>
      <c r="J8092" s="3">
        <v>159.4</v>
      </c>
      <c r="K8092" t="s">
        <v>1008</v>
      </c>
      <c r="P8092" t="str">
        <f>""</f>
        <v/>
      </c>
    </row>
    <row r="8093" spans="1:16" x14ac:dyDescent="0.25">
      <c r="A8093" t="str">
        <f>"1130232A00118    00"</f>
        <v>1130232A00118    00</v>
      </c>
      <c r="B8093" t="s">
        <v>17727</v>
      </c>
      <c r="C8093" t="s">
        <v>17590</v>
      </c>
      <c r="D8093" t="s">
        <v>20</v>
      </c>
      <c r="E8093" t="s">
        <v>39</v>
      </c>
      <c r="F8093">
        <v>0</v>
      </c>
      <c r="G8093">
        <v>0</v>
      </c>
      <c r="H8093">
        <v>10</v>
      </c>
      <c r="I8093" s="3">
        <v>841.22</v>
      </c>
      <c r="J8093" s="3">
        <v>426.82</v>
      </c>
      <c r="M8093" t="s">
        <v>17728</v>
      </c>
      <c r="N8093" t="s">
        <v>30</v>
      </c>
      <c r="O8093" t="s">
        <v>31</v>
      </c>
      <c r="P8093" t="str">
        <f>"15224"</f>
        <v>15224</v>
      </c>
    </row>
    <row r="8094" spans="1:16" x14ac:dyDescent="0.25">
      <c r="A8094" t="str">
        <f>"1130232A00120    00"</f>
        <v>1130232A00120    00</v>
      </c>
      <c r="B8094" t="s">
        <v>17729</v>
      </c>
      <c r="C8094" t="s">
        <v>17590</v>
      </c>
      <c r="D8094" t="s">
        <v>20</v>
      </c>
      <c r="E8094" t="s">
        <v>39</v>
      </c>
      <c r="F8094">
        <v>0</v>
      </c>
      <c r="G8094">
        <v>0</v>
      </c>
      <c r="H8094">
        <v>19</v>
      </c>
      <c r="I8094" s="3">
        <v>2073.12</v>
      </c>
      <c r="J8094" s="3">
        <v>2085.6999999999998</v>
      </c>
      <c r="L8094">
        <v>706</v>
      </c>
      <c r="M8094" t="s">
        <v>17730</v>
      </c>
      <c r="N8094" t="s">
        <v>199</v>
      </c>
      <c r="O8094" t="s">
        <v>200</v>
      </c>
      <c r="P8094" t="str">
        <f>"10031"</f>
        <v>10031</v>
      </c>
    </row>
    <row r="8095" spans="1:16" x14ac:dyDescent="0.25">
      <c r="A8095" t="str">
        <f>"1130232A00121    00"</f>
        <v>1130232A00121    00</v>
      </c>
      <c r="B8095" t="s">
        <v>17731</v>
      </c>
      <c r="C8095" t="s">
        <v>17592</v>
      </c>
      <c r="D8095" t="s">
        <v>20</v>
      </c>
      <c r="E8095" t="s">
        <v>39</v>
      </c>
      <c r="F8095">
        <v>0</v>
      </c>
      <c r="G8095">
        <v>0</v>
      </c>
      <c r="H8095">
        <v>16</v>
      </c>
      <c r="I8095" s="3">
        <v>259.12</v>
      </c>
      <c r="J8095" s="3">
        <v>168.23</v>
      </c>
      <c r="L8095">
        <v>716</v>
      </c>
      <c r="M8095" t="s">
        <v>17732</v>
      </c>
      <c r="N8095" t="s">
        <v>30</v>
      </c>
      <c r="O8095" t="s">
        <v>31</v>
      </c>
      <c r="P8095" t="str">
        <f t="shared" ref="P8095:P8100" si="95">"15221"</f>
        <v>15221</v>
      </c>
    </row>
    <row r="8096" spans="1:16" x14ac:dyDescent="0.25">
      <c r="A8096" t="str">
        <f>"1130232A00126    00"</f>
        <v>1130232A00126    00</v>
      </c>
      <c r="B8096" t="s">
        <v>17733</v>
      </c>
      <c r="C8096" t="s">
        <v>17590</v>
      </c>
      <c r="E8096" t="s">
        <v>39</v>
      </c>
      <c r="F8096">
        <v>0</v>
      </c>
      <c r="G8096">
        <v>0</v>
      </c>
      <c r="H8096">
        <v>2</v>
      </c>
      <c r="I8096" s="3">
        <v>18.68</v>
      </c>
      <c r="J8096" s="3">
        <v>4.66</v>
      </c>
      <c r="L8096">
        <v>720</v>
      </c>
      <c r="M8096" t="s">
        <v>17734</v>
      </c>
      <c r="N8096" t="s">
        <v>30</v>
      </c>
      <c r="O8096" t="s">
        <v>31</v>
      </c>
      <c r="P8096" t="str">
        <f t="shared" si="95"/>
        <v>15221</v>
      </c>
    </row>
    <row r="8097" spans="1:16" x14ac:dyDescent="0.25">
      <c r="A8097" t="str">
        <f>"1130232A00127    00"</f>
        <v>1130232A00127    00</v>
      </c>
      <c r="B8097" t="s">
        <v>17733</v>
      </c>
      <c r="C8097" t="s">
        <v>17590</v>
      </c>
      <c r="E8097" t="s">
        <v>39</v>
      </c>
      <c r="F8097">
        <v>0</v>
      </c>
      <c r="G8097">
        <v>0</v>
      </c>
      <c r="H8097">
        <v>3</v>
      </c>
      <c r="I8097" s="3">
        <v>50.04</v>
      </c>
      <c r="J8097" s="3">
        <v>14.94</v>
      </c>
      <c r="L8097">
        <v>720</v>
      </c>
      <c r="M8097" t="s">
        <v>17734</v>
      </c>
      <c r="N8097" t="s">
        <v>30</v>
      </c>
      <c r="O8097" t="s">
        <v>31</v>
      </c>
      <c r="P8097" t="str">
        <f t="shared" si="95"/>
        <v>15221</v>
      </c>
    </row>
    <row r="8098" spans="1:16" x14ac:dyDescent="0.25">
      <c r="A8098" t="str">
        <f>"1130232A00128    00"</f>
        <v>1130232A00128    00</v>
      </c>
      <c r="B8098" t="s">
        <v>17733</v>
      </c>
      <c r="C8098" t="s">
        <v>17590</v>
      </c>
      <c r="E8098" t="s">
        <v>39</v>
      </c>
      <c r="F8098">
        <v>0</v>
      </c>
      <c r="G8098">
        <v>0</v>
      </c>
      <c r="H8098">
        <v>3</v>
      </c>
      <c r="I8098" s="3">
        <v>55.58</v>
      </c>
      <c r="J8098" s="3">
        <v>16.579999999999998</v>
      </c>
      <c r="L8098">
        <v>720</v>
      </c>
      <c r="M8098" t="s">
        <v>17734</v>
      </c>
      <c r="N8098" t="s">
        <v>30</v>
      </c>
      <c r="O8098" t="s">
        <v>31</v>
      </c>
      <c r="P8098" t="str">
        <f t="shared" si="95"/>
        <v>15221</v>
      </c>
    </row>
    <row r="8099" spans="1:16" x14ac:dyDescent="0.25">
      <c r="A8099" t="str">
        <f>"1130232A00129    00"</f>
        <v>1130232A00129    00</v>
      </c>
      <c r="B8099" t="s">
        <v>17735</v>
      </c>
      <c r="C8099" t="s">
        <v>17590</v>
      </c>
      <c r="D8099" t="s">
        <v>20</v>
      </c>
      <c r="E8099" t="s">
        <v>39</v>
      </c>
      <c r="F8099">
        <v>0</v>
      </c>
      <c r="G8099">
        <v>0</v>
      </c>
      <c r="H8099">
        <v>19</v>
      </c>
      <c r="I8099" s="3">
        <v>298.68</v>
      </c>
      <c r="J8099" s="3">
        <v>235.52</v>
      </c>
      <c r="K8099" t="s">
        <v>1037</v>
      </c>
      <c r="L8099">
        <v>728</v>
      </c>
      <c r="M8099" t="s">
        <v>17732</v>
      </c>
      <c r="N8099" t="s">
        <v>295</v>
      </c>
      <c r="O8099" t="s">
        <v>31</v>
      </c>
      <c r="P8099" t="str">
        <f t="shared" si="95"/>
        <v>15221</v>
      </c>
    </row>
    <row r="8100" spans="1:16" x14ac:dyDescent="0.25">
      <c r="A8100" t="str">
        <f>"1130232A00130    00"</f>
        <v>1130232A00130    00</v>
      </c>
      <c r="B8100" t="s">
        <v>17735</v>
      </c>
      <c r="C8100" t="s">
        <v>17590</v>
      </c>
      <c r="D8100" t="s">
        <v>20</v>
      </c>
      <c r="E8100" t="s">
        <v>39</v>
      </c>
      <c r="F8100">
        <v>0</v>
      </c>
      <c r="G8100">
        <v>0</v>
      </c>
      <c r="H8100">
        <v>19</v>
      </c>
      <c r="I8100" s="3">
        <v>298.68</v>
      </c>
      <c r="J8100" s="3">
        <v>235.52</v>
      </c>
      <c r="K8100" t="s">
        <v>1037</v>
      </c>
      <c r="L8100">
        <v>728</v>
      </c>
      <c r="M8100" t="s">
        <v>17732</v>
      </c>
      <c r="N8100" t="s">
        <v>30</v>
      </c>
      <c r="O8100" t="s">
        <v>31</v>
      </c>
      <c r="P8100" t="str">
        <f t="shared" si="95"/>
        <v>15221</v>
      </c>
    </row>
    <row r="8101" spans="1:16" x14ac:dyDescent="0.25">
      <c r="A8101" t="str">
        <f>"1130232A00131    00"</f>
        <v>1130232A00131    00</v>
      </c>
      <c r="B8101" t="s">
        <v>17736</v>
      </c>
      <c r="C8101" t="s">
        <v>17590</v>
      </c>
      <c r="D8101" t="s">
        <v>20</v>
      </c>
      <c r="E8101" t="s">
        <v>39</v>
      </c>
      <c r="F8101">
        <v>0</v>
      </c>
      <c r="G8101">
        <v>0</v>
      </c>
      <c r="H8101">
        <v>17</v>
      </c>
      <c r="I8101" s="3">
        <v>170.77</v>
      </c>
      <c r="J8101" s="3">
        <v>169.44</v>
      </c>
      <c r="K8101" t="s">
        <v>15925</v>
      </c>
      <c r="L8101">
        <v>431</v>
      </c>
      <c r="M8101" t="s">
        <v>174</v>
      </c>
      <c r="N8101" t="s">
        <v>15926</v>
      </c>
      <c r="O8101" t="s">
        <v>554</v>
      </c>
      <c r="P8101" t="str">
        <f>"25701"</f>
        <v>25701</v>
      </c>
    </row>
    <row r="8102" spans="1:16" x14ac:dyDescent="0.25">
      <c r="A8102" t="str">
        <f>"1130232A00136    00"</f>
        <v>1130232A00136    00</v>
      </c>
      <c r="B8102" t="s">
        <v>17737</v>
      </c>
      <c r="C8102" t="s">
        <v>17738</v>
      </c>
      <c r="D8102" t="s">
        <v>20</v>
      </c>
      <c r="E8102" t="s">
        <v>39</v>
      </c>
      <c r="F8102">
        <v>0</v>
      </c>
      <c r="G8102">
        <v>0</v>
      </c>
      <c r="H8102">
        <v>3</v>
      </c>
      <c r="I8102" s="3">
        <v>2630.46</v>
      </c>
      <c r="J8102" s="3">
        <v>152.03</v>
      </c>
      <c r="K8102" t="s">
        <v>17739</v>
      </c>
      <c r="L8102">
        <v>169</v>
      </c>
      <c r="M8102" t="s">
        <v>17740</v>
      </c>
      <c r="N8102" t="s">
        <v>541</v>
      </c>
      <c r="O8102" t="s">
        <v>31</v>
      </c>
      <c r="P8102" t="str">
        <f>"15071"</f>
        <v>15071</v>
      </c>
    </row>
    <row r="8103" spans="1:16" x14ac:dyDescent="0.25">
      <c r="A8103" t="str">
        <f>"1130232A00180    00"</f>
        <v>1130232A00180    00</v>
      </c>
      <c r="B8103" t="s">
        <v>17741</v>
      </c>
      <c r="C8103" t="s">
        <v>17742</v>
      </c>
      <c r="D8103" t="s">
        <v>20</v>
      </c>
      <c r="E8103" t="s">
        <v>39</v>
      </c>
      <c r="F8103">
        <v>0</v>
      </c>
      <c r="G8103">
        <v>0</v>
      </c>
      <c r="H8103">
        <v>17</v>
      </c>
      <c r="I8103" s="3">
        <v>7226.12</v>
      </c>
      <c r="J8103" s="3">
        <v>6669.22</v>
      </c>
      <c r="K8103" t="s">
        <v>17743</v>
      </c>
      <c r="L8103">
        <v>42</v>
      </c>
      <c r="M8103" t="s">
        <v>17744</v>
      </c>
      <c r="N8103" t="s">
        <v>30</v>
      </c>
      <c r="O8103" t="s">
        <v>31</v>
      </c>
      <c r="P8103" t="str">
        <f>"15235"</f>
        <v>15235</v>
      </c>
    </row>
    <row r="8104" spans="1:16" x14ac:dyDescent="0.25">
      <c r="A8104" t="str">
        <f>"1130232A00182    00"</f>
        <v>1130232A00182    00</v>
      </c>
      <c r="B8104" t="s">
        <v>17745</v>
      </c>
      <c r="C8104" t="s">
        <v>17746</v>
      </c>
      <c r="D8104" t="s">
        <v>20</v>
      </c>
      <c r="E8104" t="s">
        <v>39</v>
      </c>
      <c r="F8104">
        <v>0</v>
      </c>
      <c r="G8104">
        <v>0</v>
      </c>
      <c r="H8104">
        <v>4</v>
      </c>
      <c r="I8104" s="3">
        <v>151.56</v>
      </c>
      <c r="J8104" s="3">
        <v>18</v>
      </c>
      <c r="L8104">
        <v>546</v>
      </c>
      <c r="M8104" t="s">
        <v>16619</v>
      </c>
      <c r="N8104" t="s">
        <v>30</v>
      </c>
      <c r="O8104" t="s">
        <v>31</v>
      </c>
      <c r="P8104" t="str">
        <f>"15221"</f>
        <v>15221</v>
      </c>
    </row>
    <row r="8105" spans="1:16" x14ac:dyDescent="0.25">
      <c r="A8105" t="str">
        <f>"1130232A00185    00"</f>
        <v>1130232A00185    00</v>
      </c>
      <c r="B8105" t="s">
        <v>17747</v>
      </c>
      <c r="C8105" t="s">
        <v>17586</v>
      </c>
      <c r="D8105" t="s">
        <v>20</v>
      </c>
      <c r="E8105" t="s">
        <v>39</v>
      </c>
      <c r="F8105">
        <v>0</v>
      </c>
      <c r="G8105">
        <v>0</v>
      </c>
      <c r="H8105">
        <v>19</v>
      </c>
      <c r="I8105" s="3">
        <v>1760.56</v>
      </c>
      <c r="J8105" s="3">
        <v>1695.54</v>
      </c>
      <c r="M8105" t="s">
        <v>16619</v>
      </c>
      <c r="N8105" t="s">
        <v>30</v>
      </c>
      <c r="O8105" t="s">
        <v>31</v>
      </c>
      <c r="P8105" t="str">
        <f>"15221"</f>
        <v>15221</v>
      </c>
    </row>
    <row r="8106" spans="1:16" x14ac:dyDescent="0.25">
      <c r="A8106" t="str">
        <f>"1130232A00196    00"</f>
        <v>1130232A00196    00</v>
      </c>
      <c r="B8106" t="s">
        <v>17748</v>
      </c>
      <c r="C8106" t="s">
        <v>17586</v>
      </c>
      <c r="D8106" t="s">
        <v>20</v>
      </c>
      <c r="E8106" t="s">
        <v>39</v>
      </c>
      <c r="F8106">
        <v>0</v>
      </c>
      <c r="G8106">
        <v>0</v>
      </c>
      <c r="H8106">
        <v>19</v>
      </c>
      <c r="I8106" s="3">
        <v>2366.66</v>
      </c>
      <c r="J8106" s="3">
        <v>2282.58</v>
      </c>
      <c r="L8106">
        <v>5850</v>
      </c>
      <c r="M8106" t="s">
        <v>17749</v>
      </c>
      <c r="N8106" t="s">
        <v>30</v>
      </c>
      <c r="O8106" t="s">
        <v>31</v>
      </c>
      <c r="P8106" t="str">
        <f>"15232"</f>
        <v>15232</v>
      </c>
    </row>
    <row r="8107" spans="1:16" x14ac:dyDescent="0.25">
      <c r="A8107" t="str">
        <f>"1130232A00207    00"</f>
        <v>1130232A00207    00</v>
      </c>
      <c r="B8107" t="s">
        <v>17750</v>
      </c>
      <c r="C8107" t="s">
        <v>17751</v>
      </c>
      <c r="D8107" t="s">
        <v>33</v>
      </c>
      <c r="E8107" t="s">
        <v>39</v>
      </c>
      <c r="F8107">
        <v>0</v>
      </c>
      <c r="G8107">
        <v>0</v>
      </c>
      <c r="H8107">
        <v>1</v>
      </c>
      <c r="I8107" s="3">
        <v>29.85</v>
      </c>
      <c r="J8107" s="3">
        <v>1</v>
      </c>
      <c r="L8107">
        <v>630</v>
      </c>
      <c r="M8107" t="s">
        <v>16619</v>
      </c>
      <c r="N8107" t="s">
        <v>30</v>
      </c>
      <c r="O8107" t="s">
        <v>31</v>
      </c>
      <c r="P8107" t="str">
        <f t="shared" ref="P8107:P8112" si="96">"15221"</f>
        <v>15221</v>
      </c>
    </row>
    <row r="8108" spans="1:16" x14ac:dyDescent="0.25">
      <c r="A8108" t="str">
        <f>"1130232A00209    00"</f>
        <v>1130232A00209    00</v>
      </c>
      <c r="B8108" t="s">
        <v>17752</v>
      </c>
      <c r="C8108" t="s">
        <v>17751</v>
      </c>
      <c r="D8108" t="s">
        <v>20</v>
      </c>
      <c r="E8108" t="s">
        <v>39</v>
      </c>
      <c r="F8108">
        <v>0</v>
      </c>
      <c r="G8108">
        <v>0</v>
      </c>
      <c r="H8108">
        <v>1</v>
      </c>
      <c r="I8108" s="3">
        <v>40.04</v>
      </c>
      <c r="J8108" s="3">
        <v>0</v>
      </c>
      <c r="L8108">
        <v>630</v>
      </c>
      <c r="M8108" t="s">
        <v>16619</v>
      </c>
      <c r="N8108" t="s">
        <v>30</v>
      </c>
      <c r="O8108" t="s">
        <v>31</v>
      </c>
      <c r="P8108" t="str">
        <f t="shared" si="96"/>
        <v>15221</v>
      </c>
    </row>
    <row r="8109" spans="1:16" x14ac:dyDescent="0.25">
      <c r="A8109" t="str">
        <f>"1130232A00242    00"</f>
        <v>1130232A00242    00</v>
      </c>
      <c r="B8109" t="s">
        <v>17753</v>
      </c>
      <c r="C8109" t="s">
        <v>17754</v>
      </c>
      <c r="D8109" t="s">
        <v>20</v>
      </c>
      <c r="E8109" t="s">
        <v>39</v>
      </c>
      <c r="F8109">
        <v>0</v>
      </c>
      <c r="G8109">
        <v>0</v>
      </c>
      <c r="H8109">
        <v>5</v>
      </c>
      <c r="I8109" s="3">
        <v>544.4</v>
      </c>
      <c r="J8109" s="3">
        <v>93.87</v>
      </c>
      <c r="L8109">
        <v>8214</v>
      </c>
      <c r="M8109" t="s">
        <v>17755</v>
      </c>
      <c r="N8109" t="s">
        <v>30</v>
      </c>
      <c r="O8109" t="s">
        <v>31</v>
      </c>
      <c r="P8109" t="str">
        <f t="shared" si="96"/>
        <v>15221</v>
      </c>
    </row>
    <row r="8110" spans="1:16" x14ac:dyDescent="0.25">
      <c r="A8110" t="str">
        <f>"1130232A00252    00"</f>
        <v>1130232A00252    00</v>
      </c>
      <c r="B8110" t="s">
        <v>17756</v>
      </c>
      <c r="C8110" t="s">
        <v>17757</v>
      </c>
      <c r="D8110" t="s">
        <v>20</v>
      </c>
      <c r="E8110" t="s">
        <v>39</v>
      </c>
      <c r="F8110">
        <v>0</v>
      </c>
      <c r="G8110">
        <v>0</v>
      </c>
      <c r="H8110">
        <v>6</v>
      </c>
      <c r="I8110" s="3">
        <v>178.92</v>
      </c>
      <c r="J8110" s="3">
        <v>136.51</v>
      </c>
      <c r="L8110">
        <v>8300</v>
      </c>
      <c r="M8110" t="s">
        <v>17755</v>
      </c>
      <c r="N8110" t="s">
        <v>30</v>
      </c>
      <c r="O8110" t="s">
        <v>31</v>
      </c>
      <c r="P8110" t="str">
        <f t="shared" si="96"/>
        <v>15221</v>
      </c>
    </row>
    <row r="8111" spans="1:16" x14ac:dyDescent="0.25">
      <c r="A8111" t="str">
        <f>"1130232A00253    00"</f>
        <v>1130232A00253    00</v>
      </c>
      <c r="B8111" t="s">
        <v>17756</v>
      </c>
      <c r="C8111" t="s">
        <v>17757</v>
      </c>
      <c r="D8111" t="s">
        <v>20</v>
      </c>
      <c r="E8111" t="s">
        <v>39</v>
      </c>
      <c r="F8111">
        <v>0</v>
      </c>
      <c r="G8111">
        <v>0</v>
      </c>
      <c r="H8111">
        <v>8</v>
      </c>
      <c r="I8111" s="3">
        <v>104.69</v>
      </c>
      <c r="J8111" s="3">
        <v>95.4</v>
      </c>
      <c r="L8111">
        <v>8300</v>
      </c>
      <c r="M8111" t="s">
        <v>17755</v>
      </c>
      <c r="N8111" t="s">
        <v>30</v>
      </c>
      <c r="O8111" t="s">
        <v>31</v>
      </c>
      <c r="P8111" t="str">
        <f t="shared" si="96"/>
        <v>15221</v>
      </c>
    </row>
    <row r="8112" spans="1:16" x14ac:dyDescent="0.25">
      <c r="A8112" t="str">
        <f>"1130232A00254    00"</f>
        <v>1130232A00254    00</v>
      </c>
      <c r="B8112" t="s">
        <v>14529</v>
      </c>
      <c r="C8112" t="s">
        <v>17757</v>
      </c>
      <c r="D8112" t="s">
        <v>20</v>
      </c>
      <c r="E8112" t="s">
        <v>39</v>
      </c>
      <c r="F8112">
        <v>0</v>
      </c>
      <c r="G8112">
        <v>0</v>
      </c>
      <c r="H8112">
        <v>4</v>
      </c>
      <c r="I8112" s="3">
        <v>30.16</v>
      </c>
      <c r="J8112" s="3">
        <v>3.71</v>
      </c>
      <c r="L8112">
        <v>2350</v>
      </c>
      <c r="M8112" t="s">
        <v>17758</v>
      </c>
      <c r="N8112" t="s">
        <v>30</v>
      </c>
      <c r="O8112" t="s">
        <v>31</v>
      </c>
      <c r="P8112" t="str">
        <f t="shared" si="96"/>
        <v>15221</v>
      </c>
    </row>
    <row r="8113" spans="1:16" x14ac:dyDescent="0.25">
      <c r="A8113" t="str">
        <f>"1130232A00266    00"</f>
        <v>1130232A00266    00</v>
      </c>
      <c r="B8113" t="s">
        <v>17759</v>
      </c>
      <c r="C8113" t="s">
        <v>17757</v>
      </c>
      <c r="D8113" t="s">
        <v>20</v>
      </c>
      <c r="E8113" t="s">
        <v>39</v>
      </c>
      <c r="F8113">
        <v>0</v>
      </c>
      <c r="G8113">
        <v>0</v>
      </c>
      <c r="H8113">
        <v>11</v>
      </c>
      <c r="I8113" s="3">
        <v>848.81</v>
      </c>
      <c r="J8113" s="3">
        <v>407.46</v>
      </c>
      <c r="L8113">
        <v>1</v>
      </c>
      <c r="M8113" t="s">
        <v>17760</v>
      </c>
      <c r="N8113" t="s">
        <v>712</v>
      </c>
      <c r="O8113" t="s">
        <v>31</v>
      </c>
      <c r="P8113" t="str">
        <f>"16148"</f>
        <v>16148</v>
      </c>
    </row>
    <row r="8114" spans="1:16" x14ac:dyDescent="0.25">
      <c r="A8114" t="str">
        <f>"1130232A00282    00"</f>
        <v>1130232A00282    00</v>
      </c>
      <c r="B8114" t="s">
        <v>15387</v>
      </c>
      <c r="C8114" t="s">
        <v>17761</v>
      </c>
      <c r="D8114" t="s">
        <v>20</v>
      </c>
      <c r="E8114" t="s">
        <v>39</v>
      </c>
      <c r="F8114">
        <v>0</v>
      </c>
      <c r="G8114">
        <v>0</v>
      </c>
      <c r="H8114">
        <v>19</v>
      </c>
      <c r="I8114" s="3">
        <v>12070.74</v>
      </c>
      <c r="J8114" s="3">
        <v>12620.75</v>
      </c>
      <c r="M8114" t="s">
        <v>16111</v>
      </c>
      <c r="N8114" t="s">
        <v>30</v>
      </c>
      <c r="O8114" t="s">
        <v>31</v>
      </c>
      <c r="P8114" t="str">
        <f>"15235"</f>
        <v>15235</v>
      </c>
    </row>
    <row r="8115" spans="1:16" x14ac:dyDescent="0.25">
      <c r="A8115" t="str">
        <f>"1130232A00284    00"</f>
        <v>1130232A00284    00</v>
      </c>
      <c r="B8115" t="s">
        <v>17762</v>
      </c>
      <c r="C8115" t="s">
        <v>17763</v>
      </c>
      <c r="D8115" t="s">
        <v>20</v>
      </c>
      <c r="E8115" t="s">
        <v>39</v>
      </c>
      <c r="F8115">
        <v>0</v>
      </c>
      <c r="G8115">
        <v>0</v>
      </c>
      <c r="H8115">
        <v>2</v>
      </c>
      <c r="I8115" s="3">
        <v>598.29999999999995</v>
      </c>
      <c r="J8115" s="3">
        <v>0</v>
      </c>
      <c r="K8115" t="s">
        <v>17764</v>
      </c>
      <c r="L8115">
        <v>625</v>
      </c>
      <c r="M8115" t="s">
        <v>17555</v>
      </c>
      <c r="N8115" t="s">
        <v>30</v>
      </c>
      <c r="O8115" t="s">
        <v>31</v>
      </c>
      <c r="P8115" t="str">
        <f>"15221"</f>
        <v>15221</v>
      </c>
    </row>
    <row r="8116" spans="1:16" x14ac:dyDescent="0.25">
      <c r="A8116" t="str">
        <f>"1130232A00286    00"</f>
        <v>1130232A00286    00</v>
      </c>
      <c r="B8116" t="s">
        <v>17765</v>
      </c>
      <c r="C8116" t="s">
        <v>17566</v>
      </c>
      <c r="D8116" t="s">
        <v>20</v>
      </c>
      <c r="E8116" t="s">
        <v>39</v>
      </c>
      <c r="F8116">
        <v>0</v>
      </c>
      <c r="G8116">
        <v>0</v>
      </c>
      <c r="H8116">
        <v>17</v>
      </c>
      <c r="I8116" s="3">
        <v>202.59</v>
      </c>
      <c r="J8116" s="3">
        <v>219.92</v>
      </c>
      <c r="L8116">
        <v>619</v>
      </c>
      <c r="M8116" t="s">
        <v>17555</v>
      </c>
      <c r="N8116" t="s">
        <v>30</v>
      </c>
      <c r="O8116" t="s">
        <v>31</v>
      </c>
      <c r="P8116" t="str">
        <f>"15221"</f>
        <v>15221</v>
      </c>
    </row>
    <row r="8117" spans="1:16" x14ac:dyDescent="0.25">
      <c r="A8117" t="str">
        <f>"1130232A00287    00"</f>
        <v>1130232A00287    00</v>
      </c>
      <c r="B8117" t="s">
        <v>17766</v>
      </c>
      <c r="C8117" t="s">
        <v>17767</v>
      </c>
      <c r="D8117" t="s">
        <v>20</v>
      </c>
      <c r="E8117" t="s">
        <v>39</v>
      </c>
      <c r="F8117">
        <v>0</v>
      </c>
      <c r="G8117">
        <v>0</v>
      </c>
      <c r="H8117">
        <v>10</v>
      </c>
      <c r="I8117" s="3">
        <v>4273.25</v>
      </c>
      <c r="J8117" s="3">
        <v>1676.28</v>
      </c>
      <c r="K8117" t="s">
        <v>17768</v>
      </c>
      <c r="L8117">
        <v>715</v>
      </c>
      <c r="M8117" t="s">
        <v>17769</v>
      </c>
      <c r="N8117" t="s">
        <v>30</v>
      </c>
      <c r="O8117" t="s">
        <v>31</v>
      </c>
      <c r="P8117" t="str">
        <f>"15219"</f>
        <v>15219</v>
      </c>
    </row>
    <row r="8118" spans="1:16" x14ac:dyDescent="0.25">
      <c r="A8118" t="str">
        <f>"1130232A00289    00"</f>
        <v>1130232A00289    00</v>
      </c>
      <c r="B8118" t="s">
        <v>17770</v>
      </c>
      <c r="C8118" t="s">
        <v>17566</v>
      </c>
      <c r="D8118" t="s">
        <v>20</v>
      </c>
      <c r="E8118" t="s">
        <v>39</v>
      </c>
      <c r="F8118">
        <v>0</v>
      </c>
      <c r="G8118">
        <v>0</v>
      </c>
      <c r="H8118">
        <v>17</v>
      </c>
      <c r="I8118" s="3">
        <v>170.77</v>
      </c>
      <c r="J8118" s="3">
        <v>169.44</v>
      </c>
      <c r="K8118" t="s">
        <v>1008</v>
      </c>
      <c r="P8118" t="str">
        <f>""</f>
        <v/>
      </c>
    </row>
    <row r="8119" spans="1:16" x14ac:dyDescent="0.25">
      <c r="A8119" t="str">
        <f>"1130232A00290    00"</f>
        <v>1130232A00290    00</v>
      </c>
      <c r="B8119" t="s">
        <v>17771</v>
      </c>
      <c r="C8119" t="s">
        <v>17772</v>
      </c>
      <c r="D8119" t="s">
        <v>20</v>
      </c>
      <c r="E8119" t="s">
        <v>39</v>
      </c>
      <c r="F8119">
        <v>0</v>
      </c>
      <c r="G8119">
        <v>0</v>
      </c>
      <c r="H8119">
        <v>19</v>
      </c>
      <c r="I8119" s="3">
        <v>12099.63</v>
      </c>
      <c r="J8119" s="3">
        <v>12634.73</v>
      </c>
      <c r="L8119">
        <v>605</v>
      </c>
      <c r="M8119" t="s">
        <v>17773</v>
      </c>
      <c r="N8119" t="s">
        <v>2601</v>
      </c>
      <c r="O8119" t="s">
        <v>370</v>
      </c>
      <c r="P8119" t="str">
        <f>"32922"</f>
        <v>32922</v>
      </c>
    </row>
    <row r="8120" spans="1:16" x14ac:dyDescent="0.25">
      <c r="A8120" t="str">
        <f>"1130232A00295    00"</f>
        <v>1130232A00295    00</v>
      </c>
      <c r="B8120" t="s">
        <v>17774</v>
      </c>
      <c r="C8120" t="s">
        <v>17566</v>
      </c>
      <c r="D8120" t="s">
        <v>20</v>
      </c>
      <c r="E8120" t="s">
        <v>39</v>
      </c>
      <c r="F8120">
        <v>0</v>
      </c>
      <c r="G8120">
        <v>0</v>
      </c>
      <c r="H8120">
        <v>19</v>
      </c>
      <c r="I8120" s="3">
        <v>6082.19</v>
      </c>
      <c r="J8120" s="3">
        <v>8483.75</v>
      </c>
      <c r="L8120">
        <v>603</v>
      </c>
      <c r="M8120" t="s">
        <v>17555</v>
      </c>
      <c r="N8120" t="s">
        <v>30</v>
      </c>
      <c r="O8120" t="s">
        <v>31</v>
      </c>
      <c r="P8120" t="str">
        <f>"15221"</f>
        <v>15221</v>
      </c>
    </row>
    <row r="8121" spans="1:16" x14ac:dyDescent="0.25">
      <c r="A8121" t="str">
        <f>"1130232A00296    00"</f>
        <v>1130232A00296    00</v>
      </c>
      <c r="B8121" t="s">
        <v>17775</v>
      </c>
      <c r="C8121" t="s">
        <v>17776</v>
      </c>
      <c r="D8121" t="s">
        <v>20</v>
      </c>
      <c r="E8121" t="s">
        <v>39</v>
      </c>
      <c r="F8121">
        <v>0</v>
      </c>
      <c r="G8121">
        <v>0</v>
      </c>
      <c r="H8121">
        <v>16</v>
      </c>
      <c r="I8121" s="3">
        <v>6640.98</v>
      </c>
      <c r="J8121" s="3">
        <v>5853.37</v>
      </c>
      <c r="K8121" t="s">
        <v>17777</v>
      </c>
      <c r="P8121" t="str">
        <f>""</f>
        <v/>
      </c>
    </row>
    <row r="8122" spans="1:16" x14ac:dyDescent="0.25">
      <c r="A8122" t="str">
        <f>"1130232A00297    00"</f>
        <v>1130232A00297    00</v>
      </c>
      <c r="B8122" t="s">
        <v>17778</v>
      </c>
      <c r="C8122" t="s">
        <v>17779</v>
      </c>
      <c r="D8122" t="s">
        <v>20</v>
      </c>
      <c r="E8122" t="s">
        <v>39</v>
      </c>
      <c r="F8122">
        <v>0</v>
      </c>
      <c r="G8122">
        <v>0</v>
      </c>
      <c r="H8122">
        <v>17</v>
      </c>
      <c r="I8122" s="3">
        <v>7035.53</v>
      </c>
      <c r="J8122" s="3">
        <v>6593.77</v>
      </c>
      <c r="L8122">
        <v>8539</v>
      </c>
      <c r="M8122" t="s">
        <v>8864</v>
      </c>
      <c r="N8122" t="s">
        <v>17780</v>
      </c>
      <c r="O8122" t="s">
        <v>31</v>
      </c>
      <c r="P8122" t="str">
        <f>"15235"</f>
        <v>15235</v>
      </c>
    </row>
    <row r="8123" spans="1:16" x14ac:dyDescent="0.25">
      <c r="A8123" t="str">
        <f>"1130232A00301    00"</f>
        <v>1130232A00301    00</v>
      </c>
      <c r="B8123" t="s">
        <v>17244</v>
      </c>
      <c r="C8123" t="s">
        <v>17781</v>
      </c>
      <c r="E8123" t="s">
        <v>39</v>
      </c>
      <c r="F8123">
        <v>0</v>
      </c>
      <c r="G8123">
        <v>0</v>
      </c>
      <c r="H8123">
        <v>13</v>
      </c>
      <c r="I8123" s="3">
        <v>8338.7000000000007</v>
      </c>
      <c r="J8123" s="3">
        <v>6560.18</v>
      </c>
      <c r="L8123">
        <v>1016</v>
      </c>
      <c r="M8123" t="s">
        <v>13170</v>
      </c>
      <c r="N8123" t="s">
        <v>30</v>
      </c>
      <c r="O8123" t="s">
        <v>31</v>
      </c>
      <c r="P8123" t="str">
        <f>"15221"</f>
        <v>15221</v>
      </c>
    </row>
    <row r="8124" spans="1:16" x14ac:dyDescent="0.25">
      <c r="A8124" t="str">
        <f>"1130232A00315    00"</f>
        <v>1130232A00315    00</v>
      </c>
      <c r="B8124" t="s">
        <v>17782</v>
      </c>
      <c r="C8124" t="s">
        <v>17566</v>
      </c>
      <c r="D8124" t="s">
        <v>20</v>
      </c>
      <c r="E8124" t="s">
        <v>39</v>
      </c>
      <c r="F8124">
        <v>0</v>
      </c>
      <c r="G8124">
        <v>0</v>
      </c>
      <c r="H8124">
        <v>19</v>
      </c>
      <c r="I8124" s="3">
        <v>6528.5</v>
      </c>
      <c r="J8124" s="3">
        <v>8822.24</v>
      </c>
      <c r="L8124">
        <v>523</v>
      </c>
      <c r="M8124" t="s">
        <v>17555</v>
      </c>
      <c r="N8124" t="s">
        <v>30</v>
      </c>
      <c r="O8124" t="s">
        <v>31</v>
      </c>
      <c r="P8124" t="str">
        <f>"15221"</f>
        <v>15221</v>
      </c>
    </row>
    <row r="8125" spans="1:16" x14ac:dyDescent="0.25">
      <c r="A8125" t="str">
        <f>"1130232A00319    00"</f>
        <v>1130232A00319    00</v>
      </c>
      <c r="B8125" t="s">
        <v>17783</v>
      </c>
      <c r="C8125" t="s">
        <v>17784</v>
      </c>
      <c r="D8125" t="s">
        <v>20</v>
      </c>
      <c r="E8125" t="s">
        <v>39</v>
      </c>
      <c r="F8125">
        <v>0</v>
      </c>
      <c r="G8125">
        <v>0</v>
      </c>
      <c r="H8125">
        <v>18</v>
      </c>
      <c r="I8125" s="3">
        <v>10320.67</v>
      </c>
      <c r="J8125" s="3">
        <v>9255.92</v>
      </c>
      <c r="L8125">
        <v>800</v>
      </c>
      <c r="M8125" t="s">
        <v>14766</v>
      </c>
      <c r="N8125" t="s">
        <v>30</v>
      </c>
      <c r="O8125" t="s">
        <v>31</v>
      </c>
      <c r="P8125" t="str">
        <f>"15235"</f>
        <v>15235</v>
      </c>
    </row>
    <row r="8126" spans="1:16" x14ac:dyDescent="0.25">
      <c r="A8126" t="str">
        <f>"1130232A00320    00"</f>
        <v>1130232A00320    00</v>
      </c>
      <c r="B8126" t="s">
        <v>17785</v>
      </c>
      <c r="C8126" t="s">
        <v>17786</v>
      </c>
      <c r="D8126" t="s">
        <v>20</v>
      </c>
      <c r="E8126" t="s">
        <v>39</v>
      </c>
      <c r="F8126">
        <v>0</v>
      </c>
      <c r="G8126">
        <v>0</v>
      </c>
      <c r="H8126">
        <v>13</v>
      </c>
      <c r="I8126" s="3">
        <v>6242.47</v>
      </c>
      <c r="J8126" s="3">
        <v>3623.26</v>
      </c>
      <c r="L8126">
        <v>7975</v>
      </c>
      <c r="M8126" t="s">
        <v>17787</v>
      </c>
      <c r="N8126" t="s">
        <v>30</v>
      </c>
      <c r="O8126" t="s">
        <v>31</v>
      </c>
      <c r="P8126" t="str">
        <f>"15235"</f>
        <v>15235</v>
      </c>
    </row>
    <row r="8127" spans="1:16" x14ac:dyDescent="0.25">
      <c r="A8127" t="str">
        <f>"1130232A00325    00"</f>
        <v>1130232A00325    00</v>
      </c>
      <c r="B8127" t="s">
        <v>17788</v>
      </c>
      <c r="C8127" t="s">
        <v>17566</v>
      </c>
      <c r="D8127" t="s">
        <v>20</v>
      </c>
      <c r="E8127" t="s">
        <v>39</v>
      </c>
      <c r="F8127">
        <v>0</v>
      </c>
      <c r="G8127">
        <v>0</v>
      </c>
      <c r="H8127">
        <v>13</v>
      </c>
      <c r="I8127" s="3">
        <v>319.72000000000003</v>
      </c>
      <c r="J8127" s="3">
        <v>177.1</v>
      </c>
      <c r="L8127">
        <v>124</v>
      </c>
      <c r="M8127" t="s">
        <v>17789</v>
      </c>
      <c r="N8127" t="s">
        <v>8181</v>
      </c>
      <c r="O8127" t="s">
        <v>31</v>
      </c>
      <c r="P8127" t="str">
        <f>"15110"</f>
        <v>15110</v>
      </c>
    </row>
    <row r="8128" spans="1:16" x14ac:dyDescent="0.25">
      <c r="A8128" t="str">
        <f>"1130232A00333    00"</f>
        <v>1130232A00333    00</v>
      </c>
      <c r="B8128" t="s">
        <v>17790</v>
      </c>
      <c r="C8128" t="s">
        <v>17791</v>
      </c>
      <c r="E8128" t="s">
        <v>39</v>
      </c>
      <c r="F8128">
        <v>0</v>
      </c>
      <c r="G8128">
        <v>0</v>
      </c>
      <c r="H8128">
        <v>3</v>
      </c>
      <c r="I8128" s="3">
        <v>177.3</v>
      </c>
      <c r="J8128" s="3">
        <v>58.9</v>
      </c>
      <c r="L8128">
        <v>552</v>
      </c>
      <c r="M8128" t="s">
        <v>17555</v>
      </c>
      <c r="N8128" t="s">
        <v>30</v>
      </c>
      <c r="O8128" t="s">
        <v>31</v>
      </c>
      <c r="P8128" t="str">
        <f>"15221"</f>
        <v>15221</v>
      </c>
    </row>
    <row r="8129" spans="1:16" x14ac:dyDescent="0.25">
      <c r="A8129" t="str">
        <f>"1130232A00338    00"</f>
        <v>1130232A00338    00</v>
      </c>
      <c r="B8129" t="s">
        <v>17792</v>
      </c>
      <c r="C8129" t="s">
        <v>17793</v>
      </c>
      <c r="D8129" t="s">
        <v>20</v>
      </c>
      <c r="E8129" t="s">
        <v>39</v>
      </c>
      <c r="F8129">
        <v>0</v>
      </c>
      <c r="G8129">
        <v>0</v>
      </c>
      <c r="H8129">
        <v>5</v>
      </c>
      <c r="I8129" s="3">
        <v>3106.67</v>
      </c>
      <c r="J8129" s="3">
        <v>516.29</v>
      </c>
      <c r="K8129" t="s">
        <v>17794</v>
      </c>
      <c r="L8129">
        <v>1516</v>
      </c>
      <c r="M8129" t="s">
        <v>13373</v>
      </c>
      <c r="N8129" t="s">
        <v>30</v>
      </c>
      <c r="O8129" t="s">
        <v>31</v>
      </c>
      <c r="P8129" t="str">
        <f>"15221"</f>
        <v>15221</v>
      </c>
    </row>
    <row r="8130" spans="1:16" x14ac:dyDescent="0.25">
      <c r="A8130" t="str">
        <f>"1130232A00338A   00"</f>
        <v>1130232A00338A   00</v>
      </c>
      <c r="B8130" t="s">
        <v>17795</v>
      </c>
      <c r="C8130" t="s">
        <v>17796</v>
      </c>
      <c r="D8130" t="s">
        <v>20</v>
      </c>
      <c r="E8130" t="s">
        <v>39</v>
      </c>
      <c r="F8130">
        <v>0</v>
      </c>
      <c r="G8130">
        <v>0</v>
      </c>
      <c r="H8130">
        <v>19</v>
      </c>
      <c r="I8130" s="3">
        <v>9832.24</v>
      </c>
      <c r="J8130" s="3">
        <v>11370.99</v>
      </c>
      <c r="K8130" t="s">
        <v>17797</v>
      </c>
      <c r="L8130">
        <v>1516</v>
      </c>
      <c r="M8130" t="s">
        <v>13373</v>
      </c>
      <c r="N8130" t="s">
        <v>30</v>
      </c>
      <c r="O8130" t="s">
        <v>31</v>
      </c>
      <c r="P8130" t="str">
        <f>"15221"</f>
        <v>15221</v>
      </c>
    </row>
    <row r="8131" spans="1:16" x14ac:dyDescent="0.25">
      <c r="A8131" t="str">
        <f>"1130232A00342    00"</f>
        <v>1130232A00342    00</v>
      </c>
      <c r="B8131" t="s">
        <v>17798</v>
      </c>
      <c r="C8131" t="s">
        <v>17799</v>
      </c>
      <c r="D8131" t="s">
        <v>20</v>
      </c>
      <c r="E8131" t="s">
        <v>39</v>
      </c>
      <c r="F8131">
        <v>0</v>
      </c>
      <c r="G8131">
        <v>0</v>
      </c>
      <c r="H8131">
        <v>1</v>
      </c>
      <c r="I8131" s="3">
        <v>884.38</v>
      </c>
      <c r="J8131" s="3">
        <v>0</v>
      </c>
      <c r="L8131">
        <v>586</v>
      </c>
      <c r="M8131" t="s">
        <v>17555</v>
      </c>
      <c r="N8131" t="s">
        <v>30</v>
      </c>
      <c r="O8131" t="s">
        <v>31</v>
      </c>
      <c r="P8131" t="str">
        <f>"15221"</f>
        <v>15221</v>
      </c>
    </row>
    <row r="8132" spans="1:16" x14ac:dyDescent="0.25">
      <c r="A8132" t="str">
        <f>"1130232A00343    00"</f>
        <v>1130232A00343    00</v>
      </c>
      <c r="B8132" t="s">
        <v>17800</v>
      </c>
      <c r="C8132" t="s">
        <v>17566</v>
      </c>
      <c r="D8132" t="s">
        <v>20</v>
      </c>
      <c r="E8132" t="s">
        <v>39</v>
      </c>
      <c r="F8132">
        <v>0</v>
      </c>
      <c r="G8132">
        <v>0</v>
      </c>
      <c r="H8132">
        <v>19</v>
      </c>
      <c r="I8132" s="3">
        <v>277.07</v>
      </c>
      <c r="J8132" s="3">
        <v>258.88</v>
      </c>
      <c r="K8132" t="s">
        <v>1008</v>
      </c>
      <c r="P8132" t="str">
        <f>""</f>
        <v/>
      </c>
    </row>
    <row r="8133" spans="1:16" x14ac:dyDescent="0.25">
      <c r="A8133" t="str">
        <f>"1130232A00346    00"</f>
        <v>1130232A00346    00</v>
      </c>
      <c r="B8133" t="s">
        <v>17801</v>
      </c>
      <c r="C8133" t="s">
        <v>17802</v>
      </c>
      <c r="D8133" t="s">
        <v>20</v>
      </c>
      <c r="E8133" t="s">
        <v>39</v>
      </c>
      <c r="F8133">
        <v>0</v>
      </c>
      <c r="G8133">
        <v>0</v>
      </c>
      <c r="H8133">
        <v>8</v>
      </c>
      <c r="I8133" s="3">
        <v>1185.19</v>
      </c>
      <c r="J8133" s="3">
        <v>910.49</v>
      </c>
      <c r="L8133">
        <v>600</v>
      </c>
      <c r="M8133" t="s">
        <v>17555</v>
      </c>
      <c r="N8133" t="s">
        <v>30</v>
      </c>
      <c r="O8133" t="s">
        <v>31</v>
      </c>
      <c r="P8133" t="str">
        <f>"15221"</f>
        <v>15221</v>
      </c>
    </row>
    <row r="8134" spans="1:16" x14ac:dyDescent="0.25">
      <c r="A8134" t="str">
        <f>"1130232A00352    00"</f>
        <v>1130232A00352    00</v>
      </c>
      <c r="B8134" t="s">
        <v>17803</v>
      </c>
      <c r="C8134" t="s">
        <v>17566</v>
      </c>
      <c r="D8134" t="s">
        <v>20</v>
      </c>
      <c r="E8134" t="s">
        <v>39</v>
      </c>
      <c r="F8134">
        <v>0</v>
      </c>
      <c r="G8134">
        <v>0</v>
      </c>
      <c r="H8134">
        <v>19</v>
      </c>
      <c r="I8134" s="3">
        <v>5424.81</v>
      </c>
      <c r="J8134" s="3">
        <v>8286.3700000000008</v>
      </c>
      <c r="L8134">
        <v>8180</v>
      </c>
      <c r="M8134" t="s">
        <v>17804</v>
      </c>
      <c r="N8134" t="s">
        <v>7090</v>
      </c>
      <c r="O8134" t="s">
        <v>495</v>
      </c>
      <c r="P8134" t="str">
        <f>"92808"</f>
        <v>92808</v>
      </c>
    </row>
    <row r="8135" spans="1:16" x14ac:dyDescent="0.25">
      <c r="A8135" t="str">
        <f>"1130232A00353    00"</f>
        <v>1130232A00353    00</v>
      </c>
      <c r="B8135" t="s">
        <v>17805</v>
      </c>
      <c r="C8135" t="s">
        <v>17543</v>
      </c>
      <c r="D8135" t="s">
        <v>20</v>
      </c>
      <c r="E8135" t="s">
        <v>39</v>
      </c>
      <c r="F8135">
        <v>0</v>
      </c>
      <c r="G8135">
        <v>0</v>
      </c>
      <c r="H8135">
        <v>19</v>
      </c>
      <c r="I8135" s="3">
        <v>386.76</v>
      </c>
      <c r="J8135" s="3">
        <v>316.88</v>
      </c>
      <c r="K8135" t="s">
        <v>1037</v>
      </c>
      <c r="L8135">
        <v>1832</v>
      </c>
      <c r="M8135" t="s">
        <v>17546</v>
      </c>
      <c r="N8135" t="s">
        <v>30</v>
      </c>
      <c r="O8135" t="s">
        <v>31</v>
      </c>
      <c r="P8135" t="str">
        <f>"15221"</f>
        <v>15221</v>
      </c>
    </row>
    <row r="8136" spans="1:16" x14ac:dyDescent="0.25">
      <c r="A8136" t="str">
        <f>"1130232A00354    00"</f>
        <v>1130232A00354    00</v>
      </c>
      <c r="B8136" t="s">
        <v>17806</v>
      </c>
      <c r="C8136" t="s">
        <v>17807</v>
      </c>
      <c r="D8136" t="s">
        <v>20</v>
      </c>
      <c r="E8136" t="s">
        <v>39</v>
      </c>
      <c r="F8136">
        <v>0</v>
      </c>
      <c r="G8136">
        <v>0</v>
      </c>
      <c r="H8136">
        <v>4</v>
      </c>
      <c r="I8136" s="3">
        <v>2820.57</v>
      </c>
      <c r="J8136" s="3">
        <v>193.73</v>
      </c>
      <c r="L8136">
        <v>812</v>
      </c>
      <c r="M8136" t="s">
        <v>17808</v>
      </c>
      <c r="N8136" t="s">
        <v>30</v>
      </c>
      <c r="O8136" t="s">
        <v>31</v>
      </c>
      <c r="P8136" t="str">
        <f>"15235"</f>
        <v>15235</v>
      </c>
    </row>
    <row r="8137" spans="1:16" x14ac:dyDescent="0.25">
      <c r="A8137" t="str">
        <f>"1130232A00356    00"</f>
        <v>1130232A00356    00</v>
      </c>
      <c r="B8137" t="s">
        <v>17809</v>
      </c>
      <c r="C8137" t="s">
        <v>17810</v>
      </c>
      <c r="E8137" t="s">
        <v>39</v>
      </c>
      <c r="F8137">
        <v>0</v>
      </c>
      <c r="G8137">
        <v>0</v>
      </c>
      <c r="H8137">
        <v>4</v>
      </c>
      <c r="I8137" s="3">
        <v>1795.74</v>
      </c>
      <c r="J8137" s="3">
        <v>1523.8</v>
      </c>
      <c r="L8137">
        <v>620</v>
      </c>
      <c r="M8137" t="s">
        <v>17555</v>
      </c>
      <c r="N8137" t="s">
        <v>30</v>
      </c>
      <c r="O8137" t="s">
        <v>31</v>
      </c>
      <c r="P8137" t="str">
        <f>"15221"</f>
        <v>15221</v>
      </c>
    </row>
    <row r="8138" spans="1:16" x14ac:dyDescent="0.25">
      <c r="A8138" t="str">
        <f>"1130232B00010    00"</f>
        <v>1130232B00010    00</v>
      </c>
      <c r="B8138" t="s">
        <v>17811</v>
      </c>
      <c r="C8138" t="s">
        <v>17543</v>
      </c>
      <c r="D8138" t="s">
        <v>20</v>
      </c>
      <c r="E8138" t="s">
        <v>39</v>
      </c>
      <c r="F8138">
        <v>0</v>
      </c>
      <c r="G8138">
        <v>0</v>
      </c>
      <c r="H8138">
        <v>16</v>
      </c>
      <c r="I8138" s="3">
        <v>4886.93</v>
      </c>
      <c r="J8138" s="3">
        <v>6830.43</v>
      </c>
      <c r="L8138">
        <v>415</v>
      </c>
      <c r="M8138" t="s">
        <v>17812</v>
      </c>
      <c r="N8138" t="s">
        <v>17813</v>
      </c>
      <c r="O8138" t="s">
        <v>31</v>
      </c>
      <c r="P8138" t="str">
        <f>"16146"</f>
        <v>16146</v>
      </c>
    </row>
    <row r="8139" spans="1:16" x14ac:dyDescent="0.25">
      <c r="A8139" t="str">
        <f>"1130232B00017    00"</f>
        <v>1130232B00017    00</v>
      </c>
      <c r="B8139" t="s">
        <v>17814</v>
      </c>
      <c r="C8139" t="s">
        <v>17815</v>
      </c>
      <c r="D8139" t="s">
        <v>20</v>
      </c>
      <c r="E8139" t="s">
        <v>39</v>
      </c>
      <c r="F8139">
        <v>0</v>
      </c>
      <c r="G8139">
        <v>0</v>
      </c>
      <c r="H8139">
        <v>17</v>
      </c>
      <c r="I8139" s="3">
        <v>4637.71</v>
      </c>
      <c r="J8139" s="3">
        <v>3692.73</v>
      </c>
      <c r="L8139">
        <v>1729</v>
      </c>
      <c r="M8139" t="s">
        <v>16001</v>
      </c>
      <c r="N8139" t="s">
        <v>30</v>
      </c>
      <c r="O8139" t="s">
        <v>31</v>
      </c>
      <c r="P8139" t="str">
        <f>"15221"</f>
        <v>15221</v>
      </c>
    </row>
    <row r="8140" spans="1:16" x14ac:dyDescent="0.25">
      <c r="A8140" t="str">
        <f>"1130232B00023    00"</f>
        <v>1130232B00023    00</v>
      </c>
      <c r="B8140" t="s">
        <v>17816</v>
      </c>
      <c r="C8140" t="s">
        <v>17817</v>
      </c>
      <c r="D8140" t="s">
        <v>20</v>
      </c>
      <c r="E8140" t="s">
        <v>39</v>
      </c>
      <c r="F8140">
        <v>0</v>
      </c>
      <c r="G8140">
        <v>0</v>
      </c>
      <c r="H8140">
        <v>19</v>
      </c>
      <c r="I8140" s="3">
        <v>2917.91</v>
      </c>
      <c r="J8140" s="3">
        <v>2956.11</v>
      </c>
      <c r="L8140">
        <v>1003</v>
      </c>
      <c r="M8140" t="s">
        <v>17818</v>
      </c>
      <c r="N8140" t="s">
        <v>636</v>
      </c>
      <c r="O8140" t="s">
        <v>31</v>
      </c>
      <c r="P8140" t="str">
        <f>"15104"</f>
        <v>15104</v>
      </c>
    </row>
    <row r="8141" spans="1:16" x14ac:dyDescent="0.25">
      <c r="A8141" t="str">
        <f>"1130232B00029    00"</f>
        <v>1130232B00029    00</v>
      </c>
      <c r="B8141" t="s">
        <v>17819</v>
      </c>
      <c r="C8141" t="s">
        <v>16693</v>
      </c>
      <c r="D8141" t="s">
        <v>20</v>
      </c>
      <c r="E8141" t="s">
        <v>39</v>
      </c>
      <c r="F8141">
        <v>0</v>
      </c>
      <c r="G8141">
        <v>0</v>
      </c>
      <c r="H8141">
        <v>2</v>
      </c>
      <c r="I8141" s="3">
        <v>22.88</v>
      </c>
      <c r="J8141" s="3">
        <v>0</v>
      </c>
      <c r="L8141">
        <v>191</v>
      </c>
      <c r="M8141" t="s">
        <v>17755</v>
      </c>
      <c r="N8141" t="s">
        <v>30</v>
      </c>
      <c r="O8141" t="s">
        <v>31</v>
      </c>
      <c r="P8141" t="str">
        <f>"15221"</f>
        <v>15221</v>
      </c>
    </row>
    <row r="8142" spans="1:16" x14ac:dyDescent="0.25">
      <c r="A8142" t="str">
        <f>"1130232B00029A   00"</f>
        <v>1130232B00029A   00</v>
      </c>
      <c r="B8142" t="s">
        <v>17820</v>
      </c>
      <c r="C8142" t="s">
        <v>17821</v>
      </c>
      <c r="D8142" t="s">
        <v>20</v>
      </c>
      <c r="E8142" t="s">
        <v>39</v>
      </c>
      <c r="F8142">
        <v>0</v>
      </c>
      <c r="G8142">
        <v>0</v>
      </c>
      <c r="H8142">
        <v>2</v>
      </c>
      <c r="I8142" s="3">
        <v>324.22000000000003</v>
      </c>
      <c r="J8142" s="3">
        <v>0</v>
      </c>
      <c r="L8142">
        <v>191</v>
      </c>
      <c r="M8142" t="s">
        <v>17755</v>
      </c>
      <c r="N8142" t="s">
        <v>30</v>
      </c>
      <c r="O8142" t="s">
        <v>31</v>
      </c>
      <c r="P8142" t="str">
        <f>"15221"</f>
        <v>15221</v>
      </c>
    </row>
    <row r="8143" spans="1:16" x14ac:dyDescent="0.25">
      <c r="A8143" t="str">
        <f>"1130232B00031    00"</f>
        <v>1130232B00031    00</v>
      </c>
      <c r="B8143" t="s">
        <v>17822</v>
      </c>
      <c r="C8143" t="s">
        <v>17823</v>
      </c>
      <c r="D8143" t="s">
        <v>20</v>
      </c>
      <c r="E8143" t="s">
        <v>39</v>
      </c>
      <c r="F8143">
        <v>0</v>
      </c>
      <c r="G8143">
        <v>0</v>
      </c>
      <c r="H8143">
        <v>16</v>
      </c>
      <c r="I8143" s="3">
        <v>6016.39</v>
      </c>
      <c r="J8143" s="3">
        <v>5857.2</v>
      </c>
      <c r="L8143">
        <v>8075</v>
      </c>
      <c r="M8143" t="s">
        <v>17824</v>
      </c>
      <c r="N8143" t="s">
        <v>1046</v>
      </c>
      <c r="O8143" t="s">
        <v>31</v>
      </c>
      <c r="P8143" t="str">
        <f>"15147"</f>
        <v>15147</v>
      </c>
    </row>
    <row r="8144" spans="1:16" x14ac:dyDescent="0.25">
      <c r="A8144" t="str">
        <f>"1130232B00038    00"</f>
        <v>1130232B00038    00</v>
      </c>
      <c r="B8144" t="s">
        <v>17825</v>
      </c>
      <c r="C8144" t="s">
        <v>17826</v>
      </c>
      <c r="D8144" t="s">
        <v>20</v>
      </c>
      <c r="E8144" t="s">
        <v>39</v>
      </c>
      <c r="F8144">
        <v>0</v>
      </c>
      <c r="G8144">
        <v>0</v>
      </c>
      <c r="H8144">
        <v>8</v>
      </c>
      <c r="I8144" s="3">
        <v>310.52</v>
      </c>
      <c r="J8144" s="3">
        <v>133.88</v>
      </c>
      <c r="L8144">
        <v>194</v>
      </c>
      <c r="M8144" t="s">
        <v>17755</v>
      </c>
      <c r="N8144" t="s">
        <v>30</v>
      </c>
      <c r="O8144" t="s">
        <v>31</v>
      </c>
      <c r="P8144" t="str">
        <f>"15221"</f>
        <v>15221</v>
      </c>
    </row>
    <row r="8145" spans="1:16" x14ac:dyDescent="0.25">
      <c r="A8145" t="str">
        <f>"1130232B00039    00"</f>
        <v>1130232B00039    00</v>
      </c>
      <c r="B8145" t="s">
        <v>17827</v>
      </c>
      <c r="C8145" t="s">
        <v>17543</v>
      </c>
      <c r="D8145" t="s">
        <v>20</v>
      </c>
      <c r="E8145" t="s">
        <v>39</v>
      </c>
      <c r="F8145">
        <v>0</v>
      </c>
      <c r="G8145">
        <v>0</v>
      </c>
      <c r="H8145">
        <v>11</v>
      </c>
      <c r="I8145" s="3">
        <v>241.68</v>
      </c>
      <c r="J8145" s="3">
        <v>126.22</v>
      </c>
      <c r="L8145">
        <v>194</v>
      </c>
      <c r="M8145" t="s">
        <v>17755</v>
      </c>
      <c r="N8145" t="s">
        <v>30</v>
      </c>
      <c r="O8145" t="s">
        <v>31</v>
      </c>
      <c r="P8145" t="str">
        <f>"15221"</f>
        <v>15221</v>
      </c>
    </row>
    <row r="8146" spans="1:16" x14ac:dyDescent="0.25">
      <c r="A8146" t="str">
        <f>"1130232B00050    00"</f>
        <v>1130232B00050    00</v>
      </c>
      <c r="B8146" t="s">
        <v>17828</v>
      </c>
      <c r="C8146" t="s">
        <v>17829</v>
      </c>
      <c r="D8146" t="s">
        <v>20</v>
      </c>
      <c r="E8146" t="s">
        <v>39</v>
      </c>
      <c r="F8146">
        <v>0</v>
      </c>
      <c r="G8146">
        <v>0</v>
      </c>
      <c r="H8146">
        <v>19</v>
      </c>
      <c r="I8146" s="3">
        <v>8436.6200000000008</v>
      </c>
      <c r="J8146" s="3">
        <v>10432.01</v>
      </c>
      <c r="L8146">
        <v>2059</v>
      </c>
      <c r="M8146" t="s">
        <v>12101</v>
      </c>
      <c r="N8146" t="s">
        <v>30</v>
      </c>
      <c r="O8146" t="s">
        <v>31</v>
      </c>
      <c r="P8146" t="str">
        <f>"15221"</f>
        <v>15221</v>
      </c>
    </row>
    <row r="8147" spans="1:16" x14ac:dyDescent="0.25">
      <c r="A8147" t="str">
        <f>"1130232B00053    00"</f>
        <v>1130232B00053    00</v>
      </c>
      <c r="B8147" t="s">
        <v>17830</v>
      </c>
      <c r="C8147" t="s">
        <v>17831</v>
      </c>
      <c r="D8147" t="s">
        <v>20</v>
      </c>
      <c r="E8147" t="s">
        <v>39</v>
      </c>
      <c r="F8147">
        <v>0</v>
      </c>
      <c r="G8147">
        <v>0</v>
      </c>
      <c r="H8147">
        <v>1</v>
      </c>
      <c r="I8147" s="3">
        <v>554.66</v>
      </c>
      <c r="J8147" s="3">
        <v>0</v>
      </c>
      <c r="L8147">
        <v>10989</v>
      </c>
      <c r="M8147" t="s">
        <v>11939</v>
      </c>
      <c r="N8147" t="s">
        <v>30</v>
      </c>
      <c r="O8147" t="s">
        <v>31</v>
      </c>
      <c r="P8147" t="str">
        <f>"15235"</f>
        <v>15235</v>
      </c>
    </row>
    <row r="8148" spans="1:16" x14ac:dyDescent="0.25">
      <c r="A8148" t="str">
        <f>"1130232B00054    00"</f>
        <v>1130232B00054    00</v>
      </c>
      <c r="B8148" t="s">
        <v>17832</v>
      </c>
      <c r="C8148" t="s">
        <v>17833</v>
      </c>
      <c r="D8148" t="s">
        <v>20</v>
      </c>
      <c r="E8148" t="s">
        <v>39</v>
      </c>
      <c r="F8148">
        <v>0</v>
      </c>
      <c r="G8148">
        <v>0</v>
      </c>
      <c r="H8148">
        <v>13</v>
      </c>
      <c r="I8148" s="3">
        <v>8373.24</v>
      </c>
      <c r="J8148" s="3">
        <v>4931.87</v>
      </c>
      <c r="L8148">
        <v>334</v>
      </c>
      <c r="M8148" t="s">
        <v>17834</v>
      </c>
      <c r="N8148" t="s">
        <v>30</v>
      </c>
      <c r="O8148" t="s">
        <v>31</v>
      </c>
      <c r="P8148" t="str">
        <f>"15235"</f>
        <v>15235</v>
      </c>
    </row>
    <row r="8149" spans="1:16" x14ac:dyDescent="0.25">
      <c r="A8149" t="str">
        <f>"1130232B00055    00"</f>
        <v>1130232B00055    00</v>
      </c>
      <c r="B8149" t="s">
        <v>17835</v>
      </c>
      <c r="C8149" t="s">
        <v>17543</v>
      </c>
      <c r="D8149" t="s">
        <v>20</v>
      </c>
      <c r="E8149" t="s">
        <v>39</v>
      </c>
      <c r="F8149">
        <v>0</v>
      </c>
      <c r="G8149">
        <v>0</v>
      </c>
      <c r="H8149">
        <v>17</v>
      </c>
      <c r="I8149" s="3">
        <v>152.36000000000001</v>
      </c>
      <c r="J8149" s="3">
        <v>159.4</v>
      </c>
      <c r="K8149" t="s">
        <v>1008</v>
      </c>
      <c r="P8149" t="str">
        <f>""</f>
        <v/>
      </c>
    </row>
    <row r="8150" spans="1:16" x14ac:dyDescent="0.25">
      <c r="A8150" t="str">
        <f>"1130232B00056    00"</f>
        <v>1130232B00056    00</v>
      </c>
      <c r="B8150" t="s">
        <v>17836</v>
      </c>
      <c r="C8150" t="s">
        <v>17543</v>
      </c>
      <c r="D8150" t="s">
        <v>20</v>
      </c>
      <c r="E8150" t="s">
        <v>39</v>
      </c>
      <c r="F8150">
        <v>0</v>
      </c>
      <c r="G8150">
        <v>0</v>
      </c>
      <c r="H8150">
        <v>17</v>
      </c>
      <c r="I8150" s="3">
        <v>152.36000000000001</v>
      </c>
      <c r="J8150" s="3">
        <v>159.4</v>
      </c>
      <c r="L8150">
        <v>6427</v>
      </c>
      <c r="M8150" t="s">
        <v>13827</v>
      </c>
      <c r="N8150" t="s">
        <v>30</v>
      </c>
      <c r="O8150" t="s">
        <v>31</v>
      </c>
      <c r="P8150" t="str">
        <f>"15206"</f>
        <v>15206</v>
      </c>
    </row>
    <row r="8151" spans="1:16" x14ac:dyDescent="0.25">
      <c r="A8151" t="str">
        <f>"1130232B00057    00"</f>
        <v>1130232B00057    00</v>
      </c>
      <c r="B8151" t="s">
        <v>17837</v>
      </c>
      <c r="C8151" t="s">
        <v>17543</v>
      </c>
      <c r="D8151" t="s">
        <v>20</v>
      </c>
      <c r="E8151" t="s">
        <v>39</v>
      </c>
      <c r="F8151">
        <v>0</v>
      </c>
      <c r="G8151">
        <v>0</v>
      </c>
      <c r="H8151">
        <v>4</v>
      </c>
      <c r="I8151" s="3">
        <v>30.16</v>
      </c>
      <c r="J8151" s="3">
        <v>3.71</v>
      </c>
      <c r="L8151">
        <v>143</v>
      </c>
      <c r="M8151" t="s">
        <v>17838</v>
      </c>
      <c r="N8151" t="s">
        <v>4318</v>
      </c>
      <c r="O8151" t="s">
        <v>31</v>
      </c>
      <c r="P8151" t="str">
        <f>"16046"</f>
        <v>16046</v>
      </c>
    </row>
    <row r="8152" spans="1:16" x14ac:dyDescent="0.25">
      <c r="A8152" t="str">
        <f>"1130232B00068    00"</f>
        <v>1130232B00068    00</v>
      </c>
      <c r="B8152" t="s">
        <v>17839</v>
      </c>
      <c r="C8152" t="s">
        <v>17840</v>
      </c>
      <c r="D8152" t="s">
        <v>20</v>
      </c>
      <c r="E8152" t="s">
        <v>39</v>
      </c>
      <c r="F8152">
        <v>0</v>
      </c>
      <c r="G8152">
        <v>0</v>
      </c>
      <c r="H8152">
        <v>4</v>
      </c>
      <c r="I8152" s="3">
        <v>1830.21</v>
      </c>
      <c r="J8152" s="3">
        <v>216.2</v>
      </c>
      <c r="L8152">
        <v>8055</v>
      </c>
      <c r="M8152" t="s">
        <v>2398</v>
      </c>
      <c r="N8152" t="s">
        <v>1046</v>
      </c>
      <c r="O8152" t="s">
        <v>31</v>
      </c>
      <c r="P8152" t="str">
        <f>"15147"</f>
        <v>15147</v>
      </c>
    </row>
    <row r="8153" spans="1:16" x14ac:dyDescent="0.25">
      <c r="A8153" t="str">
        <f>"1130232B00075    00"</f>
        <v>1130232B00075    00</v>
      </c>
      <c r="B8153" t="s">
        <v>17841</v>
      </c>
      <c r="C8153" t="s">
        <v>17842</v>
      </c>
      <c r="D8153" t="s">
        <v>20</v>
      </c>
      <c r="E8153" t="s">
        <v>39</v>
      </c>
      <c r="F8153">
        <v>0</v>
      </c>
      <c r="G8153">
        <v>0</v>
      </c>
      <c r="H8153">
        <v>1</v>
      </c>
      <c r="I8153" s="3">
        <v>56.03</v>
      </c>
      <c r="J8153" s="3">
        <v>0</v>
      </c>
      <c r="L8153">
        <v>1813</v>
      </c>
      <c r="M8153" t="s">
        <v>16001</v>
      </c>
      <c r="N8153" t="s">
        <v>30</v>
      </c>
      <c r="O8153" t="s">
        <v>31</v>
      </c>
      <c r="P8153" t="str">
        <f>"15221"</f>
        <v>15221</v>
      </c>
    </row>
    <row r="8154" spans="1:16" x14ac:dyDescent="0.25">
      <c r="A8154" t="str">
        <f>"1130232B00076    00"</f>
        <v>1130232B00076    00</v>
      </c>
      <c r="B8154" t="s">
        <v>17841</v>
      </c>
      <c r="C8154" t="s">
        <v>17817</v>
      </c>
      <c r="D8154" t="s">
        <v>20</v>
      </c>
      <c r="E8154" t="s">
        <v>39</v>
      </c>
      <c r="F8154">
        <v>0</v>
      </c>
      <c r="G8154">
        <v>0</v>
      </c>
      <c r="H8154">
        <v>3</v>
      </c>
      <c r="I8154" s="3">
        <v>73.33</v>
      </c>
      <c r="J8154" s="3">
        <v>7.12</v>
      </c>
      <c r="L8154">
        <v>1813</v>
      </c>
      <c r="M8154" t="s">
        <v>16001</v>
      </c>
      <c r="N8154" t="s">
        <v>30</v>
      </c>
      <c r="O8154" t="s">
        <v>31</v>
      </c>
      <c r="P8154" t="str">
        <f>"15221"</f>
        <v>15221</v>
      </c>
    </row>
    <row r="8155" spans="1:16" x14ac:dyDescent="0.25">
      <c r="A8155" t="str">
        <f>"1130232B00079    00"</f>
        <v>1130232B00079    00</v>
      </c>
      <c r="B8155" t="s">
        <v>17843</v>
      </c>
      <c r="C8155" t="s">
        <v>17817</v>
      </c>
      <c r="D8155" t="s">
        <v>20</v>
      </c>
      <c r="E8155" t="s">
        <v>39</v>
      </c>
      <c r="F8155">
        <v>0</v>
      </c>
      <c r="G8155">
        <v>0</v>
      </c>
      <c r="H8155">
        <v>19</v>
      </c>
      <c r="I8155" s="3">
        <v>255.06</v>
      </c>
      <c r="J8155" s="3">
        <v>247.23</v>
      </c>
      <c r="K8155" t="s">
        <v>1008</v>
      </c>
      <c r="P8155" t="str">
        <f>""</f>
        <v/>
      </c>
    </row>
    <row r="8156" spans="1:16" x14ac:dyDescent="0.25">
      <c r="A8156" t="str">
        <f>"1130232B00080    00"</f>
        <v>1130232B00080    00</v>
      </c>
      <c r="B8156" t="s">
        <v>17844</v>
      </c>
      <c r="C8156" t="s">
        <v>17817</v>
      </c>
      <c r="D8156" t="s">
        <v>20</v>
      </c>
      <c r="E8156" t="s">
        <v>39</v>
      </c>
      <c r="F8156">
        <v>0</v>
      </c>
      <c r="G8156">
        <v>0</v>
      </c>
      <c r="H8156">
        <v>19</v>
      </c>
      <c r="I8156" s="3">
        <v>5250.43</v>
      </c>
      <c r="J8156" s="3">
        <v>6822.36</v>
      </c>
      <c r="P8156" t="str">
        <f>""</f>
        <v/>
      </c>
    </row>
    <row r="8157" spans="1:16" x14ac:dyDescent="0.25">
      <c r="A8157" t="str">
        <f>"1130232B00082    00"</f>
        <v>1130232B00082    00</v>
      </c>
      <c r="B8157" t="s">
        <v>17845</v>
      </c>
      <c r="C8157" t="s">
        <v>17817</v>
      </c>
      <c r="D8157" t="s">
        <v>20</v>
      </c>
      <c r="E8157" t="s">
        <v>39</v>
      </c>
      <c r="F8157">
        <v>0</v>
      </c>
      <c r="G8157">
        <v>0</v>
      </c>
      <c r="H8157">
        <v>18</v>
      </c>
      <c r="I8157" s="3">
        <v>1674.48</v>
      </c>
      <c r="J8157" s="3">
        <v>1890.08</v>
      </c>
      <c r="L8157">
        <v>191</v>
      </c>
      <c r="M8157" t="s">
        <v>17755</v>
      </c>
      <c r="N8157" t="s">
        <v>30</v>
      </c>
      <c r="O8157" t="s">
        <v>31</v>
      </c>
      <c r="P8157" t="str">
        <f>"15221"</f>
        <v>15221</v>
      </c>
    </row>
    <row r="8158" spans="1:16" x14ac:dyDescent="0.25">
      <c r="A8158" t="str">
        <f>"1130232B00084    00"</f>
        <v>1130232B00084    00</v>
      </c>
      <c r="B8158" t="s">
        <v>17846</v>
      </c>
      <c r="C8158" t="s">
        <v>17817</v>
      </c>
      <c r="D8158" t="s">
        <v>20</v>
      </c>
      <c r="E8158" t="s">
        <v>39</v>
      </c>
      <c r="F8158">
        <v>0</v>
      </c>
      <c r="G8158">
        <v>0</v>
      </c>
      <c r="H8158">
        <v>19</v>
      </c>
      <c r="I8158" s="3">
        <v>12210.08</v>
      </c>
      <c r="J8158" s="3">
        <v>17306.88</v>
      </c>
      <c r="L8158">
        <v>7927</v>
      </c>
      <c r="M8158" t="s">
        <v>17847</v>
      </c>
      <c r="N8158" t="s">
        <v>1046</v>
      </c>
      <c r="O8158" t="s">
        <v>31</v>
      </c>
      <c r="P8158" t="str">
        <f>"15147"</f>
        <v>15147</v>
      </c>
    </row>
    <row r="8159" spans="1:16" x14ac:dyDescent="0.25">
      <c r="A8159" t="str">
        <f>"1130232B00085    00"</f>
        <v>1130232B00085    00</v>
      </c>
      <c r="B8159" t="s">
        <v>17848</v>
      </c>
      <c r="C8159" t="s">
        <v>17817</v>
      </c>
      <c r="D8159" t="s">
        <v>20</v>
      </c>
      <c r="E8159" t="s">
        <v>39</v>
      </c>
      <c r="F8159">
        <v>0</v>
      </c>
      <c r="G8159">
        <v>0</v>
      </c>
      <c r="H8159">
        <v>1</v>
      </c>
      <c r="I8159" s="3">
        <v>26.68</v>
      </c>
      <c r="J8159" s="3">
        <v>0</v>
      </c>
      <c r="K8159" t="s">
        <v>17849</v>
      </c>
      <c r="L8159">
        <v>1323</v>
      </c>
      <c r="M8159" t="s">
        <v>17850</v>
      </c>
      <c r="N8159" t="s">
        <v>17851</v>
      </c>
      <c r="O8159" t="s">
        <v>1413</v>
      </c>
      <c r="P8159" t="str">
        <f>"27516"</f>
        <v>27516</v>
      </c>
    </row>
    <row r="8160" spans="1:16" x14ac:dyDescent="0.25">
      <c r="A8160" t="str">
        <f>"1130232B00087    00"</f>
        <v>1130232B00087    00</v>
      </c>
      <c r="B8160" t="s">
        <v>17848</v>
      </c>
      <c r="C8160" t="s">
        <v>17852</v>
      </c>
      <c r="D8160" t="s">
        <v>20</v>
      </c>
      <c r="E8160" t="s">
        <v>39</v>
      </c>
      <c r="F8160">
        <v>0</v>
      </c>
      <c r="G8160">
        <v>0</v>
      </c>
      <c r="H8160">
        <v>1</v>
      </c>
      <c r="I8160" s="3">
        <v>630.9</v>
      </c>
      <c r="J8160" s="3">
        <v>0</v>
      </c>
      <c r="K8160" t="s">
        <v>17849</v>
      </c>
      <c r="L8160">
        <v>1323</v>
      </c>
      <c r="M8160" t="s">
        <v>17850</v>
      </c>
      <c r="N8160" t="s">
        <v>17851</v>
      </c>
      <c r="O8160" t="s">
        <v>1413</v>
      </c>
      <c r="P8160" t="str">
        <f>"27516"</f>
        <v>27516</v>
      </c>
    </row>
    <row r="8161" spans="1:16" x14ac:dyDescent="0.25">
      <c r="A8161" t="str">
        <f>"1130232B00088    00"</f>
        <v>1130232B00088    00</v>
      </c>
      <c r="B8161" t="s">
        <v>17853</v>
      </c>
      <c r="C8161" t="s">
        <v>17854</v>
      </c>
      <c r="E8161" t="s">
        <v>39</v>
      </c>
      <c r="F8161">
        <v>0</v>
      </c>
      <c r="G8161">
        <v>0</v>
      </c>
      <c r="H8161">
        <v>1</v>
      </c>
      <c r="I8161" s="3">
        <v>941.81</v>
      </c>
      <c r="J8161" s="3">
        <v>1208.5999999999999</v>
      </c>
      <c r="L8161">
        <v>23471</v>
      </c>
      <c r="M8161" t="s">
        <v>17855</v>
      </c>
      <c r="N8161" t="s">
        <v>17856</v>
      </c>
      <c r="O8161" t="s">
        <v>70</v>
      </c>
      <c r="P8161" t="str">
        <f>"48033"</f>
        <v>48033</v>
      </c>
    </row>
    <row r="8162" spans="1:16" x14ac:dyDescent="0.25">
      <c r="A8162" t="str">
        <f>"1130232B00089    00"</f>
        <v>1130232B00089    00</v>
      </c>
      <c r="B8162" t="s">
        <v>17857</v>
      </c>
      <c r="C8162" t="s">
        <v>17817</v>
      </c>
      <c r="D8162" t="s">
        <v>20</v>
      </c>
      <c r="E8162" t="s">
        <v>39</v>
      </c>
      <c r="F8162">
        <v>0</v>
      </c>
      <c r="G8162">
        <v>0</v>
      </c>
      <c r="H8162">
        <v>7</v>
      </c>
      <c r="I8162" s="3">
        <v>181.98</v>
      </c>
      <c r="J8162" s="3">
        <v>50.96</v>
      </c>
      <c r="L8162">
        <v>1734</v>
      </c>
      <c r="M8162" t="s">
        <v>16001</v>
      </c>
      <c r="N8162" t="s">
        <v>30</v>
      </c>
      <c r="O8162" t="s">
        <v>31</v>
      </c>
      <c r="P8162" t="str">
        <f>"15221"</f>
        <v>15221</v>
      </c>
    </row>
    <row r="8163" spans="1:16" x14ac:dyDescent="0.25">
      <c r="A8163" t="str">
        <f>"1130232B00093    00"</f>
        <v>1130232B00093    00</v>
      </c>
      <c r="B8163" t="s">
        <v>17858</v>
      </c>
      <c r="C8163" t="s">
        <v>17859</v>
      </c>
      <c r="D8163" t="s">
        <v>20</v>
      </c>
      <c r="E8163" t="s">
        <v>39</v>
      </c>
      <c r="F8163">
        <v>0</v>
      </c>
      <c r="G8163">
        <v>0</v>
      </c>
      <c r="H8163">
        <v>15</v>
      </c>
      <c r="I8163" s="3">
        <v>9610.07</v>
      </c>
      <c r="J8163" s="3">
        <v>6605.67</v>
      </c>
      <c r="L8163">
        <v>1839</v>
      </c>
      <c r="M8163" t="s">
        <v>17600</v>
      </c>
      <c r="N8163" t="s">
        <v>30</v>
      </c>
      <c r="O8163" t="s">
        <v>31</v>
      </c>
      <c r="P8163" t="str">
        <f>"15221"</f>
        <v>15221</v>
      </c>
    </row>
    <row r="8164" spans="1:16" x14ac:dyDescent="0.25">
      <c r="A8164" t="str">
        <f>"1130232B00101    00"</f>
        <v>1130232B00101    00</v>
      </c>
      <c r="B8164" t="s">
        <v>17860</v>
      </c>
      <c r="C8164" t="s">
        <v>17861</v>
      </c>
      <c r="D8164" t="s">
        <v>20</v>
      </c>
      <c r="E8164" t="s">
        <v>39</v>
      </c>
      <c r="F8164">
        <v>0</v>
      </c>
      <c r="G8164">
        <v>0</v>
      </c>
      <c r="H8164">
        <v>4</v>
      </c>
      <c r="I8164" s="3">
        <v>3483.35</v>
      </c>
      <c r="J8164" s="3">
        <v>4374.07</v>
      </c>
      <c r="L8164">
        <v>1802</v>
      </c>
      <c r="M8164" t="s">
        <v>16001</v>
      </c>
      <c r="N8164" t="s">
        <v>30</v>
      </c>
      <c r="O8164" t="s">
        <v>31</v>
      </c>
      <c r="P8164" t="str">
        <f>"15221"</f>
        <v>15221</v>
      </c>
    </row>
    <row r="8165" spans="1:16" x14ac:dyDescent="0.25">
      <c r="A8165" t="str">
        <f>"1130232B00102    00"</f>
        <v>1130232B00102    00</v>
      </c>
      <c r="B8165" t="s">
        <v>17862</v>
      </c>
      <c r="C8165" t="s">
        <v>17863</v>
      </c>
      <c r="E8165" t="s">
        <v>39</v>
      </c>
      <c r="F8165">
        <v>0</v>
      </c>
      <c r="G8165">
        <v>0</v>
      </c>
      <c r="H8165">
        <v>11</v>
      </c>
      <c r="I8165" s="3">
        <v>3750.67</v>
      </c>
      <c r="J8165" s="3">
        <v>2598.29</v>
      </c>
      <c r="K8165" t="s">
        <v>17864</v>
      </c>
      <c r="L8165">
        <v>825</v>
      </c>
      <c r="M8165" t="s">
        <v>17865</v>
      </c>
      <c r="N8165" t="s">
        <v>826</v>
      </c>
      <c r="O8165" t="s">
        <v>31</v>
      </c>
      <c r="P8165" t="str">
        <f>"15601"</f>
        <v>15601</v>
      </c>
    </row>
    <row r="8166" spans="1:16" x14ac:dyDescent="0.25">
      <c r="A8166" t="str">
        <f>"1130232B00104    00"</f>
        <v>1130232B00104    00</v>
      </c>
      <c r="B8166" t="s">
        <v>17866</v>
      </c>
      <c r="C8166" t="s">
        <v>17867</v>
      </c>
      <c r="E8166" t="s">
        <v>39</v>
      </c>
      <c r="F8166">
        <v>0</v>
      </c>
      <c r="G8166">
        <v>0</v>
      </c>
      <c r="H8166">
        <v>3</v>
      </c>
      <c r="I8166" s="3">
        <v>249.86</v>
      </c>
      <c r="J8166" s="3">
        <v>34.69</v>
      </c>
      <c r="L8166">
        <v>1806</v>
      </c>
      <c r="M8166" t="s">
        <v>16001</v>
      </c>
      <c r="N8166" t="s">
        <v>30</v>
      </c>
      <c r="O8166" t="s">
        <v>31</v>
      </c>
      <c r="P8166" t="str">
        <f>"15221"</f>
        <v>15221</v>
      </c>
    </row>
    <row r="8167" spans="1:16" x14ac:dyDescent="0.25">
      <c r="A8167" t="str">
        <f>"1130232B00107    00"</f>
        <v>1130232B00107    00</v>
      </c>
      <c r="B8167" t="s">
        <v>17547</v>
      </c>
      <c r="C8167" t="s">
        <v>17868</v>
      </c>
      <c r="D8167" t="s">
        <v>20</v>
      </c>
      <c r="E8167" t="s">
        <v>39</v>
      </c>
      <c r="F8167">
        <v>0</v>
      </c>
      <c r="G8167">
        <v>0</v>
      </c>
      <c r="H8167">
        <v>3</v>
      </c>
      <c r="I8167" s="3">
        <v>2539.7199999999998</v>
      </c>
      <c r="J8167" s="3">
        <v>174.25</v>
      </c>
      <c r="K8167" t="s">
        <v>8103</v>
      </c>
      <c r="L8167">
        <v>411</v>
      </c>
      <c r="M8167" t="s">
        <v>8104</v>
      </c>
      <c r="N8167" t="s">
        <v>30</v>
      </c>
      <c r="O8167" t="s">
        <v>31</v>
      </c>
      <c r="P8167" t="str">
        <f>"15219"</f>
        <v>15219</v>
      </c>
    </row>
    <row r="8168" spans="1:16" x14ac:dyDescent="0.25">
      <c r="A8168" t="str">
        <f>"1130232B00109    00"</f>
        <v>1130232B00109    00</v>
      </c>
      <c r="B8168" t="s">
        <v>17869</v>
      </c>
      <c r="C8168" t="s">
        <v>17817</v>
      </c>
      <c r="D8168" t="s">
        <v>20</v>
      </c>
      <c r="E8168" t="s">
        <v>39</v>
      </c>
      <c r="F8168">
        <v>0</v>
      </c>
      <c r="G8168">
        <v>0</v>
      </c>
      <c r="H8168">
        <v>10</v>
      </c>
      <c r="I8168" s="3">
        <v>284.60000000000002</v>
      </c>
      <c r="J8168" s="3">
        <v>134.88</v>
      </c>
      <c r="K8168" t="s">
        <v>17870</v>
      </c>
      <c r="L8168">
        <v>408</v>
      </c>
      <c r="M8168" t="s">
        <v>7866</v>
      </c>
      <c r="N8168" t="s">
        <v>30</v>
      </c>
      <c r="O8168" t="s">
        <v>31</v>
      </c>
      <c r="P8168" t="str">
        <f>"15224"</f>
        <v>15224</v>
      </c>
    </row>
    <row r="8169" spans="1:16" x14ac:dyDescent="0.25">
      <c r="A8169" t="str">
        <f>"1130232B00151    00"</f>
        <v>1130232B00151    00</v>
      </c>
      <c r="B8169" t="s">
        <v>17871</v>
      </c>
      <c r="C8169" t="s">
        <v>17872</v>
      </c>
      <c r="D8169" t="s">
        <v>20</v>
      </c>
      <c r="E8169" t="s">
        <v>39</v>
      </c>
      <c r="F8169">
        <v>0</v>
      </c>
      <c r="G8169">
        <v>0</v>
      </c>
      <c r="H8169">
        <v>11</v>
      </c>
      <c r="I8169" s="3">
        <v>282.92</v>
      </c>
      <c r="J8169" s="3">
        <v>135.79</v>
      </c>
      <c r="L8169">
        <v>1753</v>
      </c>
      <c r="M8169" t="s">
        <v>17873</v>
      </c>
      <c r="N8169" t="s">
        <v>30</v>
      </c>
      <c r="O8169" t="s">
        <v>31</v>
      </c>
      <c r="P8169" t="str">
        <f>"15221"</f>
        <v>15221</v>
      </c>
    </row>
    <row r="8170" spans="1:16" x14ac:dyDescent="0.25">
      <c r="A8170" t="str">
        <f>"1130232B00152    00"</f>
        <v>1130232B00152    00</v>
      </c>
      <c r="B8170" t="s">
        <v>17871</v>
      </c>
      <c r="C8170" t="s">
        <v>17872</v>
      </c>
      <c r="D8170" t="s">
        <v>20</v>
      </c>
      <c r="E8170" t="s">
        <v>39</v>
      </c>
      <c r="F8170">
        <v>0</v>
      </c>
      <c r="G8170">
        <v>0</v>
      </c>
      <c r="H8170">
        <v>10</v>
      </c>
      <c r="I8170" s="3">
        <v>11688.98</v>
      </c>
      <c r="J8170" s="3">
        <v>5004.96</v>
      </c>
      <c r="L8170">
        <v>1753</v>
      </c>
      <c r="M8170" t="s">
        <v>17873</v>
      </c>
      <c r="N8170" t="s">
        <v>30</v>
      </c>
      <c r="O8170" t="s">
        <v>31</v>
      </c>
      <c r="P8170" t="str">
        <f>"15221"</f>
        <v>15221</v>
      </c>
    </row>
    <row r="8171" spans="1:16" x14ac:dyDescent="0.25">
      <c r="A8171" t="str">
        <f>"1130232B00155    00"</f>
        <v>1130232B00155    00</v>
      </c>
      <c r="B8171" t="s">
        <v>17874</v>
      </c>
      <c r="C8171" t="s">
        <v>17875</v>
      </c>
      <c r="D8171" t="s">
        <v>20</v>
      </c>
      <c r="E8171" t="s">
        <v>39</v>
      </c>
      <c r="F8171">
        <v>0</v>
      </c>
      <c r="G8171">
        <v>0</v>
      </c>
      <c r="H8171">
        <v>17</v>
      </c>
      <c r="I8171" s="3">
        <v>325.26</v>
      </c>
      <c r="J8171" s="3">
        <v>223.62</v>
      </c>
      <c r="L8171">
        <v>1260</v>
      </c>
      <c r="M8171" t="s">
        <v>17876</v>
      </c>
      <c r="N8171" t="s">
        <v>17877</v>
      </c>
      <c r="O8171" t="s">
        <v>31</v>
      </c>
      <c r="P8171" t="str">
        <f>"19602"</f>
        <v>19602</v>
      </c>
    </row>
    <row r="8172" spans="1:16" x14ac:dyDescent="0.25">
      <c r="A8172" t="str">
        <f>"1130232B00156    00"</f>
        <v>1130232B00156    00</v>
      </c>
      <c r="B8172" t="s">
        <v>17874</v>
      </c>
      <c r="C8172" t="s">
        <v>17878</v>
      </c>
      <c r="D8172" t="s">
        <v>20</v>
      </c>
      <c r="E8172" t="s">
        <v>39</v>
      </c>
      <c r="F8172">
        <v>0</v>
      </c>
      <c r="G8172">
        <v>0</v>
      </c>
      <c r="H8172">
        <v>17</v>
      </c>
      <c r="I8172" s="3">
        <v>6119.68</v>
      </c>
      <c r="J8172" s="3">
        <v>6136.14</v>
      </c>
      <c r="L8172">
        <v>1260</v>
      </c>
      <c r="M8172" t="s">
        <v>17876</v>
      </c>
      <c r="N8172" t="s">
        <v>17877</v>
      </c>
      <c r="O8172" t="s">
        <v>31</v>
      </c>
      <c r="P8172" t="str">
        <f>"19602"</f>
        <v>19602</v>
      </c>
    </row>
    <row r="8173" spans="1:16" x14ac:dyDescent="0.25">
      <c r="A8173" t="str">
        <f>"1130232B00158    00"</f>
        <v>1130232B00158    00</v>
      </c>
      <c r="B8173" t="s">
        <v>17879</v>
      </c>
      <c r="C8173" t="s">
        <v>17880</v>
      </c>
      <c r="D8173" t="s">
        <v>20</v>
      </c>
      <c r="E8173" t="s">
        <v>39</v>
      </c>
      <c r="F8173">
        <v>0</v>
      </c>
      <c r="G8173">
        <v>0</v>
      </c>
      <c r="H8173">
        <v>11</v>
      </c>
      <c r="I8173" s="3">
        <v>4667.0600000000004</v>
      </c>
      <c r="J8173" s="3">
        <v>2182.6799999999998</v>
      </c>
      <c r="L8173">
        <v>2714</v>
      </c>
      <c r="M8173" t="s">
        <v>585</v>
      </c>
      <c r="N8173" t="s">
        <v>30</v>
      </c>
      <c r="O8173" t="s">
        <v>31</v>
      </c>
      <c r="P8173" t="str">
        <f>"15222"</f>
        <v>15222</v>
      </c>
    </row>
    <row r="8174" spans="1:16" x14ac:dyDescent="0.25">
      <c r="A8174" t="str">
        <f>"1130232B00160    00"</f>
        <v>1130232B00160    00</v>
      </c>
      <c r="B8174" t="s">
        <v>17881</v>
      </c>
      <c r="C8174" t="s">
        <v>17882</v>
      </c>
      <c r="D8174" t="s">
        <v>20</v>
      </c>
      <c r="E8174" t="s">
        <v>39</v>
      </c>
      <c r="F8174">
        <v>0</v>
      </c>
      <c r="G8174">
        <v>0</v>
      </c>
      <c r="H8174">
        <v>11</v>
      </c>
      <c r="I8174" s="3">
        <v>7070.8</v>
      </c>
      <c r="J8174" s="3">
        <v>3374.64</v>
      </c>
      <c r="K8174" t="s">
        <v>17883</v>
      </c>
      <c r="L8174">
        <v>1731</v>
      </c>
      <c r="M8174" t="s">
        <v>17884</v>
      </c>
      <c r="N8174" t="s">
        <v>30</v>
      </c>
      <c r="O8174" t="s">
        <v>31</v>
      </c>
      <c r="P8174" t="str">
        <f>"15221"</f>
        <v>15221</v>
      </c>
    </row>
    <row r="8175" spans="1:16" x14ac:dyDescent="0.25">
      <c r="A8175" t="str">
        <f>"1130232B00161    00"</f>
        <v>1130232B00161    00</v>
      </c>
      <c r="B8175" t="s">
        <v>17885</v>
      </c>
      <c r="C8175" t="s">
        <v>17886</v>
      </c>
      <c r="D8175" t="s">
        <v>20</v>
      </c>
      <c r="E8175" t="s">
        <v>39</v>
      </c>
      <c r="F8175">
        <v>0</v>
      </c>
      <c r="G8175">
        <v>0</v>
      </c>
      <c r="H8175">
        <v>17</v>
      </c>
      <c r="I8175" s="3">
        <v>19354.259999999998</v>
      </c>
      <c r="J8175" s="3">
        <v>16617.11</v>
      </c>
      <c r="L8175">
        <v>50</v>
      </c>
      <c r="M8175" t="s">
        <v>17887</v>
      </c>
      <c r="N8175" t="s">
        <v>3262</v>
      </c>
      <c r="O8175" t="s">
        <v>5057</v>
      </c>
      <c r="P8175" t="str">
        <f>"04101"</f>
        <v>04101</v>
      </c>
    </row>
    <row r="8176" spans="1:16" x14ac:dyDescent="0.25">
      <c r="A8176" t="str">
        <f>"1130232B00205    00"</f>
        <v>1130232B00205    00</v>
      </c>
      <c r="B8176" t="s">
        <v>17888</v>
      </c>
      <c r="C8176" t="s">
        <v>17875</v>
      </c>
      <c r="D8176" t="s">
        <v>20</v>
      </c>
      <c r="E8176" t="s">
        <v>39</v>
      </c>
      <c r="F8176">
        <v>0</v>
      </c>
      <c r="G8176">
        <v>0</v>
      </c>
      <c r="H8176">
        <v>2</v>
      </c>
      <c r="I8176" s="3">
        <v>21.41</v>
      </c>
      <c r="J8176" s="3">
        <v>0</v>
      </c>
      <c r="K8176" t="s">
        <v>17889</v>
      </c>
      <c r="L8176">
        <v>222</v>
      </c>
      <c r="M8176" t="s">
        <v>6834</v>
      </c>
      <c r="N8176" t="s">
        <v>30</v>
      </c>
      <c r="O8176" t="s">
        <v>31</v>
      </c>
      <c r="P8176" t="str">
        <f>"15206"</f>
        <v>15206</v>
      </c>
    </row>
    <row r="8177" spans="1:16" x14ac:dyDescent="0.25">
      <c r="A8177" t="str">
        <f>"1130232B00232    00"</f>
        <v>1130232B00232    00</v>
      </c>
      <c r="B8177" t="s">
        <v>17890</v>
      </c>
      <c r="C8177" t="s">
        <v>17891</v>
      </c>
      <c r="D8177" t="s">
        <v>20</v>
      </c>
      <c r="E8177" t="s">
        <v>39</v>
      </c>
      <c r="F8177">
        <v>0</v>
      </c>
      <c r="G8177">
        <v>0</v>
      </c>
      <c r="H8177">
        <v>4</v>
      </c>
      <c r="I8177" s="3">
        <v>5167.68</v>
      </c>
      <c r="J8177" s="3">
        <v>636.36</v>
      </c>
      <c r="L8177">
        <v>2111</v>
      </c>
      <c r="M8177" t="s">
        <v>17892</v>
      </c>
      <c r="N8177" t="s">
        <v>30</v>
      </c>
      <c r="O8177" t="s">
        <v>31</v>
      </c>
      <c r="P8177" t="str">
        <f>"15235"</f>
        <v>15235</v>
      </c>
    </row>
    <row r="8178" spans="1:16" x14ac:dyDescent="0.25">
      <c r="A8178" t="str">
        <f>"1130232B00234    00"</f>
        <v>1130232B00234    00</v>
      </c>
      <c r="B8178" t="s">
        <v>17893</v>
      </c>
      <c r="C8178" t="s">
        <v>17894</v>
      </c>
      <c r="D8178" t="s">
        <v>20</v>
      </c>
      <c r="E8178" t="s">
        <v>39</v>
      </c>
      <c r="F8178">
        <v>0</v>
      </c>
      <c r="G8178">
        <v>0</v>
      </c>
      <c r="H8178">
        <v>1</v>
      </c>
      <c r="I8178" s="3">
        <v>642.78</v>
      </c>
      <c r="J8178" s="3">
        <v>0</v>
      </c>
      <c r="K8178" t="s">
        <v>17895</v>
      </c>
      <c r="L8178">
        <v>132</v>
      </c>
      <c r="M8178" t="s">
        <v>17896</v>
      </c>
      <c r="N8178" t="s">
        <v>30</v>
      </c>
      <c r="O8178" t="s">
        <v>31</v>
      </c>
      <c r="P8178" t="str">
        <f>"15221"</f>
        <v>15221</v>
      </c>
    </row>
    <row r="8179" spans="1:16" x14ac:dyDescent="0.25">
      <c r="A8179" t="str">
        <f>"1130232B00235    00"</f>
        <v>1130232B00235    00</v>
      </c>
      <c r="B8179" t="s">
        <v>17897</v>
      </c>
      <c r="C8179" t="s">
        <v>17898</v>
      </c>
      <c r="D8179" t="s">
        <v>20</v>
      </c>
      <c r="E8179" t="s">
        <v>39</v>
      </c>
      <c r="F8179">
        <v>0</v>
      </c>
      <c r="G8179">
        <v>0</v>
      </c>
      <c r="H8179">
        <v>2</v>
      </c>
      <c r="I8179" s="3">
        <v>2615.04</v>
      </c>
      <c r="J8179" s="3">
        <v>0</v>
      </c>
      <c r="L8179">
        <v>2644</v>
      </c>
      <c r="M8179" t="s">
        <v>1132</v>
      </c>
      <c r="N8179" t="s">
        <v>30</v>
      </c>
      <c r="O8179" t="s">
        <v>31</v>
      </c>
      <c r="P8179" t="str">
        <f>"15219"</f>
        <v>15219</v>
      </c>
    </row>
    <row r="8180" spans="1:16" x14ac:dyDescent="0.25">
      <c r="A8180" t="str">
        <f>"1130232B00241    00"</f>
        <v>1130232B00241    00</v>
      </c>
      <c r="B8180" t="s">
        <v>17899</v>
      </c>
      <c r="C8180" t="s">
        <v>17900</v>
      </c>
      <c r="E8180" t="s">
        <v>39</v>
      </c>
      <c r="F8180">
        <v>0</v>
      </c>
      <c r="G8180">
        <v>0</v>
      </c>
      <c r="H8180">
        <v>1</v>
      </c>
      <c r="I8180" s="3">
        <v>245.16</v>
      </c>
      <c r="J8180" s="3">
        <v>81.72</v>
      </c>
      <c r="L8180">
        <v>115</v>
      </c>
      <c r="M8180" t="s">
        <v>17896</v>
      </c>
      <c r="N8180" t="s">
        <v>30</v>
      </c>
      <c r="O8180" t="s">
        <v>31</v>
      </c>
      <c r="P8180" t="str">
        <f t="shared" ref="P8180:P8187" si="97">"15221"</f>
        <v>15221</v>
      </c>
    </row>
    <row r="8181" spans="1:16" x14ac:dyDescent="0.25">
      <c r="A8181" t="str">
        <f>"1130232B00250    00"</f>
        <v>1130232B00250    00</v>
      </c>
      <c r="B8181" t="s">
        <v>17901</v>
      </c>
      <c r="C8181" t="s">
        <v>17902</v>
      </c>
      <c r="E8181" t="s">
        <v>39</v>
      </c>
      <c r="F8181">
        <v>0</v>
      </c>
      <c r="G8181">
        <v>0</v>
      </c>
      <c r="H8181">
        <v>2</v>
      </c>
      <c r="I8181" s="3">
        <v>763.44</v>
      </c>
      <c r="J8181" s="3">
        <v>175.26</v>
      </c>
      <c r="L8181">
        <v>1807</v>
      </c>
      <c r="M8181" t="s">
        <v>17873</v>
      </c>
      <c r="N8181" t="s">
        <v>30</v>
      </c>
      <c r="O8181" t="s">
        <v>31</v>
      </c>
      <c r="P8181" t="str">
        <f t="shared" si="97"/>
        <v>15221</v>
      </c>
    </row>
    <row r="8182" spans="1:16" x14ac:dyDescent="0.25">
      <c r="A8182" t="str">
        <f>"1130232B00257    00"</f>
        <v>1130232B00257    00</v>
      </c>
      <c r="B8182" t="s">
        <v>17903</v>
      </c>
      <c r="C8182" t="s">
        <v>17904</v>
      </c>
      <c r="D8182" t="s">
        <v>20</v>
      </c>
      <c r="E8182" t="s">
        <v>39</v>
      </c>
      <c r="F8182">
        <v>0</v>
      </c>
      <c r="G8182">
        <v>0</v>
      </c>
      <c r="H8182">
        <v>6</v>
      </c>
      <c r="I8182" s="3">
        <v>5256.38</v>
      </c>
      <c r="J8182" s="3">
        <v>1093.31</v>
      </c>
      <c r="L8182">
        <v>1822</v>
      </c>
      <c r="M8182" t="s">
        <v>17600</v>
      </c>
      <c r="N8182" t="s">
        <v>30</v>
      </c>
      <c r="O8182" t="s">
        <v>31</v>
      </c>
      <c r="P8182" t="str">
        <f t="shared" si="97"/>
        <v>15221</v>
      </c>
    </row>
    <row r="8183" spans="1:16" x14ac:dyDescent="0.25">
      <c r="A8183" t="str">
        <f>"1130232B00262    00"</f>
        <v>1130232B00262    00</v>
      </c>
      <c r="B8183" t="s">
        <v>17905</v>
      </c>
      <c r="C8183" t="s">
        <v>17906</v>
      </c>
      <c r="D8183" t="s">
        <v>20</v>
      </c>
      <c r="E8183" t="s">
        <v>39</v>
      </c>
      <c r="F8183">
        <v>0</v>
      </c>
      <c r="G8183">
        <v>0</v>
      </c>
      <c r="H8183">
        <v>5</v>
      </c>
      <c r="I8183" s="3">
        <v>585.66999999999996</v>
      </c>
      <c r="J8183" s="3">
        <v>134.52000000000001</v>
      </c>
      <c r="L8183">
        <v>1747</v>
      </c>
      <c r="M8183" t="s">
        <v>17873</v>
      </c>
      <c r="N8183" t="s">
        <v>30</v>
      </c>
      <c r="O8183" t="s">
        <v>31</v>
      </c>
      <c r="P8183" t="str">
        <f t="shared" si="97"/>
        <v>15221</v>
      </c>
    </row>
    <row r="8184" spans="1:16" x14ac:dyDescent="0.25">
      <c r="A8184" t="str">
        <f>"1130232B00267    00"</f>
        <v>1130232B00267    00</v>
      </c>
      <c r="B8184" t="s">
        <v>17907</v>
      </c>
      <c r="C8184" t="s">
        <v>17863</v>
      </c>
      <c r="D8184" t="s">
        <v>20</v>
      </c>
      <c r="E8184" t="s">
        <v>39</v>
      </c>
      <c r="F8184">
        <v>0</v>
      </c>
      <c r="G8184">
        <v>0</v>
      </c>
      <c r="H8184">
        <v>2</v>
      </c>
      <c r="I8184" s="3">
        <v>156.32</v>
      </c>
      <c r="J8184" s="3">
        <v>0</v>
      </c>
      <c r="L8184">
        <v>1844</v>
      </c>
      <c r="M8184" t="s">
        <v>17600</v>
      </c>
      <c r="N8184" t="s">
        <v>30</v>
      </c>
      <c r="O8184" t="s">
        <v>31</v>
      </c>
      <c r="P8184" t="str">
        <f t="shared" si="97"/>
        <v>15221</v>
      </c>
    </row>
    <row r="8185" spans="1:16" x14ac:dyDescent="0.25">
      <c r="A8185" t="str">
        <f>"1130232B00268    00"</f>
        <v>1130232B00268    00</v>
      </c>
      <c r="B8185" t="s">
        <v>17908</v>
      </c>
      <c r="C8185" t="s">
        <v>17909</v>
      </c>
      <c r="D8185" t="s">
        <v>20</v>
      </c>
      <c r="E8185" t="s">
        <v>39</v>
      </c>
      <c r="F8185">
        <v>0</v>
      </c>
      <c r="G8185">
        <v>0</v>
      </c>
      <c r="H8185">
        <v>4</v>
      </c>
      <c r="I8185" s="3">
        <v>1284.05</v>
      </c>
      <c r="J8185" s="3">
        <v>131.87</v>
      </c>
      <c r="L8185">
        <v>1844</v>
      </c>
      <c r="M8185" t="s">
        <v>17600</v>
      </c>
      <c r="N8185" t="s">
        <v>30</v>
      </c>
      <c r="O8185" t="s">
        <v>31</v>
      </c>
      <c r="P8185" t="str">
        <f t="shared" si="97"/>
        <v>15221</v>
      </c>
    </row>
    <row r="8186" spans="1:16" x14ac:dyDescent="0.25">
      <c r="A8186" t="str">
        <f>"1130232B00270    00"</f>
        <v>1130232B00270    00</v>
      </c>
      <c r="B8186" t="s">
        <v>17910</v>
      </c>
      <c r="C8186" t="s">
        <v>17911</v>
      </c>
      <c r="E8186" t="s">
        <v>39</v>
      </c>
      <c r="F8186">
        <v>0</v>
      </c>
      <c r="G8186">
        <v>0</v>
      </c>
      <c r="H8186">
        <v>2</v>
      </c>
      <c r="I8186" s="3">
        <v>484.45</v>
      </c>
      <c r="J8186" s="3">
        <v>50</v>
      </c>
      <c r="L8186">
        <v>1848</v>
      </c>
      <c r="M8186" t="s">
        <v>17600</v>
      </c>
      <c r="N8186" t="s">
        <v>30</v>
      </c>
      <c r="O8186" t="s">
        <v>31</v>
      </c>
      <c r="P8186" t="str">
        <f t="shared" si="97"/>
        <v>15221</v>
      </c>
    </row>
    <row r="8187" spans="1:16" x14ac:dyDescent="0.25">
      <c r="A8187" t="str">
        <f>"1130232B00280    00"</f>
        <v>1130232B00280    00</v>
      </c>
      <c r="B8187" t="s">
        <v>17912</v>
      </c>
      <c r="C8187" t="s">
        <v>17913</v>
      </c>
      <c r="D8187" t="s">
        <v>20</v>
      </c>
      <c r="E8187" t="s">
        <v>39</v>
      </c>
      <c r="F8187">
        <v>0</v>
      </c>
      <c r="G8187">
        <v>0</v>
      </c>
      <c r="H8187">
        <v>10</v>
      </c>
      <c r="I8187" s="3">
        <v>13155.76</v>
      </c>
      <c r="J8187" s="3">
        <v>5443.63</v>
      </c>
      <c r="L8187">
        <v>1858</v>
      </c>
      <c r="M8187" t="s">
        <v>17600</v>
      </c>
      <c r="N8187" t="s">
        <v>30</v>
      </c>
      <c r="O8187" t="s">
        <v>31</v>
      </c>
      <c r="P8187" t="str">
        <f t="shared" si="97"/>
        <v>15221</v>
      </c>
    </row>
    <row r="8188" spans="1:16" x14ac:dyDescent="0.25">
      <c r="A8188" t="str">
        <f>"1130232B00290    00"</f>
        <v>1130232B00290    00</v>
      </c>
      <c r="B8188" t="s">
        <v>17914</v>
      </c>
      <c r="C8188" t="s">
        <v>17915</v>
      </c>
      <c r="D8188" t="s">
        <v>20</v>
      </c>
      <c r="E8188" t="s">
        <v>39</v>
      </c>
      <c r="F8188">
        <v>0</v>
      </c>
      <c r="G8188">
        <v>0</v>
      </c>
      <c r="H8188">
        <v>14</v>
      </c>
      <c r="I8188" s="3">
        <v>4157.6000000000004</v>
      </c>
      <c r="J8188" s="3">
        <v>2537.92</v>
      </c>
      <c r="L8188">
        <v>141</v>
      </c>
      <c r="M8188" t="s">
        <v>2892</v>
      </c>
      <c r="N8188" t="s">
        <v>1046</v>
      </c>
      <c r="O8188" t="s">
        <v>31</v>
      </c>
      <c r="P8188" t="str">
        <f>"15147"</f>
        <v>15147</v>
      </c>
    </row>
    <row r="8189" spans="1:16" x14ac:dyDescent="0.25">
      <c r="A8189" t="str">
        <f>"1130232B00292    00"</f>
        <v>1130232B00292    00</v>
      </c>
      <c r="B8189" t="s">
        <v>17916</v>
      </c>
      <c r="C8189" t="s">
        <v>17514</v>
      </c>
      <c r="D8189" t="s">
        <v>20</v>
      </c>
      <c r="E8189" t="s">
        <v>39</v>
      </c>
      <c r="F8189">
        <v>0</v>
      </c>
      <c r="G8189">
        <v>0</v>
      </c>
      <c r="H8189">
        <v>19</v>
      </c>
      <c r="I8189" s="3">
        <v>7079.61</v>
      </c>
      <c r="J8189" s="3">
        <v>9757.5</v>
      </c>
      <c r="K8189" t="s">
        <v>1008</v>
      </c>
      <c r="P8189" t="str">
        <f>""</f>
        <v/>
      </c>
    </row>
    <row r="8190" spans="1:16" x14ac:dyDescent="0.25">
      <c r="A8190" t="str">
        <f>"1130232B00299    00"</f>
        <v>1130232B00299    00</v>
      </c>
      <c r="B8190" t="s">
        <v>17917</v>
      </c>
      <c r="C8190" t="s">
        <v>17918</v>
      </c>
      <c r="D8190" t="s">
        <v>20</v>
      </c>
      <c r="E8190" t="s">
        <v>39</v>
      </c>
      <c r="F8190">
        <v>0</v>
      </c>
      <c r="G8190">
        <v>0</v>
      </c>
      <c r="H8190">
        <v>19</v>
      </c>
      <c r="I8190" s="3">
        <v>1875.45</v>
      </c>
      <c r="J8190" s="3">
        <v>1981.17</v>
      </c>
      <c r="L8190">
        <v>1839</v>
      </c>
      <c r="M8190" t="s">
        <v>17600</v>
      </c>
      <c r="N8190" t="s">
        <v>30</v>
      </c>
      <c r="O8190" t="s">
        <v>31</v>
      </c>
      <c r="P8190" t="str">
        <f>"15221"</f>
        <v>15221</v>
      </c>
    </row>
    <row r="8191" spans="1:16" x14ac:dyDescent="0.25">
      <c r="A8191" t="str">
        <f>"1130232B00302    00"</f>
        <v>1130232B00302    00</v>
      </c>
      <c r="B8191" t="s">
        <v>17919</v>
      </c>
      <c r="C8191" t="s">
        <v>17920</v>
      </c>
      <c r="D8191" t="s">
        <v>20</v>
      </c>
      <c r="E8191" t="s">
        <v>39</v>
      </c>
      <c r="F8191">
        <v>0</v>
      </c>
      <c r="G8191">
        <v>0</v>
      </c>
      <c r="H8191">
        <v>19</v>
      </c>
      <c r="I8191" s="3">
        <v>14358.14</v>
      </c>
      <c r="J8191" s="3">
        <v>16348.82</v>
      </c>
      <c r="L8191">
        <v>1839</v>
      </c>
      <c r="M8191" t="s">
        <v>17600</v>
      </c>
      <c r="N8191" t="s">
        <v>30</v>
      </c>
      <c r="O8191" t="s">
        <v>31</v>
      </c>
      <c r="P8191" t="str">
        <f>"15221"</f>
        <v>15221</v>
      </c>
    </row>
    <row r="8192" spans="1:16" x14ac:dyDescent="0.25">
      <c r="A8192" t="str">
        <f>"1130232B00310    00"</f>
        <v>1130232B00310    00</v>
      </c>
      <c r="B8192" t="s">
        <v>17921</v>
      </c>
      <c r="C8192" t="s">
        <v>17602</v>
      </c>
      <c r="D8192" t="s">
        <v>20</v>
      </c>
      <c r="E8192" t="s">
        <v>39</v>
      </c>
      <c r="F8192">
        <v>0</v>
      </c>
      <c r="G8192">
        <v>0</v>
      </c>
      <c r="H8192">
        <v>19</v>
      </c>
      <c r="I8192" s="3">
        <v>1891.99</v>
      </c>
      <c r="J8192" s="3">
        <v>1944.91</v>
      </c>
      <c r="L8192">
        <v>1605</v>
      </c>
      <c r="M8192" t="s">
        <v>5055</v>
      </c>
      <c r="N8192" t="s">
        <v>30</v>
      </c>
      <c r="O8192" t="s">
        <v>31</v>
      </c>
      <c r="P8192" t="str">
        <f>"15221"</f>
        <v>15221</v>
      </c>
    </row>
    <row r="8193" spans="1:16" x14ac:dyDescent="0.25">
      <c r="A8193" t="str">
        <f>"1130232B00312    00"</f>
        <v>1130232B00312    00</v>
      </c>
      <c r="B8193" t="s">
        <v>17922</v>
      </c>
      <c r="C8193" t="s">
        <v>17602</v>
      </c>
      <c r="D8193" t="s">
        <v>20</v>
      </c>
      <c r="E8193" t="s">
        <v>39</v>
      </c>
      <c r="F8193">
        <v>0</v>
      </c>
      <c r="G8193">
        <v>0</v>
      </c>
      <c r="H8193">
        <v>13</v>
      </c>
      <c r="I8193" s="3">
        <v>144.12</v>
      </c>
      <c r="J8193" s="3">
        <v>84.27</v>
      </c>
      <c r="L8193">
        <v>442</v>
      </c>
      <c r="M8193" t="s">
        <v>13170</v>
      </c>
      <c r="N8193" t="s">
        <v>30</v>
      </c>
      <c r="O8193" t="s">
        <v>31</v>
      </c>
      <c r="P8193" t="str">
        <f>"15221"</f>
        <v>15221</v>
      </c>
    </row>
    <row r="8194" spans="1:16" x14ac:dyDescent="0.25">
      <c r="A8194" t="str">
        <f>"1130232B00316    00"</f>
        <v>1130232B00316    00</v>
      </c>
      <c r="B8194" t="s">
        <v>17923</v>
      </c>
      <c r="C8194" t="s">
        <v>17602</v>
      </c>
      <c r="D8194" t="s">
        <v>20</v>
      </c>
      <c r="E8194" t="s">
        <v>39</v>
      </c>
      <c r="F8194">
        <v>0</v>
      </c>
      <c r="G8194">
        <v>0</v>
      </c>
      <c r="H8194">
        <v>19</v>
      </c>
      <c r="I8194" s="3">
        <v>6175.66</v>
      </c>
      <c r="J8194" s="3">
        <v>8389.1200000000008</v>
      </c>
      <c r="L8194">
        <v>820</v>
      </c>
      <c r="M8194" t="s">
        <v>17924</v>
      </c>
      <c r="N8194" t="s">
        <v>17925</v>
      </c>
      <c r="O8194" t="s">
        <v>495</v>
      </c>
      <c r="P8194" t="str">
        <f>"94590"</f>
        <v>94590</v>
      </c>
    </row>
    <row r="8195" spans="1:16" x14ac:dyDescent="0.25">
      <c r="A8195" t="str">
        <f>"1130232B00319    00"</f>
        <v>1130232B00319    00</v>
      </c>
      <c r="B8195" t="s">
        <v>17926</v>
      </c>
      <c r="C8195" t="s">
        <v>17602</v>
      </c>
      <c r="D8195" t="s">
        <v>20</v>
      </c>
      <c r="E8195" t="s">
        <v>39</v>
      </c>
      <c r="F8195">
        <v>0</v>
      </c>
      <c r="G8195">
        <v>0</v>
      </c>
      <c r="H8195">
        <v>9</v>
      </c>
      <c r="I8195" s="3">
        <v>603.83000000000004</v>
      </c>
      <c r="J8195" s="3">
        <v>235.22</v>
      </c>
      <c r="K8195" t="s">
        <v>17927</v>
      </c>
      <c r="L8195">
        <v>632</v>
      </c>
      <c r="M8195" t="s">
        <v>17928</v>
      </c>
      <c r="N8195" t="s">
        <v>30</v>
      </c>
      <c r="O8195" t="s">
        <v>31</v>
      </c>
      <c r="P8195" t="str">
        <f>"15207"</f>
        <v>15207</v>
      </c>
    </row>
    <row r="8196" spans="1:16" x14ac:dyDescent="0.25">
      <c r="A8196" t="str">
        <f>"1130232B00321    00"</f>
        <v>1130232B00321    00</v>
      </c>
      <c r="B8196" t="s">
        <v>17929</v>
      </c>
      <c r="C8196" t="s">
        <v>17930</v>
      </c>
      <c r="D8196" t="s">
        <v>20</v>
      </c>
      <c r="E8196" t="s">
        <v>39</v>
      </c>
      <c r="F8196">
        <v>0</v>
      </c>
      <c r="G8196">
        <v>0</v>
      </c>
      <c r="H8196">
        <v>1</v>
      </c>
      <c r="I8196" s="3">
        <v>535.6</v>
      </c>
      <c r="J8196" s="3">
        <v>0</v>
      </c>
      <c r="L8196">
        <v>226</v>
      </c>
      <c r="M8196" t="s">
        <v>17931</v>
      </c>
      <c r="N8196" t="s">
        <v>17932</v>
      </c>
      <c r="O8196" t="s">
        <v>31</v>
      </c>
      <c r="P8196" t="str">
        <f>"15140"</f>
        <v>15140</v>
      </c>
    </row>
    <row r="8197" spans="1:16" x14ac:dyDescent="0.25">
      <c r="A8197" t="str">
        <f>"1130232C00003    00"</f>
        <v>1130232C00003    00</v>
      </c>
      <c r="B8197" t="s">
        <v>17933</v>
      </c>
      <c r="C8197" t="s">
        <v>17934</v>
      </c>
      <c r="D8197" t="s">
        <v>20</v>
      </c>
      <c r="E8197" t="s">
        <v>39</v>
      </c>
      <c r="F8197">
        <v>0</v>
      </c>
      <c r="G8197">
        <v>0</v>
      </c>
      <c r="H8197">
        <v>19</v>
      </c>
      <c r="I8197" s="3">
        <v>374.4</v>
      </c>
      <c r="J8197" s="3">
        <v>309.54000000000002</v>
      </c>
      <c r="K8197" t="s">
        <v>17935</v>
      </c>
      <c r="M8197" t="s">
        <v>17936</v>
      </c>
      <c r="N8197" t="s">
        <v>30</v>
      </c>
      <c r="O8197" t="s">
        <v>31</v>
      </c>
      <c r="P8197" t="str">
        <f>"15230"</f>
        <v>15230</v>
      </c>
    </row>
    <row r="8198" spans="1:16" x14ac:dyDescent="0.25">
      <c r="A8198" t="str">
        <f>"1130232C00005    00"</f>
        <v>1130232C00005    00</v>
      </c>
      <c r="B8198" t="s">
        <v>17937</v>
      </c>
      <c r="C8198" t="s">
        <v>17938</v>
      </c>
      <c r="D8198" t="s">
        <v>20</v>
      </c>
      <c r="E8198" t="s">
        <v>39</v>
      </c>
      <c r="F8198">
        <v>0</v>
      </c>
      <c r="G8198">
        <v>0</v>
      </c>
      <c r="H8198">
        <v>6</v>
      </c>
      <c r="I8198" s="3">
        <v>3160.94</v>
      </c>
      <c r="J8198" s="3">
        <v>639.05999999999995</v>
      </c>
      <c r="K8198" t="s">
        <v>17939</v>
      </c>
      <c r="L8198">
        <v>1402</v>
      </c>
      <c r="M8198" t="s">
        <v>585</v>
      </c>
      <c r="N8198" t="s">
        <v>30</v>
      </c>
      <c r="O8198" t="s">
        <v>31</v>
      </c>
      <c r="P8198" t="str">
        <f>"15221"</f>
        <v>15221</v>
      </c>
    </row>
    <row r="8199" spans="1:16" x14ac:dyDescent="0.25">
      <c r="A8199" t="str">
        <f>"1130232C00006    00"</f>
        <v>1130232C00006    00</v>
      </c>
      <c r="B8199" t="s">
        <v>17940</v>
      </c>
      <c r="C8199" t="s">
        <v>17941</v>
      </c>
      <c r="D8199" t="s">
        <v>20</v>
      </c>
      <c r="E8199" t="s">
        <v>39</v>
      </c>
      <c r="F8199">
        <v>0</v>
      </c>
      <c r="G8199">
        <v>0</v>
      </c>
      <c r="H8199">
        <v>8</v>
      </c>
      <c r="I8199" s="3">
        <v>2164.7800000000002</v>
      </c>
      <c r="J8199" s="3">
        <v>766.66</v>
      </c>
      <c r="K8199" t="s">
        <v>17942</v>
      </c>
      <c r="L8199">
        <v>49</v>
      </c>
      <c r="M8199" t="s">
        <v>17943</v>
      </c>
      <c r="N8199" t="s">
        <v>30</v>
      </c>
      <c r="O8199" t="s">
        <v>31</v>
      </c>
      <c r="P8199" t="str">
        <f>"15235"</f>
        <v>15235</v>
      </c>
    </row>
    <row r="8200" spans="1:16" x14ac:dyDescent="0.25">
      <c r="A8200" t="str">
        <f>"1130232C00007    00"</f>
        <v>1130232C00007    00</v>
      </c>
      <c r="B8200" t="s">
        <v>17944</v>
      </c>
      <c r="C8200" t="s">
        <v>17945</v>
      </c>
      <c r="E8200" t="s">
        <v>39</v>
      </c>
      <c r="F8200">
        <v>0</v>
      </c>
      <c r="G8200">
        <v>0</v>
      </c>
      <c r="H8200">
        <v>1</v>
      </c>
      <c r="I8200" s="3">
        <v>348.88</v>
      </c>
      <c r="J8200" s="3">
        <v>0</v>
      </c>
      <c r="L8200">
        <v>2043</v>
      </c>
      <c r="M8200" t="s">
        <v>17946</v>
      </c>
      <c r="N8200" t="s">
        <v>30</v>
      </c>
      <c r="O8200" t="s">
        <v>31</v>
      </c>
      <c r="P8200" t="str">
        <f>"15221"</f>
        <v>15221</v>
      </c>
    </row>
    <row r="8201" spans="1:16" x14ac:dyDescent="0.25">
      <c r="A8201" t="str">
        <f>"1130232C00011    00"</f>
        <v>1130232C00011    00</v>
      </c>
      <c r="B8201" t="s">
        <v>17947</v>
      </c>
      <c r="C8201" t="s">
        <v>17948</v>
      </c>
      <c r="D8201" t="s">
        <v>20</v>
      </c>
      <c r="E8201" t="s">
        <v>39</v>
      </c>
      <c r="F8201">
        <v>0</v>
      </c>
      <c r="G8201">
        <v>0</v>
      </c>
      <c r="H8201">
        <v>2</v>
      </c>
      <c r="I8201" s="3">
        <v>126.3</v>
      </c>
      <c r="J8201" s="3">
        <v>0</v>
      </c>
      <c r="L8201">
        <v>2037</v>
      </c>
      <c r="M8201" t="s">
        <v>17946</v>
      </c>
      <c r="N8201" t="s">
        <v>30</v>
      </c>
      <c r="O8201" t="s">
        <v>31</v>
      </c>
      <c r="P8201" t="str">
        <f>"15221"</f>
        <v>15221</v>
      </c>
    </row>
    <row r="8202" spans="1:16" x14ac:dyDescent="0.25">
      <c r="A8202" t="str">
        <f>"1130232C00015    00"</f>
        <v>1130232C00015    00</v>
      </c>
      <c r="B8202" t="s">
        <v>17949</v>
      </c>
      <c r="C8202" t="s">
        <v>17950</v>
      </c>
      <c r="D8202" t="s">
        <v>20</v>
      </c>
      <c r="E8202" t="s">
        <v>39</v>
      </c>
      <c r="F8202">
        <v>0</v>
      </c>
      <c r="G8202">
        <v>0</v>
      </c>
      <c r="H8202">
        <v>5</v>
      </c>
      <c r="I8202" s="3">
        <v>1203.3399999999999</v>
      </c>
      <c r="J8202" s="3">
        <v>135.61000000000001</v>
      </c>
      <c r="L8202">
        <v>9</v>
      </c>
      <c r="M8202" t="s">
        <v>17951</v>
      </c>
      <c r="N8202" t="s">
        <v>30</v>
      </c>
      <c r="O8202" t="s">
        <v>31</v>
      </c>
      <c r="P8202" t="str">
        <f>"15201"</f>
        <v>15201</v>
      </c>
    </row>
    <row r="8203" spans="1:16" x14ac:dyDescent="0.25">
      <c r="A8203" t="str">
        <f>"1130232C00053    00"</f>
        <v>1130232C00053    00</v>
      </c>
      <c r="B8203" t="s">
        <v>17952</v>
      </c>
      <c r="C8203" t="s">
        <v>17953</v>
      </c>
      <c r="D8203" t="s">
        <v>20</v>
      </c>
      <c r="E8203" t="s">
        <v>39</v>
      </c>
      <c r="F8203">
        <v>0</v>
      </c>
      <c r="G8203">
        <v>0</v>
      </c>
      <c r="H8203">
        <v>5</v>
      </c>
      <c r="I8203" s="3">
        <v>2477.87</v>
      </c>
      <c r="J8203" s="3">
        <v>0</v>
      </c>
      <c r="L8203">
        <v>2022</v>
      </c>
      <c r="M8203" t="s">
        <v>17954</v>
      </c>
      <c r="N8203" t="s">
        <v>30</v>
      </c>
      <c r="O8203" t="s">
        <v>31</v>
      </c>
      <c r="P8203" t="str">
        <f>"15221"</f>
        <v>15221</v>
      </c>
    </row>
    <row r="8204" spans="1:16" x14ac:dyDescent="0.25">
      <c r="A8204" t="str">
        <f>"1130232C00056    00"</f>
        <v>1130232C00056    00</v>
      </c>
      <c r="B8204" t="s">
        <v>17955</v>
      </c>
      <c r="C8204" t="s">
        <v>17956</v>
      </c>
      <c r="D8204" t="s">
        <v>20</v>
      </c>
      <c r="E8204" t="s">
        <v>39</v>
      </c>
      <c r="F8204">
        <v>0</v>
      </c>
      <c r="G8204">
        <v>0</v>
      </c>
      <c r="H8204">
        <v>6</v>
      </c>
      <c r="I8204" s="3">
        <v>5443.63</v>
      </c>
      <c r="J8204" s="3">
        <v>84.34</v>
      </c>
      <c r="K8204" t="s">
        <v>17957</v>
      </c>
      <c r="L8204">
        <v>1225</v>
      </c>
      <c r="M8204" t="s">
        <v>17958</v>
      </c>
      <c r="N8204" t="s">
        <v>238</v>
      </c>
      <c r="O8204" t="s">
        <v>31</v>
      </c>
      <c r="P8204" t="str">
        <f>"15132"</f>
        <v>15132</v>
      </c>
    </row>
    <row r="8205" spans="1:16" x14ac:dyDescent="0.25">
      <c r="A8205" t="str">
        <f>"1130232C00100    00"</f>
        <v>1130232C00100    00</v>
      </c>
      <c r="B8205" t="s">
        <v>17959</v>
      </c>
      <c r="C8205" t="s">
        <v>17960</v>
      </c>
      <c r="E8205" t="s">
        <v>39</v>
      </c>
      <c r="F8205">
        <v>0</v>
      </c>
      <c r="G8205">
        <v>0</v>
      </c>
      <c r="H8205">
        <v>1</v>
      </c>
      <c r="I8205" s="3">
        <v>167.21</v>
      </c>
      <c r="J8205" s="3">
        <v>33.44</v>
      </c>
      <c r="K8205" t="s">
        <v>805</v>
      </c>
      <c r="L8205">
        <v>1050</v>
      </c>
      <c r="M8205" t="s">
        <v>3522</v>
      </c>
      <c r="N8205" t="s">
        <v>3827</v>
      </c>
      <c r="O8205" t="s">
        <v>70</v>
      </c>
      <c r="P8205" t="str">
        <f>"48226"</f>
        <v>48226</v>
      </c>
    </row>
    <row r="8206" spans="1:16" x14ac:dyDescent="0.25">
      <c r="A8206" t="str">
        <f>"1130232C00101    00"</f>
        <v>1130232C00101    00</v>
      </c>
      <c r="B8206" t="s">
        <v>17961</v>
      </c>
      <c r="C8206" t="s">
        <v>17962</v>
      </c>
      <c r="E8206" t="s">
        <v>39</v>
      </c>
      <c r="F8206">
        <v>0</v>
      </c>
      <c r="G8206">
        <v>0</v>
      </c>
      <c r="H8206">
        <v>1</v>
      </c>
      <c r="I8206" s="3">
        <v>595.95000000000005</v>
      </c>
      <c r="J8206" s="3">
        <v>0</v>
      </c>
      <c r="L8206">
        <v>121</v>
      </c>
      <c r="M8206" t="s">
        <v>17896</v>
      </c>
      <c r="N8206" t="s">
        <v>30</v>
      </c>
      <c r="O8206" t="s">
        <v>31</v>
      </c>
      <c r="P8206" t="str">
        <f t="shared" ref="P8206:P8211" si="98">"15221"</f>
        <v>15221</v>
      </c>
    </row>
    <row r="8207" spans="1:16" x14ac:dyDescent="0.25">
      <c r="A8207" t="str">
        <f>"1130232C00102    00"</f>
        <v>1130232C00102    00</v>
      </c>
      <c r="B8207" t="s">
        <v>17963</v>
      </c>
      <c r="C8207" t="s">
        <v>17964</v>
      </c>
      <c r="D8207" t="s">
        <v>20</v>
      </c>
      <c r="E8207" t="s">
        <v>39</v>
      </c>
      <c r="F8207">
        <v>0</v>
      </c>
      <c r="G8207">
        <v>0</v>
      </c>
      <c r="H8207">
        <v>4</v>
      </c>
      <c r="I8207" s="3">
        <v>2103.9899999999998</v>
      </c>
      <c r="J8207" s="3">
        <v>224.95</v>
      </c>
      <c r="L8207">
        <v>2021</v>
      </c>
      <c r="M8207" t="s">
        <v>17954</v>
      </c>
      <c r="N8207" t="s">
        <v>30</v>
      </c>
      <c r="O8207" t="s">
        <v>31</v>
      </c>
      <c r="P8207" t="str">
        <f t="shared" si="98"/>
        <v>15221</v>
      </c>
    </row>
    <row r="8208" spans="1:16" x14ac:dyDescent="0.25">
      <c r="A8208" t="str">
        <f>"1130232C00103A   00"</f>
        <v>1130232C00103A   00</v>
      </c>
      <c r="B8208" t="s">
        <v>17965</v>
      </c>
      <c r="C8208" t="s">
        <v>17966</v>
      </c>
      <c r="D8208" t="s">
        <v>20</v>
      </c>
      <c r="E8208" t="s">
        <v>39</v>
      </c>
      <c r="F8208">
        <v>0</v>
      </c>
      <c r="G8208">
        <v>0</v>
      </c>
      <c r="H8208">
        <v>2</v>
      </c>
      <c r="I8208" s="3">
        <v>562.33000000000004</v>
      </c>
      <c r="J8208" s="3">
        <v>6.16</v>
      </c>
      <c r="L8208">
        <v>2017</v>
      </c>
      <c r="M8208" t="s">
        <v>17954</v>
      </c>
      <c r="N8208" t="s">
        <v>30</v>
      </c>
      <c r="O8208" t="s">
        <v>31</v>
      </c>
      <c r="P8208" t="str">
        <f t="shared" si="98"/>
        <v>15221</v>
      </c>
    </row>
    <row r="8209" spans="1:16" x14ac:dyDescent="0.25">
      <c r="A8209" t="str">
        <f>"1130232C00108    00"</f>
        <v>1130232C00108    00</v>
      </c>
      <c r="B8209" t="s">
        <v>17967</v>
      </c>
      <c r="C8209" t="s">
        <v>17968</v>
      </c>
      <c r="D8209" t="s">
        <v>20</v>
      </c>
      <c r="E8209" t="s">
        <v>39</v>
      </c>
      <c r="F8209">
        <v>0</v>
      </c>
      <c r="G8209">
        <v>0</v>
      </c>
      <c r="H8209">
        <v>4</v>
      </c>
      <c r="I8209" s="3">
        <v>3098.3</v>
      </c>
      <c r="J8209" s="3">
        <v>376.67</v>
      </c>
      <c r="L8209">
        <v>2036</v>
      </c>
      <c r="M8209" t="s">
        <v>17969</v>
      </c>
      <c r="N8209" t="s">
        <v>30</v>
      </c>
      <c r="O8209" t="s">
        <v>31</v>
      </c>
      <c r="P8209" t="str">
        <f t="shared" si="98"/>
        <v>15221</v>
      </c>
    </row>
    <row r="8210" spans="1:16" x14ac:dyDescent="0.25">
      <c r="A8210" t="str">
        <f>"1130232C00114    00"</f>
        <v>1130232C00114    00</v>
      </c>
      <c r="B8210" t="s">
        <v>17970</v>
      </c>
      <c r="C8210" t="s">
        <v>17971</v>
      </c>
      <c r="D8210" t="s">
        <v>20</v>
      </c>
      <c r="E8210" t="s">
        <v>39</v>
      </c>
      <c r="F8210">
        <v>0</v>
      </c>
      <c r="G8210">
        <v>0</v>
      </c>
      <c r="H8210">
        <v>2</v>
      </c>
      <c r="I8210" s="3">
        <v>1594.42</v>
      </c>
      <c r="J8210" s="3">
        <v>0</v>
      </c>
      <c r="L8210">
        <v>2050</v>
      </c>
      <c r="M8210" t="s">
        <v>17969</v>
      </c>
      <c r="N8210" t="s">
        <v>30</v>
      </c>
      <c r="O8210" t="s">
        <v>31</v>
      </c>
      <c r="P8210" t="str">
        <f t="shared" si="98"/>
        <v>15221</v>
      </c>
    </row>
    <row r="8211" spans="1:16" x14ac:dyDescent="0.25">
      <c r="A8211" t="str">
        <f>"1130232C00120    00"</f>
        <v>1130232C00120    00</v>
      </c>
      <c r="B8211" t="s">
        <v>17972</v>
      </c>
      <c r="C8211" t="s">
        <v>17973</v>
      </c>
      <c r="D8211" t="s">
        <v>20</v>
      </c>
      <c r="E8211" t="s">
        <v>39</v>
      </c>
      <c r="F8211">
        <v>0</v>
      </c>
      <c r="G8211">
        <v>0</v>
      </c>
      <c r="H8211">
        <v>5</v>
      </c>
      <c r="I8211" s="3">
        <v>527.54</v>
      </c>
      <c r="J8211" s="3">
        <v>91.14</v>
      </c>
      <c r="K8211" t="s">
        <v>17974</v>
      </c>
      <c r="M8211" t="s">
        <v>17975</v>
      </c>
      <c r="N8211" t="s">
        <v>30</v>
      </c>
      <c r="O8211" t="s">
        <v>31</v>
      </c>
      <c r="P8211" t="str">
        <f t="shared" si="98"/>
        <v>15221</v>
      </c>
    </row>
    <row r="8212" spans="1:16" x14ac:dyDescent="0.25">
      <c r="A8212" t="str">
        <f>"1130232C00142    00"</f>
        <v>1130232C00142    00</v>
      </c>
      <c r="B8212" t="s">
        <v>17976</v>
      </c>
      <c r="C8212" t="s">
        <v>17977</v>
      </c>
      <c r="E8212" t="s">
        <v>39</v>
      </c>
      <c r="F8212">
        <v>0</v>
      </c>
      <c r="G8212">
        <v>0</v>
      </c>
      <c r="H8212">
        <v>1</v>
      </c>
      <c r="I8212" s="3">
        <v>530.69000000000005</v>
      </c>
      <c r="J8212" s="3">
        <v>97.29</v>
      </c>
      <c r="K8212" t="s">
        <v>17978</v>
      </c>
      <c r="M8212" t="s">
        <v>17979</v>
      </c>
      <c r="N8212" t="s">
        <v>30</v>
      </c>
      <c r="O8212" t="s">
        <v>31</v>
      </c>
      <c r="P8212" t="str">
        <f>"15235"</f>
        <v>15235</v>
      </c>
    </row>
    <row r="8213" spans="1:16" x14ac:dyDescent="0.25">
      <c r="A8213" t="str">
        <f>"1130232C00170    00"</f>
        <v>1130232C00170    00</v>
      </c>
      <c r="B8213" t="s">
        <v>17980</v>
      </c>
      <c r="C8213" t="s">
        <v>17981</v>
      </c>
      <c r="E8213" t="s">
        <v>39</v>
      </c>
      <c r="F8213">
        <v>0</v>
      </c>
      <c r="G8213">
        <v>0</v>
      </c>
      <c r="H8213">
        <v>1</v>
      </c>
      <c r="I8213" s="3">
        <v>623.02</v>
      </c>
      <c r="J8213" s="3">
        <v>171.33</v>
      </c>
      <c r="K8213" t="s">
        <v>403</v>
      </c>
      <c r="L8213">
        <v>3001</v>
      </c>
      <c r="M8213" t="s">
        <v>404</v>
      </c>
      <c r="N8213" t="s">
        <v>331</v>
      </c>
      <c r="O8213" t="s">
        <v>108</v>
      </c>
      <c r="P8213" t="str">
        <f>"75063"</f>
        <v>75063</v>
      </c>
    </row>
    <row r="8214" spans="1:16" x14ac:dyDescent="0.25">
      <c r="A8214" t="str">
        <f>"1130232C00190    00"</f>
        <v>1130232C00190    00</v>
      </c>
      <c r="B8214" t="s">
        <v>17888</v>
      </c>
      <c r="C8214" t="s">
        <v>17982</v>
      </c>
      <c r="D8214" t="s">
        <v>20</v>
      </c>
      <c r="E8214" t="s">
        <v>39</v>
      </c>
      <c r="F8214">
        <v>0</v>
      </c>
      <c r="G8214">
        <v>0</v>
      </c>
      <c r="H8214">
        <v>2</v>
      </c>
      <c r="I8214" s="3">
        <v>21.41</v>
      </c>
      <c r="J8214" s="3">
        <v>0</v>
      </c>
      <c r="K8214" t="s">
        <v>17889</v>
      </c>
      <c r="L8214">
        <v>222</v>
      </c>
      <c r="M8214" t="s">
        <v>6834</v>
      </c>
      <c r="N8214" t="s">
        <v>30</v>
      </c>
      <c r="O8214" t="s">
        <v>31</v>
      </c>
      <c r="P8214" t="str">
        <f>"15206"</f>
        <v>15206</v>
      </c>
    </row>
    <row r="8215" spans="1:16" x14ac:dyDescent="0.25">
      <c r="A8215" t="str">
        <f>"1130232C00194    00"</f>
        <v>1130232C00194    00</v>
      </c>
      <c r="B8215" t="s">
        <v>17888</v>
      </c>
      <c r="C8215" t="s">
        <v>17982</v>
      </c>
      <c r="D8215" t="s">
        <v>20</v>
      </c>
      <c r="E8215" t="s">
        <v>39</v>
      </c>
      <c r="F8215">
        <v>0</v>
      </c>
      <c r="G8215">
        <v>0</v>
      </c>
      <c r="H8215">
        <v>2</v>
      </c>
      <c r="I8215" s="3">
        <v>19.43</v>
      </c>
      <c r="J8215" s="3">
        <v>0</v>
      </c>
      <c r="K8215" t="s">
        <v>17889</v>
      </c>
      <c r="L8215">
        <v>222</v>
      </c>
      <c r="M8215" t="s">
        <v>6834</v>
      </c>
      <c r="N8215" t="s">
        <v>30</v>
      </c>
      <c r="O8215" t="s">
        <v>31</v>
      </c>
      <c r="P8215" t="str">
        <f>"15206"</f>
        <v>15206</v>
      </c>
    </row>
    <row r="8216" spans="1:16" x14ac:dyDescent="0.25">
      <c r="A8216" t="str">
        <f>"1130232C00196    00"</f>
        <v>1130232C00196    00</v>
      </c>
      <c r="B8216" t="s">
        <v>17983</v>
      </c>
      <c r="C8216" t="s">
        <v>17984</v>
      </c>
      <c r="D8216" t="s">
        <v>20</v>
      </c>
      <c r="E8216" t="s">
        <v>39</v>
      </c>
      <c r="F8216">
        <v>0</v>
      </c>
      <c r="G8216">
        <v>0</v>
      </c>
      <c r="H8216">
        <v>4</v>
      </c>
      <c r="I8216" s="3">
        <v>1827.09</v>
      </c>
      <c r="J8216" s="3">
        <v>236.06</v>
      </c>
      <c r="L8216">
        <v>2050</v>
      </c>
      <c r="M8216" t="s">
        <v>3959</v>
      </c>
      <c r="N8216" t="s">
        <v>30</v>
      </c>
      <c r="O8216" t="s">
        <v>31</v>
      </c>
      <c r="P8216" t="str">
        <f>"15221"</f>
        <v>15221</v>
      </c>
    </row>
    <row r="8217" spans="1:16" x14ac:dyDescent="0.25">
      <c r="A8217" t="str">
        <f>"1130232C00198    00"</f>
        <v>1130232C00198    00</v>
      </c>
      <c r="B8217" t="s">
        <v>17985</v>
      </c>
      <c r="C8217" t="s">
        <v>17982</v>
      </c>
      <c r="D8217" t="s">
        <v>20</v>
      </c>
      <c r="E8217" t="s">
        <v>39</v>
      </c>
      <c r="F8217">
        <v>0</v>
      </c>
      <c r="G8217">
        <v>0</v>
      </c>
      <c r="H8217">
        <v>2</v>
      </c>
      <c r="I8217" s="3">
        <v>194.44</v>
      </c>
      <c r="J8217" s="3">
        <v>0</v>
      </c>
      <c r="M8217" t="s">
        <v>17986</v>
      </c>
      <c r="N8217" t="s">
        <v>30</v>
      </c>
      <c r="O8217" t="s">
        <v>31</v>
      </c>
      <c r="P8217" t="str">
        <f>"15221"</f>
        <v>15221</v>
      </c>
    </row>
    <row r="8218" spans="1:16" x14ac:dyDescent="0.25">
      <c r="A8218" t="str">
        <f>"1130232C00200    00"</f>
        <v>1130232C00200    00</v>
      </c>
      <c r="B8218" t="s">
        <v>17888</v>
      </c>
      <c r="C8218" t="s">
        <v>17875</v>
      </c>
      <c r="D8218" t="s">
        <v>20</v>
      </c>
      <c r="E8218" t="s">
        <v>39</v>
      </c>
      <c r="F8218">
        <v>0</v>
      </c>
      <c r="G8218">
        <v>0</v>
      </c>
      <c r="H8218">
        <v>2</v>
      </c>
      <c r="I8218" s="3">
        <v>21.41</v>
      </c>
      <c r="J8218" s="3">
        <v>0</v>
      </c>
      <c r="L8218">
        <v>222</v>
      </c>
      <c r="M8218" t="s">
        <v>6834</v>
      </c>
      <c r="N8218" t="s">
        <v>30</v>
      </c>
      <c r="O8218" t="s">
        <v>31</v>
      </c>
      <c r="P8218" t="str">
        <f>"15206"</f>
        <v>15206</v>
      </c>
    </row>
    <row r="8219" spans="1:16" x14ac:dyDescent="0.25">
      <c r="A8219" t="str">
        <f>"1130232C00202    00"</f>
        <v>1130232C00202    00</v>
      </c>
      <c r="B8219" t="s">
        <v>17888</v>
      </c>
      <c r="C8219" t="s">
        <v>17982</v>
      </c>
      <c r="D8219" t="s">
        <v>20</v>
      </c>
      <c r="E8219" t="s">
        <v>39</v>
      </c>
      <c r="F8219">
        <v>0</v>
      </c>
      <c r="G8219">
        <v>0</v>
      </c>
      <c r="H8219">
        <v>2</v>
      </c>
      <c r="I8219" s="3">
        <v>27.22</v>
      </c>
      <c r="J8219" s="3">
        <v>0</v>
      </c>
      <c r="K8219" t="s">
        <v>17889</v>
      </c>
      <c r="L8219">
        <v>222</v>
      </c>
      <c r="M8219" t="s">
        <v>6834</v>
      </c>
      <c r="N8219" t="s">
        <v>30</v>
      </c>
      <c r="O8219" t="s">
        <v>31</v>
      </c>
      <c r="P8219" t="str">
        <f>"15206"</f>
        <v>15206</v>
      </c>
    </row>
    <row r="8220" spans="1:16" x14ac:dyDescent="0.25">
      <c r="A8220" t="str">
        <f>"1130232C00248    00"</f>
        <v>1130232C00248    00</v>
      </c>
      <c r="B8220" t="s">
        <v>17987</v>
      </c>
      <c r="C8220" t="s">
        <v>17988</v>
      </c>
      <c r="D8220" t="s">
        <v>20</v>
      </c>
      <c r="E8220" t="s">
        <v>39</v>
      </c>
      <c r="F8220">
        <v>0</v>
      </c>
      <c r="G8220">
        <v>0</v>
      </c>
      <c r="H8220">
        <v>1</v>
      </c>
      <c r="I8220" s="3">
        <v>1020.2</v>
      </c>
      <c r="J8220" s="3">
        <v>0</v>
      </c>
      <c r="L8220">
        <v>149</v>
      </c>
      <c r="M8220" t="s">
        <v>17896</v>
      </c>
      <c r="N8220" t="s">
        <v>30</v>
      </c>
      <c r="O8220" t="s">
        <v>31</v>
      </c>
      <c r="P8220" t="str">
        <f>"15221"</f>
        <v>15221</v>
      </c>
    </row>
    <row r="8221" spans="1:16" x14ac:dyDescent="0.25">
      <c r="A8221" t="str">
        <f>"1130232C00294    00"</f>
        <v>1130232C00294    00</v>
      </c>
      <c r="B8221" t="s">
        <v>17888</v>
      </c>
      <c r="C8221" t="s">
        <v>17875</v>
      </c>
      <c r="D8221" t="s">
        <v>20</v>
      </c>
      <c r="E8221" t="s">
        <v>39</v>
      </c>
      <c r="F8221">
        <v>0</v>
      </c>
      <c r="G8221">
        <v>0</v>
      </c>
      <c r="H8221">
        <v>2</v>
      </c>
      <c r="I8221" s="3">
        <v>19.43</v>
      </c>
      <c r="J8221" s="3">
        <v>0</v>
      </c>
      <c r="K8221" t="s">
        <v>17889</v>
      </c>
      <c r="L8221">
        <v>222</v>
      </c>
      <c r="M8221" t="s">
        <v>6834</v>
      </c>
      <c r="N8221" t="s">
        <v>30</v>
      </c>
      <c r="O8221" t="s">
        <v>31</v>
      </c>
      <c r="P8221" t="str">
        <f>"15206"</f>
        <v>15206</v>
      </c>
    </row>
    <row r="8222" spans="1:16" x14ac:dyDescent="0.25">
      <c r="A8222" t="str">
        <f>"1130232D00002    00"</f>
        <v>1130232D00002    00</v>
      </c>
      <c r="B8222" t="s">
        <v>17989</v>
      </c>
      <c r="C8222" t="s">
        <v>17990</v>
      </c>
      <c r="D8222" t="s">
        <v>20</v>
      </c>
      <c r="E8222" t="s">
        <v>39</v>
      </c>
      <c r="F8222">
        <v>0</v>
      </c>
      <c r="G8222">
        <v>0</v>
      </c>
      <c r="H8222">
        <v>2</v>
      </c>
      <c r="I8222" s="3">
        <v>706.01</v>
      </c>
      <c r="J8222" s="3">
        <v>0</v>
      </c>
      <c r="L8222">
        <v>2008</v>
      </c>
      <c r="M8222" t="s">
        <v>17954</v>
      </c>
      <c r="N8222" t="s">
        <v>30</v>
      </c>
      <c r="O8222" t="s">
        <v>31</v>
      </c>
      <c r="P8222" t="str">
        <f>"15221"</f>
        <v>15221</v>
      </c>
    </row>
    <row r="8223" spans="1:16" x14ac:dyDescent="0.25">
      <c r="A8223" t="str">
        <f>"1130232D00043    00"</f>
        <v>1130232D00043    00</v>
      </c>
      <c r="B8223" t="s">
        <v>17991</v>
      </c>
      <c r="C8223" t="s">
        <v>17992</v>
      </c>
      <c r="E8223" t="s">
        <v>39</v>
      </c>
      <c r="F8223">
        <v>0</v>
      </c>
      <c r="G8223">
        <v>0</v>
      </c>
      <c r="H8223">
        <v>1</v>
      </c>
      <c r="I8223" s="3">
        <v>152.05000000000001</v>
      </c>
      <c r="J8223" s="3">
        <v>0</v>
      </c>
      <c r="K8223" t="s">
        <v>6483</v>
      </c>
      <c r="L8223">
        <v>3001</v>
      </c>
      <c r="M8223" t="s">
        <v>330</v>
      </c>
      <c r="N8223" t="s">
        <v>331</v>
      </c>
      <c r="O8223" t="s">
        <v>108</v>
      </c>
      <c r="P8223" t="str">
        <f>"75063"</f>
        <v>75063</v>
      </c>
    </row>
    <row r="8224" spans="1:16" x14ac:dyDescent="0.25">
      <c r="A8224" t="str">
        <f>"1130232D00045    00"</f>
        <v>1130232D00045    00</v>
      </c>
      <c r="B8224" t="s">
        <v>17993</v>
      </c>
      <c r="C8224" t="s">
        <v>17994</v>
      </c>
      <c r="D8224" t="s">
        <v>20</v>
      </c>
      <c r="E8224" t="s">
        <v>39</v>
      </c>
      <c r="F8224">
        <v>0</v>
      </c>
      <c r="G8224">
        <v>0</v>
      </c>
      <c r="H8224">
        <v>1</v>
      </c>
      <c r="I8224" s="3">
        <v>212.05</v>
      </c>
      <c r="J8224" s="3">
        <v>0</v>
      </c>
      <c r="L8224">
        <v>2032</v>
      </c>
      <c r="M8224" t="s">
        <v>17946</v>
      </c>
      <c r="N8224" t="s">
        <v>30</v>
      </c>
      <c r="O8224" t="s">
        <v>31</v>
      </c>
      <c r="P8224" t="str">
        <f>"15221"</f>
        <v>15221</v>
      </c>
    </row>
    <row r="8225" spans="1:16" x14ac:dyDescent="0.25">
      <c r="A8225" t="str">
        <f>"1130232D00049    00"</f>
        <v>1130232D00049    00</v>
      </c>
      <c r="B8225" t="s">
        <v>17995</v>
      </c>
      <c r="C8225" t="s">
        <v>17996</v>
      </c>
      <c r="D8225" t="s">
        <v>20</v>
      </c>
      <c r="E8225" t="s">
        <v>39</v>
      </c>
      <c r="F8225">
        <v>0</v>
      </c>
      <c r="G8225">
        <v>0</v>
      </c>
      <c r="H8225">
        <v>1</v>
      </c>
      <c r="I8225" s="3">
        <v>688.08</v>
      </c>
      <c r="J8225" s="3">
        <v>0</v>
      </c>
      <c r="K8225" t="s">
        <v>17997</v>
      </c>
      <c r="M8225" t="s">
        <v>17998</v>
      </c>
      <c r="N8225" t="s">
        <v>17999</v>
      </c>
      <c r="O8225" t="s">
        <v>606</v>
      </c>
      <c r="P8225" t="str">
        <f>"30013"</f>
        <v>30013</v>
      </c>
    </row>
    <row r="8226" spans="1:16" x14ac:dyDescent="0.25">
      <c r="A8226" t="str">
        <f>"1130232D00112    00"</f>
        <v>1130232D00112    00</v>
      </c>
      <c r="B8226" t="s">
        <v>18000</v>
      </c>
      <c r="C8226" t="s">
        <v>18001</v>
      </c>
      <c r="D8226" t="s">
        <v>20</v>
      </c>
      <c r="E8226" t="s">
        <v>39</v>
      </c>
      <c r="F8226">
        <v>0</v>
      </c>
      <c r="G8226">
        <v>0</v>
      </c>
      <c r="H8226">
        <v>2</v>
      </c>
      <c r="I8226" s="3">
        <v>547.20000000000005</v>
      </c>
      <c r="J8226" s="3">
        <v>0</v>
      </c>
      <c r="K8226" t="s">
        <v>18002</v>
      </c>
      <c r="L8226">
        <v>3501</v>
      </c>
      <c r="M8226" t="s">
        <v>18003</v>
      </c>
      <c r="N8226" t="s">
        <v>9731</v>
      </c>
      <c r="O8226" t="s">
        <v>108</v>
      </c>
      <c r="P8226" t="str">
        <f>"75019"</f>
        <v>75019</v>
      </c>
    </row>
    <row r="8227" spans="1:16" x14ac:dyDescent="0.25">
      <c r="A8227" t="str">
        <f>"1130232D00117    00"</f>
        <v>1130232D00117    00</v>
      </c>
      <c r="B8227" t="s">
        <v>18004</v>
      </c>
      <c r="C8227" t="s">
        <v>18005</v>
      </c>
      <c r="D8227" t="s">
        <v>20</v>
      </c>
      <c r="E8227" t="s">
        <v>39</v>
      </c>
      <c r="F8227">
        <v>0</v>
      </c>
      <c r="G8227">
        <v>0</v>
      </c>
      <c r="H8227">
        <v>6</v>
      </c>
      <c r="I8227" s="3">
        <v>688.41</v>
      </c>
      <c r="J8227" s="3">
        <v>98.7</v>
      </c>
      <c r="L8227">
        <v>1967</v>
      </c>
      <c r="M8227" t="s">
        <v>18006</v>
      </c>
      <c r="N8227" t="s">
        <v>30</v>
      </c>
      <c r="O8227" t="s">
        <v>31</v>
      </c>
      <c r="P8227" t="str">
        <f>"15221"</f>
        <v>15221</v>
      </c>
    </row>
    <row r="8228" spans="1:16" x14ac:dyDescent="0.25">
      <c r="A8228" t="str">
        <f>"1130232D00120    00"</f>
        <v>1130232D00120    00</v>
      </c>
      <c r="B8228" t="s">
        <v>14317</v>
      </c>
      <c r="C8228" t="s">
        <v>18007</v>
      </c>
      <c r="D8228" t="s">
        <v>20</v>
      </c>
      <c r="E8228" t="s">
        <v>39</v>
      </c>
      <c r="F8228">
        <v>0</v>
      </c>
      <c r="G8228">
        <v>0</v>
      </c>
      <c r="H8228">
        <v>2</v>
      </c>
      <c r="I8228" s="3">
        <v>549.04999999999995</v>
      </c>
      <c r="J8228" s="3">
        <v>0</v>
      </c>
      <c r="K8228" t="s">
        <v>18008</v>
      </c>
      <c r="L8228">
        <v>6927</v>
      </c>
      <c r="M8228" t="s">
        <v>3980</v>
      </c>
      <c r="N8228" t="s">
        <v>30</v>
      </c>
      <c r="O8228" t="s">
        <v>31</v>
      </c>
      <c r="P8228" t="str">
        <f>"15208"</f>
        <v>15208</v>
      </c>
    </row>
    <row r="8229" spans="1:16" x14ac:dyDescent="0.25">
      <c r="A8229" t="str">
        <f>"1130232D00128    00"</f>
        <v>1130232D00128    00</v>
      </c>
      <c r="B8229" t="s">
        <v>18009</v>
      </c>
      <c r="C8229" t="s">
        <v>18010</v>
      </c>
      <c r="E8229" t="s">
        <v>39</v>
      </c>
      <c r="F8229">
        <v>0</v>
      </c>
      <c r="G8229">
        <v>0</v>
      </c>
      <c r="H8229">
        <v>1</v>
      </c>
      <c r="I8229" s="3">
        <v>61.68</v>
      </c>
      <c r="J8229" s="3">
        <v>0</v>
      </c>
      <c r="L8229">
        <v>2015</v>
      </c>
      <c r="M8229" t="s">
        <v>18006</v>
      </c>
      <c r="N8229" t="s">
        <v>30</v>
      </c>
      <c r="O8229" t="s">
        <v>31</v>
      </c>
      <c r="P8229" t="str">
        <f>"15221"</f>
        <v>15221</v>
      </c>
    </row>
    <row r="8230" spans="1:16" x14ac:dyDescent="0.25">
      <c r="A8230" t="str">
        <f>"1130232E00011    00"</f>
        <v>1130232E00011    00</v>
      </c>
      <c r="B8230" t="s">
        <v>18011</v>
      </c>
      <c r="C8230" t="s">
        <v>16322</v>
      </c>
      <c r="D8230" t="s">
        <v>20</v>
      </c>
      <c r="E8230" t="s">
        <v>39</v>
      </c>
      <c r="F8230">
        <v>0</v>
      </c>
      <c r="G8230">
        <v>0</v>
      </c>
      <c r="H8230">
        <v>19</v>
      </c>
      <c r="I8230" s="3">
        <v>9024.18</v>
      </c>
      <c r="J8230" s="3">
        <v>12081.19</v>
      </c>
      <c r="K8230" t="s">
        <v>1008</v>
      </c>
      <c r="P8230" t="str">
        <f>""</f>
        <v/>
      </c>
    </row>
    <row r="8231" spans="1:16" x14ac:dyDescent="0.25">
      <c r="A8231" t="str">
        <f>"1130232E00015    00"</f>
        <v>1130232E00015    00</v>
      </c>
      <c r="B8231" t="s">
        <v>18012</v>
      </c>
      <c r="C8231" t="s">
        <v>16322</v>
      </c>
      <c r="D8231" t="s">
        <v>20</v>
      </c>
      <c r="E8231" t="s">
        <v>39</v>
      </c>
      <c r="F8231">
        <v>0</v>
      </c>
      <c r="G8231">
        <v>0</v>
      </c>
      <c r="H8231">
        <v>19</v>
      </c>
      <c r="I8231" s="3">
        <v>1947.08</v>
      </c>
      <c r="J8231" s="3">
        <v>1884.12</v>
      </c>
      <c r="P8231" t="str">
        <f>""</f>
        <v/>
      </c>
    </row>
    <row r="8232" spans="1:16" x14ac:dyDescent="0.25">
      <c r="A8232" t="str">
        <f>"1130232E00016    00"</f>
        <v>1130232E00016    00</v>
      </c>
      <c r="B8232" t="s">
        <v>12932</v>
      </c>
      <c r="C8232" t="s">
        <v>16322</v>
      </c>
      <c r="D8232" t="s">
        <v>20</v>
      </c>
      <c r="E8232" t="s">
        <v>39</v>
      </c>
      <c r="F8232">
        <v>0</v>
      </c>
      <c r="G8232">
        <v>0</v>
      </c>
      <c r="H8232">
        <v>19</v>
      </c>
      <c r="I8232" s="3">
        <v>1947.08</v>
      </c>
      <c r="J8232" s="3">
        <v>1884.12</v>
      </c>
      <c r="L8232">
        <v>7233</v>
      </c>
      <c r="M8232" t="s">
        <v>2507</v>
      </c>
      <c r="N8232" t="s">
        <v>30</v>
      </c>
      <c r="O8232" t="s">
        <v>31</v>
      </c>
      <c r="P8232" t="str">
        <f>"15206"</f>
        <v>15206</v>
      </c>
    </row>
    <row r="8233" spans="1:16" x14ac:dyDescent="0.25">
      <c r="A8233" t="str">
        <f>"1130232E00017    00"</f>
        <v>1130232E00017    00</v>
      </c>
      <c r="B8233" t="s">
        <v>18013</v>
      </c>
      <c r="C8233" t="s">
        <v>16322</v>
      </c>
      <c r="D8233" t="s">
        <v>20</v>
      </c>
      <c r="E8233" t="s">
        <v>39</v>
      </c>
      <c r="F8233">
        <v>0</v>
      </c>
      <c r="G8233">
        <v>0</v>
      </c>
      <c r="H8233">
        <v>19</v>
      </c>
      <c r="I8233" s="3">
        <v>3217.38</v>
      </c>
      <c r="J8233" s="3">
        <v>3818.32</v>
      </c>
      <c r="L8233">
        <v>518</v>
      </c>
      <c r="M8233" t="s">
        <v>16208</v>
      </c>
      <c r="N8233" t="s">
        <v>30</v>
      </c>
      <c r="O8233" t="s">
        <v>31</v>
      </c>
      <c r="P8233" t="str">
        <f>"15221"</f>
        <v>15221</v>
      </c>
    </row>
    <row r="8234" spans="1:16" x14ac:dyDescent="0.25">
      <c r="A8234" t="str">
        <f>"1130232E00018    00"</f>
        <v>1130232E00018    00</v>
      </c>
      <c r="B8234" t="s">
        <v>18014</v>
      </c>
      <c r="C8234" t="s">
        <v>16322</v>
      </c>
      <c r="D8234" t="s">
        <v>20</v>
      </c>
      <c r="E8234" t="s">
        <v>39</v>
      </c>
      <c r="F8234">
        <v>0</v>
      </c>
      <c r="G8234">
        <v>0</v>
      </c>
      <c r="H8234">
        <v>19</v>
      </c>
      <c r="I8234" s="3">
        <v>1925.19</v>
      </c>
      <c r="J8234" s="3">
        <v>1872.54</v>
      </c>
      <c r="P8234" t="str">
        <f>""</f>
        <v/>
      </c>
    </row>
    <row r="8235" spans="1:16" x14ac:dyDescent="0.25">
      <c r="A8235" t="str">
        <f>"1130232E00021    00"</f>
        <v>1130232E00021    00</v>
      </c>
      <c r="B8235" t="s">
        <v>18015</v>
      </c>
      <c r="C8235" t="s">
        <v>17709</v>
      </c>
      <c r="D8235" t="s">
        <v>20</v>
      </c>
      <c r="E8235" t="s">
        <v>39</v>
      </c>
      <c r="F8235">
        <v>0</v>
      </c>
      <c r="G8235">
        <v>0</v>
      </c>
      <c r="H8235">
        <v>10</v>
      </c>
      <c r="I8235" s="3">
        <v>294.33999999999997</v>
      </c>
      <c r="J8235" s="3">
        <v>129.59</v>
      </c>
      <c r="L8235">
        <v>534</v>
      </c>
      <c r="M8235" t="s">
        <v>16689</v>
      </c>
      <c r="N8235" t="s">
        <v>30</v>
      </c>
      <c r="O8235" t="s">
        <v>31</v>
      </c>
      <c r="P8235" t="str">
        <f>"15221"</f>
        <v>15221</v>
      </c>
    </row>
    <row r="8236" spans="1:16" x14ac:dyDescent="0.25">
      <c r="A8236" t="str">
        <f>"1130232E00035    00"</f>
        <v>1130232E00035    00</v>
      </c>
      <c r="B8236" t="s">
        <v>18016</v>
      </c>
      <c r="C8236" t="s">
        <v>18017</v>
      </c>
      <c r="D8236" t="s">
        <v>20</v>
      </c>
      <c r="E8236" t="s">
        <v>39</v>
      </c>
      <c r="F8236">
        <v>0</v>
      </c>
      <c r="G8236">
        <v>0</v>
      </c>
      <c r="H8236">
        <v>5</v>
      </c>
      <c r="I8236" s="3">
        <v>422.34</v>
      </c>
      <c r="J8236" s="3">
        <v>91.26</v>
      </c>
      <c r="L8236">
        <v>511</v>
      </c>
      <c r="M8236" t="s">
        <v>14521</v>
      </c>
      <c r="N8236" t="s">
        <v>30</v>
      </c>
      <c r="O8236" t="s">
        <v>31</v>
      </c>
      <c r="P8236" t="str">
        <f>"15221"</f>
        <v>15221</v>
      </c>
    </row>
    <row r="8237" spans="1:16" x14ac:dyDescent="0.25">
      <c r="A8237" t="str">
        <f>"1130232E00105    00"</f>
        <v>1130232E00105    00</v>
      </c>
      <c r="B8237" t="s">
        <v>18018</v>
      </c>
      <c r="C8237" t="s">
        <v>18019</v>
      </c>
      <c r="E8237" t="s">
        <v>39</v>
      </c>
      <c r="F8237">
        <v>0</v>
      </c>
      <c r="G8237">
        <v>0</v>
      </c>
      <c r="H8237">
        <v>2</v>
      </c>
      <c r="I8237" s="3">
        <v>422.68</v>
      </c>
      <c r="J8237" s="3">
        <v>4.54</v>
      </c>
      <c r="K8237" t="s">
        <v>7185</v>
      </c>
      <c r="L8237">
        <v>1</v>
      </c>
      <c r="M8237" t="s">
        <v>7186</v>
      </c>
      <c r="N8237" t="s">
        <v>4803</v>
      </c>
      <c r="O8237" t="s">
        <v>554</v>
      </c>
      <c r="P8237" t="str">
        <f>"26003"</f>
        <v>26003</v>
      </c>
    </row>
    <row r="8238" spans="1:16" x14ac:dyDescent="0.25">
      <c r="A8238" t="str">
        <f>"1130232E00117    00"</f>
        <v>1130232E00117    00</v>
      </c>
      <c r="B8238" t="s">
        <v>18020</v>
      </c>
      <c r="C8238" t="s">
        <v>18021</v>
      </c>
      <c r="D8238" t="s">
        <v>20</v>
      </c>
      <c r="E8238" t="s">
        <v>39</v>
      </c>
      <c r="F8238">
        <v>0</v>
      </c>
      <c r="G8238">
        <v>0</v>
      </c>
      <c r="H8238">
        <v>19</v>
      </c>
      <c r="I8238" s="3">
        <v>14209.16</v>
      </c>
      <c r="J8238" s="3">
        <v>17766.830000000002</v>
      </c>
      <c r="L8238">
        <v>508</v>
      </c>
      <c r="M8238" t="s">
        <v>16619</v>
      </c>
      <c r="N8238" t="s">
        <v>30</v>
      </c>
      <c r="O8238" t="s">
        <v>31</v>
      </c>
      <c r="P8238" t="str">
        <f>"15221"</f>
        <v>15221</v>
      </c>
    </row>
    <row r="8239" spans="1:16" x14ac:dyDescent="0.25">
      <c r="A8239" t="str">
        <f>"1130232E00119    00"</f>
        <v>1130232E00119    00</v>
      </c>
      <c r="B8239" t="s">
        <v>18022</v>
      </c>
      <c r="C8239" t="s">
        <v>18023</v>
      </c>
      <c r="D8239" t="s">
        <v>20</v>
      </c>
      <c r="E8239" t="s">
        <v>39</v>
      </c>
      <c r="F8239">
        <v>0</v>
      </c>
      <c r="G8239">
        <v>0</v>
      </c>
      <c r="H8239">
        <v>19</v>
      </c>
      <c r="I8239" s="3">
        <v>24701.45</v>
      </c>
      <c r="J8239" s="3">
        <v>26111.5</v>
      </c>
      <c r="L8239">
        <v>502</v>
      </c>
      <c r="M8239" t="s">
        <v>16619</v>
      </c>
      <c r="N8239" t="s">
        <v>30</v>
      </c>
      <c r="O8239" t="s">
        <v>31</v>
      </c>
      <c r="P8239" t="str">
        <f>"15221"</f>
        <v>15221</v>
      </c>
    </row>
    <row r="8240" spans="1:16" x14ac:dyDescent="0.25">
      <c r="A8240" t="str">
        <f>"1130232E00135    00"</f>
        <v>1130232E00135    00</v>
      </c>
      <c r="B8240" t="s">
        <v>18024</v>
      </c>
      <c r="C8240" t="s">
        <v>17757</v>
      </c>
      <c r="D8240" t="s">
        <v>20</v>
      </c>
      <c r="E8240" t="s">
        <v>39</v>
      </c>
      <c r="F8240">
        <v>0</v>
      </c>
      <c r="G8240">
        <v>0</v>
      </c>
      <c r="H8240">
        <v>19</v>
      </c>
      <c r="I8240" s="3">
        <v>323.60000000000002</v>
      </c>
      <c r="J8240" s="3">
        <v>306.02</v>
      </c>
      <c r="L8240">
        <v>804</v>
      </c>
      <c r="M8240" t="s">
        <v>18025</v>
      </c>
      <c r="N8240" t="s">
        <v>546</v>
      </c>
      <c r="O8240" t="s">
        <v>31</v>
      </c>
      <c r="P8240" t="str">
        <f>"15044"</f>
        <v>15044</v>
      </c>
    </row>
    <row r="8241" spans="1:16" x14ac:dyDescent="0.25">
      <c r="A8241" t="str">
        <f>"1130232E00136    00"</f>
        <v>1130232E00136    00</v>
      </c>
      <c r="B8241" t="s">
        <v>18026</v>
      </c>
      <c r="C8241" t="s">
        <v>18027</v>
      </c>
      <c r="E8241" t="s">
        <v>39</v>
      </c>
      <c r="F8241">
        <v>0</v>
      </c>
      <c r="G8241">
        <v>0</v>
      </c>
      <c r="H8241">
        <v>1</v>
      </c>
      <c r="I8241" s="3">
        <v>24.68</v>
      </c>
      <c r="J8241" s="3">
        <v>0</v>
      </c>
      <c r="L8241">
        <v>6015</v>
      </c>
      <c r="M8241" t="s">
        <v>13351</v>
      </c>
      <c r="N8241" t="s">
        <v>171</v>
      </c>
      <c r="O8241" t="s">
        <v>31</v>
      </c>
      <c r="P8241" t="str">
        <f>"15057"</f>
        <v>15057</v>
      </c>
    </row>
    <row r="8242" spans="1:16" x14ac:dyDescent="0.25">
      <c r="A8242" t="str">
        <f>"1130232E00138    00"</f>
        <v>1130232E00138    00</v>
      </c>
      <c r="B8242" t="s">
        <v>18028</v>
      </c>
      <c r="C8242" t="s">
        <v>17757</v>
      </c>
      <c r="D8242" t="s">
        <v>20</v>
      </c>
      <c r="E8242" t="s">
        <v>39</v>
      </c>
      <c r="F8242">
        <v>0</v>
      </c>
      <c r="G8242">
        <v>0</v>
      </c>
      <c r="H8242">
        <v>14</v>
      </c>
      <c r="I8242" s="3">
        <v>205.32</v>
      </c>
      <c r="J8242" s="3">
        <v>131.91</v>
      </c>
      <c r="K8242" t="s">
        <v>18029</v>
      </c>
      <c r="L8242">
        <v>321</v>
      </c>
      <c r="M8242" t="s">
        <v>18030</v>
      </c>
      <c r="N8242" t="s">
        <v>18031</v>
      </c>
      <c r="O8242" t="s">
        <v>370</v>
      </c>
      <c r="P8242" t="str">
        <f>"32950"</f>
        <v>32950</v>
      </c>
    </row>
    <row r="8243" spans="1:16" x14ac:dyDescent="0.25">
      <c r="A8243" t="str">
        <f>"1130232E00141    00"</f>
        <v>1130232E00141    00</v>
      </c>
      <c r="B8243" t="s">
        <v>12711</v>
      </c>
      <c r="C8243" t="s">
        <v>17757</v>
      </c>
      <c r="D8243" t="s">
        <v>20</v>
      </c>
      <c r="E8243" t="s">
        <v>207</v>
      </c>
      <c r="F8243">
        <v>0</v>
      </c>
      <c r="G8243">
        <v>0</v>
      </c>
      <c r="H8243">
        <v>19</v>
      </c>
      <c r="I8243" s="3">
        <v>957.64</v>
      </c>
      <c r="J8243" s="3">
        <v>618.66999999999996</v>
      </c>
      <c r="K8243" t="s">
        <v>12712</v>
      </c>
      <c r="L8243">
        <v>100</v>
      </c>
      <c r="M8243" t="s">
        <v>12713</v>
      </c>
      <c r="N8243" t="s">
        <v>509</v>
      </c>
      <c r="O8243" t="s">
        <v>31</v>
      </c>
      <c r="P8243" t="str">
        <f>"19107"</f>
        <v>19107</v>
      </c>
    </row>
    <row r="8244" spans="1:16" x14ac:dyDescent="0.25">
      <c r="A8244" t="str">
        <f>"1130232E00145    00"</f>
        <v>1130232E00145    00</v>
      </c>
      <c r="B8244" t="s">
        <v>18032</v>
      </c>
      <c r="C8244" t="s">
        <v>17566</v>
      </c>
      <c r="D8244" t="s">
        <v>20</v>
      </c>
      <c r="E8244" t="s">
        <v>39</v>
      </c>
      <c r="F8244">
        <v>0</v>
      </c>
      <c r="G8244">
        <v>0</v>
      </c>
      <c r="H8244">
        <v>19</v>
      </c>
      <c r="I8244" s="3">
        <v>8855.7099999999991</v>
      </c>
      <c r="J8244" s="3">
        <v>12436.01</v>
      </c>
      <c r="L8244">
        <v>71</v>
      </c>
      <c r="M8244" t="s">
        <v>8889</v>
      </c>
      <c r="N8244" t="s">
        <v>30</v>
      </c>
      <c r="O8244" t="s">
        <v>31</v>
      </c>
      <c r="P8244" t="str">
        <f>"15235"</f>
        <v>15235</v>
      </c>
    </row>
    <row r="8245" spans="1:16" x14ac:dyDescent="0.25">
      <c r="A8245" t="str">
        <f>"1130232E00147    00"</f>
        <v>1130232E00147    00</v>
      </c>
      <c r="B8245" t="s">
        <v>18033</v>
      </c>
      <c r="C8245" t="s">
        <v>17566</v>
      </c>
      <c r="D8245" t="s">
        <v>20</v>
      </c>
      <c r="E8245" t="s">
        <v>39</v>
      </c>
      <c r="F8245">
        <v>0</v>
      </c>
      <c r="G8245">
        <v>0</v>
      </c>
      <c r="H8245">
        <v>19</v>
      </c>
      <c r="I8245" s="3">
        <v>5336.92</v>
      </c>
      <c r="J8245" s="3">
        <v>6623.26</v>
      </c>
      <c r="M8245" t="s">
        <v>18034</v>
      </c>
      <c r="N8245" t="s">
        <v>1061</v>
      </c>
      <c r="O8245" t="s">
        <v>495</v>
      </c>
      <c r="P8245" t="str">
        <f>"90009"</f>
        <v>90009</v>
      </c>
    </row>
    <row r="8246" spans="1:16" x14ac:dyDescent="0.25">
      <c r="A8246" t="str">
        <f>"1130232F00050    00"</f>
        <v>1130232F00050    00</v>
      </c>
      <c r="B8246" t="s">
        <v>18035</v>
      </c>
      <c r="C8246" t="s">
        <v>18036</v>
      </c>
      <c r="E8246" t="s">
        <v>39</v>
      </c>
      <c r="F8246">
        <v>0</v>
      </c>
      <c r="G8246">
        <v>0</v>
      </c>
      <c r="H8246">
        <v>1</v>
      </c>
      <c r="I8246" s="3">
        <v>472.22</v>
      </c>
      <c r="J8246" s="3">
        <v>106.24</v>
      </c>
      <c r="L8246">
        <v>8401</v>
      </c>
      <c r="M8246" t="s">
        <v>18037</v>
      </c>
      <c r="N8246" t="s">
        <v>30</v>
      </c>
      <c r="O8246" t="s">
        <v>31</v>
      </c>
      <c r="P8246" t="str">
        <f>"15221"</f>
        <v>15221</v>
      </c>
    </row>
    <row r="8247" spans="1:16" x14ac:dyDescent="0.25">
      <c r="A8247" t="str">
        <f>"1130232F00055    00"</f>
        <v>1130232F00055    00</v>
      </c>
      <c r="B8247" t="s">
        <v>17811</v>
      </c>
      <c r="C8247" t="s">
        <v>17543</v>
      </c>
      <c r="D8247" t="s">
        <v>20</v>
      </c>
      <c r="E8247" t="s">
        <v>39</v>
      </c>
      <c r="F8247">
        <v>0</v>
      </c>
      <c r="G8247">
        <v>0</v>
      </c>
      <c r="H8247">
        <v>13</v>
      </c>
      <c r="I8247" s="3">
        <v>721.07</v>
      </c>
      <c r="J8247" s="3">
        <v>393.16</v>
      </c>
      <c r="L8247">
        <v>510</v>
      </c>
      <c r="M8247" t="s">
        <v>18038</v>
      </c>
      <c r="N8247" t="s">
        <v>18039</v>
      </c>
      <c r="O8247" t="s">
        <v>31</v>
      </c>
      <c r="P8247" t="str">
        <f>"16121"</f>
        <v>16121</v>
      </c>
    </row>
    <row r="8248" spans="1:16" x14ac:dyDescent="0.25">
      <c r="A8248" t="str">
        <f>"1130232F00073    00"</f>
        <v>1130232F00073    00</v>
      </c>
      <c r="B8248" t="s">
        <v>18040</v>
      </c>
      <c r="C8248" t="s">
        <v>17817</v>
      </c>
      <c r="D8248" t="s">
        <v>20</v>
      </c>
      <c r="E8248" t="s">
        <v>39</v>
      </c>
      <c r="F8248">
        <v>0</v>
      </c>
      <c r="G8248">
        <v>0</v>
      </c>
      <c r="H8248">
        <v>17</v>
      </c>
      <c r="I8248" s="3">
        <v>5236.82</v>
      </c>
      <c r="J8248" s="3">
        <v>7234.52</v>
      </c>
      <c r="L8248">
        <v>3031</v>
      </c>
      <c r="M8248" t="s">
        <v>18041</v>
      </c>
      <c r="N8248" t="s">
        <v>7330</v>
      </c>
      <c r="O8248" t="s">
        <v>180</v>
      </c>
      <c r="P8248" t="str">
        <f>"80207"</f>
        <v>80207</v>
      </c>
    </row>
    <row r="8249" spans="1:16" x14ac:dyDescent="0.25">
      <c r="A8249" t="str">
        <f>"1130232F00074    00"</f>
        <v>1130232F00074    00</v>
      </c>
      <c r="B8249" t="s">
        <v>18042</v>
      </c>
      <c r="C8249" t="s">
        <v>17543</v>
      </c>
      <c r="D8249" t="s">
        <v>20</v>
      </c>
      <c r="E8249" t="s">
        <v>39</v>
      </c>
      <c r="F8249">
        <v>0</v>
      </c>
      <c r="G8249">
        <v>0</v>
      </c>
      <c r="H8249">
        <v>16</v>
      </c>
      <c r="I8249" s="3">
        <v>1553.5</v>
      </c>
      <c r="J8249" s="3">
        <v>1242.24</v>
      </c>
      <c r="K8249" t="s">
        <v>18043</v>
      </c>
      <c r="M8249" t="s">
        <v>17546</v>
      </c>
      <c r="N8249" t="s">
        <v>30</v>
      </c>
      <c r="O8249" t="s">
        <v>31</v>
      </c>
      <c r="P8249" t="str">
        <f>"15221"</f>
        <v>15221</v>
      </c>
    </row>
    <row r="8250" spans="1:16" x14ac:dyDescent="0.25">
      <c r="A8250" t="str">
        <f>"1130232F00076    00"</f>
        <v>1130232F00076    00</v>
      </c>
      <c r="B8250" t="s">
        <v>18044</v>
      </c>
      <c r="C8250" t="s">
        <v>17817</v>
      </c>
      <c r="D8250" t="s">
        <v>20</v>
      </c>
      <c r="E8250" t="s">
        <v>39</v>
      </c>
      <c r="F8250">
        <v>0</v>
      </c>
      <c r="G8250">
        <v>0</v>
      </c>
      <c r="H8250">
        <v>16</v>
      </c>
      <c r="I8250" s="3">
        <v>1574.94</v>
      </c>
      <c r="J8250" s="3">
        <v>1204.6600000000001</v>
      </c>
      <c r="K8250" t="s">
        <v>18045</v>
      </c>
      <c r="P8250" t="str">
        <f>""</f>
        <v/>
      </c>
    </row>
    <row r="8251" spans="1:16" x14ac:dyDescent="0.25">
      <c r="A8251" t="str">
        <f>"1130232F00078    00"</f>
        <v>1130232F00078    00</v>
      </c>
      <c r="B8251" t="s">
        <v>18046</v>
      </c>
      <c r="C8251" t="s">
        <v>18047</v>
      </c>
      <c r="D8251" t="s">
        <v>20</v>
      </c>
      <c r="E8251" t="s">
        <v>39</v>
      </c>
      <c r="F8251">
        <v>0</v>
      </c>
      <c r="G8251">
        <v>0</v>
      </c>
      <c r="H8251">
        <v>2</v>
      </c>
      <c r="I8251" s="3">
        <v>1303.7</v>
      </c>
      <c r="J8251" s="3">
        <v>0</v>
      </c>
      <c r="K8251" t="s">
        <v>18048</v>
      </c>
      <c r="L8251">
        <v>1719</v>
      </c>
      <c r="M8251" t="s">
        <v>16001</v>
      </c>
      <c r="N8251" t="s">
        <v>30</v>
      </c>
      <c r="O8251" t="s">
        <v>31</v>
      </c>
      <c r="P8251" t="str">
        <f>"15221"</f>
        <v>15221</v>
      </c>
    </row>
    <row r="8252" spans="1:16" x14ac:dyDescent="0.25">
      <c r="A8252" t="str">
        <f>"1130232F00079    00"</f>
        <v>1130232F00079    00</v>
      </c>
      <c r="B8252" t="s">
        <v>18046</v>
      </c>
      <c r="C8252" t="s">
        <v>17817</v>
      </c>
      <c r="D8252" t="s">
        <v>20</v>
      </c>
      <c r="E8252" t="s">
        <v>39</v>
      </c>
      <c r="F8252">
        <v>0</v>
      </c>
      <c r="G8252">
        <v>0</v>
      </c>
      <c r="H8252">
        <v>2</v>
      </c>
      <c r="I8252" s="3">
        <v>49.58</v>
      </c>
      <c r="J8252" s="3">
        <v>0</v>
      </c>
      <c r="K8252" t="s">
        <v>18048</v>
      </c>
      <c r="L8252">
        <v>402</v>
      </c>
      <c r="M8252" t="s">
        <v>17671</v>
      </c>
      <c r="N8252" t="s">
        <v>238</v>
      </c>
      <c r="O8252" t="s">
        <v>31</v>
      </c>
      <c r="P8252" t="str">
        <f>"15132"</f>
        <v>15132</v>
      </c>
    </row>
    <row r="8253" spans="1:16" x14ac:dyDescent="0.25">
      <c r="A8253" t="str">
        <f>"1130232F00150    00"</f>
        <v>1130232F00150    00</v>
      </c>
      <c r="B8253" t="s">
        <v>16145</v>
      </c>
      <c r="C8253" t="s">
        <v>18049</v>
      </c>
      <c r="D8253" t="s">
        <v>20</v>
      </c>
      <c r="E8253" t="s">
        <v>39</v>
      </c>
      <c r="F8253">
        <v>0</v>
      </c>
      <c r="G8253">
        <v>0</v>
      </c>
      <c r="H8253">
        <v>18</v>
      </c>
      <c r="I8253" s="3">
        <v>10338.030000000001</v>
      </c>
      <c r="J8253" s="3">
        <v>8251.6299999999992</v>
      </c>
      <c r="L8253">
        <v>555</v>
      </c>
      <c r="M8253" t="s">
        <v>4069</v>
      </c>
      <c r="N8253" t="s">
        <v>30</v>
      </c>
      <c r="O8253" t="s">
        <v>31</v>
      </c>
      <c r="P8253" t="str">
        <f>"15208"</f>
        <v>15208</v>
      </c>
    </row>
    <row r="8254" spans="1:16" x14ac:dyDescent="0.25">
      <c r="A8254" t="str">
        <f>"1130232F00151    00"</f>
        <v>1130232F00151    00</v>
      </c>
      <c r="B8254" t="s">
        <v>18050</v>
      </c>
      <c r="C8254" t="s">
        <v>17817</v>
      </c>
      <c r="D8254" t="s">
        <v>20</v>
      </c>
      <c r="E8254" t="s">
        <v>39</v>
      </c>
      <c r="F8254">
        <v>0</v>
      </c>
      <c r="G8254">
        <v>0</v>
      </c>
      <c r="H8254">
        <v>18</v>
      </c>
      <c r="I8254" s="3">
        <v>396.34</v>
      </c>
      <c r="J8254" s="3">
        <v>288.14999999999998</v>
      </c>
      <c r="L8254">
        <v>555</v>
      </c>
      <c r="M8254" t="s">
        <v>4069</v>
      </c>
      <c r="N8254" t="s">
        <v>30</v>
      </c>
      <c r="O8254" t="s">
        <v>31</v>
      </c>
      <c r="P8254" t="str">
        <f>"15208"</f>
        <v>15208</v>
      </c>
    </row>
    <row r="8255" spans="1:16" x14ac:dyDescent="0.25">
      <c r="A8255" t="str">
        <f>"1130232F00153    00"</f>
        <v>1130232F00153    00</v>
      </c>
      <c r="B8255" t="s">
        <v>18051</v>
      </c>
      <c r="C8255" t="s">
        <v>17817</v>
      </c>
      <c r="D8255" t="s">
        <v>20</v>
      </c>
      <c r="E8255" t="s">
        <v>39</v>
      </c>
      <c r="F8255">
        <v>0</v>
      </c>
      <c r="G8255">
        <v>0</v>
      </c>
      <c r="H8255">
        <v>19</v>
      </c>
      <c r="I8255" s="3">
        <v>1957.78</v>
      </c>
      <c r="J8255" s="3">
        <v>1979.7</v>
      </c>
      <c r="L8255">
        <v>1720</v>
      </c>
      <c r="M8255" t="s">
        <v>16001</v>
      </c>
      <c r="N8255" t="s">
        <v>30</v>
      </c>
      <c r="O8255" t="s">
        <v>31</v>
      </c>
      <c r="P8255" t="str">
        <f>"15221"</f>
        <v>15221</v>
      </c>
    </row>
    <row r="8256" spans="1:16" x14ac:dyDescent="0.25">
      <c r="A8256" t="str">
        <f>"1130232F00154    00"</f>
        <v>1130232F00154    00</v>
      </c>
      <c r="B8256" t="s">
        <v>18052</v>
      </c>
      <c r="C8256" t="s">
        <v>17817</v>
      </c>
      <c r="D8256" t="s">
        <v>20</v>
      </c>
      <c r="E8256" t="s">
        <v>39</v>
      </c>
      <c r="F8256">
        <v>0</v>
      </c>
      <c r="G8256">
        <v>0</v>
      </c>
      <c r="H8256">
        <v>19</v>
      </c>
      <c r="I8256" s="3">
        <v>279.7</v>
      </c>
      <c r="J8256" s="3">
        <v>282.8</v>
      </c>
      <c r="L8256">
        <v>1656</v>
      </c>
      <c r="M8256" t="s">
        <v>16001</v>
      </c>
      <c r="N8256" t="s">
        <v>30</v>
      </c>
      <c r="O8256" t="s">
        <v>31</v>
      </c>
      <c r="P8256" t="str">
        <f>"15221"</f>
        <v>15221</v>
      </c>
    </row>
    <row r="8257" spans="1:16" x14ac:dyDescent="0.25">
      <c r="A8257" t="str">
        <f>"1130232F00156    00"</f>
        <v>1130232F00156    00</v>
      </c>
      <c r="B8257" t="s">
        <v>18053</v>
      </c>
      <c r="C8257" t="s">
        <v>18054</v>
      </c>
      <c r="D8257" t="s">
        <v>20</v>
      </c>
      <c r="E8257" t="s">
        <v>39</v>
      </c>
      <c r="F8257">
        <v>0</v>
      </c>
      <c r="G8257">
        <v>0</v>
      </c>
      <c r="H8257">
        <v>3</v>
      </c>
      <c r="I8257" s="3">
        <v>650.54999999999995</v>
      </c>
      <c r="J8257" s="3">
        <v>44.72</v>
      </c>
      <c r="K8257" t="s">
        <v>18055</v>
      </c>
      <c r="L8257">
        <v>1724</v>
      </c>
      <c r="M8257" t="s">
        <v>16001</v>
      </c>
      <c r="N8257" t="s">
        <v>30</v>
      </c>
      <c r="O8257" t="s">
        <v>31</v>
      </c>
      <c r="P8257" t="str">
        <f>"15221"</f>
        <v>15221</v>
      </c>
    </row>
    <row r="8258" spans="1:16" x14ac:dyDescent="0.25">
      <c r="A8258" t="str">
        <f>"1130232F00158    00"</f>
        <v>1130232F00158    00</v>
      </c>
      <c r="B8258" t="s">
        <v>18056</v>
      </c>
      <c r="C8258" t="s">
        <v>18057</v>
      </c>
      <c r="D8258" t="s">
        <v>20</v>
      </c>
      <c r="E8258" t="s">
        <v>39</v>
      </c>
      <c r="F8258">
        <v>0</v>
      </c>
      <c r="G8258">
        <v>0</v>
      </c>
      <c r="H8258">
        <v>5</v>
      </c>
      <c r="I8258" s="3">
        <v>471</v>
      </c>
      <c r="J8258" s="3">
        <v>81.37</v>
      </c>
      <c r="L8258">
        <v>47</v>
      </c>
      <c r="M8258" t="s">
        <v>18058</v>
      </c>
      <c r="N8258" t="s">
        <v>30</v>
      </c>
      <c r="O8258" t="s">
        <v>31</v>
      </c>
      <c r="P8258" t="str">
        <f>"15227"</f>
        <v>15227</v>
      </c>
    </row>
    <row r="8259" spans="1:16" x14ac:dyDescent="0.25">
      <c r="A8259" t="str">
        <f>"1130232F00159    00"</f>
        <v>1130232F00159    00</v>
      </c>
      <c r="B8259" t="s">
        <v>18059</v>
      </c>
      <c r="C8259" t="s">
        <v>18060</v>
      </c>
      <c r="E8259" t="s">
        <v>39</v>
      </c>
      <c r="F8259">
        <v>0</v>
      </c>
      <c r="G8259">
        <v>0</v>
      </c>
      <c r="H8259">
        <v>7</v>
      </c>
      <c r="I8259" s="3">
        <v>2835.77</v>
      </c>
      <c r="J8259" s="3">
        <v>4219.99</v>
      </c>
      <c r="P8259" t="str">
        <f>""</f>
        <v/>
      </c>
    </row>
    <row r="8260" spans="1:16" x14ac:dyDescent="0.25">
      <c r="A8260" t="str">
        <f>"1130232F00162    00"</f>
        <v>1130232F00162    00</v>
      </c>
      <c r="B8260" t="s">
        <v>18061</v>
      </c>
      <c r="C8260" t="s">
        <v>18062</v>
      </c>
      <c r="D8260" t="s">
        <v>20</v>
      </c>
      <c r="E8260" t="s">
        <v>39</v>
      </c>
      <c r="F8260">
        <v>0</v>
      </c>
      <c r="G8260">
        <v>0</v>
      </c>
      <c r="H8260">
        <v>19</v>
      </c>
      <c r="I8260" s="3">
        <v>11188.81</v>
      </c>
      <c r="J8260" s="3">
        <v>10786.93</v>
      </c>
      <c r="L8260">
        <v>4749</v>
      </c>
      <c r="M8260" t="s">
        <v>2720</v>
      </c>
      <c r="N8260" t="s">
        <v>30</v>
      </c>
      <c r="O8260" t="s">
        <v>31</v>
      </c>
      <c r="P8260" t="str">
        <f>"15213"</f>
        <v>15213</v>
      </c>
    </row>
    <row r="8261" spans="1:16" x14ac:dyDescent="0.25">
      <c r="A8261" t="str">
        <f>"1130232F00258    00"</f>
        <v>1130232F00258    00</v>
      </c>
      <c r="B8261" t="s">
        <v>17888</v>
      </c>
      <c r="C8261" t="s">
        <v>17875</v>
      </c>
      <c r="D8261" t="s">
        <v>20</v>
      </c>
      <c r="E8261" t="s">
        <v>39</v>
      </c>
      <c r="F8261">
        <v>0</v>
      </c>
      <c r="G8261">
        <v>0</v>
      </c>
      <c r="H8261">
        <v>2</v>
      </c>
      <c r="I8261" s="3">
        <v>31.12</v>
      </c>
      <c r="J8261" s="3">
        <v>0</v>
      </c>
      <c r="K8261" t="s">
        <v>17889</v>
      </c>
      <c r="L8261">
        <v>222</v>
      </c>
      <c r="M8261" t="s">
        <v>6834</v>
      </c>
      <c r="N8261" t="s">
        <v>30</v>
      </c>
      <c r="O8261" t="s">
        <v>31</v>
      </c>
      <c r="P8261" t="str">
        <f>"15206"</f>
        <v>15206</v>
      </c>
    </row>
    <row r="8262" spans="1:16" x14ac:dyDescent="0.25">
      <c r="A8262" t="str">
        <f>"1130232F00260    00"</f>
        <v>1130232F00260    00</v>
      </c>
      <c r="B8262" t="s">
        <v>18063</v>
      </c>
      <c r="C8262" t="s">
        <v>18064</v>
      </c>
      <c r="D8262" t="s">
        <v>20</v>
      </c>
      <c r="E8262" t="s">
        <v>39</v>
      </c>
      <c r="F8262">
        <v>0</v>
      </c>
      <c r="G8262">
        <v>0</v>
      </c>
      <c r="H8262">
        <v>4</v>
      </c>
      <c r="I8262" s="3">
        <v>52.84</v>
      </c>
      <c r="J8262" s="3">
        <v>6.51</v>
      </c>
      <c r="K8262" t="s">
        <v>18065</v>
      </c>
      <c r="L8262">
        <v>6136</v>
      </c>
      <c r="M8262" t="s">
        <v>3089</v>
      </c>
      <c r="N8262" t="s">
        <v>30</v>
      </c>
      <c r="O8262" t="s">
        <v>31</v>
      </c>
      <c r="P8262" t="str">
        <f>"15206"</f>
        <v>15206</v>
      </c>
    </row>
    <row r="8263" spans="1:16" x14ac:dyDescent="0.25">
      <c r="A8263" t="str">
        <f>"1130232F00262    00"</f>
        <v>1130232F00262    00</v>
      </c>
      <c r="B8263" t="s">
        <v>18063</v>
      </c>
      <c r="C8263" t="s">
        <v>18066</v>
      </c>
      <c r="D8263" t="s">
        <v>20</v>
      </c>
      <c r="E8263" t="s">
        <v>39</v>
      </c>
      <c r="F8263">
        <v>0</v>
      </c>
      <c r="G8263">
        <v>0</v>
      </c>
      <c r="H8263">
        <v>4</v>
      </c>
      <c r="I8263" s="3">
        <v>5748.4</v>
      </c>
      <c r="J8263" s="3">
        <v>611.1</v>
      </c>
      <c r="K8263" t="s">
        <v>18065</v>
      </c>
      <c r="L8263">
        <v>6736</v>
      </c>
      <c r="M8263" t="s">
        <v>3089</v>
      </c>
      <c r="N8263" t="s">
        <v>30</v>
      </c>
      <c r="O8263" t="s">
        <v>31</v>
      </c>
      <c r="P8263" t="str">
        <f>"15206"</f>
        <v>15206</v>
      </c>
    </row>
    <row r="8264" spans="1:16" x14ac:dyDescent="0.25">
      <c r="A8264" t="str">
        <f>"1130232F00264    00"</f>
        <v>1130232F00264    00</v>
      </c>
      <c r="B8264" t="s">
        <v>18063</v>
      </c>
      <c r="C8264" t="s">
        <v>18064</v>
      </c>
      <c r="D8264" t="s">
        <v>20</v>
      </c>
      <c r="E8264" t="s">
        <v>39</v>
      </c>
      <c r="F8264">
        <v>0</v>
      </c>
      <c r="G8264">
        <v>0</v>
      </c>
      <c r="H8264">
        <v>4</v>
      </c>
      <c r="I8264" s="3">
        <v>410.06</v>
      </c>
      <c r="J8264" s="3">
        <v>48.44</v>
      </c>
      <c r="K8264" t="s">
        <v>18065</v>
      </c>
      <c r="L8264">
        <v>6736</v>
      </c>
      <c r="M8264" t="s">
        <v>3089</v>
      </c>
      <c r="N8264" t="s">
        <v>30</v>
      </c>
      <c r="O8264" t="s">
        <v>31</v>
      </c>
      <c r="P8264" t="str">
        <f>"15206"</f>
        <v>15206</v>
      </c>
    </row>
    <row r="8265" spans="1:16" x14ac:dyDescent="0.25">
      <c r="A8265" t="str">
        <f>"1130232F00272    00"</f>
        <v>1130232F00272    00</v>
      </c>
      <c r="B8265" t="s">
        <v>18067</v>
      </c>
      <c r="C8265" t="s">
        <v>18068</v>
      </c>
      <c r="D8265" t="s">
        <v>20</v>
      </c>
      <c r="E8265" t="s">
        <v>39</v>
      </c>
      <c r="F8265">
        <v>0</v>
      </c>
      <c r="G8265">
        <v>0</v>
      </c>
      <c r="H8265">
        <v>1</v>
      </c>
      <c r="I8265" s="3">
        <v>655.67</v>
      </c>
      <c r="J8265" s="3">
        <v>0</v>
      </c>
      <c r="K8265" t="s">
        <v>18069</v>
      </c>
      <c r="L8265">
        <v>322</v>
      </c>
      <c r="M8265" t="s">
        <v>18070</v>
      </c>
      <c r="N8265" t="s">
        <v>30</v>
      </c>
      <c r="O8265" t="s">
        <v>31</v>
      </c>
      <c r="P8265" t="str">
        <f>"15212"</f>
        <v>15212</v>
      </c>
    </row>
    <row r="8266" spans="1:16" x14ac:dyDescent="0.25">
      <c r="A8266" t="str">
        <f>"1130232G00100    00"</f>
        <v>1130232G00100    00</v>
      </c>
      <c r="B8266" t="s">
        <v>18071</v>
      </c>
      <c r="C8266" t="s">
        <v>18072</v>
      </c>
      <c r="D8266" t="s">
        <v>20</v>
      </c>
      <c r="E8266" t="s">
        <v>39</v>
      </c>
      <c r="F8266">
        <v>0</v>
      </c>
      <c r="G8266">
        <v>0</v>
      </c>
      <c r="H8266">
        <v>1</v>
      </c>
      <c r="I8266" s="3">
        <v>440.77</v>
      </c>
      <c r="J8266" s="3">
        <v>0</v>
      </c>
      <c r="K8266" t="s">
        <v>18073</v>
      </c>
      <c r="L8266">
        <v>2014</v>
      </c>
      <c r="M8266" t="s">
        <v>17969</v>
      </c>
      <c r="N8266" t="s">
        <v>30</v>
      </c>
      <c r="O8266" t="s">
        <v>31</v>
      </c>
      <c r="P8266" t="str">
        <f>"15221"</f>
        <v>15221</v>
      </c>
    </row>
    <row r="8267" spans="1:16" x14ac:dyDescent="0.25">
      <c r="A8267" t="str">
        <f>"1130232G00103    00"</f>
        <v>1130232G00103    00</v>
      </c>
      <c r="B8267" t="s">
        <v>18074</v>
      </c>
      <c r="C8267" t="s">
        <v>18075</v>
      </c>
      <c r="D8267" t="s">
        <v>20</v>
      </c>
      <c r="E8267" t="s">
        <v>39</v>
      </c>
      <c r="F8267">
        <v>0</v>
      </c>
      <c r="G8267">
        <v>0</v>
      </c>
      <c r="H8267">
        <v>2</v>
      </c>
      <c r="I8267" s="3">
        <v>943.55</v>
      </c>
      <c r="J8267" s="3">
        <v>0</v>
      </c>
      <c r="L8267">
        <v>2004</v>
      </c>
      <c r="M8267" t="s">
        <v>17969</v>
      </c>
      <c r="N8267" t="s">
        <v>30</v>
      </c>
      <c r="O8267" t="s">
        <v>31</v>
      </c>
      <c r="P8267" t="str">
        <f>"15221"</f>
        <v>15221</v>
      </c>
    </row>
    <row r="8268" spans="1:16" x14ac:dyDescent="0.25">
      <c r="A8268" t="str">
        <f>"1130232G00105    00"</f>
        <v>1130232G00105    00</v>
      </c>
      <c r="B8268" t="s">
        <v>18076</v>
      </c>
      <c r="C8268" t="s">
        <v>18077</v>
      </c>
      <c r="D8268" t="s">
        <v>20</v>
      </c>
      <c r="E8268" t="s">
        <v>39</v>
      </c>
      <c r="F8268">
        <v>0</v>
      </c>
      <c r="G8268">
        <v>0</v>
      </c>
      <c r="H8268">
        <v>1</v>
      </c>
      <c r="I8268" s="3">
        <v>404.55</v>
      </c>
      <c r="J8268" s="3">
        <v>0</v>
      </c>
      <c r="K8268" t="s">
        <v>391</v>
      </c>
      <c r="L8268">
        <v>1</v>
      </c>
      <c r="M8268" t="s">
        <v>392</v>
      </c>
      <c r="N8268" t="s">
        <v>393</v>
      </c>
      <c r="O8268" t="s">
        <v>394</v>
      </c>
      <c r="P8268" t="str">
        <f>"50328"</f>
        <v>50328</v>
      </c>
    </row>
    <row r="8269" spans="1:16" x14ac:dyDescent="0.25">
      <c r="A8269" t="str">
        <f>"1130232G00198    00"</f>
        <v>1130232G00198    00</v>
      </c>
      <c r="B8269" t="s">
        <v>18078</v>
      </c>
      <c r="C8269" t="s">
        <v>17973</v>
      </c>
      <c r="D8269" t="s">
        <v>20</v>
      </c>
      <c r="E8269" t="s">
        <v>39</v>
      </c>
      <c r="F8269">
        <v>0</v>
      </c>
      <c r="G8269">
        <v>0</v>
      </c>
      <c r="H8269">
        <v>14</v>
      </c>
      <c r="I8269" s="3">
        <v>1472.46</v>
      </c>
      <c r="J8269" s="3">
        <v>959.86</v>
      </c>
      <c r="M8269" t="s">
        <v>18079</v>
      </c>
      <c r="N8269" t="s">
        <v>30</v>
      </c>
      <c r="O8269" t="s">
        <v>31</v>
      </c>
      <c r="P8269" t="str">
        <f>"15205"</f>
        <v>15205</v>
      </c>
    </row>
    <row r="8270" spans="1:16" x14ac:dyDescent="0.25">
      <c r="A8270" t="str">
        <f>"1130232G00214    00"</f>
        <v>1130232G00214    00</v>
      </c>
      <c r="B8270" t="s">
        <v>18080</v>
      </c>
      <c r="C8270" t="s">
        <v>18081</v>
      </c>
      <c r="D8270" t="s">
        <v>20</v>
      </c>
      <c r="E8270" t="s">
        <v>39</v>
      </c>
      <c r="F8270">
        <v>0</v>
      </c>
      <c r="G8270">
        <v>0</v>
      </c>
      <c r="H8270">
        <v>2</v>
      </c>
      <c r="I8270" s="3">
        <v>2217.35</v>
      </c>
      <c r="J8270" s="3">
        <v>0</v>
      </c>
      <c r="K8270" t="s">
        <v>18082</v>
      </c>
      <c r="L8270">
        <v>2014</v>
      </c>
      <c r="M8270" t="s">
        <v>2633</v>
      </c>
      <c r="N8270" t="s">
        <v>30</v>
      </c>
      <c r="O8270" t="s">
        <v>31</v>
      </c>
      <c r="P8270" t="str">
        <f>"15221"</f>
        <v>15221</v>
      </c>
    </row>
    <row r="8271" spans="1:16" x14ac:dyDescent="0.25">
      <c r="A8271" t="str">
        <f>"1130232G00246    00"</f>
        <v>1130232G00246    00</v>
      </c>
      <c r="B8271" t="s">
        <v>16480</v>
      </c>
      <c r="C8271" t="s">
        <v>18083</v>
      </c>
      <c r="D8271" t="s">
        <v>20</v>
      </c>
      <c r="E8271" t="s">
        <v>39</v>
      </c>
      <c r="F8271">
        <v>0</v>
      </c>
      <c r="G8271">
        <v>0</v>
      </c>
      <c r="H8271">
        <v>3</v>
      </c>
      <c r="I8271" s="3">
        <v>2091.5300000000002</v>
      </c>
      <c r="J8271" s="3">
        <v>151.27000000000001</v>
      </c>
      <c r="L8271">
        <v>2521</v>
      </c>
      <c r="M8271" t="s">
        <v>18084</v>
      </c>
      <c r="N8271" t="s">
        <v>30</v>
      </c>
      <c r="O8271" t="s">
        <v>31</v>
      </c>
      <c r="P8271" t="str">
        <f>"15218"</f>
        <v>15218</v>
      </c>
    </row>
    <row r="8272" spans="1:16" x14ac:dyDescent="0.25">
      <c r="A8272" t="str">
        <f>"1130232G00274    00"</f>
        <v>1130232G00274    00</v>
      </c>
      <c r="B8272" t="s">
        <v>18085</v>
      </c>
      <c r="C8272" t="s">
        <v>18086</v>
      </c>
      <c r="D8272" t="s">
        <v>20</v>
      </c>
      <c r="E8272" t="s">
        <v>39</v>
      </c>
      <c r="F8272">
        <v>0</v>
      </c>
      <c r="G8272">
        <v>0</v>
      </c>
      <c r="H8272">
        <v>2</v>
      </c>
      <c r="I8272" s="3">
        <v>1986.06</v>
      </c>
      <c r="J8272" s="3">
        <v>0</v>
      </c>
      <c r="L8272">
        <v>1003</v>
      </c>
      <c r="M8272" t="s">
        <v>2429</v>
      </c>
      <c r="N8272" t="s">
        <v>30</v>
      </c>
      <c r="O8272" t="s">
        <v>31</v>
      </c>
      <c r="P8272" t="str">
        <f>"15221"</f>
        <v>15221</v>
      </c>
    </row>
    <row r="8273" spans="1:16" x14ac:dyDescent="0.25">
      <c r="A8273" t="str">
        <f>"1130232G00276    00"</f>
        <v>1130232G00276    00</v>
      </c>
      <c r="B8273" t="s">
        <v>18087</v>
      </c>
      <c r="C8273" t="s">
        <v>18088</v>
      </c>
      <c r="D8273" t="s">
        <v>20</v>
      </c>
      <c r="E8273" t="s">
        <v>39</v>
      </c>
      <c r="F8273">
        <v>0</v>
      </c>
      <c r="G8273">
        <v>0</v>
      </c>
      <c r="H8273">
        <v>1</v>
      </c>
      <c r="I8273" s="3">
        <v>156</v>
      </c>
      <c r="J8273" s="3">
        <v>0</v>
      </c>
      <c r="K8273" t="s">
        <v>1030</v>
      </c>
      <c r="M8273" t="s">
        <v>1031</v>
      </c>
      <c r="N8273" t="s">
        <v>1032</v>
      </c>
      <c r="O8273" t="s">
        <v>25</v>
      </c>
      <c r="P8273" t="str">
        <f>"44711"</f>
        <v>44711</v>
      </c>
    </row>
    <row r="8274" spans="1:16" x14ac:dyDescent="0.25">
      <c r="A8274" t="str">
        <f>"1130232H00048    00"</f>
        <v>1130232H00048    00</v>
      </c>
      <c r="B8274" t="s">
        <v>18089</v>
      </c>
      <c r="C8274" t="s">
        <v>18090</v>
      </c>
      <c r="D8274" t="s">
        <v>20</v>
      </c>
      <c r="E8274" t="s">
        <v>39</v>
      </c>
      <c r="F8274">
        <v>0</v>
      </c>
      <c r="G8274">
        <v>0</v>
      </c>
      <c r="H8274">
        <v>1</v>
      </c>
      <c r="I8274" s="3">
        <v>699.51</v>
      </c>
      <c r="J8274" s="3">
        <v>0</v>
      </c>
      <c r="L8274">
        <v>815</v>
      </c>
      <c r="M8274" t="s">
        <v>585</v>
      </c>
      <c r="N8274" t="s">
        <v>30</v>
      </c>
      <c r="O8274" t="s">
        <v>31</v>
      </c>
      <c r="P8274" t="str">
        <f>"15221"</f>
        <v>15221</v>
      </c>
    </row>
    <row r="8275" spans="1:16" x14ac:dyDescent="0.25">
      <c r="A8275" t="str">
        <f>"1130232H00056    00"</f>
        <v>1130232H00056    00</v>
      </c>
      <c r="B8275" t="s">
        <v>18091</v>
      </c>
      <c r="C8275" t="s">
        <v>18092</v>
      </c>
      <c r="D8275" t="s">
        <v>20</v>
      </c>
      <c r="E8275" t="s">
        <v>39</v>
      </c>
      <c r="F8275">
        <v>0</v>
      </c>
      <c r="G8275">
        <v>0</v>
      </c>
      <c r="H8275">
        <v>2</v>
      </c>
      <c r="I8275" s="3">
        <v>1457.18</v>
      </c>
      <c r="J8275" s="3">
        <v>0</v>
      </c>
      <c r="L8275">
        <v>1927</v>
      </c>
      <c r="M8275" t="s">
        <v>18006</v>
      </c>
      <c r="N8275" t="s">
        <v>30</v>
      </c>
      <c r="O8275" t="s">
        <v>31</v>
      </c>
      <c r="P8275" t="str">
        <f>"15221"</f>
        <v>15221</v>
      </c>
    </row>
    <row r="8276" spans="1:16" x14ac:dyDescent="0.25">
      <c r="A8276" t="str">
        <f>"1130232H00086    00"</f>
        <v>1130232H00086    00</v>
      </c>
      <c r="B8276" t="s">
        <v>18093</v>
      </c>
      <c r="C8276" t="s">
        <v>18094</v>
      </c>
      <c r="D8276" t="s">
        <v>20</v>
      </c>
      <c r="E8276" t="s">
        <v>39</v>
      </c>
      <c r="F8276">
        <v>0</v>
      </c>
      <c r="G8276">
        <v>0</v>
      </c>
      <c r="H8276">
        <v>7</v>
      </c>
      <c r="I8276" s="3">
        <v>4837.1899999999996</v>
      </c>
      <c r="J8276" s="3">
        <v>1247.5899999999999</v>
      </c>
      <c r="L8276">
        <v>1200</v>
      </c>
      <c r="M8276" t="s">
        <v>18095</v>
      </c>
      <c r="N8276" t="s">
        <v>30</v>
      </c>
      <c r="O8276" t="s">
        <v>31</v>
      </c>
      <c r="P8276" t="str">
        <f>"15221"</f>
        <v>15221</v>
      </c>
    </row>
    <row r="8277" spans="1:16" x14ac:dyDescent="0.25">
      <c r="A8277" t="str">
        <f>"1130232H00088    00"</f>
        <v>1130232H00088    00</v>
      </c>
      <c r="B8277" t="s">
        <v>13029</v>
      </c>
      <c r="C8277" t="s">
        <v>18096</v>
      </c>
      <c r="D8277" t="s">
        <v>20</v>
      </c>
      <c r="E8277" t="s">
        <v>39</v>
      </c>
      <c r="F8277">
        <v>0</v>
      </c>
      <c r="G8277">
        <v>0</v>
      </c>
      <c r="H8277">
        <v>1</v>
      </c>
      <c r="I8277" s="3">
        <v>678.54</v>
      </c>
      <c r="J8277" s="3">
        <v>0</v>
      </c>
      <c r="L8277">
        <v>322</v>
      </c>
      <c r="M8277" t="s">
        <v>18097</v>
      </c>
      <c r="N8277" t="s">
        <v>30</v>
      </c>
      <c r="O8277" t="s">
        <v>31</v>
      </c>
      <c r="P8277" t="str">
        <f>"15212"</f>
        <v>15212</v>
      </c>
    </row>
    <row r="8278" spans="1:16" x14ac:dyDescent="0.25">
      <c r="A8278" t="str">
        <f>"1130232H00097    00"</f>
        <v>1130232H00097    00</v>
      </c>
      <c r="B8278" t="s">
        <v>18098</v>
      </c>
      <c r="C8278" t="s">
        <v>18099</v>
      </c>
      <c r="E8278" t="s">
        <v>39</v>
      </c>
      <c r="F8278">
        <v>0</v>
      </c>
      <c r="G8278">
        <v>0</v>
      </c>
      <c r="H8278">
        <v>7</v>
      </c>
      <c r="I8278" s="3">
        <v>6514.36</v>
      </c>
      <c r="J8278" s="3">
        <v>3641.77</v>
      </c>
      <c r="L8278">
        <v>1941</v>
      </c>
      <c r="M8278" t="s">
        <v>2874</v>
      </c>
      <c r="N8278" t="s">
        <v>30</v>
      </c>
      <c r="O8278" t="s">
        <v>31</v>
      </c>
      <c r="P8278" t="str">
        <f>"15221"</f>
        <v>15221</v>
      </c>
    </row>
    <row r="8279" spans="1:16" x14ac:dyDescent="0.25">
      <c r="A8279" t="str">
        <f>"1130232H00102    00"</f>
        <v>1130232H00102    00</v>
      </c>
      <c r="B8279" t="s">
        <v>18100</v>
      </c>
      <c r="C8279" t="s">
        <v>18101</v>
      </c>
      <c r="D8279" t="s">
        <v>20</v>
      </c>
      <c r="E8279" t="s">
        <v>39</v>
      </c>
      <c r="F8279">
        <v>0</v>
      </c>
      <c r="G8279">
        <v>0</v>
      </c>
      <c r="H8279">
        <v>1</v>
      </c>
      <c r="I8279" s="3">
        <v>160.35</v>
      </c>
      <c r="J8279" s="3">
        <v>0</v>
      </c>
      <c r="L8279">
        <v>1939</v>
      </c>
      <c r="M8279" t="s">
        <v>2874</v>
      </c>
      <c r="N8279" t="s">
        <v>30</v>
      </c>
      <c r="O8279" t="s">
        <v>31</v>
      </c>
      <c r="P8279" t="str">
        <f>"15221"</f>
        <v>15221</v>
      </c>
    </row>
    <row r="8280" spans="1:16" x14ac:dyDescent="0.25">
      <c r="A8280" t="str">
        <f>"1130232H00104    00"</f>
        <v>1130232H00104    00</v>
      </c>
      <c r="B8280" t="s">
        <v>18102</v>
      </c>
      <c r="C8280" t="s">
        <v>18103</v>
      </c>
      <c r="D8280" t="s">
        <v>20</v>
      </c>
      <c r="E8280" t="s">
        <v>39</v>
      </c>
      <c r="F8280">
        <v>0</v>
      </c>
      <c r="G8280">
        <v>0</v>
      </c>
      <c r="H8280">
        <v>4</v>
      </c>
      <c r="I8280" s="3">
        <v>1765.07</v>
      </c>
      <c r="J8280" s="3">
        <v>299.68</v>
      </c>
      <c r="L8280">
        <v>1935</v>
      </c>
      <c r="M8280" t="s">
        <v>2874</v>
      </c>
      <c r="N8280" t="s">
        <v>30</v>
      </c>
      <c r="O8280" t="s">
        <v>31</v>
      </c>
      <c r="P8280" t="str">
        <f>"15221"</f>
        <v>15221</v>
      </c>
    </row>
    <row r="8281" spans="1:16" x14ac:dyDescent="0.25">
      <c r="A8281" t="str">
        <f>"1130232H00108    00"</f>
        <v>1130232H00108    00</v>
      </c>
      <c r="B8281" t="s">
        <v>18104</v>
      </c>
      <c r="C8281" t="s">
        <v>18105</v>
      </c>
      <c r="D8281" t="s">
        <v>20</v>
      </c>
      <c r="E8281" t="s">
        <v>39</v>
      </c>
      <c r="F8281">
        <v>0</v>
      </c>
      <c r="G8281">
        <v>0</v>
      </c>
      <c r="H8281">
        <v>2</v>
      </c>
      <c r="I8281" s="3">
        <v>1077.77</v>
      </c>
      <c r="J8281" s="3">
        <v>8.26</v>
      </c>
      <c r="L8281">
        <v>41</v>
      </c>
      <c r="M8281" t="s">
        <v>18106</v>
      </c>
      <c r="N8281" t="s">
        <v>149</v>
      </c>
      <c r="O8281" t="s">
        <v>31</v>
      </c>
      <c r="P8281" t="str">
        <f>"15106"</f>
        <v>15106</v>
      </c>
    </row>
    <row r="8282" spans="1:16" x14ac:dyDescent="0.25">
      <c r="A8282" t="str">
        <f>"1130232H00110    00"</f>
        <v>1130232H00110    00</v>
      </c>
      <c r="B8282" t="s">
        <v>18107</v>
      </c>
      <c r="C8282" t="s">
        <v>18108</v>
      </c>
      <c r="D8282" t="s">
        <v>20</v>
      </c>
      <c r="E8282" t="s">
        <v>39</v>
      </c>
      <c r="F8282">
        <v>0</v>
      </c>
      <c r="G8282">
        <v>0</v>
      </c>
      <c r="H8282">
        <v>3</v>
      </c>
      <c r="I8282" s="3">
        <v>2127.44</v>
      </c>
      <c r="J8282" s="3">
        <v>8.09</v>
      </c>
      <c r="K8282" t="s">
        <v>18109</v>
      </c>
      <c r="L8282">
        <v>600</v>
      </c>
      <c r="M8282" t="s">
        <v>18110</v>
      </c>
      <c r="N8282" t="s">
        <v>1046</v>
      </c>
      <c r="O8282" t="s">
        <v>31</v>
      </c>
      <c r="P8282" t="str">
        <f>"15147"</f>
        <v>15147</v>
      </c>
    </row>
    <row r="8283" spans="1:16" x14ac:dyDescent="0.25">
      <c r="A8283" t="str">
        <f>"1130232H00116    00"</f>
        <v>1130232H00116    00</v>
      </c>
      <c r="B8283" t="s">
        <v>18111</v>
      </c>
      <c r="C8283" t="s">
        <v>18112</v>
      </c>
      <c r="D8283" t="s">
        <v>20</v>
      </c>
      <c r="E8283" t="s">
        <v>39</v>
      </c>
      <c r="F8283">
        <v>0</v>
      </c>
      <c r="G8283">
        <v>0</v>
      </c>
      <c r="H8283">
        <v>2</v>
      </c>
      <c r="I8283" s="3">
        <v>1353.28</v>
      </c>
      <c r="J8283" s="3">
        <v>0</v>
      </c>
      <c r="L8283">
        <v>1911</v>
      </c>
      <c r="M8283" t="s">
        <v>2874</v>
      </c>
      <c r="N8283" t="s">
        <v>30</v>
      </c>
      <c r="O8283" t="s">
        <v>31</v>
      </c>
      <c r="P8283" t="str">
        <f>"15221"</f>
        <v>15221</v>
      </c>
    </row>
    <row r="8284" spans="1:16" x14ac:dyDescent="0.25">
      <c r="A8284" t="str">
        <f>"1130232H00133    00"</f>
        <v>1130232H00133    00</v>
      </c>
      <c r="B8284" t="s">
        <v>18113</v>
      </c>
      <c r="C8284" t="s">
        <v>18114</v>
      </c>
      <c r="E8284" t="s">
        <v>39</v>
      </c>
      <c r="F8284">
        <v>0</v>
      </c>
      <c r="G8284">
        <v>0</v>
      </c>
      <c r="H8284">
        <v>3</v>
      </c>
      <c r="I8284" s="3">
        <v>386.91</v>
      </c>
      <c r="J8284" s="3">
        <v>67.87</v>
      </c>
      <c r="L8284">
        <v>1920</v>
      </c>
      <c r="M8284" t="s">
        <v>17954</v>
      </c>
      <c r="N8284" t="s">
        <v>30</v>
      </c>
      <c r="O8284" t="s">
        <v>31</v>
      </c>
      <c r="P8284" t="str">
        <f>"15221"</f>
        <v>15221</v>
      </c>
    </row>
    <row r="8285" spans="1:16" x14ac:dyDescent="0.25">
      <c r="A8285" t="str">
        <f>"1140052K00084020400"</f>
        <v>1140052K00084020400</v>
      </c>
      <c r="B8285" t="s">
        <v>18115</v>
      </c>
      <c r="C8285" t="s">
        <v>18116</v>
      </c>
      <c r="E8285" t="s">
        <v>39</v>
      </c>
      <c r="F8285">
        <v>0</v>
      </c>
      <c r="G8285">
        <v>0</v>
      </c>
      <c r="H8285">
        <v>1</v>
      </c>
      <c r="I8285" s="3">
        <v>1057.8399999999999</v>
      </c>
      <c r="J8285" s="3">
        <v>0</v>
      </c>
      <c r="K8285" t="s">
        <v>18117</v>
      </c>
      <c r="L8285">
        <v>6315</v>
      </c>
      <c r="M8285" t="s">
        <v>18118</v>
      </c>
      <c r="N8285" t="s">
        <v>30</v>
      </c>
      <c r="O8285" t="s">
        <v>31</v>
      </c>
      <c r="P8285" t="str">
        <f>"15217"</f>
        <v>15217</v>
      </c>
    </row>
    <row r="8286" spans="1:16" x14ac:dyDescent="0.25">
      <c r="A8286" t="str">
        <f>"1140052K00208    00"</f>
        <v>1140052K00208    00</v>
      </c>
      <c r="B8286" t="s">
        <v>18119</v>
      </c>
      <c r="C8286" t="s">
        <v>18120</v>
      </c>
      <c r="D8286" t="s">
        <v>20</v>
      </c>
      <c r="E8286" t="s">
        <v>39</v>
      </c>
      <c r="F8286">
        <v>0</v>
      </c>
      <c r="G8286">
        <v>0</v>
      </c>
      <c r="H8286">
        <v>7</v>
      </c>
      <c r="I8286" s="3">
        <v>43361.82</v>
      </c>
      <c r="J8286" s="3">
        <v>12038.97</v>
      </c>
      <c r="L8286">
        <v>1020</v>
      </c>
      <c r="M8286" t="s">
        <v>18121</v>
      </c>
      <c r="N8286" t="s">
        <v>30</v>
      </c>
      <c r="O8286" t="s">
        <v>31</v>
      </c>
      <c r="P8286" t="str">
        <f>"15213"</f>
        <v>15213</v>
      </c>
    </row>
    <row r="8287" spans="1:16" x14ac:dyDescent="0.25">
      <c r="A8287" t="str">
        <f>"1140052K00215    00"</f>
        <v>1140052K00215    00</v>
      </c>
      <c r="B8287" t="s">
        <v>2321</v>
      </c>
      <c r="C8287" t="s">
        <v>18122</v>
      </c>
      <c r="D8287" t="s">
        <v>20</v>
      </c>
      <c r="E8287" t="s">
        <v>39</v>
      </c>
      <c r="F8287">
        <v>0</v>
      </c>
      <c r="G8287">
        <v>0</v>
      </c>
      <c r="H8287">
        <v>2</v>
      </c>
      <c r="I8287" s="3">
        <v>341.7</v>
      </c>
      <c r="J8287" s="3">
        <v>3.8</v>
      </c>
      <c r="K8287" t="s">
        <v>2315</v>
      </c>
      <c r="L8287">
        <v>5000</v>
      </c>
      <c r="M8287" t="s">
        <v>208</v>
      </c>
      <c r="N8287" t="s">
        <v>30</v>
      </c>
      <c r="O8287" t="s">
        <v>31</v>
      </c>
      <c r="P8287" t="str">
        <f>"15213"</f>
        <v>15213</v>
      </c>
    </row>
    <row r="8288" spans="1:16" x14ac:dyDescent="0.25">
      <c r="A8288" t="str">
        <f>"1140052L00034010100"</f>
        <v>1140052L00034010100</v>
      </c>
      <c r="B8288" t="s">
        <v>18123</v>
      </c>
      <c r="C8288" t="s">
        <v>18124</v>
      </c>
      <c r="D8288" t="s">
        <v>20</v>
      </c>
      <c r="E8288" t="s">
        <v>39</v>
      </c>
      <c r="F8288">
        <v>0</v>
      </c>
      <c r="G8288">
        <v>0</v>
      </c>
      <c r="H8288">
        <v>3</v>
      </c>
      <c r="I8288" s="3">
        <v>4949.6499999999996</v>
      </c>
      <c r="J8288" s="3">
        <v>981.67</v>
      </c>
      <c r="K8288" t="s">
        <v>18125</v>
      </c>
      <c r="L8288">
        <v>5806</v>
      </c>
      <c r="M8288" t="s">
        <v>18126</v>
      </c>
      <c r="N8288" t="s">
        <v>30</v>
      </c>
      <c r="O8288" t="s">
        <v>31</v>
      </c>
      <c r="P8288" t="str">
        <f>"15217"</f>
        <v>15217</v>
      </c>
    </row>
    <row r="8289" spans="1:16" x14ac:dyDescent="0.25">
      <c r="A8289" t="str">
        <f>"1140052L00034010300"</f>
        <v>1140052L00034010300</v>
      </c>
      <c r="B8289" t="s">
        <v>18123</v>
      </c>
      <c r="C8289" t="s">
        <v>18127</v>
      </c>
      <c r="D8289" t="s">
        <v>20</v>
      </c>
      <c r="E8289" t="s">
        <v>39</v>
      </c>
      <c r="F8289">
        <v>0</v>
      </c>
      <c r="G8289">
        <v>0</v>
      </c>
      <c r="H8289">
        <v>2</v>
      </c>
      <c r="I8289" s="3">
        <v>2182.9699999999998</v>
      </c>
      <c r="J8289" s="3">
        <v>124.72</v>
      </c>
      <c r="K8289" t="s">
        <v>18125</v>
      </c>
      <c r="L8289">
        <v>5806</v>
      </c>
      <c r="M8289" t="s">
        <v>18126</v>
      </c>
      <c r="N8289" t="s">
        <v>30</v>
      </c>
      <c r="O8289" t="s">
        <v>31</v>
      </c>
      <c r="P8289" t="str">
        <f>"15217"</f>
        <v>15217</v>
      </c>
    </row>
    <row r="8290" spans="1:16" x14ac:dyDescent="0.25">
      <c r="A8290" t="str">
        <f>"1140052L00034020400"</f>
        <v>1140052L00034020400</v>
      </c>
      <c r="B8290" t="s">
        <v>18123</v>
      </c>
      <c r="C8290" t="s">
        <v>18128</v>
      </c>
      <c r="D8290" t="s">
        <v>20</v>
      </c>
      <c r="E8290" t="s">
        <v>39</v>
      </c>
      <c r="F8290">
        <v>0</v>
      </c>
      <c r="G8290">
        <v>0</v>
      </c>
      <c r="H8290">
        <v>1</v>
      </c>
      <c r="I8290" s="3">
        <v>1526</v>
      </c>
      <c r="J8290" s="3">
        <v>0</v>
      </c>
      <c r="K8290" t="s">
        <v>18125</v>
      </c>
      <c r="L8290">
        <v>5806</v>
      </c>
      <c r="M8290" t="s">
        <v>18126</v>
      </c>
      <c r="N8290" t="s">
        <v>30</v>
      </c>
      <c r="O8290" t="s">
        <v>31</v>
      </c>
      <c r="P8290" t="str">
        <f>"15217"</f>
        <v>15217</v>
      </c>
    </row>
    <row r="8291" spans="1:16" x14ac:dyDescent="0.25">
      <c r="A8291" t="str">
        <f>"1140052L00036031700"</f>
        <v>1140052L00036031700</v>
      </c>
      <c r="B8291" t="s">
        <v>18129</v>
      </c>
      <c r="C8291" t="s">
        <v>18130</v>
      </c>
      <c r="D8291" t="s">
        <v>20</v>
      </c>
      <c r="E8291" t="s">
        <v>39</v>
      </c>
      <c r="F8291">
        <v>0</v>
      </c>
      <c r="G8291">
        <v>0</v>
      </c>
      <c r="H8291">
        <v>1</v>
      </c>
      <c r="I8291" s="3">
        <v>62.82</v>
      </c>
      <c r="J8291" s="3">
        <v>0</v>
      </c>
      <c r="L8291">
        <v>918</v>
      </c>
      <c r="M8291" t="s">
        <v>4219</v>
      </c>
      <c r="N8291" t="s">
        <v>30</v>
      </c>
      <c r="O8291" t="s">
        <v>31</v>
      </c>
      <c r="P8291" t="str">
        <f>"15232"</f>
        <v>15232</v>
      </c>
    </row>
    <row r="8292" spans="1:16" x14ac:dyDescent="0.25">
      <c r="A8292" t="str">
        <f>"1140052L00036040700"</f>
        <v>1140052L00036040700</v>
      </c>
      <c r="B8292" t="s">
        <v>18131</v>
      </c>
      <c r="C8292" t="s">
        <v>18132</v>
      </c>
      <c r="E8292" t="s">
        <v>39</v>
      </c>
      <c r="F8292">
        <v>0</v>
      </c>
      <c r="G8292">
        <v>0</v>
      </c>
      <c r="H8292">
        <v>1</v>
      </c>
      <c r="I8292" s="3">
        <v>3163.96</v>
      </c>
      <c r="J8292" s="3">
        <v>0</v>
      </c>
      <c r="K8292" t="s">
        <v>18133</v>
      </c>
      <c r="L8292">
        <v>360</v>
      </c>
      <c r="M8292" t="s">
        <v>18134</v>
      </c>
      <c r="N8292" t="s">
        <v>18135</v>
      </c>
      <c r="O8292" t="s">
        <v>423</v>
      </c>
      <c r="P8292" t="str">
        <f>"07930"</f>
        <v>07930</v>
      </c>
    </row>
    <row r="8293" spans="1:16" x14ac:dyDescent="0.25">
      <c r="A8293" t="str">
        <f>"1140052L00036041900"</f>
        <v>1140052L00036041900</v>
      </c>
      <c r="B8293" t="s">
        <v>18136</v>
      </c>
      <c r="C8293" t="s">
        <v>18137</v>
      </c>
      <c r="D8293" t="s">
        <v>20</v>
      </c>
      <c r="E8293" t="s">
        <v>39</v>
      </c>
      <c r="F8293">
        <v>0</v>
      </c>
      <c r="G8293">
        <v>0</v>
      </c>
      <c r="H8293">
        <v>6</v>
      </c>
      <c r="I8293" s="3">
        <v>15560.53</v>
      </c>
      <c r="J8293" s="3">
        <v>3489.9</v>
      </c>
      <c r="L8293">
        <v>5100</v>
      </c>
      <c r="M8293" t="s">
        <v>18138</v>
      </c>
      <c r="N8293" t="s">
        <v>30</v>
      </c>
      <c r="O8293" t="s">
        <v>31</v>
      </c>
      <c r="P8293" t="str">
        <f>"15232"</f>
        <v>15232</v>
      </c>
    </row>
    <row r="8294" spans="1:16" x14ac:dyDescent="0.25">
      <c r="A8294" t="str">
        <f>"1140052L00036050400"</f>
        <v>1140052L00036050400</v>
      </c>
      <c r="B8294" t="s">
        <v>18139</v>
      </c>
      <c r="C8294" t="s">
        <v>18140</v>
      </c>
      <c r="D8294" t="s">
        <v>20</v>
      </c>
      <c r="E8294" t="s">
        <v>39</v>
      </c>
      <c r="F8294">
        <v>0</v>
      </c>
      <c r="G8294">
        <v>0</v>
      </c>
      <c r="H8294">
        <v>1</v>
      </c>
      <c r="I8294" s="3">
        <v>4094.09</v>
      </c>
      <c r="J8294" s="3">
        <v>0</v>
      </c>
      <c r="K8294" t="s">
        <v>18141</v>
      </c>
      <c r="L8294">
        <v>10851</v>
      </c>
      <c r="M8294" t="s">
        <v>18142</v>
      </c>
      <c r="N8294" t="s">
        <v>5390</v>
      </c>
      <c r="O8294" t="s">
        <v>370</v>
      </c>
      <c r="P8294" t="str">
        <f>"34108"</f>
        <v>34108</v>
      </c>
    </row>
    <row r="8295" spans="1:16" x14ac:dyDescent="0.25">
      <c r="A8295" t="str">
        <f>"1140052L00036051700"</f>
        <v>1140052L00036051700</v>
      </c>
      <c r="B8295" t="s">
        <v>18143</v>
      </c>
      <c r="C8295" t="s">
        <v>18144</v>
      </c>
      <c r="D8295" t="s">
        <v>33</v>
      </c>
      <c r="E8295" t="s">
        <v>39</v>
      </c>
      <c r="F8295">
        <v>0</v>
      </c>
      <c r="G8295">
        <v>0</v>
      </c>
      <c r="H8295">
        <v>2</v>
      </c>
      <c r="I8295" s="3">
        <v>2172.59</v>
      </c>
      <c r="J8295" s="3">
        <v>90.52</v>
      </c>
      <c r="K8295" t="s">
        <v>18145</v>
      </c>
      <c r="L8295">
        <v>10</v>
      </c>
      <c r="M8295" t="s">
        <v>18146</v>
      </c>
      <c r="N8295" t="s">
        <v>16695</v>
      </c>
      <c r="O8295" t="s">
        <v>495</v>
      </c>
      <c r="P8295" t="str">
        <f>"92603"</f>
        <v>92603</v>
      </c>
    </row>
    <row r="8296" spans="1:16" x14ac:dyDescent="0.25">
      <c r="A8296" t="str">
        <f>"1140052L00073020700"</f>
        <v>1140052L00073020700</v>
      </c>
      <c r="B8296" t="s">
        <v>18147</v>
      </c>
      <c r="C8296" t="s">
        <v>18148</v>
      </c>
      <c r="D8296" t="s">
        <v>20</v>
      </c>
      <c r="E8296" t="s">
        <v>39</v>
      </c>
      <c r="F8296">
        <v>0</v>
      </c>
      <c r="G8296">
        <v>0</v>
      </c>
      <c r="H8296">
        <v>1</v>
      </c>
      <c r="I8296" s="3">
        <v>4433.3599999999997</v>
      </c>
      <c r="J8296" s="3">
        <v>0</v>
      </c>
      <c r="L8296">
        <v>5035</v>
      </c>
      <c r="M8296" t="s">
        <v>174</v>
      </c>
      <c r="N8296" t="s">
        <v>30</v>
      </c>
      <c r="O8296" t="s">
        <v>31</v>
      </c>
      <c r="P8296" t="str">
        <f>"15232"</f>
        <v>15232</v>
      </c>
    </row>
    <row r="8297" spans="1:16" x14ac:dyDescent="0.25">
      <c r="A8297" t="str">
        <f>"1140052L00073021000"</f>
        <v>1140052L00073021000</v>
      </c>
      <c r="B8297" t="s">
        <v>18149</v>
      </c>
      <c r="C8297" t="s">
        <v>18150</v>
      </c>
      <c r="D8297" t="s">
        <v>20</v>
      </c>
      <c r="E8297" t="s">
        <v>39</v>
      </c>
      <c r="F8297">
        <v>0</v>
      </c>
      <c r="G8297">
        <v>0</v>
      </c>
      <c r="H8297">
        <v>2</v>
      </c>
      <c r="I8297" s="3">
        <v>5038.3999999999996</v>
      </c>
      <c r="J8297" s="3">
        <v>0</v>
      </c>
      <c r="L8297">
        <v>5030</v>
      </c>
      <c r="M8297" t="s">
        <v>174</v>
      </c>
      <c r="N8297" t="s">
        <v>30</v>
      </c>
      <c r="O8297" t="s">
        <v>31</v>
      </c>
      <c r="P8297" t="str">
        <f>"15232"</f>
        <v>15232</v>
      </c>
    </row>
    <row r="8298" spans="1:16" x14ac:dyDescent="0.25">
      <c r="A8298" t="str">
        <f>"1140052L00080    00"</f>
        <v>1140052L00080    00</v>
      </c>
      <c r="B8298" t="s">
        <v>18151</v>
      </c>
      <c r="C8298" t="s">
        <v>18152</v>
      </c>
      <c r="E8298" t="s">
        <v>39</v>
      </c>
      <c r="F8298">
        <v>0</v>
      </c>
      <c r="G8298">
        <v>0</v>
      </c>
      <c r="H8298">
        <v>1</v>
      </c>
      <c r="I8298" s="3">
        <v>9961.56</v>
      </c>
      <c r="J8298" s="3">
        <v>2739.32</v>
      </c>
      <c r="K8298" t="s">
        <v>18153</v>
      </c>
      <c r="L8298">
        <v>5040</v>
      </c>
      <c r="M8298" t="s">
        <v>18154</v>
      </c>
      <c r="N8298" t="s">
        <v>30</v>
      </c>
      <c r="O8298" t="s">
        <v>31</v>
      </c>
      <c r="P8298" t="str">
        <f>"15213"</f>
        <v>15213</v>
      </c>
    </row>
    <row r="8299" spans="1:16" x14ac:dyDescent="0.25">
      <c r="A8299" t="str">
        <f>"1140052L00126    00"</f>
        <v>1140052L00126    00</v>
      </c>
      <c r="B8299" t="s">
        <v>18155</v>
      </c>
      <c r="C8299" t="s">
        <v>18156</v>
      </c>
      <c r="D8299" t="s">
        <v>20</v>
      </c>
      <c r="E8299" t="s">
        <v>39</v>
      </c>
      <c r="F8299">
        <v>0</v>
      </c>
      <c r="G8299">
        <v>0</v>
      </c>
      <c r="H8299">
        <v>1</v>
      </c>
      <c r="I8299" s="3">
        <v>2181.8000000000002</v>
      </c>
      <c r="J8299" s="3">
        <v>218.16</v>
      </c>
      <c r="K8299" t="s">
        <v>18157</v>
      </c>
      <c r="L8299">
        <v>1074</v>
      </c>
      <c r="M8299" t="s">
        <v>7220</v>
      </c>
      <c r="N8299" t="s">
        <v>30</v>
      </c>
      <c r="O8299" t="s">
        <v>31</v>
      </c>
      <c r="P8299" t="str">
        <f>"15213"</f>
        <v>15213</v>
      </c>
    </row>
    <row r="8300" spans="1:16" x14ac:dyDescent="0.25">
      <c r="A8300" t="str">
        <f>"1140052L00299    00"</f>
        <v>1140052L00299    00</v>
      </c>
      <c r="B8300" t="s">
        <v>18158</v>
      </c>
      <c r="C8300" t="s">
        <v>18159</v>
      </c>
      <c r="E8300" t="s">
        <v>39</v>
      </c>
      <c r="F8300">
        <v>0</v>
      </c>
      <c r="G8300">
        <v>0</v>
      </c>
      <c r="H8300">
        <v>2</v>
      </c>
      <c r="I8300" s="3">
        <v>26624.29</v>
      </c>
      <c r="J8300" s="3">
        <v>2638.43</v>
      </c>
      <c r="L8300">
        <v>1073</v>
      </c>
      <c r="M8300" t="s">
        <v>18160</v>
      </c>
      <c r="N8300" t="s">
        <v>30</v>
      </c>
      <c r="O8300" t="s">
        <v>31</v>
      </c>
      <c r="P8300" t="str">
        <f>"15213"</f>
        <v>15213</v>
      </c>
    </row>
    <row r="8301" spans="1:16" x14ac:dyDescent="0.25">
      <c r="A8301" t="str">
        <f>"1140052M00023    00"</f>
        <v>1140052M00023    00</v>
      </c>
      <c r="B8301" t="s">
        <v>18161</v>
      </c>
      <c r="C8301" t="s">
        <v>18162</v>
      </c>
      <c r="E8301" t="s">
        <v>39</v>
      </c>
      <c r="F8301">
        <v>0</v>
      </c>
      <c r="G8301">
        <v>0</v>
      </c>
      <c r="H8301">
        <v>1</v>
      </c>
      <c r="I8301" s="3">
        <v>46.08</v>
      </c>
      <c r="J8301" s="3">
        <v>14.59</v>
      </c>
      <c r="L8301">
        <v>138</v>
      </c>
      <c r="M8301" t="s">
        <v>18163</v>
      </c>
      <c r="N8301" t="s">
        <v>30</v>
      </c>
      <c r="O8301" t="s">
        <v>31</v>
      </c>
      <c r="P8301" t="str">
        <f>"15206"</f>
        <v>15206</v>
      </c>
    </row>
    <row r="8302" spans="1:16" x14ac:dyDescent="0.25">
      <c r="A8302" t="str">
        <f>"1140052M00026    00"</f>
        <v>1140052M00026    00</v>
      </c>
      <c r="B8302" t="s">
        <v>18164</v>
      </c>
      <c r="C8302" t="s">
        <v>18165</v>
      </c>
      <c r="E8302" t="s">
        <v>39</v>
      </c>
      <c r="F8302">
        <v>0</v>
      </c>
      <c r="G8302">
        <v>0</v>
      </c>
      <c r="H8302">
        <v>1</v>
      </c>
      <c r="I8302" s="3">
        <v>1465.17</v>
      </c>
      <c r="J8302" s="3">
        <v>402.9</v>
      </c>
      <c r="K8302" t="s">
        <v>5334</v>
      </c>
      <c r="L8302">
        <v>3001</v>
      </c>
      <c r="M8302" t="s">
        <v>330</v>
      </c>
      <c r="N8302" t="s">
        <v>331</v>
      </c>
      <c r="O8302" t="s">
        <v>108</v>
      </c>
      <c r="P8302" t="str">
        <f>"75063"</f>
        <v>75063</v>
      </c>
    </row>
    <row r="8303" spans="1:16" x14ac:dyDescent="0.25">
      <c r="A8303" t="str">
        <f>"1140052M00082    00"</f>
        <v>1140052M00082    00</v>
      </c>
      <c r="B8303" t="s">
        <v>18166</v>
      </c>
      <c r="C8303" t="s">
        <v>18167</v>
      </c>
      <c r="D8303" t="s">
        <v>20</v>
      </c>
      <c r="E8303" t="s">
        <v>39</v>
      </c>
      <c r="F8303">
        <v>0</v>
      </c>
      <c r="G8303">
        <v>0</v>
      </c>
      <c r="H8303">
        <v>1</v>
      </c>
      <c r="I8303" s="3">
        <v>6756.78</v>
      </c>
      <c r="J8303" s="3">
        <v>0</v>
      </c>
      <c r="K8303" t="s">
        <v>18168</v>
      </c>
      <c r="L8303">
        <v>5035</v>
      </c>
      <c r="M8303" t="s">
        <v>174</v>
      </c>
      <c r="N8303" t="s">
        <v>30</v>
      </c>
      <c r="O8303" t="s">
        <v>31</v>
      </c>
      <c r="P8303" t="str">
        <f>"15232"</f>
        <v>15232</v>
      </c>
    </row>
    <row r="8304" spans="1:16" x14ac:dyDescent="0.25">
      <c r="A8304" t="str">
        <f>"1140052M00106    00"</f>
        <v>1140052M00106    00</v>
      </c>
      <c r="B8304" t="s">
        <v>18169</v>
      </c>
      <c r="C8304" t="s">
        <v>18170</v>
      </c>
      <c r="D8304" t="s">
        <v>20</v>
      </c>
      <c r="E8304" t="s">
        <v>39</v>
      </c>
      <c r="F8304">
        <v>0</v>
      </c>
      <c r="G8304">
        <v>0</v>
      </c>
      <c r="H8304">
        <v>1</v>
      </c>
      <c r="I8304" s="3">
        <v>249.28</v>
      </c>
      <c r="J8304" s="3">
        <v>0</v>
      </c>
      <c r="K8304" t="s">
        <v>445</v>
      </c>
      <c r="L8304">
        <v>1</v>
      </c>
      <c r="M8304" t="s">
        <v>1163</v>
      </c>
      <c r="N8304" t="s">
        <v>1164</v>
      </c>
      <c r="O8304" t="s">
        <v>108</v>
      </c>
      <c r="P8304" t="str">
        <f>"76262"</f>
        <v>76262</v>
      </c>
    </row>
    <row r="8305" spans="1:16" x14ac:dyDescent="0.25">
      <c r="A8305" t="str">
        <f>"1140052M00116    00"</f>
        <v>1140052M00116    00</v>
      </c>
      <c r="B8305" t="s">
        <v>18171</v>
      </c>
      <c r="C8305" t="s">
        <v>18172</v>
      </c>
      <c r="E8305" t="s">
        <v>39</v>
      </c>
      <c r="F8305">
        <v>0</v>
      </c>
      <c r="G8305">
        <v>0</v>
      </c>
      <c r="H8305">
        <v>1</v>
      </c>
      <c r="I8305" s="3">
        <v>5102.37</v>
      </c>
      <c r="J8305" s="3">
        <v>0</v>
      </c>
      <c r="K8305" t="s">
        <v>18173</v>
      </c>
      <c r="L8305">
        <v>1009</v>
      </c>
      <c r="M8305" t="s">
        <v>18174</v>
      </c>
      <c r="N8305" t="s">
        <v>30</v>
      </c>
      <c r="O8305" t="s">
        <v>31</v>
      </c>
      <c r="P8305" t="str">
        <f>"15217"</f>
        <v>15217</v>
      </c>
    </row>
    <row r="8306" spans="1:16" x14ac:dyDescent="0.25">
      <c r="A8306" t="str">
        <f>"1140052M00170    00"</f>
        <v>1140052M00170    00</v>
      </c>
      <c r="B8306" t="s">
        <v>18175</v>
      </c>
      <c r="C8306" t="s">
        <v>18176</v>
      </c>
      <c r="E8306" t="s">
        <v>39</v>
      </c>
      <c r="F8306">
        <v>0</v>
      </c>
      <c r="G8306">
        <v>0</v>
      </c>
      <c r="H8306">
        <v>2</v>
      </c>
      <c r="I8306" s="3">
        <v>1723.02</v>
      </c>
      <c r="J8306" s="3">
        <v>86.15</v>
      </c>
      <c r="K8306" t="s">
        <v>4933</v>
      </c>
      <c r="L8306">
        <v>3001</v>
      </c>
      <c r="M8306" t="s">
        <v>330</v>
      </c>
      <c r="N8306" t="s">
        <v>331</v>
      </c>
      <c r="O8306" t="s">
        <v>108</v>
      </c>
      <c r="P8306" t="str">
        <f>"75063"</f>
        <v>75063</v>
      </c>
    </row>
    <row r="8307" spans="1:16" x14ac:dyDescent="0.25">
      <c r="A8307" t="str">
        <f>"1140052R00120    00"</f>
        <v>1140052R00120    00</v>
      </c>
      <c r="B8307" t="s">
        <v>18177</v>
      </c>
      <c r="C8307" t="s">
        <v>18178</v>
      </c>
      <c r="D8307" t="s">
        <v>57</v>
      </c>
      <c r="E8307" t="s">
        <v>39</v>
      </c>
      <c r="F8307">
        <v>0</v>
      </c>
      <c r="G8307">
        <v>0</v>
      </c>
      <c r="H8307">
        <v>2</v>
      </c>
      <c r="I8307" s="3">
        <v>5348.84</v>
      </c>
      <c r="J8307" s="3">
        <v>450.41</v>
      </c>
      <c r="L8307">
        <v>1083</v>
      </c>
      <c r="M8307" t="s">
        <v>18160</v>
      </c>
      <c r="N8307" t="s">
        <v>30</v>
      </c>
      <c r="O8307" t="s">
        <v>31</v>
      </c>
      <c r="P8307" t="str">
        <f>"15213"</f>
        <v>15213</v>
      </c>
    </row>
    <row r="8308" spans="1:16" x14ac:dyDescent="0.25">
      <c r="A8308" t="str">
        <f>"1140052R00124    00"</f>
        <v>1140052R00124    00</v>
      </c>
      <c r="B8308" t="s">
        <v>18179</v>
      </c>
      <c r="C8308" t="s">
        <v>18180</v>
      </c>
      <c r="D8308" t="s">
        <v>20</v>
      </c>
      <c r="E8308" t="s">
        <v>39</v>
      </c>
      <c r="F8308">
        <v>0</v>
      </c>
      <c r="G8308">
        <v>0</v>
      </c>
      <c r="H8308">
        <v>3</v>
      </c>
      <c r="I8308" s="3">
        <v>6884.46</v>
      </c>
      <c r="J8308" s="3">
        <v>57.36</v>
      </c>
      <c r="K8308" t="s">
        <v>18181</v>
      </c>
      <c r="L8308">
        <v>19132</v>
      </c>
      <c r="M8308" t="s">
        <v>18182</v>
      </c>
      <c r="N8308" t="s">
        <v>18183</v>
      </c>
      <c r="O8308" t="s">
        <v>495</v>
      </c>
      <c r="P8308" t="str">
        <f>"95014"</f>
        <v>95014</v>
      </c>
    </row>
    <row r="8309" spans="1:16" x14ac:dyDescent="0.25">
      <c r="A8309" t="str">
        <f>"1140052S00049    00"</f>
        <v>1140052S00049    00</v>
      </c>
      <c r="B8309" t="s">
        <v>18184</v>
      </c>
      <c r="C8309" t="s">
        <v>18185</v>
      </c>
      <c r="E8309" t="s">
        <v>39</v>
      </c>
      <c r="F8309">
        <v>0</v>
      </c>
      <c r="G8309">
        <v>0</v>
      </c>
      <c r="H8309">
        <v>2</v>
      </c>
      <c r="I8309" s="3">
        <v>3724.34</v>
      </c>
      <c r="J8309" s="3">
        <v>155.18</v>
      </c>
      <c r="K8309" t="s">
        <v>18186</v>
      </c>
      <c r="L8309">
        <v>17</v>
      </c>
      <c r="M8309" t="s">
        <v>18187</v>
      </c>
      <c r="N8309" t="s">
        <v>18188</v>
      </c>
      <c r="O8309" t="s">
        <v>423</v>
      </c>
      <c r="P8309" t="str">
        <f>"08550"</f>
        <v>08550</v>
      </c>
    </row>
    <row r="8310" spans="1:16" x14ac:dyDescent="0.25">
      <c r="A8310" t="str">
        <f>"1140052S00089    00"</f>
        <v>1140052S00089    00</v>
      </c>
      <c r="B8310" t="s">
        <v>18189</v>
      </c>
      <c r="C8310" t="s">
        <v>18190</v>
      </c>
      <c r="D8310" t="s">
        <v>20</v>
      </c>
      <c r="E8310" t="s">
        <v>39</v>
      </c>
      <c r="F8310">
        <v>0</v>
      </c>
      <c r="G8310">
        <v>0</v>
      </c>
      <c r="H8310">
        <v>1</v>
      </c>
      <c r="I8310" s="3">
        <v>221.22</v>
      </c>
      <c r="J8310" s="3">
        <v>0</v>
      </c>
      <c r="L8310">
        <v>5249</v>
      </c>
      <c r="M8310" t="s">
        <v>5295</v>
      </c>
      <c r="N8310" t="s">
        <v>30</v>
      </c>
      <c r="O8310" t="s">
        <v>31</v>
      </c>
      <c r="P8310" t="str">
        <f>"15217"</f>
        <v>15217</v>
      </c>
    </row>
    <row r="8311" spans="1:16" x14ac:dyDescent="0.25">
      <c r="A8311" t="str">
        <f>"1140052S00107    00"</f>
        <v>1140052S00107    00</v>
      </c>
      <c r="B8311" t="s">
        <v>18191</v>
      </c>
      <c r="C8311" t="s">
        <v>18192</v>
      </c>
      <c r="E8311" t="s">
        <v>39</v>
      </c>
      <c r="F8311">
        <v>0</v>
      </c>
      <c r="G8311">
        <v>0</v>
      </c>
      <c r="H8311">
        <v>1</v>
      </c>
      <c r="I8311" s="3">
        <v>4243.51</v>
      </c>
      <c r="J8311" s="3">
        <v>1166.9100000000001</v>
      </c>
      <c r="K8311" t="s">
        <v>7145</v>
      </c>
      <c r="L8311">
        <v>3001</v>
      </c>
      <c r="M8311" t="s">
        <v>330</v>
      </c>
      <c r="N8311" t="s">
        <v>331</v>
      </c>
      <c r="O8311" t="s">
        <v>108</v>
      </c>
      <c r="P8311" t="str">
        <f>"75063"</f>
        <v>75063</v>
      </c>
    </row>
    <row r="8312" spans="1:16" x14ac:dyDescent="0.25">
      <c r="A8312" t="str">
        <f>"1140052S00223    00"</f>
        <v>1140052S00223    00</v>
      </c>
      <c r="B8312" t="s">
        <v>18193</v>
      </c>
      <c r="C8312" t="s">
        <v>18194</v>
      </c>
      <c r="E8312" t="s">
        <v>39</v>
      </c>
      <c r="F8312">
        <v>0</v>
      </c>
      <c r="G8312">
        <v>0</v>
      </c>
      <c r="H8312">
        <v>1</v>
      </c>
      <c r="I8312" s="3">
        <v>4607.46</v>
      </c>
      <c r="J8312" s="3">
        <v>1267</v>
      </c>
      <c r="K8312" t="s">
        <v>10376</v>
      </c>
      <c r="M8312" t="s">
        <v>9730</v>
      </c>
      <c r="N8312" t="s">
        <v>9731</v>
      </c>
      <c r="O8312" t="s">
        <v>108</v>
      </c>
      <c r="P8312" t="str">
        <f>"75019"</f>
        <v>75019</v>
      </c>
    </row>
    <row r="8313" spans="1:16" x14ac:dyDescent="0.25">
      <c r="A8313" t="str">
        <f>"1140052S00230    00"</f>
        <v>1140052S00230    00</v>
      </c>
      <c r="B8313" t="s">
        <v>18195</v>
      </c>
      <c r="C8313" t="s">
        <v>18196</v>
      </c>
      <c r="E8313" t="s">
        <v>39</v>
      </c>
      <c r="F8313">
        <v>0</v>
      </c>
      <c r="G8313">
        <v>0</v>
      </c>
      <c r="H8313">
        <v>2</v>
      </c>
      <c r="I8313" s="3">
        <v>1452.05</v>
      </c>
      <c r="J8313" s="3">
        <v>99.29</v>
      </c>
      <c r="K8313" t="s">
        <v>881</v>
      </c>
      <c r="L8313">
        <v>3001</v>
      </c>
      <c r="M8313" t="s">
        <v>330</v>
      </c>
      <c r="N8313" t="s">
        <v>331</v>
      </c>
      <c r="O8313" t="s">
        <v>108</v>
      </c>
      <c r="P8313" t="str">
        <f>"75063"</f>
        <v>75063</v>
      </c>
    </row>
    <row r="8314" spans="1:16" x14ac:dyDescent="0.25">
      <c r="A8314" t="str">
        <f>"1140052S00264    00"</f>
        <v>1140052S00264    00</v>
      </c>
      <c r="B8314" t="s">
        <v>18197</v>
      </c>
      <c r="C8314" t="s">
        <v>18198</v>
      </c>
      <c r="E8314" t="s">
        <v>39</v>
      </c>
      <c r="F8314">
        <v>0</v>
      </c>
      <c r="G8314">
        <v>0</v>
      </c>
      <c r="H8314">
        <v>1</v>
      </c>
      <c r="I8314" s="3">
        <v>5575.68</v>
      </c>
      <c r="J8314" s="3">
        <v>2648.35</v>
      </c>
      <c r="K8314" t="s">
        <v>18199</v>
      </c>
      <c r="L8314">
        <v>1215</v>
      </c>
      <c r="M8314" t="s">
        <v>18200</v>
      </c>
      <c r="N8314" t="s">
        <v>30</v>
      </c>
      <c r="O8314" t="s">
        <v>31</v>
      </c>
      <c r="P8314" t="str">
        <f>"15217"</f>
        <v>15217</v>
      </c>
    </row>
    <row r="8315" spans="1:16" x14ac:dyDescent="0.25">
      <c r="A8315" t="str">
        <f>"1140052S00271    00"</f>
        <v>1140052S00271    00</v>
      </c>
      <c r="B8315" t="s">
        <v>18201</v>
      </c>
      <c r="C8315" t="s">
        <v>18202</v>
      </c>
      <c r="E8315" t="s">
        <v>39</v>
      </c>
      <c r="F8315">
        <v>0</v>
      </c>
      <c r="G8315">
        <v>0</v>
      </c>
      <c r="H8315">
        <v>1</v>
      </c>
      <c r="I8315" s="3">
        <v>9626.76</v>
      </c>
      <c r="J8315" s="3">
        <v>4813.1899999999996</v>
      </c>
      <c r="K8315" t="s">
        <v>2302</v>
      </c>
      <c r="L8315">
        <v>3001</v>
      </c>
      <c r="M8315" t="s">
        <v>330</v>
      </c>
      <c r="N8315" t="s">
        <v>331</v>
      </c>
      <c r="O8315" t="s">
        <v>108</v>
      </c>
      <c r="P8315" t="str">
        <f>"75063"</f>
        <v>75063</v>
      </c>
    </row>
    <row r="8316" spans="1:16" x14ac:dyDescent="0.25">
      <c r="A8316" t="str">
        <f>"1140053C00024    00"</f>
        <v>1140053C00024    00</v>
      </c>
      <c r="B8316" t="s">
        <v>18203</v>
      </c>
      <c r="C8316" t="s">
        <v>18204</v>
      </c>
      <c r="E8316" t="s">
        <v>39</v>
      </c>
      <c r="F8316">
        <v>0</v>
      </c>
      <c r="G8316">
        <v>0</v>
      </c>
      <c r="H8316">
        <v>1</v>
      </c>
      <c r="I8316" s="3">
        <v>112.9</v>
      </c>
      <c r="J8316" s="3">
        <v>22.58</v>
      </c>
      <c r="L8316">
        <v>206</v>
      </c>
      <c r="M8316" t="s">
        <v>18205</v>
      </c>
      <c r="N8316" t="s">
        <v>30</v>
      </c>
      <c r="O8316" t="s">
        <v>31</v>
      </c>
      <c r="P8316" t="str">
        <f>"15217"</f>
        <v>15217</v>
      </c>
    </row>
    <row r="8317" spans="1:16" x14ac:dyDescent="0.25">
      <c r="A8317" t="str">
        <f>"1140053C00200    00"</f>
        <v>1140053C00200    00</v>
      </c>
      <c r="B8317" t="s">
        <v>18206</v>
      </c>
      <c r="C8317" t="s">
        <v>18207</v>
      </c>
      <c r="D8317" t="s">
        <v>20</v>
      </c>
      <c r="E8317" t="s">
        <v>39</v>
      </c>
      <c r="F8317">
        <v>0</v>
      </c>
      <c r="G8317">
        <v>0</v>
      </c>
      <c r="H8317">
        <v>2</v>
      </c>
      <c r="I8317" s="3">
        <v>2717.98</v>
      </c>
      <c r="J8317" s="3">
        <v>0</v>
      </c>
      <c r="K8317" t="s">
        <v>18208</v>
      </c>
      <c r="L8317">
        <v>107</v>
      </c>
      <c r="M8317" t="s">
        <v>18209</v>
      </c>
      <c r="N8317" t="s">
        <v>903</v>
      </c>
      <c r="O8317" t="s">
        <v>31</v>
      </c>
      <c r="P8317" t="str">
        <f>"15136"</f>
        <v>15136</v>
      </c>
    </row>
    <row r="8318" spans="1:16" x14ac:dyDescent="0.25">
      <c r="A8318" t="str">
        <f>"1140053D00076    00"</f>
        <v>1140053D00076    00</v>
      </c>
      <c r="B8318" t="s">
        <v>18210</v>
      </c>
      <c r="C8318" t="s">
        <v>18211</v>
      </c>
      <c r="E8318" t="s">
        <v>39</v>
      </c>
      <c r="F8318">
        <v>0</v>
      </c>
      <c r="G8318">
        <v>0</v>
      </c>
      <c r="H8318">
        <v>2</v>
      </c>
      <c r="I8318" s="3">
        <v>811.98</v>
      </c>
      <c r="J8318" s="3">
        <v>6.77</v>
      </c>
      <c r="K8318" t="s">
        <v>18212</v>
      </c>
      <c r="L8318">
        <v>601</v>
      </c>
      <c r="M8318" t="s">
        <v>18213</v>
      </c>
      <c r="N8318" t="s">
        <v>18214</v>
      </c>
      <c r="O8318" t="s">
        <v>3486</v>
      </c>
      <c r="P8318" t="str">
        <f>"60559"</f>
        <v>60559</v>
      </c>
    </row>
    <row r="8319" spans="1:16" x14ac:dyDescent="0.25">
      <c r="A8319" t="str">
        <f>"1140053D00104    00"</f>
        <v>1140053D00104    00</v>
      </c>
      <c r="B8319" t="s">
        <v>18215</v>
      </c>
      <c r="C8319" t="s">
        <v>18216</v>
      </c>
      <c r="E8319" t="s">
        <v>39</v>
      </c>
      <c r="F8319">
        <v>0</v>
      </c>
      <c r="G8319">
        <v>0</v>
      </c>
      <c r="H8319">
        <v>2</v>
      </c>
      <c r="I8319" s="3">
        <v>6961.56</v>
      </c>
      <c r="J8319" s="3">
        <v>2435.84</v>
      </c>
      <c r="K8319" t="s">
        <v>391</v>
      </c>
      <c r="L8319">
        <v>1</v>
      </c>
      <c r="M8319" t="s">
        <v>392</v>
      </c>
      <c r="N8319" t="s">
        <v>393</v>
      </c>
      <c r="O8319" t="s">
        <v>394</v>
      </c>
      <c r="P8319" t="str">
        <f>"50328"</f>
        <v>50328</v>
      </c>
    </row>
    <row r="8320" spans="1:16" x14ac:dyDescent="0.25">
      <c r="A8320" t="str">
        <f>"1140053D00122    00"</f>
        <v>1140053D00122    00</v>
      </c>
      <c r="B8320" t="s">
        <v>18217</v>
      </c>
      <c r="C8320" t="s">
        <v>18218</v>
      </c>
      <c r="E8320" t="s">
        <v>39</v>
      </c>
      <c r="F8320">
        <v>0</v>
      </c>
      <c r="G8320">
        <v>0</v>
      </c>
      <c r="H8320">
        <v>2</v>
      </c>
      <c r="I8320" s="3">
        <v>1084.1500000000001</v>
      </c>
      <c r="J8320" s="3">
        <v>74.13</v>
      </c>
      <c r="K8320" t="s">
        <v>8530</v>
      </c>
      <c r="L8320">
        <v>6100</v>
      </c>
      <c r="M8320" t="s">
        <v>9949</v>
      </c>
      <c r="N8320" t="s">
        <v>8009</v>
      </c>
      <c r="O8320" t="s">
        <v>2097</v>
      </c>
      <c r="P8320" t="str">
        <f>"37069"</f>
        <v>37069</v>
      </c>
    </row>
    <row r="8321" spans="1:16" x14ac:dyDescent="0.25">
      <c r="A8321" t="str">
        <f>"1140053D00124    00"</f>
        <v>1140053D00124    00</v>
      </c>
      <c r="B8321" t="s">
        <v>18219</v>
      </c>
      <c r="C8321" t="s">
        <v>18220</v>
      </c>
      <c r="D8321" t="s">
        <v>20</v>
      </c>
      <c r="E8321" t="s">
        <v>39</v>
      </c>
      <c r="F8321">
        <v>0</v>
      </c>
      <c r="G8321">
        <v>0</v>
      </c>
      <c r="H8321">
        <v>1</v>
      </c>
      <c r="I8321" s="3">
        <v>600</v>
      </c>
      <c r="J8321" s="3">
        <v>0</v>
      </c>
      <c r="L8321">
        <v>1321</v>
      </c>
      <c r="M8321" t="s">
        <v>18221</v>
      </c>
      <c r="N8321" t="s">
        <v>30</v>
      </c>
      <c r="O8321" t="s">
        <v>31</v>
      </c>
      <c r="P8321" t="str">
        <f>"15217"</f>
        <v>15217</v>
      </c>
    </row>
    <row r="8322" spans="1:16" x14ac:dyDescent="0.25">
      <c r="A8322" t="str">
        <f>"1140053D00154    00"</f>
        <v>1140053D00154    00</v>
      </c>
      <c r="B8322" t="s">
        <v>18222</v>
      </c>
      <c r="C8322" t="s">
        <v>18223</v>
      </c>
      <c r="E8322" t="s">
        <v>39</v>
      </c>
      <c r="F8322">
        <v>0</v>
      </c>
      <c r="G8322">
        <v>0</v>
      </c>
      <c r="H8322">
        <v>1</v>
      </c>
      <c r="I8322" s="3">
        <v>3580.8</v>
      </c>
      <c r="J8322" s="3">
        <v>1133.8800000000001</v>
      </c>
      <c r="K8322" t="s">
        <v>4424</v>
      </c>
      <c r="L8322">
        <v>3001</v>
      </c>
      <c r="M8322" t="s">
        <v>330</v>
      </c>
      <c r="N8322" t="s">
        <v>331</v>
      </c>
      <c r="O8322" t="s">
        <v>108</v>
      </c>
      <c r="P8322" t="str">
        <f>"75063"</f>
        <v>75063</v>
      </c>
    </row>
    <row r="8323" spans="1:16" x14ac:dyDescent="0.25">
      <c r="A8323" t="str">
        <f>"1140053D00173    00"</f>
        <v>1140053D00173    00</v>
      </c>
      <c r="B8323" t="s">
        <v>18224</v>
      </c>
      <c r="C8323" t="s">
        <v>18225</v>
      </c>
      <c r="E8323" t="s">
        <v>39</v>
      </c>
      <c r="F8323">
        <v>0</v>
      </c>
      <c r="G8323">
        <v>0</v>
      </c>
      <c r="H8323">
        <v>1</v>
      </c>
      <c r="I8323" s="3">
        <v>2174.37</v>
      </c>
      <c r="J8323" s="3">
        <v>1032.78</v>
      </c>
      <c r="K8323" t="s">
        <v>400</v>
      </c>
      <c r="L8323">
        <v>3001</v>
      </c>
      <c r="M8323" t="s">
        <v>330</v>
      </c>
      <c r="N8323" t="s">
        <v>331</v>
      </c>
      <c r="O8323" t="s">
        <v>108</v>
      </c>
      <c r="P8323" t="str">
        <f>"75063"</f>
        <v>75063</v>
      </c>
    </row>
    <row r="8324" spans="1:16" x14ac:dyDescent="0.25">
      <c r="A8324" t="str">
        <f>"1140053D00229    00"</f>
        <v>1140053D00229    00</v>
      </c>
      <c r="B8324" t="s">
        <v>18226</v>
      </c>
      <c r="C8324" t="s">
        <v>18227</v>
      </c>
      <c r="D8324" t="s">
        <v>20</v>
      </c>
      <c r="E8324" t="s">
        <v>39</v>
      </c>
      <c r="F8324">
        <v>0</v>
      </c>
      <c r="G8324">
        <v>0</v>
      </c>
      <c r="H8324">
        <v>5</v>
      </c>
      <c r="I8324" s="3">
        <v>14929.9</v>
      </c>
      <c r="J8324" s="3">
        <v>2214.8200000000002</v>
      </c>
      <c r="L8324">
        <v>4750</v>
      </c>
      <c r="M8324" t="s">
        <v>18228</v>
      </c>
      <c r="N8324" t="s">
        <v>18229</v>
      </c>
      <c r="O8324" t="s">
        <v>495</v>
      </c>
      <c r="P8324" t="str">
        <f>"94022"</f>
        <v>94022</v>
      </c>
    </row>
    <row r="8325" spans="1:16" x14ac:dyDescent="0.25">
      <c r="A8325" t="str">
        <f>"1140053D00232    00"</f>
        <v>1140053D00232    00</v>
      </c>
      <c r="B8325" t="s">
        <v>18230</v>
      </c>
      <c r="C8325" t="s">
        <v>18231</v>
      </c>
      <c r="D8325" t="s">
        <v>20</v>
      </c>
      <c r="E8325" t="s">
        <v>39</v>
      </c>
      <c r="F8325">
        <v>0</v>
      </c>
      <c r="G8325">
        <v>0</v>
      </c>
      <c r="H8325">
        <v>2</v>
      </c>
      <c r="I8325" s="3">
        <v>3617.6</v>
      </c>
      <c r="J8325" s="3">
        <v>0</v>
      </c>
      <c r="K8325" t="s">
        <v>881</v>
      </c>
      <c r="L8325">
        <v>3001</v>
      </c>
      <c r="M8325" t="s">
        <v>330</v>
      </c>
      <c r="N8325" t="s">
        <v>331</v>
      </c>
      <c r="O8325" t="s">
        <v>108</v>
      </c>
      <c r="P8325" t="str">
        <f>"75063"</f>
        <v>75063</v>
      </c>
    </row>
    <row r="8326" spans="1:16" x14ac:dyDescent="0.25">
      <c r="A8326" t="str">
        <f>"1140053D00245    00"</f>
        <v>1140053D00245    00</v>
      </c>
      <c r="B8326" t="s">
        <v>18232</v>
      </c>
      <c r="C8326" t="s">
        <v>18233</v>
      </c>
      <c r="D8326" t="s">
        <v>20</v>
      </c>
      <c r="E8326" t="s">
        <v>39</v>
      </c>
      <c r="F8326">
        <v>0</v>
      </c>
      <c r="G8326">
        <v>0</v>
      </c>
      <c r="H8326">
        <v>2</v>
      </c>
      <c r="I8326" s="3">
        <v>6829.03</v>
      </c>
      <c r="J8326" s="3">
        <v>0</v>
      </c>
      <c r="K8326" t="s">
        <v>18234</v>
      </c>
      <c r="L8326">
        <v>1720</v>
      </c>
      <c r="M8326" t="s">
        <v>18235</v>
      </c>
      <c r="N8326" t="s">
        <v>10132</v>
      </c>
      <c r="O8326" t="s">
        <v>423</v>
      </c>
      <c r="P8326" t="str">
        <f>"07470"</f>
        <v>07470</v>
      </c>
    </row>
    <row r="8327" spans="1:16" x14ac:dyDescent="0.25">
      <c r="A8327" t="str">
        <f>"1140053D00247    00"</f>
        <v>1140053D00247    00</v>
      </c>
      <c r="B8327" t="s">
        <v>18236</v>
      </c>
      <c r="C8327" t="s">
        <v>18237</v>
      </c>
      <c r="E8327" t="s">
        <v>39</v>
      </c>
      <c r="F8327">
        <v>0</v>
      </c>
      <c r="G8327">
        <v>0</v>
      </c>
      <c r="H8327">
        <v>2</v>
      </c>
      <c r="I8327" s="3">
        <v>2249.08</v>
      </c>
      <c r="J8327" s="3">
        <v>112.44</v>
      </c>
      <c r="K8327" t="s">
        <v>6483</v>
      </c>
      <c r="L8327">
        <v>3001</v>
      </c>
      <c r="M8327" t="s">
        <v>330</v>
      </c>
      <c r="N8327" t="s">
        <v>331</v>
      </c>
      <c r="O8327" t="s">
        <v>108</v>
      </c>
      <c r="P8327" t="str">
        <f>"75063"</f>
        <v>75063</v>
      </c>
    </row>
    <row r="8328" spans="1:16" x14ac:dyDescent="0.25">
      <c r="A8328" t="str">
        <f>"1140053G00020    00"</f>
        <v>1140053G00020    00</v>
      </c>
      <c r="B8328" t="s">
        <v>18238</v>
      </c>
      <c r="C8328" t="s">
        <v>18239</v>
      </c>
      <c r="E8328" t="s">
        <v>39</v>
      </c>
      <c r="F8328">
        <v>0</v>
      </c>
      <c r="G8328">
        <v>0</v>
      </c>
      <c r="H8328">
        <v>2</v>
      </c>
      <c r="I8328" s="3">
        <v>4036.92</v>
      </c>
      <c r="J8328" s="3">
        <v>201.83</v>
      </c>
      <c r="L8328">
        <v>316</v>
      </c>
      <c r="M8328" t="s">
        <v>18205</v>
      </c>
      <c r="N8328" t="s">
        <v>30</v>
      </c>
      <c r="O8328" t="s">
        <v>31</v>
      </c>
      <c r="P8328" t="str">
        <f>"15217"</f>
        <v>15217</v>
      </c>
    </row>
    <row r="8329" spans="1:16" x14ac:dyDescent="0.25">
      <c r="A8329" t="str">
        <f>"1140053G00103    00"</f>
        <v>1140053G00103    00</v>
      </c>
      <c r="B8329" t="s">
        <v>18240</v>
      </c>
      <c r="C8329" t="s">
        <v>18241</v>
      </c>
      <c r="D8329" t="s">
        <v>20</v>
      </c>
      <c r="E8329" t="s">
        <v>39</v>
      </c>
      <c r="F8329">
        <v>0</v>
      </c>
      <c r="G8329">
        <v>0</v>
      </c>
      <c r="H8329">
        <v>1</v>
      </c>
      <c r="I8329" s="3">
        <v>209.82</v>
      </c>
      <c r="J8329" s="3">
        <v>0</v>
      </c>
      <c r="K8329" t="s">
        <v>18242</v>
      </c>
      <c r="L8329">
        <v>110</v>
      </c>
      <c r="M8329" t="s">
        <v>18243</v>
      </c>
      <c r="N8329" t="s">
        <v>30</v>
      </c>
      <c r="O8329" t="s">
        <v>31</v>
      </c>
      <c r="P8329" t="str">
        <f>"15217"</f>
        <v>15217</v>
      </c>
    </row>
    <row r="8330" spans="1:16" x14ac:dyDescent="0.25">
      <c r="A8330" t="str">
        <f>"1140053G00134    00"</f>
        <v>1140053G00134    00</v>
      </c>
      <c r="B8330" t="s">
        <v>18244</v>
      </c>
      <c r="C8330" t="s">
        <v>18245</v>
      </c>
      <c r="E8330" t="s">
        <v>39</v>
      </c>
      <c r="F8330">
        <v>0</v>
      </c>
      <c r="G8330">
        <v>0</v>
      </c>
      <c r="H8330">
        <v>2</v>
      </c>
      <c r="I8330" s="3">
        <v>11283.52</v>
      </c>
      <c r="J8330" s="3">
        <v>517.15</v>
      </c>
      <c r="L8330">
        <v>2061</v>
      </c>
      <c r="M8330" t="s">
        <v>18246</v>
      </c>
      <c r="N8330" t="s">
        <v>605</v>
      </c>
      <c r="O8330" t="s">
        <v>606</v>
      </c>
      <c r="P8330" t="str">
        <f>"30327"</f>
        <v>30327</v>
      </c>
    </row>
    <row r="8331" spans="1:16" x14ac:dyDescent="0.25">
      <c r="A8331" t="str">
        <f>"1140053H00009    00"</f>
        <v>1140053H00009    00</v>
      </c>
      <c r="B8331" t="s">
        <v>18247</v>
      </c>
      <c r="C8331" t="s">
        <v>18248</v>
      </c>
      <c r="E8331" t="s">
        <v>39</v>
      </c>
      <c r="F8331">
        <v>0</v>
      </c>
      <c r="G8331">
        <v>0</v>
      </c>
      <c r="H8331">
        <v>1</v>
      </c>
      <c r="I8331" s="3">
        <v>1375.77</v>
      </c>
      <c r="J8331" s="3">
        <v>1180.82</v>
      </c>
      <c r="K8331" t="s">
        <v>759</v>
      </c>
      <c r="L8331">
        <v>3001</v>
      </c>
      <c r="M8331" t="s">
        <v>404</v>
      </c>
      <c r="N8331" t="s">
        <v>331</v>
      </c>
      <c r="O8331" t="s">
        <v>108</v>
      </c>
      <c r="P8331" t="str">
        <f>"75063"</f>
        <v>75063</v>
      </c>
    </row>
    <row r="8332" spans="1:16" x14ac:dyDescent="0.25">
      <c r="A8332" t="str">
        <f>"1140053H00076    00"</f>
        <v>1140053H00076    00</v>
      </c>
      <c r="B8332" t="s">
        <v>18249</v>
      </c>
      <c r="C8332" t="s">
        <v>18250</v>
      </c>
      <c r="E8332" t="s">
        <v>39</v>
      </c>
      <c r="F8332">
        <v>0</v>
      </c>
      <c r="G8332">
        <v>0</v>
      </c>
      <c r="H8332">
        <v>1</v>
      </c>
      <c r="I8332" s="3">
        <v>2027.97</v>
      </c>
      <c r="J8332" s="3">
        <v>557.66999999999996</v>
      </c>
      <c r="K8332" t="s">
        <v>557</v>
      </c>
      <c r="L8332">
        <v>3001</v>
      </c>
      <c r="M8332" t="s">
        <v>330</v>
      </c>
      <c r="N8332" t="s">
        <v>331</v>
      </c>
      <c r="O8332" t="s">
        <v>108</v>
      </c>
      <c r="P8332" t="str">
        <f>"75063"</f>
        <v>75063</v>
      </c>
    </row>
    <row r="8333" spans="1:16" x14ac:dyDescent="0.25">
      <c r="A8333" t="str">
        <f>"1140053H00088    00"</f>
        <v>1140053H00088    00</v>
      </c>
      <c r="B8333" t="s">
        <v>18251</v>
      </c>
      <c r="C8333" t="s">
        <v>18252</v>
      </c>
      <c r="E8333" t="s">
        <v>39</v>
      </c>
      <c r="F8333">
        <v>0</v>
      </c>
      <c r="G8333">
        <v>0</v>
      </c>
      <c r="H8333">
        <v>1</v>
      </c>
      <c r="I8333" s="3">
        <v>2102.33</v>
      </c>
      <c r="J8333" s="3">
        <v>0</v>
      </c>
      <c r="K8333" t="s">
        <v>18253</v>
      </c>
      <c r="L8333">
        <v>5450</v>
      </c>
      <c r="M8333" t="s">
        <v>18254</v>
      </c>
      <c r="N8333" t="s">
        <v>30</v>
      </c>
      <c r="O8333" t="s">
        <v>31</v>
      </c>
      <c r="P8333" t="str">
        <f>"15217"</f>
        <v>15217</v>
      </c>
    </row>
    <row r="8334" spans="1:16" x14ac:dyDescent="0.25">
      <c r="A8334" t="str">
        <f>"1140053H00103    00"</f>
        <v>1140053H00103    00</v>
      </c>
      <c r="B8334" t="s">
        <v>18255</v>
      </c>
      <c r="C8334" t="s">
        <v>18256</v>
      </c>
      <c r="D8334" t="s">
        <v>57</v>
      </c>
      <c r="E8334" t="s">
        <v>39</v>
      </c>
      <c r="F8334">
        <v>0</v>
      </c>
      <c r="G8334">
        <v>0</v>
      </c>
      <c r="H8334">
        <v>1</v>
      </c>
      <c r="I8334" s="3">
        <v>2550.08</v>
      </c>
      <c r="J8334" s="3">
        <v>1232.49</v>
      </c>
      <c r="K8334" t="s">
        <v>18257</v>
      </c>
      <c r="L8334">
        <v>5441</v>
      </c>
      <c r="M8334" t="s">
        <v>18254</v>
      </c>
      <c r="N8334" t="s">
        <v>30</v>
      </c>
      <c r="O8334" t="s">
        <v>31</v>
      </c>
      <c r="P8334" t="str">
        <f>"15217"</f>
        <v>15217</v>
      </c>
    </row>
    <row r="8335" spans="1:16" x14ac:dyDescent="0.25">
      <c r="A8335" t="str">
        <f>"1140053H00209    00"</f>
        <v>1140053H00209    00</v>
      </c>
      <c r="B8335" t="s">
        <v>18258</v>
      </c>
      <c r="C8335" t="s">
        <v>18259</v>
      </c>
      <c r="E8335" t="s">
        <v>39</v>
      </c>
      <c r="F8335">
        <v>0</v>
      </c>
      <c r="G8335">
        <v>0</v>
      </c>
      <c r="H8335">
        <v>2</v>
      </c>
      <c r="I8335" s="3">
        <v>3312.6</v>
      </c>
      <c r="J8335" s="3">
        <v>82.43</v>
      </c>
      <c r="K8335" t="s">
        <v>18260</v>
      </c>
      <c r="L8335">
        <v>5475</v>
      </c>
      <c r="M8335" t="s">
        <v>18261</v>
      </c>
      <c r="N8335" t="s">
        <v>30</v>
      </c>
      <c r="O8335" t="s">
        <v>31</v>
      </c>
      <c r="P8335" t="str">
        <f>"15217"</f>
        <v>15217</v>
      </c>
    </row>
    <row r="8336" spans="1:16" x14ac:dyDescent="0.25">
      <c r="A8336" t="str">
        <f>"1140053H00217    00"</f>
        <v>1140053H00217    00</v>
      </c>
      <c r="B8336" t="s">
        <v>18262</v>
      </c>
      <c r="C8336" t="s">
        <v>18263</v>
      </c>
      <c r="E8336" t="s">
        <v>39</v>
      </c>
      <c r="F8336">
        <v>0</v>
      </c>
      <c r="G8336">
        <v>0</v>
      </c>
      <c r="H8336">
        <v>1</v>
      </c>
      <c r="I8336" s="3">
        <v>250.02</v>
      </c>
      <c r="J8336" s="3">
        <v>68.760000000000005</v>
      </c>
      <c r="L8336">
        <v>5331</v>
      </c>
      <c r="M8336" t="s">
        <v>455</v>
      </c>
      <c r="N8336" t="s">
        <v>30</v>
      </c>
      <c r="O8336" t="s">
        <v>31</v>
      </c>
      <c r="P8336" t="str">
        <f>"15217"</f>
        <v>15217</v>
      </c>
    </row>
    <row r="8337" spans="1:16" x14ac:dyDescent="0.25">
      <c r="A8337" t="str">
        <f>"1140053H00230    00"</f>
        <v>1140053H00230    00</v>
      </c>
      <c r="B8337" t="s">
        <v>18264</v>
      </c>
      <c r="C8337" t="s">
        <v>18265</v>
      </c>
      <c r="E8337" t="s">
        <v>39</v>
      </c>
      <c r="F8337">
        <v>0</v>
      </c>
      <c r="G8337">
        <v>0</v>
      </c>
      <c r="H8337">
        <v>2</v>
      </c>
      <c r="I8337" s="3">
        <v>8310.16</v>
      </c>
      <c r="J8337" s="3">
        <v>346.24</v>
      </c>
      <c r="K8337" t="s">
        <v>18266</v>
      </c>
      <c r="L8337">
        <v>200</v>
      </c>
      <c r="M8337" t="s">
        <v>18243</v>
      </c>
      <c r="N8337" t="s">
        <v>30</v>
      </c>
      <c r="O8337" t="s">
        <v>31</v>
      </c>
      <c r="P8337" t="str">
        <f>"15217"</f>
        <v>15217</v>
      </c>
    </row>
    <row r="8338" spans="1:16" x14ac:dyDescent="0.25">
      <c r="A8338" t="str">
        <f>"1140053H00236    00"</f>
        <v>1140053H00236    00</v>
      </c>
      <c r="B8338" t="s">
        <v>18267</v>
      </c>
      <c r="C8338" t="s">
        <v>18268</v>
      </c>
      <c r="D8338" t="s">
        <v>20</v>
      </c>
      <c r="E8338" t="s">
        <v>39</v>
      </c>
      <c r="F8338">
        <v>0</v>
      </c>
      <c r="G8338">
        <v>0</v>
      </c>
      <c r="H8338">
        <v>1</v>
      </c>
      <c r="I8338" s="3">
        <v>7917.52</v>
      </c>
      <c r="J8338" s="3">
        <v>0</v>
      </c>
      <c r="M8338" t="s">
        <v>18269</v>
      </c>
      <c r="N8338" t="s">
        <v>5627</v>
      </c>
      <c r="O8338" t="s">
        <v>31</v>
      </c>
      <c r="P8338" t="str">
        <f>"15655"</f>
        <v>15655</v>
      </c>
    </row>
    <row r="8339" spans="1:16" x14ac:dyDescent="0.25">
      <c r="A8339" t="str">
        <f>"1140053H00259    00"</f>
        <v>1140053H00259    00</v>
      </c>
      <c r="B8339" t="s">
        <v>18270</v>
      </c>
      <c r="C8339" t="s">
        <v>18271</v>
      </c>
      <c r="E8339" t="s">
        <v>39</v>
      </c>
      <c r="F8339">
        <v>0</v>
      </c>
      <c r="G8339">
        <v>0</v>
      </c>
      <c r="H8339">
        <v>1</v>
      </c>
      <c r="I8339" s="3">
        <v>3907.7</v>
      </c>
      <c r="J8339" s="3">
        <v>1856.08</v>
      </c>
      <c r="L8339">
        <v>309</v>
      </c>
      <c r="M8339" t="s">
        <v>18243</v>
      </c>
      <c r="N8339" t="s">
        <v>30</v>
      </c>
      <c r="O8339" t="s">
        <v>31</v>
      </c>
      <c r="P8339" t="str">
        <f>"15217"</f>
        <v>15217</v>
      </c>
    </row>
    <row r="8340" spans="1:16" x14ac:dyDescent="0.25">
      <c r="A8340" t="str">
        <f>"1140053H00279    00"</f>
        <v>1140053H00279    00</v>
      </c>
      <c r="B8340" t="s">
        <v>18272</v>
      </c>
      <c r="C8340" t="s">
        <v>18273</v>
      </c>
      <c r="D8340" t="s">
        <v>20</v>
      </c>
      <c r="E8340" t="s">
        <v>39</v>
      </c>
      <c r="F8340">
        <v>0</v>
      </c>
      <c r="G8340">
        <v>0</v>
      </c>
      <c r="H8340">
        <v>1</v>
      </c>
      <c r="I8340" s="3">
        <v>9692.02</v>
      </c>
      <c r="J8340" s="3">
        <v>0</v>
      </c>
      <c r="K8340" t="s">
        <v>18274</v>
      </c>
      <c r="L8340">
        <v>310</v>
      </c>
      <c r="M8340" t="s">
        <v>18275</v>
      </c>
      <c r="N8340" t="s">
        <v>30</v>
      </c>
      <c r="O8340" t="s">
        <v>31</v>
      </c>
      <c r="P8340" t="str">
        <f>"15219"</f>
        <v>15219</v>
      </c>
    </row>
    <row r="8341" spans="1:16" x14ac:dyDescent="0.25">
      <c r="A8341" t="str">
        <f>"1140053M00035    00"</f>
        <v>1140053M00035    00</v>
      </c>
      <c r="B8341" t="s">
        <v>18276</v>
      </c>
      <c r="C8341" t="s">
        <v>18277</v>
      </c>
      <c r="D8341" t="s">
        <v>20</v>
      </c>
      <c r="E8341" t="s">
        <v>39</v>
      </c>
      <c r="F8341">
        <v>0</v>
      </c>
      <c r="G8341">
        <v>0</v>
      </c>
      <c r="H8341">
        <v>2</v>
      </c>
      <c r="I8341" s="3">
        <v>42.6</v>
      </c>
      <c r="J8341" s="3">
        <v>17.399999999999999</v>
      </c>
      <c r="K8341" t="s">
        <v>18278</v>
      </c>
      <c r="L8341">
        <v>5327</v>
      </c>
      <c r="M8341" t="s">
        <v>246</v>
      </c>
      <c r="N8341" t="s">
        <v>30</v>
      </c>
      <c r="O8341" t="s">
        <v>31</v>
      </c>
      <c r="P8341" t="str">
        <f>"15217"</f>
        <v>15217</v>
      </c>
    </row>
    <row r="8342" spans="1:16" x14ac:dyDescent="0.25">
      <c r="A8342" t="str">
        <f>"1140054E00003    00"</f>
        <v>1140054E00003    00</v>
      </c>
      <c r="B8342" t="s">
        <v>18279</v>
      </c>
      <c r="C8342" t="s">
        <v>18280</v>
      </c>
      <c r="D8342" t="s">
        <v>20</v>
      </c>
      <c r="E8342" t="s">
        <v>39</v>
      </c>
      <c r="F8342">
        <v>0</v>
      </c>
      <c r="G8342">
        <v>0</v>
      </c>
      <c r="H8342">
        <v>17</v>
      </c>
      <c r="I8342" s="3">
        <v>5634.69</v>
      </c>
      <c r="J8342" s="3">
        <v>6355.71</v>
      </c>
      <c r="L8342">
        <v>98</v>
      </c>
      <c r="M8342" t="s">
        <v>1791</v>
      </c>
      <c r="N8342" t="s">
        <v>30</v>
      </c>
      <c r="O8342" t="s">
        <v>31</v>
      </c>
      <c r="P8342" t="str">
        <f t="shared" ref="P8342:P8348" si="99">"15207"</f>
        <v>15207</v>
      </c>
    </row>
    <row r="8343" spans="1:16" x14ac:dyDescent="0.25">
      <c r="A8343" t="str">
        <f>"1140054F00056    00"</f>
        <v>1140054F00056    00</v>
      </c>
      <c r="B8343" t="s">
        <v>18281</v>
      </c>
      <c r="C8343" t="s">
        <v>18282</v>
      </c>
      <c r="D8343" t="s">
        <v>20</v>
      </c>
      <c r="E8343" t="s">
        <v>39</v>
      </c>
      <c r="F8343">
        <v>0</v>
      </c>
      <c r="G8343">
        <v>0</v>
      </c>
      <c r="H8343">
        <v>1</v>
      </c>
      <c r="I8343" s="3">
        <v>40.04</v>
      </c>
      <c r="J8343" s="3">
        <v>0</v>
      </c>
      <c r="L8343">
        <v>723</v>
      </c>
      <c r="M8343" t="s">
        <v>18283</v>
      </c>
      <c r="N8343" t="s">
        <v>30</v>
      </c>
      <c r="O8343" t="s">
        <v>31</v>
      </c>
      <c r="P8343" t="str">
        <f t="shared" si="99"/>
        <v>15207</v>
      </c>
    </row>
    <row r="8344" spans="1:16" x14ac:dyDescent="0.25">
      <c r="A8344" t="str">
        <f>"1140054F00058    00"</f>
        <v>1140054F00058    00</v>
      </c>
      <c r="B8344" t="s">
        <v>18284</v>
      </c>
      <c r="C8344" t="s">
        <v>18285</v>
      </c>
      <c r="D8344" t="s">
        <v>20</v>
      </c>
      <c r="E8344" t="s">
        <v>39</v>
      </c>
      <c r="F8344">
        <v>0</v>
      </c>
      <c r="G8344">
        <v>0</v>
      </c>
      <c r="H8344">
        <v>1</v>
      </c>
      <c r="I8344" s="3">
        <v>1593.44</v>
      </c>
      <c r="J8344" s="3">
        <v>0</v>
      </c>
      <c r="K8344" t="s">
        <v>18286</v>
      </c>
      <c r="L8344">
        <v>723</v>
      </c>
      <c r="M8344" t="s">
        <v>18283</v>
      </c>
      <c r="N8344" t="s">
        <v>30</v>
      </c>
      <c r="O8344" t="s">
        <v>31</v>
      </c>
      <c r="P8344" t="str">
        <f t="shared" si="99"/>
        <v>15207</v>
      </c>
    </row>
    <row r="8345" spans="1:16" x14ac:dyDescent="0.25">
      <c r="A8345" t="str">
        <f>"1140054F00060    00"</f>
        <v>1140054F00060    00</v>
      </c>
      <c r="B8345" t="s">
        <v>18287</v>
      </c>
      <c r="C8345" t="s">
        <v>18288</v>
      </c>
      <c r="D8345" t="s">
        <v>20</v>
      </c>
      <c r="E8345" t="s">
        <v>39</v>
      </c>
      <c r="F8345">
        <v>0</v>
      </c>
      <c r="G8345">
        <v>0</v>
      </c>
      <c r="H8345">
        <v>13</v>
      </c>
      <c r="I8345" s="3">
        <v>4388.43</v>
      </c>
      <c r="J8345" s="3">
        <v>2513.62</v>
      </c>
      <c r="L8345">
        <v>719</v>
      </c>
      <c r="M8345" t="s">
        <v>18283</v>
      </c>
      <c r="N8345" t="s">
        <v>30</v>
      </c>
      <c r="O8345" t="s">
        <v>31</v>
      </c>
      <c r="P8345" t="str">
        <f t="shared" si="99"/>
        <v>15207</v>
      </c>
    </row>
    <row r="8346" spans="1:16" x14ac:dyDescent="0.25">
      <c r="A8346" t="str">
        <f>"1140054F00139    00"</f>
        <v>1140054F00139    00</v>
      </c>
      <c r="B8346" t="s">
        <v>18289</v>
      </c>
      <c r="C8346" t="s">
        <v>18290</v>
      </c>
      <c r="D8346" t="s">
        <v>20</v>
      </c>
      <c r="E8346" t="s">
        <v>39</v>
      </c>
      <c r="F8346">
        <v>0</v>
      </c>
      <c r="G8346">
        <v>0</v>
      </c>
      <c r="H8346">
        <v>19</v>
      </c>
      <c r="I8346" s="3">
        <v>12756.66</v>
      </c>
      <c r="J8346" s="3">
        <v>10473.09</v>
      </c>
      <c r="L8346">
        <v>6125</v>
      </c>
      <c r="M8346" t="s">
        <v>18291</v>
      </c>
      <c r="N8346" t="s">
        <v>30</v>
      </c>
      <c r="O8346" t="s">
        <v>31</v>
      </c>
      <c r="P8346" t="str">
        <f t="shared" si="99"/>
        <v>15207</v>
      </c>
    </row>
    <row r="8347" spans="1:16" x14ac:dyDescent="0.25">
      <c r="A8347" t="str">
        <f>"1140054F00140    00"</f>
        <v>1140054F00140    00</v>
      </c>
      <c r="B8347" t="s">
        <v>18292</v>
      </c>
      <c r="C8347" t="s">
        <v>18293</v>
      </c>
      <c r="D8347" t="s">
        <v>20</v>
      </c>
      <c r="E8347" t="s">
        <v>39</v>
      </c>
      <c r="F8347">
        <v>0</v>
      </c>
      <c r="G8347">
        <v>0</v>
      </c>
      <c r="H8347">
        <v>2</v>
      </c>
      <c r="I8347" s="3">
        <v>34.32</v>
      </c>
      <c r="J8347" s="3">
        <v>0</v>
      </c>
      <c r="L8347">
        <v>6125</v>
      </c>
      <c r="M8347" t="s">
        <v>18291</v>
      </c>
      <c r="N8347" t="s">
        <v>30</v>
      </c>
      <c r="O8347" t="s">
        <v>31</v>
      </c>
      <c r="P8347" t="str">
        <f t="shared" si="99"/>
        <v>15207</v>
      </c>
    </row>
    <row r="8348" spans="1:16" x14ac:dyDescent="0.25">
      <c r="A8348" t="str">
        <f>"1140054F00162    00"</f>
        <v>1140054F00162    00</v>
      </c>
      <c r="B8348" t="s">
        <v>18294</v>
      </c>
      <c r="C8348" t="s">
        <v>18293</v>
      </c>
      <c r="D8348" t="s">
        <v>20</v>
      </c>
      <c r="E8348" t="s">
        <v>39</v>
      </c>
      <c r="F8348">
        <v>0</v>
      </c>
      <c r="G8348">
        <v>0</v>
      </c>
      <c r="H8348">
        <v>19</v>
      </c>
      <c r="I8348" s="3">
        <v>5209.26</v>
      </c>
      <c r="J8348" s="3">
        <v>6056.25</v>
      </c>
      <c r="L8348">
        <v>725</v>
      </c>
      <c r="M8348" t="s">
        <v>18295</v>
      </c>
      <c r="N8348" t="s">
        <v>30</v>
      </c>
      <c r="O8348" t="s">
        <v>31</v>
      </c>
      <c r="P8348" t="str">
        <f t="shared" si="99"/>
        <v>15207</v>
      </c>
    </row>
    <row r="8349" spans="1:16" x14ac:dyDescent="0.25">
      <c r="A8349" t="str">
        <f>"1140054F00175    00"</f>
        <v>1140054F00175    00</v>
      </c>
      <c r="B8349" t="s">
        <v>18296</v>
      </c>
      <c r="C8349" t="s">
        <v>18293</v>
      </c>
      <c r="D8349" t="s">
        <v>20</v>
      </c>
      <c r="E8349" t="s">
        <v>39</v>
      </c>
      <c r="F8349">
        <v>0</v>
      </c>
      <c r="G8349">
        <v>0</v>
      </c>
      <c r="H8349">
        <v>14</v>
      </c>
      <c r="I8349" s="3">
        <v>6293.08</v>
      </c>
      <c r="J8349" s="3">
        <v>4235.99</v>
      </c>
      <c r="K8349" t="s">
        <v>18297</v>
      </c>
      <c r="P8349" t="str">
        <f>""</f>
        <v/>
      </c>
    </row>
    <row r="8350" spans="1:16" x14ac:dyDescent="0.25">
      <c r="A8350" t="str">
        <f>"1140054F00176    00"</f>
        <v>1140054F00176    00</v>
      </c>
      <c r="B8350" t="s">
        <v>18298</v>
      </c>
      <c r="C8350" t="s">
        <v>18299</v>
      </c>
      <c r="D8350" t="s">
        <v>20</v>
      </c>
      <c r="E8350" t="s">
        <v>39</v>
      </c>
      <c r="F8350">
        <v>0</v>
      </c>
      <c r="G8350">
        <v>0</v>
      </c>
      <c r="H8350">
        <v>19</v>
      </c>
      <c r="I8350" s="3">
        <v>19306.419999999998</v>
      </c>
      <c r="J8350" s="3">
        <v>12728.46</v>
      </c>
      <c r="L8350">
        <v>701</v>
      </c>
      <c r="M8350" t="s">
        <v>18295</v>
      </c>
      <c r="N8350" t="s">
        <v>30</v>
      </c>
      <c r="O8350" t="s">
        <v>31</v>
      </c>
      <c r="P8350" t="str">
        <f>"15207"</f>
        <v>15207</v>
      </c>
    </row>
    <row r="8351" spans="1:16" x14ac:dyDescent="0.25">
      <c r="A8351" t="str">
        <f>"1140054F00177    00"</f>
        <v>1140054F00177    00</v>
      </c>
      <c r="B8351" t="s">
        <v>18300</v>
      </c>
      <c r="C8351" t="s">
        <v>18293</v>
      </c>
      <c r="D8351" t="s">
        <v>20</v>
      </c>
      <c r="E8351" t="s">
        <v>39</v>
      </c>
      <c r="F8351">
        <v>0</v>
      </c>
      <c r="G8351">
        <v>0</v>
      </c>
      <c r="H8351">
        <v>18</v>
      </c>
      <c r="I8351" s="3">
        <v>6879.41</v>
      </c>
      <c r="J8351" s="3">
        <v>7299.94</v>
      </c>
      <c r="L8351">
        <v>2293</v>
      </c>
      <c r="M8351" t="s">
        <v>18301</v>
      </c>
      <c r="N8351" t="s">
        <v>18302</v>
      </c>
      <c r="O8351" t="s">
        <v>273</v>
      </c>
      <c r="P8351" t="str">
        <f>"29526"</f>
        <v>29526</v>
      </c>
    </row>
    <row r="8352" spans="1:16" x14ac:dyDescent="0.25">
      <c r="A8352" t="str">
        <f>"1140054F00185    00"</f>
        <v>1140054F00185    00</v>
      </c>
      <c r="B8352" t="s">
        <v>18303</v>
      </c>
      <c r="C8352" t="s">
        <v>18293</v>
      </c>
      <c r="D8352" t="s">
        <v>20</v>
      </c>
      <c r="E8352" t="s">
        <v>39</v>
      </c>
      <c r="F8352">
        <v>0</v>
      </c>
      <c r="G8352">
        <v>0</v>
      </c>
      <c r="H8352">
        <v>1</v>
      </c>
      <c r="I8352" s="3">
        <v>30.5</v>
      </c>
      <c r="J8352" s="3">
        <v>0</v>
      </c>
      <c r="L8352">
        <v>2</v>
      </c>
      <c r="M8352" t="s">
        <v>18304</v>
      </c>
      <c r="N8352" t="s">
        <v>18305</v>
      </c>
      <c r="O8352" t="s">
        <v>31</v>
      </c>
      <c r="P8352" t="str">
        <f>"15330"</f>
        <v>15330</v>
      </c>
    </row>
    <row r="8353" spans="1:16" x14ac:dyDescent="0.25">
      <c r="A8353" t="str">
        <f>"1140054G00003    00"</f>
        <v>1140054G00003    00</v>
      </c>
      <c r="B8353" t="s">
        <v>18306</v>
      </c>
      <c r="C8353" t="s">
        <v>18293</v>
      </c>
      <c r="D8353" t="s">
        <v>20</v>
      </c>
      <c r="E8353" t="s">
        <v>39</v>
      </c>
      <c r="F8353">
        <v>0</v>
      </c>
      <c r="G8353">
        <v>0</v>
      </c>
      <c r="H8353">
        <v>19</v>
      </c>
      <c r="I8353" s="3">
        <v>7244.68</v>
      </c>
      <c r="J8353" s="3">
        <v>6041.73</v>
      </c>
      <c r="L8353">
        <v>737</v>
      </c>
      <c r="M8353" t="s">
        <v>18295</v>
      </c>
      <c r="N8353" t="s">
        <v>30</v>
      </c>
      <c r="O8353" t="s">
        <v>31</v>
      </c>
      <c r="P8353" t="str">
        <f>"15207"</f>
        <v>15207</v>
      </c>
    </row>
    <row r="8354" spans="1:16" x14ac:dyDescent="0.25">
      <c r="A8354" t="str">
        <f>"1140054G00026    00"</f>
        <v>1140054G00026    00</v>
      </c>
      <c r="B8354" t="s">
        <v>18307</v>
      </c>
      <c r="C8354" t="s">
        <v>18308</v>
      </c>
      <c r="D8354" t="s">
        <v>20</v>
      </c>
      <c r="E8354" t="s">
        <v>39</v>
      </c>
      <c r="F8354">
        <v>0</v>
      </c>
      <c r="G8354">
        <v>0</v>
      </c>
      <c r="H8354">
        <v>1</v>
      </c>
      <c r="I8354" s="3">
        <v>197.35</v>
      </c>
      <c r="J8354" s="3">
        <v>0</v>
      </c>
      <c r="L8354">
        <v>751</v>
      </c>
      <c r="M8354" t="s">
        <v>18283</v>
      </c>
      <c r="N8354" t="s">
        <v>30</v>
      </c>
      <c r="O8354" t="s">
        <v>31</v>
      </c>
      <c r="P8354" t="str">
        <f>"15207"</f>
        <v>15207</v>
      </c>
    </row>
    <row r="8355" spans="1:16" x14ac:dyDescent="0.25">
      <c r="A8355" t="str">
        <f>"1140054J00078    00"</f>
        <v>1140054J00078    00</v>
      </c>
      <c r="B8355" t="s">
        <v>18309</v>
      </c>
      <c r="C8355" t="s">
        <v>18310</v>
      </c>
      <c r="D8355" t="s">
        <v>20</v>
      </c>
      <c r="E8355" t="s">
        <v>39</v>
      </c>
      <c r="F8355">
        <v>0</v>
      </c>
      <c r="G8355">
        <v>0</v>
      </c>
      <c r="H8355">
        <v>5</v>
      </c>
      <c r="I8355" s="3">
        <v>2778.95</v>
      </c>
      <c r="J8355" s="3">
        <v>480.1</v>
      </c>
      <c r="K8355" t="s">
        <v>18311</v>
      </c>
      <c r="M8355" t="s">
        <v>18312</v>
      </c>
      <c r="N8355" t="s">
        <v>1692</v>
      </c>
      <c r="O8355" t="s">
        <v>31</v>
      </c>
      <c r="P8355" t="str">
        <f>"15005"</f>
        <v>15005</v>
      </c>
    </row>
    <row r="8356" spans="1:16" x14ac:dyDescent="0.25">
      <c r="A8356" t="str">
        <f>"1140054J00112    00"</f>
        <v>1140054J00112    00</v>
      </c>
      <c r="B8356" t="s">
        <v>18313</v>
      </c>
      <c r="C8356" t="s">
        <v>18314</v>
      </c>
      <c r="D8356" t="s">
        <v>20</v>
      </c>
      <c r="E8356" t="s">
        <v>39</v>
      </c>
      <c r="F8356">
        <v>0</v>
      </c>
      <c r="G8356">
        <v>0</v>
      </c>
      <c r="H8356">
        <v>2</v>
      </c>
      <c r="I8356" s="3">
        <v>568</v>
      </c>
      <c r="J8356" s="3">
        <v>0</v>
      </c>
      <c r="K8356" t="s">
        <v>18315</v>
      </c>
      <c r="L8356">
        <v>4486</v>
      </c>
      <c r="M8356" t="s">
        <v>18316</v>
      </c>
      <c r="N8356" t="s">
        <v>30</v>
      </c>
      <c r="O8356" t="s">
        <v>31</v>
      </c>
      <c r="P8356" t="str">
        <f>"15207"</f>
        <v>15207</v>
      </c>
    </row>
    <row r="8357" spans="1:16" x14ac:dyDescent="0.25">
      <c r="A8357" t="str">
        <f>"1140054J00113    00"</f>
        <v>1140054J00113    00</v>
      </c>
      <c r="B8357" t="s">
        <v>18313</v>
      </c>
      <c r="C8357" t="s">
        <v>18317</v>
      </c>
      <c r="D8357" t="s">
        <v>20</v>
      </c>
      <c r="E8357" t="s">
        <v>39</v>
      </c>
      <c r="F8357">
        <v>0</v>
      </c>
      <c r="G8357">
        <v>0</v>
      </c>
      <c r="H8357">
        <v>2</v>
      </c>
      <c r="I8357" s="3">
        <v>41.96</v>
      </c>
      <c r="J8357" s="3">
        <v>0</v>
      </c>
      <c r="K8357" t="s">
        <v>18315</v>
      </c>
      <c r="L8357">
        <v>4486</v>
      </c>
      <c r="M8357" t="s">
        <v>18316</v>
      </c>
      <c r="N8357" t="s">
        <v>30</v>
      </c>
      <c r="O8357" t="s">
        <v>31</v>
      </c>
      <c r="P8357" t="str">
        <f>"15207"</f>
        <v>15207</v>
      </c>
    </row>
    <row r="8358" spans="1:16" x14ac:dyDescent="0.25">
      <c r="A8358" t="str">
        <f>"1140085B00018    00"</f>
        <v>1140085B00018    00</v>
      </c>
      <c r="B8358" t="s">
        <v>12652</v>
      </c>
      <c r="C8358" t="s">
        <v>18318</v>
      </c>
      <c r="E8358" t="s">
        <v>21</v>
      </c>
      <c r="F8358">
        <v>0</v>
      </c>
      <c r="G8358">
        <v>0</v>
      </c>
      <c r="H8358">
        <v>1</v>
      </c>
      <c r="I8358" s="3">
        <v>18819.740000000002</v>
      </c>
      <c r="J8358" s="3">
        <v>15055.2</v>
      </c>
      <c r="M8358" t="s">
        <v>237</v>
      </c>
      <c r="N8358" t="s">
        <v>30</v>
      </c>
      <c r="O8358" t="s">
        <v>31</v>
      </c>
      <c r="P8358" t="str">
        <f>"15232"</f>
        <v>15232</v>
      </c>
    </row>
    <row r="8359" spans="1:16" x14ac:dyDescent="0.25">
      <c r="A8359" t="str">
        <f>"1140085C00070041600"</f>
        <v>1140085C00070041600</v>
      </c>
      <c r="B8359" t="s">
        <v>18319</v>
      </c>
      <c r="C8359" t="s">
        <v>18320</v>
      </c>
      <c r="E8359" t="s">
        <v>39</v>
      </c>
      <c r="F8359">
        <v>0</v>
      </c>
      <c r="G8359">
        <v>0</v>
      </c>
      <c r="H8359">
        <v>2</v>
      </c>
      <c r="I8359" s="3">
        <v>5233.8999999999996</v>
      </c>
      <c r="J8359" s="3">
        <v>261.68</v>
      </c>
      <c r="K8359" t="s">
        <v>18321</v>
      </c>
      <c r="L8359">
        <v>122</v>
      </c>
      <c r="M8359" t="s">
        <v>18322</v>
      </c>
      <c r="N8359" t="s">
        <v>30</v>
      </c>
      <c r="O8359" t="s">
        <v>31</v>
      </c>
      <c r="P8359" t="str">
        <f>"15232"</f>
        <v>15232</v>
      </c>
    </row>
    <row r="8360" spans="1:16" x14ac:dyDescent="0.25">
      <c r="A8360" t="str">
        <f>"1140085C00120    00"</f>
        <v>1140085C00120    00</v>
      </c>
      <c r="B8360" t="s">
        <v>18323</v>
      </c>
      <c r="C8360" t="s">
        <v>18324</v>
      </c>
      <c r="E8360" t="s">
        <v>39</v>
      </c>
      <c r="F8360">
        <v>0</v>
      </c>
      <c r="G8360">
        <v>0</v>
      </c>
      <c r="H8360">
        <v>1</v>
      </c>
      <c r="I8360" s="3">
        <v>3527.39</v>
      </c>
      <c r="J8360" s="3">
        <v>0</v>
      </c>
      <c r="L8360">
        <v>6221</v>
      </c>
      <c r="M8360" t="s">
        <v>18325</v>
      </c>
      <c r="N8360" t="s">
        <v>30</v>
      </c>
      <c r="O8360" t="s">
        <v>31</v>
      </c>
      <c r="P8360" t="str">
        <f>"15232"</f>
        <v>15232</v>
      </c>
    </row>
    <row r="8361" spans="1:16" x14ac:dyDescent="0.25">
      <c r="A8361" t="str">
        <f>"1140085C00126    00"</f>
        <v>1140085C00126    00</v>
      </c>
      <c r="B8361" t="s">
        <v>18326</v>
      </c>
      <c r="C8361" t="s">
        <v>18327</v>
      </c>
      <c r="E8361" t="s">
        <v>39</v>
      </c>
      <c r="F8361">
        <v>0</v>
      </c>
      <c r="G8361">
        <v>0</v>
      </c>
      <c r="H8361">
        <v>2</v>
      </c>
      <c r="I8361" s="3">
        <v>941.56</v>
      </c>
      <c r="J8361" s="3">
        <v>5.71</v>
      </c>
      <c r="K8361" t="s">
        <v>426</v>
      </c>
      <c r="L8361">
        <v>2570</v>
      </c>
      <c r="M8361" t="s">
        <v>427</v>
      </c>
      <c r="N8361" t="s">
        <v>30</v>
      </c>
      <c r="O8361" t="s">
        <v>31</v>
      </c>
      <c r="P8361" t="str">
        <f>"15241"</f>
        <v>15241</v>
      </c>
    </row>
    <row r="8362" spans="1:16" x14ac:dyDescent="0.25">
      <c r="A8362" t="str">
        <f>"1140085C00144    00"</f>
        <v>1140085C00144    00</v>
      </c>
      <c r="B8362" t="s">
        <v>18328</v>
      </c>
      <c r="C8362" t="s">
        <v>18329</v>
      </c>
      <c r="E8362" t="s">
        <v>39</v>
      </c>
      <c r="F8362">
        <v>0</v>
      </c>
      <c r="G8362">
        <v>0</v>
      </c>
      <c r="H8362">
        <v>2</v>
      </c>
      <c r="I8362" s="3">
        <v>10922.31</v>
      </c>
      <c r="J8362" s="3">
        <v>935.47</v>
      </c>
      <c r="K8362" t="s">
        <v>18330</v>
      </c>
      <c r="L8362">
        <v>1086</v>
      </c>
      <c r="M8362" t="s">
        <v>3580</v>
      </c>
      <c r="N8362" t="s">
        <v>30</v>
      </c>
      <c r="O8362" t="s">
        <v>31</v>
      </c>
      <c r="P8362" t="str">
        <f>"15232"</f>
        <v>15232</v>
      </c>
    </row>
    <row r="8363" spans="1:16" x14ac:dyDescent="0.25">
      <c r="A8363" t="str">
        <f>"1140085C00163    00"</f>
        <v>1140085C00163    00</v>
      </c>
      <c r="B8363" t="s">
        <v>18331</v>
      </c>
      <c r="C8363" t="s">
        <v>18332</v>
      </c>
      <c r="D8363" t="s">
        <v>20</v>
      </c>
      <c r="E8363" t="s">
        <v>39</v>
      </c>
      <c r="F8363">
        <v>0</v>
      </c>
      <c r="G8363">
        <v>0</v>
      </c>
      <c r="H8363">
        <v>1</v>
      </c>
      <c r="I8363" s="3">
        <v>7048.86</v>
      </c>
      <c r="J8363" s="3">
        <v>0</v>
      </c>
      <c r="K8363" t="s">
        <v>728</v>
      </c>
      <c r="L8363">
        <v>3001</v>
      </c>
      <c r="M8363" t="s">
        <v>330</v>
      </c>
      <c r="N8363" t="s">
        <v>331</v>
      </c>
      <c r="O8363" t="s">
        <v>108</v>
      </c>
      <c r="P8363" t="str">
        <f>"75063"</f>
        <v>75063</v>
      </c>
    </row>
    <row r="8364" spans="1:16" x14ac:dyDescent="0.25">
      <c r="A8364" t="str">
        <f>"1140085C00270B3  00"</f>
        <v>1140085C00270B3  00</v>
      </c>
      <c r="B8364" t="s">
        <v>18333</v>
      </c>
      <c r="C8364" t="s">
        <v>18334</v>
      </c>
      <c r="D8364" t="s">
        <v>20</v>
      </c>
      <c r="E8364" t="s">
        <v>39</v>
      </c>
      <c r="F8364">
        <v>0</v>
      </c>
      <c r="G8364">
        <v>0</v>
      </c>
      <c r="H8364">
        <v>5</v>
      </c>
      <c r="I8364" s="3">
        <v>34430.15</v>
      </c>
      <c r="J8364" s="3">
        <v>5948.28</v>
      </c>
      <c r="L8364">
        <v>3</v>
      </c>
      <c r="M8364" t="s">
        <v>18335</v>
      </c>
      <c r="N8364" t="s">
        <v>826</v>
      </c>
      <c r="O8364" t="s">
        <v>31</v>
      </c>
      <c r="P8364" t="str">
        <f>"15601"</f>
        <v>15601</v>
      </c>
    </row>
    <row r="8365" spans="1:16" x14ac:dyDescent="0.25">
      <c r="A8365" t="str">
        <f>"1140085C00417    00"</f>
        <v>1140085C00417    00</v>
      </c>
      <c r="B8365" t="s">
        <v>18336</v>
      </c>
      <c r="C8365" t="s">
        <v>18337</v>
      </c>
      <c r="E8365" t="s">
        <v>39</v>
      </c>
      <c r="F8365">
        <v>0</v>
      </c>
      <c r="G8365">
        <v>0</v>
      </c>
      <c r="H8365">
        <v>1</v>
      </c>
      <c r="I8365" s="3">
        <v>29.37</v>
      </c>
      <c r="J8365" s="3">
        <v>14.43</v>
      </c>
      <c r="K8365" t="s">
        <v>18338</v>
      </c>
      <c r="L8365">
        <v>115</v>
      </c>
      <c r="M8365" t="s">
        <v>5529</v>
      </c>
      <c r="N8365" t="s">
        <v>30</v>
      </c>
      <c r="O8365" t="s">
        <v>31</v>
      </c>
      <c r="P8365" t="str">
        <f>"15238"</f>
        <v>15238</v>
      </c>
    </row>
    <row r="8366" spans="1:16" x14ac:dyDescent="0.25">
      <c r="A8366" t="str">
        <f>"1140085C00423    00"</f>
        <v>1140085C00423    00</v>
      </c>
      <c r="B8366" t="s">
        <v>18339</v>
      </c>
      <c r="C8366" t="s">
        <v>18340</v>
      </c>
      <c r="D8366" t="s">
        <v>20</v>
      </c>
      <c r="E8366" t="s">
        <v>39</v>
      </c>
      <c r="F8366">
        <v>0</v>
      </c>
      <c r="G8366">
        <v>0</v>
      </c>
      <c r="H8366">
        <v>3</v>
      </c>
      <c r="I8366" s="3">
        <v>5878.11</v>
      </c>
      <c r="J8366" s="3">
        <v>48.97</v>
      </c>
      <c r="K8366" t="s">
        <v>1427</v>
      </c>
      <c r="L8366">
        <v>3001</v>
      </c>
      <c r="M8366" t="s">
        <v>330</v>
      </c>
      <c r="N8366" t="s">
        <v>331</v>
      </c>
      <c r="O8366" t="s">
        <v>108</v>
      </c>
      <c r="P8366" t="str">
        <f>"75063"</f>
        <v>75063</v>
      </c>
    </row>
    <row r="8367" spans="1:16" x14ac:dyDescent="0.25">
      <c r="A8367" t="str">
        <f>"1140085C00431    00"</f>
        <v>1140085C00431    00</v>
      </c>
      <c r="B8367" t="s">
        <v>18341</v>
      </c>
      <c r="C8367" t="s">
        <v>18342</v>
      </c>
      <c r="D8367" t="s">
        <v>20</v>
      </c>
      <c r="E8367" t="s">
        <v>39</v>
      </c>
      <c r="F8367">
        <v>0</v>
      </c>
      <c r="G8367">
        <v>0</v>
      </c>
      <c r="H8367">
        <v>1</v>
      </c>
      <c r="I8367" s="3">
        <v>4557.25</v>
      </c>
      <c r="J8367" s="3">
        <v>0</v>
      </c>
      <c r="K8367" t="s">
        <v>14641</v>
      </c>
      <c r="L8367">
        <v>1</v>
      </c>
      <c r="M8367" t="s">
        <v>14642</v>
      </c>
      <c r="N8367" t="s">
        <v>1164</v>
      </c>
      <c r="O8367" t="s">
        <v>108</v>
      </c>
      <c r="P8367" t="str">
        <f>"76262"</f>
        <v>76262</v>
      </c>
    </row>
    <row r="8368" spans="1:16" x14ac:dyDescent="0.25">
      <c r="A8368" t="str">
        <f>"1140085C00433    00"</f>
        <v>1140085C00433    00</v>
      </c>
      <c r="B8368" t="s">
        <v>18341</v>
      </c>
      <c r="C8368" t="s">
        <v>18343</v>
      </c>
      <c r="E8368" t="s">
        <v>39</v>
      </c>
      <c r="F8368">
        <v>0</v>
      </c>
      <c r="G8368">
        <v>0</v>
      </c>
      <c r="H8368">
        <v>2</v>
      </c>
      <c r="I8368" s="3">
        <v>3572.93</v>
      </c>
      <c r="J8368" s="3">
        <v>244.33</v>
      </c>
      <c r="K8368" t="s">
        <v>881</v>
      </c>
      <c r="L8368">
        <v>3001</v>
      </c>
      <c r="M8368" t="s">
        <v>330</v>
      </c>
      <c r="N8368" t="s">
        <v>331</v>
      </c>
      <c r="O8368" t="s">
        <v>108</v>
      </c>
      <c r="P8368" t="str">
        <f>"75063"</f>
        <v>75063</v>
      </c>
    </row>
    <row r="8369" spans="1:16" x14ac:dyDescent="0.25">
      <c r="A8369" t="str">
        <f>"1140085C00438B   00"</f>
        <v>1140085C00438B   00</v>
      </c>
      <c r="B8369" t="s">
        <v>18344</v>
      </c>
      <c r="C8369" t="s">
        <v>18345</v>
      </c>
      <c r="E8369" t="s">
        <v>39</v>
      </c>
      <c r="F8369">
        <v>0</v>
      </c>
      <c r="G8369">
        <v>0</v>
      </c>
      <c r="H8369">
        <v>1</v>
      </c>
      <c r="I8369" s="3">
        <v>5365.29</v>
      </c>
      <c r="J8369" s="3">
        <v>0</v>
      </c>
      <c r="K8369" t="s">
        <v>1632</v>
      </c>
      <c r="L8369">
        <v>3001</v>
      </c>
      <c r="M8369" t="s">
        <v>330</v>
      </c>
      <c r="N8369" t="s">
        <v>331</v>
      </c>
      <c r="O8369" t="s">
        <v>108</v>
      </c>
      <c r="P8369" t="str">
        <f>"75063"</f>
        <v>75063</v>
      </c>
    </row>
    <row r="8370" spans="1:16" x14ac:dyDescent="0.25">
      <c r="A8370" t="str">
        <f>"1140085D00020    00"</f>
        <v>1140085D00020    00</v>
      </c>
      <c r="B8370" t="s">
        <v>18346</v>
      </c>
      <c r="C8370" t="s">
        <v>18347</v>
      </c>
      <c r="D8370" t="s">
        <v>20</v>
      </c>
      <c r="E8370" t="s">
        <v>39</v>
      </c>
      <c r="F8370">
        <v>0</v>
      </c>
      <c r="G8370">
        <v>0</v>
      </c>
      <c r="H8370">
        <v>2</v>
      </c>
      <c r="I8370" s="3">
        <v>5670.13</v>
      </c>
      <c r="J8370" s="3">
        <v>0</v>
      </c>
      <c r="L8370">
        <v>142</v>
      </c>
      <c r="M8370" t="s">
        <v>18163</v>
      </c>
      <c r="N8370" t="s">
        <v>30</v>
      </c>
      <c r="O8370" t="s">
        <v>31</v>
      </c>
      <c r="P8370" t="str">
        <f>"15206"</f>
        <v>15206</v>
      </c>
    </row>
    <row r="8371" spans="1:16" x14ac:dyDescent="0.25">
      <c r="A8371" t="str">
        <f>"1140085D00175    00"</f>
        <v>1140085D00175    00</v>
      </c>
      <c r="B8371" t="s">
        <v>18348</v>
      </c>
      <c r="C8371" t="s">
        <v>18349</v>
      </c>
      <c r="D8371" t="s">
        <v>20</v>
      </c>
      <c r="E8371" t="s">
        <v>39</v>
      </c>
      <c r="F8371">
        <v>0</v>
      </c>
      <c r="G8371">
        <v>0</v>
      </c>
      <c r="H8371">
        <v>2</v>
      </c>
      <c r="I8371" s="3">
        <v>8006.24</v>
      </c>
      <c r="J8371" s="3">
        <v>69.11</v>
      </c>
      <c r="L8371">
        <v>1091</v>
      </c>
      <c r="M8371" t="s">
        <v>1695</v>
      </c>
      <c r="N8371" t="s">
        <v>30</v>
      </c>
      <c r="O8371" t="s">
        <v>31</v>
      </c>
      <c r="P8371" t="str">
        <f>"15206"</f>
        <v>15206</v>
      </c>
    </row>
    <row r="8372" spans="1:16" x14ac:dyDescent="0.25">
      <c r="A8372" t="str">
        <f>"1140085D00179    00"</f>
        <v>1140085D00179    00</v>
      </c>
      <c r="B8372" t="s">
        <v>18350</v>
      </c>
      <c r="C8372" t="s">
        <v>18351</v>
      </c>
      <c r="E8372" t="s">
        <v>39</v>
      </c>
      <c r="F8372">
        <v>0</v>
      </c>
      <c r="G8372">
        <v>0</v>
      </c>
      <c r="H8372">
        <v>1</v>
      </c>
      <c r="I8372" s="3">
        <v>27.02</v>
      </c>
      <c r="J8372" s="3">
        <v>6.3</v>
      </c>
      <c r="L8372">
        <v>1085</v>
      </c>
      <c r="M8372" t="s">
        <v>1695</v>
      </c>
      <c r="N8372" t="s">
        <v>30</v>
      </c>
      <c r="O8372" t="s">
        <v>31</v>
      </c>
      <c r="P8372" t="str">
        <f>"15206"</f>
        <v>15206</v>
      </c>
    </row>
    <row r="8373" spans="1:16" x14ac:dyDescent="0.25">
      <c r="A8373" t="str">
        <f>"1140085D00181    00"</f>
        <v>1140085D00181    00</v>
      </c>
      <c r="B8373" t="s">
        <v>18352</v>
      </c>
      <c r="C8373" t="s">
        <v>18353</v>
      </c>
      <c r="E8373" t="s">
        <v>39</v>
      </c>
      <c r="F8373">
        <v>0</v>
      </c>
      <c r="G8373">
        <v>0</v>
      </c>
      <c r="H8373">
        <v>5</v>
      </c>
      <c r="I8373" s="3">
        <v>18181.2</v>
      </c>
      <c r="J8373" s="3">
        <v>19544</v>
      </c>
      <c r="K8373" t="s">
        <v>1030</v>
      </c>
      <c r="M8373" t="s">
        <v>1031</v>
      </c>
      <c r="N8373" t="s">
        <v>1032</v>
      </c>
      <c r="O8373" t="s">
        <v>25</v>
      </c>
      <c r="P8373" t="str">
        <f>"44711"</f>
        <v>44711</v>
      </c>
    </row>
    <row r="8374" spans="1:16" x14ac:dyDescent="0.25">
      <c r="A8374" t="str">
        <f>"1140085D00187    00"</f>
        <v>1140085D00187    00</v>
      </c>
      <c r="B8374" t="s">
        <v>18354</v>
      </c>
      <c r="C8374" t="s">
        <v>18355</v>
      </c>
      <c r="D8374" t="s">
        <v>20</v>
      </c>
      <c r="E8374" t="s">
        <v>39</v>
      </c>
      <c r="F8374">
        <v>0</v>
      </c>
      <c r="G8374">
        <v>0</v>
      </c>
      <c r="H8374">
        <v>1</v>
      </c>
      <c r="I8374" s="3">
        <v>2260.52</v>
      </c>
      <c r="J8374" s="3">
        <v>0</v>
      </c>
      <c r="K8374" t="s">
        <v>6511</v>
      </c>
      <c r="L8374">
        <v>4270</v>
      </c>
      <c r="M8374" t="s">
        <v>7413</v>
      </c>
      <c r="N8374" t="s">
        <v>264</v>
      </c>
      <c r="O8374" t="s">
        <v>25</v>
      </c>
      <c r="P8374" t="str">
        <f>"45245"</f>
        <v>45245</v>
      </c>
    </row>
    <row r="8375" spans="1:16" x14ac:dyDescent="0.25">
      <c r="A8375" t="str">
        <f>"1140085D00190    00"</f>
        <v>1140085D00190    00</v>
      </c>
      <c r="B8375" t="s">
        <v>18356</v>
      </c>
      <c r="C8375" t="s">
        <v>18357</v>
      </c>
      <c r="D8375" t="s">
        <v>57</v>
      </c>
      <c r="E8375" t="s">
        <v>39</v>
      </c>
      <c r="F8375">
        <v>0</v>
      </c>
      <c r="G8375">
        <v>0</v>
      </c>
      <c r="H8375">
        <v>1</v>
      </c>
      <c r="I8375" s="3">
        <v>1428.82</v>
      </c>
      <c r="J8375" s="3">
        <v>1452.58</v>
      </c>
      <c r="K8375" t="s">
        <v>18358</v>
      </c>
      <c r="L8375">
        <v>222</v>
      </c>
      <c r="M8375" t="s">
        <v>36</v>
      </c>
      <c r="N8375" t="s">
        <v>30</v>
      </c>
      <c r="O8375" t="s">
        <v>31</v>
      </c>
      <c r="P8375" t="str">
        <f>"15222"</f>
        <v>15222</v>
      </c>
    </row>
    <row r="8376" spans="1:16" x14ac:dyDescent="0.25">
      <c r="A8376" t="str">
        <f>"1140085E00154    00"</f>
        <v>1140085E00154    00</v>
      </c>
      <c r="B8376" t="s">
        <v>18359</v>
      </c>
      <c r="C8376" t="s">
        <v>18360</v>
      </c>
      <c r="E8376" t="s">
        <v>39</v>
      </c>
      <c r="F8376">
        <v>0</v>
      </c>
      <c r="G8376">
        <v>0</v>
      </c>
      <c r="H8376">
        <v>1</v>
      </c>
      <c r="I8376" s="3">
        <v>1660.14</v>
      </c>
      <c r="J8376" s="3">
        <v>69.17</v>
      </c>
      <c r="K8376" t="s">
        <v>10616</v>
      </c>
      <c r="L8376">
        <v>8</v>
      </c>
      <c r="M8376" t="s">
        <v>18361</v>
      </c>
      <c r="N8376" t="s">
        <v>10618</v>
      </c>
      <c r="O8376" t="s">
        <v>200</v>
      </c>
      <c r="P8376" t="str">
        <f>"12205"</f>
        <v>12205</v>
      </c>
    </row>
    <row r="8377" spans="1:16" x14ac:dyDescent="0.25">
      <c r="A8377" t="str">
        <f>"1140085E00155    00"</f>
        <v>1140085E00155    00</v>
      </c>
      <c r="B8377" t="s">
        <v>18362</v>
      </c>
      <c r="C8377" t="s">
        <v>18363</v>
      </c>
      <c r="E8377" t="s">
        <v>39</v>
      </c>
      <c r="F8377">
        <v>0</v>
      </c>
      <c r="G8377">
        <v>0</v>
      </c>
      <c r="H8377">
        <v>1</v>
      </c>
      <c r="I8377" s="3">
        <v>1966.31</v>
      </c>
      <c r="J8377" s="3">
        <v>0</v>
      </c>
      <c r="L8377">
        <v>114</v>
      </c>
      <c r="M8377" t="s">
        <v>18364</v>
      </c>
      <c r="N8377" t="s">
        <v>30</v>
      </c>
      <c r="O8377" t="s">
        <v>31</v>
      </c>
      <c r="P8377" t="str">
        <f>"15232"</f>
        <v>15232</v>
      </c>
    </row>
    <row r="8378" spans="1:16" x14ac:dyDescent="0.25">
      <c r="A8378" t="str">
        <f>"1140085E00157    00"</f>
        <v>1140085E00157    00</v>
      </c>
      <c r="B8378" t="s">
        <v>18365</v>
      </c>
      <c r="C8378" t="s">
        <v>18366</v>
      </c>
      <c r="E8378" t="s">
        <v>39</v>
      </c>
      <c r="F8378">
        <v>0</v>
      </c>
      <c r="G8378">
        <v>0</v>
      </c>
      <c r="H8378">
        <v>2</v>
      </c>
      <c r="I8378" s="3">
        <v>3441.96</v>
      </c>
      <c r="J8378" s="3">
        <v>235.38</v>
      </c>
      <c r="K8378" t="s">
        <v>2263</v>
      </c>
      <c r="L8378">
        <v>1000</v>
      </c>
      <c r="M8378" t="s">
        <v>10928</v>
      </c>
      <c r="N8378" t="s">
        <v>30</v>
      </c>
      <c r="O8378" t="s">
        <v>31</v>
      </c>
      <c r="P8378" t="str">
        <f>"15238"</f>
        <v>15238</v>
      </c>
    </row>
    <row r="8379" spans="1:16" x14ac:dyDescent="0.25">
      <c r="A8379" t="str">
        <f>"1140085E00240    00"</f>
        <v>1140085E00240    00</v>
      </c>
      <c r="B8379" t="s">
        <v>18367</v>
      </c>
      <c r="C8379" t="s">
        <v>18368</v>
      </c>
      <c r="E8379" t="s">
        <v>39</v>
      </c>
      <c r="F8379">
        <v>0</v>
      </c>
      <c r="G8379">
        <v>0</v>
      </c>
      <c r="H8379">
        <v>2</v>
      </c>
      <c r="I8379" s="3">
        <v>8901.0400000000009</v>
      </c>
      <c r="J8379" s="3">
        <v>296.68</v>
      </c>
      <c r="K8379" t="s">
        <v>18369</v>
      </c>
      <c r="L8379">
        <v>1056</v>
      </c>
      <c r="M8379" t="s">
        <v>5999</v>
      </c>
      <c r="N8379" t="s">
        <v>30</v>
      </c>
      <c r="O8379" t="s">
        <v>31</v>
      </c>
      <c r="P8379" t="str">
        <f>"15217"</f>
        <v>15217</v>
      </c>
    </row>
    <row r="8380" spans="1:16" x14ac:dyDescent="0.25">
      <c r="A8380" t="str">
        <f>"1140085E00252    00"</f>
        <v>1140085E00252    00</v>
      </c>
      <c r="B8380" t="s">
        <v>18370</v>
      </c>
      <c r="C8380" t="s">
        <v>18371</v>
      </c>
      <c r="E8380" t="s">
        <v>39</v>
      </c>
      <c r="F8380">
        <v>0</v>
      </c>
      <c r="G8380">
        <v>0</v>
      </c>
      <c r="H8380">
        <v>1</v>
      </c>
      <c r="I8380" s="3">
        <v>10923.14</v>
      </c>
      <c r="J8380" s="3">
        <v>3458.85</v>
      </c>
      <c r="K8380" t="s">
        <v>18372</v>
      </c>
      <c r="L8380">
        <v>5611</v>
      </c>
      <c r="M8380" t="s">
        <v>18373</v>
      </c>
      <c r="N8380" t="s">
        <v>30</v>
      </c>
      <c r="O8380" t="s">
        <v>31</v>
      </c>
      <c r="P8380" t="str">
        <f>"15217"</f>
        <v>15217</v>
      </c>
    </row>
    <row r="8381" spans="1:16" x14ac:dyDescent="0.25">
      <c r="A8381" t="str">
        <f>"1140085F00006    00"</f>
        <v>1140085F00006    00</v>
      </c>
      <c r="B8381" t="s">
        <v>18374</v>
      </c>
      <c r="C8381" t="s">
        <v>18375</v>
      </c>
      <c r="E8381" t="s">
        <v>39</v>
      </c>
      <c r="F8381">
        <v>0</v>
      </c>
      <c r="G8381">
        <v>0</v>
      </c>
      <c r="H8381">
        <v>2</v>
      </c>
      <c r="I8381" s="3">
        <v>2008.94</v>
      </c>
      <c r="J8381" s="3">
        <v>25.11</v>
      </c>
      <c r="K8381" t="s">
        <v>2302</v>
      </c>
      <c r="L8381">
        <v>3001</v>
      </c>
      <c r="M8381" t="s">
        <v>330</v>
      </c>
      <c r="N8381" t="s">
        <v>331</v>
      </c>
      <c r="O8381" t="s">
        <v>108</v>
      </c>
      <c r="P8381" t="str">
        <f>"75063"</f>
        <v>75063</v>
      </c>
    </row>
    <row r="8382" spans="1:16" x14ac:dyDescent="0.25">
      <c r="A8382" t="str">
        <f>"1140085F00009    00"</f>
        <v>1140085F00009    00</v>
      </c>
      <c r="B8382" t="s">
        <v>18376</v>
      </c>
      <c r="C8382" t="s">
        <v>18377</v>
      </c>
      <c r="D8382" t="s">
        <v>20</v>
      </c>
      <c r="E8382" t="s">
        <v>39</v>
      </c>
      <c r="F8382">
        <v>0</v>
      </c>
      <c r="G8382">
        <v>0</v>
      </c>
      <c r="H8382">
        <v>2</v>
      </c>
      <c r="I8382" s="3">
        <v>53.3</v>
      </c>
      <c r="J8382" s="3">
        <v>3.65</v>
      </c>
      <c r="K8382" t="s">
        <v>1722</v>
      </c>
      <c r="M8382" t="s">
        <v>1723</v>
      </c>
      <c r="N8382" t="s">
        <v>410</v>
      </c>
      <c r="O8382" t="s">
        <v>31</v>
      </c>
      <c r="P8382" t="str">
        <f>"15701"</f>
        <v>15701</v>
      </c>
    </row>
    <row r="8383" spans="1:16" x14ac:dyDescent="0.25">
      <c r="A8383" t="str">
        <f>"1140085F00064    00"</f>
        <v>1140085F00064    00</v>
      </c>
      <c r="B8383" t="s">
        <v>18378</v>
      </c>
      <c r="C8383" t="s">
        <v>18379</v>
      </c>
      <c r="D8383" t="s">
        <v>20</v>
      </c>
      <c r="E8383" t="s">
        <v>39</v>
      </c>
      <c r="F8383">
        <v>0</v>
      </c>
      <c r="G8383">
        <v>0</v>
      </c>
      <c r="H8383">
        <v>1</v>
      </c>
      <c r="I8383" s="3">
        <v>300.02999999999997</v>
      </c>
      <c r="J8383" s="3">
        <v>0</v>
      </c>
      <c r="L8383">
        <v>1040</v>
      </c>
      <c r="M8383" t="s">
        <v>18380</v>
      </c>
      <c r="N8383" t="s">
        <v>30</v>
      </c>
      <c r="O8383" t="s">
        <v>31</v>
      </c>
      <c r="P8383" t="str">
        <f>"15217"</f>
        <v>15217</v>
      </c>
    </row>
    <row r="8384" spans="1:16" x14ac:dyDescent="0.25">
      <c r="A8384" t="str">
        <f>"1140085F00095010100"</f>
        <v>1140085F00095010100</v>
      </c>
      <c r="B8384" t="s">
        <v>18381</v>
      </c>
      <c r="C8384" t="s">
        <v>18382</v>
      </c>
      <c r="E8384" t="s">
        <v>39</v>
      </c>
      <c r="F8384">
        <v>0</v>
      </c>
      <c r="G8384">
        <v>0</v>
      </c>
      <c r="H8384">
        <v>2</v>
      </c>
      <c r="I8384" s="3">
        <v>7319.04</v>
      </c>
      <c r="J8384" s="3">
        <v>243.95</v>
      </c>
      <c r="K8384" t="s">
        <v>18383</v>
      </c>
      <c r="L8384">
        <v>5742</v>
      </c>
      <c r="M8384" t="s">
        <v>18384</v>
      </c>
      <c r="N8384" t="s">
        <v>30</v>
      </c>
      <c r="O8384" t="s">
        <v>31</v>
      </c>
      <c r="P8384" t="str">
        <f>"15232"</f>
        <v>15232</v>
      </c>
    </row>
    <row r="8385" spans="1:16" x14ac:dyDescent="0.25">
      <c r="A8385" t="str">
        <f>"1140085F00095020400"</f>
        <v>1140085F00095020400</v>
      </c>
      <c r="B8385" t="s">
        <v>18385</v>
      </c>
      <c r="C8385" t="s">
        <v>18386</v>
      </c>
      <c r="E8385" t="s">
        <v>39</v>
      </c>
      <c r="F8385">
        <v>0</v>
      </c>
      <c r="G8385">
        <v>0</v>
      </c>
      <c r="H8385">
        <v>2</v>
      </c>
      <c r="I8385" s="3">
        <v>6011.54</v>
      </c>
      <c r="J8385" s="3">
        <v>75.150000000000006</v>
      </c>
      <c r="K8385" t="s">
        <v>1427</v>
      </c>
      <c r="L8385">
        <v>3001</v>
      </c>
      <c r="M8385" t="s">
        <v>330</v>
      </c>
      <c r="N8385" t="s">
        <v>331</v>
      </c>
      <c r="O8385" t="s">
        <v>108</v>
      </c>
      <c r="P8385" t="str">
        <f>"75063"</f>
        <v>75063</v>
      </c>
    </row>
    <row r="8386" spans="1:16" x14ac:dyDescent="0.25">
      <c r="A8386" t="str">
        <f>"1140085F00130    00"</f>
        <v>1140085F00130    00</v>
      </c>
      <c r="B8386" t="s">
        <v>18387</v>
      </c>
      <c r="C8386" t="s">
        <v>18388</v>
      </c>
      <c r="D8386" t="s">
        <v>20</v>
      </c>
      <c r="E8386" t="s">
        <v>39</v>
      </c>
      <c r="F8386">
        <v>0</v>
      </c>
      <c r="G8386">
        <v>0</v>
      </c>
      <c r="H8386">
        <v>3</v>
      </c>
      <c r="I8386" s="3">
        <v>27344.3</v>
      </c>
      <c r="J8386" s="3">
        <v>2656.72</v>
      </c>
      <c r="L8386">
        <v>1025</v>
      </c>
      <c r="M8386" t="s">
        <v>18389</v>
      </c>
      <c r="N8386" t="s">
        <v>30</v>
      </c>
      <c r="O8386" t="s">
        <v>31</v>
      </c>
      <c r="P8386" t="str">
        <f>"15217"</f>
        <v>15217</v>
      </c>
    </row>
    <row r="8387" spans="1:16" x14ac:dyDescent="0.25">
      <c r="A8387" t="str">
        <f>"1140085F00140    00"</f>
        <v>1140085F00140    00</v>
      </c>
      <c r="B8387" t="s">
        <v>18390</v>
      </c>
      <c r="C8387" t="s">
        <v>18391</v>
      </c>
      <c r="D8387" t="s">
        <v>20</v>
      </c>
      <c r="E8387" t="s">
        <v>39</v>
      </c>
      <c r="F8387">
        <v>0</v>
      </c>
      <c r="G8387">
        <v>0</v>
      </c>
      <c r="H8387">
        <v>1</v>
      </c>
      <c r="I8387" s="3">
        <v>867.24</v>
      </c>
      <c r="J8387" s="3">
        <v>0</v>
      </c>
      <c r="K8387" t="s">
        <v>756</v>
      </c>
      <c r="L8387">
        <v>3001</v>
      </c>
      <c r="M8387" t="s">
        <v>330</v>
      </c>
      <c r="N8387" t="s">
        <v>331</v>
      </c>
      <c r="O8387" t="s">
        <v>108</v>
      </c>
      <c r="P8387" t="str">
        <f>"75063"</f>
        <v>75063</v>
      </c>
    </row>
    <row r="8388" spans="1:16" x14ac:dyDescent="0.25">
      <c r="A8388" t="str">
        <f>"1140085G00028    00"</f>
        <v>1140085G00028    00</v>
      </c>
      <c r="B8388" t="s">
        <v>18392</v>
      </c>
      <c r="C8388" t="s">
        <v>18393</v>
      </c>
      <c r="E8388" t="s">
        <v>39</v>
      </c>
      <c r="F8388">
        <v>0</v>
      </c>
      <c r="G8388">
        <v>0</v>
      </c>
      <c r="H8388">
        <v>2</v>
      </c>
      <c r="I8388" s="3">
        <v>3896.46</v>
      </c>
      <c r="J8388" s="3">
        <v>1293.56</v>
      </c>
      <c r="K8388" t="s">
        <v>391</v>
      </c>
      <c r="L8388">
        <v>1</v>
      </c>
      <c r="M8388" t="s">
        <v>392</v>
      </c>
      <c r="N8388" t="s">
        <v>393</v>
      </c>
      <c r="O8388" t="s">
        <v>394</v>
      </c>
      <c r="P8388" t="str">
        <f>"50328"</f>
        <v>50328</v>
      </c>
    </row>
    <row r="8389" spans="1:16" x14ac:dyDescent="0.25">
      <c r="A8389" t="str">
        <f>"1140085G00078    00"</f>
        <v>1140085G00078    00</v>
      </c>
      <c r="B8389" t="s">
        <v>18394</v>
      </c>
      <c r="C8389" t="s">
        <v>18395</v>
      </c>
      <c r="E8389" t="s">
        <v>39</v>
      </c>
      <c r="F8389">
        <v>0</v>
      </c>
      <c r="G8389">
        <v>0</v>
      </c>
      <c r="H8389">
        <v>1</v>
      </c>
      <c r="I8389" s="3">
        <v>45.52</v>
      </c>
      <c r="J8389" s="3">
        <v>4.55</v>
      </c>
      <c r="L8389">
        <v>1100</v>
      </c>
      <c r="M8389" t="s">
        <v>3580</v>
      </c>
      <c r="N8389" t="s">
        <v>30</v>
      </c>
      <c r="O8389" t="s">
        <v>31</v>
      </c>
      <c r="P8389" t="str">
        <f>"15232"</f>
        <v>15232</v>
      </c>
    </row>
    <row r="8390" spans="1:16" x14ac:dyDescent="0.25">
      <c r="A8390" t="str">
        <f>"1140085G00084    00"</f>
        <v>1140085G00084    00</v>
      </c>
      <c r="B8390" t="s">
        <v>18396</v>
      </c>
      <c r="C8390" t="s">
        <v>18397</v>
      </c>
      <c r="E8390" t="s">
        <v>39</v>
      </c>
      <c r="F8390">
        <v>0</v>
      </c>
      <c r="G8390">
        <v>0</v>
      </c>
      <c r="H8390">
        <v>2</v>
      </c>
      <c r="I8390" s="3">
        <v>1780.22</v>
      </c>
      <c r="J8390" s="3">
        <v>74.180000000000007</v>
      </c>
      <c r="K8390" t="s">
        <v>18398</v>
      </c>
      <c r="L8390">
        <v>970</v>
      </c>
      <c r="M8390" t="s">
        <v>18399</v>
      </c>
      <c r="N8390" t="s">
        <v>10132</v>
      </c>
      <c r="O8390" t="s">
        <v>31</v>
      </c>
      <c r="P8390" t="str">
        <f>"19087"</f>
        <v>19087</v>
      </c>
    </row>
    <row r="8391" spans="1:16" x14ac:dyDescent="0.25">
      <c r="A8391" t="str">
        <f>"1140085G00090    00"</f>
        <v>1140085G00090    00</v>
      </c>
      <c r="B8391" t="s">
        <v>18400</v>
      </c>
      <c r="C8391" t="s">
        <v>18401</v>
      </c>
      <c r="D8391" t="s">
        <v>57</v>
      </c>
      <c r="E8391" t="s">
        <v>39</v>
      </c>
      <c r="F8391">
        <v>0</v>
      </c>
      <c r="G8391">
        <v>0</v>
      </c>
      <c r="H8391">
        <v>2</v>
      </c>
      <c r="I8391" s="3">
        <v>28889.62</v>
      </c>
      <c r="J8391" s="3">
        <v>708.05</v>
      </c>
      <c r="K8391" t="s">
        <v>18402</v>
      </c>
      <c r="L8391">
        <v>1130</v>
      </c>
      <c r="M8391" t="s">
        <v>3580</v>
      </c>
      <c r="N8391" t="s">
        <v>30</v>
      </c>
      <c r="O8391" t="s">
        <v>31</v>
      </c>
      <c r="P8391" t="str">
        <f>"15232"</f>
        <v>15232</v>
      </c>
    </row>
    <row r="8392" spans="1:16" x14ac:dyDescent="0.25">
      <c r="A8392" t="str">
        <f>"1140085G00100    00"</f>
        <v>1140085G00100    00</v>
      </c>
      <c r="B8392" t="s">
        <v>18403</v>
      </c>
      <c r="C8392" t="s">
        <v>18404</v>
      </c>
      <c r="D8392" t="s">
        <v>20</v>
      </c>
      <c r="E8392" t="s">
        <v>39</v>
      </c>
      <c r="F8392">
        <v>0</v>
      </c>
      <c r="G8392">
        <v>0</v>
      </c>
      <c r="H8392">
        <v>1</v>
      </c>
      <c r="I8392" s="3">
        <v>10908.5</v>
      </c>
      <c r="J8392" s="3">
        <v>0</v>
      </c>
      <c r="L8392">
        <v>5923</v>
      </c>
      <c r="M8392" t="s">
        <v>18405</v>
      </c>
      <c r="N8392" t="s">
        <v>30</v>
      </c>
      <c r="O8392" t="s">
        <v>31</v>
      </c>
      <c r="P8392" t="str">
        <f>"15232"</f>
        <v>15232</v>
      </c>
    </row>
    <row r="8393" spans="1:16" x14ac:dyDescent="0.25">
      <c r="A8393" t="str">
        <f>"1140085G00104    00"</f>
        <v>1140085G00104    00</v>
      </c>
      <c r="B8393" t="s">
        <v>18406</v>
      </c>
      <c r="C8393" t="s">
        <v>18407</v>
      </c>
      <c r="E8393" t="s">
        <v>39</v>
      </c>
      <c r="F8393">
        <v>0</v>
      </c>
      <c r="G8393">
        <v>0</v>
      </c>
      <c r="H8393">
        <v>1</v>
      </c>
      <c r="I8393" s="3">
        <v>4468.2299999999996</v>
      </c>
      <c r="J8393" s="3">
        <v>1414.88</v>
      </c>
      <c r="K8393" t="s">
        <v>5607</v>
      </c>
      <c r="L8393">
        <v>3001</v>
      </c>
      <c r="M8393" t="s">
        <v>330</v>
      </c>
      <c r="N8393" t="s">
        <v>331</v>
      </c>
      <c r="O8393" t="s">
        <v>108</v>
      </c>
      <c r="P8393" t="str">
        <f>"75063"</f>
        <v>75063</v>
      </c>
    </row>
    <row r="8394" spans="1:16" x14ac:dyDescent="0.25">
      <c r="A8394" t="str">
        <f>"1140085G00121    00"</f>
        <v>1140085G00121    00</v>
      </c>
      <c r="B8394" t="s">
        <v>18408</v>
      </c>
      <c r="C8394" t="s">
        <v>18409</v>
      </c>
      <c r="D8394" t="s">
        <v>20</v>
      </c>
      <c r="E8394" t="s">
        <v>39</v>
      </c>
      <c r="F8394">
        <v>0</v>
      </c>
      <c r="G8394">
        <v>0</v>
      </c>
      <c r="H8394">
        <v>1</v>
      </c>
      <c r="I8394" s="3">
        <v>1938.41</v>
      </c>
      <c r="J8394" s="3">
        <v>0</v>
      </c>
      <c r="L8394">
        <v>5920</v>
      </c>
      <c r="M8394" t="s">
        <v>18405</v>
      </c>
      <c r="N8394" t="s">
        <v>30</v>
      </c>
      <c r="O8394" t="s">
        <v>31</v>
      </c>
      <c r="P8394" t="str">
        <f>"15232"</f>
        <v>15232</v>
      </c>
    </row>
    <row r="8395" spans="1:16" x14ac:dyDescent="0.25">
      <c r="A8395" t="str">
        <f>"1140085G00128    00"</f>
        <v>1140085G00128    00</v>
      </c>
      <c r="B8395" t="s">
        <v>18410</v>
      </c>
      <c r="C8395" t="s">
        <v>18411</v>
      </c>
      <c r="E8395" t="s">
        <v>39</v>
      </c>
      <c r="F8395">
        <v>0</v>
      </c>
      <c r="G8395">
        <v>0</v>
      </c>
      <c r="H8395">
        <v>1</v>
      </c>
      <c r="I8395" s="3">
        <v>217.15</v>
      </c>
      <c r="J8395" s="3">
        <v>296.76</v>
      </c>
      <c r="K8395" t="s">
        <v>18412</v>
      </c>
      <c r="L8395">
        <v>5893</v>
      </c>
      <c r="M8395" t="s">
        <v>18413</v>
      </c>
      <c r="N8395" t="s">
        <v>30</v>
      </c>
      <c r="O8395" t="s">
        <v>31</v>
      </c>
      <c r="P8395" t="str">
        <f>"15232"</f>
        <v>15232</v>
      </c>
    </row>
    <row r="8396" spans="1:16" x14ac:dyDescent="0.25">
      <c r="A8396" t="str">
        <f>"1140085G00200    00"</f>
        <v>1140085G00200    00</v>
      </c>
      <c r="B8396" t="s">
        <v>18414</v>
      </c>
      <c r="C8396" t="s">
        <v>18415</v>
      </c>
      <c r="D8396" t="s">
        <v>20</v>
      </c>
      <c r="E8396" t="s">
        <v>39</v>
      </c>
      <c r="F8396">
        <v>0</v>
      </c>
      <c r="G8396">
        <v>0</v>
      </c>
      <c r="H8396">
        <v>2</v>
      </c>
      <c r="I8396" s="3">
        <v>21240.48</v>
      </c>
      <c r="J8396" s="3">
        <v>0</v>
      </c>
      <c r="K8396" t="s">
        <v>1502</v>
      </c>
      <c r="L8396">
        <v>901</v>
      </c>
      <c r="M8396" t="s">
        <v>1503</v>
      </c>
      <c r="N8396" t="s">
        <v>494</v>
      </c>
      <c r="O8396" t="s">
        <v>495</v>
      </c>
      <c r="P8396" t="str">
        <f>"91768"</f>
        <v>91768</v>
      </c>
    </row>
    <row r="8397" spans="1:16" x14ac:dyDescent="0.25">
      <c r="A8397" t="str">
        <f>"1140085G00250    00"</f>
        <v>1140085G00250    00</v>
      </c>
      <c r="B8397" t="s">
        <v>18414</v>
      </c>
      <c r="C8397" t="s">
        <v>18415</v>
      </c>
      <c r="D8397" t="s">
        <v>20</v>
      </c>
      <c r="E8397" t="s">
        <v>39</v>
      </c>
      <c r="F8397">
        <v>0</v>
      </c>
      <c r="G8397">
        <v>0</v>
      </c>
      <c r="H8397">
        <v>3</v>
      </c>
      <c r="I8397" s="3">
        <v>182.97</v>
      </c>
      <c r="J8397" s="3">
        <v>1.52</v>
      </c>
      <c r="K8397" t="s">
        <v>18416</v>
      </c>
      <c r="L8397">
        <v>90</v>
      </c>
      <c r="M8397" t="s">
        <v>237</v>
      </c>
      <c r="N8397" t="s">
        <v>30</v>
      </c>
      <c r="O8397" t="s">
        <v>31</v>
      </c>
      <c r="P8397" t="str">
        <f>"15232"</f>
        <v>15232</v>
      </c>
    </row>
    <row r="8398" spans="1:16" x14ac:dyDescent="0.25">
      <c r="A8398" t="str">
        <f>"1140085H00044000100"</f>
        <v>1140085H00044000100</v>
      </c>
      <c r="B8398" t="s">
        <v>18417</v>
      </c>
      <c r="C8398" t="s">
        <v>18418</v>
      </c>
      <c r="E8398" t="s">
        <v>39</v>
      </c>
      <c r="F8398">
        <v>0</v>
      </c>
      <c r="G8398">
        <v>0</v>
      </c>
      <c r="H8398">
        <v>1</v>
      </c>
      <c r="I8398" s="3">
        <v>40.799999999999997</v>
      </c>
      <c r="J8398" s="3">
        <v>1.36</v>
      </c>
      <c r="K8398" t="s">
        <v>18419</v>
      </c>
      <c r="L8398">
        <v>136</v>
      </c>
      <c r="M8398" t="s">
        <v>18420</v>
      </c>
      <c r="N8398" t="s">
        <v>30</v>
      </c>
      <c r="O8398" t="s">
        <v>31</v>
      </c>
      <c r="P8398" t="str">
        <f>"15206"</f>
        <v>15206</v>
      </c>
    </row>
    <row r="8399" spans="1:16" x14ac:dyDescent="0.25">
      <c r="A8399" t="str">
        <f>"1140085H00056    00"</f>
        <v>1140085H00056    00</v>
      </c>
      <c r="B8399" t="s">
        <v>18421</v>
      </c>
      <c r="C8399" t="s">
        <v>18422</v>
      </c>
      <c r="E8399" t="s">
        <v>39</v>
      </c>
      <c r="F8399">
        <v>0</v>
      </c>
      <c r="G8399">
        <v>0</v>
      </c>
      <c r="H8399">
        <v>1</v>
      </c>
      <c r="I8399" s="3">
        <v>8252.7000000000007</v>
      </c>
      <c r="J8399" s="3">
        <v>2279.44</v>
      </c>
      <c r="K8399" t="s">
        <v>4791</v>
      </c>
      <c r="L8399">
        <v>3001</v>
      </c>
      <c r="M8399" t="s">
        <v>404</v>
      </c>
      <c r="N8399" t="s">
        <v>331</v>
      </c>
      <c r="O8399" t="s">
        <v>108</v>
      </c>
      <c r="P8399" t="str">
        <f>"75063"</f>
        <v>75063</v>
      </c>
    </row>
    <row r="8400" spans="1:16" x14ac:dyDescent="0.25">
      <c r="A8400" t="str">
        <f>"1140085H00077    00"</f>
        <v>1140085H00077    00</v>
      </c>
      <c r="B8400" t="s">
        <v>18423</v>
      </c>
      <c r="C8400" t="s">
        <v>18424</v>
      </c>
      <c r="D8400" t="s">
        <v>20</v>
      </c>
      <c r="E8400" t="s">
        <v>39</v>
      </c>
      <c r="F8400">
        <v>0</v>
      </c>
      <c r="G8400">
        <v>0</v>
      </c>
      <c r="H8400">
        <v>1</v>
      </c>
      <c r="I8400" s="3">
        <v>12459.53</v>
      </c>
      <c r="J8400" s="3">
        <v>0</v>
      </c>
      <c r="K8400" t="s">
        <v>18425</v>
      </c>
      <c r="L8400">
        <v>301</v>
      </c>
      <c r="M8400" t="s">
        <v>18426</v>
      </c>
      <c r="N8400" t="s">
        <v>18427</v>
      </c>
      <c r="O8400" t="s">
        <v>2928</v>
      </c>
      <c r="P8400" t="str">
        <f>"82801"</f>
        <v>82801</v>
      </c>
    </row>
    <row r="8401" spans="1:16" x14ac:dyDescent="0.25">
      <c r="A8401" t="str">
        <f>"1140085H00128    00"</f>
        <v>1140085H00128    00</v>
      </c>
      <c r="B8401" t="s">
        <v>18428</v>
      </c>
      <c r="C8401" t="s">
        <v>18429</v>
      </c>
      <c r="E8401" t="s">
        <v>39</v>
      </c>
      <c r="F8401">
        <v>0</v>
      </c>
      <c r="G8401">
        <v>0</v>
      </c>
      <c r="H8401">
        <v>2</v>
      </c>
      <c r="I8401" s="3">
        <v>4513.79</v>
      </c>
      <c r="J8401" s="3">
        <v>317.70999999999998</v>
      </c>
      <c r="K8401" t="s">
        <v>881</v>
      </c>
      <c r="L8401">
        <v>3001</v>
      </c>
      <c r="M8401" t="s">
        <v>330</v>
      </c>
      <c r="N8401" t="s">
        <v>331</v>
      </c>
      <c r="O8401" t="s">
        <v>108</v>
      </c>
      <c r="P8401" t="str">
        <f>"75063"</f>
        <v>75063</v>
      </c>
    </row>
    <row r="8402" spans="1:16" x14ac:dyDescent="0.25">
      <c r="A8402" t="str">
        <f>"1140085J00034    00"</f>
        <v>1140085J00034    00</v>
      </c>
      <c r="B8402" t="s">
        <v>18430</v>
      </c>
      <c r="C8402" t="s">
        <v>18431</v>
      </c>
      <c r="E8402" t="s">
        <v>39</v>
      </c>
      <c r="F8402">
        <v>0</v>
      </c>
      <c r="G8402">
        <v>0</v>
      </c>
      <c r="H8402">
        <v>1</v>
      </c>
      <c r="I8402" s="3">
        <v>74.86</v>
      </c>
      <c r="J8402" s="3">
        <v>11.23</v>
      </c>
      <c r="K8402" t="s">
        <v>18432</v>
      </c>
      <c r="L8402">
        <v>5507</v>
      </c>
      <c r="M8402" t="s">
        <v>18373</v>
      </c>
      <c r="N8402" t="s">
        <v>30</v>
      </c>
      <c r="O8402" t="s">
        <v>31</v>
      </c>
      <c r="P8402" t="str">
        <f>"15217"</f>
        <v>15217</v>
      </c>
    </row>
    <row r="8403" spans="1:16" x14ac:dyDescent="0.25">
      <c r="A8403" t="str">
        <f>"1140085J00075    00"</f>
        <v>1140085J00075    00</v>
      </c>
      <c r="B8403" t="s">
        <v>1737</v>
      </c>
      <c r="C8403" t="s">
        <v>18433</v>
      </c>
      <c r="D8403" t="s">
        <v>20</v>
      </c>
      <c r="E8403" t="s">
        <v>39</v>
      </c>
      <c r="F8403">
        <v>0</v>
      </c>
      <c r="G8403">
        <v>0</v>
      </c>
      <c r="H8403">
        <v>3</v>
      </c>
      <c r="I8403" s="3">
        <v>18945.64</v>
      </c>
      <c r="J8403" s="3">
        <v>308.76</v>
      </c>
      <c r="K8403" t="s">
        <v>1739</v>
      </c>
      <c r="L8403">
        <v>5881</v>
      </c>
      <c r="M8403" t="s">
        <v>1740</v>
      </c>
      <c r="N8403" t="s">
        <v>30</v>
      </c>
      <c r="O8403" t="s">
        <v>31</v>
      </c>
      <c r="P8403" t="str">
        <f>"15232"</f>
        <v>15232</v>
      </c>
    </row>
    <row r="8404" spans="1:16" x14ac:dyDescent="0.25">
      <c r="A8404" t="str">
        <f>"1140085J00081    00"</f>
        <v>1140085J00081    00</v>
      </c>
      <c r="B8404" t="s">
        <v>18434</v>
      </c>
      <c r="C8404" t="s">
        <v>18435</v>
      </c>
      <c r="E8404" t="s">
        <v>39</v>
      </c>
      <c r="F8404">
        <v>0</v>
      </c>
      <c r="G8404">
        <v>0</v>
      </c>
      <c r="H8404">
        <v>2</v>
      </c>
      <c r="I8404" s="3">
        <v>2789.81</v>
      </c>
      <c r="J8404" s="3">
        <v>190.78</v>
      </c>
      <c r="K8404" t="s">
        <v>5607</v>
      </c>
      <c r="L8404">
        <v>3001</v>
      </c>
      <c r="M8404" t="s">
        <v>330</v>
      </c>
      <c r="N8404" t="s">
        <v>331</v>
      </c>
      <c r="O8404" t="s">
        <v>108</v>
      </c>
      <c r="P8404" t="str">
        <f>"75063"</f>
        <v>75063</v>
      </c>
    </row>
    <row r="8405" spans="1:16" x14ac:dyDescent="0.25">
      <c r="A8405" t="str">
        <f>"1140085J00092    00"</f>
        <v>1140085J00092    00</v>
      </c>
      <c r="B8405" t="s">
        <v>18436</v>
      </c>
      <c r="C8405" t="s">
        <v>18437</v>
      </c>
      <c r="E8405" t="s">
        <v>39</v>
      </c>
      <c r="F8405">
        <v>0</v>
      </c>
      <c r="G8405">
        <v>0</v>
      </c>
      <c r="H8405">
        <v>2</v>
      </c>
      <c r="I8405" s="3">
        <v>2653.22</v>
      </c>
      <c r="J8405" s="3">
        <v>181.45</v>
      </c>
      <c r="K8405" t="s">
        <v>1502</v>
      </c>
      <c r="L8405">
        <v>901</v>
      </c>
      <c r="M8405" t="s">
        <v>1503</v>
      </c>
      <c r="N8405" t="s">
        <v>494</v>
      </c>
      <c r="O8405" t="s">
        <v>495</v>
      </c>
      <c r="P8405" t="str">
        <f>"91768"</f>
        <v>91768</v>
      </c>
    </row>
    <row r="8406" spans="1:16" x14ac:dyDescent="0.25">
      <c r="A8406" t="str">
        <f>"1140085J00093    00"</f>
        <v>1140085J00093    00</v>
      </c>
      <c r="B8406" t="s">
        <v>18438</v>
      </c>
      <c r="C8406" t="s">
        <v>18439</v>
      </c>
      <c r="D8406" t="s">
        <v>20</v>
      </c>
      <c r="E8406" t="s">
        <v>39</v>
      </c>
      <c r="F8406">
        <v>0</v>
      </c>
      <c r="G8406">
        <v>0</v>
      </c>
      <c r="H8406">
        <v>4</v>
      </c>
      <c r="I8406" s="3">
        <v>7940.76</v>
      </c>
      <c r="J8406" s="3">
        <v>502.43</v>
      </c>
      <c r="L8406">
        <v>1150</v>
      </c>
      <c r="M8406" t="s">
        <v>6208</v>
      </c>
      <c r="N8406" t="s">
        <v>30</v>
      </c>
      <c r="O8406" t="s">
        <v>31</v>
      </c>
      <c r="P8406" t="str">
        <f>"15217"</f>
        <v>15217</v>
      </c>
    </row>
    <row r="8407" spans="1:16" x14ac:dyDescent="0.25">
      <c r="A8407" t="str">
        <f>"1140085J00096    00"</f>
        <v>1140085J00096    00</v>
      </c>
      <c r="B8407" t="s">
        <v>18440</v>
      </c>
      <c r="C8407" t="s">
        <v>18441</v>
      </c>
      <c r="E8407" t="s">
        <v>39</v>
      </c>
      <c r="F8407">
        <v>0</v>
      </c>
      <c r="G8407">
        <v>0</v>
      </c>
      <c r="H8407">
        <v>1</v>
      </c>
      <c r="I8407" s="3">
        <v>859.2</v>
      </c>
      <c r="J8407" s="3">
        <v>107.39</v>
      </c>
      <c r="K8407" t="s">
        <v>9114</v>
      </c>
      <c r="M8407" t="s">
        <v>9115</v>
      </c>
      <c r="N8407" t="s">
        <v>264</v>
      </c>
      <c r="O8407" t="s">
        <v>25</v>
      </c>
      <c r="P8407" t="str">
        <f>"45263"</f>
        <v>45263</v>
      </c>
    </row>
    <row r="8408" spans="1:16" x14ac:dyDescent="0.25">
      <c r="A8408" t="str">
        <f>"1140085J00103    00"</f>
        <v>1140085J00103    00</v>
      </c>
      <c r="B8408" t="s">
        <v>18442</v>
      </c>
      <c r="C8408" t="s">
        <v>18443</v>
      </c>
      <c r="E8408" t="s">
        <v>39</v>
      </c>
      <c r="F8408">
        <v>0</v>
      </c>
      <c r="G8408">
        <v>0</v>
      </c>
      <c r="H8408">
        <v>1</v>
      </c>
      <c r="I8408" s="3">
        <v>2505.27</v>
      </c>
      <c r="J8408" s="3">
        <v>793.31</v>
      </c>
      <c r="K8408" t="s">
        <v>4933</v>
      </c>
      <c r="L8408">
        <v>3001</v>
      </c>
      <c r="M8408" t="s">
        <v>330</v>
      </c>
      <c r="N8408" t="s">
        <v>331</v>
      </c>
      <c r="O8408" t="s">
        <v>108</v>
      </c>
      <c r="P8408" t="str">
        <f>"75063"</f>
        <v>75063</v>
      </c>
    </row>
    <row r="8409" spans="1:16" x14ac:dyDescent="0.25">
      <c r="A8409" t="str">
        <f>"1140085J00128    00"</f>
        <v>1140085J00128    00</v>
      </c>
      <c r="B8409" t="s">
        <v>18444</v>
      </c>
      <c r="C8409" t="s">
        <v>18445</v>
      </c>
      <c r="D8409" t="s">
        <v>20</v>
      </c>
      <c r="E8409" t="s">
        <v>39</v>
      </c>
      <c r="F8409">
        <v>0</v>
      </c>
      <c r="G8409">
        <v>0</v>
      </c>
      <c r="H8409">
        <v>1</v>
      </c>
      <c r="I8409" s="3">
        <v>9388.9599999999991</v>
      </c>
      <c r="J8409" s="3">
        <v>0</v>
      </c>
      <c r="L8409">
        <v>5520</v>
      </c>
      <c r="M8409" t="s">
        <v>18446</v>
      </c>
      <c r="N8409" t="s">
        <v>30</v>
      </c>
      <c r="O8409" t="s">
        <v>31</v>
      </c>
      <c r="P8409" t="str">
        <f>"15217"</f>
        <v>15217</v>
      </c>
    </row>
    <row r="8410" spans="1:16" x14ac:dyDescent="0.25">
      <c r="A8410" t="str">
        <f>"1140085J00154    00"</f>
        <v>1140085J00154    00</v>
      </c>
      <c r="B8410" t="s">
        <v>18447</v>
      </c>
      <c r="C8410" t="s">
        <v>18448</v>
      </c>
      <c r="E8410" t="s">
        <v>39</v>
      </c>
      <c r="F8410">
        <v>0</v>
      </c>
      <c r="G8410">
        <v>0</v>
      </c>
      <c r="H8410">
        <v>2</v>
      </c>
      <c r="I8410" s="3">
        <v>4055.96</v>
      </c>
      <c r="J8410" s="3">
        <v>67.59</v>
      </c>
      <c r="K8410" t="s">
        <v>1030</v>
      </c>
      <c r="M8410" t="s">
        <v>1031</v>
      </c>
      <c r="N8410" t="s">
        <v>1032</v>
      </c>
      <c r="O8410" t="s">
        <v>25</v>
      </c>
      <c r="P8410" t="str">
        <f>"44711"</f>
        <v>44711</v>
      </c>
    </row>
    <row r="8411" spans="1:16" x14ac:dyDescent="0.25">
      <c r="A8411" t="str">
        <f>"1140085J00179    00"</f>
        <v>1140085J00179    00</v>
      </c>
      <c r="B8411" t="s">
        <v>18449</v>
      </c>
      <c r="C8411" t="s">
        <v>18450</v>
      </c>
      <c r="D8411" t="s">
        <v>20</v>
      </c>
      <c r="E8411" t="s">
        <v>39</v>
      </c>
      <c r="F8411">
        <v>0</v>
      </c>
      <c r="G8411">
        <v>0</v>
      </c>
      <c r="H8411">
        <v>2</v>
      </c>
      <c r="I8411" s="3">
        <v>2878.08</v>
      </c>
      <c r="J8411" s="3">
        <v>0</v>
      </c>
      <c r="K8411" t="s">
        <v>492</v>
      </c>
      <c r="L8411">
        <v>901</v>
      </c>
      <c r="M8411" t="s">
        <v>493</v>
      </c>
      <c r="N8411" t="s">
        <v>494</v>
      </c>
      <c r="O8411" t="s">
        <v>495</v>
      </c>
      <c r="P8411" t="str">
        <f>"91768"</f>
        <v>91768</v>
      </c>
    </row>
    <row r="8412" spans="1:16" x14ac:dyDescent="0.25">
      <c r="A8412" t="str">
        <f>"1140085J00215    00"</f>
        <v>1140085J00215    00</v>
      </c>
      <c r="B8412" t="s">
        <v>18451</v>
      </c>
      <c r="C8412" t="s">
        <v>18452</v>
      </c>
      <c r="E8412" t="s">
        <v>39</v>
      </c>
      <c r="F8412">
        <v>0</v>
      </c>
      <c r="G8412">
        <v>0</v>
      </c>
      <c r="H8412">
        <v>1</v>
      </c>
      <c r="I8412" s="3">
        <v>350.64</v>
      </c>
      <c r="J8412" s="3">
        <v>0</v>
      </c>
      <c r="K8412" t="s">
        <v>18453</v>
      </c>
      <c r="L8412">
        <v>5420</v>
      </c>
      <c r="M8412" t="s">
        <v>18373</v>
      </c>
      <c r="N8412" t="s">
        <v>30</v>
      </c>
      <c r="O8412" t="s">
        <v>31</v>
      </c>
      <c r="P8412" t="str">
        <f>"15217"</f>
        <v>15217</v>
      </c>
    </row>
    <row r="8413" spans="1:16" x14ac:dyDescent="0.25">
      <c r="A8413" t="str">
        <f>"1140085J00249    00"</f>
        <v>1140085J00249    00</v>
      </c>
      <c r="B8413" t="s">
        <v>18454</v>
      </c>
      <c r="C8413" t="s">
        <v>18455</v>
      </c>
      <c r="E8413" t="s">
        <v>39</v>
      </c>
      <c r="F8413">
        <v>0</v>
      </c>
      <c r="G8413">
        <v>0</v>
      </c>
      <c r="H8413">
        <v>1</v>
      </c>
      <c r="I8413" s="3">
        <v>335.46</v>
      </c>
      <c r="J8413" s="3">
        <v>8.39</v>
      </c>
      <c r="L8413">
        <v>5475</v>
      </c>
      <c r="M8413" t="s">
        <v>2955</v>
      </c>
      <c r="N8413" t="s">
        <v>30</v>
      </c>
      <c r="O8413" t="s">
        <v>31</v>
      </c>
      <c r="P8413" t="str">
        <f>"15217"</f>
        <v>15217</v>
      </c>
    </row>
    <row r="8414" spans="1:16" x14ac:dyDescent="0.25">
      <c r="A8414" t="str">
        <f>"1140085J00251    00"</f>
        <v>1140085J00251    00</v>
      </c>
      <c r="B8414" t="s">
        <v>18456</v>
      </c>
      <c r="C8414" t="s">
        <v>18457</v>
      </c>
      <c r="E8414" t="s">
        <v>39</v>
      </c>
      <c r="F8414">
        <v>0</v>
      </c>
      <c r="G8414">
        <v>0</v>
      </c>
      <c r="H8414">
        <v>1</v>
      </c>
      <c r="I8414" s="3">
        <v>5174.7</v>
      </c>
      <c r="J8414" s="3">
        <v>1164.26</v>
      </c>
      <c r="K8414" t="s">
        <v>400</v>
      </c>
      <c r="L8414">
        <v>3001</v>
      </c>
      <c r="M8414" t="s">
        <v>330</v>
      </c>
      <c r="N8414" t="s">
        <v>331</v>
      </c>
      <c r="O8414" t="s">
        <v>108</v>
      </c>
      <c r="P8414" t="str">
        <f>"75063"</f>
        <v>75063</v>
      </c>
    </row>
    <row r="8415" spans="1:16" x14ac:dyDescent="0.25">
      <c r="A8415" t="str">
        <f>"1140085J00272000100"</f>
        <v>1140085J00272000100</v>
      </c>
      <c r="B8415" t="s">
        <v>6838</v>
      </c>
      <c r="C8415" t="s">
        <v>18458</v>
      </c>
      <c r="D8415" t="s">
        <v>20</v>
      </c>
      <c r="E8415" t="s">
        <v>39</v>
      </c>
      <c r="F8415">
        <v>0</v>
      </c>
      <c r="G8415">
        <v>0</v>
      </c>
      <c r="H8415">
        <v>1</v>
      </c>
      <c r="I8415" s="3">
        <v>1035.26</v>
      </c>
      <c r="J8415" s="3">
        <v>0</v>
      </c>
      <c r="L8415">
        <v>5299</v>
      </c>
      <c r="M8415" t="s">
        <v>6840</v>
      </c>
      <c r="N8415" t="s">
        <v>179</v>
      </c>
      <c r="O8415" t="s">
        <v>180</v>
      </c>
      <c r="P8415" t="str">
        <f>"80111"</f>
        <v>80111</v>
      </c>
    </row>
    <row r="8416" spans="1:16" x14ac:dyDescent="0.25">
      <c r="A8416" t="str">
        <f>"1140085J00272000200"</f>
        <v>1140085J00272000200</v>
      </c>
      <c r="B8416" t="s">
        <v>18459</v>
      </c>
      <c r="C8416" t="s">
        <v>18460</v>
      </c>
      <c r="E8416" t="s">
        <v>39</v>
      </c>
      <c r="F8416">
        <v>0</v>
      </c>
      <c r="G8416">
        <v>0</v>
      </c>
      <c r="H8416">
        <v>1</v>
      </c>
      <c r="I8416" s="3">
        <v>835.03</v>
      </c>
      <c r="J8416" s="3">
        <v>0</v>
      </c>
      <c r="L8416">
        <v>1001</v>
      </c>
      <c r="M8416" t="s">
        <v>18461</v>
      </c>
      <c r="N8416" t="s">
        <v>30</v>
      </c>
      <c r="O8416" t="s">
        <v>31</v>
      </c>
      <c r="P8416" t="str">
        <f>"15237"</f>
        <v>15237</v>
      </c>
    </row>
    <row r="8417" spans="1:16" x14ac:dyDescent="0.25">
      <c r="A8417" t="str">
        <f>"1140085J00272D   00"</f>
        <v>1140085J00272D   00</v>
      </c>
      <c r="B8417" t="s">
        <v>18462</v>
      </c>
      <c r="C8417" t="s">
        <v>18463</v>
      </c>
      <c r="E8417" t="s">
        <v>39</v>
      </c>
      <c r="F8417">
        <v>0</v>
      </c>
      <c r="G8417">
        <v>0</v>
      </c>
      <c r="H8417">
        <v>3</v>
      </c>
      <c r="I8417" s="3">
        <v>8252.27</v>
      </c>
      <c r="J8417" s="3">
        <v>138.01</v>
      </c>
      <c r="L8417">
        <v>5434</v>
      </c>
      <c r="M8417" t="s">
        <v>2955</v>
      </c>
      <c r="N8417" t="s">
        <v>30</v>
      </c>
      <c r="O8417" t="s">
        <v>31</v>
      </c>
      <c r="P8417" t="str">
        <f>"15217"</f>
        <v>15217</v>
      </c>
    </row>
    <row r="8418" spans="1:16" x14ac:dyDescent="0.25">
      <c r="A8418" t="str">
        <f>"1140085K00003    00"</f>
        <v>1140085K00003    00</v>
      </c>
      <c r="B8418" t="s">
        <v>18464</v>
      </c>
      <c r="C8418" t="s">
        <v>18465</v>
      </c>
      <c r="E8418" t="s">
        <v>39</v>
      </c>
      <c r="F8418">
        <v>0</v>
      </c>
      <c r="G8418">
        <v>0</v>
      </c>
      <c r="H8418">
        <v>1</v>
      </c>
      <c r="I8418" s="3">
        <v>3632.26</v>
      </c>
      <c r="J8418" s="3">
        <v>999.33</v>
      </c>
      <c r="K8418" t="s">
        <v>391</v>
      </c>
      <c r="L8418">
        <v>1</v>
      </c>
      <c r="M8418" t="s">
        <v>392</v>
      </c>
      <c r="N8418" t="s">
        <v>393</v>
      </c>
      <c r="O8418" t="s">
        <v>394</v>
      </c>
      <c r="P8418" t="str">
        <f>"50328"</f>
        <v>50328</v>
      </c>
    </row>
    <row r="8419" spans="1:16" x14ac:dyDescent="0.25">
      <c r="A8419" t="str">
        <f>"1140085K00116    00"</f>
        <v>1140085K00116    00</v>
      </c>
      <c r="B8419" t="s">
        <v>18466</v>
      </c>
      <c r="C8419" t="s">
        <v>18467</v>
      </c>
      <c r="E8419" t="s">
        <v>39</v>
      </c>
      <c r="F8419">
        <v>0</v>
      </c>
      <c r="G8419">
        <v>0</v>
      </c>
      <c r="H8419">
        <v>2</v>
      </c>
      <c r="I8419" s="3">
        <v>8710.44</v>
      </c>
      <c r="J8419" s="3">
        <v>290.35000000000002</v>
      </c>
      <c r="K8419" t="s">
        <v>18468</v>
      </c>
      <c r="L8419">
        <v>5710</v>
      </c>
      <c r="M8419" t="s">
        <v>18469</v>
      </c>
      <c r="N8419" t="s">
        <v>30</v>
      </c>
      <c r="O8419" t="s">
        <v>31</v>
      </c>
      <c r="P8419" t="str">
        <f>"15217"</f>
        <v>15217</v>
      </c>
    </row>
    <row r="8420" spans="1:16" x14ac:dyDescent="0.25">
      <c r="A8420" t="str">
        <f>"1140085K00121    00"</f>
        <v>1140085K00121    00</v>
      </c>
      <c r="B8420" t="s">
        <v>18470</v>
      </c>
      <c r="C8420" t="s">
        <v>18471</v>
      </c>
      <c r="D8420" t="s">
        <v>20</v>
      </c>
      <c r="E8420" t="s">
        <v>39</v>
      </c>
      <c r="F8420">
        <v>0</v>
      </c>
      <c r="G8420">
        <v>0</v>
      </c>
      <c r="H8420">
        <v>3</v>
      </c>
      <c r="I8420" s="3">
        <v>9377.52</v>
      </c>
      <c r="J8420" s="3">
        <v>208.38</v>
      </c>
      <c r="K8420" t="s">
        <v>5567</v>
      </c>
      <c r="L8420">
        <v>1901</v>
      </c>
      <c r="M8420" t="s">
        <v>5016</v>
      </c>
      <c r="N8420" t="s">
        <v>5017</v>
      </c>
      <c r="O8420" t="s">
        <v>3486</v>
      </c>
      <c r="P8420" t="str">
        <f>"61834"</f>
        <v>61834</v>
      </c>
    </row>
    <row r="8421" spans="1:16" x14ac:dyDescent="0.25">
      <c r="A8421" t="str">
        <f>"1140085K00221    00"</f>
        <v>1140085K00221    00</v>
      </c>
      <c r="B8421" t="s">
        <v>18472</v>
      </c>
      <c r="C8421" t="s">
        <v>18473</v>
      </c>
      <c r="E8421" t="s">
        <v>39</v>
      </c>
      <c r="F8421">
        <v>0</v>
      </c>
      <c r="G8421">
        <v>0</v>
      </c>
      <c r="H8421">
        <v>2</v>
      </c>
      <c r="I8421" s="3">
        <v>2134.7199999999998</v>
      </c>
      <c r="J8421" s="3">
        <v>35.57</v>
      </c>
      <c r="K8421" t="s">
        <v>408</v>
      </c>
      <c r="M8421" t="s">
        <v>409</v>
      </c>
      <c r="N8421" t="s">
        <v>410</v>
      </c>
      <c r="O8421" t="s">
        <v>31</v>
      </c>
      <c r="P8421" t="str">
        <f>"15701"</f>
        <v>15701</v>
      </c>
    </row>
    <row r="8422" spans="1:16" x14ac:dyDescent="0.25">
      <c r="A8422" t="str">
        <f>"1140085K00248    00"</f>
        <v>1140085K00248    00</v>
      </c>
      <c r="B8422" t="s">
        <v>18474</v>
      </c>
      <c r="C8422" t="s">
        <v>18475</v>
      </c>
      <c r="D8422" t="s">
        <v>20</v>
      </c>
      <c r="E8422" t="s">
        <v>39</v>
      </c>
      <c r="F8422">
        <v>0</v>
      </c>
      <c r="G8422">
        <v>0</v>
      </c>
      <c r="H8422">
        <v>2</v>
      </c>
      <c r="I8422" s="3">
        <v>10888.35</v>
      </c>
      <c r="J8422" s="3">
        <v>0</v>
      </c>
      <c r="L8422">
        <v>1175</v>
      </c>
      <c r="M8422" t="s">
        <v>18389</v>
      </c>
      <c r="N8422" t="s">
        <v>30</v>
      </c>
      <c r="O8422" t="s">
        <v>31</v>
      </c>
      <c r="P8422" t="str">
        <f>"15217"</f>
        <v>15217</v>
      </c>
    </row>
    <row r="8423" spans="1:16" x14ac:dyDescent="0.25">
      <c r="A8423" t="str">
        <f>"1140085K00277    00"</f>
        <v>1140085K00277    00</v>
      </c>
      <c r="B8423" t="s">
        <v>18476</v>
      </c>
      <c r="C8423" t="s">
        <v>18477</v>
      </c>
      <c r="E8423" t="s">
        <v>39</v>
      </c>
      <c r="F8423">
        <v>0</v>
      </c>
      <c r="G8423">
        <v>0</v>
      </c>
      <c r="H8423">
        <v>1</v>
      </c>
      <c r="I8423" s="3">
        <v>3670.26</v>
      </c>
      <c r="J8423" s="3">
        <v>91.76</v>
      </c>
      <c r="K8423" t="s">
        <v>400</v>
      </c>
      <c r="L8423">
        <v>3001</v>
      </c>
      <c r="M8423" t="s">
        <v>330</v>
      </c>
      <c r="N8423" t="s">
        <v>331</v>
      </c>
      <c r="O8423" t="s">
        <v>108</v>
      </c>
      <c r="P8423" t="str">
        <f>"75063"</f>
        <v>75063</v>
      </c>
    </row>
    <row r="8424" spans="1:16" x14ac:dyDescent="0.25">
      <c r="A8424" t="str">
        <f>"1140085L00003    00"</f>
        <v>1140085L00003    00</v>
      </c>
      <c r="B8424" t="s">
        <v>18478</v>
      </c>
      <c r="C8424" t="s">
        <v>18479</v>
      </c>
      <c r="E8424" t="s">
        <v>39</v>
      </c>
      <c r="F8424">
        <v>0</v>
      </c>
      <c r="G8424">
        <v>0</v>
      </c>
      <c r="H8424">
        <v>1</v>
      </c>
      <c r="I8424" s="3">
        <v>1099.25</v>
      </c>
      <c r="J8424" s="3">
        <v>348.08</v>
      </c>
      <c r="K8424" t="s">
        <v>18480</v>
      </c>
      <c r="M8424" t="s">
        <v>18481</v>
      </c>
      <c r="N8424" t="s">
        <v>264</v>
      </c>
      <c r="O8424" t="s">
        <v>25</v>
      </c>
      <c r="P8424" t="str">
        <f>"45263"</f>
        <v>45263</v>
      </c>
    </row>
    <row r="8425" spans="1:16" x14ac:dyDescent="0.25">
      <c r="A8425" t="str">
        <f>"1140085L00012    00"</f>
        <v>1140085L00012    00</v>
      </c>
      <c r="B8425" t="s">
        <v>18482</v>
      </c>
      <c r="C8425" t="s">
        <v>18483</v>
      </c>
      <c r="D8425" t="s">
        <v>20</v>
      </c>
      <c r="E8425" t="s">
        <v>39</v>
      </c>
      <c r="F8425">
        <v>0</v>
      </c>
      <c r="G8425">
        <v>0</v>
      </c>
      <c r="H8425">
        <v>3</v>
      </c>
      <c r="I8425" s="3">
        <v>12382.12</v>
      </c>
      <c r="J8425" s="3">
        <v>855.59</v>
      </c>
      <c r="K8425" t="s">
        <v>18484</v>
      </c>
      <c r="L8425">
        <v>3506</v>
      </c>
      <c r="M8425" t="s">
        <v>1451</v>
      </c>
      <c r="N8425" t="s">
        <v>285</v>
      </c>
      <c r="O8425" t="s">
        <v>31</v>
      </c>
      <c r="P8425" t="str">
        <f>"15120"</f>
        <v>15120</v>
      </c>
    </row>
    <row r="8426" spans="1:16" x14ac:dyDescent="0.25">
      <c r="A8426" t="str">
        <f>"1140085L00036    00"</f>
        <v>1140085L00036    00</v>
      </c>
      <c r="B8426" t="s">
        <v>18485</v>
      </c>
      <c r="C8426" t="s">
        <v>18486</v>
      </c>
      <c r="D8426" t="s">
        <v>20</v>
      </c>
      <c r="E8426" t="s">
        <v>39</v>
      </c>
      <c r="F8426">
        <v>0</v>
      </c>
      <c r="G8426">
        <v>0</v>
      </c>
      <c r="H8426">
        <v>3</v>
      </c>
      <c r="I8426" s="3">
        <v>6644.31</v>
      </c>
      <c r="J8426" s="3">
        <v>55.37</v>
      </c>
      <c r="K8426" t="s">
        <v>5692</v>
      </c>
      <c r="L8426">
        <v>3001</v>
      </c>
      <c r="M8426" t="s">
        <v>330</v>
      </c>
      <c r="N8426" t="s">
        <v>331</v>
      </c>
      <c r="O8426" t="s">
        <v>108</v>
      </c>
      <c r="P8426" t="str">
        <f>"75063"</f>
        <v>75063</v>
      </c>
    </row>
    <row r="8427" spans="1:16" x14ac:dyDescent="0.25">
      <c r="A8427" t="str">
        <f>"1140085L00231    00"</f>
        <v>1140085L00231    00</v>
      </c>
      <c r="B8427" t="s">
        <v>18487</v>
      </c>
      <c r="C8427" t="s">
        <v>18488</v>
      </c>
      <c r="E8427" t="s">
        <v>39</v>
      </c>
      <c r="F8427">
        <v>0</v>
      </c>
      <c r="G8427">
        <v>0</v>
      </c>
      <c r="H8427">
        <v>2</v>
      </c>
      <c r="I8427" s="3">
        <v>3297.08</v>
      </c>
      <c r="J8427" s="3">
        <v>326.67</v>
      </c>
      <c r="K8427" t="s">
        <v>18489</v>
      </c>
      <c r="L8427">
        <v>10</v>
      </c>
      <c r="M8427" t="s">
        <v>18490</v>
      </c>
      <c r="N8427" t="s">
        <v>30</v>
      </c>
      <c r="O8427" t="s">
        <v>31</v>
      </c>
      <c r="P8427" t="str">
        <f>"15232"</f>
        <v>15232</v>
      </c>
    </row>
    <row r="8428" spans="1:16" x14ac:dyDescent="0.25">
      <c r="A8428" t="str">
        <f>"1140085M00011    00"</f>
        <v>1140085M00011    00</v>
      </c>
      <c r="B8428" t="s">
        <v>18491</v>
      </c>
      <c r="C8428" t="s">
        <v>18492</v>
      </c>
      <c r="E8428" t="s">
        <v>39</v>
      </c>
      <c r="F8428">
        <v>0</v>
      </c>
      <c r="G8428">
        <v>0</v>
      </c>
      <c r="H8428">
        <v>2</v>
      </c>
      <c r="I8428" s="3">
        <v>7679.22</v>
      </c>
      <c r="J8428" s="3">
        <v>499.35</v>
      </c>
      <c r="K8428" t="s">
        <v>18493</v>
      </c>
      <c r="L8428">
        <v>500</v>
      </c>
      <c r="M8428" t="s">
        <v>18494</v>
      </c>
      <c r="N8428" t="s">
        <v>18495</v>
      </c>
      <c r="O8428" t="s">
        <v>1269</v>
      </c>
      <c r="P8428" t="str">
        <f>"06450"</f>
        <v>06450</v>
      </c>
    </row>
    <row r="8429" spans="1:16" x14ac:dyDescent="0.25">
      <c r="A8429" t="str">
        <f>"1140085M00027    00"</f>
        <v>1140085M00027    00</v>
      </c>
      <c r="B8429" t="s">
        <v>18496</v>
      </c>
      <c r="C8429" t="s">
        <v>18497</v>
      </c>
      <c r="E8429" t="s">
        <v>39</v>
      </c>
      <c r="F8429">
        <v>0</v>
      </c>
      <c r="G8429">
        <v>0</v>
      </c>
      <c r="H8429">
        <v>2</v>
      </c>
      <c r="I8429" s="3">
        <v>3209.7</v>
      </c>
      <c r="J8429" s="3">
        <v>40.130000000000003</v>
      </c>
      <c r="K8429" t="s">
        <v>9114</v>
      </c>
      <c r="M8429" t="s">
        <v>9115</v>
      </c>
      <c r="N8429" t="s">
        <v>264</v>
      </c>
      <c r="O8429" t="s">
        <v>25</v>
      </c>
      <c r="P8429" t="str">
        <f>"45263"</f>
        <v>45263</v>
      </c>
    </row>
    <row r="8430" spans="1:16" x14ac:dyDescent="0.25">
      <c r="A8430" t="str">
        <f>"1140085M00052    00"</f>
        <v>1140085M00052    00</v>
      </c>
      <c r="B8430" t="s">
        <v>18498</v>
      </c>
      <c r="C8430" t="s">
        <v>18499</v>
      </c>
      <c r="E8430" t="s">
        <v>39</v>
      </c>
      <c r="F8430">
        <v>0</v>
      </c>
      <c r="G8430">
        <v>0</v>
      </c>
      <c r="H8430">
        <v>2</v>
      </c>
      <c r="I8430" s="3">
        <v>5008.96</v>
      </c>
      <c r="J8430" s="3">
        <v>250.43</v>
      </c>
      <c r="K8430" t="s">
        <v>391</v>
      </c>
      <c r="L8430">
        <v>1</v>
      </c>
      <c r="M8430" t="s">
        <v>392</v>
      </c>
      <c r="N8430" t="s">
        <v>393</v>
      </c>
      <c r="O8430" t="s">
        <v>394</v>
      </c>
      <c r="P8430" t="str">
        <f>"50328"</f>
        <v>50328</v>
      </c>
    </row>
    <row r="8431" spans="1:16" x14ac:dyDescent="0.25">
      <c r="A8431" t="str">
        <f>"1140085M00132    00"</f>
        <v>1140085M00132    00</v>
      </c>
      <c r="B8431" t="s">
        <v>18500</v>
      </c>
      <c r="C8431" t="s">
        <v>18501</v>
      </c>
      <c r="D8431" t="s">
        <v>20</v>
      </c>
      <c r="E8431" t="s">
        <v>39</v>
      </c>
      <c r="F8431">
        <v>0</v>
      </c>
      <c r="G8431">
        <v>0</v>
      </c>
      <c r="H8431">
        <v>1</v>
      </c>
      <c r="I8431" s="3">
        <v>5239.76</v>
      </c>
      <c r="J8431" s="3">
        <v>0</v>
      </c>
      <c r="L8431">
        <v>1270</v>
      </c>
      <c r="M8431" t="s">
        <v>1695</v>
      </c>
      <c r="N8431" t="s">
        <v>30</v>
      </c>
      <c r="O8431" t="s">
        <v>31</v>
      </c>
      <c r="P8431" t="str">
        <f>"15206"</f>
        <v>15206</v>
      </c>
    </row>
    <row r="8432" spans="1:16" x14ac:dyDescent="0.25">
      <c r="A8432" t="str">
        <f>"1140085M00141    00"</f>
        <v>1140085M00141    00</v>
      </c>
      <c r="B8432" t="s">
        <v>18502</v>
      </c>
      <c r="C8432" t="s">
        <v>18503</v>
      </c>
      <c r="E8432" t="s">
        <v>39</v>
      </c>
      <c r="F8432">
        <v>0</v>
      </c>
      <c r="G8432">
        <v>0</v>
      </c>
      <c r="H8432">
        <v>2</v>
      </c>
      <c r="I8432" s="3">
        <v>11153.57</v>
      </c>
      <c r="J8432" s="3">
        <v>762.75</v>
      </c>
      <c r="K8432" t="s">
        <v>710</v>
      </c>
      <c r="L8432">
        <v>4140</v>
      </c>
      <c r="M8432" t="s">
        <v>711</v>
      </c>
      <c r="N8432" t="s">
        <v>712</v>
      </c>
      <c r="O8432" t="s">
        <v>31</v>
      </c>
      <c r="P8432" t="str">
        <f>"16148"</f>
        <v>16148</v>
      </c>
    </row>
    <row r="8433" spans="1:16" x14ac:dyDescent="0.25">
      <c r="A8433" t="str">
        <f>"1140085M00185    00"</f>
        <v>1140085M00185    00</v>
      </c>
      <c r="B8433" t="s">
        <v>18504</v>
      </c>
      <c r="C8433" t="s">
        <v>18505</v>
      </c>
      <c r="D8433" t="s">
        <v>20</v>
      </c>
      <c r="E8433" t="s">
        <v>39</v>
      </c>
      <c r="F8433">
        <v>0</v>
      </c>
      <c r="G8433">
        <v>0</v>
      </c>
      <c r="H8433">
        <v>1</v>
      </c>
      <c r="I8433" s="3">
        <v>2461.13</v>
      </c>
      <c r="J8433" s="3">
        <v>0</v>
      </c>
      <c r="L8433">
        <v>128</v>
      </c>
      <c r="M8433" t="s">
        <v>18506</v>
      </c>
      <c r="N8433" t="s">
        <v>30</v>
      </c>
      <c r="O8433" t="s">
        <v>31</v>
      </c>
      <c r="P8433" t="str">
        <f>"15223"</f>
        <v>15223</v>
      </c>
    </row>
    <row r="8434" spans="1:16" x14ac:dyDescent="0.25">
      <c r="A8434" t="str">
        <f>"1140085M00216    00"</f>
        <v>1140085M00216    00</v>
      </c>
      <c r="B8434" t="s">
        <v>18507</v>
      </c>
      <c r="C8434" t="s">
        <v>18508</v>
      </c>
      <c r="E8434" t="s">
        <v>39</v>
      </c>
      <c r="F8434">
        <v>0</v>
      </c>
      <c r="G8434">
        <v>0</v>
      </c>
      <c r="H8434">
        <v>2</v>
      </c>
      <c r="I8434" s="3">
        <v>4646.84</v>
      </c>
      <c r="J8434" s="3">
        <v>232.33</v>
      </c>
      <c r="K8434" t="s">
        <v>4424</v>
      </c>
      <c r="L8434">
        <v>3001</v>
      </c>
      <c r="M8434" t="s">
        <v>330</v>
      </c>
      <c r="N8434" t="s">
        <v>331</v>
      </c>
      <c r="O8434" t="s">
        <v>108</v>
      </c>
      <c r="P8434" t="str">
        <f>"75063"</f>
        <v>75063</v>
      </c>
    </row>
    <row r="8435" spans="1:16" x14ac:dyDescent="0.25">
      <c r="A8435" t="str">
        <f>"1140085M00220    00"</f>
        <v>1140085M00220    00</v>
      </c>
      <c r="B8435" t="s">
        <v>18509</v>
      </c>
      <c r="C8435" t="s">
        <v>18510</v>
      </c>
      <c r="D8435" t="s">
        <v>20</v>
      </c>
      <c r="E8435" t="s">
        <v>39</v>
      </c>
      <c r="F8435">
        <v>0</v>
      </c>
      <c r="G8435">
        <v>0</v>
      </c>
      <c r="H8435">
        <v>1</v>
      </c>
      <c r="I8435" s="3">
        <v>17009.62</v>
      </c>
      <c r="J8435" s="3">
        <v>0</v>
      </c>
      <c r="K8435" t="s">
        <v>1632</v>
      </c>
      <c r="M8435" t="s">
        <v>1633</v>
      </c>
      <c r="N8435" t="s">
        <v>1634</v>
      </c>
      <c r="O8435" t="s">
        <v>25</v>
      </c>
      <c r="P8435" t="str">
        <f>"45401"</f>
        <v>45401</v>
      </c>
    </row>
    <row r="8436" spans="1:16" x14ac:dyDescent="0.25">
      <c r="A8436" t="str">
        <f>"1140085M00237    00"</f>
        <v>1140085M00237    00</v>
      </c>
      <c r="B8436" t="s">
        <v>18511</v>
      </c>
      <c r="C8436" t="s">
        <v>18512</v>
      </c>
      <c r="E8436" t="s">
        <v>39</v>
      </c>
      <c r="F8436">
        <v>0</v>
      </c>
      <c r="G8436">
        <v>0</v>
      </c>
      <c r="H8436">
        <v>2</v>
      </c>
      <c r="I8436" s="3">
        <v>3968.68</v>
      </c>
      <c r="J8436" s="3">
        <v>271.39999999999998</v>
      </c>
      <c r="K8436" t="s">
        <v>710</v>
      </c>
      <c r="L8436">
        <v>4140</v>
      </c>
      <c r="M8436" t="s">
        <v>711</v>
      </c>
      <c r="N8436" t="s">
        <v>712</v>
      </c>
      <c r="O8436" t="s">
        <v>31</v>
      </c>
      <c r="P8436" t="str">
        <f>"16148"</f>
        <v>16148</v>
      </c>
    </row>
    <row r="8437" spans="1:16" x14ac:dyDescent="0.25">
      <c r="A8437" t="str">
        <f>"1140085M00272    00"</f>
        <v>1140085M00272    00</v>
      </c>
      <c r="B8437" t="s">
        <v>18513</v>
      </c>
      <c r="C8437" t="s">
        <v>18514</v>
      </c>
      <c r="E8437" t="s">
        <v>39</v>
      </c>
      <c r="F8437">
        <v>0</v>
      </c>
      <c r="G8437">
        <v>0</v>
      </c>
      <c r="H8437">
        <v>1</v>
      </c>
      <c r="I8437" s="3">
        <v>25.51</v>
      </c>
      <c r="J8437" s="3">
        <v>5.52</v>
      </c>
      <c r="K8437" t="s">
        <v>18515</v>
      </c>
      <c r="L8437">
        <v>189</v>
      </c>
      <c r="M8437" t="s">
        <v>18516</v>
      </c>
      <c r="N8437" t="s">
        <v>12873</v>
      </c>
      <c r="O8437" t="s">
        <v>370</v>
      </c>
      <c r="P8437" t="str">
        <f>"32801"</f>
        <v>32801</v>
      </c>
    </row>
    <row r="8438" spans="1:16" x14ac:dyDescent="0.25">
      <c r="A8438" t="str">
        <f>"1140085M00323    00"</f>
        <v>1140085M00323    00</v>
      </c>
      <c r="B8438" t="s">
        <v>18517</v>
      </c>
      <c r="C8438" t="s">
        <v>18518</v>
      </c>
      <c r="D8438" t="s">
        <v>20</v>
      </c>
      <c r="E8438" t="s">
        <v>39</v>
      </c>
      <c r="F8438">
        <v>0</v>
      </c>
      <c r="G8438">
        <v>0</v>
      </c>
      <c r="H8438">
        <v>3</v>
      </c>
      <c r="I8438" s="3">
        <v>8152.44</v>
      </c>
      <c r="J8438" s="3">
        <v>226.81</v>
      </c>
      <c r="K8438" t="s">
        <v>710</v>
      </c>
      <c r="L8438">
        <v>4140</v>
      </c>
      <c r="M8438" t="s">
        <v>711</v>
      </c>
      <c r="N8438" t="s">
        <v>712</v>
      </c>
      <c r="O8438" t="s">
        <v>31</v>
      </c>
      <c r="P8438" t="str">
        <f>"16148"</f>
        <v>16148</v>
      </c>
    </row>
    <row r="8439" spans="1:16" x14ac:dyDescent="0.25">
      <c r="A8439" t="str">
        <f>"1140085M00354    00"</f>
        <v>1140085M00354    00</v>
      </c>
      <c r="B8439" t="s">
        <v>18519</v>
      </c>
      <c r="C8439" t="s">
        <v>18520</v>
      </c>
      <c r="D8439" t="s">
        <v>20</v>
      </c>
      <c r="E8439" t="s">
        <v>39</v>
      </c>
      <c r="F8439">
        <v>0</v>
      </c>
      <c r="G8439">
        <v>0</v>
      </c>
      <c r="H8439">
        <v>1</v>
      </c>
      <c r="I8439" s="3">
        <v>1345.64</v>
      </c>
      <c r="J8439" s="3">
        <v>0</v>
      </c>
      <c r="L8439">
        <v>1309</v>
      </c>
      <c r="M8439" t="s">
        <v>1695</v>
      </c>
      <c r="N8439" t="s">
        <v>30</v>
      </c>
      <c r="O8439" t="s">
        <v>31</v>
      </c>
      <c r="P8439" t="str">
        <f>"15217"</f>
        <v>15217</v>
      </c>
    </row>
    <row r="8440" spans="1:16" x14ac:dyDescent="0.25">
      <c r="A8440" t="str">
        <f>"1140085N00024    00"</f>
        <v>1140085N00024    00</v>
      </c>
      <c r="B8440" t="s">
        <v>18521</v>
      </c>
      <c r="C8440" t="s">
        <v>18522</v>
      </c>
      <c r="E8440" t="s">
        <v>39</v>
      </c>
      <c r="F8440">
        <v>0</v>
      </c>
      <c r="G8440">
        <v>0</v>
      </c>
      <c r="H8440">
        <v>1</v>
      </c>
      <c r="I8440" s="3">
        <v>2611.1799999999998</v>
      </c>
      <c r="J8440" s="3">
        <v>826.84</v>
      </c>
      <c r="L8440">
        <v>5468</v>
      </c>
      <c r="M8440" t="s">
        <v>2955</v>
      </c>
      <c r="N8440" t="s">
        <v>30</v>
      </c>
      <c r="O8440" t="s">
        <v>31</v>
      </c>
      <c r="P8440" t="str">
        <f>"15217"</f>
        <v>15217</v>
      </c>
    </row>
    <row r="8441" spans="1:16" x14ac:dyDescent="0.25">
      <c r="A8441" t="str">
        <f>"1140085N00045    00"</f>
        <v>1140085N00045    00</v>
      </c>
      <c r="B8441" t="s">
        <v>18523</v>
      </c>
      <c r="C8441" t="s">
        <v>18524</v>
      </c>
      <c r="E8441" t="s">
        <v>39</v>
      </c>
      <c r="F8441">
        <v>0</v>
      </c>
      <c r="G8441">
        <v>0</v>
      </c>
      <c r="H8441">
        <v>1</v>
      </c>
      <c r="I8441" s="3">
        <v>93.89</v>
      </c>
      <c r="J8441" s="3">
        <v>0</v>
      </c>
      <c r="K8441" t="s">
        <v>18525</v>
      </c>
      <c r="L8441">
        <v>5455</v>
      </c>
      <c r="M8441" t="s">
        <v>5295</v>
      </c>
      <c r="N8441" t="s">
        <v>30</v>
      </c>
      <c r="O8441" t="s">
        <v>31</v>
      </c>
      <c r="P8441" t="str">
        <f>"15217"</f>
        <v>15217</v>
      </c>
    </row>
    <row r="8442" spans="1:16" x14ac:dyDescent="0.25">
      <c r="A8442" t="str">
        <f>"1140085N00092    00"</f>
        <v>1140085N00092    00</v>
      </c>
      <c r="B8442" t="s">
        <v>18526</v>
      </c>
      <c r="C8442" t="s">
        <v>18527</v>
      </c>
      <c r="D8442" t="s">
        <v>20</v>
      </c>
      <c r="E8442" t="s">
        <v>39</v>
      </c>
      <c r="F8442">
        <v>0</v>
      </c>
      <c r="G8442">
        <v>0</v>
      </c>
      <c r="H8442">
        <v>3</v>
      </c>
      <c r="I8442" s="3">
        <v>8331.15</v>
      </c>
      <c r="J8442" s="3">
        <v>270.86</v>
      </c>
      <c r="K8442" t="s">
        <v>400</v>
      </c>
      <c r="L8442">
        <v>3001</v>
      </c>
      <c r="M8442" t="s">
        <v>330</v>
      </c>
      <c r="N8442" t="s">
        <v>331</v>
      </c>
      <c r="O8442" t="s">
        <v>108</v>
      </c>
      <c r="P8442" t="str">
        <f>"75063"</f>
        <v>75063</v>
      </c>
    </row>
    <row r="8443" spans="1:16" x14ac:dyDescent="0.25">
      <c r="A8443" t="str">
        <f>"1140085N00143    00"</f>
        <v>1140085N00143    00</v>
      </c>
      <c r="B8443" t="s">
        <v>18528</v>
      </c>
      <c r="C8443" t="s">
        <v>18529</v>
      </c>
      <c r="E8443" t="s">
        <v>39</v>
      </c>
      <c r="F8443">
        <v>0</v>
      </c>
      <c r="G8443">
        <v>0</v>
      </c>
      <c r="H8443">
        <v>1</v>
      </c>
      <c r="I8443" s="3">
        <v>5289.91</v>
      </c>
      <c r="J8443" s="3">
        <v>1675.07</v>
      </c>
      <c r="L8443">
        <v>1238</v>
      </c>
      <c r="M8443" t="s">
        <v>18530</v>
      </c>
      <c r="N8443" t="s">
        <v>30</v>
      </c>
      <c r="O8443" t="s">
        <v>31</v>
      </c>
      <c r="P8443" t="str">
        <f>"15217"</f>
        <v>15217</v>
      </c>
    </row>
    <row r="8444" spans="1:16" x14ac:dyDescent="0.25">
      <c r="A8444" t="str">
        <f>"1140085N00156    00"</f>
        <v>1140085N00156    00</v>
      </c>
      <c r="B8444" t="s">
        <v>18531</v>
      </c>
      <c r="C8444" t="s">
        <v>18532</v>
      </c>
      <c r="E8444" t="s">
        <v>39</v>
      </c>
      <c r="F8444">
        <v>0</v>
      </c>
      <c r="G8444">
        <v>0</v>
      </c>
      <c r="H8444">
        <v>1</v>
      </c>
      <c r="I8444" s="3">
        <v>2098.14</v>
      </c>
      <c r="J8444" s="3">
        <v>1049.04</v>
      </c>
      <c r="K8444" t="s">
        <v>18533</v>
      </c>
      <c r="L8444">
        <v>5450</v>
      </c>
      <c r="M8444" t="s">
        <v>5295</v>
      </c>
      <c r="N8444" t="s">
        <v>30</v>
      </c>
      <c r="O8444" t="s">
        <v>31</v>
      </c>
      <c r="P8444" t="str">
        <f>"15217"</f>
        <v>15217</v>
      </c>
    </row>
    <row r="8445" spans="1:16" x14ac:dyDescent="0.25">
      <c r="A8445" t="str">
        <f>"1140085N00176    00"</f>
        <v>1140085N00176    00</v>
      </c>
      <c r="B8445" t="s">
        <v>18534</v>
      </c>
      <c r="C8445" t="s">
        <v>18535</v>
      </c>
      <c r="E8445" t="s">
        <v>39</v>
      </c>
      <c r="F8445">
        <v>0</v>
      </c>
      <c r="G8445">
        <v>0</v>
      </c>
      <c r="H8445">
        <v>1</v>
      </c>
      <c r="I8445" s="3">
        <v>1414.25</v>
      </c>
      <c r="J8445" s="3">
        <v>94.28</v>
      </c>
      <c r="L8445">
        <v>1249</v>
      </c>
      <c r="M8445" t="s">
        <v>18530</v>
      </c>
      <c r="N8445" t="s">
        <v>30</v>
      </c>
      <c r="O8445" t="s">
        <v>31</v>
      </c>
      <c r="P8445" t="str">
        <f>"15217"</f>
        <v>15217</v>
      </c>
    </row>
    <row r="8446" spans="1:16" x14ac:dyDescent="0.25">
      <c r="A8446" t="str">
        <f>"1140085N00181    00"</f>
        <v>1140085N00181    00</v>
      </c>
      <c r="B8446" t="s">
        <v>18536</v>
      </c>
      <c r="C8446" t="s">
        <v>18537</v>
      </c>
      <c r="D8446" t="s">
        <v>20</v>
      </c>
      <c r="E8446" t="s">
        <v>39</v>
      </c>
      <c r="F8446">
        <v>0</v>
      </c>
      <c r="G8446">
        <v>0</v>
      </c>
      <c r="H8446">
        <v>4</v>
      </c>
      <c r="I8446" s="3">
        <v>3204.89</v>
      </c>
      <c r="J8446" s="3">
        <v>72.84</v>
      </c>
      <c r="K8446" t="s">
        <v>759</v>
      </c>
      <c r="L8446">
        <v>3001</v>
      </c>
      <c r="M8446" t="s">
        <v>404</v>
      </c>
      <c r="N8446" t="s">
        <v>331</v>
      </c>
      <c r="O8446" t="s">
        <v>108</v>
      </c>
      <c r="P8446" t="str">
        <f>"75063"</f>
        <v>75063</v>
      </c>
    </row>
    <row r="8447" spans="1:16" x14ac:dyDescent="0.25">
      <c r="A8447" t="str">
        <f>"1140085N00185    00"</f>
        <v>1140085N00185    00</v>
      </c>
      <c r="B8447" t="s">
        <v>18538</v>
      </c>
      <c r="C8447" t="s">
        <v>18539</v>
      </c>
      <c r="E8447" t="s">
        <v>39</v>
      </c>
      <c r="F8447">
        <v>0</v>
      </c>
      <c r="G8447">
        <v>0</v>
      </c>
      <c r="H8447">
        <v>1</v>
      </c>
      <c r="I8447" s="3">
        <v>121.43</v>
      </c>
      <c r="J8447" s="3">
        <v>38.450000000000003</v>
      </c>
      <c r="L8447">
        <v>1311</v>
      </c>
      <c r="M8447" t="s">
        <v>18530</v>
      </c>
      <c r="N8447" t="s">
        <v>30</v>
      </c>
      <c r="O8447" t="s">
        <v>31</v>
      </c>
      <c r="P8447" t="str">
        <f>"15217"</f>
        <v>15217</v>
      </c>
    </row>
    <row r="8448" spans="1:16" x14ac:dyDescent="0.25">
      <c r="A8448" t="str">
        <f>"1140085N00196    00"</f>
        <v>1140085N00196    00</v>
      </c>
      <c r="B8448" t="s">
        <v>18540</v>
      </c>
      <c r="C8448" t="s">
        <v>18541</v>
      </c>
      <c r="D8448" t="s">
        <v>20</v>
      </c>
      <c r="E8448" t="s">
        <v>39</v>
      </c>
      <c r="F8448">
        <v>0</v>
      </c>
      <c r="G8448">
        <v>0</v>
      </c>
      <c r="H8448">
        <v>3</v>
      </c>
      <c r="I8448" s="3">
        <v>7398.44</v>
      </c>
      <c r="J8448" s="3">
        <v>98.78</v>
      </c>
      <c r="K8448" t="s">
        <v>1632</v>
      </c>
      <c r="L8448">
        <v>3001</v>
      </c>
      <c r="M8448" t="s">
        <v>330</v>
      </c>
      <c r="N8448" t="s">
        <v>331</v>
      </c>
      <c r="O8448" t="s">
        <v>108</v>
      </c>
      <c r="P8448" t="str">
        <f>"75063"</f>
        <v>75063</v>
      </c>
    </row>
    <row r="8449" spans="1:16" x14ac:dyDescent="0.25">
      <c r="A8449" t="str">
        <f>"1140085N00209    00"</f>
        <v>1140085N00209    00</v>
      </c>
      <c r="B8449" t="s">
        <v>18542</v>
      </c>
      <c r="C8449" t="s">
        <v>18543</v>
      </c>
      <c r="E8449" t="s">
        <v>39</v>
      </c>
      <c r="F8449">
        <v>0</v>
      </c>
      <c r="G8449">
        <v>0</v>
      </c>
      <c r="H8449">
        <v>2</v>
      </c>
      <c r="I8449" s="3">
        <v>3316.44</v>
      </c>
      <c r="J8449" s="3">
        <v>165.82</v>
      </c>
      <c r="L8449">
        <v>1222</v>
      </c>
      <c r="M8449" t="s">
        <v>18544</v>
      </c>
      <c r="N8449" t="s">
        <v>30</v>
      </c>
      <c r="O8449" t="s">
        <v>31</v>
      </c>
      <c r="P8449" t="str">
        <f>"15217"</f>
        <v>15217</v>
      </c>
    </row>
    <row r="8450" spans="1:16" x14ac:dyDescent="0.25">
      <c r="A8450" t="str">
        <f>"1140085N00233    00"</f>
        <v>1140085N00233    00</v>
      </c>
      <c r="B8450" t="s">
        <v>18545</v>
      </c>
      <c r="C8450" t="s">
        <v>18546</v>
      </c>
      <c r="E8450" t="s">
        <v>39</v>
      </c>
      <c r="F8450">
        <v>0</v>
      </c>
      <c r="G8450">
        <v>0</v>
      </c>
      <c r="H8450">
        <v>4</v>
      </c>
      <c r="I8450" s="3">
        <v>7776.48</v>
      </c>
      <c r="J8450" s="3">
        <v>175.34</v>
      </c>
      <c r="K8450" t="s">
        <v>18547</v>
      </c>
      <c r="L8450">
        <v>5540</v>
      </c>
      <c r="M8450" t="s">
        <v>5295</v>
      </c>
      <c r="N8450" t="s">
        <v>30</v>
      </c>
      <c r="O8450" t="s">
        <v>31</v>
      </c>
      <c r="P8450" t="str">
        <f>"15217"</f>
        <v>15217</v>
      </c>
    </row>
    <row r="8451" spans="1:16" x14ac:dyDescent="0.25">
      <c r="A8451" t="str">
        <f>"1140085N00296    00"</f>
        <v>1140085N00296    00</v>
      </c>
      <c r="B8451" t="s">
        <v>18548</v>
      </c>
      <c r="C8451" t="s">
        <v>18549</v>
      </c>
      <c r="E8451" t="s">
        <v>39</v>
      </c>
      <c r="F8451">
        <v>0</v>
      </c>
      <c r="G8451">
        <v>0</v>
      </c>
      <c r="H8451">
        <v>1</v>
      </c>
      <c r="I8451" s="3">
        <v>3281.52</v>
      </c>
      <c r="J8451" s="3">
        <v>1613.34</v>
      </c>
      <c r="K8451" t="s">
        <v>400</v>
      </c>
      <c r="L8451">
        <v>3001</v>
      </c>
      <c r="M8451" t="s">
        <v>330</v>
      </c>
      <c r="N8451" t="s">
        <v>331</v>
      </c>
      <c r="O8451" t="s">
        <v>108</v>
      </c>
      <c r="P8451" t="str">
        <f>"75063"</f>
        <v>75063</v>
      </c>
    </row>
    <row r="8452" spans="1:16" x14ac:dyDescent="0.25">
      <c r="A8452" t="str">
        <f>"1140085P00044    00"</f>
        <v>1140085P00044    00</v>
      </c>
      <c r="B8452" t="s">
        <v>18550</v>
      </c>
      <c r="C8452" t="s">
        <v>18551</v>
      </c>
      <c r="D8452" t="s">
        <v>20</v>
      </c>
      <c r="E8452" t="s">
        <v>39</v>
      </c>
      <c r="F8452">
        <v>0</v>
      </c>
      <c r="G8452">
        <v>0</v>
      </c>
      <c r="H8452">
        <v>1</v>
      </c>
      <c r="I8452" s="3">
        <v>1035.6099999999999</v>
      </c>
      <c r="J8452" s="3">
        <v>0</v>
      </c>
      <c r="L8452">
        <v>1332</v>
      </c>
      <c r="M8452" t="s">
        <v>6208</v>
      </c>
      <c r="N8452" t="s">
        <v>30</v>
      </c>
      <c r="O8452" t="s">
        <v>31</v>
      </c>
      <c r="P8452" t="str">
        <f>"15217"</f>
        <v>15217</v>
      </c>
    </row>
    <row r="8453" spans="1:16" x14ac:dyDescent="0.25">
      <c r="A8453" t="str">
        <f>"1140085P00045000200"</f>
        <v>1140085P00045000200</v>
      </c>
      <c r="B8453" t="s">
        <v>18552</v>
      </c>
      <c r="C8453" t="s">
        <v>18553</v>
      </c>
      <c r="E8453" t="s">
        <v>39</v>
      </c>
      <c r="F8453">
        <v>0</v>
      </c>
      <c r="G8453">
        <v>0</v>
      </c>
      <c r="H8453">
        <v>1</v>
      </c>
      <c r="I8453" s="3">
        <v>789.43</v>
      </c>
      <c r="J8453" s="3">
        <v>388.12</v>
      </c>
      <c r="K8453" t="s">
        <v>18554</v>
      </c>
      <c r="L8453">
        <v>1823</v>
      </c>
      <c r="M8453" t="s">
        <v>18555</v>
      </c>
      <c r="N8453" t="s">
        <v>30</v>
      </c>
      <c r="O8453" t="s">
        <v>31</v>
      </c>
      <c r="P8453" t="str">
        <f>"15221"</f>
        <v>15221</v>
      </c>
    </row>
    <row r="8454" spans="1:16" x14ac:dyDescent="0.25">
      <c r="A8454" t="str">
        <f>"1140085P00165    00"</f>
        <v>1140085P00165    00</v>
      </c>
      <c r="B8454" t="s">
        <v>18556</v>
      </c>
      <c r="C8454" t="s">
        <v>18557</v>
      </c>
      <c r="E8454" t="s">
        <v>39</v>
      </c>
      <c r="F8454">
        <v>0</v>
      </c>
      <c r="G8454">
        <v>0</v>
      </c>
      <c r="H8454">
        <v>2</v>
      </c>
      <c r="I8454" s="3">
        <v>2101.39</v>
      </c>
      <c r="J8454" s="3">
        <v>143.69999999999999</v>
      </c>
      <c r="K8454" t="s">
        <v>18558</v>
      </c>
      <c r="L8454">
        <v>5623</v>
      </c>
      <c r="M8454" t="s">
        <v>2955</v>
      </c>
      <c r="N8454" t="s">
        <v>30</v>
      </c>
      <c r="O8454" t="s">
        <v>31</v>
      </c>
      <c r="P8454" t="str">
        <f>"15217"</f>
        <v>15217</v>
      </c>
    </row>
    <row r="8455" spans="1:16" x14ac:dyDescent="0.25">
      <c r="A8455" t="str">
        <f>"1140085P00169    00"</f>
        <v>1140085P00169    00</v>
      </c>
      <c r="B8455" t="s">
        <v>18559</v>
      </c>
      <c r="C8455" t="s">
        <v>18560</v>
      </c>
      <c r="D8455" t="s">
        <v>20</v>
      </c>
      <c r="E8455" t="s">
        <v>39</v>
      </c>
      <c r="F8455">
        <v>0</v>
      </c>
      <c r="G8455">
        <v>0</v>
      </c>
      <c r="H8455">
        <v>3</v>
      </c>
      <c r="I8455" s="3">
        <v>7147.56</v>
      </c>
      <c r="J8455" s="3">
        <v>476.48</v>
      </c>
      <c r="L8455">
        <v>1</v>
      </c>
      <c r="M8455" t="s">
        <v>18561</v>
      </c>
      <c r="N8455" t="s">
        <v>914</v>
      </c>
      <c r="O8455" t="s">
        <v>200</v>
      </c>
      <c r="P8455" t="str">
        <f>"10952"</f>
        <v>10952</v>
      </c>
    </row>
    <row r="8456" spans="1:16" x14ac:dyDescent="0.25">
      <c r="A8456" t="str">
        <f>"1140085P00195    00"</f>
        <v>1140085P00195    00</v>
      </c>
      <c r="B8456" t="s">
        <v>18562</v>
      </c>
      <c r="C8456" t="s">
        <v>18563</v>
      </c>
      <c r="E8456" t="s">
        <v>39</v>
      </c>
      <c r="F8456">
        <v>0</v>
      </c>
      <c r="G8456">
        <v>0</v>
      </c>
      <c r="H8456">
        <v>1</v>
      </c>
      <c r="I8456" s="3">
        <v>2511.9699999999998</v>
      </c>
      <c r="J8456" s="3">
        <v>691.95</v>
      </c>
      <c r="K8456" t="s">
        <v>5396</v>
      </c>
      <c r="L8456">
        <v>3001</v>
      </c>
      <c r="M8456" t="s">
        <v>330</v>
      </c>
      <c r="N8456" t="s">
        <v>331</v>
      </c>
      <c r="O8456" t="s">
        <v>108</v>
      </c>
      <c r="P8456" t="str">
        <f>"75063"</f>
        <v>75063</v>
      </c>
    </row>
    <row r="8457" spans="1:16" x14ac:dyDescent="0.25">
      <c r="A8457" t="str">
        <f>"1140085P00224    00"</f>
        <v>1140085P00224    00</v>
      </c>
      <c r="B8457" t="s">
        <v>18564</v>
      </c>
      <c r="C8457" t="s">
        <v>18565</v>
      </c>
      <c r="E8457" t="s">
        <v>39</v>
      </c>
      <c r="F8457">
        <v>0</v>
      </c>
      <c r="G8457">
        <v>0</v>
      </c>
      <c r="H8457">
        <v>2</v>
      </c>
      <c r="I8457" s="3">
        <v>1675.01</v>
      </c>
      <c r="J8457" s="3">
        <v>114.54</v>
      </c>
      <c r="K8457" t="s">
        <v>5432</v>
      </c>
      <c r="L8457">
        <v>3001</v>
      </c>
      <c r="M8457" t="s">
        <v>330</v>
      </c>
      <c r="N8457" t="s">
        <v>331</v>
      </c>
      <c r="O8457" t="s">
        <v>108</v>
      </c>
      <c r="P8457" t="str">
        <f>"75063"</f>
        <v>75063</v>
      </c>
    </row>
    <row r="8458" spans="1:16" x14ac:dyDescent="0.25">
      <c r="A8458" t="str">
        <f>"1140085P00261    00"</f>
        <v>1140085P00261    00</v>
      </c>
      <c r="B8458" t="s">
        <v>18566</v>
      </c>
      <c r="C8458" t="s">
        <v>18567</v>
      </c>
      <c r="D8458" t="s">
        <v>20</v>
      </c>
      <c r="E8458" t="s">
        <v>39</v>
      </c>
      <c r="F8458">
        <v>0</v>
      </c>
      <c r="G8458">
        <v>0</v>
      </c>
      <c r="H8458">
        <v>1</v>
      </c>
      <c r="I8458" s="3">
        <v>3269.5</v>
      </c>
      <c r="J8458" s="3">
        <v>0</v>
      </c>
      <c r="L8458">
        <v>1236</v>
      </c>
      <c r="M8458" t="s">
        <v>18380</v>
      </c>
      <c r="N8458" t="s">
        <v>30</v>
      </c>
      <c r="O8458" t="s">
        <v>31</v>
      </c>
      <c r="P8458" t="str">
        <f>"15217"</f>
        <v>15217</v>
      </c>
    </row>
    <row r="8459" spans="1:16" x14ac:dyDescent="0.25">
      <c r="A8459" t="str">
        <f>"1140085P00312    00"</f>
        <v>1140085P00312    00</v>
      </c>
      <c r="B8459" t="s">
        <v>18568</v>
      </c>
      <c r="C8459" t="s">
        <v>18569</v>
      </c>
      <c r="E8459" t="s">
        <v>39</v>
      </c>
      <c r="F8459">
        <v>0</v>
      </c>
      <c r="G8459">
        <v>0</v>
      </c>
      <c r="H8459">
        <v>1</v>
      </c>
      <c r="I8459" s="3">
        <v>4654.37</v>
      </c>
      <c r="J8459" s="3">
        <v>1279.9000000000001</v>
      </c>
      <c r="K8459" t="s">
        <v>400</v>
      </c>
      <c r="L8459">
        <v>3001</v>
      </c>
      <c r="M8459" t="s">
        <v>330</v>
      </c>
      <c r="N8459" t="s">
        <v>331</v>
      </c>
      <c r="O8459" t="s">
        <v>108</v>
      </c>
      <c r="P8459" t="str">
        <f>"75063"</f>
        <v>75063</v>
      </c>
    </row>
    <row r="8460" spans="1:16" x14ac:dyDescent="0.25">
      <c r="A8460" t="str">
        <f>"1140085R00048    00"</f>
        <v>1140085R00048    00</v>
      </c>
      <c r="B8460" t="s">
        <v>18570</v>
      </c>
      <c r="C8460" t="s">
        <v>18571</v>
      </c>
      <c r="E8460" t="s">
        <v>39</v>
      </c>
      <c r="F8460">
        <v>0</v>
      </c>
      <c r="G8460">
        <v>0</v>
      </c>
      <c r="H8460">
        <v>1</v>
      </c>
      <c r="I8460" s="3">
        <v>30.35</v>
      </c>
      <c r="J8460" s="3">
        <v>3.03</v>
      </c>
      <c r="L8460">
        <v>5857</v>
      </c>
      <c r="M8460" t="s">
        <v>1610</v>
      </c>
      <c r="N8460" t="s">
        <v>30</v>
      </c>
      <c r="O8460" t="s">
        <v>31</v>
      </c>
      <c r="P8460" t="str">
        <f>"15217"</f>
        <v>15217</v>
      </c>
    </row>
    <row r="8461" spans="1:16" x14ac:dyDescent="0.25">
      <c r="A8461" t="str">
        <f>"1140085R00056    00"</f>
        <v>1140085R00056    00</v>
      </c>
      <c r="B8461" t="s">
        <v>1608</v>
      </c>
      <c r="C8461" t="s">
        <v>18572</v>
      </c>
      <c r="D8461" t="s">
        <v>20</v>
      </c>
      <c r="E8461" t="s">
        <v>39</v>
      </c>
      <c r="F8461">
        <v>0</v>
      </c>
      <c r="G8461">
        <v>0</v>
      </c>
      <c r="H8461">
        <v>3</v>
      </c>
      <c r="I8461" s="3">
        <v>32984.75</v>
      </c>
      <c r="J8461" s="3">
        <v>5202.08</v>
      </c>
      <c r="L8461">
        <v>5871</v>
      </c>
      <c r="M8461" t="s">
        <v>1610</v>
      </c>
      <c r="N8461" t="s">
        <v>30</v>
      </c>
      <c r="O8461" t="s">
        <v>31</v>
      </c>
      <c r="P8461" t="str">
        <f>"15217"</f>
        <v>15217</v>
      </c>
    </row>
    <row r="8462" spans="1:16" x14ac:dyDescent="0.25">
      <c r="A8462" t="str">
        <f>"1140085R00100    00"</f>
        <v>1140085R00100    00</v>
      </c>
      <c r="B8462" t="s">
        <v>18573</v>
      </c>
      <c r="C8462" t="s">
        <v>18574</v>
      </c>
      <c r="E8462" t="s">
        <v>39</v>
      </c>
      <c r="F8462">
        <v>0</v>
      </c>
      <c r="G8462">
        <v>0</v>
      </c>
      <c r="H8462">
        <v>1</v>
      </c>
      <c r="I8462" s="3">
        <v>2238.67</v>
      </c>
      <c r="J8462" s="3">
        <v>708.87</v>
      </c>
      <c r="K8462" t="s">
        <v>4947</v>
      </c>
      <c r="L8462">
        <v>3001</v>
      </c>
      <c r="M8462" t="s">
        <v>330</v>
      </c>
      <c r="N8462" t="s">
        <v>331</v>
      </c>
      <c r="O8462" t="s">
        <v>108</v>
      </c>
      <c r="P8462" t="str">
        <f>"75063"</f>
        <v>75063</v>
      </c>
    </row>
    <row r="8463" spans="1:16" x14ac:dyDescent="0.25">
      <c r="A8463" t="str">
        <f>"1140085R00118    00"</f>
        <v>1140085R00118    00</v>
      </c>
      <c r="B8463" t="s">
        <v>18575</v>
      </c>
      <c r="C8463" t="s">
        <v>18576</v>
      </c>
      <c r="D8463" t="s">
        <v>57</v>
      </c>
      <c r="E8463" t="s">
        <v>39</v>
      </c>
      <c r="F8463">
        <v>0</v>
      </c>
      <c r="G8463">
        <v>0</v>
      </c>
      <c r="H8463">
        <v>1</v>
      </c>
      <c r="I8463" s="3">
        <v>1230.0899999999999</v>
      </c>
      <c r="J8463" s="3">
        <v>61.5</v>
      </c>
      <c r="K8463" t="s">
        <v>18577</v>
      </c>
      <c r="L8463">
        <v>1301</v>
      </c>
      <c r="M8463" t="s">
        <v>16754</v>
      </c>
      <c r="N8463" t="s">
        <v>30</v>
      </c>
      <c r="O8463" t="s">
        <v>31</v>
      </c>
      <c r="P8463" t="str">
        <f>"15217"</f>
        <v>15217</v>
      </c>
    </row>
    <row r="8464" spans="1:16" x14ac:dyDescent="0.25">
      <c r="A8464" t="str">
        <f>"1140085R00242    00"</f>
        <v>1140085R00242    00</v>
      </c>
      <c r="B8464" t="s">
        <v>18578</v>
      </c>
      <c r="C8464" t="s">
        <v>18579</v>
      </c>
      <c r="D8464" t="s">
        <v>20</v>
      </c>
      <c r="E8464" t="s">
        <v>39</v>
      </c>
      <c r="F8464">
        <v>0</v>
      </c>
      <c r="G8464">
        <v>0</v>
      </c>
      <c r="H8464">
        <v>2</v>
      </c>
      <c r="I8464" s="3">
        <v>6724.36</v>
      </c>
      <c r="J8464" s="3">
        <v>0</v>
      </c>
      <c r="K8464" t="s">
        <v>4424</v>
      </c>
      <c r="L8464">
        <v>3001</v>
      </c>
      <c r="M8464" t="s">
        <v>330</v>
      </c>
      <c r="N8464" t="s">
        <v>331</v>
      </c>
      <c r="O8464" t="s">
        <v>108</v>
      </c>
      <c r="P8464" t="str">
        <f>"75063"</f>
        <v>75063</v>
      </c>
    </row>
    <row r="8465" spans="1:16" x14ac:dyDescent="0.25">
      <c r="A8465" t="str">
        <f>"1140085R00288    00"</f>
        <v>1140085R00288    00</v>
      </c>
      <c r="B8465" t="s">
        <v>18580</v>
      </c>
      <c r="C8465" t="s">
        <v>18581</v>
      </c>
      <c r="D8465" t="s">
        <v>20</v>
      </c>
      <c r="E8465" t="s">
        <v>39</v>
      </c>
      <c r="F8465">
        <v>0</v>
      </c>
      <c r="G8465">
        <v>0</v>
      </c>
      <c r="H8465">
        <v>1</v>
      </c>
      <c r="I8465" s="3">
        <v>415.51</v>
      </c>
      <c r="J8465" s="3">
        <v>0</v>
      </c>
      <c r="K8465" t="s">
        <v>391</v>
      </c>
      <c r="L8465">
        <v>1</v>
      </c>
      <c r="M8465" t="s">
        <v>392</v>
      </c>
      <c r="N8465" t="s">
        <v>393</v>
      </c>
      <c r="O8465" t="s">
        <v>394</v>
      </c>
      <c r="P8465" t="str">
        <f>"50328"</f>
        <v>50328</v>
      </c>
    </row>
    <row r="8466" spans="1:16" x14ac:dyDescent="0.25">
      <c r="A8466" t="str">
        <f>"1140085R00297    00"</f>
        <v>1140085R00297    00</v>
      </c>
      <c r="B8466" t="s">
        <v>18582</v>
      </c>
      <c r="C8466" t="s">
        <v>18583</v>
      </c>
      <c r="D8466" t="s">
        <v>20</v>
      </c>
      <c r="E8466" t="s">
        <v>39</v>
      </c>
      <c r="F8466">
        <v>0</v>
      </c>
      <c r="G8466">
        <v>0</v>
      </c>
      <c r="H8466">
        <v>1</v>
      </c>
      <c r="I8466" s="3">
        <v>2742.89</v>
      </c>
      <c r="J8466" s="3">
        <v>0</v>
      </c>
      <c r="L8466">
        <v>1341</v>
      </c>
      <c r="M8466" t="s">
        <v>3580</v>
      </c>
      <c r="N8466" t="s">
        <v>30</v>
      </c>
      <c r="O8466" t="s">
        <v>31</v>
      </c>
      <c r="P8466" t="str">
        <f>"15217"</f>
        <v>15217</v>
      </c>
    </row>
    <row r="8467" spans="1:16" x14ac:dyDescent="0.25">
      <c r="A8467" t="str">
        <f>"1140085S00037    00"</f>
        <v>1140085S00037    00</v>
      </c>
      <c r="B8467" t="s">
        <v>18584</v>
      </c>
      <c r="C8467" t="s">
        <v>18585</v>
      </c>
      <c r="D8467" t="s">
        <v>20</v>
      </c>
      <c r="E8467" t="s">
        <v>39</v>
      </c>
      <c r="F8467">
        <v>0</v>
      </c>
      <c r="G8467">
        <v>0</v>
      </c>
      <c r="H8467">
        <v>2</v>
      </c>
      <c r="I8467" s="3">
        <v>195.89</v>
      </c>
      <c r="J8467" s="3">
        <v>51.3</v>
      </c>
      <c r="L8467">
        <v>1352</v>
      </c>
      <c r="M8467" t="s">
        <v>5941</v>
      </c>
      <c r="N8467" t="s">
        <v>30</v>
      </c>
      <c r="O8467" t="s">
        <v>31</v>
      </c>
      <c r="P8467" t="str">
        <f>"15217"</f>
        <v>15217</v>
      </c>
    </row>
    <row r="8468" spans="1:16" x14ac:dyDescent="0.25">
      <c r="A8468" t="str">
        <f>"1140085S00076    00"</f>
        <v>1140085S00076    00</v>
      </c>
      <c r="B8468" t="s">
        <v>18586</v>
      </c>
      <c r="C8468" t="s">
        <v>18587</v>
      </c>
      <c r="D8468" t="s">
        <v>20</v>
      </c>
      <c r="E8468" t="s">
        <v>39</v>
      </c>
      <c r="F8468">
        <v>0</v>
      </c>
      <c r="G8468">
        <v>0</v>
      </c>
      <c r="H8468">
        <v>4</v>
      </c>
      <c r="I8468" s="3">
        <v>11402.97</v>
      </c>
      <c r="J8468" s="3">
        <v>1101.2</v>
      </c>
      <c r="L8468">
        <v>6415</v>
      </c>
      <c r="M8468" t="s">
        <v>2955</v>
      </c>
      <c r="N8468" t="s">
        <v>30</v>
      </c>
      <c r="O8468" t="s">
        <v>31</v>
      </c>
      <c r="P8468" t="str">
        <f>"15217"</f>
        <v>15217</v>
      </c>
    </row>
    <row r="8469" spans="1:16" x14ac:dyDescent="0.25">
      <c r="A8469" t="str">
        <f>"1140085S00107    00"</f>
        <v>1140085S00107    00</v>
      </c>
      <c r="B8469" t="s">
        <v>18588</v>
      </c>
      <c r="C8469" t="s">
        <v>18589</v>
      </c>
      <c r="E8469" t="s">
        <v>39</v>
      </c>
      <c r="F8469">
        <v>0</v>
      </c>
      <c r="G8469">
        <v>0</v>
      </c>
      <c r="H8469">
        <v>1</v>
      </c>
      <c r="I8469" s="3">
        <v>37.659999999999997</v>
      </c>
      <c r="J8469" s="3">
        <v>11.24</v>
      </c>
      <c r="K8469" t="s">
        <v>5861</v>
      </c>
      <c r="L8469">
        <v>3001</v>
      </c>
      <c r="M8469" t="s">
        <v>404</v>
      </c>
      <c r="N8469" t="s">
        <v>331</v>
      </c>
      <c r="O8469" t="s">
        <v>108</v>
      </c>
      <c r="P8469" t="str">
        <f>"75063"</f>
        <v>75063</v>
      </c>
    </row>
    <row r="8470" spans="1:16" x14ac:dyDescent="0.25">
      <c r="A8470" t="str">
        <f>"1140085S00120    00"</f>
        <v>1140085S00120    00</v>
      </c>
      <c r="B8470" t="s">
        <v>18590</v>
      </c>
      <c r="C8470" t="s">
        <v>18591</v>
      </c>
      <c r="E8470" t="s">
        <v>39</v>
      </c>
      <c r="F8470">
        <v>0</v>
      </c>
      <c r="G8470">
        <v>0</v>
      </c>
      <c r="H8470">
        <v>2</v>
      </c>
      <c r="I8470" s="3">
        <v>9556.36</v>
      </c>
      <c r="J8470" s="3">
        <v>2627.89</v>
      </c>
      <c r="L8470">
        <v>1051</v>
      </c>
      <c r="M8470" t="s">
        <v>1649</v>
      </c>
      <c r="N8470" t="s">
        <v>30</v>
      </c>
      <c r="O8470" t="s">
        <v>31</v>
      </c>
      <c r="P8470" t="str">
        <f>"15217"</f>
        <v>15217</v>
      </c>
    </row>
    <row r="8471" spans="1:16" x14ac:dyDescent="0.25">
      <c r="A8471" t="str">
        <f>"1140085S00122    00"</f>
        <v>1140085S00122    00</v>
      </c>
      <c r="B8471" t="s">
        <v>18592</v>
      </c>
      <c r="C8471" t="s">
        <v>18593</v>
      </c>
      <c r="D8471" t="s">
        <v>20</v>
      </c>
      <c r="E8471" t="s">
        <v>39</v>
      </c>
      <c r="F8471">
        <v>0</v>
      </c>
      <c r="G8471">
        <v>0</v>
      </c>
      <c r="H8471">
        <v>3</v>
      </c>
      <c r="I8471" s="3">
        <v>9409.43</v>
      </c>
      <c r="J8471" s="3">
        <v>1310.29</v>
      </c>
      <c r="K8471" t="s">
        <v>18594</v>
      </c>
      <c r="L8471">
        <v>5850</v>
      </c>
      <c r="M8471" t="s">
        <v>1740</v>
      </c>
      <c r="N8471" t="s">
        <v>30</v>
      </c>
      <c r="O8471" t="s">
        <v>31</v>
      </c>
      <c r="P8471" t="str">
        <f>"15232"</f>
        <v>15232</v>
      </c>
    </row>
    <row r="8472" spans="1:16" x14ac:dyDescent="0.25">
      <c r="A8472" t="str">
        <f>"1140085S00150    00"</f>
        <v>1140085S00150    00</v>
      </c>
      <c r="B8472" t="s">
        <v>18595</v>
      </c>
      <c r="C8472" t="s">
        <v>18596</v>
      </c>
      <c r="E8472" t="s">
        <v>39</v>
      </c>
      <c r="F8472">
        <v>0</v>
      </c>
      <c r="G8472">
        <v>0</v>
      </c>
      <c r="H8472">
        <v>2</v>
      </c>
      <c r="I8472" s="3">
        <v>5058.54</v>
      </c>
      <c r="J8472" s="3">
        <v>252.91</v>
      </c>
      <c r="K8472" t="s">
        <v>881</v>
      </c>
      <c r="L8472">
        <v>3001</v>
      </c>
      <c r="M8472" t="s">
        <v>330</v>
      </c>
      <c r="N8472" t="s">
        <v>331</v>
      </c>
      <c r="O8472" t="s">
        <v>108</v>
      </c>
      <c r="P8472" t="str">
        <f>"75063"</f>
        <v>75063</v>
      </c>
    </row>
    <row r="8473" spans="1:16" x14ac:dyDescent="0.25">
      <c r="A8473" t="str">
        <f>"1140085S00206    00"</f>
        <v>1140085S00206    00</v>
      </c>
      <c r="B8473" t="s">
        <v>18597</v>
      </c>
      <c r="C8473" t="s">
        <v>18598</v>
      </c>
      <c r="E8473" t="s">
        <v>39</v>
      </c>
      <c r="F8473">
        <v>0</v>
      </c>
      <c r="G8473">
        <v>0</v>
      </c>
      <c r="H8473">
        <v>1</v>
      </c>
      <c r="I8473" s="3">
        <v>1350.36</v>
      </c>
      <c r="J8473" s="3">
        <v>1001.47</v>
      </c>
      <c r="K8473" t="s">
        <v>445</v>
      </c>
      <c r="L8473">
        <v>1</v>
      </c>
      <c r="M8473" t="s">
        <v>1163</v>
      </c>
      <c r="N8473" t="s">
        <v>1164</v>
      </c>
      <c r="O8473" t="s">
        <v>108</v>
      </c>
      <c r="P8473" t="str">
        <f>"76262"</f>
        <v>76262</v>
      </c>
    </row>
    <row r="8474" spans="1:16" x14ac:dyDescent="0.25">
      <c r="A8474" t="str">
        <f>"1140085S00215    00"</f>
        <v>1140085S00215    00</v>
      </c>
      <c r="B8474" t="s">
        <v>18599</v>
      </c>
      <c r="C8474" t="s">
        <v>18600</v>
      </c>
      <c r="E8474" t="s">
        <v>21</v>
      </c>
      <c r="F8474">
        <v>0</v>
      </c>
      <c r="G8474">
        <v>0</v>
      </c>
      <c r="H8474">
        <v>1</v>
      </c>
      <c r="I8474" s="3">
        <v>69.8</v>
      </c>
      <c r="J8474" s="3">
        <v>22.1</v>
      </c>
      <c r="L8474">
        <v>357</v>
      </c>
      <c r="M8474" t="s">
        <v>4767</v>
      </c>
      <c r="N8474" t="s">
        <v>4768</v>
      </c>
      <c r="O8474" t="s">
        <v>31</v>
      </c>
      <c r="P8474" t="str">
        <f>"15137"</f>
        <v>15137</v>
      </c>
    </row>
    <row r="8475" spans="1:16" x14ac:dyDescent="0.25">
      <c r="A8475" t="str">
        <f>"1140085S00248    00"</f>
        <v>1140085S00248    00</v>
      </c>
      <c r="B8475" t="s">
        <v>18601</v>
      </c>
      <c r="C8475" t="s">
        <v>18602</v>
      </c>
      <c r="E8475" t="s">
        <v>39</v>
      </c>
      <c r="F8475">
        <v>0</v>
      </c>
      <c r="G8475">
        <v>0</v>
      </c>
      <c r="H8475">
        <v>2</v>
      </c>
      <c r="I8475" s="3">
        <v>1700.16</v>
      </c>
      <c r="J8475" s="3">
        <v>21.26</v>
      </c>
      <c r="K8475" t="s">
        <v>18603</v>
      </c>
      <c r="L8475">
        <v>1432</v>
      </c>
      <c r="M8475" t="s">
        <v>1695</v>
      </c>
      <c r="N8475" t="s">
        <v>30</v>
      </c>
      <c r="O8475" t="s">
        <v>31</v>
      </c>
      <c r="P8475" t="str">
        <f>"15217"</f>
        <v>15217</v>
      </c>
    </row>
    <row r="8476" spans="1:16" x14ac:dyDescent="0.25">
      <c r="A8476" t="str">
        <f>"1140085S00258040200"</f>
        <v>1140085S00258040200</v>
      </c>
      <c r="B8476" t="s">
        <v>18604</v>
      </c>
      <c r="C8476" t="s">
        <v>18605</v>
      </c>
      <c r="E8476" t="s">
        <v>39</v>
      </c>
      <c r="F8476">
        <v>0</v>
      </c>
      <c r="G8476">
        <v>0</v>
      </c>
      <c r="H8476">
        <v>2</v>
      </c>
      <c r="I8476" s="3">
        <v>2241.46</v>
      </c>
      <c r="J8476" s="3">
        <v>28.02</v>
      </c>
      <c r="K8476" t="s">
        <v>18606</v>
      </c>
      <c r="L8476">
        <v>1420</v>
      </c>
      <c r="M8476" t="s">
        <v>1695</v>
      </c>
      <c r="N8476" t="s">
        <v>30</v>
      </c>
      <c r="O8476" t="s">
        <v>31</v>
      </c>
      <c r="P8476" t="str">
        <f>"15217"</f>
        <v>15217</v>
      </c>
    </row>
    <row r="8477" spans="1:16" x14ac:dyDescent="0.25">
      <c r="A8477" t="str">
        <f>"1140085S00269    00"</f>
        <v>1140085S00269    00</v>
      </c>
      <c r="B8477" t="s">
        <v>18607</v>
      </c>
      <c r="C8477" t="s">
        <v>18608</v>
      </c>
      <c r="E8477" t="s">
        <v>39</v>
      </c>
      <c r="F8477">
        <v>0</v>
      </c>
      <c r="G8477">
        <v>0</v>
      </c>
      <c r="H8477">
        <v>1</v>
      </c>
      <c r="I8477" s="3">
        <v>3316.02</v>
      </c>
      <c r="J8477" s="3">
        <v>1050.02</v>
      </c>
      <c r="K8477" t="s">
        <v>4947</v>
      </c>
      <c r="L8477">
        <v>3001</v>
      </c>
      <c r="M8477" t="s">
        <v>330</v>
      </c>
      <c r="N8477" t="s">
        <v>331</v>
      </c>
      <c r="O8477" t="s">
        <v>108</v>
      </c>
      <c r="P8477" t="str">
        <f>"75063"</f>
        <v>75063</v>
      </c>
    </row>
    <row r="8478" spans="1:16" x14ac:dyDescent="0.25">
      <c r="A8478" t="str">
        <f>"1140086A00113    00"</f>
        <v>1140086A00113    00</v>
      </c>
      <c r="B8478" t="s">
        <v>18609</v>
      </c>
      <c r="C8478" t="s">
        <v>18610</v>
      </c>
      <c r="E8478" t="s">
        <v>39</v>
      </c>
      <c r="F8478">
        <v>0</v>
      </c>
      <c r="G8478">
        <v>0</v>
      </c>
      <c r="H8478">
        <v>2</v>
      </c>
      <c r="I8478" s="3">
        <v>5504.52</v>
      </c>
      <c r="J8478" s="3">
        <v>68.8</v>
      </c>
      <c r="K8478" t="s">
        <v>5355</v>
      </c>
      <c r="L8478">
        <v>3001</v>
      </c>
      <c r="M8478" t="s">
        <v>404</v>
      </c>
      <c r="N8478" t="s">
        <v>331</v>
      </c>
      <c r="O8478" t="s">
        <v>108</v>
      </c>
      <c r="P8478" t="str">
        <f>"75063"</f>
        <v>75063</v>
      </c>
    </row>
    <row r="8479" spans="1:16" x14ac:dyDescent="0.25">
      <c r="A8479" t="str">
        <f>"1140086A00202    00"</f>
        <v>1140086A00202    00</v>
      </c>
      <c r="B8479" t="s">
        <v>18611</v>
      </c>
      <c r="C8479" t="s">
        <v>18612</v>
      </c>
      <c r="E8479" t="s">
        <v>39</v>
      </c>
      <c r="F8479">
        <v>0</v>
      </c>
      <c r="G8479">
        <v>0</v>
      </c>
      <c r="H8479">
        <v>1</v>
      </c>
      <c r="I8479" s="3">
        <v>3184.54</v>
      </c>
      <c r="J8479" s="3">
        <v>1008.4</v>
      </c>
      <c r="K8479" t="s">
        <v>18613</v>
      </c>
      <c r="L8479">
        <v>5521</v>
      </c>
      <c r="M8479" t="s">
        <v>18614</v>
      </c>
      <c r="N8479" t="s">
        <v>30</v>
      </c>
      <c r="O8479" t="s">
        <v>31</v>
      </c>
      <c r="P8479" t="str">
        <f>"15217"</f>
        <v>15217</v>
      </c>
    </row>
    <row r="8480" spans="1:16" x14ac:dyDescent="0.25">
      <c r="A8480" t="str">
        <f>"1140086A00222    00"</f>
        <v>1140086A00222    00</v>
      </c>
      <c r="B8480" t="s">
        <v>18615</v>
      </c>
      <c r="C8480" t="s">
        <v>18616</v>
      </c>
      <c r="E8480" t="s">
        <v>39</v>
      </c>
      <c r="F8480">
        <v>0</v>
      </c>
      <c r="G8480">
        <v>0</v>
      </c>
      <c r="H8480">
        <v>1</v>
      </c>
      <c r="I8480" s="3">
        <v>3179.88</v>
      </c>
      <c r="J8480" s="3">
        <v>1510.38</v>
      </c>
      <c r="K8480" t="s">
        <v>6646</v>
      </c>
      <c r="L8480">
        <v>3001</v>
      </c>
      <c r="M8480" t="s">
        <v>404</v>
      </c>
      <c r="N8480" t="s">
        <v>331</v>
      </c>
      <c r="O8480" t="s">
        <v>108</v>
      </c>
      <c r="P8480" t="str">
        <f>"75063"</f>
        <v>75063</v>
      </c>
    </row>
    <row r="8481" spans="1:16" x14ac:dyDescent="0.25">
      <c r="A8481" t="str">
        <f>"1140086A00234    00"</f>
        <v>1140086A00234    00</v>
      </c>
      <c r="B8481" t="s">
        <v>18617</v>
      </c>
      <c r="C8481" t="s">
        <v>18618</v>
      </c>
      <c r="D8481" t="s">
        <v>20</v>
      </c>
      <c r="E8481" t="s">
        <v>39</v>
      </c>
      <c r="F8481">
        <v>0</v>
      </c>
      <c r="G8481">
        <v>0</v>
      </c>
      <c r="H8481">
        <v>3</v>
      </c>
      <c r="I8481" s="3">
        <v>6941.64</v>
      </c>
      <c r="J8481" s="3">
        <v>57.85</v>
      </c>
      <c r="K8481" t="s">
        <v>5396</v>
      </c>
      <c r="L8481">
        <v>3001</v>
      </c>
      <c r="M8481" t="s">
        <v>330</v>
      </c>
      <c r="N8481" t="s">
        <v>331</v>
      </c>
      <c r="O8481" t="s">
        <v>108</v>
      </c>
      <c r="P8481" t="str">
        <f>"75063"</f>
        <v>75063</v>
      </c>
    </row>
    <row r="8482" spans="1:16" x14ac:dyDescent="0.25">
      <c r="A8482" t="str">
        <f>"1140086A00272    00"</f>
        <v>1140086A00272    00</v>
      </c>
      <c r="B8482" t="s">
        <v>18619</v>
      </c>
      <c r="C8482" t="s">
        <v>18620</v>
      </c>
      <c r="D8482" t="s">
        <v>20</v>
      </c>
      <c r="E8482" t="s">
        <v>39</v>
      </c>
      <c r="F8482">
        <v>0</v>
      </c>
      <c r="G8482">
        <v>0</v>
      </c>
      <c r="H8482">
        <v>1</v>
      </c>
      <c r="I8482" s="3">
        <v>7437.21</v>
      </c>
      <c r="J8482" s="3">
        <v>0</v>
      </c>
      <c r="K8482" t="s">
        <v>1427</v>
      </c>
      <c r="L8482">
        <v>3001</v>
      </c>
      <c r="M8482" t="s">
        <v>330</v>
      </c>
      <c r="N8482" t="s">
        <v>331</v>
      </c>
      <c r="O8482" t="s">
        <v>108</v>
      </c>
      <c r="P8482" t="str">
        <f>"75063"</f>
        <v>75063</v>
      </c>
    </row>
    <row r="8483" spans="1:16" x14ac:dyDescent="0.25">
      <c r="A8483" t="str">
        <f>"1140086A00283    00"</f>
        <v>1140086A00283    00</v>
      </c>
      <c r="B8483" t="s">
        <v>18621</v>
      </c>
      <c r="C8483" t="s">
        <v>18622</v>
      </c>
      <c r="E8483" t="s">
        <v>39</v>
      </c>
      <c r="F8483">
        <v>0</v>
      </c>
      <c r="G8483">
        <v>0</v>
      </c>
      <c r="H8483">
        <v>1</v>
      </c>
      <c r="I8483" s="3">
        <v>3376.8</v>
      </c>
      <c r="J8483" s="3">
        <v>928.6</v>
      </c>
      <c r="K8483" t="s">
        <v>18623</v>
      </c>
      <c r="L8483">
        <v>4044</v>
      </c>
      <c r="M8483" t="s">
        <v>18624</v>
      </c>
      <c r="N8483" t="s">
        <v>5232</v>
      </c>
      <c r="O8483" t="s">
        <v>3486</v>
      </c>
      <c r="P8483" t="str">
        <f>"60618"</f>
        <v>60618</v>
      </c>
    </row>
    <row r="8484" spans="1:16" x14ac:dyDescent="0.25">
      <c r="A8484" t="str">
        <f>"1140086A00304    00"</f>
        <v>1140086A00304    00</v>
      </c>
      <c r="B8484" t="s">
        <v>18625</v>
      </c>
      <c r="C8484" t="s">
        <v>18626</v>
      </c>
      <c r="E8484" t="s">
        <v>39</v>
      </c>
      <c r="F8484">
        <v>0</v>
      </c>
      <c r="G8484">
        <v>0</v>
      </c>
      <c r="H8484">
        <v>3</v>
      </c>
      <c r="I8484" s="3">
        <v>34619.24</v>
      </c>
      <c r="J8484" s="3">
        <v>3299.78</v>
      </c>
      <c r="K8484" t="s">
        <v>18627</v>
      </c>
      <c r="L8484">
        <v>5563</v>
      </c>
      <c r="M8484" t="s">
        <v>455</v>
      </c>
      <c r="N8484" t="s">
        <v>30</v>
      </c>
      <c r="O8484" t="s">
        <v>31</v>
      </c>
      <c r="P8484" t="str">
        <f>"15217"</f>
        <v>15217</v>
      </c>
    </row>
    <row r="8485" spans="1:16" x14ac:dyDescent="0.25">
      <c r="A8485" t="str">
        <f>"1140086B00053    00"</f>
        <v>1140086B00053    00</v>
      </c>
      <c r="B8485" t="s">
        <v>18628</v>
      </c>
      <c r="C8485" t="s">
        <v>18629</v>
      </c>
      <c r="E8485" t="s">
        <v>39</v>
      </c>
      <c r="F8485">
        <v>0</v>
      </c>
      <c r="G8485">
        <v>0</v>
      </c>
      <c r="H8485">
        <v>1</v>
      </c>
      <c r="I8485" s="3">
        <v>9111.74</v>
      </c>
      <c r="J8485" s="3">
        <v>1670.42</v>
      </c>
      <c r="K8485" t="s">
        <v>18630</v>
      </c>
      <c r="L8485">
        <v>5565</v>
      </c>
      <c r="M8485" t="s">
        <v>455</v>
      </c>
      <c r="N8485" t="s">
        <v>30</v>
      </c>
      <c r="O8485" t="s">
        <v>31</v>
      </c>
      <c r="P8485" t="str">
        <f>"15217"</f>
        <v>15217</v>
      </c>
    </row>
    <row r="8486" spans="1:16" x14ac:dyDescent="0.25">
      <c r="A8486" t="str">
        <f>"1140086B00075    00"</f>
        <v>1140086B00075    00</v>
      </c>
      <c r="B8486" t="s">
        <v>18631</v>
      </c>
      <c r="C8486" t="s">
        <v>18632</v>
      </c>
      <c r="D8486" t="s">
        <v>20</v>
      </c>
      <c r="E8486" t="s">
        <v>39</v>
      </c>
      <c r="F8486">
        <v>0</v>
      </c>
      <c r="G8486">
        <v>0</v>
      </c>
      <c r="H8486">
        <v>1</v>
      </c>
      <c r="I8486" s="3">
        <v>4112.1499999999996</v>
      </c>
      <c r="J8486" s="3">
        <v>1644.8</v>
      </c>
      <c r="K8486" t="s">
        <v>391</v>
      </c>
      <c r="L8486">
        <v>1</v>
      </c>
      <c r="M8486" t="s">
        <v>392</v>
      </c>
      <c r="N8486" t="s">
        <v>393</v>
      </c>
      <c r="O8486" t="s">
        <v>394</v>
      </c>
      <c r="P8486" t="str">
        <f>"50328"</f>
        <v>50328</v>
      </c>
    </row>
    <row r="8487" spans="1:16" x14ac:dyDescent="0.25">
      <c r="A8487" t="str">
        <f>"1140086B00084    00"</f>
        <v>1140086B00084    00</v>
      </c>
      <c r="B8487" t="s">
        <v>18633</v>
      </c>
      <c r="C8487" t="s">
        <v>18634</v>
      </c>
      <c r="D8487" t="s">
        <v>20</v>
      </c>
      <c r="E8487" t="s">
        <v>21</v>
      </c>
      <c r="F8487">
        <v>0</v>
      </c>
      <c r="G8487">
        <v>0</v>
      </c>
      <c r="H8487">
        <v>5</v>
      </c>
      <c r="I8487" s="3">
        <v>43818.82</v>
      </c>
      <c r="J8487" s="3">
        <v>6882.54</v>
      </c>
      <c r="L8487">
        <v>2884</v>
      </c>
      <c r="M8487" t="s">
        <v>13525</v>
      </c>
      <c r="N8487" t="s">
        <v>546</v>
      </c>
      <c r="O8487" t="s">
        <v>31</v>
      </c>
      <c r="P8487" t="str">
        <f>"15044"</f>
        <v>15044</v>
      </c>
    </row>
    <row r="8488" spans="1:16" x14ac:dyDescent="0.25">
      <c r="A8488" t="str">
        <f>"1140086B00097    00"</f>
        <v>1140086B00097    00</v>
      </c>
      <c r="B8488" t="s">
        <v>18635</v>
      </c>
      <c r="C8488" t="s">
        <v>18636</v>
      </c>
      <c r="E8488" t="s">
        <v>39</v>
      </c>
      <c r="F8488">
        <v>0</v>
      </c>
      <c r="G8488">
        <v>0</v>
      </c>
      <c r="H8488">
        <v>1</v>
      </c>
      <c r="I8488" s="3">
        <v>5241.54</v>
      </c>
      <c r="J8488" s="3">
        <v>1441.37</v>
      </c>
      <c r="K8488" t="s">
        <v>403</v>
      </c>
      <c r="L8488">
        <v>3001</v>
      </c>
      <c r="M8488" t="s">
        <v>404</v>
      </c>
      <c r="N8488" t="s">
        <v>331</v>
      </c>
      <c r="O8488" t="s">
        <v>108</v>
      </c>
      <c r="P8488" t="str">
        <f>"75063"</f>
        <v>75063</v>
      </c>
    </row>
    <row r="8489" spans="1:16" x14ac:dyDescent="0.25">
      <c r="A8489" t="str">
        <f>"1140086B00116    00"</f>
        <v>1140086B00116    00</v>
      </c>
      <c r="B8489" t="s">
        <v>18637</v>
      </c>
      <c r="C8489" t="s">
        <v>18638</v>
      </c>
      <c r="E8489" t="s">
        <v>39</v>
      </c>
      <c r="F8489">
        <v>0</v>
      </c>
      <c r="G8489">
        <v>0</v>
      </c>
      <c r="H8489">
        <v>1</v>
      </c>
      <c r="I8489" s="3">
        <v>1836.77</v>
      </c>
      <c r="J8489" s="3">
        <v>76.53</v>
      </c>
      <c r="K8489" t="s">
        <v>18639</v>
      </c>
      <c r="M8489" t="s">
        <v>18640</v>
      </c>
      <c r="N8489" t="s">
        <v>1129</v>
      </c>
      <c r="O8489" t="s">
        <v>108</v>
      </c>
      <c r="P8489" t="str">
        <f>"76161"</f>
        <v>76161</v>
      </c>
    </row>
    <row r="8490" spans="1:16" x14ac:dyDescent="0.25">
      <c r="A8490" t="str">
        <f>"1140086B00165    00"</f>
        <v>1140086B00165    00</v>
      </c>
      <c r="B8490" t="s">
        <v>18641</v>
      </c>
      <c r="C8490" t="s">
        <v>18642</v>
      </c>
      <c r="D8490" t="s">
        <v>20</v>
      </c>
      <c r="E8490" t="s">
        <v>39</v>
      </c>
      <c r="F8490">
        <v>0</v>
      </c>
      <c r="G8490">
        <v>0</v>
      </c>
      <c r="H8490">
        <v>1</v>
      </c>
      <c r="I8490" s="3">
        <v>11991.11</v>
      </c>
      <c r="J8490" s="3">
        <v>0</v>
      </c>
      <c r="K8490" t="s">
        <v>18643</v>
      </c>
      <c r="L8490">
        <v>1449</v>
      </c>
      <c r="M8490" t="s">
        <v>6208</v>
      </c>
      <c r="N8490" t="s">
        <v>30</v>
      </c>
      <c r="O8490" t="s">
        <v>31</v>
      </c>
      <c r="P8490" t="str">
        <f>"15217"</f>
        <v>15217</v>
      </c>
    </row>
    <row r="8491" spans="1:16" x14ac:dyDescent="0.25">
      <c r="A8491" t="str">
        <f>"1140086B00193    00"</f>
        <v>1140086B00193    00</v>
      </c>
      <c r="B8491" t="s">
        <v>18644</v>
      </c>
      <c r="C8491" t="s">
        <v>18645</v>
      </c>
      <c r="E8491" t="s">
        <v>39</v>
      </c>
      <c r="F8491">
        <v>0</v>
      </c>
      <c r="G8491">
        <v>0</v>
      </c>
      <c r="H8491">
        <v>1</v>
      </c>
      <c r="I8491" s="3">
        <v>105.57</v>
      </c>
      <c r="J8491" s="3">
        <v>0</v>
      </c>
      <c r="L8491">
        <v>5713</v>
      </c>
      <c r="M8491" t="s">
        <v>7008</v>
      </c>
      <c r="N8491" t="s">
        <v>30</v>
      </c>
      <c r="O8491" t="s">
        <v>31</v>
      </c>
      <c r="P8491" t="str">
        <f>"15217"</f>
        <v>15217</v>
      </c>
    </row>
    <row r="8492" spans="1:16" x14ac:dyDescent="0.25">
      <c r="A8492" t="str">
        <f>"1140086B00236    00"</f>
        <v>1140086B00236    00</v>
      </c>
      <c r="B8492" t="s">
        <v>18646</v>
      </c>
      <c r="C8492" t="s">
        <v>18647</v>
      </c>
      <c r="E8492" t="s">
        <v>39</v>
      </c>
      <c r="F8492">
        <v>0</v>
      </c>
      <c r="G8492">
        <v>0</v>
      </c>
      <c r="H8492">
        <v>1</v>
      </c>
      <c r="I8492" s="3">
        <v>3903.99</v>
      </c>
      <c r="J8492" s="3">
        <v>1236.22</v>
      </c>
      <c r="K8492" t="s">
        <v>7350</v>
      </c>
      <c r="L8492">
        <v>3001</v>
      </c>
      <c r="M8492" t="s">
        <v>330</v>
      </c>
      <c r="N8492" t="s">
        <v>331</v>
      </c>
      <c r="O8492" t="s">
        <v>108</v>
      </c>
      <c r="P8492" t="str">
        <f>"75063"</f>
        <v>75063</v>
      </c>
    </row>
    <row r="8493" spans="1:16" x14ac:dyDescent="0.25">
      <c r="A8493" t="str">
        <f>"1140086B00238    00"</f>
        <v>1140086B00238    00</v>
      </c>
      <c r="B8493" t="s">
        <v>18648</v>
      </c>
      <c r="C8493" t="s">
        <v>18649</v>
      </c>
      <c r="D8493" t="s">
        <v>20</v>
      </c>
      <c r="E8493" t="s">
        <v>39</v>
      </c>
      <c r="F8493">
        <v>0</v>
      </c>
      <c r="G8493">
        <v>0</v>
      </c>
      <c r="H8493">
        <v>3</v>
      </c>
      <c r="I8493" s="3">
        <v>4784.54</v>
      </c>
      <c r="J8493" s="3">
        <v>118.05</v>
      </c>
      <c r="K8493" t="s">
        <v>5334</v>
      </c>
      <c r="L8493">
        <v>3001</v>
      </c>
      <c r="M8493" t="s">
        <v>330</v>
      </c>
      <c r="N8493" t="s">
        <v>331</v>
      </c>
      <c r="O8493" t="s">
        <v>108</v>
      </c>
      <c r="P8493" t="str">
        <f>"75063"</f>
        <v>75063</v>
      </c>
    </row>
    <row r="8494" spans="1:16" x14ac:dyDescent="0.25">
      <c r="A8494" t="str">
        <f>"1140086B00241    00"</f>
        <v>1140086B00241    00</v>
      </c>
      <c r="B8494" t="s">
        <v>18650</v>
      </c>
      <c r="C8494" t="s">
        <v>18651</v>
      </c>
      <c r="E8494" t="s">
        <v>39</v>
      </c>
      <c r="F8494">
        <v>0</v>
      </c>
      <c r="G8494">
        <v>0</v>
      </c>
      <c r="H8494">
        <v>1</v>
      </c>
      <c r="I8494" s="3">
        <v>2039.2</v>
      </c>
      <c r="J8494" s="3">
        <v>560.76</v>
      </c>
      <c r="L8494">
        <v>5719</v>
      </c>
      <c r="M8494" t="s">
        <v>1610</v>
      </c>
      <c r="N8494" t="s">
        <v>30</v>
      </c>
      <c r="O8494" t="s">
        <v>31</v>
      </c>
      <c r="P8494" t="str">
        <f>"15217"</f>
        <v>15217</v>
      </c>
    </row>
    <row r="8495" spans="1:16" x14ac:dyDescent="0.25">
      <c r="A8495" t="str">
        <f>"1140086B00245    00"</f>
        <v>1140086B00245    00</v>
      </c>
      <c r="B8495" t="s">
        <v>18652</v>
      </c>
      <c r="C8495" t="s">
        <v>18653</v>
      </c>
      <c r="D8495" t="s">
        <v>20</v>
      </c>
      <c r="E8495" t="s">
        <v>39</v>
      </c>
      <c r="F8495">
        <v>0</v>
      </c>
      <c r="G8495">
        <v>0</v>
      </c>
      <c r="H8495">
        <v>6</v>
      </c>
      <c r="I8495" s="3">
        <v>27487.67</v>
      </c>
      <c r="J8495" s="3">
        <v>2957.15</v>
      </c>
      <c r="L8495">
        <v>6354</v>
      </c>
      <c r="M8495" t="s">
        <v>18654</v>
      </c>
      <c r="N8495" t="s">
        <v>30</v>
      </c>
      <c r="O8495" t="s">
        <v>31</v>
      </c>
      <c r="P8495" t="str">
        <f>"15217"</f>
        <v>15217</v>
      </c>
    </row>
    <row r="8496" spans="1:16" x14ac:dyDescent="0.25">
      <c r="A8496" t="str">
        <f>"1140086B00282    00"</f>
        <v>1140086B00282    00</v>
      </c>
      <c r="B8496" t="s">
        <v>18655</v>
      </c>
      <c r="C8496" t="s">
        <v>18656</v>
      </c>
      <c r="D8496" t="s">
        <v>20</v>
      </c>
      <c r="E8496" t="s">
        <v>39</v>
      </c>
      <c r="F8496">
        <v>0</v>
      </c>
      <c r="G8496">
        <v>0</v>
      </c>
      <c r="H8496">
        <v>3</v>
      </c>
      <c r="I8496" s="3">
        <v>5996.23</v>
      </c>
      <c r="J8496" s="3">
        <v>1029.98</v>
      </c>
      <c r="K8496" t="s">
        <v>5137</v>
      </c>
      <c r="L8496">
        <v>612</v>
      </c>
      <c r="M8496" t="s">
        <v>1451</v>
      </c>
      <c r="N8496" t="s">
        <v>5138</v>
      </c>
      <c r="O8496" t="s">
        <v>31</v>
      </c>
      <c r="P8496" t="str">
        <f>"16373"</f>
        <v>16373</v>
      </c>
    </row>
    <row r="8497" spans="1:16" x14ac:dyDescent="0.25">
      <c r="A8497" t="str">
        <f>"1140086C00068    00"</f>
        <v>1140086C00068    00</v>
      </c>
      <c r="B8497" t="s">
        <v>18657</v>
      </c>
      <c r="C8497" t="s">
        <v>18658</v>
      </c>
      <c r="E8497" t="s">
        <v>39</v>
      </c>
      <c r="F8497">
        <v>0</v>
      </c>
      <c r="G8497">
        <v>0</v>
      </c>
      <c r="H8497">
        <v>1</v>
      </c>
      <c r="I8497" s="3">
        <v>1361.25</v>
      </c>
      <c r="J8497" s="3">
        <v>1202.3800000000001</v>
      </c>
      <c r="K8497" t="s">
        <v>1632</v>
      </c>
      <c r="L8497">
        <v>3001</v>
      </c>
      <c r="M8497" t="s">
        <v>330</v>
      </c>
      <c r="N8497" t="s">
        <v>331</v>
      </c>
      <c r="O8497" t="s">
        <v>108</v>
      </c>
      <c r="P8497" t="str">
        <f>"75063"</f>
        <v>75063</v>
      </c>
    </row>
    <row r="8498" spans="1:16" x14ac:dyDescent="0.25">
      <c r="A8498" t="str">
        <f>"1140086C00076    00"</f>
        <v>1140086C00076    00</v>
      </c>
      <c r="B8498" t="s">
        <v>18659</v>
      </c>
      <c r="C8498" t="s">
        <v>18660</v>
      </c>
      <c r="E8498" t="s">
        <v>39</v>
      </c>
      <c r="F8498">
        <v>0</v>
      </c>
      <c r="G8498">
        <v>0</v>
      </c>
      <c r="H8498">
        <v>1</v>
      </c>
      <c r="I8498" s="3">
        <v>3041.94</v>
      </c>
      <c r="J8498" s="3">
        <v>1444.86</v>
      </c>
      <c r="L8498">
        <v>8001</v>
      </c>
      <c r="M8498" t="s">
        <v>18025</v>
      </c>
      <c r="N8498" t="s">
        <v>2059</v>
      </c>
      <c r="O8498" t="s">
        <v>31</v>
      </c>
      <c r="P8498" t="str">
        <f>"15642"</f>
        <v>15642</v>
      </c>
    </row>
    <row r="8499" spans="1:16" x14ac:dyDescent="0.25">
      <c r="A8499" t="str">
        <f>"1140086C00126    00"</f>
        <v>1140086C00126    00</v>
      </c>
      <c r="B8499" t="s">
        <v>18661</v>
      </c>
      <c r="C8499" t="s">
        <v>18662</v>
      </c>
      <c r="E8499" t="s">
        <v>39</v>
      </c>
      <c r="F8499">
        <v>0</v>
      </c>
      <c r="G8499">
        <v>0</v>
      </c>
      <c r="H8499">
        <v>2</v>
      </c>
      <c r="I8499" s="3">
        <v>666.1</v>
      </c>
      <c r="J8499" s="3">
        <v>45.55</v>
      </c>
      <c r="K8499" t="s">
        <v>881</v>
      </c>
      <c r="L8499">
        <v>3001</v>
      </c>
      <c r="M8499" t="s">
        <v>330</v>
      </c>
      <c r="N8499" t="s">
        <v>331</v>
      </c>
      <c r="O8499" t="s">
        <v>108</v>
      </c>
      <c r="P8499" t="str">
        <f>"75063"</f>
        <v>75063</v>
      </c>
    </row>
    <row r="8500" spans="1:16" x14ac:dyDescent="0.25">
      <c r="A8500" t="str">
        <f>"1140086C00195    00"</f>
        <v>1140086C00195    00</v>
      </c>
      <c r="B8500" t="s">
        <v>18663</v>
      </c>
      <c r="C8500" t="s">
        <v>18664</v>
      </c>
      <c r="E8500" t="s">
        <v>39</v>
      </c>
      <c r="F8500">
        <v>0</v>
      </c>
      <c r="G8500">
        <v>0</v>
      </c>
      <c r="H8500">
        <v>2</v>
      </c>
      <c r="I8500" s="3">
        <v>2367.2800000000002</v>
      </c>
      <c r="J8500" s="3">
        <v>78.91</v>
      </c>
      <c r="K8500" t="s">
        <v>18665</v>
      </c>
      <c r="L8500">
        <v>5847</v>
      </c>
      <c r="M8500" t="s">
        <v>455</v>
      </c>
      <c r="N8500" t="s">
        <v>30</v>
      </c>
      <c r="O8500" t="s">
        <v>31</v>
      </c>
      <c r="P8500" t="str">
        <f t="shared" ref="P8500:P8506" si="100">"15217"</f>
        <v>15217</v>
      </c>
    </row>
    <row r="8501" spans="1:16" x14ac:dyDescent="0.25">
      <c r="A8501" t="str">
        <f>"1140086C00196    00"</f>
        <v>1140086C00196    00</v>
      </c>
      <c r="B8501" t="s">
        <v>18666</v>
      </c>
      <c r="C8501" t="s">
        <v>18667</v>
      </c>
      <c r="E8501" t="s">
        <v>39</v>
      </c>
      <c r="F8501">
        <v>0</v>
      </c>
      <c r="G8501">
        <v>0</v>
      </c>
      <c r="H8501">
        <v>2</v>
      </c>
      <c r="I8501" s="3">
        <v>2138.56</v>
      </c>
      <c r="J8501" s="3">
        <v>71.28</v>
      </c>
      <c r="K8501" t="s">
        <v>18668</v>
      </c>
      <c r="L8501">
        <v>5845</v>
      </c>
      <c r="M8501" t="s">
        <v>455</v>
      </c>
      <c r="N8501" t="s">
        <v>30</v>
      </c>
      <c r="O8501" t="s">
        <v>31</v>
      </c>
      <c r="P8501" t="str">
        <f t="shared" si="100"/>
        <v>15217</v>
      </c>
    </row>
    <row r="8502" spans="1:16" x14ac:dyDescent="0.25">
      <c r="A8502" t="str">
        <f>"1140086C00208    00"</f>
        <v>1140086C00208    00</v>
      </c>
      <c r="B8502" t="s">
        <v>18669</v>
      </c>
      <c r="C8502" t="s">
        <v>18670</v>
      </c>
      <c r="E8502" t="s">
        <v>39</v>
      </c>
      <c r="F8502">
        <v>0</v>
      </c>
      <c r="G8502">
        <v>0</v>
      </c>
      <c r="H8502">
        <v>1</v>
      </c>
      <c r="I8502" s="3">
        <v>57.75</v>
      </c>
      <c r="J8502" s="3">
        <v>15.87</v>
      </c>
      <c r="L8502">
        <v>5825</v>
      </c>
      <c r="M8502" t="s">
        <v>455</v>
      </c>
      <c r="N8502" t="s">
        <v>30</v>
      </c>
      <c r="O8502" t="s">
        <v>31</v>
      </c>
      <c r="P8502" t="str">
        <f t="shared" si="100"/>
        <v>15217</v>
      </c>
    </row>
    <row r="8503" spans="1:16" x14ac:dyDescent="0.25">
      <c r="A8503" t="str">
        <f>"1140086C00232    00"</f>
        <v>1140086C00232    00</v>
      </c>
      <c r="B8503" t="s">
        <v>18671</v>
      </c>
      <c r="C8503" t="s">
        <v>18672</v>
      </c>
      <c r="D8503" t="s">
        <v>20</v>
      </c>
      <c r="E8503" t="s">
        <v>39</v>
      </c>
      <c r="F8503">
        <v>0</v>
      </c>
      <c r="G8503">
        <v>0</v>
      </c>
      <c r="H8503">
        <v>3</v>
      </c>
      <c r="I8503" s="3">
        <v>10913.75</v>
      </c>
      <c r="J8503" s="3">
        <v>365.52</v>
      </c>
      <c r="K8503" t="s">
        <v>18673</v>
      </c>
      <c r="L8503">
        <v>5816</v>
      </c>
      <c r="M8503" t="s">
        <v>1610</v>
      </c>
      <c r="N8503" t="s">
        <v>30</v>
      </c>
      <c r="O8503" t="s">
        <v>31</v>
      </c>
      <c r="P8503" t="str">
        <f t="shared" si="100"/>
        <v>15217</v>
      </c>
    </row>
    <row r="8504" spans="1:16" x14ac:dyDescent="0.25">
      <c r="A8504" t="str">
        <f>"1140086C00264    00"</f>
        <v>1140086C00264    00</v>
      </c>
      <c r="B8504" t="s">
        <v>18674</v>
      </c>
      <c r="C8504" t="s">
        <v>18675</v>
      </c>
      <c r="E8504" t="s">
        <v>39</v>
      </c>
      <c r="F8504">
        <v>0</v>
      </c>
      <c r="G8504">
        <v>0</v>
      </c>
      <c r="H8504">
        <v>2</v>
      </c>
      <c r="I8504" s="3">
        <v>2195.7199999999998</v>
      </c>
      <c r="J8504" s="3">
        <v>27.45</v>
      </c>
      <c r="L8504">
        <v>1450</v>
      </c>
      <c r="M8504" t="s">
        <v>3580</v>
      </c>
      <c r="N8504" t="s">
        <v>30</v>
      </c>
      <c r="O8504" t="s">
        <v>31</v>
      </c>
      <c r="P8504" t="str">
        <f t="shared" si="100"/>
        <v>15217</v>
      </c>
    </row>
    <row r="8505" spans="1:16" x14ac:dyDescent="0.25">
      <c r="A8505" t="str">
        <f>"1140086D00029    00"</f>
        <v>1140086D00029    00</v>
      </c>
      <c r="B8505" t="s">
        <v>18676</v>
      </c>
      <c r="C8505" t="s">
        <v>18677</v>
      </c>
      <c r="E8505" t="s">
        <v>39</v>
      </c>
      <c r="F8505">
        <v>0</v>
      </c>
      <c r="G8505">
        <v>0</v>
      </c>
      <c r="H8505">
        <v>1</v>
      </c>
      <c r="I8505" s="3">
        <v>1869.8</v>
      </c>
      <c r="J8505" s="3">
        <v>124.64</v>
      </c>
      <c r="K8505" t="s">
        <v>18678</v>
      </c>
      <c r="L8505">
        <v>1543</v>
      </c>
      <c r="M8505" t="s">
        <v>3580</v>
      </c>
      <c r="N8505" t="s">
        <v>30</v>
      </c>
      <c r="O8505" t="s">
        <v>31</v>
      </c>
      <c r="P8505" t="str">
        <f t="shared" si="100"/>
        <v>15217</v>
      </c>
    </row>
    <row r="8506" spans="1:16" x14ac:dyDescent="0.25">
      <c r="A8506" t="str">
        <f>"1140086D00100    00"</f>
        <v>1140086D00100    00</v>
      </c>
      <c r="B8506" t="s">
        <v>18679</v>
      </c>
      <c r="C8506" t="s">
        <v>18680</v>
      </c>
      <c r="E8506" t="s">
        <v>39</v>
      </c>
      <c r="F8506">
        <v>0</v>
      </c>
      <c r="G8506">
        <v>0</v>
      </c>
      <c r="H8506">
        <v>2</v>
      </c>
      <c r="I8506" s="3">
        <v>5054.72</v>
      </c>
      <c r="J8506" s="3">
        <v>168.49</v>
      </c>
      <c r="L8506">
        <v>1522</v>
      </c>
      <c r="M8506" t="s">
        <v>5941</v>
      </c>
      <c r="N8506" t="s">
        <v>30</v>
      </c>
      <c r="O8506" t="s">
        <v>31</v>
      </c>
      <c r="P8506" t="str">
        <f t="shared" si="100"/>
        <v>15217</v>
      </c>
    </row>
    <row r="8507" spans="1:16" x14ac:dyDescent="0.25">
      <c r="A8507" t="str">
        <f>"1140086D00111000300"</f>
        <v>1140086D00111000300</v>
      </c>
      <c r="B8507" t="s">
        <v>18681</v>
      </c>
      <c r="C8507" t="s">
        <v>18682</v>
      </c>
      <c r="E8507" t="s">
        <v>39</v>
      </c>
      <c r="F8507">
        <v>0</v>
      </c>
      <c r="G8507">
        <v>0</v>
      </c>
      <c r="H8507">
        <v>1</v>
      </c>
      <c r="I8507" s="3">
        <v>5886.68</v>
      </c>
      <c r="J8507" s="3">
        <v>0</v>
      </c>
      <c r="K8507" t="s">
        <v>400</v>
      </c>
      <c r="L8507">
        <v>3001</v>
      </c>
      <c r="M8507" t="s">
        <v>330</v>
      </c>
      <c r="N8507" t="s">
        <v>331</v>
      </c>
      <c r="O8507" t="s">
        <v>108</v>
      </c>
      <c r="P8507" t="str">
        <f>"75063"</f>
        <v>75063</v>
      </c>
    </row>
    <row r="8508" spans="1:16" x14ac:dyDescent="0.25">
      <c r="A8508" t="str">
        <f>"1140086D00189    00"</f>
        <v>1140086D00189    00</v>
      </c>
      <c r="B8508" t="s">
        <v>18683</v>
      </c>
      <c r="C8508" t="s">
        <v>18684</v>
      </c>
      <c r="D8508" t="s">
        <v>20</v>
      </c>
      <c r="E8508" t="s">
        <v>39</v>
      </c>
      <c r="F8508">
        <v>0</v>
      </c>
      <c r="G8508">
        <v>0</v>
      </c>
      <c r="H8508">
        <v>2</v>
      </c>
      <c r="I8508" s="3">
        <v>151.1</v>
      </c>
      <c r="J8508" s="3">
        <v>0</v>
      </c>
      <c r="K8508" t="s">
        <v>18685</v>
      </c>
      <c r="L8508">
        <v>1536</v>
      </c>
      <c r="M8508" t="s">
        <v>1695</v>
      </c>
      <c r="N8508" t="s">
        <v>30</v>
      </c>
      <c r="O8508" t="s">
        <v>31</v>
      </c>
      <c r="P8508" t="str">
        <f>"15217"</f>
        <v>15217</v>
      </c>
    </row>
    <row r="8509" spans="1:16" x14ac:dyDescent="0.25">
      <c r="A8509" t="str">
        <f>"1140086D00195    00"</f>
        <v>1140086D00195    00</v>
      </c>
      <c r="B8509" t="s">
        <v>18686</v>
      </c>
      <c r="C8509" t="s">
        <v>18687</v>
      </c>
      <c r="D8509" t="s">
        <v>20</v>
      </c>
      <c r="E8509" t="s">
        <v>39</v>
      </c>
      <c r="F8509">
        <v>0</v>
      </c>
      <c r="G8509">
        <v>0</v>
      </c>
      <c r="H8509">
        <v>1</v>
      </c>
      <c r="I8509" s="3">
        <v>163.18</v>
      </c>
      <c r="J8509" s="3">
        <v>0</v>
      </c>
      <c r="L8509">
        <v>1552</v>
      </c>
      <c r="M8509" t="s">
        <v>1695</v>
      </c>
      <c r="N8509" t="s">
        <v>30</v>
      </c>
      <c r="O8509" t="s">
        <v>31</v>
      </c>
      <c r="P8509" t="str">
        <f>"15217"</f>
        <v>15217</v>
      </c>
    </row>
    <row r="8510" spans="1:16" x14ac:dyDescent="0.25">
      <c r="A8510" t="str">
        <f>"1140086E00057    00"</f>
        <v>1140086E00057    00</v>
      </c>
      <c r="B8510" t="s">
        <v>18688</v>
      </c>
      <c r="C8510" t="s">
        <v>18689</v>
      </c>
      <c r="D8510" t="s">
        <v>57</v>
      </c>
      <c r="E8510" t="s">
        <v>39</v>
      </c>
      <c r="F8510">
        <v>0</v>
      </c>
      <c r="G8510">
        <v>0</v>
      </c>
      <c r="H8510">
        <v>1</v>
      </c>
      <c r="I8510" s="3">
        <v>291.19</v>
      </c>
      <c r="J8510" s="3">
        <v>80.069999999999993</v>
      </c>
      <c r="L8510">
        <v>1445</v>
      </c>
      <c r="M8510" t="s">
        <v>6153</v>
      </c>
      <c r="N8510" t="s">
        <v>30</v>
      </c>
      <c r="O8510" t="s">
        <v>31</v>
      </c>
      <c r="P8510" t="str">
        <f>"15217"</f>
        <v>15217</v>
      </c>
    </row>
    <row r="8511" spans="1:16" x14ac:dyDescent="0.25">
      <c r="A8511" t="str">
        <f>"1140086E00071    00"</f>
        <v>1140086E00071    00</v>
      </c>
      <c r="B8511" t="s">
        <v>18690</v>
      </c>
      <c r="C8511" t="s">
        <v>18691</v>
      </c>
      <c r="E8511" t="s">
        <v>39</v>
      </c>
      <c r="F8511">
        <v>0</v>
      </c>
      <c r="G8511">
        <v>0</v>
      </c>
      <c r="H8511">
        <v>2</v>
      </c>
      <c r="I8511" s="3">
        <v>3777.72</v>
      </c>
      <c r="J8511" s="3">
        <v>188.87</v>
      </c>
      <c r="K8511" t="s">
        <v>18692</v>
      </c>
      <c r="L8511">
        <v>5531</v>
      </c>
      <c r="M8511" t="s">
        <v>455</v>
      </c>
      <c r="N8511" t="s">
        <v>30</v>
      </c>
      <c r="O8511" t="s">
        <v>31</v>
      </c>
      <c r="P8511" t="str">
        <f>"15217"</f>
        <v>15217</v>
      </c>
    </row>
    <row r="8512" spans="1:16" x14ac:dyDescent="0.25">
      <c r="A8512" t="str">
        <f>"1140086E00155    00"</f>
        <v>1140086E00155    00</v>
      </c>
      <c r="B8512" t="s">
        <v>18693</v>
      </c>
      <c r="C8512" t="s">
        <v>18694</v>
      </c>
      <c r="E8512" t="s">
        <v>39</v>
      </c>
      <c r="F8512">
        <v>0</v>
      </c>
      <c r="G8512">
        <v>0</v>
      </c>
      <c r="H8512">
        <v>2</v>
      </c>
      <c r="I8512" s="3">
        <v>2565.67</v>
      </c>
      <c r="J8512" s="3">
        <v>184.5</v>
      </c>
      <c r="K8512" t="s">
        <v>391</v>
      </c>
      <c r="L8512">
        <v>1</v>
      </c>
      <c r="M8512" t="s">
        <v>392</v>
      </c>
      <c r="N8512" t="s">
        <v>393</v>
      </c>
      <c r="O8512" t="s">
        <v>394</v>
      </c>
      <c r="P8512" t="str">
        <f>"50328"</f>
        <v>50328</v>
      </c>
    </row>
    <row r="8513" spans="1:16" x14ac:dyDescent="0.25">
      <c r="A8513" t="str">
        <f>"1140086E00165    00"</f>
        <v>1140086E00165    00</v>
      </c>
      <c r="B8513" t="s">
        <v>18695</v>
      </c>
      <c r="C8513" t="s">
        <v>18696</v>
      </c>
      <c r="E8513" t="s">
        <v>39</v>
      </c>
      <c r="F8513">
        <v>0</v>
      </c>
      <c r="G8513">
        <v>0</v>
      </c>
      <c r="H8513">
        <v>2</v>
      </c>
      <c r="I8513" s="3">
        <v>3650.97</v>
      </c>
      <c r="J8513" s="3">
        <v>249.67</v>
      </c>
      <c r="K8513" t="s">
        <v>1030</v>
      </c>
      <c r="M8513" t="s">
        <v>1031</v>
      </c>
      <c r="N8513" t="s">
        <v>1032</v>
      </c>
      <c r="O8513" t="s">
        <v>25</v>
      </c>
      <c r="P8513" t="str">
        <f>"44711"</f>
        <v>44711</v>
      </c>
    </row>
    <row r="8514" spans="1:16" x14ac:dyDescent="0.25">
      <c r="A8514" t="str">
        <f>"1140086E00168    00"</f>
        <v>1140086E00168    00</v>
      </c>
      <c r="B8514" t="s">
        <v>18697</v>
      </c>
      <c r="C8514" t="s">
        <v>18698</v>
      </c>
      <c r="E8514" t="s">
        <v>39</v>
      </c>
      <c r="F8514">
        <v>0</v>
      </c>
      <c r="G8514">
        <v>0</v>
      </c>
      <c r="H8514">
        <v>1</v>
      </c>
      <c r="I8514" s="3">
        <v>2415.6999999999998</v>
      </c>
      <c r="J8514" s="3">
        <v>0</v>
      </c>
      <c r="K8514" t="s">
        <v>18699</v>
      </c>
      <c r="L8514">
        <v>5445</v>
      </c>
      <c r="M8514" t="s">
        <v>2285</v>
      </c>
      <c r="N8514" t="s">
        <v>30</v>
      </c>
      <c r="O8514" t="s">
        <v>31</v>
      </c>
      <c r="P8514" t="str">
        <f>"15217"</f>
        <v>15217</v>
      </c>
    </row>
    <row r="8515" spans="1:16" x14ac:dyDescent="0.25">
      <c r="A8515" t="str">
        <f>"1140086E00244    00"</f>
        <v>1140086E00244    00</v>
      </c>
      <c r="B8515" t="s">
        <v>18700</v>
      </c>
      <c r="C8515" t="s">
        <v>18701</v>
      </c>
      <c r="D8515" t="s">
        <v>57</v>
      </c>
      <c r="E8515" t="s">
        <v>39</v>
      </c>
      <c r="F8515">
        <v>0</v>
      </c>
      <c r="G8515">
        <v>0</v>
      </c>
      <c r="H8515">
        <v>1</v>
      </c>
      <c r="I8515" s="3">
        <v>1458.39</v>
      </c>
      <c r="J8515" s="3">
        <v>255.21</v>
      </c>
      <c r="K8515" t="s">
        <v>563</v>
      </c>
      <c r="L8515">
        <v>3001</v>
      </c>
      <c r="M8515" t="s">
        <v>330</v>
      </c>
      <c r="N8515" t="s">
        <v>331</v>
      </c>
      <c r="O8515" t="s">
        <v>108</v>
      </c>
      <c r="P8515" t="str">
        <f>"75063"</f>
        <v>75063</v>
      </c>
    </row>
    <row r="8516" spans="1:16" x14ac:dyDescent="0.25">
      <c r="A8516" t="str">
        <f>"1140086E00255    00"</f>
        <v>1140086E00255    00</v>
      </c>
      <c r="B8516" t="s">
        <v>18702</v>
      </c>
      <c r="C8516" t="s">
        <v>18703</v>
      </c>
      <c r="E8516" t="s">
        <v>39</v>
      </c>
      <c r="F8516">
        <v>0</v>
      </c>
      <c r="G8516">
        <v>0</v>
      </c>
      <c r="H8516">
        <v>1</v>
      </c>
      <c r="I8516" s="3">
        <v>115.72</v>
      </c>
      <c r="J8516" s="3">
        <v>36.64</v>
      </c>
      <c r="K8516" t="s">
        <v>18704</v>
      </c>
      <c r="L8516">
        <v>5440</v>
      </c>
      <c r="M8516" t="s">
        <v>2285</v>
      </c>
      <c r="N8516" t="s">
        <v>30</v>
      </c>
      <c r="O8516" t="s">
        <v>31</v>
      </c>
      <c r="P8516" t="str">
        <f>"15217"</f>
        <v>15217</v>
      </c>
    </row>
    <row r="8517" spans="1:16" x14ac:dyDescent="0.25">
      <c r="A8517" t="str">
        <f>"1140086E00264    00"</f>
        <v>1140086E00264    00</v>
      </c>
      <c r="B8517" t="s">
        <v>18705</v>
      </c>
      <c r="C8517" t="s">
        <v>18706</v>
      </c>
      <c r="D8517" t="s">
        <v>20</v>
      </c>
      <c r="E8517" t="s">
        <v>39</v>
      </c>
      <c r="F8517">
        <v>0</v>
      </c>
      <c r="G8517">
        <v>0</v>
      </c>
      <c r="H8517">
        <v>4</v>
      </c>
      <c r="I8517" s="3">
        <v>16679.259999999998</v>
      </c>
      <c r="J8517" s="3">
        <v>370.08</v>
      </c>
      <c r="K8517" t="s">
        <v>6483</v>
      </c>
      <c r="L8517">
        <v>3001</v>
      </c>
      <c r="M8517" t="s">
        <v>330</v>
      </c>
      <c r="N8517" t="s">
        <v>331</v>
      </c>
      <c r="O8517" t="s">
        <v>108</v>
      </c>
      <c r="P8517" t="str">
        <f>"75063"</f>
        <v>75063</v>
      </c>
    </row>
    <row r="8518" spans="1:16" x14ac:dyDescent="0.25">
      <c r="A8518" t="str">
        <f>"1140086E00265    00"</f>
        <v>1140086E00265    00</v>
      </c>
      <c r="B8518" t="s">
        <v>18707</v>
      </c>
      <c r="C8518" t="s">
        <v>18708</v>
      </c>
      <c r="E8518" t="s">
        <v>39</v>
      </c>
      <c r="F8518">
        <v>0</v>
      </c>
      <c r="G8518">
        <v>0</v>
      </c>
      <c r="H8518">
        <v>2</v>
      </c>
      <c r="I8518" s="3">
        <v>4654.4799999999996</v>
      </c>
      <c r="J8518" s="3">
        <v>58.18</v>
      </c>
      <c r="K8518" t="s">
        <v>18709</v>
      </c>
      <c r="L8518">
        <v>5424</v>
      </c>
      <c r="M8518" t="s">
        <v>2285</v>
      </c>
      <c r="N8518" t="s">
        <v>30</v>
      </c>
      <c r="O8518" t="s">
        <v>31</v>
      </c>
      <c r="P8518" t="str">
        <f>"15217"</f>
        <v>15217</v>
      </c>
    </row>
    <row r="8519" spans="1:16" x14ac:dyDescent="0.25">
      <c r="A8519" t="str">
        <f>"1140086E00336    00"</f>
        <v>1140086E00336    00</v>
      </c>
      <c r="B8519" t="s">
        <v>18710</v>
      </c>
      <c r="C8519" t="s">
        <v>18711</v>
      </c>
      <c r="D8519" t="s">
        <v>57</v>
      </c>
      <c r="E8519" t="s">
        <v>39</v>
      </c>
      <c r="F8519">
        <v>0</v>
      </c>
      <c r="G8519">
        <v>0</v>
      </c>
      <c r="H8519">
        <v>1</v>
      </c>
      <c r="I8519" s="3">
        <v>1180.8699999999999</v>
      </c>
      <c r="J8519" s="3">
        <v>255.85</v>
      </c>
      <c r="K8519" t="s">
        <v>18712</v>
      </c>
      <c r="L8519">
        <v>19110</v>
      </c>
      <c r="M8519" t="s">
        <v>18713</v>
      </c>
      <c r="N8519" t="s">
        <v>1772</v>
      </c>
      <c r="O8519" t="s">
        <v>495</v>
      </c>
      <c r="P8519" t="str">
        <f>"95070"</f>
        <v>95070</v>
      </c>
    </row>
    <row r="8520" spans="1:16" x14ac:dyDescent="0.25">
      <c r="A8520" t="str">
        <f>"1140086E00340001800"</f>
        <v>1140086E00340001800</v>
      </c>
      <c r="B8520" t="s">
        <v>18714</v>
      </c>
      <c r="C8520" t="s">
        <v>18715</v>
      </c>
      <c r="E8520" t="s">
        <v>39</v>
      </c>
      <c r="F8520">
        <v>0</v>
      </c>
      <c r="G8520">
        <v>0</v>
      </c>
      <c r="H8520">
        <v>2</v>
      </c>
      <c r="I8520" s="3">
        <v>3358.4</v>
      </c>
      <c r="J8520" s="3">
        <v>111.95</v>
      </c>
      <c r="K8520" t="s">
        <v>7262</v>
      </c>
      <c r="L8520">
        <v>1901</v>
      </c>
      <c r="M8520" t="s">
        <v>5016</v>
      </c>
      <c r="N8520" t="s">
        <v>5017</v>
      </c>
      <c r="O8520" t="s">
        <v>3486</v>
      </c>
      <c r="P8520" t="str">
        <f>"61834"</f>
        <v>61834</v>
      </c>
    </row>
    <row r="8521" spans="1:16" x14ac:dyDescent="0.25">
      <c r="A8521" t="str">
        <f>"1140086F00053    00"</f>
        <v>1140086F00053    00</v>
      </c>
      <c r="B8521" t="s">
        <v>18716</v>
      </c>
      <c r="C8521" t="s">
        <v>18717</v>
      </c>
      <c r="D8521" t="s">
        <v>20</v>
      </c>
      <c r="E8521" t="s">
        <v>39</v>
      </c>
      <c r="F8521">
        <v>0</v>
      </c>
      <c r="G8521">
        <v>0</v>
      </c>
      <c r="H8521">
        <v>1</v>
      </c>
      <c r="I8521" s="3">
        <v>279.22000000000003</v>
      </c>
      <c r="J8521" s="3">
        <v>67.47</v>
      </c>
      <c r="K8521" t="s">
        <v>18718</v>
      </c>
      <c r="L8521">
        <v>5605</v>
      </c>
      <c r="M8521" t="s">
        <v>2285</v>
      </c>
      <c r="N8521" t="s">
        <v>30</v>
      </c>
      <c r="O8521" t="s">
        <v>31</v>
      </c>
      <c r="P8521" t="str">
        <f>"15217"</f>
        <v>15217</v>
      </c>
    </row>
    <row r="8522" spans="1:16" x14ac:dyDescent="0.25">
      <c r="A8522" t="str">
        <f>"1140086F00074    00"</f>
        <v>1140086F00074    00</v>
      </c>
      <c r="B8522" t="s">
        <v>18719</v>
      </c>
      <c r="C8522" t="s">
        <v>18720</v>
      </c>
      <c r="E8522" t="s">
        <v>39</v>
      </c>
      <c r="F8522">
        <v>0</v>
      </c>
      <c r="G8522">
        <v>0</v>
      </c>
      <c r="H8522">
        <v>1</v>
      </c>
      <c r="I8522" s="3">
        <v>1617.84</v>
      </c>
      <c r="J8522" s="3">
        <v>512.29</v>
      </c>
      <c r="K8522" t="s">
        <v>391</v>
      </c>
      <c r="L8522">
        <v>1</v>
      </c>
      <c r="M8522" t="s">
        <v>392</v>
      </c>
      <c r="N8522" t="s">
        <v>393</v>
      </c>
      <c r="O8522" t="s">
        <v>394</v>
      </c>
      <c r="P8522" t="str">
        <f>"50328"</f>
        <v>50328</v>
      </c>
    </row>
    <row r="8523" spans="1:16" x14ac:dyDescent="0.25">
      <c r="A8523" t="str">
        <f>"1140086F00090    00"</f>
        <v>1140086F00090    00</v>
      </c>
      <c r="B8523" t="s">
        <v>18721</v>
      </c>
      <c r="C8523" t="s">
        <v>18722</v>
      </c>
      <c r="E8523" t="s">
        <v>39</v>
      </c>
      <c r="F8523">
        <v>0</v>
      </c>
      <c r="G8523">
        <v>0</v>
      </c>
      <c r="H8523">
        <v>2</v>
      </c>
      <c r="I8523" s="3">
        <v>4093.86</v>
      </c>
      <c r="J8523" s="3">
        <v>31.72</v>
      </c>
      <c r="K8523" t="s">
        <v>1502</v>
      </c>
      <c r="L8523">
        <v>901</v>
      </c>
      <c r="M8523" t="s">
        <v>1503</v>
      </c>
      <c r="N8523" t="s">
        <v>494</v>
      </c>
      <c r="O8523" t="s">
        <v>495</v>
      </c>
      <c r="P8523" t="str">
        <f>"91768"</f>
        <v>91768</v>
      </c>
    </row>
    <row r="8524" spans="1:16" x14ac:dyDescent="0.25">
      <c r="A8524" t="str">
        <f>"1140086F00229    00"</f>
        <v>1140086F00229    00</v>
      </c>
      <c r="B8524" t="s">
        <v>18723</v>
      </c>
      <c r="C8524" t="s">
        <v>18724</v>
      </c>
      <c r="D8524" t="s">
        <v>20</v>
      </c>
      <c r="E8524" t="s">
        <v>39</v>
      </c>
      <c r="F8524">
        <v>0</v>
      </c>
      <c r="G8524">
        <v>0</v>
      </c>
      <c r="H8524">
        <v>2</v>
      </c>
      <c r="I8524" s="3">
        <v>252.28</v>
      </c>
      <c r="J8524" s="3">
        <v>42.94</v>
      </c>
      <c r="L8524">
        <v>5250</v>
      </c>
      <c r="M8524" t="s">
        <v>18725</v>
      </c>
      <c r="N8524" t="s">
        <v>30</v>
      </c>
      <c r="O8524" t="s">
        <v>31</v>
      </c>
      <c r="P8524" t="str">
        <f>"15244"</f>
        <v>15244</v>
      </c>
    </row>
    <row r="8525" spans="1:16" x14ac:dyDescent="0.25">
      <c r="A8525" t="str">
        <f>"1140086F00235    00"</f>
        <v>1140086F00235    00</v>
      </c>
      <c r="B8525" t="s">
        <v>18726</v>
      </c>
      <c r="C8525" t="s">
        <v>18727</v>
      </c>
      <c r="E8525" t="s">
        <v>39</v>
      </c>
      <c r="F8525">
        <v>0</v>
      </c>
      <c r="G8525">
        <v>0</v>
      </c>
      <c r="H8525">
        <v>1</v>
      </c>
      <c r="I8525" s="3">
        <v>5283.97</v>
      </c>
      <c r="J8525" s="3">
        <v>0</v>
      </c>
      <c r="L8525">
        <v>5632</v>
      </c>
      <c r="M8525" t="s">
        <v>2161</v>
      </c>
      <c r="N8525" t="s">
        <v>30</v>
      </c>
      <c r="O8525" t="s">
        <v>31</v>
      </c>
      <c r="P8525" t="str">
        <f>"15217"</f>
        <v>15217</v>
      </c>
    </row>
    <row r="8526" spans="1:16" x14ac:dyDescent="0.25">
      <c r="A8526" t="str">
        <f>"1140086G00009    00"</f>
        <v>1140086G00009    00</v>
      </c>
      <c r="B8526" t="s">
        <v>18728</v>
      </c>
      <c r="C8526" t="s">
        <v>18729</v>
      </c>
      <c r="E8526" t="s">
        <v>39</v>
      </c>
      <c r="F8526">
        <v>0</v>
      </c>
      <c r="G8526">
        <v>0</v>
      </c>
      <c r="H8526">
        <v>1</v>
      </c>
      <c r="I8526" s="3">
        <v>3191.84</v>
      </c>
      <c r="J8526" s="3">
        <v>1010.7</v>
      </c>
      <c r="K8526" t="s">
        <v>5355</v>
      </c>
      <c r="L8526">
        <v>3001</v>
      </c>
      <c r="M8526" t="s">
        <v>404</v>
      </c>
      <c r="N8526" t="s">
        <v>331</v>
      </c>
      <c r="O8526" t="s">
        <v>108</v>
      </c>
      <c r="P8526" t="str">
        <f>"75063"</f>
        <v>75063</v>
      </c>
    </row>
    <row r="8527" spans="1:16" x14ac:dyDescent="0.25">
      <c r="A8527" t="str">
        <f>"1140086G00031    00"</f>
        <v>1140086G00031    00</v>
      </c>
      <c r="B8527" t="s">
        <v>18730</v>
      </c>
      <c r="C8527" t="s">
        <v>18731</v>
      </c>
      <c r="D8527" t="s">
        <v>20</v>
      </c>
      <c r="E8527" t="s">
        <v>39</v>
      </c>
      <c r="F8527">
        <v>0</v>
      </c>
      <c r="G8527">
        <v>0</v>
      </c>
      <c r="H8527">
        <v>9</v>
      </c>
      <c r="I8527" s="3">
        <v>23.6</v>
      </c>
      <c r="J8527" s="3">
        <v>29.88</v>
      </c>
      <c r="K8527" t="s">
        <v>1008</v>
      </c>
      <c r="P8527" t="str">
        <f>""</f>
        <v/>
      </c>
    </row>
    <row r="8528" spans="1:16" x14ac:dyDescent="0.25">
      <c r="A8528" t="str">
        <f>"1140086G00039    00"</f>
        <v>1140086G00039    00</v>
      </c>
      <c r="B8528" t="s">
        <v>18732</v>
      </c>
      <c r="C8528" t="s">
        <v>18733</v>
      </c>
      <c r="D8528" t="s">
        <v>20</v>
      </c>
      <c r="E8528" t="s">
        <v>39</v>
      </c>
      <c r="F8528">
        <v>0</v>
      </c>
      <c r="G8528">
        <v>0</v>
      </c>
      <c r="H8528">
        <v>2</v>
      </c>
      <c r="I8528" s="3">
        <v>6141.33</v>
      </c>
      <c r="J8528" s="3">
        <v>0</v>
      </c>
      <c r="L8528">
        <v>5822</v>
      </c>
      <c r="M8528" t="s">
        <v>18734</v>
      </c>
      <c r="N8528" t="s">
        <v>30</v>
      </c>
      <c r="O8528" t="s">
        <v>31</v>
      </c>
      <c r="P8528" t="str">
        <f>"15217"</f>
        <v>15217</v>
      </c>
    </row>
    <row r="8529" spans="1:16" x14ac:dyDescent="0.25">
      <c r="A8529" t="str">
        <f>"1140086G00108    00"</f>
        <v>1140086G00108    00</v>
      </c>
      <c r="B8529" t="s">
        <v>18735</v>
      </c>
      <c r="C8529" t="s">
        <v>18736</v>
      </c>
      <c r="D8529" t="s">
        <v>20</v>
      </c>
      <c r="E8529" t="s">
        <v>39</v>
      </c>
      <c r="F8529">
        <v>0</v>
      </c>
      <c r="G8529">
        <v>0</v>
      </c>
      <c r="H8529">
        <v>2</v>
      </c>
      <c r="I8529" s="3">
        <v>2390.65</v>
      </c>
      <c r="J8529" s="3">
        <v>18.61</v>
      </c>
      <c r="L8529">
        <v>5870</v>
      </c>
      <c r="M8529" t="s">
        <v>2285</v>
      </c>
      <c r="N8529" t="s">
        <v>30</v>
      </c>
      <c r="O8529" t="s">
        <v>31</v>
      </c>
      <c r="P8529" t="str">
        <f>"15217"</f>
        <v>15217</v>
      </c>
    </row>
    <row r="8530" spans="1:16" x14ac:dyDescent="0.25">
      <c r="A8530" t="str">
        <f>"1140086G00113    00"</f>
        <v>1140086G00113    00</v>
      </c>
      <c r="B8530" t="s">
        <v>18737</v>
      </c>
      <c r="C8530" t="s">
        <v>18738</v>
      </c>
      <c r="E8530" t="s">
        <v>39</v>
      </c>
      <c r="F8530">
        <v>0</v>
      </c>
      <c r="G8530">
        <v>0</v>
      </c>
      <c r="H8530">
        <v>1</v>
      </c>
      <c r="I8530" s="3">
        <v>8049.05</v>
      </c>
      <c r="J8530" s="3">
        <v>536.59</v>
      </c>
      <c r="K8530" t="s">
        <v>1427</v>
      </c>
      <c r="L8530">
        <v>3001</v>
      </c>
      <c r="M8530" t="s">
        <v>330</v>
      </c>
      <c r="N8530" t="s">
        <v>331</v>
      </c>
      <c r="O8530" t="s">
        <v>108</v>
      </c>
      <c r="P8530" t="str">
        <f>"75063"</f>
        <v>75063</v>
      </c>
    </row>
    <row r="8531" spans="1:16" x14ac:dyDescent="0.25">
      <c r="A8531" t="str">
        <f>"1140086G00197002500"</f>
        <v>1140086G00197002500</v>
      </c>
      <c r="B8531" t="s">
        <v>18739</v>
      </c>
      <c r="C8531" t="s">
        <v>18740</v>
      </c>
      <c r="E8531" t="s">
        <v>39</v>
      </c>
      <c r="F8531">
        <v>0</v>
      </c>
      <c r="G8531">
        <v>0</v>
      </c>
      <c r="H8531">
        <v>1</v>
      </c>
      <c r="I8531" s="3">
        <v>998.04</v>
      </c>
      <c r="J8531" s="3">
        <v>335.9</v>
      </c>
      <c r="K8531" t="s">
        <v>18741</v>
      </c>
      <c r="L8531">
        <v>1660</v>
      </c>
      <c r="M8531" t="s">
        <v>18742</v>
      </c>
      <c r="N8531" t="s">
        <v>30</v>
      </c>
      <c r="O8531" t="s">
        <v>31</v>
      </c>
      <c r="P8531" t="str">
        <f>"15217"</f>
        <v>15217</v>
      </c>
    </row>
    <row r="8532" spans="1:16" x14ac:dyDescent="0.25">
      <c r="A8532" t="str">
        <f>"1140086G00197003200"</f>
        <v>1140086G00197003200</v>
      </c>
      <c r="B8532" t="s">
        <v>18743</v>
      </c>
      <c r="C8532" t="s">
        <v>18744</v>
      </c>
      <c r="E8532" t="s">
        <v>39</v>
      </c>
      <c r="F8532">
        <v>0</v>
      </c>
      <c r="G8532">
        <v>0</v>
      </c>
      <c r="H8532">
        <v>1</v>
      </c>
      <c r="I8532" s="3">
        <v>43.42</v>
      </c>
      <c r="J8532" s="3">
        <v>13.75</v>
      </c>
      <c r="K8532" t="s">
        <v>18745</v>
      </c>
      <c r="L8532">
        <v>1660</v>
      </c>
      <c r="M8532" t="s">
        <v>18746</v>
      </c>
      <c r="N8532" t="s">
        <v>30</v>
      </c>
      <c r="O8532" t="s">
        <v>31</v>
      </c>
      <c r="P8532" t="str">
        <f>"15217"</f>
        <v>15217</v>
      </c>
    </row>
    <row r="8533" spans="1:16" x14ac:dyDescent="0.25">
      <c r="A8533" t="str">
        <f>"1140086G00214    00"</f>
        <v>1140086G00214    00</v>
      </c>
      <c r="B8533" t="s">
        <v>18747</v>
      </c>
      <c r="C8533" t="s">
        <v>18748</v>
      </c>
      <c r="E8533" t="s">
        <v>39</v>
      </c>
      <c r="F8533">
        <v>0</v>
      </c>
      <c r="G8533">
        <v>0</v>
      </c>
      <c r="H8533">
        <v>2</v>
      </c>
      <c r="I8533" s="3">
        <v>8059.46</v>
      </c>
      <c r="J8533" s="3">
        <v>138.88999999999999</v>
      </c>
      <c r="K8533" t="s">
        <v>18749</v>
      </c>
      <c r="L8533">
        <v>5825</v>
      </c>
      <c r="M8533" t="s">
        <v>18750</v>
      </c>
      <c r="N8533" t="s">
        <v>30</v>
      </c>
      <c r="O8533" t="s">
        <v>31</v>
      </c>
      <c r="P8533" t="str">
        <f>"15217"</f>
        <v>15217</v>
      </c>
    </row>
    <row r="8534" spans="1:16" x14ac:dyDescent="0.25">
      <c r="A8534" t="str">
        <f>"1140086G00298000100"</f>
        <v>1140086G00298000100</v>
      </c>
      <c r="B8534" t="s">
        <v>18751</v>
      </c>
      <c r="C8534" t="s">
        <v>18752</v>
      </c>
      <c r="D8534" t="s">
        <v>57</v>
      </c>
      <c r="E8534" t="s">
        <v>21</v>
      </c>
      <c r="F8534">
        <v>0</v>
      </c>
      <c r="G8534">
        <v>0</v>
      </c>
      <c r="H8534">
        <v>3</v>
      </c>
      <c r="I8534" s="3">
        <v>3428.31</v>
      </c>
      <c r="J8534" s="3">
        <v>407.44</v>
      </c>
      <c r="K8534" t="s">
        <v>18753</v>
      </c>
      <c r="L8534">
        <v>105</v>
      </c>
      <c r="M8534" t="s">
        <v>18754</v>
      </c>
      <c r="N8534" t="s">
        <v>30</v>
      </c>
      <c r="O8534" t="s">
        <v>31</v>
      </c>
      <c r="P8534" t="str">
        <f>"15238"</f>
        <v>15238</v>
      </c>
    </row>
    <row r="8535" spans="1:16" x14ac:dyDescent="0.25">
      <c r="A8535" t="str">
        <f>"1140086G00298000600"</f>
        <v>1140086G00298000600</v>
      </c>
      <c r="B8535" t="s">
        <v>18755</v>
      </c>
      <c r="C8535" t="s">
        <v>18756</v>
      </c>
      <c r="D8535" t="s">
        <v>20</v>
      </c>
      <c r="E8535" t="s">
        <v>21</v>
      </c>
      <c r="F8535">
        <v>0</v>
      </c>
      <c r="G8535">
        <v>0</v>
      </c>
      <c r="H8535">
        <v>2</v>
      </c>
      <c r="I8535" s="3">
        <v>95.01</v>
      </c>
      <c r="J8535" s="3">
        <v>0</v>
      </c>
      <c r="K8535" t="s">
        <v>18757</v>
      </c>
      <c r="L8535">
        <v>5850</v>
      </c>
      <c r="M8535" t="s">
        <v>18758</v>
      </c>
      <c r="N8535" t="s">
        <v>30</v>
      </c>
      <c r="O8535" t="s">
        <v>31</v>
      </c>
      <c r="P8535" t="str">
        <f>"15206"</f>
        <v>15206</v>
      </c>
    </row>
    <row r="8536" spans="1:16" x14ac:dyDescent="0.25">
      <c r="A8536" t="str">
        <f>"1140086H00003    00"</f>
        <v>1140086H00003    00</v>
      </c>
      <c r="B8536" t="s">
        <v>18759</v>
      </c>
      <c r="C8536" t="s">
        <v>18760</v>
      </c>
      <c r="D8536" t="s">
        <v>20</v>
      </c>
      <c r="E8536" t="s">
        <v>39</v>
      </c>
      <c r="F8536">
        <v>0</v>
      </c>
      <c r="G8536">
        <v>0</v>
      </c>
      <c r="H8536">
        <v>2</v>
      </c>
      <c r="I8536" s="3">
        <v>17634.36</v>
      </c>
      <c r="J8536" s="3">
        <v>0</v>
      </c>
      <c r="K8536" t="s">
        <v>18761</v>
      </c>
      <c r="L8536">
        <v>1548</v>
      </c>
      <c r="M8536" t="s">
        <v>3580</v>
      </c>
      <c r="N8536" t="s">
        <v>30</v>
      </c>
      <c r="O8536" t="s">
        <v>31</v>
      </c>
      <c r="P8536" t="str">
        <f>"15217"</f>
        <v>15217</v>
      </c>
    </row>
    <row r="8537" spans="1:16" x14ac:dyDescent="0.25">
      <c r="A8537" t="str">
        <f>"1140086H00009    00"</f>
        <v>1140086H00009    00</v>
      </c>
      <c r="B8537" t="s">
        <v>18762</v>
      </c>
      <c r="C8537" t="s">
        <v>18763</v>
      </c>
      <c r="D8537" t="s">
        <v>20</v>
      </c>
      <c r="E8537" t="s">
        <v>39</v>
      </c>
      <c r="F8537">
        <v>0</v>
      </c>
      <c r="G8537">
        <v>0</v>
      </c>
      <c r="H8537">
        <v>3</v>
      </c>
      <c r="I8537" s="3">
        <v>13614.6</v>
      </c>
      <c r="J8537" s="3">
        <v>302.54000000000002</v>
      </c>
      <c r="K8537" t="s">
        <v>756</v>
      </c>
      <c r="L8537">
        <v>3001</v>
      </c>
      <c r="M8537" t="s">
        <v>330</v>
      </c>
      <c r="N8537" t="s">
        <v>331</v>
      </c>
      <c r="O8537" t="s">
        <v>108</v>
      </c>
      <c r="P8537" t="str">
        <f>"75063"</f>
        <v>75063</v>
      </c>
    </row>
    <row r="8538" spans="1:16" x14ac:dyDescent="0.25">
      <c r="A8538" t="str">
        <f>"1140086H00018    00"</f>
        <v>1140086H00018    00</v>
      </c>
      <c r="B8538" t="s">
        <v>18764</v>
      </c>
      <c r="C8538" t="s">
        <v>18765</v>
      </c>
      <c r="E8538" t="s">
        <v>39</v>
      </c>
      <c r="F8538">
        <v>0</v>
      </c>
      <c r="G8538">
        <v>0</v>
      </c>
      <c r="H8538">
        <v>1</v>
      </c>
      <c r="I8538" s="3">
        <v>4265.25</v>
      </c>
      <c r="J8538" s="3">
        <v>2025.91</v>
      </c>
      <c r="K8538" t="s">
        <v>563</v>
      </c>
      <c r="L8538">
        <v>3001</v>
      </c>
      <c r="M8538" t="s">
        <v>330</v>
      </c>
      <c r="N8538" t="s">
        <v>331</v>
      </c>
      <c r="O8538" t="s">
        <v>108</v>
      </c>
      <c r="P8538" t="str">
        <f>"75063"</f>
        <v>75063</v>
      </c>
    </row>
    <row r="8539" spans="1:16" x14ac:dyDescent="0.25">
      <c r="A8539" t="str">
        <f>"1140086H00099    00"</f>
        <v>1140086H00099    00</v>
      </c>
      <c r="B8539" t="s">
        <v>18766</v>
      </c>
      <c r="C8539" t="s">
        <v>18767</v>
      </c>
      <c r="D8539" t="s">
        <v>20</v>
      </c>
      <c r="E8539" t="s">
        <v>39</v>
      </c>
      <c r="F8539">
        <v>0</v>
      </c>
      <c r="G8539">
        <v>0</v>
      </c>
      <c r="H8539">
        <v>4</v>
      </c>
      <c r="I8539" s="3">
        <v>18829.810000000001</v>
      </c>
      <c r="J8539" s="3">
        <v>2800.01</v>
      </c>
      <c r="K8539" t="s">
        <v>18768</v>
      </c>
      <c r="L8539">
        <v>1619</v>
      </c>
      <c r="M8539" t="s">
        <v>3580</v>
      </c>
      <c r="N8539" t="s">
        <v>30</v>
      </c>
      <c r="O8539" t="s">
        <v>31</v>
      </c>
      <c r="P8539" t="str">
        <f>"15217"</f>
        <v>15217</v>
      </c>
    </row>
    <row r="8540" spans="1:16" x14ac:dyDescent="0.25">
      <c r="A8540" t="str">
        <f>"1140086H00103    00"</f>
        <v>1140086H00103    00</v>
      </c>
      <c r="B8540" t="s">
        <v>18769</v>
      </c>
      <c r="C8540" t="s">
        <v>18770</v>
      </c>
      <c r="E8540" t="s">
        <v>39</v>
      </c>
      <c r="F8540">
        <v>0</v>
      </c>
      <c r="G8540">
        <v>0</v>
      </c>
      <c r="H8540">
        <v>2</v>
      </c>
      <c r="I8540" s="3">
        <v>1404.73</v>
      </c>
      <c r="J8540" s="3">
        <v>6.24</v>
      </c>
      <c r="K8540" t="s">
        <v>408</v>
      </c>
      <c r="M8540" t="s">
        <v>409</v>
      </c>
      <c r="N8540" t="s">
        <v>410</v>
      </c>
      <c r="O8540" t="s">
        <v>31</v>
      </c>
      <c r="P8540" t="str">
        <f>"15701"</f>
        <v>15701</v>
      </c>
    </row>
    <row r="8541" spans="1:16" x14ac:dyDescent="0.25">
      <c r="A8541" t="str">
        <f>"1140086H00105    00"</f>
        <v>1140086H00105    00</v>
      </c>
      <c r="B8541" t="s">
        <v>18771</v>
      </c>
      <c r="C8541" t="s">
        <v>18772</v>
      </c>
      <c r="E8541" t="s">
        <v>39</v>
      </c>
      <c r="F8541">
        <v>0</v>
      </c>
      <c r="G8541">
        <v>0</v>
      </c>
      <c r="H8541">
        <v>1</v>
      </c>
      <c r="I8541" s="3">
        <v>6239.71</v>
      </c>
      <c r="J8541" s="3">
        <v>1403.88</v>
      </c>
      <c r="L8541">
        <v>6308</v>
      </c>
      <c r="M8541" t="s">
        <v>2285</v>
      </c>
      <c r="N8541" t="s">
        <v>30</v>
      </c>
      <c r="O8541" t="s">
        <v>31</v>
      </c>
      <c r="P8541" t="str">
        <f>"15217"</f>
        <v>15217</v>
      </c>
    </row>
    <row r="8542" spans="1:16" x14ac:dyDescent="0.25">
      <c r="A8542" t="str">
        <f>"1140086H00106A   00"</f>
        <v>1140086H00106A   00</v>
      </c>
      <c r="B8542" t="s">
        <v>18773</v>
      </c>
      <c r="C8542" t="s">
        <v>18774</v>
      </c>
      <c r="E8542" t="s">
        <v>39</v>
      </c>
      <c r="F8542">
        <v>0</v>
      </c>
      <c r="G8542">
        <v>0</v>
      </c>
      <c r="H8542">
        <v>1</v>
      </c>
      <c r="I8542" s="3">
        <v>1019.72</v>
      </c>
      <c r="J8542" s="3">
        <v>101.97</v>
      </c>
      <c r="K8542" t="s">
        <v>18775</v>
      </c>
      <c r="L8542">
        <v>6312</v>
      </c>
      <c r="M8542" t="s">
        <v>2285</v>
      </c>
      <c r="N8542" t="s">
        <v>30</v>
      </c>
      <c r="O8542" t="s">
        <v>31</v>
      </c>
      <c r="P8542" t="str">
        <f>"15217"</f>
        <v>15217</v>
      </c>
    </row>
    <row r="8543" spans="1:16" x14ac:dyDescent="0.25">
      <c r="A8543" t="str">
        <f>"1140086H00108    00"</f>
        <v>1140086H00108    00</v>
      </c>
      <c r="B8543" t="s">
        <v>18776</v>
      </c>
      <c r="C8543" t="s">
        <v>18777</v>
      </c>
      <c r="E8543" t="s">
        <v>39</v>
      </c>
      <c r="F8543">
        <v>0</v>
      </c>
      <c r="G8543">
        <v>0</v>
      </c>
      <c r="H8543">
        <v>2</v>
      </c>
      <c r="I8543" s="3">
        <v>1187.27</v>
      </c>
      <c r="J8543" s="3">
        <v>81.180000000000007</v>
      </c>
      <c r="K8543" t="s">
        <v>756</v>
      </c>
      <c r="L8543">
        <v>3001</v>
      </c>
      <c r="M8543" t="s">
        <v>330</v>
      </c>
      <c r="N8543" t="s">
        <v>331</v>
      </c>
      <c r="O8543" t="s">
        <v>108</v>
      </c>
      <c r="P8543" t="str">
        <f>"75063"</f>
        <v>75063</v>
      </c>
    </row>
    <row r="8544" spans="1:16" x14ac:dyDescent="0.25">
      <c r="A8544" t="str">
        <f>"1140086H00200    00"</f>
        <v>1140086H00200    00</v>
      </c>
      <c r="B8544" t="s">
        <v>18778</v>
      </c>
      <c r="C8544" t="s">
        <v>18779</v>
      </c>
      <c r="E8544" t="s">
        <v>39</v>
      </c>
      <c r="F8544">
        <v>0</v>
      </c>
      <c r="G8544">
        <v>0</v>
      </c>
      <c r="H8544">
        <v>1</v>
      </c>
      <c r="I8544" s="3">
        <v>1970.06</v>
      </c>
      <c r="J8544" s="3">
        <v>16.420000000000002</v>
      </c>
      <c r="K8544" t="s">
        <v>1502</v>
      </c>
      <c r="L8544">
        <v>901</v>
      </c>
      <c r="M8544" t="s">
        <v>1503</v>
      </c>
      <c r="N8544" t="s">
        <v>494</v>
      </c>
      <c r="O8544" t="s">
        <v>495</v>
      </c>
      <c r="P8544" t="str">
        <f>"91768"</f>
        <v>91768</v>
      </c>
    </row>
    <row r="8545" spans="1:16" x14ac:dyDescent="0.25">
      <c r="A8545" t="str">
        <f>"1140086H00206    00"</f>
        <v>1140086H00206    00</v>
      </c>
      <c r="B8545" t="s">
        <v>18780</v>
      </c>
      <c r="C8545" t="s">
        <v>18781</v>
      </c>
      <c r="E8545" t="s">
        <v>39</v>
      </c>
      <c r="F8545">
        <v>0</v>
      </c>
      <c r="G8545">
        <v>0</v>
      </c>
      <c r="H8545">
        <v>2</v>
      </c>
      <c r="I8545" s="3">
        <v>11209.34</v>
      </c>
      <c r="J8545" s="3">
        <v>1129.76</v>
      </c>
      <c r="L8545">
        <v>1623</v>
      </c>
      <c r="M8545" t="s">
        <v>5941</v>
      </c>
      <c r="N8545" t="s">
        <v>30</v>
      </c>
      <c r="O8545" t="s">
        <v>31</v>
      </c>
      <c r="P8545" t="str">
        <f>"15217"</f>
        <v>15217</v>
      </c>
    </row>
    <row r="8546" spans="1:16" x14ac:dyDescent="0.25">
      <c r="A8546" t="str">
        <f>"1140086H00282    00"</f>
        <v>1140086H00282    00</v>
      </c>
      <c r="B8546" t="s">
        <v>18782</v>
      </c>
      <c r="C8546" t="s">
        <v>18783</v>
      </c>
      <c r="E8546" t="s">
        <v>39</v>
      </c>
      <c r="F8546">
        <v>0</v>
      </c>
      <c r="G8546">
        <v>0</v>
      </c>
      <c r="H8546">
        <v>1</v>
      </c>
      <c r="I8546" s="3">
        <v>2817.75</v>
      </c>
      <c r="J8546" s="3">
        <v>774.85</v>
      </c>
      <c r="K8546" t="s">
        <v>5652</v>
      </c>
      <c r="L8546">
        <v>3001</v>
      </c>
      <c r="M8546" t="s">
        <v>330</v>
      </c>
      <c r="N8546" t="s">
        <v>331</v>
      </c>
      <c r="O8546" t="s">
        <v>108</v>
      </c>
      <c r="P8546" t="str">
        <f>"75063"</f>
        <v>75063</v>
      </c>
    </row>
    <row r="8547" spans="1:16" x14ac:dyDescent="0.25">
      <c r="A8547" t="str">
        <f>"1140086H00284    00"</f>
        <v>1140086H00284    00</v>
      </c>
      <c r="B8547" t="s">
        <v>18784</v>
      </c>
      <c r="C8547" t="s">
        <v>18785</v>
      </c>
      <c r="D8547" t="s">
        <v>20</v>
      </c>
      <c r="E8547" t="s">
        <v>39</v>
      </c>
      <c r="F8547">
        <v>0</v>
      </c>
      <c r="G8547">
        <v>0</v>
      </c>
      <c r="H8547">
        <v>2</v>
      </c>
      <c r="I8547" s="3">
        <v>9762.7099999999991</v>
      </c>
      <c r="J8547" s="3">
        <v>0</v>
      </c>
      <c r="L8547">
        <v>1600</v>
      </c>
      <c r="M8547" t="s">
        <v>1695</v>
      </c>
      <c r="N8547" t="s">
        <v>30</v>
      </c>
      <c r="O8547" t="s">
        <v>31</v>
      </c>
      <c r="P8547" t="str">
        <f>"15217"</f>
        <v>15217</v>
      </c>
    </row>
    <row r="8548" spans="1:16" x14ac:dyDescent="0.25">
      <c r="A8548" t="str">
        <f>"1140086H00289A   00"</f>
        <v>1140086H00289A   00</v>
      </c>
      <c r="B8548" t="s">
        <v>18786</v>
      </c>
      <c r="C8548" t="s">
        <v>18787</v>
      </c>
      <c r="D8548" t="s">
        <v>20</v>
      </c>
      <c r="E8548" t="s">
        <v>39</v>
      </c>
      <c r="F8548">
        <v>0</v>
      </c>
      <c r="G8548">
        <v>0</v>
      </c>
      <c r="H8548">
        <v>2</v>
      </c>
      <c r="I8548" s="3">
        <v>1515.08</v>
      </c>
      <c r="J8548" s="3">
        <v>0</v>
      </c>
      <c r="L8548">
        <v>1607</v>
      </c>
      <c r="M8548" t="s">
        <v>1695</v>
      </c>
      <c r="N8548" t="s">
        <v>30</v>
      </c>
      <c r="O8548" t="s">
        <v>31</v>
      </c>
      <c r="P8548" t="str">
        <f>"15217"</f>
        <v>15217</v>
      </c>
    </row>
    <row r="8549" spans="1:16" x14ac:dyDescent="0.25">
      <c r="A8549" t="str">
        <f>"1140086J00005    00"</f>
        <v>1140086J00005    00</v>
      </c>
      <c r="B8549" t="s">
        <v>18788</v>
      </c>
      <c r="C8549" t="s">
        <v>18789</v>
      </c>
      <c r="E8549" t="s">
        <v>39</v>
      </c>
      <c r="F8549">
        <v>0</v>
      </c>
      <c r="G8549">
        <v>0</v>
      </c>
      <c r="H8549">
        <v>2</v>
      </c>
      <c r="I8549" s="3">
        <v>5508.36</v>
      </c>
      <c r="J8549" s="3">
        <v>183.61</v>
      </c>
      <c r="K8549" t="s">
        <v>391</v>
      </c>
      <c r="L8549">
        <v>1</v>
      </c>
      <c r="M8549" t="s">
        <v>392</v>
      </c>
      <c r="N8549" t="s">
        <v>393</v>
      </c>
      <c r="O8549" t="s">
        <v>394</v>
      </c>
      <c r="P8549" t="str">
        <f>"50328"</f>
        <v>50328</v>
      </c>
    </row>
    <row r="8550" spans="1:16" x14ac:dyDescent="0.25">
      <c r="A8550" t="str">
        <f>"1140086J00042    00"</f>
        <v>1140086J00042    00</v>
      </c>
      <c r="B8550" t="s">
        <v>18790</v>
      </c>
      <c r="C8550" t="s">
        <v>18791</v>
      </c>
      <c r="E8550" t="s">
        <v>39</v>
      </c>
      <c r="F8550">
        <v>0</v>
      </c>
      <c r="G8550">
        <v>0</v>
      </c>
      <c r="H8550">
        <v>1</v>
      </c>
      <c r="I8550" s="3">
        <v>2163.02</v>
      </c>
      <c r="J8550" s="3">
        <v>0</v>
      </c>
      <c r="L8550">
        <v>5528</v>
      </c>
      <c r="M8550" t="s">
        <v>246</v>
      </c>
      <c r="N8550" t="s">
        <v>30</v>
      </c>
      <c r="O8550" t="s">
        <v>31</v>
      </c>
      <c r="P8550" t="str">
        <f>"15217"</f>
        <v>15217</v>
      </c>
    </row>
    <row r="8551" spans="1:16" x14ac:dyDescent="0.25">
      <c r="A8551" t="str">
        <f>"1140086J00051    00"</f>
        <v>1140086J00051    00</v>
      </c>
      <c r="B8551" t="s">
        <v>18792</v>
      </c>
      <c r="C8551" t="s">
        <v>18793</v>
      </c>
      <c r="E8551" t="s">
        <v>39</v>
      </c>
      <c r="F8551">
        <v>0</v>
      </c>
      <c r="G8551">
        <v>0</v>
      </c>
      <c r="H8551">
        <v>1</v>
      </c>
      <c r="I8551" s="3">
        <v>4093.43</v>
      </c>
      <c r="J8551" s="3">
        <v>1125.6500000000001</v>
      </c>
      <c r="K8551" t="s">
        <v>400</v>
      </c>
      <c r="L8551">
        <v>3001</v>
      </c>
      <c r="M8551" t="s">
        <v>330</v>
      </c>
      <c r="N8551" t="s">
        <v>331</v>
      </c>
      <c r="O8551" t="s">
        <v>108</v>
      </c>
      <c r="P8551" t="str">
        <f>"75063"</f>
        <v>75063</v>
      </c>
    </row>
    <row r="8552" spans="1:16" x14ac:dyDescent="0.25">
      <c r="A8552" t="str">
        <f>"1140086J00090    00"</f>
        <v>1140086J00090    00</v>
      </c>
      <c r="B8552" t="s">
        <v>18794</v>
      </c>
      <c r="C8552" t="s">
        <v>18795</v>
      </c>
      <c r="E8552" t="s">
        <v>39</v>
      </c>
      <c r="F8552">
        <v>0</v>
      </c>
      <c r="G8552">
        <v>0</v>
      </c>
      <c r="H8552">
        <v>2</v>
      </c>
      <c r="I8552" s="3">
        <v>10082.76</v>
      </c>
      <c r="J8552" s="3">
        <v>420.1</v>
      </c>
      <c r="K8552" t="s">
        <v>1632</v>
      </c>
      <c r="M8552" t="s">
        <v>1633</v>
      </c>
      <c r="N8552" t="s">
        <v>1634</v>
      </c>
      <c r="O8552" t="s">
        <v>25</v>
      </c>
      <c r="P8552" t="str">
        <f>"45401"</f>
        <v>45401</v>
      </c>
    </row>
    <row r="8553" spans="1:16" x14ac:dyDescent="0.25">
      <c r="A8553" t="str">
        <f>"1140086J00105    00"</f>
        <v>1140086J00105    00</v>
      </c>
      <c r="B8553" t="s">
        <v>18796</v>
      </c>
      <c r="C8553" t="s">
        <v>18797</v>
      </c>
      <c r="D8553" t="s">
        <v>20</v>
      </c>
      <c r="E8553" t="s">
        <v>39</v>
      </c>
      <c r="F8553">
        <v>0</v>
      </c>
      <c r="G8553">
        <v>0</v>
      </c>
      <c r="H8553">
        <v>1</v>
      </c>
      <c r="I8553" s="3">
        <v>5024.22</v>
      </c>
      <c r="J8553" s="3">
        <v>0</v>
      </c>
      <c r="K8553" t="s">
        <v>18798</v>
      </c>
      <c r="L8553">
        <v>5510</v>
      </c>
      <c r="M8553" t="s">
        <v>246</v>
      </c>
      <c r="N8553" t="s">
        <v>30</v>
      </c>
      <c r="O8553" t="s">
        <v>31</v>
      </c>
      <c r="P8553" t="str">
        <f>"15217"</f>
        <v>15217</v>
      </c>
    </row>
    <row r="8554" spans="1:16" x14ac:dyDescent="0.25">
      <c r="A8554" t="str">
        <f>"1140086J00179    00"</f>
        <v>1140086J00179    00</v>
      </c>
      <c r="B8554" t="s">
        <v>18799</v>
      </c>
      <c r="C8554" t="s">
        <v>18800</v>
      </c>
      <c r="E8554" t="s">
        <v>39</v>
      </c>
      <c r="F8554">
        <v>0</v>
      </c>
      <c r="G8554">
        <v>0</v>
      </c>
      <c r="H8554">
        <v>1</v>
      </c>
      <c r="I8554" s="3">
        <v>2980.59</v>
      </c>
      <c r="J8554" s="3">
        <v>0</v>
      </c>
      <c r="L8554">
        <v>5530</v>
      </c>
      <c r="M8554" t="s">
        <v>208</v>
      </c>
      <c r="N8554" t="s">
        <v>30</v>
      </c>
      <c r="O8554" t="s">
        <v>31</v>
      </c>
      <c r="P8554" t="str">
        <f>"15217"</f>
        <v>15217</v>
      </c>
    </row>
    <row r="8555" spans="1:16" x14ac:dyDescent="0.25">
      <c r="A8555" t="str">
        <f>"1140086J00187    00"</f>
        <v>1140086J00187    00</v>
      </c>
      <c r="B8555" t="s">
        <v>18801</v>
      </c>
      <c r="C8555" t="s">
        <v>18802</v>
      </c>
      <c r="E8555" t="s">
        <v>39</v>
      </c>
      <c r="F8555">
        <v>0</v>
      </c>
      <c r="G8555">
        <v>0</v>
      </c>
      <c r="H8555">
        <v>1</v>
      </c>
      <c r="I8555" s="3">
        <v>2969.57</v>
      </c>
      <c r="J8555" s="3">
        <v>593.89</v>
      </c>
      <c r="K8555" t="s">
        <v>18803</v>
      </c>
      <c r="M8555" t="s">
        <v>5821</v>
      </c>
      <c r="N8555" t="s">
        <v>5822</v>
      </c>
      <c r="O8555" t="s">
        <v>31</v>
      </c>
      <c r="P8555" t="str">
        <f>"15560"</f>
        <v>15560</v>
      </c>
    </row>
    <row r="8556" spans="1:16" x14ac:dyDescent="0.25">
      <c r="A8556" t="str">
        <f>"1140086J00203    00"</f>
        <v>1140086J00203    00</v>
      </c>
      <c r="B8556" t="s">
        <v>18804</v>
      </c>
      <c r="C8556" t="s">
        <v>18805</v>
      </c>
      <c r="E8556" t="s">
        <v>39</v>
      </c>
      <c r="F8556">
        <v>0</v>
      </c>
      <c r="G8556">
        <v>0</v>
      </c>
      <c r="H8556">
        <v>1</v>
      </c>
      <c r="I8556" s="3">
        <v>5365.36</v>
      </c>
      <c r="J8556" s="3">
        <v>1475.41</v>
      </c>
      <c r="L8556">
        <v>1718</v>
      </c>
      <c r="M8556" t="s">
        <v>18530</v>
      </c>
      <c r="N8556" t="s">
        <v>30</v>
      </c>
      <c r="O8556" t="s">
        <v>31</v>
      </c>
      <c r="P8556" t="str">
        <f>"15217"</f>
        <v>15217</v>
      </c>
    </row>
    <row r="8557" spans="1:16" x14ac:dyDescent="0.25">
      <c r="A8557" t="str">
        <f>"1140086J00245    00"</f>
        <v>1140086J00245    00</v>
      </c>
      <c r="B8557" t="s">
        <v>18806</v>
      </c>
      <c r="C8557" t="s">
        <v>18807</v>
      </c>
      <c r="E8557" t="s">
        <v>39</v>
      </c>
      <c r="F8557">
        <v>0</v>
      </c>
      <c r="G8557">
        <v>0</v>
      </c>
      <c r="H8557">
        <v>2</v>
      </c>
      <c r="I8557" s="3">
        <v>3865.36</v>
      </c>
      <c r="J8557" s="3">
        <v>128.84</v>
      </c>
      <c r="K8557" t="s">
        <v>4424</v>
      </c>
      <c r="L8557">
        <v>3001</v>
      </c>
      <c r="M8557" t="s">
        <v>330</v>
      </c>
      <c r="N8557" t="s">
        <v>331</v>
      </c>
      <c r="O8557" t="s">
        <v>108</v>
      </c>
      <c r="P8557" t="str">
        <f>"75063"</f>
        <v>75063</v>
      </c>
    </row>
    <row r="8558" spans="1:16" x14ac:dyDescent="0.25">
      <c r="A8558" t="str">
        <f>"1140086K00004    00"</f>
        <v>1140086K00004    00</v>
      </c>
      <c r="B8558" t="s">
        <v>18808</v>
      </c>
      <c r="C8558" t="s">
        <v>18809</v>
      </c>
      <c r="E8558" t="s">
        <v>39</v>
      </c>
      <c r="F8558">
        <v>0</v>
      </c>
      <c r="G8558">
        <v>0</v>
      </c>
      <c r="H8558">
        <v>1</v>
      </c>
      <c r="I8558" s="3">
        <v>1864.74</v>
      </c>
      <c r="J8558" s="3">
        <v>512.78</v>
      </c>
      <c r="L8558">
        <v>5556</v>
      </c>
      <c r="M8558" t="s">
        <v>208</v>
      </c>
      <c r="N8558" t="s">
        <v>30</v>
      </c>
      <c r="O8558" t="s">
        <v>31</v>
      </c>
      <c r="P8558" t="str">
        <f>"15217"</f>
        <v>15217</v>
      </c>
    </row>
    <row r="8559" spans="1:16" x14ac:dyDescent="0.25">
      <c r="A8559" t="str">
        <f>"1140086K00039    00"</f>
        <v>1140086K00039    00</v>
      </c>
      <c r="B8559" t="s">
        <v>18810</v>
      </c>
      <c r="C8559" t="s">
        <v>18811</v>
      </c>
      <c r="D8559" t="s">
        <v>20</v>
      </c>
      <c r="E8559" t="s">
        <v>39</v>
      </c>
      <c r="F8559">
        <v>0</v>
      </c>
      <c r="G8559">
        <v>0</v>
      </c>
      <c r="H8559">
        <v>1</v>
      </c>
      <c r="I8559" s="3">
        <v>5916.7</v>
      </c>
      <c r="J8559" s="3">
        <v>0</v>
      </c>
      <c r="L8559">
        <v>1808</v>
      </c>
      <c r="M8559" t="s">
        <v>6208</v>
      </c>
      <c r="N8559" t="s">
        <v>30</v>
      </c>
      <c r="O8559" t="s">
        <v>31</v>
      </c>
      <c r="P8559" t="str">
        <f>"15217"</f>
        <v>15217</v>
      </c>
    </row>
    <row r="8560" spans="1:16" x14ac:dyDescent="0.25">
      <c r="A8560" t="str">
        <f>"1140086K00078    00"</f>
        <v>1140086K00078    00</v>
      </c>
      <c r="B8560" t="s">
        <v>18812</v>
      </c>
      <c r="C8560" t="s">
        <v>18813</v>
      </c>
      <c r="E8560" t="s">
        <v>39</v>
      </c>
      <c r="F8560">
        <v>0</v>
      </c>
      <c r="G8560">
        <v>0</v>
      </c>
      <c r="H8560">
        <v>1</v>
      </c>
      <c r="I8560" s="3">
        <v>250.47</v>
      </c>
      <c r="J8560" s="3">
        <v>118.97</v>
      </c>
      <c r="L8560">
        <v>5621</v>
      </c>
      <c r="M8560" t="s">
        <v>18814</v>
      </c>
      <c r="N8560" t="s">
        <v>30</v>
      </c>
      <c r="O8560" t="s">
        <v>31</v>
      </c>
      <c r="P8560" t="str">
        <f>"15217"</f>
        <v>15217</v>
      </c>
    </row>
    <row r="8561" spans="1:16" x14ac:dyDescent="0.25">
      <c r="A8561" t="str">
        <f>"1140086K00135    00"</f>
        <v>1140086K00135    00</v>
      </c>
      <c r="B8561" t="s">
        <v>18815</v>
      </c>
      <c r="C8561" t="s">
        <v>18816</v>
      </c>
      <c r="E8561" t="s">
        <v>39</v>
      </c>
      <c r="F8561">
        <v>0</v>
      </c>
      <c r="G8561">
        <v>0</v>
      </c>
      <c r="H8561">
        <v>2</v>
      </c>
      <c r="I8561" s="3">
        <v>997.75</v>
      </c>
      <c r="J8561" s="3">
        <v>68.22</v>
      </c>
      <c r="K8561" t="s">
        <v>1632</v>
      </c>
      <c r="M8561" t="s">
        <v>1633</v>
      </c>
      <c r="N8561" t="s">
        <v>1634</v>
      </c>
      <c r="O8561" t="s">
        <v>25</v>
      </c>
      <c r="P8561" t="str">
        <f>"45401"</f>
        <v>45401</v>
      </c>
    </row>
    <row r="8562" spans="1:16" x14ac:dyDescent="0.25">
      <c r="A8562" t="str">
        <f>"1140086K00154    00"</f>
        <v>1140086K00154    00</v>
      </c>
      <c r="B8562" t="s">
        <v>18817</v>
      </c>
      <c r="C8562" t="s">
        <v>18818</v>
      </c>
      <c r="E8562" t="s">
        <v>39</v>
      </c>
      <c r="F8562">
        <v>0</v>
      </c>
      <c r="G8562">
        <v>0</v>
      </c>
      <c r="H8562">
        <v>1</v>
      </c>
      <c r="I8562" s="3">
        <v>1133.29</v>
      </c>
      <c r="J8562" s="3">
        <v>321.67</v>
      </c>
      <c r="K8562" t="s">
        <v>2302</v>
      </c>
      <c r="L8562">
        <v>3001</v>
      </c>
      <c r="M8562" t="s">
        <v>330</v>
      </c>
      <c r="N8562" t="s">
        <v>331</v>
      </c>
      <c r="O8562" t="s">
        <v>108</v>
      </c>
      <c r="P8562" t="str">
        <f>"75063"</f>
        <v>75063</v>
      </c>
    </row>
    <row r="8563" spans="1:16" x14ac:dyDescent="0.25">
      <c r="A8563" t="str">
        <f>"1140086K00212    00"</f>
        <v>1140086K00212    00</v>
      </c>
      <c r="B8563" t="s">
        <v>18819</v>
      </c>
      <c r="C8563" t="s">
        <v>18820</v>
      </c>
      <c r="D8563" t="s">
        <v>20</v>
      </c>
      <c r="E8563" t="s">
        <v>39</v>
      </c>
      <c r="F8563">
        <v>0</v>
      </c>
      <c r="G8563">
        <v>0</v>
      </c>
      <c r="H8563">
        <v>1</v>
      </c>
      <c r="I8563" s="3">
        <v>978.74</v>
      </c>
      <c r="J8563" s="3">
        <v>391.48</v>
      </c>
      <c r="K8563" t="s">
        <v>18821</v>
      </c>
      <c r="L8563">
        <v>3940</v>
      </c>
      <c r="M8563" t="s">
        <v>18822</v>
      </c>
      <c r="N8563" t="s">
        <v>5232</v>
      </c>
      <c r="O8563" t="s">
        <v>3486</v>
      </c>
      <c r="P8563" t="str">
        <f>"60613"</f>
        <v>60613</v>
      </c>
    </row>
    <row r="8564" spans="1:16" x14ac:dyDescent="0.25">
      <c r="A8564" t="str">
        <f>"1140086L00013    00"</f>
        <v>1140086L00013    00</v>
      </c>
      <c r="B8564" t="s">
        <v>18823</v>
      </c>
      <c r="C8564" t="s">
        <v>18824</v>
      </c>
      <c r="D8564" t="s">
        <v>20</v>
      </c>
      <c r="E8564" t="s">
        <v>21</v>
      </c>
      <c r="F8564">
        <v>0</v>
      </c>
      <c r="G8564">
        <v>0</v>
      </c>
      <c r="H8564">
        <v>4</v>
      </c>
      <c r="I8564" s="3">
        <v>358455.85</v>
      </c>
      <c r="J8564" s="3">
        <v>55711.3</v>
      </c>
      <c r="K8564" t="s">
        <v>18825</v>
      </c>
      <c r="L8564">
        <v>1710</v>
      </c>
      <c r="M8564" t="s">
        <v>18826</v>
      </c>
      <c r="N8564" t="s">
        <v>30</v>
      </c>
      <c r="O8564" t="s">
        <v>31</v>
      </c>
      <c r="P8564" t="str">
        <f>"15217"</f>
        <v>15217</v>
      </c>
    </row>
    <row r="8565" spans="1:16" x14ac:dyDescent="0.25">
      <c r="A8565" t="str">
        <f>"1140086L00041    00"</f>
        <v>1140086L00041    00</v>
      </c>
      <c r="B8565" t="s">
        <v>18827</v>
      </c>
      <c r="C8565" t="s">
        <v>18828</v>
      </c>
      <c r="D8565" t="s">
        <v>20</v>
      </c>
      <c r="E8565" t="s">
        <v>21</v>
      </c>
      <c r="F8565">
        <v>0</v>
      </c>
      <c r="G8565">
        <v>0</v>
      </c>
      <c r="H8565">
        <v>2</v>
      </c>
      <c r="I8565" s="3">
        <v>8730.9500000000007</v>
      </c>
      <c r="J8565" s="3">
        <v>0</v>
      </c>
      <c r="L8565">
        <v>5830</v>
      </c>
      <c r="M8565" t="s">
        <v>208</v>
      </c>
      <c r="N8565" t="s">
        <v>30</v>
      </c>
      <c r="O8565" t="s">
        <v>31</v>
      </c>
      <c r="P8565" t="str">
        <f>"15217"</f>
        <v>15217</v>
      </c>
    </row>
    <row r="8566" spans="1:16" x14ac:dyDescent="0.25">
      <c r="A8566" t="str">
        <f>"1140086L00056    00"</f>
        <v>1140086L00056    00</v>
      </c>
      <c r="B8566" t="s">
        <v>18829</v>
      </c>
      <c r="C8566" t="s">
        <v>18830</v>
      </c>
      <c r="D8566" t="s">
        <v>20</v>
      </c>
      <c r="E8566" t="s">
        <v>21</v>
      </c>
      <c r="F8566">
        <v>0</v>
      </c>
      <c r="G8566">
        <v>0</v>
      </c>
      <c r="H8566">
        <v>2</v>
      </c>
      <c r="I8566" s="3">
        <v>95.49</v>
      </c>
      <c r="J8566" s="3">
        <v>0.04</v>
      </c>
      <c r="K8566" t="s">
        <v>18831</v>
      </c>
      <c r="L8566">
        <v>5222</v>
      </c>
      <c r="M8566" t="s">
        <v>18832</v>
      </c>
      <c r="N8566" t="s">
        <v>9197</v>
      </c>
      <c r="O8566" t="s">
        <v>31</v>
      </c>
      <c r="P8566" t="str">
        <f>"16509"</f>
        <v>16509</v>
      </c>
    </row>
    <row r="8567" spans="1:16" x14ac:dyDescent="0.25">
      <c r="A8567" t="str">
        <f>"1140086L00086    00"</f>
        <v>1140086L00086    00</v>
      </c>
      <c r="B8567" t="s">
        <v>18833</v>
      </c>
      <c r="C8567" t="s">
        <v>18834</v>
      </c>
      <c r="E8567" t="s">
        <v>21</v>
      </c>
      <c r="F8567">
        <v>0</v>
      </c>
      <c r="G8567">
        <v>0</v>
      </c>
      <c r="H8567">
        <v>1</v>
      </c>
      <c r="I8567" s="3">
        <v>15608.24</v>
      </c>
      <c r="J8567" s="3">
        <v>0</v>
      </c>
      <c r="K8567" t="s">
        <v>18835</v>
      </c>
      <c r="L8567">
        <v>2712</v>
      </c>
      <c r="M8567" t="s">
        <v>18836</v>
      </c>
      <c r="N8567" t="s">
        <v>9669</v>
      </c>
      <c r="O8567" t="s">
        <v>31</v>
      </c>
      <c r="P8567" t="str">
        <f>"16105"</f>
        <v>16105</v>
      </c>
    </row>
    <row r="8568" spans="1:16" x14ac:dyDescent="0.25">
      <c r="A8568" t="str">
        <f>"1140086L00092    00"</f>
        <v>1140086L00092    00</v>
      </c>
      <c r="B8568" t="s">
        <v>18837</v>
      </c>
      <c r="C8568" t="s">
        <v>18838</v>
      </c>
      <c r="D8568" t="s">
        <v>20</v>
      </c>
      <c r="E8568" t="s">
        <v>39</v>
      </c>
      <c r="F8568">
        <v>0</v>
      </c>
      <c r="G8568">
        <v>0</v>
      </c>
      <c r="H8568">
        <v>1</v>
      </c>
      <c r="I8568" s="3">
        <v>383.69</v>
      </c>
      <c r="J8568" s="3">
        <v>0</v>
      </c>
      <c r="K8568" t="s">
        <v>18839</v>
      </c>
      <c r="L8568">
        <v>5825</v>
      </c>
      <c r="M8568" t="s">
        <v>246</v>
      </c>
      <c r="N8568" t="s">
        <v>30</v>
      </c>
      <c r="O8568" t="s">
        <v>31</v>
      </c>
      <c r="P8568" t="str">
        <f>"15217"</f>
        <v>15217</v>
      </c>
    </row>
    <row r="8569" spans="1:16" x14ac:dyDescent="0.25">
      <c r="A8569" t="str">
        <f>"1140086L00095    00"</f>
        <v>1140086L00095    00</v>
      </c>
      <c r="B8569" t="s">
        <v>18837</v>
      </c>
      <c r="C8569" t="s">
        <v>18840</v>
      </c>
      <c r="D8569" t="s">
        <v>20</v>
      </c>
      <c r="E8569" t="s">
        <v>21</v>
      </c>
      <c r="F8569">
        <v>0</v>
      </c>
      <c r="G8569">
        <v>0</v>
      </c>
      <c r="H8569">
        <v>1</v>
      </c>
      <c r="I8569" s="3">
        <v>462.6</v>
      </c>
      <c r="J8569" s="3">
        <v>0</v>
      </c>
      <c r="K8569" t="s">
        <v>18841</v>
      </c>
      <c r="L8569">
        <v>5825</v>
      </c>
      <c r="M8569" t="s">
        <v>246</v>
      </c>
      <c r="N8569" t="s">
        <v>30</v>
      </c>
      <c r="O8569" t="s">
        <v>31</v>
      </c>
      <c r="P8569" t="str">
        <f>"15217"</f>
        <v>15217</v>
      </c>
    </row>
    <row r="8570" spans="1:16" x14ac:dyDescent="0.25">
      <c r="A8570" t="str">
        <f>"1140086L00111    00"</f>
        <v>1140086L00111    00</v>
      </c>
      <c r="B8570" t="s">
        <v>18823</v>
      </c>
      <c r="C8570" t="s">
        <v>18842</v>
      </c>
      <c r="D8570" t="s">
        <v>20</v>
      </c>
      <c r="E8570" t="s">
        <v>21</v>
      </c>
      <c r="F8570">
        <v>0</v>
      </c>
      <c r="G8570">
        <v>0</v>
      </c>
      <c r="H8570">
        <v>3</v>
      </c>
      <c r="I8570" s="3">
        <v>726.21</v>
      </c>
      <c r="J8570" s="3">
        <v>48.41</v>
      </c>
      <c r="K8570" t="s">
        <v>18825</v>
      </c>
      <c r="L8570">
        <v>1710</v>
      </c>
      <c r="M8570" t="s">
        <v>18826</v>
      </c>
      <c r="N8570" t="s">
        <v>30</v>
      </c>
      <c r="O8570" t="s">
        <v>31</v>
      </c>
      <c r="P8570" t="str">
        <f>"15217"</f>
        <v>15217</v>
      </c>
    </row>
    <row r="8571" spans="1:16" x14ac:dyDescent="0.25">
      <c r="A8571" t="str">
        <f>"1140086L00157    00"</f>
        <v>1140086L00157    00</v>
      </c>
      <c r="B8571" t="s">
        <v>18843</v>
      </c>
      <c r="C8571" t="s">
        <v>18844</v>
      </c>
      <c r="E8571" t="s">
        <v>39</v>
      </c>
      <c r="F8571">
        <v>0</v>
      </c>
      <c r="G8571">
        <v>0</v>
      </c>
      <c r="H8571">
        <v>1</v>
      </c>
      <c r="I8571" s="3">
        <v>45.07</v>
      </c>
      <c r="J8571" s="3">
        <v>14.28</v>
      </c>
      <c r="K8571" t="s">
        <v>557</v>
      </c>
      <c r="L8571">
        <v>3001</v>
      </c>
      <c r="M8571" t="s">
        <v>330</v>
      </c>
      <c r="N8571" t="s">
        <v>331</v>
      </c>
      <c r="O8571" t="s">
        <v>108</v>
      </c>
      <c r="P8571" t="str">
        <f>"75063"</f>
        <v>75063</v>
      </c>
    </row>
    <row r="8572" spans="1:16" x14ac:dyDescent="0.25">
      <c r="A8572" t="str">
        <f>"1140086L00165    00"</f>
        <v>1140086L00165    00</v>
      </c>
      <c r="B8572" t="s">
        <v>18845</v>
      </c>
      <c r="C8572" t="s">
        <v>18846</v>
      </c>
      <c r="E8572" t="s">
        <v>39</v>
      </c>
      <c r="F8572">
        <v>0</v>
      </c>
      <c r="G8572">
        <v>0</v>
      </c>
      <c r="H8572">
        <v>2</v>
      </c>
      <c r="I8572" s="3">
        <v>1173.3499999999999</v>
      </c>
      <c r="J8572" s="3">
        <v>80.23</v>
      </c>
      <c r="K8572" t="s">
        <v>400</v>
      </c>
      <c r="L8572">
        <v>3001</v>
      </c>
      <c r="M8572" t="s">
        <v>330</v>
      </c>
      <c r="N8572" t="s">
        <v>331</v>
      </c>
      <c r="O8572" t="s">
        <v>108</v>
      </c>
      <c r="P8572" t="str">
        <f>"75063"</f>
        <v>75063</v>
      </c>
    </row>
    <row r="8573" spans="1:16" x14ac:dyDescent="0.25">
      <c r="A8573" t="str">
        <f>"1140086L00180    00"</f>
        <v>1140086L00180    00</v>
      </c>
      <c r="B8573" t="s">
        <v>18847</v>
      </c>
      <c r="C8573" t="s">
        <v>18848</v>
      </c>
      <c r="E8573" t="s">
        <v>39</v>
      </c>
      <c r="F8573">
        <v>0</v>
      </c>
      <c r="G8573">
        <v>0</v>
      </c>
      <c r="H8573">
        <v>1</v>
      </c>
      <c r="I8573" s="3">
        <v>3040.08</v>
      </c>
      <c r="J8573" s="3">
        <v>0</v>
      </c>
      <c r="K8573" t="s">
        <v>18849</v>
      </c>
      <c r="L8573">
        <v>5855</v>
      </c>
      <c r="M8573" t="s">
        <v>18814</v>
      </c>
      <c r="N8573" t="s">
        <v>30</v>
      </c>
      <c r="O8573" t="s">
        <v>31</v>
      </c>
      <c r="P8573" t="str">
        <f>"15217"</f>
        <v>15217</v>
      </c>
    </row>
    <row r="8574" spans="1:16" x14ac:dyDescent="0.25">
      <c r="A8574" t="str">
        <f>"1140086L00273    00"</f>
        <v>1140086L00273    00</v>
      </c>
      <c r="B8574" t="s">
        <v>18850</v>
      </c>
      <c r="C8574" t="s">
        <v>18851</v>
      </c>
      <c r="D8574" t="s">
        <v>20</v>
      </c>
      <c r="E8574" t="s">
        <v>39</v>
      </c>
      <c r="F8574">
        <v>0</v>
      </c>
      <c r="G8574">
        <v>0</v>
      </c>
      <c r="H8574">
        <v>3</v>
      </c>
      <c r="I8574" s="3">
        <v>8238.0300000000007</v>
      </c>
      <c r="J8574" s="3">
        <v>246.6</v>
      </c>
      <c r="K8574" t="s">
        <v>18852</v>
      </c>
      <c r="L8574">
        <v>5719</v>
      </c>
      <c r="M8574" t="s">
        <v>1610</v>
      </c>
      <c r="N8574" t="s">
        <v>30</v>
      </c>
      <c r="O8574" t="s">
        <v>31</v>
      </c>
      <c r="P8574" t="str">
        <f>"15217"</f>
        <v>15217</v>
      </c>
    </row>
    <row r="8575" spans="1:16" x14ac:dyDescent="0.25">
      <c r="A8575" t="str">
        <f>"1140086L00282    00"</f>
        <v>1140086L00282    00</v>
      </c>
      <c r="B8575" t="s">
        <v>18853</v>
      </c>
      <c r="C8575" t="s">
        <v>18854</v>
      </c>
      <c r="D8575" t="s">
        <v>20</v>
      </c>
      <c r="E8575" t="s">
        <v>21</v>
      </c>
      <c r="F8575">
        <v>0</v>
      </c>
      <c r="G8575">
        <v>0</v>
      </c>
      <c r="H8575">
        <v>1</v>
      </c>
      <c r="I8575" s="3">
        <v>78.67</v>
      </c>
      <c r="J8575" s="3">
        <v>0</v>
      </c>
      <c r="L8575">
        <v>603</v>
      </c>
      <c r="M8575" t="s">
        <v>18855</v>
      </c>
      <c r="N8575" t="s">
        <v>2008</v>
      </c>
      <c r="O8575" t="s">
        <v>31</v>
      </c>
      <c r="P8575" t="str">
        <f>"16066"</f>
        <v>16066</v>
      </c>
    </row>
    <row r="8576" spans="1:16" x14ac:dyDescent="0.25">
      <c r="A8576" t="str">
        <f>"1140086M00006    00"</f>
        <v>1140086M00006    00</v>
      </c>
      <c r="B8576" t="s">
        <v>18856</v>
      </c>
      <c r="C8576" t="s">
        <v>18857</v>
      </c>
      <c r="D8576" t="s">
        <v>20</v>
      </c>
      <c r="E8576" t="s">
        <v>21</v>
      </c>
      <c r="F8576">
        <v>0</v>
      </c>
      <c r="G8576">
        <v>0</v>
      </c>
      <c r="H8576">
        <v>1</v>
      </c>
      <c r="I8576" s="3">
        <v>5381.16</v>
      </c>
      <c r="J8576" s="3">
        <v>0</v>
      </c>
      <c r="L8576">
        <v>6315</v>
      </c>
      <c r="M8576" t="s">
        <v>18858</v>
      </c>
      <c r="N8576" t="s">
        <v>30</v>
      </c>
      <c r="O8576" t="s">
        <v>31</v>
      </c>
      <c r="P8576" t="str">
        <f>"15217"</f>
        <v>15217</v>
      </c>
    </row>
    <row r="8577" spans="1:16" x14ac:dyDescent="0.25">
      <c r="A8577" t="str">
        <f>"1140086M00039    00"</f>
        <v>1140086M00039    00</v>
      </c>
      <c r="B8577" t="s">
        <v>18859</v>
      </c>
      <c r="C8577" t="s">
        <v>18860</v>
      </c>
      <c r="E8577" t="s">
        <v>21</v>
      </c>
      <c r="F8577">
        <v>0</v>
      </c>
      <c r="G8577">
        <v>0</v>
      </c>
      <c r="H8577">
        <v>6</v>
      </c>
      <c r="I8577" s="3">
        <v>4395.09</v>
      </c>
      <c r="J8577" s="3">
        <v>3377.88</v>
      </c>
      <c r="K8577" t="s">
        <v>18861</v>
      </c>
      <c r="L8577">
        <v>6328</v>
      </c>
      <c r="M8577" t="s">
        <v>208</v>
      </c>
      <c r="N8577" t="s">
        <v>30</v>
      </c>
      <c r="O8577" t="s">
        <v>31</v>
      </c>
      <c r="P8577" t="str">
        <f>"15217"</f>
        <v>15217</v>
      </c>
    </row>
    <row r="8578" spans="1:16" x14ac:dyDescent="0.25">
      <c r="A8578" t="str">
        <f>"1140086M00065    00"</f>
        <v>1140086M00065    00</v>
      </c>
      <c r="B8578" t="s">
        <v>18862</v>
      </c>
      <c r="C8578" t="s">
        <v>18863</v>
      </c>
      <c r="D8578" t="s">
        <v>20</v>
      </c>
      <c r="E8578" t="s">
        <v>39</v>
      </c>
      <c r="F8578">
        <v>0</v>
      </c>
      <c r="G8578">
        <v>0</v>
      </c>
      <c r="H8578">
        <v>1</v>
      </c>
      <c r="I8578" s="3">
        <v>4866.3999999999996</v>
      </c>
      <c r="J8578" s="3">
        <v>0</v>
      </c>
      <c r="L8578">
        <v>6408</v>
      </c>
      <c r="M8578" t="s">
        <v>208</v>
      </c>
      <c r="N8578" t="s">
        <v>30</v>
      </c>
      <c r="O8578" t="s">
        <v>31</v>
      </c>
      <c r="P8578" t="str">
        <f>"15217"</f>
        <v>15217</v>
      </c>
    </row>
    <row r="8579" spans="1:16" x14ac:dyDescent="0.25">
      <c r="A8579" t="str">
        <f>"1140086M00147    00"</f>
        <v>1140086M00147    00</v>
      </c>
      <c r="B8579" t="s">
        <v>18559</v>
      </c>
      <c r="C8579" t="s">
        <v>18864</v>
      </c>
      <c r="D8579" t="s">
        <v>20</v>
      </c>
      <c r="E8579" t="s">
        <v>39</v>
      </c>
      <c r="F8579">
        <v>0</v>
      </c>
      <c r="G8579">
        <v>0</v>
      </c>
      <c r="H8579">
        <v>3</v>
      </c>
      <c r="I8579" s="3">
        <v>5866.68</v>
      </c>
      <c r="J8579" s="3">
        <v>391.1</v>
      </c>
      <c r="L8579">
        <v>1</v>
      </c>
      <c r="M8579" t="s">
        <v>18561</v>
      </c>
      <c r="N8579" t="s">
        <v>914</v>
      </c>
      <c r="O8579" t="s">
        <v>200</v>
      </c>
      <c r="P8579" t="str">
        <f>"10952"</f>
        <v>10952</v>
      </c>
    </row>
    <row r="8580" spans="1:16" x14ac:dyDescent="0.25">
      <c r="A8580" t="str">
        <f>"1140086M00189    00"</f>
        <v>1140086M00189    00</v>
      </c>
      <c r="B8580" t="s">
        <v>18865</v>
      </c>
      <c r="C8580" t="s">
        <v>18866</v>
      </c>
      <c r="E8580" t="s">
        <v>39</v>
      </c>
      <c r="F8580">
        <v>0</v>
      </c>
      <c r="G8580">
        <v>0</v>
      </c>
      <c r="H8580">
        <v>1</v>
      </c>
      <c r="I8580" s="3">
        <v>2329.9899999999998</v>
      </c>
      <c r="J8580" s="3">
        <v>640.71</v>
      </c>
      <c r="K8580" t="s">
        <v>6483</v>
      </c>
      <c r="L8580">
        <v>3001</v>
      </c>
      <c r="M8580" t="s">
        <v>330</v>
      </c>
      <c r="N8580" t="s">
        <v>331</v>
      </c>
      <c r="O8580" t="s">
        <v>108</v>
      </c>
      <c r="P8580" t="str">
        <f>"75063"</f>
        <v>75063</v>
      </c>
    </row>
    <row r="8581" spans="1:16" x14ac:dyDescent="0.25">
      <c r="A8581" t="str">
        <f>"1140086M00204    00"</f>
        <v>1140086M00204    00</v>
      </c>
      <c r="B8581" t="s">
        <v>18867</v>
      </c>
      <c r="C8581" t="s">
        <v>18868</v>
      </c>
      <c r="E8581" t="s">
        <v>39</v>
      </c>
      <c r="F8581">
        <v>0</v>
      </c>
      <c r="G8581">
        <v>0</v>
      </c>
      <c r="H8581">
        <v>1</v>
      </c>
      <c r="I8581" s="3">
        <v>3525.01</v>
      </c>
      <c r="J8581" s="3">
        <v>969.33</v>
      </c>
      <c r="K8581" t="s">
        <v>710</v>
      </c>
      <c r="L8581">
        <v>4140</v>
      </c>
      <c r="M8581" t="s">
        <v>711</v>
      </c>
      <c r="N8581" t="s">
        <v>712</v>
      </c>
      <c r="O8581" t="s">
        <v>31</v>
      </c>
      <c r="P8581" t="str">
        <f>"16148"</f>
        <v>16148</v>
      </c>
    </row>
    <row r="8582" spans="1:16" x14ac:dyDescent="0.25">
      <c r="A8582" t="str">
        <f>"1140086M00220    00"</f>
        <v>1140086M00220    00</v>
      </c>
      <c r="B8582" t="s">
        <v>6118</v>
      </c>
      <c r="C8582" t="s">
        <v>18869</v>
      </c>
      <c r="E8582" t="s">
        <v>39</v>
      </c>
      <c r="F8582">
        <v>0</v>
      </c>
      <c r="G8582">
        <v>0</v>
      </c>
      <c r="H8582">
        <v>1</v>
      </c>
      <c r="I8582" s="3">
        <v>1839.3</v>
      </c>
      <c r="J8582" s="3">
        <v>91.96</v>
      </c>
      <c r="L8582">
        <v>5310</v>
      </c>
      <c r="M8582" t="s">
        <v>2955</v>
      </c>
      <c r="N8582" t="s">
        <v>30</v>
      </c>
      <c r="O8582" t="s">
        <v>31</v>
      </c>
      <c r="P8582" t="str">
        <f>"15217"</f>
        <v>15217</v>
      </c>
    </row>
    <row r="8583" spans="1:16" x14ac:dyDescent="0.25">
      <c r="A8583" t="str">
        <f>"1140086N00008    00"</f>
        <v>1140086N00008    00</v>
      </c>
      <c r="B8583" t="s">
        <v>18870</v>
      </c>
      <c r="C8583" t="s">
        <v>18871</v>
      </c>
      <c r="E8583" t="s">
        <v>39</v>
      </c>
      <c r="F8583">
        <v>0</v>
      </c>
      <c r="G8583">
        <v>0</v>
      </c>
      <c r="H8583">
        <v>2</v>
      </c>
      <c r="I8583" s="3">
        <v>3701.14</v>
      </c>
      <c r="J8583" s="3">
        <v>253.1</v>
      </c>
      <c r="K8583" t="s">
        <v>4424</v>
      </c>
      <c r="L8583">
        <v>3001</v>
      </c>
      <c r="M8583" t="s">
        <v>330</v>
      </c>
      <c r="N8583" t="s">
        <v>331</v>
      </c>
      <c r="O8583" t="s">
        <v>108</v>
      </c>
      <c r="P8583" t="str">
        <f>"75063"</f>
        <v>75063</v>
      </c>
    </row>
    <row r="8584" spans="1:16" x14ac:dyDescent="0.25">
      <c r="A8584" t="str">
        <f>"1140086N00041    00"</f>
        <v>1140086N00041    00</v>
      </c>
      <c r="B8584" t="s">
        <v>18872</v>
      </c>
      <c r="C8584" t="s">
        <v>18873</v>
      </c>
      <c r="E8584" t="s">
        <v>39</v>
      </c>
      <c r="F8584">
        <v>0</v>
      </c>
      <c r="G8584">
        <v>0</v>
      </c>
      <c r="H8584">
        <v>1</v>
      </c>
      <c r="I8584" s="3">
        <v>5240.7700000000004</v>
      </c>
      <c r="J8584" s="3">
        <v>0</v>
      </c>
      <c r="L8584">
        <v>5477</v>
      </c>
      <c r="M8584" t="s">
        <v>18814</v>
      </c>
      <c r="N8584" t="s">
        <v>30</v>
      </c>
      <c r="O8584" t="s">
        <v>31</v>
      </c>
      <c r="P8584" t="str">
        <f>"15217"</f>
        <v>15217</v>
      </c>
    </row>
    <row r="8585" spans="1:16" x14ac:dyDescent="0.25">
      <c r="A8585" t="str">
        <f>"1140086N00133    00"</f>
        <v>1140086N00133    00</v>
      </c>
      <c r="B8585" t="s">
        <v>18874</v>
      </c>
      <c r="C8585" t="s">
        <v>18875</v>
      </c>
      <c r="D8585" t="s">
        <v>20</v>
      </c>
      <c r="E8585" t="s">
        <v>39</v>
      </c>
      <c r="F8585">
        <v>0</v>
      </c>
      <c r="G8585">
        <v>0</v>
      </c>
      <c r="H8585">
        <v>1</v>
      </c>
      <c r="I8585" s="3">
        <v>4200.82</v>
      </c>
      <c r="J8585" s="3">
        <v>0</v>
      </c>
      <c r="L8585">
        <v>1932</v>
      </c>
      <c r="M8585" t="s">
        <v>18530</v>
      </c>
      <c r="N8585" t="s">
        <v>30</v>
      </c>
      <c r="O8585" t="s">
        <v>31</v>
      </c>
      <c r="P8585" t="str">
        <f>"15217"</f>
        <v>15217</v>
      </c>
    </row>
    <row r="8586" spans="1:16" x14ac:dyDescent="0.25">
      <c r="A8586" t="str">
        <f>"1140086N00142    00"</f>
        <v>1140086N00142    00</v>
      </c>
      <c r="B8586" t="s">
        <v>18876</v>
      </c>
      <c r="C8586" t="s">
        <v>18877</v>
      </c>
      <c r="E8586" t="s">
        <v>39</v>
      </c>
      <c r="F8586">
        <v>0</v>
      </c>
      <c r="G8586">
        <v>0</v>
      </c>
      <c r="H8586">
        <v>2</v>
      </c>
      <c r="I8586" s="3">
        <v>3645.4</v>
      </c>
      <c r="J8586" s="3">
        <v>41.54</v>
      </c>
      <c r="K8586" t="s">
        <v>4984</v>
      </c>
      <c r="L8586">
        <v>901</v>
      </c>
      <c r="M8586" t="s">
        <v>1503</v>
      </c>
      <c r="N8586" t="s">
        <v>494</v>
      </c>
      <c r="O8586" t="s">
        <v>495</v>
      </c>
      <c r="P8586" t="str">
        <f>"91768"</f>
        <v>91768</v>
      </c>
    </row>
    <row r="8587" spans="1:16" x14ac:dyDescent="0.25">
      <c r="A8587" t="str">
        <f>"1140086N00231    00"</f>
        <v>1140086N00231    00</v>
      </c>
      <c r="B8587" t="s">
        <v>18878</v>
      </c>
      <c r="C8587" t="s">
        <v>18879</v>
      </c>
      <c r="E8587" t="s">
        <v>39</v>
      </c>
      <c r="F8587">
        <v>0</v>
      </c>
      <c r="G8587">
        <v>0</v>
      </c>
      <c r="H8587">
        <v>1</v>
      </c>
      <c r="I8587" s="3">
        <v>35.32</v>
      </c>
      <c r="J8587" s="3">
        <v>0</v>
      </c>
      <c r="K8587" t="s">
        <v>759</v>
      </c>
      <c r="L8587">
        <v>3001</v>
      </c>
      <c r="M8587" t="s">
        <v>404</v>
      </c>
      <c r="N8587" t="s">
        <v>331</v>
      </c>
      <c r="O8587" t="s">
        <v>108</v>
      </c>
      <c r="P8587" t="str">
        <f>"75063"</f>
        <v>75063</v>
      </c>
    </row>
    <row r="8588" spans="1:16" x14ac:dyDescent="0.25">
      <c r="A8588" t="str">
        <f>"1140086N00252    00"</f>
        <v>1140086N00252    00</v>
      </c>
      <c r="B8588" t="s">
        <v>18880</v>
      </c>
      <c r="C8588" t="s">
        <v>18881</v>
      </c>
      <c r="D8588" t="s">
        <v>20</v>
      </c>
      <c r="E8588" t="s">
        <v>21</v>
      </c>
      <c r="F8588">
        <v>0</v>
      </c>
      <c r="G8588">
        <v>0</v>
      </c>
      <c r="H8588">
        <v>2</v>
      </c>
      <c r="I8588" s="3">
        <v>18857.98</v>
      </c>
      <c r="J8588" s="3">
        <v>0</v>
      </c>
      <c r="L8588">
        <v>832</v>
      </c>
      <c r="M8588" t="s">
        <v>18882</v>
      </c>
      <c r="N8588" t="s">
        <v>10618</v>
      </c>
      <c r="O8588" t="s">
        <v>200</v>
      </c>
      <c r="P8588" t="str">
        <f>"12206"</f>
        <v>12206</v>
      </c>
    </row>
    <row r="8589" spans="1:16" x14ac:dyDescent="0.25">
      <c r="A8589" t="str">
        <f>"1140086N00271    00"</f>
        <v>1140086N00271    00</v>
      </c>
      <c r="B8589" t="s">
        <v>18883</v>
      </c>
      <c r="C8589" t="s">
        <v>18884</v>
      </c>
      <c r="E8589" t="s">
        <v>39</v>
      </c>
      <c r="F8589">
        <v>0</v>
      </c>
      <c r="G8589">
        <v>0</v>
      </c>
      <c r="H8589">
        <v>2</v>
      </c>
      <c r="I8589" s="3">
        <v>4824.32</v>
      </c>
      <c r="J8589" s="3">
        <v>329.91</v>
      </c>
      <c r="K8589" t="s">
        <v>881</v>
      </c>
      <c r="L8589">
        <v>3001</v>
      </c>
      <c r="M8589" t="s">
        <v>330</v>
      </c>
      <c r="N8589" t="s">
        <v>331</v>
      </c>
      <c r="O8589" t="s">
        <v>108</v>
      </c>
      <c r="P8589" t="str">
        <f>"75063"</f>
        <v>75063</v>
      </c>
    </row>
    <row r="8590" spans="1:16" x14ac:dyDescent="0.25">
      <c r="A8590" t="str">
        <f>"1140086P00044    00"</f>
        <v>1140086P00044    00</v>
      </c>
      <c r="B8590" t="s">
        <v>18885</v>
      </c>
      <c r="C8590" t="s">
        <v>18886</v>
      </c>
      <c r="E8590" t="s">
        <v>39</v>
      </c>
      <c r="F8590">
        <v>0</v>
      </c>
      <c r="G8590">
        <v>0</v>
      </c>
      <c r="H8590">
        <v>2</v>
      </c>
      <c r="I8590" s="3">
        <v>5599.84</v>
      </c>
      <c r="J8590" s="3">
        <v>279.98</v>
      </c>
      <c r="K8590" t="s">
        <v>18887</v>
      </c>
      <c r="L8590">
        <v>11432</v>
      </c>
      <c r="M8590" t="s">
        <v>18888</v>
      </c>
      <c r="N8590" t="s">
        <v>4783</v>
      </c>
      <c r="O8590" t="s">
        <v>4784</v>
      </c>
      <c r="P8590" t="str">
        <f>"63146"</f>
        <v>63146</v>
      </c>
    </row>
    <row r="8591" spans="1:16" x14ac:dyDescent="0.25">
      <c r="A8591" t="str">
        <f>"1140086P00067    00"</f>
        <v>1140086P00067    00</v>
      </c>
      <c r="B8591" t="s">
        <v>18889</v>
      </c>
      <c r="C8591" t="s">
        <v>18890</v>
      </c>
      <c r="D8591" t="s">
        <v>20</v>
      </c>
      <c r="E8591" t="s">
        <v>39</v>
      </c>
      <c r="F8591">
        <v>0</v>
      </c>
      <c r="G8591">
        <v>0</v>
      </c>
      <c r="H8591">
        <v>3</v>
      </c>
      <c r="I8591" s="3">
        <v>3499.41</v>
      </c>
      <c r="J8591" s="3">
        <v>77.760000000000005</v>
      </c>
      <c r="K8591" t="s">
        <v>4460</v>
      </c>
      <c r="L8591">
        <v>901</v>
      </c>
      <c r="M8591" t="s">
        <v>1503</v>
      </c>
      <c r="N8591" t="s">
        <v>494</v>
      </c>
      <c r="O8591" t="s">
        <v>495</v>
      </c>
      <c r="P8591" t="str">
        <f>"91768"</f>
        <v>91768</v>
      </c>
    </row>
    <row r="8592" spans="1:16" x14ac:dyDescent="0.25">
      <c r="A8592" t="str">
        <f>"1140086P00103    00"</f>
        <v>1140086P00103    00</v>
      </c>
      <c r="B8592" t="s">
        <v>1647</v>
      </c>
      <c r="C8592" t="s">
        <v>18891</v>
      </c>
      <c r="D8592" t="s">
        <v>20</v>
      </c>
      <c r="E8592" t="s">
        <v>39</v>
      </c>
      <c r="F8592">
        <v>0</v>
      </c>
      <c r="G8592">
        <v>0</v>
      </c>
      <c r="H8592">
        <v>6</v>
      </c>
      <c r="I8592" s="3">
        <v>28537.439999999999</v>
      </c>
      <c r="J8592" s="3">
        <v>7726.57</v>
      </c>
      <c r="L8592">
        <v>8</v>
      </c>
      <c r="M8592" t="s">
        <v>1651</v>
      </c>
      <c r="N8592" t="s">
        <v>1652</v>
      </c>
      <c r="O8592" t="s">
        <v>440</v>
      </c>
      <c r="P8592" t="str">
        <f>"02464"</f>
        <v>02464</v>
      </c>
    </row>
    <row r="8593" spans="1:16" x14ac:dyDescent="0.25">
      <c r="A8593" t="str">
        <f>"1140086P00106    00"</f>
        <v>1140086P00106    00</v>
      </c>
      <c r="B8593" t="s">
        <v>18892</v>
      </c>
      <c r="C8593" t="s">
        <v>18893</v>
      </c>
      <c r="D8593" t="s">
        <v>20</v>
      </c>
      <c r="E8593" t="s">
        <v>39</v>
      </c>
      <c r="F8593">
        <v>0</v>
      </c>
      <c r="G8593">
        <v>0</v>
      </c>
      <c r="H8593">
        <v>1</v>
      </c>
      <c r="I8593" s="3">
        <v>2199.86</v>
      </c>
      <c r="J8593" s="3">
        <v>0</v>
      </c>
      <c r="L8593">
        <v>6315</v>
      </c>
      <c r="M8593" t="s">
        <v>18858</v>
      </c>
      <c r="N8593" t="s">
        <v>30</v>
      </c>
      <c r="O8593" t="s">
        <v>31</v>
      </c>
      <c r="P8593" t="str">
        <f>"15217"</f>
        <v>15217</v>
      </c>
    </row>
    <row r="8594" spans="1:16" x14ac:dyDescent="0.25">
      <c r="A8594" t="str">
        <f>"1140086P00150031500"</f>
        <v>1140086P00150031500</v>
      </c>
      <c r="B8594" t="s">
        <v>18894</v>
      </c>
      <c r="C8594" t="s">
        <v>18895</v>
      </c>
      <c r="E8594" t="s">
        <v>39</v>
      </c>
      <c r="F8594">
        <v>0</v>
      </c>
      <c r="G8594">
        <v>0</v>
      </c>
      <c r="H8594">
        <v>2</v>
      </c>
      <c r="I8594" s="3">
        <v>6678.62</v>
      </c>
      <c r="J8594" s="3">
        <v>222.62</v>
      </c>
      <c r="K8594" t="s">
        <v>18896</v>
      </c>
      <c r="L8594">
        <v>5600</v>
      </c>
      <c r="M8594" t="s">
        <v>18897</v>
      </c>
      <c r="N8594" t="s">
        <v>30</v>
      </c>
      <c r="O8594" t="s">
        <v>31</v>
      </c>
      <c r="P8594" t="str">
        <f>"15217"</f>
        <v>15217</v>
      </c>
    </row>
    <row r="8595" spans="1:16" x14ac:dyDescent="0.25">
      <c r="A8595" t="str">
        <f>"1140086P00150040100"</f>
        <v>1140086P00150040100</v>
      </c>
      <c r="B8595" t="s">
        <v>18898</v>
      </c>
      <c r="C8595" t="s">
        <v>18899</v>
      </c>
      <c r="D8595" t="s">
        <v>20</v>
      </c>
      <c r="E8595" t="s">
        <v>39</v>
      </c>
      <c r="F8595">
        <v>0</v>
      </c>
      <c r="G8595">
        <v>0</v>
      </c>
      <c r="H8595">
        <v>2</v>
      </c>
      <c r="I8595" s="3">
        <v>6302.22</v>
      </c>
      <c r="J8595" s="3">
        <v>0</v>
      </c>
      <c r="L8595">
        <v>5600</v>
      </c>
      <c r="M8595" t="s">
        <v>18900</v>
      </c>
      <c r="N8595" t="s">
        <v>30</v>
      </c>
      <c r="O8595" t="s">
        <v>31</v>
      </c>
      <c r="P8595" t="str">
        <f>"15217"</f>
        <v>15217</v>
      </c>
    </row>
    <row r="8596" spans="1:16" x14ac:dyDescent="0.25">
      <c r="A8596" t="str">
        <f>"1140086P00150061500"</f>
        <v>1140086P00150061500</v>
      </c>
      <c r="B8596" t="s">
        <v>18901</v>
      </c>
      <c r="C8596" t="s">
        <v>18902</v>
      </c>
      <c r="D8596" t="s">
        <v>20</v>
      </c>
      <c r="E8596" t="s">
        <v>39</v>
      </c>
      <c r="F8596">
        <v>0</v>
      </c>
      <c r="G8596">
        <v>0</v>
      </c>
      <c r="H8596">
        <v>1</v>
      </c>
      <c r="I8596" s="3">
        <v>38.26</v>
      </c>
      <c r="J8596" s="3">
        <v>0</v>
      </c>
      <c r="K8596" t="s">
        <v>18903</v>
      </c>
      <c r="L8596">
        <v>5600</v>
      </c>
      <c r="M8596" t="s">
        <v>18904</v>
      </c>
      <c r="N8596" t="s">
        <v>30</v>
      </c>
      <c r="O8596" t="s">
        <v>31</v>
      </c>
      <c r="P8596" t="str">
        <f>"15217"</f>
        <v>15217</v>
      </c>
    </row>
    <row r="8597" spans="1:16" x14ac:dyDescent="0.25">
      <c r="A8597" t="str">
        <f>"1140086R00054030300"</f>
        <v>1140086R00054030300</v>
      </c>
      <c r="B8597" t="s">
        <v>18905</v>
      </c>
      <c r="C8597" t="s">
        <v>18906</v>
      </c>
      <c r="D8597" t="s">
        <v>20</v>
      </c>
      <c r="E8597" t="s">
        <v>39</v>
      </c>
      <c r="F8597">
        <v>0</v>
      </c>
      <c r="G8597">
        <v>0</v>
      </c>
      <c r="H8597">
        <v>1</v>
      </c>
      <c r="I8597" s="3">
        <v>1450.93</v>
      </c>
      <c r="J8597" s="3">
        <v>0</v>
      </c>
      <c r="K8597" t="s">
        <v>1722</v>
      </c>
      <c r="M8597" t="s">
        <v>1723</v>
      </c>
      <c r="N8597" t="s">
        <v>410</v>
      </c>
      <c r="O8597" t="s">
        <v>31</v>
      </c>
      <c r="P8597" t="str">
        <f>"15701"</f>
        <v>15701</v>
      </c>
    </row>
    <row r="8598" spans="1:16" x14ac:dyDescent="0.25">
      <c r="A8598" t="str">
        <f>"1140086R00210    00"</f>
        <v>1140086R00210    00</v>
      </c>
      <c r="B8598" t="s">
        <v>18907</v>
      </c>
      <c r="C8598" t="s">
        <v>18908</v>
      </c>
      <c r="D8598" t="s">
        <v>20</v>
      </c>
      <c r="E8598" t="s">
        <v>39</v>
      </c>
      <c r="F8598">
        <v>0</v>
      </c>
      <c r="G8598">
        <v>0</v>
      </c>
      <c r="H8598">
        <v>1</v>
      </c>
      <c r="I8598" s="3">
        <v>4277.07</v>
      </c>
      <c r="J8598" s="3">
        <v>0</v>
      </c>
      <c r="K8598" t="s">
        <v>18909</v>
      </c>
      <c r="L8598">
        <v>1</v>
      </c>
      <c r="M8598" t="s">
        <v>1163</v>
      </c>
      <c r="N8598" t="s">
        <v>4505</v>
      </c>
      <c r="O8598" t="s">
        <v>108</v>
      </c>
      <c r="P8598" t="str">
        <f>"76262"</f>
        <v>76262</v>
      </c>
    </row>
    <row r="8599" spans="1:16" x14ac:dyDescent="0.25">
      <c r="A8599" t="str">
        <f>"1140086R00216    00"</f>
        <v>1140086R00216    00</v>
      </c>
      <c r="B8599" t="s">
        <v>18910</v>
      </c>
      <c r="C8599" t="s">
        <v>18911</v>
      </c>
      <c r="E8599" t="s">
        <v>39</v>
      </c>
      <c r="F8599">
        <v>0</v>
      </c>
      <c r="G8599">
        <v>0</v>
      </c>
      <c r="H8599">
        <v>1</v>
      </c>
      <c r="I8599" s="3">
        <v>4264.16</v>
      </c>
      <c r="J8599" s="3">
        <v>1172.5999999999999</v>
      </c>
      <c r="K8599" t="s">
        <v>6483</v>
      </c>
      <c r="L8599">
        <v>3001</v>
      </c>
      <c r="M8599" t="s">
        <v>330</v>
      </c>
      <c r="N8599" t="s">
        <v>331</v>
      </c>
      <c r="O8599" t="s">
        <v>108</v>
      </c>
      <c r="P8599" t="str">
        <f>"75063"</f>
        <v>75063</v>
      </c>
    </row>
    <row r="8600" spans="1:16" x14ac:dyDescent="0.25">
      <c r="A8600" t="str">
        <f>"1140086R00308030400"</f>
        <v>1140086R00308030400</v>
      </c>
      <c r="B8600" t="s">
        <v>18912</v>
      </c>
      <c r="C8600" t="s">
        <v>18913</v>
      </c>
      <c r="E8600" t="s">
        <v>39</v>
      </c>
      <c r="F8600">
        <v>0</v>
      </c>
      <c r="G8600">
        <v>0</v>
      </c>
      <c r="H8600">
        <v>1</v>
      </c>
      <c r="I8600" s="3">
        <v>64.05</v>
      </c>
      <c r="J8600" s="3">
        <v>10.14</v>
      </c>
      <c r="K8600" t="s">
        <v>18914</v>
      </c>
      <c r="L8600">
        <v>13178</v>
      </c>
      <c r="M8600" t="s">
        <v>18915</v>
      </c>
      <c r="N8600" t="s">
        <v>1158</v>
      </c>
      <c r="O8600" t="s">
        <v>370</v>
      </c>
      <c r="P8600" t="str">
        <f>"33418"</f>
        <v>33418</v>
      </c>
    </row>
    <row r="8601" spans="1:16" x14ac:dyDescent="0.25">
      <c r="A8601" t="str">
        <f>"1140086S00048    00"</f>
        <v>1140086S00048    00</v>
      </c>
      <c r="B8601" t="s">
        <v>18916</v>
      </c>
      <c r="C8601" t="s">
        <v>18917</v>
      </c>
      <c r="D8601" t="s">
        <v>20</v>
      </c>
      <c r="E8601" t="s">
        <v>39</v>
      </c>
      <c r="F8601">
        <v>0</v>
      </c>
      <c r="G8601">
        <v>0</v>
      </c>
      <c r="H8601">
        <v>2</v>
      </c>
      <c r="I8601" s="3">
        <v>3771.98</v>
      </c>
      <c r="J8601" s="3">
        <v>0</v>
      </c>
      <c r="K8601" t="s">
        <v>7148</v>
      </c>
      <c r="M8601" t="s">
        <v>7149</v>
      </c>
      <c r="N8601" t="s">
        <v>1061</v>
      </c>
      <c r="O8601" t="s">
        <v>495</v>
      </c>
      <c r="P8601" t="str">
        <f>"90051"</f>
        <v>90051</v>
      </c>
    </row>
    <row r="8602" spans="1:16" x14ac:dyDescent="0.25">
      <c r="A8602" t="str">
        <f>"1140086S00060    00"</f>
        <v>1140086S00060    00</v>
      </c>
      <c r="B8602" t="s">
        <v>18918</v>
      </c>
      <c r="C8602" t="s">
        <v>18919</v>
      </c>
      <c r="D8602" t="s">
        <v>20</v>
      </c>
      <c r="E8602" t="s">
        <v>39</v>
      </c>
      <c r="F8602">
        <v>0</v>
      </c>
      <c r="G8602">
        <v>0</v>
      </c>
      <c r="H8602">
        <v>2</v>
      </c>
      <c r="I8602" s="3">
        <v>4907.0200000000004</v>
      </c>
      <c r="J8602" s="3">
        <v>0</v>
      </c>
      <c r="L8602">
        <v>5894</v>
      </c>
      <c r="M8602" t="s">
        <v>18920</v>
      </c>
      <c r="N8602" t="s">
        <v>30</v>
      </c>
      <c r="O8602" t="s">
        <v>31</v>
      </c>
      <c r="P8602" t="str">
        <f>"15217"</f>
        <v>15217</v>
      </c>
    </row>
    <row r="8603" spans="1:16" x14ac:dyDescent="0.25">
      <c r="A8603" t="str">
        <f>"1140086S00096    00"</f>
        <v>1140086S00096    00</v>
      </c>
      <c r="B8603" t="s">
        <v>18921</v>
      </c>
      <c r="C8603" t="s">
        <v>18922</v>
      </c>
      <c r="E8603" t="s">
        <v>39</v>
      </c>
      <c r="F8603">
        <v>0</v>
      </c>
      <c r="G8603">
        <v>0</v>
      </c>
      <c r="H8603">
        <v>1</v>
      </c>
      <c r="I8603" s="3">
        <v>1496.83</v>
      </c>
      <c r="J8603" s="3">
        <v>0</v>
      </c>
      <c r="L8603">
        <v>2200</v>
      </c>
      <c r="M8603" t="s">
        <v>3580</v>
      </c>
      <c r="N8603" t="s">
        <v>30</v>
      </c>
      <c r="O8603" t="s">
        <v>31</v>
      </c>
      <c r="P8603" t="str">
        <f>"15217"</f>
        <v>15217</v>
      </c>
    </row>
    <row r="8604" spans="1:16" x14ac:dyDescent="0.25">
      <c r="A8604" t="str">
        <f>"1140086S00099    00"</f>
        <v>1140086S00099    00</v>
      </c>
      <c r="B8604" t="s">
        <v>18923</v>
      </c>
      <c r="C8604" t="s">
        <v>18924</v>
      </c>
      <c r="D8604" t="s">
        <v>20</v>
      </c>
      <c r="E8604" t="s">
        <v>39</v>
      </c>
      <c r="F8604">
        <v>0</v>
      </c>
      <c r="G8604">
        <v>0</v>
      </c>
      <c r="H8604">
        <v>1</v>
      </c>
      <c r="I8604" s="3">
        <v>4036.91</v>
      </c>
      <c r="J8604" s="3">
        <v>0</v>
      </c>
      <c r="K8604" t="s">
        <v>18925</v>
      </c>
      <c r="L8604">
        <v>528</v>
      </c>
      <c r="M8604" t="s">
        <v>18926</v>
      </c>
      <c r="N8604" t="s">
        <v>30</v>
      </c>
      <c r="O8604" t="s">
        <v>31</v>
      </c>
      <c r="P8604" t="str">
        <f>"15237"</f>
        <v>15237</v>
      </c>
    </row>
    <row r="8605" spans="1:16" x14ac:dyDescent="0.25">
      <c r="A8605" t="str">
        <f>"1140086S00116    00"</f>
        <v>1140086S00116    00</v>
      </c>
      <c r="B8605" t="s">
        <v>18927</v>
      </c>
      <c r="C8605" t="s">
        <v>18928</v>
      </c>
      <c r="D8605" t="s">
        <v>20</v>
      </c>
      <c r="E8605" t="s">
        <v>39</v>
      </c>
      <c r="F8605">
        <v>0</v>
      </c>
      <c r="G8605">
        <v>0</v>
      </c>
      <c r="H8605">
        <v>6</v>
      </c>
      <c r="I8605" s="3">
        <v>15695.34</v>
      </c>
      <c r="J8605" s="3">
        <v>3520.13</v>
      </c>
      <c r="K8605" t="s">
        <v>18929</v>
      </c>
      <c r="L8605">
        <v>414</v>
      </c>
      <c r="M8605" t="s">
        <v>18930</v>
      </c>
      <c r="N8605" t="s">
        <v>6603</v>
      </c>
      <c r="O8605" t="s">
        <v>31</v>
      </c>
      <c r="P8605" t="str">
        <f>"15122"</f>
        <v>15122</v>
      </c>
    </row>
    <row r="8606" spans="1:16" x14ac:dyDescent="0.25">
      <c r="A8606" t="str">
        <f>"1140086S00131    00"</f>
        <v>1140086S00131    00</v>
      </c>
      <c r="B8606" t="s">
        <v>18931</v>
      </c>
      <c r="C8606" t="s">
        <v>18932</v>
      </c>
      <c r="E8606" t="s">
        <v>39</v>
      </c>
      <c r="F8606">
        <v>0</v>
      </c>
      <c r="G8606">
        <v>0</v>
      </c>
      <c r="H8606">
        <v>1</v>
      </c>
      <c r="I8606" s="3">
        <v>3843.93</v>
      </c>
      <c r="J8606" s="3">
        <v>1058.45</v>
      </c>
      <c r="K8606" t="s">
        <v>18933</v>
      </c>
      <c r="L8606">
        <v>6345</v>
      </c>
      <c r="M8606" t="s">
        <v>18934</v>
      </c>
      <c r="N8606" t="s">
        <v>30</v>
      </c>
      <c r="O8606" t="s">
        <v>31</v>
      </c>
      <c r="P8606" t="str">
        <f>"15217"</f>
        <v>15217</v>
      </c>
    </row>
    <row r="8607" spans="1:16" x14ac:dyDescent="0.25">
      <c r="A8607" t="str">
        <f>"1140086S00182    00"</f>
        <v>1140086S00182    00</v>
      </c>
      <c r="B8607" t="s">
        <v>18935</v>
      </c>
      <c r="C8607" t="s">
        <v>18936</v>
      </c>
      <c r="E8607" t="s">
        <v>39</v>
      </c>
      <c r="F8607">
        <v>0</v>
      </c>
      <c r="G8607">
        <v>0</v>
      </c>
      <c r="H8607">
        <v>1</v>
      </c>
      <c r="I8607" s="3">
        <v>58.63</v>
      </c>
      <c r="J8607" s="3">
        <v>5.86</v>
      </c>
      <c r="L8607">
        <v>6306</v>
      </c>
      <c r="M8607" t="s">
        <v>3717</v>
      </c>
      <c r="N8607" t="s">
        <v>30</v>
      </c>
      <c r="O8607" t="s">
        <v>31</v>
      </c>
      <c r="P8607" t="str">
        <f>"15217"</f>
        <v>15217</v>
      </c>
    </row>
    <row r="8608" spans="1:16" x14ac:dyDescent="0.25">
      <c r="A8608" t="str">
        <f>"1140086S00207    00"</f>
        <v>1140086S00207    00</v>
      </c>
      <c r="B8608" t="s">
        <v>18937</v>
      </c>
      <c r="C8608" t="s">
        <v>18938</v>
      </c>
      <c r="D8608" t="s">
        <v>20</v>
      </c>
      <c r="E8608" t="s">
        <v>39</v>
      </c>
      <c r="F8608">
        <v>0</v>
      </c>
      <c r="G8608">
        <v>0</v>
      </c>
      <c r="H8608">
        <v>3</v>
      </c>
      <c r="I8608" s="3">
        <v>11321.64</v>
      </c>
      <c r="J8608" s="3">
        <v>94.35</v>
      </c>
      <c r="L8608">
        <v>6500</v>
      </c>
      <c r="M8608" t="s">
        <v>3717</v>
      </c>
      <c r="N8608" t="s">
        <v>30</v>
      </c>
      <c r="O8608" t="s">
        <v>31</v>
      </c>
      <c r="P8608" t="str">
        <f>"15217"</f>
        <v>15217</v>
      </c>
    </row>
    <row r="8609" spans="1:16" x14ac:dyDescent="0.25">
      <c r="A8609" t="str">
        <f>"1140086S00236    00"</f>
        <v>1140086S00236    00</v>
      </c>
      <c r="B8609" t="s">
        <v>18939</v>
      </c>
      <c r="C8609" t="s">
        <v>18940</v>
      </c>
      <c r="E8609" t="s">
        <v>39</v>
      </c>
      <c r="F8609">
        <v>0</v>
      </c>
      <c r="G8609">
        <v>0</v>
      </c>
      <c r="H8609">
        <v>2</v>
      </c>
      <c r="I8609" s="3">
        <v>5447.32</v>
      </c>
      <c r="J8609" s="3">
        <v>272.33999999999997</v>
      </c>
      <c r="K8609" t="s">
        <v>18941</v>
      </c>
      <c r="L8609">
        <v>6413</v>
      </c>
      <c r="M8609" t="s">
        <v>3717</v>
      </c>
      <c r="N8609" t="s">
        <v>30</v>
      </c>
      <c r="O8609" t="s">
        <v>31</v>
      </c>
      <c r="P8609" t="str">
        <f>"15217"</f>
        <v>15217</v>
      </c>
    </row>
    <row r="8610" spans="1:16" x14ac:dyDescent="0.25">
      <c r="A8610" t="str">
        <f>"1140086S00244    00"</f>
        <v>1140086S00244    00</v>
      </c>
      <c r="B8610" t="s">
        <v>18942</v>
      </c>
      <c r="C8610" t="s">
        <v>18943</v>
      </c>
      <c r="E8610" t="s">
        <v>39</v>
      </c>
      <c r="F8610">
        <v>0</v>
      </c>
      <c r="G8610">
        <v>0</v>
      </c>
      <c r="H8610">
        <v>1</v>
      </c>
      <c r="I8610" s="3">
        <v>575.03</v>
      </c>
      <c r="J8610" s="3">
        <v>4.8</v>
      </c>
      <c r="K8610" t="s">
        <v>1502</v>
      </c>
      <c r="L8610">
        <v>901</v>
      </c>
      <c r="M8610" t="s">
        <v>1503</v>
      </c>
      <c r="N8610" t="s">
        <v>494</v>
      </c>
      <c r="O8610" t="s">
        <v>495</v>
      </c>
      <c r="P8610" t="str">
        <f>"91768"</f>
        <v>91768</v>
      </c>
    </row>
    <row r="8611" spans="1:16" x14ac:dyDescent="0.25">
      <c r="A8611" t="str">
        <f>"1140087A00007    00"</f>
        <v>1140087A00007    00</v>
      </c>
      <c r="B8611" t="s">
        <v>18944</v>
      </c>
      <c r="C8611" t="s">
        <v>18945</v>
      </c>
      <c r="D8611" t="s">
        <v>20</v>
      </c>
      <c r="E8611" t="s">
        <v>39</v>
      </c>
      <c r="F8611">
        <v>0</v>
      </c>
      <c r="G8611">
        <v>0</v>
      </c>
      <c r="H8611">
        <v>1</v>
      </c>
      <c r="I8611" s="3">
        <v>3813.92</v>
      </c>
      <c r="J8611" s="3">
        <v>0</v>
      </c>
      <c r="K8611" t="s">
        <v>18946</v>
      </c>
      <c r="L8611">
        <v>5510</v>
      </c>
      <c r="M8611" t="s">
        <v>18947</v>
      </c>
      <c r="N8611" t="s">
        <v>30</v>
      </c>
      <c r="O8611" t="s">
        <v>31</v>
      </c>
      <c r="P8611" t="str">
        <f>"15217"</f>
        <v>15217</v>
      </c>
    </row>
    <row r="8612" spans="1:16" x14ac:dyDescent="0.25">
      <c r="A8612" t="str">
        <f>"1140087A00011    00"</f>
        <v>1140087A00011    00</v>
      </c>
      <c r="B8612" t="s">
        <v>18948</v>
      </c>
      <c r="C8612" t="s">
        <v>18949</v>
      </c>
      <c r="E8612" t="s">
        <v>39</v>
      </c>
      <c r="F8612">
        <v>0</v>
      </c>
      <c r="G8612">
        <v>0</v>
      </c>
      <c r="H8612">
        <v>1</v>
      </c>
      <c r="I8612" s="3">
        <v>29.96</v>
      </c>
      <c r="J8612" s="3">
        <v>0</v>
      </c>
      <c r="K8612" t="s">
        <v>18950</v>
      </c>
      <c r="L8612">
        <v>5422</v>
      </c>
      <c r="M8612" t="s">
        <v>3717</v>
      </c>
      <c r="N8612" t="s">
        <v>30</v>
      </c>
      <c r="O8612" t="s">
        <v>31</v>
      </c>
      <c r="P8612" t="str">
        <f>"15217"</f>
        <v>15217</v>
      </c>
    </row>
    <row r="8613" spans="1:16" x14ac:dyDescent="0.25">
      <c r="A8613" t="str">
        <f>"1140087A00015    00"</f>
        <v>1140087A00015    00</v>
      </c>
      <c r="B8613" t="s">
        <v>18951</v>
      </c>
      <c r="C8613" t="s">
        <v>18952</v>
      </c>
      <c r="E8613" t="s">
        <v>39</v>
      </c>
      <c r="F8613">
        <v>0</v>
      </c>
      <c r="G8613">
        <v>0</v>
      </c>
      <c r="H8613">
        <v>1</v>
      </c>
      <c r="I8613" s="3">
        <v>2438.8000000000002</v>
      </c>
      <c r="J8613" s="3">
        <v>670.64</v>
      </c>
      <c r="K8613" t="s">
        <v>18953</v>
      </c>
      <c r="L8613">
        <v>5430</v>
      </c>
      <c r="M8613" t="s">
        <v>3717</v>
      </c>
      <c r="N8613" t="s">
        <v>30</v>
      </c>
      <c r="O8613" t="s">
        <v>31</v>
      </c>
      <c r="P8613" t="str">
        <f>"15217"</f>
        <v>15217</v>
      </c>
    </row>
    <row r="8614" spans="1:16" x14ac:dyDescent="0.25">
      <c r="A8614" t="str">
        <f>"1140087A00036    00"</f>
        <v>1140087A00036    00</v>
      </c>
      <c r="B8614" t="s">
        <v>18954</v>
      </c>
      <c r="C8614" t="s">
        <v>18955</v>
      </c>
      <c r="D8614" t="s">
        <v>20</v>
      </c>
      <c r="E8614" t="s">
        <v>39</v>
      </c>
      <c r="F8614">
        <v>0</v>
      </c>
      <c r="G8614">
        <v>0</v>
      </c>
      <c r="H8614">
        <v>1</v>
      </c>
      <c r="I8614" s="3">
        <v>125.8</v>
      </c>
      <c r="J8614" s="3">
        <v>0</v>
      </c>
      <c r="K8614" t="s">
        <v>2570</v>
      </c>
      <c r="L8614">
        <v>901</v>
      </c>
      <c r="M8614" t="s">
        <v>1503</v>
      </c>
      <c r="N8614" t="s">
        <v>494</v>
      </c>
      <c r="O8614" t="s">
        <v>495</v>
      </c>
      <c r="P8614" t="str">
        <f>"91768"</f>
        <v>91768</v>
      </c>
    </row>
    <row r="8615" spans="1:16" x14ac:dyDescent="0.25">
      <c r="A8615" t="str">
        <f>"1140087A00054    00"</f>
        <v>1140087A00054    00</v>
      </c>
      <c r="B8615" t="s">
        <v>18956</v>
      </c>
      <c r="C8615" t="s">
        <v>18957</v>
      </c>
      <c r="D8615" t="s">
        <v>20</v>
      </c>
      <c r="E8615" t="s">
        <v>39</v>
      </c>
      <c r="F8615">
        <v>0</v>
      </c>
      <c r="G8615">
        <v>0</v>
      </c>
      <c r="H8615">
        <v>3</v>
      </c>
      <c r="I8615" s="3">
        <v>12653.97</v>
      </c>
      <c r="J8615" s="3">
        <v>281.2</v>
      </c>
      <c r="K8615" t="s">
        <v>5334</v>
      </c>
      <c r="L8615">
        <v>3001</v>
      </c>
      <c r="M8615" t="s">
        <v>330</v>
      </c>
      <c r="N8615" t="s">
        <v>331</v>
      </c>
      <c r="O8615" t="s">
        <v>108</v>
      </c>
      <c r="P8615" t="str">
        <f>"75063"</f>
        <v>75063</v>
      </c>
    </row>
    <row r="8616" spans="1:16" x14ac:dyDescent="0.25">
      <c r="A8616" t="str">
        <f>"1140087A00074    00"</f>
        <v>1140087A00074    00</v>
      </c>
      <c r="B8616" t="s">
        <v>18958</v>
      </c>
      <c r="C8616" t="s">
        <v>18959</v>
      </c>
      <c r="D8616" t="s">
        <v>20</v>
      </c>
      <c r="E8616" t="s">
        <v>39</v>
      </c>
      <c r="F8616">
        <v>0</v>
      </c>
      <c r="G8616">
        <v>0</v>
      </c>
      <c r="H8616">
        <v>3</v>
      </c>
      <c r="I8616" s="3">
        <v>11253.03</v>
      </c>
      <c r="J8616" s="3">
        <v>250.05</v>
      </c>
      <c r="K8616" t="s">
        <v>18960</v>
      </c>
      <c r="L8616">
        <v>5406</v>
      </c>
      <c r="M8616" t="s">
        <v>18961</v>
      </c>
      <c r="N8616" t="s">
        <v>30</v>
      </c>
      <c r="O8616" t="s">
        <v>31</v>
      </c>
      <c r="P8616" t="str">
        <f>"15217"</f>
        <v>15217</v>
      </c>
    </row>
    <row r="8617" spans="1:16" x14ac:dyDescent="0.25">
      <c r="A8617" t="str">
        <f>"1140087A00082    00"</f>
        <v>1140087A00082    00</v>
      </c>
      <c r="B8617" t="s">
        <v>18962</v>
      </c>
      <c r="C8617" t="s">
        <v>18963</v>
      </c>
      <c r="D8617" t="s">
        <v>20</v>
      </c>
      <c r="E8617" t="s">
        <v>39</v>
      </c>
      <c r="F8617">
        <v>0</v>
      </c>
      <c r="G8617">
        <v>0</v>
      </c>
      <c r="H8617">
        <v>3</v>
      </c>
      <c r="I8617" s="3">
        <v>8142.42</v>
      </c>
      <c r="J8617" s="3">
        <v>67.849999999999994</v>
      </c>
      <c r="K8617" t="s">
        <v>881</v>
      </c>
      <c r="L8617">
        <v>3001</v>
      </c>
      <c r="M8617" t="s">
        <v>330</v>
      </c>
      <c r="N8617" t="s">
        <v>331</v>
      </c>
      <c r="O8617" t="s">
        <v>108</v>
      </c>
      <c r="P8617" t="str">
        <f>"75063"</f>
        <v>75063</v>
      </c>
    </row>
    <row r="8618" spans="1:16" x14ac:dyDescent="0.25">
      <c r="A8618" t="str">
        <f>"1140087A00099    00"</f>
        <v>1140087A00099    00</v>
      </c>
      <c r="B8618" t="s">
        <v>18964</v>
      </c>
      <c r="C8618" t="s">
        <v>18965</v>
      </c>
      <c r="D8618" t="s">
        <v>20</v>
      </c>
      <c r="E8618" t="s">
        <v>39</v>
      </c>
      <c r="F8618">
        <v>0</v>
      </c>
      <c r="G8618">
        <v>0</v>
      </c>
      <c r="H8618">
        <v>1</v>
      </c>
      <c r="I8618" s="3">
        <v>2994.34</v>
      </c>
      <c r="J8618" s="3">
        <v>0</v>
      </c>
      <c r="L8618">
        <v>5510</v>
      </c>
      <c r="M8618" t="s">
        <v>18947</v>
      </c>
      <c r="N8618" t="s">
        <v>30</v>
      </c>
      <c r="O8618" t="s">
        <v>31</v>
      </c>
      <c r="P8618" t="str">
        <f>"15217"</f>
        <v>15217</v>
      </c>
    </row>
    <row r="8619" spans="1:16" x14ac:dyDescent="0.25">
      <c r="A8619" t="str">
        <f>"1140087A00132    00"</f>
        <v>1140087A00132    00</v>
      </c>
      <c r="B8619" t="s">
        <v>18966</v>
      </c>
      <c r="C8619" t="s">
        <v>18967</v>
      </c>
      <c r="E8619" t="s">
        <v>39</v>
      </c>
      <c r="F8619">
        <v>0</v>
      </c>
      <c r="G8619">
        <v>0</v>
      </c>
      <c r="H8619">
        <v>2</v>
      </c>
      <c r="I8619" s="3">
        <v>2466.5100000000002</v>
      </c>
      <c r="J8619" s="3">
        <v>168.67</v>
      </c>
      <c r="K8619" t="s">
        <v>18968</v>
      </c>
      <c r="L8619">
        <v>2704</v>
      </c>
      <c r="M8619" t="s">
        <v>5401</v>
      </c>
      <c r="N8619" t="s">
        <v>5402</v>
      </c>
      <c r="O8619" t="s">
        <v>370</v>
      </c>
      <c r="P8619" t="str">
        <f>"34683"</f>
        <v>34683</v>
      </c>
    </row>
    <row r="8620" spans="1:16" x14ac:dyDescent="0.25">
      <c r="A8620" t="str">
        <f>"1140087A00174    00"</f>
        <v>1140087A00174    00</v>
      </c>
      <c r="B8620" t="s">
        <v>18969</v>
      </c>
      <c r="C8620" t="s">
        <v>18970</v>
      </c>
      <c r="E8620" t="s">
        <v>39</v>
      </c>
      <c r="F8620">
        <v>0</v>
      </c>
      <c r="G8620">
        <v>0</v>
      </c>
      <c r="H8620">
        <v>1</v>
      </c>
      <c r="I8620" s="3">
        <v>2583.8000000000002</v>
      </c>
      <c r="J8620" s="3">
        <v>818.17</v>
      </c>
      <c r="K8620" t="s">
        <v>5652</v>
      </c>
      <c r="L8620">
        <v>3001</v>
      </c>
      <c r="M8620" t="s">
        <v>330</v>
      </c>
      <c r="N8620" t="s">
        <v>331</v>
      </c>
      <c r="O8620" t="s">
        <v>108</v>
      </c>
      <c r="P8620" t="str">
        <f>"75063"</f>
        <v>75063</v>
      </c>
    </row>
    <row r="8621" spans="1:16" x14ac:dyDescent="0.25">
      <c r="A8621" t="str">
        <f>"1140087A00182    00"</f>
        <v>1140087A00182    00</v>
      </c>
      <c r="B8621" t="s">
        <v>18971</v>
      </c>
      <c r="C8621" t="s">
        <v>18972</v>
      </c>
      <c r="E8621" t="s">
        <v>39</v>
      </c>
      <c r="F8621">
        <v>0</v>
      </c>
      <c r="G8621">
        <v>0</v>
      </c>
      <c r="H8621">
        <v>1</v>
      </c>
      <c r="I8621" s="3">
        <v>5439.72</v>
      </c>
      <c r="J8621" s="3">
        <v>0</v>
      </c>
      <c r="K8621" t="s">
        <v>18973</v>
      </c>
      <c r="L8621">
        <v>5436</v>
      </c>
      <c r="M8621" t="s">
        <v>18920</v>
      </c>
      <c r="N8621" t="s">
        <v>30</v>
      </c>
      <c r="O8621" t="s">
        <v>31</v>
      </c>
      <c r="P8621" t="str">
        <f>"15217"</f>
        <v>15217</v>
      </c>
    </row>
    <row r="8622" spans="1:16" x14ac:dyDescent="0.25">
      <c r="A8622" t="str">
        <f>"1140087A00190    00"</f>
        <v>1140087A00190    00</v>
      </c>
      <c r="B8622" t="s">
        <v>18974</v>
      </c>
      <c r="C8622" t="s">
        <v>18975</v>
      </c>
      <c r="D8622" t="s">
        <v>20</v>
      </c>
      <c r="E8622" t="s">
        <v>39</v>
      </c>
      <c r="F8622">
        <v>0</v>
      </c>
      <c r="G8622">
        <v>0</v>
      </c>
      <c r="H8622">
        <v>4</v>
      </c>
      <c r="I8622" s="3">
        <v>32942.9</v>
      </c>
      <c r="J8622" s="3">
        <v>3545.26</v>
      </c>
      <c r="K8622" t="s">
        <v>18768</v>
      </c>
      <c r="L8622">
        <v>5500</v>
      </c>
      <c r="M8622" t="s">
        <v>18920</v>
      </c>
      <c r="N8622" t="s">
        <v>30</v>
      </c>
      <c r="O8622" t="s">
        <v>31</v>
      </c>
      <c r="P8622" t="str">
        <f>"15217"</f>
        <v>15217</v>
      </c>
    </row>
    <row r="8623" spans="1:16" x14ac:dyDescent="0.25">
      <c r="A8623" t="str">
        <f>"1140087A00202    00"</f>
        <v>1140087A00202    00</v>
      </c>
      <c r="B8623" t="s">
        <v>18976</v>
      </c>
      <c r="C8623" t="s">
        <v>18977</v>
      </c>
      <c r="D8623" t="s">
        <v>20</v>
      </c>
      <c r="E8623" t="s">
        <v>39</v>
      </c>
      <c r="F8623">
        <v>0</v>
      </c>
      <c r="G8623">
        <v>0</v>
      </c>
      <c r="H8623">
        <v>1</v>
      </c>
      <c r="I8623" s="3">
        <v>4489.1000000000004</v>
      </c>
      <c r="J8623" s="3">
        <v>0</v>
      </c>
      <c r="L8623">
        <v>5528</v>
      </c>
      <c r="M8623" t="s">
        <v>18920</v>
      </c>
      <c r="N8623" t="s">
        <v>30</v>
      </c>
      <c r="O8623" t="s">
        <v>31</v>
      </c>
      <c r="P8623" t="str">
        <f>"15217"</f>
        <v>15217</v>
      </c>
    </row>
    <row r="8624" spans="1:16" x14ac:dyDescent="0.25">
      <c r="A8624" t="str">
        <f>"1140087A00238    00"</f>
        <v>1140087A00238    00</v>
      </c>
      <c r="B8624" t="s">
        <v>18978</v>
      </c>
      <c r="C8624" t="s">
        <v>18979</v>
      </c>
      <c r="D8624" t="s">
        <v>20</v>
      </c>
      <c r="E8624" t="s">
        <v>21</v>
      </c>
      <c r="F8624">
        <v>0</v>
      </c>
      <c r="G8624">
        <v>0</v>
      </c>
      <c r="H8624">
        <v>2</v>
      </c>
      <c r="I8624" s="3">
        <v>18687.490000000002</v>
      </c>
      <c r="J8624" s="3">
        <v>0</v>
      </c>
      <c r="K8624" t="s">
        <v>18980</v>
      </c>
      <c r="L8624">
        <v>5440</v>
      </c>
      <c r="M8624" t="s">
        <v>18981</v>
      </c>
      <c r="N8624" t="s">
        <v>30</v>
      </c>
      <c r="O8624" t="s">
        <v>31</v>
      </c>
      <c r="P8624" t="str">
        <f>"15232"</f>
        <v>15232</v>
      </c>
    </row>
    <row r="8625" spans="1:16" x14ac:dyDescent="0.25">
      <c r="A8625" t="str">
        <f>"1140087A00265    00"</f>
        <v>1140087A00265    00</v>
      </c>
      <c r="B8625" t="s">
        <v>18982</v>
      </c>
      <c r="C8625" t="s">
        <v>18983</v>
      </c>
      <c r="E8625" t="s">
        <v>39</v>
      </c>
      <c r="F8625">
        <v>0</v>
      </c>
      <c r="G8625">
        <v>0</v>
      </c>
      <c r="H8625">
        <v>1</v>
      </c>
      <c r="I8625" s="3">
        <v>1180.8</v>
      </c>
      <c r="J8625" s="3">
        <v>0</v>
      </c>
      <c r="K8625" t="s">
        <v>1502</v>
      </c>
      <c r="L8625">
        <v>901</v>
      </c>
      <c r="M8625" t="s">
        <v>1503</v>
      </c>
      <c r="N8625" t="s">
        <v>494</v>
      </c>
      <c r="O8625" t="s">
        <v>495</v>
      </c>
      <c r="P8625" t="str">
        <f>"91768"</f>
        <v>91768</v>
      </c>
    </row>
    <row r="8626" spans="1:16" x14ac:dyDescent="0.25">
      <c r="A8626" t="str">
        <f>"1140087A00282    00"</f>
        <v>1140087A00282    00</v>
      </c>
      <c r="B8626" t="s">
        <v>18984</v>
      </c>
      <c r="C8626" t="s">
        <v>18985</v>
      </c>
      <c r="D8626" t="s">
        <v>20</v>
      </c>
      <c r="E8626" t="s">
        <v>39</v>
      </c>
      <c r="F8626">
        <v>0</v>
      </c>
      <c r="G8626">
        <v>0</v>
      </c>
      <c r="H8626">
        <v>3</v>
      </c>
      <c r="I8626" s="3">
        <v>6026.76</v>
      </c>
      <c r="J8626" s="3">
        <v>50.23</v>
      </c>
      <c r="K8626" t="s">
        <v>710</v>
      </c>
      <c r="L8626">
        <v>4140</v>
      </c>
      <c r="M8626" t="s">
        <v>711</v>
      </c>
      <c r="N8626" t="s">
        <v>712</v>
      </c>
      <c r="O8626" t="s">
        <v>31</v>
      </c>
      <c r="P8626" t="str">
        <f>"16148"</f>
        <v>16148</v>
      </c>
    </row>
    <row r="8627" spans="1:16" x14ac:dyDescent="0.25">
      <c r="A8627" t="str">
        <f>"1140087A00302    00"</f>
        <v>1140087A00302    00</v>
      </c>
      <c r="B8627" t="s">
        <v>18986</v>
      </c>
      <c r="C8627" t="s">
        <v>18987</v>
      </c>
      <c r="E8627" t="s">
        <v>39</v>
      </c>
      <c r="F8627">
        <v>0</v>
      </c>
      <c r="G8627">
        <v>0</v>
      </c>
      <c r="H8627">
        <v>2</v>
      </c>
      <c r="I8627" s="3">
        <v>4639.22</v>
      </c>
      <c r="J8627" s="3">
        <v>57.98</v>
      </c>
      <c r="K8627" t="s">
        <v>408</v>
      </c>
      <c r="M8627" t="s">
        <v>409</v>
      </c>
      <c r="N8627" t="s">
        <v>410</v>
      </c>
      <c r="O8627" t="s">
        <v>31</v>
      </c>
      <c r="P8627" t="str">
        <f>"15701"</f>
        <v>15701</v>
      </c>
    </row>
    <row r="8628" spans="1:16" x14ac:dyDescent="0.25">
      <c r="A8628" t="str">
        <f>"1140087A00327    00"</f>
        <v>1140087A00327    00</v>
      </c>
      <c r="B8628" t="s">
        <v>18988</v>
      </c>
      <c r="C8628" t="s">
        <v>18989</v>
      </c>
      <c r="E8628" t="s">
        <v>39</v>
      </c>
      <c r="F8628">
        <v>0</v>
      </c>
      <c r="G8628">
        <v>0</v>
      </c>
      <c r="H8628">
        <v>1</v>
      </c>
      <c r="I8628" s="3">
        <v>71.98</v>
      </c>
      <c r="J8628" s="3">
        <v>0</v>
      </c>
      <c r="K8628" t="s">
        <v>18990</v>
      </c>
      <c r="L8628">
        <v>5533</v>
      </c>
      <c r="M8628" t="s">
        <v>18991</v>
      </c>
      <c r="N8628" t="s">
        <v>30</v>
      </c>
      <c r="O8628" t="s">
        <v>31</v>
      </c>
      <c r="P8628" t="str">
        <f>"15217"</f>
        <v>15217</v>
      </c>
    </row>
    <row r="8629" spans="1:16" x14ac:dyDescent="0.25">
      <c r="A8629" t="str">
        <f>"1140087B00003    00"</f>
        <v>1140087B00003    00</v>
      </c>
      <c r="B8629" t="s">
        <v>18992</v>
      </c>
      <c r="C8629" t="s">
        <v>18993</v>
      </c>
      <c r="D8629" t="s">
        <v>20</v>
      </c>
      <c r="E8629" t="s">
        <v>39</v>
      </c>
      <c r="F8629">
        <v>0</v>
      </c>
      <c r="G8629">
        <v>0</v>
      </c>
      <c r="H8629">
        <v>2</v>
      </c>
      <c r="I8629" s="3">
        <v>3781.97</v>
      </c>
      <c r="J8629" s="3">
        <v>0</v>
      </c>
      <c r="L8629">
        <v>9399</v>
      </c>
      <c r="M8629" t="s">
        <v>18994</v>
      </c>
      <c r="N8629" t="s">
        <v>195</v>
      </c>
      <c r="O8629" t="s">
        <v>31</v>
      </c>
      <c r="P8629" t="str">
        <f>"15101"</f>
        <v>15101</v>
      </c>
    </row>
    <row r="8630" spans="1:16" x14ac:dyDescent="0.25">
      <c r="A8630" t="str">
        <f>"1140087B00011A   00"</f>
        <v>1140087B00011A   00</v>
      </c>
      <c r="B8630" t="s">
        <v>18995</v>
      </c>
      <c r="C8630" t="s">
        <v>18996</v>
      </c>
      <c r="E8630" t="s">
        <v>39</v>
      </c>
      <c r="F8630">
        <v>0</v>
      </c>
      <c r="G8630">
        <v>0</v>
      </c>
      <c r="H8630">
        <v>1</v>
      </c>
      <c r="I8630" s="3">
        <v>1436.65</v>
      </c>
      <c r="J8630" s="3">
        <v>323.24</v>
      </c>
      <c r="K8630" t="s">
        <v>8725</v>
      </c>
      <c r="L8630">
        <v>15301</v>
      </c>
      <c r="M8630" t="s">
        <v>8726</v>
      </c>
      <c r="N8630" t="s">
        <v>8727</v>
      </c>
      <c r="O8630" t="s">
        <v>108</v>
      </c>
      <c r="P8630" t="str">
        <f>"75001"</f>
        <v>75001</v>
      </c>
    </row>
    <row r="8631" spans="1:16" x14ac:dyDescent="0.25">
      <c r="A8631" t="str">
        <f>"1140087B00058    00"</f>
        <v>1140087B00058    00</v>
      </c>
      <c r="B8631" t="s">
        <v>18997</v>
      </c>
      <c r="C8631" t="s">
        <v>18998</v>
      </c>
      <c r="D8631" t="s">
        <v>20</v>
      </c>
      <c r="E8631" t="s">
        <v>39</v>
      </c>
      <c r="F8631">
        <v>0</v>
      </c>
      <c r="G8631">
        <v>0</v>
      </c>
      <c r="H8631">
        <v>1</v>
      </c>
      <c r="I8631" s="3">
        <v>4198.93</v>
      </c>
      <c r="J8631" s="3">
        <v>0</v>
      </c>
      <c r="L8631">
        <v>2100</v>
      </c>
      <c r="M8631" t="s">
        <v>6208</v>
      </c>
      <c r="N8631" t="s">
        <v>30</v>
      </c>
      <c r="O8631" t="s">
        <v>31</v>
      </c>
      <c r="P8631" t="str">
        <f>"15217"</f>
        <v>15217</v>
      </c>
    </row>
    <row r="8632" spans="1:16" x14ac:dyDescent="0.25">
      <c r="A8632" t="str">
        <f>"1140087B00071    00"</f>
        <v>1140087B00071    00</v>
      </c>
      <c r="B8632" t="s">
        <v>18999</v>
      </c>
      <c r="C8632" t="s">
        <v>19000</v>
      </c>
      <c r="D8632" t="s">
        <v>20</v>
      </c>
      <c r="E8632" t="s">
        <v>39</v>
      </c>
      <c r="F8632">
        <v>0</v>
      </c>
      <c r="G8632">
        <v>0</v>
      </c>
      <c r="H8632">
        <v>1</v>
      </c>
      <c r="I8632" s="3">
        <v>4258.01</v>
      </c>
      <c r="J8632" s="3">
        <v>0</v>
      </c>
      <c r="K8632" t="s">
        <v>19001</v>
      </c>
      <c r="M8632" t="s">
        <v>19002</v>
      </c>
      <c r="N8632" t="s">
        <v>30</v>
      </c>
      <c r="O8632" t="s">
        <v>31</v>
      </c>
      <c r="P8632" t="str">
        <f>"15217"</f>
        <v>15217</v>
      </c>
    </row>
    <row r="8633" spans="1:16" x14ac:dyDescent="0.25">
      <c r="A8633" t="str">
        <f>"1140087B00094    00"</f>
        <v>1140087B00094    00</v>
      </c>
      <c r="B8633" t="s">
        <v>19003</v>
      </c>
      <c r="C8633" t="s">
        <v>19004</v>
      </c>
      <c r="E8633" t="s">
        <v>39</v>
      </c>
      <c r="F8633">
        <v>0</v>
      </c>
      <c r="G8633">
        <v>0</v>
      </c>
      <c r="H8633">
        <v>2</v>
      </c>
      <c r="I8633" s="3">
        <v>3728.03</v>
      </c>
      <c r="J8633" s="3">
        <v>1732.81</v>
      </c>
      <c r="L8633">
        <v>5668</v>
      </c>
      <c r="M8633" t="s">
        <v>18858</v>
      </c>
      <c r="N8633" t="s">
        <v>30</v>
      </c>
      <c r="O8633" t="s">
        <v>31</v>
      </c>
      <c r="P8633" t="str">
        <f>"15217"</f>
        <v>15217</v>
      </c>
    </row>
    <row r="8634" spans="1:16" x14ac:dyDescent="0.25">
      <c r="A8634" t="str">
        <f>"1140087C00007    00"</f>
        <v>1140087C00007    00</v>
      </c>
      <c r="B8634" t="s">
        <v>19005</v>
      </c>
      <c r="C8634" t="s">
        <v>19006</v>
      </c>
      <c r="D8634" t="s">
        <v>20</v>
      </c>
      <c r="E8634" t="s">
        <v>39</v>
      </c>
      <c r="F8634">
        <v>0</v>
      </c>
      <c r="G8634">
        <v>0</v>
      </c>
      <c r="H8634">
        <v>3</v>
      </c>
      <c r="I8634" s="3">
        <v>6289.86</v>
      </c>
      <c r="J8634" s="3">
        <v>419.3</v>
      </c>
      <c r="L8634">
        <v>5702</v>
      </c>
      <c r="M8634" t="s">
        <v>18920</v>
      </c>
      <c r="N8634" t="s">
        <v>30</v>
      </c>
      <c r="O8634" t="s">
        <v>31</v>
      </c>
      <c r="P8634" t="str">
        <f>"15217"</f>
        <v>15217</v>
      </c>
    </row>
    <row r="8635" spans="1:16" x14ac:dyDescent="0.25">
      <c r="A8635" t="str">
        <f>"1140087C00072    00"</f>
        <v>1140087C00072    00</v>
      </c>
      <c r="B8635" t="s">
        <v>18559</v>
      </c>
      <c r="C8635" t="s">
        <v>19007</v>
      </c>
      <c r="D8635" t="s">
        <v>20</v>
      </c>
      <c r="E8635" t="s">
        <v>39</v>
      </c>
      <c r="F8635">
        <v>0</v>
      </c>
      <c r="G8635">
        <v>0</v>
      </c>
      <c r="H8635">
        <v>3</v>
      </c>
      <c r="I8635" s="3">
        <v>5718</v>
      </c>
      <c r="J8635" s="3">
        <v>381.18</v>
      </c>
      <c r="L8635">
        <v>1</v>
      </c>
      <c r="M8635" t="s">
        <v>18561</v>
      </c>
      <c r="N8635" t="s">
        <v>914</v>
      </c>
      <c r="O8635" t="s">
        <v>200</v>
      </c>
      <c r="P8635" t="str">
        <f>"10952"</f>
        <v>10952</v>
      </c>
    </row>
    <row r="8636" spans="1:16" x14ac:dyDescent="0.25">
      <c r="A8636" t="str">
        <f>"1140087C00091    00"</f>
        <v>1140087C00091    00</v>
      </c>
      <c r="B8636" t="s">
        <v>1538</v>
      </c>
      <c r="C8636" t="s">
        <v>19008</v>
      </c>
      <c r="D8636" t="s">
        <v>20</v>
      </c>
      <c r="E8636" t="s">
        <v>21</v>
      </c>
      <c r="F8636">
        <v>0</v>
      </c>
      <c r="G8636">
        <v>0</v>
      </c>
      <c r="H8636">
        <v>4</v>
      </c>
      <c r="I8636" s="3">
        <v>17982.68</v>
      </c>
      <c r="J8636" s="3">
        <v>2124.2600000000002</v>
      </c>
      <c r="L8636">
        <v>2242</v>
      </c>
      <c r="M8636" t="s">
        <v>16754</v>
      </c>
      <c r="N8636" t="s">
        <v>30</v>
      </c>
      <c r="O8636" t="s">
        <v>31</v>
      </c>
      <c r="P8636" t="str">
        <f>"15217"</f>
        <v>15217</v>
      </c>
    </row>
    <row r="8637" spans="1:16" x14ac:dyDescent="0.25">
      <c r="A8637" t="str">
        <f>"1140087C00190    00"</f>
        <v>1140087C00190    00</v>
      </c>
      <c r="B8637" t="s">
        <v>19009</v>
      </c>
      <c r="C8637" t="s">
        <v>19010</v>
      </c>
      <c r="E8637" t="s">
        <v>39</v>
      </c>
      <c r="F8637">
        <v>0</v>
      </c>
      <c r="G8637">
        <v>0</v>
      </c>
      <c r="H8637">
        <v>2</v>
      </c>
      <c r="I8637" s="3">
        <v>4605.75</v>
      </c>
      <c r="J8637" s="3">
        <v>324</v>
      </c>
      <c r="K8637" t="s">
        <v>881</v>
      </c>
      <c r="L8637">
        <v>3001</v>
      </c>
      <c r="M8637" t="s">
        <v>330</v>
      </c>
      <c r="N8637" t="s">
        <v>331</v>
      </c>
      <c r="O8637" t="s">
        <v>108</v>
      </c>
      <c r="P8637" t="str">
        <f>"75063"</f>
        <v>75063</v>
      </c>
    </row>
    <row r="8638" spans="1:16" x14ac:dyDescent="0.25">
      <c r="A8638" t="str">
        <f>"1140087C00192    00"</f>
        <v>1140087C00192    00</v>
      </c>
      <c r="B8638" t="s">
        <v>19011</v>
      </c>
      <c r="C8638" t="s">
        <v>19012</v>
      </c>
      <c r="E8638" t="s">
        <v>21</v>
      </c>
      <c r="F8638">
        <v>0</v>
      </c>
      <c r="G8638">
        <v>0</v>
      </c>
      <c r="H8638">
        <v>2</v>
      </c>
      <c r="I8638" s="3">
        <v>6251.68</v>
      </c>
      <c r="J8638" s="3">
        <v>78.13</v>
      </c>
      <c r="K8638" t="s">
        <v>19013</v>
      </c>
      <c r="L8638">
        <v>357</v>
      </c>
      <c r="M8638" t="s">
        <v>19014</v>
      </c>
      <c r="N8638" t="s">
        <v>4768</v>
      </c>
      <c r="O8638" t="s">
        <v>31</v>
      </c>
      <c r="P8638" t="str">
        <f>"15137"</f>
        <v>15137</v>
      </c>
    </row>
    <row r="8639" spans="1:16" x14ac:dyDescent="0.25">
      <c r="A8639" t="str">
        <f>"1140087C00232    00"</f>
        <v>1140087C00232    00</v>
      </c>
      <c r="B8639" t="s">
        <v>19015</v>
      </c>
      <c r="C8639" t="s">
        <v>19016</v>
      </c>
      <c r="E8639" t="s">
        <v>39</v>
      </c>
      <c r="F8639">
        <v>0</v>
      </c>
      <c r="G8639">
        <v>0</v>
      </c>
      <c r="H8639">
        <v>1</v>
      </c>
      <c r="I8639" s="3">
        <v>3187.42</v>
      </c>
      <c r="J8639" s="3">
        <v>1115.56</v>
      </c>
      <c r="K8639" t="s">
        <v>5054</v>
      </c>
      <c r="L8639">
        <v>140</v>
      </c>
      <c r="M8639" t="s">
        <v>5055</v>
      </c>
      <c r="N8639" t="s">
        <v>5056</v>
      </c>
      <c r="O8639" t="s">
        <v>5057</v>
      </c>
      <c r="P8639" t="str">
        <f>"04240"</f>
        <v>04240</v>
      </c>
    </row>
    <row r="8640" spans="1:16" x14ac:dyDescent="0.25">
      <c r="A8640" t="str">
        <f>"1140087C00278    00"</f>
        <v>1140087C00278    00</v>
      </c>
      <c r="B8640" t="s">
        <v>19017</v>
      </c>
      <c r="C8640" t="s">
        <v>19018</v>
      </c>
      <c r="D8640" t="s">
        <v>20</v>
      </c>
      <c r="E8640" t="s">
        <v>39</v>
      </c>
      <c r="F8640">
        <v>0</v>
      </c>
      <c r="G8640">
        <v>0</v>
      </c>
      <c r="H8640">
        <v>2</v>
      </c>
      <c r="I8640" s="3">
        <v>3119.22</v>
      </c>
      <c r="J8640" s="3">
        <v>0</v>
      </c>
      <c r="L8640">
        <v>5848</v>
      </c>
      <c r="M8640" t="s">
        <v>18934</v>
      </c>
      <c r="N8640" t="s">
        <v>30</v>
      </c>
      <c r="O8640" t="s">
        <v>31</v>
      </c>
      <c r="P8640" t="str">
        <f>"15217"</f>
        <v>15217</v>
      </c>
    </row>
    <row r="8641" spans="1:16" x14ac:dyDescent="0.25">
      <c r="A8641" t="str">
        <f>"1140087C00293    00"</f>
        <v>1140087C00293    00</v>
      </c>
      <c r="B8641" t="s">
        <v>19019</v>
      </c>
      <c r="C8641" t="s">
        <v>19020</v>
      </c>
      <c r="E8641" t="s">
        <v>39</v>
      </c>
      <c r="F8641">
        <v>0</v>
      </c>
      <c r="G8641">
        <v>0</v>
      </c>
      <c r="H8641">
        <v>2</v>
      </c>
      <c r="I8641" s="3">
        <v>3773.88</v>
      </c>
      <c r="J8641" s="3">
        <v>85.92</v>
      </c>
      <c r="K8641" t="s">
        <v>1030</v>
      </c>
      <c r="M8641" t="s">
        <v>1031</v>
      </c>
      <c r="N8641" t="s">
        <v>1032</v>
      </c>
      <c r="O8641" t="s">
        <v>25</v>
      </c>
      <c r="P8641" t="str">
        <f>"44711"</f>
        <v>44711</v>
      </c>
    </row>
    <row r="8642" spans="1:16" x14ac:dyDescent="0.25">
      <c r="A8642" t="str">
        <f>"1140087C00297    00"</f>
        <v>1140087C00297    00</v>
      </c>
      <c r="B8642" t="s">
        <v>19021</v>
      </c>
      <c r="C8642" t="s">
        <v>19022</v>
      </c>
      <c r="E8642" t="s">
        <v>39</v>
      </c>
      <c r="F8642">
        <v>0</v>
      </c>
      <c r="G8642">
        <v>0</v>
      </c>
      <c r="H8642">
        <v>1</v>
      </c>
      <c r="I8642" s="3">
        <v>4463.0200000000004</v>
      </c>
      <c r="J8642" s="3">
        <v>1227.29</v>
      </c>
      <c r="L8642">
        <v>113</v>
      </c>
      <c r="M8642" t="s">
        <v>19023</v>
      </c>
      <c r="N8642" t="s">
        <v>199</v>
      </c>
      <c r="O8642" t="s">
        <v>200</v>
      </c>
      <c r="P8642" t="str">
        <f>"10038"</f>
        <v>10038</v>
      </c>
    </row>
    <row r="8643" spans="1:16" x14ac:dyDescent="0.25">
      <c r="A8643" t="str">
        <f>"1140087C00311    00"</f>
        <v>1140087C00311    00</v>
      </c>
      <c r="B8643" t="s">
        <v>19024</v>
      </c>
      <c r="C8643" t="s">
        <v>19025</v>
      </c>
      <c r="E8643" t="s">
        <v>21</v>
      </c>
      <c r="F8643">
        <v>0</v>
      </c>
      <c r="G8643">
        <v>0</v>
      </c>
      <c r="H8643">
        <v>1</v>
      </c>
      <c r="I8643" s="3">
        <v>1924.6</v>
      </c>
      <c r="J8643" s="3">
        <v>609.41999999999996</v>
      </c>
      <c r="L8643">
        <v>5806</v>
      </c>
      <c r="M8643" t="s">
        <v>18920</v>
      </c>
      <c r="N8643" t="s">
        <v>30</v>
      </c>
      <c r="O8643" t="s">
        <v>31</v>
      </c>
      <c r="P8643" t="str">
        <f>"15217"</f>
        <v>15217</v>
      </c>
    </row>
    <row r="8644" spans="1:16" x14ac:dyDescent="0.25">
      <c r="A8644" t="str">
        <f>"1140087D00009    00"</f>
        <v>1140087D00009    00</v>
      </c>
      <c r="B8644" t="s">
        <v>19026</v>
      </c>
      <c r="C8644" t="s">
        <v>19027</v>
      </c>
      <c r="E8644" t="s">
        <v>39</v>
      </c>
      <c r="F8644">
        <v>0</v>
      </c>
      <c r="G8644">
        <v>0</v>
      </c>
      <c r="H8644">
        <v>3</v>
      </c>
      <c r="I8644" s="3">
        <v>2900.81</v>
      </c>
      <c r="J8644" s="3">
        <v>49.55</v>
      </c>
      <c r="K8644" t="s">
        <v>19028</v>
      </c>
      <c r="L8644">
        <v>5905</v>
      </c>
      <c r="M8644" t="s">
        <v>18934</v>
      </c>
      <c r="N8644" t="s">
        <v>30</v>
      </c>
      <c r="O8644" t="s">
        <v>31</v>
      </c>
      <c r="P8644" t="str">
        <f>"15217"</f>
        <v>15217</v>
      </c>
    </row>
    <row r="8645" spans="1:16" x14ac:dyDescent="0.25">
      <c r="A8645" t="str">
        <f>"1140087D00010    00"</f>
        <v>1140087D00010    00</v>
      </c>
      <c r="B8645" t="s">
        <v>19029</v>
      </c>
      <c r="C8645" t="s">
        <v>19030</v>
      </c>
      <c r="D8645" t="s">
        <v>20</v>
      </c>
      <c r="E8645" t="s">
        <v>39</v>
      </c>
      <c r="F8645">
        <v>0</v>
      </c>
      <c r="G8645">
        <v>0</v>
      </c>
      <c r="H8645">
        <v>2</v>
      </c>
      <c r="I8645" s="3">
        <v>2331.5100000000002</v>
      </c>
      <c r="J8645" s="3">
        <v>23.34</v>
      </c>
      <c r="L8645">
        <v>5902</v>
      </c>
      <c r="M8645" t="s">
        <v>18934</v>
      </c>
      <c r="N8645" t="s">
        <v>30</v>
      </c>
      <c r="O8645" t="s">
        <v>31</v>
      </c>
      <c r="P8645" t="str">
        <f>"15217"</f>
        <v>15217</v>
      </c>
    </row>
    <row r="8646" spans="1:16" x14ac:dyDescent="0.25">
      <c r="A8646" t="str">
        <f>"1140087D00012    00"</f>
        <v>1140087D00012    00</v>
      </c>
      <c r="B8646" t="s">
        <v>19031</v>
      </c>
      <c r="C8646" t="s">
        <v>19032</v>
      </c>
      <c r="E8646" t="s">
        <v>39</v>
      </c>
      <c r="F8646">
        <v>0</v>
      </c>
      <c r="G8646">
        <v>0</v>
      </c>
      <c r="H8646">
        <v>1</v>
      </c>
      <c r="I8646" s="3">
        <v>1922.91</v>
      </c>
      <c r="J8646" s="3">
        <v>528.78</v>
      </c>
      <c r="L8646">
        <v>5906</v>
      </c>
      <c r="M8646" t="s">
        <v>18934</v>
      </c>
      <c r="N8646" t="s">
        <v>30</v>
      </c>
      <c r="O8646" t="s">
        <v>31</v>
      </c>
      <c r="P8646" t="str">
        <f>"15217"</f>
        <v>15217</v>
      </c>
    </row>
    <row r="8647" spans="1:16" x14ac:dyDescent="0.25">
      <c r="A8647" t="str">
        <f>"1140087D00020    00"</f>
        <v>1140087D00020    00</v>
      </c>
      <c r="B8647" t="s">
        <v>19033</v>
      </c>
      <c r="C8647" t="s">
        <v>19034</v>
      </c>
      <c r="D8647" t="s">
        <v>20</v>
      </c>
      <c r="E8647" t="s">
        <v>39</v>
      </c>
      <c r="F8647">
        <v>0</v>
      </c>
      <c r="G8647">
        <v>0</v>
      </c>
      <c r="H8647">
        <v>3</v>
      </c>
      <c r="I8647" s="3">
        <v>6495.66</v>
      </c>
      <c r="J8647" s="3">
        <v>144.34</v>
      </c>
      <c r="K8647" t="s">
        <v>563</v>
      </c>
      <c r="L8647">
        <v>3001</v>
      </c>
      <c r="M8647" t="s">
        <v>330</v>
      </c>
      <c r="N8647" t="s">
        <v>331</v>
      </c>
      <c r="O8647" t="s">
        <v>108</v>
      </c>
      <c r="P8647" t="str">
        <f>"75063"</f>
        <v>75063</v>
      </c>
    </row>
    <row r="8648" spans="1:16" x14ac:dyDescent="0.25">
      <c r="A8648" t="str">
        <f>"1140087D00023    00"</f>
        <v>1140087D00023    00</v>
      </c>
      <c r="B8648" t="s">
        <v>19035</v>
      </c>
      <c r="C8648" t="s">
        <v>19036</v>
      </c>
      <c r="D8648" t="s">
        <v>20</v>
      </c>
      <c r="E8648" t="s">
        <v>39</v>
      </c>
      <c r="F8648">
        <v>0</v>
      </c>
      <c r="G8648">
        <v>0</v>
      </c>
      <c r="H8648">
        <v>2</v>
      </c>
      <c r="I8648" s="3">
        <v>2331.54</v>
      </c>
      <c r="J8648" s="3">
        <v>0</v>
      </c>
      <c r="L8648">
        <v>2202</v>
      </c>
      <c r="M8648" t="s">
        <v>3580</v>
      </c>
      <c r="N8648" t="s">
        <v>30</v>
      </c>
      <c r="O8648" t="s">
        <v>31</v>
      </c>
      <c r="P8648" t="str">
        <f>"15217"</f>
        <v>15217</v>
      </c>
    </row>
    <row r="8649" spans="1:16" x14ac:dyDescent="0.25">
      <c r="A8649" t="str">
        <f>"1140087D00032    00"</f>
        <v>1140087D00032    00</v>
      </c>
      <c r="B8649" t="s">
        <v>19037</v>
      </c>
      <c r="C8649" t="s">
        <v>19038</v>
      </c>
      <c r="D8649" t="s">
        <v>20</v>
      </c>
      <c r="E8649" t="s">
        <v>39</v>
      </c>
      <c r="F8649">
        <v>0</v>
      </c>
      <c r="G8649">
        <v>0</v>
      </c>
      <c r="H8649">
        <v>2</v>
      </c>
      <c r="I8649" s="3">
        <v>7662.12</v>
      </c>
      <c r="J8649" s="3">
        <v>0</v>
      </c>
      <c r="K8649" t="s">
        <v>5432</v>
      </c>
      <c r="L8649">
        <v>3001</v>
      </c>
      <c r="M8649" t="s">
        <v>330</v>
      </c>
      <c r="N8649" t="s">
        <v>331</v>
      </c>
      <c r="O8649" t="s">
        <v>108</v>
      </c>
      <c r="P8649" t="str">
        <f>"75063"</f>
        <v>75063</v>
      </c>
    </row>
    <row r="8650" spans="1:16" x14ac:dyDescent="0.25">
      <c r="A8650" t="str">
        <f>"1140087D00047    00"</f>
        <v>1140087D00047    00</v>
      </c>
      <c r="B8650" t="s">
        <v>19039</v>
      </c>
      <c r="C8650" t="s">
        <v>19040</v>
      </c>
      <c r="E8650" t="s">
        <v>39</v>
      </c>
      <c r="F8650">
        <v>0</v>
      </c>
      <c r="G8650">
        <v>0</v>
      </c>
      <c r="H8650">
        <v>1</v>
      </c>
      <c r="I8650" s="3">
        <v>4204.13</v>
      </c>
      <c r="J8650" s="3">
        <v>1156.0899999999999</v>
      </c>
      <c r="K8650" t="s">
        <v>4424</v>
      </c>
      <c r="L8650">
        <v>3001</v>
      </c>
      <c r="M8650" t="s">
        <v>330</v>
      </c>
      <c r="N8650" t="s">
        <v>331</v>
      </c>
      <c r="O8650" t="s">
        <v>108</v>
      </c>
      <c r="P8650" t="str">
        <f>"75063"</f>
        <v>75063</v>
      </c>
    </row>
    <row r="8651" spans="1:16" x14ac:dyDescent="0.25">
      <c r="A8651" t="str">
        <f>"1140087D00049    00"</f>
        <v>1140087D00049    00</v>
      </c>
      <c r="B8651" t="s">
        <v>19041</v>
      </c>
      <c r="C8651" t="s">
        <v>19042</v>
      </c>
      <c r="E8651" t="s">
        <v>39</v>
      </c>
      <c r="F8651">
        <v>0</v>
      </c>
      <c r="G8651">
        <v>0</v>
      </c>
      <c r="H8651">
        <v>2</v>
      </c>
      <c r="I8651" s="3">
        <v>2513.87</v>
      </c>
      <c r="J8651" s="3">
        <v>171.91</v>
      </c>
      <c r="K8651" t="s">
        <v>1135</v>
      </c>
      <c r="L8651">
        <v>3001</v>
      </c>
      <c r="M8651" t="s">
        <v>330</v>
      </c>
      <c r="N8651" t="s">
        <v>331</v>
      </c>
      <c r="O8651" t="s">
        <v>108</v>
      </c>
      <c r="P8651" t="str">
        <f>"75063"</f>
        <v>75063</v>
      </c>
    </row>
    <row r="8652" spans="1:16" x14ac:dyDescent="0.25">
      <c r="A8652" t="str">
        <f>"1140087D00070    00"</f>
        <v>1140087D00070    00</v>
      </c>
      <c r="B8652" t="s">
        <v>18559</v>
      </c>
      <c r="C8652" t="s">
        <v>19043</v>
      </c>
      <c r="D8652" t="s">
        <v>20</v>
      </c>
      <c r="E8652" t="s">
        <v>39</v>
      </c>
      <c r="F8652">
        <v>0</v>
      </c>
      <c r="G8652">
        <v>0</v>
      </c>
      <c r="H8652">
        <v>3</v>
      </c>
      <c r="I8652" s="3">
        <v>5146.2</v>
      </c>
      <c r="J8652" s="3">
        <v>343.06</v>
      </c>
      <c r="L8652">
        <v>1</v>
      </c>
      <c r="M8652" t="s">
        <v>18561</v>
      </c>
      <c r="N8652" t="s">
        <v>914</v>
      </c>
      <c r="O8652" t="s">
        <v>200</v>
      </c>
      <c r="P8652" t="str">
        <f>"10952"</f>
        <v>10952</v>
      </c>
    </row>
    <row r="8653" spans="1:16" x14ac:dyDescent="0.25">
      <c r="A8653" t="str">
        <f>"1140087D00075    00"</f>
        <v>1140087D00075    00</v>
      </c>
      <c r="B8653" t="s">
        <v>19044</v>
      </c>
      <c r="C8653" t="s">
        <v>19045</v>
      </c>
      <c r="E8653" t="s">
        <v>39</v>
      </c>
      <c r="F8653">
        <v>0</v>
      </c>
      <c r="G8653">
        <v>0</v>
      </c>
      <c r="H8653">
        <v>1</v>
      </c>
      <c r="I8653" s="3">
        <v>1240.8</v>
      </c>
      <c r="J8653" s="3">
        <v>10.33</v>
      </c>
      <c r="K8653" t="s">
        <v>19046</v>
      </c>
      <c r="L8653">
        <v>5808</v>
      </c>
      <c r="M8653" t="s">
        <v>3717</v>
      </c>
      <c r="N8653" t="s">
        <v>30</v>
      </c>
      <c r="O8653" t="s">
        <v>31</v>
      </c>
      <c r="P8653" t="str">
        <f>"15217"</f>
        <v>15217</v>
      </c>
    </row>
    <row r="8654" spans="1:16" x14ac:dyDescent="0.25">
      <c r="A8654" t="str">
        <f>"1140087D00105    00"</f>
        <v>1140087D00105    00</v>
      </c>
      <c r="B8654" t="s">
        <v>19047</v>
      </c>
      <c r="C8654" t="s">
        <v>19048</v>
      </c>
      <c r="D8654" t="s">
        <v>20</v>
      </c>
      <c r="E8654" t="s">
        <v>39</v>
      </c>
      <c r="F8654">
        <v>0</v>
      </c>
      <c r="G8654">
        <v>0</v>
      </c>
      <c r="H8654">
        <v>1</v>
      </c>
      <c r="I8654" s="3">
        <v>2922.55</v>
      </c>
      <c r="J8654" s="3">
        <v>0</v>
      </c>
      <c r="K8654" t="s">
        <v>19049</v>
      </c>
      <c r="L8654">
        <v>5880</v>
      </c>
      <c r="M8654" t="s">
        <v>18934</v>
      </c>
      <c r="N8654" t="s">
        <v>30</v>
      </c>
      <c r="O8654" t="s">
        <v>31</v>
      </c>
      <c r="P8654" t="str">
        <f>"15217"</f>
        <v>15217</v>
      </c>
    </row>
    <row r="8655" spans="1:16" x14ac:dyDescent="0.25">
      <c r="A8655" t="str">
        <f>"1140087D00163    00"</f>
        <v>1140087D00163    00</v>
      </c>
      <c r="B8655" t="s">
        <v>19050</v>
      </c>
      <c r="C8655" t="s">
        <v>19051</v>
      </c>
      <c r="E8655" t="s">
        <v>39</v>
      </c>
      <c r="F8655">
        <v>0</v>
      </c>
      <c r="G8655">
        <v>0</v>
      </c>
      <c r="H8655">
        <v>1</v>
      </c>
      <c r="I8655" s="3">
        <v>3307.4</v>
      </c>
      <c r="J8655" s="3">
        <v>909.49</v>
      </c>
      <c r="K8655" t="s">
        <v>2302</v>
      </c>
      <c r="L8655">
        <v>3001</v>
      </c>
      <c r="M8655" t="s">
        <v>330</v>
      </c>
      <c r="N8655" t="s">
        <v>331</v>
      </c>
      <c r="O8655" t="s">
        <v>108</v>
      </c>
      <c r="P8655" t="str">
        <f>"75063"</f>
        <v>75063</v>
      </c>
    </row>
    <row r="8656" spans="1:16" x14ac:dyDescent="0.25">
      <c r="A8656" t="str">
        <f>"1140087D00168    00"</f>
        <v>1140087D00168    00</v>
      </c>
      <c r="B8656" t="s">
        <v>19052</v>
      </c>
      <c r="C8656" t="s">
        <v>19053</v>
      </c>
      <c r="E8656" t="s">
        <v>39</v>
      </c>
      <c r="F8656">
        <v>0</v>
      </c>
      <c r="G8656">
        <v>0</v>
      </c>
      <c r="H8656">
        <v>2</v>
      </c>
      <c r="I8656" s="3">
        <v>3682.4</v>
      </c>
      <c r="J8656" s="3">
        <v>184.11</v>
      </c>
      <c r="K8656" t="s">
        <v>19054</v>
      </c>
      <c r="L8656">
        <v>4000</v>
      </c>
      <c r="M8656" t="s">
        <v>19055</v>
      </c>
      <c r="N8656" t="s">
        <v>19056</v>
      </c>
      <c r="O8656" t="s">
        <v>31</v>
      </c>
      <c r="P8656" t="str">
        <f>"19462"</f>
        <v>19462</v>
      </c>
    </row>
    <row r="8657" spans="1:16" x14ac:dyDescent="0.25">
      <c r="A8657" t="str">
        <f>"1140087D00210    00"</f>
        <v>1140087D00210    00</v>
      </c>
      <c r="B8657" t="s">
        <v>19057</v>
      </c>
      <c r="C8657" t="s">
        <v>19058</v>
      </c>
      <c r="D8657" t="s">
        <v>20</v>
      </c>
      <c r="E8657" t="s">
        <v>39</v>
      </c>
      <c r="F8657">
        <v>0</v>
      </c>
      <c r="G8657">
        <v>0</v>
      </c>
      <c r="H8657">
        <v>1</v>
      </c>
      <c r="I8657" s="3">
        <v>1837.08</v>
      </c>
      <c r="J8657" s="3">
        <v>0</v>
      </c>
      <c r="L8657">
        <v>6335</v>
      </c>
      <c r="M8657" t="s">
        <v>19059</v>
      </c>
      <c r="N8657" t="s">
        <v>30</v>
      </c>
      <c r="O8657" t="s">
        <v>31</v>
      </c>
      <c r="P8657" t="str">
        <f>"15217"</f>
        <v>15217</v>
      </c>
    </row>
    <row r="8658" spans="1:16" x14ac:dyDescent="0.25">
      <c r="A8658" t="str">
        <f>"1140087D00254    00"</f>
        <v>1140087D00254    00</v>
      </c>
      <c r="B8658" t="s">
        <v>19060</v>
      </c>
      <c r="C8658" t="s">
        <v>19061</v>
      </c>
      <c r="E8658" t="s">
        <v>39</v>
      </c>
      <c r="F8658">
        <v>0</v>
      </c>
      <c r="G8658">
        <v>0</v>
      </c>
      <c r="H8658">
        <v>2</v>
      </c>
      <c r="I8658" s="3">
        <v>8412.1</v>
      </c>
      <c r="J8658" s="3">
        <v>7.0000000000000007E-2</v>
      </c>
      <c r="L8658">
        <v>6347</v>
      </c>
      <c r="M8658" t="s">
        <v>18858</v>
      </c>
      <c r="N8658" t="s">
        <v>30</v>
      </c>
      <c r="O8658" t="s">
        <v>31</v>
      </c>
      <c r="P8658" t="str">
        <f>"15217"</f>
        <v>15217</v>
      </c>
    </row>
    <row r="8659" spans="1:16" x14ac:dyDescent="0.25">
      <c r="A8659" t="str">
        <f>"1140087D00272    00"</f>
        <v>1140087D00272    00</v>
      </c>
      <c r="B8659" t="s">
        <v>18892</v>
      </c>
      <c r="C8659" t="s">
        <v>19062</v>
      </c>
      <c r="D8659" t="s">
        <v>20</v>
      </c>
      <c r="E8659" t="s">
        <v>39</v>
      </c>
      <c r="F8659">
        <v>0</v>
      </c>
      <c r="G8659">
        <v>0</v>
      </c>
      <c r="H8659">
        <v>1</v>
      </c>
      <c r="I8659" s="3">
        <v>1653.65</v>
      </c>
      <c r="J8659" s="3">
        <v>0</v>
      </c>
      <c r="L8659">
        <v>6315</v>
      </c>
      <c r="M8659" t="s">
        <v>18858</v>
      </c>
      <c r="N8659" t="s">
        <v>30</v>
      </c>
      <c r="O8659" t="s">
        <v>31</v>
      </c>
      <c r="P8659" t="str">
        <f>"15217"</f>
        <v>15217</v>
      </c>
    </row>
    <row r="8660" spans="1:16" x14ac:dyDescent="0.25">
      <c r="A8660" t="str">
        <f>"1140087D00294    00"</f>
        <v>1140087D00294    00</v>
      </c>
      <c r="B8660" t="s">
        <v>19063</v>
      </c>
      <c r="C8660" t="s">
        <v>19064</v>
      </c>
      <c r="D8660" t="s">
        <v>20</v>
      </c>
      <c r="E8660" t="s">
        <v>39</v>
      </c>
      <c r="F8660">
        <v>0</v>
      </c>
      <c r="G8660">
        <v>0</v>
      </c>
      <c r="H8660">
        <v>3</v>
      </c>
      <c r="I8660" s="3">
        <v>3695.88</v>
      </c>
      <c r="J8660" s="3">
        <v>82.22</v>
      </c>
      <c r="L8660">
        <v>6320</v>
      </c>
      <c r="M8660" t="s">
        <v>18934</v>
      </c>
      <c r="N8660" t="s">
        <v>30</v>
      </c>
      <c r="O8660" t="s">
        <v>31</v>
      </c>
      <c r="P8660" t="str">
        <f>"15217"</f>
        <v>15217</v>
      </c>
    </row>
    <row r="8661" spans="1:16" x14ac:dyDescent="0.25">
      <c r="A8661" t="str">
        <f>"1140087E00025    00"</f>
        <v>1140087E00025    00</v>
      </c>
      <c r="B8661" t="s">
        <v>19065</v>
      </c>
      <c r="C8661" t="s">
        <v>19066</v>
      </c>
      <c r="E8661" t="s">
        <v>39</v>
      </c>
      <c r="F8661">
        <v>0</v>
      </c>
      <c r="G8661">
        <v>0</v>
      </c>
      <c r="H8661">
        <v>1</v>
      </c>
      <c r="I8661" s="3">
        <v>2978.42</v>
      </c>
      <c r="J8661" s="3">
        <v>2208.91</v>
      </c>
      <c r="K8661" t="s">
        <v>445</v>
      </c>
      <c r="L8661">
        <v>1</v>
      </c>
      <c r="M8661" t="s">
        <v>1163</v>
      </c>
      <c r="N8661" t="s">
        <v>1164</v>
      </c>
      <c r="O8661" t="s">
        <v>108</v>
      </c>
      <c r="P8661" t="str">
        <f>"76262"</f>
        <v>76262</v>
      </c>
    </row>
    <row r="8662" spans="1:16" x14ac:dyDescent="0.25">
      <c r="A8662" t="str">
        <f>"1140087E00048    00"</f>
        <v>1140087E00048    00</v>
      </c>
      <c r="B8662" t="s">
        <v>19067</v>
      </c>
      <c r="C8662" t="s">
        <v>19068</v>
      </c>
      <c r="D8662" t="s">
        <v>20</v>
      </c>
      <c r="E8662" t="s">
        <v>39</v>
      </c>
      <c r="F8662">
        <v>0</v>
      </c>
      <c r="G8662">
        <v>0</v>
      </c>
      <c r="H8662">
        <v>1</v>
      </c>
      <c r="I8662" s="3">
        <v>4076.94</v>
      </c>
      <c r="J8662" s="3">
        <v>0</v>
      </c>
      <c r="K8662" t="s">
        <v>1722</v>
      </c>
      <c r="M8662" t="s">
        <v>1723</v>
      </c>
      <c r="N8662" t="s">
        <v>410</v>
      </c>
      <c r="O8662" t="s">
        <v>31</v>
      </c>
      <c r="P8662" t="str">
        <f>"15701"</f>
        <v>15701</v>
      </c>
    </row>
    <row r="8663" spans="1:16" x14ac:dyDescent="0.25">
      <c r="A8663" t="str">
        <f>"1140087F00014    00"</f>
        <v>1140087F00014    00</v>
      </c>
      <c r="B8663" t="s">
        <v>19069</v>
      </c>
      <c r="C8663" t="s">
        <v>19070</v>
      </c>
      <c r="D8663" t="s">
        <v>20</v>
      </c>
      <c r="E8663" t="s">
        <v>39</v>
      </c>
      <c r="F8663">
        <v>0</v>
      </c>
      <c r="G8663">
        <v>0</v>
      </c>
      <c r="H8663">
        <v>1</v>
      </c>
      <c r="I8663" s="3">
        <v>4206.57</v>
      </c>
      <c r="J8663" s="3">
        <v>0</v>
      </c>
      <c r="K8663" t="s">
        <v>2072</v>
      </c>
      <c r="L8663">
        <v>2510</v>
      </c>
      <c r="M8663" t="s">
        <v>2073</v>
      </c>
      <c r="N8663" t="s">
        <v>1745</v>
      </c>
      <c r="O8663" t="s">
        <v>495</v>
      </c>
      <c r="P8663" t="str">
        <f>"92705"</f>
        <v>92705</v>
      </c>
    </row>
    <row r="8664" spans="1:16" x14ac:dyDescent="0.25">
      <c r="A8664" t="str">
        <f>"1140087F00016    00"</f>
        <v>1140087F00016    00</v>
      </c>
      <c r="B8664" t="s">
        <v>19071</v>
      </c>
      <c r="C8664" t="s">
        <v>19072</v>
      </c>
      <c r="D8664" t="s">
        <v>20</v>
      </c>
      <c r="E8664" t="s">
        <v>39</v>
      </c>
      <c r="F8664">
        <v>0</v>
      </c>
      <c r="G8664">
        <v>0</v>
      </c>
      <c r="H8664">
        <v>3</v>
      </c>
      <c r="I8664" s="3">
        <v>8622.75</v>
      </c>
      <c r="J8664" s="3">
        <v>191.61</v>
      </c>
      <c r="K8664" t="s">
        <v>881</v>
      </c>
      <c r="L8664">
        <v>3001</v>
      </c>
      <c r="M8664" t="s">
        <v>330</v>
      </c>
      <c r="N8664" t="s">
        <v>331</v>
      </c>
      <c r="O8664" t="s">
        <v>108</v>
      </c>
      <c r="P8664" t="str">
        <f>"75063"</f>
        <v>75063</v>
      </c>
    </row>
    <row r="8665" spans="1:16" x14ac:dyDescent="0.25">
      <c r="A8665" t="str">
        <f>"1140087F00036    00"</f>
        <v>1140087F00036    00</v>
      </c>
      <c r="B8665" t="s">
        <v>19073</v>
      </c>
      <c r="C8665" t="s">
        <v>19074</v>
      </c>
      <c r="D8665" t="s">
        <v>20</v>
      </c>
      <c r="E8665" t="s">
        <v>21</v>
      </c>
      <c r="F8665">
        <v>0</v>
      </c>
      <c r="G8665">
        <v>0</v>
      </c>
      <c r="H8665">
        <v>1</v>
      </c>
      <c r="I8665" s="3">
        <v>19.52</v>
      </c>
      <c r="J8665" s="3">
        <v>0</v>
      </c>
      <c r="L8665">
        <v>5738</v>
      </c>
      <c r="M8665" t="s">
        <v>19075</v>
      </c>
      <c r="N8665" t="s">
        <v>30</v>
      </c>
      <c r="O8665" t="s">
        <v>31</v>
      </c>
      <c r="P8665" t="str">
        <f>"15206"</f>
        <v>15206</v>
      </c>
    </row>
    <row r="8666" spans="1:16" x14ac:dyDescent="0.25">
      <c r="A8666" t="str">
        <f>"1140087F00085    00"</f>
        <v>1140087F00085    00</v>
      </c>
      <c r="B8666" t="s">
        <v>19076</v>
      </c>
      <c r="C8666" t="s">
        <v>19077</v>
      </c>
      <c r="D8666" t="s">
        <v>20</v>
      </c>
      <c r="E8666" t="s">
        <v>39</v>
      </c>
      <c r="F8666">
        <v>0</v>
      </c>
      <c r="G8666">
        <v>0</v>
      </c>
      <c r="H8666">
        <v>3</v>
      </c>
      <c r="I8666" s="3">
        <v>5489.28</v>
      </c>
      <c r="J8666" s="3">
        <v>365.94</v>
      </c>
      <c r="K8666" t="s">
        <v>19078</v>
      </c>
      <c r="L8666">
        <v>1</v>
      </c>
      <c r="M8666" t="s">
        <v>18561</v>
      </c>
      <c r="N8666" t="s">
        <v>914</v>
      </c>
      <c r="O8666" t="s">
        <v>200</v>
      </c>
      <c r="P8666" t="str">
        <f>"10952"</f>
        <v>10952</v>
      </c>
    </row>
    <row r="8667" spans="1:16" x14ac:dyDescent="0.25">
      <c r="A8667" t="str">
        <f>"1140087F00111    00"</f>
        <v>1140087F00111    00</v>
      </c>
      <c r="B8667" t="s">
        <v>19079</v>
      </c>
      <c r="C8667" t="s">
        <v>19080</v>
      </c>
      <c r="D8667" t="s">
        <v>20</v>
      </c>
      <c r="E8667" t="s">
        <v>39</v>
      </c>
      <c r="F8667">
        <v>0</v>
      </c>
      <c r="G8667">
        <v>0</v>
      </c>
      <c r="H8667">
        <v>1</v>
      </c>
      <c r="I8667" s="3">
        <v>2312.44</v>
      </c>
      <c r="J8667" s="3">
        <v>0</v>
      </c>
      <c r="L8667">
        <v>5673</v>
      </c>
      <c r="M8667" t="s">
        <v>19081</v>
      </c>
      <c r="N8667" t="s">
        <v>30</v>
      </c>
      <c r="O8667" t="s">
        <v>31</v>
      </c>
      <c r="P8667" t="str">
        <f>"15217"</f>
        <v>15217</v>
      </c>
    </row>
    <row r="8668" spans="1:16" x14ac:dyDescent="0.25">
      <c r="A8668" t="str">
        <f>"1140087F00113    00"</f>
        <v>1140087F00113    00</v>
      </c>
      <c r="B8668" t="s">
        <v>19082</v>
      </c>
      <c r="C8668" t="s">
        <v>19083</v>
      </c>
      <c r="E8668" t="s">
        <v>39</v>
      </c>
      <c r="F8668">
        <v>0</v>
      </c>
      <c r="G8668">
        <v>0</v>
      </c>
      <c r="H8668">
        <v>1</v>
      </c>
      <c r="I8668" s="3">
        <v>23.18</v>
      </c>
      <c r="J8668" s="3">
        <v>0.2</v>
      </c>
      <c r="K8668" t="s">
        <v>19084</v>
      </c>
      <c r="L8668">
        <v>1420</v>
      </c>
      <c r="M8668" t="s">
        <v>19085</v>
      </c>
      <c r="N8668" t="s">
        <v>30</v>
      </c>
      <c r="O8668" t="s">
        <v>31</v>
      </c>
      <c r="P8668" t="str">
        <f>"15219"</f>
        <v>15219</v>
      </c>
    </row>
    <row r="8669" spans="1:16" x14ac:dyDescent="0.25">
      <c r="A8669" t="str">
        <f>"1140087F00117    00"</f>
        <v>1140087F00117    00</v>
      </c>
      <c r="B8669" t="s">
        <v>1608</v>
      </c>
      <c r="C8669" t="s">
        <v>19086</v>
      </c>
      <c r="D8669" t="s">
        <v>20</v>
      </c>
      <c r="E8669" t="s">
        <v>39</v>
      </c>
      <c r="F8669">
        <v>0</v>
      </c>
      <c r="G8669">
        <v>0</v>
      </c>
      <c r="H8669">
        <v>5</v>
      </c>
      <c r="I8669" s="3">
        <v>14352.54</v>
      </c>
      <c r="J8669" s="3">
        <v>4951.33</v>
      </c>
      <c r="L8669">
        <v>5871</v>
      </c>
      <c r="M8669" t="s">
        <v>1610</v>
      </c>
      <c r="N8669" t="s">
        <v>30</v>
      </c>
      <c r="O8669" t="s">
        <v>31</v>
      </c>
      <c r="P8669" t="str">
        <f>"15217"</f>
        <v>15217</v>
      </c>
    </row>
    <row r="8670" spans="1:16" x14ac:dyDescent="0.25">
      <c r="A8670" t="str">
        <f>"1140087F00140    00"</f>
        <v>1140087F00140    00</v>
      </c>
      <c r="B8670" t="s">
        <v>19087</v>
      </c>
      <c r="C8670" t="s">
        <v>19088</v>
      </c>
      <c r="E8670" t="s">
        <v>39</v>
      </c>
      <c r="F8670">
        <v>0</v>
      </c>
      <c r="G8670">
        <v>0</v>
      </c>
      <c r="H8670">
        <v>4</v>
      </c>
      <c r="I8670" s="3">
        <v>6443.82</v>
      </c>
      <c r="J8670" s="3">
        <v>160.29</v>
      </c>
      <c r="K8670" t="s">
        <v>19089</v>
      </c>
      <c r="L8670">
        <v>20</v>
      </c>
      <c r="M8670" t="s">
        <v>19090</v>
      </c>
      <c r="N8670" t="s">
        <v>30</v>
      </c>
      <c r="O8670" t="s">
        <v>31</v>
      </c>
      <c r="P8670" t="str">
        <f>"15222"</f>
        <v>15222</v>
      </c>
    </row>
    <row r="8671" spans="1:16" x14ac:dyDescent="0.25">
      <c r="A8671" t="str">
        <f>"1140087F00243    00"</f>
        <v>1140087F00243    00</v>
      </c>
      <c r="B8671" t="s">
        <v>19091</v>
      </c>
      <c r="C8671" t="s">
        <v>19092</v>
      </c>
      <c r="D8671" t="s">
        <v>20</v>
      </c>
      <c r="E8671" t="s">
        <v>39</v>
      </c>
      <c r="F8671">
        <v>0</v>
      </c>
      <c r="G8671">
        <v>0</v>
      </c>
      <c r="H8671">
        <v>6</v>
      </c>
      <c r="I8671" s="3">
        <v>9504.43</v>
      </c>
      <c r="J8671" s="3">
        <v>1362.33</v>
      </c>
      <c r="L8671">
        <v>5606</v>
      </c>
      <c r="M8671" t="s">
        <v>7008</v>
      </c>
      <c r="N8671" t="s">
        <v>30</v>
      </c>
      <c r="O8671" t="s">
        <v>31</v>
      </c>
      <c r="P8671" t="str">
        <f>"15217"</f>
        <v>15217</v>
      </c>
    </row>
    <row r="8672" spans="1:16" x14ac:dyDescent="0.25">
      <c r="A8672" t="str">
        <f>"1140087G00030    00"</f>
        <v>1140087G00030    00</v>
      </c>
      <c r="B8672" t="s">
        <v>19093</v>
      </c>
      <c r="C8672" t="s">
        <v>19094</v>
      </c>
      <c r="E8672" t="s">
        <v>39</v>
      </c>
      <c r="F8672">
        <v>0</v>
      </c>
      <c r="G8672">
        <v>0</v>
      </c>
      <c r="H8672">
        <v>1</v>
      </c>
      <c r="I8672" s="3">
        <v>13.09</v>
      </c>
      <c r="J8672" s="3">
        <v>0</v>
      </c>
      <c r="L8672">
        <v>6436</v>
      </c>
      <c r="M8672" t="s">
        <v>19095</v>
      </c>
      <c r="N8672" t="s">
        <v>30</v>
      </c>
      <c r="O8672" t="s">
        <v>31</v>
      </c>
      <c r="P8672" t="str">
        <f>"15217"</f>
        <v>15217</v>
      </c>
    </row>
    <row r="8673" spans="1:16" x14ac:dyDescent="0.25">
      <c r="A8673" t="str">
        <f>"1140087G00066RU  00"</f>
        <v>1140087G00066RU  00</v>
      </c>
      <c r="B8673" t="s">
        <v>19096</v>
      </c>
      <c r="C8673" t="s">
        <v>19097</v>
      </c>
      <c r="E8673" t="s">
        <v>21</v>
      </c>
      <c r="F8673">
        <v>0</v>
      </c>
      <c r="G8673">
        <v>0</v>
      </c>
      <c r="H8673">
        <v>1</v>
      </c>
      <c r="I8673" s="3">
        <v>17073.099999999999</v>
      </c>
      <c r="J8673" s="3">
        <v>5833.07</v>
      </c>
      <c r="K8673" t="s">
        <v>241</v>
      </c>
      <c r="L8673">
        <v>5824</v>
      </c>
      <c r="M8673" t="s">
        <v>242</v>
      </c>
      <c r="N8673" t="s">
        <v>30</v>
      </c>
      <c r="O8673" t="s">
        <v>31</v>
      </c>
      <c r="P8673" t="str">
        <f>"15217"</f>
        <v>15217</v>
      </c>
    </row>
    <row r="8674" spans="1:16" x14ac:dyDescent="0.25">
      <c r="A8674" t="str">
        <f>"1140087G00089    00"</f>
        <v>1140087G00089    00</v>
      </c>
      <c r="B8674" t="s">
        <v>19098</v>
      </c>
      <c r="C8674" t="s">
        <v>19099</v>
      </c>
      <c r="E8674" t="s">
        <v>39</v>
      </c>
      <c r="F8674">
        <v>0</v>
      </c>
      <c r="G8674">
        <v>0</v>
      </c>
      <c r="H8674">
        <v>1</v>
      </c>
      <c r="I8674" s="3">
        <v>2510.39</v>
      </c>
      <c r="J8674" s="3">
        <v>83.68</v>
      </c>
      <c r="K8674" t="s">
        <v>19100</v>
      </c>
      <c r="L8674">
        <v>357</v>
      </c>
      <c r="M8674" t="s">
        <v>4767</v>
      </c>
      <c r="N8674" t="s">
        <v>15985</v>
      </c>
      <c r="O8674" t="s">
        <v>31</v>
      </c>
      <c r="P8674" t="str">
        <f>"15137"</f>
        <v>15137</v>
      </c>
    </row>
    <row r="8675" spans="1:16" x14ac:dyDescent="0.25">
      <c r="A8675" t="str">
        <f>"1140087G0015500CU00"</f>
        <v>1140087G0015500CU00</v>
      </c>
      <c r="B8675" t="s">
        <v>19101</v>
      </c>
      <c r="C8675" t="s">
        <v>19102</v>
      </c>
      <c r="D8675" t="s">
        <v>20</v>
      </c>
      <c r="E8675" t="s">
        <v>39</v>
      </c>
      <c r="F8675">
        <v>0</v>
      </c>
      <c r="G8675">
        <v>0</v>
      </c>
      <c r="H8675">
        <v>1</v>
      </c>
      <c r="I8675" s="3">
        <v>4938.46</v>
      </c>
      <c r="J8675" s="3">
        <v>0</v>
      </c>
      <c r="L8675">
        <v>611</v>
      </c>
      <c r="M8675" t="s">
        <v>227</v>
      </c>
      <c r="N8675" t="s">
        <v>30</v>
      </c>
      <c r="O8675" t="s">
        <v>31</v>
      </c>
      <c r="P8675" t="str">
        <f>"15219"</f>
        <v>15219</v>
      </c>
    </row>
    <row r="8676" spans="1:16" x14ac:dyDescent="0.25">
      <c r="A8676" t="str">
        <f>"1140087G0015500RU00"</f>
        <v>1140087G0015500RU00</v>
      </c>
      <c r="B8676" t="s">
        <v>19103</v>
      </c>
      <c r="C8676" t="s">
        <v>19104</v>
      </c>
      <c r="D8676" t="s">
        <v>20</v>
      </c>
      <c r="E8676" t="s">
        <v>39</v>
      </c>
      <c r="F8676">
        <v>0</v>
      </c>
      <c r="G8676">
        <v>0</v>
      </c>
      <c r="H8676">
        <v>1</v>
      </c>
      <c r="I8676" s="3">
        <v>4936.54</v>
      </c>
      <c r="J8676" s="3">
        <v>0</v>
      </c>
      <c r="L8676">
        <v>5824</v>
      </c>
      <c r="M8676" t="s">
        <v>242</v>
      </c>
      <c r="N8676" t="s">
        <v>30</v>
      </c>
      <c r="O8676" t="s">
        <v>31</v>
      </c>
      <c r="P8676" t="str">
        <f>"15217"</f>
        <v>15217</v>
      </c>
    </row>
    <row r="8677" spans="1:16" x14ac:dyDescent="0.25">
      <c r="A8677" t="str">
        <f>"1140087G00214    00"</f>
        <v>1140087G00214    00</v>
      </c>
      <c r="B8677" t="s">
        <v>19105</v>
      </c>
      <c r="C8677" t="s">
        <v>19106</v>
      </c>
      <c r="D8677" t="s">
        <v>20</v>
      </c>
      <c r="E8677" t="s">
        <v>39</v>
      </c>
      <c r="F8677">
        <v>0</v>
      </c>
      <c r="G8677">
        <v>0</v>
      </c>
      <c r="H8677">
        <v>1</v>
      </c>
      <c r="I8677" s="3">
        <v>870.76</v>
      </c>
      <c r="J8677" s="3">
        <v>0</v>
      </c>
      <c r="L8677">
        <v>2345</v>
      </c>
      <c r="M8677" t="s">
        <v>19107</v>
      </c>
      <c r="N8677" t="s">
        <v>30</v>
      </c>
      <c r="O8677" t="s">
        <v>31</v>
      </c>
      <c r="P8677" t="str">
        <f>"15217"</f>
        <v>15217</v>
      </c>
    </row>
    <row r="8678" spans="1:16" x14ac:dyDescent="0.25">
      <c r="A8678" t="str">
        <f>"1140087G00216    00"</f>
        <v>1140087G00216    00</v>
      </c>
      <c r="B8678" t="s">
        <v>19108</v>
      </c>
      <c r="C8678" t="s">
        <v>19109</v>
      </c>
      <c r="D8678" t="s">
        <v>20</v>
      </c>
      <c r="E8678" t="s">
        <v>39</v>
      </c>
      <c r="F8678">
        <v>0</v>
      </c>
      <c r="G8678">
        <v>0</v>
      </c>
      <c r="H8678">
        <v>1</v>
      </c>
      <c r="I8678" s="3">
        <v>1096.8499999999999</v>
      </c>
      <c r="J8678" s="3">
        <v>0</v>
      </c>
      <c r="K8678" t="s">
        <v>19110</v>
      </c>
      <c r="L8678">
        <v>2339</v>
      </c>
      <c r="M8678" t="s">
        <v>19107</v>
      </c>
      <c r="N8678" t="s">
        <v>30</v>
      </c>
      <c r="O8678" t="s">
        <v>31</v>
      </c>
      <c r="P8678" t="str">
        <f>"15217"</f>
        <v>15217</v>
      </c>
    </row>
    <row r="8679" spans="1:16" x14ac:dyDescent="0.25">
      <c r="A8679" t="str">
        <f>"1140087G00266    00"</f>
        <v>1140087G00266    00</v>
      </c>
      <c r="B8679" t="s">
        <v>19111</v>
      </c>
      <c r="C8679" t="s">
        <v>19112</v>
      </c>
      <c r="D8679" t="s">
        <v>20</v>
      </c>
      <c r="E8679" t="s">
        <v>39</v>
      </c>
      <c r="F8679">
        <v>0</v>
      </c>
      <c r="G8679">
        <v>0</v>
      </c>
      <c r="H8679">
        <v>4</v>
      </c>
      <c r="I8679" s="3">
        <v>1829.34</v>
      </c>
      <c r="J8679" s="3">
        <v>431.73</v>
      </c>
      <c r="L8679">
        <v>2333</v>
      </c>
      <c r="M8679" t="s">
        <v>19113</v>
      </c>
      <c r="N8679" t="s">
        <v>30</v>
      </c>
      <c r="O8679" t="s">
        <v>31</v>
      </c>
      <c r="P8679" t="str">
        <f>"15217"</f>
        <v>15217</v>
      </c>
    </row>
    <row r="8680" spans="1:16" x14ac:dyDescent="0.25">
      <c r="A8680" t="str">
        <f>"1140087H00007    00"</f>
        <v>1140087H00007    00</v>
      </c>
      <c r="B8680" t="s">
        <v>19114</v>
      </c>
      <c r="C8680" t="s">
        <v>19115</v>
      </c>
      <c r="D8680" t="s">
        <v>20</v>
      </c>
      <c r="E8680" t="s">
        <v>39</v>
      </c>
      <c r="F8680">
        <v>0</v>
      </c>
      <c r="G8680">
        <v>0</v>
      </c>
      <c r="H8680">
        <v>3</v>
      </c>
      <c r="I8680" s="3">
        <v>9017.31</v>
      </c>
      <c r="J8680" s="3">
        <v>200.38</v>
      </c>
      <c r="K8680" t="s">
        <v>19116</v>
      </c>
      <c r="L8680">
        <v>9400</v>
      </c>
      <c r="M8680" t="s">
        <v>19117</v>
      </c>
      <c r="N8680" t="s">
        <v>19118</v>
      </c>
      <c r="O8680" t="s">
        <v>3263</v>
      </c>
      <c r="P8680" t="str">
        <f>"97005"</f>
        <v>97005</v>
      </c>
    </row>
    <row r="8681" spans="1:16" x14ac:dyDescent="0.25">
      <c r="A8681" t="str">
        <f>"1140087H00017    00"</f>
        <v>1140087H00017    00</v>
      </c>
      <c r="B8681" t="s">
        <v>19119</v>
      </c>
      <c r="C8681" t="s">
        <v>19120</v>
      </c>
      <c r="D8681" t="s">
        <v>20</v>
      </c>
      <c r="E8681" t="s">
        <v>39</v>
      </c>
      <c r="F8681">
        <v>0</v>
      </c>
      <c r="G8681">
        <v>0</v>
      </c>
      <c r="H8681">
        <v>3</v>
      </c>
      <c r="I8681" s="3">
        <v>12551.04</v>
      </c>
      <c r="J8681" s="3">
        <v>104.58</v>
      </c>
      <c r="K8681" t="s">
        <v>5352</v>
      </c>
      <c r="L8681">
        <v>3001</v>
      </c>
      <c r="M8681" t="s">
        <v>330</v>
      </c>
      <c r="N8681" t="s">
        <v>331</v>
      </c>
      <c r="O8681" t="s">
        <v>108</v>
      </c>
      <c r="P8681" t="str">
        <f>"75063"</f>
        <v>75063</v>
      </c>
    </row>
    <row r="8682" spans="1:16" x14ac:dyDescent="0.25">
      <c r="A8682" t="str">
        <f>"1140087H00034    00"</f>
        <v>1140087H00034    00</v>
      </c>
      <c r="B8682" t="s">
        <v>18923</v>
      </c>
      <c r="C8682" t="s">
        <v>19121</v>
      </c>
      <c r="D8682" t="s">
        <v>20</v>
      </c>
      <c r="E8682" t="s">
        <v>39</v>
      </c>
      <c r="F8682">
        <v>0</v>
      </c>
      <c r="G8682">
        <v>0</v>
      </c>
      <c r="H8682">
        <v>1</v>
      </c>
      <c r="I8682" s="3">
        <v>2848.04</v>
      </c>
      <c r="J8682" s="3">
        <v>0</v>
      </c>
      <c r="K8682" t="s">
        <v>18925</v>
      </c>
      <c r="L8682">
        <v>2300</v>
      </c>
      <c r="M8682" t="s">
        <v>19122</v>
      </c>
      <c r="N8682" t="s">
        <v>30</v>
      </c>
      <c r="O8682" t="s">
        <v>31</v>
      </c>
      <c r="P8682" t="str">
        <f>"15217"</f>
        <v>15217</v>
      </c>
    </row>
    <row r="8683" spans="1:16" x14ac:dyDescent="0.25">
      <c r="A8683" t="str">
        <f>"1140087H00041    00"</f>
        <v>1140087H00041    00</v>
      </c>
      <c r="B8683" t="s">
        <v>19047</v>
      </c>
      <c r="C8683" t="s">
        <v>19123</v>
      </c>
      <c r="D8683" t="s">
        <v>20</v>
      </c>
      <c r="E8683" t="s">
        <v>39</v>
      </c>
      <c r="F8683">
        <v>0</v>
      </c>
      <c r="G8683">
        <v>0</v>
      </c>
      <c r="H8683">
        <v>1</v>
      </c>
      <c r="I8683" s="3">
        <v>3021.65</v>
      </c>
      <c r="J8683" s="3">
        <v>0</v>
      </c>
      <c r="K8683" t="s">
        <v>19124</v>
      </c>
      <c r="L8683">
        <v>5880</v>
      </c>
      <c r="M8683" t="s">
        <v>18934</v>
      </c>
      <c r="N8683" t="s">
        <v>30</v>
      </c>
      <c r="O8683" t="s">
        <v>31</v>
      </c>
      <c r="P8683" t="str">
        <f>"15217"</f>
        <v>15217</v>
      </c>
    </row>
    <row r="8684" spans="1:16" x14ac:dyDescent="0.25">
      <c r="A8684" t="str">
        <f>"1140087H00054    00"</f>
        <v>1140087H00054    00</v>
      </c>
      <c r="B8684" t="s">
        <v>19125</v>
      </c>
      <c r="C8684" t="s">
        <v>19126</v>
      </c>
      <c r="E8684" t="s">
        <v>39</v>
      </c>
      <c r="F8684">
        <v>0</v>
      </c>
      <c r="G8684">
        <v>0</v>
      </c>
      <c r="H8684">
        <v>1</v>
      </c>
      <c r="I8684" s="3">
        <v>1593.93</v>
      </c>
      <c r="J8684" s="3">
        <v>39.840000000000003</v>
      </c>
      <c r="K8684" t="s">
        <v>5324</v>
      </c>
      <c r="L8684">
        <v>2160</v>
      </c>
      <c r="M8684" t="s">
        <v>19127</v>
      </c>
      <c r="N8684" t="s">
        <v>212</v>
      </c>
      <c r="O8684" t="s">
        <v>25</v>
      </c>
      <c r="P8684" t="str">
        <f>"44114"</f>
        <v>44114</v>
      </c>
    </row>
    <row r="8685" spans="1:16" x14ac:dyDescent="0.25">
      <c r="A8685" t="str">
        <f>"1140087H00068    00"</f>
        <v>1140087H00068    00</v>
      </c>
      <c r="B8685" t="s">
        <v>19128</v>
      </c>
      <c r="C8685" t="s">
        <v>19129</v>
      </c>
      <c r="E8685" t="s">
        <v>39</v>
      </c>
      <c r="F8685">
        <v>0</v>
      </c>
      <c r="G8685">
        <v>0</v>
      </c>
      <c r="H8685">
        <v>1</v>
      </c>
      <c r="I8685" s="3">
        <v>2666.15</v>
      </c>
      <c r="J8685" s="3">
        <v>533.22</v>
      </c>
      <c r="K8685" t="s">
        <v>19130</v>
      </c>
      <c r="L8685">
        <v>6419</v>
      </c>
      <c r="M8685" t="s">
        <v>19095</v>
      </c>
      <c r="N8685" t="s">
        <v>30</v>
      </c>
      <c r="O8685" t="s">
        <v>31</v>
      </c>
      <c r="P8685" t="str">
        <f>"15217"</f>
        <v>15217</v>
      </c>
    </row>
    <row r="8686" spans="1:16" x14ac:dyDescent="0.25">
      <c r="A8686" t="str">
        <f>"1140087H00209    00"</f>
        <v>1140087H00209    00</v>
      </c>
      <c r="B8686" t="s">
        <v>19131</v>
      </c>
      <c r="C8686" t="s">
        <v>19132</v>
      </c>
      <c r="D8686" t="s">
        <v>20</v>
      </c>
      <c r="E8686" t="s">
        <v>39</v>
      </c>
      <c r="F8686">
        <v>0</v>
      </c>
      <c r="G8686">
        <v>0</v>
      </c>
      <c r="H8686">
        <v>1</v>
      </c>
      <c r="I8686" s="3">
        <v>2820.9</v>
      </c>
      <c r="J8686" s="3">
        <v>0</v>
      </c>
      <c r="K8686" t="s">
        <v>19133</v>
      </c>
      <c r="L8686">
        <v>502</v>
      </c>
      <c r="M8686" t="s">
        <v>9196</v>
      </c>
      <c r="N8686" t="s">
        <v>9197</v>
      </c>
      <c r="O8686" t="s">
        <v>31</v>
      </c>
      <c r="P8686" t="str">
        <f>"16502"</f>
        <v>16502</v>
      </c>
    </row>
    <row r="8687" spans="1:16" x14ac:dyDescent="0.25">
      <c r="A8687" t="str">
        <f>"1140087K00157    00"</f>
        <v>1140087K00157    00</v>
      </c>
      <c r="B8687" t="s">
        <v>9909</v>
      </c>
      <c r="C8687" t="s">
        <v>19134</v>
      </c>
      <c r="E8687" t="s">
        <v>39</v>
      </c>
      <c r="F8687">
        <v>0</v>
      </c>
      <c r="G8687">
        <v>0</v>
      </c>
      <c r="H8687">
        <v>1</v>
      </c>
      <c r="I8687" s="3">
        <v>1242.31</v>
      </c>
      <c r="J8687" s="3">
        <v>0</v>
      </c>
      <c r="L8687">
        <v>5524</v>
      </c>
      <c r="M8687" t="s">
        <v>9908</v>
      </c>
      <c r="N8687" t="s">
        <v>30</v>
      </c>
      <c r="O8687" t="s">
        <v>31</v>
      </c>
      <c r="P8687" t="str">
        <f>"15206"</f>
        <v>15206</v>
      </c>
    </row>
    <row r="8688" spans="1:16" x14ac:dyDescent="0.25">
      <c r="A8688" t="str">
        <f>"1140087L00010    00"</f>
        <v>1140087L00010    00</v>
      </c>
      <c r="B8688" t="s">
        <v>5881</v>
      </c>
      <c r="C8688" t="s">
        <v>19135</v>
      </c>
      <c r="E8688" t="s">
        <v>21</v>
      </c>
      <c r="F8688">
        <v>0</v>
      </c>
      <c r="G8688">
        <v>0</v>
      </c>
      <c r="H8688">
        <v>2</v>
      </c>
      <c r="I8688" s="3">
        <v>102.09</v>
      </c>
      <c r="J8688" s="3">
        <v>8.56</v>
      </c>
      <c r="K8688" t="s">
        <v>5883</v>
      </c>
      <c r="M8688" t="s">
        <v>5884</v>
      </c>
      <c r="N8688" t="s">
        <v>30</v>
      </c>
      <c r="O8688" t="s">
        <v>31</v>
      </c>
      <c r="P8688" t="str">
        <f>"15235"</f>
        <v>15235</v>
      </c>
    </row>
    <row r="8689" spans="1:16" x14ac:dyDescent="0.25">
      <c r="A8689" t="str">
        <f>"1140087L00022    00"</f>
        <v>1140087L00022    00</v>
      </c>
      <c r="B8689" t="s">
        <v>19136</v>
      </c>
      <c r="C8689" t="s">
        <v>19137</v>
      </c>
      <c r="E8689" t="s">
        <v>21</v>
      </c>
      <c r="F8689">
        <v>0</v>
      </c>
      <c r="G8689">
        <v>0</v>
      </c>
      <c r="H8689">
        <v>2</v>
      </c>
      <c r="I8689" s="3">
        <v>1936.5</v>
      </c>
      <c r="J8689" s="3">
        <v>40.340000000000003</v>
      </c>
      <c r="K8689" t="s">
        <v>19138</v>
      </c>
      <c r="L8689">
        <v>301</v>
      </c>
      <c r="M8689" t="s">
        <v>19139</v>
      </c>
      <c r="N8689" t="s">
        <v>139</v>
      </c>
      <c r="O8689" t="s">
        <v>31</v>
      </c>
      <c r="P8689" t="str">
        <f>"15090"</f>
        <v>15090</v>
      </c>
    </row>
    <row r="8690" spans="1:16" x14ac:dyDescent="0.25">
      <c r="A8690" t="str">
        <f>"1140087L00049020500"</f>
        <v>1140087L00049020500</v>
      </c>
      <c r="B8690" t="s">
        <v>19140</v>
      </c>
      <c r="C8690" t="s">
        <v>19141</v>
      </c>
      <c r="D8690" t="s">
        <v>20</v>
      </c>
      <c r="E8690" t="s">
        <v>39</v>
      </c>
      <c r="F8690">
        <v>0</v>
      </c>
      <c r="G8690">
        <v>0</v>
      </c>
      <c r="H8690">
        <v>2</v>
      </c>
      <c r="I8690" s="3">
        <v>1142.67</v>
      </c>
      <c r="J8690" s="3">
        <v>0</v>
      </c>
      <c r="K8690" t="s">
        <v>19142</v>
      </c>
      <c r="L8690">
        <v>21310</v>
      </c>
      <c r="M8690" t="s">
        <v>19143</v>
      </c>
      <c r="N8690" t="s">
        <v>19144</v>
      </c>
      <c r="O8690" t="s">
        <v>1184</v>
      </c>
      <c r="P8690" t="str">
        <f>"21713"</f>
        <v>21713</v>
      </c>
    </row>
    <row r="8691" spans="1:16" x14ac:dyDescent="0.25">
      <c r="A8691" t="str">
        <f>"1140087L00049020900"</f>
        <v>1140087L00049020900</v>
      </c>
      <c r="B8691" t="s">
        <v>19145</v>
      </c>
      <c r="C8691" t="s">
        <v>19146</v>
      </c>
      <c r="E8691" t="s">
        <v>39</v>
      </c>
      <c r="F8691">
        <v>0</v>
      </c>
      <c r="G8691">
        <v>0</v>
      </c>
      <c r="H8691">
        <v>2</v>
      </c>
      <c r="I8691" s="3">
        <v>1647.49</v>
      </c>
      <c r="J8691" s="3">
        <v>389.25</v>
      </c>
      <c r="L8691">
        <v>5841</v>
      </c>
      <c r="M8691" t="s">
        <v>19147</v>
      </c>
      <c r="N8691" t="s">
        <v>30</v>
      </c>
      <c r="O8691" t="s">
        <v>31</v>
      </c>
      <c r="P8691" t="str">
        <f>"15217"</f>
        <v>15217</v>
      </c>
    </row>
    <row r="8692" spans="1:16" x14ac:dyDescent="0.25">
      <c r="A8692" t="str">
        <f>"1140087L00049021000"</f>
        <v>1140087L00049021000</v>
      </c>
      <c r="B8692" t="s">
        <v>19148</v>
      </c>
      <c r="C8692" t="s">
        <v>19149</v>
      </c>
      <c r="D8692" t="s">
        <v>20</v>
      </c>
      <c r="E8692" t="s">
        <v>39</v>
      </c>
      <c r="F8692">
        <v>0</v>
      </c>
      <c r="G8692">
        <v>0</v>
      </c>
      <c r="H8692">
        <v>1</v>
      </c>
      <c r="I8692" s="3">
        <v>1321.32</v>
      </c>
      <c r="J8692" s="3">
        <v>0</v>
      </c>
      <c r="K8692" t="s">
        <v>19150</v>
      </c>
      <c r="L8692">
        <v>1431</v>
      </c>
      <c r="M8692" t="s">
        <v>19151</v>
      </c>
      <c r="N8692" t="s">
        <v>19152</v>
      </c>
      <c r="O8692" t="s">
        <v>3486</v>
      </c>
      <c r="P8692" t="str">
        <f>"60515"</f>
        <v>60515</v>
      </c>
    </row>
    <row r="8693" spans="1:16" x14ac:dyDescent="0.25">
      <c r="A8693" t="str">
        <f>"1140087L00073    00"</f>
        <v>1140087L00073    00</v>
      </c>
      <c r="B8693" t="s">
        <v>19153</v>
      </c>
      <c r="C8693" t="s">
        <v>19154</v>
      </c>
      <c r="E8693" t="s">
        <v>39</v>
      </c>
      <c r="F8693">
        <v>0</v>
      </c>
      <c r="G8693">
        <v>0</v>
      </c>
      <c r="H8693">
        <v>1</v>
      </c>
      <c r="I8693" s="3">
        <v>2623.95</v>
      </c>
      <c r="J8693" s="3">
        <v>830.89</v>
      </c>
      <c r="K8693" t="s">
        <v>5294</v>
      </c>
      <c r="L8693">
        <v>5514</v>
      </c>
      <c r="M8693" t="s">
        <v>5295</v>
      </c>
      <c r="N8693" t="s">
        <v>30</v>
      </c>
      <c r="O8693" t="s">
        <v>31</v>
      </c>
      <c r="P8693" t="str">
        <f>"15217"</f>
        <v>15217</v>
      </c>
    </row>
    <row r="8694" spans="1:16" x14ac:dyDescent="0.25">
      <c r="A8694" t="str">
        <f>"1140087L00080    00"</f>
        <v>1140087L00080    00</v>
      </c>
      <c r="B8694" t="s">
        <v>19153</v>
      </c>
      <c r="C8694" t="s">
        <v>19155</v>
      </c>
      <c r="D8694" t="s">
        <v>20</v>
      </c>
      <c r="E8694" t="s">
        <v>39</v>
      </c>
      <c r="F8694">
        <v>0</v>
      </c>
      <c r="G8694">
        <v>0</v>
      </c>
      <c r="H8694">
        <v>1</v>
      </c>
      <c r="I8694" s="3">
        <v>186.27</v>
      </c>
      <c r="J8694" s="3">
        <v>74.510000000000005</v>
      </c>
      <c r="K8694" t="s">
        <v>5294</v>
      </c>
      <c r="L8694">
        <v>5514</v>
      </c>
      <c r="M8694" t="s">
        <v>5295</v>
      </c>
      <c r="N8694" t="s">
        <v>30</v>
      </c>
      <c r="O8694" t="s">
        <v>31</v>
      </c>
      <c r="P8694" t="str">
        <f>"15217"</f>
        <v>15217</v>
      </c>
    </row>
    <row r="8695" spans="1:16" x14ac:dyDescent="0.25">
      <c r="A8695" t="str">
        <f>"1140087L00112    00"</f>
        <v>1140087L00112    00</v>
      </c>
      <c r="B8695" t="s">
        <v>19156</v>
      </c>
      <c r="C8695" t="s">
        <v>19157</v>
      </c>
      <c r="E8695" t="s">
        <v>39</v>
      </c>
      <c r="F8695">
        <v>0</v>
      </c>
      <c r="G8695">
        <v>0</v>
      </c>
      <c r="H8695">
        <v>2</v>
      </c>
      <c r="I8695" s="3">
        <v>1879.34</v>
      </c>
      <c r="J8695" s="3">
        <v>0</v>
      </c>
      <c r="K8695" t="s">
        <v>400</v>
      </c>
      <c r="L8695">
        <v>3001</v>
      </c>
      <c r="M8695" t="s">
        <v>330</v>
      </c>
      <c r="N8695" t="s">
        <v>331</v>
      </c>
      <c r="O8695" t="s">
        <v>108</v>
      </c>
      <c r="P8695" t="str">
        <f>"75063"</f>
        <v>75063</v>
      </c>
    </row>
    <row r="8696" spans="1:16" x14ac:dyDescent="0.25">
      <c r="A8696" t="str">
        <f>"1140087L00137    00"</f>
        <v>1140087L00137    00</v>
      </c>
      <c r="B8696" t="s">
        <v>19158</v>
      </c>
      <c r="C8696" t="s">
        <v>19159</v>
      </c>
      <c r="E8696" t="s">
        <v>39</v>
      </c>
      <c r="F8696">
        <v>0</v>
      </c>
      <c r="G8696">
        <v>0</v>
      </c>
      <c r="H8696">
        <v>4</v>
      </c>
      <c r="I8696" s="3">
        <v>4771.26</v>
      </c>
      <c r="J8696" s="3">
        <v>29.67</v>
      </c>
      <c r="K8696" t="s">
        <v>19160</v>
      </c>
      <c r="L8696">
        <v>1000</v>
      </c>
      <c r="M8696" t="s">
        <v>19161</v>
      </c>
      <c r="N8696" t="s">
        <v>19162</v>
      </c>
      <c r="O8696" t="s">
        <v>4718</v>
      </c>
      <c r="P8696" t="str">
        <f>"55121"</f>
        <v>55121</v>
      </c>
    </row>
    <row r="8697" spans="1:16" x14ac:dyDescent="0.25">
      <c r="A8697" t="str">
        <f>"1140087L00206    00"</f>
        <v>1140087L00206    00</v>
      </c>
      <c r="B8697" t="s">
        <v>19163</v>
      </c>
      <c r="C8697" t="s">
        <v>19164</v>
      </c>
      <c r="E8697" t="s">
        <v>39</v>
      </c>
      <c r="F8697">
        <v>0</v>
      </c>
      <c r="G8697">
        <v>0</v>
      </c>
      <c r="H8697">
        <v>2</v>
      </c>
      <c r="I8697" s="3">
        <v>5052.8500000000004</v>
      </c>
      <c r="J8697" s="3">
        <v>345.54</v>
      </c>
      <c r="K8697" t="s">
        <v>19165</v>
      </c>
      <c r="L8697">
        <v>6361</v>
      </c>
      <c r="M8697" t="s">
        <v>19166</v>
      </c>
      <c r="N8697" t="s">
        <v>30</v>
      </c>
      <c r="O8697" t="s">
        <v>31</v>
      </c>
      <c r="P8697" t="str">
        <f>"15217"</f>
        <v>15217</v>
      </c>
    </row>
    <row r="8698" spans="1:16" x14ac:dyDescent="0.25">
      <c r="A8698" t="str">
        <f>"1140087L00316    00"</f>
        <v>1140087L00316    00</v>
      </c>
      <c r="B8698" t="s">
        <v>19167</v>
      </c>
      <c r="C8698" t="s">
        <v>19168</v>
      </c>
      <c r="E8698" t="s">
        <v>39</v>
      </c>
      <c r="F8698">
        <v>0</v>
      </c>
      <c r="G8698">
        <v>0</v>
      </c>
      <c r="H8698">
        <v>2</v>
      </c>
      <c r="I8698" s="3">
        <v>2616.85</v>
      </c>
      <c r="J8698" s="3">
        <v>222.34</v>
      </c>
      <c r="L8698">
        <v>6342</v>
      </c>
      <c r="M8698" t="s">
        <v>19169</v>
      </c>
      <c r="N8698" t="s">
        <v>30</v>
      </c>
      <c r="O8698" t="s">
        <v>31</v>
      </c>
      <c r="P8698" t="str">
        <f>"15217"</f>
        <v>15217</v>
      </c>
    </row>
    <row r="8699" spans="1:16" x14ac:dyDescent="0.25">
      <c r="A8699" t="str">
        <f>"1140087L00322    00"</f>
        <v>1140087L00322    00</v>
      </c>
      <c r="B8699" t="s">
        <v>19170</v>
      </c>
      <c r="C8699" t="s">
        <v>19171</v>
      </c>
      <c r="E8699" t="s">
        <v>39</v>
      </c>
      <c r="F8699">
        <v>0</v>
      </c>
      <c r="G8699">
        <v>0</v>
      </c>
      <c r="H8699">
        <v>2</v>
      </c>
      <c r="I8699" s="3">
        <v>1517.18</v>
      </c>
      <c r="J8699" s="3">
        <v>18.97</v>
      </c>
      <c r="K8699" t="s">
        <v>4424</v>
      </c>
      <c r="L8699">
        <v>3001</v>
      </c>
      <c r="M8699" t="s">
        <v>330</v>
      </c>
      <c r="N8699" t="s">
        <v>331</v>
      </c>
      <c r="O8699" t="s">
        <v>108</v>
      </c>
      <c r="P8699" t="str">
        <f>"75063"</f>
        <v>75063</v>
      </c>
    </row>
    <row r="8700" spans="1:16" x14ac:dyDescent="0.25">
      <c r="A8700" t="str">
        <f>"1140087L00336    00"</f>
        <v>1140087L00336    00</v>
      </c>
      <c r="B8700" t="s">
        <v>19076</v>
      </c>
      <c r="C8700" t="s">
        <v>19172</v>
      </c>
      <c r="D8700" t="s">
        <v>20</v>
      </c>
      <c r="E8700" t="s">
        <v>39</v>
      </c>
      <c r="F8700">
        <v>0</v>
      </c>
      <c r="G8700">
        <v>0</v>
      </c>
      <c r="H8700">
        <v>3</v>
      </c>
      <c r="I8700" s="3">
        <v>5718</v>
      </c>
      <c r="J8700" s="3">
        <v>381.18</v>
      </c>
      <c r="K8700" t="s">
        <v>19078</v>
      </c>
      <c r="L8700">
        <v>1</v>
      </c>
      <c r="M8700" t="s">
        <v>18561</v>
      </c>
      <c r="N8700" t="s">
        <v>914</v>
      </c>
      <c r="O8700" t="s">
        <v>200</v>
      </c>
      <c r="P8700" t="str">
        <f>"10952"</f>
        <v>10952</v>
      </c>
    </row>
    <row r="8701" spans="1:16" x14ac:dyDescent="0.25">
      <c r="A8701" t="str">
        <f>"1140087M00037    00"</f>
        <v>1140087M00037    00</v>
      </c>
      <c r="B8701" t="s">
        <v>19173</v>
      </c>
      <c r="C8701" t="s">
        <v>19174</v>
      </c>
      <c r="D8701" t="s">
        <v>20</v>
      </c>
      <c r="E8701" t="s">
        <v>39</v>
      </c>
      <c r="F8701">
        <v>0</v>
      </c>
      <c r="G8701">
        <v>0</v>
      </c>
      <c r="H8701">
        <v>2</v>
      </c>
      <c r="I8701" s="3">
        <v>4772.68</v>
      </c>
      <c r="J8701" s="3">
        <v>0</v>
      </c>
      <c r="K8701" t="s">
        <v>19175</v>
      </c>
      <c r="L8701">
        <v>6351</v>
      </c>
      <c r="M8701" t="s">
        <v>19169</v>
      </c>
      <c r="N8701" t="s">
        <v>30</v>
      </c>
      <c r="O8701" t="s">
        <v>31</v>
      </c>
      <c r="P8701" t="str">
        <f>"15217"</f>
        <v>15217</v>
      </c>
    </row>
    <row r="8702" spans="1:16" x14ac:dyDescent="0.25">
      <c r="A8702" t="str">
        <f>"1140087M00044    00"</f>
        <v>1140087M00044    00</v>
      </c>
      <c r="B8702" t="s">
        <v>19176</v>
      </c>
      <c r="C8702" t="s">
        <v>19177</v>
      </c>
      <c r="E8702" t="s">
        <v>39</v>
      </c>
      <c r="F8702">
        <v>0</v>
      </c>
      <c r="G8702">
        <v>0</v>
      </c>
      <c r="H8702">
        <v>1</v>
      </c>
      <c r="I8702" s="3">
        <v>338.63</v>
      </c>
      <c r="J8702" s="3">
        <v>0</v>
      </c>
      <c r="K8702" t="s">
        <v>19178</v>
      </c>
      <c r="L8702">
        <v>901</v>
      </c>
      <c r="M8702" t="s">
        <v>1503</v>
      </c>
      <c r="N8702" t="s">
        <v>494</v>
      </c>
      <c r="O8702" t="s">
        <v>495</v>
      </c>
      <c r="P8702" t="str">
        <f>"91768"</f>
        <v>91768</v>
      </c>
    </row>
    <row r="8703" spans="1:16" x14ac:dyDescent="0.25">
      <c r="A8703" t="str">
        <f>"1140087M00101    00"</f>
        <v>1140087M00101    00</v>
      </c>
      <c r="B8703" t="s">
        <v>19076</v>
      </c>
      <c r="C8703" t="s">
        <v>19179</v>
      </c>
      <c r="D8703" t="s">
        <v>20</v>
      </c>
      <c r="E8703" t="s">
        <v>39</v>
      </c>
      <c r="F8703">
        <v>0</v>
      </c>
      <c r="G8703">
        <v>0</v>
      </c>
      <c r="H8703">
        <v>3</v>
      </c>
      <c r="I8703" s="3">
        <v>10864.2</v>
      </c>
      <c r="J8703" s="3">
        <v>724.25</v>
      </c>
      <c r="K8703" t="s">
        <v>19078</v>
      </c>
      <c r="L8703">
        <v>1</v>
      </c>
      <c r="M8703" t="s">
        <v>18561</v>
      </c>
      <c r="N8703" t="s">
        <v>914</v>
      </c>
      <c r="O8703" t="s">
        <v>200</v>
      </c>
      <c r="P8703" t="str">
        <f>"10952"</f>
        <v>10952</v>
      </c>
    </row>
    <row r="8704" spans="1:16" x14ac:dyDescent="0.25">
      <c r="A8704" t="str">
        <f>"1140087M00107    00"</f>
        <v>1140087M00107    00</v>
      </c>
      <c r="B8704" t="s">
        <v>19180</v>
      </c>
      <c r="C8704" t="s">
        <v>19181</v>
      </c>
      <c r="E8704" t="s">
        <v>39</v>
      </c>
      <c r="F8704">
        <v>0</v>
      </c>
      <c r="G8704">
        <v>0</v>
      </c>
      <c r="H8704">
        <v>1</v>
      </c>
      <c r="I8704" s="3">
        <v>35.9</v>
      </c>
      <c r="J8704" s="3">
        <v>11.37</v>
      </c>
      <c r="K8704" t="s">
        <v>1632</v>
      </c>
      <c r="M8704" t="s">
        <v>1633</v>
      </c>
      <c r="N8704" t="s">
        <v>1634</v>
      </c>
      <c r="O8704" t="s">
        <v>25</v>
      </c>
      <c r="P8704" t="str">
        <f>"45401"</f>
        <v>45401</v>
      </c>
    </row>
    <row r="8705" spans="1:16" x14ac:dyDescent="0.25">
      <c r="A8705" t="str">
        <f>"1140087M00135    00"</f>
        <v>1140087M00135    00</v>
      </c>
      <c r="B8705" t="s">
        <v>19182</v>
      </c>
      <c r="C8705" t="s">
        <v>19183</v>
      </c>
      <c r="E8705" t="s">
        <v>39</v>
      </c>
      <c r="F8705">
        <v>0</v>
      </c>
      <c r="G8705">
        <v>0</v>
      </c>
      <c r="H8705">
        <v>2</v>
      </c>
      <c r="I8705" s="3">
        <v>2218.46</v>
      </c>
      <c r="J8705" s="3">
        <v>151.72</v>
      </c>
      <c r="K8705" t="s">
        <v>805</v>
      </c>
      <c r="M8705" t="s">
        <v>7715</v>
      </c>
      <c r="N8705" t="s">
        <v>7716</v>
      </c>
      <c r="O8705" t="s">
        <v>3486</v>
      </c>
      <c r="P8705" t="str">
        <f>"60197"</f>
        <v>60197</v>
      </c>
    </row>
    <row r="8706" spans="1:16" x14ac:dyDescent="0.25">
      <c r="A8706" t="str">
        <f>"1140087M00256    00"</f>
        <v>1140087M00256    00</v>
      </c>
      <c r="B8706" t="s">
        <v>19184</v>
      </c>
      <c r="C8706" t="s">
        <v>19185</v>
      </c>
      <c r="E8706" t="s">
        <v>39</v>
      </c>
      <c r="F8706">
        <v>0</v>
      </c>
      <c r="G8706">
        <v>0</v>
      </c>
      <c r="H8706">
        <v>2</v>
      </c>
      <c r="I8706" s="3">
        <v>7448.66</v>
      </c>
      <c r="J8706" s="3">
        <v>1215.78</v>
      </c>
      <c r="K8706" t="s">
        <v>19186</v>
      </c>
      <c r="L8706">
        <v>2578</v>
      </c>
      <c r="M8706" t="s">
        <v>1695</v>
      </c>
      <c r="N8706" t="s">
        <v>30</v>
      </c>
      <c r="O8706" t="s">
        <v>31</v>
      </c>
      <c r="P8706" t="str">
        <f>"15217"</f>
        <v>15217</v>
      </c>
    </row>
    <row r="8707" spans="1:16" x14ac:dyDescent="0.25">
      <c r="A8707" t="str">
        <f>"1140087P00254    00"</f>
        <v>1140087P00254    00</v>
      </c>
      <c r="B8707" t="s">
        <v>19187</v>
      </c>
      <c r="C8707" t="s">
        <v>19188</v>
      </c>
      <c r="E8707" t="s">
        <v>39</v>
      </c>
      <c r="F8707">
        <v>0</v>
      </c>
      <c r="G8707">
        <v>0</v>
      </c>
      <c r="H8707">
        <v>1</v>
      </c>
      <c r="I8707" s="3">
        <v>1035.25</v>
      </c>
      <c r="J8707" s="3">
        <v>0</v>
      </c>
      <c r="K8707" t="s">
        <v>19189</v>
      </c>
      <c r="L8707">
        <v>22</v>
      </c>
      <c r="M8707" t="s">
        <v>19190</v>
      </c>
      <c r="N8707" t="s">
        <v>5797</v>
      </c>
      <c r="O8707" t="s">
        <v>200</v>
      </c>
      <c r="P8707" t="str">
        <f>"11235"</f>
        <v>11235</v>
      </c>
    </row>
    <row r="8708" spans="1:16" x14ac:dyDescent="0.25">
      <c r="A8708" t="str">
        <f>"1140087P00255    00"</f>
        <v>1140087P00255    00</v>
      </c>
      <c r="B8708" t="s">
        <v>19191</v>
      </c>
      <c r="C8708" t="s">
        <v>19192</v>
      </c>
      <c r="D8708" t="s">
        <v>20</v>
      </c>
      <c r="E8708" t="s">
        <v>39</v>
      </c>
      <c r="F8708">
        <v>0</v>
      </c>
      <c r="G8708">
        <v>0</v>
      </c>
      <c r="H8708">
        <v>5</v>
      </c>
      <c r="I8708" s="3">
        <v>9414.2000000000007</v>
      </c>
      <c r="J8708" s="3">
        <v>1616.22</v>
      </c>
      <c r="K8708" t="s">
        <v>19193</v>
      </c>
      <c r="L8708">
        <v>5715</v>
      </c>
      <c r="M8708" t="s">
        <v>19194</v>
      </c>
      <c r="N8708" t="s">
        <v>30</v>
      </c>
      <c r="O8708" t="s">
        <v>31</v>
      </c>
      <c r="P8708" t="str">
        <f>"15217"</f>
        <v>15217</v>
      </c>
    </row>
    <row r="8709" spans="1:16" x14ac:dyDescent="0.25">
      <c r="A8709" t="str">
        <f>"1140087P00275    00"</f>
        <v>1140087P00275    00</v>
      </c>
      <c r="B8709" t="s">
        <v>19195</v>
      </c>
      <c r="C8709" t="s">
        <v>19196</v>
      </c>
      <c r="E8709" t="s">
        <v>39</v>
      </c>
      <c r="F8709">
        <v>0</v>
      </c>
      <c r="G8709">
        <v>0</v>
      </c>
      <c r="H8709">
        <v>1</v>
      </c>
      <c r="I8709" s="3">
        <v>1731.17</v>
      </c>
      <c r="J8709" s="3">
        <v>0</v>
      </c>
      <c r="K8709" t="s">
        <v>19197</v>
      </c>
      <c r="L8709">
        <v>4025</v>
      </c>
      <c r="M8709" t="s">
        <v>18283</v>
      </c>
      <c r="N8709" t="s">
        <v>30</v>
      </c>
      <c r="O8709" t="s">
        <v>31</v>
      </c>
      <c r="P8709" t="str">
        <f>"15217"</f>
        <v>15217</v>
      </c>
    </row>
    <row r="8710" spans="1:16" x14ac:dyDescent="0.25">
      <c r="A8710" t="str">
        <f>"1140087R00034    00"</f>
        <v>1140087R00034    00</v>
      </c>
      <c r="B8710" t="s">
        <v>19198</v>
      </c>
      <c r="C8710" t="s">
        <v>19199</v>
      </c>
      <c r="D8710" t="s">
        <v>20</v>
      </c>
      <c r="E8710" t="s">
        <v>39</v>
      </c>
      <c r="F8710">
        <v>0</v>
      </c>
      <c r="G8710">
        <v>0</v>
      </c>
      <c r="H8710">
        <v>2</v>
      </c>
      <c r="I8710" s="3">
        <v>4612.5200000000004</v>
      </c>
      <c r="J8710" s="3">
        <v>0</v>
      </c>
      <c r="K8710" t="s">
        <v>19200</v>
      </c>
      <c r="L8710">
        <v>6343</v>
      </c>
      <c r="M8710" t="s">
        <v>19201</v>
      </c>
      <c r="N8710" t="s">
        <v>30</v>
      </c>
      <c r="O8710" t="s">
        <v>31</v>
      </c>
      <c r="P8710" t="str">
        <f>"15217"</f>
        <v>15217</v>
      </c>
    </row>
    <row r="8711" spans="1:16" x14ac:dyDescent="0.25">
      <c r="A8711" t="str">
        <f>"1140087R00043    00"</f>
        <v>1140087R00043    00</v>
      </c>
      <c r="B8711" t="s">
        <v>19202</v>
      </c>
      <c r="C8711" t="s">
        <v>19203</v>
      </c>
      <c r="E8711" t="s">
        <v>39</v>
      </c>
      <c r="F8711">
        <v>0</v>
      </c>
      <c r="G8711">
        <v>0</v>
      </c>
      <c r="H8711">
        <v>1</v>
      </c>
      <c r="I8711" s="3">
        <v>306.08</v>
      </c>
      <c r="J8711" s="3">
        <v>183.64</v>
      </c>
      <c r="L8711">
        <v>6335</v>
      </c>
      <c r="M8711" t="s">
        <v>19201</v>
      </c>
      <c r="N8711" t="s">
        <v>30</v>
      </c>
      <c r="O8711" t="s">
        <v>31</v>
      </c>
      <c r="P8711" t="str">
        <f>"15217"</f>
        <v>15217</v>
      </c>
    </row>
    <row r="8712" spans="1:16" x14ac:dyDescent="0.25">
      <c r="A8712" t="str">
        <f>"1140087R00080    00"</f>
        <v>1140087R00080    00</v>
      </c>
      <c r="B8712" t="s">
        <v>19204</v>
      </c>
      <c r="C8712" t="s">
        <v>19205</v>
      </c>
      <c r="E8712" t="s">
        <v>39</v>
      </c>
      <c r="F8712">
        <v>0</v>
      </c>
      <c r="G8712">
        <v>0</v>
      </c>
      <c r="H8712">
        <v>1</v>
      </c>
      <c r="I8712" s="3">
        <v>3268.8</v>
      </c>
      <c r="J8712" s="3">
        <v>653.74</v>
      </c>
      <c r="L8712">
        <v>6378</v>
      </c>
      <c r="M8712" t="s">
        <v>18654</v>
      </c>
      <c r="N8712" t="s">
        <v>30</v>
      </c>
      <c r="O8712" t="s">
        <v>31</v>
      </c>
      <c r="P8712" t="str">
        <f>"15217"</f>
        <v>15217</v>
      </c>
    </row>
    <row r="8713" spans="1:16" x14ac:dyDescent="0.25">
      <c r="A8713" t="str">
        <f>"1140087R00092    00"</f>
        <v>1140087R00092    00</v>
      </c>
      <c r="B8713" t="s">
        <v>250</v>
      </c>
      <c r="C8713" t="s">
        <v>19206</v>
      </c>
      <c r="D8713" t="s">
        <v>20</v>
      </c>
      <c r="E8713" t="s">
        <v>39</v>
      </c>
      <c r="F8713">
        <v>0</v>
      </c>
      <c r="G8713">
        <v>0</v>
      </c>
      <c r="H8713">
        <v>2</v>
      </c>
      <c r="I8713" s="3">
        <v>15884.2</v>
      </c>
      <c r="J8713" s="3">
        <v>1776.69</v>
      </c>
      <c r="L8713">
        <v>3475</v>
      </c>
      <c r="M8713" t="s">
        <v>252</v>
      </c>
      <c r="N8713" t="s">
        <v>79</v>
      </c>
      <c r="O8713" t="s">
        <v>31</v>
      </c>
      <c r="P8713" t="str">
        <f>"15668"</f>
        <v>15668</v>
      </c>
    </row>
    <row r="8714" spans="1:16" x14ac:dyDescent="0.25">
      <c r="A8714" t="str">
        <f>"1140087R00126    00"</f>
        <v>1140087R00126    00</v>
      </c>
      <c r="B8714" t="s">
        <v>19207</v>
      </c>
      <c r="C8714" t="s">
        <v>19208</v>
      </c>
      <c r="D8714" t="s">
        <v>20</v>
      </c>
      <c r="E8714" t="s">
        <v>39</v>
      </c>
      <c r="F8714">
        <v>0</v>
      </c>
      <c r="G8714">
        <v>0</v>
      </c>
      <c r="H8714">
        <v>1</v>
      </c>
      <c r="I8714" s="3">
        <v>1492.86</v>
      </c>
      <c r="J8714" s="3">
        <v>0</v>
      </c>
      <c r="L8714">
        <v>6329</v>
      </c>
      <c r="M8714" t="s">
        <v>18654</v>
      </c>
      <c r="N8714" t="s">
        <v>30</v>
      </c>
      <c r="O8714" t="s">
        <v>31</v>
      </c>
      <c r="P8714" t="str">
        <f>"15217"</f>
        <v>15217</v>
      </c>
    </row>
    <row r="8715" spans="1:16" x14ac:dyDescent="0.25">
      <c r="A8715" t="str">
        <f>"1140087R00128    00"</f>
        <v>1140087R00128    00</v>
      </c>
      <c r="B8715" t="s">
        <v>19209</v>
      </c>
      <c r="C8715" t="s">
        <v>19210</v>
      </c>
      <c r="D8715" t="s">
        <v>20</v>
      </c>
      <c r="E8715" t="s">
        <v>39</v>
      </c>
      <c r="F8715">
        <v>0</v>
      </c>
      <c r="G8715">
        <v>0</v>
      </c>
      <c r="H8715">
        <v>4</v>
      </c>
      <c r="I8715" s="3">
        <v>8215.5400000000009</v>
      </c>
      <c r="J8715" s="3">
        <v>989.81</v>
      </c>
      <c r="L8715">
        <v>6323</v>
      </c>
      <c r="M8715" t="s">
        <v>18654</v>
      </c>
      <c r="N8715" t="s">
        <v>30</v>
      </c>
      <c r="O8715" t="s">
        <v>31</v>
      </c>
      <c r="P8715" t="str">
        <f>"15217"</f>
        <v>15217</v>
      </c>
    </row>
    <row r="8716" spans="1:16" x14ac:dyDescent="0.25">
      <c r="A8716" t="str">
        <f>"1140087R00137    00"</f>
        <v>1140087R00137    00</v>
      </c>
      <c r="B8716" t="s">
        <v>19211</v>
      </c>
      <c r="C8716" t="s">
        <v>19212</v>
      </c>
      <c r="D8716" t="s">
        <v>20</v>
      </c>
      <c r="E8716" t="s">
        <v>39</v>
      </c>
      <c r="F8716">
        <v>0</v>
      </c>
      <c r="G8716">
        <v>0</v>
      </c>
      <c r="H8716">
        <v>2</v>
      </c>
      <c r="I8716" s="3">
        <v>2792.17</v>
      </c>
      <c r="J8716" s="3">
        <v>23.26</v>
      </c>
      <c r="L8716">
        <v>6308</v>
      </c>
      <c r="M8716" t="s">
        <v>19213</v>
      </c>
      <c r="N8716" t="s">
        <v>30</v>
      </c>
      <c r="O8716" t="s">
        <v>31</v>
      </c>
      <c r="P8716" t="str">
        <f>"15217"</f>
        <v>15217</v>
      </c>
    </row>
    <row r="8717" spans="1:16" x14ac:dyDescent="0.25">
      <c r="A8717" t="str">
        <f>"1140087R00243    00"</f>
        <v>1140087R00243    00</v>
      </c>
      <c r="B8717" t="s">
        <v>19214</v>
      </c>
      <c r="C8717" t="s">
        <v>19215</v>
      </c>
      <c r="D8717" t="s">
        <v>20</v>
      </c>
      <c r="E8717" t="s">
        <v>39</v>
      </c>
      <c r="F8717">
        <v>0</v>
      </c>
      <c r="G8717">
        <v>0</v>
      </c>
      <c r="H8717">
        <v>2</v>
      </c>
      <c r="I8717" s="3">
        <v>8879.18</v>
      </c>
      <c r="J8717" s="3">
        <v>0</v>
      </c>
      <c r="L8717">
        <v>6340</v>
      </c>
      <c r="M8717" t="s">
        <v>19166</v>
      </c>
      <c r="N8717" t="s">
        <v>30</v>
      </c>
      <c r="O8717" t="s">
        <v>31</v>
      </c>
      <c r="P8717" t="str">
        <f>"15217"</f>
        <v>15217</v>
      </c>
    </row>
    <row r="8718" spans="1:16" x14ac:dyDescent="0.25">
      <c r="A8718" t="str">
        <f>"1140087R00285    00"</f>
        <v>1140087R00285    00</v>
      </c>
      <c r="B8718" t="s">
        <v>19216</v>
      </c>
      <c r="C8718" t="s">
        <v>19217</v>
      </c>
      <c r="D8718" t="s">
        <v>20</v>
      </c>
      <c r="E8718" t="s">
        <v>39</v>
      </c>
      <c r="F8718">
        <v>0</v>
      </c>
      <c r="G8718">
        <v>0</v>
      </c>
      <c r="H8718">
        <v>2</v>
      </c>
      <c r="I8718" s="3">
        <v>5616.1</v>
      </c>
      <c r="J8718" s="3">
        <v>0</v>
      </c>
      <c r="L8718">
        <v>6244</v>
      </c>
      <c r="M8718" t="s">
        <v>19213</v>
      </c>
      <c r="N8718" t="s">
        <v>30</v>
      </c>
      <c r="O8718" t="s">
        <v>31</v>
      </c>
      <c r="P8718" t="str">
        <f>"15217"</f>
        <v>15217</v>
      </c>
    </row>
    <row r="8719" spans="1:16" x14ac:dyDescent="0.25">
      <c r="A8719" t="str">
        <f>"1140087R00290A   00"</f>
        <v>1140087R00290A   00</v>
      </c>
      <c r="B8719" t="s">
        <v>19218</v>
      </c>
      <c r="C8719" t="s">
        <v>19219</v>
      </c>
      <c r="D8719" t="s">
        <v>57</v>
      </c>
      <c r="E8719" t="s">
        <v>39</v>
      </c>
      <c r="F8719">
        <v>0</v>
      </c>
      <c r="G8719">
        <v>0</v>
      </c>
      <c r="H8719">
        <v>1</v>
      </c>
      <c r="I8719" s="3">
        <v>2978.53</v>
      </c>
      <c r="J8719" s="3">
        <v>719.78</v>
      </c>
      <c r="K8719" t="s">
        <v>9114</v>
      </c>
      <c r="M8719" t="s">
        <v>9115</v>
      </c>
      <c r="N8719" t="s">
        <v>264</v>
      </c>
      <c r="O8719" t="s">
        <v>25</v>
      </c>
      <c r="P8719" t="str">
        <f>"45263"</f>
        <v>45263</v>
      </c>
    </row>
    <row r="8720" spans="1:16" x14ac:dyDescent="0.25">
      <c r="A8720" t="str">
        <f>"1140087S00023    00"</f>
        <v>1140087S00023    00</v>
      </c>
      <c r="B8720" t="s">
        <v>19220</v>
      </c>
      <c r="C8720" t="s">
        <v>19221</v>
      </c>
      <c r="E8720" t="s">
        <v>39</v>
      </c>
      <c r="F8720">
        <v>0</v>
      </c>
      <c r="G8720">
        <v>0</v>
      </c>
      <c r="H8720">
        <v>1</v>
      </c>
      <c r="I8720" s="3">
        <v>1734.7</v>
      </c>
      <c r="J8720" s="3">
        <v>549.29999999999995</v>
      </c>
      <c r="K8720" t="s">
        <v>7350</v>
      </c>
      <c r="L8720">
        <v>3001</v>
      </c>
      <c r="M8720" t="s">
        <v>330</v>
      </c>
      <c r="N8720" t="s">
        <v>331</v>
      </c>
      <c r="O8720" t="s">
        <v>108</v>
      </c>
      <c r="P8720" t="str">
        <f>"75063"</f>
        <v>75063</v>
      </c>
    </row>
    <row r="8721" spans="1:16" x14ac:dyDescent="0.25">
      <c r="A8721" t="str">
        <f>"1140087S00029    00"</f>
        <v>1140087S00029    00</v>
      </c>
      <c r="B8721" t="s">
        <v>19222</v>
      </c>
      <c r="C8721" t="s">
        <v>19223</v>
      </c>
      <c r="D8721" t="s">
        <v>20</v>
      </c>
      <c r="E8721" t="s">
        <v>39</v>
      </c>
      <c r="F8721">
        <v>0</v>
      </c>
      <c r="G8721">
        <v>0</v>
      </c>
      <c r="H8721">
        <v>1</v>
      </c>
      <c r="I8721" s="3">
        <v>6268.84</v>
      </c>
      <c r="J8721" s="3">
        <v>0</v>
      </c>
      <c r="K8721" t="s">
        <v>1632</v>
      </c>
      <c r="L8721">
        <v>3001</v>
      </c>
      <c r="M8721" t="s">
        <v>330</v>
      </c>
      <c r="N8721" t="s">
        <v>331</v>
      </c>
      <c r="O8721" t="s">
        <v>108</v>
      </c>
      <c r="P8721" t="str">
        <f>"75063"</f>
        <v>75063</v>
      </c>
    </row>
    <row r="8722" spans="1:16" x14ac:dyDescent="0.25">
      <c r="A8722" t="str">
        <f>"1140087S00108    00"</f>
        <v>1140087S00108    00</v>
      </c>
      <c r="B8722" t="s">
        <v>19224</v>
      </c>
      <c r="C8722" t="s">
        <v>19225</v>
      </c>
      <c r="D8722" t="s">
        <v>20</v>
      </c>
      <c r="E8722" t="s">
        <v>39</v>
      </c>
      <c r="F8722">
        <v>0</v>
      </c>
      <c r="G8722">
        <v>0</v>
      </c>
      <c r="H8722">
        <v>2</v>
      </c>
      <c r="I8722" s="3">
        <v>3066.02</v>
      </c>
      <c r="J8722" s="3">
        <v>0</v>
      </c>
      <c r="K8722" t="s">
        <v>19226</v>
      </c>
      <c r="L8722">
        <v>6367</v>
      </c>
      <c r="M8722" t="s">
        <v>19166</v>
      </c>
      <c r="N8722" t="s">
        <v>30</v>
      </c>
      <c r="O8722" t="s">
        <v>31</v>
      </c>
      <c r="P8722" t="str">
        <f>"15217"</f>
        <v>15217</v>
      </c>
    </row>
    <row r="8723" spans="1:16" x14ac:dyDescent="0.25">
      <c r="A8723" t="str">
        <f>"1140087S00148    00"</f>
        <v>1140087S00148    00</v>
      </c>
      <c r="B8723" t="s">
        <v>19227</v>
      </c>
      <c r="C8723" t="s">
        <v>19228</v>
      </c>
      <c r="D8723" t="s">
        <v>57</v>
      </c>
      <c r="E8723" t="s">
        <v>39</v>
      </c>
      <c r="F8723">
        <v>0</v>
      </c>
      <c r="G8723">
        <v>0</v>
      </c>
      <c r="H8723">
        <v>1</v>
      </c>
      <c r="I8723" s="3">
        <v>3158.98</v>
      </c>
      <c r="J8723" s="3">
        <v>1184.57</v>
      </c>
      <c r="K8723" t="s">
        <v>391</v>
      </c>
      <c r="L8723">
        <v>1</v>
      </c>
      <c r="M8723" t="s">
        <v>392</v>
      </c>
      <c r="N8723" t="s">
        <v>393</v>
      </c>
      <c r="O8723" t="s">
        <v>394</v>
      </c>
      <c r="P8723" t="str">
        <f>"50328"</f>
        <v>50328</v>
      </c>
    </row>
    <row r="8724" spans="1:16" x14ac:dyDescent="0.25">
      <c r="A8724" t="str">
        <f>"1140087S00150    00"</f>
        <v>1140087S00150    00</v>
      </c>
      <c r="B8724" t="s">
        <v>19229</v>
      </c>
      <c r="C8724" t="s">
        <v>19230</v>
      </c>
      <c r="D8724" t="s">
        <v>20</v>
      </c>
      <c r="E8724" t="s">
        <v>39</v>
      </c>
      <c r="F8724">
        <v>0</v>
      </c>
      <c r="G8724">
        <v>0</v>
      </c>
      <c r="H8724">
        <v>1</v>
      </c>
      <c r="I8724" s="3">
        <v>4622.5200000000004</v>
      </c>
      <c r="J8724" s="3">
        <v>0</v>
      </c>
      <c r="L8724">
        <v>6434</v>
      </c>
      <c r="M8724" t="s">
        <v>19213</v>
      </c>
      <c r="N8724" t="s">
        <v>30</v>
      </c>
      <c r="O8724" t="s">
        <v>31</v>
      </c>
      <c r="P8724" t="str">
        <f>"15217"</f>
        <v>15217</v>
      </c>
    </row>
    <row r="8725" spans="1:16" x14ac:dyDescent="0.25">
      <c r="A8725" t="str">
        <f>"1140087S00152    00"</f>
        <v>1140087S00152    00</v>
      </c>
      <c r="B8725" t="s">
        <v>19231</v>
      </c>
      <c r="C8725" t="s">
        <v>19232</v>
      </c>
      <c r="D8725" t="s">
        <v>20</v>
      </c>
      <c r="E8725" t="s">
        <v>39</v>
      </c>
      <c r="F8725">
        <v>0</v>
      </c>
      <c r="G8725">
        <v>0</v>
      </c>
      <c r="H8725">
        <v>2</v>
      </c>
      <c r="I8725" s="3">
        <v>1798.31</v>
      </c>
      <c r="J8725" s="3">
        <v>29.7</v>
      </c>
      <c r="K8725" t="s">
        <v>19233</v>
      </c>
      <c r="L8725">
        <v>6430</v>
      </c>
      <c r="M8725" t="s">
        <v>19213</v>
      </c>
      <c r="N8725" t="s">
        <v>30</v>
      </c>
      <c r="O8725" t="s">
        <v>31</v>
      </c>
      <c r="P8725" t="str">
        <f>"15217"</f>
        <v>15217</v>
      </c>
    </row>
    <row r="8726" spans="1:16" x14ac:dyDescent="0.25">
      <c r="A8726" t="str">
        <f>"1140087S00174    00"</f>
        <v>1140087S00174    00</v>
      </c>
      <c r="B8726" t="s">
        <v>19234</v>
      </c>
      <c r="C8726" t="s">
        <v>19235</v>
      </c>
      <c r="D8726" t="s">
        <v>20</v>
      </c>
      <c r="E8726" t="s">
        <v>39</v>
      </c>
      <c r="F8726">
        <v>0</v>
      </c>
      <c r="G8726">
        <v>0</v>
      </c>
      <c r="H8726">
        <v>3</v>
      </c>
      <c r="I8726" s="3">
        <v>7402.07</v>
      </c>
      <c r="J8726" s="3">
        <v>598.39</v>
      </c>
      <c r="L8726">
        <v>2827</v>
      </c>
      <c r="M8726" t="s">
        <v>1695</v>
      </c>
      <c r="N8726" t="s">
        <v>30</v>
      </c>
      <c r="O8726" t="s">
        <v>31</v>
      </c>
      <c r="P8726" t="str">
        <f>"15217"</f>
        <v>15217</v>
      </c>
    </row>
    <row r="8727" spans="1:16" x14ac:dyDescent="0.25">
      <c r="A8727" t="str">
        <f>"1140087S00214    00"</f>
        <v>1140087S00214    00</v>
      </c>
      <c r="B8727" t="s">
        <v>19236</v>
      </c>
      <c r="C8727" t="s">
        <v>19237</v>
      </c>
      <c r="D8727" t="s">
        <v>20</v>
      </c>
      <c r="E8727" t="s">
        <v>39</v>
      </c>
      <c r="F8727">
        <v>0</v>
      </c>
      <c r="G8727">
        <v>0</v>
      </c>
      <c r="H8727">
        <v>2</v>
      </c>
      <c r="I8727" s="3">
        <v>6468.98</v>
      </c>
      <c r="J8727" s="3">
        <v>0</v>
      </c>
      <c r="L8727">
        <v>2916</v>
      </c>
      <c r="M8727" t="s">
        <v>19238</v>
      </c>
      <c r="N8727" t="s">
        <v>30</v>
      </c>
      <c r="O8727" t="s">
        <v>31</v>
      </c>
      <c r="P8727" t="str">
        <f>"15217"</f>
        <v>15217</v>
      </c>
    </row>
    <row r="8728" spans="1:16" x14ac:dyDescent="0.25">
      <c r="A8728" t="str">
        <f>"1140087S00313    00"</f>
        <v>1140087S00313    00</v>
      </c>
      <c r="B8728" t="s">
        <v>19239</v>
      </c>
      <c r="C8728" t="s">
        <v>19240</v>
      </c>
      <c r="E8728" t="s">
        <v>39</v>
      </c>
      <c r="F8728">
        <v>0</v>
      </c>
      <c r="G8728">
        <v>0</v>
      </c>
      <c r="H8728">
        <v>1</v>
      </c>
      <c r="I8728" s="3">
        <v>2003.76</v>
      </c>
      <c r="J8728" s="3">
        <v>1402.58</v>
      </c>
      <c r="K8728" t="s">
        <v>391</v>
      </c>
      <c r="L8728">
        <v>1</v>
      </c>
      <c r="M8728" t="s">
        <v>392</v>
      </c>
      <c r="N8728" t="s">
        <v>393</v>
      </c>
      <c r="O8728" t="s">
        <v>394</v>
      </c>
      <c r="P8728" t="str">
        <f>"50328"</f>
        <v>50328</v>
      </c>
    </row>
    <row r="8729" spans="1:16" x14ac:dyDescent="0.25">
      <c r="A8729" t="str">
        <f>"1140088B00194    00"</f>
        <v>1140088B00194    00</v>
      </c>
      <c r="B8729" t="s">
        <v>19241</v>
      </c>
      <c r="C8729" t="s">
        <v>19242</v>
      </c>
      <c r="D8729" t="s">
        <v>20</v>
      </c>
      <c r="E8729" t="s">
        <v>39</v>
      </c>
      <c r="F8729">
        <v>0</v>
      </c>
      <c r="G8729">
        <v>0</v>
      </c>
      <c r="H8729">
        <v>2</v>
      </c>
      <c r="I8729" s="3">
        <v>12630.14</v>
      </c>
      <c r="J8729" s="3">
        <v>0</v>
      </c>
      <c r="K8729" t="s">
        <v>19243</v>
      </c>
      <c r="L8729">
        <v>4231</v>
      </c>
      <c r="M8729" t="s">
        <v>18283</v>
      </c>
      <c r="N8729" t="s">
        <v>30</v>
      </c>
      <c r="O8729" t="s">
        <v>31</v>
      </c>
      <c r="P8729" t="str">
        <f>"15217"</f>
        <v>15217</v>
      </c>
    </row>
    <row r="8730" spans="1:16" x14ac:dyDescent="0.25">
      <c r="A8730" t="str">
        <f>"1140088B00211    00"</f>
        <v>1140088B00211    00</v>
      </c>
      <c r="B8730" t="s">
        <v>19244</v>
      </c>
      <c r="C8730" t="s">
        <v>19245</v>
      </c>
      <c r="D8730" t="s">
        <v>20</v>
      </c>
      <c r="E8730" t="s">
        <v>39</v>
      </c>
      <c r="F8730">
        <v>0</v>
      </c>
      <c r="G8730">
        <v>0</v>
      </c>
      <c r="H8730">
        <v>5</v>
      </c>
      <c r="I8730" s="3">
        <v>15627.14</v>
      </c>
      <c r="J8730" s="3">
        <v>2944.34</v>
      </c>
      <c r="L8730">
        <v>18</v>
      </c>
      <c r="M8730" t="s">
        <v>19246</v>
      </c>
      <c r="N8730" t="s">
        <v>30</v>
      </c>
      <c r="O8730" t="s">
        <v>31</v>
      </c>
      <c r="P8730" t="str">
        <f>"15217"</f>
        <v>15217</v>
      </c>
    </row>
    <row r="8731" spans="1:16" x14ac:dyDescent="0.25">
      <c r="A8731" t="str">
        <f>"1140088B00238    00"</f>
        <v>1140088B00238    00</v>
      </c>
      <c r="B8731" t="s">
        <v>19247</v>
      </c>
      <c r="C8731" t="s">
        <v>19248</v>
      </c>
      <c r="D8731" t="s">
        <v>20</v>
      </c>
      <c r="E8731" t="s">
        <v>39</v>
      </c>
      <c r="F8731">
        <v>0</v>
      </c>
      <c r="G8731">
        <v>0</v>
      </c>
      <c r="H8731">
        <v>1</v>
      </c>
      <c r="I8731" s="3">
        <v>1636.94</v>
      </c>
      <c r="J8731" s="3">
        <v>0</v>
      </c>
      <c r="L8731">
        <v>6421</v>
      </c>
      <c r="M8731" t="s">
        <v>19249</v>
      </c>
      <c r="N8731" t="s">
        <v>30</v>
      </c>
      <c r="O8731" t="s">
        <v>31</v>
      </c>
      <c r="P8731" t="str">
        <f>"15217"</f>
        <v>15217</v>
      </c>
    </row>
    <row r="8732" spans="1:16" x14ac:dyDescent="0.25">
      <c r="A8732" t="str">
        <f>"1140088C00011    00"</f>
        <v>1140088C00011    00</v>
      </c>
      <c r="B8732" t="s">
        <v>19250</v>
      </c>
      <c r="C8732" t="s">
        <v>19251</v>
      </c>
      <c r="E8732" t="s">
        <v>39</v>
      </c>
      <c r="F8732">
        <v>0</v>
      </c>
      <c r="G8732">
        <v>0</v>
      </c>
      <c r="H8732">
        <v>1</v>
      </c>
      <c r="I8732" s="3">
        <v>2181.5700000000002</v>
      </c>
      <c r="J8732" s="3">
        <v>0</v>
      </c>
      <c r="K8732" t="s">
        <v>400</v>
      </c>
      <c r="L8732">
        <v>3001</v>
      </c>
      <c r="M8732" t="s">
        <v>330</v>
      </c>
      <c r="N8732" t="s">
        <v>331</v>
      </c>
      <c r="O8732" t="s">
        <v>108</v>
      </c>
      <c r="P8732" t="str">
        <f>"75063"</f>
        <v>75063</v>
      </c>
    </row>
    <row r="8733" spans="1:16" x14ac:dyDescent="0.25">
      <c r="A8733" t="str">
        <f>"1140088C00035    00"</f>
        <v>1140088C00035    00</v>
      </c>
      <c r="B8733" t="s">
        <v>19252</v>
      </c>
      <c r="C8733" t="s">
        <v>19253</v>
      </c>
      <c r="D8733" t="s">
        <v>20</v>
      </c>
      <c r="E8733" t="s">
        <v>39</v>
      </c>
      <c r="F8733">
        <v>0</v>
      </c>
      <c r="G8733">
        <v>0</v>
      </c>
      <c r="H8733">
        <v>2</v>
      </c>
      <c r="I8733" s="3">
        <v>9385.14</v>
      </c>
      <c r="J8733" s="3">
        <v>0</v>
      </c>
      <c r="L8733">
        <v>6560</v>
      </c>
      <c r="M8733" t="s">
        <v>19254</v>
      </c>
      <c r="N8733" t="s">
        <v>30</v>
      </c>
      <c r="O8733" t="s">
        <v>31</v>
      </c>
      <c r="P8733" t="str">
        <f>"15217"</f>
        <v>15217</v>
      </c>
    </row>
    <row r="8734" spans="1:16" x14ac:dyDescent="0.25">
      <c r="A8734" t="str">
        <f>"1140088C00146    00"</f>
        <v>1140088C00146    00</v>
      </c>
      <c r="B8734" t="s">
        <v>18559</v>
      </c>
      <c r="C8734" t="s">
        <v>19255</v>
      </c>
      <c r="D8734" t="s">
        <v>20</v>
      </c>
      <c r="E8734" t="s">
        <v>39</v>
      </c>
      <c r="F8734">
        <v>0</v>
      </c>
      <c r="G8734">
        <v>0</v>
      </c>
      <c r="H8734">
        <v>3</v>
      </c>
      <c r="I8734" s="3">
        <v>5432.1</v>
      </c>
      <c r="J8734" s="3">
        <v>362.12</v>
      </c>
      <c r="L8734">
        <v>1</v>
      </c>
      <c r="M8734" t="s">
        <v>18561</v>
      </c>
      <c r="N8734" t="s">
        <v>914</v>
      </c>
      <c r="O8734" t="s">
        <v>200</v>
      </c>
      <c r="P8734" t="str">
        <f>"10952"</f>
        <v>10952</v>
      </c>
    </row>
    <row r="8735" spans="1:16" x14ac:dyDescent="0.25">
      <c r="A8735" t="str">
        <f>"1140088C00155    00"</f>
        <v>1140088C00155    00</v>
      </c>
      <c r="B8735" t="s">
        <v>19256</v>
      </c>
      <c r="C8735" t="s">
        <v>19257</v>
      </c>
      <c r="D8735" t="s">
        <v>20</v>
      </c>
      <c r="E8735" t="s">
        <v>39</v>
      </c>
      <c r="F8735">
        <v>0</v>
      </c>
      <c r="G8735">
        <v>0</v>
      </c>
      <c r="H8735">
        <v>1</v>
      </c>
      <c r="I8735" s="3">
        <v>3330.24</v>
      </c>
      <c r="J8735" s="3">
        <v>0</v>
      </c>
      <c r="L8735">
        <v>6522</v>
      </c>
      <c r="M8735" t="s">
        <v>19254</v>
      </c>
      <c r="N8735" t="s">
        <v>30</v>
      </c>
      <c r="O8735" t="s">
        <v>31</v>
      </c>
      <c r="P8735" t="str">
        <f>"15217"</f>
        <v>15217</v>
      </c>
    </row>
    <row r="8736" spans="1:16" x14ac:dyDescent="0.25">
      <c r="A8736" t="str">
        <f>"1140088C00273    00"</f>
        <v>1140088C00273    00</v>
      </c>
      <c r="B8736" t="s">
        <v>19258</v>
      </c>
      <c r="C8736" t="s">
        <v>19259</v>
      </c>
      <c r="E8736" t="s">
        <v>39</v>
      </c>
      <c r="F8736">
        <v>0</v>
      </c>
      <c r="G8736">
        <v>0</v>
      </c>
      <c r="H8736">
        <v>1</v>
      </c>
      <c r="I8736" s="3">
        <v>114.8</v>
      </c>
      <c r="J8736" s="3">
        <v>0</v>
      </c>
      <c r="K8736" t="s">
        <v>19260</v>
      </c>
      <c r="L8736">
        <v>3001</v>
      </c>
      <c r="M8736" t="s">
        <v>330</v>
      </c>
      <c r="N8736" t="s">
        <v>331</v>
      </c>
      <c r="O8736" t="s">
        <v>108</v>
      </c>
      <c r="P8736" t="str">
        <f>"75063"</f>
        <v>75063</v>
      </c>
    </row>
    <row r="8737" spans="1:16" x14ac:dyDescent="0.25">
      <c r="A8737" t="str">
        <f>"1140088C00273A   00"</f>
        <v>1140088C00273A   00</v>
      </c>
      <c r="B8737" t="s">
        <v>19258</v>
      </c>
      <c r="C8737" t="s">
        <v>19261</v>
      </c>
      <c r="E8737" t="s">
        <v>39</v>
      </c>
      <c r="F8737">
        <v>0</v>
      </c>
      <c r="G8737">
        <v>0</v>
      </c>
      <c r="H8737">
        <v>1</v>
      </c>
      <c r="I8737" s="3">
        <v>474.76</v>
      </c>
      <c r="J8737" s="3">
        <v>142.43</v>
      </c>
      <c r="K8737" t="s">
        <v>19260</v>
      </c>
      <c r="L8737">
        <v>3001</v>
      </c>
      <c r="M8737" t="s">
        <v>330</v>
      </c>
      <c r="N8737" t="s">
        <v>331</v>
      </c>
      <c r="O8737" t="s">
        <v>108</v>
      </c>
      <c r="P8737" t="str">
        <f>"75063"</f>
        <v>75063</v>
      </c>
    </row>
    <row r="8738" spans="1:16" x14ac:dyDescent="0.25">
      <c r="A8738" t="str">
        <f>"1140088C00316    00"</f>
        <v>1140088C00316    00</v>
      </c>
      <c r="B8738" t="s">
        <v>19262</v>
      </c>
      <c r="C8738" t="s">
        <v>19263</v>
      </c>
      <c r="E8738" t="s">
        <v>39</v>
      </c>
      <c r="F8738">
        <v>0</v>
      </c>
      <c r="G8738">
        <v>0</v>
      </c>
      <c r="H8738">
        <v>1</v>
      </c>
      <c r="I8738" s="3">
        <v>3857.4</v>
      </c>
      <c r="J8738" s="3">
        <v>867.88</v>
      </c>
      <c r="K8738" t="s">
        <v>400</v>
      </c>
      <c r="L8738">
        <v>3001</v>
      </c>
      <c r="M8738" t="s">
        <v>330</v>
      </c>
      <c r="N8738" t="s">
        <v>331</v>
      </c>
      <c r="O8738" t="s">
        <v>108</v>
      </c>
      <c r="P8738" t="str">
        <f>"75063"</f>
        <v>75063</v>
      </c>
    </row>
    <row r="8739" spans="1:16" x14ac:dyDescent="0.25">
      <c r="A8739" t="str">
        <f>"1140088C00322    00"</f>
        <v>1140088C00322    00</v>
      </c>
      <c r="B8739" t="s">
        <v>19264</v>
      </c>
      <c r="C8739" t="s">
        <v>19261</v>
      </c>
      <c r="D8739" t="s">
        <v>20</v>
      </c>
      <c r="E8739" t="s">
        <v>39</v>
      </c>
      <c r="F8739">
        <v>0</v>
      </c>
      <c r="G8739">
        <v>0</v>
      </c>
      <c r="H8739">
        <v>8</v>
      </c>
      <c r="I8739" s="3">
        <v>177.77</v>
      </c>
      <c r="J8739" s="3">
        <v>58.76</v>
      </c>
      <c r="K8739" t="s">
        <v>19265</v>
      </c>
      <c r="P8739" t="str">
        <f>""</f>
        <v/>
      </c>
    </row>
    <row r="8740" spans="1:16" x14ac:dyDescent="0.25">
      <c r="A8740" t="str">
        <f>"1140088C00338    00"</f>
        <v>1140088C00338    00</v>
      </c>
      <c r="B8740" t="s">
        <v>19266</v>
      </c>
      <c r="C8740" t="s">
        <v>19267</v>
      </c>
      <c r="E8740" t="s">
        <v>39</v>
      </c>
      <c r="F8740">
        <v>0</v>
      </c>
      <c r="G8740">
        <v>0</v>
      </c>
      <c r="H8740">
        <v>1</v>
      </c>
      <c r="I8740" s="3">
        <v>1331.34</v>
      </c>
      <c r="J8740" s="3">
        <v>532.52</v>
      </c>
      <c r="L8740">
        <v>6444</v>
      </c>
      <c r="M8740" t="s">
        <v>19249</v>
      </c>
      <c r="N8740" t="s">
        <v>30</v>
      </c>
      <c r="O8740" t="s">
        <v>31</v>
      </c>
      <c r="P8740" t="str">
        <f>"15217"</f>
        <v>15217</v>
      </c>
    </row>
    <row r="8741" spans="1:16" x14ac:dyDescent="0.25">
      <c r="A8741" t="str">
        <f>"1140088D00034    00"</f>
        <v>1140088D00034    00</v>
      </c>
      <c r="B8741" t="s">
        <v>19268</v>
      </c>
      <c r="C8741" t="s">
        <v>19269</v>
      </c>
      <c r="D8741" t="s">
        <v>20</v>
      </c>
      <c r="E8741" t="s">
        <v>39</v>
      </c>
      <c r="F8741">
        <v>0</v>
      </c>
      <c r="G8741">
        <v>0</v>
      </c>
      <c r="H8741">
        <v>6</v>
      </c>
      <c r="I8741" s="3">
        <v>29716.240000000002</v>
      </c>
      <c r="J8741" s="3">
        <v>6092.85</v>
      </c>
      <c r="L8741">
        <v>261</v>
      </c>
      <c r="M8741" t="s">
        <v>19270</v>
      </c>
      <c r="N8741" t="s">
        <v>30</v>
      </c>
      <c r="O8741" t="s">
        <v>31</v>
      </c>
      <c r="P8741" t="str">
        <f>"15217"</f>
        <v>15217</v>
      </c>
    </row>
    <row r="8742" spans="1:16" x14ac:dyDescent="0.25">
      <c r="A8742" t="str">
        <f>"1140088D00070    00"</f>
        <v>1140088D00070    00</v>
      </c>
      <c r="B8742" t="s">
        <v>19271</v>
      </c>
      <c r="C8742" t="s">
        <v>19272</v>
      </c>
      <c r="E8742" t="s">
        <v>39</v>
      </c>
      <c r="F8742">
        <v>0</v>
      </c>
      <c r="G8742">
        <v>0</v>
      </c>
      <c r="H8742">
        <v>1</v>
      </c>
      <c r="I8742" s="3">
        <v>5308.93</v>
      </c>
      <c r="J8742" s="3">
        <v>1459.89</v>
      </c>
      <c r="K8742" t="s">
        <v>5334</v>
      </c>
      <c r="L8742">
        <v>3001</v>
      </c>
      <c r="M8742" t="s">
        <v>330</v>
      </c>
      <c r="N8742" t="s">
        <v>331</v>
      </c>
      <c r="O8742" t="s">
        <v>108</v>
      </c>
      <c r="P8742" t="str">
        <f>"75063"</f>
        <v>75063</v>
      </c>
    </row>
    <row r="8743" spans="1:16" x14ac:dyDescent="0.25">
      <c r="A8743" t="str">
        <f>"1140088D00114    00"</f>
        <v>1140088D00114    00</v>
      </c>
      <c r="B8743" t="s">
        <v>19273</v>
      </c>
      <c r="C8743" t="s">
        <v>19274</v>
      </c>
      <c r="E8743" t="s">
        <v>39</v>
      </c>
      <c r="F8743">
        <v>0</v>
      </c>
      <c r="G8743">
        <v>0</v>
      </c>
      <c r="H8743">
        <v>2</v>
      </c>
      <c r="I8743" s="3">
        <v>7992.03</v>
      </c>
      <c r="J8743" s="3">
        <v>9717.19</v>
      </c>
      <c r="L8743">
        <v>2975</v>
      </c>
      <c r="M8743" t="s">
        <v>1695</v>
      </c>
      <c r="N8743" t="s">
        <v>30</v>
      </c>
      <c r="O8743" t="s">
        <v>31</v>
      </c>
      <c r="P8743" t="str">
        <f>"15217"</f>
        <v>15217</v>
      </c>
    </row>
    <row r="8744" spans="1:16" x14ac:dyDescent="0.25">
      <c r="A8744" t="str">
        <f>"1140088D00172    00"</f>
        <v>1140088D00172    00</v>
      </c>
      <c r="B8744" t="s">
        <v>19275</v>
      </c>
      <c r="C8744" t="s">
        <v>19276</v>
      </c>
      <c r="E8744" t="s">
        <v>39</v>
      </c>
      <c r="F8744">
        <v>0</v>
      </c>
      <c r="G8744">
        <v>0</v>
      </c>
      <c r="H8744">
        <v>1</v>
      </c>
      <c r="I8744" s="3">
        <v>11.34</v>
      </c>
      <c r="J8744" s="3">
        <v>0</v>
      </c>
      <c r="L8744">
        <v>141</v>
      </c>
      <c r="M8744" t="s">
        <v>19277</v>
      </c>
      <c r="N8744" t="s">
        <v>30</v>
      </c>
      <c r="O8744" t="s">
        <v>31</v>
      </c>
      <c r="P8744" t="str">
        <f>"15215"</f>
        <v>15215</v>
      </c>
    </row>
    <row r="8745" spans="1:16" x14ac:dyDescent="0.25">
      <c r="A8745" t="str">
        <f>"1140088D00226    00"</f>
        <v>1140088D00226    00</v>
      </c>
      <c r="B8745" t="s">
        <v>19278</v>
      </c>
      <c r="C8745" t="s">
        <v>19279</v>
      </c>
      <c r="E8745" t="s">
        <v>39</v>
      </c>
      <c r="F8745">
        <v>0</v>
      </c>
      <c r="G8745">
        <v>0</v>
      </c>
      <c r="H8745">
        <v>1</v>
      </c>
      <c r="I8745" s="3">
        <v>3818.24</v>
      </c>
      <c r="J8745" s="3">
        <v>0</v>
      </c>
      <c r="L8745">
        <v>2958</v>
      </c>
      <c r="M8745" t="s">
        <v>1695</v>
      </c>
      <c r="N8745" t="s">
        <v>30</v>
      </c>
      <c r="O8745" t="s">
        <v>31</v>
      </c>
      <c r="P8745" t="str">
        <f>"15217"</f>
        <v>15217</v>
      </c>
    </row>
    <row r="8746" spans="1:16" x14ac:dyDescent="0.25">
      <c r="A8746" t="str">
        <f>"1140088D00262    00"</f>
        <v>1140088D00262    00</v>
      </c>
      <c r="B8746" t="s">
        <v>19280</v>
      </c>
      <c r="C8746" t="s">
        <v>19281</v>
      </c>
      <c r="D8746" t="s">
        <v>33</v>
      </c>
      <c r="E8746" t="s">
        <v>39</v>
      </c>
      <c r="F8746">
        <v>0</v>
      </c>
      <c r="G8746">
        <v>0</v>
      </c>
      <c r="H8746">
        <v>2</v>
      </c>
      <c r="I8746" s="3">
        <v>1284.17</v>
      </c>
      <c r="J8746" s="3">
        <v>0</v>
      </c>
      <c r="L8746">
        <v>2864</v>
      </c>
      <c r="M8746" t="s">
        <v>1695</v>
      </c>
      <c r="N8746" t="s">
        <v>30</v>
      </c>
      <c r="O8746" t="s">
        <v>31</v>
      </c>
      <c r="P8746" t="str">
        <f>"15217"</f>
        <v>15217</v>
      </c>
    </row>
    <row r="8747" spans="1:16" x14ac:dyDescent="0.25">
      <c r="A8747" t="str">
        <f>"1140088F00157    00"</f>
        <v>1140088F00157    00</v>
      </c>
      <c r="B8747" t="s">
        <v>19282</v>
      </c>
      <c r="C8747" t="s">
        <v>19283</v>
      </c>
      <c r="E8747" t="s">
        <v>39</v>
      </c>
      <c r="F8747">
        <v>0</v>
      </c>
      <c r="G8747">
        <v>0</v>
      </c>
      <c r="H8747">
        <v>1</v>
      </c>
      <c r="I8747" s="3">
        <v>1800.02</v>
      </c>
      <c r="J8747" s="3">
        <v>359.99</v>
      </c>
      <c r="L8747">
        <v>4301</v>
      </c>
      <c r="M8747" t="s">
        <v>18283</v>
      </c>
      <c r="N8747" t="s">
        <v>30</v>
      </c>
      <c r="O8747" t="s">
        <v>31</v>
      </c>
      <c r="P8747" t="str">
        <f>"15217"</f>
        <v>15217</v>
      </c>
    </row>
    <row r="8748" spans="1:16" x14ac:dyDescent="0.25">
      <c r="A8748" t="str">
        <f>"1140088F00196    00"</f>
        <v>1140088F00196    00</v>
      </c>
      <c r="B8748" t="s">
        <v>19284</v>
      </c>
      <c r="C8748" t="s">
        <v>19285</v>
      </c>
      <c r="E8748" t="s">
        <v>39</v>
      </c>
      <c r="F8748">
        <v>0</v>
      </c>
      <c r="G8748">
        <v>0</v>
      </c>
      <c r="H8748">
        <v>1</v>
      </c>
      <c r="I8748" s="3">
        <v>169.9</v>
      </c>
      <c r="J8748" s="3">
        <v>229.35</v>
      </c>
      <c r="L8748">
        <v>3336</v>
      </c>
      <c r="M8748" t="s">
        <v>1695</v>
      </c>
      <c r="N8748" t="s">
        <v>30</v>
      </c>
      <c r="O8748" t="s">
        <v>31</v>
      </c>
      <c r="P8748" t="str">
        <f>"15217"</f>
        <v>15217</v>
      </c>
    </row>
    <row r="8749" spans="1:16" x14ac:dyDescent="0.25">
      <c r="A8749" t="str">
        <f>"1140088F00221    00"</f>
        <v>1140088F00221    00</v>
      </c>
      <c r="B8749" t="s">
        <v>19286</v>
      </c>
      <c r="C8749" t="s">
        <v>19287</v>
      </c>
      <c r="D8749" t="s">
        <v>20</v>
      </c>
      <c r="E8749" t="s">
        <v>39</v>
      </c>
      <c r="F8749">
        <v>0</v>
      </c>
      <c r="G8749">
        <v>0</v>
      </c>
      <c r="H8749">
        <v>1</v>
      </c>
      <c r="I8749" s="3">
        <v>907.3</v>
      </c>
      <c r="J8749" s="3">
        <v>0</v>
      </c>
      <c r="K8749" t="s">
        <v>7258</v>
      </c>
      <c r="L8749">
        <v>4201</v>
      </c>
      <c r="M8749" t="s">
        <v>7259</v>
      </c>
      <c r="N8749" t="s">
        <v>7260</v>
      </c>
      <c r="O8749" t="s">
        <v>108</v>
      </c>
      <c r="P8749" t="str">
        <f>"75007"</f>
        <v>75007</v>
      </c>
    </row>
    <row r="8750" spans="1:16" x14ac:dyDescent="0.25">
      <c r="A8750" t="str">
        <f>"1140088G00001    00"</f>
        <v>1140088G00001    00</v>
      </c>
      <c r="B8750" t="s">
        <v>19288</v>
      </c>
      <c r="C8750" t="s">
        <v>19289</v>
      </c>
      <c r="E8750" t="s">
        <v>39</v>
      </c>
      <c r="F8750">
        <v>0</v>
      </c>
      <c r="G8750">
        <v>0</v>
      </c>
      <c r="H8750">
        <v>1</v>
      </c>
      <c r="I8750" s="3">
        <v>2401.1999999999998</v>
      </c>
      <c r="J8750" s="3">
        <v>420.19</v>
      </c>
      <c r="L8750">
        <v>3318</v>
      </c>
      <c r="M8750" t="s">
        <v>3580</v>
      </c>
      <c r="N8750" t="s">
        <v>30</v>
      </c>
      <c r="O8750" t="s">
        <v>31</v>
      </c>
      <c r="P8750" t="str">
        <f>"15217"</f>
        <v>15217</v>
      </c>
    </row>
    <row r="8751" spans="1:16" x14ac:dyDescent="0.25">
      <c r="A8751" t="str">
        <f>"1140088G00062    00"</f>
        <v>1140088G00062    00</v>
      </c>
      <c r="B8751" t="s">
        <v>19290</v>
      </c>
      <c r="C8751" t="s">
        <v>19291</v>
      </c>
      <c r="D8751" t="s">
        <v>20</v>
      </c>
      <c r="E8751" t="s">
        <v>39</v>
      </c>
      <c r="F8751">
        <v>0</v>
      </c>
      <c r="G8751">
        <v>0</v>
      </c>
      <c r="H8751">
        <v>2</v>
      </c>
      <c r="I8751" s="3">
        <v>22.88</v>
      </c>
      <c r="J8751" s="3">
        <v>0</v>
      </c>
      <c r="L8751">
        <v>3152</v>
      </c>
      <c r="M8751" t="s">
        <v>1695</v>
      </c>
      <c r="N8751" t="s">
        <v>30</v>
      </c>
      <c r="O8751" t="s">
        <v>31</v>
      </c>
      <c r="P8751" t="str">
        <f>"15217"</f>
        <v>15217</v>
      </c>
    </row>
    <row r="8752" spans="1:16" x14ac:dyDescent="0.25">
      <c r="A8752" t="str">
        <f>"1140088G00115    00"</f>
        <v>1140088G00115    00</v>
      </c>
      <c r="B8752" t="s">
        <v>19292</v>
      </c>
      <c r="C8752" t="s">
        <v>19293</v>
      </c>
      <c r="D8752" t="s">
        <v>20</v>
      </c>
      <c r="E8752" t="s">
        <v>39</v>
      </c>
      <c r="F8752">
        <v>0</v>
      </c>
      <c r="G8752">
        <v>0</v>
      </c>
      <c r="H8752">
        <v>6</v>
      </c>
      <c r="I8752" s="3">
        <v>13035.88</v>
      </c>
      <c r="J8752" s="3">
        <v>2920.98</v>
      </c>
      <c r="L8752">
        <v>3138</v>
      </c>
      <c r="M8752" t="s">
        <v>1695</v>
      </c>
      <c r="N8752" t="s">
        <v>30</v>
      </c>
      <c r="O8752" t="s">
        <v>31</v>
      </c>
      <c r="P8752" t="str">
        <f>"15217"</f>
        <v>15217</v>
      </c>
    </row>
    <row r="8753" spans="1:16" x14ac:dyDescent="0.25">
      <c r="A8753" t="str">
        <f>"1140088G00138    00"</f>
        <v>1140088G00138    00</v>
      </c>
      <c r="B8753" t="s">
        <v>19294</v>
      </c>
      <c r="C8753" t="s">
        <v>19295</v>
      </c>
      <c r="E8753" t="s">
        <v>39</v>
      </c>
      <c r="F8753">
        <v>0</v>
      </c>
      <c r="G8753">
        <v>0</v>
      </c>
      <c r="H8753">
        <v>2</v>
      </c>
      <c r="I8753" s="3">
        <v>2729.4</v>
      </c>
      <c r="J8753" s="3">
        <v>136.47</v>
      </c>
      <c r="K8753" t="s">
        <v>484</v>
      </c>
      <c r="L8753">
        <v>3001</v>
      </c>
      <c r="M8753" t="s">
        <v>330</v>
      </c>
      <c r="N8753" t="s">
        <v>331</v>
      </c>
      <c r="O8753" t="s">
        <v>108</v>
      </c>
      <c r="P8753" t="str">
        <f>"75063"</f>
        <v>75063</v>
      </c>
    </row>
    <row r="8754" spans="1:16" x14ac:dyDescent="0.25">
      <c r="A8754" t="str">
        <f>"1140088G00157    00"</f>
        <v>1140088G00157    00</v>
      </c>
      <c r="B8754" t="s">
        <v>19296</v>
      </c>
      <c r="C8754" t="s">
        <v>19297</v>
      </c>
      <c r="D8754" t="s">
        <v>20</v>
      </c>
      <c r="E8754" t="s">
        <v>39</v>
      </c>
      <c r="F8754">
        <v>0</v>
      </c>
      <c r="G8754">
        <v>0</v>
      </c>
      <c r="H8754">
        <v>3</v>
      </c>
      <c r="I8754" s="3">
        <v>10307.69</v>
      </c>
      <c r="J8754" s="3">
        <v>400.82</v>
      </c>
      <c r="L8754">
        <v>708</v>
      </c>
      <c r="M8754" t="s">
        <v>19298</v>
      </c>
      <c r="N8754" t="s">
        <v>30</v>
      </c>
      <c r="O8754" t="s">
        <v>31</v>
      </c>
      <c r="P8754" t="str">
        <f>"15238"</f>
        <v>15238</v>
      </c>
    </row>
    <row r="8755" spans="1:16" x14ac:dyDescent="0.25">
      <c r="A8755" t="str">
        <f>"1140088G00171    00"</f>
        <v>1140088G00171    00</v>
      </c>
      <c r="B8755" t="s">
        <v>19299</v>
      </c>
      <c r="C8755" t="s">
        <v>19300</v>
      </c>
      <c r="E8755" t="s">
        <v>39</v>
      </c>
      <c r="F8755">
        <v>0</v>
      </c>
      <c r="G8755">
        <v>0</v>
      </c>
      <c r="H8755">
        <v>2</v>
      </c>
      <c r="I8755" s="3">
        <v>4029.3</v>
      </c>
      <c r="J8755" s="3">
        <v>50.36</v>
      </c>
      <c r="K8755" t="s">
        <v>881</v>
      </c>
      <c r="L8755">
        <v>3001</v>
      </c>
      <c r="M8755" t="s">
        <v>330</v>
      </c>
      <c r="N8755" t="s">
        <v>331</v>
      </c>
      <c r="O8755" t="s">
        <v>108</v>
      </c>
      <c r="P8755" t="str">
        <f>"75063"</f>
        <v>75063</v>
      </c>
    </row>
    <row r="8756" spans="1:16" x14ac:dyDescent="0.25">
      <c r="A8756" t="str">
        <f>"1140088G00231    00"</f>
        <v>1140088G00231    00</v>
      </c>
      <c r="B8756" t="s">
        <v>19301</v>
      </c>
      <c r="C8756" t="s">
        <v>19302</v>
      </c>
      <c r="D8756" t="s">
        <v>20</v>
      </c>
      <c r="E8756" t="s">
        <v>39</v>
      </c>
      <c r="F8756">
        <v>0</v>
      </c>
      <c r="G8756">
        <v>0</v>
      </c>
      <c r="H8756">
        <v>4</v>
      </c>
      <c r="I8756" s="3">
        <v>463.29</v>
      </c>
      <c r="J8756" s="3">
        <v>54.73</v>
      </c>
      <c r="L8756">
        <v>435</v>
      </c>
      <c r="M8756" t="s">
        <v>19303</v>
      </c>
      <c r="N8756" t="s">
        <v>4652</v>
      </c>
      <c r="O8756" t="s">
        <v>370</v>
      </c>
      <c r="P8756" t="str">
        <f>"03233"</f>
        <v>03233</v>
      </c>
    </row>
    <row r="8757" spans="1:16" x14ac:dyDescent="0.25">
      <c r="A8757" t="str">
        <f>"1140088G00301    00"</f>
        <v>1140088G00301    00</v>
      </c>
      <c r="B8757" t="s">
        <v>19304</v>
      </c>
      <c r="C8757" t="s">
        <v>19305</v>
      </c>
      <c r="D8757" t="s">
        <v>20</v>
      </c>
      <c r="E8757" t="s">
        <v>39</v>
      </c>
      <c r="F8757">
        <v>0</v>
      </c>
      <c r="G8757">
        <v>0</v>
      </c>
      <c r="H8757">
        <v>1</v>
      </c>
      <c r="I8757" s="3">
        <v>476.5</v>
      </c>
      <c r="J8757" s="3">
        <v>0</v>
      </c>
      <c r="L8757">
        <v>625</v>
      </c>
      <c r="M8757" t="s">
        <v>19306</v>
      </c>
      <c r="N8757" t="s">
        <v>30</v>
      </c>
      <c r="O8757" t="s">
        <v>31</v>
      </c>
      <c r="P8757" t="str">
        <f>"15222"</f>
        <v>15222</v>
      </c>
    </row>
    <row r="8758" spans="1:16" x14ac:dyDescent="0.25">
      <c r="A8758" t="str">
        <f>"1140088G00302    00"</f>
        <v>1140088G00302    00</v>
      </c>
      <c r="B8758" t="s">
        <v>19304</v>
      </c>
      <c r="C8758" t="s">
        <v>19305</v>
      </c>
      <c r="D8758" t="s">
        <v>20</v>
      </c>
      <c r="E8758" t="s">
        <v>39</v>
      </c>
      <c r="F8758">
        <v>0</v>
      </c>
      <c r="G8758">
        <v>0</v>
      </c>
      <c r="H8758">
        <v>1</v>
      </c>
      <c r="I8758" s="3">
        <v>476.5</v>
      </c>
      <c r="J8758" s="3">
        <v>0</v>
      </c>
      <c r="L8758">
        <v>625</v>
      </c>
      <c r="M8758" t="s">
        <v>19306</v>
      </c>
      <c r="N8758" t="s">
        <v>30</v>
      </c>
      <c r="O8758" t="s">
        <v>31</v>
      </c>
      <c r="P8758" t="str">
        <f>"15222"</f>
        <v>15222</v>
      </c>
    </row>
    <row r="8759" spans="1:16" x14ac:dyDescent="0.25">
      <c r="A8759" t="str">
        <f>"1140088G00303    00"</f>
        <v>1140088G00303    00</v>
      </c>
      <c r="B8759" t="s">
        <v>19304</v>
      </c>
      <c r="C8759" t="s">
        <v>19305</v>
      </c>
      <c r="D8759" t="s">
        <v>20</v>
      </c>
      <c r="E8759" t="s">
        <v>39</v>
      </c>
      <c r="F8759">
        <v>0</v>
      </c>
      <c r="G8759">
        <v>0</v>
      </c>
      <c r="H8759">
        <v>1</v>
      </c>
      <c r="I8759" s="3">
        <v>476.5</v>
      </c>
      <c r="J8759" s="3">
        <v>0</v>
      </c>
      <c r="L8759">
        <v>625</v>
      </c>
      <c r="M8759" t="s">
        <v>19306</v>
      </c>
      <c r="N8759" t="s">
        <v>30</v>
      </c>
      <c r="O8759" t="s">
        <v>31</v>
      </c>
      <c r="P8759" t="str">
        <f>"15222"</f>
        <v>15222</v>
      </c>
    </row>
    <row r="8760" spans="1:16" x14ac:dyDescent="0.25">
      <c r="A8760" t="str">
        <f>"1140088G00304    00"</f>
        <v>1140088G00304    00</v>
      </c>
      <c r="B8760" t="s">
        <v>19304</v>
      </c>
      <c r="C8760" t="s">
        <v>19307</v>
      </c>
      <c r="D8760" t="s">
        <v>20</v>
      </c>
      <c r="E8760" t="s">
        <v>39</v>
      </c>
      <c r="F8760">
        <v>0</v>
      </c>
      <c r="G8760">
        <v>0</v>
      </c>
      <c r="H8760">
        <v>1</v>
      </c>
      <c r="I8760" s="3">
        <v>2859.02</v>
      </c>
      <c r="J8760" s="3">
        <v>0</v>
      </c>
      <c r="L8760">
        <v>625</v>
      </c>
      <c r="M8760" t="s">
        <v>19306</v>
      </c>
      <c r="N8760" t="s">
        <v>30</v>
      </c>
      <c r="O8760" t="s">
        <v>31</v>
      </c>
      <c r="P8760" t="str">
        <f>"15222"</f>
        <v>15222</v>
      </c>
    </row>
    <row r="8761" spans="1:16" x14ac:dyDescent="0.25">
      <c r="A8761" t="str">
        <f>"1140088G00313A   00"</f>
        <v>1140088G00313A   00</v>
      </c>
      <c r="B8761" t="s">
        <v>19308</v>
      </c>
      <c r="C8761" t="s">
        <v>19309</v>
      </c>
      <c r="D8761" t="s">
        <v>20</v>
      </c>
      <c r="E8761" t="s">
        <v>39</v>
      </c>
      <c r="F8761">
        <v>0</v>
      </c>
      <c r="G8761">
        <v>0</v>
      </c>
      <c r="H8761">
        <v>19</v>
      </c>
      <c r="I8761" s="3">
        <v>28434.81</v>
      </c>
      <c r="J8761" s="3">
        <v>20596.79</v>
      </c>
      <c r="M8761" t="s">
        <v>19310</v>
      </c>
      <c r="N8761" t="s">
        <v>30</v>
      </c>
      <c r="O8761" t="s">
        <v>31</v>
      </c>
      <c r="P8761" t="str">
        <f>"15230"</f>
        <v>15230</v>
      </c>
    </row>
    <row r="8762" spans="1:16" x14ac:dyDescent="0.25">
      <c r="A8762" t="str">
        <f>"1140088G00336    00"</f>
        <v>1140088G00336    00</v>
      </c>
      <c r="B8762" t="s">
        <v>3449</v>
      </c>
      <c r="C8762" t="s">
        <v>19311</v>
      </c>
      <c r="D8762" t="s">
        <v>20</v>
      </c>
      <c r="E8762" t="s">
        <v>39</v>
      </c>
      <c r="F8762">
        <v>0</v>
      </c>
      <c r="G8762">
        <v>0</v>
      </c>
      <c r="H8762">
        <v>19</v>
      </c>
      <c r="I8762" s="3">
        <v>611.52</v>
      </c>
      <c r="J8762" s="3">
        <v>660.59</v>
      </c>
      <c r="K8762" t="s">
        <v>1008</v>
      </c>
      <c r="P8762" t="str">
        <f>""</f>
        <v/>
      </c>
    </row>
    <row r="8763" spans="1:16" x14ac:dyDescent="0.25">
      <c r="A8763" t="str">
        <f>"1140088G00343    00"</f>
        <v>1140088G00343    00</v>
      </c>
      <c r="B8763" t="s">
        <v>19312</v>
      </c>
      <c r="C8763" t="s">
        <v>19309</v>
      </c>
      <c r="D8763" t="s">
        <v>20</v>
      </c>
      <c r="E8763" t="s">
        <v>39</v>
      </c>
      <c r="F8763">
        <v>0</v>
      </c>
      <c r="G8763">
        <v>0</v>
      </c>
      <c r="H8763">
        <v>15</v>
      </c>
      <c r="I8763" s="3">
        <v>11086.5</v>
      </c>
      <c r="J8763" s="3">
        <v>6026.03</v>
      </c>
      <c r="L8763">
        <v>3225</v>
      </c>
      <c r="M8763" t="s">
        <v>1695</v>
      </c>
      <c r="N8763" t="s">
        <v>30</v>
      </c>
      <c r="O8763" t="s">
        <v>31</v>
      </c>
      <c r="P8763" t="str">
        <f>"15217"</f>
        <v>15217</v>
      </c>
    </row>
    <row r="8764" spans="1:16" x14ac:dyDescent="0.25">
      <c r="A8764" t="str">
        <f>"1140088H00045    00"</f>
        <v>1140088H00045    00</v>
      </c>
      <c r="B8764" t="s">
        <v>19313</v>
      </c>
      <c r="C8764" t="s">
        <v>19314</v>
      </c>
      <c r="D8764" t="s">
        <v>20</v>
      </c>
      <c r="E8764" t="s">
        <v>39</v>
      </c>
      <c r="F8764">
        <v>0</v>
      </c>
      <c r="G8764">
        <v>0</v>
      </c>
      <c r="H8764">
        <v>3</v>
      </c>
      <c r="I8764" s="3">
        <v>4968.97</v>
      </c>
      <c r="J8764" s="3">
        <v>331.26</v>
      </c>
      <c r="M8764" t="s">
        <v>19315</v>
      </c>
      <c r="N8764" t="s">
        <v>30</v>
      </c>
      <c r="O8764" t="s">
        <v>31</v>
      </c>
      <c r="P8764" t="str">
        <f>"15217"</f>
        <v>15217</v>
      </c>
    </row>
    <row r="8765" spans="1:16" x14ac:dyDescent="0.25">
      <c r="A8765" t="str">
        <f>"1140088H00058    00"</f>
        <v>1140088H00058    00</v>
      </c>
      <c r="B8765" t="s">
        <v>19312</v>
      </c>
      <c r="C8765" t="s">
        <v>19309</v>
      </c>
      <c r="D8765" t="s">
        <v>20</v>
      </c>
      <c r="E8765" t="s">
        <v>39</v>
      </c>
      <c r="F8765">
        <v>0</v>
      </c>
      <c r="G8765">
        <v>0</v>
      </c>
      <c r="H8765">
        <v>15</v>
      </c>
      <c r="I8765" s="3">
        <v>8063.56</v>
      </c>
      <c r="J8765" s="3">
        <v>4380.3599999999997</v>
      </c>
      <c r="L8765">
        <v>3225</v>
      </c>
      <c r="M8765" t="s">
        <v>1695</v>
      </c>
      <c r="N8765" t="s">
        <v>30</v>
      </c>
      <c r="O8765" t="s">
        <v>31</v>
      </c>
      <c r="P8765" t="str">
        <f>"15217"</f>
        <v>15217</v>
      </c>
    </row>
    <row r="8766" spans="1:16" x14ac:dyDescent="0.25">
      <c r="A8766" t="str">
        <f>"1140088H00119    00"</f>
        <v>1140088H00119    00</v>
      </c>
      <c r="B8766" t="s">
        <v>19316</v>
      </c>
      <c r="C8766" t="s">
        <v>19317</v>
      </c>
      <c r="E8766" t="s">
        <v>39</v>
      </c>
      <c r="F8766">
        <v>0</v>
      </c>
      <c r="G8766">
        <v>0</v>
      </c>
      <c r="H8766">
        <v>1</v>
      </c>
      <c r="I8766" s="3">
        <v>101.45</v>
      </c>
      <c r="J8766" s="3">
        <v>32.119999999999997</v>
      </c>
      <c r="K8766" t="s">
        <v>19318</v>
      </c>
      <c r="L8766">
        <v>1347</v>
      </c>
      <c r="M8766" t="s">
        <v>753</v>
      </c>
      <c r="N8766" t="s">
        <v>30</v>
      </c>
      <c r="O8766" t="s">
        <v>31</v>
      </c>
      <c r="P8766" t="str">
        <f>"15217"</f>
        <v>15217</v>
      </c>
    </row>
    <row r="8767" spans="1:16" x14ac:dyDescent="0.25">
      <c r="A8767" t="str">
        <f>"1140088H00147    00"</f>
        <v>1140088H00147    00</v>
      </c>
      <c r="B8767" t="s">
        <v>19319</v>
      </c>
      <c r="C8767" t="s">
        <v>19320</v>
      </c>
      <c r="E8767" t="s">
        <v>39</v>
      </c>
      <c r="F8767">
        <v>0</v>
      </c>
      <c r="G8767">
        <v>0</v>
      </c>
      <c r="H8767">
        <v>1</v>
      </c>
      <c r="I8767" s="3">
        <v>342.9</v>
      </c>
      <c r="J8767" s="3">
        <v>492.9</v>
      </c>
      <c r="K8767" t="s">
        <v>1502</v>
      </c>
      <c r="L8767">
        <v>901</v>
      </c>
      <c r="M8767" t="s">
        <v>1503</v>
      </c>
      <c r="N8767" t="s">
        <v>494</v>
      </c>
      <c r="O8767" t="s">
        <v>495</v>
      </c>
      <c r="P8767" t="str">
        <f>"91768"</f>
        <v>91768</v>
      </c>
    </row>
    <row r="8768" spans="1:16" x14ac:dyDescent="0.25">
      <c r="A8768" t="str">
        <f>"1140088H00149    00"</f>
        <v>1140088H00149    00</v>
      </c>
      <c r="B8768" t="s">
        <v>19321</v>
      </c>
      <c r="C8768" t="s">
        <v>19322</v>
      </c>
      <c r="D8768" t="s">
        <v>20</v>
      </c>
      <c r="E8768" t="s">
        <v>39</v>
      </c>
      <c r="F8768">
        <v>0</v>
      </c>
      <c r="G8768">
        <v>0</v>
      </c>
      <c r="H8768">
        <v>1</v>
      </c>
      <c r="I8768" s="3">
        <v>1517.42</v>
      </c>
      <c r="J8768" s="3">
        <v>606.95000000000005</v>
      </c>
      <c r="K8768" t="s">
        <v>19323</v>
      </c>
      <c r="L8768">
        <v>114</v>
      </c>
      <c r="M8768" t="s">
        <v>19324</v>
      </c>
      <c r="N8768" t="s">
        <v>30</v>
      </c>
      <c r="O8768" t="s">
        <v>31</v>
      </c>
      <c r="P8768" t="str">
        <f>"15217"</f>
        <v>15217</v>
      </c>
    </row>
    <row r="8769" spans="1:16" x14ac:dyDescent="0.25">
      <c r="A8769" t="str">
        <f>"1140088H00165    00"</f>
        <v>1140088H00165    00</v>
      </c>
      <c r="B8769" t="s">
        <v>19325</v>
      </c>
      <c r="C8769" t="s">
        <v>19326</v>
      </c>
      <c r="E8769" t="s">
        <v>39</v>
      </c>
      <c r="F8769">
        <v>0</v>
      </c>
      <c r="G8769">
        <v>0</v>
      </c>
      <c r="H8769">
        <v>1</v>
      </c>
      <c r="I8769" s="3">
        <v>3516.88</v>
      </c>
      <c r="J8769" s="3">
        <v>1113.6400000000001</v>
      </c>
      <c r="K8769" t="s">
        <v>391</v>
      </c>
      <c r="L8769">
        <v>1</v>
      </c>
      <c r="M8769" t="s">
        <v>392</v>
      </c>
      <c r="N8769" t="s">
        <v>393</v>
      </c>
      <c r="O8769" t="s">
        <v>394</v>
      </c>
      <c r="P8769" t="str">
        <f>"50328"</f>
        <v>50328</v>
      </c>
    </row>
    <row r="8770" spans="1:16" x14ac:dyDescent="0.25">
      <c r="A8770" t="str">
        <f>"1140088H00180    00"</f>
        <v>1140088H00180    00</v>
      </c>
      <c r="B8770" t="s">
        <v>19327</v>
      </c>
      <c r="C8770" t="s">
        <v>19328</v>
      </c>
      <c r="E8770" t="s">
        <v>39</v>
      </c>
      <c r="F8770">
        <v>0</v>
      </c>
      <c r="G8770">
        <v>0</v>
      </c>
      <c r="H8770">
        <v>1</v>
      </c>
      <c r="I8770" s="3">
        <v>255.49</v>
      </c>
      <c r="J8770" s="3">
        <v>0</v>
      </c>
      <c r="K8770" t="s">
        <v>5718</v>
      </c>
      <c r="L8770">
        <v>26642</v>
      </c>
      <c r="M8770" t="s">
        <v>5719</v>
      </c>
      <c r="N8770" t="s">
        <v>5720</v>
      </c>
      <c r="O8770" t="s">
        <v>495</v>
      </c>
      <c r="P8770" t="str">
        <f>"92610"</f>
        <v>92610</v>
      </c>
    </row>
    <row r="8771" spans="1:16" x14ac:dyDescent="0.25">
      <c r="A8771" t="str">
        <f>"1140088H00183    00"</f>
        <v>1140088H00183    00</v>
      </c>
      <c r="B8771" t="s">
        <v>19329</v>
      </c>
      <c r="C8771" t="s">
        <v>19330</v>
      </c>
      <c r="D8771" t="s">
        <v>20</v>
      </c>
      <c r="E8771" t="s">
        <v>39</v>
      </c>
      <c r="F8771">
        <v>0</v>
      </c>
      <c r="G8771">
        <v>0</v>
      </c>
      <c r="H8771">
        <v>3</v>
      </c>
      <c r="I8771" s="3">
        <v>3011.48</v>
      </c>
      <c r="J8771" s="3">
        <v>107.2</v>
      </c>
      <c r="K8771" t="s">
        <v>5432</v>
      </c>
      <c r="L8771">
        <v>3001</v>
      </c>
      <c r="M8771" t="s">
        <v>330</v>
      </c>
      <c r="N8771" t="s">
        <v>331</v>
      </c>
      <c r="O8771" t="s">
        <v>108</v>
      </c>
      <c r="P8771" t="str">
        <f>"75063"</f>
        <v>75063</v>
      </c>
    </row>
    <row r="8772" spans="1:16" x14ac:dyDescent="0.25">
      <c r="A8772" t="str">
        <f>"1140088H00187    00"</f>
        <v>1140088H00187    00</v>
      </c>
      <c r="B8772" t="s">
        <v>19331</v>
      </c>
      <c r="C8772" t="s">
        <v>19332</v>
      </c>
      <c r="E8772" t="s">
        <v>39</v>
      </c>
      <c r="F8772">
        <v>0</v>
      </c>
      <c r="G8772">
        <v>0</v>
      </c>
      <c r="H8772">
        <v>1</v>
      </c>
      <c r="I8772" s="3">
        <v>70.67</v>
      </c>
      <c r="J8772" s="3">
        <v>19.440000000000001</v>
      </c>
      <c r="L8772">
        <v>1270</v>
      </c>
      <c r="M8772" t="s">
        <v>753</v>
      </c>
      <c r="N8772" t="s">
        <v>30</v>
      </c>
      <c r="O8772" t="s">
        <v>31</v>
      </c>
      <c r="P8772" t="str">
        <f>"15217"</f>
        <v>15217</v>
      </c>
    </row>
    <row r="8773" spans="1:16" x14ac:dyDescent="0.25">
      <c r="A8773" t="str">
        <f>"1140088H00205    00"</f>
        <v>1140088H00205    00</v>
      </c>
      <c r="B8773" t="s">
        <v>19333</v>
      </c>
      <c r="C8773" t="s">
        <v>19334</v>
      </c>
      <c r="E8773" t="s">
        <v>39</v>
      </c>
      <c r="F8773">
        <v>0</v>
      </c>
      <c r="G8773">
        <v>0</v>
      </c>
      <c r="H8773">
        <v>2</v>
      </c>
      <c r="I8773" s="3">
        <v>1452.05</v>
      </c>
      <c r="J8773" s="3">
        <v>99.29</v>
      </c>
      <c r="K8773" t="s">
        <v>19335</v>
      </c>
      <c r="L8773">
        <v>207</v>
      </c>
      <c r="M8773" t="s">
        <v>19336</v>
      </c>
      <c r="N8773" t="s">
        <v>30</v>
      </c>
      <c r="O8773" t="s">
        <v>31</v>
      </c>
      <c r="P8773" t="str">
        <f>"15217"</f>
        <v>15217</v>
      </c>
    </row>
    <row r="8774" spans="1:16" x14ac:dyDescent="0.25">
      <c r="A8774" t="str">
        <f>"1140088H00210    00"</f>
        <v>1140088H00210    00</v>
      </c>
      <c r="B8774" t="s">
        <v>19337</v>
      </c>
      <c r="C8774" t="s">
        <v>19338</v>
      </c>
      <c r="E8774" t="s">
        <v>39</v>
      </c>
      <c r="F8774">
        <v>0</v>
      </c>
      <c r="G8774">
        <v>0</v>
      </c>
      <c r="H8774">
        <v>3</v>
      </c>
      <c r="I8774" s="3">
        <v>11357.8</v>
      </c>
      <c r="J8774" s="3">
        <v>24.27</v>
      </c>
      <c r="K8774" t="s">
        <v>756</v>
      </c>
      <c r="L8774">
        <v>3001</v>
      </c>
      <c r="M8774" t="s">
        <v>330</v>
      </c>
      <c r="N8774" t="s">
        <v>331</v>
      </c>
      <c r="O8774" t="s">
        <v>108</v>
      </c>
      <c r="P8774" t="str">
        <f>"75063"</f>
        <v>75063</v>
      </c>
    </row>
    <row r="8775" spans="1:16" x14ac:dyDescent="0.25">
      <c r="A8775" t="str">
        <f>"1140088H00212    00"</f>
        <v>1140088H00212    00</v>
      </c>
      <c r="B8775" t="s">
        <v>19339</v>
      </c>
      <c r="C8775" t="s">
        <v>19340</v>
      </c>
      <c r="E8775" t="s">
        <v>39</v>
      </c>
      <c r="F8775">
        <v>0</v>
      </c>
      <c r="G8775">
        <v>0</v>
      </c>
      <c r="H8775">
        <v>2</v>
      </c>
      <c r="I8775" s="3">
        <v>13560.32</v>
      </c>
      <c r="J8775" s="3">
        <v>0</v>
      </c>
      <c r="L8775">
        <v>249</v>
      </c>
      <c r="M8775" t="s">
        <v>19341</v>
      </c>
      <c r="N8775" t="s">
        <v>30</v>
      </c>
      <c r="O8775" t="s">
        <v>31</v>
      </c>
      <c r="P8775" t="str">
        <f>"15217"</f>
        <v>15217</v>
      </c>
    </row>
    <row r="8776" spans="1:16" x14ac:dyDescent="0.25">
      <c r="A8776" t="str">
        <f>"1140088H00214    00"</f>
        <v>1140088H00214    00</v>
      </c>
      <c r="B8776" t="s">
        <v>19342</v>
      </c>
      <c r="C8776" t="s">
        <v>19343</v>
      </c>
      <c r="E8776" t="s">
        <v>39</v>
      </c>
      <c r="F8776">
        <v>0</v>
      </c>
      <c r="G8776">
        <v>0</v>
      </c>
      <c r="H8776">
        <v>2</v>
      </c>
      <c r="I8776" s="3">
        <v>18653.14</v>
      </c>
      <c r="J8776" s="3">
        <v>0</v>
      </c>
      <c r="L8776">
        <v>257</v>
      </c>
      <c r="M8776" t="s">
        <v>19341</v>
      </c>
      <c r="N8776" t="s">
        <v>30</v>
      </c>
      <c r="O8776" t="s">
        <v>31</v>
      </c>
      <c r="P8776" t="str">
        <f>"15217"</f>
        <v>15217</v>
      </c>
    </row>
    <row r="8777" spans="1:16" x14ac:dyDescent="0.25">
      <c r="A8777" t="str">
        <f>"1140088H00216    00"</f>
        <v>1140088H00216    00</v>
      </c>
      <c r="B8777" t="s">
        <v>19344</v>
      </c>
      <c r="C8777" t="s">
        <v>19345</v>
      </c>
      <c r="E8777" t="s">
        <v>39</v>
      </c>
      <c r="F8777">
        <v>0</v>
      </c>
      <c r="G8777">
        <v>0</v>
      </c>
      <c r="H8777">
        <v>2</v>
      </c>
      <c r="I8777" s="3">
        <v>12447.22</v>
      </c>
      <c r="J8777" s="3">
        <v>0</v>
      </c>
      <c r="K8777" t="s">
        <v>445</v>
      </c>
      <c r="L8777">
        <v>1</v>
      </c>
      <c r="M8777" t="s">
        <v>1163</v>
      </c>
      <c r="N8777" t="s">
        <v>1164</v>
      </c>
      <c r="O8777" t="s">
        <v>108</v>
      </c>
      <c r="P8777" t="str">
        <f>"76262"</f>
        <v>76262</v>
      </c>
    </row>
    <row r="8778" spans="1:16" x14ac:dyDescent="0.25">
      <c r="A8778" t="str">
        <f>"1140088H00218    00"</f>
        <v>1140088H00218    00</v>
      </c>
      <c r="B8778" t="s">
        <v>19346</v>
      </c>
      <c r="C8778" t="s">
        <v>19347</v>
      </c>
      <c r="E8778" t="s">
        <v>39</v>
      </c>
      <c r="F8778">
        <v>0</v>
      </c>
      <c r="G8778">
        <v>0</v>
      </c>
      <c r="H8778">
        <v>2</v>
      </c>
      <c r="I8778" s="3">
        <v>13743.24</v>
      </c>
      <c r="J8778" s="3">
        <v>0</v>
      </c>
      <c r="L8778">
        <v>1609</v>
      </c>
      <c r="M8778" t="s">
        <v>19348</v>
      </c>
      <c r="N8778" t="s">
        <v>30</v>
      </c>
      <c r="O8778" t="s">
        <v>31</v>
      </c>
      <c r="P8778" t="str">
        <f>"15217"</f>
        <v>15217</v>
      </c>
    </row>
    <row r="8779" spans="1:16" x14ac:dyDescent="0.25">
      <c r="A8779" t="str">
        <f>"1140088H00220    00"</f>
        <v>1140088H00220    00</v>
      </c>
      <c r="B8779" t="s">
        <v>19349</v>
      </c>
      <c r="C8779" t="s">
        <v>19350</v>
      </c>
      <c r="E8779" t="s">
        <v>39</v>
      </c>
      <c r="F8779">
        <v>0</v>
      </c>
      <c r="G8779">
        <v>0</v>
      </c>
      <c r="H8779">
        <v>2</v>
      </c>
      <c r="I8779" s="3">
        <v>12996.14</v>
      </c>
      <c r="J8779" s="3">
        <v>0</v>
      </c>
      <c r="K8779" t="s">
        <v>9114</v>
      </c>
      <c r="M8779" t="s">
        <v>9115</v>
      </c>
      <c r="N8779" t="s">
        <v>264</v>
      </c>
      <c r="O8779" t="s">
        <v>25</v>
      </c>
      <c r="P8779" t="str">
        <f>"45263"</f>
        <v>45263</v>
      </c>
    </row>
    <row r="8780" spans="1:16" x14ac:dyDescent="0.25">
      <c r="A8780" t="str">
        <f>"1140088H00222    00"</f>
        <v>1140088H00222    00</v>
      </c>
      <c r="B8780" t="s">
        <v>19351</v>
      </c>
      <c r="C8780" t="s">
        <v>19352</v>
      </c>
      <c r="E8780" t="s">
        <v>39</v>
      </c>
      <c r="F8780">
        <v>0</v>
      </c>
      <c r="G8780">
        <v>0</v>
      </c>
      <c r="H8780">
        <v>2</v>
      </c>
      <c r="I8780" s="3">
        <v>17395.18</v>
      </c>
      <c r="J8780" s="3">
        <v>0</v>
      </c>
      <c r="K8780" t="s">
        <v>5861</v>
      </c>
      <c r="L8780">
        <v>3001</v>
      </c>
      <c r="M8780" t="s">
        <v>404</v>
      </c>
      <c r="N8780" t="s">
        <v>331</v>
      </c>
      <c r="O8780" t="s">
        <v>108</v>
      </c>
      <c r="P8780" t="str">
        <f>"75063"</f>
        <v>75063</v>
      </c>
    </row>
    <row r="8781" spans="1:16" x14ac:dyDescent="0.25">
      <c r="A8781" t="str">
        <f>"1140088H00224    00"</f>
        <v>1140088H00224    00</v>
      </c>
      <c r="B8781" t="s">
        <v>19353</v>
      </c>
      <c r="C8781" t="s">
        <v>19354</v>
      </c>
      <c r="E8781" t="s">
        <v>39</v>
      </c>
      <c r="F8781">
        <v>0</v>
      </c>
      <c r="G8781">
        <v>0</v>
      </c>
      <c r="H8781">
        <v>2</v>
      </c>
      <c r="I8781" s="3">
        <v>17101.64</v>
      </c>
      <c r="J8781" s="3">
        <v>0</v>
      </c>
      <c r="K8781" t="s">
        <v>1030</v>
      </c>
      <c r="M8781" t="s">
        <v>1031</v>
      </c>
      <c r="N8781" t="s">
        <v>1032</v>
      </c>
      <c r="O8781" t="s">
        <v>25</v>
      </c>
      <c r="P8781" t="str">
        <f>"44711"</f>
        <v>44711</v>
      </c>
    </row>
    <row r="8782" spans="1:16" x14ac:dyDescent="0.25">
      <c r="A8782" t="str">
        <f>"1140088K00007    00"</f>
        <v>1140088K00007    00</v>
      </c>
      <c r="B8782" t="s">
        <v>19355</v>
      </c>
      <c r="C8782" t="s">
        <v>19356</v>
      </c>
      <c r="E8782" t="s">
        <v>21</v>
      </c>
      <c r="F8782">
        <v>0</v>
      </c>
      <c r="G8782">
        <v>0</v>
      </c>
      <c r="H8782">
        <v>1</v>
      </c>
      <c r="I8782" s="3">
        <v>69.239999999999995</v>
      </c>
      <c r="J8782" s="3">
        <v>21.93</v>
      </c>
      <c r="K8782" t="s">
        <v>1722</v>
      </c>
      <c r="M8782" t="s">
        <v>1723</v>
      </c>
      <c r="N8782" t="s">
        <v>410</v>
      </c>
      <c r="O8782" t="s">
        <v>31</v>
      </c>
      <c r="P8782" t="str">
        <f>"15701"</f>
        <v>15701</v>
      </c>
    </row>
    <row r="8783" spans="1:16" x14ac:dyDescent="0.25">
      <c r="A8783" t="str">
        <f>"1140088K00014    00"</f>
        <v>1140088K00014    00</v>
      </c>
      <c r="B8783" t="s">
        <v>19357</v>
      </c>
      <c r="C8783" t="s">
        <v>19358</v>
      </c>
      <c r="E8783" t="s">
        <v>39</v>
      </c>
      <c r="F8783">
        <v>0</v>
      </c>
      <c r="G8783">
        <v>0</v>
      </c>
      <c r="H8783">
        <v>1</v>
      </c>
      <c r="I8783" s="3">
        <v>3179.21</v>
      </c>
      <c r="J8783" s="3">
        <v>211.94</v>
      </c>
      <c r="L8783">
        <v>3319</v>
      </c>
      <c r="M8783" t="s">
        <v>1695</v>
      </c>
      <c r="N8783" t="s">
        <v>30</v>
      </c>
      <c r="O8783" t="s">
        <v>31</v>
      </c>
      <c r="P8783" t="str">
        <f>"15217"</f>
        <v>15217</v>
      </c>
    </row>
    <row r="8784" spans="1:16" x14ac:dyDescent="0.25">
      <c r="A8784" t="str">
        <f>"1140088L00063    00"</f>
        <v>1140088L00063    00</v>
      </c>
      <c r="B8784" t="s">
        <v>19359</v>
      </c>
      <c r="C8784" t="s">
        <v>19360</v>
      </c>
      <c r="E8784" t="s">
        <v>39</v>
      </c>
      <c r="F8784">
        <v>0</v>
      </c>
      <c r="G8784">
        <v>0</v>
      </c>
      <c r="H8784">
        <v>2</v>
      </c>
      <c r="I8784" s="3">
        <v>20794.48</v>
      </c>
      <c r="J8784" s="3">
        <v>0</v>
      </c>
      <c r="K8784" t="s">
        <v>19361</v>
      </c>
      <c r="L8784">
        <v>739</v>
      </c>
      <c r="M8784" t="s">
        <v>7837</v>
      </c>
      <c r="N8784" t="s">
        <v>149</v>
      </c>
      <c r="O8784" t="s">
        <v>31</v>
      </c>
      <c r="P8784" t="str">
        <f>"15106"</f>
        <v>15106</v>
      </c>
    </row>
    <row r="8785" spans="1:16" x14ac:dyDescent="0.25">
      <c r="A8785" t="str">
        <f>"1140088L00065    00"</f>
        <v>1140088L00065    00</v>
      </c>
      <c r="B8785" t="s">
        <v>19362</v>
      </c>
      <c r="C8785" t="s">
        <v>19363</v>
      </c>
      <c r="E8785" t="s">
        <v>39</v>
      </c>
      <c r="F8785">
        <v>0</v>
      </c>
      <c r="G8785">
        <v>0</v>
      </c>
      <c r="H8785">
        <v>2</v>
      </c>
      <c r="I8785" s="3">
        <v>15138.44</v>
      </c>
      <c r="J8785" s="3">
        <v>0</v>
      </c>
      <c r="K8785" t="s">
        <v>19364</v>
      </c>
      <c r="L8785">
        <v>1629</v>
      </c>
      <c r="M8785" t="s">
        <v>19348</v>
      </c>
      <c r="N8785" t="s">
        <v>30</v>
      </c>
      <c r="O8785" t="s">
        <v>31</v>
      </c>
      <c r="P8785" t="str">
        <f>"15217"</f>
        <v>15217</v>
      </c>
    </row>
    <row r="8786" spans="1:16" x14ac:dyDescent="0.25">
      <c r="A8786" t="str">
        <f>"1140088L00067    00"</f>
        <v>1140088L00067    00</v>
      </c>
      <c r="B8786" t="s">
        <v>19365</v>
      </c>
      <c r="C8786" t="s">
        <v>19366</v>
      </c>
      <c r="E8786" t="s">
        <v>39</v>
      </c>
      <c r="F8786">
        <v>0</v>
      </c>
      <c r="G8786">
        <v>0</v>
      </c>
      <c r="H8786">
        <v>2</v>
      </c>
      <c r="I8786" s="3">
        <v>15073.66</v>
      </c>
      <c r="J8786" s="3">
        <v>0</v>
      </c>
      <c r="K8786" t="s">
        <v>19367</v>
      </c>
      <c r="L8786">
        <v>1631</v>
      </c>
      <c r="M8786" t="s">
        <v>19348</v>
      </c>
      <c r="N8786" t="s">
        <v>30</v>
      </c>
      <c r="O8786" t="s">
        <v>31</v>
      </c>
      <c r="P8786" t="str">
        <f>"15217"</f>
        <v>15217</v>
      </c>
    </row>
    <row r="8787" spans="1:16" x14ac:dyDescent="0.25">
      <c r="A8787" t="str">
        <f>"1140088L00069    00"</f>
        <v>1140088L00069    00</v>
      </c>
      <c r="B8787" t="s">
        <v>19368</v>
      </c>
      <c r="C8787" t="s">
        <v>19369</v>
      </c>
      <c r="E8787" t="s">
        <v>39</v>
      </c>
      <c r="F8787">
        <v>0</v>
      </c>
      <c r="G8787">
        <v>0</v>
      </c>
      <c r="H8787">
        <v>2</v>
      </c>
      <c r="I8787" s="3">
        <v>14993.58</v>
      </c>
      <c r="J8787" s="3">
        <v>0</v>
      </c>
      <c r="K8787" t="s">
        <v>1632</v>
      </c>
      <c r="L8787">
        <v>3001</v>
      </c>
      <c r="M8787" t="s">
        <v>330</v>
      </c>
      <c r="N8787" t="s">
        <v>331</v>
      </c>
      <c r="O8787" t="s">
        <v>108</v>
      </c>
      <c r="P8787" t="str">
        <f>"75063"</f>
        <v>75063</v>
      </c>
    </row>
    <row r="8788" spans="1:16" x14ac:dyDescent="0.25">
      <c r="A8788" t="str">
        <f>"1140088L00071    00"</f>
        <v>1140088L00071    00</v>
      </c>
      <c r="B8788" t="s">
        <v>19370</v>
      </c>
      <c r="C8788" t="s">
        <v>19371</v>
      </c>
      <c r="E8788" t="s">
        <v>39</v>
      </c>
      <c r="F8788">
        <v>0</v>
      </c>
      <c r="G8788">
        <v>0</v>
      </c>
      <c r="H8788">
        <v>2</v>
      </c>
      <c r="I8788" s="3">
        <v>20465.259999999998</v>
      </c>
      <c r="J8788" s="3">
        <v>0</v>
      </c>
      <c r="K8788" t="s">
        <v>19372</v>
      </c>
      <c r="L8788">
        <v>300</v>
      </c>
      <c r="M8788" t="s">
        <v>19373</v>
      </c>
      <c r="N8788" t="s">
        <v>19374</v>
      </c>
      <c r="O8788" t="s">
        <v>370</v>
      </c>
      <c r="P8788" t="str">
        <f>"33708"</f>
        <v>33708</v>
      </c>
    </row>
    <row r="8789" spans="1:16" x14ac:dyDescent="0.25">
      <c r="A8789" t="str">
        <f>"1140088L00073    00"</f>
        <v>1140088L00073    00</v>
      </c>
      <c r="B8789" t="s">
        <v>19375</v>
      </c>
      <c r="C8789" t="s">
        <v>19376</v>
      </c>
      <c r="E8789" t="s">
        <v>39</v>
      </c>
      <c r="F8789">
        <v>0</v>
      </c>
      <c r="G8789">
        <v>0</v>
      </c>
      <c r="H8789">
        <v>2</v>
      </c>
      <c r="I8789" s="3">
        <v>10766.1</v>
      </c>
      <c r="J8789" s="3">
        <v>0</v>
      </c>
      <c r="L8789">
        <v>1645</v>
      </c>
      <c r="M8789" t="s">
        <v>19348</v>
      </c>
      <c r="N8789" t="s">
        <v>30</v>
      </c>
      <c r="O8789" t="s">
        <v>31</v>
      </c>
      <c r="P8789" t="str">
        <f>"15217"</f>
        <v>15217</v>
      </c>
    </row>
    <row r="8790" spans="1:16" x14ac:dyDescent="0.25">
      <c r="A8790" t="str">
        <f>"1140088L00074    00"</f>
        <v>1140088L00074    00</v>
      </c>
      <c r="B8790" t="s">
        <v>19377</v>
      </c>
      <c r="C8790" t="s">
        <v>19378</v>
      </c>
      <c r="E8790" t="s">
        <v>39</v>
      </c>
      <c r="F8790">
        <v>0</v>
      </c>
      <c r="G8790">
        <v>0</v>
      </c>
      <c r="H8790">
        <v>2</v>
      </c>
      <c r="I8790" s="3">
        <v>10773.72</v>
      </c>
      <c r="J8790" s="3">
        <v>0</v>
      </c>
      <c r="L8790">
        <v>1649</v>
      </c>
      <c r="M8790" t="s">
        <v>19348</v>
      </c>
      <c r="N8790" t="s">
        <v>30</v>
      </c>
      <c r="O8790" t="s">
        <v>31</v>
      </c>
      <c r="P8790" t="str">
        <f>"15217"</f>
        <v>15217</v>
      </c>
    </row>
    <row r="8791" spans="1:16" x14ac:dyDescent="0.25">
      <c r="A8791" t="str">
        <f>"1140088L00076    00"</f>
        <v>1140088L00076    00</v>
      </c>
      <c r="B8791" t="s">
        <v>19379</v>
      </c>
      <c r="C8791" t="s">
        <v>19380</v>
      </c>
      <c r="E8791" t="s">
        <v>39</v>
      </c>
      <c r="F8791">
        <v>0</v>
      </c>
      <c r="G8791">
        <v>0</v>
      </c>
      <c r="H8791">
        <v>1</v>
      </c>
      <c r="I8791" s="3">
        <v>10084.66</v>
      </c>
      <c r="J8791" s="3">
        <v>0</v>
      </c>
      <c r="L8791">
        <v>1655</v>
      </c>
      <c r="M8791" t="s">
        <v>19348</v>
      </c>
      <c r="N8791" t="s">
        <v>30</v>
      </c>
      <c r="O8791" t="s">
        <v>31</v>
      </c>
      <c r="P8791" t="str">
        <f>"15217"</f>
        <v>15217</v>
      </c>
    </row>
    <row r="8792" spans="1:16" x14ac:dyDescent="0.25">
      <c r="A8792" t="str">
        <f>"1140088L00078    00"</f>
        <v>1140088L00078    00</v>
      </c>
      <c r="B8792" t="s">
        <v>19381</v>
      </c>
      <c r="C8792" t="s">
        <v>19382</v>
      </c>
      <c r="E8792" t="s">
        <v>39</v>
      </c>
      <c r="F8792">
        <v>0</v>
      </c>
      <c r="G8792">
        <v>0</v>
      </c>
      <c r="H8792">
        <v>2</v>
      </c>
      <c r="I8792" s="3">
        <v>16861.5</v>
      </c>
      <c r="J8792" s="3">
        <v>0</v>
      </c>
      <c r="K8792" t="s">
        <v>19383</v>
      </c>
      <c r="L8792">
        <v>1657</v>
      </c>
      <c r="M8792" t="s">
        <v>19348</v>
      </c>
      <c r="N8792" t="s">
        <v>30</v>
      </c>
      <c r="O8792" t="s">
        <v>31</v>
      </c>
      <c r="P8792" t="str">
        <f>"15217"</f>
        <v>15217</v>
      </c>
    </row>
    <row r="8793" spans="1:16" x14ac:dyDescent="0.25">
      <c r="A8793" t="str">
        <f>"1140088L00080    00"</f>
        <v>1140088L00080    00</v>
      </c>
      <c r="B8793" t="s">
        <v>19384</v>
      </c>
      <c r="C8793" t="s">
        <v>19385</v>
      </c>
      <c r="E8793" t="s">
        <v>39</v>
      </c>
      <c r="F8793">
        <v>0</v>
      </c>
      <c r="G8793">
        <v>0</v>
      </c>
      <c r="H8793">
        <v>2</v>
      </c>
      <c r="I8793" s="3">
        <v>16990.099999999999</v>
      </c>
      <c r="J8793" s="3">
        <v>0</v>
      </c>
      <c r="K8793" t="s">
        <v>7145</v>
      </c>
      <c r="L8793">
        <v>3001</v>
      </c>
      <c r="M8793" t="s">
        <v>330</v>
      </c>
      <c r="N8793" t="s">
        <v>331</v>
      </c>
      <c r="O8793" t="s">
        <v>108</v>
      </c>
      <c r="P8793" t="str">
        <f>"75063"</f>
        <v>75063</v>
      </c>
    </row>
    <row r="8794" spans="1:16" x14ac:dyDescent="0.25">
      <c r="A8794" t="str">
        <f>"1140088L00082    00"</f>
        <v>1140088L00082    00</v>
      </c>
      <c r="B8794" t="s">
        <v>19386</v>
      </c>
      <c r="C8794" t="s">
        <v>19387</v>
      </c>
      <c r="E8794" t="s">
        <v>39</v>
      </c>
      <c r="F8794">
        <v>0</v>
      </c>
      <c r="G8794">
        <v>0</v>
      </c>
      <c r="H8794">
        <v>3</v>
      </c>
      <c r="I8794" s="3">
        <v>13690.81</v>
      </c>
      <c r="J8794" s="3">
        <v>53.17</v>
      </c>
      <c r="K8794" t="s">
        <v>2302</v>
      </c>
      <c r="L8794">
        <v>3001</v>
      </c>
      <c r="M8794" t="s">
        <v>330</v>
      </c>
      <c r="N8794" t="s">
        <v>331</v>
      </c>
      <c r="O8794" t="s">
        <v>108</v>
      </c>
      <c r="P8794" t="str">
        <f>"75063"</f>
        <v>75063</v>
      </c>
    </row>
    <row r="8795" spans="1:16" x14ac:dyDescent="0.25">
      <c r="A8795" t="str">
        <f>"1140088L00084    00"</f>
        <v>1140088L00084    00</v>
      </c>
      <c r="B8795" t="s">
        <v>19388</v>
      </c>
      <c r="C8795" t="s">
        <v>19389</v>
      </c>
      <c r="E8795" t="s">
        <v>39</v>
      </c>
      <c r="F8795">
        <v>0</v>
      </c>
      <c r="G8795">
        <v>0</v>
      </c>
      <c r="H8795">
        <v>2</v>
      </c>
      <c r="I8795" s="3">
        <v>9641.5400000000009</v>
      </c>
      <c r="J8795" s="3">
        <v>0</v>
      </c>
      <c r="K8795" t="s">
        <v>19390</v>
      </c>
      <c r="L8795">
        <v>1665</v>
      </c>
      <c r="M8795" t="s">
        <v>19348</v>
      </c>
      <c r="N8795" t="s">
        <v>30</v>
      </c>
      <c r="O8795" t="s">
        <v>31</v>
      </c>
      <c r="P8795" t="str">
        <f>"15217"</f>
        <v>15217</v>
      </c>
    </row>
    <row r="8796" spans="1:16" x14ac:dyDescent="0.25">
      <c r="A8796" t="str">
        <f>"1140088L00086    00"</f>
        <v>1140088L00086    00</v>
      </c>
      <c r="B8796" t="s">
        <v>19391</v>
      </c>
      <c r="C8796" t="s">
        <v>19392</v>
      </c>
      <c r="E8796" t="s">
        <v>39</v>
      </c>
      <c r="F8796">
        <v>0</v>
      </c>
      <c r="G8796">
        <v>0</v>
      </c>
      <c r="H8796">
        <v>2</v>
      </c>
      <c r="I8796" s="3">
        <v>21066.12</v>
      </c>
      <c r="J8796" s="3">
        <v>0</v>
      </c>
      <c r="L8796">
        <v>1671</v>
      </c>
      <c r="M8796" t="s">
        <v>19348</v>
      </c>
      <c r="N8796" t="s">
        <v>30</v>
      </c>
      <c r="O8796" t="s">
        <v>31</v>
      </c>
      <c r="P8796" t="str">
        <f>"15217"</f>
        <v>15217</v>
      </c>
    </row>
    <row r="8797" spans="1:16" x14ac:dyDescent="0.25">
      <c r="A8797" t="str">
        <f>"1140088L00093    00"</f>
        <v>1140088L00093    00</v>
      </c>
      <c r="B8797" t="s">
        <v>19393</v>
      </c>
      <c r="C8797" t="s">
        <v>19394</v>
      </c>
      <c r="E8797" t="s">
        <v>39</v>
      </c>
      <c r="F8797">
        <v>0</v>
      </c>
      <c r="G8797">
        <v>0</v>
      </c>
      <c r="H8797">
        <v>1</v>
      </c>
      <c r="I8797" s="3">
        <v>7029.86</v>
      </c>
      <c r="J8797" s="3">
        <v>0</v>
      </c>
      <c r="K8797" t="s">
        <v>19395</v>
      </c>
      <c r="L8797">
        <v>1675</v>
      </c>
      <c r="M8797" t="s">
        <v>19348</v>
      </c>
      <c r="N8797" t="s">
        <v>30</v>
      </c>
      <c r="O8797" t="s">
        <v>31</v>
      </c>
      <c r="P8797" t="str">
        <f>"15217"</f>
        <v>15217</v>
      </c>
    </row>
    <row r="8798" spans="1:16" x14ac:dyDescent="0.25">
      <c r="A8798" t="str">
        <f>"1140088L00097    00"</f>
        <v>1140088L00097    00</v>
      </c>
      <c r="B8798" t="s">
        <v>19396</v>
      </c>
      <c r="C8798" t="s">
        <v>19397</v>
      </c>
      <c r="E8798" t="s">
        <v>39</v>
      </c>
      <c r="F8798">
        <v>0</v>
      </c>
      <c r="G8798">
        <v>0</v>
      </c>
      <c r="H8798">
        <v>3</v>
      </c>
      <c r="I8798" s="3">
        <v>27524.47</v>
      </c>
      <c r="J8798" s="3">
        <v>2049.35</v>
      </c>
      <c r="K8798" t="s">
        <v>8521</v>
      </c>
      <c r="L8798">
        <v>3001</v>
      </c>
      <c r="M8798" t="s">
        <v>330</v>
      </c>
      <c r="N8798" t="s">
        <v>331</v>
      </c>
      <c r="O8798" t="s">
        <v>108</v>
      </c>
      <c r="P8798" t="str">
        <f>"75063"</f>
        <v>75063</v>
      </c>
    </row>
    <row r="8799" spans="1:16" x14ac:dyDescent="0.25">
      <c r="A8799" t="str">
        <f>"1140088L00099    00"</f>
        <v>1140088L00099    00</v>
      </c>
      <c r="B8799" t="s">
        <v>19398</v>
      </c>
      <c r="C8799" t="s">
        <v>19399</v>
      </c>
      <c r="E8799" t="s">
        <v>39</v>
      </c>
      <c r="F8799">
        <v>0</v>
      </c>
      <c r="G8799">
        <v>0</v>
      </c>
      <c r="H8799">
        <v>2</v>
      </c>
      <c r="I8799" s="3">
        <v>23742.14</v>
      </c>
      <c r="J8799" s="3">
        <v>0</v>
      </c>
      <c r="K8799" t="s">
        <v>19400</v>
      </c>
      <c r="L8799">
        <v>1687</v>
      </c>
      <c r="M8799" t="s">
        <v>19348</v>
      </c>
      <c r="N8799" t="s">
        <v>30</v>
      </c>
      <c r="O8799" t="s">
        <v>31</v>
      </c>
      <c r="P8799" t="str">
        <f>"15217"</f>
        <v>15217</v>
      </c>
    </row>
    <row r="8800" spans="1:16" x14ac:dyDescent="0.25">
      <c r="A8800" t="str">
        <f>"1140088L00103    00"</f>
        <v>1140088L00103    00</v>
      </c>
      <c r="B8800" t="s">
        <v>19401</v>
      </c>
      <c r="C8800" t="s">
        <v>19402</v>
      </c>
      <c r="E8800" t="s">
        <v>39</v>
      </c>
      <c r="F8800">
        <v>0</v>
      </c>
      <c r="G8800">
        <v>0</v>
      </c>
      <c r="H8800">
        <v>3</v>
      </c>
      <c r="I8800" s="3">
        <v>37402.5</v>
      </c>
      <c r="J8800" s="3">
        <v>887.25</v>
      </c>
      <c r="L8800">
        <v>1695</v>
      </c>
      <c r="M8800" t="s">
        <v>19348</v>
      </c>
      <c r="N8800" t="s">
        <v>30</v>
      </c>
      <c r="O8800" t="s">
        <v>31</v>
      </c>
      <c r="P8800" t="str">
        <f>"15217"</f>
        <v>15217</v>
      </c>
    </row>
    <row r="8801" spans="1:16" x14ac:dyDescent="0.25">
      <c r="A8801" t="str">
        <f>"1140088L00107    00"</f>
        <v>1140088L00107    00</v>
      </c>
      <c r="B8801" t="s">
        <v>19403</v>
      </c>
      <c r="C8801" t="s">
        <v>19404</v>
      </c>
      <c r="E8801" t="s">
        <v>39</v>
      </c>
      <c r="F8801">
        <v>0</v>
      </c>
      <c r="G8801">
        <v>0</v>
      </c>
      <c r="H8801">
        <v>2</v>
      </c>
      <c r="I8801" s="3">
        <v>18415.78</v>
      </c>
      <c r="J8801" s="3">
        <v>0</v>
      </c>
      <c r="K8801" t="s">
        <v>1722</v>
      </c>
      <c r="M8801" t="s">
        <v>1723</v>
      </c>
      <c r="N8801" t="s">
        <v>410</v>
      </c>
      <c r="O8801" t="s">
        <v>31</v>
      </c>
      <c r="P8801" t="str">
        <f>"15701"</f>
        <v>15701</v>
      </c>
    </row>
    <row r="8802" spans="1:16" x14ac:dyDescent="0.25">
      <c r="A8802" t="str">
        <f>"1140088L00109    00"</f>
        <v>1140088L00109    00</v>
      </c>
      <c r="B8802" t="s">
        <v>19405</v>
      </c>
      <c r="C8802" t="s">
        <v>19406</v>
      </c>
      <c r="E8802" t="s">
        <v>39</v>
      </c>
      <c r="F8802">
        <v>0</v>
      </c>
      <c r="G8802">
        <v>0</v>
      </c>
      <c r="H8802">
        <v>2</v>
      </c>
      <c r="I8802" s="3">
        <v>18233.82</v>
      </c>
      <c r="J8802" s="3">
        <v>0</v>
      </c>
      <c r="K8802" t="s">
        <v>19407</v>
      </c>
      <c r="L8802">
        <v>1705</v>
      </c>
      <c r="M8802" t="s">
        <v>1649</v>
      </c>
      <c r="N8802" t="s">
        <v>30</v>
      </c>
      <c r="O8802" t="s">
        <v>31</v>
      </c>
      <c r="P8802" t="str">
        <f>"15217"</f>
        <v>15217</v>
      </c>
    </row>
    <row r="8803" spans="1:16" x14ac:dyDescent="0.25">
      <c r="A8803" t="str">
        <f>"1140088L00111    00"</f>
        <v>1140088L00111    00</v>
      </c>
      <c r="B8803" t="s">
        <v>19408</v>
      </c>
      <c r="C8803" t="s">
        <v>19409</v>
      </c>
      <c r="E8803" t="s">
        <v>39</v>
      </c>
      <c r="F8803">
        <v>0</v>
      </c>
      <c r="G8803">
        <v>0</v>
      </c>
      <c r="H8803">
        <v>2</v>
      </c>
      <c r="I8803" s="3">
        <v>13148.62</v>
      </c>
      <c r="J8803" s="3">
        <v>0</v>
      </c>
      <c r="K8803" t="s">
        <v>19410</v>
      </c>
      <c r="L8803">
        <v>1715</v>
      </c>
      <c r="M8803" t="s">
        <v>1649</v>
      </c>
      <c r="N8803" t="s">
        <v>30</v>
      </c>
      <c r="O8803" t="s">
        <v>31</v>
      </c>
      <c r="P8803" t="str">
        <f>"15217"</f>
        <v>15217</v>
      </c>
    </row>
    <row r="8804" spans="1:16" x14ac:dyDescent="0.25">
      <c r="A8804" t="str">
        <f>"1140088L00113    00"</f>
        <v>1140088L00113    00</v>
      </c>
      <c r="B8804" t="s">
        <v>19411</v>
      </c>
      <c r="C8804" t="s">
        <v>19412</v>
      </c>
      <c r="E8804" t="s">
        <v>39</v>
      </c>
      <c r="F8804">
        <v>0</v>
      </c>
      <c r="G8804">
        <v>0</v>
      </c>
      <c r="H8804">
        <v>2</v>
      </c>
      <c r="I8804" s="3">
        <v>13144.78</v>
      </c>
      <c r="J8804" s="3">
        <v>0</v>
      </c>
      <c r="K8804" t="s">
        <v>1632</v>
      </c>
      <c r="L8804">
        <v>3001</v>
      </c>
      <c r="M8804" t="s">
        <v>330</v>
      </c>
      <c r="N8804" t="s">
        <v>331</v>
      </c>
      <c r="O8804" t="s">
        <v>108</v>
      </c>
      <c r="P8804" t="str">
        <f>"75063"</f>
        <v>75063</v>
      </c>
    </row>
    <row r="8805" spans="1:16" x14ac:dyDescent="0.25">
      <c r="A8805" t="str">
        <f>"1140088L00117    00"</f>
        <v>1140088L00117    00</v>
      </c>
      <c r="B8805" t="s">
        <v>19413</v>
      </c>
      <c r="C8805" t="s">
        <v>19414</v>
      </c>
      <c r="E8805" t="s">
        <v>39</v>
      </c>
      <c r="F8805">
        <v>0</v>
      </c>
      <c r="G8805">
        <v>0</v>
      </c>
      <c r="H8805">
        <v>2</v>
      </c>
      <c r="I8805" s="3">
        <v>20784.02</v>
      </c>
      <c r="J8805" s="3">
        <v>0</v>
      </c>
      <c r="L8805">
        <v>1731</v>
      </c>
      <c r="M8805" t="s">
        <v>1649</v>
      </c>
      <c r="N8805" t="s">
        <v>30</v>
      </c>
      <c r="O8805" t="s">
        <v>31</v>
      </c>
      <c r="P8805" t="str">
        <f>"15217"</f>
        <v>15217</v>
      </c>
    </row>
    <row r="8806" spans="1:16" x14ac:dyDescent="0.25">
      <c r="A8806" t="str">
        <f>"1140088L00119    00"</f>
        <v>1140088L00119    00</v>
      </c>
      <c r="B8806" t="s">
        <v>19415</v>
      </c>
      <c r="C8806" t="s">
        <v>19416</v>
      </c>
      <c r="E8806" t="s">
        <v>39</v>
      </c>
      <c r="F8806">
        <v>0</v>
      </c>
      <c r="G8806">
        <v>0</v>
      </c>
      <c r="H8806">
        <v>2</v>
      </c>
      <c r="I8806" s="3">
        <v>19789.080000000002</v>
      </c>
      <c r="J8806" s="3">
        <v>0</v>
      </c>
      <c r="K8806" t="s">
        <v>1632</v>
      </c>
      <c r="L8806">
        <v>3001</v>
      </c>
      <c r="M8806" t="s">
        <v>330</v>
      </c>
      <c r="N8806" t="s">
        <v>331</v>
      </c>
      <c r="O8806" t="s">
        <v>108</v>
      </c>
      <c r="P8806" t="str">
        <f>"75063"</f>
        <v>75063</v>
      </c>
    </row>
    <row r="8807" spans="1:16" x14ac:dyDescent="0.25">
      <c r="A8807" t="str">
        <f>"1140088L00121    00"</f>
        <v>1140088L00121    00</v>
      </c>
      <c r="B8807" t="s">
        <v>19417</v>
      </c>
      <c r="C8807" t="s">
        <v>19418</v>
      </c>
      <c r="E8807" t="s">
        <v>39</v>
      </c>
      <c r="F8807">
        <v>0</v>
      </c>
      <c r="G8807">
        <v>0</v>
      </c>
      <c r="H8807">
        <v>2</v>
      </c>
      <c r="I8807" s="3">
        <v>18492.98</v>
      </c>
      <c r="J8807" s="3">
        <v>0</v>
      </c>
      <c r="K8807" t="s">
        <v>2302</v>
      </c>
      <c r="L8807">
        <v>3001</v>
      </c>
      <c r="M8807" t="s">
        <v>330</v>
      </c>
      <c r="N8807" t="s">
        <v>331</v>
      </c>
      <c r="O8807" t="s">
        <v>108</v>
      </c>
      <c r="P8807" t="str">
        <f>"75063"</f>
        <v>75063</v>
      </c>
    </row>
    <row r="8808" spans="1:16" x14ac:dyDescent="0.25">
      <c r="A8808" t="str">
        <f>"1140088M00005    00"</f>
        <v>1140088M00005    00</v>
      </c>
      <c r="B8808" t="s">
        <v>19419</v>
      </c>
      <c r="C8808" t="s">
        <v>19420</v>
      </c>
      <c r="E8808" t="s">
        <v>39</v>
      </c>
      <c r="F8808">
        <v>0</v>
      </c>
      <c r="G8808">
        <v>0</v>
      </c>
      <c r="H8808">
        <v>1</v>
      </c>
      <c r="I8808" s="3">
        <v>19.78</v>
      </c>
      <c r="J8808" s="3">
        <v>25.05</v>
      </c>
      <c r="K8808" t="s">
        <v>767</v>
      </c>
      <c r="L8808">
        <v>3001</v>
      </c>
      <c r="M8808" t="s">
        <v>330</v>
      </c>
      <c r="N8808" t="s">
        <v>331</v>
      </c>
      <c r="O8808" t="s">
        <v>108</v>
      </c>
      <c r="P8808" t="str">
        <f>"75063"</f>
        <v>75063</v>
      </c>
    </row>
    <row r="8809" spans="1:16" x14ac:dyDescent="0.25">
      <c r="A8809" t="str">
        <f>"1140088M00010    00"</f>
        <v>1140088M00010    00</v>
      </c>
      <c r="B8809" t="s">
        <v>19421</v>
      </c>
      <c r="C8809" t="s">
        <v>19422</v>
      </c>
      <c r="E8809" t="s">
        <v>39</v>
      </c>
      <c r="F8809">
        <v>0</v>
      </c>
      <c r="G8809">
        <v>0</v>
      </c>
      <c r="H8809">
        <v>2</v>
      </c>
      <c r="I8809" s="3">
        <v>3385.06</v>
      </c>
      <c r="J8809" s="3">
        <v>0</v>
      </c>
      <c r="K8809" t="s">
        <v>762</v>
      </c>
      <c r="M8809" t="s">
        <v>1439</v>
      </c>
      <c r="N8809" t="s">
        <v>1440</v>
      </c>
      <c r="O8809" t="s">
        <v>70</v>
      </c>
      <c r="P8809" t="str">
        <f>"48501"</f>
        <v>48501</v>
      </c>
    </row>
    <row r="8810" spans="1:16" x14ac:dyDescent="0.25">
      <c r="A8810" t="str">
        <f>"1140088M00011    00"</f>
        <v>1140088M00011    00</v>
      </c>
      <c r="B8810" t="s">
        <v>19423</v>
      </c>
      <c r="C8810" t="s">
        <v>19424</v>
      </c>
      <c r="E8810" t="s">
        <v>39</v>
      </c>
      <c r="F8810">
        <v>0</v>
      </c>
      <c r="G8810">
        <v>0</v>
      </c>
      <c r="H8810">
        <v>1</v>
      </c>
      <c r="I8810" s="3">
        <v>3857.06</v>
      </c>
      <c r="J8810" s="3">
        <v>1060.6500000000001</v>
      </c>
      <c r="K8810" t="s">
        <v>19425</v>
      </c>
      <c r="L8810">
        <v>1554</v>
      </c>
      <c r="M8810" t="s">
        <v>19324</v>
      </c>
      <c r="N8810" t="s">
        <v>30</v>
      </c>
      <c r="O8810" t="s">
        <v>31</v>
      </c>
      <c r="P8810" t="str">
        <f t="shared" ref="P8810:P8815" si="101">"15217"</f>
        <v>15217</v>
      </c>
    </row>
    <row r="8811" spans="1:16" x14ac:dyDescent="0.25">
      <c r="A8811" t="str">
        <f>"1140088M00012000A00"</f>
        <v>1140088M00012000A00</v>
      </c>
      <c r="B8811" t="s">
        <v>19426</v>
      </c>
      <c r="C8811" t="s">
        <v>19427</v>
      </c>
      <c r="E8811" t="s">
        <v>39</v>
      </c>
      <c r="F8811">
        <v>0</v>
      </c>
      <c r="G8811">
        <v>0</v>
      </c>
      <c r="H8811">
        <v>1</v>
      </c>
      <c r="I8811" s="3">
        <v>2909.66</v>
      </c>
      <c r="J8811" s="3">
        <v>800.14</v>
      </c>
      <c r="K8811" t="s">
        <v>19428</v>
      </c>
      <c r="L8811">
        <v>1544</v>
      </c>
      <c r="M8811" t="s">
        <v>19429</v>
      </c>
      <c r="N8811" t="s">
        <v>30</v>
      </c>
      <c r="O8811" t="s">
        <v>31</v>
      </c>
      <c r="P8811" t="str">
        <f t="shared" si="101"/>
        <v>15217</v>
      </c>
    </row>
    <row r="8812" spans="1:16" x14ac:dyDescent="0.25">
      <c r="A8812" t="str">
        <f>"1140088M00012000C00"</f>
        <v>1140088M00012000C00</v>
      </c>
      <c r="B8812" t="s">
        <v>19430</v>
      </c>
      <c r="C8812" t="s">
        <v>19431</v>
      </c>
      <c r="E8812" t="s">
        <v>39</v>
      </c>
      <c r="F8812">
        <v>0</v>
      </c>
      <c r="G8812">
        <v>0</v>
      </c>
      <c r="H8812">
        <v>2</v>
      </c>
      <c r="I8812" s="3">
        <v>950.39</v>
      </c>
      <c r="J8812" s="3">
        <v>64.98</v>
      </c>
      <c r="K8812" t="s">
        <v>19432</v>
      </c>
      <c r="L8812">
        <v>1544</v>
      </c>
      <c r="M8812" t="s">
        <v>19433</v>
      </c>
      <c r="N8812" t="s">
        <v>30</v>
      </c>
      <c r="O8812" t="s">
        <v>31</v>
      </c>
      <c r="P8812" t="str">
        <f t="shared" si="101"/>
        <v>15217</v>
      </c>
    </row>
    <row r="8813" spans="1:16" x14ac:dyDescent="0.25">
      <c r="A8813" t="str">
        <f>"1140088M00014    00"</f>
        <v>1140088M00014    00</v>
      </c>
      <c r="B8813" t="s">
        <v>19434</v>
      </c>
      <c r="C8813" t="s">
        <v>19435</v>
      </c>
      <c r="D8813" t="s">
        <v>20</v>
      </c>
      <c r="E8813" t="s">
        <v>39</v>
      </c>
      <c r="F8813">
        <v>0</v>
      </c>
      <c r="G8813">
        <v>0</v>
      </c>
      <c r="H8813">
        <v>1</v>
      </c>
      <c r="I8813" s="3">
        <v>7448.38</v>
      </c>
      <c r="J8813" s="3">
        <v>0</v>
      </c>
      <c r="L8813">
        <v>1547</v>
      </c>
      <c r="M8813" t="s">
        <v>1649</v>
      </c>
      <c r="N8813" t="s">
        <v>30</v>
      </c>
      <c r="O8813" t="s">
        <v>31</v>
      </c>
      <c r="P8813" t="str">
        <f t="shared" si="101"/>
        <v>15217</v>
      </c>
    </row>
    <row r="8814" spans="1:16" x14ac:dyDescent="0.25">
      <c r="A8814" t="str">
        <f>"1140088M00016    00"</f>
        <v>1140088M00016    00</v>
      </c>
      <c r="B8814" t="s">
        <v>19436</v>
      </c>
      <c r="C8814" t="s">
        <v>19437</v>
      </c>
      <c r="E8814" t="s">
        <v>39</v>
      </c>
      <c r="F8814">
        <v>0</v>
      </c>
      <c r="G8814">
        <v>0</v>
      </c>
      <c r="H8814">
        <v>1</v>
      </c>
      <c r="I8814" s="3">
        <v>1479.05</v>
      </c>
      <c r="J8814" s="3">
        <v>0</v>
      </c>
      <c r="K8814" t="s">
        <v>19438</v>
      </c>
      <c r="L8814">
        <v>1561</v>
      </c>
      <c r="M8814" t="s">
        <v>1649</v>
      </c>
      <c r="N8814" t="s">
        <v>30</v>
      </c>
      <c r="O8814" t="s">
        <v>31</v>
      </c>
      <c r="P8814" t="str">
        <f t="shared" si="101"/>
        <v>15217</v>
      </c>
    </row>
    <row r="8815" spans="1:16" x14ac:dyDescent="0.25">
      <c r="A8815" t="str">
        <f>"1140088M00030    00"</f>
        <v>1140088M00030    00</v>
      </c>
      <c r="B8815" t="s">
        <v>19439</v>
      </c>
      <c r="C8815" t="s">
        <v>19440</v>
      </c>
      <c r="E8815" t="s">
        <v>39</v>
      </c>
      <c r="F8815">
        <v>0</v>
      </c>
      <c r="G8815">
        <v>0</v>
      </c>
      <c r="H8815">
        <v>2</v>
      </c>
      <c r="I8815" s="3">
        <v>14463.72</v>
      </c>
      <c r="J8815" s="3">
        <v>0</v>
      </c>
      <c r="K8815" t="s">
        <v>19441</v>
      </c>
      <c r="L8815">
        <v>1722</v>
      </c>
      <c r="M8815" t="s">
        <v>1649</v>
      </c>
      <c r="N8815" t="s">
        <v>30</v>
      </c>
      <c r="O8815" t="s">
        <v>31</v>
      </c>
      <c r="P8815" t="str">
        <f t="shared" si="101"/>
        <v>15217</v>
      </c>
    </row>
    <row r="8816" spans="1:16" x14ac:dyDescent="0.25">
      <c r="A8816" t="str">
        <f>"1140088M00032    00"</f>
        <v>1140088M00032    00</v>
      </c>
      <c r="B8816" t="s">
        <v>19442</v>
      </c>
      <c r="C8816" t="s">
        <v>19443</v>
      </c>
      <c r="E8816" t="s">
        <v>39</v>
      </c>
      <c r="F8816">
        <v>0</v>
      </c>
      <c r="G8816">
        <v>0</v>
      </c>
      <c r="H8816">
        <v>2</v>
      </c>
      <c r="I8816" s="3">
        <v>16249.2</v>
      </c>
      <c r="J8816" s="3">
        <v>0</v>
      </c>
      <c r="K8816" t="s">
        <v>400</v>
      </c>
      <c r="L8816">
        <v>3001</v>
      </c>
      <c r="M8816" t="s">
        <v>330</v>
      </c>
      <c r="N8816" t="s">
        <v>331</v>
      </c>
      <c r="O8816" t="s">
        <v>108</v>
      </c>
      <c r="P8816" t="str">
        <f>"75063"</f>
        <v>75063</v>
      </c>
    </row>
    <row r="8817" spans="1:16" x14ac:dyDescent="0.25">
      <c r="A8817" t="str">
        <f>"1140088M00034    00"</f>
        <v>1140088M00034    00</v>
      </c>
      <c r="B8817" t="s">
        <v>19444</v>
      </c>
      <c r="C8817" t="s">
        <v>19445</v>
      </c>
      <c r="E8817" t="s">
        <v>39</v>
      </c>
      <c r="F8817">
        <v>0</v>
      </c>
      <c r="G8817">
        <v>0</v>
      </c>
      <c r="H8817">
        <v>3</v>
      </c>
      <c r="I8817" s="3">
        <v>25003.16</v>
      </c>
      <c r="J8817" s="3">
        <v>1150.0899999999999</v>
      </c>
      <c r="K8817" t="s">
        <v>6184</v>
      </c>
      <c r="L8817">
        <v>901</v>
      </c>
      <c r="M8817" t="s">
        <v>1503</v>
      </c>
      <c r="N8817" t="s">
        <v>494</v>
      </c>
      <c r="O8817" t="s">
        <v>495</v>
      </c>
      <c r="P8817" t="str">
        <f>"91768"</f>
        <v>91768</v>
      </c>
    </row>
    <row r="8818" spans="1:16" x14ac:dyDescent="0.25">
      <c r="A8818" t="str">
        <f>"1140088M00036    00"</f>
        <v>1140088M00036    00</v>
      </c>
      <c r="B8818" t="s">
        <v>19446</v>
      </c>
      <c r="C8818" t="s">
        <v>19447</v>
      </c>
      <c r="E8818" t="s">
        <v>39</v>
      </c>
      <c r="F8818">
        <v>0</v>
      </c>
      <c r="G8818">
        <v>0</v>
      </c>
      <c r="H8818">
        <v>1</v>
      </c>
      <c r="I8818" s="3">
        <v>11427.01</v>
      </c>
      <c r="J8818" s="3">
        <v>0</v>
      </c>
      <c r="K8818" t="s">
        <v>19448</v>
      </c>
      <c r="L8818">
        <v>1690</v>
      </c>
      <c r="M8818" t="s">
        <v>19449</v>
      </c>
      <c r="N8818" t="s">
        <v>30</v>
      </c>
      <c r="O8818" t="s">
        <v>31</v>
      </c>
      <c r="P8818" t="str">
        <f>"15217"</f>
        <v>15217</v>
      </c>
    </row>
    <row r="8819" spans="1:16" x14ac:dyDescent="0.25">
      <c r="A8819" t="str">
        <f>"1140088M00038    00"</f>
        <v>1140088M00038    00</v>
      </c>
      <c r="B8819" t="s">
        <v>19450</v>
      </c>
      <c r="C8819" t="s">
        <v>19451</v>
      </c>
      <c r="E8819" t="s">
        <v>39</v>
      </c>
      <c r="F8819">
        <v>0</v>
      </c>
      <c r="G8819">
        <v>0</v>
      </c>
      <c r="H8819">
        <v>2</v>
      </c>
      <c r="I8819" s="3">
        <v>17318.900000000001</v>
      </c>
      <c r="J8819" s="3">
        <v>0</v>
      </c>
      <c r="K8819" t="s">
        <v>19452</v>
      </c>
      <c r="M8819" t="s">
        <v>1439</v>
      </c>
      <c r="N8819" t="s">
        <v>1440</v>
      </c>
      <c r="O8819" t="s">
        <v>70</v>
      </c>
      <c r="P8819" t="str">
        <f>"48501"</f>
        <v>48501</v>
      </c>
    </row>
    <row r="8820" spans="1:16" x14ac:dyDescent="0.25">
      <c r="A8820" t="str">
        <f>"1140088M00040    00"</f>
        <v>1140088M00040    00</v>
      </c>
      <c r="B8820" t="s">
        <v>19453</v>
      </c>
      <c r="C8820" t="s">
        <v>19454</v>
      </c>
      <c r="E8820" t="s">
        <v>39</v>
      </c>
      <c r="F8820">
        <v>0</v>
      </c>
      <c r="G8820">
        <v>0</v>
      </c>
      <c r="H8820">
        <v>2</v>
      </c>
      <c r="I8820" s="3">
        <v>19166.740000000002</v>
      </c>
      <c r="J8820" s="3">
        <v>0</v>
      </c>
      <c r="L8820">
        <v>1680</v>
      </c>
      <c r="M8820" t="s">
        <v>19455</v>
      </c>
      <c r="N8820" t="s">
        <v>30</v>
      </c>
      <c r="O8820" t="s">
        <v>31</v>
      </c>
      <c r="P8820" t="str">
        <f>"15217"</f>
        <v>15217</v>
      </c>
    </row>
    <row r="8821" spans="1:16" x14ac:dyDescent="0.25">
      <c r="A8821" t="str">
        <f>"1140088M00042    00"</f>
        <v>1140088M00042    00</v>
      </c>
      <c r="B8821" t="s">
        <v>19456</v>
      </c>
      <c r="C8821" t="s">
        <v>19457</v>
      </c>
      <c r="E8821" t="s">
        <v>39</v>
      </c>
      <c r="F8821">
        <v>0</v>
      </c>
      <c r="G8821">
        <v>0</v>
      </c>
      <c r="H8821">
        <v>2</v>
      </c>
      <c r="I8821" s="3">
        <v>22446.06</v>
      </c>
      <c r="J8821" s="3">
        <v>0</v>
      </c>
      <c r="K8821" t="s">
        <v>391</v>
      </c>
      <c r="L8821">
        <v>1</v>
      </c>
      <c r="M8821" t="s">
        <v>392</v>
      </c>
      <c r="N8821" t="s">
        <v>393</v>
      </c>
      <c r="O8821" t="s">
        <v>394</v>
      </c>
      <c r="P8821" t="str">
        <f>"50328"</f>
        <v>50328</v>
      </c>
    </row>
    <row r="8822" spans="1:16" x14ac:dyDescent="0.25">
      <c r="A8822" t="str">
        <f>"1140088M00044    00"</f>
        <v>1140088M00044    00</v>
      </c>
      <c r="B8822" t="s">
        <v>19458</v>
      </c>
      <c r="C8822" t="s">
        <v>19459</v>
      </c>
      <c r="E8822" t="s">
        <v>39</v>
      </c>
      <c r="F8822">
        <v>0</v>
      </c>
      <c r="G8822">
        <v>0</v>
      </c>
      <c r="H8822">
        <v>3</v>
      </c>
      <c r="I8822" s="3">
        <v>55690.41</v>
      </c>
      <c r="J8822" s="3">
        <v>3010.86</v>
      </c>
      <c r="K8822" t="s">
        <v>563</v>
      </c>
      <c r="L8822">
        <v>3001</v>
      </c>
      <c r="M8822" t="s">
        <v>330</v>
      </c>
      <c r="N8822" t="s">
        <v>331</v>
      </c>
      <c r="O8822" t="s">
        <v>108</v>
      </c>
      <c r="P8822" t="str">
        <f>"75063"</f>
        <v>75063</v>
      </c>
    </row>
    <row r="8823" spans="1:16" x14ac:dyDescent="0.25">
      <c r="A8823" t="str">
        <f>"1140088M00046    00"</f>
        <v>1140088M00046    00</v>
      </c>
      <c r="B8823" t="s">
        <v>19460</v>
      </c>
      <c r="C8823" t="s">
        <v>19461</v>
      </c>
      <c r="E8823" t="s">
        <v>39</v>
      </c>
      <c r="F8823">
        <v>0</v>
      </c>
      <c r="G8823">
        <v>0</v>
      </c>
      <c r="H8823">
        <v>3</v>
      </c>
      <c r="I8823" s="3">
        <v>22688.13</v>
      </c>
      <c r="J8823" s="3">
        <v>16.399999999999999</v>
      </c>
      <c r="K8823" t="s">
        <v>19462</v>
      </c>
      <c r="L8823">
        <v>1664</v>
      </c>
      <c r="M8823" t="s">
        <v>19455</v>
      </c>
      <c r="N8823" t="s">
        <v>30</v>
      </c>
      <c r="O8823" t="s">
        <v>31</v>
      </c>
      <c r="P8823" t="str">
        <f>"15217"</f>
        <v>15217</v>
      </c>
    </row>
    <row r="8824" spans="1:16" x14ac:dyDescent="0.25">
      <c r="A8824" t="str">
        <f>"1140088M00048    00"</f>
        <v>1140088M00048    00</v>
      </c>
      <c r="B8824" t="s">
        <v>5611</v>
      </c>
      <c r="C8824" t="s">
        <v>19463</v>
      </c>
      <c r="E8824" t="s">
        <v>39</v>
      </c>
      <c r="F8824">
        <v>0</v>
      </c>
      <c r="G8824">
        <v>0</v>
      </c>
      <c r="H8824">
        <v>2</v>
      </c>
      <c r="I8824" s="3">
        <v>30446.46</v>
      </c>
      <c r="J8824" s="3">
        <v>0</v>
      </c>
      <c r="K8824" t="s">
        <v>1030</v>
      </c>
      <c r="M8824" t="s">
        <v>1031</v>
      </c>
      <c r="N8824" t="s">
        <v>1032</v>
      </c>
      <c r="O8824" t="s">
        <v>25</v>
      </c>
      <c r="P8824" t="str">
        <f>"44711"</f>
        <v>44711</v>
      </c>
    </row>
    <row r="8825" spans="1:16" x14ac:dyDescent="0.25">
      <c r="A8825" t="str">
        <f>"1140088M00050    00"</f>
        <v>1140088M00050    00</v>
      </c>
      <c r="B8825" t="s">
        <v>19464</v>
      </c>
      <c r="C8825" t="s">
        <v>19465</v>
      </c>
      <c r="E8825" t="s">
        <v>39</v>
      </c>
      <c r="F8825">
        <v>0</v>
      </c>
      <c r="G8825">
        <v>0</v>
      </c>
      <c r="H8825">
        <v>2</v>
      </c>
      <c r="I8825" s="3">
        <v>23151.3</v>
      </c>
      <c r="J8825" s="3">
        <v>0</v>
      </c>
      <c r="K8825" t="s">
        <v>19466</v>
      </c>
      <c r="L8825">
        <v>1656</v>
      </c>
      <c r="M8825" t="s">
        <v>19455</v>
      </c>
      <c r="N8825" t="s">
        <v>30</v>
      </c>
      <c r="O8825" t="s">
        <v>31</v>
      </c>
      <c r="P8825" t="str">
        <f>"15217"</f>
        <v>15217</v>
      </c>
    </row>
    <row r="8826" spans="1:16" x14ac:dyDescent="0.25">
      <c r="A8826" t="str">
        <f>"1140088M00052    00"</f>
        <v>1140088M00052    00</v>
      </c>
      <c r="B8826" t="s">
        <v>19467</v>
      </c>
      <c r="C8826" t="s">
        <v>19468</v>
      </c>
      <c r="E8826" t="s">
        <v>39</v>
      </c>
      <c r="F8826">
        <v>0</v>
      </c>
      <c r="G8826">
        <v>0</v>
      </c>
      <c r="H8826">
        <v>1</v>
      </c>
      <c r="I8826" s="3">
        <v>23837.46</v>
      </c>
      <c r="J8826" s="3">
        <v>993.19</v>
      </c>
      <c r="K8826" t="s">
        <v>19469</v>
      </c>
      <c r="L8826">
        <v>1650</v>
      </c>
      <c r="M8826" t="s">
        <v>19455</v>
      </c>
      <c r="N8826" t="s">
        <v>30</v>
      </c>
      <c r="O8826" t="s">
        <v>31</v>
      </c>
      <c r="P8826" t="str">
        <f>"15217"</f>
        <v>15217</v>
      </c>
    </row>
    <row r="8827" spans="1:16" x14ac:dyDescent="0.25">
      <c r="A8827" t="str">
        <f>"1140088M00054    00"</f>
        <v>1140088M00054    00</v>
      </c>
      <c r="B8827" t="s">
        <v>19470</v>
      </c>
      <c r="C8827" t="s">
        <v>19471</v>
      </c>
      <c r="E8827" t="s">
        <v>39</v>
      </c>
      <c r="F8827">
        <v>0</v>
      </c>
      <c r="G8827">
        <v>0</v>
      </c>
      <c r="H8827">
        <v>2</v>
      </c>
      <c r="I8827" s="3">
        <v>22888.240000000002</v>
      </c>
      <c r="J8827" s="3">
        <v>0</v>
      </c>
      <c r="K8827" t="s">
        <v>1030</v>
      </c>
      <c r="M8827" t="s">
        <v>1031</v>
      </c>
      <c r="N8827" t="s">
        <v>1032</v>
      </c>
      <c r="O8827" t="s">
        <v>25</v>
      </c>
      <c r="P8827" t="str">
        <f>"44711"</f>
        <v>44711</v>
      </c>
    </row>
    <row r="8828" spans="1:16" x14ac:dyDescent="0.25">
      <c r="A8828" t="str">
        <f>"1140088M00056    00"</f>
        <v>1140088M00056    00</v>
      </c>
      <c r="B8828" t="s">
        <v>19472</v>
      </c>
      <c r="C8828" t="s">
        <v>19473</v>
      </c>
      <c r="E8828" t="s">
        <v>39</v>
      </c>
      <c r="F8828">
        <v>0</v>
      </c>
      <c r="G8828">
        <v>0</v>
      </c>
      <c r="H8828">
        <v>2</v>
      </c>
      <c r="I8828" s="3">
        <v>12636.79</v>
      </c>
      <c r="J8828" s="3">
        <v>43.64</v>
      </c>
      <c r="K8828" t="s">
        <v>19474</v>
      </c>
      <c r="L8828">
        <v>237</v>
      </c>
      <c r="M8828" t="s">
        <v>19341</v>
      </c>
      <c r="N8828" t="s">
        <v>30</v>
      </c>
      <c r="O8828" t="s">
        <v>31</v>
      </c>
      <c r="P8828" t="str">
        <f>"15217"</f>
        <v>15217</v>
      </c>
    </row>
    <row r="8829" spans="1:16" x14ac:dyDescent="0.25">
      <c r="A8829" t="str">
        <f>"1140088M00058    00"</f>
        <v>1140088M00058    00</v>
      </c>
      <c r="B8829" t="s">
        <v>19475</v>
      </c>
      <c r="C8829" t="s">
        <v>19476</v>
      </c>
      <c r="E8829" t="s">
        <v>39</v>
      </c>
      <c r="F8829">
        <v>0</v>
      </c>
      <c r="G8829">
        <v>0</v>
      </c>
      <c r="H8829">
        <v>2</v>
      </c>
      <c r="I8829" s="3">
        <v>17160.73</v>
      </c>
      <c r="J8829" s="3">
        <v>0</v>
      </c>
      <c r="K8829" t="s">
        <v>19477</v>
      </c>
      <c r="L8829">
        <v>229</v>
      </c>
      <c r="M8829" t="s">
        <v>19341</v>
      </c>
      <c r="N8829" t="s">
        <v>30</v>
      </c>
      <c r="O8829" t="s">
        <v>31</v>
      </c>
      <c r="P8829" t="str">
        <f>"15217"</f>
        <v>15217</v>
      </c>
    </row>
    <row r="8830" spans="1:16" x14ac:dyDescent="0.25">
      <c r="A8830" t="str">
        <f>"1140088M00064    00"</f>
        <v>1140088M00064    00</v>
      </c>
      <c r="B8830" t="s">
        <v>19478</v>
      </c>
      <c r="C8830" t="s">
        <v>19479</v>
      </c>
      <c r="E8830" t="s">
        <v>39</v>
      </c>
      <c r="F8830">
        <v>0</v>
      </c>
      <c r="G8830">
        <v>0</v>
      </c>
      <c r="H8830">
        <v>4</v>
      </c>
      <c r="I8830" s="3">
        <v>13760.03</v>
      </c>
      <c r="J8830" s="3">
        <v>545.41</v>
      </c>
      <c r="K8830" t="s">
        <v>5396</v>
      </c>
      <c r="L8830">
        <v>3001</v>
      </c>
      <c r="M8830" t="s">
        <v>330</v>
      </c>
      <c r="N8830" t="s">
        <v>331</v>
      </c>
      <c r="O8830" t="s">
        <v>108</v>
      </c>
      <c r="P8830" t="str">
        <f>"75063"</f>
        <v>75063</v>
      </c>
    </row>
    <row r="8831" spans="1:16" x14ac:dyDescent="0.25">
      <c r="A8831" t="str">
        <f>"1140088M00066    00"</f>
        <v>1140088M00066    00</v>
      </c>
      <c r="B8831" t="s">
        <v>19480</v>
      </c>
      <c r="C8831" t="s">
        <v>19481</v>
      </c>
      <c r="E8831" t="s">
        <v>39</v>
      </c>
      <c r="F8831">
        <v>0</v>
      </c>
      <c r="G8831">
        <v>0</v>
      </c>
      <c r="H8831">
        <v>3</v>
      </c>
      <c r="I8831" s="3">
        <v>12160.33</v>
      </c>
      <c r="J8831" s="3">
        <v>0</v>
      </c>
      <c r="K8831" t="s">
        <v>19482</v>
      </c>
      <c r="L8831">
        <v>4014</v>
      </c>
      <c r="M8831" t="s">
        <v>19483</v>
      </c>
      <c r="N8831" t="s">
        <v>79</v>
      </c>
      <c r="O8831" t="s">
        <v>31</v>
      </c>
      <c r="P8831" t="str">
        <f>"15668"</f>
        <v>15668</v>
      </c>
    </row>
    <row r="8832" spans="1:16" x14ac:dyDescent="0.25">
      <c r="A8832" t="str">
        <f>"1140088M00068    00"</f>
        <v>1140088M00068    00</v>
      </c>
      <c r="B8832" t="s">
        <v>19484</v>
      </c>
      <c r="C8832" t="s">
        <v>19485</v>
      </c>
      <c r="E8832" t="s">
        <v>39</v>
      </c>
      <c r="F8832">
        <v>0</v>
      </c>
      <c r="G8832">
        <v>0</v>
      </c>
      <c r="H8832">
        <v>4</v>
      </c>
      <c r="I8832" s="3">
        <v>17621.86</v>
      </c>
      <c r="J8832" s="3">
        <v>771.99</v>
      </c>
      <c r="K8832" t="s">
        <v>8725</v>
      </c>
      <c r="L8832">
        <v>15301</v>
      </c>
      <c r="M8832" t="s">
        <v>8726</v>
      </c>
      <c r="N8832" t="s">
        <v>8727</v>
      </c>
      <c r="O8832" t="s">
        <v>108</v>
      </c>
      <c r="P8832" t="str">
        <f>"75001"</f>
        <v>75001</v>
      </c>
    </row>
    <row r="8833" spans="1:16" x14ac:dyDescent="0.25">
      <c r="A8833" t="str">
        <f>"1140088M00070    00"</f>
        <v>1140088M00070    00</v>
      </c>
      <c r="B8833" t="s">
        <v>19486</v>
      </c>
      <c r="C8833" t="s">
        <v>19487</v>
      </c>
      <c r="E8833" t="s">
        <v>39</v>
      </c>
      <c r="F8833">
        <v>0</v>
      </c>
      <c r="G8833">
        <v>0</v>
      </c>
      <c r="H8833">
        <v>3</v>
      </c>
      <c r="I8833" s="3">
        <v>19966.86</v>
      </c>
      <c r="J8833" s="3">
        <v>266.88</v>
      </c>
      <c r="K8833" t="s">
        <v>710</v>
      </c>
      <c r="L8833">
        <v>4140</v>
      </c>
      <c r="M8833" t="s">
        <v>19488</v>
      </c>
      <c r="N8833" t="s">
        <v>712</v>
      </c>
      <c r="O8833" t="s">
        <v>31</v>
      </c>
      <c r="P8833" t="str">
        <f>"16148"</f>
        <v>16148</v>
      </c>
    </row>
    <row r="8834" spans="1:16" x14ac:dyDescent="0.25">
      <c r="A8834" t="str">
        <f>"1140088M00072    00"</f>
        <v>1140088M00072    00</v>
      </c>
      <c r="B8834" t="s">
        <v>19489</v>
      </c>
      <c r="C8834" t="s">
        <v>19490</v>
      </c>
      <c r="E8834" t="s">
        <v>39</v>
      </c>
      <c r="F8834">
        <v>0</v>
      </c>
      <c r="G8834">
        <v>0</v>
      </c>
      <c r="H8834">
        <v>2</v>
      </c>
      <c r="I8834" s="3">
        <v>16770.02</v>
      </c>
      <c r="J8834" s="3">
        <v>0</v>
      </c>
      <c r="K8834" t="s">
        <v>4933</v>
      </c>
      <c r="L8834">
        <v>3001</v>
      </c>
      <c r="M8834" t="s">
        <v>330</v>
      </c>
      <c r="N8834" t="s">
        <v>331</v>
      </c>
      <c r="O8834" t="s">
        <v>108</v>
      </c>
      <c r="P8834" t="str">
        <f>"75063"</f>
        <v>75063</v>
      </c>
    </row>
    <row r="8835" spans="1:16" x14ac:dyDescent="0.25">
      <c r="A8835" t="str">
        <f>"1140088M00074    00"</f>
        <v>1140088M00074    00</v>
      </c>
      <c r="B8835" t="s">
        <v>19491</v>
      </c>
      <c r="C8835" t="s">
        <v>19492</v>
      </c>
      <c r="E8835" t="s">
        <v>39</v>
      </c>
      <c r="F8835">
        <v>0</v>
      </c>
      <c r="G8835">
        <v>0</v>
      </c>
      <c r="H8835">
        <v>3</v>
      </c>
      <c r="I8835" s="3">
        <v>10933.83</v>
      </c>
      <c r="J8835" s="3">
        <v>0</v>
      </c>
      <c r="L8835">
        <v>1637</v>
      </c>
      <c r="M8835" t="s">
        <v>19324</v>
      </c>
      <c r="N8835" t="s">
        <v>30</v>
      </c>
      <c r="O8835" t="s">
        <v>31</v>
      </c>
      <c r="P8835" t="str">
        <f>"15217"</f>
        <v>15217</v>
      </c>
    </row>
    <row r="8836" spans="1:16" x14ac:dyDescent="0.25">
      <c r="A8836" t="str">
        <f>"1140088M00076    00"</f>
        <v>1140088M00076    00</v>
      </c>
      <c r="B8836" t="s">
        <v>19493</v>
      </c>
      <c r="C8836" t="s">
        <v>19494</v>
      </c>
      <c r="E8836" t="s">
        <v>39</v>
      </c>
      <c r="F8836">
        <v>0</v>
      </c>
      <c r="G8836">
        <v>0</v>
      </c>
      <c r="H8836">
        <v>2</v>
      </c>
      <c r="I8836" s="3">
        <v>21039.46</v>
      </c>
      <c r="J8836" s="3">
        <v>0</v>
      </c>
      <c r="K8836" t="s">
        <v>19495</v>
      </c>
      <c r="L8836">
        <v>1641</v>
      </c>
      <c r="M8836" t="s">
        <v>19324</v>
      </c>
      <c r="N8836" t="s">
        <v>30</v>
      </c>
      <c r="O8836" t="s">
        <v>31</v>
      </c>
      <c r="P8836" t="str">
        <f>"15217"</f>
        <v>15217</v>
      </c>
    </row>
    <row r="8837" spans="1:16" x14ac:dyDescent="0.25">
      <c r="A8837" t="str">
        <f>"1140088M00078    00"</f>
        <v>1140088M00078    00</v>
      </c>
      <c r="B8837" t="s">
        <v>19496</v>
      </c>
      <c r="C8837" t="s">
        <v>19497</v>
      </c>
      <c r="E8837" t="s">
        <v>39</v>
      </c>
      <c r="F8837">
        <v>0</v>
      </c>
      <c r="G8837">
        <v>0</v>
      </c>
      <c r="H8837">
        <v>5</v>
      </c>
      <c r="I8837" s="3">
        <v>66380.61</v>
      </c>
      <c r="J8837" s="3">
        <v>6536.64</v>
      </c>
      <c r="K8837" t="s">
        <v>881</v>
      </c>
      <c r="L8837">
        <v>3001</v>
      </c>
      <c r="M8837" t="s">
        <v>330</v>
      </c>
      <c r="N8837" t="s">
        <v>331</v>
      </c>
      <c r="O8837" t="s">
        <v>108</v>
      </c>
      <c r="P8837" t="str">
        <f>"75063"</f>
        <v>75063</v>
      </c>
    </row>
    <row r="8838" spans="1:16" x14ac:dyDescent="0.25">
      <c r="A8838" t="str">
        <f>"1140088M00080    00"</f>
        <v>1140088M00080    00</v>
      </c>
      <c r="B8838" t="s">
        <v>19498</v>
      </c>
      <c r="C8838" t="s">
        <v>19499</v>
      </c>
      <c r="E8838" t="s">
        <v>39</v>
      </c>
      <c r="F8838">
        <v>0</v>
      </c>
      <c r="G8838">
        <v>0</v>
      </c>
      <c r="H8838">
        <v>2</v>
      </c>
      <c r="I8838" s="3">
        <v>20578.18</v>
      </c>
      <c r="J8838" s="3">
        <v>0</v>
      </c>
      <c r="K8838" t="s">
        <v>19500</v>
      </c>
      <c r="L8838">
        <v>231</v>
      </c>
      <c r="M8838" t="s">
        <v>19501</v>
      </c>
      <c r="N8838" t="s">
        <v>30</v>
      </c>
      <c r="O8838" t="s">
        <v>31</v>
      </c>
      <c r="P8838" t="str">
        <f>"15217"</f>
        <v>15217</v>
      </c>
    </row>
    <row r="8839" spans="1:16" x14ac:dyDescent="0.25">
      <c r="A8839" t="str">
        <f>"1140088M00082    00"</f>
        <v>1140088M00082    00</v>
      </c>
      <c r="B8839" t="s">
        <v>19502</v>
      </c>
      <c r="C8839" t="s">
        <v>19503</v>
      </c>
      <c r="E8839" t="s">
        <v>39</v>
      </c>
      <c r="F8839">
        <v>0</v>
      </c>
      <c r="G8839">
        <v>0</v>
      </c>
      <c r="H8839">
        <v>3</v>
      </c>
      <c r="I8839" s="3">
        <v>35769.03</v>
      </c>
      <c r="J8839" s="3">
        <v>0</v>
      </c>
      <c r="L8839">
        <v>221</v>
      </c>
      <c r="M8839" t="s">
        <v>19501</v>
      </c>
      <c r="N8839" t="s">
        <v>30</v>
      </c>
      <c r="O8839" t="s">
        <v>31</v>
      </c>
      <c r="P8839" t="str">
        <f>"15217"</f>
        <v>15217</v>
      </c>
    </row>
    <row r="8840" spans="1:16" x14ac:dyDescent="0.25">
      <c r="A8840" t="str">
        <f>"1140088M00084    00"</f>
        <v>1140088M00084    00</v>
      </c>
      <c r="B8840" t="s">
        <v>19504</v>
      </c>
      <c r="C8840" t="s">
        <v>19505</v>
      </c>
      <c r="E8840" t="s">
        <v>39</v>
      </c>
      <c r="F8840">
        <v>0</v>
      </c>
      <c r="G8840">
        <v>0</v>
      </c>
      <c r="H8840">
        <v>2</v>
      </c>
      <c r="I8840" s="3">
        <v>14055.82</v>
      </c>
      <c r="J8840" s="3">
        <v>0</v>
      </c>
      <c r="L8840">
        <v>211</v>
      </c>
      <c r="M8840" t="s">
        <v>19501</v>
      </c>
      <c r="N8840" t="s">
        <v>30</v>
      </c>
      <c r="O8840" t="s">
        <v>31</v>
      </c>
      <c r="P8840" t="str">
        <f>"15217"</f>
        <v>15217</v>
      </c>
    </row>
    <row r="8841" spans="1:16" x14ac:dyDescent="0.25">
      <c r="A8841" t="str">
        <f>"1140088M00086    00"</f>
        <v>1140088M00086    00</v>
      </c>
      <c r="B8841" t="s">
        <v>19506</v>
      </c>
      <c r="C8841" t="s">
        <v>19507</v>
      </c>
      <c r="E8841" t="s">
        <v>39</v>
      </c>
      <c r="F8841">
        <v>0</v>
      </c>
      <c r="G8841">
        <v>0</v>
      </c>
      <c r="H8841">
        <v>2</v>
      </c>
      <c r="I8841" s="3">
        <v>13129.52</v>
      </c>
      <c r="J8841" s="3">
        <v>0</v>
      </c>
      <c r="L8841">
        <v>205</v>
      </c>
      <c r="M8841" t="s">
        <v>19501</v>
      </c>
      <c r="N8841" t="s">
        <v>30</v>
      </c>
      <c r="O8841" t="s">
        <v>31</v>
      </c>
      <c r="P8841" t="str">
        <f>"15217"</f>
        <v>15217</v>
      </c>
    </row>
    <row r="8842" spans="1:16" x14ac:dyDescent="0.25">
      <c r="A8842" t="str">
        <f>"1140088M00088    00"</f>
        <v>1140088M00088    00</v>
      </c>
      <c r="B8842" t="s">
        <v>19508</v>
      </c>
      <c r="C8842" t="s">
        <v>19509</v>
      </c>
      <c r="E8842" t="s">
        <v>39</v>
      </c>
      <c r="F8842">
        <v>0</v>
      </c>
      <c r="G8842">
        <v>0</v>
      </c>
      <c r="H8842">
        <v>2</v>
      </c>
      <c r="I8842" s="3">
        <v>18531.12</v>
      </c>
      <c r="J8842" s="3">
        <v>0</v>
      </c>
      <c r="L8842">
        <v>149</v>
      </c>
      <c r="M8842" t="s">
        <v>19501</v>
      </c>
      <c r="N8842" t="s">
        <v>30</v>
      </c>
      <c r="O8842" t="s">
        <v>31</v>
      </c>
      <c r="P8842" t="str">
        <f>"15217"</f>
        <v>15217</v>
      </c>
    </row>
    <row r="8843" spans="1:16" x14ac:dyDescent="0.25">
      <c r="A8843" t="str">
        <f>"1140088M00090    00"</f>
        <v>1140088M00090    00</v>
      </c>
      <c r="B8843" t="s">
        <v>19510</v>
      </c>
      <c r="C8843" t="s">
        <v>19511</v>
      </c>
      <c r="E8843" t="s">
        <v>39</v>
      </c>
      <c r="F8843">
        <v>0</v>
      </c>
      <c r="G8843">
        <v>0</v>
      </c>
      <c r="H8843">
        <v>2</v>
      </c>
      <c r="I8843" s="3">
        <v>16903.400000000001</v>
      </c>
      <c r="J8843" s="3">
        <v>0</v>
      </c>
      <c r="K8843" t="s">
        <v>2302</v>
      </c>
      <c r="L8843">
        <v>3001</v>
      </c>
      <c r="M8843" t="s">
        <v>330</v>
      </c>
      <c r="N8843" t="s">
        <v>331</v>
      </c>
      <c r="O8843" t="s">
        <v>108</v>
      </c>
      <c r="P8843" t="str">
        <f>"75063"</f>
        <v>75063</v>
      </c>
    </row>
    <row r="8844" spans="1:16" x14ac:dyDescent="0.25">
      <c r="A8844" t="str">
        <f>"1140088M00092    00"</f>
        <v>1140088M00092    00</v>
      </c>
      <c r="B8844" t="s">
        <v>19512</v>
      </c>
      <c r="C8844" t="s">
        <v>19513</v>
      </c>
      <c r="E8844" t="s">
        <v>39</v>
      </c>
      <c r="F8844">
        <v>0</v>
      </c>
      <c r="G8844">
        <v>0</v>
      </c>
      <c r="H8844">
        <v>3</v>
      </c>
      <c r="I8844" s="3">
        <v>16038.09</v>
      </c>
      <c r="J8844" s="3">
        <v>0</v>
      </c>
      <c r="L8844">
        <v>131</v>
      </c>
      <c r="M8844" t="s">
        <v>19501</v>
      </c>
      <c r="N8844" t="s">
        <v>30</v>
      </c>
      <c r="O8844" t="s">
        <v>31</v>
      </c>
      <c r="P8844" t="str">
        <f t="shared" ref="P8844:P8850" si="102">"15217"</f>
        <v>15217</v>
      </c>
    </row>
    <row r="8845" spans="1:16" x14ac:dyDescent="0.25">
      <c r="A8845" t="str">
        <f>"1140088M00094    00"</f>
        <v>1140088M00094    00</v>
      </c>
      <c r="B8845" t="s">
        <v>19514</v>
      </c>
      <c r="C8845" t="s">
        <v>19515</v>
      </c>
      <c r="E8845" t="s">
        <v>39</v>
      </c>
      <c r="F8845">
        <v>0</v>
      </c>
      <c r="G8845">
        <v>0</v>
      </c>
      <c r="H8845">
        <v>2</v>
      </c>
      <c r="I8845" s="3">
        <v>11878.42</v>
      </c>
      <c r="J8845" s="3">
        <v>0</v>
      </c>
      <c r="K8845" t="s">
        <v>19516</v>
      </c>
      <c r="L8845">
        <v>1650</v>
      </c>
      <c r="M8845" t="s">
        <v>19324</v>
      </c>
      <c r="N8845" t="s">
        <v>30</v>
      </c>
      <c r="O8845" t="s">
        <v>31</v>
      </c>
      <c r="P8845" t="str">
        <f t="shared" si="102"/>
        <v>15217</v>
      </c>
    </row>
    <row r="8846" spans="1:16" x14ac:dyDescent="0.25">
      <c r="A8846" t="str">
        <f>"1140088M00096A   00"</f>
        <v>1140088M00096A   00</v>
      </c>
      <c r="B8846" t="s">
        <v>19517</v>
      </c>
      <c r="C8846" t="s">
        <v>19518</v>
      </c>
      <c r="E8846" t="s">
        <v>39</v>
      </c>
      <c r="F8846">
        <v>0</v>
      </c>
      <c r="G8846">
        <v>0</v>
      </c>
      <c r="H8846">
        <v>2</v>
      </c>
      <c r="I8846" s="3">
        <v>16453.599999999999</v>
      </c>
      <c r="J8846" s="3">
        <v>0</v>
      </c>
      <c r="K8846" t="s">
        <v>19519</v>
      </c>
      <c r="L8846">
        <v>1640</v>
      </c>
      <c r="M8846" t="s">
        <v>19520</v>
      </c>
      <c r="N8846" t="s">
        <v>30</v>
      </c>
      <c r="O8846" t="s">
        <v>31</v>
      </c>
      <c r="P8846" t="str">
        <f t="shared" si="102"/>
        <v>15217</v>
      </c>
    </row>
    <row r="8847" spans="1:16" x14ac:dyDescent="0.25">
      <c r="A8847" t="str">
        <f>"1140088M00096B   00"</f>
        <v>1140088M00096B   00</v>
      </c>
      <c r="B8847" t="s">
        <v>19521</v>
      </c>
      <c r="C8847" t="s">
        <v>19522</v>
      </c>
      <c r="E8847" t="s">
        <v>39</v>
      </c>
      <c r="F8847">
        <v>0</v>
      </c>
      <c r="G8847">
        <v>0</v>
      </c>
      <c r="H8847">
        <v>2</v>
      </c>
      <c r="I8847" s="3">
        <v>16453.599999999999</v>
      </c>
      <c r="J8847" s="3">
        <v>0</v>
      </c>
      <c r="K8847" t="s">
        <v>19523</v>
      </c>
      <c r="L8847">
        <v>1640</v>
      </c>
      <c r="M8847" t="s">
        <v>19524</v>
      </c>
      <c r="N8847" t="s">
        <v>30</v>
      </c>
      <c r="O8847" t="s">
        <v>31</v>
      </c>
      <c r="P8847" t="str">
        <f t="shared" si="102"/>
        <v>15217</v>
      </c>
    </row>
    <row r="8848" spans="1:16" x14ac:dyDescent="0.25">
      <c r="A8848" t="str">
        <f>"1140088M00096C   00"</f>
        <v>1140088M00096C   00</v>
      </c>
      <c r="B8848" t="s">
        <v>19525</v>
      </c>
      <c r="C8848" t="s">
        <v>19526</v>
      </c>
      <c r="E8848" t="s">
        <v>39</v>
      </c>
      <c r="F8848">
        <v>0</v>
      </c>
      <c r="G8848">
        <v>0</v>
      </c>
      <c r="H8848">
        <v>2</v>
      </c>
      <c r="I8848" s="3">
        <v>14711.5</v>
      </c>
      <c r="J8848" s="3">
        <v>0</v>
      </c>
      <c r="K8848" t="s">
        <v>19527</v>
      </c>
      <c r="L8848">
        <v>1640</v>
      </c>
      <c r="M8848" t="s">
        <v>19433</v>
      </c>
      <c r="N8848" t="s">
        <v>30</v>
      </c>
      <c r="O8848" t="s">
        <v>31</v>
      </c>
      <c r="P8848" t="str">
        <f t="shared" si="102"/>
        <v>15217</v>
      </c>
    </row>
    <row r="8849" spans="1:16" x14ac:dyDescent="0.25">
      <c r="A8849" t="str">
        <f>"1140088M00096D   00"</f>
        <v>1140088M00096D   00</v>
      </c>
      <c r="B8849" t="s">
        <v>19528</v>
      </c>
      <c r="C8849" t="s">
        <v>19529</v>
      </c>
      <c r="E8849" t="s">
        <v>39</v>
      </c>
      <c r="F8849">
        <v>0</v>
      </c>
      <c r="G8849">
        <v>0</v>
      </c>
      <c r="H8849">
        <v>2</v>
      </c>
      <c r="I8849" s="3">
        <v>16453.599999999999</v>
      </c>
      <c r="J8849" s="3">
        <v>0</v>
      </c>
      <c r="K8849" t="s">
        <v>19530</v>
      </c>
      <c r="L8849">
        <v>1640</v>
      </c>
      <c r="M8849" t="s">
        <v>19531</v>
      </c>
      <c r="N8849" t="s">
        <v>30</v>
      </c>
      <c r="O8849" t="s">
        <v>31</v>
      </c>
      <c r="P8849" t="str">
        <f t="shared" si="102"/>
        <v>15217</v>
      </c>
    </row>
    <row r="8850" spans="1:16" x14ac:dyDescent="0.25">
      <c r="A8850" t="str">
        <f>"1140088M00098A   00"</f>
        <v>1140088M00098A   00</v>
      </c>
      <c r="B8850" t="s">
        <v>19532</v>
      </c>
      <c r="C8850" t="s">
        <v>19533</v>
      </c>
      <c r="E8850" t="s">
        <v>39</v>
      </c>
      <c r="F8850">
        <v>0</v>
      </c>
      <c r="G8850">
        <v>0</v>
      </c>
      <c r="H8850">
        <v>2</v>
      </c>
      <c r="I8850" s="3">
        <v>15500.6</v>
      </c>
      <c r="J8850" s="3">
        <v>0</v>
      </c>
      <c r="L8850">
        <v>1628</v>
      </c>
      <c r="M8850" t="s">
        <v>19324</v>
      </c>
      <c r="N8850" t="s">
        <v>30</v>
      </c>
      <c r="O8850" t="s">
        <v>31</v>
      </c>
      <c r="P8850" t="str">
        <f t="shared" si="102"/>
        <v>15217</v>
      </c>
    </row>
    <row r="8851" spans="1:16" x14ac:dyDescent="0.25">
      <c r="A8851" t="str">
        <f>"1140088M00098B   00"</f>
        <v>1140088M00098B   00</v>
      </c>
      <c r="B8851" t="s">
        <v>19534</v>
      </c>
      <c r="C8851" t="s">
        <v>19535</v>
      </c>
      <c r="E8851" t="s">
        <v>39</v>
      </c>
      <c r="F8851">
        <v>0</v>
      </c>
      <c r="G8851">
        <v>0</v>
      </c>
      <c r="H8851">
        <v>2</v>
      </c>
      <c r="I8851" s="3">
        <v>16563.16</v>
      </c>
      <c r="J8851" s="3">
        <v>0</v>
      </c>
      <c r="K8851" t="s">
        <v>19536</v>
      </c>
      <c r="L8851">
        <v>1622</v>
      </c>
      <c r="M8851" t="s">
        <v>19537</v>
      </c>
      <c r="N8851" t="s">
        <v>6987</v>
      </c>
      <c r="O8851" t="s">
        <v>370</v>
      </c>
      <c r="P8851" t="str">
        <f>"34231"</f>
        <v>34231</v>
      </c>
    </row>
    <row r="8852" spans="1:16" x14ac:dyDescent="0.25">
      <c r="A8852" t="str">
        <f>"1140088M00098C   00"</f>
        <v>1140088M00098C   00</v>
      </c>
      <c r="B8852" t="s">
        <v>19538</v>
      </c>
      <c r="C8852" t="s">
        <v>19539</v>
      </c>
      <c r="E8852" t="s">
        <v>39</v>
      </c>
      <c r="F8852">
        <v>0</v>
      </c>
      <c r="G8852">
        <v>0</v>
      </c>
      <c r="H8852">
        <v>2</v>
      </c>
      <c r="I8852" s="3">
        <v>15500.6</v>
      </c>
      <c r="J8852" s="3">
        <v>0</v>
      </c>
      <c r="K8852" t="s">
        <v>19540</v>
      </c>
      <c r="L8852">
        <v>1628</v>
      </c>
      <c r="M8852" t="s">
        <v>19541</v>
      </c>
      <c r="N8852" t="s">
        <v>30</v>
      </c>
      <c r="O8852" t="s">
        <v>31</v>
      </c>
      <c r="P8852" t="str">
        <f>"15217"</f>
        <v>15217</v>
      </c>
    </row>
    <row r="8853" spans="1:16" x14ac:dyDescent="0.25">
      <c r="A8853" t="str">
        <f>"1140088M00098D   00"</f>
        <v>1140088M00098D   00</v>
      </c>
      <c r="B8853" t="s">
        <v>19542</v>
      </c>
      <c r="C8853" t="s">
        <v>19543</v>
      </c>
      <c r="E8853" t="s">
        <v>39</v>
      </c>
      <c r="F8853">
        <v>0</v>
      </c>
      <c r="G8853">
        <v>0</v>
      </c>
      <c r="H8853">
        <v>2</v>
      </c>
      <c r="I8853" s="3">
        <v>15508.22</v>
      </c>
      <c r="J8853" s="3">
        <v>0</v>
      </c>
      <c r="L8853">
        <v>1628</v>
      </c>
      <c r="M8853" t="s">
        <v>19531</v>
      </c>
      <c r="N8853" t="s">
        <v>30</v>
      </c>
      <c r="O8853" t="s">
        <v>31</v>
      </c>
      <c r="P8853" t="str">
        <f>"15217"</f>
        <v>15217</v>
      </c>
    </row>
    <row r="8854" spans="1:16" x14ac:dyDescent="0.25">
      <c r="A8854" t="str">
        <f>"1140088M00100A   00"</f>
        <v>1140088M00100A   00</v>
      </c>
      <c r="B8854" t="s">
        <v>19544</v>
      </c>
      <c r="C8854" t="s">
        <v>19545</v>
      </c>
      <c r="E8854" t="s">
        <v>39</v>
      </c>
      <c r="F8854">
        <v>0</v>
      </c>
      <c r="G8854">
        <v>0</v>
      </c>
      <c r="H8854">
        <v>3</v>
      </c>
      <c r="I8854" s="3">
        <v>14070.13</v>
      </c>
      <c r="J8854" s="3">
        <v>0</v>
      </c>
      <c r="K8854" t="s">
        <v>1722</v>
      </c>
      <c r="M8854" t="s">
        <v>1723</v>
      </c>
      <c r="N8854" t="s">
        <v>410</v>
      </c>
      <c r="O8854" t="s">
        <v>31</v>
      </c>
      <c r="P8854" t="str">
        <f>"15701"</f>
        <v>15701</v>
      </c>
    </row>
    <row r="8855" spans="1:16" x14ac:dyDescent="0.25">
      <c r="A8855" t="str">
        <f>"1140088M00100B   00"</f>
        <v>1140088M00100B   00</v>
      </c>
      <c r="B8855" t="s">
        <v>19546</v>
      </c>
      <c r="C8855" t="s">
        <v>19547</v>
      </c>
      <c r="E8855" t="s">
        <v>39</v>
      </c>
      <c r="F8855">
        <v>0</v>
      </c>
      <c r="G8855">
        <v>0</v>
      </c>
      <c r="H8855">
        <v>3</v>
      </c>
      <c r="I8855" s="3">
        <v>13937.99</v>
      </c>
      <c r="J8855" s="3">
        <v>0</v>
      </c>
      <c r="K8855" t="s">
        <v>5652</v>
      </c>
      <c r="L8855">
        <v>3001</v>
      </c>
      <c r="M8855" t="s">
        <v>330</v>
      </c>
      <c r="N8855" t="s">
        <v>331</v>
      </c>
      <c r="O8855" t="s">
        <v>108</v>
      </c>
      <c r="P8855" t="str">
        <f>"75063"</f>
        <v>75063</v>
      </c>
    </row>
    <row r="8856" spans="1:16" x14ac:dyDescent="0.25">
      <c r="A8856" t="str">
        <f>"1140088M00100C   00"</f>
        <v>1140088M00100C   00</v>
      </c>
      <c r="B8856" t="s">
        <v>19548</v>
      </c>
      <c r="C8856" t="s">
        <v>19549</v>
      </c>
      <c r="E8856" t="s">
        <v>39</v>
      </c>
      <c r="F8856">
        <v>0</v>
      </c>
      <c r="G8856">
        <v>0</v>
      </c>
      <c r="H8856">
        <v>2</v>
      </c>
      <c r="I8856" s="3">
        <v>13487.86</v>
      </c>
      <c r="J8856" s="3">
        <v>0</v>
      </c>
      <c r="K8856" t="s">
        <v>19550</v>
      </c>
      <c r="L8856">
        <v>1614</v>
      </c>
      <c r="M8856" t="s">
        <v>19433</v>
      </c>
      <c r="N8856" t="s">
        <v>30</v>
      </c>
      <c r="O8856" t="s">
        <v>31</v>
      </c>
      <c r="P8856" t="str">
        <f>"15217"</f>
        <v>15217</v>
      </c>
    </row>
    <row r="8857" spans="1:16" x14ac:dyDescent="0.25">
      <c r="A8857" t="str">
        <f>"1140088M00100D   00"</f>
        <v>1140088M00100D   00</v>
      </c>
      <c r="B8857" t="s">
        <v>19551</v>
      </c>
      <c r="C8857" t="s">
        <v>19552</v>
      </c>
      <c r="E8857" t="s">
        <v>39</v>
      </c>
      <c r="F8857">
        <v>0</v>
      </c>
      <c r="G8857">
        <v>0</v>
      </c>
      <c r="H8857">
        <v>2</v>
      </c>
      <c r="I8857" s="3">
        <v>14562.84</v>
      </c>
      <c r="J8857" s="3">
        <v>0</v>
      </c>
      <c r="K8857" t="s">
        <v>408</v>
      </c>
      <c r="M8857" t="s">
        <v>409</v>
      </c>
      <c r="N8857" t="s">
        <v>410</v>
      </c>
      <c r="O8857" t="s">
        <v>31</v>
      </c>
      <c r="P8857" t="str">
        <f>"15701"</f>
        <v>15701</v>
      </c>
    </row>
    <row r="8858" spans="1:16" x14ac:dyDescent="0.25">
      <c r="A8858" t="str">
        <f>"1140088M00102    00"</f>
        <v>1140088M00102    00</v>
      </c>
      <c r="B8858" t="s">
        <v>19553</v>
      </c>
      <c r="C8858" t="s">
        <v>19554</v>
      </c>
      <c r="E8858" t="s">
        <v>39</v>
      </c>
      <c r="F8858">
        <v>0</v>
      </c>
      <c r="G8858">
        <v>0</v>
      </c>
      <c r="H8858">
        <v>3</v>
      </c>
      <c r="I8858" s="3">
        <v>27478.27</v>
      </c>
      <c r="J8858" s="3">
        <v>3032.69</v>
      </c>
      <c r="L8858">
        <v>1608</v>
      </c>
      <c r="M8858" t="s">
        <v>19324</v>
      </c>
      <c r="N8858" t="s">
        <v>30</v>
      </c>
      <c r="O8858" t="s">
        <v>31</v>
      </c>
      <c r="P8858" t="str">
        <f>"15217"</f>
        <v>15217</v>
      </c>
    </row>
    <row r="8859" spans="1:16" x14ac:dyDescent="0.25">
      <c r="A8859" t="str">
        <f>"1140088M00104    00"</f>
        <v>1140088M00104    00</v>
      </c>
      <c r="B8859" t="s">
        <v>19555</v>
      </c>
      <c r="C8859" t="s">
        <v>19556</v>
      </c>
      <c r="E8859" t="s">
        <v>39</v>
      </c>
      <c r="F8859">
        <v>0</v>
      </c>
      <c r="G8859">
        <v>0</v>
      </c>
      <c r="H8859">
        <v>2</v>
      </c>
      <c r="I8859" s="3">
        <v>22465.1</v>
      </c>
      <c r="J8859" s="3">
        <v>0</v>
      </c>
      <c r="L8859">
        <v>1603</v>
      </c>
      <c r="M8859" t="s">
        <v>1649</v>
      </c>
      <c r="N8859" t="s">
        <v>30</v>
      </c>
      <c r="O8859" t="s">
        <v>31</v>
      </c>
      <c r="P8859" t="str">
        <f>"15217"</f>
        <v>15217</v>
      </c>
    </row>
    <row r="8860" spans="1:16" x14ac:dyDescent="0.25">
      <c r="A8860" t="str">
        <f>"1140088M00108    00"</f>
        <v>1140088M00108    00</v>
      </c>
      <c r="B8860" t="s">
        <v>19557</v>
      </c>
      <c r="C8860" t="s">
        <v>19558</v>
      </c>
      <c r="E8860" t="s">
        <v>39</v>
      </c>
      <c r="F8860">
        <v>0</v>
      </c>
      <c r="G8860">
        <v>0</v>
      </c>
      <c r="H8860">
        <v>2</v>
      </c>
      <c r="I8860" s="3">
        <v>35044.699999999997</v>
      </c>
      <c r="J8860" s="3">
        <v>0</v>
      </c>
      <c r="K8860" t="s">
        <v>19559</v>
      </c>
      <c r="L8860">
        <v>1619</v>
      </c>
      <c r="M8860" t="s">
        <v>1649</v>
      </c>
      <c r="N8860" t="s">
        <v>30</v>
      </c>
      <c r="O8860" t="s">
        <v>31</v>
      </c>
      <c r="P8860" t="str">
        <f>"15217"</f>
        <v>15217</v>
      </c>
    </row>
    <row r="8861" spans="1:16" x14ac:dyDescent="0.25">
      <c r="A8861" t="str">
        <f>"1140088M00110    00"</f>
        <v>1140088M00110    00</v>
      </c>
      <c r="B8861" t="s">
        <v>19560</v>
      </c>
      <c r="C8861" t="s">
        <v>19561</v>
      </c>
      <c r="E8861" t="s">
        <v>39</v>
      </c>
      <c r="F8861">
        <v>0</v>
      </c>
      <c r="G8861">
        <v>0</v>
      </c>
      <c r="H8861">
        <v>3</v>
      </c>
      <c r="I8861" s="3">
        <v>32770.06</v>
      </c>
      <c r="J8861" s="3">
        <v>1065.22</v>
      </c>
      <c r="L8861">
        <v>1627</v>
      </c>
      <c r="M8861" t="s">
        <v>1649</v>
      </c>
      <c r="N8861" t="s">
        <v>30</v>
      </c>
      <c r="O8861" t="s">
        <v>31</v>
      </c>
      <c r="P8861" t="str">
        <f>"15217"</f>
        <v>15217</v>
      </c>
    </row>
    <row r="8862" spans="1:16" x14ac:dyDescent="0.25">
      <c r="A8862" t="str">
        <f>"1140088M00112    00"</f>
        <v>1140088M00112    00</v>
      </c>
      <c r="B8862" t="s">
        <v>19562</v>
      </c>
      <c r="C8862" t="s">
        <v>19563</v>
      </c>
      <c r="E8862" t="s">
        <v>39</v>
      </c>
      <c r="F8862">
        <v>0</v>
      </c>
      <c r="G8862">
        <v>0</v>
      </c>
      <c r="H8862">
        <v>2</v>
      </c>
      <c r="I8862" s="3">
        <v>20864.060000000001</v>
      </c>
      <c r="J8862" s="3">
        <v>0</v>
      </c>
      <c r="K8862" t="s">
        <v>710</v>
      </c>
      <c r="L8862">
        <v>4140</v>
      </c>
      <c r="M8862" t="s">
        <v>711</v>
      </c>
      <c r="N8862" t="s">
        <v>712</v>
      </c>
      <c r="O8862" t="s">
        <v>31</v>
      </c>
      <c r="P8862" t="str">
        <f>"16148"</f>
        <v>16148</v>
      </c>
    </row>
    <row r="8863" spans="1:16" x14ac:dyDescent="0.25">
      <c r="A8863" t="str">
        <f>"1140088M00114    00"</f>
        <v>1140088M00114    00</v>
      </c>
      <c r="B8863" t="s">
        <v>19564</v>
      </c>
      <c r="C8863" t="s">
        <v>19565</v>
      </c>
      <c r="E8863" t="s">
        <v>39</v>
      </c>
      <c r="F8863">
        <v>0</v>
      </c>
      <c r="G8863">
        <v>0</v>
      </c>
      <c r="H8863">
        <v>3</v>
      </c>
      <c r="I8863" s="3">
        <v>18131.7</v>
      </c>
      <c r="J8863" s="3">
        <v>72.3</v>
      </c>
      <c r="K8863" t="s">
        <v>391</v>
      </c>
      <c r="L8863">
        <v>1</v>
      </c>
      <c r="M8863" t="s">
        <v>392</v>
      </c>
      <c r="N8863" t="s">
        <v>393</v>
      </c>
      <c r="O8863" t="s">
        <v>394</v>
      </c>
      <c r="P8863" t="str">
        <f>"50328"</f>
        <v>50328</v>
      </c>
    </row>
    <row r="8864" spans="1:16" x14ac:dyDescent="0.25">
      <c r="A8864" t="str">
        <f>"1140088M00116    00"</f>
        <v>1140088M00116    00</v>
      </c>
      <c r="B8864" t="s">
        <v>19566</v>
      </c>
      <c r="C8864" t="s">
        <v>19567</v>
      </c>
      <c r="E8864" t="s">
        <v>39</v>
      </c>
      <c r="F8864">
        <v>0</v>
      </c>
      <c r="G8864">
        <v>0</v>
      </c>
      <c r="H8864">
        <v>2</v>
      </c>
      <c r="I8864" s="3">
        <v>22795.759999999998</v>
      </c>
      <c r="J8864" s="3">
        <v>0</v>
      </c>
      <c r="L8864">
        <v>1651</v>
      </c>
      <c r="M8864" t="s">
        <v>1649</v>
      </c>
      <c r="N8864" t="s">
        <v>30</v>
      </c>
      <c r="O8864" t="s">
        <v>31</v>
      </c>
      <c r="P8864" t="str">
        <f>"15217"</f>
        <v>15217</v>
      </c>
    </row>
    <row r="8865" spans="1:16" x14ac:dyDescent="0.25">
      <c r="A8865" t="str">
        <f>"1140088M00118    00"</f>
        <v>1140088M00118    00</v>
      </c>
      <c r="B8865" t="s">
        <v>19568</v>
      </c>
      <c r="C8865" t="s">
        <v>19569</v>
      </c>
      <c r="E8865" t="s">
        <v>39</v>
      </c>
      <c r="F8865">
        <v>0</v>
      </c>
      <c r="G8865">
        <v>0</v>
      </c>
      <c r="H8865">
        <v>2</v>
      </c>
      <c r="I8865" s="3">
        <v>25629.06</v>
      </c>
      <c r="J8865" s="3">
        <v>0</v>
      </c>
      <c r="K8865" t="s">
        <v>728</v>
      </c>
      <c r="L8865">
        <v>3001</v>
      </c>
      <c r="M8865" t="s">
        <v>330</v>
      </c>
      <c r="N8865" t="s">
        <v>331</v>
      </c>
      <c r="O8865" t="s">
        <v>108</v>
      </c>
      <c r="P8865" t="str">
        <f>"75063"</f>
        <v>75063</v>
      </c>
    </row>
    <row r="8866" spans="1:16" x14ac:dyDescent="0.25">
      <c r="A8866" t="str">
        <f>"1140088M00120    00"</f>
        <v>1140088M00120    00</v>
      </c>
      <c r="B8866" t="s">
        <v>19570</v>
      </c>
      <c r="C8866" t="s">
        <v>19571</v>
      </c>
      <c r="E8866" t="s">
        <v>39</v>
      </c>
      <c r="F8866">
        <v>0</v>
      </c>
      <c r="G8866">
        <v>0</v>
      </c>
      <c r="H8866">
        <v>2</v>
      </c>
      <c r="I8866" s="3">
        <v>24146.21</v>
      </c>
      <c r="J8866" s="3">
        <v>0</v>
      </c>
      <c r="L8866">
        <v>1675</v>
      </c>
      <c r="M8866" t="s">
        <v>1649</v>
      </c>
      <c r="N8866" t="s">
        <v>30</v>
      </c>
      <c r="O8866" t="s">
        <v>31</v>
      </c>
      <c r="P8866" t="str">
        <f t="shared" ref="P8866:P8871" si="103">"15217"</f>
        <v>15217</v>
      </c>
    </row>
    <row r="8867" spans="1:16" x14ac:dyDescent="0.25">
      <c r="A8867" t="str">
        <f>"1140088M00122    00"</f>
        <v>1140088M00122    00</v>
      </c>
      <c r="B8867" t="s">
        <v>19572</v>
      </c>
      <c r="C8867" t="s">
        <v>19573</v>
      </c>
      <c r="E8867" t="s">
        <v>39</v>
      </c>
      <c r="F8867">
        <v>0</v>
      </c>
      <c r="G8867">
        <v>0</v>
      </c>
      <c r="H8867">
        <v>2</v>
      </c>
      <c r="I8867" s="3">
        <v>9743.66</v>
      </c>
      <c r="J8867" s="3">
        <v>2435.8200000000002</v>
      </c>
      <c r="L8867">
        <v>1683</v>
      </c>
      <c r="M8867" t="s">
        <v>1649</v>
      </c>
      <c r="N8867" t="s">
        <v>30</v>
      </c>
      <c r="O8867" t="s">
        <v>31</v>
      </c>
      <c r="P8867" t="str">
        <f t="shared" si="103"/>
        <v>15217</v>
      </c>
    </row>
    <row r="8868" spans="1:16" x14ac:dyDescent="0.25">
      <c r="A8868" t="str">
        <f>"1140088M00124    00"</f>
        <v>1140088M00124    00</v>
      </c>
      <c r="B8868" t="s">
        <v>19574</v>
      </c>
      <c r="C8868" t="s">
        <v>19575</v>
      </c>
      <c r="E8868" t="s">
        <v>39</v>
      </c>
      <c r="F8868">
        <v>0</v>
      </c>
      <c r="G8868">
        <v>0</v>
      </c>
      <c r="H8868">
        <v>1</v>
      </c>
      <c r="I8868" s="3">
        <v>8806.25</v>
      </c>
      <c r="J8868" s="3">
        <v>0</v>
      </c>
      <c r="L8868">
        <v>1693</v>
      </c>
      <c r="M8868" t="s">
        <v>1649</v>
      </c>
      <c r="N8868" t="s">
        <v>30</v>
      </c>
      <c r="O8868" t="s">
        <v>31</v>
      </c>
      <c r="P8868" t="str">
        <f t="shared" si="103"/>
        <v>15217</v>
      </c>
    </row>
    <row r="8869" spans="1:16" x14ac:dyDescent="0.25">
      <c r="A8869" t="str">
        <f>"1140088M00126    00"</f>
        <v>1140088M00126    00</v>
      </c>
      <c r="B8869" t="s">
        <v>19576</v>
      </c>
      <c r="C8869" t="s">
        <v>19577</v>
      </c>
      <c r="E8869" t="s">
        <v>39</v>
      </c>
      <c r="F8869">
        <v>0</v>
      </c>
      <c r="G8869">
        <v>0</v>
      </c>
      <c r="H8869">
        <v>2</v>
      </c>
      <c r="I8869" s="3">
        <v>18523.5</v>
      </c>
      <c r="J8869" s="3">
        <v>0</v>
      </c>
      <c r="L8869">
        <v>1686</v>
      </c>
      <c r="M8869" t="s">
        <v>19348</v>
      </c>
      <c r="N8869" t="s">
        <v>30</v>
      </c>
      <c r="O8869" t="s">
        <v>31</v>
      </c>
      <c r="P8869" t="str">
        <f t="shared" si="103"/>
        <v>15217</v>
      </c>
    </row>
    <row r="8870" spans="1:16" x14ac:dyDescent="0.25">
      <c r="A8870" t="str">
        <f>"1140088M00128    00"</f>
        <v>1140088M00128    00</v>
      </c>
      <c r="B8870" t="s">
        <v>19578</v>
      </c>
      <c r="C8870" t="s">
        <v>19579</v>
      </c>
      <c r="E8870" t="s">
        <v>39</v>
      </c>
      <c r="F8870">
        <v>0</v>
      </c>
      <c r="G8870">
        <v>0</v>
      </c>
      <c r="H8870">
        <v>2</v>
      </c>
      <c r="I8870" s="3">
        <v>19838.64</v>
      </c>
      <c r="J8870" s="3">
        <v>0</v>
      </c>
      <c r="L8870">
        <v>1682</v>
      </c>
      <c r="M8870" t="s">
        <v>19348</v>
      </c>
      <c r="N8870" t="s">
        <v>30</v>
      </c>
      <c r="O8870" t="s">
        <v>31</v>
      </c>
      <c r="P8870" t="str">
        <f t="shared" si="103"/>
        <v>15217</v>
      </c>
    </row>
    <row r="8871" spans="1:16" x14ac:dyDescent="0.25">
      <c r="A8871" t="str">
        <f>"1140088M00130    00"</f>
        <v>1140088M00130    00</v>
      </c>
      <c r="B8871" t="s">
        <v>19580</v>
      </c>
      <c r="C8871" t="s">
        <v>19581</v>
      </c>
      <c r="E8871" t="s">
        <v>39</v>
      </c>
      <c r="F8871">
        <v>0</v>
      </c>
      <c r="G8871">
        <v>0</v>
      </c>
      <c r="H8871">
        <v>3</v>
      </c>
      <c r="I8871" s="3">
        <v>23995.53</v>
      </c>
      <c r="J8871" s="3">
        <v>36.89</v>
      </c>
      <c r="K8871" t="s">
        <v>19582</v>
      </c>
      <c r="L8871">
        <v>1678</v>
      </c>
      <c r="M8871" t="s">
        <v>19348</v>
      </c>
      <c r="N8871" t="s">
        <v>30</v>
      </c>
      <c r="O8871" t="s">
        <v>31</v>
      </c>
      <c r="P8871" t="str">
        <f t="shared" si="103"/>
        <v>15217</v>
      </c>
    </row>
    <row r="8872" spans="1:16" x14ac:dyDescent="0.25">
      <c r="A8872" t="str">
        <f>"1140088M00132    00"</f>
        <v>1140088M00132    00</v>
      </c>
      <c r="B8872" t="s">
        <v>19583</v>
      </c>
      <c r="C8872" t="s">
        <v>19584</v>
      </c>
      <c r="E8872" t="s">
        <v>39</v>
      </c>
      <c r="F8872">
        <v>0</v>
      </c>
      <c r="G8872">
        <v>0</v>
      </c>
      <c r="H8872">
        <v>2</v>
      </c>
      <c r="I8872" s="3">
        <v>20864.060000000001</v>
      </c>
      <c r="J8872" s="3">
        <v>0</v>
      </c>
      <c r="K8872" t="s">
        <v>391</v>
      </c>
      <c r="L8872">
        <v>1</v>
      </c>
      <c r="M8872" t="s">
        <v>392</v>
      </c>
      <c r="N8872" t="s">
        <v>393</v>
      </c>
      <c r="O8872" t="s">
        <v>394</v>
      </c>
      <c r="P8872" t="str">
        <f>"50328"</f>
        <v>50328</v>
      </c>
    </row>
    <row r="8873" spans="1:16" x14ac:dyDescent="0.25">
      <c r="A8873" t="str">
        <f>"1140088M00134    00"</f>
        <v>1140088M00134    00</v>
      </c>
      <c r="B8873" t="s">
        <v>19585</v>
      </c>
      <c r="C8873" t="s">
        <v>19586</v>
      </c>
      <c r="E8873" t="s">
        <v>39</v>
      </c>
      <c r="F8873">
        <v>0</v>
      </c>
      <c r="G8873">
        <v>0</v>
      </c>
      <c r="H8873">
        <v>2</v>
      </c>
      <c r="I8873" s="3">
        <v>13171.44</v>
      </c>
      <c r="J8873" s="3">
        <v>0</v>
      </c>
      <c r="L8873">
        <v>1670</v>
      </c>
      <c r="M8873" t="s">
        <v>19348</v>
      </c>
      <c r="N8873" t="s">
        <v>30</v>
      </c>
      <c r="O8873" t="s">
        <v>31</v>
      </c>
      <c r="P8873" t="str">
        <f>"15217"</f>
        <v>15217</v>
      </c>
    </row>
    <row r="8874" spans="1:16" x14ac:dyDescent="0.25">
      <c r="A8874" t="str">
        <f>"1140088M00136    00"</f>
        <v>1140088M00136    00</v>
      </c>
      <c r="B8874" t="s">
        <v>19587</v>
      </c>
      <c r="C8874" t="s">
        <v>19588</v>
      </c>
      <c r="E8874" t="s">
        <v>39</v>
      </c>
      <c r="F8874">
        <v>0</v>
      </c>
      <c r="G8874">
        <v>0</v>
      </c>
      <c r="H8874">
        <v>2</v>
      </c>
      <c r="I8874" s="3">
        <v>16404.02</v>
      </c>
      <c r="J8874" s="3">
        <v>0</v>
      </c>
      <c r="K8874" t="s">
        <v>19589</v>
      </c>
      <c r="L8874">
        <v>1664</v>
      </c>
      <c r="M8874" t="s">
        <v>19348</v>
      </c>
      <c r="N8874" t="s">
        <v>30</v>
      </c>
      <c r="O8874" t="s">
        <v>31</v>
      </c>
      <c r="P8874" t="str">
        <f>"15217"</f>
        <v>15217</v>
      </c>
    </row>
    <row r="8875" spans="1:16" x14ac:dyDescent="0.25">
      <c r="A8875" t="str">
        <f>"1140088M00138    00"</f>
        <v>1140088M00138    00</v>
      </c>
      <c r="B8875" t="s">
        <v>19590</v>
      </c>
      <c r="C8875" t="s">
        <v>19591</v>
      </c>
      <c r="E8875" t="s">
        <v>39</v>
      </c>
      <c r="F8875">
        <v>0</v>
      </c>
      <c r="G8875">
        <v>0</v>
      </c>
      <c r="H8875">
        <v>2</v>
      </c>
      <c r="I8875" s="3">
        <v>18916.16</v>
      </c>
      <c r="J8875" s="3">
        <v>0</v>
      </c>
      <c r="K8875" t="s">
        <v>1030</v>
      </c>
      <c r="M8875" t="s">
        <v>1031</v>
      </c>
      <c r="N8875" t="s">
        <v>1032</v>
      </c>
      <c r="O8875" t="s">
        <v>25</v>
      </c>
      <c r="P8875" t="str">
        <f>"44711"</f>
        <v>44711</v>
      </c>
    </row>
    <row r="8876" spans="1:16" x14ac:dyDescent="0.25">
      <c r="A8876" t="str">
        <f>"1140088M00140    00"</f>
        <v>1140088M00140    00</v>
      </c>
      <c r="B8876" t="s">
        <v>19592</v>
      </c>
      <c r="C8876" t="s">
        <v>19593</v>
      </c>
      <c r="E8876" t="s">
        <v>39</v>
      </c>
      <c r="F8876">
        <v>0</v>
      </c>
      <c r="G8876">
        <v>0</v>
      </c>
      <c r="H8876">
        <v>2</v>
      </c>
      <c r="I8876" s="3">
        <v>13458.82</v>
      </c>
      <c r="J8876" s="3">
        <v>0</v>
      </c>
      <c r="K8876" t="s">
        <v>19594</v>
      </c>
      <c r="L8876">
        <v>1630</v>
      </c>
      <c r="M8876" t="s">
        <v>19348</v>
      </c>
      <c r="N8876" t="s">
        <v>30</v>
      </c>
      <c r="O8876" t="s">
        <v>31</v>
      </c>
      <c r="P8876" t="str">
        <f>"15217"</f>
        <v>15217</v>
      </c>
    </row>
    <row r="8877" spans="1:16" x14ac:dyDescent="0.25">
      <c r="A8877" t="str">
        <f>"1140088M00142    00"</f>
        <v>1140088M00142    00</v>
      </c>
      <c r="B8877" t="s">
        <v>19595</v>
      </c>
      <c r="C8877" t="s">
        <v>19596</v>
      </c>
      <c r="E8877" t="s">
        <v>39</v>
      </c>
      <c r="F8877">
        <v>0</v>
      </c>
      <c r="G8877">
        <v>0</v>
      </c>
      <c r="H8877">
        <v>2</v>
      </c>
      <c r="I8877" s="3">
        <v>13015.18</v>
      </c>
      <c r="J8877" s="3">
        <v>0</v>
      </c>
      <c r="L8877">
        <v>1620</v>
      </c>
      <c r="M8877" t="s">
        <v>19348</v>
      </c>
      <c r="N8877" t="s">
        <v>30</v>
      </c>
      <c r="O8877" t="s">
        <v>31</v>
      </c>
      <c r="P8877" t="str">
        <f>"15217"</f>
        <v>15217</v>
      </c>
    </row>
    <row r="8878" spans="1:16" x14ac:dyDescent="0.25">
      <c r="A8878" t="str">
        <f>"1140088M00144    00"</f>
        <v>1140088M00144    00</v>
      </c>
      <c r="B8878" t="s">
        <v>19597</v>
      </c>
      <c r="C8878" t="s">
        <v>19598</v>
      </c>
      <c r="E8878" t="s">
        <v>39</v>
      </c>
      <c r="F8878">
        <v>0</v>
      </c>
      <c r="G8878">
        <v>0</v>
      </c>
      <c r="H8878">
        <v>2</v>
      </c>
      <c r="I8878" s="3">
        <v>12843.62</v>
      </c>
      <c r="J8878" s="3">
        <v>0</v>
      </c>
      <c r="K8878" t="s">
        <v>19599</v>
      </c>
      <c r="L8878">
        <v>1612</v>
      </c>
      <c r="M8878" t="s">
        <v>19348</v>
      </c>
      <c r="N8878" t="s">
        <v>30</v>
      </c>
      <c r="O8878" t="s">
        <v>31</v>
      </c>
      <c r="P8878" t="str">
        <f>"15217"</f>
        <v>15217</v>
      </c>
    </row>
    <row r="8879" spans="1:16" x14ac:dyDescent="0.25">
      <c r="A8879" t="str">
        <f>"1140088M00146    00"</f>
        <v>1140088M00146    00</v>
      </c>
      <c r="B8879" t="s">
        <v>19600</v>
      </c>
      <c r="C8879" t="s">
        <v>19601</v>
      </c>
      <c r="E8879" t="s">
        <v>39</v>
      </c>
      <c r="F8879">
        <v>0</v>
      </c>
      <c r="G8879">
        <v>0</v>
      </c>
      <c r="H8879">
        <v>3</v>
      </c>
      <c r="I8879" s="3">
        <v>28960.52</v>
      </c>
      <c r="J8879" s="3">
        <v>1335.43</v>
      </c>
      <c r="K8879" t="s">
        <v>19602</v>
      </c>
      <c r="L8879">
        <v>1610</v>
      </c>
      <c r="M8879" t="s">
        <v>19348</v>
      </c>
      <c r="N8879" t="s">
        <v>30</v>
      </c>
      <c r="O8879" t="s">
        <v>31</v>
      </c>
      <c r="P8879" t="str">
        <f>"15217"</f>
        <v>15217</v>
      </c>
    </row>
    <row r="8880" spans="1:16" x14ac:dyDescent="0.25">
      <c r="A8880" t="str">
        <f>"1140088M00148    00"</f>
        <v>1140088M00148    00</v>
      </c>
      <c r="B8880" t="s">
        <v>19603</v>
      </c>
      <c r="C8880" t="s">
        <v>19604</v>
      </c>
      <c r="E8880" t="s">
        <v>39</v>
      </c>
      <c r="F8880">
        <v>0</v>
      </c>
      <c r="G8880">
        <v>0</v>
      </c>
      <c r="H8880">
        <v>2</v>
      </c>
      <c r="I8880" s="3">
        <v>18935.240000000002</v>
      </c>
      <c r="J8880" s="3">
        <v>0</v>
      </c>
      <c r="K8880" t="s">
        <v>1632</v>
      </c>
      <c r="M8880" t="s">
        <v>1633</v>
      </c>
      <c r="N8880" t="s">
        <v>1634</v>
      </c>
      <c r="O8880" t="s">
        <v>25</v>
      </c>
      <c r="P8880" t="str">
        <f>"45401"</f>
        <v>45401</v>
      </c>
    </row>
    <row r="8881" spans="1:16" x14ac:dyDescent="0.25">
      <c r="A8881" t="str">
        <f>"1140088M00150    00"</f>
        <v>1140088M00150    00</v>
      </c>
      <c r="B8881" t="s">
        <v>19605</v>
      </c>
      <c r="C8881" t="s">
        <v>19606</v>
      </c>
      <c r="E8881" t="s">
        <v>39</v>
      </c>
      <c r="F8881">
        <v>0</v>
      </c>
      <c r="G8881">
        <v>0</v>
      </c>
      <c r="H8881">
        <v>1</v>
      </c>
      <c r="I8881" s="3">
        <v>6825.91</v>
      </c>
      <c r="J8881" s="3">
        <v>0</v>
      </c>
      <c r="L8881">
        <v>236</v>
      </c>
      <c r="M8881" t="s">
        <v>19501</v>
      </c>
      <c r="N8881" t="s">
        <v>30</v>
      </c>
      <c r="O8881" t="s">
        <v>31</v>
      </c>
      <c r="P8881" t="str">
        <f>"15217"</f>
        <v>15217</v>
      </c>
    </row>
    <row r="8882" spans="1:16" x14ac:dyDescent="0.25">
      <c r="A8882" t="str">
        <f>"1140088M00152    00"</f>
        <v>1140088M00152    00</v>
      </c>
      <c r="B8882" t="s">
        <v>19607</v>
      </c>
      <c r="C8882" t="s">
        <v>19608</v>
      </c>
      <c r="E8882" t="s">
        <v>39</v>
      </c>
      <c r="F8882">
        <v>0</v>
      </c>
      <c r="G8882">
        <v>0</v>
      </c>
      <c r="H8882">
        <v>3</v>
      </c>
      <c r="I8882" s="3">
        <v>48104.3</v>
      </c>
      <c r="J8882" s="3">
        <v>3218.66</v>
      </c>
      <c r="K8882" t="s">
        <v>19609</v>
      </c>
      <c r="L8882">
        <v>244</v>
      </c>
      <c r="M8882" t="s">
        <v>19501</v>
      </c>
      <c r="N8882" t="s">
        <v>30</v>
      </c>
      <c r="O8882" t="s">
        <v>31</v>
      </c>
      <c r="P8882" t="str">
        <f>"15217"</f>
        <v>15217</v>
      </c>
    </row>
    <row r="8883" spans="1:16" x14ac:dyDescent="0.25">
      <c r="A8883" t="str">
        <f>"1140088R00001    00"</f>
        <v>1140088R00001    00</v>
      </c>
      <c r="B8883" t="s">
        <v>19610</v>
      </c>
      <c r="C8883" t="s">
        <v>19611</v>
      </c>
      <c r="D8883" t="s">
        <v>20</v>
      </c>
      <c r="E8883" t="s">
        <v>39</v>
      </c>
      <c r="F8883">
        <v>0</v>
      </c>
      <c r="G8883">
        <v>0</v>
      </c>
      <c r="H8883">
        <v>19</v>
      </c>
      <c r="I8883" s="3">
        <v>33895.410000000003</v>
      </c>
      <c r="J8883" s="3">
        <v>19566.28</v>
      </c>
      <c r="K8883" t="s">
        <v>19612</v>
      </c>
      <c r="L8883">
        <v>2035</v>
      </c>
      <c r="M8883" t="s">
        <v>19613</v>
      </c>
      <c r="N8883" t="s">
        <v>1928</v>
      </c>
      <c r="O8883" t="s">
        <v>31</v>
      </c>
      <c r="P8883" t="str">
        <f>"15317"</f>
        <v>15317</v>
      </c>
    </row>
    <row r="8884" spans="1:16" x14ac:dyDescent="0.25">
      <c r="A8884" t="str">
        <f>"1140088R00012    00"</f>
        <v>1140088R00012    00</v>
      </c>
      <c r="B8884" t="s">
        <v>19614</v>
      </c>
      <c r="C8884" t="s">
        <v>19615</v>
      </c>
      <c r="D8884" t="s">
        <v>20</v>
      </c>
      <c r="E8884" t="s">
        <v>39</v>
      </c>
      <c r="F8884">
        <v>0</v>
      </c>
      <c r="G8884">
        <v>0</v>
      </c>
      <c r="H8884">
        <v>18</v>
      </c>
      <c r="I8884" s="3">
        <v>34872.29</v>
      </c>
      <c r="J8884" s="3">
        <v>20389.98</v>
      </c>
      <c r="L8884">
        <v>4621</v>
      </c>
      <c r="M8884" t="s">
        <v>18283</v>
      </c>
      <c r="N8884" t="s">
        <v>30</v>
      </c>
      <c r="O8884" t="s">
        <v>31</v>
      </c>
      <c r="P8884" t="str">
        <f>"15217"</f>
        <v>15217</v>
      </c>
    </row>
    <row r="8885" spans="1:16" x14ac:dyDescent="0.25">
      <c r="A8885" t="str">
        <f>"1140088R00022    00"</f>
        <v>1140088R00022    00</v>
      </c>
      <c r="B8885" t="s">
        <v>19616</v>
      </c>
      <c r="C8885" t="s">
        <v>19611</v>
      </c>
      <c r="D8885" t="s">
        <v>20</v>
      </c>
      <c r="E8885" t="s">
        <v>39</v>
      </c>
      <c r="F8885">
        <v>0</v>
      </c>
      <c r="G8885">
        <v>0</v>
      </c>
      <c r="H8885">
        <v>19</v>
      </c>
      <c r="I8885" s="3">
        <v>957.39</v>
      </c>
      <c r="J8885" s="3">
        <v>798.56</v>
      </c>
      <c r="K8885" t="s">
        <v>1037</v>
      </c>
      <c r="L8885">
        <v>4633</v>
      </c>
      <c r="M8885" t="s">
        <v>18283</v>
      </c>
      <c r="N8885" t="s">
        <v>30</v>
      </c>
      <c r="O8885" t="s">
        <v>31</v>
      </c>
      <c r="P8885" t="str">
        <f>"15217"</f>
        <v>15217</v>
      </c>
    </row>
    <row r="8886" spans="1:16" x14ac:dyDescent="0.25">
      <c r="A8886" t="str">
        <f>"1140088R00088    00"</f>
        <v>1140088R00088    00</v>
      </c>
      <c r="B8886" t="s">
        <v>19617</v>
      </c>
      <c r="C8886" t="s">
        <v>19618</v>
      </c>
      <c r="E8886" t="s">
        <v>39</v>
      </c>
      <c r="F8886">
        <v>0</v>
      </c>
      <c r="G8886">
        <v>0</v>
      </c>
      <c r="H8886">
        <v>3</v>
      </c>
      <c r="I8886" s="3">
        <v>19300.21</v>
      </c>
      <c r="J8886" s="3">
        <v>0</v>
      </c>
      <c r="K8886" t="s">
        <v>19619</v>
      </c>
      <c r="L8886">
        <v>116</v>
      </c>
      <c r="M8886" t="s">
        <v>19620</v>
      </c>
      <c r="N8886" t="s">
        <v>30</v>
      </c>
      <c r="O8886" t="s">
        <v>31</v>
      </c>
      <c r="P8886" t="str">
        <f>"15220"</f>
        <v>15220</v>
      </c>
    </row>
    <row r="8887" spans="1:16" x14ac:dyDescent="0.25">
      <c r="A8887" t="str">
        <f>"1140088R00090    00"</f>
        <v>1140088R00090    00</v>
      </c>
      <c r="B8887" t="s">
        <v>19621</v>
      </c>
      <c r="C8887" t="s">
        <v>19622</v>
      </c>
      <c r="E8887" t="s">
        <v>39</v>
      </c>
      <c r="F8887">
        <v>0</v>
      </c>
      <c r="G8887">
        <v>0</v>
      </c>
      <c r="H8887">
        <v>2</v>
      </c>
      <c r="I8887" s="3">
        <v>15104.16</v>
      </c>
      <c r="J8887" s="3">
        <v>0</v>
      </c>
      <c r="K8887" t="s">
        <v>4424</v>
      </c>
      <c r="L8887">
        <v>3001</v>
      </c>
      <c r="M8887" t="s">
        <v>330</v>
      </c>
      <c r="N8887" t="s">
        <v>331</v>
      </c>
      <c r="O8887" t="s">
        <v>108</v>
      </c>
      <c r="P8887" t="str">
        <f>"75063"</f>
        <v>75063</v>
      </c>
    </row>
    <row r="8888" spans="1:16" x14ac:dyDescent="0.25">
      <c r="A8888" t="str">
        <f>"1140088R00092    00"</f>
        <v>1140088R00092    00</v>
      </c>
      <c r="B8888" t="s">
        <v>19623</v>
      </c>
      <c r="C8888" t="s">
        <v>19624</v>
      </c>
      <c r="E8888" t="s">
        <v>39</v>
      </c>
      <c r="F8888">
        <v>0</v>
      </c>
      <c r="G8888">
        <v>0</v>
      </c>
      <c r="H8888">
        <v>1</v>
      </c>
      <c r="I8888" s="3">
        <v>5754.74</v>
      </c>
      <c r="J8888" s="3">
        <v>0</v>
      </c>
      <c r="L8888">
        <v>1766</v>
      </c>
      <c r="M8888" t="s">
        <v>1649</v>
      </c>
      <c r="N8888" t="s">
        <v>30</v>
      </c>
      <c r="O8888" t="s">
        <v>31</v>
      </c>
      <c r="P8888" t="str">
        <f>"15217"</f>
        <v>15217</v>
      </c>
    </row>
    <row r="8889" spans="1:16" x14ac:dyDescent="0.25">
      <c r="A8889" t="str">
        <f>"1140088R00094    00"</f>
        <v>1140088R00094    00</v>
      </c>
      <c r="B8889" t="s">
        <v>19625</v>
      </c>
      <c r="C8889" t="s">
        <v>19626</v>
      </c>
      <c r="E8889" t="s">
        <v>39</v>
      </c>
      <c r="F8889">
        <v>0</v>
      </c>
      <c r="G8889">
        <v>0</v>
      </c>
      <c r="H8889">
        <v>2</v>
      </c>
      <c r="I8889" s="3">
        <v>13735.62</v>
      </c>
      <c r="J8889" s="3">
        <v>0</v>
      </c>
      <c r="K8889" t="s">
        <v>5692</v>
      </c>
      <c r="L8889">
        <v>3001</v>
      </c>
      <c r="M8889" t="s">
        <v>330</v>
      </c>
      <c r="N8889" t="s">
        <v>331</v>
      </c>
      <c r="O8889" t="s">
        <v>108</v>
      </c>
      <c r="P8889" t="str">
        <f>"75063"</f>
        <v>75063</v>
      </c>
    </row>
    <row r="8890" spans="1:16" x14ac:dyDescent="0.25">
      <c r="A8890" t="str">
        <f>"1140088R00098    00"</f>
        <v>1140088R00098    00</v>
      </c>
      <c r="B8890" t="s">
        <v>19627</v>
      </c>
      <c r="C8890" t="s">
        <v>19628</v>
      </c>
      <c r="E8890" t="s">
        <v>39</v>
      </c>
      <c r="F8890">
        <v>0</v>
      </c>
      <c r="G8890">
        <v>0</v>
      </c>
      <c r="H8890">
        <v>2</v>
      </c>
      <c r="I8890" s="3">
        <v>22766.26</v>
      </c>
      <c r="J8890" s="3">
        <v>0</v>
      </c>
      <c r="K8890" t="s">
        <v>19629</v>
      </c>
      <c r="L8890">
        <v>1776</v>
      </c>
      <c r="M8890" t="s">
        <v>1649</v>
      </c>
      <c r="N8890" t="s">
        <v>30</v>
      </c>
      <c r="O8890" t="s">
        <v>31</v>
      </c>
      <c r="P8890" t="str">
        <f>"15217"</f>
        <v>15217</v>
      </c>
    </row>
    <row r="8891" spans="1:16" x14ac:dyDescent="0.25">
      <c r="A8891" t="str">
        <f>"1140088R00100    00"</f>
        <v>1140088R00100    00</v>
      </c>
      <c r="B8891" t="s">
        <v>19630</v>
      </c>
      <c r="C8891" t="s">
        <v>19631</v>
      </c>
      <c r="E8891" t="s">
        <v>39</v>
      </c>
      <c r="F8891">
        <v>0</v>
      </c>
      <c r="G8891">
        <v>0</v>
      </c>
      <c r="H8891">
        <v>1</v>
      </c>
      <c r="I8891" s="3">
        <v>51.26</v>
      </c>
      <c r="J8891" s="3">
        <v>20.5</v>
      </c>
      <c r="K8891" t="s">
        <v>19632</v>
      </c>
      <c r="L8891">
        <v>1759</v>
      </c>
      <c r="M8891" t="s">
        <v>1649</v>
      </c>
      <c r="N8891" t="s">
        <v>30</v>
      </c>
      <c r="O8891" t="s">
        <v>31</v>
      </c>
      <c r="P8891" t="str">
        <f>"15217"</f>
        <v>15217</v>
      </c>
    </row>
    <row r="8892" spans="1:16" x14ac:dyDescent="0.25">
      <c r="A8892" t="str">
        <f>"1140088R00102    00"</f>
        <v>1140088R00102    00</v>
      </c>
      <c r="B8892" t="s">
        <v>19633</v>
      </c>
      <c r="C8892" t="s">
        <v>19634</v>
      </c>
      <c r="E8892" t="s">
        <v>39</v>
      </c>
      <c r="F8892">
        <v>0</v>
      </c>
      <c r="G8892">
        <v>0</v>
      </c>
      <c r="H8892">
        <v>2</v>
      </c>
      <c r="I8892" s="3">
        <v>14867.8</v>
      </c>
      <c r="J8892" s="3">
        <v>0</v>
      </c>
      <c r="L8892">
        <v>1763</v>
      </c>
      <c r="M8892" t="s">
        <v>1649</v>
      </c>
      <c r="N8892" t="s">
        <v>30</v>
      </c>
      <c r="O8892" t="s">
        <v>31</v>
      </c>
      <c r="P8892" t="str">
        <f>"15217"</f>
        <v>15217</v>
      </c>
    </row>
    <row r="8893" spans="1:16" x14ac:dyDescent="0.25">
      <c r="A8893" t="str">
        <f>"1140088R00104    00"</f>
        <v>1140088R00104    00</v>
      </c>
      <c r="B8893" t="s">
        <v>19635</v>
      </c>
      <c r="C8893" t="s">
        <v>19636</v>
      </c>
      <c r="E8893" t="s">
        <v>39</v>
      </c>
      <c r="F8893">
        <v>0</v>
      </c>
      <c r="G8893">
        <v>0</v>
      </c>
      <c r="H8893">
        <v>6</v>
      </c>
      <c r="I8893" s="3">
        <v>45255.06</v>
      </c>
      <c r="J8893" s="3">
        <v>7472.58</v>
      </c>
      <c r="K8893" t="s">
        <v>5396</v>
      </c>
      <c r="L8893">
        <v>3001</v>
      </c>
      <c r="M8893" t="s">
        <v>330</v>
      </c>
      <c r="N8893" t="s">
        <v>331</v>
      </c>
      <c r="O8893" t="s">
        <v>108</v>
      </c>
      <c r="P8893" t="str">
        <f>"75063"</f>
        <v>75063</v>
      </c>
    </row>
    <row r="8894" spans="1:16" x14ac:dyDescent="0.25">
      <c r="A8894" t="str">
        <f>"1140088R00106    00"</f>
        <v>1140088R00106    00</v>
      </c>
      <c r="B8894" t="s">
        <v>19637</v>
      </c>
      <c r="C8894" t="s">
        <v>19638</v>
      </c>
      <c r="E8894" t="s">
        <v>39</v>
      </c>
      <c r="F8894">
        <v>0</v>
      </c>
      <c r="G8894">
        <v>0</v>
      </c>
      <c r="H8894">
        <v>3</v>
      </c>
      <c r="I8894" s="3">
        <v>16514.25</v>
      </c>
      <c r="J8894" s="3">
        <v>303.43</v>
      </c>
      <c r="K8894" t="s">
        <v>563</v>
      </c>
      <c r="L8894">
        <v>3001</v>
      </c>
      <c r="M8894" t="s">
        <v>330</v>
      </c>
      <c r="N8894" t="s">
        <v>331</v>
      </c>
      <c r="O8894" t="s">
        <v>108</v>
      </c>
      <c r="P8894" t="str">
        <f>"75063"</f>
        <v>75063</v>
      </c>
    </row>
    <row r="8895" spans="1:16" x14ac:dyDescent="0.25">
      <c r="A8895" t="str">
        <f>"1140088R00108    00"</f>
        <v>1140088R00108    00</v>
      </c>
      <c r="B8895" t="s">
        <v>19639</v>
      </c>
      <c r="C8895" t="s">
        <v>19640</v>
      </c>
      <c r="E8895" t="s">
        <v>39</v>
      </c>
      <c r="F8895">
        <v>0</v>
      </c>
      <c r="G8895">
        <v>0</v>
      </c>
      <c r="H8895">
        <v>2</v>
      </c>
      <c r="I8895" s="3">
        <v>19810.98</v>
      </c>
      <c r="J8895" s="3">
        <v>1981.01</v>
      </c>
      <c r="K8895" t="s">
        <v>19641</v>
      </c>
      <c r="L8895">
        <v>1777</v>
      </c>
      <c r="M8895" t="s">
        <v>1649</v>
      </c>
      <c r="N8895" t="s">
        <v>30</v>
      </c>
      <c r="O8895" t="s">
        <v>31</v>
      </c>
      <c r="P8895" t="str">
        <f>"15217"</f>
        <v>15217</v>
      </c>
    </row>
    <row r="8896" spans="1:16" x14ac:dyDescent="0.25">
      <c r="A8896" t="str">
        <f>"1140088R00115    00"</f>
        <v>1140088R00115    00</v>
      </c>
      <c r="B8896" t="s">
        <v>19642</v>
      </c>
      <c r="C8896" t="s">
        <v>19643</v>
      </c>
      <c r="E8896" t="s">
        <v>21</v>
      </c>
      <c r="F8896">
        <v>0</v>
      </c>
      <c r="G8896">
        <v>0</v>
      </c>
      <c r="H8896">
        <v>2</v>
      </c>
      <c r="I8896" s="3">
        <v>196127.4</v>
      </c>
      <c r="J8896" s="3">
        <v>0</v>
      </c>
      <c r="K8896" t="s">
        <v>1162</v>
      </c>
      <c r="L8896">
        <v>1</v>
      </c>
      <c r="M8896" t="s">
        <v>1163</v>
      </c>
      <c r="N8896" t="s">
        <v>1164</v>
      </c>
      <c r="O8896" t="s">
        <v>108</v>
      </c>
      <c r="P8896" t="str">
        <f>"76262"</f>
        <v>76262</v>
      </c>
    </row>
    <row r="8897" spans="1:16" x14ac:dyDescent="0.25">
      <c r="A8897" t="str">
        <f>"1140088R00120    00"</f>
        <v>1140088R00120    00</v>
      </c>
      <c r="B8897" t="s">
        <v>19644</v>
      </c>
      <c r="C8897" t="s">
        <v>19645</v>
      </c>
      <c r="E8897" t="s">
        <v>21</v>
      </c>
      <c r="F8897">
        <v>0</v>
      </c>
      <c r="G8897">
        <v>0</v>
      </c>
      <c r="H8897">
        <v>2</v>
      </c>
      <c r="I8897" s="3">
        <v>274929.09999999998</v>
      </c>
      <c r="J8897" s="3">
        <v>0</v>
      </c>
      <c r="K8897" t="s">
        <v>1162</v>
      </c>
      <c r="L8897">
        <v>1</v>
      </c>
      <c r="M8897" t="s">
        <v>1163</v>
      </c>
      <c r="N8897" t="s">
        <v>1164</v>
      </c>
      <c r="O8897" t="s">
        <v>108</v>
      </c>
      <c r="P8897" t="str">
        <f>"76262"</f>
        <v>76262</v>
      </c>
    </row>
    <row r="8898" spans="1:16" x14ac:dyDescent="0.25">
      <c r="A8898" t="str">
        <f>"1140088R00121    00"</f>
        <v>1140088R00121    00</v>
      </c>
      <c r="B8898" t="s">
        <v>218</v>
      </c>
      <c r="C8898" t="s">
        <v>19646</v>
      </c>
      <c r="E8898" t="s">
        <v>39</v>
      </c>
      <c r="F8898">
        <v>0</v>
      </c>
      <c r="G8898">
        <v>0</v>
      </c>
      <c r="H8898">
        <v>7</v>
      </c>
      <c r="I8898" s="3">
        <v>2051.89</v>
      </c>
      <c r="J8898" s="3">
        <v>1421.11</v>
      </c>
      <c r="K8898" t="s">
        <v>220</v>
      </c>
      <c r="L8898">
        <v>412</v>
      </c>
      <c r="M8898" t="s">
        <v>221</v>
      </c>
      <c r="N8898" t="s">
        <v>30</v>
      </c>
      <c r="O8898" t="s">
        <v>31</v>
      </c>
      <c r="P8898" t="str">
        <f>"15219"</f>
        <v>15219</v>
      </c>
    </row>
    <row r="8899" spans="1:16" x14ac:dyDescent="0.25">
      <c r="A8899" t="str">
        <f>"1140088S00001    00"</f>
        <v>1140088S00001    00</v>
      </c>
      <c r="B8899" t="s">
        <v>19647</v>
      </c>
      <c r="C8899" t="s">
        <v>19648</v>
      </c>
      <c r="E8899" t="s">
        <v>39</v>
      </c>
      <c r="F8899">
        <v>0</v>
      </c>
      <c r="G8899">
        <v>0</v>
      </c>
      <c r="H8899">
        <v>1</v>
      </c>
      <c r="I8899" s="3">
        <v>10908.58</v>
      </c>
      <c r="J8899" s="3">
        <v>0</v>
      </c>
      <c r="L8899">
        <v>1732</v>
      </c>
      <c r="M8899" t="s">
        <v>1649</v>
      </c>
      <c r="N8899" t="s">
        <v>30</v>
      </c>
      <c r="O8899" t="s">
        <v>31</v>
      </c>
      <c r="P8899" t="str">
        <f>"15217"</f>
        <v>15217</v>
      </c>
    </row>
    <row r="8900" spans="1:16" x14ac:dyDescent="0.25">
      <c r="A8900" t="str">
        <f>"1140088S00003    00"</f>
        <v>1140088S00003    00</v>
      </c>
      <c r="B8900" t="s">
        <v>19649</v>
      </c>
      <c r="C8900" t="s">
        <v>19650</v>
      </c>
      <c r="E8900" t="s">
        <v>39</v>
      </c>
      <c r="F8900">
        <v>0</v>
      </c>
      <c r="G8900">
        <v>0</v>
      </c>
      <c r="H8900">
        <v>2</v>
      </c>
      <c r="I8900" s="3">
        <v>20296.099999999999</v>
      </c>
      <c r="J8900" s="3">
        <v>0</v>
      </c>
      <c r="L8900">
        <v>1742</v>
      </c>
      <c r="M8900" t="s">
        <v>1649</v>
      </c>
      <c r="N8900" t="s">
        <v>30</v>
      </c>
      <c r="O8900" t="s">
        <v>31</v>
      </c>
      <c r="P8900" t="str">
        <f>"15217"</f>
        <v>15217</v>
      </c>
    </row>
    <row r="8901" spans="1:16" x14ac:dyDescent="0.25">
      <c r="A8901" t="str">
        <f>"1140088S00005    00"</f>
        <v>1140088S00005    00</v>
      </c>
      <c r="B8901" t="s">
        <v>19651</v>
      </c>
      <c r="C8901" t="s">
        <v>19652</v>
      </c>
      <c r="E8901" t="s">
        <v>39</v>
      </c>
      <c r="F8901">
        <v>0</v>
      </c>
      <c r="G8901">
        <v>0</v>
      </c>
      <c r="H8901">
        <v>2</v>
      </c>
      <c r="I8901" s="3">
        <v>20394.240000000002</v>
      </c>
      <c r="J8901" s="3">
        <v>0</v>
      </c>
      <c r="K8901" t="s">
        <v>408</v>
      </c>
      <c r="M8901" t="s">
        <v>409</v>
      </c>
      <c r="N8901" t="s">
        <v>410</v>
      </c>
      <c r="O8901" t="s">
        <v>31</v>
      </c>
      <c r="P8901" t="str">
        <f>"15701"</f>
        <v>15701</v>
      </c>
    </row>
    <row r="8902" spans="1:16" x14ac:dyDescent="0.25">
      <c r="A8902" t="str">
        <f>"1140125K00027    00"</f>
        <v>1140125K00027    00</v>
      </c>
      <c r="B8902" t="s">
        <v>2192</v>
      </c>
      <c r="C8902" t="s">
        <v>19653</v>
      </c>
      <c r="D8902" t="s">
        <v>20</v>
      </c>
      <c r="E8902" t="s">
        <v>39</v>
      </c>
      <c r="F8902">
        <v>0</v>
      </c>
      <c r="G8902">
        <v>0</v>
      </c>
      <c r="H8902">
        <v>16</v>
      </c>
      <c r="I8902" s="3">
        <v>6025.13</v>
      </c>
      <c r="J8902" s="3">
        <v>8006.04</v>
      </c>
      <c r="K8902" t="s">
        <v>1351</v>
      </c>
      <c r="L8902">
        <v>422</v>
      </c>
      <c r="M8902" t="s">
        <v>1352</v>
      </c>
      <c r="N8902" t="s">
        <v>1353</v>
      </c>
      <c r="O8902" t="s">
        <v>31</v>
      </c>
      <c r="P8902" t="str">
        <f>"15085"</f>
        <v>15085</v>
      </c>
    </row>
    <row r="8903" spans="1:16" x14ac:dyDescent="0.25">
      <c r="A8903" t="str">
        <f>"1140125K00028    00"</f>
        <v>1140125K00028    00</v>
      </c>
      <c r="B8903" t="s">
        <v>2192</v>
      </c>
      <c r="C8903" t="s">
        <v>19653</v>
      </c>
      <c r="D8903" t="s">
        <v>20</v>
      </c>
      <c r="E8903" t="s">
        <v>39</v>
      </c>
      <c r="F8903">
        <v>0</v>
      </c>
      <c r="G8903">
        <v>0</v>
      </c>
      <c r="H8903">
        <v>17</v>
      </c>
      <c r="I8903" s="3">
        <v>209.16</v>
      </c>
      <c r="J8903" s="3">
        <v>200.79</v>
      </c>
      <c r="K8903" t="s">
        <v>1351</v>
      </c>
      <c r="L8903">
        <v>422</v>
      </c>
      <c r="M8903" t="s">
        <v>1352</v>
      </c>
      <c r="N8903" t="s">
        <v>1353</v>
      </c>
      <c r="O8903" t="s">
        <v>31</v>
      </c>
      <c r="P8903" t="str">
        <f>"15085"</f>
        <v>15085</v>
      </c>
    </row>
    <row r="8904" spans="1:16" x14ac:dyDescent="0.25">
      <c r="A8904" t="str">
        <f>"1140125K00062    00"</f>
        <v>1140125K00062    00</v>
      </c>
      <c r="B8904" t="s">
        <v>19654</v>
      </c>
      <c r="C8904" t="s">
        <v>19655</v>
      </c>
      <c r="D8904" t="s">
        <v>20</v>
      </c>
      <c r="E8904" t="s">
        <v>39</v>
      </c>
      <c r="F8904">
        <v>0</v>
      </c>
      <c r="G8904">
        <v>0</v>
      </c>
      <c r="H8904">
        <v>2</v>
      </c>
      <c r="I8904" s="3">
        <v>1528.64</v>
      </c>
      <c r="J8904" s="3">
        <v>0</v>
      </c>
      <c r="M8904" t="s">
        <v>19656</v>
      </c>
      <c r="N8904" t="s">
        <v>30</v>
      </c>
      <c r="O8904" t="s">
        <v>31</v>
      </c>
      <c r="P8904" t="str">
        <f>"15206"</f>
        <v>15206</v>
      </c>
    </row>
    <row r="8905" spans="1:16" x14ac:dyDescent="0.25">
      <c r="A8905" t="str">
        <f>"1140125K00084    00"</f>
        <v>1140125K00084    00</v>
      </c>
      <c r="B8905" t="s">
        <v>19657</v>
      </c>
      <c r="C8905" t="s">
        <v>19658</v>
      </c>
      <c r="E8905" t="s">
        <v>39</v>
      </c>
      <c r="F8905">
        <v>0</v>
      </c>
      <c r="G8905">
        <v>0</v>
      </c>
      <c r="H8905">
        <v>1</v>
      </c>
      <c r="I8905" s="3">
        <v>240.4</v>
      </c>
      <c r="J8905" s="3">
        <v>659.07</v>
      </c>
      <c r="L8905">
        <v>6732</v>
      </c>
      <c r="M8905" t="s">
        <v>19659</v>
      </c>
      <c r="N8905" t="s">
        <v>30</v>
      </c>
      <c r="O8905" t="s">
        <v>31</v>
      </c>
      <c r="P8905" t="str">
        <f>"15208"</f>
        <v>15208</v>
      </c>
    </row>
    <row r="8906" spans="1:16" x14ac:dyDescent="0.25">
      <c r="A8906" t="str">
        <f>"1140125K00094    00"</f>
        <v>1140125K00094    00</v>
      </c>
      <c r="B8906" t="s">
        <v>19660</v>
      </c>
      <c r="C8906" t="s">
        <v>19655</v>
      </c>
      <c r="D8906" t="s">
        <v>20</v>
      </c>
      <c r="E8906" t="s">
        <v>39</v>
      </c>
      <c r="F8906">
        <v>0</v>
      </c>
      <c r="G8906">
        <v>0</v>
      </c>
      <c r="H8906">
        <v>12</v>
      </c>
      <c r="I8906" s="3">
        <v>6232.61</v>
      </c>
      <c r="J8906" s="3">
        <v>3408.16</v>
      </c>
      <c r="L8906">
        <v>6750</v>
      </c>
      <c r="M8906" t="s">
        <v>19659</v>
      </c>
      <c r="N8906" t="s">
        <v>30</v>
      </c>
      <c r="O8906" t="s">
        <v>31</v>
      </c>
      <c r="P8906" t="str">
        <f>"15208"</f>
        <v>15208</v>
      </c>
    </row>
    <row r="8907" spans="1:16" x14ac:dyDescent="0.25">
      <c r="A8907" t="str">
        <f>"1140125L00370    00"</f>
        <v>1140125L00370    00</v>
      </c>
      <c r="B8907" t="s">
        <v>218</v>
      </c>
      <c r="C8907" t="s">
        <v>19661</v>
      </c>
      <c r="E8907" t="s">
        <v>21</v>
      </c>
      <c r="F8907">
        <v>0</v>
      </c>
      <c r="G8907">
        <v>0</v>
      </c>
      <c r="H8907">
        <v>1</v>
      </c>
      <c r="I8907" s="3">
        <v>754.09</v>
      </c>
      <c r="J8907" s="3">
        <v>886.02</v>
      </c>
      <c r="K8907" t="s">
        <v>220</v>
      </c>
      <c r="L8907">
        <v>412</v>
      </c>
      <c r="M8907" t="s">
        <v>221</v>
      </c>
      <c r="N8907" t="s">
        <v>30</v>
      </c>
      <c r="O8907" t="s">
        <v>31</v>
      </c>
      <c r="P8907" t="str">
        <f>"15219"</f>
        <v>15219</v>
      </c>
    </row>
    <row r="8908" spans="1:16" x14ac:dyDescent="0.25">
      <c r="A8908" t="str">
        <f>"1140125N00025    00"</f>
        <v>1140125N00025    00</v>
      </c>
      <c r="B8908" t="s">
        <v>19662</v>
      </c>
      <c r="C8908" t="s">
        <v>19663</v>
      </c>
      <c r="E8908" t="s">
        <v>39</v>
      </c>
      <c r="F8908">
        <v>0</v>
      </c>
      <c r="G8908">
        <v>0</v>
      </c>
      <c r="H8908">
        <v>2</v>
      </c>
      <c r="I8908" s="3">
        <v>3090.79</v>
      </c>
      <c r="J8908" s="3">
        <v>211.36</v>
      </c>
      <c r="K8908" t="s">
        <v>710</v>
      </c>
      <c r="L8908">
        <v>4140</v>
      </c>
      <c r="M8908" t="s">
        <v>711</v>
      </c>
      <c r="N8908" t="s">
        <v>712</v>
      </c>
      <c r="O8908" t="s">
        <v>31</v>
      </c>
      <c r="P8908" t="str">
        <f>"16148"</f>
        <v>16148</v>
      </c>
    </row>
    <row r="8909" spans="1:16" x14ac:dyDescent="0.25">
      <c r="A8909" t="str">
        <f>"1140125N00069    00"</f>
        <v>1140125N00069    00</v>
      </c>
      <c r="B8909" t="s">
        <v>19664</v>
      </c>
      <c r="C8909" t="s">
        <v>19665</v>
      </c>
      <c r="E8909" t="s">
        <v>39</v>
      </c>
      <c r="F8909">
        <v>0</v>
      </c>
      <c r="G8909">
        <v>0</v>
      </c>
      <c r="H8909">
        <v>1</v>
      </c>
      <c r="I8909" s="3">
        <v>2587.4499999999998</v>
      </c>
      <c r="J8909" s="3">
        <v>819.33</v>
      </c>
      <c r="L8909">
        <v>122</v>
      </c>
      <c r="M8909" t="s">
        <v>19666</v>
      </c>
      <c r="N8909" t="s">
        <v>30</v>
      </c>
      <c r="O8909" t="s">
        <v>31</v>
      </c>
      <c r="P8909" t="str">
        <f>"15206"</f>
        <v>15206</v>
      </c>
    </row>
    <row r="8910" spans="1:16" x14ac:dyDescent="0.25">
      <c r="A8910" t="str">
        <f>"1140125N00077    00"</f>
        <v>1140125N00077    00</v>
      </c>
      <c r="B8910" t="s">
        <v>19667</v>
      </c>
      <c r="C8910" t="s">
        <v>19668</v>
      </c>
      <c r="E8910" t="s">
        <v>39</v>
      </c>
      <c r="F8910">
        <v>0</v>
      </c>
      <c r="G8910">
        <v>0</v>
      </c>
      <c r="H8910">
        <v>1</v>
      </c>
      <c r="I8910" s="3">
        <v>2627.62</v>
      </c>
      <c r="J8910" s="3">
        <v>832.05</v>
      </c>
      <c r="K8910" t="s">
        <v>391</v>
      </c>
      <c r="L8910">
        <v>1</v>
      </c>
      <c r="M8910" t="s">
        <v>392</v>
      </c>
      <c r="N8910" t="s">
        <v>393</v>
      </c>
      <c r="O8910" t="s">
        <v>394</v>
      </c>
      <c r="P8910" t="str">
        <f>"50328"</f>
        <v>50328</v>
      </c>
    </row>
    <row r="8911" spans="1:16" x14ac:dyDescent="0.25">
      <c r="A8911" t="str">
        <f>"1140125N00090    00"</f>
        <v>1140125N00090    00</v>
      </c>
      <c r="B8911" t="s">
        <v>19669</v>
      </c>
      <c r="C8911" t="s">
        <v>19670</v>
      </c>
      <c r="D8911" t="s">
        <v>20</v>
      </c>
      <c r="E8911" t="s">
        <v>39</v>
      </c>
      <c r="F8911">
        <v>0</v>
      </c>
      <c r="G8911">
        <v>0</v>
      </c>
      <c r="H8911">
        <v>1</v>
      </c>
      <c r="I8911" s="3">
        <v>6505.64</v>
      </c>
      <c r="J8911" s="3">
        <v>0</v>
      </c>
      <c r="L8911">
        <v>201</v>
      </c>
      <c r="M8911" t="s">
        <v>12432</v>
      </c>
      <c r="N8911" t="s">
        <v>30</v>
      </c>
      <c r="O8911" t="s">
        <v>31</v>
      </c>
      <c r="P8911" t="str">
        <f>"15206"</f>
        <v>15206</v>
      </c>
    </row>
    <row r="8912" spans="1:16" x14ac:dyDescent="0.25">
      <c r="A8912" t="str">
        <f>"1140125N00140    00"</f>
        <v>1140125N00140    00</v>
      </c>
      <c r="B8912" t="s">
        <v>19671</v>
      </c>
      <c r="C8912" t="s">
        <v>19672</v>
      </c>
      <c r="E8912" t="s">
        <v>39</v>
      </c>
      <c r="F8912">
        <v>0</v>
      </c>
      <c r="G8912">
        <v>0</v>
      </c>
      <c r="H8912">
        <v>1</v>
      </c>
      <c r="I8912" s="3">
        <v>4912.79</v>
      </c>
      <c r="J8912" s="3">
        <v>1007.27</v>
      </c>
      <c r="K8912" t="s">
        <v>19673</v>
      </c>
      <c r="L8912">
        <v>1036</v>
      </c>
      <c r="M8912" t="s">
        <v>1695</v>
      </c>
      <c r="N8912" t="s">
        <v>30</v>
      </c>
      <c r="O8912" t="s">
        <v>31</v>
      </c>
      <c r="P8912" t="str">
        <f>"15206"</f>
        <v>15206</v>
      </c>
    </row>
    <row r="8913" spans="1:16" x14ac:dyDescent="0.25">
      <c r="A8913" t="str">
        <f>"1140125P00037    00"</f>
        <v>1140125P00037    00</v>
      </c>
      <c r="B8913" t="s">
        <v>5881</v>
      </c>
      <c r="C8913" t="s">
        <v>19674</v>
      </c>
      <c r="E8913" t="s">
        <v>39</v>
      </c>
      <c r="F8913">
        <v>0</v>
      </c>
      <c r="G8913">
        <v>0</v>
      </c>
      <c r="H8913">
        <v>2</v>
      </c>
      <c r="I8913" s="3">
        <v>28570.959999999999</v>
      </c>
      <c r="J8913" s="3">
        <v>952.33</v>
      </c>
      <c r="K8913" t="s">
        <v>5883</v>
      </c>
      <c r="M8913" t="s">
        <v>5884</v>
      </c>
      <c r="N8913" t="s">
        <v>30</v>
      </c>
      <c r="O8913" t="s">
        <v>31</v>
      </c>
      <c r="P8913" t="str">
        <f t="shared" ref="P8913:P8918" si="104">"15235"</f>
        <v>15235</v>
      </c>
    </row>
    <row r="8914" spans="1:16" x14ac:dyDescent="0.25">
      <c r="A8914" t="str">
        <f>"1140125P00042    00"</f>
        <v>1140125P00042    00</v>
      </c>
      <c r="B8914" t="s">
        <v>5881</v>
      </c>
      <c r="C8914" t="s">
        <v>19675</v>
      </c>
      <c r="E8914" t="s">
        <v>39</v>
      </c>
      <c r="F8914">
        <v>0</v>
      </c>
      <c r="G8914">
        <v>0</v>
      </c>
      <c r="H8914">
        <v>2</v>
      </c>
      <c r="I8914" s="3">
        <v>185.26</v>
      </c>
      <c r="J8914" s="3">
        <v>12.67</v>
      </c>
      <c r="K8914" t="s">
        <v>5883</v>
      </c>
      <c r="M8914" t="s">
        <v>5884</v>
      </c>
      <c r="N8914" t="s">
        <v>30</v>
      </c>
      <c r="O8914" t="s">
        <v>31</v>
      </c>
      <c r="P8914" t="str">
        <f t="shared" si="104"/>
        <v>15235</v>
      </c>
    </row>
    <row r="8915" spans="1:16" x14ac:dyDescent="0.25">
      <c r="A8915" t="str">
        <f>"1140125P00043    00"</f>
        <v>1140125P00043    00</v>
      </c>
      <c r="B8915" t="s">
        <v>5881</v>
      </c>
      <c r="C8915" t="s">
        <v>19676</v>
      </c>
      <c r="E8915" t="s">
        <v>39</v>
      </c>
      <c r="F8915">
        <v>0</v>
      </c>
      <c r="G8915">
        <v>0</v>
      </c>
      <c r="H8915">
        <v>2</v>
      </c>
      <c r="I8915" s="3">
        <v>103.63</v>
      </c>
      <c r="J8915" s="3">
        <v>7.09</v>
      </c>
      <c r="K8915" t="s">
        <v>5883</v>
      </c>
      <c r="M8915" t="s">
        <v>5884</v>
      </c>
      <c r="N8915" t="s">
        <v>30</v>
      </c>
      <c r="O8915" t="s">
        <v>31</v>
      </c>
      <c r="P8915" t="str">
        <f t="shared" si="104"/>
        <v>15235</v>
      </c>
    </row>
    <row r="8916" spans="1:16" x14ac:dyDescent="0.25">
      <c r="A8916" t="str">
        <f>"1140125P00044    00"</f>
        <v>1140125P00044    00</v>
      </c>
      <c r="B8916" t="s">
        <v>5881</v>
      </c>
      <c r="C8916" t="s">
        <v>19677</v>
      </c>
      <c r="E8916" t="s">
        <v>39</v>
      </c>
      <c r="F8916">
        <v>0</v>
      </c>
      <c r="G8916">
        <v>0</v>
      </c>
      <c r="H8916">
        <v>2</v>
      </c>
      <c r="I8916" s="3">
        <v>23.21</v>
      </c>
      <c r="J8916" s="3">
        <v>1.58</v>
      </c>
      <c r="K8916" t="s">
        <v>5883</v>
      </c>
      <c r="M8916" t="s">
        <v>5884</v>
      </c>
      <c r="N8916" t="s">
        <v>30</v>
      </c>
      <c r="O8916" t="s">
        <v>31</v>
      </c>
      <c r="P8916" t="str">
        <f t="shared" si="104"/>
        <v>15235</v>
      </c>
    </row>
    <row r="8917" spans="1:16" x14ac:dyDescent="0.25">
      <c r="A8917" t="str">
        <f>"1140125P00069    00"</f>
        <v>1140125P00069    00</v>
      </c>
      <c r="B8917" t="s">
        <v>5881</v>
      </c>
      <c r="C8917" t="s">
        <v>19678</v>
      </c>
      <c r="E8917" t="s">
        <v>39</v>
      </c>
      <c r="F8917">
        <v>0</v>
      </c>
      <c r="G8917">
        <v>0</v>
      </c>
      <c r="H8917">
        <v>2</v>
      </c>
      <c r="I8917" s="3">
        <v>18.57</v>
      </c>
      <c r="J8917" s="3">
        <v>1.27</v>
      </c>
      <c r="K8917" t="s">
        <v>5883</v>
      </c>
      <c r="M8917" t="s">
        <v>5884</v>
      </c>
      <c r="N8917" t="s">
        <v>30</v>
      </c>
      <c r="O8917" t="s">
        <v>31</v>
      </c>
      <c r="P8917" t="str">
        <f t="shared" si="104"/>
        <v>15235</v>
      </c>
    </row>
    <row r="8918" spans="1:16" x14ac:dyDescent="0.25">
      <c r="A8918" t="str">
        <f>"1140125P00071    00"</f>
        <v>1140125P00071    00</v>
      </c>
      <c r="B8918" t="s">
        <v>5881</v>
      </c>
      <c r="C8918" t="s">
        <v>19679</v>
      </c>
      <c r="E8918" t="s">
        <v>39</v>
      </c>
      <c r="F8918">
        <v>0</v>
      </c>
      <c r="G8918">
        <v>0</v>
      </c>
      <c r="H8918">
        <v>2</v>
      </c>
      <c r="I8918" s="3">
        <v>19.29</v>
      </c>
      <c r="J8918" s="3">
        <v>1.32</v>
      </c>
      <c r="K8918" t="s">
        <v>5883</v>
      </c>
      <c r="M8918" t="s">
        <v>5884</v>
      </c>
      <c r="N8918" t="s">
        <v>30</v>
      </c>
      <c r="O8918" t="s">
        <v>31</v>
      </c>
      <c r="P8918" t="str">
        <f t="shared" si="104"/>
        <v>15235</v>
      </c>
    </row>
    <row r="8919" spans="1:16" x14ac:dyDescent="0.25">
      <c r="A8919" t="str">
        <f>"1140125P00087    00"</f>
        <v>1140125P00087    00</v>
      </c>
      <c r="B8919" t="s">
        <v>19680</v>
      </c>
      <c r="C8919" t="s">
        <v>19681</v>
      </c>
      <c r="D8919" t="s">
        <v>20</v>
      </c>
      <c r="E8919" t="s">
        <v>39</v>
      </c>
      <c r="F8919">
        <v>0</v>
      </c>
      <c r="G8919">
        <v>0</v>
      </c>
      <c r="H8919">
        <v>4</v>
      </c>
      <c r="I8919" s="3">
        <v>11807.7</v>
      </c>
      <c r="J8919" s="3">
        <v>67.27</v>
      </c>
      <c r="K8919" t="s">
        <v>19682</v>
      </c>
      <c r="L8919">
        <v>8712</v>
      </c>
      <c r="M8919" t="s">
        <v>19683</v>
      </c>
      <c r="N8919" t="s">
        <v>2355</v>
      </c>
      <c r="O8919" t="s">
        <v>1413</v>
      </c>
      <c r="P8919" t="str">
        <f>"28078"</f>
        <v>28078</v>
      </c>
    </row>
    <row r="8920" spans="1:16" x14ac:dyDescent="0.25">
      <c r="A8920" t="str">
        <f>"1140125P00092    00"</f>
        <v>1140125P00092    00</v>
      </c>
      <c r="B8920" t="s">
        <v>19684</v>
      </c>
      <c r="C8920" t="s">
        <v>19685</v>
      </c>
      <c r="E8920" t="s">
        <v>39</v>
      </c>
      <c r="F8920">
        <v>0</v>
      </c>
      <c r="G8920">
        <v>0</v>
      </c>
      <c r="H8920">
        <v>1</v>
      </c>
      <c r="I8920" s="3">
        <v>2245.27</v>
      </c>
      <c r="J8920" s="3">
        <v>149.68</v>
      </c>
      <c r="K8920" t="s">
        <v>710</v>
      </c>
      <c r="L8920">
        <v>4140</v>
      </c>
      <c r="M8920" t="s">
        <v>711</v>
      </c>
      <c r="N8920" t="s">
        <v>712</v>
      </c>
      <c r="O8920" t="s">
        <v>31</v>
      </c>
      <c r="P8920" t="str">
        <f>"16148"</f>
        <v>16148</v>
      </c>
    </row>
    <row r="8921" spans="1:16" x14ac:dyDescent="0.25">
      <c r="A8921" t="str">
        <f>"1140125P00107    00"</f>
        <v>1140125P00107    00</v>
      </c>
      <c r="B8921" t="s">
        <v>19686</v>
      </c>
      <c r="C8921" t="s">
        <v>19687</v>
      </c>
      <c r="D8921" t="s">
        <v>20</v>
      </c>
      <c r="E8921" t="s">
        <v>39</v>
      </c>
      <c r="F8921">
        <v>0</v>
      </c>
      <c r="G8921">
        <v>0</v>
      </c>
      <c r="H8921">
        <v>2</v>
      </c>
      <c r="I8921" s="3">
        <v>5432.77</v>
      </c>
      <c r="J8921" s="3">
        <v>0</v>
      </c>
      <c r="L8921">
        <v>6818</v>
      </c>
      <c r="M8921" t="s">
        <v>10830</v>
      </c>
      <c r="N8921" t="s">
        <v>30</v>
      </c>
      <c r="O8921" t="s">
        <v>31</v>
      </c>
      <c r="P8921" t="str">
        <f>"15208"</f>
        <v>15208</v>
      </c>
    </row>
    <row r="8922" spans="1:16" x14ac:dyDescent="0.25">
      <c r="A8922" t="str">
        <f>"1140125P00125    00"</f>
        <v>1140125P00125    00</v>
      </c>
      <c r="B8922" t="s">
        <v>19688</v>
      </c>
      <c r="C8922" t="s">
        <v>19689</v>
      </c>
      <c r="D8922" t="s">
        <v>20</v>
      </c>
      <c r="E8922" t="s">
        <v>39</v>
      </c>
      <c r="F8922">
        <v>0</v>
      </c>
      <c r="G8922">
        <v>0</v>
      </c>
      <c r="H8922">
        <v>3</v>
      </c>
      <c r="I8922" s="3">
        <v>7806.96</v>
      </c>
      <c r="J8922" s="3">
        <v>390.33</v>
      </c>
      <c r="K8922" t="s">
        <v>19690</v>
      </c>
      <c r="L8922">
        <v>18</v>
      </c>
      <c r="M8922" t="s">
        <v>618</v>
      </c>
      <c r="N8922" t="s">
        <v>1067</v>
      </c>
      <c r="O8922" t="s">
        <v>31</v>
      </c>
      <c r="P8922" t="str">
        <f>"15143"</f>
        <v>15143</v>
      </c>
    </row>
    <row r="8923" spans="1:16" x14ac:dyDescent="0.25">
      <c r="A8923" t="str">
        <f>"1140125P00139    00"</f>
        <v>1140125P00139    00</v>
      </c>
      <c r="B8923" t="s">
        <v>19691</v>
      </c>
      <c r="C8923" t="s">
        <v>19692</v>
      </c>
      <c r="D8923" t="s">
        <v>20</v>
      </c>
      <c r="E8923" t="s">
        <v>39</v>
      </c>
      <c r="F8923">
        <v>0</v>
      </c>
      <c r="G8923">
        <v>0</v>
      </c>
      <c r="H8923">
        <v>4</v>
      </c>
      <c r="I8923" s="3">
        <v>13183.2</v>
      </c>
      <c r="J8923" s="3">
        <v>1557.3</v>
      </c>
      <c r="K8923" t="s">
        <v>8122</v>
      </c>
      <c r="L8923">
        <v>999</v>
      </c>
      <c r="M8923" t="s">
        <v>8123</v>
      </c>
      <c r="N8923" t="s">
        <v>8124</v>
      </c>
      <c r="O8923" t="s">
        <v>658</v>
      </c>
      <c r="P8923" t="str">
        <f>"73118"</f>
        <v>73118</v>
      </c>
    </row>
    <row r="8924" spans="1:16" x14ac:dyDescent="0.25">
      <c r="A8924" t="str">
        <f>"1140125P00145    00"</f>
        <v>1140125P00145    00</v>
      </c>
      <c r="B8924" t="s">
        <v>14107</v>
      </c>
      <c r="C8924" t="s">
        <v>19693</v>
      </c>
      <c r="D8924" t="s">
        <v>20</v>
      </c>
      <c r="E8924" t="s">
        <v>39</v>
      </c>
      <c r="F8924">
        <v>0</v>
      </c>
      <c r="G8924">
        <v>0</v>
      </c>
      <c r="H8924">
        <v>2</v>
      </c>
      <c r="I8924" s="3">
        <v>3232.91</v>
      </c>
      <c r="J8924" s="3">
        <v>0</v>
      </c>
      <c r="K8924" t="s">
        <v>1722</v>
      </c>
      <c r="M8924" t="s">
        <v>1723</v>
      </c>
      <c r="N8924" t="s">
        <v>410</v>
      </c>
      <c r="O8924" t="s">
        <v>31</v>
      </c>
      <c r="P8924" t="str">
        <f>"15701"</f>
        <v>15701</v>
      </c>
    </row>
    <row r="8925" spans="1:16" x14ac:dyDescent="0.25">
      <c r="A8925" t="str">
        <f>"1140125P00210    00"</f>
        <v>1140125P00210    00</v>
      </c>
      <c r="B8925" t="s">
        <v>19694</v>
      </c>
      <c r="C8925" t="s">
        <v>19695</v>
      </c>
      <c r="D8925" t="s">
        <v>20</v>
      </c>
      <c r="E8925" t="s">
        <v>39</v>
      </c>
      <c r="F8925">
        <v>0</v>
      </c>
      <c r="G8925">
        <v>0</v>
      </c>
      <c r="H8925">
        <v>1</v>
      </c>
      <c r="I8925" s="3">
        <v>4365.95</v>
      </c>
      <c r="J8925" s="3">
        <v>1746.32</v>
      </c>
      <c r="K8925" t="s">
        <v>881</v>
      </c>
      <c r="L8925">
        <v>3001</v>
      </c>
      <c r="M8925" t="s">
        <v>330</v>
      </c>
      <c r="N8925" t="s">
        <v>331</v>
      </c>
      <c r="O8925" t="s">
        <v>108</v>
      </c>
      <c r="P8925" t="str">
        <f>"75063"</f>
        <v>75063</v>
      </c>
    </row>
    <row r="8926" spans="1:16" x14ac:dyDescent="0.25">
      <c r="A8926" t="str">
        <f>"1140125P00215    00"</f>
        <v>1140125P00215    00</v>
      </c>
      <c r="B8926" t="s">
        <v>19696</v>
      </c>
      <c r="C8926" t="s">
        <v>19697</v>
      </c>
      <c r="E8926" t="s">
        <v>39</v>
      </c>
      <c r="F8926">
        <v>0</v>
      </c>
      <c r="G8926">
        <v>0</v>
      </c>
      <c r="H8926">
        <v>1</v>
      </c>
      <c r="I8926" s="3">
        <v>108.35</v>
      </c>
      <c r="J8926" s="3">
        <v>29.79</v>
      </c>
      <c r="K8926" t="s">
        <v>391</v>
      </c>
      <c r="L8926">
        <v>1</v>
      </c>
      <c r="M8926" t="s">
        <v>392</v>
      </c>
      <c r="N8926" t="s">
        <v>393</v>
      </c>
      <c r="O8926" t="s">
        <v>394</v>
      </c>
      <c r="P8926" t="str">
        <f>"50328"</f>
        <v>50328</v>
      </c>
    </row>
    <row r="8927" spans="1:16" x14ac:dyDescent="0.25">
      <c r="A8927" t="str">
        <f>"1140125P00229    00"</f>
        <v>1140125P00229    00</v>
      </c>
      <c r="B8927" t="s">
        <v>19698</v>
      </c>
      <c r="C8927" t="s">
        <v>19699</v>
      </c>
      <c r="E8927" t="s">
        <v>39</v>
      </c>
      <c r="F8927">
        <v>0</v>
      </c>
      <c r="G8927">
        <v>0</v>
      </c>
      <c r="H8927">
        <v>1</v>
      </c>
      <c r="I8927" s="3">
        <v>1890.85</v>
      </c>
      <c r="J8927" s="3">
        <v>519.97</v>
      </c>
      <c r="L8927">
        <v>609</v>
      </c>
      <c r="M8927" t="s">
        <v>11888</v>
      </c>
      <c r="N8927" t="s">
        <v>30</v>
      </c>
      <c r="O8927" t="s">
        <v>31</v>
      </c>
      <c r="P8927" t="str">
        <f>"15221"</f>
        <v>15221</v>
      </c>
    </row>
    <row r="8928" spans="1:16" x14ac:dyDescent="0.25">
      <c r="A8928" t="str">
        <f>"1140125P00264    00"</f>
        <v>1140125P00264    00</v>
      </c>
      <c r="B8928" t="s">
        <v>19700</v>
      </c>
      <c r="C8928" t="s">
        <v>19701</v>
      </c>
      <c r="E8928" t="s">
        <v>21</v>
      </c>
      <c r="F8928">
        <v>0</v>
      </c>
      <c r="G8928">
        <v>0</v>
      </c>
      <c r="H8928">
        <v>2</v>
      </c>
      <c r="I8928" s="3">
        <v>14397.94</v>
      </c>
      <c r="J8928" s="3">
        <v>719.86</v>
      </c>
      <c r="K8928" t="s">
        <v>1802</v>
      </c>
      <c r="L8928">
        <v>901</v>
      </c>
      <c r="M8928" t="s">
        <v>1503</v>
      </c>
      <c r="N8928" t="s">
        <v>494</v>
      </c>
      <c r="O8928" t="s">
        <v>495</v>
      </c>
      <c r="P8928" t="str">
        <f>"91768"</f>
        <v>91768</v>
      </c>
    </row>
    <row r="8929" spans="1:16" x14ac:dyDescent="0.25">
      <c r="A8929" t="str">
        <f>"1140125R00015    00"</f>
        <v>1140125R00015    00</v>
      </c>
      <c r="B8929" t="s">
        <v>19702</v>
      </c>
      <c r="C8929" t="s">
        <v>19703</v>
      </c>
      <c r="D8929" t="s">
        <v>20</v>
      </c>
      <c r="E8929" t="s">
        <v>39</v>
      </c>
      <c r="F8929">
        <v>0</v>
      </c>
      <c r="G8929">
        <v>0</v>
      </c>
      <c r="H8929">
        <v>4</v>
      </c>
      <c r="I8929" s="3">
        <v>7943.92</v>
      </c>
      <c r="J8929" s="3">
        <v>1302.82</v>
      </c>
      <c r="L8929">
        <v>6830</v>
      </c>
      <c r="M8929" t="s">
        <v>10830</v>
      </c>
      <c r="N8929" t="s">
        <v>30</v>
      </c>
      <c r="O8929" t="s">
        <v>31</v>
      </c>
      <c r="P8929" t="str">
        <f>"15208"</f>
        <v>15208</v>
      </c>
    </row>
    <row r="8930" spans="1:16" x14ac:dyDescent="0.25">
      <c r="A8930" t="str">
        <f>"1140125R00023    00"</f>
        <v>1140125R00023    00</v>
      </c>
      <c r="B8930" t="s">
        <v>19704</v>
      </c>
      <c r="C8930" t="s">
        <v>19705</v>
      </c>
      <c r="E8930" t="s">
        <v>39</v>
      </c>
      <c r="F8930">
        <v>0</v>
      </c>
      <c r="G8930">
        <v>0</v>
      </c>
      <c r="H8930">
        <v>2</v>
      </c>
      <c r="I8930" s="3">
        <v>7528.72</v>
      </c>
      <c r="J8930" s="3">
        <v>376.42</v>
      </c>
      <c r="K8930" t="s">
        <v>5301</v>
      </c>
      <c r="L8930">
        <v>175</v>
      </c>
      <c r="M8930" t="s">
        <v>19706</v>
      </c>
      <c r="N8930" t="s">
        <v>199</v>
      </c>
      <c r="O8930" t="s">
        <v>200</v>
      </c>
      <c r="P8930" t="str">
        <f>"10007"</f>
        <v>10007</v>
      </c>
    </row>
    <row r="8931" spans="1:16" x14ac:dyDescent="0.25">
      <c r="A8931" t="str">
        <f>"1140125R00054    00"</f>
        <v>1140125R00054    00</v>
      </c>
      <c r="B8931" t="s">
        <v>19707</v>
      </c>
      <c r="C8931" t="s">
        <v>19708</v>
      </c>
      <c r="E8931" t="s">
        <v>39</v>
      </c>
      <c r="F8931">
        <v>0</v>
      </c>
      <c r="G8931">
        <v>0</v>
      </c>
      <c r="H8931">
        <v>1</v>
      </c>
      <c r="I8931" s="3">
        <v>2494.9699999999998</v>
      </c>
      <c r="J8931" s="3">
        <v>0</v>
      </c>
      <c r="K8931" t="s">
        <v>19709</v>
      </c>
      <c r="L8931">
        <v>6901</v>
      </c>
      <c r="M8931" t="s">
        <v>10830</v>
      </c>
      <c r="N8931" t="s">
        <v>30</v>
      </c>
      <c r="O8931" t="s">
        <v>31</v>
      </c>
      <c r="P8931" t="str">
        <f>"15208"</f>
        <v>15208</v>
      </c>
    </row>
    <row r="8932" spans="1:16" x14ac:dyDescent="0.25">
      <c r="A8932" t="str">
        <f>"1140125R00069    00"</f>
        <v>1140125R00069    00</v>
      </c>
      <c r="B8932" t="s">
        <v>19710</v>
      </c>
      <c r="C8932" t="s">
        <v>19711</v>
      </c>
      <c r="E8932" t="s">
        <v>21</v>
      </c>
      <c r="F8932">
        <v>0</v>
      </c>
      <c r="G8932">
        <v>0</v>
      </c>
      <c r="H8932">
        <v>1</v>
      </c>
      <c r="I8932" s="3">
        <v>8481.7800000000007</v>
      </c>
      <c r="J8932" s="3">
        <v>2615.11</v>
      </c>
      <c r="K8932" t="s">
        <v>19712</v>
      </c>
      <c r="L8932">
        <v>617</v>
      </c>
      <c r="M8932" t="s">
        <v>19713</v>
      </c>
      <c r="N8932" t="s">
        <v>30</v>
      </c>
      <c r="O8932" t="s">
        <v>31</v>
      </c>
      <c r="P8932" t="str">
        <f>"15208"</f>
        <v>15208</v>
      </c>
    </row>
    <row r="8933" spans="1:16" x14ac:dyDescent="0.25">
      <c r="A8933" t="str">
        <f>"1140125R00075    00"</f>
        <v>1140125R00075    00</v>
      </c>
      <c r="B8933" t="s">
        <v>19714</v>
      </c>
      <c r="C8933" t="s">
        <v>19715</v>
      </c>
      <c r="E8933" t="s">
        <v>39</v>
      </c>
      <c r="F8933">
        <v>0</v>
      </c>
      <c r="G8933">
        <v>0</v>
      </c>
      <c r="H8933">
        <v>1</v>
      </c>
      <c r="I8933" s="3">
        <v>2702.54</v>
      </c>
      <c r="J8933" s="3">
        <v>1351.21</v>
      </c>
      <c r="K8933" t="s">
        <v>403</v>
      </c>
      <c r="L8933">
        <v>3001</v>
      </c>
      <c r="M8933" t="s">
        <v>404</v>
      </c>
      <c r="N8933" t="s">
        <v>331</v>
      </c>
      <c r="O8933" t="s">
        <v>108</v>
      </c>
      <c r="P8933" t="str">
        <f>"75063"</f>
        <v>75063</v>
      </c>
    </row>
    <row r="8934" spans="1:16" x14ac:dyDescent="0.25">
      <c r="A8934" t="str">
        <f>"1140125R00087    00"</f>
        <v>1140125R00087    00</v>
      </c>
      <c r="B8934" t="s">
        <v>19716</v>
      </c>
      <c r="C8934" t="s">
        <v>19717</v>
      </c>
      <c r="D8934" t="s">
        <v>20</v>
      </c>
      <c r="E8934" t="s">
        <v>39</v>
      </c>
      <c r="F8934">
        <v>0</v>
      </c>
      <c r="G8934">
        <v>0</v>
      </c>
      <c r="H8934">
        <v>3</v>
      </c>
      <c r="I8934" s="3">
        <v>4335.3900000000003</v>
      </c>
      <c r="J8934" s="3">
        <v>174.46</v>
      </c>
      <c r="K8934" t="s">
        <v>19718</v>
      </c>
      <c r="L8934">
        <v>6840</v>
      </c>
      <c r="M8934" t="s">
        <v>2350</v>
      </c>
      <c r="N8934" t="s">
        <v>30</v>
      </c>
      <c r="O8934" t="s">
        <v>31</v>
      </c>
      <c r="P8934" t="str">
        <f>"15208"</f>
        <v>15208</v>
      </c>
    </row>
    <row r="8935" spans="1:16" x14ac:dyDescent="0.25">
      <c r="A8935" t="str">
        <f>"1140125R00088    00"</f>
        <v>1140125R00088    00</v>
      </c>
      <c r="B8935" t="s">
        <v>19719</v>
      </c>
      <c r="C8935" t="s">
        <v>19720</v>
      </c>
      <c r="E8935" t="s">
        <v>39</v>
      </c>
      <c r="F8935">
        <v>0</v>
      </c>
      <c r="G8935">
        <v>0</v>
      </c>
      <c r="H8935">
        <v>2</v>
      </c>
      <c r="I8935" s="3">
        <v>9057.33</v>
      </c>
      <c r="J8935" s="3">
        <v>159.29</v>
      </c>
      <c r="K8935" t="s">
        <v>4877</v>
      </c>
      <c r="L8935">
        <v>1</v>
      </c>
      <c r="M8935" t="s">
        <v>4878</v>
      </c>
      <c r="N8935" t="s">
        <v>4879</v>
      </c>
      <c r="O8935" t="s">
        <v>31</v>
      </c>
      <c r="P8935" t="str">
        <f>"19428"</f>
        <v>19428</v>
      </c>
    </row>
    <row r="8936" spans="1:16" x14ac:dyDescent="0.25">
      <c r="A8936" t="str">
        <f>"1140125R00090    00"</f>
        <v>1140125R00090    00</v>
      </c>
      <c r="B8936" t="s">
        <v>19721</v>
      </c>
      <c r="C8936" t="s">
        <v>19722</v>
      </c>
      <c r="D8936" t="s">
        <v>20</v>
      </c>
      <c r="E8936" t="s">
        <v>39</v>
      </c>
      <c r="F8936">
        <v>0</v>
      </c>
      <c r="G8936">
        <v>0</v>
      </c>
      <c r="H8936">
        <v>7</v>
      </c>
      <c r="I8936" s="3">
        <v>3762.11</v>
      </c>
      <c r="J8936" s="3">
        <v>1874.59</v>
      </c>
      <c r="M8936" t="s">
        <v>19723</v>
      </c>
      <c r="N8936" t="s">
        <v>30</v>
      </c>
      <c r="O8936" t="s">
        <v>31</v>
      </c>
      <c r="P8936" t="str">
        <f>"15206"</f>
        <v>15206</v>
      </c>
    </row>
    <row r="8937" spans="1:16" x14ac:dyDescent="0.25">
      <c r="A8937" t="str">
        <f>"1140125R00148    00"</f>
        <v>1140125R00148    00</v>
      </c>
      <c r="B8937" t="s">
        <v>19724</v>
      </c>
      <c r="C8937" t="s">
        <v>19725</v>
      </c>
      <c r="D8937" t="s">
        <v>20</v>
      </c>
      <c r="E8937" t="s">
        <v>39</v>
      </c>
      <c r="F8937">
        <v>0</v>
      </c>
      <c r="G8937">
        <v>0</v>
      </c>
      <c r="H8937">
        <v>5</v>
      </c>
      <c r="I8937" s="3">
        <v>7053.82</v>
      </c>
      <c r="J8937" s="3">
        <v>1288.81</v>
      </c>
      <c r="L8937">
        <v>6914</v>
      </c>
      <c r="M8937" t="s">
        <v>2350</v>
      </c>
      <c r="N8937" t="s">
        <v>30</v>
      </c>
      <c r="O8937" t="s">
        <v>31</v>
      </c>
      <c r="P8937" t="str">
        <f>"15208"</f>
        <v>15208</v>
      </c>
    </row>
    <row r="8938" spans="1:16" x14ac:dyDescent="0.25">
      <c r="A8938" t="str">
        <f>"1140125R00149    00"</f>
        <v>1140125R00149    00</v>
      </c>
      <c r="B8938" t="s">
        <v>19726</v>
      </c>
      <c r="C8938" t="s">
        <v>19727</v>
      </c>
      <c r="E8938" t="s">
        <v>39</v>
      </c>
      <c r="F8938">
        <v>0</v>
      </c>
      <c r="G8938">
        <v>0</v>
      </c>
      <c r="H8938">
        <v>3</v>
      </c>
      <c r="I8938" s="3">
        <v>2748.56</v>
      </c>
      <c r="J8938" s="3">
        <v>15.68</v>
      </c>
      <c r="L8938">
        <v>6920</v>
      </c>
      <c r="M8938" t="s">
        <v>2350</v>
      </c>
      <c r="N8938" t="s">
        <v>30</v>
      </c>
      <c r="O8938" t="s">
        <v>31</v>
      </c>
      <c r="P8938" t="str">
        <f>"15208"</f>
        <v>15208</v>
      </c>
    </row>
    <row r="8939" spans="1:16" x14ac:dyDescent="0.25">
      <c r="A8939" t="str">
        <f>"1140125R00151    00"</f>
        <v>1140125R00151    00</v>
      </c>
      <c r="B8939" t="s">
        <v>19728</v>
      </c>
      <c r="C8939" t="s">
        <v>19729</v>
      </c>
      <c r="E8939" t="s">
        <v>39</v>
      </c>
      <c r="F8939">
        <v>0</v>
      </c>
      <c r="G8939">
        <v>0</v>
      </c>
      <c r="H8939">
        <v>1</v>
      </c>
      <c r="I8939" s="3">
        <v>2027.98</v>
      </c>
      <c r="J8939" s="3">
        <v>135.19</v>
      </c>
      <c r="L8939">
        <v>6922</v>
      </c>
      <c r="M8939" t="s">
        <v>2350</v>
      </c>
      <c r="N8939" t="s">
        <v>30</v>
      </c>
      <c r="O8939" t="s">
        <v>31</v>
      </c>
      <c r="P8939" t="str">
        <f>"15208"</f>
        <v>15208</v>
      </c>
    </row>
    <row r="8940" spans="1:16" x14ac:dyDescent="0.25">
      <c r="A8940" t="str">
        <f>"1140125R00177    00"</f>
        <v>1140125R00177    00</v>
      </c>
      <c r="B8940" t="s">
        <v>19730</v>
      </c>
      <c r="C8940" t="s">
        <v>19731</v>
      </c>
      <c r="D8940" t="s">
        <v>20</v>
      </c>
      <c r="E8940" t="s">
        <v>39</v>
      </c>
      <c r="F8940">
        <v>0</v>
      </c>
      <c r="G8940">
        <v>0</v>
      </c>
      <c r="H8940">
        <v>8</v>
      </c>
      <c r="I8940" s="3">
        <v>18274.68</v>
      </c>
      <c r="J8940" s="3">
        <v>6036.72</v>
      </c>
      <c r="L8940">
        <v>6947</v>
      </c>
      <c r="M8940" t="s">
        <v>2350</v>
      </c>
      <c r="N8940" t="s">
        <v>30</v>
      </c>
      <c r="O8940" t="s">
        <v>31</v>
      </c>
      <c r="P8940" t="str">
        <f>"15208"</f>
        <v>15208</v>
      </c>
    </row>
    <row r="8941" spans="1:16" x14ac:dyDescent="0.25">
      <c r="A8941" t="str">
        <f>"1140125R00184    00"</f>
        <v>1140125R00184    00</v>
      </c>
      <c r="B8941" t="s">
        <v>19732</v>
      </c>
      <c r="C8941" t="s">
        <v>19733</v>
      </c>
      <c r="E8941" t="s">
        <v>39</v>
      </c>
      <c r="F8941">
        <v>0</v>
      </c>
      <c r="G8941">
        <v>0</v>
      </c>
      <c r="H8941">
        <v>2</v>
      </c>
      <c r="I8941" s="3">
        <v>2580.64</v>
      </c>
      <c r="J8941" s="3">
        <v>106.42</v>
      </c>
      <c r="K8941" t="s">
        <v>4877</v>
      </c>
      <c r="L8941">
        <v>1</v>
      </c>
      <c r="M8941" t="s">
        <v>4878</v>
      </c>
      <c r="N8941" t="s">
        <v>4879</v>
      </c>
      <c r="O8941" t="s">
        <v>31</v>
      </c>
      <c r="P8941" t="str">
        <f>"19428"</f>
        <v>19428</v>
      </c>
    </row>
    <row r="8942" spans="1:16" x14ac:dyDescent="0.25">
      <c r="A8942" t="str">
        <f>"1140125R00186    00"</f>
        <v>1140125R00186    00</v>
      </c>
      <c r="B8942" t="s">
        <v>19734</v>
      </c>
      <c r="C8942" t="s">
        <v>19735</v>
      </c>
      <c r="D8942" t="s">
        <v>20</v>
      </c>
      <c r="E8942" t="s">
        <v>39</v>
      </c>
      <c r="F8942">
        <v>0</v>
      </c>
      <c r="G8942">
        <v>0</v>
      </c>
      <c r="H8942">
        <v>7</v>
      </c>
      <c r="I8942" s="3">
        <v>19324.21</v>
      </c>
      <c r="J8942" s="3">
        <v>4835.9399999999996</v>
      </c>
      <c r="L8942">
        <v>6925</v>
      </c>
      <c r="M8942" t="s">
        <v>2350</v>
      </c>
      <c r="N8942" t="s">
        <v>30</v>
      </c>
      <c r="O8942" t="s">
        <v>31</v>
      </c>
      <c r="P8942" t="str">
        <f>"15208"</f>
        <v>15208</v>
      </c>
    </row>
    <row r="8943" spans="1:16" x14ac:dyDescent="0.25">
      <c r="A8943" t="str">
        <f>"1140125R00192    00"</f>
        <v>1140125R00192    00</v>
      </c>
      <c r="B8943" t="s">
        <v>19736</v>
      </c>
      <c r="C8943" t="s">
        <v>19737</v>
      </c>
      <c r="D8943" t="s">
        <v>20</v>
      </c>
      <c r="E8943" t="s">
        <v>39</v>
      </c>
      <c r="F8943">
        <v>0</v>
      </c>
      <c r="G8943">
        <v>0</v>
      </c>
      <c r="H8943">
        <v>4</v>
      </c>
      <c r="I8943" s="3">
        <v>5961.31</v>
      </c>
      <c r="J8943" s="3">
        <v>716.47</v>
      </c>
      <c r="L8943">
        <v>344</v>
      </c>
      <c r="M8943" t="s">
        <v>9777</v>
      </c>
      <c r="N8943" t="s">
        <v>9778</v>
      </c>
      <c r="O8943" t="s">
        <v>423</v>
      </c>
      <c r="P8943" t="str">
        <f>"07302"</f>
        <v>07302</v>
      </c>
    </row>
    <row r="8944" spans="1:16" x14ac:dyDescent="0.25">
      <c r="A8944" t="str">
        <f>"1140125R00193    00"</f>
        <v>1140125R00193    00</v>
      </c>
      <c r="B8944" t="s">
        <v>19738</v>
      </c>
      <c r="C8944" t="s">
        <v>19739</v>
      </c>
      <c r="D8944" t="s">
        <v>20</v>
      </c>
      <c r="E8944" t="s">
        <v>39</v>
      </c>
      <c r="F8944">
        <v>0</v>
      </c>
      <c r="G8944">
        <v>0</v>
      </c>
      <c r="H8944">
        <v>2</v>
      </c>
      <c r="I8944" s="3">
        <v>1899.38</v>
      </c>
      <c r="J8944" s="3">
        <v>0</v>
      </c>
      <c r="L8944">
        <v>6909</v>
      </c>
      <c r="M8944" t="s">
        <v>2350</v>
      </c>
      <c r="N8944" t="s">
        <v>30</v>
      </c>
      <c r="O8944" t="s">
        <v>31</v>
      </c>
      <c r="P8944" t="str">
        <f>"15208"</f>
        <v>15208</v>
      </c>
    </row>
    <row r="8945" spans="1:16" x14ac:dyDescent="0.25">
      <c r="A8945" t="str">
        <f>"1140125R00210    00"</f>
        <v>1140125R00210    00</v>
      </c>
      <c r="B8945" t="s">
        <v>10720</v>
      </c>
      <c r="C8945" t="s">
        <v>19740</v>
      </c>
      <c r="E8945" t="s">
        <v>39</v>
      </c>
      <c r="F8945">
        <v>0</v>
      </c>
      <c r="G8945">
        <v>0</v>
      </c>
      <c r="H8945">
        <v>2</v>
      </c>
      <c r="I8945" s="3">
        <v>4757.38</v>
      </c>
      <c r="J8945" s="3">
        <v>59.47</v>
      </c>
      <c r="K8945" t="s">
        <v>881</v>
      </c>
      <c r="L8945">
        <v>3001</v>
      </c>
      <c r="M8945" t="s">
        <v>330</v>
      </c>
      <c r="N8945" t="s">
        <v>331</v>
      </c>
      <c r="O8945" t="s">
        <v>108</v>
      </c>
      <c r="P8945" t="str">
        <f>"75063"</f>
        <v>75063</v>
      </c>
    </row>
    <row r="8946" spans="1:16" x14ac:dyDescent="0.25">
      <c r="A8946" t="str">
        <f>"1140125R00214    00"</f>
        <v>1140125R00214    00</v>
      </c>
      <c r="B8946" t="s">
        <v>19741</v>
      </c>
      <c r="C8946" t="s">
        <v>19742</v>
      </c>
      <c r="E8946" t="s">
        <v>39</v>
      </c>
      <c r="F8946">
        <v>0</v>
      </c>
      <c r="G8946">
        <v>0</v>
      </c>
      <c r="H8946">
        <v>2</v>
      </c>
      <c r="I8946" s="3">
        <v>9690.1</v>
      </c>
      <c r="J8946" s="3">
        <v>484.48</v>
      </c>
      <c r="K8946" t="s">
        <v>403</v>
      </c>
      <c r="L8946">
        <v>3001</v>
      </c>
      <c r="M8946" t="s">
        <v>404</v>
      </c>
      <c r="N8946" t="s">
        <v>331</v>
      </c>
      <c r="O8946" t="s">
        <v>108</v>
      </c>
      <c r="P8946" t="str">
        <f>"75063"</f>
        <v>75063</v>
      </c>
    </row>
    <row r="8947" spans="1:16" x14ac:dyDescent="0.25">
      <c r="A8947" t="str">
        <f>"1140125R00215    00"</f>
        <v>1140125R00215    00</v>
      </c>
      <c r="B8947" t="s">
        <v>19743</v>
      </c>
      <c r="C8947" t="s">
        <v>19744</v>
      </c>
      <c r="D8947" t="s">
        <v>20</v>
      </c>
      <c r="E8947" t="s">
        <v>39</v>
      </c>
      <c r="F8947">
        <v>0</v>
      </c>
      <c r="G8947">
        <v>0</v>
      </c>
      <c r="H8947">
        <v>14</v>
      </c>
      <c r="I8947" s="3">
        <v>18086.310000000001</v>
      </c>
      <c r="J8947" s="3">
        <v>23104.07</v>
      </c>
      <c r="L8947">
        <v>6809</v>
      </c>
      <c r="M8947" t="s">
        <v>2350</v>
      </c>
      <c r="N8947" t="s">
        <v>30</v>
      </c>
      <c r="O8947" t="s">
        <v>31</v>
      </c>
      <c r="P8947" t="str">
        <f>"15208"</f>
        <v>15208</v>
      </c>
    </row>
    <row r="8948" spans="1:16" x14ac:dyDescent="0.25">
      <c r="A8948" t="str">
        <f>"1140125S00162    00"</f>
        <v>1140125S00162    00</v>
      </c>
      <c r="B8948" t="s">
        <v>19745</v>
      </c>
      <c r="C8948" t="s">
        <v>19746</v>
      </c>
      <c r="D8948" t="s">
        <v>20</v>
      </c>
      <c r="E8948" t="s">
        <v>39</v>
      </c>
      <c r="F8948">
        <v>0</v>
      </c>
      <c r="G8948">
        <v>0</v>
      </c>
      <c r="H8948">
        <v>3</v>
      </c>
      <c r="I8948" s="3">
        <v>2784.69</v>
      </c>
      <c r="J8948" s="3">
        <v>185.64</v>
      </c>
      <c r="L8948">
        <v>7413</v>
      </c>
      <c r="M8948" t="s">
        <v>11269</v>
      </c>
      <c r="N8948" t="s">
        <v>30</v>
      </c>
      <c r="O8948" t="s">
        <v>31</v>
      </c>
      <c r="P8948" t="str">
        <f>"15208"</f>
        <v>15208</v>
      </c>
    </row>
    <row r="8949" spans="1:16" x14ac:dyDescent="0.25">
      <c r="A8949" t="str">
        <f>"1140125S00163    00"</f>
        <v>1140125S00163    00</v>
      </c>
      <c r="B8949" t="s">
        <v>14210</v>
      </c>
      <c r="C8949" t="s">
        <v>19747</v>
      </c>
      <c r="D8949" t="s">
        <v>20</v>
      </c>
      <c r="E8949" t="s">
        <v>39</v>
      </c>
      <c r="F8949">
        <v>0</v>
      </c>
      <c r="G8949">
        <v>0</v>
      </c>
      <c r="H8949">
        <v>15</v>
      </c>
      <c r="I8949" s="3">
        <v>12698.82</v>
      </c>
      <c r="J8949" s="3">
        <v>8178.53</v>
      </c>
      <c r="L8949">
        <v>491</v>
      </c>
      <c r="M8949" t="s">
        <v>14198</v>
      </c>
      <c r="N8949" t="s">
        <v>30</v>
      </c>
      <c r="O8949" t="s">
        <v>31</v>
      </c>
      <c r="P8949" t="str">
        <f>"15235"</f>
        <v>15235</v>
      </c>
    </row>
    <row r="8950" spans="1:16" x14ac:dyDescent="0.25">
      <c r="A8950" t="str">
        <f>"1140125S00166    00"</f>
        <v>1140125S00166    00</v>
      </c>
      <c r="B8950" t="s">
        <v>19748</v>
      </c>
      <c r="C8950" t="s">
        <v>19749</v>
      </c>
      <c r="D8950" t="s">
        <v>20</v>
      </c>
      <c r="E8950" t="s">
        <v>207</v>
      </c>
      <c r="F8950">
        <v>0</v>
      </c>
      <c r="G8950">
        <v>0</v>
      </c>
      <c r="H8950">
        <v>9</v>
      </c>
      <c r="I8950" s="3">
        <v>665.2</v>
      </c>
      <c r="J8950" s="3">
        <v>253.92</v>
      </c>
      <c r="L8950">
        <v>7110</v>
      </c>
      <c r="M8950" t="s">
        <v>19750</v>
      </c>
      <c r="N8950" t="s">
        <v>30</v>
      </c>
      <c r="P8950" t="str">
        <f>"15208"</f>
        <v>15208</v>
      </c>
    </row>
    <row r="8951" spans="1:16" x14ac:dyDescent="0.25">
      <c r="A8951" t="str">
        <f>"1140125S00168    00"</f>
        <v>1140125S00168    00</v>
      </c>
      <c r="B8951" t="s">
        <v>19751</v>
      </c>
      <c r="C8951" t="s">
        <v>19752</v>
      </c>
      <c r="D8951" t="s">
        <v>20</v>
      </c>
      <c r="E8951" t="s">
        <v>39</v>
      </c>
      <c r="F8951">
        <v>0</v>
      </c>
      <c r="G8951">
        <v>0</v>
      </c>
      <c r="H8951">
        <v>3</v>
      </c>
      <c r="I8951" s="3">
        <v>352.86</v>
      </c>
      <c r="J8951" s="3">
        <v>143.69999999999999</v>
      </c>
      <c r="L8951">
        <v>7114</v>
      </c>
      <c r="M8951" t="s">
        <v>19750</v>
      </c>
      <c r="N8951" t="s">
        <v>30</v>
      </c>
      <c r="O8951" t="s">
        <v>31</v>
      </c>
      <c r="P8951" t="str">
        <f>"15208"</f>
        <v>15208</v>
      </c>
    </row>
    <row r="8952" spans="1:16" x14ac:dyDescent="0.25">
      <c r="A8952" t="str">
        <f>"1140125S00169    00"</f>
        <v>1140125S00169    00</v>
      </c>
      <c r="B8952" t="s">
        <v>19753</v>
      </c>
      <c r="C8952" t="s">
        <v>19754</v>
      </c>
      <c r="E8952" t="s">
        <v>39</v>
      </c>
      <c r="F8952">
        <v>0</v>
      </c>
      <c r="G8952">
        <v>0</v>
      </c>
      <c r="H8952">
        <v>1</v>
      </c>
      <c r="I8952" s="3">
        <v>838.08</v>
      </c>
      <c r="J8952" s="3">
        <v>886.93</v>
      </c>
      <c r="K8952" t="s">
        <v>19755</v>
      </c>
      <c r="L8952">
        <v>7303</v>
      </c>
      <c r="M8952" t="s">
        <v>12192</v>
      </c>
      <c r="N8952" t="s">
        <v>30</v>
      </c>
      <c r="O8952" t="s">
        <v>31</v>
      </c>
      <c r="P8952" t="str">
        <f>"15208"</f>
        <v>15208</v>
      </c>
    </row>
    <row r="8953" spans="1:16" x14ac:dyDescent="0.25">
      <c r="A8953" t="str">
        <f>"1140125S00170    00"</f>
        <v>1140125S00170    00</v>
      </c>
      <c r="B8953" t="s">
        <v>2457</v>
      </c>
      <c r="C8953" t="s">
        <v>19756</v>
      </c>
      <c r="D8953" t="s">
        <v>20</v>
      </c>
      <c r="E8953" t="s">
        <v>39</v>
      </c>
      <c r="F8953">
        <v>0</v>
      </c>
      <c r="G8953">
        <v>0</v>
      </c>
      <c r="H8953">
        <v>3</v>
      </c>
      <c r="I8953" s="3">
        <v>2341.81</v>
      </c>
      <c r="J8953" s="3">
        <v>160.99</v>
      </c>
      <c r="L8953">
        <v>642</v>
      </c>
      <c r="M8953" t="s">
        <v>2371</v>
      </c>
      <c r="N8953" t="s">
        <v>30</v>
      </c>
      <c r="O8953" t="s">
        <v>31</v>
      </c>
      <c r="P8953" t="str">
        <f>"15219"</f>
        <v>15219</v>
      </c>
    </row>
    <row r="8954" spans="1:16" x14ac:dyDescent="0.25">
      <c r="A8954" t="str">
        <f>"1140126A00011    00"</f>
        <v>1140126A00011    00</v>
      </c>
      <c r="B8954" t="s">
        <v>19757</v>
      </c>
      <c r="C8954" t="s">
        <v>19758</v>
      </c>
      <c r="D8954" t="s">
        <v>20</v>
      </c>
      <c r="E8954" t="s">
        <v>39</v>
      </c>
      <c r="F8954">
        <v>0</v>
      </c>
      <c r="G8954">
        <v>0</v>
      </c>
      <c r="H8954">
        <v>2</v>
      </c>
      <c r="I8954" s="3">
        <v>2694.19</v>
      </c>
      <c r="J8954" s="3">
        <v>0</v>
      </c>
      <c r="L8954">
        <v>6570</v>
      </c>
      <c r="M8954" t="s">
        <v>19759</v>
      </c>
      <c r="N8954" t="s">
        <v>30</v>
      </c>
      <c r="O8954" t="s">
        <v>31</v>
      </c>
      <c r="P8954" t="str">
        <f>"15206"</f>
        <v>15206</v>
      </c>
    </row>
    <row r="8955" spans="1:16" x14ac:dyDescent="0.25">
      <c r="A8955" t="str">
        <f>"1140126A00073    00"</f>
        <v>1140126A00073    00</v>
      </c>
      <c r="B8955" t="s">
        <v>19760</v>
      </c>
      <c r="C8955" t="s">
        <v>19761</v>
      </c>
      <c r="E8955" t="s">
        <v>39</v>
      </c>
      <c r="F8955">
        <v>0</v>
      </c>
      <c r="G8955">
        <v>0</v>
      </c>
      <c r="H8955">
        <v>2</v>
      </c>
      <c r="I8955" s="3">
        <v>5756.12</v>
      </c>
      <c r="J8955" s="3">
        <v>287.79000000000002</v>
      </c>
      <c r="K8955" t="s">
        <v>19762</v>
      </c>
      <c r="L8955">
        <v>6850</v>
      </c>
      <c r="M8955" t="s">
        <v>858</v>
      </c>
      <c r="N8955" t="s">
        <v>764</v>
      </c>
      <c r="O8955" t="s">
        <v>25</v>
      </c>
      <c r="P8955" t="str">
        <f>"44141"</f>
        <v>44141</v>
      </c>
    </row>
    <row r="8956" spans="1:16" x14ac:dyDescent="0.25">
      <c r="A8956" t="str">
        <f>"1140126A00077    00"</f>
        <v>1140126A00077    00</v>
      </c>
      <c r="B8956" t="s">
        <v>19763</v>
      </c>
      <c r="C8956" t="s">
        <v>19764</v>
      </c>
      <c r="D8956" t="s">
        <v>57</v>
      </c>
      <c r="E8956" t="s">
        <v>39</v>
      </c>
      <c r="F8956">
        <v>0</v>
      </c>
      <c r="G8956">
        <v>0</v>
      </c>
      <c r="H8956">
        <v>2</v>
      </c>
      <c r="I8956" s="3">
        <v>2603.62</v>
      </c>
      <c r="J8956" s="3">
        <v>32.54</v>
      </c>
      <c r="K8956" t="s">
        <v>391</v>
      </c>
      <c r="L8956">
        <v>1</v>
      </c>
      <c r="M8956" t="s">
        <v>392</v>
      </c>
      <c r="N8956" t="s">
        <v>393</v>
      </c>
      <c r="O8956" t="s">
        <v>394</v>
      </c>
      <c r="P8956" t="str">
        <f>"50328"</f>
        <v>50328</v>
      </c>
    </row>
    <row r="8957" spans="1:16" x14ac:dyDescent="0.25">
      <c r="A8957" t="str">
        <f>"1140126A00079    00"</f>
        <v>1140126A00079    00</v>
      </c>
      <c r="B8957" t="s">
        <v>19765</v>
      </c>
      <c r="C8957" t="s">
        <v>19766</v>
      </c>
      <c r="E8957" t="s">
        <v>39</v>
      </c>
      <c r="F8957">
        <v>0</v>
      </c>
      <c r="G8957">
        <v>0</v>
      </c>
      <c r="H8957">
        <v>2</v>
      </c>
      <c r="I8957" s="3">
        <v>2775.14</v>
      </c>
      <c r="J8957" s="3">
        <v>34.68</v>
      </c>
      <c r="K8957" t="s">
        <v>881</v>
      </c>
      <c r="L8957">
        <v>3001</v>
      </c>
      <c r="M8957" t="s">
        <v>330</v>
      </c>
      <c r="N8957" t="s">
        <v>331</v>
      </c>
      <c r="O8957" t="s">
        <v>108</v>
      </c>
      <c r="P8957" t="str">
        <f>"75063"</f>
        <v>75063</v>
      </c>
    </row>
    <row r="8958" spans="1:16" x14ac:dyDescent="0.25">
      <c r="A8958" t="str">
        <f>"1140126A00105    00"</f>
        <v>1140126A00105    00</v>
      </c>
      <c r="B8958" t="s">
        <v>19767</v>
      </c>
      <c r="C8958" t="s">
        <v>19768</v>
      </c>
      <c r="E8958" t="s">
        <v>39</v>
      </c>
      <c r="F8958">
        <v>0</v>
      </c>
      <c r="G8958">
        <v>0</v>
      </c>
      <c r="H8958">
        <v>1</v>
      </c>
      <c r="I8958" s="3">
        <v>2450.25</v>
      </c>
      <c r="J8958" s="3">
        <v>1817.2</v>
      </c>
      <c r="K8958" t="s">
        <v>8521</v>
      </c>
      <c r="L8958">
        <v>3001</v>
      </c>
      <c r="M8958" t="s">
        <v>330</v>
      </c>
      <c r="N8958" t="s">
        <v>331</v>
      </c>
      <c r="O8958" t="s">
        <v>108</v>
      </c>
      <c r="P8958" t="str">
        <f>"75063"</f>
        <v>75063</v>
      </c>
    </row>
    <row r="8959" spans="1:16" x14ac:dyDescent="0.25">
      <c r="A8959" t="str">
        <f>"1140126A00146    00"</f>
        <v>1140126A00146    00</v>
      </c>
      <c r="B8959" t="s">
        <v>19769</v>
      </c>
      <c r="C8959" t="s">
        <v>19770</v>
      </c>
      <c r="E8959" t="s">
        <v>39</v>
      </c>
      <c r="F8959">
        <v>0</v>
      </c>
      <c r="G8959">
        <v>0</v>
      </c>
      <c r="H8959">
        <v>2</v>
      </c>
      <c r="I8959" s="3">
        <v>3863.98</v>
      </c>
      <c r="J8959" s="3">
        <v>396.35</v>
      </c>
      <c r="K8959" t="s">
        <v>19771</v>
      </c>
      <c r="L8959">
        <v>319</v>
      </c>
      <c r="M8959" t="s">
        <v>12432</v>
      </c>
      <c r="N8959" t="s">
        <v>30</v>
      </c>
      <c r="O8959" t="s">
        <v>31</v>
      </c>
      <c r="P8959" t="str">
        <f>"15206"</f>
        <v>15206</v>
      </c>
    </row>
    <row r="8960" spans="1:16" x14ac:dyDescent="0.25">
      <c r="A8960" t="str">
        <f>"1140126A00148    00"</f>
        <v>1140126A00148    00</v>
      </c>
      <c r="B8960" t="s">
        <v>19772</v>
      </c>
      <c r="C8960" t="s">
        <v>19773</v>
      </c>
      <c r="E8960" t="s">
        <v>39</v>
      </c>
      <c r="F8960">
        <v>0</v>
      </c>
      <c r="G8960">
        <v>0</v>
      </c>
      <c r="H8960">
        <v>1</v>
      </c>
      <c r="I8960" s="3">
        <v>3500.62</v>
      </c>
      <c r="J8960" s="3">
        <v>962.62</v>
      </c>
      <c r="K8960" t="s">
        <v>6483</v>
      </c>
      <c r="L8960">
        <v>3001</v>
      </c>
      <c r="M8960" t="s">
        <v>330</v>
      </c>
      <c r="N8960" t="s">
        <v>331</v>
      </c>
      <c r="O8960" t="s">
        <v>108</v>
      </c>
      <c r="P8960" t="str">
        <f>"75063"</f>
        <v>75063</v>
      </c>
    </row>
    <row r="8961" spans="1:16" x14ac:dyDescent="0.25">
      <c r="A8961" t="str">
        <f>"1140126A00165    00"</f>
        <v>1140126A00165    00</v>
      </c>
      <c r="B8961" t="s">
        <v>5921</v>
      </c>
      <c r="C8961" t="s">
        <v>19774</v>
      </c>
      <c r="E8961" t="s">
        <v>39</v>
      </c>
      <c r="F8961">
        <v>0</v>
      </c>
      <c r="G8961">
        <v>0</v>
      </c>
      <c r="H8961">
        <v>1</v>
      </c>
      <c r="I8961" s="3">
        <v>750.4</v>
      </c>
      <c r="J8961" s="3">
        <v>206.35</v>
      </c>
      <c r="K8961" t="s">
        <v>5923</v>
      </c>
      <c r="L8961">
        <v>1501</v>
      </c>
      <c r="M8961" t="s">
        <v>3420</v>
      </c>
      <c r="N8961" t="s">
        <v>30</v>
      </c>
      <c r="O8961" t="s">
        <v>31</v>
      </c>
      <c r="P8961" t="str">
        <f>"15221"</f>
        <v>15221</v>
      </c>
    </row>
    <row r="8962" spans="1:16" x14ac:dyDescent="0.25">
      <c r="A8962" t="str">
        <f>"1140126A00195    00"</f>
        <v>1140126A00195    00</v>
      </c>
      <c r="B8962" t="s">
        <v>19775</v>
      </c>
      <c r="C8962" t="s">
        <v>19776</v>
      </c>
      <c r="E8962" t="s">
        <v>39</v>
      </c>
      <c r="F8962">
        <v>0</v>
      </c>
      <c r="G8962">
        <v>0</v>
      </c>
      <c r="H8962">
        <v>2</v>
      </c>
      <c r="I8962" s="3">
        <v>3983.56</v>
      </c>
      <c r="J8962" s="3">
        <v>199.17</v>
      </c>
      <c r="K8962" t="s">
        <v>1632</v>
      </c>
      <c r="M8962" t="s">
        <v>1633</v>
      </c>
      <c r="N8962" t="s">
        <v>1634</v>
      </c>
      <c r="O8962" t="s">
        <v>25</v>
      </c>
      <c r="P8962" t="str">
        <f>"45401"</f>
        <v>45401</v>
      </c>
    </row>
    <row r="8963" spans="1:16" x14ac:dyDescent="0.25">
      <c r="A8963" t="str">
        <f>"1140126A00211    00"</f>
        <v>1140126A00211    00</v>
      </c>
      <c r="B8963" t="s">
        <v>19777</v>
      </c>
      <c r="C8963" t="s">
        <v>19778</v>
      </c>
      <c r="E8963" t="s">
        <v>39</v>
      </c>
      <c r="F8963">
        <v>0</v>
      </c>
      <c r="G8963">
        <v>0</v>
      </c>
      <c r="H8963">
        <v>1</v>
      </c>
      <c r="I8963" s="3">
        <v>8231.89</v>
      </c>
      <c r="J8963" s="3">
        <v>2264.79</v>
      </c>
      <c r="K8963" t="s">
        <v>19779</v>
      </c>
      <c r="L8963">
        <v>690</v>
      </c>
      <c r="M8963" t="s">
        <v>19780</v>
      </c>
      <c r="N8963" t="s">
        <v>19781</v>
      </c>
      <c r="O8963" t="s">
        <v>4784</v>
      </c>
      <c r="P8963" t="str">
        <f>"63390"</f>
        <v>63390</v>
      </c>
    </row>
    <row r="8964" spans="1:16" x14ac:dyDescent="0.25">
      <c r="A8964" t="str">
        <f>"1140126A00305    00"</f>
        <v>1140126A00305    00</v>
      </c>
      <c r="B8964" t="s">
        <v>19782</v>
      </c>
      <c r="C8964" t="s">
        <v>19783</v>
      </c>
      <c r="D8964" t="s">
        <v>20</v>
      </c>
      <c r="E8964" t="s">
        <v>39</v>
      </c>
      <c r="F8964">
        <v>0</v>
      </c>
      <c r="G8964">
        <v>0</v>
      </c>
      <c r="H8964">
        <v>3</v>
      </c>
      <c r="I8964" s="3">
        <v>16136.19</v>
      </c>
      <c r="J8964" s="3">
        <v>134.46</v>
      </c>
      <c r="K8964" t="s">
        <v>1427</v>
      </c>
      <c r="L8964">
        <v>3001</v>
      </c>
      <c r="M8964" t="s">
        <v>330</v>
      </c>
      <c r="N8964" t="s">
        <v>331</v>
      </c>
      <c r="O8964" t="s">
        <v>108</v>
      </c>
      <c r="P8964" t="str">
        <f>"75063"</f>
        <v>75063</v>
      </c>
    </row>
    <row r="8965" spans="1:16" x14ac:dyDescent="0.25">
      <c r="A8965" t="str">
        <f>"1140126B00048    00"</f>
        <v>1140126B00048    00</v>
      </c>
      <c r="B8965" t="s">
        <v>19784</v>
      </c>
      <c r="C8965" t="s">
        <v>19785</v>
      </c>
      <c r="E8965" t="s">
        <v>39</v>
      </c>
      <c r="F8965">
        <v>0</v>
      </c>
      <c r="G8965">
        <v>0</v>
      </c>
      <c r="H8965">
        <v>2</v>
      </c>
      <c r="I8965" s="3">
        <v>11719.08</v>
      </c>
      <c r="J8965" s="3">
        <v>2661.56</v>
      </c>
      <c r="K8965" t="s">
        <v>19786</v>
      </c>
      <c r="L8965">
        <v>901</v>
      </c>
      <c r="M8965" t="s">
        <v>1503</v>
      </c>
      <c r="N8965" t="s">
        <v>494</v>
      </c>
      <c r="O8965" t="s">
        <v>495</v>
      </c>
      <c r="P8965" t="str">
        <f>"91768"</f>
        <v>91768</v>
      </c>
    </row>
    <row r="8966" spans="1:16" x14ac:dyDescent="0.25">
      <c r="A8966" t="str">
        <f>"1140126B00128    00"</f>
        <v>1140126B00128    00</v>
      </c>
      <c r="B8966" t="s">
        <v>19787</v>
      </c>
      <c r="C8966" t="s">
        <v>19788</v>
      </c>
      <c r="E8966" t="s">
        <v>39</v>
      </c>
      <c r="F8966">
        <v>0</v>
      </c>
      <c r="G8966">
        <v>0</v>
      </c>
      <c r="H8966">
        <v>2</v>
      </c>
      <c r="I8966" s="3">
        <v>7163.39</v>
      </c>
      <c r="J8966" s="3">
        <v>2117.0700000000002</v>
      </c>
      <c r="K8966" t="s">
        <v>400</v>
      </c>
      <c r="L8966">
        <v>3001</v>
      </c>
      <c r="M8966" t="s">
        <v>330</v>
      </c>
      <c r="N8966" t="s">
        <v>331</v>
      </c>
      <c r="O8966" t="s">
        <v>108</v>
      </c>
      <c r="P8966" t="str">
        <f>"75063"</f>
        <v>75063</v>
      </c>
    </row>
    <row r="8967" spans="1:16" x14ac:dyDescent="0.25">
      <c r="A8967" t="str">
        <f>"1140126B00135    00"</f>
        <v>1140126B00135    00</v>
      </c>
      <c r="B8967" t="s">
        <v>19789</v>
      </c>
      <c r="C8967" t="s">
        <v>19790</v>
      </c>
      <c r="E8967" t="s">
        <v>39</v>
      </c>
      <c r="F8967">
        <v>0</v>
      </c>
      <c r="G8967">
        <v>0</v>
      </c>
      <c r="H8967">
        <v>1</v>
      </c>
      <c r="I8967" s="3">
        <v>3680.71</v>
      </c>
      <c r="J8967" s="3">
        <v>1012.16</v>
      </c>
      <c r="K8967" t="s">
        <v>19791</v>
      </c>
      <c r="L8967">
        <v>6845</v>
      </c>
      <c r="M8967" t="s">
        <v>19792</v>
      </c>
      <c r="N8967" t="s">
        <v>30</v>
      </c>
      <c r="O8967" t="s">
        <v>31</v>
      </c>
      <c r="P8967" t="str">
        <f>"15208"</f>
        <v>15208</v>
      </c>
    </row>
    <row r="8968" spans="1:16" x14ac:dyDescent="0.25">
      <c r="A8968" t="str">
        <f>"1140126B00136    00"</f>
        <v>1140126B00136    00</v>
      </c>
      <c r="B8968" t="s">
        <v>19793</v>
      </c>
      <c r="C8968" t="s">
        <v>19794</v>
      </c>
      <c r="E8968" t="s">
        <v>39</v>
      </c>
      <c r="F8968">
        <v>0</v>
      </c>
      <c r="G8968">
        <v>0</v>
      </c>
      <c r="H8968">
        <v>2</v>
      </c>
      <c r="I8968" s="3">
        <v>3344.4</v>
      </c>
      <c r="J8968" s="3">
        <v>228.72</v>
      </c>
      <c r="K8968" t="s">
        <v>19795</v>
      </c>
      <c r="L8968">
        <v>6849</v>
      </c>
      <c r="M8968" t="s">
        <v>19792</v>
      </c>
      <c r="N8968" t="s">
        <v>30</v>
      </c>
      <c r="O8968" t="s">
        <v>31</v>
      </c>
      <c r="P8968" t="str">
        <f>"15208"</f>
        <v>15208</v>
      </c>
    </row>
    <row r="8969" spans="1:16" x14ac:dyDescent="0.25">
      <c r="A8969" t="str">
        <f>"1140126B00184    00"</f>
        <v>1140126B00184    00</v>
      </c>
      <c r="B8969" t="s">
        <v>19796</v>
      </c>
      <c r="C8969" t="s">
        <v>19797</v>
      </c>
      <c r="E8969" t="s">
        <v>39</v>
      </c>
      <c r="F8969">
        <v>0</v>
      </c>
      <c r="G8969">
        <v>0</v>
      </c>
      <c r="H8969">
        <v>2</v>
      </c>
      <c r="I8969" s="3">
        <v>2095.8200000000002</v>
      </c>
      <c r="J8969" s="3">
        <v>143.33000000000001</v>
      </c>
      <c r="K8969" t="s">
        <v>400</v>
      </c>
      <c r="L8969">
        <v>3001</v>
      </c>
      <c r="M8969" t="s">
        <v>330</v>
      </c>
      <c r="N8969" t="s">
        <v>331</v>
      </c>
      <c r="O8969" t="s">
        <v>108</v>
      </c>
      <c r="P8969" t="str">
        <f>"75063"</f>
        <v>75063</v>
      </c>
    </row>
    <row r="8970" spans="1:16" x14ac:dyDescent="0.25">
      <c r="A8970" t="str">
        <f>"1140126B00187    00"</f>
        <v>1140126B00187    00</v>
      </c>
      <c r="B8970" t="s">
        <v>19798</v>
      </c>
      <c r="C8970" t="s">
        <v>19799</v>
      </c>
      <c r="E8970" t="s">
        <v>39</v>
      </c>
      <c r="F8970">
        <v>0</v>
      </c>
      <c r="G8970">
        <v>0</v>
      </c>
      <c r="H8970">
        <v>1</v>
      </c>
      <c r="I8970" s="3">
        <v>3686.26</v>
      </c>
      <c r="J8970" s="3">
        <v>1812.34</v>
      </c>
      <c r="K8970" t="s">
        <v>19800</v>
      </c>
      <c r="L8970">
        <v>6844</v>
      </c>
      <c r="M8970" t="s">
        <v>19792</v>
      </c>
      <c r="N8970" t="s">
        <v>30</v>
      </c>
      <c r="O8970" t="s">
        <v>31</v>
      </c>
      <c r="P8970" t="str">
        <f>"15208"</f>
        <v>15208</v>
      </c>
    </row>
    <row r="8971" spans="1:16" x14ac:dyDescent="0.25">
      <c r="A8971" t="str">
        <f>"1140126B00196    00"</f>
        <v>1140126B00196    00</v>
      </c>
      <c r="B8971" t="s">
        <v>19801</v>
      </c>
      <c r="C8971" t="s">
        <v>19802</v>
      </c>
      <c r="E8971" t="s">
        <v>39</v>
      </c>
      <c r="F8971">
        <v>0</v>
      </c>
      <c r="G8971">
        <v>0</v>
      </c>
      <c r="H8971">
        <v>1</v>
      </c>
      <c r="I8971" s="3">
        <v>3180.89</v>
      </c>
      <c r="J8971" s="3">
        <v>1007.24</v>
      </c>
      <c r="K8971" t="s">
        <v>5432</v>
      </c>
      <c r="L8971">
        <v>3001</v>
      </c>
      <c r="M8971" t="s">
        <v>330</v>
      </c>
      <c r="N8971" t="s">
        <v>331</v>
      </c>
      <c r="O8971" t="s">
        <v>108</v>
      </c>
      <c r="P8971" t="str">
        <f>"75063"</f>
        <v>75063</v>
      </c>
    </row>
    <row r="8972" spans="1:16" x14ac:dyDescent="0.25">
      <c r="A8972" t="str">
        <f>"1140126B00201    00"</f>
        <v>1140126B00201    00</v>
      </c>
      <c r="B8972" t="s">
        <v>19803</v>
      </c>
      <c r="C8972" t="s">
        <v>19804</v>
      </c>
      <c r="E8972" t="s">
        <v>39</v>
      </c>
      <c r="F8972">
        <v>0</v>
      </c>
      <c r="G8972">
        <v>0</v>
      </c>
      <c r="H8972">
        <v>2</v>
      </c>
      <c r="I8972" s="3">
        <v>1090.24</v>
      </c>
      <c r="J8972" s="3">
        <v>36.340000000000003</v>
      </c>
      <c r="K8972" t="s">
        <v>19805</v>
      </c>
      <c r="L8972">
        <v>206</v>
      </c>
      <c r="M8972" t="s">
        <v>19806</v>
      </c>
      <c r="N8972" t="s">
        <v>30</v>
      </c>
      <c r="O8972" t="s">
        <v>31</v>
      </c>
      <c r="P8972" t="str">
        <f>"15208"</f>
        <v>15208</v>
      </c>
    </row>
    <row r="8973" spans="1:16" x14ac:dyDescent="0.25">
      <c r="A8973" t="str">
        <f>"1140126B00212    00"</f>
        <v>1140126B00212    00</v>
      </c>
      <c r="B8973" t="s">
        <v>19807</v>
      </c>
      <c r="C8973" t="s">
        <v>19808</v>
      </c>
      <c r="D8973" t="s">
        <v>20</v>
      </c>
      <c r="E8973" t="s">
        <v>39</v>
      </c>
      <c r="F8973">
        <v>0</v>
      </c>
      <c r="G8973">
        <v>0</v>
      </c>
      <c r="H8973">
        <v>1</v>
      </c>
      <c r="I8973" s="3">
        <v>39.15</v>
      </c>
      <c r="J8973" s="3">
        <v>15.66</v>
      </c>
      <c r="L8973">
        <v>125</v>
      </c>
      <c r="M8973" t="s">
        <v>19806</v>
      </c>
      <c r="N8973" t="s">
        <v>30</v>
      </c>
      <c r="O8973" t="s">
        <v>31</v>
      </c>
      <c r="P8973" t="str">
        <f>"15208"</f>
        <v>15208</v>
      </c>
    </row>
    <row r="8974" spans="1:16" x14ac:dyDescent="0.25">
      <c r="A8974" t="str">
        <f>"1140126B00234    00"</f>
        <v>1140126B00234    00</v>
      </c>
      <c r="B8974" t="s">
        <v>19809</v>
      </c>
      <c r="C8974" t="s">
        <v>19810</v>
      </c>
      <c r="D8974" t="s">
        <v>20</v>
      </c>
      <c r="E8974" t="s">
        <v>39</v>
      </c>
      <c r="F8974">
        <v>0</v>
      </c>
      <c r="G8974">
        <v>0</v>
      </c>
      <c r="H8974">
        <v>3</v>
      </c>
      <c r="I8974" s="3">
        <v>12573.9</v>
      </c>
      <c r="J8974" s="3">
        <v>279.41000000000003</v>
      </c>
      <c r="K8974" t="s">
        <v>445</v>
      </c>
      <c r="L8974">
        <v>1</v>
      </c>
      <c r="M8974" t="s">
        <v>1163</v>
      </c>
      <c r="N8974" t="s">
        <v>1164</v>
      </c>
      <c r="O8974" t="s">
        <v>108</v>
      </c>
      <c r="P8974" t="str">
        <f>"76262"</f>
        <v>76262</v>
      </c>
    </row>
    <row r="8975" spans="1:16" x14ac:dyDescent="0.25">
      <c r="A8975" t="str">
        <f>"1140126B00262    00"</f>
        <v>1140126B00262    00</v>
      </c>
      <c r="B8975" t="s">
        <v>19811</v>
      </c>
      <c r="C8975" t="s">
        <v>19812</v>
      </c>
      <c r="D8975" t="s">
        <v>20</v>
      </c>
      <c r="E8975" t="s">
        <v>39</v>
      </c>
      <c r="F8975">
        <v>0</v>
      </c>
      <c r="G8975">
        <v>0</v>
      </c>
      <c r="H8975">
        <v>2</v>
      </c>
      <c r="I8975" s="3">
        <v>1298.6600000000001</v>
      </c>
      <c r="J8975" s="3">
        <v>1.49</v>
      </c>
      <c r="K8975" t="s">
        <v>19813</v>
      </c>
      <c r="L8975">
        <v>807</v>
      </c>
      <c r="M8975" t="s">
        <v>16665</v>
      </c>
      <c r="N8975" t="s">
        <v>30</v>
      </c>
      <c r="O8975" t="s">
        <v>31</v>
      </c>
      <c r="P8975" t="str">
        <f>"15235"</f>
        <v>15235</v>
      </c>
    </row>
    <row r="8976" spans="1:16" x14ac:dyDescent="0.25">
      <c r="A8976" t="str">
        <f>"1140126B00300    00"</f>
        <v>1140126B00300    00</v>
      </c>
      <c r="B8976" t="s">
        <v>19814</v>
      </c>
      <c r="C8976" t="s">
        <v>19815</v>
      </c>
      <c r="E8976" t="s">
        <v>39</v>
      </c>
      <c r="F8976">
        <v>0</v>
      </c>
      <c r="G8976">
        <v>0</v>
      </c>
      <c r="H8976">
        <v>2</v>
      </c>
      <c r="I8976" s="3">
        <v>3651.9</v>
      </c>
      <c r="J8976" s="3">
        <v>45.65</v>
      </c>
      <c r="K8976" t="s">
        <v>881</v>
      </c>
      <c r="L8976">
        <v>3001</v>
      </c>
      <c r="M8976" t="s">
        <v>330</v>
      </c>
      <c r="N8976" t="s">
        <v>331</v>
      </c>
      <c r="O8976" t="s">
        <v>108</v>
      </c>
      <c r="P8976" t="str">
        <f>"75063"</f>
        <v>75063</v>
      </c>
    </row>
    <row r="8977" spans="1:16" x14ac:dyDescent="0.25">
      <c r="A8977" t="str">
        <f>"1140126C00116    00"</f>
        <v>1140126C00116    00</v>
      </c>
      <c r="B8977" t="s">
        <v>19816</v>
      </c>
      <c r="C8977" t="s">
        <v>19817</v>
      </c>
      <c r="E8977" t="s">
        <v>39</v>
      </c>
      <c r="F8977">
        <v>0</v>
      </c>
      <c r="G8977">
        <v>0</v>
      </c>
      <c r="H8977">
        <v>1</v>
      </c>
      <c r="I8977" s="3">
        <v>1325.91</v>
      </c>
      <c r="J8977" s="3">
        <v>0</v>
      </c>
      <c r="K8977" t="s">
        <v>19818</v>
      </c>
      <c r="L8977">
        <v>6937</v>
      </c>
      <c r="M8977" t="s">
        <v>872</v>
      </c>
      <c r="N8977" t="s">
        <v>30</v>
      </c>
      <c r="O8977" t="s">
        <v>31</v>
      </c>
      <c r="P8977" t="str">
        <f>"15208"</f>
        <v>15208</v>
      </c>
    </row>
    <row r="8978" spans="1:16" x14ac:dyDescent="0.25">
      <c r="A8978" t="str">
        <f>"1140126C00148    00"</f>
        <v>1140126C00148    00</v>
      </c>
      <c r="B8978" t="s">
        <v>19819</v>
      </c>
      <c r="C8978" t="s">
        <v>19820</v>
      </c>
      <c r="D8978" t="s">
        <v>20</v>
      </c>
      <c r="E8978" t="s">
        <v>39</v>
      </c>
      <c r="F8978">
        <v>0</v>
      </c>
      <c r="G8978">
        <v>0</v>
      </c>
      <c r="H8978">
        <v>1</v>
      </c>
      <c r="I8978" s="3">
        <v>2256.6999999999998</v>
      </c>
      <c r="J8978" s="3">
        <v>0</v>
      </c>
      <c r="K8978" t="s">
        <v>1483</v>
      </c>
      <c r="L8978">
        <v>2333</v>
      </c>
      <c r="M8978" t="s">
        <v>1484</v>
      </c>
      <c r="N8978" t="s">
        <v>30</v>
      </c>
      <c r="O8978" t="s">
        <v>31</v>
      </c>
      <c r="P8978" t="str">
        <f>"15203"</f>
        <v>15203</v>
      </c>
    </row>
    <row r="8979" spans="1:16" x14ac:dyDescent="0.25">
      <c r="A8979" t="str">
        <f>"1140126C00190    00"</f>
        <v>1140126C00190    00</v>
      </c>
      <c r="B8979" t="s">
        <v>19821</v>
      </c>
      <c r="C8979" t="s">
        <v>19822</v>
      </c>
      <c r="E8979" t="s">
        <v>39</v>
      </c>
      <c r="F8979">
        <v>0</v>
      </c>
      <c r="G8979">
        <v>0</v>
      </c>
      <c r="H8979">
        <v>1</v>
      </c>
      <c r="I8979" s="3">
        <v>1345.64</v>
      </c>
      <c r="J8979" s="3">
        <v>0</v>
      </c>
      <c r="K8979" t="s">
        <v>400</v>
      </c>
      <c r="L8979">
        <v>3001</v>
      </c>
      <c r="M8979" t="s">
        <v>330</v>
      </c>
      <c r="N8979" t="s">
        <v>331</v>
      </c>
      <c r="O8979" t="s">
        <v>108</v>
      </c>
      <c r="P8979" t="str">
        <f>"75063"</f>
        <v>75063</v>
      </c>
    </row>
    <row r="8980" spans="1:16" x14ac:dyDescent="0.25">
      <c r="A8980" t="str">
        <f>"1140126C00195    00"</f>
        <v>1140126C00195    00</v>
      </c>
      <c r="B8980" t="s">
        <v>19823</v>
      </c>
      <c r="C8980" t="s">
        <v>19824</v>
      </c>
      <c r="E8980" t="s">
        <v>39</v>
      </c>
      <c r="F8980">
        <v>0</v>
      </c>
      <c r="G8980">
        <v>0</v>
      </c>
      <c r="H8980">
        <v>2</v>
      </c>
      <c r="I8980" s="3">
        <v>10265.74</v>
      </c>
      <c r="J8980" s="3">
        <v>342.18</v>
      </c>
      <c r="K8980" t="s">
        <v>1030</v>
      </c>
      <c r="M8980" t="s">
        <v>1031</v>
      </c>
      <c r="N8980" t="s">
        <v>1032</v>
      </c>
      <c r="O8980" t="s">
        <v>25</v>
      </c>
      <c r="P8980" t="str">
        <f>"44711"</f>
        <v>44711</v>
      </c>
    </row>
    <row r="8981" spans="1:16" x14ac:dyDescent="0.25">
      <c r="A8981" t="str">
        <f>"1140126C00210    00"</f>
        <v>1140126C00210    00</v>
      </c>
      <c r="B8981" t="s">
        <v>19825</v>
      </c>
      <c r="C8981" t="s">
        <v>19826</v>
      </c>
      <c r="D8981" t="s">
        <v>20</v>
      </c>
      <c r="E8981" t="s">
        <v>39</v>
      </c>
      <c r="F8981">
        <v>0</v>
      </c>
      <c r="G8981">
        <v>0</v>
      </c>
      <c r="H8981">
        <v>2</v>
      </c>
      <c r="I8981" s="3">
        <v>1567.76</v>
      </c>
      <c r="J8981" s="3">
        <v>0</v>
      </c>
      <c r="L8981">
        <v>6907</v>
      </c>
      <c r="M8981" t="s">
        <v>585</v>
      </c>
      <c r="N8981" t="s">
        <v>30</v>
      </c>
      <c r="O8981" t="s">
        <v>31</v>
      </c>
      <c r="P8981" t="str">
        <f>"15208"</f>
        <v>15208</v>
      </c>
    </row>
    <row r="8982" spans="1:16" x14ac:dyDescent="0.25">
      <c r="A8982" t="str">
        <f>"1140126C00217    00"</f>
        <v>1140126C00217    00</v>
      </c>
      <c r="B8982" t="s">
        <v>12874</v>
      </c>
      <c r="C8982" t="s">
        <v>19827</v>
      </c>
      <c r="E8982" t="s">
        <v>39</v>
      </c>
      <c r="F8982">
        <v>0</v>
      </c>
      <c r="G8982">
        <v>0</v>
      </c>
      <c r="H8982">
        <v>1</v>
      </c>
      <c r="I8982" s="3">
        <v>4829.78</v>
      </c>
      <c r="J8982" s="3">
        <v>1529.37</v>
      </c>
      <c r="K8982" t="s">
        <v>5054</v>
      </c>
      <c r="L8982">
        <v>140</v>
      </c>
      <c r="M8982" t="s">
        <v>5055</v>
      </c>
      <c r="N8982" t="s">
        <v>5056</v>
      </c>
      <c r="O8982" t="s">
        <v>5057</v>
      </c>
      <c r="P8982" t="str">
        <f>"04240"</f>
        <v>04240</v>
      </c>
    </row>
    <row r="8983" spans="1:16" x14ac:dyDescent="0.25">
      <c r="A8983" t="str">
        <f>"1140126C00225694300"</f>
        <v>1140126C00225694300</v>
      </c>
      <c r="B8983" t="s">
        <v>19828</v>
      </c>
      <c r="C8983" t="s">
        <v>19829</v>
      </c>
      <c r="E8983" t="s">
        <v>39</v>
      </c>
      <c r="F8983">
        <v>0</v>
      </c>
      <c r="G8983">
        <v>0</v>
      </c>
      <c r="H8983">
        <v>2</v>
      </c>
      <c r="I8983" s="3">
        <v>9568.1200000000008</v>
      </c>
      <c r="J8983" s="3">
        <v>318.93</v>
      </c>
      <c r="K8983" t="s">
        <v>19830</v>
      </c>
      <c r="L8983">
        <v>6943</v>
      </c>
      <c r="M8983" t="s">
        <v>585</v>
      </c>
      <c r="N8983" t="s">
        <v>30</v>
      </c>
      <c r="O8983" t="s">
        <v>31</v>
      </c>
      <c r="P8983" t="str">
        <f>"15208"</f>
        <v>15208</v>
      </c>
    </row>
    <row r="8984" spans="1:16" x14ac:dyDescent="0.25">
      <c r="A8984" t="str">
        <f>"1140126C00270    00"</f>
        <v>1140126C00270    00</v>
      </c>
      <c r="B8984" t="s">
        <v>19831</v>
      </c>
      <c r="C8984" t="s">
        <v>19832</v>
      </c>
      <c r="E8984" t="s">
        <v>39</v>
      </c>
      <c r="F8984">
        <v>0</v>
      </c>
      <c r="G8984">
        <v>0</v>
      </c>
      <c r="H8984">
        <v>3</v>
      </c>
      <c r="I8984" s="3">
        <v>2869.81</v>
      </c>
      <c r="J8984" s="3">
        <v>450.38</v>
      </c>
      <c r="K8984" t="s">
        <v>728</v>
      </c>
      <c r="L8984">
        <v>3001</v>
      </c>
      <c r="M8984" t="s">
        <v>330</v>
      </c>
      <c r="N8984" t="s">
        <v>331</v>
      </c>
      <c r="O8984" t="s">
        <v>108</v>
      </c>
      <c r="P8984" t="str">
        <f>"75063"</f>
        <v>75063</v>
      </c>
    </row>
    <row r="8985" spans="1:16" x14ac:dyDescent="0.25">
      <c r="A8985" t="str">
        <f>"1140126C00271    00"</f>
        <v>1140126C00271    00</v>
      </c>
      <c r="B8985" t="s">
        <v>19833</v>
      </c>
      <c r="C8985" t="s">
        <v>19834</v>
      </c>
      <c r="D8985" t="s">
        <v>20</v>
      </c>
      <c r="E8985" t="s">
        <v>39</v>
      </c>
      <c r="F8985">
        <v>0</v>
      </c>
      <c r="G8985">
        <v>0</v>
      </c>
      <c r="H8985">
        <v>2</v>
      </c>
      <c r="I8985" s="3">
        <v>3895.07</v>
      </c>
      <c r="J8985" s="3">
        <v>0</v>
      </c>
      <c r="L8985">
        <v>7008</v>
      </c>
      <c r="M8985" t="s">
        <v>585</v>
      </c>
      <c r="N8985" t="s">
        <v>30</v>
      </c>
      <c r="O8985" t="s">
        <v>31</v>
      </c>
      <c r="P8985" t="str">
        <f>"15208"</f>
        <v>15208</v>
      </c>
    </row>
    <row r="8986" spans="1:16" x14ac:dyDescent="0.25">
      <c r="A8986" t="str">
        <f>"1140126D00009    00"</f>
        <v>1140126D00009    00</v>
      </c>
      <c r="B8986" t="s">
        <v>19835</v>
      </c>
      <c r="C8986" t="s">
        <v>19836</v>
      </c>
      <c r="D8986" t="s">
        <v>20</v>
      </c>
      <c r="E8986" t="s">
        <v>39</v>
      </c>
      <c r="F8986">
        <v>0</v>
      </c>
      <c r="G8986">
        <v>0</v>
      </c>
      <c r="H8986">
        <v>16</v>
      </c>
      <c r="I8986" s="3">
        <v>4668.28</v>
      </c>
      <c r="J8986" s="3">
        <v>3278.27</v>
      </c>
      <c r="L8986">
        <v>7826</v>
      </c>
      <c r="M8986" t="s">
        <v>12429</v>
      </c>
      <c r="N8986" t="s">
        <v>1046</v>
      </c>
      <c r="O8986" t="s">
        <v>31</v>
      </c>
      <c r="P8986" t="str">
        <f>"15147"</f>
        <v>15147</v>
      </c>
    </row>
    <row r="8987" spans="1:16" x14ac:dyDescent="0.25">
      <c r="A8987" t="str">
        <f>"1140126D00012000200"</f>
        <v>1140126D00012000200</v>
      </c>
      <c r="B8987" t="s">
        <v>19837</v>
      </c>
      <c r="C8987" t="s">
        <v>19838</v>
      </c>
      <c r="D8987" t="s">
        <v>20</v>
      </c>
      <c r="E8987" t="s">
        <v>39</v>
      </c>
      <c r="F8987">
        <v>0</v>
      </c>
      <c r="G8987">
        <v>0</v>
      </c>
      <c r="H8987">
        <v>3</v>
      </c>
      <c r="I8987" s="3">
        <v>3486.78</v>
      </c>
      <c r="J8987" s="3">
        <v>38.64</v>
      </c>
      <c r="K8987" t="s">
        <v>19839</v>
      </c>
      <c r="L8987">
        <v>503</v>
      </c>
      <c r="M8987" t="s">
        <v>19840</v>
      </c>
      <c r="N8987" t="s">
        <v>19841</v>
      </c>
      <c r="O8987" t="s">
        <v>31</v>
      </c>
      <c r="P8987" t="str">
        <f>"15145"</f>
        <v>15145</v>
      </c>
    </row>
    <row r="8988" spans="1:16" x14ac:dyDescent="0.25">
      <c r="A8988" t="str">
        <f>"1140126D00012000300"</f>
        <v>1140126D00012000300</v>
      </c>
      <c r="B8988" t="s">
        <v>19842</v>
      </c>
      <c r="C8988" t="s">
        <v>19843</v>
      </c>
      <c r="E8988" t="s">
        <v>39</v>
      </c>
      <c r="F8988">
        <v>0</v>
      </c>
      <c r="G8988">
        <v>0</v>
      </c>
      <c r="H8988">
        <v>3</v>
      </c>
      <c r="I8988" s="3">
        <v>2911.52</v>
      </c>
      <c r="J8988" s="3">
        <v>59.56</v>
      </c>
      <c r="L8988">
        <v>13</v>
      </c>
      <c r="M8988" t="s">
        <v>14026</v>
      </c>
      <c r="N8988" t="s">
        <v>30</v>
      </c>
      <c r="O8988" t="s">
        <v>31</v>
      </c>
      <c r="P8988" t="str">
        <f>"15235"</f>
        <v>15235</v>
      </c>
    </row>
    <row r="8989" spans="1:16" x14ac:dyDescent="0.25">
      <c r="A8989" t="str">
        <f>"1140126D00012A   00"</f>
        <v>1140126D00012A   00</v>
      </c>
      <c r="B8989" t="s">
        <v>19842</v>
      </c>
      <c r="C8989" t="s">
        <v>19844</v>
      </c>
      <c r="D8989" t="s">
        <v>33</v>
      </c>
      <c r="E8989" t="s">
        <v>39</v>
      </c>
      <c r="F8989">
        <v>0</v>
      </c>
      <c r="G8989">
        <v>0</v>
      </c>
      <c r="H8989">
        <v>10</v>
      </c>
      <c r="I8989" s="3">
        <v>10864.37</v>
      </c>
      <c r="J8989" s="3">
        <v>1011.62</v>
      </c>
      <c r="L8989">
        <v>13</v>
      </c>
      <c r="M8989" t="s">
        <v>14026</v>
      </c>
      <c r="N8989" t="s">
        <v>30</v>
      </c>
      <c r="O8989" t="s">
        <v>31</v>
      </c>
      <c r="P8989" t="str">
        <f>"15235"</f>
        <v>15235</v>
      </c>
    </row>
    <row r="8990" spans="1:16" x14ac:dyDescent="0.25">
      <c r="A8990" t="str">
        <f>"1140126D00014    00"</f>
        <v>1140126D00014    00</v>
      </c>
      <c r="B8990" t="s">
        <v>19842</v>
      </c>
      <c r="C8990" t="s">
        <v>19845</v>
      </c>
      <c r="E8990" t="s">
        <v>39</v>
      </c>
      <c r="F8990">
        <v>0</v>
      </c>
      <c r="G8990">
        <v>0</v>
      </c>
      <c r="H8990">
        <v>9</v>
      </c>
      <c r="I8990" s="3">
        <v>8830.81</v>
      </c>
      <c r="J8990" s="3">
        <v>1233.72</v>
      </c>
      <c r="L8990">
        <v>13</v>
      </c>
      <c r="M8990" t="s">
        <v>14026</v>
      </c>
      <c r="N8990" t="s">
        <v>30</v>
      </c>
      <c r="O8990" t="s">
        <v>31</v>
      </c>
      <c r="P8990" t="str">
        <f>"15235"</f>
        <v>15235</v>
      </c>
    </row>
    <row r="8991" spans="1:16" x14ac:dyDescent="0.25">
      <c r="A8991" t="str">
        <f>"1140126D00014000100"</f>
        <v>1140126D00014000100</v>
      </c>
      <c r="B8991" t="s">
        <v>14833</v>
      </c>
      <c r="C8991" t="s">
        <v>19846</v>
      </c>
      <c r="D8991" t="s">
        <v>20</v>
      </c>
      <c r="E8991" t="s">
        <v>39</v>
      </c>
      <c r="F8991">
        <v>0</v>
      </c>
      <c r="G8991">
        <v>0</v>
      </c>
      <c r="H8991">
        <v>4</v>
      </c>
      <c r="I8991" s="3">
        <v>2546.0700000000002</v>
      </c>
      <c r="J8991" s="3">
        <v>321.52999999999997</v>
      </c>
      <c r="K8991" t="s">
        <v>14835</v>
      </c>
      <c r="L8991">
        <v>420</v>
      </c>
      <c r="M8991" t="s">
        <v>2444</v>
      </c>
      <c r="N8991" t="s">
        <v>6603</v>
      </c>
      <c r="O8991" t="s">
        <v>31</v>
      </c>
      <c r="P8991" t="str">
        <f>"15122"</f>
        <v>15122</v>
      </c>
    </row>
    <row r="8992" spans="1:16" x14ac:dyDescent="0.25">
      <c r="A8992" t="str">
        <f>"1140126D00018    00"</f>
        <v>1140126D00018    00</v>
      </c>
      <c r="B8992" t="s">
        <v>19847</v>
      </c>
      <c r="C8992" t="s">
        <v>19848</v>
      </c>
      <c r="D8992" t="s">
        <v>20</v>
      </c>
      <c r="E8992" t="s">
        <v>39</v>
      </c>
      <c r="F8992">
        <v>0</v>
      </c>
      <c r="G8992">
        <v>0</v>
      </c>
      <c r="H8992">
        <v>3</v>
      </c>
      <c r="I8992" s="3">
        <v>1402.43</v>
      </c>
      <c r="J8992" s="3">
        <v>354.8</v>
      </c>
      <c r="L8992">
        <v>422</v>
      </c>
      <c r="M8992" t="s">
        <v>19849</v>
      </c>
      <c r="N8992" t="s">
        <v>30</v>
      </c>
      <c r="O8992" t="s">
        <v>31</v>
      </c>
      <c r="P8992" t="str">
        <f>"15208"</f>
        <v>15208</v>
      </c>
    </row>
    <row r="8993" spans="1:16" x14ac:dyDescent="0.25">
      <c r="A8993" t="str">
        <f>"1140126D00019    00"</f>
        <v>1140126D00019    00</v>
      </c>
      <c r="B8993" t="s">
        <v>19850</v>
      </c>
      <c r="C8993" t="s">
        <v>19851</v>
      </c>
      <c r="D8993" t="s">
        <v>20</v>
      </c>
      <c r="E8993" t="s">
        <v>39</v>
      </c>
      <c r="F8993">
        <v>0</v>
      </c>
      <c r="G8993">
        <v>0</v>
      </c>
      <c r="H8993">
        <v>7</v>
      </c>
      <c r="I8993" s="3">
        <v>7697.25</v>
      </c>
      <c r="J8993" s="3">
        <v>2060.36</v>
      </c>
      <c r="L8993">
        <v>520</v>
      </c>
      <c r="M8993" t="s">
        <v>19852</v>
      </c>
      <c r="N8993" t="s">
        <v>30</v>
      </c>
      <c r="O8993" t="s">
        <v>31</v>
      </c>
      <c r="P8993" t="str">
        <f>"15221"</f>
        <v>15221</v>
      </c>
    </row>
    <row r="8994" spans="1:16" x14ac:dyDescent="0.25">
      <c r="A8994" t="str">
        <f>"1140126D00019C   00"</f>
        <v>1140126D00019C   00</v>
      </c>
      <c r="B8994" t="s">
        <v>19853</v>
      </c>
      <c r="C8994" t="s">
        <v>19854</v>
      </c>
      <c r="D8994" t="s">
        <v>20</v>
      </c>
      <c r="E8994" t="s">
        <v>39</v>
      </c>
      <c r="F8994">
        <v>0</v>
      </c>
      <c r="G8994">
        <v>0</v>
      </c>
      <c r="H8994">
        <v>16</v>
      </c>
      <c r="I8994" s="3">
        <v>4032.47</v>
      </c>
      <c r="J8994" s="3">
        <v>3966.6</v>
      </c>
      <c r="L8994">
        <v>416</v>
      </c>
      <c r="M8994" t="s">
        <v>19849</v>
      </c>
      <c r="N8994" t="s">
        <v>30</v>
      </c>
      <c r="O8994" t="s">
        <v>31</v>
      </c>
      <c r="P8994" t="str">
        <f>"15208"</f>
        <v>15208</v>
      </c>
    </row>
    <row r="8995" spans="1:16" x14ac:dyDescent="0.25">
      <c r="A8995" t="str">
        <f>"1140126D00019D   00"</f>
        <v>1140126D00019D   00</v>
      </c>
      <c r="B8995" t="s">
        <v>19847</v>
      </c>
      <c r="C8995" t="s">
        <v>19848</v>
      </c>
      <c r="D8995" t="s">
        <v>20</v>
      </c>
      <c r="E8995" t="s">
        <v>39</v>
      </c>
      <c r="F8995">
        <v>0</v>
      </c>
      <c r="G8995">
        <v>0</v>
      </c>
      <c r="H8995">
        <v>2</v>
      </c>
      <c r="I8995" s="3">
        <v>72.44</v>
      </c>
      <c r="J8995" s="3">
        <v>0</v>
      </c>
      <c r="L8995">
        <v>422</v>
      </c>
      <c r="M8995" t="s">
        <v>19849</v>
      </c>
      <c r="N8995" t="s">
        <v>30</v>
      </c>
      <c r="O8995" t="s">
        <v>31</v>
      </c>
      <c r="P8995" t="str">
        <f>"15208"</f>
        <v>15208</v>
      </c>
    </row>
    <row r="8996" spans="1:16" x14ac:dyDescent="0.25">
      <c r="A8996" t="str">
        <f>"1140126D00020    00"</f>
        <v>1140126D00020    00</v>
      </c>
      <c r="B8996" t="s">
        <v>19855</v>
      </c>
      <c r="C8996" t="s">
        <v>19856</v>
      </c>
      <c r="D8996" t="s">
        <v>20</v>
      </c>
      <c r="E8996" t="s">
        <v>39</v>
      </c>
      <c r="F8996">
        <v>0</v>
      </c>
      <c r="G8996">
        <v>0</v>
      </c>
      <c r="H8996">
        <v>7</v>
      </c>
      <c r="I8996" s="3">
        <v>6381.49</v>
      </c>
      <c r="J8996" s="3">
        <v>3079.29</v>
      </c>
      <c r="L8996">
        <v>6911</v>
      </c>
      <c r="M8996" t="s">
        <v>585</v>
      </c>
      <c r="N8996" t="s">
        <v>30</v>
      </c>
      <c r="O8996" t="s">
        <v>31</v>
      </c>
      <c r="P8996" t="str">
        <f>"15208"</f>
        <v>15208</v>
      </c>
    </row>
    <row r="8997" spans="1:16" x14ac:dyDescent="0.25">
      <c r="A8997" t="str">
        <f>"1140126D00021    00"</f>
        <v>1140126D00021    00</v>
      </c>
      <c r="B8997" t="s">
        <v>19857</v>
      </c>
      <c r="C8997" t="s">
        <v>19858</v>
      </c>
      <c r="D8997" t="s">
        <v>20</v>
      </c>
      <c r="E8997" t="s">
        <v>39</v>
      </c>
      <c r="F8997">
        <v>0</v>
      </c>
      <c r="G8997">
        <v>0</v>
      </c>
      <c r="H8997">
        <v>12</v>
      </c>
      <c r="I8997" s="3">
        <v>11906.77</v>
      </c>
      <c r="J8997" s="3">
        <v>7127.96</v>
      </c>
      <c r="L8997">
        <v>6911</v>
      </c>
      <c r="M8997" t="s">
        <v>585</v>
      </c>
      <c r="N8997" t="s">
        <v>30</v>
      </c>
      <c r="O8997" t="s">
        <v>31</v>
      </c>
      <c r="P8997" t="str">
        <f>"15208"</f>
        <v>15208</v>
      </c>
    </row>
    <row r="8998" spans="1:16" x14ac:dyDescent="0.25">
      <c r="A8998" t="str">
        <f>"1140126D00023    00"</f>
        <v>1140126D00023    00</v>
      </c>
      <c r="B8998" t="s">
        <v>19842</v>
      </c>
      <c r="C8998" t="s">
        <v>19859</v>
      </c>
      <c r="D8998" t="s">
        <v>20</v>
      </c>
      <c r="E8998" t="s">
        <v>39</v>
      </c>
      <c r="F8998">
        <v>0</v>
      </c>
      <c r="G8998">
        <v>0</v>
      </c>
      <c r="H8998">
        <v>12</v>
      </c>
      <c r="I8998" s="3">
        <v>515.79999999999995</v>
      </c>
      <c r="J8998" s="3">
        <v>325.08999999999997</v>
      </c>
      <c r="L8998">
        <v>1012</v>
      </c>
      <c r="M8998" t="s">
        <v>19860</v>
      </c>
      <c r="N8998" t="s">
        <v>238</v>
      </c>
      <c r="O8998" t="s">
        <v>31</v>
      </c>
      <c r="P8998" t="str">
        <f>"15132"</f>
        <v>15132</v>
      </c>
    </row>
    <row r="8999" spans="1:16" x14ac:dyDescent="0.25">
      <c r="A8999" t="str">
        <f>"1140126D00024000300"</f>
        <v>1140126D00024000300</v>
      </c>
      <c r="B8999" t="s">
        <v>19842</v>
      </c>
      <c r="C8999" t="s">
        <v>19859</v>
      </c>
      <c r="D8999" t="s">
        <v>20</v>
      </c>
      <c r="E8999" t="s">
        <v>39</v>
      </c>
      <c r="F8999">
        <v>0</v>
      </c>
      <c r="G8999">
        <v>0</v>
      </c>
      <c r="H8999">
        <v>19</v>
      </c>
      <c r="I8999" s="3">
        <v>689.52</v>
      </c>
      <c r="J8999" s="3">
        <v>480.84</v>
      </c>
      <c r="L8999">
        <v>13</v>
      </c>
      <c r="M8999" t="s">
        <v>14026</v>
      </c>
      <c r="N8999" t="s">
        <v>30</v>
      </c>
      <c r="O8999" t="s">
        <v>31</v>
      </c>
      <c r="P8999" t="str">
        <f>"15235"</f>
        <v>15235</v>
      </c>
    </row>
    <row r="9000" spans="1:16" x14ac:dyDescent="0.25">
      <c r="A9000" t="str">
        <f>"1140126D00024A   00"</f>
        <v>1140126D00024A   00</v>
      </c>
      <c r="B9000" t="s">
        <v>19842</v>
      </c>
      <c r="C9000" t="s">
        <v>19859</v>
      </c>
      <c r="D9000" t="s">
        <v>20</v>
      </c>
      <c r="E9000" t="s">
        <v>39</v>
      </c>
      <c r="F9000">
        <v>0</v>
      </c>
      <c r="G9000">
        <v>0</v>
      </c>
      <c r="H9000">
        <v>12</v>
      </c>
      <c r="I9000" s="3">
        <v>352.41</v>
      </c>
      <c r="J9000" s="3">
        <v>220.56</v>
      </c>
      <c r="L9000">
        <v>1012</v>
      </c>
      <c r="M9000" t="s">
        <v>19860</v>
      </c>
      <c r="N9000" t="s">
        <v>238</v>
      </c>
      <c r="O9000" t="s">
        <v>31</v>
      </c>
      <c r="P9000" t="str">
        <f>"15132"</f>
        <v>15132</v>
      </c>
    </row>
    <row r="9001" spans="1:16" x14ac:dyDescent="0.25">
      <c r="A9001" t="str">
        <f>"1140126D00039    00"</f>
        <v>1140126D00039    00</v>
      </c>
      <c r="B9001" t="s">
        <v>19861</v>
      </c>
      <c r="C9001" t="s">
        <v>19862</v>
      </c>
      <c r="D9001" t="s">
        <v>20</v>
      </c>
      <c r="E9001" t="s">
        <v>39</v>
      </c>
      <c r="F9001">
        <v>0</v>
      </c>
      <c r="G9001">
        <v>0</v>
      </c>
      <c r="H9001">
        <v>2</v>
      </c>
      <c r="I9001" s="3">
        <v>2666.31</v>
      </c>
      <c r="J9001" s="3">
        <v>0</v>
      </c>
      <c r="L9001">
        <v>7141</v>
      </c>
      <c r="M9001" t="s">
        <v>2350</v>
      </c>
      <c r="N9001" t="s">
        <v>30</v>
      </c>
      <c r="O9001" t="s">
        <v>31</v>
      </c>
      <c r="P9001" t="str">
        <f>"15208"</f>
        <v>15208</v>
      </c>
    </row>
    <row r="9002" spans="1:16" x14ac:dyDescent="0.25">
      <c r="A9002" t="str">
        <f>"1140126D00047    00"</f>
        <v>1140126D00047    00</v>
      </c>
      <c r="B9002" t="s">
        <v>19863</v>
      </c>
      <c r="C9002" t="s">
        <v>19864</v>
      </c>
      <c r="E9002" t="s">
        <v>39</v>
      </c>
      <c r="F9002">
        <v>0</v>
      </c>
      <c r="G9002">
        <v>0</v>
      </c>
      <c r="H9002">
        <v>2</v>
      </c>
      <c r="I9002" s="3">
        <v>1420.16</v>
      </c>
      <c r="J9002" s="3">
        <v>285.36</v>
      </c>
      <c r="L9002">
        <v>7131</v>
      </c>
      <c r="M9002" t="s">
        <v>2350</v>
      </c>
      <c r="N9002" t="s">
        <v>30</v>
      </c>
      <c r="O9002" t="s">
        <v>31</v>
      </c>
      <c r="P9002" t="str">
        <f>"15208"</f>
        <v>15208</v>
      </c>
    </row>
    <row r="9003" spans="1:16" x14ac:dyDescent="0.25">
      <c r="A9003" t="str">
        <f>"1140126D00084    00"</f>
        <v>1140126D00084    00</v>
      </c>
      <c r="B9003" t="s">
        <v>19865</v>
      </c>
      <c r="C9003" t="s">
        <v>19866</v>
      </c>
      <c r="D9003" t="s">
        <v>20</v>
      </c>
      <c r="E9003" t="s">
        <v>39</v>
      </c>
      <c r="F9003">
        <v>0</v>
      </c>
      <c r="G9003">
        <v>0</v>
      </c>
      <c r="H9003">
        <v>4</v>
      </c>
      <c r="I9003" s="3">
        <v>9105.82</v>
      </c>
      <c r="J9003" s="3">
        <v>1011.31</v>
      </c>
      <c r="L9003">
        <v>7140</v>
      </c>
      <c r="M9003" t="s">
        <v>2350</v>
      </c>
      <c r="N9003" t="s">
        <v>30</v>
      </c>
      <c r="O9003" t="s">
        <v>31</v>
      </c>
      <c r="P9003" t="str">
        <f>"15208"</f>
        <v>15208</v>
      </c>
    </row>
    <row r="9004" spans="1:16" x14ac:dyDescent="0.25">
      <c r="A9004" t="str">
        <f>"1140126D00099    00"</f>
        <v>1140126D00099    00</v>
      </c>
      <c r="B9004" t="s">
        <v>19867</v>
      </c>
      <c r="C9004" t="s">
        <v>19868</v>
      </c>
      <c r="E9004" t="s">
        <v>39</v>
      </c>
      <c r="F9004">
        <v>0</v>
      </c>
      <c r="G9004">
        <v>0</v>
      </c>
      <c r="H9004">
        <v>2</v>
      </c>
      <c r="I9004" s="3">
        <v>3196.7</v>
      </c>
      <c r="J9004" s="3">
        <v>218.6</v>
      </c>
      <c r="K9004" t="s">
        <v>6303</v>
      </c>
      <c r="L9004">
        <v>8050</v>
      </c>
      <c r="M9004" t="s">
        <v>6304</v>
      </c>
      <c r="N9004" t="s">
        <v>2008</v>
      </c>
      <c r="O9004" t="s">
        <v>31</v>
      </c>
      <c r="P9004" t="str">
        <f>"16066"</f>
        <v>16066</v>
      </c>
    </row>
    <row r="9005" spans="1:16" x14ac:dyDescent="0.25">
      <c r="A9005" t="str">
        <f>"1140126D00161    00"</f>
        <v>1140126D00161    00</v>
      </c>
      <c r="B9005" t="s">
        <v>787</v>
      </c>
      <c r="C9005" t="s">
        <v>19869</v>
      </c>
      <c r="D9005" t="s">
        <v>20</v>
      </c>
      <c r="E9005" t="s">
        <v>39</v>
      </c>
      <c r="F9005">
        <v>0</v>
      </c>
      <c r="G9005">
        <v>0</v>
      </c>
      <c r="H9005">
        <v>6</v>
      </c>
      <c r="I9005" s="3">
        <v>28170.25</v>
      </c>
      <c r="J9005" s="3">
        <v>1935.74</v>
      </c>
      <c r="L9005">
        <v>125</v>
      </c>
      <c r="M9005" t="s">
        <v>6979</v>
      </c>
      <c r="N9005" t="s">
        <v>285</v>
      </c>
      <c r="O9005" t="s">
        <v>31</v>
      </c>
      <c r="P9005" t="str">
        <f>"15120"</f>
        <v>15120</v>
      </c>
    </row>
    <row r="9006" spans="1:16" x14ac:dyDescent="0.25">
      <c r="A9006" t="str">
        <f>"1140126D00184    00"</f>
        <v>1140126D00184    00</v>
      </c>
      <c r="B9006" t="s">
        <v>19870</v>
      </c>
      <c r="C9006" t="s">
        <v>19871</v>
      </c>
      <c r="E9006" t="s">
        <v>39</v>
      </c>
      <c r="F9006">
        <v>0</v>
      </c>
      <c r="G9006">
        <v>0</v>
      </c>
      <c r="H9006">
        <v>1</v>
      </c>
      <c r="I9006" s="3">
        <v>953</v>
      </c>
      <c r="J9006" s="3">
        <v>0</v>
      </c>
      <c r="K9006" t="s">
        <v>19872</v>
      </c>
      <c r="L9006">
        <v>1010</v>
      </c>
      <c r="M9006" t="s">
        <v>9934</v>
      </c>
      <c r="N9006" t="s">
        <v>30</v>
      </c>
      <c r="O9006" t="s">
        <v>31</v>
      </c>
      <c r="P9006" t="str">
        <f>"15206"</f>
        <v>15206</v>
      </c>
    </row>
    <row r="9007" spans="1:16" x14ac:dyDescent="0.25">
      <c r="A9007" t="str">
        <f>"1140126D00191    00"</f>
        <v>1140126D00191    00</v>
      </c>
      <c r="B9007" t="s">
        <v>19873</v>
      </c>
      <c r="C9007" t="s">
        <v>19874</v>
      </c>
      <c r="D9007" t="s">
        <v>20</v>
      </c>
      <c r="E9007" t="s">
        <v>39</v>
      </c>
      <c r="F9007">
        <v>0</v>
      </c>
      <c r="G9007">
        <v>0</v>
      </c>
      <c r="H9007">
        <v>3</v>
      </c>
      <c r="I9007" s="3">
        <v>18583.5</v>
      </c>
      <c r="J9007" s="3">
        <v>1238.8499999999999</v>
      </c>
      <c r="L9007">
        <v>7110</v>
      </c>
      <c r="M9007" t="s">
        <v>10830</v>
      </c>
      <c r="N9007" t="s">
        <v>30</v>
      </c>
      <c r="O9007" t="s">
        <v>31</v>
      </c>
      <c r="P9007" t="str">
        <f>"15208"</f>
        <v>15208</v>
      </c>
    </row>
    <row r="9008" spans="1:16" x14ac:dyDescent="0.25">
      <c r="A9008" t="str">
        <f>"1140126D00202    00"</f>
        <v>1140126D00202    00</v>
      </c>
      <c r="B9008" t="s">
        <v>19875</v>
      </c>
      <c r="C9008" t="s">
        <v>19876</v>
      </c>
      <c r="D9008" t="s">
        <v>20</v>
      </c>
      <c r="E9008" t="s">
        <v>39</v>
      </c>
      <c r="F9008">
        <v>0</v>
      </c>
      <c r="G9008">
        <v>0</v>
      </c>
      <c r="H9008">
        <v>3</v>
      </c>
      <c r="I9008" s="3">
        <v>10511.45</v>
      </c>
      <c r="J9008" s="3">
        <v>1331.66</v>
      </c>
      <c r="L9008">
        <v>7134</v>
      </c>
      <c r="M9008" t="s">
        <v>10830</v>
      </c>
      <c r="N9008" t="s">
        <v>30</v>
      </c>
      <c r="O9008" t="s">
        <v>31</v>
      </c>
      <c r="P9008" t="str">
        <f>"15208"</f>
        <v>15208</v>
      </c>
    </row>
    <row r="9009" spans="1:16" x14ac:dyDescent="0.25">
      <c r="A9009" t="str">
        <f>"1140126D00226    00"</f>
        <v>1140126D00226    00</v>
      </c>
      <c r="B9009" t="s">
        <v>19877</v>
      </c>
      <c r="C9009" t="s">
        <v>19878</v>
      </c>
      <c r="D9009" t="s">
        <v>20</v>
      </c>
      <c r="E9009" t="s">
        <v>39</v>
      </c>
      <c r="F9009">
        <v>0</v>
      </c>
      <c r="G9009">
        <v>0</v>
      </c>
      <c r="H9009">
        <v>2</v>
      </c>
      <c r="I9009" s="3">
        <v>4631.6000000000004</v>
      </c>
      <c r="J9009" s="3">
        <v>0</v>
      </c>
      <c r="L9009">
        <v>7218</v>
      </c>
      <c r="M9009" t="s">
        <v>10830</v>
      </c>
      <c r="N9009" t="s">
        <v>30</v>
      </c>
      <c r="O9009" t="s">
        <v>31</v>
      </c>
      <c r="P9009" t="str">
        <f>"15208"</f>
        <v>15208</v>
      </c>
    </row>
    <row r="9010" spans="1:16" x14ac:dyDescent="0.25">
      <c r="A9010" t="str">
        <f>"1140126D00238    00"</f>
        <v>1140126D00238    00</v>
      </c>
      <c r="B9010" t="s">
        <v>19879</v>
      </c>
      <c r="C9010" t="s">
        <v>19880</v>
      </c>
      <c r="D9010" t="s">
        <v>20</v>
      </c>
      <c r="E9010" t="s">
        <v>39</v>
      </c>
      <c r="F9010">
        <v>0</v>
      </c>
      <c r="G9010">
        <v>0</v>
      </c>
      <c r="H9010">
        <v>1</v>
      </c>
      <c r="I9010" s="3">
        <v>1938.41</v>
      </c>
      <c r="J9010" s="3">
        <v>0</v>
      </c>
      <c r="K9010" t="s">
        <v>7145</v>
      </c>
      <c r="L9010">
        <v>3001</v>
      </c>
      <c r="M9010" t="s">
        <v>330</v>
      </c>
      <c r="N9010" t="s">
        <v>331</v>
      </c>
      <c r="O9010" t="s">
        <v>108</v>
      </c>
      <c r="P9010" t="str">
        <f>"75063"</f>
        <v>75063</v>
      </c>
    </row>
    <row r="9011" spans="1:16" x14ac:dyDescent="0.25">
      <c r="A9011" t="str">
        <f>"1140126D00242    00"</f>
        <v>1140126D00242    00</v>
      </c>
      <c r="B9011" t="s">
        <v>19881</v>
      </c>
      <c r="C9011" t="s">
        <v>19882</v>
      </c>
      <c r="D9011" t="s">
        <v>20</v>
      </c>
      <c r="E9011" t="s">
        <v>39</v>
      </c>
      <c r="F9011">
        <v>0</v>
      </c>
      <c r="G9011">
        <v>0</v>
      </c>
      <c r="H9011">
        <v>3</v>
      </c>
      <c r="I9011" s="3">
        <v>8941.7000000000007</v>
      </c>
      <c r="J9011" s="3">
        <v>607.92999999999995</v>
      </c>
      <c r="L9011">
        <v>7149</v>
      </c>
      <c r="M9011" t="s">
        <v>872</v>
      </c>
      <c r="N9011" t="s">
        <v>30</v>
      </c>
      <c r="O9011" t="s">
        <v>31</v>
      </c>
      <c r="P9011" t="str">
        <f>"15208"</f>
        <v>15208</v>
      </c>
    </row>
    <row r="9012" spans="1:16" x14ac:dyDescent="0.25">
      <c r="A9012" t="str">
        <f>"1140126D00246    00"</f>
        <v>1140126D00246    00</v>
      </c>
      <c r="B9012" t="s">
        <v>19883</v>
      </c>
      <c r="C9012" t="s">
        <v>19884</v>
      </c>
      <c r="D9012" t="s">
        <v>20</v>
      </c>
      <c r="E9012" t="s">
        <v>39</v>
      </c>
      <c r="F9012">
        <v>0</v>
      </c>
      <c r="G9012">
        <v>0</v>
      </c>
      <c r="H9012">
        <v>1</v>
      </c>
      <c r="I9012" s="3">
        <v>46.58</v>
      </c>
      <c r="J9012" s="3">
        <v>0</v>
      </c>
      <c r="K9012" t="s">
        <v>6303</v>
      </c>
      <c r="L9012">
        <v>8050</v>
      </c>
      <c r="M9012" t="s">
        <v>6304</v>
      </c>
      <c r="N9012" t="s">
        <v>2008</v>
      </c>
      <c r="O9012" t="s">
        <v>31</v>
      </c>
      <c r="P9012" t="str">
        <f>"16066"</f>
        <v>16066</v>
      </c>
    </row>
    <row r="9013" spans="1:16" x14ac:dyDescent="0.25">
      <c r="A9013" t="str">
        <f>"1140126D00253    00"</f>
        <v>1140126D00253    00</v>
      </c>
      <c r="B9013" t="s">
        <v>19885</v>
      </c>
      <c r="C9013" t="s">
        <v>19886</v>
      </c>
      <c r="D9013" t="s">
        <v>20</v>
      </c>
      <c r="E9013" t="s">
        <v>39</v>
      </c>
      <c r="F9013">
        <v>0</v>
      </c>
      <c r="G9013">
        <v>0</v>
      </c>
      <c r="H9013">
        <v>3</v>
      </c>
      <c r="I9013" s="3">
        <v>7707.87</v>
      </c>
      <c r="J9013" s="3">
        <v>171.28</v>
      </c>
      <c r="K9013" t="s">
        <v>756</v>
      </c>
      <c r="L9013">
        <v>3001</v>
      </c>
      <c r="M9013" t="s">
        <v>330</v>
      </c>
      <c r="N9013" t="s">
        <v>331</v>
      </c>
      <c r="O9013" t="s">
        <v>108</v>
      </c>
      <c r="P9013" t="str">
        <f>"75063"</f>
        <v>75063</v>
      </c>
    </row>
    <row r="9014" spans="1:16" x14ac:dyDescent="0.25">
      <c r="A9014" t="str">
        <f>"1140126D00264    00"</f>
        <v>1140126D00264    00</v>
      </c>
      <c r="B9014" t="s">
        <v>19887</v>
      </c>
      <c r="C9014" t="s">
        <v>19888</v>
      </c>
      <c r="E9014" t="s">
        <v>39</v>
      </c>
      <c r="F9014">
        <v>0</v>
      </c>
      <c r="G9014">
        <v>0</v>
      </c>
      <c r="H9014">
        <v>2</v>
      </c>
      <c r="I9014" s="3">
        <v>5302.5</v>
      </c>
      <c r="J9014" s="3">
        <v>0</v>
      </c>
      <c r="K9014" t="s">
        <v>19889</v>
      </c>
      <c r="L9014">
        <v>910</v>
      </c>
      <c r="M9014" t="s">
        <v>1503</v>
      </c>
      <c r="N9014" t="s">
        <v>494</v>
      </c>
      <c r="O9014" t="s">
        <v>495</v>
      </c>
      <c r="P9014" t="str">
        <f>"91768"</f>
        <v>91768</v>
      </c>
    </row>
    <row r="9015" spans="1:16" x14ac:dyDescent="0.25">
      <c r="A9015" t="str">
        <f>"1140126D00268    00"</f>
        <v>1140126D00268    00</v>
      </c>
      <c r="B9015" t="s">
        <v>19890</v>
      </c>
      <c r="C9015" t="s">
        <v>19891</v>
      </c>
      <c r="D9015" t="s">
        <v>20</v>
      </c>
      <c r="E9015" t="s">
        <v>39</v>
      </c>
      <c r="F9015">
        <v>0</v>
      </c>
      <c r="G9015">
        <v>0</v>
      </c>
      <c r="H9015">
        <v>2</v>
      </c>
      <c r="I9015" s="3">
        <v>4750.74</v>
      </c>
      <c r="J9015" s="3">
        <v>0</v>
      </c>
      <c r="K9015" t="s">
        <v>19892</v>
      </c>
      <c r="L9015">
        <v>204</v>
      </c>
      <c r="M9015" t="s">
        <v>19893</v>
      </c>
      <c r="N9015" t="s">
        <v>139</v>
      </c>
      <c r="O9015" t="s">
        <v>31</v>
      </c>
      <c r="P9015" t="str">
        <f>"15090"</f>
        <v>15090</v>
      </c>
    </row>
    <row r="9016" spans="1:16" x14ac:dyDescent="0.25">
      <c r="A9016" t="str">
        <f>"1140126D00314    00"</f>
        <v>1140126D00314    00</v>
      </c>
      <c r="B9016" t="s">
        <v>19842</v>
      </c>
      <c r="C9016" t="s">
        <v>19894</v>
      </c>
      <c r="E9016" t="s">
        <v>39</v>
      </c>
      <c r="F9016">
        <v>0</v>
      </c>
      <c r="G9016">
        <v>0</v>
      </c>
      <c r="H9016">
        <v>16</v>
      </c>
      <c r="I9016" s="3">
        <v>14842.56</v>
      </c>
      <c r="J9016" s="3">
        <v>7001.53</v>
      </c>
      <c r="L9016">
        <v>13</v>
      </c>
      <c r="M9016" t="s">
        <v>14026</v>
      </c>
      <c r="N9016" t="s">
        <v>30</v>
      </c>
      <c r="O9016" t="s">
        <v>31</v>
      </c>
      <c r="P9016" t="str">
        <f>"15235"</f>
        <v>15235</v>
      </c>
    </row>
    <row r="9017" spans="1:16" x14ac:dyDescent="0.25">
      <c r="A9017" t="str">
        <f>"1140126D00323    00"</f>
        <v>1140126D00323    00</v>
      </c>
      <c r="B9017" t="s">
        <v>19842</v>
      </c>
      <c r="C9017" t="s">
        <v>19859</v>
      </c>
      <c r="D9017" t="s">
        <v>20</v>
      </c>
      <c r="E9017" t="s">
        <v>39</v>
      </c>
      <c r="F9017">
        <v>0</v>
      </c>
      <c r="G9017">
        <v>0</v>
      </c>
      <c r="H9017">
        <v>10</v>
      </c>
      <c r="I9017" s="3">
        <v>55.03</v>
      </c>
      <c r="J9017" s="3">
        <v>30.02</v>
      </c>
      <c r="L9017">
        <v>13</v>
      </c>
      <c r="M9017" t="s">
        <v>14026</v>
      </c>
      <c r="N9017" t="s">
        <v>30</v>
      </c>
      <c r="O9017" t="s">
        <v>31</v>
      </c>
      <c r="P9017" t="str">
        <f>"15235"</f>
        <v>15235</v>
      </c>
    </row>
    <row r="9018" spans="1:16" x14ac:dyDescent="0.25">
      <c r="A9018" t="str">
        <f>"1140126E00005    00"</f>
        <v>1140126E00005    00</v>
      </c>
      <c r="B9018" t="s">
        <v>19895</v>
      </c>
      <c r="C9018" t="s">
        <v>19896</v>
      </c>
      <c r="E9018" t="s">
        <v>39</v>
      </c>
      <c r="F9018">
        <v>0</v>
      </c>
      <c r="G9018">
        <v>0</v>
      </c>
      <c r="H9018">
        <v>1</v>
      </c>
      <c r="I9018" s="3">
        <v>2260.59</v>
      </c>
      <c r="J9018" s="3">
        <v>508.61</v>
      </c>
      <c r="L9018">
        <v>516</v>
      </c>
      <c r="M9018" t="s">
        <v>19897</v>
      </c>
      <c r="N9018" t="s">
        <v>30</v>
      </c>
      <c r="O9018" t="s">
        <v>31</v>
      </c>
      <c r="P9018" t="str">
        <f>"15206"</f>
        <v>15206</v>
      </c>
    </row>
    <row r="9019" spans="1:16" x14ac:dyDescent="0.25">
      <c r="A9019" t="str">
        <f>"1140126E00017    00"</f>
        <v>1140126E00017    00</v>
      </c>
      <c r="B9019" t="s">
        <v>19898</v>
      </c>
      <c r="C9019" t="s">
        <v>19899</v>
      </c>
      <c r="E9019" t="s">
        <v>39</v>
      </c>
      <c r="F9019">
        <v>0</v>
      </c>
      <c r="G9019">
        <v>0</v>
      </c>
      <c r="H9019">
        <v>1</v>
      </c>
      <c r="I9019" s="3">
        <v>971.7</v>
      </c>
      <c r="J9019" s="3">
        <v>0</v>
      </c>
      <c r="K9019" t="s">
        <v>19900</v>
      </c>
      <c r="L9019">
        <v>1085</v>
      </c>
      <c r="M9019" t="s">
        <v>19901</v>
      </c>
      <c r="N9019" t="s">
        <v>30</v>
      </c>
      <c r="O9019" t="s">
        <v>31</v>
      </c>
      <c r="P9019" t="str">
        <f>"15206"</f>
        <v>15206</v>
      </c>
    </row>
    <row r="9020" spans="1:16" x14ac:dyDescent="0.25">
      <c r="A9020" t="str">
        <f>"1140126E00027    00"</f>
        <v>1140126E00027    00</v>
      </c>
      <c r="B9020" t="s">
        <v>19902</v>
      </c>
      <c r="C9020" t="s">
        <v>19903</v>
      </c>
      <c r="D9020" t="s">
        <v>20</v>
      </c>
      <c r="E9020" t="s">
        <v>39</v>
      </c>
      <c r="F9020">
        <v>0</v>
      </c>
      <c r="G9020">
        <v>0</v>
      </c>
      <c r="H9020">
        <v>1</v>
      </c>
      <c r="I9020" s="3">
        <v>64.36</v>
      </c>
      <c r="J9020" s="3">
        <v>44.52</v>
      </c>
      <c r="K9020" t="s">
        <v>19904</v>
      </c>
      <c r="L9020">
        <v>423</v>
      </c>
      <c r="M9020" t="s">
        <v>19897</v>
      </c>
      <c r="N9020" t="s">
        <v>30</v>
      </c>
      <c r="O9020" t="s">
        <v>31</v>
      </c>
      <c r="P9020" t="str">
        <f>"15206"</f>
        <v>15206</v>
      </c>
    </row>
    <row r="9021" spans="1:16" x14ac:dyDescent="0.25">
      <c r="A9021" t="str">
        <f>"1140126E00030    00"</f>
        <v>1140126E00030    00</v>
      </c>
      <c r="B9021" t="s">
        <v>19905</v>
      </c>
      <c r="C9021" t="s">
        <v>19906</v>
      </c>
      <c r="D9021" t="s">
        <v>20</v>
      </c>
      <c r="E9021" t="s">
        <v>39</v>
      </c>
      <c r="F9021">
        <v>0</v>
      </c>
      <c r="G9021">
        <v>0</v>
      </c>
      <c r="H9021">
        <v>1</v>
      </c>
      <c r="I9021" s="3">
        <v>2687.46</v>
      </c>
      <c r="J9021" s="3">
        <v>0</v>
      </c>
      <c r="K9021" t="s">
        <v>4933</v>
      </c>
      <c r="L9021">
        <v>3001</v>
      </c>
      <c r="M9021" t="s">
        <v>330</v>
      </c>
      <c r="N9021" t="s">
        <v>331</v>
      </c>
      <c r="O9021" t="s">
        <v>108</v>
      </c>
      <c r="P9021" t="str">
        <f>"75063"</f>
        <v>75063</v>
      </c>
    </row>
    <row r="9022" spans="1:16" x14ac:dyDescent="0.25">
      <c r="A9022" t="str">
        <f>"1140126E00057    00"</f>
        <v>1140126E00057    00</v>
      </c>
      <c r="B9022" t="s">
        <v>19907</v>
      </c>
      <c r="C9022" t="s">
        <v>19908</v>
      </c>
      <c r="D9022" t="s">
        <v>33</v>
      </c>
      <c r="E9022" t="s">
        <v>39</v>
      </c>
      <c r="F9022">
        <v>0</v>
      </c>
      <c r="G9022">
        <v>0</v>
      </c>
      <c r="H9022">
        <v>1</v>
      </c>
      <c r="I9022" s="3">
        <v>1177.73</v>
      </c>
      <c r="J9022" s="3">
        <v>0</v>
      </c>
      <c r="K9022" t="s">
        <v>1427</v>
      </c>
      <c r="L9022">
        <v>3001</v>
      </c>
      <c r="M9022" t="s">
        <v>330</v>
      </c>
      <c r="N9022" t="s">
        <v>331</v>
      </c>
      <c r="O9022" t="s">
        <v>108</v>
      </c>
      <c r="P9022" t="str">
        <f>"75063"</f>
        <v>75063</v>
      </c>
    </row>
    <row r="9023" spans="1:16" x14ac:dyDescent="0.25">
      <c r="A9023" t="str">
        <f>"1140126E00068    00"</f>
        <v>1140126E00068    00</v>
      </c>
      <c r="B9023" t="s">
        <v>19909</v>
      </c>
      <c r="C9023" t="s">
        <v>19910</v>
      </c>
      <c r="D9023" t="s">
        <v>20</v>
      </c>
      <c r="E9023" t="s">
        <v>39</v>
      </c>
      <c r="F9023">
        <v>0</v>
      </c>
      <c r="G9023">
        <v>0</v>
      </c>
      <c r="H9023">
        <v>3</v>
      </c>
      <c r="I9023" s="3">
        <v>9285.7000000000007</v>
      </c>
      <c r="J9023" s="3">
        <v>214.78</v>
      </c>
      <c r="K9023" t="s">
        <v>5652</v>
      </c>
      <c r="L9023">
        <v>3001</v>
      </c>
      <c r="M9023" t="s">
        <v>330</v>
      </c>
      <c r="N9023" t="s">
        <v>331</v>
      </c>
      <c r="O9023" t="s">
        <v>108</v>
      </c>
      <c r="P9023" t="str">
        <f>"75063"</f>
        <v>75063</v>
      </c>
    </row>
    <row r="9024" spans="1:16" x14ac:dyDescent="0.25">
      <c r="A9024" t="str">
        <f>"1140126E00075    00"</f>
        <v>1140126E00075    00</v>
      </c>
      <c r="B9024" t="s">
        <v>19911</v>
      </c>
      <c r="C9024" t="s">
        <v>19912</v>
      </c>
      <c r="E9024" t="s">
        <v>39</v>
      </c>
      <c r="F9024">
        <v>0</v>
      </c>
      <c r="G9024">
        <v>0</v>
      </c>
      <c r="H9024">
        <v>1</v>
      </c>
      <c r="I9024" s="3">
        <v>166.74</v>
      </c>
      <c r="J9024" s="3">
        <v>33.35</v>
      </c>
      <c r="K9024" t="s">
        <v>400</v>
      </c>
      <c r="L9024">
        <v>3001</v>
      </c>
      <c r="M9024" t="s">
        <v>330</v>
      </c>
      <c r="N9024" t="s">
        <v>331</v>
      </c>
      <c r="O9024" t="s">
        <v>108</v>
      </c>
      <c r="P9024" t="str">
        <f>"75063"</f>
        <v>75063</v>
      </c>
    </row>
    <row r="9025" spans="1:16" x14ac:dyDescent="0.25">
      <c r="A9025" t="str">
        <f>"1140126E00078    00"</f>
        <v>1140126E00078    00</v>
      </c>
      <c r="B9025" t="s">
        <v>19913</v>
      </c>
      <c r="C9025" t="s">
        <v>19914</v>
      </c>
      <c r="D9025" t="s">
        <v>20</v>
      </c>
      <c r="E9025" t="s">
        <v>39</v>
      </c>
      <c r="F9025">
        <v>0</v>
      </c>
      <c r="G9025">
        <v>0</v>
      </c>
      <c r="H9025">
        <v>1</v>
      </c>
      <c r="I9025" s="3">
        <v>2205.25</v>
      </c>
      <c r="J9025" s="3">
        <v>0</v>
      </c>
      <c r="K9025" t="s">
        <v>6303</v>
      </c>
      <c r="L9025">
        <v>8050</v>
      </c>
      <c r="M9025" t="s">
        <v>6304</v>
      </c>
      <c r="N9025" t="s">
        <v>2008</v>
      </c>
      <c r="O9025" t="s">
        <v>31</v>
      </c>
      <c r="P9025" t="str">
        <f>"16066"</f>
        <v>16066</v>
      </c>
    </row>
    <row r="9026" spans="1:16" x14ac:dyDescent="0.25">
      <c r="A9026" t="str">
        <f>"1140126E00079    00"</f>
        <v>1140126E00079    00</v>
      </c>
      <c r="B9026" t="s">
        <v>19915</v>
      </c>
      <c r="C9026" t="s">
        <v>19916</v>
      </c>
      <c r="E9026" t="s">
        <v>39</v>
      </c>
      <c r="F9026">
        <v>0</v>
      </c>
      <c r="G9026">
        <v>0</v>
      </c>
      <c r="H9026">
        <v>1</v>
      </c>
      <c r="I9026" s="3">
        <v>2771.51</v>
      </c>
      <c r="J9026" s="3">
        <v>1939.98</v>
      </c>
      <c r="K9026" t="s">
        <v>5141</v>
      </c>
      <c r="L9026">
        <v>1</v>
      </c>
      <c r="M9026" t="s">
        <v>5142</v>
      </c>
      <c r="N9026" t="s">
        <v>5143</v>
      </c>
      <c r="O9026" t="s">
        <v>3486</v>
      </c>
      <c r="P9026" t="str">
        <f>"60047"</f>
        <v>60047</v>
      </c>
    </row>
    <row r="9027" spans="1:16" x14ac:dyDescent="0.25">
      <c r="A9027" t="str">
        <f>"1140126E00089    00"</f>
        <v>1140126E00089    00</v>
      </c>
      <c r="B9027" t="s">
        <v>19917</v>
      </c>
      <c r="C9027" t="s">
        <v>19918</v>
      </c>
      <c r="D9027" t="s">
        <v>20</v>
      </c>
      <c r="E9027" t="s">
        <v>21</v>
      </c>
      <c r="F9027">
        <v>0</v>
      </c>
      <c r="G9027">
        <v>0</v>
      </c>
      <c r="H9027">
        <v>1</v>
      </c>
      <c r="I9027" s="3">
        <v>67.13</v>
      </c>
      <c r="J9027" s="3">
        <v>0</v>
      </c>
      <c r="L9027">
        <v>123</v>
      </c>
      <c r="M9027" t="s">
        <v>6359</v>
      </c>
      <c r="N9027" t="s">
        <v>30</v>
      </c>
      <c r="O9027" t="s">
        <v>31</v>
      </c>
      <c r="P9027" t="str">
        <f>"15208"</f>
        <v>15208</v>
      </c>
    </row>
    <row r="9028" spans="1:16" x14ac:dyDescent="0.25">
      <c r="A9028" t="str">
        <f>"1140126E00093    00"</f>
        <v>1140126E00093    00</v>
      </c>
      <c r="B9028" t="s">
        <v>19917</v>
      </c>
      <c r="C9028" t="s">
        <v>19919</v>
      </c>
      <c r="D9028" t="s">
        <v>20</v>
      </c>
      <c r="E9028" t="s">
        <v>39</v>
      </c>
      <c r="F9028">
        <v>0</v>
      </c>
      <c r="G9028">
        <v>0</v>
      </c>
      <c r="H9028">
        <v>1</v>
      </c>
      <c r="I9028" s="3">
        <v>65.459999999999994</v>
      </c>
      <c r="J9028" s="3">
        <v>0</v>
      </c>
      <c r="K9028" t="s">
        <v>19920</v>
      </c>
      <c r="L9028">
        <v>123</v>
      </c>
      <c r="M9028" t="s">
        <v>6359</v>
      </c>
      <c r="N9028" t="s">
        <v>30</v>
      </c>
      <c r="O9028" t="s">
        <v>31</v>
      </c>
      <c r="P9028" t="str">
        <f>"15208"</f>
        <v>15208</v>
      </c>
    </row>
    <row r="9029" spans="1:16" x14ac:dyDescent="0.25">
      <c r="A9029" t="str">
        <f>"1140126E00098    00"</f>
        <v>1140126E00098    00</v>
      </c>
      <c r="B9029" t="s">
        <v>19921</v>
      </c>
      <c r="C9029" t="s">
        <v>19922</v>
      </c>
      <c r="D9029" t="s">
        <v>20</v>
      </c>
      <c r="E9029" t="s">
        <v>39</v>
      </c>
      <c r="F9029">
        <v>0</v>
      </c>
      <c r="G9029">
        <v>0</v>
      </c>
      <c r="H9029">
        <v>1</v>
      </c>
      <c r="I9029" s="3">
        <v>64.7</v>
      </c>
      <c r="J9029" s="3">
        <v>0</v>
      </c>
      <c r="L9029">
        <v>123</v>
      </c>
      <c r="M9029" t="s">
        <v>6359</v>
      </c>
      <c r="N9029" t="s">
        <v>30</v>
      </c>
      <c r="O9029" t="s">
        <v>31</v>
      </c>
      <c r="P9029" t="str">
        <f>"15208"</f>
        <v>15208</v>
      </c>
    </row>
    <row r="9030" spans="1:16" x14ac:dyDescent="0.25">
      <c r="A9030" t="str">
        <f>"1140126E00099    00"</f>
        <v>1140126E00099    00</v>
      </c>
      <c r="B9030" t="s">
        <v>19923</v>
      </c>
      <c r="C9030" t="s">
        <v>19924</v>
      </c>
      <c r="E9030" t="s">
        <v>39</v>
      </c>
      <c r="F9030">
        <v>0</v>
      </c>
      <c r="G9030">
        <v>0</v>
      </c>
      <c r="H9030">
        <v>3</v>
      </c>
      <c r="I9030" s="3">
        <v>9537.5400000000009</v>
      </c>
      <c r="J9030" s="3">
        <v>2109.6</v>
      </c>
      <c r="L9030">
        <v>405</v>
      </c>
      <c r="M9030" t="s">
        <v>19666</v>
      </c>
      <c r="N9030" t="s">
        <v>30</v>
      </c>
      <c r="O9030" t="s">
        <v>31</v>
      </c>
      <c r="P9030" t="str">
        <f>"15206"</f>
        <v>15206</v>
      </c>
    </row>
    <row r="9031" spans="1:16" x14ac:dyDescent="0.25">
      <c r="A9031" t="str">
        <f>"1140126E00106    00"</f>
        <v>1140126E00106    00</v>
      </c>
      <c r="B9031" t="s">
        <v>19925</v>
      </c>
      <c r="C9031" t="s">
        <v>19926</v>
      </c>
      <c r="D9031" t="s">
        <v>20</v>
      </c>
      <c r="E9031" t="s">
        <v>39</v>
      </c>
      <c r="F9031">
        <v>0</v>
      </c>
      <c r="G9031">
        <v>0</v>
      </c>
      <c r="H9031">
        <v>4</v>
      </c>
      <c r="I9031" s="3">
        <v>5070.99</v>
      </c>
      <c r="J9031" s="3">
        <v>316.85000000000002</v>
      </c>
      <c r="K9031" t="s">
        <v>19927</v>
      </c>
      <c r="L9031">
        <v>421</v>
      </c>
      <c r="M9031" t="s">
        <v>19666</v>
      </c>
      <c r="N9031" t="s">
        <v>30</v>
      </c>
      <c r="O9031" t="s">
        <v>31</v>
      </c>
      <c r="P9031" t="str">
        <f>"15206"</f>
        <v>15206</v>
      </c>
    </row>
    <row r="9032" spans="1:16" x14ac:dyDescent="0.25">
      <c r="A9032" t="str">
        <f>"1140126E00219    00"</f>
        <v>1140126E00219    00</v>
      </c>
      <c r="B9032" t="s">
        <v>19928</v>
      </c>
      <c r="C9032" t="s">
        <v>19929</v>
      </c>
      <c r="E9032" t="s">
        <v>39</v>
      </c>
      <c r="F9032">
        <v>0</v>
      </c>
      <c r="G9032">
        <v>0</v>
      </c>
      <c r="H9032">
        <v>1</v>
      </c>
      <c r="I9032" s="3">
        <v>2025.85</v>
      </c>
      <c r="J9032" s="3">
        <v>827.19</v>
      </c>
      <c r="K9032" t="s">
        <v>7145</v>
      </c>
      <c r="L9032">
        <v>3001</v>
      </c>
      <c r="M9032" t="s">
        <v>330</v>
      </c>
      <c r="N9032" t="s">
        <v>331</v>
      </c>
      <c r="O9032" t="s">
        <v>108</v>
      </c>
      <c r="P9032" t="str">
        <f>"75063"</f>
        <v>75063</v>
      </c>
    </row>
    <row r="9033" spans="1:16" x14ac:dyDescent="0.25">
      <c r="A9033" t="str">
        <f>"1140126E00234    00"</f>
        <v>1140126E00234    00</v>
      </c>
      <c r="B9033" t="s">
        <v>19930</v>
      </c>
      <c r="C9033" t="s">
        <v>19931</v>
      </c>
      <c r="E9033" t="s">
        <v>39</v>
      </c>
      <c r="F9033">
        <v>0</v>
      </c>
      <c r="G9033">
        <v>0</v>
      </c>
      <c r="H9033">
        <v>1</v>
      </c>
      <c r="I9033" s="3">
        <v>4075.45</v>
      </c>
      <c r="J9033" s="3">
        <v>1120.69</v>
      </c>
      <c r="K9033" t="s">
        <v>5355</v>
      </c>
      <c r="L9033">
        <v>3001</v>
      </c>
      <c r="M9033" t="s">
        <v>404</v>
      </c>
      <c r="N9033" t="s">
        <v>331</v>
      </c>
      <c r="O9033" t="s">
        <v>108</v>
      </c>
      <c r="P9033" t="str">
        <f>"75063"</f>
        <v>75063</v>
      </c>
    </row>
    <row r="9034" spans="1:16" x14ac:dyDescent="0.25">
      <c r="A9034" t="str">
        <f>"1140126E00251    00"</f>
        <v>1140126E00251    00</v>
      </c>
      <c r="B9034" t="s">
        <v>19932</v>
      </c>
      <c r="C9034" t="s">
        <v>19933</v>
      </c>
      <c r="D9034" t="s">
        <v>20</v>
      </c>
      <c r="E9034" t="s">
        <v>39</v>
      </c>
      <c r="F9034">
        <v>0</v>
      </c>
      <c r="G9034">
        <v>0</v>
      </c>
      <c r="H9034">
        <v>1</v>
      </c>
      <c r="I9034" s="3">
        <v>37.409999999999997</v>
      </c>
      <c r="J9034" s="3">
        <v>11.21</v>
      </c>
      <c r="L9034">
        <v>335</v>
      </c>
      <c r="M9034" t="s">
        <v>19713</v>
      </c>
      <c r="N9034" t="s">
        <v>30</v>
      </c>
      <c r="O9034" t="s">
        <v>31</v>
      </c>
      <c r="P9034" t="str">
        <f>"15208"</f>
        <v>15208</v>
      </c>
    </row>
    <row r="9035" spans="1:16" x14ac:dyDescent="0.25">
      <c r="A9035" t="str">
        <f>"1140126E00284    00"</f>
        <v>1140126E00284    00</v>
      </c>
      <c r="B9035" t="s">
        <v>19934</v>
      </c>
      <c r="C9035" t="s">
        <v>19935</v>
      </c>
      <c r="E9035" t="s">
        <v>39</v>
      </c>
      <c r="F9035">
        <v>0</v>
      </c>
      <c r="G9035">
        <v>0</v>
      </c>
      <c r="H9035">
        <v>1</v>
      </c>
      <c r="I9035" s="3">
        <v>4744.3999999999996</v>
      </c>
      <c r="J9035" s="3">
        <v>1304.6600000000001</v>
      </c>
      <c r="K9035" t="s">
        <v>19936</v>
      </c>
      <c r="L9035">
        <v>6801</v>
      </c>
      <c r="M9035" t="s">
        <v>19937</v>
      </c>
      <c r="N9035" t="s">
        <v>30</v>
      </c>
      <c r="O9035" t="s">
        <v>31</v>
      </c>
      <c r="P9035" t="str">
        <f>"15208"</f>
        <v>15208</v>
      </c>
    </row>
    <row r="9036" spans="1:16" x14ac:dyDescent="0.25">
      <c r="A9036" t="str">
        <f>"1140126E00307    00"</f>
        <v>1140126E00307    00</v>
      </c>
      <c r="B9036" t="s">
        <v>19938</v>
      </c>
      <c r="C9036" t="s">
        <v>19939</v>
      </c>
      <c r="D9036" t="s">
        <v>20</v>
      </c>
      <c r="E9036" t="s">
        <v>39</v>
      </c>
      <c r="F9036">
        <v>0</v>
      </c>
      <c r="G9036">
        <v>0</v>
      </c>
      <c r="H9036">
        <v>1</v>
      </c>
      <c r="I9036" s="3">
        <v>8903.39</v>
      </c>
      <c r="J9036" s="3">
        <v>0</v>
      </c>
      <c r="K9036" t="s">
        <v>19940</v>
      </c>
      <c r="L9036">
        <v>414</v>
      </c>
      <c r="M9036" t="s">
        <v>19941</v>
      </c>
      <c r="N9036" t="s">
        <v>30</v>
      </c>
      <c r="O9036" t="s">
        <v>31</v>
      </c>
      <c r="P9036" t="str">
        <f>"15208"</f>
        <v>15208</v>
      </c>
    </row>
    <row r="9037" spans="1:16" x14ac:dyDescent="0.25">
      <c r="A9037" t="str">
        <f>"1140126E00327    00"</f>
        <v>1140126E00327    00</v>
      </c>
      <c r="B9037" t="s">
        <v>19942</v>
      </c>
      <c r="C9037" t="s">
        <v>19943</v>
      </c>
      <c r="D9037" t="s">
        <v>20</v>
      </c>
      <c r="E9037" t="s">
        <v>39</v>
      </c>
      <c r="F9037">
        <v>0</v>
      </c>
      <c r="G9037">
        <v>0</v>
      </c>
      <c r="H9037">
        <v>3</v>
      </c>
      <c r="I9037" s="3">
        <v>18915.150000000001</v>
      </c>
      <c r="J9037" s="3">
        <v>157.61000000000001</v>
      </c>
      <c r="K9037" t="s">
        <v>756</v>
      </c>
      <c r="L9037">
        <v>3001</v>
      </c>
      <c r="M9037" t="s">
        <v>330</v>
      </c>
      <c r="N9037" t="s">
        <v>331</v>
      </c>
      <c r="O9037" t="s">
        <v>108</v>
      </c>
      <c r="P9037" t="str">
        <f>"75063"</f>
        <v>75063</v>
      </c>
    </row>
    <row r="9038" spans="1:16" x14ac:dyDescent="0.25">
      <c r="A9038" t="str">
        <f>"1140126F00009    00"</f>
        <v>1140126F00009    00</v>
      </c>
      <c r="B9038" t="s">
        <v>19944</v>
      </c>
      <c r="C9038" t="s">
        <v>19945</v>
      </c>
      <c r="D9038" t="s">
        <v>57</v>
      </c>
      <c r="E9038" t="s">
        <v>39</v>
      </c>
      <c r="F9038">
        <v>0</v>
      </c>
      <c r="G9038">
        <v>0</v>
      </c>
      <c r="H9038">
        <v>1</v>
      </c>
      <c r="I9038" s="3">
        <v>10979.81</v>
      </c>
      <c r="J9038" s="3">
        <v>0</v>
      </c>
      <c r="L9038">
        <v>6824</v>
      </c>
      <c r="M9038" t="s">
        <v>19946</v>
      </c>
      <c r="N9038" t="s">
        <v>30</v>
      </c>
      <c r="O9038" t="s">
        <v>31</v>
      </c>
      <c r="P9038" t="str">
        <f>"15208"</f>
        <v>15208</v>
      </c>
    </row>
    <row r="9039" spans="1:16" x14ac:dyDescent="0.25">
      <c r="A9039" t="str">
        <f>"1140126F00057    00"</f>
        <v>1140126F00057    00</v>
      </c>
      <c r="B9039" t="s">
        <v>19947</v>
      </c>
      <c r="C9039" t="s">
        <v>19948</v>
      </c>
      <c r="D9039" t="s">
        <v>20</v>
      </c>
      <c r="E9039" t="s">
        <v>39</v>
      </c>
      <c r="F9039">
        <v>0</v>
      </c>
      <c r="G9039">
        <v>0</v>
      </c>
      <c r="H9039">
        <v>4</v>
      </c>
      <c r="I9039" s="3">
        <v>22569.55</v>
      </c>
      <c r="J9039" s="3">
        <v>1905.52</v>
      </c>
      <c r="L9039">
        <v>6859</v>
      </c>
      <c r="M9039" t="s">
        <v>8098</v>
      </c>
      <c r="N9039" t="s">
        <v>30</v>
      </c>
      <c r="O9039" t="s">
        <v>31</v>
      </c>
      <c r="P9039" t="str">
        <f>"15208"</f>
        <v>15208</v>
      </c>
    </row>
    <row r="9040" spans="1:16" x14ac:dyDescent="0.25">
      <c r="A9040" t="str">
        <f>"1140126F00100    00"</f>
        <v>1140126F00100    00</v>
      </c>
      <c r="B9040" t="s">
        <v>19949</v>
      </c>
      <c r="C9040" t="s">
        <v>19950</v>
      </c>
      <c r="E9040" t="s">
        <v>39</v>
      </c>
      <c r="F9040">
        <v>0</v>
      </c>
      <c r="G9040">
        <v>0</v>
      </c>
      <c r="H9040">
        <v>2</v>
      </c>
      <c r="I9040" s="3">
        <v>6259.3</v>
      </c>
      <c r="J9040" s="3">
        <v>312.95</v>
      </c>
      <c r="K9040" t="s">
        <v>19951</v>
      </c>
      <c r="L9040">
        <v>39</v>
      </c>
      <c r="M9040" t="s">
        <v>237</v>
      </c>
      <c r="N9040" t="s">
        <v>19952</v>
      </c>
      <c r="O9040" t="s">
        <v>423</v>
      </c>
      <c r="P9040" t="str">
        <f>"07068"</f>
        <v>07068</v>
      </c>
    </row>
    <row r="9041" spans="1:16" x14ac:dyDescent="0.25">
      <c r="A9041" t="str">
        <f>"1140126F00118    00"</f>
        <v>1140126F00118    00</v>
      </c>
      <c r="B9041" t="s">
        <v>19953</v>
      </c>
      <c r="C9041" t="s">
        <v>19954</v>
      </c>
      <c r="E9041" t="s">
        <v>39</v>
      </c>
      <c r="F9041">
        <v>0</v>
      </c>
      <c r="G9041">
        <v>0</v>
      </c>
      <c r="H9041">
        <v>1</v>
      </c>
      <c r="I9041" s="3">
        <v>5069.96</v>
      </c>
      <c r="J9041" s="3">
        <v>506.98</v>
      </c>
      <c r="K9041" t="s">
        <v>710</v>
      </c>
      <c r="L9041">
        <v>4140</v>
      </c>
      <c r="M9041" t="s">
        <v>711</v>
      </c>
      <c r="N9041" t="s">
        <v>712</v>
      </c>
      <c r="O9041" t="s">
        <v>31</v>
      </c>
      <c r="P9041" t="str">
        <f>"16148"</f>
        <v>16148</v>
      </c>
    </row>
    <row r="9042" spans="1:16" x14ac:dyDescent="0.25">
      <c r="A9042" t="str">
        <f>"1140126F00130    00"</f>
        <v>1140126F00130    00</v>
      </c>
      <c r="B9042" t="s">
        <v>19955</v>
      </c>
      <c r="C9042" t="s">
        <v>19956</v>
      </c>
      <c r="E9042" t="s">
        <v>39</v>
      </c>
      <c r="F9042">
        <v>0</v>
      </c>
      <c r="G9042">
        <v>0</v>
      </c>
      <c r="H9042">
        <v>1</v>
      </c>
      <c r="I9042" s="3">
        <v>2470.1799999999998</v>
      </c>
      <c r="J9042" s="3">
        <v>247</v>
      </c>
      <c r="K9042" t="s">
        <v>19957</v>
      </c>
      <c r="L9042">
        <v>305</v>
      </c>
      <c r="M9042" t="s">
        <v>19806</v>
      </c>
      <c r="N9042" t="s">
        <v>30</v>
      </c>
      <c r="O9042" t="s">
        <v>31</v>
      </c>
      <c r="P9042" t="str">
        <f>"15208"</f>
        <v>15208</v>
      </c>
    </row>
    <row r="9043" spans="1:16" x14ac:dyDescent="0.25">
      <c r="A9043" t="str">
        <f>"1140126F00146    00"</f>
        <v>1140126F00146    00</v>
      </c>
      <c r="B9043" t="s">
        <v>19958</v>
      </c>
      <c r="C9043" t="s">
        <v>19959</v>
      </c>
      <c r="E9043" t="s">
        <v>39</v>
      </c>
      <c r="F9043">
        <v>0</v>
      </c>
      <c r="G9043">
        <v>0</v>
      </c>
      <c r="H9043">
        <v>1</v>
      </c>
      <c r="I9043" s="3">
        <v>8185</v>
      </c>
      <c r="J9043" s="3">
        <v>2250.79</v>
      </c>
      <c r="K9043" t="s">
        <v>1427</v>
      </c>
      <c r="L9043">
        <v>3001</v>
      </c>
      <c r="M9043" t="s">
        <v>330</v>
      </c>
      <c r="N9043" t="s">
        <v>331</v>
      </c>
      <c r="O9043" t="s">
        <v>108</v>
      </c>
      <c r="P9043" t="str">
        <f>"75063"</f>
        <v>75063</v>
      </c>
    </row>
    <row r="9044" spans="1:16" x14ac:dyDescent="0.25">
      <c r="A9044" t="str">
        <f>"1140126F00157    00"</f>
        <v>1140126F00157    00</v>
      </c>
      <c r="B9044" t="s">
        <v>19960</v>
      </c>
      <c r="C9044" t="s">
        <v>19961</v>
      </c>
      <c r="E9044" t="s">
        <v>39</v>
      </c>
      <c r="F9044">
        <v>0</v>
      </c>
      <c r="G9044">
        <v>0</v>
      </c>
      <c r="H9044">
        <v>1</v>
      </c>
      <c r="I9044" s="3">
        <v>704.7</v>
      </c>
      <c r="J9044" s="3">
        <v>281.87</v>
      </c>
      <c r="L9044">
        <v>6919</v>
      </c>
      <c r="M9044" t="s">
        <v>19962</v>
      </c>
      <c r="N9044" t="s">
        <v>30</v>
      </c>
      <c r="O9044" t="s">
        <v>31</v>
      </c>
      <c r="P9044" t="str">
        <f>"15208"</f>
        <v>15208</v>
      </c>
    </row>
    <row r="9045" spans="1:16" x14ac:dyDescent="0.25">
      <c r="A9045" t="str">
        <f>"1140126F00172    00"</f>
        <v>1140126F00172    00</v>
      </c>
      <c r="B9045" t="s">
        <v>19963</v>
      </c>
      <c r="C9045" t="s">
        <v>19964</v>
      </c>
      <c r="E9045" t="s">
        <v>39</v>
      </c>
      <c r="F9045">
        <v>0</v>
      </c>
      <c r="G9045">
        <v>0</v>
      </c>
      <c r="H9045">
        <v>1</v>
      </c>
      <c r="I9045" s="3">
        <v>4937.5</v>
      </c>
      <c r="J9045" s="3">
        <v>329.16</v>
      </c>
      <c r="K9045" t="s">
        <v>19965</v>
      </c>
      <c r="M9045" t="s">
        <v>19966</v>
      </c>
      <c r="N9045" t="s">
        <v>19967</v>
      </c>
      <c r="O9045" t="s">
        <v>606</v>
      </c>
      <c r="P9045" t="str">
        <f>"30680"</f>
        <v>30680</v>
      </c>
    </row>
    <row r="9046" spans="1:16" x14ac:dyDescent="0.25">
      <c r="A9046" t="str">
        <f>"1140126F00188    00"</f>
        <v>1140126F00188    00</v>
      </c>
      <c r="B9046" t="s">
        <v>8334</v>
      </c>
      <c r="C9046" t="s">
        <v>19968</v>
      </c>
      <c r="D9046" t="s">
        <v>20</v>
      </c>
      <c r="E9046" t="s">
        <v>39</v>
      </c>
      <c r="F9046">
        <v>0</v>
      </c>
      <c r="G9046">
        <v>0</v>
      </c>
      <c r="H9046">
        <v>1</v>
      </c>
      <c r="I9046" s="3">
        <v>9297.4699999999993</v>
      </c>
      <c r="J9046" s="3">
        <v>0</v>
      </c>
      <c r="K9046" t="s">
        <v>19969</v>
      </c>
      <c r="L9046">
        <v>6926</v>
      </c>
      <c r="M9046" t="s">
        <v>19962</v>
      </c>
      <c r="N9046" t="s">
        <v>30</v>
      </c>
      <c r="O9046" t="s">
        <v>31</v>
      </c>
      <c r="P9046" t="str">
        <f>"15208"</f>
        <v>15208</v>
      </c>
    </row>
    <row r="9047" spans="1:16" x14ac:dyDescent="0.25">
      <c r="A9047" t="str">
        <f>"1140126F00224    00"</f>
        <v>1140126F00224    00</v>
      </c>
      <c r="B9047" t="s">
        <v>19970</v>
      </c>
      <c r="C9047" t="s">
        <v>19971</v>
      </c>
      <c r="D9047" t="s">
        <v>20</v>
      </c>
      <c r="E9047" t="s">
        <v>39</v>
      </c>
      <c r="F9047">
        <v>0</v>
      </c>
      <c r="G9047">
        <v>0</v>
      </c>
      <c r="H9047">
        <v>4</v>
      </c>
      <c r="I9047" s="3">
        <v>16053.48</v>
      </c>
      <c r="J9047" s="3">
        <v>1144.02</v>
      </c>
      <c r="L9047">
        <v>6938</v>
      </c>
      <c r="M9047" t="s">
        <v>8098</v>
      </c>
      <c r="N9047" t="s">
        <v>30</v>
      </c>
      <c r="O9047" t="s">
        <v>31</v>
      </c>
      <c r="P9047" t="str">
        <f>"15208"</f>
        <v>15208</v>
      </c>
    </row>
    <row r="9048" spans="1:16" x14ac:dyDescent="0.25">
      <c r="A9048" t="str">
        <f>"1140126F00250    00"</f>
        <v>1140126F00250    00</v>
      </c>
      <c r="B9048" t="s">
        <v>19972</v>
      </c>
      <c r="C9048" t="s">
        <v>19973</v>
      </c>
      <c r="E9048" t="s">
        <v>39</v>
      </c>
      <c r="F9048">
        <v>0</v>
      </c>
      <c r="G9048">
        <v>0</v>
      </c>
      <c r="H9048">
        <v>1</v>
      </c>
      <c r="I9048" s="3">
        <v>5395.38</v>
      </c>
      <c r="J9048" s="3">
        <v>1483.66</v>
      </c>
      <c r="K9048" t="s">
        <v>5607</v>
      </c>
      <c r="L9048">
        <v>3001</v>
      </c>
      <c r="M9048" t="s">
        <v>330</v>
      </c>
      <c r="N9048" t="s">
        <v>331</v>
      </c>
      <c r="O9048" t="s">
        <v>108</v>
      </c>
      <c r="P9048" t="str">
        <f>"75063"</f>
        <v>75063</v>
      </c>
    </row>
    <row r="9049" spans="1:16" x14ac:dyDescent="0.25">
      <c r="A9049" t="str">
        <f>"1140126F00260    00"</f>
        <v>1140126F00260    00</v>
      </c>
      <c r="B9049" t="s">
        <v>19974</v>
      </c>
      <c r="C9049" t="s">
        <v>19975</v>
      </c>
      <c r="E9049" t="s">
        <v>39</v>
      </c>
      <c r="F9049">
        <v>0</v>
      </c>
      <c r="G9049">
        <v>0</v>
      </c>
      <c r="H9049">
        <v>2</v>
      </c>
      <c r="I9049" s="3">
        <v>677.26</v>
      </c>
      <c r="J9049" s="3">
        <v>46.32</v>
      </c>
      <c r="K9049" t="s">
        <v>19976</v>
      </c>
      <c r="M9049" t="s">
        <v>19977</v>
      </c>
      <c r="N9049" t="s">
        <v>19978</v>
      </c>
      <c r="O9049" t="s">
        <v>3486</v>
      </c>
      <c r="P9049" t="str">
        <f>"61032"</f>
        <v>61032</v>
      </c>
    </row>
    <row r="9050" spans="1:16" x14ac:dyDescent="0.25">
      <c r="A9050" t="str">
        <f>"1140126F00317    00"</f>
        <v>1140126F00317    00</v>
      </c>
      <c r="B9050" t="s">
        <v>19979</v>
      </c>
      <c r="C9050" t="s">
        <v>19980</v>
      </c>
      <c r="E9050" t="s">
        <v>39</v>
      </c>
      <c r="F9050">
        <v>0</v>
      </c>
      <c r="G9050">
        <v>0</v>
      </c>
      <c r="H9050">
        <v>1</v>
      </c>
      <c r="I9050" s="3">
        <v>450.24</v>
      </c>
      <c r="J9050" s="3">
        <v>108.81</v>
      </c>
      <c r="K9050" t="s">
        <v>756</v>
      </c>
      <c r="L9050">
        <v>3001</v>
      </c>
      <c r="M9050" t="s">
        <v>330</v>
      </c>
      <c r="N9050" t="s">
        <v>331</v>
      </c>
      <c r="O9050" t="s">
        <v>108</v>
      </c>
      <c r="P9050" t="str">
        <f>"75063"</f>
        <v>75063</v>
      </c>
    </row>
    <row r="9051" spans="1:16" x14ac:dyDescent="0.25">
      <c r="A9051" t="str">
        <f>"1140126G00007    00"</f>
        <v>1140126G00007    00</v>
      </c>
      <c r="B9051" t="s">
        <v>19981</v>
      </c>
      <c r="C9051" t="s">
        <v>19982</v>
      </c>
      <c r="D9051" t="s">
        <v>20</v>
      </c>
      <c r="E9051" t="s">
        <v>39</v>
      </c>
      <c r="F9051">
        <v>0</v>
      </c>
      <c r="G9051">
        <v>0</v>
      </c>
      <c r="H9051">
        <v>1</v>
      </c>
      <c r="I9051" s="3">
        <v>5811.41</v>
      </c>
      <c r="J9051" s="3">
        <v>0</v>
      </c>
      <c r="L9051">
        <v>6944</v>
      </c>
      <c r="M9051" t="s">
        <v>19983</v>
      </c>
      <c r="N9051" t="s">
        <v>30</v>
      </c>
      <c r="O9051" t="s">
        <v>31</v>
      </c>
      <c r="P9051" t="str">
        <f>"15208"</f>
        <v>15208</v>
      </c>
    </row>
    <row r="9052" spans="1:16" x14ac:dyDescent="0.25">
      <c r="A9052" t="str">
        <f>"1140126G00088    00"</f>
        <v>1140126G00088    00</v>
      </c>
      <c r="B9052" t="s">
        <v>19984</v>
      </c>
      <c r="C9052" t="s">
        <v>19985</v>
      </c>
      <c r="D9052" t="s">
        <v>57</v>
      </c>
      <c r="E9052" t="s">
        <v>39</v>
      </c>
      <c r="F9052">
        <v>0</v>
      </c>
      <c r="G9052">
        <v>0</v>
      </c>
      <c r="H9052">
        <v>2</v>
      </c>
      <c r="I9052" s="3">
        <v>941.17</v>
      </c>
      <c r="J9052" s="3">
        <v>3.9</v>
      </c>
      <c r="K9052" t="s">
        <v>19986</v>
      </c>
      <c r="L9052">
        <v>1938</v>
      </c>
      <c r="M9052" t="s">
        <v>19987</v>
      </c>
      <c r="N9052" t="s">
        <v>11414</v>
      </c>
      <c r="O9052" t="s">
        <v>495</v>
      </c>
      <c r="P9052" t="str">
        <f>"95125"</f>
        <v>95125</v>
      </c>
    </row>
    <row r="9053" spans="1:16" x14ac:dyDescent="0.25">
      <c r="A9053" t="str">
        <f>"1140126G00108    00"</f>
        <v>1140126G00108    00</v>
      </c>
      <c r="B9053" t="s">
        <v>6357</v>
      </c>
      <c r="C9053" t="s">
        <v>19988</v>
      </c>
      <c r="E9053" t="s">
        <v>39</v>
      </c>
      <c r="F9053">
        <v>0</v>
      </c>
      <c r="G9053">
        <v>0</v>
      </c>
      <c r="H9053">
        <v>1</v>
      </c>
      <c r="I9053" s="3">
        <v>27.57</v>
      </c>
      <c r="J9053" s="3">
        <v>0</v>
      </c>
      <c r="L9053">
        <v>323</v>
      </c>
      <c r="M9053" t="s">
        <v>6359</v>
      </c>
      <c r="N9053" t="s">
        <v>30</v>
      </c>
      <c r="O9053" t="s">
        <v>31</v>
      </c>
      <c r="P9053" t="str">
        <f>"15208"</f>
        <v>15208</v>
      </c>
    </row>
    <row r="9054" spans="1:16" x14ac:dyDescent="0.25">
      <c r="A9054" t="str">
        <f>"1140126G00194    00"</f>
        <v>1140126G00194    00</v>
      </c>
      <c r="B9054" t="s">
        <v>19989</v>
      </c>
      <c r="C9054" t="s">
        <v>19990</v>
      </c>
      <c r="E9054" t="s">
        <v>39</v>
      </c>
      <c r="F9054">
        <v>0</v>
      </c>
      <c r="G9054">
        <v>0</v>
      </c>
      <c r="H9054">
        <v>1</v>
      </c>
      <c r="I9054" s="3">
        <v>2160.17</v>
      </c>
      <c r="J9054" s="3">
        <v>684.03</v>
      </c>
      <c r="K9054" t="s">
        <v>4992</v>
      </c>
      <c r="L9054">
        <v>18111</v>
      </c>
      <c r="M9054" t="s">
        <v>4993</v>
      </c>
      <c r="N9054" t="s">
        <v>107</v>
      </c>
      <c r="O9054" t="s">
        <v>108</v>
      </c>
      <c r="P9054" t="str">
        <f>"75252"</f>
        <v>75252</v>
      </c>
    </row>
    <row r="9055" spans="1:16" x14ac:dyDescent="0.25">
      <c r="A9055" t="str">
        <f>"1140126G00206    00"</f>
        <v>1140126G00206    00</v>
      </c>
      <c r="B9055" t="s">
        <v>19991</v>
      </c>
      <c r="C9055" t="s">
        <v>19992</v>
      </c>
      <c r="E9055" t="s">
        <v>39</v>
      </c>
      <c r="F9055">
        <v>0</v>
      </c>
      <c r="G9055">
        <v>0</v>
      </c>
      <c r="H9055">
        <v>1</v>
      </c>
      <c r="I9055" s="3">
        <v>4881.51</v>
      </c>
      <c r="J9055" s="3">
        <v>976.26</v>
      </c>
      <c r="K9055" t="s">
        <v>400</v>
      </c>
      <c r="L9055">
        <v>3001</v>
      </c>
      <c r="M9055" t="s">
        <v>330</v>
      </c>
      <c r="N9055" t="s">
        <v>331</v>
      </c>
      <c r="O9055" t="s">
        <v>108</v>
      </c>
      <c r="P9055" t="str">
        <f>"75063"</f>
        <v>75063</v>
      </c>
    </row>
    <row r="9056" spans="1:16" x14ac:dyDescent="0.25">
      <c r="A9056" t="str">
        <f>"1140126G00290    00"</f>
        <v>1140126G00290    00</v>
      </c>
      <c r="B9056" t="s">
        <v>19993</v>
      </c>
      <c r="C9056" t="s">
        <v>19994</v>
      </c>
      <c r="D9056" t="s">
        <v>20</v>
      </c>
      <c r="E9056" t="s">
        <v>39</v>
      </c>
      <c r="F9056">
        <v>0</v>
      </c>
      <c r="G9056">
        <v>0</v>
      </c>
      <c r="H9056">
        <v>1</v>
      </c>
      <c r="I9056" s="3">
        <v>1609.24</v>
      </c>
      <c r="J9056" s="3">
        <v>13.42</v>
      </c>
      <c r="L9056">
        <v>300</v>
      </c>
      <c r="M9056" t="s">
        <v>19995</v>
      </c>
      <c r="N9056" t="s">
        <v>30</v>
      </c>
      <c r="O9056" t="s">
        <v>31</v>
      </c>
      <c r="P9056" t="str">
        <f>"15208"</f>
        <v>15208</v>
      </c>
    </row>
    <row r="9057" spans="1:16" x14ac:dyDescent="0.25">
      <c r="A9057" t="str">
        <f>"1140126G00310    00"</f>
        <v>1140126G00310    00</v>
      </c>
      <c r="B9057" t="s">
        <v>19996</v>
      </c>
      <c r="C9057" t="s">
        <v>19997</v>
      </c>
      <c r="D9057" t="s">
        <v>20</v>
      </c>
      <c r="E9057" t="s">
        <v>39</v>
      </c>
      <c r="F9057">
        <v>0</v>
      </c>
      <c r="G9057">
        <v>0</v>
      </c>
      <c r="H9057">
        <v>2</v>
      </c>
      <c r="I9057" s="3">
        <v>3873.02</v>
      </c>
      <c r="J9057" s="3">
        <v>38.15</v>
      </c>
      <c r="K9057" t="s">
        <v>19998</v>
      </c>
      <c r="L9057">
        <v>305</v>
      </c>
      <c r="M9057" t="s">
        <v>19999</v>
      </c>
      <c r="N9057" t="s">
        <v>30</v>
      </c>
      <c r="O9057" t="s">
        <v>31</v>
      </c>
      <c r="P9057" t="str">
        <f>"15208"</f>
        <v>15208</v>
      </c>
    </row>
    <row r="9058" spans="1:16" x14ac:dyDescent="0.25">
      <c r="A9058" t="str">
        <f>"1140126G00316    00"</f>
        <v>1140126G00316    00</v>
      </c>
      <c r="B9058" t="s">
        <v>20000</v>
      </c>
      <c r="C9058" t="s">
        <v>20001</v>
      </c>
      <c r="D9058" t="s">
        <v>57</v>
      </c>
      <c r="E9058" t="s">
        <v>39</v>
      </c>
      <c r="F9058">
        <v>0</v>
      </c>
      <c r="G9058">
        <v>0</v>
      </c>
      <c r="H9058">
        <v>1</v>
      </c>
      <c r="I9058" s="3">
        <v>3245.67</v>
      </c>
      <c r="J9058" s="3">
        <v>649.11</v>
      </c>
      <c r="K9058" t="s">
        <v>20002</v>
      </c>
      <c r="L9058">
        <v>217</v>
      </c>
      <c r="M9058" t="s">
        <v>19999</v>
      </c>
      <c r="N9058" t="s">
        <v>30</v>
      </c>
      <c r="O9058" t="s">
        <v>31</v>
      </c>
      <c r="P9058" t="str">
        <f>"15208"</f>
        <v>15208</v>
      </c>
    </row>
    <row r="9059" spans="1:16" x14ac:dyDescent="0.25">
      <c r="A9059" t="str">
        <f>"1140126H00062    00"</f>
        <v>1140126H00062    00</v>
      </c>
      <c r="B9059" t="s">
        <v>20003</v>
      </c>
      <c r="C9059" t="s">
        <v>20004</v>
      </c>
      <c r="E9059" t="s">
        <v>21</v>
      </c>
      <c r="F9059">
        <v>0</v>
      </c>
      <c r="G9059">
        <v>0</v>
      </c>
      <c r="H9059">
        <v>1</v>
      </c>
      <c r="I9059" s="3">
        <v>5721.34</v>
      </c>
      <c r="J9059" s="3">
        <v>0</v>
      </c>
      <c r="M9059" t="s">
        <v>20005</v>
      </c>
      <c r="N9059" t="s">
        <v>30</v>
      </c>
      <c r="O9059" t="s">
        <v>31</v>
      </c>
      <c r="P9059" t="str">
        <f>"15206"</f>
        <v>15206</v>
      </c>
    </row>
    <row r="9060" spans="1:16" x14ac:dyDescent="0.25">
      <c r="A9060" t="str">
        <f>"1140126H00130    00"</f>
        <v>1140126H00130    00</v>
      </c>
      <c r="B9060" t="s">
        <v>20006</v>
      </c>
      <c r="C9060" t="s">
        <v>20007</v>
      </c>
      <c r="E9060" t="s">
        <v>39</v>
      </c>
      <c r="F9060">
        <v>0</v>
      </c>
      <c r="G9060">
        <v>0</v>
      </c>
      <c r="H9060">
        <v>1</v>
      </c>
      <c r="I9060" s="3">
        <v>2728.04</v>
      </c>
      <c r="J9060" s="3">
        <v>568.32000000000005</v>
      </c>
      <c r="K9060" t="s">
        <v>881</v>
      </c>
      <c r="L9060">
        <v>3001</v>
      </c>
      <c r="M9060" t="s">
        <v>330</v>
      </c>
      <c r="N9060" t="s">
        <v>331</v>
      </c>
      <c r="O9060" t="s">
        <v>108</v>
      </c>
      <c r="P9060" t="str">
        <f>"75063"</f>
        <v>75063</v>
      </c>
    </row>
    <row r="9061" spans="1:16" x14ac:dyDescent="0.25">
      <c r="A9061" t="str">
        <f>"1140126H00151    00"</f>
        <v>1140126H00151    00</v>
      </c>
      <c r="B9061" t="s">
        <v>20008</v>
      </c>
      <c r="C9061" t="s">
        <v>20009</v>
      </c>
      <c r="D9061" t="s">
        <v>20</v>
      </c>
      <c r="E9061" t="s">
        <v>39</v>
      </c>
      <c r="F9061">
        <v>0</v>
      </c>
      <c r="G9061">
        <v>0</v>
      </c>
      <c r="H9061">
        <v>2</v>
      </c>
      <c r="I9061" s="3">
        <v>2685.16</v>
      </c>
      <c r="J9061" s="3">
        <v>0</v>
      </c>
      <c r="K9061" t="s">
        <v>4947</v>
      </c>
      <c r="L9061">
        <v>3001</v>
      </c>
      <c r="M9061" t="s">
        <v>330</v>
      </c>
      <c r="N9061" t="s">
        <v>331</v>
      </c>
      <c r="O9061" t="s">
        <v>108</v>
      </c>
      <c r="P9061" t="str">
        <f>"75063"</f>
        <v>75063</v>
      </c>
    </row>
    <row r="9062" spans="1:16" x14ac:dyDescent="0.25">
      <c r="A9062" t="str">
        <f>"1140126H00215    00"</f>
        <v>1140126H00215    00</v>
      </c>
      <c r="B9062" t="s">
        <v>20010</v>
      </c>
      <c r="C9062" t="s">
        <v>20011</v>
      </c>
      <c r="D9062" t="s">
        <v>20</v>
      </c>
      <c r="E9062" t="s">
        <v>39</v>
      </c>
      <c r="F9062">
        <v>0</v>
      </c>
      <c r="G9062">
        <v>0</v>
      </c>
      <c r="H9062">
        <v>2</v>
      </c>
      <c r="I9062" s="3">
        <v>8309.11</v>
      </c>
      <c r="J9062" s="3">
        <v>0</v>
      </c>
      <c r="K9062" t="s">
        <v>20012</v>
      </c>
      <c r="L9062">
        <v>115</v>
      </c>
      <c r="M9062" t="s">
        <v>20013</v>
      </c>
      <c r="N9062" t="s">
        <v>30</v>
      </c>
      <c r="O9062" t="s">
        <v>31</v>
      </c>
      <c r="P9062" t="str">
        <f>"15208"</f>
        <v>15208</v>
      </c>
    </row>
    <row r="9063" spans="1:16" x14ac:dyDescent="0.25">
      <c r="A9063" t="str">
        <f>"1140126H00266    00"</f>
        <v>1140126H00266    00</v>
      </c>
      <c r="B9063" t="s">
        <v>20014</v>
      </c>
      <c r="C9063" t="s">
        <v>20015</v>
      </c>
      <c r="D9063" t="s">
        <v>20</v>
      </c>
      <c r="E9063" t="s">
        <v>39</v>
      </c>
      <c r="F9063">
        <v>0</v>
      </c>
      <c r="G9063">
        <v>0</v>
      </c>
      <c r="H9063">
        <v>2</v>
      </c>
      <c r="I9063" s="3">
        <v>10170.459999999999</v>
      </c>
      <c r="J9063" s="3">
        <v>0</v>
      </c>
      <c r="K9063" t="s">
        <v>20016</v>
      </c>
      <c r="L9063">
        <v>413</v>
      </c>
      <c r="M9063" t="s">
        <v>1481</v>
      </c>
      <c r="N9063" t="s">
        <v>30</v>
      </c>
      <c r="O9063" t="s">
        <v>31</v>
      </c>
      <c r="P9063" t="str">
        <f>"15213"</f>
        <v>15213</v>
      </c>
    </row>
    <row r="9064" spans="1:16" x14ac:dyDescent="0.25">
      <c r="A9064" t="str">
        <f>"1140126H00271    00"</f>
        <v>1140126H00271    00</v>
      </c>
      <c r="B9064" t="s">
        <v>4067</v>
      </c>
      <c r="C9064" t="s">
        <v>20017</v>
      </c>
      <c r="D9064" t="s">
        <v>20</v>
      </c>
      <c r="E9064" t="s">
        <v>39</v>
      </c>
      <c r="F9064">
        <v>0</v>
      </c>
      <c r="G9064">
        <v>0</v>
      </c>
      <c r="H9064">
        <v>13</v>
      </c>
      <c r="I9064" s="3">
        <v>15723.6</v>
      </c>
      <c r="J9064" s="3">
        <v>8352.3799999999992</v>
      </c>
      <c r="L9064">
        <v>536</v>
      </c>
      <c r="M9064" t="s">
        <v>4069</v>
      </c>
      <c r="N9064" t="s">
        <v>30</v>
      </c>
      <c r="O9064" t="s">
        <v>31</v>
      </c>
      <c r="P9064" t="str">
        <f>"15208"</f>
        <v>15208</v>
      </c>
    </row>
    <row r="9065" spans="1:16" x14ac:dyDescent="0.25">
      <c r="A9065" t="str">
        <f>"1140126H00288    00"</f>
        <v>1140126H00288    00</v>
      </c>
      <c r="B9065" t="s">
        <v>20018</v>
      </c>
      <c r="C9065" t="s">
        <v>20019</v>
      </c>
      <c r="E9065" t="s">
        <v>39</v>
      </c>
      <c r="F9065">
        <v>0</v>
      </c>
      <c r="G9065">
        <v>0</v>
      </c>
      <c r="H9065">
        <v>2</v>
      </c>
      <c r="I9065" s="3">
        <v>1881.08</v>
      </c>
      <c r="J9065" s="3">
        <v>1.51</v>
      </c>
      <c r="K9065" t="s">
        <v>20020</v>
      </c>
      <c r="L9065">
        <v>200</v>
      </c>
      <c r="M9065" t="s">
        <v>11623</v>
      </c>
      <c r="N9065" t="s">
        <v>30</v>
      </c>
      <c r="O9065" t="s">
        <v>31</v>
      </c>
      <c r="P9065" t="str">
        <f>"15208"</f>
        <v>15208</v>
      </c>
    </row>
    <row r="9066" spans="1:16" x14ac:dyDescent="0.25">
      <c r="A9066" t="str">
        <f>"1140126J00022    00"</f>
        <v>1140126J00022    00</v>
      </c>
      <c r="B9066" t="s">
        <v>20021</v>
      </c>
      <c r="C9066" t="s">
        <v>20022</v>
      </c>
      <c r="E9066" t="s">
        <v>39</v>
      </c>
      <c r="F9066">
        <v>0</v>
      </c>
      <c r="G9066">
        <v>0</v>
      </c>
      <c r="H9066">
        <v>2</v>
      </c>
      <c r="I9066" s="3">
        <v>9210.94</v>
      </c>
      <c r="J9066" s="3">
        <v>2802</v>
      </c>
      <c r="K9066" t="s">
        <v>5432</v>
      </c>
      <c r="L9066">
        <v>3001</v>
      </c>
      <c r="M9066" t="s">
        <v>330</v>
      </c>
      <c r="N9066" t="s">
        <v>331</v>
      </c>
      <c r="O9066" t="s">
        <v>108</v>
      </c>
      <c r="P9066" t="str">
        <f>"75063"</f>
        <v>75063</v>
      </c>
    </row>
    <row r="9067" spans="1:16" x14ac:dyDescent="0.25">
      <c r="A9067" t="str">
        <f>"1140126J00048    00"</f>
        <v>1140126J00048    00</v>
      </c>
      <c r="B9067" t="s">
        <v>20023</v>
      </c>
      <c r="C9067" t="s">
        <v>20024</v>
      </c>
      <c r="E9067" t="s">
        <v>39</v>
      </c>
      <c r="F9067">
        <v>0</v>
      </c>
      <c r="G9067">
        <v>0</v>
      </c>
      <c r="H9067">
        <v>1</v>
      </c>
      <c r="I9067" s="3">
        <v>4426.22</v>
      </c>
      <c r="J9067" s="3">
        <v>1401.58</v>
      </c>
      <c r="L9067">
        <v>6801</v>
      </c>
      <c r="M9067" t="s">
        <v>20025</v>
      </c>
      <c r="N9067" t="s">
        <v>30</v>
      </c>
      <c r="O9067" t="s">
        <v>31</v>
      </c>
      <c r="P9067" t="str">
        <f>"15208"</f>
        <v>15208</v>
      </c>
    </row>
    <row r="9068" spans="1:16" x14ac:dyDescent="0.25">
      <c r="A9068" t="str">
        <f>"1140126J00058    00"</f>
        <v>1140126J00058    00</v>
      </c>
      <c r="B9068" t="s">
        <v>20026</v>
      </c>
      <c r="C9068" t="s">
        <v>20027</v>
      </c>
      <c r="D9068" t="s">
        <v>20</v>
      </c>
      <c r="E9068" t="s">
        <v>39</v>
      </c>
      <c r="F9068">
        <v>0</v>
      </c>
      <c r="G9068">
        <v>0</v>
      </c>
      <c r="H9068">
        <v>8</v>
      </c>
      <c r="I9068" s="3">
        <v>27860.09</v>
      </c>
      <c r="J9068" s="3">
        <v>7502.06</v>
      </c>
      <c r="L9068">
        <v>6808</v>
      </c>
      <c r="M9068" t="s">
        <v>20025</v>
      </c>
      <c r="N9068" t="s">
        <v>30</v>
      </c>
      <c r="O9068" t="s">
        <v>31</v>
      </c>
      <c r="P9068" t="str">
        <f>"15208"</f>
        <v>15208</v>
      </c>
    </row>
    <row r="9069" spans="1:16" x14ac:dyDescent="0.25">
      <c r="A9069" t="str">
        <f>"1140126J00067    00"</f>
        <v>1140126J00067    00</v>
      </c>
      <c r="B9069" t="s">
        <v>20028</v>
      </c>
      <c r="C9069" t="s">
        <v>20029</v>
      </c>
      <c r="E9069" t="s">
        <v>39</v>
      </c>
      <c r="F9069">
        <v>0</v>
      </c>
      <c r="G9069">
        <v>0</v>
      </c>
      <c r="H9069">
        <v>2</v>
      </c>
      <c r="I9069" s="3">
        <v>9984.6299999999992</v>
      </c>
      <c r="J9069" s="3">
        <v>8694.0300000000007</v>
      </c>
      <c r="K9069" t="s">
        <v>8725</v>
      </c>
      <c r="L9069">
        <v>15301</v>
      </c>
      <c r="M9069" t="s">
        <v>8726</v>
      </c>
      <c r="N9069" t="s">
        <v>8727</v>
      </c>
      <c r="O9069" t="s">
        <v>108</v>
      </c>
      <c r="P9069" t="str">
        <f>"75001"</f>
        <v>75001</v>
      </c>
    </row>
    <row r="9070" spans="1:16" x14ac:dyDescent="0.25">
      <c r="A9070" t="str">
        <f>"1140126J00069    00"</f>
        <v>1140126J00069    00</v>
      </c>
      <c r="B9070" t="s">
        <v>20030</v>
      </c>
      <c r="C9070" t="s">
        <v>20031</v>
      </c>
      <c r="E9070" t="s">
        <v>39</v>
      </c>
      <c r="F9070">
        <v>0</v>
      </c>
      <c r="G9070">
        <v>0</v>
      </c>
      <c r="H9070">
        <v>1</v>
      </c>
      <c r="I9070" s="3">
        <v>2771.86</v>
      </c>
      <c r="J9070" s="3">
        <v>877.73</v>
      </c>
      <c r="K9070" t="s">
        <v>5334</v>
      </c>
      <c r="L9070">
        <v>3001</v>
      </c>
      <c r="M9070" t="s">
        <v>330</v>
      </c>
      <c r="N9070" t="s">
        <v>331</v>
      </c>
      <c r="O9070" t="s">
        <v>108</v>
      </c>
      <c r="P9070" t="str">
        <f>"75063"</f>
        <v>75063</v>
      </c>
    </row>
    <row r="9071" spans="1:16" x14ac:dyDescent="0.25">
      <c r="A9071" t="str">
        <f>"1140126J00150    00"</f>
        <v>1140126J00150    00</v>
      </c>
      <c r="B9071" t="s">
        <v>20032</v>
      </c>
      <c r="C9071" t="s">
        <v>20033</v>
      </c>
      <c r="D9071" t="s">
        <v>20</v>
      </c>
      <c r="E9071" t="s">
        <v>39</v>
      </c>
      <c r="F9071">
        <v>0</v>
      </c>
      <c r="G9071">
        <v>0</v>
      </c>
      <c r="H9071">
        <v>3</v>
      </c>
      <c r="I9071" s="3">
        <v>5567.45</v>
      </c>
      <c r="J9071" s="3">
        <v>107.41</v>
      </c>
      <c r="K9071" t="s">
        <v>5692</v>
      </c>
      <c r="M9071" t="s">
        <v>9980</v>
      </c>
      <c r="N9071" t="s">
        <v>9967</v>
      </c>
      <c r="O9071" t="s">
        <v>692</v>
      </c>
      <c r="P9071" t="str">
        <f>"23058"</f>
        <v>23058</v>
      </c>
    </row>
    <row r="9072" spans="1:16" x14ac:dyDescent="0.25">
      <c r="A9072" t="str">
        <f>"1140126J00198    00"</f>
        <v>1140126J00198    00</v>
      </c>
      <c r="B9072" t="s">
        <v>20034</v>
      </c>
      <c r="C9072" t="s">
        <v>20035</v>
      </c>
      <c r="D9072" t="s">
        <v>20</v>
      </c>
      <c r="E9072" t="s">
        <v>39</v>
      </c>
      <c r="F9072">
        <v>0</v>
      </c>
      <c r="G9072">
        <v>0</v>
      </c>
      <c r="H9072">
        <v>2</v>
      </c>
      <c r="I9072" s="3">
        <v>5360.81</v>
      </c>
      <c r="J9072" s="3">
        <v>29.04</v>
      </c>
      <c r="K9072" t="s">
        <v>1502</v>
      </c>
      <c r="L9072">
        <v>901</v>
      </c>
      <c r="M9072" t="s">
        <v>1503</v>
      </c>
      <c r="N9072" t="s">
        <v>494</v>
      </c>
      <c r="O9072" t="s">
        <v>495</v>
      </c>
      <c r="P9072" t="str">
        <f>"91768"</f>
        <v>91768</v>
      </c>
    </row>
    <row r="9073" spans="1:16" x14ac:dyDescent="0.25">
      <c r="A9073" t="str">
        <f>"1140126J00277    00"</f>
        <v>1140126J00277    00</v>
      </c>
      <c r="B9073" t="s">
        <v>20036</v>
      </c>
      <c r="C9073" t="s">
        <v>20037</v>
      </c>
      <c r="E9073" t="s">
        <v>39</v>
      </c>
      <c r="F9073">
        <v>0</v>
      </c>
      <c r="G9073">
        <v>0</v>
      </c>
      <c r="H9073">
        <v>1</v>
      </c>
      <c r="I9073" s="3">
        <v>23.05</v>
      </c>
      <c r="J9073" s="3">
        <v>0</v>
      </c>
      <c r="L9073">
        <v>620</v>
      </c>
      <c r="M9073" t="s">
        <v>20038</v>
      </c>
      <c r="N9073" t="s">
        <v>30</v>
      </c>
      <c r="O9073" t="s">
        <v>31</v>
      </c>
      <c r="P9073" t="str">
        <f>"15217"</f>
        <v>15217</v>
      </c>
    </row>
    <row r="9074" spans="1:16" x14ac:dyDescent="0.25">
      <c r="A9074" t="str">
        <f>"1140126J00289    00"</f>
        <v>1140126J00289    00</v>
      </c>
      <c r="B9074" t="s">
        <v>20039</v>
      </c>
      <c r="C9074" t="s">
        <v>20040</v>
      </c>
      <c r="E9074" t="s">
        <v>39</v>
      </c>
      <c r="F9074">
        <v>0</v>
      </c>
      <c r="G9074">
        <v>0</v>
      </c>
      <c r="H9074">
        <v>1</v>
      </c>
      <c r="I9074" s="3">
        <v>2062.29</v>
      </c>
      <c r="J9074" s="3">
        <v>206.22</v>
      </c>
      <c r="K9074" t="s">
        <v>391</v>
      </c>
      <c r="L9074">
        <v>1</v>
      </c>
      <c r="M9074" t="s">
        <v>392</v>
      </c>
      <c r="N9074" t="s">
        <v>393</v>
      </c>
      <c r="O9074" t="s">
        <v>394</v>
      </c>
      <c r="P9074" t="str">
        <f>"50328"</f>
        <v>50328</v>
      </c>
    </row>
    <row r="9075" spans="1:16" x14ac:dyDescent="0.25">
      <c r="A9075" t="str">
        <f>"1140126J00297    00"</f>
        <v>1140126J00297    00</v>
      </c>
      <c r="B9075" t="s">
        <v>20041</v>
      </c>
      <c r="C9075" t="s">
        <v>20042</v>
      </c>
      <c r="D9075" t="s">
        <v>20</v>
      </c>
      <c r="E9075" t="s">
        <v>39</v>
      </c>
      <c r="F9075">
        <v>0</v>
      </c>
      <c r="G9075">
        <v>0</v>
      </c>
      <c r="H9075">
        <v>3</v>
      </c>
      <c r="I9075" s="3">
        <v>4065.54</v>
      </c>
      <c r="J9075" s="3">
        <v>90.34</v>
      </c>
      <c r="K9075" t="s">
        <v>563</v>
      </c>
      <c r="L9075">
        <v>3001</v>
      </c>
      <c r="M9075" t="s">
        <v>330</v>
      </c>
      <c r="N9075" t="s">
        <v>331</v>
      </c>
      <c r="O9075" t="s">
        <v>108</v>
      </c>
      <c r="P9075" t="str">
        <f>"75063"</f>
        <v>75063</v>
      </c>
    </row>
    <row r="9076" spans="1:16" x14ac:dyDescent="0.25">
      <c r="A9076" t="str">
        <f>"1140126J00313    00"</f>
        <v>1140126J00313    00</v>
      </c>
      <c r="B9076" t="s">
        <v>20043</v>
      </c>
      <c r="C9076" t="s">
        <v>20044</v>
      </c>
      <c r="E9076" t="s">
        <v>39</v>
      </c>
      <c r="F9076">
        <v>0</v>
      </c>
      <c r="G9076">
        <v>0</v>
      </c>
      <c r="H9076">
        <v>1</v>
      </c>
      <c r="I9076" s="3">
        <v>1401.18</v>
      </c>
      <c r="J9076" s="3">
        <v>969.11</v>
      </c>
      <c r="K9076" t="s">
        <v>20045</v>
      </c>
      <c r="L9076">
        <v>1901</v>
      </c>
      <c r="M9076" t="s">
        <v>5016</v>
      </c>
      <c r="N9076" t="s">
        <v>5017</v>
      </c>
      <c r="O9076" t="s">
        <v>3486</v>
      </c>
      <c r="P9076" t="str">
        <f>"61834"</f>
        <v>61834</v>
      </c>
    </row>
    <row r="9077" spans="1:16" x14ac:dyDescent="0.25">
      <c r="A9077" t="str">
        <f>"1140126K00027    00"</f>
        <v>1140126K00027    00</v>
      </c>
      <c r="B9077" t="s">
        <v>20046</v>
      </c>
      <c r="C9077" t="s">
        <v>20047</v>
      </c>
      <c r="E9077" t="s">
        <v>39</v>
      </c>
      <c r="F9077">
        <v>0</v>
      </c>
      <c r="G9077">
        <v>0</v>
      </c>
      <c r="H9077">
        <v>2</v>
      </c>
      <c r="I9077" s="3">
        <v>2817.08</v>
      </c>
      <c r="J9077" s="3">
        <v>93.9</v>
      </c>
      <c r="K9077" t="s">
        <v>20048</v>
      </c>
      <c r="L9077">
        <v>450</v>
      </c>
      <c r="M9077" t="s">
        <v>19806</v>
      </c>
      <c r="N9077" t="s">
        <v>30</v>
      </c>
      <c r="O9077" t="s">
        <v>31</v>
      </c>
      <c r="P9077" t="str">
        <f>"15208"</f>
        <v>15208</v>
      </c>
    </row>
    <row r="9078" spans="1:16" x14ac:dyDescent="0.25">
      <c r="A9078" t="str">
        <f>"1140126K00243    00"</f>
        <v>1140126K00243    00</v>
      </c>
      <c r="B9078" t="s">
        <v>20049</v>
      </c>
      <c r="C9078" t="s">
        <v>20050</v>
      </c>
      <c r="D9078" t="s">
        <v>20</v>
      </c>
      <c r="E9078" t="s">
        <v>39</v>
      </c>
      <c r="F9078">
        <v>0</v>
      </c>
      <c r="G9078">
        <v>0</v>
      </c>
      <c r="H9078">
        <v>2</v>
      </c>
      <c r="I9078" s="3">
        <v>6060.91</v>
      </c>
      <c r="J9078" s="3">
        <v>0</v>
      </c>
      <c r="L9078">
        <v>528</v>
      </c>
      <c r="M9078" t="s">
        <v>6359</v>
      </c>
      <c r="N9078" t="s">
        <v>30</v>
      </c>
      <c r="O9078" t="s">
        <v>31</v>
      </c>
      <c r="P9078" t="str">
        <f>"15208"</f>
        <v>15208</v>
      </c>
    </row>
    <row r="9079" spans="1:16" x14ac:dyDescent="0.25">
      <c r="A9079" t="str">
        <f>"1140126L00014    00"</f>
        <v>1140126L00014    00</v>
      </c>
      <c r="B9079" t="s">
        <v>20051</v>
      </c>
      <c r="C9079" t="s">
        <v>20052</v>
      </c>
      <c r="D9079" t="s">
        <v>20</v>
      </c>
      <c r="E9079" t="s">
        <v>39</v>
      </c>
      <c r="F9079">
        <v>0</v>
      </c>
      <c r="G9079">
        <v>0</v>
      </c>
      <c r="H9079">
        <v>5</v>
      </c>
      <c r="I9079" s="3">
        <v>14305.92</v>
      </c>
      <c r="J9079" s="3">
        <v>1513.79</v>
      </c>
      <c r="L9079">
        <v>6949</v>
      </c>
      <c r="M9079" t="s">
        <v>19983</v>
      </c>
      <c r="N9079" t="s">
        <v>30</v>
      </c>
      <c r="O9079" t="s">
        <v>31</v>
      </c>
      <c r="P9079" t="str">
        <f>"15208"</f>
        <v>15208</v>
      </c>
    </row>
    <row r="9080" spans="1:16" x14ac:dyDescent="0.25">
      <c r="A9080" t="str">
        <f>"1140126L00016    00"</f>
        <v>1140126L00016    00</v>
      </c>
      <c r="B9080" t="s">
        <v>20053</v>
      </c>
      <c r="C9080" t="s">
        <v>20054</v>
      </c>
      <c r="D9080" t="s">
        <v>20</v>
      </c>
      <c r="E9080" t="s">
        <v>39</v>
      </c>
      <c r="F9080">
        <v>0</v>
      </c>
      <c r="G9080">
        <v>0</v>
      </c>
      <c r="H9080">
        <v>5</v>
      </c>
      <c r="I9080" s="3">
        <v>5194.28</v>
      </c>
      <c r="J9080" s="3">
        <v>741.63</v>
      </c>
      <c r="L9080">
        <v>1612</v>
      </c>
      <c r="M9080" t="s">
        <v>13023</v>
      </c>
      <c r="N9080" t="s">
        <v>636</v>
      </c>
      <c r="O9080" t="s">
        <v>31</v>
      </c>
      <c r="P9080" t="str">
        <f>"15104"</f>
        <v>15104</v>
      </c>
    </row>
    <row r="9081" spans="1:16" x14ac:dyDescent="0.25">
      <c r="A9081" t="str">
        <f>"1140126L00077    00"</f>
        <v>1140126L00077    00</v>
      </c>
      <c r="B9081" t="s">
        <v>20055</v>
      </c>
      <c r="C9081" t="s">
        <v>20056</v>
      </c>
      <c r="D9081" t="s">
        <v>20</v>
      </c>
      <c r="E9081" t="s">
        <v>39</v>
      </c>
      <c r="F9081">
        <v>0</v>
      </c>
      <c r="G9081">
        <v>0</v>
      </c>
      <c r="H9081">
        <v>1</v>
      </c>
      <c r="I9081" s="3">
        <v>89.18</v>
      </c>
      <c r="J9081" s="3">
        <v>0</v>
      </c>
      <c r="K9081" t="s">
        <v>329</v>
      </c>
      <c r="L9081">
        <v>3001</v>
      </c>
      <c r="M9081" t="s">
        <v>330</v>
      </c>
      <c r="N9081" t="s">
        <v>331</v>
      </c>
      <c r="O9081" t="s">
        <v>108</v>
      </c>
      <c r="P9081" t="str">
        <f>"75063"</f>
        <v>75063</v>
      </c>
    </row>
    <row r="9082" spans="1:16" x14ac:dyDescent="0.25">
      <c r="A9082" t="str">
        <f>"1140126L00087    00"</f>
        <v>1140126L00087    00</v>
      </c>
      <c r="B9082" t="s">
        <v>20057</v>
      </c>
      <c r="C9082" t="s">
        <v>20058</v>
      </c>
      <c r="D9082" t="s">
        <v>20</v>
      </c>
      <c r="E9082" t="s">
        <v>39</v>
      </c>
      <c r="F9082">
        <v>0</v>
      </c>
      <c r="G9082">
        <v>0</v>
      </c>
      <c r="H9082">
        <v>1</v>
      </c>
      <c r="I9082" s="3">
        <v>1000</v>
      </c>
      <c r="J9082" s="3">
        <v>0</v>
      </c>
      <c r="K9082" t="s">
        <v>20059</v>
      </c>
      <c r="L9082">
        <v>7149</v>
      </c>
      <c r="M9082" t="s">
        <v>20060</v>
      </c>
      <c r="N9082" t="s">
        <v>30</v>
      </c>
      <c r="O9082" t="s">
        <v>31</v>
      </c>
      <c r="P9082" t="str">
        <f>"15208"</f>
        <v>15208</v>
      </c>
    </row>
    <row r="9083" spans="1:16" x14ac:dyDescent="0.25">
      <c r="A9083" t="str">
        <f>"1140126L00179    00"</f>
        <v>1140126L00179    00</v>
      </c>
      <c r="B9083" t="s">
        <v>20061</v>
      </c>
      <c r="C9083" t="s">
        <v>20062</v>
      </c>
      <c r="D9083" t="s">
        <v>20</v>
      </c>
      <c r="E9083" t="s">
        <v>39</v>
      </c>
      <c r="F9083">
        <v>0</v>
      </c>
      <c r="G9083">
        <v>0</v>
      </c>
      <c r="H9083">
        <v>5</v>
      </c>
      <c r="I9083" s="3">
        <v>16097.52</v>
      </c>
      <c r="J9083" s="3">
        <v>2397.63</v>
      </c>
      <c r="K9083" t="s">
        <v>20063</v>
      </c>
      <c r="L9083">
        <v>408</v>
      </c>
      <c r="M9083" t="s">
        <v>19999</v>
      </c>
      <c r="N9083" t="s">
        <v>30</v>
      </c>
      <c r="O9083" t="s">
        <v>31</v>
      </c>
      <c r="P9083" t="str">
        <f>"15208"</f>
        <v>15208</v>
      </c>
    </row>
    <row r="9084" spans="1:16" x14ac:dyDescent="0.25">
      <c r="A9084" t="str">
        <f>"1140126L00193    00"</f>
        <v>1140126L00193    00</v>
      </c>
      <c r="B9084" t="s">
        <v>20064</v>
      </c>
      <c r="C9084" t="s">
        <v>20065</v>
      </c>
      <c r="D9084" t="s">
        <v>57</v>
      </c>
      <c r="E9084" t="s">
        <v>39</v>
      </c>
      <c r="F9084">
        <v>0</v>
      </c>
      <c r="G9084">
        <v>0</v>
      </c>
      <c r="H9084">
        <v>1</v>
      </c>
      <c r="I9084" s="3">
        <v>1074.2</v>
      </c>
      <c r="J9084" s="3">
        <v>0</v>
      </c>
      <c r="K9084" t="s">
        <v>710</v>
      </c>
      <c r="L9084">
        <v>4140</v>
      </c>
      <c r="M9084" t="s">
        <v>711</v>
      </c>
      <c r="N9084" t="s">
        <v>712</v>
      </c>
      <c r="O9084" t="s">
        <v>31</v>
      </c>
      <c r="P9084" t="str">
        <f>"16148"</f>
        <v>16148</v>
      </c>
    </row>
    <row r="9085" spans="1:16" x14ac:dyDescent="0.25">
      <c r="A9085" t="str">
        <f>"1140126L00200    00"</f>
        <v>1140126L00200    00</v>
      </c>
      <c r="B9085" t="s">
        <v>20066</v>
      </c>
      <c r="C9085" t="s">
        <v>20067</v>
      </c>
      <c r="E9085" t="s">
        <v>39</v>
      </c>
      <c r="F9085">
        <v>0</v>
      </c>
      <c r="G9085">
        <v>0</v>
      </c>
      <c r="H9085">
        <v>1</v>
      </c>
      <c r="I9085" s="3">
        <v>1785.96</v>
      </c>
      <c r="J9085" s="3">
        <v>1145.95</v>
      </c>
      <c r="K9085" t="s">
        <v>391</v>
      </c>
      <c r="L9085">
        <v>1</v>
      </c>
      <c r="M9085" t="s">
        <v>392</v>
      </c>
      <c r="N9085" t="s">
        <v>393</v>
      </c>
      <c r="O9085" t="s">
        <v>394</v>
      </c>
      <c r="P9085" t="str">
        <f>"50328"</f>
        <v>50328</v>
      </c>
    </row>
    <row r="9086" spans="1:16" x14ac:dyDescent="0.25">
      <c r="A9086" t="str">
        <f>"1140126L00250    00"</f>
        <v>1140126L00250    00</v>
      </c>
      <c r="B9086" t="s">
        <v>20068</v>
      </c>
      <c r="C9086" t="s">
        <v>20069</v>
      </c>
      <c r="E9086" t="s">
        <v>39</v>
      </c>
      <c r="F9086">
        <v>0</v>
      </c>
      <c r="G9086">
        <v>0</v>
      </c>
      <c r="H9086">
        <v>1</v>
      </c>
      <c r="I9086" s="3">
        <v>22.18</v>
      </c>
      <c r="J9086" s="3">
        <v>2.2200000000000002</v>
      </c>
      <c r="K9086" t="s">
        <v>5909</v>
      </c>
      <c r="L9086">
        <v>145</v>
      </c>
      <c r="M9086" t="s">
        <v>5910</v>
      </c>
      <c r="N9086" t="s">
        <v>1928</v>
      </c>
      <c r="O9086" t="s">
        <v>31</v>
      </c>
      <c r="P9086" t="str">
        <f>"15317"</f>
        <v>15317</v>
      </c>
    </row>
    <row r="9087" spans="1:16" x14ac:dyDescent="0.25">
      <c r="A9087" t="str">
        <f>"1140126L00261    00"</f>
        <v>1140126L00261    00</v>
      </c>
      <c r="B9087" t="s">
        <v>20070</v>
      </c>
      <c r="C9087" t="s">
        <v>20071</v>
      </c>
      <c r="D9087" t="s">
        <v>20</v>
      </c>
      <c r="E9087" t="s">
        <v>39</v>
      </c>
      <c r="F9087">
        <v>0</v>
      </c>
      <c r="G9087">
        <v>0</v>
      </c>
      <c r="H9087">
        <v>1</v>
      </c>
      <c r="I9087" s="3">
        <v>1595.78</v>
      </c>
      <c r="J9087" s="3">
        <v>0</v>
      </c>
      <c r="K9087" t="s">
        <v>7017</v>
      </c>
      <c r="L9087">
        <v>428</v>
      </c>
      <c r="M9087" t="s">
        <v>7018</v>
      </c>
      <c r="N9087" t="s">
        <v>5847</v>
      </c>
      <c r="O9087" t="s">
        <v>31</v>
      </c>
      <c r="P9087" t="str">
        <f>"15139"</f>
        <v>15139</v>
      </c>
    </row>
    <row r="9088" spans="1:16" x14ac:dyDescent="0.25">
      <c r="A9088" t="str">
        <f>"1140126L00282    00"</f>
        <v>1140126L00282    00</v>
      </c>
      <c r="B9088" t="s">
        <v>20072</v>
      </c>
      <c r="C9088" t="s">
        <v>20073</v>
      </c>
      <c r="D9088" t="s">
        <v>20</v>
      </c>
      <c r="E9088" t="s">
        <v>39</v>
      </c>
      <c r="F9088">
        <v>0</v>
      </c>
      <c r="G9088">
        <v>0</v>
      </c>
      <c r="H9088">
        <v>1</v>
      </c>
      <c r="I9088" s="3">
        <v>1649.92</v>
      </c>
      <c r="J9088" s="3">
        <v>0</v>
      </c>
      <c r="K9088" t="s">
        <v>4992</v>
      </c>
      <c r="L9088">
        <v>18111</v>
      </c>
      <c r="M9088" t="s">
        <v>4993</v>
      </c>
      <c r="N9088" t="s">
        <v>107</v>
      </c>
      <c r="O9088" t="s">
        <v>108</v>
      </c>
      <c r="P9088" t="str">
        <f>"75252"</f>
        <v>75252</v>
      </c>
    </row>
    <row r="9089" spans="1:16" x14ac:dyDescent="0.25">
      <c r="A9089" t="str">
        <f>"1140126L00295    00"</f>
        <v>1140126L00295    00</v>
      </c>
      <c r="B9089" t="s">
        <v>20074</v>
      </c>
      <c r="C9089" t="s">
        <v>20075</v>
      </c>
      <c r="D9089" t="s">
        <v>20</v>
      </c>
      <c r="E9089" t="s">
        <v>39</v>
      </c>
      <c r="F9089">
        <v>0</v>
      </c>
      <c r="G9089">
        <v>0</v>
      </c>
      <c r="H9089">
        <v>1</v>
      </c>
      <c r="I9089" s="3">
        <v>2220.5</v>
      </c>
      <c r="J9089" s="3">
        <v>0</v>
      </c>
      <c r="K9089" t="s">
        <v>4424</v>
      </c>
      <c r="L9089">
        <v>3001</v>
      </c>
      <c r="M9089" t="s">
        <v>330</v>
      </c>
      <c r="N9089" t="s">
        <v>331</v>
      </c>
      <c r="O9089" t="s">
        <v>108</v>
      </c>
      <c r="P9089" t="str">
        <f>"75063"</f>
        <v>75063</v>
      </c>
    </row>
    <row r="9090" spans="1:16" x14ac:dyDescent="0.25">
      <c r="A9090" t="str">
        <f>"1140126L00324    00"</f>
        <v>1140126L00324    00</v>
      </c>
      <c r="B9090" t="s">
        <v>20076</v>
      </c>
      <c r="C9090" t="s">
        <v>20077</v>
      </c>
      <c r="D9090" t="s">
        <v>20</v>
      </c>
      <c r="E9090" t="s">
        <v>39</v>
      </c>
      <c r="F9090">
        <v>0</v>
      </c>
      <c r="G9090">
        <v>0</v>
      </c>
      <c r="H9090">
        <v>2</v>
      </c>
      <c r="I9090" s="3">
        <v>9359.48</v>
      </c>
      <c r="J9090" s="3">
        <v>0</v>
      </c>
      <c r="L9090">
        <v>7126</v>
      </c>
      <c r="M9090" t="s">
        <v>19937</v>
      </c>
      <c r="N9090" t="s">
        <v>30</v>
      </c>
      <c r="O9090" t="s">
        <v>31</v>
      </c>
      <c r="P9090" t="str">
        <f>"15208"</f>
        <v>15208</v>
      </c>
    </row>
    <row r="9091" spans="1:16" x14ac:dyDescent="0.25">
      <c r="A9091" t="str">
        <f>"1140126M00160    00"</f>
        <v>1140126M00160    00</v>
      </c>
      <c r="B9091" t="s">
        <v>20078</v>
      </c>
      <c r="C9091" t="s">
        <v>20079</v>
      </c>
      <c r="E9091" t="s">
        <v>39</v>
      </c>
      <c r="F9091">
        <v>0</v>
      </c>
      <c r="G9091">
        <v>0</v>
      </c>
      <c r="H9091">
        <v>1</v>
      </c>
      <c r="I9091" s="3">
        <v>6425.7</v>
      </c>
      <c r="J9091" s="3">
        <v>2034.73</v>
      </c>
      <c r="K9091" t="s">
        <v>20080</v>
      </c>
      <c r="L9091">
        <v>211</v>
      </c>
      <c r="M9091" t="s">
        <v>20013</v>
      </c>
      <c r="N9091" t="s">
        <v>30</v>
      </c>
      <c r="O9091" t="s">
        <v>31</v>
      </c>
      <c r="P9091" t="str">
        <f>"15208"</f>
        <v>15208</v>
      </c>
    </row>
    <row r="9092" spans="1:16" x14ac:dyDescent="0.25">
      <c r="A9092" t="str">
        <f>"1140126M00192    00"</f>
        <v>1140126M00192    00</v>
      </c>
      <c r="B9092" t="s">
        <v>20081</v>
      </c>
      <c r="C9092" t="s">
        <v>20082</v>
      </c>
      <c r="D9092" t="s">
        <v>20</v>
      </c>
      <c r="E9092" t="s">
        <v>39</v>
      </c>
      <c r="F9092">
        <v>0</v>
      </c>
      <c r="G9092">
        <v>0</v>
      </c>
      <c r="H9092">
        <v>1</v>
      </c>
      <c r="I9092" s="3">
        <v>95.91</v>
      </c>
      <c r="J9092" s="3">
        <v>0</v>
      </c>
      <c r="L9092">
        <v>7311</v>
      </c>
      <c r="M9092" t="s">
        <v>8098</v>
      </c>
      <c r="N9092" t="s">
        <v>30</v>
      </c>
      <c r="O9092" t="s">
        <v>31</v>
      </c>
      <c r="P9092" t="str">
        <f>"15208"</f>
        <v>15208</v>
      </c>
    </row>
    <row r="9093" spans="1:16" x14ac:dyDescent="0.25">
      <c r="A9093" t="str">
        <f>"1140126M00219    00"</f>
        <v>1140126M00219    00</v>
      </c>
      <c r="B9093" t="s">
        <v>20083</v>
      </c>
      <c r="C9093" t="s">
        <v>20084</v>
      </c>
      <c r="D9093" t="s">
        <v>20</v>
      </c>
      <c r="E9093" t="s">
        <v>39</v>
      </c>
      <c r="F9093">
        <v>0</v>
      </c>
      <c r="G9093">
        <v>0</v>
      </c>
      <c r="H9093">
        <v>2</v>
      </c>
      <c r="I9093" s="3">
        <v>2792.3</v>
      </c>
      <c r="J9093" s="3">
        <v>0</v>
      </c>
      <c r="K9093" t="s">
        <v>20085</v>
      </c>
      <c r="L9093">
        <v>20</v>
      </c>
      <c r="M9093" t="s">
        <v>20086</v>
      </c>
      <c r="N9093" t="s">
        <v>20087</v>
      </c>
      <c r="O9093" t="s">
        <v>423</v>
      </c>
      <c r="P9093" t="str">
        <f>"07016"</f>
        <v>07016</v>
      </c>
    </row>
    <row r="9094" spans="1:16" x14ac:dyDescent="0.25">
      <c r="A9094" t="str">
        <f>"1140126M00229    00"</f>
        <v>1140126M00229    00</v>
      </c>
      <c r="B9094" t="s">
        <v>20088</v>
      </c>
      <c r="C9094" t="s">
        <v>20089</v>
      </c>
      <c r="E9094" t="s">
        <v>39</v>
      </c>
      <c r="F9094">
        <v>0</v>
      </c>
      <c r="G9094">
        <v>0</v>
      </c>
      <c r="H9094">
        <v>1</v>
      </c>
      <c r="I9094" s="3">
        <v>3119.99</v>
      </c>
      <c r="J9094" s="3">
        <v>1533.93</v>
      </c>
      <c r="K9094" t="s">
        <v>4933</v>
      </c>
      <c r="L9094">
        <v>3001</v>
      </c>
      <c r="M9094" t="s">
        <v>330</v>
      </c>
      <c r="N9094" t="s">
        <v>331</v>
      </c>
      <c r="O9094" t="s">
        <v>108</v>
      </c>
      <c r="P9094" t="str">
        <f>"75063"</f>
        <v>75063</v>
      </c>
    </row>
    <row r="9095" spans="1:16" x14ac:dyDescent="0.25">
      <c r="A9095" t="str">
        <f>"1140126N00002    00"</f>
        <v>1140126N00002    00</v>
      </c>
      <c r="B9095" t="s">
        <v>20090</v>
      </c>
      <c r="C9095" t="s">
        <v>20091</v>
      </c>
      <c r="D9095" t="s">
        <v>20</v>
      </c>
      <c r="E9095" t="s">
        <v>39</v>
      </c>
      <c r="F9095">
        <v>0</v>
      </c>
      <c r="G9095">
        <v>0</v>
      </c>
      <c r="H9095">
        <v>2</v>
      </c>
      <c r="I9095" s="3">
        <v>3952.65</v>
      </c>
      <c r="J9095" s="3">
        <v>0</v>
      </c>
      <c r="K9095" t="s">
        <v>20092</v>
      </c>
      <c r="L9095">
        <v>1421</v>
      </c>
      <c r="M9095" t="s">
        <v>20093</v>
      </c>
      <c r="N9095" t="s">
        <v>30</v>
      </c>
      <c r="O9095" t="s">
        <v>31</v>
      </c>
      <c r="P9095" t="str">
        <f>"15217"</f>
        <v>15217</v>
      </c>
    </row>
    <row r="9096" spans="1:16" x14ac:dyDescent="0.25">
      <c r="A9096" t="str">
        <f>"1140126N00028    00"</f>
        <v>1140126N00028    00</v>
      </c>
      <c r="B9096" t="s">
        <v>20094</v>
      </c>
      <c r="C9096" t="s">
        <v>20095</v>
      </c>
      <c r="E9096" t="s">
        <v>39</v>
      </c>
      <c r="F9096">
        <v>0</v>
      </c>
      <c r="G9096">
        <v>0</v>
      </c>
      <c r="H9096">
        <v>1</v>
      </c>
      <c r="I9096" s="3">
        <v>4288.54</v>
      </c>
      <c r="J9096" s="3">
        <v>1179.3</v>
      </c>
      <c r="K9096" t="s">
        <v>5861</v>
      </c>
      <c r="L9096">
        <v>3001</v>
      </c>
      <c r="M9096" t="s">
        <v>404</v>
      </c>
      <c r="N9096" t="s">
        <v>331</v>
      </c>
      <c r="O9096" t="s">
        <v>108</v>
      </c>
      <c r="P9096" t="str">
        <f>"75063"</f>
        <v>75063</v>
      </c>
    </row>
    <row r="9097" spans="1:16" x14ac:dyDescent="0.25">
      <c r="A9097" t="str">
        <f>"1140126N00036    00"</f>
        <v>1140126N00036    00</v>
      </c>
      <c r="B9097" t="s">
        <v>20096</v>
      </c>
      <c r="C9097" t="s">
        <v>20097</v>
      </c>
      <c r="D9097" t="s">
        <v>20</v>
      </c>
      <c r="E9097" t="s">
        <v>39</v>
      </c>
      <c r="F9097">
        <v>0</v>
      </c>
      <c r="G9097">
        <v>0</v>
      </c>
      <c r="H9097">
        <v>2</v>
      </c>
      <c r="I9097" s="3">
        <v>5527.4</v>
      </c>
      <c r="J9097" s="3">
        <v>20.64</v>
      </c>
      <c r="K9097" t="s">
        <v>881</v>
      </c>
      <c r="L9097">
        <v>3001</v>
      </c>
      <c r="M9097" t="s">
        <v>330</v>
      </c>
      <c r="N9097" t="s">
        <v>331</v>
      </c>
      <c r="O9097" t="s">
        <v>108</v>
      </c>
      <c r="P9097" t="str">
        <f>"75063"</f>
        <v>75063</v>
      </c>
    </row>
    <row r="9098" spans="1:16" x14ac:dyDescent="0.25">
      <c r="A9098" t="str">
        <f>"1140126N00068    00"</f>
        <v>1140126N00068    00</v>
      </c>
      <c r="B9098" t="s">
        <v>20098</v>
      </c>
      <c r="C9098" t="s">
        <v>20099</v>
      </c>
      <c r="D9098" t="s">
        <v>20</v>
      </c>
      <c r="E9098" t="s">
        <v>39</v>
      </c>
      <c r="F9098">
        <v>0</v>
      </c>
      <c r="G9098">
        <v>0</v>
      </c>
      <c r="H9098">
        <v>3</v>
      </c>
      <c r="I9098" s="3">
        <v>17306.5</v>
      </c>
      <c r="J9098" s="3">
        <v>403.8</v>
      </c>
      <c r="K9098" t="s">
        <v>881</v>
      </c>
      <c r="L9098">
        <v>3001</v>
      </c>
      <c r="M9098" t="s">
        <v>330</v>
      </c>
      <c r="N9098" t="s">
        <v>331</v>
      </c>
      <c r="O9098" t="s">
        <v>108</v>
      </c>
      <c r="P9098" t="str">
        <f>"75063"</f>
        <v>75063</v>
      </c>
    </row>
    <row r="9099" spans="1:16" x14ac:dyDescent="0.25">
      <c r="A9099" t="str">
        <f>"1140126N00076    00"</f>
        <v>1140126N00076    00</v>
      </c>
      <c r="B9099" t="s">
        <v>20100</v>
      </c>
      <c r="C9099" t="s">
        <v>20101</v>
      </c>
      <c r="D9099" t="s">
        <v>20</v>
      </c>
      <c r="E9099" t="s">
        <v>39</v>
      </c>
      <c r="F9099">
        <v>0</v>
      </c>
      <c r="G9099">
        <v>0</v>
      </c>
      <c r="H9099">
        <v>3</v>
      </c>
      <c r="I9099" s="3">
        <v>2618.85</v>
      </c>
      <c r="J9099" s="3">
        <v>58.2</v>
      </c>
      <c r="K9099" t="s">
        <v>426</v>
      </c>
      <c r="L9099">
        <v>2570</v>
      </c>
      <c r="M9099" t="s">
        <v>427</v>
      </c>
      <c r="N9099" t="s">
        <v>30</v>
      </c>
      <c r="O9099" t="s">
        <v>31</v>
      </c>
      <c r="P9099" t="str">
        <f>"15241"</f>
        <v>15241</v>
      </c>
    </row>
    <row r="9100" spans="1:16" x14ac:dyDescent="0.25">
      <c r="A9100" t="str">
        <f>"1140126N00093    00"</f>
        <v>1140126N00093    00</v>
      </c>
      <c r="B9100" t="s">
        <v>20102</v>
      </c>
      <c r="C9100" t="s">
        <v>20103</v>
      </c>
      <c r="D9100" t="s">
        <v>20</v>
      </c>
      <c r="E9100" t="s">
        <v>39</v>
      </c>
      <c r="F9100">
        <v>0</v>
      </c>
      <c r="G9100">
        <v>0</v>
      </c>
      <c r="H9100">
        <v>3</v>
      </c>
      <c r="I9100" s="3">
        <v>6581.46</v>
      </c>
      <c r="J9100" s="3">
        <v>146.25</v>
      </c>
      <c r="K9100" t="s">
        <v>6483</v>
      </c>
      <c r="L9100">
        <v>3001</v>
      </c>
      <c r="M9100" t="s">
        <v>330</v>
      </c>
      <c r="N9100" t="s">
        <v>331</v>
      </c>
      <c r="O9100" t="s">
        <v>108</v>
      </c>
      <c r="P9100" t="str">
        <f>"75063"</f>
        <v>75063</v>
      </c>
    </row>
    <row r="9101" spans="1:16" x14ac:dyDescent="0.25">
      <c r="A9101" t="str">
        <f>"1140126N00099    00"</f>
        <v>1140126N00099    00</v>
      </c>
      <c r="B9101" t="s">
        <v>20104</v>
      </c>
      <c r="C9101" t="s">
        <v>20105</v>
      </c>
      <c r="E9101" t="s">
        <v>39</v>
      </c>
      <c r="F9101">
        <v>0</v>
      </c>
      <c r="G9101">
        <v>0</v>
      </c>
      <c r="H9101">
        <v>2</v>
      </c>
      <c r="I9101" s="3">
        <v>643.26</v>
      </c>
      <c r="J9101" s="3">
        <v>0.8</v>
      </c>
      <c r="K9101" t="s">
        <v>20106</v>
      </c>
      <c r="L9101">
        <v>6636</v>
      </c>
      <c r="M9101" t="s">
        <v>20107</v>
      </c>
      <c r="N9101" t="s">
        <v>30</v>
      </c>
      <c r="O9101" t="s">
        <v>31</v>
      </c>
      <c r="P9101" t="str">
        <f>"15217"</f>
        <v>15217</v>
      </c>
    </row>
    <row r="9102" spans="1:16" x14ac:dyDescent="0.25">
      <c r="A9102" t="str">
        <f>"1140126N00103    00"</f>
        <v>1140126N00103    00</v>
      </c>
      <c r="B9102" t="s">
        <v>20108</v>
      </c>
      <c r="C9102" t="s">
        <v>20109</v>
      </c>
      <c r="E9102" t="s">
        <v>39</v>
      </c>
      <c r="F9102">
        <v>0</v>
      </c>
      <c r="G9102">
        <v>0</v>
      </c>
      <c r="H9102">
        <v>1</v>
      </c>
      <c r="I9102" s="3">
        <v>93.56</v>
      </c>
      <c r="J9102" s="3">
        <v>29.63</v>
      </c>
      <c r="K9102" t="s">
        <v>1722</v>
      </c>
      <c r="M9102" t="s">
        <v>1723</v>
      </c>
      <c r="N9102" t="s">
        <v>410</v>
      </c>
      <c r="O9102" t="s">
        <v>31</v>
      </c>
      <c r="P9102" t="str">
        <f>"15701"</f>
        <v>15701</v>
      </c>
    </row>
    <row r="9103" spans="1:16" x14ac:dyDescent="0.25">
      <c r="A9103" t="str">
        <f>"1140126N00164    00"</f>
        <v>1140126N00164    00</v>
      </c>
      <c r="B9103" t="s">
        <v>20110</v>
      </c>
      <c r="C9103" t="s">
        <v>20111</v>
      </c>
      <c r="D9103" t="s">
        <v>20</v>
      </c>
      <c r="E9103" t="s">
        <v>39</v>
      </c>
      <c r="F9103">
        <v>0</v>
      </c>
      <c r="G9103">
        <v>0</v>
      </c>
      <c r="H9103">
        <v>4</v>
      </c>
      <c r="I9103" s="3">
        <v>15483.59</v>
      </c>
      <c r="J9103" s="3">
        <v>138.44999999999999</v>
      </c>
      <c r="K9103" t="s">
        <v>20112</v>
      </c>
      <c r="L9103">
        <v>2510</v>
      </c>
      <c r="M9103" t="s">
        <v>2073</v>
      </c>
      <c r="N9103" t="s">
        <v>1745</v>
      </c>
      <c r="O9103" t="s">
        <v>495</v>
      </c>
      <c r="P9103" t="str">
        <f>"92705"</f>
        <v>92705</v>
      </c>
    </row>
    <row r="9104" spans="1:16" x14ac:dyDescent="0.25">
      <c r="A9104" t="str">
        <f>"1140126N00166    00"</f>
        <v>1140126N00166    00</v>
      </c>
      <c r="B9104" t="s">
        <v>20113</v>
      </c>
      <c r="C9104" t="s">
        <v>20114</v>
      </c>
      <c r="E9104" t="s">
        <v>39</v>
      </c>
      <c r="F9104">
        <v>0</v>
      </c>
      <c r="G9104">
        <v>0</v>
      </c>
      <c r="H9104">
        <v>1</v>
      </c>
      <c r="I9104" s="3">
        <v>363</v>
      </c>
      <c r="J9104" s="3">
        <v>81.680000000000007</v>
      </c>
      <c r="L9104">
        <v>6676</v>
      </c>
      <c r="M9104" t="s">
        <v>20115</v>
      </c>
      <c r="N9104" t="s">
        <v>30</v>
      </c>
      <c r="O9104" t="s">
        <v>31</v>
      </c>
      <c r="P9104" t="str">
        <f>"15217"</f>
        <v>15217</v>
      </c>
    </row>
    <row r="9105" spans="1:16" x14ac:dyDescent="0.25">
      <c r="A9105" t="str">
        <f>"1140126N00194    00"</f>
        <v>1140126N00194    00</v>
      </c>
      <c r="B9105" t="s">
        <v>20116</v>
      </c>
      <c r="C9105" t="s">
        <v>20117</v>
      </c>
      <c r="D9105" t="s">
        <v>20</v>
      </c>
      <c r="E9105" t="s">
        <v>39</v>
      </c>
      <c r="F9105">
        <v>0</v>
      </c>
      <c r="G9105">
        <v>0</v>
      </c>
      <c r="H9105">
        <v>3</v>
      </c>
      <c r="I9105" s="3">
        <v>10149.27</v>
      </c>
      <c r="J9105" s="3">
        <v>1417.83</v>
      </c>
      <c r="L9105">
        <v>6622</v>
      </c>
      <c r="M9105" t="s">
        <v>20115</v>
      </c>
      <c r="N9105" t="s">
        <v>30</v>
      </c>
      <c r="O9105" t="s">
        <v>31</v>
      </c>
      <c r="P9105" t="str">
        <f>"15217"</f>
        <v>15217</v>
      </c>
    </row>
    <row r="9106" spans="1:16" x14ac:dyDescent="0.25">
      <c r="A9106" t="str">
        <f>"1140126N00222    00"</f>
        <v>1140126N00222    00</v>
      </c>
      <c r="B9106" t="s">
        <v>20118</v>
      </c>
      <c r="C9106" t="s">
        <v>20119</v>
      </c>
      <c r="E9106" t="s">
        <v>39</v>
      </c>
      <c r="F9106">
        <v>0</v>
      </c>
      <c r="G9106">
        <v>0</v>
      </c>
      <c r="H9106">
        <v>2</v>
      </c>
      <c r="I9106" s="3">
        <v>3394.2</v>
      </c>
      <c r="J9106" s="3">
        <v>934.89</v>
      </c>
      <c r="K9106" t="s">
        <v>20120</v>
      </c>
      <c r="L9106">
        <v>6633</v>
      </c>
      <c r="M9106" t="s">
        <v>20115</v>
      </c>
      <c r="N9106" t="s">
        <v>30</v>
      </c>
      <c r="O9106" t="s">
        <v>31</v>
      </c>
      <c r="P9106" t="str">
        <f>"15217"</f>
        <v>15217</v>
      </c>
    </row>
    <row r="9107" spans="1:16" x14ac:dyDescent="0.25">
      <c r="A9107" t="str">
        <f>"1140126N00262    00"</f>
        <v>1140126N00262    00</v>
      </c>
      <c r="B9107" t="s">
        <v>20121</v>
      </c>
      <c r="C9107" t="s">
        <v>20122</v>
      </c>
      <c r="E9107" t="s">
        <v>39</v>
      </c>
      <c r="F9107">
        <v>0</v>
      </c>
      <c r="G9107">
        <v>0</v>
      </c>
      <c r="H9107">
        <v>1</v>
      </c>
      <c r="I9107" s="3">
        <v>41.01</v>
      </c>
      <c r="J9107" s="3">
        <v>5.47</v>
      </c>
      <c r="L9107">
        <v>6688</v>
      </c>
      <c r="M9107" t="s">
        <v>20123</v>
      </c>
      <c r="N9107" t="s">
        <v>30</v>
      </c>
      <c r="O9107" t="s">
        <v>31</v>
      </c>
      <c r="P9107" t="str">
        <f>"15217"</f>
        <v>15217</v>
      </c>
    </row>
    <row r="9108" spans="1:16" x14ac:dyDescent="0.25">
      <c r="A9108" t="str">
        <f>"1140126N00269    00"</f>
        <v>1140126N00269    00</v>
      </c>
      <c r="B9108" t="s">
        <v>20124</v>
      </c>
      <c r="C9108" t="s">
        <v>20125</v>
      </c>
      <c r="D9108" t="s">
        <v>20</v>
      </c>
      <c r="E9108" t="s">
        <v>39</v>
      </c>
      <c r="F9108">
        <v>0</v>
      </c>
      <c r="G9108">
        <v>0</v>
      </c>
      <c r="H9108">
        <v>1</v>
      </c>
      <c r="I9108" s="3">
        <v>7997.48</v>
      </c>
      <c r="J9108" s="3">
        <v>0</v>
      </c>
      <c r="K9108" t="s">
        <v>20126</v>
      </c>
      <c r="L9108">
        <v>6666</v>
      </c>
      <c r="M9108" t="s">
        <v>20123</v>
      </c>
      <c r="N9108" t="s">
        <v>30</v>
      </c>
      <c r="O9108" t="s">
        <v>31</v>
      </c>
      <c r="P9108" t="str">
        <f>"15217"</f>
        <v>15217</v>
      </c>
    </row>
    <row r="9109" spans="1:16" x14ac:dyDescent="0.25">
      <c r="A9109" t="str">
        <f>"1140126R00014    00"</f>
        <v>1140126R00014    00</v>
      </c>
      <c r="B9109" t="s">
        <v>20127</v>
      </c>
      <c r="C9109" t="s">
        <v>20128</v>
      </c>
      <c r="D9109" t="s">
        <v>33</v>
      </c>
      <c r="E9109" t="s">
        <v>39</v>
      </c>
      <c r="F9109">
        <v>0</v>
      </c>
      <c r="G9109">
        <v>0</v>
      </c>
      <c r="H9109">
        <v>1</v>
      </c>
      <c r="I9109" s="3">
        <v>2481.62</v>
      </c>
      <c r="J9109" s="3">
        <v>144.76</v>
      </c>
      <c r="L9109">
        <v>607</v>
      </c>
      <c r="M9109" t="s">
        <v>20129</v>
      </c>
      <c r="N9109" t="s">
        <v>30</v>
      </c>
      <c r="O9109" t="s">
        <v>31</v>
      </c>
      <c r="P9109" t="str">
        <f>"15208"</f>
        <v>15208</v>
      </c>
    </row>
    <row r="9110" spans="1:16" x14ac:dyDescent="0.25">
      <c r="A9110" t="str">
        <f>"1140126R00104    00"</f>
        <v>1140126R00104    00</v>
      </c>
      <c r="B9110" t="s">
        <v>20130</v>
      </c>
      <c r="C9110" t="s">
        <v>20131</v>
      </c>
      <c r="E9110" t="s">
        <v>39</v>
      </c>
      <c r="F9110">
        <v>0</v>
      </c>
      <c r="G9110">
        <v>0</v>
      </c>
      <c r="H9110">
        <v>1</v>
      </c>
      <c r="I9110" s="3">
        <v>3630.09</v>
      </c>
      <c r="J9110" s="3">
        <v>1149.47</v>
      </c>
      <c r="K9110" t="s">
        <v>391</v>
      </c>
      <c r="L9110">
        <v>1</v>
      </c>
      <c r="M9110" t="s">
        <v>392</v>
      </c>
      <c r="N9110" t="s">
        <v>393</v>
      </c>
      <c r="O9110" t="s">
        <v>394</v>
      </c>
      <c r="P9110" t="str">
        <f>"50328"</f>
        <v>50328</v>
      </c>
    </row>
    <row r="9111" spans="1:16" x14ac:dyDescent="0.25">
      <c r="A9111" t="str">
        <f>"1140126R00105    00"</f>
        <v>1140126R00105    00</v>
      </c>
      <c r="B9111" t="s">
        <v>20132</v>
      </c>
      <c r="C9111" t="s">
        <v>20133</v>
      </c>
      <c r="E9111" t="s">
        <v>39</v>
      </c>
      <c r="F9111">
        <v>0</v>
      </c>
      <c r="G9111">
        <v>0</v>
      </c>
      <c r="H9111">
        <v>1</v>
      </c>
      <c r="I9111" s="3">
        <v>1727.4</v>
      </c>
      <c r="J9111" s="3">
        <v>546.99</v>
      </c>
      <c r="K9111" t="s">
        <v>484</v>
      </c>
      <c r="L9111">
        <v>3001</v>
      </c>
      <c r="M9111" t="s">
        <v>330</v>
      </c>
      <c r="N9111" t="s">
        <v>331</v>
      </c>
      <c r="O9111" t="s">
        <v>108</v>
      </c>
      <c r="P9111" t="str">
        <f>"75063"</f>
        <v>75063</v>
      </c>
    </row>
    <row r="9112" spans="1:16" x14ac:dyDescent="0.25">
      <c r="A9112" t="str">
        <f>"1140126R00116    00"</f>
        <v>1140126R00116    00</v>
      </c>
      <c r="B9112" t="s">
        <v>20134</v>
      </c>
      <c r="C9112" t="s">
        <v>20135</v>
      </c>
      <c r="D9112" t="s">
        <v>20</v>
      </c>
      <c r="E9112" t="s">
        <v>39</v>
      </c>
      <c r="F9112">
        <v>0</v>
      </c>
      <c r="G9112">
        <v>0</v>
      </c>
      <c r="H9112">
        <v>2</v>
      </c>
      <c r="I9112" s="3">
        <v>2951.27</v>
      </c>
      <c r="J9112" s="3">
        <v>0</v>
      </c>
      <c r="L9112">
        <v>517</v>
      </c>
      <c r="M9112" t="s">
        <v>20136</v>
      </c>
      <c r="N9112" t="s">
        <v>30</v>
      </c>
      <c r="O9112" t="s">
        <v>31</v>
      </c>
      <c r="P9112" t="str">
        <f>"15208"</f>
        <v>15208</v>
      </c>
    </row>
    <row r="9113" spans="1:16" x14ac:dyDescent="0.25">
      <c r="A9113" t="str">
        <f>"1140126S00003    00"</f>
        <v>1140126S00003    00</v>
      </c>
      <c r="B9113" t="s">
        <v>20137</v>
      </c>
      <c r="C9113" t="s">
        <v>20138</v>
      </c>
      <c r="E9113" t="s">
        <v>39</v>
      </c>
      <c r="F9113">
        <v>0</v>
      </c>
      <c r="G9113">
        <v>0</v>
      </c>
      <c r="H9113">
        <v>2</v>
      </c>
      <c r="I9113" s="3">
        <v>8348.2800000000007</v>
      </c>
      <c r="J9113" s="3">
        <v>104.36</v>
      </c>
      <c r="K9113" t="s">
        <v>20139</v>
      </c>
      <c r="L9113">
        <v>7401</v>
      </c>
      <c r="M9113" t="s">
        <v>20140</v>
      </c>
      <c r="N9113" t="s">
        <v>30</v>
      </c>
      <c r="O9113" t="s">
        <v>31</v>
      </c>
      <c r="P9113" t="str">
        <f>"15208"</f>
        <v>15208</v>
      </c>
    </row>
    <row r="9114" spans="1:16" x14ac:dyDescent="0.25">
      <c r="A9114" t="str">
        <f>"1140127A00045    00"</f>
        <v>1140127A00045    00</v>
      </c>
      <c r="B9114" t="s">
        <v>20141</v>
      </c>
      <c r="C9114" t="s">
        <v>20142</v>
      </c>
      <c r="D9114" t="s">
        <v>20</v>
      </c>
      <c r="E9114" t="s">
        <v>39</v>
      </c>
      <c r="F9114">
        <v>0</v>
      </c>
      <c r="G9114">
        <v>0</v>
      </c>
      <c r="H9114">
        <v>4</v>
      </c>
      <c r="I9114" s="3">
        <v>374.6</v>
      </c>
      <c r="J9114" s="3">
        <v>158.79</v>
      </c>
      <c r="L9114">
        <v>6652</v>
      </c>
      <c r="M9114" t="s">
        <v>20143</v>
      </c>
      <c r="N9114" t="s">
        <v>30</v>
      </c>
      <c r="O9114" t="s">
        <v>31</v>
      </c>
      <c r="P9114" t="str">
        <f>"15217"</f>
        <v>15217</v>
      </c>
    </row>
    <row r="9115" spans="1:16" x14ac:dyDescent="0.25">
      <c r="A9115" t="str">
        <f>"1140127A00063    00"</f>
        <v>1140127A00063    00</v>
      </c>
      <c r="B9115" t="s">
        <v>20144</v>
      </c>
      <c r="C9115" t="s">
        <v>20145</v>
      </c>
      <c r="D9115" t="s">
        <v>20</v>
      </c>
      <c r="E9115" t="s">
        <v>39</v>
      </c>
      <c r="F9115">
        <v>0</v>
      </c>
      <c r="G9115">
        <v>0</v>
      </c>
      <c r="H9115">
        <v>1</v>
      </c>
      <c r="I9115" s="3">
        <v>4046.45</v>
      </c>
      <c r="J9115" s="3">
        <v>0</v>
      </c>
      <c r="K9115" t="s">
        <v>6303</v>
      </c>
      <c r="L9115">
        <v>8050</v>
      </c>
      <c r="M9115" t="s">
        <v>6304</v>
      </c>
      <c r="N9115" t="s">
        <v>2008</v>
      </c>
      <c r="O9115" t="s">
        <v>31</v>
      </c>
      <c r="P9115" t="str">
        <f>"16066"</f>
        <v>16066</v>
      </c>
    </row>
    <row r="9116" spans="1:16" x14ac:dyDescent="0.25">
      <c r="A9116" t="str">
        <f>"1140127A00074    00"</f>
        <v>1140127A00074    00</v>
      </c>
      <c r="B9116" t="s">
        <v>20146</v>
      </c>
      <c r="C9116" t="s">
        <v>20147</v>
      </c>
      <c r="E9116" t="s">
        <v>39</v>
      </c>
      <c r="F9116">
        <v>0</v>
      </c>
      <c r="G9116">
        <v>0</v>
      </c>
      <c r="H9116">
        <v>3</v>
      </c>
      <c r="I9116" s="3">
        <v>3636.84</v>
      </c>
      <c r="J9116" s="3">
        <v>470.04</v>
      </c>
      <c r="K9116" t="s">
        <v>756</v>
      </c>
      <c r="L9116">
        <v>3001</v>
      </c>
      <c r="M9116" t="s">
        <v>330</v>
      </c>
      <c r="N9116" t="s">
        <v>331</v>
      </c>
      <c r="O9116" t="s">
        <v>108</v>
      </c>
      <c r="P9116" t="str">
        <f>"75063"</f>
        <v>75063</v>
      </c>
    </row>
    <row r="9117" spans="1:16" x14ac:dyDescent="0.25">
      <c r="A9117" t="str">
        <f>"1140127A00083    00"</f>
        <v>1140127A00083    00</v>
      </c>
      <c r="B9117" t="s">
        <v>20148</v>
      </c>
      <c r="C9117" t="s">
        <v>20149</v>
      </c>
      <c r="E9117" t="s">
        <v>39</v>
      </c>
      <c r="F9117">
        <v>0</v>
      </c>
      <c r="G9117">
        <v>0</v>
      </c>
      <c r="H9117">
        <v>1</v>
      </c>
      <c r="I9117" s="3">
        <v>2881.54</v>
      </c>
      <c r="J9117" s="3">
        <v>792.39</v>
      </c>
      <c r="L9117">
        <v>6522</v>
      </c>
      <c r="M9117" t="s">
        <v>455</v>
      </c>
      <c r="N9117" t="s">
        <v>30</v>
      </c>
      <c r="O9117" t="s">
        <v>31</v>
      </c>
      <c r="P9117" t="str">
        <f>"15217"</f>
        <v>15217</v>
      </c>
    </row>
    <row r="9118" spans="1:16" x14ac:dyDescent="0.25">
      <c r="A9118" t="str">
        <f>"1140127A00089    00"</f>
        <v>1140127A00089    00</v>
      </c>
      <c r="B9118" t="s">
        <v>20150</v>
      </c>
      <c r="C9118" t="s">
        <v>20151</v>
      </c>
      <c r="D9118" t="s">
        <v>20</v>
      </c>
      <c r="E9118" t="s">
        <v>39</v>
      </c>
      <c r="F9118">
        <v>0</v>
      </c>
      <c r="G9118">
        <v>0</v>
      </c>
      <c r="H9118">
        <v>1</v>
      </c>
      <c r="I9118" s="3">
        <v>64.55</v>
      </c>
      <c r="J9118" s="3">
        <v>0</v>
      </c>
      <c r="L9118">
        <v>6529</v>
      </c>
      <c r="M9118" t="s">
        <v>4661</v>
      </c>
      <c r="N9118" t="s">
        <v>30</v>
      </c>
      <c r="O9118" t="s">
        <v>31</v>
      </c>
      <c r="P9118" t="str">
        <f>"15217"</f>
        <v>15217</v>
      </c>
    </row>
    <row r="9119" spans="1:16" x14ac:dyDescent="0.25">
      <c r="A9119" t="str">
        <f>"1140127A00095    00"</f>
        <v>1140127A00095    00</v>
      </c>
      <c r="B9119" t="s">
        <v>20152</v>
      </c>
      <c r="C9119" t="s">
        <v>20153</v>
      </c>
      <c r="E9119" t="s">
        <v>39</v>
      </c>
      <c r="F9119">
        <v>0</v>
      </c>
      <c r="G9119">
        <v>0</v>
      </c>
      <c r="H9119">
        <v>1</v>
      </c>
      <c r="I9119" s="3">
        <v>3110.41</v>
      </c>
      <c r="J9119" s="3">
        <v>233.27</v>
      </c>
      <c r="K9119" t="s">
        <v>20154</v>
      </c>
      <c r="L9119">
        <v>1400</v>
      </c>
      <c r="M9119" t="s">
        <v>20155</v>
      </c>
      <c r="N9119" t="s">
        <v>8843</v>
      </c>
      <c r="O9119" t="s">
        <v>1005</v>
      </c>
      <c r="P9119" t="str">
        <f>"85282"</f>
        <v>85282</v>
      </c>
    </row>
    <row r="9120" spans="1:16" x14ac:dyDescent="0.25">
      <c r="A9120" t="str">
        <f>"1140127A00137    00"</f>
        <v>1140127A00137    00</v>
      </c>
      <c r="B9120" t="s">
        <v>20156</v>
      </c>
      <c r="C9120" t="s">
        <v>20157</v>
      </c>
      <c r="D9120" t="s">
        <v>20</v>
      </c>
      <c r="E9120" t="s">
        <v>39</v>
      </c>
      <c r="F9120">
        <v>0</v>
      </c>
      <c r="G9120">
        <v>0</v>
      </c>
      <c r="H9120">
        <v>3</v>
      </c>
      <c r="I9120" s="3">
        <v>8577.06</v>
      </c>
      <c r="J9120" s="3">
        <v>571.78</v>
      </c>
      <c r="L9120">
        <v>5500</v>
      </c>
      <c r="M9120" t="s">
        <v>18920</v>
      </c>
      <c r="N9120" t="s">
        <v>30</v>
      </c>
      <c r="O9120" t="s">
        <v>31</v>
      </c>
      <c r="P9120" t="str">
        <f>"15217"</f>
        <v>15217</v>
      </c>
    </row>
    <row r="9121" spans="1:16" x14ac:dyDescent="0.25">
      <c r="A9121" t="str">
        <f>"1140127A00147    00"</f>
        <v>1140127A00147    00</v>
      </c>
      <c r="B9121" t="s">
        <v>20158</v>
      </c>
      <c r="C9121" t="s">
        <v>20159</v>
      </c>
      <c r="E9121" t="s">
        <v>39</v>
      </c>
      <c r="F9121">
        <v>0</v>
      </c>
      <c r="G9121">
        <v>0</v>
      </c>
      <c r="H9121">
        <v>1</v>
      </c>
      <c r="I9121" s="3">
        <v>681.9</v>
      </c>
      <c r="J9121" s="3">
        <v>0</v>
      </c>
      <c r="K9121" t="s">
        <v>20160</v>
      </c>
      <c r="L9121">
        <v>673</v>
      </c>
      <c r="M9121" t="s">
        <v>20161</v>
      </c>
      <c r="N9121" t="s">
        <v>30</v>
      </c>
      <c r="O9121" t="s">
        <v>31</v>
      </c>
      <c r="P9121" t="str">
        <f>"15217"</f>
        <v>15217</v>
      </c>
    </row>
    <row r="9122" spans="1:16" x14ac:dyDescent="0.25">
      <c r="A9122" t="str">
        <f>"1140127A00176    00"</f>
        <v>1140127A00176    00</v>
      </c>
      <c r="B9122" t="s">
        <v>20162</v>
      </c>
      <c r="C9122" t="s">
        <v>20163</v>
      </c>
      <c r="E9122" t="s">
        <v>39</v>
      </c>
      <c r="F9122">
        <v>0</v>
      </c>
      <c r="G9122">
        <v>0</v>
      </c>
      <c r="H9122">
        <v>1</v>
      </c>
      <c r="I9122" s="3">
        <v>2262.5</v>
      </c>
      <c r="J9122" s="3">
        <v>0</v>
      </c>
      <c r="K9122" t="s">
        <v>20164</v>
      </c>
      <c r="L9122">
        <v>6535</v>
      </c>
      <c r="M9122" t="s">
        <v>2285</v>
      </c>
      <c r="N9122" t="s">
        <v>30</v>
      </c>
      <c r="O9122" t="s">
        <v>31</v>
      </c>
      <c r="P9122" t="str">
        <f>"15217"</f>
        <v>15217</v>
      </c>
    </row>
    <row r="9123" spans="1:16" x14ac:dyDescent="0.25">
      <c r="A9123" t="str">
        <f>"1140127A00194    00"</f>
        <v>1140127A00194    00</v>
      </c>
      <c r="B9123" t="s">
        <v>20165</v>
      </c>
      <c r="C9123" t="s">
        <v>20166</v>
      </c>
      <c r="D9123" t="s">
        <v>20</v>
      </c>
      <c r="E9123" t="s">
        <v>39</v>
      </c>
      <c r="F9123">
        <v>0</v>
      </c>
      <c r="G9123">
        <v>0</v>
      </c>
      <c r="H9123">
        <v>1</v>
      </c>
      <c r="I9123" s="3">
        <v>2420.14</v>
      </c>
      <c r="J9123" s="3">
        <v>0</v>
      </c>
      <c r="L9123">
        <v>6629</v>
      </c>
      <c r="M9123" t="s">
        <v>2285</v>
      </c>
      <c r="N9123" t="s">
        <v>30</v>
      </c>
      <c r="O9123" t="s">
        <v>31</v>
      </c>
      <c r="P9123" t="str">
        <f>"15217"</f>
        <v>15217</v>
      </c>
    </row>
    <row r="9124" spans="1:16" x14ac:dyDescent="0.25">
      <c r="A9124" t="str">
        <f>"1140127E00001    00"</f>
        <v>1140127E00001    00</v>
      </c>
      <c r="B9124" t="s">
        <v>20167</v>
      </c>
      <c r="C9124" t="s">
        <v>20168</v>
      </c>
      <c r="E9124" t="s">
        <v>39</v>
      </c>
      <c r="F9124">
        <v>0</v>
      </c>
      <c r="G9124">
        <v>0</v>
      </c>
      <c r="H9124">
        <v>2</v>
      </c>
      <c r="I9124" s="3">
        <v>3209.7</v>
      </c>
      <c r="J9124" s="3">
        <v>93.62</v>
      </c>
      <c r="K9124" t="s">
        <v>10555</v>
      </c>
      <c r="M9124" t="s">
        <v>10922</v>
      </c>
      <c r="N9124" t="s">
        <v>5407</v>
      </c>
      <c r="O9124" t="s">
        <v>273</v>
      </c>
      <c r="P9124" t="str">
        <f>"29502"</f>
        <v>29502</v>
      </c>
    </row>
    <row r="9125" spans="1:16" x14ac:dyDescent="0.25">
      <c r="A9125" t="str">
        <f>"1140127E00040    00"</f>
        <v>1140127E00040    00</v>
      </c>
      <c r="B9125" t="s">
        <v>20169</v>
      </c>
      <c r="C9125" t="s">
        <v>20170</v>
      </c>
      <c r="D9125" t="s">
        <v>20</v>
      </c>
      <c r="E9125" t="s">
        <v>39</v>
      </c>
      <c r="F9125">
        <v>0</v>
      </c>
      <c r="G9125">
        <v>0</v>
      </c>
      <c r="H9125">
        <v>3</v>
      </c>
      <c r="I9125" s="3">
        <v>4054.08</v>
      </c>
      <c r="J9125" s="3">
        <v>33.79</v>
      </c>
      <c r="K9125" t="s">
        <v>4424</v>
      </c>
      <c r="L9125">
        <v>3001</v>
      </c>
      <c r="M9125" t="s">
        <v>330</v>
      </c>
      <c r="N9125" t="s">
        <v>331</v>
      </c>
      <c r="O9125" t="s">
        <v>108</v>
      </c>
      <c r="P9125" t="str">
        <f>"75063"</f>
        <v>75063</v>
      </c>
    </row>
    <row r="9126" spans="1:16" x14ac:dyDescent="0.25">
      <c r="A9126" t="str">
        <f>"1140127J00001    00"</f>
        <v>1140127J00001    00</v>
      </c>
      <c r="B9126" t="s">
        <v>20171</v>
      </c>
      <c r="C9126" t="s">
        <v>20172</v>
      </c>
      <c r="D9126" t="s">
        <v>20</v>
      </c>
      <c r="E9126" t="s">
        <v>39</v>
      </c>
      <c r="F9126">
        <v>0</v>
      </c>
      <c r="G9126">
        <v>0</v>
      </c>
      <c r="H9126">
        <v>1</v>
      </c>
      <c r="I9126" s="3">
        <v>8293.01</v>
      </c>
      <c r="J9126" s="3">
        <v>0</v>
      </c>
      <c r="L9126">
        <v>3608</v>
      </c>
      <c r="M9126" t="s">
        <v>1905</v>
      </c>
      <c r="N9126" t="s">
        <v>30</v>
      </c>
      <c r="O9126" t="s">
        <v>31</v>
      </c>
      <c r="P9126" t="str">
        <f>"15213"</f>
        <v>15213</v>
      </c>
    </row>
    <row r="9127" spans="1:16" x14ac:dyDescent="0.25">
      <c r="A9127" t="str">
        <f>"1140127J00029    00"</f>
        <v>1140127J00029    00</v>
      </c>
      <c r="B9127" t="s">
        <v>1737</v>
      </c>
      <c r="C9127" t="s">
        <v>20173</v>
      </c>
      <c r="D9127" t="s">
        <v>20</v>
      </c>
      <c r="E9127" t="s">
        <v>39</v>
      </c>
      <c r="F9127">
        <v>0</v>
      </c>
      <c r="G9127">
        <v>0</v>
      </c>
      <c r="H9127">
        <v>4</v>
      </c>
      <c r="I9127" s="3">
        <v>43571.63</v>
      </c>
      <c r="J9127" s="3">
        <v>3234.95</v>
      </c>
      <c r="K9127" t="s">
        <v>1739</v>
      </c>
      <c r="L9127">
        <v>5881</v>
      </c>
      <c r="M9127" t="s">
        <v>1740</v>
      </c>
      <c r="N9127" t="s">
        <v>30</v>
      </c>
      <c r="O9127" t="s">
        <v>31</v>
      </c>
      <c r="P9127" t="str">
        <f>"15232"</f>
        <v>15232</v>
      </c>
    </row>
    <row r="9128" spans="1:16" x14ac:dyDescent="0.25">
      <c r="A9128" t="str">
        <f>"1140127J00080    00"</f>
        <v>1140127J00080    00</v>
      </c>
      <c r="B9128" t="s">
        <v>20174</v>
      </c>
      <c r="C9128" t="s">
        <v>20175</v>
      </c>
      <c r="D9128" t="s">
        <v>20</v>
      </c>
      <c r="E9128" t="s">
        <v>39</v>
      </c>
      <c r="F9128">
        <v>0</v>
      </c>
      <c r="G9128">
        <v>0</v>
      </c>
      <c r="H9128">
        <v>1</v>
      </c>
      <c r="I9128" s="3">
        <v>233.3</v>
      </c>
      <c r="J9128" s="3">
        <v>0</v>
      </c>
      <c r="K9128" t="s">
        <v>20176</v>
      </c>
      <c r="L9128">
        <v>1750</v>
      </c>
      <c r="M9128" t="s">
        <v>1695</v>
      </c>
      <c r="N9128" t="s">
        <v>30</v>
      </c>
      <c r="O9128" t="s">
        <v>31</v>
      </c>
      <c r="P9128" t="str">
        <f>"15217"</f>
        <v>15217</v>
      </c>
    </row>
    <row r="9129" spans="1:16" x14ac:dyDescent="0.25">
      <c r="A9129" t="str">
        <f>"1140127J00118    00"</f>
        <v>1140127J00118    00</v>
      </c>
      <c r="B9129" t="s">
        <v>20177</v>
      </c>
      <c r="C9129" t="s">
        <v>20178</v>
      </c>
      <c r="E9129" t="s">
        <v>39</v>
      </c>
      <c r="F9129">
        <v>0</v>
      </c>
      <c r="G9129">
        <v>0</v>
      </c>
      <c r="H9129">
        <v>3</v>
      </c>
      <c r="I9129" s="3">
        <v>2624.03</v>
      </c>
      <c r="J9129" s="3">
        <v>133.44</v>
      </c>
      <c r="K9129" t="s">
        <v>426</v>
      </c>
      <c r="L9129">
        <v>2570</v>
      </c>
      <c r="M9129" t="s">
        <v>427</v>
      </c>
      <c r="N9129" t="s">
        <v>30</v>
      </c>
      <c r="O9129" t="s">
        <v>31</v>
      </c>
      <c r="P9129" t="str">
        <f>"15241"</f>
        <v>15241</v>
      </c>
    </row>
    <row r="9130" spans="1:16" x14ac:dyDescent="0.25">
      <c r="A9130" t="str">
        <f>"1140127J00119    00"</f>
        <v>1140127J00119    00</v>
      </c>
      <c r="B9130" t="s">
        <v>20179</v>
      </c>
      <c r="C9130" t="s">
        <v>20180</v>
      </c>
      <c r="E9130" t="s">
        <v>39</v>
      </c>
      <c r="F9130">
        <v>0</v>
      </c>
      <c r="G9130">
        <v>0</v>
      </c>
      <c r="H9130">
        <v>2</v>
      </c>
      <c r="I9130" s="3">
        <v>1553.58</v>
      </c>
      <c r="J9130" s="3">
        <v>425.59</v>
      </c>
      <c r="K9130" t="s">
        <v>881</v>
      </c>
      <c r="L9130">
        <v>3001</v>
      </c>
      <c r="M9130" t="s">
        <v>330</v>
      </c>
      <c r="N9130" t="s">
        <v>331</v>
      </c>
      <c r="O9130" t="s">
        <v>108</v>
      </c>
      <c r="P9130" t="str">
        <f>"75063"</f>
        <v>75063</v>
      </c>
    </row>
    <row r="9131" spans="1:16" x14ac:dyDescent="0.25">
      <c r="A9131" t="str">
        <f>"1140127J00149    00"</f>
        <v>1140127J00149    00</v>
      </c>
      <c r="B9131" t="s">
        <v>20181</v>
      </c>
      <c r="C9131" t="s">
        <v>20182</v>
      </c>
      <c r="E9131" t="s">
        <v>39</v>
      </c>
      <c r="F9131">
        <v>0</v>
      </c>
      <c r="G9131">
        <v>0</v>
      </c>
      <c r="H9131">
        <v>1</v>
      </c>
      <c r="I9131" s="3">
        <v>7432.71</v>
      </c>
      <c r="J9131" s="3">
        <v>2045.73</v>
      </c>
      <c r="K9131" t="s">
        <v>391</v>
      </c>
      <c r="L9131">
        <v>1</v>
      </c>
      <c r="M9131" t="s">
        <v>392</v>
      </c>
      <c r="N9131" t="s">
        <v>393</v>
      </c>
      <c r="O9131" t="s">
        <v>394</v>
      </c>
      <c r="P9131" t="str">
        <f>"50328"</f>
        <v>50328</v>
      </c>
    </row>
    <row r="9132" spans="1:16" x14ac:dyDescent="0.25">
      <c r="A9132" t="str">
        <f>"1140127J00179    00"</f>
        <v>1140127J00179    00</v>
      </c>
      <c r="B9132" t="s">
        <v>20183</v>
      </c>
      <c r="C9132" t="s">
        <v>20184</v>
      </c>
      <c r="E9132" t="s">
        <v>39</v>
      </c>
      <c r="F9132">
        <v>0</v>
      </c>
      <c r="G9132">
        <v>0</v>
      </c>
      <c r="H9132">
        <v>1</v>
      </c>
      <c r="I9132" s="3">
        <v>1410.67</v>
      </c>
      <c r="J9132" s="3">
        <v>94.04</v>
      </c>
      <c r="K9132" t="s">
        <v>20185</v>
      </c>
      <c r="L9132">
        <v>6523</v>
      </c>
      <c r="M9132" t="s">
        <v>18814</v>
      </c>
      <c r="N9132" t="s">
        <v>30</v>
      </c>
      <c r="O9132" t="s">
        <v>31</v>
      </c>
      <c r="P9132" t="str">
        <f>"15217"</f>
        <v>15217</v>
      </c>
    </row>
    <row r="9133" spans="1:16" x14ac:dyDescent="0.25">
      <c r="A9133" t="str">
        <f>"1140127J00205    00"</f>
        <v>1140127J00205    00</v>
      </c>
      <c r="B9133" t="s">
        <v>20186</v>
      </c>
      <c r="C9133" t="s">
        <v>20187</v>
      </c>
      <c r="E9133" t="s">
        <v>39</v>
      </c>
      <c r="F9133">
        <v>0</v>
      </c>
      <c r="G9133">
        <v>0</v>
      </c>
      <c r="H9133">
        <v>1</v>
      </c>
      <c r="I9133" s="3">
        <v>103.08</v>
      </c>
      <c r="J9133" s="3">
        <v>0</v>
      </c>
      <c r="K9133" t="s">
        <v>728</v>
      </c>
      <c r="L9133">
        <v>3001</v>
      </c>
      <c r="M9133" t="s">
        <v>330</v>
      </c>
      <c r="N9133" t="s">
        <v>331</v>
      </c>
      <c r="O9133" t="s">
        <v>108</v>
      </c>
      <c r="P9133" t="str">
        <f>"75063"</f>
        <v>75063</v>
      </c>
    </row>
    <row r="9134" spans="1:16" x14ac:dyDescent="0.25">
      <c r="A9134" t="str">
        <f>"1140127J00231    00"</f>
        <v>1140127J00231    00</v>
      </c>
      <c r="B9134" t="s">
        <v>20188</v>
      </c>
      <c r="C9134" t="s">
        <v>20189</v>
      </c>
      <c r="E9134" t="s">
        <v>39</v>
      </c>
      <c r="F9134">
        <v>0</v>
      </c>
      <c r="G9134">
        <v>0</v>
      </c>
      <c r="H9134">
        <v>1</v>
      </c>
      <c r="I9134" s="3">
        <v>2175.0500000000002</v>
      </c>
      <c r="J9134" s="3">
        <v>0</v>
      </c>
      <c r="L9134">
        <v>1839</v>
      </c>
      <c r="M9134" t="s">
        <v>20190</v>
      </c>
      <c r="N9134" t="s">
        <v>30</v>
      </c>
      <c r="O9134" t="s">
        <v>31</v>
      </c>
      <c r="P9134" t="str">
        <f>"15217"</f>
        <v>15217</v>
      </c>
    </row>
    <row r="9135" spans="1:16" x14ac:dyDescent="0.25">
      <c r="A9135" t="str">
        <f>"1140127K00003    00"</f>
        <v>1140127K00003    00</v>
      </c>
      <c r="B9135" t="s">
        <v>20191</v>
      </c>
      <c r="C9135" t="s">
        <v>20192</v>
      </c>
      <c r="E9135" t="s">
        <v>39</v>
      </c>
      <c r="F9135">
        <v>0</v>
      </c>
      <c r="G9135">
        <v>0</v>
      </c>
      <c r="H9135">
        <v>2</v>
      </c>
      <c r="I9135" s="3">
        <v>5958.61</v>
      </c>
      <c r="J9135" s="3">
        <v>0</v>
      </c>
      <c r="K9135" t="s">
        <v>5352</v>
      </c>
      <c r="L9135">
        <v>3001</v>
      </c>
      <c r="M9135" t="s">
        <v>330</v>
      </c>
      <c r="N9135" t="s">
        <v>331</v>
      </c>
      <c r="O9135" t="s">
        <v>108</v>
      </c>
      <c r="P9135" t="str">
        <f>"75063"</f>
        <v>75063</v>
      </c>
    </row>
    <row r="9136" spans="1:16" x14ac:dyDescent="0.25">
      <c r="A9136" t="str">
        <f>"1140127K00088    00"</f>
        <v>1140127K00088    00</v>
      </c>
      <c r="B9136" t="s">
        <v>20193</v>
      </c>
      <c r="C9136" t="s">
        <v>20194</v>
      </c>
      <c r="E9136" t="s">
        <v>39</v>
      </c>
      <c r="F9136">
        <v>0</v>
      </c>
      <c r="G9136">
        <v>0</v>
      </c>
      <c r="H9136">
        <v>2</v>
      </c>
      <c r="I9136" s="3">
        <v>3318.14</v>
      </c>
      <c r="J9136" s="3">
        <v>266.45999999999998</v>
      </c>
      <c r="K9136" t="s">
        <v>881</v>
      </c>
      <c r="L9136">
        <v>3001</v>
      </c>
      <c r="M9136" t="s">
        <v>330</v>
      </c>
      <c r="N9136" t="s">
        <v>331</v>
      </c>
      <c r="O9136" t="s">
        <v>108</v>
      </c>
      <c r="P9136" t="str">
        <f>"75063"</f>
        <v>75063</v>
      </c>
    </row>
    <row r="9137" spans="1:16" x14ac:dyDescent="0.25">
      <c r="A9137" t="str">
        <f>"1140127K00092    00"</f>
        <v>1140127K00092    00</v>
      </c>
      <c r="B9137" t="s">
        <v>20195</v>
      </c>
      <c r="C9137" t="s">
        <v>20196</v>
      </c>
      <c r="E9137" t="s">
        <v>39</v>
      </c>
      <c r="F9137">
        <v>0</v>
      </c>
      <c r="G9137">
        <v>0</v>
      </c>
      <c r="H9137">
        <v>1</v>
      </c>
      <c r="I9137" s="3">
        <v>4703.78</v>
      </c>
      <c r="J9137" s="3">
        <v>1489.47</v>
      </c>
      <c r="K9137" t="s">
        <v>4989</v>
      </c>
      <c r="L9137">
        <v>3001</v>
      </c>
      <c r="M9137" t="s">
        <v>330</v>
      </c>
      <c r="N9137" t="s">
        <v>331</v>
      </c>
      <c r="O9137" t="s">
        <v>108</v>
      </c>
      <c r="P9137" t="str">
        <f>"75063"</f>
        <v>75063</v>
      </c>
    </row>
    <row r="9138" spans="1:16" x14ac:dyDescent="0.25">
      <c r="A9138" t="str">
        <f>"1140127N00021    00"</f>
        <v>1140127N00021    00</v>
      </c>
      <c r="B9138" t="s">
        <v>20197</v>
      </c>
      <c r="C9138" t="s">
        <v>20198</v>
      </c>
      <c r="E9138" t="s">
        <v>39</v>
      </c>
      <c r="F9138">
        <v>0</v>
      </c>
      <c r="G9138">
        <v>0</v>
      </c>
      <c r="H9138">
        <v>1</v>
      </c>
      <c r="I9138" s="3">
        <v>2903.34</v>
      </c>
      <c r="J9138" s="3">
        <v>919.35</v>
      </c>
      <c r="K9138" t="s">
        <v>1030</v>
      </c>
      <c r="M9138" t="s">
        <v>1031</v>
      </c>
      <c r="N9138" t="s">
        <v>1032</v>
      </c>
      <c r="O9138" t="s">
        <v>25</v>
      </c>
      <c r="P9138" t="str">
        <f>"44711"</f>
        <v>44711</v>
      </c>
    </row>
    <row r="9139" spans="1:16" x14ac:dyDescent="0.25">
      <c r="A9139" t="str">
        <f>"1140127N00090    00"</f>
        <v>1140127N00090    00</v>
      </c>
      <c r="B9139" t="s">
        <v>20199</v>
      </c>
      <c r="C9139" t="s">
        <v>20200</v>
      </c>
      <c r="E9139" t="s">
        <v>39</v>
      </c>
      <c r="F9139">
        <v>0</v>
      </c>
      <c r="G9139">
        <v>0</v>
      </c>
      <c r="H9139">
        <v>1</v>
      </c>
      <c r="I9139" s="3">
        <v>48.89</v>
      </c>
      <c r="J9139" s="3">
        <v>44.41</v>
      </c>
      <c r="K9139" t="s">
        <v>391</v>
      </c>
      <c r="L9139">
        <v>1</v>
      </c>
      <c r="M9139" t="s">
        <v>392</v>
      </c>
      <c r="N9139" t="s">
        <v>393</v>
      </c>
      <c r="O9139" t="s">
        <v>394</v>
      </c>
      <c r="P9139" t="str">
        <f>"50328"</f>
        <v>50328</v>
      </c>
    </row>
    <row r="9140" spans="1:16" x14ac:dyDescent="0.25">
      <c r="A9140" t="str">
        <f>"1140127N00125    00"</f>
        <v>1140127N00125    00</v>
      </c>
      <c r="B9140" t="s">
        <v>20201</v>
      </c>
      <c r="C9140" t="s">
        <v>20202</v>
      </c>
      <c r="D9140" t="s">
        <v>20</v>
      </c>
      <c r="E9140" t="s">
        <v>39</v>
      </c>
      <c r="F9140">
        <v>0</v>
      </c>
      <c r="G9140">
        <v>0</v>
      </c>
      <c r="H9140">
        <v>1</v>
      </c>
      <c r="I9140" s="3">
        <v>279.14999999999998</v>
      </c>
      <c r="J9140" s="3">
        <v>0</v>
      </c>
      <c r="L9140">
        <v>6530</v>
      </c>
      <c r="M9140" t="s">
        <v>3717</v>
      </c>
      <c r="N9140" t="s">
        <v>30</v>
      </c>
      <c r="O9140" t="s">
        <v>31</v>
      </c>
      <c r="P9140" t="str">
        <f>"15217"</f>
        <v>15217</v>
      </c>
    </row>
    <row r="9141" spans="1:16" x14ac:dyDescent="0.25">
      <c r="A9141" t="str">
        <f>"1140127N00145    00"</f>
        <v>1140127N00145    00</v>
      </c>
      <c r="B9141" t="s">
        <v>20203</v>
      </c>
      <c r="C9141" t="s">
        <v>20204</v>
      </c>
      <c r="E9141" t="s">
        <v>39</v>
      </c>
      <c r="F9141">
        <v>0</v>
      </c>
      <c r="G9141">
        <v>0</v>
      </c>
      <c r="H9141">
        <v>2</v>
      </c>
      <c r="I9141" s="3">
        <v>1959.36</v>
      </c>
      <c r="J9141" s="3">
        <v>65.31</v>
      </c>
      <c r="K9141" t="s">
        <v>20205</v>
      </c>
      <c r="L9141">
        <v>6383</v>
      </c>
      <c r="M9141" t="s">
        <v>18934</v>
      </c>
      <c r="N9141" t="s">
        <v>30</v>
      </c>
      <c r="O9141" t="s">
        <v>31</v>
      </c>
      <c r="P9141" t="str">
        <f>"15217"</f>
        <v>15217</v>
      </c>
    </row>
    <row r="9142" spans="1:16" x14ac:dyDescent="0.25">
      <c r="A9142" t="str">
        <f>"1140127N00235    00"</f>
        <v>1140127N00235    00</v>
      </c>
      <c r="B9142" t="s">
        <v>20206</v>
      </c>
      <c r="C9142" t="s">
        <v>20207</v>
      </c>
      <c r="E9142" t="s">
        <v>39</v>
      </c>
      <c r="F9142">
        <v>0</v>
      </c>
      <c r="G9142">
        <v>0</v>
      </c>
      <c r="H9142">
        <v>1</v>
      </c>
      <c r="I9142" s="3">
        <v>2092.6999999999998</v>
      </c>
      <c r="J9142" s="3">
        <v>156.94999999999999</v>
      </c>
      <c r="K9142" t="s">
        <v>1135</v>
      </c>
      <c r="L9142">
        <v>3001</v>
      </c>
      <c r="M9142" t="s">
        <v>330</v>
      </c>
      <c r="N9142" t="s">
        <v>331</v>
      </c>
      <c r="O9142" t="s">
        <v>108</v>
      </c>
      <c r="P9142" t="str">
        <f>"75063"</f>
        <v>75063</v>
      </c>
    </row>
    <row r="9143" spans="1:16" x14ac:dyDescent="0.25">
      <c r="A9143" t="str">
        <f>"1140127N00242    00"</f>
        <v>1140127N00242    00</v>
      </c>
      <c r="B9143" t="s">
        <v>20208</v>
      </c>
      <c r="C9143" t="s">
        <v>20209</v>
      </c>
      <c r="E9143" t="s">
        <v>39</v>
      </c>
      <c r="F9143">
        <v>0</v>
      </c>
      <c r="G9143">
        <v>0</v>
      </c>
      <c r="H9143">
        <v>2</v>
      </c>
      <c r="I9143" s="3">
        <v>3415.56</v>
      </c>
      <c r="J9143" s="3">
        <v>42.69</v>
      </c>
      <c r="K9143" t="s">
        <v>4305</v>
      </c>
      <c r="L9143">
        <v>3001</v>
      </c>
      <c r="M9143" t="s">
        <v>330</v>
      </c>
      <c r="N9143" t="s">
        <v>331</v>
      </c>
      <c r="O9143" t="s">
        <v>108</v>
      </c>
      <c r="P9143" t="str">
        <f>"75063"</f>
        <v>75063</v>
      </c>
    </row>
    <row r="9144" spans="1:16" x14ac:dyDescent="0.25">
      <c r="A9144" t="str">
        <f>"1140127N00250    00"</f>
        <v>1140127N00250    00</v>
      </c>
      <c r="B9144" t="s">
        <v>20210</v>
      </c>
      <c r="C9144" t="s">
        <v>20211</v>
      </c>
      <c r="E9144" t="s">
        <v>39</v>
      </c>
      <c r="F9144">
        <v>0</v>
      </c>
      <c r="G9144">
        <v>0</v>
      </c>
      <c r="H9144">
        <v>1</v>
      </c>
      <c r="I9144" s="3">
        <v>1092.1500000000001</v>
      </c>
      <c r="J9144" s="3">
        <v>109.2</v>
      </c>
      <c r="K9144" t="s">
        <v>391</v>
      </c>
      <c r="L9144">
        <v>1</v>
      </c>
      <c r="M9144" t="s">
        <v>392</v>
      </c>
      <c r="N9144" t="s">
        <v>393</v>
      </c>
      <c r="O9144" t="s">
        <v>394</v>
      </c>
      <c r="P9144" t="str">
        <f>"50328"</f>
        <v>50328</v>
      </c>
    </row>
    <row r="9145" spans="1:16" x14ac:dyDescent="0.25">
      <c r="A9145" t="str">
        <f>"1140127P00032    00"</f>
        <v>1140127P00032    00</v>
      </c>
      <c r="B9145" t="s">
        <v>20212</v>
      </c>
      <c r="C9145" t="s">
        <v>20213</v>
      </c>
      <c r="E9145" t="s">
        <v>39</v>
      </c>
      <c r="F9145">
        <v>0</v>
      </c>
      <c r="G9145">
        <v>0</v>
      </c>
      <c r="H9145">
        <v>1</v>
      </c>
      <c r="I9145" s="3">
        <v>1171.73</v>
      </c>
      <c r="J9145" s="3">
        <v>1445.07</v>
      </c>
      <c r="L9145">
        <v>6640</v>
      </c>
      <c r="M9145" t="s">
        <v>20214</v>
      </c>
      <c r="N9145" t="s">
        <v>30</v>
      </c>
      <c r="O9145" t="s">
        <v>31</v>
      </c>
      <c r="P9145" t="str">
        <f>"15217"</f>
        <v>15217</v>
      </c>
    </row>
    <row r="9146" spans="1:16" x14ac:dyDescent="0.25">
      <c r="A9146" t="str">
        <f>"1140127P00057    00"</f>
        <v>1140127P00057    00</v>
      </c>
      <c r="B9146" t="s">
        <v>20215</v>
      </c>
      <c r="C9146" t="s">
        <v>20216</v>
      </c>
      <c r="D9146" t="s">
        <v>20</v>
      </c>
      <c r="E9146" t="s">
        <v>39</v>
      </c>
      <c r="F9146">
        <v>0</v>
      </c>
      <c r="G9146">
        <v>0</v>
      </c>
      <c r="H9146">
        <v>2</v>
      </c>
      <c r="I9146" s="3">
        <v>6971.16</v>
      </c>
      <c r="J9146" s="3">
        <v>0</v>
      </c>
      <c r="K9146" t="s">
        <v>759</v>
      </c>
      <c r="L9146">
        <v>3001</v>
      </c>
      <c r="M9146" t="s">
        <v>404</v>
      </c>
      <c r="N9146" t="s">
        <v>331</v>
      </c>
      <c r="O9146" t="s">
        <v>108</v>
      </c>
      <c r="P9146" t="str">
        <f>"75063"</f>
        <v>75063</v>
      </c>
    </row>
    <row r="9147" spans="1:16" x14ac:dyDescent="0.25">
      <c r="A9147" t="str">
        <f>"1140127P00138    00"</f>
        <v>1140127P00138    00</v>
      </c>
      <c r="B9147" t="s">
        <v>20217</v>
      </c>
      <c r="C9147" t="s">
        <v>20218</v>
      </c>
      <c r="E9147" t="s">
        <v>39</v>
      </c>
      <c r="F9147">
        <v>0</v>
      </c>
      <c r="G9147">
        <v>0</v>
      </c>
      <c r="H9147">
        <v>2</v>
      </c>
      <c r="I9147" s="3">
        <v>7653.11</v>
      </c>
      <c r="J9147" s="3">
        <v>523.36</v>
      </c>
      <c r="K9147" t="s">
        <v>5352</v>
      </c>
      <c r="L9147">
        <v>3001</v>
      </c>
      <c r="M9147" t="s">
        <v>330</v>
      </c>
      <c r="N9147" t="s">
        <v>331</v>
      </c>
      <c r="O9147" t="s">
        <v>108</v>
      </c>
      <c r="P9147" t="str">
        <f>"75063"</f>
        <v>75063</v>
      </c>
    </row>
    <row r="9148" spans="1:16" x14ac:dyDescent="0.25">
      <c r="A9148" t="str">
        <f>"1140127P00158    00"</f>
        <v>1140127P00158    00</v>
      </c>
      <c r="B9148" t="s">
        <v>20219</v>
      </c>
      <c r="C9148" t="s">
        <v>20220</v>
      </c>
      <c r="D9148" t="s">
        <v>57</v>
      </c>
      <c r="E9148" t="s">
        <v>39</v>
      </c>
      <c r="F9148">
        <v>0</v>
      </c>
      <c r="G9148">
        <v>0</v>
      </c>
      <c r="H9148">
        <v>1</v>
      </c>
      <c r="I9148" s="3">
        <v>5900.03</v>
      </c>
      <c r="J9148" s="3">
        <v>1622.44</v>
      </c>
      <c r="K9148" t="s">
        <v>4424</v>
      </c>
      <c r="L9148">
        <v>3001</v>
      </c>
      <c r="M9148" t="s">
        <v>330</v>
      </c>
      <c r="N9148" t="s">
        <v>331</v>
      </c>
      <c r="O9148" t="s">
        <v>108</v>
      </c>
      <c r="P9148" t="str">
        <f>"75063"</f>
        <v>75063</v>
      </c>
    </row>
    <row r="9149" spans="1:16" x14ac:dyDescent="0.25">
      <c r="A9149" t="str">
        <f>"1140128A00025    00"</f>
        <v>1140128A00025    00</v>
      </c>
      <c r="B9149" t="s">
        <v>20221</v>
      </c>
      <c r="C9149" t="s">
        <v>20222</v>
      </c>
      <c r="E9149" t="s">
        <v>39</v>
      </c>
      <c r="F9149">
        <v>0</v>
      </c>
      <c r="G9149">
        <v>0</v>
      </c>
      <c r="H9149">
        <v>2</v>
      </c>
      <c r="I9149" s="3">
        <v>4471.5</v>
      </c>
      <c r="J9149" s="3">
        <v>223.56</v>
      </c>
      <c r="K9149" t="s">
        <v>20223</v>
      </c>
      <c r="L9149">
        <v>2424</v>
      </c>
      <c r="M9149" t="s">
        <v>1695</v>
      </c>
      <c r="N9149" t="s">
        <v>30</v>
      </c>
      <c r="O9149" t="s">
        <v>31</v>
      </c>
      <c r="P9149" t="str">
        <f>"15217"</f>
        <v>15217</v>
      </c>
    </row>
    <row r="9150" spans="1:16" x14ac:dyDescent="0.25">
      <c r="A9150" t="str">
        <f>"1140128A00074    00"</f>
        <v>1140128A00074    00</v>
      </c>
      <c r="B9150" t="s">
        <v>20224</v>
      </c>
      <c r="C9150" t="s">
        <v>20225</v>
      </c>
      <c r="D9150" t="s">
        <v>20</v>
      </c>
      <c r="E9150" t="s">
        <v>39</v>
      </c>
      <c r="F9150">
        <v>0</v>
      </c>
      <c r="G9150">
        <v>0</v>
      </c>
      <c r="H9150">
        <v>1</v>
      </c>
      <c r="I9150" s="3">
        <v>6380.53</v>
      </c>
      <c r="J9150" s="3">
        <v>0</v>
      </c>
      <c r="K9150" t="s">
        <v>20226</v>
      </c>
      <c r="M9150" t="s">
        <v>20227</v>
      </c>
      <c r="N9150" t="s">
        <v>30</v>
      </c>
      <c r="O9150" t="s">
        <v>31</v>
      </c>
      <c r="P9150" t="str">
        <f>"15217"</f>
        <v>15217</v>
      </c>
    </row>
    <row r="9151" spans="1:16" x14ac:dyDescent="0.25">
      <c r="A9151" t="str">
        <f>"1140128A00078    00"</f>
        <v>1140128A00078    00</v>
      </c>
      <c r="B9151" t="s">
        <v>20228</v>
      </c>
      <c r="C9151" t="s">
        <v>20229</v>
      </c>
      <c r="E9151" t="s">
        <v>39</v>
      </c>
      <c r="F9151">
        <v>0</v>
      </c>
      <c r="G9151">
        <v>0</v>
      </c>
      <c r="H9151">
        <v>2</v>
      </c>
      <c r="I9151" s="3">
        <v>5470.9</v>
      </c>
      <c r="J9151" s="3">
        <v>374.13</v>
      </c>
      <c r="K9151" t="s">
        <v>1502</v>
      </c>
      <c r="L9151">
        <v>901</v>
      </c>
      <c r="M9151" t="s">
        <v>1503</v>
      </c>
      <c r="N9151" t="s">
        <v>494</v>
      </c>
      <c r="O9151" t="s">
        <v>495</v>
      </c>
      <c r="P9151" t="str">
        <f>"91768"</f>
        <v>91768</v>
      </c>
    </row>
    <row r="9152" spans="1:16" x14ac:dyDescent="0.25">
      <c r="A9152" t="str">
        <f>"1140128A00157    00"</f>
        <v>1140128A00157    00</v>
      </c>
      <c r="B9152" t="s">
        <v>20230</v>
      </c>
      <c r="C9152" t="s">
        <v>20231</v>
      </c>
      <c r="E9152" t="s">
        <v>39</v>
      </c>
      <c r="F9152">
        <v>0</v>
      </c>
      <c r="G9152">
        <v>0</v>
      </c>
      <c r="H9152">
        <v>2</v>
      </c>
      <c r="I9152" s="3">
        <v>6061.08</v>
      </c>
      <c r="J9152" s="3">
        <v>202.03</v>
      </c>
      <c r="L9152">
        <v>6412</v>
      </c>
      <c r="M9152" t="s">
        <v>18858</v>
      </c>
      <c r="N9152" t="s">
        <v>30</v>
      </c>
      <c r="O9152" t="s">
        <v>31</v>
      </c>
      <c r="P9152" t="str">
        <f t="shared" ref="P9152:P9159" si="105">"15217"</f>
        <v>15217</v>
      </c>
    </row>
    <row r="9153" spans="1:16" x14ac:dyDescent="0.25">
      <c r="A9153" t="str">
        <f>"1140128A00158    00"</f>
        <v>1140128A00158    00</v>
      </c>
      <c r="B9153" t="s">
        <v>20232</v>
      </c>
      <c r="C9153" t="s">
        <v>20233</v>
      </c>
      <c r="D9153" t="s">
        <v>20</v>
      </c>
      <c r="E9153" t="s">
        <v>39</v>
      </c>
      <c r="F9153">
        <v>0</v>
      </c>
      <c r="G9153">
        <v>0</v>
      </c>
      <c r="H9153">
        <v>1</v>
      </c>
      <c r="I9153" s="3">
        <v>1959.39</v>
      </c>
      <c r="J9153" s="3">
        <v>0</v>
      </c>
      <c r="K9153" t="s">
        <v>20234</v>
      </c>
      <c r="L9153">
        <v>6410</v>
      </c>
      <c r="M9153" t="s">
        <v>18858</v>
      </c>
      <c r="N9153" t="s">
        <v>30</v>
      </c>
      <c r="O9153" t="s">
        <v>31</v>
      </c>
      <c r="P9153" t="str">
        <f t="shared" si="105"/>
        <v>15217</v>
      </c>
    </row>
    <row r="9154" spans="1:16" x14ac:dyDescent="0.25">
      <c r="A9154" t="str">
        <f>"1140128A00165    00"</f>
        <v>1140128A00165    00</v>
      </c>
      <c r="B9154" t="s">
        <v>20235</v>
      </c>
      <c r="C9154" t="s">
        <v>20236</v>
      </c>
      <c r="E9154" t="s">
        <v>39</v>
      </c>
      <c r="F9154">
        <v>0</v>
      </c>
      <c r="G9154">
        <v>0</v>
      </c>
      <c r="H9154">
        <v>1</v>
      </c>
      <c r="I9154" s="3">
        <v>2071.83</v>
      </c>
      <c r="J9154" s="3">
        <v>0</v>
      </c>
      <c r="K9154" t="s">
        <v>20237</v>
      </c>
      <c r="L9154">
        <v>2405</v>
      </c>
      <c r="M9154" t="s">
        <v>1695</v>
      </c>
      <c r="N9154" t="s">
        <v>30</v>
      </c>
      <c r="O9154" t="s">
        <v>31</v>
      </c>
      <c r="P9154" t="str">
        <f t="shared" si="105"/>
        <v>15217</v>
      </c>
    </row>
    <row r="9155" spans="1:16" x14ac:dyDescent="0.25">
      <c r="A9155" t="str">
        <f>"1140128A00175    00"</f>
        <v>1140128A00175    00</v>
      </c>
      <c r="B9155" t="s">
        <v>20238</v>
      </c>
      <c r="C9155" t="s">
        <v>20239</v>
      </c>
      <c r="E9155" t="s">
        <v>39</v>
      </c>
      <c r="F9155">
        <v>0</v>
      </c>
      <c r="G9155">
        <v>0</v>
      </c>
      <c r="H9155">
        <v>1</v>
      </c>
      <c r="I9155" s="3">
        <v>3785.31</v>
      </c>
      <c r="J9155" s="3">
        <v>1198.6300000000001</v>
      </c>
      <c r="K9155" t="s">
        <v>20240</v>
      </c>
      <c r="M9155" t="s">
        <v>20241</v>
      </c>
      <c r="N9155" t="s">
        <v>30</v>
      </c>
      <c r="O9155" t="s">
        <v>31</v>
      </c>
      <c r="P9155" t="str">
        <f t="shared" si="105"/>
        <v>15217</v>
      </c>
    </row>
    <row r="9156" spans="1:16" x14ac:dyDescent="0.25">
      <c r="A9156" t="str">
        <f>"1140128E00021    00"</f>
        <v>1140128E00021    00</v>
      </c>
      <c r="B9156" t="s">
        <v>20242</v>
      </c>
      <c r="C9156" t="s">
        <v>20243</v>
      </c>
      <c r="D9156" t="s">
        <v>20</v>
      </c>
      <c r="E9156" t="s">
        <v>39</v>
      </c>
      <c r="F9156">
        <v>0</v>
      </c>
      <c r="G9156">
        <v>0</v>
      </c>
      <c r="H9156">
        <v>2</v>
      </c>
      <c r="I9156" s="3">
        <v>3717.83</v>
      </c>
      <c r="J9156" s="3">
        <v>504.24</v>
      </c>
      <c r="L9156">
        <v>6443</v>
      </c>
      <c r="M9156" t="s">
        <v>19095</v>
      </c>
      <c r="N9156" t="s">
        <v>30</v>
      </c>
      <c r="O9156" t="s">
        <v>31</v>
      </c>
      <c r="P9156" t="str">
        <f t="shared" si="105"/>
        <v>15217</v>
      </c>
    </row>
    <row r="9157" spans="1:16" x14ac:dyDescent="0.25">
      <c r="A9157" t="str">
        <f>"1140128E00048    00"</f>
        <v>1140128E00048    00</v>
      </c>
      <c r="B9157" t="s">
        <v>20244</v>
      </c>
      <c r="C9157" t="s">
        <v>20245</v>
      </c>
      <c r="E9157" t="s">
        <v>39</v>
      </c>
      <c r="F9157">
        <v>0</v>
      </c>
      <c r="G9157">
        <v>0</v>
      </c>
      <c r="H9157">
        <v>1</v>
      </c>
      <c r="I9157" s="3">
        <v>741.44</v>
      </c>
      <c r="J9157" s="3">
        <v>18.54</v>
      </c>
      <c r="L9157">
        <v>2546</v>
      </c>
      <c r="M9157" t="s">
        <v>1695</v>
      </c>
      <c r="N9157" t="s">
        <v>30</v>
      </c>
      <c r="O9157" t="s">
        <v>31</v>
      </c>
      <c r="P9157" t="str">
        <f t="shared" si="105"/>
        <v>15217</v>
      </c>
    </row>
    <row r="9158" spans="1:16" x14ac:dyDescent="0.25">
      <c r="A9158" t="str">
        <f>"1140128E00100    00"</f>
        <v>1140128E00100    00</v>
      </c>
      <c r="B9158" t="s">
        <v>20246</v>
      </c>
      <c r="C9158" t="s">
        <v>20247</v>
      </c>
      <c r="E9158" t="s">
        <v>39</v>
      </c>
      <c r="F9158">
        <v>0</v>
      </c>
      <c r="G9158">
        <v>0</v>
      </c>
      <c r="H9158">
        <v>4</v>
      </c>
      <c r="I9158" s="3">
        <v>613.04</v>
      </c>
      <c r="J9158" s="3">
        <v>808.42</v>
      </c>
      <c r="M9158" t="s">
        <v>593</v>
      </c>
      <c r="N9158" t="s">
        <v>30</v>
      </c>
      <c r="O9158" t="s">
        <v>31</v>
      </c>
      <c r="P9158" t="str">
        <f t="shared" si="105"/>
        <v>15217</v>
      </c>
    </row>
    <row r="9159" spans="1:16" x14ac:dyDescent="0.25">
      <c r="A9159" t="str">
        <f>"1140128J00014    00"</f>
        <v>1140128J00014    00</v>
      </c>
      <c r="B9159" t="s">
        <v>20248</v>
      </c>
      <c r="C9159" t="s">
        <v>20249</v>
      </c>
      <c r="E9159" t="s">
        <v>39</v>
      </c>
      <c r="F9159">
        <v>0</v>
      </c>
      <c r="G9159">
        <v>0</v>
      </c>
      <c r="H9159">
        <v>1</v>
      </c>
      <c r="I9159" s="3">
        <v>3134.81</v>
      </c>
      <c r="J9159" s="3">
        <v>862.04</v>
      </c>
      <c r="L9159">
        <v>2601</v>
      </c>
      <c r="M9159" t="s">
        <v>1695</v>
      </c>
      <c r="N9159" t="s">
        <v>30</v>
      </c>
      <c r="O9159" t="s">
        <v>31</v>
      </c>
      <c r="P9159" t="str">
        <f t="shared" si="105"/>
        <v>15217</v>
      </c>
    </row>
    <row r="9160" spans="1:16" x14ac:dyDescent="0.25">
      <c r="A9160" t="str">
        <f>"1140128J00030    00"</f>
        <v>1140128J00030    00</v>
      </c>
      <c r="B9160" t="s">
        <v>20250</v>
      </c>
      <c r="C9160" t="s">
        <v>20251</v>
      </c>
      <c r="D9160" t="s">
        <v>20</v>
      </c>
      <c r="E9160" t="s">
        <v>39</v>
      </c>
      <c r="F9160">
        <v>0</v>
      </c>
      <c r="G9160">
        <v>0</v>
      </c>
      <c r="H9160">
        <v>3</v>
      </c>
      <c r="I9160" s="3">
        <v>358.15</v>
      </c>
      <c r="J9160" s="3">
        <v>8.35</v>
      </c>
      <c r="K9160" t="s">
        <v>1632</v>
      </c>
      <c r="M9160" t="s">
        <v>1633</v>
      </c>
      <c r="N9160" t="s">
        <v>1634</v>
      </c>
      <c r="O9160" t="s">
        <v>25</v>
      </c>
      <c r="P9160" t="str">
        <f>"45401"</f>
        <v>45401</v>
      </c>
    </row>
    <row r="9161" spans="1:16" x14ac:dyDescent="0.25">
      <c r="A9161" t="str">
        <f>"1140128J00103    00"</f>
        <v>1140128J00103    00</v>
      </c>
      <c r="B9161" t="s">
        <v>20252</v>
      </c>
      <c r="C9161" t="s">
        <v>20253</v>
      </c>
      <c r="D9161" t="s">
        <v>20</v>
      </c>
      <c r="E9161" t="s">
        <v>39</v>
      </c>
      <c r="F9161">
        <v>0</v>
      </c>
      <c r="G9161">
        <v>0</v>
      </c>
      <c r="H9161">
        <v>3</v>
      </c>
      <c r="I9161" s="3">
        <v>8002.41</v>
      </c>
      <c r="J9161" s="3">
        <v>468.12</v>
      </c>
      <c r="K9161" t="s">
        <v>20254</v>
      </c>
      <c r="L9161">
        <v>5500</v>
      </c>
      <c r="M9161" t="s">
        <v>18920</v>
      </c>
      <c r="N9161" t="s">
        <v>30</v>
      </c>
      <c r="O9161" t="s">
        <v>31</v>
      </c>
      <c r="P9161" t="str">
        <f>"15217"</f>
        <v>15217</v>
      </c>
    </row>
    <row r="9162" spans="1:16" x14ac:dyDescent="0.25">
      <c r="A9162" t="str">
        <f>"1140128J00122    00"</f>
        <v>1140128J00122    00</v>
      </c>
      <c r="B9162" t="s">
        <v>20255</v>
      </c>
      <c r="C9162" t="s">
        <v>20256</v>
      </c>
      <c r="D9162" t="s">
        <v>20</v>
      </c>
      <c r="E9162" t="s">
        <v>39</v>
      </c>
      <c r="F9162">
        <v>0</v>
      </c>
      <c r="G9162">
        <v>0</v>
      </c>
      <c r="H9162">
        <v>3</v>
      </c>
      <c r="I9162" s="3">
        <v>10566.87</v>
      </c>
      <c r="J9162" s="3">
        <v>234.81</v>
      </c>
      <c r="K9162" t="s">
        <v>557</v>
      </c>
      <c r="L9162">
        <v>3001</v>
      </c>
      <c r="M9162" t="s">
        <v>330</v>
      </c>
      <c r="N9162" t="s">
        <v>331</v>
      </c>
      <c r="O9162" t="s">
        <v>108</v>
      </c>
      <c r="P9162" t="str">
        <f>"75063"</f>
        <v>75063</v>
      </c>
    </row>
    <row r="9163" spans="1:16" x14ac:dyDescent="0.25">
      <c r="A9163" t="str">
        <f>"1140128J00208    00"</f>
        <v>1140128J00208    00</v>
      </c>
      <c r="B9163" t="s">
        <v>20257</v>
      </c>
      <c r="C9163" t="s">
        <v>20258</v>
      </c>
      <c r="D9163" t="s">
        <v>20</v>
      </c>
      <c r="E9163" t="s">
        <v>39</v>
      </c>
      <c r="F9163">
        <v>0</v>
      </c>
      <c r="G9163">
        <v>0</v>
      </c>
      <c r="H9163">
        <v>1</v>
      </c>
      <c r="I9163" s="3">
        <v>54.94</v>
      </c>
      <c r="J9163" s="3">
        <v>0</v>
      </c>
      <c r="K9163" t="s">
        <v>20259</v>
      </c>
      <c r="L9163">
        <v>2579</v>
      </c>
      <c r="M9163" t="s">
        <v>1695</v>
      </c>
      <c r="N9163" t="s">
        <v>30</v>
      </c>
      <c r="O9163" t="s">
        <v>31</v>
      </c>
      <c r="P9163" t="str">
        <f>"15217"</f>
        <v>15217</v>
      </c>
    </row>
    <row r="9164" spans="1:16" x14ac:dyDescent="0.25">
      <c r="A9164" t="str">
        <f>"1140128J00308    00"</f>
        <v>1140128J00308    00</v>
      </c>
      <c r="B9164" t="s">
        <v>20260</v>
      </c>
      <c r="C9164" t="s">
        <v>20261</v>
      </c>
      <c r="D9164" t="s">
        <v>20</v>
      </c>
      <c r="E9164" t="s">
        <v>39</v>
      </c>
      <c r="F9164">
        <v>0</v>
      </c>
      <c r="G9164">
        <v>0</v>
      </c>
      <c r="H9164">
        <v>1</v>
      </c>
      <c r="I9164" s="3">
        <v>2323.42</v>
      </c>
      <c r="J9164" s="3">
        <v>0</v>
      </c>
      <c r="K9164" t="s">
        <v>9114</v>
      </c>
      <c r="M9164" t="s">
        <v>9115</v>
      </c>
      <c r="N9164" t="s">
        <v>264</v>
      </c>
      <c r="O9164" t="s">
        <v>25</v>
      </c>
      <c r="P9164" t="str">
        <f>"45263"</f>
        <v>45263</v>
      </c>
    </row>
    <row r="9165" spans="1:16" x14ac:dyDescent="0.25">
      <c r="A9165" t="str">
        <f>"1140128J00312    00"</f>
        <v>1140128J00312    00</v>
      </c>
      <c r="B9165" t="s">
        <v>20262</v>
      </c>
      <c r="C9165" t="s">
        <v>20263</v>
      </c>
      <c r="D9165" t="s">
        <v>20</v>
      </c>
      <c r="E9165" t="s">
        <v>39</v>
      </c>
      <c r="F9165">
        <v>0</v>
      </c>
      <c r="G9165">
        <v>0</v>
      </c>
      <c r="H9165">
        <v>3</v>
      </c>
      <c r="I9165" s="3">
        <v>12045.24</v>
      </c>
      <c r="J9165" s="3">
        <v>440.3</v>
      </c>
      <c r="K9165" t="s">
        <v>20264</v>
      </c>
      <c r="L9165">
        <v>2527</v>
      </c>
      <c r="M9165" t="s">
        <v>593</v>
      </c>
      <c r="N9165" t="s">
        <v>30</v>
      </c>
      <c r="O9165" t="s">
        <v>31</v>
      </c>
      <c r="P9165" t="str">
        <f>"15217"</f>
        <v>15217</v>
      </c>
    </row>
    <row r="9166" spans="1:16" x14ac:dyDescent="0.25">
      <c r="A9166" t="str">
        <f>"1140128J00314    00"</f>
        <v>1140128J00314    00</v>
      </c>
      <c r="B9166" t="s">
        <v>20265</v>
      </c>
      <c r="C9166" t="s">
        <v>20266</v>
      </c>
      <c r="E9166" t="s">
        <v>39</v>
      </c>
      <c r="F9166">
        <v>0</v>
      </c>
      <c r="G9166">
        <v>0</v>
      </c>
      <c r="H9166">
        <v>1</v>
      </c>
      <c r="I9166" s="3">
        <v>1452.21</v>
      </c>
      <c r="J9166" s="3">
        <v>409.37</v>
      </c>
      <c r="K9166" t="s">
        <v>20267</v>
      </c>
      <c r="L9166">
        <v>2521</v>
      </c>
      <c r="M9166" t="s">
        <v>20268</v>
      </c>
      <c r="N9166" t="s">
        <v>30</v>
      </c>
      <c r="O9166" t="s">
        <v>31</v>
      </c>
      <c r="P9166" t="str">
        <f>"15217"</f>
        <v>15217</v>
      </c>
    </row>
    <row r="9167" spans="1:16" x14ac:dyDescent="0.25">
      <c r="A9167" t="str">
        <f>"1140128K00019    00"</f>
        <v>1140128K00019    00</v>
      </c>
      <c r="B9167" t="s">
        <v>20269</v>
      </c>
      <c r="C9167" t="s">
        <v>20270</v>
      </c>
      <c r="E9167" t="s">
        <v>39</v>
      </c>
      <c r="F9167">
        <v>0</v>
      </c>
      <c r="G9167">
        <v>0</v>
      </c>
      <c r="H9167">
        <v>1</v>
      </c>
      <c r="I9167" s="3">
        <v>106.22</v>
      </c>
      <c r="J9167" s="3">
        <v>0</v>
      </c>
      <c r="K9167" t="s">
        <v>1632</v>
      </c>
      <c r="M9167" t="s">
        <v>1633</v>
      </c>
      <c r="N9167" t="s">
        <v>1634</v>
      </c>
      <c r="O9167" t="s">
        <v>25</v>
      </c>
      <c r="P9167" t="str">
        <f>"45401"</f>
        <v>45401</v>
      </c>
    </row>
    <row r="9168" spans="1:16" x14ac:dyDescent="0.25">
      <c r="A9168" t="str">
        <f>"1140128K00026    00"</f>
        <v>1140128K00026    00</v>
      </c>
      <c r="B9168" t="s">
        <v>20271</v>
      </c>
      <c r="C9168" t="s">
        <v>20272</v>
      </c>
      <c r="E9168" t="s">
        <v>39</v>
      </c>
      <c r="F9168">
        <v>0</v>
      </c>
      <c r="G9168">
        <v>0</v>
      </c>
      <c r="H9168">
        <v>1</v>
      </c>
      <c r="I9168" s="3">
        <v>1844.12</v>
      </c>
      <c r="J9168" s="3">
        <v>507.11</v>
      </c>
      <c r="L9168">
        <v>1174</v>
      </c>
      <c r="M9168" t="s">
        <v>1695</v>
      </c>
      <c r="N9168" t="s">
        <v>30</v>
      </c>
      <c r="O9168" t="s">
        <v>31</v>
      </c>
      <c r="P9168" t="str">
        <f>"15206"</f>
        <v>15206</v>
      </c>
    </row>
    <row r="9169" spans="1:16" x14ac:dyDescent="0.25">
      <c r="A9169" t="str">
        <f>"1140128N00003    00"</f>
        <v>1140128N00003    00</v>
      </c>
      <c r="B9169" t="s">
        <v>20273</v>
      </c>
      <c r="C9169" t="s">
        <v>20274</v>
      </c>
      <c r="E9169" t="s">
        <v>39</v>
      </c>
      <c r="F9169">
        <v>0</v>
      </c>
      <c r="G9169">
        <v>0</v>
      </c>
      <c r="H9169">
        <v>1</v>
      </c>
      <c r="I9169" s="3">
        <v>2415.81</v>
      </c>
      <c r="J9169" s="3">
        <v>764.96</v>
      </c>
      <c r="K9169" t="s">
        <v>403</v>
      </c>
      <c r="L9169">
        <v>3001</v>
      </c>
      <c r="M9169" t="s">
        <v>404</v>
      </c>
      <c r="N9169" t="s">
        <v>331</v>
      </c>
      <c r="O9169" t="s">
        <v>108</v>
      </c>
      <c r="P9169" t="str">
        <f>"75063"</f>
        <v>75063</v>
      </c>
    </row>
    <row r="9170" spans="1:16" x14ac:dyDescent="0.25">
      <c r="A9170" t="str">
        <f>"1140128N00009    00"</f>
        <v>1140128N00009    00</v>
      </c>
      <c r="B9170" t="s">
        <v>20275</v>
      </c>
      <c r="C9170" t="s">
        <v>20276</v>
      </c>
      <c r="E9170" t="s">
        <v>66</v>
      </c>
      <c r="F9170">
        <v>0</v>
      </c>
      <c r="G9170">
        <v>0</v>
      </c>
      <c r="H9170">
        <v>1</v>
      </c>
      <c r="I9170" s="3">
        <v>84.05</v>
      </c>
      <c r="J9170" s="3">
        <v>114.17</v>
      </c>
      <c r="K9170" t="s">
        <v>20277</v>
      </c>
      <c r="L9170">
        <v>30</v>
      </c>
      <c r="M9170" t="s">
        <v>946</v>
      </c>
      <c r="N9170" t="s">
        <v>30</v>
      </c>
      <c r="O9170" t="s">
        <v>31</v>
      </c>
      <c r="P9170" t="str">
        <f>"15212"</f>
        <v>15212</v>
      </c>
    </row>
    <row r="9171" spans="1:16" x14ac:dyDescent="0.25">
      <c r="A9171" t="str">
        <f>"1140128N000272A  00"</f>
        <v>1140128N000272A  00</v>
      </c>
      <c r="B9171" t="s">
        <v>20278</v>
      </c>
      <c r="C9171" t="s">
        <v>20279</v>
      </c>
      <c r="E9171" t="s">
        <v>39</v>
      </c>
      <c r="F9171">
        <v>0</v>
      </c>
      <c r="G9171">
        <v>0</v>
      </c>
      <c r="H9171">
        <v>2</v>
      </c>
      <c r="I9171" s="3">
        <v>666.1</v>
      </c>
      <c r="J9171" s="3">
        <v>45.55</v>
      </c>
      <c r="K9171" t="s">
        <v>756</v>
      </c>
      <c r="L9171">
        <v>3001</v>
      </c>
      <c r="M9171" t="s">
        <v>330</v>
      </c>
      <c r="N9171" t="s">
        <v>331</v>
      </c>
      <c r="O9171" t="s">
        <v>108</v>
      </c>
      <c r="P9171" t="str">
        <f>"75063"</f>
        <v>75063</v>
      </c>
    </row>
    <row r="9172" spans="1:16" x14ac:dyDescent="0.25">
      <c r="A9172" t="str">
        <f>"1140128N000272J  00"</f>
        <v>1140128N000272J  00</v>
      </c>
      <c r="B9172" t="s">
        <v>20280</v>
      </c>
      <c r="C9172" t="s">
        <v>20281</v>
      </c>
      <c r="D9172" t="s">
        <v>20</v>
      </c>
      <c r="E9172" t="s">
        <v>39</v>
      </c>
      <c r="F9172">
        <v>0</v>
      </c>
      <c r="G9172">
        <v>0</v>
      </c>
      <c r="H9172">
        <v>1</v>
      </c>
      <c r="I9172" s="3">
        <v>86.73</v>
      </c>
      <c r="J9172" s="3">
        <v>0</v>
      </c>
      <c r="L9172">
        <v>1220</v>
      </c>
      <c r="M9172" t="s">
        <v>20282</v>
      </c>
      <c r="N9172" t="s">
        <v>30</v>
      </c>
      <c r="O9172" t="s">
        <v>31</v>
      </c>
      <c r="P9172" t="str">
        <f>"15217"</f>
        <v>15217</v>
      </c>
    </row>
    <row r="9173" spans="1:16" x14ac:dyDescent="0.25">
      <c r="A9173" t="str">
        <f>"1140128N00147    00"</f>
        <v>1140128N00147    00</v>
      </c>
      <c r="B9173" t="s">
        <v>20283</v>
      </c>
      <c r="C9173" t="s">
        <v>20284</v>
      </c>
      <c r="E9173" t="s">
        <v>39</v>
      </c>
      <c r="F9173">
        <v>0</v>
      </c>
      <c r="G9173">
        <v>0</v>
      </c>
      <c r="H9173">
        <v>2</v>
      </c>
      <c r="I9173" s="3">
        <v>6720.58</v>
      </c>
      <c r="J9173" s="3">
        <v>336.01</v>
      </c>
      <c r="K9173" t="s">
        <v>329</v>
      </c>
      <c r="L9173">
        <v>3001</v>
      </c>
      <c r="M9173" t="s">
        <v>330</v>
      </c>
      <c r="N9173" t="s">
        <v>331</v>
      </c>
      <c r="O9173" t="s">
        <v>108</v>
      </c>
      <c r="P9173" t="str">
        <f>"75063"</f>
        <v>75063</v>
      </c>
    </row>
    <row r="9174" spans="1:16" x14ac:dyDescent="0.25">
      <c r="A9174" t="str">
        <f>"1140128N00181    00"</f>
        <v>1140128N00181    00</v>
      </c>
      <c r="B9174" t="s">
        <v>20285</v>
      </c>
      <c r="C9174" t="s">
        <v>20286</v>
      </c>
      <c r="E9174" t="s">
        <v>39</v>
      </c>
      <c r="F9174">
        <v>0</v>
      </c>
      <c r="G9174">
        <v>0</v>
      </c>
      <c r="H9174">
        <v>1</v>
      </c>
      <c r="I9174" s="3">
        <v>3485.85</v>
      </c>
      <c r="J9174" s="3">
        <v>1045.72</v>
      </c>
      <c r="L9174">
        <v>129</v>
      </c>
      <c r="M9174" t="s">
        <v>19270</v>
      </c>
      <c r="N9174" t="s">
        <v>30</v>
      </c>
      <c r="O9174" t="s">
        <v>31</v>
      </c>
      <c r="P9174" t="str">
        <f>"15217"</f>
        <v>15217</v>
      </c>
    </row>
    <row r="9175" spans="1:16" x14ac:dyDescent="0.25">
      <c r="A9175" t="str">
        <f>"1140128N00202    00"</f>
        <v>1140128N00202    00</v>
      </c>
      <c r="B9175" t="s">
        <v>20287</v>
      </c>
      <c r="C9175" t="s">
        <v>20288</v>
      </c>
      <c r="D9175" t="s">
        <v>20</v>
      </c>
      <c r="E9175" t="s">
        <v>39</v>
      </c>
      <c r="F9175">
        <v>0</v>
      </c>
      <c r="G9175">
        <v>0</v>
      </c>
      <c r="H9175">
        <v>3</v>
      </c>
      <c r="I9175" s="3">
        <v>5702.77</v>
      </c>
      <c r="J9175" s="3">
        <v>147.65</v>
      </c>
      <c r="K9175" t="s">
        <v>756</v>
      </c>
      <c r="L9175">
        <v>3001</v>
      </c>
      <c r="M9175" t="s">
        <v>330</v>
      </c>
      <c r="N9175" t="s">
        <v>331</v>
      </c>
      <c r="O9175" t="s">
        <v>108</v>
      </c>
      <c r="P9175" t="str">
        <f>"75063"</f>
        <v>75063</v>
      </c>
    </row>
    <row r="9176" spans="1:16" x14ac:dyDescent="0.25">
      <c r="A9176" t="str">
        <f>"1140128N00293    00"</f>
        <v>1140128N00293    00</v>
      </c>
      <c r="B9176" t="s">
        <v>20289</v>
      </c>
      <c r="C9176" t="s">
        <v>20290</v>
      </c>
      <c r="E9176" t="s">
        <v>39</v>
      </c>
      <c r="F9176">
        <v>0</v>
      </c>
      <c r="G9176">
        <v>0</v>
      </c>
      <c r="H9176">
        <v>1</v>
      </c>
      <c r="I9176" s="3">
        <v>3944</v>
      </c>
      <c r="J9176" s="3">
        <v>1380.34</v>
      </c>
      <c r="K9176" t="s">
        <v>4293</v>
      </c>
      <c r="L9176">
        <v>411</v>
      </c>
      <c r="M9176" t="s">
        <v>4294</v>
      </c>
      <c r="N9176" t="s">
        <v>3934</v>
      </c>
      <c r="O9176" t="s">
        <v>31</v>
      </c>
      <c r="P9176" t="str">
        <f>"15102"</f>
        <v>15102</v>
      </c>
    </row>
    <row r="9177" spans="1:16" x14ac:dyDescent="0.25">
      <c r="A9177" t="str">
        <f>"1140128N00328    00"</f>
        <v>1140128N00328    00</v>
      </c>
      <c r="B9177" t="s">
        <v>20291</v>
      </c>
      <c r="C9177" t="s">
        <v>20292</v>
      </c>
      <c r="E9177" t="s">
        <v>39</v>
      </c>
      <c r="F9177">
        <v>0</v>
      </c>
      <c r="G9177">
        <v>0</v>
      </c>
      <c r="H9177">
        <v>2</v>
      </c>
      <c r="I9177" s="3">
        <v>4852.7</v>
      </c>
      <c r="J9177" s="3">
        <v>60.66</v>
      </c>
      <c r="K9177" t="s">
        <v>5652</v>
      </c>
      <c r="L9177">
        <v>3001</v>
      </c>
      <c r="M9177" t="s">
        <v>330</v>
      </c>
      <c r="N9177" t="s">
        <v>331</v>
      </c>
      <c r="O9177" t="s">
        <v>108</v>
      </c>
      <c r="P9177" t="str">
        <f>"75063"</f>
        <v>75063</v>
      </c>
    </row>
    <row r="9178" spans="1:16" x14ac:dyDescent="0.25">
      <c r="A9178" t="str">
        <f>"1140128N00340    00"</f>
        <v>1140128N00340    00</v>
      </c>
      <c r="B9178" t="s">
        <v>20293</v>
      </c>
      <c r="C9178" t="s">
        <v>20294</v>
      </c>
      <c r="E9178" t="s">
        <v>39</v>
      </c>
      <c r="F9178">
        <v>0</v>
      </c>
      <c r="G9178">
        <v>0</v>
      </c>
      <c r="H9178">
        <v>3</v>
      </c>
      <c r="I9178" s="3">
        <v>926.82</v>
      </c>
      <c r="J9178" s="3">
        <v>77.91</v>
      </c>
      <c r="K9178" t="s">
        <v>20295</v>
      </c>
      <c r="L9178">
        <v>220</v>
      </c>
      <c r="M9178" t="s">
        <v>19270</v>
      </c>
      <c r="N9178" t="s">
        <v>30</v>
      </c>
      <c r="O9178" t="s">
        <v>31</v>
      </c>
      <c r="P9178" t="str">
        <f>"15217"</f>
        <v>15217</v>
      </c>
    </row>
    <row r="9179" spans="1:16" x14ac:dyDescent="0.25">
      <c r="A9179" t="str">
        <f>"1140128P00115    00"</f>
        <v>1140128P00115    00</v>
      </c>
      <c r="B9179" t="s">
        <v>20296</v>
      </c>
      <c r="C9179" t="s">
        <v>20297</v>
      </c>
      <c r="D9179" t="s">
        <v>20</v>
      </c>
      <c r="E9179" t="s">
        <v>39</v>
      </c>
      <c r="F9179">
        <v>0</v>
      </c>
      <c r="G9179">
        <v>0</v>
      </c>
      <c r="H9179">
        <v>2</v>
      </c>
      <c r="I9179" s="3">
        <v>793.04</v>
      </c>
      <c r="J9179" s="3">
        <v>1061.27</v>
      </c>
      <c r="L9179">
        <v>1016</v>
      </c>
      <c r="M9179" t="s">
        <v>20298</v>
      </c>
      <c r="N9179" t="s">
        <v>30</v>
      </c>
      <c r="O9179" t="s">
        <v>31</v>
      </c>
      <c r="P9179" t="str">
        <f>"15217"</f>
        <v>15217</v>
      </c>
    </row>
    <row r="9180" spans="1:16" x14ac:dyDescent="0.25">
      <c r="A9180" t="str">
        <f>"1140128P00121    00"</f>
        <v>1140128P00121    00</v>
      </c>
      <c r="B9180" t="s">
        <v>20299</v>
      </c>
      <c r="C9180" t="s">
        <v>20300</v>
      </c>
      <c r="E9180" t="s">
        <v>39</v>
      </c>
      <c r="F9180">
        <v>0</v>
      </c>
      <c r="G9180">
        <v>0</v>
      </c>
      <c r="H9180">
        <v>2</v>
      </c>
      <c r="I9180" s="3">
        <v>1467.73</v>
      </c>
      <c r="J9180" s="3">
        <v>145.41999999999999</v>
      </c>
      <c r="K9180" t="s">
        <v>20301</v>
      </c>
      <c r="L9180">
        <v>1028</v>
      </c>
      <c r="M9180" t="s">
        <v>20298</v>
      </c>
      <c r="N9180" t="s">
        <v>30</v>
      </c>
      <c r="O9180" t="s">
        <v>31</v>
      </c>
      <c r="P9180" t="str">
        <f>"15217"</f>
        <v>15217</v>
      </c>
    </row>
    <row r="9181" spans="1:16" x14ac:dyDescent="0.25">
      <c r="A9181" t="str">
        <f>"1140128P00150    00"</f>
        <v>1140128P00150    00</v>
      </c>
      <c r="B9181" t="s">
        <v>20302</v>
      </c>
      <c r="C9181" t="s">
        <v>20303</v>
      </c>
      <c r="D9181" t="s">
        <v>57</v>
      </c>
      <c r="E9181" t="s">
        <v>39</v>
      </c>
      <c r="F9181">
        <v>0</v>
      </c>
      <c r="G9181">
        <v>0</v>
      </c>
      <c r="H9181">
        <v>2</v>
      </c>
      <c r="I9181" s="3">
        <v>2756.1</v>
      </c>
      <c r="J9181" s="3">
        <v>91.87</v>
      </c>
      <c r="K9181" t="s">
        <v>1135</v>
      </c>
      <c r="L9181">
        <v>3001</v>
      </c>
      <c r="M9181" t="s">
        <v>330</v>
      </c>
      <c r="N9181" t="s">
        <v>331</v>
      </c>
      <c r="O9181" t="s">
        <v>108</v>
      </c>
      <c r="P9181" t="str">
        <f>"75063"</f>
        <v>75063</v>
      </c>
    </row>
    <row r="9182" spans="1:16" x14ac:dyDescent="0.25">
      <c r="A9182" t="str">
        <f>"1140128S00117    00"</f>
        <v>1140128S00117    00</v>
      </c>
      <c r="B9182" t="s">
        <v>20304</v>
      </c>
      <c r="C9182" t="s">
        <v>20305</v>
      </c>
      <c r="E9182" t="s">
        <v>39</v>
      </c>
      <c r="F9182">
        <v>0</v>
      </c>
      <c r="G9182">
        <v>0</v>
      </c>
      <c r="H9182">
        <v>2</v>
      </c>
      <c r="I9182" s="3">
        <v>5657</v>
      </c>
      <c r="J9182" s="3">
        <v>188.56</v>
      </c>
      <c r="K9182" t="s">
        <v>20306</v>
      </c>
      <c r="L9182">
        <v>1160</v>
      </c>
      <c r="M9182" t="s">
        <v>20307</v>
      </c>
      <c r="N9182" t="s">
        <v>30</v>
      </c>
      <c r="O9182" t="s">
        <v>31</v>
      </c>
      <c r="P9182" t="str">
        <f>"15218"</f>
        <v>15218</v>
      </c>
    </row>
    <row r="9183" spans="1:16" x14ac:dyDescent="0.25">
      <c r="A9183" t="str">
        <f>"1140128S00120    00"</f>
        <v>1140128S00120    00</v>
      </c>
      <c r="B9183" t="s">
        <v>20308</v>
      </c>
      <c r="C9183" t="s">
        <v>20309</v>
      </c>
      <c r="D9183" t="s">
        <v>57</v>
      </c>
      <c r="E9183" t="s">
        <v>39</v>
      </c>
      <c r="F9183">
        <v>0</v>
      </c>
      <c r="G9183">
        <v>0</v>
      </c>
      <c r="H9183">
        <v>1</v>
      </c>
      <c r="I9183" s="3">
        <v>3288.44</v>
      </c>
      <c r="J9183" s="3">
        <v>602.85</v>
      </c>
      <c r="K9183" t="s">
        <v>4397</v>
      </c>
      <c r="L9183">
        <v>11819</v>
      </c>
      <c r="M9183" t="s">
        <v>5633</v>
      </c>
      <c r="N9183" t="s">
        <v>5634</v>
      </c>
      <c r="O9183" t="s">
        <v>5635</v>
      </c>
      <c r="P9183" t="str">
        <f>"68164"</f>
        <v>68164</v>
      </c>
    </row>
    <row r="9184" spans="1:16" x14ac:dyDescent="0.25">
      <c r="A9184" t="str">
        <f>"1140129A00050    00"</f>
        <v>1140129A00050    00</v>
      </c>
      <c r="B9184" t="s">
        <v>20310</v>
      </c>
      <c r="C9184" t="s">
        <v>20311</v>
      </c>
      <c r="E9184" t="s">
        <v>39</v>
      </c>
      <c r="F9184">
        <v>0</v>
      </c>
      <c r="G9184">
        <v>0</v>
      </c>
      <c r="H9184">
        <v>1</v>
      </c>
      <c r="I9184" s="3">
        <v>2099.25</v>
      </c>
      <c r="J9184" s="3">
        <v>577.28</v>
      </c>
      <c r="K9184" t="s">
        <v>20312</v>
      </c>
      <c r="L9184">
        <v>19</v>
      </c>
      <c r="M9184" t="s">
        <v>20313</v>
      </c>
      <c r="N9184" t="s">
        <v>30</v>
      </c>
      <c r="O9184" t="s">
        <v>31</v>
      </c>
      <c r="P9184" t="str">
        <f>"15217"</f>
        <v>15217</v>
      </c>
    </row>
    <row r="9185" spans="1:16" x14ac:dyDescent="0.25">
      <c r="A9185" t="str">
        <f>"1140129A00060    00"</f>
        <v>1140129A00060    00</v>
      </c>
      <c r="B9185" t="s">
        <v>20314</v>
      </c>
      <c r="C9185" t="s">
        <v>20315</v>
      </c>
      <c r="E9185" t="s">
        <v>39</v>
      </c>
      <c r="F9185">
        <v>0</v>
      </c>
      <c r="G9185">
        <v>0</v>
      </c>
      <c r="H9185">
        <v>1</v>
      </c>
      <c r="I9185" s="3">
        <v>8509.7000000000007</v>
      </c>
      <c r="J9185" s="3">
        <v>1914.61</v>
      </c>
      <c r="L9185">
        <v>29</v>
      </c>
      <c r="M9185" t="s">
        <v>20313</v>
      </c>
      <c r="N9185" t="s">
        <v>30</v>
      </c>
      <c r="O9185" t="s">
        <v>31</v>
      </c>
      <c r="P9185" t="str">
        <f>"15217"</f>
        <v>15217</v>
      </c>
    </row>
    <row r="9186" spans="1:16" x14ac:dyDescent="0.25">
      <c r="A9186" t="str">
        <f>"1140129A00088    00"</f>
        <v>1140129A00088    00</v>
      </c>
      <c r="B9186" t="s">
        <v>20316</v>
      </c>
      <c r="C9186" t="s">
        <v>20317</v>
      </c>
      <c r="D9186" t="s">
        <v>20</v>
      </c>
      <c r="E9186" t="s">
        <v>39</v>
      </c>
      <c r="F9186">
        <v>0</v>
      </c>
      <c r="G9186">
        <v>0</v>
      </c>
      <c r="H9186">
        <v>1</v>
      </c>
      <c r="I9186" s="3">
        <v>6785.83</v>
      </c>
      <c r="J9186" s="3">
        <v>0</v>
      </c>
      <c r="K9186" t="s">
        <v>8657</v>
      </c>
      <c r="L9186">
        <v>901</v>
      </c>
      <c r="M9186" t="s">
        <v>1503</v>
      </c>
      <c r="N9186" t="s">
        <v>494</v>
      </c>
      <c r="O9186" t="s">
        <v>495</v>
      </c>
      <c r="P9186" t="str">
        <f>"91768"</f>
        <v>91768</v>
      </c>
    </row>
    <row r="9187" spans="1:16" x14ac:dyDescent="0.25">
      <c r="A9187" t="str">
        <f>"1140129A00128    00"</f>
        <v>1140129A00128    00</v>
      </c>
      <c r="B9187" t="s">
        <v>20318</v>
      </c>
      <c r="C9187" t="s">
        <v>20319</v>
      </c>
      <c r="E9187" t="s">
        <v>39</v>
      </c>
      <c r="F9187">
        <v>0</v>
      </c>
      <c r="G9187">
        <v>0</v>
      </c>
      <c r="H9187">
        <v>1</v>
      </c>
      <c r="I9187" s="3">
        <v>3827.3</v>
      </c>
      <c r="J9187" s="3">
        <v>1211.92</v>
      </c>
      <c r="K9187" t="s">
        <v>391</v>
      </c>
      <c r="L9187">
        <v>1</v>
      </c>
      <c r="M9187" t="s">
        <v>392</v>
      </c>
      <c r="N9187" t="s">
        <v>393</v>
      </c>
      <c r="O9187" t="s">
        <v>394</v>
      </c>
      <c r="P9187" t="str">
        <f>"50328"</f>
        <v>50328</v>
      </c>
    </row>
    <row r="9188" spans="1:16" x14ac:dyDescent="0.25">
      <c r="A9188" t="str">
        <f>"1140129A00205003200"</f>
        <v>1140129A00205003200</v>
      </c>
      <c r="B9188" t="s">
        <v>20320</v>
      </c>
      <c r="C9188" t="s">
        <v>20321</v>
      </c>
      <c r="E9188" t="s">
        <v>39</v>
      </c>
      <c r="F9188">
        <v>0</v>
      </c>
      <c r="G9188">
        <v>0</v>
      </c>
      <c r="H9188">
        <v>1</v>
      </c>
      <c r="I9188" s="3">
        <v>4190.68</v>
      </c>
      <c r="J9188" s="3">
        <v>1292.07</v>
      </c>
      <c r="K9188" t="s">
        <v>408</v>
      </c>
      <c r="M9188" t="s">
        <v>409</v>
      </c>
      <c r="N9188" t="s">
        <v>410</v>
      </c>
      <c r="O9188" t="s">
        <v>31</v>
      </c>
      <c r="P9188" t="str">
        <f>"15701"</f>
        <v>15701</v>
      </c>
    </row>
    <row r="9189" spans="1:16" x14ac:dyDescent="0.25">
      <c r="A9189" t="str">
        <f>"1140129A00231    00"</f>
        <v>1140129A00231    00</v>
      </c>
      <c r="B9189" t="s">
        <v>20322</v>
      </c>
      <c r="C9189" t="s">
        <v>20323</v>
      </c>
      <c r="D9189" t="s">
        <v>57</v>
      </c>
      <c r="E9189" t="s">
        <v>39</v>
      </c>
      <c r="F9189">
        <v>0</v>
      </c>
      <c r="G9189">
        <v>0</v>
      </c>
      <c r="H9189">
        <v>2</v>
      </c>
      <c r="I9189" s="3">
        <v>1092.5</v>
      </c>
      <c r="J9189" s="3">
        <v>74.709999999999994</v>
      </c>
      <c r="K9189" t="s">
        <v>4424</v>
      </c>
      <c r="L9189">
        <v>3001</v>
      </c>
      <c r="M9189" t="s">
        <v>330</v>
      </c>
      <c r="N9189" t="s">
        <v>331</v>
      </c>
      <c r="O9189" t="s">
        <v>108</v>
      </c>
      <c r="P9189" t="str">
        <f>"75063"</f>
        <v>75063</v>
      </c>
    </row>
    <row r="9190" spans="1:16" x14ac:dyDescent="0.25">
      <c r="A9190" t="str">
        <f>"1140129C00008    00"</f>
        <v>1140129C00008    00</v>
      </c>
      <c r="B9190" t="s">
        <v>20324</v>
      </c>
      <c r="C9190" t="s">
        <v>20325</v>
      </c>
      <c r="D9190" t="s">
        <v>20</v>
      </c>
      <c r="E9190" t="s">
        <v>39</v>
      </c>
      <c r="F9190">
        <v>0</v>
      </c>
      <c r="G9190">
        <v>0</v>
      </c>
      <c r="H9190">
        <v>1</v>
      </c>
      <c r="I9190" s="3">
        <v>160.12</v>
      </c>
      <c r="J9190" s="3">
        <v>0</v>
      </c>
      <c r="K9190" t="s">
        <v>20326</v>
      </c>
      <c r="L9190">
        <v>107</v>
      </c>
      <c r="M9190" t="s">
        <v>20327</v>
      </c>
      <c r="N9190" t="s">
        <v>2059</v>
      </c>
      <c r="O9190" t="s">
        <v>31</v>
      </c>
      <c r="P9190" t="str">
        <f>"15642"</f>
        <v>15642</v>
      </c>
    </row>
    <row r="9191" spans="1:16" x14ac:dyDescent="0.25">
      <c r="A9191" t="str">
        <f>"1140129C00021    00"</f>
        <v>1140129C00021    00</v>
      </c>
      <c r="B9191" t="s">
        <v>20328</v>
      </c>
      <c r="C9191" t="s">
        <v>20329</v>
      </c>
      <c r="E9191" t="s">
        <v>39</v>
      </c>
      <c r="F9191">
        <v>0</v>
      </c>
      <c r="G9191">
        <v>0</v>
      </c>
      <c r="H9191">
        <v>1</v>
      </c>
      <c r="I9191" s="3">
        <v>27.19</v>
      </c>
      <c r="J9191" s="3">
        <v>32.18</v>
      </c>
      <c r="K9191" t="s">
        <v>391</v>
      </c>
      <c r="L9191">
        <v>1</v>
      </c>
      <c r="M9191" t="s">
        <v>392</v>
      </c>
      <c r="N9191" t="s">
        <v>393</v>
      </c>
      <c r="O9191" t="s">
        <v>394</v>
      </c>
      <c r="P9191" t="str">
        <f>"50328"</f>
        <v>50328</v>
      </c>
    </row>
    <row r="9192" spans="1:16" x14ac:dyDescent="0.25">
      <c r="A9192" t="str">
        <f>"1140129C00159    00"</f>
        <v>1140129C00159    00</v>
      </c>
      <c r="B9192" t="s">
        <v>20330</v>
      </c>
      <c r="C9192" t="s">
        <v>20331</v>
      </c>
      <c r="E9192" t="s">
        <v>39</v>
      </c>
      <c r="F9192">
        <v>0</v>
      </c>
      <c r="G9192">
        <v>0</v>
      </c>
      <c r="H9192">
        <v>1</v>
      </c>
      <c r="I9192" s="3">
        <v>1416.17</v>
      </c>
      <c r="J9192" s="3">
        <v>141.6</v>
      </c>
      <c r="L9192">
        <v>1133</v>
      </c>
      <c r="M9192" t="s">
        <v>20332</v>
      </c>
      <c r="N9192" t="s">
        <v>30</v>
      </c>
      <c r="O9192" t="s">
        <v>31</v>
      </c>
      <c r="P9192" t="str">
        <f>"15218"</f>
        <v>15218</v>
      </c>
    </row>
    <row r="9193" spans="1:16" x14ac:dyDescent="0.25">
      <c r="A9193" t="str">
        <f>"1140129C00186    00"</f>
        <v>1140129C00186    00</v>
      </c>
      <c r="B9193" t="s">
        <v>20333</v>
      </c>
      <c r="C9193" t="s">
        <v>20334</v>
      </c>
      <c r="D9193" t="s">
        <v>20</v>
      </c>
      <c r="E9193" t="s">
        <v>39</v>
      </c>
      <c r="F9193">
        <v>0</v>
      </c>
      <c r="G9193">
        <v>0</v>
      </c>
      <c r="H9193">
        <v>2</v>
      </c>
      <c r="I9193" s="3">
        <v>7255.26</v>
      </c>
      <c r="J9193" s="3">
        <v>0</v>
      </c>
      <c r="K9193" t="s">
        <v>7350</v>
      </c>
      <c r="L9193">
        <v>3001</v>
      </c>
      <c r="M9193" t="s">
        <v>330</v>
      </c>
      <c r="N9193" t="s">
        <v>331</v>
      </c>
      <c r="O9193" t="s">
        <v>108</v>
      </c>
      <c r="P9193" t="str">
        <f>"75063"</f>
        <v>75063</v>
      </c>
    </row>
    <row r="9194" spans="1:16" x14ac:dyDescent="0.25">
      <c r="A9194" t="str">
        <f>"1140129C00188    00"</f>
        <v>1140129C00188    00</v>
      </c>
      <c r="B9194" t="s">
        <v>20333</v>
      </c>
      <c r="C9194" t="s">
        <v>20334</v>
      </c>
      <c r="D9194" t="s">
        <v>20</v>
      </c>
      <c r="E9194" t="s">
        <v>39</v>
      </c>
      <c r="F9194">
        <v>0</v>
      </c>
      <c r="G9194">
        <v>0</v>
      </c>
      <c r="H9194">
        <v>2</v>
      </c>
      <c r="I9194" s="3">
        <v>918.72</v>
      </c>
      <c r="J9194" s="3">
        <v>0</v>
      </c>
      <c r="K9194" t="s">
        <v>7350</v>
      </c>
      <c r="L9194">
        <v>3001</v>
      </c>
      <c r="M9194" t="s">
        <v>330</v>
      </c>
      <c r="N9194" t="s">
        <v>331</v>
      </c>
      <c r="O9194" t="s">
        <v>108</v>
      </c>
      <c r="P9194" t="str">
        <f>"75063"</f>
        <v>75063</v>
      </c>
    </row>
    <row r="9195" spans="1:16" x14ac:dyDescent="0.25">
      <c r="A9195" t="str">
        <f>"1140129D00034    00"</f>
        <v>1140129D00034    00</v>
      </c>
      <c r="B9195" t="s">
        <v>20335</v>
      </c>
      <c r="C9195" t="s">
        <v>20336</v>
      </c>
      <c r="E9195" t="s">
        <v>39</v>
      </c>
      <c r="F9195">
        <v>0</v>
      </c>
      <c r="G9195">
        <v>0</v>
      </c>
      <c r="H9195">
        <v>1</v>
      </c>
      <c r="I9195" s="3">
        <v>26.14</v>
      </c>
      <c r="J9195" s="3">
        <v>0</v>
      </c>
      <c r="L9195">
        <v>2137</v>
      </c>
      <c r="M9195" t="s">
        <v>20337</v>
      </c>
      <c r="N9195" t="s">
        <v>30</v>
      </c>
      <c r="O9195" t="s">
        <v>31</v>
      </c>
      <c r="P9195" t="str">
        <f>"15214"</f>
        <v>15214</v>
      </c>
    </row>
    <row r="9196" spans="1:16" x14ac:dyDescent="0.25">
      <c r="A9196" t="str">
        <f>"1140129D00038    00"</f>
        <v>1140129D00038    00</v>
      </c>
      <c r="B9196" t="s">
        <v>20338</v>
      </c>
      <c r="C9196" t="s">
        <v>20339</v>
      </c>
      <c r="E9196" t="s">
        <v>39</v>
      </c>
      <c r="F9196">
        <v>0</v>
      </c>
      <c r="G9196">
        <v>0</v>
      </c>
      <c r="H9196">
        <v>2</v>
      </c>
      <c r="I9196" s="3">
        <v>3545.54</v>
      </c>
      <c r="J9196" s="3">
        <v>709.07</v>
      </c>
      <c r="K9196" t="s">
        <v>20340</v>
      </c>
      <c r="L9196">
        <v>1246</v>
      </c>
      <c r="M9196" t="s">
        <v>13084</v>
      </c>
      <c r="N9196" t="s">
        <v>30</v>
      </c>
      <c r="O9196" t="s">
        <v>31</v>
      </c>
      <c r="P9196" t="str">
        <f>"15218"</f>
        <v>15218</v>
      </c>
    </row>
    <row r="9197" spans="1:16" x14ac:dyDescent="0.25">
      <c r="A9197" t="str">
        <f>"1140129D00050    00"</f>
        <v>1140129D00050    00</v>
      </c>
      <c r="B9197" t="s">
        <v>20341</v>
      </c>
      <c r="C9197" t="s">
        <v>20342</v>
      </c>
      <c r="E9197" t="s">
        <v>39</v>
      </c>
      <c r="F9197">
        <v>0</v>
      </c>
      <c r="G9197">
        <v>0</v>
      </c>
      <c r="H9197">
        <v>3</v>
      </c>
      <c r="I9197" s="3">
        <v>6260.19</v>
      </c>
      <c r="J9197" s="3">
        <v>1308.27</v>
      </c>
      <c r="K9197" t="s">
        <v>20343</v>
      </c>
      <c r="L9197">
        <v>1156</v>
      </c>
      <c r="M9197" t="s">
        <v>20344</v>
      </c>
      <c r="N9197" t="s">
        <v>30</v>
      </c>
      <c r="O9197" t="s">
        <v>31</v>
      </c>
      <c r="P9197" t="str">
        <f>"15218"</f>
        <v>15218</v>
      </c>
    </row>
    <row r="9198" spans="1:16" x14ac:dyDescent="0.25">
      <c r="A9198" t="str">
        <f>"1140129D00103    00"</f>
        <v>1140129D00103    00</v>
      </c>
      <c r="B9198" t="s">
        <v>20345</v>
      </c>
      <c r="C9198" t="s">
        <v>20346</v>
      </c>
      <c r="E9198" t="s">
        <v>39</v>
      </c>
      <c r="F9198">
        <v>0</v>
      </c>
      <c r="G9198">
        <v>0</v>
      </c>
      <c r="H9198">
        <v>4</v>
      </c>
      <c r="I9198" s="3">
        <v>2633.78</v>
      </c>
      <c r="J9198" s="3">
        <v>76.25</v>
      </c>
      <c r="L9198">
        <v>216</v>
      </c>
      <c r="M9198" t="s">
        <v>20347</v>
      </c>
      <c r="N9198" t="s">
        <v>30</v>
      </c>
      <c r="O9198" t="s">
        <v>31</v>
      </c>
      <c r="P9198" t="str">
        <f>"15218"</f>
        <v>15218</v>
      </c>
    </row>
    <row r="9199" spans="1:16" x14ac:dyDescent="0.25">
      <c r="A9199" t="str">
        <f>"1140129D00124    00"</f>
        <v>1140129D00124    00</v>
      </c>
      <c r="B9199" t="s">
        <v>20348</v>
      </c>
      <c r="C9199" t="s">
        <v>20349</v>
      </c>
      <c r="E9199" t="s">
        <v>39</v>
      </c>
      <c r="F9199">
        <v>0</v>
      </c>
      <c r="G9199">
        <v>0</v>
      </c>
      <c r="H9199">
        <v>1</v>
      </c>
      <c r="I9199" s="3">
        <v>2586.0700000000002</v>
      </c>
      <c r="J9199" s="3">
        <v>517.19000000000005</v>
      </c>
      <c r="K9199" t="s">
        <v>20350</v>
      </c>
      <c r="L9199">
        <v>237</v>
      </c>
      <c r="M9199" t="s">
        <v>20347</v>
      </c>
      <c r="N9199" t="s">
        <v>30</v>
      </c>
      <c r="O9199" t="s">
        <v>31</v>
      </c>
      <c r="P9199" t="str">
        <f>"15218"</f>
        <v>15218</v>
      </c>
    </row>
    <row r="9200" spans="1:16" x14ac:dyDescent="0.25">
      <c r="A9200" t="str">
        <f>"1140129D00126    00"</f>
        <v>1140129D00126    00</v>
      </c>
      <c r="B9200" t="s">
        <v>20348</v>
      </c>
      <c r="C9200" t="s">
        <v>20351</v>
      </c>
      <c r="D9200" t="s">
        <v>20</v>
      </c>
      <c r="E9200" t="s">
        <v>39</v>
      </c>
      <c r="F9200">
        <v>0</v>
      </c>
      <c r="G9200">
        <v>0</v>
      </c>
      <c r="H9200">
        <v>3</v>
      </c>
      <c r="I9200" s="3">
        <v>1747.29</v>
      </c>
      <c r="J9200" s="3">
        <v>123.16</v>
      </c>
      <c r="L9200">
        <v>7520</v>
      </c>
      <c r="M9200" t="s">
        <v>20352</v>
      </c>
      <c r="N9200" t="s">
        <v>20353</v>
      </c>
      <c r="O9200" t="s">
        <v>3486</v>
      </c>
      <c r="P9200" t="str">
        <f>"60455"</f>
        <v>60455</v>
      </c>
    </row>
    <row r="9201" spans="1:16" x14ac:dyDescent="0.25">
      <c r="A9201" t="str">
        <f>"1140129D00222    00"</f>
        <v>1140129D00222    00</v>
      </c>
      <c r="B9201" t="s">
        <v>20354</v>
      </c>
      <c r="C9201" t="s">
        <v>20355</v>
      </c>
      <c r="D9201" t="s">
        <v>20</v>
      </c>
      <c r="E9201" t="s">
        <v>39</v>
      </c>
      <c r="F9201">
        <v>0</v>
      </c>
      <c r="G9201">
        <v>0</v>
      </c>
      <c r="H9201">
        <v>6</v>
      </c>
      <c r="I9201" s="3">
        <v>21176.92</v>
      </c>
      <c r="J9201" s="3">
        <v>3729.45</v>
      </c>
      <c r="L9201">
        <v>1248</v>
      </c>
      <c r="M9201" t="s">
        <v>20307</v>
      </c>
      <c r="N9201" t="s">
        <v>30</v>
      </c>
      <c r="O9201" t="s">
        <v>31</v>
      </c>
      <c r="P9201" t="str">
        <f>"15218"</f>
        <v>15218</v>
      </c>
    </row>
    <row r="9202" spans="1:16" x14ac:dyDescent="0.25">
      <c r="A9202" t="str">
        <f>"1140129D00248    00"</f>
        <v>1140129D00248    00</v>
      </c>
      <c r="B9202" t="s">
        <v>20356</v>
      </c>
      <c r="C9202" t="s">
        <v>20357</v>
      </c>
      <c r="D9202" t="s">
        <v>20</v>
      </c>
      <c r="E9202" t="s">
        <v>39</v>
      </c>
      <c r="F9202">
        <v>0</v>
      </c>
      <c r="G9202">
        <v>0</v>
      </c>
      <c r="H9202">
        <v>6</v>
      </c>
      <c r="I9202" s="3">
        <v>20694.97</v>
      </c>
      <c r="J9202" s="3">
        <v>4641.45</v>
      </c>
      <c r="L9202">
        <v>6933</v>
      </c>
      <c r="M9202" t="s">
        <v>20358</v>
      </c>
      <c r="N9202" t="s">
        <v>509</v>
      </c>
      <c r="O9202" t="s">
        <v>31</v>
      </c>
      <c r="P9202" t="str">
        <f>"19119"</f>
        <v>19119</v>
      </c>
    </row>
    <row r="9203" spans="1:16" x14ac:dyDescent="0.25">
      <c r="A9203" t="str">
        <f>"1140129G00010    00"</f>
        <v>1140129G00010    00</v>
      </c>
      <c r="B9203" t="s">
        <v>20359</v>
      </c>
      <c r="C9203" t="s">
        <v>20360</v>
      </c>
      <c r="D9203" t="s">
        <v>20</v>
      </c>
      <c r="E9203" t="s">
        <v>39</v>
      </c>
      <c r="F9203">
        <v>0</v>
      </c>
      <c r="G9203">
        <v>0</v>
      </c>
      <c r="H9203">
        <v>8</v>
      </c>
      <c r="I9203" s="3">
        <v>44.48</v>
      </c>
      <c r="J9203" s="3">
        <v>19.02</v>
      </c>
      <c r="K9203" t="s">
        <v>20361</v>
      </c>
      <c r="L9203">
        <v>1145</v>
      </c>
      <c r="M9203" t="s">
        <v>2199</v>
      </c>
      <c r="N9203" t="s">
        <v>30</v>
      </c>
      <c r="O9203" t="s">
        <v>31</v>
      </c>
      <c r="P9203" t="str">
        <f>"15218"</f>
        <v>15218</v>
      </c>
    </row>
    <row r="9204" spans="1:16" x14ac:dyDescent="0.25">
      <c r="A9204" t="str">
        <f>"1140129G00055    00"</f>
        <v>1140129G00055    00</v>
      </c>
      <c r="B9204" t="s">
        <v>20341</v>
      </c>
      <c r="C9204" t="s">
        <v>20362</v>
      </c>
      <c r="E9204" t="s">
        <v>39</v>
      </c>
      <c r="F9204">
        <v>0</v>
      </c>
      <c r="G9204">
        <v>0</v>
      </c>
      <c r="H9204">
        <v>3</v>
      </c>
      <c r="I9204" s="3">
        <v>4937.9399999999996</v>
      </c>
      <c r="J9204" s="3">
        <v>1086.94</v>
      </c>
      <c r="K9204" t="s">
        <v>20343</v>
      </c>
      <c r="L9204">
        <v>1156</v>
      </c>
      <c r="M9204" t="s">
        <v>20344</v>
      </c>
      <c r="N9204" t="s">
        <v>30</v>
      </c>
      <c r="O9204" t="s">
        <v>31</v>
      </c>
      <c r="P9204" t="str">
        <f>"15218"</f>
        <v>15218</v>
      </c>
    </row>
    <row r="9205" spans="1:16" x14ac:dyDescent="0.25">
      <c r="A9205" t="str">
        <f>"1140129G00056    00"</f>
        <v>1140129G00056    00</v>
      </c>
      <c r="B9205" t="s">
        <v>20341</v>
      </c>
      <c r="C9205" t="s">
        <v>20363</v>
      </c>
      <c r="E9205" t="s">
        <v>39</v>
      </c>
      <c r="F9205">
        <v>0</v>
      </c>
      <c r="G9205">
        <v>0</v>
      </c>
      <c r="H9205">
        <v>16</v>
      </c>
      <c r="I9205" s="3">
        <v>3425.45</v>
      </c>
      <c r="J9205" s="3">
        <v>2402.65</v>
      </c>
      <c r="K9205" t="s">
        <v>20343</v>
      </c>
      <c r="L9205">
        <v>1156</v>
      </c>
      <c r="M9205" t="s">
        <v>2199</v>
      </c>
      <c r="N9205" t="s">
        <v>30</v>
      </c>
      <c r="O9205" t="s">
        <v>31</v>
      </c>
      <c r="P9205" t="str">
        <f>"15218"</f>
        <v>15218</v>
      </c>
    </row>
    <row r="9206" spans="1:16" x14ac:dyDescent="0.25">
      <c r="A9206" t="str">
        <f>"1140129G00058A   00"</f>
        <v>1140129G00058A   00</v>
      </c>
      <c r="B9206" t="s">
        <v>20364</v>
      </c>
      <c r="C9206" t="s">
        <v>20365</v>
      </c>
      <c r="E9206" t="s">
        <v>39</v>
      </c>
      <c r="F9206">
        <v>0</v>
      </c>
      <c r="G9206">
        <v>0</v>
      </c>
      <c r="H9206">
        <v>1</v>
      </c>
      <c r="I9206" s="3">
        <v>1844.75</v>
      </c>
      <c r="J9206" s="3">
        <v>338.18</v>
      </c>
      <c r="L9206">
        <v>1200</v>
      </c>
      <c r="M9206" t="s">
        <v>2199</v>
      </c>
      <c r="N9206" t="s">
        <v>30</v>
      </c>
      <c r="O9206" t="s">
        <v>31</v>
      </c>
      <c r="P9206" t="str">
        <f>"15218"</f>
        <v>15218</v>
      </c>
    </row>
    <row r="9207" spans="1:16" x14ac:dyDescent="0.25">
      <c r="A9207" t="str">
        <f>"1140129G00059    00"</f>
        <v>1140129G00059    00</v>
      </c>
      <c r="B9207" t="s">
        <v>2197</v>
      </c>
      <c r="C9207" t="s">
        <v>20363</v>
      </c>
      <c r="E9207" t="s">
        <v>39</v>
      </c>
      <c r="F9207">
        <v>0</v>
      </c>
      <c r="G9207">
        <v>0</v>
      </c>
      <c r="H9207">
        <v>1</v>
      </c>
      <c r="I9207" s="3">
        <v>26.43</v>
      </c>
      <c r="J9207" s="3">
        <v>0</v>
      </c>
      <c r="L9207">
        <v>1211</v>
      </c>
      <c r="M9207" t="s">
        <v>2199</v>
      </c>
      <c r="N9207" t="s">
        <v>30</v>
      </c>
      <c r="O9207" t="s">
        <v>31</v>
      </c>
      <c r="P9207" t="str">
        <f>"15218"</f>
        <v>15218</v>
      </c>
    </row>
    <row r="9208" spans="1:16" x14ac:dyDescent="0.25">
      <c r="A9208" t="str">
        <f>"1140129G00087    00"</f>
        <v>1140129G00087    00</v>
      </c>
      <c r="B9208" t="s">
        <v>20366</v>
      </c>
      <c r="C9208" t="s">
        <v>20367</v>
      </c>
      <c r="D9208" t="s">
        <v>20</v>
      </c>
      <c r="E9208" t="s">
        <v>39</v>
      </c>
      <c r="F9208">
        <v>0</v>
      </c>
      <c r="G9208">
        <v>0</v>
      </c>
      <c r="H9208">
        <v>1</v>
      </c>
      <c r="I9208" s="3">
        <v>453.66</v>
      </c>
      <c r="J9208" s="3">
        <v>0</v>
      </c>
      <c r="K9208" t="s">
        <v>20368</v>
      </c>
      <c r="L9208">
        <v>519</v>
      </c>
      <c r="M9208" t="s">
        <v>20369</v>
      </c>
      <c r="N9208" t="s">
        <v>30</v>
      </c>
      <c r="O9208" t="s">
        <v>31</v>
      </c>
      <c r="P9208" t="str">
        <f>"15221"</f>
        <v>15221</v>
      </c>
    </row>
    <row r="9209" spans="1:16" x14ac:dyDescent="0.25">
      <c r="A9209" t="str">
        <f>"1140129G00096    00"</f>
        <v>1140129G00096    00</v>
      </c>
      <c r="B9209" t="s">
        <v>20370</v>
      </c>
      <c r="C9209" t="s">
        <v>20371</v>
      </c>
      <c r="D9209" t="s">
        <v>20</v>
      </c>
      <c r="E9209" t="s">
        <v>39</v>
      </c>
      <c r="F9209">
        <v>0</v>
      </c>
      <c r="G9209">
        <v>0</v>
      </c>
      <c r="H9209">
        <v>19</v>
      </c>
      <c r="I9209" s="3">
        <v>20360.59</v>
      </c>
      <c r="J9209" s="3">
        <v>11121.65</v>
      </c>
      <c r="L9209">
        <v>4807</v>
      </c>
      <c r="M9209" t="s">
        <v>7845</v>
      </c>
      <c r="N9209" t="s">
        <v>30</v>
      </c>
      <c r="O9209" t="s">
        <v>31</v>
      </c>
      <c r="P9209" t="str">
        <f>"15224"</f>
        <v>15224</v>
      </c>
    </row>
    <row r="9210" spans="1:16" x14ac:dyDescent="0.25">
      <c r="A9210" t="str">
        <f>"1140129G00097    00"</f>
        <v>1140129G00097    00</v>
      </c>
      <c r="B9210" t="s">
        <v>20372</v>
      </c>
      <c r="C9210" t="s">
        <v>20373</v>
      </c>
      <c r="D9210" t="s">
        <v>20</v>
      </c>
      <c r="E9210" t="s">
        <v>39</v>
      </c>
      <c r="F9210">
        <v>0</v>
      </c>
      <c r="G9210">
        <v>0</v>
      </c>
      <c r="H9210">
        <v>3</v>
      </c>
      <c r="I9210" s="3">
        <v>10760.03</v>
      </c>
      <c r="J9210" s="3">
        <v>729.14</v>
      </c>
      <c r="L9210">
        <v>1111</v>
      </c>
      <c r="M9210" t="s">
        <v>14286</v>
      </c>
      <c r="N9210" t="s">
        <v>30</v>
      </c>
      <c r="O9210" t="s">
        <v>31</v>
      </c>
      <c r="P9210" t="str">
        <f>"15218"</f>
        <v>15218</v>
      </c>
    </row>
    <row r="9211" spans="1:16" x14ac:dyDescent="0.25">
      <c r="A9211" t="str">
        <f>"1140129G00103    00"</f>
        <v>1140129G00103    00</v>
      </c>
      <c r="B9211" t="s">
        <v>20374</v>
      </c>
      <c r="C9211" t="s">
        <v>20375</v>
      </c>
      <c r="D9211" t="s">
        <v>20</v>
      </c>
      <c r="E9211" t="s">
        <v>39</v>
      </c>
      <c r="F9211">
        <v>0</v>
      </c>
      <c r="G9211">
        <v>0</v>
      </c>
      <c r="H9211">
        <v>10</v>
      </c>
      <c r="I9211" s="3">
        <v>17977.88</v>
      </c>
      <c r="J9211" s="3">
        <v>9515.7000000000007</v>
      </c>
      <c r="L9211">
        <v>1100</v>
      </c>
      <c r="M9211" t="s">
        <v>14286</v>
      </c>
      <c r="N9211" t="s">
        <v>30</v>
      </c>
      <c r="O9211" t="s">
        <v>31</v>
      </c>
      <c r="P9211" t="str">
        <f>"15218"</f>
        <v>15218</v>
      </c>
    </row>
    <row r="9212" spans="1:16" x14ac:dyDescent="0.25">
      <c r="A9212" t="str">
        <f>"1140129G00122    00"</f>
        <v>1140129G00122    00</v>
      </c>
      <c r="B9212" t="s">
        <v>20376</v>
      </c>
      <c r="C9212" t="s">
        <v>20377</v>
      </c>
      <c r="E9212" t="s">
        <v>39</v>
      </c>
      <c r="F9212">
        <v>0</v>
      </c>
      <c r="G9212">
        <v>0</v>
      </c>
      <c r="H9212">
        <v>1</v>
      </c>
      <c r="I9212" s="3">
        <v>1338.94</v>
      </c>
      <c r="J9212" s="3">
        <v>264.52999999999997</v>
      </c>
      <c r="K9212" t="s">
        <v>20378</v>
      </c>
      <c r="L9212">
        <v>1146</v>
      </c>
      <c r="M9212" t="s">
        <v>14286</v>
      </c>
      <c r="N9212" t="s">
        <v>30</v>
      </c>
      <c r="O9212" t="s">
        <v>31</v>
      </c>
      <c r="P9212" t="str">
        <f>"15218"</f>
        <v>15218</v>
      </c>
    </row>
    <row r="9213" spans="1:16" x14ac:dyDescent="0.25">
      <c r="A9213" t="str">
        <f>"1140129G00207    00"</f>
        <v>1140129G00207    00</v>
      </c>
      <c r="B9213" t="s">
        <v>20379</v>
      </c>
      <c r="C9213" t="s">
        <v>20380</v>
      </c>
      <c r="E9213" t="s">
        <v>39</v>
      </c>
      <c r="F9213">
        <v>0</v>
      </c>
      <c r="G9213">
        <v>0</v>
      </c>
      <c r="H9213">
        <v>4</v>
      </c>
      <c r="I9213" s="3">
        <v>9818.42</v>
      </c>
      <c r="J9213" s="3">
        <v>6234.93</v>
      </c>
      <c r="L9213">
        <v>1137</v>
      </c>
      <c r="M9213" t="s">
        <v>20381</v>
      </c>
      <c r="N9213" t="s">
        <v>30</v>
      </c>
      <c r="O9213" t="s">
        <v>31</v>
      </c>
      <c r="P9213" t="str">
        <f>"15218"</f>
        <v>15218</v>
      </c>
    </row>
    <row r="9214" spans="1:16" x14ac:dyDescent="0.25">
      <c r="A9214" t="str">
        <f>"1140129G00212    00"</f>
        <v>1140129G00212    00</v>
      </c>
      <c r="B9214" t="s">
        <v>20382</v>
      </c>
      <c r="C9214" t="s">
        <v>20329</v>
      </c>
      <c r="D9214" t="s">
        <v>20</v>
      </c>
      <c r="E9214" t="s">
        <v>39</v>
      </c>
      <c r="F9214">
        <v>0</v>
      </c>
      <c r="G9214">
        <v>0</v>
      </c>
      <c r="H9214">
        <v>4</v>
      </c>
      <c r="I9214" s="3">
        <v>1234.3499999999999</v>
      </c>
      <c r="J9214" s="3">
        <v>78.61</v>
      </c>
      <c r="L9214">
        <v>3026</v>
      </c>
      <c r="M9214" t="s">
        <v>20383</v>
      </c>
      <c r="N9214" t="s">
        <v>9816</v>
      </c>
      <c r="O9214" t="s">
        <v>554</v>
      </c>
      <c r="P9214" t="str">
        <f>"25312"</f>
        <v>25312</v>
      </c>
    </row>
    <row r="9215" spans="1:16" x14ac:dyDescent="0.25">
      <c r="A9215" t="str">
        <f>"1140129G00213    00"</f>
        <v>1140129G00213    00</v>
      </c>
      <c r="B9215" t="s">
        <v>20382</v>
      </c>
      <c r="C9215" t="s">
        <v>20384</v>
      </c>
      <c r="D9215" t="s">
        <v>20</v>
      </c>
      <c r="E9215" t="s">
        <v>39</v>
      </c>
      <c r="F9215">
        <v>0</v>
      </c>
      <c r="G9215">
        <v>0</v>
      </c>
      <c r="H9215">
        <v>9</v>
      </c>
      <c r="I9215" s="3">
        <v>9197.9599999999991</v>
      </c>
      <c r="J9215" s="3">
        <v>2828.77</v>
      </c>
      <c r="L9215">
        <v>3026</v>
      </c>
      <c r="M9215" t="s">
        <v>20383</v>
      </c>
      <c r="N9215" t="s">
        <v>9816</v>
      </c>
      <c r="O9215" t="s">
        <v>554</v>
      </c>
      <c r="P9215" t="str">
        <f>"25312"</f>
        <v>25312</v>
      </c>
    </row>
    <row r="9216" spans="1:16" x14ac:dyDescent="0.25">
      <c r="A9216" t="str">
        <f>"1140129H00003    00"</f>
        <v>1140129H00003    00</v>
      </c>
      <c r="B9216" t="s">
        <v>2772</v>
      </c>
      <c r="C9216" t="s">
        <v>20385</v>
      </c>
      <c r="E9216" t="s">
        <v>39</v>
      </c>
      <c r="F9216">
        <v>0</v>
      </c>
      <c r="G9216">
        <v>0</v>
      </c>
      <c r="H9216">
        <v>1</v>
      </c>
      <c r="I9216" s="3">
        <v>1103.01</v>
      </c>
      <c r="J9216" s="3">
        <v>0</v>
      </c>
      <c r="L9216">
        <v>1282</v>
      </c>
      <c r="M9216" t="s">
        <v>13084</v>
      </c>
      <c r="N9216" t="s">
        <v>30</v>
      </c>
      <c r="O9216" t="s">
        <v>31</v>
      </c>
      <c r="P9216" t="str">
        <f>"15218"</f>
        <v>15218</v>
      </c>
    </row>
    <row r="9217" spans="1:16" x14ac:dyDescent="0.25">
      <c r="A9217" t="str">
        <f>"1140129H00071    00"</f>
        <v>1140129H00071    00</v>
      </c>
      <c r="B9217" t="s">
        <v>20386</v>
      </c>
      <c r="C9217" t="s">
        <v>20387</v>
      </c>
      <c r="D9217" t="s">
        <v>20</v>
      </c>
      <c r="E9217" t="s">
        <v>39</v>
      </c>
      <c r="F9217">
        <v>0</v>
      </c>
      <c r="G9217">
        <v>0</v>
      </c>
      <c r="H9217">
        <v>1</v>
      </c>
      <c r="I9217" s="3">
        <v>2144.7399999999998</v>
      </c>
      <c r="J9217" s="3">
        <v>0</v>
      </c>
      <c r="L9217">
        <v>1241</v>
      </c>
      <c r="M9217" t="s">
        <v>20388</v>
      </c>
      <c r="N9217" t="s">
        <v>30</v>
      </c>
      <c r="O9217" t="s">
        <v>31</v>
      </c>
      <c r="P9217" t="str">
        <f>"15218"</f>
        <v>15218</v>
      </c>
    </row>
    <row r="9218" spans="1:16" x14ac:dyDescent="0.25">
      <c r="A9218" t="str">
        <f>"1140129H00075    00"</f>
        <v>1140129H00075    00</v>
      </c>
      <c r="B9218" t="s">
        <v>20389</v>
      </c>
      <c r="C9218" t="s">
        <v>20390</v>
      </c>
      <c r="D9218" t="s">
        <v>20</v>
      </c>
      <c r="E9218" t="s">
        <v>39</v>
      </c>
      <c r="F9218">
        <v>0</v>
      </c>
      <c r="G9218">
        <v>0</v>
      </c>
      <c r="H9218">
        <v>1</v>
      </c>
      <c r="I9218" s="3">
        <v>698.88</v>
      </c>
      <c r="J9218" s="3">
        <v>0</v>
      </c>
      <c r="L9218">
        <v>220</v>
      </c>
      <c r="M9218" t="s">
        <v>20391</v>
      </c>
      <c r="N9218" t="s">
        <v>1928</v>
      </c>
      <c r="O9218" t="s">
        <v>31</v>
      </c>
      <c r="P9218" t="str">
        <f>"15317"</f>
        <v>15317</v>
      </c>
    </row>
    <row r="9219" spans="1:16" x14ac:dyDescent="0.25">
      <c r="A9219" t="str">
        <f>"1140129H00196    00"</f>
        <v>1140129H00196    00</v>
      </c>
      <c r="B9219" t="s">
        <v>20392</v>
      </c>
      <c r="C9219" t="s">
        <v>20393</v>
      </c>
      <c r="D9219" t="s">
        <v>20</v>
      </c>
      <c r="E9219" t="s">
        <v>39</v>
      </c>
      <c r="F9219">
        <v>0</v>
      </c>
      <c r="G9219">
        <v>0</v>
      </c>
      <c r="H9219">
        <v>3</v>
      </c>
      <c r="I9219" s="3">
        <v>2280.85</v>
      </c>
      <c r="J9219" s="3">
        <v>445.43</v>
      </c>
      <c r="L9219">
        <v>138</v>
      </c>
      <c r="M9219" t="s">
        <v>20394</v>
      </c>
      <c r="N9219" t="s">
        <v>30</v>
      </c>
      <c r="O9219" t="s">
        <v>31</v>
      </c>
      <c r="P9219" t="str">
        <f>"15218"</f>
        <v>15218</v>
      </c>
    </row>
    <row r="9220" spans="1:16" x14ac:dyDescent="0.25">
      <c r="A9220" t="str">
        <f>"1140129H00229    00"</f>
        <v>1140129H00229    00</v>
      </c>
      <c r="B9220" t="s">
        <v>5732</v>
      </c>
      <c r="C9220" t="s">
        <v>20395</v>
      </c>
      <c r="E9220" t="s">
        <v>21</v>
      </c>
      <c r="F9220">
        <v>0</v>
      </c>
      <c r="G9220">
        <v>0</v>
      </c>
      <c r="H9220">
        <v>1</v>
      </c>
      <c r="I9220" s="3">
        <v>1317.85</v>
      </c>
      <c r="J9220" s="3">
        <v>296.51</v>
      </c>
      <c r="L9220">
        <v>340</v>
      </c>
      <c r="M9220" t="s">
        <v>5734</v>
      </c>
      <c r="N9220" t="s">
        <v>30</v>
      </c>
      <c r="O9220" t="s">
        <v>31</v>
      </c>
      <c r="P9220" t="str">
        <f>"15206"</f>
        <v>15206</v>
      </c>
    </row>
    <row r="9221" spans="1:16" x14ac:dyDescent="0.25">
      <c r="A9221" t="str">
        <f>"1140129H00305    00"</f>
        <v>1140129H00305    00</v>
      </c>
      <c r="B9221" t="s">
        <v>20396</v>
      </c>
      <c r="C9221" t="s">
        <v>20397</v>
      </c>
      <c r="D9221" t="s">
        <v>20</v>
      </c>
      <c r="E9221" t="s">
        <v>39</v>
      </c>
      <c r="F9221">
        <v>0</v>
      </c>
      <c r="G9221">
        <v>0</v>
      </c>
      <c r="H9221">
        <v>1</v>
      </c>
      <c r="I9221" s="3">
        <v>300</v>
      </c>
      <c r="J9221" s="3">
        <v>0</v>
      </c>
      <c r="L9221">
        <v>102</v>
      </c>
      <c r="M9221" t="s">
        <v>20347</v>
      </c>
      <c r="N9221" t="s">
        <v>30</v>
      </c>
      <c r="O9221" t="s">
        <v>31</v>
      </c>
      <c r="P9221" t="str">
        <f>"15218"</f>
        <v>15218</v>
      </c>
    </row>
    <row r="9222" spans="1:16" x14ac:dyDescent="0.25">
      <c r="A9222" t="str">
        <f>"1140129J00025    00"</f>
        <v>1140129J00025    00</v>
      </c>
      <c r="B9222" t="s">
        <v>20398</v>
      </c>
      <c r="C9222" t="s">
        <v>20399</v>
      </c>
      <c r="D9222" t="s">
        <v>20</v>
      </c>
      <c r="E9222" t="s">
        <v>39</v>
      </c>
      <c r="F9222">
        <v>0</v>
      </c>
      <c r="G9222">
        <v>0</v>
      </c>
      <c r="H9222">
        <v>1</v>
      </c>
      <c r="I9222" s="3">
        <v>1799.73</v>
      </c>
      <c r="J9222" s="3">
        <v>0</v>
      </c>
      <c r="K9222" t="s">
        <v>759</v>
      </c>
      <c r="L9222">
        <v>3001</v>
      </c>
      <c r="M9222" t="s">
        <v>404</v>
      </c>
      <c r="N9222" t="s">
        <v>331</v>
      </c>
      <c r="O9222" t="s">
        <v>108</v>
      </c>
      <c r="P9222" t="str">
        <f>"75063"</f>
        <v>75063</v>
      </c>
    </row>
    <row r="9223" spans="1:16" x14ac:dyDescent="0.25">
      <c r="A9223" t="str">
        <f>"1140129J00046    00"</f>
        <v>1140129J00046    00</v>
      </c>
      <c r="B9223" t="s">
        <v>20400</v>
      </c>
      <c r="C9223" t="s">
        <v>20401</v>
      </c>
      <c r="D9223" t="s">
        <v>20</v>
      </c>
      <c r="E9223" t="s">
        <v>39</v>
      </c>
      <c r="F9223">
        <v>0</v>
      </c>
      <c r="G9223">
        <v>0</v>
      </c>
      <c r="H9223">
        <v>18</v>
      </c>
      <c r="I9223" s="3">
        <v>32078.45</v>
      </c>
      <c r="J9223" s="3">
        <v>20041.2</v>
      </c>
      <c r="L9223">
        <v>132</v>
      </c>
      <c r="M9223" t="s">
        <v>20402</v>
      </c>
      <c r="N9223" t="s">
        <v>30</v>
      </c>
      <c r="O9223" t="s">
        <v>31</v>
      </c>
      <c r="P9223" t="str">
        <f>"15217"</f>
        <v>15217</v>
      </c>
    </row>
    <row r="9224" spans="1:16" x14ac:dyDescent="0.25">
      <c r="A9224" t="str">
        <f>"1140129J00048    00"</f>
        <v>1140129J00048    00</v>
      </c>
      <c r="B9224" t="s">
        <v>20403</v>
      </c>
      <c r="C9224" t="s">
        <v>20404</v>
      </c>
      <c r="D9224" t="s">
        <v>20</v>
      </c>
      <c r="E9224" t="s">
        <v>39</v>
      </c>
      <c r="F9224">
        <v>0</v>
      </c>
      <c r="G9224">
        <v>0</v>
      </c>
      <c r="H9224">
        <v>3</v>
      </c>
      <c r="I9224" s="3">
        <v>523.62</v>
      </c>
      <c r="J9224" s="3">
        <v>3.12</v>
      </c>
      <c r="K9224" t="s">
        <v>20405</v>
      </c>
      <c r="M9224" t="s">
        <v>20406</v>
      </c>
      <c r="N9224" t="s">
        <v>285</v>
      </c>
      <c r="O9224" t="s">
        <v>31</v>
      </c>
      <c r="P9224" t="str">
        <f>"15120"</f>
        <v>15120</v>
      </c>
    </row>
    <row r="9225" spans="1:16" x14ac:dyDescent="0.25">
      <c r="A9225" t="str">
        <f>"1140129J00049    00"</f>
        <v>1140129J00049    00</v>
      </c>
      <c r="B9225" t="s">
        <v>20403</v>
      </c>
      <c r="C9225" t="s">
        <v>20407</v>
      </c>
      <c r="D9225" t="s">
        <v>20</v>
      </c>
      <c r="E9225" t="s">
        <v>39</v>
      </c>
      <c r="F9225">
        <v>0</v>
      </c>
      <c r="G9225">
        <v>0</v>
      </c>
      <c r="H9225">
        <v>3</v>
      </c>
      <c r="I9225" s="3">
        <v>42.39</v>
      </c>
      <c r="J9225" s="3">
        <v>0.09</v>
      </c>
      <c r="K9225" t="s">
        <v>20405</v>
      </c>
      <c r="M9225" t="s">
        <v>20406</v>
      </c>
      <c r="N9225" t="s">
        <v>285</v>
      </c>
      <c r="O9225" t="s">
        <v>31</v>
      </c>
      <c r="P9225" t="str">
        <f>"15120"</f>
        <v>15120</v>
      </c>
    </row>
    <row r="9226" spans="1:16" x14ac:dyDescent="0.25">
      <c r="A9226" t="str">
        <f>"1140129L00046    00"</f>
        <v>1140129L00046    00</v>
      </c>
      <c r="B9226" t="s">
        <v>20408</v>
      </c>
      <c r="C9226" t="s">
        <v>20409</v>
      </c>
      <c r="E9226" t="s">
        <v>39</v>
      </c>
      <c r="F9226">
        <v>0</v>
      </c>
      <c r="G9226">
        <v>0</v>
      </c>
      <c r="H9226">
        <v>2</v>
      </c>
      <c r="I9226" s="3">
        <v>2626.48</v>
      </c>
      <c r="J9226" s="3">
        <v>87.55</v>
      </c>
      <c r="K9226" t="s">
        <v>20410</v>
      </c>
      <c r="L9226">
        <v>1150</v>
      </c>
      <c r="M9226" t="s">
        <v>20381</v>
      </c>
      <c r="N9226" t="s">
        <v>30</v>
      </c>
      <c r="O9226" t="s">
        <v>31</v>
      </c>
      <c r="P9226" t="str">
        <f>"15218"</f>
        <v>15218</v>
      </c>
    </row>
    <row r="9227" spans="1:16" x14ac:dyDescent="0.25">
      <c r="A9227" t="str">
        <f>"1140175A00122    00"</f>
        <v>1140175A00122    00</v>
      </c>
      <c r="B9227" t="s">
        <v>20411</v>
      </c>
      <c r="C9227" t="s">
        <v>20412</v>
      </c>
      <c r="D9227" t="s">
        <v>20</v>
      </c>
      <c r="E9227" t="s">
        <v>21</v>
      </c>
      <c r="F9227">
        <v>0</v>
      </c>
      <c r="G9227">
        <v>0</v>
      </c>
      <c r="H9227">
        <v>1</v>
      </c>
      <c r="I9227" s="3">
        <v>53808.29</v>
      </c>
      <c r="J9227" s="3">
        <v>0</v>
      </c>
      <c r="K9227" t="s">
        <v>12453</v>
      </c>
      <c r="L9227">
        <v>7371</v>
      </c>
      <c r="M9227" t="s">
        <v>12454</v>
      </c>
      <c r="N9227" t="s">
        <v>30</v>
      </c>
      <c r="O9227" t="s">
        <v>31</v>
      </c>
      <c r="P9227" t="str">
        <f>"15208"</f>
        <v>15208</v>
      </c>
    </row>
    <row r="9228" spans="1:16" x14ac:dyDescent="0.25">
      <c r="A9228" t="str">
        <f>"1140175A00132    00"</f>
        <v>1140175A00132    00</v>
      </c>
      <c r="B9228" t="s">
        <v>20413</v>
      </c>
      <c r="C9228" t="s">
        <v>20414</v>
      </c>
      <c r="D9228" t="s">
        <v>20</v>
      </c>
      <c r="E9228" t="s">
        <v>39</v>
      </c>
      <c r="F9228">
        <v>0</v>
      </c>
      <c r="G9228">
        <v>0</v>
      </c>
      <c r="H9228">
        <v>1</v>
      </c>
      <c r="I9228" s="3">
        <v>2152.34</v>
      </c>
      <c r="J9228" s="3">
        <v>0</v>
      </c>
      <c r="L9228">
        <v>7215</v>
      </c>
      <c r="M9228" t="s">
        <v>10830</v>
      </c>
      <c r="N9228" t="s">
        <v>30</v>
      </c>
      <c r="O9228" t="s">
        <v>31</v>
      </c>
      <c r="P9228" t="str">
        <f>"15208"</f>
        <v>15208</v>
      </c>
    </row>
    <row r="9229" spans="1:16" x14ac:dyDescent="0.25">
      <c r="A9229" t="str">
        <f>"1140175A00134    00"</f>
        <v>1140175A00134    00</v>
      </c>
      <c r="B9229" t="s">
        <v>20415</v>
      </c>
      <c r="C9229" t="s">
        <v>20414</v>
      </c>
      <c r="D9229" t="s">
        <v>20</v>
      </c>
      <c r="E9229" t="s">
        <v>39</v>
      </c>
      <c r="F9229">
        <v>0</v>
      </c>
      <c r="G9229">
        <v>0</v>
      </c>
      <c r="H9229">
        <v>2</v>
      </c>
      <c r="I9229" s="3">
        <v>1492.8</v>
      </c>
      <c r="J9229" s="3">
        <v>133.88999999999999</v>
      </c>
      <c r="L9229">
        <v>7215</v>
      </c>
      <c r="M9229" t="s">
        <v>10830</v>
      </c>
      <c r="N9229" t="s">
        <v>30</v>
      </c>
      <c r="O9229" t="s">
        <v>31</v>
      </c>
      <c r="P9229" t="str">
        <f>"15208"</f>
        <v>15208</v>
      </c>
    </row>
    <row r="9230" spans="1:16" x14ac:dyDescent="0.25">
      <c r="A9230" t="str">
        <f>"1140175A00140    00"</f>
        <v>1140175A00140    00</v>
      </c>
      <c r="B9230" t="s">
        <v>20416</v>
      </c>
      <c r="C9230" t="s">
        <v>20417</v>
      </c>
      <c r="E9230" t="s">
        <v>39</v>
      </c>
      <c r="F9230">
        <v>0</v>
      </c>
      <c r="G9230">
        <v>0</v>
      </c>
      <c r="H9230">
        <v>1</v>
      </c>
      <c r="I9230" s="3">
        <v>1365.56</v>
      </c>
      <c r="J9230" s="3">
        <v>0</v>
      </c>
      <c r="L9230">
        <v>7221</v>
      </c>
      <c r="M9230" t="s">
        <v>10830</v>
      </c>
      <c r="N9230" t="s">
        <v>30</v>
      </c>
      <c r="O9230" t="s">
        <v>31</v>
      </c>
      <c r="P9230" t="str">
        <f>"15208"</f>
        <v>15208</v>
      </c>
    </row>
    <row r="9231" spans="1:16" x14ac:dyDescent="0.25">
      <c r="A9231" t="str">
        <f>"1140175E00002    00"</f>
        <v>1140175E00002    00</v>
      </c>
      <c r="B9231" t="s">
        <v>20418</v>
      </c>
      <c r="C9231" t="s">
        <v>20419</v>
      </c>
      <c r="D9231" t="s">
        <v>20</v>
      </c>
      <c r="E9231" t="s">
        <v>39</v>
      </c>
      <c r="F9231">
        <v>0</v>
      </c>
      <c r="G9231">
        <v>0</v>
      </c>
      <c r="H9231">
        <v>6</v>
      </c>
      <c r="I9231" s="3">
        <v>5225.62</v>
      </c>
      <c r="J9231" s="3">
        <v>1765.13</v>
      </c>
      <c r="K9231" t="s">
        <v>20420</v>
      </c>
      <c r="L9231">
        <v>7231</v>
      </c>
      <c r="M9231" t="s">
        <v>872</v>
      </c>
      <c r="N9231" t="s">
        <v>30</v>
      </c>
      <c r="O9231" t="s">
        <v>31</v>
      </c>
      <c r="P9231" t="str">
        <f>"15208"</f>
        <v>15208</v>
      </c>
    </row>
    <row r="9232" spans="1:16" x14ac:dyDescent="0.25">
      <c r="A9232" t="str">
        <f>"1140175E00105    00"</f>
        <v>1140175E00105    00</v>
      </c>
      <c r="B9232" t="s">
        <v>20421</v>
      </c>
      <c r="C9232" t="s">
        <v>20422</v>
      </c>
      <c r="D9232" t="s">
        <v>20</v>
      </c>
      <c r="E9232" t="s">
        <v>21</v>
      </c>
      <c r="F9232">
        <v>0</v>
      </c>
      <c r="G9232">
        <v>0</v>
      </c>
      <c r="H9232">
        <v>1</v>
      </c>
      <c r="I9232" s="3">
        <v>43437.74</v>
      </c>
      <c r="J9232" s="3">
        <v>0</v>
      </c>
      <c r="K9232" t="s">
        <v>7437</v>
      </c>
      <c r="M9232" t="s">
        <v>7438</v>
      </c>
      <c r="N9232" t="s">
        <v>30</v>
      </c>
      <c r="O9232" t="s">
        <v>31</v>
      </c>
      <c r="P9232" t="str">
        <f>"15224"</f>
        <v>15224</v>
      </c>
    </row>
    <row r="9233" spans="1:16" x14ac:dyDescent="0.25">
      <c r="A9233" t="str">
        <f>"1140175E00108    00"</f>
        <v>1140175E00108    00</v>
      </c>
      <c r="B9233" t="s">
        <v>20423</v>
      </c>
      <c r="C9233" t="s">
        <v>20424</v>
      </c>
      <c r="D9233" t="s">
        <v>20</v>
      </c>
      <c r="E9233" t="s">
        <v>21</v>
      </c>
      <c r="F9233">
        <v>0</v>
      </c>
      <c r="G9233">
        <v>0</v>
      </c>
      <c r="H9233">
        <v>1</v>
      </c>
      <c r="I9233" s="3">
        <v>58304.54</v>
      </c>
      <c r="J9233" s="3">
        <v>0</v>
      </c>
      <c r="K9233" t="s">
        <v>20425</v>
      </c>
      <c r="M9233" t="s">
        <v>7438</v>
      </c>
      <c r="N9233" t="s">
        <v>30</v>
      </c>
      <c r="O9233" t="s">
        <v>31</v>
      </c>
      <c r="P9233" t="str">
        <f>"15224"</f>
        <v>15224</v>
      </c>
    </row>
    <row r="9234" spans="1:16" x14ac:dyDescent="0.25">
      <c r="A9234" t="str">
        <f>"1140175E00170    00"</f>
        <v>1140175E00170    00</v>
      </c>
      <c r="B9234" t="s">
        <v>20426</v>
      </c>
      <c r="C9234" t="s">
        <v>20427</v>
      </c>
      <c r="E9234" t="s">
        <v>21</v>
      </c>
      <c r="F9234">
        <v>0</v>
      </c>
      <c r="G9234">
        <v>0</v>
      </c>
      <c r="H9234">
        <v>1</v>
      </c>
      <c r="I9234" s="3">
        <v>7961.37</v>
      </c>
      <c r="J9234" s="3">
        <v>796.1</v>
      </c>
      <c r="K9234" t="s">
        <v>20428</v>
      </c>
      <c r="L9234">
        <v>66</v>
      </c>
      <c r="M9234" t="s">
        <v>20429</v>
      </c>
      <c r="N9234" t="s">
        <v>20430</v>
      </c>
      <c r="O9234" t="s">
        <v>423</v>
      </c>
      <c r="P9234" t="str">
        <f>"07450"</f>
        <v>07450</v>
      </c>
    </row>
    <row r="9235" spans="1:16" x14ac:dyDescent="0.25">
      <c r="A9235" t="str">
        <f>"1140175E00179    00"</f>
        <v>1140175E00179    00</v>
      </c>
      <c r="B9235" t="s">
        <v>20431</v>
      </c>
      <c r="C9235" t="s">
        <v>20432</v>
      </c>
      <c r="D9235" t="s">
        <v>20</v>
      </c>
      <c r="E9235" t="s">
        <v>39</v>
      </c>
      <c r="F9235">
        <v>0</v>
      </c>
      <c r="G9235">
        <v>0</v>
      </c>
      <c r="H9235">
        <v>3</v>
      </c>
      <c r="I9235" s="3">
        <v>4208.5200000000004</v>
      </c>
      <c r="J9235" s="3">
        <v>280.56</v>
      </c>
      <c r="K9235" t="s">
        <v>20433</v>
      </c>
      <c r="L9235">
        <v>306</v>
      </c>
      <c r="M9235" t="s">
        <v>20434</v>
      </c>
      <c r="N9235" t="s">
        <v>30</v>
      </c>
      <c r="O9235" t="s">
        <v>31</v>
      </c>
      <c r="P9235" t="str">
        <f>"15222"</f>
        <v>15222</v>
      </c>
    </row>
    <row r="9236" spans="1:16" x14ac:dyDescent="0.25">
      <c r="A9236" t="str">
        <f>"1140175E00196    00"</f>
        <v>1140175E00196    00</v>
      </c>
      <c r="B9236" t="s">
        <v>7141</v>
      </c>
      <c r="C9236" t="s">
        <v>20435</v>
      </c>
      <c r="E9236" t="s">
        <v>39</v>
      </c>
      <c r="F9236">
        <v>0</v>
      </c>
      <c r="G9236">
        <v>0</v>
      </c>
      <c r="H9236">
        <v>1</v>
      </c>
      <c r="I9236" s="3">
        <v>5031.84</v>
      </c>
      <c r="J9236" s="3">
        <v>0</v>
      </c>
      <c r="K9236" t="s">
        <v>2962</v>
      </c>
      <c r="L9236">
        <v>412</v>
      </c>
      <c r="M9236" t="s">
        <v>20436</v>
      </c>
      <c r="N9236" t="s">
        <v>30</v>
      </c>
      <c r="O9236" t="s">
        <v>31</v>
      </c>
      <c r="P9236" t="str">
        <f>"15219"</f>
        <v>15219</v>
      </c>
    </row>
    <row r="9237" spans="1:16" x14ac:dyDescent="0.25">
      <c r="A9237" t="str">
        <f>"1140175E00206    00"</f>
        <v>1140175E00206    00</v>
      </c>
      <c r="B9237" t="s">
        <v>20437</v>
      </c>
      <c r="C9237" t="s">
        <v>20438</v>
      </c>
      <c r="D9237" t="s">
        <v>20</v>
      </c>
      <c r="E9237" t="s">
        <v>21</v>
      </c>
      <c r="F9237">
        <v>0</v>
      </c>
      <c r="G9237">
        <v>0</v>
      </c>
      <c r="H9237">
        <v>2</v>
      </c>
      <c r="I9237" s="3">
        <v>4174.96</v>
      </c>
      <c r="J9237" s="3">
        <v>0</v>
      </c>
      <c r="L9237">
        <v>7328</v>
      </c>
      <c r="M9237" t="s">
        <v>585</v>
      </c>
      <c r="N9237" t="s">
        <v>30</v>
      </c>
      <c r="O9237" t="s">
        <v>31</v>
      </c>
      <c r="P9237" t="str">
        <f>"15208"</f>
        <v>15208</v>
      </c>
    </row>
    <row r="9238" spans="1:16" x14ac:dyDescent="0.25">
      <c r="A9238" t="str">
        <f>"1140175F00038    00"</f>
        <v>1140175F00038    00</v>
      </c>
      <c r="B9238" t="s">
        <v>20439</v>
      </c>
      <c r="C9238" t="s">
        <v>20440</v>
      </c>
      <c r="D9238" t="s">
        <v>20</v>
      </c>
      <c r="E9238" t="s">
        <v>290</v>
      </c>
      <c r="F9238">
        <v>0</v>
      </c>
      <c r="G9238">
        <v>0</v>
      </c>
      <c r="H9238">
        <v>1</v>
      </c>
      <c r="I9238" s="3">
        <v>48938.48</v>
      </c>
      <c r="J9238" s="3">
        <v>0</v>
      </c>
      <c r="K9238" t="s">
        <v>20441</v>
      </c>
      <c r="M9238" t="s">
        <v>7438</v>
      </c>
      <c r="N9238" t="s">
        <v>30</v>
      </c>
      <c r="O9238" t="s">
        <v>31</v>
      </c>
      <c r="P9238" t="str">
        <f>"15224"</f>
        <v>15224</v>
      </c>
    </row>
    <row r="9239" spans="1:16" x14ac:dyDescent="0.25">
      <c r="A9239" t="str">
        <f>"1140175F00203    00"</f>
        <v>1140175F00203    00</v>
      </c>
      <c r="B9239" t="s">
        <v>20442</v>
      </c>
      <c r="C9239" t="s">
        <v>20443</v>
      </c>
      <c r="D9239" t="s">
        <v>20</v>
      </c>
      <c r="E9239" t="s">
        <v>290</v>
      </c>
      <c r="F9239">
        <v>0</v>
      </c>
      <c r="G9239">
        <v>0</v>
      </c>
      <c r="H9239">
        <v>1</v>
      </c>
      <c r="I9239" s="3">
        <v>14295</v>
      </c>
      <c r="J9239" s="3">
        <v>0</v>
      </c>
      <c r="K9239" t="s">
        <v>20444</v>
      </c>
      <c r="M9239" t="s">
        <v>7438</v>
      </c>
      <c r="N9239" t="s">
        <v>30</v>
      </c>
      <c r="O9239" t="s">
        <v>31</v>
      </c>
      <c r="P9239" t="str">
        <f>"15224"</f>
        <v>15224</v>
      </c>
    </row>
    <row r="9240" spans="1:16" x14ac:dyDescent="0.25">
      <c r="A9240" t="str">
        <f>"1140175J00009    00"</f>
        <v>1140175J00009    00</v>
      </c>
      <c r="B9240" t="s">
        <v>20445</v>
      </c>
      <c r="C9240" t="s">
        <v>20446</v>
      </c>
      <c r="E9240" t="s">
        <v>39</v>
      </c>
      <c r="F9240">
        <v>0</v>
      </c>
      <c r="G9240">
        <v>0</v>
      </c>
      <c r="H9240">
        <v>1</v>
      </c>
      <c r="I9240" s="3">
        <v>1027.97</v>
      </c>
      <c r="J9240" s="3">
        <v>0</v>
      </c>
      <c r="L9240">
        <v>110</v>
      </c>
      <c r="M9240" t="s">
        <v>20447</v>
      </c>
      <c r="N9240" t="s">
        <v>30</v>
      </c>
      <c r="O9240" t="s">
        <v>31</v>
      </c>
      <c r="P9240" t="str">
        <f>"15208"</f>
        <v>15208</v>
      </c>
    </row>
    <row r="9241" spans="1:16" x14ac:dyDescent="0.25">
      <c r="A9241" t="str">
        <f>"1140175J00023    00"</f>
        <v>1140175J00023    00</v>
      </c>
      <c r="B9241" t="s">
        <v>20448</v>
      </c>
      <c r="C9241" t="s">
        <v>20449</v>
      </c>
      <c r="D9241" t="s">
        <v>57</v>
      </c>
      <c r="E9241" t="s">
        <v>39</v>
      </c>
      <c r="F9241">
        <v>0</v>
      </c>
      <c r="G9241">
        <v>0</v>
      </c>
      <c r="H9241">
        <v>1</v>
      </c>
      <c r="I9241" s="3">
        <v>2059.73</v>
      </c>
      <c r="J9241" s="3">
        <v>652.22</v>
      </c>
      <c r="K9241" t="s">
        <v>5396</v>
      </c>
      <c r="L9241">
        <v>3001</v>
      </c>
      <c r="M9241" t="s">
        <v>330</v>
      </c>
      <c r="N9241" t="s">
        <v>331</v>
      </c>
      <c r="O9241" t="s">
        <v>108</v>
      </c>
      <c r="P9241" t="str">
        <f>"75063"</f>
        <v>75063</v>
      </c>
    </row>
    <row r="9242" spans="1:16" x14ac:dyDescent="0.25">
      <c r="A9242" t="str">
        <f>"1140175J00059    00"</f>
        <v>1140175J00059    00</v>
      </c>
      <c r="B9242" t="s">
        <v>20450</v>
      </c>
      <c r="C9242" t="s">
        <v>20451</v>
      </c>
      <c r="E9242" t="s">
        <v>39</v>
      </c>
      <c r="F9242">
        <v>0</v>
      </c>
      <c r="G9242">
        <v>0</v>
      </c>
      <c r="H9242">
        <v>1</v>
      </c>
      <c r="I9242" s="3">
        <v>3318.82</v>
      </c>
      <c r="J9242" s="3">
        <v>912.65</v>
      </c>
      <c r="L9242">
        <v>131</v>
      </c>
      <c r="M9242" t="s">
        <v>20447</v>
      </c>
      <c r="N9242" t="s">
        <v>30</v>
      </c>
      <c r="O9242" t="s">
        <v>31</v>
      </c>
      <c r="P9242" t="str">
        <f>"15208"</f>
        <v>15208</v>
      </c>
    </row>
    <row r="9243" spans="1:16" x14ac:dyDescent="0.25">
      <c r="A9243" t="str">
        <f>"1140175J00060    00"</f>
        <v>1140175J00060    00</v>
      </c>
      <c r="B9243" t="s">
        <v>20452</v>
      </c>
      <c r="C9243" t="s">
        <v>20453</v>
      </c>
      <c r="D9243" t="s">
        <v>57</v>
      </c>
      <c r="E9243" t="s">
        <v>39</v>
      </c>
      <c r="F9243">
        <v>0</v>
      </c>
      <c r="G9243">
        <v>0</v>
      </c>
      <c r="H9243">
        <v>1</v>
      </c>
      <c r="I9243" s="3">
        <v>2844.02</v>
      </c>
      <c r="J9243" s="3">
        <v>782.07</v>
      </c>
      <c r="K9243" t="s">
        <v>5334</v>
      </c>
      <c r="L9243">
        <v>3001</v>
      </c>
      <c r="M9243" t="s">
        <v>330</v>
      </c>
      <c r="N9243" t="s">
        <v>331</v>
      </c>
      <c r="O9243" t="s">
        <v>108</v>
      </c>
      <c r="P9243" t="str">
        <f>"75063"</f>
        <v>75063</v>
      </c>
    </row>
    <row r="9244" spans="1:16" x14ac:dyDescent="0.25">
      <c r="A9244" t="str">
        <f>"1140175J00088    00"</f>
        <v>1140175J00088    00</v>
      </c>
      <c r="B9244" t="s">
        <v>20454</v>
      </c>
      <c r="C9244" t="s">
        <v>20455</v>
      </c>
      <c r="E9244" t="s">
        <v>39</v>
      </c>
      <c r="F9244">
        <v>0</v>
      </c>
      <c r="G9244">
        <v>0</v>
      </c>
      <c r="H9244">
        <v>2</v>
      </c>
      <c r="I9244" s="3">
        <v>3316.77</v>
      </c>
      <c r="J9244" s="3">
        <v>1101.1300000000001</v>
      </c>
      <c r="K9244" t="s">
        <v>20456</v>
      </c>
      <c r="L9244">
        <v>106</v>
      </c>
      <c r="M9244" t="s">
        <v>20457</v>
      </c>
      <c r="N9244" t="s">
        <v>30</v>
      </c>
      <c r="O9244" t="s">
        <v>31</v>
      </c>
      <c r="P9244" t="str">
        <f>"15208"</f>
        <v>15208</v>
      </c>
    </row>
    <row r="9245" spans="1:16" x14ac:dyDescent="0.25">
      <c r="A9245" t="str">
        <f>"1140175J00094    00"</f>
        <v>1140175J00094    00</v>
      </c>
      <c r="B9245" t="s">
        <v>20458</v>
      </c>
      <c r="C9245" t="s">
        <v>20459</v>
      </c>
      <c r="E9245" t="s">
        <v>39</v>
      </c>
      <c r="F9245">
        <v>0</v>
      </c>
      <c r="G9245">
        <v>0</v>
      </c>
      <c r="H9245">
        <v>1</v>
      </c>
      <c r="I9245" s="3">
        <v>95.34</v>
      </c>
      <c r="J9245" s="3">
        <v>9.5299999999999994</v>
      </c>
      <c r="K9245" t="s">
        <v>20460</v>
      </c>
      <c r="M9245" t="s">
        <v>20461</v>
      </c>
      <c r="N9245" t="s">
        <v>20462</v>
      </c>
      <c r="O9245" t="s">
        <v>31</v>
      </c>
      <c r="P9245" t="str">
        <f>"16259"</f>
        <v>16259</v>
      </c>
    </row>
    <row r="9246" spans="1:16" x14ac:dyDescent="0.25">
      <c r="A9246" t="str">
        <f>"1140175J00102    00"</f>
        <v>1140175J00102    00</v>
      </c>
      <c r="B9246" t="s">
        <v>20463</v>
      </c>
      <c r="C9246" t="s">
        <v>20464</v>
      </c>
      <c r="D9246" t="s">
        <v>20</v>
      </c>
      <c r="E9246" t="s">
        <v>39</v>
      </c>
      <c r="F9246">
        <v>0</v>
      </c>
      <c r="G9246">
        <v>0</v>
      </c>
      <c r="H9246">
        <v>3</v>
      </c>
      <c r="I9246" s="3">
        <v>8605.6200000000008</v>
      </c>
      <c r="J9246" s="3">
        <v>191.24</v>
      </c>
      <c r="K9246" t="s">
        <v>8530</v>
      </c>
      <c r="L9246">
        <v>1901</v>
      </c>
      <c r="M9246" t="s">
        <v>5016</v>
      </c>
      <c r="N9246" t="s">
        <v>5017</v>
      </c>
      <c r="O9246" t="s">
        <v>3486</v>
      </c>
      <c r="P9246" t="str">
        <f>"61834"</f>
        <v>61834</v>
      </c>
    </row>
    <row r="9247" spans="1:16" x14ac:dyDescent="0.25">
      <c r="A9247" t="str">
        <f>"1140175J00109    00"</f>
        <v>1140175J00109    00</v>
      </c>
      <c r="B9247" t="s">
        <v>20465</v>
      </c>
      <c r="C9247" t="s">
        <v>20466</v>
      </c>
      <c r="E9247" t="s">
        <v>39</v>
      </c>
      <c r="F9247">
        <v>0</v>
      </c>
      <c r="G9247">
        <v>0</v>
      </c>
      <c r="H9247">
        <v>2</v>
      </c>
      <c r="I9247" s="3">
        <v>4055.96</v>
      </c>
      <c r="J9247" s="3">
        <v>50.69</v>
      </c>
      <c r="K9247" t="s">
        <v>2263</v>
      </c>
      <c r="L9247">
        <v>1000</v>
      </c>
      <c r="M9247" t="s">
        <v>10928</v>
      </c>
      <c r="N9247" t="s">
        <v>30</v>
      </c>
      <c r="O9247" t="s">
        <v>31</v>
      </c>
      <c r="P9247" t="str">
        <f>"15238"</f>
        <v>15238</v>
      </c>
    </row>
    <row r="9248" spans="1:16" x14ac:dyDescent="0.25">
      <c r="A9248" t="str">
        <f>"1140175J00119    00"</f>
        <v>1140175J00119    00</v>
      </c>
      <c r="B9248" t="s">
        <v>20467</v>
      </c>
      <c r="C9248" t="s">
        <v>20468</v>
      </c>
      <c r="E9248" t="s">
        <v>39</v>
      </c>
      <c r="F9248">
        <v>0</v>
      </c>
      <c r="G9248">
        <v>0</v>
      </c>
      <c r="H9248">
        <v>1</v>
      </c>
      <c r="I9248" s="3">
        <v>43.41</v>
      </c>
      <c r="J9248" s="3">
        <v>13.74</v>
      </c>
      <c r="K9248" t="s">
        <v>20469</v>
      </c>
      <c r="L9248">
        <v>7428</v>
      </c>
      <c r="M9248" t="s">
        <v>1459</v>
      </c>
      <c r="N9248" t="s">
        <v>30</v>
      </c>
      <c r="O9248" t="s">
        <v>31</v>
      </c>
      <c r="P9248" t="str">
        <f>"15208"</f>
        <v>15208</v>
      </c>
    </row>
    <row r="9249" spans="1:16" x14ac:dyDescent="0.25">
      <c r="A9249" t="str">
        <f>"1140175J00140    00"</f>
        <v>1140175J00140    00</v>
      </c>
      <c r="B9249" t="s">
        <v>20470</v>
      </c>
      <c r="C9249" t="s">
        <v>20471</v>
      </c>
      <c r="E9249" t="s">
        <v>39</v>
      </c>
      <c r="F9249">
        <v>0</v>
      </c>
      <c r="G9249">
        <v>0</v>
      </c>
      <c r="H9249">
        <v>2</v>
      </c>
      <c r="I9249" s="3">
        <v>4974.68</v>
      </c>
      <c r="J9249" s="3">
        <v>248.72</v>
      </c>
      <c r="K9249" t="s">
        <v>5861</v>
      </c>
      <c r="L9249">
        <v>3001</v>
      </c>
      <c r="M9249" t="s">
        <v>404</v>
      </c>
      <c r="N9249" t="s">
        <v>331</v>
      </c>
      <c r="O9249" t="s">
        <v>108</v>
      </c>
      <c r="P9249" t="str">
        <f>"75063"</f>
        <v>75063</v>
      </c>
    </row>
    <row r="9250" spans="1:16" x14ac:dyDescent="0.25">
      <c r="A9250" t="str">
        <f>"1140175J00216    00"</f>
        <v>1140175J00216    00</v>
      </c>
      <c r="B9250" t="s">
        <v>6357</v>
      </c>
      <c r="C9250" t="s">
        <v>20472</v>
      </c>
      <c r="E9250" t="s">
        <v>39</v>
      </c>
      <c r="F9250">
        <v>0</v>
      </c>
      <c r="G9250">
        <v>0</v>
      </c>
      <c r="H9250">
        <v>1</v>
      </c>
      <c r="I9250" s="3">
        <v>20.09</v>
      </c>
      <c r="J9250" s="3">
        <v>0</v>
      </c>
      <c r="L9250">
        <v>323</v>
      </c>
      <c r="M9250" t="s">
        <v>6359</v>
      </c>
      <c r="N9250" t="s">
        <v>30</v>
      </c>
      <c r="O9250" t="s">
        <v>31</v>
      </c>
      <c r="P9250" t="str">
        <f>"15208"</f>
        <v>15208</v>
      </c>
    </row>
    <row r="9251" spans="1:16" x14ac:dyDescent="0.25">
      <c r="A9251" t="str">
        <f>"1140175K00005    00"</f>
        <v>1140175K00005    00</v>
      </c>
      <c r="B9251" t="s">
        <v>20473</v>
      </c>
      <c r="C9251" t="s">
        <v>20474</v>
      </c>
      <c r="D9251" t="s">
        <v>20</v>
      </c>
      <c r="E9251" t="s">
        <v>39</v>
      </c>
      <c r="F9251">
        <v>0</v>
      </c>
      <c r="G9251">
        <v>0</v>
      </c>
      <c r="H9251">
        <v>4</v>
      </c>
      <c r="I9251" s="3">
        <v>6206.96</v>
      </c>
      <c r="J9251" s="3">
        <v>188.81</v>
      </c>
      <c r="K9251" t="s">
        <v>881</v>
      </c>
      <c r="L9251">
        <v>3001</v>
      </c>
      <c r="M9251" t="s">
        <v>330</v>
      </c>
      <c r="N9251" t="s">
        <v>331</v>
      </c>
      <c r="O9251" t="s">
        <v>108</v>
      </c>
      <c r="P9251" t="str">
        <f>"75063"</f>
        <v>75063</v>
      </c>
    </row>
    <row r="9252" spans="1:16" x14ac:dyDescent="0.25">
      <c r="A9252" t="str">
        <f>"1140175K00020    00"</f>
        <v>1140175K00020    00</v>
      </c>
      <c r="B9252" t="s">
        <v>20475</v>
      </c>
      <c r="C9252" t="s">
        <v>20476</v>
      </c>
      <c r="D9252" t="s">
        <v>20</v>
      </c>
      <c r="E9252" t="s">
        <v>39</v>
      </c>
      <c r="F9252">
        <v>0</v>
      </c>
      <c r="G9252">
        <v>0</v>
      </c>
      <c r="H9252">
        <v>2</v>
      </c>
      <c r="I9252" s="3">
        <v>2722.76</v>
      </c>
      <c r="J9252" s="3">
        <v>0</v>
      </c>
      <c r="L9252">
        <v>850</v>
      </c>
      <c r="M9252" t="s">
        <v>20477</v>
      </c>
      <c r="N9252" t="s">
        <v>20478</v>
      </c>
      <c r="O9252" t="s">
        <v>31</v>
      </c>
      <c r="P9252" t="str">
        <f>"15112"</f>
        <v>15112</v>
      </c>
    </row>
    <row r="9253" spans="1:16" x14ac:dyDescent="0.25">
      <c r="A9253" t="str">
        <f>"1140175K00186    00"</f>
        <v>1140175K00186    00</v>
      </c>
      <c r="B9253" t="s">
        <v>20479</v>
      </c>
      <c r="C9253" t="s">
        <v>20480</v>
      </c>
      <c r="D9253" t="s">
        <v>20</v>
      </c>
      <c r="E9253" t="s">
        <v>21</v>
      </c>
      <c r="F9253">
        <v>0</v>
      </c>
      <c r="G9253">
        <v>0</v>
      </c>
      <c r="H9253">
        <v>2</v>
      </c>
      <c r="I9253" s="3">
        <v>17207.689999999999</v>
      </c>
      <c r="J9253" s="3">
        <v>0</v>
      </c>
      <c r="L9253">
        <v>16</v>
      </c>
      <c r="M9253" t="s">
        <v>20481</v>
      </c>
      <c r="N9253" t="s">
        <v>5797</v>
      </c>
      <c r="O9253" t="s">
        <v>200</v>
      </c>
      <c r="P9253" t="str">
        <f>"11241"</f>
        <v>11241</v>
      </c>
    </row>
    <row r="9254" spans="1:16" x14ac:dyDescent="0.25">
      <c r="A9254" t="str">
        <f>"1140175K00198    00"</f>
        <v>1140175K00198    00</v>
      </c>
      <c r="B9254" t="s">
        <v>20482</v>
      </c>
      <c r="C9254" t="s">
        <v>20483</v>
      </c>
      <c r="E9254" t="s">
        <v>39</v>
      </c>
      <c r="F9254">
        <v>0</v>
      </c>
      <c r="G9254">
        <v>0</v>
      </c>
      <c r="H9254">
        <v>1</v>
      </c>
      <c r="I9254" s="3">
        <v>1587.33</v>
      </c>
      <c r="J9254" s="3">
        <v>1177.22</v>
      </c>
      <c r="K9254" t="s">
        <v>8521</v>
      </c>
      <c r="L9254">
        <v>3001</v>
      </c>
      <c r="M9254" t="s">
        <v>330</v>
      </c>
      <c r="N9254" t="s">
        <v>331</v>
      </c>
      <c r="O9254" t="s">
        <v>108</v>
      </c>
      <c r="P9254" t="str">
        <f>"75063"</f>
        <v>75063</v>
      </c>
    </row>
    <row r="9255" spans="1:16" x14ac:dyDescent="0.25">
      <c r="A9255" t="str">
        <f>"1140175K00200    00"</f>
        <v>1140175K00200    00</v>
      </c>
      <c r="B9255" t="s">
        <v>20484</v>
      </c>
      <c r="C9255" t="s">
        <v>20485</v>
      </c>
      <c r="D9255" t="s">
        <v>20</v>
      </c>
      <c r="E9255" t="s">
        <v>39</v>
      </c>
      <c r="F9255">
        <v>0</v>
      </c>
      <c r="G9255">
        <v>0</v>
      </c>
      <c r="H9255">
        <v>4</v>
      </c>
      <c r="I9255" s="3">
        <v>8301.43</v>
      </c>
      <c r="J9255" s="3">
        <v>1403.43</v>
      </c>
      <c r="L9255">
        <v>7717</v>
      </c>
      <c r="M9255" t="s">
        <v>20486</v>
      </c>
      <c r="N9255" t="s">
        <v>30</v>
      </c>
      <c r="O9255" t="s">
        <v>31</v>
      </c>
      <c r="P9255" t="str">
        <f>"15221"</f>
        <v>15221</v>
      </c>
    </row>
    <row r="9256" spans="1:16" x14ac:dyDescent="0.25">
      <c r="A9256" t="str">
        <f>"1140175N00027    00"</f>
        <v>1140175N00027    00</v>
      </c>
      <c r="B9256" t="s">
        <v>20487</v>
      </c>
      <c r="C9256" t="s">
        <v>20488</v>
      </c>
      <c r="E9256" t="s">
        <v>39</v>
      </c>
      <c r="F9256">
        <v>0</v>
      </c>
      <c r="G9256">
        <v>0</v>
      </c>
      <c r="H9256">
        <v>1</v>
      </c>
      <c r="I9256" s="3">
        <v>3213.9</v>
      </c>
      <c r="J9256" s="3">
        <v>0</v>
      </c>
      <c r="K9256" t="s">
        <v>20489</v>
      </c>
      <c r="L9256">
        <v>7428</v>
      </c>
      <c r="M9256" t="s">
        <v>20490</v>
      </c>
      <c r="N9256" t="s">
        <v>30</v>
      </c>
      <c r="O9256" t="s">
        <v>31</v>
      </c>
      <c r="P9256" t="str">
        <f>"15208"</f>
        <v>15208</v>
      </c>
    </row>
    <row r="9257" spans="1:16" x14ac:dyDescent="0.25">
      <c r="A9257" t="str">
        <f>"1140175N00029    00"</f>
        <v>1140175N00029    00</v>
      </c>
      <c r="B9257" t="s">
        <v>20491</v>
      </c>
      <c r="C9257" t="s">
        <v>20492</v>
      </c>
      <c r="E9257" t="s">
        <v>39</v>
      </c>
      <c r="F9257">
        <v>0</v>
      </c>
      <c r="G9257">
        <v>0</v>
      </c>
      <c r="H9257">
        <v>2</v>
      </c>
      <c r="I9257" s="3">
        <v>1850.52</v>
      </c>
      <c r="J9257" s="3">
        <v>183.34</v>
      </c>
      <c r="K9257" t="s">
        <v>391</v>
      </c>
      <c r="L9257">
        <v>1</v>
      </c>
      <c r="M9257" t="s">
        <v>392</v>
      </c>
      <c r="N9257" t="s">
        <v>393</v>
      </c>
      <c r="O9257" t="s">
        <v>394</v>
      </c>
      <c r="P9257" t="str">
        <f>"50328"</f>
        <v>50328</v>
      </c>
    </row>
    <row r="9258" spans="1:16" x14ac:dyDescent="0.25">
      <c r="A9258" t="str">
        <f>"1140175N00076    00"</f>
        <v>1140175N00076    00</v>
      </c>
      <c r="B9258" t="s">
        <v>20493</v>
      </c>
      <c r="C9258" t="s">
        <v>20494</v>
      </c>
      <c r="E9258" t="s">
        <v>39</v>
      </c>
      <c r="F9258">
        <v>0</v>
      </c>
      <c r="G9258">
        <v>0</v>
      </c>
      <c r="H9258">
        <v>2</v>
      </c>
      <c r="I9258" s="3">
        <v>2317.6999999999998</v>
      </c>
      <c r="J9258" s="3">
        <v>28.97</v>
      </c>
      <c r="K9258" t="s">
        <v>881</v>
      </c>
      <c r="L9258">
        <v>3001</v>
      </c>
      <c r="M9258" t="s">
        <v>330</v>
      </c>
      <c r="N9258" t="s">
        <v>331</v>
      </c>
      <c r="O9258" t="s">
        <v>108</v>
      </c>
      <c r="P9258" t="str">
        <f>"75063"</f>
        <v>75063</v>
      </c>
    </row>
    <row r="9259" spans="1:16" x14ac:dyDescent="0.25">
      <c r="A9259" t="str">
        <f>"1140175N00266    00"</f>
        <v>1140175N00266    00</v>
      </c>
      <c r="B9259" t="s">
        <v>20495</v>
      </c>
      <c r="C9259" t="s">
        <v>20496</v>
      </c>
      <c r="E9259" t="s">
        <v>39</v>
      </c>
      <c r="F9259">
        <v>0</v>
      </c>
      <c r="G9259">
        <v>0</v>
      </c>
      <c r="H9259">
        <v>2</v>
      </c>
      <c r="I9259" s="3">
        <v>1597.24</v>
      </c>
      <c r="J9259" s="3">
        <v>53.24</v>
      </c>
      <c r="K9259" t="s">
        <v>20497</v>
      </c>
      <c r="L9259">
        <v>408</v>
      </c>
      <c r="M9259" t="s">
        <v>20498</v>
      </c>
      <c r="N9259" t="s">
        <v>30</v>
      </c>
      <c r="O9259" t="s">
        <v>31</v>
      </c>
      <c r="P9259" t="str">
        <f>"15221"</f>
        <v>15221</v>
      </c>
    </row>
    <row r="9260" spans="1:16" x14ac:dyDescent="0.25">
      <c r="A9260" t="str">
        <f>"1140175N00277    00"</f>
        <v>1140175N00277    00</v>
      </c>
      <c r="B9260" t="s">
        <v>20499</v>
      </c>
      <c r="C9260" t="s">
        <v>20500</v>
      </c>
      <c r="E9260" t="s">
        <v>39</v>
      </c>
      <c r="F9260">
        <v>0</v>
      </c>
      <c r="G9260">
        <v>0</v>
      </c>
      <c r="H9260">
        <v>3</v>
      </c>
      <c r="I9260" s="3">
        <v>1595.4</v>
      </c>
      <c r="J9260" s="3">
        <v>896.16</v>
      </c>
      <c r="L9260">
        <v>7619</v>
      </c>
      <c r="M9260" t="s">
        <v>20501</v>
      </c>
      <c r="N9260" t="s">
        <v>30</v>
      </c>
      <c r="O9260" t="s">
        <v>31</v>
      </c>
      <c r="P9260" t="str">
        <f>"15221"</f>
        <v>15221</v>
      </c>
    </row>
    <row r="9261" spans="1:16" x14ac:dyDescent="0.25">
      <c r="A9261" t="str">
        <f>"1140175P00014    00"</f>
        <v>1140175P00014    00</v>
      </c>
      <c r="B9261" t="s">
        <v>20502</v>
      </c>
      <c r="C9261" t="s">
        <v>20503</v>
      </c>
      <c r="D9261" t="s">
        <v>20</v>
      </c>
      <c r="E9261" t="s">
        <v>39</v>
      </c>
      <c r="F9261">
        <v>0</v>
      </c>
      <c r="G9261">
        <v>0</v>
      </c>
      <c r="H9261">
        <v>1</v>
      </c>
      <c r="I9261" s="3">
        <v>2637.9</v>
      </c>
      <c r="J9261" s="3">
        <v>0</v>
      </c>
      <c r="K9261" t="s">
        <v>4992</v>
      </c>
      <c r="L9261">
        <v>18111</v>
      </c>
      <c r="M9261" t="s">
        <v>4993</v>
      </c>
      <c r="N9261" t="s">
        <v>107</v>
      </c>
      <c r="O9261" t="s">
        <v>108</v>
      </c>
      <c r="P9261" t="str">
        <f>"75252"</f>
        <v>75252</v>
      </c>
    </row>
    <row r="9262" spans="1:16" x14ac:dyDescent="0.25">
      <c r="A9262" t="str">
        <f>"1140175P00022    00"</f>
        <v>1140175P00022    00</v>
      </c>
      <c r="B9262" t="s">
        <v>20504</v>
      </c>
      <c r="C9262" t="s">
        <v>20505</v>
      </c>
      <c r="E9262" t="s">
        <v>39</v>
      </c>
      <c r="F9262">
        <v>0</v>
      </c>
      <c r="G9262">
        <v>0</v>
      </c>
      <c r="H9262">
        <v>1</v>
      </c>
      <c r="I9262" s="3">
        <v>1683.57</v>
      </c>
      <c r="J9262" s="3">
        <v>673.4</v>
      </c>
      <c r="K9262" t="s">
        <v>20506</v>
      </c>
      <c r="L9262">
        <v>7710</v>
      </c>
      <c r="M9262" t="s">
        <v>20486</v>
      </c>
      <c r="N9262" t="s">
        <v>30</v>
      </c>
      <c r="O9262" t="s">
        <v>31</v>
      </c>
      <c r="P9262" t="str">
        <f>"15221"</f>
        <v>15221</v>
      </c>
    </row>
    <row r="9263" spans="1:16" x14ac:dyDescent="0.25">
      <c r="A9263" t="str">
        <f>"1140175P00043    00"</f>
        <v>1140175P00043    00</v>
      </c>
      <c r="B9263" t="s">
        <v>20507</v>
      </c>
      <c r="C9263" t="s">
        <v>20508</v>
      </c>
      <c r="E9263" t="s">
        <v>39</v>
      </c>
      <c r="F9263">
        <v>0</v>
      </c>
      <c r="G9263">
        <v>0</v>
      </c>
      <c r="H9263">
        <v>1</v>
      </c>
      <c r="I9263" s="3">
        <v>2461.14</v>
      </c>
      <c r="J9263" s="3">
        <v>1702.22</v>
      </c>
      <c r="L9263">
        <v>327</v>
      </c>
      <c r="M9263" t="s">
        <v>20509</v>
      </c>
      <c r="N9263" t="s">
        <v>285</v>
      </c>
      <c r="O9263" t="s">
        <v>31</v>
      </c>
      <c r="P9263" t="str">
        <f>"15120"</f>
        <v>15120</v>
      </c>
    </row>
    <row r="9264" spans="1:16" x14ac:dyDescent="0.25">
      <c r="A9264" t="str">
        <f>"1140175P00062    00"</f>
        <v>1140175P00062    00</v>
      </c>
      <c r="B9264" t="s">
        <v>20510</v>
      </c>
      <c r="C9264" t="s">
        <v>20511</v>
      </c>
      <c r="D9264" t="s">
        <v>20</v>
      </c>
      <c r="E9264" t="s">
        <v>39</v>
      </c>
      <c r="F9264">
        <v>0</v>
      </c>
      <c r="G9264">
        <v>0</v>
      </c>
      <c r="H9264">
        <v>3</v>
      </c>
      <c r="I9264" s="3">
        <v>9644.84</v>
      </c>
      <c r="J9264" s="3">
        <v>0</v>
      </c>
      <c r="K9264" t="s">
        <v>20512</v>
      </c>
      <c r="L9264">
        <v>452</v>
      </c>
      <c r="M9264" t="s">
        <v>1715</v>
      </c>
      <c r="N9264" t="s">
        <v>199</v>
      </c>
      <c r="O9264" t="s">
        <v>200</v>
      </c>
      <c r="P9264" t="str">
        <f>"10018"</f>
        <v>10018</v>
      </c>
    </row>
    <row r="9265" spans="1:16" x14ac:dyDescent="0.25">
      <c r="A9265" t="str">
        <f>"1140175P00070    00"</f>
        <v>1140175P00070    00</v>
      </c>
      <c r="B9265" t="s">
        <v>20513</v>
      </c>
      <c r="C9265" t="s">
        <v>20514</v>
      </c>
      <c r="E9265" t="s">
        <v>39</v>
      </c>
      <c r="F9265">
        <v>0</v>
      </c>
      <c r="G9265">
        <v>0</v>
      </c>
      <c r="H9265">
        <v>2</v>
      </c>
      <c r="I9265" s="3">
        <v>4754.63</v>
      </c>
      <c r="J9265" s="3">
        <v>325.14999999999998</v>
      </c>
      <c r="K9265" t="s">
        <v>4933</v>
      </c>
      <c r="L9265">
        <v>3001</v>
      </c>
      <c r="M9265" t="s">
        <v>330</v>
      </c>
      <c r="N9265" t="s">
        <v>331</v>
      </c>
      <c r="O9265" t="s">
        <v>108</v>
      </c>
      <c r="P9265" t="str">
        <f>"75063"</f>
        <v>75063</v>
      </c>
    </row>
    <row r="9266" spans="1:16" x14ac:dyDescent="0.25">
      <c r="A9266" t="str">
        <f>"1140175P00101    00"</f>
        <v>1140175P00101    00</v>
      </c>
      <c r="B9266" t="s">
        <v>20515</v>
      </c>
      <c r="C9266" t="s">
        <v>20516</v>
      </c>
      <c r="E9266" t="s">
        <v>39</v>
      </c>
      <c r="F9266">
        <v>0</v>
      </c>
      <c r="G9266">
        <v>0</v>
      </c>
      <c r="H9266">
        <v>1</v>
      </c>
      <c r="I9266" s="3">
        <v>29.22</v>
      </c>
      <c r="J9266" s="3">
        <v>8.77</v>
      </c>
      <c r="L9266">
        <v>7704</v>
      </c>
      <c r="M9266" t="s">
        <v>20501</v>
      </c>
      <c r="N9266" t="s">
        <v>30</v>
      </c>
      <c r="O9266" t="s">
        <v>31</v>
      </c>
      <c r="P9266" t="str">
        <f>"15221"</f>
        <v>15221</v>
      </c>
    </row>
    <row r="9267" spans="1:16" x14ac:dyDescent="0.25">
      <c r="A9267" t="str">
        <f>"1140175P00110    00"</f>
        <v>1140175P00110    00</v>
      </c>
      <c r="B9267" t="s">
        <v>20517</v>
      </c>
      <c r="C9267" t="s">
        <v>20518</v>
      </c>
      <c r="D9267" t="s">
        <v>20</v>
      </c>
      <c r="E9267" t="s">
        <v>39</v>
      </c>
      <c r="F9267">
        <v>0</v>
      </c>
      <c r="G9267">
        <v>0</v>
      </c>
      <c r="H9267">
        <v>1</v>
      </c>
      <c r="I9267" s="3">
        <v>215.84</v>
      </c>
      <c r="J9267" s="3">
        <v>0</v>
      </c>
      <c r="K9267" t="s">
        <v>20519</v>
      </c>
      <c r="L9267">
        <v>7721</v>
      </c>
      <c r="M9267" t="s">
        <v>20501</v>
      </c>
      <c r="N9267" t="s">
        <v>30</v>
      </c>
      <c r="O9267" t="s">
        <v>31</v>
      </c>
      <c r="P9267" t="str">
        <f>"15221"</f>
        <v>15221</v>
      </c>
    </row>
    <row r="9268" spans="1:16" x14ac:dyDescent="0.25">
      <c r="A9268" t="str">
        <f>"1140175P00126    00"</f>
        <v>1140175P00126    00</v>
      </c>
      <c r="B9268" t="s">
        <v>20520</v>
      </c>
      <c r="C9268" t="s">
        <v>20521</v>
      </c>
      <c r="E9268" t="s">
        <v>39</v>
      </c>
      <c r="F9268">
        <v>0</v>
      </c>
      <c r="G9268">
        <v>0</v>
      </c>
      <c r="H9268">
        <v>18</v>
      </c>
      <c r="I9268" s="3">
        <v>18621.54</v>
      </c>
      <c r="J9268" s="3">
        <v>9571.17</v>
      </c>
      <c r="K9268" t="s">
        <v>20522</v>
      </c>
      <c r="L9268">
        <v>1200</v>
      </c>
      <c r="M9268" t="s">
        <v>5837</v>
      </c>
      <c r="N9268" t="s">
        <v>30</v>
      </c>
      <c r="O9268" t="s">
        <v>31</v>
      </c>
      <c r="P9268" t="str">
        <f>"15206"</f>
        <v>15206</v>
      </c>
    </row>
    <row r="9269" spans="1:16" x14ac:dyDescent="0.25">
      <c r="A9269" t="str">
        <f>"1140175P00127    00"</f>
        <v>1140175P00127    00</v>
      </c>
      <c r="B9269" t="s">
        <v>20523</v>
      </c>
      <c r="C9269" t="s">
        <v>20524</v>
      </c>
      <c r="D9269" t="s">
        <v>20</v>
      </c>
      <c r="E9269" t="s">
        <v>39</v>
      </c>
      <c r="F9269">
        <v>0</v>
      </c>
      <c r="G9269">
        <v>0</v>
      </c>
      <c r="H9269">
        <v>1</v>
      </c>
      <c r="I9269" s="3">
        <v>571.79999999999995</v>
      </c>
      <c r="J9269" s="3">
        <v>0</v>
      </c>
      <c r="K9269" t="s">
        <v>20525</v>
      </c>
      <c r="L9269">
        <v>1200</v>
      </c>
      <c r="M9269" t="s">
        <v>5837</v>
      </c>
      <c r="N9269" t="s">
        <v>30</v>
      </c>
      <c r="O9269" t="s">
        <v>31</v>
      </c>
      <c r="P9269" t="str">
        <f>"15206"</f>
        <v>15206</v>
      </c>
    </row>
    <row r="9270" spans="1:16" x14ac:dyDescent="0.25">
      <c r="A9270" t="str">
        <f>"1140175P00128    00"</f>
        <v>1140175P00128    00</v>
      </c>
      <c r="B9270" t="s">
        <v>20526</v>
      </c>
      <c r="C9270" t="s">
        <v>20527</v>
      </c>
      <c r="E9270" t="s">
        <v>39</v>
      </c>
      <c r="F9270">
        <v>0</v>
      </c>
      <c r="G9270">
        <v>0</v>
      </c>
      <c r="H9270">
        <v>1</v>
      </c>
      <c r="I9270" s="3">
        <v>492.01</v>
      </c>
      <c r="J9270" s="3">
        <v>0</v>
      </c>
      <c r="L9270">
        <v>7721</v>
      </c>
      <c r="M9270" t="s">
        <v>20528</v>
      </c>
      <c r="N9270" t="s">
        <v>30</v>
      </c>
      <c r="O9270" t="s">
        <v>31</v>
      </c>
      <c r="P9270" t="str">
        <f>"15221"</f>
        <v>15221</v>
      </c>
    </row>
    <row r="9271" spans="1:16" x14ac:dyDescent="0.25">
      <c r="A9271" t="str">
        <f>"1140175P00129    00"</f>
        <v>1140175P00129    00</v>
      </c>
      <c r="B9271" t="s">
        <v>20526</v>
      </c>
      <c r="C9271" t="s">
        <v>20529</v>
      </c>
      <c r="E9271" t="s">
        <v>39</v>
      </c>
      <c r="F9271">
        <v>0</v>
      </c>
      <c r="G9271">
        <v>0</v>
      </c>
      <c r="H9271">
        <v>1</v>
      </c>
      <c r="I9271" s="3">
        <v>399.76</v>
      </c>
      <c r="J9271" s="3">
        <v>0</v>
      </c>
      <c r="L9271">
        <v>7721</v>
      </c>
      <c r="M9271" t="s">
        <v>20528</v>
      </c>
      <c r="N9271" t="s">
        <v>30</v>
      </c>
      <c r="O9271" t="s">
        <v>31</v>
      </c>
      <c r="P9271" t="str">
        <f>"15221"</f>
        <v>15221</v>
      </c>
    </row>
    <row r="9272" spans="1:16" x14ac:dyDescent="0.25">
      <c r="A9272" t="str">
        <f>"1140175P00134    00"</f>
        <v>1140175P00134    00</v>
      </c>
      <c r="B9272" t="s">
        <v>20530</v>
      </c>
      <c r="C9272" t="s">
        <v>20531</v>
      </c>
      <c r="D9272" t="s">
        <v>20</v>
      </c>
      <c r="E9272" t="s">
        <v>39</v>
      </c>
      <c r="F9272">
        <v>0</v>
      </c>
      <c r="G9272">
        <v>0</v>
      </c>
      <c r="H9272">
        <v>1</v>
      </c>
      <c r="I9272" s="3">
        <v>700</v>
      </c>
      <c r="J9272" s="3">
        <v>0</v>
      </c>
      <c r="L9272">
        <v>415</v>
      </c>
      <c r="M9272" t="s">
        <v>20532</v>
      </c>
      <c r="N9272" t="s">
        <v>30</v>
      </c>
      <c r="O9272" t="s">
        <v>31</v>
      </c>
      <c r="P9272" t="str">
        <f>"15221"</f>
        <v>15221</v>
      </c>
    </row>
    <row r="9273" spans="1:16" x14ac:dyDescent="0.25">
      <c r="A9273" t="str">
        <f>"1140176A00050    00"</f>
        <v>1140176A00050    00</v>
      </c>
      <c r="B9273" t="s">
        <v>2718</v>
      </c>
      <c r="C9273" t="s">
        <v>20533</v>
      </c>
      <c r="E9273" t="s">
        <v>39</v>
      </c>
      <c r="F9273">
        <v>0</v>
      </c>
      <c r="G9273">
        <v>0</v>
      </c>
      <c r="H9273">
        <v>1</v>
      </c>
      <c r="I9273" s="3">
        <v>1691.25</v>
      </c>
      <c r="J9273" s="3">
        <v>0</v>
      </c>
      <c r="K9273" t="s">
        <v>6314</v>
      </c>
      <c r="L9273">
        <v>5915</v>
      </c>
      <c r="M9273" t="s">
        <v>2720</v>
      </c>
      <c r="N9273" t="s">
        <v>30</v>
      </c>
      <c r="O9273" t="s">
        <v>31</v>
      </c>
      <c r="P9273" t="str">
        <f>"15206"</f>
        <v>15206</v>
      </c>
    </row>
    <row r="9274" spans="1:16" x14ac:dyDescent="0.25">
      <c r="A9274" t="str">
        <f>"1140176A00146A   00"</f>
        <v>1140176A00146A   00</v>
      </c>
      <c r="B9274" t="s">
        <v>20534</v>
      </c>
      <c r="C9274" t="s">
        <v>20535</v>
      </c>
      <c r="D9274" t="s">
        <v>20</v>
      </c>
      <c r="E9274" t="s">
        <v>39</v>
      </c>
      <c r="F9274">
        <v>0</v>
      </c>
      <c r="G9274">
        <v>0</v>
      </c>
      <c r="H9274">
        <v>2</v>
      </c>
      <c r="I9274" s="3">
        <v>1920.25</v>
      </c>
      <c r="J9274" s="3">
        <v>0</v>
      </c>
      <c r="L9274">
        <v>918</v>
      </c>
      <c r="M9274" t="s">
        <v>259</v>
      </c>
      <c r="N9274" t="s">
        <v>30</v>
      </c>
      <c r="O9274" t="s">
        <v>31</v>
      </c>
      <c r="P9274" t="str">
        <f>"15217"</f>
        <v>15217</v>
      </c>
    </row>
    <row r="9275" spans="1:16" x14ac:dyDescent="0.25">
      <c r="A9275" t="str">
        <f>"1140176A00146B   00"</f>
        <v>1140176A00146B   00</v>
      </c>
      <c r="B9275" t="s">
        <v>20536</v>
      </c>
      <c r="C9275" t="s">
        <v>20537</v>
      </c>
      <c r="D9275" t="s">
        <v>20</v>
      </c>
      <c r="E9275" t="s">
        <v>39</v>
      </c>
      <c r="F9275">
        <v>0</v>
      </c>
      <c r="G9275">
        <v>0</v>
      </c>
      <c r="H9275">
        <v>17</v>
      </c>
      <c r="I9275" s="3">
        <v>14884.92</v>
      </c>
      <c r="J9275" s="3">
        <v>12029.36</v>
      </c>
      <c r="L9275">
        <v>1</v>
      </c>
      <c r="M9275" t="s">
        <v>20538</v>
      </c>
      <c r="N9275" t="s">
        <v>30</v>
      </c>
      <c r="O9275" t="s">
        <v>31</v>
      </c>
      <c r="P9275" t="str">
        <f>"15221"</f>
        <v>15221</v>
      </c>
    </row>
    <row r="9276" spans="1:16" x14ac:dyDescent="0.25">
      <c r="A9276" t="str">
        <f>"1140176A00182    00"</f>
        <v>1140176A00182    00</v>
      </c>
      <c r="B9276" t="s">
        <v>20539</v>
      </c>
      <c r="C9276" t="s">
        <v>20540</v>
      </c>
      <c r="D9276" t="s">
        <v>20</v>
      </c>
      <c r="E9276" t="s">
        <v>39</v>
      </c>
      <c r="F9276">
        <v>0</v>
      </c>
      <c r="G9276">
        <v>0</v>
      </c>
      <c r="H9276">
        <v>1</v>
      </c>
      <c r="I9276" s="3">
        <v>1829.76</v>
      </c>
      <c r="J9276" s="3">
        <v>0</v>
      </c>
      <c r="L9276">
        <v>445</v>
      </c>
      <c r="M9276" t="s">
        <v>5665</v>
      </c>
      <c r="N9276" t="s">
        <v>30</v>
      </c>
      <c r="O9276" t="s">
        <v>31</v>
      </c>
      <c r="P9276" t="str">
        <f>"15221"</f>
        <v>15221</v>
      </c>
    </row>
    <row r="9277" spans="1:16" x14ac:dyDescent="0.25">
      <c r="A9277" t="str">
        <f>"1140176A00261    00"</f>
        <v>1140176A00261    00</v>
      </c>
      <c r="B9277" t="s">
        <v>20541</v>
      </c>
      <c r="C9277" t="s">
        <v>20542</v>
      </c>
      <c r="E9277" t="s">
        <v>39</v>
      </c>
      <c r="F9277">
        <v>0</v>
      </c>
      <c r="G9277">
        <v>0</v>
      </c>
      <c r="H9277">
        <v>1</v>
      </c>
      <c r="I9277" s="3">
        <v>3485.61</v>
      </c>
      <c r="J9277" s="3">
        <v>958.51</v>
      </c>
      <c r="K9277" t="s">
        <v>400</v>
      </c>
      <c r="L9277">
        <v>3001</v>
      </c>
      <c r="M9277" t="s">
        <v>330</v>
      </c>
      <c r="N9277" t="s">
        <v>331</v>
      </c>
      <c r="O9277" t="s">
        <v>108</v>
      </c>
      <c r="P9277" t="str">
        <f>"75063"</f>
        <v>75063</v>
      </c>
    </row>
    <row r="9278" spans="1:16" x14ac:dyDescent="0.25">
      <c r="A9278" t="str">
        <f>"1140176A00265    00"</f>
        <v>1140176A00265    00</v>
      </c>
      <c r="B9278" t="s">
        <v>20543</v>
      </c>
      <c r="C9278" t="s">
        <v>20544</v>
      </c>
      <c r="E9278" t="s">
        <v>39</v>
      </c>
      <c r="F9278">
        <v>0</v>
      </c>
      <c r="G9278">
        <v>0</v>
      </c>
      <c r="H9278">
        <v>2</v>
      </c>
      <c r="I9278" s="3">
        <v>2931.42</v>
      </c>
      <c r="J9278" s="3">
        <v>96.01</v>
      </c>
      <c r="K9278" t="s">
        <v>403</v>
      </c>
      <c r="L9278">
        <v>3001</v>
      </c>
      <c r="M9278" t="s">
        <v>404</v>
      </c>
      <c r="N9278" t="s">
        <v>331</v>
      </c>
      <c r="O9278" t="s">
        <v>108</v>
      </c>
      <c r="P9278" t="str">
        <f>"75063"</f>
        <v>75063</v>
      </c>
    </row>
    <row r="9279" spans="1:16" x14ac:dyDescent="0.25">
      <c r="A9279" t="str">
        <f>"1140176A00295    00"</f>
        <v>1140176A00295    00</v>
      </c>
      <c r="B9279" t="s">
        <v>20545</v>
      </c>
      <c r="C9279" t="s">
        <v>20546</v>
      </c>
      <c r="D9279" t="s">
        <v>20</v>
      </c>
      <c r="E9279" t="s">
        <v>39</v>
      </c>
      <c r="F9279">
        <v>0</v>
      </c>
      <c r="G9279">
        <v>0</v>
      </c>
      <c r="H9279">
        <v>1</v>
      </c>
      <c r="I9279" s="3">
        <v>92.33</v>
      </c>
      <c r="J9279" s="3">
        <v>0</v>
      </c>
      <c r="L9279">
        <v>7516</v>
      </c>
      <c r="M9279" t="s">
        <v>20547</v>
      </c>
      <c r="N9279" t="s">
        <v>30</v>
      </c>
      <c r="O9279" t="s">
        <v>31</v>
      </c>
      <c r="P9279" t="str">
        <f>"15221"</f>
        <v>15221</v>
      </c>
    </row>
    <row r="9280" spans="1:16" x14ac:dyDescent="0.25">
      <c r="A9280" t="str">
        <f>"1140176B00036    00"</f>
        <v>1140176B00036    00</v>
      </c>
      <c r="B9280" t="s">
        <v>20548</v>
      </c>
      <c r="C9280" t="s">
        <v>20549</v>
      </c>
      <c r="D9280" t="s">
        <v>20</v>
      </c>
      <c r="E9280" t="s">
        <v>39</v>
      </c>
      <c r="F9280">
        <v>0</v>
      </c>
      <c r="G9280">
        <v>0</v>
      </c>
      <c r="H9280">
        <v>1</v>
      </c>
      <c r="I9280" s="3">
        <v>1391.85</v>
      </c>
      <c r="J9280" s="3">
        <v>0</v>
      </c>
      <c r="K9280" t="s">
        <v>20550</v>
      </c>
      <c r="L9280">
        <v>226</v>
      </c>
      <c r="M9280" t="s">
        <v>20551</v>
      </c>
      <c r="N9280" t="s">
        <v>30</v>
      </c>
      <c r="O9280" t="s">
        <v>31</v>
      </c>
      <c r="P9280" t="str">
        <f>"15218"</f>
        <v>15218</v>
      </c>
    </row>
    <row r="9281" spans="1:16" x14ac:dyDescent="0.25">
      <c r="A9281" t="str">
        <f>"1140176B00062    00"</f>
        <v>1140176B00062    00</v>
      </c>
      <c r="B9281" t="s">
        <v>20552</v>
      </c>
      <c r="C9281" t="s">
        <v>20553</v>
      </c>
      <c r="E9281" t="s">
        <v>39</v>
      </c>
      <c r="F9281">
        <v>0</v>
      </c>
      <c r="G9281">
        <v>0</v>
      </c>
      <c r="H9281">
        <v>2</v>
      </c>
      <c r="I9281" s="3">
        <v>3489.32</v>
      </c>
      <c r="J9281" s="3">
        <v>238.62</v>
      </c>
      <c r="K9281" t="s">
        <v>400</v>
      </c>
      <c r="L9281">
        <v>3001</v>
      </c>
      <c r="M9281" t="s">
        <v>330</v>
      </c>
      <c r="N9281" t="s">
        <v>331</v>
      </c>
      <c r="O9281" t="s">
        <v>108</v>
      </c>
      <c r="P9281" t="str">
        <f>"75063"</f>
        <v>75063</v>
      </c>
    </row>
    <row r="9282" spans="1:16" x14ac:dyDescent="0.25">
      <c r="A9282" t="str">
        <f>"1140176B00093    00"</f>
        <v>1140176B00093    00</v>
      </c>
      <c r="B9282" t="s">
        <v>20554</v>
      </c>
      <c r="C9282" t="s">
        <v>20555</v>
      </c>
      <c r="D9282" t="s">
        <v>20</v>
      </c>
      <c r="E9282" t="s">
        <v>39</v>
      </c>
      <c r="F9282">
        <v>0</v>
      </c>
      <c r="G9282">
        <v>0</v>
      </c>
      <c r="H9282">
        <v>4</v>
      </c>
      <c r="I9282" s="3">
        <v>8594.4699999999993</v>
      </c>
      <c r="J9282" s="3">
        <v>630.51</v>
      </c>
      <c r="K9282" t="s">
        <v>20556</v>
      </c>
      <c r="L9282">
        <v>565</v>
      </c>
      <c r="M9282" t="s">
        <v>20557</v>
      </c>
      <c r="N9282" t="s">
        <v>30</v>
      </c>
      <c r="O9282" t="s">
        <v>31</v>
      </c>
      <c r="P9282" t="str">
        <f>"15221"</f>
        <v>15221</v>
      </c>
    </row>
    <row r="9283" spans="1:16" x14ac:dyDescent="0.25">
      <c r="A9283" t="str">
        <f>"1140176E00094    00"</f>
        <v>1140176E00094    00</v>
      </c>
      <c r="B9283" t="s">
        <v>20558</v>
      </c>
      <c r="C9283" t="s">
        <v>20559</v>
      </c>
      <c r="D9283" t="s">
        <v>20</v>
      </c>
      <c r="E9283" t="s">
        <v>39</v>
      </c>
      <c r="F9283">
        <v>0</v>
      </c>
      <c r="G9283">
        <v>0</v>
      </c>
      <c r="H9283">
        <v>3</v>
      </c>
      <c r="I9283" s="3">
        <v>5758.05</v>
      </c>
      <c r="J9283" s="3">
        <v>47.98</v>
      </c>
      <c r="K9283" t="s">
        <v>881</v>
      </c>
      <c r="L9283">
        <v>3001</v>
      </c>
      <c r="M9283" t="s">
        <v>330</v>
      </c>
      <c r="N9283" t="s">
        <v>331</v>
      </c>
      <c r="O9283" t="s">
        <v>108</v>
      </c>
      <c r="P9283" t="str">
        <f>"75063"</f>
        <v>75063</v>
      </c>
    </row>
    <row r="9284" spans="1:16" x14ac:dyDescent="0.25">
      <c r="A9284" t="str">
        <f>"1140176E00099    00"</f>
        <v>1140176E00099    00</v>
      </c>
      <c r="B9284" t="s">
        <v>20560</v>
      </c>
      <c r="C9284" t="s">
        <v>20561</v>
      </c>
      <c r="D9284" t="s">
        <v>20</v>
      </c>
      <c r="E9284" t="s">
        <v>39</v>
      </c>
      <c r="F9284">
        <v>0</v>
      </c>
      <c r="G9284">
        <v>0</v>
      </c>
      <c r="H9284">
        <v>1</v>
      </c>
      <c r="I9284" s="3">
        <v>2018.92</v>
      </c>
      <c r="J9284" s="3">
        <v>0</v>
      </c>
      <c r="K9284" t="s">
        <v>1127</v>
      </c>
      <c r="M9284" t="s">
        <v>1128</v>
      </c>
      <c r="N9284" t="s">
        <v>1129</v>
      </c>
      <c r="O9284" t="s">
        <v>108</v>
      </c>
      <c r="P9284" t="str">
        <f>"76161"</f>
        <v>76161</v>
      </c>
    </row>
    <row r="9285" spans="1:16" x14ac:dyDescent="0.25">
      <c r="A9285" t="str">
        <f>"1140176E00104    00"</f>
        <v>1140176E00104    00</v>
      </c>
      <c r="B9285" t="s">
        <v>20562</v>
      </c>
      <c r="C9285" t="s">
        <v>20563</v>
      </c>
      <c r="D9285" t="s">
        <v>20</v>
      </c>
      <c r="E9285" t="s">
        <v>39</v>
      </c>
      <c r="F9285">
        <v>0</v>
      </c>
      <c r="G9285">
        <v>0</v>
      </c>
      <c r="H9285">
        <v>2</v>
      </c>
      <c r="I9285" s="3">
        <v>4270.22</v>
      </c>
      <c r="J9285" s="3">
        <v>0</v>
      </c>
      <c r="L9285">
        <v>630</v>
      </c>
      <c r="M9285" t="s">
        <v>20532</v>
      </c>
      <c r="N9285" t="s">
        <v>30</v>
      </c>
      <c r="O9285" t="s">
        <v>31</v>
      </c>
      <c r="P9285" t="str">
        <f>"15221"</f>
        <v>15221</v>
      </c>
    </row>
    <row r="9286" spans="1:16" x14ac:dyDescent="0.25">
      <c r="A9286" t="str">
        <f>"1140176E00130    00"</f>
        <v>1140176E00130    00</v>
      </c>
      <c r="B9286" t="s">
        <v>20564</v>
      </c>
      <c r="C9286" t="s">
        <v>20565</v>
      </c>
      <c r="D9286" t="s">
        <v>20</v>
      </c>
      <c r="E9286" t="s">
        <v>39</v>
      </c>
      <c r="F9286">
        <v>0</v>
      </c>
      <c r="G9286">
        <v>0</v>
      </c>
      <c r="H9286">
        <v>3</v>
      </c>
      <c r="I9286" s="3">
        <v>6764.43</v>
      </c>
      <c r="J9286" s="3">
        <v>150.31</v>
      </c>
      <c r="K9286" t="s">
        <v>728</v>
      </c>
      <c r="L9286">
        <v>3001</v>
      </c>
      <c r="M9286" t="s">
        <v>330</v>
      </c>
      <c r="N9286" t="s">
        <v>331</v>
      </c>
      <c r="O9286" t="s">
        <v>108</v>
      </c>
      <c r="P9286" t="str">
        <f>"75063"</f>
        <v>75063</v>
      </c>
    </row>
    <row r="9287" spans="1:16" x14ac:dyDescent="0.25">
      <c r="A9287" t="str">
        <f>"1140176E00169    00"</f>
        <v>1140176E00169    00</v>
      </c>
      <c r="B9287" t="s">
        <v>20566</v>
      </c>
      <c r="C9287" t="s">
        <v>20567</v>
      </c>
      <c r="E9287" t="s">
        <v>39</v>
      </c>
      <c r="F9287">
        <v>0</v>
      </c>
      <c r="G9287">
        <v>0</v>
      </c>
      <c r="H9287">
        <v>1</v>
      </c>
      <c r="I9287" s="3">
        <v>1571.45</v>
      </c>
      <c r="J9287" s="3">
        <v>471.41</v>
      </c>
      <c r="K9287" t="s">
        <v>2302</v>
      </c>
      <c r="L9287">
        <v>3001</v>
      </c>
      <c r="M9287" t="s">
        <v>330</v>
      </c>
      <c r="N9287" t="s">
        <v>331</v>
      </c>
      <c r="O9287" t="s">
        <v>108</v>
      </c>
      <c r="P9287" t="str">
        <f>"75063"</f>
        <v>75063</v>
      </c>
    </row>
    <row r="9288" spans="1:16" x14ac:dyDescent="0.25">
      <c r="A9288" t="str">
        <f>"1140176F00022    00"</f>
        <v>1140176F00022    00</v>
      </c>
      <c r="B9288" t="s">
        <v>20568</v>
      </c>
      <c r="C9288" t="s">
        <v>20569</v>
      </c>
      <c r="D9288" t="s">
        <v>20</v>
      </c>
      <c r="E9288" t="s">
        <v>39</v>
      </c>
      <c r="F9288">
        <v>0</v>
      </c>
      <c r="G9288">
        <v>0</v>
      </c>
      <c r="H9288">
        <v>1</v>
      </c>
      <c r="I9288" s="3">
        <v>2108.5100000000002</v>
      </c>
      <c r="J9288" s="3">
        <v>0</v>
      </c>
      <c r="K9288" t="s">
        <v>20570</v>
      </c>
      <c r="L9288">
        <v>6083</v>
      </c>
      <c r="M9288" t="s">
        <v>20571</v>
      </c>
      <c r="N9288" t="s">
        <v>1046</v>
      </c>
      <c r="O9288" t="s">
        <v>31</v>
      </c>
      <c r="P9288" t="str">
        <f>"15147"</f>
        <v>15147</v>
      </c>
    </row>
    <row r="9289" spans="1:16" x14ac:dyDescent="0.25">
      <c r="A9289" t="str">
        <f>"1140176F00041    00"</f>
        <v>1140176F00041    00</v>
      </c>
      <c r="B9289" t="s">
        <v>20572</v>
      </c>
      <c r="C9289" t="s">
        <v>20573</v>
      </c>
      <c r="D9289" t="s">
        <v>20</v>
      </c>
      <c r="E9289" t="s">
        <v>39</v>
      </c>
      <c r="F9289">
        <v>0</v>
      </c>
      <c r="G9289">
        <v>0</v>
      </c>
      <c r="H9289">
        <v>3</v>
      </c>
      <c r="I9289" s="3">
        <v>6139.88</v>
      </c>
      <c r="J9289" s="3">
        <v>421.14</v>
      </c>
      <c r="L9289">
        <v>140</v>
      </c>
      <c r="M9289" t="s">
        <v>20574</v>
      </c>
      <c r="N9289" t="s">
        <v>30</v>
      </c>
      <c r="O9289" t="s">
        <v>31</v>
      </c>
      <c r="P9289" t="str">
        <f>"15238"</f>
        <v>15238</v>
      </c>
    </row>
    <row r="9290" spans="1:16" x14ac:dyDescent="0.25">
      <c r="A9290" t="str">
        <f>"1140176J00116    00"</f>
        <v>1140176J00116    00</v>
      </c>
      <c r="B9290" t="s">
        <v>20575</v>
      </c>
      <c r="C9290" t="s">
        <v>20576</v>
      </c>
      <c r="D9290" t="s">
        <v>20</v>
      </c>
      <c r="E9290" t="s">
        <v>39</v>
      </c>
      <c r="F9290">
        <v>0</v>
      </c>
      <c r="G9290">
        <v>0</v>
      </c>
      <c r="H9290">
        <v>1</v>
      </c>
      <c r="I9290" s="3">
        <v>4698.3</v>
      </c>
      <c r="J9290" s="3">
        <v>0</v>
      </c>
      <c r="K9290" t="s">
        <v>8725</v>
      </c>
      <c r="L9290">
        <v>15301</v>
      </c>
      <c r="M9290" t="s">
        <v>8726</v>
      </c>
      <c r="N9290" t="s">
        <v>8727</v>
      </c>
      <c r="O9290" t="s">
        <v>108</v>
      </c>
      <c r="P9290" t="str">
        <f>"75001"</f>
        <v>75001</v>
      </c>
    </row>
    <row r="9291" spans="1:16" x14ac:dyDescent="0.25">
      <c r="A9291" t="str">
        <f>"1140176J00134    00"</f>
        <v>1140176J00134    00</v>
      </c>
      <c r="B9291" t="s">
        <v>20577</v>
      </c>
      <c r="C9291" t="s">
        <v>20578</v>
      </c>
      <c r="D9291" t="s">
        <v>20</v>
      </c>
      <c r="E9291" t="s">
        <v>39</v>
      </c>
      <c r="F9291">
        <v>0</v>
      </c>
      <c r="G9291">
        <v>0</v>
      </c>
      <c r="H9291">
        <v>1</v>
      </c>
      <c r="I9291" s="3">
        <v>6346.98</v>
      </c>
      <c r="J9291" s="3">
        <v>0</v>
      </c>
      <c r="K9291" t="s">
        <v>805</v>
      </c>
      <c r="L9291">
        <v>3001</v>
      </c>
      <c r="M9291" t="s">
        <v>330</v>
      </c>
      <c r="N9291" t="s">
        <v>331</v>
      </c>
      <c r="O9291" t="s">
        <v>108</v>
      </c>
      <c r="P9291" t="str">
        <f>"75063"</f>
        <v>75063</v>
      </c>
    </row>
    <row r="9292" spans="1:16" x14ac:dyDescent="0.25">
      <c r="A9292" t="str">
        <f>"1140176N00002    00"</f>
        <v>1140176N00002    00</v>
      </c>
      <c r="B9292" t="s">
        <v>20579</v>
      </c>
      <c r="C9292" t="s">
        <v>20580</v>
      </c>
      <c r="E9292" t="s">
        <v>39</v>
      </c>
      <c r="F9292">
        <v>0</v>
      </c>
      <c r="G9292">
        <v>0</v>
      </c>
      <c r="H9292">
        <v>1</v>
      </c>
      <c r="I9292" s="3">
        <v>1508.65</v>
      </c>
      <c r="J9292" s="3">
        <v>301.73</v>
      </c>
      <c r="K9292" t="s">
        <v>20581</v>
      </c>
      <c r="L9292">
        <v>905</v>
      </c>
      <c r="M9292" t="s">
        <v>5665</v>
      </c>
      <c r="N9292" t="s">
        <v>30</v>
      </c>
      <c r="O9292" t="s">
        <v>31</v>
      </c>
      <c r="P9292" t="str">
        <f>"15221"</f>
        <v>15221</v>
      </c>
    </row>
    <row r="9293" spans="1:16" x14ac:dyDescent="0.25">
      <c r="A9293" t="str">
        <f>"1140176N00003    00"</f>
        <v>1140176N00003    00</v>
      </c>
      <c r="B9293" t="s">
        <v>20582</v>
      </c>
      <c r="C9293" t="s">
        <v>20583</v>
      </c>
      <c r="D9293" t="s">
        <v>20</v>
      </c>
      <c r="E9293" t="s">
        <v>39</v>
      </c>
      <c r="F9293">
        <v>0</v>
      </c>
      <c r="G9293">
        <v>0</v>
      </c>
      <c r="H9293">
        <v>1</v>
      </c>
      <c r="I9293" s="3">
        <v>735</v>
      </c>
      <c r="J9293" s="3">
        <v>0</v>
      </c>
      <c r="L9293">
        <v>909</v>
      </c>
      <c r="M9293" t="s">
        <v>5665</v>
      </c>
      <c r="N9293" t="s">
        <v>30</v>
      </c>
      <c r="O9293" t="s">
        <v>31</v>
      </c>
      <c r="P9293" t="str">
        <f>"15221"</f>
        <v>15221</v>
      </c>
    </row>
    <row r="9294" spans="1:16" x14ac:dyDescent="0.25">
      <c r="A9294" t="str">
        <f>"1140176N00037    00"</f>
        <v>1140176N00037    00</v>
      </c>
      <c r="B9294" t="s">
        <v>20584</v>
      </c>
      <c r="C9294" t="s">
        <v>20585</v>
      </c>
      <c r="D9294" t="s">
        <v>20</v>
      </c>
      <c r="E9294" t="s">
        <v>39</v>
      </c>
      <c r="F9294">
        <v>0</v>
      </c>
      <c r="G9294">
        <v>0</v>
      </c>
      <c r="H9294">
        <v>2</v>
      </c>
      <c r="I9294" s="3">
        <v>7494.59</v>
      </c>
      <c r="J9294" s="3">
        <v>0</v>
      </c>
      <c r="K9294" t="s">
        <v>20586</v>
      </c>
      <c r="L9294">
        <v>619</v>
      </c>
      <c r="M9294" t="s">
        <v>20587</v>
      </c>
      <c r="N9294" t="s">
        <v>30</v>
      </c>
      <c r="O9294" t="s">
        <v>31</v>
      </c>
      <c r="P9294" t="str">
        <f>"15208"</f>
        <v>15208</v>
      </c>
    </row>
    <row r="9295" spans="1:16" x14ac:dyDescent="0.25">
      <c r="A9295" t="str">
        <f>"1140176N00040    00"</f>
        <v>1140176N00040    00</v>
      </c>
      <c r="B9295" t="s">
        <v>20588</v>
      </c>
      <c r="C9295" t="s">
        <v>20589</v>
      </c>
      <c r="D9295" t="s">
        <v>20</v>
      </c>
      <c r="E9295" t="s">
        <v>39</v>
      </c>
      <c r="F9295">
        <v>0</v>
      </c>
      <c r="G9295">
        <v>0</v>
      </c>
      <c r="H9295">
        <v>6</v>
      </c>
      <c r="I9295" s="3">
        <v>21324.04</v>
      </c>
      <c r="J9295" s="3">
        <v>4782.54</v>
      </c>
      <c r="L9295">
        <v>620</v>
      </c>
      <c r="M9295" t="s">
        <v>20590</v>
      </c>
      <c r="N9295" t="s">
        <v>20591</v>
      </c>
      <c r="O9295" t="s">
        <v>606</v>
      </c>
      <c r="P9295" t="str">
        <f>"30802"</f>
        <v>30802</v>
      </c>
    </row>
    <row r="9296" spans="1:16" x14ac:dyDescent="0.25">
      <c r="A9296" t="str">
        <f>"1140176N00049    00"</f>
        <v>1140176N00049    00</v>
      </c>
      <c r="B9296" t="s">
        <v>20592</v>
      </c>
      <c r="C9296" t="s">
        <v>20593</v>
      </c>
      <c r="E9296" t="s">
        <v>39</v>
      </c>
      <c r="F9296">
        <v>0</v>
      </c>
      <c r="G9296">
        <v>0</v>
      </c>
      <c r="H9296">
        <v>1</v>
      </c>
      <c r="I9296" s="3">
        <v>3017.21</v>
      </c>
      <c r="J9296" s="3">
        <v>0</v>
      </c>
      <c r="K9296" t="s">
        <v>16355</v>
      </c>
      <c r="L9296">
        <v>4800</v>
      </c>
      <c r="M9296" t="s">
        <v>20594</v>
      </c>
      <c r="N9296" t="s">
        <v>15433</v>
      </c>
      <c r="O9296" t="s">
        <v>3486</v>
      </c>
      <c r="P9296" t="str">
        <f>"62711"</f>
        <v>62711</v>
      </c>
    </row>
    <row r="9297" spans="1:16" x14ac:dyDescent="0.25">
      <c r="A9297" t="str">
        <f>"1140176N00063    00"</f>
        <v>1140176N00063    00</v>
      </c>
      <c r="B9297" t="s">
        <v>20595</v>
      </c>
      <c r="C9297" t="s">
        <v>20596</v>
      </c>
      <c r="D9297" t="s">
        <v>20</v>
      </c>
      <c r="E9297" t="s">
        <v>39</v>
      </c>
      <c r="F9297">
        <v>0</v>
      </c>
      <c r="G9297">
        <v>0</v>
      </c>
      <c r="H9297">
        <v>1</v>
      </c>
      <c r="I9297" s="3">
        <v>2358.67</v>
      </c>
      <c r="J9297" s="3">
        <v>0</v>
      </c>
      <c r="L9297">
        <v>933</v>
      </c>
      <c r="M9297" t="s">
        <v>20597</v>
      </c>
      <c r="N9297" t="s">
        <v>30</v>
      </c>
      <c r="O9297" t="s">
        <v>31</v>
      </c>
      <c r="P9297" t="str">
        <f>"15218"</f>
        <v>15218</v>
      </c>
    </row>
    <row r="9298" spans="1:16" x14ac:dyDescent="0.25">
      <c r="A9298" t="str">
        <f>"1140176N00075    00"</f>
        <v>1140176N00075    00</v>
      </c>
      <c r="B9298" t="s">
        <v>20598</v>
      </c>
      <c r="C9298" t="s">
        <v>20599</v>
      </c>
      <c r="D9298" t="s">
        <v>20</v>
      </c>
      <c r="E9298" t="s">
        <v>39</v>
      </c>
      <c r="F9298">
        <v>0</v>
      </c>
      <c r="G9298">
        <v>0</v>
      </c>
      <c r="H9298">
        <v>2</v>
      </c>
      <c r="I9298" s="3">
        <v>3102.96</v>
      </c>
      <c r="J9298" s="3">
        <v>12.93</v>
      </c>
      <c r="K9298" t="s">
        <v>5396</v>
      </c>
      <c r="L9298">
        <v>3001</v>
      </c>
      <c r="M9298" t="s">
        <v>330</v>
      </c>
      <c r="N9298" t="s">
        <v>331</v>
      </c>
      <c r="O9298" t="s">
        <v>108</v>
      </c>
      <c r="P9298" t="str">
        <f>"75063"</f>
        <v>75063</v>
      </c>
    </row>
    <row r="9299" spans="1:16" x14ac:dyDescent="0.25">
      <c r="A9299" t="str">
        <f>"1140176N00099    00"</f>
        <v>1140176N00099    00</v>
      </c>
      <c r="B9299" t="s">
        <v>20600</v>
      </c>
      <c r="C9299" t="s">
        <v>20601</v>
      </c>
      <c r="D9299" t="s">
        <v>20</v>
      </c>
      <c r="E9299" t="s">
        <v>39</v>
      </c>
      <c r="F9299">
        <v>0</v>
      </c>
      <c r="G9299">
        <v>0</v>
      </c>
      <c r="H9299">
        <v>3</v>
      </c>
      <c r="I9299" s="3">
        <v>7450.42</v>
      </c>
      <c r="J9299" s="3">
        <v>6.96</v>
      </c>
      <c r="L9299">
        <v>956</v>
      </c>
      <c r="M9299" t="s">
        <v>20597</v>
      </c>
      <c r="N9299" t="s">
        <v>30</v>
      </c>
      <c r="O9299" t="s">
        <v>31</v>
      </c>
      <c r="P9299" t="str">
        <f>"15218"</f>
        <v>15218</v>
      </c>
    </row>
    <row r="9300" spans="1:16" x14ac:dyDescent="0.25">
      <c r="A9300" t="str">
        <f>"1140176N00198    00"</f>
        <v>1140176N00198    00</v>
      </c>
      <c r="B9300" t="s">
        <v>20602</v>
      </c>
      <c r="C9300" t="s">
        <v>20603</v>
      </c>
      <c r="E9300" t="s">
        <v>39</v>
      </c>
      <c r="F9300">
        <v>0</v>
      </c>
      <c r="G9300">
        <v>0</v>
      </c>
      <c r="H9300">
        <v>2</v>
      </c>
      <c r="I9300" s="3">
        <v>1566.76</v>
      </c>
      <c r="J9300" s="3">
        <v>39.159999999999997</v>
      </c>
      <c r="K9300" t="s">
        <v>1135</v>
      </c>
      <c r="L9300">
        <v>3001</v>
      </c>
      <c r="M9300" t="s">
        <v>330</v>
      </c>
      <c r="N9300" t="s">
        <v>331</v>
      </c>
      <c r="O9300" t="s">
        <v>108</v>
      </c>
      <c r="P9300" t="str">
        <f>"75063"</f>
        <v>75063</v>
      </c>
    </row>
    <row r="9301" spans="1:16" x14ac:dyDescent="0.25">
      <c r="A9301" t="str">
        <f>"1140177A00133    00"</f>
        <v>1140177A00133    00</v>
      </c>
      <c r="B9301" t="s">
        <v>20604</v>
      </c>
      <c r="C9301" t="s">
        <v>20605</v>
      </c>
      <c r="E9301" t="s">
        <v>39</v>
      </c>
      <c r="F9301">
        <v>0</v>
      </c>
      <c r="G9301">
        <v>0</v>
      </c>
      <c r="H9301">
        <v>2</v>
      </c>
      <c r="I9301" s="3">
        <v>1326.62</v>
      </c>
      <c r="J9301" s="3">
        <v>90.72</v>
      </c>
      <c r="K9301" t="s">
        <v>400</v>
      </c>
      <c r="L9301">
        <v>3001</v>
      </c>
      <c r="M9301" t="s">
        <v>330</v>
      </c>
      <c r="N9301" t="s">
        <v>331</v>
      </c>
      <c r="O9301" t="s">
        <v>108</v>
      </c>
      <c r="P9301" t="str">
        <f>"75063"</f>
        <v>75063</v>
      </c>
    </row>
    <row r="9302" spans="1:16" x14ac:dyDescent="0.25">
      <c r="A9302" t="str">
        <f>"1140177A00151    00"</f>
        <v>1140177A00151    00</v>
      </c>
      <c r="B9302" t="s">
        <v>20606</v>
      </c>
      <c r="C9302" t="s">
        <v>20607</v>
      </c>
      <c r="E9302" t="s">
        <v>39</v>
      </c>
      <c r="F9302">
        <v>0</v>
      </c>
      <c r="G9302">
        <v>0</v>
      </c>
      <c r="H9302">
        <v>2</v>
      </c>
      <c r="I9302" s="3">
        <v>3879.5</v>
      </c>
      <c r="J9302" s="3">
        <v>265.3</v>
      </c>
      <c r="K9302" t="s">
        <v>4877</v>
      </c>
      <c r="L9302">
        <v>1</v>
      </c>
      <c r="M9302" t="s">
        <v>4878</v>
      </c>
      <c r="N9302" t="s">
        <v>4879</v>
      </c>
      <c r="O9302" t="s">
        <v>31</v>
      </c>
      <c r="P9302" t="str">
        <f>"19428"</f>
        <v>19428</v>
      </c>
    </row>
    <row r="9303" spans="1:16" x14ac:dyDescent="0.25">
      <c r="A9303" t="str">
        <f>"1140177A00155    00"</f>
        <v>1140177A00155    00</v>
      </c>
      <c r="B9303" t="s">
        <v>20608</v>
      </c>
      <c r="C9303" t="s">
        <v>20609</v>
      </c>
      <c r="E9303" t="s">
        <v>39</v>
      </c>
      <c r="F9303">
        <v>0</v>
      </c>
      <c r="G9303">
        <v>0</v>
      </c>
      <c r="H9303">
        <v>2</v>
      </c>
      <c r="I9303" s="3">
        <v>2644</v>
      </c>
      <c r="J9303" s="3">
        <v>259.2</v>
      </c>
      <c r="K9303" t="s">
        <v>391</v>
      </c>
      <c r="L9303">
        <v>1</v>
      </c>
      <c r="M9303" t="s">
        <v>392</v>
      </c>
      <c r="N9303" t="s">
        <v>393</v>
      </c>
      <c r="O9303" t="s">
        <v>394</v>
      </c>
      <c r="P9303" t="str">
        <f>"50328"</f>
        <v>50328</v>
      </c>
    </row>
    <row r="9304" spans="1:16" x14ac:dyDescent="0.25">
      <c r="A9304" t="str">
        <f>"1140177A00175    00"</f>
        <v>1140177A00175    00</v>
      </c>
      <c r="B9304" t="s">
        <v>20610</v>
      </c>
      <c r="C9304" t="s">
        <v>20611</v>
      </c>
      <c r="D9304" t="s">
        <v>20</v>
      </c>
      <c r="E9304" t="s">
        <v>39</v>
      </c>
      <c r="F9304">
        <v>0</v>
      </c>
      <c r="G9304">
        <v>0</v>
      </c>
      <c r="H9304">
        <v>1</v>
      </c>
      <c r="I9304" s="3">
        <v>1906</v>
      </c>
      <c r="J9304" s="3">
        <v>0</v>
      </c>
      <c r="K9304" t="s">
        <v>20612</v>
      </c>
      <c r="L9304">
        <v>1006</v>
      </c>
      <c r="M9304" t="s">
        <v>7548</v>
      </c>
      <c r="N9304" t="s">
        <v>30</v>
      </c>
      <c r="O9304" t="s">
        <v>31</v>
      </c>
      <c r="P9304" t="str">
        <f t="shared" ref="P9304:P9309" si="106">"15218"</f>
        <v>15218</v>
      </c>
    </row>
    <row r="9305" spans="1:16" x14ac:dyDescent="0.25">
      <c r="A9305" t="str">
        <f>"1140177E00100    00"</f>
        <v>1140177E00100    00</v>
      </c>
      <c r="B9305" t="s">
        <v>20613</v>
      </c>
      <c r="C9305" t="s">
        <v>20614</v>
      </c>
      <c r="D9305" t="s">
        <v>20</v>
      </c>
      <c r="E9305" t="s">
        <v>39</v>
      </c>
      <c r="F9305">
        <v>0</v>
      </c>
      <c r="G9305">
        <v>0</v>
      </c>
      <c r="H9305">
        <v>1</v>
      </c>
      <c r="I9305" s="3">
        <v>1485.79</v>
      </c>
      <c r="J9305" s="3">
        <v>0</v>
      </c>
      <c r="K9305" t="s">
        <v>20615</v>
      </c>
      <c r="L9305">
        <v>1237</v>
      </c>
      <c r="M9305" t="s">
        <v>20616</v>
      </c>
      <c r="N9305" t="s">
        <v>30</v>
      </c>
      <c r="O9305" t="s">
        <v>31</v>
      </c>
      <c r="P9305" t="str">
        <f t="shared" si="106"/>
        <v>15218</v>
      </c>
    </row>
    <row r="9306" spans="1:16" x14ac:dyDescent="0.25">
      <c r="A9306" t="str">
        <f>"1140177E00143    00"</f>
        <v>1140177E00143    00</v>
      </c>
      <c r="B9306" t="s">
        <v>20617</v>
      </c>
      <c r="C9306" t="s">
        <v>20618</v>
      </c>
      <c r="D9306" t="s">
        <v>20</v>
      </c>
      <c r="E9306" t="s">
        <v>39</v>
      </c>
      <c r="F9306">
        <v>0</v>
      </c>
      <c r="G9306">
        <v>0</v>
      </c>
      <c r="H9306">
        <v>2</v>
      </c>
      <c r="I9306" s="3">
        <v>4304.3</v>
      </c>
      <c r="J9306" s="3">
        <v>2.37</v>
      </c>
      <c r="K9306" t="s">
        <v>20619</v>
      </c>
      <c r="L9306">
        <v>1108</v>
      </c>
      <c r="M9306" t="s">
        <v>20620</v>
      </c>
      <c r="N9306" t="s">
        <v>30</v>
      </c>
      <c r="O9306" t="s">
        <v>31</v>
      </c>
      <c r="P9306" t="str">
        <f t="shared" si="106"/>
        <v>15218</v>
      </c>
    </row>
    <row r="9307" spans="1:16" x14ac:dyDescent="0.25">
      <c r="A9307" t="str">
        <f>"1140177E00156    00"</f>
        <v>1140177E00156    00</v>
      </c>
      <c r="B9307" t="s">
        <v>20621</v>
      </c>
      <c r="C9307" t="s">
        <v>20622</v>
      </c>
      <c r="D9307" t="s">
        <v>20</v>
      </c>
      <c r="E9307" t="s">
        <v>39</v>
      </c>
      <c r="F9307">
        <v>0</v>
      </c>
      <c r="G9307">
        <v>0</v>
      </c>
      <c r="H9307">
        <v>3</v>
      </c>
      <c r="I9307" s="3">
        <v>2864.76</v>
      </c>
      <c r="J9307" s="3">
        <v>23.87</v>
      </c>
      <c r="K9307" t="s">
        <v>20623</v>
      </c>
      <c r="L9307">
        <v>1140</v>
      </c>
      <c r="M9307" t="s">
        <v>20620</v>
      </c>
      <c r="N9307" t="s">
        <v>30</v>
      </c>
      <c r="O9307" t="s">
        <v>31</v>
      </c>
      <c r="P9307" t="str">
        <f t="shared" si="106"/>
        <v>15218</v>
      </c>
    </row>
    <row r="9308" spans="1:16" x14ac:dyDescent="0.25">
      <c r="A9308" t="str">
        <f>"1140177E00166    00"</f>
        <v>1140177E00166    00</v>
      </c>
      <c r="B9308" t="s">
        <v>20624</v>
      </c>
      <c r="C9308" t="s">
        <v>20625</v>
      </c>
      <c r="D9308" t="s">
        <v>20</v>
      </c>
      <c r="E9308" t="s">
        <v>39</v>
      </c>
      <c r="F9308">
        <v>0</v>
      </c>
      <c r="G9308">
        <v>0</v>
      </c>
      <c r="H9308">
        <v>1</v>
      </c>
      <c r="I9308" s="3">
        <v>5863.33</v>
      </c>
      <c r="J9308" s="3">
        <v>0</v>
      </c>
      <c r="K9308" t="s">
        <v>20626</v>
      </c>
      <c r="L9308">
        <v>1222</v>
      </c>
      <c r="M9308" t="s">
        <v>20620</v>
      </c>
      <c r="N9308" t="s">
        <v>30</v>
      </c>
      <c r="O9308" t="s">
        <v>31</v>
      </c>
      <c r="P9308" t="str">
        <f t="shared" si="106"/>
        <v>15218</v>
      </c>
    </row>
    <row r="9309" spans="1:16" x14ac:dyDescent="0.25">
      <c r="A9309" t="str">
        <f>"1140177E00220    00"</f>
        <v>1140177E00220    00</v>
      </c>
      <c r="B9309" t="s">
        <v>20627</v>
      </c>
      <c r="C9309" t="s">
        <v>20628</v>
      </c>
      <c r="E9309" t="s">
        <v>39</v>
      </c>
      <c r="F9309">
        <v>0</v>
      </c>
      <c r="G9309">
        <v>0</v>
      </c>
      <c r="H9309">
        <v>1</v>
      </c>
      <c r="I9309" s="3">
        <v>1472.32</v>
      </c>
      <c r="J9309" s="3">
        <v>404.88</v>
      </c>
      <c r="K9309" t="s">
        <v>20629</v>
      </c>
      <c r="L9309">
        <v>1207</v>
      </c>
      <c r="M9309" t="s">
        <v>20620</v>
      </c>
      <c r="N9309" t="s">
        <v>30</v>
      </c>
      <c r="O9309" t="s">
        <v>31</v>
      </c>
      <c r="P9309" t="str">
        <f t="shared" si="106"/>
        <v>15218</v>
      </c>
    </row>
    <row r="9310" spans="1:16" x14ac:dyDescent="0.25">
      <c r="A9310" t="str">
        <f>"1140178A00033    00"</f>
        <v>1140178A00033    00</v>
      </c>
      <c r="B9310" t="s">
        <v>20630</v>
      </c>
      <c r="C9310" t="s">
        <v>20631</v>
      </c>
      <c r="D9310" t="s">
        <v>20</v>
      </c>
      <c r="E9310" t="s">
        <v>39</v>
      </c>
      <c r="F9310">
        <v>0</v>
      </c>
      <c r="G9310">
        <v>0</v>
      </c>
      <c r="H9310">
        <v>2</v>
      </c>
      <c r="I9310" s="3">
        <v>5577.69</v>
      </c>
      <c r="J9310" s="3">
        <v>0</v>
      </c>
      <c r="K9310" t="s">
        <v>6184</v>
      </c>
      <c r="L9310">
        <v>901</v>
      </c>
      <c r="M9310" t="s">
        <v>1503</v>
      </c>
      <c r="N9310" t="s">
        <v>494</v>
      </c>
      <c r="O9310" t="s">
        <v>495</v>
      </c>
      <c r="P9310" t="str">
        <f>"91768"</f>
        <v>91768</v>
      </c>
    </row>
    <row r="9311" spans="1:16" x14ac:dyDescent="0.25">
      <c r="A9311" t="str">
        <f>"1140178A00056    00"</f>
        <v>1140178A00056    00</v>
      </c>
      <c r="B9311" t="s">
        <v>20632</v>
      </c>
      <c r="C9311" t="s">
        <v>20633</v>
      </c>
      <c r="E9311" t="s">
        <v>39</v>
      </c>
      <c r="F9311">
        <v>0</v>
      </c>
      <c r="G9311">
        <v>0</v>
      </c>
      <c r="H9311">
        <v>2</v>
      </c>
      <c r="I9311" s="3">
        <v>3927.33</v>
      </c>
      <c r="J9311" s="3">
        <v>1596.4</v>
      </c>
      <c r="L9311">
        <v>1000</v>
      </c>
      <c r="M9311" t="s">
        <v>9842</v>
      </c>
      <c r="N9311" t="s">
        <v>295</v>
      </c>
      <c r="O9311" t="s">
        <v>31</v>
      </c>
      <c r="P9311" t="str">
        <f>"15146"</f>
        <v>15146</v>
      </c>
    </row>
    <row r="9312" spans="1:16" x14ac:dyDescent="0.25">
      <c r="A9312" t="str">
        <f>"1140178A00066    00"</f>
        <v>1140178A00066    00</v>
      </c>
      <c r="B9312" t="s">
        <v>20634</v>
      </c>
      <c r="C9312" t="s">
        <v>20635</v>
      </c>
      <c r="D9312" t="s">
        <v>20</v>
      </c>
      <c r="E9312" t="s">
        <v>39</v>
      </c>
      <c r="F9312">
        <v>0</v>
      </c>
      <c r="G9312">
        <v>0</v>
      </c>
      <c r="H9312">
        <v>2</v>
      </c>
      <c r="I9312" s="3">
        <v>5718.04</v>
      </c>
      <c r="J9312" s="3">
        <v>0</v>
      </c>
      <c r="L9312">
        <v>245</v>
      </c>
      <c r="M9312" t="s">
        <v>20636</v>
      </c>
      <c r="N9312" t="s">
        <v>30</v>
      </c>
      <c r="O9312" t="s">
        <v>31</v>
      </c>
      <c r="P9312" t="str">
        <f>"15228"</f>
        <v>15228</v>
      </c>
    </row>
    <row r="9313" spans="1:16" x14ac:dyDescent="0.25">
      <c r="A9313" t="str">
        <f>"1140178A00078    00"</f>
        <v>1140178A00078    00</v>
      </c>
      <c r="B9313" t="s">
        <v>6357</v>
      </c>
      <c r="C9313" t="s">
        <v>20637</v>
      </c>
      <c r="E9313" t="s">
        <v>39</v>
      </c>
      <c r="F9313">
        <v>0</v>
      </c>
      <c r="G9313">
        <v>0</v>
      </c>
      <c r="H9313">
        <v>1</v>
      </c>
      <c r="I9313" s="3">
        <v>53.22</v>
      </c>
      <c r="J9313" s="3">
        <v>0</v>
      </c>
      <c r="L9313">
        <v>323</v>
      </c>
      <c r="M9313" t="s">
        <v>6359</v>
      </c>
      <c r="N9313" t="s">
        <v>30</v>
      </c>
      <c r="O9313" t="s">
        <v>31</v>
      </c>
      <c r="P9313" t="str">
        <f>"15208"</f>
        <v>15208</v>
      </c>
    </row>
    <row r="9314" spans="1:16" x14ac:dyDescent="0.25">
      <c r="A9314" t="str">
        <f>"1140178J00017    00"</f>
        <v>1140178J00017    00</v>
      </c>
      <c r="B9314" t="s">
        <v>20638</v>
      </c>
      <c r="C9314" t="s">
        <v>20639</v>
      </c>
      <c r="E9314" t="s">
        <v>39</v>
      </c>
      <c r="F9314">
        <v>0</v>
      </c>
      <c r="G9314">
        <v>0</v>
      </c>
      <c r="H9314">
        <v>1</v>
      </c>
      <c r="I9314" s="3">
        <v>175.35</v>
      </c>
      <c r="J9314" s="3">
        <v>0</v>
      </c>
      <c r="L9314">
        <v>1300</v>
      </c>
      <c r="M9314" t="s">
        <v>20388</v>
      </c>
      <c r="N9314" t="s">
        <v>30</v>
      </c>
      <c r="O9314" t="s">
        <v>31</v>
      </c>
      <c r="P9314" t="str">
        <f>"15218"</f>
        <v>15218</v>
      </c>
    </row>
    <row r="9315" spans="1:16" x14ac:dyDescent="0.25">
      <c r="A9315" t="str">
        <f>"1150029M00026    00"</f>
        <v>1150029M00026    00</v>
      </c>
      <c r="B9315" t="s">
        <v>20640</v>
      </c>
      <c r="C9315" t="s">
        <v>20641</v>
      </c>
      <c r="E9315" t="s">
        <v>39</v>
      </c>
      <c r="F9315">
        <v>0</v>
      </c>
      <c r="G9315">
        <v>0</v>
      </c>
      <c r="H9315">
        <v>1</v>
      </c>
      <c r="I9315" s="3">
        <v>289.85000000000002</v>
      </c>
      <c r="J9315" s="3">
        <v>0</v>
      </c>
      <c r="K9315" t="s">
        <v>20642</v>
      </c>
      <c r="L9315">
        <v>3818</v>
      </c>
      <c r="M9315" t="s">
        <v>20643</v>
      </c>
      <c r="N9315" t="s">
        <v>30</v>
      </c>
      <c r="O9315" t="s">
        <v>31</v>
      </c>
      <c r="P9315" t="str">
        <f>"15207"</f>
        <v>15207</v>
      </c>
    </row>
    <row r="9316" spans="1:16" x14ac:dyDescent="0.25">
      <c r="A9316" t="str">
        <f>"1150029M00035    00"</f>
        <v>1150029M00035    00</v>
      </c>
      <c r="B9316" t="s">
        <v>20644</v>
      </c>
      <c r="C9316" t="s">
        <v>20645</v>
      </c>
      <c r="E9316" t="s">
        <v>21</v>
      </c>
      <c r="F9316">
        <v>0</v>
      </c>
      <c r="G9316">
        <v>0</v>
      </c>
      <c r="H9316">
        <v>2</v>
      </c>
      <c r="I9316" s="3">
        <v>1027.1199999999999</v>
      </c>
      <c r="J9316" s="3">
        <v>723.74</v>
      </c>
      <c r="L9316">
        <v>3806</v>
      </c>
      <c r="M9316" t="s">
        <v>20643</v>
      </c>
      <c r="N9316" t="s">
        <v>30</v>
      </c>
      <c r="O9316" t="s">
        <v>31</v>
      </c>
      <c r="P9316" t="str">
        <f>"15207"</f>
        <v>15207</v>
      </c>
    </row>
    <row r="9317" spans="1:16" x14ac:dyDescent="0.25">
      <c r="A9317" t="str">
        <f>"1150029M00057    00"</f>
        <v>1150029M00057    00</v>
      </c>
      <c r="B9317" t="s">
        <v>20646</v>
      </c>
      <c r="C9317" t="s">
        <v>20647</v>
      </c>
      <c r="E9317" t="s">
        <v>39</v>
      </c>
      <c r="F9317">
        <v>0</v>
      </c>
      <c r="G9317">
        <v>0</v>
      </c>
      <c r="H9317">
        <v>1</v>
      </c>
      <c r="I9317" s="3">
        <v>69.510000000000005</v>
      </c>
      <c r="J9317" s="3">
        <v>75.87</v>
      </c>
      <c r="L9317">
        <v>3815</v>
      </c>
      <c r="M9317" t="s">
        <v>20643</v>
      </c>
      <c r="N9317" t="s">
        <v>30</v>
      </c>
      <c r="O9317" t="s">
        <v>31</v>
      </c>
      <c r="P9317" t="str">
        <f>"15207"</f>
        <v>15207</v>
      </c>
    </row>
    <row r="9318" spans="1:16" x14ac:dyDescent="0.25">
      <c r="A9318" t="str">
        <f>"1150029M00060    00"</f>
        <v>1150029M00060    00</v>
      </c>
      <c r="B9318" t="s">
        <v>20648</v>
      </c>
      <c r="C9318" t="s">
        <v>20649</v>
      </c>
      <c r="D9318" t="s">
        <v>20</v>
      </c>
      <c r="E9318" t="s">
        <v>39</v>
      </c>
      <c r="F9318">
        <v>0</v>
      </c>
      <c r="G9318">
        <v>0</v>
      </c>
      <c r="H9318">
        <v>2</v>
      </c>
      <c r="I9318" s="3">
        <v>239.64</v>
      </c>
      <c r="J9318" s="3">
        <v>0</v>
      </c>
      <c r="L9318">
        <v>205</v>
      </c>
      <c r="M9318" t="s">
        <v>18283</v>
      </c>
      <c r="N9318" t="s">
        <v>30</v>
      </c>
      <c r="O9318" t="s">
        <v>31</v>
      </c>
      <c r="P9318" t="str">
        <f>"15207"</f>
        <v>15207</v>
      </c>
    </row>
    <row r="9319" spans="1:16" x14ac:dyDescent="0.25">
      <c r="A9319" t="str">
        <f>"1150029S00043    00"</f>
        <v>1150029S00043    00</v>
      </c>
      <c r="B9319" t="s">
        <v>20650</v>
      </c>
      <c r="C9319" t="s">
        <v>20651</v>
      </c>
      <c r="D9319" t="s">
        <v>20</v>
      </c>
      <c r="E9319" t="s">
        <v>39</v>
      </c>
      <c r="F9319">
        <v>0</v>
      </c>
      <c r="G9319">
        <v>0</v>
      </c>
      <c r="H9319">
        <v>1</v>
      </c>
      <c r="I9319" s="3">
        <v>335.78</v>
      </c>
      <c r="J9319" s="3">
        <v>201.46</v>
      </c>
      <c r="L9319">
        <v>4105</v>
      </c>
      <c r="M9319" t="s">
        <v>18283</v>
      </c>
      <c r="N9319" t="s">
        <v>30</v>
      </c>
      <c r="O9319" t="s">
        <v>31</v>
      </c>
      <c r="P9319" t="str">
        <f>"15217"</f>
        <v>15217</v>
      </c>
    </row>
    <row r="9320" spans="1:16" x14ac:dyDescent="0.25">
      <c r="A9320" t="str">
        <f>"1150029S00048    00"</f>
        <v>1150029S00048    00</v>
      </c>
      <c r="B9320" t="s">
        <v>20652</v>
      </c>
      <c r="C9320" t="s">
        <v>20653</v>
      </c>
      <c r="D9320" t="s">
        <v>20</v>
      </c>
      <c r="E9320" t="s">
        <v>39</v>
      </c>
      <c r="F9320">
        <v>0</v>
      </c>
      <c r="G9320">
        <v>0</v>
      </c>
      <c r="H9320">
        <v>19</v>
      </c>
      <c r="I9320" s="3">
        <v>1179.58</v>
      </c>
      <c r="J9320" s="3">
        <v>938.5</v>
      </c>
      <c r="L9320">
        <v>173</v>
      </c>
      <c r="M9320" t="s">
        <v>1887</v>
      </c>
      <c r="N9320" t="s">
        <v>30</v>
      </c>
      <c r="O9320" t="s">
        <v>31</v>
      </c>
      <c r="P9320" t="str">
        <f>"15207"</f>
        <v>15207</v>
      </c>
    </row>
    <row r="9321" spans="1:16" x14ac:dyDescent="0.25">
      <c r="A9321" t="str">
        <f>"1150029S00057    00"</f>
        <v>1150029S00057    00</v>
      </c>
      <c r="B9321" t="s">
        <v>20654</v>
      </c>
      <c r="C9321" t="s">
        <v>20653</v>
      </c>
      <c r="D9321" t="s">
        <v>20</v>
      </c>
      <c r="E9321" t="s">
        <v>39</v>
      </c>
      <c r="F9321">
        <v>0</v>
      </c>
      <c r="G9321">
        <v>0</v>
      </c>
      <c r="H9321">
        <v>17</v>
      </c>
      <c r="I9321" s="3">
        <v>134.15</v>
      </c>
      <c r="J9321" s="3">
        <v>149.49</v>
      </c>
      <c r="L9321">
        <v>3826</v>
      </c>
      <c r="M9321" t="s">
        <v>20643</v>
      </c>
      <c r="N9321" t="s">
        <v>30</v>
      </c>
      <c r="O9321" t="s">
        <v>31</v>
      </c>
      <c r="P9321" t="str">
        <f>"15207"</f>
        <v>15207</v>
      </c>
    </row>
    <row r="9322" spans="1:16" x14ac:dyDescent="0.25">
      <c r="A9322" t="str">
        <f>"1150029S00063    00"</f>
        <v>1150029S00063    00</v>
      </c>
      <c r="B9322" t="s">
        <v>20655</v>
      </c>
      <c r="C9322" t="s">
        <v>20656</v>
      </c>
      <c r="D9322" t="s">
        <v>20</v>
      </c>
      <c r="E9322" t="s">
        <v>39</v>
      </c>
      <c r="F9322">
        <v>0</v>
      </c>
      <c r="G9322">
        <v>0</v>
      </c>
      <c r="H9322">
        <v>2</v>
      </c>
      <c r="I9322" s="3">
        <v>1193.18</v>
      </c>
      <c r="J9322" s="3">
        <v>0</v>
      </c>
      <c r="K9322" t="s">
        <v>20657</v>
      </c>
      <c r="L9322">
        <v>24328</v>
      </c>
      <c r="M9322" t="s">
        <v>20658</v>
      </c>
      <c r="N9322" t="s">
        <v>20659</v>
      </c>
      <c r="O9322" t="s">
        <v>495</v>
      </c>
      <c r="P9322" t="str">
        <f>"90710"</f>
        <v>90710</v>
      </c>
    </row>
    <row r="9323" spans="1:16" x14ac:dyDescent="0.25">
      <c r="A9323" t="str">
        <f>"1150029S00069    00"</f>
        <v>1150029S00069    00</v>
      </c>
      <c r="B9323" t="s">
        <v>20660</v>
      </c>
      <c r="C9323" t="s">
        <v>2272</v>
      </c>
      <c r="D9323" t="s">
        <v>20</v>
      </c>
      <c r="E9323" t="s">
        <v>39</v>
      </c>
      <c r="F9323">
        <v>0</v>
      </c>
      <c r="G9323">
        <v>0</v>
      </c>
      <c r="H9323">
        <v>19</v>
      </c>
      <c r="I9323" s="3">
        <v>3406.89</v>
      </c>
      <c r="J9323" s="3">
        <v>3872.23</v>
      </c>
      <c r="L9323">
        <v>10903</v>
      </c>
      <c r="M9323" t="s">
        <v>11939</v>
      </c>
      <c r="N9323" t="s">
        <v>30</v>
      </c>
      <c r="O9323" t="s">
        <v>31</v>
      </c>
      <c r="P9323" t="str">
        <f>"15235"</f>
        <v>15235</v>
      </c>
    </row>
    <row r="9324" spans="1:16" x14ac:dyDescent="0.25">
      <c r="A9324" t="str">
        <f>"1150029S00111    00"</f>
        <v>1150029S00111    00</v>
      </c>
      <c r="B9324" t="s">
        <v>20661</v>
      </c>
      <c r="C9324" t="s">
        <v>20662</v>
      </c>
      <c r="E9324" t="s">
        <v>39</v>
      </c>
      <c r="F9324">
        <v>0</v>
      </c>
      <c r="G9324">
        <v>0</v>
      </c>
      <c r="H9324">
        <v>2</v>
      </c>
      <c r="I9324" s="3">
        <v>1380.45</v>
      </c>
      <c r="J9324" s="3">
        <v>327.44</v>
      </c>
      <c r="K9324" t="s">
        <v>5073</v>
      </c>
      <c r="L9324">
        <v>3001</v>
      </c>
      <c r="M9324" t="s">
        <v>330</v>
      </c>
      <c r="N9324" t="s">
        <v>331</v>
      </c>
      <c r="O9324" t="s">
        <v>108</v>
      </c>
      <c r="P9324" t="str">
        <f>"75063"</f>
        <v>75063</v>
      </c>
    </row>
    <row r="9325" spans="1:16" x14ac:dyDescent="0.25">
      <c r="A9325" t="str">
        <f>"1150029S00114    00"</f>
        <v>1150029S00114    00</v>
      </c>
      <c r="B9325" t="s">
        <v>20663</v>
      </c>
      <c r="C9325" t="s">
        <v>20664</v>
      </c>
      <c r="D9325" t="s">
        <v>20</v>
      </c>
      <c r="E9325" t="s">
        <v>39</v>
      </c>
      <c r="F9325">
        <v>0</v>
      </c>
      <c r="G9325">
        <v>0</v>
      </c>
      <c r="H9325">
        <v>5</v>
      </c>
      <c r="I9325" s="3">
        <v>1574.08</v>
      </c>
      <c r="J9325" s="3">
        <v>156.5</v>
      </c>
      <c r="L9325">
        <v>22</v>
      </c>
      <c r="M9325" t="s">
        <v>20665</v>
      </c>
      <c r="N9325" t="s">
        <v>30</v>
      </c>
      <c r="O9325" t="s">
        <v>31</v>
      </c>
      <c r="P9325" t="str">
        <f>"15207"</f>
        <v>15207</v>
      </c>
    </row>
    <row r="9326" spans="1:16" x14ac:dyDescent="0.25">
      <c r="A9326" t="str">
        <f>"1150029S00115    00"</f>
        <v>1150029S00115    00</v>
      </c>
      <c r="B9326" t="s">
        <v>20666</v>
      </c>
      <c r="C9326" t="s">
        <v>20667</v>
      </c>
      <c r="D9326" t="s">
        <v>20</v>
      </c>
      <c r="E9326" t="s">
        <v>39</v>
      </c>
      <c r="F9326">
        <v>0</v>
      </c>
      <c r="G9326">
        <v>0</v>
      </c>
      <c r="H9326">
        <v>19</v>
      </c>
      <c r="I9326" s="3">
        <v>12468.99</v>
      </c>
      <c r="J9326" s="3">
        <v>12809.97</v>
      </c>
      <c r="L9326">
        <v>20</v>
      </c>
      <c r="M9326" t="s">
        <v>20665</v>
      </c>
      <c r="N9326" t="s">
        <v>30</v>
      </c>
      <c r="O9326" t="s">
        <v>31</v>
      </c>
      <c r="P9326" t="str">
        <f>"15207"</f>
        <v>15207</v>
      </c>
    </row>
    <row r="9327" spans="1:16" x14ac:dyDescent="0.25">
      <c r="A9327" t="str">
        <f>"1150029S00116    00"</f>
        <v>1150029S00116    00</v>
      </c>
      <c r="B9327" t="s">
        <v>20668</v>
      </c>
      <c r="C9327" t="s">
        <v>20669</v>
      </c>
      <c r="D9327" t="s">
        <v>20</v>
      </c>
      <c r="E9327" t="s">
        <v>39</v>
      </c>
      <c r="F9327">
        <v>0</v>
      </c>
      <c r="G9327">
        <v>0</v>
      </c>
      <c r="H9327">
        <v>2</v>
      </c>
      <c r="I9327" s="3">
        <v>1021.62</v>
      </c>
      <c r="J9327" s="3">
        <v>0</v>
      </c>
      <c r="K9327" t="s">
        <v>20670</v>
      </c>
      <c r="L9327">
        <v>139</v>
      </c>
      <c r="M9327" t="s">
        <v>20671</v>
      </c>
      <c r="N9327" t="s">
        <v>666</v>
      </c>
      <c r="O9327" t="s">
        <v>31</v>
      </c>
      <c r="P9327" t="str">
        <f>"16001"</f>
        <v>16001</v>
      </c>
    </row>
    <row r="9328" spans="1:16" x14ac:dyDescent="0.25">
      <c r="A9328" t="str">
        <f>"1150029S00250C   02"</f>
        <v>1150029S00250C   02</v>
      </c>
      <c r="B9328" t="s">
        <v>20672</v>
      </c>
      <c r="C9328" t="s">
        <v>20673</v>
      </c>
      <c r="E9328" t="s">
        <v>513</v>
      </c>
      <c r="F9328">
        <v>0</v>
      </c>
      <c r="G9328">
        <v>0</v>
      </c>
      <c r="H9328">
        <v>1</v>
      </c>
      <c r="I9328" s="3">
        <v>2407.62</v>
      </c>
      <c r="J9328" s="3">
        <v>3572.2</v>
      </c>
      <c r="K9328" t="s">
        <v>2273</v>
      </c>
      <c r="L9328">
        <v>500</v>
      </c>
      <c r="M9328" t="s">
        <v>4705</v>
      </c>
      <c r="N9328" t="s">
        <v>3919</v>
      </c>
      <c r="O9328" t="s">
        <v>370</v>
      </c>
      <c r="P9328" t="str">
        <f>"32202"</f>
        <v>32202</v>
      </c>
    </row>
    <row r="9329" spans="1:16" x14ac:dyDescent="0.25">
      <c r="A9329" t="str">
        <f>"1150054J00134    00"</f>
        <v>1150054J00134    00</v>
      </c>
      <c r="B9329" t="s">
        <v>20674</v>
      </c>
      <c r="C9329" t="s">
        <v>20675</v>
      </c>
      <c r="D9329" t="s">
        <v>20</v>
      </c>
      <c r="E9329" t="s">
        <v>39</v>
      </c>
      <c r="F9329">
        <v>0</v>
      </c>
      <c r="G9329">
        <v>0</v>
      </c>
      <c r="H9329">
        <v>2</v>
      </c>
      <c r="I9329" s="3">
        <v>850.08</v>
      </c>
      <c r="J9329" s="3">
        <v>0</v>
      </c>
      <c r="K9329" t="s">
        <v>20676</v>
      </c>
      <c r="L9329">
        <v>4314</v>
      </c>
      <c r="M9329" t="s">
        <v>20677</v>
      </c>
      <c r="N9329" t="s">
        <v>30</v>
      </c>
      <c r="O9329" t="s">
        <v>31</v>
      </c>
      <c r="P9329" t="str">
        <f t="shared" ref="P9329:P9338" si="107">"15207"</f>
        <v>15207</v>
      </c>
    </row>
    <row r="9330" spans="1:16" x14ac:dyDescent="0.25">
      <c r="A9330" t="str">
        <f>"1150054J00156    00"</f>
        <v>1150054J00156    00</v>
      </c>
      <c r="B9330" t="s">
        <v>20678</v>
      </c>
      <c r="C9330" t="s">
        <v>20679</v>
      </c>
      <c r="E9330" t="s">
        <v>39</v>
      </c>
      <c r="F9330">
        <v>0</v>
      </c>
      <c r="G9330">
        <v>0</v>
      </c>
      <c r="H9330">
        <v>1</v>
      </c>
      <c r="I9330" s="3">
        <v>1217.95</v>
      </c>
      <c r="J9330" s="3">
        <v>324.77</v>
      </c>
      <c r="L9330">
        <v>309</v>
      </c>
      <c r="M9330" t="s">
        <v>18283</v>
      </c>
      <c r="N9330" t="s">
        <v>30</v>
      </c>
      <c r="O9330" t="s">
        <v>31</v>
      </c>
      <c r="P9330" t="str">
        <f t="shared" si="107"/>
        <v>15207</v>
      </c>
    </row>
    <row r="9331" spans="1:16" x14ac:dyDescent="0.25">
      <c r="A9331" t="str">
        <f>"1150054J00165    00"</f>
        <v>1150054J00165    00</v>
      </c>
      <c r="B9331" t="s">
        <v>20680</v>
      </c>
      <c r="C9331" t="s">
        <v>20681</v>
      </c>
      <c r="E9331" t="s">
        <v>39</v>
      </c>
      <c r="F9331">
        <v>0</v>
      </c>
      <c r="G9331">
        <v>0</v>
      </c>
      <c r="H9331">
        <v>1</v>
      </c>
      <c r="I9331" s="3">
        <v>489.39</v>
      </c>
      <c r="J9331" s="3">
        <v>195.74</v>
      </c>
      <c r="L9331">
        <v>333</v>
      </c>
      <c r="M9331" t="s">
        <v>18283</v>
      </c>
      <c r="N9331" t="s">
        <v>30</v>
      </c>
      <c r="O9331" t="s">
        <v>31</v>
      </c>
      <c r="P9331" t="str">
        <f t="shared" si="107"/>
        <v>15207</v>
      </c>
    </row>
    <row r="9332" spans="1:16" x14ac:dyDescent="0.25">
      <c r="A9332" t="str">
        <f>"1150054J00185    00"</f>
        <v>1150054J00185    00</v>
      </c>
      <c r="B9332" t="s">
        <v>20682</v>
      </c>
      <c r="C9332" t="s">
        <v>19611</v>
      </c>
      <c r="D9332" t="s">
        <v>20</v>
      </c>
      <c r="E9332" t="s">
        <v>39</v>
      </c>
      <c r="F9332">
        <v>0</v>
      </c>
      <c r="G9332">
        <v>0</v>
      </c>
      <c r="H9332">
        <v>17</v>
      </c>
      <c r="I9332" s="3">
        <v>347.33</v>
      </c>
      <c r="J9332" s="3">
        <v>235.28</v>
      </c>
      <c r="L9332">
        <v>342</v>
      </c>
      <c r="M9332" t="s">
        <v>18283</v>
      </c>
      <c r="N9332" t="s">
        <v>30</v>
      </c>
      <c r="O9332" t="s">
        <v>31</v>
      </c>
      <c r="P9332" t="str">
        <f t="shared" si="107"/>
        <v>15207</v>
      </c>
    </row>
    <row r="9333" spans="1:16" x14ac:dyDescent="0.25">
      <c r="A9333" t="str">
        <f>"1150054J00190    00"</f>
        <v>1150054J00190    00</v>
      </c>
      <c r="B9333" t="s">
        <v>20683</v>
      </c>
      <c r="C9333" t="s">
        <v>20684</v>
      </c>
      <c r="D9333" t="s">
        <v>20</v>
      </c>
      <c r="E9333" t="s">
        <v>39</v>
      </c>
      <c r="F9333">
        <v>0</v>
      </c>
      <c r="G9333">
        <v>0</v>
      </c>
      <c r="H9333">
        <v>2</v>
      </c>
      <c r="I9333" s="3">
        <v>84.82</v>
      </c>
      <c r="J9333" s="3">
        <v>0</v>
      </c>
      <c r="L9333">
        <v>334</v>
      </c>
      <c r="M9333" t="s">
        <v>18283</v>
      </c>
      <c r="N9333" t="s">
        <v>30</v>
      </c>
      <c r="O9333" t="s">
        <v>31</v>
      </c>
      <c r="P9333" t="str">
        <f t="shared" si="107"/>
        <v>15207</v>
      </c>
    </row>
    <row r="9334" spans="1:16" x14ac:dyDescent="0.25">
      <c r="A9334" t="str">
        <f>"1150054J00206    00"</f>
        <v>1150054J00206    00</v>
      </c>
      <c r="B9334" t="s">
        <v>20685</v>
      </c>
      <c r="C9334" t="s">
        <v>20686</v>
      </c>
      <c r="D9334" t="s">
        <v>20</v>
      </c>
      <c r="E9334" t="s">
        <v>39</v>
      </c>
      <c r="F9334">
        <v>0</v>
      </c>
      <c r="G9334">
        <v>0</v>
      </c>
      <c r="H9334">
        <v>2</v>
      </c>
      <c r="I9334" s="3">
        <v>861.19</v>
      </c>
      <c r="J9334" s="3">
        <v>0</v>
      </c>
      <c r="K9334" t="s">
        <v>20687</v>
      </c>
      <c r="L9334">
        <v>5234</v>
      </c>
      <c r="M9334" t="s">
        <v>20688</v>
      </c>
      <c r="N9334" t="s">
        <v>30</v>
      </c>
      <c r="O9334" t="s">
        <v>31</v>
      </c>
      <c r="P9334" t="str">
        <f t="shared" si="107"/>
        <v>15207</v>
      </c>
    </row>
    <row r="9335" spans="1:16" x14ac:dyDescent="0.25">
      <c r="A9335" t="str">
        <f>"1150054J00208    00"</f>
        <v>1150054J00208    00</v>
      </c>
      <c r="B9335" t="s">
        <v>20689</v>
      </c>
      <c r="C9335" t="s">
        <v>19611</v>
      </c>
      <c r="D9335" t="s">
        <v>20</v>
      </c>
      <c r="E9335" t="s">
        <v>39</v>
      </c>
      <c r="F9335">
        <v>0</v>
      </c>
      <c r="G9335">
        <v>0</v>
      </c>
      <c r="H9335">
        <v>18</v>
      </c>
      <c r="I9335" s="3">
        <v>9427.6</v>
      </c>
      <c r="J9335" s="3">
        <v>13108.89</v>
      </c>
      <c r="L9335">
        <v>526</v>
      </c>
      <c r="M9335" t="s">
        <v>1887</v>
      </c>
      <c r="N9335" t="s">
        <v>30</v>
      </c>
      <c r="O9335" t="s">
        <v>31</v>
      </c>
      <c r="P9335" t="str">
        <f t="shared" si="107"/>
        <v>15207</v>
      </c>
    </row>
    <row r="9336" spans="1:16" x14ac:dyDescent="0.25">
      <c r="A9336" t="str">
        <f>"1150054J00244    00"</f>
        <v>1150054J00244    00</v>
      </c>
      <c r="B9336" t="s">
        <v>20690</v>
      </c>
      <c r="C9336" t="s">
        <v>20691</v>
      </c>
      <c r="D9336" t="s">
        <v>20</v>
      </c>
      <c r="E9336" t="s">
        <v>39</v>
      </c>
      <c r="F9336">
        <v>0</v>
      </c>
      <c r="G9336">
        <v>0</v>
      </c>
      <c r="H9336">
        <v>9</v>
      </c>
      <c r="I9336" s="3">
        <v>133.05000000000001</v>
      </c>
      <c r="J9336" s="3">
        <v>50.78</v>
      </c>
      <c r="L9336">
        <v>311</v>
      </c>
      <c r="M9336" t="s">
        <v>18283</v>
      </c>
      <c r="N9336" t="s">
        <v>30</v>
      </c>
      <c r="O9336" t="s">
        <v>31</v>
      </c>
      <c r="P9336" t="str">
        <f t="shared" si="107"/>
        <v>15207</v>
      </c>
    </row>
    <row r="9337" spans="1:16" x14ac:dyDescent="0.25">
      <c r="A9337" t="str">
        <f>"1150054J00257    00"</f>
        <v>1150054J00257    00</v>
      </c>
      <c r="B9337" t="s">
        <v>20692</v>
      </c>
      <c r="C9337" t="s">
        <v>20691</v>
      </c>
      <c r="D9337" t="s">
        <v>20</v>
      </c>
      <c r="E9337" t="s">
        <v>39</v>
      </c>
      <c r="F9337">
        <v>0</v>
      </c>
      <c r="G9337">
        <v>0</v>
      </c>
      <c r="H9337">
        <v>19</v>
      </c>
      <c r="I9337" s="3">
        <v>2264.36</v>
      </c>
      <c r="J9337" s="3">
        <v>2457.2399999999998</v>
      </c>
      <c r="L9337">
        <v>330</v>
      </c>
      <c r="M9337" t="s">
        <v>20693</v>
      </c>
      <c r="N9337" t="s">
        <v>30</v>
      </c>
      <c r="O9337" t="s">
        <v>31</v>
      </c>
      <c r="P9337" t="str">
        <f t="shared" si="107"/>
        <v>15207</v>
      </c>
    </row>
    <row r="9338" spans="1:16" x14ac:dyDescent="0.25">
      <c r="A9338" t="str">
        <f>"1150054J00261    00"</f>
        <v>1150054J00261    00</v>
      </c>
      <c r="B9338" t="s">
        <v>20694</v>
      </c>
      <c r="C9338" t="s">
        <v>20695</v>
      </c>
      <c r="D9338" t="s">
        <v>20</v>
      </c>
      <c r="E9338" t="s">
        <v>39</v>
      </c>
      <c r="F9338">
        <v>0</v>
      </c>
      <c r="G9338">
        <v>0</v>
      </c>
      <c r="H9338">
        <v>2</v>
      </c>
      <c r="I9338" s="3">
        <v>1055.94</v>
      </c>
      <c r="J9338" s="3">
        <v>0</v>
      </c>
      <c r="L9338">
        <v>336</v>
      </c>
      <c r="M9338" t="s">
        <v>20693</v>
      </c>
      <c r="N9338" t="s">
        <v>30</v>
      </c>
      <c r="O9338" t="s">
        <v>31</v>
      </c>
      <c r="P9338" t="str">
        <f t="shared" si="107"/>
        <v>15207</v>
      </c>
    </row>
    <row r="9339" spans="1:16" x14ac:dyDescent="0.25">
      <c r="A9339" t="str">
        <f>"1150054J00281    00"</f>
        <v>1150054J00281    00</v>
      </c>
      <c r="B9339" t="s">
        <v>20696</v>
      </c>
      <c r="C9339" t="s">
        <v>20697</v>
      </c>
      <c r="E9339" t="s">
        <v>39</v>
      </c>
      <c r="F9339">
        <v>0</v>
      </c>
      <c r="G9339">
        <v>0</v>
      </c>
      <c r="H9339">
        <v>1</v>
      </c>
      <c r="I9339" s="3">
        <v>459.2</v>
      </c>
      <c r="J9339" s="3">
        <v>0</v>
      </c>
      <c r="K9339" t="s">
        <v>20698</v>
      </c>
      <c r="M9339" t="s">
        <v>20699</v>
      </c>
      <c r="N9339" t="s">
        <v>30</v>
      </c>
      <c r="O9339" t="s">
        <v>31</v>
      </c>
      <c r="P9339" t="str">
        <f>"15224"</f>
        <v>15224</v>
      </c>
    </row>
    <row r="9340" spans="1:16" x14ac:dyDescent="0.25">
      <c r="A9340" t="str">
        <f>"1150054J00282    00"</f>
        <v>1150054J00282    00</v>
      </c>
      <c r="B9340" t="s">
        <v>20700</v>
      </c>
      <c r="C9340" t="s">
        <v>20701</v>
      </c>
      <c r="D9340" t="s">
        <v>20</v>
      </c>
      <c r="E9340" t="s">
        <v>39</v>
      </c>
      <c r="F9340">
        <v>0</v>
      </c>
      <c r="G9340">
        <v>0</v>
      </c>
      <c r="H9340">
        <v>9</v>
      </c>
      <c r="I9340" s="3">
        <v>4908.6000000000004</v>
      </c>
      <c r="J9340" s="3">
        <v>31.05</v>
      </c>
      <c r="L9340">
        <v>406</v>
      </c>
      <c r="M9340" t="s">
        <v>20702</v>
      </c>
      <c r="N9340" t="s">
        <v>30</v>
      </c>
      <c r="O9340" t="s">
        <v>31</v>
      </c>
      <c r="P9340" t="str">
        <f>"15207"</f>
        <v>15207</v>
      </c>
    </row>
    <row r="9341" spans="1:16" x14ac:dyDescent="0.25">
      <c r="A9341" t="str">
        <f>"1150054J00283    00"</f>
        <v>1150054J00283    00</v>
      </c>
      <c r="B9341" t="s">
        <v>20703</v>
      </c>
      <c r="C9341" t="s">
        <v>20704</v>
      </c>
      <c r="D9341" t="s">
        <v>20</v>
      </c>
      <c r="E9341" t="s">
        <v>39</v>
      </c>
      <c r="F9341">
        <v>0</v>
      </c>
      <c r="G9341">
        <v>0</v>
      </c>
      <c r="H9341">
        <v>5</v>
      </c>
      <c r="I9341" s="3">
        <v>258.31</v>
      </c>
      <c r="J9341" s="3">
        <v>1.1100000000000001</v>
      </c>
      <c r="K9341" t="s">
        <v>20705</v>
      </c>
      <c r="L9341">
        <v>407</v>
      </c>
      <c r="M9341" t="s">
        <v>20702</v>
      </c>
      <c r="N9341" t="s">
        <v>30</v>
      </c>
      <c r="O9341" t="s">
        <v>31</v>
      </c>
      <c r="P9341" t="str">
        <f>"15207"</f>
        <v>15207</v>
      </c>
    </row>
    <row r="9342" spans="1:16" x14ac:dyDescent="0.25">
      <c r="A9342" t="str">
        <f>"1150054J00284    00"</f>
        <v>1150054J00284    00</v>
      </c>
      <c r="B9342" t="s">
        <v>20706</v>
      </c>
      <c r="C9342" t="s">
        <v>20707</v>
      </c>
      <c r="D9342" t="s">
        <v>20</v>
      </c>
      <c r="E9342" t="s">
        <v>39</v>
      </c>
      <c r="F9342">
        <v>0</v>
      </c>
      <c r="G9342">
        <v>0</v>
      </c>
      <c r="H9342">
        <v>4</v>
      </c>
      <c r="I9342" s="3">
        <v>301.76</v>
      </c>
      <c r="J9342" s="3">
        <v>37.159999999999997</v>
      </c>
      <c r="L9342">
        <v>407</v>
      </c>
      <c r="M9342" t="s">
        <v>20702</v>
      </c>
      <c r="N9342" t="s">
        <v>30</v>
      </c>
      <c r="O9342" t="s">
        <v>31</v>
      </c>
      <c r="P9342" t="str">
        <f>"15207"</f>
        <v>15207</v>
      </c>
    </row>
    <row r="9343" spans="1:16" x14ac:dyDescent="0.25">
      <c r="A9343" t="str">
        <f>"1150054K00068    00"</f>
        <v>1150054K00068    00</v>
      </c>
      <c r="B9343" t="s">
        <v>20708</v>
      </c>
      <c r="C9343" t="s">
        <v>20709</v>
      </c>
      <c r="E9343" t="s">
        <v>39</v>
      </c>
      <c r="F9343">
        <v>0</v>
      </c>
      <c r="G9343">
        <v>0</v>
      </c>
      <c r="H9343">
        <v>1</v>
      </c>
      <c r="I9343" s="3">
        <v>1454.28</v>
      </c>
      <c r="J9343" s="3">
        <v>0</v>
      </c>
      <c r="K9343" t="s">
        <v>20710</v>
      </c>
      <c r="L9343">
        <v>3917</v>
      </c>
      <c r="M9343" t="s">
        <v>20711</v>
      </c>
      <c r="N9343" t="s">
        <v>30</v>
      </c>
      <c r="O9343" t="s">
        <v>31</v>
      </c>
      <c r="P9343" t="str">
        <f>"15207"</f>
        <v>15207</v>
      </c>
    </row>
    <row r="9344" spans="1:16" x14ac:dyDescent="0.25">
      <c r="A9344" t="str">
        <f>"1150054K00071    00"</f>
        <v>1150054K00071    00</v>
      </c>
      <c r="B9344" t="s">
        <v>20712</v>
      </c>
      <c r="C9344" t="s">
        <v>20713</v>
      </c>
      <c r="D9344" t="s">
        <v>20</v>
      </c>
      <c r="E9344" t="s">
        <v>39</v>
      </c>
      <c r="F9344">
        <v>0</v>
      </c>
      <c r="G9344">
        <v>0</v>
      </c>
      <c r="H9344">
        <v>19</v>
      </c>
      <c r="I9344" s="3">
        <v>9376.48</v>
      </c>
      <c r="J9344" s="3">
        <v>6643.38</v>
      </c>
      <c r="M9344" t="s">
        <v>20711</v>
      </c>
      <c r="N9344" t="s">
        <v>30</v>
      </c>
      <c r="O9344" t="s">
        <v>31</v>
      </c>
      <c r="P9344" t="str">
        <f>"15207"</f>
        <v>15207</v>
      </c>
    </row>
    <row r="9345" spans="1:16" x14ac:dyDescent="0.25">
      <c r="A9345" t="str">
        <f>"1150054K00088    00"</f>
        <v>1150054K00088    00</v>
      </c>
      <c r="B9345" t="s">
        <v>20714</v>
      </c>
      <c r="C9345" t="s">
        <v>20715</v>
      </c>
      <c r="D9345" t="s">
        <v>20</v>
      </c>
      <c r="E9345" t="s">
        <v>39</v>
      </c>
      <c r="F9345">
        <v>0</v>
      </c>
      <c r="G9345">
        <v>0</v>
      </c>
      <c r="H9345">
        <v>1</v>
      </c>
      <c r="I9345" s="3">
        <v>1972.72</v>
      </c>
      <c r="J9345" s="3">
        <v>0</v>
      </c>
      <c r="L9345">
        <v>78</v>
      </c>
      <c r="M9345" t="s">
        <v>20716</v>
      </c>
      <c r="N9345" t="s">
        <v>20717</v>
      </c>
      <c r="O9345" t="s">
        <v>200</v>
      </c>
      <c r="P9345" t="str">
        <f>"10583"</f>
        <v>10583</v>
      </c>
    </row>
    <row r="9346" spans="1:16" x14ac:dyDescent="0.25">
      <c r="A9346" t="str">
        <f>"1150054K00093    00"</f>
        <v>1150054K00093    00</v>
      </c>
      <c r="B9346" t="s">
        <v>20718</v>
      </c>
      <c r="C9346" t="s">
        <v>20719</v>
      </c>
      <c r="D9346" t="s">
        <v>20</v>
      </c>
      <c r="E9346" t="s">
        <v>39</v>
      </c>
      <c r="F9346">
        <v>0</v>
      </c>
      <c r="G9346">
        <v>0</v>
      </c>
      <c r="H9346">
        <v>3</v>
      </c>
      <c r="I9346" s="3">
        <v>5119.26</v>
      </c>
      <c r="J9346" s="3">
        <v>464.3</v>
      </c>
      <c r="L9346">
        <v>8009</v>
      </c>
      <c r="M9346" t="s">
        <v>20720</v>
      </c>
      <c r="N9346" t="s">
        <v>20721</v>
      </c>
      <c r="O9346" t="s">
        <v>200</v>
      </c>
      <c r="P9346" t="str">
        <f>"11372"</f>
        <v>11372</v>
      </c>
    </row>
    <row r="9347" spans="1:16" x14ac:dyDescent="0.25">
      <c r="A9347" t="str">
        <f>"1150054K00097    00"</f>
        <v>1150054K00097    00</v>
      </c>
      <c r="B9347" t="s">
        <v>20722</v>
      </c>
      <c r="C9347" t="s">
        <v>20723</v>
      </c>
      <c r="D9347" t="s">
        <v>20</v>
      </c>
      <c r="E9347" t="s">
        <v>39</v>
      </c>
      <c r="F9347">
        <v>0</v>
      </c>
      <c r="G9347">
        <v>0</v>
      </c>
      <c r="H9347">
        <v>3</v>
      </c>
      <c r="I9347" s="3">
        <v>6043.95</v>
      </c>
      <c r="J9347" s="3">
        <v>402.92</v>
      </c>
      <c r="K9347" t="s">
        <v>1632</v>
      </c>
      <c r="L9347">
        <v>3001</v>
      </c>
      <c r="M9347" t="s">
        <v>330</v>
      </c>
      <c r="N9347" t="s">
        <v>331</v>
      </c>
      <c r="O9347" t="s">
        <v>108</v>
      </c>
      <c r="P9347" t="str">
        <f>"75063"</f>
        <v>75063</v>
      </c>
    </row>
    <row r="9348" spans="1:16" x14ac:dyDescent="0.25">
      <c r="A9348" t="str">
        <f>"1150054K00120    00"</f>
        <v>1150054K00120    00</v>
      </c>
      <c r="B9348" t="s">
        <v>20724</v>
      </c>
      <c r="C9348" t="s">
        <v>20725</v>
      </c>
      <c r="D9348" t="s">
        <v>20</v>
      </c>
      <c r="E9348" t="s">
        <v>39</v>
      </c>
      <c r="F9348">
        <v>0</v>
      </c>
      <c r="G9348">
        <v>0</v>
      </c>
      <c r="H9348">
        <v>2</v>
      </c>
      <c r="I9348" s="3">
        <v>1606.2</v>
      </c>
      <c r="J9348" s="3">
        <v>0</v>
      </c>
      <c r="L9348">
        <v>3923</v>
      </c>
      <c r="M9348" t="s">
        <v>20726</v>
      </c>
      <c r="N9348" t="s">
        <v>30</v>
      </c>
      <c r="O9348" t="s">
        <v>31</v>
      </c>
      <c r="P9348" t="str">
        <f>"15207"</f>
        <v>15207</v>
      </c>
    </row>
    <row r="9349" spans="1:16" x14ac:dyDescent="0.25">
      <c r="A9349" t="str">
        <f>"1150054K00242    00"</f>
        <v>1150054K00242    00</v>
      </c>
      <c r="B9349" t="s">
        <v>20727</v>
      </c>
      <c r="C9349" t="s">
        <v>20728</v>
      </c>
      <c r="D9349" t="s">
        <v>20</v>
      </c>
      <c r="E9349" t="s">
        <v>39</v>
      </c>
      <c r="F9349">
        <v>0</v>
      </c>
      <c r="G9349">
        <v>0</v>
      </c>
      <c r="H9349">
        <v>3</v>
      </c>
      <c r="I9349" s="3">
        <v>71.37</v>
      </c>
      <c r="J9349" s="3">
        <v>4.76</v>
      </c>
      <c r="L9349">
        <v>311</v>
      </c>
      <c r="M9349" t="s">
        <v>18283</v>
      </c>
      <c r="N9349" t="s">
        <v>30</v>
      </c>
      <c r="O9349" t="s">
        <v>31</v>
      </c>
      <c r="P9349" t="str">
        <f>"15207"</f>
        <v>15207</v>
      </c>
    </row>
    <row r="9350" spans="1:16" x14ac:dyDescent="0.25">
      <c r="A9350" t="str">
        <f>"1150054L00054    00"</f>
        <v>1150054L00054    00</v>
      </c>
      <c r="B9350" t="s">
        <v>20729</v>
      </c>
      <c r="C9350" t="s">
        <v>20730</v>
      </c>
      <c r="D9350" t="s">
        <v>20</v>
      </c>
      <c r="E9350" t="s">
        <v>39</v>
      </c>
      <c r="F9350">
        <v>0</v>
      </c>
      <c r="G9350">
        <v>0</v>
      </c>
      <c r="H9350">
        <v>2</v>
      </c>
      <c r="I9350" s="3">
        <v>3504.24</v>
      </c>
      <c r="J9350" s="3">
        <v>0</v>
      </c>
      <c r="K9350" t="s">
        <v>20731</v>
      </c>
      <c r="L9350">
        <v>1696</v>
      </c>
      <c r="M9350" t="s">
        <v>20732</v>
      </c>
      <c r="N9350" t="s">
        <v>20733</v>
      </c>
      <c r="O9350" t="s">
        <v>6668</v>
      </c>
      <c r="P9350" t="str">
        <f>"98029"</f>
        <v>98029</v>
      </c>
    </row>
    <row r="9351" spans="1:16" x14ac:dyDescent="0.25">
      <c r="A9351" t="str">
        <f>"1150054L00060    00"</f>
        <v>1150054L00060    00</v>
      </c>
      <c r="B9351" t="s">
        <v>20734</v>
      </c>
      <c r="C9351" t="s">
        <v>20735</v>
      </c>
      <c r="D9351" t="s">
        <v>20</v>
      </c>
      <c r="E9351" t="s">
        <v>39</v>
      </c>
      <c r="F9351">
        <v>0</v>
      </c>
      <c r="G9351">
        <v>0</v>
      </c>
      <c r="H9351">
        <v>2</v>
      </c>
      <c r="I9351" s="3">
        <v>340.01</v>
      </c>
      <c r="J9351" s="3">
        <v>0</v>
      </c>
      <c r="K9351" t="s">
        <v>557</v>
      </c>
      <c r="L9351">
        <v>3001</v>
      </c>
      <c r="M9351" t="s">
        <v>330</v>
      </c>
      <c r="N9351" t="s">
        <v>331</v>
      </c>
      <c r="O9351" t="s">
        <v>108</v>
      </c>
      <c r="P9351" t="str">
        <f>"75063"</f>
        <v>75063</v>
      </c>
    </row>
    <row r="9352" spans="1:16" x14ac:dyDescent="0.25">
      <c r="A9352" t="str">
        <f>"1150054L00077    00"</f>
        <v>1150054L00077    00</v>
      </c>
      <c r="B9352" t="s">
        <v>20736</v>
      </c>
      <c r="C9352" t="s">
        <v>20737</v>
      </c>
      <c r="D9352" t="s">
        <v>20</v>
      </c>
      <c r="E9352" t="s">
        <v>39</v>
      </c>
      <c r="F9352">
        <v>0</v>
      </c>
      <c r="G9352">
        <v>0</v>
      </c>
      <c r="H9352">
        <v>2</v>
      </c>
      <c r="I9352" s="3">
        <v>1000.54</v>
      </c>
      <c r="J9352" s="3">
        <v>22.93</v>
      </c>
      <c r="L9352">
        <v>3921</v>
      </c>
      <c r="M9352" t="s">
        <v>20738</v>
      </c>
      <c r="N9352" t="s">
        <v>30</v>
      </c>
      <c r="O9352" t="s">
        <v>31</v>
      </c>
      <c r="P9352" t="str">
        <f>"15207"</f>
        <v>15207</v>
      </c>
    </row>
    <row r="9353" spans="1:16" x14ac:dyDescent="0.25">
      <c r="A9353" t="str">
        <f>"1150054L00270    00"</f>
        <v>1150054L00270    00</v>
      </c>
      <c r="B9353" t="s">
        <v>20739</v>
      </c>
      <c r="C9353" t="s">
        <v>20740</v>
      </c>
      <c r="E9353" t="s">
        <v>39</v>
      </c>
      <c r="F9353">
        <v>0</v>
      </c>
      <c r="G9353">
        <v>0</v>
      </c>
      <c r="H9353">
        <v>1</v>
      </c>
      <c r="I9353" s="3">
        <v>1924.1</v>
      </c>
      <c r="J9353" s="3">
        <v>432.91</v>
      </c>
      <c r="K9353" t="s">
        <v>5692</v>
      </c>
      <c r="L9353">
        <v>3001</v>
      </c>
      <c r="M9353" t="s">
        <v>330</v>
      </c>
      <c r="N9353" t="s">
        <v>331</v>
      </c>
      <c r="O9353" t="s">
        <v>108</v>
      </c>
      <c r="P9353" t="str">
        <f>"75063"</f>
        <v>75063</v>
      </c>
    </row>
    <row r="9354" spans="1:16" x14ac:dyDescent="0.25">
      <c r="A9354" t="str">
        <f>"1150054M00051    00"</f>
        <v>1150054M00051    00</v>
      </c>
      <c r="B9354" t="s">
        <v>20741</v>
      </c>
      <c r="C9354" t="s">
        <v>20742</v>
      </c>
      <c r="D9354" t="s">
        <v>20</v>
      </c>
      <c r="E9354" t="s">
        <v>39</v>
      </c>
      <c r="F9354">
        <v>0</v>
      </c>
      <c r="G9354">
        <v>0</v>
      </c>
      <c r="H9354">
        <v>19</v>
      </c>
      <c r="I9354" s="3">
        <v>38670.1</v>
      </c>
      <c r="J9354" s="3">
        <v>34843.46</v>
      </c>
      <c r="L9354">
        <v>2343</v>
      </c>
      <c r="M9354" t="s">
        <v>19107</v>
      </c>
      <c r="N9354" t="s">
        <v>30</v>
      </c>
      <c r="O9354" t="s">
        <v>31</v>
      </c>
      <c r="P9354" t="str">
        <f>"15217"</f>
        <v>15217</v>
      </c>
    </row>
    <row r="9355" spans="1:16" x14ac:dyDescent="0.25">
      <c r="A9355" t="str">
        <f>"1150054M00077    00"</f>
        <v>1150054M00077    00</v>
      </c>
      <c r="B9355" t="s">
        <v>20743</v>
      </c>
      <c r="C9355" t="s">
        <v>20744</v>
      </c>
      <c r="E9355" t="s">
        <v>39</v>
      </c>
      <c r="F9355">
        <v>0</v>
      </c>
      <c r="G9355">
        <v>0</v>
      </c>
      <c r="H9355">
        <v>1</v>
      </c>
      <c r="I9355" s="3">
        <v>103.53</v>
      </c>
      <c r="J9355" s="3">
        <v>0</v>
      </c>
      <c r="K9355" t="s">
        <v>20745</v>
      </c>
      <c r="L9355">
        <v>502</v>
      </c>
      <c r="M9355" t="s">
        <v>8680</v>
      </c>
      <c r="N9355" t="s">
        <v>8681</v>
      </c>
      <c r="O9355" t="s">
        <v>108</v>
      </c>
      <c r="P9355" t="str">
        <f>"75002"</f>
        <v>75002</v>
      </c>
    </row>
    <row r="9356" spans="1:16" x14ac:dyDescent="0.25">
      <c r="A9356" t="str">
        <f>"1150054M00078    00"</f>
        <v>1150054M00078    00</v>
      </c>
      <c r="B9356" t="s">
        <v>20743</v>
      </c>
      <c r="C9356" t="s">
        <v>20746</v>
      </c>
      <c r="D9356" t="s">
        <v>20</v>
      </c>
      <c r="E9356" t="s">
        <v>39</v>
      </c>
      <c r="F9356">
        <v>0</v>
      </c>
      <c r="G9356">
        <v>0</v>
      </c>
      <c r="H9356">
        <v>1</v>
      </c>
      <c r="I9356" s="3">
        <v>789.25</v>
      </c>
      <c r="J9356" s="3">
        <v>0</v>
      </c>
      <c r="K9356" t="s">
        <v>20745</v>
      </c>
      <c r="L9356">
        <v>502</v>
      </c>
      <c r="M9356" t="s">
        <v>8680</v>
      </c>
      <c r="N9356" t="s">
        <v>8681</v>
      </c>
      <c r="O9356" t="s">
        <v>108</v>
      </c>
      <c r="P9356" t="str">
        <f>"75002"</f>
        <v>75002</v>
      </c>
    </row>
    <row r="9357" spans="1:16" x14ac:dyDescent="0.25">
      <c r="A9357" t="str">
        <f>"1150054M00122    00"</f>
        <v>1150054M00122    00</v>
      </c>
      <c r="B9357" t="s">
        <v>20747</v>
      </c>
      <c r="C9357" t="s">
        <v>20748</v>
      </c>
      <c r="D9357" t="s">
        <v>20</v>
      </c>
      <c r="E9357" t="s">
        <v>39</v>
      </c>
      <c r="F9357">
        <v>0</v>
      </c>
      <c r="G9357">
        <v>0</v>
      </c>
      <c r="H9357">
        <v>19</v>
      </c>
      <c r="I9357" s="3">
        <v>7491.1</v>
      </c>
      <c r="J9357" s="3">
        <v>4391.55</v>
      </c>
      <c r="L9357">
        <v>168</v>
      </c>
      <c r="M9357" t="s">
        <v>20749</v>
      </c>
      <c r="N9357" t="s">
        <v>20750</v>
      </c>
      <c r="O9357" t="s">
        <v>1413</v>
      </c>
      <c r="P9357" t="str">
        <f>"27527"</f>
        <v>27527</v>
      </c>
    </row>
    <row r="9358" spans="1:16" x14ac:dyDescent="0.25">
      <c r="A9358" t="str">
        <f>"1150054M00131    00"</f>
        <v>1150054M00131    00</v>
      </c>
      <c r="B9358" t="s">
        <v>20751</v>
      </c>
      <c r="C9358" t="s">
        <v>20752</v>
      </c>
      <c r="D9358" t="s">
        <v>20</v>
      </c>
      <c r="E9358" t="s">
        <v>39</v>
      </c>
      <c r="F9358">
        <v>0</v>
      </c>
      <c r="G9358">
        <v>0</v>
      </c>
      <c r="H9358">
        <v>1</v>
      </c>
      <c r="I9358" s="3">
        <v>2260.5300000000002</v>
      </c>
      <c r="J9358" s="3">
        <v>0</v>
      </c>
      <c r="K9358" t="s">
        <v>20753</v>
      </c>
      <c r="L9358">
        <v>1803</v>
      </c>
      <c r="M9358" t="s">
        <v>15363</v>
      </c>
      <c r="N9358" t="s">
        <v>285</v>
      </c>
      <c r="O9358" t="s">
        <v>31</v>
      </c>
      <c r="P9358" t="str">
        <f>"15120"</f>
        <v>15120</v>
      </c>
    </row>
    <row r="9359" spans="1:16" x14ac:dyDescent="0.25">
      <c r="A9359" t="str">
        <f>"1150054M00136    00"</f>
        <v>1150054M00136    00</v>
      </c>
      <c r="B9359" t="s">
        <v>20754</v>
      </c>
      <c r="C9359" t="s">
        <v>20755</v>
      </c>
      <c r="D9359" t="s">
        <v>20</v>
      </c>
      <c r="E9359" t="s">
        <v>39</v>
      </c>
      <c r="F9359">
        <v>0</v>
      </c>
      <c r="G9359">
        <v>0</v>
      </c>
      <c r="H9359">
        <v>4</v>
      </c>
      <c r="I9359" s="3">
        <v>2192.5100000000002</v>
      </c>
      <c r="J9359" s="3">
        <v>180.22</v>
      </c>
      <c r="L9359">
        <v>832</v>
      </c>
      <c r="M9359" t="s">
        <v>20756</v>
      </c>
      <c r="N9359" t="s">
        <v>30</v>
      </c>
      <c r="O9359" t="s">
        <v>31</v>
      </c>
      <c r="P9359" t="str">
        <f>"15217"</f>
        <v>15217</v>
      </c>
    </row>
    <row r="9360" spans="1:16" x14ac:dyDescent="0.25">
      <c r="A9360" t="str">
        <f>"1150054M00150    00"</f>
        <v>1150054M00150    00</v>
      </c>
      <c r="B9360" t="s">
        <v>20757</v>
      </c>
      <c r="C9360" t="s">
        <v>20758</v>
      </c>
      <c r="D9360" t="s">
        <v>20</v>
      </c>
      <c r="E9360" t="s">
        <v>39</v>
      </c>
      <c r="F9360">
        <v>0</v>
      </c>
      <c r="G9360">
        <v>0</v>
      </c>
      <c r="H9360">
        <v>2</v>
      </c>
      <c r="I9360" s="3">
        <v>504.01</v>
      </c>
      <c r="J9360" s="3">
        <v>0</v>
      </c>
      <c r="L9360">
        <v>856</v>
      </c>
      <c r="M9360" t="s">
        <v>20756</v>
      </c>
      <c r="N9360" t="s">
        <v>30</v>
      </c>
      <c r="O9360" t="s">
        <v>31</v>
      </c>
      <c r="P9360" t="str">
        <f>"15217"</f>
        <v>15217</v>
      </c>
    </row>
    <row r="9361" spans="1:16" x14ac:dyDescent="0.25">
      <c r="A9361" t="str">
        <f>"1150054M00198    00"</f>
        <v>1150054M00198    00</v>
      </c>
      <c r="B9361" t="s">
        <v>20759</v>
      </c>
      <c r="C9361" t="s">
        <v>20760</v>
      </c>
      <c r="E9361" t="s">
        <v>39</v>
      </c>
      <c r="F9361">
        <v>0</v>
      </c>
      <c r="G9361">
        <v>0</v>
      </c>
      <c r="H9361">
        <v>2</v>
      </c>
      <c r="I9361" s="3">
        <v>3819.62</v>
      </c>
      <c r="J9361" s="3">
        <v>159.13999999999999</v>
      </c>
      <c r="K9361" t="s">
        <v>5352</v>
      </c>
      <c r="L9361">
        <v>3001</v>
      </c>
      <c r="M9361" t="s">
        <v>330</v>
      </c>
      <c r="N9361" t="s">
        <v>331</v>
      </c>
      <c r="O9361" t="s">
        <v>108</v>
      </c>
      <c r="P9361" t="str">
        <f>"75063"</f>
        <v>75063</v>
      </c>
    </row>
    <row r="9362" spans="1:16" x14ac:dyDescent="0.25">
      <c r="A9362" t="str">
        <f>"1150054M00237    00"</f>
        <v>1150054M00237    00</v>
      </c>
      <c r="B9362" t="s">
        <v>20761</v>
      </c>
      <c r="C9362" t="s">
        <v>20762</v>
      </c>
      <c r="D9362" t="s">
        <v>20</v>
      </c>
      <c r="E9362" t="s">
        <v>39</v>
      </c>
      <c r="F9362">
        <v>0</v>
      </c>
      <c r="G9362">
        <v>0</v>
      </c>
      <c r="H9362">
        <v>2</v>
      </c>
      <c r="I9362" s="3">
        <v>3636.68</v>
      </c>
      <c r="J9362" s="3">
        <v>0</v>
      </c>
      <c r="K9362" t="s">
        <v>20763</v>
      </c>
      <c r="L9362">
        <v>2370</v>
      </c>
      <c r="M9362" t="s">
        <v>6412</v>
      </c>
      <c r="N9362" t="s">
        <v>30</v>
      </c>
      <c r="O9362" t="s">
        <v>31</v>
      </c>
      <c r="P9362" t="str">
        <f>"15241"</f>
        <v>15241</v>
      </c>
    </row>
    <row r="9363" spans="1:16" x14ac:dyDescent="0.25">
      <c r="A9363" t="str">
        <f>"1150054M00253    00"</f>
        <v>1150054M00253    00</v>
      </c>
      <c r="B9363" t="s">
        <v>20764</v>
      </c>
      <c r="C9363" t="s">
        <v>20765</v>
      </c>
      <c r="D9363" t="s">
        <v>33</v>
      </c>
      <c r="E9363" t="s">
        <v>39</v>
      </c>
      <c r="F9363">
        <v>0</v>
      </c>
      <c r="G9363">
        <v>0</v>
      </c>
      <c r="H9363">
        <v>2</v>
      </c>
      <c r="I9363" s="3">
        <v>3675.47</v>
      </c>
      <c r="J9363" s="3">
        <v>53.55</v>
      </c>
      <c r="K9363" t="s">
        <v>20766</v>
      </c>
      <c r="L9363">
        <v>3927</v>
      </c>
      <c r="M9363" t="s">
        <v>20767</v>
      </c>
      <c r="N9363" t="s">
        <v>30</v>
      </c>
      <c r="O9363" t="s">
        <v>31</v>
      </c>
      <c r="P9363" t="str">
        <f>"15217"</f>
        <v>15217</v>
      </c>
    </row>
    <row r="9364" spans="1:16" x14ac:dyDescent="0.25">
      <c r="A9364" t="str">
        <f>"1150054M00266    00"</f>
        <v>1150054M00266    00</v>
      </c>
      <c r="B9364" t="s">
        <v>20768</v>
      </c>
      <c r="C9364" t="s">
        <v>20769</v>
      </c>
      <c r="D9364" t="s">
        <v>20</v>
      </c>
      <c r="E9364" t="s">
        <v>39</v>
      </c>
      <c r="F9364">
        <v>0</v>
      </c>
      <c r="G9364">
        <v>0</v>
      </c>
      <c r="H9364">
        <v>1</v>
      </c>
      <c r="I9364" s="3">
        <v>1867.88</v>
      </c>
      <c r="J9364" s="3">
        <v>0</v>
      </c>
      <c r="L9364">
        <v>3953</v>
      </c>
      <c r="M9364" t="s">
        <v>1695</v>
      </c>
      <c r="N9364" t="s">
        <v>30</v>
      </c>
      <c r="O9364" t="s">
        <v>31</v>
      </c>
      <c r="P9364" t="str">
        <f>"15217"</f>
        <v>15217</v>
      </c>
    </row>
    <row r="9365" spans="1:16" x14ac:dyDescent="0.25">
      <c r="A9365" t="str">
        <f>"1150054M00285    00"</f>
        <v>1150054M00285    00</v>
      </c>
      <c r="B9365" t="s">
        <v>20770</v>
      </c>
      <c r="C9365" t="s">
        <v>20771</v>
      </c>
      <c r="D9365" t="s">
        <v>20</v>
      </c>
      <c r="E9365" t="s">
        <v>39</v>
      </c>
      <c r="F9365">
        <v>0</v>
      </c>
      <c r="G9365">
        <v>0</v>
      </c>
      <c r="H9365">
        <v>2</v>
      </c>
      <c r="I9365" s="3">
        <v>3831.08</v>
      </c>
      <c r="J9365" s="3">
        <v>0</v>
      </c>
      <c r="L9365">
        <v>3989</v>
      </c>
      <c r="M9365" t="s">
        <v>1695</v>
      </c>
      <c r="N9365" t="s">
        <v>30</v>
      </c>
      <c r="O9365" t="s">
        <v>31</v>
      </c>
      <c r="P9365" t="str">
        <f>"15217"</f>
        <v>15217</v>
      </c>
    </row>
    <row r="9366" spans="1:16" x14ac:dyDescent="0.25">
      <c r="A9366" t="str">
        <f>"1150054M00322    00"</f>
        <v>1150054M00322    00</v>
      </c>
      <c r="B9366" t="s">
        <v>20772</v>
      </c>
      <c r="C9366" t="s">
        <v>20773</v>
      </c>
      <c r="E9366" t="s">
        <v>39</v>
      </c>
      <c r="F9366">
        <v>0</v>
      </c>
      <c r="G9366">
        <v>0</v>
      </c>
      <c r="H9366">
        <v>2</v>
      </c>
      <c r="I9366" s="3">
        <v>209.12</v>
      </c>
      <c r="J9366" s="3">
        <v>277.02</v>
      </c>
      <c r="K9366" t="s">
        <v>1030</v>
      </c>
      <c r="M9366" t="s">
        <v>1031</v>
      </c>
      <c r="N9366" t="s">
        <v>1032</v>
      </c>
      <c r="O9366" t="s">
        <v>25</v>
      </c>
      <c r="P9366" t="str">
        <f>"44711"</f>
        <v>44711</v>
      </c>
    </row>
    <row r="9367" spans="1:16" x14ac:dyDescent="0.25">
      <c r="A9367" t="str">
        <f>"1150054N00009    00"</f>
        <v>1150054N00009    00</v>
      </c>
      <c r="B9367" t="s">
        <v>20774</v>
      </c>
      <c r="C9367" t="s">
        <v>20775</v>
      </c>
      <c r="D9367" t="s">
        <v>20</v>
      </c>
      <c r="E9367" t="s">
        <v>39</v>
      </c>
      <c r="F9367">
        <v>0</v>
      </c>
      <c r="G9367">
        <v>0</v>
      </c>
      <c r="H9367">
        <v>3</v>
      </c>
      <c r="I9367" s="3">
        <v>3104.69</v>
      </c>
      <c r="J9367" s="3">
        <v>13.93</v>
      </c>
      <c r="L9367">
        <v>60</v>
      </c>
      <c r="M9367" t="s">
        <v>20776</v>
      </c>
      <c r="N9367" t="s">
        <v>30</v>
      </c>
      <c r="O9367" t="s">
        <v>31</v>
      </c>
      <c r="P9367" t="str">
        <f>"15207"</f>
        <v>15207</v>
      </c>
    </row>
    <row r="9368" spans="1:16" x14ac:dyDescent="0.25">
      <c r="A9368" t="str">
        <f>"1150054N00033    01"</f>
        <v>1150054N00033    01</v>
      </c>
      <c r="B9368" t="s">
        <v>20777</v>
      </c>
      <c r="C9368" t="s">
        <v>20778</v>
      </c>
      <c r="D9368" t="s">
        <v>20</v>
      </c>
      <c r="E9368" t="s">
        <v>39</v>
      </c>
      <c r="F9368">
        <v>0</v>
      </c>
      <c r="G9368">
        <v>0</v>
      </c>
      <c r="H9368">
        <v>1</v>
      </c>
      <c r="I9368" s="3">
        <v>339.28</v>
      </c>
      <c r="J9368" s="3">
        <v>0</v>
      </c>
      <c r="K9368" t="s">
        <v>20779</v>
      </c>
      <c r="L9368">
        <v>8878</v>
      </c>
      <c r="M9368" t="s">
        <v>20780</v>
      </c>
      <c r="N9368" t="s">
        <v>30</v>
      </c>
      <c r="O9368" t="s">
        <v>31</v>
      </c>
      <c r="P9368" t="str">
        <f>"15237"</f>
        <v>15237</v>
      </c>
    </row>
    <row r="9369" spans="1:16" x14ac:dyDescent="0.25">
      <c r="A9369" t="str">
        <f>"1150054N00034    00"</f>
        <v>1150054N00034    00</v>
      </c>
      <c r="B9369" t="s">
        <v>20777</v>
      </c>
      <c r="C9369" t="s">
        <v>20781</v>
      </c>
      <c r="D9369" t="s">
        <v>20</v>
      </c>
      <c r="E9369" t="s">
        <v>39</v>
      </c>
      <c r="F9369">
        <v>0</v>
      </c>
      <c r="G9369">
        <v>0</v>
      </c>
      <c r="H9369">
        <v>1</v>
      </c>
      <c r="I9369" s="3">
        <v>318.31</v>
      </c>
      <c r="J9369" s="3">
        <v>0</v>
      </c>
      <c r="K9369" t="s">
        <v>20779</v>
      </c>
      <c r="L9369">
        <v>8878</v>
      </c>
      <c r="M9369" t="s">
        <v>20780</v>
      </c>
      <c r="N9369" t="s">
        <v>30</v>
      </c>
      <c r="O9369" t="s">
        <v>31</v>
      </c>
      <c r="P9369" t="str">
        <f>"15237"</f>
        <v>15237</v>
      </c>
    </row>
    <row r="9370" spans="1:16" x14ac:dyDescent="0.25">
      <c r="A9370" t="str">
        <f>"1150054N00052    00"</f>
        <v>1150054N00052    00</v>
      </c>
      <c r="B9370" t="s">
        <v>20782</v>
      </c>
      <c r="C9370" t="s">
        <v>20783</v>
      </c>
      <c r="D9370" t="s">
        <v>20</v>
      </c>
      <c r="E9370" t="s">
        <v>39</v>
      </c>
      <c r="F9370">
        <v>0</v>
      </c>
      <c r="G9370">
        <v>0</v>
      </c>
      <c r="H9370">
        <v>1</v>
      </c>
      <c r="I9370" s="3">
        <v>155.94999999999999</v>
      </c>
      <c r="J9370" s="3">
        <v>0</v>
      </c>
      <c r="K9370" t="s">
        <v>20784</v>
      </c>
      <c r="L9370">
        <v>17</v>
      </c>
      <c r="M9370" t="s">
        <v>20776</v>
      </c>
      <c r="N9370" t="s">
        <v>30</v>
      </c>
      <c r="O9370" t="s">
        <v>31</v>
      </c>
      <c r="P9370" t="str">
        <f>"15207"</f>
        <v>15207</v>
      </c>
    </row>
    <row r="9371" spans="1:16" x14ac:dyDescent="0.25">
      <c r="A9371" t="str">
        <f>"1150054N00061    00"</f>
        <v>1150054N00061    00</v>
      </c>
      <c r="B9371" t="s">
        <v>20785</v>
      </c>
      <c r="C9371" t="s">
        <v>20786</v>
      </c>
      <c r="D9371" t="s">
        <v>20</v>
      </c>
      <c r="E9371" t="s">
        <v>39</v>
      </c>
      <c r="F9371">
        <v>0</v>
      </c>
      <c r="G9371">
        <v>0</v>
      </c>
      <c r="H9371">
        <v>15</v>
      </c>
      <c r="I9371" s="3">
        <v>20561.25</v>
      </c>
      <c r="J9371" s="3">
        <v>12207.79</v>
      </c>
      <c r="L9371">
        <v>43</v>
      </c>
      <c r="M9371" t="s">
        <v>20776</v>
      </c>
      <c r="N9371" t="s">
        <v>30</v>
      </c>
      <c r="O9371" t="s">
        <v>31</v>
      </c>
      <c r="P9371" t="str">
        <f>"15207"</f>
        <v>15207</v>
      </c>
    </row>
    <row r="9372" spans="1:16" x14ac:dyDescent="0.25">
      <c r="A9372" t="str">
        <f>"1150054N00079    00"</f>
        <v>1150054N00079    00</v>
      </c>
      <c r="B9372" t="s">
        <v>20787</v>
      </c>
      <c r="C9372" t="s">
        <v>20788</v>
      </c>
      <c r="D9372" t="s">
        <v>20</v>
      </c>
      <c r="E9372" t="s">
        <v>39</v>
      </c>
      <c r="F9372">
        <v>0</v>
      </c>
      <c r="G9372">
        <v>0</v>
      </c>
      <c r="H9372">
        <v>19</v>
      </c>
      <c r="I9372" s="3">
        <v>11763.78</v>
      </c>
      <c r="J9372" s="3">
        <v>9296.83</v>
      </c>
      <c r="P9372" t="str">
        <f>""</f>
        <v/>
      </c>
    </row>
    <row r="9373" spans="1:16" x14ac:dyDescent="0.25">
      <c r="A9373" t="str">
        <f>"1150054N00088    00"</f>
        <v>1150054N00088    00</v>
      </c>
      <c r="B9373" t="s">
        <v>20789</v>
      </c>
      <c r="C9373" t="s">
        <v>20790</v>
      </c>
      <c r="D9373" t="s">
        <v>20</v>
      </c>
      <c r="E9373" t="s">
        <v>39</v>
      </c>
      <c r="F9373">
        <v>0</v>
      </c>
      <c r="G9373">
        <v>0</v>
      </c>
      <c r="H9373">
        <v>19</v>
      </c>
      <c r="I9373" s="3">
        <v>2828.71</v>
      </c>
      <c r="J9373" s="3">
        <v>3474.87</v>
      </c>
      <c r="K9373" t="s">
        <v>20791</v>
      </c>
      <c r="L9373">
        <v>1111</v>
      </c>
      <c r="M9373" t="s">
        <v>20792</v>
      </c>
      <c r="N9373" t="s">
        <v>20793</v>
      </c>
      <c r="O9373" t="s">
        <v>31</v>
      </c>
      <c r="P9373" t="str">
        <f>"16353"</f>
        <v>16353</v>
      </c>
    </row>
    <row r="9374" spans="1:16" x14ac:dyDescent="0.25">
      <c r="A9374" t="str">
        <f>"1150054N00089    00"</f>
        <v>1150054N00089    00</v>
      </c>
      <c r="B9374" t="s">
        <v>20789</v>
      </c>
      <c r="C9374" t="s">
        <v>20790</v>
      </c>
      <c r="D9374" t="s">
        <v>20</v>
      </c>
      <c r="E9374" t="s">
        <v>39</v>
      </c>
      <c r="F9374">
        <v>0</v>
      </c>
      <c r="G9374">
        <v>0</v>
      </c>
      <c r="H9374">
        <v>19</v>
      </c>
      <c r="I9374" s="3">
        <v>2483.46</v>
      </c>
      <c r="J9374" s="3">
        <v>2977.43</v>
      </c>
      <c r="K9374" t="s">
        <v>20791</v>
      </c>
      <c r="L9374">
        <v>111</v>
      </c>
      <c r="M9374" t="s">
        <v>20794</v>
      </c>
      <c r="N9374" t="s">
        <v>20793</v>
      </c>
      <c r="O9374" t="s">
        <v>31</v>
      </c>
      <c r="P9374" t="str">
        <f>"16353"</f>
        <v>16353</v>
      </c>
    </row>
    <row r="9375" spans="1:16" x14ac:dyDescent="0.25">
      <c r="A9375" t="str">
        <f>"1150054N00113    00"</f>
        <v>1150054N00113    00</v>
      </c>
      <c r="B9375" t="s">
        <v>20795</v>
      </c>
      <c r="C9375" t="s">
        <v>20796</v>
      </c>
      <c r="D9375" t="s">
        <v>20</v>
      </c>
      <c r="E9375" t="s">
        <v>39</v>
      </c>
      <c r="F9375">
        <v>0</v>
      </c>
      <c r="G9375">
        <v>0</v>
      </c>
      <c r="H9375">
        <v>5</v>
      </c>
      <c r="I9375" s="3">
        <v>172.68</v>
      </c>
      <c r="J9375" s="3">
        <v>25.66</v>
      </c>
      <c r="L9375">
        <v>316</v>
      </c>
      <c r="M9375" t="s">
        <v>1887</v>
      </c>
      <c r="N9375" t="s">
        <v>30</v>
      </c>
      <c r="O9375" t="s">
        <v>31</v>
      </c>
      <c r="P9375" t="str">
        <f>"15207"</f>
        <v>15207</v>
      </c>
    </row>
    <row r="9376" spans="1:16" x14ac:dyDescent="0.25">
      <c r="A9376" t="str">
        <f>"1150054N00117    00"</f>
        <v>1150054N00117    00</v>
      </c>
      <c r="B9376" t="s">
        <v>20797</v>
      </c>
      <c r="C9376" t="s">
        <v>20798</v>
      </c>
      <c r="D9376" t="s">
        <v>20</v>
      </c>
      <c r="E9376" t="s">
        <v>39</v>
      </c>
      <c r="F9376">
        <v>0</v>
      </c>
      <c r="G9376">
        <v>0</v>
      </c>
      <c r="H9376">
        <v>1</v>
      </c>
      <c r="I9376" s="3">
        <v>478.42</v>
      </c>
      <c r="J9376" s="3">
        <v>0</v>
      </c>
      <c r="K9376" t="s">
        <v>20799</v>
      </c>
      <c r="L9376">
        <v>1150</v>
      </c>
      <c r="M9376" t="s">
        <v>20800</v>
      </c>
      <c r="N9376" t="s">
        <v>163</v>
      </c>
      <c r="O9376" t="s">
        <v>31</v>
      </c>
      <c r="P9376" t="str">
        <f>"19406"</f>
        <v>19406</v>
      </c>
    </row>
    <row r="9377" spans="1:16" x14ac:dyDescent="0.25">
      <c r="A9377" t="str">
        <f>"1150054N00161    00"</f>
        <v>1150054N00161    00</v>
      </c>
      <c r="B9377" t="s">
        <v>20801</v>
      </c>
      <c r="C9377" t="s">
        <v>20802</v>
      </c>
      <c r="E9377" t="s">
        <v>39</v>
      </c>
      <c r="F9377">
        <v>0</v>
      </c>
      <c r="G9377">
        <v>0</v>
      </c>
      <c r="H9377">
        <v>11</v>
      </c>
      <c r="I9377" s="3">
        <v>14590.15</v>
      </c>
      <c r="J9377" s="3">
        <v>16439.77</v>
      </c>
      <c r="K9377" t="s">
        <v>20803</v>
      </c>
      <c r="L9377">
        <v>483</v>
      </c>
      <c r="M9377" t="s">
        <v>20804</v>
      </c>
      <c r="N9377" t="s">
        <v>14693</v>
      </c>
      <c r="O9377" t="s">
        <v>423</v>
      </c>
      <c r="P9377" t="str">
        <f>"07601"</f>
        <v>07601</v>
      </c>
    </row>
    <row r="9378" spans="1:16" x14ac:dyDescent="0.25">
      <c r="A9378" t="str">
        <f>"1150054N00174    00"</f>
        <v>1150054N00174    00</v>
      </c>
      <c r="B9378" t="s">
        <v>20805</v>
      </c>
      <c r="C9378" t="s">
        <v>20806</v>
      </c>
      <c r="D9378" t="s">
        <v>20</v>
      </c>
      <c r="E9378" t="s">
        <v>39</v>
      </c>
      <c r="F9378">
        <v>0</v>
      </c>
      <c r="G9378">
        <v>0</v>
      </c>
      <c r="H9378">
        <v>1</v>
      </c>
      <c r="I9378" s="3">
        <v>896.12</v>
      </c>
      <c r="J9378" s="3">
        <v>0</v>
      </c>
      <c r="K9378" t="s">
        <v>20807</v>
      </c>
      <c r="L9378">
        <v>3768</v>
      </c>
      <c r="M9378" t="s">
        <v>2238</v>
      </c>
      <c r="N9378" t="s">
        <v>30</v>
      </c>
      <c r="O9378" t="s">
        <v>31</v>
      </c>
      <c r="P9378" t="str">
        <f>"15213"</f>
        <v>15213</v>
      </c>
    </row>
    <row r="9379" spans="1:16" x14ac:dyDescent="0.25">
      <c r="A9379" t="str">
        <f>"1150054N00176    00"</f>
        <v>1150054N00176    00</v>
      </c>
      <c r="B9379" t="s">
        <v>20808</v>
      </c>
      <c r="C9379" t="s">
        <v>20809</v>
      </c>
      <c r="E9379" t="s">
        <v>39</v>
      </c>
      <c r="F9379">
        <v>0</v>
      </c>
      <c r="G9379">
        <v>0</v>
      </c>
      <c r="H9379">
        <v>1</v>
      </c>
      <c r="I9379" s="3">
        <v>22.87</v>
      </c>
      <c r="J9379" s="3">
        <v>0</v>
      </c>
      <c r="K9379" t="s">
        <v>20810</v>
      </c>
      <c r="L9379">
        <v>5411</v>
      </c>
      <c r="M9379" t="s">
        <v>18920</v>
      </c>
      <c r="N9379" t="s">
        <v>30</v>
      </c>
      <c r="O9379" t="s">
        <v>31</v>
      </c>
      <c r="P9379" t="str">
        <f>"15217"</f>
        <v>15217</v>
      </c>
    </row>
    <row r="9380" spans="1:16" x14ac:dyDescent="0.25">
      <c r="A9380" t="str">
        <f>"1150054N00178    00"</f>
        <v>1150054N00178    00</v>
      </c>
      <c r="B9380" t="s">
        <v>20811</v>
      </c>
      <c r="C9380" t="s">
        <v>20812</v>
      </c>
      <c r="D9380" t="s">
        <v>20</v>
      </c>
      <c r="E9380" t="s">
        <v>39</v>
      </c>
      <c r="F9380">
        <v>0</v>
      </c>
      <c r="G9380">
        <v>0</v>
      </c>
      <c r="H9380">
        <v>13</v>
      </c>
      <c r="I9380" s="3">
        <v>1517.74</v>
      </c>
      <c r="J9380" s="3">
        <v>827.63</v>
      </c>
      <c r="L9380">
        <v>31</v>
      </c>
      <c r="M9380" t="s">
        <v>20813</v>
      </c>
      <c r="N9380" t="s">
        <v>30</v>
      </c>
      <c r="O9380" t="s">
        <v>31</v>
      </c>
      <c r="P9380" t="str">
        <f>"15207"</f>
        <v>15207</v>
      </c>
    </row>
    <row r="9381" spans="1:16" x14ac:dyDescent="0.25">
      <c r="A9381" t="str">
        <f>"1150054N00179    00"</f>
        <v>1150054N00179    00</v>
      </c>
      <c r="B9381" t="s">
        <v>20811</v>
      </c>
      <c r="C9381" t="s">
        <v>20812</v>
      </c>
      <c r="D9381" t="s">
        <v>20</v>
      </c>
      <c r="E9381" t="s">
        <v>39</v>
      </c>
      <c r="F9381">
        <v>0</v>
      </c>
      <c r="G9381">
        <v>0</v>
      </c>
      <c r="H9381">
        <v>17</v>
      </c>
      <c r="I9381" s="3">
        <v>11789.52</v>
      </c>
      <c r="J9381" s="3">
        <v>9211.5499999999993</v>
      </c>
      <c r="L9381">
        <v>31</v>
      </c>
      <c r="M9381" t="s">
        <v>20813</v>
      </c>
      <c r="N9381" t="s">
        <v>30</v>
      </c>
      <c r="O9381" t="s">
        <v>31</v>
      </c>
      <c r="P9381" t="str">
        <f>"15207"</f>
        <v>15207</v>
      </c>
    </row>
    <row r="9382" spans="1:16" x14ac:dyDescent="0.25">
      <c r="A9382" t="str">
        <f>"1150054N00211    00"</f>
        <v>1150054N00211    00</v>
      </c>
      <c r="B9382" t="s">
        <v>20814</v>
      </c>
      <c r="C9382" t="s">
        <v>20815</v>
      </c>
      <c r="D9382" t="s">
        <v>20</v>
      </c>
      <c r="E9382" t="s">
        <v>39</v>
      </c>
      <c r="F9382">
        <v>0</v>
      </c>
      <c r="G9382">
        <v>0</v>
      </c>
      <c r="H9382">
        <v>5</v>
      </c>
      <c r="I9382" s="3">
        <v>7479.46</v>
      </c>
      <c r="J9382" s="3">
        <v>1292.18</v>
      </c>
      <c r="L9382">
        <v>911</v>
      </c>
      <c r="M9382" t="s">
        <v>20816</v>
      </c>
      <c r="N9382" t="s">
        <v>30</v>
      </c>
      <c r="O9382" t="s">
        <v>31</v>
      </c>
      <c r="P9382" t="str">
        <f>"15210"</f>
        <v>15210</v>
      </c>
    </row>
    <row r="9383" spans="1:16" x14ac:dyDescent="0.25">
      <c r="A9383" t="str">
        <f>"1150054N00226    00"</f>
        <v>1150054N00226    00</v>
      </c>
      <c r="B9383" t="s">
        <v>20817</v>
      </c>
      <c r="C9383" t="s">
        <v>20818</v>
      </c>
      <c r="E9383" t="s">
        <v>39</v>
      </c>
      <c r="F9383">
        <v>0</v>
      </c>
      <c r="G9383">
        <v>0</v>
      </c>
      <c r="H9383">
        <v>1</v>
      </c>
      <c r="I9383" s="3">
        <v>38.119999999999997</v>
      </c>
      <c r="J9383" s="3">
        <v>0</v>
      </c>
      <c r="K9383" t="s">
        <v>4933</v>
      </c>
      <c r="L9383">
        <v>3001</v>
      </c>
      <c r="M9383" t="s">
        <v>330</v>
      </c>
      <c r="N9383" t="s">
        <v>331</v>
      </c>
      <c r="O9383" t="s">
        <v>108</v>
      </c>
      <c r="P9383" t="str">
        <f>"75063"</f>
        <v>75063</v>
      </c>
    </row>
    <row r="9384" spans="1:16" x14ac:dyDescent="0.25">
      <c r="A9384" t="str">
        <f>"1150054N00286    00"</f>
        <v>1150054N00286    00</v>
      </c>
      <c r="B9384" t="s">
        <v>20819</v>
      </c>
      <c r="C9384" t="s">
        <v>20653</v>
      </c>
      <c r="D9384" t="s">
        <v>20</v>
      </c>
      <c r="E9384" t="s">
        <v>39</v>
      </c>
      <c r="F9384">
        <v>0</v>
      </c>
      <c r="G9384">
        <v>0</v>
      </c>
      <c r="H9384">
        <v>19</v>
      </c>
      <c r="I9384" s="3">
        <v>1113.79</v>
      </c>
      <c r="J9384" s="3">
        <v>903.71</v>
      </c>
      <c r="K9384" t="s">
        <v>1008</v>
      </c>
      <c r="P9384" t="str">
        <f>""</f>
        <v/>
      </c>
    </row>
    <row r="9385" spans="1:16" x14ac:dyDescent="0.25">
      <c r="A9385" t="str">
        <f>"1150054N00307    00"</f>
        <v>1150054N00307    00</v>
      </c>
      <c r="B9385" t="s">
        <v>20820</v>
      </c>
      <c r="C9385" t="s">
        <v>20653</v>
      </c>
      <c r="D9385" t="s">
        <v>20</v>
      </c>
      <c r="E9385" t="s">
        <v>39</v>
      </c>
      <c r="F9385">
        <v>0</v>
      </c>
      <c r="G9385">
        <v>0</v>
      </c>
      <c r="H9385">
        <v>19</v>
      </c>
      <c r="I9385" s="3">
        <v>2461.5700000000002</v>
      </c>
      <c r="J9385" s="3">
        <v>2965.86</v>
      </c>
      <c r="K9385" t="s">
        <v>20821</v>
      </c>
      <c r="L9385">
        <v>933</v>
      </c>
      <c r="M9385" t="s">
        <v>3434</v>
      </c>
      <c r="N9385" t="s">
        <v>2943</v>
      </c>
      <c r="O9385" t="s">
        <v>31</v>
      </c>
      <c r="P9385" t="str">
        <f>"15025"</f>
        <v>15025</v>
      </c>
    </row>
    <row r="9386" spans="1:16" x14ac:dyDescent="0.25">
      <c r="A9386" t="str">
        <f>"1150054N00313    00"</f>
        <v>1150054N00313    00</v>
      </c>
      <c r="B9386" t="s">
        <v>20822</v>
      </c>
      <c r="C9386" t="s">
        <v>20653</v>
      </c>
      <c r="D9386" t="s">
        <v>20</v>
      </c>
      <c r="E9386" t="s">
        <v>39</v>
      </c>
      <c r="F9386">
        <v>0</v>
      </c>
      <c r="G9386">
        <v>0</v>
      </c>
      <c r="H9386">
        <v>18</v>
      </c>
      <c r="I9386" s="3">
        <v>2570.29</v>
      </c>
      <c r="J9386" s="3">
        <v>3287.37</v>
      </c>
      <c r="L9386">
        <v>1420</v>
      </c>
      <c r="M9386" t="s">
        <v>20388</v>
      </c>
      <c r="N9386" t="s">
        <v>30</v>
      </c>
      <c r="O9386" t="s">
        <v>31</v>
      </c>
      <c r="P9386" t="str">
        <f>"15218"</f>
        <v>15218</v>
      </c>
    </row>
    <row r="9387" spans="1:16" x14ac:dyDescent="0.25">
      <c r="A9387" t="str">
        <f>"1150054N00314    00"</f>
        <v>1150054N00314    00</v>
      </c>
      <c r="B9387" t="s">
        <v>20823</v>
      </c>
      <c r="C9387" t="s">
        <v>20824</v>
      </c>
      <c r="D9387" t="s">
        <v>20</v>
      </c>
      <c r="E9387" t="s">
        <v>39</v>
      </c>
      <c r="F9387">
        <v>0</v>
      </c>
      <c r="G9387">
        <v>0</v>
      </c>
      <c r="H9387">
        <v>17</v>
      </c>
      <c r="I9387" s="3">
        <v>9957.42</v>
      </c>
      <c r="J9387" s="3">
        <v>8948.2900000000009</v>
      </c>
      <c r="L9387">
        <v>43</v>
      </c>
      <c r="M9387" t="s">
        <v>20825</v>
      </c>
      <c r="N9387" t="s">
        <v>30</v>
      </c>
      <c r="O9387" t="s">
        <v>31</v>
      </c>
      <c r="P9387" t="str">
        <f t="shared" ref="P9387:P9392" si="108">"15207"</f>
        <v>15207</v>
      </c>
    </row>
    <row r="9388" spans="1:16" x14ac:dyDescent="0.25">
      <c r="A9388" t="str">
        <f>"1150054P00050    00"</f>
        <v>1150054P00050    00</v>
      </c>
      <c r="B9388" t="s">
        <v>20826</v>
      </c>
      <c r="C9388" t="s">
        <v>20827</v>
      </c>
      <c r="D9388" t="s">
        <v>20</v>
      </c>
      <c r="E9388" t="s">
        <v>39</v>
      </c>
      <c r="F9388">
        <v>0</v>
      </c>
      <c r="G9388">
        <v>0</v>
      </c>
      <c r="H9388">
        <v>1</v>
      </c>
      <c r="I9388" s="3">
        <v>673.28</v>
      </c>
      <c r="J9388" s="3">
        <v>0</v>
      </c>
      <c r="L9388">
        <v>3943</v>
      </c>
      <c r="M9388" t="s">
        <v>20726</v>
      </c>
      <c r="N9388" t="s">
        <v>30</v>
      </c>
      <c r="O9388" t="s">
        <v>31</v>
      </c>
      <c r="P9388" t="str">
        <f t="shared" si="108"/>
        <v>15207</v>
      </c>
    </row>
    <row r="9389" spans="1:16" x14ac:dyDescent="0.25">
      <c r="A9389" t="str">
        <f>"1150054P00074    00"</f>
        <v>1150054P00074    00</v>
      </c>
      <c r="B9389" t="s">
        <v>20828</v>
      </c>
      <c r="C9389" t="s">
        <v>20829</v>
      </c>
      <c r="D9389" t="s">
        <v>20</v>
      </c>
      <c r="E9389" t="s">
        <v>39</v>
      </c>
      <c r="F9389">
        <v>0</v>
      </c>
      <c r="G9389">
        <v>0</v>
      </c>
      <c r="H9389">
        <v>8</v>
      </c>
      <c r="I9389" s="3">
        <v>10191.58</v>
      </c>
      <c r="J9389" s="3">
        <v>2829.58</v>
      </c>
      <c r="L9389">
        <v>4486</v>
      </c>
      <c r="M9389" t="s">
        <v>18316</v>
      </c>
      <c r="N9389" t="s">
        <v>30</v>
      </c>
      <c r="O9389" t="s">
        <v>31</v>
      </c>
      <c r="P9389" t="str">
        <f t="shared" si="108"/>
        <v>15207</v>
      </c>
    </row>
    <row r="9390" spans="1:16" x14ac:dyDescent="0.25">
      <c r="A9390" t="str">
        <f>"1150054P00088000200"</f>
        <v>1150054P00088000200</v>
      </c>
      <c r="B9390" t="s">
        <v>20830</v>
      </c>
      <c r="C9390" t="s">
        <v>20831</v>
      </c>
      <c r="D9390" t="s">
        <v>20</v>
      </c>
      <c r="E9390" t="s">
        <v>39</v>
      </c>
      <c r="F9390">
        <v>0</v>
      </c>
      <c r="G9390">
        <v>0</v>
      </c>
      <c r="H9390">
        <v>1</v>
      </c>
      <c r="I9390" s="3">
        <v>370.23</v>
      </c>
      <c r="J9390" s="3">
        <v>0</v>
      </c>
      <c r="L9390">
        <v>4101</v>
      </c>
      <c r="M9390" t="s">
        <v>20726</v>
      </c>
      <c r="N9390" t="s">
        <v>30</v>
      </c>
      <c r="O9390" t="s">
        <v>31</v>
      </c>
      <c r="P9390" t="str">
        <f t="shared" si="108"/>
        <v>15207</v>
      </c>
    </row>
    <row r="9391" spans="1:16" x14ac:dyDescent="0.25">
      <c r="A9391" t="str">
        <f>"1150054P00102    00"</f>
        <v>1150054P00102    00</v>
      </c>
      <c r="B9391" t="s">
        <v>20832</v>
      </c>
      <c r="C9391" t="s">
        <v>20833</v>
      </c>
      <c r="D9391" t="s">
        <v>20</v>
      </c>
      <c r="E9391" t="s">
        <v>39</v>
      </c>
      <c r="F9391">
        <v>0</v>
      </c>
      <c r="G9391">
        <v>0</v>
      </c>
      <c r="H9391">
        <v>3</v>
      </c>
      <c r="I9391" s="3">
        <v>902.74</v>
      </c>
      <c r="J9391" s="3">
        <v>22.63</v>
      </c>
      <c r="L9391">
        <v>4014</v>
      </c>
      <c r="M9391" t="s">
        <v>20711</v>
      </c>
      <c r="N9391" t="s">
        <v>30</v>
      </c>
      <c r="O9391" t="s">
        <v>31</v>
      </c>
      <c r="P9391" t="str">
        <f t="shared" si="108"/>
        <v>15207</v>
      </c>
    </row>
    <row r="9392" spans="1:16" x14ac:dyDescent="0.25">
      <c r="A9392" t="str">
        <f>"1150054P00124    00"</f>
        <v>1150054P00124    00</v>
      </c>
      <c r="B9392" t="s">
        <v>20834</v>
      </c>
      <c r="C9392" t="s">
        <v>20835</v>
      </c>
      <c r="D9392" t="s">
        <v>20</v>
      </c>
      <c r="E9392" t="s">
        <v>39</v>
      </c>
      <c r="F9392">
        <v>0</v>
      </c>
      <c r="G9392">
        <v>0</v>
      </c>
      <c r="H9392">
        <v>2</v>
      </c>
      <c r="I9392" s="3">
        <v>2927.13</v>
      </c>
      <c r="J9392" s="3">
        <v>0</v>
      </c>
      <c r="L9392">
        <v>4039</v>
      </c>
      <c r="M9392" t="s">
        <v>20726</v>
      </c>
      <c r="N9392" t="s">
        <v>30</v>
      </c>
      <c r="O9392" t="s">
        <v>31</v>
      </c>
      <c r="P9392" t="str">
        <f t="shared" si="108"/>
        <v>15207</v>
      </c>
    </row>
    <row r="9393" spans="1:16" x14ac:dyDescent="0.25">
      <c r="A9393" t="str">
        <f>"1150054P00132    00"</f>
        <v>1150054P00132    00</v>
      </c>
      <c r="B9393" t="s">
        <v>20836</v>
      </c>
      <c r="C9393" t="s">
        <v>20837</v>
      </c>
      <c r="D9393" t="s">
        <v>20</v>
      </c>
      <c r="E9393" t="s">
        <v>39</v>
      </c>
      <c r="F9393">
        <v>0</v>
      </c>
      <c r="G9393">
        <v>0</v>
      </c>
      <c r="H9393">
        <v>1</v>
      </c>
      <c r="I9393" s="3">
        <v>1006.39</v>
      </c>
      <c r="J9393" s="3">
        <v>0</v>
      </c>
      <c r="L9393">
        <v>5619</v>
      </c>
      <c r="M9393" t="s">
        <v>2161</v>
      </c>
      <c r="N9393" t="s">
        <v>30</v>
      </c>
      <c r="O9393" t="s">
        <v>31</v>
      </c>
      <c r="P9393" t="str">
        <f>"15217"</f>
        <v>15217</v>
      </c>
    </row>
    <row r="9394" spans="1:16" x14ac:dyDescent="0.25">
      <c r="A9394" t="str">
        <f>"1150054P00134A   00"</f>
        <v>1150054P00134A   00</v>
      </c>
      <c r="B9394" t="s">
        <v>5819</v>
      </c>
      <c r="C9394" t="s">
        <v>20838</v>
      </c>
      <c r="E9394" t="s">
        <v>39</v>
      </c>
      <c r="F9394">
        <v>0</v>
      </c>
      <c r="G9394">
        <v>0</v>
      </c>
      <c r="H9394">
        <v>1</v>
      </c>
      <c r="I9394" s="3">
        <v>976.92</v>
      </c>
      <c r="J9394" s="3">
        <v>219.8</v>
      </c>
      <c r="M9394" t="s">
        <v>5821</v>
      </c>
      <c r="N9394" t="s">
        <v>5822</v>
      </c>
      <c r="O9394" t="s">
        <v>31</v>
      </c>
      <c r="P9394" t="str">
        <f>"15560"</f>
        <v>15560</v>
      </c>
    </row>
    <row r="9395" spans="1:16" x14ac:dyDescent="0.25">
      <c r="A9395" t="str">
        <f>"1150054P00157    00"</f>
        <v>1150054P00157    00</v>
      </c>
      <c r="B9395" t="s">
        <v>20839</v>
      </c>
      <c r="C9395" t="s">
        <v>20840</v>
      </c>
      <c r="D9395" t="s">
        <v>20</v>
      </c>
      <c r="E9395" t="s">
        <v>39</v>
      </c>
      <c r="F9395">
        <v>0</v>
      </c>
      <c r="G9395">
        <v>0</v>
      </c>
      <c r="H9395">
        <v>2</v>
      </c>
      <c r="I9395" s="3">
        <v>137.24</v>
      </c>
      <c r="J9395" s="3">
        <v>0</v>
      </c>
      <c r="K9395" t="s">
        <v>20841</v>
      </c>
      <c r="L9395">
        <v>413</v>
      </c>
      <c r="M9395" t="s">
        <v>1481</v>
      </c>
      <c r="N9395" t="s">
        <v>30</v>
      </c>
      <c r="O9395" t="s">
        <v>31</v>
      </c>
      <c r="P9395" t="str">
        <f>"15213"</f>
        <v>15213</v>
      </c>
    </row>
    <row r="9396" spans="1:16" x14ac:dyDescent="0.25">
      <c r="A9396" t="str">
        <f>"1150054P00158    00"</f>
        <v>1150054P00158    00</v>
      </c>
      <c r="B9396" t="s">
        <v>20839</v>
      </c>
      <c r="C9396" t="s">
        <v>20842</v>
      </c>
      <c r="D9396" t="s">
        <v>20</v>
      </c>
      <c r="E9396" t="s">
        <v>39</v>
      </c>
      <c r="F9396">
        <v>0</v>
      </c>
      <c r="G9396">
        <v>0</v>
      </c>
      <c r="H9396">
        <v>2</v>
      </c>
      <c r="I9396" s="3">
        <v>6160.24</v>
      </c>
      <c r="J9396" s="3">
        <v>0</v>
      </c>
      <c r="K9396" t="s">
        <v>20841</v>
      </c>
      <c r="L9396">
        <v>413</v>
      </c>
      <c r="M9396" t="s">
        <v>1481</v>
      </c>
      <c r="N9396" t="s">
        <v>30</v>
      </c>
      <c r="O9396" t="s">
        <v>31</v>
      </c>
      <c r="P9396" t="str">
        <f>"15213"</f>
        <v>15213</v>
      </c>
    </row>
    <row r="9397" spans="1:16" x14ac:dyDescent="0.25">
      <c r="A9397" t="str">
        <f>"1150054P00161    00"</f>
        <v>1150054P00161    00</v>
      </c>
      <c r="B9397" t="s">
        <v>20839</v>
      </c>
      <c r="C9397" t="s">
        <v>20843</v>
      </c>
      <c r="D9397" t="s">
        <v>20</v>
      </c>
      <c r="E9397" t="s">
        <v>21</v>
      </c>
      <c r="F9397">
        <v>0</v>
      </c>
      <c r="G9397">
        <v>0</v>
      </c>
      <c r="H9397">
        <v>2</v>
      </c>
      <c r="I9397" s="3">
        <v>25018.18</v>
      </c>
      <c r="J9397" s="3">
        <v>0</v>
      </c>
      <c r="K9397" t="s">
        <v>20841</v>
      </c>
      <c r="L9397">
        <v>413</v>
      </c>
      <c r="M9397" t="s">
        <v>1481</v>
      </c>
      <c r="N9397" t="s">
        <v>30</v>
      </c>
      <c r="O9397" t="s">
        <v>31</v>
      </c>
      <c r="P9397" t="str">
        <f>"15213"</f>
        <v>15213</v>
      </c>
    </row>
    <row r="9398" spans="1:16" x14ac:dyDescent="0.25">
      <c r="A9398" t="str">
        <f>"1150054P00168    00"</f>
        <v>1150054P00168    00</v>
      </c>
      <c r="B9398" t="s">
        <v>8682</v>
      </c>
      <c r="C9398" t="s">
        <v>20844</v>
      </c>
      <c r="D9398" t="s">
        <v>20</v>
      </c>
      <c r="E9398" t="s">
        <v>39</v>
      </c>
      <c r="F9398">
        <v>0</v>
      </c>
      <c r="G9398">
        <v>0</v>
      </c>
      <c r="H9398">
        <v>3</v>
      </c>
      <c r="I9398" s="3">
        <v>3039.76</v>
      </c>
      <c r="J9398" s="3">
        <v>2.06</v>
      </c>
      <c r="L9398">
        <v>425</v>
      </c>
      <c r="M9398" t="s">
        <v>78</v>
      </c>
      <c r="N9398" t="s">
        <v>295</v>
      </c>
      <c r="O9398" t="s">
        <v>31</v>
      </c>
      <c r="P9398" t="str">
        <f>"15146"</f>
        <v>15146</v>
      </c>
    </row>
    <row r="9399" spans="1:16" x14ac:dyDescent="0.25">
      <c r="A9399" t="str">
        <f>"1150054P00179    00"</f>
        <v>1150054P00179    00</v>
      </c>
      <c r="B9399" t="s">
        <v>20845</v>
      </c>
      <c r="C9399" t="s">
        <v>20846</v>
      </c>
      <c r="D9399" t="s">
        <v>20</v>
      </c>
      <c r="E9399" t="s">
        <v>39</v>
      </c>
      <c r="F9399">
        <v>0</v>
      </c>
      <c r="G9399">
        <v>0</v>
      </c>
      <c r="H9399">
        <v>1</v>
      </c>
      <c r="I9399" s="3">
        <v>368.34</v>
      </c>
      <c r="J9399" s="3">
        <v>0</v>
      </c>
      <c r="L9399">
        <v>4033</v>
      </c>
      <c r="M9399" t="s">
        <v>20847</v>
      </c>
      <c r="N9399" t="s">
        <v>30</v>
      </c>
      <c r="O9399" t="s">
        <v>31</v>
      </c>
      <c r="P9399" t="str">
        <f>"15207"</f>
        <v>15207</v>
      </c>
    </row>
    <row r="9400" spans="1:16" x14ac:dyDescent="0.25">
      <c r="A9400" t="str">
        <f>"1150054P00187    00"</f>
        <v>1150054P00187    00</v>
      </c>
      <c r="B9400" t="s">
        <v>20848</v>
      </c>
      <c r="C9400" t="s">
        <v>20849</v>
      </c>
      <c r="D9400" t="s">
        <v>20</v>
      </c>
      <c r="E9400" t="s">
        <v>39</v>
      </c>
      <c r="F9400">
        <v>0</v>
      </c>
      <c r="G9400">
        <v>0</v>
      </c>
      <c r="H9400">
        <v>1</v>
      </c>
      <c r="I9400" s="3">
        <v>1790.2</v>
      </c>
      <c r="J9400" s="3">
        <v>0</v>
      </c>
      <c r="K9400" t="s">
        <v>9056</v>
      </c>
      <c r="L9400">
        <v>3001</v>
      </c>
      <c r="M9400" t="s">
        <v>404</v>
      </c>
      <c r="N9400" t="s">
        <v>331</v>
      </c>
      <c r="O9400" t="s">
        <v>108</v>
      </c>
      <c r="P9400" t="str">
        <f>"75063"</f>
        <v>75063</v>
      </c>
    </row>
    <row r="9401" spans="1:16" x14ac:dyDescent="0.25">
      <c r="A9401" t="str">
        <f>"1150054P00192    00"</f>
        <v>1150054P00192    00</v>
      </c>
      <c r="B9401" t="s">
        <v>20850</v>
      </c>
      <c r="C9401" t="s">
        <v>20851</v>
      </c>
      <c r="D9401" t="s">
        <v>20</v>
      </c>
      <c r="E9401" t="s">
        <v>39</v>
      </c>
      <c r="F9401">
        <v>0</v>
      </c>
      <c r="G9401">
        <v>0</v>
      </c>
      <c r="H9401">
        <v>1</v>
      </c>
      <c r="I9401" s="3">
        <v>322.12</v>
      </c>
      <c r="J9401" s="3">
        <v>0</v>
      </c>
      <c r="K9401" t="s">
        <v>20852</v>
      </c>
      <c r="L9401">
        <v>4117</v>
      </c>
      <c r="M9401" t="s">
        <v>20847</v>
      </c>
      <c r="N9401" t="s">
        <v>30</v>
      </c>
      <c r="O9401" t="s">
        <v>31</v>
      </c>
      <c r="P9401" t="str">
        <f>"15207"</f>
        <v>15207</v>
      </c>
    </row>
    <row r="9402" spans="1:16" x14ac:dyDescent="0.25">
      <c r="A9402" t="str">
        <f>"1150054P00201    00"</f>
        <v>1150054P00201    00</v>
      </c>
      <c r="B9402" t="s">
        <v>20853</v>
      </c>
      <c r="C9402" t="s">
        <v>20854</v>
      </c>
      <c r="D9402" t="s">
        <v>20</v>
      </c>
      <c r="E9402" t="s">
        <v>39</v>
      </c>
      <c r="F9402">
        <v>0</v>
      </c>
      <c r="G9402">
        <v>0</v>
      </c>
      <c r="H9402">
        <v>1</v>
      </c>
      <c r="I9402" s="3">
        <v>762.6</v>
      </c>
      <c r="J9402" s="3">
        <v>0</v>
      </c>
      <c r="L9402">
        <v>4036</v>
      </c>
      <c r="M9402" t="s">
        <v>20847</v>
      </c>
      <c r="N9402" t="s">
        <v>30</v>
      </c>
      <c r="O9402" t="s">
        <v>31</v>
      </c>
      <c r="P9402" t="str">
        <f>"15207"</f>
        <v>15207</v>
      </c>
    </row>
    <row r="9403" spans="1:16" x14ac:dyDescent="0.25">
      <c r="A9403" t="str">
        <f>"1150054P00220    00"</f>
        <v>1150054P00220    00</v>
      </c>
      <c r="B9403" t="s">
        <v>20855</v>
      </c>
      <c r="C9403" t="s">
        <v>20856</v>
      </c>
      <c r="D9403" t="s">
        <v>20</v>
      </c>
      <c r="E9403" t="s">
        <v>39</v>
      </c>
      <c r="F9403">
        <v>0</v>
      </c>
      <c r="G9403">
        <v>0</v>
      </c>
      <c r="H9403">
        <v>2</v>
      </c>
      <c r="I9403" s="3">
        <v>745</v>
      </c>
      <c r="J9403" s="3">
        <v>13.5</v>
      </c>
      <c r="L9403">
        <v>400</v>
      </c>
      <c r="M9403" t="s">
        <v>1887</v>
      </c>
      <c r="N9403" t="s">
        <v>30</v>
      </c>
      <c r="O9403" t="s">
        <v>31</v>
      </c>
      <c r="P9403" t="str">
        <f>"15207"</f>
        <v>15207</v>
      </c>
    </row>
    <row r="9404" spans="1:16" x14ac:dyDescent="0.25">
      <c r="A9404" t="str">
        <f>"1150054P00296    00"</f>
        <v>1150054P00296    00</v>
      </c>
      <c r="B9404" t="s">
        <v>20857</v>
      </c>
      <c r="C9404" t="s">
        <v>20858</v>
      </c>
      <c r="E9404" t="s">
        <v>39</v>
      </c>
      <c r="F9404">
        <v>0</v>
      </c>
      <c r="G9404">
        <v>0</v>
      </c>
      <c r="H9404">
        <v>2</v>
      </c>
      <c r="I9404" s="3">
        <v>580.84</v>
      </c>
      <c r="J9404" s="3">
        <v>0.01</v>
      </c>
      <c r="K9404" t="s">
        <v>484</v>
      </c>
      <c r="L9404">
        <v>3001</v>
      </c>
      <c r="M9404" t="s">
        <v>330</v>
      </c>
      <c r="N9404" t="s">
        <v>331</v>
      </c>
      <c r="O9404" t="s">
        <v>108</v>
      </c>
      <c r="P9404" t="str">
        <f>"75063"</f>
        <v>75063</v>
      </c>
    </row>
    <row r="9405" spans="1:16" x14ac:dyDescent="0.25">
      <c r="A9405" t="str">
        <f>"1150054P00306    00"</f>
        <v>1150054P00306    00</v>
      </c>
      <c r="B9405" t="s">
        <v>20859</v>
      </c>
      <c r="C9405" t="s">
        <v>20860</v>
      </c>
      <c r="D9405" t="s">
        <v>20</v>
      </c>
      <c r="E9405" t="s">
        <v>21</v>
      </c>
      <c r="F9405">
        <v>0</v>
      </c>
      <c r="G9405">
        <v>0</v>
      </c>
      <c r="H9405">
        <v>10</v>
      </c>
      <c r="I9405" s="3">
        <v>22677.98</v>
      </c>
      <c r="J9405" s="3">
        <v>9566.4599999999991</v>
      </c>
      <c r="L9405">
        <v>3913</v>
      </c>
      <c r="M9405" t="s">
        <v>20861</v>
      </c>
      <c r="N9405" t="s">
        <v>30</v>
      </c>
      <c r="O9405" t="s">
        <v>31</v>
      </c>
      <c r="P9405" t="str">
        <f>"15207"</f>
        <v>15207</v>
      </c>
    </row>
    <row r="9406" spans="1:16" x14ac:dyDescent="0.25">
      <c r="A9406" t="str">
        <f>"1150054R00003    00"</f>
        <v>1150054R00003    00</v>
      </c>
      <c r="B9406" t="s">
        <v>20862</v>
      </c>
      <c r="C9406" t="s">
        <v>20863</v>
      </c>
      <c r="D9406" t="s">
        <v>20</v>
      </c>
      <c r="E9406" t="s">
        <v>39</v>
      </c>
      <c r="F9406">
        <v>0</v>
      </c>
      <c r="G9406">
        <v>0</v>
      </c>
      <c r="H9406">
        <v>2</v>
      </c>
      <c r="I9406" s="3">
        <v>5489.32</v>
      </c>
      <c r="J9406" s="3">
        <v>0</v>
      </c>
      <c r="L9406">
        <v>4013</v>
      </c>
      <c r="M9406" t="s">
        <v>20864</v>
      </c>
      <c r="N9406" t="s">
        <v>30</v>
      </c>
      <c r="O9406" t="s">
        <v>31</v>
      </c>
      <c r="P9406" t="str">
        <f>"15207"</f>
        <v>15207</v>
      </c>
    </row>
    <row r="9407" spans="1:16" x14ac:dyDescent="0.25">
      <c r="A9407" t="str">
        <f>"1150054R00017    00"</f>
        <v>1150054R00017    00</v>
      </c>
      <c r="B9407" t="s">
        <v>20865</v>
      </c>
      <c r="C9407" t="s">
        <v>20866</v>
      </c>
      <c r="D9407" t="s">
        <v>20</v>
      </c>
      <c r="E9407" t="s">
        <v>39</v>
      </c>
      <c r="F9407">
        <v>0</v>
      </c>
      <c r="G9407">
        <v>0</v>
      </c>
      <c r="H9407">
        <v>5</v>
      </c>
      <c r="I9407" s="3">
        <v>10289.19</v>
      </c>
      <c r="J9407" s="3">
        <v>1716.44</v>
      </c>
      <c r="K9407" t="s">
        <v>403</v>
      </c>
      <c r="L9407">
        <v>3001</v>
      </c>
      <c r="M9407" t="s">
        <v>404</v>
      </c>
      <c r="N9407" t="s">
        <v>331</v>
      </c>
      <c r="O9407" t="s">
        <v>108</v>
      </c>
      <c r="P9407" t="str">
        <f>"75063"</f>
        <v>75063</v>
      </c>
    </row>
    <row r="9408" spans="1:16" x14ac:dyDescent="0.25">
      <c r="A9408" t="str">
        <f>"1150054R00018    00"</f>
        <v>1150054R00018    00</v>
      </c>
      <c r="B9408" t="s">
        <v>20867</v>
      </c>
      <c r="C9408" t="s">
        <v>20868</v>
      </c>
      <c r="D9408" t="s">
        <v>20</v>
      </c>
      <c r="E9408" t="s">
        <v>39</v>
      </c>
      <c r="F9408">
        <v>0</v>
      </c>
      <c r="G9408">
        <v>0</v>
      </c>
      <c r="H9408">
        <v>1</v>
      </c>
      <c r="I9408" s="3">
        <v>20.100000000000001</v>
      </c>
      <c r="J9408" s="3">
        <v>8.0399999999999991</v>
      </c>
      <c r="K9408" t="s">
        <v>9056</v>
      </c>
      <c r="L9408">
        <v>3001</v>
      </c>
      <c r="M9408" t="s">
        <v>404</v>
      </c>
      <c r="N9408" t="s">
        <v>331</v>
      </c>
      <c r="O9408" t="s">
        <v>108</v>
      </c>
      <c r="P9408" t="str">
        <f>"75063"</f>
        <v>75063</v>
      </c>
    </row>
    <row r="9409" spans="1:16" x14ac:dyDescent="0.25">
      <c r="A9409" t="str">
        <f>"1150054R00023    00"</f>
        <v>1150054R00023    00</v>
      </c>
      <c r="B9409" t="s">
        <v>20869</v>
      </c>
      <c r="C9409" t="s">
        <v>20870</v>
      </c>
      <c r="D9409" t="s">
        <v>20</v>
      </c>
      <c r="E9409" t="s">
        <v>21</v>
      </c>
      <c r="F9409">
        <v>0</v>
      </c>
      <c r="G9409">
        <v>0</v>
      </c>
      <c r="H9409">
        <v>1</v>
      </c>
      <c r="I9409" s="3">
        <v>2239.56</v>
      </c>
      <c r="J9409" s="3">
        <v>0</v>
      </c>
      <c r="L9409">
        <v>5</v>
      </c>
      <c r="M9409" t="s">
        <v>3904</v>
      </c>
      <c r="N9409" t="s">
        <v>3905</v>
      </c>
      <c r="O9409" t="s">
        <v>423</v>
      </c>
      <c r="P9409" t="str">
        <f>"07740"</f>
        <v>07740</v>
      </c>
    </row>
    <row r="9410" spans="1:16" x14ac:dyDescent="0.25">
      <c r="A9410" t="str">
        <f>"1150054R00028    00"</f>
        <v>1150054R00028    00</v>
      </c>
      <c r="B9410" t="s">
        <v>20871</v>
      </c>
      <c r="C9410" t="s">
        <v>20872</v>
      </c>
      <c r="D9410" t="s">
        <v>20</v>
      </c>
      <c r="E9410" t="s">
        <v>39</v>
      </c>
      <c r="F9410">
        <v>0</v>
      </c>
      <c r="G9410">
        <v>0</v>
      </c>
      <c r="H9410">
        <v>2</v>
      </c>
      <c r="I9410" s="3">
        <v>1500.61</v>
      </c>
      <c r="J9410" s="3">
        <v>0</v>
      </c>
      <c r="L9410">
        <v>566</v>
      </c>
      <c r="M9410" t="s">
        <v>1887</v>
      </c>
      <c r="N9410" t="s">
        <v>30</v>
      </c>
      <c r="O9410" t="s">
        <v>31</v>
      </c>
      <c r="P9410" t="str">
        <f>"15207"</f>
        <v>15207</v>
      </c>
    </row>
    <row r="9411" spans="1:16" x14ac:dyDescent="0.25">
      <c r="A9411" t="str">
        <f>"1150054R00040    00"</f>
        <v>1150054R00040    00</v>
      </c>
      <c r="B9411" t="s">
        <v>20873</v>
      </c>
      <c r="C9411" t="s">
        <v>20874</v>
      </c>
      <c r="D9411" t="s">
        <v>20</v>
      </c>
      <c r="E9411" t="s">
        <v>39</v>
      </c>
      <c r="F9411">
        <v>0</v>
      </c>
      <c r="G9411">
        <v>0</v>
      </c>
      <c r="H9411">
        <v>1</v>
      </c>
      <c r="I9411" s="3">
        <v>1311.35</v>
      </c>
      <c r="J9411" s="3">
        <v>0</v>
      </c>
      <c r="K9411" t="s">
        <v>805</v>
      </c>
      <c r="L9411">
        <v>3001</v>
      </c>
      <c r="M9411" t="s">
        <v>330</v>
      </c>
      <c r="N9411" t="s">
        <v>331</v>
      </c>
      <c r="O9411" t="s">
        <v>108</v>
      </c>
      <c r="P9411" t="str">
        <f>"75063"</f>
        <v>75063</v>
      </c>
    </row>
    <row r="9412" spans="1:16" x14ac:dyDescent="0.25">
      <c r="A9412" t="str">
        <f>"1150054R00047    00"</f>
        <v>1150054R00047    00</v>
      </c>
      <c r="B9412" t="s">
        <v>20875</v>
      </c>
      <c r="C9412" t="s">
        <v>20876</v>
      </c>
      <c r="E9412" t="s">
        <v>39</v>
      </c>
      <c r="F9412">
        <v>0</v>
      </c>
      <c r="G9412">
        <v>0</v>
      </c>
      <c r="H9412">
        <v>1</v>
      </c>
      <c r="I9412" s="3">
        <v>970.87</v>
      </c>
      <c r="J9412" s="3">
        <v>0</v>
      </c>
      <c r="K9412" t="s">
        <v>20877</v>
      </c>
      <c r="L9412">
        <v>4108</v>
      </c>
      <c r="M9412" t="s">
        <v>20878</v>
      </c>
      <c r="N9412" t="s">
        <v>30</v>
      </c>
      <c r="O9412" t="s">
        <v>31</v>
      </c>
      <c r="P9412" t="str">
        <f>"15207"</f>
        <v>15207</v>
      </c>
    </row>
    <row r="9413" spans="1:16" x14ac:dyDescent="0.25">
      <c r="A9413" t="str">
        <f>"1150054R00067    00"</f>
        <v>1150054R00067    00</v>
      </c>
      <c r="B9413" t="s">
        <v>20879</v>
      </c>
      <c r="C9413" t="s">
        <v>20880</v>
      </c>
      <c r="D9413" t="s">
        <v>20</v>
      </c>
      <c r="E9413" t="s">
        <v>39</v>
      </c>
      <c r="F9413">
        <v>0</v>
      </c>
      <c r="G9413">
        <v>0</v>
      </c>
      <c r="H9413">
        <v>1</v>
      </c>
      <c r="I9413" s="3">
        <v>427.49</v>
      </c>
      <c r="J9413" s="3">
        <v>0</v>
      </c>
      <c r="L9413">
        <v>4120</v>
      </c>
      <c r="M9413" t="s">
        <v>20878</v>
      </c>
      <c r="N9413" t="s">
        <v>30</v>
      </c>
      <c r="O9413" t="s">
        <v>31</v>
      </c>
      <c r="P9413" t="str">
        <f>"15207"</f>
        <v>15207</v>
      </c>
    </row>
    <row r="9414" spans="1:16" x14ac:dyDescent="0.25">
      <c r="A9414" t="str">
        <f>"1150054R00092    00"</f>
        <v>1150054R00092    00</v>
      </c>
      <c r="B9414" t="s">
        <v>9290</v>
      </c>
      <c r="C9414" t="s">
        <v>20881</v>
      </c>
      <c r="D9414" t="s">
        <v>20</v>
      </c>
      <c r="E9414" t="s">
        <v>39</v>
      </c>
      <c r="F9414">
        <v>0</v>
      </c>
      <c r="G9414">
        <v>0</v>
      </c>
      <c r="H9414">
        <v>4</v>
      </c>
      <c r="I9414" s="3">
        <v>142.19999999999999</v>
      </c>
      <c r="J9414" s="3">
        <v>39.11</v>
      </c>
      <c r="K9414" t="s">
        <v>12658</v>
      </c>
      <c r="L9414">
        <v>414</v>
      </c>
      <c r="M9414" t="s">
        <v>9292</v>
      </c>
      <c r="N9414" t="s">
        <v>30</v>
      </c>
      <c r="O9414" t="s">
        <v>31</v>
      </c>
      <c r="P9414" t="str">
        <f>"15219"</f>
        <v>15219</v>
      </c>
    </row>
    <row r="9415" spans="1:16" x14ac:dyDescent="0.25">
      <c r="A9415" t="str">
        <f>"1150054R00122    00"</f>
        <v>1150054R00122    00</v>
      </c>
      <c r="B9415" t="s">
        <v>20882</v>
      </c>
      <c r="C9415" t="s">
        <v>20883</v>
      </c>
      <c r="E9415" t="s">
        <v>39</v>
      </c>
      <c r="F9415">
        <v>0</v>
      </c>
      <c r="G9415">
        <v>0</v>
      </c>
      <c r="H9415">
        <v>1</v>
      </c>
      <c r="I9415" s="3">
        <v>501.29</v>
      </c>
      <c r="J9415" s="3">
        <v>25.07</v>
      </c>
      <c r="L9415">
        <v>112</v>
      </c>
      <c r="M9415" t="s">
        <v>11514</v>
      </c>
      <c r="N9415" t="s">
        <v>295</v>
      </c>
      <c r="O9415" t="s">
        <v>31</v>
      </c>
      <c r="P9415" t="str">
        <f>"15146"</f>
        <v>15146</v>
      </c>
    </row>
    <row r="9416" spans="1:16" x14ac:dyDescent="0.25">
      <c r="A9416" t="str">
        <f>"1150054R00127    00"</f>
        <v>1150054R00127    00</v>
      </c>
      <c r="B9416" t="s">
        <v>20884</v>
      </c>
      <c r="C9416" t="s">
        <v>20885</v>
      </c>
      <c r="D9416" t="s">
        <v>20</v>
      </c>
      <c r="E9416" t="s">
        <v>39</v>
      </c>
      <c r="F9416">
        <v>0</v>
      </c>
      <c r="G9416">
        <v>0</v>
      </c>
      <c r="H9416">
        <v>1</v>
      </c>
      <c r="I9416" s="3">
        <v>1746.37</v>
      </c>
      <c r="J9416" s="3">
        <v>0</v>
      </c>
      <c r="L9416">
        <v>4021</v>
      </c>
      <c r="M9416" t="s">
        <v>20861</v>
      </c>
      <c r="N9416" t="s">
        <v>30</v>
      </c>
      <c r="O9416" t="s">
        <v>31</v>
      </c>
      <c r="P9416" t="str">
        <f>"15207"</f>
        <v>15207</v>
      </c>
    </row>
    <row r="9417" spans="1:16" x14ac:dyDescent="0.25">
      <c r="A9417" t="str">
        <f>"1150054R00131    00"</f>
        <v>1150054R00131    00</v>
      </c>
      <c r="B9417" t="s">
        <v>20886</v>
      </c>
      <c r="C9417" t="s">
        <v>20887</v>
      </c>
      <c r="D9417" t="s">
        <v>20</v>
      </c>
      <c r="E9417" t="s">
        <v>39</v>
      </c>
      <c r="F9417">
        <v>0</v>
      </c>
      <c r="G9417">
        <v>0</v>
      </c>
      <c r="H9417">
        <v>4</v>
      </c>
      <c r="I9417" s="3">
        <v>6864.96</v>
      </c>
      <c r="J9417" s="3">
        <v>810.94</v>
      </c>
      <c r="L9417">
        <v>3817</v>
      </c>
      <c r="M9417" t="s">
        <v>20861</v>
      </c>
      <c r="N9417" t="s">
        <v>30</v>
      </c>
      <c r="O9417" t="s">
        <v>31</v>
      </c>
      <c r="P9417" t="str">
        <f>"15207"</f>
        <v>15207</v>
      </c>
    </row>
    <row r="9418" spans="1:16" x14ac:dyDescent="0.25">
      <c r="A9418" t="str">
        <f>"1150054R00134    00"</f>
        <v>1150054R00134    00</v>
      </c>
      <c r="B9418" t="s">
        <v>20888</v>
      </c>
      <c r="C9418" t="s">
        <v>20889</v>
      </c>
      <c r="D9418" t="s">
        <v>20</v>
      </c>
      <c r="E9418" t="s">
        <v>39</v>
      </c>
      <c r="F9418">
        <v>0</v>
      </c>
      <c r="G9418">
        <v>0</v>
      </c>
      <c r="H9418">
        <v>2</v>
      </c>
      <c r="I9418" s="3">
        <v>1881.38</v>
      </c>
      <c r="J9418" s="3">
        <v>0</v>
      </c>
      <c r="L9418">
        <v>621</v>
      </c>
      <c r="M9418" t="s">
        <v>17928</v>
      </c>
      <c r="N9418" t="s">
        <v>30</v>
      </c>
      <c r="O9418" t="s">
        <v>31</v>
      </c>
      <c r="P9418" t="str">
        <f>"15207"</f>
        <v>15207</v>
      </c>
    </row>
    <row r="9419" spans="1:16" x14ac:dyDescent="0.25">
      <c r="A9419" t="str">
        <f>"1150054R00142    00"</f>
        <v>1150054R00142    00</v>
      </c>
      <c r="B9419" t="s">
        <v>20890</v>
      </c>
      <c r="C9419" t="s">
        <v>20891</v>
      </c>
      <c r="D9419" t="s">
        <v>20</v>
      </c>
      <c r="E9419" t="s">
        <v>39</v>
      </c>
      <c r="F9419">
        <v>0</v>
      </c>
      <c r="G9419">
        <v>0</v>
      </c>
      <c r="H9419">
        <v>3</v>
      </c>
      <c r="I9419" s="3">
        <v>4688.82</v>
      </c>
      <c r="J9419" s="3">
        <v>312.58</v>
      </c>
      <c r="L9419">
        <v>3001</v>
      </c>
      <c r="M9419" t="s">
        <v>20892</v>
      </c>
      <c r="N9419" t="s">
        <v>625</v>
      </c>
      <c r="O9419" t="s">
        <v>31</v>
      </c>
      <c r="P9419" t="str">
        <f>"15108"</f>
        <v>15108</v>
      </c>
    </row>
    <row r="9420" spans="1:16" x14ac:dyDescent="0.25">
      <c r="A9420" t="str">
        <f>"1150054R00163    00"</f>
        <v>1150054R00163    00</v>
      </c>
      <c r="B9420" t="s">
        <v>20893</v>
      </c>
      <c r="C9420" t="s">
        <v>20894</v>
      </c>
      <c r="D9420" t="s">
        <v>20</v>
      </c>
      <c r="E9420" t="s">
        <v>39</v>
      </c>
      <c r="F9420">
        <v>0</v>
      </c>
      <c r="G9420">
        <v>0</v>
      </c>
      <c r="H9420">
        <v>9</v>
      </c>
      <c r="I9420" s="3">
        <v>5481.22</v>
      </c>
      <c r="J9420" s="3">
        <v>3935.19</v>
      </c>
      <c r="L9420">
        <v>626</v>
      </c>
      <c r="M9420" t="s">
        <v>20895</v>
      </c>
      <c r="N9420" t="s">
        <v>30</v>
      </c>
      <c r="O9420" t="s">
        <v>31</v>
      </c>
      <c r="P9420" t="str">
        <f>"15207"</f>
        <v>15207</v>
      </c>
    </row>
    <row r="9421" spans="1:16" x14ac:dyDescent="0.25">
      <c r="A9421" t="str">
        <f>"1150054R00164    00"</f>
        <v>1150054R00164    00</v>
      </c>
      <c r="B9421" t="s">
        <v>20896</v>
      </c>
      <c r="C9421" t="s">
        <v>20897</v>
      </c>
      <c r="E9421" t="s">
        <v>39</v>
      </c>
      <c r="F9421">
        <v>0</v>
      </c>
      <c r="G9421">
        <v>0</v>
      </c>
      <c r="H9421">
        <v>1</v>
      </c>
      <c r="I9421" s="3">
        <v>530.66999999999996</v>
      </c>
      <c r="J9421" s="3">
        <v>106.12</v>
      </c>
      <c r="K9421" t="s">
        <v>881</v>
      </c>
      <c r="L9421">
        <v>3001</v>
      </c>
      <c r="M9421" t="s">
        <v>330</v>
      </c>
      <c r="N9421" t="s">
        <v>331</v>
      </c>
      <c r="O9421" t="s">
        <v>108</v>
      </c>
      <c r="P9421" t="str">
        <f>"75063"</f>
        <v>75063</v>
      </c>
    </row>
    <row r="9422" spans="1:16" x14ac:dyDescent="0.25">
      <c r="A9422" t="str">
        <f>"1150054R00235    00"</f>
        <v>1150054R00235    00</v>
      </c>
      <c r="B9422" t="s">
        <v>20898</v>
      </c>
      <c r="C9422" t="s">
        <v>20899</v>
      </c>
      <c r="D9422" t="s">
        <v>20</v>
      </c>
      <c r="E9422" t="s">
        <v>39</v>
      </c>
      <c r="F9422">
        <v>0</v>
      </c>
      <c r="G9422">
        <v>0</v>
      </c>
      <c r="H9422">
        <v>2</v>
      </c>
      <c r="I9422" s="3">
        <v>1613.5</v>
      </c>
      <c r="J9422" s="3">
        <v>0</v>
      </c>
      <c r="L9422">
        <v>626</v>
      </c>
      <c r="M9422" t="s">
        <v>1887</v>
      </c>
      <c r="N9422" t="s">
        <v>30</v>
      </c>
      <c r="O9422" t="s">
        <v>31</v>
      </c>
      <c r="P9422" t="str">
        <f>"15207"</f>
        <v>15207</v>
      </c>
    </row>
    <row r="9423" spans="1:16" x14ac:dyDescent="0.25">
      <c r="A9423" t="str">
        <f>"1150054R00239    00"</f>
        <v>1150054R00239    00</v>
      </c>
      <c r="B9423" t="s">
        <v>20900</v>
      </c>
      <c r="C9423" t="s">
        <v>20901</v>
      </c>
      <c r="E9423" t="s">
        <v>39</v>
      </c>
      <c r="F9423">
        <v>0</v>
      </c>
      <c r="G9423">
        <v>0</v>
      </c>
      <c r="H9423">
        <v>1</v>
      </c>
      <c r="I9423" s="3">
        <v>1140.9000000000001</v>
      </c>
      <c r="J9423" s="3">
        <v>0</v>
      </c>
      <c r="K9423" t="s">
        <v>20902</v>
      </c>
      <c r="L9423">
        <v>1584</v>
      </c>
      <c r="M9423" t="s">
        <v>20903</v>
      </c>
      <c r="N9423" t="s">
        <v>9536</v>
      </c>
      <c r="O9423" t="s">
        <v>25</v>
      </c>
      <c r="P9423" t="str">
        <f>"44107"</f>
        <v>44107</v>
      </c>
    </row>
    <row r="9424" spans="1:16" x14ac:dyDescent="0.25">
      <c r="A9424" t="str">
        <f>"1150054R00244    00"</f>
        <v>1150054R00244    00</v>
      </c>
      <c r="B9424" t="s">
        <v>20904</v>
      </c>
      <c r="C9424" t="s">
        <v>20653</v>
      </c>
      <c r="D9424" t="s">
        <v>20</v>
      </c>
      <c r="E9424" t="s">
        <v>39</v>
      </c>
      <c r="F9424">
        <v>0</v>
      </c>
      <c r="G9424">
        <v>0</v>
      </c>
      <c r="H9424">
        <v>6</v>
      </c>
      <c r="I9424" s="3">
        <v>2505.4299999999998</v>
      </c>
      <c r="J9424" s="3">
        <v>571.89</v>
      </c>
      <c r="L9424">
        <v>730</v>
      </c>
      <c r="M9424" t="s">
        <v>1887</v>
      </c>
      <c r="N9424" t="s">
        <v>30</v>
      </c>
      <c r="O9424" t="s">
        <v>31</v>
      </c>
      <c r="P9424" t="str">
        <f>"15207"</f>
        <v>15207</v>
      </c>
    </row>
    <row r="9425" spans="1:16" x14ac:dyDescent="0.25">
      <c r="A9425" t="str">
        <f>"1150054R00246    00"</f>
        <v>1150054R00246    00</v>
      </c>
      <c r="B9425" t="s">
        <v>20905</v>
      </c>
      <c r="C9425" t="s">
        <v>20906</v>
      </c>
      <c r="D9425" t="s">
        <v>20</v>
      </c>
      <c r="E9425" t="s">
        <v>39</v>
      </c>
      <c r="F9425">
        <v>0</v>
      </c>
      <c r="G9425">
        <v>0</v>
      </c>
      <c r="H9425">
        <v>1</v>
      </c>
      <c r="I9425" s="3">
        <v>379.31</v>
      </c>
      <c r="J9425" s="3">
        <v>0</v>
      </c>
      <c r="L9425">
        <v>3817</v>
      </c>
      <c r="M9425" t="s">
        <v>20861</v>
      </c>
      <c r="N9425" t="s">
        <v>30</v>
      </c>
      <c r="O9425" t="s">
        <v>31</v>
      </c>
      <c r="P9425" t="str">
        <f>"15207"</f>
        <v>15207</v>
      </c>
    </row>
    <row r="9426" spans="1:16" x14ac:dyDescent="0.25">
      <c r="A9426" t="str">
        <f>"1150054R00247    00"</f>
        <v>1150054R00247    00</v>
      </c>
      <c r="B9426" t="s">
        <v>20904</v>
      </c>
      <c r="C9426" t="s">
        <v>20907</v>
      </c>
      <c r="D9426" t="s">
        <v>20</v>
      </c>
      <c r="E9426" t="s">
        <v>39</v>
      </c>
      <c r="F9426">
        <v>0</v>
      </c>
      <c r="G9426">
        <v>0</v>
      </c>
      <c r="H9426">
        <v>3</v>
      </c>
      <c r="I9426" s="3">
        <v>3782.18</v>
      </c>
      <c r="J9426" s="3">
        <v>412.72</v>
      </c>
      <c r="L9426">
        <v>730</v>
      </c>
      <c r="M9426" t="s">
        <v>1887</v>
      </c>
      <c r="N9426" t="s">
        <v>30</v>
      </c>
      <c r="O9426" t="s">
        <v>31</v>
      </c>
      <c r="P9426" t="str">
        <f>"15207"</f>
        <v>15207</v>
      </c>
    </row>
    <row r="9427" spans="1:16" x14ac:dyDescent="0.25">
      <c r="A9427" t="str">
        <f>"1150054R00256    00"</f>
        <v>1150054R00256    00</v>
      </c>
      <c r="B9427" t="s">
        <v>20908</v>
      </c>
      <c r="C9427" t="s">
        <v>20909</v>
      </c>
      <c r="D9427" t="s">
        <v>20</v>
      </c>
      <c r="E9427" t="s">
        <v>39</v>
      </c>
      <c r="F9427">
        <v>0</v>
      </c>
      <c r="G9427">
        <v>0</v>
      </c>
      <c r="H9427">
        <v>2</v>
      </c>
      <c r="I9427" s="3">
        <v>3427</v>
      </c>
      <c r="J9427" s="3">
        <v>0</v>
      </c>
      <c r="K9427" t="s">
        <v>20910</v>
      </c>
      <c r="L9427">
        <v>2631</v>
      </c>
      <c r="M9427" t="s">
        <v>20911</v>
      </c>
      <c r="N9427" t="s">
        <v>20912</v>
      </c>
      <c r="O9427" t="s">
        <v>200</v>
      </c>
      <c r="P9427" t="str">
        <f>"11710"</f>
        <v>11710</v>
      </c>
    </row>
    <row r="9428" spans="1:16" x14ac:dyDescent="0.25">
      <c r="A9428" t="str">
        <f>"1150054R00256A   00"</f>
        <v>1150054R00256A   00</v>
      </c>
      <c r="B9428" t="s">
        <v>20913</v>
      </c>
      <c r="C9428" t="s">
        <v>20914</v>
      </c>
      <c r="D9428" t="s">
        <v>20</v>
      </c>
      <c r="E9428" t="s">
        <v>39</v>
      </c>
      <c r="F9428">
        <v>0</v>
      </c>
      <c r="G9428">
        <v>0</v>
      </c>
      <c r="H9428">
        <v>1</v>
      </c>
      <c r="I9428" s="3">
        <v>1036.8699999999999</v>
      </c>
      <c r="J9428" s="3">
        <v>0</v>
      </c>
      <c r="L9428">
        <v>5619</v>
      </c>
      <c r="M9428" t="s">
        <v>20915</v>
      </c>
      <c r="N9428" t="s">
        <v>30</v>
      </c>
      <c r="O9428" t="s">
        <v>31</v>
      </c>
      <c r="P9428" t="str">
        <f>"15217"</f>
        <v>15217</v>
      </c>
    </row>
    <row r="9429" spans="1:16" x14ac:dyDescent="0.25">
      <c r="A9429" t="str">
        <f>"1150054S00101    00"</f>
        <v>1150054S00101    00</v>
      </c>
      <c r="B9429" t="s">
        <v>20916</v>
      </c>
      <c r="C9429" t="s">
        <v>20917</v>
      </c>
      <c r="D9429" t="s">
        <v>20</v>
      </c>
      <c r="E9429" t="s">
        <v>39</v>
      </c>
      <c r="F9429">
        <v>0</v>
      </c>
      <c r="G9429">
        <v>0</v>
      </c>
      <c r="H9429">
        <v>6</v>
      </c>
      <c r="I9429" s="3">
        <v>11235</v>
      </c>
      <c r="J9429" s="3">
        <v>2519.7600000000002</v>
      </c>
      <c r="L9429">
        <v>811</v>
      </c>
      <c r="M9429" t="s">
        <v>1887</v>
      </c>
      <c r="N9429" t="s">
        <v>30</v>
      </c>
      <c r="O9429" t="s">
        <v>31</v>
      </c>
      <c r="P9429" t="str">
        <f>"15217"</f>
        <v>15217</v>
      </c>
    </row>
    <row r="9430" spans="1:16" x14ac:dyDescent="0.25">
      <c r="A9430" t="str">
        <f>"1150054S00103    00"</f>
        <v>1150054S00103    00</v>
      </c>
      <c r="B9430" t="s">
        <v>20918</v>
      </c>
      <c r="C9430" t="s">
        <v>20919</v>
      </c>
      <c r="D9430" t="s">
        <v>20</v>
      </c>
      <c r="E9430" t="s">
        <v>39</v>
      </c>
      <c r="F9430">
        <v>0</v>
      </c>
      <c r="G9430">
        <v>0</v>
      </c>
      <c r="H9430">
        <v>2</v>
      </c>
      <c r="I9430" s="3">
        <v>3420.36</v>
      </c>
      <c r="J9430" s="3">
        <v>0</v>
      </c>
      <c r="L9430">
        <v>807</v>
      </c>
      <c r="M9430" t="s">
        <v>1887</v>
      </c>
      <c r="N9430" t="s">
        <v>30</v>
      </c>
      <c r="O9430" t="s">
        <v>31</v>
      </c>
      <c r="P9430" t="str">
        <f>"15217"</f>
        <v>15217</v>
      </c>
    </row>
    <row r="9431" spans="1:16" x14ac:dyDescent="0.25">
      <c r="A9431" t="str">
        <f>"1150054S00144    00"</f>
        <v>1150054S00144    00</v>
      </c>
      <c r="B9431" t="s">
        <v>20920</v>
      </c>
      <c r="C9431" t="s">
        <v>20921</v>
      </c>
      <c r="D9431" t="s">
        <v>20</v>
      </c>
      <c r="E9431" t="s">
        <v>39</v>
      </c>
      <c r="F9431">
        <v>0</v>
      </c>
      <c r="G9431">
        <v>0</v>
      </c>
      <c r="H9431">
        <v>2</v>
      </c>
      <c r="I9431" s="3">
        <v>99.33</v>
      </c>
      <c r="J9431" s="3">
        <v>100.73</v>
      </c>
      <c r="L9431">
        <v>121</v>
      </c>
      <c r="M9431" t="s">
        <v>20922</v>
      </c>
      <c r="N9431" t="s">
        <v>285</v>
      </c>
      <c r="O9431" t="s">
        <v>31</v>
      </c>
      <c r="P9431" t="str">
        <f>"15120"</f>
        <v>15120</v>
      </c>
    </row>
    <row r="9432" spans="1:16" x14ac:dyDescent="0.25">
      <c r="A9432" t="str">
        <f>"1150054S00167    00"</f>
        <v>1150054S00167    00</v>
      </c>
      <c r="B9432" t="s">
        <v>20923</v>
      </c>
      <c r="C9432" t="s">
        <v>20924</v>
      </c>
      <c r="D9432" t="s">
        <v>20</v>
      </c>
      <c r="E9432" t="s">
        <v>39</v>
      </c>
      <c r="F9432">
        <v>0</v>
      </c>
      <c r="G9432">
        <v>0</v>
      </c>
      <c r="H9432">
        <v>4</v>
      </c>
      <c r="I9432" s="3">
        <v>5585.7</v>
      </c>
      <c r="J9432" s="3">
        <v>710.49</v>
      </c>
      <c r="L9432">
        <v>810</v>
      </c>
      <c r="M9432" t="s">
        <v>20925</v>
      </c>
      <c r="N9432" t="s">
        <v>30</v>
      </c>
      <c r="O9432" t="s">
        <v>31</v>
      </c>
      <c r="P9432" t="str">
        <f>"15217"</f>
        <v>15217</v>
      </c>
    </row>
    <row r="9433" spans="1:16" x14ac:dyDescent="0.25">
      <c r="A9433" t="str">
        <f>"1150054S00170    00"</f>
        <v>1150054S00170    00</v>
      </c>
      <c r="B9433" t="s">
        <v>20926</v>
      </c>
      <c r="C9433" t="s">
        <v>20927</v>
      </c>
      <c r="D9433" t="s">
        <v>20</v>
      </c>
      <c r="E9433" t="s">
        <v>39</v>
      </c>
      <c r="F9433">
        <v>0</v>
      </c>
      <c r="G9433">
        <v>0</v>
      </c>
      <c r="H9433">
        <v>3</v>
      </c>
      <c r="I9433" s="3">
        <v>2142.58</v>
      </c>
      <c r="J9433" s="3">
        <v>41.73</v>
      </c>
      <c r="K9433" t="s">
        <v>3554</v>
      </c>
      <c r="L9433">
        <v>600</v>
      </c>
      <c r="M9433" t="s">
        <v>3555</v>
      </c>
      <c r="N9433" t="s">
        <v>3556</v>
      </c>
      <c r="O9433" t="s">
        <v>31</v>
      </c>
      <c r="P9433" t="str">
        <f>"16117"</f>
        <v>16117</v>
      </c>
    </row>
    <row r="9434" spans="1:16" x14ac:dyDescent="0.25">
      <c r="A9434" t="str">
        <f>"1150054S00170A   00"</f>
        <v>1150054S00170A   00</v>
      </c>
      <c r="B9434" t="s">
        <v>20926</v>
      </c>
      <c r="C9434" t="s">
        <v>20928</v>
      </c>
      <c r="D9434" t="s">
        <v>20</v>
      </c>
      <c r="E9434" t="s">
        <v>39</v>
      </c>
      <c r="F9434">
        <v>0</v>
      </c>
      <c r="G9434">
        <v>0</v>
      </c>
      <c r="H9434">
        <v>3</v>
      </c>
      <c r="I9434" s="3">
        <v>1446.25</v>
      </c>
      <c r="J9434" s="3">
        <v>28.19</v>
      </c>
      <c r="K9434" t="s">
        <v>3554</v>
      </c>
      <c r="L9434">
        <v>600</v>
      </c>
      <c r="M9434" t="s">
        <v>3555</v>
      </c>
      <c r="N9434" t="s">
        <v>3556</v>
      </c>
      <c r="O9434" t="s">
        <v>31</v>
      </c>
      <c r="P9434" t="str">
        <f>"16117"</f>
        <v>16117</v>
      </c>
    </row>
    <row r="9435" spans="1:16" x14ac:dyDescent="0.25">
      <c r="A9435" t="str">
        <f>"1150054S00180    00"</f>
        <v>1150054S00180    00</v>
      </c>
      <c r="B9435" t="s">
        <v>20929</v>
      </c>
      <c r="C9435" t="s">
        <v>20930</v>
      </c>
      <c r="D9435" t="s">
        <v>20</v>
      </c>
      <c r="E9435" t="s">
        <v>39</v>
      </c>
      <c r="F9435">
        <v>0</v>
      </c>
      <c r="G9435">
        <v>0</v>
      </c>
      <c r="H9435">
        <v>2</v>
      </c>
      <c r="I9435" s="3">
        <v>227.47</v>
      </c>
      <c r="J9435" s="3">
        <v>0</v>
      </c>
      <c r="L9435">
        <v>842</v>
      </c>
      <c r="M9435" t="s">
        <v>20925</v>
      </c>
      <c r="N9435" t="s">
        <v>30</v>
      </c>
      <c r="O9435" t="s">
        <v>31</v>
      </c>
      <c r="P9435" t="str">
        <f>"15217"</f>
        <v>15217</v>
      </c>
    </row>
    <row r="9436" spans="1:16" x14ac:dyDescent="0.25">
      <c r="A9436" t="str">
        <f>"1150054S00185    00"</f>
        <v>1150054S00185    00</v>
      </c>
      <c r="B9436" t="s">
        <v>5819</v>
      </c>
      <c r="C9436" t="s">
        <v>20931</v>
      </c>
      <c r="E9436" t="s">
        <v>39</v>
      </c>
      <c r="F9436">
        <v>0</v>
      </c>
      <c r="G9436">
        <v>0</v>
      </c>
      <c r="H9436">
        <v>1</v>
      </c>
      <c r="I9436" s="3">
        <v>2359.19</v>
      </c>
      <c r="J9436" s="3">
        <v>530.79</v>
      </c>
      <c r="M9436" t="s">
        <v>5821</v>
      </c>
      <c r="N9436" t="s">
        <v>5822</v>
      </c>
      <c r="O9436" t="s">
        <v>31</v>
      </c>
      <c r="P9436" t="str">
        <f>"15560"</f>
        <v>15560</v>
      </c>
    </row>
    <row r="9437" spans="1:16" x14ac:dyDescent="0.25">
      <c r="A9437" t="str">
        <f>"1150054S00220    00"</f>
        <v>1150054S00220    00</v>
      </c>
      <c r="B9437" t="s">
        <v>20932</v>
      </c>
      <c r="C9437" t="s">
        <v>20933</v>
      </c>
      <c r="D9437" t="s">
        <v>20</v>
      </c>
      <c r="E9437" t="s">
        <v>39</v>
      </c>
      <c r="F9437">
        <v>0</v>
      </c>
      <c r="G9437">
        <v>0</v>
      </c>
      <c r="H9437">
        <v>6</v>
      </c>
      <c r="I9437" s="3">
        <v>11365.23</v>
      </c>
      <c r="J9437" s="3">
        <v>2588.0100000000002</v>
      </c>
      <c r="K9437" t="s">
        <v>6184</v>
      </c>
      <c r="L9437">
        <v>901</v>
      </c>
      <c r="M9437" t="s">
        <v>1503</v>
      </c>
      <c r="N9437" t="s">
        <v>494</v>
      </c>
      <c r="O9437" t="s">
        <v>495</v>
      </c>
      <c r="P9437" t="str">
        <f>"91768"</f>
        <v>91768</v>
      </c>
    </row>
    <row r="9438" spans="1:16" x14ac:dyDescent="0.25">
      <c r="A9438" t="str">
        <f>"1150054S00235    00"</f>
        <v>1150054S00235    00</v>
      </c>
      <c r="B9438" t="s">
        <v>20934</v>
      </c>
      <c r="C9438" t="s">
        <v>20935</v>
      </c>
      <c r="E9438" t="s">
        <v>39</v>
      </c>
      <c r="F9438">
        <v>0</v>
      </c>
      <c r="G9438">
        <v>0</v>
      </c>
      <c r="H9438">
        <v>1</v>
      </c>
      <c r="I9438" s="3">
        <v>1154.57</v>
      </c>
      <c r="J9438" s="3">
        <v>230.91</v>
      </c>
      <c r="L9438">
        <v>816</v>
      </c>
      <c r="M9438" t="s">
        <v>259</v>
      </c>
      <c r="N9438" t="s">
        <v>30</v>
      </c>
      <c r="O9438" t="s">
        <v>31</v>
      </c>
      <c r="P9438" t="str">
        <f>"15217"</f>
        <v>15217</v>
      </c>
    </row>
    <row r="9439" spans="1:16" x14ac:dyDescent="0.25">
      <c r="A9439" t="str">
        <f>"1150054S00246    00"</f>
        <v>1150054S00246    00</v>
      </c>
      <c r="B9439" t="s">
        <v>20936</v>
      </c>
      <c r="C9439" t="s">
        <v>20937</v>
      </c>
      <c r="E9439" t="s">
        <v>39</v>
      </c>
      <c r="F9439">
        <v>0</v>
      </c>
      <c r="G9439">
        <v>0</v>
      </c>
      <c r="H9439">
        <v>3</v>
      </c>
      <c r="I9439" s="3">
        <v>3719.84</v>
      </c>
      <c r="J9439" s="3">
        <v>0</v>
      </c>
      <c r="L9439">
        <v>846</v>
      </c>
      <c r="M9439" t="s">
        <v>259</v>
      </c>
      <c r="N9439" t="s">
        <v>30</v>
      </c>
      <c r="O9439" t="s">
        <v>31</v>
      </c>
      <c r="P9439" t="str">
        <f>"15217"</f>
        <v>15217</v>
      </c>
    </row>
    <row r="9440" spans="1:16" x14ac:dyDescent="0.25">
      <c r="A9440" t="str">
        <f>"1150054S00292    00"</f>
        <v>1150054S00292    00</v>
      </c>
      <c r="B9440" t="s">
        <v>20938</v>
      </c>
      <c r="C9440" t="s">
        <v>20939</v>
      </c>
      <c r="D9440" t="s">
        <v>20</v>
      </c>
      <c r="E9440" t="s">
        <v>39</v>
      </c>
      <c r="F9440">
        <v>0</v>
      </c>
      <c r="G9440">
        <v>0</v>
      </c>
      <c r="H9440">
        <v>3</v>
      </c>
      <c r="I9440" s="3">
        <v>6048.41</v>
      </c>
      <c r="J9440" s="3">
        <v>415.05</v>
      </c>
      <c r="L9440">
        <v>833</v>
      </c>
      <c r="M9440" t="s">
        <v>20940</v>
      </c>
      <c r="N9440" t="s">
        <v>30</v>
      </c>
      <c r="O9440" t="s">
        <v>31</v>
      </c>
      <c r="P9440" t="str">
        <f>"15217"</f>
        <v>15217</v>
      </c>
    </row>
    <row r="9441" spans="1:16" x14ac:dyDescent="0.25">
      <c r="A9441" t="str">
        <f>"1150055A00010    00"</f>
        <v>1150055A00010    00</v>
      </c>
      <c r="B9441" t="s">
        <v>20941</v>
      </c>
      <c r="C9441" t="s">
        <v>20942</v>
      </c>
      <c r="D9441" t="s">
        <v>20</v>
      </c>
      <c r="E9441" t="s">
        <v>39</v>
      </c>
      <c r="F9441">
        <v>0</v>
      </c>
      <c r="G9441">
        <v>0</v>
      </c>
      <c r="H9441">
        <v>1</v>
      </c>
      <c r="I9441" s="3">
        <v>410.73</v>
      </c>
      <c r="J9441" s="3">
        <v>0</v>
      </c>
      <c r="L9441">
        <v>4210</v>
      </c>
      <c r="M9441" t="s">
        <v>20943</v>
      </c>
      <c r="N9441" t="s">
        <v>30</v>
      </c>
      <c r="O9441" t="s">
        <v>31</v>
      </c>
      <c r="P9441" t="str">
        <f>"15207"</f>
        <v>15207</v>
      </c>
    </row>
    <row r="9442" spans="1:16" x14ac:dyDescent="0.25">
      <c r="A9442" t="str">
        <f>"1150055A00018    00"</f>
        <v>1150055A00018    00</v>
      </c>
      <c r="B9442" t="s">
        <v>20944</v>
      </c>
      <c r="C9442" t="s">
        <v>20945</v>
      </c>
      <c r="D9442" t="s">
        <v>20</v>
      </c>
      <c r="E9442" t="s">
        <v>39</v>
      </c>
      <c r="F9442">
        <v>0</v>
      </c>
      <c r="G9442">
        <v>0</v>
      </c>
      <c r="H9442">
        <v>2</v>
      </c>
      <c r="I9442" s="3">
        <v>1095.28</v>
      </c>
      <c r="J9442" s="3">
        <v>0</v>
      </c>
      <c r="L9442">
        <v>4132</v>
      </c>
      <c r="M9442" t="s">
        <v>20943</v>
      </c>
      <c r="N9442" t="s">
        <v>30</v>
      </c>
      <c r="O9442" t="s">
        <v>31</v>
      </c>
      <c r="P9442" t="str">
        <f>"15207"</f>
        <v>15207</v>
      </c>
    </row>
    <row r="9443" spans="1:16" x14ac:dyDescent="0.25">
      <c r="A9443" t="str">
        <f>"1150055A00063    00"</f>
        <v>1150055A00063    00</v>
      </c>
      <c r="B9443" t="s">
        <v>20946</v>
      </c>
      <c r="C9443" t="s">
        <v>20947</v>
      </c>
      <c r="D9443" t="s">
        <v>20</v>
      </c>
      <c r="E9443" t="s">
        <v>39</v>
      </c>
      <c r="F9443">
        <v>0</v>
      </c>
      <c r="G9443">
        <v>0</v>
      </c>
      <c r="H9443">
        <v>5</v>
      </c>
      <c r="I9443" s="3">
        <v>5619.99</v>
      </c>
      <c r="J9443" s="3">
        <v>1000.93</v>
      </c>
      <c r="L9443">
        <v>5918</v>
      </c>
      <c r="M9443" t="s">
        <v>18934</v>
      </c>
      <c r="N9443" t="s">
        <v>30</v>
      </c>
      <c r="O9443" t="s">
        <v>31</v>
      </c>
      <c r="P9443" t="str">
        <f>"15217"</f>
        <v>15217</v>
      </c>
    </row>
    <row r="9444" spans="1:16" x14ac:dyDescent="0.25">
      <c r="A9444" t="str">
        <f>"1150055A00065    00"</f>
        <v>1150055A00065    00</v>
      </c>
      <c r="B9444" t="s">
        <v>20946</v>
      </c>
      <c r="C9444" t="s">
        <v>20947</v>
      </c>
      <c r="D9444" t="s">
        <v>20</v>
      </c>
      <c r="E9444" t="s">
        <v>39</v>
      </c>
      <c r="F9444">
        <v>0</v>
      </c>
      <c r="G9444">
        <v>0</v>
      </c>
      <c r="H9444">
        <v>6</v>
      </c>
      <c r="I9444" s="3">
        <v>391.53</v>
      </c>
      <c r="J9444" s="3">
        <v>89.31</v>
      </c>
      <c r="L9444">
        <v>5918</v>
      </c>
      <c r="M9444" t="s">
        <v>18934</v>
      </c>
      <c r="N9444" t="s">
        <v>30</v>
      </c>
      <c r="O9444" t="s">
        <v>31</v>
      </c>
      <c r="P9444" t="str">
        <f>"15217"</f>
        <v>15217</v>
      </c>
    </row>
    <row r="9445" spans="1:16" x14ac:dyDescent="0.25">
      <c r="A9445" t="str">
        <f>"1150055A00085    00"</f>
        <v>1150055A00085    00</v>
      </c>
      <c r="B9445" t="s">
        <v>20948</v>
      </c>
      <c r="C9445" t="s">
        <v>20949</v>
      </c>
      <c r="D9445" t="s">
        <v>20</v>
      </c>
      <c r="E9445" t="s">
        <v>39</v>
      </c>
      <c r="F9445">
        <v>0</v>
      </c>
      <c r="G9445">
        <v>0</v>
      </c>
      <c r="H9445">
        <v>3</v>
      </c>
      <c r="I9445" s="3">
        <v>4470.32</v>
      </c>
      <c r="J9445" s="3">
        <v>41.5</v>
      </c>
      <c r="K9445" t="s">
        <v>20950</v>
      </c>
      <c r="L9445">
        <v>4131</v>
      </c>
      <c r="M9445" t="s">
        <v>20951</v>
      </c>
      <c r="N9445" t="s">
        <v>30</v>
      </c>
      <c r="O9445" t="s">
        <v>31</v>
      </c>
      <c r="P9445" t="str">
        <f>"15207"</f>
        <v>15207</v>
      </c>
    </row>
    <row r="9446" spans="1:16" x14ac:dyDescent="0.25">
      <c r="A9446" t="str">
        <f>"1150055A00129    00"</f>
        <v>1150055A00129    00</v>
      </c>
      <c r="B9446" t="s">
        <v>20952</v>
      </c>
      <c r="C9446" t="s">
        <v>20953</v>
      </c>
      <c r="D9446" t="s">
        <v>20</v>
      </c>
      <c r="E9446" t="s">
        <v>39</v>
      </c>
      <c r="F9446">
        <v>0</v>
      </c>
      <c r="G9446">
        <v>0</v>
      </c>
      <c r="H9446">
        <v>3</v>
      </c>
      <c r="I9446" s="3">
        <v>3195.29</v>
      </c>
      <c r="J9446" s="3">
        <v>258.73</v>
      </c>
      <c r="L9446">
        <v>111</v>
      </c>
      <c r="M9446" t="s">
        <v>20776</v>
      </c>
      <c r="N9446" t="s">
        <v>30</v>
      </c>
      <c r="O9446" t="s">
        <v>31</v>
      </c>
      <c r="P9446" t="str">
        <f>"15207"</f>
        <v>15207</v>
      </c>
    </row>
    <row r="9447" spans="1:16" x14ac:dyDescent="0.25">
      <c r="A9447" t="str">
        <f>"1150055A00152    00"</f>
        <v>1150055A00152    00</v>
      </c>
      <c r="B9447" t="s">
        <v>20954</v>
      </c>
      <c r="C9447" t="s">
        <v>20955</v>
      </c>
      <c r="D9447" t="s">
        <v>20</v>
      </c>
      <c r="E9447" t="s">
        <v>39</v>
      </c>
      <c r="F9447">
        <v>0</v>
      </c>
      <c r="G9447">
        <v>0</v>
      </c>
      <c r="H9447">
        <v>1</v>
      </c>
      <c r="I9447" s="3">
        <v>675.2</v>
      </c>
      <c r="J9447" s="3">
        <v>0</v>
      </c>
      <c r="L9447">
        <v>4112</v>
      </c>
      <c r="M9447" t="s">
        <v>20951</v>
      </c>
      <c r="N9447" t="s">
        <v>30</v>
      </c>
      <c r="O9447" t="s">
        <v>31</v>
      </c>
      <c r="P9447" t="str">
        <f>"15207"</f>
        <v>15207</v>
      </c>
    </row>
    <row r="9448" spans="1:16" x14ac:dyDescent="0.25">
      <c r="A9448" t="str">
        <f>"1150055A00199    00"</f>
        <v>1150055A00199    00</v>
      </c>
      <c r="B9448" t="s">
        <v>20956</v>
      </c>
      <c r="C9448" t="s">
        <v>20788</v>
      </c>
      <c r="D9448" t="s">
        <v>20</v>
      </c>
      <c r="E9448" t="s">
        <v>39</v>
      </c>
      <c r="F9448">
        <v>0</v>
      </c>
      <c r="G9448">
        <v>0</v>
      </c>
      <c r="H9448">
        <v>19</v>
      </c>
      <c r="I9448" s="3">
        <v>22654.95</v>
      </c>
      <c r="J9448" s="3">
        <v>24314.49</v>
      </c>
      <c r="L9448">
        <v>216</v>
      </c>
      <c r="M9448" t="s">
        <v>20957</v>
      </c>
      <c r="N9448" t="s">
        <v>30</v>
      </c>
      <c r="O9448" t="s">
        <v>31</v>
      </c>
      <c r="P9448" t="str">
        <f>"15209"</f>
        <v>15209</v>
      </c>
    </row>
    <row r="9449" spans="1:16" x14ac:dyDescent="0.25">
      <c r="A9449" t="str">
        <f>"1150055A00200    00"</f>
        <v>1150055A00200    00</v>
      </c>
      <c r="B9449" t="s">
        <v>20958</v>
      </c>
      <c r="C9449" t="s">
        <v>20959</v>
      </c>
      <c r="D9449" t="s">
        <v>20</v>
      </c>
      <c r="E9449" t="s">
        <v>39</v>
      </c>
      <c r="F9449">
        <v>0</v>
      </c>
      <c r="G9449">
        <v>0</v>
      </c>
      <c r="H9449">
        <v>1</v>
      </c>
      <c r="I9449" s="3">
        <v>686.47</v>
      </c>
      <c r="J9449" s="3">
        <v>0</v>
      </c>
      <c r="L9449">
        <v>38</v>
      </c>
      <c r="M9449" t="s">
        <v>20813</v>
      </c>
      <c r="N9449" t="s">
        <v>30</v>
      </c>
      <c r="O9449" t="s">
        <v>31</v>
      </c>
      <c r="P9449" t="str">
        <f>"15207"</f>
        <v>15207</v>
      </c>
    </row>
    <row r="9450" spans="1:16" x14ac:dyDescent="0.25">
      <c r="A9450" t="str">
        <f>"1150055A00205    00"</f>
        <v>1150055A00205    00</v>
      </c>
      <c r="B9450" t="s">
        <v>20960</v>
      </c>
      <c r="C9450" t="s">
        <v>20961</v>
      </c>
      <c r="D9450" t="s">
        <v>20</v>
      </c>
      <c r="E9450" t="s">
        <v>39</v>
      </c>
      <c r="F9450">
        <v>0</v>
      </c>
      <c r="G9450">
        <v>0</v>
      </c>
      <c r="H9450">
        <v>2</v>
      </c>
      <c r="I9450" s="3">
        <v>2124.5700000000002</v>
      </c>
      <c r="J9450" s="3">
        <v>0</v>
      </c>
      <c r="L9450">
        <v>213</v>
      </c>
      <c r="M9450" t="s">
        <v>20962</v>
      </c>
      <c r="N9450" t="s">
        <v>30</v>
      </c>
      <c r="O9450" t="s">
        <v>31</v>
      </c>
      <c r="P9450" t="str">
        <f>"15207"</f>
        <v>15207</v>
      </c>
    </row>
    <row r="9451" spans="1:16" x14ac:dyDescent="0.25">
      <c r="A9451" t="str">
        <f>"1150055A00207    00"</f>
        <v>1150055A00207    00</v>
      </c>
      <c r="B9451" t="s">
        <v>20963</v>
      </c>
      <c r="C9451" t="s">
        <v>20964</v>
      </c>
      <c r="D9451" t="s">
        <v>20</v>
      </c>
      <c r="E9451" t="s">
        <v>39</v>
      </c>
      <c r="F9451">
        <v>0</v>
      </c>
      <c r="G9451">
        <v>0</v>
      </c>
      <c r="H9451">
        <v>6</v>
      </c>
      <c r="I9451" s="3">
        <v>3248.05</v>
      </c>
      <c r="J9451" s="3">
        <v>693.36</v>
      </c>
      <c r="L9451">
        <v>83</v>
      </c>
      <c r="M9451" t="s">
        <v>20776</v>
      </c>
      <c r="N9451" t="s">
        <v>30</v>
      </c>
      <c r="O9451" t="s">
        <v>31</v>
      </c>
      <c r="P9451" t="str">
        <f>"15207"</f>
        <v>15207</v>
      </c>
    </row>
    <row r="9452" spans="1:16" x14ac:dyDescent="0.25">
      <c r="A9452" t="str">
        <f>"1150055A00229    00"</f>
        <v>1150055A00229    00</v>
      </c>
      <c r="B9452" t="s">
        <v>20965</v>
      </c>
      <c r="C9452" t="s">
        <v>20966</v>
      </c>
      <c r="E9452" t="s">
        <v>39</v>
      </c>
      <c r="F9452">
        <v>0</v>
      </c>
      <c r="G9452">
        <v>0</v>
      </c>
      <c r="H9452">
        <v>2</v>
      </c>
      <c r="I9452" s="3">
        <v>763.88</v>
      </c>
      <c r="J9452" s="3">
        <v>456.3</v>
      </c>
      <c r="L9452">
        <v>37</v>
      </c>
      <c r="M9452" t="s">
        <v>20967</v>
      </c>
      <c r="N9452" t="s">
        <v>30</v>
      </c>
      <c r="O9452" t="s">
        <v>31</v>
      </c>
      <c r="P9452" t="str">
        <f>"15207"</f>
        <v>15207</v>
      </c>
    </row>
    <row r="9453" spans="1:16" x14ac:dyDescent="0.25">
      <c r="A9453" t="str">
        <f>"1150055A00235A   00"</f>
        <v>1150055A00235A   00</v>
      </c>
      <c r="B9453" t="s">
        <v>20968</v>
      </c>
      <c r="C9453" t="s">
        <v>20969</v>
      </c>
      <c r="E9453" t="s">
        <v>39</v>
      </c>
      <c r="F9453">
        <v>0</v>
      </c>
      <c r="G9453">
        <v>0</v>
      </c>
      <c r="H9453">
        <v>1</v>
      </c>
      <c r="I9453" s="3">
        <v>1535.68</v>
      </c>
      <c r="J9453" s="3">
        <v>460.69</v>
      </c>
      <c r="K9453" t="s">
        <v>20970</v>
      </c>
      <c r="M9453" t="s">
        <v>20971</v>
      </c>
      <c r="N9453" t="s">
        <v>605</v>
      </c>
      <c r="O9453" t="s">
        <v>606</v>
      </c>
      <c r="P9453" t="str">
        <f>"30348"</f>
        <v>30348</v>
      </c>
    </row>
    <row r="9454" spans="1:16" x14ac:dyDescent="0.25">
      <c r="A9454" t="str">
        <f>"1150055B00017    00"</f>
        <v>1150055B00017    00</v>
      </c>
      <c r="B9454" t="s">
        <v>20972</v>
      </c>
      <c r="C9454" t="s">
        <v>20973</v>
      </c>
      <c r="D9454" t="s">
        <v>20</v>
      </c>
      <c r="E9454" t="s">
        <v>39</v>
      </c>
      <c r="F9454">
        <v>0</v>
      </c>
      <c r="G9454">
        <v>0</v>
      </c>
      <c r="H9454">
        <v>6</v>
      </c>
      <c r="I9454" s="3">
        <v>5613.03</v>
      </c>
      <c r="J9454" s="3">
        <v>1297.8900000000001</v>
      </c>
      <c r="K9454" t="s">
        <v>2570</v>
      </c>
      <c r="L9454">
        <v>901</v>
      </c>
      <c r="M9454" t="s">
        <v>1503</v>
      </c>
      <c r="N9454" t="s">
        <v>494</v>
      </c>
      <c r="O9454" t="s">
        <v>495</v>
      </c>
      <c r="P9454" t="str">
        <f>"91768"</f>
        <v>91768</v>
      </c>
    </row>
    <row r="9455" spans="1:16" x14ac:dyDescent="0.25">
      <c r="A9455" t="str">
        <f>"1150055B00020    00"</f>
        <v>1150055B00020    00</v>
      </c>
      <c r="B9455" t="s">
        <v>20974</v>
      </c>
      <c r="C9455" t="s">
        <v>20975</v>
      </c>
      <c r="E9455" t="s">
        <v>39</v>
      </c>
      <c r="F9455">
        <v>0</v>
      </c>
      <c r="G9455">
        <v>0</v>
      </c>
      <c r="H9455">
        <v>1</v>
      </c>
      <c r="I9455" s="3">
        <v>480.15</v>
      </c>
      <c r="J9455" s="3">
        <v>0</v>
      </c>
      <c r="L9455">
        <v>4218</v>
      </c>
      <c r="M9455" t="s">
        <v>20943</v>
      </c>
      <c r="N9455" t="s">
        <v>30</v>
      </c>
      <c r="O9455" t="s">
        <v>31</v>
      </c>
      <c r="P9455" t="str">
        <f>"15207"</f>
        <v>15207</v>
      </c>
    </row>
    <row r="9456" spans="1:16" x14ac:dyDescent="0.25">
      <c r="A9456" t="str">
        <f>"1150055B00104    00"</f>
        <v>1150055B00104    00</v>
      </c>
      <c r="B9456" t="s">
        <v>20976</v>
      </c>
      <c r="C9456" t="s">
        <v>20977</v>
      </c>
      <c r="D9456" t="s">
        <v>20</v>
      </c>
      <c r="E9456" t="s">
        <v>39</v>
      </c>
      <c r="F9456">
        <v>0</v>
      </c>
      <c r="G9456">
        <v>0</v>
      </c>
      <c r="H9456">
        <v>1</v>
      </c>
      <c r="I9456" s="3">
        <v>134.69</v>
      </c>
      <c r="J9456" s="3">
        <v>0</v>
      </c>
      <c r="L9456">
        <v>4133</v>
      </c>
      <c r="M9456" t="s">
        <v>20978</v>
      </c>
      <c r="N9456" t="s">
        <v>30</v>
      </c>
      <c r="O9456" t="s">
        <v>31</v>
      </c>
      <c r="P9456" t="str">
        <f>"15207"</f>
        <v>15207</v>
      </c>
    </row>
    <row r="9457" spans="1:16" x14ac:dyDescent="0.25">
      <c r="A9457" t="str">
        <f>"1150055B00148    00"</f>
        <v>1150055B00148    00</v>
      </c>
      <c r="B9457" t="s">
        <v>20979</v>
      </c>
      <c r="C9457" t="s">
        <v>20980</v>
      </c>
      <c r="D9457" t="s">
        <v>20</v>
      </c>
      <c r="E9457" t="s">
        <v>39</v>
      </c>
      <c r="F9457">
        <v>0</v>
      </c>
      <c r="G9457">
        <v>0</v>
      </c>
      <c r="H9457">
        <v>5</v>
      </c>
      <c r="I9457" s="3">
        <v>3666.79</v>
      </c>
      <c r="J9457" s="3">
        <v>493.85</v>
      </c>
      <c r="K9457" t="s">
        <v>20981</v>
      </c>
      <c r="L9457">
        <v>4220</v>
      </c>
      <c r="M9457" t="s">
        <v>20677</v>
      </c>
      <c r="N9457" t="s">
        <v>30</v>
      </c>
      <c r="O9457" t="s">
        <v>31</v>
      </c>
      <c r="P9457" t="str">
        <f>"15207"</f>
        <v>15207</v>
      </c>
    </row>
    <row r="9458" spans="1:16" x14ac:dyDescent="0.25">
      <c r="A9458" t="str">
        <f>"1150055B00162    00"</f>
        <v>1150055B00162    00</v>
      </c>
      <c r="B9458" t="s">
        <v>20982</v>
      </c>
      <c r="C9458" t="s">
        <v>20983</v>
      </c>
      <c r="E9458" t="s">
        <v>39</v>
      </c>
      <c r="F9458">
        <v>0</v>
      </c>
      <c r="G9458">
        <v>0</v>
      </c>
      <c r="H9458">
        <v>2</v>
      </c>
      <c r="I9458" s="3">
        <v>2468.13</v>
      </c>
      <c r="J9458" s="3">
        <v>1100.04</v>
      </c>
      <c r="L9458">
        <v>4136</v>
      </c>
      <c r="M9458" t="s">
        <v>20677</v>
      </c>
      <c r="N9458" t="s">
        <v>30</v>
      </c>
      <c r="O9458" t="s">
        <v>31</v>
      </c>
      <c r="P9458" t="str">
        <f>"15207"</f>
        <v>15207</v>
      </c>
    </row>
    <row r="9459" spans="1:16" x14ac:dyDescent="0.25">
      <c r="A9459" t="str">
        <f>"1150055B00201    00"</f>
        <v>1150055B00201    00</v>
      </c>
      <c r="B9459" t="s">
        <v>20984</v>
      </c>
      <c r="C9459" t="s">
        <v>20985</v>
      </c>
      <c r="D9459" t="s">
        <v>20</v>
      </c>
      <c r="E9459" t="s">
        <v>39</v>
      </c>
      <c r="F9459">
        <v>0</v>
      </c>
      <c r="G9459">
        <v>0</v>
      </c>
      <c r="H9459">
        <v>16</v>
      </c>
      <c r="I9459" s="3">
        <v>16150.91</v>
      </c>
      <c r="J9459" s="3">
        <v>11059.69</v>
      </c>
      <c r="L9459">
        <v>1820</v>
      </c>
      <c r="M9459" t="s">
        <v>20986</v>
      </c>
      <c r="N9459" t="s">
        <v>6941</v>
      </c>
      <c r="O9459" t="s">
        <v>31</v>
      </c>
      <c r="P9459" t="str">
        <f>"15003"</f>
        <v>15003</v>
      </c>
    </row>
    <row r="9460" spans="1:16" x14ac:dyDescent="0.25">
      <c r="A9460" t="str">
        <f>"1150055B00208    00"</f>
        <v>1150055B00208    00</v>
      </c>
      <c r="B9460" t="s">
        <v>20987</v>
      </c>
      <c r="C9460" t="s">
        <v>20988</v>
      </c>
      <c r="E9460" t="s">
        <v>39</v>
      </c>
      <c r="F9460">
        <v>0</v>
      </c>
      <c r="G9460">
        <v>0</v>
      </c>
      <c r="H9460">
        <v>1</v>
      </c>
      <c r="I9460" s="3">
        <v>49.01</v>
      </c>
      <c r="J9460" s="3">
        <v>29.41</v>
      </c>
      <c r="K9460" t="s">
        <v>4791</v>
      </c>
      <c r="L9460">
        <v>3001</v>
      </c>
      <c r="M9460" t="s">
        <v>404</v>
      </c>
      <c r="N9460" t="s">
        <v>331</v>
      </c>
      <c r="O9460" t="s">
        <v>108</v>
      </c>
      <c r="P9460" t="str">
        <f>"75063"</f>
        <v>75063</v>
      </c>
    </row>
    <row r="9461" spans="1:16" x14ac:dyDescent="0.25">
      <c r="A9461" t="str">
        <f>"1150055B00227    00"</f>
        <v>1150055B00227    00</v>
      </c>
      <c r="B9461" t="s">
        <v>20989</v>
      </c>
      <c r="C9461" t="s">
        <v>20990</v>
      </c>
      <c r="D9461" t="s">
        <v>20</v>
      </c>
      <c r="E9461" t="s">
        <v>39</v>
      </c>
      <c r="F9461">
        <v>0</v>
      </c>
      <c r="G9461">
        <v>0</v>
      </c>
      <c r="H9461">
        <v>4</v>
      </c>
      <c r="I9461" s="3">
        <v>3530.28</v>
      </c>
      <c r="J9461" s="3">
        <v>245.67</v>
      </c>
      <c r="K9461" t="s">
        <v>20991</v>
      </c>
      <c r="L9461">
        <v>4208</v>
      </c>
      <c r="M9461" t="s">
        <v>20847</v>
      </c>
      <c r="N9461" t="s">
        <v>30</v>
      </c>
      <c r="O9461" t="s">
        <v>31</v>
      </c>
      <c r="P9461" t="str">
        <f>"15207"</f>
        <v>15207</v>
      </c>
    </row>
    <row r="9462" spans="1:16" x14ac:dyDescent="0.25">
      <c r="A9462" t="str">
        <f>"1150055B00251    00"</f>
        <v>1150055B00251    00</v>
      </c>
      <c r="B9462" t="s">
        <v>20992</v>
      </c>
      <c r="C9462" t="s">
        <v>20851</v>
      </c>
      <c r="E9462" t="s">
        <v>39</v>
      </c>
      <c r="F9462">
        <v>0</v>
      </c>
      <c r="G9462">
        <v>0</v>
      </c>
      <c r="H9462">
        <v>1</v>
      </c>
      <c r="I9462" s="3">
        <v>206.35</v>
      </c>
      <c r="J9462" s="3">
        <v>82.53</v>
      </c>
      <c r="K9462" t="s">
        <v>759</v>
      </c>
      <c r="L9462">
        <v>3001</v>
      </c>
      <c r="M9462" t="s">
        <v>404</v>
      </c>
      <c r="N9462" t="s">
        <v>331</v>
      </c>
      <c r="O9462" t="s">
        <v>108</v>
      </c>
      <c r="P9462" t="str">
        <f>"75063"</f>
        <v>75063</v>
      </c>
    </row>
    <row r="9463" spans="1:16" x14ac:dyDescent="0.25">
      <c r="A9463" t="str">
        <f>"1150055B00254    00"</f>
        <v>1150055B00254    00</v>
      </c>
      <c r="B9463" t="s">
        <v>20993</v>
      </c>
      <c r="C9463" t="s">
        <v>20994</v>
      </c>
      <c r="D9463" t="s">
        <v>20</v>
      </c>
      <c r="E9463" t="s">
        <v>39</v>
      </c>
      <c r="F9463">
        <v>0</v>
      </c>
      <c r="G9463">
        <v>0</v>
      </c>
      <c r="H9463">
        <v>2</v>
      </c>
      <c r="I9463" s="3">
        <v>38.119999999999997</v>
      </c>
      <c r="J9463" s="3">
        <v>0</v>
      </c>
      <c r="K9463" t="s">
        <v>20995</v>
      </c>
      <c r="L9463">
        <v>40</v>
      </c>
      <c r="M9463" t="s">
        <v>20996</v>
      </c>
      <c r="N9463" t="s">
        <v>20997</v>
      </c>
      <c r="O9463" t="s">
        <v>200</v>
      </c>
      <c r="P9463" t="str">
        <f>"10801"</f>
        <v>10801</v>
      </c>
    </row>
    <row r="9464" spans="1:16" x14ac:dyDescent="0.25">
      <c r="A9464" t="str">
        <f>"1150055B00254A   00"</f>
        <v>1150055B00254A   00</v>
      </c>
      <c r="B9464" t="s">
        <v>20993</v>
      </c>
      <c r="C9464" t="s">
        <v>20994</v>
      </c>
      <c r="D9464" t="s">
        <v>20</v>
      </c>
      <c r="E9464" t="s">
        <v>39</v>
      </c>
      <c r="F9464">
        <v>0</v>
      </c>
      <c r="G9464">
        <v>0</v>
      </c>
      <c r="H9464">
        <v>2</v>
      </c>
      <c r="I9464" s="3">
        <v>3785.34</v>
      </c>
      <c r="J9464" s="3">
        <v>0</v>
      </c>
      <c r="K9464" t="s">
        <v>20995</v>
      </c>
      <c r="L9464">
        <v>40</v>
      </c>
      <c r="M9464" t="s">
        <v>20996</v>
      </c>
      <c r="N9464" t="s">
        <v>20997</v>
      </c>
      <c r="O9464" t="s">
        <v>200</v>
      </c>
      <c r="P9464" t="str">
        <f>"10801"</f>
        <v>10801</v>
      </c>
    </row>
    <row r="9465" spans="1:16" x14ac:dyDescent="0.25">
      <c r="A9465" t="str">
        <f>"1150055B00259A   00"</f>
        <v>1150055B00259A   00</v>
      </c>
      <c r="B9465" t="s">
        <v>20998</v>
      </c>
      <c r="C9465" t="s">
        <v>20999</v>
      </c>
      <c r="D9465" t="s">
        <v>20</v>
      </c>
      <c r="E9465" t="s">
        <v>39</v>
      </c>
      <c r="F9465">
        <v>0</v>
      </c>
      <c r="G9465">
        <v>0</v>
      </c>
      <c r="H9465">
        <v>18</v>
      </c>
      <c r="I9465" s="3">
        <v>28514.93</v>
      </c>
      <c r="J9465" s="3">
        <v>24963.040000000001</v>
      </c>
      <c r="L9465">
        <v>4239</v>
      </c>
      <c r="M9465" t="s">
        <v>20847</v>
      </c>
      <c r="N9465" t="s">
        <v>30</v>
      </c>
      <c r="O9465" t="s">
        <v>31</v>
      </c>
      <c r="P9465" t="str">
        <f>"15207"</f>
        <v>15207</v>
      </c>
    </row>
    <row r="9466" spans="1:16" x14ac:dyDescent="0.25">
      <c r="A9466" t="str">
        <f>"1150055B00341    00"</f>
        <v>1150055B00341    00</v>
      </c>
      <c r="B9466" t="s">
        <v>21000</v>
      </c>
      <c r="C9466" t="s">
        <v>21001</v>
      </c>
      <c r="D9466" t="s">
        <v>20</v>
      </c>
      <c r="E9466" t="s">
        <v>39</v>
      </c>
      <c r="F9466">
        <v>0</v>
      </c>
      <c r="G9466">
        <v>0</v>
      </c>
      <c r="H9466">
        <v>1</v>
      </c>
      <c r="I9466" s="3">
        <v>2007.48</v>
      </c>
      <c r="J9466" s="3">
        <v>0</v>
      </c>
      <c r="K9466" t="s">
        <v>21002</v>
      </c>
      <c r="L9466">
        <v>4225</v>
      </c>
      <c r="M9466" t="s">
        <v>20726</v>
      </c>
      <c r="N9466" t="s">
        <v>30</v>
      </c>
      <c r="O9466" t="s">
        <v>31</v>
      </c>
      <c r="P9466" t="str">
        <f>"15207"</f>
        <v>15207</v>
      </c>
    </row>
    <row r="9467" spans="1:16" x14ac:dyDescent="0.25">
      <c r="A9467" t="str">
        <f>"1150055C00013    00"</f>
        <v>1150055C00013    00</v>
      </c>
      <c r="B9467" t="s">
        <v>21003</v>
      </c>
      <c r="C9467" t="s">
        <v>21004</v>
      </c>
      <c r="E9467" t="s">
        <v>39</v>
      </c>
      <c r="F9467">
        <v>0</v>
      </c>
      <c r="G9467">
        <v>0</v>
      </c>
      <c r="H9467">
        <v>1</v>
      </c>
      <c r="I9467" s="3">
        <v>1012.77</v>
      </c>
      <c r="J9467" s="3">
        <v>869.26</v>
      </c>
      <c r="L9467">
        <v>526</v>
      </c>
      <c r="M9467" t="s">
        <v>21005</v>
      </c>
      <c r="N9467" t="s">
        <v>30</v>
      </c>
      <c r="O9467" t="s">
        <v>31</v>
      </c>
      <c r="P9467" t="str">
        <f>"15207"</f>
        <v>15207</v>
      </c>
    </row>
    <row r="9468" spans="1:16" x14ac:dyDescent="0.25">
      <c r="A9468" t="str">
        <f>"1150055C00174    00"</f>
        <v>1150055C00174    00</v>
      </c>
      <c r="B9468" t="s">
        <v>21006</v>
      </c>
      <c r="C9468" t="s">
        <v>21007</v>
      </c>
      <c r="D9468" t="s">
        <v>20</v>
      </c>
      <c r="E9468" t="s">
        <v>39</v>
      </c>
      <c r="F9468">
        <v>0</v>
      </c>
      <c r="G9468">
        <v>0</v>
      </c>
      <c r="H9468">
        <v>7</v>
      </c>
      <c r="I9468" s="3">
        <v>7343.82</v>
      </c>
      <c r="J9468" s="3">
        <v>2078.87</v>
      </c>
      <c r="L9468">
        <v>4211</v>
      </c>
      <c r="M9468" t="s">
        <v>20861</v>
      </c>
      <c r="N9468" t="s">
        <v>30</v>
      </c>
      <c r="O9468" t="s">
        <v>31</v>
      </c>
      <c r="P9468" t="str">
        <f>"15207"</f>
        <v>15207</v>
      </c>
    </row>
    <row r="9469" spans="1:16" x14ac:dyDescent="0.25">
      <c r="A9469" t="str">
        <f>"1150055C00311    00"</f>
        <v>1150055C00311    00</v>
      </c>
      <c r="B9469" t="s">
        <v>21008</v>
      </c>
      <c r="C9469" t="s">
        <v>21009</v>
      </c>
      <c r="D9469" t="s">
        <v>20</v>
      </c>
      <c r="E9469" t="s">
        <v>39</v>
      </c>
      <c r="F9469">
        <v>0</v>
      </c>
      <c r="G9469">
        <v>0</v>
      </c>
      <c r="H9469">
        <v>3</v>
      </c>
      <c r="I9469" s="3">
        <v>7439.16</v>
      </c>
      <c r="J9469" s="3">
        <v>495.93</v>
      </c>
      <c r="K9469" t="s">
        <v>6184</v>
      </c>
      <c r="L9469">
        <v>901</v>
      </c>
      <c r="M9469" t="s">
        <v>1503</v>
      </c>
      <c r="N9469" t="s">
        <v>494</v>
      </c>
      <c r="O9469" t="s">
        <v>495</v>
      </c>
      <c r="P9469" t="str">
        <f>"91768"</f>
        <v>91768</v>
      </c>
    </row>
    <row r="9470" spans="1:16" x14ac:dyDescent="0.25">
      <c r="A9470" t="str">
        <f>"1150055C00330    00"</f>
        <v>1150055C00330    00</v>
      </c>
      <c r="B9470" t="s">
        <v>21010</v>
      </c>
      <c r="C9470" t="s">
        <v>21011</v>
      </c>
      <c r="D9470" t="s">
        <v>20</v>
      </c>
      <c r="E9470" t="s">
        <v>39</v>
      </c>
      <c r="F9470">
        <v>0</v>
      </c>
      <c r="G9470">
        <v>0</v>
      </c>
      <c r="H9470">
        <v>3</v>
      </c>
      <c r="I9470" s="3">
        <v>1104.8399999999999</v>
      </c>
      <c r="J9470" s="3">
        <v>68.48</v>
      </c>
      <c r="L9470">
        <v>848</v>
      </c>
      <c r="M9470" t="s">
        <v>21012</v>
      </c>
      <c r="N9470" t="s">
        <v>30</v>
      </c>
      <c r="O9470" t="s">
        <v>31</v>
      </c>
      <c r="P9470" t="str">
        <f>"15217"</f>
        <v>15217</v>
      </c>
    </row>
    <row r="9471" spans="1:16" x14ac:dyDescent="0.25">
      <c r="A9471" t="str">
        <f>"1150055C00331    00"</f>
        <v>1150055C00331    00</v>
      </c>
      <c r="B9471" t="s">
        <v>21010</v>
      </c>
      <c r="C9471" t="s">
        <v>21011</v>
      </c>
      <c r="D9471" t="s">
        <v>20</v>
      </c>
      <c r="E9471" t="s">
        <v>39</v>
      </c>
      <c r="F9471">
        <v>0</v>
      </c>
      <c r="G9471">
        <v>0</v>
      </c>
      <c r="H9471">
        <v>4</v>
      </c>
      <c r="I9471" s="3">
        <v>4354.07</v>
      </c>
      <c r="J9471" s="3">
        <v>296.42</v>
      </c>
      <c r="L9471">
        <v>848</v>
      </c>
      <c r="M9471" t="s">
        <v>21012</v>
      </c>
      <c r="N9471" t="s">
        <v>30</v>
      </c>
      <c r="O9471" t="s">
        <v>31</v>
      </c>
      <c r="P9471" t="str">
        <f>"15217"</f>
        <v>15217</v>
      </c>
    </row>
    <row r="9472" spans="1:16" x14ac:dyDescent="0.25">
      <c r="A9472" t="str">
        <f>"1150055C00340    00"</f>
        <v>1150055C00340    00</v>
      </c>
      <c r="B9472" t="s">
        <v>21013</v>
      </c>
      <c r="C9472" t="s">
        <v>21014</v>
      </c>
      <c r="D9472" t="s">
        <v>20</v>
      </c>
      <c r="E9472" t="s">
        <v>39</v>
      </c>
      <c r="F9472">
        <v>0</v>
      </c>
      <c r="G9472">
        <v>0</v>
      </c>
      <c r="H9472">
        <v>1</v>
      </c>
      <c r="I9472" s="3">
        <v>389.24</v>
      </c>
      <c r="J9472" s="3">
        <v>0</v>
      </c>
      <c r="L9472">
        <v>4265</v>
      </c>
      <c r="M9472" t="s">
        <v>21015</v>
      </c>
      <c r="N9472" t="s">
        <v>30</v>
      </c>
      <c r="O9472" t="s">
        <v>31</v>
      </c>
      <c r="P9472" t="str">
        <f>"15217"</f>
        <v>15217</v>
      </c>
    </row>
    <row r="9473" spans="1:16" x14ac:dyDescent="0.25">
      <c r="A9473" t="str">
        <f>"1150055D00005    00"</f>
        <v>1150055D00005    00</v>
      </c>
      <c r="B9473" t="s">
        <v>21016</v>
      </c>
      <c r="C9473" t="s">
        <v>21017</v>
      </c>
      <c r="D9473" t="s">
        <v>20</v>
      </c>
      <c r="E9473" t="s">
        <v>39</v>
      </c>
      <c r="F9473">
        <v>0</v>
      </c>
      <c r="G9473">
        <v>0</v>
      </c>
      <c r="H9473">
        <v>1</v>
      </c>
      <c r="I9473" s="3">
        <v>35.44</v>
      </c>
      <c r="J9473" s="3">
        <v>0</v>
      </c>
      <c r="K9473" t="s">
        <v>21018</v>
      </c>
      <c r="L9473">
        <v>4230</v>
      </c>
      <c r="M9473" t="s">
        <v>21012</v>
      </c>
      <c r="N9473" t="s">
        <v>30</v>
      </c>
      <c r="O9473" t="s">
        <v>31</v>
      </c>
      <c r="P9473" t="str">
        <f>"15217"</f>
        <v>15217</v>
      </c>
    </row>
    <row r="9474" spans="1:16" x14ac:dyDescent="0.25">
      <c r="A9474" t="str">
        <f>"1150055D00076A   00"</f>
        <v>1150055D00076A   00</v>
      </c>
      <c r="B9474" t="s">
        <v>21019</v>
      </c>
      <c r="C9474" t="s">
        <v>21020</v>
      </c>
      <c r="D9474" t="s">
        <v>20</v>
      </c>
      <c r="E9474" t="s">
        <v>39</v>
      </c>
      <c r="F9474">
        <v>0</v>
      </c>
      <c r="G9474">
        <v>0</v>
      </c>
      <c r="H9474">
        <v>3</v>
      </c>
      <c r="I9474" s="3">
        <v>50.76</v>
      </c>
      <c r="J9474" s="3">
        <v>4.93</v>
      </c>
      <c r="L9474">
        <v>4164</v>
      </c>
      <c r="M9474" t="s">
        <v>21021</v>
      </c>
      <c r="N9474" t="s">
        <v>30</v>
      </c>
      <c r="O9474" t="s">
        <v>31</v>
      </c>
      <c r="P9474" t="str">
        <f>"15217"</f>
        <v>15217</v>
      </c>
    </row>
    <row r="9475" spans="1:16" x14ac:dyDescent="0.25">
      <c r="A9475" t="str">
        <f>"1150055D00093    00"</f>
        <v>1150055D00093    00</v>
      </c>
      <c r="B9475" t="s">
        <v>21022</v>
      </c>
      <c r="C9475" t="s">
        <v>21023</v>
      </c>
      <c r="D9475" t="s">
        <v>33</v>
      </c>
      <c r="E9475" t="s">
        <v>39</v>
      </c>
      <c r="F9475">
        <v>0</v>
      </c>
      <c r="G9475">
        <v>0</v>
      </c>
      <c r="H9475">
        <v>2</v>
      </c>
      <c r="I9475" s="3">
        <v>6476.6</v>
      </c>
      <c r="J9475" s="3">
        <v>323.81</v>
      </c>
      <c r="K9475" t="s">
        <v>21024</v>
      </c>
      <c r="M9475" t="s">
        <v>21025</v>
      </c>
      <c r="N9475" t="s">
        <v>10293</v>
      </c>
      <c r="O9475" t="s">
        <v>200</v>
      </c>
      <c r="P9475" t="str">
        <f>"14692"</f>
        <v>14692</v>
      </c>
    </row>
    <row r="9476" spans="1:16" x14ac:dyDescent="0.25">
      <c r="A9476" t="str">
        <f>"1150055D00100    00"</f>
        <v>1150055D00100    00</v>
      </c>
      <c r="B9476" t="s">
        <v>21026</v>
      </c>
      <c r="C9476" t="s">
        <v>21027</v>
      </c>
      <c r="D9476" t="s">
        <v>20</v>
      </c>
      <c r="E9476" t="s">
        <v>39</v>
      </c>
      <c r="F9476">
        <v>0</v>
      </c>
      <c r="G9476">
        <v>0</v>
      </c>
      <c r="H9476">
        <v>5</v>
      </c>
      <c r="I9476" s="3">
        <v>6635.02</v>
      </c>
      <c r="J9476" s="3">
        <v>1435.45</v>
      </c>
      <c r="L9476">
        <v>455</v>
      </c>
      <c r="M9476" t="s">
        <v>21028</v>
      </c>
      <c r="N9476" t="s">
        <v>30</v>
      </c>
      <c r="O9476" t="s">
        <v>31</v>
      </c>
      <c r="P9476" t="str">
        <f>"15228"</f>
        <v>15228</v>
      </c>
    </row>
    <row r="9477" spans="1:16" x14ac:dyDescent="0.25">
      <c r="A9477" t="str">
        <f>"1150055D00274    00"</f>
        <v>1150055D00274    00</v>
      </c>
      <c r="B9477" t="s">
        <v>21029</v>
      </c>
      <c r="C9477" t="s">
        <v>21030</v>
      </c>
      <c r="D9477" t="s">
        <v>20</v>
      </c>
      <c r="E9477" t="s">
        <v>39</v>
      </c>
      <c r="F9477">
        <v>0</v>
      </c>
      <c r="G9477">
        <v>0</v>
      </c>
      <c r="H9477">
        <v>5</v>
      </c>
      <c r="I9477" s="3">
        <v>7526.61</v>
      </c>
      <c r="J9477" s="3">
        <v>1300.33</v>
      </c>
      <c r="L9477">
        <v>708</v>
      </c>
      <c r="M9477" t="s">
        <v>21031</v>
      </c>
      <c r="N9477" t="s">
        <v>30</v>
      </c>
      <c r="O9477" t="s">
        <v>31</v>
      </c>
      <c r="P9477" t="str">
        <f>"15217"</f>
        <v>15217</v>
      </c>
    </row>
    <row r="9478" spans="1:16" x14ac:dyDescent="0.25">
      <c r="A9478" t="str">
        <f>"1150055D00297    00"</f>
        <v>1150055D00297    00</v>
      </c>
      <c r="B9478" t="s">
        <v>21032</v>
      </c>
      <c r="C9478" t="s">
        <v>21033</v>
      </c>
      <c r="E9478" t="s">
        <v>39</v>
      </c>
      <c r="F9478">
        <v>0</v>
      </c>
      <c r="G9478">
        <v>0</v>
      </c>
      <c r="H9478">
        <v>1</v>
      </c>
      <c r="I9478" s="3">
        <v>56.05</v>
      </c>
      <c r="J9478" s="3">
        <v>0</v>
      </c>
      <c r="K9478" t="s">
        <v>756</v>
      </c>
      <c r="L9478">
        <v>3001</v>
      </c>
      <c r="M9478" t="s">
        <v>330</v>
      </c>
      <c r="N9478" t="s">
        <v>331</v>
      </c>
      <c r="O9478" t="s">
        <v>108</v>
      </c>
      <c r="P9478" t="str">
        <f>"75063"</f>
        <v>75063</v>
      </c>
    </row>
    <row r="9479" spans="1:16" x14ac:dyDescent="0.25">
      <c r="A9479" t="str">
        <f>"1150055D00313    00"</f>
        <v>1150055D00313    00</v>
      </c>
      <c r="B9479" t="s">
        <v>21034</v>
      </c>
      <c r="C9479" t="s">
        <v>21035</v>
      </c>
      <c r="D9479" t="s">
        <v>20</v>
      </c>
      <c r="E9479" t="s">
        <v>39</v>
      </c>
      <c r="F9479">
        <v>0</v>
      </c>
      <c r="G9479">
        <v>0</v>
      </c>
      <c r="H9479">
        <v>1</v>
      </c>
      <c r="I9479" s="3">
        <v>1102.1400000000001</v>
      </c>
      <c r="J9479" s="3">
        <v>0</v>
      </c>
      <c r="L9479">
        <v>924</v>
      </c>
      <c r="M9479" t="s">
        <v>21036</v>
      </c>
      <c r="N9479" t="s">
        <v>30</v>
      </c>
      <c r="O9479" t="s">
        <v>31</v>
      </c>
      <c r="P9479" t="str">
        <f>"15217"</f>
        <v>15217</v>
      </c>
    </row>
    <row r="9480" spans="1:16" x14ac:dyDescent="0.25">
      <c r="A9480" t="str">
        <f>"1150055D00320    00"</f>
        <v>1150055D00320    00</v>
      </c>
      <c r="B9480" t="s">
        <v>21037</v>
      </c>
      <c r="C9480" t="s">
        <v>21038</v>
      </c>
      <c r="D9480" t="s">
        <v>20</v>
      </c>
      <c r="E9480" t="s">
        <v>39</v>
      </c>
      <c r="F9480">
        <v>0</v>
      </c>
      <c r="G9480">
        <v>0</v>
      </c>
      <c r="H9480">
        <v>2</v>
      </c>
      <c r="I9480" s="3">
        <v>2207.41</v>
      </c>
      <c r="J9480" s="3">
        <v>0</v>
      </c>
      <c r="L9480">
        <v>923</v>
      </c>
      <c r="M9480" t="s">
        <v>21036</v>
      </c>
      <c r="N9480" t="s">
        <v>30</v>
      </c>
      <c r="O9480" t="s">
        <v>31</v>
      </c>
      <c r="P9480" t="str">
        <f>"15217"</f>
        <v>15217</v>
      </c>
    </row>
    <row r="9481" spans="1:16" x14ac:dyDescent="0.25">
      <c r="A9481" t="str">
        <f>"1150055D00335A   00"</f>
        <v>1150055D00335A   00</v>
      </c>
      <c r="B9481" t="s">
        <v>21039</v>
      </c>
      <c r="C9481" t="s">
        <v>2272</v>
      </c>
      <c r="E9481" t="s">
        <v>39</v>
      </c>
      <c r="F9481">
        <v>0</v>
      </c>
      <c r="G9481">
        <v>0</v>
      </c>
      <c r="H9481">
        <v>1</v>
      </c>
      <c r="I9481" s="3">
        <v>73.55</v>
      </c>
      <c r="J9481" s="3">
        <v>102.54</v>
      </c>
      <c r="L9481">
        <v>500</v>
      </c>
      <c r="M9481" t="s">
        <v>9505</v>
      </c>
      <c r="N9481" t="s">
        <v>3919</v>
      </c>
      <c r="O9481" t="s">
        <v>370</v>
      </c>
      <c r="P9481" t="str">
        <f>"32202"</f>
        <v>32202</v>
      </c>
    </row>
    <row r="9482" spans="1:16" x14ac:dyDescent="0.25">
      <c r="A9482" t="str">
        <f>"1150055D00348    00"</f>
        <v>1150055D00348    00</v>
      </c>
      <c r="B9482" t="s">
        <v>21040</v>
      </c>
      <c r="C9482" t="s">
        <v>21041</v>
      </c>
      <c r="E9482" t="s">
        <v>39</v>
      </c>
      <c r="F9482">
        <v>0</v>
      </c>
      <c r="G9482">
        <v>0</v>
      </c>
      <c r="H9482">
        <v>1</v>
      </c>
      <c r="I9482" s="3">
        <v>226.82</v>
      </c>
      <c r="J9482" s="3">
        <v>0</v>
      </c>
      <c r="K9482" t="s">
        <v>1435</v>
      </c>
      <c r="M9482" t="s">
        <v>271</v>
      </c>
      <c r="N9482" t="s">
        <v>272</v>
      </c>
      <c r="O9482" t="s">
        <v>273</v>
      </c>
      <c r="P9482" t="str">
        <f>"29603"</f>
        <v>29603</v>
      </c>
    </row>
    <row r="9483" spans="1:16" x14ac:dyDescent="0.25">
      <c r="A9483" t="str">
        <f>"1150055D00353    00"</f>
        <v>1150055D00353    00</v>
      </c>
      <c r="B9483" t="s">
        <v>21042</v>
      </c>
      <c r="C9483" t="s">
        <v>21043</v>
      </c>
      <c r="D9483" t="s">
        <v>20</v>
      </c>
      <c r="E9483" t="s">
        <v>39</v>
      </c>
      <c r="F9483">
        <v>0</v>
      </c>
      <c r="G9483">
        <v>0</v>
      </c>
      <c r="H9483">
        <v>1</v>
      </c>
      <c r="I9483" s="3">
        <v>1648.7</v>
      </c>
      <c r="J9483" s="3">
        <v>0</v>
      </c>
      <c r="L9483">
        <v>7549</v>
      </c>
      <c r="M9483" t="s">
        <v>21044</v>
      </c>
      <c r="N9483" t="s">
        <v>13988</v>
      </c>
      <c r="O9483" t="s">
        <v>2097</v>
      </c>
      <c r="P9483" t="str">
        <f>"38138"</f>
        <v>38138</v>
      </c>
    </row>
    <row r="9484" spans="1:16" x14ac:dyDescent="0.25">
      <c r="A9484" t="str">
        <f>"1150055E00193    00"</f>
        <v>1150055E00193    00</v>
      </c>
      <c r="B9484" t="s">
        <v>21045</v>
      </c>
      <c r="C9484" t="s">
        <v>21046</v>
      </c>
      <c r="D9484" t="s">
        <v>20</v>
      </c>
      <c r="E9484" t="s">
        <v>39</v>
      </c>
      <c r="F9484">
        <v>0</v>
      </c>
      <c r="G9484">
        <v>0</v>
      </c>
      <c r="H9484">
        <v>4</v>
      </c>
      <c r="I9484" s="3">
        <v>501.22</v>
      </c>
      <c r="J9484" s="3">
        <v>59.21</v>
      </c>
      <c r="L9484">
        <v>456</v>
      </c>
      <c r="M9484" t="s">
        <v>5306</v>
      </c>
      <c r="N9484" t="s">
        <v>30</v>
      </c>
      <c r="O9484" t="s">
        <v>31</v>
      </c>
      <c r="P9484" t="str">
        <f>"15232"</f>
        <v>15232</v>
      </c>
    </row>
    <row r="9485" spans="1:16" x14ac:dyDescent="0.25">
      <c r="A9485" t="str">
        <f>"1150055E00201    00"</f>
        <v>1150055E00201    00</v>
      </c>
      <c r="B9485" t="s">
        <v>21047</v>
      </c>
      <c r="C9485" t="s">
        <v>21048</v>
      </c>
      <c r="E9485" t="s">
        <v>39</v>
      </c>
      <c r="F9485">
        <v>0</v>
      </c>
      <c r="G9485">
        <v>0</v>
      </c>
      <c r="H9485">
        <v>1</v>
      </c>
      <c r="I9485" s="3">
        <v>207.27</v>
      </c>
      <c r="J9485" s="3">
        <v>41.45</v>
      </c>
      <c r="K9485" t="s">
        <v>4933</v>
      </c>
      <c r="L9485">
        <v>3001</v>
      </c>
      <c r="M9485" t="s">
        <v>330</v>
      </c>
      <c r="N9485" t="s">
        <v>331</v>
      </c>
      <c r="O9485" t="s">
        <v>108</v>
      </c>
      <c r="P9485" t="str">
        <f>"75063"</f>
        <v>75063</v>
      </c>
    </row>
    <row r="9486" spans="1:16" x14ac:dyDescent="0.25">
      <c r="A9486" t="str">
        <f>"1150055E00273    00"</f>
        <v>1150055E00273    00</v>
      </c>
      <c r="B9486" t="s">
        <v>21049</v>
      </c>
      <c r="C9486" t="s">
        <v>21050</v>
      </c>
      <c r="E9486" t="s">
        <v>39</v>
      </c>
      <c r="F9486">
        <v>0</v>
      </c>
      <c r="G9486">
        <v>0</v>
      </c>
      <c r="H9486">
        <v>1</v>
      </c>
      <c r="I9486" s="3">
        <v>257.3</v>
      </c>
      <c r="J9486" s="3">
        <v>0</v>
      </c>
      <c r="K9486" t="s">
        <v>21051</v>
      </c>
      <c r="L9486">
        <v>145</v>
      </c>
      <c r="M9486" t="s">
        <v>21052</v>
      </c>
      <c r="N9486" t="s">
        <v>30</v>
      </c>
      <c r="O9486" t="s">
        <v>31</v>
      </c>
      <c r="P9486" t="str">
        <f>"15214"</f>
        <v>15214</v>
      </c>
    </row>
    <row r="9487" spans="1:16" x14ac:dyDescent="0.25">
      <c r="A9487" t="str">
        <f>"1150055E00275    00"</f>
        <v>1150055E00275    00</v>
      </c>
      <c r="B9487" t="s">
        <v>21049</v>
      </c>
      <c r="C9487" t="s">
        <v>21053</v>
      </c>
      <c r="E9487" t="s">
        <v>39</v>
      </c>
      <c r="F9487">
        <v>0</v>
      </c>
      <c r="G9487">
        <v>0</v>
      </c>
      <c r="H9487">
        <v>1</v>
      </c>
      <c r="I9487" s="3">
        <v>257.3</v>
      </c>
      <c r="J9487" s="3">
        <v>0</v>
      </c>
      <c r="K9487" t="s">
        <v>21051</v>
      </c>
      <c r="L9487">
        <v>145</v>
      </c>
      <c r="M9487" t="s">
        <v>21052</v>
      </c>
      <c r="N9487" t="s">
        <v>30</v>
      </c>
      <c r="O9487" t="s">
        <v>31</v>
      </c>
      <c r="P9487" t="str">
        <f>"15214"</f>
        <v>15214</v>
      </c>
    </row>
    <row r="9488" spans="1:16" x14ac:dyDescent="0.25">
      <c r="A9488" t="str">
        <f>"1150055E00285    00"</f>
        <v>1150055E00285    00</v>
      </c>
      <c r="B9488" t="s">
        <v>21054</v>
      </c>
      <c r="C9488" t="s">
        <v>21055</v>
      </c>
      <c r="D9488" t="s">
        <v>20</v>
      </c>
      <c r="E9488" t="s">
        <v>39</v>
      </c>
      <c r="F9488">
        <v>0</v>
      </c>
      <c r="G9488">
        <v>0</v>
      </c>
      <c r="H9488">
        <v>2</v>
      </c>
      <c r="I9488" s="3">
        <v>3072.17</v>
      </c>
      <c r="J9488" s="3">
        <v>0</v>
      </c>
      <c r="L9488">
        <v>4251</v>
      </c>
      <c r="M9488" t="s">
        <v>20951</v>
      </c>
      <c r="N9488" t="s">
        <v>30</v>
      </c>
      <c r="O9488" t="s">
        <v>31</v>
      </c>
      <c r="P9488" t="str">
        <f>"15207"</f>
        <v>15207</v>
      </c>
    </row>
    <row r="9489" spans="1:16" x14ac:dyDescent="0.25">
      <c r="A9489" t="str">
        <f>"1150055F00006    00"</f>
        <v>1150055F00006    00</v>
      </c>
      <c r="B9489" t="s">
        <v>21056</v>
      </c>
      <c r="C9489" t="s">
        <v>21057</v>
      </c>
      <c r="D9489" t="s">
        <v>20</v>
      </c>
      <c r="E9489" t="s">
        <v>39</v>
      </c>
      <c r="F9489">
        <v>0</v>
      </c>
      <c r="G9489">
        <v>0</v>
      </c>
      <c r="H9489">
        <v>1</v>
      </c>
      <c r="I9489" s="3">
        <v>295.60000000000002</v>
      </c>
      <c r="J9489" s="3">
        <v>2.48</v>
      </c>
      <c r="L9489">
        <v>220</v>
      </c>
      <c r="M9489" t="s">
        <v>21058</v>
      </c>
      <c r="N9489" t="s">
        <v>30</v>
      </c>
      <c r="O9489" t="s">
        <v>31</v>
      </c>
      <c r="P9489" t="str">
        <f>"15207"</f>
        <v>15207</v>
      </c>
    </row>
    <row r="9490" spans="1:16" x14ac:dyDescent="0.25">
      <c r="A9490" t="str">
        <f>"1150055F00043    00"</f>
        <v>1150055F00043    00</v>
      </c>
      <c r="B9490" t="s">
        <v>21059</v>
      </c>
      <c r="C9490" t="s">
        <v>21060</v>
      </c>
      <c r="D9490" t="s">
        <v>20</v>
      </c>
      <c r="E9490" t="s">
        <v>39</v>
      </c>
      <c r="F9490">
        <v>0</v>
      </c>
      <c r="G9490">
        <v>0</v>
      </c>
      <c r="H9490">
        <v>2</v>
      </c>
      <c r="I9490" s="3">
        <v>2844.76</v>
      </c>
      <c r="J9490" s="3">
        <v>0</v>
      </c>
      <c r="L9490">
        <v>4345</v>
      </c>
      <c r="M9490" t="s">
        <v>20951</v>
      </c>
      <c r="N9490" t="s">
        <v>30</v>
      </c>
      <c r="O9490" t="s">
        <v>31</v>
      </c>
      <c r="P9490" t="str">
        <f>"15207"</f>
        <v>15207</v>
      </c>
    </row>
    <row r="9491" spans="1:16" x14ac:dyDescent="0.25">
      <c r="A9491" t="str">
        <f>"1150055F00059    00"</f>
        <v>1150055F00059    00</v>
      </c>
      <c r="B9491" t="s">
        <v>21061</v>
      </c>
      <c r="C9491" t="s">
        <v>21062</v>
      </c>
      <c r="D9491" t="s">
        <v>20</v>
      </c>
      <c r="E9491" t="s">
        <v>39</v>
      </c>
      <c r="F9491">
        <v>0</v>
      </c>
      <c r="G9491">
        <v>0</v>
      </c>
      <c r="H9491">
        <v>7</v>
      </c>
      <c r="I9491" s="3">
        <v>2841.68</v>
      </c>
      <c r="J9491" s="3">
        <v>964.39</v>
      </c>
      <c r="L9491">
        <v>4376</v>
      </c>
      <c r="M9491" t="s">
        <v>20943</v>
      </c>
      <c r="N9491" t="s">
        <v>30</v>
      </c>
      <c r="O9491" t="s">
        <v>31</v>
      </c>
      <c r="P9491" t="str">
        <f>"15207"</f>
        <v>15207</v>
      </c>
    </row>
    <row r="9492" spans="1:16" x14ac:dyDescent="0.25">
      <c r="A9492" t="str">
        <f>"1150055F00069    00"</f>
        <v>1150055F00069    00</v>
      </c>
      <c r="B9492" t="s">
        <v>21063</v>
      </c>
      <c r="C9492" t="s">
        <v>21064</v>
      </c>
      <c r="E9492" t="s">
        <v>39</v>
      </c>
      <c r="F9492">
        <v>0</v>
      </c>
      <c r="G9492">
        <v>0</v>
      </c>
      <c r="H9492">
        <v>6</v>
      </c>
      <c r="I9492" s="3">
        <v>2804.21</v>
      </c>
      <c r="J9492" s="3">
        <v>2732.88</v>
      </c>
      <c r="K9492" t="s">
        <v>21065</v>
      </c>
      <c r="L9492">
        <v>4354</v>
      </c>
      <c r="M9492" t="s">
        <v>20943</v>
      </c>
      <c r="N9492" t="s">
        <v>30</v>
      </c>
      <c r="O9492" t="s">
        <v>31</v>
      </c>
      <c r="P9492" t="str">
        <f>"15207"</f>
        <v>15207</v>
      </c>
    </row>
    <row r="9493" spans="1:16" x14ac:dyDescent="0.25">
      <c r="A9493" t="str">
        <f>"1150055F00129    00"</f>
        <v>1150055F00129    00</v>
      </c>
      <c r="B9493" t="s">
        <v>21066</v>
      </c>
      <c r="C9493" t="s">
        <v>21067</v>
      </c>
      <c r="D9493" t="s">
        <v>20</v>
      </c>
      <c r="E9493" t="s">
        <v>39</v>
      </c>
      <c r="F9493">
        <v>0</v>
      </c>
      <c r="G9493">
        <v>0</v>
      </c>
      <c r="H9493">
        <v>1</v>
      </c>
      <c r="I9493" s="3">
        <v>991.59</v>
      </c>
      <c r="J9493" s="3">
        <v>0</v>
      </c>
      <c r="K9493" t="s">
        <v>391</v>
      </c>
      <c r="L9493">
        <v>1</v>
      </c>
      <c r="M9493" t="s">
        <v>392</v>
      </c>
      <c r="N9493" t="s">
        <v>393</v>
      </c>
      <c r="O9493" t="s">
        <v>394</v>
      </c>
      <c r="P9493" t="str">
        <f>"50328"</f>
        <v>50328</v>
      </c>
    </row>
    <row r="9494" spans="1:16" x14ac:dyDescent="0.25">
      <c r="A9494" t="str">
        <f>"1150055F00135    00"</f>
        <v>1150055F00135    00</v>
      </c>
      <c r="B9494" t="s">
        <v>21068</v>
      </c>
      <c r="C9494" t="s">
        <v>21069</v>
      </c>
      <c r="D9494" t="s">
        <v>20</v>
      </c>
      <c r="E9494" t="s">
        <v>39</v>
      </c>
      <c r="F9494">
        <v>0</v>
      </c>
      <c r="G9494">
        <v>0</v>
      </c>
      <c r="H9494">
        <v>2</v>
      </c>
      <c r="I9494" s="3">
        <v>1906.04</v>
      </c>
      <c r="J9494" s="3">
        <v>47.65</v>
      </c>
      <c r="L9494">
        <v>4320</v>
      </c>
      <c r="M9494" t="s">
        <v>20677</v>
      </c>
      <c r="N9494" t="s">
        <v>30</v>
      </c>
      <c r="O9494" t="s">
        <v>31</v>
      </c>
      <c r="P9494" t="str">
        <f>"15207"</f>
        <v>15207</v>
      </c>
    </row>
    <row r="9495" spans="1:16" x14ac:dyDescent="0.25">
      <c r="A9495" t="str">
        <f>"1150055F00138    00"</f>
        <v>1150055F00138    00</v>
      </c>
      <c r="B9495" t="s">
        <v>21070</v>
      </c>
      <c r="C9495" t="s">
        <v>21071</v>
      </c>
      <c r="D9495" t="s">
        <v>20</v>
      </c>
      <c r="E9495" t="s">
        <v>39</v>
      </c>
      <c r="F9495">
        <v>0</v>
      </c>
      <c r="G9495">
        <v>0</v>
      </c>
      <c r="H9495">
        <v>2</v>
      </c>
      <c r="I9495" s="3">
        <v>6125.92</v>
      </c>
      <c r="J9495" s="3">
        <v>0</v>
      </c>
      <c r="L9495">
        <v>4314</v>
      </c>
      <c r="M9495" t="s">
        <v>20677</v>
      </c>
      <c r="N9495" t="s">
        <v>30</v>
      </c>
      <c r="O9495" t="s">
        <v>31</v>
      </c>
      <c r="P9495" t="str">
        <f>"15207"</f>
        <v>15207</v>
      </c>
    </row>
    <row r="9496" spans="1:16" x14ac:dyDescent="0.25">
      <c r="A9496" t="str">
        <f>"1150055F00151    00"</f>
        <v>1150055F00151    00</v>
      </c>
      <c r="B9496" t="s">
        <v>20836</v>
      </c>
      <c r="C9496" t="s">
        <v>21072</v>
      </c>
      <c r="D9496" t="s">
        <v>20</v>
      </c>
      <c r="E9496" t="s">
        <v>39</v>
      </c>
      <c r="F9496">
        <v>0</v>
      </c>
      <c r="G9496">
        <v>0</v>
      </c>
      <c r="H9496">
        <v>1</v>
      </c>
      <c r="I9496" s="3">
        <v>1486.7</v>
      </c>
      <c r="J9496" s="3">
        <v>0</v>
      </c>
      <c r="L9496">
        <v>5619</v>
      </c>
      <c r="M9496" t="s">
        <v>2161</v>
      </c>
      <c r="N9496" t="s">
        <v>30</v>
      </c>
      <c r="O9496" t="s">
        <v>31</v>
      </c>
      <c r="P9496" t="str">
        <f>"15217"</f>
        <v>15217</v>
      </c>
    </row>
    <row r="9497" spans="1:16" x14ac:dyDescent="0.25">
      <c r="A9497" t="str">
        <f>"1150055F00164    00"</f>
        <v>1150055F00164    00</v>
      </c>
      <c r="B9497" t="s">
        <v>21073</v>
      </c>
      <c r="C9497" t="s">
        <v>21074</v>
      </c>
      <c r="D9497" t="s">
        <v>20</v>
      </c>
      <c r="E9497" t="s">
        <v>39</v>
      </c>
      <c r="F9497">
        <v>0</v>
      </c>
      <c r="G9497">
        <v>0</v>
      </c>
      <c r="H9497">
        <v>1</v>
      </c>
      <c r="I9497" s="3">
        <v>2954.3</v>
      </c>
      <c r="J9497" s="3">
        <v>0</v>
      </c>
      <c r="L9497">
        <v>4336</v>
      </c>
      <c r="M9497" t="s">
        <v>20847</v>
      </c>
      <c r="N9497" t="s">
        <v>30</v>
      </c>
      <c r="O9497" t="s">
        <v>31</v>
      </c>
      <c r="P9497" t="str">
        <f>"15207"</f>
        <v>15207</v>
      </c>
    </row>
    <row r="9498" spans="1:16" x14ac:dyDescent="0.25">
      <c r="A9498" t="str">
        <f>"1150055F00165    00"</f>
        <v>1150055F00165    00</v>
      </c>
      <c r="B9498" t="s">
        <v>21075</v>
      </c>
      <c r="C9498" t="s">
        <v>21076</v>
      </c>
      <c r="D9498" t="s">
        <v>20</v>
      </c>
      <c r="E9498" t="s">
        <v>39</v>
      </c>
      <c r="F9498">
        <v>0</v>
      </c>
      <c r="G9498">
        <v>0</v>
      </c>
      <c r="H9498">
        <v>2</v>
      </c>
      <c r="I9498" s="3">
        <v>3912.12</v>
      </c>
      <c r="J9498" s="3">
        <v>0</v>
      </c>
      <c r="L9498">
        <v>4330</v>
      </c>
      <c r="M9498" t="s">
        <v>20847</v>
      </c>
      <c r="N9498" t="s">
        <v>30</v>
      </c>
      <c r="O9498" t="s">
        <v>31</v>
      </c>
      <c r="P9498" t="str">
        <f>"15207"</f>
        <v>15207</v>
      </c>
    </row>
    <row r="9499" spans="1:16" x14ac:dyDescent="0.25">
      <c r="A9499" t="str">
        <f>"1150055F00166    00"</f>
        <v>1150055F00166    00</v>
      </c>
      <c r="B9499" t="s">
        <v>20913</v>
      </c>
      <c r="C9499" t="s">
        <v>21077</v>
      </c>
      <c r="D9499" t="s">
        <v>20</v>
      </c>
      <c r="E9499" t="s">
        <v>39</v>
      </c>
      <c r="F9499">
        <v>0</v>
      </c>
      <c r="G9499">
        <v>0</v>
      </c>
      <c r="H9499">
        <v>1</v>
      </c>
      <c r="I9499" s="3">
        <v>1429.5</v>
      </c>
      <c r="J9499" s="3">
        <v>0</v>
      </c>
      <c r="L9499">
        <v>5619</v>
      </c>
      <c r="M9499" t="s">
        <v>2161</v>
      </c>
      <c r="N9499" t="s">
        <v>30</v>
      </c>
      <c r="O9499" t="s">
        <v>31</v>
      </c>
      <c r="P9499" t="str">
        <f>"15217"</f>
        <v>15217</v>
      </c>
    </row>
    <row r="9500" spans="1:16" x14ac:dyDescent="0.25">
      <c r="A9500" t="str">
        <f>"1150055F00235    00"</f>
        <v>1150055F00235    00</v>
      </c>
      <c r="B9500" t="s">
        <v>21078</v>
      </c>
      <c r="C9500" t="s">
        <v>21079</v>
      </c>
      <c r="D9500" t="s">
        <v>20</v>
      </c>
      <c r="E9500" t="s">
        <v>39</v>
      </c>
      <c r="F9500">
        <v>0</v>
      </c>
      <c r="G9500">
        <v>0</v>
      </c>
      <c r="H9500">
        <v>2</v>
      </c>
      <c r="I9500" s="3">
        <v>1896.28</v>
      </c>
      <c r="J9500" s="3">
        <v>0</v>
      </c>
      <c r="L9500">
        <v>355</v>
      </c>
      <c r="M9500" t="s">
        <v>20776</v>
      </c>
      <c r="N9500" t="s">
        <v>30</v>
      </c>
      <c r="O9500" t="s">
        <v>31</v>
      </c>
      <c r="P9500" t="str">
        <f>"15207"</f>
        <v>15207</v>
      </c>
    </row>
    <row r="9501" spans="1:16" x14ac:dyDescent="0.25">
      <c r="A9501" t="str">
        <f>"1150055F00241    00"</f>
        <v>1150055F00241    00</v>
      </c>
      <c r="B9501" t="s">
        <v>21080</v>
      </c>
      <c r="C9501" t="s">
        <v>21081</v>
      </c>
      <c r="D9501" t="s">
        <v>20</v>
      </c>
      <c r="E9501" t="s">
        <v>39</v>
      </c>
      <c r="F9501">
        <v>0</v>
      </c>
      <c r="G9501">
        <v>0</v>
      </c>
      <c r="H9501">
        <v>5</v>
      </c>
      <c r="I9501" s="3">
        <v>10691.75</v>
      </c>
      <c r="J9501" s="3">
        <v>1847.14</v>
      </c>
      <c r="K9501" t="s">
        <v>21082</v>
      </c>
      <c r="L9501">
        <v>343</v>
      </c>
      <c r="M9501" t="s">
        <v>20776</v>
      </c>
      <c r="N9501" t="s">
        <v>30</v>
      </c>
      <c r="O9501" t="s">
        <v>31</v>
      </c>
      <c r="P9501" t="str">
        <f>"15207"</f>
        <v>15207</v>
      </c>
    </row>
    <row r="9502" spans="1:16" x14ac:dyDescent="0.25">
      <c r="A9502" t="str">
        <f>"1150055F00243    00"</f>
        <v>1150055F00243    00</v>
      </c>
      <c r="B9502" t="s">
        <v>21080</v>
      </c>
      <c r="C9502" t="s">
        <v>21081</v>
      </c>
      <c r="D9502" t="s">
        <v>20</v>
      </c>
      <c r="E9502" t="s">
        <v>39</v>
      </c>
      <c r="F9502">
        <v>0</v>
      </c>
      <c r="G9502">
        <v>0</v>
      </c>
      <c r="H9502">
        <v>5</v>
      </c>
      <c r="I9502" s="3">
        <v>1799.29</v>
      </c>
      <c r="J9502" s="3">
        <v>310.85000000000002</v>
      </c>
      <c r="K9502" t="s">
        <v>21082</v>
      </c>
      <c r="L9502">
        <v>343</v>
      </c>
      <c r="M9502" t="s">
        <v>20776</v>
      </c>
      <c r="N9502" t="s">
        <v>30</v>
      </c>
      <c r="O9502" t="s">
        <v>31</v>
      </c>
      <c r="P9502" t="str">
        <f>"15207"</f>
        <v>15207</v>
      </c>
    </row>
    <row r="9503" spans="1:16" x14ac:dyDescent="0.25">
      <c r="A9503" t="str">
        <f>"1150055F00335    00"</f>
        <v>1150055F00335    00</v>
      </c>
      <c r="B9503" t="s">
        <v>21083</v>
      </c>
      <c r="C9503" t="s">
        <v>21084</v>
      </c>
      <c r="D9503" t="s">
        <v>20</v>
      </c>
      <c r="E9503" t="s">
        <v>39</v>
      </c>
      <c r="F9503">
        <v>0</v>
      </c>
      <c r="G9503">
        <v>0</v>
      </c>
      <c r="H9503">
        <v>5</v>
      </c>
      <c r="I9503" s="3">
        <v>7969.44</v>
      </c>
      <c r="J9503" s="3">
        <v>1376.83</v>
      </c>
      <c r="L9503">
        <v>17</v>
      </c>
      <c r="M9503" t="s">
        <v>21085</v>
      </c>
      <c r="N9503" t="s">
        <v>30</v>
      </c>
      <c r="O9503" t="s">
        <v>31</v>
      </c>
      <c r="P9503" t="str">
        <f>"15207"</f>
        <v>15207</v>
      </c>
    </row>
    <row r="9504" spans="1:16" x14ac:dyDescent="0.25">
      <c r="A9504" t="str">
        <f>"1150055G00022    00"</f>
        <v>1150055G00022    00</v>
      </c>
      <c r="B9504" t="s">
        <v>21086</v>
      </c>
      <c r="C9504" t="s">
        <v>21087</v>
      </c>
      <c r="D9504" t="s">
        <v>20</v>
      </c>
      <c r="E9504" t="s">
        <v>39</v>
      </c>
      <c r="F9504">
        <v>0</v>
      </c>
      <c r="G9504">
        <v>0</v>
      </c>
      <c r="H9504">
        <v>2</v>
      </c>
      <c r="I9504" s="3">
        <v>3686.22</v>
      </c>
      <c r="J9504" s="3">
        <v>0</v>
      </c>
      <c r="K9504" t="s">
        <v>881</v>
      </c>
      <c r="L9504">
        <v>3001</v>
      </c>
      <c r="M9504" t="s">
        <v>330</v>
      </c>
      <c r="N9504" t="s">
        <v>331</v>
      </c>
      <c r="O9504" t="s">
        <v>108</v>
      </c>
      <c r="P9504" t="str">
        <f>"75063"</f>
        <v>75063</v>
      </c>
    </row>
    <row r="9505" spans="1:16" x14ac:dyDescent="0.25">
      <c r="A9505" t="str">
        <f>"1150055G00083    00"</f>
        <v>1150055G00083    00</v>
      </c>
      <c r="B9505" t="s">
        <v>21088</v>
      </c>
      <c r="C9505" t="s">
        <v>21089</v>
      </c>
      <c r="E9505" t="s">
        <v>39</v>
      </c>
      <c r="F9505">
        <v>0</v>
      </c>
      <c r="G9505">
        <v>0</v>
      </c>
      <c r="H9505">
        <v>5</v>
      </c>
      <c r="I9505" s="3">
        <v>8044.25</v>
      </c>
      <c r="J9505" s="3">
        <v>2998.73</v>
      </c>
      <c r="L9505">
        <v>4362</v>
      </c>
      <c r="M9505" t="s">
        <v>20861</v>
      </c>
      <c r="N9505" t="s">
        <v>30</v>
      </c>
      <c r="O9505" t="s">
        <v>31</v>
      </c>
      <c r="P9505" t="str">
        <f>"15207"</f>
        <v>15207</v>
      </c>
    </row>
    <row r="9506" spans="1:16" x14ac:dyDescent="0.25">
      <c r="A9506" t="str">
        <f>"1150055G00101    00"</f>
        <v>1150055G00101    00</v>
      </c>
      <c r="B9506" t="s">
        <v>21090</v>
      </c>
      <c r="C9506" t="s">
        <v>21091</v>
      </c>
      <c r="D9506" t="s">
        <v>20</v>
      </c>
      <c r="E9506" t="s">
        <v>39</v>
      </c>
      <c r="F9506">
        <v>0</v>
      </c>
      <c r="G9506">
        <v>0</v>
      </c>
      <c r="H9506">
        <v>1</v>
      </c>
      <c r="I9506" s="3">
        <v>30.69</v>
      </c>
      <c r="J9506" s="3">
        <v>0</v>
      </c>
      <c r="K9506" t="s">
        <v>21092</v>
      </c>
      <c r="L9506">
        <v>4316</v>
      </c>
      <c r="M9506" t="s">
        <v>20861</v>
      </c>
      <c r="N9506" t="s">
        <v>30</v>
      </c>
      <c r="O9506" t="s">
        <v>31</v>
      </c>
      <c r="P9506" t="str">
        <f>"15207"</f>
        <v>15207</v>
      </c>
    </row>
    <row r="9507" spans="1:16" x14ac:dyDescent="0.25">
      <c r="A9507" t="str">
        <f>"1150055G00129    00"</f>
        <v>1150055G00129    00</v>
      </c>
      <c r="B9507" t="s">
        <v>21093</v>
      </c>
      <c r="C9507" t="s">
        <v>21094</v>
      </c>
      <c r="D9507" t="s">
        <v>20</v>
      </c>
      <c r="E9507" t="s">
        <v>39</v>
      </c>
      <c r="F9507">
        <v>0</v>
      </c>
      <c r="G9507">
        <v>0</v>
      </c>
      <c r="H9507">
        <v>2</v>
      </c>
      <c r="I9507" s="3">
        <v>5161.4799999999996</v>
      </c>
      <c r="J9507" s="3">
        <v>0</v>
      </c>
      <c r="L9507">
        <v>4353</v>
      </c>
      <c r="M9507" t="s">
        <v>20861</v>
      </c>
      <c r="N9507" t="s">
        <v>30</v>
      </c>
      <c r="O9507" t="s">
        <v>31</v>
      </c>
      <c r="P9507" t="str">
        <f>"15207"</f>
        <v>15207</v>
      </c>
    </row>
    <row r="9508" spans="1:16" x14ac:dyDescent="0.25">
      <c r="A9508" t="str">
        <f>"1150055G00170A   00"</f>
        <v>1150055G00170A   00</v>
      </c>
      <c r="B9508" t="s">
        <v>21095</v>
      </c>
      <c r="C9508" t="s">
        <v>21096</v>
      </c>
      <c r="D9508" t="s">
        <v>20</v>
      </c>
      <c r="E9508" t="s">
        <v>39</v>
      </c>
      <c r="F9508">
        <v>0</v>
      </c>
      <c r="G9508">
        <v>0</v>
      </c>
      <c r="H9508">
        <v>2</v>
      </c>
      <c r="I9508" s="3">
        <v>2863.16</v>
      </c>
      <c r="J9508" s="3">
        <v>0</v>
      </c>
      <c r="K9508" t="s">
        <v>2302</v>
      </c>
      <c r="L9508">
        <v>3001</v>
      </c>
      <c r="M9508" t="s">
        <v>330</v>
      </c>
      <c r="N9508" t="s">
        <v>331</v>
      </c>
      <c r="O9508" t="s">
        <v>108</v>
      </c>
      <c r="P9508" t="str">
        <f>"75063"</f>
        <v>75063</v>
      </c>
    </row>
    <row r="9509" spans="1:16" x14ac:dyDescent="0.25">
      <c r="A9509" t="str">
        <f>"1150055G00180A   00"</f>
        <v>1150055G00180A   00</v>
      </c>
      <c r="B9509" t="s">
        <v>21097</v>
      </c>
      <c r="C9509" t="s">
        <v>21098</v>
      </c>
      <c r="D9509" t="s">
        <v>57</v>
      </c>
      <c r="E9509" t="s">
        <v>39</v>
      </c>
      <c r="F9509">
        <v>0</v>
      </c>
      <c r="G9509">
        <v>0</v>
      </c>
      <c r="H9509">
        <v>1</v>
      </c>
      <c r="I9509" s="3">
        <v>505.34</v>
      </c>
      <c r="J9509" s="3">
        <v>0</v>
      </c>
      <c r="L9509">
        <v>4321</v>
      </c>
      <c r="M9509" t="s">
        <v>21015</v>
      </c>
      <c r="N9509" t="s">
        <v>30</v>
      </c>
      <c r="O9509" t="s">
        <v>31</v>
      </c>
      <c r="P9509" t="str">
        <f>"15217"</f>
        <v>15217</v>
      </c>
    </row>
    <row r="9510" spans="1:16" x14ac:dyDescent="0.25">
      <c r="A9510" t="str">
        <f>"1150055G00232    00"</f>
        <v>1150055G00232    00</v>
      </c>
      <c r="B9510" t="s">
        <v>21099</v>
      </c>
      <c r="C9510" t="s">
        <v>21100</v>
      </c>
      <c r="E9510" t="s">
        <v>39</v>
      </c>
      <c r="F9510">
        <v>0</v>
      </c>
      <c r="G9510">
        <v>0</v>
      </c>
      <c r="H9510">
        <v>2</v>
      </c>
      <c r="I9510" s="3">
        <v>4649.38</v>
      </c>
      <c r="J9510" s="3">
        <v>355.26</v>
      </c>
      <c r="K9510" t="s">
        <v>21101</v>
      </c>
      <c r="L9510">
        <v>4317</v>
      </c>
      <c r="M9510" t="s">
        <v>21012</v>
      </c>
      <c r="N9510" t="s">
        <v>30</v>
      </c>
      <c r="O9510" t="s">
        <v>31</v>
      </c>
      <c r="P9510" t="str">
        <f>"15217"</f>
        <v>15217</v>
      </c>
    </row>
    <row r="9511" spans="1:16" x14ac:dyDescent="0.25">
      <c r="A9511" t="str">
        <f>"1150055G00280    00"</f>
        <v>1150055G00280    00</v>
      </c>
      <c r="B9511" t="s">
        <v>21102</v>
      </c>
      <c r="C9511" t="s">
        <v>21103</v>
      </c>
      <c r="D9511" t="s">
        <v>20</v>
      </c>
      <c r="E9511" t="s">
        <v>39</v>
      </c>
      <c r="F9511">
        <v>0</v>
      </c>
      <c r="G9511">
        <v>0</v>
      </c>
      <c r="H9511">
        <v>1</v>
      </c>
      <c r="I9511" s="3">
        <v>1999.88</v>
      </c>
      <c r="J9511" s="3">
        <v>0</v>
      </c>
      <c r="K9511" t="s">
        <v>21104</v>
      </c>
      <c r="L9511">
        <v>566</v>
      </c>
      <c r="M9511" t="s">
        <v>20776</v>
      </c>
      <c r="N9511" t="s">
        <v>30</v>
      </c>
      <c r="O9511" t="s">
        <v>31</v>
      </c>
      <c r="P9511" t="str">
        <f>"15207"</f>
        <v>15207</v>
      </c>
    </row>
    <row r="9512" spans="1:16" x14ac:dyDescent="0.25">
      <c r="A9512" t="str">
        <f>"1150055H00039    00"</f>
        <v>1150055H00039    00</v>
      </c>
      <c r="B9512" t="s">
        <v>21105</v>
      </c>
      <c r="C9512" t="s">
        <v>21106</v>
      </c>
      <c r="D9512" t="s">
        <v>20</v>
      </c>
      <c r="E9512" t="s">
        <v>39</v>
      </c>
      <c r="F9512">
        <v>0</v>
      </c>
      <c r="G9512">
        <v>0</v>
      </c>
      <c r="H9512">
        <v>1</v>
      </c>
      <c r="I9512" s="3">
        <v>1593.43</v>
      </c>
      <c r="J9512" s="3">
        <v>0</v>
      </c>
      <c r="K9512" t="s">
        <v>21107</v>
      </c>
      <c r="L9512">
        <v>6522</v>
      </c>
      <c r="M9512" t="s">
        <v>19254</v>
      </c>
      <c r="N9512" t="s">
        <v>30</v>
      </c>
      <c r="O9512" t="s">
        <v>31</v>
      </c>
      <c r="P9512" t="str">
        <f t="shared" ref="P9512:P9517" si="109">"15217"</f>
        <v>15217</v>
      </c>
    </row>
    <row r="9513" spans="1:16" x14ac:dyDescent="0.25">
      <c r="A9513" t="str">
        <f>"1150055H00090    00"</f>
        <v>1150055H00090    00</v>
      </c>
      <c r="B9513" t="s">
        <v>21108</v>
      </c>
      <c r="C9513" t="s">
        <v>21109</v>
      </c>
      <c r="D9513" t="s">
        <v>20</v>
      </c>
      <c r="E9513" t="s">
        <v>39</v>
      </c>
      <c r="F9513">
        <v>0</v>
      </c>
      <c r="G9513">
        <v>0</v>
      </c>
      <c r="H9513">
        <v>3</v>
      </c>
      <c r="I9513" s="3">
        <v>6529.95</v>
      </c>
      <c r="J9513" s="3">
        <v>435.31</v>
      </c>
      <c r="L9513">
        <v>701</v>
      </c>
      <c r="M9513" t="s">
        <v>20161</v>
      </c>
      <c r="N9513" t="s">
        <v>30</v>
      </c>
      <c r="O9513" t="s">
        <v>31</v>
      </c>
      <c r="P9513" t="str">
        <f t="shared" si="109"/>
        <v>15217</v>
      </c>
    </row>
    <row r="9514" spans="1:16" x14ac:dyDescent="0.25">
      <c r="A9514" t="str">
        <f>"1150055H00110    00"</f>
        <v>1150055H00110    00</v>
      </c>
      <c r="B9514" t="s">
        <v>21110</v>
      </c>
      <c r="C9514" t="s">
        <v>21111</v>
      </c>
      <c r="E9514" t="s">
        <v>39</v>
      </c>
      <c r="F9514">
        <v>0</v>
      </c>
      <c r="G9514">
        <v>0</v>
      </c>
      <c r="H9514">
        <v>1</v>
      </c>
      <c r="I9514" s="3">
        <v>439.88</v>
      </c>
      <c r="J9514" s="3">
        <v>0</v>
      </c>
      <c r="L9514">
        <v>663</v>
      </c>
      <c r="M9514" t="s">
        <v>21112</v>
      </c>
      <c r="N9514" t="s">
        <v>30</v>
      </c>
      <c r="O9514" t="s">
        <v>31</v>
      </c>
      <c r="P9514" t="str">
        <f t="shared" si="109"/>
        <v>15217</v>
      </c>
    </row>
    <row r="9515" spans="1:16" x14ac:dyDescent="0.25">
      <c r="A9515" t="str">
        <f>"1150055H00130    00"</f>
        <v>1150055H00130    00</v>
      </c>
      <c r="B9515" t="s">
        <v>21108</v>
      </c>
      <c r="C9515" t="s">
        <v>21113</v>
      </c>
      <c r="D9515" t="s">
        <v>20</v>
      </c>
      <c r="E9515" t="s">
        <v>39</v>
      </c>
      <c r="F9515">
        <v>0</v>
      </c>
      <c r="G9515">
        <v>0</v>
      </c>
      <c r="H9515">
        <v>3</v>
      </c>
      <c r="I9515" s="3">
        <v>51.48</v>
      </c>
      <c r="J9515" s="3">
        <v>3.44</v>
      </c>
      <c r="L9515">
        <v>701</v>
      </c>
      <c r="M9515" t="s">
        <v>20161</v>
      </c>
      <c r="N9515" t="s">
        <v>30</v>
      </c>
      <c r="O9515" t="s">
        <v>31</v>
      </c>
      <c r="P9515" t="str">
        <f t="shared" si="109"/>
        <v>15217</v>
      </c>
    </row>
    <row r="9516" spans="1:16" x14ac:dyDescent="0.25">
      <c r="A9516" t="str">
        <f>"1150055H00131    00"</f>
        <v>1150055H00131    00</v>
      </c>
      <c r="B9516" t="s">
        <v>21108</v>
      </c>
      <c r="C9516" t="s">
        <v>21113</v>
      </c>
      <c r="D9516" t="s">
        <v>20</v>
      </c>
      <c r="E9516" t="s">
        <v>39</v>
      </c>
      <c r="F9516">
        <v>0</v>
      </c>
      <c r="G9516">
        <v>0</v>
      </c>
      <c r="H9516">
        <v>3</v>
      </c>
      <c r="I9516" s="3">
        <v>4711.68</v>
      </c>
      <c r="J9516" s="3">
        <v>314.10000000000002</v>
      </c>
      <c r="L9516">
        <v>701</v>
      </c>
      <c r="M9516" t="s">
        <v>20161</v>
      </c>
      <c r="N9516" t="s">
        <v>30</v>
      </c>
      <c r="O9516" t="s">
        <v>31</v>
      </c>
      <c r="P9516" t="str">
        <f t="shared" si="109"/>
        <v>15217</v>
      </c>
    </row>
    <row r="9517" spans="1:16" x14ac:dyDescent="0.25">
      <c r="A9517" t="str">
        <f>"1150055H00140    00"</f>
        <v>1150055H00140    00</v>
      </c>
      <c r="B9517" t="s">
        <v>21114</v>
      </c>
      <c r="C9517" t="s">
        <v>21115</v>
      </c>
      <c r="D9517" t="s">
        <v>20</v>
      </c>
      <c r="E9517" t="s">
        <v>39</v>
      </c>
      <c r="F9517">
        <v>0</v>
      </c>
      <c r="G9517">
        <v>0</v>
      </c>
      <c r="H9517">
        <v>2</v>
      </c>
      <c r="I9517" s="3">
        <v>894.13</v>
      </c>
      <c r="J9517" s="3">
        <v>0</v>
      </c>
      <c r="L9517">
        <v>700</v>
      </c>
      <c r="M9517" t="s">
        <v>21112</v>
      </c>
      <c r="N9517" t="s">
        <v>30</v>
      </c>
      <c r="O9517" t="s">
        <v>31</v>
      </c>
      <c r="P9517" t="str">
        <f t="shared" si="109"/>
        <v>15217</v>
      </c>
    </row>
    <row r="9518" spans="1:16" x14ac:dyDescent="0.25">
      <c r="A9518" t="str">
        <f>"1150055H00209    00"</f>
        <v>1150055H00209    00</v>
      </c>
      <c r="B9518" t="s">
        <v>21116</v>
      </c>
      <c r="C9518" t="s">
        <v>21117</v>
      </c>
      <c r="E9518" t="s">
        <v>39</v>
      </c>
      <c r="F9518">
        <v>0</v>
      </c>
      <c r="G9518">
        <v>0</v>
      </c>
      <c r="H9518">
        <v>2</v>
      </c>
      <c r="I9518" s="3">
        <v>2838.52</v>
      </c>
      <c r="J9518" s="3">
        <v>389.88</v>
      </c>
      <c r="L9518">
        <v>647</v>
      </c>
      <c r="M9518" t="s">
        <v>20776</v>
      </c>
      <c r="N9518" t="s">
        <v>30</v>
      </c>
      <c r="O9518" t="s">
        <v>31</v>
      </c>
      <c r="P9518" t="str">
        <f>"15207"</f>
        <v>15207</v>
      </c>
    </row>
    <row r="9519" spans="1:16" x14ac:dyDescent="0.25">
      <c r="A9519" t="str">
        <f>"1150055H00274    00"</f>
        <v>1150055H00274    00</v>
      </c>
      <c r="B9519" t="s">
        <v>21118</v>
      </c>
      <c r="C9519" t="s">
        <v>21119</v>
      </c>
      <c r="D9519" t="s">
        <v>20</v>
      </c>
      <c r="E9519" t="s">
        <v>39</v>
      </c>
      <c r="F9519">
        <v>0</v>
      </c>
      <c r="G9519">
        <v>0</v>
      </c>
      <c r="H9519">
        <v>2</v>
      </c>
      <c r="I9519" s="3">
        <v>324.04000000000002</v>
      </c>
      <c r="J9519" s="3">
        <v>0</v>
      </c>
      <c r="K9519" t="s">
        <v>8122</v>
      </c>
      <c r="L9519">
        <v>999</v>
      </c>
      <c r="M9519" t="s">
        <v>8123</v>
      </c>
      <c r="N9519" t="s">
        <v>8124</v>
      </c>
      <c r="O9519" t="s">
        <v>658</v>
      </c>
      <c r="P9519" t="str">
        <f>"73118"</f>
        <v>73118</v>
      </c>
    </row>
    <row r="9520" spans="1:16" x14ac:dyDescent="0.25">
      <c r="A9520" t="str">
        <f>"1150055H00275    00"</f>
        <v>1150055H00275    00</v>
      </c>
      <c r="B9520" t="s">
        <v>21118</v>
      </c>
      <c r="C9520" t="s">
        <v>21119</v>
      </c>
      <c r="D9520" t="s">
        <v>20</v>
      </c>
      <c r="E9520" t="s">
        <v>39</v>
      </c>
      <c r="F9520">
        <v>0</v>
      </c>
      <c r="G9520">
        <v>0</v>
      </c>
      <c r="H9520">
        <v>2</v>
      </c>
      <c r="I9520" s="3">
        <v>320.2</v>
      </c>
      <c r="J9520" s="3">
        <v>0</v>
      </c>
      <c r="K9520" t="s">
        <v>8122</v>
      </c>
      <c r="L9520">
        <v>999</v>
      </c>
      <c r="M9520" t="s">
        <v>8123</v>
      </c>
      <c r="N9520" t="s">
        <v>8124</v>
      </c>
      <c r="O9520" t="s">
        <v>658</v>
      </c>
      <c r="P9520" t="str">
        <f>"73118"</f>
        <v>73118</v>
      </c>
    </row>
    <row r="9521" spans="1:16" x14ac:dyDescent="0.25">
      <c r="A9521" t="str">
        <f>"1150055H00276    00"</f>
        <v>1150055H00276    00</v>
      </c>
      <c r="B9521" t="s">
        <v>21118</v>
      </c>
      <c r="C9521" t="s">
        <v>21120</v>
      </c>
      <c r="E9521" t="s">
        <v>39</v>
      </c>
      <c r="F9521">
        <v>0</v>
      </c>
      <c r="G9521">
        <v>0</v>
      </c>
      <c r="H9521">
        <v>1</v>
      </c>
      <c r="I9521" s="3">
        <v>250</v>
      </c>
      <c r="J9521" s="3">
        <v>0</v>
      </c>
      <c r="L9521">
        <v>641</v>
      </c>
      <c r="M9521" t="s">
        <v>21121</v>
      </c>
      <c r="N9521" t="s">
        <v>30</v>
      </c>
      <c r="O9521" t="s">
        <v>31</v>
      </c>
      <c r="P9521" t="str">
        <f>"15207"</f>
        <v>15207</v>
      </c>
    </row>
    <row r="9522" spans="1:16" x14ac:dyDescent="0.25">
      <c r="A9522" t="str">
        <f>"1150055H00297    00"</f>
        <v>1150055H00297    00</v>
      </c>
      <c r="B9522" t="s">
        <v>21122</v>
      </c>
      <c r="C9522" t="s">
        <v>21123</v>
      </c>
      <c r="D9522" t="s">
        <v>20</v>
      </c>
      <c r="E9522" t="s">
        <v>39</v>
      </c>
      <c r="F9522">
        <v>0</v>
      </c>
      <c r="G9522">
        <v>0</v>
      </c>
      <c r="H9522">
        <v>2</v>
      </c>
      <c r="I9522" s="3">
        <v>4064.6</v>
      </c>
      <c r="J9522" s="3">
        <v>0</v>
      </c>
      <c r="L9522">
        <v>617</v>
      </c>
      <c r="M9522" t="s">
        <v>21121</v>
      </c>
      <c r="N9522" t="s">
        <v>30</v>
      </c>
      <c r="O9522" t="s">
        <v>31</v>
      </c>
      <c r="P9522" t="str">
        <f>"15207"</f>
        <v>15207</v>
      </c>
    </row>
    <row r="9523" spans="1:16" x14ac:dyDescent="0.25">
      <c r="A9523" t="str">
        <f>"1150055J00174    00"</f>
        <v>1150055J00174    00</v>
      </c>
      <c r="B9523" t="s">
        <v>21124</v>
      </c>
      <c r="C9523" t="s">
        <v>21125</v>
      </c>
      <c r="D9523" t="s">
        <v>20</v>
      </c>
      <c r="E9523" t="s">
        <v>39</v>
      </c>
      <c r="F9523">
        <v>0</v>
      </c>
      <c r="G9523">
        <v>0</v>
      </c>
      <c r="H9523">
        <v>2</v>
      </c>
      <c r="I9523" s="3">
        <v>37.32</v>
      </c>
      <c r="J9523" s="3">
        <v>6.24</v>
      </c>
      <c r="K9523" t="s">
        <v>21126</v>
      </c>
      <c r="L9523">
        <v>214</v>
      </c>
      <c r="M9523" t="s">
        <v>21127</v>
      </c>
      <c r="N9523" t="s">
        <v>30</v>
      </c>
      <c r="O9523" t="s">
        <v>31</v>
      </c>
      <c r="P9523" t="str">
        <f>"15207"</f>
        <v>15207</v>
      </c>
    </row>
    <row r="9524" spans="1:16" x14ac:dyDescent="0.25">
      <c r="A9524" t="str">
        <f>"1150055K00250    00"</f>
        <v>1150055K00250    00</v>
      </c>
      <c r="B9524" t="s">
        <v>21128</v>
      </c>
      <c r="C9524" t="s">
        <v>21062</v>
      </c>
      <c r="E9524" t="s">
        <v>39</v>
      </c>
      <c r="F9524">
        <v>0</v>
      </c>
      <c r="G9524">
        <v>0</v>
      </c>
      <c r="H9524">
        <v>1</v>
      </c>
      <c r="I9524" s="3">
        <v>69.39</v>
      </c>
      <c r="J9524" s="3">
        <v>27.75</v>
      </c>
      <c r="L9524">
        <v>3500</v>
      </c>
      <c r="M9524" t="s">
        <v>21129</v>
      </c>
      <c r="N9524" t="s">
        <v>21130</v>
      </c>
      <c r="O9524" t="s">
        <v>31</v>
      </c>
      <c r="P9524" t="str">
        <f t="shared" ref="P9524:P9532" si="110">"15120"</f>
        <v>15120</v>
      </c>
    </row>
    <row r="9525" spans="1:16" x14ac:dyDescent="0.25">
      <c r="A9525" t="str">
        <f>"1150055K00349    00"</f>
        <v>1150055K00349    00</v>
      </c>
      <c r="B9525" t="s">
        <v>21128</v>
      </c>
      <c r="C9525" t="s">
        <v>21131</v>
      </c>
      <c r="E9525" t="s">
        <v>39</v>
      </c>
      <c r="F9525">
        <v>0</v>
      </c>
      <c r="G9525">
        <v>0</v>
      </c>
      <c r="H9525">
        <v>3</v>
      </c>
      <c r="I9525" s="3">
        <v>120.03</v>
      </c>
      <c r="J9525" s="3">
        <v>59.66</v>
      </c>
      <c r="L9525">
        <v>3500</v>
      </c>
      <c r="M9525" t="s">
        <v>21129</v>
      </c>
      <c r="N9525" t="s">
        <v>21130</v>
      </c>
      <c r="O9525" t="s">
        <v>31</v>
      </c>
      <c r="P9525" t="str">
        <f t="shared" si="110"/>
        <v>15120</v>
      </c>
    </row>
    <row r="9526" spans="1:16" x14ac:dyDescent="0.25">
      <c r="A9526" t="str">
        <f>"1150055K00353    00"</f>
        <v>1150055K00353    00</v>
      </c>
      <c r="B9526" t="s">
        <v>21128</v>
      </c>
      <c r="C9526" t="s">
        <v>21131</v>
      </c>
      <c r="E9526" t="s">
        <v>39</v>
      </c>
      <c r="F9526">
        <v>0</v>
      </c>
      <c r="G9526">
        <v>0</v>
      </c>
      <c r="H9526">
        <v>3</v>
      </c>
      <c r="I9526" s="3">
        <v>136.41999999999999</v>
      </c>
      <c r="J9526" s="3">
        <v>67.8</v>
      </c>
      <c r="L9526">
        <v>3500</v>
      </c>
      <c r="M9526" t="s">
        <v>21129</v>
      </c>
      <c r="N9526" t="s">
        <v>21130</v>
      </c>
      <c r="O9526" t="s">
        <v>31</v>
      </c>
      <c r="P9526" t="str">
        <f t="shared" si="110"/>
        <v>15120</v>
      </c>
    </row>
    <row r="9527" spans="1:16" x14ac:dyDescent="0.25">
      <c r="A9527" t="str">
        <f>"1150055K00356    00"</f>
        <v>1150055K00356    00</v>
      </c>
      <c r="B9527" t="s">
        <v>21128</v>
      </c>
      <c r="C9527" t="s">
        <v>21131</v>
      </c>
      <c r="E9527" t="s">
        <v>39</v>
      </c>
      <c r="F9527">
        <v>0</v>
      </c>
      <c r="G9527">
        <v>0</v>
      </c>
      <c r="H9527">
        <v>1</v>
      </c>
      <c r="I9527" s="3">
        <v>20.100000000000001</v>
      </c>
      <c r="J9527" s="3">
        <v>8.0399999999999991</v>
      </c>
      <c r="L9527">
        <v>3500</v>
      </c>
      <c r="M9527" t="s">
        <v>21129</v>
      </c>
      <c r="N9527" t="s">
        <v>21130</v>
      </c>
      <c r="O9527" t="s">
        <v>31</v>
      </c>
      <c r="P9527" t="str">
        <f t="shared" si="110"/>
        <v>15120</v>
      </c>
    </row>
    <row r="9528" spans="1:16" x14ac:dyDescent="0.25">
      <c r="A9528" t="str">
        <f>"1150055K00357    00"</f>
        <v>1150055K00357    00</v>
      </c>
      <c r="B9528" t="s">
        <v>21128</v>
      </c>
      <c r="C9528" t="s">
        <v>21131</v>
      </c>
      <c r="E9528" t="s">
        <v>39</v>
      </c>
      <c r="F9528">
        <v>0</v>
      </c>
      <c r="G9528">
        <v>0</v>
      </c>
      <c r="H9528">
        <v>1</v>
      </c>
      <c r="I9528" s="3">
        <v>20.100000000000001</v>
      </c>
      <c r="J9528" s="3">
        <v>8.0399999999999991</v>
      </c>
      <c r="L9528">
        <v>3500</v>
      </c>
      <c r="M9528" t="s">
        <v>21129</v>
      </c>
      <c r="N9528" t="s">
        <v>21130</v>
      </c>
      <c r="O9528" t="s">
        <v>31</v>
      </c>
      <c r="P9528" t="str">
        <f t="shared" si="110"/>
        <v>15120</v>
      </c>
    </row>
    <row r="9529" spans="1:16" x14ac:dyDescent="0.25">
      <c r="A9529" t="str">
        <f>"1150055K00358    00"</f>
        <v>1150055K00358    00</v>
      </c>
      <c r="B9529" t="s">
        <v>21128</v>
      </c>
      <c r="C9529" t="s">
        <v>21131</v>
      </c>
      <c r="E9529" t="s">
        <v>39</v>
      </c>
      <c r="F9529">
        <v>0</v>
      </c>
      <c r="G9529">
        <v>0</v>
      </c>
      <c r="H9529">
        <v>14</v>
      </c>
      <c r="I9529" s="3">
        <v>673.05</v>
      </c>
      <c r="J9529" s="3">
        <v>737.73</v>
      </c>
      <c r="L9529">
        <v>3500</v>
      </c>
      <c r="M9529" t="s">
        <v>21129</v>
      </c>
      <c r="N9529" t="s">
        <v>21130</v>
      </c>
      <c r="O9529" t="s">
        <v>31</v>
      </c>
      <c r="P9529" t="str">
        <f t="shared" si="110"/>
        <v>15120</v>
      </c>
    </row>
    <row r="9530" spans="1:16" x14ac:dyDescent="0.25">
      <c r="A9530" t="str">
        <f>"1150055K00360    00"</f>
        <v>1150055K00360    00</v>
      </c>
      <c r="B9530" t="s">
        <v>21128</v>
      </c>
      <c r="C9530" t="s">
        <v>21131</v>
      </c>
      <c r="E9530" t="s">
        <v>39</v>
      </c>
      <c r="F9530">
        <v>0</v>
      </c>
      <c r="G9530">
        <v>0</v>
      </c>
      <c r="H9530">
        <v>1</v>
      </c>
      <c r="I9530" s="3">
        <v>20.100000000000001</v>
      </c>
      <c r="J9530" s="3">
        <v>8.0399999999999991</v>
      </c>
      <c r="L9530">
        <v>3500</v>
      </c>
      <c r="M9530" t="s">
        <v>21129</v>
      </c>
      <c r="N9530" t="s">
        <v>21130</v>
      </c>
      <c r="O9530" t="s">
        <v>31</v>
      </c>
      <c r="P9530" t="str">
        <f t="shared" si="110"/>
        <v>15120</v>
      </c>
    </row>
    <row r="9531" spans="1:16" x14ac:dyDescent="0.25">
      <c r="A9531" t="str">
        <f>"1150055K00362    00"</f>
        <v>1150055K00362    00</v>
      </c>
      <c r="B9531" t="s">
        <v>21128</v>
      </c>
      <c r="C9531" t="s">
        <v>21131</v>
      </c>
      <c r="E9531" t="s">
        <v>39</v>
      </c>
      <c r="F9531">
        <v>0</v>
      </c>
      <c r="G9531">
        <v>0</v>
      </c>
      <c r="H9531">
        <v>12</v>
      </c>
      <c r="I9531" s="3">
        <v>484.84</v>
      </c>
      <c r="J9531" s="3">
        <v>462.39</v>
      </c>
      <c r="L9531">
        <v>3500</v>
      </c>
      <c r="M9531" t="s">
        <v>21129</v>
      </c>
      <c r="N9531" t="s">
        <v>21130</v>
      </c>
      <c r="O9531" t="s">
        <v>31</v>
      </c>
      <c r="P9531" t="str">
        <f t="shared" si="110"/>
        <v>15120</v>
      </c>
    </row>
    <row r="9532" spans="1:16" x14ac:dyDescent="0.25">
      <c r="A9532" t="str">
        <f>"1150055K00364    00"</f>
        <v>1150055K00364    00</v>
      </c>
      <c r="B9532" t="s">
        <v>21128</v>
      </c>
      <c r="C9532" t="s">
        <v>21131</v>
      </c>
      <c r="E9532" t="s">
        <v>39</v>
      </c>
      <c r="F9532">
        <v>0</v>
      </c>
      <c r="G9532">
        <v>0</v>
      </c>
      <c r="H9532">
        <v>1</v>
      </c>
      <c r="I9532" s="3">
        <v>20.100000000000001</v>
      </c>
      <c r="J9532" s="3">
        <v>8.0399999999999991</v>
      </c>
      <c r="L9532">
        <v>3500</v>
      </c>
      <c r="M9532" t="s">
        <v>21129</v>
      </c>
      <c r="N9532" t="s">
        <v>21130</v>
      </c>
      <c r="O9532" t="s">
        <v>31</v>
      </c>
      <c r="P9532" t="str">
        <f t="shared" si="110"/>
        <v>15120</v>
      </c>
    </row>
    <row r="9533" spans="1:16" x14ac:dyDescent="0.25">
      <c r="A9533" t="str">
        <f>"1150055K00371    00"</f>
        <v>1150055K00371    00</v>
      </c>
      <c r="B9533" t="s">
        <v>21132</v>
      </c>
      <c r="C9533" t="s">
        <v>21133</v>
      </c>
      <c r="E9533" t="s">
        <v>39</v>
      </c>
      <c r="F9533">
        <v>0</v>
      </c>
      <c r="G9533">
        <v>0</v>
      </c>
      <c r="H9533">
        <v>1</v>
      </c>
      <c r="I9533" s="3">
        <v>117.91</v>
      </c>
      <c r="J9533" s="3">
        <v>174.94</v>
      </c>
      <c r="K9533" t="s">
        <v>1008</v>
      </c>
      <c r="P9533" t="str">
        <f>""</f>
        <v/>
      </c>
    </row>
    <row r="9534" spans="1:16" x14ac:dyDescent="0.25">
      <c r="A9534" t="str">
        <f>"1150055L00033    00"</f>
        <v>1150055L00033    00</v>
      </c>
      <c r="B9534" t="s">
        <v>21134</v>
      </c>
      <c r="C9534" t="s">
        <v>21135</v>
      </c>
      <c r="D9534" t="s">
        <v>20</v>
      </c>
      <c r="E9534" t="s">
        <v>39</v>
      </c>
      <c r="F9534">
        <v>0</v>
      </c>
      <c r="G9534">
        <v>0</v>
      </c>
      <c r="H9534">
        <v>1</v>
      </c>
      <c r="I9534" s="3">
        <v>20.12</v>
      </c>
      <c r="J9534" s="3">
        <v>0</v>
      </c>
      <c r="L9534">
        <v>554</v>
      </c>
      <c r="M9534" t="s">
        <v>21121</v>
      </c>
      <c r="N9534" t="s">
        <v>30</v>
      </c>
      <c r="O9534" t="s">
        <v>31</v>
      </c>
      <c r="P9534" t="str">
        <f>"15207"</f>
        <v>15207</v>
      </c>
    </row>
    <row r="9535" spans="1:16" x14ac:dyDescent="0.25">
      <c r="A9535" t="str">
        <f>"1150055L00052    00"</f>
        <v>1150055L00052    00</v>
      </c>
      <c r="B9535" t="s">
        <v>21136</v>
      </c>
      <c r="C9535" t="s">
        <v>21137</v>
      </c>
      <c r="E9535" t="s">
        <v>39</v>
      </c>
      <c r="F9535">
        <v>0</v>
      </c>
      <c r="G9535">
        <v>0</v>
      </c>
      <c r="H9535">
        <v>2</v>
      </c>
      <c r="I9535" s="3">
        <v>1462.97</v>
      </c>
      <c r="J9535" s="3">
        <v>492.02</v>
      </c>
      <c r="L9535">
        <v>524</v>
      </c>
      <c r="M9535" t="s">
        <v>21121</v>
      </c>
      <c r="N9535" t="s">
        <v>30</v>
      </c>
      <c r="O9535" t="s">
        <v>31</v>
      </c>
      <c r="P9535" t="str">
        <f>"15207"</f>
        <v>15207</v>
      </c>
    </row>
    <row r="9536" spans="1:16" x14ac:dyDescent="0.25">
      <c r="A9536" t="str">
        <f>"1150055L00058    00"</f>
        <v>1150055L00058    00</v>
      </c>
      <c r="B9536" t="s">
        <v>21138</v>
      </c>
      <c r="C9536" t="s">
        <v>21139</v>
      </c>
      <c r="D9536" t="s">
        <v>20</v>
      </c>
      <c r="E9536" t="s">
        <v>39</v>
      </c>
      <c r="F9536">
        <v>0</v>
      </c>
      <c r="G9536">
        <v>0</v>
      </c>
      <c r="H9536">
        <v>8</v>
      </c>
      <c r="I9536" s="3">
        <v>444.45</v>
      </c>
      <c r="J9536" s="3">
        <v>146.87</v>
      </c>
      <c r="L9536">
        <v>500</v>
      </c>
      <c r="M9536" t="s">
        <v>21140</v>
      </c>
      <c r="N9536" t="s">
        <v>30</v>
      </c>
      <c r="O9536" t="s">
        <v>31</v>
      </c>
      <c r="P9536" t="str">
        <f>"15236"</f>
        <v>15236</v>
      </c>
    </row>
    <row r="9537" spans="1:16" x14ac:dyDescent="0.25">
      <c r="A9537" t="str">
        <f>"1150055L00058000100"</f>
        <v>1150055L00058000100</v>
      </c>
      <c r="B9537" t="s">
        <v>21141</v>
      </c>
      <c r="C9537" t="s">
        <v>21142</v>
      </c>
      <c r="D9537" t="s">
        <v>20</v>
      </c>
      <c r="E9537" t="s">
        <v>39</v>
      </c>
      <c r="F9537">
        <v>0</v>
      </c>
      <c r="G9537">
        <v>0</v>
      </c>
      <c r="H9537">
        <v>3</v>
      </c>
      <c r="I9537" s="3">
        <v>4029.36</v>
      </c>
      <c r="J9537" s="3">
        <v>685.72</v>
      </c>
      <c r="L9537">
        <v>525</v>
      </c>
      <c r="M9537" t="s">
        <v>21121</v>
      </c>
      <c r="N9537" t="s">
        <v>30</v>
      </c>
      <c r="O9537" t="s">
        <v>31</v>
      </c>
      <c r="P9537" t="str">
        <f>"15207"</f>
        <v>15207</v>
      </c>
    </row>
    <row r="9538" spans="1:16" x14ac:dyDescent="0.25">
      <c r="A9538" t="str">
        <f>"1150055L00061    00"</f>
        <v>1150055L00061    00</v>
      </c>
      <c r="B9538" t="s">
        <v>21138</v>
      </c>
      <c r="C9538" t="s">
        <v>21139</v>
      </c>
      <c r="D9538" t="s">
        <v>20</v>
      </c>
      <c r="E9538" t="s">
        <v>39</v>
      </c>
      <c r="F9538">
        <v>0</v>
      </c>
      <c r="G9538">
        <v>0</v>
      </c>
      <c r="H9538">
        <v>19</v>
      </c>
      <c r="I9538" s="3">
        <v>4271.03</v>
      </c>
      <c r="J9538" s="3">
        <v>2449.6</v>
      </c>
      <c r="L9538">
        <v>321</v>
      </c>
      <c r="M9538" t="s">
        <v>21143</v>
      </c>
      <c r="N9538" t="s">
        <v>30</v>
      </c>
      <c r="O9538" t="s">
        <v>31</v>
      </c>
      <c r="P9538" t="str">
        <f>"15207"</f>
        <v>15207</v>
      </c>
    </row>
    <row r="9539" spans="1:16" x14ac:dyDescent="0.25">
      <c r="A9539" t="str">
        <f>"1150055L00076    00"</f>
        <v>1150055L00076    00</v>
      </c>
      <c r="B9539" t="s">
        <v>21144</v>
      </c>
      <c r="C9539" t="s">
        <v>21139</v>
      </c>
      <c r="D9539" t="s">
        <v>20</v>
      </c>
      <c r="E9539" t="s">
        <v>39</v>
      </c>
      <c r="F9539">
        <v>0</v>
      </c>
      <c r="G9539">
        <v>0</v>
      </c>
      <c r="H9539">
        <v>19</v>
      </c>
      <c r="I9539" s="3">
        <v>9420.4699999999993</v>
      </c>
      <c r="J9539" s="3">
        <v>5158.28</v>
      </c>
      <c r="L9539">
        <v>5325</v>
      </c>
      <c r="M9539" t="s">
        <v>2955</v>
      </c>
      <c r="N9539" t="s">
        <v>30</v>
      </c>
      <c r="O9539" t="s">
        <v>31</v>
      </c>
      <c r="P9539" t="str">
        <f>"15217"</f>
        <v>15217</v>
      </c>
    </row>
    <row r="9540" spans="1:16" x14ac:dyDescent="0.25">
      <c r="A9540" t="str">
        <f>"1150055L00078    00"</f>
        <v>1150055L00078    00</v>
      </c>
      <c r="B9540" t="s">
        <v>21145</v>
      </c>
      <c r="C9540" t="s">
        <v>21139</v>
      </c>
      <c r="D9540" t="s">
        <v>20</v>
      </c>
      <c r="E9540" t="s">
        <v>39</v>
      </c>
      <c r="F9540">
        <v>0</v>
      </c>
      <c r="G9540">
        <v>0</v>
      </c>
      <c r="H9540">
        <v>19</v>
      </c>
      <c r="I9540" s="3">
        <v>8660.86</v>
      </c>
      <c r="J9540" s="3">
        <v>4848.93</v>
      </c>
      <c r="K9540" t="s">
        <v>1008</v>
      </c>
      <c r="P9540" t="str">
        <f>""</f>
        <v/>
      </c>
    </row>
    <row r="9541" spans="1:16" x14ac:dyDescent="0.25">
      <c r="A9541" t="str">
        <f>"1150055L00112    00"</f>
        <v>1150055L00112    00</v>
      </c>
      <c r="B9541" t="s">
        <v>21146</v>
      </c>
      <c r="C9541" t="s">
        <v>21147</v>
      </c>
      <c r="D9541" t="s">
        <v>20</v>
      </c>
      <c r="E9541" t="s">
        <v>39</v>
      </c>
      <c r="F9541">
        <v>0</v>
      </c>
      <c r="G9541">
        <v>0</v>
      </c>
      <c r="H9541">
        <v>3</v>
      </c>
      <c r="I9541" s="3">
        <v>7656.06</v>
      </c>
      <c r="J9541" s="3">
        <v>694.37</v>
      </c>
      <c r="K9541" t="s">
        <v>21148</v>
      </c>
      <c r="L9541">
        <v>43</v>
      </c>
      <c r="M9541" t="s">
        <v>21149</v>
      </c>
      <c r="N9541" t="s">
        <v>199</v>
      </c>
      <c r="O9541" t="s">
        <v>200</v>
      </c>
      <c r="P9541" t="str">
        <f>"10009"</f>
        <v>10009</v>
      </c>
    </row>
    <row r="9542" spans="1:16" x14ac:dyDescent="0.25">
      <c r="A9542" t="str">
        <f>"1150055L00114    00"</f>
        <v>1150055L00114    00</v>
      </c>
      <c r="B9542" t="s">
        <v>21150</v>
      </c>
      <c r="C9542" t="s">
        <v>21151</v>
      </c>
      <c r="D9542" t="s">
        <v>20</v>
      </c>
      <c r="E9542" t="s">
        <v>39</v>
      </c>
      <c r="F9542">
        <v>0</v>
      </c>
      <c r="G9542">
        <v>0</v>
      </c>
      <c r="H9542">
        <v>6</v>
      </c>
      <c r="I9542" s="3">
        <v>6602.2</v>
      </c>
      <c r="J9542" s="3">
        <v>1393.09</v>
      </c>
      <c r="L9542">
        <v>520</v>
      </c>
      <c r="M9542" t="s">
        <v>21152</v>
      </c>
      <c r="N9542" t="s">
        <v>30</v>
      </c>
      <c r="O9542" t="s">
        <v>31</v>
      </c>
      <c r="P9542" t="str">
        <f>"15207"</f>
        <v>15207</v>
      </c>
    </row>
    <row r="9543" spans="1:16" x14ac:dyDescent="0.25">
      <c r="A9543" t="str">
        <f>"1150055L00172    00"</f>
        <v>1150055L00172    00</v>
      </c>
      <c r="B9543" t="s">
        <v>21153</v>
      </c>
      <c r="C9543" t="s">
        <v>21154</v>
      </c>
      <c r="D9543" t="s">
        <v>20</v>
      </c>
      <c r="E9543" t="s">
        <v>39</v>
      </c>
      <c r="F9543">
        <v>0</v>
      </c>
      <c r="G9543">
        <v>0</v>
      </c>
      <c r="H9543">
        <v>19</v>
      </c>
      <c r="I9543" s="3">
        <v>5198.3599999999997</v>
      </c>
      <c r="J9543" s="3">
        <v>2944.65</v>
      </c>
      <c r="K9543" t="s">
        <v>21155</v>
      </c>
      <c r="L9543">
        <v>1673</v>
      </c>
      <c r="M9543" t="s">
        <v>21156</v>
      </c>
      <c r="N9543" t="s">
        <v>30</v>
      </c>
      <c r="O9543" t="s">
        <v>31</v>
      </c>
      <c r="P9543" t="str">
        <f>"15227"</f>
        <v>15227</v>
      </c>
    </row>
    <row r="9544" spans="1:16" x14ac:dyDescent="0.25">
      <c r="A9544" t="str">
        <f>"1150055L00208    00"</f>
        <v>1150055L00208    00</v>
      </c>
      <c r="B9544" t="s">
        <v>21157</v>
      </c>
      <c r="C9544" t="s">
        <v>21158</v>
      </c>
      <c r="E9544" t="s">
        <v>39</v>
      </c>
      <c r="F9544">
        <v>0</v>
      </c>
      <c r="G9544">
        <v>0</v>
      </c>
      <c r="H9544">
        <v>8</v>
      </c>
      <c r="I9544" s="3">
        <v>4253.25</v>
      </c>
      <c r="J9544" s="3">
        <v>1776.89</v>
      </c>
      <c r="L9544">
        <v>9</v>
      </c>
      <c r="M9544" t="s">
        <v>21152</v>
      </c>
      <c r="N9544" t="s">
        <v>30</v>
      </c>
      <c r="O9544" t="s">
        <v>31</v>
      </c>
      <c r="P9544" t="str">
        <f>"15207"</f>
        <v>15207</v>
      </c>
    </row>
    <row r="9545" spans="1:16" x14ac:dyDescent="0.25">
      <c r="A9545" t="str">
        <f>"1150055L00226    00"</f>
        <v>1150055L00226    00</v>
      </c>
      <c r="B9545" t="s">
        <v>21159</v>
      </c>
      <c r="C9545" t="s">
        <v>21160</v>
      </c>
      <c r="D9545" t="s">
        <v>20</v>
      </c>
      <c r="E9545" t="s">
        <v>39</v>
      </c>
      <c r="F9545">
        <v>0</v>
      </c>
      <c r="G9545">
        <v>0</v>
      </c>
      <c r="H9545">
        <v>19</v>
      </c>
      <c r="I9545" s="3">
        <v>540.16</v>
      </c>
      <c r="J9545" s="3">
        <v>577.98</v>
      </c>
      <c r="L9545">
        <v>301</v>
      </c>
      <c r="M9545" t="s">
        <v>3968</v>
      </c>
      <c r="N9545" t="s">
        <v>30</v>
      </c>
      <c r="O9545" t="s">
        <v>31</v>
      </c>
      <c r="P9545" t="str">
        <f>"15222"</f>
        <v>15222</v>
      </c>
    </row>
    <row r="9546" spans="1:16" x14ac:dyDescent="0.25">
      <c r="A9546" t="str">
        <f>"1150055L00228    00"</f>
        <v>1150055L00228    00</v>
      </c>
      <c r="B9546" t="s">
        <v>21161</v>
      </c>
      <c r="C9546" t="s">
        <v>21139</v>
      </c>
      <c r="D9546" t="s">
        <v>20</v>
      </c>
      <c r="E9546" t="s">
        <v>39</v>
      </c>
      <c r="F9546">
        <v>0</v>
      </c>
      <c r="G9546">
        <v>0</v>
      </c>
      <c r="H9546">
        <v>19</v>
      </c>
      <c r="I9546" s="3">
        <v>9576.48</v>
      </c>
      <c r="J9546" s="3">
        <v>5443.4</v>
      </c>
      <c r="K9546" t="s">
        <v>1037</v>
      </c>
      <c r="L9546">
        <v>603</v>
      </c>
      <c r="M9546" t="s">
        <v>21121</v>
      </c>
      <c r="N9546" t="s">
        <v>30</v>
      </c>
      <c r="O9546" t="s">
        <v>31</v>
      </c>
      <c r="P9546" t="str">
        <f>"15207"</f>
        <v>15207</v>
      </c>
    </row>
    <row r="9547" spans="1:16" x14ac:dyDescent="0.25">
      <c r="A9547" t="str">
        <f>"1150055L00318    00"</f>
        <v>1150055L00318    00</v>
      </c>
      <c r="B9547" t="s">
        <v>21162</v>
      </c>
      <c r="C9547" t="s">
        <v>21163</v>
      </c>
      <c r="D9547" t="s">
        <v>20</v>
      </c>
      <c r="E9547" t="s">
        <v>39</v>
      </c>
      <c r="F9547">
        <v>0</v>
      </c>
      <c r="G9547">
        <v>0</v>
      </c>
      <c r="H9547">
        <v>1</v>
      </c>
      <c r="I9547" s="3">
        <v>1794</v>
      </c>
      <c r="J9547" s="3">
        <v>0</v>
      </c>
      <c r="L9547">
        <v>408</v>
      </c>
      <c r="M9547" t="s">
        <v>21164</v>
      </c>
      <c r="N9547" t="s">
        <v>30</v>
      </c>
      <c r="O9547" t="s">
        <v>31</v>
      </c>
      <c r="P9547" t="str">
        <f>"15207"</f>
        <v>15207</v>
      </c>
    </row>
    <row r="9548" spans="1:16" x14ac:dyDescent="0.25">
      <c r="A9548" t="str">
        <f>"1150055L00340    00"</f>
        <v>1150055L00340    00</v>
      </c>
      <c r="B9548" t="s">
        <v>21165</v>
      </c>
      <c r="C9548" t="s">
        <v>21166</v>
      </c>
      <c r="D9548" t="s">
        <v>20</v>
      </c>
      <c r="E9548" t="s">
        <v>39</v>
      </c>
      <c r="F9548">
        <v>0</v>
      </c>
      <c r="G9548">
        <v>0</v>
      </c>
      <c r="H9548">
        <v>1</v>
      </c>
      <c r="I9548" s="3">
        <v>1035.42</v>
      </c>
      <c r="J9548" s="3">
        <v>0</v>
      </c>
      <c r="L9548">
        <v>425</v>
      </c>
      <c r="M9548" t="s">
        <v>21164</v>
      </c>
      <c r="N9548" t="s">
        <v>30</v>
      </c>
      <c r="O9548" t="s">
        <v>31</v>
      </c>
      <c r="P9548" t="str">
        <f>"15207"</f>
        <v>15207</v>
      </c>
    </row>
    <row r="9549" spans="1:16" x14ac:dyDescent="0.25">
      <c r="A9549" t="str">
        <f>"1150055L00356    00"</f>
        <v>1150055L00356    00</v>
      </c>
      <c r="B9549" t="s">
        <v>21167</v>
      </c>
      <c r="C9549" t="s">
        <v>21168</v>
      </c>
      <c r="D9549" t="s">
        <v>20</v>
      </c>
      <c r="E9549" t="s">
        <v>39</v>
      </c>
      <c r="F9549">
        <v>0</v>
      </c>
      <c r="G9549">
        <v>0</v>
      </c>
      <c r="H9549">
        <v>4</v>
      </c>
      <c r="I9549" s="3">
        <v>7417.27</v>
      </c>
      <c r="J9549" s="3">
        <v>723</v>
      </c>
      <c r="L9549">
        <v>410</v>
      </c>
      <c r="M9549" t="s">
        <v>20776</v>
      </c>
      <c r="N9549" t="s">
        <v>30</v>
      </c>
      <c r="O9549" t="s">
        <v>31</v>
      </c>
      <c r="P9549" t="str">
        <f>"15207"</f>
        <v>15207</v>
      </c>
    </row>
    <row r="9550" spans="1:16" x14ac:dyDescent="0.25">
      <c r="A9550" t="str">
        <f>"1150055M00001    00"</f>
        <v>1150055M00001    00</v>
      </c>
      <c r="B9550" t="s">
        <v>21169</v>
      </c>
      <c r="C9550" t="s">
        <v>21170</v>
      </c>
      <c r="D9550" t="s">
        <v>20</v>
      </c>
      <c r="E9550" t="s">
        <v>39</v>
      </c>
      <c r="F9550">
        <v>0</v>
      </c>
      <c r="G9550">
        <v>0</v>
      </c>
      <c r="H9550">
        <v>3</v>
      </c>
      <c r="I9550" s="3">
        <v>3089.6</v>
      </c>
      <c r="J9550" s="3">
        <v>12</v>
      </c>
      <c r="K9550" t="s">
        <v>21171</v>
      </c>
      <c r="L9550">
        <v>8009</v>
      </c>
      <c r="M9550" t="s">
        <v>20720</v>
      </c>
      <c r="N9550" t="s">
        <v>20721</v>
      </c>
      <c r="O9550" t="s">
        <v>200</v>
      </c>
      <c r="P9550" t="str">
        <f>"11372"</f>
        <v>11372</v>
      </c>
    </row>
    <row r="9551" spans="1:16" x14ac:dyDescent="0.25">
      <c r="A9551" t="str">
        <f>"1150055M00020    00"</f>
        <v>1150055M00020    00</v>
      </c>
      <c r="B9551" t="s">
        <v>21172</v>
      </c>
      <c r="C9551" t="s">
        <v>21173</v>
      </c>
      <c r="D9551" t="s">
        <v>20</v>
      </c>
      <c r="E9551" t="s">
        <v>39</v>
      </c>
      <c r="F9551">
        <v>0</v>
      </c>
      <c r="G9551">
        <v>0</v>
      </c>
      <c r="H9551">
        <v>5</v>
      </c>
      <c r="I9551" s="3">
        <v>8197.65</v>
      </c>
      <c r="J9551" s="3">
        <v>1334.97</v>
      </c>
      <c r="L9551">
        <v>628</v>
      </c>
      <c r="M9551" t="s">
        <v>21121</v>
      </c>
      <c r="N9551" t="s">
        <v>30</v>
      </c>
      <c r="O9551" t="s">
        <v>31</v>
      </c>
      <c r="P9551" t="str">
        <f>"15207"</f>
        <v>15207</v>
      </c>
    </row>
    <row r="9552" spans="1:16" x14ac:dyDescent="0.25">
      <c r="A9552" t="str">
        <f>"1150055M00024    00"</f>
        <v>1150055M00024    00</v>
      </c>
      <c r="B9552" t="s">
        <v>21174</v>
      </c>
      <c r="C9552" t="s">
        <v>21175</v>
      </c>
      <c r="E9552" t="s">
        <v>39</v>
      </c>
      <c r="F9552">
        <v>0</v>
      </c>
      <c r="G9552">
        <v>0</v>
      </c>
      <c r="H9552">
        <v>1</v>
      </c>
      <c r="I9552" s="3">
        <v>474.6</v>
      </c>
      <c r="J9552" s="3">
        <v>0</v>
      </c>
      <c r="K9552" t="s">
        <v>881</v>
      </c>
      <c r="L9552">
        <v>3001</v>
      </c>
      <c r="M9552" t="s">
        <v>330</v>
      </c>
      <c r="N9552" t="s">
        <v>331</v>
      </c>
      <c r="O9552" t="s">
        <v>108</v>
      </c>
      <c r="P9552" t="str">
        <f>"75063"</f>
        <v>75063</v>
      </c>
    </row>
    <row r="9553" spans="1:16" x14ac:dyDescent="0.25">
      <c r="A9553" t="str">
        <f>"1150055M00050    00"</f>
        <v>1150055M00050    00</v>
      </c>
      <c r="B9553" t="s">
        <v>21176</v>
      </c>
      <c r="C9553" t="s">
        <v>21177</v>
      </c>
      <c r="D9553" t="s">
        <v>20</v>
      </c>
      <c r="E9553" t="s">
        <v>39</v>
      </c>
      <c r="F9553">
        <v>0</v>
      </c>
      <c r="G9553">
        <v>0</v>
      </c>
      <c r="H9553">
        <v>9</v>
      </c>
      <c r="I9553" s="3">
        <v>14150.01</v>
      </c>
      <c r="J9553" s="3">
        <v>5003.71</v>
      </c>
      <c r="L9553">
        <v>576</v>
      </c>
      <c r="M9553" t="s">
        <v>21121</v>
      </c>
      <c r="N9553" t="s">
        <v>30</v>
      </c>
      <c r="O9553" t="s">
        <v>31</v>
      </c>
      <c r="P9553" t="str">
        <f>"15207"</f>
        <v>15207</v>
      </c>
    </row>
    <row r="9554" spans="1:16" x14ac:dyDescent="0.25">
      <c r="A9554" t="str">
        <f>"1150055M00055    00"</f>
        <v>1150055M00055    00</v>
      </c>
      <c r="B9554" t="s">
        <v>21178</v>
      </c>
      <c r="C9554" t="s">
        <v>21179</v>
      </c>
      <c r="D9554" t="s">
        <v>20</v>
      </c>
      <c r="E9554" t="s">
        <v>39</v>
      </c>
      <c r="F9554">
        <v>0</v>
      </c>
      <c r="G9554">
        <v>0</v>
      </c>
      <c r="H9554">
        <v>14</v>
      </c>
      <c r="I9554" s="3">
        <v>46.5</v>
      </c>
      <c r="J9554" s="3">
        <v>33.24</v>
      </c>
      <c r="L9554">
        <v>567</v>
      </c>
      <c r="M9554" t="s">
        <v>21180</v>
      </c>
      <c r="N9554" t="s">
        <v>30</v>
      </c>
      <c r="O9554" t="s">
        <v>31</v>
      </c>
      <c r="P9554" t="str">
        <f>"15207"</f>
        <v>15207</v>
      </c>
    </row>
    <row r="9555" spans="1:16" x14ac:dyDescent="0.25">
      <c r="A9555" t="str">
        <f>"1150055M00118    00"</f>
        <v>1150055M00118    00</v>
      </c>
      <c r="B9555" t="s">
        <v>21181</v>
      </c>
      <c r="C9555" t="s">
        <v>21182</v>
      </c>
      <c r="D9555" t="s">
        <v>20</v>
      </c>
      <c r="E9555" t="s">
        <v>39</v>
      </c>
      <c r="F9555">
        <v>0</v>
      </c>
      <c r="G9555">
        <v>0</v>
      </c>
      <c r="H9555">
        <v>9</v>
      </c>
      <c r="I9555" s="3">
        <v>6571.9</v>
      </c>
      <c r="J9555" s="3">
        <v>2548.1</v>
      </c>
      <c r="L9555">
        <v>216</v>
      </c>
      <c r="M9555" t="s">
        <v>21183</v>
      </c>
      <c r="N9555" t="s">
        <v>285</v>
      </c>
      <c r="O9555" t="s">
        <v>31</v>
      </c>
      <c r="P9555" t="str">
        <f>"15120"</f>
        <v>15120</v>
      </c>
    </row>
    <row r="9556" spans="1:16" x14ac:dyDescent="0.25">
      <c r="A9556" t="str">
        <f>"1150055M00122    00"</f>
        <v>1150055M00122    00</v>
      </c>
      <c r="B9556" t="s">
        <v>21184</v>
      </c>
      <c r="C9556" t="s">
        <v>21185</v>
      </c>
      <c r="E9556" t="s">
        <v>39</v>
      </c>
      <c r="F9556">
        <v>0</v>
      </c>
      <c r="G9556">
        <v>0</v>
      </c>
      <c r="H9556">
        <v>12</v>
      </c>
      <c r="I9556" s="3">
        <v>18242.04</v>
      </c>
      <c r="J9556" s="3">
        <v>12358.94</v>
      </c>
      <c r="L9556">
        <v>3479</v>
      </c>
      <c r="M9556" t="s">
        <v>1695</v>
      </c>
      <c r="N9556" t="s">
        <v>30</v>
      </c>
      <c r="O9556" t="s">
        <v>31</v>
      </c>
      <c r="P9556" t="str">
        <f>"15217"</f>
        <v>15217</v>
      </c>
    </row>
    <row r="9557" spans="1:16" x14ac:dyDescent="0.25">
      <c r="A9557" t="str">
        <f>"1150055M00133    00"</f>
        <v>1150055M00133    00</v>
      </c>
      <c r="B9557" t="s">
        <v>21186</v>
      </c>
      <c r="C9557" t="s">
        <v>21187</v>
      </c>
      <c r="D9557" t="s">
        <v>20</v>
      </c>
      <c r="E9557" t="s">
        <v>39</v>
      </c>
      <c r="F9557">
        <v>0</v>
      </c>
      <c r="G9557">
        <v>0</v>
      </c>
      <c r="H9557">
        <v>4</v>
      </c>
      <c r="I9557" s="3">
        <v>3045.1</v>
      </c>
      <c r="J9557" s="3">
        <v>173.73</v>
      </c>
      <c r="K9557" t="s">
        <v>21188</v>
      </c>
      <c r="L9557">
        <v>617</v>
      </c>
      <c r="M9557" t="s">
        <v>21180</v>
      </c>
      <c r="N9557" t="s">
        <v>30</v>
      </c>
      <c r="O9557" t="s">
        <v>31</v>
      </c>
      <c r="P9557" t="str">
        <f>"15207"</f>
        <v>15207</v>
      </c>
    </row>
    <row r="9558" spans="1:16" x14ac:dyDescent="0.25">
      <c r="A9558" t="str">
        <f>"1150055M00159    00"</f>
        <v>1150055M00159    00</v>
      </c>
      <c r="B9558" t="s">
        <v>21189</v>
      </c>
      <c r="C9558" t="s">
        <v>21190</v>
      </c>
      <c r="D9558" t="s">
        <v>20</v>
      </c>
      <c r="E9558" t="s">
        <v>39</v>
      </c>
      <c r="F9558">
        <v>0</v>
      </c>
      <c r="G9558">
        <v>0</v>
      </c>
      <c r="H9558">
        <v>2</v>
      </c>
      <c r="I9558" s="3">
        <v>2529.75</v>
      </c>
      <c r="J9558" s="3">
        <v>0</v>
      </c>
      <c r="L9558">
        <v>674</v>
      </c>
      <c r="M9558" t="s">
        <v>21180</v>
      </c>
      <c r="N9558" t="s">
        <v>30</v>
      </c>
      <c r="O9558" t="s">
        <v>31</v>
      </c>
      <c r="P9558" t="str">
        <f>"15207"</f>
        <v>15207</v>
      </c>
    </row>
    <row r="9559" spans="1:16" x14ac:dyDescent="0.25">
      <c r="A9559" t="str">
        <f>"1150055M00163    00"</f>
        <v>1150055M00163    00</v>
      </c>
      <c r="B9559" t="s">
        <v>21191</v>
      </c>
      <c r="C9559" t="s">
        <v>21192</v>
      </c>
      <c r="D9559" t="s">
        <v>20</v>
      </c>
      <c r="E9559" t="s">
        <v>39</v>
      </c>
      <c r="F9559">
        <v>0</v>
      </c>
      <c r="G9559">
        <v>0</v>
      </c>
      <c r="H9559">
        <v>4</v>
      </c>
      <c r="I9559" s="3">
        <v>2440.0700000000002</v>
      </c>
      <c r="J9559" s="3">
        <v>251.84</v>
      </c>
      <c r="L9559">
        <v>672</v>
      </c>
      <c r="M9559" t="s">
        <v>21180</v>
      </c>
      <c r="N9559" t="s">
        <v>30</v>
      </c>
      <c r="O9559" t="s">
        <v>31</v>
      </c>
      <c r="P9559" t="str">
        <f>"15207"</f>
        <v>15207</v>
      </c>
    </row>
    <row r="9560" spans="1:16" x14ac:dyDescent="0.25">
      <c r="A9560" t="str">
        <f>"1150055M00164    00"</f>
        <v>1150055M00164    00</v>
      </c>
      <c r="B9560" t="s">
        <v>21193</v>
      </c>
      <c r="C9560" t="s">
        <v>21182</v>
      </c>
      <c r="D9560" t="s">
        <v>20</v>
      </c>
      <c r="E9560" t="s">
        <v>39</v>
      </c>
      <c r="F9560">
        <v>0</v>
      </c>
      <c r="G9560">
        <v>0</v>
      </c>
      <c r="H9560">
        <v>1</v>
      </c>
      <c r="I9560" s="3">
        <v>51.47</v>
      </c>
      <c r="J9560" s="3">
        <v>0</v>
      </c>
      <c r="L9560">
        <v>666</v>
      </c>
      <c r="M9560" t="s">
        <v>21180</v>
      </c>
      <c r="N9560" t="s">
        <v>30</v>
      </c>
      <c r="O9560" t="s">
        <v>31</v>
      </c>
      <c r="P9560" t="str">
        <f>"15207"</f>
        <v>15207</v>
      </c>
    </row>
    <row r="9561" spans="1:16" x14ac:dyDescent="0.25">
      <c r="A9561" t="str">
        <f>"1150055M00176    00"</f>
        <v>1150055M00176    00</v>
      </c>
      <c r="B9561" t="s">
        <v>20661</v>
      </c>
      <c r="C9561" t="s">
        <v>21194</v>
      </c>
      <c r="E9561" t="s">
        <v>39</v>
      </c>
      <c r="F9561">
        <v>0</v>
      </c>
      <c r="G9561">
        <v>0</v>
      </c>
      <c r="H9561">
        <v>3</v>
      </c>
      <c r="I9561" s="3">
        <v>1763.51</v>
      </c>
      <c r="J9561" s="3">
        <v>482.13</v>
      </c>
      <c r="K9561" t="s">
        <v>5073</v>
      </c>
      <c r="L9561">
        <v>3001</v>
      </c>
      <c r="M9561" t="s">
        <v>330</v>
      </c>
      <c r="N9561" t="s">
        <v>331</v>
      </c>
      <c r="O9561" t="s">
        <v>108</v>
      </c>
      <c r="P9561" t="str">
        <f>"75063"</f>
        <v>75063</v>
      </c>
    </row>
    <row r="9562" spans="1:16" x14ac:dyDescent="0.25">
      <c r="A9562" t="str">
        <f>"1150055M00184    00"</f>
        <v>1150055M00184    00</v>
      </c>
      <c r="B9562" t="s">
        <v>21195</v>
      </c>
      <c r="C9562" t="s">
        <v>21196</v>
      </c>
      <c r="E9562" t="s">
        <v>39</v>
      </c>
      <c r="F9562">
        <v>0</v>
      </c>
      <c r="G9562">
        <v>0</v>
      </c>
      <c r="H9562">
        <v>1</v>
      </c>
      <c r="I9562" s="3">
        <v>220.25</v>
      </c>
      <c r="J9562" s="3">
        <v>0</v>
      </c>
      <c r="L9562">
        <v>630</v>
      </c>
      <c r="M9562" t="s">
        <v>21180</v>
      </c>
      <c r="N9562" t="s">
        <v>30</v>
      </c>
      <c r="O9562" t="s">
        <v>31</v>
      </c>
      <c r="P9562" t="str">
        <f>"15207"</f>
        <v>15207</v>
      </c>
    </row>
    <row r="9563" spans="1:16" x14ac:dyDescent="0.25">
      <c r="A9563" t="str">
        <f>"1150055M00203    00"</f>
        <v>1150055M00203    00</v>
      </c>
      <c r="B9563" t="s">
        <v>21197</v>
      </c>
      <c r="C9563" t="s">
        <v>21198</v>
      </c>
      <c r="D9563" t="s">
        <v>20</v>
      </c>
      <c r="E9563" t="s">
        <v>39</v>
      </c>
      <c r="F9563">
        <v>0</v>
      </c>
      <c r="G9563">
        <v>0</v>
      </c>
      <c r="H9563">
        <v>2</v>
      </c>
      <c r="I9563" s="3">
        <v>2898.12</v>
      </c>
      <c r="J9563" s="3">
        <v>0</v>
      </c>
      <c r="L9563">
        <v>556</v>
      </c>
      <c r="M9563" t="s">
        <v>21180</v>
      </c>
      <c r="N9563" t="s">
        <v>30</v>
      </c>
      <c r="O9563" t="s">
        <v>31</v>
      </c>
      <c r="P9563" t="str">
        <f>"15207"</f>
        <v>15207</v>
      </c>
    </row>
    <row r="9564" spans="1:16" x14ac:dyDescent="0.25">
      <c r="A9564" t="str">
        <f>"1150055M00204    00"</f>
        <v>1150055M00204    00</v>
      </c>
      <c r="B9564" t="s">
        <v>21199</v>
      </c>
      <c r="C9564" t="s">
        <v>21200</v>
      </c>
      <c r="D9564" t="s">
        <v>20</v>
      </c>
      <c r="E9564" t="s">
        <v>39</v>
      </c>
      <c r="F9564">
        <v>0</v>
      </c>
      <c r="G9564">
        <v>0</v>
      </c>
      <c r="H9564">
        <v>19</v>
      </c>
      <c r="I9564" s="3">
        <v>20590.939999999999</v>
      </c>
      <c r="J9564" s="3">
        <v>13091</v>
      </c>
      <c r="K9564" t="s">
        <v>21201</v>
      </c>
      <c r="L9564">
        <v>404</v>
      </c>
      <c r="M9564" t="s">
        <v>21202</v>
      </c>
      <c r="N9564" t="s">
        <v>4150</v>
      </c>
      <c r="O9564" t="s">
        <v>31</v>
      </c>
      <c r="P9564" t="str">
        <f>"15116"</f>
        <v>15116</v>
      </c>
    </row>
    <row r="9565" spans="1:16" x14ac:dyDescent="0.25">
      <c r="A9565" t="str">
        <f>"1150055M00206    00"</f>
        <v>1150055M00206    00</v>
      </c>
      <c r="B9565" t="s">
        <v>9290</v>
      </c>
      <c r="C9565" t="s">
        <v>21182</v>
      </c>
      <c r="E9565" t="s">
        <v>207</v>
      </c>
      <c r="F9565">
        <v>0</v>
      </c>
      <c r="G9565">
        <v>0</v>
      </c>
      <c r="H9565">
        <v>13</v>
      </c>
      <c r="I9565" s="3">
        <v>15852.81</v>
      </c>
      <c r="J9565" s="3">
        <v>4562.78</v>
      </c>
      <c r="L9565">
        <v>414</v>
      </c>
      <c r="M9565" t="s">
        <v>2274</v>
      </c>
      <c r="N9565" t="s">
        <v>30</v>
      </c>
      <c r="O9565" t="s">
        <v>31</v>
      </c>
      <c r="P9565" t="str">
        <f>"15219"</f>
        <v>15219</v>
      </c>
    </row>
    <row r="9566" spans="1:16" x14ac:dyDescent="0.25">
      <c r="A9566" t="str">
        <f>"1150055M00207    00"</f>
        <v>1150055M00207    00</v>
      </c>
      <c r="B9566" t="s">
        <v>21203</v>
      </c>
      <c r="C9566" t="s">
        <v>21182</v>
      </c>
      <c r="D9566" t="s">
        <v>20</v>
      </c>
      <c r="E9566" t="s">
        <v>39</v>
      </c>
      <c r="F9566">
        <v>0</v>
      </c>
      <c r="G9566">
        <v>0</v>
      </c>
      <c r="H9566">
        <v>2</v>
      </c>
      <c r="I9566" s="3">
        <v>314.95</v>
      </c>
      <c r="J9566" s="3">
        <v>0</v>
      </c>
      <c r="K9566" t="s">
        <v>21204</v>
      </c>
      <c r="L9566">
        <v>552</v>
      </c>
      <c r="M9566" t="s">
        <v>21180</v>
      </c>
      <c r="N9566" t="s">
        <v>30</v>
      </c>
      <c r="O9566" t="s">
        <v>31</v>
      </c>
      <c r="P9566" t="str">
        <f>"15207"</f>
        <v>15207</v>
      </c>
    </row>
    <row r="9567" spans="1:16" x14ac:dyDescent="0.25">
      <c r="A9567" t="str">
        <f>"1150055M00235    00"</f>
        <v>1150055M00235    00</v>
      </c>
      <c r="B9567" t="s">
        <v>21205</v>
      </c>
      <c r="C9567" t="s">
        <v>21206</v>
      </c>
      <c r="D9567" t="s">
        <v>20</v>
      </c>
      <c r="E9567" t="s">
        <v>39</v>
      </c>
      <c r="F9567">
        <v>0</v>
      </c>
      <c r="G9567">
        <v>0</v>
      </c>
      <c r="H9567">
        <v>1</v>
      </c>
      <c r="I9567" s="3">
        <v>800.2</v>
      </c>
      <c r="J9567" s="3">
        <v>0</v>
      </c>
      <c r="K9567" t="s">
        <v>21207</v>
      </c>
      <c r="L9567">
        <v>681</v>
      </c>
      <c r="M9567" t="s">
        <v>21208</v>
      </c>
      <c r="N9567" t="s">
        <v>30</v>
      </c>
      <c r="O9567" t="s">
        <v>31</v>
      </c>
      <c r="P9567" t="str">
        <f>"15207"</f>
        <v>15207</v>
      </c>
    </row>
    <row r="9568" spans="1:16" x14ac:dyDescent="0.25">
      <c r="A9568" t="str">
        <f>"1150055M00251    00"</f>
        <v>1150055M00251    00</v>
      </c>
      <c r="B9568" t="s">
        <v>21209</v>
      </c>
      <c r="C9568" t="s">
        <v>21210</v>
      </c>
      <c r="D9568" t="s">
        <v>20</v>
      </c>
      <c r="E9568" t="s">
        <v>39</v>
      </c>
      <c r="F9568">
        <v>0</v>
      </c>
      <c r="G9568">
        <v>0</v>
      </c>
      <c r="H9568">
        <v>17</v>
      </c>
      <c r="I9568" s="3">
        <v>10100.26</v>
      </c>
      <c r="J9568" s="3">
        <v>5644.62</v>
      </c>
      <c r="K9568" t="s">
        <v>21211</v>
      </c>
      <c r="L9568">
        <v>2042</v>
      </c>
      <c r="M9568" t="s">
        <v>21212</v>
      </c>
      <c r="N9568" t="s">
        <v>526</v>
      </c>
      <c r="O9568" t="s">
        <v>31</v>
      </c>
      <c r="P9568" t="str">
        <f>"15301"</f>
        <v>15301</v>
      </c>
    </row>
    <row r="9569" spans="1:16" x14ac:dyDescent="0.25">
      <c r="A9569" t="str">
        <f>"1150055P00006    00"</f>
        <v>1150055P00006    00</v>
      </c>
      <c r="B9569" t="s">
        <v>21213</v>
      </c>
      <c r="C9569" t="s">
        <v>21214</v>
      </c>
      <c r="D9569" t="s">
        <v>20</v>
      </c>
      <c r="E9569" t="s">
        <v>39</v>
      </c>
      <c r="F9569">
        <v>0</v>
      </c>
      <c r="G9569">
        <v>0</v>
      </c>
      <c r="H9569">
        <v>5</v>
      </c>
      <c r="I9569" s="3">
        <v>580.92999999999995</v>
      </c>
      <c r="J9569" s="3">
        <v>102.88</v>
      </c>
      <c r="K9569" t="s">
        <v>21215</v>
      </c>
      <c r="L9569">
        <v>4617</v>
      </c>
      <c r="M9569" t="s">
        <v>21216</v>
      </c>
      <c r="N9569" t="s">
        <v>30</v>
      </c>
      <c r="O9569" t="s">
        <v>31</v>
      </c>
      <c r="P9569" t="str">
        <f>"15207"</f>
        <v>15207</v>
      </c>
    </row>
    <row r="9570" spans="1:16" x14ac:dyDescent="0.25">
      <c r="A9570" t="str">
        <f>"1150055P00014    00"</f>
        <v>1150055P00014    00</v>
      </c>
      <c r="B9570" t="s">
        <v>21217</v>
      </c>
      <c r="C9570" t="s">
        <v>21125</v>
      </c>
      <c r="D9570" t="s">
        <v>20</v>
      </c>
      <c r="E9570" t="s">
        <v>39</v>
      </c>
      <c r="F9570">
        <v>0</v>
      </c>
      <c r="G9570">
        <v>0</v>
      </c>
      <c r="H9570">
        <v>19</v>
      </c>
      <c r="I9570" s="3">
        <v>723.31</v>
      </c>
      <c r="J9570" s="3">
        <v>462.97</v>
      </c>
      <c r="L9570">
        <v>4609</v>
      </c>
      <c r="M9570" t="s">
        <v>21218</v>
      </c>
      <c r="N9570" t="s">
        <v>30</v>
      </c>
      <c r="O9570" t="s">
        <v>31</v>
      </c>
      <c r="P9570" t="str">
        <f>"15207"</f>
        <v>15207</v>
      </c>
    </row>
    <row r="9571" spans="1:16" x14ac:dyDescent="0.25">
      <c r="A9571" t="str">
        <f>"1150055P00027    00"</f>
        <v>1150055P00027    00</v>
      </c>
      <c r="B9571" t="s">
        <v>21219</v>
      </c>
      <c r="C9571" t="s">
        <v>21220</v>
      </c>
      <c r="D9571" t="s">
        <v>20</v>
      </c>
      <c r="E9571" t="s">
        <v>39</v>
      </c>
      <c r="F9571">
        <v>0</v>
      </c>
      <c r="G9571">
        <v>0</v>
      </c>
      <c r="H9571">
        <v>14</v>
      </c>
      <c r="I9571" s="3">
        <v>5688.5</v>
      </c>
      <c r="J9571" s="3">
        <v>4578.08</v>
      </c>
      <c r="L9571">
        <v>1223</v>
      </c>
      <c r="M9571" t="s">
        <v>21221</v>
      </c>
      <c r="N9571" t="s">
        <v>30</v>
      </c>
      <c r="O9571" t="s">
        <v>31</v>
      </c>
      <c r="P9571" t="str">
        <f>"15204"</f>
        <v>15204</v>
      </c>
    </row>
    <row r="9572" spans="1:16" x14ac:dyDescent="0.25">
      <c r="A9572" t="str">
        <f>"1150055P00044    00"</f>
        <v>1150055P00044    00</v>
      </c>
      <c r="B9572" t="s">
        <v>21222</v>
      </c>
      <c r="C9572" t="s">
        <v>21223</v>
      </c>
      <c r="D9572" t="s">
        <v>20</v>
      </c>
      <c r="E9572" t="s">
        <v>39</v>
      </c>
      <c r="F9572">
        <v>0</v>
      </c>
      <c r="G9572">
        <v>0</v>
      </c>
      <c r="H9572">
        <v>3</v>
      </c>
      <c r="I9572" s="3">
        <v>949.23</v>
      </c>
      <c r="J9572" s="3">
        <v>63.28</v>
      </c>
      <c r="L9572">
        <v>501</v>
      </c>
      <c r="M9572" t="s">
        <v>21224</v>
      </c>
      <c r="N9572" t="s">
        <v>17421</v>
      </c>
      <c r="O9572" t="s">
        <v>1184</v>
      </c>
      <c r="P9572" t="str">
        <f>"20785"</f>
        <v>20785</v>
      </c>
    </row>
    <row r="9573" spans="1:16" x14ac:dyDescent="0.25">
      <c r="A9573" t="str">
        <f>"1150055P00168A   00"</f>
        <v>1150055P00168A   00</v>
      </c>
      <c r="B9573" t="s">
        <v>21225</v>
      </c>
      <c r="C9573" t="s">
        <v>21226</v>
      </c>
      <c r="E9573" t="s">
        <v>39</v>
      </c>
      <c r="F9573">
        <v>0</v>
      </c>
      <c r="G9573">
        <v>0</v>
      </c>
      <c r="H9573">
        <v>6</v>
      </c>
      <c r="I9573" s="3">
        <v>5705.92</v>
      </c>
      <c r="J9573" s="3">
        <v>7220.84</v>
      </c>
      <c r="L9573">
        <v>4608</v>
      </c>
      <c r="M9573" t="s">
        <v>21227</v>
      </c>
      <c r="N9573" t="s">
        <v>30</v>
      </c>
      <c r="O9573" t="s">
        <v>31</v>
      </c>
      <c r="P9573" t="str">
        <f>"15207"</f>
        <v>15207</v>
      </c>
    </row>
    <row r="9574" spans="1:16" x14ac:dyDescent="0.25">
      <c r="A9574" t="str">
        <f>"1150055P00169    00"</f>
        <v>1150055P00169    00</v>
      </c>
      <c r="B9574" t="s">
        <v>21228</v>
      </c>
      <c r="C9574" t="s">
        <v>21229</v>
      </c>
      <c r="D9574" t="s">
        <v>20</v>
      </c>
      <c r="E9574" t="s">
        <v>39</v>
      </c>
      <c r="F9574">
        <v>0</v>
      </c>
      <c r="G9574">
        <v>0</v>
      </c>
      <c r="H9574">
        <v>7</v>
      </c>
      <c r="I9574" s="3">
        <v>226.83</v>
      </c>
      <c r="J9574" s="3">
        <v>63.3</v>
      </c>
      <c r="K9574" t="s">
        <v>21230</v>
      </c>
      <c r="L9574">
        <v>4616</v>
      </c>
      <c r="M9574" t="s">
        <v>21227</v>
      </c>
      <c r="N9574" t="s">
        <v>30</v>
      </c>
      <c r="O9574" t="s">
        <v>31</v>
      </c>
      <c r="P9574" t="str">
        <f>"15207"</f>
        <v>15207</v>
      </c>
    </row>
    <row r="9575" spans="1:16" x14ac:dyDescent="0.25">
      <c r="A9575" t="str">
        <f>"1150055P00170    00"</f>
        <v>1150055P00170    00</v>
      </c>
      <c r="B9575" t="s">
        <v>21231</v>
      </c>
      <c r="C9575" t="s">
        <v>21232</v>
      </c>
      <c r="D9575" t="s">
        <v>20</v>
      </c>
      <c r="E9575" t="s">
        <v>39</v>
      </c>
      <c r="F9575">
        <v>0</v>
      </c>
      <c r="G9575">
        <v>0</v>
      </c>
      <c r="H9575">
        <v>9</v>
      </c>
      <c r="I9575" s="3">
        <v>6054.92</v>
      </c>
      <c r="J9575" s="3">
        <v>2292.73</v>
      </c>
      <c r="K9575" t="s">
        <v>21233</v>
      </c>
      <c r="L9575">
        <v>4531</v>
      </c>
      <c r="M9575" t="s">
        <v>21218</v>
      </c>
      <c r="N9575" t="s">
        <v>30</v>
      </c>
      <c r="O9575" t="s">
        <v>31</v>
      </c>
      <c r="P9575" t="str">
        <f>"15207"</f>
        <v>15207</v>
      </c>
    </row>
    <row r="9576" spans="1:16" x14ac:dyDescent="0.25">
      <c r="A9576" t="str">
        <f>"1150055P00192    00"</f>
        <v>1150055P00192    00</v>
      </c>
      <c r="B9576" t="s">
        <v>21234</v>
      </c>
      <c r="C9576" t="s">
        <v>21235</v>
      </c>
      <c r="D9576" t="s">
        <v>20</v>
      </c>
      <c r="E9576" t="s">
        <v>39</v>
      </c>
      <c r="F9576">
        <v>0</v>
      </c>
      <c r="G9576">
        <v>0</v>
      </c>
      <c r="H9576">
        <v>6</v>
      </c>
      <c r="I9576" s="3">
        <v>1470.37</v>
      </c>
      <c r="J9576" s="3">
        <v>0</v>
      </c>
      <c r="K9576" t="s">
        <v>21236</v>
      </c>
      <c r="L9576">
        <v>7777</v>
      </c>
      <c r="M9576" t="s">
        <v>21237</v>
      </c>
      <c r="N9576" t="s">
        <v>16758</v>
      </c>
      <c r="O9576" t="s">
        <v>1005</v>
      </c>
      <c r="P9576" t="str">
        <f>"85730"</f>
        <v>85730</v>
      </c>
    </row>
    <row r="9577" spans="1:16" x14ac:dyDescent="0.25">
      <c r="A9577" t="str">
        <f>"1150055P00200    00"</f>
        <v>1150055P00200    00</v>
      </c>
      <c r="B9577" t="s">
        <v>21238</v>
      </c>
      <c r="C9577" t="s">
        <v>21239</v>
      </c>
      <c r="D9577" t="s">
        <v>20</v>
      </c>
      <c r="E9577" t="s">
        <v>39</v>
      </c>
      <c r="F9577">
        <v>0</v>
      </c>
      <c r="G9577">
        <v>0</v>
      </c>
      <c r="H9577">
        <v>6</v>
      </c>
      <c r="I9577" s="3">
        <v>1385.38</v>
      </c>
      <c r="J9577" s="3">
        <v>139.04</v>
      </c>
      <c r="K9577" t="s">
        <v>21240</v>
      </c>
      <c r="L9577">
        <v>1105</v>
      </c>
      <c r="M9577" t="s">
        <v>21241</v>
      </c>
      <c r="N9577" t="s">
        <v>30</v>
      </c>
      <c r="O9577" t="s">
        <v>31</v>
      </c>
      <c r="P9577" t="str">
        <f>"15236"</f>
        <v>15236</v>
      </c>
    </row>
    <row r="9578" spans="1:16" x14ac:dyDescent="0.25">
      <c r="A9578" t="str">
        <f>"1150055R00016    00"</f>
        <v>1150055R00016    00</v>
      </c>
      <c r="B9578" t="s">
        <v>21242</v>
      </c>
      <c r="C9578" t="s">
        <v>21243</v>
      </c>
      <c r="D9578" t="s">
        <v>20</v>
      </c>
      <c r="E9578" t="s">
        <v>39</v>
      </c>
      <c r="F9578">
        <v>0</v>
      </c>
      <c r="G9578">
        <v>0</v>
      </c>
      <c r="H9578">
        <v>19</v>
      </c>
      <c r="I9578" s="3">
        <v>1165.47</v>
      </c>
      <c r="J9578" s="3">
        <v>1178.44</v>
      </c>
      <c r="K9578" t="s">
        <v>1008</v>
      </c>
      <c r="P9578" t="str">
        <f>""</f>
        <v/>
      </c>
    </row>
    <row r="9579" spans="1:16" x14ac:dyDescent="0.25">
      <c r="A9579" t="str">
        <f>"1150055R00074    00"</f>
        <v>1150055R00074    00</v>
      </c>
      <c r="B9579" t="s">
        <v>21244</v>
      </c>
      <c r="C9579" t="s">
        <v>21245</v>
      </c>
      <c r="D9579" t="s">
        <v>33</v>
      </c>
      <c r="E9579" t="s">
        <v>39</v>
      </c>
      <c r="F9579">
        <v>0</v>
      </c>
      <c r="G9579">
        <v>0</v>
      </c>
      <c r="H9579">
        <v>5</v>
      </c>
      <c r="I9579" s="3">
        <v>3403.17</v>
      </c>
      <c r="J9579" s="3">
        <v>153.63</v>
      </c>
      <c r="L9579">
        <v>4604</v>
      </c>
      <c r="M9579" t="s">
        <v>20861</v>
      </c>
      <c r="N9579" t="s">
        <v>30</v>
      </c>
      <c r="O9579" t="s">
        <v>31</v>
      </c>
      <c r="P9579" t="str">
        <f>"15207"</f>
        <v>15207</v>
      </c>
    </row>
    <row r="9580" spans="1:16" x14ac:dyDescent="0.25">
      <c r="A9580" t="str">
        <f>"1150055R00078    00"</f>
        <v>1150055R00078    00</v>
      </c>
      <c r="B9580" t="s">
        <v>21246</v>
      </c>
      <c r="C9580" t="s">
        <v>21247</v>
      </c>
      <c r="D9580" t="s">
        <v>20</v>
      </c>
      <c r="E9580" t="s">
        <v>21</v>
      </c>
      <c r="F9580">
        <v>0</v>
      </c>
      <c r="G9580">
        <v>0</v>
      </c>
      <c r="H9580">
        <v>1</v>
      </c>
      <c r="I9580" s="3">
        <v>35.520000000000003</v>
      </c>
      <c r="J9580" s="3">
        <v>0</v>
      </c>
      <c r="L9580">
        <v>727</v>
      </c>
      <c r="M9580" t="s">
        <v>15656</v>
      </c>
      <c r="N9580" t="s">
        <v>30</v>
      </c>
      <c r="O9580" t="s">
        <v>31</v>
      </c>
      <c r="P9580" t="str">
        <f>"15221"</f>
        <v>15221</v>
      </c>
    </row>
    <row r="9581" spans="1:16" x14ac:dyDescent="0.25">
      <c r="A9581" t="str">
        <f>"1150055S00027    00"</f>
        <v>1150055S00027    00</v>
      </c>
      <c r="B9581" t="s">
        <v>21248</v>
      </c>
      <c r="C9581" t="s">
        <v>21249</v>
      </c>
      <c r="D9581" t="s">
        <v>20</v>
      </c>
      <c r="E9581" t="s">
        <v>39</v>
      </c>
      <c r="F9581">
        <v>0</v>
      </c>
      <c r="G9581">
        <v>0</v>
      </c>
      <c r="H9581">
        <v>3</v>
      </c>
      <c r="I9581" s="3">
        <v>1662.07</v>
      </c>
      <c r="J9581" s="3">
        <v>83.1</v>
      </c>
      <c r="K9581" t="s">
        <v>21250</v>
      </c>
      <c r="L9581">
        <v>84</v>
      </c>
      <c r="M9581" t="s">
        <v>21251</v>
      </c>
      <c r="N9581" t="s">
        <v>30</v>
      </c>
      <c r="O9581" t="s">
        <v>31</v>
      </c>
      <c r="P9581" t="str">
        <f>"15207"</f>
        <v>15207</v>
      </c>
    </row>
    <row r="9582" spans="1:16" x14ac:dyDescent="0.25">
      <c r="A9582" t="str">
        <f>"1150055S00029    00"</f>
        <v>1150055S00029    00</v>
      </c>
      <c r="B9582" t="s">
        <v>21248</v>
      </c>
      <c r="C9582" t="s">
        <v>21252</v>
      </c>
      <c r="D9582" t="s">
        <v>20</v>
      </c>
      <c r="E9582" t="s">
        <v>39</v>
      </c>
      <c r="F9582">
        <v>0</v>
      </c>
      <c r="G9582">
        <v>0</v>
      </c>
      <c r="H9582">
        <v>3</v>
      </c>
      <c r="I9582" s="3">
        <v>208.43</v>
      </c>
      <c r="J9582" s="3">
        <v>10.42</v>
      </c>
      <c r="K9582" t="s">
        <v>21250</v>
      </c>
      <c r="L9582">
        <v>84</v>
      </c>
      <c r="M9582" t="s">
        <v>21251</v>
      </c>
      <c r="N9582" t="s">
        <v>30</v>
      </c>
      <c r="O9582" t="s">
        <v>31</v>
      </c>
      <c r="P9582" t="str">
        <f>"15207"</f>
        <v>15207</v>
      </c>
    </row>
    <row r="9583" spans="1:16" x14ac:dyDescent="0.25">
      <c r="A9583" t="str">
        <f>"1150055S00032    00"</f>
        <v>1150055S00032    00</v>
      </c>
      <c r="B9583" t="s">
        <v>21248</v>
      </c>
      <c r="C9583" t="s">
        <v>21252</v>
      </c>
      <c r="D9583" t="s">
        <v>20</v>
      </c>
      <c r="E9583" t="s">
        <v>39</v>
      </c>
      <c r="F9583">
        <v>0</v>
      </c>
      <c r="G9583">
        <v>0</v>
      </c>
      <c r="H9583">
        <v>3</v>
      </c>
      <c r="I9583" s="3">
        <v>1163.97</v>
      </c>
      <c r="J9583" s="3">
        <v>58.2</v>
      </c>
      <c r="K9583" t="s">
        <v>21250</v>
      </c>
      <c r="L9583">
        <v>84</v>
      </c>
      <c r="M9583" t="s">
        <v>21251</v>
      </c>
      <c r="N9583" t="s">
        <v>30</v>
      </c>
      <c r="O9583" t="s">
        <v>31</v>
      </c>
      <c r="P9583" t="str">
        <f>"15207"</f>
        <v>15207</v>
      </c>
    </row>
    <row r="9584" spans="1:16" x14ac:dyDescent="0.25">
      <c r="A9584" t="str">
        <f>"1150055S00038    00"</f>
        <v>1150055S00038    00</v>
      </c>
      <c r="B9584" t="s">
        <v>21253</v>
      </c>
      <c r="C9584" t="s">
        <v>21254</v>
      </c>
      <c r="D9584" t="s">
        <v>20</v>
      </c>
      <c r="E9584" t="s">
        <v>39</v>
      </c>
      <c r="F9584">
        <v>0</v>
      </c>
      <c r="G9584">
        <v>0</v>
      </c>
      <c r="H9584">
        <v>17</v>
      </c>
      <c r="I9584" s="3">
        <v>264.23</v>
      </c>
      <c r="J9584" s="3">
        <v>298.63</v>
      </c>
      <c r="K9584" t="s">
        <v>21255</v>
      </c>
      <c r="L9584">
        <v>1103</v>
      </c>
      <c r="M9584" t="s">
        <v>21256</v>
      </c>
      <c r="N9584" t="s">
        <v>21257</v>
      </c>
      <c r="O9584" t="s">
        <v>370</v>
      </c>
      <c r="P9584" t="str">
        <f>"34207"</f>
        <v>34207</v>
      </c>
    </row>
    <row r="9585" spans="1:16" x14ac:dyDescent="0.25">
      <c r="A9585" t="str">
        <f>"1150055S00050    00"</f>
        <v>1150055S00050    00</v>
      </c>
      <c r="B9585" t="s">
        <v>21258</v>
      </c>
      <c r="C9585" t="s">
        <v>21259</v>
      </c>
      <c r="D9585" t="s">
        <v>20</v>
      </c>
      <c r="E9585" t="s">
        <v>39</v>
      </c>
      <c r="F9585">
        <v>0</v>
      </c>
      <c r="G9585">
        <v>0</v>
      </c>
      <c r="H9585">
        <v>1</v>
      </c>
      <c r="I9585" s="3">
        <v>66.72</v>
      </c>
      <c r="J9585" s="3">
        <v>0</v>
      </c>
      <c r="K9585" t="s">
        <v>21260</v>
      </c>
      <c r="L9585">
        <v>1</v>
      </c>
      <c r="M9585" t="s">
        <v>21261</v>
      </c>
      <c r="N9585" t="s">
        <v>30</v>
      </c>
      <c r="O9585" t="s">
        <v>31</v>
      </c>
      <c r="P9585" t="str">
        <f>"15207"</f>
        <v>15207</v>
      </c>
    </row>
    <row r="9586" spans="1:16" x14ac:dyDescent="0.25">
      <c r="A9586" t="str">
        <f>"1150055S00051    00"</f>
        <v>1150055S00051    00</v>
      </c>
      <c r="B9586" t="s">
        <v>21258</v>
      </c>
      <c r="C9586" t="s">
        <v>21262</v>
      </c>
      <c r="D9586" t="s">
        <v>20</v>
      </c>
      <c r="E9586" t="s">
        <v>39</v>
      </c>
      <c r="F9586">
        <v>0</v>
      </c>
      <c r="G9586">
        <v>0</v>
      </c>
      <c r="H9586">
        <v>1</v>
      </c>
      <c r="I9586" s="3">
        <v>19.079999999999998</v>
      </c>
      <c r="J9586" s="3">
        <v>0</v>
      </c>
      <c r="K9586" t="s">
        <v>21260</v>
      </c>
      <c r="L9586">
        <v>1</v>
      </c>
      <c r="M9586" t="s">
        <v>21261</v>
      </c>
      <c r="N9586" t="s">
        <v>30</v>
      </c>
      <c r="O9586" t="s">
        <v>31</v>
      </c>
      <c r="P9586" t="str">
        <f>"15207"</f>
        <v>15207</v>
      </c>
    </row>
    <row r="9587" spans="1:16" x14ac:dyDescent="0.25">
      <c r="A9587" t="str">
        <f>"1150055S00056    00"</f>
        <v>1150055S00056    00</v>
      </c>
      <c r="B9587" t="s">
        <v>21263</v>
      </c>
      <c r="C9587" t="s">
        <v>21264</v>
      </c>
      <c r="D9587" t="s">
        <v>20</v>
      </c>
      <c r="E9587" t="s">
        <v>39</v>
      </c>
      <c r="F9587">
        <v>0</v>
      </c>
      <c r="G9587">
        <v>0</v>
      </c>
      <c r="H9587">
        <v>2</v>
      </c>
      <c r="I9587" s="3">
        <v>953</v>
      </c>
      <c r="J9587" s="3">
        <v>0</v>
      </c>
      <c r="L9587">
        <v>4738</v>
      </c>
      <c r="M9587" t="s">
        <v>1951</v>
      </c>
      <c r="N9587" t="s">
        <v>30</v>
      </c>
      <c r="O9587" t="s">
        <v>31</v>
      </c>
      <c r="P9587" t="str">
        <f>"15213"</f>
        <v>15213</v>
      </c>
    </row>
    <row r="9588" spans="1:16" x14ac:dyDescent="0.25">
      <c r="A9588" t="str">
        <f>"1150055S00058    00"</f>
        <v>1150055S00058    00</v>
      </c>
      <c r="B9588" t="s">
        <v>21265</v>
      </c>
      <c r="C9588" t="s">
        <v>21266</v>
      </c>
      <c r="D9588" t="s">
        <v>20</v>
      </c>
      <c r="E9588" t="s">
        <v>39</v>
      </c>
      <c r="F9588">
        <v>0</v>
      </c>
      <c r="G9588">
        <v>0</v>
      </c>
      <c r="H9588">
        <v>9</v>
      </c>
      <c r="I9588" s="3">
        <v>2869.14</v>
      </c>
      <c r="J9588" s="3">
        <v>1086.4000000000001</v>
      </c>
      <c r="K9588" t="s">
        <v>21267</v>
      </c>
      <c r="L9588">
        <v>1735</v>
      </c>
      <c r="M9588" t="s">
        <v>21268</v>
      </c>
      <c r="N9588" t="s">
        <v>30</v>
      </c>
      <c r="O9588" t="s">
        <v>31</v>
      </c>
      <c r="P9588" t="str">
        <f>"15210"</f>
        <v>15210</v>
      </c>
    </row>
    <row r="9589" spans="1:16" x14ac:dyDescent="0.25">
      <c r="A9589" t="str">
        <f>"1150055S00060    00"</f>
        <v>1150055S00060    00</v>
      </c>
      <c r="B9589" t="s">
        <v>21263</v>
      </c>
      <c r="C9589" t="s">
        <v>21269</v>
      </c>
      <c r="D9589" t="s">
        <v>20</v>
      </c>
      <c r="E9589" t="s">
        <v>39</v>
      </c>
      <c r="F9589">
        <v>0</v>
      </c>
      <c r="G9589">
        <v>0</v>
      </c>
      <c r="H9589">
        <v>5</v>
      </c>
      <c r="I9589" s="3">
        <v>74.97</v>
      </c>
      <c r="J9589" s="3">
        <v>13.27</v>
      </c>
      <c r="L9589">
        <v>4738</v>
      </c>
      <c r="M9589" t="s">
        <v>1951</v>
      </c>
      <c r="N9589" t="s">
        <v>30</v>
      </c>
      <c r="O9589" t="s">
        <v>31</v>
      </c>
      <c r="P9589" t="str">
        <f>"15213"</f>
        <v>15213</v>
      </c>
    </row>
    <row r="9590" spans="1:16" x14ac:dyDescent="0.25">
      <c r="A9590" t="str">
        <f>"1150055S00062    00"</f>
        <v>1150055S00062    00</v>
      </c>
      <c r="B9590" t="s">
        <v>21263</v>
      </c>
      <c r="C9590" t="s">
        <v>21269</v>
      </c>
      <c r="D9590" t="s">
        <v>20</v>
      </c>
      <c r="E9590" t="s">
        <v>39</v>
      </c>
      <c r="F9590">
        <v>0</v>
      </c>
      <c r="G9590">
        <v>0</v>
      </c>
      <c r="H9590">
        <v>5</v>
      </c>
      <c r="I9590" s="3">
        <v>337.34</v>
      </c>
      <c r="J9590" s="3">
        <v>59.75</v>
      </c>
      <c r="L9590">
        <v>4738</v>
      </c>
      <c r="M9590" t="s">
        <v>1951</v>
      </c>
      <c r="N9590" t="s">
        <v>30</v>
      </c>
      <c r="O9590" t="s">
        <v>31</v>
      </c>
      <c r="P9590" t="str">
        <f>"15213"</f>
        <v>15213</v>
      </c>
    </row>
    <row r="9591" spans="1:16" x14ac:dyDescent="0.25">
      <c r="A9591" t="str">
        <f>"1150055S00074    00"</f>
        <v>1150055S00074    00</v>
      </c>
      <c r="B9591" t="s">
        <v>21270</v>
      </c>
      <c r="C9591" t="s">
        <v>21269</v>
      </c>
      <c r="D9591" t="s">
        <v>20</v>
      </c>
      <c r="E9591" t="s">
        <v>39</v>
      </c>
      <c r="F9591">
        <v>0</v>
      </c>
      <c r="G9591">
        <v>0</v>
      </c>
      <c r="H9591">
        <v>2</v>
      </c>
      <c r="I9591" s="3">
        <v>100.34</v>
      </c>
      <c r="J9591" s="3">
        <v>0</v>
      </c>
      <c r="L9591">
        <v>5140</v>
      </c>
      <c r="M9591" t="s">
        <v>21271</v>
      </c>
      <c r="N9591" t="s">
        <v>30</v>
      </c>
      <c r="O9591" t="s">
        <v>31</v>
      </c>
      <c r="P9591" t="str">
        <f>"15207"</f>
        <v>15207</v>
      </c>
    </row>
    <row r="9592" spans="1:16" x14ac:dyDescent="0.25">
      <c r="A9592" t="str">
        <f>"1150055S00209    00"</f>
        <v>1150055S00209    00</v>
      </c>
      <c r="B9592" t="s">
        <v>21272</v>
      </c>
      <c r="C9592" t="s">
        <v>21273</v>
      </c>
      <c r="D9592" t="s">
        <v>20</v>
      </c>
      <c r="E9592" t="s">
        <v>39</v>
      </c>
      <c r="F9592">
        <v>0</v>
      </c>
      <c r="G9592">
        <v>0</v>
      </c>
      <c r="H9592">
        <v>2</v>
      </c>
      <c r="I9592" s="3">
        <v>3298.69</v>
      </c>
      <c r="J9592" s="3">
        <v>0</v>
      </c>
      <c r="L9592">
        <v>553</v>
      </c>
      <c r="M9592" t="s">
        <v>21274</v>
      </c>
      <c r="N9592" t="s">
        <v>30</v>
      </c>
      <c r="O9592" t="s">
        <v>31</v>
      </c>
      <c r="P9592" t="str">
        <f>"15207"</f>
        <v>15207</v>
      </c>
    </row>
    <row r="9593" spans="1:16" x14ac:dyDescent="0.25">
      <c r="A9593" t="str">
        <f>"1150055S00223    00"</f>
        <v>1150055S00223    00</v>
      </c>
      <c r="B9593" t="s">
        <v>21275</v>
      </c>
      <c r="C9593" t="s">
        <v>21276</v>
      </c>
      <c r="D9593" t="s">
        <v>20</v>
      </c>
      <c r="E9593" t="s">
        <v>39</v>
      </c>
      <c r="F9593">
        <v>0</v>
      </c>
      <c r="G9593">
        <v>0</v>
      </c>
      <c r="H9593">
        <v>1</v>
      </c>
      <c r="I9593" s="3">
        <v>228.72</v>
      </c>
      <c r="J9593" s="3">
        <v>0</v>
      </c>
      <c r="L9593">
        <v>246</v>
      </c>
      <c r="M9593" t="s">
        <v>21277</v>
      </c>
      <c r="N9593" t="s">
        <v>30</v>
      </c>
      <c r="O9593" t="s">
        <v>31</v>
      </c>
      <c r="P9593" t="str">
        <f>"15207"</f>
        <v>15207</v>
      </c>
    </row>
    <row r="9594" spans="1:16" x14ac:dyDescent="0.25">
      <c r="A9594" t="str">
        <f>"1150055S00224    00"</f>
        <v>1150055S00224    00</v>
      </c>
      <c r="B9594" t="s">
        <v>21275</v>
      </c>
      <c r="C9594" t="s">
        <v>21276</v>
      </c>
      <c r="E9594" t="s">
        <v>39</v>
      </c>
      <c r="F9594">
        <v>0</v>
      </c>
      <c r="G9594">
        <v>0</v>
      </c>
      <c r="H9594">
        <v>1</v>
      </c>
      <c r="I9594" s="3">
        <v>44.05</v>
      </c>
      <c r="J9594" s="3">
        <v>0</v>
      </c>
      <c r="L9594">
        <v>246</v>
      </c>
      <c r="M9594" t="s">
        <v>21277</v>
      </c>
      <c r="N9594" t="s">
        <v>30</v>
      </c>
      <c r="O9594" t="s">
        <v>31</v>
      </c>
      <c r="P9594" t="str">
        <f>"15207"</f>
        <v>15207</v>
      </c>
    </row>
    <row r="9595" spans="1:16" x14ac:dyDescent="0.25">
      <c r="A9595" t="str">
        <f>"1150055S00228    00"</f>
        <v>1150055S00228    00</v>
      </c>
      <c r="B9595" t="s">
        <v>21278</v>
      </c>
      <c r="C9595" t="s">
        <v>21279</v>
      </c>
      <c r="D9595" t="s">
        <v>33</v>
      </c>
      <c r="E9595" t="s">
        <v>39</v>
      </c>
      <c r="F9595">
        <v>0</v>
      </c>
      <c r="G9595">
        <v>0</v>
      </c>
      <c r="H9595">
        <v>9</v>
      </c>
      <c r="I9595" s="3">
        <v>3452</v>
      </c>
      <c r="J9595" s="3">
        <v>1592.21</v>
      </c>
      <c r="L9595">
        <v>2806</v>
      </c>
      <c r="M9595" t="s">
        <v>21280</v>
      </c>
      <c r="N9595" t="s">
        <v>30</v>
      </c>
      <c r="O9595" t="s">
        <v>31</v>
      </c>
      <c r="P9595" t="str">
        <f>"15210"</f>
        <v>15210</v>
      </c>
    </row>
    <row r="9596" spans="1:16" x14ac:dyDescent="0.25">
      <c r="A9596" t="str">
        <f>"1150055S00276    00"</f>
        <v>1150055S00276    00</v>
      </c>
      <c r="B9596" t="s">
        <v>21281</v>
      </c>
      <c r="C9596" t="s">
        <v>21282</v>
      </c>
      <c r="D9596" t="s">
        <v>20</v>
      </c>
      <c r="E9596" t="s">
        <v>39</v>
      </c>
      <c r="F9596">
        <v>0</v>
      </c>
      <c r="G9596">
        <v>0</v>
      </c>
      <c r="H9596">
        <v>6</v>
      </c>
      <c r="I9596" s="3">
        <v>10715.09</v>
      </c>
      <c r="J9596" s="3">
        <v>2288.66</v>
      </c>
      <c r="L9596">
        <v>538</v>
      </c>
      <c r="M9596" t="s">
        <v>21180</v>
      </c>
      <c r="N9596" t="s">
        <v>30</v>
      </c>
      <c r="O9596" t="s">
        <v>31</v>
      </c>
      <c r="P9596" t="str">
        <f>"15207"</f>
        <v>15207</v>
      </c>
    </row>
    <row r="9597" spans="1:16" x14ac:dyDescent="0.25">
      <c r="A9597" t="str">
        <f>"1150056A00145    00"</f>
        <v>1150056A00145    00</v>
      </c>
      <c r="B9597" t="s">
        <v>21283</v>
      </c>
      <c r="C9597" t="s">
        <v>21284</v>
      </c>
      <c r="D9597" t="s">
        <v>20</v>
      </c>
      <c r="E9597" t="s">
        <v>21</v>
      </c>
      <c r="F9597">
        <v>0</v>
      </c>
      <c r="G9597">
        <v>0</v>
      </c>
      <c r="H9597">
        <v>1</v>
      </c>
      <c r="I9597" s="3">
        <v>43.85</v>
      </c>
      <c r="J9597" s="3">
        <v>0</v>
      </c>
      <c r="K9597" t="s">
        <v>21285</v>
      </c>
      <c r="L9597">
        <v>260</v>
      </c>
      <c r="M9597" t="s">
        <v>21286</v>
      </c>
      <c r="N9597" t="s">
        <v>30</v>
      </c>
      <c r="O9597" t="s">
        <v>31</v>
      </c>
      <c r="P9597" t="str">
        <f>"15222"</f>
        <v>15222</v>
      </c>
    </row>
    <row r="9598" spans="1:16" x14ac:dyDescent="0.25">
      <c r="A9598" t="str">
        <f>"1150056B00012    00"</f>
        <v>1150056B00012    00</v>
      </c>
      <c r="B9598" t="s">
        <v>21217</v>
      </c>
      <c r="C9598" t="s">
        <v>21125</v>
      </c>
      <c r="D9598" t="s">
        <v>20</v>
      </c>
      <c r="E9598" t="s">
        <v>39</v>
      </c>
      <c r="F9598">
        <v>0</v>
      </c>
      <c r="G9598">
        <v>0</v>
      </c>
      <c r="H9598">
        <v>17</v>
      </c>
      <c r="I9598" s="3">
        <v>270.08</v>
      </c>
      <c r="J9598" s="3">
        <v>401.38</v>
      </c>
      <c r="L9598">
        <v>4646</v>
      </c>
      <c r="M9598" t="s">
        <v>21218</v>
      </c>
      <c r="N9598" t="s">
        <v>30</v>
      </c>
      <c r="O9598" t="s">
        <v>31</v>
      </c>
      <c r="P9598" t="str">
        <f>"15207"</f>
        <v>15207</v>
      </c>
    </row>
    <row r="9599" spans="1:16" x14ac:dyDescent="0.25">
      <c r="A9599" t="str">
        <f>"1150056B00127    00"</f>
        <v>1150056B00127    00</v>
      </c>
      <c r="B9599" t="s">
        <v>21287</v>
      </c>
      <c r="C9599" t="s">
        <v>21288</v>
      </c>
      <c r="E9599" t="s">
        <v>39</v>
      </c>
      <c r="F9599">
        <v>0</v>
      </c>
      <c r="G9599">
        <v>0</v>
      </c>
      <c r="H9599">
        <v>8</v>
      </c>
      <c r="I9599" s="3">
        <v>1872.15</v>
      </c>
      <c r="J9599" s="3">
        <v>1011.22</v>
      </c>
      <c r="K9599" t="s">
        <v>725</v>
      </c>
      <c r="L9599">
        <v>1301</v>
      </c>
      <c r="M9599" t="s">
        <v>722</v>
      </c>
      <c r="N9599" t="s">
        <v>30</v>
      </c>
      <c r="O9599" t="s">
        <v>31</v>
      </c>
      <c r="P9599" t="str">
        <f>"15211"</f>
        <v>15211</v>
      </c>
    </row>
    <row r="9600" spans="1:16" x14ac:dyDescent="0.25">
      <c r="A9600" t="str">
        <f>"1150056B00165    00"</f>
        <v>1150056B00165    00</v>
      </c>
      <c r="B9600" t="s">
        <v>944</v>
      </c>
      <c r="C9600" t="s">
        <v>21289</v>
      </c>
      <c r="E9600" t="s">
        <v>39</v>
      </c>
      <c r="F9600">
        <v>0</v>
      </c>
      <c r="G9600">
        <v>0</v>
      </c>
      <c r="H9600">
        <v>4</v>
      </c>
      <c r="I9600" s="3">
        <v>7887.53</v>
      </c>
      <c r="J9600" s="3">
        <v>8751.9599999999991</v>
      </c>
      <c r="L9600">
        <v>200</v>
      </c>
      <c r="M9600" t="s">
        <v>946</v>
      </c>
      <c r="N9600" t="s">
        <v>30</v>
      </c>
      <c r="O9600" t="s">
        <v>31</v>
      </c>
      <c r="P9600" t="str">
        <f>"15219"</f>
        <v>15219</v>
      </c>
    </row>
    <row r="9601" spans="1:16" x14ac:dyDescent="0.25">
      <c r="A9601" t="str">
        <f>"1150056B00170    00"</f>
        <v>1150056B00170    00</v>
      </c>
      <c r="B9601" t="s">
        <v>21290</v>
      </c>
      <c r="C9601" t="s">
        <v>21291</v>
      </c>
      <c r="E9601" t="s">
        <v>39</v>
      </c>
      <c r="F9601">
        <v>0</v>
      </c>
      <c r="G9601">
        <v>0</v>
      </c>
      <c r="H9601">
        <v>1</v>
      </c>
      <c r="I9601" s="3">
        <v>118.01</v>
      </c>
      <c r="J9601" s="3">
        <v>58.02</v>
      </c>
      <c r="K9601" t="s">
        <v>21292</v>
      </c>
      <c r="L9601">
        <v>335</v>
      </c>
      <c r="M9601" t="s">
        <v>21293</v>
      </c>
      <c r="N9601" t="s">
        <v>13876</v>
      </c>
      <c r="O9601" t="s">
        <v>31</v>
      </c>
      <c r="P9601" t="str">
        <f>"18302"</f>
        <v>18302</v>
      </c>
    </row>
    <row r="9602" spans="1:16" x14ac:dyDescent="0.25">
      <c r="A9602" t="str">
        <f>"1150056B00208    00"</f>
        <v>1150056B00208    00</v>
      </c>
      <c r="B9602" t="s">
        <v>3415</v>
      </c>
      <c r="C9602" t="s">
        <v>21294</v>
      </c>
      <c r="E9602" t="s">
        <v>39</v>
      </c>
      <c r="F9602">
        <v>0</v>
      </c>
      <c r="G9602">
        <v>0</v>
      </c>
      <c r="H9602">
        <v>1</v>
      </c>
      <c r="I9602" s="3">
        <v>163.87</v>
      </c>
      <c r="J9602" s="3">
        <v>0</v>
      </c>
      <c r="L9602">
        <v>614</v>
      </c>
      <c r="M9602" t="s">
        <v>2371</v>
      </c>
      <c r="N9602" t="s">
        <v>30</v>
      </c>
      <c r="O9602" t="s">
        <v>31</v>
      </c>
      <c r="P9602" t="str">
        <f>"15219"</f>
        <v>15219</v>
      </c>
    </row>
    <row r="9603" spans="1:16" x14ac:dyDescent="0.25">
      <c r="A9603" t="str">
        <f>"1150056B00213    00"</f>
        <v>1150056B00213    00</v>
      </c>
      <c r="B9603" t="s">
        <v>21295</v>
      </c>
      <c r="C9603" t="s">
        <v>21296</v>
      </c>
      <c r="D9603" t="s">
        <v>20</v>
      </c>
      <c r="E9603" t="s">
        <v>39</v>
      </c>
      <c r="F9603">
        <v>0</v>
      </c>
      <c r="G9603">
        <v>0</v>
      </c>
      <c r="H9603">
        <v>19</v>
      </c>
      <c r="I9603" s="3">
        <v>2941.19</v>
      </c>
      <c r="J9603" s="3">
        <v>3556.94</v>
      </c>
      <c r="K9603" t="s">
        <v>21297</v>
      </c>
      <c r="L9603">
        <v>4743</v>
      </c>
      <c r="M9603" t="s">
        <v>21298</v>
      </c>
      <c r="N9603" t="s">
        <v>30</v>
      </c>
      <c r="O9603" t="s">
        <v>31</v>
      </c>
      <c r="P9603" t="str">
        <f>"15207"</f>
        <v>15207</v>
      </c>
    </row>
    <row r="9604" spans="1:16" x14ac:dyDescent="0.25">
      <c r="A9604" t="str">
        <f>"1150056B00214    00"</f>
        <v>1150056B00214    00</v>
      </c>
      <c r="B9604" t="s">
        <v>2679</v>
      </c>
      <c r="C9604" t="s">
        <v>21299</v>
      </c>
      <c r="D9604" t="s">
        <v>20</v>
      </c>
      <c r="E9604" t="s">
        <v>39</v>
      </c>
      <c r="F9604">
        <v>0</v>
      </c>
      <c r="G9604">
        <v>0</v>
      </c>
      <c r="H9604">
        <v>6</v>
      </c>
      <c r="I9604" s="3">
        <v>1853.83</v>
      </c>
      <c r="J9604" s="3">
        <v>415.77</v>
      </c>
      <c r="M9604" t="s">
        <v>2628</v>
      </c>
      <c r="N9604" t="s">
        <v>30</v>
      </c>
      <c r="O9604" t="s">
        <v>31</v>
      </c>
      <c r="P9604" t="str">
        <f>"15219"</f>
        <v>15219</v>
      </c>
    </row>
    <row r="9605" spans="1:16" x14ac:dyDescent="0.25">
      <c r="A9605" t="str">
        <f>"1150056B00215    00"</f>
        <v>1150056B00215    00</v>
      </c>
      <c r="B9605" t="s">
        <v>2679</v>
      </c>
      <c r="C9605" t="s">
        <v>21300</v>
      </c>
      <c r="D9605" t="s">
        <v>20</v>
      </c>
      <c r="E9605" t="s">
        <v>39</v>
      </c>
      <c r="F9605">
        <v>0</v>
      </c>
      <c r="G9605">
        <v>0</v>
      </c>
      <c r="H9605">
        <v>6</v>
      </c>
      <c r="I9605" s="3">
        <v>1853.83</v>
      </c>
      <c r="J9605" s="3">
        <v>415.77</v>
      </c>
      <c r="M9605" t="s">
        <v>2628</v>
      </c>
      <c r="N9605" t="s">
        <v>30</v>
      </c>
      <c r="O9605" t="s">
        <v>31</v>
      </c>
      <c r="P9605" t="str">
        <f>"15213"</f>
        <v>15213</v>
      </c>
    </row>
    <row r="9606" spans="1:16" x14ac:dyDescent="0.25">
      <c r="A9606" t="str">
        <f>"1150056B00216    00"</f>
        <v>1150056B00216    00</v>
      </c>
      <c r="B9606" t="s">
        <v>2679</v>
      </c>
      <c r="C9606" t="s">
        <v>21301</v>
      </c>
      <c r="D9606" t="s">
        <v>20</v>
      </c>
      <c r="E9606" t="s">
        <v>39</v>
      </c>
      <c r="F9606">
        <v>0</v>
      </c>
      <c r="G9606">
        <v>0</v>
      </c>
      <c r="H9606">
        <v>6</v>
      </c>
      <c r="I9606" s="3">
        <v>1853.83</v>
      </c>
      <c r="J9606" s="3">
        <v>415.77</v>
      </c>
      <c r="M9606" t="s">
        <v>2628</v>
      </c>
      <c r="N9606" t="s">
        <v>30</v>
      </c>
      <c r="O9606" t="s">
        <v>31</v>
      </c>
      <c r="P9606" t="str">
        <f>"15213"</f>
        <v>15213</v>
      </c>
    </row>
    <row r="9607" spans="1:16" x14ac:dyDescent="0.25">
      <c r="A9607" t="str">
        <f>"1150056B00217    00"</f>
        <v>1150056B00217    00</v>
      </c>
      <c r="B9607" t="s">
        <v>2679</v>
      </c>
      <c r="C9607" t="s">
        <v>21302</v>
      </c>
      <c r="D9607" t="s">
        <v>20</v>
      </c>
      <c r="E9607" t="s">
        <v>39</v>
      </c>
      <c r="F9607">
        <v>0</v>
      </c>
      <c r="G9607">
        <v>0</v>
      </c>
      <c r="H9607">
        <v>4</v>
      </c>
      <c r="I9607" s="3">
        <v>1253.05</v>
      </c>
      <c r="J9607" s="3">
        <v>148.03</v>
      </c>
      <c r="M9607" t="s">
        <v>2628</v>
      </c>
      <c r="N9607" t="s">
        <v>30</v>
      </c>
      <c r="O9607" t="s">
        <v>31</v>
      </c>
      <c r="P9607" t="str">
        <f>"15213"</f>
        <v>15213</v>
      </c>
    </row>
    <row r="9608" spans="1:16" x14ac:dyDescent="0.25">
      <c r="A9608" t="str">
        <f>"1150056B00218    00"</f>
        <v>1150056B00218    00</v>
      </c>
      <c r="B9608" t="s">
        <v>2679</v>
      </c>
      <c r="C9608" t="s">
        <v>21303</v>
      </c>
      <c r="D9608" t="s">
        <v>20</v>
      </c>
      <c r="E9608" t="s">
        <v>39</v>
      </c>
      <c r="F9608">
        <v>0</v>
      </c>
      <c r="G9608">
        <v>0</v>
      </c>
      <c r="H9608">
        <v>6</v>
      </c>
      <c r="I9608" s="3">
        <v>1853.83</v>
      </c>
      <c r="J9608" s="3">
        <v>415.77</v>
      </c>
      <c r="M9608" t="s">
        <v>2628</v>
      </c>
      <c r="N9608" t="s">
        <v>30</v>
      </c>
      <c r="O9608" t="s">
        <v>31</v>
      </c>
      <c r="P9608" t="str">
        <f>"15213"</f>
        <v>15213</v>
      </c>
    </row>
    <row r="9609" spans="1:16" x14ac:dyDescent="0.25">
      <c r="A9609" t="str">
        <f>"1150056B00247    00"</f>
        <v>1150056B00247    00</v>
      </c>
      <c r="B9609" t="s">
        <v>21304</v>
      </c>
      <c r="C9609" t="s">
        <v>21305</v>
      </c>
      <c r="E9609" t="s">
        <v>39</v>
      </c>
      <c r="F9609">
        <v>0</v>
      </c>
      <c r="G9609">
        <v>0</v>
      </c>
      <c r="H9609">
        <v>8</v>
      </c>
      <c r="I9609" s="3">
        <v>9037.0499999999993</v>
      </c>
      <c r="J9609" s="3">
        <v>13244.75</v>
      </c>
      <c r="L9609">
        <v>468</v>
      </c>
      <c r="M9609" t="s">
        <v>3959</v>
      </c>
      <c r="N9609" t="s">
        <v>30</v>
      </c>
      <c r="O9609" t="s">
        <v>31</v>
      </c>
      <c r="P9609" t="str">
        <f>"15221"</f>
        <v>15221</v>
      </c>
    </row>
    <row r="9610" spans="1:16" x14ac:dyDescent="0.25">
      <c r="A9610" t="str">
        <f>"1150056B00313    00"</f>
        <v>1150056B00313    00</v>
      </c>
      <c r="B9610" t="s">
        <v>10792</v>
      </c>
      <c r="C9610" t="s">
        <v>21306</v>
      </c>
      <c r="D9610" t="s">
        <v>57</v>
      </c>
      <c r="E9610" t="s">
        <v>21</v>
      </c>
      <c r="F9610">
        <v>0</v>
      </c>
      <c r="G9610">
        <v>0</v>
      </c>
      <c r="H9610">
        <v>1</v>
      </c>
      <c r="I9610" s="3">
        <v>1193.17</v>
      </c>
      <c r="J9610" s="3">
        <v>0</v>
      </c>
      <c r="L9610">
        <v>412</v>
      </c>
      <c r="M9610" t="s">
        <v>8136</v>
      </c>
      <c r="N9610" t="s">
        <v>30</v>
      </c>
      <c r="O9610" t="s">
        <v>31</v>
      </c>
      <c r="P9610" t="str">
        <f>"15219"</f>
        <v>15219</v>
      </c>
    </row>
    <row r="9611" spans="1:16" x14ac:dyDescent="0.25">
      <c r="A9611" t="str">
        <f>"1150056B00334    00"</f>
        <v>1150056B00334    00</v>
      </c>
      <c r="B9611" t="s">
        <v>21307</v>
      </c>
      <c r="C9611" t="s">
        <v>21308</v>
      </c>
      <c r="D9611" t="s">
        <v>20</v>
      </c>
      <c r="E9611" t="s">
        <v>39</v>
      </c>
      <c r="F9611">
        <v>0</v>
      </c>
      <c r="G9611">
        <v>0</v>
      </c>
      <c r="H9611">
        <v>4</v>
      </c>
      <c r="I9611" s="3">
        <v>4933.88</v>
      </c>
      <c r="J9611" s="3">
        <v>607.54999999999995</v>
      </c>
      <c r="K9611" t="s">
        <v>21309</v>
      </c>
      <c r="L9611">
        <v>150</v>
      </c>
      <c r="M9611" t="s">
        <v>21121</v>
      </c>
      <c r="N9611" t="s">
        <v>30</v>
      </c>
      <c r="O9611" t="s">
        <v>31</v>
      </c>
      <c r="P9611" t="str">
        <f>"15207"</f>
        <v>15207</v>
      </c>
    </row>
    <row r="9612" spans="1:16" x14ac:dyDescent="0.25">
      <c r="A9612" t="str">
        <f>"1150056B00336    00"</f>
        <v>1150056B00336    00</v>
      </c>
      <c r="B9612" t="s">
        <v>21310</v>
      </c>
      <c r="C9612" t="s">
        <v>21139</v>
      </c>
      <c r="D9612" t="s">
        <v>20</v>
      </c>
      <c r="E9612" t="s">
        <v>39</v>
      </c>
      <c r="F9612">
        <v>0</v>
      </c>
      <c r="G9612">
        <v>0</v>
      </c>
      <c r="H9612">
        <v>5</v>
      </c>
      <c r="I9612" s="3">
        <v>64.91</v>
      </c>
      <c r="J9612" s="3">
        <v>20.239999999999998</v>
      </c>
      <c r="L9612">
        <v>1505</v>
      </c>
      <c r="M9612" t="s">
        <v>21311</v>
      </c>
      <c r="N9612" t="s">
        <v>8181</v>
      </c>
      <c r="O9612" t="s">
        <v>31</v>
      </c>
      <c r="P9612" t="str">
        <f>"15110"</f>
        <v>15110</v>
      </c>
    </row>
    <row r="9613" spans="1:16" x14ac:dyDescent="0.25">
      <c r="A9613" t="str">
        <f>"1150056B00337    00"</f>
        <v>1150056B00337    00</v>
      </c>
      <c r="B9613" t="s">
        <v>13012</v>
      </c>
      <c r="C9613" t="s">
        <v>21139</v>
      </c>
      <c r="D9613" t="s">
        <v>20</v>
      </c>
      <c r="E9613" t="s">
        <v>39</v>
      </c>
      <c r="F9613">
        <v>0</v>
      </c>
      <c r="G9613">
        <v>0</v>
      </c>
      <c r="H9613">
        <v>9</v>
      </c>
      <c r="I9613" s="3">
        <v>10977.94</v>
      </c>
      <c r="J9613" s="3">
        <v>16498.599999999999</v>
      </c>
      <c r="L9613">
        <v>158</v>
      </c>
      <c r="M9613" t="s">
        <v>21121</v>
      </c>
      <c r="N9613" t="s">
        <v>30</v>
      </c>
      <c r="O9613" t="s">
        <v>31</v>
      </c>
      <c r="P9613" t="str">
        <f>"15207"</f>
        <v>15207</v>
      </c>
    </row>
    <row r="9614" spans="1:16" x14ac:dyDescent="0.25">
      <c r="A9614" t="str">
        <f>"1150056B00339    00"</f>
        <v>1150056B00339    00</v>
      </c>
      <c r="B9614" t="s">
        <v>13012</v>
      </c>
      <c r="C9614" t="s">
        <v>21312</v>
      </c>
      <c r="D9614" t="s">
        <v>20</v>
      </c>
      <c r="E9614" t="s">
        <v>39</v>
      </c>
      <c r="F9614">
        <v>0</v>
      </c>
      <c r="G9614">
        <v>0</v>
      </c>
      <c r="H9614">
        <v>2</v>
      </c>
      <c r="I9614" s="3">
        <v>770.14</v>
      </c>
      <c r="J9614" s="3">
        <v>0</v>
      </c>
      <c r="M9614" t="s">
        <v>13014</v>
      </c>
      <c r="N9614" t="s">
        <v>30</v>
      </c>
      <c r="O9614" t="s">
        <v>31</v>
      </c>
      <c r="P9614" t="str">
        <f>"15207"</f>
        <v>15207</v>
      </c>
    </row>
    <row r="9615" spans="1:16" x14ac:dyDescent="0.25">
      <c r="A9615" t="str">
        <f>"1150056C00039    00"</f>
        <v>1150056C00039    00</v>
      </c>
      <c r="B9615" t="s">
        <v>21313</v>
      </c>
      <c r="C9615" t="s">
        <v>21314</v>
      </c>
      <c r="D9615" t="s">
        <v>20</v>
      </c>
      <c r="E9615" t="s">
        <v>39</v>
      </c>
      <c r="F9615">
        <v>0</v>
      </c>
      <c r="G9615">
        <v>0</v>
      </c>
      <c r="H9615">
        <v>7</v>
      </c>
      <c r="I9615" s="3">
        <v>2923.3</v>
      </c>
      <c r="J9615" s="3">
        <v>808.38</v>
      </c>
      <c r="L9615">
        <v>6721</v>
      </c>
      <c r="M9615" t="s">
        <v>21315</v>
      </c>
      <c r="N9615" t="s">
        <v>21316</v>
      </c>
      <c r="O9615" t="s">
        <v>108</v>
      </c>
      <c r="P9615" t="str">
        <f>"78109"</f>
        <v>78109</v>
      </c>
    </row>
    <row r="9616" spans="1:16" x14ac:dyDescent="0.25">
      <c r="A9616" t="str">
        <f>"1150056C00040    00"</f>
        <v>1150056C00040    00</v>
      </c>
      <c r="B9616" t="s">
        <v>21313</v>
      </c>
      <c r="C9616" t="s">
        <v>21317</v>
      </c>
      <c r="D9616" t="s">
        <v>20</v>
      </c>
      <c r="E9616" t="s">
        <v>39</v>
      </c>
      <c r="F9616">
        <v>0</v>
      </c>
      <c r="G9616">
        <v>0</v>
      </c>
      <c r="H9616">
        <v>7</v>
      </c>
      <c r="I9616" s="3">
        <v>377.04</v>
      </c>
      <c r="J9616" s="3">
        <v>105.59</v>
      </c>
      <c r="L9616">
        <v>6721</v>
      </c>
      <c r="M9616" t="s">
        <v>21315</v>
      </c>
      <c r="N9616" t="s">
        <v>21316</v>
      </c>
      <c r="O9616" t="s">
        <v>108</v>
      </c>
      <c r="P9616" t="str">
        <f>"78109"</f>
        <v>78109</v>
      </c>
    </row>
    <row r="9617" spans="1:16" x14ac:dyDescent="0.25">
      <c r="A9617" t="str">
        <f>"1150056C00042    00"</f>
        <v>1150056C00042    00</v>
      </c>
      <c r="B9617" t="s">
        <v>21246</v>
      </c>
      <c r="C9617" t="s">
        <v>21318</v>
      </c>
      <c r="D9617" t="s">
        <v>20</v>
      </c>
      <c r="E9617" t="s">
        <v>39</v>
      </c>
      <c r="F9617">
        <v>0</v>
      </c>
      <c r="G9617">
        <v>0</v>
      </c>
      <c r="H9617">
        <v>3</v>
      </c>
      <c r="I9617" s="3">
        <v>1248.45</v>
      </c>
      <c r="J9617" s="3">
        <v>51.78</v>
      </c>
      <c r="L9617">
        <v>727</v>
      </c>
      <c r="M9617" t="s">
        <v>15656</v>
      </c>
      <c r="N9617" t="s">
        <v>30</v>
      </c>
      <c r="O9617" t="s">
        <v>31</v>
      </c>
      <c r="P9617" t="str">
        <f>"15221"</f>
        <v>15221</v>
      </c>
    </row>
    <row r="9618" spans="1:16" x14ac:dyDescent="0.25">
      <c r="A9618" t="str">
        <f>"1150056C00065    00"</f>
        <v>1150056C00065    00</v>
      </c>
      <c r="B9618" t="s">
        <v>21319</v>
      </c>
      <c r="C9618" t="s">
        <v>21320</v>
      </c>
      <c r="D9618" t="s">
        <v>20</v>
      </c>
      <c r="E9618" t="s">
        <v>39</v>
      </c>
      <c r="F9618">
        <v>0</v>
      </c>
      <c r="G9618">
        <v>0</v>
      </c>
      <c r="H9618">
        <v>19</v>
      </c>
      <c r="I9618" s="3">
        <v>1457.93</v>
      </c>
      <c r="J9618" s="3">
        <v>1717.79</v>
      </c>
      <c r="L9618">
        <v>414</v>
      </c>
      <c r="M9618" t="s">
        <v>21321</v>
      </c>
      <c r="N9618" t="s">
        <v>30</v>
      </c>
      <c r="O9618" t="s">
        <v>31</v>
      </c>
      <c r="P9618" t="str">
        <f>"15207"</f>
        <v>15207</v>
      </c>
    </row>
    <row r="9619" spans="1:16" x14ac:dyDescent="0.25">
      <c r="A9619" t="str">
        <f>"1150056C00074    00"</f>
        <v>1150056C00074    00</v>
      </c>
      <c r="B9619" t="s">
        <v>21322</v>
      </c>
      <c r="C9619" t="s">
        <v>21317</v>
      </c>
      <c r="E9619" t="s">
        <v>39</v>
      </c>
      <c r="F9619">
        <v>0</v>
      </c>
      <c r="G9619">
        <v>0</v>
      </c>
      <c r="H9619">
        <v>1</v>
      </c>
      <c r="I9619" s="3">
        <v>194.42</v>
      </c>
      <c r="J9619" s="3">
        <v>38.880000000000003</v>
      </c>
      <c r="K9619" t="s">
        <v>21323</v>
      </c>
      <c r="L9619">
        <v>4901</v>
      </c>
      <c r="M9619" t="s">
        <v>21324</v>
      </c>
      <c r="N9619" t="s">
        <v>30</v>
      </c>
      <c r="O9619" t="s">
        <v>31</v>
      </c>
      <c r="P9619" t="str">
        <f>"15207"</f>
        <v>15207</v>
      </c>
    </row>
    <row r="9620" spans="1:16" x14ac:dyDescent="0.25">
      <c r="A9620" t="str">
        <f>"1150056C00121    00"</f>
        <v>1150056C00121    00</v>
      </c>
      <c r="B9620" t="s">
        <v>21325</v>
      </c>
      <c r="C9620" t="s">
        <v>21326</v>
      </c>
      <c r="E9620" t="s">
        <v>39</v>
      </c>
      <c r="F9620">
        <v>0</v>
      </c>
      <c r="G9620">
        <v>0</v>
      </c>
      <c r="H9620">
        <v>1</v>
      </c>
      <c r="I9620" s="3">
        <v>434.38</v>
      </c>
      <c r="J9620" s="3">
        <v>97.74</v>
      </c>
      <c r="K9620" t="s">
        <v>4801</v>
      </c>
      <c r="L9620">
        <v>1</v>
      </c>
      <c r="M9620" t="s">
        <v>4802</v>
      </c>
      <c r="N9620" t="s">
        <v>4803</v>
      </c>
      <c r="O9620" t="s">
        <v>554</v>
      </c>
      <c r="P9620" t="str">
        <f>"26003"</f>
        <v>26003</v>
      </c>
    </row>
    <row r="9621" spans="1:16" x14ac:dyDescent="0.25">
      <c r="A9621" t="str">
        <f>"1150056C00135    00"</f>
        <v>1150056C00135    00</v>
      </c>
      <c r="B9621" t="s">
        <v>21327</v>
      </c>
      <c r="C9621" t="s">
        <v>21328</v>
      </c>
      <c r="E9621" t="s">
        <v>39</v>
      </c>
      <c r="F9621">
        <v>0</v>
      </c>
      <c r="G9621">
        <v>0</v>
      </c>
      <c r="H9621">
        <v>10</v>
      </c>
      <c r="I9621" s="3">
        <v>7753.9</v>
      </c>
      <c r="J9621" s="3">
        <v>10634.98</v>
      </c>
      <c r="K9621" t="s">
        <v>21329</v>
      </c>
      <c r="L9621">
        <v>5028</v>
      </c>
      <c r="M9621" t="s">
        <v>21330</v>
      </c>
      <c r="N9621" t="s">
        <v>30</v>
      </c>
      <c r="O9621" t="s">
        <v>31</v>
      </c>
      <c r="P9621" t="str">
        <f>"15207"</f>
        <v>15207</v>
      </c>
    </row>
    <row r="9622" spans="1:16" x14ac:dyDescent="0.25">
      <c r="A9622" t="str">
        <f>"1150056C00207    00"</f>
        <v>1150056C00207    00</v>
      </c>
      <c r="B9622" t="s">
        <v>21331</v>
      </c>
      <c r="C9622" t="s">
        <v>21332</v>
      </c>
      <c r="E9622" t="s">
        <v>39</v>
      </c>
      <c r="F9622">
        <v>0</v>
      </c>
      <c r="G9622">
        <v>0</v>
      </c>
      <c r="H9622">
        <v>4</v>
      </c>
      <c r="I9622" s="3">
        <v>898.97</v>
      </c>
      <c r="J9622" s="3">
        <v>645.13</v>
      </c>
      <c r="K9622" t="s">
        <v>21333</v>
      </c>
      <c r="L9622">
        <v>31</v>
      </c>
      <c r="M9622" t="s">
        <v>21334</v>
      </c>
      <c r="N9622" t="s">
        <v>1353</v>
      </c>
      <c r="O9622" t="s">
        <v>31</v>
      </c>
      <c r="P9622" t="str">
        <f>"15085"</f>
        <v>15085</v>
      </c>
    </row>
    <row r="9623" spans="1:16" x14ac:dyDescent="0.25">
      <c r="A9623" t="str">
        <f>"1150056C00208    00"</f>
        <v>1150056C00208    00</v>
      </c>
      <c r="B9623" t="s">
        <v>21335</v>
      </c>
      <c r="C9623" t="s">
        <v>21336</v>
      </c>
      <c r="E9623" t="s">
        <v>39</v>
      </c>
      <c r="F9623">
        <v>0</v>
      </c>
      <c r="G9623">
        <v>0</v>
      </c>
      <c r="H9623">
        <v>1</v>
      </c>
      <c r="I9623" s="3">
        <v>83.7</v>
      </c>
      <c r="J9623" s="3">
        <v>0</v>
      </c>
      <c r="L9623">
        <v>614</v>
      </c>
      <c r="M9623" t="s">
        <v>2371</v>
      </c>
      <c r="N9623" t="s">
        <v>30</v>
      </c>
      <c r="O9623" t="s">
        <v>31</v>
      </c>
      <c r="P9623" t="str">
        <f>"15219"</f>
        <v>15219</v>
      </c>
    </row>
    <row r="9624" spans="1:16" x14ac:dyDescent="0.25">
      <c r="A9624" t="str">
        <f>"1150056C00214    00"</f>
        <v>1150056C00214    00</v>
      </c>
      <c r="B9624" t="s">
        <v>12981</v>
      </c>
      <c r="C9624" t="s">
        <v>21320</v>
      </c>
      <c r="D9624" t="s">
        <v>20</v>
      </c>
      <c r="E9624" t="s">
        <v>39</v>
      </c>
      <c r="F9624">
        <v>0</v>
      </c>
      <c r="G9624">
        <v>0</v>
      </c>
      <c r="H9624">
        <v>18</v>
      </c>
      <c r="I9624" s="3">
        <v>302.08999999999997</v>
      </c>
      <c r="J9624" s="3">
        <v>290.8</v>
      </c>
      <c r="L9624">
        <v>600</v>
      </c>
      <c r="M9624" t="s">
        <v>7842</v>
      </c>
      <c r="N9624" t="s">
        <v>12982</v>
      </c>
      <c r="O9624" t="s">
        <v>200</v>
      </c>
      <c r="P9624" t="str">
        <f>"11572"</f>
        <v>11572</v>
      </c>
    </row>
    <row r="9625" spans="1:16" x14ac:dyDescent="0.25">
      <c r="A9625" t="str">
        <f>"1150056C00216    00"</f>
        <v>1150056C00216    00</v>
      </c>
      <c r="B9625" t="s">
        <v>21337</v>
      </c>
      <c r="C9625" t="s">
        <v>21320</v>
      </c>
      <c r="D9625" t="s">
        <v>20</v>
      </c>
      <c r="E9625" t="s">
        <v>39</v>
      </c>
      <c r="F9625">
        <v>0</v>
      </c>
      <c r="G9625">
        <v>0</v>
      </c>
      <c r="H9625">
        <v>4</v>
      </c>
      <c r="I9625" s="3">
        <v>52.84</v>
      </c>
      <c r="J9625" s="3">
        <v>6.51</v>
      </c>
      <c r="L9625">
        <v>31</v>
      </c>
      <c r="M9625" t="s">
        <v>21334</v>
      </c>
      <c r="N9625" t="s">
        <v>1353</v>
      </c>
      <c r="O9625" t="s">
        <v>31</v>
      </c>
      <c r="P9625" t="str">
        <f>"15085"</f>
        <v>15085</v>
      </c>
    </row>
    <row r="9626" spans="1:16" x14ac:dyDescent="0.25">
      <c r="A9626" t="str">
        <f>"1150056C00225    00"</f>
        <v>1150056C00225    00</v>
      </c>
      <c r="B9626" t="s">
        <v>21338</v>
      </c>
      <c r="C9626" t="s">
        <v>21317</v>
      </c>
      <c r="E9626" t="s">
        <v>39</v>
      </c>
      <c r="F9626">
        <v>0</v>
      </c>
      <c r="G9626">
        <v>0</v>
      </c>
      <c r="H9626">
        <v>7</v>
      </c>
      <c r="I9626" s="3">
        <v>2984.33</v>
      </c>
      <c r="J9626" s="3">
        <v>2672.08</v>
      </c>
      <c r="K9626" t="s">
        <v>21339</v>
      </c>
      <c r="L9626">
        <v>4901</v>
      </c>
      <c r="M9626" t="s">
        <v>21340</v>
      </c>
      <c r="N9626" t="s">
        <v>30</v>
      </c>
      <c r="O9626" t="s">
        <v>31</v>
      </c>
      <c r="P9626" t="str">
        <f>"15207"</f>
        <v>15207</v>
      </c>
    </row>
    <row r="9627" spans="1:16" x14ac:dyDescent="0.25">
      <c r="A9627" t="str">
        <f>"1150056C00236    00"</f>
        <v>1150056C00236    00</v>
      </c>
      <c r="B9627" t="s">
        <v>21341</v>
      </c>
      <c r="C9627" t="s">
        <v>21342</v>
      </c>
      <c r="D9627" t="s">
        <v>20</v>
      </c>
      <c r="E9627" t="s">
        <v>39</v>
      </c>
      <c r="F9627">
        <v>0</v>
      </c>
      <c r="G9627">
        <v>0</v>
      </c>
      <c r="H9627">
        <v>3</v>
      </c>
      <c r="I9627" s="3">
        <v>1720.93</v>
      </c>
      <c r="J9627" s="3">
        <v>174.87</v>
      </c>
      <c r="L9627">
        <v>357</v>
      </c>
      <c r="M9627" t="s">
        <v>21343</v>
      </c>
      <c r="N9627" t="s">
        <v>30</v>
      </c>
      <c r="O9627" t="s">
        <v>31</v>
      </c>
      <c r="P9627" t="str">
        <f>"15207"</f>
        <v>15207</v>
      </c>
    </row>
    <row r="9628" spans="1:16" x14ac:dyDescent="0.25">
      <c r="A9628" t="str">
        <f>"1150056C00237    00"</f>
        <v>1150056C00237    00</v>
      </c>
      <c r="B9628" t="s">
        <v>21344</v>
      </c>
      <c r="C9628" t="s">
        <v>21345</v>
      </c>
      <c r="D9628" t="s">
        <v>20</v>
      </c>
      <c r="E9628" t="s">
        <v>39</v>
      </c>
      <c r="F9628">
        <v>0</v>
      </c>
      <c r="G9628">
        <v>0</v>
      </c>
      <c r="H9628">
        <v>6</v>
      </c>
      <c r="I9628" s="3">
        <v>4180.76</v>
      </c>
      <c r="J9628" s="3">
        <v>1000.46</v>
      </c>
      <c r="K9628" t="s">
        <v>21346</v>
      </c>
      <c r="L9628">
        <v>345</v>
      </c>
      <c r="M9628" t="s">
        <v>21343</v>
      </c>
      <c r="N9628" t="s">
        <v>30</v>
      </c>
      <c r="O9628" t="s">
        <v>31</v>
      </c>
      <c r="P9628" t="str">
        <f>"15207"</f>
        <v>15207</v>
      </c>
    </row>
    <row r="9629" spans="1:16" x14ac:dyDescent="0.25">
      <c r="A9629" t="str">
        <f>"1150056C00241    00"</f>
        <v>1150056C00241    00</v>
      </c>
      <c r="B9629" t="s">
        <v>21347</v>
      </c>
      <c r="C9629" t="s">
        <v>21348</v>
      </c>
      <c r="E9629" t="s">
        <v>39</v>
      </c>
      <c r="F9629">
        <v>0</v>
      </c>
      <c r="G9629">
        <v>0</v>
      </c>
      <c r="H9629">
        <v>1</v>
      </c>
      <c r="I9629" s="3">
        <v>505.1</v>
      </c>
      <c r="J9629" s="3">
        <v>12.63</v>
      </c>
      <c r="K9629" t="s">
        <v>21349</v>
      </c>
      <c r="L9629">
        <v>4901</v>
      </c>
      <c r="M9629" t="s">
        <v>21324</v>
      </c>
      <c r="N9629" t="s">
        <v>30</v>
      </c>
      <c r="O9629" t="s">
        <v>31</v>
      </c>
      <c r="P9629" t="str">
        <f>"15207"</f>
        <v>15207</v>
      </c>
    </row>
    <row r="9630" spans="1:16" x14ac:dyDescent="0.25">
      <c r="A9630" t="str">
        <f>"1150056C00278    00"</f>
        <v>1150056C00278    00</v>
      </c>
      <c r="B9630" t="s">
        <v>21337</v>
      </c>
      <c r="C9630" t="s">
        <v>21320</v>
      </c>
      <c r="D9630" t="s">
        <v>20</v>
      </c>
      <c r="E9630" t="s">
        <v>39</v>
      </c>
      <c r="F9630">
        <v>0</v>
      </c>
      <c r="G9630">
        <v>0</v>
      </c>
      <c r="H9630">
        <v>4</v>
      </c>
      <c r="I9630" s="3">
        <v>37.76</v>
      </c>
      <c r="J9630" s="3">
        <v>4.66</v>
      </c>
      <c r="L9630">
        <v>31</v>
      </c>
      <c r="M9630" t="s">
        <v>21334</v>
      </c>
      <c r="N9630" t="s">
        <v>1353</v>
      </c>
      <c r="O9630" t="s">
        <v>31</v>
      </c>
      <c r="P9630" t="str">
        <f>"15085"</f>
        <v>15085</v>
      </c>
    </row>
    <row r="9631" spans="1:16" x14ac:dyDescent="0.25">
      <c r="A9631" t="str">
        <f>"1150056C00290    00"</f>
        <v>1150056C00290    00</v>
      </c>
      <c r="B9631" t="s">
        <v>21350</v>
      </c>
      <c r="C9631" t="s">
        <v>21320</v>
      </c>
      <c r="D9631" t="s">
        <v>20</v>
      </c>
      <c r="E9631" t="s">
        <v>39</v>
      </c>
      <c r="F9631">
        <v>0</v>
      </c>
      <c r="G9631">
        <v>0</v>
      </c>
      <c r="H9631">
        <v>17</v>
      </c>
      <c r="I9631" s="3">
        <v>245.82</v>
      </c>
      <c r="J9631" s="3">
        <v>288.58999999999997</v>
      </c>
      <c r="L9631">
        <v>2444</v>
      </c>
      <c r="M9631" t="s">
        <v>1665</v>
      </c>
      <c r="N9631" t="s">
        <v>30</v>
      </c>
      <c r="O9631" t="s">
        <v>31</v>
      </c>
      <c r="P9631" t="str">
        <f>"15234"</f>
        <v>15234</v>
      </c>
    </row>
    <row r="9632" spans="1:16" x14ac:dyDescent="0.25">
      <c r="A9632" t="str">
        <f>"1150056C00298    00"</f>
        <v>1150056C00298    00</v>
      </c>
      <c r="B9632" t="s">
        <v>21351</v>
      </c>
      <c r="C9632" t="s">
        <v>21139</v>
      </c>
      <c r="D9632" t="s">
        <v>20</v>
      </c>
      <c r="E9632" t="s">
        <v>39</v>
      </c>
      <c r="F9632">
        <v>0</v>
      </c>
      <c r="G9632">
        <v>0</v>
      </c>
      <c r="H9632">
        <v>17</v>
      </c>
      <c r="I9632" s="3">
        <v>1474.35</v>
      </c>
      <c r="J9632" s="3">
        <v>1296.29</v>
      </c>
      <c r="L9632">
        <v>153</v>
      </c>
      <c r="M9632" t="s">
        <v>21352</v>
      </c>
      <c r="N9632" t="s">
        <v>1046</v>
      </c>
      <c r="O9632" t="s">
        <v>31</v>
      </c>
      <c r="P9632" t="str">
        <f>"15147"</f>
        <v>15147</v>
      </c>
    </row>
    <row r="9633" spans="1:16" x14ac:dyDescent="0.25">
      <c r="A9633" t="str">
        <f>"1150056C00332    00"</f>
        <v>1150056C00332    00</v>
      </c>
      <c r="B9633" t="s">
        <v>21353</v>
      </c>
      <c r="C9633" t="s">
        <v>21354</v>
      </c>
      <c r="D9633" t="s">
        <v>20</v>
      </c>
      <c r="E9633" t="s">
        <v>39</v>
      </c>
      <c r="F9633">
        <v>0</v>
      </c>
      <c r="G9633">
        <v>0</v>
      </c>
      <c r="H9633">
        <v>3</v>
      </c>
      <c r="I9633" s="3">
        <v>1367.2</v>
      </c>
      <c r="J9633" s="3">
        <v>5.31</v>
      </c>
      <c r="K9633" t="s">
        <v>21355</v>
      </c>
      <c r="L9633">
        <v>210</v>
      </c>
      <c r="M9633" t="s">
        <v>21356</v>
      </c>
      <c r="N9633" t="s">
        <v>30</v>
      </c>
      <c r="O9633" t="s">
        <v>31</v>
      </c>
      <c r="P9633" t="str">
        <f>"15207"</f>
        <v>15207</v>
      </c>
    </row>
    <row r="9634" spans="1:16" x14ac:dyDescent="0.25">
      <c r="A9634" t="str">
        <f>"1150056C00334    00"</f>
        <v>1150056C00334    00</v>
      </c>
      <c r="B9634" t="s">
        <v>21357</v>
      </c>
      <c r="C9634" t="s">
        <v>21358</v>
      </c>
      <c r="D9634" t="s">
        <v>20</v>
      </c>
      <c r="E9634" t="s">
        <v>21</v>
      </c>
      <c r="F9634">
        <v>0</v>
      </c>
      <c r="G9634">
        <v>0</v>
      </c>
      <c r="H9634">
        <v>1</v>
      </c>
      <c r="I9634" s="3">
        <v>3049.6</v>
      </c>
      <c r="J9634" s="3">
        <v>0</v>
      </c>
      <c r="K9634" t="s">
        <v>21359</v>
      </c>
      <c r="L9634">
        <v>185</v>
      </c>
      <c r="M9634" t="s">
        <v>21360</v>
      </c>
      <c r="N9634" t="s">
        <v>21361</v>
      </c>
      <c r="O9634" t="s">
        <v>440</v>
      </c>
      <c r="P9634" t="str">
        <f>"02116"</f>
        <v>02116</v>
      </c>
    </row>
    <row r="9635" spans="1:16" x14ac:dyDescent="0.25">
      <c r="A9635" t="str">
        <f>"1150056D00058    00"</f>
        <v>1150056D00058    00</v>
      </c>
      <c r="B9635" t="s">
        <v>21248</v>
      </c>
      <c r="C9635" t="s">
        <v>21254</v>
      </c>
      <c r="D9635" t="s">
        <v>20</v>
      </c>
      <c r="E9635" t="s">
        <v>39</v>
      </c>
      <c r="F9635">
        <v>0</v>
      </c>
      <c r="G9635">
        <v>0</v>
      </c>
      <c r="H9635">
        <v>3</v>
      </c>
      <c r="I9635" s="3">
        <v>30.51</v>
      </c>
      <c r="J9635" s="3">
        <v>1.53</v>
      </c>
      <c r="K9635" t="s">
        <v>21250</v>
      </c>
      <c r="L9635">
        <v>84</v>
      </c>
      <c r="M9635" t="s">
        <v>21251</v>
      </c>
      <c r="N9635" t="s">
        <v>30</v>
      </c>
      <c r="O9635" t="s">
        <v>31</v>
      </c>
      <c r="P9635" t="str">
        <f>"15207"</f>
        <v>15207</v>
      </c>
    </row>
    <row r="9636" spans="1:16" x14ac:dyDescent="0.25">
      <c r="A9636" t="str">
        <f>"1150056D00060    00"</f>
        <v>1150056D00060    00</v>
      </c>
      <c r="B9636" t="s">
        <v>21362</v>
      </c>
      <c r="C9636" t="s">
        <v>21317</v>
      </c>
      <c r="D9636" t="s">
        <v>20</v>
      </c>
      <c r="E9636" t="s">
        <v>39</v>
      </c>
      <c r="F9636">
        <v>0</v>
      </c>
      <c r="G9636">
        <v>0</v>
      </c>
      <c r="H9636">
        <v>19</v>
      </c>
      <c r="I9636" s="3">
        <v>1969.24</v>
      </c>
      <c r="J9636" s="3">
        <v>2274.69</v>
      </c>
      <c r="L9636">
        <v>4107</v>
      </c>
      <c r="M9636" t="s">
        <v>1695</v>
      </c>
      <c r="N9636" t="s">
        <v>30</v>
      </c>
      <c r="O9636" t="s">
        <v>31</v>
      </c>
      <c r="P9636" t="str">
        <f>"15207"</f>
        <v>15207</v>
      </c>
    </row>
    <row r="9637" spans="1:16" x14ac:dyDescent="0.25">
      <c r="A9637" t="str">
        <f>"1150056D00066    00"</f>
        <v>1150056D00066    00</v>
      </c>
      <c r="B9637" t="s">
        <v>21363</v>
      </c>
      <c r="C9637" t="s">
        <v>21364</v>
      </c>
      <c r="D9637" t="s">
        <v>20</v>
      </c>
      <c r="E9637" t="s">
        <v>39</v>
      </c>
      <c r="F9637">
        <v>0</v>
      </c>
      <c r="G9637">
        <v>0</v>
      </c>
      <c r="H9637">
        <v>2</v>
      </c>
      <c r="I9637" s="3">
        <v>1425.74</v>
      </c>
      <c r="J9637" s="3">
        <v>0</v>
      </c>
      <c r="L9637">
        <v>149</v>
      </c>
      <c r="M9637" t="s">
        <v>14900</v>
      </c>
      <c r="N9637" t="s">
        <v>295</v>
      </c>
      <c r="O9637" t="s">
        <v>31</v>
      </c>
      <c r="P9637" t="str">
        <f>"15146"</f>
        <v>15146</v>
      </c>
    </row>
    <row r="9638" spans="1:16" x14ac:dyDescent="0.25">
      <c r="A9638" t="str">
        <f>"1150056D00069    00"</f>
        <v>1150056D00069    00</v>
      </c>
      <c r="B9638" t="s">
        <v>21363</v>
      </c>
      <c r="C9638" t="s">
        <v>21254</v>
      </c>
      <c r="D9638" t="s">
        <v>20</v>
      </c>
      <c r="E9638" t="s">
        <v>39</v>
      </c>
      <c r="F9638">
        <v>0</v>
      </c>
      <c r="G9638">
        <v>0</v>
      </c>
      <c r="H9638">
        <v>7</v>
      </c>
      <c r="I9638" s="3">
        <v>104.01</v>
      </c>
      <c r="J9638" s="3">
        <v>32.03</v>
      </c>
      <c r="L9638">
        <v>149</v>
      </c>
      <c r="M9638" t="s">
        <v>14900</v>
      </c>
      <c r="N9638" t="s">
        <v>295</v>
      </c>
      <c r="O9638" t="s">
        <v>31</v>
      </c>
      <c r="P9638" t="str">
        <f>"15146"</f>
        <v>15146</v>
      </c>
    </row>
    <row r="9639" spans="1:16" x14ac:dyDescent="0.25">
      <c r="A9639" t="str">
        <f>"1150056D00077    00"</f>
        <v>1150056D00077    00</v>
      </c>
      <c r="B9639" t="s">
        <v>21365</v>
      </c>
      <c r="C9639" t="s">
        <v>21317</v>
      </c>
      <c r="D9639" t="s">
        <v>20</v>
      </c>
      <c r="E9639" t="s">
        <v>39</v>
      </c>
      <c r="F9639">
        <v>0</v>
      </c>
      <c r="G9639">
        <v>0</v>
      </c>
      <c r="H9639">
        <v>19</v>
      </c>
      <c r="I9639" s="3">
        <v>3679.5</v>
      </c>
      <c r="J9639" s="3">
        <v>4820.4399999999996</v>
      </c>
      <c r="L9639">
        <v>307</v>
      </c>
      <c r="M9639" t="s">
        <v>21366</v>
      </c>
      <c r="N9639" t="s">
        <v>30</v>
      </c>
      <c r="O9639" t="s">
        <v>31</v>
      </c>
      <c r="P9639" t="str">
        <f>"15207"</f>
        <v>15207</v>
      </c>
    </row>
    <row r="9640" spans="1:16" x14ac:dyDescent="0.25">
      <c r="A9640" t="str">
        <f>"1150056D00148    00"</f>
        <v>1150056D00148    00</v>
      </c>
      <c r="B9640" t="s">
        <v>21367</v>
      </c>
      <c r="C9640" t="s">
        <v>21368</v>
      </c>
      <c r="D9640" t="s">
        <v>20</v>
      </c>
      <c r="E9640" t="s">
        <v>39</v>
      </c>
      <c r="F9640">
        <v>0</v>
      </c>
      <c r="G9640">
        <v>0</v>
      </c>
      <c r="H9640">
        <v>19</v>
      </c>
      <c r="I9640" s="3">
        <v>5406.22</v>
      </c>
      <c r="J9640" s="3">
        <v>6248.93</v>
      </c>
      <c r="L9640">
        <v>1225</v>
      </c>
      <c r="M9640" t="s">
        <v>21369</v>
      </c>
      <c r="N9640" t="s">
        <v>134</v>
      </c>
      <c r="O9640" t="s">
        <v>31</v>
      </c>
      <c r="P9640" t="str">
        <f>"15037"</f>
        <v>15037</v>
      </c>
    </row>
    <row r="9641" spans="1:16" x14ac:dyDescent="0.25">
      <c r="A9641" t="str">
        <f>"1150056D00173    00"</f>
        <v>1150056D00173    00</v>
      </c>
      <c r="B9641" t="s">
        <v>21370</v>
      </c>
      <c r="C9641" t="s">
        <v>21371</v>
      </c>
      <c r="D9641" t="s">
        <v>20</v>
      </c>
      <c r="E9641" t="s">
        <v>39</v>
      </c>
      <c r="F9641">
        <v>0</v>
      </c>
      <c r="G9641">
        <v>0</v>
      </c>
      <c r="H9641">
        <v>8</v>
      </c>
      <c r="I9641" s="3">
        <v>1459.68</v>
      </c>
      <c r="J9641" s="3">
        <v>2560.44</v>
      </c>
      <c r="K9641" t="s">
        <v>21372</v>
      </c>
      <c r="L9641">
        <v>220</v>
      </c>
      <c r="M9641" t="s">
        <v>21373</v>
      </c>
      <c r="N9641" t="s">
        <v>8181</v>
      </c>
      <c r="O9641" t="s">
        <v>31</v>
      </c>
      <c r="P9641" t="str">
        <f>"15110"</f>
        <v>15110</v>
      </c>
    </row>
    <row r="9642" spans="1:16" x14ac:dyDescent="0.25">
      <c r="A9642" t="str">
        <f>"1150056D00177    00"</f>
        <v>1150056D00177    00</v>
      </c>
      <c r="B9642" t="s">
        <v>21374</v>
      </c>
      <c r="C9642" t="s">
        <v>21375</v>
      </c>
      <c r="D9642" t="s">
        <v>20</v>
      </c>
      <c r="E9642" t="s">
        <v>39</v>
      </c>
      <c r="F9642">
        <v>0</v>
      </c>
      <c r="G9642">
        <v>0</v>
      </c>
      <c r="H9642">
        <v>15</v>
      </c>
      <c r="I9642" s="3">
        <v>6857.17</v>
      </c>
      <c r="J9642" s="3">
        <v>4432.08</v>
      </c>
      <c r="K9642" t="s">
        <v>21376</v>
      </c>
      <c r="L9642">
        <v>199</v>
      </c>
      <c r="M9642" t="s">
        <v>21377</v>
      </c>
      <c r="N9642" t="s">
        <v>30</v>
      </c>
      <c r="O9642" t="s">
        <v>31</v>
      </c>
      <c r="P9642" t="str">
        <f>"15227"</f>
        <v>15227</v>
      </c>
    </row>
    <row r="9643" spans="1:16" x14ac:dyDescent="0.25">
      <c r="A9643" t="str">
        <f>"1150056D00178    00"</f>
        <v>1150056D00178    00</v>
      </c>
      <c r="B9643" t="s">
        <v>21378</v>
      </c>
      <c r="C9643" t="s">
        <v>21379</v>
      </c>
      <c r="D9643" t="s">
        <v>20</v>
      </c>
      <c r="E9643" t="s">
        <v>39</v>
      </c>
      <c r="F9643">
        <v>0</v>
      </c>
      <c r="G9643">
        <v>0</v>
      </c>
      <c r="H9643">
        <v>5</v>
      </c>
      <c r="I9643" s="3">
        <v>1663.49</v>
      </c>
      <c r="J9643" s="3">
        <v>317.39</v>
      </c>
      <c r="L9643">
        <v>451</v>
      </c>
      <c r="M9643" t="s">
        <v>21380</v>
      </c>
      <c r="N9643" t="s">
        <v>30</v>
      </c>
      <c r="O9643" t="s">
        <v>31</v>
      </c>
      <c r="P9643" t="str">
        <f>"15207"</f>
        <v>15207</v>
      </c>
    </row>
    <row r="9644" spans="1:16" x14ac:dyDescent="0.25">
      <c r="A9644" t="str">
        <f>"1150056D00179    00"</f>
        <v>1150056D00179    00</v>
      </c>
      <c r="B9644" t="s">
        <v>21381</v>
      </c>
      <c r="C9644" t="s">
        <v>21382</v>
      </c>
      <c r="D9644" t="s">
        <v>20</v>
      </c>
      <c r="E9644" t="s">
        <v>39</v>
      </c>
      <c r="F9644">
        <v>0</v>
      </c>
      <c r="G9644">
        <v>0</v>
      </c>
      <c r="H9644">
        <v>19</v>
      </c>
      <c r="I9644" s="3">
        <v>3768.38</v>
      </c>
      <c r="J9644" s="3">
        <v>4258.2700000000004</v>
      </c>
      <c r="L9644">
        <v>2347</v>
      </c>
      <c r="M9644" t="s">
        <v>21383</v>
      </c>
      <c r="N9644" t="s">
        <v>30</v>
      </c>
      <c r="O9644" t="s">
        <v>31</v>
      </c>
      <c r="P9644" t="str">
        <f>"15210"</f>
        <v>15210</v>
      </c>
    </row>
    <row r="9645" spans="1:16" x14ac:dyDescent="0.25">
      <c r="A9645" t="str">
        <f>"1150056D00180    00"</f>
        <v>1150056D00180    00</v>
      </c>
      <c r="B9645" t="s">
        <v>21384</v>
      </c>
      <c r="C9645" t="s">
        <v>21385</v>
      </c>
      <c r="D9645" t="s">
        <v>20</v>
      </c>
      <c r="E9645" t="s">
        <v>39</v>
      </c>
      <c r="F9645">
        <v>0</v>
      </c>
      <c r="G9645">
        <v>0</v>
      </c>
      <c r="H9645">
        <v>1</v>
      </c>
      <c r="I9645" s="3">
        <v>117.18</v>
      </c>
      <c r="J9645" s="3">
        <v>0</v>
      </c>
      <c r="L9645">
        <v>447</v>
      </c>
      <c r="M9645" t="s">
        <v>21380</v>
      </c>
      <c r="N9645" t="s">
        <v>30</v>
      </c>
      <c r="O9645" t="s">
        <v>31</v>
      </c>
      <c r="P9645" t="str">
        <f>"15207"</f>
        <v>15207</v>
      </c>
    </row>
    <row r="9646" spans="1:16" x14ac:dyDescent="0.25">
      <c r="A9646" t="str">
        <f>"1150056D00187    00"</f>
        <v>1150056D00187    00</v>
      </c>
      <c r="B9646" t="s">
        <v>21386</v>
      </c>
      <c r="C9646" t="s">
        <v>21387</v>
      </c>
      <c r="D9646" t="s">
        <v>20</v>
      </c>
      <c r="E9646" t="s">
        <v>39</v>
      </c>
      <c r="F9646">
        <v>0</v>
      </c>
      <c r="G9646">
        <v>0</v>
      </c>
      <c r="H9646">
        <v>17</v>
      </c>
      <c r="I9646" s="3">
        <v>5231.9799999999996</v>
      </c>
      <c r="J9646" s="3">
        <v>4773.2</v>
      </c>
      <c r="L9646">
        <v>4619</v>
      </c>
      <c r="M9646" t="s">
        <v>1451</v>
      </c>
      <c r="N9646" t="s">
        <v>285</v>
      </c>
      <c r="O9646" t="s">
        <v>31</v>
      </c>
      <c r="P9646" t="str">
        <f>"15120"</f>
        <v>15120</v>
      </c>
    </row>
    <row r="9647" spans="1:16" x14ac:dyDescent="0.25">
      <c r="A9647" t="str">
        <f>"1150056D00200    00"</f>
        <v>1150056D00200    00</v>
      </c>
      <c r="B9647" t="s">
        <v>21388</v>
      </c>
      <c r="C9647" t="s">
        <v>21320</v>
      </c>
      <c r="D9647" t="s">
        <v>20</v>
      </c>
      <c r="E9647" t="s">
        <v>39</v>
      </c>
      <c r="F9647">
        <v>0</v>
      </c>
      <c r="G9647">
        <v>0</v>
      </c>
      <c r="H9647">
        <v>19</v>
      </c>
      <c r="I9647" s="3">
        <v>4181.87</v>
      </c>
      <c r="J9647" s="3">
        <v>5584.85</v>
      </c>
      <c r="L9647">
        <v>444</v>
      </c>
      <c r="M9647" t="s">
        <v>21343</v>
      </c>
      <c r="N9647" t="s">
        <v>30</v>
      </c>
      <c r="O9647" t="s">
        <v>31</v>
      </c>
      <c r="P9647" t="str">
        <f>"15207"</f>
        <v>15207</v>
      </c>
    </row>
    <row r="9648" spans="1:16" x14ac:dyDescent="0.25">
      <c r="A9648" t="str">
        <f>"1150056D00324    00"</f>
        <v>1150056D00324    00</v>
      </c>
      <c r="B9648" t="s">
        <v>21389</v>
      </c>
      <c r="C9648" t="s">
        <v>21390</v>
      </c>
      <c r="D9648" t="s">
        <v>20</v>
      </c>
      <c r="E9648" t="s">
        <v>39</v>
      </c>
      <c r="F9648">
        <v>0</v>
      </c>
      <c r="G9648">
        <v>0</v>
      </c>
      <c r="H9648">
        <v>16</v>
      </c>
      <c r="I9648" s="3">
        <v>5018.6499999999996</v>
      </c>
      <c r="J9648" s="3">
        <v>6605.22</v>
      </c>
      <c r="L9648">
        <v>308</v>
      </c>
      <c r="M9648" t="s">
        <v>21391</v>
      </c>
      <c r="N9648" t="s">
        <v>30</v>
      </c>
      <c r="O9648" t="s">
        <v>31</v>
      </c>
      <c r="P9648" t="str">
        <f>"15207"</f>
        <v>15207</v>
      </c>
    </row>
    <row r="9649" spans="1:16" x14ac:dyDescent="0.25">
      <c r="A9649" t="str">
        <f>"1150056E00014    00"</f>
        <v>1150056E00014    00</v>
      </c>
      <c r="B9649" t="s">
        <v>21392</v>
      </c>
      <c r="C9649" t="s">
        <v>21393</v>
      </c>
      <c r="D9649" t="s">
        <v>20</v>
      </c>
      <c r="E9649" t="s">
        <v>21</v>
      </c>
      <c r="F9649">
        <v>0</v>
      </c>
      <c r="G9649">
        <v>0</v>
      </c>
      <c r="H9649">
        <v>1</v>
      </c>
      <c r="I9649" s="3">
        <v>11192.03</v>
      </c>
      <c r="J9649" s="3">
        <v>0</v>
      </c>
      <c r="K9649" t="s">
        <v>21394</v>
      </c>
      <c r="L9649">
        <v>260</v>
      </c>
      <c r="M9649" t="s">
        <v>21286</v>
      </c>
      <c r="N9649" t="s">
        <v>30</v>
      </c>
      <c r="O9649" t="s">
        <v>31</v>
      </c>
      <c r="P9649" t="str">
        <f>"15222"</f>
        <v>15222</v>
      </c>
    </row>
    <row r="9650" spans="1:16" x14ac:dyDescent="0.25">
      <c r="A9650" t="str">
        <f>"1150056F00094    00"</f>
        <v>1150056F00094    00</v>
      </c>
      <c r="B9650" t="s">
        <v>21338</v>
      </c>
      <c r="C9650" t="s">
        <v>21395</v>
      </c>
      <c r="D9650" t="s">
        <v>20</v>
      </c>
      <c r="E9650" t="s">
        <v>21</v>
      </c>
      <c r="F9650">
        <v>0</v>
      </c>
      <c r="G9650">
        <v>0</v>
      </c>
      <c r="H9650">
        <v>3</v>
      </c>
      <c r="I9650" s="3">
        <v>3064.86</v>
      </c>
      <c r="J9650" s="3">
        <v>25.53</v>
      </c>
      <c r="K9650" t="s">
        <v>21339</v>
      </c>
      <c r="L9650">
        <v>4901</v>
      </c>
      <c r="M9650" t="s">
        <v>21340</v>
      </c>
      <c r="N9650" t="s">
        <v>30</v>
      </c>
      <c r="O9650" t="s">
        <v>31</v>
      </c>
      <c r="P9650" t="str">
        <f>"15207"</f>
        <v>15207</v>
      </c>
    </row>
    <row r="9651" spans="1:16" x14ac:dyDescent="0.25">
      <c r="A9651" t="str">
        <f>"1150056F00115    00"</f>
        <v>1150056F00115    00</v>
      </c>
      <c r="B9651" t="s">
        <v>21396</v>
      </c>
      <c r="C9651" t="s">
        <v>21397</v>
      </c>
      <c r="E9651" t="s">
        <v>21</v>
      </c>
      <c r="F9651">
        <v>0</v>
      </c>
      <c r="G9651">
        <v>0</v>
      </c>
      <c r="H9651">
        <v>1</v>
      </c>
      <c r="I9651" s="3">
        <v>27.17</v>
      </c>
      <c r="J9651" s="3">
        <v>10.87</v>
      </c>
      <c r="K9651" t="s">
        <v>21398</v>
      </c>
      <c r="L9651">
        <v>357</v>
      </c>
      <c r="M9651" t="s">
        <v>4767</v>
      </c>
      <c r="N9651" t="s">
        <v>4768</v>
      </c>
      <c r="O9651" t="s">
        <v>31</v>
      </c>
      <c r="P9651" t="str">
        <f>"15137"</f>
        <v>15137</v>
      </c>
    </row>
    <row r="9652" spans="1:16" x14ac:dyDescent="0.25">
      <c r="A9652" t="str">
        <f>"1150056F00147    00"</f>
        <v>1150056F00147    00</v>
      </c>
      <c r="B9652" t="s">
        <v>21399</v>
      </c>
      <c r="C9652" t="s">
        <v>21400</v>
      </c>
      <c r="D9652" t="s">
        <v>20</v>
      </c>
      <c r="E9652" t="s">
        <v>39</v>
      </c>
      <c r="F9652">
        <v>0</v>
      </c>
      <c r="G9652">
        <v>0</v>
      </c>
      <c r="H9652">
        <v>17</v>
      </c>
      <c r="I9652" s="3">
        <v>1962.44</v>
      </c>
      <c r="J9652" s="3">
        <v>2421.41</v>
      </c>
      <c r="L9652">
        <v>4808</v>
      </c>
      <c r="M9652" t="s">
        <v>585</v>
      </c>
      <c r="N9652" t="s">
        <v>30</v>
      </c>
      <c r="O9652" t="s">
        <v>31</v>
      </c>
      <c r="P9652" t="str">
        <f>"15224"</f>
        <v>15224</v>
      </c>
    </row>
    <row r="9653" spans="1:16" x14ac:dyDescent="0.25">
      <c r="A9653" t="str">
        <f>"1150056F00148000100"</f>
        <v>1150056F00148000100</v>
      </c>
      <c r="B9653" t="s">
        <v>21401</v>
      </c>
      <c r="C9653" t="s">
        <v>21400</v>
      </c>
      <c r="D9653" t="s">
        <v>20</v>
      </c>
      <c r="E9653" t="s">
        <v>39</v>
      </c>
      <c r="F9653">
        <v>0</v>
      </c>
      <c r="G9653">
        <v>0</v>
      </c>
      <c r="H9653">
        <v>15</v>
      </c>
      <c r="I9653" s="3">
        <v>110.77</v>
      </c>
      <c r="J9653" s="3">
        <v>121.16</v>
      </c>
      <c r="L9653">
        <v>4929</v>
      </c>
      <c r="M9653" t="s">
        <v>20688</v>
      </c>
      <c r="N9653" t="s">
        <v>30</v>
      </c>
      <c r="O9653" t="s">
        <v>31</v>
      </c>
      <c r="P9653" t="str">
        <f>"15207"</f>
        <v>15207</v>
      </c>
    </row>
    <row r="9654" spans="1:16" x14ac:dyDescent="0.25">
      <c r="A9654" t="str">
        <f>"1150056F00150    00"</f>
        <v>1150056F00150    00</v>
      </c>
      <c r="B9654" t="s">
        <v>21402</v>
      </c>
      <c r="C9654" t="s">
        <v>21403</v>
      </c>
      <c r="D9654" t="s">
        <v>20</v>
      </c>
      <c r="E9654" t="s">
        <v>21</v>
      </c>
      <c r="F9654">
        <v>0</v>
      </c>
      <c r="G9654">
        <v>0</v>
      </c>
      <c r="H9654">
        <v>1</v>
      </c>
      <c r="I9654" s="3">
        <v>40.04</v>
      </c>
      <c r="J9654" s="3">
        <v>0</v>
      </c>
      <c r="K9654" t="s">
        <v>21404</v>
      </c>
      <c r="M9654" t="s">
        <v>21405</v>
      </c>
      <c r="N9654" t="s">
        <v>3919</v>
      </c>
      <c r="O9654" t="s">
        <v>370</v>
      </c>
      <c r="P9654" t="str">
        <f>"32240"</f>
        <v>32240</v>
      </c>
    </row>
    <row r="9655" spans="1:16" x14ac:dyDescent="0.25">
      <c r="A9655" t="str">
        <f>"1150056F00163    00"</f>
        <v>1150056F00163    00</v>
      </c>
      <c r="B9655" t="s">
        <v>21406</v>
      </c>
      <c r="C9655" t="s">
        <v>21407</v>
      </c>
      <c r="D9655" t="s">
        <v>20</v>
      </c>
      <c r="E9655" t="s">
        <v>39</v>
      </c>
      <c r="F9655">
        <v>0</v>
      </c>
      <c r="G9655">
        <v>0</v>
      </c>
      <c r="H9655">
        <v>4</v>
      </c>
      <c r="I9655" s="3">
        <v>1640.36</v>
      </c>
      <c r="J9655" s="3">
        <v>193.77</v>
      </c>
      <c r="L9655">
        <v>5005</v>
      </c>
      <c r="M9655" t="s">
        <v>13512</v>
      </c>
      <c r="N9655" t="s">
        <v>30</v>
      </c>
      <c r="O9655" t="s">
        <v>31</v>
      </c>
      <c r="P9655" t="str">
        <f>"15207"</f>
        <v>15207</v>
      </c>
    </row>
    <row r="9656" spans="1:16" x14ac:dyDescent="0.25">
      <c r="A9656" t="str">
        <f>"1150056F00171    00"</f>
        <v>1150056F00171    00</v>
      </c>
      <c r="B9656" t="s">
        <v>21408</v>
      </c>
      <c r="C9656" t="s">
        <v>21409</v>
      </c>
      <c r="D9656" t="s">
        <v>20</v>
      </c>
      <c r="E9656" t="s">
        <v>39</v>
      </c>
      <c r="F9656">
        <v>0</v>
      </c>
      <c r="G9656">
        <v>0</v>
      </c>
      <c r="H9656">
        <v>2</v>
      </c>
      <c r="I9656" s="3">
        <v>872.96</v>
      </c>
      <c r="J9656" s="3">
        <v>0</v>
      </c>
      <c r="L9656">
        <v>215</v>
      </c>
      <c r="M9656" t="s">
        <v>2119</v>
      </c>
      <c r="N9656" t="s">
        <v>30</v>
      </c>
      <c r="O9656" t="s">
        <v>31</v>
      </c>
      <c r="P9656" t="str">
        <f>"15207"</f>
        <v>15207</v>
      </c>
    </row>
    <row r="9657" spans="1:16" x14ac:dyDescent="0.25">
      <c r="A9657" t="str">
        <f>"1150056F00171B   00"</f>
        <v>1150056F00171B   00</v>
      </c>
      <c r="B9657" t="s">
        <v>21246</v>
      </c>
      <c r="C9657" t="s">
        <v>21409</v>
      </c>
      <c r="D9657" t="s">
        <v>20</v>
      </c>
      <c r="E9657" t="s">
        <v>39</v>
      </c>
      <c r="F9657">
        <v>0</v>
      </c>
      <c r="G9657">
        <v>0</v>
      </c>
      <c r="H9657">
        <v>3</v>
      </c>
      <c r="I9657" s="3">
        <v>264.86</v>
      </c>
      <c r="J9657" s="3">
        <v>3.23</v>
      </c>
      <c r="L9657">
        <v>727</v>
      </c>
      <c r="M9657" t="s">
        <v>15656</v>
      </c>
      <c r="N9657" t="s">
        <v>30</v>
      </c>
      <c r="O9657" t="s">
        <v>31</v>
      </c>
      <c r="P9657" t="str">
        <f>"15221"</f>
        <v>15221</v>
      </c>
    </row>
    <row r="9658" spans="1:16" x14ac:dyDescent="0.25">
      <c r="A9658" t="str">
        <f>"1150056F00173A   00"</f>
        <v>1150056F00173A   00</v>
      </c>
      <c r="B9658" t="s">
        <v>21246</v>
      </c>
      <c r="C9658" t="s">
        <v>21410</v>
      </c>
      <c r="D9658" t="s">
        <v>20</v>
      </c>
      <c r="E9658" t="s">
        <v>39</v>
      </c>
      <c r="F9658">
        <v>0</v>
      </c>
      <c r="G9658">
        <v>0</v>
      </c>
      <c r="H9658">
        <v>2</v>
      </c>
      <c r="I9658" s="3">
        <v>36.950000000000003</v>
      </c>
      <c r="J9658" s="3">
        <v>6.35</v>
      </c>
      <c r="L9658">
        <v>727</v>
      </c>
      <c r="M9658" t="s">
        <v>15656</v>
      </c>
      <c r="N9658" t="s">
        <v>30</v>
      </c>
      <c r="O9658" t="s">
        <v>31</v>
      </c>
      <c r="P9658" t="str">
        <f>"15221"</f>
        <v>15221</v>
      </c>
    </row>
    <row r="9659" spans="1:16" x14ac:dyDescent="0.25">
      <c r="A9659" t="str">
        <f>"1150056F00174    00"</f>
        <v>1150056F00174    00</v>
      </c>
      <c r="B9659" t="s">
        <v>1997</v>
      </c>
      <c r="C9659" t="s">
        <v>21411</v>
      </c>
      <c r="E9659" t="s">
        <v>39</v>
      </c>
      <c r="F9659">
        <v>0</v>
      </c>
      <c r="G9659">
        <v>0</v>
      </c>
      <c r="H9659">
        <v>17</v>
      </c>
      <c r="I9659" s="3">
        <v>7738.14</v>
      </c>
      <c r="J9659" s="3">
        <v>9407.32</v>
      </c>
      <c r="L9659">
        <v>412</v>
      </c>
      <c r="M9659" t="s">
        <v>8136</v>
      </c>
      <c r="N9659" t="s">
        <v>30</v>
      </c>
      <c r="O9659" t="s">
        <v>31</v>
      </c>
      <c r="P9659" t="str">
        <f>"15219"</f>
        <v>15219</v>
      </c>
    </row>
    <row r="9660" spans="1:16" x14ac:dyDescent="0.25">
      <c r="A9660" t="str">
        <f>"1150056F00176    00"</f>
        <v>1150056F00176    00</v>
      </c>
      <c r="B9660" t="s">
        <v>1997</v>
      </c>
      <c r="C9660" t="s">
        <v>21412</v>
      </c>
      <c r="E9660" t="s">
        <v>39</v>
      </c>
      <c r="F9660">
        <v>0</v>
      </c>
      <c r="G9660">
        <v>0</v>
      </c>
      <c r="H9660">
        <v>12</v>
      </c>
      <c r="I9660" s="3">
        <v>5362.92</v>
      </c>
      <c r="J9660" s="3">
        <v>6816.97</v>
      </c>
      <c r="K9660" t="s">
        <v>2361</v>
      </c>
      <c r="L9660">
        <v>412</v>
      </c>
      <c r="M9660" t="s">
        <v>221</v>
      </c>
      <c r="N9660" t="s">
        <v>30</v>
      </c>
      <c r="O9660" t="s">
        <v>31</v>
      </c>
      <c r="P9660" t="str">
        <f>"15219"</f>
        <v>15219</v>
      </c>
    </row>
    <row r="9661" spans="1:16" x14ac:dyDescent="0.25">
      <c r="A9661" t="str">
        <f>"1150056F00178    00"</f>
        <v>1150056F00178    00</v>
      </c>
      <c r="B9661" t="s">
        <v>21413</v>
      </c>
      <c r="C9661" t="s">
        <v>21414</v>
      </c>
      <c r="D9661" t="s">
        <v>20</v>
      </c>
      <c r="E9661" t="s">
        <v>39</v>
      </c>
      <c r="F9661">
        <v>0</v>
      </c>
      <c r="G9661">
        <v>0</v>
      </c>
      <c r="H9661">
        <v>9</v>
      </c>
      <c r="I9661" s="3">
        <v>10407.290000000001</v>
      </c>
      <c r="J9661" s="3">
        <v>4005.68</v>
      </c>
      <c r="L9661">
        <v>138</v>
      </c>
      <c r="M9661" t="s">
        <v>21415</v>
      </c>
      <c r="N9661" t="s">
        <v>636</v>
      </c>
      <c r="O9661" t="s">
        <v>31</v>
      </c>
      <c r="P9661" t="str">
        <f>"15104"</f>
        <v>15104</v>
      </c>
    </row>
    <row r="9662" spans="1:16" x14ac:dyDescent="0.25">
      <c r="A9662" t="str">
        <f>"1150056F00202    00"</f>
        <v>1150056F00202    00</v>
      </c>
      <c r="B9662" t="s">
        <v>21416</v>
      </c>
      <c r="C9662" t="s">
        <v>21417</v>
      </c>
      <c r="D9662" t="s">
        <v>20</v>
      </c>
      <c r="E9662" t="s">
        <v>39</v>
      </c>
      <c r="F9662">
        <v>0</v>
      </c>
      <c r="G9662">
        <v>0</v>
      </c>
      <c r="H9662">
        <v>17</v>
      </c>
      <c r="I9662" s="3">
        <v>221.18</v>
      </c>
      <c r="J9662" s="3">
        <v>253.09</v>
      </c>
      <c r="K9662" t="s">
        <v>1037</v>
      </c>
      <c r="L9662">
        <v>132</v>
      </c>
      <c r="M9662" t="s">
        <v>21418</v>
      </c>
      <c r="N9662" t="s">
        <v>30</v>
      </c>
      <c r="O9662" t="s">
        <v>31</v>
      </c>
      <c r="P9662" t="str">
        <f>"15207"</f>
        <v>15207</v>
      </c>
    </row>
    <row r="9663" spans="1:16" x14ac:dyDescent="0.25">
      <c r="A9663" t="str">
        <f>"1150056F00203    00"</f>
        <v>1150056F00203    00</v>
      </c>
      <c r="B9663" t="s">
        <v>21419</v>
      </c>
      <c r="C9663" t="s">
        <v>21420</v>
      </c>
      <c r="D9663" t="s">
        <v>20</v>
      </c>
      <c r="E9663" t="s">
        <v>39</v>
      </c>
      <c r="F9663">
        <v>0</v>
      </c>
      <c r="G9663">
        <v>0</v>
      </c>
      <c r="H9663">
        <v>19</v>
      </c>
      <c r="I9663" s="3">
        <v>6518.27</v>
      </c>
      <c r="J9663" s="3">
        <v>7172.8</v>
      </c>
      <c r="L9663">
        <v>134</v>
      </c>
      <c r="M9663" t="s">
        <v>21418</v>
      </c>
      <c r="N9663" t="s">
        <v>30</v>
      </c>
      <c r="O9663" t="s">
        <v>31</v>
      </c>
      <c r="P9663" t="str">
        <f>"15207"</f>
        <v>15207</v>
      </c>
    </row>
    <row r="9664" spans="1:16" x14ac:dyDescent="0.25">
      <c r="A9664" t="str">
        <f>"1150056F00204    00"</f>
        <v>1150056F00204    00</v>
      </c>
      <c r="B9664" t="s">
        <v>21421</v>
      </c>
      <c r="C9664" t="s">
        <v>21422</v>
      </c>
      <c r="D9664" t="s">
        <v>20</v>
      </c>
      <c r="E9664" t="s">
        <v>39</v>
      </c>
      <c r="F9664">
        <v>0</v>
      </c>
      <c r="G9664">
        <v>0</v>
      </c>
      <c r="H9664">
        <v>2</v>
      </c>
      <c r="I9664" s="3">
        <v>453.64</v>
      </c>
      <c r="J9664" s="3">
        <v>0</v>
      </c>
      <c r="L9664">
        <v>732</v>
      </c>
      <c r="M9664" t="s">
        <v>21121</v>
      </c>
      <c r="N9664" t="s">
        <v>30</v>
      </c>
      <c r="O9664" t="s">
        <v>31</v>
      </c>
      <c r="P9664" t="str">
        <f>"15217"</f>
        <v>15217</v>
      </c>
    </row>
    <row r="9665" spans="1:16" x14ac:dyDescent="0.25">
      <c r="A9665" t="str">
        <f>"1150056F00205    00"</f>
        <v>1150056F00205    00</v>
      </c>
      <c r="B9665" t="s">
        <v>21423</v>
      </c>
      <c r="C9665" t="s">
        <v>21424</v>
      </c>
      <c r="D9665" t="s">
        <v>20</v>
      </c>
      <c r="E9665" t="s">
        <v>39</v>
      </c>
      <c r="F9665">
        <v>0</v>
      </c>
      <c r="G9665">
        <v>0</v>
      </c>
      <c r="H9665">
        <v>14</v>
      </c>
      <c r="I9665" s="3">
        <v>3078.91</v>
      </c>
      <c r="J9665" s="3">
        <v>2523.69</v>
      </c>
      <c r="L9665">
        <v>621</v>
      </c>
      <c r="M9665" t="s">
        <v>11994</v>
      </c>
      <c r="N9665" t="s">
        <v>30</v>
      </c>
      <c r="O9665" t="s">
        <v>31</v>
      </c>
      <c r="P9665" t="str">
        <f>"15206"</f>
        <v>15206</v>
      </c>
    </row>
    <row r="9666" spans="1:16" x14ac:dyDescent="0.25">
      <c r="A9666" t="str">
        <f>"1150056F00241    00"</f>
        <v>1150056F00241    00</v>
      </c>
      <c r="B9666" t="s">
        <v>21425</v>
      </c>
      <c r="C9666" t="s">
        <v>21317</v>
      </c>
      <c r="D9666" t="s">
        <v>20</v>
      </c>
      <c r="E9666" t="s">
        <v>39</v>
      </c>
      <c r="F9666">
        <v>0</v>
      </c>
      <c r="G9666">
        <v>0</v>
      </c>
      <c r="H9666">
        <v>17</v>
      </c>
      <c r="I9666" s="3">
        <v>202.97</v>
      </c>
      <c r="J9666" s="3">
        <v>243.18</v>
      </c>
      <c r="K9666" t="s">
        <v>21426</v>
      </c>
      <c r="L9666">
        <v>905</v>
      </c>
      <c r="M9666" t="s">
        <v>21427</v>
      </c>
      <c r="N9666" t="s">
        <v>20912</v>
      </c>
      <c r="O9666" t="s">
        <v>200</v>
      </c>
      <c r="P9666" t="str">
        <f>"11710"</f>
        <v>11710</v>
      </c>
    </row>
    <row r="9667" spans="1:16" x14ac:dyDescent="0.25">
      <c r="A9667" t="str">
        <f>"1150056F00243    00"</f>
        <v>1150056F00243    00</v>
      </c>
      <c r="B9667" t="s">
        <v>21428</v>
      </c>
      <c r="C9667" t="s">
        <v>21429</v>
      </c>
      <c r="D9667" t="s">
        <v>20</v>
      </c>
      <c r="E9667" t="s">
        <v>39</v>
      </c>
      <c r="F9667">
        <v>0</v>
      </c>
      <c r="G9667">
        <v>0</v>
      </c>
      <c r="H9667">
        <v>3</v>
      </c>
      <c r="I9667" s="3">
        <v>511.26</v>
      </c>
      <c r="J9667" s="3">
        <v>5.99</v>
      </c>
      <c r="L9667">
        <v>214</v>
      </c>
      <c r="M9667" t="s">
        <v>21343</v>
      </c>
      <c r="N9667" t="s">
        <v>30</v>
      </c>
      <c r="O9667" t="s">
        <v>31</v>
      </c>
      <c r="P9667" t="str">
        <f>"15207"</f>
        <v>15207</v>
      </c>
    </row>
    <row r="9668" spans="1:16" x14ac:dyDescent="0.25">
      <c r="A9668" t="str">
        <f>"1150056F00247    00"</f>
        <v>1150056F00247    00</v>
      </c>
      <c r="B9668" t="s">
        <v>21430</v>
      </c>
      <c r="C9668" t="s">
        <v>21431</v>
      </c>
      <c r="D9668" t="s">
        <v>20</v>
      </c>
      <c r="E9668" t="s">
        <v>39</v>
      </c>
      <c r="F9668">
        <v>0</v>
      </c>
      <c r="G9668">
        <v>0</v>
      </c>
      <c r="H9668">
        <v>13</v>
      </c>
      <c r="I9668" s="3">
        <v>2260.23</v>
      </c>
      <c r="J9668" s="3">
        <v>1248.81</v>
      </c>
      <c r="K9668" t="s">
        <v>21432</v>
      </c>
      <c r="L9668">
        <v>220</v>
      </c>
      <c r="M9668" t="s">
        <v>21343</v>
      </c>
      <c r="N9668" t="s">
        <v>30</v>
      </c>
      <c r="O9668" t="s">
        <v>31</v>
      </c>
      <c r="P9668" t="str">
        <f>"15207"</f>
        <v>15207</v>
      </c>
    </row>
    <row r="9669" spans="1:16" x14ac:dyDescent="0.25">
      <c r="A9669" t="str">
        <f>"1150056F00251    00"</f>
        <v>1150056F00251    00</v>
      </c>
      <c r="B9669" t="s">
        <v>21246</v>
      </c>
      <c r="C9669" t="s">
        <v>21433</v>
      </c>
      <c r="D9669" t="s">
        <v>20</v>
      </c>
      <c r="E9669" t="s">
        <v>39</v>
      </c>
      <c r="F9669">
        <v>0</v>
      </c>
      <c r="G9669">
        <v>0</v>
      </c>
      <c r="H9669">
        <v>3</v>
      </c>
      <c r="I9669" s="3">
        <v>2552.9299999999998</v>
      </c>
      <c r="J9669" s="3">
        <v>56.54</v>
      </c>
      <c r="L9669">
        <v>727</v>
      </c>
      <c r="M9669" t="s">
        <v>15656</v>
      </c>
      <c r="N9669" t="s">
        <v>30</v>
      </c>
      <c r="O9669" t="s">
        <v>31</v>
      </c>
      <c r="P9669" t="str">
        <f>"15221"</f>
        <v>15221</v>
      </c>
    </row>
    <row r="9670" spans="1:16" x14ac:dyDescent="0.25">
      <c r="A9670" t="str">
        <f>"1150056F00252    00"</f>
        <v>1150056F00252    00</v>
      </c>
      <c r="B9670" t="s">
        <v>21246</v>
      </c>
      <c r="C9670" t="s">
        <v>21434</v>
      </c>
      <c r="D9670" t="s">
        <v>20</v>
      </c>
      <c r="E9670" t="s">
        <v>39</v>
      </c>
      <c r="F9670">
        <v>0</v>
      </c>
      <c r="G9670">
        <v>0</v>
      </c>
      <c r="H9670">
        <v>3</v>
      </c>
      <c r="I9670" s="3">
        <v>2449.66</v>
      </c>
      <c r="J9670" s="3">
        <v>54.25</v>
      </c>
      <c r="L9670">
        <v>727</v>
      </c>
      <c r="M9670" t="s">
        <v>15656</v>
      </c>
      <c r="N9670" t="s">
        <v>30</v>
      </c>
      <c r="O9670" t="s">
        <v>31</v>
      </c>
      <c r="P9670" t="str">
        <f>"15221"</f>
        <v>15221</v>
      </c>
    </row>
    <row r="9671" spans="1:16" x14ac:dyDescent="0.25">
      <c r="A9671" t="str">
        <f>"1150056F00253    00"</f>
        <v>1150056F00253    00</v>
      </c>
      <c r="B9671" t="s">
        <v>21246</v>
      </c>
      <c r="C9671" t="s">
        <v>21435</v>
      </c>
      <c r="D9671" t="s">
        <v>20</v>
      </c>
      <c r="E9671" t="s">
        <v>39</v>
      </c>
      <c r="F9671">
        <v>0</v>
      </c>
      <c r="G9671">
        <v>0</v>
      </c>
      <c r="H9671">
        <v>3</v>
      </c>
      <c r="I9671" s="3">
        <v>3392.75</v>
      </c>
      <c r="J9671" s="3">
        <v>64.55</v>
      </c>
      <c r="L9671">
        <v>727</v>
      </c>
      <c r="M9671" t="s">
        <v>15656</v>
      </c>
      <c r="N9671" t="s">
        <v>30</v>
      </c>
      <c r="O9671" t="s">
        <v>31</v>
      </c>
      <c r="P9671" t="str">
        <f>"15221"</f>
        <v>15221</v>
      </c>
    </row>
    <row r="9672" spans="1:16" x14ac:dyDescent="0.25">
      <c r="A9672" t="str">
        <f>"1150056F00263    00"</f>
        <v>1150056F00263    00</v>
      </c>
      <c r="B9672" t="s">
        <v>21436</v>
      </c>
      <c r="C9672" t="s">
        <v>21317</v>
      </c>
      <c r="D9672" t="s">
        <v>20</v>
      </c>
      <c r="E9672" t="s">
        <v>39</v>
      </c>
      <c r="F9672">
        <v>0</v>
      </c>
      <c r="G9672">
        <v>0</v>
      </c>
      <c r="H9672">
        <v>19</v>
      </c>
      <c r="I9672" s="3">
        <v>4710.8100000000004</v>
      </c>
      <c r="J9672" s="3">
        <v>6486.61</v>
      </c>
      <c r="N9672" t="s">
        <v>21437</v>
      </c>
      <c r="P9672" t="str">
        <f>""</f>
        <v/>
      </c>
    </row>
    <row r="9673" spans="1:16" x14ac:dyDescent="0.25">
      <c r="A9673" t="str">
        <f>"1150056F00276    00"</f>
        <v>1150056F00276    00</v>
      </c>
      <c r="B9673" t="s">
        <v>21438</v>
      </c>
      <c r="C9673" t="s">
        <v>21439</v>
      </c>
      <c r="D9673" t="s">
        <v>20</v>
      </c>
      <c r="E9673" t="s">
        <v>39</v>
      </c>
      <c r="F9673">
        <v>0</v>
      </c>
      <c r="G9673">
        <v>0</v>
      </c>
      <c r="H9673">
        <v>19</v>
      </c>
      <c r="I9673" s="3">
        <v>4177.22</v>
      </c>
      <c r="J9673" s="3">
        <v>6139.73</v>
      </c>
      <c r="L9673">
        <v>184</v>
      </c>
      <c r="M9673" t="s">
        <v>2079</v>
      </c>
      <c r="N9673" t="s">
        <v>30</v>
      </c>
      <c r="O9673" t="s">
        <v>31</v>
      </c>
      <c r="P9673" t="str">
        <f>"15207"</f>
        <v>15207</v>
      </c>
    </row>
    <row r="9674" spans="1:16" x14ac:dyDescent="0.25">
      <c r="A9674" t="str">
        <f>"1150056F00278    00"</f>
        <v>1150056F00278    00</v>
      </c>
      <c r="B9674" t="s">
        <v>21440</v>
      </c>
      <c r="C9674" t="s">
        <v>21439</v>
      </c>
      <c r="D9674" t="s">
        <v>20</v>
      </c>
      <c r="E9674" t="s">
        <v>39</v>
      </c>
      <c r="F9674">
        <v>0</v>
      </c>
      <c r="G9674">
        <v>0</v>
      </c>
      <c r="H9674">
        <v>18</v>
      </c>
      <c r="I9674" s="3">
        <v>7137.56</v>
      </c>
      <c r="J9674" s="3">
        <v>9051.49</v>
      </c>
      <c r="L9674">
        <v>180</v>
      </c>
      <c r="M9674" t="s">
        <v>2079</v>
      </c>
      <c r="N9674" t="s">
        <v>30</v>
      </c>
      <c r="O9674" t="s">
        <v>31</v>
      </c>
      <c r="P9674" t="str">
        <f>"15207"</f>
        <v>15207</v>
      </c>
    </row>
    <row r="9675" spans="1:16" x14ac:dyDescent="0.25">
      <c r="A9675" t="str">
        <f>"1150056F00282    00"</f>
        <v>1150056F00282    00</v>
      </c>
      <c r="B9675" t="s">
        <v>1997</v>
      </c>
      <c r="C9675" t="s">
        <v>21441</v>
      </c>
      <c r="E9675" t="s">
        <v>39</v>
      </c>
      <c r="F9675">
        <v>0</v>
      </c>
      <c r="G9675">
        <v>0</v>
      </c>
      <c r="H9675">
        <v>8</v>
      </c>
      <c r="I9675" s="3">
        <v>4834.29</v>
      </c>
      <c r="J9675" s="3">
        <v>6870.31</v>
      </c>
      <c r="K9675" t="s">
        <v>2361</v>
      </c>
      <c r="L9675">
        <v>412</v>
      </c>
      <c r="M9675" t="s">
        <v>221</v>
      </c>
      <c r="N9675" t="s">
        <v>30</v>
      </c>
      <c r="O9675" t="s">
        <v>31</v>
      </c>
      <c r="P9675" t="str">
        <f>"15219"</f>
        <v>15219</v>
      </c>
    </row>
    <row r="9676" spans="1:16" x14ac:dyDescent="0.25">
      <c r="A9676" t="str">
        <f>"1150056F00302    00"</f>
        <v>1150056F00302    00</v>
      </c>
      <c r="B9676" t="s">
        <v>1997</v>
      </c>
      <c r="C9676" t="s">
        <v>21439</v>
      </c>
      <c r="E9676" t="s">
        <v>39</v>
      </c>
      <c r="F9676">
        <v>0</v>
      </c>
      <c r="G9676">
        <v>0</v>
      </c>
      <c r="H9676">
        <v>8</v>
      </c>
      <c r="I9676" s="3">
        <v>3755.22</v>
      </c>
      <c r="J9676" s="3">
        <v>5666.59</v>
      </c>
      <c r="K9676" t="s">
        <v>2361</v>
      </c>
      <c r="L9676">
        <v>412</v>
      </c>
      <c r="M9676" t="s">
        <v>221</v>
      </c>
      <c r="N9676" t="s">
        <v>30</v>
      </c>
      <c r="O9676" t="s">
        <v>31</v>
      </c>
      <c r="P9676" t="str">
        <f>"15219"</f>
        <v>15219</v>
      </c>
    </row>
    <row r="9677" spans="1:16" x14ac:dyDescent="0.25">
      <c r="A9677" t="str">
        <f>"1150056F00303    00"</f>
        <v>1150056F00303    00</v>
      </c>
      <c r="B9677" t="s">
        <v>1997</v>
      </c>
      <c r="C9677" t="s">
        <v>21439</v>
      </c>
      <c r="E9677" t="s">
        <v>39</v>
      </c>
      <c r="F9677">
        <v>0</v>
      </c>
      <c r="G9677">
        <v>0</v>
      </c>
      <c r="H9677">
        <v>7</v>
      </c>
      <c r="I9677" s="3">
        <v>1802.04</v>
      </c>
      <c r="J9677" s="3">
        <v>2517</v>
      </c>
      <c r="K9677" t="s">
        <v>2361</v>
      </c>
      <c r="L9677">
        <v>412</v>
      </c>
      <c r="M9677" t="s">
        <v>221</v>
      </c>
      <c r="N9677" t="s">
        <v>30</v>
      </c>
      <c r="O9677" t="s">
        <v>31</v>
      </c>
      <c r="P9677" t="str">
        <f>"15219"</f>
        <v>15219</v>
      </c>
    </row>
    <row r="9678" spans="1:16" x14ac:dyDescent="0.25">
      <c r="A9678" t="str">
        <f>"1150056F00304    00"</f>
        <v>1150056F00304    00</v>
      </c>
      <c r="B9678" t="s">
        <v>1997</v>
      </c>
      <c r="C9678" t="s">
        <v>21439</v>
      </c>
      <c r="E9678" t="s">
        <v>39</v>
      </c>
      <c r="F9678">
        <v>0</v>
      </c>
      <c r="G9678">
        <v>0</v>
      </c>
      <c r="H9678">
        <v>8</v>
      </c>
      <c r="I9678" s="3">
        <v>5443.27</v>
      </c>
      <c r="J9678" s="3">
        <v>7789.46</v>
      </c>
      <c r="K9678" t="s">
        <v>2361</v>
      </c>
      <c r="L9678">
        <v>412</v>
      </c>
      <c r="M9678" t="s">
        <v>221</v>
      </c>
      <c r="N9678" t="s">
        <v>30</v>
      </c>
      <c r="O9678" t="s">
        <v>31</v>
      </c>
      <c r="P9678" t="str">
        <f>"15219"</f>
        <v>15219</v>
      </c>
    </row>
    <row r="9679" spans="1:16" x14ac:dyDescent="0.25">
      <c r="A9679" t="str">
        <f>"1150056F00305    00"</f>
        <v>1150056F00305    00</v>
      </c>
      <c r="B9679" t="s">
        <v>21246</v>
      </c>
      <c r="C9679" t="s">
        <v>21442</v>
      </c>
      <c r="D9679" t="s">
        <v>20</v>
      </c>
      <c r="E9679" t="s">
        <v>39</v>
      </c>
      <c r="F9679">
        <v>0</v>
      </c>
      <c r="G9679">
        <v>0</v>
      </c>
      <c r="H9679">
        <v>1</v>
      </c>
      <c r="I9679" s="3">
        <v>85.78</v>
      </c>
      <c r="J9679" s="3">
        <v>0</v>
      </c>
      <c r="L9679">
        <v>727</v>
      </c>
      <c r="M9679" t="s">
        <v>21443</v>
      </c>
      <c r="N9679" t="s">
        <v>30</v>
      </c>
      <c r="O9679" t="s">
        <v>31</v>
      </c>
      <c r="P9679" t="str">
        <f>"15221"</f>
        <v>15221</v>
      </c>
    </row>
    <row r="9680" spans="1:16" x14ac:dyDescent="0.25">
      <c r="A9680" t="str">
        <f>"1150056F00306    00"</f>
        <v>1150056F00306    00</v>
      </c>
      <c r="B9680" t="s">
        <v>21444</v>
      </c>
      <c r="C9680" t="s">
        <v>21445</v>
      </c>
      <c r="E9680" t="s">
        <v>39</v>
      </c>
      <c r="F9680">
        <v>0</v>
      </c>
      <c r="G9680">
        <v>0</v>
      </c>
      <c r="H9680">
        <v>1</v>
      </c>
      <c r="I9680" s="3">
        <v>76.3</v>
      </c>
      <c r="J9680" s="3">
        <v>90.29</v>
      </c>
      <c r="L9680">
        <v>160</v>
      </c>
      <c r="M9680" t="s">
        <v>2079</v>
      </c>
      <c r="N9680" t="s">
        <v>30</v>
      </c>
      <c r="O9680" t="s">
        <v>31</v>
      </c>
      <c r="P9680" t="str">
        <f>"15207"</f>
        <v>15207</v>
      </c>
    </row>
    <row r="9681" spans="1:16" x14ac:dyDescent="0.25">
      <c r="A9681" t="str">
        <f>"1150056F00307    00"</f>
        <v>1150056F00307    00</v>
      </c>
      <c r="B9681" t="s">
        <v>1997</v>
      </c>
      <c r="C9681" t="s">
        <v>21446</v>
      </c>
      <c r="E9681" t="s">
        <v>39</v>
      </c>
      <c r="F9681">
        <v>0</v>
      </c>
      <c r="G9681">
        <v>0</v>
      </c>
      <c r="H9681">
        <v>8</v>
      </c>
      <c r="I9681" s="3">
        <v>3762.87</v>
      </c>
      <c r="J9681" s="3">
        <v>5373.52</v>
      </c>
      <c r="K9681" t="s">
        <v>2361</v>
      </c>
      <c r="L9681">
        <v>412</v>
      </c>
      <c r="M9681" t="s">
        <v>221</v>
      </c>
      <c r="N9681" t="s">
        <v>30</v>
      </c>
      <c r="O9681" t="s">
        <v>31</v>
      </c>
      <c r="P9681" t="str">
        <f>"15219"</f>
        <v>15219</v>
      </c>
    </row>
    <row r="9682" spans="1:16" x14ac:dyDescent="0.25">
      <c r="A9682" t="str">
        <f>"1150056F00312    00"</f>
        <v>1150056F00312    00</v>
      </c>
      <c r="B9682" t="s">
        <v>21447</v>
      </c>
      <c r="C9682" t="s">
        <v>21439</v>
      </c>
      <c r="D9682" t="s">
        <v>20</v>
      </c>
      <c r="E9682" t="s">
        <v>39</v>
      </c>
      <c r="F9682">
        <v>0</v>
      </c>
      <c r="G9682">
        <v>0</v>
      </c>
      <c r="H9682">
        <v>12</v>
      </c>
      <c r="I9682" s="3">
        <v>165.18</v>
      </c>
      <c r="J9682" s="3">
        <v>178.49</v>
      </c>
      <c r="L9682">
        <v>150</v>
      </c>
      <c r="M9682" t="s">
        <v>2079</v>
      </c>
      <c r="N9682" t="s">
        <v>30</v>
      </c>
      <c r="O9682" t="s">
        <v>31</v>
      </c>
      <c r="P9682" t="str">
        <f>"15207"</f>
        <v>15207</v>
      </c>
    </row>
    <row r="9683" spans="1:16" x14ac:dyDescent="0.25">
      <c r="A9683" t="str">
        <f>"1150056F00322    00"</f>
        <v>1150056F00322    00</v>
      </c>
      <c r="B9683" t="s">
        <v>21448</v>
      </c>
      <c r="C9683" t="s">
        <v>21449</v>
      </c>
      <c r="D9683" t="s">
        <v>20</v>
      </c>
      <c r="E9683" t="s">
        <v>290</v>
      </c>
      <c r="F9683">
        <v>0</v>
      </c>
      <c r="G9683">
        <v>0</v>
      </c>
      <c r="H9683">
        <v>1</v>
      </c>
      <c r="I9683" s="3">
        <v>802.44</v>
      </c>
      <c r="J9683" s="3">
        <v>0</v>
      </c>
      <c r="L9683">
        <v>504</v>
      </c>
      <c r="M9683" t="s">
        <v>21121</v>
      </c>
      <c r="N9683" t="s">
        <v>30</v>
      </c>
      <c r="O9683" t="s">
        <v>31</v>
      </c>
      <c r="P9683" t="str">
        <f>"15207"</f>
        <v>15207</v>
      </c>
    </row>
    <row r="9684" spans="1:16" x14ac:dyDescent="0.25">
      <c r="A9684" t="str">
        <f>"1150056F00326    00"</f>
        <v>1150056F00326    00</v>
      </c>
      <c r="B9684" t="s">
        <v>4527</v>
      </c>
      <c r="C9684" t="s">
        <v>21450</v>
      </c>
      <c r="D9684" t="s">
        <v>20</v>
      </c>
      <c r="E9684" t="s">
        <v>39</v>
      </c>
      <c r="F9684">
        <v>0</v>
      </c>
      <c r="G9684">
        <v>0</v>
      </c>
      <c r="H9684">
        <v>1</v>
      </c>
      <c r="I9684" s="3">
        <v>57.18</v>
      </c>
      <c r="J9684" s="3">
        <v>0</v>
      </c>
      <c r="L9684">
        <v>100</v>
      </c>
      <c r="M9684" t="s">
        <v>21451</v>
      </c>
      <c r="N9684" t="s">
        <v>30</v>
      </c>
      <c r="O9684" t="s">
        <v>31</v>
      </c>
      <c r="P9684" t="str">
        <f>"15201"</f>
        <v>15201</v>
      </c>
    </row>
    <row r="9685" spans="1:16" x14ac:dyDescent="0.25">
      <c r="A9685" t="str">
        <f>"1150056F00327    00"</f>
        <v>1150056F00327    00</v>
      </c>
      <c r="B9685" t="s">
        <v>4527</v>
      </c>
      <c r="C9685" t="s">
        <v>21452</v>
      </c>
      <c r="D9685" t="s">
        <v>20</v>
      </c>
      <c r="E9685" t="s">
        <v>39</v>
      </c>
      <c r="F9685">
        <v>0</v>
      </c>
      <c r="G9685">
        <v>0</v>
      </c>
      <c r="H9685">
        <v>1</v>
      </c>
      <c r="I9685" s="3">
        <v>57.18</v>
      </c>
      <c r="J9685" s="3">
        <v>0</v>
      </c>
      <c r="L9685">
        <v>100</v>
      </c>
      <c r="M9685" t="s">
        <v>21451</v>
      </c>
      <c r="N9685" t="s">
        <v>30</v>
      </c>
      <c r="O9685" t="s">
        <v>31</v>
      </c>
      <c r="P9685" t="str">
        <f>"15201"</f>
        <v>15201</v>
      </c>
    </row>
    <row r="9686" spans="1:16" x14ac:dyDescent="0.25">
      <c r="A9686" t="str">
        <f>"1150056F00329    00"</f>
        <v>1150056F00329    00</v>
      </c>
      <c r="B9686" t="s">
        <v>21453</v>
      </c>
      <c r="C9686" t="s">
        <v>21454</v>
      </c>
      <c r="D9686" t="s">
        <v>20</v>
      </c>
      <c r="E9686" t="s">
        <v>39</v>
      </c>
      <c r="F9686">
        <v>0</v>
      </c>
      <c r="G9686">
        <v>0</v>
      </c>
      <c r="H9686">
        <v>1</v>
      </c>
      <c r="I9686" s="3">
        <v>552.74</v>
      </c>
      <c r="J9686" s="3">
        <v>0</v>
      </c>
      <c r="L9686">
        <v>4827</v>
      </c>
      <c r="M9686" t="s">
        <v>21216</v>
      </c>
      <c r="N9686" t="s">
        <v>30</v>
      </c>
      <c r="O9686" t="s">
        <v>31</v>
      </c>
      <c r="P9686" t="str">
        <f>"15207"</f>
        <v>15207</v>
      </c>
    </row>
    <row r="9687" spans="1:16" x14ac:dyDescent="0.25">
      <c r="A9687" t="str">
        <f>"1150056F00347    00"</f>
        <v>1150056F00347    00</v>
      </c>
      <c r="B9687" t="s">
        <v>21455</v>
      </c>
      <c r="C9687" t="s">
        <v>21139</v>
      </c>
      <c r="D9687" t="s">
        <v>20</v>
      </c>
      <c r="E9687" t="s">
        <v>39</v>
      </c>
      <c r="F9687">
        <v>0</v>
      </c>
      <c r="G9687">
        <v>0</v>
      </c>
      <c r="H9687">
        <v>16</v>
      </c>
      <c r="I9687" s="3">
        <v>803.77</v>
      </c>
      <c r="J9687" s="3">
        <v>487.44</v>
      </c>
      <c r="L9687">
        <v>66865</v>
      </c>
      <c r="M9687" t="s">
        <v>21456</v>
      </c>
      <c r="N9687" t="s">
        <v>21457</v>
      </c>
      <c r="O9687" t="s">
        <v>495</v>
      </c>
      <c r="P9687" t="str">
        <f>"92240"</f>
        <v>92240</v>
      </c>
    </row>
    <row r="9688" spans="1:16" x14ac:dyDescent="0.25">
      <c r="A9688" t="str">
        <f>"1150056F00352    00"</f>
        <v>1150056F00352    00</v>
      </c>
      <c r="B9688" t="s">
        <v>21246</v>
      </c>
      <c r="C9688" t="s">
        <v>21458</v>
      </c>
      <c r="D9688" t="s">
        <v>20</v>
      </c>
      <c r="E9688" t="s">
        <v>39</v>
      </c>
      <c r="F9688">
        <v>0</v>
      </c>
      <c r="G9688">
        <v>0</v>
      </c>
      <c r="H9688">
        <v>3</v>
      </c>
      <c r="I9688" s="3">
        <v>2222.42</v>
      </c>
      <c r="J9688" s="3">
        <v>92.28</v>
      </c>
      <c r="L9688">
        <v>727</v>
      </c>
      <c r="M9688" t="s">
        <v>15656</v>
      </c>
      <c r="N9688" t="s">
        <v>30</v>
      </c>
      <c r="O9688" t="s">
        <v>31</v>
      </c>
      <c r="P9688" t="str">
        <f>"15221"</f>
        <v>15221</v>
      </c>
    </row>
    <row r="9689" spans="1:16" x14ac:dyDescent="0.25">
      <c r="A9689" t="str">
        <f>"1150056F00355    00"</f>
        <v>1150056F00355    00</v>
      </c>
      <c r="B9689" t="s">
        <v>21459</v>
      </c>
      <c r="C9689" t="s">
        <v>21460</v>
      </c>
      <c r="D9689" t="s">
        <v>20</v>
      </c>
      <c r="E9689" t="s">
        <v>39</v>
      </c>
      <c r="F9689">
        <v>0</v>
      </c>
      <c r="G9689">
        <v>0</v>
      </c>
      <c r="H9689">
        <v>1</v>
      </c>
      <c r="I9689" s="3">
        <v>940.12</v>
      </c>
      <c r="J9689" s="3">
        <v>0</v>
      </c>
      <c r="L9689">
        <v>4827</v>
      </c>
      <c r="M9689" t="s">
        <v>21218</v>
      </c>
      <c r="N9689" t="s">
        <v>30</v>
      </c>
      <c r="O9689" t="s">
        <v>31</v>
      </c>
      <c r="P9689" t="str">
        <f>"15207"</f>
        <v>15207</v>
      </c>
    </row>
    <row r="9690" spans="1:16" x14ac:dyDescent="0.25">
      <c r="A9690" t="str">
        <f>"1150056F00366    00"</f>
        <v>1150056F00366    00</v>
      </c>
      <c r="B9690" t="s">
        <v>21461</v>
      </c>
      <c r="C9690" t="s">
        <v>21296</v>
      </c>
      <c r="D9690" t="s">
        <v>20</v>
      </c>
      <c r="E9690" t="s">
        <v>39</v>
      </c>
      <c r="F9690">
        <v>0</v>
      </c>
      <c r="G9690">
        <v>0</v>
      </c>
      <c r="H9690">
        <v>6</v>
      </c>
      <c r="I9690" s="3">
        <v>30.63</v>
      </c>
      <c r="J9690" s="3">
        <v>7.79</v>
      </c>
      <c r="K9690" t="s">
        <v>21462</v>
      </c>
      <c r="L9690">
        <v>3900</v>
      </c>
      <c r="M9690" t="s">
        <v>21463</v>
      </c>
      <c r="N9690" t="s">
        <v>509</v>
      </c>
      <c r="O9690" t="s">
        <v>31</v>
      </c>
      <c r="P9690" t="str">
        <f>"19131"</f>
        <v>19131</v>
      </c>
    </row>
    <row r="9691" spans="1:16" x14ac:dyDescent="0.25">
      <c r="A9691" t="str">
        <f>"1150056F00372    00"</f>
        <v>1150056F00372    00</v>
      </c>
      <c r="B9691" t="s">
        <v>21246</v>
      </c>
      <c r="C9691" t="s">
        <v>21464</v>
      </c>
      <c r="D9691" t="s">
        <v>20</v>
      </c>
      <c r="E9691" t="s">
        <v>39</v>
      </c>
      <c r="F9691">
        <v>0</v>
      </c>
      <c r="G9691">
        <v>0</v>
      </c>
      <c r="H9691">
        <v>7</v>
      </c>
      <c r="I9691" s="3">
        <v>4533.67</v>
      </c>
      <c r="J9691" s="3">
        <v>113.34</v>
      </c>
      <c r="L9691">
        <v>211</v>
      </c>
      <c r="M9691" t="s">
        <v>10602</v>
      </c>
      <c r="N9691" t="s">
        <v>30</v>
      </c>
      <c r="O9691" t="s">
        <v>31</v>
      </c>
      <c r="P9691" t="str">
        <f>"15206"</f>
        <v>15206</v>
      </c>
    </row>
    <row r="9692" spans="1:16" x14ac:dyDescent="0.25">
      <c r="A9692" t="str">
        <f>"1150056F00373    00"</f>
        <v>1150056F00373    00</v>
      </c>
      <c r="B9692" t="s">
        <v>21465</v>
      </c>
      <c r="C9692" t="s">
        <v>21466</v>
      </c>
      <c r="D9692" t="s">
        <v>20</v>
      </c>
      <c r="E9692" t="s">
        <v>39</v>
      </c>
      <c r="F9692">
        <v>0</v>
      </c>
      <c r="G9692">
        <v>0</v>
      </c>
      <c r="H9692">
        <v>16</v>
      </c>
      <c r="I9692" s="3">
        <v>5020.62</v>
      </c>
      <c r="J9692" s="3">
        <v>3942.22</v>
      </c>
      <c r="L9692">
        <v>4823</v>
      </c>
      <c r="M9692" t="s">
        <v>21298</v>
      </c>
      <c r="N9692" t="s">
        <v>30</v>
      </c>
      <c r="O9692" t="s">
        <v>31</v>
      </c>
      <c r="P9692" t="str">
        <f>"15207"</f>
        <v>15207</v>
      </c>
    </row>
    <row r="9693" spans="1:16" x14ac:dyDescent="0.25">
      <c r="A9693" t="str">
        <f>"1150056F00374    00"</f>
        <v>1150056F00374    00</v>
      </c>
      <c r="B9693" t="s">
        <v>21465</v>
      </c>
      <c r="C9693" t="s">
        <v>21296</v>
      </c>
      <c r="D9693" t="s">
        <v>20</v>
      </c>
      <c r="E9693" t="s">
        <v>39</v>
      </c>
      <c r="F9693">
        <v>0</v>
      </c>
      <c r="G9693">
        <v>0</v>
      </c>
      <c r="H9693">
        <v>4</v>
      </c>
      <c r="I9693" s="3">
        <v>52.84</v>
      </c>
      <c r="J9693" s="3">
        <v>6.51</v>
      </c>
      <c r="L9693">
        <v>4823</v>
      </c>
      <c r="M9693" t="s">
        <v>21298</v>
      </c>
      <c r="N9693" t="s">
        <v>30</v>
      </c>
      <c r="O9693" t="s">
        <v>31</v>
      </c>
      <c r="P9693" t="str">
        <f>"15207"</f>
        <v>15207</v>
      </c>
    </row>
    <row r="9694" spans="1:16" x14ac:dyDescent="0.25">
      <c r="A9694" t="str">
        <f>"1150056F00381    00"</f>
        <v>1150056F00381    00</v>
      </c>
      <c r="B9694" t="s">
        <v>21467</v>
      </c>
      <c r="C9694" t="s">
        <v>21439</v>
      </c>
      <c r="D9694" t="s">
        <v>20</v>
      </c>
      <c r="E9694" t="s">
        <v>39</v>
      </c>
      <c r="F9694">
        <v>0</v>
      </c>
      <c r="G9694">
        <v>0</v>
      </c>
      <c r="H9694">
        <v>5</v>
      </c>
      <c r="I9694" s="3">
        <v>83.54</v>
      </c>
      <c r="J9694" s="3">
        <v>19.53</v>
      </c>
      <c r="L9694">
        <v>1138</v>
      </c>
      <c r="M9694" t="s">
        <v>21468</v>
      </c>
      <c r="N9694" t="s">
        <v>15985</v>
      </c>
      <c r="O9694" t="s">
        <v>31</v>
      </c>
      <c r="P9694" t="str">
        <f>"15137"</f>
        <v>15137</v>
      </c>
    </row>
    <row r="9695" spans="1:16" x14ac:dyDescent="0.25">
      <c r="A9695" t="str">
        <f>"1150056F00384    00"</f>
        <v>1150056F00384    00</v>
      </c>
      <c r="B9695" t="s">
        <v>21469</v>
      </c>
      <c r="C9695" t="s">
        <v>21139</v>
      </c>
      <c r="D9695" t="s">
        <v>20</v>
      </c>
      <c r="E9695" t="s">
        <v>39</v>
      </c>
      <c r="F9695">
        <v>0</v>
      </c>
      <c r="G9695">
        <v>0</v>
      </c>
      <c r="H9695">
        <v>8</v>
      </c>
      <c r="I9695" s="3">
        <v>78</v>
      </c>
      <c r="J9695" s="3">
        <v>104.29</v>
      </c>
      <c r="L9695">
        <v>203</v>
      </c>
      <c r="M9695" t="s">
        <v>21470</v>
      </c>
      <c r="N9695" t="s">
        <v>285</v>
      </c>
      <c r="O9695" t="s">
        <v>31</v>
      </c>
      <c r="P9695" t="str">
        <f>"15120"</f>
        <v>15120</v>
      </c>
    </row>
    <row r="9696" spans="1:16" x14ac:dyDescent="0.25">
      <c r="A9696" t="str">
        <f>"1150056G00008    00"</f>
        <v>1150056G00008    00</v>
      </c>
      <c r="B9696" t="s">
        <v>21471</v>
      </c>
      <c r="C9696" t="s">
        <v>21472</v>
      </c>
      <c r="D9696" t="s">
        <v>20</v>
      </c>
      <c r="E9696" t="s">
        <v>39</v>
      </c>
      <c r="F9696">
        <v>0</v>
      </c>
      <c r="G9696">
        <v>0</v>
      </c>
      <c r="H9696">
        <v>6</v>
      </c>
      <c r="I9696" s="3">
        <v>2354.2399999999998</v>
      </c>
      <c r="J9696" s="3">
        <v>319.77</v>
      </c>
      <c r="K9696" t="s">
        <v>21473</v>
      </c>
      <c r="L9696">
        <v>418</v>
      </c>
      <c r="M9696" t="s">
        <v>7868</v>
      </c>
      <c r="N9696" t="s">
        <v>30</v>
      </c>
      <c r="O9696" t="s">
        <v>31</v>
      </c>
      <c r="P9696" t="str">
        <f>"15224"</f>
        <v>15224</v>
      </c>
    </row>
    <row r="9697" spans="1:16" x14ac:dyDescent="0.25">
      <c r="A9697" t="str">
        <f>"1150056G00013    00"</f>
        <v>1150056G00013    00</v>
      </c>
      <c r="B9697" t="s">
        <v>21474</v>
      </c>
      <c r="C9697" t="s">
        <v>21317</v>
      </c>
      <c r="D9697" t="s">
        <v>20</v>
      </c>
      <c r="E9697" t="s">
        <v>39</v>
      </c>
      <c r="F9697">
        <v>0</v>
      </c>
      <c r="G9697">
        <v>0</v>
      </c>
      <c r="H9697">
        <v>19</v>
      </c>
      <c r="I9697" s="3">
        <v>370.25</v>
      </c>
      <c r="J9697" s="3">
        <v>353.16</v>
      </c>
      <c r="L9697">
        <v>219</v>
      </c>
      <c r="M9697" t="s">
        <v>21475</v>
      </c>
      <c r="N9697" t="s">
        <v>30</v>
      </c>
      <c r="O9697" t="s">
        <v>31</v>
      </c>
      <c r="P9697" t="str">
        <f>"15207"</f>
        <v>15207</v>
      </c>
    </row>
    <row r="9698" spans="1:16" x14ac:dyDescent="0.25">
      <c r="A9698" t="str">
        <f>"1150056G00018    00"</f>
        <v>1150056G00018    00</v>
      </c>
      <c r="B9698" t="s">
        <v>21476</v>
      </c>
      <c r="C9698" t="s">
        <v>21477</v>
      </c>
      <c r="D9698" t="s">
        <v>20</v>
      </c>
      <c r="E9698" t="s">
        <v>39</v>
      </c>
      <c r="F9698">
        <v>0</v>
      </c>
      <c r="G9698">
        <v>0</v>
      </c>
      <c r="H9698">
        <v>10</v>
      </c>
      <c r="I9698" s="3">
        <v>2310.9499999999998</v>
      </c>
      <c r="J9698" s="3">
        <v>1385.08</v>
      </c>
      <c r="L9698">
        <v>332</v>
      </c>
      <c r="M9698" t="s">
        <v>21343</v>
      </c>
      <c r="N9698" t="s">
        <v>30</v>
      </c>
      <c r="O9698" t="s">
        <v>31</v>
      </c>
      <c r="P9698" t="str">
        <f>"15207"</f>
        <v>15207</v>
      </c>
    </row>
    <row r="9699" spans="1:16" x14ac:dyDescent="0.25">
      <c r="A9699" t="str">
        <f>"1150056G00023    00"</f>
        <v>1150056G00023    00</v>
      </c>
      <c r="B9699" t="s">
        <v>21478</v>
      </c>
      <c r="C9699" t="s">
        <v>21479</v>
      </c>
      <c r="E9699" t="s">
        <v>39</v>
      </c>
      <c r="F9699">
        <v>0</v>
      </c>
      <c r="G9699">
        <v>0</v>
      </c>
      <c r="H9699">
        <v>1</v>
      </c>
      <c r="I9699" s="3">
        <v>900</v>
      </c>
      <c r="J9699" s="3">
        <v>539.98</v>
      </c>
      <c r="L9699">
        <v>5629</v>
      </c>
      <c r="M9699" t="s">
        <v>9872</v>
      </c>
      <c r="N9699" t="s">
        <v>30</v>
      </c>
      <c r="O9699" t="s">
        <v>31</v>
      </c>
      <c r="P9699" t="str">
        <f>"15206"</f>
        <v>15206</v>
      </c>
    </row>
    <row r="9700" spans="1:16" x14ac:dyDescent="0.25">
      <c r="A9700" t="str">
        <f>"1150056G00032    00"</f>
        <v>1150056G00032    00</v>
      </c>
      <c r="B9700" t="s">
        <v>21480</v>
      </c>
      <c r="C9700" t="s">
        <v>21481</v>
      </c>
      <c r="D9700" t="s">
        <v>20</v>
      </c>
      <c r="E9700" t="s">
        <v>39</v>
      </c>
      <c r="F9700">
        <v>0</v>
      </c>
      <c r="G9700">
        <v>0</v>
      </c>
      <c r="H9700">
        <v>2</v>
      </c>
      <c r="I9700" s="3">
        <v>515.64</v>
      </c>
      <c r="J9700" s="3">
        <v>0</v>
      </c>
      <c r="L9700">
        <v>306</v>
      </c>
      <c r="M9700" t="s">
        <v>21343</v>
      </c>
      <c r="N9700" t="s">
        <v>30</v>
      </c>
      <c r="O9700" t="s">
        <v>31</v>
      </c>
      <c r="P9700" t="str">
        <f>"15207"</f>
        <v>15207</v>
      </c>
    </row>
    <row r="9701" spans="1:16" x14ac:dyDescent="0.25">
      <c r="A9701" t="str">
        <f>"1150056G00065    00"</f>
        <v>1150056G00065    00</v>
      </c>
      <c r="B9701" t="s">
        <v>21482</v>
      </c>
      <c r="C9701" t="s">
        <v>21483</v>
      </c>
      <c r="E9701" t="s">
        <v>39</v>
      </c>
      <c r="F9701">
        <v>0</v>
      </c>
      <c r="G9701">
        <v>0</v>
      </c>
      <c r="H9701">
        <v>2</v>
      </c>
      <c r="I9701" s="3">
        <v>720.05</v>
      </c>
      <c r="J9701" s="3">
        <v>9.0500000000000007</v>
      </c>
      <c r="L9701">
        <v>413</v>
      </c>
      <c r="M9701" t="s">
        <v>2431</v>
      </c>
      <c r="N9701" t="s">
        <v>30</v>
      </c>
      <c r="O9701" t="s">
        <v>31</v>
      </c>
      <c r="P9701" t="str">
        <f>"15209"</f>
        <v>15209</v>
      </c>
    </row>
    <row r="9702" spans="1:16" x14ac:dyDescent="0.25">
      <c r="A9702" t="str">
        <f>"1150056G00067    00"</f>
        <v>1150056G00067    00</v>
      </c>
      <c r="B9702" t="s">
        <v>21484</v>
      </c>
      <c r="C9702" t="s">
        <v>21485</v>
      </c>
      <c r="D9702" t="s">
        <v>20</v>
      </c>
      <c r="E9702" t="s">
        <v>39</v>
      </c>
      <c r="F9702">
        <v>0</v>
      </c>
      <c r="G9702">
        <v>0</v>
      </c>
      <c r="H9702">
        <v>3</v>
      </c>
      <c r="I9702" s="3">
        <v>1971.55</v>
      </c>
      <c r="J9702" s="3">
        <v>16.38</v>
      </c>
      <c r="K9702" t="s">
        <v>21486</v>
      </c>
      <c r="L9702">
        <v>727</v>
      </c>
      <c r="M9702" t="s">
        <v>15656</v>
      </c>
      <c r="N9702" t="s">
        <v>30</v>
      </c>
      <c r="O9702" t="s">
        <v>31</v>
      </c>
      <c r="P9702" t="str">
        <f>"15221"</f>
        <v>15221</v>
      </c>
    </row>
    <row r="9703" spans="1:16" x14ac:dyDescent="0.25">
      <c r="A9703" t="str">
        <f>"1150056G00069    00"</f>
        <v>1150056G00069    00</v>
      </c>
      <c r="B9703" t="s">
        <v>21246</v>
      </c>
      <c r="C9703" t="s">
        <v>21487</v>
      </c>
      <c r="D9703" t="s">
        <v>20</v>
      </c>
      <c r="E9703" t="s">
        <v>39</v>
      </c>
      <c r="F9703">
        <v>0</v>
      </c>
      <c r="G9703">
        <v>0</v>
      </c>
      <c r="H9703">
        <v>3</v>
      </c>
      <c r="I9703" s="3">
        <v>198.6</v>
      </c>
      <c r="J9703" s="3">
        <v>4.32</v>
      </c>
      <c r="L9703">
        <v>727</v>
      </c>
      <c r="M9703" t="s">
        <v>15656</v>
      </c>
      <c r="N9703" t="s">
        <v>30</v>
      </c>
      <c r="O9703" t="s">
        <v>31</v>
      </c>
      <c r="P9703" t="str">
        <f>"15221"</f>
        <v>15221</v>
      </c>
    </row>
    <row r="9704" spans="1:16" x14ac:dyDescent="0.25">
      <c r="A9704" t="str">
        <f>"1150056G00084    00"</f>
        <v>1150056G00084    00</v>
      </c>
      <c r="B9704" t="s">
        <v>3008</v>
      </c>
      <c r="C9704" t="s">
        <v>21488</v>
      </c>
      <c r="D9704" t="s">
        <v>20</v>
      </c>
      <c r="E9704" t="s">
        <v>39</v>
      </c>
      <c r="F9704">
        <v>0</v>
      </c>
      <c r="G9704">
        <v>0</v>
      </c>
      <c r="H9704">
        <v>2</v>
      </c>
      <c r="I9704" s="3">
        <v>67.11</v>
      </c>
      <c r="J9704" s="3">
        <v>0.17</v>
      </c>
      <c r="M9704" t="s">
        <v>2628</v>
      </c>
      <c r="N9704" t="s">
        <v>30</v>
      </c>
      <c r="O9704" t="s">
        <v>31</v>
      </c>
      <c r="P9704" t="str">
        <f>"15213"</f>
        <v>15213</v>
      </c>
    </row>
    <row r="9705" spans="1:16" x14ac:dyDescent="0.25">
      <c r="A9705" t="str">
        <f>"1150056G00085    00"</f>
        <v>1150056G00085    00</v>
      </c>
      <c r="B9705" t="s">
        <v>3008</v>
      </c>
      <c r="C9705" t="s">
        <v>21489</v>
      </c>
      <c r="D9705" t="s">
        <v>20</v>
      </c>
      <c r="E9705" t="s">
        <v>39</v>
      </c>
      <c r="F9705">
        <v>0</v>
      </c>
      <c r="G9705">
        <v>0</v>
      </c>
      <c r="H9705">
        <v>3</v>
      </c>
      <c r="I9705" s="3">
        <v>18.72</v>
      </c>
      <c r="J9705" s="3">
        <v>0.02</v>
      </c>
      <c r="M9705" t="s">
        <v>2628</v>
      </c>
      <c r="N9705" t="s">
        <v>30</v>
      </c>
      <c r="O9705" t="s">
        <v>31</v>
      </c>
      <c r="P9705" t="str">
        <f>"15213"</f>
        <v>15213</v>
      </c>
    </row>
    <row r="9706" spans="1:16" x14ac:dyDescent="0.25">
      <c r="A9706" t="str">
        <f>"1150056G00087    00"</f>
        <v>1150056G00087    00</v>
      </c>
      <c r="B9706" t="s">
        <v>21490</v>
      </c>
      <c r="C9706" t="s">
        <v>21491</v>
      </c>
      <c r="D9706" t="s">
        <v>20</v>
      </c>
      <c r="E9706" t="s">
        <v>39</v>
      </c>
      <c r="F9706">
        <v>0</v>
      </c>
      <c r="G9706">
        <v>0</v>
      </c>
      <c r="H9706">
        <v>2</v>
      </c>
      <c r="I9706" s="3">
        <v>22.88</v>
      </c>
      <c r="J9706" s="3">
        <v>0</v>
      </c>
      <c r="L9706">
        <v>2513</v>
      </c>
      <c r="M9706" t="s">
        <v>21492</v>
      </c>
      <c r="N9706" t="s">
        <v>139</v>
      </c>
      <c r="O9706" t="s">
        <v>31</v>
      </c>
      <c r="P9706" t="str">
        <f>"15090"</f>
        <v>15090</v>
      </c>
    </row>
    <row r="9707" spans="1:16" x14ac:dyDescent="0.25">
      <c r="A9707" t="str">
        <f>"1150056G00088    00"</f>
        <v>1150056G00088    00</v>
      </c>
      <c r="B9707" t="s">
        <v>21493</v>
      </c>
      <c r="C9707" t="s">
        <v>21494</v>
      </c>
      <c r="D9707" t="s">
        <v>20</v>
      </c>
      <c r="E9707" t="s">
        <v>39</v>
      </c>
      <c r="F9707">
        <v>0</v>
      </c>
      <c r="G9707">
        <v>0</v>
      </c>
      <c r="H9707">
        <v>1</v>
      </c>
      <c r="I9707" s="3">
        <v>653.77</v>
      </c>
      <c r="J9707" s="3">
        <v>0</v>
      </c>
      <c r="K9707" t="s">
        <v>21495</v>
      </c>
      <c r="L9707">
        <v>2513</v>
      </c>
      <c r="M9707" t="s">
        <v>21492</v>
      </c>
      <c r="N9707" t="s">
        <v>139</v>
      </c>
      <c r="O9707" t="s">
        <v>31</v>
      </c>
      <c r="P9707" t="str">
        <f>"15090"</f>
        <v>15090</v>
      </c>
    </row>
    <row r="9708" spans="1:16" x14ac:dyDescent="0.25">
      <c r="A9708" t="str">
        <f>"1150056G00090    00"</f>
        <v>1150056G00090    00</v>
      </c>
      <c r="B9708" t="s">
        <v>21496</v>
      </c>
      <c r="C9708" t="s">
        <v>21491</v>
      </c>
      <c r="D9708" t="s">
        <v>20</v>
      </c>
      <c r="E9708" t="s">
        <v>39</v>
      </c>
      <c r="F9708">
        <v>0</v>
      </c>
      <c r="G9708">
        <v>0</v>
      </c>
      <c r="H9708">
        <v>19</v>
      </c>
      <c r="I9708" s="3">
        <v>329.07</v>
      </c>
      <c r="J9708" s="3">
        <v>353.93</v>
      </c>
      <c r="K9708" t="s">
        <v>1037</v>
      </c>
      <c r="L9708">
        <v>4940</v>
      </c>
      <c r="M9708" t="s">
        <v>21497</v>
      </c>
      <c r="N9708" t="s">
        <v>30</v>
      </c>
      <c r="O9708" t="s">
        <v>31</v>
      </c>
      <c r="P9708" t="str">
        <f>"15207"</f>
        <v>15207</v>
      </c>
    </row>
    <row r="9709" spans="1:16" x14ac:dyDescent="0.25">
      <c r="A9709" t="str">
        <f>"1150056G00092    00"</f>
        <v>1150056G00092    00</v>
      </c>
      <c r="B9709" t="s">
        <v>21498</v>
      </c>
      <c r="C9709" t="s">
        <v>21499</v>
      </c>
      <c r="E9709" t="s">
        <v>39</v>
      </c>
      <c r="F9709">
        <v>0</v>
      </c>
      <c r="G9709">
        <v>0</v>
      </c>
      <c r="H9709">
        <v>8</v>
      </c>
      <c r="I9709" s="3">
        <v>2375.8200000000002</v>
      </c>
      <c r="J9709" s="3">
        <v>3796.11</v>
      </c>
      <c r="L9709">
        <v>4936</v>
      </c>
      <c r="M9709" t="s">
        <v>21497</v>
      </c>
      <c r="N9709" t="s">
        <v>30</v>
      </c>
      <c r="O9709" t="s">
        <v>31</v>
      </c>
      <c r="P9709" t="str">
        <f>"15207"</f>
        <v>15207</v>
      </c>
    </row>
    <row r="9710" spans="1:16" x14ac:dyDescent="0.25">
      <c r="A9710" t="str">
        <f>"1150056G00093    00"</f>
        <v>1150056G00093    00</v>
      </c>
      <c r="B9710" t="s">
        <v>21500</v>
      </c>
      <c r="C9710" t="s">
        <v>21501</v>
      </c>
      <c r="D9710" t="s">
        <v>20</v>
      </c>
      <c r="E9710" t="s">
        <v>39</v>
      </c>
      <c r="F9710">
        <v>0</v>
      </c>
      <c r="G9710">
        <v>0</v>
      </c>
      <c r="H9710">
        <v>1</v>
      </c>
      <c r="I9710" s="3">
        <v>213.94</v>
      </c>
      <c r="J9710" s="3">
        <v>0</v>
      </c>
      <c r="L9710">
        <v>4934</v>
      </c>
      <c r="M9710" t="s">
        <v>21497</v>
      </c>
      <c r="N9710" t="s">
        <v>30</v>
      </c>
      <c r="O9710" t="s">
        <v>31</v>
      </c>
      <c r="P9710" t="str">
        <f>"15207"</f>
        <v>15207</v>
      </c>
    </row>
    <row r="9711" spans="1:16" x14ac:dyDescent="0.25">
      <c r="A9711" t="str">
        <f>"1150056G00098    00"</f>
        <v>1150056G00098    00</v>
      </c>
      <c r="B9711" t="s">
        <v>21246</v>
      </c>
      <c r="C9711" t="s">
        <v>21502</v>
      </c>
      <c r="D9711" t="s">
        <v>20</v>
      </c>
      <c r="E9711" t="s">
        <v>39</v>
      </c>
      <c r="F9711">
        <v>0</v>
      </c>
      <c r="G9711">
        <v>0</v>
      </c>
      <c r="H9711">
        <v>3</v>
      </c>
      <c r="I9711" s="3">
        <v>467.24</v>
      </c>
      <c r="J9711" s="3">
        <v>10.17</v>
      </c>
      <c r="L9711">
        <v>727</v>
      </c>
      <c r="M9711" t="s">
        <v>15656</v>
      </c>
      <c r="N9711" t="s">
        <v>30</v>
      </c>
      <c r="O9711" t="s">
        <v>31</v>
      </c>
      <c r="P9711" t="str">
        <f>"15221"</f>
        <v>15221</v>
      </c>
    </row>
    <row r="9712" spans="1:16" x14ac:dyDescent="0.25">
      <c r="A9712" t="str">
        <f>"1150056G00098A   00"</f>
        <v>1150056G00098A   00</v>
      </c>
      <c r="B9712" t="s">
        <v>21246</v>
      </c>
      <c r="C9712" t="s">
        <v>21503</v>
      </c>
      <c r="D9712" t="s">
        <v>20</v>
      </c>
      <c r="E9712" t="s">
        <v>39</v>
      </c>
      <c r="F9712">
        <v>0</v>
      </c>
      <c r="G9712">
        <v>0</v>
      </c>
      <c r="H9712">
        <v>3</v>
      </c>
      <c r="I9712" s="3">
        <v>321.3</v>
      </c>
      <c r="J9712" s="3">
        <v>6.99</v>
      </c>
      <c r="L9712">
        <v>727</v>
      </c>
      <c r="M9712" t="s">
        <v>15656</v>
      </c>
      <c r="N9712" t="s">
        <v>30</v>
      </c>
      <c r="O9712" t="s">
        <v>31</v>
      </c>
      <c r="P9712" t="str">
        <f>"15221"</f>
        <v>15221</v>
      </c>
    </row>
    <row r="9713" spans="1:16" x14ac:dyDescent="0.25">
      <c r="A9713" t="str">
        <f>"1150056G00100    00"</f>
        <v>1150056G00100    00</v>
      </c>
      <c r="B9713" t="s">
        <v>21246</v>
      </c>
      <c r="C9713" t="s">
        <v>21503</v>
      </c>
      <c r="D9713" t="s">
        <v>20</v>
      </c>
      <c r="E9713" t="s">
        <v>39</v>
      </c>
      <c r="F9713">
        <v>0</v>
      </c>
      <c r="G9713">
        <v>0</v>
      </c>
      <c r="H9713">
        <v>3</v>
      </c>
      <c r="I9713" s="3">
        <v>426.42</v>
      </c>
      <c r="J9713" s="3">
        <v>9.27</v>
      </c>
      <c r="L9713">
        <v>727</v>
      </c>
      <c r="M9713" t="s">
        <v>15656</v>
      </c>
      <c r="N9713" t="s">
        <v>30</v>
      </c>
      <c r="O9713" t="s">
        <v>31</v>
      </c>
      <c r="P9713" t="str">
        <f>"15221"</f>
        <v>15221</v>
      </c>
    </row>
    <row r="9714" spans="1:16" x14ac:dyDescent="0.25">
      <c r="A9714" t="str">
        <f>"1150056G00133    00"</f>
        <v>1150056G00133    00</v>
      </c>
      <c r="B9714" t="s">
        <v>21504</v>
      </c>
      <c r="C9714" t="s">
        <v>21505</v>
      </c>
      <c r="D9714" t="s">
        <v>20</v>
      </c>
      <c r="E9714" t="s">
        <v>39</v>
      </c>
      <c r="F9714">
        <v>0</v>
      </c>
      <c r="G9714">
        <v>0</v>
      </c>
      <c r="H9714">
        <v>9</v>
      </c>
      <c r="I9714" s="3">
        <v>1808.77</v>
      </c>
      <c r="J9714" s="3">
        <v>2255.85</v>
      </c>
      <c r="L9714">
        <v>5011</v>
      </c>
      <c r="M9714" t="s">
        <v>21506</v>
      </c>
      <c r="N9714" t="s">
        <v>30</v>
      </c>
      <c r="O9714" t="s">
        <v>31</v>
      </c>
      <c r="P9714" t="str">
        <f>"15207"</f>
        <v>15207</v>
      </c>
    </row>
    <row r="9715" spans="1:16" x14ac:dyDescent="0.25">
      <c r="A9715" t="str">
        <f>"1150056G00134    00"</f>
        <v>1150056G00134    00</v>
      </c>
      <c r="B9715" t="s">
        <v>21507</v>
      </c>
      <c r="C9715" t="s">
        <v>21508</v>
      </c>
      <c r="D9715" t="s">
        <v>20</v>
      </c>
      <c r="E9715" t="s">
        <v>39</v>
      </c>
      <c r="F9715">
        <v>0</v>
      </c>
      <c r="G9715">
        <v>0</v>
      </c>
      <c r="H9715">
        <v>1</v>
      </c>
      <c r="I9715" s="3">
        <v>18.510000000000002</v>
      </c>
      <c r="J9715" s="3">
        <v>0</v>
      </c>
      <c r="K9715" t="s">
        <v>7512</v>
      </c>
      <c r="M9715" t="s">
        <v>7513</v>
      </c>
      <c r="N9715" t="s">
        <v>30</v>
      </c>
      <c r="O9715" t="s">
        <v>31</v>
      </c>
      <c r="P9715" t="str">
        <f>"15237"</f>
        <v>15237</v>
      </c>
    </row>
    <row r="9716" spans="1:16" x14ac:dyDescent="0.25">
      <c r="A9716" t="str">
        <f>"1150056G00137    00"</f>
        <v>1150056G00137    00</v>
      </c>
      <c r="B9716" t="s">
        <v>21509</v>
      </c>
      <c r="C9716" t="s">
        <v>21510</v>
      </c>
      <c r="E9716" t="s">
        <v>39</v>
      </c>
      <c r="F9716">
        <v>0</v>
      </c>
      <c r="G9716">
        <v>0</v>
      </c>
      <c r="H9716">
        <v>1</v>
      </c>
      <c r="I9716" s="3">
        <v>33.479999999999997</v>
      </c>
      <c r="J9716" s="3">
        <v>0</v>
      </c>
      <c r="L9716">
        <v>245</v>
      </c>
      <c r="M9716" t="s">
        <v>21127</v>
      </c>
      <c r="N9716" t="s">
        <v>30</v>
      </c>
      <c r="O9716" t="s">
        <v>31</v>
      </c>
      <c r="P9716" t="str">
        <f>"15207"</f>
        <v>15207</v>
      </c>
    </row>
    <row r="9717" spans="1:16" x14ac:dyDescent="0.25">
      <c r="A9717" t="str">
        <f>"1150056G00215    00"</f>
        <v>1150056G00215    00</v>
      </c>
      <c r="B9717" t="s">
        <v>21511</v>
      </c>
      <c r="C9717" t="s">
        <v>21512</v>
      </c>
      <c r="D9717" t="s">
        <v>20</v>
      </c>
      <c r="E9717" t="s">
        <v>39</v>
      </c>
      <c r="F9717">
        <v>0</v>
      </c>
      <c r="G9717">
        <v>0</v>
      </c>
      <c r="H9717">
        <v>1</v>
      </c>
      <c r="I9717" s="3">
        <v>154.18</v>
      </c>
      <c r="J9717" s="3">
        <v>0</v>
      </c>
      <c r="L9717">
        <v>5018</v>
      </c>
      <c r="M9717" t="s">
        <v>21513</v>
      </c>
      <c r="N9717" t="s">
        <v>30</v>
      </c>
      <c r="O9717" t="s">
        <v>31</v>
      </c>
      <c r="P9717" t="str">
        <f>"15207"</f>
        <v>15207</v>
      </c>
    </row>
    <row r="9718" spans="1:16" x14ac:dyDescent="0.25">
      <c r="A9718" t="str">
        <f>"1150056G00216    00"</f>
        <v>1150056G00216    00</v>
      </c>
      <c r="B9718" t="s">
        <v>21509</v>
      </c>
      <c r="C9718" t="s">
        <v>21514</v>
      </c>
      <c r="E9718" t="s">
        <v>39</v>
      </c>
      <c r="F9718">
        <v>0</v>
      </c>
      <c r="G9718">
        <v>0</v>
      </c>
      <c r="H9718">
        <v>1</v>
      </c>
      <c r="I9718" s="3">
        <v>263.42</v>
      </c>
      <c r="J9718" s="3">
        <v>0</v>
      </c>
      <c r="K9718" t="s">
        <v>21515</v>
      </c>
      <c r="L9718">
        <v>5020</v>
      </c>
      <c r="M9718" t="s">
        <v>21513</v>
      </c>
      <c r="N9718" t="s">
        <v>30</v>
      </c>
      <c r="O9718" t="s">
        <v>31</v>
      </c>
      <c r="P9718" t="str">
        <f>"15207"</f>
        <v>15207</v>
      </c>
    </row>
    <row r="9719" spans="1:16" x14ac:dyDescent="0.25">
      <c r="A9719" t="str">
        <f>"1150056G00228    00"</f>
        <v>1150056G00228    00</v>
      </c>
      <c r="B9719" t="s">
        <v>21516</v>
      </c>
      <c r="C9719" t="s">
        <v>21517</v>
      </c>
      <c r="D9719" t="s">
        <v>20</v>
      </c>
      <c r="E9719" t="s">
        <v>39</v>
      </c>
      <c r="F9719">
        <v>0</v>
      </c>
      <c r="G9719">
        <v>0</v>
      </c>
      <c r="H9719">
        <v>9</v>
      </c>
      <c r="I9719" s="3">
        <v>1424.09</v>
      </c>
      <c r="J9719" s="3">
        <v>1340.73</v>
      </c>
      <c r="L9719">
        <v>5025</v>
      </c>
      <c r="M9719" t="s">
        <v>21513</v>
      </c>
      <c r="N9719" t="s">
        <v>30</v>
      </c>
      <c r="O9719" t="s">
        <v>31</v>
      </c>
      <c r="P9719" t="str">
        <f>"15207"</f>
        <v>15207</v>
      </c>
    </row>
    <row r="9720" spans="1:16" x14ac:dyDescent="0.25">
      <c r="A9720" t="str">
        <f>"1150056G00234    00"</f>
        <v>1150056G00234    00</v>
      </c>
      <c r="B9720" t="s">
        <v>21518</v>
      </c>
      <c r="C9720" t="s">
        <v>21519</v>
      </c>
      <c r="D9720" t="s">
        <v>20</v>
      </c>
      <c r="E9720" t="s">
        <v>39</v>
      </c>
      <c r="F9720">
        <v>0</v>
      </c>
      <c r="G9720">
        <v>0</v>
      </c>
      <c r="H9720">
        <v>6</v>
      </c>
      <c r="I9720" s="3">
        <v>3134.6</v>
      </c>
      <c r="J9720" s="3">
        <v>703.03</v>
      </c>
      <c r="K9720" t="s">
        <v>21520</v>
      </c>
      <c r="L9720">
        <v>5005</v>
      </c>
      <c r="M9720" t="s">
        <v>13512</v>
      </c>
      <c r="N9720" t="s">
        <v>30</v>
      </c>
      <c r="O9720" t="s">
        <v>31</v>
      </c>
      <c r="P9720" t="str">
        <f>"15207"</f>
        <v>15207</v>
      </c>
    </row>
    <row r="9721" spans="1:16" x14ac:dyDescent="0.25">
      <c r="A9721" t="str">
        <f>"1150056G00258    00"</f>
        <v>1150056G00258    00</v>
      </c>
      <c r="B9721" t="s">
        <v>9290</v>
      </c>
      <c r="C9721" t="s">
        <v>21521</v>
      </c>
      <c r="D9721" t="s">
        <v>20</v>
      </c>
      <c r="E9721" t="s">
        <v>39</v>
      </c>
      <c r="F9721">
        <v>0</v>
      </c>
      <c r="G9721">
        <v>0</v>
      </c>
      <c r="H9721">
        <v>1</v>
      </c>
      <c r="I9721" s="3">
        <v>93.4</v>
      </c>
      <c r="J9721" s="3">
        <v>0</v>
      </c>
      <c r="L9721">
        <v>414</v>
      </c>
      <c r="M9721" t="s">
        <v>9292</v>
      </c>
      <c r="N9721" t="s">
        <v>30</v>
      </c>
      <c r="O9721" t="s">
        <v>31</v>
      </c>
      <c r="P9721" t="str">
        <f>"15219"</f>
        <v>15219</v>
      </c>
    </row>
    <row r="9722" spans="1:16" x14ac:dyDescent="0.25">
      <c r="A9722" t="str">
        <f>"1150056J00055    00"</f>
        <v>1150056J00055    00</v>
      </c>
      <c r="B9722" t="s">
        <v>21246</v>
      </c>
      <c r="C9722" t="s">
        <v>21522</v>
      </c>
      <c r="D9722" t="s">
        <v>20</v>
      </c>
      <c r="E9722" t="s">
        <v>21</v>
      </c>
      <c r="F9722">
        <v>0</v>
      </c>
      <c r="G9722">
        <v>0</v>
      </c>
      <c r="H9722">
        <v>1</v>
      </c>
      <c r="I9722" s="3">
        <v>1165.52</v>
      </c>
      <c r="J9722" s="3">
        <v>0</v>
      </c>
      <c r="L9722">
        <v>727</v>
      </c>
      <c r="M9722" t="s">
        <v>17413</v>
      </c>
      <c r="N9722" t="s">
        <v>30</v>
      </c>
      <c r="O9722" t="s">
        <v>31</v>
      </c>
      <c r="P9722" t="str">
        <f>"15221"</f>
        <v>15221</v>
      </c>
    </row>
    <row r="9723" spans="1:16" x14ac:dyDescent="0.25">
      <c r="A9723" t="str">
        <f>"1150056J00064    00"</f>
        <v>1150056J00064    00</v>
      </c>
      <c r="B9723" t="s">
        <v>21523</v>
      </c>
      <c r="C9723" t="s">
        <v>21524</v>
      </c>
      <c r="D9723" t="s">
        <v>20</v>
      </c>
      <c r="E9723" t="s">
        <v>39</v>
      </c>
      <c r="F9723">
        <v>0</v>
      </c>
      <c r="G9723">
        <v>0</v>
      </c>
      <c r="H9723">
        <v>7</v>
      </c>
      <c r="I9723" s="3">
        <v>588.89</v>
      </c>
      <c r="J9723" s="3">
        <v>432.73</v>
      </c>
      <c r="L9723">
        <v>5008</v>
      </c>
      <c r="M9723" t="s">
        <v>21525</v>
      </c>
      <c r="N9723" t="s">
        <v>30</v>
      </c>
      <c r="O9723" t="s">
        <v>31</v>
      </c>
      <c r="P9723" t="str">
        <f>"15207"</f>
        <v>15207</v>
      </c>
    </row>
    <row r="9724" spans="1:16" x14ac:dyDescent="0.25">
      <c r="A9724" t="str">
        <f>"1150056J00069    00"</f>
        <v>1150056J00069    00</v>
      </c>
      <c r="B9724" t="s">
        <v>21526</v>
      </c>
      <c r="C9724" t="s">
        <v>21527</v>
      </c>
      <c r="D9724" t="s">
        <v>20</v>
      </c>
      <c r="E9724" t="s">
        <v>39</v>
      </c>
      <c r="F9724">
        <v>0</v>
      </c>
      <c r="G9724">
        <v>0</v>
      </c>
      <c r="H9724">
        <v>3</v>
      </c>
      <c r="I9724" s="3">
        <v>2041.35</v>
      </c>
      <c r="J9724" s="3">
        <v>165.09</v>
      </c>
      <c r="L9724">
        <v>5000</v>
      </c>
      <c r="M9724" t="s">
        <v>21525</v>
      </c>
      <c r="N9724" t="s">
        <v>30</v>
      </c>
      <c r="O9724" t="s">
        <v>31</v>
      </c>
      <c r="P9724" t="str">
        <f>"15207"</f>
        <v>15207</v>
      </c>
    </row>
    <row r="9725" spans="1:16" x14ac:dyDescent="0.25">
      <c r="A9725" t="str">
        <f>"1150056J00115    00"</f>
        <v>1150056J00115    00</v>
      </c>
      <c r="B9725" t="s">
        <v>21528</v>
      </c>
      <c r="C9725" t="s">
        <v>21529</v>
      </c>
      <c r="E9725" t="s">
        <v>39</v>
      </c>
      <c r="F9725">
        <v>0</v>
      </c>
      <c r="G9725">
        <v>0</v>
      </c>
      <c r="H9725">
        <v>5</v>
      </c>
      <c r="I9725" s="3">
        <v>130.62</v>
      </c>
      <c r="J9725" s="3">
        <v>1.73</v>
      </c>
      <c r="L9725">
        <v>4652</v>
      </c>
      <c r="M9725" t="s">
        <v>21530</v>
      </c>
      <c r="N9725" t="s">
        <v>30</v>
      </c>
      <c r="O9725" t="s">
        <v>31</v>
      </c>
      <c r="P9725" t="str">
        <f>"15210"</f>
        <v>15210</v>
      </c>
    </row>
    <row r="9726" spans="1:16" x14ac:dyDescent="0.25">
      <c r="A9726" t="str">
        <f>"1150056J00126    00"</f>
        <v>1150056J00126    00</v>
      </c>
      <c r="B9726" t="s">
        <v>21531</v>
      </c>
      <c r="C9726" t="s">
        <v>21532</v>
      </c>
      <c r="D9726" t="s">
        <v>20</v>
      </c>
      <c r="E9726" t="s">
        <v>39</v>
      </c>
      <c r="F9726">
        <v>0</v>
      </c>
      <c r="G9726">
        <v>0</v>
      </c>
      <c r="H9726">
        <v>2</v>
      </c>
      <c r="I9726" s="3">
        <v>350.72</v>
      </c>
      <c r="J9726" s="3">
        <v>0</v>
      </c>
      <c r="L9726">
        <v>1201</v>
      </c>
      <c r="M9726" t="s">
        <v>21533</v>
      </c>
      <c r="N9726" t="s">
        <v>636</v>
      </c>
      <c r="O9726" t="s">
        <v>31</v>
      </c>
      <c r="P9726" t="str">
        <f>"15104"</f>
        <v>15104</v>
      </c>
    </row>
    <row r="9727" spans="1:16" x14ac:dyDescent="0.25">
      <c r="A9727" t="str">
        <f>"1150056J00132    00"</f>
        <v>1150056J00132    00</v>
      </c>
      <c r="B9727" t="s">
        <v>21534</v>
      </c>
      <c r="C9727" t="s">
        <v>21535</v>
      </c>
      <c r="E9727" t="s">
        <v>39</v>
      </c>
      <c r="F9727">
        <v>0</v>
      </c>
      <c r="G9727">
        <v>0</v>
      </c>
      <c r="H9727">
        <v>3</v>
      </c>
      <c r="I9727" s="3">
        <v>1388.11</v>
      </c>
      <c r="J9727" s="3">
        <v>398.02</v>
      </c>
      <c r="L9727">
        <v>69</v>
      </c>
      <c r="M9727" t="s">
        <v>20776</v>
      </c>
      <c r="N9727" t="s">
        <v>30</v>
      </c>
      <c r="O9727" t="s">
        <v>31</v>
      </c>
      <c r="P9727" t="str">
        <f>"15207"</f>
        <v>15207</v>
      </c>
    </row>
    <row r="9728" spans="1:16" x14ac:dyDescent="0.25">
      <c r="A9728" t="str">
        <f>"1150056J00135    00"</f>
        <v>1150056J00135    00</v>
      </c>
      <c r="B9728" t="s">
        <v>21536</v>
      </c>
      <c r="C9728" t="s">
        <v>21537</v>
      </c>
      <c r="D9728" t="s">
        <v>20</v>
      </c>
      <c r="E9728" t="s">
        <v>39</v>
      </c>
      <c r="F9728">
        <v>0</v>
      </c>
      <c r="G9728">
        <v>0</v>
      </c>
      <c r="H9728">
        <v>2</v>
      </c>
      <c r="I9728" s="3">
        <v>250.83</v>
      </c>
      <c r="J9728" s="3">
        <v>0</v>
      </c>
      <c r="K9728" t="s">
        <v>21538</v>
      </c>
      <c r="L9728">
        <v>968</v>
      </c>
      <c r="M9728" t="s">
        <v>21539</v>
      </c>
      <c r="N9728" t="s">
        <v>30</v>
      </c>
      <c r="O9728" t="s">
        <v>31</v>
      </c>
      <c r="P9728" t="str">
        <f>"15226"</f>
        <v>15226</v>
      </c>
    </row>
    <row r="9729" spans="1:16" x14ac:dyDescent="0.25">
      <c r="A9729" t="str">
        <f>"1150056J00136    00"</f>
        <v>1150056J00136    00</v>
      </c>
      <c r="B9729" t="s">
        <v>21536</v>
      </c>
      <c r="C9729" t="s">
        <v>21540</v>
      </c>
      <c r="D9729" t="s">
        <v>20</v>
      </c>
      <c r="E9729" t="s">
        <v>39</v>
      </c>
      <c r="F9729">
        <v>0</v>
      </c>
      <c r="G9729">
        <v>0</v>
      </c>
      <c r="H9729">
        <v>2</v>
      </c>
      <c r="I9729" s="3">
        <v>306.60000000000002</v>
      </c>
      <c r="J9729" s="3">
        <v>0</v>
      </c>
      <c r="K9729" t="s">
        <v>21541</v>
      </c>
      <c r="M9729" t="s">
        <v>21542</v>
      </c>
      <c r="N9729" t="s">
        <v>30</v>
      </c>
      <c r="O9729" t="s">
        <v>31</v>
      </c>
      <c r="P9729" t="str">
        <f>"15207"</f>
        <v>15207</v>
      </c>
    </row>
    <row r="9730" spans="1:16" x14ac:dyDescent="0.25">
      <c r="A9730" t="str">
        <f>"1150056J00137    00"</f>
        <v>1150056J00137    00</v>
      </c>
      <c r="B9730" t="s">
        <v>21536</v>
      </c>
      <c r="C9730" t="s">
        <v>21543</v>
      </c>
      <c r="D9730" t="s">
        <v>20</v>
      </c>
      <c r="E9730" t="s">
        <v>39</v>
      </c>
      <c r="F9730">
        <v>0</v>
      </c>
      <c r="G9730">
        <v>0</v>
      </c>
      <c r="H9730">
        <v>4</v>
      </c>
      <c r="I9730" s="3">
        <v>761.94</v>
      </c>
      <c r="J9730" s="3">
        <v>79.099999999999994</v>
      </c>
      <c r="K9730" t="s">
        <v>21541</v>
      </c>
      <c r="M9730" t="s">
        <v>21542</v>
      </c>
      <c r="N9730" t="s">
        <v>30</v>
      </c>
      <c r="O9730" t="s">
        <v>31</v>
      </c>
      <c r="P9730" t="str">
        <f>"15207"</f>
        <v>15207</v>
      </c>
    </row>
    <row r="9731" spans="1:16" x14ac:dyDescent="0.25">
      <c r="A9731" t="str">
        <f>"1150056J00140    00"</f>
        <v>1150056J00140    00</v>
      </c>
      <c r="B9731" t="s">
        <v>21246</v>
      </c>
      <c r="C9731" t="s">
        <v>21544</v>
      </c>
      <c r="D9731" t="s">
        <v>20</v>
      </c>
      <c r="E9731" t="s">
        <v>39</v>
      </c>
      <c r="F9731">
        <v>0</v>
      </c>
      <c r="G9731">
        <v>0</v>
      </c>
      <c r="H9731">
        <v>2</v>
      </c>
      <c r="I9731" s="3">
        <v>199.67</v>
      </c>
      <c r="J9731" s="3">
        <v>138.09</v>
      </c>
      <c r="L9731">
        <v>727</v>
      </c>
      <c r="M9731" t="s">
        <v>15656</v>
      </c>
      <c r="N9731" t="s">
        <v>30</v>
      </c>
      <c r="O9731" t="s">
        <v>31</v>
      </c>
      <c r="P9731" t="str">
        <f>"15221"</f>
        <v>15221</v>
      </c>
    </row>
    <row r="9732" spans="1:16" x14ac:dyDescent="0.25">
      <c r="A9732" t="str">
        <f>"1150056J00176A   00"</f>
        <v>1150056J00176A   00</v>
      </c>
      <c r="B9732" t="s">
        <v>21545</v>
      </c>
      <c r="C9732" t="s">
        <v>21546</v>
      </c>
      <c r="E9732" t="s">
        <v>39</v>
      </c>
      <c r="F9732">
        <v>0</v>
      </c>
      <c r="G9732">
        <v>0</v>
      </c>
      <c r="H9732">
        <v>3</v>
      </c>
      <c r="I9732" s="3">
        <v>172.86</v>
      </c>
      <c r="J9732" s="3">
        <v>20.79</v>
      </c>
      <c r="K9732" t="s">
        <v>21547</v>
      </c>
      <c r="L9732">
        <v>3553</v>
      </c>
      <c r="M9732" t="s">
        <v>21548</v>
      </c>
      <c r="N9732" t="s">
        <v>30</v>
      </c>
      <c r="O9732" t="s">
        <v>31</v>
      </c>
      <c r="P9732" t="str">
        <f>"15227"</f>
        <v>15227</v>
      </c>
    </row>
    <row r="9733" spans="1:16" x14ac:dyDescent="0.25">
      <c r="A9733" t="str">
        <f>"1150056J00186    00"</f>
        <v>1150056J00186    00</v>
      </c>
      <c r="B9733" t="s">
        <v>21549</v>
      </c>
      <c r="C9733" t="s">
        <v>21550</v>
      </c>
      <c r="D9733" t="s">
        <v>20</v>
      </c>
      <c r="E9733" t="s">
        <v>39</v>
      </c>
      <c r="F9733">
        <v>0</v>
      </c>
      <c r="G9733">
        <v>0</v>
      </c>
      <c r="H9733">
        <v>5</v>
      </c>
      <c r="I9733" s="3">
        <v>951.44</v>
      </c>
      <c r="J9733" s="3">
        <v>164.39</v>
      </c>
      <c r="L9733">
        <v>6615</v>
      </c>
      <c r="M9733" t="s">
        <v>12069</v>
      </c>
      <c r="N9733" t="s">
        <v>30</v>
      </c>
      <c r="O9733" t="s">
        <v>31</v>
      </c>
      <c r="P9733" t="str">
        <f>"15206"</f>
        <v>15206</v>
      </c>
    </row>
    <row r="9734" spans="1:16" x14ac:dyDescent="0.25">
      <c r="A9734" t="str">
        <f>"1150056J00189    00"</f>
        <v>1150056J00189    00</v>
      </c>
      <c r="B9734" t="s">
        <v>21551</v>
      </c>
      <c r="C9734" t="s">
        <v>21552</v>
      </c>
      <c r="E9734" t="s">
        <v>39</v>
      </c>
      <c r="F9734">
        <v>0</v>
      </c>
      <c r="G9734">
        <v>0</v>
      </c>
      <c r="H9734">
        <v>4</v>
      </c>
      <c r="I9734" s="3">
        <v>561.58000000000004</v>
      </c>
      <c r="J9734" s="3">
        <v>13.97</v>
      </c>
      <c r="K9734" t="s">
        <v>21553</v>
      </c>
      <c r="L9734">
        <v>310</v>
      </c>
      <c r="M9734" t="s">
        <v>21554</v>
      </c>
      <c r="N9734" t="s">
        <v>30</v>
      </c>
      <c r="O9734" t="s">
        <v>31</v>
      </c>
      <c r="P9734" t="str">
        <f>"15207"</f>
        <v>15207</v>
      </c>
    </row>
    <row r="9735" spans="1:16" x14ac:dyDescent="0.25">
      <c r="A9735" t="str">
        <f>"1150056J00196    00"</f>
        <v>1150056J00196    00</v>
      </c>
      <c r="B9735" t="s">
        <v>21555</v>
      </c>
      <c r="C9735" t="s">
        <v>21556</v>
      </c>
      <c r="D9735" t="s">
        <v>20</v>
      </c>
      <c r="E9735" t="s">
        <v>39</v>
      </c>
      <c r="F9735">
        <v>0</v>
      </c>
      <c r="G9735">
        <v>0</v>
      </c>
      <c r="H9735">
        <v>8</v>
      </c>
      <c r="I9735" s="3">
        <v>192.67</v>
      </c>
      <c r="J9735" s="3">
        <v>63.68</v>
      </c>
      <c r="L9735">
        <v>222</v>
      </c>
      <c r="M9735" t="s">
        <v>927</v>
      </c>
      <c r="N9735" t="s">
        <v>21557</v>
      </c>
      <c r="O9735" t="s">
        <v>31</v>
      </c>
      <c r="P9735" t="str">
        <f>"15063"</f>
        <v>15063</v>
      </c>
    </row>
    <row r="9736" spans="1:16" x14ac:dyDescent="0.25">
      <c r="A9736" t="str">
        <f>"1150056J00230    00"</f>
        <v>1150056J00230    00</v>
      </c>
      <c r="B9736" t="s">
        <v>21558</v>
      </c>
      <c r="C9736" t="s">
        <v>21559</v>
      </c>
      <c r="D9736" t="s">
        <v>20</v>
      </c>
      <c r="E9736" t="s">
        <v>39</v>
      </c>
      <c r="F9736">
        <v>0</v>
      </c>
      <c r="G9736">
        <v>0</v>
      </c>
      <c r="H9736">
        <v>1</v>
      </c>
      <c r="I9736" s="3">
        <v>172.82</v>
      </c>
      <c r="J9736" s="3">
        <v>0</v>
      </c>
      <c r="K9736" t="s">
        <v>21560</v>
      </c>
      <c r="L9736">
        <v>44</v>
      </c>
      <c r="M9736" t="s">
        <v>21554</v>
      </c>
      <c r="N9736" t="s">
        <v>30</v>
      </c>
      <c r="O9736" t="s">
        <v>31</v>
      </c>
      <c r="P9736" t="str">
        <f>"15207"</f>
        <v>15207</v>
      </c>
    </row>
    <row r="9737" spans="1:16" x14ac:dyDescent="0.25">
      <c r="A9737" t="str">
        <f>"1150056J00233    00"</f>
        <v>1150056J00233    00</v>
      </c>
      <c r="B9737" t="s">
        <v>21246</v>
      </c>
      <c r="C9737" t="s">
        <v>21561</v>
      </c>
      <c r="D9737" t="s">
        <v>20</v>
      </c>
      <c r="E9737" t="s">
        <v>39</v>
      </c>
      <c r="F9737">
        <v>0</v>
      </c>
      <c r="G9737">
        <v>0</v>
      </c>
      <c r="H9737">
        <v>3</v>
      </c>
      <c r="I9737" s="3">
        <v>3100.91</v>
      </c>
      <c r="J9737" s="3">
        <v>128.63999999999999</v>
      </c>
      <c r="L9737">
        <v>727</v>
      </c>
      <c r="M9737" t="s">
        <v>15656</v>
      </c>
      <c r="N9737" t="s">
        <v>30</v>
      </c>
      <c r="O9737" t="s">
        <v>31</v>
      </c>
      <c r="P9737" t="str">
        <f>"15221"</f>
        <v>15221</v>
      </c>
    </row>
    <row r="9738" spans="1:16" x14ac:dyDescent="0.25">
      <c r="A9738" t="str">
        <f>"1150056K00032    00"</f>
        <v>1150056K00032    00</v>
      </c>
      <c r="B9738" t="s">
        <v>21562</v>
      </c>
      <c r="C9738" t="s">
        <v>21563</v>
      </c>
      <c r="D9738" t="s">
        <v>20</v>
      </c>
      <c r="E9738" t="s">
        <v>290</v>
      </c>
      <c r="F9738">
        <v>0</v>
      </c>
      <c r="G9738">
        <v>0</v>
      </c>
      <c r="H9738">
        <v>4</v>
      </c>
      <c r="I9738" s="3">
        <v>5524.58</v>
      </c>
      <c r="J9738" s="3">
        <v>106</v>
      </c>
      <c r="K9738" t="s">
        <v>21564</v>
      </c>
      <c r="M9738" t="s">
        <v>21565</v>
      </c>
      <c r="N9738" t="s">
        <v>30</v>
      </c>
      <c r="O9738" t="s">
        <v>31</v>
      </c>
      <c r="P9738" t="str">
        <f>"15207"</f>
        <v>15207</v>
      </c>
    </row>
    <row r="9739" spans="1:16" x14ac:dyDescent="0.25">
      <c r="A9739" t="str">
        <f>"1150056K00037    00"</f>
        <v>1150056K00037    00</v>
      </c>
      <c r="B9739" t="s">
        <v>21562</v>
      </c>
      <c r="C9739" t="s">
        <v>21563</v>
      </c>
      <c r="D9739" t="s">
        <v>20</v>
      </c>
      <c r="E9739" t="s">
        <v>290</v>
      </c>
      <c r="F9739">
        <v>0</v>
      </c>
      <c r="G9739">
        <v>0</v>
      </c>
      <c r="H9739">
        <v>4</v>
      </c>
      <c r="I9739" s="3">
        <v>4417.82</v>
      </c>
      <c r="J9739" s="3">
        <v>64.23</v>
      </c>
      <c r="K9739" t="s">
        <v>21564</v>
      </c>
      <c r="M9739" t="s">
        <v>21565</v>
      </c>
      <c r="N9739" t="s">
        <v>30</v>
      </c>
      <c r="O9739" t="s">
        <v>31</v>
      </c>
      <c r="P9739" t="str">
        <f>"15207"</f>
        <v>15207</v>
      </c>
    </row>
    <row r="9740" spans="1:16" x14ac:dyDescent="0.25">
      <c r="A9740" t="str">
        <f>"1150056K00048    00"</f>
        <v>1150056K00048    00</v>
      </c>
      <c r="B9740" t="s">
        <v>21566</v>
      </c>
      <c r="C9740" t="s">
        <v>21567</v>
      </c>
      <c r="D9740" t="s">
        <v>20</v>
      </c>
      <c r="E9740" t="s">
        <v>21</v>
      </c>
      <c r="F9740">
        <v>0</v>
      </c>
      <c r="G9740">
        <v>0</v>
      </c>
      <c r="H9740">
        <v>1</v>
      </c>
      <c r="I9740" s="3">
        <v>641.04999999999995</v>
      </c>
      <c r="J9740" s="3">
        <v>0</v>
      </c>
      <c r="L9740">
        <v>44</v>
      </c>
      <c r="M9740" t="s">
        <v>21554</v>
      </c>
      <c r="N9740" t="s">
        <v>30</v>
      </c>
      <c r="O9740" t="s">
        <v>31</v>
      </c>
      <c r="P9740" t="str">
        <f>"15207"</f>
        <v>15207</v>
      </c>
    </row>
    <row r="9741" spans="1:16" x14ac:dyDescent="0.25">
      <c r="A9741" t="str">
        <f>"1150056K00061    00"</f>
        <v>1150056K00061    00</v>
      </c>
      <c r="B9741" t="s">
        <v>21246</v>
      </c>
      <c r="C9741" t="s">
        <v>21568</v>
      </c>
      <c r="D9741" t="s">
        <v>20</v>
      </c>
      <c r="E9741" t="s">
        <v>39</v>
      </c>
      <c r="F9741">
        <v>0</v>
      </c>
      <c r="G9741">
        <v>0</v>
      </c>
      <c r="H9741">
        <v>3</v>
      </c>
      <c r="I9741" s="3">
        <v>1276.21</v>
      </c>
      <c r="J9741" s="3">
        <v>53.05</v>
      </c>
      <c r="L9741">
        <v>727</v>
      </c>
      <c r="M9741" t="s">
        <v>15656</v>
      </c>
      <c r="N9741" t="s">
        <v>30</v>
      </c>
      <c r="O9741" t="s">
        <v>31</v>
      </c>
      <c r="P9741" t="str">
        <f>"15221"</f>
        <v>15221</v>
      </c>
    </row>
    <row r="9742" spans="1:16" x14ac:dyDescent="0.25">
      <c r="A9742" t="str">
        <f>"1150056K00065    00"</f>
        <v>1150056K00065    00</v>
      </c>
      <c r="B9742" t="s">
        <v>21569</v>
      </c>
      <c r="C9742" t="s">
        <v>21570</v>
      </c>
      <c r="D9742" t="s">
        <v>20</v>
      </c>
      <c r="E9742" t="s">
        <v>39</v>
      </c>
      <c r="F9742">
        <v>0</v>
      </c>
      <c r="G9742">
        <v>0</v>
      </c>
      <c r="H9742">
        <v>2</v>
      </c>
      <c r="I9742" s="3">
        <v>545.12</v>
      </c>
      <c r="J9742" s="3">
        <v>54.51</v>
      </c>
      <c r="L9742">
        <v>21</v>
      </c>
      <c r="M9742" t="s">
        <v>21571</v>
      </c>
      <c r="N9742" t="s">
        <v>30</v>
      </c>
      <c r="O9742" t="s">
        <v>31</v>
      </c>
      <c r="P9742" t="str">
        <f>"15215"</f>
        <v>15215</v>
      </c>
    </row>
    <row r="9743" spans="1:16" x14ac:dyDescent="0.25">
      <c r="A9743" t="str">
        <f>"1150056K00136    00"</f>
        <v>1150056K00136    00</v>
      </c>
      <c r="B9743" t="s">
        <v>21572</v>
      </c>
      <c r="C9743" t="s">
        <v>21573</v>
      </c>
      <c r="D9743" t="s">
        <v>20</v>
      </c>
      <c r="E9743" t="s">
        <v>21</v>
      </c>
      <c r="F9743">
        <v>0</v>
      </c>
      <c r="G9743">
        <v>0</v>
      </c>
      <c r="H9743">
        <v>1</v>
      </c>
      <c r="I9743" s="3">
        <v>735.72</v>
      </c>
      <c r="J9743" s="3">
        <v>0</v>
      </c>
      <c r="K9743" t="s">
        <v>21574</v>
      </c>
      <c r="L9743">
        <v>5108</v>
      </c>
      <c r="M9743" t="s">
        <v>21575</v>
      </c>
      <c r="N9743" t="s">
        <v>30</v>
      </c>
      <c r="O9743" t="s">
        <v>31</v>
      </c>
      <c r="P9743" t="str">
        <f t="shared" ref="P9743:P9750" si="111">"15207"</f>
        <v>15207</v>
      </c>
    </row>
    <row r="9744" spans="1:16" x14ac:dyDescent="0.25">
      <c r="A9744" t="str">
        <f>"1150056K00138    00"</f>
        <v>1150056K00138    00</v>
      </c>
      <c r="B9744" t="s">
        <v>21572</v>
      </c>
      <c r="C9744" t="s">
        <v>21576</v>
      </c>
      <c r="D9744" t="s">
        <v>20</v>
      </c>
      <c r="E9744" t="s">
        <v>21</v>
      </c>
      <c r="F9744">
        <v>0</v>
      </c>
      <c r="G9744">
        <v>0</v>
      </c>
      <c r="H9744">
        <v>1</v>
      </c>
      <c r="I9744" s="3">
        <v>2454.9299999999998</v>
      </c>
      <c r="J9744" s="3">
        <v>0</v>
      </c>
      <c r="K9744" t="s">
        <v>21574</v>
      </c>
      <c r="L9744">
        <v>5108</v>
      </c>
      <c r="M9744" t="s">
        <v>21575</v>
      </c>
      <c r="N9744" t="s">
        <v>30</v>
      </c>
      <c r="O9744" t="s">
        <v>31</v>
      </c>
      <c r="P9744" t="str">
        <f t="shared" si="111"/>
        <v>15207</v>
      </c>
    </row>
    <row r="9745" spans="1:16" x14ac:dyDescent="0.25">
      <c r="A9745" t="str">
        <f>"1150056K00139    00"</f>
        <v>1150056K00139    00</v>
      </c>
      <c r="B9745" t="s">
        <v>21572</v>
      </c>
      <c r="C9745" t="s">
        <v>21577</v>
      </c>
      <c r="D9745" t="s">
        <v>20</v>
      </c>
      <c r="E9745" t="s">
        <v>21</v>
      </c>
      <c r="F9745">
        <v>0</v>
      </c>
      <c r="G9745">
        <v>0</v>
      </c>
      <c r="H9745">
        <v>1</v>
      </c>
      <c r="I9745" s="3">
        <v>1052.1099999999999</v>
      </c>
      <c r="J9745" s="3">
        <v>0</v>
      </c>
      <c r="K9745" t="s">
        <v>21574</v>
      </c>
      <c r="L9745">
        <v>5108</v>
      </c>
      <c r="M9745" t="s">
        <v>21575</v>
      </c>
      <c r="N9745" t="s">
        <v>30</v>
      </c>
      <c r="O9745" t="s">
        <v>31</v>
      </c>
      <c r="P9745" t="str">
        <f t="shared" si="111"/>
        <v>15207</v>
      </c>
    </row>
    <row r="9746" spans="1:16" x14ac:dyDescent="0.25">
      <c r="A9746" t="str">
        <f>"1150056K00140    00"</f>
        <v>1150056K00140    00</v>
      </c>
      <c r="B9746" t="s">
        <v>21572</v>
      </c>
      <c r="C9746" t="s">
        <v>21578</v>
      </c>
      <c r="D9746" t="s">
        <v>20</v>
      </c>
      <c r="E9746" t="s">
        <v>39</v>
      </c>
      <c r="F9746">
        <v>0</v>
      </c>
      <c r="G9746">
        <v>0</v>
      </c>
      <c r="H9746">
        <v>1</v>
      </c>
      <c r="I9746" s="3">
        <v>356.44</v>
      </c>
      <c r="J9746" s="3">
        <v>0</v>
      </c>
      <c r="K9746" t="s">
        <v>21574</v>
      </c>
      <c r="L9746">
        <v>5108</v>
      </c>
      <c r="M9746" t="s">
        <v>21575</v>
      </c>
      <c r="N9746" t="s">
        <v>30</v>
      </c>
      <c r="O9746" t="s">
        <v>31</v>
      </c>
      <c r="P9746" t="str">
        <f t="shared" si="111"/>
        <v>15207</v>
      </c>
    </row>
    <row r="9747" spans="1:16" x14ac:dyDescent="0.25">
      <c r="A9747" t="str">
        <f>"1150056K00160    00"</f>
        <v>1150056K00160    00</v>
      </c>
      <c r="B9747" t="s">
        <v>21579</v>
      </c>
      <c r="C9747" t="s">
        <v>21580</v>
      </c>
      <c r="D9747" t="s">
        <v>20</v>
      </c>
      <c r="E9747" t="s">
        <v>39</v>
      </c>
      <c r="F9747">
        <v>0</v>
      </c>
      <c r="G9747">
        <v>0</v>
      </c>
      <c r="H9747">
        <v>9</v>
      </c>
      <c r="I9747" s="3">
        <v>5261.38</v>
      </c>
      <c r="J9747" s="3">
        <v>1936.54</v>
      </c>
      <c r="L9747">
        <v>208</v>
      </c>
      <c r="M9747" t="s">
        <v>1020</v>
      </c>
      <c r="N9747" t="s">
        <v>30</v>
      </c>
      <c r="O9747" t="s">
        <v>31</v>
      </c>
      <c r="P9747" t="str">
        <f t="shared" si="111"/>
        <v>15207</v>
      </c>
    </row>
    <row r="9748" spans="1:16" x14ac:dyDescent="0.25">
      <c r="A9748" t="str">
        <f>"1150056K00180    00"</f>
        <v>1150056K00180    00</v>
      </c>
      <c r="B9748" t="s">
        <v>21581</v>
      </c>
      <c r="C9748" t="s">
        <v>21582</v>
      </c>
      <c r="D9748" t="s">
        <v>20</v>
      </c>
      <c r="E9748" t="s">
        <v>21</v>
      </c>
      <c r="F9748">
        <v>0</v>
      </c>
      <c r="G9748">
        <v>0</v>
      </c>
      <c r="H9748">
        <v>4</v>
      </c>
      <c r="I9748" s="3">
        <v>14212.4</v>
      </c>
      <c r="J9748" s="3">
        <v>5920.03</v>
      </c>
      <c r="K9748" t="s">
        <v>21583</v>
      </c>
      <c r="L9748">
        <v>134</v>
      </c>
      <c r="M9748" t="s">
        <v>1020</v>
      </c>
      <c r="N9748" t="s">
        <v>30</v>
      </c>
      <c r="O9748" t="s">
        <v>31</v>
      </c>
      <c r="P9748" t="str">
        <f t="shared" si="111"/>
        <v>15207</v>
      </c>
    </row>
    <row r="9749" spans="1:16" x14ac:dyDescent="0.25">
      <c r="A9749" t="str">
        <f>"1150056K00195    00"</f>
        <v>1150056K00195    00</v>
      </c>
      <c r="B9749" t="s">
        <v>21584</v>
      </c>
      <c r="C9749" t="s">
        <v>21585</v>
      </c>
      <c r="D9749" t="s">
        <v>20</v>
      </c>
      <c r="E9749" t="s">
        <v>39</v>
      </c>
      <c r="F9749">
        <v>0</v>
      </c>
      <c r="G9749">
        <v>0</v>
      </c>
      <c r="H9749">
        <v>3</v>
      </c>
      <c r="I9749" s="3">
        <v>2252.69</v>
      </c>
      <c r="J9749" s="3">
        <v>182.97</v>
      </c>
      <c r="L9749">
        <v>117</v>
      </c>
      <c r="M9749" t="s">
        <v>1020</v>
      </c>
      <c r="N9749" t="s">
        <v>30</v>
      </c>
      <c r="O9749" t="s">
        <v>31</v>
      </c>
      <c r="P9749" t="str">
        <f t="shared" si="111"/>
        <v>15207</v>
      </c>
    </row>
    <row r="9750" spans="1:16" x14ac:dyDescent="0.25">
      <c r="A9750" t="str">
        <f>"1150056K00203    00"</f>
        <v>1150056K00203    00</v>
      </c>
      <c r="B9750" t="s">
        <v>21586</v>
      </c>
      <c r="C9750" t="s">
        <v>21587</v>
      </c>
      <c r="D9750" t="s">
        <v>20</v>
      </c>
      <c r="E9750" t="s">
        <v>39</v>
      </c>
      <c r="F9750">
        <v>0</v>
      </c>
      <c r="G9750">
        <v>0</v>
      </c>
      <c r="H9750">
        <v>2</v>
      </c>
      <c r="I9750" s="3">
        <v>2039.44</v>
      </c>
      <c r="J9750" s="3">
        <v>0</v>
      </c>
      <c r="K9750" t="s">
        <v>21588</v>
      </c>
      <c r="L9750">
        <v>129</v>
      </c>
      <c r="M9750" t="s">
        <v>1020</v>
      </c>
      <c r="N9750" t="s">
        <v>30</v>
      </c>
      <c r="O9750" t="s">
        <v>31</v>
      </c>
      <c r="P9750" t="str">
        <f t="shared" si="111"/>
        <v>15207</v>
      </c>
    </row>
    <row r="9751" spans="1:16" x14ac:dyDescent="0.25">
      <c r="A9751" t="str">
        <f>"1150056K00213    00"</f>
        <v>1150056K00213    00</v>
      </c>
      <c r="B9751" t="s">
        <v>21589</v>
      </c>
      <c r="C9751" t="s">
        <v>21590</v>
      </c>
      <c r="D9751" t="s">
        <v>20</v>
      </c>
      <c r="E9751" t="s">
        <v>39</v>
      </c>
      <c r="F9751">
        <v>0</v>
      </c>
      <c r="G9751">
        <v>0</v>
      </c>
      <c r="H9751">
        <v>6</v>
      </c>
      <c r="I9751" s="3">
        <v>1018.62</v>
      </c>
      <c r="J9751" s="3">
        <v>215.02</v>
      </c>
      <c r="K9751" t="s">
        <v>21591</v>
      </c>
      <c r="L9751">
        <v>3423</v>
      </c>
      <c r="M9751" t="s">
        <v>21592</v>
      </c>
      <c r="N9751" t="s">
        <v>21593</v>
      </c>
      <c r="O9751" t="s">
        <v>1184</v>
      </c>
      <c r="P9751" t="str">
        <f>"20904"</f>
        <v>20904</v>
      </c>
    </row>
    <row r="9752" spans="1:16" x14ac:dyDescent="0.25">
      <c r="A9752" t="str">
        <f>"1150056K00220    00"</f>
        <v>1150056K00220    00</v>
      </c>
      <c r="B9752" t="s">
        <v>21594</v>
      </c>
      <c r="C9752" t="s">
        <v>21595</v>
      </c>
      <c r="D9752" t="s">
        <v>20</v>
      </c>
      <c r="E9752" t="s">
        <v>39</v>
      </c>
      <c r="F9752">
        <v>0</v>
      </c>
      <c r="G9752">
        <v>0</v>
      </c>
      <c r="H9752">
        <v>3</v>
      </c>
      <c r="I9752" s="3">
        <v>2949.23</v>
      </c>
      <c r="J9752" s="3">
        <v>208.44</v>
      </c>
      <c r="L9752">
        <v>206</v>
      </c>
      <c r="M9752" t="s">
        <v>21596</v>
      </c>
      <c r="N9752" t="s">
        <v>30</v>
      </c>
      <c r="O9752" t="s">
        <v>31</v>
      </c>
      <c r="P9752" t="str">
        <f t="shared" ref="P9752:P9760" si="112">"15207"</f>
        <v>15207</v>
      </c>
    </row>
    <row r="9753" spans="1:16" x14ac:dyDescent="0.25">
      <c r="A9753" t="str">
        <f>"1150056K00252    00"</f>
        <v>1150056K00252    00</v>
      </c>
      <c r="B9753" t="s">
        <v>21597</v>
      </c>
      <c r="C9753" t="s">
        <v>21598</v>
      </c>
      <c r="D9753" t="s">
        <v>20</v>
      </c>
      <c r="E9753" t="s">
        <v>21</v>
      </c>
      <c r="F9753">
        <v>0</v>
      </c>
      <c r="G9753">
        <v>0</v>
      </c>
      <c r="H9753">
        <v>1</v>
      </c>
      <c r="I9753" s="3">
        <v>576.25</v>
      </c>
      <c r="J9753" s="3">
        <v>0</v>
      </c>
      <c r="L9753">
        <v>315</v>
      </c>
      <c r="M9753" t="s">
        <v>21599</v>
      </c>
      <c r="N9753" t="s">
        <v>30</v>
      </c>
      <c r="O9753" t="s">
        <v>31</v>
      </c>
      <c r="P9753" t="str">
        <f t="shared" si="112"/>
        <v>15207</v>
      </c>
    </row>
    <row r="9754" spans="1:16" x14ac:dyDescent="0.25">
      <c r="A9754" t="str">
        <f>"1150056K00289    00"</f>
        <v>1150056K00289    00</v>
      </c>
      <c r="B9754" t="s">
        <v>21600</v>
      </c>
      <c r="C9754" t="s">
        <v>21601</v>
      </c>
      <c r="E9754" t="s">
        <v>39</v>
      </c>
      <c r="F9754">
        <v>0</v>
      </c>
      <c r="G9754">
        <v>0</v>
      </c>
      <c r="H9754">
        <v>1</v>
      </c>
      <c r="I9754" s="3">
        <v>690</v>
      </c>
      <c r="J9754" s="3">
        <v>0</v>
      </c>
      <c r="K9754" t="s">
        <v>21602</v>
      </c>
      <c r="L9754">
        <v>117</v>
      </c>
      <c r="M9754" t="s">
        <v>21596</v>
      </c>
      <c r="N9754" t="s">
        <v>30</v>
      </c>
      <c r="O9754" t="s">
        <v>31</v>
      </c>
      <c r="P9754" t="str">
        <f t="shared" si="112"/>
        <v>15207</v>
      </c>
    </row>
    <row r="9755" spans="1:16" x14ac:dyDescent="0.25">
      <c r="A9755" t="str">
        <f>"1150056K00308    00"</f>
        <v>1150056K00308    00</v>
      </c>
      <c r="B9755" t="s">
        <v>21603</v>
      </c>
      <c r="C9755" t="s">
        <v>21604</v>
      </c>
      <c r="D9755" t="s">
        <v>20</v>
      </c>
      <c r="E9755" t="s">
        <v>39</v>
      </c>
      <c r="F9755">
        <v>0</v>
      </c>
      <c r="G9755">
        <v>0</v>
      </c>
      <c r="H9755">
        <v>6</v>
      </c>
      <c r="I9755" s="3">
        <v>6853.46</v>
      </c>
      <c r="J9755" s="3">
        <v>1537.09</v>
      </c>
      <c r="K9755" t="s">
        <v>21605</v>
      </c>
      <c r="L9755">
        <v>212</v>
      </c>
      <c r="M9755" t="s">
        <v>21127</v>
      </c>
      <c r="N9755" t="s">
        <v>30</v>
      </c>
      <c r="O9755" t="s">
        <v>31</v>
      </c>
      <c r="P9755" t="str">
        <f t="shared" si="112"/>
        <v>15207</v>
      </c>
    </row>
    <row r="9756" spans="1:16" x14ac:dyDescent="0.25">
      <c r="A9756" t="str">
        <f>"1150056K00320    00"</f>
        <v>1150056K00320    00</v>
      </c>
      <c r="B9756" t="s">
        <v>21327</v>
      </c>
      <c r="C9756" t="s">
        <v>21606</v>
      </c>
      <c r="E9756" t="s">
        <v>39</v>
      </c>
      <c r="F9756">
        <v>0</v>
      </c>
      <c r="G9756">
        <v>0</v>
      </c>
      <c r="H9756">
        <v>10</v>
      </c>
      <c r="I9756" s="3">
        <v>4128.2299999999996</v>
      </c>
      <c r="J9756" s="3">
        <v>5381.1</v>
      </c>
      <c r="K9756" t="s">
        <v>21329</v>
      </c>
      <c r="L9756">
        <v>5028</v>
      </c>
      <c r="M9756" t="s">
        <v>21330</v>
      </c>
      <c r="N9756" t="s">
        <v>30</v>
      </c>
      <c r="O9756" t="s">
        <v>31</v>
      </c>
      <c r="P9756" t="str">
        <f t="shared" si="112"/>
        <v>15207</v>
      </c>
    </row>
    <row r="9757" spans="1:16" x14ac:dyDescent="0.25">
      <c r="A9757" t="str">
        <f>"1150056K00323    00"</f>
        <v>1150056K00323    00</v>
      </c>
      <c r="B9757" t="s">
        <v>21327</v>
      </c>
      <c r="C9757" t="s">
        <v>21607</v>
      </c>
      <c r="E9757" t="s">
        <v>39</v>
      </c>
      <c r="F9757">
        <v>0</v>
      </c>
      <c r="G9757">
        <v>0</v>
      </c>
      <c r="H9757">
        <v>7</v>
      </c>
      <c r="I9757" s="3">
        <v>5424.98</v>
      </c>
      <c r="J9757" s="3">
        <v>7816.6</v>
      </c>
      <c r="K9757" t="s">
        <v>21329</v>
      </c>
      <c r="L9757">
        <v>5028</v>
      </c>
      <c r="M9757" t="s">
        <v>21330</v>
      </c>
      <c r="N9757" t="s">
        <v>30</v>
      </c>
      <c r="O9757" t="s">
        <v>31</v>
      </c>
      <c r="P9757" t="str">
        <f t="shared" si="112"/>
        <v>15207</v>
      </c>
    </row>
    <row r="9758" spans="1:16" x14ac:dyDescent="0.25">
      <c r="A9758" t="str">
        <f>"1150056L00008    00"</f>
        <v>1150056L00008    00</v>
      </c>
      <c r="B9758" t="s">
        <v>21603</v>
      </c>
      <c r="C9758" t="s">
        <v>21604</v>
      </c>
      <c r="D9758" t="s">
        <v>20</v>
      </c>
      <c r="E9758" t="s">
        <v>39</v>
      </c>
      <c r="F9758">
        <v>0</v>
      </c>
      <c r="G9758">
        <v>0</v>
      </c>
      <c r="H9758">
        <v>6</v>
      </c>
      <c r="I9758" s="3">
        <v>458.66</v>
      </c>
      <c r="J9758" s="3">
        <v>104.64</v>
      </c>
      <c r="K9758" t="s">
        <v>21605</v>
      </c>
      <c r="L9758">
        <v>212</v>
      </c>
      <c r="M9758" t="s">
        <v>21127</v>
      </c>
      <c r="N9758" t="s">
        <v>30</v>
      </c>
      <c r="O9758" t="s">
        <v>31</v>
      </c>
      <c r="P9758" t="str">
        <f t="shared" si="112"/>
        <v>15207</v>
      </c>
    </row>
    <row r="9759" spans="1:16" x14ac:dyDescent="0.25">
      <c r="A9759" t="str">
        <f>"1150056L00022    00"</f>
        <v>1150056L00022    00</v>
      </c>
      <c r="B9759" t="s">
        <v>21608</v>
      </c>
      <c r="C9759" t="s">
        <v>21609</v>
      </c>
      <c r="D9759" t="s">
        <v>20</v>
      </c>
      <c r="E9759" t="s">
        <v>39</v>
      </c>
      <c r="F9759">
        <v>0</v>
      </c>
      <c r="G9759">
        <v>0</v>
      </c>
      <c r="H9759">
        <v>2</v>
      </c>
      <c r="I9759" s="3">
        <v>632.84</v>
      </c>
      <c r="J9759" s="3">
        <v>0</v>
      </c>
      <c r="L9759">
        <v>5016</v>
      </c>
      <c r="M9759" t="s">
        <v>21497</v>
      </c>
      <c r="N9759" t="s">
        <v>30</v>
      </c>
      <c r="O9759" t="s">
        <v>31</v>
      </c>
      <c r="P9759" t="str">
        <f t="shared" si="112"/>
        <v>15207</v>
      </c>
    </row>
    <row r="9760" spans="1:16" x14ac:dyDescent="0.25">
      <c r="A9760" t="str">
        <f>"1150056L00038    00"</f>
        <v>1150056L00038    00</v>
      </c>
      <c r="B9760" t="s">
        <v>21603</v>
      </c>
      <c r="C9760" t="s">
        <v>21610</v>
      </c>
      <c r="D9760" t="s">
        <v>20</v>
      </c>
      <c r="E9760" t="s">
        <v>39</v>
      </c>
      <c r="F9760">
        <v>0</v>
      </c>
      <c r="G9760">
        <v>0</v>
      </c>
      <c r="H9760">
        <v>6</v>
      </c>
      <c r="I9760" s="3">
        <v>8594.83</v>
      </c>
      <c r="J9760" s="3">
        <v>1927.65</v>
      </c>
      <c r="K9760" t="s">
        <v>21605</v>
      </c>
      <c r="L9760">
        <v>5005</v>
      </c>
      <c r="M9760" t="s">
        <v>13512</v>
      </c>
      <c r="N9760" t="s">
        <v>30</v>
      </c>
      <c r="O9760" t="s">
        <v>31</v>
      </c>
      <c r="P9760" t="str">
        <f t="shared" si="112"/>
        <v>15207</v>
      </c>
    </row>
    <row r="9761" spans="1:16" x14ac:dyDescent="0.25">
      <c r="A9761" t="str">
        <f>"1150056L00046    00"</f>
        <v>1150056L00046    00</v>
      </c>
      <c r="B9761" t="s">
        <v>21611</v>
      </c>
      <c r="C9761" t="s">
        <v>21612</v>
      </c>
      <c r="D9761" t="s">
        <v>20</v>
      </c>
      <c r="E9761" t="s">
        <v>39</v>
      </c>
      <c r="F9761">
        <v>0</v>
      </c>
      <c r="G9761">
        <v>0</v>
      </c>
      <c r="H9761">
        <v>2</v>
      </c>
      <c r="I9761" s="3">
        <v>1304.32</v>
      </c>
      <c r="J9761" s="3">
        <v>0</v>
      </c>
      <c r="L9761">
        <v>6114</v>
      </c>
      <c r="M9761" t="s">
        <v>21613</v>
      </c>
      <c r="N9761" t="s">
        <v>11653</v>
      </c>
      <c r="O9761" t="s">
        <v>606</v>
      </c>
      <c r="P9761" t="str">
        <f>"30058"</f>
        <v>30058</v>
      </c>
    </row>
    <row r="9762" spans="1:16" x14ac:dyDescent="0.25">
      <c r="A9762" t="str">
        <f>"1150056L00060    00"</f>
        <v>1150056L00060    00</v>
      </c>
      <c r="B9762" t="s">
        <v>21363</v>
      </c>
      <c r="C9762" t="s">
        <v>21614</v>
      </c>
      <c r="D9762" t="s">
        <v>20</v>
      </c>
      <c r="E9762" t="s">
        <v>39</v>
      </c>
      <c r="F9762">
        <v>0</v>
      </c>
      <c r="G9762">
        <v>0</v>
      </c>
      <c r="H9762">
        <v>2</v>
      </c>
      <c r="I9762" s="3">
        <v>1658.24</v>
      </c>
      <c r="J9762" s="3">
        <v>0</v>
      </c>
      <c r="L9762">
        <v>149</v>
      </c>
      <c r="M9762" t="s">
        <v>14900</v>
      </c>
      <c r="N9762" t="s">
        <v>295</v>
      </c>
      <c r="O9762" t="s">
        <v>31</v>
      </c>
      <c r="P9762" t="str">
        <f>"15146"</f>
        <v>15146</v>
      </c>
    </row>
    <row r="9763" spans="1:16" x14ac:dyDescent="0.25">
      <c r="A9763" t="str">
        <f>"1150056L00065    00"</f>
        <v>1150056L00065    00</v>
      </c>
      <c r="B9763" t="s">
        <v>21615</v>
      </c>
      <c r="C9763" t="s">
        <v>21616</v>
      </c>
      <c r="E9763" t="s">
        <v>39</v>
      </c>
      <c r="F9763">
        <v>0</v>
      </c>
      <c r="G9763">
        <v>0</v>
      </c>
      <c r="H9763">
        <v>7</v>
      </c>
      <c r="I9763" s="3">
        <v>2419.12</v>
      </c>
      <c r="J9763" s="3">
        <v>638.30999999999995</v>
      </c>
      <c r="K9763" t="s">
        <v>21617</v>
      </c>
      <c r="L9763">
        <v>1217</v>
      </c>
      <c r="M9763" t="s">
        <v>21618</v>
      </c>
      <c r="N9763" t="s">
        <v>21619</v>
      </c>
      <c r="O9763" t="s">
        <v>2097</v>
      </c>
      <c r="P9763" t="str">
        <f>"38018"</f>
        <v>38018</v>
      </c>
    </row>
    <row r="9764" spans="1:16" x14ac:dyDescent="0.25">
      <c r="A9764" t="str">
        <f>"1150056L00067    00"</f>
        <v>1150056L00067    00</v>
      </c>
      <c r="B9764" t="s">
        <v>21620</v>
      </c>
      <c r="C9764" t="s">
        <v>21621</v>
      </c>
      <c r="D9764" t="s">
        <v>20</v>
      </c>
      <c r="E9764" t="s">
        <v>39</v>
      </c>
      <c r="F9764">
        <v>0</v>
      </c>
      <c r="G9764">
        <v>0</v>
      </c>
      <c r="H9764">
        <v>9</v>
      </c>
      <c r="I9764" s="3">
        <v>1019.15</v>
      </c>
      <c r="J9764" s="3">
        <v>600.46</v>
      </c>
      <c r="L9764">
        <v>319</v>
      </c>
      <c r="M9764" t="s">
        <v>21622</v>
      </c>
      <c r="N9764" t="s">
        <v>30</v>
      </c>
      <c r="O9764" t="s">
        <v>31</v>
      </c>
      <c r="P9764" t="str">
        <f>"15210"</f>
        <v>15210</v>
      </c>
    </row>
    <row r="9765" spans="1:16" x14ac:dyDescent="0.25">
      <c r="A9765" t="str">
        <f>"1150056L00068A   00"</f>
        <v>1150056L00068A   00</v>
      </c>
      <c r="B9765" t="s">
        <v>21623</v>
      </c>
      <c r="C9765" t="s">
        <v>21621</v>
      </c>
      <c r="D9765" t="s">
        <v>20</v>
      </c>
      <c r="E9765" t="s">
        <v>39</v>
      </c>
      <c r="F9765">
        <v>0</v>
      </c>
      <c r="G9765">
        <v>0</v>
      </c>
      <c r="H9765">
        <v>19</v>
      </c>
      <c r="I9765" s="3">
        <v>4687.59</v>
      </c>
      <c r="J9765" s="3">
        <v>6711.9</v>
      </c>
      <c r="L9765">
        <v>228</v>
      </c>
      <c r="M9765" t="s">
        <v>14148</v>
      </c>
      <c r="N9765" t="s">
        <v>30</v>
      </c>
      <c r="O9765" t="s">
        <v>31</v>
      </c>
      <c r="P9765" t="str">
        <f>"15202"</f>
        <v>15202</v>
      </c>
    </row>
    <row r="9766" spans="1:16" x14ac:dyDescent="0.25">
      <c r="A9766" t="str">
        <f>"1150056L00074    00"</f>
        <v>1150056L00074    00</v>
      </c>
      <c r="B9766" t="s">
        <v>21624</v>
      </c>
      <c r="C9766" t="s">
        <v>21625</v>
      </c>
      <c r="D9766" t="s">
        <v>20</v>
      </c>
      <c r="E9766" t="s">
        <v>39</v>
      </c>
      <c r="F9766">
        <v>0</v>
      </c>
      <c r="G9766">
        <v>0</v>
      </c>
      <c r="H9766">
        <v>4</v>
      </c>
      <c r="I9766" s="3">
        <v>529.55999999999995</v>
      </c>
      <c r="J9766" s="3">
        <v>62.95</v>
      </c>
      <c r="L9766">
        <v>5108</v>
      </c>
      <c r="M9766" t="s">
        <v>21497</v>
      </c>
      <c r="N9766" t="s">
        <v>30</v>
      </c>
      <c r="O9766" t="s">
        <v>31</v>
      </c>
      <c r="P9766" t="str">
        <f>"15207"</f>
        <v>15207</v>
      </c>
    </row>
    <row r="9767" spans="1:16" x14ac:dyDescent="0.25">
      <c r="A9767" t="str">
        <f>"1150056L00105    00"</f>
        <v>1150056L00105    00</v>
      </c>
      <c r="B9767" t="s">
        <v>21626</v>
      </c>
      <c r="C9767" t="s">
        <v>21627</v>
      </c>
      <c r="D9767" t="s">
        <v>20</v>
      </c>
      <c r="E9767" t="s">
        <v>39</v>
      </c>
      <c r="F9767">
        <v>0</v>
      </c>
      <c r="G9767">
        <v>0</v>
      </c>
      <c r="H9767">
        <v>12</v>
      </c>
      <c r="I9767" s="3">
        <v>2417.75</v>
      </c>
      <c r="J9767" s="3">
        <v>3311.49</v>
      </c>
      <c r="L9767">
        <v>5129</v>
      </c>
      <c r="M9767" t="s">
        <v>21497</v>
      </c>
      <c r="N9767" t="s">
        <v>30</v>
      </c>
      <c r="O9767" t="s">
        <v>31</v>
      </c>
      <c r="P9767" t="str">
        <f>"15207"</f>
        <v>15207</v>
      </c>
    </row>
    <row r="9768" spans="1:16" x14ac:dyDescent="0.25">
      <c r="A9768" t="str">
        <f>"1150056L00107    00"</f>
        <v>1150056L00107    00</v>
      </c>
      <c r="B9768" t="s">
        <v>21628</v>
      </c>
      <c r="C9768" t="s">
        <v>21629</v>
      </c>
      <c r="D9768" t="s">
        <v>20</v>
      </c>
      <c r="E9768" t="s">
        <v>39</v>
      </c>
      <c r="F9768">
        <v>0</v>
      </c>
      <c r="G9768">
        <v>0</v>
      </c>
      <c r="H9768">
        <v>2</v>
      </c>
      <c r="I9768" s="3">
        <v>1014</v>
      </c>
      <c r="J9768" s="3">
        <v>0</v>
      </c>
      <c r="L9768">
        <v>320</v>
      </c>
      <c r="M9768" t="s">
        <v>1020</v>
      </c>
      <c r="N9768" t="s">
        <v>30</v>
      </c>
      <c r="O9768" t="s">
        <v>31</v>
      </c>
      <c r="P9768" t="str">
        <f>"15207"</f>
        <v>15207</v>
      </c>
    </row>
    <row r="9769" spans="1:16" x14ac:dyDescent="0.25">
      <c r="A9769" t="str">
        <f>"1150056L00128    00"</f>
        <v>1150056L00128    00</v>
      </c>
      <c r="B9769" t="s">
        <v>21630</v>
      </c>
      <c r="C9769" t="s">
        <v>21631</v>
      </c>
      <c r="D9769" t="s">
        <v>20</v>
      </c>
      <c r="E9769" t="s">
        <v>39</v>
      </c>
      <c r="F9769">
        <v>0</v>
      </c>
      <c r="G9769">
        <v>0</v>
      </c>
      <c r="H9769">
        <v>1</v>
      </c>
      <c r="I9769" s="3">
        <v>1010.18</v>
      </c>
      <c r="J9769" s="3">
        <v>0</v>
      </c>
      <c r="L9769">
        <v>4981</v>
      </c>
      <c r="M9769" t="s">
        <v>21632</v>
      </c>
      <c r="N9769" t="s">
        <v>30</v>
      </c>
      <c r="O9769" t="s">
        <v>31</v>
      </c>
      <c r="P9769" t="str">
        <f>"15237"</f>
        <v>15237</v>
      </c>
    </row>
    <row r="9770" spans="1:16" x14ac:dyDescent="0.25">
      <c r="A9770" t="str">
        <f>"1150056L00136    00"</f>
        <v>1150056L00136    00</v>
      </c>
      <c r="B9770" t="s">
        <v>21633</v>
      </c>
      <c r="C9770" t="s">
        <v>21634</v>
      </c>
      <c r="D9770" t="s">
        <v>20</v>
      </c>
      <c r="E9770" t="s">
        <v>39</v>
      </c>
      <c r="F9770">
        <v>0</v>
      </c>
      <c r="G9770">
        <v>0</v>
      </c>
      <c r="H9770">
        <v>2</v>
      </c>
      <c r="I9770" s="3">
        <v>193.84</v>
      </c>
      <c r="J9770" s="3">
        <v>0</v>
      </c>
      <c r="L9770">
        <v>344</v>
      </c>
      <c r="M9770" t="s">
        <v>21635</v>
      </c>
      <c r="N9770" t="s">
        <v>30</v>
      </c>
      <c r="O9770" t="s">
        <v>31</v>
      </c>
      <c r="P9770" t="str">
        <f>"15207"</f>
        <v>15207</v>
      </c>
    </row>
    <row r="9771" spans="1:16" x14ac:dyDescent="0.25">
      <c r="A9771" t="str">
        <f>"1150056L00141    00"</f>
        <v>1150056L00141    00</v>
      </c>
      <c r="B9771" t="s">
        <v>21636</v>
      </c>
      <c r="C9771" t="s">
        <v>21637</v>
      </c>
      <c r="D9771" t="s">
        <v>20</v>
      </c>
      <c r="E9771" t="s">
        <v>39</v>
      </c>
      <c r="F9771">
        <v>0</v>
      </c>
      <c r="G9771">
        <v>0</v>
      </c>
      <c r="H9771">
        <v>5</v>
      </c>
      <c r="I9771" s="3">
        <v>252.6</v>
      </c>
      <c r="J9771" s="3">
        <v>43.56</v>
      </c>
      <c r="L9771">
        <v>121</v>
      </c>
      <c r="M9771" t="s">
        <v>21635</v>
      </c>
      <c r="N9771" t="s">
        <v>30</v>
      </c>
      <c r="O9771" t="s">
        <v>31</v>
      </c>
      <c r="P9771" t="str">
        <f>"15207"</f>
        <v>15207</v>
      </c>
    </row>
    <row r="9772" spans="1:16" x14ac:dyDescent="0.25">
      <c r="A9772" t="str">
        <f>"1150056L00142    00"</f>
        <v>1150056L00142    00</v>
      </c>
      <c r="B9772" t="s">
        <v>21638</v>
      </c>
      <c r="C9772" t="s">
        <v>21639</v>
      </c>
      <c r="D9772" t="s">
        <v>20</v>
      </c>
      <c r="E9772" t="s">
        <v>39</v>
      </c>
      <c r="F9772">
        <v>0</v>
      </c>
      <c r="G9772">
        <v>0</v>
      </c>
      <c r="H9772">
        <v>2</v>
      </c>
      <c r="I9772" s="3">
        <v>123.36</v>
      </c>
      <c r="J9772" s="3">
        <v>0</v>
      </c>
      <c r="K9772" t="s">
        <v>9056</v>
      </c>
      <c r="L9772">
        <v>3001</v>
      </c>
      <c r="M9772" t="s">
        <v>404</v>
      </c>
      <c r="N9772" t="s">
        <v>331</v>
      </c>
      <c r="O9772" t="s">
        <v>108</v>
      </c>
      <c r="P9772" t="str">
        <f>"75063"</f>
        <v>75063</v>
      </c>
    </row>
    <row r="9773" spans="1:16" x14ac:dyDescent="0.25">
      <c r="A9773" t="str">
        <f>"1150056L00158    00"</f>
        <v>1150056L00158    00</v>
      </c>
      <c r="B9773" t="s">
        <v>21640</v>
      </c>
      <c r="C9773" t="s">
        <v>21641</v>
      </c>
      <c r="E9773" t="s">
        <v>39</v>
      </c>
      <c r="F9773">
        <v>0</v>
      </c>
      <c r="G9773">
        <v>0</v>
      </c>
      <c r="H9773">
        <v>1</v>
      </c>
      <c r="I9773" s="3">
        <v>1396.9</v>
      </c>
      <c r="J9773" s="3">
        <v>267.74</v>
      </c>
      <c r="L9773">
        <v>333</v>
      </c>
      <c r="M9773" t="s">
        <v>21635</v>
      </c>
      <c r="N9773" t="s">
        <v>30</v>
      </c>
      <c r="O9773" t="s">
        <v>31</v>
      </c>
      <c r="P9773" t="str">
        <f>"15207"</f>
        <v>15207</v>
      </c>
    </row>
    <row r="9774" spans="1:16" x14ac:dyDescent="0.25">
      <c r="A9774" t="str">
        <f>"1150056L00212    00"</f>
        <v>1150056L00212    00</v>
      </c>
      <c r="B9774" t="s">
        <v>21642</v>
      </c>
      <c r="C9774" t="s">
        <v>21643</v>
      </c>
      <c r="E9774" t="s">
        <v>39</v>
      </c>
      <c r="F9774">
        <v>0</v>
      </c>
      <c r="G9774">
        <v>0</v>
      </c>
      <c r="H9774">
        <v>1</v>
      </c>
      <c r="I9774" s="3">
        <v>330.38</v>
      </c>
      <c r="J9774" s="3">
        <v>198.22</v>
      </c>
      <c r="K9774" t="s">
        <v>21644</v>
      </c>
      <c r="L9774">
        <v>444</v>
      </c>
      <c r="M9774" t="s">
        <v>1020</v>
      </c>
      <c r="N9774" t="s">
        <v>30</v>
      </c>
      <c r="O9774" t="s">
        <v>31</v>
      </c>
      <c r="P9774" t="str">
        <f>"15207"</f>
        <v>15207</v>
      </c>
    </row>
    <row r="9775" spans="1:16" x14ac:dyDescent="0.25">
      <c r="A9775" t="str">
        <f>"1150056L00214    00"</f>
        <v>1150056L00214    00</v>
      </c>
      <c r="B9775" t="s">
        <v>21645</v>
      </c>
      <c r="C9775" t="s">
        <v>21646</v>
      </c>
      <c r="D9775" t="s">
        <v>20</v>
      </c>
      <c r="E9775" t="s">
        <v>39</v>
      </c>
      <c r="F9775">
        <v>0</v>
      </c>
      <c r="G9775">
        <v>0</v>
      </c>
      <c r="H9775">
        <v>8</v>
      </c>
      <c r="I9775" s="3">
        <v>2950.88</v>
      </c>
      <c r="J9775" s="3">
        <v>1256.1500000000001</v>
      </c>
      <c r="L9775">
        <v>6404</v>
      </c>
      <c r="M9775" t="s">
        <v>21647</v>
      </c>
      <c r="N9775" t="s">
        <v>30</v>
      </c>
      <c r="O9775" t="s">
        <v>31</v>
      </c>
      <c r="P9775" t="str">
        <f>"15217"</f>
        <v>15217</v>
      </c>
    </row>
    <row r="9776" spans="1:16" x14ac:dyDescent="0.25">
      <c r="A9776" t="str">
        <f>"1150056L00215    00"</f>
        <v>1150056L00215    00</v>
      </c>
      <c r="B9776" t="s">
        <v>21648</v>
      </c>
      <c r="C9776" t="s">
        <v>21649</v>
      </c>
      <c r="D9776" t="s">
        <v>20</v>
      </c>
      <c r="E9776" t="s">
        <v>39</v>
      </c>
      <c r="F9776">
        <v>0</v>
      </c>
      <c r="G9776">
        <v>0</v>
      </c>
      <c r="H9776">
        <v>2</v>
      </c>
      <c r="I9776" s="3">
        <v>510.92</v>
      </c>
      <c r="J9776" s="3">
        <v>0</v>
      </c>
      <c r="K9776" t="s">
        <v>21650</v>
      </c>
      <c r="L9776">
        <v>434</v>
      </c>
      <c r="M9776" t="s">
        <v>1020</v>
      </c>
      <c r="N9776" t="s">
        <v>30</v>
      </c>
      <c r="O9776" t="s">
        <v>31</v>
      </c>
      <c r="P9776" t="str">
        <f t="shared" ref="P9776:P9787" si="113">"15207"</f>
        <v>15207</v>
      </c>
    </row>
    <row r="9777" spans="1:16" x14ac:dyDescent="0.25">
      <c r="A9777" t="str">
        <f>"1150056L00219    00"</f>
        <v>1150056L00219    00</v>
      </c>
      <c r="B9777" t="s">
        <v>21651</v>
      </c>
      <c r="C9777" t="s">
        <v>21652</v>
      </c>
      <c r="D9777" t="s">
        <v>20</v>
      </c>
      <c r="E9777" t="s">
        <v>39</v>
      </c>
      <c r="F9777">
        <v>0</v>
      </c>
      <c r="G9777">
        <v>0</v>
      </c>
      <c r="H9777">
        <v>5</v>
      </c>
      <c r="I9777" s="3">
        <v>3313.19</v>
      </c>
      <c r="J9777" s="3">
        <v>1294.8800000000001</v>
      </c>
      <c r="L9777">
        <v>426</v>
      </c>
      <c r="M9777" t="s">
        <v>1020</v>
      </c>
      <c r="N9777" t="s">
        <v>30</v>
      </c>
      <c r="O9777" t="s">
        <v>31</v>
      </c>
      <c r="P9777" t="str">
        <f t="shared" si="113"/>
        <v>15207</v>
      </c>
    </row>
    <row r="9778" spans="1:16" x14ac:dyDescent="0.25">
      <c r="A9778" t="str">
        <f>"1150056L00227    00"</f>
        <v>1150056L00227    00</v>
      </c>
      <c r="B9778" t="s">
        <v>21653</v>
      </c>
      <c r="C9778" t="s">
        <v>21654</v>
      </c>
      <c r="D9778" t="s">
        <v>20</v>
      </c>
      <c r="E9778" t="s">
        <v>39</v>
      </c>
      <c r="F9778">
        <v>0</v>
      </c>
      <c r="G9778">
        <v>0</v>
      </c>
      <c r="H9778">
        <v>16</v>
      </c>
      <c r="I9778" s="3">
        <v>15463.34</v>
      </c>
      <c r="J9778" s="3">
        <v>10485.79</v>
      </c>
      <c r="L9778">
        <v>400</v>
      </c>
      <c r="M9778" t="s">
        <v>1020</v>
      </c>
      <c r="N9778" t="s">
        <v>30</v>
      </c>
      <c r="O9778" t="s">
        <v>31</v>
      </c>
      <c r="P9778" t="str">
        <f t="shared" si="113"/>
        <v>15207</v>
      </c>
    </row>
    <row r="9779" spans="1:16" x14ac:dyDescent="0.25">
      <c r="A9779" t="str">
        <f>"1150056L00231    00"</f>
        <v>1150056L00231    00</v>
      </c>
      <c r="B9779" t="s">
        <v>21655</v>
      </c>
      <c r="C9779" t="s">
        <v>21656</v>
      </c>
      <c r="E9779" t="s">
        <v>39</v>
      </c>
      <c r="F9779">
        <v>0</v>
      </c>
      <c r="G9779">
        <v>0</v>
      </c>
      <c r="H9779">
        <v>1</v>
      </c>
      <c r="I9779" s="3">
        <v>407.07</v>
      </c>
      <c r="J9779" s="3">
        <v>0</v>
      </c>
      <c r="L9779">
        <v>328</v>
      </c>
      <c r="M9779" t="s">
        <v>1020</v>
      </c>
      <c r="N9779" t="s">
        <v>30</v>
      </c>
      <c r="O9779" t="s">
        <v>31</v>
      </c>
      <c r="P9779" t="str">
        <f t="shared" si="113"/>
        <v>15207</v>
      </c>
    </row>
    <row r="9780" spans="1:16" x14ac:dyDescent="0.25">
      <c r="A9780" t="str">
        <f>"1150056L00234    00"</f>
        <v>1150056L00234    00</v>
      </c>
      <c r="B9780" t="s">
        <v>21628</v>
      </c>
      <c r="C9780" t="s">
        <v>21657</v>
      </c>
      <c r="D9780" t="s">
        <v>20</v>
      </c>
      <c r="E9780" t="s">
        <v>39</v>
      </c>
      <c r="F9780">
        <v>0</v>
      </c>
      <c r="G9780">
        <v>0</v>
      </c>
      <c r="H9780">
        <v>3</v>
      </c>
      <c r="I9780" s="3">
        <v>2228.42</v>
      </c>
      <c r="J9780" s="3">
        <v>254.09</v>
      </c>
      <c r="L9780">
        <v>320</v>
      </c>
      <c r="M9780" t="s">
        <v>1020</v>
      </c>
      <c r="N9780" t="s">
        <v>30</v>
      </c>
      <c r="O9780" t="s">
        <v>31</v>
      </c>
      <c r="P9780" t="str">
        <f t="shared" si="113"/>
        <v>15207</v>
      </c>
    </row>
    <row r="9781" spans="1:16" x14ac:dyDescent="0.25">
      <c r="A9781" t="str">
        <f>"1150056L00240    00"</f>
        <v>1150056L00240    00</v>
      </c>
      <c r="B9781" t="s">
        <v>21658</v>
      </c>
      <c r="C9781" t="s">
        <v>21659</v>
      </c>
      <c r="D9781" t="s">
        <v>20</v>
      </c>
      <c r="E9781" t="s">
        <v>39</v>
      </c>
      <c r="F9781">
        <v>0</v>
      </c>
      <c r="G9781">
        <v>0</v>
      </c>
      <c r="H9781">
        <v>5</v>
      </c>
      <c r="I9781" s="3">
        <v>2701.6</v>
      </c>
      <c r="J9781" s="3">
        <v>548.16999999999996</v>
      </c>
      <c r="K9781" t="s">
        <v>21660</v>
      </c>
      <c r="L9781">
        <v>304</v>
      </c>
      <c r="M9781" t="s">
        <v>1020</v>
      </c>
      <c r="N9781" t="s">
        <v>30</v>
      </c>
      <c r="O9781" t="s">
        <v>31</v>
      </c>
      <c r="P9781" t="str">
        <f t="shared" si="113"/>
        <v>15207</v>
      </c>
    </row>
    <row r="9782" spans="1:16" x14ac:dyDescent="0.25">
      <c r="A9782" t="str">
        <f>"1150056L00244    00"</f>
        <v>1150056L00244    00</v>
      </c>
      <c r="B9782" t="s">
        <v>21661</v>
      </c>
      <c r="C9782" t="s">
        <v>21491</v>
      </c>
      <c r="D9782" t="s">
        <v>20</v>
      </c>
      <c r="E9782" t="s">
        <v>39</v>
      </c>
      <c r="F9782">
        <v>0</v>
      </c>
      <c r="G9782">
        <v>0</v>
      </c>
      <c r="H9782">
        <v>9</v>
      </c>
      <c r="I9782" s="3">
        <v>582.12</v>
      </c>
      <c r="J9782" s="3">
        <v>222.19</v>
      </c>
      <c r="L9782">
        <v>5041</v>
      </c>
      <c r="M9782" t="s">
        <v>21497</v>
      </c>
      <c r="N9782" t="s">
        <v>30</v>
      </c>
      <c r="O9782" t="s">
        <v>31</v>
      </c>
      <c r="P9782" t="str">
        <f t="shared" si="113"/>
        <v>15207</v>
      </c>
    </row>
    <row r="9783" spans="1:16" x14ac:dyDescent="0.25">
      <c r="A9783" t="str">
        <f>"1150056L00248    00"</f>
        <v>1150056L00248    00</v>
      </c>
      <c r="B9783" t="s">
        <v>21662</v>
      </c>
      <c r="C9783" t="s">
        <v>21491</v>
      </c>
      <c r="D9783" t="s">
        <v>20</v>
      </c>
      <c r="E9783" t="s">
        <v>39</v>
      </c>
      <c r="F9783">
        <v>0</v>
      </c>
      <c r="G9783">
        <v>0</v>
      </c>
      <c r="H9783">
        <v>15</v>
      </c>
      <c r="I9783" s="3">
        <v>2497.94</v>
      </c>
      <c r="J9783" s="3">
        <v>2605.2600000000002</v>
      </c>
      <c r="K9783" t="s">
        <v>21663</v>
      </c>
      <c r="L9783">
        <v>345</v>
      </c>
      <c r="M9783" t="s">
        <v>21343</v>
      </c>
      <c r="N9783" t="s">
        <v>30</v>
      </c>
      <c r="O9783" t="s">
        <v>31</v>
      </c>
      <c r="P9783" t="str">
        <f t="shared" si="113"/>
        <v>15207</v>
      </c>
    </row>
    <row r="9784" spans="1:16" x14ac:dyDescent="0.25">
      <c r="A9784" t="str">
        <f>"1150056L00252    00"</f>
        <v>1150056L00252    00</v>
      </c>
      <c r="B9784" t="s">
        <v>21664</v>
      </c>
      <c r="C9784" t="s">
        <v>21665</v>
      </c>
      <c r="D9784" t="s">
        <v>20</v>
      </c>
      <c r="E9784" t="s">
        <v>39</v>
      </c>
      <c r="F9784">
        <v>0</v>
      </c>
      <c r="G9784">
        <v>0</v>
      </c>
      <c r="H9784">
        <v>19</v>
      </c>
      <c r="I9784" s="3">
        <v>3388.49</v>
      </c>
      <c r="J9784" s="3">
        <v>3373.89</v>
      </c>
      <c r="L9784">
        <v>5025</v>
      </c>
      <c r="M9784" t="s">
        <v>21497</v>
      </c>
      <c r="N9784" t="s">
        <v>30</v>
      </c>
      <c r="O9784" t="s">
        <v>31</v>
      </c>
      <c r="P9784" t="str">
        <f t="shared" si="113"/>
        <v>15207</v>
      </c>
    </row>
    <row r="9785" spans="1:16" x14ac:dyDescent="0.25">
      <c r="A9785" t="str">
        <f>"1150056L00272    00"</f>
        <v>1150056L00272    00</v>
      </c>
      <c r="B9785" t="s">
        <v>21666</v>
      </c>
      <c r="C9785" t="s">
        <v>21510</v>
      </c>
      <c r="D9785" t="s">
        <v>20</v>
      </c>
      <c r="E9785" t="s">
        <v>39</v>
      </c>
      <c r="F9785">
        <v>0</v>
      </c>
      <c r="G9785">
        <v>0</v>
      </c>
      <c r="H9785">
        <v>19</v>
      </c>
      <c r="I9785" s="3">
        <v>809.37</v>
      </c>
      <c r="J9785" s="3">
        <v>585.29</v>
      </c>
      <c r="L9785">
        <v>5031</v>
      </c>
      <c r="M9785" t="s">
        <v>21513</v>
      </c>
      <c r="N9785" t="s">
        <v>30</v>
      </c>
      <c r="O9785" t="s">
        <v>31</v>
      </c>
      <c r="P9785" t="str">
        <f t="shared" si="113"/>
        <v>15207</v>
      </c>
    </row>
    <row r="9786" spans="1:16" x14ac:dyDescent="0.25">
      <c r="A9786" t="str">
        <f>"1150056L00280    00"</f>
        <v>1150056L00280    00</v>
      </c>
      <c r="B9786" t="s">
        <v>21667</v>
      </c>
      <c r="C9786" t="s">
        <v>21668</v>
      </c>
      <c r="D9786" t="s">
        <v>20</v>
      </c>
      <c r="E9786" t="s">
        <v>39</v>
      </c>
      <c r="F9786">
        <v>0</v>
      </c>
      <c r="G9786">
        <v>0</v>
      </c>
      <c r="H9786">
        <v>14</v>
      </c>
      <c r="I9786" s="3">
        <v>4778.18</v>
      </c>
      <c r="J9786" s="3">
        <v>3176.12</v>
      </c>
      <c r="L9786">
        <v>5033</v>
      </c>
      <c r="M9786" t="s">
        <v>21506</v>
      </c>
      <c r="N9786" t="s">
        <v>30</v>
      </c>
      <c r="O9786" t="s">
        <v>31</v>
      </c>
      <c r="P9786" t="str">
        <f t="shared" si="113"/>
        <v>15207</v>
      </c>
    </row>
    <row r="9787" spans="1:16" x14ac:dyDescent="0.25">
      <c r="A9787" t="str">
        <f>"1150056L00281    00"</f>
        <v>1150056L00281    00</v>
      </c>
      <c r="B9787" t="s">
        <v>21669</v>
      </c>
      <c r="C9787" t="s">
        <v>21670</v>
      </c>
      <c r="D9787" t="s">
        <v>20</v>
      </c>
      <c r="E9787" t="s">
        <v>39</v>
      </c>
      <c r="F9787">
        <v>0</v>
      </c>
      <c r="G9787">
        <v>0</v>
      </c>
      <c r="H9787">
        <v>13</v>
      </c>
      <c r="I9787" s="3">
        <v>1551.06</v>
      </c>
      <c r="J9787" s="3">
        <v>934.69</v>
      </c>
      <c r="K9787" t="s">
        <v>21671</v>
      </c>
      <c r="L9787">
        <v>5031</v>
      </c>
      <c r="M9787" t="s">
        <v>21506</v>
      </c>
      <c r="N9787" t="s">
        <v>30</v>
      </c>
      <c r="O9787" t="s">
        <v>31</v>
      </c>
      <c r="P9787" t="str">
        <f t="shared" si="113"/>
        <v>15207</v>
      </c>
    </row>
    <row r="9788" spans="1:16" x14ac:dyDescent="0.25">
      <c r="A9788" t="str">
        <f>"1150056L00285    00"</f>
        <v>1150056L00285    00</v>
      </c>
      <c r="B9788" t="s">
        <v>2414</v>
      </c>
      <c r="C9788" t="s">
        <v>21510</v>
      </c>
      <c r="D9788" t="s">
        <v>20</v>
      </c>
      <c r="E9788" t="s">
        <v>39</v>
      </c>
      <c r="F9788">
        <v>0</v>
      </c>
      <c r="G9788">
        <v>0</v>
      </c>
      <c r="H9788">
        <v>13</v>
      </c>
      <c r="I9788" s="3">
        <v>99.52</v>
      </c>
      <c r="J9788" s="3">
        <v>86.75</v>
      </c>
      <c r="M9788" t="s">
        <v>2415</v>
      </c>
      <c r="N9788" t="s">
        <v>2416</v>
      </c>
      <c r="O9788" t="s">
        <v>423</v>
      </c>
      <c r="P9788" t="str">
        <f>"08260"</f>
        <v>08260</v>
      </c>
    </row>
    <row r="9789" spans="1:16" x14ac:dyDescent="0.25">
      <c r="A9789" t="str">
        <f>"1150056L00286    00"</f>
        <v>1150056L00286    00</v>
      </c>
      <c r="B9789" t="s">
        <v>21672</v>
      </c>
      <c r="C9789" t="s">
        <v>21673</v>
      </c>
      <c r="D9789" t="s">
        <v>20</v>
      </c>
      <c r="E9789" t="s">
        <v>39</v>
      </c>
      <c r="F9789">
        <v>0</v>
      </c>
      <c r="G9789">
        <v>0</v>
      </c>
      <c r="H9789">
        <v>19</v>
      </c>
      <c r="I9789" s="3">
        <v>10073.94</v>
      </c>
      <c r="J9789" s="3">
        <v>10866.01</v>
      </c>
      <c r="L9789">
        <v>111</v>
      </c>
      <c r="M9789" t="s">
        <v>2475</v>
      </c>
      <c r="N9789" t="s">
        <v>30</v>
      </c>
      <c r="O9789" t="s">
        <v>31</v>
      </c>
      <c r="P9789" t="str">
        <f>"15210"</f>
        <v>15210</v>
      </c>
    </row>
    <row r="9790" spans="1:16" x14ac:dyDescent="0.25">
      <c r="A9790" t="str">
        <f>"1150056L00287    00"</f>
        <v>1150056L00287    00</v>
      </c>
      <c r="B9790" t="s">
        <v>21674</v>
      </c>
      <c r="C9790" t="s">
        <v>21675</v>
      </c>
      <c r="D9790" t="s">
        <v>20</v>
      </c>
      <c r="E9790" t="s">
        <v>39</v>
      </c>
      <c r="F9790">
        <v>0</v>
      </c>
      <c r="G9790">
        <v>0</v>
      </c>
      <c r="H9790">
        <v>15</v>
      </c>
      <c r="I9790" s="3">
        <v>8896.2999999999993</v>
      </c>
      <c r="J9790" s="3">
        <v>5627.64</v>
      </c>
      <c r="L9790">
        <v>748</v>
      </c>
      <c r="M9790" t="s">
        <v>21676</v>
      </c>
      <c r="N9790" t="s">
        <v>526</v>
      </c>
      <c r="O9790" t="s">
        <v>4784</v>
      </c>
      <c r="P9790" t="str">
        <f>"63090"</f>
        <v>63090</v>
      </c>
    </row>
    <row r="9791" spans="1:16" x14ac:dyDescent="0.25">
      <c r="A9791" t="str">
        <f>"1150056L00290    00"</f>
        <v>1150056L00290    00</v>
      </c>
      <c r="B9791" t="s">
        <v>21327</v>
      </c>
      <c r="C9791" t="s">
        <v>21677</v>
      </c>
      <c r="E9791" t="s">
        <v>39</v>
      </c>
      <c r="F9791">
        <v>0</v>
      </c>
      <c r="G9791">
        <v>0</v>
      </c>
      <c r="H9791">
        <v>7</v>
      </c>
      <c r="I9791" s="3">
        <v>1879.2</v>
      </c>
      <c r="J9791" s="3">
        <v>4892.32</v>
      </c>
      <c r="K9791" t="s">
        <v>21329</v>
      </c>
      <c r="L9791">
        <v>5028</v>
      </c>
      <c r="M9791" t="s">
        <v>21330</v>
      </c>
      <c r="N9791" t="s">
        <v>30</v>
      </c>
      <c r="O9791" t="s">
        <v>31</v>
      </c>
      <c r="P9791" t="str">
        <f>"15207"</f>
        <v>15207</v>
      </c>
    </row>
    <row r="9792" spans="1:16" x14ac:dyDescent="0.25">
      <c r="A9792" t="str">
        <f>"1150056L00293A   00"</f>
        <v>1150056L00293A   00</v>
      </c>
      <c r="B9792" t="s">
        <v>21678</v>
      </c>
      <c r="C9792" t="s">
        <v>21679</v>
      </c>
      <c r="D9792" t="s">
        <v>20</v>
      </c>
      <c r="E9792" t="s">
        <v>39</v>
      </c>
      <c r="F9792">
        <v>0</v>
      </c>
      <c r="G9792">
        <v>0</v>
      </c>
      <c r="H9792">
        <v>16</v>
      </c>
      <c r="I9792" s="3">
        <v>5899.22</v>
      </c>
      <c r="J9792" s="3">
        <v>5064.17</v>
      </c>
      <c r="L9792">
        <v>4038</v>
      </c>
      <c r="M9792" t="s">
        <v>21680</v>
      </c>
      <c r="N9792" t="s">
        <v>6603</v>
      </c>
      <c r="O9792" t="s">
        <v>31</v>
      </c>
      <c r="P9792" t="str">
        <f>"15122"</f>
        <v>15122</v>
      </c>
    </row>
    <row r="9793" spans="1:16" x14ac:dyDescent="0.25">
      <c r="A9793" t="str">
        <f>"1150056L00301    00"</f>
        <v>1150056L00301    00</v>
      </c>
      <c r="B9793" t="s">
        <v>21681</v>
      </c>
      <c r="C9793" t="s">
        <v>21682</v>
      </c>
      <c r="E9793" t="s">
        <v>39</v>
      </c>
      <c r="F9793">
        <v>0</v>
      </c>
      <c r="G9793">
        <v>0</v>
      </c>
      <c r="H9793">
        <v>9</v>
      </c>
      <c r="I9793" s="3">
        <v>4159.21</v>
      </c>
      <c r="J9793" s="3">
        <v>1838.47</v>
      </c>
      <c r="L9793">
        <v>5048</v>
      </c>
      <c r="M9793" t="s">
        <v>21330</v>
      </c>
      <c r="N9793" t="s">
        <v>30</v>
      </c>
      <c r="O9793" t="s">
        <v>31</v>
      </c>
      <c r="P9793" t="str">
        <f>"15207"</f>
        <v>15207</v>
      </c>
    </row>
    <row r="9794" spans="1:16" x14ac:dyDescent="0.25">
      <c r="A9794" t="str">
        <f>"1150056L00312    00"</f>
        <v>1150056L00312    00</v>
      </c>
      <c r="B9794" t="s">
        <v>21683</v>
      </c>
      <c r="C9794" t="s">
        <v>21684</v>
      </c>
      <c r="E9794" t="s">
        <v>39</v>
      </c>
      <c r="F9794">
        <v>0</v>
      </c>
      <c r="G9794">
        <v>0</v>
      </c>
      <c r="H9794">
        <v>12</v>
      </c>
      <c r="I9794" s="3">
        <v>11007.77</v>
      </c>
      <c r="J9794" s="3">
        <v>14393.97</v>
      </c>
      <c r="K9794" t="s">
        <v>21685</v>
      </c>
      <c r="L9794">
        <v>1436</v>
      </c>
      <c r="M9794" t="s">
        <v>2017</v>
      </c>
      <c r="N9794" t="s">
        <v>30</v>
      </c>
      <c r="O9794" t="s">
        <v>31</v>
      </c>
      <c r="P9794" t="str">
        <f>"15205"</f>
        <v>15205</v>
      </c>
    </row>
    <row r="9795" spans="1:16" x14ac:dyDescent="0.25">
      <c r="A9795" t="str">
        <f>"1150056L00313    00"</f>
        <v>1150056L00313    00</v>
      </c>
      <c r="B9795" t="s">
        <v>21686</v>
      </c>
      <c r="C9795" t="s">
        <v>21687</v>
      </c>
      <c r="D9795" t="s">
        <v>20</v>
      </c>
      <c r="E9795" t="s">
        <v>39</v>
      </c>
      <c r="F9795">
        <v>0</v>
      </c>
      <c r="G9795">
        <v>0</v>
      </c>
      <c r="H9795">
        <v>3</v>
      </c>
      <c r="I9795" s="3">
        <v>944.64</v>
      </c>
      <c r="J9795" s="3">
        <v>63.7</v>
      </c>
      <c r="L9795">
        <v>5045</v>
      </c>
      <c r="M9795" t="s">
        <v>21330</v>
      </c>
      <c r="N9795" t="s">
        <v>30</v>
      </c>
      <c r="O9795" t="s">
        <v>31</v>
      </c>
      <c r="P9795" t="str">
        <f>"15207"</f>
        <v>15207</v>
      </c>
    </row>
    <row r="9796" spans="1:16" x14ac:dyDescent="0.25">
      <c r="A9796" t="str">
        <f>"1150056L00314    00"</f>
        <v>1150056L00314    00</v>
      </c>
      <c r="B9796" t="s">
        <v>21688</v>
      </c>
      <c r="C9796" t="s">
        <v>21689</v>
      </c>
      <c r="D9796" t="s">
        <v>20</v>
      </c>
      <c r="E9796" t="s">
        <v>39</v>
      </c>
      <c r="F9796">
        <v>0</v>
      </c>
      <c r="G9796">
        <v>0</v>
      </c>
      <c r="H9796">
        <v>3</v>
      </c>
      <c r="I9796" s="3">
        <v>298.68</v>
      </c>
      <c r="J9796" s="3">
        <v>19.920000000000002</v>
      </c>
      <c r="L9796">
        <v>5044</v>
      </c>
      <c r="M9796" t="s">
        <v>21513</v>
      </c>
      <c r="N9796" t="s">
        <v>30</v>
      </c>
      <c r="O9796" t="s">
        <v>31</v>
      </c>
      <c r="P9796" t="str">
        <f>"15207"</f>
        <v>15207</v>
      </c>
    </row>
    <row r="9797" spans="1:16" x14ac:dyDescent="0.25">
      <c r="A9797" t="str">
        <f>"1150056L00316    00"</f>
        <v>1150056L00316    00</v>
      </c>
      <c r="B9797" t="s">
        <v>21690</v>
      </c>
      <c r="C9797" t="s">
        <v>21691</v>
      </c>
      <c r="D9797" t="s">
        <v>20</v>
      </c>
      <c r="E9797" t="s">
        <v>39</v>
      </c>
      <c r="F9797">
        <v>0</v>
      </c>
      <c r="G9797">
        <v>0</v>
      </c>
      <c r="H9797">
        <v>6</v>
      </c>
      <c r="I9797" s="3">
        <v>1311.37</v>
      </c>
      <c r="J9797" s="3">
        <v>270.74</v>
      </c>
      <c r="K9797" t="s">
        <v>21692</v>
      </c>
      <c r="L9797">
        <v>113</v>
      </c>
      <c r="M9797" t="s">
        <v>21693</v>
      </c>
      <c r="N9797" t="s">
        <v>30</v>
      </c>
      <c r="O9797" t="s">
        <v>31</v>
      </c>
      <c r="P9797" t="str">
        <f>"15207"</f>
        <v>15207</v>
      </c>
    </row>
    <row r="9798" spans="1:16" x14ac:dyDescent="0.25">
      <c r="A9798" t="str">
        <f>"1150056L00317    00"</f>
        <v>1150056L00317    00</v>
      </c>
      <c r="B9798" t="s">
        <v>21694</v>
      </c>
      <c r="C9798" t="s">
        <v>21695</v>
      </c>
      <c r="D9798" t="s">
        <v>20</v>
      </c>
      <c r="E9798" t="s">
        <v>39</v>
      </c>
      <c r="F9798">
        <v>0</v>
      </c>
      <c r="G9798">
        <v>0</v>
      </c>
      <c r="H9798">
        <v>2</v>
      </c>
      <c r="I9798" s="3">
        <v>1315.16</v>
      </c>
      <c r="J9798" s="3">
        <v>0</v>
      </c>
      <c r="K9798" t="s">
        <v>21696</v>
      </c>
      <c r="L9798">
        <v>300</v>
      </c>
      <c r="M9798" t="s">
        <v>21697</v>
      </c>
      <c r="N9798" t="s">
        <v>30</v>
      </c>
      <c r="O9798" t="s">
        <v>31</v>
      </c>
      <c r="P9798" t="str">
        <f>"15236"</f>
        <v>15236</v>
      </c>
    </row>
    <row r="9799" spans="1:16" x14ac:dyDescent="0.25">
      <c r="A9799" t="str">
        <f>"1150056L00341    00"</f>
        <v>1150056L00341    00</v>
      </c>
      <c r="B9799" t="s">
        <v>21698</v>
      </c>
      <c r="C9799" t="s">
        <v>21699</v>
      </c>
      <c r="D9799" t="s">
        <v>20</v>
      </c>
      <c r="E9799" t="s">
        <v>39</v>
      </c>
      <c r="F9799">
        <v>0</v>
      </c>
      <c r="G9799">
        <v>0</v>
      </c>
      <c r="H9799">
        <v>2</v>
      </c>
      <c r="I9799" s="3">
        <v>250.2</v>
      </c>
      <c r="J9799" s="3">
        <v>0</v>
      </c>
      <c r="K9799" t="s">
        <v>21700</v>
      </c>
      <c r="L9799">
        <v>5039</v>
      </c>
      <c r="M9799" t="s">
        <v>21513</v>
      </c>
      <c r="N9799" t="s">
        <v>30</v>
      </c>
      <c r="O9799" t="s">
        <v>31</v>
      </c>
      <c r="P9799" t="str">
        <f>"15207"</f>
        <v>15207</v>
      </c>
    </row>
    <row r="9800" spans="1:16" x14ac:dyDescent="0.25">
      <c r="A9800" t="str">
        <f>"1150056L00349    00"</f>
        <v>1150056L00349    00</v>
      </c>
      <c r="B9800" t="s">
        <v>21701</v>
      </c>
      <c r="C9800" t="s">
        <v>21702</v>
      </c>
      <c r="D9800" t="s">
        <v>20</v>
      </c>
      <c r="E9800" t="s">
        <v>39</v>
      </c>
      <c r="F9800">
        <v>0</v>
      </c>
      <c r="G9800">
        <v>0</v>
      </c>
      <c r="H9800">
        <v>9</v>
      </c>
      <c r="I9800" s="3">
        <v>1447.46</v>
      </c>
      <c r="J9800" s="3">
        <v>563.38</v>
      </c>
      <c r="L9800">
        <v>5057</v>
      </c>
      <c r="M9800" t="s">
        <v>21513</v>
      </c>
      <c r="N9800" t="s">
        <v>30</v>
      </c>
      <c r="O9800" t="s">
        <v>31</v>
      </c>
      <c r="P9800" t="str">
        <f>"15207"</f>
        <v>15207</v>
      </c>
    </row>
    <row r="9801" spans="1:16" x14ac:dyDescent="0.25">
      <c r="A9801" t="str">
        <f>"1150056N00009    00"</f>
        <v>1150056N00009    00</v>
      </c>
      <c r="B9801" t="s">
        <v>21703</v>
      </c>
      <c r="C9801" t="s">
        <v>21704</v>
      </c>
      <c r="D9801" t="s">
        <v>20</v>
      </c>
      <c r="E9801" t="s">
        <v>39</v>
      </c>
      <c r="F9801">
        <v>0</v>
      </c>
      <c r="G9801">
        <v>0</v>
      </c>
      <c r="H9801">
        <v>6</v>
      </c>
      <c r="I9801" s="3">
        <v>425.24</v>
      </c>
      <c r="J9801" s="3">
        <v>95.06</v>
      </c>
      <c r="L9801">
        <v>5114</v>
      </c>
      <c r="M9801" t="s">
        <v>21525</v>
      </c>
      <c r="N9801" t="s">
        <v>30</v>
      </c>
      <c r="O9801" t="s">
        <v>31</v>
      </c>
      <c r="P9801" t="str">
        <f>"15207"</f>
        <v>15207</v>
      </c>
    </row>
    <row r="9802" spans="1:16" x14ac:dyDescent="0.25">
      <c r="A9802" t="str">
        <f>"1150056N00012    00"</f>
        <v>1150056N00012    00</v>
      </c>
      <c r="B9802" t="s">
        <v>21705</v>
      </c>
      <c r="C9802" t="s">
        <v>21706</v>
      </c>
      <c r="D9802" t="s">
        <v>20</v>
      </c>
      <c r="E9802" t="s">
        <v>39</v>
      </c>
      <c r="F9802">
        <v>0</v>
      </c>
      <c r="G9802">
        <v>0</v>
      </c>
      <c r="H9802">
        <v>16</v>
      </c>
      <c r="I9802" s="3">
        <v>3899.04</v>
      </c>
      <c r="J9802" s="3">
        <v>3972.01</v>
      </c>
      <c r="L9802">
        <v>5122</v>
      </c>
      <c r="M9802" t="s">
        <v>21525</v>
      </c>
      <c r="N9802" t="s">
        <v>30</v>
      </c>
      <c r="O9802" t="s">
        <v>31</v>
      </c>
      <c r="P9802" t="str">
        <f>"15207"</f>
        <v>15207</v>
      </c>
    </row>
    <row r="9803" spans="1:16" x14ac:dyDescent="0.25">
      <c r="A9803" t="str">
        <f>"1150056N00020    00"</f>
        <v>1150056N00020    00</v>
      </c>
      <c r="B9803" t="s">
        <v>21707</v>
      </c>
      <c r="C9803" t="s">
        <v>21393</v>
      </c>
      <c r="D9803" t="s">
        <v>20</v>
      </c>
      <c r="E9803" t="s">
        <v>39</v>
      </c>
      <c r="F9803">
        <v>0</v>
      </c>
      <c r="G9803">
        <v>0</v>
      </c>
      <c r="H9803">
        <v>7</v>
      </c>
      <c r="I9803" s="3">
        <v>380.81</v>
      </c>
      <c r="J9803" s="3">
        <v>276.29000000000002</v>
      </c>
      <c r="L9803">
        <v>127</v>
      </c>
      <c r="M9803" t="s">
        <v>1644</v>
      </c>
      <c r="N9803" t="s">
        <v>30</v>
      </c>
      <c r="O9803" t="s">
        <v>31</v>
      </c>
      <c r="P9803" t="str">
        <f>"15213"</f>
        <v>15213</v>
      </c>
    </row>
    <row r="9804" spans="1:16" x14ac:dyDescent="0.25">
      <c r="A9804" t="str">
        <f>"1150056N00061    00"</f>
        <v>1150056N00061    00</v>
      </c>
      <c r="B9804" t="s">
        <v>21708</v>
      </c>
      <c r="C9804" t="s">
        <v>21709</v>
      </c>
      <c r="D9804" t="s">
        <v>20</v>
      </c>
      <c r="E9804" t="s">
        <v>39</v>
      </c>
      <c r="F9804">
        <v>0</v>
      </c>
      <c r="G9804">
        <v>0</v>
      </c>
      <c r="H9804">
        <v>1</v>
      </c>
      <c r="I9804" s="3">
        <v>217.28</v>
      </c>
      <c r="J9804" s="3">
        <v>0</v>
      </c>
      <c r="K9804" t="s">
        <v>21710</v>
      </c>
      <c r="L9804">
        <v>5150</v>
      </c>
      <c r="M9804" t="s">
        <v>21711</v>
      </c>
      <c r="N9804" t="s">
        <v>30</v>
      </c>
      <c r="O9804" t="s">
        <v>31</v>
      </c>
      <c r="P9804" t="str">
        <f>"15207"</f>
        <v>15207</v>
      </c>
    </row>
    <row r="9805" spans="1:16" x14ac:dyDescent="0.25">
      <c r="A9805" t="str">
        <f>"1150056N00066A   00"</f>
        <v>1150056N00066A   00</v>
      </c>
      <c r="B9805" t="s">
        <v>21712</v>
      </c>
      <c r="C9805" t="s">
        <v>21713</v>
      </c>
      <c r="D9805" t="s">
        <v>20</v>
      </c>
      <c r="E9805" t="s">
        <v>39</v>
      </c>
      <c r="F9805">
        <v>0</v>
      </c>
      <c r="G9805">
        <v>0</v>
      </c>
      <c r="H9805">
        <v>8</v>
      </c>
      <c r="I9805" s="3">
        <v>44.48</v>
      </c>
      <c r="J9805" s="3">
        <v>19.02</v>
      </c>
      <c r="L9805">
        <v>1091</v>
      </c>
      <c r="M9805" t="s">
        <v>1695</v>
      </c>
      <c r="N9805" t="s">
        <v>30</v>
      </c>
      <c r="O9805" t="s">
        <v>31</v>
      </c>
      <c r="P9805" t="str">
        <f>"15206"</f>
        <v>15206</v>
      </c>
    </row>
    <row r="9806" spans="1:16" x14ac:dyDescent="0.25">
      <c r="A9806" t="str">
        <f>"1150056N00078    00"</f>
        <v>1150056N00078    00</v>
      </c>
      <c r="B9806" t="s">
        <v>21714</v>
      </c>
      <c r="C9806" t="s">
        <v>21715</v>
      </c>
      <c r="E9806" t="s">
        <v>39</v>
      </c>
      <c r="F9806">
        <v>0</v>
      </c>
      <c r="G9806">
        <v>0</v>
      </c>
      <c r="H9806">
        <v>2</v>
      </c>
      <c r="I9806" s="3">
        <v>511.99</v>
      </c>
      <c r="J9806" s="3">
        <v>104.26</v>
      </c>
      <c r="L9806">
        <v>241</v>
      </c>
      <c r="M9806" t="s">
        <v>21716</v>
      </c>
      <c r="N9806" t="s">
        <v>30</v>
      </c>
      <c r="O9806" t="s">
        <v>31</v>
      </c>
      <c r="P9806" t="str">
        <f>"15207"</f>
        <v>15207</v>
      </c>
    </row>
    <row r="9807" spans="1:16" x14ac:dyDescent="0.25">
      <c r="A9807" t="str">
        <f>"1150056N00079    00"</f>
        <v>1150056N00079    00</v>
      </c>
      <c r="B9807" t="s">
        <v>21717</v>
      </c>
      <c r="C9807" t="s">
        <v>21718</v>
      </c>
      <c r="D9807" t="s">
        <v>20</v>
      </c>
      <c r="E9807" t="s">
        <v>39</v>
      </c>
      <c r="F9807">
        <v>0</v>
      </c>
      <c r="G9807">
        <v>0</v>
      </c>
      <c r="H9807">
        <v>1</v>
      </c>
      <c r="I9807" s="3">
        <v>268.76</v>
      </c>
      <c r="J9807" s="3">
        <v>0</v>
      </c>
      <c r="K9807" t="s">
        <v>21719</v>
      </c>
      <c r="L9807">
        <v>11</v>
      </c>
      <c r="M9807" t="s">
        <v>21720</v>
      </c>
      <c r="N9807" t="s">
        <v>21721</v>
      </c>
      <c r="O9807" t="s">
        <v>440</v>
      </c>
      <c r="P9807" t="str">
        <f>"02144"</f>
        <v>02144</v>
      </c>
    </row>
    <row r="9808" spans="1:16" x14ac:dyDescent="0.25">
      <c r="A9808" t="str">
        <f>"1150056N00100A   00"</f>
        <v>1150056N00100A   00</v>
      </c>
      <c r="B9808" t="s">
        <v>21039</v>
      </c>
      <c r="C9808" t="s">
        <v>21722</v>
      </c>
      <c r="E9808" t="s">
        <v>513</v>
      </c>
      <c r="F9808">
        <v>0</v>
      </c>
      <c r="G9808">
        <v>0</v>
      </c>
      <c r="H9808">
        <v>1</v>
      </c>
      <c r="I9808" s="3">
        <v>11120.75</v>
      </c>
      <c r="J9808" s="3">
        <v>15505.01</v>
      </c>
      <c r="L9808">
        <v>500</v>
      </c>
      <c r="M9808" t="s">
        <v>9505</v>
      </c>
      <c r="N9808" t="s">
        <v>3919</v>
      </c>
      <c r="O9808" t="s">
        <v>370</v>
      </c>
      <c r="P9808" t="str">
        <f>"32202"</f>
        <v>32202</v>
      </c>
    </row>
    <row r="9809" spans="1:16" x14ac:dyDescent="0.25">
      <c r="A9809" t="str">
        <f>"1150056N00106    00"</f>
        <v>1150056N00106    00</v>
      </c>
      <c r="B9809" t="s">
        <v>21246</v>
      </c>
      <c r="C9809" t="s">
        <v>21723</v>
      </c>
      <c r="D9809" t="s">
        <v>20</v>
      </c>
      <c r="E9809" t="s">
        <v>39</v>
      </c>
      <c r="F9809">
        <v>0</v>
      </c>
      <c r="G9809">
        <v>0</v>
      </c>
      <c r="H9809">
        <v>3</v>
      </c>
      <c r="I9809" s="3">
        <v>1170.56</v>
      </c>
      <c r="J9809" s="3">
        <v>48.6</v>
      </c>
      <c r="L9809">
        <v>727</v>
      </c>
      <c r="M9809" t="s">
        <v>15656</v>
      </c>
      <c r="N9809" t="s">
        <v>30</v>
      </c>
      <c r="O9809" t="s">
        <v>31</v>
      </c>
      <c r="P9809" t="str">
        <f>"15221"</f>
        <v>15221</v>
      </c>
    </row>
    <row r="9810" spans="1:16" x14ac:dyDescent="0.25">
      <c r="A9810" t="str">
        <f>"1150056N00107    00"</f>
        <v>1150056N00107    00</v>
      </c>
      <c r="B9810" t="s">
        <v>21724</v>
      </c>
      <c r="C9810" t="s">
        <v>21725</v>
      </c>
      <c r="D9810" t="s">
        <v>20</v>
      </c>
      <c r="E9810" t="s">
        <v>39</v>
      </c>
      <c r="F9810">
        <v>0</v>
      </c>
      <c r="G9810">
        <v>0</v>
      </c>
      <c r="H9810">
        <v>3</v>
      </c>
      <c r="I9810" s="3">
        <v>1224.1199999999999</v>
      </c>
      <c r="J9810" s="3">
        <v>50.82</v>
      </c>
      <c r="L9810">
        <v>727</v>
      </c>
      <c r="M9810" t="s">
        <v>15656</v>
      </c>
      <c r="N9810" t="s">
        <v>30</v>
      </c>
      <c r="O9810" t="s">
        <v>31</v>
      </c>
      <c r="P9810" t="str">
        <f>"15221"</f>
        <v>15221</v>
      </c>
    </row>
    <row r="9811" spans="1:16" x14ac:dyDescent="0.25">
      <c r="A9811" t="str">
        <f>"1150056N00107000100"</f>
        <v>1150056N00107000100</v>
      </c>
      <c r="B9811" t="s">
        <v>21246</v>
      </c>
      <c r="C9811" t="s">
        <v>21726</v>
      </c>
      <c r="D9811" t="s">
        <v>20</v>
      </c>
      <c r="E9811" t="s">
        <v>39</v>
      </c>
      <c r="F9811">
        <v>0</v>
      </c>
      <c r="G9811">
        <v>0</v>
      </c>
      <c r="H9811">
        <v>3</v>
      </c>
      <c r="I9811" s="3">
        <v>1243</v>
      </c>
      <c r="J9811" s="3">
        <v>51.62</v>
      </c>
      <c r="L9811">
        <v>727</v>
      </c>
      <c r="M9811" t="s">
        <v>15656</v>
      </c>
      <c r="N9811" t="s">
        <v>30</v>
      </c>
      <c r="O9811" t="s">
        <v>31</v>
      </c>
      <c r="P9811" t="str">
        <f>"15221"</f>
        <v>15221</v>
      </c>
    </row>
    <row r="9812" spans="1:16" x14ac:dyDescent="0.25">
      <c r="A9812" t="str">
        <f>"1150056N00117    00"</f>
        <v>1150056N00117    00</v>
      </c>
      <c r="B9812" t="s">
        <v>21727</v>
      </c>
      <c r="C9812" t="s">
        <v>21728</v>
      </c>
      <c r="D9812" t="s">
        <v>20</v>
      </c>
      <c r="E9812" t="s">
        <v>39</v>
      </c>
      <c r="F9812">
        <v>0</v>
      </c>
      <c r="G9812">
        <v>0</v>
      </c>
      <c r="H9812">
        <v>2</v>
      </c>
      <c r="I9812" s="3">
        <v>381.24</v>
      </c>
      <c r="J9812" s="3">
        <v>0</v>
      </c>
      <c r="K9812" t="s">
        <v>21729</v>
      </c>
      <c r="L9812">
        <v>1516</v>
      </c>
      <c r="M9812" t="s">
        <v>13373</v>
      </c>
      <c r="N9812" t="s">
        <v>30</v>
      </c>
      <c r="O9812" t="s">
        <v>31</v>
      </c>
      <c r="P9812" t="str">
        <f>"15221"</f>
        <v>15221</v>
      </c>
    </row>
    <row r="9813" spans="1:16" x14ac:dyDescent="0.25">
      <c r="A9813" t="str">
        <f>"1150056N00119    00"</f>
        <v>1150056N00119    00</v>
      </c>
      <c r="B9813" t="s">
        <v>21730</v>
      </c>
      <c r="C9813" t="s">
        <v>21731</v>
      </c>
      <c r="D9813" t="s">
        <v>20</v>
      </c>
      <c r="E9813" t="s">
        <v>39</v>
      </c>
      <c r="F9813">
        <v>0</v>
      </c>
      <c r="G9813">
        <v>0</v>
      </c>
      <c r="H9813">
        <v>1</v>
      </c>
      <c r="I9813" s="3">
        <v>587.07000000000005</v>
      </c>
      <c r="J9813" s="3">
        <v>0</v>
      </c>
      <c r="L9813">
        <v>19</v>
      </c>
      <c r="M9813" t="s">
        <v>11126</v>
      </c>
      <c r="N9813" t="s">
        <v>30</v>
      </c>
      <c r="O9813" t="s">
        <v>31</v>
      </c>
      <c r="P9813" t="str">
        <f>"15206"</f>
        <v>15206</v>
      </c>
    </row>
    <row r="9814" spans="1:16" x14ac:dyDescent="0.25">
      <c r="A9814" t="str">
        <f>"1150056N00126    00"</f>
        <v>1150056N00126    00</v>
      </c>
      <c r="B9814" t="s">
        <v>21732</v>
      </c>
      <c r="C9814" t="s">
        <v>21733</v>
      </c>
      <c r="D9814" t="s">
        <v>20</v>
      </c>
      <c r="E9814" t="s">
        <v>39</v>
      </c>
      <c r="F9814">
        <v>0</v>
      </c>
      <c r="G9814">
        <v>0</v>
      </c>
      <c r="H9814">
        <v>3</v>
      </c>
      <c r="I9814" s="3">
        <v>530.1</v>
      </c>
      <c r="J9814" s="3">
        <v>27.19</v>
      </c>
      <c r="L9814">
        <v>401</v>
      </c>
      <c r="M9814" t="s">
        <v>21554</v>
      </c>
      <c r="N9814" t="s">
        <v>30</v>
      </c>
      <c r="O9814" t="s">
        <v>31</v>
      </c>
      <c r="P9814" t="str">
        <f>"15207"</f>
        <v>15207</v>
      </c>
    </row>
    <row r="9815" spans="1:16" x14ac:dyDescent="0.25">
      <c r="A9815" t="str">
        <f>"1150056N00128    00"</f>
        <v>1150056N00128    00</v>
      </c>
      <c r="B9815" t="s">
        <v>21734</v>
      </c>
      <c r="C9815" t="s">
        <v>21735</v>
      </c>
      <c r="D9815" t="s">
        <v>20</v>
      </c>
      <c r="E9815" t="s">
        <v>39</v>
      </c>
      <c r="F9815">
        <v>0</v>
      </c>
      <c r="G9815">
        <v>0</v>
      </c>
      <c r="H9815">
        <v>2</v>
      </c>
      <c r="I9815" s="3">
        <v>541.34</v>
      </c>
      <c r="J9815" s="3">
        <v>0</v>
      </c>
      <c r="L9815">
        <v>1811</v>
      </c>
      <c r="M9815" t="s">
        <v>21736</v>
      </c>
      <c r="N9815" t="s">
        <v>30</v>
      </c>
      <c r="O9815" t="s">
        <v>31</v>
      </c>
      <c r="P9815" t="str">
        <f>"15226"</f>
        <v>15226</v>
      </c>
    </row>
    <row r="9816" spans="1:16" x14ac:dyDescent="0.25">
      <c r="A9816" t="str">
        <f>"1150056N00133    00"</f>
        <v>1150056N00133    00</v>
      </c>
      <c r="B9816" t="s">
        <v>21737</v>
      </c>
      <c r="C9816" t="s">
        <v>21738</v>
      </c>
      <c r="D9816" t="s">
        <v>20</v>
      </c>
      <c r="E9816" t="s">
        <v>39</v>
      </c>
      <c r="F9816">
        <v>0</v>
      </c>
      <c r="G9816">
        <v>0</v>
      </c>
      <c r="H9816">
        <v>1</v>
      </c>
      <c r="I9816" s="3">
        <v>266.86</v>
      </c>
      <c r="J9816" s="3">
        <v>0</v>
      </c>
      <c r="L9816">
        <v>1143</v>
      </c>
      <c r="M9816" t="s">
        <v>21739</v>
      </c>
      <c r="N9816" t="s">
        <v>30</v>
      </c>
      <c r="O9816" t="s">
        <v>31</v>
      </c>
      <c r="P9816" t="str">
        <f>"15207"</f>
        <v>15207</v>
      </c>
    </row>
    <row r="9817" spans="1:16" x14ac:dyDescent="0.25">
      <c r="A9817" t="str">
        <f>"1150056N00142    00"</f>
        <v>1150056N00142    00</v>
      </c>
      <c r="B9817" t="s">
        <v>21740</v>
      </c>
      <c r="C9817" t="s">
        <v>21741</v>
      </c>
      <c r="D9817" t="s">
        <v>20</v>
      </c>
      <c r="E9817" t="s">
        <v>39</v>
      </c>
      <c r="F9817">
        <v>0</v>
      </c>
      <c r="G9817">
        <v>0</v>
      </c>
      <c r="H9817">
        <v>5</v>
      </c>
      <c r="I9817" s="3">
        <v>514.79</v>
      </c>
      <c r="J9817" s="3">
        <v>110.23</v>
      </c>
      <c r="L9817">
        <v>881</v>
      </c>
      <c r="M9817" t="s">
        <v>21742</v>
      </c>
      <c r="N9817" t="s">
        <v>30</v>
      </c>
      <c r="O9817" t="s">
        <v>31</v>
      </c>
      <c r="P9817" t="str">
        <f>"15217"</f>
        <v>15217</v>
      </c>
    </row>
    <row r="9818" spans="1:16" x14ac:dyDescent="0.25">
      <c r="A9818" t="str">
        <f>"1150056N00149    00"</f>
        <v>1150056N00149    00</v>
      </c>
      <c r="B9818" t="s">
        <v>21743</v>
      </c>
      <c r="C9818" t="s">
        <v>21744</v>
      </c>
      <c r="D9818" t="s">
        <v>20</v>
      </c>
      <c r="E9818" t="s">
        <v>39</v>
      </c>
      <c r="F9818">
        <v>0</v>
      </c>
      <c r="G9818">
        <v>0</v>
      </c>
      <c r="H9818">
        <v>17</v>
      </c>
      <c r="I9818" s="3">
        <v>5003.38</v>
      </c>
      <c r="J9818" s="3">
        <v>4259.13</v>
      </c>
      <c r="L9818">
        <v>115</v>
      </c>
      <c r="M9818" t="s">
        <v>21745</v>
      </c>
      <c r="N9818" t="s">
        <v>21746</v>
      </c>
      <c r="O9818" t="s">
        <v>273</v>
      </c>
      <c r="P9818" t="str">
        <f>"29851"</f>
        <v>29851</v>
      </c>
    </row>
    <row r="9819" spans="1:16" x14ac:dyDescent="0.25">
      <c r="A9819" t="str">
        <f>"1150056N00159    00"</f>
        <v>1150056N00159    00</v>
      </c>
      <c r="B9819" t="s">
        <v>21747</v>
      </c>
      <c r="C9819" t="s">
        <v>21748</v>
      </c>
      <c r="D9819" t="s">
        <v>20</v>
      </c>
      <c r="E9819" t="s">
        <v>39</v>
      </c>
      <c r="F9819">
        <v>0</v>
      </c>
      <c r="G9819">
        <v>0</v>
      </c>
      <c r="H9819">
        <v>16</v>
      </c>
      <c r="I9819" s="3">
        <v>7524.77</v>
      </c>
      <c r="J9819" s="3">
        <v>6229.43</v>
      </c>
      <c r="L9819">
        <v>611</v>
      </c>
      <c r="M9819" t="s">
        <v>3944</v>
      </c>
      <c r="N9819" t="s">
        <v>6603</v>
      </c>
      <c r="O9819" t="s">
        <v>31</v>
      </c>
      <c r="P9819" t="str">
        <f>"15122"</f>
        <v>15122</v>
      </c>
    </row>
    <row r="9820" spans="1:16" x14ac:dyDescent="0.25">
      <c r="A9820" t="str">
        <f>"1150056N00165    00"</f>
        <v>1150056N00165    00</v>
      </c>
      <c r="B9820" t="s">
        <v>21749</v>
      </c>
      <c r="C9820" t="s">
        <v>21750</v>
      </c>
      <c r="D9820" t="s">
        <v>20</v>
      </c>
      <c r="E9820" t="s">
        <v>39</v>
      </c>
      <c r="F9820">
        <v>0</v>
      </c>
      <c r="G9820">
        <v>0</v>
      </c>
      <c r="H9820">
        <v>10</v>
      </c>
      <c r="I9820" s="3">
        <v>55.03</v>
      </c>
      <c r="J9820" s="3">
        <v>30.02</v>
      </c>
      <c r="K9820" t="s">
        <v>21751</v>
      </c>
      <c r="L9820">
        <v>115</v>
      </c>
      <c r="M9820" t="s">
        <v>21745</v>
      </c>
      <c r="N9820" t="s">
        <v>21746</v>
      </c>
      <c r="O9820" t="s">
        <v>273</v>
      </c>
      <c r="P9820" t="str">
        <f>"29851"</f>
        <v>29851</v>
      </c>
    </row>
    <row r="9821" spans="1:16" x14ac:dyDescent="0.25">
      <c r="A9821" t="str">
        <f>"1150056N00167    00"</f>
        <v>1150056N00167    00</v>
      </c>
      <c r="B9821" t="s">
        <v>21752</v>
      </c>
      <c r="C9821" t="s">
        <v>21750</v>
      </c>
      <c r="D9821" t="s">
        <v>20</v>
      </c>
      <c r="E9821" t="s">
        <v>39</v>
      </c>
      <c r="F9821">
        <v>0</v>
      </c>
      <c r="G9821">
        <v>0</v>
      </c>
      <c r="H9821">
        <v>10</v>
      </c>
      <c r="I9821" s="3">
        <v>55.03</v>
      </c>
      <c r="J9821" s="3">
        <v>30.02</v>
      </c>
      <c r="L9821">
        <v>802</v>
      </c>
      <c r="M9821" t="s">
        <v>21753</v>
      </c>
      <c r="N9821" t="s">
        <v>21754</v>
      </c>
      <c r="O9821" t="s">
        <v>273</v>
      </c>
      <c r="P9821" t="str">
        <f>"29841"</f>
        <v>29841</v>
      </c>
    </row>
    <row r="9822" spans="1:16" x14ac:dyDescent="0.25">
      <c r="A9822" t="str">
        <f>"1150056N00187    00"</f>
        <v>1150056N00187    00</v>
      </c>
      <c r="B9822" t="s">
        <v>21603</v>
      </c>
      <c r="C9822" t="s">
        <v>21755</v>
      </c>
      <c r="D9822" t="s">
        <v>20</v>
      </c>
      <c r="E9822" t="s">
        <v>39</v>
      </c>
      <c r="F9822">
        <v>0</v>
      </c>
      <c r="G9822">
        <v>0</v>
      </c>
      <c r="H9822">
        <v>6</v>
      </c>
      <c r="I9822" s="3">
        <v>1471.86</v>
      </c>
      <c r="J9822" s="3">
        <v>330.09</v>
      </c>
      <c r="K9822" t="s">
        <v>21605</v>
      </c>
      <c r="L9822">
        <v>212</v>
      </c>
      <c r="M9822" t="s">
        <v>21127</v>
      </c>
      <c r="N9822" t="s">
        <v>30</v>
      </c>
      <c r="O9822" t="s">
        <v>31</v>
      </c>
      <c r="P9822" t="str">
        <f>"15207"</f>
        <v>15207</v>
      </c>
    </row>
    <row r="9823" spans="1:16" x14ac:dyDescent="0.25">
      <c r="A9823" t="str">
        <f>"1150056N00201    00"</f>
        <v>1150056N00201    00</v>
      </c>
      <c r="B9823" t="s">
        <v>21756</v>
      </c>
      <c r="C9823" t="s">
        <v>21757</v>
      </c>
      <c r="D9823" t="s">
        <v>20</v>
      </c>
      <c r="E9823" t="s">
        <v>39</v>
      </c>
      <c r="F9823">
        <v>0</v>
      </c>
      <c r="G9823">
        <v>0</v>
      </c>
      <c r="H9823">
        <v>7</v>
      </c>
      <c r="I9823" s="3">
        <v>1275.74</v>
      </c>
      <c r="J9823" s="3">
        <v>424.7</v>
      </c>
      <c r="L9823">
        <v>635</v>
      </c>
      <c r="M9823" t="s">
        <v>21758</v>
      </c>
      <c r="N9823" t="s">
        <v>285</v>
      </c>
      <c r="O9823" t="s">
        <v>31</v>
      </c>
      <c r="P9823" t="str">
        <f>"15120"</f>
        <v>15120</v>
      </c>
    </row>
    <row r="9824" spans="1:16" x14ac:dyDescent="0.25">
      <c r="A9824" t="str">
        <f>"1150056N00218    00"</f>
        <v>1150056N00218    00</v>
      </c>
      <c r="B9824" t="s">
        <v>21759</v>
      </c>
      <c r="C9824" t="s">
        <v>21760</v>
      </c>
      <c r="D9824" t="s">
        <v>20</v>
      </c>
      <c r="E9824" t="s">
        <v>39</v>
      </c>
      <c r="F9824">
        <v>0</v>
      </c>
      <c r="G9824">
        <v>0</v>
      </c>
      <c r="H9824">
        <v>13</v>
      </c>
      <c r="I9824" s="3">
        <v>4995.49</v>
      </c>
      <c r="J9824" s="3">
        <v>3329.29</v>
      </c>
      <c r="N9824" t="s">
        <v>21761</v>
      </c>
      <c r="P9824" t="str">
        <f>""</f>
        <v/>
      </c>
    </row>
    <row r="9825" spans="1:16" x14ac:dyDescent="0.25">
      <c r="A9825" t="str">
        <f>"1150056N00241    00"</f>
        <v>1150056N00241    00</v>
      </c>
      <c r="B9825" t="s">
        <v>21762</v>
      </c>
      <c r="C9825" t="s">
        <v>21763</v>
      </c>
      <c r="D9825" t="s">
        <v>20</v>
      </c>
      <c r="E9825" t="s">
        <v>39</v>
      </c>
      <c r="F9825">
        <v>0</v>
      </c>
      <c r="G9825">
        <v>0</v>
      </c>
      <c r="H9825">
        <v>2</v>
      </c>
      <c r="I9825" s="3">
        <v>266.88</v>
      </c>
      <c r="J9825" s="3">
        <v>26.68</v>
      </c>
      <c r="K9825" t="s">
        <v>21764</v>
      </c>
      <c r="L9825">
        <v>412</v>
      </c>
      <c r="M9825" t="s">
        <v>21765</v>
      </c>
      <c r="N9825" t="s">
        <v>21766</v>
      </c>
      <c r="O9825" t="s">
        <v>31</v>
      </c>
      <c r="P9825" t="str">
        <f>"15801"</f>
        <v>15801</v>
      </c>
    </row>
    <row r="9826" spans="1:16" x14ac:dyDescent="0.25">
      <c r="A9826" t="str">
        <f>"1150056N00248    00"</f>
        <v>1150056N00248    00</v>
      </c>
      <c r="B9826" t="s">
        <v>21246</v>
      </c>
      <c r="C9826" t="s">
        <v>21767</v>
      </c>
      <c r="D9826" t="s">
        <v>20</v>
      </c>
      <c r="E9826" t="s">
        <v>39</v>
      </c>
      <c r="F9826">
        <v>0</v>
      </c>
      <c r="G9826">
        <v>0</v>
      </c>
      <c r="H9826">
        <v>2</v>
      </c>
      <c r="I9826" s="3">
        <v>25.37</v>
      </c>
      <c r="J9826" s="3">
        <v>4.28</v>
      </c>
      <c r="L9826">
        <v>727</v>
      </c>
      <c r="M9826" t="s">
        <v>15656</v>
      </c>
      <c r="N9826" t="s">
        <v>30</v>
      </c>
      <c r="O9826" t="s">
        <v>31</v>
      </c>
      <c r="P9826" t="str">
        <f>"15221"</f>
        <v>15221</v>
      </c>
    </row>
    <row r="9827" spans="1:16" x14ac:dyDescent="0.25">
      <c r="A9827" t="str">
        <f>"1150056N00249    00"</f>
        <v>1150056N00249    00</v>
      </c>
      <c r="B9827" t="s">
        <v>21768</v>
      </c>
      <c r="C9827" t="s">
        <v>21769</v>
      </c>
      <c r="D9827" t="s">
        <v>20</v>
      </c>
      <c r="E9827" t="s">
        <v>39</v>
      </c>
      <c r="F9827">
        <v>0</v>
      </c>
      <c r="G9827">
        <v>0</v>
      </c>
      <c r="H9827">
        <v>12</v>
      </c>
      <c r="I9827" s="3">
        <v>3829.19</v>
      </c>
      <c r="J9827" s="3">
        <v>3836.05</v>
      </c>
      <c r="L9827">
        <v>13</v>
      </c>
      <c r="M9827" t="s">
        <v>21770</v>
      </c>
      <c r="N9827" t="s">
        <v>21771</v>
      </c>
      <c r="P9827" t="str">
        <f>""</f>
        <v/>
      </c>
    </row>
    <row r="9828" spans="1:16" x14ac:dyDescent="0.25">
      <c r="A9828" t="str">
        <f>"1150056P00012    00"</f>
        <v>1150056P00012    00</v>
      </c>
      <c r="B9828" t="s">
        <v>21772</v>
      </c>
      <c r="C9828" t="s">
        <v>21773</v>
      </c>
      <c r="D9828" t="s">
        <v>20</v>
      </c>
      <c r="E9828" t="s">
        <v>39</v>
      </c>
      <c r="F9828">
        <v>0</v>
      </c>
      <c r="G9828">
        <v>0</v>
      </c>
      <c r="H9828">
        <v>1</v>
      </c>
      <c r="I9828" s="3">
        <v>72.239999999999995</v>
      </c>
      <c r="J9828" s="3">
        <v>0</v>
      </c>
      <c r="L9828">
        <v>4125</v>
      </c>
      <c r="M9828" t="s">
        <v>20951</v>
      </c>
      <c r="N9828" t="s">
        <v>30</v>
      </c>
      <c r="O9828" t="s">
        <v>31</v>
      </c>
      <c r="P9828" t="str">
        <f>"15207"</f>
        <v>15207</v>
      </c>
    </row>
    <row r="9829" spans="1:16" x14ac:dyDescent="0.25">
      <c r="A9829" t="str">
        <f>"1150056P00015    00"</f>
        <v>1150056P00015    00</v>
      </c>
      <c r="B9829" t="s">
        <v>21774</v>
      </c>
      <c r="C9829" t="s">
        <v>21393</v>
      </c>
      <c r="D9829" t="s">
        <v>20</v>
      </c>
      <c r="E9829" t="s">
        <v>39</v>
      </c>
      <c r="F9829">
        <v>0</v>
      </c>
      <c r="G9829">
        <v>0</v>
      </c>
      <c r="H9829">
        <v>1</v>
      </c>
      <c r="I9829" s="3">
        <v>19.059999999999999</v>
      </c>
      <c r="J9829" s="3">
        <v>0</v>
      </c>
      <c r="L9829">
        <v>4934</v>
      </c>
      <c r="M9829" t="s">
        <v>21497</v>
      </c>
      <c r="N9829" t="s">
        <v>30</v>
      </c>
      <c r="O9829" t="s">
        <v>31</v>
      </c>
      <c r="P9829" t="str">
        <f>"15207"</f>
        <v>15207</v>
      </c>
    </row>
    <row r="9830" spans="1:16" x14ac:dyDescent="0.25">
      <c r="A9830" t="str">
        <f>"1150056P00016    00"</f>
        <v>1150056P00016    00</v>
      </c>
      <c r="B9830" t="s">
        <v>21774</v>
      </c>
      <c r="C9830" t="s">
        <v>21775</v>
      </c>
      <c r="D9830" t="s">
        <v>20</v>
      </c>
      <c r="E9830" t="s">
        <v>39</v>
      </c>
      <c r="F9830">
        <v>0</v>
      </c>
      <c r="G9830">
        <v>0</v>
      </c>
      <c r="H9830">
        <v>1</v>
      </c>
      <c r="I9830" s="3">
        <v>501.29</v>
      </c>
      <c r="J9830" s="3">
        <v>0</v>
      </c>
      <c r="L9830">
        <v>4934</v>
      </c>
      <c r="M9830" t="s">
        <v>21497</v>
      </c>
      <c r="N9830" t="s">
        <v>30</v>
      </c>
      <c r="O9830" t="s">
        <v>31</v>
      </c>
      <c r="P9830" t="str">
        <f>"15207"</f>
        <v>15207</v>
      </c>
    </row>
    <row r="9831" spans="1:16" x14ac:dyDescent="0.25">
      <c r="A9831" t="str">
        <f>"1150056P00026    00"</f>
        <v>1150056P00026    00</v>
      </c>
      <c r="B9831" t="s">
        <v>21776</v>
      </c>
      <c r="C9831" t="s">
        <v>21777</v>
      </c>
      <c r="D9831" t="s">
        <v>20</v>
      </c>
      <c r="E9831" t="s">
        <v>39</v>
      </c>
      <c r="F9831">
        <v>0</v>
      </c>
      <c r="G9831">
        <v>0</v>
      </c>
      <c r="H9831">
        <v>4</v>
      </c>
      <c r="I9831" s="3">
        <v>2048.9699999999998</v>
      </c>
      <c r="J9831" s="3">
        <v>346.39</v>
      </c>
      <c r="M9831" t="s">
        <v>10286</v>
      </c>
      <c r="N9831" t="s">
        <v>30</v>
      </c>
      <c r="O9831" t="s">
        <v>31</v>
      </c>
      <c r="P9831" t="str">
        <f>"15217"</f>
        <v>15217</v>
      </c>
    </row>
    <row r="9832" spans="1:16" x14ac:dyDescent="0.25">
      <c r="A9832" t="str">
        <f>"1150056P00039    00"</f>
        <v>1150056P00039    00</v>
      </c>
      <c r="B9832" t="s">
        <v>21778</v>
      </c>
      <c r="C9832" t="s">
        <v>21779</v>
      </c>
      <c r="D9832" t="s">
        <v>20</v>
      </c>
      <c r="E9832" t="s">
        <v>39</v>
      </c>
      <c r="F9832">
        <v>0</v>
      </c>
      <c r="G9832">
        <v>0</v>
      </c>
      <c r="H9832">
        <v>4</v>
      </c>
      <c r="I9832" s="3">
        <v>571</v>
      </c>
      <c r="J9832" s="3">
        <v>47.06</v>
      </c>
      <c r="L9832">
        <v>5221</v>
      </c>
      <c r="M9832" t="s">
        <v>21525</v>
      </c>
      <c r="N9832" t="s">
        <v>30</v>
      </c>
      <c r="O9832" t="s">
        <v>31</v>
      </c>
      <c r="P9832" t="str">
        <f>"15207"</f>
        <v>15207</v>
      </c>
    </row>
    <row r="9833" spans="1:16" x14ac:dyDescent="0.25">
      <c r="A9833" t="str">
        <f>"1150056P00040    00"</f>
        <v>1150056P00040    00</v>
      </c>
      <c r="B9833" t="s">
        <v>21780</v>
      </c>
      <c r="C9833" t="s">
        <v>21779</v>
      </c>
      <c r="D9833" t="s">
        <v>20</v>
      </c>
      <c r="E9833" t="s">
        <v>39</v>
      </c>
      <c r="F9833">
        <v>0</v>
      </c>
      <c r="G9833">
        <v>0</v>
      </c>
      <c r="H9833">
        <v>3</v>
      </c>
      <c r="I9833" s="3">
        <v>22.86</v>
      </c>
      <c r="J9833" s="3">
        <v>1.52</v>
      </c>
      <c r="L9833">
        <v>5221</v>
      </c>
      <c r="M9833" t="s">
        <v>21525</v>
      </c>
      <c r="N9833" t="s">
        <v>30</v>
      </c>
      <c r="O9833" t="s">
        <v>31</v>
      </c>
      <c r="P9833" t="str">
        <f>"15207"</f>
        <v>15207</v>
      </c>
    </row>
    <row r="9834" spans="1:16" x14ac:dyDescent="0.25">
      <c r="A9834" t="str">
        <f>"1150056P00042    00"</f>
        <v>1150056P00042    00</v>
      </c>
      <c r="B9834" t="s">
        <v>21780</v>
      </c>
      <c r="C9834" t="s">
        <v>21779</v>
      </c>
      <c r="D9834" t="s">
        <v>20</v>
      </c>
      <c r="E9834" t="s">
        <v>39</v>
      </c>
      <c r="F9834">
        <v>0</v>
      </c>
      <c r="G9834">
        <v>0</v>
      </c>
      <c r="H9834">
        <v>3</v>
      </c>
      <c r="I9834" s="3">
        <v>22.86</v>
      </c>
      <c r="J9834" s="3">
        <v>1.52</v>
      </c>
      <c r="L9834">
        <v>5221</v>
      </c>
      <c r="M9834" t="s">
        <v>21781</v>
      </c>
      <c r="N9834" t="s">
        <v>30</v>
      </c>
      <c r="O9834" t="s">
        <v>31</v>
      </c>
      <c r="P9834" t="str">
        <f>"15207"</f>
        <v>15207</v>
      </c>
    </row>
    <row r="9835" spans="1:16" x14ac:dyDescent="0.25">
      <c r="A9835" t="str">
        <f>"1150056P00044    00"</f>
        <v>1150056P00044    00</v>
      </c>
      <c r="B9835" t="s">
        <v>21782</v>
      </c>
      <c r="C9835" t="s">
        <v>21783</v>
      </c>
      <c r="D9835" t="s">
        <v>20</v>
      </c>
      <c r="E9835" t="s">
        <v>39</v>
      </c>
      <c r="F9835">
        <v>0</v>
      </c>
      <c r="G9835">
        <v>0</v>
      </c>
      <c r="H9835">
        <v>1</v>
      </c>
      <c r="I9835" s="3">
        <v>127.75</v>
      </c>
      <c r="J9835" s="3">
        <v>0</v>
      </c>
      <c r="K9835" t="s">
        <v>21784</v>
      </c>
      <c r="L9835">
        <v>5213</v>
      </c>
      <c r="M9835" t="s">
        <v>21525</v>
      </c>
      <c r="N9835" t="s">
        <v>30</v>
      </c>
      <c r="O9835" t="s">
        <v>31</v>
      </c>
      <c r="P9835" t="str">
        <f>"15207"</f>
        <v>15207</v>
      </c>
    </row>
    <row r="9836" spans="1:16" x14ac:dyDescent="0.25">
      <c r="A9836" t="str">
        <f>"1150056P00048    00"</f>
        <v>1150056P00048    00</v>
      </c>
      <c r="B9836" t="s">
        <v>21785</v>
      </c>
      <c r="C9836" t="s">
        <v>21393</v>
      </c>
      <c r="D9836" t="s">
        <v>20</v>
      </c>
      <c r="E9836" t="s">
        <v>39</v>
      </c>
      <c r="F9836">
        <v>0</v>
      </c>
      <c r="G9836">
        <v>0</v>
      </c>
      <c r="H9836">
        <v>6</v>
      </c>
      <c r="I9836" s="3">
        <v>193.49</v>
      </c>
      <c r="J9836" s="3">
        <v>33.74</v>
      </c>
      <c r="L9836">
        <v>5156</v>
      </c>
      <c r="M9836" t="s">
        <v>21711</v>
      </c>
      <c r="N9836" t="s">
        <v>30</v>
      </c>
      <c r="O9836" t="s">
        <v>31</v>
      </c>
      <c r="P9836" t="str">
        <f>"15207"</f>
        <v>15207</v>
      </c>
    </row>
    <row r="9837" spans="1:16" x14ac:dyDescent="0.25">
      <c r="A9837" t="str">
        <f>"1150056P00056    00"</f>
        <v>1150056P00056    00</v>
      </c>
      <c r="B9837" t="s">
        <v>3247</v>
      </c>
      <c r="C9837" t="s">
        <v>21786</v>
      </c>
      <c r="D9837" t="s">
        <v>20</v>
      </c>
      <c r="E9837" t="s">
        <v>39</v>
      </c>
      <c r="F9837">
        <v>0</v>
      </c>
      <c r="G9837">
        <v>0</v>
      </c>
      <c r="H9837">
        <v>2</v>
      </c>
      <c r="I9837" s="3">
        <v>440.35</v>
      </c>
      <c r="J9837" s="3">
        <v>0</v>
      </c>
      <c r="L9837">
        <v>6389</v>
      </c>
      <c r="M9837" t="s">
        <v>3249</v>
      </c>
      <c r="N9837" t="s">
        <v>30</v>
      </c>
      <c r="O9837" t="s">
        <v>31</v>
      </c>
      <c r="P9837" t="str">
        <f>"15206"</f>
        <v>15206</v>
      </c>
    </row>
    <row r="9838" spans="1:16" x14ac:dyDescent="0.25">
      <c r="A9838" t="str">
        <f>"1150056P00057A   00"</f>
        <v>1150056P00057A   00</v>
      </c>
      <c r="B9838" t="s">
        <v>21787</v>
      </c>
      <c r="C9838" t="s">
        <v>21788</v>
      </c>
      <c r="D9838" t="s">
        <v>20</v>
      </c>
      <c r="E9838" t="s">
        <v>39</v>
      </c>
      <c r="F9838">
        <v>0</v>
      </c>
      <c r="G9838">
        <v>0</v>
      </c>
      <c r="H9838">
        <v>1</v>
      </c>
      <c r="I9838" s="3">
        <v>333.97</v>
      </c>
      <c r="J9838" s="3">
        <v>164.2</v>
      </c>
      <c r="L9838">
        <v>5140</v>
      </c>
      <c r="M9838" t="s">
        <v>21789</v>
      </c>
      <c r="N9838" t="s">
        <v>30</v>
      </c>
      <c r="O9838" t="s">
        <v>31</v>
      </c>
      <c r="P9838" t="str">
        <f>"15207"</f>
        <v>15207</v>
      </c>
    </row>
    <row r="9839" spans="1:16" x14ac:dyDescent="0.25">
      <c r="A9839" t="str">
        <f>"1150056P00058    00"</f>
        <v>1150056P00058    00</v>
      </c>
      <c r="B9839" t="s">
        <v>21790</v>
      </c>
      <c r="C9839" t="s">
        <v>21791</v>
      </c>
      <c r="D9839" t="s">
        <v>20</v>
      </c>
      <c r="E9839" t="s">
        <v>39</v>
      </c>
      <c r="F9839">
        <v>0</v>
      </c>
      <c r="G9839">
        <v>0</v>
      </c>
      <c r="H9839">
        <v>19</v>
      </c>
      <c r="I9839" s="3">
        <v>8860.77</v>
      </c>
      <c r="J9839" s="3">
        <v>8338.02</v>
      </c>
      <c r="L9839">
        <v>5131</v>
      </c>
      <c r="M9839" t="s">
        <v>21525</v>
      </c>
      <c r="N9839" t="s">
        <v>30</v>
      </c>
      <c r="O9839" t="s">
        <v>31</v>
      </c>
      <c r="P9839" t="str">
        <f>"15207"</f>
        <v>15207</v>
      </c>
    </row>
    <row r="9840" spans="1:16" x14ac:dyDescent="0.25">
      <c r="A9840" t="str">
        <f>"1150056P00062A   00"</f>
        <v>1150056P00062A   00</v>
      </c>
      <c r="B9840" t="s">
        <v>21484</v>
      </c>
      <c r="C9840" t="s">
        <v>21792</v>
      </c>
      <c r="D9840" t="s">
        <v>20</v>
      </c>
      <c r="E9840" t="s">
        <v>39</v>
      </c>
      <c r="F9840">
        <v>0</v>
      </c>
      <c r="G9840">
        <v>0</v>
      </c>
      <c r="H9840">
        <v>3</v>
      </c>
      <c r="I9840" s="3">
        <v>259.70999999999998</v>
      </c>
      <c r="J9840" s="3">
        <v>285.99</v>
      </c>
      <c r="K9840" t="s">
        <v>21486</v>
      </c>
      <c r="L9840">
        <v>727</v>
      </c>
      <c r="M9840" t="s">
        <v>15656</v>
      </c>
      <c r="N9840" t="s">
        <v>30</v>
      </c>
      <c r="O9840" t="s">
        <v>31</v>
      </c>
      <c r="P9840" t="str">
        <f>"15221"</f>
        <v>15221</v>
      </c>
    </row>
    <row r="9841" spans="1:16" x14ac:dyDescent="0.25">
      <c r="A9841" t="str">
        <f>"1150056P00073    00"</f>
        <v>1150056P00073    00</v>
      </c>
      <c r="B9841" t="s">
        <v>21246</v>
      </c>
      <c r="C9841" t="s">
        <v>21793</v>
      </c>
      <c r="D9841" t="s">
        <v>20</v>
      </c>
      <c r="E9841" t="s">
        <v>39</v>
      </c>
      <c r="F9841">
        <v>0</v>
      </c>
      <c r="G9841">
        <v>0</v>
      </c>
      <c r="H9841">
        <v>3</v>
      </c>
      <c r="I9841" s="3">
        <v>604.73</v>
      </c>
      <c r="J9841" s="3">
        <v>25.1</v>
      </c>
      <c r="L9841">
        <v>727</v>
      </c>
      <c r="M9841" t="s">
        <v>15656</v>
      </c>
      <c r="N9841" t="s">
        <v>30</v>
      </c>
      <c r="O9841" t="s">
        <v>31</v>
      </c>
      <c r="P9841" t="str">
        <f>"15221"</f>
        <v>15221</v>
      </c>
    </row>
    <row r="9842" spans="1:16" x14ac:dyDescent="0.25">
      <c r="A9842" t="str">
        <f>"1150056P00138    00"</f>
        <v>1150056P00138    00</v>
      </c>
      <c r="B9842" t="s">
        <v>21794</v>
      </c>
      <c r="C9842" t="s">
        <v>21795</v>
      </c>
      <c r="D9842" t="s">
        <v>20</v>
      </c>
      <c r="E9842" t="s">
        <v>39</v>
      </c>
      <c r="F9842">
        <v>0</v>
      </c>
      <c r="G9842">
        <v>0</v>
      </c>
      <c r="H9842">
        <v>3</v>
      </c>
      <c r="I9842" s="3">
        <v>548.91</v>
      </c>
      <c r="J9842" s="3">
        <v>36.590000000000003</v>
      </c>
      <c r="L9842">
        <v>5239</v>
      </c>
      <c r="M9842" t="s">
        <v>21796</v>
      </c>
      <c r="N9842" t="s">
        <v>30</v>
      </c>
      <c r="O9842" t="s">
        <v>31</v>
      </c>
      <c r="P9842" t="str">
        <f>"15207"</f>
        <v>15207</v>
      </c>
    </row>
    <row r="9843" spans="1:16" x14ac:dyDescent="0.25">
      <c r="A9843" t="str">
        <f>"1150056P00151    00"</f>
        <v>1150056P00151    00</v>
      </c>
      <c r="B9843" t="s">
        <v>21797</v>
      </c>
      <c r="C9843" t="s">
        <v>21798</v>
      </c>
      <c r="D9843" t="s">
        <v>20</v>
      </c>
      <c r="E9843" t="s">
        <v>39</v>
      </c>
      <c r="F9843">
        <v>0</v>
      </c>
      <c r="G9843">
        <v>0</v>
      </c>
      <c r="H9843">
        <v>19</v>
      </c>
      <c r="I9843" s="3">
        <v>7037.67</v>
      </c>
      <c r="J9843" s="3">
        <v>7558.73</v>
      </c>
      <c r="L9843">
        <v>426</v>
      </c>
      <c r="M9843" t="s">
        <v>21799</v>
      </c>
      <c r="N9843" t="s">
        <v>2943</v>
      </c>
      <c r="O9843" t="s">
        <v>31</v>
      </c>
      <c r="P9843" t="str">
        <f>"15025"</f>
        <v>15025</v>
      </c>
    </row>
    <row r="9844" spans="1:16" x14ac:dyDescent="0.25">
      <c r="A9844" t="str">
        <f>"1150056P00155    00"</f>
        <v>1150056P00155    00</v>
      </c>
      <c r="B9844" t="s">
        <v>21800</v>
      </c>
      <c r="C9844" t="s">
        <v>21801</v>
      </c>
      <c r="D9844" t="s">
        <v>33</v>
      </c>
      <c r="E9844" t="s">
        <v>39</v>
      </c>
      <c r="F9844">
        <v>0</v>
      </c>
      <c r="G9844">
        <v>0</v>
      </c>
      <c r="H9844">
        <v>5</v>
      </c>
      <c r="I9844" s="3">
        <v>67.14</v>
      </c>
      <c r="J9844" s="3">
        <v>1.44</v>
      </c>
      <c r="L9844">
        <v>125</v>
      </c>
      <c r="M9844" t="s">
        <v>21802</v>
      </c>
      <c r="N9844" t="s">
        <v>30</v>
      </c>
      <c r="O9844" t="s">
        <v>31</v>
      </c>
      <c r="P9844" t="str">
        <f>"15218"</f>
        <v>15218</v>
      </c>
    </row>
    <row r="9845" spans="1:16" x14ac:dyDescent="0.25">
      <c r="A9845" t="str">
        <f>"1150056P00165    00"</f>
        <v>1150056P00165    00</v>
      </c>
      <c r="B9845" t="s">
        <v>21803</v>
      </c>
      <c r="C9845" t="s">
        <v>21804</v>
      </c>
      <c r="D9845" t="s">
        <v>20</v>
      </c>
      <c r="E9845" t="s">
        <v>21</v>
      </c>
      <c r="F9845">
        <v>0</v>
      </c>
      <c r="G9845">
        <v>0</v>
      </c>
      <c r="H9845">
        <v>1</v>
      </c>
      <c r="I9845" s="3">
        <v>966.35</v>
      </c>
      <c r="J9845" s="3">
        <v>0</v>
      </c>
      <c r="L9845">
        <v>5106</v>
      </c>
      <c r="M9845" t="s">
        <v>21575</v>
      </c>
      <c r="N9845" t="s">
        <v>30</v>
      </c>
      <c r="O9845" t="s">
        <v>31</v>
      </c>
      <c r="P9845" t="str">
        <f>"15207"</f>
        <v>15207</v>
      </c>
    </row>
    <row r="9846" spans="1:16" x14ac:dyDescent="0.25">
      <c r="A9846" t="str">
        <f>"1150056P00179    00"</f>
        <v>1150056P00179    00</v>
      </c>
      <c r="B9846" t="s">
        <v>21805</v>
      </c>
      <c r="C9846" t="s">
        <v>21806</v>
      </c>
      <c r="D9846" t="s">
        <v>20</v>
      </c>
      <c r="E9846" t="s">
        <v>39</v>
      </c>
      <c r="F9846">
        <v>0</v>
      </c>
      <c r="G9846">
        <v>0</v>
      </c>
      <c r="H9846">
        <v>10</v>
      </c>
      <c r="I9846" s="3">
        <v>4069.99</v>
      </c>
      <c r="J9846" s="3">
        <v>1738.54</v>
      </c>
      <c r="L9846">
        <v>5232</v>
      </c>
      <c r="M9846" t="s">
        <v>21575</v>
      </c>
      <c r="N9846" t="s">
        <v>30</v>
      </c>
      <c r="O9846" t="s">
        <v>31</v>
      </c>
      <c r="P9846" t="str">
        <f>"15207"</f>
        <v>15207</v>
      </c>
    </row>
    <row r="9847" spans="1:16" x14ac:dyDescent="0.25">
      <c r="A9847" t="str">
        <f>"1150056P00180    00"</f>
        <v>1150056P00180    00</v>
      </c>
      <c r="B9847" t="s">
        <v>21807</v>
      </c>
      <c r="C9847" t="s">
        <v>21808</v>
      </c>
      <c r="D9847" t="s">
        <v>20</v>
      </c>
      <c r="E9847" t="s">
        <v>39</v>
      </c>
      <c r="F9847">
        <v>0</v>
      </c>
      <c r="G9847">
        <v>0</v>
      </c>
      <c r="H9847">
        <v>14</v>
      </c>
      <c r="I9847" s="3">
        <v>5685.38</v>
      </c>
      <c r="J9847" s="3">
        <v>3537.78</v>
      </c>
      <c r="L9847">
        <v>5234</v>
      </c>
      <c r="M9847" t="s">
        <v>21575</v>
      </c>
      <c r="N9847" t="s">
        <v>30</v>
      </c>
      <c r="O9847" t="s">
        <v>31</v>
      </c>
      <c r="P9847" t="str">
        <f>"15207"</f>
        <v>15207</v>
      </c>
    </row>
    <row r="9848" spans="1:16" x14ac:dyDescent="0.25">
      <c r="A9848" t="str">
        <f>"1150056P00190    00"</f>
        <v>1150056P00190    00</v>
      </c>
      <c r="B9848" t="s">
        <v>21809</v>
      </c>
      <c r="C9848" t="s">
        <v>21810</v>
      </c>
      <c r="D9848" t="s">
        <v>20</v>
      </c>
      <c r="E9848" t="s">
        <v>39</v>
      </c>
      <c r="F9848">
        <v>0</v>
      </c>
      <c r="G9848">
        <v>0</v>
      </c>
      <c r="H9848">
        <v>4</v>
      </c>
      <c r="I9848" s="3">
        <v>211.48</v>
      </c>
      <c r="J9848" s="3">
        <v>25.11</v>
      </c>
      <c r="L9848">
        <v>5258</v>
      </c>
      <c r="M9848" t="s">
        <v>21575</v>
      </c>
      <c r="N9848" t="s">
        <v>30</v>
      </c>
      <c r="O9848" t="s">
        <v>31</v>
      </c>
      <c r="P9848" t="str">
        <f>"15207"</f>
        <v>15207</v>
      </c>
    </row>
    <row r="9849" spans="1:16" x14ac:dyDescent="0.25">
      <c r="A9849" t="str">
        <f>"1150056P00192    00"</f>
        <v>1150056P00192    00</v>
      </c>
      <c r="B9849" t="s">
        <v>21811</v>
      </c>
      <c r="C9849" t="s">
        <v>21812</v>
      </c>
      <c r="D9849" t="s">
        <v>20</v>
      </c>
      <c r="E9849" t="s">
        <v>39</v>
      </c>
      <c r="F9849">
        <v>0</v>
      </c>
      <c r="G9849">
        <v>0</v>
      </c>
      <c r="H9849">
        <v>8</v>
      </c>
      <c r="I9849" s="3">
        <v>3092.06</v>
      </c>
      <c r="J9849" s="3">
        <v>1011.75</v>
      </c>
      <c r="L9849">
        <v>5262</v>
      </c>
      <c r="M9849" t="s">
        <v>21575</v>
      </c>
      <c r="N9849" t="s">
        <v>30</v>
      </c>
      <c r="O9849" t="s">
        <v>31</v>
      </c>
      <c r="P9849" t="str">
        <f>"15207"</f>
        <v>15207</v>
      </c>
    </row>
    <row r="9850" spans="1:16" x14ac:dyDescent="0.25">
      <c r="A9850" t="str">
        <f>"1150056P00200    00"</f>
        <v>1150056P00200    00</v>
      </c>
      <c r="B9850" t="s">
        <v>21813</v>
      </c>
      <c r="C9850" t="s">
        <v>21801</v>
      </c>
      <c r="D9850" t="s">
        <v>20</v>
      </c>
      <c r="E9850" t="s">
        <v>39</v>
      </c>
      <c r="F9850">
        <v>0</v>
      </c>
      <c r="G9850">
        <v>0</v>
      </c>
      <c r="H9850">
        <v>15</v>
      </c>
      <c r="I9850" s="3">
        <v>1592.7</v>
      </c>
      <c r="J9850" s="3">
        <v>1932.27</v>
      </c>
      <c r="L9850">
        <v>3255</v>
      </c>
      <c r="M9850" t="s">
        <v>1956</v>
      </c>
      <c r="N9850" t="s">
        <v>30</v>
      </c>
      <c r="O9850" t="s">
        <v>31</v>
      </c>
      <c r="P9850" t="str">
        <f>"15213"</f>
        <v>15213</v>
      </c>
    </row>
    <row r="9851" spans="1:16" x14ac:dyDescent="0.25">
      <c r="A9851" t="str">
        <f>"1150056P00207    00"</f>
        <v>1150056P00207    00</v>
      </c>
      <c r="B9851" t="s">
        <v>21814</v>
      </c>
      <c r="C9851" t="s">
        <v>21815</v>
      </c>
      <c r="E9851" t="s">
        <v>39</v>
      </c>
      <c r="F9851">
        <v>0</v>
      </c>
      <c r="G9851">
        <v>0</v>
      </c>
      <c r="H9851">
        <v>1</v>
      </c>
      <c r="I9851" s="3">
        <v>153.41</v>
      </c>
      <c r="J9851" s="3">
        <v>61.35</v>
      </c>
      <c r="L9851">
        <v>648</v>
      </c>
      <c r="M9851" t="s">
        <v>21816</v>
      </c>
      <c r="N9851" t="s">
        <v>21817</v>
      </c>
      <c r="O9851" t="s">
        <v>606</v>
      </c>
      <c r="P9851" t="str">
        <f>"31763"</f>
        <v>31763</v>
      </c>
    </row>
    <row r="9852" spans="1:16" x14ac:dyDescent="0.25">
      <c r="A9852" t="str">
        <f>"1150056P00208    00"</f>
        <v>1150056P00208    00</v>
      </c>
      <c r="B9852" t="s">
        <v>21818</v>
      </c>
      <c r="C9852" t="s">
        <v>21819</v>
      </c>
      <c r="D9852" t="s">
        <v>20</v>
      </c>
      <c r="E9852" t="s">
        <v>39</v>
      </c>
      <c r="F9852">
        <v>0</v>
      </c>
      <c r="G9852">
        <v>0</v>
      </c>
      <c r="H9852">
        <v>8</v>
      </c>
      <c r="I9852" s="3">
        <v>2182.35</v>
      </c>
      <c r="J9852" s="3">
        <v>817.9</v>
      </c>
      <c r="L9852">
        <v>5237</v>
      </c>
      <c r="M9852" t="s">
        <v>21575</v>
      </c>
      <c r="N9852" t="s">
        <v>30</v>
      </c>
      <c r="O9852" t="s">
        <v>31</v>
      </c>
      <c r="P9852" t="str">
        <f>"15207"</f>
        <v>15207</v>
      </c>
    </row>
    <row r="9853" spans="1:16" x14ac:dyDescent="0.25">
      <c r="A9853" t="str">
        <f>"1150056P00209    00"</f>
        <v>1150056P00209    00</v>
      </c>
      <c r="B9853" t="s">
        <v>21820</v>
      </c>
      <c r="C9853" t="s">
        <v>21821</v>
      </c>
      <c r="D9853" t="s">
        <v>20</v>
      </c>
      <c r="E9853" t="s">
        <v>39</v>
      </c>
      <c r="F9853">
        <v>0</v>
      </c>
      <c r="G9853">
        <v>0</v>
      </c>
      <c r="H9853">
        <v>2</v>
      </c>
      <c r="I9853" s="3">
        <v>1232.04</v>
      </c>
      <c r="J9853" s="3">
        <v>3.28</v>
      </c>
      <c r="K9853" t="s">
        <v>21822</v>
      </c>
      <c r="L9853">
        <v>5235</v>
      </c>
      <c r="M9853" t="s">
        <v>21575</v>
      </c>
      <c r="N9853" t="s">
        <v>30</v>
      </c>
      <c r="O9853" t="s">
        <v>31</v>
      </c>
      <c r="P9853" t="str">
        <f>"15207"</f>
        <v>15207</v>
      </c>
    </row>
    <row r="9854" spans="1:16" x14ac:dyDescent="0.25">
      <c r="A9854" t="str">
        <f>"1150056P00218    00"</f>
        <v>1150056P00218    00</v>
      </c>
      <c r="B9854" t="s">
        <v>21823</v>
      </c>
      <c r="C9854" t="s">
        <v>21824</v>
      </c>
      <c r="D9854" t="s">
        <v>20</v>
      </c>
      <c r="E9854" t="s">
        <v>39</v>
      </c>
      <c r="F9854">
        <v>0</v>
      </c>
      <c r="G9854">
        <v>0</v>
      </c>
      <c r="H9854">
        <v>18</v>
      </c>
      <c r="I9854" s="3">
        <v>10114.65</v>
      </c>
      <c r="J9854" s="3">
        <v>10445.42</v>
      </c>
      <c r="L9854">
        <v>20</v>
      </c>
      <c r="M9854" t="s">
        <v>21825</v>
      </c>
      <c r="N9854" t="s">
        <v>21826</v>
      </c>
      <c r="P9854" t="str">
        <f>""</f>
        <v/>
      </c>
    </row>
    <row r="9855" spans="1:16" x14ac:dyDescent="0.25">
      <c r="A9855" t="str">
        <f>"1150056P00239    00"</f>
        <v>1150056P00239    00</v>
      </c>
      <c r="B9855" t="s">
        <v>21827</v>
      </c>
      <c r="C9855" t="s">
        <v>21828</v>
      </c>
      <c r="D9855" t="s">
        <v>20</v>
      </c>
      <c r="E9855" t="s">
        <v>39</v>
      </c>
      <c r="F9855">
        <v>0</v>
      </c>
      <c r="G9855">
        <v>0</v>
      </c>
      <c r="H9855">
        <v>1</v>
      </c>
      <c r="I9855" s="3">
        <v>667.1</v>
      </c>
      <c r="J9855" s="3">
        <v>0</v>
      </c>
      <c r="L9855">
        <v>5240</v>
      </c>
      <c r="M9855" t="s">
        <v>20688</v>
      </c>
      <c r="N9855" t="s">
        <v>30</v>
      </c>
      <c r="O9855" t="s">
        <v>31</v>
      </c>
      <c r="P9855" t="str">
        <f>"15207"</f>
        <v>15207</v>
      </c>
    </row>
    <row r="9856" spans="1:16" x14ac:dyDescent="0.25">
      <c r="A9856" t="str">
        <f>"1150056P00241    00"</f>
        <v>1150056P00241    00</v>
      </c>
      <c r="B9856" t="s">
        <v>21829</v>
      </c>
      <c r="C9856" t="s">
        <v>21830</v>
      </c>
      <c r="D9856" t="s">
        <v>57</v>
      </c>
      <c r="E9856" t="s">
        <v>39</v>
      </c>
      <c r="F9856">
        <v>0</v>
      </c>
      <c r="G9856">
        <v>0</v>
      </c>
      <c r="H9856">
        <v>1</v>
      </c>
      <c r="I9856" s="3">
        <v>205.28</v>
      </c>
      <c r="J9856" s="3">
        <v>0</v>
      </c>
      <c r="L9856">
        <v>5240</v>
      </c>
      <c r="M9856" t="s">
        <v>20688</v>
      </c>
      <c r="N9856" t="s">
        <v>30</v>
      </c>
      <c r="O9856" t="s">
        <v>31</v>
      </c>
      <c r="P9856" t="str">
        <f>"15207"</f>
        <v>15207</v>
      </c>
    </row>
    <row r="9857" spans="1:16" x14ac:dyDescent="0.25">
      <c r="A9857" t="str">
        <f>"1150056P00242    00"</f>
        <v>1150056P00242    00</v>
      </c>
      <c r="B9857" t="s">
        <v>21831</v>
      </c>
      <c r="C9857" t="s">
        <v>21400</v>
      </c>
      <c r="E9857" t="s">
        <v>39</v>
      </c>
      <c r="F9857">
        <v>0</v>
      </c>
      <c r="G9857">
        <v>0</v>
      </c>
      <c r="H9857">
        <v>2</v>
      </c>
      <c r="I9857" s="3">
        <v>1011.77</v>
      </c>
      <c r="J9857" s="3">
        <v>1141.83</v>
      </c>
      <c r="K9857" t="s">
        <v>21832</v>
      </c>
      <c r="L9857">
        <v>534</v>
      </c>
      <c r="M9857" t="s">
        <v>21833</v>
      </c>
      <c r="N9857" t="s">
        <v>285</v>
      </c>
      <c r="O9857" t="s">
        <v>31</v>
      </c>
      <c r="P9857" t="str">
        <f>"15120"</f>
        <v>15120</v>
      </c>
    </row>
    <row r="9858" spans="1:16" x14ac:dyDescent="0.25">
      <c r="A9858" t="str">
        <f>"1150056P00288    00"</f>
        <v>1150056P00288    00</v>
      </c>
      <c r="B9858" t="s">
        <v>21834</v>
      </c>
      <c r="C9858" t="s">
        <v>21835</v>
      </c>
      <c r="D9858" t="s">
        <v>20</v>
      </c>
      <c r="E9858" t="s">
        <v>39</v>
      </c>
      <c r="F9858">
        <v>0</v>
      </c>
      <c r="G9858">
        <v>0</v>
      </c>
      <c r="H9858">
        <v>11</v>
      </c>
      <c r="I9858" s="3">
        <v>12194.98</v>
      </c>
      <c r="J9858" s="3">
        <v>5921.53</v>
      </c>
      <c r="K9858" t="s">
        <v>21836</v>
      </c>
      <c r="L9858">
        <v>372</v>
      </c>
      <c r="M9858" t="s">
        <v>21837</v>
      </c>
      <c r="N9858" t="s">
        <v>30</v>
      </c>
      <c r="O9858" t="s">
        <v>31</v>
      </c>
      <c r="P9858" t="str">
        <f>"15207"</f>
        <v>15207</v>
      </c>
    </row>
    <row r="9859" spans="1:16" x14ac:dyDescent="0.25">
      <c r="A9859" t="str">
        <f>"1150056P00299    01"</f>
        <v>1150056P00299    01</v>
      </c>
      <c r="B9859" t="s">
        <v>21838</v>
      </c>
      <c r="C9859" t="s">
        <v>21839</v>
      </c>
      <c r="D9859" t="s">
        <v>20</v>
      </c>
      <c r="E9859" t="s">
        <v>21</v>
      </c>
      <c r="F9859">
        <v>0</v>
      </c>
      <c r="G9859">
        <v>0</v>
      </c>
      <c r="H9859">
        <v>2</v>
      </c>
      <c r="I9859" s="3">
        <v>7883.26</v>
      </c>
      <c r="J9859" s="3">
        <v>0</v>
      </c>
      <c r="K9859" t="s">
        <v>21840</v>
      </c>
      <c r="L9859">
        <v>5400</v>
      </c>
      <c r="M9859" t="s">
        <v>21497</v>
      </c>
      <c r="N9859" t="s">
        <v>30</v>
      </c>
      <c r="O9859" t="s">
        <v>31</v>
      </c>
      <c r="P9859" t="str">
        <f>"15207"</f>
        <v>15207</v>
      </c>
    </row>
    <row r="9860" spans="1:16" x14ac:dyDescent="0.25">
      <c r="A9860" t="str">
        <f>"1150056R00001    00"</f>
        <v>1150056R00001    00</v>
      </c>
      <c r="B9860" t="s">
        <v>21841</v>
      </c>
      <c r="C9860" t="s">
        <v>21842</v>
      </c>
      <c r="E9860" t="s">
        <v>39</v>
      </c>
      <c r="F9860">
        <v>0</v>
      </c>
      <c r="G9860">
        <v>0</v>
      </c>
      <c r="H9860">
        <v>1</v>
      </c>
      <c r="I9860" s="3">
        <v>249.33</v>
      </c>
      <c r="J9860" s="3">
        <v>0</v>
      </c>
      <c r="K9860" t="s">
        <v>21843</v>
      </c>
      <c r="L9860">
        <v>19000</v>
      </c>
      <c r="M9860" t="s">
        <v>21844</v>
      </c>
      <c r="N9860" t="s">
        <v>16695</v>
      </c>
      <c r="O9860" t="s">
        <v>495</v>
      </c>
      <c r="P9860" t="str">
        <f>"92612"</f>
        <v>92612</v>
      </c>
    </row>
    <row r="9861" spans="1:16" x14ac:dyDescent="0.25">
      <c r="A9861" t="str">
        <f>"1150056R00004    00"</f>
        <v>1150056R00004    00</v>
      </c>
      <c r="B9861" t="s">
        <v>21845</v>
      </c>
      <c r="C9861" t="s">
        <v>21846</v>
      </c>
      <c r="D9861" t="s">
        <v>20</v>
      </c>
      <c r="E9861" t="s">
        <v>39</v>
      </c>
      <c r="F9861">
        <v>0</v>
      </c>
      <c r="G9861">
        <v>0</v>
      </c>
      <c r="H9861">
        <v>2</v>
      </c>
      <c r="I9861" s="3">
        <v>215</v>
      </c>
      <c r="J9861" s="3">
        <v>0</v>
      </c>
      <c r="L9861">
        <v>226</v>
      </c>
      <c r="M9861" t="s">
        <v>21716</v>
      </c>
      <c r="N9861" t="s">
        <v>30</v>
      </c>
      <c r="O9861" t="s">
        <v>31</v>
      </c>
      <c r="P9861" t="str">
        <f>"15207"</f>
        <v>15207</v>
      </c>
    </row>
    <row r="9862" spans="1:16" x14ac:dyDescent="0.25">
      <c r="A9862" t="str">
        <f>"1150056R00005    00"</f>
        <v>1150056R00005    00</v>
      </c>
      <c r="B9862" t="s">
        <v>21845</v>
      </c>
      <c r="C9862" t="s">
        <v>21847</v>
      </c>
      <c r="D9862" t="s">
        <v>20</v>
      </c>
      <c r="E9862" t="s">
        <v>39</v>
      </c>
      <c r="F9862">
        <v>0</v>
      </c>
      <c r="G9862">
        <v>0</v>
      </c>
      <c r="H9862">
        <v>3</v>
      </c>
      <c r="I9862" s="3">
        <v>1200.95</v>
      </c>
      <c r="J9862" s="3">
        <v>38.15</v>
      </c>
      <c r="L9862">
        <v>226</v>
      </c>
      <c r="M9862" t="s">
        <v>21716</v>
      </c>
      <c r="N9862" t="s">
        <v>30</v>
      </c>
      <c r="O9862" t="s">
        <v>31</v>
      </c>
      <c r="P9862" t="str">
        <f>"15207"</f>
        <v>15207</v>
      </c>
    </row>
    <row r="9863" spans="1:16" x14ac:dyDescent="0.25">
      <c r="A9863" t="str">
        <f>"1150056R00007    00"</f>
        <v>1150056R00007    00</v>
      </c>
      <c r="B9863" t="s">
        <v>21848</v>
      </c>
      <c r="C9863" t="s">
        <v>21849</v>
      </c>
      <c r="D9863" t="s">
        <v>20</v>
      </c>
      <c r="E9863" t="s">
        <v>39</v>
      </c>
      <c r="F9863">
        <v>0</v>
      </c>
      <c r="G9863">
        <v>0</v>
      </c>
      <c r="H9863">
        <v>19</v>
      </c>
      <c r="I9863" s="3">
        <v>3256.02</v>
      </c>
      <c r="J9863" s="3">
        <v>3980.99</v>
      </c>
      <c r="P9863" t="str">
        <f>""</f>
        <v/>
      </c>
    </row>
    <row r="9864" spans="1:16" x14ac:dyDescent="0.25">
      <c r="A9864" t="str">
        <f>"1150056R00013    00"</f>
        <v>1150056R00013    00</v>
      </c>
      <c r="B9864" t="s">
        <v>21694</v>
      </c>
      <c r="C9864" t="s">
        <v>21850</v>
      </c>
      <c r="D9864" t="s">
        <v>20</v>
      </c>
      <c r="E9864" t="s">
        <v>39</v>
      </c>
      <c r="F9864">
        <v>0</v>
      </c>
      <c r="G9864">
        <v>0</v>
      </c>
      <c r="H9864">
        <v>2</v>
      </c>
      <c r="I9864" s="3">
        <v>1383.78</v>
      </c>
      <c r="J9864" s="3">
        <v>0</v>
      </c>
      <c r="K9864" t="s">
        <v>21696</v>
      </c>
      <c r="L9864">
        <v>300</v>
      </c>
      <c r="M9864" t="s">
        <v>21697</v>
      </c>
      <c r="N9864" t="s">
        <v>30</v>
      </c>
      <c r="O9864" t="s">
        <v>31</v>
      </c>
      <c r="P9864" t="str">
        <f>"15236"</f>
        <v>15236</v>
      </c>
    </row>
    <row r="9865" spans="1:16" x14ac:dyDescent="0.25">
      <c r="A9865" t="str">
        <f>"1150056R00014    00"</f>
        <v>1150056R00014    00</v>
      </c>
      <c r="B9865" t="s">
        <v>21851</v>
      </c>
      <c r="C9865" t="s">
        <v>21849</v>
      </c>
      <c r="D9865" t="s">
        <v>20</v>
      </c>
      <c r="E9865" t="s">
        <v>207</v>
      </c>
      <c r="F9865">
        <v>0</v>
      </c>
      <c r="G9865">
        <v>0</v>
      </c>
      <c r="H9865">
        <v>2</v>
      </c>
      <c r="I9865" s="3">
        <v>26.7</v>
      </c>
      <c r="J9865" s="3">
        <v>0</v>
      </c>
      <c r="K9865" t="s">
        <v>21696</v>
      </c>
      <c r="L9865">
        <v>300</v>
      </c>
      <c r="M9865" t="s">
        <v>21697</v>
      </c>
      <c r="N9865" t="s">
        <v>30</v>
      </c>
      <c r="O9865" t="s">
        <v>31</v>
      </c>
      <c r="P9865" t="str">
        <f>"15236"</f>
        <v>15236</v>
      </c>
    </row>
    <row r="9866" spans="1:16" x14ac:dyDescent="0.25">
      <c r="A9866" t="str">
        <f>"1150056R00042    00"</f>
        <v>1150056R00042    00</v>
      </c>
      <c r="B9866" t="s">
        <v>21852</v>
      </c>
      <c r="C9866" t="s">
        <v>21853</v>
      </c>
      <c r="D9866" t="s">
        <v>20</v>
      </c>
      <c r="E9866" t="s">
        <v>39</v>
      </c>
      <c r="F9866">
        <v>0</v>
      </c>
      <c r="G9866">
        <v>0</v>
      </c>
      <c r="H9866">
        <v>1</v>
      </c>
      <c r="I9866" s="3">
        <v>629</v>
      </c>
      <c r="J9866" s="3">
        <v>0</v>
      </c>
      <c r="K9866" t="s">
        <v>9114</v>
      </c>
      <c r="M9866" t="s">
        <v>9115</v>
      </c>
      <c r="N9866" t="s">
        <v>264</v>
      </c>
      <c r="O9866" t="s">
        <v>25</v>
      </c>
      <c r="P9866" t="str">
        <f>"45263"</f>
        <v>45263</v>
      </c>
    </row>
    <row r="9867" spans="1:16" x14ac:dyDescent="0.25">
      <c r="A9867" t="str">
        <f>"1150056R00046    00"</f>
        <v>1150056R00046    00</v>
      </c>
      <c r="B9867" t="s">
        <v>21854</v>
      </c>
      <c r="C9867" t="s">
        <v>21855</v>
      </c>
      <c r="D9867" t="s">
        <v>20</v>
      </c>
      <c r="E9867" t="s">
        <v>39</v>
      </c>
      <c r="F9867">
        <v>0</v>
      </c>
      <c r="G9867">
        <v>0</v>
      </c>
      <c r="H9867">
        <v>2</v>
      </c>
      <c r="I9867" s="3">
        <v>216.74</v>
      </c>
      <c r="J9867" s="3">
        <v>0</v>
      </c>
      <c r="L9867">
        <v>241</v>
      </c>
      <c r="M9867" t="s">
        <v>21475</v>
      </c>
      <c r="N9867" t="s">
        <v>30</v>
      </c>
      <c r="O9867" t="s">
        <v>31</v>
      </c>
      <c r="P9867" t="str">
        <f>"15207"</f>
        <v>15207</v>
      </c>
    </row>
    <row r="9868" spans="1:16" x14ac:dyDescent="0.25">
      <c r="A9868" t="str">
        <f>"1150056R00050    00"</f>
        <v>1150056R00050    00</v>
      </c>
      <c r="B9868" t="s">
        <v>21856</v>
      </c>
      <c r="C9868" t="s">
        <v>21857</v>
      </c>
      <c r="D9868" t="s">
        <v>20</v>
      </c>
      <c r="E9868" t="s">
        <v>39</v>
      </c>
      <c r="F9868">
        <v>0</v>
      </c>
      <c r="G9868">
        <v>0</v>
      </c>
      <c r="H9868">
        <v>11</v>
      </c>
      <c r="I9868" s="3">
        <v>1209.02</v>
      </c>
      <c r="J9868" s="3">
        <v>563.09</v>
      </c>
      <c r="L9868">
        <v>233</v>
      </c>
      <c r="M9868" t="s">
        <v>21475</v>
      </c>
      <c r="N9868" t="s">
        <v>30</v>
      </c>
      <c r="O9868" t="s">
        <v>31</v>
      </c>
      <c r="P9868" t="str">
        <f>"15207"</f>
        <v>15207</v>
      </c>
    </row>
    <row r="9869" spans="1:16" x14ac:dyDescent="0.25">
      <c r="A9869" t="str">
        <f>"1150056R00051    00"</f>
        <v>1150056R00051    00</v>
      </c>
      <c r="B9869" t="s">
        <v>21858</v>
      </c>
      <c r="C9869" t="s">
        <v>21859</v>
      </c>
      <c r="E9869" t="s">
        <v>39</v>
      </c>
      <c r="F9869">
        <v>0</v>
      </c>
      <c r="G9869">
        <v>0</v>
      </c>
      <c r="H9869">
        <v>14</v>
      </c>
      <c r="I9869" s="3">
        <v>11640.44</v>
      </c>
      <c r="J9869" s="3">
        <v>14413.33</v>
      </c>
      <c r="L9869">
        <v>240</v>
      </c>
      <c r="M9869" t="s">
        <v>21475</v>
      </c>
      <c r="N9869" t="s">
        <v>30</v>
      </c>
      <c r="O9869" t="s">
        <v>31</v>
      </c>
      <c r="P9869" t="str">
        <f>"15207"</f>
        <v>15207</v>
      </c>
    </row>
    <row r="9870" spans="1:16" x14ac:dyDescent="0.25">
      <c r="A9870" t="str">
        <f>"1150056R00068    00"</f>
        <v>1150056R00068    00</v>
      </c>
      <c r="B9870" t="s">
        <v>21860</v>
      </c>
      <c r="C9870" t="s">
        <v>21861</v>
      </c>
      <c r="D9870" t="s">
        <v>20</v>
      </c>
      <c r="E9870" t="s">
        <v>39</v>
      </c>
      <c r="F9870">
        <v>0</v>
      </c>
      <c r="G9870">
        <v>0</v>
      </c>
      <c r="H9870">
        <v>17</v>
      </c>
      <c r="I9870" s="3">
        <v>12071.79</v>
      </c>
      <c r="J9870" s="3">
        <v>14840.92</v>
      </c>
      <c r="K9870" t="s">
        <v>1008</v>
      </c>
      <c r="P9870" t="str">
        <f>""</f>
        <v/>
      </c>
    </row>
    <row r="9871" spans="1:16" x14ac:dyDescent="0.25">
      <c r="A9871" t="str">
        <f>"1150056R00071    00"</f>
        <v>1150056R00071    00</v>
      </c>
      <c r="B9871" t="s">
        <v>21862</v>
      </c>
      <c r="C9871" t="s">
        <v>21861</v>
      </c>
      <c r="D9871" t="s">
        <v>20</v>
      </c>
      <c r="E9871" t="s">
        <v>39</v>
      </c>
      <c r="F9871">
        <v>0</v>
      </c>
      <c r="G9871">
        <v>0</v>
      </c>
      <c r="H9871">
        <v>2</v>
      </c>
      <c r="I9871" s="3">
        <v>48.44</v>
      </c>
      <c r="J9871" s="3">
        <v>0</v>
      </c>
      <c r="L9871">
        <v>238</v>
      </c>
      <c r="M9871" t="s">
        <v>21475</v>
      </c>
      <c r="N9871" t="s">
        <v>30</v>
      </c>
      <c r="O9871" t="s">
        <v>31</v>
      </c>
      <c r="P9871" t="str">
        <f>"15207"</f>
        <v>15207</v>
      </c>
    </row>
    <row r="9872" spans="1:16" x14ac:dyDescent="0.25">
      <c r="A9872" t="str">
        <f>"1150056R00081    00"</f>
        <v>1150056R00081    00</v>
      </c>
      <c r="B9872" t="s">
        <v>21863</v>
      </c>
      <c r="C9872" t="s">
        <v>21864</v>
      </c>
      <c r="D9872" t="s">
        <v>20</v>
      </c>
      <c r="E9872" t="s">
        <v>39</v>
      </c>
      <c r="F9872">
        <v>0</v>
      </c>
      <c r="G9872">
        <v>0</v>
      </c>
      <c r="H9872">
        <v>4</v>
      </c>
      <c r="I9872" s="3">
        <v>795.32</v>
      </c>
      <c r="J9872" s="3">
        <v>120.05</v>
      </c>
      <c r="L9872">
        <v>245</v>
      </c>
      <c r="M9872" t="s">
        <v>21599</v>
      </c>
      <c r="N9872" t="s">
        <v>30</v>
      </c>
      <c r="O9872" t="s">
        <v>31</v>
      </c>
      <c r="P9872" t="str">
        <f>"15207"</f>
        <v>15207</v>
      </c>
    </row>
    <row r="9873" spans="1:16" x14ac:dyDescent="0.25">
      <c r="A9873" t="str">
        <f>"1150056R00088    00"</f>
        <v>1150056R00088    00</v>
      </c>
      <c r="B9873" t="s">
        <v>21865</v>
      </c>
      <c r="C9873" t="s">
        <v>21866</v>
      </c>
      <c r="E9873" t="s">
        <v>39</v>
      </c>
      <c r="F9873">
        <v>0</v>
      </c>
      <c r="G9873">
        <v>0</v>
      </c>
      <c r="H9873">
        <v>3</v>
      </c>
      <c r="I9873" s="3">
        <v>1361.85</v>
      </c>
      <c r="J9873" s="3">
        <v>581.16999999999996</v>
      </c>
      <c r="L9873">
        <v>1120</v>
      </c>
      <c r="M9873" t="s">
        <v>21867</v>
      </c>
      <c r="N9873" t="s">
        <v>3934</v>
      </c>
      <c r="O9873" t="s">
        <v>31</v>
      </c>
      <c r="P9873" t="str">
        <f>"15102"</f>
        <v>15102</v>
      </c>
    </row>
    <row r="9874" spans="1:16" x14ac:dyDescent="0.25">
      <c r="A9874" t="str">
        <f>"1150056R00098    00"</f>
        <v>1150056R00098    00</v>
      </c>
      <c r="B9874" t="s">
        <v>21868</v>
      </c>
      <c r="C9874" t="s">
        <v>21869</v>
      </c>
      <c r="D9874" t="s">
        <v>20</v>
      </c>
      <c r="E9874" t="s">
        <v>39</v>
      </c>
      <c r="F9874">
        <v>0</v>
      </c>
      <c r="G9874">
        <v>0</v>
      </c>
      <c r="H9874">
        <v>19</v>
      </c>
      <c r="I9874" s="3">
        <v>329.07</v>
      </c>
      <c r="J9874" s="3">
        <v>353.93</v>
      </c>
      <c r="L9874">
        <v>222</v>
      </c>
      <c r="M9874" t="s">
        <v>13437</v>
      </c>
      <c r="N9874" t="s">
        <v>30</v>
      </c>
      <c r="O9874" t="s">
        <v>31</v>
      </c>
      <c r="P9874" t="str">
        <f>"15207"</f>
        <v>15207</v>
      </c>
    </row>
    <row r="9875" spans="1:16" x14ac:dyDescent="0.25">
      <c r="A9875" t="str">
        <f>"1150056R00099    00"</f>
        <v>1150056R00099    00</v>
      </c>
      <c r="B9875" t="s">
        <v>21870</v>
      </c>
      <c r="C9875" t="s">
        <v>21871</v>
      </c>
      <c r="D9875" t="s">
        <v>20</v>
      </c>
      <c r="E9875" t="s">
        <v>39</v>
      </c>
      <c r="F9875">
        <v>0</v>
      </c>
      <c r="G9875">
        <v>0</v>
      </c>
      <c r="H9875">
        <v>4</v>
      </c>
      <c r="I9875" s="3">
        <v>1880.38</v>
      </c>
      <c r="J9875" s="3">
        <v>129.16</v>
      </c>
      <c r="K9875" t="s">
        <v>391</v>
      </c>
      <c r="L9875">
        <v>1</v>
      </c>
      <c r="M9875" t="s">
        <v>392</v>
      </c>
      <c r="N9875" t="s">
        <v>393</v>
      </c>
      <c r="O9875" t="s">
        <v>394</v>
      </c>
      <c r="P9875" t="str">
        <f>"50328"</f>
        <v>50328</v>
      </c>
    </row>
    <row r="9876" spans="1:16" x14ac:dyDescent="0.25">
      <c r="A9876" t="str">
        <f>"1150056R00100    00"</f>
        <v>1150056R00100    00</v>
      </c>
      <c r="B9876" t="s">
        <v>21097</v>
      </c>
      <c r="C9876" t="s">
        <v>21869</v>
      </c>
      <c r="D9876" t="s">
        <v>20</v>
      </c>
      <c r="E9876" t="s">
        <v>39</v>
      </c>
      <c r="F9876">
        <v>0</v>
      </c>
      <c r="G9876">
        <v>0</v>
      </c>
      <c r="H9876">
        <v>17</v>
      </c>
      <c r="I9876" s="3">
        <v>743.59</v>
      </c>
      <c r="J9876" s="3">
        <v>465.87</v>
      </c>
      <c r="L9876">
        <v>4321</v>
      </c>
      <c r="M9876" t="s">
        <v>21872</v>
      </c>
      <c r="N9876" t="s">
        <v>30</v>
      </c>
      <c r="O9876" t="s">
        <v>31</v>
      </c>
      <c r="P9876" t="str">
        <f>"15217"</f>
        <v>15217</v>
      </c>
    </row>
    <row r="9877" spans="1:16" x14ac:dyDescent="0.25">
      <c r="A9877" t="str">
        <f>"1150056R00101    00"</f>
        <v>1150056R00101    00</v>
      </c>
      <c r="B9877" t="s">
        <v>21873</v>
      </c>
      <c r="C9877" t="s">
        <v>21869</v>
      </c>
      <c r="D9877" t="s">
        <v>20</v>
      </c>
      <c r="E9877" t="s">
        <v>39</v>
      </c>
      <c r="F9877">
        <v>0</v>
      </c>
      <c r="G9877">
        <v>0</v>
      </c>
      <c r="H9877">
        <v>19</v>
      </c>
      <c r="I9877" s="3">
        <v>4817.8100000000004</v>
      </c>
      <c r="J9877" s="3">
        <v>6539.42</v>
      </c>
      <c r="K9877" t="s">
        <v>1008</v>
      </c>
      <c r="P9877" t="str">
        <f>""</f>
        <v/>
      </c>
    </row>
    <row r="9878" spans="1:16" x14ac:dyDescent="0.25">
      <c r="A9878" t="str">
        <f>"1150056R00103    00"</f>
        <v>1150056R00103    00</v>
      </c>
      <c r="B9878" t="s">
        <v>14945</v>
      </c>
      <c r="C9878" t="s">
        <v>21869</v>
      </c>
      <c r="D9878" t="s">
        <v>20</v>
      </c>
      <c r="E9878" t="s">
        <v>39</v>
      </c>
      <c r="F9878">
        <v>0</v>
      </c>
      <c r="G9878">
        <v>0</v>
      </c>
      <c r="H9878">
        <v>17</v>
      </c>
      <c r="I9878" s="3">
        <v>3412.72</v>
      </c>
      <c r="J9878" s="3">
        <v>5225.8</v>
      </c>
      <c r="L9878">
        <v>415</v>
      </c>
      <c r="M9878" t="s">
        <v>14946</v>
      </c>
      <c r="N9878" t="s">
        <v>30</v>
      </c>
      <c r="O9878" t="s">
        <v>31</v>
      </c>
      <c r="P9878" t="str">
        <f>"15221"</f>
        <v>15221</v>
      </c>
    </row>
    <row r="9879" spans="1:16" x14ac:dyDescent="0.25">
      <c r="A9879" t="str">
        <f>"1150056R00105    00"</f>
        <v>1150056R00105    00</v>
      </c>
      <c r="B9879" t="s">
        <v>21874</v>
      </c>
      <c r="C9879" t="s">
        <v>21875</v>
      </c>
      <c r="D9879" t="s">
        <v>20</v>
      </c>
      <c r="E9879" t="s">
        <v>39</v>
      </c>
      <c r="F9879">
        <v>0</v>
      </c>
      <c r="G9879">
        <v>0</v>
      </c>
      <c r="H9879">
        <v>4</v>
      </c>
      <c r="I9879" s="3">
        <v>499.92</v>
      </c>
      <c r="J9879" s="3">
        <v>132.44999999999999</v>
      </c>
      <c r="K9879" t="s">
        <v>21876</v>
      </c>
      <c r="L9879">
        <v>1919</v>
      </c>
      <c r="M9879" t="s">
        <v>7990</v>
      </c>
      <c r="N9879" t="s">
        <v>6603</v>
      </c>
      <c r="O9879" t="s">
        <v>31</v>
      </c>
      <c r="P9879" t="str">
        <f>"15122"</f>
        <v>15122</v>
      </c>
    </row>
    <row r="9880" spans="1:16" x14ac:dyDescent="0.25">
      <c r="A9880" t="str">
        <f>"1150056R00113    00"</f>
        <v>1150056R00113    00</v>
      </c>
      <c r="B9880" t="s">
        <v>21877</v>
      </c>
      <c r="C9880" t="s">
        <v>21869</v>
      </c>
      <c r="E9880" t="s">
        <v>39</v>
      </c>
      <c r="F9880">
        <v>0</v>
      </c>
      <c r="G9880">
        <v>0</v>
      </c>
      <c r="H9880">
        <v>2</v>
      </c>
      <c r="I9880" s="3">
        <v>25.18</v>
      </c>
      <c r="J9880" s="3">
        <v>16.73</v>
      </c>
      <c r="L9880">
        <v>246</v>
      </c>
      <c r="M9880" t="s">
        <v>21599</v>
      </c>
      <c r="N9880" t="s">
        <v>30</v>
      </c>
      <c r="O9880" t="s">
        <v>31</v>
      </c>
      <c r="P9880" t="str">
        <f>"15207"</f>
        <v>15207</v>
      </c>
    </row>
    <row r="9881" spans="1:16" x14ac:dyDescent="0.25">
      <c r="A9881" t="str">
        <f>"1150056R00129    00"</f>
        <v>1150056R00129    00</v>
      </c>
      <c r="B9881" t="s">
        <v>21878</v>
      </c>
      <c r="C9881" t="s">
        <v>21879</v>
      </c>
      <c r="D9881" t="s">
        <v>20</v>
      </c>
      <c r="E9881" t="s">
        <v>39</v>
      </c>
      <c r="F9881">
        <v>0</v>
      </c>
      <c r="G9881">
        <v>0</v>
      </c>
      <c r="H9881">
        <v>1</v>
      </c>
      <c r="I9881" s="3">
        <v>280.8</v>
      </c>
      <c r="J9881" s="3">
        <v>0</v>
      </c>
      <c r="K9881" t="s">
        <v>21880</v>
      </c>
      <c r="L9881">
        <v>1609</v>
      </c>
      <c r="M9881" t="s">
        <v>21881</v>
      </c>
      <c r="N9881" t="s">
        <v>6987</v>
      </c>
      <c r="O9881" t="s">
        <v>370</v>
      </c>
      <c r="P9881" t="str">
        <f>"34231"</f>
        <v>34231</v>
      </c>
    </row>
    <row r="9882" spans="1:16" x14ac:dyDescent="0.25">
      <c r="A9882" t="str">
        <f>"1150056R00134    00"</f>
        <v>1150056R00134    00</v>
      </c>
      <c r="B9882" t="s">
        <v>21882</v>
      </c>
      <c r="C9882" t="s">
        <v>21883</v>
      </c>
      <c r="E9882" t="s">
        <v>39</v>
      </c>
      <c r="F9882">
        <v>0</v>
      </c>
      <c r="G9882">
        <v>0</v>
      </c>
      <c r="H9882">
        <v>4</v>
      </c>
      <c r="I9882" s="3">
        <v>519.9</v>
      </c>
      <c r="J9882" s="3">
        <v>12.99</v>
      </c>
      <c r="K9882" t="s">
        <v>21884</v>
      </c>
      <c r="L9882">
        <v>1669</v>
      </c>
      <c r="M9882" t="s">
        <v>21885</v>
      </c>
      <c r="N9882" t="s">
        <v>6603</v>
      </c>
      <c r="O9882" t="s">
        <v>31</v>
      </c>
      <c r="P9882" t="str">
        <f>"15122"</f>
        <v>15122</v>
      </c>
    </row>
    <row r="9883" spans="1:16" x14ac:dyDescent="0.25">
      <c r="A9883" t="str">
        <f>"1150056R00134A   00"</f>
        <v>1150056R00134A   00</v>
      </c>
      <c r="B9883" t="s">
        <v>21886</v>
      </c>
      <c r="C9883" t="s">
        <v>21883</v>
      </c>
      <c r="D9883" t="s">
        <v>20</v>
      </c>
      <c r="E9883" t="s">
        <v>39</v>
      </c>
      <c r="F9883">
        <v>0</v>
      </c>
      <c r="G9883">
        <v>0</v>
      </c>
      <c r="H9883">
        <v>10</v>
      </c>
      <c r="I9883" s="3">
        <v>2332.92</v>
      </c>
      <c r="J9883" s="3">
        <v>1573.56</v>
      </c>
      <c r="K9883" t="s">
        <v>21887</v>
      </c>
      <c r="L9883">
        <v>228</v>
      </c>
      <c r="M9883" t="s">
        <v>21127</v>
      </c>
      <c r="N9883" t="s">
        <v>30</v>
      </c>
      <c r="O9883" t="s">
        <v>31</v>
      </c>
      <c r="P9883" t="str">
        <f>"15207"</f>
        <v>15207</v>
      </c>
    </row>
    <row r="9884" spans="1:16" x14ac:dyDescent="0.25">
      <c r="A9884" t="str">
        <f>"1150056R00135    00"</f>
        <v>1150056R00135    00</v>
      </c>
      <c r="B9884" t="s">
        <v>21888</v>
      </c>
      <c r="C9884" t="s">
        <v>21889</v>
      </c>
      <c r="E9884" t="s">
        <v>39</v>
      </c>
      <c r="F9884">
        <v>0</v>
      </c>
      <c r="G9884">
        <v>0</v>
      </c>
      <c r="H9884">
        <v>9</v>
      </c>
      <c r="I9884" s="3">
        <v>884.72</v>
      </c>
      <c r="J9884" s="3">
        <v>1253.3800000000001</v>
      </c>
      <c r="K9884" t="s">
        <v>21890</v>
      </c>
      <c r="L9884">
        <v>228</v>
      </c>
      <c r="M9884" t="s">
        <v>21127</v>
      </c>
      <c r="N9884" t="s">
        <v>30</v>
      </c>
      <c r="O9884" t="s">
        <v>31</v>
      </c>
      <c r="P9884" t="str">
        <f>"15207"</f>
        <v>15207</v>
      </c>
    </row>
    <row r="9885" spans="1:16" x14ac:dyDescent="0.25">
      <c r="A9885" t="str">
        <f>"1150056R00138    00"</f>
        <v>1150056R00138    00</v>
      </c>
      <c r="B9885" t="s">
        <v>21891</v>
      </c>
      <c r="C9885" t="s">
        <v>21892</v>
      </c>
      <c r="D9885" t="s">
        <v>20</v>
      </c>
      <c r="E9885" t="s">
        <v>39</v>
      </c>
      <c r="F9885">
        <v>0</v>
      </c>
      <c r="G9885">
        <v>0</v>
      </c>
      <c r="H9885">
        <v>2</v>
      </c>
      <c r="I9885" s="3">
        <v>836.13</v>
      </c>
      <c r="J9885" s="3">
        <v>0</v>
      </c>
      <c r="K9885" t="s">
        <v>21893</v>
      </c>
      <c r="L9885">
        <v>1669</v>
      </c>
      <c r="M9885" t="s">
        <v>21885</v>
      </c>
      <c r="N9885" t="s">
        <v>6603</v>
      </c>
      <c r="O9885" t="s">
        <v>31</v>
      </c>
      <c r="P9885" t="str">
        <f>"15122"</f>
        <v>15122</v>
      </c>
    </row>
    <row r="9886" spans="1:16" x14ac:dyDescent="0.25">
      <c r="A9886" t="str">
        <f>"1150056R00141    00"</f>
        <v>1150056R00141    00</v>
      </c>
      <c r="B9886" t="s">
        <v>21894</v>
      </c>
      <c r="C9886" t="s">
        <v>21895</v>
      </c>
      <c r="D9886" t="s">
        <v>20</v>
      </c>
      <c r="E9886" t="s">
        <v>39</v>
      </c>
      <c r="F9886">
        <v>0</v>
      </c>
      <c r="G9886">
        <v>0</v>
      </c>
      <c r="H9886">
        <v>8</v>
      </c>
      <c r="I9886" s="3">
        <v>4697.1499999999996</v>
      </c>
      <c r="J9886" s="3">
        <v>2818.54</v>
      </c>
      <c r="K9886" t="s">
        <v>21896</v>
      </c>
      <c r="L9886">
        <v>231</v>
      </c>
      <c r="M9886" t="s">
        <v>21127</v>
      </c>
      <c r="N9886" t="s">
        <v>30</v>
      </c>
      <c r="O9886" t="s">
        <v>31</v>
      </c>
      <c r="P9886" t="str">
        <f>"15207"</f>
        <v>15207</v>
      </c>
    </row>
    <row r="9887" spans="1:16" x14ac:dyDescent="0.25">
      <c r="A9887" t="str">
        <f>"1150056R00206    00"</f>
        <v>1150056R00206    00</v>
      </c>
      <c r="B9887" t="s">
        <v>21897</v>
      </c>
      <c r="C9887" t="s">
        <v>21898</v>
      </c>
      <c r="E9887" t="s">
        <v>39</v>
      </c>
      <c r="F9887">
        <v>0</v>
      </c>
      <c r="G9887">
        <v>0</v>
      </c>
      <c r="H9887">
        <v>2</v>
      </c>
      <c r="I9887" s="3">
        <v>505.66</v>
      </c>
      <c r="J9887" s="3">
        <v>166.9</v>
      </c>
      <c r="K9887" t="s">
        <v>21899</v>
      </c>
      <c r="L9887">
        <v>1914</v>
      </c>
      <c r="M9887" t="s">
        <v>21900</v>
      </c>
      <c r="N9887" t="s">
        <v>30</v>
      </c>
      <c r="O9887" t="s">
        <v>31</v>
      </c>
      <c r="P9887" t="str">
        <f>"15217"</f>
        <v>15217</v>
      </c>
    </row>
    <row r="9888" spans="1:16" x14ac:dyDescent="0.25">
      <c r="A9888" t="str">
        <f>"1150056R00212    00"</f>
        <v>1150056R00212    00</v>
      </c>
      <c r="B9888" t="s">
        <v>21558</v>
      </c>
      <c r="C9888" t="s">
        <v>21901</v>
      </c>
      <c r="D9888" t="s">
        <v>20</v>
      </c>
      <c r="E9888" t="s">
        <v>39</v>
      </c>
      <c r="F9888">
        <v>0</v>
      </c>
      <c r="G9888">
        <v>0</v>
      </c>
      <c r="H9888">
        <v>1</v>
      </c>
      <c r="I9888" s="3">
        <v>290.99</v>
      </c>
      <c r="J9888" s="3">
        <v>0</v>
      </c>
      <c r="L9888">
        <v>44</v>
      </c>
      <c r="M9888" t="s">
        <v>21554</v>
      </c>
      <c r="N9888" t="s">
        <v>30</v>
      </c>
      <c r="O9888" t="s">
        <v>31</v>
      </c>
      <c r="P9888" t="str">
        <f>"15207"</f>
        <v>15207</v>
      </c>
    </row>
    <row r="9889" spans="1:16" x14ac:dyDescent="0.25">
      <c r="A9889" t="str">
        <f>"1150056R00213    00"</f>
        <v>1150056R00213    00</v>
      </c>
      <c r="B9889" t="s">
        <v>21902</v>
      </c>
      <c r="C9889" t="s">
        <v>21869</v>
      </c>
      <c r="D9889" t="s">
        <v>20</v>
      </c>
      <c r="E9889" t="s">
        <v>39</v>
      </c>
      <c r="F9889">
        <v>0</v>
      </c>
      <c r="G9889">
        <v>0</v>
      </c>
      <c r="H9889">
        <v>17</v>
      </c>
      <c r="I9889" s="3">
        <v>2398.5700000000002</v>
      </c>
      <c r="J9889" s="3">
        <v>2768.97</v>
      </c>
      <c r="L9889">
        <v>123</v>
      </c>
      <c r="M9889" t="s">
        <v>21903</v>
      </c>
      <c r="N9889" t="s">
        <v>21904</v>
      </c>
      <c r="O9889" t="s">
        <v>108</v>
      </c>
      <c r="P9889" t="str">
        <f>"78209"</f>
        <v>78209</v>
      </c>
    </row>
    <row r="9890" spans="1:16" x14ac:dyDescent="0.25">
      <c r="A9890" t="str">
        <f>"1150056R00214    00"</f>
        <v>1150056R00214    00</v>
      </c>
      <c r="B9890" t="s">
        <v>21905</v>
      </c>
      <c r="C9890" t="s">
        <v>21869</v>
      </c>
      <c r="D9890" t="s">
        <v>20</v>
      </c>
      <c r="E9890" t="s">
        <v>39</v>
      </c>
      <c r="F9890">
        <v>0</v>
      </c>
      <c r="G9890">
        <v>0</v>
      </c>
      <c r="H9890">
        <v>19</v>
      </c>
      <c r="I9890" s="3">
        <v>6354.9</v>
      </c>
      <c r="J9890" s="3">
        <v>8806.41</v>
      </c>
      <c r="L9890">
        <v>307</v>
      </c>
      <c r="M9890" t="s">
        <v>21127</v>
      </c>
      <c r="N9890" t="s">
        <v>30</v>
      </c>
      <c r="O9890" t="s">
        <v>31</v>
      </c>
      <c r="P9890" t="str">
        <f>"15207"</f>
        <v>15207</v>
      </c>
    </row>
    <row r="9891" spans="1:16" x14ac:dyDescent="0.25">
      <c r="A9891" t="str">
        <f>"1150056R00221    00"</f>
        <v>1150056R00221    00</v>
      </c>
      <c r="B9891" t="s">
        <v>21906</v>
      </c>
      <c r="C9891" t="s">
        <v>21907</v>
      </c>
      <c r="D9891" t="s">
        <v>20</v>
      </c>
      <c r="E9891" t="s">
        <v>39</v>
      </c>
      <c r="F9891">
        <v>0</v>
      </c>
      <c r="G9891">
        <v>0</v>
      </c>
      <c r="H9891">
        <v>1</v>
      </c>
      <c r="I9891" s="3">
        <v>470.79</v>
      </c>
      <c r="J9891" s="3">
        <v>0</v>
      </c>
      <c r="L9891">
        <v>300</v>
      </c>
      <c r="M9891" t="s">
        <v>21599</v>
      </c>
      <c r="N9891" t="s">
        <v>30</v>
      </c>
      <c r="O9891" t="s">
        <v>31</v>
      </c>
      <c r="P9891" t="str">
        <f>"15207"</f>
        <v>15207</v>
      </c>
    </row>
    <row r="9892" spans="1:16" x14ac:dyDescent="0.25">
      <c r="A9892" t="str">
        <f>"1150056R00222    00"</f>
        <v>1150056R00222    00</v>
      </c>
      <c r="B9892" t="s">
        <v>21908</v>
      </c>
      <c r="C9892" t="s">
        <v>21869</v>
      </c>
      <c r="D9892" t="s">
        <v>20</v>
      </c>
      <c r="E9892" t="s">
        <v>39</v>
      </c>
      <c r="F9892">
        <v>0</v>
      </c>
      <c r="G9892">
        <v>0</v>
      </c>
      <c r="H9892">
        <v>18</v>
      </c>
      <c r="I9892" s="3">
        <v>4213.42</v>
      </c>
      <c r="J9892" s="3">
        <v>5605.96</v>
      </c>
      <c r="L9892">
        <v>492</v>
      </c>
      <c r="M9892" t="s">
        <v>21909</v>
      </c>
      <c r="N9892" t="s">
        <v>21910</v>
      </c>
      <c r="O9892" t="s">
        <v>606</v>
      </c>
      <c r="P9892" t="str">
        <f>"30107"</f>
        <v>30107</v>
      </c>
    </row>
    <row r="9893" spans="1:16" x14ac:dyDescent="0.25">
      <c r="A9893" t="str">
        <f>"1150056R00224    00"</f>
        <v>1150056R00224    00</v>
      </c>
      <c r="B9893" t="s">
        <v>21911</v>
      </c>
      <c r="C9893" t="s">
        <v>21912</v>
      </c>
      <c r="D9893" t="s">
        <v>20</v>
      </c>
      <c r="E9893" t="s">
        <v>39</v>
      </c>
      <c r="F9893">
        <v>0</v>
      </c>
      <c r="G9893">
        <v>0</v>
      </c>
      <c r="H9893">
        <v>1</v>
      </c>
      <c r="I9893" s="3">
        <v>39.65</v>
      </c>
      <c r="J9893" s="3">
        <v>0</v>
      </c>
      <c r="L9893">
        <v>306</v>
      </c>
      <c r="M9893" t="s">
        <v>21599</v>
      </c>
      <c r="N9893" t="s">
        <v>30</v>
      </c>
      <c r="O9893" t="s">
        <v>31</v>
      </c>
      <c r="P9893" t="str">
        <f t="shared" ref="P9893:P9898" si="114">"15207"</f>
        <v>15207</v>
      </c>
    </row>
    <row r="9894" spans="1:16" x14ac:dyDescent="0.25">
      <c r="A9894" t="str">
        <f>"1150056R00239    00"</f>
        <v>1150056R00239    00</v>
      </c>
      <c r="B9894" t="s">
        <v>21913</v>
      </c>
      <c r="C9894" t="s">
        <v>21914</v>
      </c>
      <c r="E9894" t="s">
        <v>39</v>
      </c>
      <c r="F9894">
        <v>0</v>
      </c>
      <c r="G9894">
        <v>0</v>
      </c>
      <c r="H9894">
        <v>3</v>
      </c>
      <c r="I9894" s="3">
        <v>1817.11</v>
      </c>
      <c r="J9894" s="3">
        <v>709.35</v>
      </c>
      <c r="L9894">
        <v>309</v>
      </c>
      <c r="M9894" t="s">
        <v>21599</v>
      </c>
      <c r="N9894" t="s">
        <v>30</v>
      </c>
      <c r="O9894" t="s">
        <v>31</v>
      </c>
      <c r="P9894" t="str">
        <f t="shared" si="114"/>
        <v>15207</v>
      </c>
    </row>
    <row r="9895" spans="1:16" x14ac:dyDescent="0.25">
      <c r="A9895" t="str">
        <f>"1150056R00243    00"</f>
        <v>1150056R00243    00</v>
      </c>
      <c r="B9895" t="s">
        <v>21915</v>
      </c>
      <c r="C9895" t="s">
        <v>21916</v>
      </c>
      <c r="E9895" t="s">
        <v>39</v>
      </c>
      <c r="F9895">
        <v>0</v>
      </c>
      <c r="G9895">
        <v>0</v>
      </c>
      <c r="H9895">
        <v>1</v>
      </c>
      <c r="I9895" s="3">
        <v>792.89</v>
      </c>
      <c r="J9895" s="3">
        <v>0</v>
      </c>
      <c r="K9895" t="s">
        <v>21917</v>
      </c>
      <c r="L9895">
        <v>245</v>
      </c>
      <c r="M9895" t="s">
        <v>21127</v>
      </c>
      <c r="N9895" t="s">
        <v>30</v>
      </c>
      <c r="O9895" t="s">
        <v>31</v>
      </c>
      <c r="P9895" t="str">
        <f t="shared" si="114"/>
        <v>15207</v>
      </c>
    </row>
    <row r="9896" spans="1:16" x14ac:dyDescent="0.25">
      <c r="A9896" t="str">
        <f>"1150056R00264    00"</f>
        <v>1150056R00264    00</v>
      </c>
      <c r="B9896" t="s">
        <v>21918</v>
      </c>
      <c r="C9896" t="s">
        <v>21919</v>
      </c>
      <c r="E9896" t="s">
        <v>39</v>
      </c>
      <c r="F9896">
        <v>0</v>
      </c>
      <c r="G9896">
        <v>0</v>
      </c>
      <c r="H9896">
        <v>1</v>
      </c>
      <c r="I9896" s="3">
        <v>74.540000000000006</v>
      </c>
      <c r="J9896" s="3">
        <v>0</v>
      </c>
      <c r="L9896">
        <v>330</v>
      </c>
      <c r="M9896" t="s">
        <v>21716</v>
      </c>
      <c r="N9896" t="s">
        <v>30</v>
      </c>
      <c r="O9896" t="s">
        <v>31</v>
      </c>
      <c r="P9896" t="str">
        <f t="shared" si="114"/>
        <v>15207</v>
      </c>
    </row>
    <row r="9897" spans="1:16" x14ac:dyDescent="0.25">
      <c r="A9897" t="str">
        <f>"1150056R00265    00"</f>
        <v>1150056R00265    00</v>
      </c>
      <c r="B9897" t="s">
        <v>21920</v>
      </c>
      <c r="C9897" t="s">
        <v>21921</v>
      </c>
      <c r="D9897" t="s">
        <v>20</v>
      </c>
      <c r="E9897" t="s">
        <v>39</v>
      </c>
      <c r="F9897">
        <v>0</v>
      </c>
      <c r="G9897">
        <v>0</v>
      </c>
      <c r="H9897">
        <v>1</v>
      </c>
      <c r="I9897" s="3">
        <v>147.13</v>
      </c>
      <c r="J9897" s="3">
        <v>0</v>
      </c>
      <c r="L9897">
        <v>328</v>
      </c>
      <c r="M9897" t="s">
        <v>21716</v>
      </c>
      <c r="N9897" t="s">
        <v>30</v>
      </c>
      <c r="O9897" t="s">
        <v>31</v>
      </c>
      <c r="P9897" t="str">
        <f t="shared" si="114"/>
        <v>15207</v>
      </c>
    </row>
    <row r="9898" spans="1:16" x14ac:dyDescent="0.25">
      <c r="A9898" t="str">
        <f>"1150056R00266    00"</f>
        <v>1150056R00266    00</v>
      </c>
      <c r="B9898" t="s">
        <v>21922</v>
      </c>
      <c r="C9898" t="s">
        <v>21923</v>
      </c>
      <c r="D9898" t="s">
        <v>20</v>
      </c>
      <c r="E9898" t="s">
        <v>39</v>
      </c>
      <c r="F9898">
        <v>0</v>
      </c>
      <c r="G9898">
        <v>0</v>
      </c>
      <c r="H9898">
        <v>7</v>
      </c>
      <c r="I9898" s="3">
        <v>2754.59</v>
      </c>
      <c r="J9898" s="3">
        <v>1791.28</v>
      </c>
      <c r="K9898" t="s">
        <v>21924</v>
      </c>
      <c r="L9898">
        <v>326</v>
      </c>
      <c r="M9898" t="s">
        <v>21925</v>
      </c>
      <c r="N9898" t="s">
        <v>30</v>
      </c>
      <c r="O9898" t="s">
        <v>31</v>
      </c>
      <c r="P9898" t="str">
        <f t="shared" si="114"/>
        <v>15207</v>
      </c>
    </row>
    <row r="9899" spans="1:16" x14ac:dyDescent="0.25">
      <c r="A9899" t="str">
        <f>"1150056R00272    00"</f>
        <v>1150056R00272    00</v>
      </c>
      <c r="B9899" t="s">
        <v>21926</v>
      </c>
      <c r="C9899" t="s">
        <v>21927</v>
      </c>
      <c r="D9899" t="s">
        <v>20</v>
      </c>
      <c r="E9899" t="s">
        <v>39</v>
      </c>
      <c r="F9899">
        <v>0</v>
      </c>
      <c r="G9899">
        <v>0</v>
      </c>
      <c r="H9899">
        <v>2</v>
      </c>
      <c r="I9899" s="3">
        <v>1768.82</v>
      </c>
      <c r="J9899" s="3">
        <v>0</v>
      </c>
      <c r="K9899" t="s">
        <v>759</v>
      </c>
      <c r="L9899">
        <v>3001</v>
      </c>
      <c r="M9899" t="s">
        <v>404</v>
      </c>
      <c r="N9899" t="s">
        <v>331</v>
      </c>
      <c r="O9899" t="s">
        <v>108</v>
      </c>
      <c r="P9899" t="str">
        <f>"75063"</f>
        <v>75063</v>
      </c>
    </row>
    <row r="9900" spans="1:16" x14ac:dyDescent="0.25">
      <c r="A9900" t="str">
        <f>"1150056R00273    00"</f>
        <v>1150056R00273    00</v>
      </c>
      <c r="B9900" t="s">
        <v>21928</v>
      </c>
      <c r="C9900" t="s">
        <v>21929</v>
      </c>
      <c r="E9900" t="s">
        <v>39</v>
      </c>
      <c r="F9900">
        <v>0</v>
      </c>
      <c r="G9900">
        <v>0</v>
      </c>
      <c r="H9900">
        <v>12</v>
      </c>
      <c r="I9900" s="3">
        <v>7797.89</v>
      </c>
      <c r="J9900" s="3">
        <v>5877.4</v>
      </c>
      <c r="L9900">
        <v>1009</v>
      </c>
      <c r="M9900" t="s">
        <v>21930</v>
      </c>
      <c r="N9900" t="s">
        <v>21931</v>
      </c>
      <c r="O9900" t="s">
        <v>2767</v>
      </c>
      <c r="P9900" t="str">
        <f>"35215"</f>
        <v>35215</v>
      </c>
    </row>
    <row r="9901" spans="1:16" x14ac:dyDescent="0.25">
      <c r="A9901" t="str">
        <f>"1150056R00281    00"</f>
        <v>1150056R00281    00</v>
      </c>
      <c r="B9901" t="s">
        <v>21932</v>
      </c>
      <c r="C9901" t="s">
        <v>21491</v>
      </c>
      <c r="D9901" t="s">
        <v>20</v>
      </c>
      <c r="E9901" t="s">
        <v>39</v>
      </c>
      <c r="F9901">
        <v>0</v>
      </c>
      <c r="G9901">
        <v>0</v>
      </c>
      <c r="H9901">
        <v>18</v>
      </c>
      <c r="I9901" s="3">
        <v>9187.92</v>
      </c>
      <c r="J9901" s="3">
        <v>12669.32</v>
      </c>
      <c r="L9901">
        <v>85</v>
      </c>
      <c r="M9901" t="s">
        <v>21933</v>
      </c>
      <c r="N9901" t="s">
        <v>30</v>
      </c>
      <c r="O9901" t="s">
        <v>31</v>
      </c>
      <c r="P9901" t="str">
        <f>"15227"</f>
        <v>15227</v>
      </c>
    </row>
    <row r="9902" spans="1:16" x14ac:dyDescent="0.25">
      <c r="A9902" t="str">
        <f>"1150056R00290    00"</f>
        <v>1150056R00290    00</v>
      </c>
      <c r="B9902" t="s">
        <v>21934</v>
      </c>
      <c r="C9902" t="s">
        <v>21935</v>
      </c>
      <c r="D9902" t="s">
        <v>20</v>
      </c>
      <c r="E9902" t="s">
        <v>39</v>
      </c>
      <c r="F9902">
        <v>0</v>
      </c>
      <c r="G9902">
        <v>0</v>
      </c>
      <c r="H9902">
        <v>6</v>
      </c>
      <c r="I9902" s="3">
        <v>1747.65</v>
      </c>
      <c r="J9902" s="3">
        <v>1320.2</v>
      </c>
      <c r="L9902">
        <v>228</v>
      </c>
      <c r="M9902" t="s">
        <v>21936</v>
      </c>
      <c r="N9902" t="s">
        <v>30</v>
      </c>
      <c r="O9902" t="s">
        <v>31</v>
      </c>
      <c r="P9902" t="str">
        <f>"15207"</f>
        <v>15207</v>
      </c>
    </row>
    <row r="9903" spans="1:16" x14ac:dyDescent="0.25">
      <c r="A9903" t="str">
        <f>"1150056R00292    00"</f>
        <v>1150056R00292    00</v>
      </c>
      <c r="B9903" t="s">
        <v>21937</v>
      </c>
      <c r="C9903" t="s">
        <v>21938</v>
      </c>
      <c r="E9903" t="s">
        <v>39</v>
      </c>
      <c r="F9903">
        <v>0</v>
      </c>
      <c r="G9903">
        <v>0</v>
      </c>
      <c r="H9903">
        <v>4</v>
      </c>
      <c r="I9903" s="3">
        <v>3326.01</v>
      </c>
      <c r="J9903" s="3">
        <v>2788.53</v>
      </c>
      <c r="K9903" t="s">
        <v>21939</v>
      </c>
      <c r="L9903">
        <v>128</v>
      </c>
      <c r="M9903" t="s">
        <v>7139</v>
      </c>
      <c r="N9903" t="s">
        <v>6603</v>
      </c>
      <c r="O9903" t="s">
        <v>31</v>
      </c>
      <c r="P9903" t="str">
        <f>"15122"</f>
        <v>15122</v>
      </c>
    </row>
    <row r="9904" spans="1:16" x14ac:dyDescent="0.25">
      <c r="A9904" t="str">
        <f>"1150056R00313    00"</f>
        <v>1150056R00313    00</v>
      </c>
      <c r="B9904" t="s">
        <v>21694</v>
      </c>
      <c r="C9904" t="s">
        <v>21940</v>
      </c>
      <c r="D9904" t="s">
        <v>20</v>
      </c>
      <c r="E9904" t="s">
        <v>39</v>
      </c>
      <c r="F9904">
        <v>0</v>
      </c>
      <c r="G9904">
        <v>0</v>
      </c>
      <c r="H9904">
        <v>2</v>
      </c>
      <c r="I9904" s="3">
        <v>983.54</v>
      </c>
      <c r="J9904" s="3">
        <v>0</v>
      </c>
      <c r="K9904" t="s">
        <v>21696</v>
      </c>
      <c r="L9904">
        <v>300</v>
      </c>
      <c r="M9904" t="s">
        <v>21697</v>
      </c>
      <c r="N9904" t="s">
        <v>30</v>
      </c>
      <c r="O9904" t="s">
        <v>31</v>
      </c>
      <c r="P9904" t="str">
        <f>"15236"</f>
        <v>15236</v>
      </c>
    </row>
    <row r="9905" spans="1:16" x14ac:dyDescent="0.25">
      <c r="A9905" t="str">
        <f>"1150056R00323    00"</f>
        <v>1150056R00323    00</v>
      </c>
      <c r="B9905" t="s">
        <v>21941</v>
      </c>
      <c r="C9905" t="s">
        <v>21942</v>
      </c>
      <c r="D9905" t="s">
        <v>20</v>
      </c>
      <c r="E9905" t="s">
        <v>39</v>
      </c>
      <c r="F9905">
        <v>0</v>
      </c>
      <c r="G9905">
        <v>0</v>
      </c>
      <c r="H9905">
        <v>5</v>
      </c>
      <c r="I9905" s="3">
        <v>816.07</v>
      </c>
      <c r="J9905" s="3">
        <v>217.86</v>
      </c>
      <c r="L9905">
        <v>413</v>
      </c>
      <c r="M9905" t="s">
        <v>21127</v>
      </c>
      <c r="N9905" t="s">
        <v>30</v>
      </c>
      <c r="O9905" t="s">
        <v>31</v>
      </c>
      <c r="P9905" t="str">
        <f>"15207"</f>
        <v>15207</v>
      </c>
    </row>
    <row r="9906" spans="1:16" x14ac:dyDescent="0.25">
      <c r="A9906" t="str">
        <f>"1150056S00007    00"</f>
        <v>1150056S00007    00</v>
      </c>
      <c r="B9906" t="s">
        <v>21943</v>
      </c>
      <c r="C9906" t="s">
        <v>21944</v>
      </c>
      <c r="D9906" t="s">
        <v>20</v>
      </c>
      <c r="E9906" t="s">
        <v>39</v>
      </c>
      <c r="F9906">
        <v>0</v>
      </c>
      <c r="G9906">
        <v>0</v>
      </c>
      <c r="H9906">
        <v>3</v>
      </c>
      <c r="I9906" s="3">
        <v>1342.52</v>
      </c>
      <c r="J9906" s="3">
        <v>8.44</v>
      </c>
      <c r="L9906">
        <v>424</v>
      </c>
      <c r="M9906" t="s">
        <v>21127</v>
      </c>
      <c r="N9906" t="s">
        <v>30</v>
      </c>
      <c r="O9906" t="s">
        <v>31</v>
      </c>
      <c r="P9906" t="str">
        <f>"15207"</f>
        <v>15207</v>
      </c>
    </row>
    <row r="9907" spans="1:16" x14ac:dyDescent="0.25">
      <c r="A9907" t="str">
        <f>"1150056S00011    00"</f>
        <v>1150056S00011    00</v>
      </c>
      <c r="B9907" t="s">
        <v>21694</v>
      </c>
      <c r="C9907" t="s">
        <v>21945</v>
      </c>
      <c r="D9907" t="s">
        <v>20</v>
      </c>
      <c r="E9907" t="s">
        <v>39</v>
      </c>
      <c r="F9907">
        <v>0</v>
      </c>
      <c r="G9907">
        <v>0</v>
      </c>
      <c r="H9907">
        <v>2</v>
      </c>
      <c r="I9907" s="3">
        <v>2008.94</v>
      </c>
      <c r="J9907" s="3">
        <v>0</v>
      </c>
      <c r="K9907" t="s">
        <v>21696</v>
      </c>
      <c r="L9907">
        <v>300</v>
      </c>
      <c r="M9907" t="s">
        <v>21697</v>
      </c>
      <c r="N9907" t="s">
        <v>30</v>
      </c>
      <c r="O9907" t="s">
        <v>31</v>
      </c>
      <c r="P9907" t="str">
        <f>"15236"</f>
        <v>15236</v>
      </c>
    </row>
    <row r="9908" spans="1:16" x14ac:dyDescent="0.25">
      <c r="A9908" t="str">
        <f>"1150056S00012    00"</f>
        <v>1150056S00012    00</v>
      </c>
      <c r="B9908" t="s">
        <v>21946</v>
      </c>
      <c r="C9908" t="s">
        <v>21947</v>
      </c>
      <c r="D9908" t="s">
        <v>20</v>
      </c>
      <c r="E9908" t="s">
        <v>39</v>
      </c>
      <c r="F9908">
        <v>0</v>
      </c>
      <c r="G9908">
        <v>0</v>
      </c>
      <c r="H9908">
        <v>4</v>
      </c>
      <c r="I9908" s="3">
        <v>955.16</v>
      </c>
      <c r="J9908" s="3">
        <v>133.18</v>
      </c>
      <c r="L9908">
        <v>414</v>
      </c>
      <c r="M9908" t="s">
        <v>21127</v>
      </c>
      <c r="N9908" t="s">
        <v>30</v>
      </c>
      <c r="O9908" t="s">
        <v>31</v>
      </c>
      <c r="P9908" t="str">
        <f>"15207"</f>
        <v>15207</v>
      </c>
    </row>
    <row r="9909" spans="1:16" x14ac:dyDescent="0.25">
      <c r="A9909" t="str">
        <f>"1150056S00017    00"</f>
        <v>1150056S00017    00</v>
      </c>
      <c r="B9909" t="s">
        <v>21948</v>
      </c>
      <c r="C9909" t="s">
        <v>21949</v>
      </c>
      <c r="D9909" t="s">
        <v>20</v>
      </c>
      <c r="E9909" t="s">
        <v>39</v>
      </c>
      <c r="F9909">
        <v>0</v>
      </c>
      <c r="G9909">
        <v>0</v>
      </c>
      <c r="H9909">
        <v>7</v>
      </c>
      <c r="I9909" s="3">
        <v>5666.21</v>
      </c>
      <c r="J9909" s="3">
        <v>1404.33</v>
      </c>
      <c r="L9909">
        <v>511</v>
      </c>
      <c r="M9909" t="s">
        <v>21716</v>
      </c>
      <c r="N9909" t="s">
        <v>30</v>
      </c>
      <c r="O9909" t="s">
        <v>31</v>
      </c>
      <c r="P9909" t="str">
        <f>"15207"</f>
        <v>15207</v>
      </c>
    </row>
    <row r="9910" spans="1:16" x14ac:dyDescent="0.25">
      <c r="A9910" t="str">
        <f>"1150056S00018    00"</f>
        <v>1150056S00018    00</v>
      </c>
      <c r="B9910" t="s">
        <v>21950</v>
      </c>
      <c r="C9910" t="s">
        <v>21951</v>
      </c>
      <c r="D9910" t="s">
        <v>20</v>
      </c>
      <c r="E9910" t="s">
        <v>39</v>
      </c>
      <c r="F9910">
        <v>0</v>
      </c>
      <c r="G9910">
        <v>0</v>
      </c>
      <c r="H9910">
        <v>2</v>
      </c>
      <c r="I9910" s="3">
        <v>298.13</v>
      </c>
      <c r="J9910" s="3">
        <v>80.06</v>
      </c>
      <c r="L9910">
        <v>515</v>
      </c>
      <c r="M9910" t="s">
        <v>21716</v>
      </c>
      <c r="N9910" t="s">
        <v>30</v>
      </c>
      <c r="O9910" t="s">
        <v>31</v>
      </c>
      <c r="P9910" t="str">
        <f>"15207"</f>
        <v>15207</v>
      </c>
    </row>
    <row r="9911" spans="1:16" x14ac:dyDescent="0.25">
      <c r="A9911" t="str">
        <f>"1150056S00023    00"</f>
        <v>1150056S00023    00</v>
      </c>
      <c r="B9911" t="s">
        <v>21952</v>
      </c>
      <c r="C9911" t="s">
        <v>21953</v>
      </c>
      <c r="D9911" t="s">
        <v>20</v>
      </c>
      <c r="E9911" t="s">
        <v>39</v>
      </c>
      <c r="F9911">
        <v>0</v>
      </c>
      <c r="G9911">
        <v>0</v>
      </c>
      <c r="H9911">
        <v>1</v>
      </c>
      <c r="I9911" s="3">
        <v>20.98</v>
      </c>
      <c r="J9911" s="3">
        <v>0</v>
      </c>
      <c r="K9911" t="s">
        <v>21954</v>
      </c>
      <c r="L9911">
        <v>901</v>
      </c>
      <c r="M9911" t="s">
        <v>6264</v>
      </c>
      <c r="N9911" t="s">
        <v>30</v>
      </c>
      <c r="O9911" t="s">
        <v>31</v>
      </c>
      <c r="P9911" t="str">
        <f>"15203"</f>
        <v>15203</v>
      </c>
    </row>
    <row r="9912" spans="1:16" x14ac:dyDescent="0.25">
      <c r="A9912" t="str">
        <f>"1150056S00024    00"</f>
        <v>1150056S00024    00</v>
      </c>
      <c r="B9912" t="s">
        <v>21955</v>
      </c>
      <c r="C9912" t="s">
        <v>21953</v>
      </c>
      <c r="E9912" t="s">
        <v>39</v>
      </c>
      <c r="F9912">
        <v>0</v>
      </c>
      <c r="G9912">
        <v>0</v>
      </c>
      <c r="H9912">
        <v>1</v>
      </c>
      <c r="I9912" s="3">
        <v>20.98</v>
      </c>
      <c r="J9912" s="3">
        <v>0</v>
      </c>
      <c r="L9912">
        <v>113</v>
      </c>
      <c r="M9912" t="s">
        <v>21956</v>
      </c>
      <c r="N9912" t="s">
        <v>21957</v>
      </c>
      <c r="O9912" t="s">
        <v>200</v>
      </c>
      <c r="P9912" t="str">
        <f>"11788"</f>
        <v>11788</v>
      </c>
    </row>
    <row r="9913" spans="1:16" x14ac:dyDescent="0.25">
      <c r="A9913" t="str">
        <f>"1150056S00052    00"</f>
        <v>1150056S00052    00</v>
      </c>
      <c r="B9913" t="s">
        <v>21958</v>
      </c>
      <c r="C9913" t="s">
        <v>21959</v>
      </c>
      <c r="D9913" t="s">
        <v>20</v>
      </c>
      <c r="E9913" t="s">
        <v>39</v>
      </c>
      <c r="F9913">
        <v>0</v>
      </c>
      <c r="G9913">
        <v>0</v>
      </c>
      <c r="H9913">
        <v>15</v>
      </c>
      <c r="I9913" s="3">
        <v>5570.85</v>
      </c>
      <c r="J9913" s="3">
        <v>3724.97</v>
      </c>
      <c r="L9913">
        <v>601</v>
      </c>
      <c r="M9913" t="s">
        <v>21716</v>
      </c>
      <c r="N9913" t="s">
        <v>30</v>
      </c>
      <c r="O9913" t="s">
        <v>31</v>
      </c>
      <c r="P9913" t="str">
        <f>"15207"</f>
        <v>15207</v>
      </c>
    </row>
    <row r="9914" spans="1:16" x14ac:dyDescent="0.25">
      <c r="A9914" t="str">
        <f>"1150057B00008    00"</f>
        <v>1150057B00008    00</v>
      </c>
      <c r="B9914" t="s">
        <v>21960</v>
      </c>
      <c r="C9914" t="s">
        <v>21400</v>
      </c>
      <c r="D9914" t="s">
        <v>20</v>
      </c>
      <c r="E9914" t="s">
        <v>39</v>
      </c>
      <c r="F9914">
        <v>0</v>
      </c>
      <c r="G9914">
        <v>0</v>
      </c>
      <c r="H9914">
        <v>7</v>
      </c>
      <c r="I9914" s="3">
        <v>381.45</v>
      </c>
      <c r="J9914" s="3">
        <v>126.04</v>
      </c>
      <c r="L9914">
        <v>945</v>
      </c>
      <c r="M9914" t="s">
        <v>21961</v>
      </c>
      <c r="N9914" t="s">
        <v>30</v>
      </c>
      <c r="O9914" t="s">
        <v>31</v>
      </c>
      <c r="P9914" t="str">
        <f>"15207"</f>
        <v>15207</v>
      </c>
    </row>
    <row r="9915" spans="1:16" x14ac:dyDescent="0.25">
      <c r="A9915" t="str">
        <f>"1150057B00010    00"</f>
        <v>1150057B00010    00</v>
      </c>
      <c r="B9915" t="s">
        <v>21962</v>
      </c>
      <c r="C9915" t="s">
        <v>21889</v>
      </c>
      <c r="D9915" t="s">
        <v>20</v>
      </c>
      <c r="E9915" t="s">
        <v>39</v>
      </c>
      <c r="F9915">
        <v>0</v>
      </c>
      <c r="G9915">
        <v>0</v>
      </c>
      <c r="H9915">
        <v>14</v>
      </c>
      <c r="I9915" s="3">
        <v>3940.55</v>
      </c>
      <c r="J9915" s="3">
        <v>4823.83</v>
      </c>
      <c r="L9915">
        <v>100</v>
      </c>
      <c r="M9915" t="s">
        <v>3585</v>
      </c>
      <c r="N9915" t="s">
        <v>1067</v>
      </c>
      <c r="O9915" t="s">
        <v>31</v>
      </c>
      <c r="P9915" t="str">
        <f>"15143"</f>
        <v>15143</v>
      </c>
    </row>
    <row r="9916" spans="1:16" x14ac:dyDescent="0.25">
      <c r="A9916" t="str">
        <f>"1150057B00018    00"</f>
        <v>1150057B00018    00</v>
      </c>
      <c r="B9916" t="s">
        <v>21963</v>
      </c>
      <c r="C9916" t="s">
        <v>21889</v>
      </c>
      <c r="D9916" t="s">
        <v>20</v>
      </c>
      <c r="E9916" t="s">
        <v>39</v>
      </c>
      <c r="F9916">
        <v>0</v>
      </c>
      <c r="G9916">
        <v>0</v>
      </c>
      <c r="H9916">
        <v>19</v>
      </c>
      <c r="I9916" s="3">
        <v>1886.25</v>
      </c>
      <c r="J9916" s="3">
        <v>2076.9299999999998</v>
      </c>
      <c r="P9916" t="str">
        <f>""</f>
        <v/>
      </c>
    </row>
    <row r="9917" spans="1:16" x14ac:dyDescent="0.25">
      <c r="A9917" t="str">
        <f>"1150057B00032    00"</f>
        <v>1150057B00032    00</v>
      </c>
      <c r="B9917" t="s">
        <v>21964</v>
      </c>
      <c r="C9917" t="s">
        <v>21965</v>
      </c>
      <c r="D9917" t="s">
        <v>20</v>
      </c>
      <c r="E9917" t="s">
        <v>39</v>
      </c>
      <c r="F9917">
        <v>0</v>
      </c>
      <c r="G9917">
        <v>0</v>
      </c>
      <c r="H9917">
        <v>18</v>
      </c>
      <c r="I9917" s="3">
        <v>272.45</v>
      </c>
      <c r="J9917" s="3">
        <v>248.92</v>
      </c>
      <c r="K9917" t="s">
        <v>21966</v>
      </c>
      <c r="L9917">
        <v>5108</v>
      </c>
      <c r="M9917" t="s">
        <v>21575</v>
      </c>
      <c r="N9917" t="s">
        <v>30</v>
      </c>
      <c r="O9917" t="s">
        <v>31</v>
      </c>
      <c r="P9917" t="str">
        <f>"15207"</f>
        <v>15207</v>
      </c>
    </row>
    <row r="9918" spans="1:16" x14ac:dyDescent="0.25">
      <c r="A9918" t="str">
        <f>"1150057B00033    00"</f>
        <v>1150057B00033    00</v>
      </c>
      <c r="B9918" t="s">
        <v>21967</v>
      </c>
      <c r="C9918" t="s">
        <v>21965</v>
      </c>
      <c r="D9918" t="s">
        <v>20</v>
      </c>
      <c r="E9918" t="s">
        <v>39</v>
      </c>
      <c r="F9918">
        <v>0</v>
      </c>
      <c r="G9918">
        <v>0</v>
      </c>
      <c r="H9918">
        <v>19</v>
      </c>
      <c r="I9918" s="3">
        <v>3149.44</v>
      </c>
      <c r="J9918" s="3">
        <v>2987.61</v>
      </c>
      <c r="L9918">
        <v>11</v>
      </c>
      <c r="M9918" t="s">
        <v>21968</v>
      </c>
      <c r="N9918" t="s">
        <v>30</v>
      </c>
      <c r="O9918" t="s">
        <v>31</v>
      </c>
      <c r="P9918" t="str">
        <f>"15207"</f>
        <v>15207</v>
      </c>
    </row>
    <row r="9919" spans="1:16" x14ac:dyDescent="0.25">
      <c r="A9919" t="str">
        <f>"1150057B00052    00"</f>
        <v>1150057B00052    00</v>
      </c>
      <c r="B9919" t="s">
        <v>21969</v>
      </c>
      <c r="C9919" t="s">
        <v>21801</v>
      </c>
      <c r="D9919" t="s">
        <v>20</v>
      </c>
      <c r="E9919" t="s">
        <v>39</v>
      </c>
      <c r="F9919">
        <v>0</v>
      </c>
      <c r="G9919">
        <v>0</v>
      </c>
      <c r="H9919">
        <v>11</v>
      </c>
      <c r="I9919" s="3">
        <v>222.84</v>
      </c>
      <c r="J9919" s="3">
        <v>124.21</v>
      </c>
      <c r="L9919">
        <v>225</v>
      </c>
      <c r="M9919" t="s">
        <v>21127</v>
      </c>
      <c r="N9919" t="s">
        <v>30</v>
      </c>
      <c r="O9919" t="s">
        <v>31</v>
      </c>
      <c r="P9919" t="str">
        <f>"15207"</f>
        <v>15207</v>
      </c>
    </row>
    <row r="9920" spans="1:16" x14ac:dyDescent="0.25">
      <c r="A9920" t="str">
        <f>"1150057B00061    00"</f>
        <v>1150057B00061    00</v>
      </c>
      <c r="B9920" t="s">
        <v>21970</v>
      </c>
      <c r="C9920" t="s">
        <v>21801</v>
      </c>
      <c r="D9920" t="s">
        <v>20</v>
      </c>
      <c r="E9920" t="s">
        <v>39</v>
      </c>
      <c r="F9920">
        <v>0</v>
      </c>
      <c r="G9920">
        <v>0</v>
      </c>
      <c r="H9920">
        <v>19</v>
      </c>
      <c r="I9920" s="3">
        <v>4179.0600000000004</v>
      </c>
      <c r="J9920" s="3">
        <v>5639.37</v>
      </c>
      <c r="L9920">
        <v>10965</v>
      </c>
      <c r="M9920" t="s">
        <v>21971</v>
      </c>
      <c r="N9920" t="s">
        <v>3951</v>
      </c>
      <c r="O9920" t="s">
        <v>370</v>
      </c>
      <c r="P9920" t="str">
        <f>"33612"</f>
        <v>33612</v>
      </c>
    </row>
    <row r="9921" spans="1:16" x14ac:dyDescent="0.25">
      <c r="A9921" t="str">
        <f>"1150057B00068    00"</f>
        <v>1150057B00068    00</v>
      </c>
      <c r="B9921" t="s">
        <v>21969</v>
      </c>
      <c r="C9921" t="s">
        <v>21972</v>
      </c>
      <c r="D9921" t="s">
        <v>20</v>
      </c>
      <c r="E9921" t="s">
        <v>39</v>
      </c>
      <c r="F9921">
        <v>0</v>
      </c>
      <c r="G9921">
        <v>0</v>
      </c>
      <c r="H9921">
        <v>10</v>
      </c>
      <c r="I9921" s="3">
        <v>2705.01</v>
      </c>
      <c r="J9921" s="3">
        <v>1670.7</v>
      </c>
      <c r="L9921">
        <v>225</v>
      </c>
      <c r="M9921" t="s">
        <v>21127</v>
      </c>
      <c r="N9921" t="s">
        <v>30</v>
      </c>
      <c r="O9921" t="s">
        <v>31</v>
      </c>
      <c r="P9921" t="str">
        <f>"15207"</f>
        <v>15207</v>
      </c>
    </row>
    <row r="9922" spans="1:16" x14ac:dyDescent="0.25">
      <c r="A9922" t="str">
        <f>"1150057B00069    00"</f>
        <v>1150057B00069    00</v>
      </c>
      <c r="B9922" t="s">
        <v>21973</v>
      </c>
      <c r="C9922" t="s">
        <v>21974</v>
      </c>
      <c r="D9922" t="s">
        <v>33</v>
      </c>
      <c r="E9922" t="s">
        <v>290</v>
      </c>
      <c r="F9922">
        <v>0</v>
      </c>
      <c r="G9922">
        <v>0</v>
      </c>
      <c r="H9922">
        <v>1</v>
      </c>
      <c r="I9922" s="3">
        <v>76.959999999999994</v>
      </c>
      <c r="J9922" s="3">
        <v>0</v>
      </c>
      <c r="L9922">
        <v>541</v>
      </c>
      <c r="M9922" t="s">
        <v>21152</v>
      </c>
      <c r="N9922" t="s">
        <v>30</v>
      </c>
      <c r="O9922" t="s">
        <v>31</v>
      </c>
      <c r="P9922" t="str">
        <f>"15207"</f>
        <v>15207</v>
      </c>
    </row>
    <row r="9923" spans="1:16" x14ac:dyDescent="0.25">
      <c r="A9923" t="str">
        <f>"1150057B00070    00"</f>
        <v>1150057B00070    00</v>
      </c>
      <c r="B9923" t="s">
        <v>21969</v>
      </c>
      <c r="C9923" t="s">
        <v>21801</v>
      </c>
      <c r="D9923" t="s">
        <v>20</v>
      </c>
      <c r="E9923" t="s">
        <v>39</v>
      </c>
      <c r="F9923">
        <v>0</v>
      </c>
      <c r="G9923">
        <v>0</v>
      </c>
      <c r="H9923">
        <v>7</v>
      </c>
      <c r="I9923" s="3">
        <v>341.07</v>
      </c>
      <c r="J9923" s="3">
        <v>96.06</v>
      </c>
      <c r="L9923">
        <v>225</v>
      </c>
      <c r="M9923" t="s">
        <v>21127</v>
      </c>
      <c r="N9923" t="s">
        <v>30</v>
      </c>
      <c r="O9923" t="s">
        <v>31</v>
      </c>
      <c r="P9923" t="str">
        <f>"15207"</f>
        <v>15207</v>
      </c>
    </row>
    <row r="9924" spans="1:16" x14ac:dyDescent="0.25">
      <c r="A9924" t="str">
        <f>"1150057B00071    00"</f>
        <v>1150057B00071    00</v>
      </c>
      <c r="B9924" t="s">
        <v>21975</v>
      </c>
      <c r="C9924" t="s">
        <v>21976</v>
      </c>
      <c r="D9924" t="s">
        <v>20</v>
      </c>
      <c r="E9924" t="s">
        <v>39</v>
      </c>
      <c r="F9924">
        <v>0</v>
      </c>
      <c r="G9924">
        <v>0</v>
      </c>
      <c r="H9924">
        <v>17</v>
      </c>
      <c r="I9924" s="3">
        <v>95.98</v>
      </c>
      <c r="J9924" s="3">
        <v>109.55</v>
      </c>
      <c r="K9924" t="s">
        <v>1008</v>
      </c>
      <c r="P9924" t="str">
        <f>""</f>
        <v/>
      </c>
    </row>
    <row r="9925" spans="1:16" x14ac:dyDescent="0.25">
      <c r="A9925" t="str">
        <f>"1150057B00071A   00"</f>
        <v>1150057B00071A   00</v>
      </c>
      <c r="B9925" t="s">
        <v>21969</v>
      </c>
      <c r="C9925" t="s">
        <v>21801</v>
      </c>
      <c r="D9925" t="s">
        <v>20</v>
      </c>
      <c r="E9925" t="s">
        <v>21</v>
      </c>
      <c r="F9925">
        <v>0</v>
      </c>
      <c r="G9925">
        <v>0</v>
      </c>
      <c r="H9925">
        <v>11</v>
      </c>
      <c r="I9925" s="3">
        <v>414.08</v>
      </c>
      <c r="J9925" s="3">
        <v>372.52</v>
      </c>
      <c r="L9925">
        <v>225</v>
      </c>
      <c r="M9925" t="s">
        <v>21127</v>
      </c>
      <c r="N9925" t="s">
        <v>30</v>
      </c>
      <c r="O9925" t="s">
        <v>31</v>
      </c>
      <c r="P9925" t="str">
        <f>"15207"</f>
        <v>15207</v>
      </c>
    </row>
    <row r="9926" spans="1:16" x14ac:dyDescent="0.25">
      <c r="A9926" t="str">
        <f>"1150057B00071D   00"</f>
        <v>1150057B00071D   00</v>
      </c>
      <c r="B9926" t="s">
        <v>21977</v>
      </c>
      <c r="C9926" t="s">
        <v>21978</v>
      </c>
      <c r="D9926" t="s">
        <v>20</v>
      </c>
      <c r="E9926" t="s">
        <v>39</v>
      </c>
      <c r="F9926">
        <v>0</v>
      </c>
      <c r="G9926">
        <v>0</v>
      </c>
      <c r="H9926">
        <v>19</v>
      </c>
      <c r="I9926" s="3">
        <v>7990.41</v>
      </c>
      <c r="J9926" s="3">
        <v>8150.86</v>
      </c>
      <c r="L9926">
        <v>5503</v>
      </c>
      <c r="M9926" t="s">
        <v>21979</v>
      </c>
      <c r="N9926" t="s">
        <v>30</v>
      </c>
      <c r="O9926" t="s">
        <v>31</v>
      </c>
      <c r="P9926" t="str">
        <f>"15207"</f>
        <v>15207</v>
      </c>
    </row>
    <row r="9927" spans="1:16" x14ac:dyDescent="0.25">
      <c r="A9927" t="str">
        <f>"1150057B00073    00"</f>
        <v>1150057B00073    00</v>
      </c>
      <c r="B9927" t="s">
        <v>21980</v>
      </c>
      <c r="C9927" t="s">
        <v>21981</v>
      </c>
      <c r="D9927" t="s">
        <v>20</v>
      </c>
      <c r="E9927" t="s">
        <v>39</v>
      </c>
      <c r="F9927">
        <v>0</v>
      </c>
      <c r="G9927">
        <v>0</v>
      </c>
      <c r="H9927">
        <v>6</v>
      </c>
      <c r="I9927" s="3">
        <v>719.18</v>
      </c>
      <c r="J9927" s="3">
        <v>161.28</v>
      </c>
      <c r="L9927">
        <v>212</v>
      </c>
      <c r="M9927" t="s">
        <v>21127</v>
      </c>
      <c r="N9927" t="s">
        <v>30</v>
      </c>
      <c r="O9927" t="s">
        <v>31</v>
      </c>
      <c r="P9927" t="str">
        <f>"15207"</f>
        <v>15207</v>
      </c>
    </row>
    <row r="9928" spans="1:16" x14ac:dyDescent="0.25">
      <c r="A9928" t="str">
        <f>"1150057B00076    00"</f>
        <v>1150057B00076    00</v>
      </c>
      <c r="B9928" t="s">
        <v>21967</v>
      </c>
      <c r="C9928" t="s">
        <v>21965</v>
      </c>
      <c r="D9928" t="s">
        <v>20</v>
      </c>
      <c r="E9928" t="s">
        <v>39</v>
      </c>
      <c r="F9928">
        <v>0</v>
      </c>
      <c r="G9928">
        <v>0</v>
      </c>
      <c r="H9928">
        <v>19</v>
      </c>
      <c r="I9928" s="3">
        <v>254.78</v>
      </c>
      <c r="J9928" s="3">
        <v>212.33</v>
      </c>
      <c r="K9928" t="s">
        <v>1008</v>
      </c>
      <c r="P9928" t="str">
        <f>""</f>
        <v/>
      </c>
    </row>
    <row r="9929" spans="1:16" x14ac:dyDescent="0.25">
      <c r="A9929" t="str">
        <f>"1150057B00079000100"</f>
        <v>1150057B00079000100</v>
      </c>
      <c r="B9929" t="s">
        <v>21482</v>
      </c>
      <c r="C9929" t="s">
        <v>21982</v>
      </c>
      <c r="D9929" t="s">
        <v>57</v>
      </c>
      <c r="E9929" t="s">
        <v>39</v>
      </c>
      <c r="F9929">
        <v>0</v>
      </c>
      <c r="G9929">
        <v>0</v>
      </c>
      <c r="H9929">
        <v>1</v>
      </c>
      <c r="I9929" s="3">
        <v>225.5</v>
      </c>
      <c r="J9929" s="3">
        <v>0</v>
      </c>
      <c r="M9929" t="s">
        <v>21983</v>
      </c>
      <c r="N9929" t="s">
        <v>30</v>
      </c>
      <c r="O9929" t="s">
        <v>31</v>
      </c>
      <c r="P9929" t="str">
        <f>"15209"</f>
        <v>15209</v>
      </c>
    </row>
    <row r="9930" spans="1:16" x14ac:dyDescent="0.25">
      <c r="A9930" t="str">
        <f>"1150057B00080    00"</f>
        <v>1150057B00080    00</v>
      </c>
      <c r="B9930" t="s">
        <v>21984</v>
      </c>
      <c r="C9930" t="s">
        <v>21985</v>
      </c>
      <c r="D9930" t="s">
        <v>20</v>
      </c>
      <c r="E9930" t="s">
        <v>39</v>
      </c>
      <c r="F9930">
        <v>0</v>
      </c>
      <c r="G9930">
        <v>0</v>
      </c>
      <c r="H9930">
        <v>9</v>
      </c>
      <c r="I9930" s="3">
        <v>382.57</v>
      </c>
      <c r="J9930" s="3">
        <v>146.04</v>
      </c>
      <c r="L9930">
        <v>5041</v>
      </c>
      <c r="M9930" t="s">
        <v>21497</v>
      </c>
      <c r="N9930" t="s">
        <v>30</v>
      </c>
      <c r="O9930" t="s">
        <v>31</v>
      </c>
      <c r="P9930" t="str">
        <f>"15207"</f>
        <v>15207</v>
      </c>
    </row>
    <row r="9931" spans="1:16" x14ac:dyDescent="0.25">
      <c r="A9931" t="str">
        <f>"1150057B00081    00"</f>
        <v>1150057B00081    00</v>
      </c>
      <c r="B9931" t="s">
        <v>21661</v>
      </c>
      <c r="C9931" t="s">
        <v>21801</v>
      </c>
      <c r="D9931" t="s">
        <v>20</v>
      </c>
      <c r="E9931" t="s">
        <v>39</v>
      </c>
      <c r="F9931">
        <v>0</v>
      </c>
      <c r="G9931">
        <v>0</v>
      </c>
      <c r="H9931">
        <v>7</v>
      </c>
      <c r="I9931" s="3">
        <v>39.03</v>
      </c>
      <c r="J9931" s="3">
        <v>14.2</v>
      </c>
      <c r="L9931">
        <v>5041</v>
      </c>
      <c r="M9931" t="s">
        <v>21497</v>
      </c>
      <c r="N9931" t="s">
        <v>30</v>
      </c>
      <c r="O9931" t="s">
        <v>31</v>
      </c>
      <c r="P9931" t="str">
        <f>"15207"</f>
        <v>15207</v>
      </c>
    </row>
    <row r="9932" spans="1:16" x14ac:dyDescent="0.25">
      <c r="A9932" t="str">
        <f>"1150057B00082    00"</f>
        <v>1150057B00082    00</v>
      </c>
      <c r="B9932" t="s">
        <v>21986</v>
      </c>
      <c r="C9932" t="s">
        <v>21801</v>
      </c>
      <c r="D9932" t="s">
        <v>20</v>
      </c>
      <c r="E9932" t="s">
        <v>39</v>
      </c>
      <c r="F9932">
        <v>0</v>
      </c>
      <c r="G9932">
        <v>0</v>
      </c>
      <c r="H9932">
        <v>19</v>
      </c>
      <c r="I9932" s="3">
        <v>4699.62</v>
      </c>
      <c r="J9932" s="3">
        <v>6581.91</v>
      </c>
      <c r="L9932">
        <v>7039</v>
      </c>
      <c r="M9932" t="s">
        <v>2507</v>
      </c>
      <c r="N9932" t="s">
        <v>30</v>
      </c>
      <c r="O9932" t="s">
        <v>31</v>
      </c>
      <c r="P9932" t="str">
        <f>"15206"</f>
        <v>15206</v>
      </c>
    </row>
    <row r="9933" spans="1:16" x14ac:dyDescent="0.25">
      <c r="A9933" t="str">
        <f>"1150057B00082A   00"</f>
        <v>1150057B00082A   00</v>
      </c>
      <c r="B9933" t="s">
        <v>21986</v>
      </c>
      <c r="C9933" t="s">
        <v>21976</v>
      </c>
      <c r="D9933" t="s">
        <v>20</v>
      </c>
      <c r="E9933" t="s">
        <v>290</v>
      </c>
      <c r="F9933">
        <v>0</v>
      </c>
      <c r="G9933">
        <v>0</v>
      </c>
      <c r="H9933">
        <v>17</v>
      </c>
      <c r="I9933" s="3">
        <v>276.89999999999998</v>
      </c>
      <c r="J9933" s="3">
        <v>370.67</v>
      </c>
      <c r="L9933">
        <v>7039</v>
      </c>
      <c r="M9933" t="s">
        <v>2507</v>
      </c>
      <c r="N9933" t="s">
        <v>30</v>
      </c>
      <c r="O9933" t="s">
        <v>31</v>
      </c>
      <c r="P9933" t="str">
        <f>"15206"</f>
        <v>15206</v>
      </c>
    </row>
    <row r="9934" spans="1:16" x14ac:dyDescent="0.25">
      <c r="A9934" t="str">
        <f>"1150057B00085    00"</f>
        <v>1150057B00085    00</v>
      </c>
      <c r="B9934" t="s">
        <v>21987</v>
      </c>
      <c r="C9934" t="s">
        <v>21988</v>
      </c>
      <c r="D9934" t="s">
        <v>20</v>
      </c>
      <c r="E9934" t="s">
        <v>39</v>
      </c>
      <c r="F9934">
        <v>0</v>
      </c>
      <c r="G9934">
        <v>0</v>
      </c>
      <c r="H9934">
        <v>6</v>
      </c>
      <c r="I9934" s="3">
        <v>388.98</v>
      </c>
      <c r="J9934" s="3">
        <v>86.96</v>
      </c>
      <c r="K9934" t="s">
        <v>21989</v>
      </c>
      <c r="L9934">
        <v>5411</v>
      </c>
      <c r="M9934" t="s">
        <v>21575</v>
      </c>
      <c r="N9934" t="s">
        <v>30</v>
      </c>
      <c r="O9934" t="s">
        <v>31</v>
      </c>
      <c r="P9934" t="str">
        <f>"15207"</f>
        <v>15207</v>
      </c>
    </row>
    <row r="9935" spans="1:16" x14ac:dyDescent="0.25">
      <c r="A9935" t="str">
        <f>"1150057B00087    00"</f>
        <v>1150057B00087    00</v>
      </c>
      <c r="B9935" t="s">
        <v>21990</v>
      </c>
      <c r="C9935" t="s">
        <v>21991</v>
      </c>
      <c r="D9935" t="s">
        <v>20</v>
      </c>
      <c r="E9935" t="s">
        <v>39</v>
      </c>
      <c r="F9935">
        <v>0</v>
      </c>
      <c r="G9935">
        <v>0</v>
      </c>
      <c r="H9935">
        <v>5</v>
      </c>
      <c r="I9935" s="3">
        <v>278.75</v>
      </c>
      <c r="J9935" s="3">
        <v>48.05</v>
      </c>
      <c r="L9935">
        <v>5417</v>
      </c>
      <c r="M9935" t="s">
        <v>21575</v>
      </c>
      <c r="N9935" t="s">
        <v>30</v>
      </c>
      <c r="O9935" t="s">
        <v>31</v>
      </c>
      <c r="P9935" t="str">
        <f>"15207"</f>
        <v>15207</v>
      </c>
    </row>
    <row r="9936" spans="1:16" x14ac:dyDescent="0.25">
      <c r="A9936" t="str">
        <f>"1150057B00088    00"</f>
        <v>1150057B00088    00</v>
      </c>
      <c r="B9936" t="s">
        <v>21992</v>
      </c>
      <c r="C9936" t="s">
        <v>21993</v>
      </c>
      <c r="D9936" t="s">
        <v>20</v>
      </c>
      <c r="E9936" t="s">
        <v>39</v>
      </c>
      <c r="F9936">
        <v>0</v>
      </c>
      <c r="G9936">
        <v>0</v>
      </c>
      <c r="H9936">
        <v>19</v>
      </c>
      <c r="I9936" s="3">
        <v>5945.75</v>
      </c>
      <c r="J9936" s="3">
        <v>7780.94</v>
      </c>
      <c r="K9936" t="s">
        <v>21994</v>
      </c>
      <c r="M9936" t="s">
        <v>21995</v>
      </c>
      <c r="N9936" t="s">
        <v>30</v>
      </c>
      <c r="O9936" t="s">
        <v>31</v>
      </c>
      <c r="P9936" t="str">
        <f>"15232"</f>
        <v>15232</v>
      </c>
    </row>
    <row r="9937" spans="1:16" x14ac:dyDescent="0.25">
      <c r="A9937" t="str">
        <f>"1150057B00098    00"</f>
        <v>1150057B00098    00</v>
      </c>
      <c r="B9937" t="s">
        <v>21996</v>
      </c>
      <c r="C9937" t="s">
        <v>21801</v>
      </c>
      <c r="E9937" t="s">
        <v>21</v>
      </c>
      <c r="F9937">
        <v>0</v>
      </c>
      <c r="G9937">
        <v>0</v>
      </c>
      <c r="H9937">
        <v>7</v>
      </c>
      <c r="I9937" s="3">
        <v>4353.24</v>
      </c>
      <c r="J9937" s="3">
        <v>6346.94</v>
      </c>
      <c r="L9937">
        <v>1802</v>
      </c>
      <c r="M9937" t="s">
        <v>21997</v>
      </c>
      <c r="N9937" t="s">
        <v>6240</v>
      </c>
      <c r="O9937" t="s">
        <v>273</v>
      </c>
      <c r="P9937" t="str">
        <f>"29720"</f>
        <v>29720</v>
      </c>
    </row>
    <row r="9938" spans="1:16" x14ac:dyDescent="0.25">
      <c r="A9938" t="str">
        <f>"1150057B00104    00"</f>
        <v>1150057B00104    00</v>
      </c>
      <c r="B9938" t="s">
        <v>21998</v>
      </c>
      <c r="C9938" t="s">
        <v>21999</v>
      </c>
      <c r="D9938" t="s">
        <v>20</v>
      </c>
      <c r="E9938" t="s">
        <v>39</v>
      </c>
      <c r="F9938">
        <v>0</v>
      </c>
      <c r="G9938">
        <v>0</v>
      </c>
      <c r="H9938">
        <v>1</v>
      </c>
      <c r="I9938" s="3">
        <v>659.87</v>
      </c>
      <c r="J9938" s="3">
        <v>456.39</v>
      </c>
      <c r="L9938">
        <v>5414</v>
      </c>
      <c r="M9938" t="s">
        <v>22000</v>
      </c>
      <c r="N9938" t="s">
        <v>30</v>
      </c>
      <c r="O9938" t="s">
        <v>31</v>
      </c>
      <c r="P9938" t="str">
        <f>"15207"</f>
        <v>15207</v>
      </c>
    </row>
    <row r="9939" spans="1:16" x14ac:dyDescent="0.25">
      <c r="A9939" t="str">
        <f>"1150057B00105    00"</f>
        <v>1150057B00105    00</v>
      </c>
      <c r="B9939" t="s">
        <v>22001</v>
      </c>
      <c r="C9939" t="s">
        <v>21801</v>
      </c>
      <c r="D9939" t="s">
        <v>20</v>
      </c>
      <c r="E9939" t="s">
        <v>39</v>
      </c>
      <c r="F9939">
        <v>0</v>
      </c>
      <c r="G9939">
        <v>0</v>
      </c>
      <c r="H9939">
        <v>19</v>
      </c>
      <c r="I9939" s="3">
        <v>255.06</v>
      </c>
      <c r="J9939" s="3">
        <v>247.23</v>
      </c>
      <c r="L9939">
        <v>205</v>
      </c>
      <c r="M9939" t="s">
        <v>14341</v>
      </c>
      <c r="N9939" t="s">
        <v>30</v>
      </c>
      <c r="O9939" t="s">
        <v>31</v>
      </c>
      <c r="P9939" t="str">
        <f>"15235"</f>
        <v>15235</v>
      </c>
    </row>
    <row r="9940" spans="1:16" x14ac:dyDescent="0.25">
      <c r="A9940" t="str">
        <f>"1150057B00107    00"</f>
        <v>1150057B00107    00</v>
      </c>
      <c r="B9940" t="s">
        <v>22002</v>
      </c>
      <c r="C9940" t="s">
        <v>21801</v>
      </c>
      <c r="D9940" t="s">
        <v>20</v>
      </c>
      <c r="E9940" t="s">
        <v>39</v>
      </c>
      <c r="F9940">
        <v>0</v>
      </c>
      <c r="G9940">
        <v>0</v>
      </c>
      <c r="H9940">
        <v>2</v>
      </c>
      <c r="I9940" s="3">
        <v>114.29</v>
      </c>
      <c r="J9940" s="3">
        <v>0</v>
      </c>
      <c r="L9940">
        <v>5400</v>
      </c>
      <c r="M9940" t="s">
        <v>21575</v>
      </c>
      <c r="N9940" t="s">
        <v>30</v>
      </c>
      <c r="O9940" t="s">
        <v>31</v>
      </c>
      <c r="P9940" t="str">
        <f>"15207"</f>
        <v>15207</v>
      </c>
    </row>
    <row r="9941" spans="1:16" x14ac:dyDescent="0.25">
      <c r="A9941" t="str">
        <f>"1150057B00108    00"</f>
        <v>1150057B00108    00</v>
      </c>
      <c r="B9941" t="s">
        <v>22003</v>
      </c>
      <c r="C9941" t="s">
        <v>22004</v>
      </c>
      <c r="D9941" t="s">
        <v>20</v>
      </c>
      <c r="E9941" t="s">
        <v>39</v>
      </c>
      <c r="F9941">
        <v>0</v>
      </c>
      <c r="G9941">
        <v>0</v>
      </c>
      <c r="H9941">
        <v>2</v>
      </c>
      <c r="I9941" s="3">
        <v>2042.53</v>
      </c>
      <c r="J9941" s="3">
        <v>0</v>
      </c>
      <c r="L9941">
        <v>5400</v>
      </c>
      <c r="M9941" t="s">
        <v>21575</v>
      </c>
      <c r="N9941" t="s">
        <v>30</v>
      </c>
      <c r="O9941" t="s">
        <v>31</v>
      </c>
      <c r="P9941" t="str">
        <f>"15207"</f>
        <v>15207</v>
      </c>
    </row>
    <row r="9942" spans="1:16" x14ac:dyDescent="0.25">
      <c r="A9942" t="str">
        <f>"1150057B00160    00"</f>
        <v>1150057B00160    00</v>
      </c>
      <c r="B9942" t="s">
        <v>22005</v>
      </c>
      <c r="C9942" t="s">
        <v>21801</v>
      </c>
      <c r="E9942" t="s">
        <v>207</v>
      </c>
      <c r="F9942">
        <v>0</v>
      </c>
      <c r="G9942">
        <v>0</v>
      </c>
      <c r="H9942">
        <v>1</v>
      </c>
      <c r="I9942" s="3">
        <v>2357.69</v>
      </c>
      <c r="J9942" s="3">
        <v>1886.08</v>
      </c>
      <c r="L9942">
        <v>414</v>
      </c>
      <c r="M9942" t="s">
        <v>4758</v>
      </c>
      <c r="N9942" t="s">
        <v>30</v>
      </c>
      <c r="O9942" t="s">
        <v>31</v>
      </c>
      <c r="P9942" t="str">
        <f>"15219"</f>
        <v>15219</v>
      </c>
    </row>
    <row r="9943" spans="1:16" x14ac:dyDescent="0.25">
      <c r="A9943" t="str">
        <f>"1150057B00192    00"</f>
        <v>1150057B00192    00</v>
      </c>
      <c r="B9943" t="s">
        <v>22006</v>
      </c>
      <c r="C9943" t="s">
        <v>22007</v>
      </c>
      <c r="D9943" t="s">
        <v>20</v>
      </c>
      <c r="E9943" t="s">
        <v>39</v>
      </c>
      <c r="F9943">
        <v>0</v>
      </c>
      <c r="G9943">
        <v>0</v>
      </c>
      <c r="H9943">
        <v>3</v>
      </c>
      <c r="I9943" s="3">
        <v>251.49</v>
      </c>
      <c r="J9943" s="3">
        <v>0.95</v>
      </c>
      <c r="K9943" t="s">
        <v>22008</v>
      </c>
      <c r="M9943" t="s">
        <v>22009</v>
      </c>
      <c r="N9943" t="s">
        <v>30</v>
      </c>
      <c r="O9943" t="s">
        <v>31</v>
      </c>
      <c r="P9943" t="str">
        <f>"15206"</f>
        <v>15206</v>
      </c>
    </row>
    <row r="9944" spans="1:16" x14ac:dyDescent="0.25">
      <c r="A9944" t="str">
        <f>"1150057B00193    00"</f>
        <v>1150057B00193    00</v>
      </c>
      <c r="B9944" t="s">
        <v>22010</v>
      </c>
      <c r="C9944" t="s">
        <v>22011</v>
      </c>
      <c r="D9944" t="s">
        <v>20</v>
      </c>
      <c r="E9944" t="s">
        <v>39</v>
      </c>
      <c r="F9944">
        <v>0</v>
      </c>
      <c r="G9944">
        <v>0</v>
      </c>
      <c r="H9944">
        <v>2</v>
      </c>
      <c r="I9944" s="3">
        <v>560.4</v>
      </c>
      <c r="J9944" s="3">
        <v>0</v>
      </c>
      <c r="L9944">
        <v>5506</v>
      </c>
      <c r="M9944" t="s">
        <v>10247</v>
      </c>
      <c r="N9944" t="s">
        <v>30</v>
      </c>
      <c r="O9944" t="s">
        <v>31</v>
      </c>
      <c r="P9944" t="str">
        <f>"15206"</f>
        <v>15206</v>
      </c>
    </row>
    <row r="9945" spans="1:16" x14ac:dyDescent="0.25">
      <c r="A9945" t="str">
        <f>"1150057B00195    00"</f>
        <v>1150057B00195    00</v>
      </c>
      <c r="B9945" t="s">
        <v>22012</v>
      </c>
      <c r="C9945" t="s">
        <v>22013</v>
      </c>
      <c r="D9945" t="s">
        <v>20</v>
      </c>
      <c r="E9945" t="s">
        <v>39</v>
      </c>
      <c r="F9945">
        <v>0</v>
      </c>
      <c r="G9945">
        <v>0</v>
      </c>
      <c r="H9945">
        <v>10</v>
      </c>
      <c r="I9945" s="3">
        <v>1997.62</v>
      </c>
      <c r="J9945" s="3">
        <v>855.33</v>
      </c>
      <c r="L9945">
        <v>5276</v>
      </c>
      <c r="M9945" t="s">
        <v>21575</v>
      </c>
      <c r="N9945" t="s">
        <v>30</v>
      </c>
      <c r="O9945" t="s">
        <v>31</v>
      </c>
      <c r="P9945" t="str">
        <f t="shared" ref="P9945:P9950" si="115">"15207"</f>
        <v>15207</v>
      </c>
    </row>
    <row r="9946" spans="1:16" x14ac:dyDescent="0.25">
      <c r="A9946" t="str">
        <f>"1150057C00004    00"</f>
        <v>1150057C00004    00</v>
      </c>
      <c r="B9946" t="s">
        <v>22014</v>
      </c>
      <c r="C9946" t="s">
        <v>22015</v>
      </c>
      <c r="D9946" t="s">
        <v>20</v>
      </c>
      <c r="E9946" t="s">
        <v>39</v>
      </c>
      <c r="F9946">
        <v>0</v>
      </c>
      <c r="G9946">
        <v>0</v>
      </c>
      <c r="H9946">
        <v>4</v>
      </c>
      <c r="I9946" s="3">
        <v>241.05</v>
      </c>
      <c r="J9946" s="3">
        <v>31.79</v>
      </c>
      <c r="L9946">
        <v>130</v>
      </c>
      <c r="M9946" t="s">
        <v>21127</v>
      </c>
      <c r="N9946" t="s">
        <v>30</v>
      </c>
      <c r="O9946" t="s">
        <v>31</v>
      </c>
      <c r="P9946" t="str">
        <f t="shared" si="115"/>
        <v>15207</v>
      </c>
    </row>
    <row r="9947" spans="1:16" x14ac:dyDescent="0.25">
      <c r="A9947" t="str">
        <f>"1150057C00008    00"</f>
        <v>1150057C00008    00</v>
      </c>
      <c r="B9947" t="s">
        <v>22016</v>
      </c>
      <c r="C9947" t="s">
        <v>21889</v>
      </c>
      <c r="E9947" t="s">
        <v>39</v>
      </c>
      <c r="F9947">
        <v>0</v>
      </c>
      <c r="G9947">
        <v>0</v>
      </c>
      <c r="H9947">
        <v>9</v>
      </c>
      <c r="I9947" s="3">
        <v>4610.0600000000004</v>
      </c>
      <c r="J9947" s="3">
        <v>6183.8</v>
      </c>
      <c r="L9947">
        <v>228</v>
      </c>
      <c r="M9947" t="s">
        <v>21127</v>
      </c>
      <c r="N9947" t="s">
        <v>30</v>
      </c>
      <c r="O9947" t="s">
        <v>31</v>
      </c>
      <c r="P9947" t="str">
        <f t="shared" si="115"/>
        <v>15207</v>
      </c>
    </row>
    <row r="9948" spans="1:16" x14ac:dyDescent="0.25">
      <c r="A9948" t="str">
        <f>"1150057C00011    00"</f>
        <v>1150057C00011    00</v>
      </c>
      <c r="B9948" t="s">
        <v>22017</v>
      </c>
      <c r="C9948" t="s">
        <v>21889</v>
      </c>
      <c r="E9948" t="s">
        <v>39</v>
      </c>
      <c r="F9948">
        <v>0</v>
      </c>
      <c r="G9948">
        <v>0</v>
      </c>
      <c r="H9948">
        <v>10</v>
      </c>
      <c r="I9948" s="3">
        <v>1352.69</v>
      </c>
      <c r="J9948" s="3">
        <v>1849.99</v>
      </c>
      <c r="L9948">
        <v>228</v>
      </c>
      <c r="M9948" t="s">
        <v>21127</v>
      </c>
      <c r="N9948" t="s">
        <v>30</v>
      </c>
      <c r="O9948" t="s">
        <v>31</v>
      </c>
      <c r="P9948" t="str">
        <f t="shared" si="115"/>
        <v>15207</v>
      </c>
    </row>
    <row r="9949" spans="1:16" x14ac:dyDescent="0.25">
      <c r="A9949" t="str">
        <f>"1150057C00014    00"</f>
        <v>1150057C00014    00</v>
      </c>
      <c r="B9949" t="s">
        <v>22017</v>
      </c>
      <c r="C9949" t="s">
        <v>22018</v>
      </c>
      <c r="E9949" t="s">
        <v>39</v>
      </c>
      <c r="F9949">
        <v>0</v>
      </c>
      <c r="G9949">
        <v>0</v>
      </c>
      <c r="H9949">
        <v>10</v>
      </c>
      <c r="I9949" s="3">
        <v>7303.63</v>
      </c>
      <c r="J9949" s="3">
        <v>9911.67</v>
      </c>
      <c r="K9949" t="s">
        <v>22019</v>
      </c>
      <c r="L9949">
        <v>228</v>
      </c>
      <c r="M9949" t="s">
        <v>21127</v>
      </c>
      <c r="N9949" t="s">
        <v>30</v>
      </c>
      <c r="O9949" t="s">
        <v>31</v>
      </c>
      <c r="P9949" t="str">
        <f t="shared" si="115"/>
        <v>15207</v>
      </c>
    </row>
    <row r="9950" spans="1:16" x14ac:dyDescent="0.25">
      <c r="A9950" t="str">
        <f>"1150057C00016    00"</f>
        <v>1150057C00016    00</v>
      </c>
      <c r="B9950" t="s">
        <v>22020</v>
      </c>
      <c r="C9950" t="s">
        <v>22021</v>
      </c>
      <c r="D9950" t="s">
        <v>20</v>
      </c>
      <c r="E9950" t="s">
        <v>39</v>
      </c>
      <c r="F9950">
        <v>0</v>
      </c>
      <c r="G9950">
        <v>0</v>
      </c>
      <c r="H9950">
        <v>4</v>
      </c>
      <c r="I9950" s="3">
        <v>1795.92</v>
      </c>
      <c r="J9950" s="3">
        <v>539.87</v>
      </c>
      <c r="L9950">
        <v>228</v>
      </c>
      <c r="M9950" t="s">
        <v>21127</v>
      </c>
      <c r="N9950" t="s">
        <v>30</v>
      </c>
      <c r="O9950" t="s">
        <v>31</v>
      </c>
      <c r="P9950" t="str">
        <f t="shared" si="115"/>
        <v>15207</v>
      </c>
    </row>
    <row r="9951" spans="1:16" x14ac:dyDescent="0.25">
      <c r="A9951" t="str">
        <f>"1150057C00020    00"</f>
        <v>1150057C00020    00</v>
      </c>
      <c r="B9951" t="s">
        <v>21694</v>
      </c>
      <c r="C9951" t="s">
        <v>22022</v>
      </c>
      <c r="D9951" t="s">
        <v>20</v>
      </c>
      <c r="E9951" t="s">
        <v>39</v>
      </c>
      <c r="F9951">
        <v>0</v>
      </c>
      <c r="G9951">
        <v>0</v>
      </c>
      <c r="H9951">
        <v>2</v>
      </c>
      <c r="I9951" s="3">
        <v>1383.78</v>
      </c>
      <c r="J9951" s="3">
        <v>0</v>
      </c>
      <c r="K9951" t="s">
        <v>21696</v>
      </c>
      <c r="L9951">
        <v>300</v>
      </c>
      <c r="M9951" t="s">
        <v>21697</v>
      </c>
      <c r="N9951" t="s">
        <v>30</v>
      </c>
      <c r="O9951" t="s">
        <v>31</v>
      </c>
      <c r="P9951" t="str">
        <f>"15236"</f>
        <v>15236</v>
      </c>
    </row>
    <row r="9952" spans="1:16" x14ac:dyDescent="0.25">
      <c r="A9952" t="str">
        <f>"1150057C00023    00"</f>
        <v>1150057C00023    00</v>
      </c>
      <c r="B9952" t="s">
        <v>22023</v>
      </c>
      <c r="C9952" t="s">
        <v>22024</v>
      </c>
      <c r="D9952" t="s">
        <v>20</v>
      </c>
      <c r="E9952" t="s">
        <v>39</v>
      </c>
      <c r="F9952">
        <v>0</v>
      </c>
      <c r="G9952">
        <v>0</v>
      </c>
      <c r="H9952">
        <v>3</v>
      </c>
      <c r="I9952" s="3">
        <v>406.02</v>
      </c>
      <c r="J9952" s="3">
        <v>27.08</v>
      </c>
      <c r="L9952">
        <v>46</v>
      </c>
      <c r="M9952" t="s">
        <v>22025</v>
      </c>
      <c r="N9952" t="s">
        <v>21130</v>
      </c>
      <c r="O9952" t="s">
        <v>31</v>
      </c>
      <c r="P9952" t="str">
        <f>"15120"</f>
        <v>15120</v>
      </c>
    </row>
    <row r="9953" spans="1:16" x14ac:dyDescent="0.25">
      <c r="A9953" t="str">
        <f>"1150057C00076    00"</f>
        <v>1150057C00076    00</v>
      </c>
      <c r="B9953" t="s">
        <v>22026</v>
      </c>
      <c r="C9953" t="s">
        <v>22027</v>
      </c>
      <c r="D9953" t="s">
        <v>20</v>
      </c>
      <c r="E9953" t="s">
        <v>39</v>
      </c>
      <c r="F9953">
        <v>0</v>
      </c>
      <c r="G9953">
        <v>0</v>
      </c>
      <c r="H9953">
        <v>10</v>
      </c>
      <c r="I9953" s="3">
        <v>424.95</v>
      </c>
      <c r="J9953" s="3">
        <v>292.10000000000002</v>
      </c>
      <c r="L9953">
        <v>1830</v>
      </c>
      <c r="M9953" t="s">
        <v>854</v>
      </c>
      <c r="N9953" t="s">
        <v>30</v>
      </c>
      <c r="O9953" t="s">
        <v>31</v>
      </c>
      <c r="P9953" t="str">
        <f>"15219"</f>
        <v>15219</v>
      </c>
    </row>
    <row r="9954" spans="1:16" x14ac:dyDescent="0.25">
      <c r="A9954" t="str">
        <f>"1150057C00079    00"</f>
        <v>1150057C00079    00</v>
      </c>
      <c r="B9954" t="s">
        <v>22028</v>
      </c>
      <c r="C9954" t="s">
        <v>22029</v>
      </c>
      <c r="D9954" t="s">
        <v>20</v>
      </c>
      <c r="E9954" t="s">
        <v>39</v>
      </c>
      <c r="F9954">
        <v>0</v>
      </c>
      <c r="G9954">
        <v>0</v>
      </c>
      <c r="H9954">
        <v>19</v>
      </c>
      <c r="I9954" s="3">
        <v>12933.74</v>
      </c>
      <c r="J9954" s="3">
        <v>13570.4</v>
      </c>
      <c r="L9954">
        <v>65</v>
      </c>
      <c r="M9954" t="s">
        <v>21968</v>
      </c>
      <c r="N9954" t="s">
        <v>30</v>
      </c>
      <c r="O9954" t="s">
        <v>31</v>
      </c>
      <c r="P9954" t="str">
        <f>"15207"</f>
        <v>15207</v>
      </c>
    </row>
    <row r="9955" spans="1:16" x14ac:dyDescent="0.25">
      <c r="A9955" t="str">
        <f>"1150057C00081    00"</f>
        <v>1150057C00081    00</v>
      </c>
      <c r="B9955" t="s">
        <v>22030</v>
      </c>
      <c r="C9955" t="s">
        <v>22031</v>
      </c>
      <c r="D9955" t="s">
        <v>20</v>
      </c>
      <c r="E9955" t="s">
        <v>39</v>
      </c>
      <c r="F9955">
        <v>0</v>
      </c>
      <c r="G9955">
        <v>0</v>
      </c>
      <c r="H9955">
        <v>4</v>
      </c>
      <c r="I9955" s="3">
        <v>2142.56</v>
      </c>
      <c r="J9955" s="3">
        <v>263.83</v>
      </c>
      <c r="L9955">
        <v>46</v>
      </c>
      <c r="M9955" t="s">
        <v>22025</v>
      </c>
      <c r="N9955" t="s">
        <v>285</v>
      </c>
      <c r="O9955" t="s">
        <v>31</v>
      </c>
      <c r="P9955" t="str">
        <f>"15120"</f>
        <v>15120</v>
      </c>
    </row>
    <row r="9956" spans="1:16" x14ac:dyDescent="0.25">
      <c r="A9956" t="str">
        <f>"1150057C00084    00"</f>
        <v>1150057C00084    00</v>
      </c>
      <c r="B9956" t="s">
        <v>22032</v>
      </c>
      <c r="C9956" t="s">
        <v>22033</v>
      </c>
      <c r="D9956" t="s">
        <v>20</v>
      </c>
      <c r="E9956" t="s">
        <v>39</v>
      </c>
      <c r="F9956">
        <v>0</v>
      </c>
      <c r="G9956">
        <v>0</v>
      </c>
      <c r="H9956">
        <v>14</v>
      </c>
      <c r="I9956" s="3">
        <v>10544.36</v>
      </c>
      <c r="J9956" s="3">
        <v>6678.01</v>
      </c>
      <c r="K9956" t="s">
        <v>22034</v>
      </c>
      <c r="L9956">
        <v>8601</v>
      </c>
      <c r="M9956" t="s">
        <v>22035</v>
      </c>
      <c r="N9956" t="s">
        <v>14556</v>
      </c>
      <c r="O9956" t="s">
        <v>1184</v>
      </c>
      <c r="P9956" t="str">
        <f>"20724"</f>
        <v>20724</v>
      </c>
    </row>
    <row r="9957" spans="1:16" x14ac:dyDescent="0.25">
      <c r="A9957" t="str">
        <f>"1150057C00087    00"</f>
        <v>1150057C00087    00</v>
      </c>
      <c r="B9957" t="s">
        <v>22036</v>
      </c>
      <c r="C9957" t="s">
        <v>21965</v>
      </c>
      <c r="D9957" t="s">
        <v>20</v>
      </c>
      <c r="E9957" t="s">
        <v>39</v>
      </c>
      <c r="F9957">
        <v>0</v>
      </c>
      <c r="G9957">
        <v>0</v>
      </c>
      <c r="H9957">
        <v>19</v>
      </c>
      <c r="I9957" s="3">
        <v>6863.02</v>
      </c>
      <c r="J9957" s="3">
        <v>9290.56</v>
      </c>
      <c r="L9957">
        <v>3707</v>
      </c>
      <c r="M9957" t="s">
        <v>22037</v>
      </c>
      <c r="N9957" t="s">
        <v>22038</v>
      </c>
      <c r="O9957" t="s">
        <v>25</v>
      </c>
      <c r="P9957" t="str">
        <f>"44502"</f>
        <v>44502</v>
      </c>
    </row>
    <row r="9958" spans="1:16" x14ac:dyDescent="0.25">
      <c r="A9958" t="str">
        <f>"1150057C00088    00"</f>
        <v>1150057C00088    00</v>
      </c>
      <c r="B9958" t="s">
        <v>22039</v>
      </c>
      <c r="C9958" t="s">
        <v>22040</v>
      </c>
      <c r="D9958" t="s">
        <v>20</v>
      </c>
      <c r="E9958" t="s">
        <v>39</v>
      </c>
      <c r="F9958">
        <v>0</v>
      </c>
      <c r="G9958">
        <v>0</v>
      </c>
      <c r="H9958">
        <v>19</v>
      </c>
      <c r="I9958" s="3">
        <v>8432.2000000000007</v>
      </c>
      <c r="J9958" s="3">
        <v>10504.2</v>
      </c>
      <c r="L9958">
        <v>47</v>
      </c>
      <c r="M9958" t="s">
        <v>21968</v>
      </c>
      <c r="N9958" t="s">
        <v>30</v>
      </c>
      <c r="O9958" t="s">
        <v>31</v>
      </c>
      <c r="P9958" t="str">
        <f>"15207"</f>
        <v>15207</v>
      </c>
    </row>
    <row r="9959" spans="1:16" x14ac:dyDescent="0.25">
      <c r="A9959" t="str">
        <f>"1150057C00089    00"</f>
        <v>1150057C00089    00</v>
      </c>
      <c r="B9959" t="s">
        <v>22041</v>
      </c>
      <c r="C9959" t="s">
        <v>21965</v>
      </c>
      <c r="D9959" t="s">
        <v>20</v>
      </c>
      <c r="E9959" t="s">
        <v>39</v>
      </c>
      <c r="F9959">
        <v>0</v>
      </c>
      <c r="G9959">
        <v>0</v>
      </c>
      <c r="H9959">
        <v>19</v>
      </c>
      <c r="I9959" s="3">
        <v>323.60000000000002</v>
      </c>
      <c r="J9959" s="3">
        <v>306.02</v>
      </c>
      <c r="K9959" t="s">
        <v>1008</v>
      </c>
      <c r="P9959" t="str">
        <f>""</f>
        <v/>
      </c>
    </row>
    <row r="9960" spans="1:16" x14ac:dyDescent="0.25">
      <c r="A9960" t="str">
        <f>"1150057C00091    00"</f>
        <v>1150057C00091    00</v>
      </c>
      <c r="B9960" t="s">
        <v>22042</v>
      </c>
      <c r="C9960" t="s">
        <v>21965</v>
      </c>
      <c r="E9960" t="s">
        <v>39</v>
      </c>
      <c r="F9960">
        <v>0</v>
      </c>
      <c r="G9960">
        <v>0</v>
      </c>
      <c r="H9960">
        <v>16</v>
      </c>
      <c r="I9960" s="3">
        <v>294.13</v>
      </c>
      <c r="J9960" s="3">
        <v>314.22000000000003</v>
      </c>
      <c r="K9960" t="s">
        <v>22043</v>
      </c>
      <c r="L9960">
        <v>207</v>
      </c>
      <c r="M9960" t="s">
        <v>13437</v>
      </c>
      <c r="N9960" t="s">
        <v>30</v>
      </c>
      <c r="O9960" t="s">
        <v>31</v>
      </c>
      <c r="P9960" t="str">
        <f>"15207"</f>
        <v>15207</v>
      </c>
    </row>
    <row r="9961" spans="1:16" x14ac:dyDescent="0.25">
      <c r="A9961" t="str">
        <f>"1150057C00092    00"</f>
        <v>1150057C00092    00</v>
      </c>
      <c r="B9961" t="s">
        <v>22044</v>
      </c>
      <c r="C9961" t="s">
        <v>22045</v>
      </c>
      <c r="E9961" t="s">
        <v>39</v>
      </c>
      <c r="F9961">
        <v>0</v>
      </c>
      <c r="G9961">
        <v>0</v>
      </c>
      <c r="H9961">
        <v>6</v>
      </c>
      <c r="I9961" s="3">
        <v>1949.07</v>
      </c>
      <c r="J9961" s="3">
        <v>2853.37</v>
      </c>
      <c r="L9961">
        <v>41</v>
      </c>
      <c r="M9961" t="s">
        <v>21968</v>
      </c>
      <c r="N9961" t="s">
        <v>30</v>
      </c>
      <c r="O9961" t="s">
        <v>31</v>
      </c>
      <c r="P9961" t="str">
        <f>"15207"</f>
        <v>15207</v>
      </c>
    </row>
    <row r="9962" spans="1:16" x14ac:dyDescent="0.25">
      <c r="A9962" t="str">
        <f>"1150057C00093    00"</f>
        <v>1150057C00093    00</v>
      </c>
      <c r="B9962" t="s">
        <v>22046</v>
      </c>
      <c r="C9962" t="s">
        <v>22047</v>
      </c>
      <c r="D9962" t="s">
        <v>20</v>
      </c>
      <c r="E9962" t="s">
        <v>39</v>
      </c>
      <c r="F9962">
        <v>0</v>
      </c>
      <c r="G9962">
        <v>0</v>
      </c>
      <c r="H9962">
        <v>12</v>
      </c>
      <c r="I9962" s="3">
        <v>4570.2</v>
      </c>
      <c r="J9962" s="3">
        <v>6315.57</v>
      </c>
      <c r="M9962" t="s">
        <v>22048</v>
      </c>
      <c r="N9962" t="s">
        <v>30</v>
      </c>
      <c r="O9962" t="s">
        <v>31</v>
      </c>
      <c r="P9962" t="str">
        <f>"15207"</f>
        <v>15207</v>
      </c>
    </row>
    <row r="9963" spans="1:16" x14ac:dyDescent="0.25">
      <c r="A9963" t="str">
        <f>"1150057C00094    00"</f>
        <v>1150057C00094    00</v>
      </c>
      <c r="B9963" t="s">
        <v>22049</v>
      </c>
      <c r="C9963" t="s">
        <v>22050</v>
      </c>
      <c r="D9963" t="s">
        <v>20</v>
      </c>
      <c r="E9963" t="s">
        <v>39</v>
      </c>
      <c r="F9963">
        <v>0</v>
      </c>
      <c r="G9963">
        <v>0</v>
      </c>
      <c r="H9963">
        <v>4</v>
      </c>
      <c r="I9963" s="3">
        <v>1018.18</v>
      </c>
      <c r="J9963" s="3">
        <v>391.79</v>
      </c>
      <c r="M9963" t="s">
        <v>13711</v>
      </c>
      <c r="N9963" t="s">
        <v>30</v>
      </c>
      <c r="O9963" t="s">
        <v>31</v>
      </c>
      <c r="P9963" t="str">
        <f>"15235"</f>
        <v>15235</v>
      </c>
    </row>
    <row r="9964" spans="1:16" x14ac:dyDescent="0.25">
      <c r="A9964" t="str">
        <f>"1150057C00095    00"</f>
        <v>1150057C00095    00</v>
      </c>
      <c r="B9964" t="s">
        <v>22051</v>
      </c>
      <c r="C9964" t="s">
        <v>22050</v>
      </c>
      <c r="D9964" t="s">
        <v>20</v>
      </c>
      <c r="E9964" t="s">
        <v>39</v>
      </c>
      <c r="F9964">
        <v>0</v>
      </c>
      <c r="G9964">
        <v>0</v>
      </c>
      <c r="H9964">
        <v>3</v>
      </c>
      <c r="I9964" s="3">
        <v>870.3</v>
      </c>
      <c r="J9964" s="3">
        <v>78.92</v>
      </c>
      <c r="K9964" t="s">
        <v>22052</v>
      </c>
      <c r="L9964">
        <v>21</v>
      </c>
      <c r="M9964" t="s">
        <v>17040</v>
      </c>
      <c r="N9964" t="s">
        <v>4158</v>
      </c>
      <c r="O9964" t="s">
        <v>31</v>
      </c>
      <c r="P9964" t="str">
        <f>"15034"</f>
        <v>15034</v>
      </c>
    </row>
    <row r="9965" spans="1:16" x14ac:dyDescent="0.25">
      <c r="A9965" t="str">
        <f>"1150057C00096    00"</f>
        <v>1150057C00096    00</v>
      </c>
      <c r="B9965" t="s">
        <v>22053</v>
      </c>
      <c r="C9965" t="s">
        <v>22054</v>
      </c>
      <c r="D9965" t="s">
        <v>20</v>
      </c>
      <c r="E9965" t="s">
        <v>39</v>
      </c>
      <c r="F9965">
        <v>0</v>
      </c>
      <c r="G9965">
        <v>0</v>
      </c>
      <c r="H9965">
        <v>15</v>
      </c>
      <c r="I9965" s="3">
        <v>4731.8599999999997</v>
      </c>
      <c r="J9965" s="3">
        <v>3660.16</v>
      </c>
      <c r="L9965">
        <v>212</v>
      </c>
      <c r="M9965" t="s">
        <v>22055</v>
      </c>
      <c r="N9965" t="s">
        <v>30</v>
      </c>
      <c r="O9965" t="s">
        <v>31</v>
      </c>
      <c r="P9965" t="str">
        <f>"15210"</f>
        <v>15210</v>
      </c>
    </row>
    <row r="9966" spans="1:16" x14ac:dyDescent="0.25">
      <c r="A9966" t="str">
        <f>"1150057C00097    00"</f>
        <v>1150057C00097    00</v>
      </c>
      <c r="B9966" t="s">
        <v>22056</v>
      </c>
      <c r="C9966" t="s">
        <v>21965</v>
      </c>
      <c r="D9966" t="s">
        <v>20</v>
      </c>
      <c r="E9966" t="s">
        <v>39</v>
      </c>
      <c r="F9966">
        <v>0</v>
      </c>
      <c r="G9966">
        <v>0</v>
      </c>
      <c r="H9966">
        <v>17</v>
      </c>
      <c r="I9966" s="3">
        <v>8262.1200000000008</v>
      </c>
      <c r="J9966" s="3">
        <v>11813.39</v>
      </c>
      <c r="K9966" t="s">
        <v>22057</v>
      </c>
      <c r="L9966">
        <v>303</v>
      </c>
      <c r="M9966" t="s">
        <v>22058</v>
      </c>
      <c r="N9966" t="s">
        <v>22059</v>
      </c>
      <c r="O9966" t="s">
        <v>31</v>
      </c>
      <c r="P9966" t="str">
        <f>"19460"</f>
        <v>19460</v>
      </c>
    </row>
    <row r="9967" spans="1:16" x14ac:dyDescent="0.25">
      <c r="A9967" t="str">
        <f>"1150057C00102    00"</f>
        <v>1150057C00102    00</v>
      </c>
      <c r="B9967" t="s">
        <v>22060</v>
      </c>
      <c r="C9967" t="s">
        <v>21965</v>
      </c>
      <c r="D9967" t="s">
        <v>20</v>
      </c>
      <c r="E9967" t="s">
        <v>39</v>
      </c>
      <c r="F9967">
        <v>0</v>
      </c>
      <c r="G9967">
        <v>0</v>
      </c>
      <c r="H9967">
        <v>19</v>
      </c>
      <c r="I9967" s="3">
        <v>460.77</v>
      </c>
      <c r="J9967" s="3">
        <v>423.58</v>
      </c>
      <c r="K9967" t="s">
        <v>1008</v>
      </c>
      <c r="P9967" t="str">
        <f>""</f>
        <v/>
      </c>
    </row>
    <row r="9968" spans="1:16" x14ac:dyDescent="0.25">
      <c r="A9968" t="str">
        <f>"1150057C00103    00"</f>
        <v>1150057C00103    00</v>
      </c>
      <c r="B9968" t="s">
        <v>22061</v>
      </c>
      <c r="C9968" t="s">
        <v>21965</v>
      </c>
      <c r="D9968" t="s">
        <v>20</v>
      </c>
      <c r="E9968" t="s">
        <v>39</v>
      </c>
      <c r="F9968">
        <v>0</v>
      </c>
      <c r="G9968">
        <v>0</v>
      </c>
      <c r="H9968">
        <v>19</v>
      </c>
      <c r="I9968" s="3">
        <v>436.04</v>
      </c>
      <c r="J9968" s="3">
        <v>387.95</v>
      </c>
      <c r="K9968" t="s">
        <v>1037</v>
      </c>
      <c r="L9968">
        <v>21</v>
      </c>
      <c r="M9968" t="s">
        <v>21968</v>
      </c>
      <c r="N9968" t="s">
        <v>30</v>
      </c>
      <c r="O9968" t="s">
        <v>31</v>
      </c>
      <c r="P9968" t="str">
        <f>"15207"</f>
        <v>15207</v>
      </c>
    </row>
    <row r="9969" spans="1:16" x14ac:dyDescent="0.25">
      <c r="A9969" t="str">
        <f>"1150057C00107    00"</f>
        <v>1150057C00107    00</v>
      </c>
      <c r="B9969" t="s">
        <v>22062</v>
      </c>
      <c r="C9969" t="s">
        <v>21801</v>
      </c>
      <c r="D9969" t="s">
        <v>20</v>
      </c>
      <c r="E9969" t="s">
        <v>39</v>
      </c>
      <c r="F9969">
        <v>0</v>
      </c>
      <c r="G9969">
        <v>0</v>
      </c>
      <c r="H9969">
        <v>19</v>
      </c>
      <c r="I9969" s="3">
        <v>5275.22</v>
      </c>
      <c r="J9969" s="3">
        <v>7225.41</v>
      </c>
      <c r="L9969">
        <v>810</v>
      </c>
      <c r="M9969" t="s">
        <v>21443</v>
      </c>
      <c r="N9969" t="s">
        <v>30</v>
      </c>
      <c r="O9969" t="s">
        <v>31</v>
      </c>
      <c r="P9969" t="str">
        <f>"15221"</f>
        <v>15221</v>
      </c>
    </row>
    <row r="9970" spans="1:16" x14ac:dyDescent="0.25">
      <c r="A9970" t="str">
        <f>"1150057C00109    00"</f>
        <v>1150057C00109    00</v>
      </c>
      <c r="B9970" t="s">
        <v>22063</v>
      </c>
      <c r="C9970" t="s">
        <v>21801</v>
      </c>
      <c r="D9970" t="s">
        <v>20</v>
      </c>
      <c r="E9970" t="s">
        <v>39</v>
      </c>
      <c r="F9970">
        <v>0</v>
      </c>
      <c r="G9970">
        <v>0</v>
      </c>
      <c r="H9970">
        <v>18</v>
      </c>
      <c r="I9970" s="3">
        <v>2790.15</v>
      </c>
      <c r="J9970" s="3">
        <v>3571.67</v>
      </c>
      <c r="L9970">
        <v>2850</v>
      </c>
      <c r="M9970" t="s">
        <v>22064</v>
      </c>
      <c r="N9970" t="s">
        <v>30</v>
      </c>
      <c r="O9970" t="s">
        <v>31</v>
      </c>
      <c r="P9970" t="str">
        <f>"15203"</f>
        <v>15203</v>
      </c>
    </row>
    <row r="9971" spans="1:16" x14ac:dyDescent="0.25">
      <c r="A9971" t="str">
        <f>"1150057C00112    00"</f>
        <v>1150057C00112    00</v>
      </c>
      <c r="B9971" t="s">
        <v>22065</v>
      </c>
      <c r="C9971" t="s">
        <v>21801</v>
      </c>
      <c r="D9971" t="s">
        <v>20</v>
      </c>
      <c r="E9971" t="s">
        <v>39</v>
      </c>
      <c r="F9971">
        <v>0</v>
      </c>
      <c r="G9971">
        <v>0</v>
      </c>
      <c r="H9971">
        <v>17</v>
      </c>
      <c r="I9971" s="3">
        <v>3215.13</v>
      </c>
      <c r="J9971" s="3">
        <v>4635.1000000000004</v>
      </c>
      <c r="L9971">
        <v>5437</v>
      </c>
      <c r="M9971" t="s">
        <v>13512</v>
      </c>
      <c r="N9971" t="s">
        <v>30</v>
      </c>
      <c r="O9971" t="s">
        <v>31</v>
      </c>
      <c r="P9971" t="str">
        <f>"15207"</f>
        <v>15207</v>
      </c>
    </row>
    <row r="9972" spans="1:16" x14ac:dyDescent="0.25">
      <c r="A9972" t="str">
        <f>"1150057C00116    00"</f>
        <v>1150057C00116    00</v>
      </c>
      <c r="B9972" t="s">
        <v>22066</v>
      </c>
      <c r="C9972" t="s">
        <v>21801</v>
      </c>
      <c r="D9972" t="s">
        <v>20</v>
      </c>
      <c r="E9972" t="s">
        <v>39</v>
      </c>
      <c r="F9972">
        <v>0</v>
      </c>
      <c r="G9972">
        <v>0</v>
      </c>
      <c r="H9972">
        <v>15</v>
      </c>
      <c r="I9972" s="3">
        <v>237.85</v>
      </c>
      <c r="J9972" s="3">
        <v>270.13</v>
      </c>
      <c r="K9972" t="s">
        <v>22067</v>
      </c>
      <c r="L9972">
        <v>222</v>
      </c>
      <c r="M9972" t="s">
        <v>1020</v>
      </c>
      <c r="N9972" t="s">
        <v>30</v>
      </c>
      <c r="O9972" t="s">
        <v>31</v>
      </c>
      <c r="P9972" t="str">
        <f>"15207"</f>
        <v>15207</v>
      </c>
    </row>
    <row r="9973" spans="1:16" x14ac:dyDescent="0.25">
      <c r="A9973" t="str">
        <f>"1150057C00118    00"</f>
        <v>1150057C00118    00</v>
      </c>
      <c r="B9973" t="s">
        <v>22068</v>
      </c>
      <c r="C9973" t="s">
        <v>21801</v>
      </c>
      <c r="D9973" t="s">
        <v>20</v>
      </c>
      <c r="E9973" t="s">
        <v>39</v>
      </c>
      <c r="F9973">
        <v>0</v>
      </c>
      <c r="G9973">
        <v>0</v>
      </c>
      <c r="H9973">
        <v>17</v>
      </c>
      <c r="I9973" s="3">
        <v>202.97</v>
      </c>
      <c r="J9973" s="3">
        <v>243.18</v>
      </c>
      <c r="L9973">
        <v>5318</v>
      </c>
      <c r="M9973" t="s">
        <v>20688</v>
      </c>
      <c r="N9973" t="s">
        <v>30</v>
      </c>
      <c r="O9973" t="s">
        <v>31</v>
      </c>
      <c r="P9973" t="str">
        <f>"15207"</f>
        <v>15207</v>
      </c>
    </row>
    <row r="9974" spans="1:16" x14ac:dyDescent="0.25">
      <c r="A9974" t="str">
        <f>"1150057C00118A   00"</f>
        <v>1150057C00118A   00</v>
      </c>
      <c r="B9974" t="s">
        <v>22069</v>
      </c>
      <c r="C9974" t="s">
        <v>21976</v>
      </c>
      <c r="D9974" t="s">
        <v>20</v>
      </c>
      <c r="E9974" t="s">
        <v>39</v>
      </c>
      <c r="F9974">
        <v>0</v>
      </c>
      <c r="G9974">
        <v>0</v>
      </c>
      <c r="H9974">
        <v>17</v>
      </c>
      <c r="I9974" s="3">
        <v>159.91999999999999</v>
      </c>
      <c r="J9974" s="3">
        <v>197.54</v>
      </c>
      <c r="K9974" t="s">
        <v>1008</v>
      </c>
      <c r="P9974" t="str">
        <f>""</f>
        <v/>
      </c>
    </row>
    <row r="9975" spans="1:16" x14ac:dyDescent="0.25">
      <c r="A9975" t="str">
        <f>"1150057C00125    00"</f>
        <v>1150057C00125    00</v>
      </c>
      <c r="B9975" t="s">
        <v>17237</v>
      </c>
      <c r="C9975" t="s">
        <v>21801</v>
      </c>
      <c r="D9975" t="s">
        <v>20</v>
      </c>
      <c r="E9975" t="s">
        <v>39</v>
      </c>
      <c r="F9975">
        <v>0</v>
      </c>
      <c r="G9975">
        <v>0</v>
      </c>
      <c r="H9975">
        <v>19</v>
      </c>
      <c r="I9975" s="3">
        <v>351.08</v>
      </c>
      <c r="J9975" s="3">
        <v>365.58</v>
      </c>
      <c r="L9975">
        <v>1705</v>
      </c>
      <c r="M9975" t="s">
        <v>13961</v>
      </c>
      <c r="N9975" t="s">
        <v>30</v>
      </c>
      <c r="O9975" t="s">
        <v>31</v>
      </c>
      <c r="P9975" t="str">
        <f>"15212"</f>
        <v>15212</v>
      </c>
    </row>
    <row r="9976" spans="1:16" x14ac:dyDescent="0.25">
      <c r="A9976" t="str">
        <f>"1150057C00161    00"</f>
        <v>1150057C00161    00</v>
      </c>
      <c r="B9976" t="s">
        <v>22070</v>
      </c>
      <c r="C9976" t="s">
        <v>22071</v>
      </c>
      <c r="D9976" t="s">
        <v>20</v>
      </c>
      <c r="E9976" t="s">
        <v>39</v>
      </c>
      <c r="F9976">
        <v>0</v>
      </c>
      <c r="G9976">
        <v>0</v>
      </c>
      <c r="H9976">
        <v>18</v>
      </c>
      <c r="I9976" s="3">
        <v>2304.56</v>
      </c>
      <c r="J9976" s="3">
        <v>2085.56</v>
      </c>
      <c r="K9976" t="s">
        <v>22072</v>
      </c>
      <c r="L9976">
        <v>4908</v>
      </c>
      <c r="M9976" t="s">
        <v>20688</v>
      </c>
      <c r="N9976" t="s">
        <v>30</v>
      </c>
      <c r="O9976" t="s">
        <v>31</v>
      </c>
      <c r="P9976" t="str">
        <f>"15207"</f>
        <v>15207</v>
      </c>
    </row>
    <row r="9977" spans="1:16" x14ac:dyDescent="0.25">
      <c r="A9977" t="str">
        <f>"1150057C00161A   00"</f>
        <v>1150057C00161A   00</v>
      </c>
      <c r="B9977" t="s">
        <v>22073</v>
      </c>
      <c r="C9977" t="s">
        <v>22074</v>
      </c>
      <c r="D9977" t="s">
        <v>20</v>
      </c>
      <c r="E9977" t="s">
        <v>39</v>
      </c>
      <c r="F9977">
        <v>0</v>
      </c>
      <c r="G9977">
        <v>0</v>
      </c>
      <c r="H9977">
        <v>11</v>
      </c>
      <c r="I9977" s="3">
        <v>1308.73</v>
      </c>
      <c r="J9977" s="3">
        <v>609.38</v>
      </c>
      <c r="P9977" t="str">
        <f>""</f>
        <v/>
      </c>
    </row>
    <row r="9978" spans="1:16" x14ac:dyDescent="0.25">
      <c r="A9978" t="str">
        <f>"1150057C00162A   00"</f>
        <v>1150057C00162A   00</v>
      </c>
      <c r="B9978" t="s">
        <v>22075</v>
      </c>
      <c r="C9978" t="s">
        <v>21491</v>
      </c>
      <c r="D9978" t="s">
        <v>20</v>
      </c>
      <c r="E9978" t="s">
        <v>39</v>
      </c>
      <c r="F9978">
        <v>0</v>
      </c>
      <c r="G9978">
        <v>0</v>
      </c>
      <c r="H9978">
        <v>19</v>
      </c>
      <c r="I9978" s="3">
        <v>7133.19</v>
      </c>
      <c r="J9978" s="3">
        <v>9315.33</v>
      </c>
      <c r="K9978" t="s">
        <v>1008</v>
      </c>
      <c r="P9978" t="str">
        <f>""</f>
        <v/>
      </c>
    </row>
    <row r="9979" spans="1:16" x14ac:dyDescent="0.25">
      <c r="A9979" t="str">
        <f>"1150057C00163    00"</f>
        <v>1150057C00163    00</v>
      </c>
      <c r="B9979" t="s">
        <v>22076</v>
      </c>
      <c r="C9979" t="s">
        <v>21491</v>
      </c>
      <c r="D9979" t="s">
        <v>20</v>
      </c>
      <c r="E9979" t="s">
        <v>39</v>
      </c>
      <c r="F9979">
        <v>0</v>
      </c>
      <c r="G9979">
        <v>0</v>
      </c>
      <c r="H9979">
        <v>19</v>
      </c>
      <c r="I9979" s="3">
        <v>2299.65</v>
      </c>
      <c r="J9979" s="3">
        <v>2455.59</v>
      </c>
      <c r="K9979" t="s">
        <v>22077</v>
      </c>
      <c r="M9979" t="s">
        <v>16278</v>
      </c>
      <c r="N9979" t="s">
        <v>30</v>
      </c>
      <c r="O9979" t="s">
        <v>31</v>
      </c>
      <c r="P9979" t="str">
        <f>"15210"</f>
        <v>15210</v>
      </c>
    </row>
    <row r="9980" spans="1:16" x14ac:dyDescent="0.25">
      <c r="A9980" t="str">
        <f>"1150057C00163A   00"</f>
        <v>1150057C00163A   00</v>
      </c>
      <c r="B9980" t="s">
        <v>22078</v>
      </c>
      <c r="C9980" t="s">
        <v>21491</v>
      </c>
      <c r="D9980" t="s">
        <v>20</v>
      </c>
      <c r="E9980" t="s">
        <v>39</v>
      </c>
      <c r="F9980">
        <v>0</v>
      </c>
      <c r="G9980">
        <v>0</v>
      </c>
      <c r="H9980">
        <v>19</v>
      </c>
      <c r="I9980" s="3">
        <v>2245.15</v>
      </c>
      <c r="J9980" s="3">
        <v>2418.85</v>
      </c>
      <c r="L9980">
        <v>252</v>
      </c>
      <c r="M9980" t="s">
        <v>21497</v>
      </c>
      <c r="N9980" t="s">
        <v>30</v>
      </c>
      <c r="O9980" t="s">
        <v>31</v>
      </c>
      <c r="P9980" t="str">
        <f>"15207"</f>
        <v>15207</v>
      </c>
    </row>
    <row r="9981" spans="1:16" x14ac:dyDescent="0.25">
      <c r="A9981" t="str">
        <f>"1150057C00178    00"</f>
        <v>1150057C00178    00</v>
      </c>
      <c r="B9981" t="s">
        <v>22079</v>
      </c>
      <c r="C9981" t="s">
        <v>22080</v>
      </c>
      <c r="D9981" t="s">
        <v>20</v>
      </c>
      <c r="E9981" t="s">
        <v>39</v>
      </c>
      <c r="F9981">
        <v>0</v>
      </c>
      <c r="G9981">
        <v>0</v>
      </c>
      <c r="H9981">
        <v>17</v>
      </c>
      <c r="I9981" s="3">
        <v>184.56</v>
      </c>
      <c r="J9981" s="3">
        <v>233.11</v>
      </c>
      <c r="K9981" t="s">
        <v>1008</v>
      </c>
      <c r="P9981" t="str">
        <f>""</f>
        <v/>
      </c>
    </row>
    <row r="9982" spans="1:16" x14ac:dyDescent="0.25">
      <c r="A9982" t="str">
        <f>"1150057C00178A   00"</f>
        <v>1150057C00178A   00</v>
      </c>
      <c r="B9982" t="s">
        <v>22081</v>
      </c>
      <c r="C9982" t="s">
        <v>22080</v>
      </c>
      <c r="D9982" t="s">
        <v>20</v>
      </c>
      <c r="E9982" t="s">
        <v>39</v>
      </c>
      <c r="F9982">
        <v>0</v>
      </c>
      <c r="G9982">
        <v>0</v>
      </c>
      <c r="H9982">
        <v>15</v>
      </c>
      <c r="I9982" s="3">
        <v>152.80000000000001</v>
      </c>
      <c r="J9982" s="3">
        <v>190.82</v>
      </c>
      <c r="L9982">
        <v>2113</v>
      </c>
      <c r="M9982" t="s">
        <v>3993</v>
      </c>
      <c r="N9982" t="s">
        <v>30</v>
      </c>
      <c r="O9982" t="s">
        <v>31</v>
      </c>
      <c r="P9982" t="str">
        <f>"15221"</f>
        <v>15221</v>
      </c>
    </row>
    <row r="9983" spans="1:16" x14ac:dyDescent="0.25">
      <c r="A9983" t="str">
        <f>"1150057C00183    00"</f>
        <v>1150057C00183    00</v>
      </c>
      <c r="B9983" t="s">
        <v>22082</v>
      </c>
      <c r="C9983" t="s">
        <v>22080</v>
      </c>
      <c r="D9983" t="s">
        <v>20</v>
      </c>
      <c r="E9983" t="s">
        <v>39</v>
      </c>
      <c r="F9983">
        <v>0</v>
      </c>
      <c r="G9983">
        <v>0</v>
      </c>
      <c r="H9983">
        <v>17</v>
      </c>
      <c r="I9983" s="3">
        <v>1359.68</v>
      </c>
      <c r="J9983" s="3">
        <v>1875.25</v>
      </c>
      <c r="L9983">
        <v>5420</v>
      </c>
      <c r="M9983" t="s">
        <v>22083</v>
      </c>
      <c r="N9983" t="s">
        <v>30</v>
      </c>
      <c r="O9983" t="s">
        <v>31</v>
      </c>
      <c r="P9983" t="str">
        <f>"15207"</f>
        <v>15207</v>
      </c>
    </row>
    <row r="9984" spans="1:16" x14ac:dyDescent="0.25">
      <c r="A9984" t="str">
        <f>"1150057C00184    00"</f>
        <v>1150057C00184    00</v>
      </c>
      <c r="B9984" t="s">
        <v>22084</v>
      </c>
      <c r="C9984" t="s">
        <v>22080</v>
      </c>
      <c r="D9984" t="s">
        <v>20</v>
      </c>
      <c r="E9984" t="s">
        <v>39</v>
      </c>
      <c r="F9984">
        <v>0</v>
      </c>
      <c r="G9984">
        <v>0</v>
      </c>
      <c r="H9984">
        <v>19</v>
      </c>
      <c r="I9984" s="3">
        <v>1791.95</v>
      </c>
      <c r="J9984" s="3">
        <v>1987.65</v>
      </c>
      <c r="L9984">
        <v>1312</v>
      </c>
      <c r="M9984" t="s">
        <v>22085</v>
      </c>
      <c r="N9984" t="s">
        <v>30</v>
      </c>
      <c r="O9984" t="s">
        <v>31</v>
      </c>
      <c r="P9984" t="str">
        <f>"15216"</f>
        <v>15216</v>
      </c>
    </row>
    <row r="9985" spans="1:16" x14ac:dyDescent="0.25">
      <c r="A9985" t="str">
        <f>"1150057C00185    00"</f>
        <v>1150057C00185    00</v>
      </c>
      <c r="B9985" t="s">
        <v>22086</v>
      </c>
      <c r="C9985" t="s">
        <v>22080</v>
      </c>
      <c r="D9985" t="s">
        <v>20</v>
      </c>
      <c r="E9985" t="s">
        <v>39</v>
      </c>
      <c r="F9985">
        <v>0</v>
      </c>
      <c r="G9985">
        <v>0</v>
      </c>
      <c r="H9985">
        <v>19</v>
      </c>
      <c r="I9985" s="3">
        <v>2076.4699999999998</v>
      </c>
      <c r="J9985" s="3">
        <v>2422.7600000000002</v>
      </c>
      <c r="L9985">
        <v>210</v>
      </c>
      <c r="M9985" t="s">
        <v>22087</v>
      </c>
      <c r="N9985" t="s">
        <v>22088</v>
      </c>
      <c r="O9985" t="s">
        <v>495</v>
      </c>
      <c r="P9985" t="str">
        <f>"92251"</f>
        <v>92251</v>
      </c>
    </row>
    <row r="9986" spans="1:16" x14ac:dyDescent="0.25">
      <c r="A9986" t="str">
        <f>"1150057C00185A   00"</f>
        <v>1150057C00185A   00</v>
      </c>
      <c r="B9986" t="s">
        <v>22089</v>
      </c>
      <c r="C9986" t="s">
        <v>22080</v>
      </c>
      <c r="D9986" t="s">
        <v>20</v>
      </c>
      <c r="E9986" t="s">
        <v>39</v>
      </c>
      <c r="F9986">
        <v>0</v>
      </c>
      <c r="G9986">
        <v>0</v>
      </c>
      <c r="H9986">
        <v>16</v>
      </c>
      <c r="I9986" s="3">
        <v>2047.25</v>
      </c>
      <c r="J9986" s="3">
        <v>3047.04</v>
      </c>
      <c r="L9986">
        <v>7150</v>
      </c>
      <c r="M9986" t="s">
        <v>12045</v>
      </c>
      <c r="N9986" t="s">
        <v>30</v>
      </c>
      <c r="O9986" t="s">
        <v>31</v>
      </c>
      <c r="P9986" t="str">
        <f>"15208"</f>
        <v>15208</v>
      </c>
    </row>
    <row r="9987" spans="1:16" x14ac:dyDescent="0.25">
      <c r="A9987" t="str">
        <f>"1150057C00185B   00"</f>
        <v>1150057C00185B   00</v>
      </c>
      <c r="B9987" t="s">
        <v>22090</v>
      </c>
      <c r="C9987" t="s">
        <v>22080</v>
      </c>
      <c r="D9987" t="s">
        <v>20</v>
      </c>
      <c r="E9987" t="s">
        <v>39</v>
      </c>
      <c r="F9987">
        <v>0</v>
      </c>
      <c r="G9987">
        <v>0</v>
      </c>
      <c r="H9987">
        <v>17</v>
      </c>
      <c r="I9987" s="3">
        <v>953.63</v>
      </c>
      <c r="J9987" s="3">
        <v>1293.2</v>
      </c>
      <c r="P9987" t="str">
        <f>""</f>
        <v/>
      </c>
    </row>
    <row r="9988" spans="1:16" x14ac:dyDescent="0.25">
      <c r="A9988" t="str">
        <f>"1150057C00186    00"</f>
        <v>1150057C00186    00</v>
      </c>
      <c r="B9988" t="s">
        <v>22091</v>
      </c>
      <c r="C9988" t="s">
        <v>22080</v>
      </c>
      <c r="D9988" t="s">
        <v>20</v>
      </c>
      <c r="E9988" t="s">
        <v>39</v>
      </c>
      <c r="F9988">
        <v>0</v>
      </c>
      <c r="G9988">
        <v>0</v>
      </c>
      <c r="H9988">
        <v>12</v>
      </c>
      <c r="I9988" s="3">
        <v>205.2</v>
      </c>
      <c r="J9988" s="3">
        <v>274.08999999999997</v>
      </c>
      <c r="L9988">
        <v>5611</v>
      </c>
      <c r="M9988" t="s">
        <v>21979</v>
      </c>
      <c r="N9988" t="s">
        <v>30</v>
      </c>
      <c r="O9988" t="s">
        <v>31</v>
      </c>
      <c r="P9988" t="str">
        <f>"15207"</f>
        <v>15207</v>
      </c>
    </row>
    <row r="9989" spans="1:16" x14ac:dyDescent="0.25">
      <c r="A9989" t="str">
        <f>"1150057C00187    00"</f>
        <v>1150057C00187    00</v>
      </c>
      <c r="B9989" t="s">
        <v>22092</v>
      </c>
      <c r="C9989" t="s">
        <v>22080</v>
      </c>
      <c r="D9989" t="s">
        <v>20</v>
      </c>
      <c r="E9989" t="s">
        <v>39</v>
      </c>
      <c r="F9989">
        <v>0</v>
      </c>
      <c r="G9989">
        <v>0</v>
      </c>
      <c r="H9989">
        <v>19</v>
      </c>
      <c r="I9989" s="3">
        <v>2135.3200000000002</v>
      </c>
      <c r="J9989" s="3">
        <v>2504.79</v>
      </c>
      <c r="P9989" t="str">
        <f>""</f>
        <v/>
      </c>
    </row>
    <row r="9990" spans="1:16" x14ac:dyDescent="0.25">
      <c r="A9990" t="str">
        <f>"1150057C00188    00"</f>
        <v>1150057C00188    00</v>
      </c>
      <c r="B9990" t="s">
        <v>22092</v>
      </c>
      <c r="C9990" t="s">
        <v>22080</v>
      </c>
      <c r="D9990" t="s">
        <v>20</v>
      </c>
      <c r="E9990" t="s">
        <v>39</v>
      </c>
      <c r="F9990">
        <v>0</v>
      </c>
      <c r="G9990">
        <v>0</v>
      </c>
      <c r="H9990">
        <v>18</v>
      </c>
      <c r="I9990" s="3">
        <v>2110.36</v>
      </c>
      <c r="J9990" s="3">
        <v>2443.65</v>
      </c>
      <c r="L9990">
        <v>5406</v>
      </c>
      <c r="M9990" t="s">
        <v>22083</v>
      </c>
      <c r="N9990" t="s">
        <v>30</v>
      </c>
      <c r="O9990" t="s">
        <v>31</v>
      </c>
      <c r="P9990" t="str">
        <f>"15207"</f>
        <v>15207</v>
      </c>
    </row>
    <row r="9991" spans="1:16" x14ac:dyDescent="0.25">
      <c r="A9991" t="str">
        <f>"1150057C00210    00"</f>
        <v>1150057C00210    00</v>
      </c>
      <c r="B9991" t="s">
        <v>22093</v>
      </c>
      <c r="C9991" t="s">
        <v>21965</v>
      </c>
      <c r="D9991" t="s">
        <v>20</v>
      </c>
      <c r="E9991" t="s">
        <v>39</v>
      </c>
      <c r="F9991">
        <v>0</v>
      </c>
      <c r="G9991">
        <v>0</v>
      </c>
      <c r="H9991">
        <v>19</v>
      </c>
      <c r="I9991" s="3">
        <v>436.04</v>
      </c>
      <c r="J9991" s="3">
        <v>387.95</v>
      </c>
      <c r="L9991">
        <v>1822</v>
      </c>
      <c r="M9991" t="s">
        <v>22094</v>
      </c>
      <c r="N9991" t="s">
        <v>22095</v>
      </c>
      <c r="O9991" t="s">
        <v>370</v>
      </c>
      <c r="P9991" t="str">
        <f>"33990"</f>
        <v>33990</v>
      </c>
    </row>
    <row r="9992" spans="1:16" x14ac:dyDescent="0.25">
      <c r="A9992" t="str">
        <f>"1150057C00211    00"</f>
        <v>1150057C00211    00</v>
      </c>
      <c r="B9992" t="s">
        <v>22096</v>
      </c>
      <c r="C9992" t="s">
        <v>21965</v>
      </c>
      <c r="D9992" t="s">
        <v>20</v>
      </c>
      <c r="E9992" t="s">
        <v>39</v>
      </c>
      <c r="F9992">
        <v>0</v>
      </c>
      <c r="G9992">
        <v>0</v>
      </c>
      <c r="H9992">
        <v>19</v>
      </c>
      <c r="I9992" s="3">
        <v>7210.82</v>
      </c>
      <c r="J9992" s="3">
        <v>10199.14</v>
      </c>
      <c r="K9992" t="s">
        <v>22097</v>
      </c>
      <c r="L9992">
        <v>222</v>
      </c>
      <c r="M9992" t="s">
        <v>13437</v>
      </c>
      <c r="N9992" t="s">
        <v>30</v>
      </c>
      <c r="O9992" t="s">
        <v>31</v>
      </c>
      <c r="P9992" t="str">
        <f>"15207"</f>
        <v>15207</v>
      </c>
    </row>
    <row r="9993" spans="1:16" x14ac:dyDescent="0.25">
      <c r="A9993" t="str">
        <f>"1150057C00212    00"</f>
        <v>1150057C00212    00</v>
      </c>
      <c r="B9993" t="s">
        <v>22098</v>
      </c>
      <c r="C9993" t="s">
        <v>21965</v>
      </c>
      <c r="D9993" t="s">
        <v>20</v>
      </c>
      <c r="E9993" t="s">
        <v>39</v>
      </c>
      <c r="F9993">
        <v>0</v>
      </c>
      <c r="G9993">
        <v>0</v>
      </c>
      <c r="H9993">
        <v>19</v>
      </c>
      <c r="I9993" s="3">
        <v>436.04</v>
      </c>
      <c r="J9993" s="3">
        <v>387.95</v>
      </c>
      <c r="K9993" t="s">
        <v>1037</v>
      </c>
      <c r="L9993">
        <v>920</v>
      </c>
      <c r="M9993" t="s">
        <v>22099</v>
      </c>
      <c r="N9993" t="s">
        <v>5797</v>
      </c>
      <c r="O9993" t="s">
        <v>200</v>
      </c>
      <c r="P9993" t="str">
        <f>"11203"</f>
        <v>11203</v>
      </c>
    </row>
    <row r="9994" spans="1:16" x14ac:dyDescent="0.25">
      <c r="A9994" t="str">
        <f>"1150057C00217    00"</f>
        <v>1150057C00217    00</v>
      </c>
      <c r="B9994" t="s">
        <v>22100</v>
      </c>
      <c r="C9994" t="s">
        <v>22101</v>
      </c>
      <c r="D9994" t="s">
        <v>20</v>
      </c>
      <c r="E9994" t="s">
        <v>39</v>
      </c>
      <c r="F9994">
        <v>0</v>
      </c>
      <c r="G9994">
        <v>0</v>
      </c>
      <c r="H9994">
        <v>10</v>
      </c>
      <c r="I9994" s="3">
        <v>6454.63</v>
      </c>
      <c r="J9994" s="3">
        <v>2851.71</v>
      </c>
      <c r="L9994">
        <v>62</v>
      </c>
      <c r="M9994" t="s">
        <v>21968</v>
      </c>
      <c r="N9994" t="s">
        <v>30</v>
      </c>
      <c r="O9994" t="s">
        <v>31</v>
      </c>
      <c r="P9994" t="str">
        <f>"15207"</f>
        <v>15207</v>
      </c>
    </row>
    <row r="9995" spans="1:16" x14ac:dyDescent="0.25">
      <c r="A9995" t="str">
        <f>"1150057C00220    00"</f>
        <v>1150057C00220    00</v>
      </c>
      <c r="B9995" t="s">
        <v>22102</v>
      </c>
      <c r="C9995" t="s">
        <v>22103</v>
      </c>
      <c r="D9995" t="s">
        <v>20</v>
      </c>
      <c r="E9995" t="s">
        <v>39</v>
      </c>
      <c r="F9995">
        <v>0</v>
      </c>
      <c r="G9995">
        <v>0</v>
      </c>
      <c r="H9995">
        <v>8</v>
      </c>
      <c r="I9995" s="3">
        <v>475.86</v>
      </c>
      <c r="J9995" s="3">
        <v>190.48</v>
      </c>
      <c r="K9995" t="s">
        <v>22052</v>
      </c>
      <c r="L9995">
        <v>21</v>
      </c>
      <c r="M9995" t="s">
        <v>17040</v>
      </c>
      <c r="N9995" t="s">
        <v>4158</v>
      </c>
      <c r="O9995" t="s">
        <v>31</v>
      </c>
      <c r="P9995" t="str">
        <f>"15034"</f>
        <v>15034</v>
      </c>
    </row>
    <row r="9996" spans="1:16" x14ac:dyDescent="0.25">
      <c r="A9996" t="str">
        <f>"1150057C00221    00"</f>
        <v>1150057C00221    00</v>
      </c>
      <c r="B9996" t="s">
        <v>21246</v>
      </c>
      <c r="C9996" t="s">
        <v>22104</v>
      </c>
      <c r="D9996" t="s">
        <v>20</v>
      </c>
      <c r="E9996" t="s">
        <v>39</v>
      </c>
      <c r="F9996">
        <v>0</v>
      </c>
      <c r="G9996">
        <v>0</v>
      </c>
      <c r="H9996">
        <v>3</v>
      </c>
      <c r="I9996" s="3">
        <v>4255.75</v>
      </c>
      <c r="J9996" s="3">
        <v>176.45</v>
      </c>
      <c r="L9996">
        <v>727</v>
      </c>
      <c r="M9996" t="s">
        <v>15656</v>
      </c>
      <c r="N9996" t="s">
        <v>30</v>
      </c>
      <c r="O9996" t="s">
        <v>31</v>
      </c>
      <c r="P9996" t="str">
        <f>"15221"</f>
        <v>15221</v>
      </c>
    </row>
    <row r="9997" spans="1:16" x14ac:dyDescent="0.25">
      <c r="A9997" t="str">
        <f>"1150057C00222    00"</f>
        <v>1150057C00222    00</v>
      </c>
      <c r="B9997" t="s">
        <v>22105</v>
      </c>
      <c r="C9997" t="s">
        <v>22106</v>
      </c>
      <c r="D9997" t="s">
        <v>20</v>
      </c>
      <c r="E9997" t="s">
        <v>39</v>
      </c>
      <c r="F9997">
        <v>0</v>
      </c>
      <c r="G9997">
        <v>0</v>
      </c>
      <c r="H9997">
        <v>6</v>
      </c>
      <c r="I9997" s="3">
        <v>1606.67</v>
      </c>
      <c r="J9997" s="3">
        <v>360.34</v>
      </c>
      <c r="K9997" t="s">
        <v>22107</v>
      </c>
      <c r="L9997">
        <v>906</v>
      </c>
      <c r="M9997" t="s">
        <v>22108</v>
      </c>
      <c r="N9997" t="s">
        <v>15553</v>
      </c>
      <c r="O9997" t="s">
        <v>31</v>
      </c>
      <c r="P9997" t="str">
        <f>"15035"</f>
        <v>15035</v>
      </c>
    </row>
    <row r="9998" spans="1:16" x14ac:dyDescent="0.25">
      <c r="A9998" t="str">
        <f>"1150057C00222A   00"</f>
        <v>1150057C00222A   00</v>
      </c>
      <c r="B9998" t="s">
        <v>22109</v>
      </c>
      <c r="C9998" t="s">
        <v>22110</v>
      </c>
      <c r="D9998" t="s">
        <v>20</v>
      </c>
      <c r="E9998" t="s">
        <v>39</v>
      </c>
      <c r="F9998">
        <v>0</v>
      </c>
      <c r="G9998">
        <v>0</v>
      </c>
      <c r="H9998">
        <v>19</v>
      </c>
      <c r="I9998" s="3">
        <v>828.44</v>
      </c>
      <c r="J9998" s="3">
        <v>747.21</v>
      </c>
      <c r="L9998">
        <v>1409</v>
      </c>
      <c r="M9998" t="s">
        <v>22111</v>
      </c>
      <c r="N9998" t="s">
        <v>10800</v>
      </c>
      <c r="O9998" t="s">
        <v>31</v>
      </c>
      <c r="P9998" t="str">
        <f>"15065"</f>
        <v>15065</v>
      </c>
    </row>
    <row r="9999" spans="1:16" x14ac:dyDescent="0.25">
      <c r="A9999" t="str">
        <f>"1150057C00226    00"</f>
        <v>1150057C00226    00</v>
      </c>
      <c r="B9999" t="s">
        <v>21484</v>
      </c>
      <c r="C9999" t="s">
        <v>22112</v>
      </c>
      <c r="D9999" t="s">
        <v>20</v>
      </c>
      <c r="E9999" t="s">
        <v>39</v>
      </c>
      <c r="F9999">
        <v>0</v>
      </c>
      <c r="G9999">
        <v>0</v>
      </c>
      <c r="H9999">
        <v>1</v>
      </c>
      <c r="I9999" s="3">
        <v>20.05</v>
      </c>
      <c r="J9999" s="3">
        <v>0</v>
      </c>
      <c r="K9999" t="s">
        <v>21486</v>
      </c>
      <c r="L9999">
        <v>727</v>
      </c>
      <c r="M9999" t="s">
        <v>15656</v>
      </c>
      <c r="N9999" t="s">
        <v>30</v>
      </c>
      <c r="O9999" t="s">
        <v>31</v>
      </c>
      <c r="P9999" t="str">
        <f>"15221"</f>
        <v>15221</v>
      </c>
    </row>
    <row r="10000" spans="1:16" x14ac:dyDescent="0.25">
      <c r="A10000" t="str">
        <f>"1150057C00269    00"</f>
        <v>1150057C00269    00</v>
      </c>
      <c r="B10000" t="s">
        <v>22113</v>
      </c>
      <c r="C10000" t="s">
        <v>22114</v>
      </c>
      <c r="D10000" t="s">
        <v>20</v>
      </c>
      <c r="E10000" t="s">
        <v>39</v>
      </c>
      <c r="F10000">
        <v>0</v>
      </c>
      <c r="G10000">
        <v>0</v>
      </c>
      <c r="H10000">
        <v>1</v>
      </c>
      <c r="I10000" s="3">
        <v>20.98</v>
      </c>
      <c r="J10000" s="3">
        <v>0</v>
      </c>
      <c r="L10000">
        <v>111</v>
      </c>
      <c r="M10000" t="s">
        <v>22115</v>
      </c>
      <c r="N10000" t="s">
        <v>7608</v>
      </c>
      <c r="O10000" t="s">
        <v>31</v>
      </c>
      <c r="P10000" t="str">
        <f>"15068"</f>
        <v>15068</v>
      </c>
    </row>
    <row r="10001" spans="1:16" x14ac:dyDescent="0.25">
      <c r="A10001" t="str">
        <f>"1150057C00270    00"</f>
        <v>1150057C00270    00</v>
      </c>
      <c r="B10001" t="s">
        <v>22113</v>
      </c>
      <c r="C10001" t="s">
        <v>22116</v>
      </c>
      <c r="D10001" t="s">
        <v>20</v>
      </c>
      <c r="E10001" t="s">
        <v>39</v>
      </c>
      <c r="F10001">
        <v>0</v>
      </c>
      <c r="G10001">
        <v>0</v>
      </c>
      <c r="H10001">
        <v>1</v>
      </c>
      <c r="I10001" s="3">
        <v>80.17</v>
      </c>
      <c r="J10001" s="3">
        <v>0</v>
      </c>
      <c r="L10001">
        <v>111</v>
      </c>
      <c r="M10001" t="s">
        <v>22115</v>
      </c>
      <c r="N10001" t="s">
        <v>7608</v>
      </c>
      <c r="O10001" t="s">
        <v>31</v>
      </c>
      <c r="P10001" t="str">
        <f>"15068"</f>
        <v>15068</v>
      </c>
    </row>
    <row r="10002" spans="1:16" x14ac:dyDescent="0.25">
      <c r="A10002" t="str">
        <f>"1150057C00274    00"</f>
        <v>1150057C00274    00</v>
      </c>
      <c r="B10002" t="s">
        <v>22117</v>
      </c>
      <c r="C10002" t="s">
        <v>22118</v>
      </c>
      <c r="D10002" t="s">
        <v>20</v>
      </c>
      <c r="E10002" t="s">
        <v>39</v>
      </c>
      <c r="F10002">
        <v>0</v>
      </c>
      <c r="G10002">
        <v>0</v>
      </c>
      <c r="H10002">
        <v>15</v>
      </c>
      <c r="I10002" s="3">
        <v>5623.08</v>
      </c>
      <c r="J10002" s="3">
        <v>4110.22</v>
      </c>
      <c r="L10002">
        <v>223</v>
      </c>
      <c r="M10002" t="s">
        <v>16595</v>
      </c>
      <c r="N10002" t="s">
        <v>30</v>
      </c>
      <c r="O10002" t="s">
        <v>31</v>
      </c>
      <c r="P10002" t="str">
        <f>"15207"</f>
        <v>15207</v>
      </c>
    </row>
    <row r="10003" spans="1:16" x14ac:dyDescent="0.25">
      <c r="A10003" t="str">
        <f>"1150057C00281    00"</f>
        <v>1150057C00281    00</v>
      </c>
      <c r="B10003" t="s">
        <v>21694</v>
      </c>
      <c r="C10003" t="s">
        <v>22119</v>
      </c>
      <c r="D10003" t="s">
        <v>20</v>
      </c>
      <c r="E10003" t="s">
        <v>39</v>
      </c>
      <c r="F10003">
        <v>0</v>
      </c>
      <c r="G10003">
        <v>0</v>
      </c>
      <c r="H10003">
        <v>2</v>
      </c>
      <c r="I10003" s="3">
        <v>1231.3</v>
      </c>
      <c r="J10003" s="3">
        <v>0</v>
      </c>
      <c r="K10003" t="s">
        <v>21696</v>
      </c>
      <c r="L10003">
        <v>300</v>
      </c>
      <c r="M10003" t="s">
        <v>21697</v>
      </c>
      <c r="N10003" t="s">
        <v>30</v>
      </c>
      <c r="O10003" t="s">
        <v>31</v>
      </c>
      <c r="P10003" t="str">
        <f>"15236"</f>
        <v>15236</v>
      </c>
    </row>
    <row r="10004" spans="1:16" x14ac:dyDescent="0.25">
      <c r="A10004" t="str">
        <f>"1150057C00282    00"</f>
        <v>1150057C00282    00</v>
      </c>
      <c r="B10004" t="s">
        <v>21694</v>
      </c>
      <c r="C10004" t="s">
        <v>22114</v>
      </c>
      <c r="D10004" t="s">
        <v>20</v>
      </c>
      <c r="E10004" t="s">
        <v>39</v>
      </c>
      <c r="F10004">
        <v>0</v>
      </c>
      <c r="G10004">
        <v>0</v>
      </c>
      <c r="H10004">
        <v>3</v>
      </c>
      <c r="I10004" s="3">
        <v>22.87</v>
      </c>
      <c r="J10004" s="3">
        <v>4.0599999999999996</v>
      </c>
      <c r="K10004" t="s">
        <v>21696</v>
      </c>
      <c r="L10004">
        <v>300</v>
      </c>
      <c r="M10004" t="s">
        <v>21697</v>
      </c>
      <c r="N10004" t="s">
        <v>30</v>
      </c>
      <c r="O10004" t="s">
        <v>31</v>
      </c>
      <c r="P10004" t="str">
        <f>"15236"</f>
        <v>15236</v>
      </c>
    </row>
    <row r="10005" spans="1:16" x14ac:dyDescent="0.25">
      <c r="A10005" t="str">
        <f>"1150057C00289    00"</f>
        <v>1150057C00289    00</v>
      </c>
      <c r="B10005" t="s">
        <v>22120</v>
      </c>
      <c r="C10005" t="s">
        <v>22114</v>
      </c>
      <c r="D10005" t="s">
        <v>20</v>
      </c>
      <c r="E10005" t="s">
        <v>39</v>
      </c>
      <c r="F10005">
        <v>0</v>
      </c>
      <c r="G10005">
        <v>0</v>
      </c>
      <c r="H10005">
        <v>19</v>
      </c>
      <c r="I10005" s="3">
        <v>460.76</v>
      </c>
      <c r="J10005" s="3">
        <v>423.34</v>
      </c>
      <c r="L10005">
        <v>222</v>
      </c>
      <c r="M10005" t="s">
        <v>13437</v>
      </c>
      <c r="N10005" t="s">
        <v>30</v>
      </c>
      <c r="O10005" t="s">
        <v>31</v>
      </c>
      <c r="P10005" t="str">
        <f>"15207"</f>
        <v>15207</v>
      </c>
    </row>
    <row r="10006" spans="1:16" x14ac:dyDescent="0.25">
      <c r="A10006" t="str">
        <f>"1150057C00294    00"</f>
        <v>1150057C00294    00</v>
      </c>
      <c r="B10006" t="s">
        <v>22121</v>
      </c>
      <c r="C10006" t="s">
        <v>22114</v>
      </c>
      <c r="D10006" t="s">
        <v>20</v>
      </c>
      <c r="E10006" t="s">
        <v>39</v>
      </c>
      <c r="F10006">
        <v>0</v>
      </c>
      <c r="G10006">
        <v>0</v>
      </c>
      <c r="H10006">
        <v>3</v>
      </c>
      <c r="I10006" s="3">
        <v>230.65</v>
      </c>
      <c r="J10006" s="3">
        <v>40.799999999999997</v>
      </c>
      <c r="K10006" t="s">
        <v>22122</v>
      </c>
      <c r="L10006">
        <v>76</v>
      </c>
      <c r="M10006" t="s">
        <v>16595</v>
      </c>
      <c r="N10006" t="s">
        <v>30</v>
      </c>
      <c r="O10006" t="s">
        <v>31</v>
      </c>
      <c r="P10006" t="str">
        <f>"15207"</f>
        <v>15207</v>
      </c>
    </row>
    <row r="10007" spans="1:16" x14ac:dyDescent="0.25">
      <c r="A10007" t="str">
        <f>"1150057C00295    00"</f>
        <v>1150057C00295    00</v>
      </c>
      <c r="B10007" t="s">
        <v>22123</v>
      </c>
      <c r="C10007" t="s">
        <v>22114</v>
      </c>
      <c r="D10007" t="s">
        <v>20</v>
      </c>
      <c r="E10007" t="s">
        <v>39</v>
      </c>
      <c r="F10007">
        <v>0</v>
      </c>
      <c r="G10007">
        <v>0</v>
      </c>
      <c r="H10007">
        <v>4</v>
      </c>
      <c r="I10007" s="3">
        <v>404.34</v>
      </c>
      <c r="J10007" s="3">
        <v>73.069999999999993</v>
      </c>
      <c r="K10007" t="s">
        <v>22124</v>
      </c>
      <c r="L10007">
        <v>78</v>
      </c>
      <c r="M10007" t="s">
        <v>16595</v>
      </c>
      <c r="N10007" t="s">
        <v>30</v>
      </c>
      <c r="O10007" t="s">
        <v>31</v>
      </c>
      <c r="P10007" t="str">
        <f>"15207"</f>
        <v>15207</v>
      </c>
    </row>
    <row r="10008" spans="1:16" x14ac:dyDescent="0.25">
      <c r="A10008" t="str">
        <f>"1150057C00323    00"</f>
        <v>1150057C00323    00</v>
      </c>
      <c r="B10008" t="s">
        <v>22125</v>
      </c>
      <c r="C10008" t="s">
        <v>22126</v>
      </c>
      <c r="D10008" t="s">
        <v>20</v>
      </c>
      <c r="E10008" t="s">
        <v>39</v>
      </c>
      <c r="F10008">
        <v>0</v>
      </c>
      <c r="G10008">
        <v>0</v>
      </c>
      <c r="H10008">
        <v>19</v>
      </c>
      <c r="I10008" s="3">
        <v>10990.99</v>
      </c>
      <c r="J10008" s="3">
        <v>11149.24</v>
      </c>
      <c r="L10008">
        <v>508</v>
      </c>
      <c r="M10008" t="s">
        <v>8376</v>
      </c>
      <c r="N10008" t="s">
        <v>5847</v>
      </c>
      <c r="O10008" t="s">
        <v>31</v>
      </c>
      <c r="P10008" t="str">
        <f>"15139"</f>
        <v>15139</v>
      </c>
    </row>
    <row r="10009" spans="1:16" x14ac:dyDescent="0.25">
      <c r="A10009" t="str">
        <f>"1150057C00324    00"</f>
        <v>1150057C00324    00</v>
      </c>
      <c r="B10009" t="s">
        <v>22125</v>
      </c>
      <c r="C10009" t="s">
        <v>22080</v>
      </c>
      <c r="D10009" t="s">
        <v>20</v>
      </c>
      <c r="E10009" t="s">
        <v>39</v>
      </c>
      <c r="F10009">
        <v>0</v>
      </c>
      <c r="G10009">
        <v>0</v>
      </c>
      <c r="H10009">
        <v>13</v>
      </c>
      <c r="I10009" s="3">
        <v>1016.08</v>
      </c>
      <c r="J10009" s="3">
        <v>598.66999999999996</v>
      </c>
      <c r="L10009">
        <v>508</v>
      </c>
      <c r="M10009" t="s">
        <v>8376</v>
      </c>
      <c r="N10009" t="s">
        <v>5847</v>
      </c>
      <c r="O10009" t="s">
        <v>31</v>
      </c>
      <c r="P10009" t="str">
        <f>"15139"</f>
        <v>15139</v>
      </c>
    </row>
    <row r="10010" spans="1:16" x14ac:dyDescent="0.25">
      <c r="A10010" t="str">
        <f>"1150057C00333    00"</f>
        <v>1150057C00333    00</v>
      </c>
      <c r="B10010" t="s">
        <v>22127</v>
      </c>
      <c r="C10010" t="s">
        <v>22128</v>
      </c>
      <c r="D10010" t="s">
        <v>20</v>
      </c>
      <c r="E10010" t="s">
        <v>39</v>
      </c>
      <c r="F10010">
        <v>0</v>
      </c>
      <c r="G10010">
        <v>0</v>
      </c>
      <c r="H10010">
        <v>15</v>
      </c>
      <c r="I10010" s="3">
        <v>3419.21</v>
      </c>
      <c r="J10010" s="3">
        <v>3024.18</v>
      </c>
      <c r="P10010" t="str">
        <f>""</f>
        <v/>
      </c>
    </row>
    <row r="10011" spans="1:16" x14ac:dyDescent="0.25">
      <c r="A10011" t="str">
        <f>"1150057C00334    00"</f>
        <v>1150057C00334    00</v>
      </c>
      <c r="B10011" t="s">
        <v>22129</v>
      </c>
      <c r="C10011" t="s">
        <v>22130</v>
      </c>
      <c r="D10011" t="s">
        <v>20</v>
      </c>
      <c r="E10011" t="s">
        <v>39</v>
      </c>
      <c r="F10011">
        <v>0</v>
      </c>
      <c r="G10011">
        <v>0</v>
      </c>
      <c r="H10011">
        <v>19</v>
      </c>
      <c r="I10011" s="3">
        <v>882.84</v>
      </c>
      <c r="J10011" s="3">
        <v>1051.58</v>
      </c>
      <c r="L10011">
        <v>240</v>
      </c>
      <c r="M10011" t="s">
        <v>13437</v>
      </c>
      <c r="N10011" t="s">
        <v>30</v>
      </c>
      <c r="O10011" t="s">
        <v>31</v>
      </c>
      <c r="P10011" t="str">
        <f>"15207"</f>
        <v>15207</v>
      </c>
    </row>
    <row r="10012" spans="1:16" x14ac:dyDescent="0.25">
      <c r="A10012" t="str">
        <f>"1150057C00335    00"</f>
        <v>1150057C00335    00</v>
      </c>
      <c r="B10012" t="s">
        <v>22131</v>
      </c>
      <c r="C10012" t="s">
        <v>22132</v>
      </c>
      <c r="E10012" t="s">
        <v>39</v>
      </c>
      <c r="F10012">
        <v>0</v>
      </c>
      <c r="G10012">
        <v>0</v>
      </c>
      <c r="H10012">
        <v>4</v>
      </c>
      <c r="I10012" s="3">
        <v>2862.11</v>
      </c>
      <c r="J10012" s="3">
        <v>3765.8</v>
      </c>
      <c r="L10012">
        <v>256</v>
      </c>
      <c r="M10012" t="s">
        <v>13437</v>
      </c>
      <c r="N10012" t="s">
        <v>30</v>
      </c>
      <c r="O10012" t="s">
        <v>31</v>
      </c>
      <c r="P10012" t="str">
        <f>"15207"</f>
        <v>15207</v>
      </c>
    </row>
    <row r="10013" spans="1:16" x14ac:dyDescent="0.25">
      <c r="A10013" t="str">
        <f>"1150057C00346    00"</f>
        <v>1150057C00346    00</v>
      </c>
      <c r="B10013" t="s">
        <v>22133</v>
      </c>
      <c r="C10013" t="s">
        <v>22134</v>
      </c>
      <c r="D10013" t="s">
        <v>20</v>
      </c>
      <c r="E10013" t="s">
        <v>39</v>
      </c>
      <c r="F10013">
        <v>0</v>
      </c>
      <c r="G10013">
        <v>0</v>
      </c>
      <c r="H10013">
        <v>7</v>
      </c>
      <c r="I10013" s="3">
        <v>3833.07</v>
      </c>
      <c r="J10013" s="3">
        <v>1430.78</v>
      </c>
      <c r="L10013">
        <v>234</v>
      </c>
      <c r="M10013" t="s">
        <v>13437</v>
      </c>
      <c r="N10013" t="s">
        <v>30</v>
      </c>
      <c r="O10013" t="s">
        <v>31</v>
      </c>
      <c r="P10013" t="str">
        <f>"15207"</f>
        <v>15207</v>
      </c>
    </row>
    <row r="10014" spans="1:16" x14ac:dyDescent="0.25">
      <c r="A10014" t="str">
        <f>"1150057C00350    00"</f>
        <v>1150057C00350    00</v>
      </c>
      <c r="B10014" t="s">
        <v>21246</v>
      </c>
      <c r="C10014" t="s">
        <v>22135</v>
      </c>
      <c r="D10014" t="s">
        <v>20</v>
      </c>
      <c r="E10014" t="s">
        <v>39</v>
      </c>
      <c r="F10014">
        <v>0</v>
      </c>
      <c r="G10014">
        <v>0</v>
      </c>
      <c r="H10014">
        <v>3</v>
      </c>
      <c r="I10014" s="3">
        <v>1370.43</v>
      </c>
      <c r="J10014" s="3">
        <v>56.86</v>
      </c>
      <c r="L10014">
        <v>727</v>
      </c>
      <c r="M10014" t="s">
        <v>15656</v>
      </c>
      <c r="N10014" t="s">
        <v>30</v>
      </c>
      <c r="O10014" t="s">
        <v>31</v>
      </c>
      <c r="P10014" t="str">
        <f>"15221"</f>
        <v>15221</v>
      </c>
    </row>
    <row r="10015" spans="1:16" x14ac:dyDescent="0.25">
      <c r="A10015" t="str">
        <f>"1150057C00352    00"</f>
        <v>1150057C00352    00</v>
      </c>
      <c r="B10015" t="s">
        <v>22136</v>
      </c>
      <c r="C10015" t="s">
        <v>22137</v>
      </c>
      <c r="D10015" t="s">
        <v>20</v>
      </c>
      <c r="E10015" t="s">
        <v>39</v>
      </c>
      <c r="F10015">
        <v>0</v>
      </c>
      <c r="G10015">
        <v>0</v>
      </c>
      <c r="H10015">
        <v>18</v>
      </c>
      <c r="I10015" s="3">
        <v>16367.09</v>
      </c>
      <c r="J10015" s="3">
        <v>18046.79</v>
      </c>
      <c r="L10015">
        <v>239</v>
      </c>
      <c r="M10015" t="s">
        <v>13437</v>
      </c>
      <c r="N10015" t="s">
        <v>30</v>
      </c>
      <c r="O10015" t="s">
        <v>31</v>
      </c>
      <c r="P10015" t="str">
        <f>"15207"</f>
        <v>15207</v>
      </c>
    </row>
    <row r="10016" spans="1:16" x14ac:dyDescent="0.25">
      <c r="A10016" t="str">
        <f>"1150057C00353    00"</f>
        <v>1150057C00353    00</v>
      </c>
      <c r="B10016" t="s">
        <v>22136</v>
      </c>
      <c r="C10016" t="s">
        <v>22138</v>
      </c>
      <c r="D10016" t="s">
        <v>20</v>
      </c>
      <c r="E10016" t="s">
        <v>39</v>
      </c>
      <c r="F10016">
        <v>0</v>
      </c>
      <c r="G10016">
        <v>0</v>
      </c>
      <c r="H10016">
        <v>13</v>
      </c>
      <c r="I10016" s="3">
        <v>7030.89</v>
      </c>
      <c r="J10016" s="3">
        <v>6519.54</v>
      </c>
      <c r="L10016">
        <v>239</v>
      </c>
      <c r="M10016" t="s">
        <v>13437</v>
      </c>
      <c r="N10016" t="s">
        <v>30</v>
      </c>
      <c r="O10016" t="s">
        <v>31</v>
      </c>
      <c r="P10016" t="str">
        <f>"15207"</f>
        <v>15207</v>
      </c>
    </row>
    <row r="10017" spans="1:16" x14ac:dyDescent="0.25">
      <c r="A10017" t="str">
        <f>"1150057C00363    00"</f>
        <v>1150057C00363    00</v>
      </c>
      <c r="B10017" t="s">
        <v>22139</v>
      </c>
      <c r="C10017" t="s">
        <v>22140</v>
      </c>
      <c r="D10017" t="s">
        <v>20</v>
      </c>
      <c r="E10017" t="s">
        <v>39</v>
      </c>
      <c r="F10017">
        <v>0</v>
      </c>
      <c r="G10017">
        <v>0</v>
      </c>
      <c r="H10017">
        <v>1</v>
      </c>
      <c r="I10017" s="3">
        <v>285.89999999999998</v>
      </c>
      <c r="J10017" s="3">
        <v>0</v>
      </c>
      <c r="L10017">
        <v>154</v>
      </c>
      <c r="M10017" t="s">
        <v>22141</v>
      </c>
      <c r="N10017" t="s">
        <v>30</v>
      </c>
      <c r="O10017" t="s">
        <v>31</v>
      </c>
      <c r="P10017" t="str">
        <f>"15236"</f>
        <v>15236</v>
      </c>
    </row>
    <row r="10018" spans="1:16" x14ac:dyDescent="0.25">
      <c r="A10018" t="str">
        <f>"1150057C00364    00"</f>
        <v>1150057C00364    00</v>
      </c>
      <c r="B10018" t="s">
        <v>22139</v>
      </c>
      <c r="C10018" t="s">
        <v>22142</v>
      </c>
      <c r="D10018" t="s">
        <v>20</v>
      </c>
      <c r="E10018" t="s">
        <v>39</v>
      </c>
      <c r="F10018">
        <v>0</v>
      </c>
      <c r="G10018">
        <v>0</v>
      </c>
      <c r="H10018">
        <v>1</v>
      </c>
      <c r="I10018" s="3">
        <v>20.98</v>
      </c>
      <c r="J10018" s="3">
        <v>0</v>
      </c>
      <c r="L10018">
        <v>154</v>
      </c>
      <c r="M10018" t="s">
        <v>22141</v>
      </c>
      <c r="N10018" t="s">
        <v>30</v>
      </c>
      <c r="O10018" t="s">
        <v>31</v>
      </c>
      <c r="P10018" t="str">
        <f>"15236"</f>
        <v>15236</v>
      </c>
    </row>
    <row r="10019" spans="1:16" x14ac:dyDescent="0.25">
      <c r="A10019" t="str">
        <f>"1150057C00365    00"</f>
        <v>1150057C00365    00</v>
      </c>
      <c r="B10019" t="s">
        <v>21246</v>
      </c>
      <c r="C10019" t="s">
        <v>22143</v>
      </c>
      <c r="D10019" t="s">
        <v>20</v>
      </c>
      <c r="E10019" t="s">
        <v>39</v>
      </c>
      <c r="F10019">
        <v>0</v>
      </c>
      <c r="G10019">
        <v>0</v>
      </c>
      <c r="H10019">
        <v>3</v>
      </c>
      <c r="I10019" s="3">
        <v>1474.76</v>
      </c>
      <c r="J10019" s="3">
        <v>61.14</v>
      </c>
      <c r="L10019">
        <v>727</v>
      </c>
      <c r="M10019" t="s">
        <v>15656</v>
      </c>
      <c r="N10019" t="s">
        <v>30</v>
      </c>
      <c r="O10019" t="s">
        <v>31</v>
      </c>
      <c r="P10019" t="str">
        <f>"15221"</f>
        <v>15221</v>
      </c>
    </row>
    <row r="10020" spans="1:16" x14ac:dyDescent="0.25">
      <c r="A10020" t="str">
        <f>"1150057C00367    00"</f>
        <v>1150057C00367    00</v>
      </c>
      <c r="B10020" t="s">
        <v>7925</v>
      </c>
      <c r="C10020" t="s">
        <v>22142</v>
      </c>
      <c r="D10020" t="s">
        <v>20</v>
      </c>
      <c r="E10020" t="s">
        <v>39</v>
      </c>
      <c r="F10020">
        <v>0</v>
      </c>
      <c r="G10020">
        <v>0</v>
      </c>
      <c r="H10020">
        <v>17</v>
      </c>
      <c r="I10020" s="3">
        <v>7033.57</v>
      </c>
      <c r="J10020" s="3">
        <v>8853.36</v>
      </c>
      <c r="L10020">
        <v>141</v>
      </c>
      <c r="M10020" t="s">
        <v>22144</v>
      </c>
      <c r="N10020" t="s">
        <v>22145</v>
      </c>
      <c r="O10020" t="s">
        <v>440</v>
      </c>
      <c r="P10020" t="str">
        <f>"01826"</f>
        <v>01826</v>
      </c>
    </row>
    <row r="10021" spans="1:16" x14ac:dyDescent="0.25">
      <c r="A10021" t="str">
        <f>"1150057C00371    00"</f>
        <v>1150057C00371    00</v>
      </c>
      <c r="B10021" t="s">
        <v>22146</v>
      </c>
      <c r="C10021" t="s">
        <v>22147</v>
      </c>
      <c r="D10021" t="s">
        <v>20</v>
      </c>
      <c r="E10021" t="s">
        <v>39</v>
      </c>
      <c r="F10021">
        <v>0</v>
      </c>
      <c r="G10021">
        <v>0</v>
      </c>
      <c r="H10021">
        <v>19</v>
      </c>
      <c r="I10021" s="3">
        <v>6484.28</v>
      </c>
      <c r="J10021" s="3">
        <v>8607.7099999999991</v>
      </c>
      <c r="L10021">
        <v>7212</v>
      </c>
      <c r="M10021" t="s">
        <v>12201</v>
      </c>
      <c r="N10021" t="s">
        <v>30</v>
      </c>
      <c r="O10021" t="s">
        <v>31</v>
      </c>
      <c r="P10021" t="str">
        <f>"15208"</f>
        <v>15208</v>
      </c>
    </row>
    <row r="10022" spans="1:16" x14ac:dyDescent="0.25">
      <c r="A10022" t="str">
        <f>"1150057C00372    00"</f>
        <v>1150057C00372    00</v>
      </c>
      <c r="B10022" t="s">
        <v>22146</v>
      </c>
      <c r="C10022" t="s">
        <v>22148</v>
      </c>
      <c r="D10022" t="s">
        <v>20</v>
      </c>
      <c r="E10022" t="s">
        <v>39</v>
      </c>
      <c r="F10022">
        <v>0</v>
      </c>
      <c r="G10022">
        <v>0</v>
      </c>
      <c r="H10022">
        <v>19</v>
      </c>
      <c r="I10022" s="3">
        <v>9992.7000000000007</v>
      </c>
      <c r="J10022" s="3">
        <v>11515.71</v>
      </c>
      <c r="L10022">
        <v>724</v>
      </c>
      <c r="M10022" t="s">
        <v>3007</v>
      </c>
      <c r="N10022" t="s">
        <v>30</v>
      </c>
      <c r="O10022" t="s">
        <v>31</v>
      </c>
      <c r="P10022" t="str">
        <f>"15235"</f>
        <v>15235</v>
      </c>
    </row>
    <row r="10023" spans="1:16" x14ac:dyDescent="0.25">
      <c r="A10023" t="str">
        <f>"1150057C00373    00"</f>
        <v>1150057C00373    00</v>
      </c>
      <c r="B10023" t="s">
        <v>22149</v>
      </c>
      <c r="C10023" t="s">
        <v>22142</v>
      </c>
      <c r="D10023" t="s">
        <v>20</v>
      </c>
      <c r="E10023" t="s">
        <v>39</v>
      </c>
      <c r="F10023">
        <v>0</v>
      </c>
      <c r="G10023">
        <v>0</v>
      </c>
      <c r="H10023">
        <v>19</v>
      </c>
      <c r="I10023" s="3">
        <v>6458.15</v>
      </c>
      <c r="J10023" s="3">
        <v>9039.9500000000007</v>
      </c>
      <c r="M10023" t="s">
        <v>22150</v>
      </c>
      <c r="N10023" t="s">
        <v>22151</v>
      </c>
      <c r="O10023" t="s">
        <v>31</v>
      </c>
      <c r="P10023" t="str">
        <f>"16063"</f>
        <v>16063</v>
      </c>
    </row>
    <row r="10024" spans="1:16" x14ac:dyDescent="0.25">
      <c r="A10024" t="str">
        <f>"1150057C00374    00"</f>
        <v>1150057C00374    00</v>
      </c>
      <c r="B10024" t="s">
        <v>22152</v>
      </c>
      <c r="C10024" t="s">
        <v>22142</v>
      </c>
      <c r="D10024" t="s">
        <v>20</v>
      </c>
      <c r="E10024" t="s">
        <v>39</v>
      </c>
      <c r="F10024">
        <v>0</v>
      </c>
      <c r="G10024">
        <v>0</v>
      </c>
      <c r="H10024">
        <v>19</v>
      </c>
      <c r="I10024" s="3">
        <v>4939.87</v>
      </c>
      <c r="J10024" s="3">
        <v>6065.19</v>
      </c>
      <c r="L10024">
        <v>2655</v>
      </c>
      <c r="M10024" t="s">
        <v>22153</v>
      </c>
      <c r="N10024" t="s">
        <v>30</v>
      </c>
      <c r="O10024" t="s">
        <v>31</v>
      </c>
      <c r="P10024" t="str">
        <f>"15226"</f>
        <v>15226</v>
      </c>
    </row>
    <row r="10025" spans="1:16" x14ac:dyDescent="0.25">
      <c r="A10025" t="str">
        <f>"1150057C00376    00"</f>
        <v>1150057C00376    00</v>
      </c>
      <c r="B10025" t="s">
        <v>22154</v>
      </c>
      <c r="C10025" t="s">
        <v>22142</v>
      </c>
      <c r="D10025" t="s">
        <v>20</v>
      </c>
      <c r="E10025" t="s">
        <v>39</v>
      </c>
      <c r="F10025">
        <v>0</v>
      </c>
      <c r="G10025">
        <v>0</v>
      </c>
      <c r="H10025">
        <v>19</v>
      </c>
      <c r="I10025" s="3">
        <v>488.22</v>
      </c>
      <c r="J10025" s="3">
        <v>483.05</v>
      </c>
      <c r="L10025">
        <v>329</v>
      </c>
      <c r="M10025" t="s">
        <v>13437</v>
      </c>
      <c r="N10025" t="s">
        <v>30</v>
      </c>
      <c r="O10025" t="s">
        <v>31</v>
      </c>
      <c r="P10025" t="str">
        <f>"15207"</f>
        <v>15207</v>
      </c>
    </row>
    <row r="10026" spans="1:16" x14ac:dyDescent="0.25">
      <c r="A10026" t="str">
        <f>"1150057C00377    00"</f>
        <v>1150057C00377    00</v>
      </c>
      <c r="B10026" t="s">
        <v>22154</v>
      </c>
      <c r="C10026" t="s">
        <v>22142</v>
      </c>
      <c r="D10026" t="s">
        <v>20</v>
      </c>
      <c r="E10026" t="s">
        <v>39</v>
      </c>
      <c r="F10026">
        <v>0</v>
      </c>
      <c r="G10026">
        <v>0</v>
      </c>
      <c r="H10026">
        <v>19</v>
      </c>
      <c r="I10026" s="3">
        <v>6538.16</v>
      </c>
      <c r="J10026" s="3">
        <v>8988.2199999999993</v>
      </c>
      <c r="L10026">
        <v>326</v>
      </c>
      <c r="M10026" t="s">
        <v>1020</v>
      </c>
      <c r="N10026" t="s">
        <v>30</v>
      </c>
      <c r="O10026" t="s">
        <v>31</v>
      </c>
      <c r="P10026" t="str">
        <f>"15207"</f>
        <v>15207</v>
      </c>
    </row>
    <row r="10027" spans="1:16" x14ac:dyDescent="0.25">
      <c r="A10027" t="str">
        <f>"1150057C00387    00"</f>
        <v>1150057C00387    00</v>
      </c>
      <c r="B10027" t="s">
        <v>22155</v>
      </c>
      <c r="C10027" t="s">
        <v>22156</v>
      </c>
      <c r="E10027" t="s">
        <v>39</v>
      </c>
      <c r="F10027">
        <v>0</v>
      </c>
      <c r="G10027">
        <v>0</v>
      </c>
      <c r="H10027">
        <v>2</v>
      </c>
      <c r="I10027" s="3">
        <v>561.63</v>
      </c>
      <c r="J10027" s="3">
        <v>15.89</v>
      </c>
      <c r="L10027">
        <v>5417</v>
      </c>
      <c r="M10027" t="s">
        <v>21497</v>
      </c>
      <c r="N10027" t="s">
        <v>30</v>
      </c>
      <c r="O10027" t="s">
        <v>31</v>
      </c>
      <c r="P10027" t="str">
        <f>"15207"</f>
        <v>15207</v>
      </c>
    </row>
    <row r="10028" spans="1:16" x14ac:dyDescent="0.25">
      <c r="A10028" t="str">
        <f>"1150057C00390    00"</f>
        <v>1150057C00390    00</v>
      </c>
      <c r="B10028" t="s">
        <v>22157</v>
      </c>
      <c r="C10028" t="s">
        <v>22158</v>
      </c>
      <c r="D10028" t="s">
        <v>20</v>
      </c>
      <c r="E10028" t="s">
        <v>39</v>
      </c>
      <c r="F10028">
        <v>0</v>
      </c>
      <c r="G10028">
        <v>0</v>
      </c>
      <c r="H10028">
        <v>2</v>
      </c>
      <c r="I10028" s="3">
        <v>350.46</v>
      </c>
      <c r="J10028" s="3">
        <v>0.34</v>
      </c>
      <c r="L10028">
        <v>5411</v>
      </c>
      <c r="M10028" t="s">
        <v>21497</v>
      </c>
      <c r="N10028" t="s">
        <v>30</v>
      </c>
      <c r="O10028" t="s">
        <v>31</v>
      </c>
      <c r="P10028" t="str">
        <f>"15207"</f>
        <v>15207</v>
      </c>
    </row>
    <row r="10029" spans="1:16" x14ac:dyDescent="0.25">
      <c r="A10029" t="str">
        <f>"1150057D00006    00"</f>
        <v>1150057D00006    00</v>
      </c>
      <c r="B10029" t="s">
        <v>15362</v>
      </c>
      <c r="C10029" t="s">
        <v>22142</v>
      </c>
      <c r="D10029" t="s">
        <v>20</v>
      </c>
      <c r="E10029" t="s">
        <v>39</v>
      </c>
      <c r="F10029">
        <v>0</v>
      </c>
      <c r="G10029">
        <v>0</v>
      </c>
      <c r="H10029">
        <v>19</v>
      </c>
      <c r="I10029" s="3">
        <v>5988.98</v>
      </c>
      <c r="J10029" s="3">
        <v>8650.1299999999992</v>
      </c>
      <c r="L10029">
        <v>1006</v>
      </c>
      <c r="M10029" t="s">
        <v>15363</v>
      </c>
      <c r="N10029" t="s">
        <v>285</v>
      </c>
      <c r="O10029" t="s">
        <v>31</v>
      </c>
      <c r="P10029" t="str">
        <f>"15120"</f>
        <v>15120</v>
      </c>
    </row>
    <row r="10030" spans="1:16" x14ac:dyDescent="0.25">
      <c r="A10030" t="str">
        <f>"1150057D00012    00"</f>
        <v>1150057D00012    00</v>
      </c>
      <c r="B10030" t="s">
        <v>22159</v>
      </c>
      <c r="C10030" t="s">
        <v>22142</v>
      </c>
      <c r="D10030" t="s">
        <v>20</v>
      </c>
      <c r="E10030" t="s">
        <v>39</v>
      </c>
      <c r="F10030">
        <v>0</v>
      </c>
      <c r="G10030">
        <v>0</v>
      </c>
      <c r="H10030">
        <v>17</v>
      </c>
      <c r="I10030" s="3">
        <v>2424.27</v>
      </c>
      <c r="J10030" s="3">
        <v>3417.58</v>
      </c>
      <c r="L10030">
        <v>347</v>
      </c>
      <c r="M10030" t="s">
        <v>13437</v>
      </c>
      <c r="N10030" t="s">
        <v>30</v>
      </c>
      <c r="O10030" t="s">
        <v>31</v>
      </c>
      <c r="P10030" t="str">
        <f>"15207"</f>
        <v>15207</v>
      </c>
    </row>
    <row r="10031" spans="1:16" x14ac:dyDescent="0.25">
      <c r="A10031" t="str">
        <f>"1150057D00013    00"</f>
        <v>1150057D00013    00</v>
      </c>
      <c r="B10031" t="s">
        <v>22152</v>
      </c>
      <c r="C10031" t="s">
        <v>22142</v>
      </c>
      <c r="D10031" t="s">
        <v>20</v>
      </c>
      <c r="E10031" t="s">
        <v>39</v>
      </c>
      <c r="F10031">
        <v>0</v>
      </c>
      <c r="G10031">
        <v>0</v>
      </c>
      <c r="H10031">
        <v>17</v>
      </c>
      <c r="I10031" s="3">
        <v>5597.01</v>
      </c>
      <c r="J10031" s="3">
        <v>7550.95</v>
      </c>
      <c r="L10031">
        <v>2655</v>
      </c>
      <c r="M10031" t="s">
        <v>22153</v>
      </c>
      <c r="N10031" t="s">
        <v>30</v>
      </c>
      <c r="O10031" t="s">
        <v>31</v>
      </c>
      <c r="P10031" t="str">
        <f>"15226"</f>
        <v>15226</v>
      </c>
    </row>
    <row r="10032" spans="1:16" x14ac:dyDescent="0.25">
      <c r="A10032" t="str">
        <f>"1150057D00029    00"</f>
        <v>1150057D00029    00</v>
      </c>
      <c r="B10032" t="s">
        <v>22160</v>
      </c>
      <c r="C10032" t="s">
        <v>22142</v>
      </c>
      <c r="D10032" t="s">
        <v>20</v>
      </c>
      <c r="E10032" t="s">
        <v>39</v>
      </c>
      <c r="F10032">
        <v>0</v>
      </c>
      <c r="G10032">
        <v>0</v>
      </c>
      <c r="H10032">
        <v>19</v>
      </c>
      <c r="I10032" s="3">
        <v>11299.58</v>
      </c>
      <c r="J10032" s="3">
        <v>16234.71</v>
      </c>
      <c r="K10032" t="s">
        <v>22161</v>
      </c>
      <c r="M10032" t="s">
        <v>22162</v>
      </c>
      <c r="N10032" t="s">
        <v>30</v>
      </c>
      <c r="O10032" t="s">
        <v>31</v>
      </c>
      <c r="P10032" t="str">
        <f>"15208"</f>
        <v>15208</v>
      </c>
    </row>
    <row r="10033" spans="1:16" x14ac:dyDescent="0.25">
      <c r="A10033" t="str">
        <f>"1150057D00032    00"</f>
        <v>1150057D00032    00</v>
      </c>
      <c r="B10033" t="s">
        <v>22163</v>
      </c>
      <c r="C10033" t="s">
        <v>22164</v>
      </c>
      <c r="D10033" t="s">
        <v>20</v>
      </c>
      <c r="E10033" t="s">
        <v>39</v>
      </c>
      <c r="F10033">
        <v>0</v>
      </c>
      <c r="G10033">
        <v>0</v>
      </c>
      <c r="H10033">
        <v>17</v>
      </c>
      <c r="I10033" s="3">
        <v>7533.63</v>
      </c>
      <c r="J10033" s="3">
        <v>6889.64</v>
      </c>
      <c r="L10033">
        <v>334</v>
      </c>
      <c r="M10033" t="s">
        <v>13437</v>
      </c>
      <c r="N10033" t="s">
        <v>30</v>
      </c>
      <c r="O10033" t="s">
        <v>31</v>
      </c>
      <c r="P10033" t="str">
        <f>"15207"</f>
        <v>15207</v>
      </c>
    </row>
    <row r="10034" spans="1:16" x14ac:dyDescent="0.25">
      <c r="A10034" t="str">
        <f>"1150057D00033    00"</f>
        <v>1150057D00033    00</v>
      </c>
      <c r="B10034" t="s">
        <v>22165</v>
      </c>
      <c r="C10034" t="s">
        <v>22166</v>
      </c>
      <c r="E10034" t="s">
        <v>39</v>
      </c>
      <c r="F10034">
        <v>0</v>
      </c>
      <c r="G10034">
        <v>0</v>
      </c>
      <c r="H10034">
        <v>12</v>
      </c>
      <c r="I10034" s="3">
        <v>6055.58</v>
      </c>
      <c r="J10034" s="3">
        <v>8130.09</v>
      </c>
      <c r="L10034">
        <v>111</v>
      </c>
      <c r="M10034" t="s">
        <v>22167</v>
      </c>
      <c r="N10034" t="s">
        <v>30</v>
      </c>
      <c r="O10034" t="s">
        <v>31</v>
      </c>
      <c r="P10034" t="str">
        <f>"15207"</f>
        <v>15207</v>
      </c>
    </row>
    <row r="10035" spans="1:16" x14ac:dyDescent="0.25">
      <c r="A10035" t="str">
        <f>"1150057D00043    00"</f>
        <v>1150057D00043    00</v>
      </c>
      <c r="B10035" t="s">
        <v>21246</v>
      </c>
      <c r="C10035" t="s">
        <v>22168</v>
      </c>
      <c r="D10035" t="s">
        <v>20</v>
      </c>
      <c r="E10035" t="s">
        <v>39</v>
      </c>
      <c r="F10035">
        <v>0</v>
      </c>
      <c r="G10035">
        <v>0</v>
      </c>
      <c r="H10035">
        <v>3</v>
      </c>
      <c r="I10035" s="3">
        <v>1492.41</v>
      </c>
      <c r="J10035" s="3">
        <v>61.93</v>
      </c>
      <c r="L10035">
        <v>727</v>
      </c>
      <c r="M10035" t="s">
        <v>15656</v>
      </c>
      <c r="N10035" t="s">
        <v>30</v>
      </c>
      <c r="O10035" t="s">
        <v>31</v>
      </c>
      <c r="P10035" t="str">
        <f>"15221"</f>
        <v>15221</v>
      </c>
    </row>
    <row r="10036" spans="1:16" x14ac:dyDescent="0.25">
      <c r="A10036" t="str">
        <f>"1150057D00045    00"</f>
        <v>1150057D00045    00</v>
      </c>
      <c r="B10036" t="s">
        <v>22169</v>
      </c>
      <c r="C10036" t="s">
        <v>22170</v>
      </c>
      <c r="D10036" t="s">
        <v>20</v>
      </c>
      <c r="E10036" t="s">
        <v>39</v>
      </c>
      <c r="F10036">
        <v>0</v>
      </c>
      <c r="G10036">
        <v>0</v>
      </c>
      <c r="H10036">
        <v>4</v>
      </c>
      <c r="I10036" s="3">
        <v>1496.05</v>
      </c>
      <c r="J10036" s="3">
        <v>176.72</v>
      </c>
      <c r="L10036">
        <v>306</v>
      </c>
      <c r="M10036" t="s">
        <v>13437</v>
      </c>
      <c r="N10036" t="s">
        <v>30</v>
      </c>
      <c r="O10036" t="s">
        <v>31</v>
      </c>
      <c r="P10036" t="str">
        <f>"15207"</f>
        <v>15207</v>
      </c>
    </row>
    <row r="10037" spans="1:16" x14ac:dyDescent="0.25">
      <c r="A10037" t="str">
        <f>"1150057D00047    00"</f>
        <v>1150057D00047    00</v>
      </c>
      <c r="B10037" t="s">
        <v>22171</v>
      </c>
      <c r="C10037" t="s">
        <v>22142</v>
      </c>
      <c r="D10037" t="s">
        <v>20</v>
      </c>
      <c r="E10037" t="s">
        <v>39</v>
      </c>
      <c r="F10037">
        <v>0</v>
      </c>
      <c r="G10037">
        <v>0</v>
      </c>
      <c r="H10037">
        <v>13</v>
      </c>
      <c r="I10037" s="3">
        <v>948.41</v>
      </c>
      <c r="J10037" s="3">
        <v>590.41</v>
      </c>
      <c r="L10037">
        <v>1501</v>
      </c>
      <c r="M10037" t="s">
        <v>22172</v>
      </c>
      <c r="N10037" t="s">
        <v>238</v>
      </c>
      <c r="O10037" t="s">
        <v>31</v>
      </c>
      <c r="P10037" t="str">
        <f>"15132"</f>
        <v>15132</v>
      </c>
    </row>
    <row r="10038" spans="1:16" x14ac:dyDescent="0.25">
      <c r="A10038" t="str">
        <f>"1150057D00050    00"</f>
        <v>1150057D00050    00</v>
      </c>
      <c r="B10038" t="s">
        <v>22173</v>
      </c>
      <c r="C10038" t="s">
        <v>22130</v>
      </c>
      <c r="D10038" t="s">
        <v>20</v>
      </c>
      <c r="E10038" t="s">
        <v>39</v>
      </c>
      <c r="F10038">
        <v>0</v>
      </c>
      <c r="G10038">
        <v>0</v>
      </c>
      <c r="H10038">
        <v>19</v>
      </c>
      <c r="I10038" s="3">
        <v>3791.23</v>
      </c>
      <c r="J10038" s="3">
        <v>5148.75</v>
      </c>
      <c r="P10038" t="str">
        <f>""</f>
        <v/>
      </c>
    </row>
    <row r="10039" spans="1:16" x14ac:dyDescent="0.25">
      <c r="A10039" t="str">
        <f>"1150057D00050A   00"</f>
        <v>1150057D00050A   00</v>
      </c>
      <c r="B10039" t="s">
        <v>22174</v>
      </c>
      <c r="C10039" t="s">
        <v>22130</v>
      </c>
      <c r="D10039" t="s">
        <v>20</v>
      </c>
      <c r="E10039" t="s">
        <v>39</v>
      </c>
      <c r="F10039">
        <v>0</v>
      </c>
      <c r="G10039">
        <v>0</v>
      </c>
      <c r="H10039">
        <v>19</v>
      </c>
      <c r="I10039" s="3">
        <v>2134.29</v>
      </c>
      <c r="J10039" s="3">
        <v>3020.63</v>
      </c>
      <c r="L10039">
        <v>136</v>
      </c>
      <c r="M10039" t="s">
        <v>21596</v>
      </c>
      <c r="N10039" t="s">
        <v>30</v>
      </c>
      <c r="O10039" t="s">
        <v>31</v>
      </c>
      <c r="P10039" t="str">
        <f>"15207"</f>
        <v>15207</v>
      </c>
    </row>
    <row r="10040" spans="1:16" x14ac:dyDescent="0.25">
      <c r="A10040" t="str">
        <f>"1150057D00051    00"</f>
        <v>1150057D00051    00</v>
      </c>
      <c r="B10040" t="s">
        <v>22175</v>
      </c>
      <c r="C10040" t="s">
        <v>22130</v>
      </c>
      <c r="D10040" t="s">
        <v>20</v>
      </c>
      <c r="E10040" t="s">
        <v>39</v>
      </c>
      <c r="F10040">
        <v>0</v>
      </c>
      <c r="G10040">
        <v>0</v>
      </c>
      <c r="H10040">
        <v>19</v>
      </c>
      <c r="I10040" s="3">
        <v>4005.59</v>
      </c>
      <c r="J10040" s="3">
        <v>5517.38</v>
      </c>
      <c r="P10040" t="str">
        <f>""</f>
        <v/>
      </c>
    </row>
    <row r="10041" spans="1:16" x14ac:dyDescent="0.25">
      <c r="A10041" t="str">
        <f>"1150057D00052    00"</f>
        <v>1150057D00052    00</v>
      </c>
      <c r="B10041" t="s">
        <v>21868</v>
      </c>
      <c r="C10041" t="s">
        <v>22130</v>
      </c>
      <c r="D10041" t="s">
        <v>20</v>
      </c>
      <c r="E10041" t="s">
        <v>39</v>
      </c>
      <c r="F10041">
        <v>0</v>
      </c>
      <c r="G10041">
        <v>0</v>
      </c>
      <c r="H10041">
        <v>19</v>
      </c>
      <c r="I10041" s="3">
        <v>4349.9399999999996</v>
      </c>
      <c r="J10041" s="3">
        <v>6039.76</v>
      </c>
      <c r="L10041">
        <v>222</v>
      </c>
      <c r="M10041" t="s">
        <v>13437</v>
      </c>
      <c r="N10041" t="s">
        <v>30</v>
      </c>
      <c r="O10041" t="s">
        <v>31</v>
      </c>
      <c r="P10041" t="str">
        <f>"15207"</f>
        <v>15207</v>
      </c>
    </row>
    <row r="10042" spans="1:16" x14ac:dyDescent="0.25">
      <c r="A10042" t="str">
        <f>"1150057D00053    00"</f>
        <v>1150057D00053    00</v>
      </c>
      <c r="B10042" t="s">
        <v>22176</v>
      </c>
      <c r="C10042" t="s">
        <v>22130</v>
      </c>
      <c r="D10042" t="s">
        <v>20</v>
      </c>
      <c r="E10042" t="s">
        <v>39</v>
      </c>
      <c r="F10042">
        <v>0</v>
      </c>
      <c r="G10042">
        <v>0</v>
      </c>
      <c r="H10042">
        <v>19</v>
      </c>
      <c r="I10042" s="3">
        <v>3216.86</v>
      </c>
      <c r="J10042" s="3">
        <v>4265.28</v>
      </c>
      <c r="L10042">
        <v>714</v>
      </c>
      <c r="M10042" t="s">
        <v>22177</v>
      </c>
      <c r="N10042" t="s">
        <v>6603</v>
      </c>
      <c r="O10042" t="s">
        <v>31</v>
      </c>
      <c r="P10042" t="str">
        <f>"15122"</f>
        <v>15122</v>
      </c>
    </row>
    <row r="10043" spans="1:16" x14ac:dyDescent="0.25">
      <c r="A10043" t="str">
        <f>"1150057D00054    00"</f>
        <v>1150057D00054    00</v>
      </c>
      <c r="B10043" t="s">
        <v>22176</v>
      </c>
      <c r="C10043" t="s">
        <v>22130</v>
      </c>
      <c r="D10043" t="s">
        <v>20</v>
      </c>
      <c r="E10043" t="s">
        <v>39</v>
      </c>
      <c r="F10043">
        <v>0</v>
      </c>
      <c r="G10043">
        <v>0</v>
      </c>
      <c r="H10043">
        <v>16</v>
      </c>
      <c r="I10043" s="3">
        <v>303.14999999999998</v>
      </c>
      <c r="J10043" s="3">
        <v>367.07</v>
      </c>
      <c r="L10043">
        <v>714</v>
      </c>
      <c r="M10043" t="s">
        <v>22177</v>
      </c>
      <c r="N10043" t="s">
        <v>6603</v>
      </c>
      <c r="O10043" t="s">
        <v>31</v>
      </c>
      <c r="P10043" t="str">
        <f>"15122"</f>
        <v>15122</v>
      </c>
    </row>
    <row r="10044" spans="1:16" x14ac:dyDescent="0.25">
      <c r="A10044" t="str">
        <f>"1150057D00055    00"</f>
        <v>1150057D00055    00</v>
      </c>
      <c r="B10044" t="s">
        <v>22178</v>
      </c>
      <c r="C10044" t="s">
        <v>22130</v>
      </c>
      <c r="D10044" t="s">
        <v>20</v>
      </c>
      <c r="E10044" t="s">
        <v>39</v>
      </c>
      <c r="F10044">
        <v>0</v>
      </c>
      <c r="G10044">
        <v>0</v>
      </c>
      <c r="H10044">
        <v>17</v>
      </c>
      <c r="I10044" s="3">
        <v>571.87</v>
      </c>
      <c r="J10044" s="3">
        <v>761.57</v>
      </c>
      <c r="L10044">
        <v>3</v>
      </c>
      <c r="M10044" t="s">
        <v>22179</v>
      </c>
      <c r="N10044" t="s">
        <v>30</v>
      </c>
      <c r="O10044" t="s">
        <v>31</v>
      </c>
      <c r="P10044" t="str">
        <f>"15207"</f>
        <v>15207</v>
      </c>
    </row>
    <row r="10045" spans="1:16" x14ac:dyDescent="0.25">
      <c r="A10045" t="str">
        <f>"1150057D00055A   00"</f>
        <v>1150057D00055A   00</v>
      </c>
      <c r="B10045" t="s">
        <v>22178</v>
      </c>
      <c r="C10045" t="s">
        <v>22130</v>
      </c>
      <c r="D10045" t="s">
        <v>20</v>
      </c>
      <c r="E10045" t="s">
        <v>39</v>
      </c>
      <c r="F10045">
        <v>0</v>
      </c>
      <c r="G10045">
        <v>0</v>
      </c>
      <c r="H10045">
        <v>17</v>
      </c>
      <c r="I10045" s="3">
        <v>313.60000000000002</v>
      </c>
      <c r="J10045" s="3">
        <v>369.72</v>
      </c>
      <c r="K10045" t="s">
        <v>22180</v>
      </c>
      <c r="L10045">
        <v>3</v>
      </c>
      <c r="M10045" t="s">
        <v>22181</v>
      </c>
      <c r="N10045" t="s">
        <v>30</v>
      </c>
      <c r="O10045" t="s">
        <v>31</v>
      </c>
      <c r="P10045" t="str">
        <f>"15207"</f>
        <v>15207</v>
      </c>
    </row>
    <row r="10046" spans="1:16" x14ac:dyDescent="0.25">
      <c r="A10046" t="str">
        <f>"1150057D00056    00"</f>
        <v>1150057D00056    00</v>
      </c>
      <c r="B10046" t="s">
        <v>22182</v>
      </c>
      <c r="C10046" t="s">
        <v>22130</v>
      </c>
      <c r="D10046" t="s">
        <v>20</v>
      </c>
      <c r="E10046" t="s">
        <v>39</v>
      </c>
      <c r="F10046">
        <v>0</v>
      </c>
      <c r="G10046">
        <v>0</v>
      </c>
      <c r="H10046">
        <v>17</v>
      </c>
      <c r="I10046" s="3">
        <v>3659.16</v>
      </c>
      <c r="J10046" s="3">
        <v>5480.94</v>
      </c>
      <c r="P10046" t="str">
        <f>""</f>
        <v/>
      </c>
    </row>
    <row r="10047" spans="1:16" x14ac:dyDescent="0.25">
      <c r="A10047" t="str">
        <f>"1150057D00057    00"</f>
        <v>1150057D00057    00</v>
      </c>
      <c r="B10047" t="s">
        <v>22183</v>
      </c>
      <c r="C10047" t="s">
        <v>22130</v>
      </c>
      <c r="D10047" t="s">
        <v>20</v>
      </c>
      <c r="E10047" t="s">
        <v>39</v>
      </c>
      <c r="F10047">
        <v>0</v>
      </c>
      <c r="G10047">
        <v>0</v>
      </c>
      <c r="H10047">
        <v>17</v>
      </c>
      <c r="I10047" s="3">
        <v>3290.24</v>
      </c>
      <c r="J10047" s="3">
        <v>4921.2700000000004</v>
      </c>
      <c r="P10047" t="str">
        <f>"15642"</f>
        <v>15642</v>
      </c>
    </row>
    <row r="10048" spans="1:16" x14ac:dyDescent="0.25">
      <c r="A10048" t="str">
        <f>"1150057D00058    00"</f>
        <v>1150057D00058    00</v>
      </c>
      <c r="B10048" t="s">
        <v>22184</v>
      </c>
      <c r="C10048" t="s">
        <v>22130</v>
      </c>
      <c r="D10048" t="s">
        <v>20</v>
      </c>
      <c r="E10048" t="s">
        <v>39</v>
      </c>
      <c r="F10048">
        <v>0</v>
      </c>
      <c r="G10048">
        <v>0</v>
      </c>
      <c r="H10048">
        <v>9</v>
      </c>
      <c r="I10048" s="3">
        <v>118.91</v>
      </c>
      <c r="J10048" s="3">
        <v>117.26</v>
      </c>
      <c r="L10048">
        <v>6</v>
      </c>
      <c r="M10048" t="s">
        <v>22179</v>
      </c>
      <c r="N10048" t="s">
        <v>30</v>
      </c>
      <c r="O10048" t="s">
        <v>31</v>
      </c>
      <c r="P10048" t="str">
        <f>"15207"</f>
        <v>15207</v>
      </c>
    </row>
    <row r="10049" spans="1:16" x14ac:dyDescent="0.25">
      <c r="A10049" t="str">
        <f>"1150057D00058A   00"</f>
        <v>1150057D00058A   00</v>
      </c>
      <c r="B10049" t="s">
        <v>22185</v>
      </c>
      <c r="C10049" t="s">
        <v>22130</v>
      </c>
      <c r="D10049" t="s">
        <v>20</v>
      </c>
      <c r="E10049" t="s">
        <v>39</v>
      </c>
      <c r="F10049">
        <v>0</v>
      </c>
      <c r="G10049">
        <v>0</v>
      </c>
      <c r="H10049">
        <v>14</v>
      </c>
      <c r="I10049" s="3">
        <v>479.83</v>
      </c>
      <c r="J10049" s="3">
        <v>658.3</v>
      </c>
      <c r="L10049">
        <v>7</v>
      </c>
      <c r="M10049" t="s">
        <v>22179</v>
      </c>
      <c r="N10049" t="s">
        <v>30</v>
      </c>
      <c r="O10049" t="s">
        <v>31</v>
      </c>
      <c r="P10049" t="str">
        <f>"15207"</f>
        <v>15207</v>
      </c>
    </row>
    <row r="10050" spans="1:16" x14ac:dyDescent="0.25">
      <c r="A10050" t="str">
        <f>"1150057D00058B   00"</f>
        <v>1150057D00058B   00</v>
      </c>
      <c r="B10050" t="s">
        <v>22186</v>
      </c>
      <c r="C10050" t="s">
        <v>22130</v>
      </c>
      <c r="D10050" t="s">
        <v>20</v>
      </c>
      <c r="E10050" t="s">
        <v>39</v>
      </c>
      <c r="F10050">
        <v>0</v>
      </c>
      <c r="G10050">
        <v>0</v>
      </c>
      <c r="H10050">
        <v>19</v>
      </c>
      <c r="I10050" s="3">
        <v>4147.54</v>
      </c>
      <c r="J10050" s="3">
        <v>5808.48</v>
      </c>
      <c r="K10050" t="s">
        <v>1008</v>
      </c>
      <c r="P10050" t="str">
        <f>""</f>
        <v/>
      </c>
    </row>
    <row r="10051" spans="1:16" x14ac:dyDescent="0.25">
      <c r="A10051" t="str">
        <f>"1150057D00059    00"</f>
        <v>1150057D00059    00</v>
      </c>
      <c r="B10051" t="s">
        <v>22120</v>
      </c>
      <c r="C10051" t="s">
        <v>22130</v>
      </c>
      <c r="D10051" t="s">
        <v>20</v>
      </c>
      <c r="E10051" t="s">
        <v>39</v>
      </c>
      <c r="F10051">
        <v>0</v>
      </c>
      <c r="G10051">
        <v>0</v>
      </c>
      <c r="H10051">
        <v>19</v>
      </c>
      <c r="I10051" s="3">
        <v>3796.49</v>
      </c>
      <c r="J10051" s="3">
        <v>5200.1000000000004</v>
      </c>
      <c r="L10051">
        <v>222</v>
      </c>
      <c r="M10051" t="s">
        <v>13437</v>
      </c>
      <c r="N10051" t="s">
        <v>30</v>
      </c>
      <c r="O10051" t="s">
        <v>31</v>
      </c>
      <c r="P10051" t="str">
        <f>"15207"</f>
        <v>15207</v>
      </c>
    </row>
    <row r="10052" spans="1:16" x14ac:dyDescent="0.25">
      <c r="A10052" t="str">
        <f>"1150057D00060    00"</f>
        <v>1150057D00060    00</v>
      </c>
      <c r="B10052" t="s">
        <v>22187</v>
      </c>
      <c r="C10052" t="s">
        <v>22130</v>
      </c>
      <c r="D10052" t="s">
        <v>20</v>
      </c>
      <c r="E10052" t="s">
        <v>39</v>
      </c>
      <c r="F10052">
        <v>0</v>
      </c>
      <c r="G10052">
        <v>0</v>
      </c>
      <c r="H10052">
        <v>17</v>
      </c>
      <c r="I10052" s="3">
        <v>362.8</v>
      </c>
      <c r="J10052" s="3">
        <v>444.38</v>
      </c>
      <c r="L10052">
        <v>106</v>
      </c>
      <c r="M10052" t="s">
        <v>22188</v>
      </c>
      <c r="N10052" t="s">
        <v>22189</v>
      </c>
      <c r="O10052" t="s">
        <v>31</v>
      </c>
      <c r="P10052" t="str">
        <f>"15665"</f>
        <v>15665</v>
      </c>
    </row>
    <row r="10053" spans="1:16" x14ac:dyDescent="0.25">
      <c r="A10053" t="str">
        <f>"1150057D00063    00"</f>
        <v>1150057D00063    00</v>
      </c>
      <c r="B10053" t="s">
        <v>22187</v>
      </c>
      <c r="C10053" t="s">
        <v>22130</v>
      </c>
      <c r="D10053" t="s">
        <v>20</v>
      </c>
      <c r="E10053" t="s">
        <v>39</v>
      </c>
      <c r="F10053">
        <v>0</v>
      </c>
      <c r="G10053">
        <v>0</v>
      </c>
      <c r="H10053">
        <v>19</v>
      </c>
      <c r="I10053" s="3">
        <v>562.41999999999996</v>
      </c>
      <c r="J10053" s="3">
        <v>409.77</v>
      </c>
      <c r="L10053">
        <v>106</v>
      </c>
      <c r="M10053" t="s">
        <v>22188</v>
      </c>
      <c r="N10053" t="s">
        <v>22189</v>
      </c>
      <c r="O10053" t="s">
        <v>31</v>
      </c>
      <c r="P10053" t="str">
        <f>"15665"</f>
        <v>15665</v>
      </c>
    </row>
    <row r="10054" spans="1:16" x14ac:dyDescent="0.25">
      <c r="A10054" t="str">
        <f>"1150057D00082    00"</f>
        <v>1150057D00082    00</v>
      </c>
      <c r="B10054" t="s">
        <v>22129</v>
      </c>
      <c r="C10054" t="s">
        <v>22130</v>
      </c>
      <c r="D10054" t="s">
        <v>20</v>
      </c>
      <c r="E10054" t="s">
        <v>39</v>
      </c>
      <c r="F10054">
        <v>0</v>
      </c>
      <c r="G10054">
        <v>0</v>
      </c>
      <c r="H10054">
        <v>19</v>
      </c>
      <c r="I10054" s="3">
        <v>375.72</v>
      </c>
      <c r="J10054" s="3">
        <v>401.04</v>
      </c>
      <c r="L10054">
        <v>240</v>
      </c>
      <c r="M10054" t="s">
        <v>13437</v>
      </c>
      <c r="N10054" t="s">
        <v>30</v>
      </c>
      <c r="O10054" t="s">
        <v>31</v>
      </c>
      <c r="P10054" t="str">
        <f>"15207"</f>
        <v>15207</v>
      </c>
    </row>
    <row r="10055" spans="1:16" x14ac:dyDescent="0.25">
      <c r="A10055" t="str">
        <f>"1150057G00168A   00"</f>
        <v>1150057G00168A   00</v>
      </c>
      <c r="B10055" t="s">
        <v>22190</v>
      </c>
      <c r="C10055" t="s">
        <v>22191</v>
      </c>
      <c r="D10055" t="s">
        <v>20</v>
      </c>
      <c r="E10055" t="s">
        <v>39</v>
      </c>
      <c r="F10055">
        <v>0</v>
      </c>
      <c r="G10055">
        <v>0</v>
      </c>
      <c r="H10055">
        <v>19</v>
      </c>
      <c r="I10055" s="3">
        <v>6556.23</v>
      </c>
      <c r="J10055" s="3">
        <v>7654.18</v>
      </c>
      <c r="M10055" t="s">
        <v>22192</v>
      </c>
      <c r="N10055" t="s">
        <v>30</v>
      </c>
      <c r="O10055" t="s">
        <v>31</v>
      </c>
      <c r="P10055" t="str">
        <f>"15207"</f>
        <v>15207</v>
      </c>
    </row>
    <row r="10056" spans="1:16" x14ac:dyDescent="0.25">
      <c r="A10056" t="str">
        <f>"1150057G00168B   00"</f>
        <v>1150057G00168B   00</v>
      </c>
      <c r="B10056" t="s">
        <v>22193</v>
      </c>
      <c r="C10056" t="s">
        <v>22194</v>
      </c>
      <c r="D10056" t="s">
        <v>20</v>
      </c>
      <c r="E10056" t="s">
        <v>39</v>
      </c>
      <c r="F10056">
        <v>0</v>
      </c>
      <c r="G10056">
        <v>0</v>
      </c>
      <c r="H10056">
        <v>17</v>
      </c>
      <c r="I10056" s="3">
        <v>3108.02</v>
      </c>
      <c r="J10056" s="3">
        <v>4573.3900000000003</v>
      </c>
      <c r="L10056">
        <v>5438</v>
      </c>
      <c r="M10056" t="s">
        <v>22195</v>
      </c>
      <c r="N10056" t="s">
        <v>30</v>
      </c>
      <c r="O10056" t="s">
        <v>31</v>
      </c>
      <c r="P10056" t="str">
        <f>"15236"</f>
        <v>15236</v>
      </c>
    </row>
    <row r="10057" spans="1:16" x14ac:dyDescent="0.25">
      <c r="A10057" t="str">
        <f>"1150057G00188    00"</f>
        <v>1150057G00188    00</v>
      </c>
      <c r="B10057" t="s">
        <v>22196</v>
      </c>
      <c r="C10057" t="s">
        <v>22197</v>
      </c>
      <c r="D10057" t="s">
        <v>20</v>
      </c>
      <c r="E10057" t="s">
        <v>39</v>
      </c>
      <c r="F10057">
        <v>0</v>
      </c>
      <c r="G10057">
        <v>0</v>
      </c>
      <c r="H10057">
        <v>2</v>
      </c>
      <c r="I10057" s="3">
        <v>1852.62</v>
      </c>
      <c r="J10057" s="3">
        <v>0</v>
      </c>
      <c r="K10057" t="s">
        <v>22198</v>
      </c>
      <c r="L10057">
        <v>5524</v>
      </c>
      <c r="M10057" t="s">
        <v>21575</v>
      </c>
      <c r="N10057" t="s">
        <v>30</v>
      </c>
      <c r="O10057" t="s">
        <v>31</v>
      </c>
      <c r="P10057" t="str">
        <f>"15207"</f>
        <v>15207</v>
      </c>
    </row>
    <row r="10058" spans="1:16" x14ac:dyDescent="0.25">
      <c r="A10058" t="str">
        <f>"1150057G00193    00"</f>
        <v>1150057G00193    00</v>
      </c>
      <c r="B10058" t="s">
        <v>22199</v>
      </c>
      <c r="C10058" t="s">
        <v>22200</v>
      </c>
      <c r="D10058" t="s">
        <v>20</v>
      </c>
      <c r="E10058" t="s">
        <v>39</v>
      </c>
      <c r="F10058">
        <v>0</v>
      </c>
      <c r="G10058">
        <v>0</v>
      </c>
      <c r="H10058">
        <v>15</v>
      </c>
      <c r="I10058" s="3">
        <v>3130.69</v>
      </c>
      <c r="J10058" s="3">
        <v>2298.0100000000002</v>
      </c>
      <c r="L10058">
        <v>5518</v>
      </c>
      <c r="M10058" t="s">
        <v>21575</v>
      </c>
      <c r="N10058" t="s">
        <v>30</v>
      </c>
      <c r="O10058" t="s">
        <v>31</v>
      </c>
      <c r="P10058" t="str">
        <f>"15207"</f>
        <v>15207</v>
      </c>
    </row>
    <row r="10059" spans="1:16" x14ac:dyDescent="0.25">
      <c r="A10059" t="str">
        <f>"1150057G00219    00"</f>
        <v>1150057G00219    00</v>
      </c>
      <c r="B10059" t="s">
        <v>22201</v>
      </c>
      <c r="C10059" t="s">
        <v>21801</v>
      </c>
      <c r="D10059" t="s">
        <v>20</v>
      </c>
      <c r="E10059" t="s">
        <v>39</v>
      </c>
      <c r="F10059">
        <v>0</v>
      </c>
      <c r="G10059">
        <v>0</v>
      </c>
      <c r="H10059">
        <v>19</v>
      </c>
      <c r="I10059" s="3">
        <v>3945.49</v>
      </c>
      <c r="J10059" s="3">
        <v>4950.82</v>
      </c>
      <c r="P10059" t="str">
        <f>""</f>
        <v/>
      </c>
    </row>
    <row r="10060" spans="1:16" x14ac:dyDescent="0.25">
      <c r="A10060" t="str">
        <f>"1150057G00223    00"</f>
        <v>1150057G00223    00</v>
      </c>
      <c r="B10060" t="s">
        <v>22202</v>
      </c>
      <c r="C10060" t="s">
        <v>22203</v>
      </c>
      <c r="D10060" t="s">
        <v>20</v>
      </c>
      <c r="E10060" t="s">
        <v>39</v>
      </c>
      <c r="F10060">
        <v>0</v>
      </c>
      <c r="G10060">
        <v>0</v>
      </c>
      <c r="H10060">
        <v>1</v>
      </c>
      <c r="I10060" s="3">
        <v>381.2</v>
      </c>
      <c r="J10060" s="3">
        <v>0</v>
      </c>
      <c r="L10060">
        <v>930</v>
      </c>
      <c r="M10060" t="s">
        <v>22204</v>
      </c>
      <c r="N10060" t="s">
        <v>4768</v>
      </c>
      <c r="O10060" t="s">
        <v>31</v>
      </c>
      <c r="P10060" t="str">
        <f>"15137"</f>
        <v>15137</v>
      </c>
    </row>
    <row r="10061" spans="1:16" x14ac:dyDescent="0.25">
      <c r="A10061" t="str">
        <f>"1150057G00226    00"</f>
        <v>1150057G00226    00</v>
      </c>
      <c r="B10061" t="s">
        <v>22205</v>
      </c>
      <c r="C10061" t="s">
        <v>21801</v>
      </c>
      <c r="D10061" t="s">
        <v>20</v>
      </c>
      <c r="E10061" t="s">
        <v>39</v>
      </c>
      <c r="F10061">
        <v>0</v>
      </c>
      <c r="G10061">
        <v>0</v>
      </c>
      <c r="H10061">
        <v>19</v>
      </c>
      <c r="I10061" s="3">
        <v>277.07</v>
      </c>
      <c r="J10061" s="3">
        <v>258.88</v>
      </c>
      <c r="K10061" t="s">
        <v>1037</v>
      </c>
      <c r="L10061">
        <v>3798</v>
      </c>
      <c r="M10061" t="s">
        <v>4758</v>
      </c>
      <c r="N10061" t="s">
        <v>22206</v>
      </c>
      <c r="O10061" t="s">
        <v>31</v>
      </c>
      <c r="P10061" t="str">
        <f>"15129"</f>
        <v>15129</v>
      </c>
    </row>
    <row r="10062" spans="1:16" x14ac:dyDescent="0.25">
      <c r="A10062" t="str">
        <f>"1150057G00227    00"</f>
        <v>1150057G00227    00</v>
      </c>
      <c r="B10062" t="s">
        <v>22207</v>
      </c>
      <c r="C10062" t="s">
        <v>21801</v>
      </c>
      <c r="D10062" t="s">
        <v>20</v>
      </c>
      <c r="E10062" t="s">
        <v>39</v>
      </c>
      <c r="F10062">
        <v>0</v>
      </c>
      <c r="G10062">
        <v>0</v>
      </c>
      <c r="H10062">
        <v>19</v>
      </c>
      <c r="I10062" s="3">
        <v>277.07</v>
      </c>
      <c r="J10062" s="3">
        <v>258.88</v>
      </c>
      <c r="K10062" t="s">
        <v>1037</v>
      </c>
      <c r="L10062">
        <v>5523</v>
      </c>
      <c r="M10062" t="s">
        <v>21575</v>
      </c>
      <c r="N10062" t="s">
        <v>30</v>
      </c>
      <c r="O10062" t="s">
        <v>31</v>
      </c>
      <c r="P10062" t="str">
        <f>"15207"</f>
        <v>15207</v>
      </c>
    </row>
    <row r="10063" spans="1:16" x14ac:dyDescent="0.25">
      <c r="A10063" t="str">
        <f>"1150057G00230    00"</f>
        <v>1150057G00230    00</v>
      </c>
      <c r="B10063" t="s">
        <v>22208</v>
      </c>
      <c r="C10063" t="s">
        <v>22209</v>
      </c>
      <c r="D10063" t="s">
        <v>20</v>
      </c>
      <c r="E10063" t="s">
        <v>39</v>
      </c>
      <c r="F10063">
        <v>0</v>
      </c>
      <c r="G10063">
        <v>0</v>
      </c>
      <c r="H10063">
        <v>3</v>
      </c>
      <c r="I10063" s="3">
        <v>1806.96</v>
      </c>
      <c r="J10063" s="3">
        <v>120.46</v>
      </c>
      <c r="L10063">
        <v>1386</v>
      </c>
      <c r="M10063" t="s">
        <v>22210</v>
      </c>
      <c r="N10063" t="s">
        <v>22211</v>
      </c>
      <c r="O10063" t="s">
        <v>370</v>
      </c>
      <c r="P10063" t="str">
        <f>"34952"</f>
        <v>34952</v>
      </c>
    </row>
    <row r="10064" spans="1:16" x14ac:dyDescent="0.25">
      <c r="A10064" t="str">
        <f>"1150057G00231    00"</f>
        <v>1150057G00231    00</v>
      </c>
      <c r="B10064" t="s">
        <v>22208</v>
      </c>
      <c r="C10064" t="s">
        <v>21801</v>
      </c>
      <c r="D10064" t="s">
        <v>20</v>
      </c>
      <c r="E10064" t="s">
        <v>39</v>
      </c>
      <c r="F10064">
        <v>0</v>
      </c>
      <c r="G10064">
        <v>0</v>
      </c>
      <c r="H10064">
        <v>3</v>
      </c>
      <c r="I10064" s="3">
        <v>234.48</v>
      </c>
      <c r="J10064" s="3">
        <v>15.64</v>
      </c>
      <c r="L10064">
        <v>1386</v>
      </c>
      <c r="M10064" t="s">
        <v>22210</v>
      </c>
      <c r="N10064" t="s">
        <v>22211</v>
      </c>
      <c r="O10064" t="s">
        <v>370</v>
      </c>
      <c r="P10064" t="str">
        <f>"34952"</f>
        <v>34952</v>
      </c>
    </row>
    <row r="10065" spans="1:16" x14ac:dyDescent="0.25">
      <c r="A10065" t="str">
        <f>"1150057G00234    00"</f>
        <v>1150057G00234    00</v>
      </c>
      <c r="B10065" t="s">
        <v>22212</v>
      </c>
      <c r="C10065" t="s">
        <v>21801</v>
      </c>
      <c r="D10065" t="s">
        <v>20</v>
      </c>
      <c r="E10065" t="s">
        <v>21</v>
      </c>
      <c r="F10065">
        <v>0</v>
      </c>
      <c r="G10065">
        <v>0</v>
      </c>
      <c r="H10065">
        <v>3</v>
      </c>
      <c r="I10065" s="3">
        <v>57.18</v>
      </c>
      <c r="J10065" s="3">
        <v>3.81</v>
      </c>
      <c r="L10065">
        <v>5</v>
      </c>
      <c r="M10065" t="s">
        <v>22213</v>
      </c>
      <c r="N10065" t="s">
        <v>4158</v>
      </c>
      <c r="O10065" t="s">
        <v>31</v>
      </c>
      <c r="P10065" t="str">
        <f>"15034"</f>
        <v>15034</v>
      </c>
    </row>
    <row r="10066" spans="1:16" x14ac:dyDescent="0.25">
      <c r="A10066" t="str">
        <f>"1150057G00235    00"</f>
        <v>1150057G00235    00</v>
      </c>
      <c r="B10066" t="s">
        <v>22212</v>
      </c>
      <c r="C10066" t="s">
        <v>22214</v>
      </c>
      <c r="D10066" t="s">
        <v>20</v>
      </c>
      <c r="E10066" t="s">
        <v>21</v>
      </c>
      <c r="F10066">
        <v>0</v>
      </c>
      <c r="G10066">
        <v>0</v>
      </c>
      <c r="H10066">
        <v>3</v>
      </c>
      <c r="I10066" s="3">
        <v>571.79999999999995</v>
      </c>
      <c r="J10066" s="3">
        <v>38.119999999999997</v>
      </c>
      <c r="L10066">
        <v>5</v>
      </c>
      <c r="M10066" t="s">
        <v>22215</v>
      </c>
      <c r="N10066" t="s">
        <v>4158</v>
      </c>
      <c r="O10066" t="s">
        <v>31</v>
      </c>
      <c r="P10066" t="str">
        <f>"15034"</f>
        <v>15034</v>
      </c>
    </row>
    <row r="10067" spans="1:16" x14ac:dyDescent="0.25">
      <c r="A10067" t="str">
        <f>"1150057G00239    00"</f>
        <v>1150057G00239    00</v>
      </c>
      <c r="B10067" t="s">
        <v>22216</v>
      </c>
      <c r="C10067" t="s">
        <v>22217</v>
      </c>
      <c r="D10067" t="s">
        <v>20</v>
      </c>
      <c r="E10067" t="s">
        <v>39</v>
      </c>
      <c r="F10067">
        <v>0</v>
      </c>
      <c r="G10067">
        <v>0</v>
      </c>
      <c r="H10067">
        <v>7</v>
      </c>
      <c r="I10067" s="3">
        <v>6515.37</v>
      </c>
      <c r="J10067" s="3">
        <v>1621.99</v>
      </c>
      <c r="L10067">
        <v>5633</v>
      </c>
      <c r="M10067" t="s">
        <v>21575</v>
      </c>
      <c r="N10067" t="s">
        <v>30</v>
      </c>
      <c r="O10067" t="s">
        <v>31</v>
      </c>
      <c r="P10067" t="str">
        <f>"15207"</f>
        <v>15207</v>
      </c>
    </row>
    <row r="10068" spans="1:16" x14ac:dyDescent="0.25">
      <c r="A10068" t="str">
        <f>"1150057G00270    00"</f>
        <v>1150057G00270    00</v>
      </c>
      <c r="B10068" t="s">
        <v>22218</v>
      </c>
      <c r="C10068" t="s">
        <v>21801</v>
      </c>
      <c r="D10068" t="s">
        <v>20</v>
      </c>
      <c r="E10068" t="s">
        <v>39</v>
      </c>
      <c r="F10068">
        <v>0</v>
      </c>
      <c r="G10068">
        <v>0</v>
      </c>
      <c r="H10068">
        <v>19</v>
      </c>
      <c r="I10068" s="3">
        <v>2034.61</v>
      </c>
      <c r="J10068" s="3">
        <v>2110.2800000000002</v>
      </c>
      <c r="L10068">
        <v>808</v>
      </c>
      <c r="M10068" t="s">
        <v>22219</v>
      </c>
      <c r="N10068" t="s">
        <v>8181</v>
      </c>
      <c r="O10068" t="s">
        <v>31</v>
      </c>
      <c r="P10068" t="str">
        <f>"15110"</f>
        <v>15110</v>
      </c>
    </row>
    <row r="10069" spans="1:16" x14ac:dyDescent="0.25">
      <c r="A10069" t="str">
        <f>"1150057G00281    00"</f>
        <v>1150057G00281    00</v>
      </c>
      <c r="B10069" t="s">
        <v>22220</v>
      </c>
      <c r="C10069" t="s">
        <v>22221</v>
      </c>
      <c r="D10069" t="s">
        <v>20</v>
      </c>
      <c r="E10069" t="s">
        <v>39</v>
      </c>
      <c r="F10069">
        <v>0</v>
      </c>
      <c r="G10069">
        <v>0</v>
      </c>
      <c r="H10069">
        <v>2</v>
      </c>
      <c r="I10069" s="3">
        <v>152.47</v>
      </c>
      <c r="J10069" s="3">
        <v>0</v>
      </c>
      <c r="L10069">
        <v>210</v>
      </c>
      <c r="M10069" t="s">
        <v>21497</v>
      </c>
      <c r="N10069" t="s">
        <v>30</v>
      </c>
      <c r="O10069" t="s">
        <v>31</v>
      </c>
      <c r="P10069" t="str">
        <f>"15207"</f>
        <v>15207</v>
      </c>
    </row>
    <row r="10070" spans="1:16" x14ac:dyDescent="0.25">
      <c r="A10070" t="str">
        <f>"1150057G00282A   00"</f>
        <v>1150057G00282A   00</v>
      </c>
      <c r="B10070" t="s">
        <v>22222</v>
      </c>
      <c r="C10070" t="s">
        <v>21491</v>
      </c>
      <c r="D10070" t="s">
        <v>20</v>
      </c>
      <c r="E10070" t="s">
        <v>39</v>
      </c>
      <c r="F10070">
        <v>0</v>
      </c>
      <c r="G10070">
        <v>0</v>
      </c>
      <c r="H10070">
        <v>17</v>
      </c>
      <c r="I10070" s="3">
        <v>4417.8999999999996</v>
      </c>
      <c r="J10070" s="3">
        <v>6368.11</v>
      </c>
      <c r="K10070" t="s">
        <v>22223</v>
      </c>
      <c r="L10070">
        <v>6300</v>
      </c>
      <c r="M10070" t="s">
        <v>22224</v>
      </c>
      <c r="N10070" t="s">
        <v>22225</v>
      </c>
      <c r="O10070" t="s">
        <v>31</v>
      </c>
      <c r="P10070" t="str">
        <f>"15332"</f>
        <v>15332</v>
      </c>
    </row>
    <row r="10071" spans="1:16" x14ac:dyDescent="0.25">
      <c r="A10071" t="str">
        <f>"1150057G00283    00"</f>
        <v>1150057G00283    00</v>
      </c>
      <c r="B10071" t="s">
        <v>21246</v>
      </c>
      <c r="C10071" t="s">
        <v>22226</v>
      </c>
      <c r="D10071" t="s">
        <v>20</v>
      </c>
      <c r="E10071" t="s">
        <v>39</v>
      </c>
      <c r="F10071">
        <v>0</v>
      </c>
      <c r="G10071">
        <v>0</v>
      </c>
      <c r="H10071">
        <v>3</v>
      </c>
      <c r="I10071" s="3">
        <v>368.35</v>
      </c>
      <c r="J10071" s="3">
        <v>15.25</v>
      </c>
      <c r="L10071">
        <v>727</v>
      </c>
      <c r="M10071" t="s">
        <v>15656</v>
      </c>
      <c r="N10071" t="s">
        <v>30</v>
      </c>
      <c r="O10071" t="s">
        <v>31</v>
      </c>
      <c r="P10071" t="str">
        <f>"15221"</f>
        <v>15221</v>
      </c>
    </row>
    <row r="10072" spans="1:16" x14ac:dyDescent="0.25">
      <c r="A10072" t="str">
        <f>"1150057G00283A   00"</f>
        <v>1150057G00283A   00</v>
      </c>
      <c r="B10072" t="s">
        <v>22227</v>
      </c>
      <c r="C10072" t="s">
        <v>22228</v>
      </c>
      <c r="E10072" t="s">
        <v>39</v>
      </c>
      <c r="F10072">
        <v>0</v>
      </c>
      <c r="G10072">
        <v>0</v>
      </c>
      <c r="H10072">
        <v>7</v>
      </c>
      <c r="I10072" s="3">
        <v>784.43</v>
      </c>
      <c r="J10072" s="3">
        <v>1070.3800000000001</v>
      </c>
      <c r="L10072">
        <v>222</v>
      </c>
      <c r="M10072" t="s">
        <v>21497</v>
      </c>
      <c r="N10072" t="s">
        <v>30</v>
      </c>
      <c r="O10072" t="s">
        <v>31</v>
      </c>
      <c r="P10072" t="str">
        <f>"15207"</f>
        <v>15207</v>
      </c>
    </row>
    <row r="10073" spans="1:16" x14ac:dyDescent="0.25">
      <c r="A10073" t="str">
        <f>"1150057G00284    00"</f>
        <v>1150057G00284    00</v>
      </c>
      <c r="B10073" t="s">
        <v>22227</v>
      </c>
      <c r="C10073" t="s">
        <v>22229</v>
      </c>
      <c r="E10073" t="s">
        <v>39</v>
      </c>
      <c r="F10073">
        <v>0</v>
      </c>
      <c r="G10073">
        <v>0</v>
      </c>
      <c r="H10073">
        <v>9</v>
      </c>
      <c r="I10073" s="3">
        <v>4201.8900000000003</v>
      </c>
      <c r="J10073" s="3">
        <v>5961.78</v>
      </c>
      <c r="L10073">
        <v>222</v>
      </c>
      <c r="M10073" t="s">
        <v>21497</v>
      </c>
      <c r="N10073" t="s">
        <v>30</v>
      </c>
      <c r="O10073" t="s">
        <v>31</v>
      </c>
      <c r="P10073" t="str">
        <f>"15207"</f>
        <v>15207</v>
      </c>
    </row>
    <row r="10074" spans="1:16" x14ac:dyDescent="0.25">
      <c r="A10074" t="str">
        <f>"1150057G00285    00"</f>
        <v>1150057G00285    00</v>
      </c>
      <c r="B10074" t="s">
        <v>22230</v>
      </c>
      <c r="C10074" t="s">
        <v>22231</v>
      </c>
      <c r="E10074" t="s">
        <v>39</v>
      </c>
      <c r="F10074">
        <v>0</v>
      </c>
      <c r="G10074">
        <v>0</v>
      </c>
      <c r="H10074">
        <v>1</v>
      </c>
      <c r="I10074" s="3">
        <v>131.52000000000001</v>
      </c>
      <c r="J10074" s="3">
        <v>0</v>
      </c>
      <c r="L10074">
        <v>4908</v>
      </c>
      <c r="M10074" t="s">
        <v>20688</v>
      </c>
      <c r="N10074" t="s">
        <v>30</v>
      </c>
      <c r="O10074" t="s">
        <v>31</v>
      </c>
      <c r="P10074" t="str">
        <f>"15207"</f>
        <v>15207</v>
      </c>
    </row>
    <row r="10075" spans="1:16" x14ac:dyDescent="0.25">
      <c r="A10075" t="str">
        <f>"1150057G00285A   00"</f>
        <v>1150057G00285A   00</v>
      </c>
      <c r="B10075" t="s">
        <v>22232</v>
      </c>
      <c r="C10075" t="s">
        <v>22233</v>
      </c>
      <c r="D10075" t="s">
        <v>20</v>
      </c>
      <c r="E10075" t="s">
        <v>39</v>
      </c>
      <c r="F10075">
        <v>0</v>
      </c>
      <c r="G10075">
        <v>0</v>
      </c>
      <c r="H10075">
        <v>2</v>
      </c>
      <c r="I10075" s="3">
        <v>50.84</v>
      </c>
      <c r="J10075" s="3">
        <v>19.64</v>
      </c>
      <c r="K10075" t="s">
        <v>22234</v>
      </c>
      <c r="L10075">
        <v>226</v>
      </c>
      <c r="M10075" t="s">
        <v>21497</v>
      </c>
      <c r="N10075" t="s">
        <v>30</v>
      </c>
      <c r="O10075" t="s">
        <v>31</v>
      </c>
      <c r="P10075" t="str">
        <f>"15207"</f>
        <v>15207</v>
      </c>
    </row>
    <row r="10076" spans="1:16" x14ac:dyDescent="0.25">
      <c r="A10076" t="str">
        <f>"1150057G00291    00"</f>
        <v>1150057G00291    00</v>
      </c>
      <c r="B10076" t="s">
        <v>22235</v>
      </c>
      <c r="C10076" t="s">
        <v>22142</v>
      </c>
      <c r="E10076" t="s">
        <v>39</v>
      </c>
      <c r="F10076">
        <v>0</v>
      </c>
      <c r="G10076">
        <v>0</v>
      </c>
      <c r="H10076">
        <v>3</v>
      </c>
      <c r="I10076" s="3">
        <v>2392.9499999999998</v>
      </c>
      <c r="J10076" s="3">
        <v>3015.56</v>
      </c>
      <c r="L10076">
        <v>573</v>
      </c>
      <c r="M10076" t="s">
        <v>16208</v>
      </c>
      <c r="N10076" t="s">
        <v>30</v>
      </c>
      <c r="O10076" t="s">
        <v>31</v>
      </c>
      <c r="P10076" t="str">
        <f>"15221"</f>
        <v>15221</v>
      </c>
    </row>
    <row r="10077" spans="1:16" x14ac:dyDescent="0.25">
      <c r="A10077" t="str">
        <f>"1150057G00301    00"</f>
        <v>1150057G00301    00</v>
      </c>
      <c r="B10077" t="s">
        <v>22236</v>
      </c>
      <c r="C10077" t="s">
        <v>22237</v>
      </c>
      <c r="D10077" t="s">
        <v>20</v>
      </c>
      <c r="E10077" t="s">
        <v>39</v>
      </c>
      <c r="F10077">
        <v>0</v>
      </c>
      <c r="G10077">
        <v>0</v>
      </c>
      <c r="H10077">
        <v>17</v>
      </c>
      <c r="I10077" s="3">
        <v>8310.7000000000007</v>
      </c>
      <c r="J10077" s="3">
        <v>9416.2199999999993</v>
      </c>
      <c r="L10077">
        <v>872</v>
      </c>
      <c r="M10077" t="s">
        <v>2462</v>
      </c>
      <c r="N10077" t="s">
        <v>30</v>
      </c>
      <c r="O10077" t="s">
        <v>31</v>
      </c>
      <c r="P10077" t="str">
        <f>"15214"</f>
        <v>15214</v>
      </c>
    </row>
    <row r="10078" spans="1:16" x14ac:dyDescent="0.25">
      <c r="A10078" t="str">
        <f>"1150057G00304    00"</f>
        <v>1150057G00304    00</v>
      </c>
      <c r="B10078" t="s">
        <v>22238</v>
      </c>
      <c r="C10078" t="s">
        <v>22239</v>
      </c>
      <c r="D10078" t="s">
        <v>20</v>
      </c>
      <c r="E10078" t="s">
        <v>39</v>
      </c>
      <c r="F10078">
        <v>0</v>
      </c>
      <c r="G10078">
        <v>0</v>
      </c>
      <c r="H10078">
        <v>1</v>
      </c>
      <c r="I10078" s="3">
        <v>552.74</v>
      </c>
      <c r="J10078" s="3">
        <v>0</v>
      </c>
      <c r="K10078" t="s">
        <v>22240</v>
      </c>
      <c r="L10078">
        <v>418</v>
      </c>
      <c r="M10078" t="s">
        <v>7868</v>
      </c>
      <c r="N10078" t="s">
        <v>30</v>
      </c>
      <c r="O10078" t="s">
        <v>31</v>
      </c>
      <c r="P10078" t="str">
        <f>"15224"</f>
        <v>15224</v>
      </c>
    </row>
    <row r="10079" spans="1:16" x14ac:dyDescent="0.25">
      <c r="A10079" t="str">
        <f>"1150057G00306    00"</f>
        <v>1150057G00306    00</v>
      </c>
      <c r="B10079" t="s">
        <v>22241</v>
      </c>
      <c r="C10079" t="s">
        <v>22142</v>
      </c>
      <c r="D10079" t="s">
        <v>20</v>
      </c>
      <c r="E10079" t="s">
        <v>39</v>
      </c>
      <c r="F10079">
        <v>0</v>
      </c>
      <c r="G10079">
        <v>0</v>
      </c>
      <c r="H10079">
        <v>19</v>
      </c>
      <c r="I10079" s="3">
        <v>1954.84</v>
      </c>
      <c r="J10079" s="3">
        <v>2189.58</v>
      </c>
      <c r="L10079">
        <v>214</v>
      </c>
      <c r="M10079" t="s">
        <v>13437</v>
      </c>
      <c r="N10079" t="s">
        <v>30</v>
      </c>
      <c r="O10079" t="s">
        <v>31</v>
      </c>
      <c r="P10079" t="str">
        <f>"15207"</f>
        <v>15207</v>
      </c>
    </row>
    <row r="10080" spans="1:16" x14ac:dyDescent="0.25">
      <c r="A10080" t="str">
        <f>"1150057G00312    00"</f>
        <v>1150057G00312    00</v>
      </c>
      <c r="B10080" t="s">
        <v>22242</v>
      </c>
      <c r="C10080" t="s">
        <v>22142</v>
      </c>
      <c r="D10080" t="s">
        <v>20</v>
      </c>
      <c r="E10080" t="s">
        <v>39</v>
      </c>
      <c r="F10080">
        <v>0</v>
      </c>
      <c r="G10080">
        <v>0</v>
      </c>
      <c r="H10080">
        <v>18</v>
      </c>
      <c r="I10080" s="3">
        <v>1960.04</v>
      </c>
      <c r="J10080" s="3">
        <v>1379.51</v>
      </c>
      <c r="L10080">
        <v>2013</v>
      </c>
      <c r="M10080" t="s">
        <v>17873</v>
      </c>
      <c r="N10080" t="s">
        <v>30</v>
      </c>
      <c r="O10080" t="s">
        <v>31</v>
      </c>
      <c r="P10080" t="str">
        <f>"15221"</f>
        <v>15221</v>
      </c>
    </row>
    <row r="10081" spans="1:16" x14ac:dyDescent="0.25">
      <c r="A10081" t="str">
        <f>"1150057G00314    00"</f>
        <v>1150057G00314    00</v>
      </c>
      <c r="B10081" t="s">
        <v>22243</v>
      </c>
      <c r="C10081" t="s">
        <v>22244</v>
      </c>
      <c r="D10081" t="s">
        <v>20</v>
      </c>
      <c r="E10081" t="s">
        <v>39</v>
      </c>
      <c r="F10081">
        <v>0</v>
      </c>
      <c r="G10081">
        <v>0</v>
      </c>
      <c r="H10081">
        <v>1</v>
      </c>
      <c r="I10081" s="3">
        <v>62.91</v>
      </c>
      <c r="J10081" s="3">
        <v>0</v>
      </c>
      <c r="L10081">
        <v>3017</v>
      </c>
      <c r="M10081" t="s">
        <v>22245</v>
      </c>
      <c r="N10081" t="s">
        <v>30</v>
      </c>
      <c r="O10081" t="s">
        <v>31</v>
      </c>
      <c r="P10081" t="str">
        <f>"15235"</f>
        <v>15235</v>
      </c>
    </row>
    <row r="10082" spans="1:16" x14ac:dyDescent="0.25">
      <c r="A10082" t="str">
        <f>"1150057G00324    00"</f>
        <v>1150057G00324    00</v>
      </c>
      <c r="B10082" t="s">
        <v>22246</v>
      </c>
      <c r="C10082" t="s">
        <v>22247</v>
      </c>
      <c r="D10082" t="s">
        <v>20</v>
      </c>
      <c r="E10082" t="s">
        <v>39</v>
      </c>
      <c r="F10082">
        <v>0</v>
      </c>
      <c r="G10082">
        <v>0</v>
      </c>
      <c r="H10082">
        <v>1</v>
      </c>
      <c r="I10082" s="3">
        <v>394.7</v>
      </c>
      <c r="J10082" s="3">
        <v>0</v>
      </c>
      <c r="L10082">
        <v>6811</v>
      </c>
      <c r="M10082" t="s">
        <v>22248</v>
      </c>
      <c r="N10082" t="s">
        <v>22249</v>
      </c>
      <c r="O10082" t="s">
        <v>370</v>
      </c>
      <c r="P10082" t="str">
        <f>"34448"</f>
        <v>34448</v>
      </c>
    </row>
    <row r="10083" spans="1:16" x14ac:dyDescent="0.25">
      <c r="A10083" t="str">
        <f>"1150057G00325    00"</f>
        <v>1150057G00325    00</v>
      </c>
      <c r="B10083" t="s">
        <v>22250</v>
      </c>
      <c r="C10083" t="s">
        <v>22251</v>
      </c>
      <c r="D10083" t="s">
        <v>20</v>
      </c>
      <c r="E10083" t="s">
        <v>39</v>
      </c>
      <c r="F10083">
        <v>0</v>
      </c>
      <c r="G10083">
        <v>0</v>
      </c>
      <c r="H10083">
        <v>6</v>
      </c>
      <c r="I10083" s="3">
        <v>838.04</v>
      </c>
      <c r="J10083" s="3">
        <v>539.21</v>
      </c>
      <c r="L10083">
        <v>137</v>
      </c>
      <c r="M10083" t="s">
        <v>22179</v>
      </c>
      <c r="N10083" t="s">
        <v>30</v>
      </c>
      <c r="O10083" t="s">
        <v>31</v>
      </c>
      <c r="P10083" t="str">
        <f>"15207"</f>
        <v>15207</v>
      </c>
    </row>
    <row r="10084" spans="1:16" x14ac:dyDescent="0.25">
      <c r="A10084" t="str">
        <f>"1150057G00327    00"</f>
        <v>1150057G00327    00</v>
      </c>
      <c r="B10084" t="s">
        <v>22252</v>
      </c>
      <c r="C10084" t="s">
        <v>22253</v>
      </c>
      <c r="D10084" t="s">
        <v>20</v>
      </c>
      <c r="E10084" t="s">
        <v>39</v>
      </c>
      <c r="F10084">
        <v>0</v>
      </c>
      <c r="G10084">
        <v>0</v>
      </c>
      <c r="H10084">
        <v>2</v>
      </c>
      <c r="I10084" s="3">
        <v>411.7</v>
      </c>
      <c r="J10084" s="3">
        <v>0</v>
      </c>
      <c r="K10084" t="s">
        <v>22254</v>
      </c>
      <c r="L10084">
        <v>131</v>
      </c>
      <c r="M10084" t="s">
        <v>22179</v>
      </c>
      <c r="N10084" t="s">
        <v>30</v>
      </c>
      <c r="O10084" t="s">
        <v>31</v>
      </c>
      <c r="P10084" t="str">
        <f>"15207"</f>
        <v>15207</v>
      </c>
    </row>
    <row r="10085" spans="1:16" x14ac:dyDescent="0.25">
      <c r="A10085" t="str">
        <f>"1150057G00328    00"</f>
        <v>1150057G00328    00</v>
      </c>
      <c r="B10085" t="s">
        <v>22255</v>
      </c>
      <c r="C10085" t="s">
        <v>22130</v>
      </c>
      <c r="D10085" t="s">
        <v>20</v>
      </c>
      <c r="E10085" t="s">
        <v>39</v>
      </c>
      <c r="F10085">
        <v>0</v>
      </c>
      <c r="G10085">
        <v>0</v>
      </c>
      <c r="H10085">
        <v>9</v>
      </c>
      <c r="I10085" s="3">
        <v>99.39</v>
      </c>
      <c r="J10085" s="3">
        <v>47.26</v>
      </c>
      <c r="L10085">
        <v>1310</v>
      </c>
      <c r="M10085" t="s">
        <v>22256</v>
      </c>
      <c r="N10085" t="s">
        <v>285</v>
      </c>
      <c r="O10085" t="s">
        <v>31</v>
      </c>
      <c r="P10085" t="str">
        <f>"15120"</f>
        <v>15120</v>
      </c>
    </row>
    <row r="10086" spans="1:16" x14ac:dyDescent="0.25">
      <c r="A10086" t="str">
        <f>"1150057G00330    00"</f>
        <v>1150057G00330    00</v>
      </c>
      <c r="B10086" t="s">
        <v>21698</v>
      </c>
      <c r="C10086" t="s">
        <v>22130</v>
      </c>
      <c r="D10086" t="s">
        <v>20</v>
      </c>
      <c r="E10086" t="s">
        <v>39</v>
      </c>
      <c r="F10086">
        <v>0</v>
      </c>
      <c r="G10086">
        <v>0</v>
      </c>
      <c r="H10086">
        <v>2</v>
      </c>
      <c r="I10086" s="3">
        <v>76.239999999999995</v>
      </c>
      <c r="J10086" s="3">
        <v>0</v>
      </c>
      <c r="K10086" t="s">
        <v>22257</v>
      </c>
      <c r="L10086">
        <v>5039</v>
      </c>
      <c r="M10086" t="s">
        <v>21513</v>
      </c>
      <c r="N10086" t="s">
        <v>30</v>
      </c>
      <c r="O10086" t="s">
        <v>31</v>
      </c>
      <c r="P10086" t="str">
        <f>"15207"</f>
        <v>15207</v>
      </c>
    </row>
    <row r="10087" spans="1:16" x14ac:dyDescent="0.25">
      <c r="A10087" t="str">
        <f>"1150057G00334    00"</f>
        <v>1150057G00334    00</v>
      </c>
      <c r="B10087" t="s">
        <v>21698</v>
      </c>
      <c r="C10087" t="s">
        <v>22258</v>
      </c>
      <c r="D10087" t="s">
        <v>20</v>
      </c>
      <c r="E10087" t="s">
        <v>39</v>
      </c>
      <c r="F10087">
        <v>0</v>
      </c>
      <c r="G10087">
        <v>0</v>
      </c>
      <c r="H10087">
        <v>2</v>
      </c>
      <c r="I10087" s="3">
        <v>1372.32</v>
      </c>
      <c r="J10087" s="3">
        <v>0</v>
      </c>
      <c r="K10087" t="s">
        <v>22257</v>
      </c>
      <c r="L10087">
        <v>5039</v>
      </c>
      <c r="M10087" t="s">
        <v>21513</v>
      </c>
      <c r="N10087" t="s">
        <v>30</v>
      </c>
      <c r="O10087" t="s">
        <v>31</v>
      </c>
      <c r="P10087" t="str">
        <f>"15207"</f>
        <v>15207</v>
      </c>
    </row>
    <row r="10088" spans="1:16" x14ac:dyDescent="0.25">
      <c r="A10088" t="str">
        <f>"1150057G00341    00"</f>
        <v>1150057G00341    00</v>
      </c>
      <c r="B10088" t="s">
        <v>22259</v>
      </c>
      <c r="C10088" t="s">
        <v>22260</v>
      </c>
      <c r="D10088" t="s">
        <v>20</v>
      </c>
      <c r="E10088" t="s">
        <v>39</v>
      </c>
      <c r="F10088">
        <v>0</v>
      </c>
      <c r="G10088">
        <v>0</v>
      </c>
      <c r="H10088">
        <v>6</v>
      </c>
      <c r="I10088" s="3">
        <v>1606.67</v>
      </c>
      <c r="J10088" s="3">
        <v>360.34</v>
      </c>
      <c r="L10088">
        <v>1</v>
      </c>
      <c r="M10088" t="s">
        <v>22261</v>
      </c>
      <c r="N10088" t="s">
        <v>30</v>
      </c>
      <c r="O10088" t="s">
        <v>31</v>
      </c>
      <c r="P10088" t="str">
        <f>"15207"</f>
        <v>15207</v>
      </c>
    </row>
    <row r="10089" spans="1:16" x14ac:dyDescent="0.25">
      <c r="A10089" t="str">
        <f>"1150057G00343    00"</f>
        <v>1150057G00343    00</v>
      </c>
      <c r="B10089" t="s">
        <v>22262</v>
      </c>
      <c r="C10089" t="s">
        <v>22263</v>
      </c>
      <c r="D10089" t="s">
        <v>20</v>
      </c>
      <c r="E10089" t="s">
        <v>39</v>
      </c>
      <c r="F10089">
        <v>0</v>
      </c>
      <c r="G10089">
        <v>0</v>
      </c>
      <c r="H10089">
        <v>19</v>
      </c>
      <c r="I10089" s="3">
        <v>2179.73</v>
      </c>
      <c r="J10089" s="3">
        <v>2964.09</v>
      </c>
      <c r="K10089" t="s">
        <v>22264</v>
      </c>
      <c r="L10089">
        <v>1128</v>
      </c>
      <c r="M10089" t="s">
        <v>22265</v>
      </c>
      <c r="N10089" t="s">
        <v>30</v>
      </c>
      <c r="O10089" t="s">
        <v>31</v>
      </c>
      <c r="P10089" t="str">
        <f>"15243"</f>
        <v>15243</v>
      </c>
    </row>
    <row r="10090" spans="1:16" x14ac:dyDescent="0.25">
      <c r="A10090" t="str">
        <f>"1150057G00344    00"</f>
        <v>1150057G00344    00</v>
      </c>
      <c r="B10090" t="s">
        <v>21386</v>
      </c>
      <c r="C10090" t="s">
        <v>22266</v>
      </c>
      <c r="D10090" t="s">
        <v>20</v>
      </c>
      <c r="E10090" t="s">
        <v>39</v>
      </c>
      <c r="F10090">
        <v>0</v>
      </c>
      <c r="G10090">
        <v>0</v>
      </c>
      <c r="H10090">
        <v>18</v>
      </c>
      <c r="I10090" s="3">
        <v>5513.27</v>
      </c>
      <c r="J10090" s="3">
        <v>5086.49</v>
      </c>
      <c r="L10090">
        <v>4619</v>
      </c>
      <c r="M10090" t="s">
        <v>1451</v>
      </c>
      <c r="N10090" t="s">
        <v>285</v>
      </c>
      <c r="O10090" t="s">
        <v>31</v>
      </c>
      <c r="P10090" t="str">
        <f>"15120"</f>
        <v>15120</v>
      </c>
    </row>
    <row r="10091" spans="1:16" x14ac:dyDescent="0.25">
      <c r="A10091" t="str">
        <f>"1150057G00363    00"</f>
        <v>1150057G00363    00</v>
      </c>
      <c r="B10091" t="s">
        <v>22267</v>
      </c>
      <c r="C10091" t="s">
        <v>22268</v>
      </c>
      <c r="D10091" t="s">
        <v>20</v>
      </c>
      <c r="E10091" t="s">
        <v>39</v>
      </c>
      <c r="F10091">
        <v>0</v>
      </c>
      <c r="G10091">
        <v>0</v>
      </c>
      <c r="H10091">
        <v>6</v>
      </c>
      <c r="I10091" s="3">
        <v>1921.26</v>
      </c>
      <c r="J10091" s="3">
        <v>430.88</v>
      </c>
      <c r="L10091">
        <v>511</v>
      </c>
      <c r="M10091" t="s">
        <v>22269</v>
      </c>
      <c r="N10091" t="s">
        <v>30</v>
      </c>
      <c r="O10091" t="s">
        <v>31</v>
      </c>
      <c r="P10091" t="str">
        <f>"15219"</f>
        <v>15219</v>
      </c>
    </row>
    <row r="10092" spans="1:16" x14ac:dyDescent="0.25">
      <c r="A10092" t="str">
        <f>"1150057G00364    00"</f>
        <v>1150057G00364    00</v>
      </c>
      <c r="B10092" t="s">
        <v>22270</v>
      </c>
      <c r="C10092" t="s">
        <v>22271</v>
      </c>
      <c r="D10092" t="s">
        <v>20</v>
      </c>
      <c r="E10092" t="s">
        <v>39</v>
      </c>
      <c r="F10092">
        <v>0</v>
      </c>
      <c r="G10092">
        <v>0</v>
      </c>
      <c r="H10092">
        <v>3</v>
      </c>
      <c r="I10092" s="3">
        <v>55.53</v>
      </c>
      <c r="J10092" s="3">
        <v>3.71</v>
      </c>
      <c r="L10092">
        <v>9</v>
      </c>
      <c r="M10092" t="s">
        <v>22261</v>
      </c>
      <c r="N10092" t="s">
        <v>30</v>
      </c>
      <c r="O10092" t="s">
        <v>31</v>
      </c>
      <c r="P10092" t="str">
        <f>"15207"</f>
        <v>15207</v>
      </c>
    </row>
    <row r="10093" spans="1:16" x14ac:dyDescent="0.25">
      <c r="A10093" t="str">
        <f>"1150087J00086    00"</f>
        <v>1150087J00086    00</v>
      </c>
      <c r="B10093" t="s">
        <v>22272</v>
      </c>
      <c r="C10093" t="s">
        <v>22273</v>
      </c>
      <c r="E10093" t="s">
        <v>39</v>
      </c>
      <c r="F10093">
        <v>0</v>
      </c>
      <c r="G10093">
        <v>0</v>
      </c>
      <c r="H10093">
        <v>3</v>
      </c>
      <c r="I10093" s="3">
        <v>91.1</v>
      </c>
      <c r="J10093" s="3">
        <v>40.229999999999997</v>
      </c>
      <c r="K10093" t="s">
        <v>1127</v>
      </c>
      <c r="M10093" t="s">
        <v>1128</v>
      </c>
      <c r="N10093" t="s">
        <v>1129</v>
      </c>
      <c r="O10093" t="s">
        <v>108</v>
      </c>
      <c r="P10093" t="str">
        <f>"76161"</f>
        <v>76161</v>
      </c>
    </row>
    <row r="10094" spans="1:16" x14ac:dyDescent="0.25">
      <c r="A10094" t="str">
        <f>"1150087J00117    00"</f>
        <v>1150087J00117    00</v>
      </c>
      <c r="B10094" t="s">
        <v>22274</v>
      </c>
      <c r="C10094" t="s">
        <v>22275</v>
      </c>
      <c r="D10094" t="s">
        <v>20</v>
      </c>
      <c r="E10094" t="s">
        <v>39</v>
      </c>
      <c r="F10094">
        <v>0</v>
      </c>
      <c r="G10094">
        <v>0</v>
      </c>
      <c r="H10094">
        <v>1</v>
      </c>
      <c r="I10094" s="3">
        <v>1583.9</v>
      </c>
      <c r="J10094" s="3">
        <v>0</v>
      </c>
      <c r="K10094" t="s">
        <v>22276</v>
      </c>
      <c r="L10094">
        <v>6425</v>
      </c>
      <c r="M10094" t="s">
        <v>18814</v>
      </c>
      <c r="N10094" t="s">
        <v>30</v>
      </c>
      <c r="O10094" t="s">
        <v>31</v>
      </c>
      <c r="P10094" t="str">
        <f>"15217"</f>
        <v>15217</v>
      </c>
    </row>
    <row r="10095" spans="1:16" x14ac:dyDescent="0.25">
      <c r="A10095" t="str">
        <f>"1150087J00127    00"</f>
        <v>1150087J00127    00</v>
      </c>
      <c r="B10095" t="s">
        <v>22277</v>
      </c>
      <c r="C10095" t="s">
        <v>22278</v>
      </c>
      <c r="D10095" t="s">
        <v>20</v>
      </c>
      <c r="E10095" t="s">
        <v>39</v>
      </c>
      <c r="F10095">
        <v>0</v>
      </c>
      <c r="G10095">
        <v>0</v>
      </c>
      <c r="H10095">
        <v>2</v>
      </c>
      <c r="I10095" s="3">
        <v>3571.86</v>
      </c>
      <c r="J10095" s="3">
        <v>0</v>
      </c>
      <c r="L10095">
        <v>2370</v>
      </c>
      <c r="M10095" t="s">
        <v>6412</v>
      </c>
      <c r="N10095" t="s">
        <v>30</v>
      </c>
      <c r="O10095" t="s">
        <v>31</v>
      </c>
      <c r="P10095" t="str">
        <f>"15241"</f>
        <v>15241</v>
      </c>
    </row>
    <row r="10096" spans="1:16" x14ac:dyDescent="0.25">
      <c r="A10096" t="str">
        <f>"1150087J00160    00"</f>
        <v>1150087J00160    00</v>
      </c>
      <c r="B10096" t="s">
        <v>22279</v>
      </c>
      <c r="C10096" t="s">
        <v>22280</v>
      </c>
      <c r="E10096" t="s">
        <v>39</v>
      </c>
      <c r="F10096">
        <v>0</v>
      </c>
      <c r="G10096">
        <v>0</v>
      </c>
      <c r="H10096">
        <v>1</v>
      </c>
      <c r="I10096" s="3">
        <v>14.06</v>
      </c>
      <c r="J10096" s="3">
        <v>0</v>
      </c>
      <c r="L10096">
        <v>517</v>
      </c>
      <c r="M10096" t="s">
        <v>22281</v>
      </c>
      <c r="N10096" t="s">
        <v>22282</v>
      </c>
      <c r="O10096" t="s">
        <v>606</v>
      </c>
      <c r="P10096" t="str">
        <f>"30188"</f>
        <v>30188</v>
      </c>
    </row>
    <row r="10097" spans="1:16" x14ac:dyDescent="0.25">
      <c r="A10097" t="str">
        <f>"1150087J00163    00"</f>
        <v>1150087J00163    00</v>
      </c>
      <c r="B10097" t="s">
        <v>22283</v>
      </c>
      <c r="C10097" t="s">
        <v>22284</v>
      </c>
      <c r="D10097" t="s">
        <v>20</v>
      </c>
      <c r="E10097" t="s">
        <v>39</v>
      </c>
      <c r="F10097">
        <v>0</v>
      </c>
      <c r="G10097">
        <v>0</v>
      </c>
      <c r="H10097">
        <v>1</v>
      </c>
      <c r="I10097" s="3">
        <v>1013.67</v>
      </c>
      <c r="J10097" s="3">
        <v>0</v>
      </c>
      <c r="K10097" t="s">
        <v>22285</v>
      </c>
      <c r="L10097">
        <v>1030</v>
      </c>
      <c r="M10097" t="s">
        <v>21742</v>
      </c>
      <c r="N10097" t="s">
        <v>30</v>
      </c>
      <c r="O10097" t="s">
        <v>31</v>
      </c>
      <c r="P10097" t="str">
        <f>"15217"</f>
        <v>15217</v>
      </c>
    </row>
    <row r="10098" spans="1:16" x14ac:dyDescent="0.25">
      <c r="A10098" t="str">
        <f>"1150087J00237    00"</f>
        <v>1150087J00237    00</v>
      </c>
      <c r="B10098" t="s">
        <v>22286</v>
      </c>
      <c r="C10098" t="s">
        <v>22287</v>
      </c>
      <c r="E10098" t="s">
        <v>39</v>
      </c>
      <c r="F10098">
        <v>0</v>
      </c>
      <c r="G10098">
        <v>0</v>
      </c>
      <c r="H10098">
        <v>2</v>
      </c>
      <c r="I10098" s="3">
        <v>2906.31</v>
      </c>
      <c r="J10098" s="3">
        <v>689.3</v>
      </c>
      <c r="L10098">
        <v>301</v>
      </c>
      <c r="M10098" t="s">
        <v>22288</v>
      </c>
      <c r="N10098" t="s">
        <v>30</v>
      </c>
      <c r="O10098" t="s">
        <v>31</v>
      </c>
      <c r="P10098" t="str">
        <f>"15241"</f>
        <v>15241</v>
      </c>
    </row>
    <row r="10099" spans="1:16" x14ac:dyDescent="0.25">
      <c r="A10099" t="str">
        <f>"1150087J00242    00"</f>
        <v>1150087J00242    00</v>
      </c>
      <c r="B10099" t="s">
        <v>22289</v>
      </c>
      <c r="C10099" t="s">
        <v>22290</v>
      </c>
      <c r="E10099" t="s">
        <v>39</v>
      </c>
      <c r="F10099">
        <v>0</v>
      </c>
      <c r="G10099">
        <v>0</v>
      </c>
      <c r="H10099">
        <v>1</v>
      </c>
      <c r="I10099" s="3">
        <v>796.43</v>
      </c>
      <c r="J10099" s="3">
        <v>0</v>
      </c>
      <c r="K10099" t="s">
        <v>22291</v>
      </c>
      <c r="L10099">
        <v>505</v>
      </c>
      <c r="M10099" t="s">
        <v>22292</v>
      </c>
      <c r="N10099" t="s">
        <v>22293</v>
      </c>
      <c r="O10099" t="s">
        <v>495</v>
      </c>
      <c r="P10099" t="str">
        <f>"94087"</f>
        <v>94087</v>
      </c>
    </row>
    <row r="10100" spans="1:16" x14ac:dyDescent="0.25">
      <c r="A10100" t="str">
        <f>"1150087J00280    00"</f>
        <v>1150087J00280    00</v>
      </c>
      <c r="B10100" t="s">
        <v>22294</v>
      </c>
      <c r="C10100" t="s">
        <v>22295</v>
      </c>
      <c r="D10100" t="s">
        <v>20</v>
      </c>
      <c r="E10100" t="s">
        <v>39</v>
      </c>
      <c r="F10100">
        <v>0</v>
      </c>
      <c r="G10100">
        <v>0</v>
      </c>
      <c r="H10100">
        <v>1</v>
      </c>
      <c r="I10100" s="3">
        <v>139.15</v>
      </c>
      <c r="J10100" s="3">
        <v>0</v>
      </c>
      <c r="K10100" t="s">
        <v>22296</v>
      </c>
      <c r="L10100">
        <v>891</v>
      </c>
      <c r="M10100" t="s">
        <v>6071</v>
      </c>
      <c r="N10100" t="s">
        <v>1067</v>
      </c>
      <c r="O10100" t="s">
        <v>31</v>
      </c>
      <c r="P10100" t="str">
        <f>"15143"</f>
        <v>15143</v>
      </c>
    </row>
    <row r="10101" spans="1:16" x14ac:dyDescent="0.25">
      <c r="A10101" t="str">
        <f>"1150087K00251    00"</f>
        <v>1150087K00251    00</v>
      </c>
      <c r="B10101" t="s">
        <v>22297</v>
      </c>
      <c r="C10101" t="s">
        <v>22298</v>
      </c>
      <c r="E10101" t="s">
        <v>39</v>
      </c>
      <c r="F10101">
        <v>0</v>
      </c>
      <c r="G10101">
        <v>0</v>
      </c>
      <c r="H10101">
        <v>1</v>
      </c>
      <c r="I10101" s="3">
        <v>1215.78</v>
      </c>
      <c r="J10101" s="3">
        <v>0</v>
      </c>
      <c r="L10101">
        <v>3733</v>
      </c>
      <c r="M10101" t="s">
        <v>1695</v>
      </c>
      <c r="N10101" t="s">
        <v>30</v>
      </c>
      <c r="O10101" t="s">
        <v>31</v>
      </c>
      <c r="P10101" t="str">
        <f>"15217"</f>
        <v>15217</v>
      </c>
    </row>
    <row r="10102" spans="1:16" x14ac:dyDescent="0.25">
      <c r="A10102" t="str">
        <f>"1150087K00278    00"</f>
        <v>1150087K00278    00</v>
      </c>
      <c r="B10102" t="s">
        <v>22299</v>
      </c>
      <c r="C10102" t="s">
        <v>22300</v>
      </c>
      <c r="D10102" t="s">
        <v>20</v>
      </c>
      <c r="E10102" t="s">
        <v>39</v>
      </c>
      <c r="F10102">
        <v>0</v>
      </c>
      <c r="G10102">
        <v>0</v>
      </c>
      <c r="H10102">
        <v>2</v>
      </c>
      <c r="I10102" s="3">
        <v>5142.3999999999996</v>
      </c>
      <c r="J10102" s="3">
        <v>0</v>
      </c>
      <c r="L10102">
        <v>1461</v>
      </c>
      <c r="M10102" t="s">
        <v>6153</v>
      </c>
      <c r="N10102" t="s">
        <v>30</v>
      </c>
      <c r="O10102" t="s">
        <v>31</v>
      </c>
      <c r="P10102" t="str">
        <f>"15217"</f>
        <v>15217</v>
      </c>
    </row>
    <row r="10103" spans="1:16" x14ac:dyDescent="0.25">
      <c r="A10103" t="str">
        <f>"1150087N00045    00"</f>
        <v>1150087N00045    00</v>
      </c>
      <c r="B10103" t="s">
        <v>22301</v>
      </c>
      <c r="C10103" t="s">
        <v>22302</v>
      </c>
      <c r="D10103" t="s">
        <v>20</v>
      </c>
      <c r="E10103" t="s">
        <v>39</v>
      </c>
      <c r="F10103">
        <v>0</v>
      </c>
      <c r="G10103">
        <v>0</v>
      </c>
      <c r="H10103">
        <v>19</v>
      </c>
      <c r="I10103" s="3">
        <v>14051.81</v>
      </c>
      <c r="J10103" s="3">
        <v>14936.1</v>
      </c>
      <c r="P10103" t="str">
        <f>""</f>
        <v/>
      </c>
    </row>
    <row r="10104" spans="1:16" x14ac:dyDescent="0.25">
      <c r="A10104" t="str">
        <f>"1150087N00053    00"</f>
        <v>1150087N00053    00</v>
      </c>
      <c r="B10104" t="s">
        <v>22303</v>
      </c>
      <c r="C10104" t="s">
        <v>22304</v>
      </c>
      <c r="D10104" t="s">
        <v>20</v>
      </c>
      <c r="E10104" t="s">
        <v>39</v>
      </c>
      <c r="F10104">
        <v>0</v>
      </c>
      <c r="G10104">
        <v>0</v>
      </c>
      <c r="H10104">
        <v>4</v>
      </c>
      <c r="I10104" s="3">
        <v>7022.85</v>
      </c>
      <c r="J10104" s="3">
        <v>788</v>
      </c>
      <c r="L10104">
        <v>958</v>
      </c>
      <c r="M10104" t="s">
        <v>20925</v>
      </c>
      <c r="N10104" t="s">
        <v>30</v>
      </c>
      <c r="O10104" t="s">
        <v>31</v>
      </c>
      <c r="P10104" t="str">
        <f>"15217"</f>
        <v>15217</v>
      </c>
    </row>
    <row r="10105" spans="1:16" x14ac:dyDescent="0.25">
      <c r="A10105" t="str">
        <f>"1150087N00054C   00"</f>
        <v>1150087N00054C   00</v>
      </c>
      <c r="B10105" t="s">
        <v>22305</v>
      </c>
      <c r="C10105" t="s">
        <v>22306</v>
      </c>
      <c r="D10105" t="s">
        <v>20</v>
      </c>
      <c r="E10105" t="s">
        <v>39</v>
      </c>
      <c r="F10105">
        <v>0</v>
      </c>
      <c r="G10105">
        <v>0</v>
      </c>
      <c r="H10105">
        <v>1</v>
      </c>
      <c r="I10105" s="3">
        <v>732.39</v>
      </c>
      <c r="J10105" s="3">
        <v>0</v>
      </c>
      <c r="K10105" t="s">
        <v>22307</v>
      </c>
      <c r="L10105">
        <v>2540</v>
      </c>
      <c r="M10105" t="s">
        <v>1695</v>
      </c>
      <c r="N10105" t="s">
        <v>30</v>
      </c>
      <c r="O10105" t="s">
        <v>31</v>
      </c>
      <c r="P10105" t="str">
        <f>"15217"</f>
        <v>15217</v>
      </c>
    </row>
    <row r="10106" spans="1:16" x14ac:dyDescent="0.25">
      <c r="A10106" t="str">
        <f>"1150087N00086    00"</f>
        <v>1150087N00086    00</v>
      </c>
      <c r="B10106" t="s">
        <v>22308</v>
      </c>
      <c r="C10106" t="s">
        <v>22309</v>
      </c>
      <c r="D10106" t="s">
        <v>20</v>
      </c>
      <c r="E10106" t="s">
        <v>39</v>
      </c>
      <c r="F10106">
        <v>0</v>
      </c>
      <c r="G10106">
        <v>0</v>
      </c>
      <c r="H10106">
        <v>2</v>
      </c>
      <c r="I10106" s="3">
        <v>2299.66</v>
      </c>
      <c r="J10106" s="3">
        <v>0</v>
      </c>
      <c r="K10106" t="s">
        <v>1127</v>
      </c>
      <c r="M10106" t="s">
        <v>1128</v>
      </c>
      <c r="N10106" t="s">
        <v>1129</v>
      </c>
      <c r="O10106" t="s">
        <v>108</v>
      </c>
      <c r="P10106" t="str">
        <f>"76161"</f>
        <v>76161</v>
      </c>
    </row>
    <row r="10107" spans="1:16" x14ac:dyDescent="0.25">
      <c r="A10107" t="str">
        <f>"1150087N00088    00"</f>
        <v>1150087N00088    00</v>
      </c>
      <c r="B10107" t="s">
        <v>18801</v>
      </c>
      <c r="C10107" t="s">
        <v>22310</v>
      </c>
      <c r="D10107" t="s">
        <v>20</v>
      </c>
      <c r="E10107" t="s">
        <v>39</v>
      </c>
      <c r="F10107">
        <v>0</v>
      </c>
      <c r="G10107">
        <v>0</v>
      </c>
      <c r="H10107">
        <v>1</v>
      </c>
      <c r="I10107" s="3">
        <v>1429.5</v>
      </c>
      <c r="J10107" s="3">
        <v>0</v>
      </c>
      <c r="K10107" t="s">
        <v>391</v>
      </c>
      <c r="L10107">
        <v>1</v>
      </c>
      <c r="M10107" t="s">
        <v>392</v>
      </c>
      <c r="N10107" t="s">
        <v>393</v>
      </c>
      <c r="O10107" t="s">
        <v>394</v>
      </c>
      <c r="P10107" t="str">
        <f>"50328"</f>
        <v>50328</v>
      </c>
    </row>
    <row r="10108" spans="1:16" x14ac:dyDescent="0.25">
      <c r="A10108" t="str">
        <f>"1150087N00100    00"</f>
        <v>1150087N00100    00</v>
      </c>
      <c r="B10108" t="s">
        <v>19732</v>
      </c>
      <c r="C10108" t="s">
        <v>22311</v>
      </c>
      <c r="E10108" t="s">
        <v>39</v>
      </c>
      <c r="F10108">
        <v>0</v>
      </c>
      <c r="G10108">
        <v>0</v>
      </c>
      <c r="H10108">
        <v>2</v>
      </c>
      <c r="I10108" s="3">
        <v>1744.83</v>
      </c>
      <c r="J10108" s="3">
        <v>71.95</v>
      </c>
      <c r="K10108" t="s">
        <v>4877</v>
      </c>
      <c r="L10108">
        <v>1</v>
      </c>
      <c r="M10108" t="s">
        <v>4878</v>
      </c>
      <c r="N10108" t="s">
        <v>4879</v>
      </c>
      <c r="O10108" t="s">
        <v>31</v>
      </c>
      <c r="P10108" t="str">
        <f>"19428"</f>
        <v>19428</v>
      </c>
    </row>
    <row r="10109" spans="1:16" x14ac:dyDescent="0.25">
      <c r="A10109" t="str">
        <f>"1150087N00109    00"</f>
        <v>1150087N00109    00</v>
      </c>
      <c r="B10109" t="s">
        <v>22312</v>
      </c>
      <c r="C10109" t="s">
        <v>22313</v>
      </c>
      <c r="D10109" t="s">
        <v>20</v>
      </c>
      <c r="E10109" t="s">
        <v>39</v>
      </c>
      <c r="F10109">
        <v>0</v>
      </c>
      <c r="G10109">
        <v>0</v>
      </c>
      <c r="H10109">
        <v>1</v>
      </c>
      <c r="I10109" s="3">
        <v>35.03</v>
      </c>
      <c r="J10109" s="3">
        <v>0</v>
      </c>
      <c r="K10109" t="s">
        <v>557</v>
      </c>
      <c r="L10109">
        <v>3001</v>
      </c>
      <c r="M10109" t="s">
        <v>330</v>
      </c>
      <c r="N10109" t="s">
        <v>331</v>
      </c>
      <c r="O10109" t="s">
        <v>108</v>
      </c>
      <c r="P10109" t="str">
        <f>"75063"</f>
        <v>75063</v>
      </c>
    </row>
    <row r="10110" spans="1:16" x14ac:dyDescent="0.25">
      <c r="A10110" t="str">
        <f>"1150087N00110    00"</f>
        <v>1150087N00110    00</v>
      </c>
      <c r="B10110" t="s">
        <v>22314</v>
      </c>
      <c r="C10110" t="s">
        <v>22315</v>
      </c>
      <c r="E10110" t="s">
        <v>39</v>
      </c>
      <c r="F10110">
        <v>0</v>
      </c>
      <c r="G10110">
        <v>0</v>
      </c>
      <c r="H10110">
        <v>2</v>
      </c>
      <c r="I10110" s="3">
        <v>723.72</v>
      </c>
      <c r="J10110" s="3">
        <v>118.15</v>
      </c>
      <c r="L10110">
        <v>906</v>
      </c>
      <c r="M10110" t="s">
        <v>259</v>
      </c>
      <c r="N10110" t="s">
        <v>30</v>
      </c>
      <c r="O10110" t="s">
        <v>31</v>
      </c>
      <c r="P10110" t="str">
        <f>"15217"</f>
        <v>15217</v>
      </c>
    </row>
    <row r="10111" spans="1:16" x14ac:dyDescent="0.25">
      <c r="A10111" t="str">
        <f>"1150087N00121    00"</f>
        <v>1150087N00121    00</v>
      </c>
      <c r="B10111" t="s">
        <v>22316</v>
      </c>
      <c r="C10111" t="s">
        <v>22317</v>
      </c>
      <c r="D10111" t="s">
        <v>20</v>
      </c>
      <c r="E10111" t="s">
        <v>39</v>
      </c>
      <c r="F10111">
        <v>0</v>
      </c>
      <c r="G10111">
        <v>0</v>
      </c>
      <c r="H10111">
        <v>1</v>
      </c>
      <c r="I10111" s="3">
        <v>1957.47</v>
      </c>
      <c r="J10111" s="3">
        <v>0</v>
      </c>
      <c r="K10111" t="s">
        <v>22318</v>
      </c>
      <c r="L10111">
        <v>934</v>
      </c>
      <c r="M10111" t="s">
        <v>259</v>
      </c>
      <c r="N10111" t="s">
        <v>30</v>
      </c>
      <c r="O10111" t="s">
        <v>31</v>
      </c>
      <c r="P10111" t="str">
        <f>"15217"</f>
        <v>15217</v>
      </c>
    </row>
    <row r="10112" spans="1:16" x14ac:dyDescent="0.25">
      <c r="A10112" t="str">
        <f>"1150087N00131    00"</f>
        <v>1150087N00131    00</v>
      </c>
      <c r="B10112" t="s">
        <v>22319</v>
      </c>
      <c r="C10112" t="s">
        <v>22320</v>
      </c>
      <c r="E10112" t="s">
        <v>39</v>
      </c>
      <c r="F10112">
        <v>0</v>
      </c>
      <c r="G10112">
        <v>0</v>
      </c>
      <c r="H10112">
        <v>1</v>
      </c>
      <c r="I10112" s="3">
        <v>630.36</v>
      </c>
      <c r="J10112" s="3">
        <v>950.74</v>
      </c>
      <c r="K10112" t="s">
        <v>22321</v>
      </c>
      <c r="L10112">
        <v>5701</v>
      </c>
      <c r="M10112" t="s">
        <v>22322</v>
      </c>
      <c r="N10112" t="s">
        <v>30</v>
      </c>
      <c r="O10112" t="s">
        <v>31</v>
      </c>
      <c r="P10112" t="str">
        <f>"15206"</f>
        <v>15206</v>
      </c>
    </row>
    <row r="10113" spans="1:16" x14ac:dyDescent="0.25">
      <c r="A10113" t="str">
        <f>"1150087N00137    00"</f>
        <v>1150087N00137    00</v>
      </c>
      <c r="B10113" t="s">
        <v>22323</v>
      </c>
      <c r="C10113" t="s">
        <v>22324</v>
      </c>
      <c r="E10113" t="s">
        <v>39</v>
      </c>
      <c r="F10113">
        <v>0</v>
      </c>
      <c r="G10113">
        <v>0</v>
      </c>
      <c r="H10113">
        <v>2</v>
      </c>
      <c r="I10113" s="3">
        <v>3655.72</v>
      </c>
      <c r="J10113" s="3">
        <v>45.69</v>
      </c>
      <c r="K10113" t="s">
        <v>5396</v>
      </c>
      <c r="L10113">
        <v>3001</v>
      </c>
      <c r="M10113" t="s">
        <v>330</v>
      </c>
      <c r="N10113" t="s">
        <v>331</v>
      </c>
      <c r="O10113" t="s">
        <v>108</v>
      </c>
      <c r="P10113" t="str">
        <f>"75063"</f>
        <v>75063</v>
      </c>
    </row>
    <row r="10114" spans="1:16" x14ac:dyDescent="0.25">
      <c r="A10114" t="str">
        <f>"1150087N00158    00"</f>
        <v>1150087N00158    00</v>
      </c>
      <c r="B10114" t="s">
        <v>22325</v>
      </c>
      <c r="C10114" t="s">
        <v>22326</v>
      </c>
      <c r="E10114" t="s">
        <v>39</v>
      </c>
      <c r="F10114">
        <v>0</v>
      </c>
      <c r="G10114">
        <v>0</v>
      </c>
      <c r="H10114">
        <v>1</v>
      </c>
      <c r="I10114" s="3">
        <v>1949.48</v>
      </c>
      <c r="J10114" s="3">
        <v>357.4</v>
      </c>
      <c r="L10114">
        <v>951</v>
      </c>
      <c r="M10114" t="s">
        <v>259</v>
      </c>
      <c r="N10114" t="s">
        <v>30</v>
      </c>
      <c r="O10114" t="s">
        <v>31</v>
      </c>
      <c r="P10114" t="str">
        <f>"15217"</f>
        <v>15217</v>
      </c>
    </row>
    <row r="10115" spans="1:16" x14ac:dyDescent="0.25">
      <c r="A10115" t="str">
        <f>"1150087N00162    00"</f>
        <v>1150087N00162    00</v>
      </c>
      <c r="B10115" t="s">
        <v>22327</v>
      </c>
      <c r="C10115" t="s">
        <v>22328</v>
      </c>
      <c r="D10115" t="s">
        <v>20</v>
      </c>
      <c r="E10115" t="s">
        <v>39</v>
      </c>
      <c r="F10115">
        <v>0</v>
      </c>
      <c r="G10115">
        <v>0</v>
      </c>
      <c r="H10115">
        <v>5</v>
      </c>
      <c r="I10115" s="3">
        <v>8967.99</v>
      </c>
      <c r="J10115" s="3">
        <v>1580.25</v>
      </c>
      <c r="K10115" t="s">
        <v>22329</v>
      </c>
      <c r="L10115">
        <v>939</v>
      </c>
      <c r="M10115" t="s">
        <v>259</v>
      </c>
      <c r="N10115" t="s">
        <v>30</v>
      </c>
      <c r="O10115" t="s">
        <v>31</v>
      </c>
      <c r="P10115" t="str">
        <f>"15217"</f>
        <v>15217</v>
      </c>
    </row>
    <row r="10116" spans="1:16" x14ac:dyDescent="0.25">
      <c r="A10116" t="str">
        <f>"1150087N00228    00"</f>
        <v>1150087N00228    00</v>
      </c>
      <c r="B10116" t="s">
        <v>22330</v>
      </c>
      <c r="C10116" t="s">
        <v>22331</v>
      </c>
      <c r="D10116" t="s">
        <v>20</v>
      </c>
      <c r="E10116" t="s">
        <v>39</v>
      </c>
      <c r="F10116">
        <v>0</v>
      </c>
      <c r="G10116">
        <v>0</v>
      </c>
      <c r="H10116">
        <v>1</v>
      </c>
      <c r="I10116" s="3">
        <v>2552.6</v>
      </c>
      <c r="J10116" s="3">
        <v>0</v>
      </c>
      <c r="K10116" t="s">
        <v>1435</v>
      </c>
      <c r="M10116" t="s">
        <v>271</v>
      </c>
      <c r="N10116" t="s">
        <v>272</v>
      </c>
      <c r="O10116" t="s">
        <v>273</v>
      </c>
      <c r="P10116" t="str">
        <f>"29603"</f>
        <v>29603</v>
      </c>
    </row>
    <row r="10117" spans="1:16" x14ac:dyDescent="0.25">
      <c r="A10117" t="str">
        <f>"1150087N00233    00"</f>
        <v>1150087N00233    00</v>
      </c>
      <c r="B10117" t="s">
        <v>22332</v>
      </c>
      <c r="C10117" t="s">
        <v>22333</v>
      </c>
      <c r="D10117" t="s">
        <v>20</v>
      </c>
      <c r="E10117" t="s">
        <v>39</v>
      </c>
      <c r="F10117">
        <v>0</v>
      </c>
      <c r="G10117">
        <v>0</v>
      </c>
      <c r="H10117">
        <v>9</v>
      </c>
      <c r="I10117" s="3">
        <v>13011.83</v>
      </c>
      <c r="J10117" s="3">
        <v>5452.55</v>
      </c>
      <c r="L10117">
        <v>1025</v>
      </c>
      <c r="M10117" t="s">
        <v>22334</v>
      </c>
      <c r="N10117" t="s">
        <v>30</v>
      </c>
      <c r="O10117" t="s">
        <v>31</v>
      </c>
      <c r="P10117" t="str">
        <f>"15217"</f>
        <v>15217</v>
      </c>
    </row>
    <row r="10118" spans="1:16" x14ac:dyDescent="0.25">
      <c r="A10118" t="str">
        <f>"1150087N00268    00"</f>
        <v>1150087N00268    00</v>
      </c>
      <c r="B10118" t="s">
        <v>22335</v>
      </c>
      <c r="C10118" t="s">
        <v>22336</v>
      </c>
      <c r="D10118" t="s">
        <v>20</v>
      </c>
      <c r="E10118" t="s">
        <v>39</v>
      </c>
      <c r="F10118">
        <v>0</v>
      </c>
      <c r="G10118">
        <v>0</v>
      </c>
      <c r="H10118">
        <v>2</v>
      </c>
      <c r="I10118" s="3">
        <v>3128.3</v>
      </c>
      <c r="J10118" s="3">
        <v>0</v>
      </c>
      <c r="L10118">
        <v>5915</v>
      </c>
      <c r="M10118" t="s">
        <v>18934</v>
      </c>
      <c r="N10118" t="s">
        <v>30</v>
      </c>
      <c r="O10118" t="s">
        <v>31</v>
      </c>
      <c r="P10118" t="str">
        <f>"15217"</f>
        <v>15217</v>
      </c>
    </row>
    <row r="10119" spans="1:16" x14ac:dyDescent="0.25">
      <c r="A10119" t="str">
        <f>"1150087N00279    00"</f>
        <v>1150087N00279    00</v>
      </c>
      <c r="B10119" t="s">
        <v>22337</v>
      </c>
      <c r="C10119" t="s">
        <v>22338</v>
      </c>
      <c r="D10119" t="s">
        <v>20</v>
      </c>
      <c r="E10119" t="s">
        <v>39</v>
      </c>
      <c r="F10119">
        <v>0</v>
      </c>
      <c r="G10119">
        <v>0</v>
      </c>
      <c r="H10119">
        <v>4</v>
      </c>
      <c r="I10119" s="3">
        <v>5490.85</v>
      </c>
      <c r="J10119" s="3">
        <v>907.88</v>
      </c>
      <c r="L10119">
        <v>4149</v>
      </c>
      <c r="M10119" t="s">
        <v>22339</v>
      </c>
      <c r="N10119" t="s">
        <v>30</v>
      </c>
      <c r="O10119" t="s">
        <v>31</v>
      </c>
      <c r="P10119" t="str">
        <f>"15217"</f>
        <v>15217</v>
      </c>
    </row>
    <row r="10120" spans="1:16" x14ac:dyDescent="0.25">
      <c r="A10120" t="str">
        <f>"1150087P00024    00"</f>
        <v>1150087P00024    00</v>
      </c>
      <c r="B10120" t="s">
        <v>22340</v>
      </c>
      <c r="C10120" t="s">
        <v>22341</v>
      </c>
      <c r="D10120" t="s">
        <v>20</v>
      </c>
      <c r="E10120" t="s">
        <v>39</v>
      </c>
      <c r="F10120">
        <v>0</v>
      </c>
      <c r="G10120">
        <v>0</v>
      </c>
      <c r="H10120">
        <v>2</v>
      </c>
      <c r="I10120" s="3">
        <v>3797.55</v>
      </c>
      <c r="J10120" s="3">
        <v>0</v>
      </c>
      <c r="K10120" t="s">
        <v>22342</v>
      </c>
      <c r="L10120">
        <v>140</v>
      </c>
      <c r="M10120" t="s">
        <v>22343</v>
      </c>
      <c r="N10120" t="s">
        <v>30</v>
      </c>
      <c r="O10120" t="s">
        <v>31</v>
      </c>
      <c r="P10120" t="str">
        <f>"15241"</f>
        <v>15241</v>
      </c>
    </row>
    <row r="10121" spans="1:16" x14ac:dyDescent="0.25">
      <c r="A10121" t="str">
        <f>"1150087P00049    00"</f>
        <v>1150087P00049    00</v>
      </c>
      <c r="B10121" t="s">
        <v>22344</v>
      </c>
      <c r="C10121" t="s">
        <v>22345</v>
      </c>
      <c r="D10121" t="s">
        <v>20</v>
      </c>
      <c r="E10121" t="s">
        <v>39</v>
      </c>
      <c r="F10121">
        <v>0</v>
      </c>
      <c r="G10121">
        <v>0</v>
      </c>
      <c r="H10121">
        <v>4</v>
      </c>
      <c r="I10121" s="3">
        <v>4196.53</v>
      </c>
      <c r="J10121" s="3">
        <v>448.26</v>
      </c>
      <c r="L10121">
        <v>4133</v>
      </c>
      <c r="M10121" t="s">
        <v>16754</v>
      </c>
      <c r="N10121" t="s">
        <v>30</v>
      </c>
      <c r="O10121" t="s">
        <v>31</v>
      </c>
      <c r="P10121" t="str">
        <f>"15217"</f>
        <v>15217</v>
      </c>
    </row>
    <row r="10122" spans="1:16" x14ac:dyDescent="0.25">
      <c r="A10122" t="str">
        <f>"1150087P00061    00"</f>
        <v>1150087P00061    00</v>
      </c>
      <c r="B10122" t="s">
        <v>5819</v>
      </c>
      <c r="C10122" t="s">
        <v>22346</v>
      </c>
      <c r="E10122" t="s">
        <v>39</v>
      </c>
      <c r="F10122">
        <v>0</v>
      </c>
      <c r="G10122">
        <v>0</v>
      </c>
      <c r="H10122">
        <v>1</v>
      </c>
      <c r="I10122" s="3">
        <v>2802.92</v>
      </c>
      <c r="J10122" s="3">
        <v>630.64</v>
      </c>
      <c r="M10122" t="s">
        <v>5821</v>
      </c>
      <c r="N10122" t="s">
        <v>5822</v>
      </c>
      <c r="O10122" t="s">
        <v>31</v>
      </c>
      <c r="P10122" t="str">
        <f>"15560"</f>
        <v>15560</v>
      </c>
    </row>
    <row r="10123" spans="1:16" x14ac:dyDescent="0.25">
      <c r="A10123" t="str">
        <f>"1150087P00143    00"</f>
        <v>1150087P00143    00</v>
      </c>
      <c r="B10123" t="s">
        <v>22347</v>
      </c>
      <c r="C10123" t="s">
        <v>22348</v>
      </c>
      <c r="D10123" t="s">
        <v>20</v>
      </c>
      <c r="E10123" t="s">
        <v>39</v>
      </c>
      <c r="F10123">
        <v>0</v>
      </c>
      <c r="G10123">
        <v>0</v>
      </c>
      <c r="H10123">
        <v>1</v>
      </c>
      <c r="I10123" s="3">
        <v>2012.75</v>
      </c>
      <c r="J10123" s="3">
        <v>0</v>
      </c>
      <c r="L10123">
        <v>425</v>
      </c>
      <c r="M10123" t="s">
        <v>22349</v>
      </c>
      <c r="N10123" t="s">
        <v>2943</v>
      </c>
      <c r="O10123" t="s">
        <v>31</v>
      </c>
      <c r="P10123" t="str">
        <f>"15025"</f>
        <v>15025</v>
      </c>
    </row>
    <row r="10124" spans="1:16" x14ac:dyDescent="0.25">
      <c r="A10124" t="str">
        <f>"1150087P00144    00"</f>
        <v>1150087P00144    00</v>
      </c>
      <c r="B10124" t="s">
        <v>22347</v>
      </c>
      <c r="C10124" t="s">
        <v>22350</v>
      </c>
      <c r="D10124" t="s">
        <v>20</v>
      </c>
      <c r="E10124" t="s">
        <v>39</v>
      </c>
      <c r="F10124">
        <v>0</v>
      </c>
      <c r="G10124">
        <v>0</v>
      </c>
      <c r="H10124">
        <v>1</v>
      </c>
      <c r="I10124" s="3">
        <v>1987.97</v>
      </c>
      <c r="J10124" s="3">
        <v>0</v>
      </c>
      <c r="K10124" t="s">
        <v>22351</v>
      </c>
      <c r="L10124">
        <v>425</v>
      </c>
      <c r="M10124" t="s">
        <v>22349</v>
      </c>
      <c r="N10124" t="s">
        <v>2943</v>
      </c>
      <c r="O10124" t="s">
        <v>31</v>
      </c>
      <c r="P10124" t="str">
        <f>"15025"</f>
        <v>15025</v>
      </c>
    </row>
    <row r="10125" spans="1:16" x14ac:dyDescent="0.25">
      <c r="A10125" t="str">
        <f>"1150087P00167    00"</f>
        <v>1150087P00167    00</v>
      </c>
      <c r="B10125" t="s">
        <v>22352</v>
      </c>
      <c r="C10125" t="s">
        <v>22353</v>
      </c>
      <c r="E10125" t="s">
        <v>39</v>
      </c>
      <c r="F10125">
        <v>0</v>
      </c>
      <c r="G10125">
        <v>0</v>
      </c>
      <c r="H10125">
        <v>1</v>
      </c>
      <c r="I10125" s="3">
        <v>121.32</v>
      </c>
      <c r="J10125" s="3">
        <v>24.27</v>
      </c>
      <c r="K10125" t="s">
        <v>7145</v>
      </c>
      <c r="L10125">
        <v>3001</v>
      </c>
      <c r="M10125" t="s">
        <v>330</v>
      </c>
      <c r="N10125" t="s">
        <v>331</v>
      </c>
      <c r="O10125" t="s">
        <v>108</v>
      </c>
      <c r="P10125" t="str">
        <f>"75063"</f>
        <v>75063</v>
      </c>
    </row>
    <row r="10126" spans="1:16" x14ac:dyDescent="0.25">
      <c r="A10126" t="str">
        <f>"1150087P00178    00"</f>
        <v>1150087P00178    00</v>
      </c>
      <c r="B10126" t="s">
        <v>22354</v>
      </c>
      <c r="C10126" t="s">
        <v>22355</v>
      </c>
      <c r="E10126" t="s">
        <v>39</v>
      </c>
      <c r="F10126">
        <v>0</v>
      </c>
      <c r="G10126">
        <v>0</v>
      </c>
      <c r="H10126">
        <v>2</v>
      </c>
      <c r="I10126" s="3">
        <v>8718.06</v>
      </c>
      <c r="J10126" s="3">
        <v>290.58</v>
      </c>
      <c r="K10126" t="s">
        <v>22356</v>
      </c>
      <c r="L10126">
        <v>4001</v>
      </c>
      <c r="M10126" t="s">
        <v>174</v>
      </c>
      <c r="N10126" t="s">
        <v>30</v>
      </c>
      <c r="O10126" t="s">
        <v>31</v>
      </c>
      <c r="P10126" t="str">
        <f>"15213"</f>
        <v>15213</v>
      </c>
    </row>
    <row r="10127" spans="1:16" x14ac:dyDescent="0.25">
      <c r="A10127" t="str">
        <f>"1150088A00025    00"</f>
        <v>1150088A00025    00</v>
      </c>
      <c r="B10127" t="s">
        <v>22357</v>
      </c>
      <c r="C10127" t="s">
        <v>22358</v>
      </c>
      <c r="E10127" t="s">
        <v>39</v>
      </c>
      <c r="F10127">
        <v>0</v>
      </c>
      <c r="G10127">
        <v>0</v>
      </c>
      <c r="H10127">
        <v>1</v>
      </c>
      <c r="I10127" s="3">
        <v>377.27</v>
      </c>
      <c r="J10127" s="3">
        <v>157.19</v>
      </c>
      <c r="L10127">
        <v>776</v>
      </c>
      <c r="M10127" t="s">
        <v>20161</v>
      </c>
      <c r="N10127" t="s">
        <v>30</v>
      </c>
      <c r="O10127" t="s">
        <v>31</v>
      </c>
      <c r="P10127" t="str">
        <f>"15217"</f>
        <v>15217</v>
      </c>
    </row>
    <row r="10128" spans="1:16" x14ac:dyDescent="0.25">
      <c r="A10128" t="str">
        <f>"1150088A00035    00"</f>
        <v>1150088A00035    00</v>
      </c>
      <c r="B10128" t="s">
        <v>22359</v>
      </c>
      <c r="C10128" t="s">
        <v>22360</v>
      </c>
      <c r="D10128" t="s">
        <v>20</v>
      </c>
      <c r="E10128" t="s">
        <v>39</v>
      </c>
      <c r="F10128">
        <v>0</v>
      </c>
      <c r="G10128">
        <v>0</v>
      </c>
      <c r="H10128">
        <v>2</v>
      </c>
      <c r="I10128" s="3">
        <v>3034.36</v>
      </c>
      <c r="J10128" s="3">
        <v>0</v>
      </c>
      <c r="L10128">
        <v>3417</v>
      </c>
      <c r="M10128" t="s">
        <v>21129</v>
      </c>
      <c r="N10128" t="s">
        <v>285</v>
      </c>
      <c r="O10128" t="s">
        <v>31</v>
      </c>
      <c r="P10128" t="str">
        <f>"15120"</f>
        <v>15120</v>
      </c>
    </row>
    <row r="10129" spans="1:16" x14ac:dyDescent="0.25">
      <c r="A10129" t="str">
        <f>"1150088A00073    00"</f>
        <v>1150088A00073    00</v>
      </c>
      <c r="B10129" t="s">
        <v>22361</v>
      </c>
      <c r="C10129" t="s">
        <v>22362</v>
      </c>
      <c r="E10129" t="s">
        <v>39</v>
      </c>
      <c r="F10129">
        <v>0</v>
      </c>
      <c r="G10129">
        <v>0</v>
      </c>
      <c r="H10129">
        <v>1</v>
      </c>
      <c r="I10129" s="3">
        <v>1181.74</v>
      </c>
      <c r="J10129" s="3">
        <v>0</v>
      </c>
      <c r="L10129">
        <v>705</v>
      </c>
      <c r="M10129" t="s">
        <v>22363</v>
      </c>
      <c r="N10129" t="s">
        <v>546</v>
      </c>
      <c r="O10129" t="s">
        <v>31</v>
      </c>
      <c r="P10129" t="str">
        <f>"15044"</f>
        <v>15044</v>
      </c>
    </row>
    <row r="10130" spans="1:16" x14ac:dyDescent="0.25">
      <c r="A10130" t="str">
        <f>"1150088A00084    00"</f>
        <v>1150088A00084    00</v>
      </c>
      <c r="B10130" t="s">
        <v>22364</v>
      </c>
      <c r="C10130" t="s">
        <v>22365</v>
      </c>
      <c r="D10130" t="s">
        <v>20</v>
      </c>
      <c r="E10130" t="s">
        <v>39</v>
      </c>
      <c r="F10130">
        <v>0</v>
      </c>
      <c r="G10130">
        <v>0</v>
      </c>
      <c r="H10130">
        <v>1</v>
      </c>
      <c r="I10130" s="3">
        <v>1187.9000000000001</v>
      </c>
      <c r="J10130" s="3">
        <v>0</v>
      </c>
      <c r="L10130">
        <v>1010</v>
      </c>
      <c r="M10130" t="s">
        <v>1887</v>
      </c>
      <c r="N10130" t="s">
        <v>30</v>
      </c>
      <c r="O10130" t="s">
        <v>31</v>
      </c>
      <c r="P10130" t="str">
        <f t="shared" ref="P10130:P10136" si="116">"15217"</f>
        <v>15217</v>
      </c>
    </row>
    <row r="10131" spans="1:16" x14ac:dyDescent="0.25">
      <c r="A10131" t="str">
        <f>"1150088A00091    00"</f>
        <v>1150088A00091    00</v>
      </c>
      <c r="B10131" t="s">
        <v>22366</v>
      </c>
      <c r="C10131" t="s">
        <v>22367</v>
      </c>
      <c r="E10131" t="s">
        <v>39</v>
      </c>
      <c r="F10131">
        <v>0</v>
      </c>
      <c r="G10131">
        <v>0</v>
      </c>
      <c r="H10131">
        <v>2</v>
      </c>
      <c r="I10131" s="3">
        <v>62.92</v>
      </c>
      <c r="J10131" s="3">
        <v>16.149999999999999</v>
      </c>
      <c r="K10131" t="s">
        <v>22368</v>
      </c>
      <c r="M10131" t="s">
        <v>22369</v>
      </c>
      <c r="N10131" t="s">
        <v>30</v>
      </c>
      <c r="O10131" t="s">
        <v>31</v>
      </c>
      <c r="P10131" t="str">
        <f t="shared" si="116"/>
        <v>15217</v>
      </c>
    </row>
    <row r="10132" spans="1:16" x14ac:dyDescent="0.25">
      <c r="A10132" t="str">
        <f>"1150088A00094    00"</f>
        <v>1150088A00094    00</v>
      </c>
      <c r="B10132" t="s">
        <v>22370</v>
      </c>
      <c r="C10132" t="s">
        <v>22371</v>
      </c>
      <c r="D10132" t="s">
        <v>20</v>
      </c>
      <c r="E10132" t="s">
        <v>39</v>
      </c>
      <c r="F10132">
        <v>0</v>
      </c>
      <c r="G10132">
        <v>0</v>
      </c>
      <c r="H10132">
        <v>3</v>
      </c>
      <c r="I10132" s="3">
        <v>3796.08</v>
      </c>
      <c r="J10132" s="3">
        <v>360.14</v>
      </c>
      <c r="L10132">
        <v>780</v>
      </c>
      <c r="M10132" t="s">
        <v>21031</v>
      </c>
      <c r="N10132" t="s">
        <v>30</v>
      </c>
      <c r="O10132" t="s">
        <v>31</v>
      </c>
      <c r="P10132" t="str">
        <f t="shared" si="116"/>
        <v>15217</v>
      </c>
    </row>
    <row r="10133" spans="1:16" x14ac:dyDescent="0.25">
      <c r="A10133" t="str">
        <f>"1150088A00127    00"</f>
        <v>1150088A00127    00</v>
      </c>
      <c r="B10133" t="s">
        <v>22372</v>
      </c>
      <c r="C10133" t="s">
        <v>22373</v>
      </c>
      <c r="D10133" t="s">
        <v>20</v>
      </c>
      <c r="E10133" t="s">
        <v>39</v>
      </c>
      <c r="F10133">
        <v>0</v>
      </c>
      <c r="G10133">
        <v>0</v>
      </c>
      <c r="H10133">
        <v>3</v>
      </c>
      <c r="I10133" s="3">
        <v>2448.46</v>
      </c>
      <c r="J10133" s="3">
        <v>12.15</v>
      </c>
      <c r="L10133">
        <v>743</v>
      </c>
      <c r="M10133" t="s">
        <v>21031</v>
      </c>
      <c r="N10133" t="s">
        <v>30</v>
      </c>
      <c r="O10133" t="s">
        <v>31</v>
      </c>
      <c r="P10133" t="str">
        <f t="shared" si="116"/>
        <v>15217</v>
      </c>
    </row>
    <row r="10134" spans="1:16" x14ac:dyDescent="0.25">
      <c r="A10134" t="str">
        <f>"1150088A00128    00"</f>
        <v>1150088A00128    00</v>
      </c>
      <c r="B10134" t="s">
        <v>20913</v>
      </c>
      <c r="C10134" t="s">
        <v>22374</v>
      </c>
      <c r="D10134" t="s">
        <v>20</v>
      </c>
      <c r="E10134" t="s">
        <v>39</v>
      </c>
      <c r="F10134">
        <v>0</v>
      </c>
      <c r="G10134">
        <v>0</v>
      </c>
      <c r="H10134">
        <v>1</v>
      </c>
      <c r="I10134" s="3">
        <v>1448.56</v>
      </c>
      <c r="J10134" s="3">
        <v>0</v>
      </c>
      <c r="L10134">
        <v>5619</v>
      </c>
      <c r="M10134" t="s">
        <v>2161</v>
      </c>
      <c r="N10134" t="s">
        <v>30</v>
      </c>
      <c r="O10134" t="s">
        <v>31</v>
      </c>
      <c r="P10134" t="str">
        <f t="shared" si="116"/>
        <v>15217</v>
      </c>
    </row>
    <row r="10135" spans="1:16" x14ac:dyDescent="0.25">
      <c r="A10135" t="str">
        <f>"1150088A00212    00"</f>
        <v>1150088A00212    00</v>
      </c>
      <c r="B10135" t="s">
        <v>22375</v>
      </c>
      <c r="C10135" t="s">
        <v>22376</v>
      </c>
      <c r="D10135" t="s">
        <v>20</v>
      </c>
      <c r="E10135" t="s">
        <v>39</v>
      </c>
      <c r="F10135">
        <v>0</v>
      </c>
      <c r="G10135">
        <v>0</v>
      </c>
      <c r="H10135">
        <v>1</v>
      </c>
      <c r="I10135" s="3">
        <v>700</v>
      </c>
      <c r="J10135" s="3">
        <v>0</v>
      </c>
      <c r="L10135">
        <v>992</v>
      </c>
      <c r="M10135" t="s">
        <v>1887</v>
      </c>
      <c r="N10135" t="s">
        <v>30</v>
      </c>
      <c r="O10135" t="s">
        <v>31</v>
      </c>
      <c r="P10135" t="str">
        <f t="shared" si="116"/>
        <v>15217</v>
      </c>
    </row>
    <row r="10136" spans="1:16" x14ac:dyDescent="0.25">
      <c r="A10136" t="str">
        <f>"1150088A00224    00"</f>
        <v>1150088A00224    00</v>
      </c>
      <c r="B10136" t="s">
        <v>22377</v>
      </c>
      <c r="C10136" t="s">
        <v>22378</v>
      </c>
      <c r="D10136" t="s">
        <v>20</v>
      </c>
      <c r="E10136" t="s">
        <v>39</v>
      </c>
      <c r="F10136">
        <v>0</v>
      </c>
      <c r="G10136">
        <v>0</v>
      </c>
      <c r="H10136">
        <v>9</v>
      </c>
      <c r="I10136" s="3">
        <v>16770.419999999998</v>
      </c>
      <c r="J10136" s="3">
        <v>6122.26</v>
      </c>
      <c r="L10136">
        <v>972</v>
      </c>
      <c r="M10136" t="s">
        <v>1887</v>
      </c>
      <c r="N10136" t="s">
        <v>30</v>
      </c>
      <c r="O10136" t="s">
        <v>31</v>
      </c>
      <c r="P10136" t="str">
        <f t="shared" si="116"/>
        <v>15217</v>
      </c>
    </row>
    <row r="10137" spans="1:16" x14ac:dyDescent="0.25">
      <c r="A10137" t="str">
        <f>"1150088A00225    00"</f>
        <v>1150088A00225    00</v>
      </c>
      <c r="B10137" t="s">
        <v>22379</v>
      </c>
      <c r="C10137" t="s">
        <v>22380</v>
      </c>
      <c r="E10137" t="s">
        <v>39</v>
      </c>
      <c r="F10137">
        <v>0</v>
      </c>
      <c r="G10137">
        <v>0</v>
      </c>
      <c r="H10137">
        <v>1</v>
      </c>
      <c r="I10137" s="3">
        <v>1105.48</v>
      </c>
      <c r="J10137" s="3">
        <v>221.09</v>
      </c>
      <c r="K10137" t="s">
        <v>22381</v>
      </c>
      <c r="L10137">
        <v>1</v>
      </c>
      <c r="M10137" t="s">
        <v>22382</v>
      </c>
      <c r="N10137" t="s">
        <v>4879</v>
      </c>
      <c r="O10137" t="s">
        <v>31</v>
      </c>
      <c r="P10137" t="str">
        <f>"19428"</f>
        <v>19428</v>
      </c>
    </row>
    <row r="10138" spans="1:16" x14ac:dyDescent="0.25">
      <c r="A10138" t="str">
        <f>"1150088A00250    00"</f>
        <v>1150088A00250    00</v>
      </c>
      <c r="B10138" t="s">
        <v>22383</v>
      </c>
      <c r="C10138" t="s">
        <v>22384</v>
      </c>
      <c r="E10138" t="s">
        <v>39</v>
      </c>
      <c r="F10138">
        <v>0</v>
      </c>
      <c r="G10138">
        <v>0</v>
      </c>
      <c r="H10138">
        <v>1</v>
      </c>
      <c r="I10138" s="3">
        <v>748.86</v>
      </c>
      <c r="J10138" s="3">
        <v>0</v>
      </c>
      <c r="K10138" t="s">
        <v>22385</v>
      </c>
      <c r="L10138">
        <v>208</v>
      </c>
      <c r="M10138" t="s">
        <v>22386</v>
      </c>
      <c r="N10138" t="s">
        <v>22387</v>
      </c>
      <c r="O10138" t="s">
        <v>1184</v>
      </c>
      <c r="P10138" t="str">
        <f>"21663"</f>
        <v>21663</v>
      </c>
    </row>
    <row r="10139" spans="1:16" x14ac:dyDescent="0.25">
      <c r="A10139" t="str">
        <f>"1150088A00284    00"</f>
        <v>1150088A00284    00</v>
      </c>
      <c r="B10139" t="s">
        <v>22388</v>
      </c>
      <c r="C10139" t="s">
        <v>22389</v>
      </c>
      <c r="D10139" t="s">
        <v>20</v>
      </c>
      <c r="E10139" t="s">
        <v>39</v>
      </c>
      <c r="F10139">
        <v>0</v>
      </c>
      <c r="G10139">
        <v>0</v>
      </c>
      <c r="H10139">
        <v>4</v>
      </c>
      <c r="I10139" s="3">
        <v>3161.94</v>
      </c>
      <c r="J10139" s="3">
        <v>1374.8</v>
      </c>
      <c r="L10139">
        <v>4207</v>
      </c>
      <c r="M10139" t="s">
        <v>22339</v>
      </c>
      <c r="N10139" t="s">
        <v>30</v>
      </c>
      <c r="O10139" t="s">
        <v>31</v>
      </c>
      <c r="P10139" t="str">
        <f>"15217"</f>
        <v>15217</v>
      </c>
    </row>
    <row r="10140" spans="1:16" x14ac:dyDescent="0.25">
      <c r="A10140" t="str">
        <f>"1150088A00310    00"</f>
        <v>1150088A00310    00</v>
      </c>
      <c r="B10140" t="s">
        <v>22390</v>
      </c>
      <c r="C10140" t="s">
        <v>22391</v>
      </c>
      <c r="D10140" t="s">
        <v>20</v>
      </c>
      <c r="E10140" t="s">
        <v>39</v>
      </c>
      <c r="F10140">
        <v>0</v>
      </c>
      <c r="G10140">
        <v>0</v>
      </c>
      <c r="H10140">
        <v>2</v>
      </c>
      <c r="I10140" s="3">
        <v>2287.1999999999998</v>
      </c>
      <c r="J10140" s="3">
        <v>0</v>
      </c>
      <c r="K10140" t="s">
        <v>1632</v>
      </c>
      <c r="L10140">
        <v>3001</v>
      </c>
      <c r="M10140" t="s">
        <v>330</v>
      </c>
      <c r="N10140" t="s">
        <v>331</v>
      </c>
      <c r="O10140" t="s">
        <v>108</v>
      </c>
      <c r="P10140" t="str">
        <f>"75063"</f>
        <v>75063</v>
      </c>
    </row>
    <row r="10141" spans="1:16" x14ac:dyDescent="0.25">
      <c r="A10141" t="str">
        <f>"1150088B00027    00"</f>
        <v>1150088B00027    00</v>
      </c>
      <c r="B10141" t="s">
        <v>22392</v>
      </c>
      <c r="C10141" t="s">
        <v>22393</v>
      </c>
      <c r="D10141" t="s">
        <v>20</v>
      </c>
      <c r="E10141" t="s">
        <v>21</v>
      </c>
      <c r="F10141">
        <v>0</v>
      </c>
      <c r="G10141">
        <v>0</v>
      </c>
      <c r="H10141">
        <v>1</v>
      </c>
      <c r="I10141" s="3">
        <v>1776.41</v>
      </c>
      <c r="J10141" s="3">
        <v>0</v>
      </c>
      <c r="L10141">
        <v>4211</v>
      </c>
      <c r="M10141" t="s">
        <v>16754</v>
      </c>
      <c r="N10141" t="s">
        <v>30</v>
      </c>
      <c r="O10141" t="s">
        <v>31</v>
      </c>
      <c r="P10141" t="str">
        <f>"15217"</f>
        <v>15217</v>
      </c>
    </row>
    <row r="10142" spans="1:16" x14ac:dyDescent="0.25">
      <c r="A10142" t="str">
        <f>"1150088B00064    00"</f>
        <v>1150088B00064    00</v>
      </c>
      <c r="B10142" t="s">
        <v>22394</v>
      </c>
      <c r="C10142" t="s">
        <v>22395</v>
      </c>
      <c r="E10142" t="s">
        <v>39</v>
      </c>
      <c r="F10142">
        <v>0</v>
      </c>
      <c r="G10142">
        <v>0</v>
      </c>
      <c r="H10142">
        <v>1</v>
      </c>
      <c r="I10142" s="3">
        <v>2591.83</v>
      </c>
      <c r="J10142" s="3">
        <v>1274.27</v>
      </c>
      <c r="K10142" t="s">
        <v>22396</v>
      </c>
      <c r="L10142">
        <v>3479</v>
      </c>
      <c r="M10142" t="s">
        <v>1695</v>
      </c>
      <c r="N10142" t="s">
        <v>30</v>
      </c>
      <c r="O10142" t="s">
        <v>31</v>
      </c>
      <c r="P10142" t="str">
        <f>"15217"</f>
        <v>15217</v>
      </c>
    </row>
    <row r="10143" spans="1:16" x14ac:dyDescent="0.25">
      <c r="A10143" t="str">
        <f>"1150088B00078    00"</f>
        <v>1150088B00078    00</v>
      </c>
      <c r="B10143" t="s">
        <v>22397</v>
      </c>
      <c r="C10143" t="s">
        <v>22398</v>
      </c>
      <c r="E10143" t="s">
        <v>39</v>
      </c>
      <c r="F10143">
        <v>0</v>
      </c>
      <c r="G10143">
        <v>0</v>
      </c>
      <c r="H10143">
        <v>1</v>
      </c>
      <c r="I10143" s="3">
        <v>4574.3100000000004</v>
      </c>
      <c r="J10143" s="3">
        <v>6627.75</v>
      </c>
      <c r="L10143">
        <v>3449</v>
      </c>
      <c r="M10143" t="s">
        <v>1695</v>
      </c>
      <c r="N10143" t="s">
        <v>30</v>
      </c>
      <c r="O10143" t="s">
        <v>31</v>
      </c>
      <c r="P10143" t="str">
        <f>"15217"</f>
        <v>15217</v>
      </c>
    </row>
    <row r="10144" spans="1:16" x14ac:dyDescent="0.25">
      <c r="A10144" t="str">
        <f>"1150088B00154    00"</f>
        <v>1150088B00154    00</v>
      </c>
      <c r="B10144" t="s">
        <v>22399</v>
      </c>
      <c r="C10144" t="s">
        <v>22400</v>
      </c>
      <c r="E10144" t="s">
        <v>39</v>
      </c>
      <c r="F10144">
        <v>0</v>
      </c>
      <c r="G10144">
        <v>0</v>
      </c>
      <c r="H10144">
        <v>1</v>
      </c>
      <c r="I10144" s="3">
        <v>1362.16</v>
      </c>
      <c r="J10144" s="3">
        <v>11.35</v>
      </c>
      <c r="L10144">
        <v>4206</v>
      </c>
      <c r="M10144" t="s">
        <v>18283</v>
      </c>
      <c r="N10144" t="s">
        <v>30</v>
      </c>
      <c r="O10144" t="s">
        <v>31</v>
      </c>
      <c r="P10144" t="str">
        <f>"15217"</f>
        <v>15217</v>
      </c>
    </row>
    <row r="10145" spans="1:16" x14ac:dyDescent="0.25">
      <c r="A10145" t="str">
        <f>"1150088E00003    00"</f>
        <v>1150088E00003    00</v>
      </c>
      <c r="B10145" t="s">
        <v>22401</v>
      </c>
      <c r="C10145" t="s">
        <v>22402</v>
      </c>
      <c r="D10145" t="s">
        <v>20</v>
      </c>
      <c r="E10145" t="s">
        <v>39</v>
      </c>
      <c r="F10145">
        <v>0</v>
      </c>
      <c r="G10145">
        <v>0</v>
      </c>
      <c r="H10145">
        <v>7</v>
      </c>
      <c r="I10145" s="3">
        <v>4272.79</v>
      </c>
      <c r="J10145" s="3">
        <v>29.84</v>
      </c>
      <c r="K10145" t="s">
        <v>22403</v>
      </c>
      <c r="L10145">
        <v>1017</v>
      </c>
      <c r="M10145" t="s">
        <v>22404</v>
      </c>
      <c r="N10145" t="s">
        <v>1692</v>
      </c>
      <c r="O10145" t="s">
        <v>31</v>
      </c>
      <c r="P10145" t="str">
        <f>"15005"</f>
        <v>15005</v>
      </c>
    </row>
    <row r="10146" spans="1:16" x14ac:dyDescent="0.25">
      <c r="A10146" t="str">
        <f>"1150088E00013    00"</f>
        <v>1150088E00013    00</v>
      </c>
      <c r="B10146" t="s">
        <v>22405</v>
      </c>
      <c r="C10146" t="s">
        <v>22406</v>
      </c>
      <c r="E10146" t="s">
        <v>39</v>
      </c>
      <c r="F10146">
        <v>0</v>
      </c>
      <c r="G10146">
        <v>0</v>
      </c>
      <c r="H10146">
        <v>1</v>
      </c>
      <c r="I10146" s="3">
        <v>49.05</v>
      </c>
      <c r="J10146" s="3">
        <v>13.89</v>
      </c>
      <c r="L10146">
        <v>757</v>
      </c>
      <c r="M10146" t="s">
        <v>21112</v>
      </c>
      <c r="N10146" t="s">
        <v>30</v>
      </c>
      <c r="O10146" t="s">
        <v>31</v>
      </c>
      <c r="P10146" t="str">
        <f>"15217"</f>
        <v>15217</v>
      </c>
    </row>
    <row r="10147" spans="1:16" x14ac:dyDescent="0.25">
      <c r="A10147" t="str">
        <f>"1150088E00039    00"</f>
        <v>1150088E00039    00</v>
      </c>
      <c r="B10147" t="s">
        <v>22407</v>
      </c>
      <c r="C10147" t="s">
        <v>22408</v>
      </c>
      <c r="D10147" t="s">
        <v>20</v>
      </c>
      <c r="E10147" t="s">
        <v>39</v>
      </c>
      <c r="F10147">
        <v>0</v>
      </c>
      <c r="G10147">
        <v>0</v>
      </c>
      <c r="H10147">
        <v>1</v>
      </c>
      <c r="I10147" s="3">
        <v>1070.8499999999999</v>
      </c>
      <c r="J10147" s="3">
        <v>526.48</v>
      </c>
      <c r="L10147">
        <v>4105</v>
      </c>
      <c r="M10147" t="s">
        <v>18283</v>
      </c>
      <c r="N10147" t="s">
        <v>30</v>
      </c>
      <c r="O10147" t="s">
        <v>31</v>
      </c>
      <c r="P10147" t="str">
        <f>"15217"</f>
        <v>15217</v>
      </c>
    </row>
    <row r="10148" spans="1:16" x14ac:dyDescent="0.25">
      <c r="A10148" t="str">
        <f>"1150088E00047    00"</f>
        <v>1150088E00047    00</v>
      </c>
      <c r="B10148" t="s">
        <v>22409</v>
      </c>
      <c r="C10148" t="s">
        <v>22410</v>
      </c>
      <c r="D10148" t="s">
        <v>20</v>
      </c>
      <c r="E10148" t="s">
        <v>39</v>
      </c>
      <c r="F10148">
        <v>0</v>
      </c>
      <c r="G10148">
        <v>0</v>
      </c>
      <c r="H10148">
        <v>2</v>
      </c>
      <c r="I10148" s="3">
        <v>2313.8200000000002</v>
      </c>
      <c r="J10148" s="3">
        <v>0</v>
      </c>
      <c r="K10148" t="s">
        <v>22411</v>
      </c>
      <c r="L10148">
        <v>734</v>
      </c>
      <c r="M10148" t="s">
        <v>21112</v>
      </c>
      <c r="N10148" t="s">
        <v>30</v>
      </c>
      <c r="O10148" t="s">
        <v>31</v>
      </c>
      <c r="P10148" t="str">
        <f>"15217"</f>
        <v>15217</v>
      </c>
    </row>
    <row r="10149" spans="1:16" x14ac:dyDescent="0.25">
      <c r="A10149" t="str">
        <f>"1150088E00064    00"</f>
        <v>1150088E00064    00</v>
      </c>
      <c r="B10149" t="s">
        <v>22412</v>
      </c>
      <c r="C10149" t="s">
        <v>22413</v>
      </c>
      <c r="E10149" t="s">
        <v>39</v>
      </c>
      <c r="F10149">
        <v>0</v>
      </c>
      <c r="G10149">
        <v>0</v>
      </c>
      <c r="H10149">
        <v>1</v>
      </c>
      <c r="I10149" s="3">
        <v>2710.34</v>
      </c>
      <c r="J10149" s="3">
        <v>0</v>
      </c>
      <c r="L10149">
        <v>774</v>
      </c>
      <c r="M10149" t="s">
        <v>21112</v>
      </c>
      <c r="N10149" t="s">
        <v>30</v>
      </c>
      <c r="O10149" t="s">
        <v>31</v>
      </c>
      <c r="P10149" t="str">
        <f>"15217"</f>
        <v>15217</v>
      </c>
    </row>
    <row r="10150" spans="1:16" x14ac:dyDescent="0.25">
      <c r="A10150" t="str">
        <f>"1150088E00101    00"</f>
        <v>1150088E00101    00</v>
      </c>
      <c r="B10150" t="s">
        <v>22414</v>
      </c>
      <c r="C10150" t="s">
        <v>22415</v>
      </c>
      <c r="D10150" t="s">
        <v>20</v>
      </c>
      <c r="E10150" t="s">
        <v>39</v>
      </c>
      <c r="F10150">
        <v>0</v>
      </c>
      <c r="G10150">
        <v>0</v>
      </c>
      <c r="H10150">
        <v>3</v>
      </c>
      <c r="I10150" s="3">
        <v>3442.83</v>
      </c>
      <c r="J10150" s="3">
        <v>67.06</v>
      </c>
      <c r="K10150" t="s">
        <v>3554</v>
      </c>
      <c r="L10150">
        <v>600</v>
      </c>
      <c r="M10150" t="s">
        <v>3555</v>
      </c>
      <c r="N10150" t="s">
        <v>3556</v>
      </c>
      <c r="O10150" t="s">
        <v>31</v>
      </c>
      <c r="P10150" t="str">
        <f>"16117"</f>
        <v>16117</v>
      </c>
    </row>
    <row r="10151" spans="1:16" x14ac:dyDescent="0.25">
      <c r="A10151" t="str">
        <f>"1150088E00147    00"</f>
        <v>1150088E00147    00</v>
      </c>
      <c r="B10151" t="s">
        <v>22416</v>
      </c>
      <c r="C10151" t="s">
        <v>22417</v>
      </c>
      <c r="E10151" t="s">
        <v>39</v>
      </c>
      <c r="F10151">
        <v>0</v>
      </c>
      <c r="G10151">
        <v>0</v>
      </c>
      <c r="H10151">
        <v>2</v>
      </c>
      <c r="I10151" s="3">
        <v>1909.77</v>
      </c>
      <c r="J10151" s="3">
        <v>557.63</v>
      </c>
      <c r="K10151" t="s">
        <v>1135</v>
      </c>
      <c r="L10151">
        <v>3001</v>
      </c>
      <c r="M10151" t="s">
        <v>330</v>
      </c>
      <c r="N10151" t="s">
        <v>331</v>
      </c>
      <c r="O10151" t="s">
        <v>108</v>
      </c>
      <c r="P10151" t="str">
        <f>"75063"</f>
        <v>75063</v>
      </c>
    </row>
    <row r="10152" spans="1:16" x14ac:dyDescent="0.25">
      <c r="A10152" t="str">
        <f>"1150088E00159    00"</f>
        <v>1150088E00159    00</v>
      </c>
      <c r="B10152" t="s">
        <v>22418</v>
      </c>
      <c r="C10152" t="s">
        <v>22419</v>
      </c>
      <c r="D10152" t="s">
        <v>20</v>
      </c>
      <c r="E10152" t="s">
        <v>39</v>
      </c>
      <c r="F10152">
        <v>0</v>
      </c>
      <c r="G10152">
        <v>0</v>
      </c>
      <c r="H10152">
        <v>2</v>
      </c>
      <c r="I10152" s="3">
        <v>2718.2</v>
      </c>
      <c r="J10152" s="3">
        <v>273.98</v>
      </c>
      <c r="K10152" t="s">
        <v>22420</v>
      </c>
      <c r="L10152">
        <v>773</v>
      </c>
      <c r="M10152" t="s">
        <v>21121</v>
      </c>
      <c r="N10152" t="s">
        <v>30</v>
      </c>
      <c r="O10152" t="s">
        <v>31</v>
      </c>
      <c r="P10152" t="str">
        <f>"15217"</f>
        <v>15217</v>
      </c>
    </row>
    <row r="10153" spans="1:16" x14ac:dyDescent="0.25">
      <c r="A10153" t="str">
        <f>"1150088E00163    00"</f>
        <v>1150088E00163    00</v>
      </c>
      <c r="B10153" t="s">
        <v>22421</v>
      </c>
      <c r="C10153" t="s">
        <v>22422</v>
      </c>
      <c r="D10153" t="s">
        <v>20</v>
      </c>
      <c r="E10153" t="s">
        <v>39</v>
      </c>
      <c r="F10153">
        <v>0</v>
      </c>
      <c r="G10153">
        <v>0</v>
      </c>
      <c r="H10153">
        <v>1</v>
      </c>
      <c r="I10153" s="3">
        <v>2139.0100000000002</v>
      </c>
      <c r="J10153" s="3">
        <v>0</v>
      </c>
      <c r="K10153" t="s">
        <v>9056</v>
      </c>
      <c r="L10153">
        <v>3001</v>
      </c>
      <c r="M10153" t="s">
        <v>404</v>
      </c>
      <c r="N10153" t="s">
        <v>331</v>
      </c>
      <c r="O10153" t="s">
        <v>108</v>
      </c>
      <c r="P10153" t="str">
        <f>"75063"</f>
        <v>75063</v>
      </c>
    </row>
    <row r="10154" spans="1:16" x14ac:dyDescent="0.25">
      <c r="A10154" t="str">
        <f>"1150088E00179    00"</f>
        <v>1150088E00179    00</v>
      </c>
      <c r="B10154" t="s">
        <v>22423</v>
      </c>
      <c r="C10154" t="s">
        <v>22424</v>
      </c>
      <c r="D10154" t="s">
        <v>57</v>
      </c>
      <c r="E10154" t="s">
        <v>39</v>
      </c>
      <c r="F10154">
        <v>0</v>
      </c>
      <c r="G10154">
        <v>0</v>
      </c>
      <c r="H10154">
        <v>2</v>
      </c>
      <c r="I10154" s="3">
        <v>4280.8999999999996</v>
      </c>
      <c r="J10154" s="3">
        <v>53.51</v>
      </c>
      <c r="K10154" t="s">
        <v>756</v>
      </c>
      <c r="L10154">
        <v>3001</v>
      </c>
      <c r="M10154" t="s">
        <v>330</v>
      </c>
      <c r="N10154" t="s">
        <v>331</v>
      </c>
      <c r="O10154" t="s">
        <v>108</v>
      </c>
      <c r="P10154" t="str">
        <f>"75063"</f>
        <v>75063</v>
      </c>
    </row>
    <row r="10155" spans="1:16" x14ac:dyDescent="0.25">
      <c r="A10155" t="str">
        <f>"1150088E00248    00"</f>
        <v>1150088E00248    00</v>
      </c>
      <c r="B10155" t="s">
        <v>22425</v>
      </c>
      <c r="C10155" t="s">
        <v>22426</v>
      </c>
      <c r="D10155" t="s">
        <v>20</v>
      </c>
      <c r="E10155" t="s">
        <v>39</v>
      </c>
      <c r="F10155">
        <v>0</v>
      </c>
      <c r="G10155">
        <v>0</v>
      </c>
      <c r="H10155">
        <v>19</v>
      </c>
      <c r="I10155" s="3">
        <v>10165.31</v>
      </c>
      <c r="J10155" s="3">
        <v>5553.96</v>
      </c>
      <c r="K10155" t="s">
        <v>22427</v>
      </c>
      <c r="L10155">
        <v>534</v>
      </c>
      <c r="M10155" t="s">
        <v>22428</v>
      </c>
      <c r="N10155" t="s">
        <v>22429</v>
      </c>
      <c r="O10155" t="s">
        <v>31</v>
      </c>
      <c r="P10155" t="str">
        <f>"15622"</f>
        <v>15622</v>
      </c>
    </row>
    <row r="10156" spans="1:16" x14ac:dyDescent="0.25">
      <c r="A10156" t="str">
        <f>"1150088E00250    00"</f>
        <v>1150088E00250    00</v>
      </c>
      <c r="B10156" t="s">
        <v>22425</v>
      </c>
      <c r="C10156" t="s">
        <v>22426</v>
      </c>
      <c r="D10156" t="s">
        <v>20</v>
      </c>
      <c r="E10156" t="s">
        <v>39</v>
      </c>
      <c r="F10156">
        <v>0</v>
      </c>
      <c r="G10156">
        <v>0</v>
      </c>
      <c r="H10156">
        <v>19</v>
      </c>
      <c r="I10156" s="3">
        <v>10072.76</v>
      </c>
      <c r="J10156" s="3">
        <v>5433.72</v>
      </c>
      <c r="L10156">
        <v>719</v>
      </c>
      <c r="M10156" t="s">
        <v>21012</v>
      </c>
      <c r="N10156" t="s">
        <v>30</v>
      </c>
      <c r="O10156" t="s">
        <v>31</v>
      </c>
      <c r="P10156" t="str">
        <f>"15217"</f>
        <v>15217</v>
      </c>
    </row>
    <row r="10157" spans="1:16" x14ac:dyDescent="0.25">
      <c r="A10157" t="str">
        <f>"1150088E00297    00"</f>
        <v>1150088E00297    00</v>
      </c>
      <c r="B10157" t="s">
        <v>22430</v>
      </c>
      <c r="C10157" t="s">
        <v>22431</v>
      </c>
      <c r="E10157" t="s">
        <v>39</v>
      </c>
      <c r="F10157">
        <v>0</v>
      </c>
      <c r="G10157">
        <v>0</v>
      </c>
      <c r="H10157">
        <v>1</v>
      </c>
      <c r="I10157" s="3">
        <v>954.92</v>
      </c>
      <c r="J10157" s="3">
        <v>159.13999999999999</v>
      </c>
      <c r="K10157" t="s">
        <v>1632</v>
      </c>
      <c r="L10157">
        <v>3001</v>
      </c>
      <c r="M10157" t="s">
        <v>330</v>
      </c>
      <c r="N10157" t="s">
        <v>331</v>
      </c>
      <c r="O10157" t="s">
        <v>108</v>
      </c>
      <c r="P10157" t="str">
        <f>"75063"</f>
        <v>75063</v>
      </c>
    </row>
    <row r="10158" spans="1:16" x14ac:dyDescent="0.25">
      <c r="A10158" t="str">
        <f>"1150088E00314    00"</f>
        <v>1150088E00314    00</v>
      </c>
      <c r="B10158" t="s">
        <v>22432</v>
      </c>
      <c r="C10158" t="s">
        <v>22433</v>
      </c>
      <c r="D10158" t="s">
        <v>57</v>
      </c>
      <c r="E10158" t="s">
        <v>21</v>
      </c>
      <c r="F10158">
        <v>0</v>
      </c>
      <c r="G10158">
        <v>0</v>
      </c>
      <c r="H10158">
        <v>2</v>
      </c>
      <c r="I10158" s="3">
        <v>3213.54</v>
      </c>
      <c r="J10158" s="3">
        <v>66.95</v>
      </c>
      <c r="K10158" t="s">
        <v>22434</v>
      </c>
      <c r="L10158">
        <v>145</v>
      </c>
      <c r="M10158" t="s">
        <v>22435</v>
      </c>
      <c r="N10158" t="s">
        <v>285</v>
      </c>
      <c r="O10158" t="s">
        <v>31</v>
      </c>
      <c r="P10158" t="str">
        <f>"15120"</f>
        <v>15120</v>
      </c>
    </row>
    <row r="10159" spans="1:16" x14ac:dyDescent="0.25">
      <c r="A10159" t="str">
        <f>"1150088E00319    00"</f>
        <v>1150088E00319    00</v>
      </c>
      <c r="B10159" t="s">
        <v>22436</v>
      </c>
      <c r="C10159" t="s">
        <v>22437</v>
      </c>
      <c r="E10159" t="s">
        <v>21</v>
      </c>
      <c r="F10159">
        <v>0</v>
      </c>
      <c r="G10159">
        <v>0</v>
      </c>
      <c r="H10159">
        <v>1</v>
      </c>
      <c r="I10159" s="3">
        <v>1294.18</v>
      </c>
      <c r="J10159" s="3">
        <v>129.41</v>
      </c>
      <c r="K10159" t="s">
        <v>12259</v>
      </c>
      <c r="L10159">
        <v>125</v>
      </c>
      <c r="M10159" t="s">
        <v>12260</v>
      </c>
      <c r="N10159" t="s">
        <v>2656</v>
      </c>
      <c r="O10159" t="s">
        <v>31</v>
      </c>
      <c r="P10159" t="str">
        <f>"15904"</f>
        <v>15904</v>
      </c>
    </row>
    <row r="10160" spans="1:16" x14ac:dyDescent="0.25">
      <c r="A10160" t="str">
        <f>"1150088E00345    00"</f>
        <v>1150088E00345    00</v>
      </c>
      <c r="B10160" t="s">
        <v>22438</v>
      </c>
      <c r="C10160" t="s">
        <v>22439</v>
      </c>
      <c r="E10160" t="s">
        <v>39</v>
      </c>
      <c r="F10160">
        <v>0</v>
      </c>
      <c r="G10160">
        <v>0</v>
      </c>
      <c r="H10160">
        <v>2</v>
      </c>
      <c r="I10160" s="3">
        <v>1013.88</v>
      </c>
      <c r="J10160" s="3">
        <v>401.54</v>
      </c>
      <c r="K10160" t="s">
        <v>22440</v>
      </c>
      <c r="L10160">
        <v>1137</v>
      </c>
      <c r="M10160" t="s">
        <v>1887</v>
      </c>
      <c r="N10160" t="s">
        <v>30</v>
      </c>
      <c r="O10160" t="s">
        <v>31</v>
      </c>
      <c r="P10160" t="str">
        <f>"15217"</f>
        <v>15217</v>
      </c>
    </row>
    <row r="10161" spans="1:16" x14ac:dyDescent="0.25">
      <c r="A10161" t="str">
        <f>"1150088E00370    00"</f>
        <v>1150088E00370    00</v>
      </c>
      <c r="B10161" t="s">
        <v>22441</v>
      </c>
      <c r="C10161" t="s">
        <v>22442</v>
      </c>
      <c r="D10161" t="s">
        <v>20</v>
      </c>
      <c r="E10161" t="s">
        <v>39</v>
      </c>
      <c r="F10161">
        <v>0</v>
      </c>
      <c r="G10161">
        <v>0</v>
      </c>
      <c r="H10161">
        <v>1</v>
      </c>
      <c r="I10161" s="3">
        <v>1615.03</v>
      </c>
      <c r="J10161" s="3">
        <v>0</v>
      </c>
      <c r="L10161">
        <v>516</v>
      </c>
      <c r="M10161" t="s">
        <v>22443</v>
      </c>
      <c r="N10161" t="s">
        <v>1067</v>
      </c>
      <c r="O10161" t="s">
        <v>31</v>
      </c>
      <c r="P10161" t="str">
        <f>"15143"</f>
        <v>15143</v>
      </c>
    </row>
    <row r="10162" spans="1:16" x14ac:dyDescent="0.25">
      <c r="A10162" t="str">
        <f>"1150088F00034    00"</f>
        <v>1150088F00034    00</v>
      </c>
      <c r="B10162" t="s">
        <v>22444</v>
      </c>
      <c r="C10162" t="s">
        <v>22445</v>
      </c>
      <c r="D10162" t="s">
        <v>20</v>
      </c>
      <c r="E10162" t="s">
        <v>21</v>
      </c>
      <c r="F10162">
        <v>0</v>
      </c>
      <c r="G10162">
        <v>0</v>
      </c>
      <c r="H10162">
        <v>2</v>
      </c>
      <c r="I10162" s="3">
        <v>1120.8800000000001</v>
      </c>
      <c r="J10162" s="3">
        <v>0</v>
      </c>
      <c r="K10162" t="s">
        <v>22446</v>
      </c>
      <c r="L10162">
        <v>5010</v>
      </c>
      <c r="M10162" t="s">
        <v>6638</v>
      </c>
      <c r="N10162" t="s">
        <v>30</v>
      </c>
      <c r="O10162" t="s">
        <v>31</v>
      </c>
      <c r="P10162" t="str">
        <f>"15224"</f>
        <v>15224</v>
      </c>
    </row>
    <row r="10163" spans="1:16" x14ac:dyDescent="0.25">
      <c r="A10163" t="str">
        <f>"1150088F00065    00"</f>
        <v>1150088F00065    00</v>
      </c>
      <c r="B10163" t="s">
        <v>22447</v>
      </c>
      <c r="C10163" t="s">
        <v>22448</v>
      </c>
      <c r="D10163" t="s">
        <v>20</v>
      </c>
      <c r="E10163" t="s">
        <v>39</v>
      </c>
      <c r="F10163">
        <v>0</v>
      </c>
      <c r="G10163">
        <v>0</v>
      </c>
      <c r="H10163">
        <v>7</v>
      </c>
      <c r="I10163" s="3">
        <v>24451.47</v>
      </c>
      <c r="J10163" s="3">
        <v>5112.53</v>
      </c>
      <c r="L10163">
        <v>3421</v>
      </c>
      <c r="M10163" t="s">
        <v>1695</v>
      </c>
      <c r="N10163" t="s">
        <v>30</v>
      </c>
      <c r="O10163" t="s">
        <v>31</v>
      </c>
      <c r="P10163" t="str">
        <f>"15217"</f>
        <v>15217</v>
      </c>
    </row>
    <row r="10164" spans="1:16" x14ac:dyDescent="0.25">
      <c r="A10164" t="str">
        <f>"1150088F00095    00"</f>
        <v>1150088F00095    00</v>
      </c>
      <c r="B10164" t="s">
        <v>22449</v>
      </c>
      <c r="C10164" t="s">
        <v>22450</v>
      </c>
      <c r="D10164" t="s">
        <v>20</v>
      </c>
      <c r="E10164" t="s">
        <v>39</v>
      </c>
      <c r="F10164">
        <v>0</v>
      </c>
      <c r="G10164">
        <v>0</v>
      </c>
      <c r="H10164">
        <v>3</v>
      </c>
      <c r="I10164" s="3">
        <v>8149.85</v>
      </c>
      <c r="J10164" s="3">
        <v>356.26</v>
      </c>
      <c r="K10164" t="s">
        <v>4424</v>
      </c>
      <c r="L10164">
        <v>3001</v>
      </c>
      <c r="M10164" t="s">
        <v>330</v>
      </c>
      <c r="N10164" t="s">
        <v>331</v>
      </c>
      <c r="O10164" t="s">
        <v>108</v>
      </c>
      <c r="P10164" t="str">
        <f>"75063"</f>
        <v>75063</v>
      </c>
    </row>
    <row r="10165" spans="1:16" x14ac:dyDescent="0.25">
      <c r="A10165" t="str">
        <f>"1150088F00129    00"</f>
        <v>1150088F00129    00</v>
      </c>
      <c r="B10165" t="s">
        <v>22451</v>
      </c>
      <c r="C10165" t="s">
        <v>22452</v>
      </c>
      <c r="D10165" t="s">
        <v>20</v>
      </c>
      <c r="E10165" t="s">
        <v>39</v>
      </c>
      <c r="F10165">
        <v>0</v>
      </c>
      <c r="G10165">
        <v>0</v>
      </c>
      <c r="H10165">
        <v>2</v>
      </c>
      <c r="I10165" s="3">
        <v>1725.73</v>
      </c>
      <c r="J10165" s="3">
        <v>246.65</v>
      </c>
      <c r="L10165">
        <v>4344</v>
      </c>
      <c r="M10165" t="s">
        <v>18283</v>
      </c>
      <c r="N10165" t="s">
        <v>30</v>
      </c>
      <c r="O10165" t="s">
        <v>31</v>
      </c>
      <c r="P10165" t="str">
        <f>"15217"</f>
        <v>15217</v>
      </c>
    </row>
    <row r="10166" spans="1:16" x14ac:dyDescent="0.25">
      <c r="A10166" t="str">
        <f>"1150088P00031    00"</f>
        <v>1150088P00031    00</v>
      </c>
      <c r="B10166" t="s">
        <v>22453</v>
      </c>
      <c r="C10166" t="s">
        <v>22454</v>
      </c>
      <c r="D10166" t="s">
        <v>20</v>
      </c>
      <c r="E10166" t="s">
        <v>39</v>
      </c>
      <c r="F10166">
        <v>0</v>
      </c>
      <c r="G10166">
        <v>0</v>
      </c>
      <c r="H10166">
        <v>6</v>
      </c>
      <c r="I10166" s="3">
        <v>156.57</v>
      </c>
      <c r="J10166" s="3">
        <v>35.71</v>
      </c>
      <c r="K10166" t="s">
        <v>22455</v>
      </c>
      <c r="L10166">
        <v>507</v>
      </c>
      <c r="M10166" t="s">
        <v>1887</v>
      </c>
      <c r="N10166" t="s">
        <v>30</v>
      </c>
      <c r="O10166" t="s">
        <v>31</v>
      </c>
      <c r="P10166" t="str">
        <f>"15207"</f>
        <v>15207</v>
      </c>
    </row>
    <row r="10167" spans="1:16" x14ac:dyDescent="0.25">
      <c r="A10167" t="str">
        <f>"1150088P00032    00"</f>
        <v>1150088P00032    00</v>
      </c>
      <c r="B10167" t="s">
        <v>22453</v>
      </c>
      <c r="C10167" t="s">
        <v>22454</v>
      </c>
      <c r="D10167" t="s">
        <v>20</v>
      </c>
      <c r="E10167" t="s">
        <v>39</v>
      </c>
      <c r="F10167">
        <v>0</v>
      </c>
      <c r="G10167">
        <v>0</v>
      </c>
      <c r="H10167">
        <v>6</v>
      </c>
      <c r="I10167" s="3">
        <v>223.7</v>
      </c>
      <c r="J10167" s="3">
        <v>51.05</v>
      </c>
      <c r="L10167">
        <v>507</v>
      </c>
      <c r="M10167" t="s">
        <v>1887</v>
      </c>
      <c r="N10167" t="s">
        <v>30</v>
      </c>
      <c r="O10167" t="s">
        <v>31</v>
      </c>
      <c r="P10167" t="str">
        <f>"15207"</f>
        <v>15207</v>
      </c>
    </row>
    <row r="10168" spans="1:16" x14ac:dyDescent="0.25">
      <c r="A10168" t="str">
        <f>"1150088R00110    00"</f>
        <v>1150088R00110    00</v>
      </c>
      <c r="B10168" t="s">
        <v>22456</v>
      </c>
      <c r="C10168" t="s">
        <v>22457</v>
      </c>
      <c r="E10168" t="s">
        <v>21</v>
      </c>
      <c r="F10168">
        <v>0</v>
      </c>
      <c r="G10168">
        <v>0</v>
      </c>
      <c r="H10168">
        <v>2</v>
      </c>
      <c r="I10168" s="3">
        <v>108279.88</v>
      </c>
      <c r="J10168" s="3">
        <v>0</v>
      </c>
      <c r="K10168" t="s">
        <v>22458</v>
      </c>
      <c r="M10168" t="s">
        <v>1488</v>
      </c>
      <c r="N10168" t="s">
        <v>1489</v>
      </c>
      <c r="O10168" t="s">
        <v>1184</v>
      </c>
      <c r="P10168" t="str">
        <f>"21030"</f>
        <v>21030</v>
      </c>
    </row>
    <row r="10169" spans="1:16" x14ac:dyDescent="0.25">
      <c r="A10169" t="str">
        <f>"1150088R00175    00"</f>
        <v>1150088R00175    00</v>
      </c>
      <c r="B10169" t="s">
        <v>22459</v>
      </c>
      <c r="C10169" t="s">
        <v>22460</v>
      </c>
      <c r="E10169" t="s">
        <v>21</v>
      </c>
      <c r="F10169">
        <v>0</v>
      </c>
      <c r="G10169">
        <v>0</v>
      </c>
      <c r="H10169">
        <v>2</v>
      </c>
      <c r="I10169" s="3">
        <v>1236.0999999999999</v>
      </c>
      <c r="J10169" s="3">
        <v>628.33000000000004</v>
      </c>
      <c r="K10169" t="s">
        <v>22461</v>
      </c>
      <c r="L10169">
        <v>3819</v>
      </c>
      <c r="M10169" t="s">
        <v>2747</v>
      </c>
      <c r="N10169" t="s">
        <v>107</v>
      </c>
      <c r="O10169" t="s">
        <v>108</v>
      </c>
      <c r="P10169" t="str">
        <f>"75219"</f>
        <v>75219</v>
      </c>
    </row>
    <row r="10170" spans="1:16" x14ac:dyDescent="0.25">
      <c r="A10170" t="str">
        <f>"1150088R00260    00"</f>
        <v>1150088R00260    00</v>
      </c>
      <c r="B10170" t="s">
        <v>22462</v>
      </c>
      <c r="C10170" t="s">
        <v>22454</v>
      </c>
      <c r="D10170" t="s">
        <v>20</v>
      </c>
      <c r="E10170" t="s">
        <v>39</v>
      </c>
      <c r="F10170">
        <v>0</v>
      </c>
      <c r="G10170">
        <v>0</v>
      </c>
      <c r="H10170">
        <v>16</v>
      </c>
      <c r="I10170" s="3">
        <v>2690.16</v>
      </c>
      <c r="J10170" s="3">
        <v>1454.2</v>
      </c>
      <c r="L10170">
        <v>3411</v>
      </c>
      <c r="M10170" t="s">
        <v>1695</v>
      </c>
      <c r="N10170" t="s">
        <v>30</v>
      </c>
      <c r="O10170" t="s">
        <v>31</v>
      </c>
      <c r="P10170" t="str">
        <f>"15217"</f>
        <v>15217</v>
      </c>
    </row>
    <row r="10171" spans="1:16" x14ac:dyDescent="0.25">
      <c r="A10171" t="str">
        <f>"1150089C00088    00"</f>
        <v>1150089C00088    00</v>
      </c>
      <c r="B10171" t="s">
        <v>22463</v>
      </c>
      <c r="C10171" t="s">
        <v>22464</v>
      </c>
      <c r="D10171" t="s">
        <v>20</v>
      </c>
      <c r="E10171" t="s">
        <v>39</v>
      </c>
      <c r="F10171">
        <v>0</v>
      </c>
      <c r="G10171">
        <v>0</v>
      </c>
      <c r="H10171">
        <v>5</v>
      </c>
      <c r="I10171" s="3">
        <v>7558.58</v>
      </c>
      <c r="J10171" s="3">
        <v>1050.76</v>
      </c>
      <c r="L10171">
        <v>118</v>
      </c>
      <c r="M10171" t="s">
        <v>22465</v>
      </c>
      <c r="N10171" t="s">
        <v>30</v>
      </c>
      <c r="O10171" t="s">
        <v>31</v>
      </c>
      <c r="P10171" t="str">
        <f>"15217"</f>
        <v>15217</v>
      </c>
    </row>
    <row r="10172" spans="1:16" x14ac:dyDescent="0.25">
      <c r="A10172" t="str">
        <f>"1150089C00090    00"</f>
        <v>1150089C00090    00</v>
      </c>
      <c r="B10172" t="s">
        <v>22466</v>
      </c>
      <c r="C10172" t="s">
        <v>22467</v>
      </c>
      <c r="D10172" t="s">
        <v>20</v>
      </c>
      <c r="E10172" t="s">
        <v>39</v>
      </c>
      <c r="F10172">
        <v>0</v>
      </c>
      <c r="G10172">
        <v>0</v>
      </c>
      <c r="H10172">
        <v>16</v>
      </c>
      <c r="I10172" s="3">
        <v>13350.45</v>
      </c>
      <c r="J10172" s="3">
        <v>7077.98</v>
      </c>
      <c r="L10172">
        <v>5002</v>
      </c>
      <c r="M10172" t="s">
        <v>22468</v>
      </c>
      <c r="N10172" t="s">
        <v>30</v>
      </c>
      <c r="O10172" t="s">
        <v>31</v>
      </c>
      <c r="P10172" t="str">
        <f>"15207"</f>
        <v>15207</v>
      </c>
    </row>
    <row r="10173" spans="1:16" x14ac:dyDescent="0.25">
      <c r="A10173" t="str">
        <f>"1150089C00151    00"</f>
        <v>1150089C00151    00</v>
      </c>
      <c r="B10173" t="s">
        <v>22469</v>
      </c>
      <c r="C10173" t="s">
        <v>22467</v>
      </c>
      <c r="E10173" t="s">
        <v>39</v>
      </c>
      <c r="F10173">
        <v>0</v>
      </c>
      <c r="G10173">
        <v>0</v>
      </c>
      <c r="H10173">
        <v>1</v>
      </c>
      <c r="I10173" s="3">
        <v>233.22</v>
      </c>
      <c r="J10173" s="3">
        <v>122.44</v>
      </c>
      <c r="K10173" t="s">
        <v>22470</v>
      </c>
      <c r="L10173">
        <v>1</v>
      </c>
      <c r="M10173" t="s">
        <v>22471</v>
      </c>
      <c r="N10173" t="s">
        <v>30</v>
      </c>
      <c r="O10173" t="s">
        <v>31</v>
      </c>
      <c r="P10173" t="str">
        <f>"15232"</f>
        <v>15232</v>
      </c>
    </row>
    <row r="10174" spans="1:16" x14ac:dyDescent="0.25">
      <c r="A10174" t="str">
        <f>"1150089E00013    00"</f>
        <v>1150089E00013    00</v>
      </c>
      <c r="B10174" t="s">
        <v>22472</v>
      </c>
      <c r="C10174" t="s">
        <v>22473</v>
      </c>
      <c r="D10174" t="s">
        <v>20</v>
      </c>
      <c r="E10174" t="s">
        <v>39</v>
      </c>
      <c r="F10174">
        <v>0</v>
      </c>
      <c r="G10174">
        <v>0</v>
      </c>
      <c r="H10174">
        <v>1</v>
      </c>
      <c r="I10174" s="3">
        <v>45.74</v>
      </c>
      <c r="J10174" s="3">
        <v>0</v>
      </c>
      <c r="L10174">
        <v>6114</v>
      </c>
      <c r="M10174" t="s">
        <v>21613</v>
      </c>
      <c r="N10174" t="s">
        <v>11653</v>
      </c>
      <c r="O10174" t="s">
        <v>606</v>
      </c>
      <c r="P10174" t="str">
        <f>"30058"</f>
        <v>30058</v>
      </c>
    </row>
    <row r="10175" spans="1:16" x14ac:dyDescent="0.25">
      <c r="A10175" t="str">
        <f>"1150089K00005    00"</f>
        <v>1150089K00005    00</v>
      </c>
      <c r="B10175" t="s">
        <v>22474</v>
      </c>
      <c r="C10175" t="s">
        <v>22475</v>
      </c>
      <c r="E10175" t="s">
        <v>39</v>
      </c>
      <c r="F10175">
        <v>0</v>
      </c>
      <c r="G10175">
        <v>0</v>
      </c>
      <c r="H10175">
        <v>1</v>
      </c>
      <c r="I10175" s="3">
        <v>523.33000000000004</v>
      </c>
      <c r="J10175" s="3">
        <v>0</v>
      </c>
      <c r="L10175">
        <v>970</v>
      </c>
      <c r="M10175" t="s">
        <v>21716</v>
      </c>
      <c r="N10175" t="s">
        <v>30</v>
      </c>
      <c r="O10175" t="s">
        <v>31</v>
      </c>
      <c r="P10175" t="str">
        <f>"15207"</f>
        <v>15207</v>
      </c>
    </row>
    <row r="10176" spans="1:16" x14ac:dyDescent="0.25">
      <c r="A10176" t="str">
        <f>"1150090E00050A   00"</f>
        <v>1150090E00050A   00</v>
      </c>
      <c r="B10176" t="s">
        <v>21039</v>
      </c>
      <c r="C10176" t="s">
        <v>4502</v>
      </c>
      <c r="E10176" t="s">
        <v>513</v>
      </c>
      <c r="F10176">
        <v>0</v>
      </c>
      <c r="G10176">
        <v>0</v>
      </c>
      <c r="H10176">
        <v>1</v>
      </c>
      <c r="I10176" s="3">
        <v>7692.86</v>
      </c>
      <c r="J10176" s="3">
        <v>10449.049999999999</v>
      </c>
      <c r="K10176" t="s">
        <v>2273</v>
      </c>
      <c r="L10176">
        <v>500</v>
      </c>
      <c r="M10176" t="s">
        <v>4705</v>
      </c>
      <c r="N10176" t="s">
        <v>3919</v>
      </c>
      <c r="O10176" t="s">
        <v>370</v>
      </c>
      <c r="P10176" t="str">
        <f>"32202"</f>
        <v>32202</v>
      </c>
    </row>
    <row r="10177" spans="1:16" x14ac:dyDescent="0.25">
      <c r="A10177" t="str">
        <f>"1160012B00155    01"</f>
        <v>1160012B00155    01</v>
      </c>
      <c r="B10177" t="s">
        <v>22476</v>
      </c>
      <c r="C10177" t="s">
        <v>22477</v>
      </c>
      <c r="E10177" t="s">
        <v>513</v>
      </c>
      <c r="F10177">
        <v>0</v>
      </c>
      <c r="G10177">
        <v>0</v>
      </c>
      <c r="H10177">
        <v>2</v>
      </c>
      <c r="I10177" s="3">
        <v>375.44</v>
      </c>
      <c r="J10177" s="3">
        <v>642.64</v>
      </c>
      <c r="K10177" t="s">
        <v>2273</v>
      </c>
      <c r="L10177">
        <v>500</v>
      </c>
      <c r="M10177" t="s">
        <v>4705</v>
      </c>
      <c r="N10177" t="s">
        <v>3919</v>
      </c>
      <c r="O10177" t="s">
        <v>370</v>
      </c>
      <c r="P10177" t="str">
        <f>"32202"</f>
        <v>32202</v>
      </c>
    </row>
    <row r="10178" spans="1:16" x14ac:dyDescent="0.25">
      <c r="A10178" t="str">
        <f>"1160012C00020    00"</f>
        <v>1160012C00020    00</v>
      </c>
      <c r="B10178" t="s">
        <v>22476</v>
      </c>
      <c r="C10178" t="s">
        <v>22478</v>
      </c>
      <c r="E10178" t="s">
        <v>513</v>
      </c>
      <c r="F10178">
        <v>0</v>
      </c>
      <c r="G10178">
        <v>0</v>
      </c>
      <c r="H10178">
        <v>2</v>
      </c>
      <c r="I10178" s="3">
        <v>412.72</v>
      </c>
      <c r="J10178" s="3">
        <v>601.98</v>
      </c>
      <c r="K10178" t="s">
        <v>2273</v>
      </c>
      <c r="L10178">
        <v>500</v>
      </c>
      <c r="M10178" t="s">
        <v>4705</v>
      </c>
      <c r="N10178" t="s">
        <v>3919</v>
      </c>
      <c r="O10178" t="s">
        <v>370</v>
      </c>
      <c r="P10178" t="str">
        <f>"32202"</f>
        <v>32202</v>
      </c>
    </row>
    <row r="10179" spans="1:16" x14ac:dyDescent="0.25">
      <c r="A10179" t="str">
        <f>"1160012C00020000101"</f>
        <v>1160012C00020000101</v>
      </c>
      <c r="B10179" t="s">
        <v>22476</v>
      </c>
      <c r="C10179" t="s">
        <v>22478</v>
      </c>
      <c r="E10179" t="s">
        <v>513</v>
      </c>
      <c r="F10179">
        <v>0</v>
      </c>
      <c r="G10179">
        <v>0</v>
      </c>
      <c r="H10179">
        <v>2</v>
      </c>
      <c r="I10179" s="3">
        <v>241.65</v>
      </c>
      <c r="J10179" s="3">
        <v>394.24</v>
      </c>
      <c r="L10179">
        <v>500</v>
      </c>
      <c r="M10179" t="s">
        <v>9505</v>
      </c>
      <c r="N10179" t="s">
        <v>3919</v>
      </c>
      <c r="O10179" t="s">
        <v>370</v>
      </c>
      <c r="P10179" t="str">
        <f>"32202"</f>
        <v>32202</v>
      </c>
    </row>
    <row r="10180" spans="1:16" x14ac:dyDescent="0.25">
      <c r="A10180" t="str">
        <f>"1160012F00233    00"</f>
        <v>1160012F00233    00</v>
      </c>
      <c r="B10180" t="s">
        <v>22479</v>
      </c>
      <c r="C10180" t="s">
        <v>22480</v>
      </c>
      <c r="E10180" t="s">
        <v>39</v>
      </c>
      <c r="F10180">
        <v>0</v>
      </c>
      <c r="G10180">
        <v>0</v>
      </c>
      <c r="H10180">
        <v>2</v>
      </c>
      <c r="I10180" s="3">
        <v>228.96</v>
      </c>
      <c r="J10180" s="3">
        <v>100.04</v>
      </c>
      <c r="L10180">
        <v>2101</v>
      </c>
      <c r="M10180" t="s">
        <v>22481</v>
      </c>
      <c r="N10180" t="s">
        <v>30</v>
      </c>
      <c r="O10180" t="s">
        <v>31</v>
      </c>
      <c r="P10180" t="str">
        <f>"15203"</f>
        <v>15203</v>
      </c>
    </row>
    <row r="10181" spans="1:16" x14ac:dyDescent="0.25">
      <c r="A10181" t="str">
        <f>"1160012F00245    00"</f>
        <v>1160012F00245    00</v>
      </c>
      <c r="B10181" t="s">
        <v>22482</v>
      </c>
      <c r="C10181" t="s">
        <v>22483</v>
      </c>
      <c r="D10181" t="s">
        <v>20</v>
      </c>
      <c r="E10181" t="s">
        <v>39</v>
      </c>
      <c r="F10181">
        <v>0</v>
      </c>
      <c r="G10181">
        <v>0</v>
      </c>
      <c r="H10181">
        <v>1</v>
      </c>
      <c r="I10181" s="3">
        <v>6478.51</v>
      </c>
      <c r="J10181" s="3">
        <v>0</v>
      </c>
      <c r="K10181" t="s">
        <v>1632</v>
      </c>
      <c r="L10181">
        <v>3001</v>
      </c>
      <c r="M10181" t="s">
        <v>330</v>
      </c>
      <c r="N10181" t="s">
        <v>331</v>
      </c>
      <c r="O10181" t="s">
        <v>108</v>
      </c>
      <c r="P10181" t="str">
        <f>"75063"</f>
        <v>75063</v>
      </c>
    </row>
    <row r="10182" spans="1:16" x14ac:dyDescent="0.25">
      <c r="A10182" t="str">
        <f>"1160012F00249    00"</f>
        <v>1160012F00249    00</v>
      </c>
      <c r="B10182" t="s">
        <v>22484</v>
      </c>
      <c r="C10182" t="s">
        <v>22485</v>
      </c>
      <c r="D10182" t="s">
        <v>20</v>
      </c>
      <c r="E10182" t="s">
        <v>39</v>
      </c>
      <c r="F10182">
        <v>0</v>
      </c>
      <c r="G10182">
        <v>0</v>
      </c>
      <c r="H10182">
        <v>2</v>
      </c>
      <c r="I10182" s="3">
        <v>991.12</v>
      </c>
      <c r="J10182" s="3">
        <v>0</v>
      </c>
      <c r="K10182" t="s">
        <v>22486</v>
      </c>
      <c r="M10182" t="s">
        <v>22487</v>
      </c>
      <c r="N10182" t="s">
        <v>30</v>
      </c>
      <c r="O10182" t="s">
        <v>31</v>
      </c>
      <c r="P10182" t="str">
        <f>"15217"</f>
        <v>15217</v>
      </c>
    </row>
    <row r="10183" spans="1:16" x14ac:dyDescent="0.25">
      <c r="A10183" t="str">
        <f>"1160012F00250    00"</f>
        <v>1160012F00250    00</v>
      </c>
      <c r="B10183" t="s">
        <v>22484</v>
      </c>
      <c r="C10183" t="s">
        <v>22488</v>
      </c>
      <c r="D10183" t="s">
        <v>20</v>
      </c>
      <c r="E10183" t="s">
        <v>39</v>
      </c>
      <c r="F10183">
        <v>0</v>
      </c>
      <c r="G10183">
        <v>0</v>
      </c>
      <c r="H10183">
        <v>2</v>
      </c>
      <c r="I10183" s="3">
        <v>991.12</v>
      </c>
      <c r="J10183" s="3">
        <v>0</v>
      </c>
      <c r="K10183" t="s">
        <v>22486</v>
      </c>
      <c r="M10183" t="s">
        <v>22487</v>
      </c>
      <c r="N10183" t="s">
        <v>30</v>
      </c>
      <c r="O10183" t="s">
        <v>31</v>
      </c>
      <c r="P10183" t="str">
        <f>"15217"</f>
        <v>15217</v>
      </c>
    </row>
    <row r="10184" spans="1:16" x14ac:dyDescent="0.25">
      <c r="A10184" t="str">
        <f>"1160012F00251    00"</f>
        <v>1160012F00251    00</v>
      </c>
      <c r="B10184" t="s">
        <v>22484</v>
      </c>
      <c r="C10184" t="s">
        <v>22489</v>
      </c>
      <c r="D10184" t="s">
        <v>20</v>
      </c>
      <c r="E10184" t="s">
        <v>39</v>
      </c>
      <c r="F10184">
        <v>0</v>
      </c>
      <c r="G10184">
        <v>0</v>
      </c>
      <c r="H10184">
        <v>2</v>
      </c>
      <c r="I10184" s="3">
        <v>991.12</v>
      </c>
      <c r="J10184" s="3">
        <v>0</v>
      </c>
      <c r="K10184" t="s">
        <v>22486</v>
      </c>
      <c r="M10184" t="s">
        <v>22487</v>
      </c>
      <c r="N10184" t="s">
        <v>30</v>
      </c>
      <c r="O10184" t="s">
        <v>31</v>
      </c>
      <c r="P10184" t="str">
        <f>"15217"</f>
        <v>15217</v>
      </c>
    </row>
    <row r="10185" spans="1:16" x14ac:dyDescent="0.25">
      <c r="A10185" t="str">
        <f>"1160012F00252    00"</f>
        <v>1160012F00252    00</v>
      </c>
      <c r="B10185" t="s">
        <v>22484</v>
      </c>
      <c r="C10185" t="s">
        <v>22490</v>
      </c>
      <c r="D10185" t="s">
        <v>20</v>
      </c>
      <c r="E10185" t="s">
        <v>39</v>
      </c>
      <c r="F10185">
        <v>0</v>
      </c>
      <c r="G10185">
        <v>0</v>
      </c>
      <c r="H10185">
        <v>2</v>
      </c>
      <c r="I10185" s="3">
        <v>857.72</v>
      </c>
      <c r="J10185" s="3">
        <v>0</v>
      </c>
      <c r="K10185" t="s">
        <v>22486</v>
      </c>
      <c r="M10185" t="s">
        <v>22487</v>
      </c>
      <c r="N10185" t="s">
        <v>30</v>
      </c>
      <c r="O10185" t="s">
        <v>31</v>
      </c>
      <c r="P10185" t="str">
        <f>"15217"</f>
        <v>15217</v>
      </c>
    </row>
    <row r="10186" spans="1:16" x14ac:dyDescent="0.25">
      <c r="A10186" t="str">
        <f>"1160012F00254    00"</f>
        <v>1160012F00254    00</v>
      </c>
      <c r="B10186" t="s">
        <v>22491</v>
      </c>
      <c r="C10186" t="s">
        <v>22492</v>
      </c>
      <c r="D10186" t="s">
        <v>20</v>
      </c>
      <c r="E10186" t="s">
        <v>39</v>
      </c>
      <c r="F10186">
        <v>0</v>
      </c>
      <c r="G10186">
        <v>0</v>
      </c>
      <c r="H10186">
        <v>2</v>
      </c>
      <c r="I10186" s="3">
        <v>3240.2</v>
      </c>
      <c r="J10186" s="3">
        <v>0</v>
      </c>
      <c r="K10186" t="s">
        <v>22493</v>
      </c>
      <c r="L10186">
        <v>7000</v>
      </c>
      <c r="M10186" t="s">
        <v>22494</v>
      </c>
      <c r="N10186" t="s">
        <v>22495</v>
      </c>
      <c r="O10186" t="s">
        <v>370</v>
      </c>
      <c r="P10186" t="str">
        <f>"32966"</f>
        <v>32966</v>
      </c>
    </row>
    <row r="10187" spans="1:16" x14ac:dyDescent="0.25">
      <c r="A10187" t="str">
        <f>"1160012F00256    00"</f>
        <v>1160012F00256    00</v>
      </c>
      <c r="B10187" t="s">
        <v>22496</v>
      </c>
      <c r="C10187" t="s">
        <v>22478</v>
      </c>
      <c r="D10187" t="s">
        <v>20</v>
      </c>
      <c r="E10187" t="s">
        <v>39</v>
      </c>
      <c r="F10187">
        <v>0</v>
      </c>
      <c r="G10187">
        <v>0</v>
      </c>
      <c r="H10187">
        <v>10</v>
      </c>
      <c r="I10187" s="3">
        <v>13174.51</v>
      </c>
      <c r="J10187" s="3">
        <v>5378.92</v>
      </c>
      <c r="M10187" t="s">
        <v>22497</v>
      </c>
      <c r="N10187" t="s">
        <v>30</v>
      </c>
      <c r="O10187" t="s">
        <v>31</v>
      </c>
      <c r="P10187" t="str">
        <f>"15203"</f>
        <v>15203</v>
      </c>
    </row>
    <row r="10188" spans="1:16" x14ac:dyDescent="0.25">
      <c r="A10188" t="str">
        <f>"1160012F00258    00"</f>
        <v>1160012F00258    00</v>
      </c>
      <c r="B10188" t="s">
        <v>22484</v>
      </c>
      <c r="C10188" t="s">
        <v>22498</v>
      </c>
      <c r="D10188" t="s">
        <v>20</v>
      </c>
      <c r="E10188" t="s">
        <v>39</v>
      </c>
      <c r="F10188">
        <v>0</v>
      </c>
      <c r="G10188">
        <v>0</v>
      </c>
      <c r="H10188">
        <v>2</v>
      </c>
      <c r="I10188" s="3">
        <v>991.12</v>
      </c>
      <c r="J10188" s="3">
        <v>0</v>
      </c>
      <c r="K10188" t="s">
        <v>22486</v>
      </c>
      <c r="M10188" t="s">
        <v>22487</v>
      </c>
      <c r="N10188" t="s">
        <v>30</v>
      </c>
      <c r="O10188" t="s">
        <v>31</v>
      </c>
      <c r="P10188" t="str">
        <f>"15217"</f>
        <v>15217</v>
      </c>
    </row>
    <row r="10189" spans="1:16" x14ac:dyDescent="0.25">
      <c r="A10189" t="str">
        <f>"1160012F00259    00"</f>
        <v>1160012F00259    00</v>
      </c>
      <c r="B10189" t="s">
        <v>22484</v>
      </c>
      <c r="C10189" t="s">
        <v>22499</v>
      </c>
      <c r="D10189" t="s">
        <v>20</v>
      </c>
      <c r="E10189" t="s">
        <v>39</v>
      </c>
      <c r="F10189">
        <v>0</v>
      </c>
      <c r="G10189">
        <v>0</v>
      </c>
      <c r="H10189">
        <v>2</v>
      </c>
      <c r="I10189" s="3">
        <v>991.12</v>
      </c>
      <c r="J10189" s="3">
        <v>0</v>
      </c>
      <c r="K10189" t="s">
        <v>22486</v>
      </c>
      <c r="M10189" t="s">
        <v>22487</v>
      </c>
      <c r="N10189" t="s">
        <v>30</v>
      </c>
      <c r="O10189" t="s">
        <v>31</v>
      </c>
      <c r="P10189" t="str">
        <f>"15217"</f>
        <v>15217</v>
      </c>
    </row>
    <row r="10190" spans="1:16" x14ac:dyDescent="0.25">
      <c r="A10190" t="str">
        <f>"1160012F00260    00"</f>
        <v>1160012F00260    00</v>
      </c>
      <c r="B10190" t="s">
        <v>22484</v>
      </c>
      <c r="C10190" t="s">
        <v>22500</v>
      </c>
      <c r="D10190" t="s">
        <v>20</v>
      </c>
      <c r="E10190" t="s">
        <v>39</v>
      </c>
      <c r="F10190">
        <v>0</v>
      </c>
      <c r="G10190">
        <v>0</v>
      </c>
      <c r="H10190">
        <v>2</v>
      </c>
      <c r="I10190" s="3">
        <v>991.12</v>
      </c>
      <c r="J10190" s="3">
        <v>0</v>
      </c>
      <c r="K10190" t="s">
        <v>22486</v>
      </c>
      <c r="M10190" t="s">
        <v>22487</v>
      </c>
      <c r="N10190" t="s">
        <v>30</v>
      </c>
      <c r="O10190" t="s">
        <v>31</v>
      </c>
      <c r="P10190" t="str">
        <f>"15217"</f>
        <v>15217</v>
      </c>
    </row>
    <row r="10191" spans="1:16" x14ac:dyDescent="0.25">
      <c r="A10191" t="str">
        <f>"1160012F00261    00"</f>
        <v>1160012F00261    00</v>
      </c>
      <c r="B10191" t="s">
        <v>22484</v>
      </c>
      <c r="C10191" t="s">
        <v>22501</v>
      </c>
      <c r="D10191" t="s">
        <v>20</v>
      </c>
      <c r="E10191" t="s">
        <v>39</v>
      </c>
      <c r="F10191">
        <v>0</v>
      </c>
      <c r="G10191">
        <v>0</v>
      </c>
      <c r="H10191">
        <v>2</v>
      </c>
      <c r="I10191" s="3">
        <v>857.72</v>
      </c>
      <c r="J10191" s="3">
        <v>0</v>
      </c>
      <c r="K10191" t="s">
        <v>22486</v>
      </c>
      <c r="M10191" t="s">
        <v>22487</v>
      </c>
      <c r="N10191" t="s">
        <v>30</v>
      </c>
      <c r="O10191" t="s">
        <v>31</v>
      </c>
      <c r="P10191" t="str">
        <f>"15217"</f>
        <v>15217</v>
      </c>
    </row>
    <row r="10192" spans="1:16" x14ac:dyDescent="0.25">
      <c r="A10192" t="str">
        <f>"1160012F00296    00"</f>
        <v>1160012F00296    00</v>
      </c>
      <c r="B10192" t="s">
        <v>22502</v>
      </c>
      <c r="C10192" t="s">
        <v>22503</v>
      </c>
      <c r="E10192" t="s">
        <v>21</v>
      </c>
      <c r="F10192">
        <v>0</v>
      </c>
      <c r="G10192">
        <v>0</v>
      </c>
      <c r="H10192">
        <v>1</v>
      </c>
      <c r="I10192" s="3">
        <v>462.83</v>
      </c>
      <c r="J10192" s="3">
        <v>219.83</v>
      </c>
      <c r="L10192">
        <v>1901</v>
      </c>
      <c r="M10192" t="s">
        <v>22504</v>
      </c>
      <c r="N10192" t="s">
        <v>1061</v>
      </c>
      <c r="O10192" t="s">
        <v>495</v>
      </c>
      <c r="P10192" t="str">
        <f>"90067"</f>
        <v>90067</v>
      </c>
    </row>
    <row r="10193" spans="1:16" x14ac:dyDescent="0.25">
      <c r="A10193" t="str">
        <f>"1160012F00308    00"</f>
        <v>1160012F00308    00</v>
      </c>
      <c r="B10193" t="s">
        <v>22505</v>
      </c>
      <c r="C10193" t="s">
        <v>22506</v>
      </c>
      <c r="E10193" t="s">
        <v>39</v>
      </c>
      <c r="F10193">
        <v>0</v>
      </c>
      <c r="G10193">
        <v>0</v>
      </c>
      <c r="H10193">
        <v>2</v>
      </c>
      <c r="I10193" s="3">
        <v>313.77</v>
      </c>
      <c r="J10193" s="3">
        <v>30.5</v>
      </c>
      <c r="K10193" t="s">
        <v>5141</v>
      </c>
      <c r="L10193">
        <v>1</v>
      </c>
      <c r="M10193" t="s">
        <v>5142</v>
      </c>
      <c r="N10193" t="s">
        <v>5143</v>
      </c>
      <c r="O10193" t="s">
        <v>3486</v>
      </c>
      <c r="P10193" t="str">
        <f>"60047"</f>
        <v>60047</v>
      </c>
    </row>
    <row r="10194" spans="1:16" x14ac:dyDescent="0.25">
      <c r="A10194" t="str">
        <f>"1160012F00330    00"</f>
        <v>1160012F00330    00</v>
      </c>
      <c r="B10194" t="s">
        <v>22507</v>
      </c>
      <c r="C10194" t="s">
        <v>22508</v>
      </c>
      <c r="E10194" t="s">
        <v>39</v>
      </c>
      <c r="F10194">
        <v>0</v>
      </c>
      <c r="G10194">
        <v>0</v>
      </c>
      <c r="H10194">
        <v>1</v>
      </c>
      <c r="I10194" s="3">
        <v>421.94</v>
      </c>
      <c r="J10194" s="3">
        <v>116.03</v>
      </c>
      <c r="K10194" t="s">
        <v>22509</v>
      </c>
      <c r="L10194">
        <v>3001</v>
      </c>
      <c r="M10194" t="s">
        <v>330</v>
      </c>
      <c r="N10194" t="s">
        <v>331</v>
      </c>
      <c r="O10194" t="s">
        <v>108</v>
      </c>
      <c r="P10194" t="str">
        <f>"75063"</f>
        <v>75063</v>
      </c>
    </row>
    <row r="10195" spans="1:16" x14ac:dyDescent="0.25">
      <c r="A10195" t="str">
        <f>"1160012G00006    00"</f>
        <v>1160012G00006    00</v>
      </c>
      <c r="B10195" t="s">
        <v>22510</v>
      </c>
      <c r="C10195" t="s">
        <v>22511</v>
      </c>
      <c r="D10195" t="s">
        <v>20</v>
      </c>
      <c r="E10195" t="s">
        <v>21</v>
      </c>
      <c r="F10195">
        <v>0</v>
      </c>
      <c r="G10195">
        <v>0</v>
      </c>
      <c r="H10195">
        <v>2</v>
      </c>
      <c r="I10195" s="3">
        <v>3685.92</v>
      </c>
      <c r="J10195" s="3">
        <v>0</v>
      </c>
      <c r="K10195" t="s">
        <v>1483</v>
      </c>
      <c r="L10195">
        <v>2333</v>
      </c>
      <c r="M10195" t="s">
        <v>1484</v>
      </c>
      <c r="N10195" t="s">
        <v>30</v>
      </c>
      <c r="O10195" t="s">
        <v>31</v>
      </c>
      <c r="P10195" t="str">
        <f>"15203"</f>
        <v>15203</v>
      </c>
    </row>
    <row r="10196" spans="1:16" x14ac:dyDescent="0.25">
      <c r="A10196" t="str">
        <f>"1160012G00022    00"</f>
        <v>1160012G00022    00</v>
      </c>
      <c r="B10196" t="s">
        <v>22512</v>
      </c>
      <c r="C10196" t="s">
        <v>22513</v>
      </c>
      <c r="D10196" t="s">
        <v>57</v>
      </c>
      <c r="E10196" t="s">
        <v>21</v>
      </c>
      <c r="F10196">
        <v>0</v>
      </c>
      <c r="G10196">
        <v>0</v>
      </c>
      <c r="H10196">
        <v>2</v>
      </c>
      <c r="I10196" s="3">
        <v>3930.2</v>
      </c>
      <c r="J10196" s="3">
        <v>49.12</v>
      </c>
      <c r="K10196" t="s">
        <v>22514</v>
      </c>
      <c r="L10196">
        <v>100</v>
      </c>
      <c r="M10196" t="s">
        <v>22515</v>
      </c>
      <c r="N10196" t="s">
        <v>30</v>
      </c>
      <c r="O10196" t="s">
        <v>31</v>
      </c>
      <c r="P10196" t="str">
        <f>"15212"</f>
        <v>15212</v>
      </c>
    </row>
    <row r="10197" spans="1:16" x14ac:dyDescent="0.25">
      <c r="A10197" t="str">
        <f>"1160012G00076C   00"</f>
        <v>1160012G00076C   00</v>
      </c>
      <c r="B10197" t="s">
        <v>22516</v>
      </c>
      <c r="C10197" t="s">
        <v>22517</v>
      </c>
      <c r="E10197" t="s">
        <v>39</v>
      </c>
      <c r="F10197">
        <v>0</v>
      </c>
      <c r="G10197">
        <v>0</v>
      </c>
      <c r="H10197">
        <v>1</v>
      </c>
      <c r="I10197" s="3">
        <v>19.18</v>
      </c>
      <c r="J10197" s="3">
        <v>0.48</v>
      </c>
      <c r="K10197" t="s">
        <v>22518</v>
      </c>
      <c r="L10197">
        <v>700</v>
      </c>
      <c r="M10197" t="s">
        <v>22519</v>
      </c>
      <c r="N10197" t="s">
        <v>712</v>
      </c>
      <c r="O10197" t="s">
        <v>31</v>
      </c>
      <c r="P10197" t="str">
        <f>"16148"</f>
        <v>16148</v>
      </c>
    </row>
    <row r="10198" spans="1:16" x14ac:dyDescent="0.25">
      <c r="A10198" t="str">
        <f>"1160012G00112    00"</f>
        <v>1160012G00112    00</v>
      </c>
      <c r="B10198" t="s">
        <v>22520</v>
      </c>
      <c r="C10198" t="s">
        <v>22521</v>
      </c>
      <c r="E10198" t="s">
        <v>39</v>
      </c>
      <c r="F10198">
        <v>0</v>
      </c>
      <c r="G10198">
        <v>0</v>
      </c>
      <c r="H10198">
        <v>1</v>
      </c>
      <c r="I10198" s="3">
        <v>816.84</v>
      </c>
      <c r="J10198" s="3">
        <v>810</v>
      </c>
      <c r="K10198" t="s">
        <v>759</v>
      </c>
      <c r="L10198">
        <v>3001</v>
      </c>
      <c r="M10198" t="s">
        <v>404</v>
      </c>
      <c r="N10198" t="s">
        <v>331</v>
      </c>
      <c r="O10198" t="s">
        <v>108</v>
      </c>
      <c r="P10198" t="str">
        <f>"75063"</f>
        <v>75063</v>
      </c>
    </row>
    <row r="10199" spans="1:16" x14ac:dyDescent="0.25">
      <c r="A10199" t="str">
        <f>"1160012G00113    00"</f>
        <v>1160012G00113    00</v>
      </c>
      <c r="B10199" t="s">
        <v>22522</v>
      </c>
      <c r="C10199" t="s">
        <v>22523</v>
      </c>
      <c r="D10199" t="s">
        <v>20</v>
      </c>
      <c r="E10199" t="s">
        <v>39</v>
      </c>
      <c r="F10199">
        <v>0</v>
      </c>
      <c r="G10199">
        <v>0</v>
      </c>
      <c r="H10199">
        <v>2</v>
      </c>
      <c r="I10199" s="3">
        <v>8955.5</v>
      </c>
      <c r="J10199" s="3">
        <v>0</v>
      </c>
      <c r="K10199" t="s">
        <v>1632</v>
      </c>
      <c r="L10199">
        <v>3001</v>
      </c>
      <c r="M10199" t="s">
        <v>330</v>
      </c>
      <c r="N10199" t="s">
        <v>331</v>
      </c>
      <c r="O10199" t="s">
        <v>108</v>
      </c>
      <c r="P10199" t="str">
        <f>"75063"</f>
        <v>75063</v>
      </c>
    </row>
    <row r="10200" spans="1:16" x14ac:dyDescent="0.25">
      <c r="A10200" t="str">
        <f>"1160012G00124    00"</f>
        <v>1160012G00124    00</v>
      </c>
      <c r="B10200" t="s">
        <v>22524</v>
      </c>
      <c r="C10200" t="s">
        <v>22525</v>
      </c>
      <c r="E10200" t="s">
        <v>39</v>
      </c>
      <c r="F10200">
        <v>0</v>
      </c>
      <c r="G10200">
        <v>0</v>
      </c>
      <c r="H10200">
        <v>3</v>
      </c>
      <c r="I10200" s="3">
        <v>909.76</v>
      </c>
      <c r="J10200" s="3">
        <v>773.18</v>
      </c>
      <c r="L10200">
        <v>2317</v>
      </c>
      <c r="M10200" t="s">
        <v>22526</v>
      </c>
      <c r="N10200" t="s">
        <v>30</v>
      </c>
      <c r="O10200" t="s">
        <v>31</v>
      </c>
      <c r="P10200" t="str">
        <f>"15203"</f>
        <v>15203</v>
      </c>
    </row>
    <row r="10201" spans="1:16" x14ac:dyDescent="0.25">
      <c r="A10201" t="str">
        <f>"1160012G00180    00"</f>
        <v>1160012G00180    00</v>
      </c>
      <c r="B10201" t="s">
        <v>22527</v>
      </c>
      <c r="C10201" t="s">
        <v>22528</v>
      </c>
      <c r="D10201" t="s">
        <v>20</v>
      </c>
      <c r="E10201" t="s">
        <v>21</v>
      </c>
      <c r="F10201">
        <v>0</v>
      </c>
      <c r="G10201">
        <v>0</v>
      </c>
      <c r="H10201">
        <v>19</v>
      </c>
      <c r="I10201" s="3">
        <v>78233.960000000006</v>
      </c>
      <c r="J10201" s="3">
        <v>69345.13</v>
      </c>
      <c r="M10201" t="s">
        <v>22529</v>
      </c>
      <c r="N10201" t="s">
        <v>3623</v>
      </c>
      <c r="O10201" t="s">
        <v>31</v>
      </c>
      <c r="P10201" t="str">
        <f>"17105"</f>
        <v>17105</v>
      </c>
    </row>
    <row r="10202" spans="1:16" x14ac:dyDescent="0.25">
      <c r="A10202" t="str">
        <f>"1160012G00180000101"</f>
        <v>1160012G00180000101</v>
      </c>
      <c r="B10202" t="s">
        <v>22530</v>
      </c>
      <c r="C10202" t="s">
        <v>22531</v>
      </c>
      <c r="E10202" t="s">
        <v>513</v>
      </c>
      <c r="F10202">
        <v>0</v>
      </c>
      <c r="G10202">
        <v>0</v>
      </c>
      <c r="H10202">
        <v>2</v>
      </c>
      <c r="I10202" s="3">
        <v>1279.0999999999999</v>
      </c>
      <c r="J10202" s="3">
        <v>1940.56</v>
      </c>
      <c r="L10202">
        <v>500</v>
      </c>
      <c r="M10202" t="s">
        <v>22532</v>
      </c>
      <c r="N10202" t="s">
        <v>3919</v>
      </c>
      <c r="O10202" t="s">
        <v>370</v>
      </c>
      <c r="P10202" t="str">
        <f>"32202"</f>
        <v>32202</v>
      </c>
    </row>
    <row r="10203" spans="1:16" x14ac:dyDescent="0.25">
      <c r="A10203" t="str">
        <f>"1160012G00195    00"</f>
        <v>1160012G00195    00</v>
      </c>
      <c r="B10203" t="s">
        <v>22533</v>
      </c>
      <c r="C10203" t="s">
        <v>22534</v>
      </c>
      <c r="E10203" t="s">
        <v>21</v>
      </c>
      <c r="F10203">
        <v>0</v>
      </c>
      <c r="G10203">
        <v>0</v>
      </c>
      <c r="H10203">
        <v>2</v>
      </c>
      <c r="I10203" s="3">
        <v>3923.39</v>
      </c>
      <c r="J10203" s="3">
        <v>5952.23</v>
      </c>
      <c r="K10203" t="s">
        <v>1008</v>
      </c>
      <c r="P10203" t="str">
        <f>""</f>
        <v/>
      </c>
    </row>
    <row r="10204" spans="1:16" x14ac:dyDescent="0.25">
      <c r="A10204" t="str">
        <f>"1160012H00007    00"</f>
        <v>1160012H00007    00</v>
      </c>
      <c r="B10204" t="s">
        <v>22535</v>
      </c>
      <c r="C10204" t="s">
        <v>22536</v>
      </c>
      <c r="D10204" t="s">
        <v>20</v>
      </c>
      <c r="E10204" t="s">
        <v>39</v>
      </c>
      <c r="F10204">
        <v>0</v>
      </c>
      <c r="G10204">
        <v>0</v>
      </c>
      <c r="H10204">
        <v>2</v>
      </c>
      <c r="I10204" s="3">
        <v>2257.34</v>
      </c>
      <c r="J10204" s="3">
        <v>0</v>
      </c>
      <c r="L10204">
        <v>2421</v>
      </c>
      <c r="M10204" t="s">
        <v>22537</v>
      </c>
      <c r="N10204" t="s">
        <v>30</v>
      </c>
      <c r="O10204" t="s">
        <v>31</v>
      </c>
      <c r="P10204" t="str">
        <f>"15203"</f>
        <v>15203</v>
      </c>
    </row>
    <row r="10205" spans="1:16" x14ac:dyDescent="0.25">
      <c r="A10205" t="str">
        <f>"1160012H00009    00"</f>
        <v>1160012H00009    00</v>
      </c>
      <c r="B10205" t="s">
        <v>22538</v>
      </c>
      <c r="C10205" t="s">
        <v>22539</v>
      </c>
      <c r="D10205" t="s">
        <v>20</v>
      </c>
      <c r="E10205" t="s">
        <v>39</v>
      </c>
      <c r="F10205">
        <v>0</v>
      </c>
      <c r="G10205">
        <v>0</v>
      </c>
      <c r="H10205">
        <v>2</v>
      </c>
      <c r="I10205" s="3">
        <v>3796.78</v>
      </c>
      <c r="J10205" s="3">
        <v>0</v>
      </c>
      <c r="L10205">
        <v>5536</v>
      </c>
      <c r="M10205" t="s">
        <v>18614</v>
      </c>
      <c r="N10205" t="s">
        <v>30</v>
      </c>
      <c r="O10205" t="s">
        <v>31</v>
      </c>
      <c r="P10205" t="str">
        <f>"15217"</f>
        <v>15217</v>
      </c>
    </row>
    <row r="10206" spans="1:16" x14ac:dyDescent="0.25">
      <c r="A10206" t="str">
        <f>"1160012H00260    00"</f>
        <v>1160012H00260    00</v>
      </c>
      <c r="B10206" t="s">
        <v>218</v>
      </c>
      <c r="C10206" t="s">
        <v>22540</v>
      </c>
      <c r="E10206" t="s">
        <v>207</v>
      </c>
      <c r="F10206">
        <v>0</v>
      </c>
      <c r="G10206">
        <v>0</v>
      </c>
      <c r="H10206">
        <v>6</v>
      </c>
      <c r="I10206" s="3">
        <v>451.18</v>
      </c>
      <c r="J10206" s="3">
        <v>200.76</v>
      </c>
      <c r="K10206" t="s">
        <v>220</v>
      </c>
      <c r="L10206">
        <v>412</v>
      </c>
      <c r="M10206" t="s">
        <v>221</v>
      </c>
      <c r="N10206" t="s">
        <v>30</v>
      </c>
      <c r="O10206" t="s">
        <v>31</v>
      </c>
      <c r="P10206" t="str">
        <f>"15219"</f>
        <v>15219</v>
      </c>
    </row>
    <row r="10207" spans="1:16" x14ac:dyDescent="0.25">
      <c r="A10207" t="str">
        <f>"1160012H00262    00"</f>
        <v>1160012H00262    00</v>
      </c>
      <c r="B10207" t="s">
        <v>218</v>
      </c>
      <c r="C10207" t="s">
        <v>22541</v>
      </c>
      <c r="E10207" t="s">
        <v>207</v>
      </c>
      <c r="F10207">
        <v>0</v>
      </c>
      <c r="G10207">
        <v>0</v>
      </c>
      <c r="H10207">
        <v>2</v>
      </c>
      <c r="I10207" s="3">
        <v>29.04</v>
      </c>
      <c r="J10207" s="3">
        <v>18.75</v>
      </c>
      <c r="K10207" t="s">
        <v>220</v>
      </c>
      <c r="L10207">
        <v>412</v>
      </c>
      <c r="M10207" t="s">
        <v>221</v>
      </c>
      <c r="N10207" t="s">
        <v>30</v>
      </c>
      <c r="O10207" t="s">
        <v>31</v>
      </c>
      <c r="P10207" t="str">
        <f>"15219"</f>
        <v>15219</v>
      </c>
    </row>
    <row r="10208" spans="1:16" x14ac:dyDescent="0.25">
      <c r="A10208" t="str">
        <f>"1160012H00265000200"</f>
        <v>1160012H00265000200</v>
      </c>
      <c r="B10208" t="s">
        <v>218</v>
      </c>
      <c r="C10208" t="s">
        <v>22542</v>
      </c>
      <c r="D10208" t="s">
        <v>20</v>
      </c>
      <c r="E10208" t="s">
        <v>21</v>
      </c>
      <c r="F10208">
        <v>0</v>
      </c>
      <c r="G10208">
        <v>0</v>
      </c>
      <c r="H10208">
        <v>2</v>
      </c>
      <c r="I10208" s="3">
        <v>14693.64</v>
      </c>
      <c r="J10208" s="3">
        <v>1405.86</v>
      </c>
      <c r="K10208" t="s">
        <v>220</v>
      </c>
      <c r="L10208">
        <v>412</v>
      </c>
      <c r="M10208" t="s">
        <v>221</v>
      </c>
      <c r="N10208" t="s">
        <v>30</v>
      </c>
      <c r="O10208" t="s">
        <v>31</v>
      </c>
      <c r="P10208" t="str">
        <f>"15219"</f>
        <v>15219</v>
      </c>
    </row>
    <row r="10209" spans="1:16" x14ac:dyDescent="0.25">
      <c r="A10209" t="str">
        <f>"1160012H00266    00"</f>
        <v>1160012H00266    00</v>
      </c>
      <c r="B10209" t="s">
        <v>218</v>
      </c>
      <c r="C10209" t="s">
        <v>22543</v>
      </c>
      <c r="D10209" t="s">
        <v>20</v>
      </c>
      <c r="E10209" t="s">
        <v>207</v>
      </c>
      <c r="F10209">
        <v>0</v>
      </c>
      <c r="G10209">
        <v>0</v>
      </c>
      <c r="H10209">
        <v>8</v>
      </c>
      <c r="I10209" s="3">
        <v>14315.07</v>
      </c>
      <c r="J10209" s="3">
        <v>4684.1099999999997</v>
      </c>
      <c r="K10209" t="s">
        <v>220</v>
      </c>
      <c r="L10209">
        <v>412</v>
      </c>
      <c r="M10209" t="s">
        <v>221</v>
      </c>
      <c r="N10209" t="s">
        <v>30</v>
      </c>
      <c r="O10209" t="s">
        <v>31</v>
      </c>
      <c r="P10209" t="str">
        <f>"15219"</f>
        <v>15219</v>
      </c>
    </row>
    <row r="10210" spans="1:16" x14ac:dyDescent="0.25">
      <c r="A10210" t="str">
        <f>"1160012H00268    00"</f>
        <v>1160012H00268    00</v>
      </c>
      <c r="B10210" t="s">
        <v>218</v>
      </c>
      <c r="C10210" t="s">
        <v>22541</v>
      </c>
      <c r="E10210" t="s">
        <v>207</v>
      </c>
      <c r="F10210">
        <v>0</v>
      </c>
      <c r="G10210">
        <v>0</v>
      </c>
      <c r="H10210">
        <v>6</v>
      </c>
      <c r="I10210" s="3">
        <v>6399.72</v>
      </c>
      <c r="J10210" s="3">
        <v>2816.29</v>
      </c>
      <c r="K10210" t="s">
        <v>220</v>
      </c>
      <c r="L10210">
        <v>412</v>
      </c>
      <c r="M10210" t="s">
        <v>221</v>
      </c>
      <c r="N10210" t="s">
        <v>30</v>
      </c>
      <c r="O10210" t="s">
        <v>31</v>
      </c>
      <c r="P10210" t="str">
        <f>"15219"</f>
        <v>15219</v>
      </c>
    </row>
    <row r="10211" spans="1:16" x14ac:dyDescent="0.25">
      <c r="A10211" t="str">
        <f>"1160012K00040    00"</f>
        <v>1160012K00040    00</v>
      </c>
      <c r="B10211" t="s">
        <v>1871</v>
      </c>
      <c r="C10211" t="s">
        <v>22544</v>
      </c>
      <c r="D10211" t="s">
        <v>20</v>
      </c>
      <c r="E10211" t="s">
        <v>21</v>
      </c>
      <c r="F10211">
        <v>0</v>
      </c>
      <c r="G10211">
        <v>0</v>
      </c>
      <c r="H10211">
        <v>4</v>
      </c>
      <c r="I10211" s="3">
        <v>13357.83</v>
      </c>
      <c r="J10211" s="3">
        <v>1338.92</v>
      </c>
      <c r="K10211" t="s">
        <v>1802</v>
      </c>
      <c r="L10211">
        <v>901</v>
      </c>
      <c r="M10211" t="s">
        <v>1503</v>
      </c>
      <c r="N10211" t="s">
        <v>494</v>
      </c>
      <c r="O10211" t="s">
        <v>495</v>
      </c>
      <c r="P10211" t="str">
        <f>"91768"</f>
        <v>91768</v>
      </c>
    </row>
    <row r="10212" spans="1:16" x14ac:dyDescent="0.25">
      <c r="A10212" t="str">
        <f>"1160012K00044    00"</f>
        <v>1160012K00044    00</v>
      </c>
      <c r="B10212" t="s">
        <v>20014</v>
      </c>
      <c r="C10212" t="s">
        <v>22545</v>
      </c>
      <c r="D10212" t="s">
        <v>20</v>
      </c>
      <c r="E10212" t="s">
        <v>21</v>
      </c>
      <c r="F10212">
        <v>0</v>
      </c>
      <c r="G10212">
        <v>0</v>
      </c>
      <c r="H10212">
        <v>2</v>
      </c>
      <c r="I10212" s="3">
        <v>14481.8</v>
      </c>
      <c r="J10212" s="3">
        <v>0</v>
      </c>
      <c r="K10212" t="s">
        <v>1483</v>
      </c>
      <c r="L10212">
        <v>2333</v>
      </c>
      <c r="M10212" t="s">
        <v>1484</v>
      </c>
      <c r="N10212" t="s">
        <v>30</v>
      </c>
      <c r="O10212" t="s">
        <v>31</v>
      </c>
      <c r="P10212" t="str">
        <f>"15203"</f>
        <v>15203</v>
      </c>
    </row>
    <row r="10213" spans="1:16" x14ac:dyDescent="0.25">
      <c r="A10213" t="str">
        <f>"1160012K00055000100"</f>
        <v>1160012K00055000100</v>
      </c>
      <c r="B10213" t="s">
        <v>5881</v>
      </c>
      <c r="C10213" t="s">
        <v>22546</v>
      </c>
      <c r="D10213" t="s">
        <v>20</v>
      </c>
      <c r="E10213" t="s">
        <v>21</v>
      </c>
      <c r="F10213">
        <v>0</v>
      </c>
      <c r="G10213">
        <v>0</v>
      </c>
      <c r="H10213">
        <v>1</v>
      </c>
      <c r="I10213" s="3">
        <v>171.24</v>
      </c>
      <c r="J10213" s="3">
        <v>68.489999999999995</v>
      </c>
      <c r="K10213" t="s">
        <v>5883</v>
      </c>
      <c r="M10213" t="s">
        <v>5884</v>
      </c>
      <c r="N10213" t="s">
        <v>30</v>
      </c>
      <c r="O10213" t="s">
        <v>31</v>
      </c>
      <c r="P10213" t="str">
        <f>"15235"</f>
        <v>15235</v>
      </c>
    </row>
    <row r="10214" spans="1:16" x14ac:dyDescent="0.25">
      <c r="A10214" t="str">
        <f>"1160012K00064    00"</f>
        <v>1160012K00064    00</v>
      </c>
      <c r="B10214" t="s">
        <v>22547</v>
      </c>
      <c r="C10214" t="s">
        <v>22548</v>
      </c>
      <c r="D10214" t="s">
        <v>20</v>
      </c>
      <c r="E10214" t="s">
        <v>39</v>
      </c>
      <c r="F10214">
        <v>0</v>
      </c>
      <c r="G10214">
        <v>0</v>
      </c>
      <c r="H10214">
        <v>3</v>
      </c>
      <c r="I10214" s="3">
        <v>617.54999999999995</v>
      </c>
      <c r="J10214" s="3">
        <v>41.17</v>
      </c>
      <c r="K10214" t="s">
        <v>22549</v>
      </c>
      <c r="L10214">
        <v>4400</v>
      </c>
      <c r="M10214" t="s">
        <v>22550</v>
      </c>
      <c r="N10214" t="s">
        <v>295</v>
      </c>
      <c r="O10214" t="s">
        <v>31</v>
      </c>
      <c r="P10214" t="str">
        <f>"15146"</f>
        <v>15146</v>
      </c>
    </row>
    <row r="10215" spans="1:16" x14ac:dyDescent="0.25">
      <c r="A10215" t="str">
        <f>"1160012K00067    00"</f>
        <v>1160012K00067    00</v>
      </c>
      <c r="B10215" t="s">
        <v>22551</v>
      </c>
      <c r="C10215" t="s">
        <v>22552</v>
      </c>
      <c r="E10215" t="s">
        <v>39</v>
      </c>
      <c r="F10215">
        <v>0</v>
      </c>
      <c r="G10215">
        <v>0</v>
      </c>
      <c r="H10215">
        <v>1</v>
      </c>
      <c r="I10215" s="3">
        <v>49.51</v>
      </c>
      <c r="J10215" s="3">
        <v>0</v>
      </c>
      <c r="K10215" t="s">
        <v>4947</v>
      </c>
      <c r="L10215">
        <v>3001</v>
      </c>
      <c r="M10215" t="s">
        <v>330</v>
      </c>
      <c r="N10215" t="s">
        <v>331</v>
      </c>
      <c r="O10215" t="s">
        <v>108</v>
      </c>
      <c r="P10215" t="str">
        <f>"75063"</f>
        <v>75063</v>
      </c>
    </row>
    <row r="10216" spans="1:16" x14ac:dyDescent="0.25">
      <c r="A10216" t="str">
        <f>"1160012K00068    00"</f>
        <v>1160012K00068    00</v>
      </c>
      <c r="B10216" t="s">
        <v>22547</v>
      </c>
      <c r="C10216" t="s">
        <v>22553</v>
      </c>
      <c r="D10216" t="s">
        <v>20</v>
      </c>
      <c r="E10216" t="s">
        <v>39</v>
      </c>
      <c r="F10216">
        <v>0</v>
      </c>
      <c r="G10216">
        <v>0</v>
      </c>
      <c r="H10216">
        <v>3</v>
      </c>
      <c r="I10216" s="3">
        <v>20167.439999999999</v>
      </c>
      <c r="J10216" s="3">
        <v>1344.45</v>
      </c>
      <c r="K10216" t="s">
        <v>22549</v>
      </c>
      <c r="L10216">
        <v>4400</v>
      </c>
      <c r="M10216" t="s">
        <v>22550</v>
      </c>
      <c r="N10216" t="s">
        <v>295</v>
      </c>
      <c r="O10216" t="s">
        <v>31</v>
      </c>
      <c r="P10216" t="str">
        <f>"15146"</f>
        <v>15146</v>
      </c>
    </row>
    <row r="10217" spans="1:16" x14ac:dyDescent="0.25">
      <c r="A10217" t="str">
        <f>"1160012K00178000800"</f>
        <v>1160012K00178000800</v>
      </c>
      <c r="B10217" t="s">
        <v>22554</v>
      </c>
      <c r="C10217" t="s">
        <v>22555</v>
      </c>
      <c r="D10217" t="s">
        <v>20</v>
      </c>
      <c r="E10217" t="s">
        <v>39</v>
      </c>
      <c r="F10217">
        <v>0</v>
      </c>
      <c r="G10217">
        <v>0</v>
      </c>
      <c r="H10217">
        <v>1</v>
      </c>
      <c r="I10217" s="3">
        <v>3481.15</v>
      </c>
      <c r="J10217" s="3">
        <v>0</v>
      </c>
      <c r="K10217" t="s">
        <v>22556</v>
      </c>
      <c r="L10217">
        <v>2132</v>
      </c>
      <c r="M10217" t="s">
        <v>22557</v>
      </c>
      <c r="N10217" t="s">
        <v>30</v>
      </c>
      <c r="O10217" t="s">
        <v>31</v>
      </c>
      <c r="P10217" t="str">
        <f>"15203"</f>
        <v>15203</v>
      </c>
    </row>
    <row r="10218" spans="1:16" x14ac:dyDescent="0.25">
      <c r="A10218" t="str">
        <f>"1160012K001783   00"</f>
        <v>1160012K001783   00</v>
      </c>
      <c r="B10218" t="s">
        <v>22558</v>
      </c>
      <c r="C10218" t="s">
        <v>22559</v>
      </c>
      <c r="D10218" t="s">
        <v>20</v>
      </c>
      <c r="E10218" t="s">
        <v>39</v>
      </c>
      <c r="F10218">
        <v>0</v>
      </c>
      <c r="G10218">
        <v>0</v>
      </c>
      <c r="H10218">
        <v>1</v>
      </c>
      <c r="I10218" s="3">
        <v>4563.4399999999996</v>
      </c>
      <c r="J10218" s="3">
        <v>0</v>
      </c>
      <c r="K10218" t="s">
        <v>22560</v>
      </c>
      <c r="L10218">
        <v>2132</v>
      </c>
      <c r="M10218" t="s">
        <v>22561</v>
      </c>
      <c r="N10218" t="s">
        <v>30</v>
      </c>
      <c r="O10218" t="s">
        <v>31</v>
      </c>
      <c r="P10218" t="str">
        <f>"15203"</f>
        <v>15203</v>
      </c>
    </row>
    <row r="10219" spans="1:16" x14ac:dyDescent="0.25">
      <c r="A10219" t="str">
        <f>"1160012K001991B  00"</f>
        <v>1160012K001991B  00</v>
      </c>
      <c r="B10219" t="s">
        <v>22562</v>
      </c>
      <c r="C10219" t="s">
        <v>22563</v>
      </c>
      <c r="E10219" t="s">
        <v>39</v>
      </c>
      <c r="F10219">
        <v>0</v>
      </c>
      <c r="G10219">
        <v>0</v>
      </c>
      <c r="H10219">
        <v>1</v>
      </c>
      <c r="I10219" s="3">
        <v>68.25</v>
      </c>
      <c r="J10219" s="3">
        <v>0</v>
      </c>
      <c r="L10219">
        <v>130</v>
      </c>
      <c r="M10219" t="s">
        <v>22564</v>
      </c>
      <c r="N10219" t="s">
        <v>30</v>
      </c>
      <c r="O10219" t="s">
        <v>31</v>
      </c>
      <c r="P10219" t="str">
        <f>"15203"</f>
        <v>15203</v>
      </c>
    </row>
    <row r="10220" spans="1:16" x14ac:dyDescent="0.25">
      <c r="A10220" t="str">
        <f>"1160012K001992B  00"</f>
        <v>1160012K001992B  00</v>
      </c>
      <c r="B10220" t="s">
        <v>22565</v>
      </c>
      <c r="C10220" t="s">
        <v>22566</v>
      </c>
      <c r="D10220" t="s">
        <v>20</v>
      </c>
      <c r="E10220" t="s">
        <v>39</v>
      </c>
      <c r="F10220">
        <v>0</v>
      </c>
      <c r="G10220">
        <v>0</v>
      </c>
      <c r="H10220">
        <v>2</v>
      </c>
      <c r="I10220" s="3">
        <v>3245</v>
      </c>
      <c r="J10220" s="3">
        <v>0</v>
      </c>
      <c r="K10220" t="s">
        <v>563</v>
      </c>
      <c r="L10220">
        <v>3001</v>
      </c>
      <c r="M10220" t="s">
        <v>330</v>
      </c>
      <c r="N10220" t="s">
        <v>331</v>
      </c>
      <c r="O10220" t="s">
        <v>108</v>
      </c>
      <c r="P10220" t="str">
        <f>"75063"</f>
        <v>75063</v>
      </c>
    </row>
    <row r="10221" spans="1:16" x14ac:dyDescent="0.25">
      <c r="A10221" t="str">
        <f>"1160012K001993A  00"</f>
        <v>1160012K001993A  00</v>
      </c>
      <c r="B10221" t="s">
        <v>22567</v>
      </c>
      <c r="C10221" t="s">
        <v>22568</v>
      </c>
      <c r="E10221" t="s">
        <v>39</v>
      </c>
      <c r="F10221">
        <v>0</v>
      </c>
      <c r="G10221">
        <v>0</v>
      </c>
      <c r="H10221">
        <v>2</v>
      </c>
      <c r="I10221" s="3">
        <v>3783.31</v>
      </c>
      <c r="J10221" s="3">
        <v>1466.3</v>
      </c>
      <c r="K10221" t="s">
        <v>1632</v>
      </c>
      <c r="L10221">
        <v>3001</v>
      </c>
      <c r="M10221" t="s">
        <v>330</v>
      </c>
      <c r="N10221" t="s">
        <v>331</v>
      </c>
      <c r="O10221" t="s">
        <v>108</v>
      </c>
      <c r="P10221" t="str">
        <f>"75063"</f>
        <v>75063</v>
      </c>
    </row>
    <row r="10222" spans="1:16" x14ac:dyDescent="0.25">
      <c r="A10222" t="str">
        <f>"1160012K00203    00"</f>
        <v>1160012K00203    00</v>
      </c>
      <c r="B10222" t="s">
        <v>22569</v>
      </c>
      <c r="C10222" t="s">
        <v>22570</v>
      </c>
      <c r="D10222" t="s">
        <v>20</v>
      </c>
      <c r="E10222" t="s">
        <v>21</v>
      </c>
      <c r="F10222">
        <v>0</v>
      </c>
      <c r="G10222">
        <v>0</v>
      </c>
      <c r="H10222">
        <v>2</v>
      </c>
      <c r="I10222" s="3">
        <v>139.65</v>
      </c>
      <c r="J10222" s="3">
        <v>695.78</v>
      </c>
      <c r="L10222">
        <v>1000</v>
      </c>
      <c r="M10222" t="s">
        <v>22571</v>
      </c>
      <c r="N10222" t="s">
        <v>30</v>
      </c>
      <c r="O10222" t="s">
        <v>31</v>
      </c>
      <c r="P10222" t="str">
        <f>"15235"</f>
        <v>15235</v>
      </c>
    </row>
    <row r="10223" spans="1:16" x14ac:dyDescent="0.25">
      <c r="A10223" t="str">
        <f>"1160012K00208    00"</f>
        <v>1160012K00208    00</v>
      </c>
      <c r="B10223" t="s">
        <v>22572</v>
      </c>
      <c r="C10223" t="s">
        <v>22573</v>
      </c>
      <c r="E10223" t="s">
        <v>39</v>
      </c>
      <c r="F10223">
        <v>0</v>
      </c>
      <c r="G10223">
        <v>0</v>
      </c>
      <c r="H10223">
        <v>2</v>
      </c>
      <c r="I10223" s="3">
        <v>994.96</v>
      </c>
      <c r="J10223" s="3">
        <v>12.44</v>
      </c>
      <c r="L10223">
        <v>1812</v>
      </c>
      <c r="M10223" t="s">
        <v>1484</v>
      </c>
      <c r="N10223" t="s">
        <v>30</v>
      </c>
      <c r="O10223" t="s">
        <v>31</v>
      </c>
      <c r="P10223" t="str">
        <f>"15203"</f>
        <v>15203</v>
      </c>
    </row>
    <row r="10224" spans="1:16" x14ac:dyDescent="0.25">
      <c r="A10224" t="str">
        <f>"1160012K00215    00"</f>
        <v>1160012K00215    00</v>
      </c>
      <c r="B10224" t="s">
        <v>22574</v>
      </c>
      <c r="C10224" t="s">
        <v>22575</v>
      </c>
      <c r="D10224" t="s">
        <v>20</v>
      </c>
      <c r="E10224" t="s">
        <v>21</v>
      </c>
      <c r="F10224">
        <v>0</v>
      </c>
      <c r="G10224">
        <v>0</v>
      </c>
      <c r="H10224">
        <v>1</v>
      </c>
      <c r="I10224" s="3">
        <v>3433.47</v>
      </c>
      <c r="J10224" s="3">
        <v>0</v>
      </c>
      <c r="K10224" t="s">
        <v>22576</v>
      </c>
      <c r="L10224">
        <v>5500</v>
      </c>
      <c r="M10224" t="s">
        <v>10883</v>
      </c>
      <c r="N10224" t="s">
        <v>30</v>
      </c>
      <c r="O10224" t="s">
        <v>31</v>
      </c>
      <c r="P10224" t="str">
        <f>"15232"</f>
        <v>15232</v>
      </c>
    </row>
    <row r="10225" spans="1:16" x14ac:dyDescent="0.25">
      <c r="A10225" t="str">
        <f>"1160012K00326    00"</f>
        <v>1160012K00326    00</v>
      </c>
      <c r="B10225" t="s">
        <v>22577</v>
      </c>
      <c r="C10225" t="s">
        <v>22478</v>
      </c>
      <c r="D10225" t="s">
        <v>20</v>
      </c>
      <c r="E10225" t="s">
        <v>21</v>
      </c>
      <c r="F10225">
        <v>0</v>
      </c>
      <c r="G10225">
        <v>0</v>
      </c>
      <c r="H10225">
        <v>1</v>
      </c>
      <c r="I10225" s="3">
        <v>247.78</v>
      </c>
      <c r="J10225" s="3">
        <v>0</v>
      </c>
      <c r="L10225">
        <v>2750</v>
      </c>
      <c r="M10225" t="s">
        <v>22578</v>
      </c>
      <c r="N10225" t="s">
        <v>212</v>
      </c>
      <c r="O10225" t="s">
        <v>25</v>
      </c>
      <c r="P10225" t="str">
        <f>"44126"</f>
        <v>44126</v>
      </c>
    </row>
    <row r="10226" spans="1:16" x14ac:dyDescent="0.25">
      <c r="A10226" t="str">
        <f>"1160012L00014    00"</f>
        <v>1160012L00014    00</v>
      </c>
      <c r="B10226" t="s">
        <v>22579</v>
      </c>
      <c r="C10226" t="s">
        <v>22580</v>
      </c>
      <c r="D10226" t="s">
        <v>20</v>
      </c>
      <c r="E10226" t="s">
        <v>21</v>
      </c>
      <c r="F10226">
        <v>0</v>
      </c>
      <c r="G10226">
        <v>0</v>
      </c>
      <c r="H10226">
        <v>2</v>
      </c>
      <c r="I10226" s="3">
        <v>3400.41</v>
      </c>
      <c r="J10226" s="3">
        <v>0.02</v>
      </c>
      <c r="K10226" t="s">
        <v>22581</v>
      </c>
      <c r="L10226">
        <v>4201</v>
      </c>
      <c r="M10226" t="s">
        <v>22582</v>
      </c>
      <c r="N10226" t="s">
        <v>195</v>
      </c>
      <c r="O10226" t="s">
        <v>31</v>
      </c>
      <c r="P10226" t="str">
        <f>"15101"</f>
        <v>15101</v>
      </c>
    </row>
    <row r="10227" spans="1:16" x14ac:dyDescent="0.25">
      <c r="A10227" t="str">
        <f>"1160012L00015    00"</f>
        <v>1160012L00015    00</v>
      </c>
      <c r="B10227" t="s">
        <v>22583</v>
      </c>
      <c r="C10227" t="s">
        <v>22584</v>
      </c>
      <c r="D10227" t="s">
        <v>20</v>
      </c>
      <c r="E10227" t="s">
        <v>21</v>
      </c>
      <c r="F10227">
        <v>0</v>
      </c>
      <c r="G10227">
        <v>0</v>
      </c>
      <c r="H10227">
        <v>5</v>
      </c>
      <c r="I10227" s="3">
        <v>32970.1</v>
      </c>
      <c r="J10227" s="3">
        <v>5696.02</v>
      </c>
      <c r="L10227">
        <v>2228</v>
      </c>
      <c r="M10227" t="s">
        <v>1484</v>
      </c>
      <c r="N10227" t="s">
        <v>30</v>
      </c>
      <c r="O10227" t="s">
        <v>31</v>
      </c>
      <c r="P10227" t="str">
        <f>"15203"</f>
        <v>15203</v>
      </c>
    </row>
    <row r="10228" spans="1:16" x14ac:dyDescent="0.25">
      <c r="A10228" t="str">
        <f>"1160012L00016    00"</f>
        <v>1160012L00016    00</v>
      </c>
      <c r="B10228" t="s">
        <v>22583</v>
      </c>
      <c r="C10228" t="s">
        <v>22585</v>
      </c>
      <c r="D10228" t="s">
        <v>20</v>
      </c>
      <c r="E10228" t="s">
        <v>21</v>
      </c>
      <c r="F10228">
        <v>0</v>
      </c>
      <c r="G10228">
        <v>0</v>
      </c>
      <c r="H10228">
        <v>5</v>
      </c>
      <c r="I10228" s="3">
        <v>10145.379999999999</v>
      </c>
      <c r="J10228" s="3">
        <v>1752.77</v>
      </c>
      <c r="L10228">
        <v>2228</v>
      </c>
      <c r="M10228" t="s">
        <v>1484</v>
      </c>
      <c r="N10228" t="s">
        <v>30</v>
      </c>
      <c r="O10228" t="s">
        <v>31</v>
      </c>
      <c r="P10228" t="str">
        <f>"15203"</f>
        <v>15203</v>
      </c>
    </row>
    <row r="10229" spans="1:16" x14ac:dyDescent="0.25">
      <c r="A10229" t="str">
        <f>"1160012L00017    00"</f>
        <v>1160012L00017    00</v>
      </c>
      <c r="B10229" t="s">
        <v>22586</v>
      </c>
      <c r="C10229" t="s">
        <v>22587</v>
      </c>
      <c r="D10229" t="s">
        <v>20</v>
      </c>
      <c r="E10229" t="s">
        <v>21</v>
      </c>
      <c r="F10229">
        <v>0</v>
      </c>
      <c r="G10229">
        <v>0</v>
      </c>
      <c r="H10229">
        <v>5</v>
      </c>
      <c r="I10229" s="3">
        <v>46629.1</v>
      </c>
      <c r="J10229" s="3">
        <v>8055.82</v>
      </c>
      <c r="L10229">
        <v>2228</v>
      </c>
      <c r="M10229" t="s">
        <v>1484</v>
      </c>
      <c r="N10229" t="s">
        <v>30</v>
      </c>
      <c r="O10229" t="s">
        <v>31</v>
      </c>
      <c r="P10229" t="str">
        <f>"15203"</f>
        <v>15203</v>
      </c>
    </row>
    <row r="10230" spans="1:16" x14ac:dyDescent="0.25">
      <c r="A10230" t="str">
        <f>"1160012L00048    00"</f>
        <v>1160012L00048    00</v>
      </c>
      <c r="B10230" t="s">
        <v>22588</v>
      </c>
      <c r="C10230" t="s">
        <v>22589</v>
      </c>
      <c r="D10230" t="s">
        <v>20</v>
      </c>
      <c r="E10230" t="s">
        <v>39</v>
      </c>
      <c r="F10230">
        <v>0</v>
      </c>
      <c r="G10230">
        <v>0</v>
      </c>
      <c r="H10230">
        <v>1</v>
      </c>
      <c r="I10230" s="3">
        <v>2748.45</v>
      </c>
      <c r="J10230" s="3">
        <v>0</v>
      </c>
      <c r="K10230" t="s">
        <v>22590</v>
      </c>
      <c r="M10230" t="s">
        <v>22591</v>
      </c>
      <c r="N10230" t="s">
        <v>30</v>
      </c>
      <c r="O10230" t="s">
        <v>31</v>
      </c>
      <c r="P10230" t="str">
        <f>"15222"</f>
        <v>15222</v>
      </c>
    </row>
    <row r="10231" spans="1:16" x14ac:dyDescent="0.25">
      <c r="A10231" t="str">
        <f>"1160012L00055    00"</f>
        <v>1160012L00055    00</v>
      </c>
      <c r="B10231" t="s">
        <v>22592</v>
      </c>
      <c r="C10231" t="s">
        <v>22593</v>
      </c>
      <c r="E10231" t="s">
        <v>39</v>
      </c>
      <c r="F10231">
        <v>0</v>
      </c>
      <c r="G10231">
        <v>0</v>
      </c>
      <c r="H10231">
        <v>1</v>
      </c>
      <c r="I10231" s="3">
        <v>1593.74</v>
      </c>
      <c r="J10231" s="3">
        <v>318.74</v>
      </c>
      <c r="K10231" t="s">
        <v>22594</v>
      </c>
      <c r="L10231">
        <v>1800</v>
      </c>
      <c r="M10231" t="s">
        <v>22595</v>
      </c>
      <c r="N10231" t="s">
        <v>1928</v>
      </c>
      <c r="O10231" t="s">
        <v>31</v>
      </c>
      <c r="P10231" t="str">
        <f>"15317"</f>
        <v>15317</v>
      </c>
    </row>
    <row r="10232" spans="1:16" x14ac:dyDescent="0.25">
      <c r="A10232" t="str">
        <f>"1160012L00056    00"</f>
        <v>1160012L00056    00</v>
      </c>
      <c r="B10232" t="s">
        <v>22596</v>
      </c>
      <c r="C10232" t="s">
        <v>22597</v>
      </c>
      <c r="E10232" t="s">
        <v>39</v>
      </c>
      <c r="F10232">
        <v>0</v>
      </c>
      <c r="G10232">
        <v>0</v>
      </c>
      <c r="H10232">
        <v>3</v>
      </c>
      <c r="I10232" s="3">
        <v>2624.18</v>
      </c>
      <c r="J10232" s="3">
        <v>2667.82</v>
      </c>
      <c r="K10232" t="s">
        <v>725</v>
      </c>
      <c r="L10232">
        <v>1301</v>
      </c>
      <c r="M10232" t="s">
        <v>722</v>
      </c>
      <c r="N10232" t="s">
        <v>30</v>
      </c>
      <c r="O10232" t="s">
        <v>31</v>
      </c>
      <c r="P10232" t="str">
        <f>"15211"</f>
        <v>15211</v>
      </c>
    </row>
    <row r="10233" spans="1:16" x14ac:dyDescent="0.25">
      <c r="A10233" t="str">
        <f>"1160012L00078    00"</f>
        <v>1160012L00078    00</v>
      </c>
      <c r="B10233" t="s">
        <v>22598</v>
      </c>
      <c r="C10233" t="s">
        <v>22599</v>
      </c>
      <c r="E10233" t="s">
        <v>39</v>
      </c>
      <c r="F10233">
        <v>0</v>
      </c>
      <c r="G10233">
        <v>0</v>
      </c>
      <c r="H10233">
        <v>1</v>
      </c>
      <c r="I10233" s="3">
        <v>144.44</v>
      </c>
      <c r="J10233" s="3">
        <v>0</v>
      </c>
      <c r="L10233">
        <v>1735</v>
      </c>
      <c r="M10233" t="s">
        <v>22600</v>
      </c>
      <c r="N10233" t="s">
        <v>30</v>
      </c>
      <c r="O10233" t="s">
        <v>31</v>
      </c>
      <c r="P10233" t="str">
        <f t="shared" ref="P10233:P10241" si="117">"15203"</f>
        <v>15203</v>
      </c>
    </row>
    <row r="10234" spans="1:16" x14ac:dyDescent="0.25">
      <c r="A10234" t="str">
        <f>"1160012L00084    00"</f>
        <v>1160012L00084    00</v>
      </c>
      <c r="B10234" t="s">
        <v>22601</v>
      </c>
      <c r="C10234" t="s">
        <v>22602</v>
      </c>
      <c r="D10234" t="s">
        <v>20</v>
      </c>
      <c r="E10234" t="s">
        <v>290</v>
      </c>
      <c r="F10234">
        <v>0</v>
      </c>
      <c r="G10234">
        <v>0</v>
      </c>
      <c r="H10234">
        <v>17</v>
      </c>
      <c r="I10234" s="3">
        <v>34192.36</v>
      </c>
      <c r="J10234" s="3">
        <v>19300.939999999999</v>
      </c>
      <c r="L10234">
        <v>2216</v>
      </c>
      <c r="M10234" t="s">
        <v>3323</v>
      </c>
      <c r="N10234" t="s">
        <v>30</v>
      </c>
      <c r="O10234" t="s">
        <v>31</v>
      </c>
      <c r="P10234" t="str">
        <f t="shared" si="117"/>
        <v>15203</v>
      </c>
    </row>
    <row r="10235" spans="1:16" x14ac:dyDescent="0.25">
      <c r="A10235" t="str">
        <f>"1160012L00086    00"</f>
        <v>1160012L00086    00</v>
      </c>
      <c r="B10235" t="s">
        <v>22603</v>
      </c>
      <c r="C10235" t="s">
        <v>22604</v>
      </c>
      <c r="D10235" t="s">
        <v>20</v>
      </c>
      <c r="E10235" t="s">
        <v>39</v>
      </c>
      <c r="F10235">
        <v>0</v>
      </c>
      <c r="G10235">
        <v>0</v>
      </c>
      <c r="H10235">
        <v>3</v>
      </c>
      <c r="I10235" s="3">
        <v>4944.8599999999997</v>
      </c>
      <c r="J10235" s="3">
        <v>341.48</v>
      </c>
      <c r="L10235">
        <v>2220</v>
      </c>
      <c r="M10235" t="s">
        <v>3323</v>
      </c>
      <c r="N10235" t="s">
        <v>30</v>
      </c>
      <c r="O10235" t="s">
        <v>31</v>
      </c>
      <c r="P10235" t="str">
        <f t="shared" si="117"/>
        <v>15203</v>
      </c>
    </row>
    <row r="10236" spans="1:16" x14ac:dyDescent="0.25">
      <c r="A10236" t="str">
        <f>"1160012L00110    00"</f>
        <v>1160012L00110    00</v>
      </c>
      <c r="B10236" t="s">
        <v>22605</v>
      </c>
      <c r="C10236" t="s">
        <v>22606</v>
      </c>
      <c r="D10236" t="s">
        <v>20</v>
      </c>
      <c r="E10236" t="s">
        <v>39</v>
      </c>
      <c r="F10236">
        <v>0</v>
      </c>
      <c r="G10236">
        <v>0</v>
      </c>
      <c r="H10236">
        <v>2</v>
      </c>
      <c r="I10236" s="3">
        <v>6201.27</v>
      </c>
      <c r="J10236" s="3">
        <v>0</v>
      </c>
      <c r="K10236" t="s">
        <v>22607</v>
      </c>
      <c r="L10236">
        <v>2322</v>
      </c>
      <c r="M10236" t="s">
        <v>3323</v>
      </c>
      <c r="N10236" t="s">
        <v>30</v>
      </c>
      <c r="O10236" t="s">
        <v>31</v>
      </c>
      <c r="P10236" t="str">
        <f t="shared" si="117"/>
        <v>15203</v>
      </c>
    </row>
    <row r="10237" spans="1:16" x14ac:dyDescent="0.25">
      <c r="A10237" t="str">
        <f>"1160012L00123    00"</f>
        <v>1160012L00123    00</v>
      </c>
      <c r="B10237" t="s">
        <v>22608</v>
      </c>
      <c r="C10237" t="s">
        <v>22609</v>
      </c>
      <c r="D10237" t="s">
        <v>20</v>
      </c>
      <c r="E10237" t="s">
        <v>39</v>
      </c>
      <c r="F10237">
        <v>0</v>
      </c>
      <c r="G10237">
        <v>0</v>
      </c>
      <c r="H10237">
        <v>2</v>
      </c>
      <c r="I10237" s="3">
        <v>3133.46</v>
      </c>
      <c r="J10237" s="3">
        <v>0</v>
      </c>
      <c r="K10237" t="s">
        <v>22610</v>
      </c>
      <c r="L10237">
        <v>2332</v>
      </c>
      <c r="M10237" t="s">
        <v>22611</v>
      </c>
      <c r="N10237" t="s">
        <v>30</v>
      </c>
      <c r="O10237" t="s">
        <v>31</v>
      </c>
      <c r="P10237" t="str">
        <f t="shared" si="117"/>
        <v>15203</v>
      </c>
    </row>
    <row r="10238" spans="1:16" x14ac:dyDescent="0.25">
      <c r="A10238" t="str">
        <f>"1160012L00127000400"</f>
        <v>1160012L00127000400</v>
      </c>
      <c r="B10238" t="s">
        <v>22608</v>
      </c>
      <c r="C10238" t="s">
        <v>22609</v>
      </c>
      <c r="D10238" t="s">
        <v>20</v>
      </c>
      <c r="E10238" t="s">
        <v>39</v>
      </c>
      <c r="F10238">
        <v>0</v>
      </c>
      <c r="G10238">
        <v>0</v>
      </c>
      <c r="H10238">
        <v>3</v>
      </c>
      <c r="I10238" s="3">
        <v>214.25</v>
      </c>
      <c r="J10238" s="3">
        <v>20.81</v>
      </c>
      <c r="K10238" t="s">
        <v>22610</v>
      </c>
      <c r="L10238">
        <v>2332</v>
      </c>
      <c r="M10238" t="s">
        <v>22611</v>
      </c>
      <c r="N10238" t="s">
        <v>30</v>
      </c>
      <c r="O10238" t="s">
        <v>31</v>
      </c>
      <c r="P10238" t="str">
        <f t="shared" si="117"/>
        <v>15203</v>
      </c>
    </row>
    <row r="10239" spans="1:16" x14ac:dyDescent="0.25">
      <c r="A10239" t="str">
        <f>"1160012L00136    00"</f>
        <v>1160012L00136    00</v>
      </c>
      <c r="B10239" t="s">
        <v>22612</v>
      </c>
      <c r="C10239" t="s">
        <v>22613</v>
      </c>
      <c r="D10239" t="s">
        <v>20</v>
      </c>
      <c r="E10239" t="s">
        <v>39</v>
      </c>
      <c r="F10239">
        <v>0</v>
      </c>
      <c r="G10239">
        <v>0</v>
      </c>
      <c r="H10239">
        <v>10</v>
      </c>
      <c r="I10239" s="3">
        <v>12869.28</v>
      </c>
      <c r="J10239" s="3">
        <v>5279.73</v>
      </c>
      <c r="L10239">
        <v>2316</v>
      </c>
      <c r="M10239" t="s">
        <v>22614</v>
      </c>
      <c r="N10239" t="s">
        <v>30</v>
      </c>
      <c r="O10239" t="s">
        <v>31</v>
      </c>
      <c r="P10239" t="str">
        <f t="shared" si="117"/>
        <v>15203</v>
      </c>
    </row>
    <row r="10240" spans="1:16" x14ac:dyDescent="0.25">
      <c r="A10240" t="str">
        <f>"1160012L00142    00"</f>
        <v>1160012L00142    00</v>
      </c>
      <c r="B10240" t="s">
        <v>22615</v>
      </c>
      <c r="C10240" t="s">
        <v>22616</v>
      </c>
      <c r="E10240" t="s">
        <v>39</v>
      </c>
      <c r="F10240">
        <v>0</v>
      </c>
      <c r="G10240">
        <v>0</v>
      </c>
      <c r="H10240">
        <v>1</v>
      </c>
      <c r="I10240" s="3">
        <v>1928.53</v>
      </c>
      <c r="J10240" s="3">
        <v>385.69</v>
      </c>
      <c r="L10240">
        <v>2323</v>
      </c>
      <c r="M10240" t="s">
        <v>3323</v>
      </c>
      <c r="N10240" t="s">
        <v>30</v>
      </c>
      <c r="O10240" t="s">
        <v>31</v>
      </c>
      <c r="P10240" t="str">
        <f t="shared" si="117"/>
        <v>15203</v>
      </c>
    </row>
    <row r="10241" spans="1:16" x14ac:dyDescent="0.25">
      <c r="A10241" t="str">
        <f>"1160012L00143    00"</f>
        <v>1160012L00143    00</v>
      </c>
      <c r="B10241" t="s">
        <v>22617</v>
      </c>
      <c r="C10241" t="s">
        <v>22618</v>
      </c>
      <c r="E10241" t="s">
        <v>39</v>
      </c>
      <c r="F10241">
        <v>0</v>
      </c>
      <c r="G10241">
        <v>0</v>
      </c>
      <c r="H10241">
        <v>1</v>
      </c>
      <c r="I10241" s="3">
        <v>2460.66</v>
      </c>
      <c r="J10241" s="3">
        <v>0</v>
      </c>
      <c r="K10241" t="s">
        <v>22619</v>
      </c>
      <c r="L10241">
        <v>1735</v>
      </c>
      <c r="M10241" t="s">
        <v>22600</v>
      </c>
      <c r="N10241" t="s">
        <v>30</v>
      </c>
      <c r="O10241" t="s">
        <v>31</v>
      </c>
      <c r="P10241" t="str">
        <f t="shared" si="117"/>
        <v>15203</v>
      </c>
    </row>
    <row r="10242" spans="1:16" x14ac:dyDescent="0.25">
      <c r="A10242" t="str">
        <f>"1160012L00147    00"</f>
        <v>1160012L00147    00</v>
      </c>
      <c r="B10242" t="s">
        <v>22620</v>
      </c>
      <c r="C10242" t="s">
        <v>22621</v>
      </c>
      <c r="E10242" t="s">
        <v>39</v>
      </c>
      <c r="F10242">
        <v>0</v>
      </c>
      <c r="G10242">
        <v>0</v>
      </c>
      <c r="H10242">
        <v>1</v>
      </c>
      <c r="I10242" s="3">
        <v>1653.47</v>
      </c>
      <c r="J10242" s="3">
        <v>1432.95</v>
      </c>
      <c r="L10242">
        <v>1463</v>
      </c>
      <c r="M10242" t="s">
        <v>22622</v>
      </c>
      <c r="N10242" t="s">
        <v>22623</v>
      </c>
      <c r="O10242" t="s">
        <v>692</v>
      </c>
      <c r="P10242" t="str">
        <f>"22482"</f>
        <v>22482</v>
      </c>
    </row>
    <row r="10243" spans="1:16" x14ac:dyDescent="0.25">
      <c r="A10243" t="str">
        <f>"1160012L00152    00"</f>
        <v>1160012L00152    00</v>
      </c>
      <c r="B10243" t="s">
        <v>22624</v>
      </c>
      <c r="C10243" t="s">
        <v>22625</v>
      </c>
      <c r="D10243" t="s">
        <v>20</v>
      </c>
      <c r="E10243" t="s">
        <v>39</v>
      </c>
      <c r="F10243">
        <v>0</v>
      </c>
      <c r="G10243">
        <v>0</v>
      </c>
      <c r="H10243">
        <v>2</v>
      </c>
      <c r="I10243" s="3">
        <v>1979.46</v>
      </c>
      <c r="J10243" s="3">
        <v>0</v>
      </c>
      <c r="L10243">
        <v>128</v>
      </c>
      <c r="M10243" t="s">
        <v>22626</v>
      </c>
      <c r="N10243" t="s">
        <v>30</v>
      </c>
      <c r="O10243" t="s">
        <v>31</v>
      </c>
      <c r="P10243" t="str">
        <f>"15203"</f>
        <v>15203</v>
      </c>
    </row>
    <row r="10244" spans="1:16" x14ac:dyDescent="0.25">
      <c r="A10244" t="str">
        <f>"1160012L00159    00"</f>
        <v>1160012L00159    00</v>
      </c>
      <c r="B10244" t="s">
        <v>22627</v>
      </c>
      <c r="C10244" t="s">
        <v>22628</v>
      </c>
      <c r="E10244" t="s">
        <v>39</v>
      </c>
      <c r="F10244">
        <v>0</v>
      </c>
      <c r="G10244">
        <v>0</v>
      </c>
      <c r="H10244">
        <v>1</v>
      </c>
      <c r="I10244" s="3">
        <v>1734.1</v>
      </c>
      <c r="J10244" s="3">
        <v>346.81</v>
      </c>
      <c r="K10244" t="s">
        <v>22629</v>
      </c>
      <c r="L10244">
        <v>6131</v>
      </c>
      <c r="M10244" t="s">
        <v>22630</v>
      </c>
      <c r="N10244" t="s">
        <v>22631</v>
      </c>
      <c r="O10244" t="s">
        <v>495</v>
      </c>
      <c r="P10244" t="str">
        <f>"90620"</f>
        <v>90620</v>
      </c>
    </row>
    <row r="10245" spans="1:16" x14ac:dyDescent="0.25">
      <c r="A10245" t="str">
        <f>"1160012L00163    00"</f>
        <v>1160012L00163    00</v>
      </c>
      <c r="B10245" t="s">
        <v>22632</v>
      </c>
      <c r="C10245" t="s">
        <v>22633</v>
      </c>
      <c r="D10245" t="s">
        <v>20</v>
      </c>
      <c r="E10245" t="s">
        <v>39</v>
      </c>
      <c r="F10245">
        <v>0</v>
      </c>
      <c r="G10245">
        <v>0</v>
      </c>
      <c r="H10245">
        <v>2</v>
      </c>
      <c r="I10245" s="3">
        <v>6161.2</v>
      </c>
      <c r="J10245" s="3">
        <v>0</v>
      </c>
      <c r="L10245">
        <v>2332</v>
      </c>
      <c r="M10245" t="s">
        <v>22611</v>
      </c>
      <c r="N10245" t="s">
        <v>30</v>
      </c>
      <c r="O10245" t="s">
        <v>31</v>
      </c>
      <c r="P10245" t="str">
        <f>"15203"</f>
        <v>15203</v>
      </c>
    </row>
    <row r="10246" spans="1:16" x14ac:dyDescent="0.25">
      <c r="A10246" t="str">
        <f>"1160012L00201    00"</f>
        <v>1160012L00201    00</v>
      </c>
      <c r="B10246" t="s">
        <v>22634</v>
      </c>
      <c r="C10246" t="s">
        <v>22635</v>
      </c>
      <c r="E10246" t="s">
        <v>39</v>
      </c>
      <c r="F10246">
        <v>0</v>
      </c>
      <c r="G10246">
        <v>0</v>
      </c>
      <c r="H10246">
        <v>2</v>
      </c>
      <c r="I10246" s="3">
        <v>1279.58</v>
      </c>
      <c r="J10246" s="3">
        <v>10.66</v>
      </c>
      <c r="K10246" t="s">
        <v>5030</v>
      </c>
      <c r="L10246">
        <v>2300</v>
      </c>
      <c r="M10246" t="s">
        <v>22636</v>
      </c>
      <c r="N10246" t="s">
        <v>22637</v>
      </c>
      <c r="O10246" t="s">
        <v>495</v>
      </c>
      <c r="P10246" t="str">
        <f>"94520"</f>
        <v>94520</v>
      </c>
    </row>
    <row r="10247" spans="1:16" x14ac:dyDescent="0.25">
      <c r="A10247" t="str">
        <f>"1160012L00203    00"</f>
        <v>1160012L00203    00</v>
      </c>
      <c r="B10247" t="s">
        <v>22638</v>
      </c>
      <c r="C10247" t="s">
        <v>22639</v>
      </c>
      <c r="E10247" t="s">
        <v>39</v>
      </c>
      <c r="F10247">
        <v>0</v>
      </c>
      <c r="G10247">
        <v>0</v>
      </c>
      <c r="H10247">
        <v>1</v>
      </c>
      <c r="I10247" s="3">
        <v>1730.65</v>
      </c>
      <c r="J10247" s="3">
        <v>173.06</v>
      </c>
      <c r="K10247" t="s">
        <v>22640</v>
      </c>
      <c r="L10247">
        <v>235</v>
      </c>
      <c r="M10247" t="s">
        <v>22641</v>
      </c>
      <c r="N10247" t="s">
        <v>9197</v>
      </c>
      <c r="O10247" t="s">
        <v>31</v>
      </c>
      <c r="P10247" t="str">
        <f>"16507"</f>
        <v>16507</v>
      </c>
    </row>
    <row r="10248" spans="1:16" x14ac:dyDescent="0.25">
      <c r="A10248" t="str">
        <f>"1160012L00212    00"</f>
        <v>1160012L00212    00</v>
      </c>
      <c r="B10248" t="s">
        <v>22642</v>
      </c>
      <c r="C10248" t="s">
        <v>22643</v>
      </c>
      <c r="E10248" t="s">
        <v>39</v>
      </c>
      <c r="F10248">
        <v>0</v>
      </c>
      <c r="G10248">
        <v>0</v>
      </c>
      <c r="H10248">
        <v>1</v>
      </c>
      <c r="I10248" s="3">
        <v>981.55</v>
      </c>
      <c r="J10248" s="3">
        <v>0</v>
      </c>
      <c r="K10248" t="s">
        <v>22644</v>
      </c>
      <c r="L10248">
        <v>2331</v>
      </c>
      <c r="M10248" t="s">
        <v>22611</v>
      </c>
      <c r="N10248" t="s">
        <v>30</v>
      </c>
      <c r="O10248" t="s">
        <v>31</v>
      </c>
      <c r="P10248" t="str">
        <f>"15203"</f>
        <v>15203</v>
      </c>
    </row>
    <row r="10249" spans="1:16" x14ac:dyDescent="0.25">
      <c r="A10249" t="str">
        <f>"1160012L00214    00"</f>
        <v>1160012L00214    00</v>
      </c>
      <c r="B10249" t="s">
        <v>22645</v>
      </c>
      <c r="C10249" t="s">
        <v>22646</v>
      </c>
      <c r="D10249" t="s">
        <v>20</v>
      </c>
      <c r="E10249" t="s">
        <v>39</v>
      </c>
      <c r="F10249">
        <v>0</v>
      </c>
      <c r="G10249">
        <v>0</v>
      </c>
      <c r="H10249">
        <v>3</v>
      </c>
      <c r="I10249" s="3">
        <v>6021.09</v>
      </c>
      <c r="J10249" s="3">
        <v>50.18</v>
      </c>
      <c r="K10249" t="s">
        <v>4781</v>
      </c>
      <c r="L10249">
        <v>111</v>
      </c>
      <c r="M10249" t="s">
        <v>4782</v>
      </c>
      <c r="N10249" t="s">
        <v>4783</v>
      </c>
      <c r="O10249" t="s">
        <v>4784</v>
      </c>
      <c r="P10249" t="str">
        <f>"63146"</f>
        <v>63146</v>
      </c>
    </row>
    <row r="10250" spans="1:16" x14ac:dyDescent="0.25">
      <c r="A10250" t="str">
        <f>"1160012L00222    00"</f>
        <v>1160012L00222    00</v>
      </c>
      <c r="B10250" t="s">
        <v>22647</v>
      </c>
      <c r="C10250" t="s">
        <v>22648</v>
      </c>
      <c r="D10250" t="s">
        <v>20</v>
      </c>
      <c r="E10250" t="s">
        <v>21</v>
      </c>
      <c r="F10250">
        <v>0</v>
      </c>
      <c r="G10250">
        <v>0</v>
      </c>
      <c r="H10250">
        <v>1</v>
      </c>
      <c r="I10250" s="3">
        <v>1266</v>
      </c>
      <c r="J10250" s="3">
        <v>0</v>
      </c>
      <c r="K10250" t="s">
        <v>22649</v>
      </c>
      <c r="L10250">
        <v>2300</v>
      </c>
      <c r="M10250" t="s">
        <v>1484</v>
      </c>
      <c r="N10250" t="s">
        <v>30</v>
      </c>
      <c r="O10250" t="s">
        <v>31</v>
      </c>
      <c r="P10250" t="str">
        <f>"15203"</f>
        <v>15203</v>
      </c>
    </row>
    <row r="10251" spans="1:16" x14ac:dyDescent="0.25">
      <c r="A10251" t="str">
        <f>"1160012L00229    00"</f>
        <v>1160012L00229    00</v>
      </c>
      <c r="B10251" t="s">
        <v>22650</v>
      </c>
      <c r="C10251" t="s">
        <v>22651</v>
      </c>
      <c r="D10251" t="s">
        <v>20</v>
      </c>
      <c r="E10251" t="s">
        <v>21</v>
      </c>
      <c r="F10251">
        <v>0</v>
      </c>
      <c r="G10251">
        <v>0</v>
      </c>
      <c r="H10251">
        <v>1</v>
      </c>
      <c r="I10251" s="3">
        <v>1489.52</v>
      </c>
      <c r="J10251" s="3">
        <v>0</v>
      </c>
      <c r="L10251">
        <v>48</v>
      </c>
      <c r="M10251" t="s">
        <v>22652</v>
      </c>
      <c r="N10251" t="s">
        <v>30</v>
      </c>
      <c r="O10251" t="s">
        <v>31</v>
      </c>
      <c r="P10251" t="str">
        <f>"15203"</f>
        <v>15203</v>
      </c>
    </row>
    <row r="10252" spans="1:16" x14ac:dyDescent="0.25">
      <c r="A10252" t="str">
        <f>"1160012L00231    00"</f>
        <v>1160012L00231    00</v>
      </c>
      <c r="B10252" t="s">
        <v>22653</v>
      </c>
      <c r="C10252" t="s">
        <v>22651</v>
      </c>
      <c r="D10252" t="s">
        <v>20</v>
      </c>
      <c r="E10252" t="s">
        <v>21</v>
      </c>
      <c r="F10252">
        <v>0</v>
      </c>
      <c r="G10252">
        <v>0</v>
      </c>
      <c r="H10252">
        <v>1</v>
      </c>
      <c r="I10252" s="3">
        <v>4768.83</v>
      </c>
      <c r="J10252" s="3">
        <v>0</v>
      </c>
      <c r="K10252" t="s">
        <v>22654</v>
      </c>
      <c r="L10252">
        <v>58</v>
      </c>
      <c r="M10252" t="s">
        <v>22655</v>
      </c>
      <c r="N10252" t="s">
        <v>30</v>
      </c>
      <c r="O10252" t="s">
        <v>31</v>
      </c>
      <c r="P10252" t="str">
        <f>"15203"</f>
        <v>15203</v>
      </c>
    </row>
    <row r="10253" spans="1:16" x14ac:dyDescent="0.25">
      <c r="A10253" t="str">
        <f>"1160012L00234    00"</f>
        <v>1160012L00234    00</v>
      </c>
      <c r="B10253" t="s">
        <v>22656</v>
      </c>
      <c r="C10253" t="s">
        <v>22657</v>
      </c>
      <c r="D10253" t="s">
        <v>20</v>
      </c>
      <c r="E10253" t="s">
        <v>21</v>
      </c>
      <c r="F10253">
        <v>0</v>
      </c>
      <c r="G10253">
        <v>0</v>
      </c>
      <c r="H10253">
        <v>1</v>
      </c>
      <c r="I10253" s="3">
        <v>2763.72</v>
      </c>
      <c r="J10253" s="3">
        <v>0</v>
      </c>
      <c r="L10253">
        <v>4201</v>
      </c>
      <c r="M10253" t="s">
        <v>22582</v>
      </c>
      <c r="N10253" t="s">
        <v>195</v>
      </c>
      <c r="O10253" t="s">
        <v>31</v>
      </c>
      <c r="P10253" t="str">
        <f>"15101"</f>
        <v>15101</v>
      </c>
    </row>
    <row r="10254" spans="1:16" x14ac:dyDescent="0.25">
      <c r="A10254" t="str">
        <f>"1160012L00263    02"</f>
        <v>1160012L00263    02</v>
      </c>
      <c r="B10254" t="s">
        <v>22658</v>
      </c>
      <c r="C10254" t="s">
        <v>22659</v>
      </c>
      <c r="D10254" t="s">
        <v>20</v>
      </c>
      <c r="E10254" t="s">
        <v>21</v>
      </c>
      <c r="F10254">
        <v>0</v>
      </c>
      <c r="G10254">
        <v>0</v>
      </c>
      <c r="H10254">
        <v>1</v>
      </c>
      <c r="I10254" s="3">
        <v>821.6</v>
      </c>
      <c r="J10254" s="3">
        <v>0</v>
      </c>
      <c r="K10254" t="s">
        <v>22660</v>
      </c>
      <c r="L10254">
        <v>1000</v>
      </c>
      <c r="M10254" t="s">
        <v>22571</v>
      </c>
      <c r="N10254" t="s">
        <v>30</v>
      </c>
      <c r="O10254" t="s">
        <v>31</v>
      </c>
      <c r="P10254" t="str">
        <f>"15235"</f>
        <v>15235</v>
      </c>
    </row>
    <row r="10255" spans="1:16" x14ac:dyDescent="0.25">
      <c r="A10255" t="str">
        <f>"1160012L00264    00"</f>
        <v>1160012L00264    00</v>
      </c>
      <c r="B10255" t="s">
        <v>22658</v>
      </c>
      <c r="C10255" t="s">
        <v>22661</v>
      </c>
      <c r="D10255" t="s">
        <v>20</v>
      </c>
      <c r="E10255" t="s">
        <v>21</v>
      </c>
      <c r="F10255">
        <v>0</v>
      </c>
      <c r="G10255">
        <v>0</v>
      </c>
      <c r="H10255">
        <v>1</v>
      </c>
      <c r="I10255" s="3">
        <v>77.27</v>
      </c>
      <c r="J10255" s="3">
        <v>0</v>
      </c>
      <c r="L10255">
        <v>1000</v>
      </c>
      <c r="M10255" t="s">
        <v>22571</v>
      </c>
      <c r="N10255" t="s">
        <v>30</v>
      </c>
      <c r="O10255" t="s">
        <v>31</v>
      </c>
      <c r="P10255" t="str">
        <f>"15235"</f>
        <v>15235</v>
      </c>
    </row>
    <row r="10256" spans="1:16" x14ac:dyDescent="0.25">
      <c r="A10256" t="str">
        <f>"1160012L00271    00"</f>
        <v>1160012L00271    00</v>
      </c>
      <c r="B10256" t="s">
        <v>22608</v>
      </c>
      <c r="C10256" t="s">
        <v>22548</v>
      </c>
      <c r="D10256" t="s">
        <v>20</v>
      </c>
      <c r="E10256" t="s">
        <v>39</v>
      </c>
      <c r="F10256">
        <v>0</v>
      </c>
      <c r="G10256">
        <v>0</v>
      </c>
      <c r="H10256">
        <v>2</v>
      </c>
      <c r="I10256" s="3">
        <v>484.14</v>
      </c>
      <c r="J10256" s="3">
        <v>0</v>
      </c>
      <c r="L10256">
        <v>2332</v>
      </c>
      <c r="M10256" t="s">
        <v>22611</v>
      </c>
      <c r="N10256" t="s">
        <v>30</v>
      </c>
      <c r="O10256" t="s">
        <v>31</v>
      </c>
      <c r="P10256" t="str">
        <f>"15203"</f>
        <v>15203</v>
      </c>
    </row>
    <row r="10257" spans="1:16" x14ac:dyDescent="0.25">
      <c r="A10257" t="str">
        <f>"1160012L00275    00"</f>
        <v>1160012L00275    00</v>
      </c>
      <c r="B10257" t="s">
        <v>22662</v>
      </c>
      <c r="C10257" t="s">
        <v>22663</v>
      </c>
      <c r="D10257" t="s">
        <v>20</v>
      </c>
      <c r="E10257" t="s">
        <v>21</v>
      </c>
      <c r="F10257">
        <v>0</v>
      </c>
      <c r="G10257">
        <v>0</v>
      </c>
      <c r="H10257">
        <v>3</v>
      </c>
      <c r="I10257" s="3">
        <v>9646.32</v>
      </c>
      <c r="J10257" s="3">
        <v>643.07000000000005</v>
      </c>
      <c r="K10257" t="s">
        <v>445</v>
      </c>
      <c r="L10257">
        <v>1</v>
      </c>
      <c r="M10257" t="s">
        <v>1163</v>
      </c>
      <c r="N10257" t="s">
        <v>1164</v>
      </c>
      <c r="O10257" t="s">
        <v>108</v>
      </c>
      <c r="P10257" t="str">
        <f>"76262"</f>
        <v>76262</v>
      </c>
    </row>
    <row r="10258" spans="1:16" x14ac:dyDescent="0.25">
      <c r="A10258" t="str">
        <f>"1160012L00276    00"</f>
        <v>1160012L00276    00</v>
      </c>
      <c r="B10258" t="s">
        <v>22664</v>
      </c>
      <c r="C10258" t="s">
        <v>22665</v>
      </c>
      <c r="D10258" t="s">
        <v>20</v>
      </c>
      <c r="E10258" t="s">
        <v>39</v>
      </c>
      <c r="F10258">
        <v>0</v>
      </c>
      <c r="G10258">
        <v>0</v>
      </c>
      <c r="H10258">
        <v>4</v>
      </c>
      <c r="I10258" s="3">
        <v>11059.04</v>
      </c>
      <c r="J10258" s="3">
        <v>1222.9100000000001</v>
      </c>
      <c r="K10258" t="s">
        <v>22666</v>
      </c>
      <c r="L10258">
        <v>156</v>
      </c>
      <c r="M10258" t="s">
        <v>22667</v>
      </c>
      <c r="N10258" t="s">
        <v>30</v>
      </c>
      <c r="O10258" t="s">
        <v>31</v>
      </c>
      <c r="P10258" t="str">
        <f>"15236"</f>
        <v>15236</v>
      </c>
    </row>
    <row r="10259" spans="1:16" x14ac:dyDescent="0.25">
      <c r="A10259" t="str">
        <f>"1160012L00313    00"</f>
        <v>1160012L00313    00</v>
      </c>
      <c r="B10259" t="s">
        <v>22668</v>
      </c>
      <c r="C10259" t="s">
        <v>22669</v>
      </c>
      <c r="E10259" t="s">
        <v>39</v>
      </c>
      <c r="F10259">
        <v>0</v>
      </c>
      <c r="G10259">
        <v>0</v>
      </c>
      <c r="H10259">
        <v>1</v>
      </c>
      <c r="I10259" s="3">
        <v>1922.91</v>
      </c>
      <c r="J10259" s="3">
        <v>528.78</v>
      </c>
      <c r="K10259" t="s">
        <v>1030</v>
      </c>
      <c r="M10259" t="s">
        <v>1031</v>
      </c>
      <c r="N10259" t="s">
        <v>1032</v>
      </c>
      <c r="O10259" t="s">
        <v>25</v>
      </c>
      <c r="P10259" t="str">
        <f>"44711"</f>
        <v>44711</v>
      </c>
    </row>
    <row r="10260" spans="1:16" x14ac:dyDescent="0.25">
      <c r="A10260" t="str">
        <f>"1160012L00316    00"</f>
        <v>1160012L00316    00</v>
      </c>
      <c r="B10260" t="s">
        <v>22670</v>
      </c>
      <c r="C10260" t="s">
        <v>22671</v>
      </c>
      <c r="D10260" t="s">
        <v>20</v>
      </c>
      <c r="E10260" t="s">
        <v>39</v>
      </c>
      <c r="F10260">
        <v>0</v>
      </c>
      <c r="G10260">
        <v>0</v>
      </c>
      <c r="H10260">
        <v>2</v>
      </c>
      <c r="I10260" s="3">
        <v>905.92</v>
      </c>
      <c r="J10260" s="3">
        <v>2.6</v>
      </c>
      <c r="L10260">
        <v>2410</v>
      </c>
      <c r="M10260" t="s">
        <v>22614</v>
      </c>
      <c r="N10260" t="s">
        <v>30</v>
      </c>
      <c r="O10260" t="s">
        <v>31</v>
      </c>
      <c r="P10260" t="str">
        <f>"15203"</f>
        <v>15203</v>
      </c>
    </row>
    <row r="10261" spans="1:16" x14ac:dyDescent="0.25">
      <c r="A10261" t="str">
        <f>"1160012L00319    00"</f>
        <v>1160012L00319    00</v>
      </c>
      <c r="B10261" t="s">
        <v>22672</v>
      </c>
      <c r="C10261" t="s">
        <v>22673</v>
      </c>
      <c r="D10261" t="s">
        <v>20</v>
      </c>
      <c r="E10261" t="s">
        <v>39</v>
      </c>
      <c r="F10261">
        <v>0</v>
      </c>
      <c r="G10261">
        <v>0</v>
      </c>
      <c r="H10261">
        <v>2</v>
      </c>
      <c r="I10261" s="3">
        <v>6164.87</v>
      </c>
      <c r="J10261" s="3">
        <v>0</v>
      </c>
      <c r="L10261">
        <v>327</v>
      </c>
      <c r="M10261" t="s">
        <v>7527</v>
      </c>
      <c r="N10261" t="s">
        <v>30</v>
      </c>
      <c r="O10261" t="s">
        <v>31</v>
      </c>
      <c r="P10261" t="str">
        <f>"15220"</f>
        <v>15220</v>
      </c>
    </row>
    <row r="10262" spans="1:16" x14ac:dyDescent="0.25">
      <c r="A10262" t="str">
        <f>"1160012L00338    00"</f>
        <v>1160012L00338    00</v>
      </c>
      <c r="B10262" t="s">
        <v>22674</v>
      </c>
      <c r="C10262" t="s">
        <v>22675</v>
      </c>
      <c r="D10262" t="s">
        <v>20</v>
      </c>
      <c r="E10262" t="s">
        <v>39</v>
      </c>
      <c r="F10262">
        <v>0</v>
      </c>
      <c r="G10262">
        <v>0</v>
      </c>
      <c r="H10262">
        <v>8</v>
      </c>
      <c r="I10262" s="3">
        <v>15341.8</v>
      </c>
      <c r="J10262" s="3">
        <v>4743.55</v>
      </c>
      <c r="L10262">
        <v>2416</v>
      </c>
      <c r="M10262" t="s">
        <v>3323</v>
      </c>
      <c r="N10262" t="s">
        <v>30</v>
      </c>
      <c r="O10262" t="s">
        <v>31</v>
      </c>
      <c r="P10262" t="str">
        <f>"15203"</f>
        <v>15203</v>
      </c>
    </row>
    <row r="10263" spans="1:16" x14ac:dyDescent="0.25">
      <c r="A10263" t="str">
        <f>"1160012L00344    00"</f>
        <v>1160012L00344    00</v>
      </c>
      <c r="B10263" t="s">
        <v>22676</v>
      </c>
      <c r="C10263" t="s">
        <v>22677</v>
      </c>
      <c r="D10263" t="s">
        <v>20</v>
      </c>
      <c r="E10263" t="s">
        <v>39</v>
      </c>
      <c r="F10263">
        <v>0</v>
      </c>
      <c r="G10263">
        <v>0</v>
      </c>
      <c r="H10263">
        <v>2</v>
      </c>
      <c r="I10263" s="3">
        <v>4138.71</v>
      </c>
      <c r="J10263" s="3">
        <v>0</v>
      </c>
      <c r="K10263" t="s">
        <v>1632</v>
      </c>
      <c r="L10263">
        <v>3001</v>
      </c>
      <c r="M10263" t="s">
        <v>330</v>
      </c>
      <c r="N10263" t="s">
        <v>331</v>
      </c>
      <c r="O10263" t="s">
        <v>108</v>
      </c>
      <c r="P10263" t="str">
        <f>"75063"</f>
        <v>75063</v>
      </c>
    </row>
    <row r="10264" spans="1:16" x14ac:dyDescent="0.25">
      <c r="A10264" t="str">
        <f>"1160012M00032    00"</f>
        <v>1160012M00032    00</v>
      </c>
      <c r="B10264" t="s">
        <v>22678</v>
      </c>
      <c r="C10264" t="s">
        <v>22679</v>
      </c>
      <c r="D10264" t="s">
        <v>20</v>
      </c>
      <c r="E10264" t="s">
        <v>21</v>
      </c>
      <c r="F10264">
        <v>0</v>
      </c>
      <c r="G10264">
        <v>0</v>
      </c>
      <c r="H10264">
        <v>3</v>
      </c>
      <c r="I10264" s="3">
        <v>5801.79</v>
      </c>
      <c r="J10264" s="3">
        <v>452.81</v>
      </c>
      <c r="K10264" t="s">
        <v>22680</v>
      </c>
      <c r="L10264">
        <v>75</v>
      </c>
      <c r="M10264" t="s">
        <v>22681</v>
      </c>
      <c r="N10264" t="s">
        <v>199</v>
      </c>
      <c r="O10264" t="s">
        <v>200</v>
      </c>
      <c r="P10264" t="str">
        <f>"10023"</f>
        <v>10023</v>
      </c>
    </row>
    <row r="10265" spans="1:16" x14ac:dyDescent="0.25">
      <c r="A10265" t="str">
        <f>"1160012M00033    00"</f>
        <v>1160012M00033    00</v>
      </c>
      <c r="B10265" t="s">
        <v>22682</v>
      </c>
      <c r="C10265" t="s">
        <v>22683</v>
      </c>
      <c r="D10265" t="s">
        <v>20</v>
      </c>
      <c r="E10265" t="s">
        <v>21</v>
      </c>
      <c r="F10265">
        <v>0</v>
      </c>
      <c r="G10265">
        <v>0</v>
      </c>
      <c r="H10265">
        <v>1</v>
      </c>
      <c r="I10265" s="3">
        <v>64.8</v>
      </c>
      <c r="J10265" s="3">
        <v>0</v>
      </c>
      <c r="K10265" t="s">
        <v>22684</v>
      </c>
      <c r="L10265">
        <v>102</v>
      </c>
      <c r="M10265" t="s">
        <v>22685</v>
      </c>
      <c r="N10265" t="s">
        <v>30</v>
      </c>
      <c r="O10265" t="s">
        <v>31</v>
      </c>
      <c r="P10265" t="str">
        <f>"15208"</f>
        <v>15208</v>
      </c>
    </row>
    <row r="10266" spans="1:16" x14ac:dyDescent="0.25">
      <c r="A10266" t="str">
        <f>"1160012M00034    00"</f>
        <v>1160012M00034    00</v>
      </c>
      <c r="B10266" t="s">
        <v>22682</v>
      </c>
      <c r="C10266" t="s">
        <v>22679</v>
      </c>
      <c r="D10266" t="s">
        <v>20</v>
      </c>
      <c r="E10266" t="s">
        <v>21</v>
      </c>
      <c r="F10266">
        <v>0</v>
      </c>
      <c r="G10266">
        <v>0</v>
      </c>
      <c r="H10266">
        <v>1</v>
      </c>
      <c r="I10266" s="3">
        <v>24.7</v>
      </c>
      <c r="J10266" s="3">
        <v>0</v>
      </c>
      <c r="K10266" t="s">
        <v>22684</v>
      </c>
      <c r="L10266">
        <v>102</v>
      </c>
      <c r="M10266" t="s">
        <v>22685</v>
      </c>
      <c r="N10266" t="s">
        <v>30</v>
      </c>
      <c r="O10266" t="s">
        <v>31</v>
      </c>
      <c r="P10266" t="str">
        <f>"15208"</f>
        <v>15208</v>
      </c>
    </row>
    <row r="10267" spans="1:16" x14ac:dyDescent="0.25">
      <c r="A10267" t="str">
        <f>"1160012M00064    00"</f>
        <v>1160012M00064    00</v>
      </c>
      <c r="B10267" t="s">
        <v>22686</v>
      </c>
      <c r="C10267" t="s">
        <v>22687</v>
      </c>
      <c r="D10267" t="s">
        <v>20</v>
      </c>
      <c r="E10267" t="s">
        <v>66</v>
      </c>
      <c r="F10267">
        <v>0</v>
      </c>
      <c r="G10267">
        <v>0</v>
      </c>
      <c r="H10267">
        <v>1</v>
      </c>
      <c r="I10267" s="3">
        <v>114.36</v>
      </c>
      <c r="J10267" s="3">
        <v>0</v>
      </c>
      <c r="K10267" t="s">
        <v>22688</v>
      </c>
      <c r="L10267">
        <v>1000</v>
      </c>
      <c r="M10267" t="s">
        <v>22571</v>
      </c>
      <c r="N10267" t="s">
        <v>30</v>
      </c>
      <c r="O10267" t="s">
        <v>31</v>
      </c>
      <c r="P10267" t="str">
        <f>"15235"</f>
        <v>15235</v>
      </c>
    </row>
    <row r="10268" spans="1:16" x14ac:dyDescent="0.25">
      <c r="A10268" t="str">
        <f>"1160012M00074    00"</f>
        <v>1160012M00074    00</v>
      </c>
      <c r="B10268" t="s">
        <v>22689</v>
      </c>
      <c r="C10268" t="s">
        <v>22690</v>
      </c>
      <c r="D10268" t="s">
        <v>20</v>
      </c>
      <c r="E10268" t="s">
        <v>39</v>
      </c>
      <c r="F10268">
        <v>0</v>
      </c>
      <c r="G10268">
        <v>0</v>
      </c>
      <c r="H10268">
        <v>1</v>
      </c>
      <c r="I10268" s="3">
        <v>7902.3</v>
      </c>
      <c r="J10268" s="3">
        <v>0</v>
      </c>
      <c r="K10268" t="s">
        <v>22691</v>
      </c>
      <c r="L10268">
        <v>928</v>
      </c>
      <c r="M10268" t="s">
        <v>5542</v>
      </c>
      <c r="N10268" t="s">
        <v>22692</v>
      </c>
      <c r="O10268" t="s">
        <v>31</v>
      </c>
      <c r="P10268" t="str">
        <f>"19425"</f>
        <v>19425</v>
      </c>
    </row>
    <row r="10269" spans="1:16" x14ac:dyDescent="0.25">
      <c r="A10269" t="str">
        <f>"1160012M00108    00"</f>
        <v>1160012M00108    00</v>
      </c>
      <c r="B10269" t="s">
        <v>22693</v>
      </c>
      <c r="C10269" t="s">
        <v>22694</v>
      </c>
      <c r="D10269" t="s">
        <v>20</v>
      </c>
      <c r="E10269" t="s">
        <v>39</v>
      </c>
      <c r="F10269">
        <v>0</v>
      </c>
      <c r="G10269">
        <v>0</v>
      </c>
      <c r="H10269">
        <v>6</v>
      </c>
      <c r="I10269" s="3">
        <v>11275.45</v>
      </c>
      <c r="J10269" s="3">
        <v>2567.86</v>
      </c>
      <c r="L10269">
        <v>96</v>
      </c>
      <c r="M10269" t="s">
        <v>22695</v>
      </c>
      <c r="N10269" t="s">
        <v>3934</v>
      </c>
      <c r="O10269" t="s">
        <v>31</v>
      </c>
      <c r="P10269" t="str">
        <f>"15102"</f>
        <v>15102</v>
      </c>
    </row>
    <row r="10270" spans="1:16" x14ac:dyDescent="0.25">
      <c r="A10270" t="str">
        <f>"1160012M00118    00"</f>
        <v>1160012M00118    00</v>
      </c>
      <c r="B10270" t="s">
        <v>22696</v>
      </c>
      <c r="C10270" t="s">
        <v>22697</v>
      </c>
      <c r="D10270" t="s">
        <v>20</v>
      </c>
      <c r="E10270" t="s">
        <v>39</v>
      </c>
      <c r="F10270">
        <v>0</v>
      </c>
      <c r="G10270">
        <v>0</v>
      </c>
      <c r="H10270">
        <v>2</v>
      </c>
      <c r="I10270" s="3">
        <v>6554.07</v>
      </c>
      <c r="J10270" s="3">
        <v>0</v>
      </c>
      <c r="L10270">
        <v>2523</v>
      </c>
      <c r="M10270" t="s">
        <v>22611</v>
      </c>
      <c r="N10270" t="s">
        <v>30</v>
      </c>
      <c r="O10270" t="s">
        <v>31</v>
      </c>
      <c r="P10270" t="str">
        <f>"15203"</f>
        <v>15203</v>
      </c>
    </row>
    <row r="10271" spans="1:16" x14ac:dyDescent="0.25">
      <c r="A10271" t="str">
        <f>"1160012M00126    00"</f>
        <v>1160012M00126    00</v>
      </c>
      <c r="B10271" t="s">
        <v>22698</v>
      </c>
      <c r="C10271" t="s">
        <v>22699</v>
      </c>
      <c r="D10271" t="s">
        <v>20</v>
      </c>
      <c r="E10271" t="s">
        <v>39</v>
      </c>
      <c r="F10271">
        <v>0</v>
      </c>
      <c r="G10271">
        <v>0</v>
      </c>
      <c r="H10271">
        <v>10</v>
      </c>
      <c r="I10271" s="3">
        <v>1892.46</v>
      </c>
      <c r="J10271" s="3">
        <v>866</v>
      </c>
      <c r="L10271">
        <v>2415</v>
      </c>
      <c r="M10271" t="s">
        <v>22611</v>
      </c>
      <c r="N10271" t="s">
        <v>30</v>
      </c>
      <c r="O10271" t="s">
        <v>31</v>
      </c>
      <c r="P10271" t="str">
        <f>"15203"</f>
        <v>15203</v>
      </c>
    </row>
    <row r="10272" spans="1:16" x14ac:dyDescent="0.25">
      <c r="A10272" t="str">
        <f>"1160012M00129    00"</f>
        <v>1160012M00129    00</v>
      </c>
      <c r="B10272" t="s">
        <v>22700</v>
      </c>
      <c r="C10272" t="s">
        <v>22701</v>
      </c>
      <c r="D10272" t="s">
        <v>20</v>
      </c>
      <c r="E10272" t="s">
        <v>39</v>
      </c>
      <c r="F10272">
        <v>0</v>
      </c>
      <c r="G10272">
        <v>0</v>
      </c>
      <c r="H10272">
        <v>3</v>
      </c>
      <c r="I10272" s="3">
        <v>11944.8</v>
      </c>
      <c r="J10272" s="3">
        <v>1083.3499999999999</v>
      </c>
      <c r="L10272">
        <v>4730</v>
      </c>
      <c r="M10272" t="s">
        <v>22702</v>
      </c>
      <c r="N10272" t="s">
        <v>1320</v>
      </c>
      <c r="O10272" t="s">
        <v>1321</v>
      </c>
      <c r="P10272" t="str">
        <f>"89147"</f>
        <v>89147</v>
      </c>
    </row>
    <row r="10273" spans="1:16" x14ac:dyDescent="0.25">
      <c r="A10273" t="str">
        <f>"1160012M00150    00"</f>
        <v>1160012M00150    00</v>
      </c>
      <c r="B10273" t="s">
        <v>22703</v>
      </c>
      <c r="C10273" t="s">
        <v>22704</v>
      </c>
      <c r="D10273" t="s">
        <v>20</v>
      </c>
      <c r="E10273" t="s">
        <v>39</v>
      </c>
      <c r="F10273">
        <v>0</v>
      </c>
      <c r="G10273">
        <v>0</v>
      </c>
      <c r="H10273">
        <v>5</v>
      </c>
      <c r="I10273" s="3">
        <v>12703.58</v>
      </c>
      <c r="J10273" s="3">
        <v>1500.48</v>
      </c>
      <c r="K10273" t="s">
        <v>22705</v>
      </c>
      <c r="L10273">
        <v>1730</v>
      </c>
      <c r="M10273" t="s">
        <v>22706</v>
      </c>
      <c r="N10273" t="s">
        <v>295</v>
      </c>
      <c r="O10273" t="s">
        <v>31</v>
      </c>
      <c r="P10273" t="str">
        <f>"15146"</f>
        <v>15146</v>
      </c>
    </row>
    <row r="10274" spans="1:16" x14ac:dyDescent="0.25">
      <c r="A10274" t="str">
        <f>"1160012M00152    00"</f>
        <v>1160012M00152    00</v>
      </c>
      <c r="B10274" t="s">
        <v>22707</v>
      </c>
      <c r="C10274" t="s">
        <v>22708</v>
      </c>
      <c r="E10274" t="s">
        <v>39</v>
      </c>
      <c r="F10274">
        <v>0</v>
      </c>
      <c r="G10274">
        <v>0</v>
      </c>
      <c r="H10274">
        <v>1</v>
      </c>
      <c r="I10274" s="3">
        <v>27.14</v>
      </c>
      <c r="J10274" s="3">
        <v>26.91</v>
      </c>
      <c r="K10274" t="s">
        <v>5652</v>
      </c>
      <c r="L10274">
        <v>3001</v>
      </c>
      <c r="M10274" t="s">
        <v>330</v>
      </c>
      <c r="N10274" t="s">
        <v>331</v>
      </c>
      <c r="O10274" t="s">
        <v>108</v>
      </c>
      <c r="P10274" t="str">
        <f>"75063"</f>
        <v>75063</v>
      </c>
    </row>
    <row r="10275" spans="1:16" x14ac:dyDescent="0.25">
      <c r="A10275" t="str">
        <f>"1160012M00153    00"</f>
        <v>1160012M00153    00</v>
      </c>
      <c r="B10275" t="s">
        <v>22709</v>
      </c>
      <c r="C10275" t="s">
        <v>22710</v>
      </c>
      <c r="D10275" t="s">
        <v>20</v>
      </c>
      <c r="E10275" t="s">
        <v>39</v>
      </c>
      <c r="F10275">
        <v>0</v>
      </c>
      <c r="G10275">
        <v>0</v>
      </c>
      <c r="H10275">
        <v>2</v>
      </c>
      <c r="I10275" s="3">
        <v>2010.38</v>
      </c>
      <c r="J10275" s="3">
        <v>0</v>
      </c>
      <c r="K10275" t="s">
        <v>5324</v>
      </c>
      <c r="L10275">
        <v>2160</v>
      </c>
      <c r="M10275" t="s">
        <v>19127</v>
      </c>
      <c r="N10275" t="s">
        <v>212</v>
      </c>
      <c r="O10275" t="s">
        <v>25</v>
      </c>
      <c r="P10275" t="str">
        <f>"44114"</f>
        <v>44114</v>
      </c>
    </row>
    <row r="10276" spans="1:16" x14ac:dyDescent="0.25">
      <c r="A10276" t="str">
        <f>"1160012M00162    00"</f>
        <v>1160012M00162    00</v>
      </c>
      <c r="B10276" t="s">
        <v>22711</v>
      </c>
      <c r="C10276" t="s">
        <v>22548</v>
      </c>
      <c r="D10276" t="s">
        <v>20</v>
      </c>
      <c r="E10276" t="s">
        <v>39</v>
      </c>
      <c r="F10276">
        <v>0</v>
      </c>
      <c r="G10276">
        <v>0</v>
      </c>
      <c r="H10276">
        <v>17</v>
      </c>
      <c r="I10276" s="3">
        <v>924.33</v>
      </c>
      <c r="J10276" s="3">
        <v>1298.99</v>
      </c>
      <c r="L10276">
        <v>965</v>
      </c>
      <c r="M10276" t="s">
        <v>7759</v>
      </c>
      <c r="N10276" t="s">
        <v>30</v>
      </c>
      <c r="O10276" t="s">
        <v>31</v>
      </c>
      <c r="P10276" t="str">
        <f>"15220"</f>
        <v>15220</v>
      </c>
    </row>
    <row r="10277" spans="1:16" x14ac:dyDescent="0.25">
      <c r="A10277" t="str">
        <f>"1160012M00180    00"</f>
        <v>1160012M00180    00</v>
      </c>
      <c r="B10277" t="s">
        <v>22712</v>
      </c>
      <c r="C10277" t="s">
        <v>22713</v>
      </c>
      <c r="D10277" t="s">
        <v>20</v>
      </c>
      <c r="E10277" t="s">
        <v>39</v>
      </c>
      <c r="F10277">
        <v>0</v>
      </c>
      <c r="G10277">
        <v>0</v>
      </c>
      <c r="H10277">
        <v>1</v>
      </c>
      <c r="I10277" s="3">
        <v>1229.3599999999999</v>
      </c>
      <c r="J10277" s="3">
        <v>0</v>
      </c>
      <c r="L10277">
        <v>1242</v>
      </c>
      <c r="M10277" t="s">
        <v>22714</v>
      </c>
      <c r="N10277" t="s">
        <v>21557</v>
      </c>
      <c r="O10277" t="s">
        <v>31</v>
      </c>
      <c r="P10277" t="str">
        <f>"15063"</f>
        <v>15063</v>
      </c>
    </row>
    <row r="10278" spans="1:16" x14ac:dyDescent="0.25">
      <c r="A10278" t="str">
        <f>"1160012M00197    00"</f>
        <v>1160012M00197    00</v>
      </c>
      <c r="B10278" t="s">
        <v>22715</v>
      </c>
      <c r="C10278" t="s">
        <v>22716</v>
      </c>
      <c r="D10278" t="s">
        <v>20</v>
      </c>
      <c r="E10278" t="s">
        <v>39</v>
      </c>
      <c r="F10278">
        <v>0</v>
      </c>
      <c r="G10278">
        <v>0</v>
      </c>
      <c r="H10278">
        <v>2</v>
      </c>
      <c r="I10278" s="3">
        <v>753.75</v>
      </c>
      <c r="J10278" s="3">
        <v>0</v>
      </c>
      <c r="L10278">
        <v>151</v>
      </c>
      <c r="M10278" t="s">
        <v>8127</v>
      </c>
      <c r="N10278" t="s">
        <v>30</v>
      </c>
      <c r="O10278" t="s">
        <v>31</v>
      </c>
      <c r="P10278" t="str">
        <f>"15227"</f>
        <v>15227</v>
      </c>
    </row>
    <row r="10279" spans="1:16" x14ac:dyDescent="0.25">
      <c r="A10279" t="str">
        <f>"1160012M00197A   00"</f>
        <v>1160012M00197A   00</v>
      </c>
      <c r="B10279" t="s">
        <v>22617</v>
      </c>
      <c r="C10279" t="s">
        <v>22717</v>
      </c>
      <c r="E10279" t="s">
        <v>39</v>
      </c>
      <c r="F10279">
        <v>0</v>
      </c>
      <c r="G10279">
        <v>0</v>
      </c>
      <c r="H10279">
        <v>2</v>
      </c>
      <c r="I10279" s="3">
        <v>1414.26</v>
      </c>
      <c r="J10279" s="3">
        <v>0</v>
      </c>
      <c r="K10279" t="s">
        <v>22619</v>
      </c>
      <c r="L10279">
        <v>1735</v>
      </c>
      <c r="M10279" t="s">
        <v>22600</v>
      </c>
      <c r="N10279" t="s">
        <v>30</v>
      </c>
      <c r="O10279" t="s">
        <v>31</v>
      </c>
      <c r="P10279" t="str">
        <f>"15203"</f>
        <v>15203</v>
      </c>
    </row>
    <row r="10280" spans="1:16" x14ac:dyDescent="0.25">
      <c r="A10280" t="str">
        <f>"1160012M00340    00"</f>
        <v>1160012M00340    00</v>
      </c>
      <c r="B10280" t="s">
        <v>218</v>
      </c>
      <c r="C10280" t="s">
        <v>22718</v>
      </c>
      <c r="D10280" t="s">
        <v>20</v>
      </c>
      <c r="E10280" t="s">
        <v>21</v>
      </c>
      <c r="F10280">
        <v>0</v>
      </c>
      <c r="G10280">
        <v>0</v>
      </c>
      <c r="H10280">
        <v>1</v>
      </c>
      <c r="I10280" s="3">
        <v>155706.87</v>
      </c>
      <c r="J10280" s="3">
        <v>0</v>
      </c>
      <c r="K10280" t="s">
        <v>220</v>
      </c>
      <c r="L10280">
        <v>412</v>
      </c>
      <c r="M10280" t="s">
        <v>221</v>
      </c>
      <c r="N10280" t="s">
        <v>30</v>
      </c>
      <c r="O10280" t="s">
        <v>31</v>
      </c>
      <c r="P10280" t="str">
        <f>"15219"</f>
        <v>15219</v>
      </c>
    </row>
    <row r="10281" spans="1:16" x14ac:dyDescent="0.25">
      <c r="A10281" t="str">
        <f>"1160012P00163    00"</f>
        <v>1160012P00163    00</v>
      </c>
      <c r="B10281" t="s">
        <v>22574</v>
      </c>
      <c r="C10281" t="s">
        <v>22719</v>
      </c>
      <c r="D10281" t="s">
        <v>20</v>
      </c>
      <c r="E10281" t="s">
        <v>21</v>
      </c>
      <c r="F10281">
        <v>0</v>
      </c>
      <c r="G10281">
        <v>0</v>
      </c>
      <c r="H10281">
        <v>1</v>
      </c>
      <c r="I10281" s="3">
        <v>670.05</v>
      </c>
      <c r="J10281" s="3">
        <v>0</v>
      </c>
      <c r="K10281" t="s">
        <v>22576</v>
      </c>
      <c r="L10281">
        <v>5500</v>
      </c>
      <c r="M10281" t="s">
        <v>10883</v>
      </c>
      <c r="N10281" t="s">
        <v>30</v>
      </c>
      <c r="O10281" t="s">
        <v>31</v>
      </c>
      <c r="P10281" t="str">
        <f>"15232"</f>
        <v>15232</v>
      </c>
    </row>
    <row r="10282" spans="1:16" x14ac:dyDescent="0.25">
      <c r="A10282" t="str">
        <f>"1160012P00166    00"</f>
        <v>1160012P00166    00</v>
      </c>
      <c r="B10282" t="s">
        <v>22574</v>
      </c>
      <c r="C10282" t="s">
        <v>22719</v>
      </c>
      <c r="D10282" t="s">
        <v>20</v>
      </c>
      <c r="E10282" t="s">
        <v>21</v>
      </c>
      <c r="F10282">
        <v>0</v>
      </c>
      <c r="G10282">
        <v>0</v>
      </c>
      <c r="H10282">
        <v>1</v>
      </c>
      <c r="I10282" s="3">
        <v>666.63</v>
      </c>
      <c r="J10282" s="3">
        <v>0</v>
      </c>
      <c r="K10282" t="s">
        <v>22576</v>
      </c>
      <c r="L10282">
        <v>5500</v>
      </c>
      <c r="M10282" t="s">
        <v>10883</v>
      </c>
      <c r="N10282" t="s">
        <v>30</v>
      </c>
      <c r="O10282" t="s">
        <v>31</v>
      </c>
      <c r="P10282" t="str">
        <f>"15232"</f>
        <v>15232</v>
      </c>
    </row>
    <row r="10283" spans="1:16" x14ac:dyDescent="0.25">
      <c r="A10283" t="str">
        <f>"1160012P00178    00"</f>
        <v>1160012P00178    00</v>
      </c>
      <c r="B10283" t="s">
        <v>22574</v>
      </c>
      <c r="C10283" t="s">
        <v>22719</v>
      </c>
      <c r="D10283" t="s">
        <v>20</v>
      </c>
      <c r="E10283" t="s">
        <v>21</v>
      </c>
      <c r="F10283">
        <v>0</v>
      </c>
      <c r="G10283">
        <v>0</v>
      </c>
      <c r="H10283">
        <v>1</v>
      </c>
      <c r="I10283" s="3">
        <v>1260.1400000000001</v>
      </c>
      <c r="J10283" s="3">
        <v>0</v>
      </c>
      <c r="K10283" t="s">
        <v>22576</v>
      </c>
      <c r="L10283">
        <v>5500</v>
      </c>
      <c r="M10283" t="s">
        <v>10883</v>
      </c>
      <c r="N10283" t="s">
        <v>30</v>
      </c>
      <c r="O10283" t="s">
        <v>31</v>
      </c>
      <c r="P10283" t="str">
        <f>"15232"</f>
        <v>15232</v>
      </c>
    </row>
    <row r="10284" spans="1:16" x14ac:dyDescent="0.25">
      <c r="A10284" t="str">
        <f>"1160012P00190    00"</f>
        <v>1160012P00190    00</v>
      </c>
      <c r="B10284" t="s">
        <v>22574</v>
      </c>
      <c r="C10284" t="s">
        <v>22719</v>
      </c>
      <c r="D10284" t="s">
        <v>20</v>
      </c>
      <c r="E10284" t="s">
        <v>66</v>
      </c>
      <c r="F10284">
        <v>0</v>
      </c>
      <c r="G10284">
        <v>0</v>
      </c>
      <c r="H10284">
        <v>1</v>
      </c>
      <c r="I10284" s="3">
        <v>326.5</v>
      </c>
      <c r="J10284" s="3">
        <v>0</v>
      </c>
      <c r="K10284" t="s">
        <v>22576</v>
      </c>
      <c r="L10284">
        <v>5500</v>
      </c>
      <c r="M10284" t="s">
        <v>10883</v>
      </c>
      <c r="N10284" t="s">
        <v>30</v>
      </c>
      <c r="O10284" t="s">
        <v>31</v>
      </c>
      <c r="P10284" t="str">
        <f>"15232"</f>
        <v>15232</v>
      </c>
    </row>
    <row r="10285" spans="1:16" x14ac:dyDescent="0.25">
      <c r="A10285" t="str">
        <f>"1160012R00070010200"</f>
        <v>1160012R00070010200</v>
      </c>
      <c r="B10285" t="s">
        <v>22720</v>
      </c>
      <c r="C10285" t="s">
        <v>22721</v>
      </c>
      <c r="D10285" t="s">
        <v>20</v>
      </c>
      <c r="E10285" t="s">
        <v>39</v>
      </c>
      <c r="F10285">
        <v>0</v>
      </c>
      <c r="G10285">
        <v>0</v>
      </c>
      <c r="H10285">
        <v>7</v>
      </c>
      <c r="I10285" s="3">
        <v>18845.7</v>
      </c>
      <c r="J10285" s="3">
        <v>4896.13</v>
      </c>
      <c r="L10285">
        <v>2250</v>
      </c>
      <c r="M10285" t="s">
        <v>22722</v>
      </c>
      <c r="N10285" t="s">
        <v>30</v>
      </c>
      <c r="O10285" t="s">
        <v>31</v>
      </c>
      <c r="P10285" t="str">
        <f>"15203"</f>
        <v>15203</v>
      </c>
    </row>
    <row r="10286" spans="1:16" x14ac:dyDescent="0.25">
      <c r="A10286" t="str">
        <f>"1160012R00070010900"</f>
        <v>1160012R00070010900</v>
      </c>
      <c r="B10286" t="s">
        <v>22723</v>
      </c>
      <c r="C10286" t="s">
        <v>22724</v>
      </c>
      <c r="D10286" t="s">
        <v>20</v>
      </c>
      <c r="E10286" t="s">
        <v>39</v>
      </c>
      <c r="F10286">
        <v>0</v>
      </c>
      <c r="G10286">
        <v>0</v>
      </c>
      <c r="H10286">
        <v>1</v>
      </c>
      <c r="I10286" s="3">
        <v>451.41</v>
      </c>
      <c r="J10286" s="3">
        <v>0</v>
      </c>
      <c r="L10286">
        <v>2250</v>
      </c>
      <c r="M10286" t="s">
        <v>22725</v>
      </c>
      <c r="N10286" t="s">
        <v>30</v>
      </c>
      <c r="O10286" t="s">
        <v>31</v>
      </c>
      <c r="P10286" t="str">
        <f>"15203"</f>
        <v>15203</v>
      </c>
    </row>
    <row r="10287" spans="1:16" x14ac:dyDescent="0.25">
      <c r="A10287" t="str">
        <f>"1160012R00070021600"</f>
        <v>1160012R00070021600</v>
      </c>
      <c r="B10287" t="s">
        <v>22726</v>
      </c>
      <c r="C10287" t="s">
        <v>22727</v>
      </c>
      <c r="E10287" t="s">
        <v>39</v>
      </c>
      <c r="F10287">
        <v>0</v>
      </c>
      <c r="G10287">
        <v>0</v>
      </c>
      <c r="H10287">
        <v>1</v>
      </c>
      <c r="I10287" s="3">
        <v>67.67</v>
      </c>
      <c r="J10287" s="3">
        <v>0</v>
      </c>
      <c r="L10287">
        <v>2250</v>
      </c>
      <c r="M10287" t="s">
        <v>22728</v>
      </c>
      <c r="N10287" t="s">
        <v>30</v>
      </c>
      <c r="O10287" t="s">
        <v>31</v>
      </c>
      <c r="P10287" t="str">
        <f>"15203"</f>
        <v>15203</v>
      </c>
    </row>
    <row r="10288" spans="1:16" x14ac:dyDescent="0.25">
      <c r="A10288" t="str">
        <f>"1160012R00070030300"</f>
        <v>1160012R00070030300</v>
      </c>
      <c r="B10288" t="s">
        <v>22729</v>
      </c>
      <c r="C10288" t="s">
        <v>22730</v>
      </c>
      <c r="E10288" t="s">
        <v>39</v>
      </c>
      <c r="F10288">
        <v>0</v>
      </c>
      <c r="G10288">
        <v>0</v>
      </c>
      <c r="H10288">
        <v>1</v>
      </c>
      <c r="I10288" s="3">
        <v>696.31</v>
      </c>
      <c r="J10288" s="3">
        <v>0</v>
      </c>
      <c r="K10288" t="s">
        <v>22731</v>
      </c>
      <c r="L10288">
        <v>2250</v>
      </c>
      <c r="M10288" t="s">
        <v>22732</v>
      </c>
      <c r="N10288" t="s">
        <v>30</v>
      </c>
      <c r="O10288" t="s">
        <v>31</v>
      </c>
      <c r="P10288" t="str">
        <f>"15203"</f>
        <v>15203</v>
      </c>
    </row>
    <row r="10289" spans="1:16" x14ac:dyDescent="0.25">
      <c r="A10289" t="str">
        <f>"1160012R00070031800"</f>
        <v>1160012R00070031800</v>
      </c>
      <c r="B10289" t="s">
        <v>22733</v>
      </c>
      <c r="C10289" t="s">
        <v>22734</v>
      </c>
      <c r="D10289" t="s">
        <v>20</v>
      </c>
      <c r="E10289" t="s">
        <v>39</v>
      </c>
      <c r="F10289">
        <v>0</v>
      </c>
      <c r="G10289">
        <v>0</v>
      </c>
      <c r="H10289">
        <v>4</v>
      </c>
      <c r="I10289" s="3">
        <v>16873.86</v>
      </c>
      <c r="J10289" s="3">
        <v>1993.28</v>
      </c>
      <c r="L10289">
        <v>2250</v>
      </c>
      <c r="M10289" t="s">
        <v>22735</v>
      </c>
      <c r="N10289" t="s">
        <v>30</v>
      </c>
      <c r="O10289" t="s">
        <v>31</v>
      </c>
      <c r="P10289" t="str">
        <f>"15203"</f>
        <v>15203</v>
      </c>
    </row>
    <row r="10290" spans="1:16" x14ac:dyDescent="0.25">
      <c r="A10290" t="str">
        <f>"1160012R00111    00"</f>
        <v>1160012R00111    00</v>
      </c>
      <c r="B10290" t="s">
        <v>22736</v>
      </c>
      <c r="C10290" t="s">
        <v>22737</v>
      </c>
      <c r="E10290" t="s">
        <v>39</v>
      </c>
      <c r="F10290">
        <v>0</v>
      </c>
      <c r="G10290">
        <v>0</v>
      </c>
      <c r="H10290">
        <v>1</v>
      </c>
      <c r="I10290" s="3">
        <v>1791.64</v>
      </c>
      <c r="J10290" s="3">
        <v>0</v>
      </c>
      <c r="K10290" t="s">
        <v>22738</v>
      </c>
      <c r="L10290">
        <v>1525</v>
      </c>
      <c r="M10290" t="s">
        <v>22739</v>
      </c>
      <c r="N10290" t="s">
        <v>30</v>
      </c>
      <c r="O10290" t="s">
        <v>31</v>
      </c>
      <c r="P10290" t="str">
        <f>"15235"</f>
        <v>15235</v>
      </c>
    </row>
    <row r="10291" spans="1:16" x14ac:dyDescent="0.25">
      <c r="A10291" t="str">
        <f>"1160012R00160    00"</f>
        <v>1160012R00160    00</v>
      </c>
      <c r="B10291" t="s">
        <v>22740</v>
      </c>
      <c r="C10291" t="s">
        <v>22741</v>
      </c>
      <c r="D10291" t="s">
        <v>20</v>
      </c>
      <c r="E10291" t="s">
        <v>39</v>
      </c>
      <c r="F10291">
        <v>0</v>
      </c>
      <c r="G10291">
        <v>0</v>
      </c>
      <c r="H10291">
        <v>17</v>
      </c>
      <c r="I10291" s="3">
        <v>461.54</v>
      </c>
      <c r="J10291" s="3">
        <v>582.84</v>
      </c>
      <c r="P10291" t="str">
        <f>""</f>
        <v/>
      </c>
    </row>
    <row r="10292" spans="1:16" x14ac:dyDescent="0.25">
      <c r="A10292" t="str">
        <f>"1160012R00281    00"</f>
        <v>1160012R00281    00</v>
      </c>
      <c r="B10292" t="s">
        <v>22742</v>
      </c>
      <c r="C10292" t="s">
        <v>22743</v>
      </c>
      <c r="D10292" t="s">
        <v>57</v>
      </c>
      <c r="E10292" t="s">
        <v>290</v>
      </c>
      <c r="F10292">
        <v>0</v>
      </c>
      <c r="G10292">
        <v>0</v>
      </c>
      <c r="H10292">
        <v>6</v>
      </c>
      <c r="I10292" s="3">
        <v>5666.21</v>
      </c>
      <c r="J10292" s="3">
        <v>5760.4</v>
      </c>
      <c r="L10292">
        <v>157</v>
      </c>
      <c r="M10292" t="s">
        <v>22744</v>
      </c>
      <c r="N10292" t="s">
        <v>30</v>
      </c>
      <c r="O10292" t="s">
        <v>31</v>
      </c>
      <c r="P10292" t="str">
        <f>"15203"</f>
        <v>15203</v>
      </c>
    </row>
    <row r="10293" spans="1:16" x14ac:dyDescent="0.25">
      <c r="A10293" t="str">
        <f>"1160012S00055    00"</f>
        <v>1160012S00055    00</v>
      </c>
      <c r="B10293" t="s">
        <v>22745</v>
      </c>
      <c r="C10293" t="s">
        <v>22746</v>
      </c>
      <c r="D10293" t="s">
        <v>20</v>
      </c>
      <c r="E10293" t="s">
        <v>39</v>
      </c>
      <c r="F10293">
        <v>0</v>
      </c>
      <c r="G10293">
        <v>0</v>
      </c>
      <c r="H10293">
        <v>2</v>
      </c>
      <c r="I10293" s="3">
        <v>3602.36</v>
      </c>
      <c r="J10293" s="3">
        <v>0</v>
      </c>
      <c r="K10293" t="s">
        <v>22747</v>
      </c>
      <c r="L10293">
        <v>2400</v>
      </c>
      <c r="M10293" t="s">
        <v>6407</v>
      </c>
      <c r="N10293" t="s">
        <v>30</v>
      </c>
      <c r="O10293" t="s">
        <v>31</v>
      </c>
      <c r="P10293" t="str">
        <f>"15203"</f>
        <v>15203</v>
      </c>
    </row>
    <row r="10294" spans="1:16" x14ac:dyDescent="0.25">
      <c r="A10294" t="str">
        <f>"1160012S00071    00"</f>
        <v>1160012S00071    00</v>
      </c>
      <c r="B10294" t="s">
        <v>22748</v>
      </c>
      <c r="C10294" t="s">
        <v>22749</v>
      </c>
      <c r="E10294" t="s">
        <v>39</v>
      </c>
      <c r="F10294">
        <v>0</v>
      </c>
      <c r="G10294">
        <v>0</v>
      </c>
      <c r="H10294">
        <v>1</v>
      </c>
      <c r="I10294" s="3">
        <v>28.77</v>
      </c>
      <c r="J10294" s="3">
        <v>9.11</v>
      </c>
      <c r="L10294">
        <v>2644</v>
      </c>
      <c r="M10294" t="s">
        <v>22614</v>
      </c>
      <c r="N10294" t="s">
        <v>30</v>
      </c>
      <c r="O10294" t="s">
        <v>31</v>
      </c>
      <c r="P10294" t="str">
        <f>"15203"</f>
        <v>15203</v>
      </c>
    </row>
    <row r="10295" spans="1:16" x14ac:dyDescent="0.25">
      <c r="A10295" t="str">
        <f>"1160012S00082    00"</f>
        <v>1160012S00082    00</v>
      </c>
      <c r="B10295" t="s">
        <v>22750</v>
      </c>
      <c r="C10295" t="s">
        <v>22751</v>
      </c>
      <c r="E10295" t="s">
        <v>39</v>
      </c>
      <c r="F10295">
        <v>0</v>
      </c>
      <c r="G10295">
        <v>0</v>
      </c>
      <c r="H10295">
        <v>3</v>
      </c>
      <c r="I10295" s="3">
        <v>4410.46</v>
      </c>
      <c r="J10295" s="3">
        <v>3707.18</v>
      </c>
      <c r="K10295" t="s">
        <v>22752</v>
      </c>
      <c r="L10295">
        <v>42</v>
      </c>
      <c r="M10295" t="s">
        <v>22655</v>
      </c>
      <c r="N10295" t="s">
        <v>30</v>
      </c>
      <c r="O10295" t="s">
        <v>31</v>
      </c>
      <c r="P10295" t="str">
        <f>"15203"</f>
        <v>15203</v>
      </c>
    </row>
    <row r="10296" spans="1:16" x14ac:dyDescent="0.25">
      <c r="A10296" t="str">
        <f>"1160012S00085    00"</f>
        <v>1160012S00085    00</v>
      </c>
      <c r="B10296" t="s">
        <v>22753</v>
      </c>
      <c r="C10296" t="s">
        <v>22754</v>
      </c>
      <c r="D10296" t="s">
        <v>20</v>
      </c>
      <c r="E10296" t="s">
        <v>39</v>
      </c>
      <c r="F10296">
        <v>0</v>
      </c>
      <c r="G10296">
        <v>0</v>
      </c>
      <c r="H10296">
        <v>1</v>
      </c>
      <c r="I10296" s="3">
        <v>654.24</v>
      </c>
      <c r="J10296" s="3">
        <v>0</v>
      </c>
      <c r="K10296" t="s">
        <v>3656</v>
      </c>
      <c r="L10296">
        <v>5375</v>
      </c>
      <c r="M10296" t="s">
        <v>22755</v>
      </c>
      <c r="N10296" t="s">
        <v>546</v>
      </c>
      <c r="O10296" t="s">
        <v>31</v>
      </c>
      <c r="P10296" t="str">
        <f>"15044"</f>
        <v>15044</v>
      </c>
    </row>
    <row r="10297" spans="1:16" x14ac:dyDescent="0.25">
      <c r="A10297" t="str">
        <f>"1160012S00088    00"</f>
        <v>1160012S00088    00</v>
      </c>
      <c r="B10297" t="s">
        <v>22756</v>
      </c>
      <c r="C10297" t="s">
        <v>22757</v>
      </c>
      <c r="D10297" t="s">
        <v>20</v>
      </c>
      <c r="E10297" t="s">
        <v>39</v>
      </c>
      <c r="F10297">
        <v>0</v>
      </c>
      <c r="G10297">
        <v>0</v>
      </c>
      <c r="H10297">
        <v>8</v>
      </c>
      <c r="I10297" s="3">
        <v>8696.09</v>
      </c>
      <c r="J10297" s="3">
        <v>2845.49</v>
      </c>
      <c r="L10297">
        <v>2040</v>
      </c>
      <c r="M10297" t="s">
        <v>22758</v>
      </c>
      <c r="N10297" t="s">
        <v>30</v>
      </c>
      <c r="O10297" t="s">
        <v>31</v>
      </c>
      <c r="P10297" t="str">
        <f>"15210"</f>
        <v>15210</v>
      </c>
    </row>
    <row r="10298" spans="1:16" x14ac:dyDescent="0.25">
      <c r="A10298" t="str">
        <f>"1160012S00118D   00"</f>
        <v>1160012S00118D   00</v>
      </c>
      <c r="B10298" t="s">
        <v>22759</v>
      </c>
      <c r="C10298" t="s">
        <v>22760</v>
      </c>
      <c r="E10298" t="s">
        <v>39</v>
      </c>
      <c r="F10298">
        <v>0</v>
      </c>
      <c r="G10298">
        <v>0</v>
      </c>
      <c r="H10298">
        <v>1</v>
      </c>
      <c r="I10298" s="3">
        <v>2224.08</v>
      </c>
      <c r="J10298" s="3">
        <v>667.2</v>
      </c>
      <c r="K10298" t="s">
        <v>22761</v>
      </c>
      <c r="M10298" t="s">
        <v>22762</v>
      </c>
      <c r="N10298" t="s">
        <v>7931</v>
      </c>
      <c r="O10298" t="s">
        <v>495</v>
      </c>
      <c r="P10298" t="str">
        <f>"91359"</f>
        <v>91359</v>
      </c>
    </row>
    <row r="10299" spans="1:16" x14ac:dyDescent="0.25">
      <c r="A10299" t="str">
        <f>"1160012S00121    00"</f>
        <v>1160012S00121    00</v>
      </c>
      <c r="B10299" t="s">
        <v>22763</v>
      </c>
      <c r="C10299" t="s">
        <v>22764</v>
      </c>
      <c r="D10299" t="s">
        <v>20</v>
      </c>
      <c r="E10299" t="s">
        <v>39</v>
      </c>
      <c r="F10299">
        <v>0</v>
      </c>
      <c r="G10299">
        <v>0</v>
      </c>
      <c r="H10299">
        <v>17</v>
      </c>
      <c r="I10299" s="3">
        <v>985.59</v>
      </c>
      <c r="J10299" s="3">
        <v>1354.48</v>
      </c>
      <c r="L10299">
        <v>6536</v>
      </c>
      <c r="M10299" t="s">
        <v>246</v>
      </c>
      <c r="N10299" t="s">
        <v>30</v>
      </c>
      <c r="O10299" t="s">
        <v>31</v>
      </c>
      <c r="P10299" t="str">
        <f>"15217"</f>
        <v>15217</v>
      </c>
    </row>
    <row r="10300" spans="1:16" x14ac:dyDescent="0.25">
      <c r="A10300" t="str">
        <f>"1160012S00129A   00"</f>
        <v>1160012S00129A   00</v>
      </c>
      <c r="B10300" t="s">
        <v>22765</v>
      </c>
      <c r="C10300" t="s">
        <v>22766</v>
      </c>
      <c r="D10300" t="s">
        <v>20</v>
      </c>
      <c r="E10300" t="s">
        <v>39</v>
      </c>
      <c r="F10300">
        <v>0</v>
      </c>
      <c r="G10300">
        <v>0</v>
      </c>
      <c r="H10300">
        <v>1</v>
      </c>
      <c r="I10300" s="3">
        <v>525.86</v>
      </c>
      <c r="J10300" s="3">
        <v>0</v>
      </c>
      <c r="L10300">
        <v>2836</v>
      </c>
      <c r="M10300" t="s">
        <v>22614</v>
      </c>
      <c r="N10300" t="s">
        <v>30</v>
      </c>
      <c r="O10300" t="s">
        <v>31</v>
      </c>
      <c r="P10300" t="str">
        <f>"15203"</f>
        <v>15203</v>
      </c>
    </row>
    <row r="10301" spans="1:16" x14ac:dyDescent="0.25">
      <c r="A10301" t="str">
        <f>"1160012S00158    00"</f>
        <v>1160012S00158    00</v>
      </c>
      <c r="B10301" t="s">
        <v>4774</v>
      </c>
      <c r="C10301" t="s">
        <v>22767</v>
      </c>
      <c r="D10301" t="s">
        <v>20</v>
      </c>
      <c r="E10301" t="s">
        <v>39</v>
      </c>
      <c r="F10301">
        <v>0</v>
      </c>
      <c r="G10301">
        <v>0</v>
      </c>
      <c r="H10301">
        <v>3</v>
      </c>
      <c r="I10301" s="3">
        <v>12019.23</v>
      </c>
      <c r="J10301" s="3">
        <v>801.25</v>
      </c>
      <c r="L10301">
        <v>3984</v>
      </c>
      <c r="M10301" t="s">
        <v>4776</v>
      </c>
      <c r="N10301" t="s">
        <v>195</v>
      </c>
      <c r="O10301" t="s">
        <v>31</v>
      </c>
      <c r="P10301" t="str">
        <f>"15101"</f>
        <v>15101</v>
      </c>
    </row>
    <row r="10302" spans="1:16" x14ac:dyDescent="0.25">
      <c r="A10302" t="str">
        <f>"1160012S00170    00"</f>
        <v>1160012S00170    00</v>
      </c>
      <c r="B10302" t="s">
        <v>22768</v>
      </c>
      <c r="C10302" t="s">
        <v>22769</v>
      </c>
      <c r="D10302" t="s">
        <v>20</v>
      </c>
      <c r="E10302" t="s">
        <v>39</v>
      </c>
      <c r="F10302">
        <v>0</v>
      </c>
      <c r="G10302">
        <v>0</v>
      </c>
      <c r="H10302">
        <v>2</v>
      </c>
      <c r="I10302" s="3">
        <v>3734.32</v>
      </c>
      <c r="J10302" s="3">
        <v>0</v>
      </c>
      <c r="K10302" t="s">
        <v>728</v>
      </c>
      <c r="L10302">
        <v>3001</v>
      </c>
      <c r="M10302" t="s">
        <v>330</v>
      </c>
      <c r="N10302" t="s">
        <v>331</v>
      </c>
      <c r="O10302" t="s">
        <v>108</v>
      </c>
      <c r="P10302" t="str">
        <f>"75063"</f>
        <v>75063</v>
      </c>
    </row>
    <row r="10303" spans="1:16" x14ac:dyDescent="0.25">
      <c r="A10303" t="str">
        <f>"1160012S00208    00"</f>
        <v>1160012S00208    00</v>
      </c>
      <c r="B10303" t="s">
        <v>22770</v>
      </c>
      <c r="C10303" t="s">
        <v>22771</v>
      </c>
      <c r="E10303" t="s">
        <v>39</v>
      </c>
      <c r="F10303">
        <v>0</v>
      </c>
      <c r="G10303">
        <v>0</v>
      </c>
      <c r="H10303">
        <v>1</v>
      </c>
      <c r="I10303" s="3">
        <v>58</v>
      </c>
      <c r="J10303" s="3">
        <v>17.399999999999999</v>
      </c>
      <c r="K10303" t="s">
        <v>391</v>
      </c>
      <c r="L10303">
        <v>1</v>
      </c>
      <c r="M10303" t="s">
        <v>392</v>
      </c>
      <c r="N10303" t="s">
        <v>393</v>
      </c>
      <c r="O10303" t="s">
        <v>394</v>
      </c>
      <c r="P10303" t="str">
        <f>"50328"</f>
        <v>50328</v>
      </c>
    </row>
    <row r="10304" spans="1:16" x14ac:dyDescent="0.25">
      <c r="A10304" t="str">
        <f>"1160012S00221    00"</f>
        <v>1160012S00221    00</v>
      </c>
      <c r="B10304" t="s">
        <v>22772</v>
      </c>
      <c r="C10304" t="s">
        <v>22773</v>
      </c>
      <c r="E10304" t="s">
        <v>39</v>
      </c>
      <c r="F10304">
        <v>0</v>
      </c>
      <c r="G10304">
        <v>0</v>
      </c>
      <c r="H10304">
        <v>1</v>
      </c>
      <c r="I10304" s="3">
        <v>1187.98</v>
      </c>
      <c r="J10304" s="3">
        <v>0</v>
      </c>
      <c r="K10304" t="s">
        <v>22774</v>
      </c>
      <c r="L10304">
        <v>108</v>
      </c>
      <c r="M10304" t="s">
        <v>22775</v>
      </c>
      <c r="N10304" t="s">
        <v>22776</v>
      </c>
      <c r="O10304" t="s">
        <v>31</v>
      </c>
      <c r="P10304" t="str">
        <f>"16041"</f>
        <v>16041</v>
      </c>
    </row>
    <row r="10305" spans="1:16" x14ac:dyDescent="0.25">
      <c r="A10305" t="str">
        <f>"1160012S00230    00"</f>
        <v>1160012S00230    00</v>
      </c>
      <c r="B10305" t="s">
        <v>22777</v>
      </c>
      <c r="C10305" t="s">
        <v>22778</v>
      </c>
      <c r="D10305" t="s">
        <v>20</v>
      </c>
      <c r="E10305" t="s">
        <v>39</v>
      </c>
      <c r="F10305">
        <v>0</v>
      </c>
      <c r="G10305">
        <v>0</v>
      </c>
      <c r="H10305">
        <v>17</v>
      </c>
      <c r="I10305" s="3">
        <v>418.48</v>
      </c>
      <c r="J10305" s="3">
        <v>537.35</v>
      </c>
      <c r="L10305">
        <v>2611</v>
      </c>
      <c r="M10305" t="s">
        <v>22779</v>
      </c>
      <c r="N10305" t="s">
        <v>30</v>
      </c>
      <c r="O10305" t="s">
        <v>31</v>
      </c>
      <c r="P10305" t="str">
        <f>"15203"</f>
        <v>15203</v>
      </c>
    </row>
    <row r="10306" spans="1:16" x14ac:dyDescent="0.25">
      <c r="A10306" t="str">
        <f>"1160012S00244    00"</f>
        <v>1160012S00244    00</v>
      </c>
      <c r="B10306" t="s">
        <v>22780</v>
      </c>
      <c r="C10306" t="s">
        <v>22781</v>
      </c>
      <c r="D10306" t="s">
        <v>20</v>
      </c>
      <c r="E10306" t="s">
        <v>21</v>
      </c>
      <c r="F10306">
        <v>0</v>
      </c>
      <c r="G10306">
        <v>0</v>
      </c>
      <c r="H10306">
        <v>2</v>
      </c>
      <c r="I10306" s="3">
        <v>6671</v>
      </c>
      <c r="J10306" s="3">
        <v>0</v>
      </c>
      <c r="K10306" t="s">
        <v>22782</v>
      </c>
      <c r="L10306">
        <v>400</v>
      </c>
      <c r="M10306" t="s">
        <v>22783</v>
      </c>
      <c r="N10306" t="s">
        <v>30</v>
      </c>
      <c r="O10306" t="s">
        <v>31</v>
      </c>
      <c r="P10306" t="str">
        <f>"15211"</f>
        <v>15211</v>
      </c>
    </row>
    <row r="10307" spans="1:16" x14ac:dyDescent="0.25">
      <c r="A10307" t="str">
        <f>"1160012S00302    00"</f>
        <v>1160012S00302    00</v>
      </c>
      <c r="B10307" t="s">
        <v>22784</v>
      </c>
      <c r="C10307" t="s">
        <v>22785</v>
      </c>
      <c r="E10307" t="s">
        <v>39</v>
      </c>
      <c r="F10307">
        <v>0</v>
      </c>
      <c r="G10307">
        <v>0</v>
      </c>
      <c r="H10307">
        <v>1</v>
      </c>
      <c r="I10307" s="3">
        <v>4096.46</v>
      </c>
      <c r="J10307" s="3">
        <v>3038.08</v>
      </c>
      <c r="L10307">
        <v>2532</v>
      </c>
      <c r="M10307" t="s">
        <v>3323</v>
      </c>
      <c r="N10307" t="s">
        <v>30</v>
      </c>
      <c r="O10307" t="s">
        <v>31</v>
      </c>
      <c r="P10307" t="str">
        <f>"15203"</f>
        <v>15203</v>
      </c>
    </row>
    <row r="10308" spans="1:16" x14ac:dyDescent="0.25">
      <c r="A10308" t="str">
        <f>"1160012S00308    00"</f>
        <v>1160012S00308    00</v>
      </c>
      <c r="B10308" t="s">
        <v>22786</v>
      </c>
      <c r="C10308" t="s">
        <v>22787</v>
      </c>
      <c r="D10308" t="s">
        <v>20</v>
      </c>
      <c r="E10308" t="s">
        <v>290</v>
      </c>
      <c r="F10308">
        <v>0</v>
      </c>
      <c r="G10308">
        <v>0</v>
      </c>
      <c r="H10308">
        <v>4</v>
      </c>
      <c r="I10308" s="3">
        <v>99051.96</v>
      </c>
      <c r="J10308" s="3">
        <v>11705.3</v>
      </c>
      <c r="K10308" t="s">
        <v>22788</v>
      </c>
      <c r="L10308">
        <v>612</v>
      </c>
      <c r="M10308" t="s">
        <v>22789</v>
      </c>
      <c r="N10308" t="s">
        <v>30</v>
      </c>
      <c r="O10308" t="s">
        <v>31</v>
      </c>
      <c r="P10308" t="str">
        <f>"15202"</f>
        <v>15202</v>
      </c>
    </row>
    <row r="10309" spans="1:16" x14ac:dyDescent="0.25">
      <c r="A10309" t="str">
        <f>"1160012S00310    00"</f>
        <v>1160012S00310    00</v>
      </c>
      <c r="B10309" t="s">
        <v>22790</v>
      </c>
      <c r="C10309" t="s">
        <v>22791</v>
      </c>
      <c r="E10309" t="s">
        <v>39</v>
      </c>
      <c r="F10309">
        <v>0</v>
      </c>
      <c r="G10309">
        <v>0</v>
      </c>
      <c r="H10309">
        <v>1</v>
      </c>
      <c r="I10309" s="3">
        <v>349.58</v>
      </c>
      <c r="J10309" s="3">
        <v>410.73</v>
      </c>
      <c r="K10309" t="s">
        <v>391</v>
      </c>
      <c r="L10309">
        <v>1</v>
      </c>
      <c r="M10309" t="s">
        <v>392</v>
      </c>
      <c r="N10309" t="s">
        <v>393</v>
      </c>
      <c r="O10309" t="s">
        <v>394</v>
      </c>
      <c r="P10309" t="str">
        <f>"50328"</f>
        <v>50328</v>
      </c>
    </row>
    <row r="10310" spans="1:16" x14ac:dyDescent="0.25">
      <c r="A10310" t="str">
        <f>"1160013C00007    00"</f>
        <v>1160013C00007    00</v>
      </c>
      <c r="B10310" t="s">
        <v>22792</v>
      </c>
      <c r="C10310" t="s">
        <v>22793</v>
      </c>
      <c r="E10310" t="s">
        <v>39</v>
      </c>
      <c r="F10310">
        <v>0</v>
      </c>
      <c r="G10310">
        <v>0</v>
      </c>
      <c r="H10310">
        <v>1</v>
      </c>
      <c r="I10310" s="3">
        <v>801.24</v>
      </c>
      <c r="J10310" s="3">
        <v>180.27</v>
      </c>
      <c r="L10310">
        <v>24</v>
      </c>
      <c r="M10310" t="s">
        <v>22794</v>
      </c>
      <c r="N10310" t="s">
        <v>30</v>
      </c>
      <c r="O10310" t="s">
        <v>31</v>
      </c>
      <c r="P10310" t="str">
        <f>"15203"</f>
        <v>15203</v>
      </c>
    </row>
    <row r="10311" spans="1:16" x14ac:dyDescent="0.25">
      <c r="A10311" t="str">
        <f>"1160013C00016    00"</f>
        <v>1160013C00016    00</v>
      </c>
      <c r="B10311" t="s">
        <v>8467</v>
      </c>
      <c r="C10311" t="s">
        <v>22795</v>
      </c>
      <c r="D10311" t="s">
        <v>20</v>
      </c>
      <c r="E10311" t="s">
        <v>39</v>
      </c>
      <c r="F10311">
        <v>0</v>
      </c>
      <c r="G10311">
        <v>0</v>
      </c>
      <c r="H10311">
        <v>2</v>
      </c>
      <c r="I10311" s="3">
        <v>5317.76</v>
      </c>
      <c r="J10311" s="3">
        <v>0</v>
      </c>
      <c r="K10311" t="s">
        <v>8469</v>
      </c>
      <c r="M10311" t="s">
        <v>22796</v>
      </c>
      <c r="N10311" t="s">
        <v>30</v>
      </c>
      <c r="O10311" t="s">
        <v>31</v>
      </c>
      <c r="P10311" t="str">
        <f>"15234"</f>
        <v>15234</v>
      </c>
    </row>
    <row r="10312" spans="1:16" x14ac:dyDescent="0.25">
      <c r="A10312" t="str">
        <f>"1160013C00018    00"</f>
        <v>1160013C00018    00</v>
      </c>
      <c r="B10312" t="s">
        <v>22797</v>
      </c>
      <c r="C10312" t="s">
        <v>22798</v>
      </c>
      <c r="D10312" t="s">
        <v>5698</v>
      </c>
      <c r="E10312" t="s">
        <v>39</v>
      </c>
      <c r="F10312">
        <v>0</v>
      </c>
      <c r="G10312">
        <v>0</v>
      </c>
      <c r="H10312">
        <v>1</v>
      </c>
      <c r="I10312" s="3">
        <v>91.49</v>
      </c>
      <c r="J10312" s="3">
        <v>1.52</v>
      </c>
      <c r="L10312">
        <v>68</v>
      </c>
      <c r="M10312" t="s">
        <v>22799</v>
      </c>
      <c r="N10312" t="s">
        <v>30</v>
      </c>
      <c r="O10312" t="s">
        <v>31</v>
      </c>
      <c r="P10312" t="str">
        <f>"15203"</f>
        <v>15203</v>
      </c>
    </row>
    <row r="10313" spans="1:16" x14ac:dyDescent="0.25">
      <c r="A10313" t="str">
        <f>"1160013C00050    00"</f>
        <v>1160013C00050    00</v>
      </c>
      <c r="B10313" t="s">
        <v>22800</v>
      </c>
      <c r="C10313" t="s">
        <v>22801</v>
      </c>
      <c r="E10313" t="s">
        <v>39</v>
      </c>
      <c r="F10313">
        <v>0</v>
      </c>
      <c r="G10313">
        <v>0</v>
      </c>
      <c r="H10313">
        <v>2</v>
      </c>
      <c r="I10313" s="3">
        <v>2367.67</v>
      </c>
      <c r="J10313" s="3">
        <v>535.38</v>
      </c>
      <c r="K10313" t="s">
        <v>22802</v>
      </c>
      <c r="L10313">
        <v>1522</v>
      </c>
      <c r="M10313" t="s">
        <v>6264</v>
      </c>
      <c r="N10313" t="s">
        <v>30</v>
      </c>
      <c r="O10313" t="s">
        <v>31</v>
      </c>
      <c r="P10313" t="str">
        <f>"15203"</f>
        <v>15203</v>
      </c>
    </row>
    <row r="10314" spans="1:16" x14ac:dyDescent="0.25">
      <c r="A10314" t="str">
        <f>"1160013C00052    00"</f>
        <v>1160013C00052    00</v>
      </c>
      <c r="B10314" t="s">
        <v>22803</v>
      </c>
      <c r="C10314" t="s">
        <v>22804</v>
      </c>
      <c r="D10314" t="s">
        <v>20</v>
      </c>
      <c r="E10314" t="s">
        <v>39</v>
      </c>
      <c r="F10314">
        <v>0</v>
      </c>
      <c r="G10314">
        <v>0</v>
      </c>
      <c r="H10314">
        <v>3</v>
      </c>
      <c r="I10314" s="3">
        <v>1246.8800000000001</v>
      </c>
      <c r="J10314" s="3">
        <v>94.95</v>
      </c>
      <c r="L10314">
        <v>2401</v>
      </c>
      <c r="M10314" t="s">
        <v>22805</v>
      </c>
      <c r="N10314" t="s">
        <v>30</v>
      </c>
      <c r="O10314" t="s">
        <v>31</v>
      </c>
      <c r="P10314" t="str">
        <f>"15203"</f>
        <v>15203</v>
      </c>
    </row>
    <row r="10315" spans="1:16" x14ac:dyDescent="0.25">
      <c r="A10315" t="str">
        <f>"1160013C00081    00"</f>
        <v>1160013C00081    00</v>
      </c>
      <c r="B10315" t="s">
        <v>22797</v>
      </c>
      <c r="C10315" t="s">
        <v>22806</v>
      </c>
      <c r="E10315" t="s">
        <v>39</v>
      </c>
      <c r="F10315">
        <v>0</v>
      </c>
      <c r="G10315">
        <v>0</v>
      </c>
      <c r="H10315">
        <v>1</v>
      </c>
      <c r="I10315" s="3">
        <v>362.16</v>
      </c>
      <c r="J10315" s="3">
        <v>6.04</v>
      </c>
      <c r="L10315">
        <v>68</v>
      </c>
      <c r="M10315" t="s">
        <v>22799</v>
      </c>
      <c r="N10315" t="s">
        <v>30</v>
      </c>
      <c r="O10315" t="s">
        <v>31</v>
      </c>
      <c r="P10315" t="str">
        <f>"15203"</f>
        <v>15203</v>
      </c>
    </row>
    <row r="10316" spans="1:16" x14ac:dyDescent="0.25">
      <c r="A10316" t="str">
        <f>"1160013C00121A   00"</f>
        <v>1160013C00121A   00</v>
      </c>
      <c r="B10316" t="s">
        <v>22807</v>
      </c>
      <c r="C10316" t="s">
        <v>22808</v>
      </c>
      <c r="E10316" t="s">
        <v>39</v>
      </c>
      <c r="F10316">
        <v>0</v>
      </c>
      <c r="G10316">
        <v>0</v>
      </c>
      <c r="H10316">
        <v>1</v>
      </c>
      <c r="I10316" s="3">
        <v>1326.34</v>
      </c>
      <c r="J10316" s="3">
        <v>364.73</v>
      </c>
      <c r="K10316" t="s">
        <v>7145</v>
      </c>
      <c r="L10316">
        <v>3001</v>
      </c>
      <c r="M10316" t="s">
        <v>330</v>
      </c>
      <c r="N10316" t="s">
        <v>331</v>
      </c>
      <c r="O10316" t="s">
        <v>108</v>
      </c>
      <c r="P10316" t="str">
        <f>"75063"</f>
        <v>75063</v>
      </c>
    </row>
    <row r="10317" spans="1:16" x14ac:dyDescent="0.25">
      <c r="A10317" t="str">
        <f>"1160013C00136    00"</f>
        <v>1160013C00136    00</v>
      </c>
      <c r="B10317" t="s">
        <v>22809</v>
      </c>
      <c r="C10317" t="s">
        <v>22810</v>
      </c>
      <c r="D10317" t="s">
        <v>20</v>
      </c>
      <c r="E10317" t="s">
        <v>39</v>
      </c>
      <c r="F10317">
        <v>0</v>
      </c>
      <c r="G10317">
        <v>0</v>
      </c>
      <c r="H10317">
        <v>2</v>
      </c>
      <c r="I10317" s="3">
        <v>1306.83</v>
      </c>
      <c r="J10317" s="3">
        <v>0.94</v>
      </c>
      <c r="L10317">
        <v>37</v>
      </c>
      <c r="M10317" t="s">
        <v>22811</v>
      </c>
      <c r="N10317" t="s">
        <v>30</v>
      </c>
      <c r="O10317" t="s">
        <v>31</v>
      </c>
      <c r="P10317" t="str">
        <f>"15203"</f>
        <v>15203</v>
      </c>
    </row>
    <row r="10318" spans="1:16" x14ac:dyDescent="0.25">
      <c r="A10318" t="str">
        <f>"1160013C00138    00"</f>
        <v>1160013C00138    00</v>
      </c>
      <c r="B10318" t="s">
        <v>22812</v>
      </c>
      <c r="C10318" t="s">
        <v>22813</v>
      </c>
      <c r="D10318" t="s">
        <v>20</v>
      </c>
      <c r="E10318" t="s">
        <v>39</v>
      </c>
      <c r="F10318">
        <v>0</v>
      </c>
      <c r="G10318">
        <v>0</v>
      </c>
      <c r="H10318">
        <v>5</v>
      </c>
      <c r="I10318" s="3">
        <v>111.21</v>
      </c>
      <c r="J10318" s="3">
        <v>32.35</v>
      </c>
      <c r="L10318">
        <v>25</v>
      </c>
      <c r="M10318" t="s">
        <v>22811</v>
      </c>
      <c r="N10318" t="s">
        <v>30</v>
      </c>
      <c r="O10318" t="s">
        <v>31</v>
      </c>
      <c r="P10318" t="str">
        <f>"15203"</f>
        <v>15203</v>
      </c>
    </row>
    <row r="10319" spans="1:16" x14ac:dyDescent="0.25">
      <c r="A10319" t="str">
        <f>"1160013C00140    00"</f>
        <v>1160013C00140    00</v>
      </c>
      <c r="B10319" t="s">
        <v>22814</v>
      </c>
      <c r="C10319" t="s">
        <v>22813</v>
      </c>
      <c r="D10319" t="s">
        <v>20</v>
      </c>
      <c r="E10319" t="s">
        <v>39</v>
      </c>
      <c r="F10319">
        <v>0</v>
      </c>
      <c r="G10319">
        <v>0</v>
      </c>
      <c r="H10319">
        <v>1</v>
      </c>
      <c r="I10319" s="3">
        <v>571.79999999999995</v>
      </c>
      <c r="J10319" s="3">
        <v>0</v>
      </c>
      <c r="L10319">
        <v>134</v>
      </c>
      <c r="M10319" t="s">
        <v>22815</v>
      </c>
      <c r="N10319" t="s">
        <v>30</v>
      </c>
      <c r="O10319" t="s">
        <v>31</v>
      </c>
      <c r="P10319" t="str">
        <f>"15227"</f>
        <v>15227</v>
      </c>
    </row>
    <row r="10320" spans="1:16" x14ac:dyDescent="0.25">
      <c r="A10320" t="str">
        <f>"1160013C00190    00"</f>
        <v>1160013C00190    00</v>
      </c>
      <c r="B10320" t="s">
        <v>22816</v>
      </c>
      <c r="C10320" t="s">
        <v>22817</v>
      </c>
      <c r="E10320" t="s">
        <v>39</v>
      </c>
      <c r="F10320">
        <v>0</v>
      </c>
      <c r="G10320">
        <v>0</v>
      </c>
      <c r="H10320">
        <v>1</v>
      </c>
      <c r="I10320" s="3">
        <v>312.66000000000003</v>
      </c>
      <c r="J10320" s="3">
        <v>153.72</v>
      </c>
      <c r="L10320">
        <v>2410</v>
      </c>
      <c r="M10320" t="s">
        <v>22811</v>
      </c>
      <c r="N10320" t="s">
        <v>30</v>
      </c>
      <c r="O10320" t="s">
        <v>31</v>
      </c>
      <c r="P10320" t="str">
        <f>"15203"</f>
        <v>15203</v>
      </c>
    </row>
    <row r="10321" spans="1:16" x14ac:dyDescent="0.25">
      <c r="A10321" t="str">
        <f>"1160013C00192    00"</f>
        <v>1160013C00192    00</v>
      </c>
      <c r="B10321" t="s">
        <v>22818</v>
      </c>
      <c r="C10321" t="s">
        <v>22813</v>
      </c>
      <c r="D10321" t="s">
        <v>20</v>
      </c>
      <c r="E10321" t="s">
        <v>39</v>
      </c>
      <c r="F10321">
        <v>0</v>
      </c>
      <c r="G10321">
        <v>0</v>
      </c>
      <c r="H10321">
        <v>2</v>
      </c>
      <c r="I10321" s="3">
        <v>575.64</v>
      </c>
      <c r="J10321" s="3">
        <v>0</v>
      </c>
      <c r="L10321">
        <v>25</v>
      </c>
      <c r="M10321" t="s">
        <v>22811</v>
      </c>
      <c r="N10321" t="s">
        <v>30</v>
      </c>
      <c r="O10321" t="s">
        <v>31</v>
      </c>
      <c r="P10321" t="str">
        <f>"15203"</f>
        <v>15203</v>
      </c>
    </row>
    <row r="10322" spans="1:16" x14ac:dyDescent="0.25">
      <c r="A10322" t="str">
        <f>"1160013C00223    00"</f>
        <v>1160013C00223    00</v>
      </c>
      <c r="B10322" t="s">
        <v>22819</v>
      </c>
      <c r="C10322" t="s">
        <v>22820</v>
      </c>
      <c r="D10322" t="s">
        <v>20</v>
      </c>
      <c r="E10322" t="s">
        <v>39</v>
      </c>
      <c r="F10322">
        <v>0</v>
      </c>
      <c r="G10322">
        <v>0</v>
      </c>
      <c r="H10322">
        <v>1</v>
      </c>
      <c r="I10322" s="3">
        <v>181.08</v>
      </c>
      <c r="J10322" s="3">
        <v>0</v>
      </c>
      <c r="K10322" t="s">
        <v>22821</v>
      </c>
      <c r="L10322">
        <v>9201</v>
      </c>
      <c r="M10322" t="s">
        <v>22822</v>
      </c>
      <c r="N10322" t="s">
        <v>22823</v>
      </c>
      <c r="O10322" t="s">
        <v>4784</v>
      </c>
      <c r="P10322" t="str">
        <f>"64114"</f>
        <v>64114</v>
      </c>
    </row>
    <row r="10323" spans="1:16" x14ac:dyDescent="0.25">
      <c r="A10323" t="str">
        <f>"1160013C00241    00"</f>
        <v>1160013C00241    00</v>
      </c>
      <c r="B10323" t="s">
        <v>22824</v>
      </c>
      <c r="C10323" t="s">
        <v>22825</v>
      </c>
      <c r="E10323" t="s">
        <v>39</v>
      </c>
      <c r="F10323">
        <v>0</v>
      </c>
      <c r="G10323">
        <v>0</v>
      </c>
      <c r="H10323">
        <v>2</v>
      </c>
      <c r="I10323" s="3">
        <v>6045.84</v>
      </c>
      <c r="J10323" s="3">
        <v>75.569999999999993</v>
      </c>
      <c r="K10323" t="s">
        <v>22826</v>
      </c>
      <c r="L10323">
        <v>1400</v>
      </c>
      <c r="M10323" t="s">
        <v>22827</v>
      </c>
      <c r="N10323" t="s">
        <v>3681</v>
      </c>
      <c r="O10323" t="s">
        <v>4784</v>
      </c>
      <c r="P10323" t="str">
        <f>"65203"</f>
        <v>65203</v>
      </c>
    </row>
    <row r="10324" spans="1:16" x14ac:dyDescent="0.25">
      <c r="A10324" t="str">
        <f>"1160013C00248    00"</f>
        <v>1160013C00248    00</v>
      </c>
      <c r="B10324" t="s">
        <v>22828</v>
      </c>
      <c r="C10324" t="s">
        <v>22820</v>
      </c>
      <c r="D10324" t="s">
        <v>20</v>
      </c>
      <c r="E10324" t="s">
        <v>39</v>
      </c>
      <c r="F10324">
        <v>0</v>
      </c>
      <c r="G10324">
        <v>0</v>
      </c>
      <c r="H10324">
        <v>18</v>
      </c>
      <c r="I10324" s="3">
        <v>1159.44</v>
      </c>
      <c r="J10324" s="3">
        <v>822.71</v>
      </c>
      <c r="L10324">
        <v>2716</v>
      </c>
      <c r="M10324" t="s">
        <v>22829</v>
      </c>
      <c r="N10324" t="s">
        <v>30</v>
      </c>
      <c r="O10324" t="s">
        <v>31</v>
      </c>
      <c r="P10324" t="str">
        <f>"15203"</f>
        <v>15203</v>
      </c>
    </row>
    <row r="10325" spans="1:16" x14ac:dyDescent="0.25">
      <c r="A10325" t="str">
        <f>"1160013C00249    00"</f>
        <v>1160013C00249    00</v>
      </c>
      <c r="B10325" t="s">
        <v>22828</v>
      </c>
      <c r="C10325" t="s">
        <v>22830</v>
      </c>
      <c r="D10325" t="s">
        <v>20</v>
      </c>
      <c r="E10325" t="s">
        <v>39</v>
      </c>
      <c r="F10325">
        <v>0</v>
      </c>
      <c r="G10325">
        <v>0</v>
      </c>
      <c r="H10325">
        <v>14</v>
      </c>
      <c r="I10325" s="3">
        <v>11275.56</v>
      </c>
      <c r="J10325" s="3">
        <v>6741.26</v>
      </c>
      <c r="L10325">
        <v>2716</v>
      </c>
      <c r="M10325" t="s">
        <v>22829</v>
      </c>
      <c r="N10325" t="s">
        <v>30</v>
      </c>
      <c r="O10325" t="s">
        <v>31</v>
      </c>
      <c r="P10325" t="str">
        <f>"15203"</f>
        <v>15203</v>
      </c>
    </row>
    <row r="10326" spans="1:16" x14ac:dyDescent="0.25">
      <c r="A10326" t="str">
        <f>"1160013C00268    00"</f>
        <v>1160013C00268    00</v>
      </c>
      <c r="B10326" t="s">
        <v>22831</v>
      </c>
      <c r="C10326" t="s">
        <v>22832</v>
      </c>
      <c r="E10326" t="s">
        <v>39</v>
      </c>
      <c r="F10326">
        <v>0</v>
      </c>
      <c r="G10326">
        <v>0</v>
      </c>
      <c r="H10326">
        <v>1</v>
      </c>
      <c r="I10326" s="3">
        <v>1584.5</v>
      </c>
      <c r="J10326" s="3">
        <v>1359.97</v>
      </c>
      <c r="K10326" t="s">
        <v>1135</v>
      </c>
      <c r="L10326">
        <v>3001</v>
      </c>
      <c r="M10326" t="s">
        <v>330</v>
      </c>
      <c r="N10326" t="s">
        <v>331</v>
      </c>
      <c r="O10326" t="s">
        <v>108</v>
      </c>
      <c r="P10326" t="str">
        <f>"75063"</f>
        <v>75063</v>
      </c>
    </row>
    <row r="10327" spans="1:16" x14ac:dyDescent="0.25">
      <c r="A10327" t="str">
        <f>"1160013C00281    00"</f>
        <v>1160013C00281    00</v>
      </c>
      <c r="B10327" t="s">
        <v>22833</v>
      </c>
      <c r="C10327" t="s">
        <v>22834</v>
      </c>
      <c r="D10327" t="s">
        <v>20</v>
      </c>
      <c r="E10327" t="s">
        <v>39</v>
      </c>
      <c r="F10327">
        <v>0</v>
      </c>
      <c r="G10327">
        <v>0</v>
      </c>
      <c r="H10327">
        <v>3</v>
      </c>
      <c r="I10327" s="3">
        <v>4036.89</v>
      </c>
      <c r="J10327" s="3">
        <v>269.11</v>
      </c>
      <c r="L10327">
        <v>2323</v>
      </c>
      <c r="M10327" t="s">
        <v>22835</v>
      </c>
      <c r="N10327" t="s">
        <v>30</v>
      </c>
      <c r="O10327" t="s">
        <v>31</v>
      </c>
      <c r="P10327" t="str">
        <f>"15203"</f>
        <v>15203</v>
      </c>
    </row>
    <row r="10328" spans="1:16" x14ac:dyDescent="0.25">
      <c r="A10328" t="str">
        <f>"1160013C00283    00"</f>
        <v>1160013C00283    00</v>
      </c>
      <c r="B10328" t="s">
        <v>22836</v>
      </c>
      <c r="C10328" t="s">
        <v>22741</v>
      </c>
      <c r="D10328" t="s">
        <v>20</v>
      </c>
      <c r="E10328" t="s">
        <v>39</v>
      </c>
      <c r="F10328">
        <v>0</v>
      </c>
      <c r="G10328">
        <v>0</v>
      </c>
      <c r="H10328">
        <v>17</v>
      </c>
      <c r="I10328" s="3">
        <v>56.38</v>
      </c>
      <c r="J10328" s="3">
        <v>49.83</v>
      </c>
      <c r="P10328" t="str">
        <f>""</f>
        <v/>
      </c>
    </row>
    <row r="10329" spans="1:16" x14ac:dyDescent="0.25">
      <c r="A10329" t="str">
        <f>"1160013C00311    00"</f>
        <v>1160013C00311    00</v>
      </c>
      <c r="B10329" t="s">
        <v>22837</v>
      </c>
      <c r="C10329" t="s">
        <v>22838</v>
      </c>
      <c r="E10329" t="s">
        <v>39</v>
      </c>
      <c r="F10329">
        <v>0</v>
      </c>
      <c r="G10329">
        <v>0</v>
      </c>
      <c r="H10329">
        <v>2</v>
      </c>
      <c r="I10329" s="3">
        <v>2365.54</v>
      </c>
      <c r="J10329" s="3">
        <v>39.43</v>
      </c>
      <c r="L10329">
        <v>2359</v>
      </c>
      <c r="M10329" t="s">
        <v>22811</v>
      </c>
      <c r="N10329" t="s">
        <v>30</v>
      </c>
      <c r="O10329" t="s">
        <v>31</v>
      </c>
      <c r="P10329" t="str">
        <f>"15203"</f>
        <v>15203</v>
      </c>
    </row>
    <row r="10330" spans="1:16" x14ac:dyDescent="0.25">
      <c r="A10330" t="str">
        <f>"1160013C00313    00"</f>
        <v>1160013C00313    00</v>
      </c>
      <c r="B10330" t="s">
        <v>22837</v>
      </c>
      <c r="C10330" t="s">
        <v>22839</v>
      </c>
      <c r="E10330" t="s">
        <v>39</v>
      </c>
      <c r="F10330">
        <v>0</v>
      </c>
      <c r="G10330">
        <v>0</v>
      </c>
      <c r="H10330">
        <v>3</v>
      </c>
      <c r="I10330" s="3">
        <v>839.34</v>
      </c>
      <c r="J10330" s="3">
        <v>161.47</v>
      </c>
      <c r="L10330">
        <v>2359</v>
      </c>
      <c r="M10330" t="s">
        <v>22811</v>
      </c>
      <c r="N10330" t="s">
        <v>30</v>
      </c>
      <c r="O10330" t="s">
        <v>31</v>
      </c>
      <c r="P10330" t="str">
        <f>"15203"</f>
        <v>15203</v>
      </c>
    </row>
    <row r="10331" spans="1:16" x14ac:dyDescent="0.25">
      <c r="A10331" t="str">
        <f>"1160013C00314    00"</f>
        <v>1160013C00314    00</v>
      </c>
      <c r="B10331" t="s">
        <v>22840</v>
      </c>
      <c r="C10331" t="s">
        <v>22841</v>
      </c>
      <c r="E10331" t="s">
        <v>39</v>
      </c>
      <c r="F10331">
        <v>0</v>
      </c>
      <c r="G10331">
        <v>0</v>
      </c>
      <c r="H10331">
        <v>1</v>
      </c>
      <c r="I10331" s="3">
        <v>211.8</v>
      </c>
      <c r="J10331" s="3">
        <v>210.02</v>
      </c>
      <c r="L10331">
        <v>2535</v>
      </c>
      <c r="M10331" t="s">
        <v>614</v>
      </c>
      <c r="N10331" t="s">
        <v>30</v>
      </c>
      <c r="O10331" t="s">
        <v>31</v>
      </c>
      <c r="P10331" t="str">
        <f>"15226"</f>
        <v>15226</v>
      </c>
    </row>
    <row r="10332" spans="1:16" x14ac:dyDescent="0.25">
      <c r="A10332" t="str">
        <f>"1160013C00322    00"</f>
        <v>1160013C00322    00</v>
      </c>
      <c r="B10332" t="s">
        <v>22842</v>
      </c>
      <c r="C10332" t="s">
        <v>22843</v>
      </c>
      <c r="D10332" t="s">
        <v>20</v>
      </c>
      <c r="E10332" t="s">
        <v>39</v>
      </c>
      <c r="F10332">
        <v>0</v>
      </c>
      <c r="G10332">
        <v>0</v>
      </c>
      <c r="H10332">
        <v>1</v>
      </c>
      <c r="I10332" s="3">
        <v>106.74</v>
      </c>
      <c r="J10332" s="3">
        <v>0</v>
      </c>
      <c r="K10332" t="s">
        <v>22844</v>
      </c>
      <c r="L10332">
        <v>4984</v>
      </c>
      <c r="M10332" t="s">
        <v>22845</v>
      </c>
      <c r="N10332" t="s">
        <v>30</v>
      </c>
      <c r="O10332" t="s">
        <v>31</v>
      </c>
      <c r="P10332" t="str">
        <f>"15236"</f>
        <v>15236</v>
      </c>
    </row>
    <row r="10333" spans="1:16" x14ac:dyDescent="0.25">
      <c r="A10333" t="str">
        <f>"1160013C00359202 00"</f>
        <v>1160013C00359202 00</v>
      </c>
      <c r="B10333" t="s">
        <v>22846</v>
      </c>
      <c r="C10333" t="s">
        <v>22847</v>
      </c>
      <c r="E10333" t="s">
        <v>39</v>
      </c>
      <c r="F10333">
        <v>0</v>
      </c>
      <c r="G10333">
        <v>0</v>
      </c>
      <c r="H10333">
        <v>1</v>
      </c>
      <c r="I10333" s="3">
        <v>635.25</v>
      </c>
      <c r="J10333" s="3">
        <v>301.73</v>
      </c>
      <c r="L10333">
        <v>1808</v>
      </c>
      <c r="M10333" t="s">
        <v>6208</v>
      </c>
      <c r="N10333" t="s">
        <v>30</v>
      </c>
      <c r="O10333" t="s">
        <v>31</v>
      </c>
      <c r="P10333" t="str">
        <f>"15217"</f>
        <v>15217</v>
      </c>
    </row>
    <row r="10334" spans="1:16" x14ac:dyDescent="0.25">
      <c r="A10334" t="str">
        <f>"1160013C00376    00"</f>
        <v>1160013C00376    00</v>
      </c>
      <c r="B10334" t="s">
        <v>22848</v>
      </c>
      <c r="C10334" t="s">
        <v>22849</v>
      </c>
      <c r="D10334" t="s">
        <v>20</v>
      </c>
      <c r="E10334" t="s">
        <v>39</v>
      </c>
      <c r="F10334">
        <v>0</v>
      </c>
      <c r="G10334">
        <v>0</v>
      </c>
      <c r="H10334">
        <v>2</v>
      </c>
      <c r="I10334" s="3">
        <v>131</v>
      </c>
      <c r="J10334" s="3">
        <v>0</v>
      </c>
      <c r="L10334">
        <v>67</v>
      </c>
      <c r="M10334" t="s">
        <v>22850</v>
      </c>
      <c r="N10334" t="s">
        <v>30</v>
      </c>
      <c r="O10334" t="s">
        <v>31</v>
      </c>
      <c r="P10334" t="str">
        <f>"15203"</f>
        <v>15203</v>
      </c>
    </row>
    <row r="10335" spans="1:16" x14ac:dyDescent="0.25">
      <c r="A10335" t="str">
        <f>"1160013C00389    00"</f>
        <v>1160013C00389    00</v>
      </c>
      <c r="B10335" t="s">
        <v>22851</v>
      </c>
      <c r="C10335" t="s">
        <v>22852</v>
      </c>
      <c r="E10335" t="s">
        <v>39</v>
      </c>
      <c r="F10335">
        <v>0</v>
      </c>
      <c r="G10335">
        <v>0</v>
      </c>
      <c r="H10335">
        <v>1</v>
      </c>
      <c r="I10335" s="3">
        <v>736.98</v>
      </c>
      <c r="J10335" s="3">
        <v>0</v>
      </c>
      <c r="L10335">
        <v>500</v>
      </c>
      <c r="M10335" t="s">
        <v>22850</v>
      </c>
      <c r="N10335" t="s">
        <v>30</v>
      </c>
      <c r="O10335" t="s">
        <v>31</v>
      </c>
      <c r="P10335" t="str">
        <f>"15203"</f>
        <v>15203</v>
      </c>
    </row>
    <row r="10336" spans="1:16" x14ac:dyDescent="0.25">
      <c r="A10336" t="str">
        <f>"1160013D00026    00"</f>
        <v>1160013D00026    00</v>
      </c>
      <c r="B10336" t="s">
        <v>22853</v>
      </c>
      <c r="C10336" t="s">
        <v>22854</v>
      </c>
      <c r="E10336" t="s">
        <v>39</v>
      </c>
      <c r="F10336">
        <v>0</v>
      </c>
      <c r="G10336">
        <v>0</v>
      </c>
      <c r="H10336">
        <v>1</v>
      </c>
      <c r="I10336" s="3">
        <v>535.04999999999995</v>
      </c>
      <c r="J10336" s="3">
        <v>22.29</v>
      </c>
      <c r="L10336">
        <v>3984</v>
      </c>
      <c r="M10336" t="s">
        <v>4776</v>
      </c>
      <c r="N10336" t="s">
        <v>195</v>
      </c>
      <c r="O10336" t="s">
        <v>31</v>
      </c>
      <c r="P10336" t="str">
        <f>"15101"</f>
        <v>15101</v>
      </c>
    </row>
    <row r="10337" spans="1:16" x14ac:dyDescent="0.25">
      <c r="A10337" t="str">
        <f>"1160013D00045    00"</f>
        <v>1160013D00045    00</v>
      </c>
      <c r="B10337" t="s">
        <v>22855</v>
      </c>
      <c r="C10337" t="s">
        <v>22856</v>
      </c>
      <c r="D10337" t="s">
        <v>20</v>
      </c>
      <c r="E10337" t="s">
        <v>39</v>
      </c>
      <c r="F10337">
        <v>0</v>
      </c>
      <c r="G10337">
        <v>0</v>
      </c>
      <c r="H10337">
        <v>2</v>
      </c>
      <c r="I10337" s="3">
        <v>42.31</v>
      </c>
      <c r="J10337" s="3">
        <v>0</v>
      </c>
      <c r="L10337">
        <v>128</v>
      </c>
      <c r="M10337" t="s">
        <v>22857</v>
      </c>
      <c r="N10337" t="s">
        <v>30</v>
      </c>
      <c r="O10337" t="s">
        <v>31</v>
      </c>
      <c r="P10337" t="str">
        <f>"15203"</f>
        <v>15203</v>
      </c>
    </row>
    <row r="10338" spans="1:16" x14ac:dyDescent="0.25">
      <c r="A10338" t="str">
        <f>"1160013D00046    00"</f>
        <v>1160013D00046    00</v>
      </c>
      <c r="B10338" t="s">
        <v>22855</v>
      </c>
      <c r="C10338" t="s">
        <v>22858</v>
      </c>
      <c r="E10338" t="s">
        <v>39</v>
      </c>
      <c r="F10338">
        <v>0</v>
      </c>
      <c r="G10338">
        <v>0</v>
      </c>
      <c r="H10338">
        <v>1</v>
      </c>
      <c r="I10338" s="3">
        <v>509.22</v>
      </c>
      <c r="J10338" s="3">
        <v>0</v>
      </c>
      <c r="L10338">
        <v>128</v>
      </c>
      <c r="M10338" t="s">
        <v>22857</v>
      </c>
      <c r="N10338" t="s">
        <v>30</v>
      </c>
      <c r="O10338" t="s">
        <v>31</v>
      </c>
      <c r="P10338" t="str">
        <f>"15203"</f>
        <v>15203</v>
      </c>
    </row>
    <row r="10339" spans="1:16" x14ac:dyDescent="0.25">
      <c r="A10339" t="str">
        <f>"1160013D00057    00"</f>
        <v>1160013D00057    00</v>
      </c>
      <c r="B10339" t="s">
        <v>22859</v>
      </c>
      <c r="C10339" t="s">
        <v>22860</v>
      </c>
      <c r="D10339" t="s">
        <v>20</v>
      </c>
      <c r="E10339" t="s">
        <v>39</v>
      </c>
      <c r="F10339">
        <v>0</v>
      </c>
      <c r="G10339">
        <v>0</v>
      </c>
      <c r="H10339">
        <v>3</v>
      </c>
      <c r="I10339" s="3">
        <v>2927.67</v>
      </c>
      <c r="J10339" s="3">
        <v>195.17</v>
      </c>
      <c r="L10339">
        <v>176</v>
      </c>
      <c r="M10339" t="s">
        <v>22861</v>
      </c>
      <c r="N10339" t="s">
        <v>22862</v>
      </c>
      <c r="O10339" t="s">
        <v>606</v>
      </c>
      <c r="P10339" t="str">
        <f>"30141"</f>
        <v>30141</v>
      </c>
    </row>
    <row r="10340" spans="1:16" x14ac:dyDescent="0.25">
      <c r="A10340" t="str">
        <f>"1160013D00063    00"</f>
        <v>1160013D00063    00</v>
      </c>
      <c r="B10340" t="s">
        <v>22863</v>
      </c>
      <c r="C10340" t="s">
        <v>22864</v>
      </c>
      <c r="D10340" t="s">
        <v>57</v>
      </c>
      <c r="E10340" t="s">
        <v>39</v>
      </c>
      <c r="F10340">
        <v>0</v>
      </c>
      <c r="G10340">
        <v>0</v>
      </c>
      <c r="H10340">
        <v>1</v>
      </c>
      <c r="I10340" s="3">
        <v>382.37</v>
      </c>
      <c r="J10340" s="3">
        <v>0</v>
      </c>
      <c r="L10340">
        <v>446</v>
      </c>
      <c r="M10340" t="s">
        <v>1451</v>
      </c>
      <c r="N10340" t="s">
        <v>22865</v>
      </c>
      <c r="O10340" t="s">
        <v>31</v>
      </c>
      <c r="P10340" t="str">
        <f>"15322"</f>
        <v>15322</v>
      </c>
    </row>
    <row r="10341" spans="1:16" x14ac:dyDescent="0.25">
      <c r="A10341" t="str">
        <f>"1160013D00084    00"</f>
        <v>1160013D00084    00</v>
      </c>
      <c r="B10341" t="s">
        <v>22866</v>
      </c>
      <c r="C10341" t="s">
        <v>22867</v>
      </c>
      <c r="D10341" t="s">
        <v>20</v>
      </c>
      <c r="E10341" t="s">
        <v>39</v>
      </c>
      <c r="F10341">
        <v>0</v>
      </c>
      <c r="G10341">
        <v>0</v>
      </c>
      <c r="H10341">
        <v>3</v>
      </c>
      <c r="I10341" s="3">
        <v>3939.87</v>
      </c>
      <c r="J10341" s="3">
        <v>239.32</v>
      </c>
      <c r="K10341" t="s">
        <v>22868</v>
      </c>
      <c r="L10341">
        <v>4400</v>
      </c>
      <c r="M10341" t="s">
        <v>294</v>
      </c>
      <c r="N10341" t="s">
        <v>295</v>
      </c>
      <c r="O10341" t="s">
        <v>31</v>
      </c>
      <c r="P10341" t="str">
        <f>"15146"</f>
        <v>15146</v>
      </c>
    </row>
    <row r="10342" spans="1:16" x14ac:dyDescent="0.25">
      <c r="A10342" t="str">
        <f>"1160013D00085    00"</f>
        <v>1160013D00085    00</v>
      </c>
      <c r="B10342" t="s">
        <v>22866</v>
      </c>
      <c r="C10342" t="s">
        <v>22869</v>
      </c>
      <c r="D10342" t="s">
        <v>20</v>
      </c>
      <c r="E10342" t="s">
        <v>39</v>
      </c>
      <c r="F10342">
        <v>0</v>
      </c>
      <c r="G10342">
        <v>0</v>
      </c>
      <c r="H10342">
        <v>3</v>
      </c>
      <c r="I10342" s="3">
        <v>205.86</v>
      </c>
      <c r="J10342" s="3">
        <v>13.72</v>
      </c>
      <c r="K10342" t="s">
        <v>22868</v>
      </c>
      <c r="L10342">
        <v>4400</v>
      </c>
      <c r="M10342" t="s">
        <v>22870</v>
      </c>
      <c r="N10342" t="s">
        <v>295</v>
      </c>
      <c r="O10342" t="s">
        <v>31</v>
      </c>
      <c r="P10342" t="str">
        <f>"15146"</f>
        <v>15146</v>
      </c>
    </row>
    <row r="10343" spans="1:16" x14ac:dyDescent="0.25">
      <c r="A10343" t="str">
        <f>"1160013D00086    00"</f>
        <v>1160013D00086    00</v>
      </c>
      <c r="B10343" t="s">
        <v>22871</v>
      </c>
      <c r="C10343" t="s">
        <v>22872</v>
      </c>
      <c r="D10343" t="s">
        <v>20</v>
      </c>
      <c r="E10343" t="s">
        <v>39</v>
      </c>
      <c r="F10343">
        <v>0</v>
      </c>
      <c r="G10343">
        <v>0</v>
      </c>
      <c r="H10343">
        <v>8</v>
      </c>
      <c r="I10343" s="3">
        <v>244.88</v>
      </c>
      <c r="J10343" s="3">
        <v>289.26</v>
      </c>
      <c r="L10343">
        <v>2920</v>
      </c>
      <c r="M10343" t="s">
        <v>22873</v>
      </c>
      <c r="N10343" t="s">
        <v>30</v>
      </c>
      <c r="O10343" t="s">
        <v>31</v>
      </c>
      <c r="P10343" t="str">
        <f>"15234"</f>
        <v>15234</v>
      </c>
    </row>
    <row r="10344" spans="1:16" x14ac:dyDescent="0.25">
      <c r="A10344" t="str">
        <f>"1160013D00092    00"</f>
        <v>1160013D00092    00</v>
      </c>
      <c r="B10344" t="s">
        <v>22874</v>
      </c>
      <c r="C10344" t="s">
        <v>22875</v>
      </c>
      <c r="E10344" t="s">
        <v>39</v>
      </c>
      <c r="F10344">
        <v>0</v>
      </c>
      <c r="G10344">
        <v>0</v>
      </c>
      <c r="H10344">
        <v>1</v>
      </c>
      <c r="I10344" s="3">
        <v>355.2</v>
      </c>
      <c r="J10344" s="3">
        <v>71.03</v>
      </c>
      <c r="L10344">
        <v>2613</v>
      </c>
      <c r="M10344" t="s">
        <v>22876</v>
      </c>
      <c r="N10344" t="s">
        <v>30</v>
      </c>
      <c r="O10344" t="s">
        <v>31</v>
      </c>
      <c r="P10344" t="str">
        <f>"15203"</f>
        <v>15203</v>
      </c>
    </row>
    <row r="10345" spans="1:16" x14ac:dyDescent="0.25">
      <c r="A10345" t="str">
        <f>"1160013D00093    00"</f>
        <v>1160013D00093    00</v>
      </c>
      <c r="B10345" t="s">
        <v>22877</v>
      </c>
      <c r="C10345" t="s">
        <v>22878</v>
      </c>
      <c r="D10345" t="s">
        <v>20</v>
      </c>
      <c r="E10345" t="s">
        <v>39</v>
      </c>
      <c r="F10345">
        <v>0</v>
      </c>
      <c r="G10345">
        <v>0</v>
      </c>
      <c r="H10345">
        <v>1</v>
      </c>
      <c r="I10345" s="3">
        <v>1294.18</v>
      </c>
      <c r="J10345" s="3">
        <v>0</v>
      </c>
      <c r="L10345">
        <v>2618</v>
      </c>
      <c r="M10345" t="s">
        <v>22876</v>
      </c>
      <c r="N10345" t="s">
        <v>30</v>
      </c>
      <c r="O10345" t="s">
        <v>31</v>
      </c>
      <c r="P10345" t="str">
        <f>"15203"</f>
        <v>15203</v>
      </c>
    </row>
    <row r="10346" spans="1:16" x14ac:dyDescent="0.25">
      <c r="A10346" t="str">
        <f>"1160013D00153    00"</f>
        <v>1160013D00153    00</v>
      </c>
      <c r="B10346" t="s">
        <v>22879</v>
      </c>
      <c r="C10346" t="s">
        <v>22880</v>
      </c>
      <c r="D10346" t="s">
        <v>20</v>
      </c>
      <c r="E10346" t="s">
        <v>39</v>
      </c>
      <c r="F10346">
        <v>0</v>
      </c>
      <c r="G10346">
        <v>0</v>
      </c>
      <c r="H10346">
        <v>6</v>
      </c>
      <c r="I10346" s="3">
        <v>8054.06</v>
      </c>
      <c r="J10346" s="3">
        <v>1651.18</v>
      </c>
      <c r="K10346" t="s">
        <v>22881</v>
      </c>
      <c r="L10346">
        <v>5550</v>
      </c>
      <c r="M10346" t="s">
        <v>22882</v>
      </c>
      <c r="N10346" t="s">
        <v>3934</v>
      </c>
      <c r="O10346" t="s">
        <v>31</v>
      </c>
      <c r="P10346" t="str">
        <f>"15102"</f>
        <v>15102</v>
      </c>
    </row>
    <row r="10347" spans="1:16" x14ac:dyDescent="0.25">
      <c r="A10347" t="str">
        <f>"1160013D00154    00"</f>
        <v>1160013D00154    00</v>
      </c>
      <c r="B10347" t="s">
        <v>22883</v>
      </c>
      <c r="C10347" t="s">
        <v>22884</v>
      </c>
      <c r="D10347" t="s">
        <v>20</v>
      </c>
      <c r="E10347" t="s">
        <v>39</v>
      </c>
      <c r="F10347">
        <v>0</v>
      </c>
      <c r="G10347">
        <v>0</v>
      </c>
      <c r="H10347">
        <v>8</v>
      </c>
      <c r="I10347" s="3">
        <v>5210.63</v>
      </c>
      <c r="J10347" s="3">
        <v>1824.49</v>
      </c>
      <c r="L10347">
        <v>1147</v>
      </c>
      <c r="M10347" t="s">
        <v>9863</v>
      </c>
      <c r="N10347" t="s">
        <v>30</v>
      </c>
      <c r="O10347" t="s">
        <v>31</v>
      </c>
      <c r="P10347" t="str">
        <f>"15206"</f>
        <v>15206</v>
      </c>
    </row>
    <row r="10348" spans="1:16" x14ac:dyDescent="0.25">
      <c r="A10348" t="str">
        <f>"1160013D00165    00"</f>
        <v>1160013D00165    00</v>
      </c>
      <c r="B10348" t="s">
        <v>22885</v>
      </c>
      <c r="C10348" t="s">
        <v>22869</v>
      </c>
      <c r="E10348" t="s">
        <v>39</v>
      </c>
      <c r="F10348">
        <v>0</v>
      </c>
      <c r="G10348">
        <v>0</v>
      </c>
      <c r="H10348">
        <v>1</v>
      </c>
      <c r="I10348" s="3">
        <v>19.059999999999999</v>
      </c>
      <c r="J10348" s="3">
        <v>0</v>
      </c>
      <c r="L10348">
        <v>829</v>
      </c>
      <c r="M10348" t="s">
        <v>2475</v>
      </c>
      <c r="N10348" t="s">
        <v>30</v>
      </c>
      <c r="O10348" t="s">
        <v>31</v>
      </c>
      <c r="P10348" t="str">
        <f>"15210"</f>
        <v>15210</v>
      </c>
    </row>
    <row r="10349" spans="1:16" x14ac:dyDescent="0.25">
      <c r="A10349" t="str">
        <f>"1160013D00168    00"</f>
        <v>1160013D00168    00</v>
      </c>
      <c r="B10349" t="s">
        <v>22886</v>
      </c>
      <c r="C10349" t="s">
        <v>22887</v>
      </c>
      <c r="D10349" t="s">
        <v>20</v>
      </c>
      <c r="E10349" t="s">
        <v>39</v>
      </c>
      <c r="F10349">
        <v>0</v>
      </c>
      <c r="G10349">
        <v>0</v>
      </c>
      <c r="H10349">
        <v>8</v>
      </c>
      <c r="I10349" s="3">
        <v>4853.21</v>
      </c>
      <c r="J10349" s="3">
        <v>1455.83</v>
      </c>
      <c r="L10349">
        <v>2731</v>
      </c>
      <c r="M10349" t="s">
        <v>22888</v>
      </c>
      <c r="N10349" t="s">
        <v>30</v>
      </c>
      <c r="O10349" t="s">
        <v>31</v>
      </c>
      <c r="P10349" t="str">
        <f>"15203"</f>
        <v>15203</v>
      </c>
    </row>
    <row r="10350" spans="1:16" x14ac:dyDescent="0.25">
      <c r="A10350" t="str">
        <f>"1160013D00170    00"</f>
        <v>1160013D00170    00</v>
      </c>
      <c r="B10350" t="s">
        <v>22889</v>
      </c>
      <c r="C10350" t="s">
        <v>22869</v>
      </c>
      <c r="D10350" t="s">
        <v>20</v>
      </c>
      <c r="E10350" t="s">
        <v>39</v>
      </c>
      <c r="F10350">
        <v>0</v>
      </c>
      <c r="G10350">
        <v>0</v>
      </c>
      <c r="H10350">
        <v>7</v>
      </c>
      <c r="I10350" s="3">
        <v>125.13</v>
      </c>
      <c r="J10350" s="3">
        <v>42.65</v>
      </c>
      <c r="L10350">
        <v>2731</v>
      </c>
      <c r="M10350" t="s">
        <v>22888</v>
      </c>
      <c r="N10350" t="s">
        <v>30</v>
      </c>
      <c r="O10350" t="s">
        <v>31</v>
      </c>
      <c r="P10350" t="str">
        <f>"15203"</f>
        <v>15203</v>
      </c>
    </row>
    <row r="10351" spans="1:16" x14ac:dyDescent="0.25">
      <c r="A10351" t="str">
        <f>"1160013D00177    00"</f>
        <v>1160013D00177    00</v>
      </c>
      <c r="B10351" t="s">
        <v>22890</v>
      </c>
      <c r="C10351" t="s">
        <v>22891</v>
      </c>
      <c r="D10351" t="s">
        <v>20</v>
      </c>
      <c r="E10351" t="s">
        <v>39</v>
      </c>
      <c r="F10351">
        <v>0</v>
      </c>
      <c r="G10351">
        <v>0</v>
      </c>
      <c r="H10351">
        <v>6</v>
      </c>
      <c r="I10351" s="3">
        <v>4030.9</v>
      </c>
      <c r="J10351" s="3">
        <v>914.02</v>
      </c>
      <c r="L10351">
        <v>2753</v>
      </c>
      <c r="M10351" t="s">
        <v>22888</v>
      </c>
      <c r="N10351" t="s">
        <v>30</v>
      </c>
      <c r="O10351" t="s">
        <v>31</v>
      </c>
      <c r="P10351" t="str">
        <f>"15203"</f>
        <v>15203</v>
      </c>
    </row>
    <row r="10352" spans="1:16" x14ac:dyDescent="0.25">
      <c r="A10352" t="str">
        <f>"1160013D00218    00"</f>
        <v>1160013D00218    00</v>
      </c>
      <c r="B10352" t="s">
        <v>22892</v>
      </c>
      <c r="C10352" t="s">
        <v>22893</v>
      </c>
      <c r="E10352" t="s">
        <v>39</v>
      </c>
      <c r="F10352">
        <v>0</v>
      </c>
      <c r="G10352">
        <v>0</v>
      </c>
      <c r="H10352">
        <v>3</v>
      </c>
      <c r="I10352" s="3">
        <v>1906.97</v>
      </c>
      <c r="J10352" s="3">
        <v>127.35</v>
      </c>
      <c r="L10352">
        <v>2715</v>
      </c>
      <c r="M10352" t="s">
        <v>22805</v>
      </c>
      <c r="N10352" t="s">
        <v>30</v>
      </c>
      <c r="O10352" t="s">
        <v>31</v>
      </c>
      <c r="P10352" t="str">
        <f>"15203"</f>
        <v>15203</v>
      </c>
    </row>
    <row r="10353" spans="1:16" x14ac:dyDescent="0.25">
      <c r="A10353" t="str">
        <f>"1160013D00223    00"</f>
        <v>1160013D00223    00</v>
      </c>
      <c r="B10353" t="s">
        <v>20634</v>
      </c>
      <c r="C10353" t="s">
        <v>22894</v>
      </c>
      <c r="D10353" t="s">
        <v>20</v>
      </c>
      <c r="E10353" t="s">
        <v>39</v>
      </c>
      <c r="F10353">
        <v>0</v>
      </c>
      <c r="G10353">
        <v>0</v>
      </c>
      <c r="H10353">
        <v>2</v>
      </c>
      <c r="I10353" s="3">
        <v>5676.08</v>
      </c>
      <c r="J10353" s="3">
        <v>0</v>
      </c>
      <c r="L10353">
        <v>245</v>
      </c>
      <c r="M10353" t="s">
        <v>22895</v>
      </c>
      <c r="N10353" t="s">
        <v>30</v>
      </c>
      <c r="O10353" t="s">
        <v>31</v>
      </c>
      <c r="P10353" t="str">
        <f>"15228"</f>
        <v>15228</v>
      </c>
    </row>
    <row r="10354" spans="1:16" x14ac:dyDescent="0.25">
      <c r="A10354" t="str">
        <f>"1160013D00233    00"</f>
        <v>1160013D00233    00</v>
      </c>
      <c r="B10354" t="s">
        <v>22896</v>
      </c>
      <c r="C10354" t="s">
        <v>22897</v>
      </c>
      <c r="D10354" t="s">
        <v>20</v>
      </c>
      <c r="E10354" t="s">
        <v>39</v>
      </c>
      <c r="F10354">
        <v>0</v>
      </c>
      <c r="G10354">
        <v>0</v>
      </c>
      <c r="H10354">
        <v>2</v>
      </c>
      <c r="I10354" s="3">
        <v>1730.64</v>
      </c>
      <c r="J10354" s="3">
        <v>0</v>
      </c>
      <c r="L10354">
        <v>2718</v>
      </c>
      <c r="M10354" t="s">
        <v>22898</v>
      </c>
      <c r="N10354" t="s">
        <v>30</v>
      </c>
      <c r="O10354" t="s">
        <v>31</v>
      </c>
      <c r="P10354" t="str">
        <f>"15203"</f>
        <v>15203</v>
      </c>
    </row>
    <row r="10355" spans="1:16" x14ac:dyDescent="0.25">
      <c r="A10355" t="str">
        <f>"1160013D00234A   00"</f>
        <v>1160013D00234A   00</v>
      </c>
      <c r="B10355" t="s">
        <v>22899</v>
      </c>
      <c r="C10355" t="s">
        <v>22900</v>
      </c>
      <c r="E10355" t="s">
        <v>39</v>
      </c>
      <c r="F10355">
        <v>0</v>
      </c>
      <c r="G10355">
        <v>0</v>
      </c>
      <c r="H10355">
        <v>2</v>
      </c>
      <c r="I10355" s="3">
        <v>1480.18</v>
      </c>
      <c r="J10355" s="3">
        <v>432.2</v>
      </c>
      <c r="K10355" t="s">
        <v>728</v>
      </c>
      <c r="L10355">
        <v>3001</v>
      </c>
      <c r="M10355" t="s">
        <v>330</v>
      </c>
      <c r="N10355" t="s">
        <v>331</v>
      </c>
      <c r="O10355" t="s">
        <v>108</v>
      </c>
      <c r="P10355" t="str">
        <f>"75063"</f>
        <v>75063</v>
      </c>
    </row>
    <row r="10356" spans="1:16" x14ac:dyDescent="0.25">
      <c r="A10356" t="str">
        <f>"1160013D00238C   00"</f>
        <v>1160013D00238C   00</v>
      </c>
      <c r="B10356" t="s">
        <v>22901</v>
      </c>
      <c r="C10356" t="s">
        <v>22902</v>
      </c>
      <c r="D10356" t="s">
        <v>20</v>
      </c>
      <c r="E10356" t="s">
        <v>39</v>
      </c>
      <c r="F10356">
        <v>0</v>
      </c>
      <c r="G10356">
        <v>0</v>
      </c>
      <c r="H10356">
        <v>15</v>
      </c>
      <c r="I10356" s="3">
        <v>11762.07</v>
      </c>
      <c r="J10356" s="3">
        <v>7035.85</v>
      </c>
      <c r="L10356">
        <v>2716</v>
      </c>
      <c r="M10356" t="s">
        <v>22779</v>
      </c>
      <c r="N10356" t="s">
        <v>30</v>
      </c>
      <c r="O10356" t="s">
        <v>31</v>
      </c>
      <c r="P10356" t="str">
        <f>"15203"</f>
        <v>15203</v>
      </c>
    </row>
    <row r="10357" spans="1:16" x14ac:dyDescent="0.25">
      <c r="A10357" t="str">
        <f>"1160013D00245    00"</f>
        <v>1160013D00245    00</v>
      </c>
      <c r="B10357" t="s">
        <v>22903</v>
      </c>
      <c r="C10357" t="s">
        <v>22778</v>
      </c>
      <c r="D10357" t="s">
        <v>20</v>
      </c>
      <c r="E10357" t="s">
        <v>39</v>
      </c>
      <c r="F10357">
        <v>0</v>
      </c>
      <c r="G10357">
        <v>0</v>
      </c>
      <c r="H10357">
        <v>2</v>
      </c>
      <c r="I10357" s="3">
        <v>19.079999999999998</v>
      </c>
      <c r="J10357" s="3">
        <v>0</v>
      </c>
      <c r="L10357">
        <v>1050</v>
      </c>
      <c r="M10357" t="s">
        <v>18038</v>
      </c>
      <c r="N10357" t="s">
        <v>18039</v>
      </c>
      <c r="O10357" t="s">
        <v>31</v>
      </c>
      <c r="P10357" t="str">
        <f>"16121"</f>
        <v>16121</v>
      </c>
    </row>
    <row r="10358" spans="1:16" x14ac:dyDescent="0.25">
      <c r="A10358" t="str">
        <f>"1160013D00262    00"</f>
        <v>1160013D00262    00</v>
      </c>
      <c r="B10358" t="s">
        <v>22904</v>
      </c>
      <c r="C10358" t="s">
        <v>22905</v>
      </c>
      <c r="D10358" t="s">
        <v>20</v>
      </c>
      <c r="E10358" t="s">
        <v>39</v>
      </c>
      <c r="F10358">
        <v>0</v>
      </c>
      <c r="G10358">
        <v>0</v>
      </c>
      <c r="H10358">
        <v>1</v>
      </c>
      <c r="I10358" s="3">
        <v>1200.78</v>
      </c>
      <c r="J10358" s="3">
        <v>0</v>
      </c>
      <c r="K10358" t="s">
        <v>22906</v>
      </c>
      <c r="M10358" t="s">
        <v>570</v>
      </c>
      <c r="N10358" t="s">
        <v>22907</v>
      </c>
      <c r="O10358" t="s">
        <v>2109</v>
      </c>
      <c r="P10358" t="str">
        <f>"84121"</f>
        <v>84121</v>
      </c>
    </row>
    <row r="10359" spans="1:16" x14ac:dyDescent="0.25">
      <c r="A10359" t="str">
        <f>"1160013D00264    00"</f>
        <v>1160013D00264    00</v>
      </c>
      <c r="B10359" t="s">
        <v>22904</v>
      </c>
      <c r="C10359" t="s">
        <v>22908</v>
      </c>
      <c r="D10359" t="s">
        <v>20</v>
      </c>
      <c r="E10359" t="s">
        <v>39</v>
      </c>
      <c r="F10359">
        <v>0</v>
      </c>
      <c r="G10359">
        <v>0</v>
      </c>
      <c r="H10359">
        <v>1</v>
      </c>
      <c r="I10359" s="3">
        <v>134.18</v>
      </c>
      <c r="J10359" s="3">
        <v>0</v>
      </c>
      <c r="K10359" t="s">
        <v>22906</v>
      </c>
      <c r="M10359" t="s">
        <v>570</v>
      </c>
      <c r="N10359" t="s">
        <v>22907</v>
      </c>
      <c r="O10359" t="s">
        <v>2109</v>
      </c>
      <c r="P10359" t="str">
        <f>"84121"</f>
        <v>84121</v>
      </c>
    </row>
    <row r="10360" spans="1:16" x14ac:dyDescent="0.25">
      <c r="A10360" t="str">
        <f>"1160013D00270    00"</f>
        <v>1160013D00270    00</v>
      </c>
      <c r="B10360" t="s">
        <v>22909</v>
      </c>
      <c r="C10360" t="s">
        <v>22910</v>
      </c>
      <c r="E10360" t="s">
        <v>39</v>
      </c>
      <c r="F10360">
        <v>0</v>
      </c>
      <c r="G10360">
        <v>0</v>
      </c>
      <c r="H10360">
        <v>1</v>
      </c>
      <c r="I10360" s="3">
        <v>30.99</v>
      </c>
      <c r="J10360" s="3">
        <v>9.3000000000000007</v>
      </c>
      <c r="K10360" t="s">
        <v>391</v>
      </c>
      <c r="L10360">
        <v>1</v>
      </c>
      <c r="M10360" t="s">
        <v>392</v>
      </c>
      <c r="N10360" t="s">
        <v>393</v>
      </c>
      <c r="O10360" t="s">
        <v>394</v>
      </c>
      <c r="P10360" t="str">
        <f>"50328"</f>
        <v>50328</v>
      </c>
    </row>
    <row r="10361" spans="1:16" x14ac:dyDescent="0.25">
      <c r="A10361" t="str">
        <f>"1160013D00286    00"</f>
        <v>1160013D00286    00</v>
      </c>
      <c r="B10361" t="s">
        <v>22911</v>
      </c>
      <c r="C10361" t="s">
        <v>22912</v>
      </c>
      <c r="D10361" t="s">
        <v>57</v>
      </c>
      <c r="E10361" t="s">
        <v>39</v>
      </c>
      <c r="F10361">
        <v>0</v>
      </c>
      <c r="G10361">
        <v>0</v>
      </c>
      <c r="H10361">
        <v>1</v>
      </c>
      <c r="I10361" s="3">
        <v>123.6</v>
      </c>
      <c r="J10361" s="3">
        <v>33.99</v>
      </c>
      <c r="L10361">
        <v>730</v>
      </c>
      <c r="M10361" t="s">
        <v>22913</v>
      </c>
      <c r="N10361" t="s">
        <v>22293</v>
      </c>
      <c r="O10361" t="s">
        <v>495</v>
      </c>
      <c r="P10361" t="str">
        <f>"94086"</f>
        <v>94086</v>
      </c>
    </row>
    <row r="10362" spans="1:16" x14ac:dyDescent="0.25">
      <c r="A10362" t="str">
        <f>"1160013D00295    00"</f>
        <v>1160013D00295    00</v>
      </c>
      <c r="B10362" t="s">
        <v>22914</v>
      </c>
      <c r="C10362" t="s">
        <v>22915</v>
      </c>
      <c r="E10362" t="s">
        <v>39</v>
      </c>
      <c r="F10362">
        <v>0</v>
      </c>
      <c r="G10362">
        <v>0</v>
      </c>
      <c r="H10362">
        <v>2</v>
      </c>
      <c r="I10362" s="3">
        <v>6541.4</v>
      </c>
      <c r="J10362" s="3">
        <v>81.760000000000005</v>
      </c>
      <c r="K10362" t="s">
        <v>756</v>
      </c>
      <c r="L10362">
        <v>3001</v>
      </c>
      <c r="M10362" t="s">
        <v>330</v>
      </c>
      <c r="N10362" t="s">
        <v>331</v>
      </c>
      <c r="O10362" t="s">
        <v>108</v>
      </c>
      <c r="P10362" t="str">
        <f>"75063"</f>
        <v>75063</v>
      </c>
    </row>
    <row r="10363" spans="1:16" x14ac:dyDescent="0.25">
      <c r="A10363" t="str">
        <f>"1160013D00297    00"</f>
        <v>1160013D00297    00</v>
      </c>
      <c r="B10363" t="s">
        <v>22914</v>
      </c>
      <c r="C10363" t="s">
        <v>22916</v>
      </c>
      <c r="E10363" t="s">
        <v>39</v>
      </c>
      <c r="F10363">
        <v>0</v>
      </c>
      <c r="G10363">
        <v>0</v>
      </c>
      <c r="H10363">
        <v>2</v>
      </c>
      <c r="I10363" s="3">
        <v>68.62</v>
      </c>
      <c r="J10363" s="3">
        <v>0.85</v>
      </c>
      <c r="K10363" t="s">
        <v>756</v>
      </c>
      <c r="L10363">
        <v>3001</v>
      </c>
      <c r="M10363" t="s">
        <v>330</v>
      </c>
      <c r="N10363" t="s">
        <v>331</v>
      </c>
      <c r="O10363" t="s">
        <v>108</v>
      </c>
      <c r="P10363" t="str">
        <f>"75063"</f>
        <v>75063</v>
      </c>
    </row>
    <row r="10364" spans="1:16" x14ac:dyDescent="0.25">
      <c r="A10364" t="str">
        <f>"1160013D00303    00"</f>
        <v>1160013D00303    00</v>
      </c>
      <c r="B10364" t="s">
        <v>22917</v>
      </c>
      <c r="C10364" t="s">
        <v>22918</v>
      </c>
      <c r="D10364" t="s">
        <v>20</v>
      </c>
      <c r="E10364" t="s">
        <v>39</v>
      </c>
      <c r="F10364">
        <v>0</v>
      </c>
      <c r="G10364">
        <v>0</v>
      </c>
      <c r="H10364">
        <v>5</v>
      </c>
      <c r="I10364" s="3">
        <v>7837.43</v>
      </c>
      <c r="J10364" s="3">
        <v>1354.02</v>
      </c>
      <c r="L10364">
        <v>248</v>
      </c>
      <c r="M10364" t="s">
        <v>21277</v>
      </c>
      <c r="N10364" t="s">
        <v>30</v>
      </c>
      <c r="O10364" t="s">
        <v>31</v>
      </c>
      <c r="P10364" t="str">
        <f>"15207"</f>
        <v>15207</v>
      </c>
    </row>
    <row r="10365" spans="1:16" x14ac:dyDescent="0.25">
      <c r="A10365" t="str">
        <f>"1160013D00311    00"</f>
        <v>1160013D00311    00</v>
      </c>
      <c r="B10365" t="s">
        <v>22919</v>
      </c>
      <c r="C10365" t="s">
        <v>22920</v>
      </c>
      <c r="D10365" t="s">
        <v>20</v>
      </c>
      <c r="E10365" t="s">
        <v>39</v>
      </c>
      <c r="F10365">
        <v>0</v>
      </c>
      <c r="G10365">
        <v>0</v>
      </c>
      <c r="H10365">
        <v>5</v>
      </c>
      <c r="I10365" s="3">
        <v>9284.2999999999993</v>
      </c>
      <c r="J10365" s="3">
        <v>1634</v>
      </c>
      <c r="L10365">
        <v>137</v>
      </c>
      <c r="M10365" t="s">
        <v>22921</v>
      </c>
      <c r="N10365" t="s">
        <v>30</v>
      </c>
      <c r="O10365" t="s">
        <v>31</v>
      </c>
      <c r="P10365" t="str">
        <f>"15227"</f>
        <v>15227</v>
      </c>
    </row>
    <row r="10366" spans="1:16" x14ac:dyDescent="0.25">
      <c r="A10366" t="str">
        <f>"1160013D00335    00"</f>
        <v>1160013D00335    00</v>
      </c>
      <c r="B10366" t="s">
        <v>22922</v>
      </c>
      <c r="C10366" t="s">
        <v>22923</v>
      </c>
      <c r="E10366" t="s">
        <v>39</v>
      </c>
      <c r="F10366">
        <v>0</v>
      </c>
      <c r="G10366">
        <v>0</v>
      </c>
      <c r="H10366">
        <v>5</v>
      </c>
      <c r="I10366" s="3">
        <v>8354.75</v>
      </c>
      <c r="J10366" s="3">
        <v>7357.3</v>
      </c>
      <c r="K10366" t="s">
        <v>1632</v>
      </c>
      <c r="M10366" t="s">
        <v>1633</v>
      </c>
      <c r="N10366" t="s">
        <v>1634</v>
      </c>
      <c r="O10366" t="s">
        <v>25</v>
      </c>
      <c r="P10366" t="str">
        <f>"45401"</f>
        <v>45401</v>
      </c>
    </row>
    <row r="10367" spans="1:16" x14ac:dyDescent="0.25">
      <c r="A10367" t="str">
        <f>"1160013F00010    00"</f>
        <v>1160013F00010    00</v>
      </c>
      <c r="B10367" t="s">
        <v>22924</v>
      </c>
      <c r="C10367" t="s">
        <v>22925</v>
      </c>
      <c r="D10367" t="s">
        <v>20</v>
      </c>
      <c r="E10367" t="s">
        <v>39</v>
      </c>
      <c r="F10367">
        <v>0</v>
      </c>
      <c r="G10367">
        <v>0</v>
      </c>
      <c r="H10367">
        <v>15</v>
      </c>
      <c r="I10367" s="3">
        <v>2991.23</v>
      </c>
      <c r="J10367" s="3">
        <v>2261.64</v>
      </c>
      <c r="L10367">
        <v>2025</v>
      </c>
      <c r="M10367" t="s">
        <v>22926</v>
      </c>
      <c r="N10367" t="s">
        <v>30</v>
      </c>
      <c r="O10367" t="s">
        <v>31</v>
      </c>
      <c r="P10367" t="str">
        <f>"15210"</f>
        <v>15210</v>
      </c>
    </row>
    <row r="10368" spans="1:16" x14ac:dyDescent="0.25">
      <c r="A10368" t="str">
        <f>"1160013F00012    00"</f>
        <v>1160013F00012    00</v>
      </c>
      <c r="B10368" t="s">
        <v>22924</v>
      </c>
      <c r="C10368" t="s">
        <v>22927</v>
      </c>
      <c r="D10368" t="s">
        <v>20</v>
      </c>
      <c r="E10368" t="s">
        <v>39</v>
      </c>
      <c r="F10368">
        <v>0</v>
      </c>
      <c r="G10368">
        <v>0</v>
      </c>
      <c r="H10368">
        <v>11</v>
      </c>
      <c r="I10368" s="3">
        <v>2412.15</v>
      </c>
      <c r="J10368" s="3">
        <v>1208.42</v>
      </c>
      <c r="K10368" t="s">
        <v>22928</v>
      </c>
      <c r="L10368">
        <v>2025</v>
      </c>
      <c r="M10368" t="s">
        <v>22926</v>
      </c>
      <c r="N10368" t="s">
        <v>30</v>
      </c>
      <c r="O10368" t="s">
        <v>31</v>
      </c>
      <c r="P10368" t="str">
        <f>"15210"</f>
        <v>15210</v>
      </c>
    </row>
    <row r="10369" spans="1:16" x14ac:dyDescent="0.25">
      <c r="A10369" t="str">
        <f>"1160013F00159    00"</f>
        <v>1160013F00159    00</v>
      </c>
      <c r="B10369" t="s">
        <v>1156</v>
      </c>
      <c r="C10369" t="s">
        <v>22929</v>
      </c>
      <c r="D10369" t="s">
        <v>20</v>
      </c>
      <c r="E10369" t="s">
        <v>39</v>
      </c>
      <c r="F10369">
        <v>0</v>
      </c>
      <c r="G10369">
        <v>0</v>
      </c>
      <c r="H10369">
        <v>18</v>
      </c>
      <c r="I10369" s="3">
        <v>2595.4899999999998</v>
      </c>
      <c r="J10369" s="3">
        <v>2431.61</v>
      </c>
      <c r="K10369" t="s">
        <v>22930</v>
      </c>
      <c r="L10369">
        <v>2715</v>
      </c>
      <c r="M10369" t="s">
        <v>13463</v>
      </c>
      <c r="N10369" t="s">
        <v>1158</v>
      </c>
      <c r="O10369" t="s">
        <v>370</v>
      </c>
      <c r="P10369" t="str">
        <f>"33402"</f>
        <v>33402</v>
      </c>
    </row>
    <row r="10370" spans="1:16" x14ac:dyDescent="0.25">
      <c r="A10370" t="str">
        <f>"1160013F00179    00"</f>
        <v>1160013F00179    00</v>
      </c>
      <c r="B10370" t="s">
        <v>22931</v>
      </c>
      <c r="C10370" t="s">
        <v>22932</v>
      </c>
      <c r="D10370" t="s">
        <v>20</v>
      </c>
      <c r="E10370" t="s">
        <v>39</v>
      </c>
      <c r="F10370">
        <v>0</v>
      </c>
      <c r="G10370">
        <v>0</v>
      </c>
      <c r="H10370">
        <v>5</v>
      </c>
      <c r="I10370" s="3">
        <v>851.21</v>
      </c>
      <c r="J10370" s="3">
        <v>156.28</v>
      </c>
      <c r="L10370">
        <v>2126</v>
      </c>
      <c r="M10370" t="s">
        <v>21280</v>
      </c>
      <c r="N10370" t="s">
        <v>30</v>
      </c>
      <c r="O10370" t="s">
        <v>31</v>
      </c>
      <c r="P10370" t="str">
        <f>"15210"</f>
        <v>15210</v>
      </c>
    </row>
    <row r="10371" spans="1:16" x14ac:dyDescent="0.25">
      <c r="A10371" t="str">
        <f>"1160013G00012    00"</f>
        <v>1160013G00012    00</v>
      </c>
      <c r="B10371" t="s">
        <v>22933</v>
      </c>
      <c r="C10371" t="s">
        <v>22934</v>
      </c>
      <c r="E10371" t="s">
        <v>39</v>
      </c>
      <c r="F10371">
        <v>0</v>
      </c>
      <c r="G10371">
        <v>0</v>
      </c>
      <c r="H10371">
        <v>1</v>
      </c>
      <c r="I10371" s="3">
        <v>28.61</v>
      </c>
      <c r="J10371" s="3">
        <v>0</v>
      </c>
      <c r="K10371" t="s">
        <v>22935</v>
      </c>
      <c r="L10371">
        <v>1308</v>
      </c>
      <c r="M10371" t="s">
        <v>22850</v>
      </c>
      <c r="N10371" t="s">
        <v>30</v>
      </c>
      <c r="O10371" t="s">
        <v>31</v>
      </c>
      <c r="P10371" t="str">
        <f>"15203"</f>
        <v>15203</v>
      </c>
    </row>
    <row r="10372" spans="1:16" x14ac:dyDescent="0.25">
      <c r="A10372" t="str">
        <f>"1160013G00044    00"</f>
        <v>1160013G00044    00</v>
      </c>
      <c r="B10372" t="s">
        <v>22936</v>
      </c>
      <c r="C10372" t="s">
        <v>22937</v>
      </c>
      <c r="D10372" t="s">
        <v>20</v>
      </c>
      <c r="E10372" t="s">
        <v>39</v>
      </c>
      <c r="F10372">
        <v>0</v>
      </c>
      <c r="G10372">
        <v>0</v>
      </c>
      <c r="H10372">
        <v>2</v>
      </c>
      <c r="I10372" s="3">
        <v>8195.7999999999993</v>
      </c>
      <c r="J10372" s="3">
        <v>0</v>
      </c>
      <c r="L10372">
        <v>6097</v>
      </c>
      <c r="M10372" t="s">
        <v>22938</v>
      </c>
      <c r="N10372" t="s">
        <v>1320</v>
      </c>
      <c r="O10372" t="s">
        <v>1321</v>
      </c>
      <c r="P10372" t="str">
        <f>"89149"</f>
        <v>89149</v>
      </c>
    </row>
    <row r="10373" spans="1:16" x14ac:dyDescent="0.25">
      <c r="A10373" t="str">
        <f>"1160013G00050    00"</f>
        <v>1160013G00050    00</v>
      </c>
      <c r="B10373" t="s">
        <v>22939</v>
      </c>
      <c r="C10373" t="s">
        <v>22940</v>
      </c>
      <c r="D10373" t="s">
        <v>20</v>
      </c>
      <c r="E10373" t="s">
        <v>39</v>
      </c>
      <c r="F10373">
        <v>0</v>
      </c>
      <c r="G10373">
        <v>0</v>
      </c>
      <c r="H10373">
        <v>4</v>
      </c>
      <c r="I10373" s="3">
        <v>3931.94</v>
      </c>
      <c r="J10373" s="3">
        <v>365.8</v>
      </c>
      <c r="L10373">
        <v>944</v>
      </c>
      <c r="M10373" t="s">
        <v>22941</v>
      </c>
      <c r="N10373" t="s">
        <v>30</v>
      </c>
      <c r="O10373" t="s">
        <v>31</v>
      </c>
      <c r="P10373" t="str">
        <f>"15203"</f>
        <v>15203</v>
      </c>
    </row>
    <row r="10374" spans="1:16" x14ac:dyDescent="0.25">
      <c r="A10374" t="str">
        <f>"1160013G00066    00"</f>
        <v>1160013G00066    00</v>
      </c>
      <c r="B10374" t="s">
        <v>22828</v>
      </c>
      <c r="C10374" t="s">
        <v>22942</v>
      </c>
      <c r="D10374" t="s">
        <v>20</v>
      </c>
      <c r="E10374" t="s">
        <v>39</v>
      </c>
      <c r="F10374">
        <v>0</v>
      </c>
      <c r="G10374">
        <v>0</v>
      </c>
      <c r="H10374">
        <v>19</v>
      </c>
      <c r="I10374" s="3">
        <v>24648.11</v>
      </c>
      <c r="J10374" s="3">
        <v>20205.12</v>
      </c>
      <c r="L10374">
        <v>2716</v>
      </c>
      <c r="M10374" t="s">
        <v>22829</v>
      </c>
      <c r="N10374" t="s">
        <v>30</v>
      </c>
      <c r="O10374" t="s">
        <v>31</v>
      </c>
      <c r="P10374" t="str">
        <f>"15203"</f>
        <v>15203</v>
      </c>
    </row>
    <row r="10375" spans="1:16" x14ac:dyDescent="0.25">
      <c r="A10375" t="str">
        <f>"1160013G00086    00"</f>
        <v>1160013G00086    00</v>
      </c>
      <c r="B10375" t="s">
        <v>317</v>
      </c>
      <c r="C10375" t="s">
        <v>22820</v>
      </c>
      <c r="D10375" t="s">
        <v>20</v>
      </c>
      <c r="E10375" t="s">
        <v>39</v>
      </c>
      <c r="F10375">
        <v>0</v>
      </c>
      <c r="G10375">
        <v>0</v>
      </c>
      <c r="H10375">
        <v>1</v>
      </c>
      <c r="I10375" s="3">
        <v>171.54</v>
      </c>
      <c r="J10375" s="3">
        <v>0</v>
      </c>
      <c r="K10375" t="s">
        <v>319</v>
      </c>
      <c r="L10375">
        <v>2034</v>
      </c>
      <c r="M10375" t="s">
        <v>320</v>
      </c>
      <c r="N10375" t="s">
        <v>321</v>
      </c>
      <c r="O10375" t="s">
        <v>31</v>
      </c>
      <c r="P10375" t="str">
        <f>"15001"</f>
        <v>15001</v>
      </c>
    </row>
    <row r="10376" spans="1:16" x14ac:dyDescent="0.25">
      <c r="A10376" t="str">
        <f>"1160013G00087    00"</f>
        <v>1160013G00087    00</v>
      </c>
      <c r="B10376" t="s">
        <v>22943</v>
      </c>
      <c r="C10376" t="s">
        <v>22944</v>
      </c>
      <c r="D10376" t="s">
        <v>20</v>
      </c>
      <c r="E10376" t="s">
        <v>39</v>
      </c>
      <c r="F10376">
        <v>0</v>
      </c>
      <c r="G10376">
        <v>0</v>
      </c>
      <c r="H10376">
        <v>7</v>
      </c>
      <c r="I10376" s="3">
        <v>5546.31</v>
      </c>
      <c r="J10376" s="3">
        <v>1533.73</v>
      </c>
      <c r="K10376" t="s">
        <v>22945</v>
      </c>
      <c r="L10376">
        <v>2716</v>
      </c>
      <c r="M10376" t="s">
        <v>22946</v>
      </c>
      <c r="N10376" t="s">
        <v>30</v>
      </c>
      <c r="O10376" t="s">
        <v>31</v>
      </c>
      <c r="P10376" t="str">
        <f>"15203"</f>
        <v>15203</v>
      </c>
    </row>
    <row r="10377" spans="1:16" x14ac:dyDescent="0.25">
      <c r="A10377" t="str">
        <f>"1160013G00118    00"</f>
        <v>1160013G00118    00</v>
      </c>
      <c r="B10377" t="s">
        <v>22947</v>
      </c>
      <c r="C10377" t="s">
        <v>22948</v>
      </c>
      <c r="E10377" t="s">
        <v>39</v>
      </c>
      <c r="F10377">
        <v>0</v>
      </c>
      <c r="G10377">
        <v>0</v>
      </c>
      <c r="H10377">
        <v>1</v>
      </c>
      <c r="I10377" s="3">
        <v>171.26</v>
      </c>
      <c r="J10377" s="3">
        <v>193.3</v>
      </c>
      <c r="L10377">
        <v>2707</v>
      </c>
      <c r="M10377" t="s">
        <v>22949</v>
      </c>
      <c r="N10377" t="s">
        <v>30</v>
      </c>
      <c r="O10377" t="s">
        <v>31</v>
      </c>
      <c r="P10377" t="str">
        <f>"15203"</f>
        <v>15203</v>
      </c>
    </row>
    <row r="10378" spans="1:16" x14ac:dyDescent="0.25">
      <c r="A10378" t="str">
        <f>"1160013G00120    00"</f>
        <v>1160013G00120    00</v>
      </c>
      <c r="B10378" t="s">
        <v>22950</v>
      </c>
      <c r="C10378" t="s">
        <v>22951</v>
      </c>
      <c r="D10378" t="s">
        <v>20</v>
      </c>
      <c r="E10378" t="s">
        <v>39</v>
      </c>
      <c r="F10378">
        <v>0</v>
      </c>
      <c r="G10378">
        <v>0</v>
      </c>
      <c r="H10378">
        <v>1</v>
      </c>
      <c r="I10378" s="3">
        <v>1123.1199999999999</v>
      </c>
      <c r="J10378" s="3">
        <v>0</v>
      </c>
      <c r="L10378">
        <v>2507</v>
      </c>
      <c r="M10378" t="s">
        <v>22949</v>
      </c>
      <c r="N10378" t="s">
        <v>30</v>
      </c>
      <c r="O10378" t="s">
        <v>31</v>
      </c>
      <c r="P10378" t="str">
        <f>"15203"</f>
        <v>15203</v>
      </c>
    </row>
    <row r="10379" spans="1:16" x14ac:dyDescent="0.25">
      <c r="A10379" t="str">
        <f>"1160013G00143    00"</f>
        <v>1160013G00143    00</v>
      </c>
      <c r="B10379" t="s">
        <v>22952</v>
      </c>
      <c r="C10379" t="s">
        <v>22953</v>
      </c>
      <c r="D10379" t="s">
        <v>20</v>
      </c>
      <c r="E10379" t="s">
        <v>39</v>
      </c>
      <c r="F10379">
        <v>0</v>
      </c>
      <c r="G10379">
        <v>0</v>
      </c>
      <c r="H10379">
        <v>4</v>
      </c>
      <c r="I10379" s="3">
        <v>7327.85</v>
      </c>
      <c r="J10379" s="3">
        <v>484.28</v>
      </c>
      <c r="L10379">
        <v>2401</v>
      </c>
      <c r="M10379" t="s">
        <v>22949</v>
      </c>
      <c r="N10379" t="s">
        <v>30</v>
      </c>
      <c r="O10379" t="s">
        <v>31</v>
      </c>
      <c r="P10379" t="str">
        <f>"15203"</f>
        <v>15203</v>
      </c>
    </row>
    <row r="10380" spans="1:16" x14ac:dyDescent="0.25">
      <c r="A10380" t="str">
        <f>"1160013G00160    00"</f>
        <v>1160013G00160    00</v>
      </c>
      <c r="B10380" t="s">
        <v>22954</v>
      </c>
      <c r="C10380" t="s">
        <v>22955</v>
      </c>
      <c r="E10380" t="s">
        <v>39</v>
      </c>
      <c r="F10380">
        <v>0</v>
      </c>
      <c r="G10380">
        <v>0</v>
      </c>
      <c r="H10380">
        <v>1</v>
      </c>
      <c r="I10380" s="3">
        <v>675.64</v>
      </c>
      <c r="J10380" s="3">
        <v>202.68</v>
      </c>
      <c r="K10380" t="s">
        <v>408</v>
      </c>
      <c r="M10380" t="s">
        <v>409</v>
      </c>
      <c r="N10380" t="s">
        <v>410</v>
      </c>
      <c r="O10380" t="s">
        <v>31</v>
      </c>
      <c r="P10380" t="str">
        <f>"15701"</f>
        <v>15701</v>
      </c>
    </row>
    <row r="10381" spans="1:16" x14ac:dyDescent="0.25">
      <c r="A10381" t="str">
        <f>"1160013G00170    00"</f>
        <v>1160013G00170    00</v>
      </c>
      <c r="B10381" t="s">
        <v>22956</v>
      </c>
      <c r="C10381" t="s">
        <v>22957</v>
      </c>
      <c r="D10381" t="s">
        <v>20</v>
      </c>
      <c r="E10381" t="s">
        <v>39</v>
      </c>
      <c r="F10381">
        <v>0</v>
      </c>
      <c r="G10381">
        <v>0</v>
      </c>
      <c r="H10381">
        <v>6</v>
      </c>
      <c r="I10381" s="3">
        <v>5934.88</v>
      </c>
      <c r="J10381" s="3">
        <v>1227.83</v>
      </c>
      <c r="L10381">
        <v>2310</v>
      </c>
      <c r="M10381" t="s">
        <v>22958</v>
      </c>
      <c r="N10381" t="s">
        <v>30</v>
      </c>
      <c r="O10381" t="s">
        <v>31</v>
      </c>
      <c r="P10381" t="str">
        <f>"15203"</f>
        <v>15203</v>
      </c>
    </row>
    <row r="10382" spans="1:16" x14ac:dyDescent="0.25">
      <c r="A10382" t="str">
        <f>"1160013G00173    00"</f>
        <v>1160013G00173    00</v>
      </c>
      <c r="B10382" t="s">
        <v>22959</v>
      </c>
      <c r="C10382" t="s">
        <v>22960</v>
      </c>
      <c r="D10382" t="s">
        <v>20</v>
      </c>
      <c r="E10382" t="s">
        <v>39</v>
      </c>
      <c r="F10382">
        <v>0</v>
      </c>
      <c r="G10382">
        <v>0</v>
      </c>
      <c r="H10382">
        <v>10</v>
      </c>
      <c r="I10382" s="3">
        <v>2300.16</v>
      </c>
      <c r="J10382" s="3">
        <v>912.88</v>
      </c>
      <c r="L10382">
        <v>2716</v>
      </c>
      <c r="M10382" t="s">
        <v>22829</v>
      </c>
      <c r="N10382" t="s">
        <v>30</v>
      </c>
      <c r="O10382" t="s">
        <v>31</v>
      </c>
      <c r="P10382" t="str">
        <f>"15203"</f>
        <v>15203</v>
      </c>
    </row>
    <row r="10383" spans="1:16" x14ac:dyDescent="0.25">
      <c r="A10383" t="str">
        <f>"1160013G00179    00"</f>
        <v>1160013G00179    00</v>
      </c>
      <c r="B10383" t="s">
        <v>22961</v>
      </c>
      <c r="C10383" t="s">
        <v>22960</v>
      </c>
      <c r="E10383" t="s">
        <v>39</v>
      </c>
      <c r="F10383">
        <v>0</v>
      </c>
      <c r="G10383">
        <v>0</v>
      </c>
      <c r="H10383">
        <v>4</v>
      </c>
      <c r="I10383" s="3">
        <v>304.02</v>
      </c>
      <c r="J10383" s="3">
        <v>67.34</v>
      </c>
      <c r="K10383" t="s">
        <v>22962</v>
      </c>
      <c r="L10383">
        <v>2649</v>
      </c>
      <c r="M10383" t="s">
        <v>22963</v>
      </c>
      <c r="N10383" t="s">
        <v>9653</v>
      </c>
      <c r="O10383" t="s">
        <v>31</v>
      </c>
      <c r="P10383" t="str">
        <f>"15632"</f>
        <v>15632</v>
      </c>
    </row>
    <row r="10384" spans="1:16" x14ac:dyDescent="0.25">
      <c r="A10384" t="str">
        <f>"1160013G00180    00"</f>
        <v>1160013G00180    00</v>
      </c>
      <c r="B10384" t="s">
        <v>22964</v>
      </c>
      <c r="C10384" t="s">
        <v>22965</v>
      </c>
      <c r="D10384" t="s">
        <v>20</v>
      </c>
      <c r="E10384" t="s">
        <v>39</v>
      </c>
      <c r="F10384">
        <v>0</v>
      </c>
      <c r="G10384">
        <v>0</v>
      </c>
      <c r="H10384">
        <v>2</v>
      </c>
      <c r="I10384" s="3">
        <v>1336.92</v>
      </c>
      <c r="J10384" s="3">
        <v>0</v>
      </c>
      <c r="L10384">
        <v>2309</v>
      </c>
      <c r="M10384" t="s">
        <v>22966</v>
      </c>
      <c r="N10384" t="s">
        <v>30</v>
      </c>
      <c r="O10384" t="s">
        <v>31</v>
      </c>
      <c r="P10384" t="str">
        <f>"15203"</f>
        <v>15203</v>
      </c>
    </row>
    <row r="10385" spans="1:16" x14ac:dyDescent="0.25">
      <c r="A10385" t="str">
        <f>"1160013G00181    00"</f>
        <v>1160013G00181    00</v>
      </c>
      <c r="B10385" t="s">
        <v>22961</v>
      </c>
      <c r="C10385" t="s">
        <v>22967</v>
      </c>
      <c r="E10385" t="s">
        <v>39</v>
      </c>
      <c r="F10385">
        <v>0</v>
      </c>
      <c r="G10385">
        <v>0</v>
      </c>
      <c r="H10385">
        <v>3</v>
      </c>
      <c r="I10385" s="3">
        <v>8371.61</v>
      </c>
      <c r="J10385" s="3">
        <v>1172.19</v>
      </c>
      <c r="K10385" t="s">
        <v>22962</v>
      </c>
      <c r="L10385">
        <v>2649</v>
      </c>
      <c r="M10385" t="s">
        <v>22963</v>
      </c>
      <c r="N10385" t="s">
        <v>9653</v>
      </c>
      <c r="O10385" t="s">
        <v>31</v>
      </c>
      <c r="P10385" t="str">
        <f>"15632"</f>
        <v>15632</v>
      </c>
    </row>
    <row r="10386" spans="1:16" x14ac:dyDescent="0.25">
      <c r="A10386" t="str">
        <f>"1160013G00192    00"</f>
        <v>1160013G00192    00</v>
      </c>
      <c r="B10386" t="s">
        <v>22968</v>
      </c>
      <c r="C10386" t="s">
        <v>22969</v>
      </c>
      <c r="E10386" t="s">
        <v>39</v>
      </c>
      <c r="F10386">
        <v>0</v>
      </c>
      <c r="G10386">
        <v>0</v>
      </c>
      <c r="H10386">
        <v>1</v>
      </c>
      <c r="I10386" s="3">
        <v>308.35000000000002</v>
      </c>
      <c r="J10386" s="3">
        <v>0</v>
      </c>
      <c r="L10386">
        <v>829</v>
      </c>
      <c r="M10386" t="s">
        <v>2475</v>
      </c>
      <c r="N10386" t="s">
        <v>30</v>
      </c>
      <c r="O10386" t="s">
        <v>31</v>
      </c>
      <c r="P10386" t="str">
        <f>"15210"</f>
        <v>15210</v>
      </c>
    </row>
    <row r="10387" spans="1:16" x14ac:dyDescent="0.25">
      <c r="A10387" t="str">
        <f>"1160013G00196    00"</f>
        <v>1160013G00196    00</v>
      </c>
      <c r="B10387" t="s">
        <v>22970</v>
      </c>
      <c r="C10387" t="s">
        <v>22971</v>
      </c>
      <c r="E10387" t="s">
        <v>21</v>
      </c>
      <c r="F10387">
        <v>0</v>
      </c>
      <c r="G10387">
        <v>0</v>
      </c>
      <c r="H10387">
        <v>5</v>
      </c>
      <c r="I10387" s="3">
        <v>14764.56</v>
      </c>
      <c r="J10387" s="3">
        <v>4480.1899999999996</v>
      </c>
      <c r="L10387">
        <v>4115</v>
      </c>
      <c r="M10387" t="s">
        <v>22972</v>
      </c>
      <c r="N10387" t="s">
        <v>79</v>
      </c>
      <c r="O10387" t="s">
        <v>31</v>
      </c>
      <c r="P10387" t="str">
        <f>"15668"</f>
        <v>15668</v>
      </c>
    </row>
    <row r="10388" spans="1:16" x14ac:dyDescent="0.25">
      <c r="A10388" t="str">
        <f>"1160013G00229    00"</f>
        <v>1160013G00229    00</v>
      </c>
      <c r="B10388" t="s">
        <v>22973</v>
      </c>
      <c r="C10388" t="s">
        <v>22974</v>
      </c>
      <c r="D10388" t="s">
        <v>20</v>
      </c>
      <c r="E10388" t="s">
        <v>39</v>
      </c>
      <c r="F10388">
        <v>0</v>
      </c>
      <c r="G10388">
        <v>0</v>
      </c>
      <c r="H10388">
        <v>2</v>
      </c>
      <c r="I10388" s="3">
        <v>1142.7</v>
      </c>
      <c r="J10388" s="3">
        <v>0</v>
      </c>
      <c r="K10388" t="s">
        <v>1722</v>
      </c>
      <c r="M10388" t="s">
        <v>1723</v>
      </c>
      <c r="N10388" t="s">
        <v>410</v>
      </c>
      <c r="O10388" t="s">
        <v>31</v>
      </c>
      <c r="P10388" t="str">
        <f>"15701"</f>
        <v>15701</v>
      </c>
    </row>
    <row r="10389" spans="1:16" x14ac:dyDescent="0.25">
      <c r="A10389" t="str">
        <f>"1160013G00231    00"</f>
        <v>1160013G00231    00</v>
      </c>
      <c r="B10389" t="s">
        <v>22975</v>
      </c>
      <c r="C10389" t="s">
        <v>22976</v>
      </c>
      <c r="D10389" t="s">
        <v>20</v>
      </c>
      <c r="E10389" t="s">
        <v>39</v>
      </c>
      <c r="F10389">
        <v>0</v>
      </c>
      <c r="G10389">
        <v>0</v>
      </c>
      <c r="H10389">
        <v>7</v>
      </c>
      <c r="I10389" s="3">
        <v>8772.01</v>
      </c>
      <c r="J10389" s="3">
        <v>2404.8000000000002</v>
      </c>
      <c r="K10389" t="s">
        <v>22977</v>
      </c>
      <c r="L10389">
        <v>2707</v>
      </c>
      <c r="M10389" t="s">
        <v>22966</v>
      </c>
      <c r="N10389" t="s">
        <v>30</v>
      </c>
      <c r="O10389" t="s">
        <v>31</v>
      </c>
      <c r="P10389" t="str">
        <f>"15203"</f>
        <v>15203</v>
      </c>
    </row>
    <row r="10390" spans="1:16" x14ac:dyDescent="0.25">
      <c r="A10390" t="str">
        <f>"1160013G00239    00"</f>
        <v>1160013G00239    00</v>
      </c>
      <c r="B10390" t="s">
        <v>22978</v>
      </c>
      <c r="C10390" t="s">
        <v>22979</v>
      </c>
      <c r="D10390" t="s">
        <v>20</v>
      </c>
      <c r="E10390" t="s">
        <v>39</v>
      </c>
      <c r="F10390">
        <v>0</v>
      </c>
      <c r="G10390">
        <v>0</v>
      </c>
      <c r="H10390">
        <v>3</v>
      </c>
      <c r="I10390" s="3">
        <v>3000.68</v>
      </c>
      <c r="J10390" s="3">
        <v>211.87</v>
      </c>
      <c r="L10390">
        <v>1304</v>
      </c>
      <c r="M10390" t="s">
        <v>21622</v>
      </c>
      <c r="N10390" t="s">
        <v>30</v>
      </c>
      <c r="O10390" t="s">
        <v>31</v>
      </c>
      <c r="P10390" t="str">
        <f>"15203"</f>
        <v>15203</v>
      </c>
    </row>
    <row r="10391" spans="1:16" x14ac:dyDescent="0.25">
      <c r="A10391" t="str">
        <f>"1160013G00244    00"</f>
        <v>1160013G00244    00</v>
      </c>
      <c r="B10391" t="s">
        <v>22980</v>
      </c>
      <c r="C10391" t="s">
        <v>22981</v>
      </c>
      <c r="E10391" t="s">
        <v>39</v>
      </c>
      <c r="F10391">
        <v>0</v>
      </c>
      <c r="G10391">
        <v>0</v>
      </c>
      <c r="H10391">
        <v>1</v>
      </c>
      <c r="I10391" s="3">
        <v>130.59</v>
      </c>
      <c r="J10391" s="3">
        <v>0</v>
      </c>
      <c r="L10391">
        <v>2424</v>
      </c>
      <c r="M10391" t="s">
        <v>22966</v>
      </c>
      <c r="N10391" t="s">
        <v>30</v>
      </c>
      <c r="O10391" t="s">
        <v>31</v>
      </c>
      <c r="P10391" t="str">
        <f>"15203"</f>
        <v>15203</v>
      </c>
    </row>
    <row r="10392" spans="1:16" x14ac:dyDescent="0.25">
      <c r="A10392" t="str">
        <f>"1160013G00259    00"</f>
        <v>1160013G00259    00</v>
      </c>
      <c r="B10392" t="s">
        <v>22982</v>
      </c>
      <c r="C10392" t="s">
        <v>22983</v>
      </c>
      <c r="D10392" t="s">
        <v>20</v>
      </c>
      <c r="E10392" t="s">
        <v>39</v>
      </c>
      <c r="F10392">
        <v>0</v>
      </c>
      <c r="G10392">
        <v>0</v>
      </c>
      <c r="H10392">
        <v>5</v>
      </c>
      <c r="I10392" s="3">
        <v>6518.68</v>
      </c>
      <c r="J10392" s="3">
        <v>1126.19</v>
      </c>
      <c r="L10392">
        <v>2330</v>
      </c>
      <c r="M10392" t="s">
        <v>22984</v>
      </c>
      <c r="N10392" t="s">
        <v>30</v>
      </c>
      <c r="O10392" t="s">
        <v>31</v>
      </c>
      <c r="P10392" t="str">
        <f>"15203"</f>
        <v>15203</v>
      </c>
    </row>
    <row r="10393" spans="1:16" x14ac:dyDescent="0.25">
      <c r="A10393" t="str">
        <f>"1160013G00265    00"</f>
        <v>1160013G00265    00</v>
      </c>
      <c r="B10393" t="s">
        <v>22985</v>
      </c>
      <c r="C10393" t="s">
        <v>22986</v>
      </c>
      <c r="D10393" t="s">
        <v>20</v>
      </c>
      <c r="E10393" t="s">
        <v>39</v>
      </c>
      <c r="F10393">
        <v>0</v>
      </c>
      <c r="G10393">
        <v>0</v>
      </c>
      <c r="H10393">
        <v>19</v>
      </c>
      <c r="I10393" s="3">
        <v>16341.68</v>
      </c>
      <c r="J10393" s="3">
        <v>15082.06</v>
      </c>
      <c r="K10393" t="s">
        <v>3450</v>
      </c>
      <c r="P10393" t="str">
        <f>""</f>
        <v/>
      </c>
    </row>
    <row r="10394" spans="1:16" x14ac:dyDescent="0.25">
      <c r="A10394" t="str">
        <f>"1160013G00274    00"</f>
        <v>1160013G00274    00</v>
      </c>
      <c r="B10394" t="s">
        <v>22987</v>
      </c>
      <c r="C10394" t="s">
        <v>22988</v>
      </c>
      <c r="D10394" t="s">
        <v>20</v>
      </c>
      <c r="E10394" t="s">
        <v>39</v>
      </c>
      <c r="F10394">
        <v>0</v>
      </c>
      <c r="G10394">
        <v>0</v>
      </c>
      <c r="H10394">
        <v>1</v>
      </c>
      <c r="I10394" s="3">
        <v>1007.46</v>
      </c>
      <c r="J10394" s="3">
        <v>0</v>
      </c>
      <c r="K10394" t="s">
        <v>22989</v>
      </c>
      <c r="L10394">
        <v>2325</v>
      </c>
      <c r="M10394" t="s">
        <v>22990</v>
      </c>
      <c r="N10394" t="s">
        <v>30</v>
      </c>
      <c r="O10394" t="s">
        <v>31</v>
      </c>
      <c r="P10394" t="str">
        <f>"15203"</f>
        <v>15203</v>
      </c>
    </row>
    <row r="10395" spans="1:16" x14ac:dyDescent="0.25">
      <c r="A10395" t="str">
        <f>"1160013G00314    00"</f>
        <v>1160013G00314    00</v>
      </c>
      <c r="B10395" t="s">
        <v>22991</v>
      </c>
      <c r="C10395" t="s">
        <v>22992</v>
      </c>
      <c r="D10395" t="s">
        <v>20</v>
      </c>
      <c r="E10395" t="s">
        <v>39</v>
      </c>
      <c r="F10395">
        <v>0</v>
      </c>
      <c r="G10395">
        <v>0</v>
      </c>
      <c r="H10395">
        <v>3</v>
      </c>
      <c r="I10395" s="3">
        <v>918.72</v>
      </c>
      <c r="J10395" s="3">
        <v>132.08000000000001</v>
      </c>
      <c r="K10395" t="s">
        <v>22993</v>
      </c>
      <c r="L10395">
        <v>2311</v>
      </c>
      <c r="M10395" t="s">
        <v>22994</v>
      </c>
      <c r="N10395" t="s">
        <v>30</v>
      </c>
      <c r="O10395" t="s">
        <v>31</v>
      </c>
      <c r="P10395" t="str">
        <f>"15210"</f>
        <v>15210</v>
      </c>
    </row>
    <row r="10396" spans="1:16" x14ac:dyDescent="0.25">
      <c r="A10396" t="str">
        <f>"1160013G00340    00"</f>
        <v>1160013G00340    00</v>
      </c>
      <c r="B10396" t="s">
        <v>22995</v>
      </c>
      <c r="C10396" t="s">
        <v>22996</v>
      </c>
      <c r="E10396" t="s">
        <v>39</v>
      </c>
      <c r="F10396">
        <v>0</v>
      </c>
      <c r="G10396">
        <v>0</v>
      </c>
      <c r="H10396">
        <v>4</v>
      </c>
      <c r="I10396" s="3">
        <v>2018.1</v>
      </c>
      <c r="J10396" s="3">
        <v>456.22</v>
      </c>
      <c r="L10396">
        <v>2420</v>
      </c>
      <c r="M10396" t="s">
        <v>22990</v>
      </c>
      <c r="N10396" t="s">
        <v>30</v>
      </c>
      <c r="O10396" t="s">
        <v>31</v>
      </c>
      <c r="P10396" t="str">
        <f>"15203"</f>
        <v>15203</v>
      </c>
    </row>
    <row r="10397" spans="1:16" x14ac:dyDescent="0.25">
      <c r="A10397" t="str">
        <f>"1160013G00364    00"</f>
        <v>1160013G00364    00</v>
      </c>
      <c r="B10397" t="s">
        <v>22997</v>
      </c>
      <c r="C10397" t="s">
        <v>22998</v>
      </c>
      <c r="D10397" t="s">
        <v>20</v>
      </c>
      <c r="E10397" t="s">
        <v>39</v>
      </c>
      <c r="F10397">
        <v>0</v>
      </c>
      <c r="G10397">
        <v>0</v>
      </c>
      <c r="H10397">
        <v>16</v>
      </c>
      <c r="I10397" s="3">
        <v>20690.259999999998</v>
      </c>
      <c r="J10397" s="3">
        <v>12121.75</v>
      </c>
      <c r="L10397">
        <v>75</v>
      </c>
      <c r="M10397" t="s">
        <v>22999</v>
      </c>
      <c r="N10397" t="s">
        <v>30</v>
      </c>
      <c r="O10397" t="s">
        <v>31</v>
      </c>
      <c r="P10397" t="str">
        <f>"15210"</f>
        <v>15210</v>
      </c>
    </row>
    <row r="10398" spans="1:16" x14ac:dyDescent="0.25">
      <c r="A10398" t="str">
        <f>"1160013G00367    00"</f>
        <v>1160013G00367    00</v>
      </c>
      <c r="B10398" t="s">
        <v>23000</v>
      </c>
      <c r="C10398" t="s">
        <v>23001</v>
      </c>
      <c r="D10398" t="s">
        <v>20</v>
      </c>
      <c r="E10398" t="s">
        <v>39</v>
      </c>
      <c r="F10398">
        <v>0</v>
      </c>
      <c r="G10398">
        <v>0</v>
      </c>
      <c r="H10398">
        <v>5</v>
      </c>
      <c r="I10398" s="3">
        <v>4442.13</v>
      </c>
      <c r="J10398" s="3">
        <v>724.78</v>
      </c>
      <c r="L10398">
        <v>2614</v>
      </c>
      <c r="M10398" t="s">
        <v>22990</v>
      </c>
      <c r="N10398" t="s">
        <v>30</v>
      </c>
      <c r="O10398" t="s">
        <v>31</v>
      </c>
      <c r="P10398" t="str">
        <f>"15203"</f>
        <v>15203</v>
      </c>
    </row>
    <row r="10399" spans="1:16" x14ac:dyDescent="0.25">
      <c r="A10399" t="str">
        <f>"1160013G00385    00"</f>
        <v>1160013G00385    00</v>
      </c>
      <c r="B10399" t="s">
        <v>23002</v>
      </c>
      <c r="C10399" t="s">
        <v>23003</v>
      </c>
      <c r="D10399" t="s">
        <v>20</v>
      </c>
      <c r="E10399" t="s">
        <v>39</v>
      </c>
      <c r="F10399">
        <v>0</v>
      </c>
      <c r="G10399">
        <v>0</v>
      </c>
      <c r="H10399">
        <v>15</v>
      </c>
      <c r="I10399" s="3">
        <v>15734.39</v>
      </c>
      <c r="J10399" s="3">
        <v>9819.31</v>
      </c>
      <c r="P10399" t="str">
        <f>""</f>
        <v/>
      </c>
    </row>
    <row r="10400" spans="1:16" x14ac:dyDescent="0.25">
      <c r="A10400" t="str">
        <f>"1160013G00387    00"</f>
        <v>1160013G00387    00</v>
      </c>
      <c r="B10400" t="s">
        <v>23004</v>
      </c>
      <c r="C10400" t="s">
        <v>23005</v>
      </c>
      <c r="D10400" t="s">
        <v>20</v>
      </c>
      <c r="E10400" t="s">
        <v>39</v>
      </c>
      <c r="F10400">
        <v>0</v>
      </c>
      <c r="G10400">
        <v>0</v>
      </c>
      <c r="H10400">
        <v>5</v>
      </c>
      <c r="I10400" s="3">
        <v>3271.39</v>
      </c>
      <c r="J10400" s="3">
        <v>655.44</v>
      </c>
      <c r="L10400">
        <v>2409</v>
      </c>
      <c r="M10400" t="s">
        <v>21280</v>
      </c>
      <c r="N10400" t="s">
        <v>30</v>
      </c>
      <c r="O10400" t="s">
        <v>31</v>
      </c>
      <c r="P10400" t="str">
        <f>"15210"</f>
        <v>15210</v>
      </c>
    </row>
    <row r="10401" spans="1:16" x14ac:dyDescent="0.25">
      <c r="A10401" t="str">
        <f>"1160013H00011    00"</f>
        <v>1160013H00011    00</v>
      </c>
      <c r="B10401" t="s">
        <v>23006</v>
      </c>
      <c r="C10401" t="s">
        <v>23007</v>
      </c>
      <c r="E10401" t="s">
        <v>39</v>
      </c>
      <c r="F10401">
        <v>0</v>
      </c>
      <c r="G10401">
        <v>0</v>
      </c>
      <c r="H10401">
        <v>4</v>
      </c>
      <c r="I10401" s="3">
        <v>5426.34</v>
      </c>
      <c r="J10401" s="3">
        <v>1841.85</v>
      </c>
      <c r="M10401" t="s">
        <v>23008</v>
      </c>
      <c r="N10401" t="s">
        <v>30</v>
      </c>
      <c r="O10401" t="s">
        <v>31</v>
      </c>
      <c r="P10401" t="str">
        <f>"15203"</f>
        <v>15203</v>
      </c>
    </row>
    <row r="10402" spans="1:16" x14ac:dyDescent="0.25">
      <c r="A10402" t="str">
        <f>"1160013H00012    00"</f>
        <v>1160013H00012    00</v>
      </c>
      <c r="B10402" t="s">
        <v>23009</v>
      </c>
      <c r="C10402" t="s">
        <v>23010</v>
      </c>
      <c r="D10402" t="s">
        <v>20</v>
      </c>
      <c r="E10402" t="s">
        <v>39</v>
      </c>
      <c r="F10402">
        <v>0</v>
      </c>
      <c r="G10402">
        <v>0</v>
      </c>
      <c r="H10402">
        <v>1</v>
      </c>
      <c r="I10402" s="3">
        <v>921.06</v>
      </c>
      <c r="J10402" s="3">
        <v>0</v>
      </c>
      <c r="L10402">
        <v>2715</v>
      </c>
      <c r="M10402" t="s">
        <v>22829</v>
      </c>
      <c r="N10402" t="s">
        <v>30</v>
      </c>
      <c r="O10402" t="s">
        <v>31</v>
      </c>
      <c r="P10402" t="str">
        <f>"15203"</f>
        <v>15203</v>
      </c>
    </row>
    <row r="10403" spans="1:16" x14ac:dyDescent="0.25">
      <c r="A10403" t="str">
        <f>"1160013H00022    00"</f>
        <v>1160013H00022    00</v>
      </c>
      <c r="B10403" t="s">
        <v>23011</v>
      </c>
      <c r="C10403" t="s">
        <v>23012</v>
      </c>
      <c r="D10403" t="s">
        <v>20</v>
      </c>
      <c r="E10403" t="s">
        <v>39</v>
      </c>
      <c r="F10403">
        <v>0</v>
      </c>
      <c r="G10403">
        <v>0</v>
      </c>
      <c r="H10403">
        <v>5</v>
      </c>
      <c r="I10403" s="3">
        <v>571</v>
      </c>
      <c r="J10403" s="3">
        <v>68.05</v>
      </c>
      <c r="L10403">
        <v>4400</v>
      </c>
      <c r="M10403" t="s">
        <v>22550</v>
      </c>
      <c r="N10403" t="s">
        <v>295</v>
      </c>
      <c r="O10403" t="s">
        <v>31</v>
      </c>
      <c r="P10403" t="str">
        <f>"15146"</f>
        <v>15146</v>
      </c>
    </row>
    <row r="10404" spans="1:16" x14ac:dyDescent="0.25">
      <c r="A10404" t="str">
        <f>"1160013H00023    00"</f>
        <v>1160013H00023    00</v>
      </c>
      <c r="B10404" t="s">
        <v>23011</v>
      </c>
      <c r="C10404" t="s">
        <v>23013</v>
      </c>
      <c r="D10404" t="s">
        <v>20</v>
      </c>
      <c r="E10404" t="s">
        <v>39</v>
      </c>
      <c r="F10404">
        <v>0</v>
      </c>
      <c r="G10404">
        <v>0</v>
      </c>
      <c r="H10404">
        <v>5</v>
      </c>
      <c r="I10404" s="3">
        <v>1184.07</v>
      </c>
      <c r="J10404" s="3">
        <v>192.04</v>
      </c>
      <c r="L10404">
        <v>4400</v>
      </c>
      <c r="M10404" t="s">
        <v>22550</v>
      </c>
      <c r="N10404" t="s">
        <v>295</v>
      </c>
      <c r="O10404" t="s">
        <v>31</v>
      </c>
      <c r="P10404" t="str">
        <f>"15146"</f>
        <v>15146</v>
      </c>
    </row>
    <row r="10405" spans="1:16" x14ac:dyDescent="0.25">
      <c r="A10405" t="str">
        <f>"1160013H00024    00"</f>
        <v>1160013H00024    00</v>
      </c>
      <c r="B10405" t="s">
        <v>23011</v>
      </c>
      <c r="C10405" t="s">
        <v>23014</v>
      </c>
      <c r="E10405" t="s">
        <v>39</v>
      </c>
      <c r="F10405">
        <v>0</v>
      </c>
      <c r="G10405">
        <v>0</v>
      </c>
      <c r="H10405">
        <v>3</v>
      </c>
      <c r="I10405" s="3">
        <v>291.61</v>
      </c>
      <c r="J10405" s="3">
        <v>84.62</v>
      </c>
      <c r="L10405">
        <v>4400</v>
      </c>
      <c r="M10405" t="s">
        <v>22550</v>
      </c>
      <c r="N10405" t="s">
        <v>295</v>
      </c>
      <c r="O10405" t="s">
        <v>31</v>
      </c>
      <c r="P10405" t="str">
        <f>"15146"</f>
        <v>15146</v>
      </c>
    </row>
    <row r="10406" spans="1:16" x14ac:dyDescent="0.25">
      <c r="A10406" t="str">
        <f>"1160013H00046    00"</f>
        <v>1160013H00046    00</v>
      </c>
      <c r="B10406" t="s">
        <v>23015</v>
      </c>
      <c r="C10406" t="s">
        <v>23016</v>
      </c>
      <c r="E10406" t="s">
        <v>39</v>
      </c>
      <c r="F10406">
        <v>0</v>
      </c>
      <c r="G10406">
        <v>0</v>
      </c>
      <c r="H10406">
        <v>14</v>
      </c>
      <c r="I10406" s="3">
        <v>1023.3</v>
      </c>
      <c r="J10406" s="3">
        <v>1081.48</v>
      </c>
      <c r="L10406">
        <v>2724</v>
      </c>
      <c r="M10406" t="s">
        <v>23017</v>
      </c>
      <c r="N10406" t="s">
        <v>30</v>
      </c>
      <c r="O10406" t="s">
        <v>31</v>
      </c>
      <c r="P10406" t="str">
        <f>"15203"</f>
        <v>15203</v>
      </c>
    </row>
    <row r="10407" spans="1:16" x14ac:dyDescent="0.25">
      <c r="A10407" t="str">
        <f>"1160013H00048    00"</f>
        <v>1160013H00048    00</v>
      </c>
      <c r="B10407" t="s">
        <v>23018</v>
      </c>
      <c r="C10407" t="s">
        <v>23014</v>
      </c>
      <c r="D10407" t="s">
        <v>20</v>
      </c>
      <c r="E10407" t="s">
        <v>39</v>
      </c>
      <c r="F10407">
        <v>0</v>
      </c>
      <c r="G10407">
        <v>0</v>
      </c>
      <c r="H10407">
        <v>2</v>
      </c>
      <c r="I10407" s="3">
        <v>163.94</v>
      </c>
      <c r="J10407" s="3">
        <v>0</v>
      </c>
      <c r="K10407" t="s">
        <v>23019</v>
      </c>
      <c r="M10407" t="s">
        <v>23020</v>
      </c>
      <c r="N10407" t="s">
        <v>30</v>
      </c>
      <c r="O10407" t="s">
        <v>31</v>
      </c>
      <c r="P10407" t="str">
        <f>"15237"</f>
        <v>15237</v>
      </c>
    </row>
    <row r="10408" spans="1:16" x14ac:dyDescent="0.25">
      <c r="A10408" t="str">
        <f>"1160013H00049    00"</f>
        <v>1160013H00049    00</v>
      </c>
      <c r="B10408" t="s">
        <v>23018</v>
      </c>
      <c r="C10408" t="s">
        <v>23014</v>
      </c>
      <c r="D10408" t="s">
        <v>20</v>
      </c>
      <c r="E10408" t="s">
        <v>39</v>
      </c>
      <c r="F10408">
        <v>0</v>
      </c>
      <c r="G10408">
        <v>0</v>
      </c>
      <c r="H10408">
        <v>2</v>
      </c>
      <c r="I10408" s="3">
        <v>163.94</v>
      </c>
      <c r="J10408" s="3">
        <v>0</v>
      </c>
      <c r="K10408" t="s">
        <v>23019</v>
      </c>
      <c r="M10408" t="s">
        <v>23020</v>
      </c>
      <c r="N10408" t="s">
        <v>30</v>
      </c>
      <c r="O10408" t="s">
        <v>31</v>
      </c>
      <c r="P10408" t="str">
        <f>"15237"</f>
        <v>15237</v>
      </c>
    </row>
    <row r="10409" spans="1:16" x14ac:dyDescent="0.25">
      <c r="A10409" t="str">
        <f>"1160013H00051    00"</f>
        <v>1160013H00051    00</v>
      </c>
      <c r="B10409" t="s">
        <v>23018</v>
      </c>
      <c r="C10409" t="s">
        <v>23014</v>
      </c>
      <c r="D10409" t="s">
        <v>20</v>
      </c>
      <c r="E10409" t="s">
        <v>39</v>
      </c>
      <c r="F10409">
        <v>0</v>
      </c>
      <c r="G10409">
        <v>0</v>
      </c>
      <c r="H10409">
        <v>2</v>
      </c>
      <c r="I10409" s="3">
        <v>163.94</v>
      </c>
      <c r="J10409" s="3">
        <v>0</v>
      </c>
      <c r="M10409" t="s">
        <v>23020</v>
      </c>
      <c r="N10409" t="s">
        <v>30</v>
      </c>
      <c r="O10409" t="s">
        <v>31</v>
      </c>
      <c r="P10409" t="str">
        <f>"15237"</f>
        <v>15237</v>
      </c>
    </row>
    <row r="10410" spans="1:16" x14ac:dyDescent="0.25">
      <c r="A10410" t="str">
        <f>"1160013H00071    00"</f>
        <v>1160013H00071    00</v>
      </c>
      <c r="B10410" t="s">
        <v>23021</v>
      </c>
      <c r="C10410" t="s">
        <v>23022</v>
      </c>
      <c r="E10410" t="s">
        <v>39</v>
      </c>
      <c r="F10410">
        <v>0</v>
      </c>
      <c r="G10410">
        <v>0</v>
      </c>
      <c r="H10410">
        <v>1</v>
      </c>
      <c r="I10410" s="3">
        <v>307.5</v>
      </c>
      <c r="J10410" s="3">
        <v>0</v>
      </c>
      <c r="K10410" t="s">
        <v>23023</v>
      </c>
      <c r="L10410">
        <v>4250</v>
      </c>
      <c r="M10410" t="s">
        <v>23024</v>
      </c>
      <c r="N10410" t="s">
        <v>23025</v>
      </c>
      <c r="O10410" t="s">
        <v>370</v>
      </c>
      <c r="P10410" t="str">
        <f>"33905"</f>
        <v>33905</v>
      </c>
    </row>
    <row r="10411" spans="1:16" x14ac:dyDescent="0.25">
      <c r="A10411" t="str">
        <f>"1160013H00071A   00"</f>
        <v>1160013H00071A   00</v>
      </c>
      <c r="B10411" t="s">
        <v>23026</v>
      </c>
      <c r="C10411" t="s">
        <v>23027</v>
      </c>
      <c r="D10411" t="s">
        <v>20</v>
      </c>
      <c r="E10411" t="s">
        <v>39</v>
      </c>
      <c r="F10411">
        <v>0</v>
      </c>
      <c r="G10411">
        <v>0</v>
      </c>
      <c r="H10411">
        <v>12</v>
      </c>
      <c r="I10411" s="3">
        <v>8651.4699999999993</v>
      </c>
      <c r="J10411" s="3">
        <v>4366.3100000000004</v>
      </c>
      <c r="L10411">
        <v>2711</v>
      </c>
      <c r="M10411" t="s">
        <v>22966</v>
      </c>
      <c r="N10411" t="s">
        <v>30</v>
      </c>
      <c r="O10411" t="s">
        <v>31</v>
      </c>
      <c r="P10411" t="str">
        <f>"15203"</f>
        <v>15203</v>
      </c>
    </row>
    <row r="10412" spans="1:16" x14ac:dyDescent="0.25">
      <c r="A10412" t="str">
        <f>"1160013H00072    00"</f>
        <v>1160013H00072    00</v>
      </c>
      <c r="B10412" t="s">
        <v>23021</v>
      </c>
      <c r="C10412" t="s">
        <v>23028</v>
      </c>
      <c r="E10412" t="s">
        <v>39</v>
      </c>
      <c r="F10412">
        <v>0</v>
      </c>
      <c r="G10412">
        <v>0</v>
      </c>
      <c r="H10412">
        <v>1</v>
      </c>
      <c r="I10412" s="3">
        <v>307.51</v>
      </c>
      <c r="J10412" s="3">
        <v>0</v>
      </c>
      <c r="K10412" t="s">
        <v>23023</v>
      </c>
      <c r="L10412">
        <v>4250</v>
      </c>
      <c r="M10412" t="s">
        <v>23024</v>
      </c>
      <c r="N10412" t="s">
        <v>23025</v>
      </c>
      <c r="O10412" t="s">
        <v>370</v>
      </c>
      <c r="P10412" t="str">
        <f>"33905"</f>
        <v>33905</v>
      </c>
    </row>
    <row r="10413" spans="1:16" x14ac:dyDescent="0.25">
      <c r="A10413" t="str">
        <f>"1160013H00075    00"</f>
        <v>1160013H00075    00</v>
      </c>
      <c r="B10413" t="s">
        <v>23029</v>
      </c>
      <c r="C10413" t="s">
        <v>23030</v>
      </c>
      <c r="D10413" t="s">
        <v>20</v>
      </c>
      <c r="E10413" t="s">
        <v>39</v>
      </c>
      <c r="F10413">
        <v>0</v>
      </c>
      <c r="G10413">
        <v>0</v>
      </c>
      <c r="H10413">
        <v>3</v>
      </c>
      <c r="I10413" s="3">
        <v>3665.28</v>
      </c>
      <c r="J10413" s="3">
        <v>244.35</v>
      </c>
      <c r="K10413" t="s">
        <v>23031</v>
      </c>
      <c r="L10413">
        <v>2715</v>
      </c>
      <c r="M10413" t="s">
        <v>22966</v>
      </c>
      <c r="N10413" t="s">
        <v>30</v>
      </c>
      <c r="O10413" t="s">
        <v>31</v>
      </c>
      <c r="P10413" t="str">
        <f>"15203"</f>
        <v>15203</v>
      </c>
    </row>
    <row r="10414" spans="1:16" x14ac:dyDescent="0.25">
      <c r="A10414" t="str">
        <f>"1160013H00097    00"</f>
        <v>1160013H00097    00</v>
      </c>
      <c r="B10414" t="s">
        <v>23032</v>
      </c>
      <c r="C10414" t="s">
        <v>22981</v>
      </c>
      <c r="D10414" t="s">
        <v>20</v>
      </c>
      <c r="E10414" t="s">
        <v>39</v>
      </c>
      <c r="F10414">
        <v>0</v>
      </c>
      <c r="G10414">
        <v>0</v>
      </c>
      <c r="H10414">
        <v>19</v>
      </c>
      <c r="I10414" s="3">
        <v>685.53</v>
      </c>
      <c r="J10414" s="3">
        <v>767.3</v>
      </c>
      <c r="K10414" t="s">
        <v>1008</v>
      </c>
      <c r="P10414" t="str">
        <f>""</f>
        <v/>
      </c>
    </row>
    <row r="10415" spans="1:16" x14ac:dyDescent="0.25">
      <c r="A10415" t="str">
        <f>"1160013H00098    00"</f>
        <v>1160013H00098    00</v>
      </c>
      <c r="B10415" t="s">
        <v>23033</v>
      </c>
      <c r="C10415" t="s">
        <v>23034</v>
      </c>
      <c r="D10415" t="s">
        <v>20</v>
      </c>
      <c r="E10415" t="s">
        <v>39</v>
      </c>
      <c r="F10415">
        <v>0</v>
      </c>
      <c r="G10415">
        <v>0</v>
      </c>
      <c r="H10415">
        <v>19</v>
      </c>
      <c r="I10415" s="3">
        <v>734.81</v>
      </c>
      <c r="J10415" s="3">
        <v>838.29</v>
      </c>
      <c r="L10415">
        <v>2738</v>
      </c>
      <c r="M10415" t="s">
        <v>22966</v>
      </c>
      <c r="N10415" t="s">
        <v>30</v>
      </c>
      <c r="O10415" t="s">
        <v>31</v>
      </c>
      <c r="P10415" t="str">
        <f>"15203"</f>
        <v>15203</v>
      </c>
    </row>
    <row r="10416" spans="1:16" x14ac:dyDescent="0.25">
      <c r="A10416" t="str">
        <f>"1160013H00111    00"</f>
        <v>1160013H00111    00</v>
      </c>
      <c r="B10416" t="s">
        <v>23035</v>
      </c>
      <c r="C10416" t="s">
        <v>23034</v>
      </c>
      <c r="E10416" t="s">
        <v>39</v>
      </c>
      <c r="F10416">
        <v>0</v>
      </c>
      <c r="G10416">
        <v>0</v>
      </c>
      <c r="H10416">
        <v>1</v>
      </c>
      <c r="I10416" s="3">
        <v>86.1</v>
      </c>
      <c r="J10416" s="3">
        <v>0</v>
      </c>
      <c r="L10416">
        <v>2712</v>
      </c>
      <c r="M10416" t="s">
        <v>22966</v>
      </c>
      <c r="N10416" t="s">
        <v>30</v>
      </c>
      <c r="O10416" t="s">
        <v>31</v>
      </c>
      <c r="P10416" t="str">
        <f>"15203"</f>
        <v>15203</v>
      </c>
    </row>
    <row r="10417" spans="1:16" x14ac:dyDescent="0.25">
      <c r="A10417" t="str">
        <f>"1160013H00113    00"</f>
        <v>1160013H00113    00</v>
      </c>
      <c r="B10417" t="s">
        <v>23036</v>
      </c>
      <c r="C10417" t="s">
        <v>23037</v>
      </c>
      <c r="D10417" t="s">
        <v>20</v>
      </c>
      <c r="E10417" t="s">
        <v>39</v>
      </c>
      <c r="F10417">
        <v>0</v>
      </c>
      <c r="G10417">
        <v>0</v>
      </c>
      <c r="H10417">
        <v>2</v>
      </c>
      <c r="I10417" s="3">
        <v>3960.68</v>
      </c>
      <c r="J10417" s="3">
        <v>0</v>
      </c>
      <c r="K10417" t="s">
        <v>400</v>
      </c>
      <c r="L10417">
        <v>3001</v>
      </c>
      <c r="M10417" t="s">
        <v>330</v>
      </c>
      <c r="N10417" t="s">
        <v>331</v>
      </c>
      <c r="O10417" t="s">
        <v>108</v>
      </c>
      <c r="P10417" t="str">
        <f>"75063"</f>
        <v>75063</v>
      </c>
    </row>
    <row r="10418" spans="1:16" x14ac:dyDescent="0.25">
      <c r="A10418" t="str">
        <f>"1160013H00116    00"</f>
        <v>1160013H00116    00</v>
      </c>
      <c r="B10418" t="s">
        <v>23038</v>
      </c>
      <c r="C10418" t="s">
        <v>22981</v>
      </c>
      <c r="D10418" t="s">
        <v>20</v>
      </c>
      <c r="E10418" t="s">
        <v>39</v>
      </c>
      <c r="F10418">
        <v>0</v>
      </c>
      <c r="G10418">
        <v>0</v>
      </c>
      <c r="H10418">
        <v>19</v>
      </c>
      <c r="I10418" s="3">
        <v>1267.3800000000001</v>
      </c>
      <c r="J10418" s="3">
        <v>984.93</v>
      </c>
      <c r="K10418" t="s">
        <v>1008</v>
      </c>
      <c r="P10418" t="str">
        <f>""</f>
        <v/>
      </c>
    </row>
    <row r="10419" spans="1:16" x14ac:dyDescent="0.25">
      <c r="A10419" t="str">
        <f>"1160013H00131    00"</f>
        <v>1160013H00131    00</v>
      </c>
      <c r="B10419" t="s">
        <v>23039</v>
      </c>
      <c r="C10419" t="s">
        <v>23034</v>
      </c>
      <c r="D10419" t="s">
        <v>20</v>
      </c>
      <c r="E10419" t="s">
        <v>39</v>
      </c>
      <c r="F10419">
        <v>0</v>
      </c>
      <c r="G10419">
        <v>0</v>
      </c>
      <c r="H10419">
        <v>19</v>
      </c>
      <c r="I10419" s="3">
        <v>10099.06</v>
      </c>
      <c r="J10419" s="3">
        <v>8213.17</v>
      </c>
      <c r="L10419">
        <v>10</v>
      </c>
      <c r="M10419" t="s">
        <v>23040</v>
      </c>
      <c r="N10419" t="s">
        <v>30</v>
      </c>
      <c r="O10419" t="s">
        <v>31</v>
      </c>
      <c r="P10419" t="str">
        <f>"15236"</f>
        <v>15236</v>
      </c>
    </row>
    <row r="10420" spans="1:16" x14ac:dyDescent="0.25">
      <c r="A10420" t="str">
        <f>"1160013H00137    00"</f>
        <v>1160013H00137    00</v>
      </c>
      <c r="B10420" t="s">
        <v>23041</v>
      </c>
      <c r="C10420" t="s">
        <v>23042</v>
      </c>
      <c r="D10420" t="s">
        <v>20</v>
      </c>
      <c r="E10420" t="s">
        <v>39</v>
      </c>
      <c r="F10420">
        <v>0</v>
      </c>
      <c r="G10420">
        <v>0</v>
      </c>
      <c r="H10420">
        <v>10</v>
      </c>
      <c r="I10420" s="3">
        <v>8618.08</v>
      </c>
      <c r="J10420" s="3">
        <v>6289.22</v>
      </c>
      <c r="L10420">
        <v>2819</v>
      </c>
      <c r="M10420" t="s">
        <v>22990</v>
      </c>
      <c r="N10420" t="s">
        <v>30</v>
      </c>
      <c r="O10420" t="s">
        <v>31</v>
      </c>
      <c r="P10420" t="str">
        <f>"15203"</f>
        <v>15203</v>
      </c>
    </row>
    <row r="10421" spans="1:16" x14ac:dyDescent="0.25">
      <c r="A10421" t="str">
        <f>"1160013H00140    00"</f>
        <v>1160013H00140    00</v>
      </c>
      <c r="B10421" t="s">
        <v>23043</v>
      </c>
      <c r="C10421" t="s">
        <v>23044</v>
      </c>
      <c r="D10421" t="s">
        <v>20</v>
      </c>
      <c r="E10421" t="s">
        <v>39</v>
      </c>
      <c r="F10421">
        <v>0</v>
      </c>
      <c r="G10421">
        <v>0</v>
      </c>
      <c r="H10421">
        <v>4</v>
      </c>
      <c r="I10421" s="3">
        <v>6872.83</v>
      </c>
      <c r="J10421" s="3">
        <v>1289.92</v>
      </c>
      <c r="K10421" t="s">
        <v>23045</v>
      </c>
      <c r="M10421" t="s">
        <v>23046</v>
      </c>
      <c r="N10421" t="s">
        <v>30</v>
      </c>
      <c r="O10421" t="s">
        <v>31</v>
      </c>
      <c r="P10421" t="str">
        <f>"15210"</f>
        <v>15210</v>
      </c>
    </row>
    <row r="10422" spans="1:16" x14ac:dyDescent="0.25">
      <c r="A10422" t="str">
        <f>"1160013H00146    00"</f>
        <v>1160013H00146    00</v>
      </c>
      <c r="B10422" t="s">
        <v>23047</v>
      </c>
      <c r="C10422" t="s">
        <v>23048</v>
      </c>
      <c r="D10422" t="s">
        <v>20</v>
      </c>
      <c r="E10422" t="s">
        <v>39</v>
      </c>
      <c r="F10422">
        <v>0</v>
      </c>
      <c r="G10422">
        <v>0</v>
      </c>
      <c r="H10422">
        <v>2</v>
      </c>
      <c r="I10422" s="3">
        <v>1763.3</v>
      </c>
      <c r="J10422" s="3">
        <v>0</v>
      </c>
      <c r="L10422">
        <v>2835</v>
      </c>
      <c r="M10422" t="s">
        <v>22990</v>
      </c>
      <c r="N10422" t="s">
        <v>30</v>
      </c>
      <c r="O10422" t="s">
        <v>31</v>
      </c>
      <c r="P10422" t="str">
        <f>"15203"</f>
        <v>15203</v>
      </c>
    </row>
    <row r="10423" spans="1:16" x14ac:dyDescent="0.25">
      <c r="A10423" t="str">
        <f>"1160013H00153    00"</f>
        <v>1160013H00153    00</v>
      </c>
      <c r="B10423" t="s">
        <v>23049</v>
      </c>
      <c r="C10423" t="s">
        <v>23050</v>
      </c>
      <c r="D10423" t="s">
        <v>20</v>
      </c>
      <c r="E10423" t="s">
        <v>39</v>
      </c>
      <c r="F10423">
        <v>0</v>
      </c>
      <c r="G10423">
        <v>0</v>
      </c>
      <c r="H10423">
        <v>9</v>
      </c>
      <c r="I10423" s="3">
        <v>3556.98</v>
      </c>
      <c r="J10423" s="3">
        <v>1244.42</v>
      </c>
      <c r="L10423">
        <v>2852</v>
      </c>
      <c r="M10423" t="s">
        <v>22966</v>
      </c>
      <c r="N10423" t="s">
        <v>30</v>
      </c>
      <c r="O10423" t="s">
        <v>31</v>
      </c>
      <c r="P10423" t="str">
        <f>"15203"</f>
        <v>15203</v>
      </c>
    </row>
    <row r="10424" spans="1:16" x14ac:dyDescent="0.25">
      <c r="A10424" t="str">
        <f>"1160013H00205    00"</f>
        <v>1160013H00205    00</v>
      </c>
      <c r="B10424" t="s">
        <v>23051</v>
      </c>
      <c r="C10424" t="s">
        <v>23052</v>
      </c>
      <c r="D10424" t="s">
        <v>20</v>
      </c>
      <c r="E10424" t="s">
        <v>39</v>
      </c>
      <c r="F10424">
        <v>0</v>
      </c>
      <c r="G10424">
        <v>0</v>
      </c>
      <c r="H10424">
        <v>1</v>
      </c>
      <c r="I10424" s="3">
        <v>943.48</v>
      </c>
      <c r="J10424" s="3">
        <v>0</v>
      </c>
      <c r="L10424">
        <v>2618</v>
      </c>
      <c r="M10424" t="s">
        <v>22876</v>
      </c>
      <c r="N10424" t="s">
        <v>30</v>
      </c>
      <c r="O10424" t="s">
        <v>31</v>
      </c>
      <c r="P10424" t="str">
        <f>"15203"</f>
        <v>15203</v>
      </c>
    </row>
    <row r="10425" spans="1:16" x14ac:dyDescent="0.25">
      <c r="A10425" t="str">
        <f>"1160013H00221    00"</f>
        <v>1160013H00221    00</v>
      </c>
      <c r="B10425" t="s">
        <v>23053</v>
      </c>
      <c r="C10425" t="s">
        <v>23054</v>
      </c>
      <c r="E10425" t="s">
        <v>39</v>
      </c>
      <c r="F10425">
        <v>0</v>
      </c>
      <c r="G10425">
        <v>0</v>
      </c>
      <c r="H10425">
        <v>1</v>
      </c>
      <c r="I10425" s="3">
        <v>541.82000000000005</v>
      </c>
      <c r="J10425" s="3">
        <v>0</v>
      </c>
      <c r="L10425">
        <v>5381</v>
      </c>
      <c r="M10425" t="s">
        <v>23055</v>
      </c>
      <c r="N10425" t="s">
        <v>30</v>
      </c>
      <c r="O10425" t="s">
        <v>31</v>
      </c>
      <c r="P10425" t="str">
        <f>"15217"</f>
        <v>15217</v>
      </c>
    </row>
    <row r="10426" spans="1:16" x14ac:dyDescent="0.25">
      <c r="A10426" t="str">
        <f>"1160013H00233    00"</f>
        <v>1160013H00233    00</v>
      </c>
      <c r="B10426" t="s">
        <v>23056</v>
      </c>
      <c r="C10426" t="s">
        <v>23057</v>
      </c>
      <c r="D10426" t="s">
        <v>20</v>
      </c>
      <c r="E10426" t="s">
        <v>39</v>
      </c>
      <c r="F10426">
        <v>0</v>
      </c>
      <c r="G10426">
        <v>0</v>
      </c>
      <c r="H10426">
        <v>2</v>
      </c>
      <c r="I10426" s="3">
        <v>153.30000000000001</v>
      </c>
      <c r="J10426" s="3">
        <v>0</v>
      </c>
      <c r="K10426" t="s">
        <v>23058</v>
      </c>
      <c r="L10426">
        <v>901</v>
      </c>
      <c r="M10426" t="s">
        <v>1503</v>
      </c>
      <c r="N10426" t="s">
        <v>494</v>
      </c>
      <c r="O10426" t="s">
        <v>495</v>
      </c>
      <c r="P10426" t="str">
        <f>"91768"</f>
        <v>91768</v>
      </c>
    </row>
    <row r="10427" spans="1:16" x14ac:dyDescent="0.25">
      <c r="A10427" t="str">
        <f>"1160013H00239    00"</f>
        <v>1160013H00239    00</v>
      </c>
      <c r="B10427" t="s">
        <v>23059</v>
      </c>
      <c r="C10427" t="s">
        <v>23060</v>
      </c>
      <c r="D10427" t="s">
        <v>20</v>
      </c>
      <c r="E10427" t="s">
        <v>39</v>
      </c>
      <c r="F10427">
        <v>0</v>
      </c>
      <c r="G10427">
        <v>0</v>
      </c>
      <c r="H10427">
        <v>2</v>
      </c>
      <c r="I10427" s="3">
        <v>139.35</v>
      </c>
      <c r="J10427" s="3">
        <v>0</v>
      </c>
      <c r="L10427">
        <v>3001</v>
      </c>
      <c r="M10427" t="s">
        <v>22949</v>
      </c>
      <c r="N10427" t="s">
        <v>30</v>
      </c>
      <c r="O10427" t="s">
        <v>31</v>
      </c>
      <c r="P10427" t="str">
        <f>"15203"</f>
        <v>15203</v>
      </c>
    </row>
    <row r="10428" spans="1:16" x14ac:dyDescent="0.25">
      <c r="A10428" t="str">
        <f>"1160013H00241    00"</f>
        <v>1160013H00241    00</v>
      </c>
      <c r="B10428" t="s">
        <v>23059</v>
      </c>
      <c r="C10428" t="s">
        <v>23061</v>
      </c>
      <c r="D10428" t="s">
        <v>20</v>
      </c>
      <c r="E10428" t="s">
        <v>39</v>
      </c>
      <c r="F10428">
        <v>0</v>
      </c>
      <c r="G10428">
        <v>0</v>
      </c>
      <c r="H10428">
        <v>2</v>
      </c>
      <c r="I10428" s="3">
        <v>3545.09</v>
      </c>
      <c r="J10428" s="3">
        <v>0</v>
      </c>
      <c r="L10428">
        <v>3001</v>
      </c>
      <c r="M10428" t="s">
        <v>22949</v>
      </c>
      <c r="N10428" t="s">
        <v>30</v>
      </c>
      <c r="O10428" t="s">
        <v>31</v>
      </c>
      <c r="P10428" t="str">
        <f>"15203"</f>
        <v>15203</v>
      </c>
    </row>
    <row r="10429" spans="1:16" x14ac:dyDescent="0.25">
      <c r="A10429" t="str">
        <f>"1160013H00272    00"</f>
        <v>1160013H00272    00</v>
      </c>
      <c r="B10429" t="s">
        <v>23062</v>
      </c>
      <c r="C10429" t="s">
        <v>23063</v>
      </c>
      <c r="D10429" t="s">
        <v>20</v>
      </c>
      <c r="E10429" t="s">
        <v>39</v>
      </c>
      <c r="F10429">
        <v>0</v>
      </c>
      <c r="G10429">
        <v>0</v>
      </c>
      <c r="H10429">
        <v>6</v>
      </c>
      <c r="I10429" s="3">
        <v>10623.7</v>
      </c>
      <c r="J10429" s="3">
        <v>2421.6999999999998</v>
      </c>
      <c r="L10429">
        <v>2732</v>
      </c>
      <c r="M10429" t="s">
        <v>22876</v>
      </c>
      <c r="N10429" t="s">
        <v>30</v>
      </c>
      <c r="O10429" t="s">
        <v>31</v>
      </c>
      <c r="P10429" t="str">
        <f>"15203"</f>
        <v>15203</v>
      </c>
    </row>
    <row r="10430" spans="1:16" x14ac:dyDescent="0.25">
      <c r="A10430" t="str">
        <f>"1160013H00294    01"</f>
        <v>1160013H00294    01</v>
      </c>
      <c r="B10430" t="s">
        <v>23064</v>
      </c>
      <c r="C10430" t="s">
        <v>23065</v>
      </c>
      <c r="E10430" t="s">
        <v>39</v>
      </c>
      <c r="F10430">
        <v>0</v>
      </c>
      <c r="G10430">
        <v>0</v>
      </c>
      <c r="H10430">
        <v>1</v>
      </c>
      <c r="I10430" s="3">
        <v>46.78</v>
      </c>
      <c r="J10430" s="3">
        <v>40.81</v>
      </c>
      <c r="L10430">
        <v>2904</v>
      </c>
      <c r="M10430" t="s">
        <v>22876</v>
      </c>
      <c r="N10430" t="s">
        <v>30</v>
      </c>
      <c r="O10430" t="s">
        <v>31</v>
      </c>
      <c r="P10430" t="str">
        <f>"15203"</f>
        <v>15203</v>
      </c>
    </row>
    <row r="10431" spans="1:16" x14ac:dyDescent="0.25">
      <c r="A10431" t="str">
        <f>"1160013H00320    00"</f>
        <v>1160013H00320    00</v>
      </c>
      <c r="B10431" t="s">
        <v>23066</v>
      </c>
      <c r="C10431" t="s">
        <v>23067</v>
      </c>
      <c r="D10431" t="s">
        <v>20</v>
      </c>
      <c r="E10431" t="s">
        <v>39</v>
      </c>
      <c r="F10431">
        <v>0</v>
      </c>
      <c r="G10431">
        <v>0</v>
      </c>
      <c r="H10431">
        <v>3</v>
      </c>
      <c r="I10431" s="3">
        <v>451.74</v>
      </c>
      <c r="J10431" s="3">
        <v>30.12</v>
      </c>
      <c r="P10431" t="str">
        <f>""</f>
        <v/>
      </c>
    </row>
    <row r="10432" spans="1:16" x14ac:dyDescent="0.25">
      <c r="A10432" t="str">
        <f>"1160013J00108    00"</f>
        <v>1160013J00108    00</v>
      </c>
      <c r="B10432" t="s">
        <v>7918</v>
      </c>
      <c r="C10432" t="s">
        <v>23068</v>
      </c>
      <c r="D10432" t="s">
        <v>20</v>
      </c>
      <c r="E10432" t="s">
        <v>39</v>
      </c>
      <c r="F10432">
        <v>0</v>
      </c>
      <c r="G10432">
        <v>0</v>
      </c>
      <c r="H10432">
        <v>1</v>
      </c>
      <c r="I10432" s="3">
        <v>667.1</v>
      </c>
      <c r="J10432" s="3">
        <v>0</v>
      </c>
      <c r="K10432" t="s">
        <v>7920</v>
      </c>
      <c r="L10432">
        <v>740</v>
      </c>
      <c r="M10432" t="s">
        <v>8461</v>
      </c>
      <c r="N10432" t="s">
        <v>526</v>
      </c>
      <c r="O10432" t="s">
        <v>527</v>
      </c>
      <c r="P10432" t="str">
        <f>"20005"</f>
        <v>20005</v>
      </c>
    </row>
    <row r="10433" spans="1:16" x14ac:dyDescent="0.25">
      <c r="A10433" t="str">
        <f>"1160013J00110    00"</f>
        <v>1160013J00110    00</v>
      </c>
      <c r="B10433" t="s">
        <v>23069</v>
      </c>
      <c r="C10433" t="s">
        <v>23070</v>
      </c>
      <c r="D10433" t="s">
        <v>20</v>
      </c>
      <c r="E10433" t="s">
        <v>39</v>
      </c>
      <c r="F10433">
        <v>0</v>
      </c>
      <c r="G10433">
        <v>0</v>
      </c>
      <c r="H10433">
        <v>1</v>
      </c>
      <c r="I10433" s="3">
        <v>95.16</v>
      </c>
      <c r="J10433" s="3">
        <v>0</v>
      </c>
      <c r="L10433">
        <v>1920</v>
      </c>
      <c r="M10433" t="s">
        <v>3525</v>
      </c>
      <c r="N10433" t="s">
        <v>30</v>
      </c>
      <c r="O10433" t="s">
        <v>31</v>
      </c>
      <c r="P10433" t="str">
        <f>"15210"</f>
        <v>15210</v>
      </c>
    </row>
    <row r="10434" spans="1:16" x14ac:dyDescent="0.25">
      <c r="A10434" t="str">
        <f>"1160013J00112    00"</f>
        <v>1160013J00112    00</v>
      </c>
      <c r="B10434" t="s">
        <v>23071</v>
      </c>
      <c r="C10434" t="s">
        <v>23072</v>
      </c>
      <c r="D10434" t="s">
        <v>20</v>
      </c>
      <c r="E10434" t="s">
        <v>21</v>
      </c>
      <c r="F10434">
        <v>0</v>
      </c>
      <c r="G10434">
        <v>0</v>
      </c>
      <c r="H10434">
        <v>2</v>
      </c>
      <c r="I10434" s="3">
        <v>618.71</v>
      </c>
      <c r="J10434" s="3">
        <v>0</v>
      </c>
      <c r="K10434" t="s">
        <v>23073</v>
      </c>
      <c r="L10434">
        <v>824</v>
      </c>
      <c r="M10434" t="s">
        <v>3180</v>
      </c>
      <c r="N10434" t="s">
        <v>30</v>
      </c>
      <c r="O10434" t="s">
        <v>31</v>
      </c>
      <c r="P10434" t="str">
        <f>"15210"</f>
        <v>15210</v>
      </c>
    </row>
    <row r="10435" spans="1:16" x14ac:dyDescent="0.25">
      <c r="A10435" t="str">
        <f>"1160013J00114    00"</f>
        <v>1160013J00114    00</v>
      </c>
      <c r="B10435" t="s">
        <v>23074</v>
      </c>
      <c r="C10435" t="s">
        <v>23075</v>
      </c>
      <c r="D10435" t="s">
        <v>20</v>
      </c>
      <c r="E10435" t="s">
        <v>39</v>
      </c>
      <c r="F10435">
        <v>0</v>
      </c>
      <c r="G10435">
        <v>0</v>
      </c>
      <c r="H10435">
        <v>1</v>
      </c>
      <c r="I10435" s="3">
        <v>312.63</v>
      </c>
      <c r="J10435" s="3">
        <v>0</v>
      </c>
      <c r="K10435" t="s">
        <v>23076</v>
      </c>
      <c r="M10435" t="s">
        <v>10286</v>
      </c>
      <c r="N10435" t="s">
        <v>30</v>
      </c>
      <c r="O10435" t="s">
        <v>31</v>
      </c>
      <c r="P10435" t="str">
        <f>"15217"</f>
        <v>15217</v>
      </c>
    </row>
    <row r="10436" spans="1:16" x14ac:dyDescent="0.25">
      <c r="A10436" t="str">
        <f>"1160013J00118    00"</f>
        <v>1160013J00118    00</v>
      </c>
      <c r="B10436" t="s">
        <v>23077</v>
      </c>
      <c r="C10436" t="s">
        <v>23078</v>
      </c>
      <c r="E10436" t="s">
        <v>39</v>
      </c>
      <c r="F10436">
        <v>0</v>
      </c>
      <c r="G10436">
        <v>0</v>
      </c>
      <c r="H10436">
        <v>6</v>
      </c>
      <c r="I10436" s="3">
        <v>2094.67</v>
      </c>
      <c r="J10436" s="3">
        <v>747.02</v>
      </c>
      <c r="L10436">
        <v>1936</v>
      </c>
      <c r="M10436" t="s">
        <v>3525</v>
      </c>
      <c r="N10436" t="s">
        <v>30</v>
      </c>
      <c r="O10436" t="s">
        <v>31</v>
      </c>
      <c r="P10436" t="str">
        <f>"15210"</f>
        <v>15210</v>
      </c>
    </row>
    <row r="10437" spans="1:16" x14ac:dyDescent="0.25">
      <c r="A10437" t="str">
        <f>"1160013J00134    00"</f>
        <v>1160013J00134    00</v>
      </c>
      <c r="B10437" t="s">
        <v>23079</v>
      </c>
      <c r="C10437" t="s">
        <v>23080</v>
      </c>
      <c r="D10437" t="s">
        <v>20</v>
      </c>
      <c r="E10437" t="s">
        <v>39</v>
      </c>
      <c r="F10437">
        <v>0</v>
      </c>
      <c r="G10437">
        <v>0</v>
      </c>
      <c r="H10437">
        <v>9</v>
      </c>
      <c r="I10437" s="3">
        <v>1646.57</v>
      </c>
      <c r="J10437" s="3">
        <v>1773.24</v>
      </c>
      <c r="L10437">
        <v>1825</v>
      </c>
      <c r="M10437" t="s">
        <v>23081</v>
      </c>
      <c r="N10437" t="s">
        <v>30</v>
      </c>
      <c r="O10437" t="s">
        <v>31</v>
      </c>
      <c r="P10437" t="str">
        <f>"15210"</f>
        <v>15210</v>
      </c>
    </row>
    <row r="10438" spans="1:16" x14ac:dyDescent="0.25">
      <c r="A10438" t="str">
        <f>"1160013J00138    00"</f>
        <v>1160013J00138    00</v>
      </c>
      <c r="B10438" t="s">
        <v>23082</v>
      </c>
      <c r="C10438" t="s">
        <v>23083</v>
      </c>
      <c r="D10438" t="s">
        <v>20</v>
      </c>
      <c r="E10438" t="s">
        <v>39</v>
      </c>
      <c r="F10438">
        <v>0</v>
      </c>
      <c r="G10438">
        <v>0</v>
      </c>
      <c r="H10438">
        <v>17</v>
      </c>
      <c r="I10438" s="3">
        <v>10235.23</v>
      </c>
      <c r="J10438" s="3">
        <v>230.45</v>
      </c>
      <c r="K10438" t="s">
        <v>23084</v>
      </c>
      <c r="L10438">
        <v>108</v>
      </c>
      <c r="M10438" t="s">
        <v>23085</v>
      </c>
      <c r="N10438" t="s">
        <v>321</v>
      </c>
      <c r="O10438" t="s">
        <v>31</v>
      </c>
      <c r="P10438" t="str">
        <f>"15001"</f>
        <v>15001</v>
      </c>
    </row>
    <row r="10439" spans="1:16" x14ac:dyDescent="0.25">
      <c r="A10439" t="str">
        <f>"1160013J00149    00"</f>
        <v>1160013J00149    00</v>
      </c>
      <c r="B10439" t="s">
        <v>23086</v>
      </c>
      <c r="C10439" t="s">
        <v>23087</v>
      </c>
      <c r="D10439" t="s">
        <v>20</v>
      </c>
      <c r="E10439" t="s">
        <v>39</v>
      </c>
      <c r="F10439">
        <v>0</v>
      </c>
      <c r="G10439">
        <v>0</v>
      </c>
      <c r="H10439">
        <v>2</v>
      </c>
      <c r="I10439" s="3">
        <v>206.18</v>
      </c>
      <c r="J10439" s="3">
        <v>0</v>
      </c>
      <c r="L10439">
        <v>108</v>
      </c>
      <c r="M10439" t="s">
        <v>23088</v>
      </c>
      <c r="N10439" t="s">
        <v>30</v>
      </c>
      <c r="O10439" t="s">
        <v>31</v>
      </c>
      <c r="P10439" t="str">
        <f>"15210"</f>
        <v>15210</v>
      </c>
    </row>
    <row r="10440" spans="1:16" x14ac:dyDescent="0.25">
      <c r="A10440" t="str">
        <f>"1160013J00150    00"</f>
        <v>1160013J00150    00</v>
      </c>
      <c r="B10440" t="s">
        <v>23089</v>
      </c>
      <c r="C10440" t="s">
        <v>23090</v>
      </c>
      <c r="D10440" t="s">
        <v>20</v>
      </c>
      <c r="E10440" t="s">
        <v>39</v>
      </c>
      <c r="F10440">
        <v>0</v>
      </c>
      <c r="G10440">
        <v>0</v>
      </c>
      <c r="H10440">
        <v>19</v>
      </c>
      <c r="I10440" s="3">
        <v>9507.5</v>
      </c>
      <c r="J10440" s="3">
        <v>12883.97</v>
      </c>
      <c r="L10440">
        <v>110</v>
      </c>
      <c r="M10440" t="s">
        <v>23088</v>
      </c>
      <c r="N10440" t="s">
        <v>30</v>
      </c>
      <c r="O10440" t="s">
        <v>31</v>
      </c>
      <c r="P10440" t="str">
        <f>"15210"</f>
        <v>15210</v>
      </c>
    </row>
    <row r="10441" spans="1:16" x14ac:dyDescent="0.25">
      <c r="A10441" t="str">
        <f>"1160013J00161    00"</f>
        <v>1160013J00161    00</v>
      </c>
      <c r="B10441" t="s">
        <v>23091</v>
      </c>
      <c r="C10441" t="s">
        <v>23092</v>
      </c>
      <c r="D10441" t="s">
        <v>20</v>
      </c>
      <c r="E10441" t="s">
        <v>39</v>
      </c>
      <c r="F10441">
        <v>0</v>
      </c>
      <c r="G10441">
        <v>0</v>
      </c>
      <c r="H10441">
        <v>1</v>
      </c>
      <c r="I10441" s="3">
        <v>111.89</v>
      </c>
      <c r="J10441" s="3">
        <v>0</v>
      </c>
      <c r="L10441">
        <v>2021</v>
      </c>
      <c r="M10441" t="s">
        <v>23093</v>
      </c>
      <c r="N10441" t="s">
        <v>30</v>
      </c>
      <c r="O10441" t="s">
        <v>31</v>
      </c>
      <c r="P10441" t="str">
        <f>"15203"</f>
        <v>15203</v>
      </c>
    </row>
    <row r="10442" spans="1:16" x14ac:dyDescent="0.25">
      <c r="A10442" t="str">
        <f>"1160013J00167    00"</f>
        <v>1160013J00167    00</v>
      </c>
      <c r="B10442" t="s">
        <v>23094</v>
      </c>
      <c r="C10442" t="s">
        <v>23095</v>
      </c>
      <c r="E10442" t="s">
        <v>39</v>
      </c>
      <c r="F10442">
        <v>0</v>
      </c>
      <c r="G10442">
        <v>0</v>
      </c>
      <c r="H10442">
        <v>1</v>
      </c>
      <c r="I10442" s="3">
        <v>200.24</v>
      </c>
      <c r="J10442" s="3">
        <v>0</v>
      </c>
      <c r="L10442">
        <v>113</v>
      </c>
      <c r="M10442" t="s">
        <v>23088</v>
      </c>
      <c r="N10442" t="s">
        <v>30</v>
      </c>
      <c r="O10442" t="s">
        <v>31</v>
      </c>
      <c r="P10442" t="str">
        <f>"15210"</f>
        <v>15210</v>
      </c>
    </row>
    <row r="10443" spans="1:16" x14ac:dyDescent="0.25">
      <c r="A10443" t="str">
        <f>"1160013J00169    00"</f>
        <v>1160013J00169    00</v>
      </c>
      <c r="B10443" t="s">
        <v>23094</v>
      </c>
      <c r="C10443" t="s">
        <v>23095</v>
      </c>
      <c r="D10443" t="s">
        <v>57</v>
      </c>
      <c r="E10443" t="s">
        <v>39</v>
      </c>
      <c r="F10443">
        <v>0</v>
      </c>
      <c r="G10443">
        <v>0</v>
      </c>
      <c r="H10443">
        <v>1</v>
      </c>
      <c r="I10443" s="3">
        <v>56.38</v>
      </c>
      <c r="J10443" s="3">
        <v>0</v>
      </c>
      <c r="L10443">
        <v>113</v>
      </c>
      <c r="M10443" t="s">
        <v>23088</v>
      </c>
      <c r="N10443" t="s">
        <v>30</v>
      </c>
      <c r="O10443" t="s">
        <v>31</v>
      </c>
      <c r="P10443" t="str">
        <f>"15210"</f>
        <v>15210</v>
      </c>
    </row>
    <row r="10444" spans="1:16" x14ac:dyDescent="0.25">
      <c r="A10444" t="str">
        <f>"1160013J00175    00"</f>
        <v>1160013J00175    00</v>
      </c>
      <c r="B10444" t="s">
        <v>23096</v>
      </c>
      <c r="C10444" t="s">
        <v>23097</v>
      </c>
      <c r="D10444" t="s">
        <v>20</v>
      </c>
      <c r="E10444" t="s">
        <v>39</v>
      </c>
      <c r="F10444">
        <v>0</v>
      </c>
      <c r="G10444">
        <v>0</v>
      </c>
      <c r="H10444">
        <v>19</v>
      </c>
      <c r="I10444" s="3">
        <v>5865.96</v>
      </c>
      <c r="J10444" s="3">
        <v>6483.45</v>
      </c>
      <c r="L10444">
        <v>119</v>
      </c>
      <c r="M10444" t="s">
        <v>23098</v>
      </c>
      <c r="N10444" t="s">
        <v>30</v>
      </c>
      <c r="O10444" t="s">
        <v>31</v>
      </c>
      <c r="P10444" t="str">
        <f>"15210"</f>
        <v>15210</v>
      </c>
    </row>
    <row r="10445" spans="1:16" x14ac:dyDescent="0.25">
      <c r="A10445" t="str">
        <f>"1160013J00177    00"</f>
        <v>1160013J00177    00</v>
      </c>
      <c r="B10445" t="s">
        <v>23099</v>
      </c>
      <c r="C10445" t="s">
        <v>23097</v>
      </c>
      <c r="D10445" t="s">
        <v>20</v>
      </c>
      <c r="E10445" t="s">
        <v>39</v>
      </c>
      <c r="F10445">
        <v>0</v>
      </c>
      <c r="G10445">
        <v>0</v>
      </c>
      <c r="H10445">
        <v>19</v>
      </c>
      <c r="I10445" s="3">
        <v>441.87</v>
      </c>
      <c r="J10445" s="3">
        <v>501.51</v>
      </c>
      <c r="K10445" t="s">
        <v>23100</v>
      </c>
      <c r="L10445">
        <v>119</v>
      </c>
      <c r="M10445" t="s">
        <v>23101</v>
      </c>
      <c r="N10445" t="s">
        <v>30</v>
      </c>
      <c r="O10445" t="s">
        <v>31</v>
      </c>
      <c r="P10445" t="str">
        <f>"15210"</f>
        <v>15210</v>
      </c>
    </row>
    <row r="10446" spans="1:16" x14ac:dyDescent="0.25">
      <c r="A10446" t="str">
        <f>"1160013J00186    00"</f>
        <v>1160013J00186    00</v>
      </c>
      <c r="B10446" t="s">
        <v>23102</v>
      </c>
      <c r="C10446" t="s">
        <v>23103</v>
      </c>
      <c r="D10446" t="s">
        <v>20</v>
      </c>
      <c r="E10446" t="s">
        <v>39</v>
      </c>
      <c r="F10446">
        <v>0</v>
      </c>
      <c r="G10446">
        <v>0</v>
      </c>
      <c r="H10446">
        <v>19</v>
      </c>
      <c r="I10446" s="3">
        <v>9074.4699999999993</v>
      </c>
      <c r="J10446" s="3">
        <v>12762.14</v>
      </c>
      <c r="L10446">
        <v>1902</v>
      </c>
      <c r="M10446" t="s">
        <v>23081</v>
      </c>
      <c r="N10446" t="s">
        <v>30</v>
      </c>
      <c r="O10446" t="s">
        <v>31</v>
      </c>
      <c r="P10446" t="str">
        <f>"15210"</f>
        <v>15210</v>
      </c>
    </row>
    <row r="10447" spans="1:16" x14ac:dyDescent="0.25">
      <c r="A10447" t="str">
        <f>"1160013K00026    00"</f>
        <v>1160013K00026    00</v>
      </c>
      <c r="B10447" t="s">
        <v>23104</v>
      </c>
      <c r="C10447" t="s">
        <v>23105</v>
      </c>
      <c r="D10447" t="s">
        <v>20</v>
      </c>
      <c r="E10447" t="s">
        <v>39</v>
      </c>
      <c r="F10447">
        <v>0</v>
      </c>
      <c r="G10447">
        <v>0</v>
      </c>
      <c r="H10447">
        <v>1</v>
      </c>
      <c r="I10447" s="3">
        <v>888.19</v>
      </c>
      <c r="J10447" s="3">
        <v>0</v>
      </c>
      <c r="K10447" t="s">
        <v>23106</v>
      </c>
      <c r="L10447">
        <v>101</v>
      </c>
      <c r="M10447" t="s">
        <v>9541</v>
      </c>
      <c r="N10447" t="s">
        <v>1766</v>
      </c>
      <c r="O10447" t="s">
        <v>31</v>
      </c>
      <c r="P10447" t="str">
        <f>"15367"</f>
        <v>15367</v>
      </c>
    </row>
    <row r="10448" spans="1:16" x14ac:dyDescent="0.25">
      <c r="A10448" t="str">
        <f>"1160013K00051    00"</f>
        <v>1160013K00051    00</v>
      </c>
      <c r="B10448" t="s">
        <v>23107</v>
      </c>
      <c r="C10448" t="s">
        <v>23108</v>
      </c>
      <c r="D10448" t="s">
        <v>57</v>
      </c>
      <c r="E10448" t="s">
        <v>39</v>
      </c>
      <c r="F10448">
        <v>0</v>
      </c>
      <c r="G10448">
        <v>0</v>
      </c>
      <c r="H10448">
        <v>1</v>
      </c>
      <c r="I10448" s="3">
        <v>219.9</v>
      </c>
      <c r="J10448" s="3">
        <v>49.48</v>
      </c>
      <c r="K10448" t="s">
        <v>391</v>
      </c>
      <c r="L10448">
        <v>1</v>
      </c>
      <c r="M10448" t="s">
        <v>392</v>
      </c>
      <c r="N10448" t="s">
        <v>393</v>
      </c>
      <c r="O10448" t="s">
        <v>394</v>
      </c>
      <c r="P10448" t="str">
        <f>"50328"</f>
        <v>50328</v>
      </c>
    </row>
    <row r="10449" spans="1:16" x14ac:dyDescent="0.25">
      <c r="A10449" t="str">
        <f>"1160013K00062    00"</f>
        <v>1160013K00062    00</v>
      </c>
      <c r="B10449" t="s">
        <v>23109</v>
      </c>
      <c r="C10449" t="s">
        <v>23110</v>
      </c>
      <c r="D10449" t="s">
        <v>20</v>
      </c>
      <c r="E10449" t="s">
        <v>39</v>
      </c>
      <c r="F10449">
        <v>0</v>
      </c>
      <c r="G10449">
        <v>0</v>
      </c>
      <c r="H10449">
        <v>3</v>
      </c>
      <c r="I10449" s="3">
        <v>624.77</v>
      </c>
      <c r="J10449" s="3">
        <v>50.24</v>
      </c>
      <c r="L10449">
        <v>2109</v>
      </c>
      <c r="M10449" t="s">
        <v>3525</v>
      </c>
      <c r="N10449" t="s">
        <v>30</v>
      </c>
      <c r="O10449" t="s">
        <v>31</v>
      </c>
      <c r="P10449" t="str">
        <f>"15210"</f>
        <v>15210</v>
      </c>
    </row>
    <row r="10450" spans="1:16" x14ac:dyDescent="0.25">
      <c r="A10450" t="str">
        <f>"1160013K00085    00"</f>
        <v>1160013K00085    00</v>
      </c>
      <c r="B10450" t="s">
        <v>23111</v>
      </c>
      <c r="C10450" t="s">
        <v>23112</v>
      </c>
      <c r="E10450" t="s">
        <v>39</v>
      </c>
      <c r="F10450">
        <v>0</v>
      </c>
      <c r="G10450">
        <v>0</v>
      </c>
      <c r="H10450">
        <v>1</v>
      </c>
      <c r="I10450" s="3">
        <v>163.88</v>
      </c>
      <c r="J10450" s="3">
        <v>0</v>
      </c>
      <c r="K10450" t="s">
        <v>23113</v>
      </c>
      <c r="L10450">
        <v>841</v>
      </c>
      <c r="M10450" t="s">
        <v>23114</v>
      </c>
      <c r="N10450" t="s">
        <v>23115</v>
      </c>
      <c r="O10450" t="s">
        <v>1005</v>
      </c>
      <c r="P10450" t="str">
        <f>"85233"</f>
        <v>85233</v>
      </c>
    </row>
    <row r="10451" spans="1:16" x14ac:dyDescent="0.25">
      <c r="A10451" t="str">
        <f>"1160013K00099    00"</f>
        <v>1160013K00099    00</v>
      </c>
      <c r="B10451" t="s">
        <v>23116</v>
      </c>
      <c r="C10451" t="s">
        <v>23117</v>
      </c>
      <c r="E10451" t="s">
        <v>39</v>
      </c>
      <c r="F10451">
        <v>0</v>
      </c>
      <c r="G10451">
        <v>0</v>
      </c>
      <c r="H10451">
        <v>2</v>
      </c>
      <c r="I10451" s="3">
        <v>574</v>
      </c>
      <c r="J10451" s="3">
        <v>4.78</v>
      </c>
      <c r="K10451" t="s">
        <v>23118</v>
      </c>
      <c r="L10451">
        <v>6425</v>
      </c>
      <c r="M10451" t="s">
        <v>23119</v>
      </c>
      <c r="N10451" t="s">
        <v>30</v>
      </c>
      <c r="O10451" t="s">
        <v>31</v>
      </c>
      <c r="P10451" t="str">
        <f>"15206"</f>
        <v>15206</v>
      </c>
    </row>
    <row r="10452" spans="1:16" x14ac:dyDescent="0.25">
      <c r="A10452" t="str">
        <f>"1160013K00101    00"</f>
        <v>1160013K00101    00</v>
      </c>
      <c r="B10452" t="s">
        <v>23120</v>
      </c>
      <c r="C10452" t="s">
        <v>23121</v>
      </c>
      <c r="E10452" t="s">
        <v>39</v>
      </c>
      <c r="F10452">
        <v>0</v>
      </c>
      <c r="G10452">
        <v>0</v>
      </c>
      <c r="H10452">
        <v>10</v>
      </c>
      <c r="I10452" s="3">
        <v>5714.66</v>
      </c>
      <c r="J10452" s="3">
        <v>6513.79</v>
      </c>
      <c r="M10452" t="s">
        <v>23122</v>
      </c>
      <c r="N10452" t="s">
        <v>30</v>
      </c>
      <c r="O10452" t="s">
        <v>31</v>
      </c>
      <c r="P10452" t="str">
        <f>"15207"</f>
        <v>15207</v>
      </c>
    </row>
    <row r="10453" spans="1:16" x14ac:dyDescent="0.25">
      <c r="A10453" t="str">
        <f>"1160013K00102    00"</f>
        <v>1160013K00102    00</v>
      </c>
      <c r="B10453" t="s">
        <v>23123</v>
      </c>
      <c r="C10453" t="s">
        <v>23124</v>
      </c>
      <c r="D10453" t="s">
        <v>20</v>
      </c>
      <c r="E10453" t="s">
        <v>39</v>
      </c>
      <c r="F10453">
        <v>0</v>
      </c>
      <c r="G10453">
        <v>0</v>
      </c>
      <c r="H10453">
        <v>2</v>
      </c>
      <c r="I10453" s="3">
        <v>259.02</v>
      </c>
      <c r="J10453" s="3">
        <v>0</v>
      </c>
      <c r="L10453">
        <v>2108</v>
      </c>
      <c r="M10453" t="s">
        <v>3525</v>
      </c>
      <c r="N10453" t="s">
        <v>30</v>
      </c>
      <c r="O10453" t="s">
        <v>31</v>
      </c>
      <c r="P10453" t="str">
        <f>"15210"</f>
        <v>15210</v>
      </c>
    </row>
    <row r="10454" spans="1:16" x14ac:dyDescent="0.25">
      <c r="A10454" t="str">
        <f>"1160013K00104    00"</f>
        <v>1160013K00104    00</v>
      </c>
      <c r="B10454" t="s">
        <v>23125</v>
      </c>
      <c r="C10454" t="s">
        <v>23126</v>
      </c>
      <c r="D10454" t="s">
        <v>20</v>
      </c>
      <c r="E10454" t="s">
        <v>39</v>
      </c>
      <c r="F10454">
        <v>0</v>
      </c>
      <c r="G10454">
        <v>0</v>
      </c>
      <c r="H10454">
        <v>1</v>
      </c>
      <c r="I10454" s="3">
        <v>495.58</v>
      </c>
      <c r="J10454" s="3">
        <v>0</v>
      </c>
      <c r="K10454" t="s">
        <v>23127</v>
      </c>
      <c r="L10454">
        <v>901</v>
      </c>
      <c r="M10454" t="s">
        <v>6264</v>
      </c>
      <c r="N10454" t="s">
        <v>30</v>
      </c>
      <c r="O10454" t="s">
        <v>31</v>
      </c>
      <c r="P10454" t="str">
        <f>"15203"</f>
        <v>15203</v>
      </c>
    </row>
    <row r="10455" spans="1:16" x14ac:dyDescent="0.25">
      <c r="A10455" t="str">
        <f>"1160013K00105    00"</f>
        <v>1160013K00105    00</v>
      </c>
      <c r="B10455" t="s">
        <v>23128</v>
      </c>
      <c r="C10455" t="s">
        <v>23129</v>
      </c>
      <c r="D10455" t="s">
        <v>20</v>
      </c>
      <c r="E10455" t="s">
        <v>39</v>
      </c>
      <c r="F10455">
        <v>0</v>
      </c>
      <c r="G10455">
        <v>0</v>
      </c>
      <c r="H10455">
        <v>2</v>
      </c>
      <c r="I10455" s="3">
        <v>84.6</v>
      </c>
      <c r="J10455" s="3">
        <v>0</v>
      </c>
      <c r="L10455">
        <v>2114</v>
      </c>
      <c r="M10455" t="s">
        <v>3525</v>
      </c>
      <c r="N10455" t="s">
        <v>30</v>
      </c>
      <c r="O10455" t="s">
        <v>31</v>
      </c>
      <c r="P10455" t="str">
        <f>"15210"</f>
        <v>15210</v>
      </c>
    </row>
    <row r="10456" spans="1:16" x14ac:dyDescent="0.25">
      <c r="A10456" t="str">
        <f>"1160013K00114    00"</f>
        <v>1160013K00114    00</v>
      </c>
      <c r="B10456" t="s">
        <v>23130</v>
      </c>
      <c r="C10456" t="s">
        <v>23131</v>
      </c>
      <c r="E10456" t="s">
        <v>39</v>
      </c>
      <c r="F10456">
        <v>0</v>
      </c>
      <c r="G10456">
        <v>0</v>
      </c>
      <c r="H10456">
        <v>1</v>
      </c>
      <c r="I10456" s="3">
        <v>194.71</v>
      </c>
      <c r="J10456" s="3">
        <v>0</v>
      </c>
      <c r="L10456">
        <v>9313</v>
      </c>
      <c r="M10456" t="s">
        <v>23132</v>
      </c>
      <c r="N10456" t="s">
        <v>2008</v>
      </c>
      <c r="O10456" t="s">
        <v>31</v>
      </c>
      <c r="P10456" t="str">
        <f>"16066"</f>
        <v>16066</v>
      </c>
    </row>
    <row r="10457" spans="1:16" x14ac:dyDescent="0.25">
      <c r="A10457" t="str">
        <f>"1160013K00117    00"</f>
        <v>1160013K00117    00</v>
      </c>
      <c r="B10457" t="s">
        <v>23133</v>
      </c>
      <c r="C10457" t="s">
        <v>23134</v>
      </c>
      <c r="D10457" t="s">
        <v>20</v>
      </c>
      <c r="E10457" t="s">
        <v>39</v>
      </c>
      <c r="F10457">
        <v>0</v>
      </c>
      <c r="G10457">
        <v>0</v>
      </c>
      <c r="H10457">
        <v>17</v>
      </c>
      <c r="I10457" s="3">
        <v>5446.21</v>
      </c>
      <c r="J10457" s="3">
        <v>5128.9799999999996</v>
      </c>
      <c r="L10457">
        <v>2116</v>
      </c>
      <c r="M10457" t="s">
        <v>23135</v>
      </c>
      <c r="N10457" t="s">
        <v>30</v>
      </c>
      <c r="O10457" t="s">
        <v>31</v>
      </c>
      <c r="P10457" t="str">
        <f>"15210"</f>
        <v>15210</v>
      </c>
    </row>
    <row r="10458" spans="1:16" x14ac:dyDescent="0.25">
      <c r="A10458" t="str">
        <f>"1160013K00119    00"</f>
        <v>1160013K00119    00</v>
      </c>
      <c r="B10458" t="s">
        <v>23136</v>
      </c>
      <c r="C10458" t="s">
        <v>23137</v>
      </c>
      <c r="D10458" t="s">
        <v>20</v>
      </c>
      <c r="E10458" t="s">
        <v>39</v>
      </c>
      <c r="F10458">
        <v>0</v>
      </c>
      <c r="G10458">
        <v>0</v>
      </c>
      <c r="H10458">
        <v>2</v>
      </c>
      <c r="I10458" s="3">
        <v>705.24</v>
      </c>
      <c r="J10458" s="3">
        <v>0</v>
      </c>
      <c r="L10458">
        <v>1017</v>
      </c>
      <c r="M10458" t="s">
        <v>1484</v>
      </c>
      <c r="N10458" t="s">
        <v>30</v>
      </c>
      <c r="O10458" t="s">
        <v>31</v>
      </c>
      <c r="P10458" t="str">
        <f>"15203"</f>
        <v>15203</v>
      </c>
    </row>
    <row r="10459" spans="1:16" x14ac:dyDescent="0.25">
      <c r="A10459" t="str">
        <f>"1160013K00135    00"</f>
        <v>1160013K00135    00</v>
      </c>
      <c r="B10459" t="s">
        <v>23138</v>
      </c>
      <c r="C10459" t="s">
        <v>23139</v>
      </c>
      <c r="D10459" t="s">
        <v>20</v>
      </c>
      <c r="E10459" t="s">
        <v>39</v>
      </c>
      <c r="F10459">
        <v>0</v>
      </c>
      <c r="G10459">
        <v>0</v>
      </c>
      <c r="H10459">
        <v>16</v>
      </c>
      <c r="I10459" s="3">
        <v>5841.12</v>
      </c>
      <c r="J10459" s="3">
        <v>4587.1899999999996</v>
      </c>
      <c r="L10459">
        <v>215</v>
      </c>
      <c r="M10459" t="s">
        <v>11611</v>
      </c>
      <c r="N10459" t="s">
        <v>30</v>
      </c>
      <c r="O10459" t="s">
        <v>31</v>
      </c>
      <c r="P10459" t="str">
        <f>"15211"</f>
        <v>15211</v>
      </c>
    </row>
    <row r="10460" spans="1:16" x14ac:dyDescent="0.25">
      <c r="A10460" t="str">
        <f>"1160013K00147    00"</f>
        <v>1160013K00147    00</v>
      </c>
      <c r="B10460" t="s">
        <v>23140</v>
      </c>
      <c r="C10460" t="s">
        <v>23141</v>
      </c>
      <c r="D10460" t="s">
        <v>20</v>
      </c>
      <c r="E10460" t="s">
        <v>39</v>
      </c>
      <c r="F10460">
        <v>0</v>
      </c>
      <c r="G10460">
        <v>0</v>
      </c>
      <c r="H10460">
        <v>2</v>
      </c>
      <c r="I10460" s="3">
        <v>1155.04</v>
      </c>
      <c r="J10460" s="3">
        <v>0</v>
      </c>
      <c r="L10460">
        <v>2008</v>
      </c>
      <c r="M10460" t="s">
        <v>23142</v>
      </c>
      <c r="N10460" t="s">
        <v>30</v>
      </c>
      <c r="O10460" t="s">
        <v>31</v>
      </c>
      <c r="P10460" t="str">
        <f>"15210"</f>
        <v>15210</v>
      </c>
    </row>
    <row r="10461" spans="1:16" x14ac:dyDescent="0.25">
      <c r="A10461" t="str">
        <f>"1160013K00187    00"</f>
        <v>1160013K00187    00</v>
      </c>
      <c r="B10461" t="s">
        <v>23143</v>
      </c>
      <c r="C10461" t="s">
        <v>23144</v>
      </c>
      <c r="D10461" t="s">
        <v>20</v>
      </c>
      <c r="E10461" t="s">
        <v>39</v>
      </c>
      <c r="F10461">
        <v>0</v>
      </c>
      <c r="G10461">
        <v>0</v>
      </c>
      <c r="H10461">
        <v>5</v>
      </c>
      <c r="I10461" s="3">
        <v>1320.21</v>
      </c>
      <c r="J10461" s="3">
        <v>101.95</v>
      </c>
      <c r="L10461">
        <v>1400</v>
      </c>
      <c r="M10461" t="s">
        <v>23145</v>
      </c>
      <c r="N10461" t="s">
        <v>23146</v>
      </c>
      <c r="O10461" t="s">
        <v>31</v>
      </c>
      <c r="P10461" t="str">
        <f>"15066"</f>
        <v>15066</v>
      </c>
    </row>
    <row r="10462" spans="1:16" x14ac:dyDescent="0.25">
      <c r="A10462" t="str">
        <f>"1160013K00189    00"</f>
        <v>1160013K00189    00</v>
      </c>
      <c r="B10462" t="s">
        <v>23147</v>
      </c>
      <c r="C10462" t="s">
        <v>23148</v>
      </c>
      <c r="D10462" t="s">
        <v>20</v>
      </c>
      <c r="E10462" t="s">
        <v>39</v>
      </c>
      <c r="F10462">
        <v>0</v>
      </c>
      <c r="G10462">
        <v>0</v>
      </c>
      <c r="H10462">
        <v>1</v>
      </c>
      <c r="I10462" s="3">
        <v>575.64</v>
      </c>
      <c r="J10462" s="3">
        <v>0</v>
      </c>
      <c r="L10462">
        <v>3833</v>
      </c>
      <c r="M10462" t="s">
        <v>23149</v>
      </c>
      <c r="N10462" t="s">
        <v>30</v>
      </c>
      <c r="O10462" t="s">
        <v>31</v>
      </c>
      <c r="P10462" t="str">
        <f>"15234"</f>
        <v>15234</v>
      </c>
    </row>
    <row r="10463" spans="1:16" x14ac:dyDescent="0.25">
      <c r="A10463" t="str">
        <f>"1160013K00191    00"</f>
        <v>1160013K00191    00</v>
      </c>
      <c r="B10463" t="s">
        <v>23150</v>
      </c>
      <c r="C10463" t="s">
        <v>23151</v>
      </c>
      <c r="D10463" t="s">
        <v>20</v>
      </c>
      <c r="E10463" t="s">
        <v>39</v>
      </c>
      <c r="F10463">
        <v>0</v>
      </c>
      <c r="G10463">
        <v>0</v>
      </c>
      <c r="H10463">
        <v>1</v>
      </c>
      <c r="I10463" s="3">
        <v>472.71</v>
      </c>
      <c r="J10463" s="3">
        <v>0</v>
      </c>
      <c r="L10463">
        <v>3833</v>
      </c>
      <c r="M10463" t="s">
        <v>23149</v>
      </c>
      <c r="N10463" t="s">
        <v>30</v>
      </c>
      <c r="O10463" t="s">
        <v>31</v>
      </c>
      <c r="P10463" t="str">
        <f>"15234"</f>
        <v>15234</v>
      </c>
    </row>
    <row r="10464" spans="1:16" x14ac:dyDescent="0.25">
      <c r="A10464" t="str">
        <f>"1160013K00192    00"</f>
        <v>1160013K00192    00</v>
      </c>
      <c r="B10464" t="s">
        <v>23152</v>
      </c>
      <c r="C10464" t="s">
        <v>23153</v>
      </c>
      <c r="D10464" t="s">
        <v>20</v>
      </c>
      <c r="E10464" t="s">
        <v>39</v>
      </c>
      <c r="F10464">
        <v>0</v>
      </c>
      <c r="G10464">
        <v>0</v>
      </c>
      <c r="H10464">
        <v>7</v>
      </c>
      <c r="I10464" s="3">
        <v>3510.54</v>
      </c>
      <c r="J10464" s="3">
        <v>970.76</v>
      </c>
      <c r="M10464" t="s">
        <v>23154</v>
      </c>
      <c r="N10464" t="s">
        <v>22429</v>
      </c>
      <c r="O10464" t="s">
        <v>31</v>
      </c>
      <c r="P10464" t="str">
        <f>"15622"</f>
        <v>15622</v>
      </c>
    </row>
    <row r="10465" spans="1:16" x14ac:dyDescent="0.25">
      <c r="A10465" t="str">
        <f>"1160013K00196    00"</f>
        <v>1160013K00196    00</v>
      </c>
      <c r="B10465" t="s">
        <v>23155</v>
      </c>
      <c r="C10465" t="s">
        <v>23156</v>
      </c>
      <c r="D10465" t="s">
        <v>20</v>
      </c>
      <c r="E10465" t="s">
        <v>290</v>
      </c>
      <c r="F10465">
        <v>0</v>
      </c>
      <c r="G10465">
        <v>0</v>
      </c>
      <c r="H10465">
        <v>3</v>
      </c>
      <c r="I10465" s="3">
        <v>1498.17</v>
      </c>
      <c r="J10465" s="3">
        <v>99.87</v>
      </c>
      <c r="M10465" t="s">
        <v>23157</v>
      </c>
      <c r="N10465" t="s">
        <v>30</v>
      </c>
      <c r="O10465" t="s">
        <v>31</v>
      </c>
      <c r="P10465" t="str">
        <f>"15210"</f>
        <v>15210</v>
      </c>
    </row>
    <row r="10466" spans="1:16" x14ac:dyDescent="0.25">
      <c r="A10466" t="str">
        <f>"1160013K00201    00"</f>
        <v>1160013K00201    00</v>
      </c>
      <c r="B10466" t="s">
        <v>23158</v>
      </c>
      <c r="C10466" t="s">
        <v>23159</v>
      </c>
      <c r="D10466" t="s">
        <v>20</v>
      </c>
      <c r="E10466" t="s">
        <v>39</v>
      </c>
      <c r="F10466">
        <v>0</v>
      </c>
      <c r="G10466">
        <v>0</v>
      </c>
      <c r="H10466">
        <v>2</v>
      </c>
      <c r="I10466" s="3">
        <v>114.54</v>
      </c>
      <c r="J10466" s="3">
        <v>0</v>
      </c>
      <c r="L10466">
        <v>7912</v>
      </c>
      <c r="M10466" t="s">
        <v>23160</v>
      </c>
      <c r="N10466" t="s">
        <v>23161</v>
      </c>
      <c r="O10466" t="s">
        <v>31</v>
      </c>
      <c r="P10466" t="str">
        <f>"16316"</f>
        <v>16316</v>
      </c>
    </row>
    <row r="10467" spans="1:16" x14ac:dyDescent="0.25">
      <c r="A10467" t="str">
        <f>"1160013K00202    00"</f>
        <v>1160013K00202    00</v>
      </c>
      <c r="B10467" t="s">
        <v>23162</v>
      </c>
      <c r="C10467" t="s">
        <v>23163</v>
      </c>
      <c r="D10467" t="s">
        <v>20</v>
      </c>
      <c r="E10467" t="s">
        <v>21</v>
      </c>
      <c r="F10467">
        <v>0</v>
      </c>
      <c r="G10467">
        <v>0</v>
      </c>
      <c r="H10467">
        <v>3</v>
      </c>
      <c r="I10467" s="3">
        <v>4854.6000000000004</v>
      </c>
      <c r="J10467" s="3">
        <v>323.63</v>
      </c>
      <c r="K10467" t="s">
        <v>23164</v>
      </c>
      <c r="L10467">
        <v>2100</v>
      </c>
      <c r="M10467" t="s">
        <v>23142</v>
      </c>
      <c r="N10467" t="s">
        <v>30</v>
      </c>
      <c r="O10467" t="s">
        <v>31</v>
      </c>
      <c r="P10467" t="str">
        <f>"15210"</f>
        <v>15210</v>
      </c>
    </row>
    <row r="10468" spans="1:16" x14ac:dyDescent="0.25">
      <c r="A10468" t="str">
        <f>"1160013K00207    00"</f>
        <v>1160013K00207    00</v>
      </c>
      <c r="B10468" t="s">
        <v>23165</v>
      </c>
      <c r="C10468" t="s">
        <v>23166</v>
      </c>
      <c r="D10468" t="s">
        <v>20</v>
      </c>
      <c r="E10468" t="s">
        <v>39</v>
      </c>
      <c r="F10468">
        <v>0</v>
      </c>
      <c r="G10468">
        <v>0</v>
      </c>
      <c r="H10468">
        <v>17</v>
      </c>
      <c r="I10468" s="3">
        <v>8698.3700000000008</v>
      </c>
      <c r="J10468" s="3">
        <v>7479.49</v>
      </c>
      <c r="L10468">
        <v>5020</v>
      </c>
      <c r="M10468" t="s">
        <v>23167</v>
      </c>
      <c r="N10468" t="s">
        <v>30</v>
      </c>
      <c r="O10468" t="s">
        <v>31</v>
      </c>
      <c r="P10468" t="str">
        <f>"15207"</f>
        <v>15207</v>
      </c>
    </row>
    <row r="10469" spans="1:16" x14ac:dyDescent="0.25">
      <c r="A10469" t="str">
        <f>"1160013K00220    00"</f>
        <v>1160013K00220    00</v>
      </c>
      <c r="B10469" t="s">
        <v>23168</v>
      </c>
      <c r="C10469" t="s">
        <v>23169</v>
      </c>
      <c r="D10469" t="s">
        <v>20</v>
      </c>
      <c r="E10469" t="s">
        <v>39</v>
      </c>
      <c r="F10469">
        <v>0</v>
      </c>
      <c r="G10469">
        <v>0</v>
      </c>
      <c r="H10469">
        <v>6</v>
      </c>
      <c r="I10469" s="3">
        <v>683.66</v>
      </c>
      <c r="J10469" s="3">
        <v>118.47</v>
      </c>
      <c r="L10469">
        <v>2457</v>
      </c>
      <c r="M10469" t="s">
        <v>23170</v>
      </c>
      <c r="N10469" t="s">
        <v>30</v>
      </c>
      <c r="O10469" t="s">
        <v>31</v>
      </c>
      <c r="P10469" t="str">
        <f>"15220"</f>
        <v>15220</v>
      </c>
    </row>
    <row r="10470" spans="1:16" x14ac:dyDescent="0.25">
      <c r="A10470" t="str">
        <f>"1160013K00225    00"</f>
        <v>1160013K00225    00</v>
      </c>
      <c r="B10470" t="s">
        <v>23171</v>
      </c>
      <c r="C10470" t="s">
        <v>23172</v>
      </c>
      <c r="D10470" t="s">
        <v>20</v>
      </c>
      <c r="E10470" t="s">
        <v>39</v>
      </c>
      <c r="F10470">
        <v>0</v>
      </c>
      <c r="G10470">
        <v>0</v>
      </c>
      <c r="H10470">
        <v>18</v>
      </c>
      <c r="I10470" s="3">
        <v>11552.77</v>
      </c>
      <c r="J10470" s="3">
        <v>11063.93</v>
      </c>
      <c r="L10470">
        <v>2122</v>
      </c>
      <c r="M10470" t="s">
        <v>23173</v>
      </c>
      <c r="N10470" t="s">
        <v>30</v>
      </c>
      <c r="O10470" t="s">
        <v>31</v>
      </c>
      <c r="P10470" t="str">
        <f>"15210"</f>
        <v>15210</v>
      </c>
    </row>
    <row r="10471" spans="1:16" x14ac:dyDescent="0.25">
      <c r="A10471" t="str">
        <f>"1160013K00228    00"</f>
        <v>1160013K00228    00</v>
      </c>
      <c r="B10471" t="s">
        <v>23174</v>
      </c>
      <c r="C10471" t="s">
        <v>23175</v>
      </c>
      <c r="D10471" t="s">
        <v>20</v>
      </c>
      <c r="E10471" t="s">
        <v>39</v>
      </c>
      <c r="F10471">
        <v>0</v>
      </c>
      <c r="G10471">
        <v>0</v>
      </c>
      <c r="H10471">
        <v>1</v>
      </c>
      <c r="I10471" s="3">
        <v>154.4</v>
      </c>
      <c r="J10471" s="3">
        <v>0</v>
      </c>
      <c r="L10471">
        <v>1</v>
      </c>
      <c r="M10471" t="s">
        <v>22850</v>
      </c>
      <c r="N10471" t="s">
        <v>30</v>
      </c>
      <c r="O10471" t="s">
        <v>31</v>
      </c>
      <c r="P10471" t="str">
        <f>"15203"</f>
        <v>15203</v>
      </c>
    </row>
    <row r="10472" spans="1:16" x14ac:dyDescent="0.25">
      <c r="A10472" t="str">
        <f>"1160013K00232    00"</f>
        <v>1160013K00232    00</v>
      </c>
      <c r="B10472" t="s">
        <v>23176</v>
      </c>
      <c r="C10472" t="s">
        <v>23177</v>
      </c>
      <c r="D10472" t="s">
        <v>20</v>
      </c>
      <c r="E10472" t="s">
        <v>39</v>
      </c>
      <c r="F10472">
        <v>0</v>
      </c>
      <c r="G10472">
        <v>0</v>
      </c>
      <c r="H10472">
        <v>4</v>
      </c>
      <c r="I10472" s="3">
        <v>1587.21</v>
      </c>
      <c r="J10472" s="3">
        <v>187.49</v>
      </c>
      <c r="K10472" t="s">
        <v>23178</v>
      </c>
      <c r="L10472">
        <v>2206</v>
      </c>
      <c r="M10472" t="s">
        <v>23173</v>
      </c>
      <c r="N10472" t="s">
        <v>30</v>
      </c>
      <c r="O10472" t="s">
        <v>31</v>
      </c>
      <c r="P10472" t="str">
        <f>"15210"</f>
        <v>15210</v>
      </c>
    </row>
    <row r="10473" spans="1:16" x14ac:dyDescent="0.25">
      <c r="A10473" t="str">
        <f>"1160013K00233    00"</f>
        <v>1160013K00233    00</v>
      </c>
      <c r="B10473" t="s">
        <v>23176</v>
      </c>
      <c r="C10473" t="s">
        <v>23177</v>
      </c>
      <c r="D10473" t="s">
        <v>20</v>
      </c>
      <c r="E10473" t="s">
        <v>39</v>
      </c>
      <c r="F10473">
        <v>0</v>
      </c>
      <c r="G10473">
        <v>0</v>
      </c>
      <c r="H10473">
        <v>4</v>
      </c>
      <c r="I10473" s="3">
        <v>607.52</v>
      </c>
      <c r="J10473" s="3">
        <v>71.77</v>
      </c>
      <c r="K10473" t="s">
        <v>23178</v>
      </c>
      <c r="L10473">
        <v>2206</v>
      </c>
      <c r="M10473" t="s">
        <v>23173</v>
      </c>
      <c r="N10473" t="s">
        <v>30</v>
      </c>
      <c r="O10473" t="s">
        <v>31</v>
      </c>
      <c r="P10473" t="str">
        <f>"15210"</f>
        <v>15210</v>
      </c>
    </row>
    <row r="10474" spans="1:16" x14ac:dyDescent="0.25">
      <c r="A10474" t="str">
        <f>"1160013K00237    00"</f>
        <v>1160013K00237    00</v>
      </c>
      <c r="B10474" t="s">
        <v>23176</v>
      </c>
      <c r="C10474" t="s">
        <v>23177</v>
      </c>
      <c r="D10474" t="s">
        <v>20</v>
      </c>
      <c r="E10474" t="s">
        <v>39</v>
      </c>
      <c r="F10474">
        <v>0</v>
      </c>
      <c r="G10474">
        <v>0</v>
      </c>
      <c r="H10474">
        <v>4</v>
      </c>
      <c r="I10474" s="3">
        <v>135.80000000000001</v>
      </c>
      <c r="J10474" s="3">
        <v>16.71</v>
      </c>
      <c r="K10474" t="s">
        <v>23178</v>
      </c>
      <c r="L10474">
        <v>2206</v>
      </c>
      <c r="M10474" t="s">
        <v>23173</v>
      </c>
      <c r="N10474" t="s">
        <v>30</v>
      </c>
      <c r="O10474" t="s">
        <v>31</v>
      </c>
      <c r="P10474" t="str">
        <f>"15210"</f>
        <v>15210</v>
      </c>
    </row>
    <row r="10475" spans="1:16" x14ac:dyDescent="0.25">
      <c r="A10475" t="str">
        <f>"1160013K00251    00"</f>
        <v>1160013K00251    00</v>
      </c>
      <c r="B10475" t="s">
        <v>23043</v>
      </c>
      <c r="C10475" t="s">
        <v>23179</v>
      </c>
      <c r="D10475" t="s">
        <v>20</v>
      </c>
      <c r="E10475" t="s">
        <v>39</v>
      </c>
      <c r="F10475">
        <v>0</v>
      </c>
      <c r="G10475">
        <v>0</v>
      </c>
      <c r="H10475">
        <v>6</v>
      </c>
      <c r="I10475" s="3">
        <v>3554.97</v>
      </c>
      <c r="J10475" s="3">
        <v>1029.5899999999999</v>
      </c>
      <c r="K10475" t="s">
        <v>23045</v>
      </c>
      <c r="M10475" t="s">
        <v>23046</v>
      </c>
      <c r="N10475" t="s">
        <v>30</v>
      </c>
      <c r="O10475" t="s">
        <v>31</v>
      </c>
      <c r="P10475" t="str">
        <f>"15210"</f>
        <v>15210</v>
      </c>
    </row>
    <row r="10476" spans="1:16" x14ac:dyDescent="0.25">
      <c r="A10476" t="str">
        <f>"1160013K00270    00"</f>
        <v>1160013K00270    00</v>
      </c>
      <c r="B10476" t="s">
        <v>23180</v>
      </c>
      <c r="C10476" t="s">
        <v>23175</v>
      </c>
      <c r="D10476" t="s">
        <v>20</v>
      </c>
      <c r="E10476" t="s">
        <v>39</v>
      </c>
      <c r="F10476">
        <v>0</v>
      </c>
      <c r="G10476">
        <v>0</v>
      </c>
      <c r="H10476">
        <v>16</v>
      </c>
      <c r="I10476" s="3">
        <v>3155.63</v>
      </c>
      <c r="J10476" s="3">
        <v>3152.63</v>
      </c>
      <c r="L10476">
        <v>250</v>
      </c>
      <c r="M10476" t="s">
        <v>23181</v>
      </c>
      <c r="N10476" t="s">
        <v>285</v>
      </c>
      <c r="O10476" t="s">
        <v>31</v>
      </c>
      <c r="P10476" t="str">
        <f>"15120"</f>
        <v>15120</v>
      </c>
    </row>
    <row r="10477" spans="1:16" x14ac:dyDescent="0.25">
      <c r="A10477" t="str">
        <f>"1160013K00304    00"</f>
        <v>1160013K00304    00</v>
      </c>
      <c r="B10477" t="s">
        <v>23182</v>
      </c>
      <c r="C10477" t="s">
        <v>23183</v>
      </c>
      <c r="E10477" t="s">
        <v>39</v>
      </c>
      <c r="F10477">
        <v>0</v>
      </c>
      <c r="G10477">
        <v>0</v>
      </c>
      <c r="H10477">
        <v>3</v>
      </c>
      <c r="I10477" s="3">
        <v>1879.51</v>
      </c>
      <c r="J10477" s="3">
        <v>2369.4299999999998</v>
      </c>
      <c r="L10477">
        <v>2229</v>
      </c>
      <c r="M10477" t="s">
        <v>3525</v>
      </c>
      <c r="N10477" t="s">
        <v>30</v>
      </c>
      <c r="O10477" t="s">
        <v>31</v>
      </c>
      <c r="P10477" t="str">
        <f>"15210"</f>
        <v>15210</v>
      </c>
    </row>
    <row r="10478" spans="1:16" x14ac:dyDescent="0.25">
      <c r="A10478" t="str">
        <f>"1160013K00308    00"</f>
        <v>1160013K00308    00</v>
      </c>
      <c r="B10478" t="s">
        <v>23184</v>
      </c>
      <c r="C10478" t="s">
        <v>23185</v>
      </c>
      <c r="D10478" t="s">
        <v>20</v>
      </c>
      <c r="E10478" t="s">
        <v>39</v>
      </c>
      <c r="F10478">
        <v>0</v>
      </c>
      <c r="G10478">
        <v>0</v>
      </c>
      <c r="H10478">
        <v>18</v>
      </c>
      <c r="I10478" s="3">
        <v>16489.13</v>
      </c>
      <c r="J10478" s="3">
        <v>13869.6</v>
      </c>
      <c r="L10478">
        <v>4974</v>
      </c>
      <c r="M10478" t="s">
        <v>8048</v>
      </c>
      <c r="N10478" t="s">
        <v>30</v>
      </c>
      <c r="O10478" t="s">
        <v>31</v>
      </c>
      <c r="P10478" t="str">
        <f>"15236"</f>
        <v>15236</v>
      </c>
    </row>
    <row r="10479" spans="1:16" x14ac:dyDescent="0.25">
      <c r="A10479" t="str">
        <f>"1160013L00002    00"</f>
        <v>1160013L00002    00</v>
      </c>
      <c r="B10479" t="s">
        <v>23186</v>
      </c>
      <c r="C10479" t="s">
        <v>23187</v>
      </c>
      <c r="D10479" t="s">
        <v>33</v>
      </c>
      <c r="E10479" t="s">
        <v>39</v>
      </c>
      <c r="F10479">
        <v>0</v>
      </c>
      <c r="G10479">
        <v>0</v>
      </c>
      <c r="H10479">
        <v>1</v>
      </c>
      <c r="I10479" s="3">
        <v>1769.59</v>
      </c>
      <c r="J10479" s="3">
        <v>0</v>
      </c>
      <c r="L10479">
        <v>2212</v>
      </c>
      <c r="M10479" t="s">
        <v>23142</v>
      </c>
      <c r="N10479" t="s">
        <v>30</v>
      </c>
      <c r="O10479" t="s">
        <v>31</v>
      </c>
      <c r="P10479" t="str">
        <f>"15210"</f>
        <v>15210</v>
      </c>
    </row>
    <row r="10480" spans="1:16" x14ac:dyDescent="0.25">
      <c r="A10480" t="str">
        <f>"1160013L00004    00"</f>
        <v>1160013L00004    00</v>
      </c>
      <c r="B10480" t="s">
        <v>23188</v>
      </c>
      <c r="C10480" t="s">
        <v>23189</v>
      </c>
      <c r="E10480" t="s">
        <v>39</v>
      </c>
      <c r="F10480">
        <v>0</v>
      </c>
      <c r="G10480">
        <v>0</v>
      </c>
      <c r="H10480">
        <v>4</v>
      </c>
      <c r="I10480" s="3">
        <v>2396.29</v>
      </c>
      <c r="J10480" s="3">
        <v>1650.39</v>
      </c>
      <c r="L10480">
        <v>2307</v>
      </c>
      <c r="M10480" t="s">
        <v>22926</v>
      </c>
      <c r="N10480" t="s">
        <v>30</v>
      </c>
      <c r="O10480" t="s">
        <v>31</v>
      </c>
      <c r="P10480" t="str">
        <f>"15210"</f>
        <v>15210</v>
      </c>
    </row>
    <row r="10481" spans="1:16" x14ac:dyDescent="0.25">
      <c r="A10481" t="str">
        <f>"1160013L00009    00"</f>
        <v>1160013L00009    00</v>
      </c>
      <c r="B10481" t="s">
        <v>23190</v>
      </c>
      <c r="C10481" t="s">
        <v>23191</v>
      </c>
      <c r="E10481" t="s">
        <v>39</v>
      </c>
      <c r="F10481">
        <v>0</v>
      </c>
      <c r="G10481">
        <v>0</v>
      </c>
      <c r="H10481">
        <v>1</v>
      </c>
      <c r="I10481" s="3">
        <v>128.28</v>
      </c>
      <c r="J10481" s="3">
        <v>0</v>
      </c>
      <c r="L10481">
        <v>2320</v>
      </c>
      <c r="M10481" t="s">
        <v>22926</v>
      </c>
      <c r="N10481" t="s">
        <v>30</v>
      </c>
      <c r="O10481" t="s">
        <v>31</v>
      </c>
      <c r="P10481" t="str">
        <f>"15210"</f>
        <v>15210</v>
      </c>
    </row>
    <row r="10482" spans="1:16" x14ac:dyDescent="0.25">
      <c r="A10482" t="str">
        <f>"1160013L00012    00"</f>
        <v>1160013L00012    00</v>
      </c>
      <c r="B10482" t="s">
        <v>23192</v>
      </c>
      <c r="C10482" t="s">
        <v>23193</v>
      </c>
      <c r="D10482" t="s">
        <v>20</v>
      </c>
      <c r="E10482" t="s">
        <v>39</v>
      </c>
      <c r="F10482">
        <v>0</v>
      </c>
      <c r="G10482">
        <v>0</v>
      </c>
      <c r="H10482">
        <v>1</v>
      </c>
      <c r="I10482" s="3">
        <v>1027.3399999999999</v>
      </c>
      <c r="J10482" s="3">
        <v>0</v>
      </c>
      <c r="L10482">
        <v>2961</v>
      </c>
      <c r="M10482" t="s">
        <v>23194</v>
      </c>
      <c r="N10482" t="s">
        <v>30</v>
      </c>
      <c r="O10482" t="s">
        <v>31</v>
      </c>
      <c r="P10482" t="str">
        <f>"15216"</f>
        <v>15216</v>
      </c>
    </row>
    <row r="10483" spans="1:16" x14ac:dyDescent="0.25">
      <c r="A10483" t="str">
        <f>"1160013L00014    00"</f>
        <v>1160013L00014    00</v>
      </c>
      <c r="B10483" t="s">
        <v>23195</v>
      </c>
      <c r="C10483" t="s">
        <v>23196</v>
      </c>
      <c r="D10483" t="s">
        <v>20</v>
      </c>
      <c r="E10483" t="s">
        <v>39</v>
      </c>
      <c r="F10483">
        <v>0</v>
      </c>
      <c r="G10483">
        <v>0</v>
      </c>
      <c r="H10483">
        <v>6</v>
      </c>
      <c r="I10483" s="3">
        <v>6031.23</v>
      </c>
      <c r="J10483" s="3">
        <v>1191.94</v>
      </c>
      <c r="L10483">
        <v>2308</v>
      </c>
      <c r="M10483" t="s">
        <v>22926</v>
      </c>
      <c r="N10483" t="s">
        <v>30</v>
      </c>
      <c r="O10483" t="s">
        <v>31</v>
      </c>
      <c r="P10483" t="str">
        <f>"15210"</f>
        <v>15210</v>
      </c>
    </row>
    <row r="10484" spans="1:16" x14ac:dyDescent="0.25">
      <c r="A10484" t="str">
        <f>"1160013L00021    00"</f>
        <v>1160013L00021    00</v>
      </c>
      <c r="B10484" t="s">
        <v>23197</v>
      </c>
      <c r="C10484" t="s">
        <v>23198</v>
      </c>
      <c r="D10484" t="s">
        <v>20</v>
      </c>
      <c r="E10484" t="s">
        <v>39</v>
      </c>
      <c r="F10484">
        <v>0</v>
      </c>
      <c r="G10484">
        <v>0</v>
      </c>
      <c r="H10484">
        <v>2</v>
      </c>
      <c r="I10484" s="3">
        <v>1130.3599999999999</v>
      </c>
      <c r="J10484" s="3">
        <v>121.91</v>
      </c>
      <c r="L10484">
        <v>1612</v>
      </c>
      <c r="M10484" t="s">
        <v>23199</v>
      </c>
      <c r="N10484" t="s">
        <v>30</v>
      </c>
      <c r="O10484" t="s">
        <v>31</v>
      </c>
      <c r="P10484" t="str">
        <f>"15210"</f>
        <v>15210</v>
      </c>
    </row>
    <row r="10485" spans="1:16" x14ac:dyDescent="0.25">
      <c r="A10485" t="str">
        <f>"1160013L00027    00"</f>
        <v>1160013L00027    00</v>
      </c>
      <c r="B10485" t="s">
        <v>23200</v>
      </c>
      <c r="C10485" t="s">
        <v>23201</v>
      </c>
      <c r="D10485" t="s">
        <v>20</v>
      </c>
      <c r="E10485" t="s">
        <v>39</v>
      </c>
      <c r="F10485">
        <v>0</v>
      </c>
      <c r="G10485">
        <v>0</v>
      </c>
      <c r="H10485">
        <v>19</v>
      </c>
      <c r="I10485" s="3">
        <v>1445.18</v>
      </c>
      <c r="J10485" s="3">
        <v>1472.57</v>
      </c>
      <c r="L10485">
        <v>1406</v>
      </c>
      <c r="M10485" t="s">
        <v>1808</v>
      </c>
      <c r="N10485" t="s">
        <v>1809</v>
      </c>
      <c r="O10485" t="s">
        <v>31</v>
      </c>
      <c r="P10485" t="str">
        <f>"15009"</f>
        <v>15009</v>
      </c>
    </row>
    <row r="10486" spans="1:16" x14ac:dyDescent="0.25">
      <c r="A10486" t="str">
        <f>"1160013L00027A   00"</f>
        <v>1160013L00027A   00</v>
      </c>
      <c r="B10486" t="s">
        <v>23202</v>
      </c>
      <c r="C10486" t="s">
        <v>22849</v>
      </c>
      <c r="D10486" t="s">
        <v>20</v>
      </c>
      <c r="E10486" t="s">
        <v>39</v>
      </c>
      <c r="F10486">
        <v>0</v>
      </c>
      <c r="G10486">
        <v>0</v>
      </c>
      <c r="H10486">
        <v>17</v>
      </c>
      <c r="I10486" s="3">
        <v>924.33</v>
      </c>
      <c r="J10486" s="3">
        <v>1298.99</v>
      </c>
      <c r="P10486" t="str">
        <f>""</f>
        <v/>
      </c>
    </row>
    <row r="10487" spans="1:16" x14ac:dyDescent="0.25">
      <c r="A10487" t="str">
        <f>"1160013L00030    00"</f>
        <v>1160013L00030    00</v>
      </c>
      <c r="B10487" t="s">
        <v>23203</v>
      </c>
      <c r="C10487" t="s">
        <v>23204</v>
      </c>
      <c r="D10487" t="s">
        <v>20</v>
      </c>
      <c r="E10487" t="s">
        <v>39</v>
      </c>
      <c r="F10487">
        <v>0</v>
      </c>
      <c r="G10487">
        <v>0</v>
      </c>
      <c r="H10487">
        <v>1</v>
      </c>
      <c r="I10487" s="3">
        <v>558.47</v>
      </c>
      <c r="J10487" s="3">
        <v>0</v>
      </c>
      <c r="K10487" t="s">
        <v>23205</v>
      </c>
      <c r="L10487">
        <v>14</v>
      </c>
      <c r="M10487" t="s">
        <v>23206</v>
      </c>
      <c r="N10487" t="s">
        <v>625</v>
      </c>
      <c r="O10487" t="s">
        <v>31</v>
      </c>
      <c r="P10487" t="str">
        <f>"15108"</f>
        <v>15108</v>
      </c>
    </row>
    <row r="10488" spans="1:16" x14ac:dyDescent="0.25">
      <c r="A10488" t="str">
        <f>"1160013L00038    00"</f>
        <v>1160013L00038    00</v>
      </c>
      <c r="B10488" t="s">
        <v>23207</v>
      </c>
      <c r="C10488" t="s">
        <v>23201</v>
      </c>
      <c r="D10488" t="s">
        <v>20</v>
      </c>
      <c r="E10488" t="s">
        <v>21</v>
      </c>
      <c r="F10488">
        <v>0</v>
      </c>
      <c r="G10488">
        <v>0</v>
      </c>
      <c r="H10488">
        <v>7</v>
      </c>
      <c r="I10488" s="3">
        <v>2505.59</v>
      </c>
      <c r="J10488" s="3">
        <v>692.87</v>
      </c>
      <c r="L10488">
        <v>2716</v>
      </c>
      <c r="M10488" t="s">
        <v>22946</v>
      </c>
      <c r="N10488" t="s">
        <v>30</v>
      </c>
      <c r="O10488" t="s">
        <v>31</v>
      </c>
      <c r="P10488" t="str">
        <f>"15203"</f>
        <v>15203</v>
      </c>
    </row>
    <row r="10489" spans="1:16" x14ac:dyDescent="0.25">
      <c r="A10489" t="str">
        <f>"1160013L00039A   00"</f>
        <v>1160013L00039A   00</v>
      </c>
      <c r="B10489" t="s">
        <v>23208</v>
      </c>
      <c r="C10489" t="s">
        <v>23209</v>
      </c>
      <c r="D10489" t="s">
        <v>20</v>
      </c>
      <c r="E10489" t="s">
        <v>21</v>
      </c>
      <c r="F10489">
        <v>0</v>
      </c>
      <c r="G10489">
        <v>0</v>
      </c>
      <c r="H10489">
        <v>19</v>
      </c>
      <c r="I10489" s="3">
        <v>6775.47</v>
      </c>
      <c r="J10489" s="3">
        <v>6353.18</v>
      </c>
      <c r="L10489">
        <v>2623</v>
      </c>
      <c r="M10489" t="s">
        <v>23173</v>
      </c>
      <c r="N10489" t="s">
        <v>30</v>
      </c>
      <c r="O10489" t="s">
        <v>31</v>
      </c>
      <c r="P10489" t="str">
        <f>"15210"</f>
        <v>15210</v>
      </c>
    </row>
    <row r="10490" spans="1:16" x14ac:dyDescent="0.25">
      <c r="A10490" t="str">
        <f>"1160013L00046    00"</f>
        <v>1160013L00046    00</v>
      </c>
      <c r="B10490" t="s">
        <v>23210</v>
      </c>
      <c r="C10490" t="s">
        <v>23211</v>
      </c>
      <c r="D10490" t="s">
        <v>20</v>
      </c>
      <c r="E10490" t="s">
        <v>39</v>
      </c>
      <c r="F10490">
        <v>0</v>
      </c>
      <c r="G10490">
        <v>0</v>
      </c>
      <c r="H10490">
        <v>2</v>
      </c>
      <c r="I10490" s="3">
        <v>2391.61</v>
      </c>
      <c r="J10490" s="3">
        <v>0</v>
      </c>
      <c r="K10490" t="s">
        <v>23212</v>
      </c>
      <c r="M10490" t="s">
        <v>7745</v>
      </c>
      <c r="N10490" t="s">
        <v>107</v>
      </c>
      <c r="O10490" t="s">
        <v>108</v>
      </c>
      <c r="P10490" t="str">
        <f>"75265"</f>
        <v>75265</v>
      </c>
    </row>
    <row r="10491" spans="1:16" x14ac:dyDescent="0.25">
      <c r="A10491" t="str">
        <f>"1160013L00047    00"</f>
        <v>1160013L00047    00</v>
      </c>
      <c r="B10491" t="s">
        <v>23213</v>
      </c>
      <c r="C10491" t="s">
        <v>23214</v>
      </c>
      <c r="E10491" t="s">
        <v>39</v>
      </c>
      <c r="F10491">
        <v>0</v>
      </c>
      <c r="G10491">
        <v>0</v>
      </c>
      <c r="H10491">
        <v>2</v>
      </c>
      <c r="I10491" s="3">
        <v>1956.57</v>
      </c>
      <c r="J10491" s="3">
        <v>884.26</v>
      </c>
      <c r="M10491" t="s">
        <v>23215</v>
      </c>
      <c r="N10491" t="s">
        <v>30</v>
      </c>
      <c r="O10491" t="s">
        <v>31</v>
      </c>
      <c r="P10491" t="str">
        <f>"15211"</f>
        <v>15211</v>
      </c>
    </row>
    <row r="10492" spans="1:16" x14ac:dyDescent="0.25">
      <c r="A10492" t="str">
        <f>"1160013L00049    00"</f>
        <v>1160013L00049    00</v>
      </c>
      <c r="B10492" t="s">
        <v>23216</v>
      </c>
      <c r="C10492" t="s">
        <v>22925</v>
      </c>
      <c r="D10492" t="s">
        <v>20</v>
      </c>
      <c r="E10492" t="s">
        <v>39</v>
      </c>
      <c r="F10492">
        <v>0</v>
      </c>
      <c r="G10492">
        <v>0</v>
      </c>
      <c r="H10492">
        <v>19</v>
      </c>
      <c r="I10492" s="3">
        <v>631.91999999999996</v>
      </c>
      <c r="J10492" s="3">
        <v>740.99</v>
      </c>
      <c r="L10492">
        <v>2326</v>
      </c>
      <c r="M10492" t="s">
        <v>22926</v>
      </c>
      <c r="N10492" t="s">
        <v>30</v>
      </c>
      <c r="O10492" t="s">
        <v>31</v>
      </c>
      <c r="P10492" t="str">
        <f>"15210"</f>
        <v>15210</v>
      </c>
    </row>
    <row r="10493" spans="1:16" x14ac:dyDescent="0.25">
      <c r="A10493" t="str">
        <f>"1160013L00054    00"</f>
        <v>1160013L00054    00</v>
      </c>
      <c r="B10493" t="s">
        <v>23217</v>
      </c>
      <c r="C10493" t="s">
        <v>23218</v>
      </c>
      <c r="D10493" t="s">
        <v>20</v>
      </c>
      <c r="E10493" t="s">
        <v>39</v>
      </c>
      <c r="F10493">
        <v>0</v>
      </c>
      <c r="G10493">
        <v>0</v>
      </c>
      <c r="H10493">
        <v>19</v>
      </c>
      <c r="I10493" s="3">
        <v>11063.21</v>
      </c>
      <c r="J10493" s="3">
        <v>11863.61</v>
      </c>
      <c r="L10493">
        <v>2331</v>
      </c>
      <c r="M10493" t="s">
        <v>22926</v>
      </c>
      <c r="N10493" t="s">
        <v>30</v>
      </c>
      <c r="O10493" t="s">
        <v>31</v>
      </c>
      <c r="P10493" t="str">
        <f>"15210"</f>
        <v>15210</v>
      </c>
    </row>
    <row r="10494" spans="1:16" x14ac:dyDescent="0.25">
      <c r="A10494" t="str">
        <f>"1160013L00055    00"</f>
        <v>1160013L00055    00</v>
      </c>
      <c r="B10494" t="s">
        <v>23219</v>
      </c>
      <c r="C10494" t="s">
        <v>23218</v>
      </c>
      <c r="D10494" t="s">
        <v>20</v>
      </c>
      <c r="E10494" t="s">
        <v>39</v>
      </c>
      <c r="F10494">
        <v>0</v>
      </c>
      <c r="G10494">
        <v>0</v>
      </c>
      <c r="H10494">
        <v>12</v>
      </c>
      <c r="I10494" s="3">
        <v>10690.22</v>
      </c>
      <c r="J10494" s="3">
        <v>5608.62</v>
      </c>
      <c r="L10494">
        <v>2331</v>
      </c>
      <c r="M10494" t="s">
        <v>22926</v>
      </c>
      <c r="N10494" t="s">
        <v>30</v>
      </c>
      <c r="O10494" t="s">
        <v>31</v>
      </c>
      <c r="P10494" t="str">
        <f>"15210"</f>
        <v>15210</v>
      </c>
    </row>
    <row r="10495" spans="1:16" x14ac:dyDescent="0.25">
      <c r="A10495" t="str">
        <f>"1160013L00062    00"</f>
        <v>1160013L00062    00</v>
      </c>
      <c r="B10495" t="s">
        <v>23220</v>
      </c>
      <c r="C10495" t="s">
        <v>23221</v>
      </c>
      <c r="E10495" t="s">
        <v>39</v>
      </c>
      <c r="F10495">
        <v>0</v>
      </c>
      <c r="G10495">
        <v>0</v>
      </c>
      <c r="H10495">
        <v>1</v>
      </c>
      <c r="I10495" s="3">
        <v>246.92</v>
      </c>
      <c r="J10495" s="3">
        <v>0</v>
      </c>
      <c r="L10495">
        <v>2320</v>
      </c>
      <c r="M10495" t="s">
        <v>22926</v>
      </c>
      <c r="N10495" t="s">
        <v>30</v>
      </c>
      <c r="O10495" t="s">
        <v>31</v>
      </c>
      <c r="P10495" t="str">
        <f>"15210"</f>
        <v>15210</v>
      </c>
    </row>
    <row r="10496" spans="1:16" x14ac:dyDescent="0.25">
      <c r="A10496" t="str">
        <f>"1160013L00073    00"</f>
        <v>1160013L00073    00</v>
      </c>
      <c r="B10496" t="s">
        <v>23222</v>
      </c>
      <c r="C10496" t="s">
        <v>23223</v>
      </c>
      <c r="D10496" t="s">
        <v>20</v>
      </c>
      <c r="E10496" t="s">
        <v>39</v>
      </c>
      <c r="F10496">
        <v>0</v>
      </c>
      <c r="G10496">
        <v>0</v>
      </c>
      <c r="H10496">
        <v>1</v>
      </c>
      <c r="I10496" s="3">
        <v>300</v>
      </c>
      <c r="J10496" s="3">
        <v>0</v>
      </c>
      <c r="L10496">
        <v>2567</v>
      </c>
      <c r="M10496" t="s">
        <v>23224</v>
      </c>
      <c r="N10496" t="s">
        <v>139</v>
      </c>
      <c r="O10496" t="s">
        <v>31</v>
      </c>
      <c r="P10496" t="str">
        <f>"15090"</f>
        <v>15090</v>
      </c>
    </row>
    <row r="10497" spans="1:16" x14ac:dyDescent="0.25">
      <c r="A10497" t="str">
        <f>"1160013L00105    00"</f>
        <v>1160013L00105    00</v>
      </c>
      <c r="B10497" t="s">
        <v>23225</v>
      </c>
      <c r="C10497" t="s">
        <v>23226</v>
      </c>
      <c r="D10497" t="s">
        <v>20</v>
      </c>
      <c r="E10497" t="s">
        <v>39</v>
      </c>
      <c r="F10497">
        <v>0</v>
      </c>
      <c r="G10497">
        <v>0</v>
      </c>
      <c r="H10497">
        <v>19</v>
      </c>
      <c r="I10497" s="3">
        <v>10826.91</v>
      </c>
      <c r="J10497" s="3">
        <v>12551.7</v>
      </c>
      <c r="L10497">
        <v>972</v>
      </c>
      <c r="M10497" t="s">
        <v>23227</v>
      </c>
      <c r="N10497" t="s">
        <v>30</v>
      </c>
      <c r="O10497" t="s">
        <v>31</v>
      </c>
      <c r="P10497" t="str">
        <f>"15210"</f>
        <v>15210</v>
      </c>
    </row>
    <row r="10498" spans="1:16" x14ac:dyDescent="0.25">
      <c r="A10498" t="str">
        <f>"1160013L00121    00"</f>
        <v>1160013L00121    00</v>
      </c>
      <c r="B10498" t="s">
        <v>23228</v>
      </c>
      <c r="C10498" t="s">
        <v>23229</v>
      </c>
      <c r="D10498" t="s">
        <v>20</v>
      </c>
      <c r="E10498" t="s">
        <v>39</v>
      </c>
      <c r="F10498">
        <v>0</v>
      </c>
      <c r="G10498">
        <v>0</v>
      </c>
      <c r="H10498">
        <v>14</v>
      </c>
      <c r="I10498" s="3">
        <v>14316.31</v>
      </c>
      <c r="J10498" s="3">
        <v>7256.35</v>
      </c>
      <c r="P10498" t="str">
        <f>""</f>
        <v/>
      </c>
    </row>
    <row r="10499" spans="1:16" x14ac:dyDescent="0.25">
      <c r="A10499" t="str">
        <f>"1160013L00122    00"</f>
        <v>1160013L00122    00</v>
      </c>
      <c r="B10499" t="s">
        <v>23228</v>
      </c>
      <c r="C10499" t="s">
        <v>22925</v>
      </c>
      <c r="D10499" t="s">
        <v>20</v>
      </c>
      <c r="E10499" t="s">
        <v>39</v>
      </c>
      <c r="F10499">
        <v>0</v>
      </c>
      <c r="G10499">
        <v>0</v>
      </c>
      <c r="H10499">
        <v>10</v>
      </c>
      <c r="I10499" s="3">
        <v>903.86</v>
      </c>
      <c r="J10499" s="3">
        <v>389.63</v>
      </c>
      <c r="L10499">
        <v>2429</v>
      </c>
      <c r="M10499" t="s">
        <v>22926</v>
      </c>
      <c r="N10499" t="s">
        <v>8181</v>
      </c>
      <c r="O10499" t="s">
        <v>31</v>
      </c>
      <c r="P10499" t="str">
        <f>"15110"</f>
        <v>15110</v>
      </c>
    </row>
    <row r="10500" spans="1:16" x14ac:dyDescent="0.25">
      <c r="A10500" t="str">
        <f>"1160013L00125    00"</f>
        <v>1160013L00125    00</v>
      </c>
      <c r="B10500" t="s">
        <v>23230</v>
      </c>
      <c r="C10500" t="s">
        <v>22925</v>
      </c>
      <c r="D10500" t="s">
        <v>20</v>
      </c>
      <c r="E10500" t="s">
        <v>39</v>
      </c>
      <c r="F10500">
        <v>0</v>
      </c>
      <c r="G10500">
        <v>0</v>
      </c>
      <c r="H10500">
        <v>19</v>
      </c>
      <c r="I10500" s="3">
        <v>641.57000000000005</v>
      </c>
      <c r="J10500" s="3">
        <v>744.08</v>
      </c>
      <c r="K10500" t="s">
        <v>1037</v>
      </c>
      <c r="L10500">
        <v>2419</v>
      </c>
      <c r="M10500" t="s">
        <v>22926</v>
      </c>
      <c r="N10500" t="s">
        <v>30</v>
      </c>
      <c r="O10500" t="s">
        <v>31</v>
      </c>
      <c r="P10500" t="str">
        <f>"15210"</f>
        <v>15210</v>
      </c>
    </row>
    <row r="10501" spans="1:16" x14ac:dyDescent="0.25">
      <c r="A10501" t="str">
        <f>"1160013L00132    00"</f>
        <v>1160013L00132    00</v>
      </c>
      <c r="B10501" t="s">
        <v>23231</v>
      </c>
      <c r="C10501" t="s">
        <v>22929</v>
      </c>
      <c r="D10501" t="s">
        <v>20</v>
      </c>
      <c r="E10501" t="s">
        <v>39</v>
      </c>
      <c r="F10501">
        <v>0</v>
      </c>
      <c r="G10501">
        <v>0</v>
      </c>
      <c r="H10501">
        <v>19</v>
      </c>
      <c r="I10501" s="3">
        <v>688.1</v>
      </c>
      <c r="J10501" s="3">
        <v>791.1</v>
      </c>
      <c r="K10501" t="s">
        <v>1037</v>
      </c>
      <c r="L10501">
        <v>2410</v>
      </c>
      <c r="M10501" t="s">
        <v>21280</v>
      </c>
      <c r="N10501" t="s">
        <v>30</v>
      </c>
      <c r="O10501" t="s">
        <v>31</v>
      </c>
      <c r="P10501" t="str">
        <f>"15210"</f>
        <v>15210</v>
      </c>
    </row>
    <row r="10502" spans="1:16" x14ac:dyDescent="0.25">
      <c r="A10502" t="str">
        <f>"1160013L00134    00"</f>
        <v>1160013L00134    00</v>
      </c>
      <c r="B10502" t="s">
        <v>23232</v>
      </c>
      <c r="C10502" t="s">
        <v>23233</v>
      </c>
      <c r="D10502" t="s">
        <v>20</v>
      </c>
      <c r="E10502" t="s">
        <v>39</v>
      </c>
      <c r="F10502">
        <v>0</v>
      </c>
      <c r="G10502">
        <v>0</v>
      </c>
      <c r="H10502">
        <v>1</v>
      </c>
      <c r="I10502" s="3">
        <v>4986.1099999999997</v>
      </c>
      <c r="J10502" s="3">
        <v>0</v>
      </c>
      <c r="L10502">
        <v>2414</v>
      </c>
      <c r="M10502" t="s">
        <v>21280</v>
      </c>
      <c r="N10502" t="s">
        <v>30</v>
      </c>
      <c r="O10502" t="s">
        <v>31</v>
      </c>
      <c r="P10502" t="str">
        <f>"15210"</f>
        <v>15210</v>
      </c>
    </row>
    <row r="10503" spans="1:16" x14ac:dyDescent="0.25">
      <c r="A10503" t="str">
        <f>"1160013L00136    00"</f>
        <v>1160013L00136    00</v>
      </c>
      <c r="B10503" t="s">
        <v>23234</v>
      </c>
      <c r="C10503" t="s">
        <v>23235</v>
      </c>
      <c r="E10503" t="s">
        <v>39</v>
      </c>
      <c r="F10503">
        <v>0</v>
      </c>
      <c r="G10503">
        <v>0</v>
      </c>
      <c r="H10503">
        <v>1</v>
      </c>
      <c r="I10503" s="3">
        <v>470.24</v>
      </c>
      <c r="J10503" s="3">
        <v>94.04</v>
      </c>
      <c r="L10503">
        <v>1297</v>
      </c>
      <c r="M10503" t="s">
        <v>23236</v>
      </c>
      <c r="N10503" t="s">
        <v>30</v>
      </c>
      <c r="O10503" t="s">
        <v>31</v>
      </c>
      <c r="P10503" t="str">
        <f>"15213"</f>
        <v>15213</v>
      </c>
    </row>
    <row r="10504" spans="1:16" x14ac:dyDescent="0.25">
      <c r="A10504" t="str">
        <f>"1160013L00139    00"</f>
        <v>1160013L00139    00</v>
      </c>
      <c r="B10504" t="s">
        <v>23237</v>
      </c>
      <c r="C10504" t="s">
        <v>23238</v>
      </c>
      <c r="D10504" t="s">
        <v>57</v>
      </c>
      <c r="E10504" t="s">
        <v>39</v>
      </c>
      <c r="F10504">
        <v>0</v>
      </c>
      <c r="G10504">
        <v>0</v>
      </c>
      <c r="H10504">
        <v>1</v>
      </c>
      <c r="I10504" s="3">
        <v>902.06</v>
      </c>
      <c r="J10504" s="3">
        <v>0</v>
      </c>
      <c r="K10504" t="s">
        <v>23239</v>
      </c>
      <c r="L10504">
        <v>2424</v>
      </c>
      <c r="M10504" t="s">
        <v>21280</v>
      </c>
      <c r="N10504" t="s">
        <v>30</v>
      </c>
      <c r="O10504" t="s">
        <v>31</v>
      </c>
      <c r="P10504" t="str">
        <f>"15210"</f>
        <v>15210</v>
      </c>
    </row>
    <row r="10505" spans="1:16" x14ac:dyDescent="0.25">
      <c r="A10505" t="str">
        <f>"1160013L00141    00"</f>
        <v>1160013L00141    00</v>
      </c>
      <c r="B10505" t="s">
        <v>23240</v>
      </c>
      <c r="C10505" t="s">
        <v>23241</v>
      </c>
      <c r="E10505" t="s">
        <v>39</v>
      </c>
      <c r="F10505">
        <v>0</v>
      </c>
      <c r="G10505">
        <v>0</v>
      </c>
      <c r="H10505">
        <v>2</v>
      </c>
      <c r="I10505" s="3">
        <v>823.43</v>
      </c>
      <c r="J10505" s="3">
        <v>13.72</v>
      </c>
      <c r="K10505" t="s">
        <v>23242</v>
      </c>
      <c r="L10505">
        <v>262</v>
      </c>
      <c r="M10505" t="s">
        <v>11273</v>
      </c>
      <c r="N10505" t="s">
        <v>1046</v>
      </c>
      <c r="O10505" t="s">
        <v>31</v>
      </c>
      <c r="P10505" t="str">
        <f>"15147"</f>
        <v>15147</v>
      </c>
    </row>
    <row r="10506" spans="1:16" x14ac:dyDescent="0.25">
      <c r="A10506" t="str">
        <f>"1160013L00159    00"</f>
        <v>1160013L00159    00</v>
      </c>
      <c r="B10506" t="s">
        <v>23243</v>
      </c>
      <c r="C10506" t="s">
        <v>23244</v>
      </c>
      <c r="D10506" t="s">
        <v>20</v>
      </c>
      <c r="E10506" t="s">
        <v>39</v>
      </c>
      <c r="F10506">
        <v>0</v>
      </c>
      <c r="G10506">
        <v>0</v>
      </c>
      <c r="H10506">
        <v>1</v>
      </c>
      <c r="I10506" s="3">
        <v>71.41</v>
      </c>
      <c r="J10506" s="3">
        <v>0</v>
      </c>
      <c r="K10506" t="s">
        <v>262</v>
      </c>
      <c r="L10506">
        <v>8805</v>
      </c>
      <c r="M10506" t="s">
        <v>263</v>
      </c>
      <c r="N10506" t="s">
        <v>264</v>
      </c>
      <c r="O10506" t="s">
        <v>25</v>
      </c>
      <c r="P10506" t="str">
        <f>"45249"</f>
        <v>45249</v>
      </c>
    </row>
    <row r="10507" spans="1:16" x14ac:dyDescent="0.25">
      <c r="A10507" t="str">
        <f>"1160013L00165    00"</f>
        <v>1160013L00165    00</v>
      </c>
      <c r="B10507" t="s">
        <v>23245</v>
      </c>
      <c r="C10507" t="s">
        <v>23201</v>
      </c>
      <c r="D10507" t="s">
        <v>20</v>
      </c>
      <c r="E10507" t="s">
        <v>39</v>
      </c>
      <c r="F10507">
        <v>0</v>
      </c>
      <c r="G10507">
        <v>0</v>
      </c>
      <c r="H10507">
        <v>19</v>
      </c>
      <c r="I10507" s="3">
        <v>7751.78</v>
      </c>
      <c r="J10507" s="3">
        <v>10373.6</v>
      </c>
      <c r="P10507" t="str">
        <f>""</f>
        <v/>
      </c>
    </row>
    <row r="10508" spans="1:16" x14ac:dyDescent="0.25">
      <c r="A10508" t="str">
        <f>"1160013L00166    00"</f>
        <v>1160013L00166    00</v>
      </c>
      <c r="B10508" t="s">
        <v>23246</v>
      </c>
      <c r="C10508" t="s">
        <v>23201</v>
      </c>
      <c r="D10508" t="s">
        <v>20</v>
      </c>
      <c r="E10508" t="s">
        <v>39</v>
      </c>
      <c r="F10508">
        <v>0</v>
      </c>
      <c r="G10508">
        <v>0</v>
      </c>
      <c r="H10508">
        <v>19</v>
      </c>
      <c r="I10508" s="3">
        <v>2754.93</v>
      </c>
      <c r="J10508" s="3">
        <v>1964.18</v>
      </c>
      <c r="L10508">
        <v>2515</v>
      </c>
      <c r="M10508" t="s">
        <v>3525</v>
      </c>
      <c r="N10508" t="s">
        <v>30</v>
      </c>
      <c r="O10508" t="s">
        <v>31</v>
      </c>
      <c r="P10508" t="str">
        <f>"15210"</f>
        <v>15210</v>
      </c>
    </row>
    <row r="10509" spans="1:16" x14ac:dyDescent="0.25">
      <c r="A10509" t="str">
        <f>"1160013L00169    00"</f>
        <v>1160013L00169    00</v>
      </c>
      <c r="B10509" t="s">
        <v>23247</v>
      </c>
      <c r="C10509" t="s">
        <v>23201</v>
      </c>
      <c r="E10509" t="s">
        <v>39</v>
      </c>
      <c r="F10509">
        <v>0</v>
      </c>
      <c r="G10509">
        <v>0</v>
      </c>
      <c r="H10509">
        <v>9</v>
      </c>
      <c r="I10509" s="3">
        <v>1853.02</v>
      </c>
      <c r="J10509" s="3">
        <v>2853.54</v>
      </c>
      <c r="M10509" t="s">
        <v>23248</v>
      </c>
      <c r="N10509" t="s">
        <v>23249</v>
      </c>
      <c r="O10509" t="s">
        <v>2767</v>
      </c>
      <c r="P10509" t="str">
        <f>"36322"</f>
        <v>36322</v>
      </c>
    </row>
    <row r="10510" spans="1:16" x14ac:dyDescent="0.25">
      <c r="A10510" t="str">
        <f>"1160013L00171    00"</f>
        <v>1160013L00171    00</v>
      </c>
      <c r="B10510" t="s">
        <v>23250</v>
      </c>
      <c r="C10510" t="s">
        <v>22925</v>
      </c>
      <c r="D10510" t="s">
        <v>20</v>
      </c>
      <c r="E10510" t="s">
        <v>39</v>
      </c>
      <c r="F10510">
        <v>0</v>
      </c>
      <c r="G10510">
        <v>0</v>
      </c>
      <c r="H10510">
        <v>18</v>
      </c>
      <c r="I10510" s="3">
        <v>629.19000000000005</v>
      </c>
      <c r="J10510" s="3">
        <v>761.66</v>
      </c>
      <c r="K10510" t="s">
        <v>23251</v>
      </c>
      <c r="L10510">
        <v>12986</v>
      </c>
      <c r="M10510" t="s">
        <v>23252</v>
      </c>
      <c r="N10510" t="s">
        <v>23253</v>
      </c>
      <c r="O10510" t="s">
        <v>2097</v>
      </c>
      <c r="P10510" t="str">
        <f>"37388"</f>
        <v>37388</v>
      </c>
    </row>
    <row r="10511" spans="1:16" x14ac:dyDescent="0.25">
      <c r="A10511" t="str">
        <f>"1160013L00191    00"</f>
        <v>1160013L00191    00</v>
      </c>
      <c r="B10511" t="s">
        <v>23254</v>
      </c>
      <c r="C10511" t="s">
        <v>23255</v>
      </c>
      <c r="E10511" t="s">
        <v>39</v>
      </c>
      <c r="F10511">
        <v>0</v>
      </c>
      <c r="G10511">
        <v>0</v>
      </c>
      <c r="H10511">
        <v>1</v>
      </c>
      <c r="I10511" s="3">
        <v>102.8</v>
      </c>
      <c r="J10511" s="3">
        <v>30.84</v>
      </c>
      <c r="L10511">
        <v>2619</v>
      </c>
      <c r="M10511" t="s">
        <v>23173</v>
      </c>
      <c r="N10511" t="s">
        <v>30</v>
      </c>
      <c r="O10511" t="s">
        <v>31</v>
      </c>
      <c r="P10511" t="str">
        <f t="shared" ref="P10511:P10516" si="118">"15210"</f>
        <v>15210</v>
      </c>
    </row>
    <row r="10512" spans="1:16" x14ac:dyDescent="0.25">
      <c r="A10512" t="str">
        <f>"1160013L00194    00"</f>
        <v>1160013L00194    00</v>
      </c>
      <c r="B10512" t="s">
        <v>23256</v>
      </c>
      <c r="C10512" t="s">
        <v>23257</v>
      </c>
      <c r="D10512" t="s">
        <v>20</v>
      </c>
      <c r="E10512" t="s">
        <v>39</v>
      </c>
      <c r="F10512">
        <v>0</v>
      </c>
      <c r="G10512">
        <v>0</v>
      </c>
      <c r="H10512">
        <v>6</v>
      </c>
      <c r="I10512" s="3">
        <v>1429.93</v>
      </c>
      <c r="J10512" s="3">
        <v>352.97</v>
      </c>
      <c r="L10512">
        <v>137</v>
      </c>
      <c r="M10512" t="s">
        <v>21622</v>
      </c>
      <c r="N10512" t="s">
        <v>30</v>
      </c>
      <c r="O10512" t="s">
        <v>31</v>
      </c>
      <c r="P10512" t="str">
        <f t="shared" si="118"/>
        <v>15210</v>
      </c>
    </row>
    <row r="10513" spans="1:16" x14ac:dyDescent="0.25">
      <c r="A10513" t="str">
        <f>"1160013L00198    00"</f>
        <v>1160013L00198    00</v>
      </c>
      <c r="B10513" t="s">
        <v>23258</v>
      </c>
      <c r="C10513" t="s">
        <v>23259</v>
      </c>
      <c r="D10513" t="s">
        <v>20</v>
      </c>
      <c r="E10513" t="s">
        <v>39</v>
      </c>
      <c r="F10513">
        <v>0</v>
      </c>
      <c r="G10513">
        <v>0</v>
      </c>
      <c r="H10513">
        <v>19</v>
      </c>
      <c r="I10513" s="3">
        <v>5107.22</v>
      </c>
      <c r="J10513" s="3">
        <v>6061.18</v>
      </c>
      <c r="L10513">
        <v>125</v>
      </c>
      <c r="M10513" t="s">
        <v>21622</v>
      </c>
      <c r="N10513" t="s">
        <v>30</v>
      </c>
      <c r="O10513" t="s">
        <v>31</v>
      </c>
      <c r="P10513" t="str">
        <f t="shared" si="118"/>
        <v>15210</v>
      </c>
    </row>
    <row r="10514" spans="1:16" x14ac:dyDescent="0.25">
      <c r="A10514" t="str">
        <f>"1160013L00199    00"</f>
        <v>1160013L00199    00</v>
      </c>
      <c r="B10514" t="s">
        <v>23260</v>
      </c>
      <c r="C10514" t="s">
        <v>23259</v>
      </c>
      <c r="D10514" t="s">
        <v>20</v>
      </c>
      <c r="E10514" t="s">
        <v>39</v>
      </c>
      <c r="F10514">
        <v>0</v>
      </c>
      <c r="G10514">
        <v>0</v>
      </c>
      <c r="H10514">
        <v>14</v>
      </c>
      <c r="I10514" s="3">
        <v>3148.22</v>
      </c>
      <c r="J10514" s="3">
        <v>3227.9</v>
      </c>
      <c r="K10514" t="s">
        <v>23261</v>
      </c>
      <c r="L10514">
        <v>123</v>
      </c>
      <c r="M10514" t="s">
        <v>21622</v>
      </c>
      <c r="N10514" t="s">
        <v>30</v>
      </c>
      <c r="O10514" t="s">
        <v>31</v>
      </c>
      <c r="P10514" t="str">
        <f t="shared" si="118"/>
        <v>15210</v>
      </c>
    </row>
    <row r="10515" spans="1:16" x14ac:dyDescent="0.25">
      <c r="A10515" t="str">
        <f>"1160013L00207    00"</f>
        <v>1160013L00207    00</v>
      </c>
      <c r="B10515" t="s">
        <v>23262</v>
      </c>
      <c r="C10515" t="s">
        <v>23263</v>
      </c>
      <c r="D10515" t="s">
        <v>20</v>
      </c>
      <c r="E10515" t="s">
        <v>39</v>
      </c>
      <c r="F10515">
        <v>0</v>
      </c>
      <c r="G10515">
        <v>0</v>
      </c>
      <c r="H10515">
        <v>19</v>
      </c>
      <c r="I10515" s="3">
        <v>12530.62</v>
      </c>
      <c r="J10515" s="3">
        <v>12269.5</v>
      </c>
      <c r="K10515" t="s">
        <v>23264</v>
      </c>
      <c r="N10515" t="s">
        <v>30</v>
      </c>
      <c r="O10515" t="s">
        <v>31</v>
      </c>
      <c r="P10515" t="str">
        <f t="shared" si="118"/>
        <v>15210</v>
      </c>
    </row>
    <row r="10516" spans="1:16" x14ac:dyDescent="0.25">
      <c r="A10516" t="str">
        <f>"1160013L00211    00"</f>
        <v>1160013L00211    00</v>
      </c>
      <c r="B10516" t="s">
        <v>23265</v>
      </c>
      <c r="C10516" t="s">
        <v>23266</v>
      </c>
      <c r="D10516" t="s">
        <v>20</v>
      </c>
      <c r="E10516" t="s">
        <v>207</v>
      </c>
      <c r="F10516">
        <v>0</v>
      </c>
      <c r="G10516">
        <v>0</v>
      </c>
      <c r="H10516">
        <v>1</v>
      </c>
      <c r="I10516" s="3">
        <v>29792.69</v>
      </c>
      <c r="J10516" s="3">
        <v>0</v>
      </c>
      <c r="K10516" t="s">
        <v>23267</v>
      </c>
      <c r="L10516">
        <v>816</v>
      </c>
      <c r="M10516" t="s">
        <v>11789</v>
      </c>
      <c r="N10516" t="s">
        <v>30</v>
      </c>
      <c r="O10516" t="s">
        <v>31</v>
      </c>
      <c r="P10516" t="str">
        <f t="shared" si="118"/>
        <v>15210</v>
      </c>
    </row>
    <row r="10517" spans="1:16" x14ac:dyDescent="0.25">
      <c r="A10517" t="str">
        <f>"1160013L00213    00"</f>
        <v>1160013L00213    00</v>
      </c>
      <c r="B10517" t="s">
        <v>23268</v>
      </c>
      <c r="C10517" t="s">
        <v>23269</v>
      </c>
      <c r="D10517" t="s">
        <v>20</v>
      </c>
      <c r="E10517" t="s">
        <v>39</v>
      </c>
      <c r="F10517">
        <v>0</v>
      </c>
      <c r="G10517">
        <v>0</v>
      </c>
      <c r="H10517">
        <v>9</v>
      </c>
      <c r="I10517" s="3">
        <v>2778.01</v>
      </c>
      <c r="J10517" s="3">
        <v>1173.4100000000001</v>
      </c>
      <c r="K10517" t="s">
        <v>23270</v>
      </c>
      <c r="L10517">
        <v>834</v>
      </c>
      <c r="M10517" t="s">
        <v>475</v>
      </c>
      <c r="N10517" t="s">
        <v>30</v>
      </c>
      <c r="O10517" t="s">
        <v>31</v>
      </c>
      <c r="P10517" t="str">
        <f>"15228"</f>
        <v>15228</v>
      </c>
    </row>
    <row r="10518" spans="1:16" x14ac:dyDescent="0.25">
      <c r="A10518" t="str">
        <f>"1160013L00213    01"</f>
        <v>1160013L00213    01</v>
      </c>
      <c r="B10518" t="s">
        <v>23268</v>
      </c>
      <c r="C10518" t="s">
        <v>23269</v>
      </c>
      <c r="D10518" t="s">
        <v>20</v>
      </c>
      <c r="E10518" t="s">
        <v>207</v>
      </c>
      <c r="F10518">
        <v>0</v>
      </c>
      <c r="G10518">
        <v>0</v>
      </c>
      <c r="H10518">
        <v>9</v>
      </c>
      <c r="I10518" s="3">
        <v>2019.37</v>
      </c>
      <c r="J10518" s="3">
        <v>602.79</v>
      </c>
      <c r="K10518" t="s">
        <v>23270</v>
      </c>
      <c r="L10518">
        <v>834</v>
      </c>
      <c r="M10518" t="s">
        <v>475</v>
      </c>
      <c r="N10518" t="s">
        <v>30</v>
      </c>
      <c r="O10518" t="s">
        <v>31</v>
      </c>
      <c r="P10518" t="str">
        <f>"15228"</f>
        <v>15228</v>
      </c>
    </row>
    <row r="10519" spans="1:16" x14ac:dyDescent="0.25">
      <c r="A10519" t="str">
        <f>"1160013L00218    00"</f>
        <v>1160013L00218    00</v>
      </c>
      <c r="B10519" t="s">
        <v>23271</v>
      </c>
      <c r="C10519" t="s">
        <v>23272</v>
      </c>
      <c r="D10519" t="s">
        <v>20</v>
      </c>
      <c r="E10519" t="s">
        <v>39</v>
      </c>
      <c r="F10519">
        <v>0</v>
      </c>
      <c r="G10519">
        <v>0</v>
      </c>
      <c r="H10519">
        <v>13</v>
      </c>
      <c r="I10519" s="3">
        <v>908.57</v>
      </c>
      <c r="J10519" s="3">
        <v>798.31</v>
      </c>
      <c r="L10519">
        <v>2413</v>
      </c>
      <c r="M10519" t="s">
        <v>23273</v>
      </c>
      <c r="N10519" t="s">
        <v>30</v>
      </c>
      <c r="O10519" t="s">
        <v>31</v>
      </c>
      <c r="P10519" t="str">
        <f>"15210"</f>
        <v>15210</v>
      </c>
    </row>
    <row r="10520" spans="1:16" x14ac:dyDescent="0.25">
      <c r="A10520" t="str">
        <f>"1160013L00226    00"</f>
        <v>1160013L00226    00</v>
      </c>
      <c r="B10520" t="s">
        <v>23274</v>
      </c>
      <c r="C10520" t="s">
        <v>23275</v>
      </c>
      <c r="E10520" t="s">
        <v>39</v>
      </c>
      <c r="F10520">
        <v>0</v>
      </c>
      <c r="G10520">
        <v>0</v>
      </c>
      <c r="H10520">
        <v>5</v>
      </c>
      <c r="I10520" s="3">
        <v>2901.06</v>
      </c>
      <c r="J10520" s="3">
        <v>3061.13</v>
      </c>
      <c r="K10520" t="s">
        <v>23276</v>
      </c>
      <c r="L10520">
        <v>110</v>
      </c>
      <c r="M10520" t="s">
        <v>23277</v>
      </c>
      <c r="N10520" t="s">
        <v>30</v>
      </c>
      <c r="O10520" t="s">
        <v>31</v>
      </c>
      <c r="P10520" t="str">
        <f>"15228"</f>
        <v>15228</v>
      </c>
    </row>
    <row r="10521" spans="1:16" x14ac:dyDescent="0.25">
      <c r="A10521" t="str">
        <f>"1160013L00258    00"</f>
        <v>1160013L00258    00</v>
      </c>
      <c r="B10521" t="s">
        <v>23278</v>
      </c>
      <c r="C10521" t="s">
        <v>23175</v>
      </c>
      <c r="D10521" t="s">
        <v>20</v>
      </c>
      <c r="E10521" t="s">
        <v>39</v>
      </c>
      <c r="F10521">
        <v>0</v>
      </c>
      <c r="G10521">
        <v>0</v>
      </c>
      <c r="H10521">
        <v>19</v>
      </c>
      <c r="I10521" s="3">
        <v>5391.42</v>
      </c>
      <c r="J10521" s="3">
        <v>6697.52</v>
      </c>
      <c r="L10521">
        <v>2317</v>
      </c>
      <c r="M10521" t="s">
        <v>23173</v>
      </c>
      <c r="N10521" t="s">
        <v>30</v>
      </c>
      <c r="O10521" t="s">
        <v>31</v>
      </c>
      <c r="P10521" t="str">
        <f>"15210"</f>
        <v>15210</v>
      </c>
    </row>
    <row r="10522" spans="1:16" x14ac:dyDescent="0.25">
      <c r="A10522" t="str">
        <f>"1160013L00272    00"</f>
        <v>1160013L00272    00</v>
      </c>
      <c r="B10522" t="s">
        <v>23279</v>
      </c>
      <c r="C10522" t="s">
        <v>23280</v>
      </c>
      <c r="D10522" t="s">
        <v>20</v>
      </c>
      <c r="E10522" t="s">
        <v>39</v>
      </c>
      <c r="F10522">
        <v>0</v>
      </c>
      <c r="G10522">
        <v>0</v>
      </c>
      <c r="H10522">
        <v>9</v>
      </c>
      <c r="I10522" s="3">
        <v>1881.07</v>
      </c>
      <c r="J10522" s="3">
        <v>2001.61</v>
      </c>
      <c r="L10522">
        <v>2132</v>
      </c>
      <c r="M10522" t="s">
        <v>23281</v>
      </c>
      <c r="N10522" t="s">
        <v>509</v>
      </c>
      <c r="O10522" t="s">
        <v>31</v>
      </c>
      <c r="P10522" t="str">
        <f>"19121"</f>
        <v>19121</v>
      </c>
    </row>
    <row r="10523" spans="1:16" x14ac:dyDescent="0.25">
      <c r="A10523" t="str">
        <f>"1160013L00280    00"</f>
        <v>1160013L00280    00</v>
      </c>
      <c r="B10523" t="s">
        <v>23282</v>
      </c>
      <c r="C10523" t="s">
        <v>23283</v>
      </c>
      <c r="D10523" t="s">
        <v>20</v>
      </c>
      <c r="E10523" t="s">
        <v>39</v>
      </c>
      <c r="F10523">
        <v>0</v>
      </c>
      <c r="G10523">
        <v>0</v>
      </c>
      <c r="H10523">
        <v>8</v>
      </c>
      <c r="I10523" s="3">
        <v>3120.44</v>
      </c>
      <c r="J10523" s="3">
        <v>757.35</v>
      </c>
      <c r="L10523">
        <v>2408</v>
      </c>
      <c r="M10523" t="s">
        <v>23273</v>
      </c>
      <c r="N10523" t="s">
        <v>30</v>
      </c>
      <c r="O10523" t="s">
        <v>31</v>
      </c>
      <c r="P10523" t="str">
        <f>"15210"</f>
        <v>15210</v>
      </c>
    </row>
    <row r="10524" spans="1:16" x14ac:dyDescent="0.25">
      <c r="A10524" t="str">
        <f>"1160013L00282    00"</f>
        <v>1160013L00282    00</v>
      </c>
      <c r="B10524" t="s">
        <v>23284</v>
      </c>
      <c r="C10524" t="s">
        <v>23285</v>
      </c>
      <c r="D10524" t="s">
        <v>20</v>
      </c>
      <c r="E10524" t="s">
        <v>39</v>
      </c>
      <c r="F10524">
        <v>0</v>
      </c>
      <c r="G10524">
        <v>0</v>
      </c>
      <c r="H10524">
        <v>7</v>
      </c>
      <c r="I10524" s="3">
        <v>1293.3800000000001</v>
      </c>
      <c r="J10524" s="3">
        <v>349.36</v>
      </c>
      <c r="L10524">
        <v>2410</v>
      </c>
      <c r="M10524" t="s">
        <v>23273</v>
      </c>
      <c r="N10524" t="s">
        <v>30</v>
      </c>
      <c r="O10524" t="s">
        <v>31</v>
      </c>
      <c r="P10524" t="str">
        <f>"15210"</f>
        <v>15210</v>
      </c>
    </row>
    <row r="10525" spans="1:16" x14ac:dyDescent="0.25">
      <c r="A10525" t="str">
        <f>"1160013L00308    00"</f>
        <v>1160013L00308    00</v>
      </c>
      <c r="B10525" t="s">
        <v>23286</v>
      </c>
      <c r="C10525" t="s">
        <v>23287</v>
      </c>
      <c r="D10525" t="s">
        <v>20</v>
      </c>
      <c r="E10525" t="s">
        <v>39</v>
      </c>
      <c r="F10525">
        <v>0</v>
      </c>
      <c r="G10525">
        <v>0</v>
      </c>
      <c r="H10525">
        <v>5</v>
      </c>
      <c r="I10525" s="3">
        <v>239.55</v>
      </c>
      <c r="J10525" s="3">
        <v>41.31</v>
      </c>
      <c r="L10525">
        <v>850</v>
      </c>
      <c r="M10525" t="s">
        <v>7837</v>
      </c>
      <c r="N10525" t="s">
        <v>149</v>
      </c>
      <c r="O10525" t="s">
        <v>31</v>
      </c>
      <c r="P10525" t="str">
        <f>"15106"</f>
        <v>15106</v>
      </c>
    </row>
    <row r="10526" spans="1:16" x14ac:dyDescent="0.25">
      <c r="A10526" t="str">
        <f>"1160013L00333    00"</f>
        <v>1160013L00333    00</v>
      </c>
      <c r="B10526" t="s">
        <v>23288</v>
      </c>
      <c r="C10526" t="s">
        <v>23289</v>
      </c>
      <c r="D10526" t="s">
        <v>20</v>
      </c>
      <c r="E10526" t="s">
        <v>39</v>
      </c>
      <c r="F10526">
        <v>0</v>
      </c>
      <c r="G10526">
        <v>0</v>
      </c>
      <c r="H10526">
        <v>2</v>
      </c>
      <c r="I10526" s="3">
        <v>1330.42</v>
      </c>
      <c r="J10526" s="3">
        <v>0</v>
      </c>
      <c r="L10526">
        <v>2327</v>
      </c>
      <c r="M10526" t="s">
        <v>23142</v>
      </c>
      <c r="N10526" t="s">
        <v>30</v>
      </c>
      <c r="O10526" t="s">
        <v>31</v>
      </c>
      <c r="P10526" t="str">
        <f>"15210"</f>
        <v>15210</v>
      </c>
    </row>
    <row r="10527" spans="1:16" x14ac:dyDescent="0.25">
      <c r="A10527" t="str">
        <f>"1160013M00003    00"</f>
        <v>1160013M00003    00</v>
      </c>
      <c r="B10527" t="s">
        <v>23290</v>
      </c>
      <c r="C10527" t="s">
        <v>23291</v>
      </c>
      <c r="D10527" t="s">
        <v>20</v>
      </c>
      <c r="E10527" t="s">
        <v>39</v>
      </c>
      <c r="F10527">
        <v>0</v>
      </c>
      <c r="G10527">
        <v>0</v>
      </c>
      <c r="H10527">
        <v>5</v>
      </c>
      <c r="I10527" s="3">
        <v>3934.3</v>
      </c>
      <c r="J10527" s="3">
        <v>488.45</v>
      </c>
      <c r="L10527">
        <v>2614</v>
      </c>
      <c r="M10527" t="s">
        <v>22990</v>
      </c>
      <c r="N10527" t="s">
        <v>30</v>
      </c>
      <c r="O10527" t="s">
        <v>31</v>
      </c>
      <c r="P10527" t="str">
        <f>"15203"</f>
        <v>15203</v>
      </c>
    </row>
    <row r="10528" spans="1:16" x14ac:dyDescent="0.25">
      <c r="A10528" t="str">
        <f>"1160013M00005    00"</f>
        <v>1160013M00005    00</v>
      </c>
      <c r="B10528" t="s">
        <v>23292</v>
      </c>
      <c r="C10528" t="s">
        <v>23293</v>
      </c>
      <c r="D10528" t="s">
        <v>20</v>
      </c>
      <c r="E10528" t="s">
        <v>39</v>
      </c>
      <c r="F10528">
        <v>0</v>
      </c>
      <c r="G10528">
        <v>0</v>
      </c>
      <c r="H10528">
        <v>19</v>
      </c>
      <c r="I10528" s="3">
        <v>21179.35</v>
      </c>
      <c r="J10528" s="3">
        <v>17459.07</v>
      </c>
      <c r="K10528" t="s">
        <v>23294</v>
      </c>
      <c r="L10528">
        <v>834</v>
      </c>
      <c r="M10528" t="s">
        <v>475</v>
      </c>
      <c r="N10528" t="s">
        <v>30</v>
      </c>
      <c r="O10528" t="s">
        <v>31</v>
      </c>
      <c r="P10528" t="str">
        <f>"15228"</f>
        <v>15228</v>
      </c>
    </row>
    <row r="10529" spans="1:16" x14ac:dyDescent="0.25">
      <c r="A10529" t="str">
        <f>"1160013M00007    00"</f>
        <v>1160013M00007    00</v>
      </c>
      <c r="B10529" t="s">
        <v>23292</v>
      </c>
      <c r="C10529" t="s">
        <v>23034</v>
      </c>
      <c r="D10529" t="s">
        <v>20</v>
      </c>
      <c r="E10529" t="s">
        <v>21</v>
      </c>
      <c r="F10529">
        <v>0</v>
      </c>
      <c r="G10529">
        <v>0</v>
      </c>
      <c r="H10529">
        <v>19</v>
      </c>
      <c r="I10529" s="3">
        <v>5374.46</v>
      </c>
      <c r="J10529" s="3">
        <v>3924.83</v>
      </c>
      <c r="K10529" t="s">
        <v>23294</v>
      </c>
      <c r="L10529">
        <v>834</v>
      </c>
      <c r="M10529" t="s">
        <v>475</v>
      </c>
      <c r="N10529" t="s">
        <v>30</v>
      </c>
      <c r="O10529" t="s">
        <v>31</v>
      </c>
      <c r="P10529" t="str">
        <f>"15228"</f>
        <v>15228</v>
      </c>
    </row>
    <row r="10530" spans="1:16" x14ac:dyDescent="0.25">
      <c r="A10530" t="str">
        <f>"1160013M00030    00"</f>
        <v>1160013M00030    00</v>
      </c>
      <c r="B10530" t="s">
        <v>23295</v>
      </c>
      <c r="C10530" t="s">
        <v>23296</v>
      </c>
      <c r="E10530" t="s">
        <v>39</v>
      </c>
      <c r="F10530">
        <v>0</v>
      </c>
      <c r="G10530">
        <v>0</v>
      </c>
      <c r="H10530">
        <v>2</v>
      </c>
      <c r="I10530" s="3">
        <v>132.71</v>
      </c>
      <c r="J10530" s="3">
        <v>119.21</v>
      </c>
      <c r="K10530" t="s">
        <v>23297</v>
      </c>
      <c r="L10530">
        <v>2841</v>
      </c>
      <c r="M10530" t="s">
        <v>21280</v>
      </c>
      <c r="N10530" t="s">
        <v>30</v>
      </c>
      <c r="O10530" t="s">
        <v>31</v>
      </c>
      <c r="P10530" t="str">
        <f>"15210"</f>
        <v>15210</v>
      </c>
    </row>
    <row r="10531" spans="1:16" x14ac:dyDescent="0.25">
      <c r="A10531" t="str">
        <f>"1160013M00045    00"</f>
        <v>1160013M00045    00</v>
      </c>
      <c r="B10531" t="s">
        <v>23298</v>
      </c>
      <c r="C10531" t="s">
        <v>23299</v>
      </c>
      <c r="D10531" t="s">
        <v>20</v>
      </c>
      <c r="E10531" t="s">
        <v>39</v>
      </c>
      <c r="F10531">
        <v>0</v>
      </c>
      <c r="G10531">
        <v>0</v>
      </c>
      <c r="H10531">
        <v>2</v>
      </c>
      <c r="I10531" s="3">
        <v>366.51</v>
      </c>
      <c r="J10531" s="3">
        <v>0</v>
      </c>
      <c r="K10531" t="s">
        <v>23300</v>
      </c>
      <c r="L10531">
        <v>2819</v>
      </c>
      <c r="M10531" t="s">
        <v>22990</v>
      </c>
      <c r="N10531" t="s">
        <v>30</v>
      </c>
      <c r="O10531" t="s">
        <v>31</v>
      </c>
      <c r="P10531" t="str">
        <f>"15203"</f>
        <v>15203</v>
      </c>
    </row>
    <row r="10532" spans="1:16" x14ac:dyDescent="0.25">
      <c r="A10532" t="str">
        <f>"1160013M00049    00"</f>
        <v>1160013M00049    00</v>
      </c>
      <c r="B10532" t="s">
        <v>23298</v>
      </c>
      <c r="C10532" t="s">
        <v>23299</v>
      </c>
      <c r="D10532" t="s">
        <v>20</v>
      </c>
      <c r="E10532" t="s">
        <v>39</v>
      </c>
      <c r="F10532">
        <v>0</v>
      </c>
      <c r="G10532">
        <v>0</v>
      </c>
      <c r="H10532">
        <v>2</v>
      </c>
      <c r="I10532" s="3">
        <v>1154.8499999999999</v>
      </c>
      <c r="J10532" s="3">
        <v>0</v>
      </c>
      <c r="K10532" t="s">
        <v>23300</v>
      </c>
      <c r="L10532">
        <v>2819</v>
      </c>
      <c r="M10532" t="s">
        <v>22990</v>
      </c>
      <c r="N10532" t="s">
        <v>30</v>
      </c>
      <c r="O10532" t="s">
        <v>31</v>
      </c>
      <c r="P10532" t="str">
        <f>"15203"</f>
        <v>15203</v>
      </c>
    </row>
    <row r="10533" spans="1:16" x14ac:dyDescent="0.25">
      <c r="A10533" t="str">
        <f>"1160013M00062    00"</f>
        <v>1160013M00062    00</v>
      </c>
      <c r="B10533" t="s">
        <v>23301</v>
      </c>
      <c r="C10533" t="s">
        <v>23302</v>
      </c>
      <c r="E10533" t="s">
        <v>39</v>
      </c>
      <c r="F10533">
        <v>0</v>
      </c>
      <c r="G10533">
        <v>0</v>
      </c>
      <c r="H10533">
        <v>12</v>
      </c>
      <c r="I10533" s="3">
        <v>17477.009999999998</v>
      </c>
      <c r="J10533" s="3">
        <v>22191.38</v>
      </c>
      <c r="M10533" t="s">
        <v>23122</v>
      </c>
      <c r="N10533" t="s">
        <v>30</v>
      </c>
      <c r="O10533" t="s">
        <v>31</v>
      </c>
      <c r="P10533" t="str">
        <f>"15207"</f>
        <v>15207</v>
      </c>
    </row>
    <row r="10534" spans="1:16" x14ac:dyDescent="0.25">
      <c r="A10534" t="str">
        <f>"1160013M00067    00"</f>
        <v>1160013M00067    00</v>
      </c>
      <c r="B10534" t="s">
        <v>23303</v>
      </c>
      <c r="C10534" t="s">
        <v>22929</v>
      </c>
      <c r="D10534" t="s">
        <v>20</v>
      </c>
      <c r="E10534" t="s">
        <v>39</v>
      </c>
      <c r="F10534">
        <v>0</v>
      </c>
      <c r="G10534">
        <v>0</v>
      </c>
      <c r="H10534">
        <v>14</v>
      </c>
      <c r="I10534" s="3">
        <v>5248.26</v>
      </c>
      <c r="J10534" s="3">
        <v>2830.61</v>
      </c>
      <c r="L10534">
        <v>2632</v>
      </c>
      <c r="M10534" t="s">
        <v>21280</v>
      </c>
      <c r="N10534" t="s">
        <v>30</v>
      </c>
      <c r="O10534" t="s">
        <v>31</v>
      </c>
      <c r="P10534" t="str">
        <f>"15210"</f>
        <v>15210</v>
      </c>
    </row>
    <row r="10535" spans="1:16" x14ac:dyDescent="0.25">
      <c r="A10535" t="str">
        <f>"1160013M00080    00"</f>
        <v>1160013M00080    00</v>
      </c>
      <c r="B10535" t="s">
        <v>23304</v>
      </c>
      <c r="C10535" t="s">
        <v>23305</v>
      </c>
      <c r="E10535" t="s">
        <v>39</v>
      </c>
      <c r="F10535">
        <v>0</v>
      </c>
      <c r="G10535">
        <v>0</v>
      </c>
      <c r="H10535">
        <v>5</v>
      </c>
      <c r="I10535" s="3">
        <v>3964.87</v>
      </c>
      <c r="J10535" s="3">
        <v>1070.92</v>
      </c>
      <c r="L10535">
        <v>2806</v>
      </c>
      <c r="M10535" t="s">
        <v>21280</v>
      </c>
      <c r="N10535" t="s">
        <v>30</v>
      </c>
      <c r="O10535" t="s">
        <v>31</v>
      </c>
      <c r="P10535" t="str">
        <f>"15210"</f>
        <v>15210</v>
      </c>
    </row>
    <row r="10536" spans="1:16" x14ac:dyDescent="0.25">
      <c r="A10536" t="str">
        <f>"1160013M00082    00"</f>
        <v>1160013M00082    00</v>
      </c>
      <c r="B10536" t="s">
        <v>23306</v>
      </c>
      <c r="C10536" t="s">
        <v>23307</v>
      </c>
      <c r="D10536" t="s">
        <v>20</v>
      </c>
      <c r="E10536" t="s">
        <v>39</v>
      </c>
      <c r="F10536">
        <v>0</v>
      </c>
      <c r="G10536">
        <v>0</v>
      </c>
      <c r="H10536">
        <v>2</v>
      </c>
      <c r="I10536" s="3">
        <v>803.2</v>
      </c>
      <c r="J10536" s="3">
        <v>18.420000000000002</v>
      </c>
      <c r="L10536">
        <v>2810</v>
      </c>
      <c r="M10536" t="s">
        <v>21280</v>
      </c>
      <c r="N10536" t="s">
        <v>30</v>
      </c>
      <c r="O10536" t="s">
        <v>31</v>
      </c>
      <c r="P10536" t="str">
        <f>"15210"</f>
        <v>15210</v>
      </c>
    </row>
    <row r="10537" spans="1:16" x14ac:dyDescent="0.25">
      <c r="A10537" t="str">
        <f>"1160013M00094    00"</f>
        <v>1160013M00094    00</v>
      </c>
      <c r="B10537" t="s">
        <v>23308</v>
      </c>
      <c r="C10537" t="s">
        <v>22925</v>
      </c>
      <c r="E10537" t="s">
        <v>39</v>
      </c>
      <c r="F10537">
        <v>0</v>
      </c>
      <c r="G10537">
        <v>0</v>
      </c>
      <c r="H10537">
        <v>5</v>
      </c>
      <c r="I10537" s="3">
        <v>3427.12</v>
      </c>
      <c r="J10537" s="3">
        <v>5151.29</v>
      </c>
      <c r="L10537">
        <v>225</v>
      </c>
      <c r="M10537" t="s">
        <v>23309</v>
      </c>
      <c r="N10537" t="s">
        <v>30</v>
      </c>
      <c r="O10537" t="s">
        <v>31</v>
      </c>
      <c r="P10537" t="str">
        <f>"15210"</f>
        <v>15210</v>
      </c>
    </row>
    <row r="10538" spans="1:16" x14ac:dyDescent="0.25">
      <c r="A10538" t="str">
        <f>"1160013M00120    00"</f>
        <v>1160013M00120    00</v>
      </c>
      <c r="B10538" t="s">
        <v>23310</v>
      </c>
      <c r="C10538" t="s">
        <v>23311</v>
      </c>
      <c r="D10538" t="s">
        <v>20</v>
      </c>
      <c r="E10538" t="s">
        <v>39</v>
      </c>
      <c r="F10538">
        <v>0</v>
      </c>
      <c r="G10538">
        <v>0</v>
      </c>
      <c r="H10538">
        <v>15</v>
      </c>
      <c r="I10538" s="3">
        <v>1266.8599999999999</v>
      </c>
      <c r="J10538" s="3">
        <v>1333.89</v>
      </c>
      <c r="L10538">
        <v>2935</v>
      </c>
      <c r="M10538" t="s">
        <v>3525</v>
      </c>
      <c r="N10538" t="s">
        <v>30</v>
      </c>
      <c r="O10538" t="s">
        <v>31</v>
      </c>
      <c r="P10538" t="str">
        <f>"15210"</f>
        <v>15210</v>
      </c>
    </row>
    <row r="10539" spans="1:16" x14ac:dyDescent="0.25">
      <c r="A10539" t="str">
        <f>"1160013M00150    00"</f>
        <v>1160013M00150    00</v>
      </c>
      <c r="B10539" t="s">
        <v>23312</v>
      </c>
      <c r="C10539" t="s">
        <v>23313</v>
      </c>
      <c r="D10539" t="s">
        <v>20</v>
      </c>
      <c r="E10539" t="s">
        <v>39</v>
      </c>
      <c r="F10539">
        <v>0</v>
      </c>
      <c r="G10539">
        <v>0</v>
      </c>
      <c r="H10539">
        <v>7</v>
      </c>
      <c r="I10539" s="3">
        <v>1828.44</v>
      </c>
      <c r="J10539" s="3">
        <v>481.2</v>
      </c>
      <c r="L10539">
        <v>1740</v>
      </c>
      <c r="M10539" t="s">
        <v>23314</v>
      </c>
      <c r="N10539" t="s">
        <v>272</v>
      </c>
      <c r="O10539" t="s">
        <v>31</v>
      </c>
      <c r="P10539" t="str">
        <f>"16125"</f>
        <v>16125</v>
      </c>
    </row>
    <row r="10540" spans="1:16" x14ac:dyDescent="0.25">
      <c r="A10540" t="str">
        <f>"1160013M00177    00"</f>
        <v>1160013M00177    00</v>
      </c>
      <c r="B10540" t="s">
        <v>23120</v>
      </c>
      <c r="C10540" t="s">
        <v>23315</v>
      </c>
      <c r="E10540" t="s">
        <v>39</v>
      </c>
      <c r="F10540">
        <v>0</v>
      </c>
      <c r="G10540">
        <v>0</v>
      </c>
      <c r="H10540">
        <v>6</v>
      </c>
      <c r="I10540" s="3">
        <v>2752.65</v>
      </c>
      <c r="J10540" s="3">
        <v>2506.5500000000002</v>
      </c>
      <c r="M10540" t="s">
        <v>23122</v>
      </c>
      <c r="N10540" t="s">
        <v>30</v>
      </c>
      <c r="O10540" t="s">
        <v>31</v>
      </c>
      <c r="P10540" t="str">
        <f>"15207"</f>
        <v>15207</v>
      </c>
    </row>
    <row r="10541" spans="1:16" x14ac:dyDescent="0.25">
      <c r="A10541" t="str">
        <f>"1160013M00194    00"</f>
        <v>1160013M00194    00</v>
      </c>
      <c r="B10541" t="s">
        <v>23316</v>
      </c>
      <c r="C10541" t="s">
        <v>23317</v>
      </c>
      <c r="D10541" t="s">
        <v>20</v>
      </c>
      <c r="E10541" t="s">
        <v>39</v>
      </c>
      <c r="F10541">
        <v>0</v>
      </c>
      <c r="G10541">
        <v>0</v>
      </c>
      <c r="H10541">
        <v>17</v>
      </c>
      <c r="I10541" s="3">
        <v>9810.67</v>
      </c>
      <c r="J10541" s="3">
        <v>7739.48</v>
      </c>
      <c r="L10541">
        <v>6501</v>
      </c>
      <c r="M10541" t="s">
        <v>23318</v>
      </c>
      <c r="N10541" t="s">
        <v>16695</v>
      </c>
      <c r="O10541" t="s">
        <v>495</v>
      </c>
      <c r="P10541" t="str">
        <f>"92618"</f>
        <v>92618</v>
      </c>
    </row>
    <row r="10542" spans="1:16" x14ac:dyDescent="0.25">
      <c r="A10542" t="str">
        <f>"1160013M00197    00"</f>
        <v>1160013M00197    00</v>
      </c>
      <c r="B10542" t="s">
        <v>23319</v>
      </c>
      <c r="C10542" t="s">
        <v>23320</v>
      </c>
      <c r="D10542" t="s">
        <v>20</v>
      </c>
      <c r="E10542" t="s">
        <v>39</v>
      </c>
      <c r="F10542">
        <v>0</v>
      </c>
      <c r="G10542">
        <v>0</v>
      </c>
      <c r="H10542">
        <v>3</v>
      </c>
      <c r="I10542" s="3">
        <v>292.87</v>
      </c>
      <c r="J10542" s="3">
        <v>51.4</v>
      </c>
      <c r="L10542">
        <v>118</v>
      </c>
      <c r="M10542" t="s">
        <v>23321</v>
      </c>
      <c r="N10542" t="s">
        <v>30</v>
      </c>
      <c r="O10542" t="s">
        <v>31</v>
      </c>
      <c r="P10542" t="str">
        <f>"15210"</f>
        <v>15210</v>
      </c>
    </row>
    <row r="10543" spans="1:16" x14ac:dyDescent="0.25">
      <c r="A10543" t="str">
        <f>"1160013M00200    00"</f>
        <v>1160013M00200    00</v>
      </c>
      <c r="B10543" t="s">
        <v>23322</v>
      </c>
      <c r="C10543" t="s">
        <v>23323</v>
      </c>
      <c r="D10543" t="s">
        <v>20</v>
      </c>
      <c r="E10543" t="s">
        <v>39</v>
      </c>
      <c r="F10543">
        <v>0</v>
      </c>
      <c r="G10543">
        <v>0</v>
      </c>
      <c r="H10543">
        <v>4</v>
      </c>
      <c r="I10543" s="3">
        <v>737.44</v>
      </c>
      <c r="J10543" s="3">
        <v>78.28</v>
      </c>
      <c r="L10543">
        <v>112</v>
      </c>
      <c r="M10543" t="s">
        <v>23321</v>
      </c>
      <c r="N10543" t="s">
        <v>30</v>
      </c>
      <c r="O10543" t="s">
        <v>31</v>
      </c>
      <c r="P10543" t="str">
        <f>"15210"</f>
        <v>15210</v>
      </c>
    </row>
    <row r="10544" spans="1:16" x14ac:dyDescent="0.25">
      <c r="A10544" t="str">
        <f>"1160013M00202    00"</f>
        <v>1160013M00202    00</v>
      </c>
      <c r="B10544" t="s">
        <v>23324</v>
      </c>
      <c r="C10544" t="s">
        <v>23325</v>
      </c>
      <c r="D10544" t="s">
        <v>20</v>
      </c>
      <c r="E10544" t="s">
        <v>39</v>
      </c>
      <c r="F10544">
        <v>0</v>
      </c>
      <c r="G10544">
        <v>0</v>
      </c>
      <c r="H10544">
        <v>4</v>
      </c>
      <c r="I10544" s="3">
        <v>1351.8</v>
      </c>
      <c r="J10544" s="3">
        <v>101.73</v>
      </c>
      <c r="L10544">
        <v>561</v>
      </c>
      <c r="M10544" t="s">
        <v>23326</v>
      </c>
      <c r="N10544" t="s">
        <v>23327</v>
      </c>
      <c r="O10544" t="s">
        <v>31</v>
      </c>
      <c r="P10544" t="str">
        <f>"15043"</f>
        <v>15043</v>
      </c>
    </row>
    <row r="10545" spans="1:16" x14ac:dyDescent="0.25">
      <c r="A10545" t="str">
        <f>"1160013M00217    00"</f>
        <v>1160013M00217    00</v>
      </c>
      <c r="B10545" t="s">
        <v>23328</v>
      </c>
      <c r="C10545" t="s">
        <v>23329</v>
      </c>
      <c r="D10545" t="s">
        <v>20</v>
      </c>
      <c r="E10545" t="s">
        <v>39</v>
      </c>
      <c r="F10545">
        <v>0</v>
      </c>
      <c r="G10545">
        <v>0</v>
      </c>
      <c r="H10545">
        <v>19</v>
      </c>
      <c r="I10545" s="3">
        <v>5439.33</v>
      </c>
      <c r="J10545" s="3">
        <v>6626.29</v>
      </c>
      <c r="L10545">
        <v>111</v>
      </c>
      <c r="M10545" t="s">
        <v>23321</v>
      </c>
      <c r="N10545" t="s">
        <v>30</v>
      </c>
      <c r="O10545" t="s">
        <v>31</v>
      </c>
      <c r="P10545" t="str">
        <f>"15210"</f>
        <v>15210</v>
      </c>
    </row>
    <row r="10546" spans="1:16" x14ac:dyDescent="0.25">
      <c r="A10546" t="str">
        <f>"1160013M00219    00"</f>
        <v>1160013M00219    00</v>
      </c>
      <c r="B10546" t="s">
        <v>23006</v>
      </c>
      <c r="C10546" t="s">
        <v>23330</v>
      </c>
      <c r="E10546" t="s">
        <v>39</v>
      </c>
      <c r="F10546">
        <v>0</v>
      </c>
      <c r="G10546">
        <v>0</v>
      </c>
      <c r="H10546">
        <v>2</v>
      </c>
      <c r="I10546" s="3">
        <v>748.82</v>
      </c>
      <c r="J10546" s="3">
        <v>177.61</v>
      </c>
      <c r="M10546" t="s">
        <v>23008</v>
      </c>
      <c r="N10546" t="s">
        <v>30</v>
      </c>
      <c r="O10546" t="s">
        <v>31</v>
      </c>
      <c r="P10546" t="str">
        <f>"15203"</f>
        <v>15203</v>
      </c>
    </row>
    <row r="10547" spans="1:16" x14ac:dyDescent="0.25">
      <c r="A10547" t="str">
        <f>"1160013M00221    00"</f>
        <v>1160013M00221    00</v>
      </c>
      <c r="B10547" t="s">
        <v>23051</v>
      </c>
      <c r="C10547" t="s">
        <v>23331</v>
      </c>
      <c r="D10547" t="s">
        <v>20</v>
      </c>
      <c r="E10547" t="s">
        <v>39</v>
      </c>
      <c r="F10547">
        <v>0</v>
      </c>
      <c r="G10547">
        <v>0</v>
      </c>
      <c r="H10547">
        <v>1</v>
      </c>
      <c r="I10547" s="3">
        <v>299.25</v>
      </c>
      <c r="J10547" s="3">
        <v>0</v>
      </c>
      <c r="L10547">
        <v>2618</v>
      </c>
      <c r="M10547" t="s">
        <v>22876</v>
      </c>
      <c r="N10547" t="s">
        <v>30</v>
      </c>
      <c r="O10547" t="s">
        <v>31</v>
      </c>
      <c r="P10547" t="str">
        <f>"15203"</f>
        <v>15203</v>
      </c>
    </row>
    <row r="10548" spans="1:16" x14ac:dyDescent="0.25">
      <c r="A10548" t="str">
        <f>"1160013M00222    00"</f>
        <v>1160013M00222    00</v>
      </c>
      <c r="B10548" t="s">
        <v>23332</v>
      </c>
      <c r="C10548" t="s">
        <v>23333</v>
      </c>
      <c r="D10548" t="s">
        <v>20</v>
      </c>
      <c r="E10548" t="s">
        <v>39</v>
      </c>
      <c r="F10548">
        <v>0</v>
      </c>
      <c r="G10548">
        <v>0</v>
      </c>
      <c r="H10548">
        <v>3</v>
      </c>
      <c r="I10548" s="3">
        <v>2057.2399999999998</v>
      </c>
      <c r="J10548" s="3">
        <v>148.97999999999999</v>
      </c>
      <c r="K10548" t="s">
        <v>23334</v>
      </c>
      <c r="L10548">
        <v>2800</v>
      </c>
      <c r="M10548" t="s">
        <v>3525</v>
      </c>
      <c r="N10548" t="s">
        <v>30</v>
      </c>
      <c r="O10548" t="s">
        <v>31</v>
      </c>
      <c r="P10548" t="str">
        <f>"15210"</f>
        <v>15210</v>
      </c>
    </row>
    <row r="10549" spans="1:16" x14ac:dyDescent="0.25">
      <c r="A10549" t="str">
        <f>"1160013M00226    00"</f>
        <v>1160013M00226    00</v>
      </c>
      <c r="B10549" t="s">
        <v>23335</v>
      </c>
      <c r="C10549" t="s">
        <v>23201</v>
      </c>
      <c r="D10549" t="s">
        <v>20</v>
      </c>
      <c r="E10549" t="s">
        <v>39</v>
      </c>
      <c r="F10549">
        <v>0</v>
      </c>
      <c r="G10549">
        <v>0</v>
      </c>
      <c r="H10549">
        <v>19</v>
      </c>
      <c r="I10549" s="3">
        <v>4181.47</v>
      </c>
      <c r="J10549" s="3">
        <v>4525.49</v>
      </c>
      <c r="L10549">
        <v>346</v>
      </c>
      <c r="M10549" t="s">
        <v>5927</v>
      </c>
      <c r="N10549" t="s">
        <v>23336</v>
      </c>
      <c r="O10549" t="s">
        <v>23337</v>
      </c>
      <c r="P10549" t="str">
        <f>"03104"</f>
        <v>03104</v>
      </c>
    </row>
    <row r="10550" spans="1:16" x14ac:dyDescent="0.25">
      <c r="A10550" t="str">
        <f>"1160013M00255    00"</f>
        <v>1160013M00255    00</v>
      </c>
      <c r="B10550" t="s">
        <v>23338</v>
      </c>
      <c r="C10550" t="s">
        <v>23339</v>
      </c>
      <c r="D10550" t="s">
        <v>20</v>
      </c>
      <c r="E10550" t="s">
        <v>39</v>
      </c>
      <c r="F10550">
        <v>0</v>
      </c>
      <c r="G10550">
        <v>0</v>
      </c>
      <c r="H10550">
        <v>17</v>
      </c>
      <c r="I10550" s="3">
        <v>6658.06</v>
      </c>
      <c r="J10550" s="3">
        <v>5850.89</v>
      </c>
      <c r="L10550">
        <v>2822</v>
      </c>
      <c r="M10550" t="s">
        <v>3525</v>
      </c>
      <c r="N10550" t="s">
        <v>30</v>
      </c>
      <c r="O10550" t="s">
        <v>31</v>
      </c>
      <c r="P10550" t="str">
        <f>"15210"</f>
        <v>15210</v>
      </c>
    </row>
    <row r="10551" spans="1:16" x14ac:dyDescent="0.25">
      <c r="A10551" t="str">
        <f>"1160013M00290    00"</f>
        <v>1160013M00290    00</v>
      </c>
      <c r="B10551" t="s">
        <v>23340</v>
      </c>
      <c r="C10551" t="s">
        <v>23201</v>
      </c>
      <c r="D10551" t="s">
        <v>20</v>
      </c>
      <c r="E10551" t="s">
        <v>39</v>
      </c>
      <c r="F10551">
        <v>0</v>
      </c>
      <c r="G10551">
        <v>0</v>
      </c>
      <c r="H10551">
        <v>17</v>
      </c>
      <c r="I10551" s="3">
        <v>3229.75</v>
      </c>
      <c r="J10551" s="3">
        <v>4169.68</v>
      </c>
      <c r="L10551">
        <v>1627</v>
      </c>
      <c r="M10551" t="s">
        <v>23341</v>
      </c>
      <c r="N10551" t="s">
        <v>30</v>
      </c>
      <c r="O10551" t="s">
        <v>31</v>
      </c>
      <c r="P10551" t="str">
        <f>"15243"</f>
        <v>15243</v>
      </c>
    </row>
    <row r="10552" spans="1:16" x14ac:dyDescent="0.25">
      <c r="A10552" t="str">
        <f>"1160013M00291    00"</f>
        <v>1160013M00291    00</v>
      </c>
      <c r="B10552" t="s">
        <v>23342</v>
      </c>
      <c r="C10552" t="s">
        <v>23343</v>
      </c>
      <c r="D10552" t="s">
        <v>20</v>
      </c>
      <c r="E10552" t="s">
        <v>39</v>
      </c>
      <c r="F10552">
        <v>0</v>
      </c>
      <c r="G10552">
        <v>0</v>
      </c>
      <c r="H10552">
        <v>4</v>
      </c>
      <c r="I10552" s="3">
        <v>425.21</v>
      </c>
      <c r="J10552" s="3">
        <v>28.04</v>
      </c>
      <c r="L10552">
        <v>2914</v>
      </c>
      <c r="M10552" t="s">
        <v>3525</v>
      </c>
      <c r="N10552" t="s">
        <v>30</v>
      </c>
      <c r="O10552" t="s">
        <v>31</v>
      </c>
      <c r="P10552" t="str">
        <f>"15210"</f>
        <v>15210</v>
      </c>
    </row>
    <row r="10553" spans="1:16" x14ac:dyDescent="0.25">
      <c r="A10553" t="str">
        <f>"1160013M00301    00"</f>
        <v>1160013M00301    00</v>
      </c>
      <c r="B10553" t="s">
        <v>23344</v>
      </c>
      <c r="C10553" t="s">
        <v>23345</v>
      </c>
      <c r="D10553" t="s">
        <v>20</v>
      </c>
      <c r="E10553" t="s">
        <v>39</v>
      </c>
      <c r="F10553">
        <v>0</v>
      </c>
      <c r="G10553">
        <v>0</v>
      </c>
      <c r="H10553">
        <v>16</v>
      </c>
      <c r="I10553" s="3">
        <v>8722.8799999999992</v>
      </c>
      <c r="J10553" s="3">
        <v>5325.37</v>
      </c>
      <c r="K10553" t="s">
        <v>23346</v>
      </c>
      <c r="L10553">
        <v>2850</v>
      </c>
      <c r="M10553" t="s">
        <v>23347</v>
      </c>
      <c r="N10553" t="s">
        <v>30</v>
      </c>
      <c r="O10553" t="s">
        <v>31</v>
      </c>
      <c r="P10553" t="str">
        <f>"15203"</f>
        <v>15203</v>
      </c>
    </row>
    <row r="10554" spans="1:16" x14ac:dyDescent="0.25">
      <c r="A10554" t="str">
        <f>"1160013N00014    00"</f>
        <v>1160013N00014    00</v>
      </c>
      <c r="B10554" t="s">
        <v>23348</v>
      </c>
      <c r="C10554" t="s">
        <v>23349</v>
      </c>
      <c r="D10554" t="s">
        <v>20</v>
      </c>
      <c r="E10554" t="s">
        <v>39</v>
      </c>
      <c r="F10554">
        <v>0</v>
      </c>
      <c r="G10554">
        <v>0</v>
      </c>
      <c r="H10554">
        <v>1</v>
      </c>
      <c r="I10554" s="3">
        <v>745.73</v>
      </c>
      <c r="J10554" s="3">
        <v>0</v>
      </c>
      <c r="L10554">
        <v>3937</v>
      </c>
      <c r="M10554" t="s">
        <v>8048</v>
      </c>
      <c r="N10554" t="s">
        <v>30</v>
      </c>
      <c r="O10554" t="s">
        <v>31</v>
      </c>
      <c r="P10554" t="str">
        <f>"15227"</f>
        <v>15227</v>
      </c>
    </row>
    <row r="10555" spans="1:16" x14ac:dyDescent="0.25">
      <c r="A10555" t="str">
        <f>"1160013N00067    00"</f>
        <v>1160013N00067    00</v>
      </c>
      <c r="B10555" t="s">
        <v>23350</v>
      </c>
      <c r="C10555" t="s">
        <v>23351</v>
      </c>
      <c r="D10555" t="s">
        <v>20</v>
      </c>
      <c r="E10555" t="s">
        <v>39</v>
      </c>
      <c r="F10555">
        <v>0</v>
      </c>
      <c r="G10555">
        <v>0</v>
      </c>
      <c r="H10555">
        <v>5</v>
      </c>
      <c r="I10555" s="3">
        <v>4126.07</v>
      </c>
      <c r="J10555" s="3">
        <v>712.83</v>
      </c>
      <c r="L10555">
        <v>118</v>
      </c>
      <c r="M10555" t="s">
        <v>23352</v>
      </c>
      <c r="N10555" t="s">
        <v>30</v>
      </c>
      <c r="O10555" t="s">
        <v>31</v>
      </c>
      <c r="P10555" t="str">
        <f>"15210"</f>
        <v>15210</v>
      </c>
    </row>
    <row r="10556" spans="1:16" x14ac:dyDescent="0.25">
      <c r="A10556" t="str">
        <f>"1160013N00073    00"</f>
        <v>1160013N00073    00</v>
      </c>
      <c r="B10556" t="s">
        <v>23353</v>
      </c>
      <c r="C10556" t="s">
        <v>23354</v>
      </c>
      <c r="D10556" t="s">
        <v>20</v>
      </c>
      <c r="E10556" t="s">
        <v>39</v>
      </c>
      <c r="F10556">
        <v>0</v>
      </c>
      <c r="G10556">
        <v>0</v>
      </c>
      <c r="H10556">
        <v>4</v>
      </c>
      <c r="I10556" s="3">
        <v>1984.12</v>
      </c>
      <c r="J10556" s="3">
        <v>40.880000000000003</v>
      </c>
      <c r="L10556">
        <v>190</v>
      </c>
      <c r="M10556" t="s">
        <v>23355</v>
      </c>
      <c r="N10556" t="s">
        <v>6351</v>
      </c>
      <c r="O10556" t="s">
        <v>31</v>
      </c>
      <c r="P10556" t="str">
        <f>"16059"</f>
        <v>16059</v>
      </c>
    </row>
    <row r="10557" spans="1:16" x14ac:dyDescent="0.25">
      <c r="A10557" t="str">
        <f>"1160013N00085    00"</f>
        <v>1160013N00085    00</v>
      </c>
      <c r="B10557" t="s">
        <v>23356</v>
      </c>
      <c r="C10557" t="s">
        <v>23357</v>
      </c>
      <c r="D10557" t="s">
        <v>20</v>
      </c>
      <c r="E10557" t="s">
        <v>39</v>
      </c>
      <c r="F10557">
        <v>0</v>
      </c>
      <c r="G10557">
        <v>0</v>
      </c>
      <c r="H10557">
        <v>19</v>
      </c>
      <c r="I10557" s="3">
        <v>4809.1499999999996</v>
      </c>
      <c r="J10557" s="3">
        <v>4875.82</v>
      </c>
      <c r="L10557">
        <v>562</v>
      </c>
      <c r="M10557" t="s">
        <v>23358</v>
      </c>
      <c r="N10557" t="s">
        <v>30</v>
      </c>
      <c r="O10557" t="s">
        <v>31</v>
      </c>
      <c r="P10557" t="str">
        <f>"15243"</f>
        <v>15243</v>
      </c>
    </row>
    <row r="10558" spans="1:16" x14ac:dyDescent="0.25">
      <c r="A10558" t="str">
        <f>"1160013N00113    00"</f>
        <v>1160013N00113    00</v>
      </c>
      <c r="B10558" t="s">
        <v>23359</v>
      </c>
      <c r="C10558" t="s">
        <v>23360</v>
      </c>
      <c r="D10558" t="s">
        <v>20</v>
      </c>
      <c r="E10558" t="s">
        <v>39</v>
      </c>
      <c r="F10558">
        <v>0</v>
      </c>
      <c r="G10558">
        <v>0</v>
      </c>
      <c r="H10558">
        <v>3</v>
      </c>
      <c r="I10558" s="3">
        <v>800.58</v>
      </c>
      <c r="J10558" s="3">
        <v>53.37</v>
      </c>
      <c r="L10558">
        <v>480</v>
      </c>
      <c r="M10558" t="s">
        <v>23352</v>
      </c>
      <c r="N10558" t="s">
        <v>30</v>
      </c>
      <c r="O10558" t="s">
        <v>31</v>
      </c>
      <c r="P10558" t="str">
        <f>"15210"</f>
        <v>15210</v>
      </c>
    </row>
    <row r="10559" spans="1:16" x14ac:dyDescent="0.25">
      <c r="A10559" t="str">
        <f>"1160013N00114    00"</f>
        <v>1160013N00114    00</v>
      </c>
      <c r="B10559" t="s">
        <v>23361</v>
      </c>
      <c r="C10559" t="s">
        <v>23362</v>
      </c>
      <c r="D10559" t="s">
        <v>20</v>
      </c>
      <c r="E10559" t="s">
        <v>39</v>
      </c>
      <c r="F10559">
        <v>0</v>
      </c>
      <c r="G10559">
        <v>0</v>
      </c>
      <c r="H10559">
        <v>4</v>
      </c>
      <c r="I10559" s="3">
        <v>317.2</v>
      </c>
      <c r="J10559" s="3">
        <v>37.67</v>
      </c>
      <c r="L10559">
        <v>222</v>
      </c>
      <c r="M10559" t="s">
        <v>23363</v>
      </c>
      <c r="N10559" t="s">
        <v>30</v>
      </c>
      <c r="O10559" t="s">
        <v>31</v>
      </c>
      <c r="P10559" t="str">
        <f>"15210"</f>
        <v>15210</v>
      </c>
    </row>
    <row r="10560" spans="1:16" x14ac:dyDescent="0.25">
      <c r="A10560" t="str">
        <f>"1160013N00116    00"</f>
        <v>1160013N00116    00</v>
      </c>
      <c r="B10560" t="s">
        <v>23364</v>
      </c>
      <c r="C10560" t="s">
        <v>23365</v>
      </c>
      <c r="D10560" t="s">
        <v>20</v>
      </c>
      <c r="E10560" t="s">
        <v>39</v>
      </c>
      <c r="F10560">
        <v>0</v>
      </c>
      <c r="G10560">
        <v>0</v>
      </c>
      <c r="H10560">
        <v>1</v>
      </c>
      <c r="I10560" s="3">
        <v>773.86</v>
      </c>
      <c r="J10560" s="3">
        <v>0</v>
      </c>
      <c r="L10560">
        <v>462</v>
      </c>
      <c r="M10560" t="s">
        <v>23352</v>
      </c>
      <c r="N10560" t="s">
        <v>30</v>
      </c>
      <c r="O10560" t="s">
        <v>31</v>
      </c>
      <c r="P10560" t="str">
        <f>"15210"</f>
        <v>15210</v>
      </c>
    </row>
    <row r="10561" spans="1:16" x14ac:dyDescent="0.25">
      <c r="A10561" t="str">
        <f>"1160013N00130    00"</f>
        <v>1160013N00130    00</v>
      </c>
      <c r="B10561" t="s">
        <v>23366</v>
      </c>
      <c r="C10561" t="s">
        <v>23357</v>
      </c>
      <c r="D10561" t="s">
        <v>20</v>
      </c>
      <c r="E10561" t="s">
        <v>39</v>
      </c>
      <c r="F10561">
        <v>0</v>
      </c>
      <c r="G10561">
        <v>0</v>
      </c>
      <c r="H10561">
        <v>19</v>
      </c>
      <c r="I10561" s="3">
        <v>493.54</v>
      </c>
      <c r="J10561" s="3">
        <v>530.78</v>
      </c>
      <c r="P10561" t="str">
        <f>""</f>
        <v/>
      </c>
    </row>
    <row r="10562" spans="1:16" x14ac:dyDescent="0.25">
      <c r="A10562" t="str">
        <f>"1160013N00136    00"</f>
        <v>1160013N00136    00</v>
      </c>
      <c r="B10562" t="s">
        <v>23367</v>
      </c>
      <c r="C10562" t="s">
        <v>23357</v>
      </c>
      <c r="D10562" t="s">
        <v>20</v>
      </c>
      <c r="E10562" t="s">
        <v>39</v>
      </c>
      <c r="F10562">
        <v>0</v>
      </c>
      <c r="G10562">
        <v>0</v>
      </c>
      <c r="H10562">
        <v>6</v>
      </c>
      <c r="I10562" s="3">
        <v>955.03</v>
      </c>
      <c r="J10562" s="3">
        <v>214.2</v>
      </c>
      <c r="L10562">
        <v>444</v>
      </c>
      <c r="M10562" t="s">
        <v>23352</v>
      </c>
      <c r="N10562" t="s">
        <v>30</v>
      </c>
      <c r="O10562" t="s">
        <v>31</v>
      </c>
      <c r="P10562" t="str">
        <f>"15210"</f>
        <v>15210</v>
      </c>
    </row>
    <row r="10563" spans="1:16" x14ac:dyDescent="0.25">
      <c r="A10563" t="str">
        <f>"1160013N00140    00"</f>
        <v>1160013N00140    00</v>
      </c>
      <c r="B10563" t="s">
        <v>23368</v>
      </c>
      <c r="C10563" t="s">
        <v>23369</v>
      </c>
      <c r="D10563" t="s">
        <v>20</v>
      </c>
      <c r="E10563" t="s">
        <v>39</v>
      </c>
      <c r="F10563">
        <v>0</v>
      </c>
      <c r="G10563">
        <v>0</v>
      </c>
      <c r="H10563">
        <v>6</v>
      </c>
      <c r="I10563" s="3">
        <v>1426.89</v>
      </c>
      <c r="J10563" s="3">
        <v>320.01</v>
      </c>
      <c r="L10563">
        <v>444</v>
      </c>
      <c r="M10563" t="s">
        <v>23352</v>
      </c>
      <c r="N10563" t="s">
        <v>30</v>
      </c>
      <c r="O10563" t="s">
        <v>31</v>
      </c>
      <c r="P10563" t="str">
        <f>"15210"</f>
        <v>15210</v>
      </c>
    </row>
    <row r="10564" spans="1:16" x14ac:dyDescent="0.25">
      <c r="A10564" t="str">
        <f>"1160013N00142    00"</f>
        <v>1160013N00142    00</v>
      </c>
      <c r="B10564" t="s">
        <v>23370</v>
      </c>
      <c r="C10564" t="s">
        <v>23369</v>
      </c>
      <c r="D10564" t="s">
        <v>20</v>
      </c>
      <c r="E10564" t="s">
        <v>39</v>
      </c>
      <c r="F10564">
        <v>0</v>
      </c>
      <c r="G10564">
        <v>0</v>
      </c>
      <c r="H10564">
        <v>6</v>
      </c>
      <c r="I10564" s="3">
        <v>1200.26</v>
      </c>
      <c r="J10564" s="3">
        <v>289.95999999999998</v>
      </c>
      <c r="L10564">
        <v>444</v>
      </c>
      <c r="M10564" t="s">
        <v>23352</v>
      </c>
      <c r="N10564" t="s">
        <v>30</v>
      </c>
      <c r="O10564" t="s">
        <v>31</v>
      </c>
      <c r="P10564" t="str">
        <f>"15210"</f>
        <v>15210</v>
      </c>
    </row>
    <row r="10565" spans="1:16" x14ac:dyDescent="0.25">
      <c r="A10565" t="str">
        <f>"1160013N00156    00"</f>
        <v>1160013N00156    00</v>
      </c>
      <c r="B10565" t="s">
        <v>23371</v>
      </c>
      <c r="C10565" t="s">
        <v>23357</v>
      </c>
      <c r="D10565" t="s">
        <v>20</v>
      </c>
      <c r="E10565" t="s">
        <v>39</v>
      </c>
      <c r="F10565">
        <v>0</v>
      </c>
      <c r="G10565">
        <v>0</v>
      </c>
      <c r="H10565">
        <v>12</v>
      </c>
      <c r="I10565" s="3">
        <v>2406.7600000000002</v>
      </c>
      <c r="J10565" s="3">
        <v>1320.29</v>
      </c>
      <c r="L10565">
        <v>464</v>
      </c>
      <c r="M10565" t="s">
        <v>23372</v>
      </c>
      <c r="N10565" t="s">
        <v>4318</v>
      </c>
      <c r="O10565" t="s">
        <v>31</v>
      </c>
      <c r="P10565" t="str">
        <f>"16046"</f>
        <v>16046</v>
      </c>
    </row>
    <row r="10566" spans="1:16" x14ac:dyDescent="0.25">
      <c r="A10566" t="str">
        <f>"1160013N00204    00"</f>
        <v>1160013N00204    00</v>
      </c>
      <c r="B10566" t="s">
        <v>23373</v>
      </c>
      <c r="C10566" t="s">
        <v>23374</v>
      </c>
      <c r="D10566" t="s">
        <v>20</v>
      </c>
      <c r="E10566" t="s">
        <v>39</v>
      </c>
      <c r="F10566">
        <v>0</v>
      </c>
      <c r="G10566">
        <v>0</v>
      </c>
      <c r="H10566">
        <v>3</v>
      </c>
      <c r="I10566" s="3">
        <v>439.22</v>
      </c>
      <c r="J10566" s="3">
        <v>9.31</v>
      </c>
      <c r="K10566" t="s">
        <v>23375</v>
      </c>
      <c r="L10566">
        <v>415</v>
      </c>
      <c r="M10566" t="s">
        <v>23376</v>
      </c>
      <c r="N10566" t="s">
        <v>30</v>
      </c>
      <c r="O10566" t="s">
        <v>31</v>
      </c>
      <c r="P10566" t="str">
        <f>"15210"</f>
        <v>15210</v>
      </c>
    </row>
    <row r="10567" spans="1:16" x14ac:dyDescent="0.25">
      <c r="A10567" t="str">
        <f>"1160013N00207    00"</f>
        <v>1160013N00207    00</v>
      </c>
      <c r="B10567" t="s">
        <v>23373</v>
      </c>
      <c r="C10567" t="s">
        <v>23377</v>
      </c>
      <c r="D10567" t="s">
        <v>20</v>
      </c>
      <c r="E10567" t="s">
        <v>39</v>
      </c>
      <c r="F10567">
        <v>0</v>
      </c>
      <c r="G10567">
        <v>0</v>
      </c>
      <c r="H10567">
        <v>2</v>
      </c>
      <c r="I10567" s="3">
        <v>357.7</v>
      </c>
      <c r="J10567" s="3">
        <v>0</v>
      </c>
      <c r="K10567" t="s">
        <v>23375</v>
      </c>
      <c r="L10567">
        <v>415</v>
      </c>
      <c r="M10567" t="s">
        <v>23376</v>
      </c>
      <c r="N10567" t="s">
        <v>30</v>
      </c>
      <c r="O10567" t="s">
        <v>31</v>
      </c>
      <c r="P10567" t="str">
        <f>"15210"</f>
        <v>15210</v>
      </c>
    </row>
    <row r="10568" spans="1:16" x14ac:dyDescent="0.25">
      <c r="A10568" t="str">
        <f>"1160013N00215    00"</f>
        <v>1160013N00215    00</v>
      </c>
      <c r="B10568" t="s">
        <v>23378</v>
      </c>
      <c r="C10568" t="s">
        <v>23374</v>
      </c>
      <c r="D10568" t="s">
        <v>20</v>
      </c>
      <c r="E10568" t="s">
        <v>39</v>
      </c>
      <c r="F10568">
        <v>0</v>
      </c>
      <c r="G10568">
        <v>0</v>
      </c>
      <c r="H10568">
        <v>19</v>
      </c>
      <c r="I10568" s="3">
        <v>5620.95</v>
      </c>
      <c r="J10568" s="3">
        <v>6001.58</v>
      </c>
      <c r="L10568">
        <v>36</v>
      </c>
      <c r="M10568" t="s">
        <v>23379</v>
      </c>
      <c r="N10568" t="s">
        <v>30</v>
      </c>
      <c r="O10568" t="s">
        <v>31</v>
      </c>
      <c r="P10568" t="str">
        <f>"15227"</f>
        <v>15227</v>
      </c>
    </row>
    <row r="10569" spans="1:16" x14ac:dyDescent="0.25">
      <c r="A10569" t="str">
        <f>"1160013N00219    00"</f>
        <v>1160013N00219    00</v>
      </c>
      <c r="B10569" t="s">
        <v>23380</v>
      </c>
      <c r="C10569" t="s">
        <v>23381</v>
      </c>
      <c r="D10569" t="s">
        <v>20</v>
      </c>
      <c r="E10569" t="s">
        <v>39</v>
      </c>
      <c r="F10569">
        <v>0</v>
      </c>
      <c r="G10569">
        <v>0</v>
      </c>
      <c r="H10569">
        <v>14</v>
      </c>
      <c r="I10569" s="3">
        <v>4657.46</v>
      </c>
      <c r="J10569" s="3">
        <v>3619.8</v>
      </c>
      <c r="L10569">
        <v>122</v>
      </c>
      <c r="M10569" t="s">
        <v>23382</v>
      </c>
      <c r="N10569" t="s">
        <v>23383</v>
      </c>
      <c r="O10569" t="s">
        <v>200</v>
      </c>
      <c r="P10569" t="str">
        <f>"11951"</f>
        <v>11951</v>
      </c>
    </row>
    <row r="10570" spans="1:16" x14ac:dyDescent="0.25">
      <c r="A10570" t="str">
        <f>"1160013N00224    00"</f>
        <v>1160013N00224    00</v>
      </c>
      <c r="B10570" t="s">
        <v>23384</v>
      </c>
      <c r="C10570" t="s">
        <v>23385</v>
      </c>
      <c r="D10570" t="s">
        <v>20</v>
      </c>
      <c r="E10570" t="s">
        <v>39</v>
      </c>
      <c r="F10570">
        <v>0</v>
      </c>
      <c r="G10570">
        <v>0</v>
      </c>
      <c r="H10570">
        <v>8</v>
      </c>
      <c r="I10570" s="3">
        <v>736.4</v>
      </c>
      <c r="J10570" s="3">
        <v>400.56</v>
      </c>
      <c r="L10570">
        <v>445</v>
      </c>
      <c r="M10570" t="s">
        <v>23376</v>
      </c>
      <c r="N10570" t="s">
        <v>30</v>
      </c>
      <c r="O10570" t="s">
        <v>31</v>
      </c>
      <c r="P10570" t="str">
        <f>"15210"</f>
        <v>15210</v>
      </c>
    </row>
    <row r="10571" spans="1:16" x14ac:dyDescent="0.25">
      <c r="A10571" t="str">
        <f>"1160013N00229    00"</f>
        <v>1160013N00229    00</v>
      </c>
      <c r="B10571" t="s">
        <v>23386</v>
      </c>
      <c r="C10571" t="s">
        <v>23374</v>
      </c>
      <c r="D10571" t="s">
        <v>20</v>
      </c>
      <c r="E10571" t="s">
        <v>39</v>
      </c>
      <c r="F10571">
        <v>0</v>
      </c>
      <c r="G10571">
        <v>0</v>
      </c>
      <c r="H10571">
        <v>19</v>
      </c>
      <c r="I10571" s="3">
        <v>373.39</v>
      </c>
      <c r="J10571" s="3">
        <v>378.24</v>
      </c>
      <c r="L10571">
        <v>202</v>
      </c>
      <c r="M10571" t="s">
        <v>23387</v>
      </c>
      <c r="N10571" t="s">
        <v>30</v>
      </c>
      <c r="O10571" t="s">
        <v>31</v>
      </c>
      <c r="P10571" t="str">
        <f>"15215"</f>
        <v>15215</v>
      </c>
    </row>
    <row r="10572" spans="1:16" x14ac:dyDescent="0.25">
      <c r="A10572" t="str">
        <f>"1160013N00238    00"</f>
        <v>1160013N00238    00</v>
      </c>
      <c r="B10572" t="s">
        <v>23388</v>
      </c>
      <c r="C10572" t="s">
        <v>23374</v>
      </c>
      <c r="D10572" t="s">
        <v>20</v>
      </c>
      <c r="E10572" t="s">
        <v>39</v>
      </c>
      <c r="F10572">
        <v>0</v>
      </c>
      <c r="G10572">
        <v>0</v>
      </c>
      <c r="H10572">
        <v>19</v>
      </c>
      <c r="I10572" s="3">
        <v>397.61</v>
      </c>
      <c r="J10572" s="3">
        <v>412.61</v>
      </c>
      <c r="L10572">
        <v>505</v>
      </c>
      <c r="M10572" t="s">
        <v>23376</v>
      </c>
      <c r="N10572" t="s">
        <v>30</v>
      </c>
      <c r="O10572" t="s">
        <v>31</v>
      </c>
      <c r="P10572" t="str">
        <f>"15210"</f>
        <v>15210</v>
      </c>
    </row>
    <row r="10573" spans="1:16" x14ac:dyDescent="0.25">
      <c r="A10573" t="str">
        <f>"1160013N00247    00"</f>
        <v>1160013N00247    00</v>
      </c>
      <c r="B10573" t="s">
        <v>23389</v>
      </c>
      <c r="C10573" t="s">
        <v>23374</v>
      </c>
      <c r="D10573" t="s">
        <v>20</v>
      </c>
      <c r="E10573" t="s">
        <v>39</v>
      </c>
      <c r="F10573">
        <v>0</v>
      </c>
      <c r="G10573">
        <v>0</v>
      </c>
      <c r="H10573">
        <v>19</v>
      </c>
      <c r="I10573" s="3">
        <v>3888.09</v>
      </c>
      <c r="J10573" s="3">
        <v>3742.95</v>
      </c>
      <c r="L10573">
        <v>4848</v>
      </c>
      <c r="M10573" t="s">
        <v>23390</v>
      </c>
      <c r="N10573" t="s">
        <v>11414</v>
      </c>
      <c r="O10573" t="s">
        <v>495</v>
      </c>
      <c r="P10573" t="str">
        <f>"95135"</f>
        <v>95135</v>
      </c>
    </row>
    <row r="10574" spans="1:16" x14ac:dyDescent="0.25">
      <c r="A10574" t="str">
        <f>"1160013N00249    00"</f>
        <v>1160013N00249    00</v>
      </c>
      <c r="B10574" t="s">
        <v>23391</v>
      </c>
      <c r="C10574" t="s">
        <v>23392</v>
      </c>
      <c r="D10574" t="s">
        <v>20</v>
      </c>
      <c r="E10574" t="s">
        <v>39</v>
      </c>
      <c r="F10574">
        <v>0</v>
      </c>
      <c r="G10574">
        <v>0</v>
      </c>
      <c r="H10574">
        <v>19</v>
      </c>
      <c r="I10574" s="3">
        <v>4772.1000000000004</v>
      </c>
      <c r="J10574" s="3">
        <v>4953.51</v>
      </c>
      <c r="L10574">
        <v>442</v>
      </c>
      <c r="M10574" t="s">
        <v>23376</v>
      </c>
      <c r="N10574" t="s">
        <v>30</v>
      </c>
      <c r="O10574" t="s">
        <v>31</v>
      </c>
      <c r="P10574" t="str">
        <f>"15210"</f>
        <v>15210</v>
      </c>
    </row>
    <row r="10575" spans="1:16" x14ac:dyDescent="0.25">
      <c r="A10575" t="str">
        <f>"1160013N00250    00"</f>
        <v>1160013N00250    00</v>
      </c>
      <c r="B10575" t="s">
        <v>23393</v>
      </c>
      <c r="C10575" t="s">
        <v>23392</v>
      </c>
      <c r="D10575" t="s">
        <v>20</v>
      </c>
      <c r="E10575" t="s">
        <v>39</v>
      </c>
      <c r="F10575">
        <v>0</v>
      </c>
      <c r="G10575">
        <v>0</v>
      </c>
      <c r="H10575">
        <v>11</v>
      </c>
      <c r="I10575" s="3">
        <v>8233.68</v>
      </c>
      <c r="J10575" s="3">
        <v>11517.54</v>
      </c>
      <c r="L10575">
        <v>442</v>
      </c>
      <c r="M10575" t="s">
        <v>23376</v>
      </c>
      <c r="N10575" t="s">
        <v>30</v>
      </c>
      <c r="O10575" t="s">
        <v>31</v>
      </c>
      <c r="P10575" t="str">
        <f>"15210"</f>
        <v>15210</v>
      </c>
    </row>
    <row r="10576" spans="1:16" x14ac:dyDescent="0.25">
      <c r="A10576" t="str">
        <f>"1160013N00266    00"</f>
        <v>1160013N00266    00</v>
      </c>
      <c r="B10576" t="s">
        <v>23394</v>
      </c>
      <c r="C10576" t="s">
        <v>23395</v>
      </c>
      <c r="D10576" t="s">
        <v>20</v>
      </c>
      <c r="E10576" t="s">
        <v>39</v>
      </c>
      <c r="F10576">
        <v>0</v>
      </c>
      <c r="G10576">
        <v>0</v>
      </c>
      <c r="H10576">
        <v>2</v>
      </c>
      <c r="I10576" s="3">
        <v>892</v>
      </c>
      <c r="J10576" s="3">
        <v>0</v>
      </c>
      <c r="L10576">
        <v>1415</v>
      </c>
      <c r="M10576" t="s">
        <v>23396</v>
      </c>
      <c r="N10576" t="s">
        <v>636</v>
      </c>
      <c r="O10576" t="s">
        <v>31</v>
      </c>
      <c r="P10576" t="str">
        <f>"15104"</f>
        <v>15104</v>
      </c>
    </row>
    <row r="10577" spans="1:16" x14ac:dyDescent="0.25">
      <c r="A10577" t="str">
        <f>"1160013P00019    00"</f>
        <v>1160013P00019    00</v>
      </c>
      <c r="B10577" t="s">
        <v>23397</v>
      </c>
      <c r="C10577" t="s">
        <v>23398</v>
      </c>
      <c r="E10577" t="s">
        <v>39</v>
      </c>
      <c r="F10577">
        <v>0</v>
      </c>
      <c r="G10577">
        <v>0</v>
      </c>
      <c r="H10577">
        <v>1</v>
      </c>
      <c r="I10577" s="3">
        <v>684.26</v>
      </c>
      <c r="J10577" s="3">
        <v>0</v>
      </c>
      <c r="L10577">
        <v>2208</v>
      </c>
      <c r="M10577" t="s">
        <v>23142</v>
      </c>
      <c r="N10577" t="s">
        <v>30</v>
      </c>
      <c r="O10577" t="s">
        <v>31</v>
      </c>
      <c r="P10577" t="str">
        <f>"15210"</f>
        <v>15210</v>
      </c>
    </row>
    <row r="10578" spans="1:16" x14ac:dyDescent="0.25">
      <c r="A10578" t="str">
        <f>"1160013P00021    00"</f>
        <v>1160013P00021    00</v>
      </c>
      <c r="B10578" t="s">
        <v>23186</v>
      </c>
      <c r="C10578" t="s">
        <v>23399</v>
      </c>
      <c r="E10578" t="s">
        <v>39</v>
      </c>
      <c r="F10578">
        <v>0</v>
      </c>
      <c r="G10578">
        <v>0</v>
      </c>
      <c r="H10578">
        <v>1</v>
      </c>
      <c r="I10578" s="3">
        <v>486.04</v>
      </c>
      <c r="J10578" s="3">
        <v>0</v>
      </c>
      <c r="L10578">
        <v>2212</v>
      </c>
      <c r="M10578" t="s">
        <v>23142</v>
      </c>
      <c r="N10578" t="s">
        <v>30</v>
      </c>
      <c r="O10578" t="s">
        <v>31</v>
      </c>
      <c r="P10578" t="str">
        <f>"15210"</f>
        <v>15210</v>
      </c>
    </row>
    <row r="10579" spans="1:16" x14ac:dyDescent="0.25">
      <c r="A10579" t="str">
        <f>"1160013P00023    00"</f>
        <v>1160013P00023    00</v>
      </c>
      <c r="B10579" t="s">
        <v>23400</v>
      </c>
      <c r="C10579" t="s">
        <v>23401</v>
      </c>
      <c r="D10579" t="s">
        <v>20</v>
      </c>
      <c r="E10579" t="s">
        <v>39</v>
      </c>
      <c r="F10579">
        <v>0</v>
      </c>
      <c r="G10579">
        <v>0</v>
      </c>
      <c r="H10579">
        <v>5</v>
      </c>
      <c r="I10579" s="3">
        <v>492.1</v>
      </c>
      <c r="J10579" s="3">
        <v>9.77</v>
      </c>
      <c r="K10579" t="s">
        <v>403</v>
      </c>
      <c r="L10579">
        <v>3001</v>
      </c>
      <c r="M10579" t="s">
        <v>404</v>
      </c>
      <c r="N10579" t="s">
        <v>331</v>
      </c>
      <c r="O10579" t="s">
        <v>108</v>
      </c>
      <c r="P10579" t="str">
        <f>"75063"</f>
        <v>75063</v>
      </c>
    </row>
    <row r="10580" spans="1:16" x14ac:dyDescent="0.25">
      <c r="A10580" t="str">
        <f>"1160013P00044    00"</f>
        <v>1160013P00044    00</v>
      </c>
      <c r="B10580" t="s">
        <v>23402</v>
      </c>
      <c r="C10580" t="s">
        <v>23403</v>
      </c>
      <c r="E10580" t="s">
        <v>39</v>
      </c>
      <c r="F10580">
        <v>0</v>
      </c>
      <c r="G10580">
        <v>0</v>
      </c>
      <c r="H10580">
        <v>6</v>
      </c>
      <c r="I10580" s="3">
        <v>1373.18</v>
      </c>
      <c r="J10580" s="3">
        <v>988.67</v>
      </c>
      <c r="L10580">
        <v>233</v>
      </c>
      <c r="M10580" t="s">
        <v>22850</v>
      </c>
      <c r="N10580" t="s">
        <v>30</v>
      </c>
      <c r="O10580" t="s">
        <v>31</v>
      </c>
      <c r="P10580" t="str">
        <f>"15210"</f>
        <v>15210</v>
      </c>
    </row>
    <row r="10581" spans="1:16" x14ac:dyDescent="0.25">
      <c r="A10581" t="str">
        <f>"1160013P00052    00"</f>
        <v>1160013P00052    00</v>
      </c>
      <c r="B10581" t="s">
        <v>23404</v>
      </c>
      <c r="C10581" t="s">
        <v>23405</v>
      </c>
      <c r="D10581" t="s">
        <v>20</v>
      </c>
      <c r="E10581" t="s">
        <v>39</v>
      </c>
      <c r="F10581">
        <v>0</v>
      </c>
      <c r="G10581">
        <v>0</v>
      </c>
      <c r="H10581">
        <v>10</v>
      </c>
      <c r="I10581" s="3">
        <v>5197.1899999999996</v>
      </c>
      <c r="J10581" s="3">
        <v>2225.31</v>
      </c>
      <c r="L10581">
        <v>309</v>
      </c>
      <c r="M10581" t="s">
        <v>22850</v>
      </c>
      <c r="N10581" t="s">
        <v>30</v>
      </c>
      <c r="O10581" t="s">
        <v>31</v>
      </c>
      <c r="P10581" t="str">
        <f>"15210"</f>
        <v>15210</v>
      </c>
    </row>
    <row r="10582" spans="1:16" x14ac:dyDescent="0.25">
      <c r="A10582" t="str">
        <f>"1160013P00088    00"</f>
        <v>1160013P00088    00</v>
      </c>
      <c r="B10582" t="s">
        <v>23406</v>
      </c>
      <c r="C10582" t="s">
        <v>23407</v>
      </c>
      <c r="D10582" t="s">
        <v>20</v>
      </c>
      <c r="E10582" t="s">
        <v>39</v>
      </c>
      <c r="F10582">
        <v>0</v>
      </c>
      <c r="G10582">
        <v>0</v>
      </c>
      <c r="H10582">
        <v>18</v>
      </c>
      <c r="I10582" s="3">
        <v>6446.99</v>
      </c>
      <c r="J10582" s="3">
        <v>6305.33</v>
      </c>
      <c r="L10582">
        <v>236</v>
      </c>
      <c r="M10582" t="s">
        <v>22850</v>
      </c>
      <c r="N10582" t="s">
        <v>30</v>
      </c>
      <c r="O10582" t="s">
        <v>31</v>
      </c>
      <c r="P10582" t="str">
        <f>"15210"</f>
        <v>15210</v>
      </c>
    </row>
    <row r="10583" spans="1:16" x14ac:dyDescent="0.25">
      <c r="A10583" t="str">
        <f>"1160013P00090    00"</f>
        <v>1160013P00090    00</v>
      </c>
      <c r="B10583" t="s">
        <v>23408</v>
      </c>
      <c r="C10583" t="s">
        <v>22849</v>
      </c>
      <c r="D10583" t="s">
        <v>20</v>
      </c>
      <c r="E10583" t="s">
        <v>39</v>
      </c>
      <c r="F10583">
        <v>0</v>
      </c>
      <c r="G10583">
        <v>0</v>
      </c>
      <c r="H10583">
        <v>14</v>
      </c>
      <c r="I10583" s="3">
        <v>4161.43</v>
      </c>
      <c r="J10583" s="3">
        <v>4818.3100000000004</v>
      </c>
      <c r="L10583">
        <v>232</v>
      </c>
      <c r="M10583" t="s">
        <v>22850</v>
      </c>
      <c r="N10583" t="s">
        <v>30</v>
      </c>
      <c r="O10583" t="s">
        <v>31</v>
      </c>
      <c r="P10583" t="str">
        <f>"15210"</f>
        <v>15210</v>
      </c>
    </row>
    <row r="10584" spans="1:16" x14ac:dyDescent="0.25">
      <c r="A10584" t="str">
        <f>"1160013P00093    00"</f>
        <v>1160013P00093    00</v>
      </c>
      <c r="B10584" t="s">
        <v>23409</v>
      </c>
      <c r="C10584" t="s">
        <v>23410</v>
      </c>
      <c r="D10584" t="s">
        <v>20</v>
      </c>
      <c r="E10584" t="s">
        <v>39</v>
      </c>
      <c r="F10584">
        <v>0</v>
      </c>
      <c r="G10584">
        <v>0</v>
      </c>
      <c r="H10584">
        <v>2</v>
      </c>
      <c r="I10584" s="3">
        <v>656.59</v>
      </c>
      <c r="J10584" s="3">
        <v>32.229999999999997</v>
      </c>
      <c r="L10584">
        <v>226</v>
      </c>
      <c r="M10584" t="s">
        <v>22850</v>
      </c>
      <c r="N10584" t="s">
        <v>30</v>
      </c>
      <c r="O10584" t="s">
        <v>31</v>
      </c>
      <c r="P10584" t="str">
        <f>"15210"</f>
        <v>15210</v>
      </c>
    </row>
    <row r="10585" spans="1:16" x14ac:dyDescent="0.25">
      <c r="A10585" t="str">
        <f>"1160013P00095    00"</f>
        <v>1160013P00095    00</v>
      </c>
      <c r="B10585" t="s">
        <v>23411</v>
      </c>
      <c r="C10585" t="s">
        <v>23412</v>
      </c>
      <c r="D10585" t="s">
        <v>20</v>
      </c>
      <c r="E10585" t="s">
        <v>39</v>
      </c>
      <c r="F10585">
        <v>0</v>
      </c>
      <c r="G10585">
        <v>0</v>
      </c>
      <c r="H10585">
        <v>6</v>
      </c>
      <c r="I10585" s="3">
        <v>3369.75</v>
      </c>
      <c r="J10585" s="3">
        <v>704.49</v>
      </c>
      <c r="L10585">
        <v>647</v>
      </c>
      <c r="M10585" t="s">
        <v>23413</v>
      </c>
      <c r="N10585" t="s">
        <v>30</v>
      </c>
      <c r="O10585" t="s">
        <v>31</v>
      </c>
      <c r="P10585" t="str">
        <f>"15205"</f>
        <v>15205</v>
      </c>
    </row>
    <row r="10586" spans="1:16" x14ac:dyDescent="0.25">
      <c r="A10586" t="str">
        <f>"1160013P00130    00"</f>
        <v>1160013P00130    00</v>
      </c>
      <c r="B10586" t="s">
        <v>23414</v>
      </c>
      <c r="C10586" t="s">
        <v>23415</v>
      </c>
      <c r="E10586" t="s">
        <v>39</v>
      </c>
      <c r="F10586">
        <v>0</v>
      </c>
      <c r="G10586">
        <v>0</v>
      </c>
      <c r="H10586">
        <v>2</v>
      </c>
      <c r="I10586" s="3">
        <v>621.22</v>
      </c>
      <c r="J10586" s="3">
        <v>194.8</v>
      </c>
      <c r="L10586">
        <v>207</v>
      </c>
      <c r="M10586" t="s">
        <v>23416</v>
      </c>
      <c r="N10586" t="s">
        <v>30</v>
      </c>
      <c r="O10586" t="s">
        <v>31</v>
      </c>
      <c r="P10586" t="str">
        <f>"15210"</f>
        <v>15210</v>
      </c>
    </row>
    <row r="10587" spans="1:16" x14ac:dyDescent="0.25">
      <c r="A10587" t="str">
        <f>"1160013P00140    00"</f>
        <v>1160013P00140    00</v>
      </c>
      <c r="B10587" t="s">
        <v>23417</v>
      </c>
      <c r="C10587" t="s">
        <v>23418</v>
      </c>
      <c r="D10587" t="s">
        <v>20</v>
      </c>
      <c r="E10587" t="s">
        <v>39</v>
      </c>
      <c r="F10587">
        <v>0</v>
      </c>
      <c r="G10587">
        <v>0</v>
      </c>
      <c r="H10587">
        <v>4</v>
      </c>
      <c r="I10587" s="3">
        <v>1697.04</v>
      </c>
      <c r="J10587" s="3">
        <v>221.04</v>
      </c>
      <c r="L10587">
        <v>229</v>
      </c>
      <c r="M10587" t="s">
        <v>23416</v>
      </c>
      <c r="N10587" t="s">
        <v>30</v>
      </c>
      <c r="O10587" t="s">
        <v>31</v>
      </c>
      <c r="P10587" t="str">
        <f>"15210"</f>
        <v>15210</v>
      </c>
    </row>
    <row r="10588" spans="1:16" x14ac:dyDescent="0.25">
      <c r="A10588" t="str">
        <f>"1160013P00143    00"</f>
        <v>1160013P00143    00</v>
      </c>
      <c r="B10588" t="s">
        <v>23419</v>
      </c>
      <c r="C10588" t="s">
        <v>23420</v>
      </c>
      <c r="D10588" t="s">
        <v>20</v>
      </c>
      <c r="E10588" t="s">
        <v>39</v>
      </c>
      <c r="F10588">
        <v>0</v>
      </c>
      <c r="G10588">
        <v>0</v>
      </c>
      <c r="H10588">
        <v>11</v>
      </c>
      <c r="I10588" s="3">
        <v>2074.5700000000002</v>
      </c>
      <c r="J10588" s="3">
        <v>2546.31</v>
      </c>
      <c r="L10588">
        <v>235</v>
      </c>
      <c r="M10588" t="s">
        <v>23416</v>
      </c>
      <c r="N10588" t="s">
        <v>30</v>
      </c>
      <c r="O10588" t="s">
        <v>31</v>
      </c>
      <c r="P10588" t="str">
        <f>"15210"</f>
        <v>15210</v>
      </c>
    </row>
    <row r="10589" spans="1:16" x14ac:dyDescent="0.25">
      <c r="A10589" t="str">
        <f>"1160013P00161    00"</f>
        <v>1160013P00161    00</v>
      </c>
      <c r="B10589" t="s">
        <v>23421</v>
      </c>
      <c r="C10589" t="s">
        <v>23374</v>
      </c>
      <c r="D10589" t="s">
        <v>20</v>
      </c>
      <c r="E10589" t="s">
        <v>39</v>
      </c>
      <c r="F10589">
        <v>0</v>
      </c>
      <c r="G10589">
        <v>0</v>
      </c>
      <c r="H10589">
        <v>19</v>
      </c>
      <c r="I10589" s="3">
        <v>4988.8999999999996</v>
      </c>
      <c r="J10589" s="3">
        <v>5376.43</v>
      </c>
      <c r="P10589" t="str">
        <f>""</f>
        <v/>
      </c>
    </row>
    <row r="10590" spans="1:16" x14ac:dyDescent="0.25">
      <c r="A10590" t="str">
        <f>"1160013P00163    00"</f>
        <v>1160013P00163    00</v>
      </c>
      <c r="B10590" t="s">
        <v>23422</v>
      </c>
      <c r="C10590" t="s">
        <v>23374</v>
      </c>
      <c r="D10590" t="s">
        <v>20</v>
      </c>
      <c r="E10590" t="s">
        <v>39</v>
      </c>
      <c r="F10590">
        <v>0</v>
      </c>
      <c r="G10590">
        <v>0</v>
      </c>
      <c r="H10590">
        <v>19</v>
      </c>
      <c r="I10590" s="3">
        <v>5307.62</v>
      </c>
      <c r="J10590" s="3">
        <v>5634.3</v>
      </c>
      <c r="L10590">
        <v>2407</v>
      </c>
      <c r="M10590" t="s">
        <v>23423</v>
      </c>
      <c r="N10590" t="s">
        <v>30</v>
      </c>
      <c r="O10590" t="s">
        <v>31</v>
      </c>
      <c r="P10590" t="str">
        <f>"15210"</f>
        <v>15210</v>
      </c>
    </row>
    <row r="10591" spans="1:16" x14ac:dyDescent="0.25">
      <c r="A10591" t="str">
        <f>"1160013P00168    00"</f>
        <v>1160013P00168    00</v>
      </c>
      <c r="B10591" t="s">
        <v>23424</v>
      </c>
      <c r="C10591" t="s">
        <v>23425</v>
      </c>
      <c r="D10591" t="s">
        <v>20</v>
      </c>
      <c r="E10591" t="s">
        <v>39</v>
      </c>
      <c r="F10591">
        <v>0</v>
      </c>
      <c r="G10591">
        <v>0</v>
      </c>
      <c r="H10591">
        <v>19</v>
      </c>
      <c r="I10591" s="3">
        <v>425</v>
      </c>
      <c r="J10591" s="3">
        <v>472.18</v>
      </c>
      <c r="L10591">
        <v>900</v>
      </c>
      <c r="M10591" t="s">
        <v>23376</v>
      </c>
      <c r="N10591" t="s">
        <v>30</v>
      </c>
      <c r="O10591" t="s">
        <v>31</v>
      </c>
      <c r="P10591" t="str">
        <f>"15210"</f>
        <v>15210</v>
      </c>
    </row>
    <row r="10592" spans="1:16" x14ac:dyDescent="0.25">
      <c r="A10592" t="str">
        <f>"1160013P00170    00"</f>
        <v>1160013P00170    00</v>
      </c>
      <c r="B10592" t="s">
        <v>23426</v>
      </c>
      <c r="C10592" t="s">
        <v>23425</v>
      </c>
      <c r="D10592" t="s">
        <v>20</v>
      </c>
      <c r="E10592" t="s">
        <v>39</v>
      </c>
      <c r="F10592">
        <v>0</v>
      </c>
      <c r="G10592">
        <v>0</v>
      </c>
      <c r="H10592">
        <v>19</v>
      </c>
      <c r="I10592" s="3">
        <v>5329.74</v>
      </c>
      <c r="J10592" s="3">
        <v>5645.91</v>
      </c>
      <c r="L10592">
        <v>253</v>
      </c>
      <c r="M10592" t="s">
        <v>23363</v>
      </c>
      <c r="N10592" t="s">
        <v>30</v>
      </c>
      <c r="O10592" t="s">
        <v>31</v>
      </c>
      <c r="P10592" t="str">
        <f>"15210"</f>
        <v>15210</v>
      </c>
    </row>
    <row r="10593" spans="1:16" x14ac:dyDescent="0.25">
      <c r="A10593" t="str">
        <f>"1160013P00174    00"</f>
        <v>1160013P00174    00</v>
      </c>
      <c r="B10593" t="s">
        <v>23427</v>
      </c>
      <c r="C10593" t="s">
        <v>23425</v>
      </c>
      <c r="D10593" t="s">
        <v>20</v>
      </c>
      <c r="E10593" t="s">
        <v>39</v>
      </c>
      <c r="F10593">
        <v>0</v>
      </c>
      <c r="G10593">
        <v>0</v>
      </c>
      <c r="H10593">
        <v>19</v>
      </c>
      <c r="I10593" s="3">
        <v>5079.75</v>
      </c>
      <c r="J10593" s="3">
        <v>5446.75</v>
      </c>
      <c r="L10593">
        <v>245</v>
      </c>
      <c r="M10593" t="s">
        <v>23363</v>
      </c>
      <c r="N10593" t="s">
        <v>30</v>
      </c>
      <c r="O10593" t="s">
        <v>31</v>
      </c>
      <c r="P10593" t="str">
        <f>"15210"</f>
        <v>15210</v>
      </c>
    </row>
    <row r="10594" spans="1:16" x14ac:dyDescent="0.25">
      <c r="A10594" t="str">
        <f>"1160013P00183    00"</f>
        <v>1160013P00183    00</v>
      </c>
      <c r="B10594" t="s">
        <v>23428</v>
      </c>
      <c r="C10594" t="s">
        <v>23429</v>
      </c>
      <c r="D10594" t="s">
        <v>20</v>
      </c>
      <c r="E10594" t="s">
        <v>39</v>
      </c>
      <c r="F10594">
        <v>0</v>
      </c>
      <c r="G10594">
        <v>0</v>
      </c>
      <c r="H10594">
        <v>3</v>
      </c>
      <c r="I10594" s="3">
        <v>1217.97</v>
      </c>
      <c r="J10594" s="3">
        <v>81.19</v>
      </c>
      <c r="L10594">
        <v>2120</v>
      </c>
      <c r="M10594" t="s">
        <v>23430</v>
      </c>
      <c r="N10594" t="s">
        <v>30</v>
      </c>
      <c r="O10594" t="s">
        <v>31</v>
      </c>
      <c r="P10594" t="str">
        <f>"15210"</f>
        <v>15210</v>
      </c>
    </row>
    <row r="10595" spans="1:16" x14ac:dyDescent="0.25">
      <c r="A10595" t="str">
        <f>"1160013P00195    00"</f>
        <v>1160013P00195    00</v>
      </c>
      <c r="B10595" t="s">
        <v>23431</v>
      </c>
      <c r="C10595" t="s">
        <v>23432</v>
      </c>
      <c r="D10595" t="s">
        <v>20</v>
      </c>
      <c r="E10595" t="s">
        <v>39</v>
      </c>
      <c r="F10595">
        <v>0</v>
      </c>
      <c r="G10595">
        <v>0</v>
      </c>
      <c r="H10595">
        <v>19</v>
      </c>
      <c r="I10595" s="3">
        <v>6686.99</v>
      </c>
      <c r="J10595" s="3">
        <v>7607.34</v>
      </c>
      <c r="M10595" t="s">
        <v>23433</v>
      </c>
      <c r="N10595" t="s">
        <v>4768</v>
      </c>
      <c r="O10595" t="s">
        <v>31</v>
      </c>
      <c r="P10595" t="str">
        <f>"15137"</f>
        <v>15137</v>
      </c>
    </row>
    <row r="10596" spans="1:16" x14ac:dyDescent="0.25">
      <c r="A10596" t="str">
        <f>"1160013P00196    00"</f>
        <v>1160013P00196    00</v>
      </c>
      <c r="B10596" t="s">
        <v>23434</v>
      </c>
      <c r="C10596" t="s">
        <v>23435</v>
      </c>
      <c r="D10596" t="s">
        <v>20</v>
      </c>
      <c r="E10596" t="s">
        <v>39</v>
      </c>
      <c r="F10596">
        <v>0</v>
      </c>
      <c r="G10596">
        <v>0</v>
      </c>
      <c r="H10596">
        <v>1</v>
      </c>
      <c r="I10596" s="3">
        <v>104.41</v>
      </c>
      <c r="J10596" s="3">
        <v>0</v>
      </c>
      <c r="L10596">
        <v>2118</v>
      </c>
      <c r="M10596" t="s">
        <v>23436</v>
      </c>
      <c r="N10596" t="s">
        <v>30</v>
      </c>
      <c r="O10596" t="s">
        <v>31</v>
      </c>
      <c r="P10596" t="str">
        <f>"15210"</f>
        <v>15210</v>
      </c>
    </row>
    <row r="10597" spans="1:16" x14ac:dyDescent="0.25">
      <c r="A10597" t="str">
        <f>"1160013P00197    00"</f>
        <v>1160013P00197    00</v>
      </c>
      <c r="B10597" t="s">
        <v>23434</v>
      </c>
      <c r="C10597" t="s">
        <v>23437</v>
      </c>
      <c r="D10597" t="s">
        <v>20</v>
      </c>
      <c r="E10597" t="s">
        <v>39</v>
      </c>
      <c r="F10597">
        <v>0</v>
      </c>
      <c r="G10597">
        <v>0</v>
      </c>
      <c r="H10597">
        <v>1</v>
      </c>
      <c r="I10597" s="3">
        <v>20.260000000000002</v>
      </c>
      <c r="J10597" s="3">
        <v>0</v>
      </c>
      <c r="L10597">
        <v>2118</v>
      </c>
      <c r="M10597" t="s">
        <v>23436</v>
      </c>
      <c r="N10597" t="s">
        <v>30</v>
      </c>
      <c r="O10597" t="s">
        <v>31</v>
      </c>
      <c r="P10597" t="str">
        <f>"15210"</f>
        <v>15210</v>
      </c>
    </row>
    <row r="10598" spans="1:16" x14ac:dyDescent="0.25">
      <c r="A10598" t="str">
        <f>"1160013P00201    00"</f>
        <v>1160013P00201    00</v>
      </c>
      <c r="B10598" t="s">
        <v>23438</v>
      </c>
      <c r="C10598" t="s">
        <v>23439</v>
      </c>
      <c r="D10598" t="s">
        <v>20</v>
      </c>
      <c r="E10598" t="s">
        <v>39</v>
      </c>
      <c r="F10598">
        <v>0</v>
      </c>
      <c r="G10598">
        <v>0</v>
      </c>
      <c r="H10598">
        <v>14</v>
      </c>
      <c r="I10598" s="3">
        <v>2079.2399999999998</v>
      </c>
      <c r="J10598" s="3">
        <v>1303.49</v>
      </c>
      <c r="K10598" t="s">
        <v>23440</v>
      </c>
      <c r="P10598" t="str">
        <f>""</f>
        <v/>
      </c>
    </row>
    <row r="10599" spans="1:16" x14ac:dyDescent="0.25">
      <c r="A10599" t="str">
        <f>"1160013P00202    00"</f>
        <v>1160013P00202    00</v>
      </c>
      <c r="B10599" t="s">
        <v>23441</v>
      </c>
      <c r="C10599" t="s">
        <v>23439</v>
      </c>
      <c r="D10599" t="s">
        <v>20</v>
      </c>
      <c r="E10599" t="s">
        <v>39</v>
      </c>
      <c r="F10599">
        <v>0</v>
      </c>
      <c r="G10599">
        <v>0</v>
      </c>
      <c r="H10599">
        <v>15</v>
      </c>
      <c r="I10599" s="3">
        <v>2286.9</v>
      </c>
      <c r="J10599" s="3">
        <v>1580.59</v>
      </c>
      <c r="K10599" t="s">
        <v>23442</v>
      </c>
      <c r="L10599">
        <v>1834</v>
      </c>
      <c r="M10599" t="s">
        <v>23443</v>
      </c>
      <c r="N10599" t="s">
        <v>30</v>
      </c>
      <c r="O10599" t="s">
        <v>31</v>
      </c>
      <c r="P10599" t="str">
        <f>"15235"</f>
        <v>15235</v>
      </c>
    </row>
    <row r="10600" spans="1:16" x14ac:dyDescent="0.25">
      <c r="A10600" t="str">
        <f>"1160013P00210    00"</f>
        <v>1160013P00210    00</v>
      </c>
      <c r="B10600" t="s">
        <v>23444</v>
      </c>
      <c r="C10600" t="s">
        <v>23445</v>
      </c>
      <c r="D10600" t="s">
        <v>20</v>
      </c>
      <c r="E10600" t="s">
        <v>39</v>
      </c>
      <c r="F10600">
        <v>0</v>
      </c>
      <c r="G10600">
        <v>0</v>
      </c>
      <c r="H10600">
        <v>2</v>
      </c>
      <c r="I10600" s="3">
        <v>19.079999999999998</v>
      </c>
      <c r="J10600" s="3">
        <v>0</v>
      </c>
      <c r="L10600">
        <v>2105</v>
      </c>
      <c r="M10600" t="s">
        <v>23436</v>
      </c>
      <c r="N10600" t="s">
        <v>30</v>
      </c>
      <c r="O10600" t="s">
        <v>31</v>
      </c>
      <c r="P10600" t="str">
        <f>"15210"</f>
        <v>15210</v>
      </c>
    </row>
    <row r="10601" spans="1:16" x14ac:dyDescent="0.25">
      <c r="A10601" t="str">
        <f>"1160013P00215    00"</f>
        <v>1160013P00215    00</v>
      </c>
      <c r="B10601" t="s">
        <v>23446</v>
      </c>
      <c r="C10601" t="s">
        <v>23447</v>
      </c>
      <c r="D10601" t="s">
        <v>20</v>
      </c>
      <c r="E10601" t="s">
        <v>39</v>
      </c>
      <c r="F10601">
        <v>0</v>
      </c>
      <c r="G10601">
        <v>0</v>
      </c>
      <c r="H10601">
        <v>1</v>
      </c>
      <c r="I10601" s="3">
        <v>37.03</v>
      </c>
      <c r="J10601" s="3">
        <v>0</v>
      </c>
      <c r="K10601" t="s">
        <v>23448</v>
      </c>
      <c r="L10601">
        <v>2110</v>
      </c>
      <c r="M10601" t="s">
        <v>23449</v>
      </c>
      <c r="N10601" t="s">
        <v>30</v>
      </c>
      <c r="O10601" t="s">
        <v>31</v>
      </c>
      <c r="P10601" t="str">
        <f>"15210"</f>
        <v>15210</v>
      </c>
    </row>
    <row r="10602" spans="1:16" x14ac:dyDescent="0.25">
      <c r="A10602" t="str">
        <f>"1160013P00217    00"</f>
        <v>1160013P00217    00</v>
      </c>
      <c r="B10602" t="s">
        <v>23450</v>
      </c>
      <c r="C10602" t="s">
        <v>23451</v>
      </c>
      <c r="D10602" t="s">
        <v>20</v>
      </c>
      <c r="E10602" t="s">
        <v>39</v>
      </c>
      <c r="F10602">
        <v>0</v>
      </c>
      <c r="G10602">
        <v>0</v>
      </c>
      <c r="H10602">
        <v>5</v>
      </c>
      <c r="I10602" s="3">
        <v>2098.2600000000002</v>
      </c>
      <c r="J10602" s="3">
        <v>399.05</v>
      </c>
      <c r="L10602">
        <v>2114</v>
      </c>
      <c r="M10602" t="s">
        <v>23449</v>
      </c>
      <c r="N10602" t="s">
        <v>30</v>
      </c>
      <c r="O10602" t="s">
        <v>31</v>
      </c>
      <c r="P10602" t="str">
        <f>"15210"</f>
        <v>15210</v>
      </c>
    </row>
    <row r="10603" spans="1:16" x14ac:dyDescent="0.25">
      <c r="A10603" t="str">
        <f>"1160013P00218    00"</f>
        <v>1160013P00218    00</v>
      </c>
      <c r="B10603" t="s">
        <v>23450</v>
      </c>
      <c r="C10603" t="s">
        <v>23451</v>
      </c>
      <c r="D10603" t="s">
        <v>20</v>
      </c>
      <c r="E10603" t="s">
        <v>39</v>
      </c>
      <c r="F10603">
        <v>0</v>
      </c>
      <c r="G10603">
        <v>0</v>
      </c>
      <c r="H10603">
        <v>6</v>
      </c>
      <c r="I10603" s="3">
        <v>346.81</v>
      </c>
      <c r="J10603" s="3">
        <v>90.37</v>
      </c>
      <c r="L10603">
        <v>2114</v>
      </c>
      <c r="M10603" t="s">
        <v>23449</v>
      </c>
      <c r="N10603" t="s">
        <v>30</v>
      </c>
      <c r="O10603" t="s">
        <v>31</v>
      </c>
      <c r="P10603" t="str">
        <f>"15210"</f>
        <v>15210</v>
      </c>
    </row>
    <row r="10604" spans="1:16" x14ac:dyDescent="0.25">
      <c r="A10604" t="str">
        <f>"1160013P00221    00"</f>
        <v>1160013P00221    00</v>
      </c>
      <c r="B10604" t="s">
        <v>23452</v>
      </c>
      <c r="C10604" t="s">
        <v>23453</v>
      </c>
      <c r="D10604" t="s">
        <v>20</v>
      </c>
      <c r="E10604" t="s">
        <v>39</v>
      </c>
      <c r="F10604">
        <v>0</v>
      </c>
      <c r="G10604">
        <v>0</v>
      </c>
      <c r="H10604">
        <v>1</v>
      </c>
      <c r="I10604" s="3">
        <v>541.33000000000004</v>
      </c>
      <c r="J10604" s="3">
        <v>0</v>
      </c>
      <c r="K10604" t="s">
        <v>23454</v>
      </c>
      <c r="L10604">
        <v>2403</v>
      </c>
      <c r="M10604" t="s">
        <v>23455</v>
      </c>
      <c r="N10604" t="s">
        <v>321</v>
      </c>
      <c r="O10604" t="s">
        <v>31</v>
      </c>
      <c r="P10604" t="str">
        <f>"15001"</f>
        <v>15001</v>
      </c>
    </row>
    <row r="10605" spans="1:16" x14ac:dyDescent="0.25">
      <c r="A10605" t="str">
        <f>"1160013P00222    00"</f>
        <v>1160013P00222    00</v>
      </c>
      <c r="B10605" t="s">
        <v>23456</v>
      </c>
      <c r="C10605" t="s">
        <v>23457</v>
      </c>
      <c r="D10605" t="s">
        <v>20</v>
      </c>
      <c r="E10605" t="s">
        <v>39</v>
      </c>
      <c r="F10605">
        <v>0</v>
      </c>
      <c r="G10605">
        <v>0</v>
      </c>
      <c r="H10605">
        <v>1</v>
      </c>
      <c r="I10605" s="3">
        <v>432.68</v>
      </c>
      <c r="J10605" s="3">
        <v>0</v>
      </c>
      <c r="K10605" t="s">
        <v>23127</v>
      </c>
      <c r="L10605">
        <v>901</v>
      </c>
      <c r="M10605" t="s">
        <v>6264</v>
      </c>
      <c r="N10605" t="s">
        <v>30</v>
      </c>
      <c r="O10605" t="s">
        <v>31</v>
      </c>
      <c r="P10605" t="str">
        <f>"15203"</f>
        <v>15203</v>
      </c>
    </row>
    <row r="10606" spans="1:16" x14ac:dyDescent="0.25">
      <c r="A10606" t="str">
        <f>"1160013P00228    00"</f>
        <v>1160013P00228    00</v>
      </c>
      <c r="B10606" t="s">
        <v>23458</v>
      </c>
      <c r="C10606" t="s">
        <v>23459</v>
      </c>
      <c r="D10606" t="s">
        <v>20</v>
      </c>
      <c r="E10606" t="s">
        <v>39</v>
      </c>
      <c r="F10606">
        <v>0</v>
      </c>
      <c r="G10606">
        <v>0</v>
      </c>
      <c r="H10606">
        <v>2</v>
      </c>
      <c r="I10606" s="3">
        <v>66.959999999999994</v>
      </c>
      <c r="J10606" s="3">
        <v>0</v>
      </c>
      <c r="L10606">
        <v>2131</v>
      </c>
      <c r="M10606" t="s">
        <v>23449</v>
      </c>
      <c r="N10606" t="s">
        <v>30</v>
      </c>
      <c r="O10606" t="s">
        <v>31</v>
      </c>
      <c r="P10606" t="str">
        <f>"15210"</f>
        <v>15210</v>
      </c>
    </row>
    <row r="10607" spans="1:16" x14ac:dyDescent="0.25">
      <c r="A10607" t="str">
        <f>"1160013P00235    00"</f>
        <v>1160013P00235    00</v>
      </c>
      <c r="B10607" t="s">
        <v>23460</v>
      </c>
      <c r="C10607" t="s">
        <v>23461</v>
      </c>
      <c r="D10607" t="s">
        <v>20</v>
      </c>
      <c r="E10607" t="s">
        <v>39</v>
      </c>
      <c r="F10607">
        <v>0</v>
      </c>
      <c r="G10607">
        <v>0</v>
      </c>
      <c r="H10607">
        <v>3</v>
      </c>
      <c r="I10607" s="3">
        <v>892.08</v>
      </c>
      <c r="J10607" s="3">
        <v>59.47</v>
      </c>
      <c r="K10607" t="s">
        <v>23462</v>
      </c>
      <c r="L10607">
        <v>2121</v>
      </c>
      <c r="M10607" t="s">
        <v>23449</v>
      </c>
      <c r="N10607" t="s">
        <v>30</v>
      </c>
      <c r="O10607" t="s">
        <v>31</v>
      </c>
      <c r="P10607" t="str">
        <f>"15210"</f>
        <v>15210</v>
      </c>
    </row>
    <row r="10608" spans="1:16" x14ac:dyDescent="0.25">
      <c r="A10608" t="str">
        <f>"1160013P00252    00"</f>
        <v>1160013P00252    00</v>
      </c>
      <c r="B10608" t="s">
        <v>23463</v>
      </c>
      <c r="C10608" t="s">
        <v>23464</v>
      </c>
      <c r="D10608" t="s">
        <v>20</v>
      </c>
      <c r="E10608" t="s">
        <v>39</v>
      </c>
      <c r="F10608">
        <v>0</v>
      </c>
      <c r="G10608">
        <v>0</v>
      </c>
      <c r="H10608">
        <v>2</v>
      </c>
      <c r="I10608" s="3">
        <v>268.05</v>
      </c>
      <c r="J10608" s="3">
        <v>4.5599999999999996</v>
      </c>
      <c r="L10608">
        <v>2101</v>
      </c>
      <c r="M10608" t="s">
        <v>23449</v>
      </c>
      <c r="N10608" t="s">
        <v>30</v>
      </c>
      <c r="O10608" t="s">
        <v>31</v>
      </c>
      <c r="P10608" t="str">
        <f>"15210"</f>
        <v>15210</v>
      </c>
    </row>
    <row r="10609" spans="1:16" x14ac:dyDescent="0.25">
      <c r="A10609" t="str">
        <f>"1160013P00275    00"</f>
        <v>1160013P00275    00</v>
      </c>
      <c r="B10609" t="s">
        <v>23465</v>
      </c>
      <c r="C10609" t="s">
        <v>23425</v>
      </c>
      <c r="D10609" t="s">
        <v>20</v>
      </c>
      <c r="E10609" t="s">
        <v>39</v>
      </c>
      <c r="F10609">
        <v>0</v>
      </c>
      <c r="G10609">
        <v>0</v>
      </c>
      <c r="H10609">
        <v>17</v>
      </c>
      <c r="I10609" s="3">
        <v>2306.4</v>
      </c>
      <c r="J10609" s="3">
        <v>1265.01</v>
      </c>
      <c r="K10609" t="s">
        <v>3450</v>
      </c>
      <c r="P10609" t="str">
        <f>""</f>
        <v/>
      </c>
    </row>
    <row r="10610" spans="1:16" x14ac:dyDescent="0.25">
      <c r="A10610" t="str">
        <f>"1160013P00279    00"</f>
        <v>1160013P00279    00</v>
      </c>
      <c r="B10610" t="s">
        <v>23465</v>
      </c>
      <c r="C10610" t="s">
        <v>23374</v>
      </c>
      <c r="D10610" t="s">
        <v>20</v>
      </c>
      <c r="E10610" t="s">
        <v>39</v>
      </c>
      <c r="F10610">
        <v>0</v>
      </c>
      <c r="G10610">
        <v>0</v>
      </c>
      <c r="H10610">
        <v>17</v>
      </c>
      <c r="I10610" s="3">
        <v>1141.96</v>
      </c>
      <c r="J10610" s="3">
        <v>769.11</v>
      </c>
      <c r="K10610" t="s">
        <v>3450</v>
      </c>
      <c r="P10610" t="str">
        <f>""</f>
        <v/>
      </c>
    </row>
    <row r="10611" spans="1:16" x14ac:dyDescent="0.25">
      <c r="A10611" t="str">
        <f>"1160013P00287    00"</f>
        <v>1160013P00287    00</v>
      </c>
      <c r="B10611" t="s">
        <v>23465</v>
      </c>
      <c r="C10611" t="s">
        <v>23374</v>
      </c>
      <c r="D10611" t="s">
        <v>20</v>
      </c>
      <c r="E10611" t="s">
        <v>39</v>
      </c>
      <c r="F10611">
        <v>0</v>
      </c>
      <c r="G10611">
        <v>0</v>
      </c>
      <c r="H10611">
        <v>17</v>
      </c>
      <c r="I10611" s="3">
        <v>2350.4</v>
      </c>
      <c r="J10611" s="3">
        <v>1288.17</v>
      </c>
      <c r="K10611" t="s">
        <v>3450</v>
      </c>
      <c r="P10611" t="str">
        <f>""</f>
        <v/>
      </c>
    </row>
    <row r="10612" spans="1:16" x14ac:dyDescent="0.25">
      <c r="A10612" t="str">
        <f>"1160013R00073    00"</f>
        <v>1160013R00073    00</v>
      </c>
      <c r="B10612" t="s">
        <v>23466</v>
      </c>
      <c r="C10612" t="s">
        <v>23467</v>
      </c>
      <c r="D10612" t="s">
        <v>20</v>
      </c>
      <c r="E10612" t="s">
        <v>39</v>
      </c>
      <c r="F10612">
        <v>0</v>
      </c>
      <c r="G10612">
        <v>0</v>
      </c>
      <c r="H10612">
        <v>3</v>
      </c>
      <c r="I10612" s="3">
        <v>426.41</v>
      </c>
      <c r="J10612" s="3">
        <v>370.83</v>
      </c>
      <c r="L10612">
        <v>555</v>
      </c>
      <c r="M10612" t="s">
        <v>23468</v>
      </c>
      <c r="N10612" t="s">
        <v>30</v>
      </c>
      <c r="O10612" t="s">
        <v>31</v>
      </c>
      <c r="P10612" t="str">
        <f>"15219"</f>
        <v>15219</v>
      </c>
    </row>
    <row r="10613" spans="1:16" x14ac:dyDescent="0.25">
      <c r="A10613" t="str">
        <f>"1160013R00075    00"</f>
        <v>1160013R00075    00</v>
      </c>
      <c r="B10613" t="s">
        <v>23469</v>
      </c>
      <c r="C10613" t="s">
        <v>23470</v>
      </c>
      <c r="D10613" t="s">
        <v>20</v>
      </c>
      <c r="E10613" t="s">
        <v>39</v>
      </c>
      <c r="F10613">
        <v>0</v>
      </c>
      <c r="G10613">
        <v>0</v>
      </c>
      <c r="H10613">
        <v>2</v>
      </c>
      <c r="I10613" s="3">
        <v>632.73</v>
      </c>
      <c r="J10613" s="3">
        <v>0.9</v>
      </c>
      <c r="L10613">
        <v>2414</v>
      </c>
      <c r="M10613" t="s">
        <v>23142</v>
      </c>
      <c r="N10613" t="s">
        <v>30</v>
      </c>
      <c r="O10613" t="s">
        <v>31</v>
      </c>
      <c r="P10613" t="str">
        <f>"15210"</f>
        <v>15210</v>
      </c>
    </row>
    <row r="10614" spans="1:16" x14ac:dyDescent="0.25">
      <c r="A10614" t="str">
        <f>"1160013R00081    00"</f>
        <v>1160013R00081    00</v>
      </c>
      <c r="B10614" t="s">
        <v>23471</v>
      </c>
      <c r="C10614" t="s">
        <v>23472</v>
      </c>
      <c r="E10614" t="s">
        <v>39</v>
      </c>
      <c r="F10614">
        <v>0</v>
      </c>
      <c r="G10614">
        <v>0</v>
      </c>
      <c r="H10614">
        <v>1</v>
      </c>
      <c r="I10614" s="3">
        <v>400.26</v>
      </c>
      <c r="J10614" s="3">
        <v>0</v>
      </c>
      <c r="K10614" t="s">
        <v>23473</v>
      </c>
      <c r="L10614">
        <v>3612</v>
      </c>
      <c r="M10614" t="s">
        <v>23474</v>
      </c>
      <c r="N10614" t="s">
        <v>30</v>
      </c>
      <c r="O10614" t="s">
        <v>31</v>
      </c>
      <c r="P10614" t="str">
        <f>"15237"</f>
        <v>15237</v>
      </c>
    </row>
    <row r="10615" spans="1:16" x14ac:dyDescent="0.25">
      <c r="A10615" t="str">
        <f>"1160013R00082    00"</f>
        <v>1160013R00082    00</v>
      </c>
      <c r="B10615" t="s">
        <v>23475</v>
      </c>
      <c r="C10615" t="s">
        <v>23476</v>
      </c>
      <c r="D10615" t="s">
        <v>20</v>
      </c>
      <c r="E10615" t="s">
        <v>39</v>
      </c>
      <c r="F10615">
        <v>0</v>
      </c>
      <c r="G10615">
        <v>0</v>
      </c>
      <c r="H10615">
        <v>4</v>
      </c>
      <c r="I10615" s="3">
        <v>43.81</v>
      </c>
      <c r="J10615" s="3">
        <v>5.37</v>
      </c>
      <c r="L10615">
        <v>223</v>
      </c>
      <c r="M10615" t="s">
        <v>23477</v>
      </c>
      <c r="N10615" t="s">
        <v>30</v>
      </c>
      <c r="O10615" t="s">
        <v>31</v>
      </c>
      <c r="P10615" t="str">
        <f>"15210"</f>
        <v>15210</v>
      </c>
    </row>
    <row r="10616" spans="1:16" x14ac:dyDescent="0.25">
      <c r="A10616" t="str">
        <f>"1160013R00083    00"</f>
        <v>1160013R00083    00</v>
      </c>
      <c r="B10616" t="s">
        <v>23478</v>
      </c>
      <c r="C10616" t="s">
        <v>23479</v>
      </c>
      <c r="D10616" t="s">
        <v>20</v>
      </c>
      <c r="E10616" t="s">
        <v>39</v>
      </c>
      <c r="F10616">
        <v>0</v>
      </c>
      <c r="G10616">
        <v>0</v>
      </c>
      <c r="H10616">
        <v>1</v>
      </c>
      <c r="I10616" s="3">
        <v>970.16</v>
      </c>
      <c r="J10616" s="3">
        <v>0</v>
      </c>
      <c r="K10616" t="s">
        <v>23480</v>
      </c>
      <c r="L10616">
        <v>225</v>
      </c>
      <c r="M10616" t="s">
        <v>23477</v>
      </c>
      <c r="N10616" t="s">
        <v>30</v>
      </c>
      <c r="O10616" t="s">
        <v>31</v>
      </c>
      <c r="P10616" t="str">
        <f>"15210"</f>
        <v>15210</v>
      </c>
    </row>
    <row r="10617" spans="1:16" x14ac:dyDescent="0.25">
      <c r="A10617" t="str">
        <f>"1160013R00091    00"</f>
        <v>1160013R00091    00</v>
      </c>
      <c r="B10617" t="s">
        <v>23481</v>
      </c>
      <c r="C10617" t="s">
        <v>23482</v>
      </c>
      <c r="D10617" t="s">
        <v>20</v>
      </c>
      <c r="E10617" t="s">
        <v>39</v>
      </c>
      <c r="F10617">
        <v>0</v>
      </c>
      <c r="G10617">
        <v>0</v>
      </c>
      <c r="H10617">
        <v>19</v>
      </c>
      <c r="I10617" s="3">
        <v>5880.86</v>
      </c>
      <c r="J10617" s="3">
        <v>7365.93</v>
      </c>
      <c r="L10617">
        <v>8304</v>
      </c>
      <c r="M10617" t="s">
        <v>23483</v>
      </c>
      <c r="N10617" t="s">
        <v>4044</v>
      </c>
      <c r="O10617" t="s">
        <v>692</v>
      </c>
      <c r="P10617" t="str">
        <f>"20112"</f>
        <v>20112</v>
      </c>
    </row>
    <row r="10618" spans="1:16" x14ac:dyDescent="0.25">
      <c r="A10618" t="str">
        <f>"1160013R00092    00"</f>
        <v>1160013R00092    00</v>
      </c>
      <c r="B10618" t="s">
        <v>23043</v>
      </c>
      <c r="C10618" t="s">
        <v>23484</v>
      </c>
      <c r="D10618" t="s">
        <v>20</v>
      </c>
      <c r="E10618" t="s">
        <v>39</v>
      </c>
      <c r="F10618">
        <v>0</v>
      </c>
      <c r="G10618">
        <v>0</v>
      </c>
      <c r="H10618">
        <v>2</v>
      </c>
      <c r="I10618" s="3">
        <v>968.24</v>
      </c>
      <c r="J10618" s="3">
        <v>0</v>
      </c>
      <c r="K10618" t="s">
        <v>23045</v>
      </c>
      <c r="M10618" t="s">
        <v>23046</v>
      </c>
      <c r="N10618" t="s">
        <v>30</v>
      </c>
      <c r="O10618" t="s">
        <v>31</v>
      </c>
      <c r="P10618" t="str">
        <f>"15210"</f>
        <v>15210</v>
      </c>
    </row>
    <row r="10619" spans="1:16" x14ac:dyDescent="0.25">
      <c r="A10619" t="str">
        <f>"1160013R00102    00"</f>
        <v>1160013R00102    00</v>
      </c>
      <c r="B10619" t="s">
        <v>23485</v>
      </c>
      <c r="C10619" t="s">
        <v>23482</v>
      </c>
      <c r="D10619" t="s">
        <v>20</v>
      </c>
      <c r="E10619" t="s">
        <v>39</v>
      </c>
      <c r="F10619">
        <v>0</v>
      </c>
      <c r="G10619">
        <v>0</v>
      </c>
      <c r="H10619">
        <v>19</v>
      </c>
      <c r="I10619" s="3">
        <v>4719.5600000000004</v>
      </c>
      <c r="J10619" s="3">
        <v>5189.59</v>
      </c>
      <c r="L10619">
        <v>17</v>
      </c>
      <c r="M10619" t="s">
        <v>23486</v>
      </c>
      <c r="N10619" t="s">
        <v>30</v>
      </c>
      <c r="O10619" t="s">
        <v>31</v>
      </c>
      <c r="P10619" t="str">
        <f>"15203"</f>
        <v>15203</v>
      </c>
    </row>
    <row r="10620" spans="1:16" x14ac:dyDescent="0.25">
      <c r="A10620" t="str">
        <f>"1160013R00131    00"</f>
        <v>1160013R00131    00</v>
      </c>
      <c r="B10620" t="s">
        <v>23487</v>
      </c>
      <c r="C10620" t="s">
        <v>23488</v>
      </c>
      <c r="E10620" t="s">
        <v>39</v>
      </c>
      <c r="F10620">
        <v>0</v>
      </c>
      <c r="G10620">
        <v>0</v>
      </c>
      <c r="H10620">
        <v>6</v>
      </c>
      <c r="I10620" s="3">
        <v>3422.78</v>
      </c>
      <c r="J10620" s="3">
        <v>946.32</v>
      </c>
      <c r="K10620" t="s">
        <v>23489</v>
      </c>
      <c r="L10620">
        <v>819</v>
      </c>
      <c r="M10620" t="s">
        <v>22882</v>
      </c>
      <c r="N10620" t="s">
        <v>30</v>
      </c>
      <c r="O10620" t="s">
        <v>31</v>
      </c>
      <c r="P10620" t="str">
        <f>"15228"</f>
        <v>15228</v>
      </c>
    </row>
    <row r="10621" spans="1:16" x14ac:dyDescent="0.25">
      <c r="A10621" t="str">
        <f>"1160013R00149    00"</f>
        <v>1160013R00149    00</v>
      </c>
      <c r="B10621" t="s">
        <v>23490</v>
      </c>
      <c r="C10621" t="s">
        <v>23491</v>
      </c>
      <c r="E10621" t="s">
        <v>39</v>
      </c>
      <c r="F10621">
        <v>0</v>
      </c>
      <c r="G10621">
        <v>0</v>
      </c>
      <c r="H10621">
        <v>1</v>
      </c>
      <c r="I10621" s="3">
        <v>466.46</v>
      </c>
      <c r="J10621" s="3">
        <v>322.63</v>
      </c>
      <c r="K10621" t="s">
        <v>23492</v>
      </c>
      <c r="L10621">
        <v>303</v>
      </c>
      <c r="M10621" t="s">
        <v>21622</v>
      </c>
      <c r="N10621" t="s">
        <v>30</v>
      </c>
      <c r="O10621" t="s">
        <v>31</v>
      </c>
      <c r="P10621" t="str">
        <f>"15210"</f>
        <v>15210</v>
      </c>
    </row>
    <row r="10622" spans="1:16" x14ac:dyDescent="0.25">
      <c r="A10622" t="str">
        <f>"1160013R00151    00"</f>
        <v>1160013R00151    00</v>
      </c>
      <c r="B10622" t="s">
        <v>23493</v>
      </c>
      <c r="C10622" t="s">
        <v>23494</v>
      </c>
      <c r="E10622" t="s">
        <v>39</v>
      </c>
      <c r="F10622">
        <v>0</v>
      </c>
      <c r="G10622">
        <v>0</v>
      </c>
      <c r="H10622">
        <v>1</v>
      </c>
      <c r="I10622" s="3">
        <v>558.47</v>
      </c>
      <c r="J10622" s="3">
        <v>0</v>
      </c>
      <c r="L10622">
        <v>307</v>
      </c>
      <c r="M10622" t="s">
        <v>21622</v>
      </c>
      <c r="N10622" t="s">
        <v>30</v>
      </c>
      <c r="O10622" t="s">
        <v>31</v>
      </c>
      <c r="P10622" t="str">
        <f>"15201"</f>
        <v>15201</v>
      </c>
    </row>
    <row r="10623" spans="1:16" x14ac:dyDescent="0.25">
      <c r="A10623" t="str">
        <f>"1160013R00165    00"</f>
        <v>1160013R00165    00</v>
      </c>
      <c r="B10623" t="s">
        <v>23495</v>
      </c>
      <c r="C10623" t="s">
        <v>23496</v>
      </c>
      <c r="D10623" t="s">
        <v>20</v>
      </c>
      <c r="E10623" t="s">
        <v>39</v>
      </c>
      <c r="F10623">
        <v>0</v>
      </c>
      <c r="G10623">
        <v>0</v>
      </c>
      <c r="H10623">
        <v>2</v>
      </c>
      <c r="I10623" s="3">
        <v>718.23</v>
      </c>
      <c r="J10623" s="3">
        <v>0</v>
      </c>
      <c r="L10623">
        <v>629</v>
      </c>
      <c r="M10623" t="s">
        <v>23497</v>
      </c>
      <c r="N10623" t="s">
        <v>30</v>
      </c>
      <c r="O10623" t="s">
        <v>31</v>
      </c>
      <c r="P10623" t="str">
        <f>"15211"</f>
        <v>15211</v>
      </c>
    </row>
    <row r="10624" spans="1:16" x14ac:dyDescent="0.25">
      <c r="A10624" t="str">
        <f>"1160013R00175    00"</f>
        <v>1160013R00175    00</v>
      </c>
      <c r="B10624" t="s">
        <v>17038</v>
      </c>
      <c r="C10624" t="s">
        <v>23498</v>
      </c>
      <c r="D10624" t="s">
        <v>20</v>
      </c>
      <c r="E10624" t="s">
        <v>39</v>
      </c>
      <c r="F10624">
        <v>0</v>
      </c>
      <c r="G10624">
        <v>0</v>
      </c>
      <c r="H10624">
        <v>10</v>
      </c>
      <c r="I10624" s="3">
        <v>5282.64</v>
      </c>
      <c r="J10624" s="3">
        <v>2426.5500000000002</v>
      </c>
      <c r="L10624">
        <v>21</v>
      </c>
      <c r="M10624" t="s">
        <v>17040</v>
      </c>
      <c r="N10624" t="s">
        <v>4158</v>
      </c>
      <c r="O10624" t="s">
        <v>31</v>
      </c>
      <c r="P10624" t="str">
        <f>"15034"</f>
        <v>15034</v>
      </c>
    </row>
    <row r="10625" spans="1:16" x14ac:dyDescent="0.25">
      <c r="A10625" t="str">
        <f>"1160013R00206    00"</f>
        <v>1160013R00206    00</v>
      </c>
      <c r="B10625" t="s">
        <v>23499</v>
      </c>
      <c r="C10625" t="s">
        <v>23500</v>
      </c>
      <c r="D10625" t="s">
        <v>20</v>
      </c>
      <c r="E10625" t="s">
        <v>39</v>
      </c>
      <c r="F10625">
        <v>0</v>
      </c>
      <c r="G10625">
        <v>0</v>
      </c>
      <c r="H10625">
        <v>2</v>
      </c>
      <c r="I10625" s="3">
        <v>1078.82</v>
      </c>
      <c r="J10625" s="3">
        <v>0</v>
      </c>
      <c r="K10625" t="s">
        <v>23501</v>
      </c>
      <c r="L10625">
        <v>825</v>
      </c>
      <c r="M10625" t="s">
        <v>14740</v>
      </c>
      <c r="N10625" t="s">
        <v>30</v>
      </c>
      <c r="O10625" t="s">
        <v>31</v>
      </c>
      <c r="P10625" t="str">
        <f>"15211"</f>
        <v>15211</v>
      </c>
    </row>
    <row r="10626" spans="1:16" x14ac:dyDescent="0.25">
      <c r="A10626" t="str">
        <f>"1160013R00207    00"</f>
        <v>1160013R00207    00</v>
      </c>
      <c r="B10626" t="s">
        <v>23502</v>
      </c>
      <c r="C10626" t="s">
        <v>23503</v>
      </c>
      <c r="D10626" t="s">
        <v>20</v>
      </c>
      <c r="E10626" t="s">
        <v>39</v>
      </c>
      <c r="F10626">
        <v>0</v>
      </c>
      <c r="G10626">
        <v>0</v>
      </c>
      <c r="H10626">
        <v>4</v>
      </c>
      <c r="I10626" s="3">
        <v>842.32</v>
      </c>
      <c r="J10626" s="3">
        <v>109</v>
      </c>
      <c r="L10626">
        <v>227</v>
      </c>
      <c r="M10626" t="s">
        <v>23504</v>
      </c>
      <c r="N10626" t="s">
        <v>30</v>
      </c>
      <c r="O10626" t="s">
        <v>31</v>
      </c>
      <c r="P10626" t="str">
        <f>"15210"</f>
        <v>15210</v>
      </c>
    </row>
    <row r="10627" spans="1:16" x14ac:dyDescent="0.25">
      <c r="A10627" t="str">
        <f>"1160013R00209    00"</f>
        <v>1160013R00209    00</v>
      </c>
      <c r="B10627" t="s">
        <v>23505</v>
      </c>
      <c r="C10627" t="s">
        <v>23506</v>
      </c>
      <c r="D10627" t="s">
        <v>20</v>
      </c>
      <c r="E10627" t="s">
        <v>39</v>
      </c>
      <c r="F10627">
        <v>0</v>
      </c>
      <c r="G10627">
        <v>0</v>
      </c>
      <c r="H10627">
        <v>12</v>
      </c>
      <c r="I10627" s="3">
        <v>3100.39</v>
      </c>
      <c r="J10627" s="3">
        <v>2933.85</v>
      </c>
      <c r="L10627">
        <v>225</v>
      </c>
      <c r="M10627" t="s">
        <v>23504</v>
      </c>
      <c r="N10627" t="s">
        <v>30</v>
      </c>
      <c r="O10627" t="s">
        <v>31</v>
      </c>
      <c r="P10627" t="str">
        <f>"15210"</f>
        <v>15210</v>
      </c>
    </row>
    <row r="10628" spans="1:16" x14ac:dyDescent="0.25">
      <c r="A10628" t="str">
        <f>"1160013R00218    00"</f>
        <v>1160013R00218    00</v>
      </c>
      <c r="B10628" t="s">
        <v>23051</v>
      </c>
      <c r="C10628" t="s">
        <v>23507</v>
      </c>
      <c r="D10628" t="s">
        <v>20</v>
      </c>
      <c r="E10628" t="s">
        <v>39</v>
      </c>
      <c r="F10628">
        <v>0</v>
      </c>
      <c r="G10628">
        <v>0</v>
      </c>
      <c r="H10628">
        <v>2</v>
      </c>
      <c r="I10628" s="3">
        <v>861.21</v>
      </c>
      <c r="J10628" s="3">
        <v>0</v>
      </c>
      <c r="L10628">
        <v>2618</v>
      </c>
      <c r="M10628" t="s">
        <v>22876</v>
      </c>
      <c r="N10628" t="s">
        <v>30</v>
      </c>
      <c r="O10628" t="s">
        <v>31</v>
      </c>
      <c r="P10628" t="str">
        <f>"15203"</f>
        <v>15203</v>
      </c>
    </row>
    <row r="10629" spans="1:16" x14ac:dyDescent="0.25">
      <c r="A10629" t="str">
        <f>"1160013R00220    00"</f>
        <v>1160013R00220    00</v>
      </c>
      <c r="B10629" t="s">
        <v>23508</v>
      </c>
      <c r="C10629" t="s">
        <v>23509</v>
      </c>
      <c r="D10629" t="s">
        <v>20</v>
      </c>
      <c r="E10629" t="s">
        <v>39</v>
      </c>
      <c r="F10629">
        <v>0</v>
      </c>
      <c r="G10629">
        <v>0</v>
      </c>
      <c r="H10629">
        <v>2</v>
      </c>
      <c r="I10629" s="3">
        <v>361.22</v>
      </c>
      <c r="J10629" s="3">
        <v>0</v>
      </c>
      <c r="K10629" t="s">
        <v>9056</v>
      </c>
      <c r="L10629">
        <v>3001</v>
      </c>
      <c r="M10629" t="s">
        <v>404</v>
      </c>
      <c r="N10629" t="s">
        <v>331</v>
      </c>
      <c r="O10629" t="s">
        <v>108</v>
      </c>
      <c r="P10629" t="str">
        <f>"75063"</f>
        <v>75063</v>
      </c>
    </row>
    <row r="10630" spans="1:16" x14ac:dyDescent="0.25">
      <c r="A10630" t="str">
        <f>"1160013R00223    00"</f>
        <v>1160013R00223    00</v>
      </c>
      <c r="B10630" t="s">
        <v>23510</v>
      </c>
      <c r="C10630" t="s">
        <v>23511</v>
      </c>
      <c r="E10630" t="s">
        <v>39</v>
      </c>
      <c r="F10630">
        <v>0</v>
      </c>
      <c r="G10630">
        <v>0</v>
      </c>
      <c r="H10630">
        <v>5</v>
      </c>
      <c r="I10630" s="3">
        <v>1511.38</v>
      </c>
      <c r="J10630" s="3">
        <v>30.04</v>
      </c>
      <c r="K10630" t="s">
        <v>23512</v>
      </c>
      <c r="L10630">
        <v>136</v>
      </c>
      <c r="M10630" t="s">
        <v>23513</v>
      </c>
      <c r="N10630" t="s">
        <v>79</v>
      </c>
      <c r="O10630" t="s">
        <v>31</v>
      </c>
      <c r="P10630" t="str">
        <f>"15668"</f>
        <v>15668</v>
      </c>
    </row>
    <row r="10631" spans="1:16" x14ac:dyDescent="0.25">
      <c r="A10631" t="str">
        <f>"1160013R00225    00"</f>
        <v>1160013R00225    00</v>
      </c>
      <c r="B10631" t="s">
        <v>23514</v>
      </c>
      <c r="C10631" t="s">
        <v>23515</v>
      </c>
      <c r="D10631" t="s">
        <v>20</v>
      </c>
      <c r="E10631" t="s">
        <v>39</v>
      </c>
      <c r="F10631">
        <v>0</v>
      </c>
      <c r="G10631">
        <v>0</v>
      </c>
      <c r="H10631">
        <v>16</v>
      </c>
      <c r="I10631" s="3">
        <v>10625.09</v>
      </c>
      <c r="J10631" s="3">
        <v>8233.65</v>
      </c>
      <c r="L10631">
        <v>2424</v>
      </c>
      <c r="M10631" t="s">
        <v>23142</v>
      </c>
      <c r="N10631" t="s">
        <v>30</v>
      </c>
      <c r="O10631" t="s">
        <v>31</v>
      </c>
      <c r="P10631" t="str">
        <f>"15210"</f>
        <v>15210</v>
      </c>
    </row>
    <row r="10632" spans="1:16" x14ac:dyDescent="0.25">
      <c r="A10632" t="str">
        <f>"1160013R00259    00"</f>
        <v>1160013R00259    00</v>
      </c>
      <c r="B10632" t="s">
        <v>23516</v>
      </c>
      <c r="C10632" t="s">
        <v>23517</v>
      </c>
      <c r="D10632" t="s">
        <v>20</v>
      </c>
      <c r="E10632" t="s">
        <v>39</v>
      </c>
      <c r="F10632">
        <v>0</v>
      </c>
      <c r="G10632">
        <v>0</v>
      </c>
      <c r="H10632">
        <v>2</v>
      </c>
      <c r="I10632" s="3">
        <v>190.6</v>
      </c>
      <c r="J10632" s="3">
        <v>0</v>
      </c>
      <c r="K10632" t="s">
        <v>23518</v>
      </c>
      <c r="L10632">
        <v>2420</v>
      </c>
      <c r="M10632" t="s">
        <v>23173</v>
      </c>
      <c r="N10632" t="s">
        <v>30</v>
      </c>
      <c r="O10632" t="s">
        <v>31</v>
      </c>
      <c r="P10632" t="str">
        <f>"15210"</f>
        <v>15210</v>
      </c>
    </row>
    <row r="10633" spans="1:16" x14ac:dyDescent="0.25">
      <c r="A10633" t="str">
        <f>"1160013R00261    00"</f>
        <v>1160013R00261    00</v>
      </c>
      <c r="B10633" t="s">
        <v>23516</v>
      </c>
      <c r="C10633" t="s">
        <v>23517</v>
      </c>
      <c r="D10633" t="s">
        <v>20</v>
      </c>
      <c r="E10633" t="s">
        <v>39</v>
      </c>
      <c r="F10633">
        <v>0</v>
      </c>
      <c r="G10633">
        <v>0</v>
      </c>
      <c r="H10633">
        <v>3</v>
      </c>
      <c r="I10633" s="3">
        <v>1549.06</v>
      </c>
      <c r="J10633" s="3">
        <v>1.8</v>
      </c>
      <c r="K10633" t="s">
        <v>23518</v>
      </c>
      <c r="L10633">
        <v>2420</v>
      </c>
      <c r="M10633" t="s">
        <v>23173</v>
      </c>
      <c r="N10633" t="s">
        <v>30</v>
      </c>
      <c r="O10633" t="s">
        <v>31</v>
      </c>
      <c r="P10633" t="str">
        <f>"15210"</f>
        <v>15210</v>
      </c>
    </row>
    <row r="10634" spans="1:16" x14ac:dyDescent="0.25">
      <c r="A10634" t="str">
        <f>"1160013R00262    00"</f>
        <v>1160013R00262    00</v>
      </c>
      <c r="B10634" t="s">
        <v>23519</v>
      </c>
      <c r="C10634" t="s">
        <v>23520</v>
      </c>
      <c r="E10634" t="s">
        <v>39</v>
      </c>
      <c r="F10634">
        <v>0</v>
      </c>
      <c r="G10634">
        <v>0</v>
      </c>
      <c r="H10634">
        <v>1</v>
      </c>
      <c r="I10634" s="3">
        <v>155.94</v>
      </c>
      <c r="J10634" s="3">
        <v>0</v>
      </c>
      <c r="L10634">
        <v>2423</v>
      </c>
      <c r="M10634" t="s">
        <v>23142</v>
      </c>
      <c r="N10634" t="s">
        <v>30</v>
      </c>
      <c r="O10634" t="s">
        <v>31</v>
      </c>
      <c r="P10634" t="str">
        <f>"15210"</f>
        <v>15210</v>
      </c>
    </row>
    <row r="10635" spans="1:16" x14ac:dyDescent="0.25">
      <c r="A10635" t="str">
        <f>"1160013R00266    00"</f>
        <v>1160013R00266    00</v>
      </c>
      <c r="B10635" t="s">
        <v>23521</v>
      </c>
      <c r="C10635" t="s">
        <v>23522</v>
      </c>
      <c r="D10635" t="s">
        <v>20</v>
      </c>
      <c r="E10635" t="s">
        <v>39</v>
      </c>
      <c r="F10635">
        <v>0</v>
      </c>
      <c r="G10635">
        <v>0</v>
      </c>
      <c r="H10635">
        <v>1</v>
      </c>
      <c r="I10635" s="3">
        <v>103.08</v>
      </c>
      <c r="J10635" s="3">
        <v>0</v>
      </c>
      <c r="L10635">
        <v>2431</v>
      </c>
      <c r="M10635" t="s">
        <v>23142</v>
      </c>
      <c r="N10635" t="s">
        <v>30</v>
      </c>
      <c r="O10635" t="s">
        <v>31</v>
      </c>
      <c r="P10635" t="str">
        <f>"15210"</f>
        <v>15210</v>
      </c>
    </row>
    <row r="10636" spans="1:16" x14ac:dyDescent="0.25">
      <c r="A10636" t="str">
        <f>"1160013R00267000100"</f>
        <v>1160013R00267000100</v>
      </c>
      <c r="B10636" t="s">
        <v>23523</v>
      </c>
      <c r="C10636" t="s">
        <v>23524</v>
      </c>
      <c r="D10636" t="s">
        <v>20</v>
      </c>
      <c r="E10636" t="s">
        <v>39</v>
      </c>
      <c r="F10636">
        <v>0</v>
      </c>
      <c r="G10636">
        <v>0</v>
      </c>
      <c r="H10636">
        <v>1</v>
      </c>
      <c r="I10636" s="3">
        <v>125.81</v>
      </c>
      <c r="J10636" s="3">
        <v>0</v>
      </c>
      <c r="K10636" t="s">
        <v>23525</v>
      </c>
      <c r="M10636" t="s">
        <v>23526</v>
      </c>
      <c r="N10636" t="s">
        <v>23527</v>
      </c>
      <c r="O10636" t="s">
        <v>31</v>
      </c>
      <c r="P10636" t="str">
        <f>"15317"</f>
        <v>15317</v>
      </c>
    </row>
    <row r="10637" spans="1:16" x14ac:dyDescent="0.25">
      <c r="A10637" t="str">
        <f>"1160013R00268    00"</f>
        <v>1160013R00268    00</v>
      </c>
      <c r="B10637" t="s">
        <v>23528</v>
      </c>
      <c r="C10637" t="s">
        <v>23529</v>
      </c>
      <c r="D10637" t="s">
        <v>20</v>
      </c>
      <c r="E10637" t="s">
        <v>39</v>
      </c>
      <c r="F10637">
        <v>0</v>
      </c>
      <c r="G10637">
        <v>0</v>
      </c>
      <c r="H10637">
        <v>15</v>
      </c>
      <c r="I10637" s="3">
        <v>8286.6299999999992</v>
      </c>
      <c r="J10637" s="3">
        <v>5779.58</v>
      </c>
      <c r="L10637">
        <v>2435</v>
      </c>
      <c r="M10637" t="s">
        <v>23142</v>
      </c>
      <c r="N10637" t="s">
        <v>30</v>
      </c>
      <c r="O10637" t="s">
        <v>31</v>
      </c>
      <c r="P10637" t="str">
        <f>"15210"</f>
        <v>15210</v>
      </c>
    </row>
    <row r="10638" spans="1:16" x14ac:dyDescent="0.25">
      <c r="A10638" t="str">
        <f>"1160013R00269    00"</f>
        <v>1160013R00269    00</v>
      </c>
      <c r="B10638" t="s">
        <v>23530</v>
      </c>
      <c r="C10638" t="s">
        <v>23531</v>
      </c>
      <c r="D10638" t="s">
        <v>20</v>
      </c>
      <c r="E10638" t="s">
        <v>39</v>
      </c>
      <c r="F10638">
        <v>0</v>
      </c>
      <c r="G10638">
        <v>0</v>
      </c>
      <c r="H10638">
        <v>15</v>
      </c>
      <c r="I10638" s="3">
        <v>6478.99</v>
      </c>
      <c r="J10638" s="3">
        <v>4368.5200000000004</v>
      </c>
      <c r="L10638">
        <v>2437</v>
      </c>
      <c r="M10638" t="s">
        <v>23142</v>
      </c>
      <c r="N10638" t="s">
        <v>30</v>
      </c>
      <c r="O10638" t="s">
        <v>31</v>
      </c>
      <c r="P10638" t="str">
        <f>"15210"</f>
        <v>15210</v>
      </c>
    </row>
    <row r="10639" spans="1:16" x14ac:dyDescent="0.25">
      <c r="A10639" t="str">
        <f>"1160013R00272    00"</f>
        <v>1160013R00272    00</v>
      </c>
      <c r="B10639" t="s">
        <v>23532</v>
      </c>
      <c r="C10639" t="s">
        <v>23533</v>
      </c>
      <c r="D10639" t="s">
        <v>20</v>
      </c>
      <c r="E10639" t="s">
        <v>39</v>
      </c>
      <c r="F10639">
        <v>0</v>
      </c>
      <c r="G10639">
        <v>0</v>
      </c>
      <c r="H10639">
        <v>1</v>
      </c>
      <c r="I10639" s="3">
        <v>489.85</v>
      </c>
      <c r="J10639" s="3">
        <v>0</v>
      </c>
      <c r="K10639" t="s">
        <v>1802</v>
      </c>
      <c r="L10639">
        <v>901</v>
      </c>
      <c r="M10639" t="s">
        <v>1503</v>
      </c>
      <c r="N10639" t="s">
        <v>494</v>
      </c>
      <c r="O10639" t="s">
        <v>495</v>
      </c>
      <c r="P10639" t="str">
        <f>"91768"</f>
        <v>91768</v>
      </c>
    </row>
    <row r="10640" spans="1:16" x14ac:dyDescent="0.25">
      <c r="A10640" t="str">
        <f>"1160013R00282    00"</f>
        <v>1160013R00282    00</v>
      </c>
      <c r="B10640" t="s">
        <v>23051</v>
      </c>
      <c r="C10640" t="s">
        <v>23534</v>
      </c>
      <c r="D10640" t="s">
        <v>20</v>
      </c>
      <c r="E10640" t="s">
        <v>39</v>
      </c>
      <c r="F10640">
        <v>0</v>
      </c>
      <c r="G10640">
        <v>0</v>
      </c>
      <c r="H10640">
        <v>2</v>
      </c>
      <c r="I10640" s="3">
        <v>1440.94</v>
      </c>
      <c r="J10640" s="3">
        <v>0</v>
      </c>
      <c r="L10640">
        <v>2613</v>
      </c>
      <c r="M10640" t="s">
        <v>22876</v>
      </c>
      <c r="N10640" t="s">
        <v>30</v>
      </c>
      <c r="O10640" t="s">
        <v>31</v>
      </c>
      <c r="P10640" t="str">
        <f>"15203"</f>
        <v>15203</v>
      </c>
    </row>
    <row r="10641" spans="1:16" x14ac:dyDescent="0.25">
      <c r="A10641" t="str">
        <f>"1160013S00012    00"</f>
        <v>1160013S00012    00</v>
      </c>
      <c r="B10641" t="s">
        <v>23535</v>
      </c>
      <c r="C10641" t="s">
        <v>23329</v>
      </c>
      <c r="D10641" t="s">
        <v>20</v>
      </c>
      <c r="E10641" t="s">
        <v>39</v>
      </c>
      <c r="F10641">
        <v>0</v>
      </c>
      <c r="G10641">
        <v>0</v>
      </c>
      <c r="H10641">
        <v>19</v>
      </c>
      <c r="I10641" s="3">
        <v>6316.95</v>
      </c>
      <c r="J10641" s="3">
        <v>8197.3799999999992</v>
      </c>
      <c r="K10641" t="s">
        <v>23536</v>
      </c>
      <c r="L10641">
        <v>2127</v>
      </c>
      <c r="M10641" t="s">
        <v>21280</v>
      </c>
      <c r="N10641" t="s">
        <v>30</v>
      </c>
      <c r="O10641" t="s">
        <v>31</v>
      </c>
      <c r="P10641" t="str">
        <f t="shared" ref="P10641:P10652" si="119">"15210"</f>
        <v>15210</v>
      </c>
    </row>
    <row r="10642" spans="1:16" x14ac:dyDescent="0.25">
      <c r="A10642" t="str">
        <f>"1160013S00014    00"</f>
        <v>1160013S00014    00</v>
      </c>
      <c r="B10642" t="s">
        <v>23537</v>
      </c>
      <c r="C10642" t="s">
        <v>23538</v>
      </c>
      <c r="E10642" t="s">
        <v>39</v>
      </c>
      <c r="F10642">
        <v>0</v>
      </c>
      <c r="G10642">
        <v>0</v>
      </c>
      <c r="H10642">
        <v>6</v>
      </c>
      <c r="I10642" s="3">
        <v>3480.96</v>
      </c>
      <c r="J10642" s="3">
        <v>1015.26</v>
      </c>
      <c r="L10642">
        <v>135</v>
      </c>
      <c r="M10642" t="s">
        <v>23321</v>
      </c>
      <c r="N10642" t="s">
        <v>30</v>
      </c>
      <c r="O10642" t="s">
        <v>31</v>
      </c>
      <c r="P10642" t="str">
        <f t="shared" si="119"/>
        <v>15210</v>
      </c>
    </row>
    <row r="10643" spans="1:16" x14ac:dyDescent="0.25">
      <c r="A10643" t="str">
        <f>"1160013S00019    00"</f>
        <v>1160013S00019    00</v>
      </c>
      <c r="B10643" t="s">
        <v>23539</v>
      </c>
      <c r="C10643" t="s">
        <v>23540</v>
      </c>
      <c r="D10643" t="s">
        <v>20</v>
      </c>
      <c r="E10643" t="s">
        <v>39</v>
      </c>
      <c r="F10643">
        <v>0</v>
      </c>
      <c r="G10643">
        <v>0</v>
      </c>
      <c r="H10643">
        <v>17</v>
      </c>
      <c r="I10643" s="3">
        <v>5908.81</v>
      </c>
      <c r="J10643" s="3">
        <v>4760.53</v>
      </c>
      <c r="L10643">
        <v>2807</v>
      </c>
      <c r="M10643" t="s">
        <v>23142</v>
      </c>
      <c r="N10643" t="s">
        <v>30</v>
      </c>
      <c r="O10643" t="s">
        <v>31</v>
      </c>
      <c r="P10643" t="str">
        <f t="shared" si="119"/>
        <v>15210</v>
      </c>
    </row>
    <row r="10644" spans="1:16" x14ac:dyDescent="0.25">
      <c r="A10644" t="str">
        <f>"1160013S00024    00"</f>
        <v>1160013S00024    00</v>
      </c>
      <c r="B10644" t="s">
        <v>23541</v>
      </c>
      <c r="C10644" t="s">
        <v>23542</v>
      </c>
      <c r="D10644" t="s">
        <v>20</v>
      </c>
      <c r="E10644" t="s">
        <v>39</v>
      </c>
      <c r="F10644">
        <v>0</v>
      </c>
      <c r="G10644">
        <v>0</v>
      </c>
      <c r="H10644">
        <v>2</v>
      </c>
      <c r="I10644" s="3">
        <v>488.59</v>
      </c>
      <c r="J10644" s="3">
        <v>0</v>
      </c>
      <c r="L10644">
        <v>142</v>
      </c>
      <c r="M10644" t="s">
        <v>23543</v>
      </c>
      <c r="N10644" t="s">
        <v>30</v>
      </c>
      <c r="O10644" t="s">
        <v>31</v>
      </c>
      <c r="P10644" t="str">
        <f t="shared" si="119"/>
        <v>15210</v>
      </c>
    </row>
    <row r="10645" spans="1:16" x14ac:dyDescent="0.25">
      <c r="A10645" t="str">
        <f>"1160013S00038    00"</f>
        <v>1160013S00038    00</v>
      </c>
      <c r="B10645" t="s">
        <v>23544</v>
      </c>
      <c r="C10645" t="s">
        <v>23545</v>
      </c>
      <c r="D10645" t="s">
        <v>20</v>
      </c>
      <c r="E10645" t="s">
        <v>39</v>
      </c>
      <c r="F10645">
        <v>0</v>
      </c>
      <c r="G10645">
        <v>0</v>
      </c>
      <c r="H10645">
        <v>19</v>
      </c>
      <c r="I10645" s="3">
        <v>7550</v>
      </c>
      <c r="J10645" s="3">
        <v>7355.24</v>
      </c>
      <c r="K10645" t="s">
        <v>23546</v>
      </c>
      <c r="L10645">
        <v>145</v>
      </c>
      <c r="M10645" t="s">
        <v>23543</v>
      </c>
      <c r="N10645" t="s">
        <v>30</v>
      </c>
      <c r="O10645" t="s">
        <v>31</v>
      </c>
      <c r="P10645" t="str">
        <f t="shared" si="119"/>
        <v>15210</v>
      </c>
    </row>
    <row r="10646" spans="1:16" x14ac:dyDescent="0.25">
      <c r="A10646" t="str">
        <f>"1160013S00039    00"</f>
        <v>1160013S00039    00</v>
      </c>
      <c r="B10646" t="s">
        <v>23547</v>
      </c>
      <c r="C10646" t="s">
        <v>23548</v>
      </c>
      <c r="D10646" t="s">
        <v>20</v>
      </c>
      <c r="E10646" t="s">
        <v>39</v>
      </c>
      <c r="F10646">
        <v>0</v>
      </c>
      <c r="G10646">
        <v>0</v>
      </c>
      <c r="H10646">
        <v>2</v>
      </c>
      <c r="I10646" s="3">
        <v>12.12</v>
      </c>
      <c r="J10646" s="3">
        <v>0.2</v>
      </c>
      <c r="L10646">
        <v>2833</v>
      </c>
      <c r="M10646" t="s">
        <v>23142</v>
      </c>
      <c r="N10646" t="s">
        <v>30</v>
      </c>
      <c r="O10646" t="s">
        <v>31</v>
      </c>
      <c r="P10646" t="str">
        <f t="shared" si="119"/>
        <v>15210</v>
      </c>
    </row>
    <row r="10647" spans="1:16" x14ac:dyDescent="0.25">
      <c r="A10647" t="str">
        <f>"1160013S00046    00"</f>
        <v>1160013S00046    00</v>
      </c>
      <c r="B10647" t="s">
        <v>23549</v>
      </c>
      <c r="C10647" t="s">
        <v>23550</v>
      </c>
      <c r="D10647" t="s">
        <v>20</v>
      </c>
      <c r="E10647" t="s">
        <v>39</v>
      </c>
      <c r="F10647">
        <v>0</v>
      </c>
      <c r="G10647">
        <v>0</v>
      </c>
      <c r="H10647">
        <v>1</v>
      </c>
      <c r="I10647" s="3">
        <v>238.71</v>
      </c>
      <c r="J10647" s="3">
        <v>0</v>
      </c>
      <c r="L10647">
        <v>136</v>
      </c>
      <c r="M10647" t="s">
        <v>23551</v>
      </c>
      <c r="N10647" t="s">
        <v>30</v>
      </c>
      <c r="O10647" t="s">
        <v>31</v>
      </c>
      <c r="P10647" t="str">
        <f t="shared" si="119"/>
        <v>15210</v>
      </c>
    </row>
    <row r="10648" spans="1:16" x14ac:dyDescent="0.25">
      <c r="A10648" t="str">
        <f>"1160013S00050    00"</f>
        <v>1160013S00050    00</v>
      </c>
      <c r="B10648" t="s">
        <v>23552</v>
      </c>
      <c r="C10648" t="s">
        <v>23553</v>
      </c>
      <c r="D10648" t="s">
        <v>57</v>
      </c>
      <c r="E10648" t="s">
        <v>39</v>
      </c>
      <c r="F10648">
        <v>0</v>
      </c>
      <c r="G10648">
        <v>0</v>
      </c>
      <c r="H10648">
        <v>1</v>
      </c>
      <c r="I10648" s="3">
        <v>378.47</v>
      </c>
      <c r="J10648" s="3">
        <v>384.77</v>
      </c>
      <c r="K10648" t="s">
        <v>23554</v>
      </c>
      <c r="L10648">
        <v>829</v>
      </c>
      <c r="M10648" t="s">
        <v>2475</v>
      </c>
      <c r="N10648" t="s">
        <v>30</v>
      </c>
      <c r="O10648" t="s">
        <v>31</v>
      </c>
      <c r="P10648" t="str">
        <f t="shared" si="119"/>
        <v>15210</v>
      </c>
    </row>
    <row r="10649" spans="1:16" x14ac:dyDescent="0.25">
      <c r="A10649" t="str">
        <f>"1160013S00057    00"</f>
        <v>1160013S00057    00</v>
      </c>
      <c r="B10649" t="s">
        <v>23555</v>
      </c>
      <c r="C10649" t="s">
        <v>23556</v>
      </c>
      <c r="D10649" t="s">
        <v>20</v>
      </c>
      <c r="E10649" t="s">
        <v>39</v>
      </c>
      <c r="F10649">
        <v>0</v>
      </c>
      <c r="G10649">
        <v>0</v>
      </c>
      <c r="H10649">
        <v>2</v>
      </c>
      <c r="I10649" s="3">
        <v>112.02</v>
      </c>
      <c r="J10649" s="3">
        <v>0</v>
      </c>
      <c r="L10649">
        <v>133</v>
      </c>
      <c r="M10649" t="s">
        <v>23551</v>
      </c>
      <c r="N10649" t="s">
        <v>30</v>
      </c>
      <c r="O10649" t="s">
        <v>31</v>
      </c>
      <c r="P10649" t="str">
        <f t="shared" si="119"/>
        <v>15210</v>
      </c>
    </row>
    <row r="10650" spans="1:16" x14ac:dyDescent="0.25">
      <c r="A10650" t="str">
        <f>"1160013S00059    00"</f>
        <v>1160013S00059    00</v>
      </c>
      <c r="B10650" t="s">
        <v>23557</v>
      </c>
      <c r="C10650" t="s">
        <v>23558</v>
      </c>
      <c r="D10650" t="s">
        <v>20</v>
      </c>
      <c r="E10650" t="s">
        <v>39</v>
      </c>
      <c r="F10650">
        <v>0</v>
      </c>
      <c r="G10650">
        <v>0</v>
      </c>
      <c r="H10650">
        <v>1</v>
      </c>
      <c r="I10650" s="3">
        <v>162.11000000000001</v>
      </c>
      <c r="J10650" s="3">
        <v>0</v>
      </c>
      <c r="L10650">
        <v>137</v>
      </c>
      <c r="M10650" t="s">
        <v>23551</v>
      </c>
      <c r="N10650" t="s">
        <v>30</v>
      </c>
      <c r="O10650" t="s">
        <v>31</v>
      </c>
      <c r="P10650" t="str">
        <f t="shared" si="119"/>
        <v>15210</v>
      </c>
    </row>
    <row r="10651" spans="1:16" x14ac:dyDescent="0.25">
      <c r="A10651" t="str">
        <f>"1160013S00078    00"</f>
        <v>1160013S00078    00</v>
      </c>
      <c r="B10651" t="s">
        <v>23559</v>
      </c>
      <c r="C10651" t="s">
        <v>23560</v>
      </c>
      <c r="E10651" t="s">
        <v>39</v>
      </c>
      <c r="F10651">
        <v>0</v>
      </c>
      <c r="G10651">
        <v>0</v>
      </c>
      <c r="H10651">
        <v>2</v>
      </c>
      <c r="I10651" s="3">
        <v>390.64</v>
      </c>
      <c r="J10651" s="3">
        <v>43.77</v>
      </c>
      <c r="L10651">
        <v>2931</v>
      </c>
      <c r="M10651" t="s">
        <v>23561</v>
      </c>
      <c r="N10651" t="s">
        <v>30</v>
      </c>
      <c r="O10651" t="s">
        <v>31</v>
      </c>
      <c r="P10651" t="str">
        <f t="shared" si="119"/>
        <v>15210</v>
      </c>
    </row>
    <row r="10652" spans="1:16" x14ac:dyDescent="0.25">
      <c r="A10652" t="str">
        <f>"1160013S00081    00"</f>
        <v>1160013S00081    00</v>
      </c>
      <c r="B10652" t="s">
        <v>23043</v>
      </c>
      <c r="C10652" t="s">
        <v>23562</v>
      </c>
      <c r="E10652" t="s">
        <v>39</v>
      </c>
      <c r="F10652">
        <v>0</v>
      </c>
      <c r="G10652">
        <v>0</v>
      </c>
      <c r="H10652">
        <v>1</v>
      </c>
      <c r="I10652" s="3">
        <v>463.17</v>
      </c>
      <c r="J10652" s="3">
        <v>0</v>
      </c>
      <c r="K10652" t="s">
        <v>23045</v>
      </c>
      <c r="M10652" t="s">
        <v>23046</v>
      </c>
      <c r="N10652" t="s">
        <v>30</v>
      </c>
      <c r="O10652" t="s">
        <v>31</v>
      </c>
      <c r="P10652" t="str">
        <f t="shared" si="119"/>
        <v>15210</v>
      </c>
    </row>
    <row r="10653" spans="1:16" x14ac:dyDescent="0.25">
      <c r="A10653" t="str">
        <f>"1160013S00091    00"</f>
        <v>1160013S00091    00</v>
      </c>
      <c r="B10653" t="s">
        <v>23563</v>
      </c>
      <c r="C10653" t="s">
        <v>23564</v>
      </c>
      <c r="D10653" t="s">
        <v>20</v>
      </c>
      <c r="E10653" t="s">
        <v>39</v>
      </c>
      <c r="F10653">
        <v>0</v>
      </c>
      <c r="G10653">
        <v>0</v>
      </c>
      <c r="H10653">
        <v>3</v>
      </c>
      <c r="I10653" s="3">
        <v>1139.07</v>
      </c>
      <c r="J10653" s="3">
        <v>0</v>
      </c>
      <c r="L10653">
        <v>629</v>
      </c>
      <c r="M10653" t="s">
        <v>23497</v>
      </c>
      <c r="N10653" t="s">
        <v>30</v>
      </c>
      <c r="O10653" t="s">
        <v>31</v>
      </c>
      <c r="P10653" t="str">
        <f>"15211"</f>
        <v>15211</v>
      </c>
    </row>
    <row r="10654" spans="1:16" x14ac:dyDescent="0.25">
      <c r="A10654" t="str">
        <f>"1160013S00092    00"</f>
        <v>1160013S00092    00</v>
      </c>
      <c r="B10654" t="s">
        <v>23116</v>
      </c>
      <c r="C10654" t="s">
        <v>23565</v>
      </c>
      <c r="E10654" t="s">
        <v>39</v>
      </c>
      <c r="F10654">
        <v>0</v>
      </c>
      <c r="G10654">
        <v>0</v>
      </c>
      <c r="H10654">
        <v>1</v>
      </c>
      <c r="I10654" s="3">
        <v>310.58</v>
      </c>
      <c r="J10654" s="3">
        <v>0</v>
      </c>
      <c r="K10654" t="s">
        <v>23118</v>
      </c>
      <c r="L10654">
        <v>5000</v>
      </c>
      <c r="M10654" t="s">
        <v>23566</v>
      </c>
      <c r="N10654" t="s">
        <v>23567</v>
      </c>
      <c r="O10654" t="s">
        <v>108</v>
      </c>
      <c r="P10654" t="str">
        <f>"75033"</f>
        <v>75033</v>
      </c>
    </row>
    <row r="10655" spans="1:16" x14ac:dyDescent="0.25">
      <c r="A10655" t="str">
        <f>"1160013S00093    00"</f>
        <v>1160013S00093    00</v>
      </c>
      <c r="B10655" t="s">
        <v>23568</v>
      </c>
      <c r="C10655" t="s">
        <v>23569</v>
      </c>
      <c r="D10655" t="s">
        <v>20</v>
      </c>
      <c r="E10655" t="s">
        <v>39</v>
      </c>
      <c r="F10655">
        <v>0</v>
      </c>
      <c r="G10655">
        <v>0</v>
      </c>
      <c r="H10655">
        <v>6</v>
      </c>
      <c r="I10655" s="3">
        <v>1654.38</v>
      </c>
      <c r="J10655" s="3">
        <v>372.35</v>
      </c>
      <c r="L10655">
        <v>629</v>
      </c>
      <c r="M10655" t="s">
        <v>23497</v>
      </c>
      <c r="N10655" t="s">
        <v>30</v>
      </c>
      <c r="O10655" t="s">
        <v>31</v>
      </c>
      <c r="P10655" t="str">
        <f>"15211"</f>
        <v>15211</v>
      </c>
    </row>
    <row r="10656" spans="1:16" x14ac:dyDescent="0.25">
      <c r="A10656" t="str">
        <f>"1160013S00100    00"</f>
        <v>1160013S00100    00</v>
      </c>
      <c r="B10656" t="s">
        <v>23570</v>
      </c>
      <c r="C10656" t="s">
        <v>23571</v>
      </c>
      <c r="D10656" t="s">
        <v>20</v>
      </c>
      <c r="E10656" t="s">
        <v>39</v>
      </c>
      <c r="F10656">
        <v>0</v>
      </c>
      <c r="G10656">
        <v>0</v>
      </c>
      <c r="H10656">
        <v>19</v>
      </c>
      <c r="I10656" s="3">
        <v>4885.93</v>
      </c>
      <c r="J10656" s="3">
        <v>5006.42</v>
      </c>
      <c r="P10656" t="str">
        <f>""</f>
        <v/>
      </c>
    </row>
    <row r="10657" spans="1:16" x14ac:dyDescent="0.25">
      <c r="A10657" t="str">
        <f>"1160013S00102    00"</f>
        <v>1160013S00102    00</v>
      </c>
      <c r="B10657" t="s">
        <v>23572</v>
      </c>
      <c r="C10657" t="s">
        <v>23571</v>
      </c>
      <c r="D10657" t="s">
        <v>20</v>
      </c>
      <c r="E10657" t="s">
        <v>39</v>
      </c>
      <c r="F10657">
        <v>0</v>
      </c>
      <c r="G10657">
        <v>0</v>
      </c>
      <c r="H10657">
        <v>19</v>
      </c>
      <c r="I10657" s="3">
        <v>6611.9</v>
      </c>
      <c r="J10657" s="3">
        <v>9163.99</v>
      </c>
      <c r="L10657">
        <v>750</v>
      </c>
      <c r="M10657" t="s">
        <v>23573</v>
      </c>
      <c r="N10657" t="s">
        <v>23574</v>
      </c>
      <c r="O10657" t="s">
        <v>25</v>
      </c>
      <c r="P10657" t="str">
        <f>"45801"</f>
        <v>45801</v>
      </c>
    </row>
    <row r="10658" spans="1:16" x14ac:dyDescent="0.25">
      <c r="A10658" t="str">
        <f>"1160013S00104    00"</f>
        <v>1160013S00104    00</v>
      </c>
      <c r="B10658" t="s">
        <v>23575</v>
      </c>
      <c r="C10658" t="s">
        <v>23576</v>
      </c>
      <c r="D10658" t="s">
        <v>20</v>
      </c>
      <c r="E10658" t="s">
        <v>39</v>
      </c>
      <c r="F10658">
        <v>0</v>
      </c>
      <c r="G10658">
        <v>0</v>
      </c>
      <c r="H10658">
        <v>19</v>
      </c>
      <c r="I10658" s="3">
        <v>18978.48</v>
      </c>
      <c r="J10658" s="3">
        <v>18215.25</v>
      </c>
      <c r="L10658">
        <v>2923</v>
      </c>
      <c r="M10658" t="s">
        <v>23561</v>
      </c>
      <c r="N10658" t="s">
        <v>30</v>
      </c>
      <c r="O10658" t="s">
        <v>31</v>
      </c>
      <c r="P10658" t="str">
        <f>"15210"</f>
        <v>15210</v>
      </c>
    </row>
    <row r="10659" spans="1:16" x14ac:dyDescent="0.25">
      <c r="A10659" t="str">
        <f>"1160013S00123    00"</f>
        <v>1160013S00123    00</v>
      </c>
      <c r="B10659" t="s">
        <v>23577</v>
      </c>
      <c r="C10659" t="s">
        <v>23571</v>
      </c>
      <c r="D10659" t="s">
        <v>20</v>
      </c>
      <c r="E10659" t="s">
        <v>39</v>
      </c>
      <c r="F10659">
        <v>0</v>
      </c>
      <c r="G10659">
        <v>0</v>
      </c>
      <c r="H10659">
        <v>19</v>
      </c>
      <c r="I10659" s="3">
        <v>471.53</v>
      </c>
      <c r="J10659" s="3">
        <v>519.14</v>
      </c>
      <c r="K10659" t="s">
        <v>1037</v>
      </c>
      <c r="L10659">
        <v>2912</v>
      </c>
      <c r="M10659" t="s">
        <v>23561</v>
      </c>
      <c r="N10659" t="s">
        <v>30</v>
      </c>
      <c r="O10659" t="s">
        <v>31</v>
      </c>
      <c r="P10659" t="str">
        <f>"15210"</f>
        <v>15210</v>
      </c>
    </row>
    <row r="10660" spans="1:16" x14ac:dyDescent="0.25">
      <c r="A10660" t="str">
        <f>"1160013S00133    00"</f>
        <v>1160013S00133    00</v>
      </c>
      <c r="B10660" t="s">
        <v>23578</v>
      </c>
      <c r="C10660" t="s">
        <v>23579</v>
      </c>
      <c r="D10660" t="s">
        <v>20</v>
      </c>
      <c r="E10660" t="s">
        <v>39</v>
      </c>
      <c r="F10660">
        <v>0</v>
      </c>
      <c r="G10660">
        <v>0</v>
      </c>
      <c r="H10660">
        <v>9</v>
      </c>
      <c r="I10660" s="3">
        <v>100.8</v>
      </c>
      <c r="J10660" s="3">
        <v>38.380000000000003</v>
      </c>
      <c r="K10660" t="s">
        <v>23580</v>
      </c>
      <c r="L10660">
        <v>114</v>
      </c>
      <c r="M10660" t="s">
        <v>23543</v>
      </c>
      <c r="N10660" t="s">
        <v>30</v>
      </c>
      <c r="O10660" t="s">
        <v>31</v>
      </c>
      <c r="P10660" t="str">
        <f>"15210"</f>
        <v>15210</v>
      </c>
    </row>
    <row r="10661" spans="1:16" x14ac:dyDescent="0.25">
      <c r="A10661" t="str">
        <f>"1160013S00141    00"</f>
        <v>1160013S00141    00</v>
      </c>
      <c r="B10661" t="s">
        <v>23581</v>
      </c>
      <c r="C10661" t="s">
        <v>23582</v>
      </c>
      <c r="D10661" t="s">
        <v>20</v>
      </c>
      <c r="E10661" t="s">
        <v>39</v>
      </c>
      <c r="F10661">
        <v>0</v>
      </c>
      <c r="G10661">
        <v>0</v>
      </c>
      <c r="H10661">
        <v>19</v>
      </c>
      <c r="I10661" s="3">
        <v>493.54</v>
      </c>
      <c r="J10661" s="3">
        <v>530.78</v>
      </c>
      <c r="K10661" t="s">
        <v>1037</v>
      </c>
      <c r="L10661">
        <v>317</v>
      </c>
      <c r="M10661" t="s">
        <v>23583</v>
      </c>
      <c r="N10661" t="s">
        <v>30</v>
      </c>
      <c r="O10661" t="s">
        <v>31</v>
      </c>
      <c r="P10661" t="str">
        <f>"15236"</f>
        <v>15236</v>
      </c>
    </row>
    <row r="10662" spans="1:16" x14ac:dyDescent="0.25">
      <c r="A10662" t="str">
        <f>"1160013S00151    00"</f>
        <v>1160013S00151    00</v>
      </c>
      <c r="B10662" t="s">
        <v>23584</v>
      </c>
      <c r="C10662" t="s">
        <v>23585</v>
      </c>
      <c r="D10662" t="s">
        <v>20</v>
      </c>
      <c r="E10662" t="s">
        <v>39</v>
      </c>
      <c r="F10662">
        <v>0</v>
      </c>
      <c r="G10662">
        <v>0</v>
      </c>
      <c r="H10662">
        <v>2</v>
      </c>
      <c r="I10662" s="3">
        <v>51.12</v>
      </c>
      <c r="J10662" s="3">
        <v>0</v>
      </c>
      <c r="L10662">
        <v>2914</v>
      </c>
      <c r="M10662" t="s">
        <v>23586</v>
      </c>
      <c r="N10662" t="s">
        <v>30</v>
      </c>
      <c r="O10662" t="s">
        <v>31</v>
      </c>
      <c r="P10662" t="str">
        <f>"15210"</f>
        <v>15210</v>
      </c>
    </row>
    <row r="10663" spans="1:16" x14ac:dyDescent="0.25">
      <c r="A10663" t="str">
        <f>"1160013S00154    00"</f>
        <v>1160013S00154    00</v>
      </c>
      <c r="B10663" t="s">
        <v>23587</v>
      </c>
      <c r="C10663" t="s">
        <v>23588</v>
      </c>
      <c r="E10663" t="s">
        <v>39</v>
      </c>
      <c r="F10663">
        <v>0</v>
      </c>
      <c r="G10663">
        <v>0</v>
      </c>
      <c r="H10663">
        <v>1</v>
      </c>
      <c r="I10663" s="3">
        <v>518.42999999999995</v>
      </c>
      <c r="J10663" s="3">
        <v>0</v>
      </c>
      <c r="K10663" t="s">
        <v>23589</v>
      </c>
      <c r="L10663">
        <v>4607</v>
      </c>
      <c r="M10663" t="s">
        <v>4648</v>
      </c>
      <c r="N10663" t="s">
        <v>3934</v>
      </c>
      <c r="O10663" t="s">
        <v>31</v>
      </c>
      <c r="P10663" t="str">
        <f>"15102"</f>
        <v>15102</v>
      </c>
    </row>
    <row r="10664" spans="1:16" x14ac:dyDescent="0.25">
      <c r="A10664" t="str">
        <f>"1160013S00158    00"</f>
        <v>1160013S00158    00</v>
      </c>
      <c r="B10664" t="s">
        <v>23590</v>
      </c>
      <c r="C10664" t="s">
        <v>23591</v>
      </c>
      <c r="D10664" t="s">
        <v>20</v>
      </c>
      <c r="E10664" t="s">
        <v>39</v>
      </c>
      <c r="F10664">
        <v>0</v>
      </c>
      <c r="G10664">
        <v>0</v>
      </c>
      <c r="H10664">
        <v>7</v>
      </c>
      <c r="I10664" s="3">
        <v>2604.4699999999998</v>
      </c>
      <c r="J10664" s="3">
        <v>663.57</v>
      </c>
      <c r="L10664">
        <v>324</v>
      </c>
      <c r="M10664" t="s">
        <v>23551</v>
      </c>
      <c r="N10664" t="s">
        <v>30</v>
      </c>
      <c r="O10664" t="s">
        <v>31</v>
      </c>
      <c r="P10664" t="str">
        <f>"15210"</f>
        <v>15210</v>
      </c>
    </row>
    <row r="10665" spans="1:16" x14ac:dyDescent="0.25">
      <c r="A10665" t="str">
        <f>"1160013S00166    00"</f>
        <v>1160013S00166    00</v>
      </c>
      <c r="B10665" t="s">
        <v>23592</v>
      </c>
      <c r="C10665" t="s">
        <v>23593</v>
      </c>
      <c r="E10665" t="s">
        <v>39</v>
      </c>
      <c r="F10665">
        <v>0</v>
      </c>
      <c r="G10665">
        <v>0</v>
      </c>
      <c r="H10665">
        <v>2</v>
      </c>
      <c r="I10665" s="3">
        <v>388.42</v>
      </c>
      <c r="J10665" s="3">
        <v>111.94</v>
      </c>
      <c r="L10665">
        <v>310</v>
      </c>
      <c r="M10665" t="s">
        <v>23551</v>
      </c>
      <c r="N10665" t="s">
        <v>30</v>
      </c>
      <c r="O10665" t="s">
        <v>31</v>
      </c>
      <c r="P10665" t="str">
        <f>"15210"</f>
        <v>15210</v>
      </c>
    </row>
    <row r="10666" spans="1:16" x14ac:dyDescent="0.25">
      <c r="A10666" t="str">
        <f>"1160013S00168    00"</f>
        <v>1160013S00168    00</v>
      </c>
      <c r="B10666" t="s">
        <v>23594</v>
      </c>
      <c r="C10666" t="s">
        <v>23595</v>
      </c>
      <c r="E10666" t="s">
        <v>39</v>
      </c>
      <c r="F10666">
        <v>0</v>
      </c>
      <c r="G10666">
        <v>0</v>
      </c>
      <c r="H10666">
        <v>3</v>
      </c>
      <c r="I10666" s="3">
        <v>2926.61</v>
      </c>
      <c r="J10666" s="3">
        <v>4455.51</v>
      </c>
      <c r="L10666">
        <v>306</v>
      </c>
      <c r="M10666" t="s">
        <v>23551</v>
      </c>
      <c r="N10666" t="s">
        <v>30</v>
      </c>
      <c r="O10666" t="s">
        <v>31</v>
      </c>
      <c r="P10666" t="str">
        <f>"15210"</f>
        <v>15210</v>
      </c>
    </row>
    <row r="10667" spans="1:16" x14ac:dyDescent="0.25">
      <c r="A10667" t="str">
        <f>"1160013S00172    00"</f>
        <v>1160013S00172    00</v>
      </c>
      <c r="B10667" t="s">
        <v>22975</v>
      </c>
      <c r="C10667" t="s">
        <v>23596</v>
      </c>
      <c r="D10667" t="s">
        <v>20</v>
      </c>
      <c r="E10667" t="s">
        <v>39</v>
      </c>
      <c r="F10667">
        <v>0</v>
      </c>
      <c r="G10667">
        <v>0</v>
      </c>
      <c r="H10667">
        <v>7</v>
      </c>
      <c r="I10667" s="3">
        <v>3954.17</v>
      </c>
      <c r="J10667" s="3">
        <v>1093.47</v>
      </c>
      <c r="K10667" t="s">
        <v>22977</v>
      </c>
      <c r="M10667" t="s">
        <v>23597</v>
      </c>
      <c r="N10667" t="s">
        <v>149</v>
      </c>
      <c r="O10667" t="s">
        <v>31</v>
      </c>
      <c r="P10667" t="str">
        <f>"15106"</f>
        <v>15106</v>
      </c>
    </row>
    <row r="10668" spans="1:16" x14ac:dyDescent="0.25">
      <c r="A10668" t="str">
        <f>"1160013S00175    00"</f>
        <v>1160013S00175    00</v>
      </c>
      <c r="B10668" t="s">
        <v>23598</v>
      </c>
      <c r="C10668" t="s">
        <v>23599</v>
      </c>
      <c r="D10668" t="s">
        <v>20</v>
      </c>
      <c r="E10668" t="s">
        <v>39</v>
      </c>
      <c r="F10668">
        <v>0</v>
      </c>
      <c r="G10668">
        <v>0</v>
      </c>
      <c r="H10668">
        <v>19</v>
      </c>
      <c r="I10668" s="3">
        <v>518.27</v>
      </c>
      <c r="J10668" s="3">
        <v>566.42999999999995</v>
      </c>
      <c r="L10668">
        <v>214</v>
      </c>
      <c r="M10668" t="s">
        <v>23551</v>
      </c>
      <c r="N10668" t="s">
        <v>30</v>
      </c>
      <c r="O10668" t="s">
        <v>31</v>
      </c>
      <c r="P10668" t="str">
        <f>"15210"</f>
        <v>15210</v>
      </c>
    </row>
    <row r="10669" spans="1:16" x14ac:dyDescent="0.25">
      <c r="A10669" t="str">
        <f>"1160013S00180    00"</f>
        <v>1160013S00180    00</v>
      </c>
      <c r="B10669" t="s">
        <v>23600</v>
      </c>
      <c r="C10669" t="s">
        <v>23601</v>
      </c>
      <c r="D10669" t="s">
        <v>20</v>
      </c>
      <c r="E10669" t="s">
        <v>39</v>
      </c>
      <c r="F10669">
        <v>0</v>
      </c>
      <c r="G10669">
        <v>0</v>
      </c>
      <c r="H10669">
        <v>19</v>
      </c>
      <c r="I10669" s="3">
        <v>1282.68</v>
      </c>
      <c r="J10669" s="3">
        <v>1667.82</v>
      </c>
      <c r="K10669" t="s">
        <v>23602</v>
      </c>
      <c r="L10669">
        <v>424</v>
      </c>
      <c r="M10669" t="s">
        <v>23603</v>
      </c>
      <c r="N10669" t="s">
        <v>30</v>
      </c>
      <c r="O10669" t="s">
        <v>31</v>
      </c>
      <c r="P10669" t="str">
        <f>"15235"</f>
        <v>15235</v>
      </c>
    </row>
    <row r="10670" spans="1:16" x14ac:dyDescent="0.25">
      <c r="A10670" t="str">
        <f>"1160013S00195    00"</f>
        <v>1160013S00195    00</v>
      </c>
      <c r="B10670" t="s">
        <v>23604</v>
      </c>
      <c r="C10670" t="s">
        <v>23605</v>
      </c>
      <c r="D10670" t="s">
        <v>20</v>
      </c>
      <c r="E10670" t="s">
        <v>39</v>
      </c>
      <c r="F10670">
        <v>0</v>
      </c>
      <c r="G10670">
        <v>0</v>
      </c>
      <c r="H10670">
        <v>5</v>
      </c>
      <c r="I10670" s="3">
        <v>2213.48</v>
      </c>
      <c r="J10670" s="3">
        <v>349.98</v>
      </c>
      <c r="L10670">
        <v>217</v>
      </c>
      <c r="M10670" t="s">
        <v>23543</v>
      </c>
      <c r="N10670" t="s">
        <v>30</v>
      </c>
      <c r="O10670" t="s">
        <v>31</v>
      </c>
      <c r="P10670" t="str">
        <f>"15210"</f>
        <v>15210</v>
      </c>
    </row>
    <row r="10671" spans="1:16" x14ac:dyDescent="0.25">
      <c r="A10671" t="str">
        <f>"1160013S00197    00"</f>
        <v>1160013S00197    00</v>
      </c>
      <c r="B10671" t="s">
        <v>23606</v>
      </c>
      <c r="C10671" t="s">
        <v>23607</v>
      </c>
      <c r="D10671" t="s">
        <v>20</v>
      </c>
      <c r="E10671" t="s">
        <v>39</v>
      </c>
      <c r="F10671">
        <v>0</v>
      </c>
      <c r="G10671">
        <v>0</v>
      </c>
      <c r="H10671">
        <v>19</v>
      </c>
      <c r="I10671" s="3">
        <v>13155.16</v>
      </c>
      <c r="J10671" s="3">
        <v>13055.9</v>
      </c>
      <c r="L10671">
        <v>221</v>
      </c>
      <c r="M10671" t="s">
        <v>23543</v>
      </c>
      <c r="N10671" t="s">
        <v>30</v>
      </c>
      <c r="O10671" t="s">
        <v>31</v>
      </c>
      <c r="P10671" t="str">
        <f>"15210"</f>
        <v>15210</v>
      </c>
    </row>
    <row r="10672" spans="1:16" x14ac:dyDescent="0.25">
      <c r="A10672" t="str">
        <f>"1160013S00198    00"</f>
        <v>1160013S00198    00</v>
      </c>
      <c r="B10672" t="s">
        <v>23608</v>
      </c>
      <c r="C10672" t="s">
        <v>23609</v>
      </c>
      <c r="D10672" t="s">
        <v>20</v>
      </c>
      <c r="E10672" t="s">
        <v>39</v>
      </c>
      <c r="F10672">
        <v>0</v>
      </c>
      <c r="G10672">
        <v>0</v>
      </c>
      <c r="H10672">
        <v>19</v>
      </c>
      <c r="I10672" s="3">
        <v>4900.8999999999996</v>
      </c>
      <c r="J10672" s="3">
        <v>5330.12</v>
      </c>
      <c r="K10672" t="s">
        <v>1008</v>
      </c>
      <c r="P10672" t="str">
        <f>""</f>
        <v/>
      </c>
    </row>
    <row r="10673" spans="1:16" x14ac:dyDescent="0.25">
      <c r="A10673" t="str">
        <f>"1160013S00200    00"</f>
        <v>1160013S00200    00</v>
      </c>
      <c r="B10673" t="s">
        <v>23610</v>
      </c>
      <c r="C10673" t="s">
        <v>23611</v>
      </c>
      <c r="D10673" t="s">
        <v>20</v>
      </c>
      <c r="E10673" t="s">
        <v>39</v>
      </c>
      <c r="F10673">
        <v>0</v>
      </c>
      <c r="G10673">
        <v>0</v>
      </c>
      <c r="H10673">
        <v>1</v>
      </c>
      <c r="I10673" s="3">
        <v>17.55</v>
      </c>
      <c r="J10673" s="3">
        <v>0</v>
      </c>
      <c r="L10673">
        <v>227</v>
      </c>
      <c r="M10673" t="s">
        <v>23543</v>
      </c>
      <c r="N10673" t="s">
        <v>30</v>
      </c>
      <c r="O10673" t="s">
        <v>31</v>
      </c>
      <c r="P10673" t="str">
        <f>"15210"</f>
        <v>15210</v>
      </c>
    </row>
    <row r="10674" spans="1:16" x14ac:dyDescent="0.25">
      <c r="A10674" t="str">
        <f>"1160013S00201    00"</f>
        <v>1160013S00201    00</v>
      </c>
      <c r="B10674" t="s">
        <v>23612</v>
      </c>
      <c r="C10674" t="s">
        <v>23609</v>
      </c>
      <c r="D10674" t="s">
        <v>20</v>
      </c>
      <c r="E10674" t="s">
        <v>39</v>
      </c>
      <c r="F10674">
        <v>0</v>
      </c>
      <c r="G10674">
        <v>0</v>
      </c>
      <c r="H10674">
        <v>19</v>
      </c>
      <c r="I10674" s="3">
        <v>4832.2</v>
      </c>
      <c r="J10674" s="3">
        <v>5271.34</v>
      </c>
      <c r="M10674" t="s">
        <v>23613</v>
      </c>
      <c r="N10674" t="s">
        <v>5390</v>
      </c>
      <c r="O10674" t="s">
        <v>370</v>
      </c>
      <c r="P10674" t="str">
        <f>"34101"</f>
        <v>34101</v>
      </c>
    </row>
    <row r="10675" spans="1:16" x14ac:dyDescent="0.25">
      <c r="A10675" t="str">
        <f>"1160013S00207    00"</f>
        <v>1160013S00207    00</v>
      </c>
      <c r="B10675" t="s">
        <v>23614</v>
      </c>
      <c r="C10675" t="s">
        <v>23615</v>
      </c>
      <c r="D10675" t="s">
        <v>20</v>
      </c>
      <c r="E10675" t="s">
        <v>39</v>
      </c>
      <c r="F10675">
        <v>0</v>
      </c>
      <c r="G10675">
        <v>0</v>
      </c>
      <c r="H10675">
        <v>16</v>
      </c>
      <c r="I10675" s="3">
        <v>6615.45</v>
      </c>
      <c r="J10675" s="3">
        <v>4677.75</v>
      </c>
      <c r="L10675">
        <v>103</v>
      </c>
      <c r="M10675" t="s">
        <v>23616</v>
      </c>
      <c r="N10675" t="s">
        <v>625</v>
      </c>
      <c r="O10675" t="s">
        <v>31</v>
      </c>
      <c r="P10675" t="str">
        <f>"15108"</f>
        <v>15108</v>
      </c>
    </row>
    <row r="10676" spans="1:16" x14ac:dyDescent="0.25">
      <c r="A10676" t="str">
        <f>"1160013S00224    00"</f>
        <v>1160013S00224    00</v>
      </c>
      <c r="B10676" t="s">
        <v>23617</v>
      </c>
      <c r="C10676" t="s">
        <v>23618</v>
      </c>
      <c r="D10676" t="s">
        <v>20</v>
      </c>
      <c r="E10676" t="s">
        <v>39</v>
      </c>
      <c r="F10676">
        <v>0</v>
      </c>
      <c r="G10676">
        <v>0</v>
      </c>
      <c r="H10676">
        <v>19</v>
      </c>
      <c r="I10676" s="3">
        <v>518.27</v>
      </c>
      <c r="J10676" s="3">
        <v>566.42999999999995</v>
      </c>
      <c r="L10676">
        <v>301</v>
      </c>
      <c r="M10676" t="s">
        <v>23309</v>
      </c>
      <c r="N10676" t="s">
        <v>30</v>
      </c>
      <c r="O10676" t="s">
        <v>31</v>
      </c>
      <c r="P10676" t="str">
        <f>"15210"</f>
        <v>15210</v>
      </c>
    </row>
    <row r="10677" spans="1:16" x14ac:dyDescent="0.25">
      <c r="A10677" t="str">
        <f>"1160013S00233    00"</f>
        <v>1160013S00233    00</v>
      </c>
      <c r="B10677" t="s">
        <v>23619</v>
      </c>
      <c r="C10677" t="s">
        <v>23620</v>
      </c>
      <c r="D10677" t="s">
        <v>20</v>
      </c>
      <c r="E10677" t="s">
        <v>39</v>
      </c>
      <c r="F10677">
        <v>0</v>
      </c>
      <c r="G10677">
        <v>0</v>
      </c>
      <c r="H10677">
        <v>3</v>
      </c>
      <c r="I10677" s="3">
        <v>1302.5999999999999</v>
      </c>
      <c r="J10677" s="3">
        <v>205.44</v>
      </c>
      <c r="K10677" t="s">
        <v>23621</v>
      </c>
      <c r="L10677">
        <v>213</v>
      </c>
      <c r="M10677" t="s">
        <v>23309</v>
      </c>
      <c r="N10677" t="s">
        <v>30</v>
      </c>
      <c r="O10677" t="s">
        <v>31</v>
      </c>
      <c r="P10677" t="str">
        <f>"15210"</f>
        <v>15210</v>
      </c>
    </row>
    <row r="10678" spans="1:16" x14ac:dyDescent="0.25">
      <c r="A10678" t="str">
        <f>"1160013S00243    00"</f>
        <v>1160013S00243    00</v>
      </c>
      <c r="B10678" t="s">
        <v>23622</v>
      </c>
      <c r="C10678" t="s">
        <v>23623</v>
      </c>
      <c r="D10678" t="s">
        <v>20</v>
      </c>
      <c r="E10678" t="s">
        <v>39</v>
      </c>
      <c r="F10678">
        <v>0</v>
      </c>
      <c r="G10678">
        <v>0</v>
      </c>
      <c r="H10678">
        <v>4</v>
      </c>
      <c r="I10678" s="3">
        <v>2224.16</v>
      </c>
      <c r="J10678" s="3">
        <v>481.72</v>
      </c>
      <c r="K10678" t="s">
        <v>23624</v>
      </c>
      <c r="L10678">
        <v>2009</v>
      </c>
      <c r="M10678" t="s">
        <v>23625</v>
      </c>
      <c r="N10678" t="s">
        <v>3951</v>
      </c>
      <c r="O10678" t="s">
        <v>370</v>
      </c>
      <c r="P10678" t="str">
        <f>"33612"</f>
        <v>33612</v>
      </c>
    </row>
    <row r="10679" spans="1:16" x14ac:dyDescent="0.25">
      <c r="A10679" t="str">
        <f>"1160013S00250    00"</f>
        <v>1160013S00250    00</v>
      </c>
      <c r="B10679" t="s">
        <v>23626</v>
      </c>
      <c r="C10679" t="s">
        <v>23627</v>
      </c>
      <c r="E10679" t="s">
        <v>39</v>
      </c>
      <c r="F10679">
        <v>0</v>
      </c>
      <c r="G10679">
        <v>0</v>
      </c>
      <c r="H10679">
        <v>7</v>
      </c>
      <c r="I10679" s="3">
        <v>295.87</v>
      </c>
      <c r="J10679" s="3">
        <v>109.01</v>
      </c>
      <c r="L10679">
        <v>2810</v>
      </c>
      <c r="M10679" t="s">
        <v>23142</v>
      </c>
      <c r="N10679" t="s">
        <v>30</v>
      </c>
      <c r="O10679" t="s">
        <v>31</v>
      </c>
      <c r="P10679" t="str">
        <f>"15210"</f>
        <v>15210</v>
      </c>
    </row>
    <row r="10680" spans="1:16" x14ac:dyDescent="0.25">
      <c r="A10680" t="str">
        <f>"1160013S00251    00"</f>
        <v>1160013S00251    00</v>
      </c>
      <c r="B10680" t="s">
        <v>23626</v>
      </c>
      <c r="C10680" t="s">
        <v>23628</v>
      </c>
      <c r="E10680" t="s">
        <v>39</v>
      </c>
      <c r="F10680">
        <v>0</v>
      </c>
      <c r="G10680">
        <v>0</v>
      </c>
      <c r="H10680">
        <v>7</v>
      </c>
      <c r="I10680" s="3">
        <v>1692.54</v>
      </c>
      <c r="J10680" s="3">
        <v>625.63</v>
      </c>
      <c r="L10680">
        <v>2810</v>
      </c>
      <c r="M10680" t="s">
        <v>23142</v>
      </c>
      <c r="N10680" t="s">
        <v>30</v>
      </c>
      <c r="O10680" t="s">
        <v>31</v>
      </c>
      <c r="P10680" t="str">
        <f>"15210"</f>
        <v>15210</v>
      </c>
    </row>
    <row r="10681" spans="1:16" x14ac:dyDescent="0.25">
      <c r="A10681" t="str">
        <f>"1160013S00258    00"</f>
        <v>1160013S00258    00</v>
      </c>
      <c r="B10681" t="s">
        <v>23629</v>
      </c>
      <c r="C10681" t="s">
        <v>23630</v>
      </c>
      <c r="E10681" t="s">
        <v>39</v>
      </c>
      <c r="F10681">
        <v>0</v>
      </c>
      <c r="G10681">
        <v>0</v>
      </c>
      <c r="H10681">
        <v>1</v>
      </c>
      <c r="I10681" s="3">
        <v>594.70000000000005</v>
      </c>
      <c r="J10681" s="3">
        <v>118.93</v>
      </c>
      <c r="L10681">
        <v>2708</v>
      </c>
      <c r="M10681" t="s">
        <v>23142</v>
      </c>
      <c r="N10681" t="s">
        <v>30</v>
      </c>
      <c r="O10681" t="s">
        <v>31</v>
      </c>
      <c r="P10681" t="str">
        <f>"15210"</f>
        <v>15210</v>
      </c>
    </row>
    <row r="10682" spans="1:16" x14ac:dyDescent="0.25">
      <c r="A10682" t="str">
        <f>"1160013S00259    00"</f>
        <v>1160013S00259    00</v>
      </c>
      <c r="B10682" t="s">
        <v>23629</v>
      </c>
      <c r="C10682" t="s">
        <v>23630</v>
      </c>
      <c r="E10682" t="s">
        <v>39</v>
      </c>
      <c r="F10682">
        <v>0</v>
      </c>
      <c r="G10682">
        <v>0</v>
      </c>
      <c r="H10682">
        <v>1</v>
      </c>
      <c r="I10682" s="3">
        <v>55.28</v>
      </c>
      <c r="J10682" s="3">
        <v>11.06</v>
      </c>
      <c r="L10682">
        <v>2708</v>
      </c>
      <c r="M10682" t="s">
        <v>23142</v>
      </c>
      <c r="N10682" t="s">
        <v>30</v>
      </c>
      <c r="O10682" t="s">
        <v>31</v>
      </c>
      <c r="P10682" t="str">
        <f>"15210"</f>
        <v>15210</v>
      </c>
    </row>
    <row r="10683" spans="1:16" x14ac:dyDescent="0.25">
      <c r="A10683" t="str">
        <f>"1160013S00261    00"</f>
        <v>1160013S00261    00</v>
      </c>
      <c r="B10683" t="s">
        <v>23631</v>
      </c>
      <c r="C10683" t="s">
        <v>23630</v>
      </c>
      <c r="E10683" t="s">
        <v>39</v>
      </c>
      <c r="F10683">
        <v>0</v>
      </c>
      <c r="G10683">
        <v>0</v>
      </c>
      <c r="H10683">
        <v>15</v>
      </c>
      <c r="I10683" s="3">
        <v>3981.48</v>
      </c>
      <c r="J10683" s="3">
        <v>4668.18</v>
      </c>
      <c r="L10683">
        <v>2708</v>
      </c>
      <c r="M10683" t="s">
        <v>23142</v>
      </c>
      <c r="N10683" t="s">
        <v>30</v>
      </c>
      <c r="O10683" t="s">
        <v>31</v>
      </c>
      <c r="P10683" t="str">
        <f>"15210"</f>
        <v>15210</v>
      </c>
    </row>
    <row r="10684" spans="1:16" x14ac:dyDescent="0.25">
      <c r="A10684" t="str">
        <f>"1160013S00265    00"</f>
        <v>1160013S00265    00</v>
      </c>
      <c r="B10684" t="s">
        <v>23632</v>
      </c>
      <c r="C10684" t="s">
        <v>23601</v>
      </c>
      <c r="D10684" t="s">
        <v>20</v>
      </c>
      <c r="E10684" t="s">
        <v>39</v>
      </c>
      <c r="F10684">
        <v>0</v>
      </c>
      <c r="G10684">
        <v>0</v>
      </c>
      <c r="H10684">
        <v>19</v>
      </c>
      <c r="I10684" s="3">
        <v>4324.95</v>
      </c>
      <c r="J10684" s="3">
        <v>4962.1000000000004</v>
      </c>
      <c r="L10684">
        <v>423</v>
      </c>
      <c r="M10684" t="s">
        <v>23633</v>
      </c>
      <c r="N10684" t="s">
        <v>30</v>
      </c>
      <c r="O10684" t="s">
        <v>31</v>
      </c>
      <c r="P10684" t="str">
        <f>"15226"</f>
        <v>15226</v>
      </c>
    </row>
    <row r="10685" spans="1:16" x14ac:dyDescent="0.25">
      <c r="A10685" t="str">
        <f>"1160013S00270    00"</f>
        <v>1160013S00270    00</v>
      </c>
      <c r="B10685" t="s">
        <v>23634</v>
      </c>
      <c r="C10685" t="s">
        <v>23635</v>
      </c>
      <c r="D10685" t="s">
        <v>20</v>
      </c>
      <c r="E10685" t="s">
        <v>39</v>
      </c>
      <c r="F10685">
        <v>0</v>
      </c>
      <c r="G10685">
        <v>0</v>
      </c>
      <c r="H10685">
        <v>4</v>
      </c>
      <c r="I10685" s="3">
        <v>454.6</v>
      </c>
      <c r="J10685" s="3">
        <v>53.98</v>
      </c>
      <c r="L10685">
        <v>218</v>
      </c>
      <c r="M10685" t="s">
        <v>23309</v>
      </c>
      <c r="N10685" t="s">
        <v>30</v>
      </c>
      <c r="O10685" t="s">
        <v>31</v>
      </c>
      <c r="P10685" t="str">
        <f>"15210"</f>
        <v>15210</v>
      </c>
    </row>
    <row r="10686" spans="1:16" x14ac:dyDescent="0.25">
      <c r="A10686" t="str">
        <f>"1160029E00006    00"</f>
        <v>1160029E00006    00</v>
      </c>
      <c r="B10686" t="s">
        <v>218</v>
      </c>
      <c r="C10686" t="s">
        <v>22541</v>
      </c>
      <c r="E10686" t="s">
        <v>207</v>
      </c>
      <c r="F10686">
        <v>0</v>
      </c>
      <c r="G10686">
        <v>0</v>
      </c>
      <c r="H10686">
        <v>2</v>
      </c>
      <c r="I10686" s="3">
        <v>29.04</v>
      </c>
      <c r="J10686" s="3">
        <v>18.75</v>
      </c>
      <c r="K10686" t="s">
        <v>220</v>
      </c>
      <c r="L10686">
        <v>412</v>
      </c>
      <c r="M10686" t="s">
        <v>221</v>
      </c>
      <c r="N10686" t="s">
        <v>30</v>
      </c>
      <c r="O10686" t="s">
        <v>31</v>
      </c>
      <c r="P10686" t="str">
        <f>"15219"</f>
        <v>15219</v>
      </c>
    </row>
    <row r="10687" spans="1:16" x14ac:dyDescent="0.25">
      <c r="A10687" t="str">
        <f>"1160029J00135    00"</f>
        <v>1160029J00135    00</v>
      </c>
      <c r="B10687" t="s">
        <v>218</v>
      </c>
      <c r="C10687" t="s">
        <v>23636</v>
      </c>
      <c r="D10687" t="s">
        <v>20</v>
      </c>
      <c r="E10687" t="s">
        <v>21</v>
      </c>
      <c r="F10687">
        <v>0</v>
      </c>
      <c r="G10687">
        <v>0</v>
      </c>
      <c r="H10687">
        <v>1</v>
      </c>
      <c r="I10687" s="3">
        <v>159764.75</v>
      </c>
      <c r="J10687" s="3">
        <v>0</v>
      </c>
      <c r="K10687" t="s">
        <v>220</v>
      </c>
      <c r="L10687">
        <v>412</v>
      </c>
      <c r="M10687" t="s">
        <v>221</v>
      </c>
      <c r="N10687" t="s">
        <v>30</v>
      </c>
      <c r="O10687" t="s">
        <v>31</v>
      </c>
      <c r="P10687" t="str">
        <f>"15219"</f>
        <v>15219</v>
      </c>
    </row>
    <row r="10688" spans="1:16" x14ac:dyDescent="0.25">
      <c r="A10688" t="str">
        <f>"1160029J00160    00"</f>
        <v>1160029J00160    00</v>
      </c>
      <c r="B10688" t="s">
        <v>218</v>
      </c>
      <c r="C10688" t="s">
        <v>23637</v>
      </c>
      <c r="D10688" t="s">
        <v>20</v>
      </c>
      <c r="E10688" t="s">
        <v>21</v>
      </c>
      <c r="F10688">
        <v>0</v>
      </c>
      <c r="G10688">
        <v>0</v>
      </c>
      <c r="H10688">
        <v>1</v>
      </c>
      <c r="I10688" s="3">
        <v>261476.52</v>
      </c>
      <c r="J10688" s="3">
        <v>0</v>
      </c>
      <c r="K10688" t="s">
        <v>220</v>
      </c>
      <c r="L10688">
        <v>412</v>
      </c>
      <c r="M10688" t="s">
        <v>221</v>
      </c>
      <c r="N10688" t="s">
        <v>30</v>
      </c>
      <c r="O10688" t="s">
        <v>31</v>
      </c>
      <c r="P10688" t="str">
        <f>"15219"</f>
        <v>15219</v>
      </c>
    </row>
    <row r="10689" spans="1:16" x14ac:dyDescent="0.25">
      <c r="A10689" t="str">
        <f>"1160029J00175    00"</f>
        <v>1160029J00175    00</v>
      </c>
      <c r="B10689" t="s">
        <v>218</v>
      </c>
      <c r="C10689" t="s">
        <v>23638</v>
      </c>
      <c r="D10689" t="s">
        <v>20</v>
      </c>
      <c r="E10689" t="s">
        <v>21</v>
      </c>
      <c r="F10689">
        <v>0</v>
      </c>
      <c r="G10689">
        <v>0</v>
      </c>
      <c r="H10689">
        <v>1</v>
      </c>
      <c r="I10689" s="3">
        <v>297406.53000000003</v>
      </c>
      <c r="J10689" s="3">
        <v>0</v>
      </c>
      <c r="K10689" t="s">
        <v>220</v>
      </c>
      <c r="L10689">
        <v>412</v>
      </c>
      <c r="M10689" t="s">
        <v>221</v>
      </c>
      <c r="N10689" t="s">
        <v>30</v>
      </c>
      <c r="O10689" t="s">
        <v>31</v>
      </c>
      <c r="P10689" t="str">
        <f>"15219"</f>
        <v>15219</v>
      </c>
    </row>
    <row r="10690" spans="1:16" x14ac:dyDescent="0.25">
      <c r="A10690" t="str">
        <f>"1160029N00049    00"</f>
        <v>1160029N00049    00</v>
      </c>
      <c r="B10690" t="s">
        <v>23639</v>
      </c>
      <c r="C10690" t="s">
        <v>23640</v>
      </c>
      <c r="D10690" t="s">
        <v>20</v>
      </c>
      <c r="E10690" t="s">
        <v>39</v>
      </c>
      <c r="F10690">
        <v>0</v>
      </c>
      <c r="G10690">
        <v>0</v>
      </c>
      <c r="H10690">
        <v>3</v>
      </c>
      <c r="I10690" s="3">
        <v>28.62</v>
      </c>
      <c r="J10690" s="3">
        <v>1.92</v>
      </c>
      <c r="K10690" t="s">
        <v>4801</v>
      </c>
      <c r="L10690">
        <v>1</v>
      </c>
      <c r="M10690" t="s">
        <v>4802</v>
      </c>
      <c r="N10690" t="s">
        <v>4803</v>
      </c>
      <c r="O10690" t="s">
        <v>554</v>
      </c>
      <c r="P10690" t="str">
        <f>"26003"</f>
        <v>26003</v>
      </c>
    </row>
    <row r="10691" spans="1:16" x14ac:dyDescent="0.25">
      <c r="A10691" t="str">
        <f>"1160029N00053    00"</f>
        <v>1160029N00053    00</v>
      </c>
      <c r="B10691" t="s">
        <v>23641</v>
      </c>
      <c r="C10691" t="s">
        <v>23642</v>
      </c>
      <c r="E10691" t="s">
        <v>39</v>
      </c>
      <c r="F10691">
        <v>0</v>
      </c>
      <c r="G10691">
        <v>0</v>
      </c>
      <c r="H10691">
        <v>1</v>
      </c>
      <c r="I10691" s="3">
        <v>1285.07</v>
      </c>
      <c r="J10691" s="3">
        <v>353.38</v>
      </c>
      <c r="L10691">
        <v>647</v>
      </c>
      <c r="M10691" t="s">
        <v>23643</v>
      </c>
      <c r="N10691" t="s">
        <v>541</v>
      </c>
      <c r="O10691" t="s">
        <v>31</v>
      </c>
      <c r="P10691" t="str">
        <f>"15071"</f>
        <v>15071</v>
      </c>
    </row>
    <row r="10692" spans="1:16" x14ac:dyDescent="0.25">
      <c r="A10692" t="str">
        <f>"1160029N00056    00"</f>
        <v>1160029N00056    00</v>
      </c>
      <c r="B10692" t="s">
        <v>23644</v>
      </c>
      <c r="C10692" t="s">
        <v>23645</v>
      </c>
      <c r="E10692" t="s">
        <v>39</v>
      </c>
      <c r="F10692">
        <v>0</v>
      </c>
      <c r="G10692">
        <v>0</v>
      </c>
      <c r="H10692">
        <v>1</v>
      </c>
      <c r="I10692" s="3">
        <v>891.09</v>
      </c>
      <c r="J10692" s="3">
        <v>0</v>
      </c>
      <c r="L10692">
        <v>2830</v>
      </c>
      <c r="M10692" t="s">
        <v>22611</v>
      </c>
      <c r="N10692" t="s">
        <v>30</v>
      </c>
      <c r="O10692" t="s">
        <v>31</v>
      </c>
      <c r="P10692" t="str">
        <f>"15203"</f>
        <v>15203</v>
      </c>
    </row>
    <row r="10693" spans="1:16" x14ac:dyDescent="0.25">
      <c r="A10693" t="str">
        <f>"1160029N00316    00"</f>
        <v>1160029N00316    00</v>
      </c>
      <c r="B10693" t="s">
        <v>23646</v>
      </c>
      <c r="C10693" t="s">
        <v>23647</v>
      </c>
      <c r="E10693" t="s">
        <v>21</v>
      </c>
      <c r="F10693">
        <v>0</v>
      </c>
      <c r="G10693">
        <v>0</v>
      </c>
      <c r="H10693">
        <v>1</v>
      </c>
      <c r="I10693" s="3">
        <v>57423.97</v>
      </c>
      <c r="J10693" s="3">
        <v>2871.09</v>
      </c>
      <c r="L10693">
        <v>300</v>
      </c>
      <c r="M10693" t="s">
        <v>23648</v>
      </c>
      <c r="N10693" t="s">
        <v>23649</v>
      </c>
      <c r="O10693" t="s">
        <v>9696</v>
      </c>
      <c r="P10693" t="str">
        <f>"46204"</f>
        <v>46204</v>
      </c>
    </row>
    <row r="10694" spans="1:16" x14ac:dyDescent="0.25">
      <c r="A10694" t="str">
        <f>"1160030A00061    00"</f>
        <v>1160030A00061    00</v>
      </c>
      <c r="B10694" t="s">
        <v>23650</v>
      </c>
      <c r="C10694" t="s">
        <v>22908</v>
      </c>
      <c r="D10694" t="s">
        <v>20</v>
      </c>
      <c r="E10694" t="s">
        <v>39</v>
      </c>
      <c r="F10694">
        <v>0</v>
      </c>
      <c r="G10694">
        <v>0</v>
      </c>
      <c r="H10694">
        <v>4</v>
      </c>
      <c r="I10694" s="3">
        <v>37.76</v>
      </c>
      <c r="J10694" s="3">
        <v>4.66</v>
      </c>
      <c r="K10694" t="s">
        <v>23651</v>
      </c>
      <c r="L10694">
        <v>3103</v>
      </c>
      <c r="M10694" t="s">
        <v>6407</v>
      </c>
      <c r="N10694" t="s">
        <v>30</v>
      </c>
      <c r="O10694" t="s">
        <v>31</v>
      </c>
      <c r="P10694" t="str">
        <f>"15203"</f>
        <v>15203</v>
      </c>
    </row>
    <row r="10695" spans="1:16" x14ac:dyDescent="0.25">
      <c r="A10695" t="str">
        <f>"1160030A00084    00"</f>
        <v>1160030A00084    00</v>
      </c>
      <c r="B10695" t="s">
        <v>6404</v>
      </c>
      <c r="C10695" t="s">
        <v>23652</v>
      </c>
      <c r="D10695" t="s">
        <v>20</v>
      </c>
      <c r="E10695" t="s">
        <v>39</v>
      </c>
      <c r="F10695">
        <v>0</v>
      </c>
      <c r="G10695">
        <v>0</v>
      </c>
      <c r="H10695">
        <v>5</v>
      </c>
      <c r="I10695" s="3">
        <v>1518.8</v>
      </c>
      <c r="J10695" s="3">
        <v>146.69999999999999</v>
      </c>
      <c r="K10695" t="s">
        <v>6406</v>
      </c>
      <c r="L10695">
        <v>3015</v>
      </c>
      <c r="M10695" t="s">
        <v>6407</v>
      </c>
      <c r="N10695" t="s">
        <v>30</v>
      </c>
      <c r="O10695" t="s">
        <v>31</v>
      </c>
      <c r="P10695" t="str">
        <f>"15203"</f>
        <v>15203</v>
      </c>
    </row>
    <row r="10696" spans="1:16" x14ac:dyDescent="0.25">
      <c r="A10696" t="str">
        <f>"1160030A00085    00"</f>
        <v>1160030A00085    00</v>
      </c>
      <c r="B10696" t="s">
        <v>7540</v>
      </c>
      <c r="C10696" t="s">
        <v>23653</v>
      </c>
      <c r="D10696" t="s">
        <v>20</v>
      </c>
      <c r="E10696" t="s">
        <v>39</v>
      </c>
      <c r="F10696">
        <v>0</v>
      </c>
      <c r="G10696">
        <v>0</v>
      </c>
      <c r="H10696">
        <v>4</v>
      </c>
      <c r="I10696" s="3">
        <v>2710.84</v>
      </c>
      <c r="J10696" s="3">
        <v>368.22</v>
      </c>
      <c r="L10696">
        <v>3020</v>
      </c>
      <c r="M10696" t="s">
        <v>13875</v>
      </c>
      <c r="N10696" t="s">
        <v>30</v>
      </c>
      <c r="O10696" t="s">
        <v>31</v>
      </c>
      <c r="P10696" t="str">
        <f>"15203"</f>
        <v>15203</v>
      </c>
    </row>
    <row r="10697" spans="1:16" x14ac:dyDescent="0.25">
      <c r="A10697" t="str">
        <f>"1160030A00086    00"</f>
        <v>1160030A00086    00</v>
      </c>
      <c r="B10697" t="s">
        <v>7540</v>
      </c>
      <c r="C10697" t="s">
        <v>23654</v>
      </c>
      <c r="D10697" t="s">
        <v>20</v>
      </c>
      <c r="E10697" t="s">
        <v>39</v>
      </c>
      <c r="F10697">
        <v>0</v>
      </c>
      <c r="G10697">
        <v>0</v>
      </c>
      <c r="H10697">
        <v>4</v>
      </c>
      <c r="I10697" s="3">
        <v>75.069999999999993</v>
      </c>
      <c r="J10697" s="3">
        <v>7.09</v>
      </c>
      <c r="L10697">
        <v>3020</v>
      </c>
      <c r="M10697" t="s">
        <v>13875</v>
      </c>
      <c r="N10697" t="s">
        <v>30</v>
      </c>
      <c r="O10697" t="s">
        <v>31</v>
      </c>
      <c r="P10697" t="str">
        <f>"15203"</f>
        <v>15203</v>
      </c>
    </row>
    <row r="10698" spans="1:16" x14ac:dyDescent="0.25">
      <c r="A10698" t="str">
        <f>"1160030A00087    00"</f>
        <v>1160030A00087    00</v>
      </c>
      <c r="B10698" t="s">
        <v>23655</v>
      </c>
      <c r="C10698" t="s">
        <v>23656</v>
      </c>
      <c r="D10698" t="s">
        <v>20</v>
      </c>
      <c r="E10698" t="s">
        <v>39</v>
      </c>
      <c r="F10698">
        <v>0</v>
      </c>
      <c r="G10698">
        <v>0</v>
      </c>
      <c r="H10698">
        <v>19</v>
      </c>
      <c r="I10698" s="3">
        <v>38398</v>
      </c>
      <c r="J10698" s="3">
        <v>31590.05</v>
      </c>
      <c r="P10698" t="str">
        <f>""</f>
        <v/>
      </c>
    </row>
    <row r="10699" spans="1:16" x14ac:dyDescent="0.25">
      <c r="A10699" t="str">
        <f>"1160030A00088    00"</f>
        <v>1160030A00088    00</v>
      </c>
      <c r="B10699" t="s">
        <v>23657</v>
      </c>
      <c r="C10699" t="s">
        <v>22908</v>
      </c>
      <c r="D10699" t="s">
        <v>20</v>
      </c>
      <c r="E10699" t="s">
        <v>39</v>
      </c>
      <c r="F10699">
        <v>0</v>
      </c>
      <c r="G10699">
        <v>0</v>
      </c>
      <c r="H10699">
        <v>19</v>
      </c>
      <c r="I10699" s="3">
        <v>959.33</v>
      </c>
      <c r="J10699" s="3">
        <v>1181.96</v>
      </c>
      <c r="L10699">
        <v>3024</v>
      </c>
      <c r="M10699" t="s">
        <v>13875</v>
      </c>
      <c r="N10699" t="s">
        <v>30</v>
      </c>
      <c r="O10699" t="s">
        <v>31</v>
      </c>
      <c r="P10699" t="str">
        <f t="shared" ref="P10699:P10705" si="120">"15203"</f>
        <v>15203</v>
      </c>
    </row>
    <row r="10700" spans="1:16" x14ac:dyDescent="0.25">
      <c r="A10700" t="str">
        <f>"1160030A00132    00"</f>
        <v>1160030A00132    00</v>
      </c>
      <c r="B10700" t="s">
        <v>23658</v>
      </c>
      <c r="C10700" t="s">
        <v>23659</v>
      </c>
      <c r="D10700" t="s">
        <v>20</v>
      </c>
      <c r="E10700" t="s">
        <v>39</v>
      </c>
      <c r="F10700">
        <v>0</v>
      </c>
      <c r="G10700">
        <v>0</v>
      </c>
      <c r="H10700">
        <v>10</v>
      </c>
      <c r="I10700" s="3">
        <v>12025.77</v>
      </c>
      <c r="J10700" s="3">
        <v>5495.85</v>
      </c>
      <c r="L10700">
        <v>3121</v>
      </c>
      <c r="M10700" t="s">
        <v>13875</v>
      </c>
      <c r="N10700" t="s">
        <v>30</v>
      </c>
      <c r="O10700" t="s">
        <v>31</v>
      </c>
      <c r="P10700" t="str">
        <f t="shared" si="120"/>
        <v>15203</v>
      </c>
    </row>
    <row r="10701" spans="1:16" x14ac:dyDescent="0.25">
      <c r="A10701" t="str">
        <f>"1160030A00133    00"</f>
        <v>1160030A00133    00</v>
      </c>
      <c r="B10701" t="s">
        <v>23658</v>
      </c>
      <c r="C10701" t="s">
        <v>23654</v>
      </c>
      <c r="D10701" t="s">
        <v>20</v>
      </c>
      <c r="E10701" t="s">
        <v>39</v>
      </c>
      <c r="F10701">
        <v>0</v>
      </c>
      <c r="G10701">
        <v>0</v>
      </c>
      <c r="H10701">
        <v>10</v>
      </c>
      <c r="I10701" s="3">
        <v>1933.86</v>
      </c>
      <c r="J10701" s="3">
        <v>907.96</v>
      </c>
      <c r="L10701">
        <v>3121</v>
      </c>
      <c r="M10701" t="s">
        <v>13875</v>
      </c>
      <c r="N10701" t="s">
        <v>30</v>
      </c>
      <c r="O10701" t="s">
        <v>31</v>
      </c>
      <c r="P10701" t="str">
        <f t="shared" si="120"/>
        <v>15203</v>
      </c>
    </row>
    <row r="10702" spans="1:16" x14ac:dyDescent="0.25">
      <c r="A10702" t="str">
        <f>"1160030A00135    00"</f>
        <v>1160030A00135    00</v>
      </c>
      <c r="B10702" t="s">
        <v>23660</v>
      </c>
      <c r="C10702" t="s">
        <v>23661</v>
      </c>
      <c r="D10702" t="s">
        <v>20</v>
      </c>
      <c r="E10702" t="s">
        <v>39</v>
      </c>
      <c r="F10702">
        <v>0</v>
      </c>
      <c r="G10702">
        <v>0</v>
      </c>
      <c r="H10702">
        <v>17</v>
      </c>
      <c r="I10702" s="3">
        <v>1028.73</v>
      </c>
      <c r="J10702" s="3">
        <v>1400.13</v>
      </c>
      <c r="L10702">
        <v>3121</v>
      </c>
      <c r="M10702" t="s">
        <v>13875</v>
      </c>
      <c r="N10702" t="s">
        <v>30</v>
      </c>
      <c r="O10702" t="s">
        <v>31</v>
      </c>
      <c r="P10702" t="str">
        <f t="shared" si="120"/>
        <v>15203</v>
      </c>
    </row>
    <row r="10703" spans="1:16" x14ac:dyDescent="0.25">
      <c r="A10703" t="str">
        <f>"1160030A00136    00"</f>
        <v>1160030A00136    00</v>
      </c>
      <c r="B10703" t="s">
        <v>23662</v>
      </c>
      <c r="C10703" t="s">
        <v>23663</v>
      </c>
      <c r="D10703" t="s">
        <v>20</v>
      </c>
      <c r="E10703" t="s">
        <v>39</v>
      </c>
      <c r="F10703">
        <v>0</v>
      </c>
      <c r="G10703">
        <v>0</v>
      </c>
      <c r="H10703">
        <v>5</v>
      </c>
      <c r="I10703" s="3">
        <v>9924.5400000000009</v>
      </c>
      <c r="J10703" s="3">
        <v>5959.09</v>
      </c>
      <c r="L10703">
        <v>3109</v>
      </c>
      <c r="M10703" t="s">
        <v>13875</v>
      </c>
      <c r="N10703" t="s">
        <v>30</v>
      </c>
      <c r="O10703" t="s">
        <v>31</v>
      </c>
      <c r="P10703" t="str">
        <f t="shared" si="120"/>
        <v>15203</v>
      </c>
    </row>
    <row r="10704" spans="1:16" x14ac:dyDescent="0.25">
      <c r="A10704" t="str">
        <f>"1160030A00138    00"</f>
        <v>1160030A00138    00</v>
      </c>
      <c r="B10704" t="s">
        <v>23664</v>
      </c>
      <c r="C10704" t="s">
        <v>23665</v>
      </c>
      <c r="D10704" t="s">
        <v>20</v>
      </c>
      <c r="E10704" t="s">
        <v>39</v>
      </c>
      <c r="F10704">
        <v>0</v>
      </c>
      <c r="G10704">
        <v>0</v>
      </c>
      <c r="H10704">
        <v>1</v>
      </c>
      <c r="I10704" s="3">
        <v>302.42</v>
      </c>
      <c r="J10704" s="3">
        <v>0</v>
      </c>
      <c r="L10704">
        <v>3103</v>
      </c>
      <c r="M10704" t="s">
        <v>13875</v>
      </c>
      <c r="N10704" t="s">
        <v>30</v>
      </c>
      <c r="O10704" t="s">
        <v>31</v>
      </c>
      <c r="P10704" t="str">
        <f t="shared" si="120"/>
        <v>15203</v>
      </c>
    </row>
    <row r="10705" spans="1:16" x14ac:dyDescent="0.25">
      <c r="A10705" t="str">
        <f>"1160030A00140    00"</f>
        <v>1160030A00140    00</v>
      </c>
      <c r="B10705" t="s">
        <v>23666</v>
      </c>
      <c r="C10705" t="s">
        <v>23667</v>
      </c>
      <c r="D10705" t="s">
        <v>20</v>
      </c>
      <c r="E10705" t="s">
        <v>39</v>
      </c>
      <c r="F10705">
        <v>0</v>
      </c>
      <c r="G10705">
        <v>0</v>
      </c>
      <c r="H10705">
        <v>1</v>
      </c>
      <c r="I10705" s="3">
        <v>949.99</v>
      </c>
      <c r="J10705" s="3">
        <v>0</v>
      </c>
      <c r="L10705">
        <v>3100</v>
      </c>
      <c r="M10705" t="s">
        <v>23668</v>
      </c>
      <c r="N10705" t="s">
        <v>30</v>
      </c>
      <c r="O10705" t="s">
        <v>31</v>
      </c>
      <c r="P10705" t="str">
        <f t="shared" si="120"/>
        <v>15203</v>
      </c>
    </row>
    <row r="10706" spans="1:16" x14ac:dyDescent="0.25">
      <c r="A10706" t="str">
        <f>"1160030A00149    00"</f>
        <v>1160030A00149    00</v>
      </c>
      <c r="B10706" t="s">
        <v>23669</v>
      </c>
      <c r="C10706" t="s">
        <v>23670</v>
      </c>
      <c r="D10706" t="s">
        <v>20</v>
      </c>
      <c r="E10706" t="s">
        <v>39</v>
      </c>
      <c r="F10706">
        <v>0</v>
      </c>
      <c r="G10706">
        <v>0</v>
      </c>
      <c r="H10706">
        <v>2</v>
      </c>
      <c r="I10706" s="3">
        <v>3320.28</v>
      </c>
      <c r="J10706" s="3">
        <v>0</v>
      </c>
      <c r="K10706" t="s">
        <v>23671</v>
      </c>
      <c r="L10706">
        <v>5538</v>
      </c>
      <c r="M10706" t="s">
        <v>18614</v>
      </c>
      <c r="N10706" t="s">
        <v>30</v>
      </c>
      <c r="O10706" t="s">
        <v>31</v>
      </c>
      <c r="P10706" t="str">
        <f>"15217"</f>
        <v>15217</v>
      </c>
    </row>
    <row r="10707" spans="1:16" x14ac:dyDescent="0.25">
      <c r="A10707" t="str">
        <f>"1160030A00150    00"</f>
        <v>1160030A00150    00</v>
      </c>
      <c r="B10707" t="s">
        <v>23672</v>
      </c>
      <c r="C10707" t="s">
        <v>23673</v>
      </c>
      <c r="D10707" t="s">
        <v>20</v>
      </c>
      <c r="E10707" t="s">
        <v>39</v>
      </c>
      <c r="F10707">
        <v>0</v>
      </c>
      <c r="G10707">
        <v>0</v>
      </c>
      <c r="H10707">
        <v>2</v>
      </c>
      <c r="I10707" s="3">
        <v>2185.2600000000002</v>
      </c>
      <c r="J10707" s="3">
        <v>0</v>
      </c>
      <c r="L10707">
        <v>3018</v>
      </c>
      <c r="M10707" t="s">
        <v>23668</v>
      </c>
      <c r="N10707" t="s">
        <v>30</v>
      </c>
      <c r="O10707" t="s">
        <v>31</v>
      </c>
      <c r="P10707" t="str">
        <f>"15203"</f>
        <v>15203</v>
      </c>
    </row>
    <row r="10708" spans="1:16" x14ac:dyDescent="0.25">
      <c r="A10708" t="str">
        <f>"1160030A00201    00"</f>
        <v>1160030A00201    00</v>
      </c>
      <c r="B10708" t="s">
        <v>23664</v>
      </c>
      <c r="C10708" t="s">
        <v>23661</v>
      </c>
      <c r="D10708" t="s">
        <v>20</v>
      </c>
      <c r="E10708" t="s">
        <v>39</v>
      </c>
      <c r="F10708">
        <v>0</v>
      </c>
      <c r="G10708">
        <v>0</v>
      </c>
      <c r="H10708">
        <v>1</v>
      </c>
      <c r="I10708" s="3">
        <v>151.22</v>
      </c>
      <c r="J10708" s="3">
        <v>0</v>
      </c>
      <c r="L10708">
        <v>3103</v>
      </c>
      <c r="M10708" t="s">
        <v>13875</v>
      </c>
      <c r="N10708" t="s">
        <v>30</v>
      </c>
      <c r="O10708" t="s">
        <v>31</v>
      </c>
      <c r="P10708" t="str">
        <f>"15203"</f>
        <v>15203</v>
      </c>
    </row>
    <row r="10709" spans="1:16" x14ac:dyDescent="0.25">
      <c r="A10709" t="str">
        <f>"1160030A00303    00"</f>
        <v>1160030A00303    00</v>
      </c>
      <c r="B10709" t="s">
        <v>23674</v>
      </c>
      <c r="C10709" t="s">
        <v>23675</v>
      </c>
      <c r="E10709" t="s">
        <v>39</v>
      </c>
      <c r="F10709">
        <v>0</v>
      </c>
      <c r="G10709">
        <v>0</v>
      </c>
      <c r="H10709">
        <v>1</v>
      </c>
      <c r="I10709" s="3">
        <v>26.48</v>
      </c>
      <c r="J10709" s="3">
        <v>5.3</v>
      </c>
      <c r="K10709" t="s">
        <v>7138</v>
      </c>
      <c r="L10709">
        <v>1123</v>
      </c>
      <c r="M10709" t="s">
        <v>7139</v>
      </c>
      <c r="N10709" t="s">
        <v>7140</v>
      </c>
      <c r="O10709" t="s">
        <v>495</v>
      </c>
      <c r="P10709" t="str">
        <f>"91724"</f>
        <v>91724</v>
      </c>
    </row>
    <row r="10710" spans="1:16" x14ac:dyDescent="0.25">
      <c r="A10710" t="str">
        <f>"1160030A00308    00"</f>
        <v>1160030A00308    00</v>
      </c>
      <c r="B10710" t="s">
        <v>23676</v>
      </c>
      <c r="C10710" t="s">
        <v>23677</v>
      </c>
      <c r="D10710" t="s">
        <v>20</v>
      </c>
      <c r="E10710" t="s">
        <v>39</v>
      </c>
      <c r="F10710">
        <v>0</v>
      </c>
      <c r="G10710">
        <v>0</v>
      </c>
      <c r="H10710">
        <v>4</v>
      </c>
      <c r="I10710" s="3">
        <v>5204.5600000000004</v>
      </c>
      <c r="J10710" s="3">
        <v>2291.56</v>
      </c>
      <c r="L10710">
        <v>3118</v>
      </c>
      <c r="M10710" t="s">
        <v>3323</v>
      </c>
      <c r="N10710" t="s">
        <v>30</v>
      </c>
      <c r="O10710" t="s">
        <v>31</v>
      </c>
      <c r="P10710" t="str">
        <f>"15203"</f>
        <v>15203</v>
      </c>
    </row>
    <row r="10711" spans="1:16" x14ac:dyDescent="0.25">
      <c r="A10711" t="str">
        <f>"1160030E00080    00"</f>
        <v>1160030E00080    00</v>
      </c>
      <c r="B10711" t="s">
        <v>23678</v>
      </c>
      <c r="C10711" t="s">
        <v>23057</v>
      </c>
      <c r="D10711" t="s">
        <v>20</v>
      </c>
      <c r="E10711" t="s">
        <v>39</v>
      </c>
      <c r="F10711">
        <v>0</v>
      </c>
      <c r="G10711">
        <v>0</v>
      </c>
      <c r="H10711">
        <v>19</v>
      </c>
      <c r="I10711" s="3">
        <v>2265.42</v>
      </c>
      <c r="J10711" s="3">
        <v>2116.58</v>
      </c>
      <c r="K10711" t="s">
        <v>1008</v>
      </c>
      <c r="P10711" t="str">
        <f>""</f>
        <v/>
      </c>
    </row>
    <row r="10712" spans="1:16" x14ac:dyDescent="0.25">
      <c r="A10712" t="str">
        <f>"1160030E00190    00"</f>
        <v>1160030E00190    00</v>
      </c>
      <c r="B10712" t="s">
        <v>23679</v>
      </c>
      <c r="C10712" t="s">
        <v>23680</v>
      </c>
      <c r="E10712" t="s">
        <v>39</v>
      </c>
      <c r="F10712">
        <v>0</v>
      </c>
      <c r="G10712">
        <v>0</v>
      </c>
      <c r="H10712">
        <v>3</v>
      </c>
      <c r="I10712" s="3">
        <v>4573.2299999999996</v>
      </c>
      <c r="J10712" s="3">
        <v>0</v>
      </c>
      <c r="K10712" t="s">
        <v>1127</v>
      </c>
      <c r="M10712" t="s">
        <v>1128</v>
      </c>
      <c r="N10712" t="s">
        <v>1129</v>
      </c>
      <c r="O10712" t="s">
        <v>108</v>
      </c>
      <c r="P10712" t="str">
        <f>"76161"</f>
        <v>76161</v>
      </c>
    </row>
    <row r="10713" spans="1:16" x14ac:dyDescent="0.25">
      <c r="A10713" t="str">
        <f>"1160030E00202    00"</f>
        <v>1160030E00202    00</v>
      </c>
      <c r="B10713" t="s">
        <v>23681</v>
      </c>
      <c r="C10713" t="s">
        <v>23682</v>
      </c>
      <c r="D10713" t="s">
        <v>20</v>
      </c>
      <c r="E10713" t="s">
        <v>39</v>
      </c>
      <c r="F10713">
        <v>0</v>
      </c>
      <c r="G10713">
        <v>0</v>
      </c>
      <c r="H10713">
        <v>2</v>
      </c>
      <c r="I10713" s="3">
        <v>2134.7199999999998</v>
      </c>
      <c r="J10713" s="3">
        <v>0</v>
      </c>
      <c r="K10713" t="s">
        <v>5073</v>
      </c>
      <c r="L10713">
        <v>3001</v>
      </c>
      <c r="M10713" t="s">
        <v>330</v>
      </c>
      <c r="N10713" t="s">
        <v>331</v>
      </c>
      <c r="O10713" t="s">
        <v>108</v>
      </c>
      <c r="P10713" t="str">
        <f>"75063"</f>
        <v>75063</v>
      </c>
    </row>
    <row r="10714" spans="1:16" x14ac:dyDescent="0.25">
      <c r="A10714" t="str">
        <f>"1160030E00212    00"</f>
        <v>1160030E00212    00</v>
      </c>
      <c r="B10714" t="s">
        <v>23683</v>
      </c>
      <c r="C10714" t="s">
        <v>23684</v>
      </c>
      <c r="D10714" t="s">
        <v>20</v>
      </c>
      <c r="E10714" t="s">
        <v>39</v>
      </c>
      <c r="F10714">
        <v>0</v>
      </c>
      <c r="G10714">
        <v>0</v>
      </c>
      <c r="H10714">
        <v>11</v>
      </c>
      <c r="I10714" s="3">
        <v>4295.2700000000004</v>
      </c>
      <c r="J10714" s="3">
        <v>2049.9699999999998</v>
      </c>
      <c r="L10714">
        <v>233</v>
      </c>
      <c r="M10714" t="s">
        <v>23685</v>
      </c>
      <c r="N10714" t="s">
        <v>285</v>
      </c>
      <c r="O10714" t="s">
        <v>31</v>
      </c>
      <c r="P10714" t="str">
        <f>"15120"</f>
        <v>15120</v>
      </c>
    </row>
    <row r="10715" spans="1:16" x14ac:dyDescent="0.25">
      <c r="A10715" t="str">
        <f>"1160030E00223    00"</f>
        <v>1160030E00223    00</v>
      </c>
      <c r="B10715" t="s">
        <v>23686</v>
      </c>
      <c r="C10715" t="s">
        <v>23687</v>
      </c>
      <c r="D10715" t="s">
        <v>20</v>
      </c>
      <c r="E10715" t="s">
        <v>39</v>
      </c>
      <c r="F10715">
        <v>0</v>
      </c>
      <c r="G10715">
        <v>0</v>
      </c>
      <c r="H10715">
        <v>6</v>
      </c>
      <c r="I10715" s="3">
        <v>2909.95</v>
      </c>
      <c r="J10715" s="3">
        <v>652.65</v>
      </c>
      <c r="L10715">
        <v>3243</v>
      </c>
      <c r="M10715" t="s">
        <v>6407</v>
      </c>
      <c r="N10715" t="s">
        <v>30</v>
      </c>
      <c r="O10715" t="s">
        <v>31</v>
      </c>
      <c r="P10715" t="str">
        <f>"15203"</f>
        <v>15203</v>
      </c>
    </row>
    <row r="10716" spans="1:16" x14ac:dyDescent="0.25">
      <c r="A10716" t="str">
        <f>"1160030E00274    00"</f>
        <v>1160030E00274    00</v>
      </c>
      <c r="B10716" t="s">
        <v>23688</v>
      </c>
      <c r="C10716" t="s">
        <v>23689</v>
      </c>
      <c r="E10716" t="s">
        <v>39</v>
      </c>
      <c r="F10716">
        <v>0</v>
      </c>
      <c r="G10716">
        <v>0</v>
      </c>
      <c r="H10716">
        <v>2</v>
      </c>
      <c r="I10716" s="3">
        <v>2194.86</v>
      </c>
      <c r="J10716" s="3">
        <v>420.66</v>
      </c>
      <c r="K10716" t="s">
        <v>23690</v>
      </c>
      <c r="L10716">
        <v>3638</v>
      </c>
      <c r="M10716" t="s">
        <v>23691</v>
      </c>
      <c r="N10716" t="s">
        <v>23692</v>
      </c>
      <c r="O10716" t="s">
        <v>25</v>
      </c>
      <c r="P10716" t="str">
        <f>"44089"</f>
        <v>44089</v>
      </c>
    </row>
    <row r="10717" spans="1:16" x14ac:dyDescent="0.25">
      <c r="A10717" t="str">
        <f>"1160030G00090    00"</f>
        <v>1160030G00090    00</v>
      </c>
      <c r="B10717" t="s">
        <v>22476</v>
      </c>
      <c r="C10717" t="s">
        <v>22679</v>
      </c>
      <c r="E10717" t="s">
        <v>513</v>
      </c>
      <c r="F10717">
        <v>0</v>
      </c>
      <c r="G10717">
        <v>0</v>
      </c>
      <c r="H10717">
        <v>1</v>
      </c>
      <c r="I10717" s="3">
        <v>36.78</v>
      </c>
      <c r="J10717" s="3">
        <v>51.26</v>
      </c>
      <c r="L10717">
        <v>500</v>
      </c>
      <c r="M10717" t="s">
        <v>9505</v>
      </c>
      <c r="N10717" t="s">
        <v>3919</v>
      </c>
      <c r="O10717" t="s">
        <v>370</v>
      </c>
      <c r="P10717" t="str">
        <f>"32202"</f>
        <v>32202</v>
      </c>
    </row>
    <row r="10718" spans="1:16" x14ac:dyDescent="0.25">
      <c r="A10718" t="str">
        <f>"1160030J00030    00"</f>
        <v>1160030J00030    00</v>
      </c>
      <c r="B10718" t="s">
        <v>23693</v>
      </c>
      <c r="C10718" t="s">
        <v>23694</v>
      </c>
      <c r="D10718" t="s">
        <v>20</v>
      </c>
      <c r="E10718" t="s">
        <v>39</v>
      </c>
      <c r="F10718">
        <v>0</v>
      </c>
      <c r="G10718">
        <v>0</v>
      </c>
      <c r="H10718">
        <v>13</v>
      </c>
      <c r="I10718" s="3">
        <v>4956.3500000000004</v>
      </c>
      <c r="J10718" s="3">
        <v>2581.33</v>
      </c>
      <c r="L10718">
        <v>291</v>
      </c>
      <c r="M10718" t="s">
        <v>23695</v>
      </c>
      <c r="N10718" t="s">
        <v>30</v>
      </c>
      <c r="O10718" t="s">
        <v>31</v>
      </c>
      <c r="P10718" t="str">
        <f>"15216"</f>
        <v>15216</v>
      </c>
    </row>
    <row r="10719" spans="1:16" x14ac:dyDescent="0.25">
      <c r="A10719" t="str">
        <f>"1160030J00033    00"</f>
        <v>1160030J00033    00</v>
      </c>
      <c r="B10719" t="s">
        <v>23696</v>
      </c>
      <c r="C10719" t="s">
        <v>22908</v>
      </c>
      <c r="D10719" t="s">
        <v>20</v>
      </c>
      <c r="E10719" t="s">
        <v>39</v>
      </c>
      <c r="F10719">
        <v>0</v>
      </c>
      <c r="G10719">
        <v>0</v>
      </c>
      <c r="H10719">
        <v>19</v>
      </c>
      <c r="I10719" s="3">
        <v>4375.91</v>
      </c>
      <c r="J10719" s="3">
        <v>4332.05</v>
      </c>
      <c r="M10719" t="s">
        <v>23697</v>
      </c>
      <c r="N10719" t="s">
        <v>30</v>
      </c>
      <c r="O10719" t="s">
        <v>31</v>
      </c>
      <c r="P10719" t="str">
        <f>"15203"</f>
        <v>15203</v>
      </c>
    </row>
    <row r="10720" spans="1:16" x14ac:dyDescent="0.25">
      <c r="A10720" t="str">
        <f>"1160030J00062    00"</f>
        <v>1160030J00062    00</v>
      </c>
      <c r="B10720" t="s">
        <v>23698</v>
      </c>
      <c r="C10720" t="s">
        <v>23201</v>
      </c>
      <c r="D10720" t="s">
        <v>20</v>
      </c>
      <c r="E10720" t="s">
        <v>39</v>
      </c>
      <c r="F10720">
        <v>0</v>
      </c>
      <c r="G10720">
        <v>0</v>
      </c>
      <c r="H10720">
        <v>18</v>
      </c>
      <c r="I10720" s="3">
        <v>5057.92</v>
      </c>
      <c r="J10720" s="3">
        <v>5373.18</v>
      </c>
      <c r="L10720">
        <v>743</v>
      </c>
      <c r="M10720" t="s">
        <v>8187</v>
      </c>
      <c r="N10720" t="s">
        <v>11160</v>
      </c>
      <c r="O10720" t="s">
        <v>31</v>
      </c>
      <c r="P10720" t="str">
        <f>"15045"</f>
        <v>15045</v>
      </c>
    </row>
    <row r="10721" spans="1:16" x14ac:dyDescent="0.25">
      <c r="A10721" t="str">
        <f>"1160030J00080    00"</f>
        <v>1160030J00080    00</v>
      </c>
      <c r="B10721" t="s">
        <v>23699</v>
      </c>
      <c r="C10721" t="s">
        <v>23700</v>
      </c>
      <c r="D10721" t="s">
        <v>20</v>
      </c>
      <c r="E10721" t="s">
        <v>39</v>
      </c>
      <c r="F10721">
        <v>0</v>
      </c>
      <c r="G10721">
        <v>0</v>
      </c>
      <c r="H10721">
        <v>19</v>
      </c>
      <c r="I10721" s="3">
        <v>6291.1</v>
      </c>
      <c r="J10721" s="3">
        <v>8324.0499999999993</v>
      </c>
      <c r="L10721">
        <v>130</v>
      </c>
      <c r="M10721" t="s">
        <v>23701</v>
      </c>
      <c r="N10721" t="s">
        <v>30</v>
      </c>
      <c r="O10721" t="s">
        <v>31</v>
      </c>
      <c r="P10721" t="str">
        <f>"15210"</f>
        <v>15210</v>
      </c>
    </row>
    <row r="10722" spans="1:16" x14ac:dyDescent="0.25">
      <c r="A10722" t="str">
        <f>"1160030L00075    01"</f>
        <v>1160030L00075    01</v>
      </c>
      <c r="B10722" t="s">
        <v>22476</v>
      </c>
      <c r="C10722" t="s">
        <v>23702</v>
      </c>
      <c r="E10722" t="s">
        <v>513</v>
      </c>
      <c r="F10722">
        <v>0</v>
      </c>
      <c r="G10722">
        <v>0</v>
      </c>
      <c r="H10722">
        <v>1</v>
      </c>
      <c r="I10722" s="3">
        <v>268.57</v>
      </c>
      <c r="J10722" s="3">
        <v>326.08</v>
      </c>
      <c r="L10722">
        <v>500</v>
      </c>
      <c r="M10722" t="s">
        <v>9505</v>
      </c>
      <c r="N10722" t="s">
        <v>3919</v>
      </c>
      <c r="O10722" t="s">
        <v>370</v>
      </c>
      <c r="P10722" t="str">
        <f>"32202"</f>
        <v>32202</v>
      </c>
    </row>
    <row r="10723" spans="1:16" x14ac:dyDescent="0.25">
      <c r="A10723" t="str">
        <f>"1160030L00079    00"</f>
        <v>1160030L00079    00</v>
      </c>
      <c r="B10723" t="s">
        <v>22476</v>
      </c>
      <c r="C10723" t="s">
        <v>22679</v>
      </c>
      <c r="E10723" t="s">
        <v>513</v>
      </c>
      <c r="F10723">
        <v>0</v>
      </c>
      <c r="G10723">
        <v>0</v>
      </c>
      <c r="H10723">
        <v>1</v>
      </c>
      <c r="I10723" s="3">
        <v>83.74</v>
      </c>
      <c r="J10723" s="3">
        <v>133.44999999999999</v>
      </c>
      <c r="L10723">
        <v>500</v>
      </c>
      <c r="M10723" t="s">
        <v>9505</v>
      </c>
      <c r="N10723" t="s">
        <v>3919</v>
      </c>
      <c r="O10723" t="s">
        <v>370</v>
      </c>
      <c r="P10723" t="str">
        <f>"32202"</f>
        <v>32202</v>
      </c>
    </row>
    <row r="10724" spans="1:16" x14ac:dyDescent="0.25">
      <c r="A10724" t="str">
        <f>"1160030N00057    00"</f>
        <v>1160030N00057    00</v>
      </c>
      <c r="B10724" t="s">
        <v>23703</v>
      </c>
      <c r="C10724" t="s">
        <v>23560</v>
      </c>
      <c r="D10724" t="s">
        <v>20</v>
      </c>
      <c r="E10724" t="s">
        <v>39</v>
      </c>
      <c r="F10724">
        <v>0</v>
      </c>
      <c r="G10724">
        <v>0</v>
      </c>
      <c r="H10724">
        <v>19</v>
      </c>
      <c r="I10724" s="3">
        <v>562.23</v>
      </c>
      <c r="J10724" s="3">
        <v>589.65</v>
      </c>
      <c r="K10724" t="s">
        <v>1037</v>
      </c>
      <c r="L10724">
        <v>246</v>
      </c>
      <c r="M10724" t="s">
        <v>23704</v>
      </c>
      <c r="N10724" t="s">
        <v>30</v>
      </c>
      <c r="O10724" t="s">
        <v>31</v>
      </c>
      <c r="P10724" t="str">
        <f>"15210"</f>
        <v>15210</v>
      </c>
    </row>
    <row r="10725" spans="1:16" x14ac:dyDescent="0.25">
      <c r="A10725" t="str">
        <f>"1160030N00110    00"</f>
        <v>1160030N00110    00</v>
      </c>
      <c r="B10725" t="s">
        <v>23705</v>
      </c>
      <c r="C10725" t="s">
        <v>23706</v>
      </c>
      <c r="D10725" t="s">
        <v>20</v>
      </c>
      <c r="E10725" t="s">
        <v>39</v>
      </c>
      <c r="F10725">
        <v>0</v>
      </c>
      <c r="G10725">
        <v>0</v>
      </c>
      <c r="H10725">
        <v>19</v>
      </c>
      <c r="I10725" s="3">
        <v>518.27</v>
      </c>
      <c r="J10725" s="3">
        <v>566.42999999999995</v>
      </c>
      <c r="K10725" t="s">
        <v>1037</v>
      </c>
      <c r="L10725">
        <v>2601</v>
      </c>
      <c r="M10725" t="s">
        <v>23707</v>
      </c>
      <c r="N10725" t="s">
        <v>23708</v>
      </c>
      <c r="O10725" t="s">
        <v>658</v>
      </c>
      <c r="P10725" t="str">
        <f>"74137"</f>
        <v>74137</v>
      </c>
    </row>
    <row r="10726" spans="1:16" x14ac:dyDescent="0.25">
      <c r="A10726" t="str">
        <f>"1160030N00125    00"</f>
        <v>1160030N00125    00</v>
      </c>
      <c r="B10726" t="s">
        <v>23709</v>
      </c>
      <c r="C10726" t="s">
        <v>23710</v>
      </c>
      <c r="D10726" t="s">
        <v>20</v>
      </c>
      <c r="E10726" t="s">
        <v>39</v>
      </c>
      <c r="F10726">
        <v>0</v>
      </c>
      <c r="G10726">
        <v>0</v>
      </c>
      <c r="H10726">
        <v>13</v>
      </c>
      <c r="I10726" s="3">
        <v>2470.06</v>
      </c>
      <c r="J10726" s="3">
        <v>1581.32</v>
      </c>
      <c r="L10726">
        <v>329</v>
      </c>
      <c r="M10726" t="s">
        <v>23711</v>
      </c>
      <c r="N10726" t="s">
        <v>30</v>
      </c>
      <c r="O10726" t="s">
        <v>31</v>
      </c>
      <c r="P10726" t="str">
        <f>"15210"</f>
        <v>15210</v>
      </c>
    </row>
    <row r="10727" spans="1:16" x14ac:dyDescent="0.25">
      <c r="A10727" t="str">
        <f>"1160030N00127    00"</f>
        <v>1160030N00127    00</v>
      </c>
      <c r="B10727" t="s">
        <v>23712</v>
      </c>
      <c r="C10727" t="s">
        <v>23713</v>
      </c>
      <c r="E10727" t="s">
        <v>39</v>
      </c>
      <c r="F10727">
        <v>0</v>
      </c>
      <c r="G10727">
        <v>0</v>
      </c>
      <c r="H10727">
        <v>3</v>
      </c>
      <c r="I10727" s="3">
        <v>1188.3</v>
      </c>
      <c r="J10727" s="3">
        <v>488.52</v>
      </c>
      <c r="L10727">
        <v>335</v>
      </c>
      <c r="M10727" t="s">
        <v>23711</v>
      </c>
      <c r="N10727" t="s">
        <v>30</v>
      </c>
      <c r="O10727" t="s">
        <v>31</v>
      </c>
      <c r="P10727" t="str">
        <f>"15210"</f>
        <v>15210</v>
      </c>
    </row>
    <row r="10728" spans="1:16" x14ac:dyDescent="0.25">
      <c r="A10728" t="str">
        <f>"1160030N00135    00"</f>
        <v>1160030N00135    00</v>
      </c>
      <c r="B10728" t="s">
        <v>23714</v>
      </c>
      <c r="C10728" t="s">
        <v>23715</v>
      </c>
      <c r="D10728" t="s">
        <v>20</v>
      </c>
      <c r="E10728" t="s">
        <v>39</v>
      </c>
      <c r="F10728">
        <v>0</v>
      </c>
      <c r="G10728">
        <v>0</v>
      </c>
      <c r="H10728">
        <v>7</v>
      </c>
      <c r="I10728" s="3">
        <v>4075.35</v>
      </c>
      <c r="J10728" s="3">
        <v>1158</v>
      </c>
      <c r="K10728" t="s">
        <v>23716</v>
      </c>
      <c r="L10728">
        <v>1172</v>
      </c>
      <c r="M10728" t="s">
        <v>23717</v>
      </c>
      <c r="N10728" t="s">
        <v>30</v>
      </c>
      <c r="O10728" t="s">
        <v>31</v>
      </c>
      <c r="P10728" t="str">
        <f>"15237"</f>
        <v>15237</v>
      </c>
    </row>
    <row r="10729" spans="1:16" x14ac:dyDescent="0.25">
      <c r="A10729" t="str">
        <f>"1160030N00143    00"</f>
        <v>1160030N00143    00</v>
      </c>
      <c r="B10729" t="s">
        <v>23718</v>
      </c>
      <c r="C10729" t="s">
        <v>23719</v>
      </c>
      <c r="D10729" t="s">
        <v>20</v>
      </c>
      <c r="E10729" t="s">
        <v>39</v>
      </c>
      <c r="F10729">
        <v>0</v>
      </c>
      <c r="G10729">
        <v>0</v>
      </c>
      <c r="H10729">
        <v>7</v>
      </c>
      <c r="I10729" s="3">
        <v>7595.09</v>
      </c>
      <c r="J10729" s="3">
        <v>2100.27</v>
      </c>
      <c r="L10729">
        <v>316</v>
      </c>
      <c r="M10729" t="s">
        <v>23720</v>
      </c>
      <c r="N10729" t="s">
        <v>30</v>
      </c>
      <c r="O10729" t="s">
        <v>31</v>
      </c>
      <c r="P10729" t="str">
        <f>"15210"</f>
        <v>15210</v>
      </c>
    </row>
    <row r="10730" spans="1:16" x14ac:dyDescent="0.25">
      <c r="A10730" t="str">
        <f>"1160030N00144    00"</f>
        <v>1160030N00144    00</v>
      </c>
      <c r="B10730" t="s">
        <v>23714</v>
      </c>
      <c r="C10730" t="s">
        <v>23721</v>
      </c>
      <c r="D10730" t="s">
        <v>20</v>
      </c>
      <c r="E10730" t="s">
        <v>39</v>
      </c>
      <c r="F10730">
        <v>0</v>
      </c>
      <c r="G10730">
        <v>0</v>
      </c>
      <c r="H10730">
        <v>19</v>
      </c>
      <c r="I10730" s="3">
        <v>820.22</v>
      </c>
      <c r="J10730" s="3">
        <v>681.11</v>
      </c>
      <c r="K10730" t="s">
        <v>1008</v>
      </c>
      <c r="P10730" t="str">
        <f>""</f>
        <v/>
      </c>
    </row>
    <row r="10731" spans="1:16" x14ac:dyDescent="0.25">
      <c r="A10731" t="str">
        <f>"1160030N00145    00"</f>
        <v>1160030N00145    00</v>
      </c>
      <c r="B10731" t="s">
        <v>23722</v>
      </c>
      <c r="C10731" t="s">
        <v>23723</v>
      </c>
      <c r="D10731" t="s">
        <v>20</v>
      </c>
      <c r="E10731" t="s">
        <v>39</v>
      </c>
      <c r="F10731">
        <v>0</v>
      </c>
      <c r="G10731">
        <v>0</v>
      </c>
      <c r="H10731">
        <v>2</v>
      </c>
      <c r="I10731" s="3">
        <v>624.94000000000005</v>
      </c>
      <c r="J10731" s="3">
        <v>0</v>
      </c>
      <c r="L10731">
        <v>321</v>
      </c>
      <c r="M10731" t="s">
        <v>23720</v>
      </c>
      <c r="N10731" t="s">
        <v>30</v>
      </c>
      <c r="O10731" t="s">
        <v>31</v>
      </c>
      <c r="P10731" t="str">
        <f t="shared" ref="P10731:P10739" si="121">"15210"</f>
        <v>15210</v>
      </c>
    </row>
    <row r="10732" spans="1:16" x14ac:dyDescent="0.25">
      <c r="A10732" t="str">
        <f>"1160030N00147    00"</f>
        <v>1160030N00147    00</v>
      </c>
      <c r="B10732" t="s">
        <v>23724</v>
      </c>
      <c r="C10732" t="s">
        <v>23725</v>
      </c>
      <c r="D10732" t="s">
        <v>20</v>
      </c>
      <c r="E10732" t="s">
        <v>39</v>
      </c>
      <c r="F10732">
        <v>0</v>
      </c>
      <c r="G10732">
        <v>0</v>
      </c>
      <c r="H10732">
        <v>1</v>
      </c>
      <c r="I10732" s="3">
        <v>251.61</v>
      </c>
      <c r="J10732" s="3">
        <v>0</v>
      </c>
      <c r="K10732" t="s">
        <v>23726</v>
      </c>
      <c r="L10732">
        <v>308</v>
      </c>
      <c r="M10732" t="s">
        <v>23720</v>
      </c>
      <c r="N10732" t="s">
        <v>30</v>
      </c>
      <c r="O10732" t="s">
        <v>31</v>
      </c>
      <c r="P10732" t="str">
        <f t="shared" si="121"/>
        <v>15210</v>
      </c>
    </row>
    <row r="10733" spans="1:16" x14ac:dyDescent="0.25">
      <c r="A10733" t="str">
        <f>"1160030N00152    00"</f>
        <v>1160030N00152    00</v>
      </c>
      <c r="B10733" t="s">
        <v>22975</v>
      </c>
      <c r="C10733" t="s">
        <v>23727</v>
      </c>
      <c r="D10733" t="s">
        <v>20</v>
      </c>
      <c r="E10733" t="s">
        <v>39</v>
      </c>
      <c r="F10733">
        <v>0</v>
      </c>
      <c r="G10733">
        <v>0</v>
      </c>
      <c r="H10733">
        <v>4</v>
      </c>
      <c r="I10733" s="3">
        <v>1452.03</v>
      </c>
      <c r="J10733" s="3">
        <v>180.45</v>
      </c>
      <c r="K10733" t="s">
        <v>23045</v>
      </c>
      <c r="M10733" t="s">
        <v>23046</v>
      </c>
      <c r="N10733" t="s">
        <v>30</v>
      </c>
      <c r="O10733" t="s">
        <v>31</v>
      </c>
      <c r="P10733" t="str">
        <f t="shared" si="121"/>
        <v>15210</v>
      </c>
    </row>
    <row r="10734" spans="1:16" x14ac:dyDescent="0.25">
      <c r="A10734" t="str">
        <f>"1160030N00154    00"</f>
        <v>1160030N00154    00</v>
      </c>
      <c r="B10734" t="s">
        <v>23728</v>
      </c>
      <c r="C10734" t="s">
        <v>23721</v>
      </c>
      <c r="D10734" t="s">
        <v>20</v>
      </c>
      <c r="E10734" t="s">
        <v>39</v>
      </c>
      <c r="F10734">
        <v>0</v>
      </c>
      <c r="G10734">
        <v>0</v>
      </c>
      <c r="H10734">
        <v>19</v>
      </c>
      <c r="I10734" s="3">
        <v>4671.09</v>
      </c>
      <c r="J10734" s="3">
        <v>4938.51</v>
      </c>
      <c r="L10734">
        <v>305</v>
      </c>
      <c r="M10734" t="s">
        <v>23720</v>
      </c>
      <c r="N10734" t="s">
        <v>30</v>
      </c>
      <c r="O10734" t="s">
        <v>31</v>
      </c>
      <c r="P10734" t="str">
        <f t="shared" si="121"/>
        <v>15210</v>
      </c>
    </row>
    <row r="10735" spans="1:16" x14ac:dyDescent="0.25">
      <c r="A10735" t="str">
        <f>"1160030N00159    00"</f>
        <v>1160030N00159    00</v>
      </c>
      <c r="B10735" t="s">
        <v>23729</v>
      </c>
      <c r="C10735" t="s">
        <v>23721</v>
      </c>
      <c r="D10735" t="s">
        <v>20</v>
      </c>
      <c r="E10735" t="s">
        <v>39</v>
      </c>
      <c r="F10735">
        <v>0</v>
      </c>
      <c r="G10735">
        <v>0</v>
      </c>
      <c r="H10735">
        <v>19</v>
      </c>
      <c r="I10735" s="3">
        <v>4940.1499999999996</v>
      </c>
      <c r="J10735" s="3">
        <v>5062.2</v>
      </c>
      <c r="L10735">
        <v>321</v>
      </c>
      <c r="M10735" t="s">
        <v>23720</v>
      </c>
      <c r="N10735" t="s">
        <v>30</v>
      </c>
      <c r="O10735" t="s">
        <v>31</v>
      </c>
      <c r="P10735" t="str">
        <f t="shared" si="121"/>
        <v>15210</v>
      </c>
    </row>
    <row r="10736" spans="1:16" x14ac:dyDescent="0.25">
      <c r="A10736" t="str">
        <f>"1160030N00166    00"</f>
        <v>1160030N00166    00</v>
      </c>
      <c r="B10736" t="s">
        <v>23730</v>
      </c>
      <c r="C10736" t="s">
        <v>23731</v>
      </c>
      <c r="D10736" t="s">
        <v>20</v>
      </c>
      <c r="E10736" t="s">
        <v>39</v>
      </c>
      <c r="F10736">
        <v>0</v>
      </c>
      <c r="G10736">
        <v>0</v>
      </c>
      <c r="H10736">
        <v>1</v>
      </c>
      <c r="I10736" s="3">
        <v>234.9</v>
      </c>
      <c r="J10736" s="3">
        <v>0</v>
      </c>
      <c r="K10736" t="s">
        <v>23732</v>
      </c>
      <c r="L10736">
        <v>325</v>
      </c>
      <c r="M10736" t="s">
        <v>23720</v>
      </c>
      <c r="N10736" t="s">
        <v>30</v>
      </c>
      <c r="O10736" t="s">
        <v>31</v>
      </c>
      <c r="P10736" t="str">
        <f t="shared" si="121"/>
        <v>15210</v>
      </c>
    </row>
    <row r="10737" spans="1:16" x14ac:dyDescent="0.25">
      <c r="A10737" t="str">
        <f>"1160030N00281    00"</f>
        <v>1160030N00281    00</v>
      </c>
      <c r="B10737" t="s">
        <v>23733</v>
      </c>
      <c r="C10737" t="s">
        <v>23734</v>
      </c>
      <c r="D10737" t="s">
        <v>20</v>
      </c>
      <c r="E10737" t="s">
        <v>39</v>
      </c>
      <c r="F10737">
        <v>0</v>
      </c>
      <c r="G10737">
        <v>0</v>
      </c>
      <c r="H10737">
        <v>19</v>
      </c>
      <c r="I10737" s="3">
        <v>5126.2700000000004</v>
      </c>
      <c r="J10737" s="3">
        <v>5493.84</v>
      </c>
      <c r="L10737">
        <v>212</v>
      </c>
      <c r="M10737" t="s">
        <v>23735</v>
      </c>
      <c r="N10737" t="s">
        <v>30</v>
      </c>
      <c r="O10737" t="s">
        <v>31</v>
      </c>
      <c r="P10737" t="str">
        <f t="shared" si="121"/>
        <v>15210</v>
      </c>
    </row>
    <row r="10738" spans="1:16" x14ac:dyDescent="0.25">
      <c r="A10738" t="str">
        <f>"1160030N00285    00"</f>
        <v>1160030N00285    00</v>
      </c>
      <c r="B10738" t="s">
        <v>23736</v>
      </c>
      <c r="C10738" t="s">
        <v>23734</v>
      </c>
      <c r="D10738" t="s">
        <v>20</v>
      </c>
      <c r="E10738" t="s">
        <v>39</v>
      </c>
      <c r="F10738">
        <v>0</v>
      </c>
      <c r="G10738">
        <v>0</v>
      </c>
      <c r="H10738">
        <v>19</v>
      </c>
      <c r="I10738" s="3">
        <v>8129.1</v>
      </c>
      <c r="J10738" s="3">
        <v>9955.27</v>
      </c>
      <c r="L10738">
        <v>218</v>
      </c>
      <c r="M10738" t="s">
        <v>23737</v>
      </c>
      <c r="N10738" t="s">
        <v>30</v>
      </c>
      <c r="O10738" t="s">
        <v>31</v>
      </c>
      <c r="P10738" t="str">
        <f t="shared" si="121"/>
        <v>15210</v>
      </c>
    </row>
    <row r="10739" spans="1:16" x14ac:dyDescent="0.25">
      <c r="A10739" t="str">
        <f>"1160030N00299    00"</f>
        <v>1160030N00299    00</v>
      </c>
      <c r="B10739" t="s">
        <v>23738</v>
      </c>
      <c r="C10739" t="s">
        <v>23739</v>
      </c>
      <c r="D10739" t="s">
        <v>20</v>
      </c>
      <c r="E10739" t="s">
        <v>39</v>
      </c>
      <c r="F10739">
        <v>0</v>
      </c>
      <c r="G10739">
        <v>0</v>
      </c>
      <c r="H10739">
        <v>19</v>
      </c>
      <c r="I10739" s="3">
        <v>5296.96</v>
      </c>
      <c r="J10739" s="3">
        <v>5538.48</v>
      </c>
      <c r="L10739">
        <v>0</v>
      </c>
      <c r="M10739" t="s">
        <v>23740</v>
      </c>
      <c r="N10739" t="s">
        <v>30</v>
      </c>
      <c r="O10739" t="s">
        <v>31</v>
      </c>
      <c r="P10739" t="str">
        <f t="shared" si="121"/>
        <v>15210</v>
      </c>
    </row>
    <row r="10740" spans="1:16" x14ac:dyDescent="0.25">
      <c r="A10740" t="str">
        <f>"1160031A00061    00"</f>
        <v>1160031A00061    00</v>
      </c>
      <c r="B10740" t="s">
        <v>23741</v>
      </c>
      <c r="C10740" t="s">
        <v>23742</v>
      </c>
      <c r="D10740" t="s">
        <v>20</v>
      </c>
      <c r="E10740" t="s">
        <v>39</v>
      </c>
      <c r="F10740">
        <v>0</v>
      </c>
      <c r="G10740">
        <v>0</v>
      </c>
      <c r="H10740">
        <v>19</v>
      </c>
      <c r="I10740" s="3">
        <v>636.42999999999995</v>
      </c>
      <c r="J10740" s="3">
        <v>516.47</v>
      </c>
      <c r="K10740" t="s">
        <v>1037</v>
      </c>
      <c r="L10740">
        <v>5436</v>
      </c>
      <c r="M10740" t="s">
        <v>1740</v>
      </c>
      <c r="N10740" t="s">
        <v>30</v>
      </c>
      <c r="O10740" t="s">
        <v>31</v>
      </c>
      <c r="P10740" t="str">
        <f>"15232"</f>
        <v>15232</v>
      </c>
    </row>
    <row r="10741" spans="1:16" x14ac:dyDescent="0.25">
      <c r="A10741" t="str">
        <f>"1160031A00063    00"</f>
        <v>1160031A00063    00</v>
      </c>
      <c r="B10741" t="s">
        <v>23741</v>
      </c>
      <c r="C10741" t="s">
        <v>23700</v>
      </c>
      <c r="D10741" t="s">
        <v>20</v>
      </c>
      <c r="E10741" t="s">
        <v>39</v>
      </c>
      <c r="F10741">
        <v>0</v>
      </c>
      <c r="G10741">
        <v>0</v>
      </c>
      <c r="H10741">
        <v>19</v>
      </c>
      <c r="I10741" s="3">
        <v>3927.9</v>
      </c>
      <c r="J10741" s="3">
        <v>4028.68</v>
      </c>
      <c r="L10741">
        <v>5436</v>
      </c>
      <c r="M10741" t="s">
        <v>1740</v>
      </c>
      <c r="N10741" t="s">
        <v>30</v>
      </c>
      <c r="O10741" t="s">
        <v>31</v>
      </c>
      <c r="P10741" t="str">
        <f>"15232"</f>
        <v>15232</v>
      </c>
    </row>
    <row r="10742" spans="1:16" x14ac:dyDescent="0.25">
      <c r="A10742" t="str">
        <f>"1160031A00111    00"</f>
        <v>1160031A00111    00</v>
      </c>
      <c r="B10742" t="s">
        <v>23743</v>
      </c>
      <c r="C10742" t="s">
        <v>23744</v>
      </c>
      <c r="D10742" t="s">
        <v>20</v>
      </c>
      <c r="E10742" t="s">
        <v>39</v>
      </c>
      <c r="F10742">
        <v>0</v>
      </c>
      <c r="G10742">
        <v>0</v>
      </c>
      <c r="H10742">
        <v>5</v>
      </c>
      <c r="I10742" s="3">
        <v>589.79999999999995</v>
      </c>
      <c r="J10742" s="3">
        <v>125.66</v>
      </c>
      <c r="L10742">
        <v>349</v>
      </c>
      <c r="M10742" t="s">
        <v>23711</v>
      </c>
      <c r="N10742" t="s">
        <v>30</v>
      </c>
      <c r="O10742" t="s">
        <v>31</v>
      </c>
      <c r="P10742" t="str">
        <f>"15210"</f>
        <v>15210</v>
      </c>
    </row>
    <row r="10743" spans="1:16" x14ac:dyDescent="0.25">
      <c r="A10743" t="str">
        <f>"1160031A00123    00"</f>
        <v>1160031A00123    00</v>
      </c>
      <c r="B10743" t="s">
        <v>23051</v>
      </c>
      <c r="C10743" t="s">
        <v>23745</v>
      </c>
      <c r="D10743" t="s">
        <v>20</v>
      </c>
      <c r="E10743" t="s">
        <v>39</v>
      </c>
      <c r="F10743">
        <v>0</v>
      </c>
      <c r="G10743">
        <v>0</v>
      </c>
      <c r="H10743">
        <v>2</v>
      </c>
      <c r="I10743" s="3">
        <v>621.52</v>
      </c>
      <c r="J10743" s="3">
        <v>0</v>
      </c>
      <c r="L10743">
        <v>2618</v>
      </c>
      <c r="M10743" t="s">
        <v>22876</v>
      </c>
      <c r="N10743" t="s">
        <v>30</v>
      </c>
      <c r="O10743" t="s">
        <v>31</v>
      </c>
      <c r="P10743" t="str">
        <f>"15203"</f>
        <v>15203</v>
      </c>
    </row>
    <row r="10744" spans="1:16" x14ac:dyDescent="0.25">
      <c r="A10744" t="str">
        <f>"1160031E00130    00"</f>
        <v>1160031E00130    00</v>
      </c>
      <c r="B10744" t="s">
        <v>23746</v>
      </c>
      <c r="C10744" t="s">
        <v>23747</v>
      </c>
      <c r="D10744" t="s">
        <v>20</v>
      </c>
      <c r="E10744" t="s">
        <v>39</v>
      </c>
      <c r="F10744">
        <v>0</v>
      </c>
      <c r="G10744">
        <v>0</v>
      </c>
      <c r="H10744">
        <v>1</v>
      </c>
      <c r="I10744" s="3">
        <v>200.14</v>
      </c>
      <c r="J10744" s="3">
        <v>0</v>
      </c>
      <c r="L10744">
        <v>5919</v>
      </c>
      <c r="M10744" t="s">
        <v>23748</v>
      </c>
      <c r="N10744" t="s">
        <v>3934</v>
      </c>
      <c r="O10744" t="s">
        <v>31</v>
      </c>
      <c r="P10744" t="str">
        <f>"15102"</f>
        <v>15102</v>
      </c>
    </row>
    <row r="10745" spans="1:16" x14ac:dyDescent="0.25">
      <c r="A10745" t="str">
        <f>"1160031E00171    00"</f>
        <v>1160031E00171    00</v>
      </c>
      <c r="B10745" t="s">
        <v>23749</v>
      </c>
      <c r="C10745" t="s">
        <v>23750</v>
      </c>
      <c r="D10745" t="s">
        <v>20</v>
      </c>
      <c r="E10745" t="s">
        <v>39</v>
      </c>
      <c r="F10745">
        <v>0</v>
      </c>
      <c r="G10745">
        <v>0</v>
      </c>
      <c r="H10745">
        <v>2</v>
      </c>
      <c r="I10745" s="3">
        <v>225.77</v>
      </c>
      <c r="J10745" s="3">
        <v>0</v>
      </c>
      <c r="L10745">
        <v>742</v>
      </c>
      <c r="M10745" t="s">
        <v>23751</v>
      </c>
      <c r="N10745" t="s">
        <v>30</v>
      </c>
      <c r="O10745" t="s">
        <v>31</v>
      </c>
      <c r="P10745" t="str">
        <f>"15210"</f>
        <v>15210</v>
      </c>
    </row>
    <row r="10746" spans="1:16" x14ac:dyDescent="0.25">
      <c r="A10746" t="str">
        <f>"1160031E00196    00"</f>
        <v>1160031E00196    00</v>
      </c>
      <c r="B10746" t="s">
        <v>23752</v>
      </c>
      <c r="C10746" t="s">
        <v>23753</v>
      </c>
      <c r="D10746" t="s">
        <v>20</v>
      </c>
      <c r="E10746" t="s">
        <v>21</v>
      </c>
      <c r="F10746">
        <v>0</v>
      </c>
      <c r="G10746">
        <v>0</v>
      </c>
      <c r="H10746">
        <v>6</v>
      </c>
      <c r="I10746" s="3">
        <v>28862.799999999999</v>
      </c>
      <c r="J10746" s="3">
        <v>6473.31</v>
      </c>
      <c r="K10746" t="s">
        <v>23754</v>
      </c>
      <c r="L10746">
        <v>754</v>
      </c>
      <c r="M10746" t="s">
        <v>23751</v>
      </c>
      <c r="N10746" t="s">
        <v>30</v>
      </c>
      <c r="O10746" t="s">
        <v>31</v>
      </c>
      <c r="P10746" t="str">
        <f>"15210"</f>
        <v>15210</v>
      </c>
    </row>
    <row r="10747" spans="1:16" x14ac:dyDescent="0.25">
      <c r="A10747" t="str">
        <f>"1160031E00198    00"</f>
        <v>1160031E00198    00</v>
      </c>
      <c r="B10747" t="s">
        <v>23755</v>
      </c>
      <c r="C10747" t="s">
        <v>23756</v>
      </c>
      <c r="D10747" t="s">
        <v>20</v>
      </c>
      <c r="E10747" t="s">
        <v>290</v>
      </c>
      <c r="F10747">
        <v>0</v>
      </c>
      <c r="G10747">
        <v>0</v>
      </c>
      <c r="H10747">
        <v>3</v>
      </c>
      <c r="I10747" s="3">
        <v>8588.49</v>
      </c>
      <c r="J10747" s="3">
        <v>572.54</v>
      </c>
      <c r="L10747">
        <v>1201</v>
      </c>
      <c r="M10747" t="s">
        <v>23757</v>
      </c>
      <c r="N10747" t="s">
        <v>30</v>
      </c>
      <c r="O10747" t="s">
        <v>31</v>
      </c>
      <c r="P10747" t="str">
        <f>"15210"</f>
        <v>15210</v>
      </c>
    </row>
    <row r="10748" spans="1:16" x14ac:dyDescent="0.25">
      <c r="A10748" t="str">
        <f>"1160031E00249000100"</f>
        <v>1160031E00249000100</v>
      </c>
      <c r="B10748" t="s">
        <v>23758</v>
      </c>
      <c r="C10748" t="s">
        <v>23759</v>
      </c>
      <c r="D10748" t="s">
        <v>20</v>
      </c>
      <c r="E10748" t="s">
        <v>21</v>
      </c>
      <c r="F10748">
        <v>0</v>
      </c>
      <c r="G10748">
        <v>0</v>
      </c>
      <c r="H10748">
        <v>6</v>
      </c>
      <c r="I10748" s="3">
        <v>78.34</v>
      </c>
      <c r="J10748" s="3">
        <v>19.25</v>
      </c>
      <c r="L10748">
        <v>200</v>
      </c>
      <c r="M10748" t="s">
        <v>23760</v>
      </c>
      <c r="N10748" t="s">
        <v>149</v>
      </c>
      <c r="O10748" t="s">
        <v>31</v>
      </c>
      <c r="P10748" t="str">
        <f>"15106"</f>
        <v>15106</v>
      </c>
    </row>
    <row r="10749" spans="1:16" x14ac:dyDescent="0.25">
      <c r="A10749" t="str">
        <f>"1160031F00109    00"</f>
        <v>1160031F00109    00</v>
      </c>
      <c r="B10749" t="s">
        <v>23761</v>
      </c>
      <c r="C10749" t="s">
        <v>23762</v>
      </c>
      <c r="D10749" t="s">
        <v>20</v>
      </c>
      <c r="E10749" t="s">
        <v>39</v>
      </c>
      <c r="F10749">
        <v>0</v>
      </c>
      <c r="G10749">
        <v>0</v>
      </c>
      <c r="H10749">
        <v>2</v>
      </c>
      <c r="I10749" s="3">
        <v>30.66</v>
      </c>
      <c r="J10749" s="3">
        <v>0</v>
      </c>
      <c r="L10749">
        <v>977</v>
      </c>
      <c r="M10749" t="s">
        <v>23757</v>
      </c>
      <c r="N10749" t="s">
        <v>30</v>
      </c>
      <c r="O10749" t="s">
        <v>31</v>
      </c>
      <c r="P10749" t="str">
        <f>"15210"</f>
        <v>15210</v>
      </c>
    </row>
    <row r="10750" spans="1:16" x14ac:dyDescent="0.25">
      <c r="A10750" t="str">
        <f>"1160031F00113    00"</f>
        <v>1160031F00113    00</v>
      </c>
      <c r="B10750" t="s">
        <v>23763</v>
      </c>
      <c r="C10750" t="s">
        <v>23764</v>
      </c>
      <c r="D10750" t="s">
        <v>20</v>
      </c>
      <c r="E10750" t="s">
        <v>39</v>
      </c>
      <c r="F10750">
        <v>0</v>
      </c>
      <c r="G10750">
        <v>0</v>
      </c>
      <c r="H10750">
        <v>17</v>
      </c>
      <c r="I10750" s="3">
        <v>7924.82</v>
      </c>
      <c r="J10750" s="3">
        <v>9875.86</v>
      </c>
      <c r="L10750">
        <v>973</v>
      </c>
      <c r="M10750" t="s">
        <v>23757</v>
      </c>
      <c r="N10750" t="s">
        <v>30</v>
      </c>
      <c r="O10750" t="s">
        <v>31</v>
      </c>
      <c r="P10750" t="str">
        <f>"15210"</f>
        <v>15210</v>
      </c>
    </row>
    <row r="10751" spans="1:16" x14ac:dyDescent="0.25">
      <c r="A10751" t="str">
        <f>"1160031G00040    00"</f>
        <v>1160031G00040    00</v>
      </c>
      <c r="B10751" t="s">
        <v>23765</v>
      </c>
      <c r="C10751" t="s">
        <v>23766</v>
      </c>
      <c r="D10751" t="s">
        <v>20</v>
      </c>
      <c r="E10751" t="s">
        <v>21</v>
      </c>
      <c r="F10751">
        <v>0</v>
      </c>
      <c r="G10751">
        <v>0</v>
      </c>
      <c r="H10751">
        <v>1</v>
      </c>
      <c r="I10751" s="3">
        <v>1438.76</v>
      </c>
      <c r="J10751" s="3">
        <v>0</v>
      </c>
      <c r="L10751">
        <v>2028</v>
      </c>
      <c r="M10751" t="s">
        <v>23767</v>
      </c>
      <c r="N10751" t="s">
        <v>23768</v>
      </c>
      <c r="O10751" t="s">
        <v>370</v>
      </c>
      <c r="P10751" t="str">
        <f>"32935"</f>
        <v>32935</v>
      </c>
    </row>
    <row r="10752" spans="1:16" x14ac:dyDescent="0.25">
      <c r="A10752" t="str">
        <f>"1160031G00045    00"</f>
        <v>1160031G00045    00</v>
      </c>
      <c r="B10752" t="s">
        <v>23769</v>
      </c>
      <c r="C10752" t="s">
        <v>23770</v>
      </c>
      <c r="D10752" t="s">
        <v>20</v>
      </c>
      <c r="E10752" t="s">
        <v>21</v>
      </c>
      <c r="F10752">
        <v>0</v>
      </c>
      <c r="G10752">
        <v>0</v>
      </c>
      <c r="H10752">
        <v>2</v>
      </c>
      <c r="I10752" s="3">
        <v>1348.93</v>
      </c>
      <c r="J10752" s="3">
        <v>0</v>
      </c>
      <c r="L10752">
        <v>998</v>
      </c>
      <c r="M10752" t="s">
        <v>23771</v>
      </c>
      <c r="N10752" t="s">
        <v>30</v>
      </c>
      <c r="O10752" t="s">
        <v>31</v>
      </c>
      <c r="P10752" t="str">
        <f>"15210"</f>
        <v>15210</v>
      </c>
    </row>
    <row r="10753" spans="1:16" x14ac:dyDescent="0.25">
      <c r="A10753" t="str">
        <f>"1160031G00052    00"</f>
        <v>1160031G00052    00</v>
      </c>
      <c r="B10753" t="s">
        <v>23765</v>
      </c>
      <c r="C10753" t="s">
        <v>23772</v>
      </c>
      <c r="D10753" t="s">
        <v>20</v>
      </c>
      <c r="E10753" t="s">
        <v>39</v>
      </c>
      <c r="F10753">
        <v>0</v>
      </c>
      <c r="G10753">
        <v>0</v>
      </c>
      <c r="H10753">
        <v>2</v>
      </c>
      <c r="I10753" s="3">
        <v>3848.25</v>
      </c>
      <c r="J10753" s="3">
        <v>0</v>
      </c>
      <c r="K10753" t="s">
        <v>2570</v>
      </c>
      <c r="L10753">
        <v>901</v>
      </c>
      <c r="M10753" t="s">
        <v>1503</v>
      </c>
      <c r="N10753" t="s">
        <v>494</v>
      </c>
      <c r="O10753" t="s">
        <v>495</v>
      </c>
      <c r="P10753" t="str">
        <f>"91768"</f>
        <v>91768</v>
      </c>
    </row>
    <row r="10754" spans="1:16" x14ac:dyDescent="0.25">
      <c r="A10754" t="str">
        <f>"1160032A00029    00"</f>
        <v>1160032A00029    00</v>
      </c>
      <c r="B10754" t="s">
        <v>23773</v>
      </c>
      <c r="C10754" t="s">
        <v>23774</v>
      </c>
      <c r="D10754" t="s">
        <v>20</v>
      </c>
      <c r="E10754" t="s">
        <v>39</v>
      </c>
      <c r="F10754">
        <v>0</v>
      </c>
      <c r="G10754">
        <v>0</v>
      </c>
      <c r="H10754">
        <v>17</v>
      </c>
      <c r="I10754" s="3">
        <v>93</v>
      </c>
      <c r="J10754" s="3">
        <v>69.81</v>
      </c>
      <c r="L10754">
        <v>427</v>
      </c>
      <c r="M10754" t="s">
        <v>23775</v>
      </c>
      <c r="N10754" t="s">
        <v>30</v>
      </c>
      <c r="O10754" t="s">
        <v>31</v>
      </c>
      <c r="P10754" t="str">
        <f>"15210"</f>
        <v>15210</v>
      </c>
    </row>
    <row r="10755" spans="1:16" x14ac:dyDescent="0.25">
      <c r="A10755" t="str">
        <f>"1160032A00032    00"</f>
        <v>1160032A00032    00</v>
      </c>
      <c r="B10755" t="s">
        <v>23776</v>
      </c>
      <c r="C10755" t="s">
        <v>23777</v>
      </c>
      <c r="D10755" t="s">
        <v>20</v>
      </c>
      <c r="E10755" t="s">
        <v>39</v>
      </c>
      <c r="F10755">
        <v>0</v>
      </c>
      <c r="G10755">
        <v>0</v>
      </c>
      <c r="H10755">
        <v>1</v>
      </c>
      <c r="I10755" s="3">
        <v>140.08000000000001</v>
      </c>
      <c r="J10755" s="3">
        <v>0</v>
      </c>
      <c r="K10755" t="s">
        <v>557</v>
      </c>
      <c r="L10755">
        <v>3001</v>
      </c>
      <c r="M10755" t="s">
        <v>330</v>
      </c>
      <c r="N10755" t="s">
        <v>331</v>
      </c>
      <c r="O10755" t="s">
        <v>108</v>
      </c>
      <c r="P10755" t="str">
        <f>"75063"</f>
        <v>75063</v>
      </c>
    </row>
    <row r="10756" spans="1:16" x14ac:dyDescent="0.25">
      <c r="A10756" t="str">
        <f>"1160032A00062    00"</f>
        <v>1160032A00062    00</v>
      </c>
      <c r="B10756" t="s">
        <v>23778</v>
      </c>
      <c r="C10756" t="s">
        <v>23779</v>
      </c>
      <c r="D10756" t="s">
        <v>20</v>
      </c>
      <c r="E10756" t="s">
        <v>39</v>
      </c>
      <c r="F10756">
        <v>0</v>
      </c>
      <c r="G10756">
        <v>0</v>
      </c>
      <c r="H10756">
        <v>1</v>
      </c>
      <c r="I10756" s="3">
        <v>67.84</v>
      </c>
      <c r="J10756" s="3">
        <v>0</v>
      </c>
      <c r="L10756">
        <v>454</v>
      </c>
      <c r="M10756" t="s">
        <v>23780</v>
      </c>
      <c r="N10756" t="s">
        <v>30</v>
      </c>
      <c r="O10756" t="s">
        <v>31</v>
      </c>
      <c r="P10756" t="str">
        <f t="shared" ref="P10756:P10761" si="122">"15210"</f>
        <v>15210</v>
      </c>
    </row>
    <row r="10757" spans="1:16" x14ac:dyDescent="0.25">
      <c r="A10757" t="str">
        <f>"1160032A00067    00"</f>
        <v>1160032A00067    00</v>
      </c>
      <c r="B10757" t="s">
        <v>23781</v>
      </c>
      <c r="C10757" t="s">
        <v>23782</v>
      </c>
      <c r="E10757" t="s">
        <v>39</v>
      </c>
      <c r="F10757">
        <v>0</v>
      </c>
      <c r="G10757">
        <v>0</v>
      </c>
      <c r="H10757">
        <v>1</v>
      </c>
      <c r="I10757" s="3">
        <v>72.239999999999995</v>
      </c>
      <c r="J10757" s="3">
        <v>0</v>
      </c>
      <c r="L10757">
        <v>442</v>
      </c>
      <c r="M10757" t="s">
        <v>23780</v>
      </c>
      <c r="N10757" t="s">
        <v>30</v>
      </c>
      <c r="O10757" t="s">
        <v>31</v>
      </c>
      <c r="P10757" t="str">
        <f t="shared" si="122"/>
        <v>15210</v>
      </c>
    </row>
    <row r="10758" spans="1:16" x14ac:dyDescent="0.25">
      <c r="A10758" t="str">
        <f>"1160032A00068    00"</f>
        <v>1160032A00068    00</v>
      </c>
      <c r="B10758" t="s">
        <v>23783</v>
      </c>
      <c r="C10758" t="s">
        <v>23784</v>
      </c>
      <c r="D10758" t="s">
        <v>20</v>
      </c>
      <c r="E10758" t="s">
        <v>39</v>
      </c>
      <c r="F10758">
        <v>0</v>
      </c>
      <c r="G10758">
        <v>0</v>
      </c>
      <c r="H10758">
        <v>2</v>
      </c>
      <c r="I10758" s="3">
        <v>345.36</v>
      </c>
      <c r="J10758" s="3">
        <v>0</v>
      </c>
      <c r="L10758">
        <v>440</v>
      </c>
      <c r="M10758" t="s">
        <v>23780</v>
      </c>
      <c r="N10758" t="s">
        <v>30</v>
      </c>
      <c r="O10758" t="s">
        <v>31</v>
      </c>
      <c r="P10758" t="str">
        <f t="shared" si="122"/>
        <v>15210</v>
      </c>
    </row>
    <row r="10759" spans="1:16" x14ac:dyDescent="0.25">
      <c r="A10759" t="str">
        <f>"1160032A00069    00"</f>
        <v>1160032A00069    00</v>
      </c>
      <c r="B10759" t="s">
        <v>23783</v>
      </c>
      <c r="C10759" t="s">
        <v>23774</v>
      </c>
      <c r="D10759" t="s">
        <v>20</v>
      </c>
      <c r="E10759" t="s">
        <v>39</v>
      </c>
      <c r="F10759">
        <v>0</v>
      </c>
      <c r="G10759">
        <v>0</v>
      </c>
      <c r="H10759">
        <v>3</v>
      </c>
      <c r="I10759" s="3">
        <v>136.11000000000001</v>
      </c>
      <c r="J10759" s="3">
        <v>11.06</v>
      </c>
      <c r="L10759">
        <v>440</v>
      </c>
      <c r="M10759" t="s">
        <v>23780</v>
      </c>
      <c r="N10759" t="s">
        <v>30</v>
      </c>
      <c r="O10759" t="s">
        <v>31</v>
      </c>
      <c r="P10759" t="str">
        <f t="shared" si="122"/>
        <v>15210</v>
      </c>
    </row>
    <row r="10760" spans="1:16" x14ac:dyDescent="0.25">
      <c r="A10760" t="str">
        <f>"1160032A00091    00"</f>
        <v>1160032A00091    00</v>
      </c>
      <c r="B10760" t="s">
        <v>23785</v>
      </c>
      <c r="C10760" t="s">
        <v>23774</v>
      </c>
      <c r="D10760" t="s">
        <v>20</v>
      </c>
      <c r="E10760" t="s">
        <v>39</v>
      </c>
      <c r="F10760">
        <v>0</v>
      </c>
      <c r="G10760">
        <v>0</v>
      </c>
      <c r="H10760">
        <v>2</v>
      </c>
      <c r="I10760" s="3">
        <v>45.74</v>
      </c>
      <c r="J10760" s="3">
        <v>0</v>
      </c>
      <c r="L10760">
        <v>401</v>
      </c>
      <c r="M10760" t="s">
        <v>23786</v>
      </c>
      <c r="N10760" t="s">
        <v>30</v>
      </c>
      <c r="O10760" t="s">
        <v>31</v>
      </c>
      <c r="P10760" t="str">
        <f t="shared" si="122"/>
        <v>15210</v>
      </c>
    </row>
    <row r="10761" spans="1:16" x14ac:dyDescent="0.25">
      <c r="A10761" t="str">
        <f>"1160032A00129    00"</f>
        <v>1160032A00129    00</v>
      </c>
      <c r="B10761" t="s">
        <v>23785</v>
      </c>
      <c r="C10761" t="s">
        <v>23787</v>
      </c>
      <c r="D10761" t="s">
        <v>20</v>
      </c>
      <c r="E10761" t="s">
        <v>39</v>
      </c>
      <c r="F10761">
        <v>0</v>
      </c>
      <c r="G10761">
        <v>0</v>
      </c>
      <c r="H10761">
        <v>2</v>
      </c>
      <c r="I10761" s="3">
        <v>458.28</v>
      </c>
      <c r="J10761" s="3">
        <v>0</v>
      </c>
      <c r="L10761">
        <v>401</v>
      </c>
      <c r="M10761" t="s">
        <v>23786</v>
      </c>
      <c r="N10761" t="s">
        <v>30</v>
      </c>
      <c r="O10761" t="s">
        <v>31</v>
      </c>
      <c r="P10761" t="str">
        <f t="shared" si="122"/>
        <v>15210</v>
      </c>
    </row>
    <row r="10762" spans="1:16" x14ac:dyDescent="0.25">
      <c r="A10762" t="str">
        <f>"1160032A00133    00"</f>
        <v>1160032A00133    00</v>
      </c>
      <c r="B10762" t="s">
        <v>23788</v>
      </c>
      <c r="C10762" t="s">
        <v>23789</v>
      </c>
      <c r="D10762" t="s">
        <v>20</v>
      </c>
      <c r="E10762" t="s">
        <v>39</v>
      </c>
      <c r="F10762">
        <v>0</v>
      </c>
      <c r="G10762">
        <v>0</v>
      </c>
      <c r="H10762">
        <v>7</v>
      </c>
      <c r="I10762" s="3">
        <v>1123.1099999999999</v>
      </c>
      <c r="J10762" s="3">
        <v>321.43</v>
      </c>
      <c r="K10762" t="s">
        <v>8414</v>
      </c>
      <c r="L10762">
        <v>901</v>
      </c>
      <c r="M10762" t="s">
        <v>1503</v>
      </c>
      <c r="N10762" t="s">
        <v>494</v>
      </c>
      <c r="O10762" t="s">
        <v>495</v>
      </c>
      <c r="P10762" t="str">
        <f>"91768"</f>
        <v>91768</v>
      </c>
    </row>
    <row r="10763" spans="1:16" x14ac:dyDescent="0.25">
      <c r="A10763" t="str">
        <f>"1160032A00135    00"</f>
        <v>1160032A00135    00</v>
      </c>
      <c r="B10763" t="s">
        <v>23790</v>
      </c>
      <c r="C10763" t="s">
        <v>23791</v>
      </c>
      <c r="D10763" t="s">
        <v>20</v>
      </c>
      <c r="E10763" t="s">
        <v>39</v>
      </c>
      <c r="F10763">
        <v>0</v>
      </c>
      <c r="G10763">
        <v>0</v>
      </c>
      <c r="H10763">
        <v>1</v>
      </c>
      <c r="I10763" s="3">
        <v>133.91</v>
      </c>
      <c r="J10763" s="3">
        <v>0</v>
      </c>
      <c r="L10763">
        <v>409</v>
      </c>
      <c r="M10763" t="s">
        <v>23786</v>
      </c>
      <c r="N10763" t="s">
        <v>30</v>
      </c>
      <c r="O10763" t="s">
        <v>31</v>
      </c>
      <c r="P10763" t="str">
        <f>"15210"</f>
        <v>15210</v>
      </c>
    </row>
    <row r="10764" spans="1:16" x14ac:dyDescent="0.25">
      <c r="A10764" t="str">
        <f>"1160032A00155    00"</f>
        <v>1160032A00155    00</v>
      </c>
      <c r="B10764" t="s">
        <v>23792</v>
      </c>
      <c r="C10764" t="s">
        <v>23793</v>
      </c>
      <c r="D10764" t="s">
        <v>20</v>
      </c>
      <c r="E10764" t="s">
        <v>39</v>
      </c>
      <c r="F10764">
        <v>0</v>
      </c>
      <c r="G10764">
        <v>0</v>
      </c>
      <c r="H10764">
        <v>5</v>
      </c>
      <c r="I10764" s="3">
        <v>1201.05</v>
      </c>
      <c r="J10764" s="3">
        <v>274.5</v>
      </c>
      <c r="L10764">
        <v>441</v>
      </c>
      <c r="M10764" t="s">
        <v>23786</v>
      </c>
      <c r="N10764" t="s">
        <v>30</v>
      </c>
      <c r="O10764" t="s">
        <v>31</v>
      </c>
      <c r="P10764" t="str">
        <f>"15210"</f>
        <v>15210</v>
      </c>
    </row>
    <row r="10765" spans="1:16" x14ac:dyDescent="0.25">
      <c r="A10765" t="str">
        <f>"1160032A00160    00"</f>
        <v>1160032A00160    00</v>
      </c>
      <c r="B10765" t="s">
        <v>23794</v>
      </c>
      <c r="C10765" t="s">
        <v>23795</v>
      </c>
      <c r="D10765" t="s">
        <v>20</v>
      </c>
      <c r="E10765" t="s">
        <v>39</v>
      </c>
      <c r="F10765">
        <v>0</v>
      </c>
      <c r="G10765">
        <v>0</v>
      </c>
      <c r="H10765">
        <v>5</v>
      </c>
      <c r="I10765" s="3">
        <v>529.66999999999996</v>
      </c>
      <c r="J10765" s="3">
        <v>173.84</v>
      </c>
      <c r="L10765">
        <v>447</v>
      </c>
      <c r="M10765" t="s">
        <v>23786</v>
      </c>
      <c r="N10765" t="s">
        <v>30</v>
      </c>
      <c r="O10765" t="s">
        <v>31</v>
      </c>
      <c r="P10765" t="str">
        <f>"15210"</f>
        <v>15210</v>
      </c>
    </row>
    <row r="10766" spans="1:16" x14ac:dyDescent="0.25">
      <c r="A10766" t="str">
        <f>"1160032A00165    00"</f>
        <v>1160032A00165    00</v>
      </c>
      <c r="B10766" t="s">
        <v>23796</v>
      </c>
      <c r="C10766" t="s">
        <v>23797</v>
      </c>
      <c r="D10766" t="s">
        <v>20</v>
      </c>
      <c r="E10766" t="s">
        <v>39</v>
      </c>
      <c r="F10766">
        <v>0</v>
      </c>
      <c r="G10766">
        <v>0</v>
      </c>
      <c r="H10766">
        <v>19</v>
      </c>
      <c r="I10766" s="3">
        <v>5133.37</v>
      </c>
      <c r="J10766" s="3">
        <v>5363.62</v>
      </c>
      <c r="L10766">
        <v>825</v>
      </c>
      <c r="M10766" t="s">
        <v>23798</v>
      </c>
      <c r="N10766" t="s">
        <v>903</v>
      </c>
      <c r="O10766" t="s">
        <v>31</v>
      </c>
      <c r="P10766" t="str">
        <f>"15136"</f>
        <v>15136</v>
      </c>
    </row>
    <row r="10767" spans="1:16" x14ac:dyDescent="0.25">
      <c r="A10767" t="str">
        <f>"1160032A00169    00"</f>
        <v>1160032A00169    00</v>
      </c>
      <c r="B10767" t="s">
        <v>23799</v>
      </c>
      <c r="C10767" t="s">
        <v>23800</v>
      </c>
      <c r="D10767" t="s">
        <v>20</v>
      </c>
      <c r="E10767" t="s">
        <v>39</v>
      </c>
      <c r="F10767">
        <v>0</v>
      </c>
      <c r="G10767">
        <v>0</v>
      </c>
      <c r="H10767">
        <v>3</v>
      </c>
      <c r="I10767" s="3">
        <v>1083.3499999999999</v>
      </c>
      <c r="J10767" s="3">
        <v>26.41</v>
      </c>
      <c r="K10767" t="s">
        <v>23801</v>
      </c>
      <c r="L10767">
        <v>239</v>
      </c>
      <c r="M10767" t="s">
        <v>4730</v>
      </c>
      <c r="N10767" t="s">
        <v>30</v>
      </c>
      <c r="O10767" t="s">
        <v>31</v>
      </c>
      <c r="P10767" t="str">
        <f>"15222"</f>
        <v>15222</v>
      </c>
    </row>
    <row r="10768" spans="1:16" x14ac:dyDescent="0.25">
      <c r="A10768" t="str">
        <f>"1160032A00176    00"</f>
        <v>1160032A00176    00</v>
      </c>
      <c r="B10768" t="s">
        <v>23802</v>
      </c>
      <c r="C10768" t="s">
        <v>23803</v>
      </c>
      <c r="D10768" t="s">
        <v>20</v>
      </c>
      <c r="E10768" t="s">
        <v>39</v>
      </c>
      <c r="F10768">
        <v>0</v>
      </c>
      <c r="G10768">
        <v>0</v>
      </c>
      <c r="H10768">
        <v>13</v>
      </c>
      <c r="I10768" s="3">
        <v>1421.52</v>
      </c>
      <c r="J10768" s="3">
        <v>749.37</v>
      </c>
      <c r="L10768">
        <v>504</v>
      </c>
      <c r="M10768" t="s">
        <v>23786</v>
      </c>
      <c r="N10768" t="s">
        <v>30</v>
      </c>
      <c r="O10768" t="s">
        <v>31</v>
      </c>
      <c r="P10768" t="str">
        <f>"15210"</f>
        <v>15210</v>
      </c>
    </row>
    <row r="10769" spans="1:16" x14ac:dyDescent="0.25">
      <c r="A10769" t="str">
        <f>"1160032A00205    00"</f>
        <v>1160032A00205    00</v>
      </c>
      <c r="B10769" t="s">
        <v>23804</v>
      </c>
      <c r="C10769" t="s">
        <v>23805</v>
      </c>
      <c r="E10769" t="s">
        <v>21</v>
      </c>
      <c r="F10769">
        <v>0</v>
      </c>
      <c r="G10769">
        <v>0</v>
      </c>
      <c r="H10769">
        <v>1</v>
      </c>
      <c r="I10769" s="3">
        <v>609.91999999999996</v>
      </c>
      <c r="J10769" s="3">
        <v>0</v>
      </c>
      <c r="L10769">
        <v>2349</v>
      </c>
      <c r="M10769" t="s">
        <v>23806</v>
      </c>
      <c r="N10769" t="s">
        <v>30</v>
      </c>
      <c r="O10769" t="s">
        <v>31</v>
      </c>
      <c r="P10769" t="str">
        <f>"15222"</f>
        <v>15222</v>
      </c>
    </row>
    <row r="10770" spans="1:16" x14ac:dyDescent="0.25">
      <c r="A10770" t="str">
        <f>"1160032A00206    00"</f>
        <v>1160032A00206    00</v>
      </c>
      <c r="B10770" t="s">
        <v>23804</v>
      </c>
      <c r="C10770" t="s">
        <v>23807</v>
      </c>
      <c r="E10770" t="s">
        <v>21</v>
      </c>
      <c r="F10770">
        <v>0</v>
      </c>
      <c r="G10770">
        <v>0</v>
      </c>
      <c r="H10770">
        <v>1</v>
      </c>
      <c r="I10770" s="3">
        <v>762.4</v>
      </c>
      <c r="J10770" s="3">
        <v>0</v>
      </c>
      <c r="K10770" t="s">
        <v>23808</v>
      </c>
      <c r="L10770">
        <v>2349</v>
      </c>
      <c r="M10770" t="s">
        <v>23806</v>
      </c>
      <c r="N10770" t="s">
        <v>30</v>
      </c>
      <c r="O10770" t="s">
        <v>31</v>
      </c>
      <c r="P10770" t="str">
        <f>"15222"</f>
        <v>15222</v>
      </c>
    </row>
    <row r="10771" spans="1:16" x14ac:dyDescent="0.25">
      <c r="A10771" t="str">
        <f>"1160032A00207    00"</f>
        <v>1160032A00207    00</v>
      </c>
      <c r="B10771" t="s">
        <v>23809</v>
      </c>
      <c r="C10771" t="s">
        <v>23810</v>
      </c>
      <c r="D10771" t="s">
        <v>20</v>
      </c>
      <c r="E10771" t="s">
        <v>39</v>
      </c>
      <c r="F10771">
        <v>0</v>
      </c>
      <c r="G10771">
        <v>0</v>
      </c>
      <c r="H10771">
        <v>17</v>
      </c>
      <c r="I10771" s="3">
        <v>155.26</v>
      </c>
      <c r="J10771" s="3">
        <v>199</v>
      </c>
      <c r="K10771" t="s">
        <v>23811</v>
      </c>
      <c r="L10771">
        <v>413</v>
      </c>
      <c r="M10771" t="s">
        <v>23812</v>
      </c>
      <c r="N10771" t="s">
        <v>30</v>
      </c>
      <c r="O10771" t="s">
        <v>31</v>
      </c>
      <c r="P10771" t="str">
        <f>"15210"</f>
        <v>15210</v>
      </c>
    </row>
    <row r="10772" spans="1:16" x14ac:dyDescent="0.25">
      <c r="A10772" t="str">
        <f>"1160032A00284    00"</f>
        <v>1160032A00284    00</v>
      </c>
      <c r="B10772" t="s">
        <v>23813</v>
      </c>
      <c r="C10772" t="s">
        <v>23814</v>
      </c>
      <c r="D10772" t="s">
        <v>20</v>
      </c>
      <c r="E10772" t="s">
        <v>39</v>
      </c>
      <c r="F10772">
        <v>0</v>
      </c>
      <c r="G10772">
        <v>0</v>
      </c>
      <c r="H10772">
        <v>3</v>
      </c>
      <c r="I10772" s="3">
        <v>1984.17</v>
      </c>
      <c r="J10772" s="3">
        <v>132.27000000000001</v>
      </c>
      <c r="K10772" t="s">
        <v>23815</v>
      </c>
      <c r="L10772">
        <v>512</v>
      </c>
      <c r="M10772" t="s">
        <v>23816</v>
      </c>
      <c r="N10772" t="s">
        <v>295</v>
      </c>
      <c r="O10772" t="s">
        <v>31</v>
      </c>
      <c r="P10772" t="str">
        <f>"15146"</f>
        <v>15146</v>
      </c>
    </row>
    <row r="10773" spans="1:16" x14ac:dyDescent="0.25">
      <c r="A10773" t="str">
        <f>"1160032A00302    00"</f>
        <v>1160032A00302    00</v>
      </c>
      <c r="B10773" t="s">
        <v>23817</v>
      </c>
      <c r="C10773" t="s">
        <v>23818</v>
      </c>
      <c r="D10773" t="s">
        <v>20</v>
      </c>
      <c r="E10773" t="s">
        <v>39</v>
      </c>
      <c r="F10773">
        <v>0</v>
      </c>
      <c r="G10773">
        <v>0</v>
      </c>
      <c r="H10773">
        <v>4</v>
      </c>
      <c r="I10773" s="3">
        <v>1400.08</v>
      </c>
      <c r="J10773" s="3">
        <v>193.31</v>
      </c>
      <c r="L10773">
        <v>416</v>
      </c>
      <c r="M10773" t="s">
        <v>8339</v>
      </c>
      <c r="N10773" t="s">
        <v>30</v>
      </c>
      <c r="O10773" t="s">
        <v>31</v>
      </c>
      <c r="P10773" t="str">
        <f>"15210"</f>
        <v>15210</v>
      </c>
    </row>
    <row r="10774" spans="1:16" x14ac:dyDescent="0.25">
      <c r="A10774" t="str">
        <f>"1160032A00303    00"</f>
        <v>1160032A00303    00</v>
      </c>
      <c r="B10774" t="s">
        <v>23819</v>
      </c>
      <c r="C10774" t="s">
        <v>23820</v>
      </c>
      <c r="E10774" t="s">
        <v>39</v>
      </c>
      <c r="F10774">
        <v>0</v>
      </c>
      <c r="G10774">
        <v>0</v>
      </c>
      <c r="H10774">
        <v>3</v>
      </c>
      <c r="I10774" s="3">
        <v>1119.4000000000001</v>
      </c>
      <c r="J10774" s="3">
        <v>441.87</v>
      </c>
      <c r="L10774">
        <v>414</v>
      </c>
      <c r="M10774" t="s">
        <v>23821</v>
      </c>
      <c r="N10774" t="s">
        <v>30</v>
      </c>
      <c r="O10774" t="s">
        <v>31</v>
      </c>
      <c r="P10774" t="str">
        <f>"15210"</f>
        <v>15210</v>
      </c>
    </row>
    <row r="10775" spans="1:16" x14ac:dyDescent="0.25">
      <c r="A10775" t="str">
        <f>"1160032A00318    00"</f>
        <v>1160032A00318    00</v>
      </c>
      <c r="B10775" t="s">
        <v>23822</v>
      </c>
      <c r="C10775" t="s">
        <v>23823</v>
      </c>
      <c r="D10775" t="s">
        <v>20</v>
      </c>
      <c r="E10775" t="s">
        <v>39</v>
      </c>
      <c r="F10775">
        <v>0</v>
      </c>
      <c r="G10775">
        <v>0</v>
      </c>
      <c r="H10775">
        <v>1</v>
      </c>
      <c r="I10775" s="3">
        <v>136.56</v>
      </c>
      <c r="J10775" s="3">
        <v>0</v>
      </c>
      <c r="L10775">
        <v>503</v>
      </c>
      <c r="M10775" t="s">
        <v>23824</v>
      </c>
      <c r="N10775" t="s">
        <v>30</v>
      </c>
      <c r="O10775" t="s">
        <v>31</v>
      </c>
      <c r="P10775" t="str">
        <f>"15210"</f>
        <v>15210</v>
      </c>
    </row>
    <row r="10776" spans="1:16" x14ac:dyDescent="0.25">
      <c r="A10776" t="str">
        <f>"1160032A00326    00"</f>
        <v>1160032A00326    00</v>
      </c>
      <c r="B10776" t="s">
        <v>2909</v>
      </c>
      <c r="C10776" t="s">
        <v>23825</v>
      </c>
      <c r="E10776" t="s">
        <v>39</v>
      </c>
      <c r="F10776">
        <v>0</v>
      </c>
      <c r="G10776">
        <v>0</v>
      </c>
      <c r="H10776">
        <v>1</v>
      </c>
      <c r="I10776" s="3">
        <v>271.36</v>
      </c>
      <c r="J10776" s="3">
        <v>0</v>
      </c>
      <c r="K10776" t="s">
        <v>2910</v>
      </c>
      <c r="L10776">
        <v>10</v>
      </c>
      <c r="M10776" t="s">
        <v>2911</v>
      </c>
      <c r="N10776" t="s">
        <v>30</v>
      </c>
      <c r="O10776" t="s">
        <v>31</v>
      </c>
      <c r="P10776" t="str">
        <f>"15203"</f>
        <v>15203</v>
      </c>
    </row>
    <row r="10777" spans="1:16" x14ac:dyDescent="0.25">
      <c r="A10777" t="str">
        <f>"1160032A00329    00"</f>
        <v>1160032A00329    00</v>
      </c>
      <c r="B10777" t="s">
        <v>23826</v>
      </c>
      <c r="C10777" t="s">
        <v>23827</v>
      </c>
      <c r="D10777" t="s">
        <v>20</v>
      </c>
      <c r="E10777" t="s">
        <v>39</v>
      </c>
      <c r="F10777">
        <v>0</v>
      </c>
      <c r="G10777">
        <v>0</v>
      </c>
      <c r="H10777">
        <v>1</v>
      </c>
      <c r="I10777" s="3">
        <v>143.6</v>
      </c>
      <c r="J10777" s="3">
        <v>0</v>
      </c>
      <c r="L10777">
        <v>423</v>
      </c>
      <c r="M10777" t="s">
        <v>23824</v>
      </c>
      <c r="N10777" t="s">
        <v>30</v>
      </c>
      <c r="O10777" t="s">
        <v>31</v>
      </c>
      <c r="P10777" t="str">
        <f>"15210"</f>
        <v>15210</v>
      </c>
    </row>
    <row r="10778" spans="1:16" x14ac:dyDescent="0.25">
      <c r="A10778" t="str">
        <f>"1160032B00004    00"</f>
        <v>1160032B00004    00</v>
      </c>
      <c r="B10778" t="s">
        <v>23828</v>
      </c>
      <c r="C10778" t="s">
        <v>23829</v>
      </c>
      <c r="D10778" t="s">
        <v>20</v>
      </c>
      <c r="E10778" t="s">
        <v>39</v>
      </c>
      <c r="F10778">
        <v>0</v>
      </c>
      <c r="G10778">
        <v>0</v>
      </c>
      <c r="H10778">
        <v>2</v>
      </c>
      <c r="I10778" s="3">
        <v>1224.8399999999999</v>
      </c>
      <c r="J10778" s="3">
        <v>0</v>
      </c>
      <c r="K10778" t="s">
        <v>23830</v>
      </c>
      <c r="L10778">
        <v>513</v>
      </c>
      <c r="M10778" t="s">
        <v>23831</v>
      </c>
      <c r="N10778" t="s">
        <v>30</v>
      </c>
      <c r="O10778" t="s">
        <v>31</v>
      </c>
      <c r="P10778" t="str">
        <f>"15210"</f>
        <v>15210</v>
      </c>
    </row>
    <row r="10779" spans="1:16" x14ac:dyDescent="0.25">
      <c r="A10779" t="str">
        <f>"1160032B00005    00"</f>
        <v>1160032B00005    00</v>
      </c>
      <c r="B10779" t="s">
        <v>23832</v>
      </c>
      <c r="C10779" t="s">
        <v>23374</v>
      </c>
      <c r="D10779" t="s">
        <v>20</v>
      </c>
      <c r="E10779" t="s">
        <v>39</v>
      </c>
      <c r="F10779">
        <v>0</v>
      </c>
      <c r="G10779">
        <v>0</v>
      </c>
      <c r="H10779">
        <v>19</v>
      </c>
      <c r="I10779" s="3">
        <v>6694.39</v>
      </c>
      <c r="J10779" s="3">
        <v>6927.75</v>
      </c>
      <c r="L10779">
        <v>520</v>
      </c>
      <c r="M10779" t="s">
        <v>23376</v>
      </c>
      <c r="N10779" t="s">
        <v>30</v>
      </c>
      <c r="O10779" t="s">
        <v>31</v>
      </c>
      <c r="P10779" t="str">
        <f>"15210"</f>
        <v>15210</v>
      </c>
    </row>
    <row r="10780" spans="1:16" x14ac:dyDescent="0.25">
      <c r="A10780" t="str">
        <f>"1160032B00010    00"</f>
        <v>1160032B00010    00</v>
      </c>
      <c r="B10780" t="s">
        <v>23833</v>
      </c>
      <c r="C10780" t="s">
        <v>23425</v>
      </c>
      <c r="D10780" t="s">
        <v>20</v>
      </c>
      <c r="E10780" t="s">
        <v>39</v>
      </c>
      <c r="F10780">
        <v>0</v>
      </c>
      <c r="G10780">
        <v>0</v>
      </c>
      <c r="H10780">
        <v>19</v>
      </c>
      <c r="I10780" s="3">
        <v>4919.2700000000004</v>
      </c>
      <c r="J10780" s="3">
        <v>4933.7700000000004</v>
      </c>
      <c r="L10780">
        <v>320</v>
      </c>
      <c r="M10780" t="s">
        <v>23363</v>
      </c>
      <c r="N10780" t="s">
        <v>30</v>
      </c>
      <c r="O10780" t="s">
        <v>31</v>
      </c>
      <c r="P10780" t="str">
        <f>"15210"</f>
        <v>15210</v>
      </c>
    </row>
    <row r="10781" spans="1:16" x14ac:dyDescent="0.25">
      <c r="A10781" t="str">
        <f>"1160032B00015    00"</f>
        <v>1160032B00015    00</v>
      </c>
      <c r="B10781" t="s">
        <v>23834</v>
      </c>
      <c r="C10781" t="s">
        <v>23425</v>
      </c>
      <c r="D10781" t="s">
        <v>20</v>
      </c>
      <c r="E10781" t="s">
        <v>39</v>
      </c>
      <c r="F10781">
        <v>0</v>
      </c>
      <c r="G10781">
        <v>0</v>
      </c>
      <c r="H10781">
        <v>19</v>
      </c>
      <c r="I10781" s="3">
        <v>5713.7</v>
      </c>
      <c r="J10781" s="3">
        <v>6082.76</v>
      </c>
      <c r="L10781">
        <v>320</v>
      </c>
      <c r="M10781" t="s">
        <v>23363</v>
      </c>
      <c r="N10781" t="s">
        <v>30</v>
      </c>
      <c r="O10781" t="s">
        <v>31</v>
      </c>
      <c r="P10781" t="str">
        <f>"15210"</f>
        <v>15210</v>
      </c>
    </row>
    <row r="10782" spans="1:16" x14ac:dyDescent="0.25">
      <c r="A10782" t="str">
        <f>"1160032B00018    00"</f>
        <v>1160032B00018    00</v>
      </c>
      <c r="B10782" t="s">
        <v>23835</v>
      </c>
      <c r="C10782" t="s">
        <v>23425</v>
      </c>
      <c r="D10782" t="s">
        <v>20</v>
      </c>
      <c r="E10782" t="s">
        <v>39</v>
      </c>
      <c r="F10782">
        <v>0</v>
      </c>
      <c r="G10782">
        <v>0</v>
      </c>
      <c r="H10782">
        <v>19</v>
      </c>
      <c r="I10782" s="3">
        <v>3973.48</v>
      </c>
      <c r="J10782" s="3">
        <v>2838.28</v>
      </c>
      <c r="P10782" t="str">
        <f>""</f>
        <v/>
      </c>
    </row>
    <row r="10783" spans="1:16" x14ac:dyDescent="0.25">
      <c r="A10783" t="str">
        <f>"1160032B00026    00"</f>
        <v>1160032B00026    00</v>
      </c>
      <c r="B10783" t="s">
        <v>23836</v>
      </c>
      <c r="C10783" t="s">
        <v>23837</v>
      </c>
      <c r="D10783" t="s">
        <v>20</v>
      </c>
      <c r="E10783" t="s">
        <v>39</v>
      </c>
      <c r="F10783">
        <v>0</v>
      </c>
      <c r="G10783">
        <v>0</v>
      </c>
      <c r="H10783">
        <v>6</v>
      </c>
      <c r="I10783" s="3">
        <v>2864.1</v>
      </c>
      <c r="J10783" s="3">
        <v>608.75</v>
      </c>
      <c r="L10783">
        <v>239</v>
      </c>
      <c r="M10783" t="s">
        <v>16347</v>
      </c>
      <c r="N10783" t="s">
        <v>30</v>
      </c>
      <c r="O10783" t="s">
        <v>31</v>
      </c>
      <c r="P10783" t="str">
        <f>"15220"</f>
        <v>15220</v>
      </c>
    </row>
    <row r="10784" spans="1:16" x14ac:dyDescent="0.25">
      <c r="A10784" t="str">
        <f>"1160032B00030    00"</f>
        <v>1160032B00030    00</v>
      </c>
      <c r="B10784" t="s">
        <v>21794</v>
      </c>
      <c r="C10784" t="s">
        <v>23838</v>
      </c>
      <c r="D10784" t="s">
        <v>20</v>
      </c>
      <c r="E10784" t="s">
        <v>39</v>
      </c>
      <c r="F10784">
        <v>0</v>
      </c>
      <c r="G10784">
        <v>0</v>
      </c>
      <c r="H10784">
        <v>4</v>
      </c>
      <c r="I10784" s="3">
        <v>2469.6799999999998</v>
      </c>
      <c r="J10784" s="3">
        <v>166.38</v>
      </c>
      <c r="L10784">
        <v>1207</v>
      </c>
      <c r="M10784" t="s">
        <v>23839</v>
      </c>
      <c r="N10784" t="s">
        <v>30</v>
      </c>
      <c r="O10784" t="s">
        <v>31</v>
      </c>
      <c r="P10784" t="str">
        <f>"15205"</f>
        <v>15205</v>
      </c>
    </row>
    <row r="10785" spans="1:16" x14ac:dyDescent="0.25">
      <c r="A10785" t="str">
        <f>"1160032B00032    00"</f>
        <v>1160032B00032    00</v>
      </c>
      <c r="B10785" t="s">
        <v>14030</v>
      </c>
      <c r="C10785" t="s">
        <v>23797</v>
      </c>
      <c r="D10785" t="s">
        <v>20</v>
      </c>
      <c r="E10785" t="s">
        <v>39</v>
      </c>
      <c r="F10785">
        <v>0</v>
      </c>
      <c r="G10785">
        <v>0</v>
      </c>
      <c r="H10785">
        <v>17</v>
      </c>
      <c r="I10785" s="3">
        <v>4543.88</v>
      </c>
      <c r="J10785" s="3">
        <v>3732.51</v>
      </c>
      <c r="L10785">
        <v>4991</v>
      </c>
      <c r="M10785" t="s">
        <v>17588</v>
      </c>
      <c r="N10785" t="s">
        <v>9967</v>
      </c>
      <c r="O10785" t="s">
        <v>692</v>
      </c>
      <c r="P10785" t="str">
        <f>"23060"</f>
        <v>23060</v>
      </c>
    </row>
    <row r="10786" spans="1:16" x14ac:dyDescent="0.25">
      <c r="A10786" t="str">
        <f>"1160032B00040    00"</f>
        <v>1160032B00040    00</v>
      </c>
      <c r="B10786" t="s">
        <v>23840</v>
      </c>
      <c r="C10786" t="s">
        <v>23774</v>
      </c>
      <c r="D10786" t="s">
        <v>20</v>
      </c>
      <c r="E10786" t="s">
        <v>39</v>
      </c>
      <c r="F10786">
        <v>0</v>
      </c>
      <c r="G10786">
        <v>0</v>
      </c>
      <c r="H10786">
        <v>17</v>
      </c>
      <c r="I10786" s="3">
        <v>159.91999999999999</v>
      </c>
      <c r="J10786" s="3">
        <v>197.54</v>
      </c>
      <c r="K10786" t="s">
        <v>1008</v>
      </c>
      <c r="P10786" t="str">
        <f>""</f>
        <v/>
      </c>
    </row>
    <row r="10787" spans="1:16" x14ac:dyDescent="0.25">
      <c r="A10787" t="str">
        <f>"1160032B00087    00"</f>
        <v>1160032B00087    00</v>
      </c>
      <c r="B10787" t="s">
        <v>23841</v>
      </c>
      <c r="C10787" t="s">
        <v>23842</v>
      </c>
      <c r="D10787" t="s">
        <v>20</v>
      </c>
      <c r="E10787" t="s">
        <v>39</v>
      </c>
      <c r="F10787">
        <v>0</v>
      </c>
      <c r="G10787">
        <v>0</v>
      </c>
      <c r="H10787">
        <v>19</v>
      </c>
      <c r="I10787" s="3">
        <v>493.54</v>
      </c>
      <c r="J10787" s="3">
        <v>530.78</v>
      </c>
      <c r="K10787" t="s">
        <v>1008</v>
      </c>
      <c r="P10787" t="str">
        <f>""</f>
        <v/>
      </c>
    </row>
    <row r="10788" spans="1:16" x14ac:dyDescent="0.25">
      <c r="A10788" t="str">
        <f>"1160032B00091    00"</f>
        <v>1160032B00091    00</v>
      </c>
      <c r="B10788" t="s">
        <v>23843</v>
      </c>
      <c r="C10788" t="s">
        <v>23844</v>
      </c>
      <c r="D10788" t="s">
        <v>20</v>
      </c>
      <c r="E10788" t="s">
        <v>39</v>
      </c>
      <c r="F10788">
        <v>0</v>
      </c>
      <c r="G10788">
        <v>0</v>
      </c>
      <c r="H10788">
        <v>1</v>
      </c>
      <c r="I10788" s="3">
        <v>409.8</v>
      </c>
      <c r="J10788" s="3">
        <v>0</v>
      </c>
      <c r="L10788">
        <v>920</v>
      </c>
      <c r="M10788" t="s">
        <v>23831</v>
      </c>
      <c r="N10788" t="s">
        <v>30</v>
      </c>
      <c r="O10788" t="s">
        <v>31</v>
      </c>
      <c r="P10788" t="str">
        <f>"15210"</f>
        <v>15210</v>
      </c>
    </row>
    <row r="10789" spans="1:16" x14ac:dyDescent="0.25">
      <c r="A10789" t="str">
        <f>"1160032B00102A   00"</f>
        <v>1160032B00102A   00</v>
      </c>
      <c r="B10789" t="s">
        <v>17622</v>
      </c>
      <c r="C10789" t="s">
        <v>23845</v>
      </c>
      <c r="D10789" t="s">
        <v>20</v>
      </c>
      <c r="E10789" t="s">
        <v>39</v>
      </c>
      <c r="F10789">
        <v>0</v>
      </c>
      <c r="G10789">
        <v>0</v>
      </c>
      <c r="H10789">
        <v>3</v>
      </c>
      <c r="I10789" s="3">
        <v>862.76</v>
      </c>
      <c r="J10789" s="3">
        <v>10.92</v>
      </c>
      <c r="K10789" t="s">
        <v>17624</v>
      </c>
      <c r="L10789">
        <v>521</v>
      </c>
      <c r="M10789" t="s">
        <v>17625</v>
      </c>
      <c r="N10789" t="s">
        <v>30</v>
      </c>
      <c r="O10789" t="s">
        <v>31</v>
      </c>
      <c r="P10789" t="str">
        <f>"15205"</f>
        <v>15205</v>
      </c>
    </row>
    <row r="10790" spans="1:16" x14ac:dyDescent="0.25">
      <c r="A10790" t="str">
        <f>"1160032B00112    00"</f>
        <v>1160032B00112    00</v>
      </c>
      <c r="B10790" t="s">
        <v>23846</v>
      </c>
      <c r="C10790" t="s">
        <v>23842</v>
      </c>
      <c r="D10790" t="s">
        <v>20</v>
      </c>
      <c r="E10790" t="s">
        <v>39</v>
      </c>
      <c r="F10790">
        <v>0</v>
      </c>
      <c r="G10790">
        <v>0</v>
      </c>
      <c r="H10790">
        <v>15</v>
      </c>
      <c r="I10790" s="3">
        <v>2535.52</v>
      </c>
      <c r="J10790" s="3">
        <v>2062.83</v>
      </c>
      <c r="L10790">
        <v>260</v>
      </c>
      <c r="M10790" t="s">
        <v>23847</v>
      </c>
      <c r="N10790" t="s">
        <v>30</v>
      </c>
      <c r="O10790" t="s">
        <v>31</v>
      </c>
      <c r="P10790" t="str">
        <f>"15210"</f>
        <v>15210</v>
      </c>
    </row>
    <row r="10791" spans="1:16" x14ac:dyDescent="0.25">
      <c r="A10791" t="str">
        <f>"1160032B00116    00"</f>
        <v>1160032B00116    00</v>
      </c>
      <c r="B10791" t="s">
        <v>23848</v>
      </c>
      <c r="C10791" t="s">
        <v>23849</v>
      </c>
      <c r="D10791" t="s">
        <v>20</v>
      </c>
      <c r="E10791" t="s">
        <v>39</v>
      </c>
      <c r="F10791">
        <v>0</v>
      </c>
      <c r="G10791">
        <v>0</v>
      </c>
      <c r="H10791">
        <v>2</v>
      </c>
      <c r="I10791" s="3">
        <v>483.8</v>
      </c>
      <c r="J10791" s="3">
        <v>12.52</v>
      </c>
      <c r="K10791" t="s">
        <v>23850</v>
      </c>
      <c r="L10791">
        <v>115</v>
      </c>
      <c r="M10791" t="s">
        <v>23851</v>
      </c>
      <c r="N10791" t="s">
        <v>30</v>
      </c>
      <c r="O10791" t="s">
        <v>31</v>
      </c>
      <c r="P10791" t="str">
        <f>"15210"</f>
        <v>15210</v>
      </c>
    </row>
    <row r="10792" spans="1:16" x14ac:dyDescent="0.25">
      <c r="A10792" t="str">
        <f>"1160032B00118    00"</f>
        <v>1160032B00118    00</v>
      </c>
      <c r="B10792" t="s">
        <v>23852</v>
      </c>
      <c r="C10792" t="s">
        <v>23842</v>
      </c>
      <c r="D10792" t="s">
        <v>20</v>
      </c>
      <c r="E10792" t="s">
        <v>39</v>
      </c>
      <c r="F10792">
        <v>0</v>
      </c>
      <c r="G10792">
        <v>0</v>
      </c>
      <c r="H10792">
        <v>19</v>
      </c>
      <c r="I10792" s="3">
        <v>4691.1400000000003</v>
      </c>
      <c r="J10792" s="3">
        <v>4746.09</v>
      </c>
      <c r="L10792">
        <v>110</v>
      </c>
      <c r="M10792" t="s">
        <v>23853</v>
      </c>
      <c r="N10792" t="s">
        <v>30</v>
      </c>
      <c r="O10792" t="s">
        <v>31</v>
      </c>
      <c r="P10792" t="str">
        <f>"15210"</f>
        <v>15210</v>
      </c>
    </row>
    <row r="10793" spans="1:16" x14ac:dyDescent="0.25">
      <c r="A10793" t="str">
        <f>"1160032B00121    00"</f>
        <v>1160032B00121    00</v>
      </c>
      <c r="B10793" t="s">
        <v>23854</v>
      </c>
      <c r="C10793" t="s">
        <v>23797</v>
      </c>
      <c r="D10793" t="s">
        <v>20</v>
      </c>
      <c r="E10793" t="s">
        <v>39</v>
      </c>
      <c r="F10793">
        <v>0</v>
      </c>
      <c r="G10793">
        <v>0</v>
      </c>
      <c r="H10793">
        <v>19</v>
      </c>
      <c r="I10793" s="3">
        <v>8284.4500000000007</v>
      </c>
      <c r="J10793" s="3">
        <v>9690.34</v>
      </c>
      <c r="L10793">
        <v>807</v>
      </c>
      <c r="M10793" t="s">
        <v>23855</v>
      </c>
      <c r="N10793" t="s">
        <v>8181</v>
      </c>
      <c r="O10793" t="s">
        <v>31</v>
      </c>
      <c r="P10793" t="str">
        <f>"15110"</f>
        <v>15110</v>
      </c>
    </row>
    <row r="10794" spans="1:16" x14ac:dyDescent="0.25">
      <c r="A10794" t="str">
        <f>"1160032B00125    00"</f>
        <v>1160032B00125    00</v>
      </c>
      <c r="B10794" t="s">
        <v>23856</v>
      </c>
      <c r="C10794" t="s">
        <v>23797</v>
      </c>
      <c r="D10794" t="s">
        <v>20</v>
      </c>
      <c r="E10794" t="s">
        <v>39</v>
      </c>
      <c r="F10794">
        <v>0</v>
      </c>
      <c r="G10794">
        <v>0</v>
      </c>
      <c r="H10794">
        <v>19</v>
      </c>
      <c r="I10794" s="3">
        <v>11020.9</v>
      </c>
      <c r="J10794" s="3">
        <v>13916.8</v>
      </c>
      <c r="L10794">
        <v>14737</v>
      </c>
      <c r="M10794" t="s">
        <v>23857</v>
      </c>
      <c r="N10794" t="s">
        <v>23858</v>
      </c>
      <c r="O10794" t="s">
        <v>31</v>
      </c>
      <c r="P10794" t="str">
        <f>"16424"</f>
        <v>16424</v>
      </c>
    </row>
    <row r="10795" spans="1:16" x14ac:dyDescent="0.25">
      <c r="A10795" t="str">
        <f>"1160032B00130    00"</f>
        <v>1160032B00130    00</v>
      </c>
      <c r="B10795" t="s">
        <v>23859</v>
      </c>
      <c r="C10795" t="s">
        <v>23797</v>
      </c>
      <c r="D10795" t="s">
        <v>20</v>
      </c>
      <c r="E10795" t="s">
        <v>39</v>
      </c>
      <c r="F10795">
        <v>0</v>
      </c>
      <c r="G10795">
        <v>0</v>
      </c>
      <c r="H10795">
        <v>19</v>
      </c>
      <c r="I10795" s="3">
        <v>2333.36</v>
      </c>
      <c r="J10795" s="3">
        <v>1317</v>
      </c>
      <c r="L10795">
        <v>416</v>
      </c>
      <c r="M10795" t="s">
        <v>10703</v>
      </c>
      <c r="N10795" t="s">
        <v>30</v>
      </c>
      <c r="O10795" t="s">
        <v>31</v>
      </c>
      <c r="P10795" t="str">
        <f>"15227"</f>
        <v>15227</v>
      </c>
    </row>
    <row r="10796" spans="1:16" x14ac:dyDescent="0.25">
      <c r="A10796" t="str">
        <f>"1160032B00132    00"</f>
        <v>1160032B00132    00</v>
      </c>
      <c r="B10796" t="s">
        <v>23859</v>
      </c>
      <c r="C10796" t="s">
        <v>23425</v>
      </c>
      <c r="D10796" t="s">
        <v>20</v>
      </c>
      <c r="E10796" t="s">
        <v>39</v>
      </c>
      <c r="F10796">
        <v>0</v>
      </c>
      <c r="G10796">
        <v>0</v>
      </c>
      <c r="H10796">
        <v>19</v>
      </c>
      <c r="I10796" s="3">
        <v>786.27</v>
      </c>
      <c r="J10796" s="3">
        <v>648.32000000000005</v>
      </c>
      <c r="K10796" t="s">
        <v>23860</v>
      </c>
      <c r="L10796">
        <v>404</v>
      </c>
      <c r="M10796" t="s">
        <v>23861</v>
      </c>
      <c r="N10796" t="s">
        <v>30</v>
      </c>
      <c r="O10796" t="s">
        <v>31</v>
      </c>
      <c r="P10796" t="str">
        <f>"15227"</f>
        <v>15227</v>
      </c>
    </row>
    <row r="10797" spans="1:16" x14ac:dyDescent="0.25">
      <c r="A10797" t="str">
        <f>"1160032B00152    00"</f>
        <v>1160032B00152    00</v>
      </c>
      <c r="B10797" t="s">
        <v>23862</v>
      </c>
      <c r="C10797" t="s">
        <v>23863</v>
      </c>
      <c r="D10797" t="s">
        <v>20</v>
      </c>
      <c r="E10797" t="s">
        <v>39</v>
      </c>
      <c r="F10797">
        <v>0</v>
      </c>
      <c r="G10797">
        <v>0</v>
      </c>
      <c r="H10797">
        <v>3</v>
      </c>
      <c r="I10797" s="3">
        <v>260.86</v>
      </c>
      <c r="J10797" s="3">
        <v>32.78</v>
      </c>
      <c r="L10797">
        <v>801</v>
      </c>
      <c r="M10797" t="s">
        <v>23824</v>
      </c>
      <c r="N10797" t="s">
        <v>30</v>
      </c>
      <c r="O10797" t="s">
        <v>31</v>
      </c>
      <c r="P10797" t="str">
        <f>"15210"</f>
        <v>15210</v>
      </c>
    </row>
    <row r="10798" spans="1:16" x14ac:dyDescent="0.25">
      <c r="A10798" t="str">
        <f>"1160032B00163    00"</f>
        <v>1160032B00163    00</v>
      </c>
      <c r="B10798" t="s">
        <v>23864</v>
      </c>
      <c r="C10798" t="s">
        <v>23863</v>
      </c>
      <c r="D10798" t="s">
        <v>20</v>
      </c>
      <c r="E10798" t="s">
        <v>39</v>
      </c>
      <c r="F10798">
        <v>0</v>
      </c>
      <c r="G10798">
        <v>0</v>
      </c>
      <c r="H10798">
        <v>13</v>
      </c>
      <c r="I10798" s="3">
        <v>3077.3</v>
      </c>
      <c r="J10798" s="3">
        <v>2849.13</v>
      </c>
      <c r="L10798">
        <v>1124</v>
      </c>
      <c r="M10798" t="s">
        <v>23865</v>
      </c>
      <c r="N10798" t="s">
        <v>23866</v>
      </c>
      <c r="O10798" t="s">
        <v>31</v>
      </c>
      <c r="P10798" t="str">
        <f>"16648"</f>
        <v>16648</v>
      </c>
    </row>
    <row r="10799" spans="1:16" x14ac:dyDescent="0.25">
      <c r="A10799" t="str">
        <f>"1160032B00169    00"</f>
        <v>1160032B00169    00</v>
      </c>
      <c r="B10799" t="s">
        <v>23867</v>
      </c>
      <c r="C10799" t="s">
        <v>23863</v>
      </c>
      <c r="D10799" t="s">
        <v>20</v>
      </c>
      <c r="E10799" t="s">
        <v>39</v>
      </c>
      <c r="F10799">
        <v>0</v>
      </c>
      <c r="G10799">
        <v>0</v>
      </c>
      <c r="H10799">
        <v>17</v>
      </c>
      <c r="I10799" s="3">
        <v>6586.44</v>
      </c>
      <c r="J10799" s="3">
        <v>7227.02</v>
      </c>
      <c r="L10799">
        <v>713</v>
      </c>
      <c r="M10799" t="s">
        <v>23824</v>
      </c>
      <c r="N10799" t="s">
        <v>30</v>
      </c>
      <c r="O10799" t="s">
        <v>31</v>
      </c>
      <c r="P10799" t="str">
        <f t="shared" ref="P10799:P10804" si="123">"15210"</f>
        <v>15210</v>
      </c>
    </row>
    <row r="10800" spans="1:16" x14ac:dyDescent="0.25">
      <c r="A10800" t="str">
        <f>"1160032B00173    00"</f>
        <v>1160032B00173    00</v>
      </c>
      <c r="B10800" t="s">
        <v>23868</v>
      </c>
      <c r="C10800" t="s">
        <v>23869</v>
      </c>
      <c r="D10800" t="s">
        <v>20</v>
      </c>
      <c r="E10800" t="s">
        <v>39</v>
      </c>
      <c r="F10800">
        <v>0</v>
      </c>
      <c r="G10800">
        <v>0</v>
      </c>
      <c r="H10800">
        <v>8</v>
      </c>
      <c r="I10800" s="3">
        <v>2750.09</v>
      </c>
      <c r="J10800" s="3">
        <v>899.86</v>
      </c>
      <c r="L10800">
        <v>423</v>
      </c>
      <c r="M10800" t="s">
        <v>23363</v>
      </c>
      <c r="N10800" t="s">
        <v>30</v>
      </c>
      <c r="O10800" t="s">
        <v>31</v>
      </c>
      <c r="P10800" t="str">
        <f t="shared" si="123"/>
        <v>15210</v>
      </c>
    </row>
    <row r="10801" spans="1:16" x14ac:dyDescent="0.25">
      <c r="A10801" t="str">
        <f>"1160032B00184    00"</f>
        <v>1160032B00184    00</v>
      </c>
      <c r="B10801" t="s">
        <v>23870</v>
      </c>
      <c r="C10801" t="s">
        <v>23425</v>
      </c>
      <c r="D10801" t="s">
        <v>20</v>
      </c>
      <c r="E10801" t="s">
        <v>39</v>
      </c>
      <c r="F10801">
        <v>0</v>
      </c>
      <c r="G10801">
        <v>0</v>
      </c>
      <c r="H10801">
        <v>2</v>
      </c>
      <c r="I10801" s="3">
        <v>91.32</v>
      </c>
      <c r="J10801" s="3">
        <v>31.95</v>
      </c>
      <c r="L10801">
        <v>417</v>
      </c>
      <c r="M10801" t="s">
        <v>23871</v>
      </c>
      <c r="N10801" t="s">
        <v>30</v>
      </c>
      <c r="O10801" t="s">
        <v>31</v>
      </c>
      <c r="P10801" t="str">
        <f t="shared" si="123"/>
        <v>15210</v>
      </c>
    </row>
    <row r="10802" spans="1:16" x14ac:dyDescent="0.25">
      <c r="A10802" t="str">
        <f>"1160032B00186    00"</f>
        <v>1160032B00186    00</v>
      </c>
      <c r="B10802" t="s">
        <v>23870</v>
      </c>
      <c r="C10802" t="s">
        <v>23797</v>
      </c>
      <c r="D10802" t="s">
        <v>20</v>
      </c>
      <c r="E10802" t="s">
        <v>39</v>
      </c>
      <c r="F10802">
        <v>0</v>
      </c>
      <c r="G10802">
        <v>0</v>
      </c>
      <c r="H10802">
        <v>2</v>
      </c>
      <c r="I10802" s="3">
        <v>370.2</v>
      </c>
      <c r="J10802" s="3">
        <v>124.62</v>
      </c>
      <c r="L10802">
        <v>417</v>
      </c>
      <c r="M10802" t="s">
        <v>23871</v>
      </c>
      <c r="N10802" t="s">
        <v>30</v>
      </c>
      <c r="O10802" t="s">
        <v>31</v>
      </c>
      <c r="P10802" t="str">
        <f t="shared" si="123"/>
        <v>15210</v>
      </c>
    </row>
    <row r="10803" spans="1:16" x14ac:dyDescent="0.25">
      <c r="A10803" t="str">
        <f>"1160032B00188    00"</f>
        <v>1160032B00188    00</v>
      </c>
      <c r="B10803" t="s">
        <v>23872</v>
      </c>
      <c r="C10803" t="s">
        <v>23797</v>
      </c>
      <c r="D10803" t="s">
        <v>20</v>
      </c>
      <c r="E10803" t="s">
        <v>39</v>
      </c>
      <c r="F10803">
        <v>0</v>
      </c>
      <c r="G10803">
        <v>0</v>
      </c>
      <c r="H10803">
        <v>2</v>
      </c>
      <c r="I10803" s="3">
        <v>276.39999999999998</v>
      </c>
      <c r="J10803" s="3">
        <v>98.83</v>
      </c>
      <c r="L10803">
        <v>417</v>
      </c>
      <c r="M10803" t="s">
        <v>23363</v>
      </c>
      <c r="N10803" t="s">
        <v>30</v>
      </c>
      <c r="O10803" t="s">
        <v>31</v>
      </c>
      <c r="P10803" t="str">
        <f t="shared" si="123"/>
        <v>15210</v>
      </c>
    </row>
    <row r="10804" spans="1:16" x14ac:dyDescent="0.25">
      <c r="A10804" t="str">
        <f>"1160032B00195    00"</f>
        <v>1160032B00195    00</v>
      </c>
      <c r="B10804" t="s">
        <v>23862</v>
      </c>
      <c r="C10804" t="s">
        <v>23873</v>
      </c>
      <c r="D10804" t="s">
        <v>20</v>
      </c>
      <c r="E10804" t="s">
        <v>39</v>
      </c>
      <c r="F10804">
        <v>0</v>
      </c>
      <c r="G10804">
        <v>0</v>
      </c>
      <c r="H10804">
        <v>3</v>
      </c>
      <c r="I10804" s="3">
        <v>799.41</v>
      </c>
      <c r="J10804" s="3">
        <v>55.73</v>
      </c>
      <c r="L10804">
        <v>801</v>
      </c>
      <c r="M10804" t="s">
        <v>23824</v>
      </c>
      <c r="N10804" t="s">
        <v>30</v>
      </c>
      <c r="O10804" t="s">
        <v>31</v>
      </c>
      <c r="P10804" t="str">
        <f t="shared" si="123"/>
        <v>15210</v>
      </c>
    </row>
    <row r="10805" spans="1:16" x14ac:dyDescent="0.25">
      <c r="A10805" t="str">
        <f>"1160032B00270    00"</f>
        <v>1160032B00270    00</v>
      </c>
      <c r="B10805" t="s">
        <v>23874</v>
      </c>
      <c r="C10805" t="s">
        <v>23425</v>
      </c>
      <c r="D10805" t="s">
        <v>20</v>
      </c>
      <c r="E10805" t="s">
        <v>39</v>
      </c>
      <c r="F10805">
        <v>0</v>
      </c>
      <c r="G10805">
        <v>0</v>
      </c>
      <c r="H10805">
        <v>19</v>
      </c>
      <c r="I10805" s="3">
        <v>6414.67</v>
      </c>
      <c r="J10805" s="3">
        <v>7821.44</v>
      </c>
      <c r="L10805">
        <v>200</v>
      </c>
      <c r="M10805" t="s">
        <v>23875</v>
      </c>
      <c r="N10805" t="s">
        <v>30</v>
      </c>
      <c r="O10805" t="s">
        <v>31</v>
      </c>
      <c r="P10805" t="str">
        <f>"15236"</f>
        <v>15236</v>
      </c>
    </row>
    <row r="10806" spans="1:16" x14ac:dyDescent="0.25">
      <c r="A10806" t="str">
        <f>"1160032C00094    00"</f>
        <v>1160032C00094    00</v>
      </c>
      <c r="B10806" t="s">
        <v>23876</v>
      </c>
      <c r="C10806" t="s">
        <v>23877</v>
      </c>
      <c r="D10806" t="s">
        <v>20</v>
      </c>
      <c r="E10806" t="s">
        <v>39</v>
      </c>
      <c r="F10806">
        <v>0</v>
      </c>
      <c r="G10806">
        <v>0</v>
      </c>
      <c r="H10806">
        <v>1</v>
      </c>
      <c r="I10806" s="3">
        <v>991.59</v>
      </c>
      <c r="J10806" s="3">
        <v>0</v>
      </c>
      <c r="L10806">
        <v>329</v>
      </c>
      <c r="M10806" t="s">
        <v>21622</v>
      </c>
      <c r="N10806" t="s">
        <v>30</v>
      </c>
      <c r="O10806" t="s">
        <v>31</v>
      </c>
      <c r="P10806" t="str">
        <f t="shared" ref="P10806:P10813" si="124">"15210"</f>
        <v>15210</v>
      </c>
    </row>
    <row r="10807" spans="1:16" x14ac:dyDescent="0.25">
      <c r="A10807" t="str">
        <f>"1160032C00260    00"</f>
        <v>1160032C00260    00</v>
      </c>
      <c r="B10807" t="s">
        <v>23878</v>
      </c>
      <c r="C10807" t="s">
        <v>23879</v>
      </c>
      <c r="D10807" t="s">
        <v>20</v>
      </c>
      <c r="E10807" t="s">
        <v>39</v>
      </c>
      <c r="F10807">
        <v>0</v>
      </c>
      <c r="G10807">
        <v>0</v>
      </c>
      <c r="H10807">
        <v>15</v>
      </c>
      <c r="I10807" s="3">
        <v>9827.4500000000007</v>
      </c>
      <c r="J10807" s="3">
        <v>6618.48</v>
      </c>
      <c r="L10807">
        <v>914</v>
      </c>
      <c r="M10807" t="s">
        <v>23376</v>
      </c>
      <c r="N10807" t="s">
        <v>30</v>
      </c>
      <c r="O10807" t="s">
        <v>31</v>
      </c>
      <c r="P10807" t="str">
        <f t="shared" si="124"/>
        <v>15210</v>
      </c>
    </row>
    <row r="10808" spans="1:16" x14ac:dyDescent="0.25">
      <c r="A10808" t="str">
        <f>"1160032C00273    00"</f>
        <v>1160032C00273    00</v>
      </c>
      <c r="B10808" t="s">
        <v>23880</v>
      </c>
      <c r="C10808" t="s">
        <v>23881</v>
      </c>
      <c r="D10808" t="s">
        <v>20</v>
      </c>
      <c r="E10808" t="s">
        <v>39</v>
      </c>
      <c r="F10808">
        <v>0</v>
      </c>
      <c r="G10808">
        <v>0</v>
      </c>
      <c r="H10808">
        <v>4</v>
      </c>
      <c r="I10808" s="3">
        <v>239.71</v>
      </c>
      <c r="J10808" s="3">
        <v>35.090000000000003</v>
      </c>
      <c r="K10808" t="s">
        <v>23882</v>
      </c>
      <c r="L10808">
        <v>832</v>
      </c>
      <c r="M10808" t="s">
        <v>23376</v>
      </c>
      <c r="N10808" t="s">
        <v>30</v>
      </c>
      <c r="O10808" t="s">
        <v>31</v>
      </c>
      <c r="P10808" t="str">
        <f t="shared" si="124"/>
        <v>15210</v>
      </c>
    </row>
    <row r="10809" spans="1:16" x14ac:dyDescent="0.25">
      <c r="A10809" t="str">
        <f>"1160032C00281    00"</f>
        <v>1160032C00281    00</v>
      </c>
      <c r="B10809" t="s">
        <v>23883</v>
      </c>
      <c r="C10809" t="s">
        <v>23884</v>
      </c>
      <c r="D10809" t="s">
        <v>20</v>
      </c>
      <c r="E10809" t="s">
        <v>39</v>
      </c>
      <c r="F10809">
        <v>0</v>
      </c>
      <c r="G10809">
        <v>0</v>
      </c>
      <c r="H10809">
        <v>2</v>
      </c>
      <c r="I10809" s="3">
        <v>195.6</v>
      </c>
      <c r="J10809" s="3">
        <v>0</v>
      </c>
      <c r="L10809">
        <v>824</v>
      </c>
      <c r="M10809" t="s">
        <v>23376</v>
      </c>
      <c r="N10809" t="s">
        <v>30</v>
      </c>
      <c r="O10809" t="s">
        <v>31</v>
      </c>
      <c r="P10809" t="str">
        <f t="shared" si="124"/>
        <v>15210</v>
      </c>
    </row>
    <row r="10810" spans="1:16" x14ac:dyDescent="0.25">
      <c r="A10810" t="str">
        <f>"1160032D00111    00"</f>
        <v>1160032D00111    00</v>
      </c>
      <c r="B10810" t="s">
        <v>23885</v>
      </c>
      <c r="C10810" t="s">
        <v>23886</v>
      </c>
      <c r="D10810" t="s">
        <v>20</v>
      </c>
      <c r="E10810" t="s">
        <v>39</v>
      </c>
      <c r="F10810">
        <v>0</v>
      </c>
      <c r="G10810">
        <v>0</v>
      </c>
      <c r="H10810">
        <v>1</v>
      </c>
      <c r="I10810" s="3">
        <v>22.25</v>
      </c>
      <c r="J10810" s="3">
        <v>0</v>
      </c>
      <c r="K10810" t="s">
        <v>23887</v>
      </c>
      <c r="L10810">
        <v>20</v>
      </c>
      <c r="M10810" t="s">
        <v>23888</v>
      </c>
      <c r="N10810" t="s">
        <v>30</v>
      </c>
      <c r="O10810" t="s">
        <v>31</v>
      </c>
      <c r="P10810" t="str">
        <f t="shared" si="124"/>
        <v>15210</v>
      </c>
    </row>
    <row r="10811" spans="1:16" x14ac:dyDescent="0.25">
      <c r="A10811" t="str">
        <f>"1160032D00202    00"</f>
        <v>1160032D00202    00</v>
      </c>
      <c r="B10811" t="s">
        <v>23889</v>
      </c>
      <c r="C10811" t="s">
        <v>23890</v>
      </c>
      <c r="D10811" t="s">
        <v>20</v>
      </c>
      <c r="E10811" t="s">
        <v>39</v>
      </c>
      <c r="F10811">
        <v>0</v>
      </c>
      <c r="G10811">
        <v>0</v>
      </c>
      <c r="H10811">
        <v>17</v>
      </c>
      <c r="I10811" s="3">
        <v>3301.18</v>
      </c>
      <c r="J10811" s="3">
        <v>2869.76</v>
      </c>
      <c r="L10811">
        <v>105</v>
      </c>
      <c r="M10811" t="s">
        <v>23891</v>
      </c>
      <c r="N10811" t="s">
        <v>30</v>
      </c>
      <c r="O10811" t="s">
        <v>31</v>
      </c>
      <c r="P10811" t="str">
        <f t="shared" si="124"/>
        <v>15210</v>
      </c>
    </row>
    <row r="10812" spans="1:16" x14ac:dyDescent="0.25">
      <c r="A10812" t="str">
        <f>"1160032D00240    00"</f>
        <v>1160032D00240    00</v>
      </c>
      <c r="B10812" t="s">
        <v>23892</v>
      </c>
      <c r="C10812" t="s">
        <v>23890</v>
      </c>
      <c r="D10812" t="s">
        <v>20</v>
      </c>
      <c r="E10812" t="s">
        <v>39</v>
      </c>
      <c r="F10812">
        <v>0</v>
      </c>
      <c r="G10812">
        <v>0</v>
      </c>
      <c r="H10812">
        <v>19</v>
      </c>
      <c r="I10812" s="3">
        <v>4446.83</v>
      </c>
      <c r="J10812" s="3">
        <v>4391.6000000000004</v>
      </c>
      <c r="K10812" t="s">
        <v>23893</v>
      </c>
      <c r="L10812">
        <v>917</v>
      </c>
      <c r="M10812" t="s">
        <v>23894</v>
      </c>
      <c r="N10812" t="s">
        <v>30</v>
      </c>
      <c r="O10812" t="s">
        <v>31</v>
      </c>
      <c r="P10812" t="str">
        <f t="shared" si="124"/>
        <v>15210</v>
      </c>
    </row>
    <row r="10813" spans="1:16" x14ac:dyDescent="0.25">
      <c r="A10813" t="str">
        <f>"1160032D00263    00"</f>
        <v>1160032D00263    00</v>
      </c>
      <c r="B10813" t="s">
        <v>23895</v>
      </c>
      <c r="C10813" t="s">
        <v>23896</v>
      </c>
      <c r="D10813" t="s">
        <v>20</v>
      </c>
      <c r="E10813" t="s">
        <v>39</v>
      </c>
      <c r="F10813">
        <v>0</v>
      </c>
      <c r="G10813">
        <v>0</v>
      </c>
      <c r="H10813">
        <v>1</v>
      </c>
      <c r="I10813" s="3">
        <v>267.31</v>
      </c>
      <c r="J10813" s="3">
        <v>0</v>
      </c>
      <c r="K10813" t="s">
        <v>23897</v>
      </c>
      <c r="L10813">
        <v>917</v>
      </c>
      <c r="M10813" t="s">
        <v>23376</v>
      </c>
      <c r="N10813" t="s">
        <v>30</v>
      </c>
      <c r="O10813" t="s">
        <v>31</v>
      </c>
      <c r="P10813" t="str">
        <f t="shared" si="124"/>
        <v>15210</v>
      </c>
    </row>
    <row r="10814" spans="1:16" x14ac:dyDescent="0.25">
      <c r="A10814" t="str">
        <f>"1160032D00280    00"</f>
        <v>1160032D00280    00</v>
      </c>
      <c r="B10814" t="s">
        <v>23898</v>
      </c>
      <c r="C10814" t="s">
        <v>23374</v>
      </c>
      <c r="D10814" t="s">
        <v>20</v>
      </c>
      <c r="E10814" t="s">
        <v>39</v>
      </c>
      <c r="F10814">
        <v>0</v>
      </c>
      <c r="G10814">
        <v>0</v>
      </c>
      <c r="H10814">
        <v>2</v>
      </c>
      <c r="I10814" s="3">
        <v>190.6</v>
      </c>
      <c r="J10814" s="3">
        <v>0</v>
      </c>
      <c r="L10814">
        <v>3641</v>
      </c>
      <c r="M10814" t="s">
        <v>23899</v>
      </c>
      <c r="N10814" t="s">
        <v>30</v>
      </c>
      <c r="O10814" t="s">
        <v>31</v>
      </c>
      <c r="P10814" t="str">
        <f>"15227"</f>
        <v>15227</v>
      </c>
    </row>
    <row r="10815" spans="1:16" x14ac:dyDescent="0.25">
      <c r="A10815" t="str">
        <f>"1160032E00010    00"</f>
        <v>1160032E00010    00</v>
      </c>
      <c r="B10815" t="s">
        <v>23900</v>
      </c>
      <c r="C10815" t="s">
        <v>23901</v>
      </c>
      <c r="D10815" t="s">
        <v>20</v>
      </c>
      <c r="E10815" t="s">
        <v>39</v>
      </c>
      <c r="F10815">
        <v>0</v>
      </c>
      <c r="G10815">
        <v>0</v>
      </c>
      <c r="H10815">
        <v>5</v>
      </c>
      <c r="I10815" s="3">
        <v>439.49</v>
      </c>
      <c r="J10815" s="3">
        <v>51.86</v>
      </c>
      <c r="L10815">
        <v>421</v>
      </c>
      <c r="M10815" t="s">
        <v>23824</v>
      </c>
      <c r="N10815" t="s">
        <v>30</v>
      </c>
      <c r="O10815" t="s">
        <v>31</v>
      </c>
      <c r="P10815" t="str">
        <f>"15210"</f>
        <v>15210</v>
      </c>
    </row>
    <row r="10816" spans="1:16" x14ac:dyDescent="0.25">
      <c r="A10816" t="str">
        <f>"1160032E00033    00"</f>
        <v>1160032E00033    00</v>
      </c>
      <c r="B10816" t="s">
        <v>23902</v>
      </c>
      <c r="C10816" t="s">
        <v>23863</v>
      </c>
      <c r="D10816" t="s">
        <v>20</v>
      </c>
      <c r="E10816" t="s">
        <v>39</v>
      </c>
      <c r="F10816">
        <v>0</v>
      </c>
      <c r="G10816">
        <v>0</v>
      </c>
      <c r="H10816">
        <v>16</v>
      </c>
      <c r="I10816" s="3">
        <v>1887.86</v>
      </c>
      <c r="J10816" s="3">
        <v>1181.1500000000001</v>
      </c>
      <c r="L10816">
        <v>185</v>
      </c>
      <c r="M10816" t="s">
        <v>585</v>
      </c>
      <c r="N10816" t="s">
        <v>30</v>
      </c>
      <c r="O10816" t="s">
        <v>31</v>
      </c>
      <c r="P10816" t="str">
        <f>"15210"</f>
        <v>15210</v>
      </c>
    </row>
    <row r="10817" spans="1:16" x14ac:dyDescent="0.25">
      <c r="A10817" t="str">
        <f>"1160032E00058    00"</f>
        <v>1160032E00058    00</v>
      </c>
      <c r="B10817" t="s">
        <v>22970</v>
      </c>
      <c r="C10817" t="s">
        <v>23903</v>
      </c>
      <c r="D10817" t="s">
        <v>20</v>
      </c>
      <c r="E10817" t="s">
        <v>39</v>
      </c>
      <c r="F10817">
        <v>0</v>
      </c>
      <c r="G10817">
        <v>0</v>
      </c>
      <c r="H10817">
        <v>4</v>
      </c>
      <c r="I10817" s="3">
        <v>1636.34</v>
      </c>
      <c r="J10817" s="3">
        <v>218.98</v>
      </c>
      <c r="L10817">
        <v>4115</v>
      </c>
      <c r="M10817" t="s">
        <v>22972</v>
      </c>
      <c r="N10817" t="s">
        <v>79</v>
      </c>
      <c r="O10817" t="s">
        <v>31</v>
      </c>
      <c r="P10817" t="str">
        <f>"15668"</f>
        <v>15668</v>
      </c>
    </row>
    <row r="10818" spans="1:16" x14ac:dyDescent="0.25">
      <c r="A10818" t="str">
        <f>"1160032E00074    00"</f>
        <v>1160032E00074    00</v>
      </c>
      <c r="B10818" t="s">
        <v>23904</v>
      </c>
      <c r="C10818" t="s">
        <v>23905</v>
      </c>
      <c r="E10818" t="s">
        <v>39</v>
      </c>
      <c r="F10818">
        <v>0</v>
      </c>
      <c r="G10818">
        <v>0</v>
      </c>
      <c r="H10818">
        <v>7</v>
      </c>
      <c r="I10818" s="3">
        <v>2039.06</v>
      </c>
      <c r="J10818" s="3">
        <v>2032.28</v>
      </c>
      <c r="K10818" t="s">
        <v>23906</v>
      </c>
      <c r="L10818">
        <v>2805</v>
      </c>
      <c r="M10818" t="s">
        <v>23907</v>
      </c>
      <c r="N10818" t="s">
        <v>30</v>
      </c>
      <c r="O10818" t="s">
        <v>31</v>
      </c>
      <c r="P10818" t="str">
        <f>"15227"</f>
        <v>15227</v>
      </c>
    </row>
    <row r="10819" spans="1:16" x14ac:dyDescent="0.25">
      <c r="A10819" t="str">
        <f>"1160032E00080    00"</f>
        <v>1160032E00080    00</v>
      </c>
      <c r="B10819" t="s">
        <v>23908</v>
      </c>
      <c r="C10819" t="s">
        <v>23909</v>
      </c>
      <c r="D10819" t="s">
        <v>20</v>
      </c>
      <c r="E10819" t="s">
        <v>39</v>
      </c>
      <c r="F10819">
        <v>0</v>
      </c>
      <c r="G10819">
        <v>0</v>
      </c>
      <c r="H10819">
        <v>2</v>
      </c>
      <c r="I10819" s="3">
        <v>95.32</v>
      </c>
      <c r="J10819" s="3">
        <v>0</v>
      </c>
      <c r="L10819">
        <v>509</v>
      </c>
      <c r="M10819" t="s">
        <v>23910</v>
      </c>
      <c r="N10819" t="s">
        <v>30</v>
      </c>
      <c r="O10819" t="s">
        <v>31</v>
      </c>
      <c r="P10819" t="str">
        <f t="shared" ref="P10819:P10824" si="125">"15210"</f>
        <v>15210</v>
      </c>
    </row>
    <row r="10820" spans="1:16" x14ac:dyDescent="0.25">
      <c r="A10820" t="str">
        <f>"1160032E00081    00"</f>
        <v>1160032E00081    00</v>
      </c>
      <c r="B10820" t="s">
        <v>23908</v>
      </c>
      <c r="C10820" t="s">
        <v>23911</v>
      </c>
      <c r="D10820" t="s">
        <v>20</v>
      </c>
      <c r="E10820" t="s">
        <v>39</v>
      </c>
      <c r="F10820">
        <v>0</v>
      </c>
      <c r="G10820">
        <v>0</v>
      </c>
      <c r="H10820">
        <v>4</v>
      </c>
      <c r="I10820" s="3">
        <v>684.63</v>
      </c>
      <c r="J10820" s="3">
        <v>47.55</v>
      </c>
      <c r="L10820">
        <v>509</v>
      </c>
      <c r="M10820" t="s">
        <v>23910</v>
      </c>
      <c r="N10820" t="s">
        <v>30</v>
      </c>
      <c r="O10820" t="s">
        <v>31</v>
      </c>
      <c r="P10820" t="str">
        <f t="shared" si="125"/>
        <v>15210</v>
      </c>
    </row>
    <row r="10821" spans="1:16" x14ac:dyDescent="0.25">
      <c r="A10821" t="str">
        <f>"1160032E00106    00"</f>
        <v>1160032E00106    00</v>
      </c>
      <c r="B10821" t="s">
        <v>23912</v>
      </c>
      <c r="C10821" t="s">
        <v>23909</v>
      </c>
      <c r="D10821" t="s">
        <v>20</v>
      </c>
      <c r="E10821" t="s">
        <v>39</v>
      </c>
      <c r="F10821">
        <v>0</v>
      </c>
      <c r="G10821">
        <v>0</v>
      </c>
      <c r="H10821">
        <v>5</v>
      </c>
      <c r="I10821" s="3">
        <v>960.83</v>
      </c>
      <c r="J10821" s="3">
        <v>165.99</v>
      </c>
      <c r="K10821" t="s">
        <v>23913</v>
      </c>
      <c r="L10821">
        <v>148</v>
      </c>
      <c r="M10821" t="s">
        <v>585</v>
      </c>
      <c r="N10821" t="s">
        <v>30</v>
      </c>
      <c r="O10821" t="s">
        <v>31</v>
      </c>
      <c r="P10821" t="str">
        <f t="shared" si="125"/>
        <v>15210</v>
      </c>
    </row>
    <row r="10822" spans="1:16" x14ac:dyDescent="0.25">
      <c r="A10822" t="str">
        <f>"1160032E00110    00"</f>
        <v>1160032E00110    00</v>
      </c>
      <c r="B10822" t="s">
        <v>23912</v>
      </c>
      <c r="C10822" t="s">
        <v>23914</v>
      </c>
      <c r="D10822" t="s">
        <v>20</v>
      </c>
      <c r="E10822" t="s">
        <v>39</v>
      </c>
      <c r="F10822">
        <v>0</v>
      </c>
      <c r="G10822">
        <v>0</v>
      </c>
      <c r="H10822">
        <v>5</v>
      </c>
      <c r="I10822" s="3">
        <v>1827.46</v>
      </c>
      <c r="J10822" s="3">
        <v>315.72000000000003</v>
      </c>
      <c r="K10822" t="s">
        <v>23913</v>
      </c>
      <c r="L10822">
        <v>148</v>
      </c>
      <c r="M10822" t="s">
        <v>585</v>
      </c>
      <c r="N10822" t="s">
        <v>30</v>
      </c>
      <c r="O10822" t="s">
        <v>31</v>
      </c>
      <c r="P10822" t="str">
        <f t="shared" si="125"/>
        <v>15210</v>
      </c>
    </row>
    <row r="10823" spans="1:16" x14ac:dyDescent="0.25">
      <c r="A10823" t="str">
        <f>"1160032E00126    00"</f>
        <v>1160032E00126    00</v>
      </c>
      <c r="B10823" t="s">
        <v>23915</v>
      </c>
      <c r="C10823" t="s">
        <v>23916</v>
      </c>
      <c r="D10823" t="s">
        <v>20</v>
      </c>
      <c r="E10823" t="s">
        <v>39</v>
      </c>
      <c r="F10823">
        <v>0</v>
      </c>
      <c r="G10823">
        <v>0</v>
      </c>
      <c r="H10823">
        <v>1</v>
      </c>
      <c r="I10823" s="3">
        <v>94.27</v>
      </c>
      <c r="J10823" s="3">
        <v>0</v>
      </c>
      <c r="L10823">
        <v>412</v>
      </c>
      <c r="M10823" t="s">
        <v>23910</v>
      </c>
      <c r="N10823" t="s">
        <v>30</v>
      </c>
      <c r="O10823" t="s">
        <v>31</v>
      </c>
      <c r="P10823" t="str">
        <f t="shared" si="125"/>
        <v>15210</v>
      </c>
    </row>
    <row r="10824" spans="1:16" x14ac:dyDescent="0.25">
      <c r="A10824" t="str">
        <f>"1160032E00128    00"</f>
        <v>1160032E00128    00</v>
      </c>
      <c r="B10824" t="s">
        <v>23917</v>
      </c>
      <c r="C10824" t="s">
        <v>23918</v>
      </c>
      <c r="D10824" t="s">
        <v>57</v>
      </c>
      <c r="E10824" t="s">
        <v>39</v>
      </c>
      <c r="F10824">
        <v>0</v>
      </c>
      <c r="G10824">
        <v>0</v>
      </c>
      <c r="H10824">
        <v>2</v>
      </c>
      <c r="I10824" s="3">
        <v>146.03</v>
      </c>
      <c r="J10824" s="3">
        <v>0.13</v>
      </c>
      <c r="L10824">
        <v>403</v>
      </c>
      <c r="M10824" t="s">
        <v>23919</v>
      </c>
      <c r="N10824" t="s">
        <v>30</v>
      </c>
      <c r="O10824" t="s">
        <v>31</v>
      </c>
      <c r="P10824" t="str">
        <f t="shared" si="125"/>
        <v>15210</v>
      </c>
    </row>
    <row r="10825" spans="1:16" x14ac:dyDescent="0.25">
      <c r="A10825" t="str">
        <f>"1160032E00143    00"</f>
        <v>1160032E00143    00</v>
      </c>
      <c r="B10825" t="s">
        <v>23920</v>
      </c>
      <c r="C10825" t="s">
        <v>23921</v>
      </c>
      <c r="D10825" t="s">
        <v>20</v>
      </c>
      <c r="E10825" t="s">
        <v>39</v>
      </c>
      <c r="F10825">
        <v>0</v>
      </c>
      <c r="G10825">
        <v>0</v>
      </c>
      <c r="H10825">
        <v>8</v>
      </c>
      <c r="I10825" s="3">
        <v>4667.72</v>
      </c>
      <c r="J10825" s="3">
        <v>1527.34</v>
      </c>
      <c r="K10825" t="s">
        <v>23922</v>
      </c>
      <c r="L10825">
        <v>1529</v>
      </c>
      <c r="M10825" t="s">
        <v>23923</v>
      </c>
      <c r="N10825" t="s">
        <v>30</v>
      </c>
      <c r="O10825" t="s">
        <v>31</v>
      </c>
      <c r="P10825" t="str">
        <f>"15216"</f>
        <v>15216</v>
      </c>
    </row>
    <row r="10826" spans="1:16" x14ac:dyDescent="0.25">
      <c r="A10826" t="str">
        <f>"1160032E00145    00"</f>
        <v>1160032E00145    00</v>
      </c>
      <c r="B10826" t="s">
        <v>23924</v>
      </c>
      <c r="C10826" t="s">
        <v>23925</v>
      </c>
      <c r="D10826" t="s">
        <v>20</v>
      </c>
      <c r="E10826" t="s">
        <v>39</v>
      </c>
      <c r="F10826">
        <v>0</v>
      </c>
      <c r="G10826">
        <v>0</v>
      </c>
      <c r="H10826">
        <v>19</v>
      </c>
      <c r="I10826" s="3">
        <v>4627.7299999999996</v>
      </c>
      <c r="J10826" s="3">
        <v>4712.29</v>
      </c>
      <c r="L10826">
        <v>1127</v>
      </c>
      <c r="M10826" t="s">
        <v>1407</v>
      </c>
      <c r="N10826" t="s">
        <v>30</v>
      </c>
      <c r="O10826" t="s">
        <v>31</v>
      </c>
      <c r="P10826" t="str">
        <f>"15210"</f>
        <v>15210</v>
      </c>
    </row>
    <row r="10827" spans="1:16" x14ac:dyDescent="0.25">
      <c r="A10827" t="str">
        <f>"1160032E00178    00"</f>
        <v>1160032E00178    00</v>
      </c>
      <c r="B10827" t="s">
        <v>23926</v>
      </c>
      <c r="C10827" t="s">
        <v>23927</v>
      </c>
      <c r="D10827" t="s">
        <v>20</v>
      </c>
      <c r="E10827" t="s">
        <v>39</v>
      </c>
      <c r="F10827">
        <v>0</v>
      </c>
      <c r="G10827">
        <v>0</v>
      </c>
      <c r="H10827">
        <v>5</v>
      </c>
      <c r="I10827" s="3">
        <v>474.7</v>
      </c>
      <c r="J10827" s="3">
        <v>0</v>
      </c>
      <c r="K10827" t="s">
        <v>23928</v>
      </c>
      <c r="L10827">
        <v>614</v>
      </c>
      <c r="M10827" t="s">
        <v>23929</v>
      </c>
      <c r="N10827" t="s">
        <v>30</v>
      </c>
      <c r="O10827" t="s">
        <v>31</v>
      </c>
      <c r="P10827" t="str">
        <f>"15210"</f>
        <v>15210</v>
      </c>
    </row>
    <row r="10828" spans="1:16" x14ac:dyDescent="0.25">
      <c r="A10828" t="str">
        <f>"1160032E00181    00"</f>
        <v>1160032E00181    00</v>
      </c>
      <c r="B10828" t="s">
        <v>23930</v>
      </c>
      <c r="C10828" t="s">
        <v>23931</v>
      </c>
      <c r="E10828" t="s">
        <v>39</v>
      </c>
      <c r="F10828">
        <v>0</v>
      </c>
      <c r="G10828">
        <v>0</v>
      </c>
      <c r="H10828">
        <v>1</v>
      </c>
      <c r="I10828" s="3">
        <v>126.86</v>
      </c>
      <c r="J10828" s="3">
        <v>25.37</v>
      </c>
      <c r="K10828" t="s">
        <v>23932</v>
      </c>
      <c r="L10828">
        <v>610</v>
      </c>
      <c r="M10828" t="s">
        <v>23929</v>
      </c>
      <c r="N10828" t="s">
        <v>30</v>
      </c>
      <c r="O10828" t="s">
        <v>31</v>
      </c>
      <c r="P10828" t="str">
        <f>"15210"</f>
        <v>15210</v>
      </c>
    </row>
    <row r="10829" spans="1:16" x14ac:dyDescent="0.25">
      <c r="A10829" t="str">
        <f>"1160032E00191    00"</f>
        <v>1160032E00191    00</v>
      </c>
      <c r="B10829" t="s">
        <v>23933</v>
      </c>
      <c r="C10829" t="s">
        <v>23934</v>
      </c>
      <c r="D10829" t="s">
        <v>20</v>
      </c>
      <c r="E10829" t="s">
        <v>39</v>
      </c>
      <c r="F10829">
        <v>0</v>
      </c>
      <c r="G10829">
        <v>0</v>
      </c>
      <c r="H10829">
        <v>16</v>
      </c>
      <c r="I10829" s="3">
        <v>225.15</v>
      </c>
      <c r="J10829" s="3">
        <v>238.31</v>
      </c>
      <c r="L10829">
        <v>202</v>
      </c>
      <c r="M10829" t="s">
        <v>23929</v>
      </c>
      <c r="N10829" t="s">
        <v>30</v>
      </c>
      <c r="O10829" t="s">
        <v>31</v>
      </c>
      <c r="P10829" t="str">
        <f>"15210"</f>
        <v>15210</v>
      </c>
    </row>
    <row r="10830" spans="1:16" x14ac:dyDescent="0.25">
      <c r="A10830" t="str">
        <f>"1160032E00192    00"</f>
        <v>1160032E00192    00</v>
      </c>
      <c r="B10830" t="s">
        <v>23935</v>
      </c>
      <c r="C10830" t="s">
        <v>23936</v>
      </c>
      <c r="D10830" t="s">
        <v>20</v>
      </c>
      <c r="E10830" t="s">
        <v>39</v>
      </c>
      <c r="F10830">
        <v>0</v>
      </c>
      <c r="G10830">
        <v>0</v>
      </c>
      <c r="H10830">
        <v>16</v>
      </c>
      <c r="I10830" s="3">
        <v>9161.32</v>
      </c>
      <c r="J10830" s="3">
        <v>7555.44</v>
      </c>
      <c r="L10830">
        <v>2312</v>
      </c>
      <c r="M10830" t="s">
        <v>23937</v>
      </c>
      <c r="N10830" t="s">
        <v>1634</v>
      </c>
      <c r="O10830" t="s">
        <v>25</v>
      </c>
      <c r="P10830" t="str">
        <f>"45417"</f>
        <v>45417</v>
      </c>
    </row>
    <row r="10831" spans="1:16" x14ac:dyDescent="0.25">
      <c r="A10831" t="str">
        <f>"1160032F00031    00"</f>
        <v>1160032F00031    00</v>
      </c>
      <c r="B10831" t="s">
        <v>23938</v>
      </c>
      <c r="C10831" t="s">
        <v>23939</v>
      </c>
      <c r="D10831" t="s">
        <v>20</v>
      </c>
      <c r="E10831" t="s">
        <v>39</v>
      </c>
      <c r="F10831">
        <v>0</v>
      </c>
      <c r="G10831">
        <v>0</v>
      </c>
      <c r="H10831">
        <v>2</v>
      </c>
      <c r="I10831" s="3">
        <v>832.02</v>
      </c>
      <c r="J10831" s="3">
        <v>0</v>
      </c>
      <c r="K10831" t="s">
        <v>23940</v>
      </c>
      <c r="L10831">
        <v>522</v>
      </c>
      <c r="M10831" t="s">
        <v>23824</v>
      </c>
      <c r="N10831" t="s">
        <v>30</v>
      </c>
      <c r="O10831" t="s">
        <v>31</v>
      </c>
      <c r="P10831" t="str">
        <f>"15210"</f>
        <v>15210</v>
      </c>
    </row>
    <row r="10832" spans="1:16" x14ac:dyDescent="0.25">
      <c r="A10832" t="str">
        <f>"1160032F00084    00"</f>
        <v>1160032F00084    00</v>
      </c>
      <c r="B10832" t="s">
        <v>23941</v>
      </c>
      <c r="C10832" t="s">
        <v>23842</v>
      </c>
      <c r="D10832" t="s">
        <v>20</v>
      </c>
      <c r="E10832" t="s">
        <v>39</v>
      </c>
      <c r="F10832">
        <v>0</v>
      </c>
      <c r="G10832">
        <v>0</v>
      </c>
      <c r="H10832">
        <v>17</v>
      </c>
      <c r="I10832" s="3">
        <v>184.56</v>
      </c>
      <c r="J10832" s="3">
        <v>233.11</v>
      </c>
      <c r="P10832" t="str">
        <f>""</f>
        <v/>
      </c>
    </row>
    <row r="10833" spans="1:16" x14ac:dyDescent="0.25">
      <c r="A10833" t="str">
        <f>"1160032F00100    00"</f>
        <v>1160032F00100    00</v>
      </c>
      <c r="B10833" t="s">
        <v>23942</v>
      </c>
      <c r="C10833" t="s">
        <v>23425</v>
      </c>
      <c r="D10833" t="s">
        <v>20</v>
      </c>
      <c r="E10833" t="s">
        <v>39</v>
      </c>
      <c r="F10833">
        <v>0</v>
      </c>
      <c r="G10833">
        <v>0</v>
      </c>
      <c r="H10833">
        <v>19</v>
      </c>
      <c r="I10833" s="3">
        <v>5560.39</v>
      </c>
      <c r="J10833" s="3">
        <v>5857.5</v>
      </c>
      <c r="L10833">
        <v>504</v>
      </c>
      <c r="M10833" t="s">
        <v>23363</v>
      </c>
      <c r="N10833" t="s">
        <v>30</v>
      </c>
      <c r="O10833" t="s">
        <v>31</v>
      </c>
      <c r="P10833" t="str">
        <f>"15210"</f>
        <v>15210</v>
      </c>
    </row>
    <row r="10834" spans="1:16" x14ac:dyDescent="0.25">
      <c r="A10834" t="str">
        <f>"1160032F00108    00"</f>
        <v>1160032F00108    00</v>
      </c>
      <c r="B10834" t="s">
        <v>23943</v>
      </c>
      <c r="C10834" t="s">
        <v>23944</v>
      </c>
      <c r="D10834" t="s">
        <v>20</v>
      </c>
      <c r="E10834" t="s">
        <v>39</v>
      </c>
      <c r="F10834">
        <v>0</v>
      </c>
      <c r="G10834">
        <v>0</v>
      </c>
      <c r="H10834">
        <v>8</v>
      </c>
      <c r="I10834" s="3">
        <v>951.96</v>
      </c>
      <c r="J10834" s="3">
        <v>310.38</v>
      </c>
      <c r="L10834">
        <v>516</v>
      </c>
      <c r="M10834" t="s">
        <v>23363</v>
      </c>
      <c r="N10834" t="s">
        <v>30</v>
      </c>
      <c r="O10834" t="s">
        <v>31</v>
      </c>
      <c r="P10834" t="str">
        <f>"15210"</f>
        <v>15210</v>
      </c>
    </row>
    <row r="10835" spans="1:16" x14ac:dyDescent="0.25">
      <c r="A10835" t="str">
        <f>"1160032F00118    00"</f>
        <v>1160032F00118    00</v>
      </c>
      <c r="B10835" t="s">
        <v>23945</v>
      </c>
      <c r="C10835" t="s">
        <v>23425</v>
      </c>
      <c r="D10835" t="s">
        <v>20</v>
      </c>
      <c r="E10835" t="s">
        <v>39</v>
      </c>
      <c r="F10835">
        <v>0</v>
      </c>
      <c r="G10835">
        <v>0</v>
      </c>
      <c r="H10835">
        <v>19</v>
      </c>
      <c r="I10835" s="3">
        <v>6315.59</v>
      </c>
      <c r="J10835" s="3">
        <v>7059.77</v>
      </c>
      <c r="L10835">
        <v>731</v>
      </c>
      <c r="M10835" t="s">
        <v>23946</v>
      </c>
      <c r="N10835" t="s">
        <v>903</v>
      </c>
      <c r="O10835" t="s">
        <v>31</v>
      </c>
      <c r="P10835" t="str">
        <f>"15136"</f>
        <v>15136</v>
      </c>
    </row>
    <row r="10836" spans="1:16" x14ac:dyDescent="0.25">
      <c r="A10836" t="str">
        <f>"1160032F00123    00"</f>
        <v>1160032F00123    00</v>
      </c>
      <c r="B10836" t="s">
        <v>23947</v>
      </c>
      <c r="C10836" t="s">
        <v>23425</v>
      </c>
      <c r="D10836" t="s">
        <v>20</v>
      </c>
      <c r="E10836" t="s">
        <v>39</v>
      </c>
      <c r="F10836">
        <v>0</v>
      </c>
      <c r="G10836">
        <v>0</v>
      </c>
      <c r="H10836">
        <v>19</v>
      </c>
      <c r="I10836" s="3">
        <v>4823.2</v>
      </c>
      <c r="J10836" s="3">
        <v>4815.53</v>
      </c>
      <c r="P10836" t="str">
        <f>""</f>
        <v/>
      </c>
    </row>
    <row r="10837" spans="1:16" x14ac:dyDescent="0.25">
      <c r="A10837" t="str">
        <f>"1160032F00191    00"</f>
        <v>1160032F00191    00</v>
      </c>
      <c r="B10837" t="s">
        <v>23948</v>
      </c>
      <c r="C10837" t="s">
        <v>23949</v>
      </c>
      <c r="D10837" t="s">
        <v>20</v>
      </c>
      <c r="E10837" t="s">
        <v>39</v>
      </c>
      <c r="F10837">
        <v>0</v>
      </c>
      <c r="G10837">
        <v>0</v>
      </c>
      <c r="H10837">
        <v>1</v>
      </c>
      <c r="I10837" s="3">
        <v>484.13</v>
      </c>
      <c r="J10837" s="3">
        <v>96.82</v>
      </c>
      <c r="M10837" t="s">
        <v>23950</v>
      </c>
      <c r="N10837" t="s">
        <v>2008</v>
      </c>
      <c r="O10837" t="s">
        <v>31</v>
      </c>
      <c r="P10837" t="str">
        <f>"16066"</f>
        <v>16066</v>
      </c>
    </row>
    <row r="10838" spans="1:16" x14ac:dyDescent="0.25">
      <c r="A10838" t="str">
        <f>"1160032F00241    00"</f>
        <v>1160032F00241    00</v>
      </c>
      <c r="B10838" t="s">
        <v>23951</v>
      </c>
      <c r="C10838" t="s">
        <v>23425</v>
      </c>
      <c r="D10838" t="s">
        <v>20</v>
      </c>
      <c r="E10838" t="s">
        <v>39</v>
      </c>
      <c r="F10838">
        <v>0</v>
      </c>
      <c r="G10838">
        <v>0</v>
      </c>
      <c r="H10838">
        <v>19</v>
      </c>
      <c r="I10838" s="3">
        <v>5097.22</v>
      </c>
      <c r="J10838" s="3">
        <v>5230.3900000000003</v>
      </c>
      <c r="P10838" t="str">
        <f>""</f>
        <v/>
      </c>
    </row>
    <row r="10839" spans="1:16" x14ac:dyDescent="0.25">
      <c r="A10839" t="str">
        <f>"1160032F00270    00"</f>
        <v>1160032F00270    00</v>
      </c>
      <c r="B10839" t="s">
        <v>23952</v>
      </c>
      <c r="C10839" t="s">
        <v>23953</v>
      </c>
      <c r="D10839" t="s">
        <v>20</v>
      </c>
      <c r="E10839" t="s">
        <v>39</v>
      </c>
      <c r="F10839">
        <v>0</v>
      </c>
      <c r="G10839">
        <v>0</v>
      </c>
      <c r="H10839">
        <v>8</v>
      </c>
      <c r="I10839" s="3">
        <v>2448.0700000000002</v>
      </c>
      <c r="J10839" s="3">
        <v>921.83</v>
      </c>
      <c r="L10839">
        <v>710</v>
      </c>
      <c r="M10839" t="s">
        <v>23824</v>
      </c>
      <c r="N10839" t="s">
        <v>30</v>
      </c>
      <c r="O10839" t="s">
        <v>31</v>
      </c>
      <c r="P10839" t="str">
        <f>"15210"</f>
        <v>15210</v>
      </c>
    </row>
    <row r="10840" spans="1:16" x14ac:dyDescent="0.25">
      <c r="A10840" t="str">
        <f>"1160032F00273    00"</f>
        <v>1160032F00273    00</v>
      </c>
      <c r="B10840" t="s">
        <v>23954</v>
      </c>
      <c r="C10840" t="s">
        <v>23955</v>
      </c>
      <c r="E10840" t="s">
        <v>39</v>
      </c>
      <c r="F10840">
        <v>0</v>
      </c>
      <c r="G10840">
        <v>0</v>
      </c>
      <c r="H10840">
        <v>11</v>
      </c>
      <c r="I10840" s="3">
        <v>12808.65</v>
      </c>
      <c r="J10840" s="3">
        <v>17398.400000000001</v>
      </c>
      <c r="M10840" t="s">
        <v>23122</v>
      </c>
      <c r="N10840" t="s">
        <v>30</v>
      </c>
      <c r="O10840" t="s">
        <v>31</v>
      </c>
      <c r="P10840" t="str">
        <f>"15207"</f>
        <v>15207</v>
      </c>
    </row>
    <row r="10841" spans="1:16" x14ac:dyDescent="0.25">
      <c r="A10841" t="str">
        <f>"1160032F00274    00"</f>
        <v>1160032F00274    00</v>
      </c>
      <c r="B10841" t="s">
        <v>23956</v>
      </c>
      <c r="C10841" t="s">
        <v>23957</v>
      </c>
      <c r="D10841" t="s">
        <v>20</v>
      </c>
      <c r="E10841" t="s">
        <v>39</v>
      </c>
      <c r="F10841">
        <v>0</v>
      </c>
      <c r="G10841">
        <v>0</v>
      </c>
      <c r="H10841">
        <v>2</v>
      </c>
      <c r="I10841" s="3">
        <v>1219.8800000000001</v>
      </c>
      <c r="J10841" s="3">
        <v>0</v>
      </c>
      <c r="K10841" t="s">
        <v>23958</v>
      </c>
      <c r="L10841">
        <v>831</v>
      </c>
      <c r="M10841" t="s">
        <v>23959</v>
      </c>
      <c r="N10841" t="s">
        <v>636</v>
      </c>
      <c r="O10841" t="s">
        <v>31</v>
      </c>
      <c r="P10841" t="str">
        <f>"15104"</f>
        <v>15104</v>
      </c>
    </row>
    <row r="10842" spans="1:16" x14ac:dyDescent="0.25">
      <c r="A10842" t="str">
        <f>"1160032F00278    00"</f>
        <v>1160032F00278    00</v>
      </c>
      <c r="B10842" t="s">
        <v>23960</v>
      </c>
      <c r="C10842" t="s">
        <v>23961</v>
      </c>
      <c r="D10842" t="s">
        <v>20</v>
      </c>
      <c r="E10842" t="s">
        <v>39</v>
      </c>
      <c r="F10842">
        <v>0</v>
      </c>
      <c r="G10842">
        <v>0</v>
      </c>
      <c r="H10842">
        <v>13</v>
      </c>
      <c r="I10842" s="3">
        <v>3311.33</v>
      </c>
      <c r="J10842" s="3">
        <v>2234.14</v>
      </c>
      <c r="L10842">
        <v>726</v>
      </c>
      <c r="M10842" t="s">
        <v>23824</v>
      </c>
      <c r="N10842" t="s">
        <v>30</v>
      </c>
      <c r="O10842" t="s">
        <v>31</v>
      </c>
      <c r="P10842" t="str">
        <f>"15210"</f>
        <v>15210</v>
      </c>
    </row>
    <row r="10843" spans="1:16" x14ac:dyDescent="0.25">
      <c r="A10843" t="str">
        <f>"1160032F00283    00"</f>
        <v>1160032F00283    00</v>
      </c>
      <c r="B10843" t="s">
        <v>23962</v>
      </c>
      <c r="C10843" t="s">
        <v>23963</v>
      </c>
      <c r="D10843" t="s">
        <v>20</v>
      </c>
      <c r="E10843" t="s">
        <v>39</v>
      </c>
      <c r="F10843">
        <v>0</v>
      </c>
      <c r="G10843">
        <v>0</v>
      </c>
      <c r="H10843">
        <v>17</v>
      </c>
      <c r="I10843" s="3">
        <v>227.61</v>
      </c>
      <c r="J10843" s="3">
        <v>278.68</v>
      </c>
      <c r="K10843" t="s">
        <v>1037</v>
      </c>
      <c r="L10843">
        <v>431</v>
      </c>
      <c r="M10843" t="s">
        <v>23376</v>
      </c>
      <c r="N10843" t="s">
        <v>30</v>
      </c>
      <c r="O10843" t="s">
        <v>31</v>
      </c>
      <c r="P10843" t="str">
        <f>"15210"</f>
        <v>15210</v>
      </c>
    </row>
    <row r="10844" spans="1:16" x14ac:dyDescent="0.25">
      <c r="A10844" t="str">
        <f>"1160032F00312    00"</f>
        <v>1160032F00312    00</v>
      </c>
      <c r="B10844" t="s">
        <v>23964</v>
      </c>
      <c r="C10844" t="s">
        <v>23965</v>
      </c>
      <c r="D10844" t="s">
        <v>20</v>
      </c>
      <c r="E10844" t="s">
        <v>39</v>
      </c>
      <c r="F10844">
        <v>0</v>
      </c>
      <c r="G10844">
        <v>0</v>
      </c>
      <c r="H10844">
        <v>3</v>
      </c>
      <c r="I10844" s="3">
        <v>2358.7600000000002</v>
      </c>
      <c r="J10844" s="3">
        <v>227.57</v>
      </c>
      <c r="L10844">
        <v>516</v>
      </c>
      <c r="M10844" t="s">
        <v>23966</v>
      </c>
      <c r="N10844" t="s">
        <v>30</v>
      </c>
      <c r="O10844" t="s">
        <v>31</v>
      </c>
      <c r="P10844" t="str">
        <f>"15210"</f>
        <v>15210</v>
      </c>
    </row>
    <row r="10845" spans="1:16" x14ac:dyDescent="0.25">
      <c r="A10845" t="str">
        <f>"1160032F00329    00"</f>
        <v>1160032F00329    00</v>
      </c>
      <c r="B10845" t="s">
        <v>23967</v>
      </c>
      <c r="C10845" t="s">
        <v>23968</v>
      </c>
      <c r="D10845" t="s">
        <v>20</v>
      </c>
      <c r="E10845" t="s">
        <v>39</v>
      </c>
      <c r="F10845">
        <v>0</v>
      </c>
      <c r="G10845">
        <v>0</v>
      </c>
      <c r="H10845">
        <v>19</v>
      </c>
      <c r="I10845" s="3">
        <v>5788.63</v>
      </c>
      <c r="J10845" s="3">
        <v>5948.23</v>
      </c>
      <c r="L10845">
        <v>570</v>
      </c>
      <c r="M10845" t="s">
        <v>23969</v>
      </c>
      <c r="N10845" t="s">
        <v>2943</v>
      </c>
      <c r="O10845" t="s">
        <v>31</v>
      </c>
      <c r="P10845" t="str">
        <f>"15025"</f>
        <v>15025</v>
      </c>
    </row>
    <row r="10846" spans="1:16" x14ac:dyDescent="0.25">
      <c r="A10846" t="str">
        <f>"1160032F00331    00"</f>
        <v>1160032F00331    00</v>
      </c>
      <c r="B10846" t="s">
        <v>23970</v>
      </c>
      <c r="C10846" t="s">
        <v>23971</v>
      </c>
      <c r="E10846" t="s">
        <v>39</v>
      </c>
      <c r="F10846">
        <v>0</v>
      </c>
      <c r="G10846">
        <v>0</v>
      </c>
      <c r="H10846">
        <v>18</v>
      </c>
      <c r="I10846" s="3">
        <v>11705.26</v>
      </c>
      <c r="J10846" s="3">
        <v>13378.66</v>
      </c>
      <c r="L10846">
        <v>527</v>
      </c>
      <c r="M10846" t="s">
        <v>23966</v>
      </c>
      <c r="N10846" t="s">
        <v>30</v>
      </c>
      <c r="O10846" t="s">
        <v>31</v>
      </c>
      <c r="P10846" t="str">
        <f>"15210"</f>
        <v>15210</v>
      </c>
    </row>
    <row r="10847" spans="1:16" x14ac:dyDescent="0.25">
      <c r="A10847" t="str">
        <f>"1160032F00337    00"</f>
        <v>1160032F00337    00</v>
      </c>
      <c r="B10847" t="s">
        <v>23972</v>
      </c>
      <c r="C10847" t="s">
        <v>23968</v>
      </c>
      <c r="D10847" t="s">
        <v>20</v>
      </c>
      <c r="E10847" t="s">
        <v>39</v>
      </c>
      <c r="F10847">
        <v>0</v>
      </c>
      <c r="G10847">
        <v>0</v>
      </c>
      <c r="H10847">
        <v>19</v>
      </c>
      <c r="I10847" s="3">
        <v>5307.62</v>
      </c>
      <c r="J10847" s="3">
        <v>5634.3</v>
      </c>
      <c r="K10847" t="s">
        <v>23973</v>
      </c>
      <c r="L10847">
        <v>2790</v>
      </c>
      <c r="M10847" t="s">
        <v>23974</v>
      </c>
      <c r="N10847" t="s">
        <v>23975</v>
      </c>
      <c r="O10847" t="s">
        <v>1321</v>
      </c>
      <c r="P10847" t="str">
        <f>"89502"</f>
        <v>89502</v>
      </c>
    </row>
    <row r="10848" spans="1:16" x14ac:dyDescent="0.25">
      <c r="A10848" t="str">
        <f>"1160032F00340    00"</f>
        <v>1160032F00340    00</v>
      </c>
      <c r="B10848" t="s">
        <v>23976</v>
      </c>
      <c r="C10848" t="s">
        <v>23968</v>
      </c>
      <c r="E10848" t="s">
        <v>39</v>
      </c>
      <c r="F10848">
        <v>0</v>
      </c>
      <c r="G10848">
        <v>0</v>
      </c>
      <c r="H10848">
        <v>14</v>
      </c>
      <c r="I10848" s="3">
        <v>7406.1</v>
      </c>
      <c r="J10848" s="3">
        <v>9881.6299999999992</v>
      </c>
      <c r="L10848">
        <v>700</v>
      </c>
      <c r="M10848" t="s">
        <v>23977</v>
      </c>
      <c r="N10848" t="s">
        <v>30</v>
      </c>
      <c r="O10848" t="s">
        <v>31</v>
      </c>
      <c r="P10848" t="str">
        <f>"15212"</f>
        <v>15212</v>
      </c>
    </row>
    <row r="10849" spans="1:16" x14ac:dyDescent="0.25">
      <c r="A10849" t="str">
        <f>"1160032F00343    00"</f>
        <v>1160032F00343    00</v>
      </c>
      <c r="B10849" t="s">
        <v>23978</v>
      </c>
      <c r="C10849" t="s">
        <v>23979</v>
      </c>
      <c r="D10849" t="s">
        <v>20</v>
      </c>
      <c r="E10849" t="s">
        <v>39</v>
      </c>
      <c r="F10849">
        <v>0</v>
      </c>
      <c r="G10849">
        <v>0</v>
      </c>
      <c r="H10849">
        <v>4</v>
      </c>
      <c r="I10849" s="3">
        <v>2923.73</v>
      </c>
      <c r="J10849" s="3">
        <v>345.37</v>
      </c>
      <c r="L10849">
        <v>800</v>
      </c>
      <c r="M10849" t="s">
        <v>23824</v>
      </c>
      <c r="N10849" t="s">
        <v>30</v>
      </c>
      <c r="O10849" t="s">
        <v>31</v>
      </c>
      <c r="P10849" t="str">
        <f>"15210"</f>
        <v>15210</v>
      </c>
    </row>
    <row r="10850" spans="1:16" x14ac:dyDescent="0.25">
      <c r="A10850" t="str">
        <f>"1160032F00355    00"</f>
        <v>1160032F00355    00</v>
      </c>
      <c r="B10850" t="s">
        <v>23980</v>
      </c>
      <c r="C10850" t="s">
        <v>23981</v>
      </c>
      <c r="E10850" t="s">
        <v>21</v>
      </c>
      <c r="F10850">
        <v>0</v>
      </c>
      <c r="G10850">
        <v>0</v>
      </c>
      <c r="H10850">
        <v>1</v>
      </c>
      <c r="I10850" s="3">
        <v>7222.85</v>
      </c>
      <c r="J10850" s="3">
        <v>10716.65</v>
      </c>
      <c r="L10850">
        <v>810</v>
      </c>
      <c r="M10850" t="s">
        <v>23824</v>
      </c>
      <c r="N10850" t="s">
        <v>30</v>
      </c>
      <c r="O10850" t="s">
        <v>31</v>
      </c>
      <c r="P10850" t="str">
        <f>"15210"</f>
        <v>15210</v>
      </c>
    </row>
    <row r="10851" spans="1:16" x14ac:dyDescent="0.25">
      <c r="A10851" t="str">
        <f>"1160032F00356    00"</f>
        <v>1160032F00356    00</v>
      </c>
      <c r="B10851" t="s">
        <v>23982</v>
      </c>
      <c r="C10851" t="s">
        <v>23983</v>
      </c>
      <c r="E10851" t="s">
        <v>21</v>
      </c>
      <c r="F10851">
        <v>0</v>
      </c>
      <c r="G10851">
        <v>0</v>
      </c>
      <c r="H10851">
        <v>1</v>
      </c>
      <c r="I10851" s="3">
        <v>3321.54</v>
      </c>
      <c r="J10851" s="3">
        <v>4928.21</v>
      </c>
      <c r="M10851" t="s">
        <v>23984</v>
      </c>
      <c r="N10851" t="s">
        <v>30</v>
      </c>
      <c r="O10851" t="s">
        <v>31</v>
      </c>
      <c r="P10851" t="str">
        <f>"15210"</f>
        <v>15210</v>
      </c>
    </row>
    <row r="10852" spans="1:16" x14ac:dyDescent="0.25">
      <c r="A10852" t="str">
        <f>"1160032F00362    00"</f>
        <v>1160032F00362    00</v>
      </c>
      <c r="B10852" t="s">
        <v>23980</v>
      </c>
      <c r="C10852" t="s">
        <v>23983</v>
      </c>
      <c r="E10852" t="s">
        <v>21</v>
      </c>
      <c r="F10852">
        <v>0</v>
      </c>
      <c r="G10852">
        <v>0</v>
      </c>
      <c r="H10852">
        <v>1</v>
      </c>
      <c r="I10852" s="3">
        <v>1493.69</v>
      </c>
      <c r="J10852" s="3">
        <v>2216.21</v>
      </c>
      <c r="L10852">
        <v>810</v>
      </c>
      <c r="M10852" t="s">
        <v>23824</v>
      </c>
      <c r="N10852" t="s">
        <v>30</v>
      </c>
      <c r="O10852" t="s">
        <v>31</v>
      </c>
      <c r="P10852" t="str">
        <f>"15210"</f>
        <v>15210</v>
      </c>
    </row>
    <row r="10853" spans="1:16" x14ac:dyDescent="0.25">
      <c r="A10853" t="str">
        <f>"1160032G00001T1  00"</f>
        <v>1160032G00001T1  00</v>
      </c>
      <c r="B10853" t="s">
        <v>23985</v>
      </c>
      <c r="C10853" t="s">
        <v>23986</v>
      </c>
      <c r="E10853" t="s">
        <v>21</v>
      </c>
      <c r="F10853">
        <v>0</v>
      </c>
      <c r="G10853">
        <v>0</v>
      </c>
      <c r="H10853">
        <v>1</v>
      </c>
      <c r="I10853" s="3">
        <v>68.540000000000006</v>
      </c>
      <c r="J10853" s="3">
        <v>31.98</v>
      </c>
      <c r="L10853">
        <v>4107</v>
      </c>
      <c r="M10853" t="s">
        <v>23987</v>
      </c>
      <c r="N10853" t="s">
        <v>1928</v>
      </c>
      <c r="O10853" t="s">
        <v>31</v>
      </c>
      <c r="P10853" t="str">
        <f>"15317"</f>
        <v>15317</v>
      </c>
    </row>
    <row r="10854" spans="1:16" x14ac:dyDescent="0.25">
      <c r="A10854" t="str">
        <f>"1160032G00257    00"</f>
        <v>1160032G00257    00</v>
      </c>
      <c r="B10854" t="s">
        <v>13515</v>
      </c>
      <c r="C10854" t="s">
        <v>23988</v>
      </c>
      <c r="D10854" t="s">
        <v>20</v>
      </c>
      <c r="E10854" t="s">
        <v>21</v>
      </c>
      <c r="F10854">
        <v>0</v>
      </c>
      <c r="G10854">
        <v>0</v>
      </c>
      <c r="H10854">
        <v>4</v>
      </c>
      <c r="I10854" s="3">
        <v>1730.4</v>
      </c>
      <c r="J10854" s="3">
        <v>118.86</v>
      </c>
      <c r="L10854">
        <v>7228</v>
      </c>
      <c r="M10854" t="s">
        <v>4026</v>
      </c>
      <c r="N10854" t="s">
        <v>30</v>
      </c>
      <c r="O10854" t="s">
        <v>31</v>
      </c>
      <c r="P10854" t="str">
        <f>"15235"</f>
        <v>15235</v>
      </c>
    </row>
    <row r="10855" spans="1:16" x14ac:dyDescent="0.25">
      <c r="A10855" t="str">
        <f>"1160032H00015    00"</f>
        <v>1160032H00015    00</v>
      </c>
      <c r="B10855" t="s">
        <v>23898</v>
      </c>
      <c r="C10855" t="s">
        <v>23989</v>
      </c>
      <c r="D10855" t="s">
        <v>20</v>
      </c>
      <c r="E10855" t="s">
        <v>39</v>
      </c>
      <c r="F10855">
        <v>0</v>
      </c>
      <c r="G10855">
        <v>0</v>
      </c>
      <c r="H10855">
        <v>2</v>
      </c>
      <c r="I10855" s="3">
        <v>571.84</v>
      </c>
      <c r="J10855" s="3">
        <v>0</v>
      </c>
      <c r="L10855">
        <v>3641</v>
      </c>
      <c r="M10855" t="s">
        <v>23899</v>
      </c>
      <c r="N10855" t="s">
        <v>30</v>
      </c>
      <c r="O10855" t="s">
        <v>31</v>
      </c>
      <c r="P10855" t="str">
        <f>"15227"</f>
        <v>15227</v>
      </c>
    </row>
    <row r="10856" spans="1:16" x14ac:dyDescent="0.25">
      <c r="A10856" t="str">
        <f>"1160032H00100    00"</f>
        <v>1160032H00100    00</v>
      </c>
      <c r="B10856" t="s">
        <v>9290</v>
      </c>
      <c r="C10856" t="s">
        <v>23374</v>
      </c>
      <c r="D10856" t="s">
        <v>20</v>
      </c>
      <c r="E10856" t="s">
        <v>39</v>
      </c>
      <c r="F10856">
        <v>0</v>
      </c>
      <c r="G10856">
        <v>0</v>
      </c>
      <c r="H10856">
        <v>1</v>
      </c>
      <c r="I10856" s="3">
        <v>613.73</v>
      </c>
      <c r="J10856" s="3">
        <v>0</v>
      </c>
      <c r="L10856">
        <v>414</v>
      </c>
      <c r="M10856" t="s">
        <v>9292</v>
      </c>
      <c r="N10856" t="s">
        <v>30</v>
      </c>
      <c r="O10856" t="s">
        <v>31</v>
      </c>
      <c r="P10856" t="str">
        <f>"15219"</f>
        <v>15219</v>
      </c>
    </row>
    <row r="10857" spans="1:16" x14ac:dyDescent="0.25">
      <c r="A10857" t="str">
        <f>"1160032J00307    00"</f>
        <v>1160032J00307    00</v>
      </c>
      <c r="B10857" t="s">
        <v>23990</v>
      </c>
      <c r="C10857" t="s">
        <v>23934</v>
      </c>
      <c r="E10857" t="s">
        <v>39</v>
      </c>
      <c r="F10857">
        <v>0</v>
      </c>
      <c r="G10857">
        <v>0</v>
      </c>
      <c r="H10857">
        <v>2</v>
      </c>
      <c r="I10857" s="3">
        <v>297.33999999999997</v>
      </c>
      <c r="J10857" s="3">
        <v>29.73</v>
      </c>
      <c r="K10857" t="s">
        <v>23991</v>
      </c>
      <c r="L10857">
        <v>630</v>
      </c>
      <c r="M10857" t="s">
        <v>23929</v>
      </c>
      <c r="N10857" t="s">
        <v>30</v>
      </c>
      <c r="O10857" t="s">
        <v>31</v>
      </c>
      <c r="P10857" t="str">
        <f>"15210"</f>
        <v>15210</v>
      </c>
    </row>
    <row r="10858" spans="1:16" x14ac:dyDescent="0.25">
      <c r="A10858" t="str">
        <f>"1160032J00312    00"</f>
        <v>1160032J00312    00</v>
      </c>
      <c r="B10858" t="s">
        <v>23992</v>
      </c>
      <c r="C10858" t="s">
        <v>23993</v>
      </c>
      <c r="D10858" t="s">
        <v>20</v>
      </c>
      <c r="E10858" t="s">
        <v>39</v>
      </c>
      <c r="F10858">
        <v>0</v>
      </c>
      <c r="G10858">
        <v>0</v>
      </c>
      <c r="H10858">
        <v>4</v>
      </c>
      <c r="I10858" s="3">
        <v>1418</v>
      </c>
      <c r="J10858" s="3">
        <v>263.95</v>
      </c>
      <c r="L10858">
        <v>626</v>
      </c>
      <c r="M10858" t="s">
        <v>23929</v>
      </c>
      <c r="N10858" t="s">
        <v>30</v>
      </c>
      <c r="O10858" t="s">
        <v>31</v>
      </c>
      <c r="P10858" t="str">
        <f>"15210"</f>
        <v>15210</v>
      </c>
    </row>
    <row r="10859" spans="1:16" x14ac:dyDescent="0.25">
      <c r="A10859" t="str">
        <f>"1160032M00291    00"</f>
        <v>1160032M00291    00</v>
      </c>
      <c r="B10859" t="s">
        <v>23994</v>
      </c>
      <c r="C10859" t="s">
        <v>23772</v>
      </c>
      <c r="D10859" t="s">
        <v>20</v>
      </c>
      <c r="E10859" t="s">
        <v>39</v>
      </c>
      <c r="F10859">
        <v>0</v>
      </c>
      <c r="G10859">
        <v>0</v>
      </c>
      <c r="H10859">
        <v>19</v>
      </c>
      <c r="I10859" s="3">
        <v>11328.13</v>
      </c>
      <c r="J10859" s="3">
        <v>14017.82</v>
      </c>
      <c r="K10859" t="s">
        <v>23995</v>
      </c>
      <c r="L10859">
        <v>638</v>
      </c>
      <c r="M10859" t="s">
        <v>23757</v>
      </c>
      <c r="N10859" t="s">
        <v>30</v>
      </c>
      <c r="O10859" t="s">
        <v>31</v>
      </c>
      <c r="P10859" t="str">
        <f>"15210"</f>
        <v>15210</v>
      </c>
    </row>
    <row r="10860" spans="1:16" x14ac:dyDescent="0.25">
      <c r="A10860" t="str">
        <f>"1160032M00298    00"</f>
        <v>1160032M00298    00</v>
      </c>
      <c r="B10860" t="s">
        <v>23996</v>
      </c>
      <c r="C10860" t="s">
        <v>23772</v>
      </c>
      <c r="D10860" t="s">
        <v>20</v>
      </c>
      <c r="E10860" t="s">
        <v>39</v>
      </c>
      <c r="F10860">
        <v>0</v>
      </c>
      <c r="G10860">
        <v>0</v>
      </c>
      <c r="H10860">
        <v>19</v>
      </c>
      <c r="I10860" s="3">
        <v>5846.39</v>
      </c>
      <c r="J10860" s="3">
        <v>6007.89</v>
      </c>
      <c r="P10860" t="str">
        <f>""</f>
        <v/>
      </c>
    </row>
    <row r="10861" spans="1:16" x14ac:dyDescent="0.25">
      <c r="A10861" t="str">
        <f>"1160032M00303    00"</f>
        <v>1160032M00303    00</v>
      </c>
      <c r="B10861" t="s">
        <v>23997</v>
      </c>
      <c r="C10861" t="s">
        <v>23772</v>
      </c>
      <c r="D10861" t="s">
        <v>20</v>
      </c>
      <c r="E10861" t="s">
        <v>39</v>
      </c>
      <c r="F10861">
        <v>0</v>
      </c>
      <c r="G10861">
        <v>0</v>
      </c>
      <c r="H10861">
        <v>19</v>
      </c>
      <c r="I10861" s="3">
        <v>6131.7</v>
      </c>
      <c r="J10861" s="3">
        <v>6338.54</v>
      </c>
      <c r="P10861" t="str">
        <f>""</f>
        <v/>
      </c>
    </row>
    <row r="10862" spans="1:16" x14ac:dyDescent="0.25">
      <c r="A10862" t="str">
        <f>"1160032M00308    00"</f>
        <v>1160032M00308    00</v>
      </c>
      <c r="B10862" t="s">
        <v>23998</v>
      </c>
      <c r="C10862" t="s">
        <v>23772</v>
      </c>
      <c r="D10862" t="s">
        <v>20</v>
      </c>
      <c r="E10862" t="s">
        <v>39</v>
      </c>
      <c r="F10862">
        <v>0</v>
      </c>
      <c r="G10862">
        <v>0</v>
      </c>
      <c r="H10862">
        <v>19</v>
      </c>
      <c r="I10862" s="3">
        <v>5846.39</v>
      </c>
      <c r="J10862" s="3">
        <v>6007.89</v>
      </c>
      <c r="P10862" t="str">
        <f>""</f>
        <v/>
      </c>
    </row>
    <row r="10863" spans="1:16" x14ac:dyDescent="0.25">
      <c r="A10863" t="str">
        <f>"1160032M00314    00"</f>
        <v>1160032M00314    00</v>
      </c>
      <c r="B10863" t="s">
        <v>23999</v>
      </c>
      <c r="C10863" t="s">
        <v>23772</v>
      </c>
      <c r="E10863" t="s">
        <v>39</v>
      </c>
      <c r="F10863">
        <v>0</v>
      </c>
      <c r="G10863">
        <v>0</v>
      </c>
      <c r="H10863">
        <v>1</v>
      </c>
      <c r="I10863" s="3">
        <v>44.05</v>
      </c>
      <c r="J10863" s="3">
        <v>0</v>
      </c>
      <c r="M10863" t="s">
        <v>24000</v>
      </c>
      <c r="N10863" t="s">
        <v>30</v>
      </c>
      <c r="O10863" t="s">
        <v>31</v>
      </c>
      <c r="P10863" t="str">
        <f>"15210"</f>
        <v>15210</v>
      </c>
    </row>
    <row r="10864" spans="1:16" x14ac:dyDescent="0.25">
      <c r="A10864" t="str">
        <f>"1160032M00316    00"</f>
        <v>1160032M00316    00</v>
      </c>
      <c r="B10864" t="s">
        <v>24001</v>
      </c>
      <c r="C10864" t="s">
        <v>24002</v>
      </c>
      <c r="E10864" t="s">
        <v>39</v>
      </c>
      <c r="F10864">
        <v>0</v>
      </c>
      <c r="G10864">
        <v>0</v>
      </c>
      <c r="H10864">
        <v>1</v>
      </c>
      <c r="I10864" s="3">
        <v>33.479999999999997</v>
      </c>
      <c r="J10864" s="3">
        <v>0</v>
      </c>
      <c r="L10864">
        <v>640</v>
      </c>
      <c r="M10864" t="s">
        <v>23757</v>
      </c>
      <c r="N10864" t="s">
        <v>30</v>
      </c>
      <c r="O10864" t="s">
        <v>31</v>
      </c>
      <c r="P10864" t="str">
        <f>"15210"</f>
        <v>15210</v>
      </c>
    </row>
    <row r="10865" spans="1:16" x14ac:dyDescent="0.25">
      <c r="A10865" t="str">
        <f>"1160032R00165    00"</f>
        <v>1160032R00165    00</v>
      </c>
      <c r="B10865" t="s">
        <v>24003</v>
      </c>
      <c r="C10865" t="s">
        <v>23772</v>
      </c>
      <c r="D10865" t="s">
        <v>20</v>
      </c>
      <c r="E10865" t="s">
        <v>39</v>
      </c>
      <c r="F10865">
        <v>0</v>
      </c>
      <c r="G10865">
        <v>0</v>
      </c>
      <c r="H10865">
        <v>19</v>
      </c>
      <c r="I10865" s="3">
        <v>6379.84</v>
      </c>
      <c r="J10865" s="3">
        <v>7222.59</v>
      </c>
      <c r="L10865">
        <v>564</v>
      </c>
      <c r="M10865" t="s">
        <v>23757</v>
      </c>
      <c r="N10865" t="s">
        <v>30</v>
      </c>
      <c r="O10865" t="s">
        <v>31</v>
      </c>
      <c r="P10865" t="str">
        <f>"15210"</f>
        <v>15210</v>
      </c>
    </row>
    <row r="10866" spans="1:16" x14ac:dyDescent="0.25">
      <c r="A10866" t="str">
        <f>"1160032S00040    00"</f>
        <v>1160032S00040    00</v>
      </c>
      <c r="B10866" t="s">
        <v>24004</v>
      </c>
      <c r="C10866" t="s">
        <v>24005</v>
      </c>
      <c r="D10866" t="s">
        <v>20</v>
      </c>
      <c r="E10866" t="s">
        <v>39</v>
      </c>
      <c r="F10866">
        <v>0</v>
      </c>
      <c r="G10866">
        <v>0</v>
      </c>
      <c r="H10866">
        <v>2</v>
      </c>
      <c r="I10866" s="3">
        <v>2317.7399999999998</v>
      </c>
      <c r="J10866" s="3">
        <v>0</v>
      </c>
      <c r="M10866" t="s">
        <v>24006</v>
      </c>
      <c r="N10866" t="s">
        <v>30</v>
      </c>
      <c r="O10866" t="s">
        <v>31</v>
      </c>
      <c r="P10866" t="str">
        <f>"15236"</f>
        <v>15236</v>
      </c>
    </row>
    <row r="10867" spans="1:16" x14ac:dyDescent="0.25">
      <c r="A10867" t="str">
        <f>"1160032S00055    00"</f>
        <v>1160032S00055    00</v>
      </c>
      <c r="B10867" t="s">
        <v>24004</v>
      </c>
      <c r="C10867" t="s">
        <v>24007</v>
      </c>
      <c r="D10867" t="s">
        <v>20</v>
      </c>
      <c r="E10867" t="s">
        <v>39</v>
      </c>
      <c r="F10867">
        <v>0</v>
      </c>
      <c r="G10867">
        <v>0</v>
      </c>
      <c r="H10867">
        <v>1</v>
      </c>
      <c r="I10867" s="3">
        <v>663.31</v>
      </c>
      <c r="J10867" s="3">
        <v>0</v>
      </c>
      <c r="M10867" t="s">
        <v>24006</v>
      </c>
      <c r="N10867" t="s">
        <v>30</v>
      </c>
      <c r="O10867" t="s">
        <v>31</v>
      </c>
      <c r="P10867" t="str">
        <f>"15236"</f>
        <v>15236</v>
      </c>
    </row>
    <row r="10868" spans="1:16" x14ac:dyDescent="0.25">
      <c r="A10868" t="str">
        <f>"1160032S00063    00"</f>
        <v>1160032S00063    00</v>
      </c>
      <c r="B10868" t="s">
        <v>24008</v>
      </c>
      <c r="C10868" t="s">
        <v>24009</v>
      </c>
      <c r="D10868" t="s">
        <v>20</v>
      </c>
      <c r="E10868" t="s">
        <v>39</v>
      </c>
      <c r="F10868">
        <v>0</v>
      </c>
      <c r="G10868">
        <v>0</v>
      </c>
      <c r="H10868">
        <v>11</v>
      </c>
      <c r="I10868" s="3">
        <v>3559.44</v>
      </c>
      <c r="J10868" s="3">
        <v>2311.36</v>
      </c>
      <c r="L10868">
        <v>113</v>
      </c>
      <c r="M10868" t="s">
        <v>24010</v>
      </c>
      <c r="N10868" t="s">
        <v>30</v>
      </c>
      <c r="O10868" t="s">
        <v>31</v>
      </c>
      <c r="P10868" t="str">
        <f>"15210"</f>
        <v>15210</v>
      </c>
    </row>
    <row r="10869" spans="1:16" x14ac:dyDescent="0.25">
      <c r="A10869" t="str">
        <f>"1160032S00065    00"</f>
        <v>1160032S00065    00</v>
      </c>
      <c r="B10869" t="s">
        <v>24011</v>
      </c>
      <c r="C10869" t="s">
        <v>24012</v>
      </c>
      <c r="E10869" t="s">
        <v>39</v>
      </c>
      <c r="F10869">
        <v>0</v>
      </c>
      <c r="G10869">
        <v>0</v>
      </c>
      <c r="H10869">
        <v>1</v>
      </c>
      <c r="I10869" s="3">
        <v>125.39</v>
      </c>
      <c r="J10869" s="3">
        <v>37.619999999999997</v>
      </c>
      <c r="K10869" t="s">
        <v>24013</v>
      </c>
      <c r="L10869">
        <v>2504</v>
      </c>
      <c r="M10869" t="s">
        <v>24014</v>
      </c>
      <c r="N10869" t="s">
        <v>10800</v>
      </c>
      <c r="O10869" t="s">
        <v>31</v>
      </c>
      <c r="P10869" t="str">
        <f>"15065"</f>
        <v>15065</v>
      </c>
    </row>
    <row r="10870" spans="1:16" x14ac:dyDescent="0.25">
      <c r="A10870" t="str">
        <f>"1170003C00180    00"</f>
        <v>1170003C00180    00</v>
      </c>
      <c r="B10870" t="s">
        <v>24015</v>
      </c>
      <c r="C10870" t="s">
        <v>4502</v>
      </c>
      <c r="E10870" t="s">
        <v>513</v>
      </c>
      <c r="F10870">
        <v>0</v>
      </c>
      <c r="G10870">
        <v>0</v>
      </c>
      <c r="H10870">
        <v>3</v>
      </c>
      <c r="I10870" s="3">
        <v>67.39</v>
      </c>
      <c r="J10870" s="3">
        <v>75.430000000000007</v>
      </c>
      <c r="L10870">
        <v>500</v>
      </c>
      <c r="M10870" t="s">
        <v>9505</v>
      </c>
      <c r="N10870" t="s">
        <v>3919</v>
      </c>
      <c r="O10870" t="s">
        <v>370</v>
      </c>
      <c r="P10870" t="str">
        <f>"32202"</f>
        <v>32202</v>
      </c>
    </row>
    <row r="10871" spans="1:16" x14ac:dyDescent="0.25">
      <c r="A10871" t="str">
        <f>"1170003C00185    00"</f>
        <v>1170003C00185    00</v>
      </c>
      <c r="B10871" t="s">
        <v>24015</v>
      </c>
      <c r="C10871" t="s">
        <v>4502</v>
      </c>
      <c r="E10871" t="s">
        <v>513</v>
      </c>
      <c r="F10871">
        <v>0</v>
      </c>
      <c r="G10871">
        <v>0</v>
      </c>
      <c r="H10871">
        <v>3</v>
      </c>
      <c r="I10871" s="3">
        <v>60.19</v>
      </c>
      <c r="J10871" s="3">
        <v>67.430000000000007</v>
      </c>
      <c r="L10871">
        <v>500</v>
      </c>
      <c r="M10871" t="s">
        <v>9505</v>
      </c>
      <c r="N10871" t="s">
        <v>3919</v>
      </c>
      <c r="O10871" t="s">
        <v>370</v>
      </c>
      <c r="P10871" t="str">
        <f>"32202"</f>
        <v>32202</v>
      </c>
    </row>
    <row r="10872" spans="1:16" x14ac:dyDescent="0.25">
      <c r="A10872" t="str">
        <f>"1170003E00060    00"</f>
        <v>1170003E00060    00</v>
      </c>
      <c r="B10872" t="s">
        <v>1935</v>
      </c>
      <c r="C10872" t="s">
        <v>24016</v>
      </c>
      <c r="D10872" t="s">
        <v>20</v>
      </c>
      <c r="E10872" t="s">
        <v>39</v>
      </c>
      <c r="F10872">
        <v>0</v>
      </c>
      <c r="G10872">
        <v>0</v>
      </c>
      <c r="H10872">
        <v>1</v>
      </c>
      <c r="I10872" s="3">
        <v>349.42</v>
      </c>
      <c r="J10872" s="3">
        <v>0</v>
      </c>
      <c r="K10872" t="s">
        <v>1937</v>
      </c>
      <c r="L10872">
        <v>544</v>
      </c>
      <c r="M10872" t="s">
        <v>1938</v>
      </c>
      <c r="N10872" t="s">
        <v>30</v>
      </c>
      <c r="O10872" t="s">
        <v>31</v>
      </c>
      <c r="P10872" t="str">
        <f>"15227"</f>
        <v>15227</v>
      </c>
    </row>
    <row r="10873" spans="1:16" x14ac:dyDescent="0.25">
      <c r="A10873" t="str">
        <f>"1170003E00071    00"</f>
        <v>1170003E00071    00</v>
      </c>
      <c r="B10873" t="s">
        <v>24017</v>
      </c>
      <c r="C10873" t="s">
        <v>24018</v>
      </c>
      <c r="D10873" t="s">
        <v>20</v>
      </c>
      <c r="E10873" t="s">
        <v>39</v>
      </c>
      <c r="F10873">
        <v>0</v>
      </c>
      <c r="G10873">
        <v>0</v>
      </c>
      <c r="H10873">
        <v>2</v>
      </c>
      <c r="I10873" s="3">
        <v>3842.48</v>
      </c>
      <c r="J10873" s="3">
        <v>0</v>
      </c>
      <c r="L10873">
        <v>405</v>
      </c>
      <c r="M10873" t="s">
        <v>1484</v>
      </c>
      <c r="N10873" t="s">
        <v>30</v>
      </c>
      <c r="O10873" t="s">
        <v>31</v>
      </c>
      <c r="P10873" t="str">
        <f>"15203"</f>
        <v>15203</v>
      </c>
    </row>
    <row r="10874" spans="1:16" x14ac:dyDescent="0.25">
      <c r="A10874" t="str">
        <f>"1170003E00071A   00"</f>
        <v>1170003E00071A   00</v>
      </c>
      <c r="B10874" t="s">
        <v>24017</v>
      </c>
      <c r="C10874" t="s">
        <v>24019</v>
      </c>
      <c r="D10874" t="s">
        <v>20</v>
      </c>
      <c r="E10874" t="s">
        <v>21</v>
      </c>
      <c r="F10874">
        <v>0</v>
      </c>
      <c r="G10874">
        <v>0</v>
      </c>
      <c r="H10874">
        <v>2</v>
      </c>
      <c r="I10874" s="3">
        <v>87.7</v>
      </c>
      <c r="J10874" s="3">
        <v>0</v>
      </c>
      <c r="L10874">
        <v>405</v>
      </c>
      <c r="M10874" t="s">
        <v>1484</v>
      </c>
      <c r="N10874" t="s">
        <v>30</v>
      </c>
      <c r="O10874" t="s">
        <v>31</v>
      </c>
      <c r="P10874" t="str">
        <f>"15203"</f>
        <v>15203</v>
      </c>
    </row>
    <row r="10875" spans="1:16" x14ac:dyDescent="0.25">
      <c r="A10875" t="str">
        <f>"1170003E00074    00"</f>
        <v>1170003E00074    00</v>
      </c>
      <c r="B10875" t="s">
        <v>24017</v>
      </c>
      <c r="C10875" t="s">
        <v>22679</v>
      </c>
      <c r="D10875" t="s">
        <v>20</v>
      </c>
      <c r="E10875" t="s">
        <v>39</v>
      </c>
      <c r="F10875">
        <v>0</v>
      </c>
      <c r="G10875">
        <v>0</v>
      </c>
      <c r="H10875">
        <v>2</v>
      </c>
      <c r="I10875" s="3">
        <v>1280.8399999999999</v>
      </c>
      <c r="J10875" s="3">
        <v>0</v>
      </c>
      <c r="L10875">
        <v>405</v>
      </c>
      <c r="M10875" t="s">
        <v>1484</v>
      </c>
      <c r="N10875" t="s">
        <v>30</v>
      </c>
      <c r="O10875" t="s">
        <v>31</v>
      </c>
      <c r="P10875" t="str">
        <f>"15203"</f>
        <v>15203</v>
      </c>
    </row>
    <row r="10876" spans="1:16" x14ac:dyDescent="0.25">
      <c r="A10876" t="str">
        <f>"1170003E00075    00"</f>
        <v>1170003E00075    00</v>
      </c>
      <c r="B10876" t="s">
        <v>24017</v>
      </c>
      <c r="C10876" t="s">
        <v>22679</v>
      </c>
      <c r="D10876" t="s">
        <v>20</v>
      </c>
      <c r="E10876" t="s">
        <v>39</v>
      </c>
      <c r="F10876">
        <v>0</v>
      </c>
      <c r="G10876">
        <v>0</v>
      </c>
      <c r="H10876">
        <v>2</v>
      </c>
      <c r="I10876" s="3">
        <v>335.46</v>
      </c>
      <c r="J10876" s="3">
        <v>0</v>
      </c>
      <c r="L10876">
        <v>405</v>
      </c>
      <c r="M10876" t="s">
        <v>1484</v>
      </c>
      <c r="N10876" t="s">
        <v>30</v>
      </c>
      <c r="O10876" t="s">
        <v>31</v>
      </c>
      <c r="P10876" t="str">
        <f>"15203"</f>
        <v>15203</v>
      </c>
    </row>
    <row r="10877" spans="1:16" x14ac:dyDescent="0.25">
      <c r="A10877" t="str">
        <f>"1170003F00038A   00"</f>
        <v>1170003F00038A   00</v>
      </c>
      <c r="B10877" t="s">
        <v>24020</v>
      </c>
      <c r="C10877" t="s">
        <v>24021</v>
      </c>
      <c r="E10877" t="s">
        <v>39</v>
      </c>
      <c r="F10877">
        <v>0</v>
      </c>
      <c r="G10877">
        <v>0</v>
      </c>
      <c r="H10877">
        <v>1</v>
      </c>
      <c r="I10877" s="3">
        <v>1241.47</v>
      </c>
      <c r="J10877" s="3">
        <v>372.43</v>
      </c>
      <c r="K10877" t="s">
        <v>1632</v>
      </c>
      <c r="L10877">
        <v>3001</v>
      </c>
      <c r="M10877" t="s">
        <v>330</v>
      </c>
      <c r="N10877" t="s">
        <v>331</v>
      </c>
      <c r="O10877" t="s">
        <v>108</v>
      </c>
      <c r="P10877" t="str">
        <f>"75063"</f>
        <v>75063</v>
      </c>
    </row>
    <row r="10878" spans="1:16" x14ac:dyDescent="0.25">
      <c r="A10878" t="str">
        <f>"1170003F00040A   00"</f>
        <v>1170003F00040A   00</v>
      </c>
      <c r="B10878" t="s">
        <v>24022</v>
      </c>
      <c r="C10878" t="s">
        <v>24023</v>
      </c>
      <c r="D10878" t="s">
        <v>20</v>
      </c>
      <c r="E10878" t="s">
        <v>39</v>
      </c>
      <c r="F10878">
        <v>0</v>
      </c>
      <c r="G10878">
        <v>0</v>
      </c>
      <c r="H10878">
        <v>2</v>
      </c>
      <c r="I10878" s="3">
        <v>1533.38</v>
      </c>
      <c r="J10878" s="3">
        <v>0</v>
      </c>
      <c r="L10878">
        <v>618</v>
      </c>
      <c r="M10878" t="s">
        <v>24024</v>
      </c>
      <c r="N10878" t="s">
        <v>30</v>
      </c>
      <c r="O10878" t="s">
        <v>31</v>
      </c>
      <c r="P10878" t="str">
        <f>"15203"</f>
        <v>15203</v>
      </c>
    </row>
    <row r="10879" spans="1:16" x14ac:dyDescent="0.25">
      <c r="A10879" t="str">
        <f>"1170003F00050    00"</f>
        <v>1170003F00050    00</v>
      </c>
      <c r="B10879" t="s">
        <v>24025</v>
      </c>
      <c r="C10879" t="s">
        <v>24026</v>
      </c>
      <c r="D10879" t="s">
        <v>20</v>
      </c>
      <c r="E10879" t="s">
        <v>39</v>
      </c>
      <c r="F10879">
        <v>0</v>
      </c>
      <c r="G10879">
        <v>0</v>
      </c>
      <c r="H10879">
        <v>4</v>
      </c>
      <c r="I10879" s="3">
        <v>8578.6200000000008</v>
      </c>
      <c r="J10879" s="3">
        <v>553.14</v>
      </c>
      <c r="L10879">
        <v>537</v>
      </c>
      <c r="M10879" t="s">
        <v>1484</v>
      </c>
      <c r="N10879" t="s">
        <v>30</v>
      </c>
      <c r="O10879" t="s">
        <v>31</v>
      </c>
      <c r="P10879" t="str">
        <f>"15203"</f>
        <v>15203</v>
      </c>
    </row>
    <row r="10880" spans="1:16" x14ac:dyDescent="0.25">
      <c r="A10880" t="str">
        <f>"1170003F00051    00"</f>
        <v>1170003F00051    00</v>
      </c>
      <c r="B10880" t="s">
        <v>24027</v>
      </c>
      <c r="C10880" t="s">
        <v>24028</v>
      </c>
      <c r="D10880" t="s">
        <v>20</v>
      </c>
      <c r="E10880" t="s">
        <v>21</v>
      </c>
      <c r="F10880">
        <v>0</v>
      </c>
      <c r="G10880">
        <v>0</v>
      </c>
      <c r="H10880">
        <v>2</v>
      </c>
      <c r="I10880" s="3">
        <v>2508.3000000000002</v>
      </c>
      <c r="J10880" s="3">
        <v>0</v>
      </c>
      <c r="L10880">
        <v>537</v>
      </c>
      <c r="M10880" t="s">
        <v>1484</v>
      </c>
      <c r="N10880" t="s">
        <v>30</v>
      </c>
      <c r="O10880" t="s">
        <v>31</v>
      </c>
      <c r="P10880" t="str">
        <f>"15203"</f>
        <v>15203</v>
      </c>
    </row>
    <row r="10881" spans="1:16" x14ac:dyDescent="0.25">
      <c r="A10881" t="str">
        <f>"1170003F00057    00"</f>
        <v>1170003F00057    00</v>
      </c>
      <c r="B10881" t="s">
        <v>24029</v>
      </c>
      <c r="C10881" t="s">
        <v>24030</v>
      </c>
      <c r="D10881" t="s">
        <v>20</v>
      </c>
      <c r="E10881" t="s">
        <v>39</v>
      </c>
      <c r="F10881">
        <v>0</v>
      </c>
      <c r="G10881">
        <v>0</v>
      </c>
      <c r="H10881">
        <v>1</v>
      </c>
      <c r="I10881" s="3">
        <v>327</v>
      </c>
      <c r="J10881" s="3">
        <v>0</v>
      </c>
      <c r="L10881">
        <v>5030</v>
      </c>
      <c r="M10881" t="s">
        <v>24031</v>
      </c>
      <c r="N10881" t="s">
        <v>30</v>
      </c>
      <c r="O10881" t="s">
        <v>31</v>
      </c>
      <c r="P10881" t="str">
        <f>"15213"</f>
        <v>15213</v>
      </c>
    </row>
    <row r="10882" spans="1:16" x14ac:dyDescent="0.25">
      <c r="A10882" t="str">
        <f>"1170003F00068    00"</f>
        <v>1170003F00068    00</v>
      </c>
      <c r="B10882" t="s">
        <v>24032</v>
      </c>
      <c r="C10882" t="s">
        <v>24033</v>
      </c>
      <c r="D10882" t="s">
        <v>20</v>
      </c>
      <c r="E10882" t="s">
        <v>21</v>
      </c>
      <c r="F10882">
        <v>0</v>
      </c>
      <c r="G10882">
        <v>0</v>
      </c>
      <c r="H10882">
        <v>1</v>
      </c>
      <c r="I10882" s="3">
        <v>3587.09</v>
      </c>
      <c r="J10882" s="3">
        <v>0</v>
      </c>
      <c r="K10882" t="s">
        <v>24034</v>
      </c>
      <c r="L10882">
        <v>2615</v>
      </c>
      <c r="M10882" t="s">
        <v>8048</v>
      </c>
      <c r="N10882" t="s">
        <v>30</v>
      </c>
      <c r="O10882" t="s">
        <v>31</v>
      </c>
      <c r="P10882" t="str">
        <f>"15227"</f>
        <v>15227</v>
      </c>
    </row>
    <row r="10883" spans="1:16" x14ac:dyDescent="0.25">
      <c r="A10883" t="str">
        <f>"1170003F00076    00"</f>
        <v>1170003F00076    00</v>
      </c>
      <c r="B10883" t="s">
        <v>24035</v>
      </c>
      <c r="C10883" t="s">
        <v>24036</v>
      </c>
      <c r="D10883" t="s">
        <v>20</v>
      </c>
      <c r="E10883" t="s">
        <v>21</v>
      </c>
      <c r="F10883">
        <v>0</v>
      </c>
      <c r="G10883">
        <v>0</v>
      </c>
      <c r="H10883">
        <v>1</v>
      </c>
      <c r="I10883" s="3">
        <v>228.72</v>
      </c>
      <c r="J10883" s="3">
        <v>0</v>
      </c>
      <c r="K10883" t="s">
        <v>24037</v>
      </c>
      <c r="L10883">
        <v>18</v>
      </c>
      <c r="M10883" t="s">
        <v>7116</v>
      </c>
      <c r="N10883" t="s">
        <v>30</v>
      </c>
      <c r="O10883" t="s">
        <v>31</v>
      </c>
      <c r="P10883" t="str">
        <f>"15211"</f>
        <v>15211</v>
      </c>
    </row>
    <row r="10884" spans="1:16" x14ac:dyDescent="0.25">
      <c r="A10884" t="str">
        <f>"1170003F00079    00"</f>
        <v>1170003F00079    00</v>
      </c>
      <c r="B10884" t="s">
        <v>24035</v>
      </c>
      <c r="C10884" t="s">
        <v>24036</v>
      </c>
      <c r="D10884" t="s">
        <v>20</v>
      </c>
      <c r="E10884" t="s">
        <v>21</v>
      </c>
      <c r="F10884">
        <v>0</v>
      </c>
      <c r="G10884">
        <v>0</v>
      </c>
      <c r="H10884">
        <v>1</v>
      </c>
      <c r="I10884" s="3">
        <v>228.72</v>
      </c>
      <c r="J10884" s="3">
        <v>0</v>
      </c>
      <c r="K10884" t="s">
        <v>24037</v>
      </c>
      <c r="L10884">
        <v>18</v>
      </c>
      <c r="M10884" t="s">
        <v>7116</v>
      </c>
      <c r="N10884" t="s">
        <v>30</v>
      </c>
      <c r="O10884" t="s">
        <v>31</v>
      </c>
      <c r="P10884" t="str">
        <f>"15211"</f>
        <v>15211</v>
      </c>
    </row>
    <row r="10885" spans="1:16" x14ac:dyDescent="0.25">
      <c r="A10885" t="str">
        <f>"1170003F00082    00"</f>
        <v>1170003F00082    00</v>
      </c>
      <c r="B10885" t="s">
        <v>24035</v>
      </c>
      <c r="C10885" t="s">
        <v>24036</v>
      </c>
      <c r="D10885" t="s">
        <v>20</v>
      </c>
      <c r="E10885" t="s">
        <v>21</v>
      </c>
      <c r="F10885">
        <v>0</v>
      </c>
      <c r="G10885">
        <v>0</v>
      </c>
      <c r="H10885">
        <v>1</v>
      </c>
      <c r="I10885" s="3">
        <v>118.17</v>
      </c>
      <c r="J10885" s="3">
        <v>0</v>
      </c>
      <c r="K10885" t="s">
        <v>24037</v>
      </c>
      <c r="L10885">
        <v>18</v>
      </c>
      <c r="M10885" t="s">
        <v>7116</v>
      </c>
      <c r="N10885" t="s">
        <v>30</v>
      </c>
      <c r="O10885" t="s">
        <v>31</v>
      </c>
      <c r="P10885" t="str">
        <f>"15211"</f>
        <v>15211</v>
      </c>
    </row>
    <row r="10886" spans="1:16" x14ac:dyDescent="0.25">
      <c r="A10886" t="str">
        <f>"1170003F00083    00"</f>
        <v>1170003F00083    00</v>
      </c>
      <c r="B10886" t="s">
        <v>24035</v>
      </c>
      <c r="C10886" t="s">
        <v>24036</v>
      </c>
      <c r="D10886" t="s">
        <v>20</v>
      </c>
      <c r="E10886" t="s">
        <v>290</v>
      </c>
      <c r="F10886">
        <v>0</v>
      </c>
      <c r="G10886">
        <v>0</v>
      </c>
      <c r="H10886">
        <v>1</v>
      </c>
      <c r="I10886" s="3">
        <v>3318.36</v>
      </c>
      <c r="J10886" s="3">
        <v>0</v>
      </c>
      <c r="K10886" t="s">
        <v>24037</v>
      </c>
      <c r="L10886">
        <v>18</v>
      </c>
      <c r="M10886" t="s">
        <v>7116</v>
      </c>
      <c r="N10886" t="s">
        <v>30</v>
      </c>
      <c r="O10886" t="s">
        <v>31</v>
      </c>
      <c r="P10886" t="str">
        <f>"15211"</f>
        <v>15211</v>
      </c>
    </row>
    <row r="10887" spans="1:16" x14ac:dyDescent="0.25">
      <c r="A10887" t="str">
        <f>"1170003F00092    00"</f>
        <v>1170003F00092    00</v>
      </c>
      <c r="B10887" t="s">
        <v>24038</v>
      </c>
      <c r="C10887" t="s">
        <v>24039</v>
      </c>
      <c r="E10887" t="s">
        <v>39</v>
      </c>
      <c r="F10887">
        <v>0</v>
      </c>
      <c r="G10887">
        <v>0</v>
      </c>
      <c r="H10887">
        <v>1</v>
      </c>
      <c r="I10887" s="3">
        <v>1044.49</v>
      </c>
      <c r="J10887" s="3">
        <v>313.33</v>
      </c>
      <c r="L10887">
        <v>510</v>
      </c>
      <c r="M10887" t="s">
        <v>6264</v>
      </c>
      <c r="N10887" t="s">
        <v>30</v>
      </c>
      <c r="O10887" t="s">
        <v>31</v>
      </c>
      <c r="P10887" t="str">
        <f>"15203"</f>
        <v>15203</v>
      </c>
    </row>
    <row r="10888" spans="1:16" x14ac:dyDescent="0.25">
      <c r="A10888" t="str">
        <f>"1170003F00093    00"</f>
        <v>1170003F00093    00</v>
      </c>
      <c r="B10888" t="s">
        <v>24040</v>
      </c>
      <c r="C10888" t="s">
        <v>24041</v>
      </c>
      <c r="E10888" t="s">
        <v>39</v>
      </c>
      <c r="F10888">
        <v>0</v>
      </c>
      <c r="G10888">
        <v>0</v>
      </c>
      <c r="H10888">
        <v>1</v>
      </c>
      <c r="I10888" s="3">
        <v>1522.88</v>
      </c>
      <c r="J10888" s="3">
        <v>482.22</v>
      </c>
      <c r="K10888" t="s">
        <v>9114</v>
      </c>
      <c r="M10888" t="s">
        <v>9115</v>
      </c>
      <c r="N10888" t="s">
        <v>264</v>
      </c>
      <c r="O10888" t="s">
        <v>25</v>
      </c>
      <c r="P10888" t="str">
        <f>"45263"</f>
        <v>45263</v>
      </c>
    </row>
    <row r="10889" spans="1:16" x14ac:dyDescent="0.25">
      <c r="A10889" t="str">
        <f>"1170003G00095    00"</f>
        <v>1170003G00095    00</v>
      </c>
      <c r="B10889" t="s">
        <v>24042</v>
      </c>
      <c r="C10889" t="s">
        <v>24043</v>
      </c>
      <c r="E10889" t="s">
        <v>21</v>
      </c>
      <c r="F10889">
        <v>0</v>
      </c>
      <c r="G10889">
        <v>0</v>
      </c>
      <c r="H10889">
        <v>1</v>
      </c>
      <c r="I10889" s="3">
        <v>214.14</v>
      </c>
      <c r="J10889" s="3">
        <v>85.65</v>
      </c>
      <c r="L10889">
        <v>1024</v>
      </c>
      <c r="M10889" t="s">
        <v>24044</v>
      </c>
      <c r="N10889" t="s">
        <v>30</v>
      </c>
      <c r="O10889" t="s">
        <v>31</v>
      </c>
      <c r="P10889" t="str">
        <f>"15226"</f>
        <v>15226</v>
      </c>
    </row>
    <row r="10890" spans="1:16" x14ac:dyDescent="0.25">
      <c r="A10890" t="str">
        <f>"1170003G00106    00"</f>
        <v>1170003G00106    00</v>
      </c>
      <c r="B10890" t="s">
        <v>24045</v>
      </c>
      <c r="C10890" t="s">
        <v>24046</v>
      </c>
      <c r="D10890" t="s">
        <v>20</v>
      </c>
      <c r="E10890" t="s">
        <v>21</v>
      </c>
      <c r="F10890">
        <v>0</v>
      </c>
      <c r="G10890">
        <v>0</v>
      </c>
      <c r="H10890">
        <v>3</v>
      </c>
      <c r="I10890" s="3">
        <v>7424.26</v>
      </c>
      <c r="J10890" s="3">
        <v>5.3</v>
      </c>
      <c r="K10890" t="s">
        <v>24047</v>
      </c>
      <c r="L10890">
        <v>193</v>
      </c>
      <c r="M10890" t="s">
        <v>24048</v>
      </c>
      <c r="N10890" t="s">
        <v>30</v>
      </c>
      <c r="O10890" t="s">
        <v>31</v>
      </c>
      <c r="P10890" t="str">
        <f>"15241"</f>
        <v>15241</v>
      </c>
    </row>
    <row r="10891" spans="1:16" x14ac:dyDescent="0.25">
      <c r="A10891" t="str">
        <f>"1170003G00117    00"</f>
        <v>1170003G00117    00</v>
      </c>
      <c r="B10891" t="s">
        <v>24049</v>
      </c>
      <c r="C10891" t="s">
        <v>24050</v>
      </c>
      <c r="E10891" t="s">
        <v>39</v>
      </c>
      <c r="F10891">
        <v>0</v>
      </c>
      <c r="G10891">
        <v>0</v>
      </c>
      <c r="H10891">
        <v>1</v>
      </c>
      <c r="I10891" s="3">
        <v>917.13</v>
      </c>
      <c r="J10891" s="3">
        <v>0</v>
      </c>
      <c r="K10891" t="s">
        <v>7017</v>
      </c>
      <c r="L10891">
        <v>428</v>
      </c>
      <c r="M10891" t="s">
        <v>7018</v>
      </c>
      <c r="N10891" t="s">
        <v>5847</v>
      </c>
      <c r="O10891" t="s">
        <v>31</v>
      </c>
      <c r="P10891" t="str">
        <f>"15139"</f>
        <v>15139</v>
      </c>
    </row>
    <row r="10892" spans="1:16" x14ac:dyDescent="0.25">
      <c r="A10892" t="str">
        <f>"1170003G00134    00"</f>
        <v>1170003G00134    00</v>
      </c>
      <c r="B10892" t="s">
        <v>20014</v>
      </c>
      <c r="C10892" t="s">
        <v>24051</v>
      </c>
      <c r="E10892" t="s">
        <v>21</v>
      </c>
      <c r="F10892">
        <v>0</v>
      </c>
      <c r="G10892">
        <v>0</v>
      </c>
      <c r="H10892">
        <v>1</v>
      </c>
      <c r="I10892" s="3">
        <v>1947.51</v>
      </c>
      <c r="J10892" s="3">
        <v>0</v>
      </c>
      <c r="K10892" t="s">
        <v>1483</v>
      </c>
      <c r="L10892">
        <v>2333</v>
      </c>
      <c r="M10892" t="s">
        <v>1484</v>
      </c>
      <c r="N10892" t="s">
        <v>30</v>
      </c>
      <c r="O10892" t="s">
        <v>31</v>
      </c>
      <c r="P10892" t="str">
        <f>"15203"</f>
        <v>15203</v>
      </c>
    </row>
    <row r="10893" spans="1:16" x14ac:dyDescent="0.25">
      <c r="A10893" t="str">
        <f>"1170003G00144    00"</f>
        <v>1170003G00144    00</v>
      </c>
      <c r="B10893" t="s">
        <v>24052</v>
      </c>
      <c r="C10893" t="s">
        <v>24053</v>
      </c>
      <c r="D10893" t="s">
        <v>20</v>
      </c>
      <c r="E10893" t="s">
        <v>21</v>
      </c>
      <c r="F10893">
        <v>0</v>
      </c>
      <c r="G10893">
        <v>0</v>
      </c>
      <c r="H10893">
        <v>1</v>
      </c>
      <c r="I10893" s="3">
        <v>2021.39</v>
      </c>
      <c r="J10893" s="3">
        <v>808.52</v>
      </c>
      <c r="L10893">
        <v>1105</v>
      </c>
      <c r="M10893" t="s">
        <v>1484</v>
      </c>
      <c r="N10893" t="s">
        <v>30</v>
      </c>
      <c r="O10893" t="s">
        <v>31</v>
      </c>
      <c r="P10893" t="str">
        <f>"15203"</f>
        <v>15203</v>
      </c>
    </row>
    <row r="10894" spans="1:16" x14ac:dyDescent="0.25">
      <c r="A10894" t="str">
        <f>"1170003G00154    00"</f>
        <v>1170003G00154    00</v>
      </c>
      <c r="B10894" t="s">
        <v>24054</v>
      </c>
      <c r="C10894" t="s">
        <v>24055</v>
      </c>
      <c r="D10894" t="s">
        <v>20</v>
      </c>
      <c r="E10894" t="s">
        <v>39</v>
      </c>
      <c r="F10894">
        <v>0</v>
      </c>
      <c r="G10894">
        <v>0</v>
      </c>
      <c r="H10894">
        <v>11</v>
      </c>
      <c r="I10894" s="3">
        <v>266.33999999999997</v>
      </c>
      <c r="J10894" s="3">
        <v>203.32</v>
      </c>
      <c r="L10894">
        <v>1015</v>
      </c>
      <c r="M10894" t="s">
        <v>16500</v>
      </c>
      <c r="N10894" t="s">
        <v>134</v>
      </c>
      <c r="O10894" t="s">
        <v>31</v>
      </c>
      <c r="P10894" t="str">
        <f>"15037"</f>
        <v>15037</v>
      </c>
    </row>
    <row r="10895" spans="1:16" x14ac:dyDescent="0.25">
      <c r="A10895" t="str">
        <f>"1170003G00155    00"</f>
        <v>1170003G00155    00</v>
      </c>
      <c r="B10895" t="s">
        <v>24056</v>
      </c>
      <c r="C10895" t="s">
        <v>24057</v>
      </c>
      <c r="E10895" t="s">
        <v>21</v>
      </c>
      <c r="F10895">
        <v>0</v>
      </c>
      <c r="G10895">
        <v>0</v>
      </c>
      <c r="H10895">
        <v>1</v>
      </c>
      <c r="I10895" s="3">
        <v>1585.8</v>
      </c>
      <c r="J10895" s="3">
        <v>0</v>
      </c>
      <c r="L10895">
        <v>62</v>
      </c>
      <c r="M10895" t="s">
        <v>11698</v>
      </c>
      <c r="N10895" t="s">
        <v>30</v>
      </c>
      <c r="O10895" t="s">
        <v>31</v>
      </c>
      <c r="P10895" t="str">
        <f>"15203"</f>
        <v>15203</v>
      </c>
    </row>
    <row r="10896" spans="1:16" x14ac:dyDescent="0.25">
      <c r="A10896" t="str">
        <f>"1170003G00164    00"</f>
        <v>1170003G00164    00</v>
      </c>
      <c r="B10896" t="s">
        <v>24058</v>
      </c>
      <c r="C10896" t="s">
        <v>24059</v>
      </c>
      <c r="E10896" t="s">
        <v>39</v>
      </c>
      <c r="F10896">
        <v>0</v>
      </c>
      <c r="G10896">
        <v>0</v>
      </c>
      <c r="H10896">
        <v>1</v>
      </c>
      <c r="I10896" s="3">
        <v>41.09</v>
      </c>
      <c r="J10896" s="3">
        <v>13.01</v>
      </c>
      <c r="K10896" t="s">
        <v>24060</v>
      </c>
      <c r="L10896">
        <v>4740</v>
      </c>
      <c r="M10896" t="s">
        <v>24061</v>
      </c>
      <c r="N10896" t="s">
        <v>30</v>
      </c>
      <c r="O10896" t="s">
        <v>31</v>
      </c>
      <c r="P10896" t="str">
        <f>"15236"</f>
        <v>15236</v>
      </c>
    </row>
    <row r="10897" spans="1:16" x14ac:dyDescent="0.25">
      <c r="A10897" t="str">
        <f>"1170003G00210    00"</f>
        <v>1170003G00210    00</v>
      </c>
      <c r="B10897" t="s">
        <v>24062</v>
      </c>
      <c r="C10897" t="s">
        <v>24063</v>
      </c>
      <c r="D10897" t="s">
        <v>20</v>
      </c>
      <c r="E10897" t="s">
        <v>21</v>
      </c>
      <c r="F10897">
        <v>0</v>
      </c>
      <c r="G10897">
        <v>0</v>
      </c>
      <c r="H10897">
        <v>1</v>
      </c>
      <c r="I10897" s="3">
        <v>2573.12</v>
      </c>
      <c r="J10897" s="3">
        <v>0</v>
      </c>
      <c r="K10897" t="s">
        <v>24064</v>
      </c>
      <c r="L10897">
        <v>2116</v>
      </c>
      <c r="M10897" t="s">
        <v>24065</v>
      </c>
      <c r="N10897" t="s">
        <v>30</v>
      </c>
      <c r="O10897" t="s">
        <v>31</v>
      </c>
      <c r="P10897" t="str">
        <f>"15203"</f>
        <v>15203</v>
      </c>
    </row>
    <row r="10898" spans="1:16" x14ac:dyDescent="0.25">
      <c r="A10898" t="str">
        <f>"1170003G00265    00"</f>
        <v>1170003G00265    00</v>
      </c>
      <c r="B10898" t="s">
        <v>24062</v>
      </c>
      <c r="C10898" t="s">
        <v>24066</v>
      </c>
      <c r="D10898" t="s">
        <v>20</v>
      </c>
      <c r="E10898" t="s">
        <v>21</v>
      </c>
      <c r="F10898">
        <v>0</v>
      </c>
      <c r="G10898">
        <v>0</v>
      </c>
      <c r="H10898">
        <v>1</v>
      </c>
      <c r="I10898" s="3">
        <v>9979.81</v>
      </c>
      <c r="J10898" s="3">
        <v>0</v>
      </c>
      <c r="K10898" t="s">
        <v>24064</v>
      </c>
      <c r="L10898">
        <v>2116</v>
      </c>
      <c r="M10898" t="s">
        <v>24065</v>
      </c>
      <c r="N10898" t="s">
        <v>30</v>
      </c>
      <c r="O10898" t="s">
        <v>31</v>
      </c>
      <c r="P10898" t="str">
        <f>"15203"</f>
        <v>15203</v>
      </c>
    </row>
    <row r="10899" spans="1:16" x14ac:dyDescent="0.25">
      <c r="A10899" t="str">
        <f>"1170003H00012    00"</f>
        <v>1170003H00012    00</v>
      </c>
      <c r="B10899" t="s">
        <v>24067</v>
      </c>
      <c r="C10899" t="s">
        <v>24068</v>
      </c>
      <c r="E10899" t="s">
        <v>21</v>
      </c>
      <c r="F10899">
        <v>0</v>
      </c>
      <c r="G10899">
        <v>0</v>
      </c>
      <c r="H10899">
        <v>3</v>
      </c>
      <c r="I10899" s="3">
        <v>7747.12</v>
      </c>
      <c r="J10899" s="3">
        <v>2543.64</v>
      </c>
      <c r="K10899" t="s">
        <v>24069</v>
      </c>
      <c r="L10899">
        <v>514</v>
      </c>
      <c r="M10899" t="s">
        <v>24070</v>
      </c>
      <c r="N10899" t="s">
        <v>24071</v>
      </c>
      <c r="O10899" t="s">
        <v>31</v>
      </c>
      <c r="P10899" t="str">
        <f>"15042"</f>
        <v>15042</v>
      </c>
    </row>
    <row r="10900" spans="1:16" x14ac:dyDescent="0.25">
      <c r="A10900" t="str">
        <f>"1170003H00021    00"</f>
        <v>1170003H00021    00</v>
      </c>
      <c r="B10900" t="s">
        <v>24072</v>
      </c>
      <c r="C10900" t="s">
        <v>24073</v>
      </c>
      <c r="D10900" t="s">
        <v>20</v>
      </c>
      <c r="E10900" t="s">
        <v>21</v>
      </c>
      <c r="F10900">
        <v>0</v>
      </c>
      <c r="G10900">
        <v>0</v>
      </c>
      <c r="H10900">
        <v>3</v>
      </c>
      <c r="I10900" s="3">
        <v>19487.009999999998</v>
      </c>
      <c r="J10900" s="3">
        <v>1299.08</v>
      </c>
      <c r="L10900">
        <v>461</v>
      </c>
      <c r="M10900" t="s">
        <v>3457</v>
      </c>
      <c r="N10900" t="s">
        <v>30</v>
      </c>
      <c r="O10900" t="s">
        <v>31</v>
      </c>
      <c r="P10900" t="str">
        <f>"15213"</f>
        <v>15213</v>
      </c>
    </row>
    <row r="10901" spans="1:16" x14ac:dyDescent="0.25">
      <c r="A10901" t="str">
        <f>"1170003H00033    00"</f>
        <v>1170003H00033    00</v>
      </c>
      <c r="B10901" t="s">
        <v>24074</v>
      </c>
      <c r="C10901" t="s">
        <v>24075</v>
      </c>
      <c r="D10901" t="s">
        <v>20</v>
      </c>
      <c r="E10901" t="s">
        <v>21</v>
      </c>
      <c r="F10901">
        <v>0</v>
      </c>
      <c r="G10901">
        <v>0</v>
      </c>
      <c r="H10901">
        <v>1</v>
      </c>
      <c r="I10901" s="3">
        <v>3367.26</v>
      </c>
      <c r="J10901" s="3">
        <v>0</v>
      </c>
      <c r="L10901">
        <v>1304</v>
      </c>
      <c r="M10901" t="s">
        <v>1484</v>
      </c>
      <c r="N10901" t="s">
        <v>30</v>
      </c>
      <c r="O10901" t="s">
        <v>31</v>
      </c>
      <c r="P10901" t="str">
        <f>"15203"</f>
        <v>15203</v>
      </c>
    </row>
    <row r="10902" spans="1:16" x14ac:dyDescent="0.25">
      <c r="A10902" t="str">
        <f>"1170003H00034    00"</f>
        <v>1170003H00034    00</v>
      </c>
      <c r="B10902" t="s">
        <v>24076</v>
      </c>
      <c r="C10902" t="s">
        <v>24077</v>
      </c>
      <c r="D10902" t="s">
        <v>20</v>
      </c>
      <c r="E10902" t="s">
        <v>21</v>
      </c>
      <c r="F10902">
        <v>0</v>
      </c>
      <c r="G10902">
        <v>0</v>
      </c>
      <c r="H10902">
        <v>2</v>
      </c>
      <c r="I10902" s="3">
        <v>4401</v>
      </c>
      <c r="J10902" s="3">
        <v>33.75</v>
      </c>
      <c r="L10902">
        <v>2351</v>
      </c>
      <c r="M10902" t="s">
        <v>9782</v>
      </c>
      <c r="N10902" t="s">
        <v>30</v>
      </c>
      <c r="O10902" t="s">
        <v>31</v>
      </c>
      <c r="P10902" t="str">
        <f>"15210"</f>
        <v>15210</v>
      </c>
    </row>
    <row r="10903" spans="1:16" x14ac:dyDescent="0.25">
      <c r="A10903" t="str">
        <f>"1170003H00058    00"</f>
        <v>1170003H00058    00</v>
      </c>
      <c r="B10903" t="s">
        <v>24078</v>
      </c>
      <c r="C10903" t="s">
        <v>24079</v>
      </c>
      <c r="D10903" t="s">
        <v>20</v>
      </c>
      <c r="E10903" t="s">
        <v>21</v>
      </c>
      <c r="F10903">
        <v>0</v>
      </c>
      <c r="G10903">
        <v>0</v>
      </c>
      <c r="H10903">
        <v>1</v>
      </c>
      <c r="I10903" s="3">
        <v>545.23</v>
      </c>
      <c r="J10903" s="3">
        <v>4.55</v>
      </c>
      <c r="K10903" t="s">
        <v>24080</v>
      </c>
      <c r="L10903">
        <v>1410</v>
      </c>
      <c r="M10903" t="s">
        <v>1484</v>
      </c>
      <c r="N10903" t="s">
        <v>30</v>
      </c>
      <c r="O10903" t="s">
        <v>31</v>
      </c>
      <c r="P10903" t="str">
        <f>"15203"</f>
        <v>15203</v>
      </c>
    </row>
    <row r="10904" spans="1:16" x14ac:dyDescent="0.25">
      <c r="A10904" t="str">
        <f>"1170003H00065    00"</f>
        <v>1170003H00065    00</v>
      </c>
      <c r="B10904" t="s">
        <v>24081</v>
      </c>
      <c r="C10904" t="s">
        <v>24082</v>
      </c>
      <c r="E10904" t="s">
        <v>39</v>
      </c>
      <c r="F10904">
        <v>0</v>
      </c>
      <c r="G10904">
        <v>0</v>
      </c>
      <c r="H10904">
        <v>1</v>
      </c>
      <c r="I10904" s="3">
        <v>5098.1899999999996</v>
      </c>
      <c r="J10904" s="3">
        <v>5650.27</v>
      </c>
      <c r="L10904">
        <v>100</v>
      </c>
      <c r="M10904" t="s">
        <v>23486</v>
      </c>
      <c r="N10904" t="s">
        <v>30</v>
      </c>
      <c r="O10904" t="s">
        <v>31</v>
      </c>
      <c r="P10904" t="str">
        <f>"15203"</f>
        <v>15203</v>
      </c>
    </row>
    <row r="10905" spans="1:16" x14ac:dyDescent="0.25">
      <c r="A10905" t="str">
        <f>"1170003H00166    00"</f>
        <v>1170003H00166    00</v>
      </c>
      <c r="B10905" t="s">
        <v>24083</v>
      </c>
      <c r="C10905" t="s">
        <v>24084</v>
      </c>
      <c r="E10905" t="s">
        <v>21</v>
      </c>
      <c r="F10905">
        <v>0</v>
      </c>
      <c r="G10905">
        <v>0</v>
      </c>
      <c r="H10905">
        <v>1</v>
      </c>
      <c r="I10905" s="3">
        <v>272.02999999999997</v>
      </c>
      <c r="J10905" s="3">
        <v>74.81</v>
      </c>
      <c r="M10905" t="s">
        <v>24085</v>
      </c>
      <c r="N10905" t="s">
        <v>30</v>
      </c>
      <c r="O10905" t="s">
        <v>31</v>
      </c>
      <c r="P10905" t="str">
        <f>"15203"</f>
        <v>15203</v>
      </c>
    </row>
    <row r="10906" spans="1:16" x14ac:dyDescent="0.25">
      <c r="A10906" t="str">
        <f>"1170003H00175    00"</f>
        <v>1170003H00175    00</v>
      </c>
      <c r="B10906" t="s">
        <v>24086</v>
      </c>
      <c r="C10906" t="s">
        <v>24087</v>
      </c>
      <c r="D10906" t="s">
        <v>20</v>
      </c>
      <c r="E10906" t="s">
        <v>21</v>
      </c>
      <c r="F10906">
        <v>0</v>
      </c>
      <c r="G10906">
        <v>0</v>
      </c>
      <c r="H10906">
        <v>1</v>
      </c>
      <c r="I10906" s="3">
        <v>2597.89</v>
      </c>
      <c r="J10906" s="3">
        <v>0</v>
      </c>
      <c r="K10906" t="s">
        <v>24088</v>
      </c>
      <c r="L10906">
        <v>22</v>
      </c>
      <c r="M10906" t="s">
        <v>24089</v>
      </c>
      <c r="N10906" t="s">
        <v>30</v>
      </c>
      <c r="O10906" t="s">
        <v>31</v>
      </c>
      <c r="P10906" t="str">
        <f>"15211"</f>
        <v>15211</v>
      </c>
    </row>
    <row r="10907" spans="1:16" x14ac:dyDescent="0.25">
      <c r="A10907" t="str">
        <f>"1170003H00176    00"</f>
        <v>1170003H00176    00</v>
      </c>
      <c r="B10907" t="s">
        <v>24090</v>
      </c>
      <c r="C10907" t="s">
        <v>24091</v>
      </c>
      <c r="D10907" t="s">
        <v>20</v>
      </c>
      <c r="E10907" t="s">
        <v>39</v>
      </c>
      <c r="F10907">
        <v>0</v>
      </c>
      <c r="G10907">
        <v>0</v>
      </c>
      <c r="H10907">
        <v>4</v>
      </c>
      <c r="I10907" s="3">
        <v>8099.96</v>
      </c>
      <c r="J10907" s="3">
        <v>554.97</v>
      </c>
      <c r="L10907">
        <v>1212</v>
      </c>
      <c r="M10907" t="s">
        <v>6264</v>
      </c>
      <c r="N10907" t="s">
        <v>30</v>
      </c>
      <c r="O10907" t="s">
        <v>31</v>
      </c>
      <c r="P10907" t="str">
        <f>"15203"</f>
        <v>15203</v>
      </c>
    </row>
    <row r="10908" spans="1:16" x14ac:dyDescent="0.25">
      <c r="A10908" t="str">
        <f>"1170003H00193    00"</f>
        <v>1170003H00193    00</v>
      </c>
      <c r="B10908" t="s">
        <v>24092</v>
      </c>
      <c r="C10908" t="s">
        <v>24093</v>
      </c>
      <c r="D10908" t="s">
        <v>20</v>
      </c>
      <c r="E10908" t="s">
        <v>21</v>
      </c>
      <c r="F10908">
        <v>0</v>
      </c>
      <c r="G10908">
        <v>0</v>
      </c>
      <c r="H10908">
        <v>1</v>
      </c>
      <c r="I10908" s="3">
        <v>5529.32</v>
      </c>
      <c r="J10908" s="3">
        <v>0</v>
      </c>
      <c r="L10908">
        <v>5947</v>
      </c>
      <c r="M10908" t="s">
        <v>24094</v>
      </c>
      <c r="N10908" t="s">
        <v>30</v>
      </c>
      <c r="O10908" t="s">
        <v>31</v>
      </c>
      <c r="P10908" t="str">
        <f>"15206"</f>
        <v>15206</v>
      </c>
    </row>
    <row r="10909" spans="1:16" x14ac:dyDescent="0.25">
      <c r="A10909" t="str">
        <f>"1170003H00239    00"</f>
        <v>1170003H00239    00</v>
      </c>
      <c r="B10909" t="s">
        <v>24095</v>
      </c>
      <c r="C10909" t="s">
        <v>24096</v>
      </c>
      <c r="E10909" t="s">
        <v>39</v>
      </c>
      <c r="F10909">
        <v>0</v>
      </c>
      <c r="G10909">
        <v>0</v>
      </c>
      <c r="H10909">
        <v>3</v>
      </c>
      <c r="I10909" s="3">
        <v>163.26</v>
      </c>
      <c r="J10909" s="3">
        <v>39.56</v>
      </c>
      <c r="K10909" t="s">
        <v>24097</v>
      </c>
      <c r="L10909">
        <v>1218</v>
      </c>
      <c r="M10909" t="s">
        <v>24098</v>
      </c>
      <c r="N10909" t="s">
        <v>30</v>
      </c>
      <c r="O10909" t="s">
        <v>31</v>
      </c>
      <c r="P10909" t="str">
        <f t="shared" ref="P10909:P10917" si="126">"15203"</f>
        <v>15203</v>
      </c>
    </row>
    <row r="10910" spans="1:16" x14ac:dyDescent="0.25">
      <c r="A10910" t="str">
        <f>"1170003H00243    00"</f>
        <v>1170003H00243    00</v>
      </c>
      <c r="B10910" t="s">
        <v>24099</v>
      </c>
      <c r="C10910" t="s">
        <v>24100</v>
      </c>
      <c r="D10910" t="s">
        <v>20</v>
      </c>
      <c r="E10910" t="s">
        <v>39</v>
      </c>
      <c r="F10910">
        <v>0</v>
      </c>
      <c r="G10910">
        <v>0</v>
      </c>
      <c r="H10910">
        <v>5</v>
      </c>
      <c r="I10910" s="3">
        <v>5837.07</v>
      </c>
      <c r="J10910" s="3">
        <v>692.75</v>
      </c>
      <c r="L10910">
        <v>1226</v>
      </c>
      <c r="M10910" t="s">
        <v>24098</v>
      </c>
      <c r="N10910" t="s">
        <v>30</v>
      </c>
      <c r="O10910" t="s">
        <v>31</v>
      </c>
      <c r="P10910" t="str">
        <f t="shared" si="126"/>
        <v>15203</v>
      </c>
    </row>
    <row r="10911" spans="1:16" x14ac:dyDescent="0.25">
      <c r="A10911" t="str">
        <f>"1170003H00269    00"</f>
        <v>1170003H00269    00</v>
      </c>
      <c r="B10911" t="s">
        <v>24101</v>
      </c>
      <c r="C10911" t="s">
        <v>24102</v>
      </c>
      <c r="E10911" t="s">
        <v>21</v>
      </c>
      <c r="F10911">
        <v>0</v>
      </c>
      <c r="G10911">
        <v>0</v>
      </c>
      <c r="H10911">
        <v>1</v>
      </c>
      <c r="I10911" s="3">
        <v>37.42</v>
      </c>
      <c r="J10911" s="3">
        <v>66.42</v>
      </c>
      <c r="L10911">
        <v>1300</v>
      </c>
      <c r="M10911" t="s">
        <v>6264</v>
      </c>
      <c r="N10911" t="s">
        <v>30</v>
      </c>
      <c r="O10911" t="s">
        <v>31</v>
      </c>
      <c r="P10911" t="str">
        <f t="shared" si="126"/>
        <v>15203</v>
      </c>
    </row>
    <row r="10912" spans="1:16" x14ac:dyDescent="0.25">
      <c r="A10912" t="str">
        <f>"1170003H00272    00"</f>
        <v>1170003H00272    00</v>
      </c>
      <c r="B10912" t="s">
        <v>24101</v>
      </c>
      <c r="C10912" t="s">
        <v>24103</v>
      </c>
      <c r="E10912" t="s">
        <v>290</v>
      </c>
      <c r="F10912">
        <v>0</v>
      </c>
      <c r="G10912">
        <v>0</v>
      </c>
      <c r="H10912">
        <v>1</v>
      </c>
      <c r="I10912" s="3">
        <v>188.22</v>
      </c>
      <c r="J10912" s="3">
        <v>334.08</v>
      </c>
      <c r="L10912">
        <v>1300</v>
      </c>
      <c r="M10912" t="s">
        <v>6264</v>
      </c>
      <c r="N10912" t="s">
        <v>30</v>
      </c>
      <c r="O10912" t="s">
        <v>31</v>
      </c>
      <c r="P10912" t="str">
        <f t="shared" si="126"/>
        <v>15203</v>
      </c>
    </row>
    <row r="10913" spans="1:16" x14ac:dyDescent="0.25">
      <c r="A10913" t="str">
        <f>"1170003H00292    00"</f>
        <v>1170003H00292    00</v>
      </c>
      <c r="B10913" t="s">
        <v>24104</v>
      </c>
      <c r="C10913" t="s">
        <v>24105</v>
      </c>
      <c r="D10913" t="s">
        <v>20</v>
      </c>
      <c r="E10913" t="s">
        <v>39</v>
      </c>
      <c r="F10913">
        <v>0</v>
      </c>
      <c r="G10913">
        <v>0</v>
      </c>
      <c r="H10913">
        <v>2</v>
      </c>
      <c r="I10913" s="3">
        <v>2279.58</v>
      </c>
      <c r="J10913" s="3">
        <v>0</v>
      </c>
      <c r="L10913">
        <v>5</v>
      </c>
      <c r="M10913" t="s">
        <v>24106</v>
      </c>
      <c r="N10913" t="s">
        <v>30</v>
      </c>
      <c r="O10913" t="s">
        <v>31</v>
      </c>
      <c r="P10913" t="str">
        <f t="shared" si="126"/>
        <v>15203</v>
      </c>
    </row>
    <row r="10914" spans="1:16" x14ac:dyDescent="0.25">
      <c r="A10914" t="str">
        <f>"1170003H00293    00"</f>
        <v>1170003H00293    00</v>
      </c>
      <c r="B10914" t="s">
        <v>24107</v>
      </c>
      <c r="C10914" t="s">
        <v>24108</v>
      </c>
      <c r="D10914" t="s">
        <v>20</v>
      </c>
      <c r="E10914" t="s">
        <v>39</v>
      </c>
      <c r="F10914">
        <v>0</v>
      </c>
      <c r="G10914">
        <v>0</v>
      </c>
      <c r="H10914">
        <v>2</v>
      </c>
      <c r="I10914" s="3">
        <v>3465.14</v>
      </c>
      <c r="J10914" s="3">
        <v>0</v>
      </c>
      <c r="L10914">
        <v>5</v>
      </c>
      <c r="M10914" t="s">
        <v>24106</v>
      </c>
      <c r="N10914" t="s">
        <v>30</v>
      </c>
      <c r="O10914" t="s">
        <v>31</v>
      </c>
      <c r="P10914" t="str">
        <f t="shared" si="126"/>
        <v>15203</v>
      </c>
    </row>
    <row r="10915" spans="1:16" x14ac:dyDescent="0.25">
      <c r="A10915" t="str">
        <f>"1170003H00295    00"</f>
        <v>1170003H00295    00</v>
      </c>
      <c r="B10915" t="s">
        <v>24109</v>
      </c>
      <c r="C10915" t="s">
        <v>24110</v>
      </c>
      <c r="E10915" t="s">
        <v>39</v>
      </c>
      <c r="F10915">
        <v>0</v>
      </c>
      <c r="G10915">
        <v>0</v>
      </c>
      <c r="H10915">
        <v>1</v>
      </c>
      <c r="I10915" s="3">
        <v>1580.87</v>
      </c>
      <c r="J10915" s="3">
        <v>1172.43</v>
      </c>
      <c r="K10915" t="s">
        <v>24111</v>
      </c>
      <c r="L10915">
        <v>9</v>
      </c>
      <c r="M10915" t="s">
        <v>24106</v>
      </c>
      <c r="N10915" t="s">
        <v>30</v>
      </c>
      <c r="O10915" t="s">
        <v>31</v>
      </c>
      <c r="P10915" t="str">
        <f t="shared" si="126"/>
        <v>15203</v>
      </c>
    </row>
    <row r="10916" spans="1:16" x14ac:dyDescent="0.25">
      <c r="A10916" t="str">
        <f>"1170003H00319    00"</f>
        <v>1170003H00319    00</v>
      </c>
      <c r="B10916" t="s">
        <v>24112</v>
      </c>
      <c r="C10916" t="s">
        <v>24113</v>
      </c>
      <c r="D10916" t="s">
        <v>20</v>
      </c>
      <c r="E10916" t="s">
        <v>39</v>
      </c>
      <c r="F10916">
        <v>0</v>
      </c>
      <c r="G10916">
        <v>0</v>
      </c>
      <c r="H10916">
        <v>1</v>
      </c>
      <c r="I10916" s="3">
        <v>1429.5</v>
      </c>
      <c r="J10916" s="3">
        <v>0</v>
      </c>
      <c r="L10916">
        <v>53</v>
      </c>
      <c r="M10916" t="s">
        <v>11698</v>
      </c>
      <c r="N10916" t="s">
        <v>30</v>
      </c>
      <c r="O10916" t="s">
        <v>31</v>
      </c>
      <c r="P10916" t="str">
        <f t="shared" si="126"/>
        <v>15203</v>
      </c>
    </row>
    <row r="10917" spans="1:16" x14ac:dyDescent="0.25">
      <c r="A10917" t="str">
        <f>"1170003H00322    00"</f>
        <v>1170003H00322    00</v>
      </c>
      <c r="B10917" t="s">
        <v>24114</v>
      </c>
      <c r="C10917" t="s">
        <v>24115</v>
      </c>
      <c r="E10917" t="s">
        <v>21</v>
      </c>
      <c r="F10917">
        <v>0</v>
      </c>
      <c r="G10917">
        <v>0</v>
      </c>
      <c r="H10917">
        <v>1</v>
      </c>
      <c r="I10917" s="3">
        <v>72.430000000000007</v>
      </c>
      <c r="J10917" s="3">
        <v>14.49</v>
      </c>
      <c r="L10917">
        <v>45</v>
      </c>
      <c r="M10917" t="s">
        <v>11698</v>
      </c>
      <c r="N10917" t="s">
        <v>30</v>
      </c>
      <c r="O10917" t="s">
        <v>31</v>
      </c>
      <c r="P10917" t="str">
        <f t="shared" si="126"/>
        <v>15203</v>
      </c>
    </row>
    <row r="10918" spans="1:16" x14ac:dyDescent="0.25">
      <c r="A10918" t="str">
        <f>"1170003H00357A   00"</f>
        <v>1170003H00357A   00</v>
      </c>
      <c r="B10918" t="s">
        <v>24116</v>
      </c>
      <c r="C10918" t="s">
        <v>24117</v>
      </c>
      <c r="D10918" t="s">
        <v>20</v>
      </c>
      <c r="E10918" t="s">
        <v>39</v>
      </c>
      <c r="F10918">
        <v>0</v>
      </c>
      <c r="G10918">
        <v>0</v>
      </c>
      <c r="H10918">
        <v>9</v>
      </c>
      <c r="I10918" s="3">
        <v>23.6</v>
      </c>
      <c r="J10918" s="3">
        <v>29.88</v>
      </c>
      <c r="P10918" t="str">
        <f>"15213"</f>
        <v>15213</v>
      </c>
    </row>
    <row r="10919" spans="1:16" x14ac:dyDescent="0.25">
      <c r="A10919" t="str">
        <f>"1170003H00361    00"</f>
        <v>1170003H00361    00</v>
      </c>
      <c r="B10919" t="s">
        <v>24118</v>
      </c>
      <c r="C10919" t="s">
        <v>24119</v>
      </c>
      <c r="D10919" t="s">
        <v>20</v>
      </c>
      <c r="E10919" t="s">
        <v>39</v>
      </c>
      <c r="F10919">
        <v>0</v>
      </c>
      <c r="G10919">
        <v>0</v>
      </c>
      <c r="H10919">
        <v>17</v>
      </c>
      <c r="I10919" s="3">
        <v>56.38</v>
      </c>
      <c r="J10919" s="3">
        <v>49.83</v>
      </c>
      <c r="K10919" t="s">
        <v>13562</v>
      </c>
      <c r="P10919" t="str">
        <f>"10000"</f>
        <v>10000</v>
      </c>
    </row>
    <row r="10920" spans="1:16" x14ac:dyDescent="0.25">
      <c r="A10920" t="str">
        <f>"1170003K00300    00"</f>
        <v>1170003K00300    00</v>
      </c>
      <c r="B10920" t="s">
        <v>24120</v>
      </c>
      <c r="C10920" t="s">
        <v>24121</v>
      </c>
      <c r="E10920" t="s">
        <v>290</v>
      </c>
      <c r="F10920">
        <v>0</v>
      </c>
      <c r="G10920">
        <v>0</v>
      </c>
      <c r="H10920">
        <v>2</v>
      </c>
      <c r="I10920" s="3">
        <v>81514.3</v>
      </c>
      <c r="J10920" s="3">
        <v>3881.87</v>
      </c>
      <c r="K10920" t="s">
        <v>24122</v>
      </c>
      <c r="L10920">
        <v>6890</v>
      </c>
      <c r="M10920" t="s">
        <v>24123</v>
      </c>
      <c r="N10920" t="s">
        <v>24124</v>
      </c>
      <c r="O10920" t="s">
        <v>2109</v>
      </c>
      <c r="P10920" t="str">
        <f>"84171"</f>
        <v>84171</v>
      </c>
    </row>
    <row r="10921" spans="1:16" x14ac:dyDescent="0.25">
      <c r="A10921" t="str">
        <f>"1170003L00005    00"</f>
        <v>1170003L00005    00</v>
      </c>
      <c r="B10921" t="s">
        <v>24125</v>
      </c>
      <c r="C10921" t="s">
        <v>24126</v>
      </c>
      <c r="D10921" t="s">
        <v>20</v>
      </c>
      <c r="E10921" t="s">
        <v>39</v>
      </c>
      <c r="F10921">
        <v>0</v>
      </c>
      <c r="G10921">
        <v>0</v>
      </c>
      <c r="H10921">
        <v>19</v>
      </c>
      <c r="I10921" s="3">
        <v>1255.2</v>
      </c>
      <c r="J10921" s="3">
        <v>1608.24</v>
      </c>
      <c r="K10921" t="s">
        <v>24127</v>
      </c>
      <c r="L10921">
        <v>816</v>
      </c>
      <c r="M10921" t="s">
        <v>24128</v>
      </c>
      <c r="N10921" t="s">
        <v>30</v>
      </c>
      <c r="O10921" t="s">
        <v>31</v>
      </c>
      <c r="P10921" t="str">
        <f>"15203"</f>
        <v>15203</v>
      </c>
    </row>
    <row r="10922" spans="1:16" x14ac:dyDescent="0.25">
      <c r="A10922" t="str">
        <f>"1170003L00007    00"</f>
        <v>1170003L00007    00</v>
      </c>
      <c r="B10922" t="s">
        <v>24129</v>
      </c>
      <c r="C10922" t="s">
        <v>24130</v>
      </c>
      <c r="D10922" t="s">
        <v>20</v>
      </c>
      <c r="E10922" t="s">
        <v>39</v>
      </c>
      <c r="F10922">
        <v>0</v>
      </c>
      <c r="G10922">
        <v>0</v>
      </c>
      <c r="H10922">
        <v>16</v>
      </c>
      <c r="I10922" s="3">
        <v>13435.55</v>
      </c>
      <c r="J10922" s="3">
        <v>9888.0400000000009</v>
      </c>
      <c r="K10922" t="s">
        <v>24131</v>
      </c>
      <c r="L10922">
        <v>816</v>
      </c>
      <c r="M10922" t="s">
        <v>24128</v>
      </c>
      <c r="N10922" t="s">
        <v>30</v>
      </c>
      <c r="O10922" t="s">
        <v>31</v>
      </c>
      <c r="P10922" t="str">
        <f>"15203"</f>
        <v>15203</v>
      </c>
    </row>
    <row r="10923" spans="1:16" x14ac:dyDescent="0.25">
      <c r="A10923" t="str">
        <f>"1170003L00008    00"</f>
        <v>1170003L00008    00</v>
      </c>
      <c r="B10923" t="s">
        <v>24125</v>
      </c>
      <c r="C10923" t="s">
        <v>24132</v>
      </c>
      <c r="D10923" t="s">
        <v>20</v>
      </c>
      <c r="E10923" t="s">
        <v>39</v>
      </c>
      <c r="F10923">
        <v>0</v>
      </c>
      <c r="G10923">
        <v>0</v>
      </c>
      <c r="H10923">
        <v>19</v>
      </c>
      <c r="I10923" s="3">
        <v>22710.19</v>
      </c>
      <c r="J10923" s="3">
        <v>16679.53</v>
      </c>
      <c r="L10923">
        <v>816</v>
      </c>
      <c r="M10923" t="s">
        <v>24128</v>
      </c>
      <c r="N10923" t="s">
        <v>30</v>
      </c>
      <c r="O10923" t="s">
        <v>31</v>
      </c>
      <c r="P10923" t="str">
        <f>"15203"</f>
        <v>15203</v>
      </c>
    </row>
    <row r="10924" spans="1:16" x14ac:dyDescent="0.25">
      <c r="A10924" t="str">
        <f>"1170003L00009    00"</f>
        <v>1170003L00009    00</v>
      </c>
      <c r="B10924" t="s">
        <v>24133</v>
      </c>
      <c r="C10924" t="s">
        <v>24134</v>
      </c>
      <c r="D10924" t="s">
        <v>20</v>
      </c>
      <c r="E10924" t="s">
        <v>39</v>
      </c>
      <c r="F10924">
        <v>0</v>
      </c>
      <c r="G10924">
        <v>0</v>
      </c>
      <c r="H10924">
        <v>2</v>
      </c>
      <c r="I10924" s="3">
        <v>1143.6400000000001</v>
      </c>
      <c r="J10924" s="3">
        <v>0</v>
      </c>
      <c r="K10924" t="s">
        <v>24135</v>
      </c>
      <c r="L10924">
        <v>7456</v>
      </c>
      <c r="M10924" t="s">
        <v>24136</v>
      </c>
      <c r="N10924" t="s">
        <v>24137</v>
      </c>
      <c r="O10924" t="s">
        <v>495</v>
      </c>
      <c r="P10924" t="str">
        <f>"95822"</f>
        <v>95822</v>
      </c>
    </row>
    <row r="10925" spans="1:16" x14ac:dyDescent="0.25">
      <c r="A10925" t="str">
        <f>"1170003L00010    00"</f>
        <v>1170003L00010    00</v>
      </c>
      <c r="B10925" t="s">
        <v>24133</v>
      </c>
      <c r="C10925" t="s">
        <v>24126</v>
      </c>
      <c r="D10925" t="s">
        <v>20</v>
      </c>
      <c r="E10925" t="s">
        <v>39</v>
      </c>
      <c r="F10925">
        <v>0</v>
      </c>
      <c r="G10925">
        <v>0</v>
      </c>
      <c r="H10925">
        <v>3</v>
      </c>
      <c r="I10925" s="3">
        <v>211.59</v>
      </c>
      <c r="J10925" s="3">
        <v>14.11</v>
      </c>
      <c r="K10925" t="s">
        <v>24135</v>
      </c>
      <c r="L10925">
        <v>5960</v>
      </c>
      <c r="M10925" t="s">
        <v>24138</v>
      </c>
      <c r="N10925" t="s">
        <v>24137</v>
      </c>
      <c r="O10925" t="s">
        <v>495</v>
      </c>
      <c r="P10925" t="str">
        <f>"95822"</f>
        <v>95822</v>
      </c>
    </row>
    <row r="10926" spans="1:16" x14ac:dyDescent="0.25">
      <c r="A10926" t="str">
        <f>"1170003L00022    00"</f>
        <v>1170003L00022    00</v>
      </c>
      <c r="B10926" t="s">
        <v>24139</v>
      </c>
      <c r="C10926" t="s">
        <v>24140</v>
      </c>
      <c r="E10926" t="s">
        <v>39</v>
      </c>
      <c r="F10926">
        <v>0</v>
      </c>
      <c r="G10926">
        <v>0</v>
      </c>
      <c r="H10926">
        <v>1</v>
      </c>
      <c r="I10926" s="3">
        <v>416.36</v>
      </c>
      <c r="J10926" s="3">
        <v>0</v>
      </c>
      <c r="K10926" t="s">
        <v>557</v>
      </c>
      <c r="L10926">
        <v>3001</v>
      </c>
      <c r="M10926" t="s">
        <v>330</v>
      </c>
      <c r="N10926" t="s">
        <v>331</v>
      </c>
      <c r="O10926" t="s">
        <v>108</v>
      </c>
      <c r="P10926" t="str">
        <f>"75063"</f>
        <v>75063</v>
      </c>
    </row>
    <row r="10927" spans="1:16" x14ac:dyDescent="0.25">
      <c r="A10927" t="str">
        <f>"1170003L00029    00"</f>
        <v>1170003L00029    00</v>
      </c>
      <c r="B10927" t="s">
        <v>24141</v>
      </c>
      <c r="C10927" t="s">
        <v>24142</v>
      </c>
      <c r="D10927" t="s">
        <v>20</v>
      </c>
      <c r="E10927" t="s">
        <v>39</v>
      </c>
      <c r="F10927">
        <v>0</v>
      </c>
      <c r="G10927">
        <v>0</v>
      </c>
      <c r="H10927">
        <v>1</v>
      </c>
      <c r="I10927" s="3">
        <v>482.34</v>
      </c>
      <c r="J10927" s="3">
        <v>0</v>
      </c>
      <c r="L10927">
        <v>840</v>
      </c>
      <c r="M10927" t="s">
        <v>24143</v>
      </c>
      <c r="N10927" t="s">
        <v>30</v>
      </c>
      <c r="O10927" t="s">
        <v>31</v>
      </c>
      <c r="P10927" t="str">
        <f>"15203"</f>
        <v>15203</v>
      </c>
    </row>
    <row r="10928" spans="1:16" x14ac:dyDescent="0.25">
      <c r="A10928" t="str">
        <f>"1170003L00079    00"</f>
        <v>1170003L00079    00</v>
      </c>
      <c r="B10928" t="s">
        <v>24144</v>
      </c>
      <c r="C10928" t="s">
        <v>24145</v>
      </c>
      <c r="E10928" t="s">
        <v>39</v>
      </c>
      <c r="F10928">
        <v>0</v>
      </c>
      <c r="G10928">
        <v>0</v>
      </c>
      <c r="H10928">
        <v>1</v>
      </c>
      <c r="I10928" s="3">
        <v>2230.02</v>
      </c>
      <c r="J10928" s="3">
        <v>55.74</v>
      </c>
      <c r="K10928" t="s">
        <v>4397</v>
      </c>
      <c r="L10928">
        <v>1050</v>
      </c>
      <c r="M10928" t="s">
        <v>3522</v>
      </c>
      <c r="N10928" t="s">
        <v>3827</v>
      </c>
      <c r="O10928" t="s">
        <v>70</v>
      </c>
      <c r="P10928" t="str">
        <f>"48226"</f>
        <v>48226</v>
      </c>
    </row>
    <row r="10929" spans="1:16" x14ac:dyDescent="0.25">
      <c r="A10929" t="str">
        <f>"1170003L00096    00"</f>
        <v>1170003L00096    00</v>
      </c>
      <c r="B10929" t="s">
        <v>24146</v>
      </c>
      <c r="C10929" t="s">
        <v>24147</v>
      </c>
      <c r="E10929" t="s">
        <v>39</v>
      </c>
      <c r="F10929">
        <v>0</v>
      </c>
      <c r="G10929">
        <v>0</v>
      </c>
      <c r="H10929">
        <v>14</v>
      </c>
      <c r="I10929" s="3">
        <v>21054.51</v>
      </c>
      <c r="J10929" s="3">
        <v>18472.96</v>
      </c>
      <c r="K10929" t="s">
        <v>24148</v>
      </c>
      <c r="L10929">
        <v>1178</v>
      </c>
      <c r="M10929" t="s">
        <v>24149</v>
      </c>
      <c r="N10929" t="s">
        <v>24150</v>
      </c>
      <c r="O10929" t="s">
        <v>200</v>
      </c>
      <c r="P10929" t="str">
        <f>"11704"</f>
        <v>11704</v>
      </c>
    </row>
    <row r="10930" spans="1:16" x14ac:dyDescent="0.25">
      <c r="A10930" t="str">
        <f>"1170003L00108    00"</f>
        <v>1170003L00108    00</v>
      </c>
      <c r="B10930" t="s">
        <v>24151</v>
      </c>
      <c r="C10930" t="s">
        <v>24152</v>
      </c>
      <c r="E10930" t="s">
        <v>39</v>
      </c>
      <c r="F10930">
        <v>0</v>
      </c>
      <c r="G10930">
        <v>0</v>
      </c>
      <c r="H10930">
        <v>1</v>
      </c>
      <c r="I10930" s="3">
        <v>2846.18</v>
      </c>
      <c r="J10930" s="3">
        <v>0</v>
      </c>
      <c r="K10930" t="s">
        <v>24153</v>
      </c>
      <c r="L10930">
        <v>109</v>
      </c>
      <c r="M10930" t="s">
        <v>24154</v>
      </c>
      <c r="N10930" t="s">
        <v>625</v>
      </c>
      <c r="O10930" t="s">
        <v>31</v>
      </c>
      <c r="P10930" t="str">
        <f>"15108"</f>
        <v>15108</v>
      </c>
    </row>
    <row r="10931" spans="1:16" x14ac:dyDescent="0.25">
      <c r="A10931" t="str">
        <f>"1170003L00122    00"</f>
        <v>1170003L00122    00</v>
      </c>
      <c r="B10931" t="s">
        <v>24155</v>
      </c>
      <c r="C10931" t="s">
        <v>24156</v>
      </c>
      <c r="D10931" t="s">
        <v>20</v>
      </c>
      <c r="E10931" t="s">
        <v>21</v>
      </c>
      <c r="F10931">
        <v>0</v>
      </c>
      <c r="G10931">
        <v>0</v>
      </c>
      <c r="H10931">
        <v>5</v>
      </c>
      <c r="I10931" s="3">
        <v>20705.169999999998</v>
      </c>
      <c r="J10931" s="3">
        <v>3577.1</v>
      </c>
      <c r="L10931">
        <v>1635</v>
      </c>
      <c r="M10931" t="s">
        <v>24157</v>
      </c>
      <c r="N10931" t="s">
        <v>149</v>
      </c>
      <c r="O10931" t="s">
        <v>31</v>
      </c>
      <c r="P10931" t="str">
        <f>"15106"</f>
        <v>15106</v>
      </c>
    </row>
    <row r="10932" spans="1:16" x14ac:dyDescent="0.25">
      <c r="A10932" t="str">
        <f>"1170003L00146    00"</f>
        <v>1170003L00146    00</v>
      </c>
      <c r="B10932" t="s">
        <v>24158</v>
      </c>
      <c r="C10932" t="s">
        <v>24159</v>
      </c>
      <c r="D10932" t="s">
        <v>20</v>
      </c>
      <c r="E10932" t="s">
        <v>39</v>
      </c>
      <c r="F10932">
        <v>0</v>
      </c>
      <c r="G10932">
        <v>0</v>
      </c>
      <c r="H10932">
        <v>3</v>
      </c>
      <c r="I10932" s="3">
        <v>4254.3999999999996</v>
      </c>
      <c r="J10932" s="3">
        <v>8.42</v>
      </c>
      <c r="K10932" t="s">
        <v>24160</v>
      </c>
      <c r="L10932">
        <v>2835</v>
      </c>
      <c r="M10932" t="s">
        <v>13875</v>
      </c>
      <c r="N10932" t="s">
        <v>30</v>
      </c>
      <c r="O10932" t="s">
        <v>31</v>
      </c>
      <c r="P10932" t="str">
        <f>"15203"</f>
        <v>15203</v>
      </c>
    </row>
    <row r="10933" spans="1:16" x14ac:dyDescent="0.25">
      <c r="A10933" t="str">
        <f>"1170003L00150    00"</f>
        <v>1170003L00150    00</v>
      </c>
      <c r="B10933" t="s">
        <v>24161</v>
      </c>
      <c r="C10933" t="s">
        <v>24162</v>
      </c>
      <c r="D10933" t="s">
        <v>20</v>
      </c>
      <c r="E10933" t="s">
        <v>21</v>
      </c>
      <c r="F10933">
        <v>0</v>
      </c>
      <c r="G10933">
        <v>0</v>
      </c>
      <c r="H10933">
        <v>2</v>
      </c>
      <c r="I10933" s="3">
        <v>4820.4799999999996</v>
      </c>
      <c r="J10933" s="3">
        <v>0</v>
      </c>
      <c r="L10933">
        <v>753</v>
      </c>
      <c r="M10933" t="s">
        <v>24163</v>
      </c>
      <c r="N10933" t="s">
        <v>30</v>
      </c>
      <c r="O10933" t="s">
        <v>31</v>
      </c>
      <c r="P10933" t="str">
        <f>"15204"</f>
        <v>15204</v>
      </c>
    </row>
    <row r="10934" spans="1:16" x14ac:dyDescent="0.25">
      <c r="A10934" t="str">
        <f>"1170003L00189    00"</f>
        <v>1170003L00189    00</v>
      </c>
      <c r="B10934" t="s">
        <v>24164</v>
      </c>
      <c r="C10934" t="s">
        <v>24165</v>
      </c>
      <c r="E10934" t="s">
        <v>21</v>
      </c>
      <c r="F10934">
        <v>0</v>
      </c>
      <c r="G10934">
        <v>0</v>
      </c>
      <c r="H10934">
        <v>5</v>
      </c>
      <c r="I10934" s="3">
        <v>14716.2</v>
      </c>
      <c r="J10934" s="3">
        <v>8136.23</v>
      </c>
      <c r="L10934">
        <v>136</v>
      </c>
      <c r="M10934" t="s">
        <v>24166</v>
      </c>
      <c r="N10934" t="s">
        <v>30</v>
      </c>
      <c r="O10934" t="s">
        <v>31</v>
      </c>
      <c r="P10934" t="str">
        <f>"15203"</f>
        <v>15203</v>
      </c>
    </row>
    <row r="10935" spans="1:16" x14ac:dyDescent="0.25">
      <c r="A10935" t="str">
        <f>"1170003L00193    00"</f>
        <v>1170003L00193    00</v>
      </c>
      <c r="B10935" t="s">
        <v>24167</v>
      </c>
      <c r="C10935" t="s">
        <v>24168</v>
      </c>
      <c r="D10935" t="s">
        <v>20</v>
      </c>
      <c r="E10935" t="s">
        <v>39</v>
      </c>
      <c r="F10935">
        <v>0</v>
      </c>
      <c r="G10935">
        <v>0</v>
      </c>
      <c r="H10935">
        <v>14</v>
      </c>
      <c r="I10935" s="3">
        <v>46.5</v>
      </c>
      <c r="J10935" s="3">
        <v>32.99</v>
      </c>
      <c r="L10935">
        <v>3614</v>
      </c>
      <c r="M10935" t="s">
        <v>8048</v>
      </c>
      <c r="N10935" t="s">
        <v>30</v>
      </c>
      <c r="O10935" t="s">
        <v>31</v>
      </c>
      <c r="P10935" t="str">
        <f>"15227"</f>
        <v>15227</v>
      </c>
    </row>
    <row r="10936" spans="1:16" x14ac:dyDescent="0.25">
      <c r="A10936" t="str">
        <f>"1170003L00200    00"</f>
        <v>1170003L00200    00</v>
      </c>
      <c r="B10936" t="s">
        <v>24169</v>
      </c>
      <c r="C10936" t="s">
        <v>24170</v>
      </c>
      <c r="D10936" t="s">
        <v>20</v>
      </c>
      <c r="E10936" t="s">
        <v>39</v>
      </c>
      <c r="F10936">
        <v>0</v>
      </c>
      <c r="G10936">
        <v>0</v>
      </c>
      <c r="H10936">
        <v>2</v>
      </c>
      <c r="I10936" s="3">
        <v>4997.54</v>
      </c>
      <c r="J10936" s="3">
        <v>499.74</v>
      </c>
      <c r="K10936" t="s">
        <v>24171</v>
      </c>
      <c r="L10936">
        <v>106</v>
      </c>
      <c r="M10936" t="s">
        <v>24172</v>
      </c>
      <c r="N10936" t="s">
        <v>30</v>
      </c>
      <c r="O10936" t="s">
        <v>31</v>
      </c>
      <c r="P10936" t="str">
        <f>"15203"</f>
        <v>15203</v>
      </c>
    </row>
    <row r="10937" spans="1:16" x14ac:dyDescent="0.25">
      <c r="A10937" t="str">
        <f>"1170003L00217    00"</f>
        <v>1170003L00217    00</v>
      </c>
      <c r="B10937" t="s">
        <v>24173</v>
      </c>
      <c r="C10937" t="s">
        <v>24174</v>
      </c>
      <c r="D10937" t="s">
        <v>20</v>
      </c>
      <c r="E10937" t="s">
        <v>39</v>
      </c>
      <c r="F10937">
        <v>0</v>
      </c>
      <c r="G10937">
        <v>0</v>
      </c>
      <c r="H10937">
        <v>17</v>
      </c>
      <c r="I10937" s="3">
        <v>670.06</v>
      </c>
      <c r="J10937" s="3">
        <v>767.7</v>
      </c>
      <c r="L10937">
        <v>3614</v>
      </c>
      <c r="M10937" t="s">
        <v>8048</v>
      </c>
      <c r="N10937" t="s">
        <v>30</v>
      </c>
      <c r="O10937" t="s">
        <v>31</v>
      </c>
      <c r="P10937" t="str">
        <f>"15227"</f>
        <v>15227</v>
      </c>
    </row>
    <row r="10938" spans="1:16" x14ac:dyDescent="0.25">
      <c r="A10938" t="str">
        <f>"1170003L00228    00"</f>
        <v>1170003L00228    00</v>
      </c>
      <c r="B10938" t="s">
        <v>24175</v>
      </c>
      <c r="C10938" t="s">
        <v>24176</v>
      </c>
      <c r="D10938" t="s">
        <v>20</v>
      </c>
      <c r="E10938" t="s">
        <v>39</v>
      </c>
      <c r="F10938">
        <v>0</v>
      </c>
      <c r="G10938">
        <v>0</v>
      </c>
      <c r="H10938">
        <v>6</v>
      </c>
      <c r="I10938" s="3">
        <v>78.34</v>
      </c>
      <c r="J10938" s="3">
        <v>17.88</v>
      </c>
      <c r="L10938">
        <v>98</v>
      </c>
      <c r="M10938" t="s">
        <v>24177</v>
      </c>
      <c r="N10938" t="s">
        <v>30</v>
      </c>
      <c r="O10938" t="s">
        <v>31</v>
      </c>
      <c r="P10938" t="str">
        <f>"15203"</f>
        <v>15203</v>
      </c>
    </row>
    <row r="10939" spans="1:16" x14ac:dyDescent="0.25">
      <c r="A10939" t="str">
        <f>"1170003L00229    00"</f>
        <v>1170003L00229    00</v>
      </c>
      <c r="B10939" t="s">
        <v>24175</v>
      </c>
      <c r="C10939" t="s">
        <v>24178</v>
      </c>
      <c r="D10939" t="s">
        <v>20</v>
      </c>
      <c r="E10939" t="s">
        <v>39</v>
      </c>
      <c r="F10939">
        <v>0</v>
      </c>
      <c r="G10939">
        <v>0</v>
      </c>
      <c r="H10939">
        <v>5</v>
      </c>
      <c r="I10939" s="3">
        <v>13593.3</v>
      </c>
      <c r="J10939" s="3">
        <v>2867.12</v>
      </c>
      <c r="L10939">
        <v>210</v>
      </c>
      <c r="M10939" t="s">
        <v>24179</v>
      </c>
      <c r="N10939" t="s">
        <v>2008</v>
      </c>
      <c r="O10939" t="s">
        <v>31</v>
      </c>
      <c r="P10939" t="str">
        <f>"16066"</f>
        <v>16066</v>
      </c>
    </row>
    <row r="10940" spans="1:16" x14ac:dyDescent="0.25">
      <c r="A10940" t="str">
        <f>"1170003L00236    00"</f>
        <v>1170003L00236    00</v>
      </c>
      <c r="B10940" t="s">
        <v>24180</v>
      </c>
      <c r="C10940" t="s">
        <v>24181</v>
      </c>
      <c r="D10940" t="s">
        <v>20</v>
      </c>
      <c r="E10940" t="s">
        <v>39</v>
      </c>
      <c r="F10940">
        <v>0</v>
      </c>
      <c r="G10940">
        <v>0</v>
      </c>
      <c r="H10940">
        <v>2</v>
      </c>
      <c r="I10940" s="3">
        <v>6929.08</v>
      </c>
      <c r="J10940" s="3">
        <v>0</v>
      </c>
      <c r="L10940">
        <v>806</v>
      </c>
      <c r="M10940" t="s">
        <v>935</v>
      </c>
      <c r="N10940" t="s">
        <v>30</v>
      </c>
      <c r="O10940" t="s">
        <v>31</v>
      </c>
      <c r="P10940" t="str">
        <f>"15203"</f>
        <v>15203</v>
      </c>
    </row>
    <row r="10941" spans="1:16" x14ac:dyDescent="0.25">
      <c r="A10941" t="str">
        <f>"1170003L00237    00"</f>
        <v>1170003L00237    00</v>
      </c>
      <c r="B10941" t="s">
        <v>24180</v>
      </c>
      <c r="C10941" t="s">
        <v>24182</v>
      </c>
      <c r="D10941" t="s">
        <v>20</v>
      </c>
      <c r="E10941" t="s">
        <v>39</v>
      </c>
      <c r="F10941">
        <v>0</v>
      </c>
      <c r="G10941">
        <v>0</v>
      </c>
      <c r="H10941">
        <v>2</v>
      </c>
      <c r="I10941" s="3">
        <v>7037.81</v>
      </c>
      <c r="J10941" s="3">
        <v>0</v>
      </c>
      <c r="L10941">
        <v>806</v>
      </c>
      <c r="M10941" t="s">
        <v>935</v>
      </c>
      <c r="N10941" t="s">
        <v>30</v>
      </c>
      <c r="O10941" t="s">
        <v>31</v>
      </c>
      <c r="P10941" t="str">
        <f>"15203"</f>
        <v>15203</v>
      </c>
    </row>
    <row r="10942" spans="1:16" x14ac:dyDescent="0.25">
      <c r="A10942" t="str">
        <f>"1170003L00242    00"</f>
        <v>1170003L00242    00</v>
      </c>
      <c r="B10942" t="s">
        <v>24183</v>
      </c>
      <c r="C10942" t="s">
        <v>24184</v>
      </c>
      <c r="D10942" t="s">
        <v>20</v>
      </c>
      <c r="E10942" t="s">
        <v>39</v>
      </c>
      <c r="F10942">
        <v>0</v>
      </c>
      <c r="G10942">
        <v>0</v>
      </c>
      <c r="H10942">
        <v>3</v>
      </c>
      <c r="I10942" s="3">
        <v>10618.35</v>
      </c>
      <c r="J10942" s="3">
        <v>707.87</v>
      </c>
      <c r="L10942">
        <v>8744</v>
      </c>
      <c r="M10942" t="s">
        <v>24185</v>
      </c>
      <c r="N10942" t="s">
        <v>30</v>
      </c>
      <c r="O10942" t="s">
        <v>31</v>
      </c>
      <c r="P10942" t="str">
        <f>"15237"</f>
        <v>15237</v>
      </c>
    </row>
    <row r="10943" spans="1:16" x14ac:dyDescent="0.25">
      <c r="A10943" t="str">
        <f>"1170003L00296    00"</f>
        <v>1170003L00296    00</v>
      </c>
      <c r="B10943" t="s">
        <v>24186</v>
      </c>
      <c r="C10943" t="s">
        <v>24187</v>
      </c>
      <c r="D10943" t="s">
        <v>20</v>
      </c>
      <c r="E10943" t="s">
        <v>21</v>
      </c>
      <c r="F10943">
        <v>0</v>
      </c>
      <c r="G10943">
        <v>0</v>
      </c>
      <c r="H10943">
        <v>1</v>
      </c>
      <c r="I10943" s="3">
        <v>51873.33</v>
      </c>
      <c r="J10943" s="3">
        <v>6051.66</v>
      </c>
      <c r="K10943" t="s">
        <v>24188</v>
      </c>
      <c r="L10943">
        <v>6191</v>
      </c>
      <c r="M10943" t="s">
        <v>24189</v>
      </c>
      <c r="N10943" t="s">
        <v>331</v>
      </c>
      <c r="O10943" t="s">
        <v>108</v>
      </c>
      <c r="P10943" t="str">
        <f>"75038"</f>
        <v>75038</v>
      </c>
    </row>
    <row r="10944" spans="1:16" x14ac:dyDescent="0.25">
      <c r="A10944" t="str">
        <f>"1170003L00300    00"</f>
        <v>1170003L00300    00</v>
      </c>
      <c r="B10944" t="s">
        <v>24190</v>
      </c>
      <c r="C10944" t="s">
        <v>24191</v>
      </c>
      <c r="D10944" t="s">
        <v>20</v>
      </c>
      <c r="E10944" t="s">
        <v>39</v>
      </c>
      <c r="F10944">
        <v>0</v>
      </c>
      <c r="G10944">
        <v>0</v>
      </c>
      <c r="H10944">
        <v>7</v>
      </c>
      <c r="I10944" s="3">
        <v>206.11</v>
      </c>
      <c r="J10944" s="3">
        <v>225.57</v>
      </c>
      <c r="L10944">
        <v>3060</v>
      </c>
      <c r="M10944" t="s">
        <v>24192</v>
      </c>
      <c r="N10944" t="s">
        <v>24193</v>
      </c>
      <c r="O10944" t="s">
        <v>31</v>
      </c>
      <c r="P10944" t="str">
        <f>"17403"</f>
        <v>17403</v>
      </c>
    </row>
    <row r="10945" spans="1:16" x14ac:dyDescent="0.25">
      <c r="A10945" t="str">
        <f>"1170003L00430    00"</f>
        <v>1170003L00430    00</v>
      </c>
      <c r="B10945" t="s">
        <v>24194</v>
      </c>
      <c r="C10945" t="s">
        <v>24195</v>
      </c>
      <c r="E10945" t="s">
        <v>39</v>
      </c>
      <c r="F10945">
        <v>0</v>
      </c>
      <c r="G10945">
        <v>0</v>
      </c>
      <c r="H10945">
        <v>1</v>
      </c>
      <c r="I10945" s="3">
        <v>152.47999999999999</v>
      </c>
      <c r="J10945" s="3">
        <v>0</v>
      </c>
      <c r="K10945" t="s">
        <v>24196</v>
      </c>
      <c r="L10945">
        <v>4642</v>
      </c>
      <c r="M10945" t="s">
        <v>24197</v>
      </c>
      <c r="N10945" t="s">
        <v>30</v>
      </c>
      <c r="O10945" t="s">
        <v>31</v>
      </c>
      <c r="P10945" t="str">
        <f>"15201"</f>
        <v>15201</v>
      </c>
    </row>
    <row r="10946" spans="1:16" x14ac:dyDescent="0.25">
      <c r="A10946" t="str">
        <f>"1170003L00432    00"</f>
        <v>1170003L00432    00</v>
      </c>
      <c r="B10946" t="s">
        <v>24194</v>
      </c>
      <c r="C10946" t="s">
        <v>24195</v>
      </c>
      <c r="E10946" t="s">
        <v>39</v>
      </c>
      <c r="F10946">
        <v>0</v>
      </c>
      <c r="G10946">
        <v>0</v>
      </c>
      <c r="H10946">
        <v>1</v>
      </c>
      <c r="I10946" s="3">
        <v>152.47999999999999</v>
      </c>
      <c r="J10946" s="3">
        <v>0</v>
      </c>
      <c r="K10946" t="s">
        <v>24196</v>
      </c>
      <c r="L10946">
        <v>4642</v>
      </c>
      <c r="M10946" t="s">
        <v>24197</v>
      </c>
      <c r="N10946" t="s">
        <v>30</v>
      </c>
      <c r="O10946" t="s">
        <v>31</v>
      </c>
      <c r="P10946" t="str">
        <f>"15201"</f>
        <v>15201</v>
      </c>
    </row>
    <row r="10947" spans="1:16" x14ac:dyDescent="0.25">
      <c r="A10947" t="str">
        <f>"1170003L00434    00"</f>
        <v>1170003L00434    00</v>
      </c>
      <c r="B10947" t="s">
        <v>24194</v>
      </c>
      <c r="C10947" t="s">
        <v>24195</v>
      </c>
      <c r="E10947" t="s">
        <v>39</v>
      </c>
      <c r="F10947">
        <v>0</v>
      </c>
      <c r="G10947">
        <v>0</v>
      </c>
      <c r="H10947">
        <v>1</v>
      </c>
      <c r="I10947" s="3">
        <v>152.47999999999999</v>
      </c>
      <c r="J10947" s="3">
        <v>0</v>
      </c>
      <c r="K10947" t="s">
        <v>24196</v>
      </c>
      <c r="L10947">
        <v>4642</v>
      </c>
      <c r="M10947" t="s">
        <v>24197</v>
      </c>
      <c r="N10947" t="s">
        <v>30</v>
      </c>
      <c r="O10947" t="s">
        <v>31</v>
      </c>
      <c r="P10947" t="str">
        <f>"15201"</f>
        <v>15201</v>
      </c>
    </row>
    <row r="10948" spans="1:16" x14ac:dyDescent="0.25">
      <c r="A10948" t="str">
        <f>"1170003L00436    00"</f>
        <v>1170003L00436    00</v>
      </c>
      <c r="B10948" t="s">
        <v>24194</v>
      </c>
      <c r="C10948" t="s">
        <v>24198</v>
      </c>
      <c r="E10948" t="s">
        <v>39</v>
      </c>
      <c r="F10948">
        <v>0</v>
      </c>
      <c r="G10948">
        <v>0</v>
      </c>
      <c r="H10948">
        <v>1</v>
      </c>
      <c r="I10948" s="3">
        <v>152.47999999999999</v>
      </c>
      <c r="J10948" s="3">
        <v>0</v>
      </c>
      <c r="K10948" t="s">
        <v>24196</v>
      </c>
      <c r="L10948">
        <v>4642</v>
      </c>
      <c r="M10948" t="s">
        <v>24197</v>
      </c>
      <c r="N10948" t="s">
        <v>30</v>
      </c>
      <c r="O10948" t="s">
        <v>31</v>
      </c>
      <c r="P10948" t="str">
        <f>"15201"</f>
        <v>15201</v>
      </c>
    </row>
    <row r="10949" spans="1:16" x14ac:dyDescent="0.25">
      <c r="A10949" t="str">
        <f>"1170003L00438    00"</f>
        <v>1170003L00438    00</v>
      </c>
      <c r="B10949" t="s">
        <v>24194</v>
      </c>
      <c r="C10949" t="s">
        <v>24199</v>
      </c>
      <c r="E10949" t="s">
        <v>39</v>
      </c>
      <c r="F10949">
        <v>0</v>
      </c>
      <c r="G10949">
        <v>0</v>
      </c>
      <c r="H10949">
        <v>1</v>
      </c>
      <c r="I10949" s="3">
        <v>152.47999999999999</v>
      </c>
      <c r="J10949" s="3">
        <v>0</v>
      </c>
      <c r="K10949" t="s">
        <v>24196</v>
      </c>
      <c r="L10949">
        <v>4642</v>
      </c>
      <c r="M10949" t="s">
        <v>24197</v>
      </c>
      <c r="N10949" t="s">
        <v>30</v>
      </c>
      <c r="O10949" t="s">
        <v>31</v>
      </c>
      <c r="P10949" t="str">
        <f>"15201"</f>
        <v>15201</v>
      </c>
    </row>
    <row r="10950" spans="1:16" x14ac:dyDescent="0.25">
      <c r="A10950" t="str">
        <f>"1170003M00039    00"</f>
        <v>1170003M00039    00</v>
      </c>
      <c r="B10950" t="s">
        <v>24200</v>
      </c>
      <c r="C10950" t="s">
        <v>24201</v>
      </c>
      <c r="E10950" t="s">
        <v>21</v>
      </c>
      <c r="F10950">
        <v>0</v>
      </c>
      <c r="G10950">
        <v>0</v>
      </c>
      <c r="H10950">
        <v>1</v>
      </c>
      <c r="I10950" s="3">
        <v>3433.75</v>
      </c>
      <c r="J10950" s="3">
        <v>0</v>
      </c>
      <c r="L10950">
        <v>119</v>
      </c>
      <c r="M10950" t="s">
        <v>11698</v>
      </c>
      <c r="N10950" t="s">
        <v>30</v>
      </c>
      <c r="O10950" t="s">
        <v>31</v>
      </c>
      <c r="P10950" t="str">
        <f>"15203"</f>
        <v>15203</v>
      </c>
    </row>
    <row r="10951" spans="1:16" x14ac:dyDescent="0.25">
      <c r="A10951" t="str">
        <f>"1170003M00045    00"</f>
        <v>1170003M00045    00</v>
      </c>
      <c r="B10951" t="s">
        <v>24200</v>
      </c>
      <c r="C10951" t="s">
        <v>24202</v>
      </c>
      <c r="E10951" t="s">
        <v>21</v>
      </c>
      <c r="F10951">
        <v>0</v>
      </c>
      <c r="G10951">
        <v>0</v>
      </c>
      <c r="H10951">
        <v>1</v>
      </c>
      <c r="I10951" s="3">
        <v>11.28</v>
      </c>
      <c r="J10951" s="3">
        <v>0</v>
      </c>
      <c r="L10951">
        <v>119</v>
      </c>
      <c r="M10951" t="s">
        <v>11698</v>
      </c>
      <c r="N10951" t="s">
        <v>30</v>
      </c>
      <c r="O10951" t="s">
        <v>31</v>
      </c>
      <c r="P10951" t="str">
        <f>"15203"</f>
        <v>15203</v>
      </c>
    </row>
    <row r="10952" spans="1:16" x14ac:dyDescent="0.25">
      <c r="A10952" t="str">
        <f>"1170003M00048    00"</f>
        <v>1170003M00048    00</v>
      </c>
      <c r="B10952" t="s">
        <v>24203</v>
      </c>
      <c r="C10952" t="s">
        <v>24204</v>
      </c>
      <c r="E10952" t="s">
        <v>39</v>
      </c>
      <c r="F10952">
        <v>0</v>
      </c>
      <c r="G10952">
        <v>0</v>
      </c>
      <c r="H10952">
        <v>1</v>
      </c>
      <c r="I10952" s="3">
        <v>107.63</v>
      </c>
      <c r="J10952" s="3">
        <v>0</v>
      </c>
      <c r="K10952" t="s">
        <v>24205</v>
      </c>
      <c r="L10952">
        <v>1735</v>
      </c>
      <c r="M10952" t="s">
        <v>24206</v>
      </c>
      <c r="N10952" t="s">
        <v>30</v>
      </c>
      <c r="O10952" t="s">
        <v>31</v>
      </c>
      <c r="P10952" t="str">
        <f>"15203"</f>
        <v>15203</v>
      </c>
    </row>
    <row r="10953" spans="1:16" x14ac:dyDescent="0.25">
      <c r="A10953" t="str">
        <f>"1170003M00119020400"</f>
        <v>1170003M00119020400</v>
      </c>
      <c r="B10953" t="s">
        <v>24207</v>
      </c>
      <c r="C10953" t="s">
        <v>24208</v>
      </c>
      <c r="D10953" t="s">
        <v>20</v>
      </c>
      <c r="E10953" t="s">
        <v>39</v>
      </c>
      <c r="F10953">
        <v>0</v>
      </c>
      <c r="G10953">
        <v>0</v>
      </c>
      <c r="H10953">
        <v>1</v>
      </c>
      <c r="I10953" s="3">
        <v>4494.82</v>
      </c>
      <c r="J10953" s="3">
        <v>0</v>
      </c>
      <c r="L10953">
        <v>151</v>
      </c>
      <c r="M10953" t="s">
        <v>24209</v>
      </c>
      <c r="N10953" t="s">
        <v>24210</v>
      </c>
      <c r="O10953" t="s">
        <v>31</v>
      </c>
      <c r="P10953" t="str">
        <f>"17013"</f>
        <v>17013</v>
      </c>
    </row>
    <row r="10954" spans="1:16" x14ac:dyDescent="0.25">
      <c r="A10954" t="str">
        <f>"1170003M00119030300"</f>
        <v>1170003M00119030300</v>
      </c>
      <c r="B10954" t="s">
        <v>24211</v>
      </c>
      <c r="C10954" t="s">
        <v>24212</v>
      </c>
      <c r="D10954" t="s">
        <v>20</v>
      </c>
      <c r="E10954" t="s">
        <v>39</v>
      </c>
      <c r="F10954">
        <v>0</v>
      </c>
      <c r="G10954">
        <v>0</v>
      </c>
      <c r="H10954">
        <v>3</v>
      </c>
      <c r="I10954" s="3">
        <v>12650.22</v>
      </c>
      <c r="J10954" s="3">
        <v>641.36</v>
      </c>
      <c r="L10954">
        <v>120</v>
      </c>
      <c r="M10954" t="s">
        <v>24213</v>
      </c>
      <c r="N10954" t="s">
        <v>30</v>
      </c>
      <c r="O10954" t="s">
        <v>31</v>
      </c>
      <c r="P10954" t="str">
        <f>"15203"</f>
        <v>15203</v>
      </c>
    </row>
    <row r="10955" spans="1:16" x14ac:dyDescent="0.25">
      <c r="A10955" t="str">
        <f>"1170003M00121    00"</f>
        <v>1170003M00121    00</v>
      </c>
      <c r="B10955" t="s">
        <v>24214</v>
      </c>
      <c r="C10955" t="s">
        <v>24215</v>
      </c>
      <c r="E10955" t="s">
        <v>39</v>
      </c>
      <c r="F10955">
        <v>0</v>
      </c>
      <c r="G10955">
        <v>0</v>
      </c>
      <c r="H10955">
        <v>1</v>
      </c>
      <c r="I10955" s="3">
        <v>1411.84</v>
      </c>
      <c r="J10955" s="3">
        <v>317.64</v>
      </c>
      <c r="L10955">
        <v>89</v>
      </c>
      <c r="M10955" t="s">
        <v>24106</v>
      </c>
      <c r="N10955" t="s">
        <v>30</v>
      </c>
      <c r="O10955" t="s">
        <v>31</v>
      </c>
      <c r="P10955" t="str">
        <f>"15203"</f>
        <v>15203</v>
      </c>
    </row>
    <row r="10956" spans="1:16" x14ac:dyDescent="0.25">
      <c r="A10956" t="str">
        <f>"1170003M0013612  00"</f>
        <v>1170003M0013612  00</v>
      </c>
      <c r="B10956" t="s">
        <v>24216</v>
      </c>
      <c r="C10956" t="s">
        <v>24217</v>
      </c>
      <c r="D10956" t="s">
        <v>20</v>
      </c>
      <c r="E10956" t="s">
        <v>39</v>
      </c>
      <c r="F10956">
        <v>0</v>
      </c>
      <c r="G10956">
        <v>0</v>
      </c>
      <c r="H10956">
        <v>2</v>
      </c>
      <c r="I10956" s="3">
        <v>3240.2</v>
      </c>
      <c r="J10956" s="3">
        <v>0</v>
      </c>
      <c r="K10956" t="s">
        <v>11194</v>
      </c>
      <c r="L10956">
        <v>400</v>
      </c>
      <c r="M10956" t="s">
        <v>11195</v>
      </c>
      <c r="N10956" t="s">
        <v>11196</v>
      </c>
      <c r="O10956" t="s">
        <v>70</v>
      </c>
      <c r="P10956" t="str">
        <f>"49930"</f>
        <v>49930</v>
      </c>
    </row>
    <row r="10957" spans="1:16" x14ac:dyDescent="0.25">
      <c r="A10957" t="str">
        <f>"1170003M0013613  00"</f>
        <v>1170003M0013613  00</v>
      </c>
      <c r="B10957" t="s">
        <v>24218</v>
      </c>
      <c r="C10957" t="s">
        <v>24219</v>
      </c>
      <c r="D10957" t="s">
        <v>20</v>
      </c>
      <c r="E10957" t="s">
        <v>39</v>
      </c>
      <c r="F10957">
        <v>0</v>
      </c>
      <c r="G10957">
        <v>0</v>
      </c>
      <c r="H10957">
        <v>2</v>
      </c>
      <c r="I10957" s="3">
        <v>295.44</v>
      </c>
      <c r="J10957" s="3">
        <v>0</v>
      </c>
      <c r="L10957">
        <v>3001</v>
      </c>
      <c r="M10957" t="s">
        <v>330</v>
      </c>
      <c r="N10957" t="s">
        <v>331</v>
      </c>
      <c r="O10957" t="s">
        <v>108</v>
      </c>
      <c r="P10957" t="str">
        <f>"75063"</f>
        <v>75063</v>
      </c>
    </row>
    <row r="10958" spans="1:16" x14ac:dyDescent="0.25">
      <c r="A10958" t="str">
        <f>"1170003M0013614  00"</f>
        <v>1170003M0013614  00</v>
      </c>
      <c r="B10958" t="s">
        <v>24220</v>
      </c>
      <c r="C10958" t="s">
        <v>24221</v>
      </c>
      <c r="E10958" t="s">
        <v>39</v>
      </c>
      <c r="F10958">
        <v>0</v>
      </c>
      <c r="G10958">
        <v>0</v>
      </c>
      <c r="H10958">
        <v>1</v>
      </c>
      <c r="I10958" s="3">
        <v>124.03</v>
      </c>
      <c r="J10958" s="3">
        <v>0</v>
      </c>
      <c r="K10958" t="s">
        <v>24222</v>
      </c>
      <c r="L10958">
        <v>154</v>
      </c>
      <c r="M10958" t="s">
        <v>24223</v>
      </c>
      <c r="N10958" t="s">
        <v>30</v>
      </c>
      <c r="O10958" t="s">
        <v>31</v>
      </c>
      <c r="P10958" t="str">
        <f>"15203"</f>
        <v>15203</v>
      </c>
    </row>
    <row r="10959" spans="1:16" x14ac:dyDescent="0.25">
      <c r="A10959" t="str">
        <f>"1170003M001362   00"</f>
        <v>1170003M001362   00</v>
      </c>
      <c r="B10959" t="s">
        <v>24224</v>
      </c>
      <c r="C10959" t="s">
        <v>24225</v>
      </c>
      <c r="E10959" t="s">
        <v>39</v>
      </c>
      <c r="F10959">
        <v>0</v>
      </c>
      <c r="G10959">
        <v>0</v>
      </c>
      <c r="H10959">
        <v>1</v>
      </c>
      <c r="I10959" s="3">
        <v>232.53</v>
      </c>
      <c r="J10959" s="3">
        <v>0</v>
      </c>
      <c r="K10959" t="s">
        <v>24226</v>
      </c>
      <c r="L10959">
        <v>152</v>
      </c>
      <c r="M10959" t="s">
        <v>24227</v>
      </c>
      <c r="N10959" t="s">
        <v>30</v>
      </c>
      <c r="O10959" t="s">
        <v>31</v>
      </c>
      <c r="P10959" t="str">
        <f>"15203"</f>
        <v>15203</v>
      </c>
    </row>
    <row r="10960" spans="1:16" x14ac:dyDescent="0.25">
      <c r="A10960" t="str">
        <f>"1170003M001363   00"</f>
        <v>1170003M001363   00</v>
      </c>
      <c r="B10960" t="s">
        <v>24228</v>
      </c>
      <c r="C10960" t="s">
        <v>24229</v>
      </c>
      <c r="E10960" t="s">
        <v>39</v>
      </c>
      <c r="F10960">
        <v>0</v>
      </c>
      <c r="G10960">
        <v>0</v>
      </c>
      <c r="H10960">
        <v>1</v>
      </c>
      <c r="I10960" s="3">
        <v>232.53</v>
      </c>
      <c r="J10960" s="3">
        <v>0</v>
      </c>
      <c r="K10960" t="s">
        <v>4460</v>
      </c>
      <c r="L10960">
        <v>901</v>
      </c>
      <c r="M10960" t="s">
        <v>1503</v>
      </c>
      <c r="N10960" t="s">
        <v>494</v>
      </c>
      <c r="O10960" t="s">
        <v>495</v>
      </c>
      <c r="P10960" t="str">
        <f>"91768"</f>
        <v>91768</v>
      </c>
    </row>
    <row r="10961" spans="1:16" x14ac:dyDescent="0.25">
      <c r="A10961" t="str">
        <f>"1170003M001364   00"</f>
        <v>1170003M001364   00</v>
      </c>
      <c r="B10961" t="s">
        <v>24230</v>
      </c>
      <c r="C10961" t="s">
        <v>24231</v>
      </c>
      <c r="E10961" t="s">
        <v>39</v>
      </c>
      <c r="F10961">
        <v>0</v>
      </c>
      <c r="G10961">
        <v>0</v>
      </c>
      <c r="H10961">
        <v>1</v>
      </c>
      <c r="I10961" s="3">
        <v>232.53</v>
      </c>
      <c r="J10961" s="3">
        <v>0</v>
      </c>
      <c r="L10961">
        <v>941</v>
      </c>
      <c r="M10961" t="s">
        <v>24232</v>
      </c>
      <c r="N10961" t="s">
        <v>30</v>
      </c>
      <c r="O10961" t="s">
        <v>31</v>
      </c>
      <c r="P10961" t="str">
        <f>"15222"</f>
        <v>15222</v>
      </c>
    </row>
    <row r="10962" spans="1:16" x14ac:dyDescent="0.25">
      <c r="A10962" t="str">
        <f>"1170003M001366   00"</f>
        <v>1170003M001366   00</v>
      </c>
      <c r="B10962" t="s">
        <v>24230</v>
      </c>
      <c r="C10962" t="s">
        <v>24233</v>
      </c>
      <c r="E10962" t="s">
        <v>39</v>
      </c>
      <c r="F10962">
        <v>0</v>
      </c>
      <c r="G10962">
        <v>0</v>
      </c>
      <c r="H10962">
        <v>1</v>
      </c>
      <c r="I10962" s="3">
        <v>232.53</v>
      </c>
      <c r="J10962" s="3">
        <v>0</v>
      </c>
      <c r="L10962">
        <v>941</v>
      </c>
      <c r="M10962" t="s">
        <v>24232</v>
      </c>
      <c r="N10962" t="s">
        <v>30</v>
      </c>
      <c r="O10962" t="s">
        <v>31</v>
      </c>
      <c r="P10962" t="str">
        <f>"15222"</f>
        <v>15222</v>
      </c>
    </row>
    <row r="10963" spans="1:16" x14ac:dyDescent="0.25">
      <c r="A10963" t="str">
        <f>"1170003M001367   00"</f>
        <v>1170003M001367   00</v>
      </c>
      <c r="B10963" t="s">
        <v>24234</v>
      </c>
      <c r="C10963" t="s">
        <v>24235</v>
      </c>
      <c r="E10963" t="s">
        <v>39</v>
      </c>
      <c r="F10963">
        <v>0</v>
      </c>
      <c r="G10963">
        <v>0</v>
      </c>
      <c r="H10963">
        <v>1</v>
      </c>
      <c r="I10963" s="3">
        <v>232.53</v>
      </c>
      <c r="J10963" s="3">
        <v>0</v>
      </c>
      <c r="L10963">
        <v>154</v>
      </c>
      <c r="M10963" t="s">
        <v>24236</v>
      </c>
      <c r="N10963" t="s">
        <v>30</v>
      </c>
      <c r="O10963" t="s">
        <v>31</v>
      </c>
      <c r="P10963" t="str">
        <f>"15203"</f>
        <v>15203</v>
      </c>
    </row>
    <row r="10964" spans="1:16" x14ac:dyDescent="0.25">
      <c r="A10964" t="str">
        <f>"1170003M001368   00"</f>
        <v>1170003M001368   00</v>
      </c>
      <c r="B10964" t="s">
        <v>24237</v>
      </c>
      <c r="C10964" t="s">
        <v>24238</v>
      </c>
      <c r="E10964" t="s">
        <v>39</v>
      </c>
      <c r="F10964">
        <v>0</v>
      </c>
      <c r="G10964">
        <v>0</v>
      </c>
      <c r="H10964">
        <v>1</v>
      </c>
      <c r="I10964" s="3">
        <v>232.53</v>
      </c>
      <c r="J10964" s="3">
        <v>0</v>
      </c>
      <c r="K10964" t="s">
        <v>24239</v>
      </c>
      <c r="L10964">
        <v>154</v>
      </c>
      <c r="M10964" t="s">
        <v>24240</v>
      </c>
      <c r="N10964" t="s">
        <v>30</v>
      </c>
      <c r="O10964" t="s">
        <v>31</v>
      </c>
      <c r="P10964" t="str">
        <f>"15203"</f>
        <v>15203</v>
      </c>
    </row>
    <row r="10965" spans="1:16" x14ac:dyDescent="0.25">
      <c r="A10965" t="str">
        <f>"1170003M001369   00"</f>
        <v>1170003M001369   00</v>
      </c>
      <c r="B10965" t="s">
        <v>24241</v>
      </c>
      <c r="C10965" t="s">
        <v>24242</v>
      </c>
      <c r="E10965" t="s">
        <v>39</v>
      </c>
      <c r="F10965">
        <v>0</v>
      </c>
      <c r="G10965">
        <v>0</v>
      </c>
      <c r="H10965">
        <v>1</v>
      </c>
      <c r="I10965" s="3">
        <v>232.53</v>
      </c>
      <c r="J10965" s="3">
        <v>0</v>
      </c>
      <c r="K10965" t="s">
        <v>11194</v>
      </c>
      <c r="L10965">
        <v>400</v>
      </c>
      <c r="M10965" t="s">
        <v>11195</v>
      </c>
      <c r="N10965" t="s">
        <v>11196</v>
      </c>
      <c r="O10965" t="s">
        <v>70</v>
      </c>
      <c r="P10965" t="str">
        <f>"49930"</f>
        <v>49930</v>
      </c>
    </row>
    <row r="10966" spans="1:16" x14ac:dyDescent="0.25">
      <c r="A10966" t="str">
        <f>"1170003M00150A   00"</f>
        <v>1170003M00150A   00</v>
      </c>
      <c r="B10966" t="s">
        <v>24243</v>
      </c>
      <c r="C10966" t="s">
        <v>24244</v>
      </c>
      <c r="E10966" t="s">
        <v>39</v>
      </c>
      <c r="F10966">
        <v>0</v>
      </c>
      <c r="G10966">
        <v>0</v>
      </c>
      <c r="H10966">
        <v>1</v>
      </c>
      <c r="I10966" s="3">
        <v>1497.32</v>
      </c>
      <c r="J10966" s="3">
        <v>449.18</v>
      </c>
      <c r="L10966">
        <v>125</v>
      </c>
      <c r="M10966" t="s">
        <v>24106</v>
      </c>
      <c r="N10966" t="s">
        <v>30</v>
      </c>
      <c r="O10966" t="s">
        <v>31</v>
      </c>
      <c r="P10966" t="str">
        <f>"15203"</f>
        <v>15203</v>
      </c>
    </row>
    <row r="10967" spans="1:16" x14ac:dyDescent="0.25">
      <c r="A10967" t="str">
        <f>"1170003M00151    00"</f>
        <v>1170003M00151    00</v>
      </c>
      <c r="B10967" t="s">
        <v>24245</v>
      </c>
      <c r="C10967" t="s">
        <v>24246</v>
      </c>
      <c r="E10967" t="s">
        <v>39</v>
      </c>
      <c r="F10967">
        <v>0</v>
      </c>
      <c r="G10967">
        <v>0</v>
      </c>
      <c r="H10967">
        <v>1</v>
      </c>
      <c r="I10967" s="3">
        <v>1444.74</v>
      </c>
      <c r="J10967" s="3">
        <v>1071.47</v>
      </c>
      <c r="K10967" t="s">
        <v>881</v>
      </c>
      <c r="L10967">
        <v>3001</v>
      </c>
      <c r="M10967" t="s">
        <v>330</v>
      </c>
      <c r="N10967" t="s">
        <v>331</v>
      </c>
      <c r="O10967" t="s">
        <v>108</v>
      </c>
      <c r="P10967" t="str">
        <f>"75063"</f>
        <v>75063</v>
      </c>
    </row>
    <row r="10968" spans="1:16" x14ac:dyDescent="0.25">
      <c r="A10968" t="str">
        <f>"1170003M00175    00"</f>
        <v>1170003M00175    00</v>
      </c>
      <c r="B10968" t="s">
        <v>24247</v>
      </c>
      <c r="C10968" t="s">
        <v>24248</v>
      </c>
      <c r="E10968" t="s">
        <v>39</v>
      </c>
      <c r="F10968">
        <v>0</v>
      </c>
      <c r="G10968">
        <v>0</v>
      </c>
      <c r="H10968">
        <v>2</v>
      </c>
      <c r="I10968" s="3">
        <v>3857.74</v>
      </c>
      <c r="J10968" s="3">
        <v>48.21</v>
      </c>
      <c r="K10968" t="s">
        <v>400</v>
      </c>
      <c r="L10968">
        <v>3001</v>
      </c>
      <c r="M10968" t="s">
        <v>330</v>
      </c>
      <c r="N10968" t="s">
        <v>331</v>
      </c>
      <c r="O10968" t="s">
        <v>108</v>
      </c>
      <c r="P10968" t="str">
        <f>"75063"</f>
        <v>75063</v>
      </c>
    </row>
    <row r="10969" spans="1:16" x14ac:dyDescent="0.25">
      <c r="A10969" t="str">
        <f>"1170003M00189    00"</f>
        <v>1170003M00189    00</v>
      </c>
      <c r="B10969" t="s">
        <v>24249</v>
      </c>
      <c r="C10969" t="s">
        <v>24250</v>
      </c>
      <c r="D10969" t="s">
        <v>20</v>
      </c>
      <c r="E10969" t="s">
        <v>39</v>
      </c>
      <c r="F10969">
        <v>0</v>
      </c>
      <c r="G10969">
        <v>0</v>
      </c>
      <c r="H10969">
        <v>2</v>
      </c>
      <c r="I10969" s="3">
        <v>591.88</v>
      </c>
      <c r="J10969" s="3">
        <v>0</v>
      </c>
      <c r="K10969" t="s">
        <v>24251</v>
      </c>
      <c r="L10969">
        <v>11</v>
      </c>
      <c r="M10969" t="s">
        <v>24089</v>
      </c>
      <c r="N10969" t="s">
        <v>30</v>
      </c>
      <c r="O10969" t="s">
        <v>31</v>
      </c>
      <c r="P10969" t="str">
        <f>"15203"</f>
        <v>15203</v>
      </c>
    </row>
    <row r="10970" spans="1:16" x14ac:dyDescent="0.25">
      <c r="A10970" t="str">
        <f>"1170003M00192    00"</f>
        <v>1170003M00192    00</v>
      </c>
      <c r="B10970" t="s">
        <v>24086</v>
      </c>
      <c r="C10970" t="s">
        <v>24252</v>
      </c>
      <c r="D10970" t="s">
        <v>20</v>
      </c>
      <c r="E10970" t="s">
        <v>39</v>
      </c>
      <c r="F10970">
        <v>0</v>
      </c>
      <c r="G10970">
        <v>0</v>
      </c>
      <c r="H10970">
        <v>1</v>
      </c>
      <c r="I10970" s="3">
        <v>535.6</v>
      </c>
      <c r="J10970" s="3">
        <v>0</v>
      </c>
      <c r="K10970" t="s">
        <v>24088</v>
      </c>
      <c r="L10970">
        <v>22</v>
      </c>
      <c r="M10970" t="s">
        <v>24089</v>
      </c>
      <c r="N10970" t="s">
        <v>30</v>
      </c>
      <c r="O10970" t="s">
        <v>31</v>
      </c>
      <c r="P10970" t="str">
        <f>"15203"</f>
        <v>15203</v>
      </c>
    </row>
    <row r="10971" spans="1:16" x14ac:dyDescent="0.25">
      <c r="A10971" t="str">
        <f>"1170003M00203    00"</f>
        <v>1170003M00203    00</v>
      </c>
      <c r="B10971" t="s">
        <v>24253</v>
      </c>
      <c r="C10971" t="s">
        <v>24254</v>
      </c>
      <c r="E10971" t="s">
        <v>39</v>
      </c>
      <c r="F10971">
        <v>0</v>
      </c>
      <c r="G10971">
        <v>0</v>
      </c>
      <c r="H10971">
        <v>2</v>
      </c>
      <c r="I10971" s="3">
        <v>3430.84</v>
      </c>
      <c r="J10971" s="3">
        <v>343.06</v>
      </c>
      <c r="K10971" t="s">
        <v>24255</v>
      </c>
      <c r="L10971">
        <v>4115</v>
      </c>
      <c r="M10971" t="s">
        <v>22972</v>
      </c>
      <c r="N10971" t="s">
        <v>79</v>
      </c>
      <c r="O10971" t="s">
        <v>31</v>
      </c>
      <c r="P10971" t="str">
        <f>"15668"</f>
        <v>15668</v>
      </c>
    </row>
    <row r="10972" spans="1:16" x14ac:dyDescent="0.25">
      <c r="A10972" t="str">
        <f>"1170003M00207    00"</f>
        <v>1170003M00207    00</v>
      </c>
      <c r="B10972" t="s">
        <v>24256</v>
      </c>
      <c r="C10972" t="s">
        <v>24257</v>
      </c>
      <c r="D10972" t="s">
        <v>20</v>
      </c>
      <c r="E10972" t="s">
        <v>21</v>
      </c>
      <c r="F10972">
        <v>0</v>
      </c>
      <c r="G10972">
        <v>0</v>
      </c>
      <c r="H10972">
        <v>1</v>
      </c>
      <c r="I10972" s="3">
        <v>5995.21</v>
      </c>
      <c r="J10972" s="3">
        <v>0</v>
      </c>
      <c r="L10972">
        <v>64</v>
      </c>
      <c r="M10972" t="s">
        <v>24106</v>
      </c>
      <c r="N10972" t="s">
        <v>30</v>
      </c>
      <c r="O10972" t="s">
        <v>31</v>
      </c>
      <c r="P10972" t="str">
        <f>"15203"</f>
        <v>15203</v>
      </c>
    </row>
    <row r="10973" spans="1:16" x14ac:dyDescent="0.25">
      <c r="A10973" t="str">
        <f>"1170003M00225    00"</f>
        <v>1170003M00225    00</v>
      </c>
      <c r="B10973" t="s">
        <v>24256</v>
      </c>
      <c r="C10973" t="s">
        <v>24258</v>
      </c>
      <c r="E10973" t="s">
        <v>21</v>
      </c>
      <c r="F10973">
        <v>0</v>
      </c>
      <c r="G10973">
        <v>0</v>
      </c>
      <c r="H10973">
        <v>2</v>
      </c>
      <c r="I10973" s="3">
        <v>21.14</v>
      </c>
      <c r="J10973" s="3">
        <v>0.16</v>
      </c>
      <c r="L10973">
        <v>64</v>
      </c>
      <c r="M10973" t="s">
        <v>24106</v>
      </c>
      <c r="N10973" t="s">
        <v>30</v>
      </c>
      <c r="O10973" t="s">
        <v>31</v>
      </c>
      <c r="P10973" t="str">
        <f>"15203"</f>
        <v>15203</v>
      </c>
    </row>
    <row r="10974" spans="1:16" x14ac:dyDescent="0.25">
      <c r="A10974" t="str">
        <f>"1170003M00232    00"</f>
        <v>1170003M00232    00</v>
      </c>
      <c r="B10974" t="s">
        <v>24086</v>
      </c>
      <c r="C10974" t="s">
        <v>24259</v>
      </c>
      <c r="D10974" t="s">
        <v>20</v>
      </c>
      <c r="E10974" t="s">
        <v>21</v>
      </c>
      <c r="F10974">
        <v>0</v>
      </c>
      <c r="G10974">
        <v>0</v>
      </c>
      <c r="H10974">
        <v>1</v>
      </c>
      <c r="I10974" s="3">
        <v>2597.89</v>
      </c>
      <c r="J10974" s="3">
        <v>0</v>
      </c>
      <c r="K10974" t="s">
        <v>24088</v>
      </c>
      <c r="L10974">
        <v>22</v>
      </c>
      <c r="M10974" t="s">
        <v>24089</v>
      </c>
      <c r="N10974" t="s">
        <v>30</v>
      </c>
      <c r="O10974" t="s">
        <v>31</v>
      </c>
      <c r="P10974" t="str">
        <f>"15203"</f>
        <v>15203</v>
      </c>
    </row>
    <row r="10975" spans="1:16" x14ac:dyDescent="0.25">
      <c r="A10975" t="str">
        <f>"1170003M00241    00"</f>
        <v>1170003M00241    00</v>
      </c>
      <c r="B10975" t="s">
        <v>24260</v>
      </c>
      <c r="C10975" t="s">
        <v>24261</v>
      </c>
      <c r="D10975" t="s">
        <v>20</v>
      </c>
      <c r="E10975" t="s">
        <v>39</v>
      </c>
      <c r="F10975">
        <v>0</v>
      </c>
      <c r="G10975">
        <v>0</v>
      </c>
      <c r="H10975">
        <v>1</v>
      </c>
      <c r="I10975" s="3">
        <v>2177.33</v>
      </c>
      <c r="J10975" s="3">
        <v>0</v>
      </c>
      <c r="K10975" t="s">
        <v>24262</v>
      </c>
      <c r="M10975" t="s">
        <v>24263</v>
      </c>
      <c r="N10975" t="s">
        <v>1412</v>
      </c>
      <c r="O10975" t="s">
        <v>1413</v>
      </c>
      <c r="P10975" t="str">
        <f>"28272"</f>
        <v>28272</v>
      </c>
    </row>
    <row r="10976" spans="1:16" x14ac:dyDescent="0.25">
      <c r="A10976" t="str">
        <f>"1170003M00255    00"</f>
        <v>1170003M00255    00</v>
      </c>
      <c r="B10976" t="s">
        <v>24264</v>
      </c>
      <c r="C10976" t="s">
        <v>24265</v>
      </c>
      <c r="E10976" t="s">
        <v>39</v>
      </c>
      <c r="F10976">
        <v>0</v>
      </c>
      <c r="G10976">
        <v>0</v>
      </c>
      <c r="H10976">
        <v>1</v>
      </c>
      <c r="I10976" s="3">
        <v>2274.1999999999998</v>
      </c>
      <c r="J10976" s="3">
        <v>1572.93</v>
      </c>
      <c r="K10976" t="s">
        <v>24266</v>
      </c>
      <c r="L10976">
        <v>823</v>
      </c>
      <c r="M10976" t="s">
        <v>24267</v>
      </c>
      <c r="N10976" t="s">
        <v>30</v>
      </c>
      <c r="O10976" t="s">
        <v>31</v>
      </c>
      <c r="P10976" t="str">
        <f>"15239"</f>
        <v>15239</v>
      </c>
    </row>
    <row r="10977" spans="1:16" x14ac:dyDescent="0.25">
      <c r="A10977" t="str">
        <f>"1170003M00262A   00"</f>
        <v>1170003M00262A   00</v>
      </c>
      <c r="B10977" t="s">
        <v>24268</v>
      </c>
      <c r="C10977" t="s">
        <v>24269</v>
      </c>
      <c r="E10977" t="s">
        <v>39</v>
      </c>
      <c r="F10977">
        <v>0</v>
      </c>
      <c r="G10977">
        <v>0</v>
      </c>
      <c r="H10977">
        <v>1</v>
      </c>
      <c r="I10977" s="3">
        <v>104.84</v>
      </c>
      <c r="J10977" s="3">
        <v>20.98</v>
      </c>
      <c r="K10977" t="s">
        <v>4500</v>
      </c>
      <c r="L10977">
        <v>3001</v>
      </c>
      <c r="M10977" t="s">
        <v>330</v>
      </c>
      <c r="N10977" t="s">
        <v>331</v>
      </c>
      <c r="O10977" t="s">
        <v>108</v>
      </c>
      <c r="P10977" t="str">
        <f>"75063"</f>
        <v>75063</v>
      </c>
    </row>
    <row r="10978" spans="1:16" x14ac:dyDescent="0.25">
      <c r="A10978" t="str">
        <f>"1170003M00265    00"</f>
        <v>1170003M00265    00</v>
      </c>
      <c r="B10978" t="s">
        <v>23292</v>
      </c>
      <c r="C10978" t="s">
        <v>24270</v>
      </c>
      <c r="D10978" t="s">
        <v>20</v>
      </c>
      <c r="E10978" t="s">
        <v>39</v>
      </c>
      <c r="F10978">
        <v>0</v>
      </c>
      <c r="G10978">
        <v>0</v>
      </c>
      <c r="H10978">
        <v>14</v>
      </c>
      <c r="I10978" s="3">
        <v>29306.69</v>
      </c>
      <c r="J10978" s="3">
        <v>16599.580000000002</v>
      </c>
      <c r="K10978" t="s">
        <v>23294</v>
      </c>
      <c r="L10978">
        <v>623</v>
      </c>
      <c r="M10978" t="s">
        <v>24271</v>
      </c>
      <c r="N10978" t="s">
        <v>238</v>
      </c>
      <c r="O10978" t="s">
        <v>31</v>
      </c>
      <c r="P10978" t="str">
        <f>"15132"</f>
        <v>15132</v>
      </c>
    </row>
    <row r="10979" spans="1:16" x14ac:dyDescent="0.25">
      <c r="A10979" t="str">
        <f>"1170003M00266    00"</f>
        <v>1170003M00266    00</v>
      </c>
      <c r="B10979" t="s">
        <v>22617</v>
      </c>
      <c r="C10979" t="s">
        <v>24272</v>
      </c>
      <c r="E10979" t="s">
        <v>39</v>
      </c>
      <c r="F10979">
        <v>0</v>
      </c>
      <c r="G10979">
        <v>0</v>
      </c>
      <c r="H10979">
        <v>1</v>
      </c>
      <c r="I10979" s="3">
        <v>2954.3</v>
      </c>
      <c r="J10979" s="3">
        <v>0</v>
      </c>
      <c r="K10979" t="s">
        <v>22619</v>
      </c>
      <c r="L10979">
        <v>1735</v>
      </c>
      <c r="M10979" t="s">
        <v>22600</v>
      </c>
      <c r="N10979" t="s">
        <v>30</v>
      </c>
      <c r="O10979" t="s">
        <v>31</v>
      </c>
      <c r="P10979" t="str">
        <f>"15203"</f>
        <v>15203</v>
      </c>
    </row>
    <row r="10980" spans="1:16" x14ac:dyDescent="0.25">
      <c r="A10980" t="str">
        <f>"1170003M00327    00"</f>
        <v>1170003M00327    00</v>
      </c>
      <c r="B10980" t="s">
        <v>24273</v>
      </c>
      <c r="C10980" t="s">
        <v>24274</v>
      </c>
      <c r="D10980" t="s">
        <v>20</v>
      </c>
      <c r="E10980" t="s">
        <v>39</v>
      </c>
      <c r="F10980">
        <v>0</v>
      </c>
      <c r="G10980">
        <v>0</v>
      </c>
      <c r="H10980">
        <v>4</v>
      </c>
      <c r="I10980" s="3">
        <v>6386.9</v>
      </c>
      <c r="J10980" s="3">
        <v>1059.31</v>
      </c>
      <c r="K10980" t="s">
        <v>24275</v>
      </c>
      <c r="L10980">
        <v>115</v>
      </c>
      <c r="M10980" t="s">
        <v>24276</v>
      </c>
      <c r="N10980" t="s">
        <v>30</v>
      </c>
      <c r="O10980" t="s">
        <v>31</v>
      </c>
      <c r="P10980" t="str">
        <f>"15203"</f>
        <v>15203</v>
      </c>
    </row>
    <row r="10981" spans="1:16" x14ac:dyDescent="0.25">
      <c r="A10981" t="str">
        <f>"1170003M00341B   00"</f>
        <v>1170003M00341B   00</v>
      </c>
      <c r="B10981" t="s">
        <v>24277</v>
      </c>
      <c r="C10981" t="s">
        <v>24278</v>
      </c>
      <c r="D10981" t="s">
        <v>57</v>
      </c>
      <c r="E10981" t="s">
        <v>39</v>
      </c>
      <c r="F10981">
        <v>0</v>
      </c>
      <c r="G10981">
        <v>0</v>
      </c>
      <c r="H10981">
        <v>1</v>
      </c>
      <c r="I10981" s="3">
        <v>31.04</v>
      </c>
      <c r="J10981" s="3">
        <v>9.31</v>
      </c>
      <c r="K10981" t="s">
        <v>759</v>
      </c>
      <c r="L10981">
        <v>3001</v>
      </c>
      <c r="M10981" t="s">
        <v>404</v>
      </c>
      <c r="N10981" t="s">
        <v>331</v>
      </c>
      <c r="O10981" t="s">
        <v>108</v>
      </c>
      <c r="P10981" t="str">
        <f>"75063"</f>
        <v>75063</v>
      </c>
    </row>
    <row r="10982" spans="1:16" x14ac:dyDescent="0.25">
      <c r="A10982" t="str">
        <f>"1170003M00343    00"</f>
        <v>1170003M00343    00</v>
      </c>
      <c r="B10982" t="s">
        <v>24279</v>
      </c>
      <c r="C10982" t="s">
        <v>24280</v>
      </c>
      <c r="D10982" t="s">
        <v>20</v>
      </c>
      <c r="E10982" t="s">
        <v>39</v>
      </c>
      <c r="F10982">
        <v>0</v>
      </c>
      <c r="G10982">
        <v>0</v>
      </c>
      <c r="H10982">
        <v>2</v>
      </c>
      <c r="I10982" s="3">
        <v>1560.75</v>
      </c>
      <c r="J10982" s="3">
        <v>0</v>
      </c>
      <c r="K10982" t="s">
        <v>24281</v>
      </c>
      <c r="L10982">
        <v>129</v>
      </c>
      <c r="M10982" t="s">
        <v>4734</v>
      </c>
      <c r="N10982" t="s">
        <v>30</v>
      </c>
      <c r="O10982" t="s">
        <v>31</v>
      </c>
      <c r="P10982" t="str">
        <f>"15203"</f>
        <v>15203</v>
      </c>
    </row>
    <row r="10983" spans="1:16" x14ac:dyDescent="0.25">
      <c r="A10983" t="str">
        <f>"1170003M00348    00"</f>
        <v>1170003M00348    00</v>
      </c>
      <c r="B10983" t="s">
        <v>24282</v>
      </c>
      <c r="C10983" t="s">
        <v>24283</v>
      </c>
      <c r="D10983" t="s">
        <v>20</v>
      </c>
      <c r="E10983" t="s">
        <v>39</v>
      </c>
      <c r="F10983">
        <v>0</v>
      </c>
      <c r="G10983">
        <v>0</v>
      </c>
      <c r="H10983">
        <v>1</v>
      </c>
      <c r="I10983" s="3">
        <v>2091.35</v>
      </c>
      <c r="J10983" s="3">
        <v>0</v>
      </c>
      <c r="K10983" t="s">
        <v>24284</v>
      </c>
      <c r="L10983">
        <v>42</v>
      </c>
      <c r="M10983" t="s">
        <v>24285</v>
      </c>
      <c r="N10983" t="s">
        <v>30</v>
      </c>
      <c r="O10983" t="s">
        <v>31</v>
      </c>
      <c r="P10983" t="str">
        <f>"15203"</f>
        <v>15203</v>
      </c>
    </row>
    <row r="10984" spans="1:16" x14ac:dyDescent="0.25">
      <c r="A10984" t="str">
        <f>"1170003M00351    00"</f>
        <v>1170003M00351    00</v>
      </c>
      <c r="B10984" t="s">
        <v>24286</v>
      </c>
      <c r="C10984" t="s">
        <v>24287</v>
      </c>
      <c r="E10984" t="s">
        <v>39</v>
      </c>
      <c r="F10984">
        <v>0</v>
      </c>
      <c r="G10984">
        <v>0</v>
      </c>
      <c r="H10984">
        <v>1</v>
      </c>
      <c r="I10984" s="3">
        <v>1429.5</v>
      </c>
      <c r="J10984" s="3">
        <v>285.89</v>
      </c>
      <c r="L10984">
        <v>1800</v>
      </c>
      <c r="M10984" t="s">
        <v>22595</v>
      </c>
      <c r="N10984" t="s">
        <v>1928</v>
      </c>
      <c r="O10984" t="s">
        <v>31</v>
      </c>
      <c r="P10984" t="str">
        <f>"15317"</f>
        <v>15317</v>
      </c>
    </row>
    <row r="10985" spans="1:16" x14ac:dyDescent="0.25">
      <c r="A10985" t="str">
        <f>"1170003M00361    01"</f>
        <v>1170003M00361    01</v>
      </c>
      <c r="B10985" t="s">
        <v>24288</v>
      </c>
      <c r="C10985" t="s">
        <v>24289</v>
      </c>
      <c r="E10985" t="s">
        <v>513</v>
      </c>
      <c r="F10985">
        <v>0</v>
      </c>
      <c r="G10985">
        <v>0</v>
      </c>
      <c r="H10985">
        <v>1</v>
      </c>
      <c r="I10985" s="3">
        <v>58.96</v>
      </c>
      <c r="J10985" s="3">
        <v>87.48</v>
      </c>
      <c r="K10985" t="s">
        <v>24290</v>
      </c>
      <c r="M10985" t="s">
        <v>24291</v>
      </c>
      <c r="N10985" t="s">
        <v>30</v>
      </c>
      <c r="O10985" t="s">
        <v>31</v>
      </c>
      <c r="P10985" t="str">
        <f>"15230"</f>
        <v>15230</v>
      </c>
    </row>
    <row r="10986" spans="1:16" x14ac:dyDescent="0.25">
      <c r="A10986" t="str">
        <f>"1170003M00379    00"</f>
        <v>1170003M00379    00</v>
      </c>
      <c r="B10986" t="s">
        <v>24292</v>
      </c>
      <c r="C10986" t="s">
        <v>24293</v>
      </c>
      <c r="D10986" t="s">
        <v>20</v>
      </c>
      <c r="E10986" t="s">
        <v>21</v>
      </c>
      <c r="F10986">
        <v>0</v>
      </c>
      <c r="G10986">
        <v>0</v>
      </c>
      <c r="H10986">
        <v>3</v>
      </c>
      <c r="I10986" s="3">
        <v>862.47</v>
      </c>
      <c r="J10986" s="3">
        <v>107.95</v>
      </c>
      <c r="L10986">
        <v>1111</v>
      </c>
      <c r="M10986" t="s">
        <v>24294</v>
      </c>
      <c r="N10986" t="s">
        <v>30</v>
      </c>
      <c r="O10986" t="s">
        <v>31</v>
      </c>
      <c r="P10986" t="str">
        <f>"15203"</f>
        <v>15203</v>
      </c>
    </row>
    <row r="10987" spans="1:16" x14ac:dyDescent="0.25">
      <c r="A10987" t="str">
        <f>"1170003M00425    00"</f>
        <v>1170003M00425    00</v>
      </c>
      <c r="B10987" t="s">
        <v>24194</v>
      </c>
      <c r="C10987" t="s">
        <v>24295</v>
      </c>
      <c r="E10987" t="s">
        <v>39</v>
      </c>
      <c r="F10987">
        <v>0</v>
      </c>
      <c r="G10987">
        <v>0</v>
      </c>
      <c r="H10987">
        <v>1</v>
      </c>
      <c r="I10987" s="3">
        <v>152.47999999999999</v>
      </c>
      <c r="J10987" s="3">
        <v>0</v>
      </c>
      <c r="K10987" t="s">
        <v>24196</v>
      </c>
      <c r="L10987">
        <v>4642</v>
      </c>
      <c r="M10987" t="s">
        <v>24197</v>
      </c>
      <c r="N10987" t="s">
        <v>30</v>
      </c>
      <c r="O10987" t="s">
        <v>31</v>
      </c>
      <c r="P10987" t="str">
        <f>"15201"</f>
        <v>15201</v>
      </c>
    </row>
    <row r="10988" spans="1:16" x14ac:dyDescent="0.25">
      <c r="A10988" t="str">
        <f>"1170003M00426    00"</f>
        <v>1170003M00426    00</v>
      </c>
      <c r="B10988" t="s">
        <v>24194</v>
      </c>
      <c r="C10988" t="s">
        <v>24195</v>
      </c>
      <c r="E10988" t="s">
        <v>39</v>
      </c>
      <c r="F10988">
        <v>0</v>
      </c>
      <c r="G10988">
        <v>0</v>
      </c>
      <c r="H10988">
        <v>1</v>
      </c>
      <c r="I10988" s="3">
        <v>152.47999999999999</v>
      </c>
      <c r="J10988" s="3">
        <v>0</v>
      </c>
      <c r="K10988" t="s">
        <v>24196</v>
      </c>
      <c r="L10988">
        <v>4642</v>
      </c>
      <c r="M10988" t="s">
        <v>24197</v>
      </c>
      <c r="N10988" t="s">
        <v>30</v>
      </c>
      <c r="O10988" t="s">
        <v>31</v>
      </c>
      <c r="P10988" t="str">
        <f>"15201"</f>
        <v>15201</v>
      </c>
    </row>
    <row r="10989" spans="1:16" x14ac:dyDescent="0.25">
      <c r="A10989" t="str">
        <f>"1170003M00427    00"</f>
        <v>1170003M00427    00</v>
      </c>
      <c r="B10989" t="s">
        <v>24194</v>
      </c>
      <c r="C10989" t="s">
        <v>24295</v>
      </c>
      <c r="E10989" t="s">
        <v>39</v>
      </c>
      <c r="F10989">
        <v>0</v>
      </c>
      <c r="G10989">
        <v>0</v>
      </c>
      <c r="H10989">
        <v>1</v>
      </c>
      <c r="I10989" s="3">
        <v>152.47999999999999</v>
      </c>
      <c r="J10989" s="3">
        <v>0</v>
      </c>
      <c r="K10989" t="s">
        <v>24196</v>
      </c>
      <c r="L10989">
        <v>4642</v>
      </c>
      <c r="M10989" t="s">
        <v>24197</v>
      </c>
      <c r="N10989" t="s">
        <v>30</v>
      </c>
      <c r="O10989" t="s">
        <v>31</v>
      </c>
      <c r="P10989" t="str">
        <f>"15201"</f>
        <v>15201</v>
      </c>
    </row>
    <row r="10990" spans="1:16" x14ac:dyDescent="0.25">
      <c r="A10990" t="str">
        <f>"1170003M00428    00"</f>
        <v>1170003M00428    00</v>
      </c>
      <c r="B10990" t="s">
        <v>24194</v>
      </c>
      <c r="C10990" t="s">
        <v>24195</v>
      </c>
      <c r="E10990" t="s">
        <v>39</v>
      </c>
      <c r="F10990">
        <v>0</v>
      </c>
      <c r="G10990">
        <v>0</v>
      </c>
      <c r="H10990">
        <v>1</v>
      </c>
      <c r="I10990" s="3">
        <v>152.47999999999999</v>
      </c>
      <c r="J10990" s="3">
        <v>0</v>
      </c>
      <c r="K10990" t="s">
        <v>24196</v>
      </c>
      <c r="L10990">
        <v>4642</v>
      </c>
      <c r="M10990" t="s">
        <v>24197</v>
      </c>
      <c r="N10990" t="s">
        <v>30</v>
      </c>
      <c r="O10990" t="s">
        <v>31</v>
      </c>
      <c r="P10990" t="str">
        <f>"15201"</f>
        <v>15201</v>
      </c>
    </row>
    <row r="10991" spans="1:16" x14ac:dyDescent="0.25">
      <c r="A10991" t="str">
        <f>"1170003R00020    00"</f>
        <v>1170003R00020    00</v>
      </c>
      <c r="B10991" t="s">
        <v>24296</v>
      </c>
      <c r="C10991" t="s">
        <v>24297</v>
      </c>
      <c r="D10991" t="s">
        <v>57</v>
      </c>
      <c r="E10991" t="s">
        <v>39</v>
      </c>
      <c r="F10991">
        <v>0</v>
      </c>
      <c r="G10991">
        <v>0</v>
      </c>
      <c r="H10991">
        <v>1</v>
      </c>
      <c r="I10991" s="3">
        <v>968.84</v>
      </c>
      <c r="J10991" s="3">
        <v>363.3</v>
      </c>
      <c r="K10991" t="s">
        <v>5352</v>
      </c>
      <c r="L10991">
        <v>3001</v>
      </c>
      <c r="M10991" t="s">
        <v>330</v>
      </c>
      <c r="N10991" t="s">
        <v>331</v>
      </c>
      <c r="O10991" t="s">
        <v>108</v>
      </c>
      <c r="P10991" t="str">
        <f>"75063"</f>
        <v>75063</v>
      </c>
    </row>
    <row r="10992" spans="1:16" x14ac:dyDescent="0.25">
      <c r="A10992" t="str">
        <f>"1170003R00022    00"</f>
        <v>1170003R00022    00</v>
      </c>
      <c r="B10992" t="s">
        <v>20743</v>
      </c>
      <c r="C10992" t="s">
        <v>24298</v>
      </c>
      <c r="E10992" t="s">
        <v>39</v>
      </c>
      <c r="F10992">
        <v>0</v>
      </c>
      <c r="G10992">
        <v>0</v>
      </c>
      <c r="H10992">
        <v>1</v>
      </c>
      <c r="I10992" s="3">
        <v>1250.3399999999999</v>
      </c>
      <c r="J10992" s="3">
        <v>0</v>
      </c>
      <c r="K10992" t="s">
        <v>20745</v>
      </c>
      <c r="L10992">
        <v>502</v>
      </c>
      <c r="M10992" t="s">
        <v>8680</v>
      </c>
      <c r="N10992" t="s">
        <v>8681</v>
      </c>
      <c r="O10992" t="s">
        <v>108</v>
      </c>
      <c r="P10992" t="str">
        <f>"75002"</f>
        <v>75002</v>
      </c>
    </row>
    <row r="10993" spans="1:16" x14ac:dyDescent="0.25">
      <c r="A10993" t="str">
        <f>"1170003R00024    00"</f>
        <v>1170003R00024    00</v>
      </c>
      <c r="B10993" t="s">
        <v>24299</v>
      </c>
      <c r="C10993" t="s">
        <v>24300</v>
      </c>
      <c r="D10993" t="s">
        <v>20</v>
      </c>
      <c r="E10993" t="s">
        <v>39</v>
      </c>
      <c r="F10993">
        <v>0</v>
      </c>
      <c r="G10993">
        <v>0</v>
      </c>
      <c r="H10993">
        <v>5</v>
      </c>
      <c r="I10993" s="3">
        <v>6980.29</v>
      </c>
      <c r="J10993" s="3">
        <v>1205.96</v>
      </c>
      <c r="L10993">
        <v>4916</v>
      </c>
      <c r="M10993" t="s">
        <v>2901</v>
      </c>
      <c r="N10993" t="s">
        <v>30</v>
      </c>
      <c r="O10993" t="s">
        <v>31</v>
      </c>
      <c r="P10993" t="str">
        <f>"15224"</f>
        <v>15224</v>
      </c>
    </row>
    <row r="10994" spans="1:16" x14ac:dyDescent="0.25">
      <c r="A10994" t="str">
        <f>"1170003R00029    00"</f>
        <v>1170003R00029    00</v>
      </c>
      <c r="B10994" t="s">
        <v>24301</v>
      </c>
      <c r="C10994" t="s">
        <v>24302</v>
      </c>
      <c r="D10994" t="s">
        <v>20</v>
      </c>
      <c r="E10994" t="s">
        <v>39</v>
      </c>
      <c r="F10994">
        <v>0</v>
      </c>
      <c r="G10994">
        <v>0</v>
      </c>
      <c r="H10994">
        <v>1</v>
      </c>
      <c r="I10994" s="3">
        <v>1061.6500000000001</v>
      </c>
      <c r="J10994" s="3">
        <v>0</v>
      </c>
      <c r="L10994">
        <v>2961</v>
      </c>
      <c r="M10994" t="s">
        <v>23194</v>
      </c>
      <c r="N10994" t="s">
        <v>30</v>
      </c>
      <c r="O10994" t="s">
        <v>31</v>
      </c>
      <c r="P10994" t="str">
        <f>"15216"</f>
        <v>15216</v>
      </c>
    </row>
    <row r="10995" spans="1:16" x14ac:dyDescent="0.25">
      <c r="A10995" t="str">
        <f>"1170003R00053    00"</f>
        <v>1170003R00053    00</v>
      </c>
      <c r="B10995" t="s">
        <v>24303</v>
      </c>
      <c r="C10995" t="s">
        <v>24304</v>
      </c>
      <c r="D10995" t="s">
        <v>20</v>
      </c>
      <c r="E10995" t="s">
        <v>39</v>
      </c>
      <c r="F10995">
        <v>0</v>
      </c>
      <c r="G10995">
        <v>0</v>
      </c>
      <c r="H10995">
        <v>19</v>
      </c>
      <c r="I10995" s="3">
        <v>16309.03</v>
      </c>
      <c r="J10995" s="3">
        <v>14962.88</v>
      </c>
      <c r="P10995" t="str">
        <f>""</f>
        <v/>
      </c>
    </row>
    <row r="10996" spans="1:16" x14ac:dyDescent="0.25">
      <c r="A10996" t="str">
        <f>"1170003R00056    00"</f>
        <v>1170003R00056    00</v>
      </c>
      <c r="B10996" t="s">
        <v>24305</v>
      </c>
      <c r="C10996" t="s">
        <v>24306</v>
      </c>
      <c r="D10996" t="s">
        <v>20</v>
      </c>
      <c r="E10996" t="s">
        <v>39</v>
      </c>
      <c r="F10996">
        <v>0</v>
      </c>
      <c r="G10996">
        <v>0</v>
      </c>
      <c r="H10996">
        <v>1</v>
      </c>
      <c r="I10996" s="3">
        <v>287.82</v>
      </c>
      <c r="J10996" s="3">
        <v>0</v>
      </c>
      <c r="L10996">
        <v>29</v>
      </c>
      <c r="M10996" t="s">
        <v>24307</v>
      </c>
      <c r="N10996" t="s">
        <v>30</v>
      </c>
      <c r="O10996" t="s">
        <v>31</v>
      </c>
      <c r="P10996" t="str">
        <f>"15203"</f>
        <v>15203</v>
      </c>
    </row>
    <row r="10997" spans="1:16" x14ac:dyDescent="0.25">
      <c r="A10997" t="str">
        <f>"1170003R00069    00"</f>
        <v>1170003R00069    00</v>
      </c>
      <c r="B10997" t="s">
        <v>24308</v>
      </c>
      <c r="C10997" t="s">
        <v>24309</v>
      </c>
      <c r="E10997" t="s">
        <v>39</v>
      </c>
      <c r="F10997">
        <v>0</v>
      </c>
      <c r="G10997">
        <v>0</v>
      </c>
      <c r="H10997">
        <v>2</v>
      </c>
      <c r="I10997" s="3">
        <v>48.54</v>
      </c>
      <c r="J10997" s="3">
        <v>12.09</v>
      </c>
      <c r="K10997" t="s">
        <v>24310</v>
      </c>
      <c r="L10997">
        <v>305</v>
      </c>
      <c r="M10997" t="s">
        <v>24311</v>
      </c>
      <c r="N10997" t="s">
        <v>24312</v>
      </c>
      <c r="O10997" t="s">
        <v>2767</v>
      </c>
      <c r="P10997" t="str">
        <f>"36604"</f>
        <v>36604</v>
      </c>
    </row>
    <row r="10998" spans="1:16" x14ac:dyDescent="0.25">
      <c r="A10998" t="str">
        <f>"1170003R00105    00"</f>
        <v>1170003R00105    00</v>
      </c>
      <c r="B10998" t="s">
        <v>24308</v>
      </c>
      <c r="C10998" t="s">
        <v>24309</v>
      </c>
      <c r="E10998" t="s">
        <v>39</v>
      </c>
      <c r="F10998">
        <v>0</v>
      </c>
      <c r="G10998">
        <v>0</v>
      </c>
      <c r="H10998">
        <v>2</v>
      </c>
      <c r="I10998" s="3">
        <v>567.29999999999995</v>
      </c>
      <c r="J10998" s="3">
        <v>134.56</v>
      </c>
      <c r="K10998" t="s">
        <v>24310</v>
      </c>
      <c r="L10998">
        <v>305</v>
      </c>
      <c r="M10998" t="s">
        <v>24311</v>
      </c>
      <c r="N10998" t="s">
        <v>24312</v>
      </c>
      <c r="O10998" t="s">
        <v>2767</v>
      </c>
      <c r="P10998" t="str">
        <f>"36604"</f>
        <v>36604</v>
      </c>
    </row>
    <row r="10999" spans="1:16" x14ac:dyDescent="0.25">
      <c r="A10999" t="str">
        <f>"1170003R00116    00"</f>
        <v>1170003R00116    00</v>
      </c>
      <c r="B10999" t="s">
        <v>24313</v>
      </c>
      <c r="C10999" t="s">
        <v>24314</v>
      </c>
      <c r="E10999" t="s">
        <v>39</v>
      </c>
      <c r="F10999">
        <v>0</v>
      </c>
      <c r="G10999">
        <v>0</v>
      </c>
      <c r="H10999">
        <v>1</v>
      </c>
      <c r="I10999" s="3">
        <v>478.39</v>
      </c>
      <c r="J10999" s="3">
        <v>0</v>
      </c>
      <c r="L10999">
        <v>31</v>
      </c>
      <c r="M10999" t="s">
        <v>24315</v>
      </c>
      <c r="N10999" t="s">
        <v>30</v>
      </c>
      <c r="O10999" t="s">
        <v>31</v>
      </c>
      <c r="P10999" t="str">
        <f>"15203"</f>
        <v>15203</v>
      </c>
    </row>
    <row r="11000" spans="1:16" x14ac:dyDescent="0.25">
      <c r="A11000" t="str">
        <f>"1170003R00117    00"</f>
        <v>1170003R00117    00</v>
      </c>
      <c r="B11000" t="s">
        <v>24316</v>
      </c>
      <c r="C11000" t="s">
        <v>24317</v>
      </c>
      <c r="D11000" t="s">
        <v>20</v>
      </c>
      <c r="E11000" t="s">
        <v>39</v>
      </c>
      <c r="F11000">
        <v>0</v>
      </c>
      <c r="G11000">
        <v>0</v>
      </c>
      <c r="H11000">
        <v>2</v>
      </c>
      <c r="I11000" s="3">
        <v>1464.8</v>
      </c>
      <c r="J11000" s="3">
        <v>0</v>
      </c>
      <c r="L11000">
        <v>27</v>
      </c>
      <c r="M11000" t="s">
        <v>24318</v>
      </c>
      <c r="N11000" t="s">
        <v>30</v>
      </c>
      <c r="O11000" t="s">
        <v>31</v>
      </c>
      <c r="P11000" t="str">
        <f>"15203"</f>
        <v>15203</v>
      </c>
    </row>
    <row r="11001" spans="1:16" x14ac:dyDescent="0.25">
      <c r="A11001" t="str">
        <f>"1170003R00127    00"</f>
        <v>1170003R00127    00</v>
      </c>
      <c r="B11001" t="s">
        <v>24319</v>
      </c>
      <c r="C11001" t="s">
        <v>24320</v>
      </c>
      <c r="D11001" t="s">
        <v>20</v>
      </c>
      <c r="E11001" t="s">
        <v>39</v>
      </c>
      <c r="F11001">
        <v>0</v>
      </c>
      <c r="G11001">
        <v>0</v>
      </c>
      <c r="H11001">
        <v>2</v>
      </c>
      <c r="I11001" s="3">
        <v>251.6</v>
      </c>
      <c r="J11001" s="3">
        <v>0</v>
      </c>
      <c r="L11001">
        <v>203</v>
      </c>
      <c r="M11001" t="s">
        <v>24321</v>
      </c>
      <c r="N11001" t="s">
        <v>1353</v>
      </c>
      <c r="O11001" t="s">
        <v>31</v>
      </c>
      <c r="P11001" t="str">
        <f>"15085"</f>
        <v>15085</v>
      </c>
    </row>
    <row r="11002" spans="1:16" x14ac:dyDescent="0.25">
      <c r="A11002" t="str">
        <f>"1170003R00139    00"</f>
        <v>1170003R00139    00</v>
      </c>
      <c r="B11002" t="s">
        <v>24319</v>
      </c>
      <c r="C11002" t="s">
        <v>23201</v>
      </c>
      <c r="D11002" t="s">
        <v>20</v>
      </c>
      <c r="E11002" t="s">
        <v>39</v>
      </c>
      <c r="F11002">
        <v>0</v>
      </c>
      <c r="G11002">
        <v>0</v>
      </c>
      <c r="H11002">
        <v>2</v>
      </c>
      <c r="I11002" s="3">
        <v>144.86000000000001</v>
      </c>
      <c r="J11002" s="3">
        <v>0</v>
      </c>
      <c r="K11002" t="s">
        <v>24322</v>
      </c>
      <c r="L11002">
        <v>203</v>
      </c>
      <c r="M11002" t="s">
        <v>24321</v>
      </c>
      <c r="N11002" t="s">
        <v>1353</v>
      </c>
      <c r="O11002" t="s">
        <v>31</v>
      </c>
      <c r="P11002" t="str">
        <f>"15085"</f>
        <v>15085</v>
      </c>
    </row>
    <row r="11003" spans="1:16" x14ac:dyDescent="0.25">
      <c r="A11003" t="str">
        <f>"1170003R00140    00"</f>
        <v>1170003R00140    00</v>
      </c>
      <c r="B11003" t="s">
        <v>24319</v>
      </c>
      <c r="C11003" t="s">
        <v>23201</v>
      </c>
      <c r="D11003" t="s">
        <v>20</v>
      </c>
      <c r="E11003" t="s">
        <v>39</v>
      </c>
      <c r="F11003">
        <v>0</v>
      </c>
      <c r="G11003">
        <v>0</v>
      </c>
      <c r="H11003">
        <v>3</v>
      </c>
      <c r="I11003" s="3">
        <v>960.63</v>
      </c>
      <c r="J11003" s="3">
        <v>16.010000000000002</v>
      </c>
      <c r="L11003">
        <v>203</v>
      </c>
      <c r="M11003" t="s">
        <v>24321</v>
      </c>
      <c r="N11003" t="s">
        <v>1353</v>
      </c>
      <c r="O11003" t="s">
        <v>31</v>
      </c>
      <c r="P11003" t="str">
        <f>"15085"</f>
        <v>15085</v>
      </c>
    </row>
    <row r="11004" spans="1:16" x14ac:dyDescent="0.25">
      <c r="A11004" t="str">
        <f>"1170003R00158    00"</f>
        <v>1170003R00158    00</v>
      </c>
      <c r="B11004" t="s">
        <v>24133</v>
      </c>
      <c r="C11004" t="s">
        <v>24126</v>
      </c>
      <c r="D11004" t="s">
        <v>20</v>
      </c>
      <c r="E11004" t="s">
        <v>39</v>
      </c>
      <c r="F11004">
        <v>0</v>
      </c>
      <c r="G11004">
        <v>0</v>
      </c>
      <c r="H11004">
        <v>3</v>
      </c>
      <c r="I11004" s="3">
        <v>423.12</v>
      </c>
      <c r="J11004" s="3">
        <v>28.21</v>
      </c>
      <c r="K11004" t="s">
        <v>24135</v>
      </c>
      <c r="L11004">
        <v>5960</v>
      </c>
      <c r="M11004" t="s">
        <v>24138</v>
      </c>
      <c r="N11004" t="s">
        <v>24137</v>
      </c>
      <c r="O11004" t="s">
        <v>495</v>
      </c>
      <c r="P11004" t="str">
        <f>"95822"</f>
        <v>95822</v>
      </c>
    </row>
    <row r="11005" spans="1:16" x14ac:dyDescent="0.25">
      <c r="A11005" t="str">
        <f>"1170003S00005    00"</f>
        <v>1170003S00005    00</v>
      </c>
      <c r="B11005" t="s">
        <v>24323</v>
      </c>
      <c r="C11005" t="s">
        <v>24324</v>
      </c>
      <c r="D11005" t="s">
        <v>20</v>
      </c>
      <c r="E11005" t="s">
        <v>39</v>
      </c>
      <c r="F11005">
        <v>0</v>
      </c>
      <c r="G11005">
        <v>0</v>
      </c>
      <c r="H11005">
        <v>4</v>
      </c>
      <c r="I11005" s="3">
        <v>374.07</v>
      </c>
      <c r="J11005" s="3">
        <v>25.5</v>
      </c>
      <c r="K11005" t="s">
        <v>710</v>
      </c>
      <c r="L11005">
        <v>4140</v>
      </c>
      <c r="M11005" t="s">
        <v>711</v>
      </c>
      <c r="N11005" t="s">
        <v>712</v>
      </c>
      <c r="O11005" t="s">
        <v>31</v>
      </c>
      <c r="P11005" t="str">
        <f>"16148"</f>
        <v>16148</v>
      </c>
    </row>
    <row r="11006" spans="1:16" x14ac:dyDescent="0.25">
      <c r="A11006" t="str">
        <f>"1170003S00007    00"</f>
        <v>1170003S00007    00</v>
      </c>
      <c r="B11006" t="s">
        <v>24323</v>
      </c>
      <c r="C11006" t="s">
        <v>24324</v>
      </c>
      <c r="D11006" t="s">
        <v>20</v>
      </c>
      <c r="E11006" t="s">
        <v>39</v>
      </c>
      <c r="F11006">
        <v>0</v>
      </c>
      <c r="G11006">
        <v>0</v>
      </c>
      <c r="H11006">
        <v>4</v>
      </c>
      <c r="I11006" s="3">
        <v>7129.87</v>
      </c>
      <c r="J11006" s="3">
        <v>485.88</v>
      </c>
      <c r="K11006" t="s">
        <v>710</v>
      </c>
      <c r="L11006">
        <v>4140</v>
      </c>
      <c r="M11006" t="s">
        <v>711</v>
      </c>
      <c r="N11006" t="s">
        <v>712</v>
      </c>
      <c r="O11006" t="s">
        <v>31</v>
      </c>
      <c r="P11006" t="str">
        <f>"16148"</f>
        <v>16148</v>
      </c>
    </row>
    <row r="11007" spans="1:16" x14ac:dyDescent="0.25">
      <c r="A11007" t="str">
        <f>"1170003S00015    00"</f>
        <v>1170003S00015    00</v>
      </c>
      <c r="B11007" t="s">
        <v>24325</v>
      </c>
      <c r="C11007" t="s">
        <v>24326</v>
      </c>
      <c r="D11007" t="s">
        <v>20</v>
      </c>
      <c r="E11007" t="s">
        <v>39</v>
      </c>
      <c r="F11007">
        <v>0</v>
      </c>
      <c r="G11007">
        <v>0</v>
      </c>
      <c r="H11007">
        <v>4</v>
      </c>
      <c r="I11007" s="3">
        <v>7653.98</v>
      </c>
      <c r="J11007" s="3">
        <v>707.16</v>
      </c>
      <c r="L11007">
        <v>15</v>
      </c>
      <c r="M11007" t="s">
        <v>24327</v>
      </c>
      <c r="N11007" t="s">
        <v>30</v>
      </c>
      <c r="O11007" t="s">
        <v>31</v>
      </c>
      <c r="P11007" t="str">
        <f>"15203"</f>
        <v>15203</v>
      </c>
    </row>
    <row r="11008" spans="1:16" x14ac:dyDescent="0.25">
      <c r="A11008" t="str">
        <f>"1170003S00060    00"</f>
        <v>1170003S00060    00</v>
      </c>
      <c r="B11008" t="s">
        <v>24328</v>
      </c>
      <c r="C11008" t="s">
        <v>24329</v>
      </c>
      <c r="D11008" t="s">
        <v>20</v>
      </c>
      <c r="E11008" t="s">
        <v>39</v>
      </c>
      <c r="F11008">
        <v>0</v>
      </c>
      <c r="G11008">
        <v>0</v>
      </c>
      <c r="H11008">
        <v>1</v>
      </c>
      <c r="I11008" s="3">
        <v>114.36</v>
      </c>
      <c r="J11008" s="3">
        <v>0</v>
      </c>
      <c r="L11008">
        <v>58</v>
      </c>
      <c r="M11008" t="s">
        <v>24330</v>
      </c>
      <c r="N11008" t="s">
        <v>30</v>
      </c>
      <c r="O11008" t="s">
        <v>31</v>
      </c>
      <c r="P11008" t="str">
        <f>"15203"</f>
        <v>15203</v>
      </c>
    </row>
    <row r="11009" spans="1:16" x14ac:dyDescent="0.25">
      <c r="A11009" t="str">
        <f>"1170003S00062    00"</f>
        <v>1170003S00062    00</v>
      </c>
      <c r="B11009" t="s">
        <v>24331</v>
      </c>
      <c r="C11009" t="s">
        <v>24332</v>
      </c>
      <c r="D11009" t="s">
        <v>20</v>
      </c>
      <c r="E11009" t="s">
        <v>39</v>
      </c>
      <c r="F11009">
        <v>0</v>
      </c>
      <c r="G11009">
        <v>0</v>
      </c>
      <c r="H11009">
        <v>3</v>
      </c>
      <c r="I11009" s="3">
        <v>3127.77</v>
      </c>
      <c r="J11009" s="3">
        <v>208.51</v>
      </c>
      <c r="L11009">
        <v>608</v>
      </c>
      <c r="M11009" t="s">
        <v>24333</v>
      </c>
      <c r="N11009" t="s">
        <v>903</v>
      </c>
      <c r="O11009" t="s">
        <v>31</v>
      </c>
      <c r="P11009" t="str">
        <f>"15136"</f>
        <v>15136</v>
      </c>
    </row>
    <row r="11010" spans="1:16" x14ac:dyDescent="0.25">
      <c r="A11010" t="str">
        <f>"1170003S00064    00"</f>
        <v>1170003S00064    00</v>
      </c>
      <c r="B11010" t="s">
        <v>24334</v>
      </c>
      <c r="C11010" t="s">
        <v>24329</v>
      </c>
      <c r="D11010" t="s">
        <v>20</v>
      </c>
      <c r="E11010" t="s">
        <v>39</v>
      </c>
      <c r="F11010">
        <v>0</v>
      </c>
      <c r="G11010">
        <v>0</v>
      </c>
      <c r="H11010">
        <v>2</v>
      </c>
      <c r="I11010" s="3">
        <v>125.82</v>
      </c>
      <c r="J11010" s="3">
        <v>0</v>
      </c>
      <c r="M11010" t="s">
        <v>24335</v>
      </c>
      <c r="N11010" t="s">
        <v>30</v>
      </c>
      <c r="O11010" t="s">
        <v>31</v>
      </c>
      <c r="P11010" t="str">
        <f>"15210"</f>
        <v>15210</v>
      </c>
    </row>
    <row r="11011" spans="1:16" x14ac:dyDescent="0.25">
      <c r="A11011" t="str">
        <f>"1170003S00066    00"</f>
        <v>1170003S00066    00</v>
      </c>
      <c r="B11011" t="s">
        <v>24334</v>
      </c>
      <c r="C11011" t="s">
        <v>24336</v>
      </c>
      <c r="D11011" t="s">
        <v>20</v>
      </c>
      <c r="E11011" t="s">
        <v>39</v>
      </c>
      <c r="F11011">
        <v>0</v>
      </c>
      <c r="G11011">
        <v>0</v>
      </c>
      <c r="H11011">
        <v>3</v>
      </c>
      <c r="I11011" s="3">
        <v>2159.81</v>
      </c>
      <c r="J11011" s="3">
        <v>208.07</v>
      </c>
      <c r="M11011" t="s">
        <v>24335</v>
      </c>
      <c r="N11011" t="s">
        <v>30</v>
      </c>
      <c r="O11011" t="s">
        <v>31</v>
      </c>
      <c r="P11011" t="str">
        <f>"15210"</f>
        <v>15210</v>
      </c>
    </row>
    <row r="11012" spans="1:16" x14ac:dyDescent="0.25">
      <c r="A11012" t="str">
        <f>"1170003S00084    00"</f>
        <v>1170003S00084    00</v>
      </c>
      <c r="B11012" t="s">
        <v>24337</v>
      </c>
      <c r="C11012" t="s">
        <v>24338</v>
      </c>
      <c r="D11012" t="s">
        <v>20</v>
      </c>
      <c r="E11012" t="s">
        <v>39</v>
      </c>
      <c r="F11012">
        <v>0</v>
      </c>
      <c r="G11012">
        <v>0</v>
      </c>
      <c r="H11012">
        <v>2</v>
      </c>
      <c r="I11012" s="3">
        <v>228.72</v>
      </c>
      <c r="J11012" s="3">
        <v>0</v>
      </c>
      <c r="L11012">
        <v>129</v>
      </c>
      <c r="M11012" t="s">
        <v>24339</v>
      </c>
      <c r="N11012" t="s">
        <v>30</v>
      </c>
      <c r="O11012" t="s">
        <v>31</v>
      </c>
      <c r="P11012" t="str">
        <f>"15203"</f>
        <v>15203</v>
      </c>
    </row>
    <row r="11013" spans="1:16" x14ac:dyDescent="0.25">
      <c r="A11013" t="str">
        <f>"1170003S00085    00"</f>
        <v>1170003S00085    00</v>
      </c>
      <c r="B11013" t="s">
        <v>24337</v>
      </c>
      <c r="C11013" t="s">
        <v>24338</v>
      </c>
      <c r="D11013" t="s">
        <v>20</v>
      </c>
      <c r="E11013" t="s">
        <v>39</v>
      </c>
      <c r="F11013">
        <v>0</v>
      </c>
      <c r="G11013">
        <v>0</v>
      </c>
      <c r="H11013">
        <v>2</v>
      </c>
      <c r="I11013" s="3">
        <v>228.72</v>
      </c>
      <c r="J11013" s="3">
        <v>0</v>
      </c>
      <c r="L11013">
        <v>129</v>
      </c>
      <c r="M11013" t="s">
        <v>24339</v>
      </c>
      <c r="N11013" t="s">
        <v>30</v>
      </c>
      <c r="O11013" t="s">
        <v>31</v>
      </c>
      <c r="P11013" t="str">
        <f>"15203"</f>
        <v>15203</v>
      </c>
    </row>
    <row r="11014" spans="1:16" x14ac:dyDescent="0.25">
      <c r="A11014" t="str">
        <f>"1170003S00086    00"</f>
        <v>1170003S00086    00</v>
      </c>
      <c r="B11014" t="s">
        <v>24337</v>
      </c>
      <c r="C11014" t="s">
        <v>24338</v>
      </c>
      <c r="D11014" t="s">
        <v>20</v>
      </c>
      <c r="E11014" t="s">
        <v>39</v>
      </c>
      <c r="F11014">
        <v>0</v>
      </c>
      <c r="G11014">
        <v>0</v>
      </c>
      <c r="H11014">
        <v>4</v>
      </c>
      <c r="I11014" s="3">
        <v>3746.23</v>
      </c>
      <c r="J11014" s="3">
        <v>173.31</v>
      </c>
      <c r="L11014">
        <v>129</v>
      </c>
      <c r="M11014" t="s">
        <v>24339</v>
      </c>
      <c r="N11014" t="s">
        <v>30</v>
      </c>
      <c r="O11014" t="s">
        <v>31</v>
      </c>
      <c r="P11014" t="str">
        <f>"15203"</f>
        <v>15203</v>
      </c>
    </row>
    <row r="11015" spans="1:16" x14ac:dyDescent="0.25">
      <c r="A11015" t="str">
        <f>"1170003S00087    00"</f>
        <v>1170003S00087    00</v>
      </c>
      <c r="B11015" t="s">
        <v>24340</v>
      </c>
      <c r="C11015" t="s">
        <v>24341</v>
      </c>
      <c r="E11015" t="s">
        <v>39</v>
      </c>
      <c r="F11015">
        <v>0</v>
      </c>
      <c r="G11015">
        <v>0</v>
      </c>
      <c r="H11015">
        <v>1</v>
      </c>
      <c r="I11015" s="3">
        <v>493.37</v>
      </c>
      <c r="J11015" s="3">
        <v>0</v>
      </c>
      <c r="K11015" t="s">
        <v>24342</v>
      </c>
      <c r="L11015">
        <v>130</v>
      </c>
      <c r="M11015" t="s">
        <v>24339</v>
      </c>
      <c r="N11015" t="s">
        <v>30</v>
      </c>
      <c r="O11015" t="s">
        <v>31</v>
      </c>
      <c r="P11015" t="str">
        <f>"15203"</f>
        <v>15203</v>
      </c>
    </row>
    <row r="11016" spans="1:16" x14ac:dyDescent="0.25">
      <c r="A11016" t="str">
        <f>"1170003S00106    00"</f>
        <v>1170003S00106    00</v>
      </c>
      <c r="B11016" t="s">
        <v>24343</v>
      </c>
      <c r="C11016" t="s">
        <v>24344</v>
      </c>
      <c r="E11016" t="s">
        <v>39</v>
      </c>
      <c r="F11016">
        <v>0</v>
      </c>
      <c r="G11016">
        <v>0</v>
      </c>
      <c r="H11016">
        <v>2</v>
      </c>
      <c r="I11016" s="3">
        <v>9857.84</v>
      </c>
      <c r="J11016" s="3">
        <v>123.22</v>
      </c>
      <c r="K11016" t="s">
        <v>24345</v>
      </c>
      <c r="L11016">
        <v>101</v>
      </c>
      <c r="M11016" t="s">
        <v>24346</v>
      </c>
      <c r="N11016" t="s">
        <v>30</v>
      </c>
      <c r="O11016" t="s">
        <v>31</v>
      </c>
      <c r="P11016" t="str">
        <f>"15203"</f>
        <v>15203</v>
      </c>
    </row>
    <row r="11017" spans="1:16" x14ac:dyDescent="0.25">
      <c r="A11017" t="str">
        <f>"1170003S00110    00"</f>
        <v>1170003S00110    00</v>
      </c>
      <c r="B11017" t="s">
        <v>24347</v>
      </c>
      <c r="C11017" t="s">
        <v>24348</v>
      </c>
      <c r="E11017" t="s">
        <v>39</v>
      </c>
      <c r="F11017">
        <v>0</v>
      </c>
      <c r="G11017">
        <v>0</v>
      </c>
      <c r="H11017">
        <v>2</v>
      </c>
      <c r="I11017" s="3">
        <v>98.85</v>
      </c>
      <c r="J11017" s="3">
        <v>67.33</v>
      </c>
      <c r="K11017" t="s">
        <v>391</v>
      </c>
      <c r="L11017">
        <v>1</v>
      </c>
      <c r="M11017" t="s">
        <v>392</v>
      </c>
      <c r="N11017" t="s">
        <v>393</v>
      </c>
      <c r="O11017" t="s">
        <v>394</v>
      </c>
      <c r="P11017" t="str">
        <f>"50328"</f>
        <v>50328</v>
      </c>
    </row>
    <row r="11018" spans="1:16" x14ac:dyDescent="0.25">
      <c r="A11018" t="str">
        <f>"1170003S00110000100"</f>
        <v>1170003S00110000100</v>
      </c>
      <c r="B11018" t="s">
        <v>24347</v>
      </c>
      <c r="C11018" t="s">
        <v>24348</v>
      </c>
      <c r="E11018" t="s">
        <v>39</v>
      </c>
      <c r="F11018">
        <v>0</v>
      </c>
      <c r="G11018">
        <v>0</v>
      </c>
      <c r="H11018">
        <v>1</v>
      </c>
      <c r="I11018" s="3">
        <v>49.01</v>
      </c>
      <c r="J11018" s="3">
        <v>33.9</v>
      </c>
      <c r="L11018">
        <v>103</v>
      </c>
      <c r="M11018" t="s">
        <v>24346</v>
      </c>
      <c r="N11018" t="s">
        <v>30</v>
      </c>
      <c r="O11018" t="s">
        <v>31</v>
      </c>
      <c r="P11018" t="str">
        <f>"15203"</f>
        <v>15203</v>
      </c>
    </row>
    <row r="11019" spans="1:16" x14ac:dyDescent="0.25">
      <c r="A11019" t="str">
        <f>"1170003S00127    00"</f>
        <v>1170003S00127    00</v>
      </c>
      <c r="B11019" t="s">
        <v>22977</v>
      </c>
      <c r="C11019" t="s">
        <v>24349</v>
      </c>
      <c r="D11019" t="s">
        <v>20</v>
      </c>
      <c r="E11019" t="s">
        <v>39</v>
      </c>
      <c r="F11019">
        <v>0</v>
      </c>
      <c r="G11019">
        <v>0</v>
      </c>
      <c r="H11019">
        <v>7</v>
      </c>
      <c r="I11019" s="3">
        <v>2626.86</v>
      </c>
      <c r="J11019" s="3">
        <v>690.22</v>
      </c>
      <c r="K11019" t="s">
        <v>24350</v>
      </c>
      <c r="L11019">
        <v>316</v>
      </c>
      <c r="M11019" t="s">
        <v>23720</v>
      </c>
      <c r="N11019" t="s">
        <v>30</v>
      </c>
      <c r="O11019" t="s">
        <v>31</v>
      </c>
      <c r="P11019" t="str">
        <f>"15210"</f>
        <v>15210</v>
      </c>
    </row>
    <row r="11020" spans="1:16" x14ac:dyDescent="0.25">
      <c r="A11020" t="str">
        <f>"1170003S00128    00"</f>
        <v>1170003S00128    00</v>
      </c>
      <c r="B11020" t="s">
        <v>22975</v>
      </c>
      <c r="C11020" t="s">
        <v>24351</v>
      </c>
      <c r="D11020" t="s">
        <v>20</v>
      </c>
      <c r="E11020" t="s">
        <v>39</v>
      </c>
      <c r="F11020">
        <v>0</v>
      </c>
      <c r="G11020">
        <v>0</v>
      </c>
      <c r="H11020">
        <v>3</v>
      </c>
      <c r="I11020" s="3">
        <v>343.08</v>
      </c>
      <c r="J11020" s="3">
        <v>22.87</v>
      </c>
      <c r="K11020" t="s">
        <v>22977</v>
      </c>
      <c r="M11020" t="s">
        <v>23046</v>
      </c>
      <c r="N11020" t="s">
        <v>30</v>
      </c>
      <c r="O11020" t="s">
        <v>31</v>
      </c>
      <c r="P11020" t="str">
        <f>"15210"</f>
        <v>15210</v>
      </c>
    </row>
    <row r="11021" spans="1:16" x14ac:dyDescent="0.25">
      <c r="A11021" t="str">
        <f>"1170003S00131    00"</f>
        <v>1170003S00131    00</v>
      </c>
      <c r="B11021" t="s">
        <v>24352</v>
      </c>
      <c r="C11021" t="s">
        <v>24353</v>
      </c>
      <c r="D11021" t="s">
        <v>20</v>
      </c>
      <c r="E11021" t="s">
        <v>39</v>
      </c>
      <c r="F11021">
        <v>0</v>
      </c>
      <c r="G11021">
        <v>0</v>
      </c>
      <c r="H11021">
        <v>3</v>
      </c>
      <c r="I11021" s="3">
        <v>28.22</v>
      </c>
      <c r="J11021" s="3">
        <v>2.74</v>
      </c>
      <c r="L11021">
        <v>9435</v>
      </c>
      <c r="M11021" t="s">
        <v>24354</v>
      </c>
      <c r="N11021" t="s">
        <v>30</v>
      </c>
      <c r="O11021" t="s">
        <v>31</v>
      </c>
      <c r="P11021" t="str">
        <f>"15237"</f>
        <v>15237</v>
      </c>
    </row>
    <row r="11022" spans="1:16" x14ac:dyDescent="0.25">
      <c r="A11022" t="str">
        <f>"1170003S00137    00"</f>
        <v>1170003S00137    00</v>
      </c>
      <c r="B11022" t="s">
        <v>24355</v>
      </c>
      <c r="C11022" t="s">
        <v>24353</v>
      </c>
      <c r="D11022" t="s">
        <v>20</v>
      </c>
      <c r="E11022" t="s">
        <v>39</v>
      </c>
      <c r="F11022">
        <v>0</v>
      </c>
      <c r="G11022">
        <v>0</v>
      </c>
      <c r="H11022">
        <v>3</v>
      </c>
      <c r="I11022" s="3">
        <v>154.41</v>
      </c>
      <c r="J11022" s="3">
        <v>10.3</v>
      </c>
      <c r="K11022" t="s">
        <v>5324</v>
      </c>
      <c r="L11022">
        <v>6850</v>
      </c>
      <c r="M11022" t="s">
        <v>763</v>
      </c>
      <c r="N11022" t="s">
        <v>764</v>
      </c>
      <c r="O11022" t="s">
        <v>25</v>
      </c>
      <c r="P11022" t="str">
        <f>"44141"</f>
        <v>44141</v>
      </c>
    </row>
    <row r="11023" spans="1:16" x14ac:dyDescent="0.25">
      <c r="A11023" t="str">
        <f>"1170003S00153    00"</f>
        <v>1170003S00153    00</v>
      </c>
      <c r="B11023" t="s">
        <v>24356</v>
      </c>
      <c r="C11023" t="s">
        <v>24357</v>
      </c>
      <c r="E11023" t="s">
        <v>39</v>
      </c>
      <c r="F11023">
        <v>0</v>
      </c>
      <c r="G11023">
        <v>0</v>
      </c>
      <c r="H11023">
        <v>1</v>
      </c>
      <c r="I11023" s="3">
        <v>1084.6500000000001</v>
      </c>
      <c r="J11023" s="3">
        <v>433.84</v>
      </c>
      <c r="K11023" t="s">
        <v>24358</v>
      </c>
      <c r="L11023">
        <v>815</v>
      </c>
      <c r="M11023" t="s">
        <v>24359</v>
      </c>
      <c r="N11023" t="s">
        <v>546</v>
      </c>
      <c r="O11023" t="s">
        <v>31</v>
      </c>
      <c r="P11023" t="str">
        <f>"15044"</f>
        <v>15044</v>
      </c>
    </row>
    <row r="11024" spans="1:16" x14ac:dyDescent="0.25">
      <c r="A11024" t="str">
        <f>"1170003S00190    00"</f>
        <v>1170003S00190    00</v>
      </c>
      <c r="B11024" t="s">
        <v>24360</v>
      </c>
      <c r="C11024" t="s">
        <v>24361</v>
      </c>
      <c r="D11024" t="s">
        <v>20</v>
      </c>
      <c r="E11024" t="s">
        <v>39</v>
      </c>
      <c r="F11024">
        <v>0</v>
      </c>
      <c r="G11024">
        <v>0</v>
      </c>
      <c r="H11024">
        <v>2</v>
      </c>
      <c r="I11024" s="3">
        <v>1504.38</v>
      </c>
      <c r="J11024" s="3">
        <v>0</v>
      </c>
      <c r="K11024" t="s">
        <v>24362</v>
      </c>
      <c r="L11024">
        <v>108</v>
      </c>
      <c r="M11024" t="s">
        <v>22775</v>
      </c>
      <c r="N11024" t="s">
        <v>22776</v>
      </c>
      <c r="O11024" t="s">
        <v>31</v>
      </c>
      <c r="P11024" t="str">
        <f>"16041"</f>
        <v>16041</v>
      </c>
    </row>
    <row r="11025" spans="1:16" x14ac:dyDescent="0.25">
      <c r="A11025" t="str">
        <f>"1170003S00192    00"</f>
        <v>1170003S00192    00</v>
      </c>
      <c r="B11025" t="s">
        <v>24363</v>
      </c>
      <c r="C11025" t="s">
        <v>24364</v>
      </c>
      <c r="D11025" t="s">
        <v>20</v>
      </c>
      <c r="E11025" t="s">
        <v>39</v>
      </c>
      <c r="F11025">
        <v>0</v>
      </c>
      <c r="G11025">
        <v>0</v>
      </c>
      <c r="H11025">
        <v>1</v>
      </c>
      <c r="I11025" s="3">
        <v>1751.62</v>
      </c>
      <c r="J11025" s="3">
        <v>0</v>
      </c>
      <c r="K11025" t="s">
        <v>24365</v>
      </c>
      <c r="L11025">
        <v>2605</v>
      </c>
      <c r="M11025" t="s">
        <v>24366</v>
      </c>
      <c r="N11025" t="s">
        <v>30</v>
      </c>
      <c r="O11025" t="s">
        <v>31</v>
      </c>
      <c r="P11025" t="str">
        <f>"15235"</f>
        <v>15235</v>
      </c>
    </row>
    <row r="11026" spans="1:16" x14ac:dyDescent="0.25">
      <c r="A11026" t="str">
        <f>"1170003S00196000100"</f>
        <v>1170003S00196000100</v>
      </c>
      <c r="B11026" t="s">
        <v>24367</v>
      </c>
      <c r="C11026" t="s">
        <v>24368</v>
      </c>
      <c r="D11026" t="s">
        <v>20</v>
      </c>
      <c r="E11026" t="s">
        <v>39</v>
      </c>
      <c r="F11026">
        <v>0</v>
      </c>
      <c r="G11026">
        <v>0</v>
      </c>
      <c r="H11026">
        <v>9</v>
      </c>
      <c r="I11026" s="3">
        <v>23.6</v>
      </c>
      <c r="J11026" s="3">
        <v>29.88</v>
      </c>
      <c r="L11026">
        <v>33</v>
      </c>
      <c r="M11026" t="s">
        <v>24369</v>
      </c>
      <c r="N11026" t="s">
        <v>30</v>
      </c>
      <c r="O11026" t="s">
        <v>31</v>
      </c>
      <c r="P11026" t="str">
        <f>"15203"</f>
        <v>15203</v>
      </c>
    </row>
    <row r="11027" spans="1:16" x14ac:dyDescent="0.25">
      <c r="A11027" t="str">
        <f>"1170003S00218A4  00"</f>
        <v>1170003S00218A4  00</v>
      </c>
      <c r="B11027" t="s">
        <v>24370</v>
      </c>
      <c r="C11027" t="s">
        <v>24371</v>
      </c>
      <c r="E11027" t="s">
        <v>39</v>
      </c>
      <c r="F11027">
        <v>0</v>
      </c>
      <c r="G11027">
        <v>0</v>
      </c>
      <c r="H11027">
        <v>1</v>
      </c>
      <c r="I11027" s="3">
        <v>780.45</v>
      </c>
      <c r="J11027" s="3">
        <v>585.30999999999995</v>
      </c>
      <c r="K11027" t="s">
        <v>24372</v>
      </c>
      <c r="L11027">
        <v>1</v>
      </c>
      <c r="M11027" t="s">
        <v>24373</v>
      </c>
      <c r="N11027" t="s">
        <v>30</v>
      </c>
      <c r="O11027" t="s">
        <v>31</v>
      </c>
      <c r="P11027" t="str">
        <f>"15203"</f>
        <v>15203</v>
      </c>
    </row>
    <row r="11028" spans="1:16" x14ac:dyDescent="0.25">
      <c r="A11028" t="str">
        <f>"1170003S00218D4  00"</f>
        <v>1170003S00218D4  00</v>
      </c>
      <c r="B11028" t="s">
        <v>24370</v>
      </c>
      <c r="C11028" t="s">
        <v>24374</v>
      </c>
      <c r="E11028" t="s">
        <v>39</v>
      </c>
      <c r="F11028">
        <v>0</v>
      </c>
      <c r="G11028">
        <v>0</v>
      </c>
      <c r="H11028">
        <v>1</v>
      </c>
      <c r="I11028" s="3">
        <v>780.45</v>
      </c>
      <c r="J11028" s="3">
        <v>591.80999999999995</v>
      </c>
      <c r="K11028" t="s">
        <v>24372</v>
      </c>
      <c r="L11028">
        <v>1</v>
      </c>
      <c r="M11028" t="s">
        <v>24373</v>
      </c>
      <c r="N11028" t="s">
        <v>30</v>
      </c>
      <c r="O11028" t="s">
        <v>31</v>
      </c>
      <c r="P11028" t="str">
        <f>"15203"</f>
        <v>15203</v>
      </c>
    </row>
    <row r="11029" spans="1:16" x14ac:dyDescent="0.25">
      <c r="A11029" t="str">
        <f>"1170003S00275    01"</f>
        <v>1170003S00275    01</v>
      </c>
      <c r="B11029" t="s">
        <v>4501</v>
      </c>
      <c r="C11029" t="s">
        <v>24375</v>
      </c>
      <c r="E11029" t="s">
        <v>513</v>
      </c>
      <c r="F11029">
        <v>0</v>
      </c>
      <c r="G11029">
        <v>0</v>
      </c>
      <c r="H11029">
        <v>1</v>
      </c>
      <c r="I11029" s="3">
        <v>234.72</v>
      </c>
      <c r="J11029" s="3">
        <v>252.32</v>
      </c>
      <c r="K11029" t="s">
        <v>603</v>
      </c>
      <c r="L11029">
        <v>650</v>
      </c>
      <c r="M11029" t="s">
        <v>604</v>
      </c>
      <c r="N11029" t="s">
        <v>605</v>
      </c>
      <c r="O11029" t="s">
        <v>606</v>
      </c>
      <c r="P11029" t="str">
        <f>"30308"</f>
        <v>30308</v>
      </c>
    </row>
    <row r="11030" spans="1:16" x14ac:dyDescent="0.25">
      <c r="A11030" t="str">
        <f>"1170003S00287    00"</f>
        <v>1170003S00287    00</v>
      </c>
      <c r="B11030" t="s">
        <v>24356</v>
      </c>
      <c r="C11030" t="s">
        <v>24376</v>
      </c>
      <c r="E11030" t="s">
        <v>39</v>
      </c>
      <c r="F11030">
        <v>0</v>
      </c>
      <c r="G11030">
        <v>0</v>
      </c>
      <c r="H11030">
        <v>1</v>
      </c>
      <c r="I11030" s="3">
        <v>1064.57</v>
      </c>
      <c r="J11030" s="3">
        <v>425.81</v>
      </c>
      <c r="K11030" t="s">
        <v>24358</v>
      </c>
      <c r="L11030">
        <v>815</v>
      </c>
      <c r="M11030" t="s">
        <v>24359</v>
      </c>
      <c r="N11030" t="s">
        <v>546</v>
      </c>
      <c r="O11030" t="s">
        <v>31</v>
      </c>
      <c r="P11030" t="str">
        <f>"15044"</f>
        <v>15044</v>
      </c>
    </row>
    <row r="11031" spans="1:16" x14ac:dyDescent="0.25">
      <c r="A11031" t="str">
        <f>"1170004H00005    00"</f>
        <v>1170004H00005    00</v>
      </c>
      <c r="B11031" t="s">
        <v>24377</v>
      </c>
      <c r="C11031" t="s">
        <v>24378</v>
      </c>
      <c r="D11031" t="s">
        <v>20</v>
      </c>
      <c r="E11031" t="s">
        <v>21</v>
      </c>
      <c r="F11031">
        <v>0</v>
      </c>
      <c r="G11031">
        <v>0</v>
      </c>
      <c r="H11031">
        <v>2</v>
      </c>
      <c r="I11031" s="3">
        <v>7365.32</v>
      </c>
      <c r="J11031" s="3">
        <v>0</v>
      </c>
      <c r="K11031" t="s">
        <v>24379</v>
      </c>
      <c r="L11031">
        <v>1184</v>
      </c>
      <c r="M11031" t="s">
        <v>24380</v>
      </c>
      <c r="N11031" t="s">
        <v>30</v>
      </c>
      <c r="O11031" t="s">
        <v>31</v>
      </c>
      <c r="P11031" t="str">
        <f>"15241"</f>
        <v>15241</v>
      </c>
    </row>
    <row r="11032" spans="1:16" x14ac:dyDescent="0.25">
      <c r="A11032" t="str">
        <f>"1170004H00008    00"</f>
        <v>1170004H00008    00</v>
      </c>
      <c r="B11032" t="s">
        <v>24381</v>
      </c>
      <c r="C11032" t="s">
        <v>24382</v>
      </c>
      <c r="D11032" t="s">
        <v>20</v>
      </c>
      <c r="E11032" t="s">
        <v>21</v>
      </c>
      <c r="F11032">
        <v>0</v>
      </c>
      <c r="G11032">
        <v>0</v>
      </c>
      <c r="H11032">
        <v>6</v>
      </c>
      <c r="I11032" s="3">
        <v>26209</v>
      </c>
      <c r="J11032" s="3">
        <v>6411.55</v>
      </c>
      <c r="M11032" t="s">
        <v>24383</v>
      </c>
      <c r="N11032" t="s">
        <v>1474</v>
      </c>
      <c r="O11032" t="s">
        <v>31</v>
      </c>
      <c r="P11032" t="str">
        <f>"15017"</f>
        <v>15017</v>
      </c>
    </row>
    <row r="11033" spans="1:16" x14ac:dyDescent="0.25">
      <c r="A11033" t="str">
        <f>"1170004H00010    00"</f>
        <v>1170004H00010    00</v>
      </c>
      <c r="B11033" t="s">
        <v>24381</v>
      </c>
      <c r="C11033" t="s">
        <v>24382</v>
      </c>
      <c r="D11033" t="s">
        <v>20</v>
      </c>
      <c r="E11033" t="s">
        <v>21</v>
      </c>
      <c r="F11033">
        <v>0</v>
      </c>
      <c r="G11033">
        <v>0</v>
      </c>
      <c r="H11033">
        <v>6</v>
      </c>
      <c r="I11033" s="3">
        <v>507.85</v>
      </c>
      <c r="J11033" s="3">
        <v>108.21</v>
      </c>
      <c r="M11033" t="s">
        <v>24383</v>
      </c>
      <c r="N11033" t="s">
        <v>1474</v>
      </c>
      <c r="O11033" t="s">
        <v>31</v>
      </c>
      <c r="P11033" t="str">
        <f>"15017"</f>
        <v>15017</v>
      </c>
    </row>
    <row r="11034" spans="1:16" x14ac:dyDescent="0.25">
      <c r="A11034" t="str">
        <f>"1170004H00014    00"</f>
        <v>1170004H00014    00</v>
      </c>
      <c r="B11034" t="s">
        <v>24381</v>
      </c>
      <c r="C11034" t="s">
        <v>24382</v>
      </c>
      <c r="D11034" t="s">
        <v>20</v>
      </c>
      <c r="E11034" t="s">
        <v>290</v>
      </c>
      <c r="F11034">
        <v>0</v>
      </c>
      <c r="G11034">
        <v>0</v>
      </c>
      <c r="H11034">
        <v>6</v>
      </c>
      <c r="I11034" s="3">
        <v>8919.81</v>
      </c>
      <c r="J11034" s="3">
        <v>2031.89</v>
      </c>
      <c r="M11034" t="s">
        <v>24383</v>
      </c>
      <c r="N11034" t="s">
        <v>1474</v>
      </c>
      <c r="O11034" t="s">
        <v>31</v>
      </c>
      <c r="P11034" t="str">
        <f>"15017"</f>
        <v>15017</v>
      </c>
    </row>
    <row r="11035" spans="1:16" x14ac:dyDescent="0.25">
      <c r="A11035" t="str">
        <f>"1170012A00044    00"</f>
        <v>1170012A00044    00</v>
      </c>
      <c r="B11035" t="s">
        <v>24384</v>
      </c>
      <c r="C11035" t="s">
        <v>24385</v>
      </c>
      <c r="D11035" t="s">
        <v>20</v>
      </c>
      <c r="E11035" t="s">
        <v>39</v>
      </c>
      <c r="F11035">
        <v>0</v>
      </c>
      <c r="G11035">
        <v>0</v>
      </c>
      <c r="H11035">
        <v>1</v>
      </c>
      <c r="I11035" s="3">
        <v>12417.6</v>
      </c>
      <c r="J11035" s="3">
        <v>0</v>
      </c>
      <c r="L11035">
        <v>20</v>
      </c>
      <c r="M11035" t="s">
        <v>24386</v>
      </c>
      <c r="N11035" t="s">
        <v>30</v>
      </c>
      <c r="O11035" t="s">
        <v>31</v>
      </c>
      <c r="P11035" t="str">
        <f>"15203"</f>
        <v>15203</v>
      </c>
    </row>
    <row r="11036" spans="1:16" x14ac:dyDescent="0.25">
      <c r="A11036" t="str">
        <f>"1170012A00051    00"</f>
        <v>1170012A00051    00</v>
      </c>
      <c r="B11036" t="s">
        <v>24387</v>
      </c>
      <c r="C11036" t="s">
        <v>24388</v>
      </c>
      <c r="D11036" t="s">
        <v>57</v>
      </c>
      <c r="E11036" t="s">
        <v>39</v>
      </c>
      <c r="F11036">
        <v>0</v>
      </c>
      <c r="G11036">
        <v>0</v>
      </c>
      <c r="H11036">
        <v>1</v>
      </c>
      <c r="I11036" s="3">
        <v>2481.96</v>
      </c>
      <c r="J11036" s="3">
        <v>682.51</v>
      </c>
      <c r="L11036">
        <v>101</v>
      </c>
      <c r="M11036" t="s">
        <v>24389</v>
      </c>
      <c r="N11036" t="s">
        <v>30</v>
      </c>
      <c r="O11036" t="s">
        <v>31</v>
      </c>
      <c r="P11036" t="str">
        <f>"15203"</f>
        <v>15203</v>
      </c>
    </row>
    <row r="11037" spans="1:16" x14ac:dyDescent="0.25">
      <c r="A11037" t="str">
        <f>"1170012A00088    00"</f>
        <v>1170012A00088    00</v>
      </c>
      <c r="B11037" t="s">
        <v>24390</v>
      </c>
      <c r="C11037" t="s">
        <v>24391</v>
      </c>
      <c r="D11037" t="s">
        <v>20</v>
      </c>
      <c r="E11037" t="s">
        <v>39</v>
      </c>
      <c r="F11037">
        <v>0</v>
      </c>
      <c r="G11037">
        <v>0</v>
      </c>
      <c r="H11037">
        <v>1</v>
      </c>
      <c r="I11037" s="3">
        <v>3324.53</v>
      </c>
      <c r="J11037" s="3">
        <v>0</v>
      </c>
      <c r="K11037" t="s">
        <v>7138</v>
      </c>
      <c r="L11037">
        <v>1123</v>
      </c>
      <c r="M11037" t="s">
        <v>7139</v>
      </c>
      <c r="N11037" t="s">
        <v>7140</v>
      </c>
      <c r="O11037" t="s">
        <v>495</v>
      </c>
      <c r="P11037" t="str">
        <f>"91724"</f>
        <v>91724</v>
      </c>
    </row>
    <row r="11038" spans="1:16" x14ac:dyDescent="0.25">
      <c r="A11038" t="str">
        <f>"1170012A00223    00"</f>
        <v>1170012A00223    00</v>
      </c>
      <c r="B11038" t="s">
        <v>24392</v>
      </c>
      <c r="C11038" t="s">
        <v>24393</v>
      </c>
      <c r="E11038" t="s">
        <v>39</v>
      </c>
      <c r="F11038">
        <v>0</v>
      </c>
      <c r="G11038">
        <v>0</v>
      </c>
      <c r="H11038">
        <v>1</v>
      </c>
      <c r="I11038" s="3">
        <v>2272.79</v>
      </c>
      <c r="J11038" s="3">
        <v>0</v>
      </c>
      <c r="K11038" t="s">
        <v>24394</v>
      </c>
      <c r="L11038">
        <v>1605</v>
      </c>
      <c r="M11038" t="s">
        <v>24395</v>
      </c>
      <c r="N11038" t="s">
        <v>30</v>
      </c>
      <c r="O11038" t="s">
        <v>31</v>
      </c>
      <c r="P11038" t="str">
        <f>"15203"</f>
        <v>15203</v>
      </c>
    </row>
    <row r="11039" spans="1:16" x14ac:dyDescent="0.25">
      <c r="A11039" t="str">
        <f>"1170012E00001250400"</f>
        <v>1170012E00001250400</v>
      </c>
      <c r="B11039" t="s">
        <v>24396</v>
      </c>
      <c r="C11039" t="s">
        <v>24397</v>
      </c>
      <c r="D11039" t="s">
        <v>57</v>
      </c>
      <c r="E11039" t="s">
        <v>39</v>
      </c>
      <c r="F11039">
        <v>0</v>
      </c>
      <c r="G11039">
        <v>0</v>
      </c>
      <c r="H11039">
        <v>2</v>
      </c>
      <c r="I11039" s="3">
        <v>1190.06</v>
      </c>
      <c r="J11039" s="3">
        <v>81.38</v>
      </c>
      <c r="K11039" t="s">
        <v>4424</v>
      </c>
      <c r="L11039">
        <v>3001</v>
      </c>
      <c r="M11039" t="s">
        <v>330</v>
      </c>
      <c r="N11039" t="s">
        <v>331</v>
      </c>
      <c r="O11039" t="s">
        <v>108</v>
      </c>
      <c r="P11039" t="str">
        <f>"75063"</f>
        <v>75063</v>
      </c>
    </row>
    <row r="11040" spans="1:16" x14ac:dyDescent="0.25">
      <c r="A11040" t="str">
        <f>"1170012E00031    00"</f>
        <v>1170012E00031    00</v>
      </c>
      <c r="B11040" t="s">
        <v>24398</v>
      </c>
      <c r="C11040" t="s">
        <v>24399</v>
      </c>
      <c r="D11040" t="s">
        <v>20</v>
      </c>
      <c r="E11040" t="s">
        <v>21</v>
      </c>
      <c r="F11040">
        <v>0</v>
      </c>
      <c r="G11040">
        <v>0</v>
      </c>
      <c r="H11040">
        <v>1</v>
      </c>
      <c r="I11040" s="3">
        <v>24.27</v>
      </c>
      <c r="J11040" s="3">
        <v>0</v>
      </c>
      <c r="L11040">
        <v>1000</v>
      </c>
      <c r="M11040" t="s">
        <v>24400</v>
      </c>
      <c r="N11040" t="s">
        <v>30</v>
      </c>
      <c r="O11040" t="s">
        <v>31</v>
      </c>
      <c r="P11040" t="str">
        <f>"15235"</f>
        <v>15235</v>
      </c>
    </row>
    <row r="11041" spans="1:16" x14ac:dyDescent="0.25">
      <c r="A11041" t="str">
        <f>"1170012E00036    00"</f>
        <v>1170012E00036    00</v>
      </c>
      <c r="B11041" t="s">
        <v>24398</v>
      </c>
      <c r="C11041" t="s">
        <v>24401</v>
      </c>
      <c r="D11041" t="s">
        <v>20</v>
      </c>
      <c r="E11041" t="s">
        <v>39</v>
      </c>
      <c r="F11041">
        <v>0</v>
      </c>
      <c r="G11041">
        <v>0</v>
      </c>
      <c r="H11041">
        <v>1</v>
      </c>
      <c r="I11041" s="3">
        <v>918.69</v>
      </c>
      <c r="J11041" s="3">
        <v>0</v>
      </c>
      <c r="L11041">
        <v>1000</v>
      </c>
      <c r="M11041" t="s">
        <v>24402</v>
      </c>
      <c r="N11041" t="s">
        <v>30</v>
      </c>
      <c r="O11041" t="s">
        <v>31</v>
      </c>
      <c r="P11041" t="str">
        <f>"15235"</f>
        <v>15235</v>
      </c>
    </row>
    <row r="11042" spans="1:16" x14ac:dyDescent="0.25">
      <c r="A11042" t="str">
        <f>"1170012E00039    00"</f>
        <v>1170012E00039    00</v>
      </c>
      <c r="B11042" t="s">
        <v>24398</v>
      </c>
      <c r="C11042" t="s">
        <v>24401</v>
      </c>
      <c r="D11042" t="s">
        <v>20</v>
      </c>
      <c r="E11042" t="s">
        <v>21</v>
      </c>
      <c r="F11042">
        <v>0</v>
      </c>
      <c r="G11042">
        <v>0</v>
      </c>
      <c r="H11042">
        <v>1</v>
      </c>
      <c r="I11042" s="3">
        <v>23.7</v>
      </c>
      <c r="J11042" s="3">
        <v>0</v>
      </c>
      <c r="L11042">
        <v>1000</v>
      </c>
      <c r="M11042" t="s">
        <v>24402</v>
      </c>
      <c r="N11042" t="s">
        <v>30</v>
      </c>
      <c r="O11042" t="s">
        <v>31</v>
      </c>
      <c r="P11042" t="str">
        <f>"15235"</f>
        <v>15235</v>
      </c>
    </row>
    <row r="11043" spans="1:16" x14ac:dyDescent="0.25">
      <c r="A11043" t="str">
        <f>"1170012E00042    00"</f>
        <v>1170012E00042    00</v>
      </c>
      <c r="B11043" t="s">
        <v>24403</v>
      </c>
      <c r="C11043" t="s">
        <v>24404</v>
      </c>
      <c r="D11043" t="s">
        <v>57</v>
      </c>
      <c r="E11043" t="s">
        <v>39</v>
      </c>
      <c r="F11043">
        <v>0</v>
      </c>
      <c r="G11043">
        <v>0</v>
      </c>
      <c r="H11043">
        <v>2</v>
      </c>
      <c r="I11043" s="3">
        <v>3680.81</v>
      </c>
      <c r="J11043" s="3">
        <v>4054.17</v>
      </c>
      <c r="K11043" t="s">
        <v>24405</v>
      </c>
      <c r="L11043">
        <v>600</v>
      </c>
      <c r="M11043" t="s">
        <v>24406</v>
      </c>
      <c r="N11043" t="s">
        <v>10264</v>
      </c>
      <c r="O11043" t="s">
        <v>692</v>
      </c>
      <c r="P11043" t="str">
        <f>"23452"</f>
        <v>23452</v>
      </c>
    </row>
    <row r="11044" spans="1:16" x14ac:dyDescent="0.25">
      <c r="A11044" t="str">
        <f>"1170012E00044    00"</f>
        <v>1170012E00044    00</v>
      </c>
      <c r="B11044" t="s">
        <v>24398</v>
      </c>
      <c r="C11044" t="s">
        <v>24407</v>
      </c>
      <c r="D11044" t="s">
        <v>20</v>
      </c>
      <c r="E11044" t="s">
        <v>21</v>
      </c>
      <c r="F11044">
        <v>0</v>
      </c>
      <c r="G11044">
        <v>0</v>
      </c>
      <c r="H11044">
        <v>1</v>
      </c>
      <c r="I11044" s="3">
        <v>504.52</v>
      </c>
      <c r="J11044" s="3">
        <v>0</v>
      </c>
      <c r="L11044">
        <v>1000</v>
      </c>
      <c r="M11044" t="s">
        <v>24402</v>
      </c>
      <c r="N11044" t="s">
        <v>30</v>
      </c>
      <c r="O11044" t="s">
        <v>31</v>
      </c>
      <c r="P11044" t="str">
        <f>"15235"</f>
        <v>15235</v>
      </c>
    </row>
    <row r="11045" spans="1:16" x14ac:dyDescent="0.25">
      <c r="A11045" t="str">
        <f>"1170012E00053    00"</f>
        <v>1170012E00053    00</v>
      </c>
      <c r="B11045" t="s">
        <v>24408</v>
      </c>
      <c r="C11045" t="s">
        <v>24409</v>
      </c>
      <c r="E11045" t="s">
        <v>39</v>
      </c>
      <c r="F11045">
        <v>0</v>
      </c>
      <c r="G11045">
        <v>0</v>
      </c>
      <c r="H11045">
        <v>1</v>
      </c>
      <c r="I11045" s="3">
        <v>1036.06</v>
      </c>
      <c r="J11045" s="3">
        <v>1027.3800000000001</v>
      </c>
      <c r="K11045" t="s">
        <v>756</v>
      </c>
      <c r="L11045">
        <v>3001</v>
      </c>
      <c r="M11045" t="s">
        <v>330</v>
      </c>
      <c r="N11045" t="s">
        <v>331</v>
      </c>
      <c r="O11045" t="s">
        <v>108</v>
      </c>
      <c r="P11045" t="str">
        <f>"75063"</f>
        <v>75063</v>
      </c>
    </row>
    <row r="11046" spans="1:16" x14ac:dyDescent="0.25">
      <c r="A11046" t="str">
        <f>"1170012E00059    00"</f>
        <v>1170012E00059    00</v>
      </c>
      <c r="B11046" t="s">
        <v>24410</v>
      </c>
      <c r="C11046" t="s">
        <v>24411</v>
      </c>
      <c r="D11046" t="s">
        <v>20</v>
      </c>
      <c r="E11046" t="s">
        <v>39</v>
      </c>
      <c r="F11046">
        <v>0</v>
      </c>
      <c r="G11046">
        <v>0</v>
      </c>
      <c r="H11046">
        <v>2</v>
      </c>
      <c r="I11046" s="3">
        <v>7658.32</v>
      </c>
      <c r="J11046" s="3">
        <v>0</v>
      </c>
      <c r="K11046" t="s">
        <v>5137</v>
      </c>
      <c r="L11046">
        <v>612</v>
      </c>
      <c r="M11046" t="s">
        <v>1451</v>
      </c>
      <c r="N11046" t="s">
        <v>5138</v>
      </c>
      <c r="O11046" t="s">
        <v>31</v>
      </c>
      <c r="P11046" t="str">
        <f>"16373"</f>
        <v>16373</v>
      </c>
    </row>
    <row r="11047" spans="1:16" x14ac:dyDescent="0.25">
      <c r="A11047" t="str">
        <f>"1170012E00065    00"</f>
        <v>1170012E00065    00</v>
      </c>
      <c r="B11047" t="s">
        <v>24412</v>
      </c>
      <c r="C11047" t="s">
        <v>24413</v>
      </c>
      <c r="E11047" t="s">
        <v>39</v>
      </c>
      <c r="F11047">
        <v>0</v>
      </c>
      <c r="G11047">
        <v>0</v>
      </c>
      <c r="H11047">
        <v>1</v>
      </c>
      <c r="I11047" s="3">
        <v>7172.53</v>
      </c>
      <c r="J11047" s="3">
        <v>2271.2199999999998</v>
      </c>
      <c r="L11047">
        <v>142</v>
      </c>
      <c r="M11047" t="s">
        <v>24414</v>
      </c>
      <c r="N11047" t="s">
        <v>321</v>
      </c>
      <c r="O11047" t="s">
        <v>31</v>
      </c>
      <c r="P11047" t="str">
        <f>"15001"</f>
        <v>15001</v>
      </c>
    </row>
    <row r="11048" spans="1:16" x14ac:dyDescent="0.25">
      <c r="A11048" t="str">
        <f>"1170012E00068    00"</f>
        <v>1170012E00068    00</v>
      </c>
      <c r="B11048" t="s">
        <v>24415</v>
      </c>
      <c r="C11048" t="s">
        <v>24416</v>
      </c>
      <c r="E11048" t="s">
        <v>39</v>
      </c>
      <c r="F11048">
        <v>0</v>
      </c>
      <c r="G11048">
        <v>0</v>
      </c>
      <c r="H11048">
        <v>1</v>
      </c>
      <c r="I11048" s="3">
        <v>6093.37</v>
      </c>
      <c r="J11048" s="3">
        <v>1929.49</v>
      </c>
      <c r="L11048">
        <v>1818</v>
      </c>
      <c r="M11048" t="s">
        <v>22481</v>
      </c>
      <c r="N11048" t="s">
        <v>30</v>
      </c>
      <c r="O11048" t="s">
        <v>31</v>
      </c>
      <c r="P11048" t="str">
        <f>"15203"</f>
        <v>15203</v>
      </c>
    </row>
    <row r="11049" spans="1:16" x14ac:dyDescent="0.25">
      <c r="A11049" t="str">
        <f>"1170012E00069    00"</f>
        <v>1170012E00069    00</v>
      </c>
      <c r="B11049" t="s">
        <v>24417</v>
      </c>
      <c r="C11049" t="s">
        <v>24418</v>
      </c>
      <c r="E11049" t="s">
        <v>39</v>
      </c>
      <c r="F11049">
        <v>0</v>
      </c>
      <c r="G11049">
        <v>0</v>
      </c>
      <c r="H11049">
        <v>1</v>
      </c>
      <c r="I11049" s="3">
        <v>7108.63</v>
      </c>
      <c r="J11049" s="3">
        <v>2250.9699999999998</v>
      </c>
      <c r="K11049" t="s">
        <v>5405</v>
      </c>
      <c r="L11049">
        <v>2701</v>
      </c>
      <c r="M11049" t="s">
        <v>24419</v>
      </c>
      <c r="N11049" t="s">
        <v>24420</v>
      </c>
      <c r="O11049" t="s">
        <v>4718</v>
      </c>
      <c r="P11049" t="str">
        <f>"55467"</f>
        <v>55467</v>
      </c>
    </row>
    <row r="11050" spans="1:16" x14ac:dyDescent="0.25">
      <c r="A11050" t="str">
        <f>"1170012E00110000700"</f>
        <v>1170012E00110000700</v>
      </c>
      <c r="B11050" t="s">
        <v>24421</v>
      </c>
      <c r="C11050" t="s">
        <v>24422</v>
      </c>
      <c r="E11050" t="s">
        <v>39</v>
      </c>
      <c r="F11050">
        <v>0</v>
      </c>
      <c r="G11050">
        <v>0</v>
      </c>
      <c r="H11050">
        <v>1</v>
      </c>
      <c r="I11050" s="3">
        <v>1681.83</v>
      </c>
      <c r="J11050" s="3">
        <v>0</v>
      </c>
      <c r="K11050" t="s">
        <v>24423</v>
      </c>
      <c r="L11050">
        <v>9324</v>
      </c>
      <c r="M11050" t="s">
        <v>24424</v>
      </c>
      <c r="N11050" t="s">
        <v>14869</v>
      </c>
      <c r="O11050" t="s">
        <v>692</v>
      </c>
      <c r="P11050" t="str">
        <f>"22031"</f>
        <v>22031</v>
      </c>
    </row>
    <row r="11051" spans="1:16" x14ac:dyDescent="0.25">
      <c r="A11051" t="str">
        <f>"1170012E00110A17 00"</f>
        <v>1170012E00110A17 00</v>
      </c>
      <c r="B11051" t="s">
        <v>24425</v>
      </c>
      <c r="C11051" t="s">
        <v>24426</v>
      </c>
      <c r="D11051" t="s">
        <v>20</v>
      </c>
      <c r="E11051" t="s">
        <v>39</v>
      </c>
      <c r="F11051">
        <v>0</v>
      </c>
      <c r="G11051">
        <v>0</v>
      </c>
      <c r="H11051">
        <v>2</v>
      </c>
      <c r="I11051" s="3">
        <v>89.18</v>
      </c>
      <c r="J11051" s="3">
        <v>0</v>
      </c>
      <c r="K11051" t="s">
        <v>24427</v>
      </c>
      <c r="L11051">
        <v>3160</v>
      </c>
      <c r="M11051" t="s">
        <v>24428</v>
      </c>
      <c r="N11051" t="s">
        <v>24429</v>
      </c>
      <c r="O11051" t="s">
        <v>495</v>
      </c>
      <c r="P11051" t="str">
        <f>"94583"</f>
        <v>94583</v>
      </c>
    </row>
    <row r="11052" spans="1:16" x14ac:dyDescent="0.25">
      <c r="A11052" t="str">
        <f>"1170012E00133    00"</f>
        <v>1170012E00133    00</v>
      </c>
      <c r="B11052" t="s">
        <v>24430</v>
      </c>
      <c r="C11052" t="s">
        <v>24431</v>
      </c>
      <c r="D11052" t="s">
        <v>20</v>
      </c>
      <c r="E11052" t="s">
        <v>21</v>
      </c>
      <c r="F11052">
        <v>0</v>
      </c>
      <c r="G11052">
        <v>0</v>
      </c>
      <c r="H11052">
        <v>2</v>
      </c>
      <c r="I11052" s="3">
        <v>56.19</v>
      </c>
      <c r="J11052" s="3">
        <v>1.23</v>
      </c>
      <c r="K11052" t="s">
        <v>24432</v>
      </c>
      <c r="L11052">
        <v>7538</v>
      </c>
      <c r="M11052" t="s">
        <v>24433</v>
      </c>
      <c r="N11052" t="s">
        <v>1158</v>
      </c>
      <c r="O11052" t="s">
        <v>370</v>
      </c>
      <c r="P11052" t="str">
        <f>"33413"</f>
        <v>33413</v>
      </c>
    </row>
    <row r="11053" spans="1:16" x14ac:dyDescent="0.25">
      <c r="A11053" t="str">
        <f>"1170012E00134    00"</f>
        <v>1170012E00134    00</v>
      </c>
      <c r="B11053" t="s">
        <v>24430</v>
      </c>
      <c r="C11053" t="s">
        <v>24431</v>
      </c>
      <c r="D11053" t="s">
        <v>20</v>
      </c>
      <c r="E11053" t="s">
        <v>21</v>
      </c>
      <c r="F11053">
        <v>0</v>
      </c>
      <c r="G11053">
        <v>0</v>
      </c>
      <c r="H11053">
        <v>2</v>
      </c>
      <c r="I11053" s="3">
        <v>1518.97</v>
      </c>
      <c r="J11053" s="3">
        <v>1.84</v>
      </c>
      <c r="K11053" t="s">
        <v>24432</v>
      </c>
      <c r="L11053">
        <v>7538</v>
      </c>
      <c r="M11053" t="s">
        <v>24433</v>
      </c>
      <c r="N11053" t="s">
        <v>1158</v>
      </c>
      <c r="O11053" t="s">
        <v>370</v>
      </c>
      <c r="P11053" t="str">
        <f>"33413"</f>
        <v>33413</v>
      </c>
    </row>
    <row r="11054" spans="1:16" x14ac:dyDescent="0.25">
      <c r="A11054" t="str">
        <f>"1170012E00163    00"</f>
        <v>1170012E00163    00</v>
      </c>
      <c r="B11054" t="s">
        <v>24434</v>
      </c>
      <c r="C11054" t="s">
        <v>24435</v>
      </c>
      <c r="E11054" t="s">
        <v>39</v>
      </c>
      <c r="F11054">
        <v>0</v>
      </c>
      <c r="G11054">
        <v>0</v>
      </c>
      <c r="H11054">
        <v>1</v>
      </c>
      <c r="I11054" s="3">
        <v>977.81</v>
      </c>
      <c r="J11054" s="3">
        <v>969.62</v>
      </c>
      <c r="K11054" t="s">
        <v>445</v>
      </c>
      <c r="L11054">
        <v>1</v>
      </c>
      <c r="M11054" t="s">
        <v>1163</v>
      </c>
      <c r="N11054" t="s">
        <v>1164</v>
      </c>
      <c r="O11054" t="s">
        <v>108</v>
      </c>
      <c r="P11054" t="str">
        <f>"76262"</f>
        <v>76262</v>
      </c>
    </row>
    <row r="11055" spans="1:16" x14ac:dyDescent="0.25">
      <c r="A11055" t="str">
        <f>"1170012E00181    00"</f>
        <v>1170012E00181    00</v>
      </c>
      <c r="B11055" t="s">
        <v>24436</v>
      </c>
      <c r="C11055" t="s">
        <v>24437</v>
      </c>
      <c r="D11055" t="s">
        <v>20</v>
      </c>
      <c r="E11055" t="s">
        <v>39</v>
      </c>
      <c r="F11055">
        <v>0</v>
      </c>
      <c r="G11055">
        <v>0</v>
      </c>
      <c r="H11055">
        <v>1</v>
      </c>
      <c r="I11055" s="3">
        <v>3548.98</v>
      </c>
      <c r="J11055" s="3">
        <v>0</v>
      </c>
      <c r="K11055" t="s">
        <v>5137</v>
      </c>
      <c r="L11055">
        <v>612</v>
      </c>
      <c r="M11055" t="s">
        <v>1451</v>
      </c>
      <c r="N11055" t="s">
        <v>5138</v>
      </c>
      <c r="O11055" t="s">
        <v>31</v>
      </c>
      <c r="P11055" t="str">
        <f>"16373"</f>
        <v>16373</v>
      </c>
    </row>
    <row r="11056" spans="1:16" x14ac:dyDescent="0.25">
      <c r="A11056" t="str">
        <f>"1170012E00208    00"</f>
        <v>1170012E00208    00</v>
      </c>
      <c r="B11056" t="s">
        <v>24438</v>
      </c>
      <c r="C11056" t="s">
        <v>24439</v>
      </c>
      <c r="D11056" t="s">
        <v>20</v>
      </c>
      <c r="E11056" t="s">
        <v>39</v>
      </c>
      <c r="F11056">
        <v>0</v>
      </c>
      <c r="G11056">
        <v>0</v>
      </c>
      <c r="H11056">
        <v>2</v>
      </c>
      <c r="I11056" s="3">
        <v>3192.62</v>
      </c>
      <c r="J11056" s="3">
        <v>0</v>
      </c>
      <c r="L11056">
        <v>58</v>
      </c>
      <c r="M11056" t="s">
        <v>24440</v>
      </c>
      <c r="N11056" t="s">
        <v>30</v>
      </c>
      <c r="O11056" t="s">
        <v>31</v>
      </c>
      <c r="P11056" t="str">
        <f>"15203"</f>
        <v>15203</v>
      </c>
    </row>
    <row r="11057" spans="1:16" x14ac:dyDescent="0.25">
      <c r="A11057" t="str">
        <f>"1170012E00219    00"</f>
        <v>1170012E00219    00</v>
      </c>
      <c r="B11057" t="s">
        <v>24441</v>
      </c>
      <c r="C11057" t="s">
        <v>24442</v>
      </c>
      <c r="E11057" t="s">
        <v>21</v>
      </c>
      <c r="F11057">
        <v>0</v>
      </c>
      <c r="G11057">
        <v>0</v>
      </c>
      <c r="H11057">
        <v>3</v>
      </c>
      <c r="I11057" s="3">
        <v>4517</v>
      </c>
      <c r="J11057" s="3">
        <v>1767.46</v>
      </c>
      <c r="L11057">
        <v>1901</v>
      </c>
      <c r="M11057" t="s">
        <v>22526</v>
      </c>
      <c r="N11057" t="s">
        <v>30</v>
      </c>
      <c r="O11057" t="s">
        <v>31</v>
      </c>
      <c r="P11057" t="str">
        <f>"15203"</f>
        <v>15203</v>
      </c>
    </row>
    <row r="11058" spans="1:16" x14ac:dyDescent="0.25">
      <c r="A11058" t="str">
        <f>"1170012E00222    00"</f>
        <v>1170012E00222    00</v>
      </c>
      <c r="B11058" t="s">
        <v>24443</v>
      </c>
      <c r="C11058" t="s">
        <v>24444</v>
      </c>
      <c r="D11058" t="s">
        <v>20</v>
      </c>
      <c r="E11058" t="s">
        <v>39</v>
      </c>
      <c r="F11058">
        <v>0</v>
      </c>
      <c r="G11058">
        <v>0</v>
      </c>
      <c r="H11058">
        <v>10</v>
      </c>
      <c r="I11058" s="3">
        <v>9881.94</v>
      </c>
      <c r="J11058" s="3">
        <v>3974.9</v>
      </c>
      <c r="L11058">
        <v>1907</v>
      </c>
      <c r="M11058" t="s">
        <v>22537</v>
      </c>
      <c r="N11058" t="s">
        <v>30</v>
      </c>
      <c r="O11058" t="s">
        <v>31</v>
      </c>
      <c r="P11058" t="str">
        <f>"15203"</f>
        <v>15203</v>
      </c>
    </row>
    <row r="11059" spans="1:16" x14ac:dyDescent="0.25">
      <c r="A11059" t="str">
        <f>"1170012E00236    00"</f>
        <v>1170012E00236    00</v>
      </c>
      <c r="B11059" t="s">
        <v>24445</v>
      </c>
      <c r="C11059" t="s">
        <v>24446</v>
      </c>
      <c r="E11059" t="s">
        <v>39</v>
      </c>
      <c r="F11059">
        <v>0</v>
      </c>
      <c r="G11059">
        <v>0</v>
      </c>
      <c r="H11059">
        <v>1</v>
      </c>
      <c r="I11059" s="3">
        <v>132.41999999999999</v>
      </c>
      <c r="J11059" s="3">
        <v>26.49</v>
      </c>
      <c r="K11059" t="s">
        <v>22594</v>
      </c>
      <c r="L11059">
        <v>1800</v>
      </c>
      <c r="M11059" t="s">
        <v>22595</v>
      </c>
      <c r="N11059" t="s">
        <v>1928</v>
      </c>
      <c r="O11059" t="s">
        <v>31</v>
      </c>
      <c r="P11059" t="str">
        <f>"15317"</f>
        <v>15317</v>
      </c>
    </row>
    <row r="11060" spans="1:16" x14ac:dyDescent="0.25">
      <c r="A11060" t="str">
        <f>"1170012E00290    00"</f>
        <v>1170012E00290    00</v>
      </c>
      <c r="B11060" t="s">
        <v>24447</v>
      </c>
      <c r="C11060" t="s">
        <v>24448</v>
      </c>
      <c r="D11060" t="s">
        <v>20</v>
      </c>
      <c r="E11060" t="s">
        <v>21</v>
      </c>
      <c r="F11060">
        <v>0</v>
      </c>
      <c r="G11060">
        <v>0</v>
      </c>
      <c r="H11060">
        <v>3</v>
      </c>
      <c r="I11060" s="3">
        <v>40269.43</v>
      </c>
      <c r="J11060" s="3">
        <v>2567.96</v>
      </c>
      <c r="L11060">
        <v>1601</v>
      </c>
      <c r="M11060" t="s">
        <v>1484</v>
      </c>
      <c r="N11060" t="s">
        <v>30</v>
      </c>
      <c r="O11060" t="s">
        <v>31</v>
      </c>
      <c r="P11060" t="str">
        <f>"15203"</f>
        <v>15203</v>
      </c>
    </row>
    <row r="11061" spans="1:16" x14ac:dyDescent="0.25">
      <c r="A11061" t="str">
        <f>"1170012E00301    00"</f>
        <v>1170012E00301    00</v>
      </c>
      <c r="B11061" t="s">
        <v>24449</v>
      </c>
      <c r="C11061" t="s">
        <v>24450</v>
      </c>
      <c r="E11061" t="s">
        <v>39</v>
      </c>
      <c r="F11061">
        <v>0</v>
      </c>
      <c r="G11061">
        <v>0</v>
      </c>
      <c r="H11061">
        <v>2</v>
      </c>
      <c r="I11061" s="3">
        <v>4036.45</v>
      </c>
      <c r="J11061" s="3">
        <v>16.29</v>
      </c>
      <c r="L11061">
        <v>4</v>
      </c>
      <c r="M11061" t="s">
        <v>24451</v>
      </c>
      <c r="N11061" t="s">
        <v>30</v>
      </c>
      <c r="O11061" t="s">
        <v>31</v>
      </c>
      <c r="P11061" t="str">
        <f>"15228"</f>
        <v>15228</v>
      </c>
    </row>
    <row r="11062" spans="1:16" x14ac:dyDescent="0.25">
      <c r="A11062" t="str">
        <f>"1170012E00305    00"</f>
        <v>1170012E00305    00</v>
      </c>
      <c r="B11062" t="s">
        <v>24452</v>
      </c>
      <c r="C11062" t="s">
        <v>24453</v>
      </c>
      <c r="E11062" t="s">
        <v>21</v>
      </c>
      <c r="F11062">
        <v>0</v>
      </c>
      <c r="G11062">
        <v>0</v>
      </c>
      <c r="H11062">
        <v>1</v>
      </c>
      <c r="I11062" s="3">
        <v>32.69</v>
      </c>
      <c r="J11062" s="3">
        <v>10.35</v>
      </c>
      <c r="K11062" t="s">
        <v>24454</v>
      </c>
      <c r="M11062" t="s">
        <v>24455</v>
      </c>
      <c r="N11062" t="s">
        <v>30</v>
      </c>
      <c r="O11062" t="s">
        <v>31</v>
      </c>
      <c r="P11062" t="str">
        <f>"15205"</f>
        <v>15205</v>
      </c>
    </row>
    <row r="11063" spans="1:16" x14ac:dyDescent="0.25">
      <c r="A11063" t="str">
        <f>"1170012E00313    00"</f>
        <v>1170012E00313    00</v>
      </c>
      <c r="B11063" t="s">
        <v>24456</v>
      </c>
      <c r="C11063" t="s">
        <v>24457</v>
      </c>
      <c r="D11063" t="s">
        <v>20</v>
      </c>
      <c r="E11063" t="s">
        <v>21</v>
      </c>
      <c r="F11063">
        <v>0</v>
      </c>
      <c r="G11063">
        <v>0</v>
      </c>
      <c r="H11063">
        <v>2</v>
      </c>
      <c r="I11063" s="3">
        <v>12437.3</v>
      </c>
      <c r="J11063" s="3">
        <v>0</v>
      </c>
      <c r="M11063" t="s">
        <v>24458</v>
      </c>
      <c r="N11063" t="s">
        <v>24459</v>
      </c>
      <c r="O11063" t="s">
        <v>31</v>
      </c>
      <c r="P11063" t="str">
        <f>"15825"</f>
        <v>15825</v>
      </c>
    </row>
    <row r="11064" spans="1:16" x14ac:dyDescent="0.25">
      <c r="A11064" t="str">
        <f>"1170012E00318    00"</f>
        <v>1170012E00318    00</v>
      </c>
      <c r="B11064" t="s">
        <v>24460</v>
      </c>
      <c r="C11064" t="s">
        <v>24461</v>
      </c>
      <c r="E11064" t="s">
        <v>39</v>
      </c>
      <c r="F11064">
        <v>0</v>
      </c>
      <c r="G11064">
        <v>0</v>
      </c>
      <c r="H11064">
        <v>2</v>
      </c>
      <c r="I11064" s="3">
        <v>2210.96</v>
      </c>
      <c r="J11064" s="3">
        <v>27.63</v>
      </c>
      <c r="K11064" t="s">
        <v>4397</v>
      </c>
      <c r="L11064">
        <v>1050</v>
      </c>
      <c r="M11064" t="s">
        <v>3522</v>
      </c>
      <c r="N11064" t="s">
        <v>3827</v>
      </c>
      <c r="O11064" t="s">
        <v>70</v>
      </c>
      <c r="P11064" t="str">
        <f>"48226"</f>
        <v>48226</v>
      </c>
    </row>
    <row r="11065" spans="1:16" x14ac:dyDescent="0.25">
      <c r="A11065" t="str">
        <f>"1170012E00335    00"</f>
        <v>1170012E00335    00</v>
      </c>
      <c r="B11065" t="s">
        <v>24462</v>
      </c>
      <c r="C11065" t="s">
        <v>24463</v>
      </c>
      <c r="D11065" t="s">
        <v>33</v>
      </c>
      <c r="E11065" t="s">
        <v>21</v>
      </c>
      <c r="F11065">
        <v>0</v>
      </c>
      <c r="G11065">
        <v>0</v>
      </c>
      <c r="H11065">
        <v>2</v>
      </c>
      <c r="I11065" s="3">
        <v>14198.32</v>
      </c>
      <c r="J11065" s="3">
        <v>118.31</v>
      </c>
      <c r="K11065" t="s">
        <v>591</v>
      </c>
      <c r="L11065">
        <v>4091</v>
      </c>
      <c r="M11065" t="s">
        <v>9275</v>
      </c>
      <c r="N11065" t="s">
        <v>195</v>
      </c>
      <c r="O11065" t="s">
        <v>31</v>
      </c>
      <c r="P11065" t="str">
        <f>"15101"</f>
        <v>15101</v>
      </c>
    </row>
    <row r="11066" spans="1:16" x14ac:dyDescent="0.25">
      <c r="A11066" t="str">
        <f>"1170012E00338    00"</f>
        <v>1170012E00338    00</v>
      </c>
      <c r="B11066" t="s">
        <v>24464</v>
      </c>
      <c r="C11066" t="s">
        <v>24465</v>
      </c>
      <c r="D11066" t="s">
        <v>20</v>
      </c>
      <c r="E11066" t="s">
        <v>21</v>
      </c>
      <c r="F11066">
        <v>0</v>
      </c>
      <c r="G11066">
        <v>0</v>
      </c>
      <c r="H11066">
        <v>1</v>
      </c>
      <c r="I11066" s="3">
        <v>18394.830000000002</v>
      </c>
      <c r="J11066" s="3">
        <v>0</v>
      </c>
      <c r="K11066" t="s">
        <v>24466</v>
      </c>
      <c r="L11066">
        <v>102</v>
      </c>
      <c r="M11066" t="s">
        <v>22685</v>
      </c>
      <c r="N11066" t="s">
        <v>30</v>
      </c>
      <c r="O11066" t="s">
        <v>31</v>
      </c>
      <c r="P11066" t="str">
        <f>"15208"</f>
        <v>15208</v>
      </c>
    </row>
    <row r="11067" spans="1:16" x14ac:dyDescent="0.25">
      <c r="A11067" t="str">
        <f>"1170012E00352    00"</f>
        <v>1170012E00352    00</v>
      </c>
      <c r="B11067" t="s">
        <v>24467</v>
      </c>
      <c r="C11067" t="s">
        <v>24468</v>
      </c>
      <c r="E11067" t="s">
        <v>21</v>
      </c>
      <c r="F11067">
        <v>0</v>
      </c>
      <c r="G11067">
        <v>0</v>
      </c>
      <c r="H11067">
        <v>1</v>
      </c>
      <c r="I11067" s="3">
        <v>1550.45</v>
      </c>
      <c r="J11067" s="3">
        <v>12.91</v>
      </c>
      <c r="K11067" t="s">
        <v>24469</v>
      </c>
      <c r="L11067">
        <v>129</v>
      </c>
      <c r="M11067" t="s">
        <v>24470</v>
      </c>
      <c r="N11067" t="s">
        <v>30</v>
      </c>
      <c r="O11067" t="s">
        <v>31</v>
      </c>
      <c r="P11067" t="str">
        <f>"15203"</f>
        <v>15203</v>
      </c>
    </row>
    <row r="11068" spans="1:16" x14ac:dyDescent="0.25">
      <c r="A11068" t="str">
        <f>"1170012F00022    00"</f>
        <v>1170012F00022    00</v>
      </c>
      <c r="B11068" t="s">
        <v>24471</v>
      </c>
      <c r="C11068" t="s">
        <v>24472</v>
      </c>
      <c r="D11068" t="s">
        <v>20</v>
      </c>
      <c r="E11068" t="s">
        <v>39</v>
      </c>
      <c r="F11068">
        <v>0</v>
      </c>
      <c r="G11068">
        <v>0</v>
      </c>
      <c r="H11068">
        <v>1</v>
      </c>
      <c r="I11068" s="3">
        <v>1810.7</v>
      </c>
      <c r="J11068" s="3">
        <v>0</v>
      </c>
      <c r="K11068" t="s">
        <v>710</v>
      </c>
      <c r="L11068">
        <v>4140</v>
      </c>
      <c r="M11068" t="s">
        <v>711</v>
      </c>
      <c r="N11068" t="s">
        <v>712</v>
      </c>
      <c r="O11068" t="s">
        <v>31</v>
      </c>
      <c r="P11068" t="str">
        <f>"16148"</f>
        <v>16148</v>
      </c>
    </row>
    <row r="11069" spans="1:16" x14ac:dyDescent="0.25">
      <c r="A11069" t="str">
        <f>"1170012F00052    00"</f>
        <v>1170012F00052    00</v>
      </c>
      <c r="B11069" t="s">
        <v>24473</v>
      </c>
      <c r="C11069" t="s">
        <v>24474</v>
      </c>
      <c r="D11069" t="s">
        <v>20</v>
      </c>
      <c r="E11069" t="s">
        <v>39</v>
      </c>
      <c r="F11069">
        <v>0</v>
      </c>
      <c r="G11069">
        <v>0</v>
      </c>
      <c r="H11069">
        <v>4</v>
      </c>
      <c r="I11069" s="3">
        <v>2187.96</v>
      </c>
      <c r="J11069" s="3">
        <v>201.42</v>
      </c>
      <c r="L11069">
        <v>1918</v>
      </c>
      <c r="M11069" t="s">
        <v>22481</v>
      </c>
      <c r="N11069" t="s">
        <v>30</v>
      </c>
      <c r="O11069" t="s">
        <v>31</v>
      </c>
      <c r="P11069" t="str">
        <f>"15203"</f>
        <v>15203</v>
      </c>
    </row>
    <row r="11070" spans="1:16" x14ac:dyDescent="0.25">
      <c r="A11070" t="str">
        <f>"1170012F00062    00"</f>
        <v>1170012F00062    00</v>
      </c>
      <c r="B11070" t="s">
        <v>24475</v>
      </c>
      <c r="C11070" t="s">
        <v>24476</v>
      </c>
      <c r="D11070" t="s">
        <v>20</v>
      </c>
      <c r="E11070" t="s">
        <v>39</v>
      </c>
      <c r="F11070">
        <v>0</v>
      </c>
      <c r="G11070">
        <v>0</v>
      </c>
      <c r="H11070">
        <v>1</v>
      </c>
      <c r="I11070" s="3">
        <v>95.3</v>
      </c>
      <c r="J11070" s="3">
        <v>0</v>
      </c>
      <c r="K11070" t="s">
        <v>24477</v>
      </c>
      <c r="L11070">
        <v>228</v>
      </c>
      <c r="M11070" t="s">
        <v>24478</v>
      </c>
      <c r="N11070" t="s">
        <v>16709</v>
      </c>
      <c r="O11070" t="s">
        <v>2767</v>
      </c>
      <c r="P11070" t="str">
        <f>"35757"</f>
        <v>35757</v>
      </c>
    </row>
    <row r="11071" spans="1:16" x14ac:dyDescent="0.25">
      <c r="A11071" t="str">
        <f>"1170012F00070    00"</f>
        <v>1170012F00070    00</v>
      </c>
      <c r="B11071" t="s">
        <v>10763</v>
      </c>
      <c r="C11071" t="s">
        <v>24479</v>
      </c>
      <c r="D11071" t="s">
        <v>20</v>
      </c>
      <c r="E11071" t="s">
        <v>39</v>
      </c>
      <c r="F11071">
        <v>0</v>
      </c>
      <c r="G11071">
        <v>0</v>
      </c>
      <c r="H11071">
        <v>2</v>
      </c>
      <c r="I11071" s="3">
        <v>4319.0200000000004</v>
      </c>
      <c r="J11071" s="3">
        <v>0</v>
      </c>
      <c r="K11071" t="s">
        <v>24480</v>
      </c>
      <c r="L11071">
        <v>502</v>
      </c>
      <c r="M11071" t="s">
        <v>8680</v>
      </c>
      <c r="N11071" t="s">
        <v>8681</v>
      </c>
      <c r="O11071" t="s">
        <v>108</v>
      </c>
      <c r="P11071" t="str">
        <f>"75002"</f>
        <v>75002</v>
      </c>
    </row>
    <row r="11072" spans="1:16" x14ac:dyDescent="0.25">
      <c r="A11072" t="str">
        <f>"1170012F00082    00"</f>
        <v>1170012F00082    00</v>
      </c>
      <c r="B11072" t="s">
        <v>24475</v>
      </c>
      <c r="C11072" t="s">
        <v>24481</v>
      </c>
      <c r="D11072" t="s">
        <v>20</v>
      </c>
      <c r="E11072" t="s">
        <v>39</v>
      </c>
      <c r="F11072">
        <v>0</v>
      </c>
      <c r="G11072">
        <v>0</v>
      </c>
      <c r="H11072">
        <v>1</v>
      </c>
      <c r="I11072" s="3">
        <v>3761</v>
      </c>
      <c r="J11072" s="3">
        <v>0</v>
      </c>
      <c r="L11072">
        <v>1258</v>
      </c>
      <c r="M11072" t="s">
        <v>24482</v>
      </c>
      <c r="N11072" t="s">
        <v>24483</v>
      </c>
      <c r="O11072" t="s">
        <v>370</v>
      </c>
      <c r="P11072" t="str">
        <f>"34677"</f>
        <v>34677</v>
      </c>
    </row>
    <row r="11073" spans="1:16" x14ac:dyDescent="0.25">
      <c r="A11073" t="str">
        <f>"1170012F00083    00"</f>
        <v>1170012F00083    00</v>
      </c>
      <c r="B11073" t="s">
        <v>24484</v>
      </c>
      <c r="C11073" t="s">
        <v>24485</v>
      </c>
      <c r="E11073" t="s">
        <v>21</v>
      </c>
      <c r="F11073">
        <v>0</v>
      </c>
      <c r="G11073">
        <v>0</v>
      </c>
      <c r="H11073">
        <v>1</v>
      </c>
      <c r="I11073" s="3">
        <v>22.51</v>
      </c>
      <c r="J11073" s="3">
        <v>4.5</v>
      </c>
      <c r="K11073" t="s">
        <v>24486</v>
      </c>
      <c r="L11073">
        <v>1931</v>
      </c>
      <c r="M11073" t="s">
        <v>22526</v>
      </c>
      <c r="N11073" t="s">
        <v>30</v>
      </c>
      <c r="O11073" t="s">
        <v>31</v>
      </c>
      <c r="P11073" t="str">
        <f>"15203"</f>
        <v>15203</v>
      </c>
    </row>
    <row r="11074" spans="1:16" x14ac:dyDescent="0.25">
      <c r="A11074" t="str">
        <f>"1170012F00088    01"</f>
        <v>1170012F00088    01</v>
      </c>
      <c r="B11074" t="s">
        <v>24487</v>
      </c>
      <c r="C11074" t="s">
        <v>24488</v>
      </c>
      <c r="D11074" t="s">
        <v>20</v>
      </c>
      <c r="E11074" t="s">
        <v>21</v>
      </c>
      <c r="F11074">
        <v>0</v>
      </c>
      <c r="G11074">
        <v>0</v>
      </c>
      <c r="H11074">
        <v>2</v>
      </c>
      <c r="I11074" s="3">
        <v>5807.98</v>
      </c>
      <c r="J11074" s="3">
        <v>0</v>
      </c>
      <c r="L11074">
        <v>1930</v>
      </c>
      <c r="M11074" t="s">
        <v>22526</v>
      </c>
      <c r="N11074" t="s">
        <v>30</v>
      </c>
      <c r="O11074" t="s">
        <v>31</v>
      </c>
      <c r="P11074" t="str">
        <f>"15203"</f>
        <v>15203</v>
      </c>
    </row>
    <row r="11075" spans="1:16" x14ac:dyDescent="0.25">
      <c r="A11075" t="str">
        <f>"1170012F00104    00"</f>
        <v>1170012F00104    00</v>
      </c>
      <c r="B11075" t="s">
        <v>24155</v>
      </c>
      <c r="C11075" t="s">
        <v>24489</v>
      </c>
      <c r="D11075" t="s">
        <v>20</v>
      </c>
      <c r="E11075" t="s">
        <v>39</v>
      </c>
      <c r="F11075">
        <v>0</v>
      </c>
      <c r="G11075">
        <v>0</v>
      </c>
      <c r="H11075">
        <v>4</v>
      </c>
      <c r="I11075" s="3">
        <v>11353.07</v>
      </c>
      <c r="J11075" s="3">
        <v>1341.11</v>
      </c>
      <c r="L11075">
        <v>1635</v>
      </c>
      <c r="M11075" t="s">
        <v>24157</v>
      </c>
      <c r="N11075" t="s">
        <v>149</v>
      </c>
      <c r="O11075" t="s">
        <v>31</v>
      </c>
      <c r="P11075" t="str">
        <f>"15106"</f>
        <v>15106</v>
      </c>
    </row>
    <row r="11076" spans="1:16" x14ac:dyDescent="0.25">
      <c r="A11076" t="str">
        <f>"1170012F00109    00"</f>
        <v>1170012F00109    00</v>
      </c>
      <c r="B11076" t="s">
        <v>24490</v>
      </c>
      <c r="C11076" t="s">
        <v>24491</v>
      </c>
      <c r="E11076" t="s">
        <v>39</v>
      </c>
      <c r="F11076">
        <v>0</v>
      </c>
      <c r="G11076">
        <v>0</v>
      </c>
      <c r="H11076">
        <v>2</v>
      </c>
      <c r="I11076" s="3">
        <v>83.55</v>
      </c>
      <c r="J11076" s="3">
        <v>28.42</v>
      </c>
      <c r="K11076" t="s">
        <v>24492</v>
      </c>
      <c r="L11076">
        <v>169</v>
      </c>
      <c r="M11076" t="s">
        <v>24493</v>
      </c>
      <c r="N11076" t="s">
        <v>199</v>
      </c>
      <c r="O11076" t="s">
        <v>200</v>
      </c>
      <c r="P11076" t="str">
        <f>"10016"</f>
        <v>10016</v>
      </c>
    </row>
    <row r="11077" spans="1:16" x14ac:dyDescent="0.25">
      <c r="A11077" t="str">
        <f>"1170012F00127    00"</f>
        <v>1170012F00127    00</v>
      </c>
      <c r="B11077" t="s">
        <v>24494</v>
      </c>
      <c r="C11077" t="s">
        <v>24495</v>
      </c>
      <c r="D11077" t="s">
        <v>20</v>
      </c>
      <c r="E11077" t="s">
        <v>21</v>
      </c>
      <c r="F11077">
        <v>0</v>
      </c>
      <c r="G11077">
        <v>0</v>
      </c>
      <c r="H11077">
        <v>12</v>
      </c>
      <c r="I11077" s="3">
        <v>63001.35</v>
      </c>
      <c r="J11077" s="3">
        <v>32580.47</v>
      </c>
      <c r="L11077">
        <v>7613</v>
      </c>
      <c r="M11077" t="s">
        <v>24496</v>
      </c>
      <c r="N11077" t="s">
        <v>652</v>
      </c>
      <c r="O11077" t="s">
        <v>108</v>
      </c>
      <c r="P11077" t="str">
        <f>"77071"</f>
        <v>77071</v>
      </c>
    </row>
    <row r="11078" spans="1:16" x14ac:dyDescent="0.25">
      <c r="A11078" t="str">
        <f>"1170012F00139    00"</f>
        <v>1170012F00139    00</v>
      </c>
      <c r="B11078" t="s">
        <v>24497</v>
      </c>
      <c r="C11078" t="s">
        <v>24498</v>
      </c>
      <c r="D11078" t="s">
        <v>20</v>
      </c>
      <c r="E11078" t="s">
        <v>21</v>
      </c>
      <c r="F11078">
        <v>0</v>
      </c>
      <c r="G11078">
        <v>0</v>
      </c>
      <c r="H11078">
        <v>2</v>
      </c>
      <c r="I11078" s="3">
        <v>13752.38</v>
      </c>
      <c r="J11078" s="3">
        <v>0</v>
      </c>
      <c r="K11078" t="s">
        <v>1802</v>
      </c>
      <c r="L11078">
        <v>901</v>
      </c>
      <c r="M11078" t="s">
        <v>1503</v>
      </c>
      <c r="N11078" t="s">
        <v>494</v>
      </c>
      <c r="O11078" t="s">
        <v>495</v>
      </c>
      <c r="P11078" t="str">
        <f>"91768"</f>
        <v>91768</v>
      </c>
    </row>
    <row r="11079" spans="1:16" x14ac:dyDescent="0.25">
      <c r="A11079" t="str">
        <f>"1170012F00142    00"</f>
        <v>1170012F00142    00</v>
      </c>
      <c r="B11079" t="s">
        <v>6465</v>
      </c>
      <c r="C11079" t="s">
        <v>24499</v>
      </c>
      <c r="D11079" t="s">
        <v>57</v>
      </c>
      <c r="E11079" t="s">
        <v>21</v>
      </c>
      <c r="F11079">
        <v>0</v>
      </c>
      <c r="G11079">
        <v>0</v>
      </c>
      <c r="H11079">
        <v>1</v>
      </c>
      <c r="I11079" s="3">
        <v>6724.45</v>
      </c>
      <c r="J11079" s="3">
        <v>0</v>
      </c>
      <c r="K11079" t="s">
        <v>6467</v>
      </c>
      <c r="M11079" t="s">
        <v>6468</v>
      </c>
      <c r="N11079" t="s">
        <v>30</v>
      </c>
      <c r="O11079" t="s">
        <v>31</v>
      </c>
      <c r="P11079" t="str">
        <f>"15224"</f>
        <v>15224</v>
      </c>
    </row>
    <row r="11080" spans="1:16" x14ac:dyDescent="0.25">
      <c r="A11080" t="str">
        <f>"1170012F00144    00"</f>
        <v>1170012F00144    00</v>
      </c>
      <c r="B11080" t="s">
        <v>24500</v>
      </c>
      <c r="C11080" t="s">
        <v>24501</v>
      </c>
      <c r="D11080" t="s">
        <v>20</v>
      </c>
      <c r="E11080" t="s">
        <v>21</v>
      </c>
      <c r="F11080">
        <v>0</v>
      </c>
      <c r="G11080">
        <v>0</v>
      </c>
      <c r="H11080">
        <v>1</v>
      </c>
      <c r="I11080" s="3">
        <v>2740.65</v>
      </c>
      <c r="J11080" s="3">
        <v>867.84</v>
      </c>
      <c r="M11080" t="s">
        <v>24502</v>
      </c>
      <c r="N11080" t="s">
        <v>24503</v>
      </c>
      <c r="O11080" t="s">
        <v>31</v>
      </c>
      <c r="P11080" t="str">
        <f>"18951"</f>
        <v>18951</v>
      </c>
    </row>
    <row r="11081" spans="1:16" x14ac:dyDescent="0.25">
      <c r="A11081" t="str">
        <f>"1170012J00001    00"</f>
        <v>1170012J00001    00</v>
      </c>
      <c r="B11081" t="s">
        <v>24504</v>
      </c>
      <c r="C11081" t="s">
        <v>24505</v>
      </c>
      <c r="E11081" t="s">
        <v>39</v>
      </c>
      <c r="F11081">
        <v>0</v>
      </c>
      <c r="G11081">
        <v>0</v>
      </c>
      <c r="H11081">
        <v>1</v>
      </c>
      <c r="I11081" s="3">
        <v>3097.26</v>
      </c>
      <c r="J11081" s="3">
        <v>619.42999999999995</v>
      </c>
      <c r="K11081" t="s">
        <v>24506</v>
      </c>
      <c r="L11081">
        <v>179</v>
      </c>
      <c r="M11081" t="s">
        <v>23486</v>
      </c>
      <c r="N11081" t="s">
        <v>30</v>
      </c>
      <c r="O11081" t="s">
        <v>31</v>
      </c>
      <c r="P11081" t="str">
        <f>"15203"</f>
        <v>15203</v>
      </c>
    </row>
    <row r="11082" spans="1:16" x14ac:dyDescent="0.25">
      <c r="A11082" t="str">
        <f>"1170012J00012    00"</f>
        <v>1170012J00012    00</v>
      </c>
      <c r="B11082" t="s">
        <v>24507</v>
      </c>
      <c r="C11082" t="s">
        <v>24508</v>
      </c>
      <c r="D11082" t="s">
        <v>20</v>
      </c>
      <c r="E11082" t="s">
        <v>39</v>
      </c>
      <c r="F11082">
        <v>0</v>
      </c>
      <c r="G11082">
        <v>0</v>
      </c>
      <c r="H11082">
        <v>3</v>
      </c>
      <c r="I11082" s="3">
        <v>4619.08</v>
      </c>
      <c r="J11082" s="3">
        <v>9.51</v>
      </c>
      <c r="L11082">
        <v>176</v>
      </c>
      <c r="M11082" t="s">
        <v>24509</v>
      </c>
      <c r="N11082" t="s">
        <v>30</v>
      </c>
      <c r="O11082" t="s">
        <v>31</v>
      </c>
      <c r="P11082" t="str">
        <f>"15203"</f>
        <v>15203</v>
      </c>
    </row>
    <row r="11083" spans="1:16" x14ac:dyDescent="0.25">
      <c r="A11083" t="str">
        <f>"1170012J00019    00"</f>
        <v>1170012J00019    00</v>
      </c>
      <c r="B11083" t="s">
        <v>24510</v>
      </c>
      <c r="C11083" t="s">
        <v>24511</v>
      </c>
      <c r="E11083" t="s">
        <v>39</v>
      </c>
      <c r="F11083">
        <v>0</v>
      </c>
      <c r="G11083">
        <v>0</v>
      </c>
      <c r="H11083">
        <v>1</v>
      </c>
      <c r="I11083" s="3">
        <v>5356.07</v>
      </c>
      <c r="J11083" s="3">
        <v>223.16</v>
      </c>
      <c r="K11083" t="s">
        <v>426</v>
      </c>
      <c r="L11083">
        <v>2570</v>
      </c>
      <c r="M11083" t="s">
        <v>427</v>
      </c>
      <c r="N11083" t="s">
        <v>30</v>
      </c>
      <c r="O11083" t="s">
        <v>31</v>
      </c>
      <c r="P11083" t="str">
        <f>"15241"</f>
        <v>15241</v>
      </c>
    </row>
    <row r="11084" spans="1:16" x14ac:dyDescent="0.25">
      <c r="A11084" t="str">
        <f>"1170012J00023    00"</f>
        <v>1170012J00023    00</v>
      </c>
      <c r="B11084" t="s">
        <v>24512</v>
      </c>
      <c r="C11084" t="s">
        <v>24513</v>
      </c>
      <c r="E11084" t="s">
        <v>39</v>
      </c>
      <c r="F11084">
        <v>0</v>
      </c>
      <c r="G11084">
        <v>0</v>
      </c>
      <c r="H11084">
        <v>1</v>
      </c>
      <c r="I11084" s="3">
        <v>1103.02</v>
      </c>
      <c r="J11084" s="3">
        <v>0</v>
      </c>
      <c r="L11084">
        <v>153</v>
      </c>
      <c r="M11084" t="s">
        <v>23486</v>
      </c>
      <c r="N11084" t="s">
        <v>30</v>
      </c>
      <c r="O11084" t="s">
        <v>31</v>
      </c>
      <c r="P11084" t="str">
        <f>"15203"</f>
        <v>15203</v>
      </c>
    </row>
    <row r="11085" spans="1:16" x14ac:dyDescent="0.25">
      <c r="A11085" t="str">
        <f>"1170012J00041    00"</f>
        <v>1170012J00041    00</v>
      </c>
      <c r="B11085" t="s">
        <v>24514</v>
      </c>
      <c r="C11085" t="s">
        <v>24515</v>
      </c>
      <c r="E11085" t="s">
        <v>39</v>
      </c>
      <c r="F11085">
        <v>0</v>
      </c>
      <c r="G11085">
        <v>0</v>
      </c>
      <c r="H11085">
        <v>1</v>
      </c>
      <c r="I11085" s="3">
        <v>1858.36</v>
      </c>
      <c r="J11085" s="3">
        <v>371.66</v>
      </c>
      <c r="K11085" t="s">
        <v>22594</v>
      </c>
      <c r="L11085">
        <v>1800</v>
      </c>
      <c r="M11085" t="s">
        <v>22595</v>
      </c>
      <c r="N11085" t="s">
        <v>1928</v>
      </c>
      <c r="O11085" t="s">
        <v>31</v>
      </c>
      <c r="P11085" t="str">
        <f>"15317"</f>
        <v>15317</v>
      </c>
    </row>
    <row r="11086" spans="1:16" x14ac:dyDescent="0.25">
      <c r="A11086" t="str">
        <f>"1170012J00042    00"</f>
        <v>1170012J00042    00</v>
      </c>
      <c r="B11086" t="s">
        <v>22617</v>
      </c>
      <c r="C11086" t="s">
        <v>24516</v>
      </c>
      <c r="E11086" t="s">
        <v>39</v>
      </c>
      <c r="F11086">
        <v>0</v>
      </c>
      <c r="G11086">
        <v>0</v>
      </c>
      <c r="H11086">
        <v>1</v>
      </c>
      <c r="I11086" s="3">
        <v>1867.88</v>
      </c>
      <c r="J11086" s="3">
        <v>0</v>
      </c>
      <c r="K11086" t="s">
        <v>22619</v>
      </c>
      <c r="L11086">
        <v>1735</v>
      </c>
      <c r="M11086" t="s">
        <v>22600</v>
      </c>
      <c r="N11086" t="s">
        <v>30</v>
      </c>
      <c r="O11086" t="s">
        <v>31</v>
      </c>
      <c r="P11086" t="str">
        <f>"15203"</f>
        <v>15203</v>
      </c>
    </row>
    <row r="11087" spans="1:16" x14ac:dyDescent="0.25">
      <c r="A11087" t="str">
        <f>"1170012J00046    00"</f>
        <v>1170012J00046    00</v>
      </c>
      <c r="B11087" t="s">
        <v>24517</v>
      </c>
      <c r="C11087" t="s">
        <v>24518</v>
      </c>
      <c r="E11087" t="s">
        <v>39</v>
      </c>
      <c r="F11087">
        <v>0</v>
      </c>
      <c r="G11087">
        <v>0</v>
      </c>
      <c r="H11087">
        <v>1</v>
      </c>
      <c r="I11087" s="3">
        <v>28.84</v>
      </c>
      <c r="J11087" s="3">
        <v>34.130000000000003</v>
      </c>
      <c r="K11087" t="s">
        <v>24519</v>
      </c>
      <c r="L11087">
        <v>150</v>
      </c>
      <c r="M11087" t="s">
        <v>18106</v>
      </c>
      <c r="N11087" t="s">
        <v>24520</v>
      </c>
      <c r="O11087" t="s">
        <v>31</v>
      </c>
      <c r="P11087" t="str">
        <f>"15672"</f>
        <v>15672</v>
      </c>
    </row>
    <row r="11088" spans="1:16" x14ac:dyDescent="0.25">
      <c r="A11088" t="str">
        <f>"1170012J00121    00"</f>
        <v>1170012J00121    00</v>
      </c>
      <c r="B11088" t="s">
        <v>24521</v>
      </c>
      <c r="C11088" t="s">
        <v>24522</v>
      </c>
      <c r="D11088" t="s">
        <v>20</v>
      </c>
      <c r="E11088" t="s">
        <v>39</v>
      </c>
      <c r="F11088">
        <v>0</v>
      </c>
      <c r="G11088">
        <v>0</v>
      </c>
      <c r="H11088">
        <v>2</v>
      </c>
      <c r="I11088" s="3">
        <v>3027.72</v>
      </c>
      <c r="J11088" s="3">
        <v>0</v>
      </c>
      <c r="L11088">
        <v>1711</v>
      </c>
      <c r="M11088" t="s">
        <v>22611</v>
      </c>
      <c r="N11088" t="s">
        <v>30</v>
      </c>
      <c r="O11088" t="s">
        <v>31</v>
      </c>
      <c r="P11088" t="str">
        <f>"15203"</f>
        <v>15203</v>
      </c>
    </row>
    <row r="11089" spans="1:16" x14ac:dyDescent="0.25">
      <c r="A11089" t="str">
        <f>"1170012J00122    00"</f>
        <v>1170012J00122    00</v>
      </c>
      <c r="B11089" t="s">
        <v>24523</v>
      </c>
      <c r="C11089" t="s">
        <v>24524</v>
      </c>
      <c r="D11089" t="s">
        <v>20</v>
      </c>
      <c r="E11089" t="s">
        <v>39</v>
      </c>
      <c r="F11089">
        <v>0</v>
      </c>
      <c r="G11089">
        <v>0</v>
      </c>
      <c r="H11089">
        <v>1</v>
      </c>
      <c r="I11089" s="3">
        <v>3716.72</v>
      </c>
      <c r="J11089" s="3">
        <v>0</v>
      </c>
      <c r="L11089">
        <v>2741</v>
      </c>
      <c r="M11089" t="s">
        <v>24525</v>
      </c>
      <c r="N11089" t="s">
        <v>4598</v>
      </c>
      <c r="O11089" t="s">
        <v>25</v>
      </c>
      <c r="P11089" t="str">
        <f>"44685"</f>
        <v>44685</v>
      </c>
    </row>
    <row r="11090" spans="1:16" x14ac:dyDescent="0.25">
      <c r="A11090" t="str">
        <f>"1170012J00123    00"</f>
        <v>1170012J00123    00</v>
      </c>
      <c r="B11090" t="s">
        <v>24526</v>
      </c>
      <c r="C11090" t="s">
        <v>24527</v>
      </c>
      <c r="E11090" t="s">
        <v>39</v>
      </c>
      <c r="F11090">
        <v>0</v>
      </c>
      <c r="G11090">
        <v>0</v>
      </c>
      <c r="H11090">
        <v>1</v>
      </c>
      <c r="I11090" s="3">
        <v>409.69</v>
      </c>
      <c r="J11090" s="3">
        <v>81.93</v>
      </c>
      <c r="L11090">
        <v>1707</v>
      </c>
      <c r="M11090" t="s">
        <v>22611</v>
      </c>
      <c r="N11090" t="s">
        <v>30</v>
      </c>
      <c r="O11090" t="s">
        <v>31</v>
      </c>
      <c r="P11090" t="str">
        <f>"15203"</f>
        <v>15203</v>
      </c>
    </row>
    <row r="11091" spans="1:16" x14ac:dyDescent="0.25">
      <c r="A11091" t="str">
        <f>"1170012J00135    00"</f>
        <v>1170012J00135    00</v>
      </c>
      <c r="B11091" t="s">
        <v>22745</v>
      </c>
      <c r="C11091" t="s">
        <v>24528</v>
      </c>
      <c r="D11091" t="s">
        <v>20</v>
      </c>
      <c r="E11091" t="s">
        <v>39</v>
      </c>
      <c r="F11091">
        <v>0</v>
      </c>
      <c r="G11091">
        <v>0</v>
      </c>
      <c r="H11091">
        <v>2</v>
      </c>
      <c r="I11091" s="3">
        <v>4273.26</v>
      </c>
      <c r="J11091" s="3">
        <v>0</v>
      </c>
      <c r="K11091" t="s">
        <v>22747</v>
      </c>
      <c r="L11091">
        <v>2111</v>
      </c>
      <c r="M11091" t="s">
        <v>2487</v>
      </c>
      <c r="N11091" t="s">
        <v>30</v>
      </c>
      <c r="O11091" t="s">
        <v>31</v>
      </c>
      <c r="P11091" t="str">
        <f>"15203"</f>
        <v>15203</v>
      </c>
    </row>
    <row r="11092" spans="1:16" x14ac:dyDescent="0.25">
      <c r="A11092" t="str">
        <f>"1170012J00144    00"</f>
        <v>1170012J00144    00</v>
      </c>
      <c r="B11092" t="s">
        <v>24529</v>
      </c>
      <c r="C11092" t="s">
        <v>24530</v>
      </c>
      <c r="D11092" t="s">
        <v>20</v>
      </c>
      <c r="E11092" t="s">
        <v>39</v>
      </c>
      <c r="F11092">
        <v>0</v>
      </c>
      <c r="G11092">
        <v>0</v>
      </c>
      <c r="H11092">
        <v>1</v>
      </c>
      <c r="I11092" s="3">
        <v>4012.14</v>
      </c>
      <c r="J11092" s="3">
        <v>0</v>
      </c>
      <c r="K11092" t="s">
        <v>24531</v>
      </c>
      <c r="L11092">
        <v>1181</v>
      </c>
      <c r="M11092" t="s">
        <v>24532</v>
      </c>
      <c r="N11092" t="s">
        <v>30</v>
      </c>
      <c r="O11092" t="s">
        <v>31</v>
      </c>
      <c r="P11092" t="str">
        <f>"15241"</f>
        <v>15241</v>
      </c>
    </row>
    <row r="11093" spans="1:16" x14ac:dyDescent="0.25">
      <c r="A11093" t="str">
        <f>"1170012J00154    00"</f>
        <v>1170012J00154    00</v>
      </c>
      <c r="B11093" t="s">
        <v>24533</v>
      </c>
      <c r="C11093" t="s">
        <v>24534</v>
      </c>
      <c r="E11093" t="s">
        <v>39</v>
      </c>
      <c r="F11093">
        <v>0</v>
      </c>
      <c r="G11093">
        <v>0</v>
      </c>
      <c r="H11093">
        <v>2</v>
      </c>
      <c r="I11093" s="3">
        <v>3628.58</v>
      </c>
      <c r="J11093" s="3">
        <v>2809.39</v>
      </c>
      <c r="L11093">
        <v>110</v>
      </c>
      <c r="M11093" t="s">
        <v>24535</v>
      </c>
      <c r="N11093" t="s">
        <v>30</v>
      </c>
      <c r="O11093" t="s">
        <v>31</v>
      </c>
      <c r="P11093" t="str">
        <f>"15203"</f>
        <v>15203</v>
      </c>
    </row>
    <row r="11094" spans="1:16" x14ac:dyDescent="0.25">
      <c r="A11094" t="str">
        <f>"1170012J00155    00"</f>
        <v>1170012J00155    00</v>
      </c>
      <c r="B11094" t="s">
        <v>24536</v>
      </c>
      <c r="C11094" t="s">
        <v>24537</v>
      </c>
      <c r="D11094" t="s">
        <v>20</v>
      </c>
      <c r="E11094" t="s">
        <v>21</v>
      </c>
      <c r="F11094">
        <v>0</v>
      </c>
      <c r="G11094">
        <v>0</v>
      </c>
      <c r="H11094">
        <v>1</v>
      </c>
      <c r="I11094" s="3">
        <v>2939.05</v>
      </c>
      <c r="J11094" s="3">
        <v>0</v>
      </c>
      <c r="K11094" t="s">
        <v>3122</v>
      </c>
      <c r="L11094">
        <v>304</v>
      </c>
      <c r="M11094" t="s">
        <v>3123</v>
      </c>
      <c r="N11094" t="s">
        <v>30</v>
      </c>
      <c r="O11094" t="s">
        <v>31</v>
      </c>
      <c r="P11094" t="str">
        <f>"15210"</f>
        <v>15210</v>
      </c>
    </row>
    <row r="11095" spans="1:16" x14ac:dyDescent="0.25">
      <c r="A11095" t="str">
        <f>"1170012J00181    00"</f>
        <v>1170012J00181    00</v>
      </c>
      <c r="B11095" t="s">
        <v>24538</v>
      </c>
      <c r="C11095" t="s">
        <v>24539</v>
      </c>
      <c r="E11095" t="s">
        <v>39</v>
      </c>
      <c r="F11095">
        <v>0</v>
      </c>
      <c r="G11095">
        <v>0</v>
      </c>
      <c r="H11095">
        <v>2</v>
      </c>
      <c r="I11095" s="3">
        <v>664.87</v>
      </c>
      <c r="J11095" s="3">
        <v>186.71</v>
      </c>
      <c r="K11095" t="s">
        <v>1135</v>
      </c>
      <c r="L11095">
        <v>3001</v>
      </c>
      <c r="M11095" t="s">
        <v>330</v>
      </c>
      <c r="N11095" t="s">
        <v>331</v>
      </c>
      <c r="O11095" t="s">
        <v>108</v>
      </c>
      <c r="P11095" t="str">
        <f>"75063"</f>
        <v>75063</v>
      </c>
    </row>
    <row r="11096" spans="1:16" x14ac:dyDescent="0.25">
      <c r="A11096" t="str">
        <f>"1170012J00190    00"</f>
        <v>1170012J00190    00</v>
      </c>
      <c r="B11096" t="s">
        <v>24540</v>
      </c>
      <c r="C11096" t="s">
        <v>24541</v>
      </c>
      <c r="E11096" t="s">
        <v>39</v>
      </c>
      <c r="F11096">
        <v>0</v>
      </c>
      <c r="G11096">
        <v>0</v>
      </c>
      <c r="H11096">
        <v>1</v>
      </c>
      <c r="I11096" s="3">
        <v>710.08</v>
      </c>
      <c r="J11096" s="3">
        <v>0</v>
      </c>
      <c r="M11096" t="s">
        <v>24542</v>
      </c>
      <c r="N11096" t="s">
        <v>30</v>
      </c>
      <c r="O11096" t="s">
        <v>31</v>
      </c>
      <c r="P11096" t="str">
        <f>"15203"</f>
        <v>15203</v>
      </c>
    </row>
    <row r="11097" spans="1:16" x14ac:dyDescent="0.25">
      <c r="A11097" t="str">
        <f>"1170012J00209    00"</f>
        <v>1170012J00209    00</v>
      </c>
      <c r="B11097" t="s">
        <v>24543</v>
      </c>
      <c r="C11097" t="s">
        <v>24544</v>
      </c>
      <c r="D11097" t="s">
        <v>20</v>
      </c>
      <c r="E11097" t="s">
        <v>39</v>
      </c>
      <c r="F11097">
        <v>0</v>
      </c>
      <c r="G11097">
        <v>0</v>
      </c>
      <c r="H11097">
        <v>1</v>
      </c>
      <c r="I11097" s="3">
        <v>3230.68</v>
      </c>
      <c r="J11097" s="3">
        <v>0</v>
      </c>
      <c r="K11097" t="s">
        <v>24545</v>
      </c>
      <c r="L11097">
        <v>492</v>
      </c>
      <c r="M11097" t="s">
        <v>24546</v>
      </c>
      <c r="N11097" t="s">
        <v>2656</v>
      </c>
      <c r="O11097" t="s">
        <v>31</v>
      </c>
      <c r="P11097" t="str">
        <f>"15904"</f>
        <v>15904</v>
      </c>
    </row>
    <row r="11098" spans="1:16" x14ac:dyDescent="0.25">
      <c r="A11098" t="str">
        <f>"1170012J00210    00"</f>
        <v>1170012J00210    00</v>
      </c>
      <c r="B11098" t="s">
        <v>24547</v>
      </c>
      <c r="C11098" t="s">
        <v>24548</v>
      </c>
      <c r="D11098" t="s">
        <v>20</v>
      </c>
      <c r="E11098" t="s">
        <v>39</v>
      </c>
      <c r="F11098">
        <v>0</v>
      </c>
      <c r="G11098">
        <v>0</v>
      </c>
      <c r="H11098">
        <v>1</v>
      </c>
      <c r="I11098" s="3">
        <v>59.1</v>
      </c>
      <c r="J11098" s="3">
        <v>0</v>
      </c>
      <c r="M11098" t="s">
        <v>24549</v>
      </c>
      <c r="N11098" t="s">
        <v>195</v>
      </c>
      <c r="O11098" t="s">
        <v>31</v>
      </c>
      <c r="P11098" t="str">
        <f>"15101"</f>
        <v>15101</v>
      </c>
    </row>
    <row r="11099" spans="1:16" x14ac:dyDescent="0.25">
      <c r="A11099" t="str">
        <f>"1170012J00218    00"</f>
        <v>1170012J00218    00</v>
      </c>
      <c r="B11099" t="s">
        <v>24550</v>
      </c>
      <c r="C11099" t="s">
        <v>24551</v>
      </c>
      <c r="D11099" t="s">
        <v>57</v>
      </c>
      <c r="E11099" t="s">
        <v>39</v>
      </c>
      <c r="F11099">
        <v>0</v>
      </c>
      <c r="G11099">
        <v>0</v>
      </c>
      <c r="H11099">
        <v>1</v>
      </c>
      <c r="I11099" s="3">
        <v>793.51</v>
      </c>
      <c r="J11099" s="3">
        <v>806.7</v>
      </c>
      <c r="K11099" t="s">
        <v>24552</v>
      </c>
      <c r="L11099">
        <v>8011</v>
      </c>
      <c r="M11099" t="s">
        <v>24553</v>
      </c>
      <c r="N11099" t="s">
        <v>625</v>
      </c>
      <c r="O11099" t="s">
        <v>31</v>
      </c>
      <c r="P11099" t="str">
        <f>"15108"</f>
        <v>15108</v>
      </c>
    </row>
    <row r="11100" spans="1:16" x14ac:dyDescent="0.25">
      <c r="A11100" t="str">
        <f>"1170012J00223    00"</f>
        <v>1170012J00223    00</v>
      </c>
      <c r="B11100" t="s">
        <v>24554</v>
      </c>
      <c r="C11100" t="s">
        <v>24555</v>
      </c>
      <c r="E11100" t="s">
        <v>39</v>
      </c>
      <c r="F11100">
        <v>0</v>
      </c>
      <c r="G11100">
        <v>0</v>
      </c>
      <c r="H11100">
        <v>1</v>
      </c>
      <c r="I11100" s="3">
        <v>157.93</v>
      </c>
      <c r="J11100" s="3">
        <v>47.38</v>
      </c>
      <c r="K11100" t="s">
        <v>4397</v>
      </c>
      <c r="L11100">
        <v>1901</v>
      </c>
      <c r="M11100" t="s">
        <v>5016</v>
      </c>
      <c r="N11100" t="s">
        <v>5017</v>
      </c>
      <c r="O11100" t="s">
        <v>3486</v>
      </c>
      <c r="P11100" t="str">
        <f>"61834"</f>
        <v>61834</v>
      </c>
    </row>
    <row r="11101" spans="1:16" x14ac:dyDescent="0.25">
      <c r="A11101" t="str">
        <f>"1170012J00225    00"</f>
        <v>1170012J00225    00</v>
      </c>
      <c r="B11101" t="s">
        <v>24556</v>
      </c>
      <c r="C11101" t="s">
        <v>24557</v>
      </c>
      <c r="E11101" t="s">
        <v>39</v>
      </c>
      <c r="F11101">
        <v>0</v>
      </c>
      <c r="G11101">
        <v>0</v>
      </c>
      <c r="H11101">
        <v>1</v>
      </c>
      <c r="I11101" s="3">
        <v>209.21</v>
      </c>
      <c r="J11101" s="3">
        <v>57.53</v>
      </c>
      <c r="L11101">
        <v>2126</v>
      </c>
      <c r="M11101" t="s">
        <v>22526</v>
      </c>
      <c r="N11101" t="s">
        <v>30</v>
      </c>
      <c r="O11101" t="s">
        <v>31</v>
      </c>
      <c r="P11101" t="str">
        <f>"15203"</f>
        <v>15203</v>
      </c>
    </row>
    <row r="11102" spans="1:16" x14ac:dyDescent="0.25">
      <c r="A11102" t="str">
        <f>"1170012J00251    00"</f>
        <v>1170012J00251    00</v>
      </c>
      <c r="B11102" t="s">
        <v>24558</v>
      </c>
      <c r="C11102" t="s">
        <v>24559</v>
      </c>
      <c r="E11102" t="s">
        <v>39</v>
      </c>
      <c r="F11102">
        <v>0</v>
      </c>
      <c r="G11102">
        <v>0</v>
      </c>
      <c r="H11102">
        <v>1</v>
      </c>
      <c r="I11102" s="3">
        <v>4262.29</v>
      </c>
      <c r="J11102" s="3">
        <v>1172.08</v>
      </c>
      <c r="L11102">
        <v>1802</v>
      </c>
      <c r="M11102" t="s">
        <v>23668</v>
      </c>
      <c r="N11102" t="s">
        <v>30</v>
      </c>
      <c r="O11102" t="s">
        <v>31</v>
      </c>
      <c r="P11102" t="str">
        <f>"15203"</f>
        <v>15203</v>
      </c>
    </row>
    <row r="11103" spans="1:16" x14ac:dyDescent="0.25">
      <c r="A11103" t="str">
        <f>"1170012J00261    00"</f>
        <v>1170012J00261    00</v>
      </c>
      <c r="B11103" t="s">
        <v>24560</v>
      </c>
      <c r="C11103" t="s">
        <v>24561</v>
      </c>
      <c r="E11103" t="s">
        <v>39</v>
      </c>
      <c r="F11103">
        <v>0</v>
      </c>
      <c r="G11103">
        <v>0</v>
      </c>
      <c r="H11103">
        <v>1</v>
      </c>
      <c r="I11103" s="3">
        <v>4191</v>
      </c>
      <c r="J11103" s="3">
        <v>1152.49</v>
      </c>
      <c r="K11103" t="s">
        <v>557</v>
      </c>
      <c r="L11103">
        <v>3001</v>
      </c>
      <c r="M11103" t="s">
        <v>330</v>
      </c>
      <c r="N11103" t="s">
        <v>331</v>
      </c>
      <c r="O11103" t="s">
        <v>108</v>
      </c>
      <c r="P11103" t="str">
        <f>"75063"</f>
        <v>75063</v>
      </c>
    </row>
    <row r="11104" spans="1:16" x14ac:dyDescent="0.25">
      <c r="A11104" t="str">
        <f>"1170012J00268    00"</f>
        <v>1170012J00268    00</v>
      </c>
      <c r="B11104" t="s">
        <v>24562</v>
      </c>
      <c r="C11104" t="s">
        <v>24563</v>
      </c>
      <c r="E11104" t="s">
        <v>39</v>
      </c>
      <c r="F11104">
        <v>0</v>
      </c>
      <c r="G11104">
        <v>0</v>
      </c>
      <c r="H11104">
        <v>1</v>
      </c>
      <c r="I11104" s="3">
        <v>1268.69</v>
      </c>
      <c r="J11104" s="3">
        <v>1088.92</v>
      </c>
      <c r="K11104" t="s">
        <v>24564</v>
      </c>
      <c r="L11104">
        <v>480</v>
      </c>
      <c r="M11104" t="s">
        <v>24565</v>
      </c>
      <c r="N11104" t="s">
        <v>24566</v>
      </c>
      <c r="O11104" t="s">
        <v>25</v>
      </c>
      <c r="P11104" t="str">
        <f>"43082"</f>
        <v>43082</v>
      </c>
    </row>
    <row r="11105" spans="1:16" x14ac:dyDescent="0.25">
      <c r="A11105" t="str">
        <f>"1170012J00291    00"</f>
        <v>1170012J00291    00</v>
      </c>
      <c r="B11105" t="s">
        <v>24567</v>
      </c>
      <c r="C11105" t="s">
        <v>24568</v>
      </c>
      <c r="D11105" t="s">
        <v>20</v>
      </c>
      <c r="E11105" t="s">
        <v>39</v>
      </c>
      <c r="F11105">
        <v>0</v>
      </c>
      <c r="G11105">
        <v>0</v>
      </c>
      <c r="H11105">
        <v>2</v>
      </c>
      <c r="I11105" s="3">
        <v>6838.72</v>
      </c>
      <c r="J11105" s="3">
        <v>0</v>
      </c>
      <c r="L11105">
        <v>510</v>
      </c>
      <c r="M11105" t="s">
        <v>24569</v>
      </c>
      <c r="N11105" t="s">
        <v>30</v>
      </c>
      <c r="O11105" t="s">
        <v>31</v>
      </c>
      <c r="P11105" t="str">
        <f>"15221"</f>
        <v>15221</v>
      </c>
    </row>
    <row r="11106" spans="1:16" x14ac:dyDescent="0.25">
      <c r="A11106" t="str">
        <f>"1170012J00315    00"</f>
        <v>1170012J00315    00</v>
      </c>
      <c r="B11106" t="s">
        <v>22572</v>
      </c>
      <c r="C11106" t="s">
        <v>24570</v>
      </c>
      <c r="E11106" t="s">
        <v>39</v>
      </c>
      <c r="F11106">
        <v>0</v>
      </c>
      <c r="G11106">
        <v>0</v>
      </c>
      <c r="H11106">
        <v>2</v>
      </c>
      <c r="I11106" s="3">
        <v>1658.24</v>
      </c>
      <c r="J11106" s="3">
        <v>20.72</v>
      </c>
      <c r="L11106">
        <v>1812</v>
      </c>
      <c r="M11106" t="s">
        <v>1484</v>
      </c>
      <c r="N11106" t="s">
        <v>30</v>
      </c>
      <c r="O11106" t="s">
        <v>31</v>
      </c>
      <c r="P11106" t="str">
        <f>"15203"</f>
        <v>15203</v>
      </c>
    </row>
    <row r="11107" spans="1:16" x14ac:dyDescent="0.25">
      <c r="A11107" t="str">
        <f>"1170012J00385    00"</f>
        <v>1170012J00385    00</v>
      </c>
      <c r="B11107" t="s">
        <v>24571</v>
      </c>
      <c r="C11107" t="s">
        <v>24572</v>
      </c>
      <c r="D11107" t="s">
        <v>20</v>
      </c>
      <c r="E11107" t="s">
        <v>21</v>
      </c>
      <c r="F11107">
        <v>0</v>
      </c>
      <c r="G11107">
        <v>0</v>
      </c>
      <c r="H11107">
        <v>5</v>
      </c>
      <c r="I11107" s="3">
        <v>35080.160000000003</v>
      </c>
      <c r="J11107" s="3">
        <v>6060.57</v>
      </c>
      <c r="L11107">
        <v>1828</v>
      </c>
      <c r="M11107" t="s">
        <v>1484</v>
      </c>
      <c r="N11107" t="s">
        <v>30</v>
      </c>
      <c r="O11107" t="s">
        <v>31</v>
      </c>
      <c r="P11107" t="str">
        <f>"15203"</f>
        <v>15203</v>
      </c>
    </row>
    <row r="11108" spans="1:16" x14ac:dyDescent="0.25">
      <c r="A11108" t="str">
        <f>"1170012J00386    00"</f>
        <v>1170012J00386    00</v>
      </c>
      <c r="B11108" t="s">
        <v>24573</v>
      </c>
      <c r="C11108" t="s">
        <v>24574</v>
      </c>
      <c r="D11108" t="s">
        <v>20</v>
      </c>
      <c r="E11108" t="s">
        <v>21</v>
      </c>
      <c r="F11108">
        <v>0</v>
      </c>
      <c r="G11108">
        <v>0</v>
      </c>
      <c r="H11108">
        <v>5</v>
      </c>
      <c r="I11108" s="3">
        <v>21402.33</v>
      </c>
      <c r="J11108" s="3">
        <v>3697.53</v>
      </c>
      <c r="K11108" t="s">
        <v>24575</v>
      </c>
      <c r="L11108">
        <v>1830</v>
      </c>
      <c r="M11108" t="s">
        <v>24576</v>
      </c>
      <c r="N11108" t="s">
        <v>30</v>
      </c>
      <c r="O11108" t="s">
        <v>31</v>
      </c>
      <c r="P11108" t="str">
        <f>"15203"</f>
        <v>15203</v>
      </c>
    </row>
    <row r="11109" spans="1:16" x14ac:dyDescent="0.25">
      <c r="A11109" t="str">
        <f>"1170012J00409    00"</f>
        <v>1170012J00409    00</v>
      </c>
      <c r="B11109" t="s">
        <v>24577</v>
      </c>
      <c r="C11109" t="s">
        <v>24578</v>
      </c>
      <c r="E11109" t="s">
        <v>39</v>
      </c>
      <c r="F11109">
        <v>0</v>
      </c>
      <c r="G11109">
        <v>0</v>
      </c>
      <c r="H11109">
        <v>1</v>
      </c>
      <c r="I11109" s="3">
        <v>40.74</v>
      </c>
      <c r="J11109" s="3">
        <v>8.15</v>
      </c>
      <c r="L11109">
        <v>738</v>
      </c>
      <c r="M11109" t="s">
        <v>24579</v>
      </c>
      <c r="N11109" t="s">
        <v>30</v>
      </c>
      <c r="O11109" t="s">
        <v>31</v>
      </c>
      <c r="P11109" t="str">
        <f>"15227"</f>
        <v>15227</v>
      </c>
    </row>
    <row r="11110" spans="1:16" x14ac:dyDescent="0.25">
      <c r="A11110" t="str">
        <f>"1170012J00411    00"</f>
        <v>1170012J00411    00</v>
      </c>
      <c r="B11110" t="s">
        <v>24580</v>
      </c>
      <c r="C11110" t="s">
        <v>24581</v>
      </c>
      <c r="D11110" t="s">
        <v>20</v>
      </c>
      <c r="E11110" t="s">
        <v>39</v>
      </c>
      <c r="F11110">
        <v>0</v>
      </c>
      <c r="G11110">
        <v>0</v>
      </c>
      <c r="H11110">
        <v>2</v>
      </c>
      <c r="I11110" s="3">
        <v>6747.24</v>
      </c>
      <c r="J11110" s="3">
        <v>0</v>
      </c>
      <c r="K11110" t="s">
        <v>24582</v>
      </c>
      <c r="L11110">
        <v>133</v>
      </c>
      <c r="M11110" t="s">
        <v>24583</v>
      </c>
      <c r="N11110" t="s">
        <v>30</v>
      </c>
      <c r="O11110" t="s">
        <v>31</v>
      </c>
      <c r="P11110" t="str">
        <f>"15205"</f>
        <v>15205</v>
      </c>
    </row>
    <row r="11111" spans="1:16" x14ac:dyDescent="0.25">
      <c r="A11111" t="str">
        <f>"1170012J00415    00"</f>
        <v>1170012J00415    00</v>
      </c>
      <c r="B11111" t="s">
        <v>24584</v>
      </c>
      <c r="C11111" t="s">
        <v>24585</v>
      </c>
      <c r="E11111" t="s">
        <v>39</v>
      </c>
      <c r="F11111">
        <v>0</v>
      </c>
      <c r="G11111">
        <v>0</v>
      </c>
      <c r="H11111">
        <v>1</v>
      </c>
      <c r="I11111" s="3">
        <v>1239.6500000000001</v>
      </c>
      <c r="J11111" s="3">
        <v>919.37</v>
      </c>
      <c r="K11111" t="s">
        <v>400</v>
      </c>
      <c r="L11111">
        <v>3001</v>
      </c>
      <c r="M11111" t="s">
        <v>330</v>
      </c>
      <c r="N11111" t="s">
        <v>331</v>
      </c>
      <c r="O11111" t="s">
        <v>108</v>
      </c>
      <c r="P11111" t="str">
        <f>"75063"</f>
        <v>75063</v>
      </c>
    </row>
    <row r="11112" spans="1:16" x14ac:dyDescent="0.25">
      <c r="A11112" t="str">
        <f>"1170012J00426    00"</f>
        <v>1170012J00426    00</v>
      </c>
      <c r="B11112" t="s">
        <v>24540</v>
      </c>
      <c r="C11112" t="s">
        <v>24586</v>
      </c>
      <c r="E11112" t="s">
        <v>39</v>
      </c>
      <c r="F11112">
        <v>0</v>
      </c>
      <c r="G11112">
        <v>0</v>
      </c>
      <c r="H11112">
        <v>1</v>
      </c>
      <c r="I11112" s="3">
        <v>1348.82</v>
      </c>
      <c r="J11112" s="3">
        <v>0</v>
      </c>
      <c r="M11112" t="s">
        <v>24587</v>
      </c>
      <c r="N11112" t="s">
        <v>30</v>
      </c>
      <c r="O11112" t="s">
        <v>31</v>
      </c>
      <c r="P11112" t="str">
        <f>"15203"</f>
        <v>15203</v>
      </c>
    </row>
    <row r="11113" spans="1:16" x14ac:dyDescent="0.25">
      <c r="A11113" t="str">
        <f>"1170012J00438A   00"</f>
        <v>1170012J00438A   00</v>
      </c>
      <c r="B11113" t="s">
        <v>24588</v>
      </c>
      <c r="C11113" t="s">
        <v>24589</v>
      </c>
      <c r="D11113" t="s">
        <v>20</v>
      </c>
      <c r="E11113" t="s">
        <v>21</v>
      </c>
      <c r="F11113">
        <v>0</v>
      </c>
      <c r="G11113">
        <v>0</v>
      </c>
      <c r="H11113">
        <v>3</v>
      </c>
      <c r="I11113" s="3">
        <v>4145.58</v>
      </c>
      <c r="J11113" s="3">
        <v>11.51</v>
      </c>
      <c r="K11113" t="s">
        <v>24590</v>
      </c>
      <c r="L11113">
        <v>8121</v>
      </c>
      <c r="M11113" t="s">
        <v>24591</v>
      </c>
      <c r="N11113" t="s">
        <v>1320</v>
      </c>
      <c r="O11113" t="s">
        <v>1321</v>
      </c>
      <c r="P11113" t="str">
        <f>"89147"</f>
        <v>89147</v>
      </c>
    </row>
    <row r="11114" spans="1:16" x14ac:dyDescent="0.25">
      <c r="A11114" t="str">
        <f>"1170012J00438B   00"</f>
        <v>1170012J00438B   00</v>
      </c>
      <c r="B11114" t="s">
        <v>24588</v>
      </c>
      <c r="C11114" t="s">
        <v>24589</v>
      </c>
      <c r="D11114" t="s">
        <v>20</v>
      </c>
      <c r="E11114" t="s">
        <v>21</v>
      </c>
      <c r="F11114">
        <v>0</v>
      </c>
      <c r="G11114">
        <v>0</v>
      </c>
      <c r="H11114">
        <v>3</v>
      </c>
      <c r="I11114" s="3">
        <v>914.88</v>
      </c>
      <c r="J11114" s="3">
        <v>2.54</v>
      </c>
      <c r="K11114" t="s">
        <v>24590</v>
      </c>
      <c r="L11114">
        <v>8121</v>
      </c>
      <c r="M11114" t="s">
        <v>24591</v>
      </c>
      <c r="N11114" t="s">
        <v>1320</v>
      </c>
      <c r="O11114" t="s">
        <v>1321</v>
      </c>
      <c r="P11114" t="str">
        <f>"89147"</f>
        <v>89147</v>
      </c>
    </row>
    <row r="11115" spans="1:16" x14ac:dyDescent="0.25">
      <c r="A11115" t="str">
        <f>"1170012J00438C   00"</f>
        <v>1170012J00438C   00</v>
      </c>
      <c r="B11115" t="s">
        <v>24588</v>
      </c>
      <c r="C11115" t="s">
        <v>24589</v>
      </c>
      <c r="D11115" t="s">
        <v>20</v>
      </c>
      <c r="E11115" t="s">
        <v>21</v>
      </c>
      <c r="F11115">
        <v>0</v>
      </c>
      <c r="G11115">
        <v>0</v>
      </c>
      <c r="H11115">
        <v>3</v>
      </c>
      <c r="I11115" s="3">
        <v>343.08</v>
      </c>
      <c r="J11115" s="3">
        <v>0.94</v>
      </c>
      <c r="K11115" t="s">
        <v>24590</v>
      </c>
      <c r="L11115">
        <v>8121</v>
      </c>
      <c r="M11115" t="s">
        <v>24592</v>
      </c>
      <c r="N11115" t="s">
        <v>1320</v>
      </c>
      <c r="O11115" t="s">
        <v>1321</v>
      </c>
      <c r="P11115" t="str">
        <f>"89147"</f>
        <v>89147</v>
      </c>
    </row>
    <row r="11116" spans="1:16" x14ac:dyDescent="0.25">
      <c r="A11116" t="str">
        <f>"1170012J00444    00"</f>
        <v>1170012J00444    00</v>
      </c>
      <c r="B11116" t="s">
        <v>24593</v>
      </c>
      <c r="C11116" t="s">
        <v>24594</v>
      </c>
      <c r="D11116" t="s">
        <v>20</v>
      </c>
      <c r="E11116" t="s">
        <v>39</v>
      </c>
      <c r="F11116">
        <v>0</v>
      </c>
      <c r="G11116">
        <v>0</v>
      </c>
      <c r="H11116">
        <v>6</v>
      </c>
      <c r="I11116" s="3">
        <v>1326.5</v>
      </c>
      <c r="J11116" s="3">
        <v>468.04</v>
      </c>
      <c r="K11116" t="s">
        <v>24595</v>
      </c>
      <c r="L11116">
        <v>141</v>
      </c>
      <c r="M11116" t="s">
        <v>24596</v>
      </c>
      <c r="N11116" t="s">
        <v>30</v>
      </c>
      <c r="O11116" t="s">
        <v>31</v>
      </c>
      <c r="P11116" t="str">
        <f>"15203"</f>
        <v>15203</v>
      </c>
    </row>
    <row r="11117" spans="1:16" x14ac:dyDescent="0.25">
      <c r="A11117" t="str">
        <f>"1170012J00454    00"</f>
        <v>1170012J00454    00</v>
      </c>
      <c r="B11117" t="s">
        <v>22574</v>
      </c>
      <c r="C11117" t="s">
        <v>24597</v>
      </c>
      <c r="D11117" t="s">
        <v>20</v>
      </c>
      <c r="E11117" t="s">
        <v>21</v>
      </c>
      <c r="F11117">
        <v>0</v>
      </c>
      <c r="G11117">
        <v>0</v>
      </c>
      <c r="H11117">
        <v>1</v>
      </c>
      <c r="I11117" s="3">
        <v>6440.07</v>
      </c>
      <c r="J11117" s="3">
        <v>0</v>
      </c>
      <c r="K11117" t="s">
        <v>22576</v>
      </c>
      <c r="L11117">
        <v>5500</v>
      </c>
      <c r="M11117" t="s">
        <v>10883</v>
      </c>
      <c r="N11117" t="s">
        <v>30</v>
      </c>
      <c r="O11117" t="s">
        <v>31</v>
      </c>
      <c r="P11117" t="str">
        <f>"15232"</f>
        <v>15232</v>
      </c>
    </row>
    <row r="11118" spans="1:16" x14ac:dyDescent="0.25">
      <c r="A11118" t="str">
        <f>"1170012J00456    00"</f>
        <v>1170012J00456    00</v>
      </c>
      <c r="B11118" t="s">
        <v>24598</v>
      </c>
      <c r="C11118" t="s">
        <v>24599</v>
      </c>
      <c r="E11118" t="s">
        <v>39</v>
      </c>
      <c r="F11118">
        <v>0</v>
      </c>
      <c r="G11118">
        <v>0</v>
      </c>
      <c r="H11118">
        <v>5</v>
      </c>
      <c r="I11118" s="3">
        <v>10659.06</v>
      </c>
      <c r="J11118" s="3">
        <v>2404.88</v>
      </c>
      <c r="L11118">
        <v>1915</v>
      </c>
      <c r="M11118" t="s">
        <v>13875</v>
      </c>
      <c r="N11118" t="s">
        <v>30</v>
      </c>
      <c r="O11118" t="s">
        <v>31</v>
      </c>
      <c r="P11118" t="str">
        <f>"15203"</f>
        <v>15203</v>
      </c>
    </row>
    <row r="11119" spans="1:16" x14ac:dyDescent="0.25">
      <c r="A11119" t="str">
        <f>"1170012K00011    00"</f>
        <v>1170012K00011    00</v>
      </c>
      <c r="B11119" t="s">
        <v>24600</v>
      </c>
      <c r="C11119" t="s">
        <v>24601</v>
      </c>
      <c r="D11119" t="s">
        <v>20</v>
      </c>
      <c r="E11119" t="s">
        <v>21</v>
      </c>
      <c r="F11119">
        <v>0</v>
      </c>
      <c r="G11119">
        <v>0</v>
      </c>
      <c r="H11119">
        <v>1</v>
      </c>
      <c r="I11119" s="3">
        <v>883.64</v>
      </c>
      <c r="J11119" s="3">
        <v>0</v>
      </c>
      <c r="K11119" t="s">
        <v>24602</v>
      </c>
      <c r="L11119">
        <v>1883</v>
      </c>
      <c r="M11119" t="s">
        <v>24603</v>
      </c>
      <c r="N11119" t="s">
        <v>30</v>
      </c>
      <c r="O11119" t="s">
        <v>31</v>
      </c>
      <c r="P11119" t="str">
        <f>"15228"</f>
        <v>15228</v>
      </c>
    </row>
    <row r="11120" spans="1:16" x14ac:dyDescent="0.25">
      <c r="A11120" t="str">
        <f>"1170012K00016    00"</f>
        <v>1170012K00016    00</v>
      </c>
      <c r="B11120" t="s">
        <v>10589</v>
      </c>
      <c r="C11120" t="s">
        <v>24604</v>
      </c>
      <c r="E11120" t="s">
        <v>21</v>
      </c>
      <c r="F11120">
        <v>0</v>
      </c>
      <c r="G11120">
        <v>0</v>
      </c>
      <c r="H11120">
        <v>2</v>
      </c>
      <c r="I11120" s="3">
        <v>10305.44</v>
      </c>
      <c r="J11120" s="3">
        <v>1805.49</v>
      </c>
      <c r="L11120">
        <v>3101</v>
      </c>
      <c r="M11120" t="s">
        <v>6937</v>
      </c>
      <c r="N11120" t="s">
        <v>30</v>
      </c>
      <c r="O11120" t="s">
        <v>31</v>
      </c>
      <c r="P11120" t="str">
        <f>"15216"</f>
        <v>15216</v>
      </c>
    </row>
    <row r="11121" spans="1:16" x14ac:dyDescent="0.25">
      <c r="A11121" t="str">
        <f>"1170012K00023    00"</f>
        <v>1170012K00023    00</v>
      </c>
      <c r="B11121" t="s">
        <v>24605</v>
      </c>
      <c r="C11121" t="s">
        <v>24606</v>
      </c>
      <c r="E11121" t="s">
        <v>21</v>
      </c>
      <c r="F11121">
        <v>0</v>
      </c>
      <c r="G11121">
        <v>0</v>
      </c>
      <c r="H11121">
        <v>1</v>
      </c>
      <c r="I11121" s="3">
        <v>5742.78</v>
      </c>
      <c r="J11121" s="3">
        <v>1818.48</v>
      </c>
      <c r="K11121" t="s">
        <v>24607</v>
      </c>
      <c r="L11121">
        <v>1001</v>
      </c>
      <c r="M11121" t="s">
        <v>24608</v>
      </c>
      <c r="N11121" t="s">
        <v>2059</v>
      </c>
      <c r="O11121" t="s">
        <v>31</v>
      </c>
      <c r="P11121" t="str">
        <f>"15642"</f>
        <v>15642</v>
      </c>
    </row>
    <row r="11122" spans="1:16" x14ac:dyDescent="0.25">
      <c r="A11122" t="str">
        <f>"1170012K00085    00"</f>
        <v>1170012K00085    00</v>
      </c>
      <c r="B11122" t="s">
        <v>24609</v>
      </c>
      <c r="C11122" t="s">
        <v>24610</v>
      </c>
      <c r="D11122" t="s">
        <v>20</v>
      </c>
      <c r="E11122" t="s">
        <v>21</v>
      </c>
      <c r="F11122">
        <v>0</v>
      </c>
      <c r="G11122">
        <v>0</v>
      </c>
      <c r="H11122">
        <v>2</v>
      </c>
      <c r="I11122" s="3">
        <v>11164.73</v>
      </c>
      <c r="J11122" s="3">
        <v>0</v>
      </c>
      <c r="L11122">
        <v>108</v>
      </c>
      <c r="M11122" t="s">
        <v>24611</v>
      </c>
      <c r="N11122" t="s">
        <v>2008</v>
      </c>
      <c r="O11122" t="s">
        <v>31</v>
      </c>
      <c r="P11122" t="str">
        <f>"16066"</f>
        <v>16066</v>
      </c>
    </row>
    <row r="11123" spans="1:16" x14ac:dyDescent="0.25">
      <c r="A11123" t="str">
        <f>"1170012K00103    00"</f>
        <v>1170012K00103    00</v>
      </c>
      <c r="B11123" t="s">
        <v>24612</v>
      </c>
      <c r="C11123" t="s">
        <v>24613</v>
      </c>
      <c r="D11123" t="s">
        <v>20</v>
      </c>
      <c r="E11123" t="s">
        <v>66</v>
      </c>
      <c r="F11123">
        <v>0</v>
      </c>
      <c r="G11123">
        <v>0</v>
      </c>
      <c r="H11123">
        <v>2</v>
      </c>
      <c r="I11123" s="3">
        <v>11507.36</v>
      </c>
      <c r="J11123" s="3">
        <v>0</v>
      </c>
      <c r="K11123" t="s">
        <v>24614</v>
      </c>
      <c r="L11123">
        <v>2005</v>
      </c>
      <c r="M11123" t="s">
        <v>22611</v>
      </c>
      <c r="N11123" t="s">
        <v>30</v>
      </c>
      <c r="O11123" t="s">
        <v>31</v>
      </c>
      <c r="P11123" t="str">
        <f>"15203"</f>
        <v>15203</v>
      </c>
    </row>
    <row r="11124" spans="1:16" x14ac:dyDescent="0.25">
      <c r="A11124" t="str">
        <f>"1170012K00145    00"</f>
        <v>1170012K00145    00</v>
      </c>
      <c r="B11124" t="s">
        <v>22592</v>
      </c>
      <c r="C11124" t="s">
        <v>24615</v>
      </c>
      <c r="E11124" t="s">
        <v>39</v>
      </c>
      <c r="F11124">
        <v>0</v>
      </c>
      <c r="G11124">
        <v>0</v>
      </c>
      <c r="H11124">
        <v>1</v>
      </c>
      <c r="I11124" s="3">
        <v>2191.92</v>
      </c>
      <c r="J11124" s="3">
        <v>438.36</v>
      </c>
      <c r="K11124" t="s">
        <v>22594</v>
      </c>
      <c r="L11124">
        <v>1800</v>
      </c>
      <c r="M11124" t="s">
        <v>22595</v>
      </c>
      <c r="N11124" t="s">
        <v>1928</v>
      </c>
      <c r="O11124" t="s">
        <v>31</v>
      </c>
      <c r="P11124" t="str">
        <f>"15317"</f>
        <v>15317</v>
      </c>
    </row>
    <row r="11125" spans="1:16" x14ac:dyDescent="0.25">
      <c r="A11125" t="str">
        <f>"1170012K00150    00"</f>
        <v>1170012K00150    00</v>
      </c>
      <c r="B11125" t="s">
        <v>24616</v>
      </c>
      <c r="C11125" t="s">
        <v>24617</v>
      </c>
      <c r="E11125" t="s">
        <v>21</v>
      </c>
      <c r="F11125">
        <v>0</v>
      </c>
      <c r="G11125">
        <v>0</v>
      </c>
      <c r="H11125">
        <v>1</v>
      </c>
      <c r="I11125" s="3">
        <v>624.28</v>
      </c>
      <c r="J11125" s="3">
        <v>124.85</v>
      </c>
      <c r="L11125">
        <v>107</v>
      </c>
      <c r="M11125" t="s">
        <v>22744</v>
      </c>
      <c r="N11125" t="s">
        <v>30</v>
      </c>
      <c r="O11125" t="s">
        <v>31</v>
      </c>
      <c r="P11125" t="str">
        <f>"15203"</f>
        <v>15203</v>
      </c>
    </row>
    <row r="11126" spans="1:16" x14ac:dyDescent="0.25">
      <c r="A11126" t="str">
        <f>"1170012K00152    00"</f>
        <v>1170012K00152    00</v>
      </c>
      <c r="B11126" t="s">
        <v>24618</v>
      </c>
      <c r="C11126" t="s">
        <v>24619</v>
      </c>
      <c r="D11126" t="s">
        <v>20</v>
      </c>
      <c r="E11126" t="s">
        <v>39</v>
      </c>
      <c r="F11126">
        <v>0</v>
      </c>
      <c r="G11126">
        <v>0</v>
      </c>
      <c r="H11126">
        <v>3</v>
      </c>
      <c r="I11126" s="3">
        <v>7902.3</v>
      </c>
      <c r="J11126" s="3">
        <v>271.97000000000003</v>
      </c>
      <c r="L11126">
        <v>2028</v>
      </c>
      <c r="M11126" t="s">
        <v>22611</v>
      </c>
      <c r="N11126" t="s">
        <v>30</v>
      </c>
      <c r="O11126" t="s">
        <v>31</v>
      </c>
      <c r="P11126" t="str">
        <f>"15203"</f>
        <v>15203</v>
      </c>
    </row>
    <row r="11127" spans="1:16" x14ac:dyDescent="0.25">
      <c r="A11127" t="str">
        <f>"1170012K00222    00"</f>
        <v>1170012K00222    00</v>
      </c>
      <c r="B11127" t="s">
        <v>24620</v>
      </c>
      <c r="C11127" t="s">
        <v>24621</v>
      </c>
      <c r="D11127" t="s">
        <v>20</v>
      </c>
      <c r="E11127" t="s">
        <v>39</v>
      </c>
      <c r="F11127">
        <v>0</v>
      </c>
      <c r="G11127">
        <v>0</v>
      </c>
      <c r="H11127">
        <v>2</v>
      </c>
      <c r="I11127" s="3">
        <v>2240.5700000000002</v>
      </c>
      <c r="J11127" s="3">
        <v>19.03</v>
      </c>
      <c r="K11127" t="s">
        <v>24622</v>
      </c>
      <c r="L11127">
        <v>126</v>
      </c>
      <c r="M11127" t="s">
        <v>22857</v>
      </c>
      <c r="N11127" t="s">
        <v>30</v>
      </c>
      <c r="O11127" t="s">
        <v>31</v>
      </c>
      <c r="P11127" t="str">
        <f>"15203"</f>
        <v>15203</v>
      </c>
    </row>
    <row r="11128" spans="1:16" x14ac:dyDescent="0.25">
      <c r="A11128" t="str">
        <f>"1170012K00224    00"</f>
        <v>1170012K00224    00</v>
      </c>
      <c r="B11128" t="s">
        <v>22574</v>
      </c>
      <c r="C11128" t="s">
        <v>22575</v>
      </c>
      <c r="D11128" t="s">
        <v>20</v>
      </c>
      <c r="E11128" t="s">
        <v>66</v>
      </c>
      <c r="F11128">
        <v>0</v>
      </c>
      <c r="G11128">
        <v>0</v>
      </c>
      <c r="H11128">
        <v>1</v>
      </c>
      <c r="I11128" s="3">
        <v>2324.6799999999998</v>
      </c>
      <c r="J11128" s="3">
        <v>0</v>
      </c>
      <c r="K11128" t="s">
        <v>22576</v>
      </c>
      <c r="L11128">
        <v>5500</v>
      </c>
      <c r="M11128" t="s">
        <v>10883</v>
      </c>
      <c r="N11128" t="s">
        <v>30</v>
      </c>
      <c r="O11128" t="s">
        <v>31</v>
      </c>
      <c r="P11128" t="str">
        <f>"15232"</f>
        <v>15232</v>
      </c>
    </row>
    <row r="11129" spans="1:16" x14ac:dyDescent="0.25">
      <c r="A11129" t="str">
        <f>"1170012K00237    00"</f>
        <v>1170012K00237    00</v>
      </c>
      <c r="B11129" t="s">
        <v>22572</v>
      </c>
      <c r="C11129" t="s">
        <v>24623</v>
      </c>
      <c r="E11129" t="s">
        <v>39</v>
      </c>
      <c r="F11129">
        <v>0</v>
      </c>
      <c r="G11129">
        <v>0</v>
      </c>
      <c r="H11129">
        <v>2</v>
      </c>
      <c r="I11129" s="3">
        <v>1116.94</v>
      </c>
      <c r="J11129" s="3">
        <v>13.96</v>
      </c>
      <c r="L11129">
        <v>1812</v>
      </c>
      <c r="M11129" t="s">
        <v>1484</v>
      </c>
      <c r="N11129" t="s">
        <v>30</v>
      </c>
      <c r="O11129" t="s">
        <v>31</v>
      </c>
      <c r="P11129" t="str">
        <f>"15203"</f>
        <v>15203</v>
      </c>
    </row>
    <row r="11130" spans="1:16" x14ac:dyDescent="0.25">
      <c r="A11130" t="str">
        <f>"1170012K00241    00"</f>
        <v>1170012K00241    00</v>
      </c>
      <c r="B11130" t="s">
        <v>22572</v>
      </c>
      <c r="C11130" t="s">
        <v>24624</v>
      </c>
      <c r="E11130" t="s">
        <v>39</v>
      </c>
      <c r="F11130">
        <v>0</v>
      </c>
      <c r="G11130">
        <v>0</v>
      </c>
      <c r="H11130">
        <v>2</v>
      </c>
      <c r="I11130" s="3">
        <v>838.84</v>
      </c>
      <c r="J11130" s="3">
        <v>10.48</v>
      </c>
      <c r="L11130">
        <v>1812</v>
      </c>
      <c r="M11130" t="s">
        <v>1484</v>
      </c>
      <c r="N11130" t="s">
        <v>30</v>
      </c>
      <c r="O11130" t="s">
        <v>31</v>
      </c>
      <c r="P11130" t="str">
        <f>"15203"</f>
        <v>15203</v>
      </c>
    </row>
    <row r="11131" spans="1:16" x14ac:dyDescent="0.25">
      <c r="A11131" t="str">
        <f>"1170012K00242    00"</f>
        <v>1170012K00242    00</v>
      </c>
      <c r="B11131" t="s">
        <v>22572</v>
      </c>
      <c r="C11131" t="s">
        <v>22575</v>
      </c>
      <c r="E11131" t="s">
        <v>39</v>
      </c>
      <c r="F11131">
        <v>0</v>
      </c>
      <c r="G11131">
        <v>0</v>
      </c>
      <c r="H11131">
        <v>2</v>
      </c>
      <c r="I11131" s="3">
        <v>38.119999999999997</v>
      </c>
      <c r="J11131" s="3">
        <v>0.48</v>
      </c>
      <c r="L11131">
        <v>1812</v>
      </c>
      <c r="M11131" t="s">
        <v>1484</v>
      </c>
      <c r="N11131" t="s">
        <v>30</v>
      </c>
      <c r="O11131" t="s">
        <v>31</v>
      </c>
      <c r="P11131" t="str">
        <f>"15203"</f>
        <v>15203</v>
      </c>
    </row>
    <row r="11132" spans="1:16" x14ac:dyDescent="0.25">
      <c r="A11132" t="str">
        <f>"1170012K00245    00"</f>
        <v>1170012K00245    00</v>
      </c>
      <c r="B11132" t="s">
        <v>24625</v>
      </c>
      <c r="C11132" t="s">
        <v>24626</v>
      </c>
      <c r="D11132" t="s">
        <v>20</v>
      </c>
      <c r="E11132" t="s">
        <v>39</v>
      </c>
      <c r="F11132">
        <v>0</v>
      </c>
      <c r="G11132">
        <v>0</v>
      </c>
      <c r="H11132">
        <v>3</v>
      </c>
      <c r="I11132" s="3">
        <v>6302.5</v>
      </c>
      <c r="J11132" s="3">
        <v>472.67</v>
      </c>
      <c r="L11132">
        <v>2007</v>
      </c>
      <c r="M11132" t="s">
        <v>3323</v>
      </c>
      <c r="N11132" t="s">
        <v>30</v>
      </c>
      <c r="O11132" t="s">
        <v>31</v>
      </c>
      <c r="P11132" t="str">
        <f>"15203"</f>
        <v>15203</v>
      </c>
    </row>
    <row r="11133" spans="1:16" x14ac:dyDescent="0.25">
      <c r="A11133" t="str">
        <f>"1170012K00252    00"</f>
        <v>1170012K00252    00</v>
      </c>
      <c r="B11133" t="s">
        <v>22572</v>
      </c>
      <c r="C11133" t="s">
        <v>24627</v>
      </c>
      <c r="E11133" t="s">
        <v>39</v>
      </c>
      <c r="F11133">
        <v>0</v>
      </c>
      <c r="G11133">
        <v>0</v>
      </c>
      <c r="H11133">
        <v>1</v>
      </c>
      <c r="I11133" s="3">
        <v>419.32</v>
      </c>
      <c r="J11133" s="3">
        <v>10.48</v>
      </c>
      <c r="L11133">
        <v>1812</v>
      </c>
      <c r="M11133" t="s">
        <v>1484</v>
      </c>
      <c r="N11133" t="s">
        <v>30</v>
      </c>
      <c r="O11133" t="s">
        <v>31</v>
      </c>
      <c r="P11133" t="str">
        <f>"15203"</f>
        <v>15203</v>
      </c>
    </row>
    <row r="11134" spans="1:16" x14ac:dyDescent="0.25">
      <c r="A11134" t="str">
        <f>"1170012K00260    00"</f>
        <v>1170012K00260    00</v>
      </c>
      <c r="B11134" t="s">
        <v>24628</v>
      </c>
      <c r="C11134" t="s">
        <v>24629</v>
      </c>
      <c r="E11134" t="s">
        <v>39</v>
      </c>
      <c r="F11134">
        <v>0</v>
      </c>
      <c r="G11134">
        <v>0</v>
      </c>
      <c r="H11134">
        <v>2</v>
      </c>
      <c r="I11134" s="3">
        <v>1811.13</v>
      </c>
      <c r="J11134" s="3">
        <v>364.76</v>
      </c>
      <c r="K11134" t="s">
        <v>5324</v>
      </c>
      <c r="L11134">
        <v>6850</v>
      </c>
      <c r="M11134" t="s">
        <v>763</v>
      </c>
      <c r="N11134" t="s">
        <v>764</v>
      </c>
      <c r="O11134" t="s">
        <v>25</v>
      </c>
      <c r="P11134" t="str">
        <f>"44141"</f>
        <v>44141</v>
      </c>
    </row>
    <row r="11135" spans="1:16" x14ac:dyDescent="0.25">
      <c r="A11135" t="str">
        <f>"1170012K00264    00"</f>
        <v>1170012K00264    00</v>
      </c>
      <c r="B11135" t="s">
        <v>24630</v>
      </c>
      <c r="C11135" t="s">
        <v>24631</v>
      </c>
      <c r="E11135" t="s">
        <v>39</v>
      </c>
      <c r="F11135">
        <v>0</v>
      </c>
      <c r="G11135">
        <v>0</v>
      </c>
      <c r="H11135">
        <v>1</v>
      </c>
      <c r="I11135" s="3">
        <v>2081.35</v>
      </c>
      <c r="J11135" s="3">
        <v>0</v>
      </c>
      <c r="K11135" t="s">
        <v>5137</v>
      </c>
      <c r="L11135">
        <v>612</v>
      </c>
      <c r="M11135" t="s">
        <v>1451</v>
      </c>
      <c r="N11135" t="s">
        <v>5138</v>
      </c>
      <c r="O11135" t="s">
        <v>31</v>
      </c>
      <c r="P11135" t="str">
        <f>"16373"</f>
        <v>16373</v>
      </c>
    </row>
    <row r="11136" spans="1:16" x14ac:dyDescent="0.25">
      <c r="A11136" t="str">
        <f>"1170012K00289    00"</f>
        <v>1170012K00289    00</v>
      </c>
      <c r="B11136" t="s">
        <v>24632</v>
      </c>
      <c r="C11136" t="s">
        <v>24633</v>
      </c>
      <c r="D11136" t="s">
        <v>33</v>
      </c>
      <c r="E11136" t="s">
        <v>21</v>
      </c>
      <c r="F11136">
        <v>0</v>
      </c>
      <c r="G11136">
        <v>0</v>
      </c>
      <c r="H11136">
        <v>8</v>
      </c>
      <c r="I11136" s="3">
        <v>16319.46</v>
      </c>
      <c r="J11136" s="3">
        <v>1308.3499999999999</v>
      </c>
      <c r="K11136" t="s">
        <v>24634</v>
      </c>
      <c r="L11136">
        <v>128</v>
      </c>
      <c r="M11136" t="s">
        <v>22857</v>
      </c>
      <c r="N11136" t="s">
        <v>30</v>
      </c>
      <c r="O11136" t="s">
        <v>31</v>
      </c>
      <c r="P11136" t="str">
        <f>"15203"</f>
        <v>15203</v>
      </c>
    </row>
    <row r="11137" spans="1:16" x14ac:dyDescent="0.25">
      <c r="A11137" t="str">
        <f>"1170012K00290    00"</f>
        <v>1170012K00290    00</v>
      </c>
      <c r="B11137" t="s">
        <v>22574</v>
      </c>
      <c r="C11137" t="s">
        <v>24635</v>
      </c>
      <c r="D11137" t="s">
        <v>20</v>
      </c>
      <c r="E11137" t="s">
        <v>21</v>
      </c>
      <c r="F11137">
        <v>0</v>
      </c>
      <c r="G11137">
        <v>0</v>
      </c>
      <c r="H11137">
        <v>1</v>
      </c>
      <c r="I11137" s="3">
        <v>97828.9</v>
      </c>
      <c r="J11137" s="3">
        <v>0</v>
      </c>
      <c r="K11137" t="s">
        <v>22576</v>
      </c>
      <c r="L11137">
        <v>5500</v>
      </c>
      <c r="M11137" t="s">
        <v>10883</v>
      </c>
      <c r="N11137" t="s">
        <v>30</v>
      </c>
      <c r="O11137" t="s">
        <v>31</v>
      </c>
      <c r="P11137" t="str">
        <f>"15232"</f>
        <v>15232</v>
      </c>
    </row>
    <row r="11138" spans="1:16" x14ac:dyDescent="0.25">
      <c r="A11138" t="str">
        <f>"1170012K00360    00"</f>
        <v>1170012K00360    00</v>
      </c>
      <c r="B11138" t="s">
        <v>22574</v>
      </c>
      <c r="C11138" t="s">
        <v>24636</v>
      </c>
      <c r="D11138" t="s">
        <v>20</v>
      </c>
      <c r="E11138" t="s">
        <v>66</v>
      </c>
      <c r="F11138">
        <v>0</v>
      </c>
      <c r="G11138">
        <v>0</v>
      </c>
      <c r="H11138">
        <v>1</v>
      </c>
      <c r="I11138" s="3">
        <v>2098.5300000000002</v>
      </c>
      <c r="J11138" s="3">
        <v>0</v>
      </c>
      <c r="K11138" t="s">
        <v>22576</v>
      </c>
      <c r="L11138">
        <v>5500</v>
      </c>
      <c r="M11138" t="s">
        <v>10883</v>
      </c>
      <c r="N11138" t="s">
        <v>30</v>
      </c>
      <c r="O11138" t="s">
        <v>31</v>
      </c>
      <c r="P11138" t="str">
        <f>"15232"</f>
        <v>15232</v>
      </c>
    </row>
    <row r="11139" spans="1:16" x14ac:dyDescent="0.25">
      <c r="A11139" t="str">
        <f>"1170012K00365    00"</f>
        <v>1170012K00365    00</v>
      </c>
      <c r="B11139" t="s">
        <v>24637</v>
      </c>
      <c r="C11139" t="s">
        <v>24638</v>
      </c>
      <c r="E11139" t="s">
        <v>39</v>
      </c>
      <c r="F11139">
        <v>0</v>
      </c>
      <c r="G11139">
        <v>0</v>
      </c>
      <c r="H11139">
        <v>1</v>
      </c>
      <c r="I11139" s="3">
        <v>4012.94</v>
      </c>
      <c r="J11139" s="3">
        <v>1103.51</v>
      </c>
      <c r="K11139" t="s">
        <v>426</v>
      </c>
      <c r="L11139">
        <v>2570</v>
      </c>
      <c r="M11139" t="s">
        <v>427</v>
      </c>
      <c r="N11139" t="s">
        <v>30</v>
      </c>
      <c r="O11139" t="s">
        <v>31</v>
      </c>
      <c r="P11139" t="str">
        <f>"15241"</f>
        <v>15241</v>
      </c>
    </row>
    <row r="11140" spans="1:16" x14ac:dyDescent="0.25">
      <c r="A11140" t="str">
        <f>"1170012K00375    00"</f>
        <v>1170012K00375    00</v>
      </c>
      <c r="B11140" t="s">
        <v>24639</v>
      </c>
      <c r="C11140" t="s">
        <v>24640</v>
      </c>
      <c r="E11140" t="s">
        <v>39</v>
      </c>
      <c r="F11140">
        <v>0</v>
      </c>
      <c r="G11140">
        <v>0</v>
      </c>
      <c r="H11140">
        <v>1</v>
      </c>
      <c r="I11140" s="3">
        <v>192.79</v>
      </c>
      <c r="J11140" s="3">
        <v>14.46</v>
      </c>
      <c r="K11140" t="s">
        <v>1502</v>
      </c>
      <c r="L11140">
        <v>901</v>
      </c>
      <c r="M11140" t="s">
        <v>1503</v>
      </c>
      <c r="N11140" t="s">
        <v>494</v>
      </c>
      <c r="O11140" t="s">
        <v>495</v>
      </c>
      <c r="P11140" t="str">
        <f>"91768"</f>
        <v>91768</v>
      </c>
    </row>
    <row r="11141" spans="1:16" x14ac:dyDescent="0.25">
      <c r="A11141" t="str">
        <f>"1170012N00011    00"</f>
        <v>1170012N00011    00</v>
      </c>
      <c r="B11141" t="s">
        <v>22592</v>
      </c>
      <c r="C11141" t="s">
        <v>24641</v>
      </c>
      <c r="E11141" t="s">
        <v>39</v>
      </c>
      <c r="F11141">
        <v>0</v>
      </c>
      <c r="G11141">
        <v>0</v>
      </c>
      <c r="H11141">
        <v>1</v>
      </c>
      <c r="I11141" s="3">
        <v>856</v>
      </c>
      <c r="J11141" s="3">
        <v>171.19</v>
      </c>
      <c r="K11141" t="s">
        <v>22594</v>
      </c>
      <c r="L11141">
        <v>1800</v>
      </c>
      <c r="M11141" t="s">
        <v>22595</v>
      </c>
      <c r="N11141" t="s">
        <v>1928</v>
      </c>
      <c r="O11141" t="s">
        <v>31</v>
      </c>
      <c r="P11141" t="str">
        <f>"15317"</f>
        <v>15317</v>
      </c>
    </row>
    <row r="11142" spans="1:16" x14ac:dyDescent="0.25">
      <c r="A11142" t="str">
        <f>"1170012N00023    00"</f>
        <v>1170012N00023    00</v>
      </c>
      <c r="B11142" t="s">
        <v>24642</v>
      </c>
      <c r="C11142" t="s">
        <v>24643</v>
      </c>
      <c r="E11142" t="s">
        <v>39</v>
      </c>
      <c r="F11142">
        <v>0</v>
      </c>
      <c r="G11142">
        <v>0</v>
      </c>
      <c r="H11142">
        <v>1</v>
      </c>
      <c r="I11142" s="3">
        <v>14.69</v>
      </c>
      <c r="J11142" s="3">
        <v>0</v>
      </c>
      <c r="L11142">
        <v>1266</v>
      </c>
      <c r="M11142" t="s">
        <v>24644</v>
      </c>
      <c r="N11142" t="s">
        <v>666</v>
      </c>
      <c r="O11142" t="s">
        <v>31</v>
      </c>
      <c r="P11142" t="str">
        <f>"16002"</f>
        <v>16002</v>
      </c>
    </row>
    <row r="11143" spans="1:16" x14ac:dyDescent="0.25">
      <c r="A11143" t="str">
        <f>"1170012N00038    00"</f>
        <v>1170012N00038    00</v>
      </c>
      <c r="B11143" t="s">
        <v>24645</v>
      </c>
      <c r="C11143" t="s">
        <v>24646</v>
      </c>
      <c r="E11143" t="s">
        <v>39</v>
      </c>
      <c r="F11143">
        <v>0</v>
      </c>
      <c r="G11143">
        <v>0</v>
      </c>
      <c r="H11143">
        <v>3</v>
      </c>
      <c r="I11143" s="3">
        <v>3871.8</v>
      </c>
      <c r="J11143" s="3">
        <v>1780.73</v>
      </c>
      <c r="L11143">
        <v>1724</v>
      </c>
      <c r="M11143" t="s">
        <v>13875</v>
      </c>
      <c r="N11143" t="s">
        <v>30</v>
      </c>
      <c r="O11143" t="s">
        <v>31</v>
      </c>
      <c r="P11143" t="str">
        <f>"15203"</f>
        <v>15203</v>
      </c>
    </row>
    <row r="11144" spans="1:16" x14ac:dyDescent="0.25">
      <c r="A11144" t="str">
        <f>"1170012N00044    00"</f>
        <v>1170012N00044    00</v>
      </c>
      <c r="B11144" t="s">
        <v>24647</v>
      </c>
      <c r="C11144" t="s">
        <v>24648</v>
      </c>
      <c r="E11144" t="s">
        <v>39</v>
      </c>
      <c r="F11144">
        <v>0</v>
      </c>
      <c r="G11144">
        <v>0</v>
      </c>
      <c r="H11144">
        <v>1</v>
      </c>
      <c r="I11144" s="3">
        <v>31.36</v>
      </c>
      <c r="J11144" s="3">
        <v>27.7</v>
      </c>
      <c r="K11144" t="s">
        <v>1632</v>
      </c>
      <c r="M11144" t="s">
        <v>1633</v>
      </c>
      <c r="N11144" t="s">
        <v>1634</v>
      </c>
      <c r="O11144" t="s">
        <v>25</v>
      </c>
      <c r="P11144" t="str">
        <f>"45401"</f>
        <v>45401</v>
      </c>
    </row>
    <row r="11145" spans="1:16" x14ac:dyDescent="0.25">
      <c r="A11145" t="str">
        <f>"1170012N00046    00"</f>
        <v>1170012N00046    00</v>
      </c>
      <c r="B11145" t="s">
        <v>24649</v>
      </c>
      <c r="C11145" t="s">
        <v>24650</v>
      </c>
      <c r="D11145" t="s">
        <v>20</v>
      </c>
      <c r="E11145" t="s">
        <v>39</v>
      </c>
      <c r="F11145">
        <v>0</v>
      </c>
      <c r="G11145">
        <v>0</v>
      </c>
      <c r="H11145">
        <v>2</v>
      </c>
      <c r="I11145" s="3">
        <v>2833.3</v>
      </c>
      <c r="J11145" s="3">
        <v>0</v>
      </c>
      <c r="L11145">
        <v>160</v>
      </c>
      <c r="M11145" t="s">
        <v>24535</v>
      </c>
      <c r="N11145" t="s">
        <v>30</v>
      </c>
      <c r="O11145" t="s">
        <v>31</v>
      </c>
      <c r="P11145" t="str">
        <f>"15203"</f>
        <v>15203</v>
      </c>
    </row>
    <row r="11146" spans="1:16" x14ac:dyDescent="0.25">
      <c r="A11146" t="str">
        <f>"1170012N00049    00"</f>
        <v>1170012N00049    00</v>
      </c>
      <c r="B11146" t="s">
        <v>24651</v>
      </c>
      <c r="C11146" t="s">
        <v>24652</v>
      </c>
      <c r="E11146" t="s">
        <v>39</v>
      </c>
      <c r="F11146">
        <v>0</v>
      </c>
      <c r="G11146">
        <v>0</v>
      </c>
      <c r="H11146">
        <v>1</v>
      </c>
      <c r="I11146" s="3">
        <v>3575.66</v>
      </c>
      <c r="J11146" s="3">
        <v>953.48</v>
      </c>
      <c r="K11146" t="s">
        <v>1427</v>
      </c>
      <c r="L11146">
        <v>3001</v>
      </c>
      <c r="M11146" t="s">
        <v>330</v>
      </c>
      <c r="N11146" t="s">
        <v>331</v>
      </c>
      <c r="O11146" t="s">
        <v>108</v>
      </c>
      <c r="P11146" t="str">
        <f>"75063"</f>
        <v>75063</v>
      </c>
    </row>
    <row r="11147" spans="1:16" x14ac:dyDescent="0.25">
      <c r="A11147" t="str">
        <f>"1170012N00053    00"</f>
        <v>1170012N00053    00</v>
      </c>
      <c r="B11147" t="s">
        <v>22592</v>
      </c>
      <c r="C11147" t="s">
        <v>24653</v>
      </c>
      <c r="E11147" t="s">
        <v>39</v>
      </c>
      <c r="F11147">
        <v>0</v>
      </c>
      <c r="G11147">
        <v>0</v>
      </c>
      <c r="H11147">
        <v>1</v>
      </c>
      <c r="I11147" s="3">
        <v>2548.33</v>
      </c>
      <c r="J11147" s="3">
        <v>509.66</v>
      </c>
      <c r="K11147" t="s">
        <v>22594</v>
      </c>
      <c r="L11147">
        <v>1800</v>
      </c>
      <c r="M11147" t="s">
        <v>22595</v>
      </c>
      <c r="N11147" t="s">
        <v>1928</v>
      </c>
      <c r="O11147" t="s">
        <v>31</v>
      </c>
      <c r="P11147" t="str">
        <f>"15317"</f>
        <v>15317</v>
      </c>
    </row>
    <row r="11148" spans="1:16" x14ac:dyDescent="0.25">
      <c r="A11148" t="str">
        <f>"1170012N00075    00"</f>
        <v>1170012N00075    00</v>
      </c>
      <c r="B11148" t="s">
        <v>22753</v>
      </c>
      <c r="C11148" t="s">
        <v>24654</v>
      </c>
      <c r="D11148" t="s">
        <v>20</v>
      </c>
      <c r="E11148" t="s">
        <v>39</v>
      </c>
      <c r="F11148">
        <v>0</v>
      </c>
      <c r="G11148">
        <v>0</v>
      </c>
      <c r="H11148">
        <v>1</v>
      </c>
      <c r="I11148" s="3">
        <v>2668.42</v>
      </c>
      <c r="J11148" s="3">
        <v>0</v>
      </c>
      <c r="K11148" t="s">
        <v>3656</v>
      </c>
      <c r="L11148">
        <v>14</v>
      </c>
      <c r="M11148" t="s">
        <v>3657</v>
      </c>
      <c r="N11148" t="s">
        <v>30</v>
      </c>
      <c r="O11148" t="s">
        <v>31</v>
      </c>
      <c r="P11148" t="str">
        <f>"15238"</f>
        <v>15238</v>
      </c>
    </row>
    <row r="11149" spans="1:16" x14ac:dyDescent="0.25">
      <c r="A11149" t="str">
        <f>"1170012N00081    00"</f>
        <v>1170012N00081    00</v>
      </c>
      <c r="B11149" t="s">
        <v>24655</v>
      </c>
      <c r="C11149" t="s">
        <v>24656</v>
      </c>
      <c r="E11149" t="s">
        <v>39</v>
      </c>
      <c r="F11149">
        <v>0</v>
      </c>
      <c r="G11149">
        <v>0</v>
      </c>
      <c r="H11149">
        <v>1</v>
      </c>
      <c r="I11149" s="3">
        <v>1982.24</v>
      </c>
      <c r="J11149" s="3">
        <v>0</v>
      </c>
      <c r="K11149" t="s">
        <v>24657</v>
      </c>
      <c r="L11149">
        <v>5175</v>
      </c>
      <c r="M11149" t="s">
        <v>841</v>
      </c>
      <c r="N11149" t="s">
        <v>30</v>
      </c>
      <c r="O11149" t="s">
        <v>31</v>
      </c>
      <c r="P11149" t="str">
        <f>"15201"</f>
        <v>15201</v>
      </c>
    </row>
    <row r="11150" spans="1:16" x14ac:dyDescent="0.25">
      <c r="A11150" t="str">
        <f>"1170012N00086    00"</f>
        <v>1170012N00086    00</v>
      </c>
      <c r="B11150" t="s">
        <v>22574</v>
      </c>
      <c r="C11150" t="s">
        <v>24658</v>
      </c>
      <c r="D11150" t="s">
        <v>20</v>
      </c>
      <c r="E11150" t="s">
        <v>66</v>
      </c>
      <c r="F11150">
        <v>0</v>
      </c>
      <c r="G11150">
        <v>0</v>
      </c>
      <c r="H11150">
        <v>1</v>
      </c>
      <c r="I11150" s="3">
        <v>19.36</v>
      </c>
      <c r="J11150" s="3">
        <v>0</v>
      </c>
      <c r="K11150" t="s">
        <v>22576</v>
      </c>
      <c r="L11150">
        <v>5500</v>
      </c>
      <c r="M11150" t="s">
        <v>10883</v>
      </c>
      <c r="N11150" t="s">
        <v>30</v>
      </c>
      <c r="O11150" t="s">
        <v>31</v>
      </c>
      <c r="P11150" t="str">
        <f>"15232"</f>
        <v>15232</v>
      </c>
    </row>
    <row r="11151" spans="1:16" x14ac:dyDescent="0.25">
      <c r="A11151" t="str">
        <f>"1170012N00086000100"</f>
        <v>1170012N00086000100</v>
      </c>
      <c r="B11151" t="s">
        <v>22574</v>
      </c>
      <c r="C11151" t="s">
        <v>24658</v>
      </c>
      <c r="D11151" t="s">
        <v>20</v>
      </c>
      <c r="E11151" t="s">
        <v>21</v>
      </c>
      <c r="F11151">
        <v>0</v>
      </c>
      <c r="G11151">
        <v>0</v>
      </c>
      <c r="H11151">
        <v>1</v>
      </c>
      <c r="I11151" s="3">
        <v>8346.41</v>
      </c>
      <c r="J11151" s="3">
        <v>0</v>
      </c>
      <c r="K11151" t="s">
        <v>22576</v>
      </c>
      <c r="L11151">
        <v>5500</v>
      </c>
      <c r="M11151" t="s">
        <v>10883</v>
      </c>
      <c r="N11151" t="s">
        <v>30</v>
      </c>
      <c r="O11151" t="s">
        <v>31</v>
      </c>
      <c r="P11151" t="str">
        <f>"15232"</f>
        <v>15232</v>
      </c>
    </row>
    <row r="11152" spans="1:16" x14ac:dyDescent="0.25">
      <c r="A11152" t="str">
        <f>"1170012N00103    00"</f>
        <v>1170012N00103    00</v>
      </c>
      <c r="B11152" t="s">
        <v>24659</v>
      </c>
      <c r="C11152" t="s">
        <v>24660</v>
      </c>
      <c r="D11152" t="s">
        <v>20</v>
      </c>
      <c r="E11152" t="s">
        <v>39</v>
      </c>
      <c r="F11152">
        <v>0</v>
      </c>
      <c r="G11152">
        <v>0</v>
      </c>
      <c r="H11152">
        <v>4</v>
      </c>
      <c r="I11152" s="3">
        <v>4584.3100000000004</v>
      </c>
      <c r="J11152" s="3">
        <v>493.36</v>
      </c>
      <c r="L11152">
        <v>1730</v>
      </c>
      <c r="M11152" t="s">
        <v>22706</v>
      </c>
      <c r="N11152" t="s">
        <v>295</v>
      </c>
      <c r="O11152" t="s">
        <v>31</v>
      </c>
      <c r="P11152" t="str">
        <f>"15146"</f>
        <v>15146</v>
      </c>
    </row>
    <row r="11153" spans="1:16" x14ac:dyDescent="0.25">
      <c r="A11153" t="str">
        <f>"1170012N00105    00"</f>
        <v>1170012N00105    00</v>
      </c>
      <c r="B11153" t="s">
        <v>24661</v>
      </c>
      <c r="C11153" t="s">
        <v>24662</v>
      </c>
      <c r="D11153" t="s">
        <v>20</v>
      </c>
      <c r="E11153" t="s">
        <v>39</v>
      </c>
      <c r="F11153">
        <v>0</v>
      </c>
      <c r="G11153">
        <v>0</v>
      </c>
      <c r="H11153">
        <v>5</v>
      </c>
      <c r="I11153" s="3">
        <v>2527.59</v>
      </c>
      <c r="J11153" s="3">
        <v>972.93</v>
      </c>
      <c r="L11153">
        <v>163</v>
      </c>
      <c r="M11153" t="s">
        <v>24369</v>
      </c>
      <c r="N11153" t="s">
        <v>30</v>
      </c>
      <c r="O11153" t="s">
        <v>31</v>
      </c>
      <c r="P11153" t="str">
        <f>"15203"</f>
        <v>15203</v>
      </c>
    </row>
    <row r="11154" spans="1:16" x14ac:dyDescent="0.25">
      <c r="A11154" t="str">
        <f>"1170012N00107    00"</f>
        <v>1170012N00107    00</v>
      </c>
      <c r="B11154" t="s">
        <v>24663</v>
      </c>
      <c r="C11154" t="s">
        <v>24664</v>
      </c>
      <c r="D11154" t="s">
        <v>57</v>
      </c>
      <c r="E11154" t="s">
        <v>39</v>
      </c>
      <c r="F11154">
        <v>0</v>
      </c>
      <c r="G11154">
        <v>0</v>
      </c>
      <c r="H11154">
        <v>1</v>
      </c>
      <c r="I11154" s="3">
        <v>204.92</v>
      </c>
      <c r="J11154" s="3">
        <v>0</v>
      </c>
      <c r="L11154">
        <v>1735</v>
      </c>
      <c r="M11154" t="s">
        <v>24665</v>
      </c>
      <c r="N11154" t="s">
        <v>30</v>
      </c>
      <c r="O11154" t="s">
        <v>31</v>
      </c>
      <c r="P11154" t="str">
        <f>"15203"</f>
        <v>15203</v>
      </c>
    </row>
    <row r="11155" spans="1:16" x14ac:dyDescent="0.25">
      <c r="A11155" t="str">
        <f>"1170012N00108    00"</f>
        <v>1170012N00108    00</v>
      </c>
      <c r="B11155" t="s">
        <v>24666</v>
      </c>
      <c r="C11155" t="s">
        <v>24667</v>
      </c>
      <c r="D11155" t="s">
        <v>20</v>
      </c>
      <c r="E11155" t="s">
        <v>39</v>
      </c>
      <c r="F11155">
        <v>0</v>
      </c>
      <c r="G11155">
        <v>0</v>
      </c>
      <c r="H11155">
        <v>1</v>
      </c>
      <c r="I11155" s="3">
        <v>693.63</v>
      </c>
      <c r="J11155" s="3">
        <v>0</v>
      </c>
      <c r="L11155">
        <v>153</v>
      </c>
      <c r="M11155" t="s">
        <v>24369</v>
      </c>
      <c r="N11155" t="s">
        <v>30</v>
      </c>
      <c r="O11155" t="s">
        <v>31</v>
      </c>
      <c r="P11155" t="str">
        <f>"15203"</f>
        <v>15203</v>
      </c>
    </row>
    <row r="11156" spans="1:16" x14ac:dyDescent="0.25">
      <c r="A11156" t="str">
        <f>"1170012N00114    00"</f>
        <v>1170012N00114    00</v>
      </c>
      <c r="B11156" t="s">
        <v>24668</v>
      </c>
      <c r="C11156" t="s">
        <v>24368</v>
      </c>
      <c r="D11156" t="s">
        <v>20</v>
      </c>
      <c r="E11156" t="s">
        <v>39</v>
      </c>
      <c r="F11156">
        <v>0</v>
      </c>
      <c r="G11156">
        <v>0</v>
      </c>
      <c r="H11156">
        <v>2</v>
      </c>
      <c r="I11156" s="3">
        <v>129.6</v>
      </c>
      <c r="J11156" s="3">
        <v>0</v>
      </c>
      <c r="K11156" t="s">
        <v>24669</v>
      </c>
      <c r="L11156">
        <v>1902</v>
      </c>
      <c r="M11156" t="s">
        <v>24535</v>
      </c>
      <c r="N11156" t="s">
        <v>30</v>
      </c>
      <c r="O11156" t="s">
        <v>31</v>
      </c>
      <c r="P11156" t="str">
        <f>"15203"</f>
        <v>15203</v>
      </c>
    </row>
    <row r="11157" spans="1:16" x14ac:dyDescent="0.25">
      <c r="A11157" t="str">
        <f>"1170012N00114A   00"</f>
        <v>1170012N00114A   00</v>
      </c>
      <c r="B11157" t="s">
        <v>24670</v>
      </c>
      <c r="C11157" t="s">
        <v>24671</v>
      </c>
      <c r="D11157" t="s">
        <v>20</v>
      </c>
      <c r="E11157" t="s">
        <v>39</v>
      </c>
      <c r="F11157">
        <v>0</v>
      </c>
      <c r="G11157">
        <v>0</v>
      </c>
      <c r="H11157">
        <v>2</v>
      </c>
      <c r="I11157" s="3">
        <v>3595.23</v>
      </c>
      <c r="J11157" s="3">
        <v>0</v>
      </c>
      <c r="K11157" t="s">
        <v>24672</v>
      </c>
      <c r="L11157">
        <v>6247</v>
      </c>
      <c r="M11157" t="s">
        <v>24673</v>
      </c>
      <c r="N11157" t="s">
        <v>24674</v>
      </c>
      <c r="O11157" t="s">
        <v>495</v>
      </c>
      <c r="P11157" t="str">
        <f>"91780"</f>
        <v>91780</v>
      </c>
    </row>
    <row r="11158" spans="1:16" x14ac:dyDescent="0.25">
      <c r="A11158" t="str">
        <f>"1170012N00124    00"</f>
        <v>1170012N00124    00</v>
      </c>
      <c r="B11158" t="s">
        <v>24675</v>
      </c>
      <c r="C11158" t="s">
        <v>24676</v>
      </c>
      <c r="D11158" t="s">
        <v>20</v>
      </c>
      <c r="E11158" t="s">
        <v>39</v>
      </c>
      <c r="F11158">
        <v>0</v>
      </c>
      <c r="G11158">
        <v>0</v>
      </c>
      <c r="H11158">
        <v>1</v>
      </c>
      <c r="I11158" s="3">
        <v>1385.68</v>
      </c>
      <c r="J11158" s="3">
        <v>0</v>
      </c>
      <c r="K11158" t="s">
        <v>909</v>
      </c>
      <c r="L11158">
        <v>3001</v>
      </c>
      <c r="M11158" t="s">
        <v>330</v>
      </c>
      <c r="N11158" t="s">
        <v>331</v>
      </c>
      <c r="O11158" t="s">
        <v>108</v>
      </c>
      <c r="P11158" t="str">
        <f>"75063"</f>
        <v>75063</v>
      </c>
    </row>
    <row r="11159" spans="1:16" x14ac:dyDescent="0.25">
      <c r="A11159" t="str">
        <f>"1170012N00158    00"</f>
        <v>1170012N00158    00</v>
      </c>
      <c r="B11159" t="s">
        <v>24677</v>
      </c>
      <c r="C11159" t="s">
        <v>24678</v>
      </c>
      <c r="D11159" t="s">
        <v>20</v>
      </c>
      <c r="E11159" t="s">
        <v>39</v>
      </c>
      <c r="F11159">
        <v>0</v>
      </c>
      <c r="G11159">
        <v>0</v>
      </c>
      <c r="H11159">
        <v>4</v>
      </c>
      <c r="I11159" s="3">
        <v>6401.79</v>
      </c>
      <c r="J11159" s="3">
        <v>756.24</v>
      </c>
      <c r="L11159">
        <v>1635</v>
      </c>
      <c r="M11159" t="s">
        <v>24157</v>
      </c>
      <c r="N11159" t="s">
        <v>149</v>
      </c>
      <c r="O11159" t="s">
        <v>31</v>
      </c>
      <c r="P11159" t="str">
        <f>"15106"</f>
        <v>15106</v>
      </c>
    </row>
    <row r="11160" spans="1:16" x14ac:dyDescent="0.25">
      <c r="A11160" t="str">
        <f>"1170012N00160    00"</f>
        <v>1170012N00160    00</v>
      </c>
      <c r="B11160" t="s">
        <v>24155</v>
      </c>
      <c r="C11160" t="s">
        <v>24679</v>
      </c>
      <c r="D11160" t="s">
        <v>20</v>
      </c>
      <c r="E11160" t="s">
        <v>39</v>
      </c>
      <c r="F11160">
        <v>0</v>
      </c>
      <c r="G11160">
        <v>0</v>
      </c>
      <c r="H11160">
        <v>4</v>
      </c>
      <c r="I11160" s="3">
        <v>3880.12</v>
      </c>
      <c r="J11160" s="3">
        <v>450.37</v>
      </c>
      <c r="L11160">
        <v>1635</v>
      </c>
      <c r="M11160" t="s">
        <v>24680</v>
      </c>
      <c r="N11160" t="s">
        <v>149</v>
      </c>
      <c r="O11160" t="s">
        <v>31</v>
      </c>
      <c r="P11160" t="str">
        <f>"15106"</f>
        <v>15106</v>
      </c>
    </row>
    <row r="11161" spans="1:16" x14ac:dyDescent="0.25">
      <c r="A11161" t="str">
        <f>"1170012N00180010200"</f>
        <v>1170012N00180010200</v>
      </c>
      <c r="B11161" t="s">
        <v>24681</v>
      </c>
      <c r="C11161" t="s">
        <v>24682</v>
      </c>
      <c r="E11161" t="s">
        <v>39</v>
      </c>
      <c r="F11161">
        <v>0</v>
      </c>
      <c r="G11161">
        <v>0</v>
      </c>
      <c r="H11161">
        <v>1</v>
      </c>
      <c r="I11161" s="3">
        <v>735.08</v>
      </c>
      <c r="J11161" s="3">
        <v>545.16</v>
      </c>
      <c r="K11161" t="s">
        <v>391</v>
      </c>
      <c r="L11161">
        <v>1</v>
      </c>
      <c r="M11161" t="s">
        <v>392</v>
      </c>
      <c r="N11161" t="s">
        <v>393</v>
      </c>
      <c r="O11161" t="s">
        <v>394</v>
      </c>
      <c r="P11161" t="str">
        <f>"50328"</f>
        <v>50328</v>
      </c>
    </row>
    <row r="11162" spans="1:16" x14ac:dyDescent="0.25">
      <c r="A11162" t="str">
        <f>"1170012N00198    00"</f>
        <v>1170012N00198    00</v>
      </c>
      <c r="B11162" t="s">
        <v>24683</v>
      </c>
      <c r="C11162" t="s">
        <v>24684</v>
      </c>
      <c r="D11162" t="s">
        <v>20</v>
      </c>
      <c r="E11162" t="s">
        <v>39</v>
      </c>
      <c r="F11162">
        <v>0</v>
      </c>
      <c r="G11162">
        <v>0</v>
      </c>
      <c r="H11162">
        <v>1</v>
      </c>
      <c r="I11162" s="3">
        <v>5193.8500000000004</v>
      </c>
      <c r="J11162" s="3">
        <v>0</v>
      </c>
      <c r="K11162" t="s">
        <v>805</v>
      </c>
      <c r="L11162">
        <v>3001</v>
      </c>
      <c r="M11162" t="s">
        <v>330</v>
      </c>
      <c r="N11162" t="s">
        <v>331</v>
      </c>
      <c r="O11162" t="s">
        <v>108</v>
      </c>
      <c r="P11162" t="str">
        <f>"75063"</f>
        <v>75063</v>
      </c>
    </row>
    <row r="11163" spans="1:16" x14ac:dyDescent="0.25">
      <c r="A11163" t="str">
        <f>"1170012N00201    00"</f>
        <v>1170012N00201    00</v>
      </c>
      <c r="B11163" t="s">
        <v>24685</v>
      </c>
      <c r="C11163" t="s">
        <v>24686</v>
      </c>
      <c r="E11163" t="s">
        <v>39</v>
      </c>
      <c r="F11163">
        <v>0</v>
      </c>
      <c r="G11163">
        <v>0</v>
      </c>
      <c r="H11163">
        <v>1</v>
      </c>
      <c r="I11163" s="3">
        <v>738.71</v>
      </c>
      <c r="J11163" s="3">
        <v>363.18</v>
      </c>
      <c r="L11163">
        <v>116</v>
      </c>
      <c r="M11163" t="s">
        <v>24369</v>
      </c>
      <c r="N11163" t="s">
        <v>30</v>
      </c>
      <c r="O11163" t="s">
        <v>31</v>
      </c>
      <c r="P11163" t="str">
        <f>"15203"</f>
        <v>15203</v>
      </c>
    </row>
    <row r="11164" spans="1:16" x14ac:dyDescent="0.25">
      <c r="A11164" t="str">
        <f>"1170012N00204    00"</f>
        <v>1170012N00204    00</v>
      </c>
      <c r="B11164" t="s">
        <v>24687</v>
      </c>
      <c r="C11164" t="s">
        <v>24688</v>
      </c>
      <c r="D11164" t="s">
        <v>20</v>
      </c>
      <c r="E11164" t="s">
        <v>39</v>
      </c>
      <c r="F11164">
        <v>0</v>
      </c>
      <c r="G11164">
        <v>0</v>
      </c>
      <c r="H11164">
        <v>1</v>
      </c>
      <c r="I11164" s="3">
        <v>54.86</v>
      </c>
      <c r="J11164" s="3">
        <v>0</v>
      </c>
      <c r="L11164">
        <v>126</v>
      </c>
      <c r="M11164" t="s">
        <v>24369</v>
      </c>
      <c r="N11164" t="s">
        <v>30</v>
      </c>
      <c r="O11164" t="s">
        <v>31</v>
      </c>
      <c r="P11164" t="str">
        <f>"15203"</f>
        <v>15203</v>
      </c>
    </row>
    <row r="11165" spans="1:16" x14ac:dyDescent="0.25">
      <c r="A11165" t="str">
        <f>"1170012N00213    00"</f>
        <v>1170012N00213    00</v>
      </c>
      <c r="B11165" t="s">
        <v>24689</v>
      </c>
      <c r="C11165" t="s">
        <v>24690</v>
      </c>
      <c r="D11165" t="s">
        <v>20</v>
      </c>
      <c r="E11165" t="s">
        <v>39</v>
      </c>
      <c r="F11165">
        <v>0</v>
      </c>
      <c r="G11165">
        <v>0</v>
      </c>
      <c r="H11165">
        <v>7</v>
      </c>
      <c r="I11165" s="3">
        <v>15979.92</v>
      </c>
      <c r="J11165" s="3">
        <v>4019.2</v>
      </c>
      <c r="L11165">
        <v>1713</v>
      </c>
      <c r="M11165" t="s">
        <v>24691</v>
      </c>
      <c r="N11165" t="s">
        <v>30</v>
      </c>
      <c r="O11165" t="s">
        <v>31</v>
      </c>
      <c r="P11165" t="str">
        <f>"15226"</f>
        <v>15226</v>
      </c>
    </row>
    <row r="11166" spans="1:16" x14ac:dyDescent="0.25">
      <c r="A11166" t="str">
        <f>"1170012N00237    00"</f>
        <v>1170012N00237    00</v>
      </c>
      <c r="B11166" t="s">
        <v>10763</v>
      </c>
      <c r="C11166" t="s">
        <v>24692</v>
      </c>
      <c r="E11166" t="s">
        <v>39</v>
      </c>
      <c r="F11166">
        <v>0</v>
      </c>
      <c r="G11166">
        <v>0</v>
      </c>
      <c r="H11166">
        <v>1</v>
      </c>
      <c r="I11166" s="3">
        <v>1681.09</v>
      </c>
      <c r="J11166" s="3">
        <v>0</v>
      </c>
      <c r="K11166" t="s">
        <v>24480</v>
      </c>
      <c r="L11166">
        <v>502</v>
      </c>
      <c r="M11166" t="s">
        <v>8680</v>
      </c>
      <c r="N11166" t="s">
        <v>8681</v>
      </c>
      <c r="O11166" t="s">
        <v>108</v>
      </c>
      <c r="P11166" t="str">
        <f>"75002"</f>
        <v>75002</v>
      </c>
    </row>
    <row r="11167" spans="1:16" x14ac:dyDescent="0.25">
      <c r="A11167" t="str">
        <f>"1170012N00242    00"</f>
        <v>1170012N00242    00</v>
      </c>
      <c r="B11167" t="s">
        <v>24693</v>
      </c>
      <c r="C11167" t="s">
        <v>24694</v>
      </c>
      <c r="D11167" t="s">
        <v>20</v>
      </c>
      <c r="E11167" t="s">
        <v>39</v>
      </c>
      <c r="F11167">
        <v>0</v>
      </c>
      <c r="G11167">
        <v>0</v>
      </c>
      <c r="H11167">
        <v>4</v>
      </c>
      <c r="I11167" s="3">
        <v>6561.2</v>
      </c>
      <c r="J11167" s="3">
        <v>775.06</v>
      </c>
      <c r="K11167" t="s">
        <v>24695</v>
      </c>
      <c r="L11167">
        <v>3495</v>
      </c>
      <c r="M11167" t="s">
        <v>841</v>
      </c>
      <c r="N11167" t="s">
        <v>30</v>
      </c>
      <c r="O11167" t="s">
        <v>31</v>
      </c>
      <c r="P11167" t="str">
        <f>"15201"</f>
        <v>15201</v>
      </c>
    </row>
    <row r="11168" spans="1:16" x14ac:dyDescent="0.25">
      <c r="A11168" t="str">
        <f>"1170012N00243    00"</f>
        <v>1170012N00243    00</v>
      </c>
      <c r="B11168" t="s">
        <v>24693</v>
      </c>
      <c r="C11168" t="s">
        <v>24696</v>
      </c>
      <c r="D11168" t="s">
        <v>20</v>
      </c>
      <c r="E11168" t="s">
        <v>39</v>
      </c>
      <c r="F11168">
        <v>0</v>
      </c>
      <c r="G11168">
        <v>0</v>
      </c>
      <c r="H11168">
        <v>4</v>
      </c>
      <c r="I11168" s="3">
        <v>6272.62</v>
      </c>
      <c r="J11168" s="3">
        <v>740.97</v>
      </c>
      <c r="K11168" t="s">
        <v>24695</v>
      </c>
      <c r="L11168">
        <v>3495</v>
      </c>
      <c r="M11168" t="s">
        <v>841</v>
      </c>
      <c r="N11168" t="s">
        <v>30</v>
      </c>
      <c r="O11168" t="s">
        <v>31</v>
      </c>
      <c r="P11168" t="str">
        <f>"15201"</f>
        <v>15201</v>
      </c>
    </row>
    <row r="11169" spans="1:16" x14ac:dyDescent="0.25">
      <c r="A11169" t="str">
        <f>"1170012N00244    00"</f>
        <v>1170012N00244    00</v>
      </c>
      <c r="B11169" t="s">
        <v>24697</v>
      </c>
      <c r="C11169" t="s">
        <v>24698</v>
      </c>
      <c r="D11169" t="s">
        <v>20</v>
      </c>
      <c r="E11169" t="s">
        <v>39</v>
      </c>
      <c r="F11169">
        <v>0</v>
      </c>
      <c r="G11169">
        <v>0</v>
      </c>
      <c r="H11169">
        <v>2</v>
      </c>
      <c r="I11169" s="3">
        <v>1365.7</v>
      </c>
      <c r="J11169" s="3">
        <v>0</v>
      </c>
      <c r="L11169">
        <v>54</v>
      </c>
      <c r="M11169" t="s">
        <v>24699</v>
      </c>
      <c r="N11169" t="s">
        <v>30</v>
      </c>
      <c r="O11169" t="s">
        <v>31</v>
      </c>
      <c r="P11169" t="str">
        <f>"15203"</f>
        <v>15203</v>
      </c>
    </row>
    <row r="11170" spans="1:16" x14ac:dyDescent="0.25">
      <c r="A11170" t="str">
        <f>"1170012N00250    00"</f>
        <v>1170012N00250    00</v>
      </c>
      <c r="B11170" t="s">
        <v>24689</v>
      </c>
      <c r="C11170" t="s">
        <v>24700</v>
      </c>
      <c r="D11170" t="s">
        <v>20</v>
      </c>
      <c r="E11170" t="s">
        <v>39</v>
      </c>
      <c r="F11170">
        <v>0</v>
      </c>
      <c r="G11170">
        <v>0</v>
      </c>
      <c r="H11170">
        <v>11</v>
      </c>
      <c r="I11170" s="3">
        <v>1693.24</v>
      </c>
      <c r="J11170" s="3">
        <v>982.63</v>
      </c>
      <c r="L11170">
        <v>1713</v>
      </c>
      <c r="M11170" t="s">
        <v>24691</v>
      </c>
      <c r="N11170" t="s">
        <v>30</v>
      </c>
      <c r="O11170" t="s">
        <v>31</v>
      </c>
      <c r="P11170" t="str">
        <f>"15226"</f>
        <v>15226</v>
      </c>
    </row>
    <row r="11171" spans="1:16" x14ac:dyDescent="0.25">
      <c r="A11171" t="str">
        <f>"1170012N00270    00"</f>
        <v>1170012N00270    00</v>
      </c>
      <c r="B11171" t="s">
        <v>24701</v>
      </c>
      <c r="C11171" t="s">
        <v>24702</v>
      </c>
      <c r="E11171" t="s">
        <v>39</v>
      </c>
      <c r="F11171">
        <v>0</v>
      </c>
      <c r="G11171">
        <v>0</v>
      </c>
      <c r="H11171">
        <v>4</v>
      </c>
      <c r="I11171" s="3">
        <v>2793.24</v>
      </c>
      <c r="J11171" s="3">
        <v>1564.2</v>
      </c>
      <c r="L11171">
        <v>10</v>
      </c>
      <c r="M11171" t="s">
        <v>24699</v>
      </c>
      <c r="N11171" t="s">
        <v>30</v>
      </c>
      <c r="O11171" t="s">
        <v>31</v>
      </c>
      <c r="P11171" t="str">
        <f>"15203"</f>
        <v>15203</v>
      </c>
    </row>
    <row r="11172" spans="1:16" x14ac:dyDescent="0.25">
      <c r="A11172" t="str">
        <f>"1170012N00297    01"</f>
        <v>1170012N00297    01</v>
      </c>
      <c r="B11172" t="s">
        <v>24514</v>
      </c>
      <c r="C11172" t="s">
        <v>24703</v>
      </c>
      <c r="E11172" t="s">
        <v>39</v>
      </c>
      <c r="F11172">
        <v>0</v>
      </c>
      <c r="G11172">
        <v>0</v>
      </c>
      <c r="H11172">
        <v>1</v>
      </c>
      <c r="I11172" s="3">
        <v>1614.39</v>
      </c>
      <c r="J11172" s="3">
        <v>322.87</v>
      </c>
      <c r="K11172" t="s">
        <v>22594</v>
      </c>
      <c r="L11172">
        <v>1800</v>
      </c>
      <c r="M11172" t="s">
        <v>22595</v>
      </c>
      <c r="N11172" t="s">
        <v>1928</v>
      </c>
      <c r="O11172" t="s">
        <v>31</v>
      </c>
      <c r="P11172" t="str">
        <f>"15317"</f>
        <v>15317</v>
      </c>
    </row>
    <row r="11173" spans="1:16" x14ac:dyDescent="0.25">
      <c r="A11173" t="str">
        <f>"1170012P00027    00"</f>
        <v>1170012P00027    00</v>
      </c>
      <c r="B11173" t="s">
        <v>22574</v>
      </c>
      <c r="C11173" t="s">
        <v>24704</v>
      </c>
      <c r="D11173" t="s">
        <v>20</v>
      </c>
      <c r="E11173" t="s">
        <v>66</v>
      </c>
      <c r="F11173">
        <v>0</v>
      </c>
      <c r="G11173">
        <v>0</v>
      </c>
      <c r="H11173">
        <v>1</v>
      </c>
      <c r="I11173" s="3">
        <v>681057.67</v>
      </c>
      <c r="J11173" s="3">
        <v>0</v>
      </c>
      <c r="K11173" t="s">
        <v>22576</v>
      </c>
      <c r="L11173">
        <v>5500</v>
      </c>
      <c r="M11173" t="s">
        <v>10883</v>
      </c>
      <c r="N11173" t="s">
        <v>30</v>
      </c>
      <c r="O11173" t="s">
        <v>31</v>
      </c>
      <c r="P11173" t="str">
        <f>"15232"</f>
        <v>15232</v>
      </c>
    </row>
    <row r="11174" spans="1:16" x14ac:dyDescent="0.25">
      <c r="A11174" t="str">
        <f>"1170012P00057    00"</f>
        <v>1170012P00057    00</v>
      </c>
      <c r="B11174" t="s">
        <v>24705</v>
      </c>
      <c r="C11174" t="s">
        <v>24706</v>
      </c>
      <c r="E11174" t="s">
        <v>21</v>
      </c>
      <c r="F11174">
        <v>0</v>
      </c>
      <c r="G11174">
        <v>0</v>
      </c>
      <c r="H11174">
        <v>2</v>
      </c>
      <c r="I11174" s="3">
        <v>137.24</v>
      </c>
      <c r="J11174" s="3">
        <v>1.71</v>
      </c>
      <c r="K11174" t="s">
        <v>24707</v>
      </c>
      <c r="L11174">
        <v>2010</v>
      </c>
      <c r="M11174" t="s">
        <v>6407</v>
      </c>
      <c r="N11174" t="s">
        <v>30</v>
      </c>
      <c r="O11174" t="s">
        <v>31</v>
      </c>
      <c r="P11174" t="str">
        <f>"15203"</f>
        <v>15203</v>
      </c>
    </row>
    <row r="11175" spans="1:16" x14ac:dyDescent="0.25">
      <c r="A11175" t="str">
        <f>"1170012P00063    00"</f>
        <v>1170012P00063    00</v>
      </c>
      <c r="B11175" t="s">
        <v>24708</v>
      </c>
      <c r="C11175" t="s">
        <v>24709</v>
      </c>
      <c r="E11175" t="s">
        <v>21</v>
      </c>
      <c r="F11175">
        <v>0</v>
      </c>
      <c r="G11175">
        <v>0</v>
      </c>
      <c r="H11175">
        <v>1</v>
      </c>
      <c r="I11175" s="3">
        <v>23.99</v>
      </c>
      <c r="J11175" s="3">
        <v>39.57</v>
      </c>
      <c r="L11175">
        <v>1019</v>
      </c>
      <c r="M11175" t="s">
        <v>24710</v>
      </c>
      <c r="N11175" t="s">
        <v>9653</v>
      </c>
      <c r="O11175" t="s">
        <v>31</v>
      </c>
      <c r="P11175" t="str">
        <f>"15632"</f>
        <v>15632</v>
      </c>
    </row>
    <row r="11176" spans="1:16" x14ac:dyDescent="0.25">
      <c r="A11176" t="str">
        <f>"1170012P00071000300"</f>
        <v>1170012P00071000300</v>
      </c>
      <c r="B11176" t="s">
        <v>24711</v>
      </c>
      <c r="C11176" t="s">
        <v>24712</v>
      </c>
      <c r="D11176" t="s">
        <v>20</v>
      </c>
      <c r="E11176" t="s">
        <v>39</v>
      </c>
      <c r="F11176">
        <v>0</v>
      </c>
      <c r="G11176">
        <v>0</v>
      </c>
      <c r="H11176">
        <v>2</v>
      </c>
      <c r="I11176" s="3">
        <v>7242.8</v>
      </c>
      <c r="J11176" s="3">
        <v>0</v>
      </c>
      <c r="K11176" t="s">
        <v>24713</v>
      </c>
      <c r="L11176">
        <v>5536</v>
      </c>
      <c r="M11176" t="s">
        <v>18614</v>
      </c>
      <c r="N11176" t="s">
        <v>30</v>
      </c>
      <c r="O11176" t="s">
        <v>31</v>
      </c>
      <c r="P11176" t="str">
        <f>"15217"</f>
        <v>15217</v>
      </c>
    </row>
    <row r="11177" spans="1:16" x14ac:dyDescent="0.25">
      <c r="A11177" t="str">
        <f>"1170012P00071000500"</f>
        <v>1170012P00071000500</v>
      </c>
      <c r="B11177" t="s">
        <v>24714</v>
      </c>
      <c r="C11177" t="s">
        <v>24715</v>
      </c>
      <c r="D11177" t="s">
        <v>20</v>
      </c>
      <c r="E11177" t="s">
        <v>39</v>
      </c>
      <c r="F11177">
        <v>0</v>
      </c>
      <c r="G11177">
        <v>0</v>
      </c>
      <c r="H11177">
        <v>2</v>
      </c>
      <c r="I11177" s="3">
        <v>7242.8</v>
      </c>
      <c r="J11177" s="3">
        <v>0</v>
      </c>
      <c r="L11177">
        <v>5536</v>
      </c>
      <c r="M11177" t="s">
        <v>18614</v>
      </c>
      <c r="N11177" t="s">
        <v>30</v>
      </c>
      <c r="O11177" t="s">
        <v>31</v>
      </c>
      <c r="P11177" t="str">
        <f>"15217"</f>
        <v>15217</v>
      </c>
    </row>
    <row r="11178" spans="1:16" x14ac:dyDescent="0.25">
      <c r="A11178" t="str">
        <f>"1170012P000718   00"</f>
        <v>1170012P000718   00</v>
      </c>
      <c r="B11178" t="s">
        <v>24716</v>
      </c>
      <c r="C11178" t="s">
        <v>24717</v>
      </c>
      <c r="E11178" t="s">
        <v>39</v>
      </c>
      <c r="F11178">
        <v>0</v>
      </c>
      <c r="G11178">
        <v>0</v>
      </c>
      <c r="H11178">
        <v>1</v>
      </c>
      <c r="I11178" s="3">
        <v>5873.77</v>
      </c>
      <c r="J11178" s="3">
        <v>1615.23</v>
      </c>
      <c r="K11178" t="s">
        <v>7145</v>
      </c>
      <c r="L11178">
        <v>3001</v>
      </c>
      <c r="M11178" t="s">
        <v>330</v>
      </c>
      <c r="N11178" t="s">
        <v>331</v>
      </c>
      <c r="O11178" t="s">
        <v>108</v>
      </c>
      <c r="P11178" t="str">
        <f>"75063"</f>
        <v>75063</v>
      </c>
    </row>
    <row r="11179" spans="1:16" x14ac:dyDescent="0.25">
      <c r="A11179" t="str">
        <f>"1170012P00072    00"</f>
        <v>1170012P00072    00</v>
      </c>
      <c r="B11179" t="s">
        <v>24705</v>
      </c>
      <c r="C11179" t="s">
        <v>24706</v>
      </c>
      <c r="D11179" t="s">
        <v>20</v>
      </c>
      <c r="E11179" t="s">
        <v>21</v>
      </c>
      <c r="F11179">
        <v>0</v>
      </c>
      <c r="G11179">
        <v>0</v>
      </c>
      <c r="H11179">
        <v>3</v>
      </c>
      <c r="I11179" s="3">
        <v>17617.2</v>
      </c>
      <c r="J11179" s="3">
        <v>1242.71</v>
      </c>
      <c r="K11179" t="s">
        <v>24707</v>
      </c>
      <c r="L11179">
        <v>2010</v>
      </c>
      <c r="M11179" t="s">
        <v>6407</v>
      </c>
      <c r="N11179" t="s">
        <v>30</v>
      </c>
      <c r="O11179" t="s">
        <v>31</v>
      </c>
      <c r="P11179" t="str">
        <f>"15203"</f>
        <v>15203</v>
      </c>
    </row>
    <row r="11180" spans="1:16" x14ac:dyDescent="0.25">
      <c r="A11180" t="str">
        <f>"1170012P00122    00"</f>
        <v>1170012P00122    00</v>
      </c>
      <c r="B11180" t="s">
        <v>24718</v>
      </c>
      <c r="C11180" t="s">
        <v>24719</v>
      </c>
      <c r="E11180" t="s">
        <v>39</v>
      </c>
      <c r="F11180">
        <v>0</v>
      </c>
      <c r="G11180">
        <v>0</v>
      </c>
      <c r="H11180">
        <v>1</v>
      </c>
      <c r="I11180" s="3">
        <v>190.65</v>
      </c>
      <c r="J11180" s="3">
        <v>0</v>
      </c>
      <c r="K11180" t="s">
        <v>557</v>
      </c>
      <c r="L11180">
        <v>3001</v>
      </c>
      <c r="M11180" t="s">
        <v>330</v>
      </c>
      <c r="N11180" t="s">
        <v>331</v>
      </c>
      <c r="O11180" t="s">
        <v>108</v>
      </c>
      <c r="P11180" t="str">
        <f>"75063"</f>
        <v>75063</v>
      </c>
    </row>
    <row r="11181" spans="1:16" x14ac:dyDescent="0.25">
      <c r="A11181" t="str">
        <f>"1170012P00122A   00"</f>
        <v>1170012P00122A   00</v>
      </c>
      <c r="B11181" t="s">
        <v>24630</v>
      </c>
      <c r="C11181" t="s">
        <v>24720</v>
      </c>
      <c r="E11181" t="s">
        <v>39</v>
      </c>
      <c r="F11181">
        <v>0</v>
      </c>
      <c r="G11181">
        <v>0</v>
      </c>
      <c r="H11181">
        <v>1</v>
      </c>
      <c r="I11181" s="3">
        <v>1998.76</v>
      </c>
      <c r="J11181" s="3">
        <v>0</v>
      </c>
      <c r="L11181">
        <v>4642</v>
      </c>
      <c r="M11181" t="s">
        <v>24197</v>
      </c>
      <c r="N11181" t="s">
        <v>30</v>
      </c>
      <c r="O11181" t="s">
        <v>31</v>
      </c>
      <c r="P11181" t="str">
        <f>"15201"</f>
        <v>15201</v>
      </c>
    </row>
    <row r="11182" spans="1:16" x14ac:dyDescent="0.25">
      <c r="A11182" t="str">
        <f>"1170013A00002    00"</f>
        <v>1170013A00002    00</v>
      </c>
      <c r="B11182" t="s">
        <v>24721</v>
      </c>
      <c r="C11182" t="s">
        <v>24722</v>
      </c>
      <c r="D11182" t="s">
        <v>20</v>
      </c>
      <c r="E11182" t="s">
        <v>39</v>
      </c>
      <c r="F11182">
        <v>0</v>
      </c>
      <c r="G11182">
        <v>0</v>
      </c>
      <c r="H11182">
        <v>1</v>
      </c>
      <c r="I11182" s="3">
        <v>404.07</v>
      </c>
      <c r="J11182" s="3">
        <v>0</v>
      </c>
      <c r="L11182">
        <v>2452</v>
      </c>
      <c r="M11182" t="s">
        <v>24723</v>
      </c>
      <c r="N11182" t="s">
        <v>30</v>
      </c>
      <c r="O11182" t="s">
        <v>31</v>
      </c>
      <c r="P11182" t="str">
        <f>"15226"</f>
        <v>15226</v>
      </c>
    </row>
    <row r="11183" spans="1:16" x14ac:dyDescent="0.25">
      <c r="A11183" t="str">
        <f>"1170013A00003    00"</f>
        <v>1170013A00003    00</v>
      </c>
      <c r="B11183" t="s">
        <v>24724</v>
      </c>
      <c r="C11183" t="s">
        <v>24725</v>
      </c>
      <c r="D11183" t="s">
        <v>20</v>
      </c>
      <c r="E11183" t="s">
        <v>39</v>
      </c>
      <c r="F11183">
        <v>0</v>
      </c>
      <c r="G11183">
        <v>0</v>
      </c>
      <c r="H11183">
        <v>2</v>
      </c>
      <c r="I11183" s="3">
        <v>3278.36</v>
      </c>
      <c r="J11183" s="3">
        <v>0</v>
      </c>
      <c r="K11183" t="s">
        <v>24726</v>
      </c>
      <c r="M11183" t="s">
        <v>24727</v>
      </c>
      <c r="N11183" t="s">
        <v>30</v>
      </c>
      <c r="O11183" t="s">
        <v>31</v>
      </c>
      <c r="P11183" t="str">
        <f>"15211"</f>
        <v>15211</v>
      </c>
    </row>
    <row r="11184" spans="1:16" x14ac:dyDescent="0.25">
      <c r="A11184" t="str">
        <f>"1170013A00028A   00"</f>
        <v>1170013A00028A   00</v>
      </c>
      <c r="B11184" t="s">
        <v>24728</v>
      </c>
      <c r="C11184" t="s">
        <v>24729</v>
      </c>
      <c r="E11184" t="s">
        <v>39</v>
      </c>
      <c r="F11184">
        <v>0</v>
      </c>
      <c r="G11184">
        <v>0</v>
      </c>
      <c r="H11184">
        <v>1</v>
      </c>
      <c r="I11184" s="3">
        <v>1893.05</v>
      </c>
      <c r="J11184" s="3">
        <v>1403.95</v>
      </c>
      <c r="K11184" t="s">
        <v>5652</v>
      </c>
      <c r="L11184">
        <v>3001</v>
      </c>
      <c r="M11184" t="s">
        <v>330</v>
      </c>
      <c r="N11184" t="s">
        <v>331</v>
      </c>
      <c r="O11184" t="s">
        <v>108</v>
      </c>
      <c r="P11184" t="str">
        <f>"75063"</f>
        <v>75063</v>
      </c>
    </row>
    <row r="11185" spans="1:16" x14ac:dyDescent="0.25">
      <c r="A11185" t="str">
        <f>"1170013A00031    00"</f>
        <v>1170013A00031    00</v>
      </c>
      <c r="B11185" t="s">
        <v>24730</v>
      </c>
      <c r="C11185" t="s">
        <v>24731</v>
      </c>
      <c r="D11185" t="s">
        <v>20</v>
      </c>
      <c r="E11185" t="s">
        <v>39</v>
      </c>
      <c r="F11185">
        <v>0</v>
      </c>
      <c r="G11185">
        <v>0</v>
      </c>
      <c r="H11185">
        <v>2</v>
      </c>
      <c r="I11185" s="3">
        <v>1154.71</v>
      </c>
      <c r="J11185" s="3">
        <v>0</v>
      </c>
      <c r="K11185" t="s">
        <v>1632</v>
      </c>
      <c r="L11185">
        <v>3001</v>
      </c>
      <c r="M11185" t="s">
        <v>330</v>
      </c>
      <c r="N11185" t="s">
        <v>331</v>
      </c>
      <c r="O11185" t="s">
        <v>108</v>
      </c>
      <c r="P11185" t="str">
        <f>"75063"</f>
        <v>75063</v>
      </c>
    </row>
    <row r="11186" spans="1:16" x14ac:dyDescent="0.25">
      <c r="A11186" t="str">
        <f>"1170013A00055    00"</f>
        <v>1170013A00055    00</v>
      </c>
      <c r="B11186" t="s">
        <v>24732</v>
      </c>
      <c r="C11186" t="s">
        <v>24733</v>
      </c>
      <c r="D11186" t="s">
        <v>20</v>
      </c>
      <c r="E11186" t="s">
        <v>39</v>
      </c>
      <c r="F11186">
        <v>0</v>
      </c>
      <c r="G11186">
        <v>0</v>
      </c>
      <c r="H11186">
        <v>7</v>
      </c>
      <c r="I11186" s="3">
        <v>4218.72</v>
      </c>
      <c r="J11186" s="3">
        <v>1107.6400000000001</v>
      </c>
      <c r="L11186">
        <v>2010</v>
      </c>
      <c r="M11186" t="s">
        <v>24699</v>
      </c>
      <c r="N11186" t="s">
        <v>30</v>
      </c>
      <c r="O11186" t="s">
        <v>31</v>
      </c>
      <c r="P11186" t="str">
        <f>"15203"</f>
        <v>15203</v>
      </c>
    </row>
    <row r="11187" spans="1:16" x14ac:dyDescent="0.25">
      <c r="A11187" t="str">
        <f>"1170013A00082    00"</f>
        <v>1170013A00082    00</v>
      </c>
      <c r="B11187" t="s">
        <v>24734</v>
      </c>
      <c r="C11187" t="s">
        <v>24735</v>
      </c>
      <c r="D11187" t="s">
        <v>20</v>
      </c>
      <c r="E11187" t="s">
        <v>39</v>
      </c>
      <c r="F11187">
        <v>0</v>
      </c>
      <c r="G11187">
        <v>0</v>
      </c>
      <c r="H11187">
        <v>1</v>
      </c>
      <c r="I11187" s="3">
        <v>1262.24</v>
      </c>
      <c r="J11187" s="3">
        <v>0</v>
      </c>
      <c r="K11187" t="s">
        <v>24736</v>
      </c>
      <c r="L11187">
        <v>901</v>
      </c>
      <c r="M11187" t="s">
        <v>1503</v>
      </c>
      <c r="N11187" t="s">
        <v>494</v>
      </c>
      <c r="O11187" t="s">
        <v>495</v>
      </c>
      <c r="P11187" t="str">
        <f>"91768"</f>
        <v>91768</v>
      </c>
    </row>
    <row r="11188" spans="1:16" x14ac:dyDescent="0.25">
      <c r="A11188" t="str">
        <f>"1170013A00105    00"</f>
        <v>1170013A00105    00</v>
      </c>
      <c r="B11188" t="s">
        <v>24737</v>
      </c>
      <c r="C11188" t="s">
        <v>24738</v>
      </c>
      <c r="D11188" t="s">
        <v>20</v>
      </c>
      <c r="E11188" t="s">
        <v>39</v>
      </c>
      <c r="F11188">
        <v>0</v>
      </c>
      <c r="G11188">
        <v>0</v>
      </c>
      <c r="H11188">
        <v>1</v>
      </c>
      <c r="I11188" s="3">
        <v>1601.06</v>
      </c>
      <c r="J11188" s="3">
        <v>0</v>
      </c>
      <c r="K11188" t="s">
        <v>24739</v>
      </c>
      <c r="L11188">
        <v>345</v>
      </c>
      <c r="M11188" t="s">
        <v>24740</v>
      </c>
      <c r="N11188" t="s">
        <v>30</v>
      </c>
      <c r="O11188" t="s">
        <v>31</v>
      </c>
      <c r="P11188" t="str">
        <f>"15224"</f>
        <v>15224</v>
      </c>
    </row>
    <row r="11189" spans="1:16" x14ac:dyDescent="0.25">
      <c r="A11189" t="str">
        <f>"1170013A00107    00"</f>
        <v>1170013A00107    00</v>
      </c>
      <c r="B11189" t="s">
        <v>24741</v>
      </c>
      <c r="C11189" t="s">
        <v>24742</v>
      </c>
      <c r="D11189" t="s">
        <v>20</v>
      </c>
      <c r="E11189" t="s">
        <v>39</v>
      </c>
      <c r="F11189">
        <v>0</v>
      </c>
      <c r="G11189">
        <v>0</v>
      </c>
      <c r="H11189">
        <v>1</v>
      </c>
      <c r="I11189" s="3">
        <v>1181.74</v>
      </c>
      <c r="J11189" s="3">
        <v>0</v>
      </c>
      <c r="K11189" t="s">
        <v>24743</v>
      </c>
      <c r="L11189">
        <v>345</v>
      </c>
      <c r="M11189" t="s">
        <v>24740</v>
      </c>
      <c r="N11189" t="s">
        <v>30</v>
      </c>
      <c r="O11189" t="s">
        <v>31</v>
      </c>
      <c r="P11189" t="str">
        <f>"15224"</f>
        <v>15224</v>
      </c>
    </row>
    <row r="11190" spans="1:16" x14ac:dyDescent="0.25">
      <c r="A11190" t="str">
        <f>"1170013A00144    00"</f>
        <v>1170013A00144    00</v>
      </c>
      <c r="B11190" t="s">
        <v>24744</v>
      </c>
      <c r="C11190" t="s">
        <v>24745</v>
      </c>
      <c r="D11190" t="s">
        <v>20</v>
      </c>
      <c r="E11190" t="s">
        <v>39</v>
      </c>
      <c r="F11190">
        <v>0</v>
      </c>
      <c r="G11190">
        <v>0</v>
      </c>
      <c r="H11190">
        <v>18</v>
      </c>
      <c r="I11190" s="3">
        <v>595.94000000000005</v>
      </c>
      <c r="J11190" s="3">
        <v>668.51</v>
      </c>
      <c r="K11190" t="s">
        <v>24746</v>
      </c>
      <c r="L11190">
        <v>344</v>
      </c>
      <c r="M11190" t="s">
        <v>24747</v>
      </c>
      <c r="N11190" t="s">
        <v>30</v>
      </c>
      <c r="O11190" t="s">
        <v>31</v>
      </c>
      <c r="P11190" t="str">
        <f>"15210"</f>
        <v>15210</v>
      </c>
    </row>
    <row r="11191" spans="1:16" x14ac:dyDescent="0.25">
      <c r="A11191" t="str">
        <f>"1170013A00150    00"</f>
        <v>1170013A00150    00</v>
      </c>
      <c r="B11191" t="s">
        <v>24748</v>
      </c>
      <c r="C11191" t="s">
        <v>24749</v>
      </c>
      <c r="E11191" t="s">
        <v>39</v>
      </c>
      <c r="F11191">
        <v>0</v>
      </c>
      <c r="G11191">
        <v>0</v>
      </c>
      <c r="H11191">
        <v>4</v>
      </c>
      <c r="I11191" s="3">
        <v>4449.91</v>
      </c>
      <c r="J11191" s="3">
        <v>2316.1</v>
      </c>
      <c r="K11191" t="s">
        <v>24750</v>
      </c>
      <c r="L11191">
        <v>514</v>
      </c>
      <c r="M11191" t="s">
        <v>24070</v>
      </c>
      <c r="N11191" t="s">
        <v>24071</v>
      </c>
      <c r="O11191" t="s">
        <v>31</v>
      </c>
      <c r="P11191" t="str">
        <f>"15042"</f>
        <v>15042</v>
      </c>
    </row>
    <row r="11192" spans="1:16" x14ac:dyDescent="0.25">
      <c r="A11192" t="str">
        <f>"1170013A00155    00"</f>
        <v>1170013A00155    00</v>
      </c>
      <c r="B11192" t="s">
        <v>24751</v>
      </c>
      <c r="C11192" t="s">
        <v>24745</v>
      </c>
      <c r="D11192" t="s">
        <v>20</v>
      </c>
      <c r="E11192" t="s">
        <v>39</v>
      </c>
      <c r="F11192">
        <v>0</v>
      </c>
      <c r="G11192">
        <v>0</v>
      </c>
      <c r="H11192">
        <v>19</v>
      </c>
      <c r="I11192" s="3">
        <v>567.55999999999995</v>
      </c>
      <c r="J11192" s="3">
        <v>637.37</v>
      </c>
      <c r="K11192" t="s">
        <v>1008</v>
      </c>
      <c r="P11192" t="str">
        <f>""</f>
        <v/>
      </c>
    </row>
    <row r="11193" spans="1:16" x14ac:dyDescent="0.25">
      <c r="A11193" t="str">
        <f>"1170013A00161    00"</f>
        <v>1170013A00161    00</v>
      </c>
      <c r="B11193" t="s">
        <v>24752</v>
      </c>
      <c r="C11193" t="s">
        <v>24753</v>
      </c>
      <c r="D11193" t="s">
        <v>20</v>
      </c>
      <c r="E11193" t="s">
        <v>39</v>
      </c>
      <c r="F11193">
        <v>0</v>
      </c>
      <c r="G11193">
        <v>0</v>
      </c>
      <c r="H11193">
        <v>1</v>
      </c>
      <c r="I11193" s="3">
        <v>1549.59</v>
      </c>
      <c r="J11193" s="3">
        <v>0</v>
      </c>
      <c r="K11193" t="s">
        <v>24754</v>
      </c>
      <c r="L11193">
        <v>2136</v>
      </c>
      <c r="M11193" t="s">
        <v>24755</v>
      </c>
      <c r="N11193" t="s">
        <v>30</v>
      </c>
      <c r="O11193" t="s">
        <v>31</v>
      </c>
      <c r="P11193" t="str">
        <f>"15212"</f>
        <v>15212</v>
      </c>
    </row>
    <row r="11194" spans="1:16" x14ac:dyDescent="0.25">
      <c r="A11194" t="str">
        <f>"1170013A00172    00"</f>
        <v>1170013A00172    00</v>
      </c>
      <c r="B11194" t="s">
        <v>24756</v>
      </c>
      <c r="C11194" t="s">
        <v>24757</v>
      </c>
      <c r="D11194" t="s">
        <v>20</v>
      </c>
      <c r="E11194" t="s">
        <v>39</v>
      </c>
      <c r="F11194">
        <v>0</v>
      </c>
      <c r="G11194">
        <v>0</v>
      </c>
      <c r="H11194">
        <v>1</v>
      </c>
      <c r="I11194" s="3">
        <v>1509.57</v>
      </c>
      <c r="J11194" s="3">
        <v>0</v>
      </c>
      <c r="L11194">
        <v>4607</v>
      </c>
      <c r="M11194" t="s">
        <v>4648</v>
      </c>
      <c r="N11194" t="s">
        <v>3934</v>
      </c>
      <c r="O11194" t="s">
        <v>31</v>
      </c>
      <c r="P11194" t="str">
        <f>"15102"</f>
        <v>15102</v>
      </c>
    </row>
    <row r="11195" spans="1:16" x14ac:dyDescent="0.25">
      <c r="A11195" t="str">
        <f>"1170013A00174    00"</f>
        <v>1170013A00174    00</v>
      </c>
      <c r="B11195" t="s">
        <v>24758</v>
      </c>
      <c r="C11195" t="s">
        <v>24759</v>
      </c>
      <c r="D11195" t="s">
        <v>20</v>
      </c>
      <c r="E11195" t="s">
        <v>39</v>
      </c>
      <c r="F11195">
        <v>0</v>
      </c>
      <c r="G11195">
        <v>0</v>
      </c>
      <c r="H11195">
        <v>11</v>
      </c>
      <c r="I11195" s="3">
        <v>12945.18</v>
      </c>
      <c r="J11195" s="3">
        <v>5201.82</v>
      </c>
      <c r="L11195">
        <v>1901</v>
      </c>
      <c r="M11195" t="s">
        <v>24760</v>
      </c>
      <c r="N11195" t="s">
        <v>30</v>
      </c>
      <c r="O11195" t="s">
        <v>31</v>
      </c>
      <c r="P11195" t="str">
        <f>"15203"</f>
        <v>15203</v>
      </c>
    </row>
    <row r="11196" spans="1:16" x14ac:dyDescent="0.25">
      <c r="A11196" t="str">
        <f>"1170013A00184    00"</f>
        <v>1170013A00184    00</v>
      </c>
      <c r="B11196" t="s">
        <v>24761</v>
      </c>
      <c r="C11196" t="s">
        <v>24762</v>
      </c>
      <c r="D11196" t="s">
        <v>20</v>
      </c>
      <c r="E11196" t="s">
        <v>39</v>
      </c>
      <c r="F11196">
        <v>0</v>
      </c>
      <c r="G11196">
        <v>0</v>
      </c>
      <c r="H11196">
        <v>1</v>
      </c>
      <c r="I11196" s="3">
        <v>663.6</v>
      </c>
      <c r="J11196" s="3">
        <v>0</v>
      </c>
      <c r="L11196">
        <v>1900</v>
      </c>
      <c r="M11196" t="s">
        <v>24763</v>
      </c>
      <c r="N11196" t="s">
        <v>30</v>
      </c>
      <c r="O11196" t="s">
        <v>31</v>
      </c>
      <c r="P11196" t="str">
        <f>"15203"</f>
        <v>15203</v>
      </c>
    </row>
    <row r="11197" spans="1:16" x14ac:dyDescent="0.25">
      <c r="A11197" t="str">
        <f>"1170013A00187    00"</f>
        <v>1170013A00187    00</v>
      </c>
      <c r="B11197" t="s">
        <v>24764</v>
      </c>
      <c r="C11197" t="s">
        <v>24765</v>
      </c>
      <c r="D11197" t="s">
        <v>20</v>
      </c>
      <c r="E11197" t="s">
        <v>39</v>
      </c>
      <c r="F11197">
        <v>0</v>
      </c>
      <c r="G11197">
        <v>0</v>
      </c>
      <c r="H11197">
        <v>1</v>
      </c>
      <c r="I11197" s="3">
        <v>141.18</v>
      </c>
      <c r="J11197" s="3">
        <v>0</v>
      </c>
      <c r="L11197">
        <v>7125</v>
      </c>
      <c r="M11197" t="s">
        <v>24766</v>
      </c>
      <c r="N11197" t="s">
        <v>30</v>
      </c>
      <c r="O11197" t="s">
        <v>31</v>
      </c>
      <c r="P11197" t="str">
        <f>"15208"</f>
        <v>15208</v>
      </c>
    </row>
    <row r="11198" spans="1:16" x14ac:dyDescent="0.25">
      <c r="A11198" t="str">
        <f>"1170013A00196    00"</f>
        <v>1170013A00196    00</v>
      </c>
      <c r="B11198" t="s">
        <v>24752</v>
      </c>
      <c r="C11198" t="s">
        <v>24753</v>
      </c>
      <c r="D11198" t="s">
        <v>20</v>
      </c>
      <c r="E11198" t="s">
        <v>39</v>
      </c>
      <c r="F11198">
        <v>0</v>
      </c>
      <c r="G11198">
        <v>0</v>
      </c>
      <c r="H11198">
        <v>1</v>
      </c>
      <c r="I11198" s="3">
        <v>70.53</v>
      </c>
      <c r="J11198" s="3">
        <v>0</v>
      </c>
      <c r="L11198">
        <v>725</v>
      </c>
      <c r="M11198" t="s">
        <v>11611</v>
      </c>
      <c r="N11198" t="s">
        <v>30</v>
      </c>
      <c r="O11198" t="s">
        <v>31</v>
      </c>
      <c r="P11198" t="str">
        <f>"15211"</f>
        <v>15211</v>
      </c>
    </row>
    <row r="11199" spans="1:16" x14ac:dyDescent="0.25">
      <c r="A11199" t="str">
        <f>"1170013A00199    00"</f>
        <v>1170013A00199    00</v>
      </c>
      <c r="B11199" t="s">
        <v>24767</v>
      </c>
      <c r="C11199" t="s">
        <v>24768</v>
      </c>
      <c r="D11199" t="s">
        <v>20</v>
      </c>
      <c r="E11199" t="s">
        <v>39</v>
      </c>
      <c r="F11199">
        <v>0</v>
      </c>
      <c r="G11199">
        <v>0</v>
      </c>
      <c r="H11199">
        <v>2</v>
      </c>
      <c r="I11199" s="3">
        <v>1062.8900000000001</v>
      </c>
      <c r="J11199" s="3">
        <v>155.06</v>
      </c>
      <c r="L11199">
        <v>1930</v>
      </c>
      <c r="M11199" t="s">
        <v>24763</v>
      </c>
      <c r="N11199" t="s">
        <v>30</v>
      </c>
      <c r="O11199" t="s">
        <v>31</v>
      </c>
      <c r="P11199" t="str">
        <f>"15203"</f>
        <v>15203</v>
      </c>
    </row>
    <row r="11200" spans="1:16" x14ac:dyDescent="0.25">
      <c r="A11200" t="str">
        <f>"1170013A00218    00"</f>
        <v>1170013A00218    00</v>
      </c>
      <c r="B11200" t="s">
        <v>24769</v>
      </c>
      <c r="C11200" t="s">
        <v>24770</v>
      </c>
      <c r="D11200" t="s">
        <v>20</v>
      </c>
      <c r="E11200" t="s">
        <v>39</v>
      </c>
      <c r="F11200">
        <v>0</v>
      </c>
      <c r="G11200">
        <v>0</v>
      </c>
      <c r="H11200">
        <v>4</v>
      </c>
      <c r="I11200" s="3">
        <v>2771.85</v>
      </c>
      <c r="J11200" s="3">
        <v>327.44</v>
      </c>
      <c r="K11200" t="s">
        <v>24771</v>
      </c>
      <c r="L11200">
        <v>50</v>
      </c>
      <c r="M11200" t="s">
        <v>5927</v>
      </c>
      <c r="N11200" t="s">
        <v>10800</v>
      </c>
      <c r="O11200" t="s">
        <v>31</v>
      </c>
      <c r="P11200" t="str">
        <f>"15065"</f>
        <v>15065</v>
      </c>
    </row>
    <row r="11201" spans="1:16" x14ac:dyDescent="0.25">
      <c r="A11201" t="str">
        <f>"1170013A00221    00"</f>
        <v>1170013A00221    00</v>
      </c>
      <c r="B11201" t="s">
        <v>24772</v>
      </c>
      <c r="C11201" t="s">
        <v>24773</v>
      </c>
      <c r="D11201" t="s">
        <v>20</v>
      </c>
      <c r="E11201" t="s">
        <v>39</v>
      </c>
      <c r="F11201">
        <v>0</v>
      </c>
      <c r="G11201">
        <v>0</v>
      </c>
      <c r="H11201">
        <v>19</v>
      </c>
      <c r="I11201" s="3">
        <v>10007.719999999999</v>
      </c>
      <c r="J11201" s="3">
        <v>10552.59</v>
      </c>
      <c r="K11201" t="s">
        <v>24774</v>
      </c>
      <c r="L11201">
        <v>623</v>
      </c>
      <c r="M11201" t="s">
        <v>24271</v>
      </c>
      <c r="N11201" t="s">
        <v>238</v>
      </c>
      <c r="O11201" t="s">
        <v>31</v>
      </c>
      <c r="P11201" t="str">
        <f>"15132"</f>
        <v>15132</v>
      </c>
    </row>
    <row r="11202" spans="1:16" x14ac:dyDescent="0.25">
      <c r="A11202" t="str">
        <f>"1170013A00233    00"</f>
        <v>1170013A00233    00</v>
      </c>
      <c r="B11202" t="s">
        <v>24775</v>
      </c>
      <c r="C11202" t="s">
        <v>24776</v>
      </c>
      <c r="D11202" t="s">
        <v>20</v>
      </c>
      <c r="E11202" t="s">
        <v>39</v>
      </c>
      <c r="F11202">
        <v>0</v>
      </c>
      <c r="G11202">
        <v>0</v>
      </c>
      <c r="H11202">
        <v>19</v>
      </c>
      <c r="I11202" s="3">
        <v>23408.1</v>
      </c>
      <c r="J11202" s="3">
        <v>19582.689999999999</v>
      </c>
      <c r="L11202">
        <v>1932</v>
      </c>
      <c r="M11202" t="s">
        <v>24777</v>
      </c>
      <c r="N11202" t="s">
        <v>30</v>
      </c>
      <c r="O11202" t="s">
        <v>31</v>
      </c>
      <c r="P11202" t="str">
        <f>"15203"</f>
        <v>15203</v>
      </c>
    </row>
    <row r="11203" spans="1:16" x14ac:dyDescent="0.25">
      <c r="A11203" t="str">
        <f>"1170013A00242    00"</f>
        <v>1170013A00242    00</v>
      </c>
      <c r="B11203" t="s">
        <v>24778</v>
      </c>
      <c r="C11203" t="s">
        <v>24779</v>
      </c>
      <c r="D11203" t="s">
        <v>20</v>
      </c>
      <c r="E11203" t="s">
        <v>39</v>
      </c>
      <c r="F11203">
        <v>0</v>
      </c>
      <c r="G11203">
        <v>0</v>
      </c>
      <c r="H11203">
        <v>6</v>
      </c>
      <c r="I11203" s="3">
        <v>5550.07</v>
      </c>
      <c r="J11203" s="3">
        <v>1244.77</v>
      </c>
      <c r="L11203">
        <v>156</v>
      </c>
      <c r="M11203" t="s">
        <v>22667</v>
      </c>
      <c r="N11203" t="s">
        <v>30</v>
      </c>
      <c r="O11203" t="s">
        <v>31</v>
      </c>
      <c r="P11203" t="str">
        <f>"15236"</f>
        <v>15236</v>
      </c>
    </row>
    <row r="11204" spans="1:16" x14ac:dyDescent="0.25">
      <c r="A11204" t="str">
        <f>"1170013A00254    00"</f>
        <v>1170013A00254    00</v>
      </c>
      <c r="B11204" t="s">
        <v>24780</v>
      </c>
      <c r="C11204" t="s">
        <v>24781</v>
      </c>
      <c r="D11204" t="s">
        <v>20</v>
      </c>
      <c r="E11204" t="s">
        <v>39</v>
      </c>
      <c r="F11204">
        <v>0</v>
      </c>
      <c r="G11204">
        <v>0</v>
      </c>
      <c r="H11204">
        <v>2</v>
      </c>
      <c r="I11204" s="3">
        <v>2439.6799999999998</v>
      </c>
      <c r="J11204" s="3">
        <v>0</v>
      </c>
      <c r="L11204">
        <v>1900</v>
      </c>
      <c r="M11204" t="s">
        <v>24782</v>
      </c>
      <c r="N11204" t="s">
        <v>30</v>
      </c>
      <c r="O11204" t="s">
        <v>31</v>
      </c>
      <c r="P11204" t="str">
        <f>"15203"</f>
        <v>15203</v>
      </c>
    </row>
    <row r="11205" spans="1:16" x14ac:dyDescent="0.25">
      <c r="A11205" t="str">
        <f>"1170013A00267    00"</f>
        <v>1170013A00267    00</v>
      </c>
      <c r="B11205" t="s">
        <v>24783</v>
      </c>
      <c r="C11205" t="s">
        <v>24784</v>
      </c>
      <c r="E11205" t="s">
        <v>39</v>
      </c>
      <c r="F11205">
        <v>0</v>
      </c>
      <c r="G11205">
        <v>0</v>
      </c>
      <c r="H11205">
        <v>1</v>
      </c>
      <c r="I11205" s="3">
        <v>2670.32</v>
      </c>
      <c r="J11205" s="3">
        <v>0</v>
      </c>
      <c r="K11205" t="s">
        <v>24785</v>
      </c>
      <c r="L11205">
        <v>502</v>
      </c>
      <c r="M11205" t="s">
        <v>8680</v>
      </c>
      <c r="N11205" t="s">
        <v>8681</v>
      </c>
      <c r="O11205" t="s">
        <v>108</v>
      </c>
      <c r="P11205" t="str">
        <f>"75002"</f>
        <v>75002</v>
      </c>
    </row>
    <row r="11206" spans="1:16" x14ac:dyDescent="0.25">
      <c r="A11206" t="str">
        <f>"1170013A00268    00"</f>
        <v>1170013A00268    00</v>
      </c>
      <c r="B11206" t="s">
        <v>10763</v>
      </c>
      <c r="C11206" t="s">
        <v>24786</v>
      </c>
      <c r="E11206" t="s">
        <v>39</v>
      </c>
      <c r="F11206">
        <v>0</v>
      </c>
      <c r="G11206">
        <v>0</v>
      </c>
      <c r="H11206">
        <v>1</v>
      </c>
      <c r="I11206" s="3">
        <v>1042.5899999999999</v>
      </c>
      <c r="J11206" s="3">
        <v>0</v>
      </c>
      <c r="K11206" t="s">
        <v>24480</v>
      </c>
      <c r="L11206">
        <v>502</v>
      </c>
      <c r="M11206" t="s">
        <v>8680</v>
      </c>
      <c r="N11206" t="s">
        <v>8681</v>
      </c>
      <c r="O11206" t="s">
        <v>108</v>
      </c>
      <c r="P11206" t="str">
        <f>"75002"</f>
        <v>75002</v>
      </c>
    </row>
    <row r="11207" spans="1:16" x14ac:dyDescent="0.25">
      <c r="A11207" t="str">
        <f>"1170013A00269    00"</f>
        <v>1170013A00269    00</v>
      </c>
      <c r="B11207" t="s">
        <v>24787</v>
      </c>
      <c r="C11207" t="s">
        <v>24788</v>
      </c>
      <c r="D11207" t="s">
        <v>20</v>
      </c>
      <c r="E11207" t="s">
        <v>39</v>
      </c>
      <c r="F11207">
        <v>0</v>
      </c>
      <c r="G11207">
        <v>0</v>
      </c>
      <c r="H11207">
        <v>1</v>
      </c>
      <c r="I11207" s="3">
        <v>154.01</v>
      </c>
      <c r="J11207" s="3">
        <v>0</v>
      </c>
      <c r="L11207">
        <v>7125</v>
      </c>
      <c r="M11207" t="s">
        <v>24766</v>
      </c>
      <c r="N11207" t="s">
        <v>30</v>
      </c>
      <c r="O11207" t="s">
        <v>31</v>
      </c>
      <c r="P11207" t="str">
        <f>"15208"</f>
        <v>15208</v>
      </c>
    </row>
    <row r="11208" spans="1:16" x14ac:dyDescent="0.25">
      <c r="A11208" t="str">
        <f>"1170013A00291    00"</f>
        <v>1170013A00291    00</v>
      </c>
      <c r="B11208" t="s">
        <v>23104</v>
      </c>
      <c r="C11208" t="s">
        <v>24789</v>
      </c>
      <c r="E11208" t="s">
        <v>39</v>
      </c>
      <c r="F11208">
        <v>0</v>
      </c>
      <c r="G11208">
        <v>0</v>
      </c>
      <c r="H11208">
        <v>1</v>
      </c>
      <c r="I11208" s="3">
        <v>1126.45</v>
      </c>
      <c r="J11208" s="3">
        <v>0</v>
      </c>
      <c r="K11208" t="s">
        <v>23106</v>
      </c>
      <c r="L11208">
        <v>101</v>
      </c>
      <c r="M11208" t="s">
        <v>9541</v>
      </c>
      <c r="N11208" t="s">
        <v>1766</v>
      </c>
      <c r="O11208" t="s">
        <v>31</v>
      </c>
      <c r="P11208" t="str">
        <f>"15367"</f>
        <v>15367</v>
      </c>
    </row>
    <row r="11209" spans="1:16" x14ac:dyDescent="0.25">
      <c r="A11209" t="str">
        <f>"1170013A00292    00"</f>
        <v>1170013A00292    00</v>
      </c>
      <c r="B11209" t="s">
        <v>24790</v>
      </c>
      <c r="C11209" t="s">
        <v>24791</v>
      </c>
      <c r="D11209" t="s">
        <v>20</v>
      </c>
      <c r="E11209" t="s">
        <v>39</v>
      </c>
      <c r="F11209">
        <v>0</v>
      </c>
      <c r="G11209">
        <v>0</v>
      </c>
      <c r="H11209">
        <v>1</v>
      </c>
      <c r="I11209" s="3">
        <v>895.84</v>
      </c>
      <c r="J11209" s="3">
        <v>0</v>
      </c>
      <c r="K11209" t="s">
        <v>24792</v>
      </c>
      <c r="L11209">
        <v>215</v>
      </c>
      <c r="M11209" t="s">
        <v>24793</v>
      </c>
      <c r="N11209" t="s">
        <v>30</v>
      </c>
      <c r="O11209" t="s">
        <v>31</v>
      </c>
      <c r="P11209" t="str">
        <f>"15209"</f>
        <v>15209</v>
      </c>
    </row>
    <row r="11210" spans="1:16" x14ac:dyDescent="0.25">
      <c r="A11210" t="str">
        <f>"1170013A00304    00"</f>
        <v>1170013A00304    00</v>
      </c>
      <c r="B11210" t="s">
        <v>24794</v>
      </c>
      <c r="C11210" t="s">
        <v>24795</v>
      </c>
      <c r="D11210" t="s">
        <v>20</v>
      </c>
      <c r="E11210" t="s">
        <v>39</v>
      </c>
      <c r="F11210">
        <v>0</v>
      </c>
      <c r="G11210">
        <v>0</v>
      </c>
      <c r="H11210">
        <v>2</v>
      </c>
      <c r="I11210" s="3">
        <v>1503.09</v>
      </c>
      <c r="J11210" s="3">
        <v>0</v>
      </c>
      <c r="L11210">
        <v>1925</v>
      </c>
      <c r="M11210" t="s">
        <v>24777</v>
      </c>
      <c r="N11210" t="s">
        <v>30</v>
      </c>
      <c r="O11210" t="s">
        <v>31</v>
      </c>
      <c r="P11210" t="str">
        <f>"15203"</f>
        <v>15203</v>
      </c>
    </row>
    <row r="11211" spans="1:16" x14ac:dyDescent="0.25">
      <c r="A11211" t="str">
        <f>"1170013B00009A   00"</f>
        <v>1170013B00009A   00</v>
      </c>
      <c r="B11211" t="s">
        <v>24796</v>
      </c>
      <c r="C11211" t="s">
        <v>24797</v>
      </c>
      <c r="D11211" t="s">
        <v>57</v>
      </c>
      <c r="E11211" t="s">
        <v>39</v>
      </c>
      <c r="F11211">
        <v>0</v>
      </c>
      <c r="G11211">
        <v>0</v>
      </c>
      <c r="H11211">
        <v>1</v>
      </c>
      <c r="I11211" s="3">
        <v>1327.51</v>
      </c>
      <c r="J11211" s="3">
        <v>398.23</v>
      </c>
      <c r="K11211" t="s">
        <v>1632</v>
      </c>
      <c r="L11211">
        <v>3001</v>
      </c>
      <c r="M11211" t="s">
        <v>330</v>
      </c>
      <c r="N11211" t="s">
        <v>331</v>
      </c>
      <c r="O11211" t="s">
        <v>108</v>
      </c>
      <c r="P11211" t="str">
        <f>"75063"</f>
        <v>75063</v>
      </c>
    </row>
    <row r="11212" spans="1:16" x14ac:dyDescent="0.25">
      <c r="A11212" t="str">
        <f>"1170013E00012    00"</f>
        <v>1170013E00012    00</v>
      </c>
      <c r="B11212" t="s">
        <v>24798</v>
      </c>
      <c r="C11212" t="s">
        <v>24799</v>
      </c>
      <c r="E11212" t="s">
        <v>21</v>
      </c>
      <c r="F11212">
        <v>0</v>
      </c>
      <c r="G11212">
        <v>0</v>
      </c>
      <c r="H11212">
        <v>1</v>
      </c>
      <c r="I11212" s="3">
        <v>272.23</v>
      </c>
      <c r="J11212" s="3">
        <v>0</v>
      </c>
      <c r="L11212">
        <v>1000</v>
      </c>
      <c r="M11212" t="s">
        <v>24800</v>
      </c>
      <c r="N11212" t="s">
        <v>30</v>
      </c>
      <c r="O11212" t="s">
        <v>31</v>
      </c>
      <c r="P11212" t="str">
        <f>"15220"</f>
        <v>15220</v>
      </c>
    </row>
    <row r="11213" spans="1:16" x14ac:dyDescent="0.25">
      <c r="A11213" t="str">
        <f>"1170013E00013    00"</f>
        <v>1170013E00013    00</v>
      </c>
      <c r="B11213" t="s">
        <v>24801</v>
      </c>
      <c r="C11213" t="s">
        <v>24802</v>
      </c>
      <c r="D11213" t="s">
        <v>20</v>
      </c>
      <c r="E11213" t="s">
        <v>39</v>
      </c>
      <c r="F11213">
        <v>0</v>
      </c>
      <c r="G11213">
        <v>0</v>
      </c>
      <c r="H11213">
        <v>8</v>
      </c>
      <c r="I11213" s="3">
        <v>8071.77</v>
      </c>
      <c r="J11213" s="3">
        <v>2641.2</v>
      </c>
      <c r="L11213">
        <v>1646</v>
      </c>
      <c r="M11213" t="s">
        <v>24803</v>
      </c>
      <c r="N11213" t="s">
        <v>30</v>
      </c>
      <c r="O11213" t="s">
        <v>31</v>
      </c>
      <c r="P11213" t="str">
        <f>"15210"</f>
        <v>15210</v>
      </c>
    </row>
    <row r="11214" spans="1:16" x14ac:dyDescent="0.25">
      <c r="A11214" t="str">
        <f>"1170013E00151    00"</f>
        <v>1170013E00151    00</v>
      </c>
      <c r="B11214" t="s">
        <v>24804</v>
      </c>
      <c r="C11214" t="s">
        <v>24805</v>
      </c>
      <c r="D11214" t="s">
        <v>20</v>
      </c>
      <c r="E11214" t="s">
        <v>39</v>
      </c>
      <c r="F11214">
        <v>0</v>
      </c>
      <c r="G11214">
        <v>0</v>
      </c>
      <c r="H11214">
        <v>9</v>
      </c>
      <c r="I11214" s="3">
        <v>7005.74</v>
      </c>
      <c r="J11214" s="3">
        <v>2652.76</v>
      </c>
      <c r="K11214" t="s">
        <v>24806</v>
      </c>
      <c r="L11214">
        <v>156</v>
      </c>
      <c r="M11214" t="s">
        <v>22667</v>
      </c>
      <c r="N11214" t="s">
        <v>30</v>
      </c>
      <c r="O11214" t="s">
        <v>31</v>
      </c>
      <c r="P11214" t="str">
        <f>"15236"</f>
        <v>15236</v>
      </c>
    </row>
    <row r="11215" spans="1:16" x14ac:dyDescent="0.25">
      <c r="A11215" t="str">
        <f>"1170013E00156    00"</f>
        <v>1170013E00156    00</v>
      </c>
      <c r="B11215" t="s">
        <v>24807</v>
      </c>
      <c r="C11215" t="s">
        <v>24808</v>
      </c>
      <c r="E11215" t="s">
        <v>39</v>
      </c>
      <c r="F11215">
        <v>0</v>
      </c>
      <c r="G11215">
        <v>0</v>
      </c>
      <c r="H11215">
        <v>1</v>
      </c>
      <c r="I11215" s="3">
        <v>1804.99</v>
      </c>
      <c r="J11215" s="3">
        <v>0</v>
      </c>
      <c r="K11215" t="s">
        <v>24809</v>
      </c>
      <c r="L11215">
        <v>654</v>
      </c>
      <c r="M11215" t="s">
        <v>24810</v>
      </c>
      <c r="N11215" t="s">
        <v>30</v>
      </c>
      <c r="O11215" t="s">
        <v>31</v>
      </c>
      <c r="P11215" t="str">
        <f>"15236"</f>
        <v>15236</v>
      </c>
    </row>
    <row r="11216" spans="1:16" x14ac:dyDescent="0.25">
      <c r="A11216" t="str">
        <f>"1170013J00009    00"</f>
        <v>1170013J00009    00</v>
      </c>
      <c r="B11216" t="s">
        <v>24811</v>
      </c>
      <c r="C11216" t="s">
        <v>24722</v>
      </c>
      <c r="E11216" t="s">
        <v>39</v>
      </c>
      <c r="F11216">
        <v>0</v>
      </c>
      <c r="G11216">
        <v>0</v>
      </c>
      <c r="H11216">
        <v>1</v>
      </c>
      <c r="I11216" s="3">
        <v>94.95</v>
      </c>
      <c r="J11216" s="3">
        <v>37.979999999999997</v>
      </c>
      <c r="K11216" t="s">
        <v>24812</v>
      </c>
      <c r="M11216" t="s">
        <v>13945</v>
      </c>
      <c r="N11216" t="s">
        <v>13946</v>
      </c>
      <c r="O11216" t="s">
        <v>1005</v>
      </c>
      <c r="P11216" t="str">
        <f>"85261"</f>
        <v>85261</v>
      </c>
    </row>
    <row r="11217" spans="1:16" x14ac:dyDescent="0.25">
      <c r="A11217" t="str">
        <f>"1170013J00035    00"</f>
        <v>1170013J00035    00</v>
      </c>
      <c r="B11217" t="s">
        <v>24813</v>
      </c>
      <c r="C11217" t="s">
        <v>23201</v>
      </c>
      <c r="E11217" t="s">
        <v>39</v>
      </c>
      <c r="F11217">
        <v>0</v>
      </c>
      <c r="G11217">
        <v>0</v>
      </c>
      <c r="H11217">
        <v>3</v>
      </c>
      <c r="I11217" s="3">
        <v>778.65</v>
      </c>
      <c r="J11217" s="3">
        <v>616.4</v>
      </c>
      <c r="L11217">
        <v>1903</v>
      </c>
      <c r="M11217" t="s">
        <v>3525</v>
      </c>
      <c r="N11217" t="s">
        <v>30</v>
      </c>
      <c r="O11217" t="s">
        <v>31</v>
      </c>
      <c r="P11217" t="str">
        <f>"15210"</f>
        <v>15210</v>
      </c>
    </row>
    <row r="11218" spans="1:16" x14ac:dyDescent="0.25">
      <c r="A11218" t="str">
        <f>"1170013J00037    00"</f>
        <v>1170013J00037    00</v>
      </c>
      <c r="B11218" t="s">
        <v>24814</v>
      </c>
      <c r="C11218" t="s">
        <v>23201</v>
      </c>
      <c r="D11218" t="s">
        <v>20</v>
      </c>
      <c r="E11218" t="s">
        <v>39</v>
      </c>
      <c r="F11218">
        <v>0</v>
      </c>
      <c r="G11218">
        <v>0</v>
      </c>
      <c r="H11218">
        <v>12</v>
      </c>
      <c r="I11218" s="3">
        <v>7240.8</v>
      </c>
      <c r="J11218" s="3">
        <v>4444.53</v>
      </c>
      <c r="L11218">
        <v>103</v>
      </c>
      <c r="M11218" t="s">
        <v>24815</v>
      </c>
      <c r="N11218" t="s">
        <v>24816</v>
      </c>
      <c r="O11218" t="s">
        <v>1005</v>
      </c>
      <c r="P11218" t="str">
        <f>"86403"</f>
        <v>86403</v>
      </c>
    </row>
    <row r="11219" spans="1:16" x14ac:dyDescent="0.25">
      <c r="A11219" t="str">
        <f>"1170013J00039    00"</f>
        <v>1170013J00039    00</v>
      </c>
      <c r="B11219" t="s">
        <v>24817</v>
      </c>
      <c r="C11219" t="s">
        <v>24818</v>
      </c>
      <c r="D11219" t="s">
        <v>20</v>
      </c>
      <c r="E11219" t="s">
        <v>39</v>
      </c>
      <c r="F11219">
        <v>0</v>
      </c>
      <c r="G11219">
        <v>0</v>
      </c>
      <c r="H11219">
        <v>1</v>
      </c>
      <c r="I11219" s="3">
        <v>571.82000000000005</v>
      </c>
      <c r="J11219" s="3">
        <v>0</v>
      </c>
      <c r="L11219">
        <v>2618</v>
      </c>
      <c r="M11219" t="s">
        <v>22876</v>
      </c>
      <c r="N11219" t="s">
        <v>30</v>
      </c>
      <c r="O11219" t="s">
        <v>31</v>
      </c>
      <c r="P11219" t="str">
        <f>"15203"</f>
        <v>15203</v>
      </c>
    </row>
    <row r="11220" spans="1:16" x14ac:dyDescent="0.25">
      <c r="A11220" t="str">
        <f>"1170013J00042A   00"</f>
        <v>1170013J00042A   00</v>
      </c>
      <c r="B11220" t="s">
        <v>24819</v>
      </c>
      <c r="C11220" t="s">
        <v>24820</v>
      </c>
      <c r="D11220" t="s">
        <v>20</v>
      </c>
      <c r="E11220" t="s">
        <v>39</v>
      </c>
      <c r="F11220">
        <v>0</v>
      </c>
      <c r="G11220">
        <v>0</v>
      </c>
      <c r="H11220">
        <v>15</v>
      </c>
      <c r="I11220" s="3">
        <v>7909.08</v>
      </c>
      <c r="J11220" s="3">
        <v>5316.89</v>
      </c>
      <c r="L11220">
        <v>1839</v>
      </c>
      <c r="M11220" t="s">
        <v>3525</v>
      </c>
      <c r="N11220" t="s">
        <v>30</v>
      </c>
      <c r="O11220" t="s">
        <v>31</v>
      </c>
      <c r="P11220" t="str">
        <f>"15210"</f>
        <v>15210</v>
      </c>
    </row>
    <row r="11221" spans="1:16" x14ac:dyDescent="0.25">
      <c r="A11221" t="str">
        <f>"1170013J00043    00"</f>
        <v>1170013J00043    00</v>
      </c>
      <c r="B11221" t="s">
        <v>24817</v>
      </c>
      <c r="C11221" t="s">
        <v>24821</v>
      </c>
      <c r="D11221" t="s">
        <v>20</v>
      </c>
      <c r="E11221" t="s">
        <v>39</v>
      </c>
      <c r="F11221">
        <v>0</v>
      </c>
      <c r="G11221">
        <v>0</v>
      </c>
      <c r="H11221">
        <v>1</v>
      </c>
      <c r="I11221" s="3">
        <v>1581.98</v>
      </c>
      <c r="J11221" s="3">
        <v>0</v>
      </c>
      <c r="L11221">
        <v>2618</v>
      </c>
      <c r="M11221" t="s">
        <v>22876</v>
      </c>
      <c r="N11221" t="s">
        <v>30</v>
      </c>
      <c r="O11221" t="s">
        <v>31</v>
      </c>
      <c r="P11221" t="str">
        <f>"15203"</f>
        <v>15203</v>
      </c>
    </row>
    <row r="11222" spans="1:16" x14ac:dyDescent="0.25">
      <c r="A11222" t="str">
        <f>"1170013J00044    00"</f>
        <v>1170013J00044    00</v>
      </c>
      <c r="B11222" t="s">
        <v>24817</v>
      </c>
      <c r="C11222" t="s">
        <v>23201</v>
      </c>
      <c r="D11222" t="s">
        <v>20</v>
      </c>
      <c r="E11222" t="s">
        <v>39</v>
      </c>
      <c r="F11222">
        <v>0</v>
      </c>
      <c r="G11222">
        <v>0</v>
      </c>
      <c r="H11222">
        <v>1</v>
      </c>
      <c r="I11222" s="3">
        <v>28.6</v>
      </c>
      <c r="J11222" s="3">
        <v>0</v>
      </c>
      <c r="L11222">
        <v>2618</v>
      </c>
      <c r="M11222" t="s">
        <v>22876</v>
      </c>
      <c r="N11222" t="s">
        <v>30</v>
      </c>
      <c r="O11222" t="s">
        <v>31</v>
      </c>
      <c r="P11222" t="str">
        <f>"15203"</f>
        <v>15203</v>
      </c>
    </row>
    <row r="11223" spans="1:16" x14ac:dyDescent="0.25">
      <c r="A11223" t="str">
        <f>"1170013J00047    00"</f>
        <v>1170013J00047    00</v>
      </c>
      <c r="B11223" t="s">
        <v>24817</v>
      </c>
      <c r="C11223" t="s">
        <v>24822</v>
      </c>
      <c r="D11223" t="s">
        <v>20</v>
      </c>
      <c r="E11223" t="s">
        <v>39</v>
      </c>
      <c r="F11223">
        <v>0</v>
      </c>
      <c r="G11223">
        <v>0</v>
      </c>
      <c r="H11223">
        <v>1</v>
      </c>
      <c r="I11223" s="3">
        <v>914.88</v>
      </c>
      <c r="J11223" s="3">
        <v>0</v>
      </c>
      <c r="L11223">
        <v>2618</v>
      </c>
      <c r="M11223" t="s">
        <v>22876</v>
      </c>
      <c r="N11223" t="s">
        <v>30</v>
      </c>
      <c r="O11223" t="s">
        <v>31</v>
      </c>
      <c r="P11223" t="str">
        <f>"15203"</f>
        <v>15203</v>
      </c>
    </row>
    <row r="11224" spans="1:16" x14ac:dyDescent="0.25">
      <c r="A11224" t="str">
        <f>"1170014C00190    00"</f>
        <v>1170014C00190    00</v>
      </c>
      <c r="B11224" t="s">
        <v>24823</v>
      </c>
      <c r="C11224" t="s">
        <v>24824</v>
      </c>
      <c r="D11224" t="s">
        <v>20</v>
      </c>
      <c r="E11224" t="s">
        <v>39</v>
      </c>
      <c r="F11224">
        <v>0</v>
      </c>
      <c r="G11224">
        <v>0</v>
      </c>
      <c r="H11224">
        <v>2</v>
      </c>
      <c r="I11224" s="3">
        <v>2984.8</v>
      </c>
      <c r="J11224" s="3">
        <v>0</v>
      </c>
      <c r="K11224" t="s">
        <v>24825</v>
      </c>
      <c r="M11224" t="s">
        <v>24826</v>
      </c>
      <c r="N11224" t="s">
        <v>24827</v>
      </c>
      <c r="O11224" t="s">
        <v>25</v>
      </c>
      <c r="P11224" t="str">
        <f>"44663"</f>
        <v>44663</v>
      </c>
    </row>
    <row r="11225" spans="1:16" x14ac:dyDescent="0.25">
      <c r="A11225" t="str">
        <f>"1170014C00193    00"</f>
        <v>1170014C00193    00</v>
      </c>
      <c r="B11225" t="s">
        <v>24828</v>
      </c>
      <c r="C11225" t="s">
        <v>24829</v>
      </c>
      <c r="E11225" t="s">
        <v>39</v>
      </c>
      <c r="F11225">
        <v>0</v>
      </c>
      <c r="G11225">
        <v>0</v>
      </c>
      <c r="H11225">
        <v>2</v>
      </c>
      <c r="I11225" s="3">
        <v>2079.0300000000002</v>
      </c>
      <c r="J11225" s="3">
        <v>926.57</v>
      </c>
      <c r="L11225">
        <v>1025</v>
      </c>
      <c r="M11225" t="s">
        <v>24830</v>
      </c>
      <c r="N11225" t="s">
        <v>30</v>
      </c>
      <c r="O11225" t="s">
        <v>31</v>
      </c>
      <c r="P11225" t="str">
        <f>"15203"</f>
        <v>15203</v>
      </c>
    </row>
    <row r="11226" spans="1:16" x14ac:dyDescent="0.25">
      <c r="A11226" t="str">
        <f>"1170014C00195    00"</f>
        <v>1170014C00195    00</v>
      </c>
      <c r="B11226" t="s">
        <v>24828</v>
      </c>
      <c r="C11226" t="s">
        <v>24831</v>
      </c>
      <c r="E11226" t="s">
        <v>39</v>
      </c>
      <c r="F11226">
        <v>0</v>
      </c>
      <c r="G11226">
        <v>0</v>
      </c>
      <c r="H11226">
        <v>2</v>
      </c>
      <c r="I11226" s="3">
        <v>1324.86</v>
      </c>
      <c r="J11226" s="3">
        <v>590.5</v>
      </c>
      <c r="L11226">
        <v>1025</v>
      </c>
      <c r="M11226" t="s">
        <v>24830</v>
      </c>
      <c r="N11226" t="s">
        <v>30</v>
      </c>
      <c r="O11226" t="s">
        <v>31</v>
      </c>
      <c r="P11226" t="str">
        <f>"15203"</f>
        <v>15203</v>
      </c>
    </row>
    <row r="11227" spans="1:16" x14ac:dyDescent="0.25">
      <c r="A11227" t="str">
        <f>"1170014C00197    00"</f>
        <v>1170014C00197    00</v>
      </c>
      <c r="B11227" t="s">
        <v>24828</v>
      </c>
      <c r="C11227" t="s">
        <v>24832</v>
      </c>
      <c r="E11227" t="s">
        <v>39</v>
      </c>
      <c r="F11227">
        <v>0</v>
      </c>
      <c r="G11227">
        <v>0</v>
      </c>
      <c r="H11227">
        <v>3</v>
      </c>
      <c r="I11227" s="3">
        <v>3548.53</v>
      </c>
      <c r="J11227" s="3">
        <v>1572.17</v>
      </c>
      <c r="L11227">
        <v>1025</v>
      </c>
      <c r="M11227" t="s">
        <v>24830</v>
      </c>
      <c r="N11227" t="s">
        <v>30</v>
      </c>
      <c r="O11227" t="s">
        <v>31</v>
      </c>
      <c r="P11227" t="str">
        <f>"15203"</f>
        <v>15203</v>
      </c>
    </row>
    <row r="11228" spans="1:16" x14ac:dyDescent="0.25">
      <c r="A11228" t="str">
        <f>"1170014C00207    00"</f>
        <v>1170014C00207    00</v>
      </c>
      <c r="B11228" t="s">
        <v>24828</v>
      </c>
      <c r="C11228" t="s">
        <v>24833</v>
      </c>
      <c r="E11228" t="s">
        <v>39</v>
      </c>
      <c r="F11228">
        <v>0</v>
      </c>
      <c r="G11228">
        <v>0</v>
      </c>
      <c r="H11228">
        <v>2</v>
      </c>
      <c r="I11228" s="3">
        <v>873.84</v>
      </c>
      <c r="J11228" s="3">
        <v>389.45</v>
      </c>
      <c r="L11228">
        <v>1025</v>
      </c>
      <c r="M11228" t="s">
        <v>24834</v>
      </c>
      <c r="N11228" t="s">
        <v>30</v>
      </c>
      <c r="O11228" t="s">
        <v>31</v>
      </c>
      <c r="P11228" t="str">
        <f>"15203"</f>
        <v>15203</v>
      </c>
    </row>
    <row r="11229" spans="1:16" x14ac:dyDescent="0.25">
      <c r="A11229" t="str">
        <f>"1170014C00303    00"</f>
        <v>1170014C00303    00</v>
      </c>
      <c r="B11229" t="s">
        <v>24835</v>
      </c>
      <c r="C11229" t="s">
        <v>24836</v>
      </c>
      <c r="D11229" t="s">
        <v>20</v>
      </c>
      <c r="E11229" t="s">
        <v>39</v>
      </c>
      <c r="F11229">
        <v>0</v>
      </c>
      <c r="G11229">
        <v>0</v>
      </c>
      <c r="H11229">
        <v>17</v>
      </c>
      <c r="I11229" s="3">
        <v>412.25</v>
      </c>
      <c r="J11229" s="3">
        <v>511.9</v>
      </c>
      <c r="K11229" t="s">
        <v>24837</v>
      </c>
      <c r="L11229">
        <v>179</v>
      </c>
      <c r="M11229" t="s">
        <v>24838</v>
      </c>
      <c r="N11229" t="s">
        <v>30</v>
      </c>
      <c r="O11229" t="s">
        <v>31</v>
      </c>
      <c r="P11229" t="str">
        <f>"15223"</f>
        <v>15223</v>
      </c>
    </row>
    <row r="11230" spans="1:16" x14ac:dyDescent="0.25">
      <c r="A11230" t="str">
        <f>"1170014C00305    00"</f>
        <v>1170014C00305    00</v>
      </c>
      <c r="B11230" t="s">
        <v>24839</v>
      </c>
      <c r="C11230" t="s">
        <v>24840</v>
      </c>
      <c r="D11230" t="s">
        <v>20</v>
      </c>
      <c r="E11230" t="s">
        <v>39</v>
      </c>
      <c r="F11230">
        <v>0</v>
      </c>
      <c r="G11230">
        <v>0</v>
      </c>
      <c r="H11230">
        <v>15</v>
      </c>
      <c r="I11230" s="3">
        <v>24631.99</v>
      </c>
      <c r="J11230" s="3">
        <v>14546.01</v>
      </c>
      <c r="K11230" t="s">
        <v>24841</v>
      </c>
      <c r="M11230" t="s">
        <v>24842</v>
      </c>
      <c r="N11230" t="s">
        <v>22907</v>
      </c>
      <c r="O11230" t="s">
        <v>2109</v>
      </c>
      <c r="P11230" t="str">
        <f>"84165"</f>
        <v>84165</v>
      </c>
    </row>
    <row r="11231" spans="1:16" x14ac:dyDescent="0.25">
      <c r="A11231" t="str">
        <f>"1170014C00306A   00"</f>
        <v>1170014C00306A   00</v>
      </c>
      <c r="B11231" t="s">
        <v>21762</v>
      </c>
      <c r="C11231" t="s">
        <v>24843</v>
      </c>
      <c r="D11231" t="s">
        <v>20</v>
      </c>
      <c r="E11231" t="s">
        <v>39</v>
      </c>
      <c r="F11231">
        <v>0</v>
      </c>
      <c r="G11231">
        <v>0</v>
      </c>
      <c r="H11231">
        <v>9</v>
      </c>
      <c r="I11231" s="3">
        <v>3280.49</v>
      </c>
      <c r="J11231" s="3">
        <v>94.55</v>
      </c>
      <c r="K11231" t="s">
        <v>21764</v>
      </c>
      <c r="L11231">
        <v>2521</v>
      </c>
      <c r="M11231" t="s">
        <v>24844</v>
      </c>
      <c r="N11231" t="s">
        <v>30</v>
      </c>
      <c r="O11231" t="s">
        <v>31</v>
      </c>
      <c r="P11231" t="str">
        <f>"15234"</f>
        <v>15234</v>
      </c>
    </row>
    <row r="11232" spans="1:16" x14ac:dyDescent="0.25">
      <c r="A11232" t="str">
        <f>"1170014C00328    00"</f>
        <v>1170014C00328    00</v>
      </c>
      <c r="B11232" t="s">
        <v>24845</v>
      </c>
      <c r="C11232" t="s">
        <v>24846</v>
      </c>
      <c r="D11232" t="s">
        <v>20</v>
      </c>
      <c r="E11232" t="s">
        <v>39</v>
      </c>
      <c r="F11232">
        <v>0</v>
      </c>
      <c r="G11232">
        <v>0</v>
      </c>
      <c r="H11232">
        <v>17</v>
      </c>
      <c r="I11232" s="3">
        <v>18154.98</v>
      </c>
      <c r="J11232" s="3">
        <v>12478.19</v>
      </c>
      <c r="K11232" t="s">
        <v>24847</v>
      </c>
      <c r="L11232">
        <v>102</v>
      </c>
      <c r="M11232" t="s">
        <v>24848</v>
      </c>
      <c r="N11232" t="s">
        <v>30</v>
      </c>
      <c r="O11232" t="s">
        <v>31</v>
      </c>
      <c r="P11232" t="str">
        <f>"15212"</f>
        <v>15212</v>
      </c>
    </row>
    <row r="11233" spans="1:16" x14ac:dyDescent="0.25">
      <c r="A11233" t="str">
        <f>"1170014D00008    00"</f>
        <v>1170014D00008    00</v>
      </c>
      <c r="B11233" t="s">
        <v>24783</v>
      </c>
      <c r="C11233" t="s">
        <v>24849</v>
      </c>
      <c r="E11233" t="s">
        <v>39</v>
      </c>
      <c r="F11233">
        <v>0</v>
      </c>
      <c r="G11233">
        <v>0</v>
      </c>
      <c r="H11233">
        <v>1</v>
      </c>
      <c r="I11233" s="3">
        <v>1570.54</v>
      </c>
      <c r="J11233" s="3">
        <v>0</v>
      </c>
      <c r="K11233" t="s">
        <v>24785</v>
      </c>
      <c r="L11233">
        <v>502</v>
      </c>
      <c r="M11233" t="s">
        <v>8680</v>
      </c>
      <c r="N11233" t="s">
        <v>8681</v>
      </c>
      <c r="O11233" t="s">
        <v>108</v>
      </c>
      <c r="P11233" t="str">
        <f>"75002"</f>
        <v>75002</v>
      </c>
    </row>
    <row r="11234" spans="1:16" x14ac:dyDescent="0.25">
      <c r="A11234" t="str">
        <f>"1170014D00009    00"</f>
        <v>1170014D00009    00</v>
      </c>
      <c r="B11234" t="s">
        <v>24850</v>
      </c>
      <c r="C11234" t="s">
        <v>24851</v>
      </c>
      <c r="E11234" t="s">
        <v>39</v>
      </c>
      <c r="F11234">
        <v>0</v>
      </c>
      <c r="G11234">
        <v>0</v>
      </c>
      <c r="H11234">
        <v>1</v>
      </c>
      <c r="I11234" s="3">
        <v>816.75</v>
      </c>
      <c r="J11234" s="3">
        <v>564.9</v>
      </c>
      <c r="L11234">
        <v>8</v>
      </c>
      <c r="M11234" t="s">
        <v>24327</v>
      </c>
      <c r="N11234" t="s">
        <v>30</v>
      </c>
      <c r="O11234" t="s">
        <v>31</v>
      </c>
      <c r="P11234" t="str">
        <f>"15203"</f>
        <v>15203</v>
      </c>
    </row>
    <row r="11235" spans="1:16" x14ac:dyDescent="0.25">
      <c r="A11235" t="str">
        <f>"1170014D00044    00"</f>
        <v>1170014D00044    00</v>
      </c>
      <c r="B11235" t="s">
        <v>24852</v>
      </c>
      <c r="C11235" t="s">
        <v>24853</v>
      </c>
      <c r="D11235" t="s">
        <v>20</v>
      </c>
      <c r="E11235" t="s">
        <v>39</v>
      </c>
      <c r="F11235">
        <v>0</v>
      </c>
      <c r="G11235">
        <v>0</v>
      </c>
      <c r="H11235">
        <v>5</v>
      </c>
      <c r="I11235" s="3">
        <v>1964.92</v>
      </c>
      <c r="J11235" s="3">
        <v>369.49</v>
      </c>
      <c r="L11235">
        <v>1113</v>
      </c>
      <c r="M11235" t="s">
        <v>24830</v>
      </c>
      <c r="N11235" t="s">
        <v>30</v>
      </c>
      <c r="O11235" t="s">
        <v>31</v>
      </c>
      <c r="P11235" t="str">
        <f>"15203"</f>
        <v>15203</v>
      </c>
    </row>
    <row r="11236" spans="1:16" x14ac:dyDescent="0.25">
      <c r="A11236" t="str">
        <f>"1170014D00048    00"</f>
        <v>1170014D00048    00</v>
      </c>
      <c r="B11236" t="s">
        <v>24854</v>
      </c>
      <c r="C11236" t="s">
        <v>24855</v>
      </c>
      <c r="D11236" t="s">
        <v>20</v>
      </c>
      <c r="E11236" t="s">
        <v>39</v>
      </c>
      <c r="F11236">
        <v>0</v>
      </c>
      <c r="G11236">
        <v>0</v>
      </c>
      <c r="H11236">
        <v>1</v>
      </c>
      <c r="I11236" s="3">
        <v>1330.39</v>
      </c>
      <c r="J11236" s="3">
        <v>0</v>
      </c>
      <c r="K11236" t="s">
        <v>24856</v>
      </c>
      <c r="L11236">
        <v>1119</v>
      </c>
      <c r="M11236" t="s">
        <v>24857</v>
      </c>
      <c r="N11236" t="s">
        <v>30</v>
      </c>
      <c r="O11236" t="s">
        <v>31</v>
      </c>
      <c r="P11236" t="str">
        <f>"15203"</f>
        <v>15203</v>
      </c>
    </row>
    <row r="11237" spans="1:16" x14ac:dyDescent="0.25">
      <c r="A11237" t="str">
        <f>"1170014D00050    00"</f>
        <v>1170014D00050    00</v>
      </c>
      <c r="B11237" t="s">
        <v>24858</v>
      </c>
      <c r="C11237" t="s">
        <v>24859</v>
      </c>
      <c r="D11237" t="s">
        <v>20</v>
      </c>
      <c r="E11237" t="s">
        <v>39</v>
      </c>
      <c r="F11237">
        <v>0</v>
      </c>
      <c r="G11237">
        <v>0</v>
      </c>
      <c r="H11237">
        <v>2</v>
      </c>
      <c r="I11237" s="3">
        <v>2169.04</v>
      </c>
      <c r="J11237" s="3">
        <v>0</v>
      </c>
      <c r="K11237" t="s">
        <v>24860</v>
      </c>
      <c r="L11237">
        <v>775</v>
      </c>
      <c r="M11237" t="s">
        <v>24861</v>
      </c>
      <c r="N11237" t="s">
        <v>30</v>
      </c>
      <c r="O11237" t="s">
        <v>31</v>
      </c>
      <c r="P11237" t="str">
        <f>"15236"</f>
        <v>15236</v>
      </c>
    </row>
    <row r="11238" spans="1:16" x14ac:dyDescent="0.25">
      <c r="A11238" t="str">
        <f>"1170014D00056    00"</f>
        <v>1170014D00056    00</v>
      </c>
      <c r="B11238" t="s">
        <v>24862</v>
      </c>
      <c r="C11238" t="s">
        <v>24863</v>
      </c>
      <c r="D11238" t="s">
        <v>20</v>
      </c>
      <c r="E11238" t="s">
        <v>39</v>
      </c>
      <c r="F11238">
        <v>0</v>
      </c>
      <c r="G11238">
        <v>0</v>
      </c>
      <c r="H11238">
        <v>8</v>
      </c>
      <c r="I11238" s="3">
        <v>6299.57</v>
      </c>
      <c r="J11238" s="3">
        <v>1810.3</v>
      </c>
      <c r="L11238">
        <v>1120</v>
      </c>
      <c r="M11238" t="s">
        <v>23227</v>
      </c>
      <c r="N11238" t="s">
        <v>30</v>
      </c>
      <c r="O11238" t="s">
        <v>31</v>
      </c>
      <c r="P11238" t="str">
        <f>"15210"</f>
        <v>15210</v>
      </c>
    </row>
    <row r="11239" spans="1:16" x14ac:dyDescent="0.25">
      <c r="A11239" t="str">
        <f>"1170014D00106    00"</f>
        <v>1170014D00106    00</v>
      </c>
      <c r="B11239" t="s">
        <v>24864</v>
      </c>
      <c r="C11239" t="s">
        <v>24865</v>
      </c>
      <c r="D11239" t="s">
        <v>20</v>
      </c>
      <c r="E11239" t="s">
        <v>39</v>
      </c>
      <c r="F11239">
        <v>0</v>
      </c>
      <c r="G11239">
        <v>0</v>
      </c>
      <c r="H11239">
        <v>2</v>
      </c>
      <c r="I11239" s="3">
        <v>2422.64</v>
      </c>
      <c r="J11239" s="3">
        <v>251.13</v>
      </c>
      <c r="L11239">
        <v>32</v>
      </c>
      <c r="M11239" t="s">
        <v>24866</v>
      </c>
      <c r="N11239" t="s">
        <v>30</v>
      </c>
      <c r="O11239" t="s">
        <v>31</v>
      </c>
      <c r="P11239" t="str">
        <f>"15210"</f>
        <v>15210</v>
      </c>
    </row>
    <row r="11240" spans="1:16" x14ac:dyDescent="0.25">
      <c r="A11240" t="str">
        <f>"1170014D00138    00"</f>
        <v>1170014D00138    00</v>
      </c>
      <c r="B11240" t="s">
        <v>24867</v>
      </c>
      <c r="C11240" t="s">
        <v>24868</v>
      </c>
      <c r="D11240" t="s">
        <v>20</v>
      </c>
      <c r="E11240" t="s">
        <v>39</v>
      </c>
      <c r="F11240">
        <v>0</v>
      </c>
      <c r="G11240">
        <v>0</v>
      </c>
      <c r="H11240">
        <v>19</v>
      </c>
      <c r="I11240" s="3">
        <v>8053.96</v>
      </c>
      <c r="J11240" s="3">
        <v>6492.73</v>
      </c>
      <c r="L11240">
        <v>116</v>
      </c>
      <c r="M11240" t="s">
        <v>24869</v>
      </c>
      <c r="N11240" t="s">
        <v>30</v>
      </c>
      <c r="O11240" t="s">
        <v>31</v>
      </c>
      <c r="P11240" t="str">
        <f>"15219"</f>
        <v>15219</v>
      </c>
    </row>
    <row r="11241" spans="1:16" x14ac:dyDescent="0.25">
      <c r="A11241" t="str">
        <f>"1170014D00141    00"</f>
        <v>1170014D00141    00</v>
      </c>
      <c r="B11241" t="s">
        <v>22997</v>
      </c>
      <c r="C11241" t="s">
        <v>24870</v>
      </c>
      <c r="D11241" t="s">
        <v>20</v>
      </c>
      <c r="E11241" t="s">
        <v>39</v>
      </c>
      <c r="F11241">
        <v>0</v>
      </c>
      <c r="G11241">
        <v>0</v>
      </c>
      <c r="H11241">
        <v>12</v>
      </c>
      <c r="I11241" s="3">
        <v>197.67</v>
      </c>
      <c r="J11241" s="3">
        <v>104.5</v>
      </c>
      <c r="L11241">
        <v>75</v>
      </c>
      <c r="M11241" t="s">
        <v>24871</v>
      </c>
      <c r="N11241" t="s">
        <v>30</v>
      </c>
      <c r="O11241" t="s">
        <v>31</v>
      </c>
      <c r="P11241" t="str">
        <f>"15210"</f>
        <v>15210</v>
      </c>
    </row>
    <row r="11242" spans="1:16" x14ac:dyDescent="0.25">
      <c r="A11242" t="str">
        <f>"1170014D00149    00"</f>
        <v>1170014D00149    00</v>
      </c>
      <c r="B11242" t="s">
        <v>24872</v>
      </c>
      <c r="C11242" t="s">
        <v>24873</v>
      </c>
      <c r="D11242" t="s">
        <v>20</v>
      </c>
      <c r="E11242" t="s">
        <v>39</v>
      </c>
      <c r="F11242">
        <v>0</v>
      </c>
      <c r="G11242">
        <v>0</v>
      </c>
      <c r="H11242">
        <v>4</v>
      </c>
      <c r="I11242" s="3">
        <v>3610.78</v>
      </c>
      <c r="J11242" s="3">
        <v>248.01</v>
      </c>
      <c r="L11242">
        <v>11</v>
      </c>
      <c r="M11242" t="s">
        <v>24874</v>
      </c>
      <c r="N11242" t="s">
        <v>30</v>
      </c>
      <c r="O11242" t="s">
        <v>31</v>
      </c>
      <c r="P11242" t="str">
        <f>"15203"</f>
        <v>15203</v>
      </c>
    </row>
    <row r="11243" spans="1:16" x14ac:dyDescent="0.25">
      <c r="A11243" t="str">
        <f>"1170014D00156    00"</f>
        <v>1170014D00156    00</v>
      </c>
      <c r="B11243" t="s">
        <v>24875</v>
      </c>
      <c r="C11243" t="s">
        <v>24870</v>
      </c>
      <c r="D11243" t="s">
        <v>20</v>
      </c>
      <c r="E11243" t="s">
        <v>39</v>
      </c>
      <c r="F11243">
        <v>0</v>
      </c>
      <c r="G11243">
        <v>0</v>
      </c>
      <c r="H11243">
        <v>11</v>
      </c>
      <c r="I11243" s="3">
        <v>394.05</v>
      </c>
      <c r="J11243" s="3">
        <v>427.82</v>
      </c>
      <c r="L11243">
        <v>2665</v>
      </c>
      <c r="M11243" t="s">
        <v>24535</v>
      </c>
      <c r="N11243" t="s">
        <v>30</v>
      </c>
      <c r="O11243" t="s">
        <v>31</v>
      </c>
      <c r="P11243" t="str">
        <f>"15210"</f>
        <v>15210</v>
      </c>
    </row>
    <row r="11244" spans="1:16" x14ac:dyDescent="0.25">
      <c r="A11244" t="str">
        <f>"1170014D00162    00"</f>
        <v>1170014D00162    00</v>
      </c>
      <c r="B11244" t="s">
        <v>2718</v>
      </c>
      <c r="C11244" t="s">
        <v>24876</v>
      </c>
      <c r="E11244" t="s">
        <v>39</v>
      </c>
      <c r="F11244">
        <v>0</v>
      </c>
      <c r="G11244">
        <v>0</v>
      </c>
      <c r="H11244">
        <v>1</v>
      </c>
      <c r="I11244" s="3">
        <v>793.35</v>
      </c>
      <c r="J11244" s="3">
        <v>0</v>
      </c>
      <c r="K11244" t="s">
        <v>6314</v>
      </c>
      <c r="L11244">
        <v>5915</v>
      </c>
      <c r="M11244" t="s">
        <v>2720</v>
      </c>
      <c r="N11244" t="s">
        <v>30</v>
      </c>
      <c r="O11244" t="s">
        <v>31</v>
      </c>
      <c r="P11244" t="str">
        <f>"15206"</f>
        <v>15206</v>
      </c>
    </row>
    <row r="11245" spans="1:16" x14ac:dyDescent="0.25">
      <c r="A11245" t="str">
        <f>"1170014D00227    00"</f>
        <v>1170014D00227    00</v>
      </c>
      <c r="B11245" t="s">
        <v>24877</v>
      </c>
      <c r="C11245" t="s">
        <v>24878</v>
      </c>
      <c r="D11245" t="s">
        <v>20</v>
      </c>
      <c r="E11245" t="s">
        <v>39</v>
      </c>
      <c r="F11245">
        <v>0</v>
      </c>
      <c r="G11245">
        <v>0</v>
      </c>
      <c r="H11245">
        <v>7</v>
      </c>
      <c r="I11245" s="3">
        <v>4658.1099999999997</v>
      </c>
      <c r="J11245" s="3">
        <v>1535.27</v>
      </c>
      <c r="L11245">
        <v>6</v>
      </c>
      <c r="M11245" t="s">
        <v>24760</v>
      </c>
      <c r="N11245" t="s">
        <v>30</v>
      </c>
      <c r="O11245" t="s">
        <v>31</v>
      </c>
      <c r="P11245" t="str">
        <f>"15203"</f>
        <v>15203</v>
      </c>
    </row>
    <row r="11246" spans="1:16" x14ac:dyDescent="0.25">
      <c r="A11246" t="str">
        <f>"1170014D00236    00"</f>
        <v>1170014D00236    00</v>
      </c>
      <c r="B11246" t="s">
        <v>24879</v>
      </c>
      <c r="C11246" t="s">
        <v>24880</v>
      </c>
      <c r="D11246" t="s">
        <v>20</v>
      </c>
      <c r="E11246" t="s">
        <v>21</v>
      </c>
      <c r="F11246">
        <v>0</v>
      </c>
      <c r="G11246">
        <v>0</v>
      </c>
      <c r="H11246">
        <v>2</v>
      </c>
      <c r="I11246" s="3">
        <v>2145.7399999999998</v>
      </c>
      <c r="J11246" s="3">
        <v>16.45</v>
      </c>
      <c r="L11246">
        <v>838</v>
      </c>
      <c r="M11246" t="s">
        <v>24881</v>
      </c>
      <c r="N11246" t="s">
        <v>903</v>
      </c>
      <c r="O11246" t="s">
        <v>31</v>
      </c>
      <c r="P11246" t="str">
        <f>"15136"</f>
        <v>15136</v>
      </c>
    </row>
    <row r="11247" spans="1:16" x14ac:dyDescent="0.25">
      <c r="A11247" t="str">
        <f>"1170014D00239    00"</f>
        <v>1170014D00239    00</v>
      </c>
      <c r="B11247" t="s">
        <v>24882</v>
      </c>
      <c r="C11247" t="s">
        <v>24883</v>
      </c>
      <c r="D11247" t="s">
        <v>20</v>
      </c>
      <c r="E11247" t="s">
        <v>39</v>
      </c>
      <c r="F11247">
        <v>0</v>
      </c>
      <c r="G11247">
        <v>0</v>
      </c>
      <c r="H11247">
        <v>1</v>
      </c>
      <c r="I11247" s="3">
        <v>1196.99</v>
      </c>
      <c r="J11247" s="3">
        <v>0</v>
      </c>
      <c r="L11247">
        <v>364</v>
      </c>
      <c r="M11247" t="s">
        <v>24884</v>
      </c>
      <c r="N11247" t="s">
        <v>30</v>
      </c>
      <c r="O11247" t="s">
        <v>31</v>
      </c>
      <c r="P11247" t="str">
        <f>"15228"</f>
        <v>15228</v>
      </c>
    </row>
    <row r="11248" spans="1:16" x14ac:dyDescent="0.25">
      <c r="A11248" t="str">
        <f>"1170014D00240    00"</f>
        <v>1170014D00240    00</v>
      </c>
      <c r="B11248" t="s">
        <v>24885</v>
      </c>
      <c r="C11248" t="s">
        <v>24886</v>
      </c>
      <c r="D11248" t="s">
        <v>20</v>
      </c>
      <c r="E11248" t="s">
        <v>39</v>
      </c>
      <c r="F11248">
        <v>0</v>
      </c>
      <c r="G11248">
        <v>0</v>
      </c>
      <c r="H11248">
        <v>11</v>
      </c>
      <c r="I11248" s="3">
        <v>9980.09</v>
      </c>
      <c r="J11248" s="3">
        <v>4860.5</v>
      </c>
      <c r="L11248">
        <v>2424</v>
      </c>
      <c r="M11248" t="s">
        <v>24535</v>
      </c>
      <c r="N11248" t="s">
        <v>30</v>
      </c>
      <c r="O11248" t="s">
        <v>31</v>
      </c>
      <c r="P11248" t="str">
        <f>"15203"</f>
        <v>15203</v>
      </c>
    </row>
    <row r="11249" spans="1:16" x14ac:dyDescent="0.25">
      <c r="A11249" t="str">
        <f>"1170014D00243    00"</f>
        <v>1170014D00243    00</v>
      </c>
      <c r="B11249" t="s">
        <v>24887</v>
      </c>
      <c r="C11249" t="s">
        <v>24888</v>
      </c>
      <c r="D11249" t="s">
        <v>20</v>
      </c>
      <c r="E11249" t="s">
        <v>39</v>
      </c>
      <c r="F11249">
        <v>0</v>
      </c>
      <c r="G11249">
        <v>0</v>
      </c>
      <c r="H11249">
        <v>1</v>
      </c>
      <c r="I11249" s="3">
        <v>1555.29</v>
      </c>
      <c r="J11249" s="3">
        <v>0</v>
      </c>
      <c r="L11249">
        <v>429</v>
      </c>
      <c r="M11249" t="s">
        <v>24889</v>
      </c>
      <c r="N11249" t="s">
        <v>30</v>
      </c>
      <c r="O11249" t="s">
        <v>31</v>
      </c>
      <c r="P11249" t="str">
        <f>"15219"</f>
        <v>15219</v>
      </c>
    </row>
    <row r="11250" spans="1:16" x14ac:dyDescent="0.25">
      <c r="A11250" t="str">
        <f>"1170014D00250    00"</f>
        <v>1170014D00250    00</v>
      </c>
      <c r="B11250" t="s">
        <v>24721</v>
      </c>
      <c r="C11250" t="s">
        <v>24890</v>
      </c>
      <c r="D11250" t="s">
        <v>20</v>
      </c>
      <c r="E11250" t="s">
        <v>39</v>
      </c>
      <c r="F11250">
        <v>0</v>
      </c>
      <c r="G11250">
        <v>0</v>
      </c>
      <c r="H11250">
        <v>1</v>
      </c>
      <c r="I11250" s="3">
        <v>167.73</v>
      </c>
      <c r="J11250" s="3">
        <v>0</v>
      </c>
      <c r="L11250">
        <v>2452</v>
      </c>
      <c r="M11250" t="s">
        <v>24723</v>
      </c>
      <c r="N11250" t="s">
        <v>30</v>
      </c>
      <c r="O11250" t="s">
        <v>31</v>
      </c>
      <c r="P11250" t="str">
        <f>"15226"</f>
        <v>15226</v>
      </c>
    </row>
    <row r="11251" spans="1:16" x14ac:dyDescent="0.25">
      <c r="A11251" t="str">
        <f>"1170014D00267    00"</f>
        <v>1170014D00267    00</v>
      </c>
      <c r="B11251" t="s">
        <v>24891</v>
      </c>
      <c r="C11251" t="s">
        <v>24892</v>
      </c>
      <c r="D11251" t="s">
        <v>20</v>
      </c>
      <c r="E11251" t="s">
        <v>39</v>
      </c>
      <c r="F11251">
        <v>0</v>
      </c>
      <c r="G11251">
        <v>0</v>
      </c>
      <c r="H11251">
        <v>7</v>
      </c>
      <c r="I11251" s="3">
        <v>3250.12</v>
      </c>
      <c r="J11251" s="3">
        <v>910.21</v>
      </c>
      <c r="L11251">
        <v>2665</v>
      </c>
      <c r="M11251" t="s">
        <v>24535</v>
      </c>
      <c r="N11251" t="s">
        <v>30</v>
      </c>
      <c r="O11251" t="s">
        <v>31</v>
      </c>
      <c r="P11251" t="str">
        <f t="shared" ref="P11251:P11256" si="127">"15210"</f>
        <v>15210</v>
      </c>
    </row>
    <row r="11252" spans="1:16" x14ac:dyDescent="0.25">
      <c r="A11252" t="str">
        <f>"1170014D00268    00"</f>
        <v>1170014D00268    00</v>
      </c>
      <c r="B11252" t="s">
        <v>24893</v>
      </c>
      <c r="C11252" t="s">
        <v>24709</v>
      </c>
      <c r="D11252" t="s">
        <v>20</v>
      </c>
      <c r="E11252" t="s">
        <v>39</v>
      </c>
      <c r="F11252">
        <v>0</v>
      </c>
      <c r="G11252">
        <v>0</v>
      </c>
      <c r="H11252">
        <v>19</v>
      </c>
      <c r="I11252" s="3">
        <v>14356.77</v>
      </c>
      <c r="J11252" s="3">
        <v>16184.93</v>
      </c>
      <c r="L11252">
        <v>719</v>
      </c>
      <c r="M11252" t="s">
        <v>24894</v>
      </c>
      <c r="N11252" t="s">
        <v>30</v>
      </c>
      <c r="O11252" t="s">
        <v>31</v>
      </c>
      <c r="P11252" t="str">
        <f t="shared" si="127"/>
        <v>15210</v>
      </c>
    </row>
    <row r="11253" spans="1:16" x14ac:dyDescent="0.25">
      <c r="A11253" t="str">
        <f>"1170014D00270    00"</f>
        <v>1170014D00270    00</v>
      </c>
      <c r="B11253" t="s">
        <v>24895</v>
      </c>
      <c r="C11253" t="s">
        <v>24890</v>
      </c>
      <c r="D11253" t="s">
        <v>20</v>
      </c>
      <c r="E11253" t="s">
        <v>39</v>
      </c>
      <c r="F11253">
        <v>0</v>
      </c>
      <c r="G11253">
        <v>0</v>
      </c>
      <c r="H11253">
        <v>19</v>
      </c>
      <c r="I11253" s="3">
        <v>452.36</v>
      </c>
      <c r="J11253" s="3">
        <v>531.57000000000005</v>
      </c>
      <c r="L11253">
        <v>719</v>
      </c>
      <c r="M11253" t="s">
        <v>24894</v>
      </c>
      <c r="N11253" t="s">
        <v>30</v>
      </c>
      <c r="O11253" t="s">
        <v>31</v>
      </c>
      <c r="P11253" t="str">
        <f t="shared" si="127"/>
        <v>15210</v>
      </c>
    </row>
    <row r="11254" spans="1:16" x14ac:dyDescent="0.25">
      <c r="A11254" t="str">
        <f>"1170014D00273    00"</f>
        <v>1170014D00273    00</v>
      </c>
      <c r="B11254" t="s">
        <v>24896</v>
      </c>
      <c r="C11254" t="s">
        <v>24890</v>
      </c>
      <c r="D11254" t="s">
        <v>20</v>
      </c>
      <c r="E11254" t="s">
        <v>39</v>
      </c>
      <c r="F11254">
        <v>0</v>
      </c>
      <c r="G11254">
        <v>0</v>
      </c>
      <c r="H11254">
        <v>19</v>
      </c>
      <c r="I11254" s="3">
        <v>2691.04</v>
      </c>
      <c r="J11254" s="3">
        <v>3334.22</v>
      </c>
      <c r="L11254">
        <v>719</v>
      </c>
      <c r="M11254" t="s">
        <v>24894</v>
      </c>
      <c r="N11254" t="s">
        <v>30</v>
      </c>
      <c r="O11254" t="s">
        <v>31</v>
      </c>
      <c r="P11254" t="str">
        <f t="shared" si="127"/>
        <v>15210</v>
      </c>
    </row>
    <row r="11255" spans="1:16" x14ac:dyDescent="0.25">
      <c r="A11255" t="str">
        <f>"1170014D00277    00"</f>
        <v>1170014D00277    00</v>
      </c>
      <c r="B11255" t="s">
        <v>24897</v>
      </c>
      <c r="C11255" t="s">
        <v>24898</v>
      </c>
      <c r="D11255" t="s">
        <v>20</v>
      </c>
      <c r="E11255" t="s">
        <v>39</v>
      </c>
      <c r="F11255">
        <v>0</v>
      </c>
      <c r="G11255">
        <v>0</v>
      </c>
      <c r="H11255">
        <v>3</v>
      </c>
      <c r="I11255" s="3">
        <v>1758.36</v>
      </c>
      <c r="J11255" s="3">
        <v>158.13</v>
      </c>
      <c r="K11255" t="s">
        <v>24899</v>
      </c>
      <c r="L11255">
        <v>2513</v>
      </c>
      <c r="M11255" t="s">
        <v>24535</v>
      </c>
      <c r="N11255" t="s">
        <v>30</v>
      </c>
      <c r="O11255" t="s">
        <v>31</v>
      </c>
      <c r="P11255" t="str">
        <f t="shared" si="127"/>
        <v>15210</v>
      </c>
    </row>
    <row r="11256" spans="1:16" x14ac:dyDescent="0.25">
      <c r="A11256" t="str">
        <f>"1170014G00298    00"</f>
        <v>1170014G00298    00</v>
      </c>
      <c r="B11256" t="s">
        <v>24900</v>
      </c>
      <c r="C11256" t="s">
        <v>24901</v>
      </c>
      <c r="D11256" t="s">
        <v>20</v>
      </c>
      <c r="E11256" t="s">
        <v>39</v>
      </c>
      <c r="F11256">
        <v>0</v>
      </c>
      <c r="G11256">
        <v>0</v>
      </c>
      <c r="H11256">
        <v>4</v>
      </c>
      <c r="I11256" s="3">
        <v>9407.99</v>
      </c>
      <c r="J11256" s="3">
        <v>1221.53</v>
      </c>
      <c r="L11256">
        <v>20</v>
      </c>
      <c r="M11256" t="s">
        <v>22999</v>
      </c>
      <c r="N11256" t="s">
        <v>30</v>
      </c>
      <c r="O11256" t="s">
        <v>31</v>
      </c>
      <c r="P11256" t="str">
        <f t="shared" si="127"/>
        <v>15210</v>
      </c>
    </row>
    <row r="11257" spans="1:16" x14ac:dyDescent="0.25">
      <c r="A11257" t="str">
        <f>"1170014G00302    00"</f>
        <v>1170014G00302    00</v>
      </c>
      <c r="B11257" t="s">
        <v>24902</v>
      </c>
      <c r="C11257" t="s">
        <v>24903</v>
      </c>
      <c r="D11257" t="s">
        <v>20</v>
      </c>
      <c r="E11257" t="s">
        <v>39</v>
      </c>
      <c r="F11257">
        <v>0</v>
      </c>
      <c r="G11257">
        <v>0</v>
      </c>
      <c r="H11257">
        <v>19</v>
      </c>
      <c r="I11257" s="3">
        <v>9000.34</v>
      </c>
      <c r="J11257" s="3">
        <v>6518.99</v>
      </c>
      <c r="K11257" t="s">
        <v>1008</v>
      </c>
      <c r="P11257" t="str">
        <f>""</f>
        <v/>
      </c>
    </row>
    <row r="11258" spans="1:16" x14ac:dyDescent="0.25">
      <c r="A11258" t="str">
        <f>"1170014G00324    00"</f>
        <v>1170014G00324    00</v>
      </c>
      <c r="B11258" t="s">
        <v>24904</v>
      </c>
      <c r="C11258" t="s">
        <v>24905</v>
      </c>
      <c r="D11258" t="s">
        <v>20</v>
      </c>
      <c r="E11258" t="s">
        <v>39</v>
      </c>
      <c r="F11258">
        <v>0</v>
      </c>
      <c r="G11258">
        <v>0</v>
      </c>
      <c r="H11258">
        <v>1</v>
      </c>
      <c r="I11258" s="3">
        <v>1303.7</v>
      </c>
      <c r="J11258" s="3">
        <v>0</v>
      </c>
      <c r="K11258" t="s">
        <v>24906</v>
      </c>
      <c r="L11258">
        <v>90</v>
      </c>
      <c r="M11258" t="s">
        <v>24907</v>
      </c>
      <c r="N11258" t="s">
        <v>6718</v>
      </c>
      <c r="O11258" t="s">
        <v>692</v>
      </c>
      <c r="P11258" t="str">
        <f>"22556"</f>
        <v>22556</v>
      </c>
    </row>
    <row r="11259" spans="1:16" x14ac:dyDescent="0.25">
      <c r="A11259" t="str">
        <f>"1170014G00325    00"</f>
        <v>1170014G00325    00</v>
      </c>
      <c r="B11259" t="s">
        <v>24908</v>
      </c>
      <c r="C11259" t="s">
        <v>24909</v>
      </c>
      <c r="E11259" t="s">
        <v>39</v>
      </c>
      <c r="F11259">
        <v>0</v>
      </c>
      <c r="G11259">
        <v>0</v>
      </c>
      <c r="H11259">
        <v>2</v>
      </c>
      <c r="I11259" s="3">
        <v>357.39</v>
      </c>
      <c r="J11259" s="3">
        <v>363.33</v>
      </c>
      <c r="L11259">
        <v>97</v>
      </c>
      <c r="M11259" t="s">
        <v>24910</v>
      </c>
      <c r="N11259" t="s">
        <v>30</v>
      </c>
      <c r="O11259" t="s">
        <v>31</v>
      </c>
      <c r="P11259" t="str">
        <f>"15203"</f>
        <v>15203</v>
      </c>
    </row>
    <row r="11260" spans="1:16" x14ac:dyDescent="0.25">
      <c r="A11260" t="str">
        <f>"1170014G00326    00"</f>
        <v>1170014G00326    00</v>
      </c>
      <c r="B11260" t="s">
        <v>24911</v>
      </c>
      <c r="C11260" t="s">
        <v>24912</v>
      </c>
      <c r="D11260" t="s">
        <v>20</v>
      </c>
      <c r="E11260" t="s">
        <v>39</v>
      </c>
      <c r="F11260">
        <v>0</v>
      </c>
      <c r="G11260">
        <v>0</v>
      </c>
      <c r="H11260">
        <v>1</v>
      </c>
      <c r="I11260" s="3">
        <v>594.66999999999996</v>
      </c>
      <c r="J11260" s="3">
        <v>0</v>
      </c>
      <c r="L11260">
        <v>3305</v>
      </c>
      <c r="M11260" t="s">
        <v>902</v>
      </c>
      <c r="N11260" t="s">
        <v>30</v>
      </c>
      <c r="O11260" t="s">
        <v>31</v>
      </c>
      <c r="P11260" t="str">
        <f>"15238"</f>
        <v>15238</v>
      </c>
    </row>
    <row r="11261" spans="1:16" x14ac:dyDescent="0.25">
      <c r="A11261" t="str">
        <f>"1170014G00332    00"</f>
        <v>1170014G00332    00</v>
      </c>
      <c r="B11261" t="s">
        <v>24913</v>
      </c>
      <c r="C11261" t="s">
        <v>24914</v>
      </c>
      <c r="D11261" t="s">
        <v>20</v>
      </c>
      <c r="E11261" t="s">
        <v>39</v>
      </c>
      <c r="F11261">
        <v>0</v>
      </c>
      <c r="G11261">
        <v>0</v>
      </c>
      <c r="H11261">
        <v>4</v>
      </c>
      <c r="I11261" s="3">
        <v>2167.04</v>
      </c>
      <c r="J11261" s="3">
        <v>949.27</v>
      </c>
      <c r="L11261">
        <v>115</v>
      </c>
      <c r="M11261" t="s">
        <v>23352</v>
      </c>
      <c r="N11261" t="s">
        <v>30</v>
      </c>
      <c r="O11261" t="s">
        <v>31</v>
      </c>
      <c r="P11261" t="str">
        <f>"15210"</f>
        <v>15210</v>
      </c>
    </row>
    <row r="11262" spans="1:16" x14ac:dyDescent="0.25">
      <c r="A11262" t="str">
        <f>"1170014G00334    00"</f>
        <v>1170014G00334    00</v>
      </c>
      <c r="B11262" t="s">
        <v>24915</v>
      </c>
      <c r="C11262" t="s">
        <v>24916</v>
      </c>
      <c r="D11262" t="s">
        <v>20</v>
      </c>
      <c r="E11262" t="s">
        <v>39</v>
      </c>
      <c r="F11262">
        <v>0</v>
      </c>
      <c r="G11262">
        <v>0</v>
      </c>
      <c r="H11262">
        <v>3</v>
      </c>
      <c r="I11262" s="3">
        <v>3773.94</v>
      </c>
      <c r="J11262" s="3">
        <v>251.59</v>
      </c>
      <c r="K11262" t="s">
        <v>24917</v>
      </c>
      <c r="L11262">
        <v>685</v>
      </c>
      <c r="M11262" t="s">
        <v>24918</v>
      </c>
      <c r="N11262" t="s">
        <v>30</v>
      </c>
      <c r="O11262" t="s">
        <v>31</v>
      </c>
      <c r="P11262" t="str">
        <f>"15202"</f>
        <v>15202</v>
      </c>
    </row>
    <row r="11263" spans="1:16" x14ac:dyDescent="0.25">
      <c r="A11263" t="str">
        <f>"1170014G00336    00"</f>
        <v>1170014G00336    00</v>
      </c>
      <c r="B11263" t="s">
        <v>24919</v>
      </c>
      <c r="C11263" t="s">
        <v>24920</v>
      </c>
      <c r="E11263" t="s">
        <v>39</v>
      </c>
      <c r="F11263">
        <v>0</v>
      </c>
      <c r="G11263">
        <v>0</v>
      </c>
      <c r="H11263">
        <v>1</v>
      </c>
      <c r="I11263" s="3">
        <v>697.3</v>
      </c>
      <c r="J11263" s="3">
        <v>761.19</v>
      </c>
      <c r="L11263">
        <v>48</v>
      </c>
      <c r="M11263" t="s">
        <v>24921</v>
      </c>
      <c r="N11263" t="s">
        <v>30</v>
      </c>
      <c r="O11263" t="s">
        <v>31</v>
      </c>
      <c r="P11263" t="str">
        <f>"15210"</f>
        <v>15210</v>
      </c>
    </row>
    <row r="11264" spans="1:16" x14ac:dyDescent="0.25">
      <c r="A11264" t="str">
        <f>"1170014G00342    00"</f>
        <v>1170014G00342    00</v>
      </c>
      <c r="B11264" t="s">
        <v>24922</v>
      </c>
      <c r="C11264" t="s">
        <v>24923</v>
      </c>
      <c r="D11264" t="s">
        <v>20</v>
      </c>
      <c r="E11264" t="s">
        <v>39</v>
      </c>
      <c r="F11264">
        <v>0</v>
      </c>
      <c r="G11264">
        <v>0</v>
      </c>
      <c r="H11264">
        <v>10</v>
      </c>
      <c r="I11264" s="3">
        <v>4753.28</v>
      </c>
      <c r="J11264" s="3">
        <v>2035.26</v>
      </c>
      <c r="K11264" t="s">
        <v>24924</v>
      </c>
      <c r="L11264">
        <v>2158</v>
      </c>
      <c r="M11264" t="s">
        <v>24925</v>
      </c>
      <c r="N11264" t="s">
        <v>24926</v>
      </c>
      <c r="O11264" t="s">
        <v>31</v>
      </c>
      <c r="P11264" t="str">
        <f>"15637"</f>
        <v>15637</v>
      </c>
    </row>
    <row r="11265" spans="1:16" x14ac:dyDescent="0.25">
      <c r="A11265" t="str">
        <f>"1170014G00363    00"</f>
        <v>1170014G00363    00</v>
      </c>
      <c r="B11265" t="s">
        <v>24927</v>
      </c>
      <c r="C11265" t="s">
        <v>24928</v>
      </c>
      <c r="E11265" t="s">
        <v>39</v>
      </c>
      <c r="F11265">
        <v>0</v>
      </c>
      <c r="G11265">
        <v>0</v>
      </c>
      <c r="H11265">
        <v>1</v>
      </c>
      <c r="I11265" s="3">
        <v>328.78</v>
      </c>
      <c r="J11265" s="3">
        <v>436.15</v>
      </c>
      <c r="K11265" t="s">
        <v>24929</v>
      </c>
      <c r="L11265">
        <v>517</v>
      </c>
      <c r="M11265" t="s">
        <v>24930</v>
      </c>
      <c r="N11265" t="s">
        <v>6298</v>
      </c>
      <c r="O11265" t="s">
        <v>31</v>
      </c>
      <c r="P11265" t="str">
        <f>"15012"</f>
        <v>15012</v>
      </c>
    </row>
    <row r="11266" spans="1:16" x14ac:dyDescent="0.25">
      <c r="A11266" t="str">
        <f>"1170014G00365    01"</f>
        <v>1170014G00365    01</v>
      </c>
      <c r="B11266" t="s">
        <v>24931</v>
      </c>
      <c r="C11266" t="s">
        <v>24709</v>
      </c>
      <c r="D11266" t="s">
        <v>20</v>
      </c>
      <c r="E11266" t="s">
        <v>21</v>
      </c>
      <c r="F11266">
        <v>0</v>
      </c>
      <c r="G11266">
        <v>0</v>
      </c>
      <c r="H11266">
        <v>1</v>
      </c>
      <c r="I11266" s="3">
        <v>49.56</v>
      </c>
      <c r="J11266" s="3">
        <v>0</v>
      </c>
      <c r="K11266" t="s">
        <v>24932</v>
      </c>
      <c r="L11266">
        <v>426</v>
      </c>
      <c r="M11266" t="s">
        <v>24933</v>
      </c>
      <c r="N11266" t="s">
        <v>30</v>
      </c>
      <c r="O11266" t="s">
        <v>31</v>
      </c>
      <c r="P11266" t="str">
        <f>"15210"</f>
        <v>15210</v>
      </c>
    </row>
    <row r="11267" spans="1:16" x14ac:dyDescent="0.25">
      <c r="A11267" t="str">
        <f>"1170014G00366    00"</f>
        <v>1170014G00366    00</v>
      </c>
      <c r="B11267" t="s">
        <v>24931</v>
      </c>
      <c r="C11267" t="s">
        <v>24709</v>
      </c>
      <c r="D11267" t="s">
        <v>20</v>
      </c>
      <c r="E11267" t="s">
        <v>21</v>
      </c>
      <c r="F11267">
        <v>0</v>
      </c>
      <c r="G11267">
        <v>0</v>
      </c>
      <c r="H11267">
        <v>1</v>
      </c>
      <c r="I11267" s="3">
        <v>266.83999999999997</v>
      </c>
      <c r="J11267" s="3">
        <v>0</v>
      </c>
      <c r="K11267" t="s">
        <v>24932</v>
      </c>
      <c r="L11267">
        <v>426</v>
      </c>
      <c r="M11267" t="s">
        <v>24933</v>
      </c>
      <c r="N11267" t="s">
        <v>30</v>
      </c>
      <c r="O11267" t="s">
        <v>31</v>
      </c>
      <c r="P11267" t="str">
        <f>"15210"</f>
        <v>15210</v>
      </c>
    </row>
    <row r="11268" spans="1:16" x14ac:dyDescent="0.25">
      <c r="A11268" t="str">
        <f>"1170014H00040    00"</f>
        <v>1170014H00040    00</v>
      </c>
      <c r="B11268" t="s">
        <v>24934</v>
      </c>
      <c r="C11268" t="s">
        <v>24935</v>
      </c>
      <c r="D11268" t="s">
        <v>20</v>
      </c>
      <c r="E11268" t="s">
        <v>21</v>
      </c>
      <c r="F11268">
        <v>0</v>
      </c>
      <c r="G11268">
        <v>0</v>
      </c>
      <c r="H11268">
        <v>3</v>
      </c>
      <c r="I11268" s="3">
        <v>2149.15</v>
      </c>
      <c r="J11268" s="3">
        <v>416.73</v>
      </c>
      <c r="L11268">
        <v>149</v>
      </c>
      <c r="M11268" t="s">
        <v>24936</v>
      </c>
      <c r="N11268" t="s">
        <v>30</v>
      </c>
      <c r="O11268" t="s">
        <v>31</v>
      </c>
      <c r="P11268" t="str">
        <f>"15227"</f>
        <v>15227</v>
      </c>
    </row>
    <row r="11269" spans="1:16" x14ac:dyDescent="0.25">
      <c r="A11269" t="str">
        <f>"1170014H00045    00"</f>
        <v>1170014H00045    00</v>
      </c>
      <c r="B11269" t="s">
        <v>24891</v>
      </c>
      <c r="C11269" t="s">
        <v>24937</v>
      </c>
      <c r="D11269" t="s">
        <v>20</v>
      </c>
      <c r="E11269" t="s">
        <v>39</v>
      </c>
      <c r="F11269">
        <v>0</v>
      </c>
      <c r="G11269">
        <v>0</v>
      </c>
      <c r="H11269">
        <v>7</v>
      </c>
      <c r="I11269" s="3">
        <v>5783.66</v>
      </c>
      <c r="J11269" s="3">
        <v>1413.46</v>
      </c>
      <c r="L11269">
        <v>2665</v>
      </c>
      <c r="M11269" t="s">
        <v>24535</v>
      </c>
      <c r="N11269" t="s">
        <v>30</v>
      </c>
      <c r="O11269" t="s">
        <v>31</v>
      </c>
      <c r="P11269" t="str">
        <f>"15210"</f>
        <v>15210</v>
      </c>
    </row>
    <row r="11270" spans="1:16" x14ac:dyDescent="0.25">
      <c r="A11270" t="str">
        <f>"1170014H00051    00"</f>
        <v>1170014H00051    00</v>
      </c>
      <c r="B11270" t="s">
        <v>24938</v>
      </c>
      <c r="C11270" t="s">
        <v>24939</v>
      </c>
      <c r="D11270" t="s">
        <v>20</v>
      </c>
      <c r="E11270" t="s">
        <v>39</v>
      </c>
      <c r="F11270">
        <v>0</v>
      </c>
      <c r="G11270">
        <v>0</v>
      </c>
      <c r="H11270">
        <v>17</v>
      </c>
      <c r="I11270" s="3">
        <v>25122.84</v>
      </c>
      <c r="J11270" s="3">
        <v>20065.41</v>
      </c>
      <c r="L11270">
        <v>838</v>
      </c>
      <c r="M11270" t="s">
        <v>24940</v>
      </c>
      <c r="N11270" t="s">
        <v>30</v>
      </c>
      <c r="O11270" t="s">
        <v>31</v>
      </c>
      <c r="P11270" t="str">
        <f>"15220"</f>
        <v>15220</v>
      </c>
    </row>
    <row r="11271" spans="1:16" x14ac:dyDescent="0.25">
      <c r="A11271" t="str">
        <f>"1170014H00065    00"</f>
        <v>1170014H00065    00</v>
      </c>
      <c r="B11271" t="s">
        <v>24941</v>
      </c>
      <c r="C11271" t="s">
        <v>24942</v>
      </c>
      <c r="D11271" t="s">
        <v>20</v>
      </c>
      <c r="E11271" t="s">
        <v>39</v>
      </c>
      <c r="F11271">
        <v>0</v>
      </c>
      <c r="G11271">
        <v>0</v>
      </c>
      <c r="H11271">
        <v>7</v>
      </c>
      <c r="I11271" s="3">
        <v>11310</v>
      </c>
      <c r="J11271" s="3">
        <v>2690.23</v>
      </c>
      <c r="L11271">
        <v>43</v>
      </c>
      <c r="M11271" t="s">
        <v>24943</v>
      </c>
      <c r="N11271" t="s">
        <v>903</v>
      </c>
      <c r="O11271" t="s">
        <v>31</v>
      </c>
      <c r="P11271" t="str">
        <f>"15136"</f>
        <v>15136</v>
      </c>
    </row>
    <row r="11272" spans="1:16" x14ac:dyDescent="0.25">
      <c r="A11272" t="str">
        <f>"1170014H00084    00"</f>
        <v>1170014H00084    00</v>
      </c>
      <c r="B11272" t="s">
        <v>24944</v>
      </c>
      <c r="C11272" t="s">
        <v>24709</v>
      </c>
      <c r="D11272" t="s">
        <v>20</v>
      </c>
      <c r="E11272" t="s">
        <v>39</v>
      </c>
      <c r="F11272">
        <v>0</v>
      </c>
      <c r="G11272">
        <v>0</v>
      </c>
      <c r="H11272">
        <v>11</v>
      </c>
      <c r="I11272" s="3">
        <v>3439.19</v>
      </c>
      <c r="J11272" s="3">
        <v>2145.2399999999998</v>
      </c>
      <c r="L11272">
        <v>2607</v>
      </c>
      <c r="M11272" t="s">
        <v>24535</v>
      </c>
      <c r="N11272" t="s">
        <v>30</v>
      </c>
      <c r="O11272" t="s">
        <v>31</v>
      </c>
      <c r="P11272" t="str">
        <f>"15210"</f>
        <v>15210</v>
      </c>
    </row>
    <row r="11273" spans="1:16" x14ac:dyDescent="0.25">
      <c r="A11273" t="str">
        <f>"1170014H00108    00"</f>
        <v>1170014H00108    00</v>
      </c>
      <c r="B11273" t="s">
        <v>24945</v>
      </c>
      <c r="C11273" t="s">
        <v>24946</v>
      </c>
      <c r="E11273" t="s">
        <v>39</v>
      </c>
      <c r="F11273">
        <v>0</v>
      </c>
      <c r="G11273">
        <v>0</v>
      </c>
      <c r="H11273">
        <v>1</v>
      </c>
      <c r="I11273" s="3">
        <v>1287.3399999999999</v>
      </c>
      <c r="J11273" s="3">
        <v>236</v>
      </c>
      <c r="K11273" t="s">
        <v>24947</v>
      </c>
      <c r="M11273" t="s">
        <v>24948</v>
      </c>
      <c r="N11273" t="s">
        <v>30</v>
      </c>
      <c r="O11273" t="s">
        <v>31</v>
      </c>
      <c r="P11273" t="str">
        <f>"15210"</f>
        <v>15210</v>
      </c>
    </row>
    <row r="11274" spans="1:16" x14ac:dyDescent="0.25">
      <c r="A11274" t="str">
        <f>"1170014H00110    00"</f>
        <v>1170014H00110    00</v>
      </c>
      <c r="B11274" t="s">
        <v>24949</v>
      </c>
      <c r="C11274" t="s">
        <v>24950</v>
      </c>
      <c r="D11274" t="s">
        <v>20</v>
      </c>
      <c r="E11274" t="s">
        <v>39</v>
      </c>
      <c r="F11274">
        <v>0</v>
      </c>
      <c r="G11274">
        <v>0</v>
      </c>
      <c r="H11274">
        <v>1</v>
      </c>
      <c r="I11274" s="3">
        <v>326.86</v>
      </c>
      <c r="J11274" s="3">
        <v>0</v>
      </c>
      <c r="K11274" t="s">
        <v>24951</v>
      </c>
      <c r="L11274">
        <v>2604</v>
      </c>
      <c r="M11274" t="s">
        <v>24952</v>
      </c>
      <c r="N11274" t="s">
        <v>30</v>
      </c>
      <c r="O11274" t="s">
        <v>31</v>
      </c>
      <c r="P11274" t="str">
        <f>"15210"</f>
        <v>15210</v>
      </c>
    </row>
    <row r="11275" spans="1:16" x14ac:dyDescent="0.25">
      <c r="A11275" t="str">
        <f>"1170014H00114    00"</f>
        <v>1170014H00114    00</v>
      </c>
      <c r="B11275" t="s">
        <v>24953</v>
      </c>
      <c r="C11275" t="s">
        <v>24890</v>
      </c>
      <c r="E11275" t="s">
        <v>39</v>
      </c>
      <c r="F11275">
        <v>0</v>
      </c>
      <c r="G11275">
        <v>0</v>
      </c>
      <c r="H11275">
        <v>1</v>
      </c>
      <c r="I11275" s="3">
        <v>43.85</v>
      </c>
      <c r="J11275" s="3">
        <v>8.7799999999999994</v>
      </c>
      <c r="K11275" t="s">
        <v>4893</v>
      </c>
      <c r="L11275">
        <v>3001</v>
      </c>
      <c r="M11275" t="s">
        <v>330</v>
      </c>
      <c r="N11275" t="s">
        <v>331</v>
      </c>
      <c r="O11275" t="s">
        <v>108</v>
      </c>
      <c r="P11275" t="str">
        <f>"75063"</f>
        <v>75063</v>
      </c>
    </row>
    <row r="11276" spans="1:16" x14ac:dyDescent="0.25">
      <c r="A11276" t="str">
        <f>"1170014H00224    00"</f>
        <v>1170014H00224    00</v>
      </c>
      <c r="B11276" t="s">
        <v>24954</v>
      </c>
      <c r="C11276" t="s">
        <v>24955</v>
      </c>
      <c r="D11276" t="s">
        <v>20</v>
      </c>
      <c r="E11276" t="s">
        <v>39</v>
      </c>
      <c r="F11276">
        <v>0</v>
      </c>
      <c r="G11276">
        <v>0</v>
      </c>
      <c r="H11276">
        <v>19</v>
      </c>
      <c r="I11276" s="3">
        <v>638.73</v>
      </c>
      <c r="J11276" s="3">
        <v>720.04</v>
      </c>
      <c r="K11276" t="s">
        <v>1037</v>
      </c>
      <c r="L11276">
        <v>2426</v>
      </c>
      <c r="M11276" t="s">
        <v>24956</v>
      </c>
      <c r="N11276" t="s">
        <v>30</v>
      </c>
      <c r="O11276" t="s">
        <v>31</v>
      </c>
      <c r="P11276" t="str">
        <f>"15210"</f>
        <v>15210</v>
      </c>
    </row>
    <row r="11277" spans="1:16" x14ac:dyDescent="0.25">
      <c r="A11277" t="str">
        <f>"1170014H00226    00"</f>
        <v>1170014H00226    00</v>
      </c>
      <c r="B11277" t="s">
        <v>24957</v>
      </c>
      <c r="C11277" t="s">
        <v>24955</v>
      </c>
      <c r="D11277" t="s">
        <v>20</v>
      </c>
      <c r="E11277" t="s">
        <v>39</v>
      </c>
      <c r="F11277">
        <v>0</v>
      </c>
      <c r="G11277">
        <v>0</v>
      </c>
      <c r="H11277">
        <v>19</v>
      </c>
      <c r="I11277" s="3">
        <v>16147.18</v>
      </c>
      <c r="J11277" s="3">
        <v>19221.61</v>
      </c>
      <c r="L11277">
        <v>0</v>
      </c>
      <c r="M11277" t="s">
        <v>24958</v>
      </c>
      <c r="N11277" t="s">
        <v>24959</v>
      </c>
      <c r="O11277" t="s">
        <v>370</v>
      </c>
      <c r="P11277" t="str">
        <f>"33470"</f>
        <v>33470</v>
      </c>
    </row>
    <row r="11278" spans="1:16" x14ac:dyDescent="0.25">
      <c r="A11278" t="str">
        <f>"1170014H00228    00"</f>
        <v>1170014H00228    00</v>
      </c>
      <c r="B11278" t="s">
        <v>24957</v>
      </c>
      <c r="C11278" t="s">
        <v>24890</v>
      </c>
      <c r="D11278" t="s">
        <v>20</v>
      </c>
      <c r="E11278" t="s">
        <v>39</v>
      </c>
      <c r="F11278">
        <v>0</v>
      </c>
      <c r="G11278">
        <v>0</v>
      </c>
      <c r="H11278">
        <v>19</v>
      </c>
      <c r="I11278" s="3">
        <v>4811.5600000000004</v>
      </c>
      <c r="J11278" s="3">
        <v>4335.7299999999996</v>
      </c>
      <c r="L11278">
        <v>0</v>
      </c>
      <c r="M11278" t="s">
        <v>24958</v>
      </c>
      <c r="N11278" t="s">
        <v>24959</v>
      </c>
      <c r="O11278" t="s">
        <v>370</v>
      </c>
      <c r="P11278" t="str">
        <f>"33470"</f>
        <v>33470</v>
      </c>
    </row>
    <row r="11279" spans="1:16" x14ac:dyDescent="0.25">
      <c r="A11279" t="str">
        <f>"1170014H00235    00"</f>
        <v>1170014H00235    00</v>
      </c>
      <c r="B11279" t="s">
        <v>24960</v>
      </c>
      <c r="C11279" t="s">
        <v>24961</v>
      </c>
      <c r="D11279" t="s">
        <v>20</v>
      </c>
      <c r="E11279" t="s">
        <v>39</v>
      </c>
      <c r="F11279">
        <v>0</v>
      </c>
      <c r="G11279">
        <v>0</v>
      </c>
      <c r="H11279">
        <v>7</v>
      </c>
      <c r="I11279" s="3">
        <v>3898.59</v>
      </c>
      <c r="J11279" s="3">
        <v>1126.17</v>
      </c>
      <c r="L11279">
        <v>2624</v>
      </c>
      <c r="M11279" t="s">
        <v>22805</v>
      </c>
      <c r="N11279" t="s">
        <v>30</v>
      </c>
      <c r="O11279" t="s">
        <v>31</v>
      </c>
      <c r="P11279" t="str">
        <f>"15203"</f>
        <v>15203</v>
      </c>
    </row>
    <row r="11280" spans="1:16" x14ac:dyDescent="0.25">
      <c r="A11280" t="str">
        <f>"1170014H00238    00"</f>
        <v>1170014H00238    00</v>
      </c>
      <c r="B11280" t="s">
        <v>24962</v>
      </c>
      <c r="C11280" t="s">
        <v>24722</v>
      </c>
      <c r="D11280" t="s">
        <v>20</v>
      </c>
      <c r="E11280" t="s">
        <v>39</v>
      </c>
      <c r="F11280">
        <v>0</v>
      </c>
      <c r="G11280">
        <v>0</v>
      </c>
      <c r="H11280">
        <v>19</v>
      </c>
      <c r="I11280" s="3">
        <v>501.65</v>
      </c>
      <c r="J11280" s="3">
        <v>602.51</v>
      </c>
      <c r="L11280">
        <v>1612</v>
      </c>
      <c r="M11280" t="s">
        <v>24803</v>
      </c>
      <c r="N11280" t="s">
        <v>30</v>
      </c>
      <c r="O11280" t="s">
        <v>31</v>
      </c>
      <c r="P11280" t="str">
        <f>"15210"</f>
        <v>15210</v>
      </c>
    </row>
    <row r="11281" spans="1:16" x14ac:dyDescent="0.25">
      <c r="A11281" t="str">
        <f>"1170014L00273    00"</f>
        <v>1170014L00273    00</v>
      </c>
      <c r="B11281" t="s">
        <v>24963</v>
      </c>
      <c r="C11281" t="s">
        <v>23201</v>
      </c>
      <c r="D11281" t="s">
        <v>20</v>
      </c>
      <c r="E11281" t="s">
        <v>39</v>
      </c>
      <c r="F11281">
        <v>0</v>
      </c>
      <c r="G11281">
        <v>0</v>
      </c>
      <c r="H11281">
        <v>19</v>
      </c>
      <c r="I11281" s="3">
        <v>548.29999999999995</v>
      </c>
      <c r="J11281" s="3">
        <v>649.78</v>
      </c>
      <c r="L11281">
        <v>2160</v>
      </c>
      <c r="M11281" t="s">
        <v>24964</v>
      </c>
      <c r="N11281" t="s">
        <v>30</v>
      </c>
      <c r="O11281" t="s">
        <v>31</v>
      </c>
      <c r="P11281" t="str">
        <f>"15220"</f>
        <v>15220</v>
      </c>
    </row>
    <row r="11282" spans="1:16" x14ac:dyDescent="0.25">
      <c r="A11282" t="str">
        <f>"1170014L00276    00"</f>
        <v>1170014L00276    00</v>
      </c>
      <c r="B11282" t="s">
        <v>12981</v>
      </c>
      <c r="C11282" t="s">
        <v>23201</v>
      </c>
      <c r="D11282" t="s">
        <v>20</v>
      </c>
      <c r="E11282" t="s">
        <v>39</v>
      </c>
      <c r="F11282">
        <v>0</v>
      </c>
      <c r="G11282">
        <v>0</v>
      </c>
      <c r="H11282">
        <v>17</v>
      </c>
      <c r="I11282" s="3">
        <v>6521.58</v>
      </c>
      <c r="J11282" s="3">
        <v>3658.53</v>
      </c>
      <c r="L11282">
        <v>600</v>
      </c>
      <c r="M11282" t="s">
        <v>7842</v>
      </c>
      <c r="N11282" t="s">
        <v>12982</v>
      </c>
      <c r="O11282" t="s">
        <v>200</v>
      </c>
      <c r="P11282" t="str">
        <f>"11572"</f>
        <v>11572</v>
      </c>
    </row>
    <row r="11283" spans="1:16" x14ac:dyDescent="0.25">
      <c r="A11283" t="str">
        <f>"1170014M00003    00"</f>
        <v>1170014M00003    00</v>
      </c>
      <c r="B11283" t="s">
        <v>24965</v>
      </c>
      <c r="C11283" t="s">
        <v>24966</v>
      </c>
      <c r="D11283" t="s">
        <v>20</v>
      </c>
      <c r="E11283" t="s">
        <v>21</v>
      </c>
      <c r="F11283">
        <v>0</v>
      </c>
      <c r="G11283">
        <v>0</v>
      </c>
      <c r="H11283">
        <v>1</v>
      </c>
      <c r="I11283" s="3">
        <v>381.2</v>
      </c>
      <c r="J11283" s="3">
        <v>0</v>
      </c>
      <c r="K11283" t="s">
        <v>24967</v>
      </c>
      <c r="L11283">
        <v>426</v>
      </c>
      <c r="M11283" t="s">
        <v>24933</v>
      </c>
      <c r="N11283" t="s">
        <v>30</v>
      </c>
      <c r="O11283" t="s">
        <v>31</v>
      </c>
      <c r="P11283" t="str">
        <f>"15210"</f>
        <v>15210</v>
      </c>
    </row>
    <row r="11284" spans="1:16" x14ac:dyDescent="0.25">
      <c r="A11284" t="str">
        <f>"1170014M00012    00"</f>
        <v>1170014M00012    00</v>
      </c>
      <c r="B11284" t="s">
        <v>24968</v>
      </c>
      <c r="C11284" t="s">
        <v>24709</v>
      </c>
      <c r="D11284" t="s">
        <v>20</v>
      </c>
      <c r="E11284" t="s">
        <v>39</v>
      </c>
      <c r="F11284">
        <v>0</v>
      </c>
      <c r="G11284">
        <v>0</v>
      </c>
      <c r="H11284">
        <v>6</v>
      </c>
      <c r="I11284" s="3">
        <v>2673.94</v>
      </c>
      <c r="J11284" s="3">
        <v>599.71</v>
      </c>
      <c r="K11284" t="s">
        <v>24969</v>
      </c>
      <c r="M11284" t="s">
        <v>24970</v>
      </c>
      <c r="N11284" t="s">
        <v>24971</v>
      </c>
      <c r="O11284" t="s">
        <v>10362</v>
      </c>
      <c r="P11284" t="str">
        <f>"96771"</f>
        <v>96771</v>
      </c>
    </row>
    <row r="11285" spans="1:16" x14ac:dyDescent="0.25">
      <c r="A11285" t="str">
        <f>"1170014M00048    00"</f>
        <v>1170014M00048    00</v>
      </c>
      <c r="B11285" t="s">
        <v>10642</v>
      </c>
      <c r="C11285" t="s">
        <v>24972</v>
      </c>
      <c r="D11285" t="s">
        <v>20</v>
      </c>
      <c r="E11285" t="s">
        <v>39</v>
      </c>
      <c r="F11285">
        <v>0</v>
      </c>
      <c r="G11285">
        <v>0</v>
      </c>
      <c r="H11285">
        <v>2</v>
      </c>
      <c r="I11285" s="3">
        <v>2109.9899999999998</v>
      </c>
      <c r="J11285" s="3">
        <v>0</v>
      </c>
      <c r="K11285" t="s">
        <v>1722</v>
      </c>
      <c r="M11285" t="s">
        <v>1723</v>
      </c>
      <c r="N11285" t="s">
        <v>410</v>
      </c>
      <c r="O11285" t="s">
        <v>31</v>
      </c>
      <c r="P11285" t="str">
        <f>"15701"</f>
        <v>15701</v>
      </c>
    </row>
    <row r="11286" spans="1:16" x14ac:dyDescent="0.25">
      <c r="A11286" t="str">
        <f>"1170014M00063    00"</f>
        <v>1170014M00063    00</v>
      </c>
      <c r="B11286" t="s">
        <v>24973</v>
      </c>
      <c r="C11286" t="s">
        <v>23201</v>
      </c>
      <c r="D11286" t="s">
        <v>20</v>
      </c>
      <c r="E11286" t="s">
        <v>21</v>
      </c>
      <c r="F11286">
        <v>0</v>
      </c>
      <c r="G11286">
        <v>0</v>
      </c>
      <c r="H11286">
        <v>6</v>
      </c>
      <c r="I11286" s="3">
        <v>1572.9</v>
      </c>
      <c r="J11286" s="3">
        <v>352.77</v>
      </c>
      <c r="L11286">
        <v>1773</v>
      </c>
      <c r="M11286" t="s">
        <v>3525</v>
      </c>
      <c r="N11286" t="s">
        <v>30</v>
      </c>
      <c r="O11286" t="s">
        <v>31</v>
      </c>
      <c r="P11286" t="str">
        <f>"15210"</f>
        <v>15210</v>
      </c>
    </row>
    <row r="11287" spans="1:16" x14ac:dyDescent="0.25">
      <c r="A11287" t="str">
        <f>"1170014M00069    00"</f>
        <v>1170014M00069    00</v>
      </c>
      <c r="B11287" t="s">
        <v>24974</v>
      </c>
      <c r="C11287" t="s">
        <v>24975</v>
      </c>
      <c r="D11287" t="s">
        <v>20</v>
      </c>
      <c r="E11287" t="s">
        <v>39</v>
      </c>
      <c r="F11287">
        <v>0</v>
      </c>
      <c r="G11287">
        <v>0</v>
      </c>
      <c r="H11287">
        <v>1</v>
      </c>
      <c r="I11287" s="3">
        <v>1474.31</v>
      </c>
      <c r="J11287" s="3">
        <v>0</v>
      </c>
      <c r="K11287" t="s">
        <v>24976</v>
      </c>
      <c r="L11287">
        <v>1777</v>
      </c>
      <c r="M11287" t="s">
        <v>3525</v>
      </c>
      <c r="N11287" t="s">
        <v>30</v>
      </c>
      <c r="O11287" t="s">
        <v>31</v>
      </c>
      <c r="P11287" t="str">
        <f>"15210"</f>
        <v>15210</v>
      </c>
    </row>
    <row r="11288" spans="1:16" x14ac:dyDescent="0.25">
      <c r="A11288" t="str">
        <f>"1170014M00076    00"</f>
        <v>1170014M00076    00</v>
      </c>
      <c r="B11288" t="s">
        <v>24977</v>
      </c>
      <c r="C11288" t="s">
        <v>24978</v>
      </c>
      <c r="D11288" t="s">
        <v>20</v>
      </c>
      <c r="E11288" t="s">
        <v>39</v>
      </c>
      <c r="F11288">
        <v>0</v>
      </c>
      <c r="G11288">
        <v>0</v>
      </c>
      <c r="H11288">
        <v>14</v>
      </c>
      <c r="I11288" s="3">
        <v>23160.9</v>
      </c>
      <c r="J11288" s="3">
        <v>13936.44</v>
      </c>
      <c r="L11288">
        <v>1789</v>
      </c>
      <c r="M11288" t="s">
        <v>3525</v>
      </c>
      <c r="N11288" t="s">
        <v>30</v>
      </c>
      <c r="O11288" t="s">
        <v>31</v>
      </c>
      <c r="P11288" t="str">
        <f>"15210"</f>
        <v>15210</v>
      </c>
    </row>
    <row r="11289" spans="1:16" x14ac:dyDescent="0.25">
      <c r="A11289" t="str">
        <f>"117003M001362    00"</f>
        <v>117003M001362    00</v>
      </c>
      <c r="B11289" t="s">
        <v>24979</v>
      </c>
      <c r="C11289" t="s">
        <v>24225</v>
      </c>
      <c r="E11289" t="s">
        <v>39</v>
      </c>
      <c r="F11289">
        <v>0</v>
      </c>
      <c r="G11289">
        <v>0</v>
      </c>
      <c r="H11289">
        <v>1</v>
      </c>
      <c r="I11289" s="3">
        <v>232.53</v>
      </c>
      <c r="J11289" s="3">
        <v>0</v>
      </c>
      <c r="K11289" t="s">
        <v>24980</v>
      </c>
      <c r="L11289">
        <v>152</v>
      </c>
      <c r="M11289" t="s">
        <v>24227</v>
      </c>
      <c r="N11289" t="s">
        <v>30</v>
      </c>
      <c r="O11289" t="s">
        <v>31</v>
      </c>
      <c r="P11289" t="str">
        <f>"15203"</f>
        <v>15203</v>
      </c>
    </row>
    <row r="11290" spans="1:16" x14ac:dyDescent="0.25">
      <c r="A11290" t="str">
        <f>"1180003E00004    00"</f>
        <v>1180003E00004    00</v>
      </c>
      <c r="B11290" t="s">
        <v>24981</v>
      </c>
      <c r="C11290" t="s">
        <v>24982</v>
      </c>
      <c r="E11290" t="s">
        <v>207</v>
      </c>
      <c r="F11290">
        <v>0</v>
      </c>
      <c r="G11290">
        <v>0</v>
      </c>
      <c r="H11290">
        <v>1</v>
      </c>
      <c r="I11290" s="3">
        <v>238.28</v>
      </c>
      <c r="J11290" s="3">
        <v>236.29</v>
      </c>
      <c r="L11290">
        <v>302</v>
      </c>
      <c r="M11290" t="s">
        <v>17671</v>
      </c>
      <c r="N11290" t="s">
        <v>4158</v>
      </c>
      <c r="O11290" t="s">
        <v>31</v>
      </c>
      <c r="P11290" t="str">
        <f>"15034"</f>
        <v>15034</v>
      </c>
    </row>
    <row r="11291" spans="1:16" x14ac:dyDescent="0.25">
      <c r="A11291" t="str">
        <f>"1180003E00009    00"</f>
        <v>1180003E00009    00</v>
      </c>
      <c r="B11291" t="s">
        <v>24983</v>
      </c>
      <c r="C11291" t="s">
        <v>23201</v>
      </c>
      <c r="D11291" t="s">
        <v>20</v>
      </c>
      <c r="E11291" t="s">
        <v>39</v>
      </c>
      <c r="F11291">
        <v>0</v>
      </c>
      <c r="G11291">
        <v>0</v>
      </c>
      <c r="H11291">
        <v>2</v>
      </c>
      <c r="I11291" s="3">
        <v>19.52</v>
      </c>
      <c r="J11291" s="3">
        <v>0</v>
      </c>
      <c r="K11291" t="s">
        <v>1632</v>
      </c>
      <c r="M11291" t="s">
        <v>1633</v>
      </c>
      <c r="N11291" t="s">
        <v>1634</v>
      </c>
      <c r="O11291" t="s">
        <v>25</v>
      </c>
      <c r="P11291" t="str">
        <f>"45401"</f>
        <v>45401</v>
      </c>
    </row>
    <row r="11292" spans="1:16" x14ac:dyDescent="0.25">
      <c r="A11292" t="str">
        <f>"1180003E00012    00"</f>
        <v>1180003E00012    00</v>
      </c>
      <c r="B11292" t="s">
        <v>24984</v>
      </c>
      <c r="C11292" t="s">
        <v>23201</v>
      </c>
      <c r="E11292" t="s">
        <v>39</v>
      </c>
      <c r="F11292">
        <v>0</v>
      </c>
      <c r="G11292">
        <v>0</v>
      </c>
      <c r="H11292">
        <v>1</v>
      </c>
      <c r="I11292" s="3">
        <v>1521.43</v>
      </c>
      <c r="J11292" s="3">
        <v>1508.69</v>
      </c>
      <c r="L11292">
        <v>101</v>
      </c>
      <c r="M11292" t="s">
        <v>24985</v>
      </c>
      <c r="N11292" t="s">
        <v>24986</v>
      </c>
      <c r="O11292" t="s">
        <v>370</v>
      </c>
      <c r="P11292" t="str">
        <f>"34285"</f>
        <v>34285</v>
      </c>
    </row>
    <row r="11293" spans="1:16" x14ac:dyDescent="0.25">
      <c r="A11293" t="str">
        <f>"1180003J00054    00"</f>
        <v>1180003J00054    00</v>
      </c>
      <c r="B11293" t="s">
        <v>24984</v>
      </c>
      <c r="C11293" t="s">
        <v>24987</v>
      </c>
      <c r="E11293" t="s">
        <v>39</v>
      </c>
      <c r="F11293">
        <v>0</v>
      </c>
      <c r="G11293">
        <v>0</v>
      </c>
      <c r="H11293">
        <v>1</v>
      </c>
      <c r="I11293" s="3">
        <v>1528.49</v>
      </c>
      <c r="J11293" s="3">
        <v>1501.26</v>
      </c>
      <c r="L11293">
        <v>101</v>
      </c>
      <c r="M11293" t="s">
        <v>24985</v>
      </c>
      <c r="N11293" t="s">
        <v>24986</v>
      </c>
      <c r="O11293" t="s">
        <v>370</v>
      </c>
      <c r="P11293" t="str">
        <f>"34285"</f>
        <v>34285</v>
      </c>
    </row>
    <row r="11294" spans="1:16" x14ac:dyDescent="0.25">
      <c r="A11294" t="str">
        <f>"1180003J00106    00"</f>
        <v>1180003J00106    00</v>
      </c>
      <c r="B11294" t="s">
        <v>24988</v>
      </c>
      <c r="C11294" t="s">
        <v>24989</v>
      </c>
      <c r="E11294" t="s">
        <v>39</v>
      </c>
      <c r="F11294">
        <v>0</v>
      </c>
      <c r="G11294">
        <v>0</v>
      </c>
      <c r="H11294">
        <v>1</v>
      </c>
      <c r="I11294" s="3">
        <v>3425.09</v>
      </c>
      <c r="J11294" s="3">
        <v>0</v>
      </c>
      <c r="K11294" t="s">
        <v>391</v>
      </c>
      <c r="L11294">
        <v>1</v>
      </c>
      <c r="M11294" t="s">
        <v>392</v>
      </c>
      <c r="N11294" t="s">
        <v>393</v>
      </c>
      <c r="O11294" t="s">
        <v>394</v>
      </c>
      <c r="P11294" t="str">
        <f>"50328"</f>
        <v>50328</v>
      </c>
    </row>
    <row r="11295" spans="1:16" x14ac:dyDescent="0.25">
      <c r="A11295" t="str">
        <f>"1180003J00135    00"</f>
        <v>1180003J00135    00</v>
      </c>
      <c r="B11295" t="s">
        <v>24990</v>
      </c>
      <c r="C11295" t="s">
        <v>24991</v>
      </c>
      <c r="D11295" t="s">
        <v>20</v>
      </c>
      <c r="E11295" t="s">
        <v>39</v>
      </c>
      <c r="F11295">
        <v>0</v>
      </c>
      <c r="G11295">
        <v>0</v>
      </c>
      <c r="H11295">
        <v>19</v>
      </c>
      <c r="I11295" s="3">
        <v>2094.08</v>
      </c>
      <c r="J11295" s="3">
        <v>2636.6</v>
      </c>
      <c r="M11295" t="s">
        <v>22783</v>
      </c>
      <c r="N11295" t="s">
        <v>30</v>
      </c>
      <c r="O11295" t="s">
        <v>31</v>
      </c>
      <c r="P11295" t="str">
        <f>"15211"</f>
        <v>15211</v>
      </c>
    </row>
    <row r="11296" spans="1:16" x14ac:dyDescent="0.25">
      <c r="A11296" t="str">
        <f>"1180003K00035    00"</f>
        <v>1180003K00035    00</v>
      </c>
      <c r="B11296" t="s">
        <v>24992</v>
      </c>
      <c r="C11296" t="s">
        <v>24993</v>
      </c>
      <c r="D11296" t="s">
        <v>20</v>
      </c>
      <c r="E11296" t="s">
        <v>39</v>
      </c>
      <c r="F11296">
        <v>0</v>
      </c>
      <c r="G11296">
        <v>0</v>
      </c>
      <c r="H11296">
        <v>6</v>
      </c>
      <c r="I11296" s="3">
        <v>8875.65</v>
      </c>
      <c r="J11296" s="3">
        <v>1990.63</v>
      </c>
      <c r="K11296" t="s">
        <v>24994</v>
      </c>
      <c r="L11296">
        <v>3279</v>
      </c>
      <c r="M11296" t="s">
        <v>6937</v>
      </c>
      <c r="N11296" t="s">
        <v>30</v>
      </c>
      <c r="O11296" t="s">
        <v>31</v>
      </c>
      <c r="P11296" t="str">
        <f t="shared" ref="P11296:P11304" si="128">"15216"</f>
        <v>15216</v>
      </c>
    </row>
    <row r="11297" spans="1:16" x14ac:dyDescent="0.25">
      <c r="A11297" t="str">
        <f>"1180003K00036    00"</f>
        <v>1180003K00036    00</v>
      </c>
      <c r="B11297" t="s">
        <v>24995</v>
      </c>
      <c r="C11297" t="s">
        <v>24996</v>
      </c>
      <c r="D11297" t="s">
        <v>20</v>
      </c>
      <c r="E11297" t="s">
        <v>39</v>
      </c>
      <c r="F11297">
        <v>0</v>
      </c>
      <c r="G11297">
        <v>0</v>
      </c>
      <c r="H11297">
        <v>5</v>
      </c>
      <c r="I11297" s="3">
        <v>857.29</v>
      </c>
      <c r="J11297" s="3">
        <v>148.12</v>
      </c>
      <c r="K11297" t="s">
        <v>24997</v>
      </c>
      <c r="L11297">
        <v>3279</v>
      </c>
      <c r="M11297" t="s">
        <v>10592</v>
      </c>
      <c r="N11297" t="s">
        <v>30</v>
      </c>
      <c r="O11297" t="s">
        <v>31</v>
      </c>
      <c r="P11297" t="str">
        <f t="shared" si="128"/>
        <v>15216</v>
      </c>
    </row>
    <row r="11298" spans="1:16" x14ac:dyDescent="0.25">
      <c r="A11298" t="str">
        <f>"1180003K00044    00"</f>
        <v>1180003K00044    00</v>
      </c>
      <c r="B11298" t="s">
        <v>24992</v>
      </c>
      <c r="C11298" t="s">
        <v>24998</v>
      </c>
      <c r="D11298" t="s">
        <v>20</v>
      </c>
      <c r="E11298" t="s">
        <v>39</v>
      </c>
      <c r="F11298">
        <v>0</v>
      </c>
      <c r="G11298">
        <v>0</v>
      </c>
      <c r="H11298">
        <v>7</v>
      </c>
      <c r="I11298" s="3">
        <v>14292.17</v>
      </c>
      <c r="J11298" s="3">
        <v>4856.76</v>
      </c>
      <c r="K11298" t="s">
        <v>24994</v>
      </c>
      <c r="L11298">
        <v>3279</v>
      </c>
      <c r="M11298" t="s">
        <v>6937</v>
      </c>
      <c r="N11298" t="s">
        <v>30</v>
      </c>
      <c r="O11298" t="s">
        <v>31</v>
      </c>
      <c r="P11298" t="str">
        <f t="shared" si="128"/>
        <v>15216</v>
      </c>
    </row>
    <row r="11299" spans="1:16" x14ac:dyDescent="0.25">
      <c r="A11299" t="str">
        <f>"1180003K00046    00"</f>
        <v>1180003K00046    00</v>
      </c>
      <c r="B11299" t="s">
        <v>24992</v>
      </c>
      <c r="C11299" t="s">
        <v>24999</v>
      </c>
      <c r="D11299" t="s">
        <v>20</v>
      </c>
      <c r="E11299" t="s">
        <v>39</v>
      </c>
      <c r="F11299">
        <v>0</v>
      </c>
      <c r="G11299">
        <v>0</v>
      </c>
      <c r="H11299">
        <v>6</v>
      </c>
      <c r="I11299" s="3">
        <v>12380.96</v>
      </c>
      <c r="J11299" s="3">
        <v>2776.79</v>
      </c>
      <c r="K11299" t="s">
        <v>24994</v>
      </c>
      <c r="L11299">
        <v>3279</v>
      </c>
      <c r="M11299" t="s">
        <v>6937</v>
      </c>
      <c r="N11299" t="s">
        <v>30</v>
      </c>
      <c r="O11299" t="s">
        <v>31</v>
      </c>
      <c r="P11299" t="str">
        <f t="shared" si="128"/>
        <v>15216</v>
      </c>
    </row>
    <row r="11300" spans="1:16" x14ac:dyDescent="0.25">
      <c r="A11300" t="str">
        <f>"1180003K00048    00"</f>
        <v>1180003K00048    00</v>
      </c>
      <c r="B11300" t="s">
        <v>25000</v>
      </c>
      <c r="C11300" t="s">
        <v>24996</v>
      </c>
      <c r="D11300" t="s">
        <v>20</v>
      </c>
      <c r="E11300" t="s">
        <v>39</v>
      </c>
      <c r="F11300">
        <v>0</v>
      </c>
      <c r="G11300">
        <v>0</v>
      </c>
      <c r="H11300">
        <v>5</v>
      </c>
      <c r="I11300" s="3">
        <v>140.6</v>
      </c>
      <c r="J11300" s="3">
        <v>24.91</v>
      </c>
      <c r="K11300" t="s">
        <v>24994</v>
      </c>
      <c r="L11300">
        <v>3279</v>
      </c>
      <c r="M11300" t="s">
        <v>6937</v>
      </c>
      <c r="N11300" t="s">
        <v>30</v>
      </c>
      <c r="O11300" t="s">
        <v>31</v>
      </c>
      <c r="P11300" t="str">
        <f t="shared" si="128"/>
        <v>15216</v>
      </c>
    </row>
    <row r="11301" spans="1:16" x14ac:dyDescent="0.25">
      <c r="A11301" t="str">
        <f>"1180003K00049    00"</f>
        <v>1180003K00049    00</v>
      </c>
      <c r="B11301" t="s">
        <v>24992</v>
      </c>
      <c r="C11301" t="s">
        <v>25001</v>
      </c>
      <c r="D11301" t="s">
        <v>20</v>
      </c>
      <c r="E11301" t="s">
        <v>39</v>
      </c>
      <c r="F11301">
        <v>0</v>
      </c>
      <c r="G11301">
        <v>0</v>
      </c>
      <c r="H11301">
        <v>6</v>
      </c>
      <c r="I11301" s="3">
        <v>19919.72</v>
      </c>
      <c r="J11301" s="3">
        <v>4467.57</v>
      </c>
      <c r="K11301" t="s">
        <v>24994</v>
      </c>
      <c r="L11301">
        <v>3279</v>
      </c>
      <c r="M11301" t="s">
        <v>6937</v>
      </c>
      <c r="N11301" t="s">
        <v>30</v>
      </c>
      <c r="O11301" t="s">
        <v>31</v>
      </c>
      <c r="P11301" t="str">
        <f t="shared" si="128"/>
        <v>15216</v>
      </c>
    </row>
    <row r="11302" spans="1:16" x14ac:dyDescent="0.25">
      <c r="A11302" t="str">
        <f>"1180003K00050    00"</f>
        <v>1180003K00050    00</v>
      </c>
      <c r="B11302" t="s">
        <v>24992</v>
      </c>
      <c r="C11302" t="s">
        <v>23201</v>
      </c>
      <c r="D11302" t="s">
        <v>20</v>
      </c>
      <c r="E11302" t="s">
        <v>39</v>
      </c>
      <c r="F11302">
        <v>0</v>
      </c>
      <c r="G11302">
        <v>0</v>
      </c>
      <c r="H11302">
        <v>6</v>
      </c>
      <c r="I11302" s="3">
        <v>5491.89</v>
      </c>
      <c r="J11302" s="3">
        <v>1301.1099999999999</v>
      </c>
      <c r="K11302" t="s">
        <v>24994</v>
      </c>
      <c r="L11302">
        <v>3279</v>
      </c>
      <c r="M11302" t="s">
        <v>6937</v>
      </c>
      <c r="N11302" t="s">
        <v>30</v>
      </c>
      <c r="O11302" t="s">
        <v>31</v>
      </c>
      <c r="P11302" t="str">
        <f t="shared" si="128"/>
        <v>15216</v>
      </c>
    </row>
    <row r="11303" spans="1:16" x14ac:dyDescent="0.25">
      <c r="A11303" t="str">
        <f>"1180003K00052    00"</f>
        <v>1180003K00052    00</v>
      </c>
      <c r="B11303" t="s">
        <v>24992</v>
      </c>
      <c r="C11303" t="s">
        <v>23201</v>
      </c>
      <c r="D11303" t="s">
        <v>20</v>
      </c>
      <c r="E11303" t="s">
        <v>39</v>
      </c>
      <c r="F11303">
        <v>0</v>
      </c>
      <c r="G11303">
        <v>0</v>
      </c>
      <c r="H11303">
        <v>6</v>
      </c>
      <c r="I11303" s="3">
        <v>212.55</v>
      </c>
      <c r="J11303" s="3">
        <v>48.48</v>
      </c>
      <c r="K11303" t="s">
        <v>24994</v>
      </c>
      <c r="L11303">
        <v>3279</v>
      </c>
      <c r="M11303" t="s">
        <v>6937</v>
      </c>
      <c r="N11303" t="s">
        <v>30</v>
      </c>
      <c r="O11303" t="s">
        <v>31</v>
      </c>
      <c r="P11303" t="str">
        <f t="shared" si="128"/>
        <v>15216</v>
      </c>
    </row>
    <row r="11304" spans="1:16" x14ac:dyDescent="0.25">
      <c r="A11304" t="str">
        <f>"1180003K00054    00"</f>
        <v>1180003K00054    00</v>
      </c>
      <c r="B11304" t="s">
        <v>25002</v>
      </c>
      <c r="C11304" t="s">
        <v>23201</v>
      </c>
      <c r="D11304" t="s">
        <v>20</v>
      </c>
      <c r="E11304" t="s">
        <v>39</v>
      </c>
      <c r="F11304">
        <v>0</v>
      </c>
      <c r="G11304">
        <v>0</v>
      </c>
      <c r="H11304">
        <v>5</v>
      </c>
      <c r="I11304" s="3">
        <v>168.67</v>
      </c>
      <c r="J11304" s="3">
        <v>29.85</v>
      </c>
      <c r="K11304" t="s">
        <v>24994</v>
      </c>
      <c r="L11304">
        <v>3279</v>
      </c>
      <c r="M11304" t="s">
        <v>6937</v>
      </c>
      <c r="N11304" t="s">
        <v>30</v>
      </c>
      <c r="O11304" t="s">
        <v>31</v>
      </c>
      <c r="P11304" t="str">
        <f t="shared" si="128"/>
        <v>15216</v>
      </c>
    </row>
    <row r="11305" spans="1:16" x14ac:dyDescent="0.25">
      <c r="A11305" t="str">
        <f>"1180003K00057    00"</f>
        <v>1180003K00057    00</v>
      </c>
      <c r="B11305" t="s">
        <v>25003</v>
      </c>
      <c r="C11305" t="s">
        <v>25004</v>
      </c>
      <c r="D11305" t="s">
        <v>20</v>
      </c>
      <c r="E11305" t="s">
        <v>39</v>
      </c>
      <c r="F11305">
        <v>0</v>
      </c>
      <c r="G11305">
        <v>0</v>
      </c>
      <c r="H11305">
        <v>4</v>
      </c>
      <c r="I11305" s="3">
        <v>3547.17</v>
      </c>
      <c r="J11305" s="3">
        <v>624.65</v>
      </c>
      <c r="L11305">
        <v>652</v>
      </c>
      <c r="M11305" t="s">
        <v>3525</v>
      </c>
      <c r="N11305" t="s">
        <v>30</v>
      </c>
      <c r="O11305" t="s">
        <v>31</v>
      </c>
      <c r="P11305" t="str">
        <f>"15203"</f>
        <v>15203</v>
      </c>
    </row>
    <row r="11306" spans="1:16" x14ac:dyDescent="0.25">
      <c r="A11306" t="str">
        <f>"1180003K00071    00"</f>
        <v>1180003K00071    00</v>
      </c>
      <c r="B11306" t="s">
        <v>25005</v>
      </c>
      <c r="C11306" t="s">
        <v>23201</v>
      </c>
      <c r="E11306" t="s">
        <v>39</v>
      </c>
      <c r="F11306">
        <v>0</v>
      </c>
      <c r="G11306">
        <v>0</v>
      </c>
      <c r="H11306">
        <v>1</v>
      </c>
      <c r="I11306" s="3">
        <v>114.45</v>
      </c>
      <c r="J11306" s="3">
        <v>33.72</v>
      </c>
      <c r="K11306" t="s">
        <v>25006</v>
      </c>
      <c r="L11306">
        <v>2126</v>
      </c>
      <c r="M11306" t="s">
        <v>25007</v>
      </c>
      <c r="N11306" t="s">
        <v>11731</v>
      </c>
      <c r="O11306" t="s">
        <v>370</v>
      </c>
      <c r="P11306" t="str">
        <f>"33309"</f>
        <v>33309</v>
      </c>
    </row>
    <row r="11307" spans="1:16" x14ac:dyDescent="0.25">
      <c r="A11307" t="str">
        <f>"1180003K00165    00"</f>
        <v>1180003K00165    00</v>
      </c>
      <c r="B11307" t="s">
        <v>25008</v>
      </c>
      <c r="C11307" t="s">
        <v>25009</v>
      </c>
      <c r="D11307" t="s">
        <v>20</v>
      </c>
      <c r="E11307" t="s">
        <v>39</v>
      </c>
      <c r="F11307">
        <v>0</v>
      </c>
      <c r="G11307">
        <v>0</v>
      </c>
      <c r="H11307">
        <v>1</v>
      </c>
      <c r="I11307" s="3">
        <v>24.79</v>
      </c>
      <c r="J11307" s="3">
        <v>0</v>
      </c>
      <c r="K11307" t="s">
        <v>25010</v>
      </c>
      <c r="L11307">
        <v>3283</v>
      </c>
      <c r="M11307" t="s">
        <v>25011</v>
      </c>
      <c r="N11307" t="s">
        <v>30</v>
      </c>
      <c r="O11307" t="s">
        <v>31</v>
      </c>
      <c r="P11307" t="str">
        <f>"15237"</f>
        <v>15237</v>
      </c>
    </row>
    <row r="11308" spans="1:16" x14ac:dyDescent="0.25">
      <c r="A11308" t="str">
        <f>"1180003K00167    00"</f>
        <v>1180003K00167    00</v>
      </c>
      <c r="B11308" t="s">
        <v>25008</v>
      </c>
      <c r="C11308" t="s">
        <v>25012</v>
      </c>
      <c r="D11308" t="s">
        <v>20</v>
      </c>
      <c r="E11308" t="s">
        <v>39</v>
      </c>
      <c r="F11308">
        <v>0</v>
      </c>
      <c r="G11308">
        <v>0</v>
      </c>
      <c r="H11308">
        <v>1</v>
      </c>
      <c r="I11308" s="3">
        <v>24.79</v>
      </c>
      <c r="J11308" s="3">
        <v>0</v>
      </c>
      <c r="K11308" t="s">
        <v>25010</v>
      </c>
      <c r="L11308">
        <v>3283</v>
      </c>
      <c r="M11308" t="s">
        <v>25011</v>
      </c>
      <c r="N11308" t="s">
        <v>30</v>
      </c>
      <c r="O11308" t="s">
        <v>31</v>
      </c>
      <c r="P11308" t="str">
        <f>"15237"</f>
        <v>15237</v>
      </c>
    </row>
    <row r="11309" spans="1:16" x14ac:dyDescent="0.25">
      <c r="A11309" t="str">
        <f>"1180003K00168    00"</f>
        <v>1180003K00168    00</v>
      </c>
      <c r="B11309" t="s">
        <v>25008</v>
      </c>
      <c r="C11309" t="s">
        <v>25013</v>
      </c>
      <c r="D11309" t="s">
        <v>20</v>
      </c>
      <c r="E11309" t="s">
        <v>39</v>
      </c>
      <c r="F11309">
        <v>0</v>
      </c>
      <c r="G11309">
        <v>0</v>
      </c>
      <c r="H11309">
        <v>1</v>
      </c>
      <c r="I11309" s="3">
        <v>24.79</v>
      </c>
      <c r="J11309" s="3">
        <v>0</v>
      </c>
      <c r="K11309" t="s">
        <v>25010</v>
      </c>
      <c r="L11309">
        <v>3283</v>
      </c>
      <c r="M11309" t="s">
        <v>25011</v>
      </c>
      <c r="N11309" t="s">
        <v>30</v>
      </c>
      <c r="O11309" t="s">
        <v>31</v>
      </c>
      <c r="P11309" t="str">
        <f>"15237"</f>
        <v>15237</v>
      </c>
    </row>
    <row r="11310" spans="1:16" x14ac:dyDescent="0.25">
      <c r="A11310" t="str">
        <f>"1180003N00005    00"</f>
        <v>1180003N00005    00</v>
      </c>
      <c r="B11310" t="s">
        <v>25014</v>
      </c>
      <c r="C11310" t="s">
        <v>25015</v>
      </c>
      <c r="D11310" t="s">
        <v>20</v>
      </c>
      <c r="E11310" t="s">
        <v>39</v>
      </c>
      <c r="F11310">
        <v>0</v>
      </c>
      <c r="G11310">
        <v>0</v>
      </c>
      <c r="H11310">
        <v>5</v>
      </c>
      <c r="I11310" s="3">
        <v>3780.95</v>
      </c>
      <c r="J11310" s="3">
        <v>584.20000000000005</v>
      </c>
      <c r="L11310">
        <v>7769</v>
      </c>
      <c r="M11310" t="s">
        <v>16922</v>
      </c>
      <c r="N11310" t="s">
        <v>30</v>
      </c>
      <c r="O11310" t="s">
        <v>31</v>
      </c>
      <c r="P11310" t="str">
        <f>"15235"</f>
        <v>15235</v>
      </c>
    </row>
    <row r="11311" spans="1:16" x14ac:dyDescent="0.25">
      <c r="A11311" t="str">
        <f>"1180003N00028C   00"</f>
        <v>1180003N00028C   00</v>
      </c>
      <c r="B11311" t="s">
        <v>25016</v>
      </c>
      <c r="C11311" t="s">
        <v>25017</v>
      </c>
      <c r="D11311" t="s">
        <v>20</v>
      </c>
      <c r="E11311" t="s">
        <v>39</v>
      </c>
      <c r="F11311">
        <v>0</v>
      </c>
      <c r="G11311">
        <v>0</v>
      </c>
      <c r="H11311">
        <v>14</v>
      </c>
      <c r="I11311" s="3">
        <v>56.38</v>
      </c>
      <c r="J11311" s="3">
        <v>46.01</v>
      </c>
      <c r="K11311" t="s">
        <v>25018</v>
      </c>
      <c r="L11311">
        <v>1</v>
      </c>
      <c r="M11311" t="s">
        <v>25019</v>
      </c>
      <c r="N11311" t="s">
        <v>25020</v>
      </c>
      <c r="O11311" t="s">
        <v>423</v>
      </c>
      <c r="P11311" t="str">
        <f>"08054"</f>
        <v>08054</v>
      </c>
    </row>
    <row r="11312" spans="1:16" x14ac:dyDescent="0.25">
      <c r="A11312" t="str">
        <f>"1180003N00043    00"</f>
        <v>1180003N00043    00</v>
      </c>
      <c r="B11312" t="s">
        <v>25021</v>
      </c>
      <c r="C11312" t="s">
        <v>25022</v>
      </c>
      <c r="D11312" t="s">
        <v>20</v>
      </c>
      <c r="E11312" t="s">
        <v>39</v>
      </c>
      <c r="F11312">
        <v>0</v>
      </c>
      <c r="G11312">
        <v>0</v>
      </c>
      <c r="H11312">
        <v>8</v>
      </c>
      <c r="I11312" s="3">
        <v>2728.65</v>
      </c>
      <c r="J11312" s="3">
        <v>1102.51</v>
      </c>
      <c r="K11312" t="s">
        <v>25023</v>
      </c>
      <c r="L11312">
        <v>442</v>
      </c>
      <c r="M11312" t="s">
        <v>25024</v>
      </c>
      <c r="N11312" t="s">
        <v>30</v>
      </c>
      <c r="O11312" t="s">
        <v>31</v>
      </c>
      <c r="P11312" t="str">
        <f>"15211"</f>
        <v>15211</v>
      </c>
    </row>
    <row r="11313" spans="1:16" x14ac:dyDescent="0.25">
      <c r="A11313" t="str">
        <f>"1180003N00044    00"</f>
        <v>1180003N00044    00</v>
      </c>
      <c r="B11313" t="s">
        <v>25025</v>
      </c>
      <c r="C11313" t="s">
        <v>25026</v>
      </c>
      <c r="D11313" t="s">
        <v>20</v>
      </c>
      <c r="E11313" t="s">
        <v>39</v>
      </c>
      <c r="F11313">
        <v>0</v>
      </c>
      <c r="G11313">
        <v>0</v>
      </c>
      <c r="H11313">
        <v>1</v>
      </c>
      <c r="I11313" s="3">
        <v>857.7</v>
      </c>
      <c r="J11313" s="3">
        <v>0</v>
      </c>
      <c r="K11313" t="s">
        <v>25027</v>
      </c>
      <c r="L11313">
        <v>3516</v>
      </c>
      <c r="M11313" t="s">
        <v>25028</v>
      </c>
      <c r="N11313" t="s">
        <v>6603</v>
      </c>
      <c r="O11313" t="s">
        <v>31</v>
      </c>
      <c r="P11313" t="str">
        <f>"15122"</f>
        <v>15122</v>
      </c>
    </row>
    <row r="11314" spans="1:16" x14ac:dyDescent="0.25">
      <c r="A11314" t="str">
        <f>"1180003N00045    00"</f>
        <v>1180003N00045    00</v>
      </c>
      <c r="B11314" t="s">
        <v>25029</v>
      </c>
      <c r="C11314" t="s">
        <v>25030</v>
      </c>
      <c r="D11314" t="s">
        <v>20</v>
      </c>
      <c r="E11314" t="s">
        <v>39</v>
      </c>
      <c r="F11314">
        <v>0</v>
      </c>
      <c r="G11314">
        <v>0</v>
      </c>
      <c r="H11314">
        <v>16</v>
      </c>
      <c r="I11314" s="3">
        <v>10526.85</v>
      </c>
      <c r="J11314" s="3">
        <v>9690.24</v>
      </c>
      <c r="L11314">
        <v>442</v>
      </c>
      <c r="M11314" t="s">
        <v>25024</v>
      </c>
      <c r="N11314" t="s">
        <v>30</v>
      </c>
      <c r="O11314" t="s">
        <v>31</v>
      </c>
      <c r="P11314" t="str">
        <f>"15211"</f>
        <v>15211</v>
      </c>
    </row>
    <row r="11315" spans="1:16" x14ac:dyDescent="0.25">
      <c r="A11315" t="str">
        <f>"1180003N00065    00"</f>
        <v>1180003N00065    00</v>
      </c>
      <c r="B11315" t="s">
        <v>25031</v>
      </c>
      <c r="C11315" t="s">
        <v>25032</v>
      </c>
      <c r="E11315" t="s">
        <v>39</v>
      </c>
      <c r="F11315">
        <v>0</v>
      </c>
      <c r="G11315">
        <v>0</v>
      </c>
      <c r="H11315">
        <v>1</v>
      </c>
      <c r="I11315" s="3">
        <v>396.35</v>
      </c>
      <c r="J11315" s="3">
        <v>432.65</v>
      </c>
      <c r="L11315">
        <v>112</v>
      </c>
      <c r="M11315" t="s">
        <v>25033</v>
      </c>
      <c r="N11315" t="s">
        <v>199</v>
      </c>
      <c r="O11315" t="s">
        <v>200</v>
      </c>
      <c r="P11315" t="str">
        <f>"10019"</f>
        <v>10019</v>
      </c>
    </row>
    <row r="11316" spans="1:16" x14ac:dyDescent="0.25">
      <c r="A11316" t="str">
        <f>"1180003N00073000101"</f>
        <v>1180003N00073000101</v>
      </c>
      <c r="B11316" t="s">
        <v>25034</v>
      </c>
      <c r="C11316" t="s">
        <v>25035</v>
      </c>
      <c r="D11316" t="s">
        <v>20</v>
      </c>
      <c r="E11316" t="s">
        <v>39</v>
      </c>
      <c r="F11316">
        <v>0</v>
      </c>
      <c r="G11316">
        <v>0</v>
      </c>
      <c r="H11316">
        <v>13</v>
      </c>
      <c r="I11316" s="3">
        <v>8153.22</v>
      </c>
      <c r="J11316" s="3">
        <v>4353.67</v>
      </c>
      <c r="M11316" t="s">
        <v>25036</v>
      </c>
      <c r="N11316" t="s">
        <v>30</v>
      </c>
      <c r="O11316" t="s">
        <v>31</v>
      </c>
      <c r="P11316" t="str">
        <f>"15211"</f>
        <v>15211</v>
      </c>
    </row>
    <row r="11317" spans="1:16" x14ac:dyDescent="0.25">
      <c r="A11317" t="str">
        <f>"1180003N00080    00"</f>
        <v>1180003N00080    00</v>
      </c>
      <c r="B11317" t="s">
        <v>25037</v>
      </c>
      <c r="C11317" t="s">
        <v>25038</v>
      </c>
      <c r="D11317" t="s">
        <v>20</v>
      </c>
      <c r="E11317" t="s">
        <v>39</v>
      </c>
      <c r="F11317">
        <v>0</v>
      </c>
      <c r="G11317">
        <v>0</v>
      </c>
      <c r="H11317">
        <v>7</v>
      </c>
      <c r="I11317" s="3">
        <v>7503.81</v>
      </c>
      <c r="J11317" s="3">
        <v>2075.0300000000002</v>
      </c>
      <c r="L11317">
        <v>55</v>
      </c>
      <c r="M11317" t="s">
        <v>2672</v>
      </c>
      <c r="N11317" t="s">
        <v>30</v>
      </c>
      <c r="O11317" t="s">
        <v>31</v>
      </c>
      <c r="P11317" t="str">
        <f>"15211"</f>
        <v>15211</v>
      </c>
    </row>
    <row r="11318" spans="1:16" x14ac:dyDescent="0.25">
      <c r="A11318" t="str">
        <f>"1180003N00091    00"</f>
        <v>1180003N00091    00</v>
      </c>
      <c r="B11318" t="s">
        <v>25039</v>
      </c>
      <c r="C11318" t="s">
        <v>25040</v>
      </c>
      <c r="E11318" t="s">
        <v>39</v>
      </c>
      <c r="F11318">
        <v>0</v>
      </c>
      <c r="G11318">
        <v>0</v>
      </c>
      <c r="H11318">
        <v>1</v>
      </c>
      <c r="I11318" s="3">
        <v>38.24</v>
      </c>
      <c r="J11318" s="3">
        <v>11.47</v>
      </c>
      <c r="L11318">
        <v>33</v>
      </c>
      <c r="M11318" t="s">
        <v>2672</v>
      </c>
      <c r="N11318" t="s">
        <v>30</v>
      </c>
      <c r="O11318" t="s">
        <v>31</v>
      </c>
      <c r="P11318" t="str">
        <f>"15211"</f>
        <v>15211</v>
      </c>
    </row>
    <row r="11319" spans="1:16" x14ac:dyDescent="0.25">
      <c r="A11319" t="str">
        <f>"1180003N00108    00"</f>
        <v>1180003N00108    00</v>
      </c>
      <c r="B11319" t="s">
        <v>25041</v>
      </c>
      <c r="C11319" t="s">
        <v>25042</v>
      </c>
      <c r="D11319" t="s">
        <v>20</v>
      </c>
      <c r="E11319" t="s">
        <v>39</v>
      </c>
      <c r="F11319">
        <v>0</v>
      </c>
      <c r="G11319">
        <v>0</v>
      </c>
      <c r="H11319">
        <v>7</v>
      </c>
      <c r="I11319" s="3">
        <v>6329.31</v>
      </c>
      <c r="J11319" s="3">
        <v>1750.25</v>
      </c>
      <c r="L11319">
        <v>8</v>
      </c>
      <c r="M11319" t="s">
        <v>25043</v>
      </c>
      <c r="N11319" t="s">
        <v>30</v>
      </c>
      <c r="O11319" t="s">
        <v>31</v>
      </c>
      <c r="P11319" t="str">
        <f>"15210"</f>
        <v>15210</v>
      </c>
    </row>
    <row r="11320" spans="1:16" x14ac:dyDescent="0.25">
      <c r="A11320" t="str">
        <f>"1180003N00133    00"</f>
        <v>1180003N00133    00</v>
      </c>
      <c r="B11320" t="s">
        <v>25044</v>
      </c>
      <c r="C11320" t="s">
        <v>25045</v>
      </c>
      <c r="D11320" t="s">
        <v>20</v>
      </c>
      <c r="E11320" t="s">
        <v>39</v>
      </c>
      <c r="F11320">
        <v>0</v>
      </c>
      <c r="G11320">
        <v>0</v>
      </c>
      <c r="H11320">
        <v>6</v>
      </c>
      <c r="I11320" s="3">
        <v>4673.7299999999996</v>
      </c>
      <c r="J11320" s="3">
        <v>1048.22</v>
      </c>
      <c r="L11320">
        <v>58</v>
      </c>
      <c r="M11320" t="s">
        <v>25043</v>
      </c>
      <c r="N11320" t="s">
        <v>30</v>
      </c>
      <c r="O11320" t="s">
        <v>31</v>
      </c>
      <c r="P11320" t="str">
        <f>"15210"</f>
        <v>15210</v>
      </c>
    </row>
    <row r="11321" spans="1:16" x14ac:dyDescent="0.25">
      <c r="A11321" t="str">
        <f>"1180003N00150    00"</f>
        <v>1180003N00150    00</v>
      </c>
      <c r="B11321" t="s">
        <v>25046</v>
      </c>
      <c r="C11321" t="s">
        <v>25047</v>
      </c>
      <c r="D11321" t="s">
        <v>20</v>
      </c>
      <c r="E11321" t="s">
        <v>39</v>
      </c>
      <c r="F11321">
        <v>0</v>
      </c>
      <c r="G11321">
        <v>0</v>
      </c>
      <c r="H11321">
        <v>2</v>
      </c>
      <c r="I11321" s="3">
        <v>983.54</v>
      </c>
      <c r="J11321" s="3">
        <v>0</v>
      </c>
      <c r="L11321">
        <v>107</v>
      </c>
      <c r="M11321" t="s">
        <v>25048</v>
      </c>
      <c r="N11321" t="s">
        <v>1809</v>
      </c>
      <c r="O11321" t="s">
        <v>31</v>
      </c>
      <c r="P11321" t="str">
        <f>"15009"</f>
        <v>15009</v>
      </c>
    </row>
    <row r="11322" spans="1:16" x14ac:dyDescent="0.25">
      <c r="A11322" t="str">
        <f>"1180003N00168    00"</f>
        <v>1180003N00168    00</v>
      </c>
      <c r="B11322" t="s">
        <v>25049</v>
      </c>
      <c r="C11322" t="s">
        <v>25050</v>
      </c>
      <c r="D11322" t="s">
        <v>20</v>
      </c>
      <c r="E11322" t="s">
        <v>39</v>
      </c>
      <c r="F11322">
        <v>0</v>
      </c>
      <c r="G11322">
        <v>0</v>
      </c>
      <c r="H11322">
        <v>1</v>
      </c>
      <c r="I11322" s="3">
        <v>10.25</v>
      </c>
      <c r="J11322" s="3">
        <v>0</v>
      </c>
      <c r="L11322">
        <v>20</v>
      </c>
      <c r="M11322" t="s">
        <v>23888</v>
      </c>
      <c r="N11322" t="s">
        <v>30</v>
      </c>
      <c r="O11322" t="s">
        <v>31</v>
      </c>
      <c r="P11322" t="str">
        <f>"15210"</f>
        <v>15210</v>
      </c>
    </row>
    <row r="11323" spans="1:16" x14ac:dyDescent="0.25">
      <c r="A11323" t="str">
        <f>"1180003N00169    00"</f>
        <v>1180003N00169    00</v>
      </c>
      <c r="B11323" t="s">
        <v>25051</v>
      </c>
      <c r="C11323" t="s">
        <v>25050</v>
      </c>
      <c r="D11323" t="s">
        <v>20</v>
      </c>
      <c r="E11323" t="s">
        <v>39</v>
      </c>
      <c r="F11323">
        <v>0</v>
      </c>
      <c r="G11323">
        <v>0</v>
      </c>
      <c r="H11323">
        <v>1</v>
      </c>
      <c r="I11323" s="3">
        <v>141.04</v>
      </c>
      <c r="J11323" s="3">
        <v>0</v>
      </c>
      <c r="L11323">
        <v>422</v>
      </c>
      <c r="M11323" t="s">
        <v>1352</v>
      </c>
      <c r="N11323" t="s">
        <v>1353</v>
      </c>
      <c r="O11323" t="s">
        <v>31</v>
      </c>
      <c r="P11323" t="str">
        <f>"15085"</f>
        <v>15085</v>
      </c>
    </row>
    <row r="11324" spans="1:16" x14ac:dyDescent="0.25">
      <c r="A11324" t="str">
        <f>"1180003N00203    00"</f>
        <v>1180003N00203    00</v>
      </c>
      <c r="B11324" t="s">
        <v>25052</v>
      </c>
      <c r="C11324" t="s">
        <v>25053</v>
      </c>
      <c r="D11324" t="s">
        <v>33</v>
      </c>
      <c r="E11324" t="s">
        <v>21</v>
      </c>
      <c r="F11324">
        <v>0</v>
      </c>
      <c r="G11324">
        <v>0</v>
      </c>
      <c r="H11324">
        <v>2</v>
      </c>
      <c r="I11324" s="3">
        <v>200.87</v>
      </c>
      <c r="J11324" s="3">
        <v>0</v>
      </c>
      <c r="K11324" t="s">
        <v>25054</v>
      </c>
      <c r="L11324">
        <v>41</v>
      </c>
      <c r="M11324" t="s">
        <v>25043</v>
      </c>
      <c r="N11324" t="s">
        <v>30</v>
      </c>
      <c r="O11324" t="s">
        <v>31</v>
      </c>
      <c r="P11324" t="str">
        <f>"15210"</f>
        <v>15210</v>
      </c>
    </row>
    <row r="11325" spans="1:16" x14ac:dyDescent="0.25">
      <c r="A11325" t="str">
        <f>"1180003N00214    00"</f>
        <v>1180003N00214    00</v>
      </c>
      <c r="B11325" t="s">
        <v>25055</v>
      </c>
      <c r="C11325" t="s">
        <v>25056</v>
      </c>
      <c r="D11325" t="s">
        <v>20</v>
      </c>
      <c r="E11325" t="s">
        <v>39</v>
      </c>
      <c r="F11325">
        <v>0</v>
      </c>
      <c r="G11325">
        <v>0</v>
      </c>
      <c r="H11325">
        <v>4</v>
      </c>
      <c r="I11325" s="3">
        <v>1641.63</v>
      </c>
      <c r="J11325" s="3">
        <v>203.48</v>
      </c>
      <c r="L11325">
        <v>3</v>
      </c>
      <c r="M11325" t="s">
        <v>25057</v>
      </c>
      <c r="N11325" t="s">
        <v>30</v>
      </c>
      <c r="O11325" t="s">
        <v>31</v>
      </c>
      <c r="P11325" t="str">
        <f>"15210"</f>
        <v>15210</v>
      </c>
    </row>
    <row r="11326" spans="1:16" x14ac:dyDescent="0.25">
      <c r="A11326" t="str">
        <f>"1180003P00028    00"</f>
        <v>1180003P00028    00</v>
      </c>
      <c r="B11326" t="s">
        <v>25005</v>
      </c>
      <c r="C11326" t="s">
        <v>25058</v>
      </c>
      <c r="E11326" t="s">
        <v>39</v>
      </c>
      <c r="F11326">
        <v>0</v>
      </c>
      <c r="G11326">
        <v>0</v>
      </c>
      <c r="H11326">
        <v>1</v>
      </c>
      <c r="I11326" s="3">
        <v>879.85</v>
      </c>
      <c r="J11326" s="3">
        <v>80.66</v>
      </c>
      <c r="K11326" t="s">
        <v>25059</v>
      </c>
      <c r="L11326">
        <v>8</v>
      </c>
      <c r="M11326" t="s">
        <v>10617</v>
      </c>
      <c r="N11326" t="s">
        <v>10618</v>
      </c>
      <c r="O11326" t="s">
        <v>200</v>
      </c>
      <c r="P11326" t="str">
        <f>"12205"</f>
        <v>12205</v>
      </c>
    </row>
    <row r="11327" spans="1:16" x14ac:dyDescent="0.25">
      <c r="A11327" t="str">
        <f>"1180003P00102    00"</f>
        <v>1180003P00102    00</v>
      </c>
      <c r="B11327" t="s">
        <v>25060</v>
      </c>
      <c r="C11327" t="s">
        <v>25061</v>
      </c>
      <c r="D11327" t="s">
        <v>20</v>
      </c>
      <c r="E11327" t="s">
        <v>39</v>
      </c>
      <c r="F11327">
        <v>0</v>
      </c>
      <c r="G11327">
        <v>0</v>
      </c>
      <c r="H11327">
        <v>3</v>
      </c>
      <c r="I11327" s="3">
        <v>291.66000000000003</v>
      </c>
      <c r="J11327" s="3">
        <v>19.45</v>
      </c>
      <c r="L11327">
        <v>67</v>
      </c>
      <c r="M11327" t="s">
        <v>25062</v>
      </c>
      <c r="N11327" t="s">
        <v>30</v>
      </c>
      <c r="O11327" t="s">
        <v>31</v>
      </c>
      <c r="P11327" t="str">
        <f t="shared" ref="P11327:P11332" si="129">"15210"</f>
        <v>15210</v>
      </c>
    </row>
    <row r="11328" spans="1:16" x14ac:dyDescent="0.25">
      <c r="A11328" t="str">
        <f>"1180003P00109    00"</f>
        <v>1180003P00109    00</v>
      </c>
      <c r="B11328" t="s">
        <v>25060</v>
      </c>
      <c r="C11328" t="s">
        <v>25061</v>
      </c>
      <c r="D11328" t="s">
        <v>20</v>
      </c>
      <c r="E11328" t="s">
        <v>39</v>
      </c>
      <c r="F11328">
        <v>0</v>
      </c>
      <c r="G11328">
        <v>0</v>
      </c>
      <c r="H11328">
        <v>3</v>
      </c>
      <c r="I11328" s="3">
        <v>377.46</v>
      </c>
      <c r="J11328" s="3">
        <v>25.16</v>
      </c>
      <c r="L11328">
        <v>67</v>
      </c>
      <c r="M11328" t="s">
        <v>25062</v>
      </c>
      <c r="N11328" t="s">
        <v>30</v>
      </c>
      <c r="O11328" t="s">
        <v>31</v>
      </c>
      <c r="P11328" t="str">
        <f t="shared" si="129"/>
        <v>15210</v>
      </c>
    </row>
    <row r="11329" spans="1:16" x14ac:dyDescent="0.25">
      <c r="A11329" t="str">
        <f>"1180003P00110    00"</f>
        <v>1180003P00110    00</v>
      </c>
      <c r="B11329" t="s">
        <v>25060</v>
      </c>
      <c r="C11329" t="s">
        <v>25061</v>
      </c>
      <c r="D11329" t="s">
        <v>20</v>
      </c>
      <c r="E11329" t="s">
        <v>39</v>
      </c>
      <c r="F11329">
        <v>0</v>
      </c>
      <c r="G11329">
        <v>0</v>
      </c>
      <c r="H11329">
        <v>3</v>
      </c>
      <c r="I11329" s="3">
        <v>3031.2</v>
      </c>
      <c r="J11329" s="3">
        <v>207.3</v>
      </c>
      <c r="L11329">
        <v>67</v>
      </c>
      <c r="M11329" t="s">
        <v>25062</v>
      </c>
      <c r="N11329" t="s">
        <v>30</v>
      </c>
      <c r="O11329" t="s">
        <v>31</v>
      </c>
      <c r="P11329" t="str">
        <f t="shared" si="129"/>
        <v>15210</v>
      </c>
    </row>
    <row r="11330" spans="1:16" x14ac:dyDescent="0.25">
      <c r="A11330" t="str">
        <f>"1180003P00118    00"</f>
        <v>1180003P00118    00</v>
      </c>
      <c r="B11330" t="s">
        <v>25060</v>
      </c>
      <c r="C11330" t="s">
        <v>25063</v>
      </c>
      <c r="D11330" t="s">
        <v>20</v>
      </c>
      <c r="E11330" t="s">
        <v>39</v>
      </c>
      <c r="F11330">
        <v>0</v>
      </c>
      <c r="G11330">
        <v>0</v>
      </c>
      <c r="H11330">
        <v>3</v>
      </c>
      <c r="I11330" s="3">
        <v>1143.5999999999999</v>
      </c>
      <c r="J11330" s="3">
        <v>76.239999999999995</v>
      </c>
      <c r="L11330">
        <v>67</v>
      </c>
      <c r="M11330" t="s">
        <v>25062</v>
      </c>
      <c r="N11330" t="s">
        <v>30</v>
      </c>
      <c r="O11330" t="s">
        <v>31</v>
      </c>
      <c r="P11330" t="str">
        <f t="shared" si="129"/>
        <v>15210</v>
      </c>
    </row>
    <row r="11331" spans="1:16" x14ac:dyDescent="0.25">
      <c r="A11331" t="str">
        <f>"1180003P00120    00"</f>
        <v>1180003P00120    00</v>
      </c>
      <c r="B11331" t="s">
        <v>25060</v>
      </c>
      <c r="C11331" t="s">
        <v>25061</v>
      </c>
      <c r="D11331" t="s">
        <v>20</v>
      </c>
      <c r="E11331" t="s">
        <v>39</v>
      </c>
      <c r="F11331">
        <v>0</v>
      </c>
      <c r="G11331">
        <v>0</v>
      </c>
      <c r="H11331">
        <v>3</v>
      </c>
      <c r="I11331" s="3">
        <v>285.89999999999998</v>
      </c>
      <c r="J11331" s="3">
        <v>19.059999999999999</v>
      </c>
      <c r="L11331">
        <v>67</v>
      </c>
      <c r="M11331" t="s">
        <v>25062</v>
      </c>
      <c r="N11331" t="s">
        <v>30</v>
      </c>
      <c r="O11331" t="s">
        <v>31</v>
      </c>
      <c r="P11331" t="str">
        <f t="shared" si="129"/>
        <v>15210</v>
      </c>
    </row>
    <row r="11332" spans="1:16" x14ac:dyDescent="0.25">
      <c r="A11332" t="str">
        <f>"1180003P00134    00"</f>
        <v>1180003P00134    00</v>
      </c>
      <c r="B11332" t="s">
        <v>25064</v>
      </c>
      <c r="C11332" t="s">
        <v>25065</v>
      </c>
      <c r="D11332" t="s">
        <v>20</v>
      </c>
      <c r="E11332" t="s">
        <v>39</v>
      </c>
      <c r="F11332">
        <v>0</v>
      </c>
      <c r="G11332">
        <v>0</v>
      </c>
      <c r="H11332">
        <v>5</v>
      </c>
      <c r="I11332" s="3">
        <v>1991.72</v>
      </c>
      <c r="J11332" s="3">
        <v>189.16</v>
      </c>
      <c r="L11332">
        <v>921</v>
      </c>
      <c r="M11332" t="s">
        <v>25066</v>
      </c>
      <c r="N11332" t="s">
        <v>30</v>
      </c>
      <c r="O11332" t="s">
        <v>31</v>
      </c>
      <c r="P11332" t="str">
        <f t="shared" si="129"/>
        <v>15210</v>
      </c>
    </row>
    <row r="11333" spans="1:16" x14ac:dyDescent="0.25">
      <c r="A11333" t="str">
        <f>"1180003P00187    00"</f>
        <v>1180003P00187    00</v>
      </c>
      <c r="B11333" t="s">
        <v>25067</v>
      </c>
      <c r="C11333" t="s">
        <v>25068</v>
      </c>
      <c r="D11333" t="s">
        <v>20</v>
      </c>
      <c r="E11333" t="s">
        <v>39</v>
      </c>
      <c r="F11333">
        <v>0</v>
      </c>
      <c r="G11333">
        <v>0</v>
      </c>
      <c r="H11333">
        <v>1</v>
      </c>
      <c r="I11333" s="3">
        <v>57.18</v>
      </c>
      <c r="J11333" s="3">
        <v>0</v>
      </c>
      <c r="K11333" t="s">
        <v>25069</v>
      </c>
      <c r="L11333">
        <v>2121</v>
      </c>
      <c r="M11333" t="s">
        <v>25070</v>
      </c>
      <c r="N11333" t="s">
        <v>4265</v>
      </c>
      <c r="O11333" t="s">
        <v>31</v>
      </c>
      <c r="P11333" t="str">
        <f>"16803"</f>
        <v>16803</v>
      </c>
    </row>
    <row r="11334" spans="1:16" x14ac:dyDescent="0.25">
      <c r="A11334" t="str">
        <f>"1180003P00189    00"</f>
        <v>1180003P00189    00</v>
      </c>
      <c r="B11334" t="s">
        <v>25071</v>
      </c>
      <c r="C11334" t="s">
        <v>25072</v>
      </c>
      <c r="E11334" t="s">
        <v>39</v>
      </c>
      <c r="F11334">
        <v>0</v>
      </c>
      <c r="G11334">
        <v>0</v>
      </c>
      <c r="H11334">
        <v>1</v>
      </c>
      <c r="I11334" s="3">
        <v>425.05</v>
      </c>
      <c r="J11334" s="3">
        <v>0</v>
      </c>
      <c r="K11334" t="s">
        <v>25073</v>
      </c>
      <c r="L11334">
        <v>940</v>
      </c>
      <c r="M11334" t="s">
        <v>25074</v>
      </c>
      <c r="N11334" t="s">
        <v>30</v>
      </c>
      <c r="O11334" t="s">
        <v>31</v>
      </c>
      <c r="P11334" t="str">
        <f>"15220"</f>
        <v>15220</v>
      </c>
    </row>
    <row r="11335" spans="1:16" x14ac:dyDescent="0.25">
      <c r="A11335" t="str">
        <f>"1180003P00191    00"</f>
        <v>1180003P00191    00</v>
      </c>
      <c r="B11335" t="s">
        <v>25075</v>
      </c>
      <c r="C11335" t="s">
        <v>25076</v>
      </c>
      <c r="D11335" t="s">
        <v>20</v>
      </c>
      <c r="E11335" t="s">
        <v>39</v>
      </c>
      <c r="F11335">
        <v>0</v>
      </c>
      <c r="G11335">
        <v>0</v>
      </c>
      <c r="H11335">
        <v>2</v>
      </c>
      <c r="I11335" s="3">
        <v>218.48</v>
      </c>
      <c r="J11335" s="3">
        <v>0</v>
      </c>
      <c r="L11335">
        <v>723</v>
      </c>
      <c r="M11335" t="s">
        <v>25077</v>
      </c>
      <c r="N11335" t="s">
        <v>30</v>
      </c>
      <c r="O11335" t="s">
        <v>31</v>
      </c>
      <c r="P11335" t="str">
        <f>"15210"</f>
        <v>15210</v>
      </c>
    </row>
    <row r="11336" spans="1:16" x14ac:dyDescent="0.25">
      <c r="A11336" t="str">
        <f>"1180003P00196    00"</f>
        <v>1180003P00196    00</v>
      </c>
      <c r="B11336" t="s">
        <v>25078</v>
      </c>
      <c r="C11336" t="s">
        <v>25079</v>
      </c>
      <c r="D11336" t="s">
        <v>20</v>
      </c>
      <c r="E11336" t="s">
        <v>39</v>
      </c>
      <c r="F11336">
        <v>0</v>
      </c>
      <c r="G11336">
        <v>0</v>
      </c>
      <c r="H11336">
        <v>16</v>
      </c>
      <c r="I11336" s="3">
        <v>9686.81</v>
      </c>
      <c r="J11336" s="3">
        <v>7487.49</v>
      </c>
      <c r="L11336">
        <v>729</v>
      </c>
      <c r="M11336" t="s">
        <v>25077</v>
      </c>
      <c r="N11336" t="s">
        <v>30</v>
      </c>
      <c r="O11336" t="s">
        <v>31</v>
      </c>
      <c r="P11336" t="str">
        <f>"15210"</f>
        <v>15210</v>
      </c>
    </row>
    <row r="11337" spans="1:16" x14ac:dyDescent="0.25">
      <c r="A11337" t="str">
        <f>"1180003P00200    00"</f>
        <v>1180003P00200    00</v>
      </c>
      <c r="B11337" t="s">
        <v>25080</v>
      </c>
      <c r="C11337" t="s">
        <v>25081</v>
      </c>
      <c r="D11337" t="s">
        <v>20</v>
      </c>
      <c r="E11337" t="s">
        <v>39</v>
      </c>
      <c r="F11337">
        <v>0</v>
      </c>
      <c r="G11337">
        <v>0</v>
      </c>
      <c r="H11337">
        <v>5</v>
      </c>
      <c r="I11337" s="3">
        <v>2418.4699999999998</v>
      </c>
      <c r="J11337" s="3">
        <v>380.62</v>
      </c>
      <c r="L11337">
        <v>11</v>
      </c>
      <c r="M11337" t="s">
        <v>25082</v>
      </c>
      <c r="N11337" t="s">
        <v>30</v>
      </c>
      <c r="O11337" t="s">
        <v>31</v>
      </c>
      <c r="P11337" t="str">
        <f>"15210"</f>
        <v>15210</v>
      </c>
    </row>
    <row r="11338" spans="1:16" x14ac:dyDescent="0.25">
      <c r="A11338" t="str">
        <f>"1180003P00202    00"</f>
        <v>1180003P00202    00</v>
      </c>
      <c r="B11338" t="s">
        <v>25083</v>
      </c>
      <c r="C11338" t="s">
        <v>25084</v>
      </c>
      <c r="D11338" t="s">
        <v>20</v>
      </c>
      <c r="E11338" t="s">
        <v>39</v>
      </c>
      <c r="F11338">
        <v>0</v>
      </c>
      <c r="G11338">
        <v>0</v>
      </c>
      <c r="H11338">
        <v>4</v>
      </c>
      <c r="I11338" s="3">
        <v>440.52</v>
      </c>
      <c r="J11338" s="3">
        <v>52.32</v>
      </c>
      <c r="K11338" t="s">
        <v>25085</v>
      </c>
      <c r="L11338">
        <v>2117</v>
      </c>
      <c r="M11338" t="s">
        <v>25086</v>
      </c>
      <c r="N11338" t="s">
        <v>30</v>
      </c>
      <c r="O11338" t="s">
        <v>31</v>
      </c>
      <c r="P11338" t="str">
        <f>"15203"</f>
        <v>15203</v>
      </c>
    </row>
    <row r="11339" spans="1:16" x14ac:dyDescent="0.25">
      <c r="A11339" t="str">
        <f>"1180003P00206    00"</f>
        <v>1180003P00206    00</v>
      </c>
      <c r="B11339" t="s">
        <v>25087</v>
      </c>
      <c r="C11339" t="s">
        <v>25088</v>
      </c>
      <c r="D11339" t="s">
        <v>20</v>
      </c>
      <c r="E11339" t="s">
        <v>39</v>
      </c>
      <c r="F11339">
        <v>0</v>
      </c>
      <c r="G11339">
        <v>0</v>
      </c>
      <c r="H11339">
        <v>1</v>
      </c>
      <c r="I11339" s="3">
        <v>844.37</v>
      </c>
      <c r="J11339" s="3">
        <v>0</v>
      </c>
      <c r="L11339">
        <v>701</v>
      </c>
      <c r="M11339" t="s">
        <v>23227</v>
      </c>
      <c r="N11339" t="s">
        <v>30</v>
      </c>
      <c r="O11339" t="s">
        <v>31</v>
      </c>
      <c r="P11339" t="str">
        <f>"15210"</f>
        <v>15210</v>
      </c>
    </row>
    <row r="11340" spans="1:16" x14ac:dyDescent="0.25">
      <c r="A11340" t="str">
        <f>"1180003P00210    00"</f>
        <v>1180003P00210    00</v>
      </c>
      <c r="B11340" t="s">
        <v>25089</v>
      </c>
      <c r="C11340" t="s">
        <v>25090</v>
      </c>
      <c r="E11340" t="s">
        <v>39</v>
      </c>
      <c r="F11340">
        <v>0</v>
      </c>
      <c r="G11340">
        <v>0</v>
      </c>
      <c r="H11340">
        <v>11</v>
      </c>
      <c r="I11340" s="3">
        <v>7062.41</v>
      </c>
      <c r="J11340" s="3">
        <v>9739.7000000000007</v>
      </c>
      <c r="K11340" t="s">
        <v>25091</v>
      </c>
      <c r="L11340">
        <v>829</v>
      </c>
      <c r="M11340" t="s">
        <v>2475</v>
      </c>
      <c r="N11340" t="s">
        <v>30</v>
      </c>
      <c r="O11340" t="s">
        <v>31</v>
      </c>
      <c r="P11340" t="str">
        <f>"15210"</f>
        <v>15210</v>
      </c>
    </row>
    <row r="11341" spans="1:16" x14ac:dyDescent="0.25">
      <c r="A11341" t="str">
        <f>"1180003P00219    00"</f>
        <v>1180003P00219    00</v>
      </c>
      <c r="B11341" t="s">
        <v>25092</v>
      </c>
      <c r="C11341" t="s">
        <v>25093</v>
      </c>
      <c r="D11341" t="s">
        <v>20</v>
      </c>
      <c r="E11341" t="s">
        <v>39</v>
      </c>
      <c r="F11341">
        <v>0</v>
      </c>
      <c r="G11341">
        <v>0</v>
      </c>
      <c r="H11341">
        <v>2</v>
      </c>
      <c r="I11341" s="3">
        <v>19.079999999999998</v>
      </c>
      <c r="J11341" s="3">
        <v>0</v>
      </c>
      <c r="L11341">
        <v>720</v>
      </c>
      <c r="M11341" t="s">
        <v>25094</v>
      </c>
      <c r="N11341" t="s">
        <v>5232</v>
      </c>
      <c r="O11341" t="s">
        <v>3486</v>
      </c>
      <c r="P11341" t="str">
        <f>"60654"</f>
        <v>60654</v>
      </c>
    </row>
    <row r="11342" spans="1:16" x14ac:dyDescent="0.25">
      <c r="A11342" t="str">
        <f>"1180003P00235A   00"</f>
        <v>1180003P00235A   00</v>
      </c>
      <c r="B11342" t="s">
        <v>25095</v>
      </c>
      <c r="C11342" t="s">
        <v>25096</v>
      </c>
      <c r="D11342" t="s">
        <v>20</v>
      </c>
      <c r="E11342" t="s">
        <v>39</v>
      </c>
      <c r="F11342">
        <v>0</v>
      </c>
      <c r="G11342">
        <v>0</v>
      </c>
      <c r="H11342">
        <v>2</v>
      </c>
      <c r="I11342" s="3">
        <v>133.44</v>
      </c>
      <c r="J11342" s="3">
        <v>0</v>
      </c>
      <c r="K11342" t="s">
        <v>25097</v>
      </c>
      <c r="L11342">
        <v>500</v>
      </c>
      <c r="M11342" t="s">
        <v>25098</v>
      </c>
      <c r="N11342" t="s">
        <v>25099</v>
      </c>
      <c r="O11342" t="s">
        <v>1413</v>
      </c>
      <c r="P11342" t="str">
        <f>"27330"</f>
        <v>27330</v>
      </c>
    </row>
    <row r="11343" spans="1:16" x14ac:dyDescent="0.25">
      <c r="A11343" t="str">
        <f>"1180003P00244    00"</f>
        <v>1180003P00244    00</v>
      </c>
      <c r="B11343" t="s">
        <v>25100</v>
      </c>
      <c r="C11343" t="s">
        <v>25101</v>
      </c>
      <c r="D11343" t="s">
        <v>20</v>
      </c>
      <c r="E11343" t="s">
        <v>39</v>
      </c>
      <c r="F11343">
        <v>0</v>
      </c>
      <c r="G11343">
        <v>0</v>
      </c>
      <c r="H11343">
        <v>1</v>
      </c>
      <c r="I11343" s="3">
        <v>156.83000000000001</v>
      </c>
      <c r="J11343" s="3">
        <v>0</v>
      </c>
      <c r="K11343" t="s">
        <v>759</v>
      </c>
      <c r="L11343">
        <v>3001</v>
      </c>
      <c r="M11343" t="s">
        <v>404</v>
      </c>
      <c r="N11343" t="s">
        <v>331</v>
      </c>
      <c r="O11343" t="s">
        <v>108</v>
      </c>
      <c r="P11343" t="str">
        <f>"75063"</f>
        <v>75063</v>
      </c>
    </row>
    <row r="11344" spans="1:16" x14ac:dyDescent="0.25">
      <c r="A11344" t="str">
        <f>"1180003P00253    00"</f>
        <v>1180003P00253    00</v>
      </c>
      <c r="B11344" t="s">
        <v>25102</v>
      </c>
      <c r="C11344" t="s">
        <v>25103</v>
      </c>
      <c r="D11344" t="s">
        <v>20</v>
      </c>
      <c r="E11344" t="s">
        <v>39</v>
      </c>
      <c r="F11344">
        <v>0</v>
      </c>
      <c r="G11344">
        <v>0</v>
      </c>
      <c r="H11344">
        <v>4</v>
      </c>
      <c r="I11344" s="3">
        <v>1036.94</v>
      </c>
      <c r="J11344" s="3">
        <v>171.99</v>
      </c>
      <c r="L11344">
        <v>913</v>
      </c>
      <c r="M11344" t="s">
        <v>25077</v>
      </c>
      <c r="N11344" t="s">
        <v>30</v>
      </c>
      <c r="O11344" t="s">
        <v>31</v>
      </c>
      <c r="P11344" t="str">
        <f>"15210"</f>
        <v>15210</v>
      </c>
    </row>
    <row r="11345" spans="1:16" x14ac:dyDescent="0.25">
      <c r="A11345" t="str">
        <f>"1180003P00259    00"</f>
        <v>1180003P00259    00</v>
      </c>
      <c r="B11345" t="s">
        <v>25104</v>
      </c>
      <c r="C11345" t="s">
        <v>25093</v>
      </c>
      <c r="D11345" t="s">
        <v>20</v>
      </c>
      <c r="E11345" t="s">
        <v>39</v>
      </c>
      <c r="F11345">
        <v>0</v>
      </c>
      <c r="G11345">
        <v>0</v>
      </c>
      <c r="H11345">
        <v>2</v>
      </c>
      <c r="I11345" s="3">
        <v>19.52</v>
      </c>
      <c r="J11345" s="3">
        <v>0</v>
      </c>
      <c r="K11345" t="s">
        <v>4877</v>
      </c>
      <c r="L11345">
        <v>1</v>
      </c>
      <c r="M11345" t="s">
        <v>4878</v>
      </c>
      <c r="N11345" t="s">
        <v>4879</v>
      </c>
      <c r="O11345" t="s">
        <v>31</v>
      </c>
      <c r="P11345" t="str">
        <f>"19428"</f>
        <v>19428</v>
      </c>
    </row>
    <row r="11346" spans="1:16" x14ac:dyDescent="0.25">
      <c r="A11346" t="str">
        <f>"1180003R00174    00"</f>
        <v>1180003R00174    00</v>
      </c>
      <c r="B11346" t="s">
        <v>25105</v>
      </c>
      <c r="C11346" t="s">
        <v>25106</v>
      </c>
      <c r="D11346" t="s">
        <v>20</v>
      </c>
      <c r="E11346" t="s">
        <v>39</v>
      </c>
      <c r="F11346">
        <v>0</v>
      </c>
      <c r="G11346">
        <v>0</v>
      </c>
      <c r="H11346">
        <v>6</v>
      </c>
      <c r="I11346" s="3">
        <v>311.16000000000003</v>
      </c>
      <c r="J11346" s="3">
        <v>79.53</v>
      </c>
      <c r="L11346">
        <v>908</v>
      </c>
      <c r="M11346" t="s">
        <v>3525</v>
      </c>
      <c r="N11346" t="s">
        <v>30</v>
      </c>
      <c r="O11346" t="s">
        <v>31</v>
      </c>
      <c r="P11346" t="str">
        <f>"15203"</f>
        <v>15203</v>
      </c>
    </row>
    <row r="11347" spans="1:16" x14ac:dyDescent="0.25">
      <c r="A11347" t="str">
        <f>"1180003R00230    00"</f>
        <v>1180003R00230    00</v>
      </c>
      <c r="B11347" t="s">
        <v>25107</v>
      </c>
      <c r="C11347" t="s">
        <v>25108</v>
      </c>
      <c r="D11347" t="s">
        <v>20</v>
      </c>
      <c r="E11347" t="s">
        <v>39</v>
      </c>
      <c r="F11347">
        <v>0</v>
      </c>
      <c r="G11347">
        <v>0</v>
      </c>
      <c r="H11347">
        <v>3</v>
      </c>
      <c r="I11347" s="3">
        <v>1069.82</v>
      </c>
      <c r="J11347" s="3">
        <v>83.14</v>
      </c>
      <c r="L11347">
        <v>50</v>
      </c>
      <c r="M11347" t="s">
        <v>24318</v>
      </c>
      <c r="N11347" t="s">
        <v>30</v>
      </c>
      <c r="O11347" t="s">
        <v>31</v>
      </c>
      <c r="P11347" t="str">
        <f>"15203"</f>
        <v>15203</v>
      </c>
    </row>
    <row r="11348" spans="1:16" x14ac:dyDescent="0.25">
      <c r="A11348" t="str">
        <f>"1180003R00299    00"</f>
        <v>1180003R00299    00</v>
      </c>
      <c r="B11348" t="s">
        <v>25109</v>
      </c>
      <c r="C11348" t="s">
        <v>25110</v>
      </c>
      <c r="D11348" t="s">
        <v>20</v>
      </c>
      <c r="E11348" t="s">
        <v>39</v>
      </c>
      <c r="F11348">
        <v>0</v>
      </c>
      <c r="G11348">
        <v>0</v>
      </c>
      <c r="H11348">
        <v>8</v>
      </c>
      <c r="I11348" s="3">
        <v>5127.34</v>
      </c>
      <c r="J11348" s="3">
        <v>1454.39</v>
      </c>
      <c r="L11348">
        <v>3</v>
      </c>
      <c r="M11348" t="s">
        <v>25111</v>
      </c>
      <c r="N11348" t="s">
        <v>30</v>
      </c>
      <c r="O11348" t="s">
        <v>31</v>
      </c>
      <c r="P11348" t="str">
        <f>"15210"</f>
        <v>15210</v>
      </c>
    </row>
    <row r="11349" spans="1:16" x14ac:dyDescent="0.25">
      <c r="A11349" t="str">
        <f>"1180003R00301    00"</f>
        <v>1180003R00301    00</v>
      </c>
      <c r="B11349" t="s">
        <v>25109</v>
      </c>
      <c r="C11349" t="s">
        <v>25112</v>
      </c>
      <c r="D11349" t="s">
        <v>20</v>
      </c>
      <c r="E11349" t="s">
        <v>39</v>
      </c>
      <c r="F11349">
        <v>0</v>
      </c>
      <c r="G11349">
        <v>0</v>
      </c>
      <c r="H11349">
        <v>2</v>
      </c>
      <c r="I11349" s="3">
        <v>27.87</v>
      </c>
      <c r="J11349" s="3">
        <v>0</v>
      </c>
      <c r="L11349">
        <v>3</v>
      </c>
      <c r="M11349" t="s">
        <v>25111</v>
      </c>
      <c r="N11349" t="s">
        <v>30</v>
      </c>
      <c r="O11349" t="s">
        <v>31</v>
      </c>
      <c r="P11349" t="str">
        <f>"15210"</f>
        <v>15210</v>
      </c>
    </row>
    <row r="11350" spans="1:16" x14ac:dyDescent="0.25">
      <c r="A11350" t="str">
        <f>"1180003R00307    00"</f>
        <v>1180003R00307    00</v>
      </c>
      <c r="B11350" t="s">
        <v>25113</v>
      </c>
      <c r="C11350" t="s">
        <v>25114</v>
      </c>
      <c r="D11350" t="s">
        <v>20</v>
      </c>
      <c r="E11350" t="s">
        <v>39</v>
      </c>
      <c r="F11350">
        <v>0</v>
      </c>
      <c r="G11350">
        <v>0</v>
      </c>
      <c r="H11350">
        <v>1</v>
      </c>
      <c r="I11350" s="3">
        <v>371.68</v>
      </c>
      <c r="J11350" s="3">
        <v>0</v>
      </c>
      <c r="L11350">
        <v>4</v>
      </c>
      <c r="M11350" t="s">
        <v>25111</v>
      </c>
      <c r="N11350" t="s">
        <v>30</v>
      </c>
      <c r="O11350" t="s">
        <v>31</v>
      </c>
      <c r="P11350" t="str">
        <f>"15210"</f>
        <v>15210</v>
      </c>
    </row>
    <row r="11351" spans="1:16" x14ac:dyDescent="0.25">
      <c r="A11351" t="str">
        <f>"1180003R00325    00"</f>
        <v>1180003R00325    00</v>
      </c>
      <c r="B11351" t="s">
        <v>25115</v>
      </c>
      <c r="C11351" t="s">
        <v>25116</v>
      </c>
      <c r="D11351" t="s">
        <v>20</v>
      </c>
      <c r="E11351" t="s">
        <v>39</v>
      </c>
      <c r="F11351">
        <v>0</v>
      </c>
      <c r="G11351">
        <v>0</v>
      </c>
      <c r="H11351">
        <v>14</v>
      </c>
      <c r="I11351" s="3">
        <v>273.41000000000003</v>
      </c>
      <c r="J11351" s="3">
        <v>344.49</v>
      </c>
      <c r="L11351">
        <v>243</v>
      </c>
      <c r="M11351" t="s">
        <v>25117</v>
      </c>
      <c r="N11351" t="s">
        <v>30</v>
      </c>
      <c r="O11351" t="s">
        <v>31</v>
      </c>
      <c r="P11351" t="str">
        <f>"15211"</f>
        <v>15211</v>
      </c>
    </row>
    <row r="11352" spans="1:16" x14ac:dyDescent="0.25">
      <c r="A11352" t="str">
        <f>"1180004H00033    00"</f>
        <v>1180004H00033    00</v>
      </c>
      <c r="B11352" t="s">
        <v>25118</v>
      </c>
      <c r="C11352" t="s">
        <v>25119</v>
      </c>
      <c r="E11352" t="s">
        <v>39</v>
      </c>
      <c r="F11352">
        <v>0</v>
      </c>
      <c r="G11352">
        <v>0</v>
      </c>
      <c r="H11352">
        <v>2</v>
      </c>
      <c r="I11352" s="3">
        <v>1565.65</v>
      </c>
      <c r="J11352" s="3">
        <v>565.61</v>
      </c>
      <c r="K11352" t="s">
        <v>25120</v>
      </c>
      <c r="L11352">
        <v>166</v>
      </c>
      <c r="M11352" t="s">
        <v>3525</v>
      </c>
      <c r="N11352" t="s">
        <v>30</v>
      </c>
      <c r="O11352" t="s">
        <v>31</v>
      </c>
      <c r="P11352" t="str">
        <f>"15203"</f>
        <v>15203</v>
      </c>
    </row>
    <row r="11353" spans="1:16" x14ac:dyDescent="0.25">
      <c r="A11353" t="str">
        <f>"1180004H00230    00"</f>
        <v>1180004H00230    00</v>
      </c>
      <c r="B11353" t="s">
        <v>9290</v>
      </c>
      <c r="C11353" t="s">
        <v>24987</v>
      </c>
      <c r="D11353" t="s">
        <v>20</v>
      </c>
      <c r="E11353" t="s">
        <v>39</v>
      </c>
      <c r="F11353">
        <v>0</v>
      </c>
      <c r="G11353">
        <v>0</v>
      </c>
      <c r="H11353">
        <v>1</v>
      </c>
      <c r="I11353" s="3">
        <v>1886.94</v>
      </c>
      <c r="J11353" s="3">
        <v>0</v>
      </c>
      <c r="L11353">
        <v>414</v>
      </c>
      <c r="M11353" t="s">
        <v>9292</v>
      </c>
      <c r="N11353" t="s">
        <v>30</v>
      </c>
      <c r="O11353" t="s">
        <v>31</v>
      </c>
      <c r="P11353" t="str">
        <f>"15219"</f>
        <v>15219</v>
      </c>
    </row>
    <row r="11354" spans="1:16" x14ac:dyDescent="0.25">
      <c r="A11354" t="str">
        <f>"1180004L00208    00"</f>
        <v>1180004L00208    00</v>
      </c>
      <c r="B11354" t="s">
        <v>25121</v>
      </c>
      <c r="C11354" t="s">
        <v>25122</v>
      </c>
      <c r="D11354" t="s">
        <v>20</v>
      </c>
      <c r="E11354" t="s">
        <v>21</v>
      </c>
      <c r="F11354">
        <v>0</v>
      </c>
      <c r="G11354">
        <v>0</v>
      </c>
      <c r="H11354">
        <v>3</v>
      </c>
      <c r="I11354" s="3">
        <v>10359.56</v>
      </c>
      <c r="J11354" s="3">
        <v>242.15</v>
      </c>
      <c r="L11354">
        <v>35</v>
      </c>
      <c r="M11354" t="s">
        <v>22783</v>
      </c>
      <c r="N11354" t="s">
        <v>30</v>
      </c>
      <c r="O11354" t="s">
        <v>31</v>
      </c>
      <c r="P11354" t="str">
        <f>"15211"</f>
        <v>15211</v>
      </c>
    </row>
    <row r="11355" spans="1:16" x14ac:dyDescent="0.25">
      <c r="A11355" t="str">
        <f>"1180004L00241    00"</f>
        <v>1180004L00241    00</v>
      </c>
      <c r="B11355" t="s">
        <v>25123</v>
      </c>
      <c r="C11355" t="s">
        <v>25124</v>
      </c>
      <c r="D11355" t="s">
        <v>20</v>
      </c>
      <c r="E11355" t="s">
        <v>39</v>
      </c>
      <c r="F11355">
        <v>0</v>
      </c>
      <c r="G11355">
        <v>0</v>
      </c>
      <c r="H11355">
        <v>1</v>
      </c>
      <c r="I11355" s="3">
        <v>3143</v>
      </c>
      <c r="J11355" s="3">
        <v>0</v>
      </c>
      <c r="K11355" t="s">
        <v>25125</v>
      </c>
      <c r="L11355">
        <v>3</v>
      </c>
      <c r="M11355" t="s">
        <v>25126</v>
      </c>
      <c r="N11355" t="s">
        <v>25127</v>
      </c>
      <c r="O11355" t="s">
        <v>200</v>
      </c>
      <c r="P11355" t="str">
        <f>"11747"</f>
        <v>11747</v>
      </c>
    </row>
    <row r="11356" spans="1:16" x14ac:dyDescent="0.25">
      <c r="A11356" t="str">
        <f>"1180004M00025    00"</f>
        <v>1180004M00025    00</v>
      </c>
      <c r="B11356" t="s">
        <v>25128</v>
      </c>
      <c r="C11356" t="s">
        <v>25129</v>
      </c>
      <c r="E11356" t="s">
        <v>39</v>
      </c>
      <c r="F11356">
        <v>0</v>
      </c>
      <c r="G11356">
        <v>0</v>
      </c>
      <c r="H11356">
        <v>1</v>
      </c>
      <c r="I11356" s="3">
        <v>1315.88</v>
      </c>
      <c r="J11356" s="3">
        <v>975.91</v>
      </c>
      <c r="K11356" t="s">
        <v>8521</v>
      </c>
      <c r="L11356">
        <v>3001</v>
      </c>
      <c r="M11356" t="s">
        <v>330</v>
      </c>
      <c r="N11356" t="s">
        <v>331</v>
      </c>
      <c r="O11356" t="s">
        <v>108</v>
      </c>
      <c r="P11356" t="str">
        <f>"75063"</f>
        <v>75063</v>
      </c>
    </row>
    <row r="11357" spans="1:16" x14ac:dyDescent="0.25">
      <c r="A11357" t="str">
        <f>"1180004M00066    00"</f>
        <v>1180004M00066    00</v>
      </c>
      <c r="B11357" t="s">
        <v>25130</v>
      </c>
      <c r="C11357" t="s">
        <v>25131</v>
      </c>
      <c r="E11357" t="s">
        <v>39</v>
      </c>
      <c r="F11357">
        <v>0</v>
      </c>
      <c r="G11357">
        <v>0</v>
      </c>
      <c r="H11357">
        <v>1</v>
      </c>
      <c r="I11357" s="3">
        <v>4248</v>
      </c>
      <c r="J11357" s="3">
        <v>2017.71</v>
      </c>
      <c r="K11357" t="s">
        <v>391</v>
      </c>
      <c r="L11357">
        <v>1</v>
      </c>
      <c r="M11357" t="s">
        <v>392</v>
      </c>
      <c r="N11357" t="s">
        <v>393</v>
      </c>
      <c r="O11357" t="s">
        <v>394</v>
      </c>
      <c r="P11357" t="str">
        <f>"50328"</f>
        <v>50328</v>
      </c>
    </row>
    <row r="11358" spans="1:16" x14ac:dyDescent="0.25">
      <c r="A11358" t="str">
        <f>"1180004M00067    00"</f>
        <v>1180004M00067    00</v>
      </c>
      <c r="B11358" t="s">
        <v>25132</v>
      </c>
      <c r="C11358" t="s">
        <v>25133</v>
      </c>
      <c r="E11358" t="s">
        <v>39</v>
      </c>
      <c r="F11358">
        <v>0</v>
      </c>
      <c r="G11358">
        <v>0</v>
      </c>
      <c r="H11358">
        <v>1</v>
      </c>
      <c r="I11358" s="3">
        <v>102.92</v>
      </c>
      <c r="J11358" s="3">
        <v>20.58</v>
      </c>
      <c r="K11358" t="s">
        <v>1135</v>
      </c>
      <c r="L11358">
        <v>3001</v>
      </c>
      <c r="M11358" t="s">
        <v>330</v>
      </c>
      <c r="N11358" t="s">
        <v>331</v>
      </c>
      <c r="O11358" t="s">
        <v>108</v>
      </c>
      <c r="P11358" t="str">
        <f>"75063"</f>
        <v>75063</v>
      </c>
    </row>
    <row r="11359" spans="1:16" x14ac:dyDescent="0.25">
      <c r="A11359" t="str">
        <f>"1180004M00084    00"</f>
        <v>1180004M00084    00</v>
      </c>
      <c r="B11359" t="s">
        <v>25134</v>
      </c>
      <c r="C11359" t="s">
        <v>25135</v>
      </c>
      <c r="D11359" t="s">
        <v>20</v>
      </c>
      <c r="E11359" t="s">
        <v>39</v>
      </c>
      <c r="F11359">
        <v>0</v>
      </c>
      <c r="G11359">
        <v>0</v>
      </c>
      <c r="H11359">
        <v>2</v>
      </c>
      <c r="I11359" s="3">
        <v>993.01</v>
      </c>
      <c r="J11359" s="3">
        <v>0</v>
      </c>
      <c r="K11359" t="s">
        <v>25136</v>
      </c>
      <c r="L11359">
        <v>355</v>
      </c>
      <c r="M11359" t="s">
        <v>25137</v>
      </c>
      <c r="N11359" t="s">
        <v>30</v>
      </c>
      <c r="O11359" t="s">
        <v>31</v>
      </c>
      <c r="P11359" t="str">
        <f>"15211"</f>
        <v>15211</v>
      </c>
    </row>
    <row r="11360" spans="1:16" x14ac:dyDescent="0.25">
      <c r="A11360" t="str">
        <f>"1180004M00085    00"</f>
        <v>1180004M00085    00</v>
      </c>
      <c r="B11360" t="s">
        <v>25138</v>
      </c>
      <c r="C11360" t="s">
        <v>25139</v>
      </c>
      <c r="E11360" t="s">
        <v>39</v>
      </c>
      <c r="F11360">
        <v>0</v>
      </c>
      <c r="G11360">
        <v>0</v>
      </c>
      <c r="H11360">
        <v>1</v>
      </c>
      <c r="I11360" s="3">
        <v>2280.38</v>
      </c>
      <c r="J11360" s="3">
        <v>1691.21</v>
      </c>
      <c r="K11360" t="s">
        <v>400</v>
      </c>
      <c r="L11360">
        <v>3001</v>
      </c>
      <c r="M11360" t="s">
        <v>330</v>
      </c>
      <c r="N11360" t="s">
        <v>331</v>
      </c>
      <c r="O11360" t="s">
        <v>108</v>
      </c>
      <c r="P11360" t="str">
        <f>"75063"</f>
        <v>75063</v>
      </c>
    </row>
    <row r="11361" spans="1:16" x14ac:dyDescent="0.25">
      <c r="A11361" t="str">
        <f>"1180004M00095    00"</f>
        <v>1180004M00095    00</v>
      </c>
      <c r="B11361" t="s">
        <v>25140</v>
      </c>
      <c r="C11361" t="s">
        <v>25141</v>
      </c>
      <c r="E11361" t="s">
        <v>39</v>
      </c>
      <c r="F11361">
        <v>0</v>
      </c>
      <c r="G11361">
        <v>0</v>
      </c>
      <c r="H11361">
        <v>7</v>
      </c>
      <c r="I11361" s="3">
        <v>9176.23</v>
      </c>
      <c r="J11361" s="3">
        <v>3324.55</v>
      </c>
      <c r="K11361" t="s">
        <v>25142</v>
      </c>
      <c r="L11361">
        <v>20</v>
      </c>
      <c r="M11361" t="s">
        <v>25143</v>
      </c>
      <c r="N11361" t="s">
        <v>25144</v>
      </c>
      <c r="O11361" t="s">
        <v>200</v>
      </c>
      <c r="P11361" t="str">
        <f>"11735"</f>
        <v>11735</v>
      </c>
    </row>
    <row r="11362" spans="1:16" x14ac:dyDescent="0.25">
      <c r="A11362" t="str">
        <f>"1180004M00097    00"</f>
        <v>1180004M00097    00</v>
      </c>
      <c r="B11362" t="s">
        <v>25145</v>
      </c>
      <c r="C11362" t="s">
        <v>25146</v>
      </c>
      <c r="D11362" t="s">
        <v>20</v>
      </c>
      <c r="E11362" t="s">
        <v>39</v>
      </c>
      <c r="F11362">
        <v>0</v>
      </c>
      <c r="G11362">
        <v>0</v>
      </c>
      <c r="H11362">
        <v>1</v>
      </c>
      <c r="I11362" s="3">
        <v>3552.78</v>
      </c>
      <c r="J11362" s="3">
        <v>0</v>
      </c>
      <c r="L11362">
        <v>3237</v>
      </c>
      <c r="M11362" t="s">
        <v>1695</v>
      </c>
      <c r="N11362" t="s">
        <v>30</v>
      </c>
      <c r="O11362" t="s">
        <v>31</v>
      </c>
      <c r="P11362" t="str">
        <f>"15217"</f>
        <v>15217</v>
      </c>
    </row>
    <row r="11363" spans="1:16" x14ac:dyDescent="0.25">
      <c r="A11363" t="str">
        <f>"1180004M00131    00"</f>
        <v>1180004M00131    00</v>
      </c>
      <c r="B11363" t="s">
        <v>25147</v>
      </c>
      <c r="C11363" t="s">
        <v>25148</v>
      </c>
      <c r="E11363" t="s">
        <v>39</v>
      </c>
      <c r="F11363">
        <v>0</v>
      </c>
      <c r="G11363">
        <v>0</v>
      </c>
      <c r="H11363">
        <v>1</v>
      </c>
      <c r="I11363" s="3">
        <v>1890.03</v>
      </c>
      <c r="J11363" s="3">
        <v>425.25</v>
      </c>
      <c r="K11363" t="s">
        <v>25149</v>
      </c>
      <c r="L11363">
        <v>360</v>
      </c>
      <c r="M11363" t="s">
        <v>22783</v>
      </c>
      <c r="N11363" t="s">
        <v>30</v>
      </c>
      <c r="O11363" t="s">
        <v>31</v>
      </c>
      <c r="P11363" t="str">
        <f>"15211"</f>
        <v>15211</v>
      </c>
    </row>
    <row r="11364" spans="1:16" x14ac:dyDescent="0.25">
      <c r="A11364" t="str">
        <f>"1180004M00141    00"</f>
        <v>1180004M00141    00</v>
      </c>
      <c r="B11364" t="s">
        <v>25150</v>
      </c>
      <c r="C11364" t="s">
        <v>25151</v>
      </c>
      <c r="D11364" t="s">
        <v>20</v>
      </c>
      <c r="E11364" t="s">
        <v>39</v>
      </c>
      <c r="F11364">
        <v>0</v>
      </c>
      <c r="G11364">
        <v>0</v>
      </c>
      <c r="H11364">
        <v>1</v>
      </c>
      <c r="I11364" s="3">
        <v>1310.07</v>
      </c>
      <c r="J11364" s="3">
        <v>0</v>
      </c>
      <c r="K11364" t="s">
        <v>25152</v>
      </c>
      <c r="L11364">
        <v>402</v>
      </c>
      <c r="M11364" t="s">
        <v>22783</v>
      </c>
      <c r="N11364" t="s">
        <v>30</v>
      </c>
      <c r="O11364" t="s">
        <v>31</v>
      </c>
      <c r="P11364" t="str">
        <f>"15211"</f>
        <v>15211</v>
      </c>
    </row>
    <row r="11365" spans="1:16" x14ac:dyDescent="0.25">
      <c r="A11365" t="str">
        <f>"1180004M00146    00"</f>
        <v>1180004M00146    00</v>
      </c>
      <c r="B11365" t="s">
        <v>25153</v>
      </c>
      <c r="C11365" t="s">
        <v>25154</v>
      </c>
      <c r="D11365" t="s">
        <v>20</v>
      </c>
      <c r="E11365" t="s">
        <v>21</v>
      </c>
      <c r="F11365">
        <v>0</v>
      </c>
      <c r="G11365">
        <v>0</v>
      </c>
      <c r="H11365">
        <v>2</v>
      </c>
      <c r="I11365" s="3">
        <v>226.08</v>
      </c>
      <c r="J11365" s="3">
        <v>0</v>
      </c>
      <c r="K11365" t="s">
        <v>25155</v>
      </c>
      <c r="L11365">
        <v>208</v>
      </c>
      <c r="M11365" t="s">
        <v>25156</v>
      </c>
      <c r="N11365" t="s">
        <v>1766</v>
      </c>
      <c r="O11365" t="s">
        <v>31</v>
      </c>
      <c r="P11365" t="str">
        <f>"15367"</f>
        <v>15367</v>
      </c>
    </row>
    <row r="11366" spans="1:16" x14ac:dyDescent="0.25">
      <c r="A11366" t="str">
        <f>"1180004M00150    00"</f>
        <v>1180004M00150    00</v>
      </c>
      <c r="B11366" t="s">
        <v>25157</v>
      </c>
      <c r="C11366" t="s">
        <v>25158</v>
      </c>
      <c r="E11366" t="s">
        <v>39</v>
      </c>
      <c r="F11366">
        <v>0</v>
      </c>
      <c r="G11366">
        <v>0</v>
      </c>
      <c r="H11366">
        <v>1</v>
      </c>
      <c r="I11366" s="3">
        <v>5139.76</v>
      </c>
      <c r="J11366" s="3">
        <v>1156.4000000000001</v>
      </c>
      <c r="K11366" t="s">
        <v>25159</v>
      </c>
      <c r="L11366">
        <v>3001</v>
      </c>
      <c r="M11366" t="s">
        <v>330</v>
      </c>
      <c r="N11366" t="s">
        <v>331</v>
      </c>
      <c r="O11366" t="s">
        <v>108</v>
      </c>
      <c r="P11366" t="str">
        <f>"75063"</f>
        <v>75063</v>
      </c>
    </row>
    <row r="11367" spans="1:16" x14ac:dyDescent="0.25">
      <c r="A11367" t="str">
        <f>"1180004M00196    00"</f>
        <v>1180004M00196    00</v>
      </c>
      <c r="B11367" t="s">
        <v>25160</v>
      </c>
      <c r="C11367" t="s">
        <v>25161</v>
      </c>
      <c r="D11367" t="s">
        <v>20</v>
      </c>
      <c r="E11367" t="s">
        <v>39</v>
      </c>
      <c r="F11367">
        <v>0</v>
      </c>
      <c r="G11367">
        <v>0</v>
      </c>
      <c r="H11367">
        <v>1</v>
      </c>
      <c r="I11367" s="3">
        <v>997.32</v>
      </c>
      <c r="J11367" s="3">
        <v>0</v>
      </c>
      <c r="K11367" t="s">
        <v>25162</v>
      </c>
      <c r="L11367">
        <v>336</v>
      </c>
      <c r="M11367" t="s">
        <v>22783</v>
      </c>
      <c r="N11367" t="s">
        <v>30</v>
      </c>
      <c r="O11367" t="s">
        <v>31</v>
      </c>
      <c r="P11367" t="str">
        <f>"15211"</f>
        <v>15211</v>
      </c>
    </row>
    <row r="11368" spans="1:16" x14ac:dyDescent="0.25">
      <c r="A11368" t="str">
        <f>"1180004M00198    00"</f>
        <v>1180004M00198    00</v>
      </c>
      <c r="B11368" t="s">
        <v>25163</v>
      </c>
      <c r="C11368" t="s">
        <v>25164</v>
      </c>
      <c r="E11368" t="s">
        <v>39</v>
      </c>
      <c r="F11368">
        <v>0</v>
      </c>
      <c r="G11368">
        <v>0</v>
      </c>
      <c r="H11368">
        <v>1</v>
      </c>
      <c r="I11368" s="3">
        <v>1759.89</v>
      </c>
      <c r="J11368" s="3">
        <v>0</v>
      </c>
      <c r="L11368">
        <v>109</v>
      </c>
      <c r="M11368" t="s">
        <v>16347</v>
      </c>
      <c r="N11368" t="s">
        <v>30</v>
      </c>
      <c r="O11368" t="s">
        <v>31</v>
      </c>
      <c r="P11368" t="str">
        <f>"15220"</f>
        <v>15220</v>
      </c>
    </row>
    <row r="11369" spans="1:16" x14ac:dyDescent="0.25">
      <c r="A11369" t="str">
        <f>"1180004M00199    00"</f>
        <v>1180004M00199    00</v>
      </c>
      <c r="B11369" t="s">
        <v>25165</v>
      </c>
      <c r="C11369" t="s">
        <v>25166</v>
      </c>
      <c r="E11369" t="s">
        <v>39</v>
      </c>
      <c r="F11369">
        <v>0</v>
      </c>
      <c r="G11369">
        <v>0</v>
      </c>
      <c r="H11369">
        <v>1</v>
      </c>
      <c r="I11369" s="3">
        <v>2236.92</v>
      </c>
      <c r="J11369" s="3">
        <v>0</v>
      </c>
      <c r="L11369">
        <v>322</v>
      </c>
      <c r="M11369" t="s">
        <v>25167</v>
      </c>
      <c r="N11369" t="s">
        <v>30</v>
      </c>
      <c r="O11369" t="s">
        <v>31</v>
      </c>
      <c r="P11369" t="str">
        <f>"15211"</f>
        <v>15211</v>
      </c>
    </row>
    <row r="11370" spans="1:16" x14ac:dyDescent="0.25">
      <c r="A11370" t="str">
        <f>"1180004M00201    00"</f>
        <v>1180004M00201    00</v>
      </c>
      <c r="B11370" t="s">
        <v>25168</v>
      </c>
      <c r="C11370" t="s">
        <v>25169</v>
      </c>
      <c r="E11370" t="s">
        <v>39</v>
      </c>
      <c r="F11370">
        <v>0</v>
      </c>
      <c r="G11370">
        <v>0</v>
      </c>
      <c r="H11370">
        <v>2</v>
      </c>
      <c r="I11370" s="3">
        <v>3603.61</v>
      </c>
      <c r="J11370" s="3">
        <v>246.43</v>
      </c>
      <c r="K11370" t="s">
        <v>4971</v>
      </c>
      <c r="L11370">
        <v>3525</v>
      </c>
      <c r="M11370" t="s">
        <v>25170</v>
      </c>
      <c r="N11370" t="s">
        <v>605</v>
      </c>
      <c r="O11370" t="s">
        <v>606</v>
      </c>
      <c r="P11370" t="str">
        <f>"30305"</f>
        <v>30305</v>
      </c>
    </row>
    <row r="11371" spans="1:16" x14ac:dyDescent="0.25">
      <c r="A11371" t="str">
        <f>"1180004M00207    00"</f>
        <v>1180004M00207    00</v>
      </c>
      <c r="B11371" t="s">
        <v>25171</v>
      </c>
      <c r="C11371" t="s">
        <v>25172</v>
      </c>
      <c r="E11371" t="s">
        <v>39</v>
      </c>
      <c r="F11371">
        <v>0</v>
      </c>
      <c r="G11371">
        <v>0</v>
      </c>
      <c r="H11371">
        <v>2</v>
      </c>
      <c r="I11371" s="3">
        <v>3655.72</v>
      </c>
      <c r="J11371" s="3">
        <v>45.69</v>
      </c>
      <c r="M11371" t="s">
        <v>25173</v>
      </c>
      <c r="N11371" t="s">
        <v>30</v>
      </c>
      <c r="O11371" t="s">
        <v>31</v>
      </c>
      <c r="P11371" t="str">
        <f>"15211"</f>
        <v>15211</v>
      </c>
    </row>
    <row r="11372" spans="1:16" x14ac:dyDescent="0.25">
      <c r="A11372" t="str">
        <f>"1180004M00218    00"</f>
        <v>1180004M00218    00</v>
      </c>
      <c r="B11372" t="s">
        <v>25174</v>
      </c>
      <c r="C11372" t="s">
        <v>25175</v>
      </c>
      <c r="E11372" t="s">
        <v>39</v>
      </c>
      <c r="F11372">
        <v>0</v>
      </c>
      <c r="G11372">
        <v>0</v>
      </c>
      <c r="H11372">
        <v>2</v>
      </c>
      <c r="I11372" s="3">
        <v>13617.42</v>
      </c>
      <c r="J11372" s="3">
        <v>170.22</v>
      </c>
      <c r="K11372" t="s">
        <v>4397</v>
      </c>
      <c r="L11372">
        <v>1050</v>
      </c>
      <c r="M11372" t="s">
        <v>25176</v>
      </c>
      <c r="N11372" t="s">
        <v>3827</v>
      </c>
      <c r="O11372" t="s">
        <v>70</v>
      </c>
      <c r="P11372" t="str">
        <f>"48226"</f>
        <v>48226</v>
      </c>
    </row>
    <row r="11373" spans="1:16" x14ac:dyDescent="0.25">
      <c r="A11373" t="str">
        <f>"1180004R00240    00"</f>
        <v>1180004R00240    00</v>
      </c>
      <c r="B11373" t="s">
        <v>25177</v>
      </c>
      <c r="C11373" t="s">
        <v>25178</v>
      </c>
      <c r="D11373" t="s">
        <v>20</v>
      </c>
      <c r="E11373" t="s">
        <v>39</v>
      </c>
      <c r="F11373">
        <v>0</v>
      </c>
      <c r="G11373">
        <v>0</v>
      </c>
      <c r="H11373">
        <v>1</v>
      </c>
      <c r="I11373" s="3">
        <v>1915.54</v>
      </c>
      <c r="J11373" s="3">
        <v>0</v>
      </c>
      <c r="K11373" t="s">
        <v>5334</v>
      </c>
      <c r="L11373">
        <v>3001</v>
      </c>
      <c r="M11373" t="s">
        <v>330</v>
      </c>
      <c r="N11373" t="s">
        <v>331</v>
      </c>
      <c r="O11373" t="s">
        <v>108</v>
      </c>
      <c r="P11373" t="str">
        <f>"75063"</f>
        <v>75063</v>
      </c>
    </row>
    <row r="11374" spans="1:16" x14ac:dyDescent="0.25">
      <c r="A11374" t="str">
        <f>"1180004R00243A   00"</f>
        <v>1180004R00243A   00</v>
      </c>
      <c r="B11374" t="s">
        <v>25179</v>
      </c>
      <c r="C11374" t="s">
        <v>25180</v>
      </c>
      <c r="D11374" t="s">
        <v>20</v>
      </c>
      <c r="E11374" t="s">
        <v>39</v>
      </c>
      <c r="F11374">
        <v>0</v>
      </c>
      <c r="G11374">
        <v>0</v>
      </c>
      <c r="H11374">
        <v>2</v>
      </c>
      <c r="I11374" s="3">
        <v>1311.32</v>
      </c>
      <c r="J11374" s="3">
        <v>0</v>
      </c>
      <c r="K11374" t="s">
        <v>25181</v>
      </c>
      <c r="L11374">
        <v>1461</v>
      </c>
      <c r="M11374" t="s">
        <v>11750</v>
      </c>
      <c r="N11374" t="s">
        <v>30</v>
      </c>
      <c r="O11374" t="s">
        <v>31</v>
      </c>
      <c r="P11374" t="str">
        <f>"15226"</f>
        <v>15226</v>
      </c>
    </row>
    <row r="11375" spans="1:16" x14ac:dyDescent="0.25">
      <c r="A11375" t="str">
        <f>"1180004R00252    00"</f>
        <v>1180004R00252    00</v>
      </c>
      <c r="B11375" t="s">
        <v>25182</v>
      </c>
      <c r="C11375" t="s">
        <v>25183</v>
      </c>
      <c r="E11375" t="s">
        <v>39</v>
      </c>
      <c r="F11375">
        <v>0</v>
      </c>
      <c r="G11375">
        <v>0</v>
      </c>
      <c r="H11375">
        <v>1</v>
      </c>
      <c r="I11375" s="3">
        <v>472.85</v>
      </c>
      <c r="J11375" s="3">
        <v>189.13</v>
      </c>
      <c r="K11375" t="s">
        <v>5861</v>
      </c>
      <c r="L11375">
        <v>3001</v>
      </c>
      <c r="M11375" t="s">
        <v>404</v>
      </c>
      <c r="N11375" t="s">
        <v>331</v>
      </c>
      <c r="O11375" t="s">
        <v>108</v>
      </c>
      <c r="P11375" t="str">
        <f>"75063"</f>
        <v>75063</v>
      </c>
    </row>
    <row r="11376" spans="1:16" x14ac:dyDescent="0.25">
      <c r="A11376" t="str">
        <f>"1180004R00267    00"</f>
        <v>1180004R00267    00</v>
      </c>
      <c r="B11376" t="s">
        <v>25184</v>
      </c>
      <c r="C11376" t="s">
        <v>25185</v>
      </c>
      <c r="E11376" t="s">
        <v>39</v>
      </c>
      <c r="F11376">
        <v>0</v>
      </c>
      <c r="G11376">
        <v>0</v>
      </c>
      <c r="H11376">
        <v>3</v>
      </c>
      <c r="I11376" s="3">
        <v>5285.42</v>
      </c>
      <c r="J11376" s="3">
        <v>5373.3</v>
      </c>
      <c r="K11376" t="s">
        <v>4293</v>
      </c>
      <c r="L11376">
        <v>411</v>
      </c>
      <c r="M11376" t="s">
        <v>4294</v>
      </c>
      <c r="N11376" t="s">
        <v>3934</v>
      </c>
      <c r="O11376" t="s">
        <v>31</v>
      </c>
      <c r="P11376" t="str">
        <f>"15102"</f>
        <v>15102</v>
      </c>
    </row>
    <row r="11377" spans="1:16" x14ac:dyDescent="0.25">
      <c r="A11377" t="str">
        <f>"1180004R00276    00"</f>
        <v>1180004R00276    00</v>
      </c>
      <c r="B11377" t="s">
        <v>25186</v>
      </c>
      <c r="C11377" t="s">
        <v>25187</v>
      </c>
      <c r="E11377" t="s">
        <v>39</v>
      </c>
      <c r="F11377">
        <v>0</v>
      </c>
      <c r="G11377">
        <v>0</v>
      </c>
      <c r="H11377">
        <v>2</v>
      </c>
      <c r="I11377" s="3">
        <v>4372.38</v>
      </c>
      <c r="J11377" s="3">
        <v>54.65</v>
      </c>
      <c r="K11377" t="s">
        <v>7017</v>
      </c>
      <c r="L11377">
        <v>428</v>
      </c>
      <c r="M11377" t="s">
        <v>7018</v>
      </c>
      <c r="N11377" t="s">
        <v>5847</v>
      </c>
      <c r="O11377" t="s">
        <v>31</v>
      </c>
      <c r="P11377" t="str">
        <f>"15139"</f>
        <v>15139</v>
      </c>
    </row>
    <row r="11378" spans="1:16" x14ac:dyDescent="0.25">
      <c r="A11378" t="str">
        <f>"1180004R00280    00"</f>
        <v>1180004R00280    00</v>
      </c>
      <c r="B11378" t="s">
        <v>25188</v>
      </c>
      <c r="C11378" t="s">
        <v>25189</v>
      </c>
      <c r="D11378" t="s">
        <v>20</v>
      </c>
      <c r="E11378" t="s">
        <v>39</v>
      </c>
      <c r="F11378">
        <v>0</v>
      </c>
      <c r="G11378">
        <v>0</v>
      </c>
      <c r="H11378">
        <v>7</v>
      </c>
      <c r="I11378" s="3">
        <v>10083.129999999999</v>
      </c>
      <c r="J11378" s="3">
        <v>2424.5700000000002</v>
      </c>
      <c r="L11378">
        <v>5251</v>
      </c>
      <c r="M11378" t="s">
        <v>25190</v>
      </c>
      <c r="N11378" t="s">
        <v>30</v>
      </c>
      <c r="O11378" t="s">
        <v>31</v>
      </c>
      <c r="P11378" t="str">
        <f>"15236"</f>
        <v>15236</v>
      </c>
    </row>
    <row r="11379" spans="1:16" x14ac:dyDescent="0.25">
      <c r="A11379" t="str">
        <f>"1180004R00295    00"</f>
        <v>1180004R00295    00</v>
      </c>
      <c r="B11379" t="s">
        <v>25191</v>
      </c>
      <c r="C11379" t="s">
        <v>25192</v>
      </c>
      <c r="E11379" t="s">
        <v>39</v>
      </c>
      <c r="F11379">
        <v>0</v>
      </c>
      <c r="G11379">
        <v>0</v>
      </c>
      <c r="H11379">
        <v>1</v>
      </c>
      <c r="I11379" s="3">
        <v>360.34</v>
      </c>
      <c r="J11379" s="3">
        <v>0</v>
      </c>
      <c r="L11379">
        <v>940</v>
      </c>
      <c r="M11379" t="s">
        <v>25193</v>
      </c>
      <c r="N11379" t="s">
        <v>30</v>
      </c>
      <c r="O11379" t="s">
        <v>31</v>
      </c>
      <c r="P11379" t="str">
        <f>"15216"</f>
        <v>15216</v>
      </c>
    </row>
    <row r="11380" spans="1:16" x14ac:dyDescent="0.25">
      <c r="A11380" t="str">
        <f>"1180004R00299    00"</f>
        <v>1180004R00299    00</v>
      </c>
      <c r="B11380" t="s">
        <v>25194</v>
      </c>
      <c r="C11380" t="s">
        <v>25195</v>
      </c>
      <c r="D11380" t="s">
        <v>20</v>
      </c>
      <c r="E11380" t="s">
        <v>39</v>
      </c>
      <c r="F11380">
        <v>0</v>
      </c>
      <c r="G11380">
        <v>0</v>
      </c>
      <c r="H11380">
        <v>9</v>
      </c>
      <c r="I11380" s="3">
        <v>871.39</v>
      </c>
      <c r="J11380" s="3">
        <v>313.2</v>
      </c>
      <c r="L11380">
        <v>46</v>
      </c>
      <c r="M11380" t="s">
        <v>25196</v>
      </c>
      <c r="N11380" t="s">
        <v>30</v>
      </c>
      <c r="O11380" t="s">
        <v>31</v>
      </c>
      <c r="P11380" t="str">
        <f>"15211"</f>
        <v>15211</v>
      </c>
    </row>
    <row r="11381" spans="1:16" x14ac:dyDescent="0.25">
      <c r="A11381" t="str">
        <f>"1180004R00301    00"</f>
        <v>1180004R00301    00</v>
      </c>
      <c r="B11381" t="s">
        <v>25145</v>
      </c>
      <c r="C11381" t="s">
        <v>25197</v>
      </c>
      <c r="D11381" t="s">
        <v>20</v>
      </c>
      <c r="E11381" t="s">
        <v>39</v>
      </c>
      <c r="F11381">
        <v>0</v>
      </c>
      <c r="G11381">
        <v>0</v>
      </c>
      <c r="H11381">
        <v>1</v>
      </c>
      <c r="I11381" s="3">
        <v>2900.95</v>
      </c>
      <c r="J11381" s="3">
        <v>0</v>
      </c>
      <c r="L11381">
        <v>3237</v>
      </c>
      <c r="M11381" t="s">
        <v>1695</v>
      </c>
      <c r="N11381" t="s">
        <v>30</v>
      </c>
      <c r="O11381" t="s">
        <v>31</v>
      </c>
      <c r="P11381" t="str">
        <f>"15217"</f>
        <v>15217</v>
      </c>
    </row>
    <row r="11382" spans="1:16" x14ac:dyDescent="0.25">
      <c r="A11382" t="str">
        <f>"1180004R00306    00"</f>
        <v>1180004R00306    00</v>
      </c>
      <c r="B11382" t="s">
        <v>25198</v>
      </c>
      <c r="C11382" t="s">
        <v>25199</v>
      </c>
      <c r="D11382" t="s">
        <v>20</v>
      </c>
      <c r="E11382" t="s">
        <v>39</v>
      </c>
      <c r="F11382">
        <v>0</v>
      </c>
      <c r="G11382">
        <v>0</v>
      </c>
      <c r="H11382">
        <v>1</v>
      </c>
      <c r="I11382" s="3">
        <v>758.61</v>
      </c>
      <c r="J11382" s="3">
        <v>0</v>
      </c>
      <c r="K11382" t="s">
        <v>25200</v>
      </c>
      <c r="M11382" t="s">
        <v>25201</v>
      </c>
      <c r="N11382" t="s">
        <v>30</v>
      </c>
      <c r="O11382" t="s">
        <v>31</v>
      </c>
      <c r="P11382" t="str">
        <f>"15211"</f>
        <v>15211</v>
      </c>
    </row>
    <row r="11383" spans="1:16" x14ac:dyDescent="0.25">
      <c r="A11383" t="str">
        <f>"1180004R00320    00"</f>
        <v>1180004R00320    00</v>
      </c>
      <c r="B11383" t="s">
        <v>25202</v>
      </c>
      <c r="C11383" t="s">
        <v>25203</v>
      </c>
      <c r="D11383" t="s">
        <v>20</v>
      </c>
      <c r="E11383" t="s">
        <v>39</v>
      </c>
      <c r="F11383">
        <v>0</v>
      </c>
      <c r="G11383">
        <v>0</v>
      </c>
      <c r="H11383">
        <v>1</v>
      </c>
      <c r="I11383" s="3">
        <v>1040.7</v>
      </c>
      <c r="J11383" s="3">
        <v>0</v>
      </c>
      <c r="K11383" t="s">
        <v>25200</v>
      </c>
      <c r="M11383" t="s">
        <v>25201</v>
      </c>
      <c r="N11383" t="s">
        <v>30</v>
      </c>
      <c r="O11383" t="s">
        <v>31</v>
      </c>
      <c r="P11383" t="str">
        <f>"15211"</f>
        <v>15211</v>
      </c>
    </row>
    <row r="11384" spans="1:16" x14ac:dyDescent="0.25">
      <c r="A11384" t="str">
        <f>"1180004S00007    00"</f>
        <v>1180004S00007    00</v>
      </c>
      <c r="B11384" t="s">
        <v>25204</v>
      </c>
      <c r="C11384" t="s">
        <v>25205</v>
      </c>
      <c r="D11384" t="s">
        <v>20</v>
      </c>
      <c r="E11384" t="s">
        <v>39</v>
      </c>
      <c r="F11384">
        <v>0</v>
      </c>
      <c r="G11384">
        <v>0</v>
      </c>
      <c r="H11384">
        <v>19</v>
      </c>
      <c r="I11384" s="3">
        <v>279.7</v>
      </c>
      <c r="J11384" s="3">
        <v>282.8</v>
      </c>
      <c r="L11384">
        <v>1800</v>
      </c>
      <c r="M11384" t="s">
        <v>25206</v>
      </c>
      <c r="N11384" t="s">
        <v>30</v>
      </c>
      <c r="O11384" t="s">
        <v>31</v>
      </c>
      <c r="P11384" t="str">
        <f>"15210"</f>
        <v>15210</v>
      </c>
    </row>
    <row r="11385" spans="1:16" x14ac:dyDescent="0.25">
      <c r="A11385" t="str">
        <f>"1180004S00029    00"</f>
        <v>1180004S00029    00</v>
      </c>
      <c r="B11385" t="s">
        <v>25207</v>
      </c>
      <c r="C11385" t="s">
        <v>25208</v>
      </c>
      <c r="D11385" t="s">
        <v>20</v>
      </c>
      <c r="E11385" t="s">
        <v>39</v>
      </c>
      <c r="F11385">
        <v>0</v>
      </c>
      <c r="G11385">
        <v>0</v>
      </c>
      <c r="H11385">
        <v>1</v>
      </c>
      <c r="I11385" s="3">
        <v>338.99</v>
      </c>
      <c r="J11385" s="3">
        <v>0</v>
      </c>
      <c r="L11385">
        <v>311</v>
      </c>
      <c r="M11385" t="s">
        <v>25209</v>
      </c>
      <c r="N11385" t="s">
        <v>30</v>
      </c>
      <c r="O11385" t="s">
        <v>31</v>
      </c>
      <c r="P11385" t="str">
        <f>"15211"</f>
        <v>15211</v>
      </c>
    </row>
    <row r="11386" spans="1:16" x14ac:dyDescent="0.25">
      <c r="A11386" t="str">
        <f>"1180004S00040    00"</f>
        <v>1180004S00040    00</v>
      </c>
      <c r="B11386" t="s">
        <v>25210</v>
      </c>
      <c r="C11386" t="s">
        <v>25211</v>
      </c>
      <c r="D11386" t="s">
        <v>20</v>
      </c>
      <c r="E11386" t="s">
        <v>39</v>
      </c>
      <c r="F11386">
        <v>0</v>
      </c>
      <c r="G11386">
        <v>0</v>
      </c>
      <c r="H11386">
        <v>1</v>
      </c>
      <c r="I11386" s="3">
        <v>312.79000000000002</v>
      </c>
      <c r="J11386" s="3">
        <v>0</v>
      </c>
      <c r="L11386">
        <v>21</v>
      </c>
      <c r="M11386" t="s">
        <v>7116</v>
      </c>
      <c r="N11386" t="s">
        <v>30</v>
      </c>
      <c r="O11386" t="s">
        <v>31</v>
      </c>
      <c r="P11386" t="str">
        <f>"15211"</f>
        <v>15211</v>
      </c>
    </row>
    <row r="11387" spans="1:16" x14ac:dyDescent="0.25">
      <c r="A11387" t="str">
        <f>"1180004S00043    00"</f>
        <v>1180004S00043    00</v>
      </c>
      <c r="B11387" t="s">
        <v>25212</v>
      </c>
      <c r="C11387" t="s">
        <v>25213</v>
      </c>
      <c r="D11387" t="s">
        <v>20</v>
      </c>
      <c r="E11387" t="s">
        <v>39</v>
      </c>
      <c r="F11387">
        <v>0</v>
      </c>
      <c r="G11387">
        <v>0</v>
      </c>
      <c r="H11387">
        <v>1</v>
      </c>
      <c r="I11387" s="3">
        <v>770.05</v>
      </c>
      <c r="J11387" s="3">
        <v>0</v>
      </c>
      <c r="K11387" t="s">
        <v>759</v>
      </c>
      <c r="L11387">
        <v>3001</v>
      </c>
      <c r="M11387" t="s">
        <v>404</v>
      </c>
      <c r="N11387" t="s">
        <v>331</v>
      </c>
      <c r="O11387" t="s">
        <v>108</v>
      </c>
      <c r="P11387" t="str">
        <f>"75063"</f>
        <v>75063</v>
      </c>
    </row>
    <row r="11388" spans="1:16" x14ac:dyDescent="0.25">
      <c r="A11388" t="str">
        <f>"1180004S00044    00"</f>
        <v>1180004S00044    00</v>
      </c>
      <c r="B11388" t="s">
        <v>25212</v>
      </c>
      <c r="C11388" t="s">
        <v>25213</v>
      </c>
      <c r="D11388" t="s">
        <v>20</v>
      </c>
      <c r="E11388" t="s">
        <v>39</v>
      </c>
      <c r="F11388">
        <v>0</v>
      </c>
      <c r="G11388">
        <v>0</v>
      </c>
      <c r="H11388">
        <v>1</v>
      </c>
      <c r="I11388" s="3">
        <v>369.78</v>
      </c>
      <c r="J11388" s="3">
        <v>0</v>
      </c>
      <c r="K11388" t="s">
        <v>759</v>
      </c>
      <c r="L11388">
        <v>3001</v>
      </c>
      <c r="M11388" t="s">
        <v>404</v>
      </c>
      <c r="N11388" t="s">
        <v>331</v>
      </c>
      <c r="O11388" t="s">
        <v>108</v>
      </c>
      <c r="P11388" t="str">
        <f>"75063"</f>
        <v>75063</v>
      </c>
    </row>
    <row r="11389" spans="1:16" x14ac:dyDescent="0.25">
      <c r="A11389" t="str">
        <f>"1180004S00058    00"</f>
        <v>1180004S00058    00</v>
      </c>
      <c r="B11389" t="s">
        <v>25214</v>
      </c>
      <c r="C11389" t="s">
        <v>25215</v>
      </c>
      <c r="D11389" t="s">
        <v>20</v>
      </c>
      <c r="E11389" t="s">
        <v>39</v>
      </c>
      <c r="F11389">
        <v>0</v>
      </c>
      <c r="G11389">
        <v>0</v>
      </c>
      <c r="H11389">
        <v>3</v>
      </c>
      <c r="I11389" s="3">
        <v>230.16</v>
      </c>
      <c r="J11389" s="3">
        <v>7.24</v>
      </c>
      <c r="K11389" t="s">
        <v>25216</v>
      </c>
      <c r="L11389">
        <v>420</v>
      </c>
      <c r="M11389" t="s">
        <v>25217</v>
      </c>
      <c r="N11389" t="s">
        <v>30</v>
      </c>
      <c r="O11389" t="s">
        <v>31</v>
      </c>
      <c r="P11389" t="str">
        <f>"15211"</f>
        <v>15211</v>
      </c>
    </row>
    <row r="11390" spans="1:16" x14ac:dyDescent="0.25">
      <c r="A11390" t="str">
        <f>"1180004S00059    00"</f>
        <v>1180004S00059    00</v>
      </c>
      <c r="B11390" t="s">
        <v>25218</v>
      </c>
      <c r="C11390" t="s">
        <v>25219</v>
      </c>
      <c r="D11390" t="s">
        <v>20</v>
      </c>
      <c r="E11390" t="s">
        <v>39</v>
      </c>
      <c r="F11390">
        <v>0</v>
      </c>
      <c r="G11390">
        <v>0</v>
      </c>
      <c r="H11390">
        <v>1</v>
      </c>
      <c r="I11390" s="3">
        <v>991.14</v>
      </c>
      <c r="J11390" s="3">
        <v>0</v>
      </c>
      <c r="K11390" t="s">
        <v>25220</v>
      </c>
      <c r="L11390">
        <v>18</v>
      </c>
      <c r="M11390" t="s">
        <v>7116</v>
      </c>
      <c r="N11390" t="s">
        <v>30</v>
      </c>
      <c r="O11390" t="s">
        <v>31</v>
      </c>
      <c r="P11390" t="str">
        <f>"15211"</f>
        <v>15211</v>
      </c>
    </row>
    <row r="11391" spans="1:16" x14ac:dyDescent="0.25">
      <c r="A11391" t="str">
        <f>"1180004S00061    00"</f>
        <v>1180004S00061    00</v>
      </c>
      <c r="B11391" t="s">
        <v>25221</v>
      </c>
      <c r="C11391" t="s">
        <v>25215</v>
      </c>
      <c r="D11391" t="s">
        <v>20</v>
      </c>
      <c r="E11391" t="s">
        <v>39</v>
      </c>
      <c r="F11391">
        <v>0</v>
      </c>
      <c r="G11391">
        <v>0</v>
      </c>
      <c r="H11391">
        <v>2</v>
      </c>
      <c r="I11391" s="3">
        <v>221.1</v>
      </c>
      <c r="J11391" s="3">
        <v>0</v>
      </c>
      <c r="K11391" t="s">
        <v>8985</v>
      </c>
      <c r="M11391" t="s">
        <v>8986</v>
      </c>
      <c r="N11391" t="s">
        <v>8987</v>
      </c>
      <c r="O11391" t="s">
        <v>495</v>
      </c>
      <c r="P11391" t="str">
        <f>"90660"</f>
        <v>90660</v>
      </c>
    </row>
    <row r="11392" spans="1:16" x14ac:dyDescent="0.25">
      <c r="A11392" t="str">
        <f>"1180004S00069    00"</f>
        <v>1180004S00069    00</v>
      </c>
      <c r="B11392" t="s">
        <v>25222</v>
      </c>
      <c r="C11392" t="s">
        <v>25223</v>
      </c>
      <c r="D11392" t="s">
        <v>20</v>
      </c>
      <c r="E11392" t="s">
        <v>39</v>
      </c>
      <c r="F11392">
        <v>0</v>
      </c>
      <c r="G11392">
        <v>0</v>
      </c>
      <c r="H11392">
        <v>2</v>
      </c>
      <c r="I11392" s="3">
        <v>1488.3</v>
      </c>
      <c r="J11392" s="3">
        <v>0</v>
      </c>
      <c r="K11392" t="s">
        <v>1127</v>
      </c>
      <c r="M11392" t="s">
        <v>1128</v>
      </c>
      <c r="N11392" t="s">
        <v>1129</v>
      </c>
      <c r="O11392" t="s">
        <v>108</v>
      </c>
      <c r="P11392" t="str">
        <f>"76161"</f>
        <v>76161</v>
      </c>
    </row>
    <row r="11393" spans="1:16" x14ac:dyDescent="0.25">
      <c r="A11393" t="str">
        <f>"1180004S00083    00"</f>
        <v>1180004S00083    00</v>
      </c>
      <c r="B11393" t="s">
        <v>25224</v>
      </c>
      <c r="C11393" t="s">
        <v>25225</v>
      </c>
      <c r="D11393" t="s">
        <v>20</v>
      </c>
      <c r="E11393" t="s">
        <v>39</v>
      </c>
      <c r="F11393">
        <v>0</v>
      </c>
      <c r="G11393">
        <v>0</v>
      </c>
      <c r="H11393">
        <v>3</v>
      </c>
      <c r="I11393" s="3">
        <v>1874.24</v>
      </c>
      <c r="J11393" s="3">
        <v>136.78</v>
      </c>
      <c r="L11393">
        <v>212</v>
      </c>
      <c r="M11393" t="s">
        <v>25209</v>
      </c>
      <c r="N11393" t="s">
        <v>30</v>
      </c>
      <c r="O11393" t="s">
        <v>31</v>
      </c>
      <c r="P11393" t="str">
        <f>"15211"</f>
        <v>15211</v>
      </c>
    </row>
    <row r="11394" spans="1:16" x14ac:dyDescent="0.25">
      <c r="A11394" t="str">
        <f>"1180004S00104    00"</f>
        <v>1180004S00104    00</v>
      </c>
      <c r="B11394" t="s">
        <v>25226</v>
      </c>
      <c r="C11394" t="s">
        <v>25227</v>
      </c>
      <c r="D11394" t="s">
        <v>20</v>
      </c>
      <c r="E11394" t="s">
        <v>39</v>
      </c>
      <c r="F11394">
        <v>0</v>
      </c>
      <c r="G11394">
        <v>0</v>
      </c>
      <c r="H11394">
        <v>7</v>
      </c>
      <c r="I11394" s="3">
        <v>2532.37</v>
      </c>
      <c r="J11394" s="3">
        <v>1489.8</v>
      </c>
      <c r="L11394">
        <v>229</v>
      </c>
      <c r="M11394" t="s">
        <v>25024</v>
      </c>
      <c r="N11394" t="s">
        <v>30</v>
      </c>
      <c r="O11394" t="s">
        <v>31</v>
      </c>
      <c r="P11394" t="str">
        <f>"15211"</f>
        <v>15211</v>
      </c>
    </row>
    <row r="11395" spans="1:16" x14ac:dyDescent="0.25">
      <c r="A11395" t="str">
        <f>"1180004S00109    00"</f>
        <v>1180004S00109    00</v>
      </c>
      <c r="B11395" t="s">
        <v>25228</v>
      </c>
      <c r="C11395" t="s">
        <v>25229</v>
      </c>
      <c r="D11395" t="s">
        <v>20</v>
      </c>
      <c r="E11395" t="s">
        <v>39</v>
      </c>
      <c r="F11395">
        <v>0</v>
      </c>
      <c r="G11395">
        <v>0</v>
      </c>
      <c r="H11395">
        <v>3</v>
      </c>
      <c r="I11395" s="3">
        <v>4356.38</v>
      </c>
      <c r="J11395" s="3">
        <v>16.920000000000002</v>
      </c>
      <c r="L11395">
        <v>1361</v>
      </c>
      <c r="M11395" t="s">
        <v>25230</v>
      </c>
      <c r="N11395" t="s">
        <v>3934</v>
      </c>
      <c r="O11395" t="s">
        <v>31</v>
      </c>
      <c r="P11395" t="str">
        <f>"15102"</f>
        <v>15102</v>
      </c>
    </row>
    <row r="11396" spans="1:16" x14ac:dyDescent="0.25">
      <c r="A11396" t="str">
        <f>"1180004S00113    00"</f>
        <v>1180004S00113    00</v>
      </c>
      <c r="B11396" t="s">
        <v>25231</v>
      </c>
      <c r="C11396" t="s">
        <v>25232</v>
      </c>
      <c r="D11396" t="s">
        <v>20</v>
      </c>
      <c r="E11396" t="s">
        <v>39</v>
      </c>
      <c r="F11396">
        <v>0</v>
      </c>
      <c r="G11396">
        <v>0</v>
      </c>
      <c r="H11396">
        <v>9</v>
      </c>
      <c r="I11396" s="3">
        <v>7406.09</v>
      </c>
      <c r="J11396" s="3">
        <v>2804.35</v>
      </c>
      <c r="L11396">
        <v>409</v>
      </c>
      <c r="M11396" t="s">
        <v>25024</v>
      </c>
      <c r="N11396" t="s">
        <v>30</v>
      </c>
      <c r="O11396" t="s">
        <v>31</v>
      </c>
      <c r="P11396" t="str">
        <f>"15211"</f>
        <v>15211</v>
      </c>
    </row>
    <row r="11397" spans="1:16" x14ac:dyDescent="0.25">
      <c r="A11397" t="str">
        <f>"1180004S00176    00"</f>
        <v>1180004S00176    00</v>
      </c>
      <c r="B11397" t="s">
        <v>25233</v>
      </c>
      <c r="C11397" t="s">
        <v>25234</v>
      </c>
      <c r="D11397" t="s">
        <v>20</v>
      </c>
      <c r="E11397" t="s">
        <v>39</v>
      </c>
      <c r="F11397">
        <v>0</v>
      </c>
      <c r="G11397">
        <v>0</v>
      </c>
      <c r="H11397">
        <v>9</v>
      </c>
      <c r="I11397" s="3">
        <v>7599.8</v>
      </c>
      <c r="J11397" s="3">
        <v>2495.5500000000002</v>
      </c>
      <c r="L11397">
        <v>919</v>
      </c>
      <c r="M11397" t="s">
        <v>25235</v>
      </c>
      <c r="N11397" t="s">
        <v>30</v>
      </c>
      <c r="O11397" t="s">
        <v>31</v>
      </c>
      <c r="P11397" t="str">
        <f>"15237"</f>
        <v>15237</v>
      </c>
    </row>
    <row r="11398" spans="1:16" x14ac:dyDescent="0.25">
      <c r="A11398" t="str">
        <f>"1180004S00179    00"</f>
        <v>1180004S00179    00</v>
      </c>
      <c r="B11398" t="s">
        <v>25236</v>
      </c>
      <c r="C11398" t="s">
        <v>25237</v>
      </c>
      <c r="E11398" t="s">
        <v>39</v>
      </c>
      <c r="F11398">
        <v>0</v>
      </c>
      <c r="G11398">
        <v>0</v>
      </c>
      <c r="H11398">
        <v>1</v>
      </c>
      <c r="I11398" s="3">
        <v>110.36</v>
      </c>
      <c r="J11398" s="3">
        <v>0</v>
      </c>
      <c r="L11398">
        <v>3002</v>
      </c>
      <c r="M11398" t="s">
        <v>25238</v>
      </c>
      <c r="N11398" t="s">
        <v>4150</v>
      </c>
      <c r="O11398" t="s">
        <v>31</v>
      </c>
      <c r="P11398" t="str">
        <f>"15116"</f>
        <v>15116</v>
      </c>
    </row>
    <row r="11399" spans="1:16" x14ac:dyDescent="0.25">
      <c r="A11399" t="str">
        <f>"1180004S00186    00"</f>
        <v>1180004S00186    00</v>
      </c>
      <c r="B11399" t="s">
        <v>25239</v>
      </c>
      <c r="C11399" t="s">
        <v>25240</v>
      </c>
      <c r="D11399" t="s">
        <v>20</v>
      </c>
      <c r="E11399" t="s">
        <v>39</v>
      </c>
      <c r="F11399">
        <v>0</v>
      </c>
      <c r="G11399">
        <v>0</v>
      </c>
      <c r="H11399">
        <v>2</v>
      </c>
      <c r="I11399" s="3">
        <v>2973.36</v>
      </c>
      <c r="J11399" s="3">
        <v>0</v>
      </c>
      <c r="K11399" t="s">
        <v>445</v>
      </c>
      <c r="L11399">
        <v>1</v>
      </c>
      <c r="M11399" t="s">
        <v>1163</v>
      </c>
      <c r="N11399" t="s">
        <v>1164</v>
      </c>
      <c r="O11399" t="s">
        <v>108</v>
      </c>
      <c r="P11399" t="str">
        <f>"76262"</f>
        <v>76262</v>
      </c>
    </row>
    <row r="11400" spans="1:16" x14ac:dyDescent="0.25">
      <c r="A11400" t="str">
        <f>"1180004S00196    00"</f>
        <v>1180004S00196    00</v>
      </c>
      <c r="B11400" t="s">
        <v>25241</v>
      </c>
      <c r="C11400" t="s">
        <v>25242</v>
      </c>
      <c r="E11400" t="s">
        <v>39</v>
      </c>
      <c r="F11400">
        <v>0</v>
      </c>
      <c r="G11400">
        <v>0</v>
      </c>
      <c r="H11400">
        <v>1</v>
      </c>
      <c r="I11400" s="3">
        <v>330.38</v>
      </c>
      <c r="J11400" s="3">
        <v>0</v>
      </c>
      <c r="L11400">
        <v>413</v>
      </c>
      <c r="M11400" t="s">
        <v>25077</v>
      </c>
      <c r="N11400" t="s">
        <v>30</v>
      </c>
      <c r="O11400" t="s">
        <v>31</v>
      </c>
      <c r="P11400" t="str">
        <f>"15211"</f>
        <v>15211</v>
      </c>
    </row>
    <row r="11401" spans="1:16" x14ac:dyDescent="0.25">
      <c r="A11401" t="str">
        <f>"1180004S00197    00"</f>
        <v>1180004S00197    00</v>
      </c>
      <c r="B11401" t="s">
        <v>25241</v>
      </c>
      <c r="C11401" t="s">
        <v>25116</v>
      </c>
      <c r="D11401" t="s">
        <v>20</v>
      </c>
      <c r="E11401" t="s">
        <v>39</v>
      </c>
      <c r="F11401">
        <v>0</v>
      </c>
      <c r="G11401">
        <v>0</v>
      </c>
      <c r="H11401">
        <v>2</v>
      </c>
      <c r="I11401" s="3">
        <v>80.83</v>
      </c>
      <c r="J11401" s="3">
        <v>0</v>
      </c>
      <c r="L11401">
        <v>413</v>
      </c>
      <c r="M11401" t="s">
        <v>25077</v>
      </c>
      <c r="N11401" t="s">
        <v>30</v>
      </c>
      <c r="O11401" t="s">
        <v>31</v>
      </c>
      <c r="P11401" t="str">
        <f>"15211"</f>
        <v>15211</v>
      </c>
    </row>
    <row r="11402" spans="1:16" x14ac:dyDescent="0.25">
      <c r="A11402" t="str">
        <f>"1180004S00198    00"</f>
        <v>1180004S00198    00</v>
      </c>
      <c r="B11402" t="s">
        <v>25243</v>
      </c>
      <c r="C11402" t="s">
        <v>25244</v>
      </c>
      <c r="D11402" t="s">
        <v>20</v>
      </c>
      <c r="E11402" t="s">
        <v>39</v>
      </c>
      <c r="F11402">
        <v>0</v>
      </c>
      <c r="G11402">
        <v>0</v>
      </c>
      <c r="H11402">
        <v>1</v>
      </c>
      <c r="I11402" s="3">
        <v>450.29</v>
      </c>
      <c r="J11402" s="3">
        <v>0</v>
      </c>
      <c r="K11402" t="s">
        <v>1435</v>
      </c>
      <c r="M11402" t="s">
        <v>271</v>
      </c>
      <c r="N11402" t="s">
        <v>272</v>
      </c>
      <c r="O11402" t="s">
        <v>273</v>
      </c>
      <c r="P11402" t="str">
        <f>"29603"</f>
        <v>29603</v>
      </c>
    </row>
    <row r="11403" spans="1:16" x14ac:dyDescent="0.25">
      <c r="A11403" t="str">
        <f>"1180004S00204    00"</f>
        <v>1180004S00204    00</v>
      </c>
      <c r="B11403" t="s">
        <v>25245</v>
      </c>
      <c r="C11403" t="s">
        <v>25246</v>
      </c>
      <c r="D11403" t="s">
        <v>20</v>
      </c>
      <c r="E11403" t="s">
        <v>39</v>
      </c>
      <c r="F11403">
        <v>0</v>
      </c>
      <c r="G11403">
        <v>0</v>
      </c>
      <c r="H11403">
        <v>15</v>
      </c>
      <c r="I11403" s="3">
        <v>4970.1400000000003</v>
      </c>
      <c r="J11403" s="3">
        <v>3494.53</v>
      </c>
      <c r="L11403">
        <v>425</v>
      </c>
      <c r="M11403" t="s">
        <v>25077</v>
      </c>
      <c r="N11403" t="s">
        <v>30</v>
      </c>
      <c r="O11403" t="s">
        <v>31</v>
      </c>
      <c r="P11403" t="str">
        <f t="shared" ref="P11403:P11411" si="130">"15211"</f>
        <v>15211</v>
      </c>
    </row>
    <row r="11404" spans="1:16" x14ac:dyDescent="0.25">
      <c r="A11404" t="str">
        <f>"1180004S00213    00"</f>
        <v>1180004S00213    00</v>
      </c>
      <c r="B11404" t="s">
        <v>25247</v>
      </c>
      <c r="C11404" t="s">
        <v>25248</v>
      </c>
      <c r="D11404" t="s">
        <v>20</v>
      </c>
      <c r="E11404" t="s">
        <v>39</v>
      </c>
      <c r="F11404">
        <v>0</v>
      </c>
      <c r="G11404">
        <v>0</v>
      </c>
      <c r="H11404">
        <v>13</v>
      </c>
      <c r="I11404" s="3">
        <v>374.34</v>
      </c>
      <c r="J11404" s="3">
        <v>316.67</v>
      </c>
      <c r="L11404">
        <v>54</v>
      </c>
      <c r="M11404" t="s">
        <v>25249</v>
      </c>
      <c r="N11404" t="s">
        <v>30</v>
      </c>
      <c r="O11404" t="s">
        <v>31</v>
      </c>
      <c r="P11404" t="str">
        <f t="shared" si="130"/>
        <v>15211</v>
      </c>
    </row>
    <row r="11405" spans="1:16" x14ac:dyDescent="0.25">
      <c r="A11405" t="str">
        <f>"1180004S00225    00"</f>
        <v>1180004S00225    00</v>
      </c>
      <c r="B11405" t="s">
        <v>25250</v>
      </c>
      <c r="C11405" t="s">
        <v>25251</v>
      </c>
      <c r="D11405" t="s">
        <v>20</v>
      </c>
      <c r="E11405" t="s">
        <v>39</v>
      </c>
      <c r="F11405">
        <v>0</v>
      </c>
      <c r="G11405">
        <v>0</v>
      </c>
      <c r="H11405">
        <v>2</v>
      </c>
      <c r="I11405" s="3">
        <v>530.88</v>
      </c>
      <c r="J11405" s="3">
        <v>0</v>
      </c>
      <c r="L11405">
        <v>30</v>
      </c>
      <c r="M11405" t="s">
        <v>25252</v>
      </c>
      <c r="N11405" t="s">
        <v>30</v>
      </c>
      <c r="O11405" t="s">
        <v>31</v>
      </c>
      <c r="P11405" t="str">
        <f t="shared" si="130"/>
        <v>15211</v>
      </c>
    </row>
    <row r="11406" spans="1:16" x14ac:dyDescent="0.25">
      <c r="A11406" t="str">
        <f>"1180004S00227    00"</f>
        <v>1180004S00227    00</v>
      </c>
      <c r="B11406" t="s">
        <v>25253</v>
      </c>
      <c r="C11406" t="s">
        <v>25254</v>
      </c>
      <c r="E11406" t="s">
        <v>39</v>
      </c>
      <c r="F11406">
        <v>0</v>
      </c>
      <c r="G11406">
        <v>0</v>
      </c>
      <c r="H11406">
        <v>1</v>
      </c>
      <c r="I11406" s="3">
        <v>308.97000000000003</v>
      </c>
      <c r="J11406" s="3">
        <v>397.18</v>
      </c>
      <c r="L11406">
        <v>26</v>
      </c>
      <c r="M11406" t="s">
        <v>25252</v>
      </c>
      <c r="N11406" t="s">
        <v>30</v>
      </c>
      <c r="O11406" t="s">
        <v>31</v>
      </c>
      <c r="P11406" t="str">
        <f t="shared" si="130"/>
        <v>15211</v>
      </c>
    </row>
    <row r="11407" spans="1:16" x14ac:dyDescent="0.25">
      <c r="A11407" t="str">
        <f>"1180004S00232    00"</f>
        <v>1180004S00232    00</v>
      </c>
      <c r="B11407" t="s">
        <v>25255</v>
      </c>
      <c r="C11407" t="s">
        <v>25256</v>
      </c>
      <c r="E11407" t="s">
        <v>39</v>
      </c>
      <c r="F11407">
        <v>0</v>
      </c>
      <c r="G11407">
        <v>0</v>
      </c>
      <c r="H11407">
        <v>2</v>
      </c>
      <c r="I11407" s="3">
        <v>750.37</v>
      </c>
      <c r="J11407" s="3">
        <v>97.59</v>
      </c>
      <c r="L11407">
        <v>226</v>
      </c>
      <c r="M11407" t="s">
        <v>25024</v>
      </c>
      <c r="N11407" t="s">
        <v>30</v>
      </c>
      <c r="O11407" t="s">
        <v>31</v>
      </c>
      <c r="P11407" t="str">
        <f t="shared" si="130"/>
        <v>15211</v>
      </c>
    </row>
    <row r="11408" spans="1:16" x14ac:dyDescent="0.25">
      <c r="A11408" t="str">
        <f>"1180004S00233    00"</f>
        <v>1180004S00233    00</v>
      </c>
      <c r="B11408" t="s">
        <v>25257</v>
      </c>
      <c r="C11408" t="s">
        <v>25258</v>
      </c>
      <c r="D11408" t="s">
        <v>20</v>
      </c>
      <c r="E11408" t="s">
        <v>39</v>
      </c>
      <c r="F11408">
        <v>0</v>
      </c>
      <c r="G11408">
        <v>0</v>
      </c>
      <c r="H11408">
        <v>3</v>
      </c>
      <c r="I11408" s="3">
        <v>1437.72</v>
      </c>
      <c r="J11408" s="3">
        <v>85.37</v>
      </c>
      <c r="L11408">
        <v>303</v>
      </c>
      <c r="M11408" t="s">
        <v>8296</v>
      </c>
      <c r="N11408" t="s">
        <v>30</v>
      </c>
      <c r="O11408" t="s">
        <v>31</v>
      </c>
      <c r="P11408" t="str">
        <f t="shared" si="130"/>
        <v>15211</v>
      </c>
    </row>
    <row r="11409" spans="1:16" x14ac:dyDescent="0.25">
      <c r="A11409" t="str">
        <f>"1180004S00261    00"</f>
        <v>1180004S00261    00</v>
      </c>
      <c r="B11409" t="s">
        <v>25202</v>
      </c>
      <c r="C11409" t="s">
        <v>25259</v>
      </c>
      <c r="D11409" t="s">
        <v>20</v>
      </c>
      <c r="E11409" t="s">
        <v>39</v>
      </c>
      <c r="F11409">
        <v>0</v>
      </c>
      <c r="G11409">
        <v>0</v>
      </c>
      <c r="H11409">
        <v>1</v>
      </c>
      <c r="I11409" s="3">
        <v>667.12</v>
      </c>
      <c r="J11409" s="3">
        <v>0</v>
      </c>
      <c r="K11409" t="s">
        <v>25200</v>
      </c>
      <c r="M11409" t="s">
        <v>25201</v>
      </c>
      <c r="N11409" t="s">
        <v>30</v>
      </c>
      <c r="O11409" t="s">
        <v>31</v>
      </c>
      <c r="P11409" t="str">
        <f t="shared" si="130"/>
        <v>15211</v>
      </c>
    </row>
    <row r="11410" spans="1:16" x14ac:dyDescent="0.25">
      <c r="A11410" t="str">
        <f>"1180004S00262    00"</f>
        <v>1180004S00262    00</v>
      </c>
      <c r="B11410" t="s">
        <v>25202</v>
      </c>
      <c r="C11410" t="s">
        <v>25260</v>
      </c>
      <c r="D11410" t="s">
        <v>20</v>
      </c>
      <c r="E11410" t="s">
        <v>39</v>
      </c>
      <c r="F11410">
        <v>0</v>
      </c>
      <c r="G11410">
        <v>0</v>
      </c>
      <c r="H11410">
        <v>1</v>
      </c>
      <c r="I11410" s="3">
        <v>19.059999999999999</v>
      </c>
      <c r="J11410" s="3">
        <v>0</v>
      </c>
      <c r="K11410" t="s">
        <v>25200</v>
      </c>
      <c r="M11410" t="s">
        <v>25201</v>
      </c>
      <c r="N11410" t="s">
        <v>30</v>
      </c>
      <c r="O11410" t="s">
        <v>31</v>
      </c>
      <c r="P11410" t="str">
        <f t="shared" si="130"/>
        <v>15211</v>
      </c>
    </row>
    <row r="11411" spans="1:16" x14ac:dyDescent="0.25">
      <c r="A11411" t="str">
        <f>"1180004S00263    00"</f>
        <v>1180004S00263    00</v>
      </c>
      <c r="B11411" t="s">
        <v>25202</v>
      </c>
      <c r="C11411" t="s">
        <v>25261</v>
      </c>
      <c r="D11411" t="s">
        <v>20</v>
      </c>
      <c r="E11411" t="s">
        <v>39</v>
      </c>
      <c r="F11411">
        <v>0</v>
      </c>
      <c r="G11411">
        <v>0</v>
      </c>
      <c r="H11411">
        <v>1</v>
      </c>
      <c r="I11411" s="3">
        <v>1099.77</v>
      </c>
      <c r="J11411" s="3">
        <v>0</v>
      </c>
      <c r="K11411" t="s">
        <v>25200</v>
      </c>
      <c r="M11411" t="s">
        <v>25201</v>
      </c>
      <c r="N11411" t="s">
        <v>30</v>
      </c>
      <c r="O11411" t="s">
        <v>31</v>
      </c>
      <c r="P11411" t="str">
        <f t="shared" si="130"/>
        <v>15211</v>
      </c>
    </row>
    <row r="11412" spans="1:16" x14ac:dyDescent="0.25">
      <c r="A11412" t="str">
        <f>"1180004S00265    00"</f>
        <v>1180004S00265    00</v>
      </c>
      <c r="B11412" t="s">
        <v>25262</v>
      </c>
      <c r="C11412" t="s">
        <v>25263</v>
      </c>
      <c r="E11412" t="s">
        <v>39</v>
      </c>
      <c r="F11412">
        <v>0</v>
      </c>
      <c r="G11412">
        <v>0</v>
      </c>
      <c r="H11412">
        <v>2</v>
      </c>
      <c r="I11412" s="3">
        <v>1651.93</v>
      </c>
      <c r="J11412" s="3">
        <v>2003.7</v>
      </c>
      <c r="L11412">
        <v>829</v>
      </c>
      <c r="M11412" t="s">
        <v>2475</v>
      </c>
      <c r="N11412" t="s">
        <v>30</v>
      </c>
      <c r="O11412" t="s">
        <v>31</v>
      </c>
      <c r="P11412" t="str">
        <f>"15210"</f>
        <v>15210</v>
      </c>
    </row>
    <row r="11413" spans="1:16" x14ac:dyDescent="0.25">
      <c r="A11413" t="str">
        <f>"1180004S00266    00"</f>
        <v>1180004S00266    00</v>
      </c>
      <c r="B11413" t="s">
        <v>25264</v>
      </c>
      <c r="C11413" t="s">
        <v>25265</v>
      </c>
      <c r="D11413" t="s">
        <v>20</v>
      </c>
      <c r="E11413" t="s">
        <v>39</v>
      </c>
      <c r="F11413">
        <v>0</v>
      </c>
      <c r="G11413">
        <v>0</v>
      </c>
      <c r="H11413">
        <v>1</v>
      </c>
      <c r="I11413" s="3">
        <v>541.33000000000004</v>
      </c>
      <c r="J11413" s="3">
        <v>0</v>
      </c>
      <c r="K11413" t="s">
        <v>25266</v>
      </c>
      <c r="L11413">
        <v>2</v>
      </c>
      <c r="M11413" t="s">
        <v>25267</v>
      </c>
      <c r="N11413" t="s">
        <v>25268</v>
      </c>
      <c r="O11413" t="s">
        <v>495</v>
      </c>
      <c r="P11413" t="str">
        <f>""</f>
        <v/>
      </c>
    </row>
    <row r="11414" spans="1:16" x14ac:dyDescent="0.25">
      <c r="A11414" t="str">
        <f>"1180004S00281    00"</f>
        <v>1180004S00281    00</v>
      </c>
      <c r="B11414" t="s">
        <v>25269</v>
      </c>
      <c r="C11414" t="s">
        <v>25270</v>
      </c>
      <c r="D11414" t="s">
        <v>20</v>
      </c>
      <c r="E11414" t="s">
        <v>39</v>
      </c>
      <c r="F11414">
        <v>0</v>
      </c>
      <c r="G11414">
        <v>0</v>
      </c>
      <c r="H11414">
        <v>19</v>
      </c>
      <c r="I11414" s="3">
        <v>394.98</v>
      </c>
      <c r="J11414" s="3">
        <v>388.79</v>
      </c>
      <c r="K11414" t="s">
        <v>1008</v>
      </c>
      <c r="P11414" t="str">
        <f>""</f>
        <v/>
      </c>
    </row>
    <row r="11415" spans="1:16" x14ac:dyDescent="0.25">
      <c r="A11415" t="str">
        <f>"1180004S00287    00"</f>
        <v>1180004S00287    00</v>
      </c>
      <c r="B11415" t="s">
        <v>25271</v>
      </c>
      <c r="C11415" t="s">
        <v>25272</v>
      </c>
      <c r="D11415" t="s">
        <v>20</v>
      </c>
      <c r="E11415" t="s">
        <v>39</v>
      </c>
      <c r="F11415">
        <v>0</v>
      </c>
      <c r="G11415">
        <v>0</v>
      </c>
      <c r="H11415">
        <v>1</v>
      </c>
      <c r="I11415" s="3">
        <v>663.29</v>
      </c>
      <c r="J11415" s="3">
        <v>0</v>
      </c>
      <c r="K11415" t="s">
        <v>25273</v>
      </c>
      <c r="L11415">
        <v>138</v>
      </c>
      <c r="M11415" t="s">
        <v>927</v>
      </c>
      <c r="N11415" t="s">
        <v>1928</v>
      </c>
      <c r="O11415" t="s">
        <v>31</v>
      </c>
      <c r="P11415" t="str">
        <f>"15317"</f>
        <v>15317</v>
      </c>
    </row>
    <row r="11416" spans="1:16" x14ac:dyDescent="0.25">
      <c r="A11416" t="str">
        <f>"1180004S00288    00"</f>
        <v>1180004S00288    00</v>
      </c>
      <c r="B11416" t="s">
        <v>25274</v>
      </c>
      <c r="C11416" t="s">
        <v>25272</v>
      </c>
      <c r="D11416" t="s">
        <v>20</v>
      </c>
      <c r="E11416" t="s">
        <v>39</v>
      </c>
      <c r="F11416">
        <v>0</v>
      </c>
      <c r="G11416">
        <v>0</v>
      </c>
      <c r="H11416">
        <v>13</v>
      </c>
      <c r="I11416" s="3">
        <v>7559.66</v>
      </c>
      <c r="J11416" s="3">
        <v>4020.18</v>
      </c>
      <c r="L11416">
        <v>1639</v>
      </c>
      <c r="M11416" t="s">
        <v>23923</v>
      </c>
      <c r="N11416" t="s">
        <v>30</v>
      </c>
      <c r="O11416" t="s">
        <v>31</v>
      </c>
      <c r="P11416" t="str">
        <f>"15216"</f>
        <v>15216</v>
      </c>
    </row>
    <row r="11417" spans="1:16" x14ac:dyDescent="0.25">
      <c r="A11417" t="str">
        <f>"1180004S00306    00"</f>
        <v>1180004S00306    00</v>
      </c>
      <c r="B11417" t="s">
        <v>25275</v>
      </c>
      <c r="C11417" t="s">
        <v>25276</v>
      </c>
      <c r="D11417" t="s">
        <v>20</v>
      </c>
      <c r="E11417" t="s">
        <v>39</v>
      </c>
      <c r="F11417">
        <v>0</v>
      </c>
      <c r="G11417">
        <v>0</v>
      </c>
      <c r="H11417">
        <v>3</v>
      </c>
      <c r="I11417" s="3">
        <v>534.80999999999995</v>
      </c>
      <c r="J11417" s="3">
        <v>67.239999999999995</v>
      </c>
      <c r="K11417" t="s">
        <v>391</v>
      </c>
      <c r="L11417">
        <v>1</v>
      </c>
      <c r="M11417" t="s">
        <v>392</v>
      </c>
      <c r="N11417" t="s">
        <v>393</v>
      </c>
      <c r="O11417" t="s">
        <v>394</v>
      </c>
      <c r="P11417" t="str">
        <f>"50328"</f>
        <v>50328</v>
      </c>
    </row>
    <row r="11418" spans="1:16" x14ac:dyDescent="0.25">
      <c r="A11418" t="str">
        <f>"1180004S00346    00"</f>
        <v>1180004S00346    00</v>
      </c>
      <c r="B11418" t="s">
        <v>25277</v>
      </c>
      <c r="C11418" t="s">
        <v>25278</v>
      </c>
      <c r="D11418" t="s">
        <v>20</v>
      </c>
      <c r="E11418" t="s">
        <v>39</v>
      </c>
      <c r="F11418">
        <v>0</v>
      </c>
      <c r="G11418">
        <v>0</v>
      </c>
      <c r="H11418">
        <v>2</v>
      </c>
      <c r="I11418" s="3">
        <v>711.55</v>
      </c>
      <c r="J11418" s="3">
        <v>0</v>
      </c>
      <c r="K11418" t="s">
        <v>25279</v>
      </c>
      <c r="L11418">
        <v>211</v>
      </c>
      <c r="M11418" t="s">
        <v>25280</v>
      </c>
      <c r="N11418" t="s">
        <v>903</v>
      </c>
      <c r="O11418" t="s">
        <v>31</v>
      </c>
      <c r="P11418" t="str">
        <f>"15136"</f>
        <v>15136</v>
      </c>
    </row>
    <row r="11419" spans="1:16" x14ac:dyDescent="0.25">
      <c r="A11419" t="str">
        <f>"1180014A00035    00"</f>
        <v>1180014A00035    00</v>
      </c>
      <c r="B11419" t="s">
        <v>25281</v>
      </c>
      <c r="C11419" t="s">
        <v>25282</v>
      </c>
      <c r="D11419" t="s">
        <v>20</v>
      </c>
      <c r="E11419" t="s">
        <v>39</v>
      </c>
      <c r="F11419">
        <v>0</v>
      </c>
      <c r="G11419">
        <v>0</v>
      </c>
      <c r="H11419">
        <v>5</v>
      </c>
      <c r="I11419" s="3">
        <v>4683.09</v>
      </c>
      <c r="J11419" s="3">
        <v>713.06</v>
      </c>
      <c r="L11419">
        <v>1911</v>
      </c>
      <c r="M11419" t="s">
        <v>22614</v>
      </c>
      <c r="N11419" t="s">
        <v>30</v>
      </c>
      <c r="O11419" t="s">
        <v>31</v>
      </c>
      <c r="P11419" t="str">
        <f>"15203"</f>
        <v>15203</v>
      </c>
    </row>
    <row r="11420" spans="1:16" x14ac:dyDescent="0.25">
      <c r="A11420" t="str">
        <f>"1180014A00039    00"</f>
        <v>1180014A00039    00</v>
      </c>
      <c r="B11420" t="s">
        <v>25283</v>
      </c>
      <c r="C11420" t="s">
        <v>25284</v>
      </c>
      <c r="E11420" t="s">
        <v>39</v>
      </c>
      <c r="F11420">
        <v>0</v>
      </c>
      <c r="G11420">
        <v>0</v>
      </c>
      <c r="H11420">
        <v>1</v>
      </c>
      <c r="I11420" s="3">
        <v>1149.06</v>
      </c>
      <c r="J11420" s="3">
        <v>1139.43</v>
      </c>
      <c r="K11420" t="s">
        <v>23554</v>
      </c>
      <c r="L11420">
        <v>829</v>
      </c>
      <c r="M11420" t="s">
        <v>2475</v>
      </c>
      <c r="N11420" t="s">
        <v>30</v>
      </c>
      <c r="O11420" t="s">
        <v>31</v>
      </c>
      <c r="P11420" t="str">
        <f>"15210"</f>
        <v>15210</v>
      </c>
    </row>
    <row r="11421" spans="1:16" x14ac:dyDescent="0.25">
      <c r="A11421" t="str">
        <f>"1180014A00045    00"</f>
        <v>1180014A00045    00</v>
      </c>
      <c r="B11421" t="s">
        <v>25285</v>
      </c>
      <c r="C11421" t="s">
        <v>25286</v>
      </c>
      <c r="E11421" t="s">
        <v>39</v>
      </c>
      <c r="F11421">
        <v>0</v>
      </c>
      <c r="G11421">
        <v>0</v>
      </c>
      <c r="H11421">
        <v>1</v>
      </c>
      <c r="I11421" s="3">
        <v>850.01</v>
      </c>
      <c r="J11421" s="3">
        <v>339.98</v>
      </c>
      <c r="K11421" t="s">
        <v>25287</v>
      </c>
      <c r="L11421">
        <v>433</v>
      </c>
      <c r="M11421" t="s">
        <v>25288</v>
      </c>
      <c r="N11421" t="s">
        <v>30</v>
      </c>
      <c r="O11421" t="s">
        <v>31</v>
      </c>
      <c r="P11421" t="str">
        <f>"15211"</f>
        <v>15211</v>
      </c>
    </row>
    <row r="11422" spans="1:16" x14ac:dyDescent="0.25">
      <c r="A11422" t="str">
        <f>"1180014A00053    00"</f>
        <v>1180014A00053    00</v>
      </c>
      <c r="B11422" t="s">
        <v>25289</v>
      </c>
      <c r="C11422" t="s">
        <v>25290</v>
      </c>
      <c r="D11422" t="s">
        <v>20</v>
      </c>
      <c r="E11422" t="s">
        <v>39</v>
      </c>
      <c r="F11422">
        <v>0</v>
      </c>
      <c r="G11422">
        <v>0</v>
      </c>
      <c r="H11422">
        <v>7</v>
      </c>
      <c r="I11422" s="3">
        <v>1723.97</v>
      </c>
      <c r="J11422" s="3">
        <v>491.63</v>
      </c>
      <c r="L11422">
        <v>436</v>
      </c>
      <c r="M11422" t="s">
        <v>25288</v>
      </c>
      <c r="N11422" t="s">
        <v>30</v>
      </c>
      <c r="O11422" t="s">
        <v>31</v>
      </c>
      <c r="P11422" t="str">
        <f>"15211"</f>
        <v>15211</v>
      </c>
    </row>
    <row r="11423" spans="1:16" x14ac:dyDescent="0.25">
      <c r="A11423" t="str">
        <f>"1180014A00070    00"</f>
        <v>1180014A00070    00</v>
      </c>
      <c r="B11423" t="s">
        <v>25291</v>
      </c>
      <c r="C11423" t="s">
        <v>25292</v>
      </c>
      <c r="E11423" t="s">
        <v>39</v>
      </c>
      <c r="F11423">
        <v>0</v>
      </c>
      <c r="G11423">
        <v>0</v>
      </c>
      <c r="H11423">
        <v>1</v>
      </c>
      <c r="I11423" s="3">
        <v>283.02999999999997</v>
      </c>
      <c r="J11423" s="3">
        <v>56.6</v>
      </c>
      <c r="K11423" t="s">
        <v>25293</v>
      </c>
      <c r="L11423">
        <v>194</v>
      </c>
      <c r="M11423" t="s">
        <v>25294</v>
      </c>
      <c r="N11423" t="s">
        <v>625</v>
      </c>
      <c r="O11423" t="s">
        <v>31</v>
      </c>
      <c r="P11423" t="str">
        <f>"15108"</f>
        <v>15108</v>
      </c>
    </row>
    <row r="11424" spans="1:16" x14ac:dyDescent="0.25">
      <c r="A11424" t="str">
        <f>"1180014A00072    00"</f>
        <v>1180014A00072    00</v>
      </c>
      <c r="B11424" t="s">
        <v>25295</v>
      </c>
      <c r="C11424" t="s">
        <v>25296</v>
      </c>
      <c r="D11424" t="s">
        <v>20</v>
      </c>
      <c r="E11424" t="s">
        <v>39</v>
      </c>
      <c r="F11424">
        <v>0</v>
      </c>
      <c r="G11424">
        <v>0</v>
      </c>
      <c r="H11424">
        <v>16</v>
      </c>
      <c r="I11424" s="3">
        <v>6901.68</v>
      </c>
      <c r="J11424" s="3">
        <v>6123.98</v>
      </c>
      <c r="K11424" t="s">
        <v>25297</v>
      </c>
      <c r="L11424">
        <v>1670</v>
      </c>
      <c r="M11424" t="s">
        <v>25298</v>
      </c>
      <c r="N11424" t="s">
        <v>625</v>
      </c>
      <c r="O11424" t="s">
        <v>31</v>
      </c>
      <c r="P11424" t="str">
        <f>"15108"</f>
        <v>15108</v>
      </c>
    </row>
    <row r="11425" spans="1:16" x14ac:dyDescent="0.25">
      <c r="A11425" t="str">
        <f>"1180014A00077    00"</f>
        <v>1180014A00077    00</v>
      </c>
      <c r="B11425" t="s">
        <v>25295</v>
      </c>
      <c r="C11425" t="s">
        <v>25299</v>
      </c>
      <c r="D11425" t="s">
        <v>20</v>
      </c>
      <c r="E11425" t="s">
        <v>39</v>
      </c>
      <c r="F11425">
        <v>0</v>
      </c>
      <c r="G11425">
        <v>0</v>
      </c>
      <c r="H11425">
        <v>16</v>
      </c>
      <c r="I11425" s="3">
        <v>7110.21</v>
      </c>
      <c r="J11425" s="3">
        <v>6275.84</v>
      </c>
      <c r="K11425" t="s">
        <v>25297</v>
      </c>
      <c r="L11425">
        <v>428</v>
      </c>
      <c r="M11425" t="s">
        <v>25300</v>
      </c>
      <c r="N11425" t="s">
        <v>30</v>
      </c>
      <c r="O11425" t="s">
        <v>31</v>
      </c>
      <c r="P11425" t="str">
        <f>"15211"</f>
        <v>15211</v>
      </c>
    </row>
    <row r="11426" spans="1:16" x14ac:dyDescent="0.25">
      <c r="A11426" t="str">
        <f>"1180014A00083    00"</f>
        <v>1180014A00083    00</v>
      </c>
      <c r="B11426" t="s">
        <v>25301</v>
      </c>
      <c r="C11426" t="s">
        <v>25302</v>
      </c>
      <c r="D11426" t="s">
        <v>20</v>
      </c>
      <c r="E11426" t="s">
        <v>39</v>
      </c>
      <c r="F11426">
        <v>0</v>
      </c>
      <c r="G11426">
        <v>0</v>
      </c>
      <c r="H11426">
        <v>12</v>
      </c>
      <c r="I11426" s="3">
        <v>5735.72</v>
      </c>
      <c r="J11426" s="3">
        <v>3052.75</v>
      </c>
      <c r="L11426">
        <v>425</v>
      </c>
      <c r="M11426" t="s">
        <v>23227</v>
      </c>
      <c r="N11426" t="s">
        <v>30</v>
      </c>
      <c r="O11426" t="s">
        <v>31</v>
      </c>
      <c r="P11426" t="str">
        <f>"15210"</f>
        <v>15210</v>
      </c>
    </row>
    <row r="11427" spans="1:16" x14ac:dyDescent="0.25">
      <c r="A11427" t="str">
        <f>"1180014A00102    00"</f>
        <v>1180014A00102    00</v>
      </c>
      <c r="B11427" t="s">
        <v>25303</v>
      </c>
      <c r="C11427" t="s">
        <v>25304</v>
      </c>
      <c r="D11427" t="s">
        <v>20</v>
      </c>
      <c r="E11427" t="s">
        <v>39</v>
      </c>
      <c r="F11427">
        <v>0</v>
      </c>
      <c r="G11427">
        <v>0</v>
      </c>
      <c r="H11427">
        <v>10</v>
      </c>
      <c r="I11427" s="3">
        <v>6972.73</v>
      </c>
      <c r="J11427" s="3">
        <v>1256.01</v>
      </c>
      <c r="K11427" t="s">
        <v>25305</v>
      </c>
      <c r="L11427">
        <v>9118</v>
      </c>
      <c r="M11427" t="s">
        <v>25306</v>
      </c>
      <c r="N11427" t="s">
        <v>5166</v>
      </c>
      <c r="O11427" t="s">
        <v>1413</v>
      </c>
      <c r="P11427" t="str">
        <f>"27617"</f>
        <v>27617</v>
      </c>
    </row>
    <row r="11428" spans="1:16" x14ac:dyDescent="0.25">
      <c r="A11428" t="str">
        <f>"1180014A00105    00"</f>
        <v>1180014A00105    00</v>
      </c>
      <c r="B11428" t="s">
        <v>25307</v>
      </c>
      <c r="C11428" t="s">
        <v>25308</v>
      </c>
      <c r="D11428" t="s">
        <v>20</v>
      </c>
      <c r="E11428" t="s">
        <v>39</v>
      </c>
      <c r="F11428">
        <v>0</v>
      </c>
      <c r="G11428">
        <v>0</v>
      </c>
      <c r="H11428">
        <v>17</v>
      </c>
      <c r="I11428" s="3">
        <v>13553.7</v>
      </c>
      <c r="J11428" s="3">
        <v>11692.9</v>
      </c>
      <c r="L11428">
        <v>103</v>
      </c>
      <c r="M11428" t="s">
        <v>2672</v>
      </c>
      <c r="N11428" t="s">
        <v>30</v>
      </c>
      <c r="O11428" t="s">
        <v>31</v>
      </c>
      <c r="P11428" t="str">
        <f>"15211"</f>
        <v>15211</v>
      </c>
    </row>
    <row r="11429" spans="1:16" x14ac:dyDescent="0.25">
      <c r="A11429" t="str">
        <f>"1180014A00116    00"</f>
        <v>1180014A00116    00</v>
      </c>
      <c r="B11429" t="s">
        <v>25309</v>
      </c>
      <c r="C11429" t="s">
        <v>25310</v>
      </c>
      <c r="D11429" t="s">
        <v>20</v>
      </c>
      <c r="E11429" t="s">
        <v>39</v>
      </c>
      <c r="F11429">
        <v>0</v>
      </c>
      <c r="G11429">
        <v>0</v>
      </c>
      <c r="H11429">
        <v>1</v>
      </c>
      <c r="I11429" s="3">
        <v>423.61</v>
      </c>
      <c r="J11429" s="3">
        <v>0</v>
      </c>
      <c r="K11429" t="s">
        <v>1030</v>
      </c>
      <c r="M11429" t="s">
        <v>1031</v>
      </c>
      <c r="N11429" t="s">
        <v>1032</v>
      </c>
      <c r="O11429" t="s">
        <v>25</v>
      </c>
      <c r="P11429" t="str">
        <f>"44711"</f>
        <v>44711</v>
      </c>
    </row>
    <row r="11430" spans="1:16" x14ac:dyDescent="0.25">
      <c r="A11430" t="str">
        <f>"1180014A00120    00"</f>
        <v>1180014A00120    00</v>
      </c>
      <c r="B11430" t="s">
        <v>25311</v>
      </c>
      <c r="C11430" t="s">
        <v>25017</v>
      </c>
      <c r="E11430" t="s">
        <v>39</v>
      </c>
      <c r="F11430">
        <v>0</v>
      </c>
      <c r="G11430">
        <v>0</v>
      </c>
      <c r="H11430">
        <v>1</v>
      </c>
      <c r="I11430" s="3">
        <v>125.8</v>
      </c>
      <c r="J11430" s="3">
        <v>25.16</v>
      </c>
      <c r="L11430">
        <v>75</v>
      </c>
      <c r="M11430" t="s">
        <v>2672</v>
      </c>
      <c r="N11430" t="s">
        <v>30</v>
      </c>
      <c r="O11430" t="s">
        <v>31</v>
      </c>
      <c r="P11430" t="str">
        <f>"15211"</f>
        <v>15211</v>
      </c>
    </row>
    <row r="11431" spans="1:16" x14ac:dyDescent="0.25">
      <c r="A11431" t="str">
        <f>"1180014A00133    00"</f>
        <v>1180014A00133    00</v>
      </c>
      <c r="B11431" t="s">
        <v>25312</v>
      </c>
      <c r="C11431" t="s">
        <v>25313</v>
      </c>
      <c r="E11431" t="s">
        <v>39</v>
      </c>
      <c r="F11431">
        <v>0</v>
      </c>
      <c r="G11431">
        <v>0</v>
      </c>
      <c r="H11431">
        <v>1</v>
      </c>
      <c r="I11431" s="3">
        <v>137.43</v>
      </c>
      <c r="J11431" s="3">
        <v>0</v>
      </c>
      <c r="K11431" t="s">
        <v>25314</v>
      </c>
      <c r="L11431">
        <v>13</v>
      </c>
      <c r="M11431" t="s">
        <v>25315</v>
      </c>
      <c r="N11431" t="s">
        <v>30</v>
      </c>
      <c r="O11431" t="s">
        <v>31</v>
      </c>
      <c r="P11431" t="str">
        <f>"15238"</f>
        <v>15238</v>
      </c>
    </row>
    <row r="11432" spans="1:16" x14ac:dyDescent="0.25">
      <c r="A11432" t="str">
        <f>"1180014A00178    00"</f>
        <v>1180014A00178    00</v>
      </c>
      <c r="B11432" t="s">
        <v>25316</v>
      </c>
      <c r="C11432" t="s">
        <v>25317</v>
      </c>
      <c r="D11432" t="s">
        <v>20</v>
      </c>
      <c r="E11432" t="s">
        <v>39</v>
      </c>
      <c r="F11432">
        <v>0</v>
      </c>
      <c r="G11432">
        <v>0</v>
      </c>
      <c r="H11432">
        <v>4</v>
      </c>
      <c r="I11432" s="3">
        <v>1146.71</v>
      </c>
      <c r="J11432" s="3">
        <v>135.47</v>
      </c>
      <c r="L11432">
        <v>742</v>
      </c>
      <c r="M11432" t="s">
        <v>25318</v>
      </c>
      <c r="N11432" t="s">
        <v>6603</v>
      </c>
      <c r="O11432" t="s">
        <v>31</v>
      </c>
      <c r="P11432" t="str">
        <f>"15122"</f>
        <v>15122</v>
      </c>
    </row>
    <row r="11433" spans="1:16" x14ac:dyDescent="0.25">
      <c r="A11433" t="str">
        <f>"1180014A00179    00"</f>
        <v>1180014A00179    00</v>
      </c>
      <c r="B11433" t="s">
        <v>25319</v>
      </c>
      <c r="C11433" t="s">
        <v>25320</v>
      </c>
      <c r="D11433" t="s">
        <v>20</v>
      </c>
      <c r="E11433" t="s">
        <v>39</v>
      </c>
      <c r="F11433">
        <v>0</v>
      </c>
      <c r="G11433">
        <v>0</v>
      </c>
      <c r="H11433">
        <v>4</v>
      </c>
      <c r="I11433" s="3">
        <v>1944.12</v>
      </c>
      <c r="J11433" s="3">
        <v>229.65</v>
      </c>
      <c r="L11433">
        <v>442</v>
      </c>
      <c r="M11433" t="s">
        <v>25024</v>
      </c>
      <c r="N11433" t="s">
        <v>30</v>
      </c>
      <c r="O11433" t="s">
        <v>31</v>
      </c>
      <c r="P11433" t="str">
        <f>"15211"</f>
        <v>15211</v>
      </c>
    </row>
    <row r="11434" spans="1:16" x14ac:dyDescent="0.25">
      <c r="A11434" t="str">
        <f>"1180014A00182    00"</f>
        <v>1180014A00182    00</v>
      </c>
      <c r="B11434" t="s">
        <v>25321</v>
      </c>
      <c r="C11434" t="s">
        <v>25322</v>
      </c>
      <c r="D11434" t="s">
        <v>20</v>
      </c>
      <c r="E11434" t="s">
        <v>39</v>
      </c>
      <c r="F11434">
        <v>0</v>
      </c>
      <c r="G11434">
        <v>0</v>
      </c>
      <c r="H11434">
        <v>4</v>
      </c>
      <c r="I11434" s="3">
        <v>2149.15</v>
      </c>
      <c r="J11434" s="3">
        <v>253.87</v>
      </c>
      <c r="L11434">
        <v>616</v>
      </c>
      <c r="M11434" t="s">
        <v>25288</v>
      </c>
      <c r="N11434" t="s">
        <v>30</v>
      </c>
      <c r="O11434" t="s">
        <v>31</v>
      </c>
      <c r="P11434" t="str">
        <f>"15210"</f>
        <v>15210</v>
      </c>
    </row>
    <row r="11435" spans="1:16" x14ac:dyDescent="0.25">
      <c r="A11435" t="str">
        <f>"1180014A00183    00"</f>
        <v>1180014A00183    00</v>
      </c>
      <c r="B11435" t="s">
        <v>25323</v>
      </c>
      <c r="C11435" t="s">
        <v>25324</v>
      </c>
      <c r="D11435" t="s">
        <v>20</v>
      </c>
      <c r="E11435" t="s">
        <v>39</v>
      </c>
      <c r="F11435">
        <v>0</v>
      </c>
      <c r="G11435">
        <v>0</v>
      </c>
      <c r="H11435">
        <v>3</v>
      </c>
      <c r="I11435" s="3">
        <v>1052.1300000000001</v>
      </c>
      <c r="J11435" s="3">
        <v>70.14</v>
      </c>
      <c r="K11435" t="s">
        <v>25325</v>
      </c>
      <c r="L11435">
        <v>9118</v>
      </c>
      <c r="M11435" t="s">
        <v>25306</v>
      </c>
      <c r="N11435" t="s">
        <v>5166</v>
      </c>
      <c r="O11435" t="s">
        <v>1413</v>
      </c>
      <c r="P11435" t="str">
        <f>"27617"</f>
        <v>27617</v>
      </c>
    </row>
    <row r="11436" spans="1:16" x14ac:dyDescent="0.25">
      <c r="A11436" t="str">
        <f>"1180014A00184    00"</f>
        <v>1180014A00184    00</v>
      </c>
      <c r="B11436" t="s">
        <v>25326</v>
      </c>
      <c r="C11436" t="s">
        <v>25327</v>
      </c>
      <c r="D11436" t="s">
        <v>20</v>
      </c>
      <c r="E11436" t="s">
        <v>39</v>
      </c>
      <c r="F11436">
        <v>0</v>
      </c>
      <c r="G11436">
        <v>0</v>
      </c>
      <c r="H11436">
        <v>9</v>
      </c>
      <c r="I11436" s="3">
        <v>81.99</v>
      </c>
      <c r="J11436" s="3">
        <v>39.72</v>
      </c>
      <c r="L11436">
        <v>612</v>
      </c>
      <c r="M11436" t="s">
        <v>25288</v>
      </c>
      <c r="N11436" t="s">
        <v>30</v>
      </c>
      <c r="O11436" t="s">
        <v>31</v>
      </c>
      <c r="P11436" t="str">
        <f>"15210"</f>
        <v>15210</v>
      </c>
    </row>
    <row r="11437" spans="1:16" x14ac:dyDescent="0.25">
      <c r="A11437" t="str">
        <f>"1180014A00189    00"</f>
        <v>1180014A00189    00</v>
      </c>
      <c r="B11437" t="s">
        <v>25328</v>
      </c>
      <c r="C11437" t="s">
        <v>25329</v>
      </c>
      <c r="D11437" t="s">
        <v>20</v>
      </c>
      <c r="E11437" t="s">
        <v>21</v>
      </c>
      <c r="F11437">
        <v>0</v>
      </c>
      <c r="G11437">
        <v>0</v>
      </c>
      <c r="H11437">
        <v>5</v>
      </c>
      <c r="I11437" s="3">
        <v>942</v>
      </c>
      <c r="J11437" s="3">
        <v>162.74</v>
      </c>
      <c r="K11437" t="s">
        <v>25330</v>
      </c>
      <c r="M11437" t="s">
        <v>25331</v>
      </c>
      <c r="N11437" t="s">
        <v>199</v>
      </c>
      <c r="O11437" t="s">
        <v>200</v>
      </c>
      <c r="P11437" t="str">
        <f>"10150"</f>
        <v>10150</v>
      </c>
    </row>
    <row r="11438" spans="1:16" x14ac:dyDescent="0.25">
      <c r="A11438" t="str">
        <f>"1180014A00194    00"</f>
        <v>1180014A00194    00</v>
      </c>
      <c r="B11438" t="s">
        <v>25332</v>
      </c>
      <c r="C11438" t="s">
        <v>25333</v>
      </c>
      <c r="D11438" t="s">
        <v>20</v>
      </c>
      <c r="E11438" t="s">
        <v>39</v>
      </c>
      <c r="F11438">
        <v>0</v>
      </c>
      <c r="G11438">
        <v>0</v>
      </c>
      <c r="H11438">
        <v>1</v>
      </c>
      <c r="I11438" s="3">
        <v>137.22999999999999</v>
      </c>
      <c r="J11438" s="3">
        <v>0</v>
      </c>
      <c r="K11438" t="s">
        <v>25334</v>
      </c>
      <c r="L11438">
        <v>829</v>
      </c>
      <c r="M11438" t="s">
        <v>2475</v>
      </c>
      <c r="N11438" t="s">
        <v>30</v>
      </c>
      <c r="O11438" t="s">
        <v>31</v>
      </c>
      <c r="P11438" t="str">
        <f>"15210"</f>
        <v>15210</v>
      </c>
    </row>
    <row r="11439" spans="1:16" x14ac:dyDescent="0.25">
      <c r="A11439" t="str">
        <f>"1180014A00213    00"</f>
        <v>1180014A00213    00</v>
      </c>
      <c r="B11439" t="s">
        <v>25335</v>
      </c>
      <c r="C11439" t="s">
        <v>25336</v>
      </c>
      <c r="D11439" t="s">
        <v>20</v>
      </c>
      <c r="E11439" t="s">
        <v>39</v>
      </c>
      <c r="F11439">
        <v>0</v>
      </c>
      <c r="G11439">
        <v>0</v>
      </c>
      <c r="H11439">
        <v>14</v>
      </c>
      <c r="I11439" s="3">
        <v>7002.27</v>
      </c>
      <c r="J11439" s="3">
        <v>4413.16</v>
      </c>
      <c r="K11439" t="s">
        <v>25337</v>
      </c>
      <c r="L11439">
        <v>54</v>
      </c>
      <c r="M11439" t="s">
        <v>25338</v>
      </c>
      <c r="N11439" t="s">
        <v>30</v>
      </c>
      <c r="O11439" t="s">
        <v>31</v>
      </c>
      <c r="P11439" t="str">
        <f>"15210"</f>
        <v>15210</v>
      </c>
    </row>
    <row r="11440" spans="1:16" x14ac:dyDescent="0.25">
      <c r="A11440" t="str">
        <f>"1180014A00217    00"</f>
        <v>1180014A00217    00</v>
      </c>
      <c r="B11440" t="s">
        <v>25339</v>
      </c>
      <c r="C11440" t="s">
        <v>25340</v>
      </c>
      <c r="D11440" t="s">
        <v>20</v>
      </c>
      <c r="E11440" t="s">
        <v>39</v>
      </c>
      <c r="F11440">
        <v>0</v>
      </c>
      <c r="G11440">
        <v>0</v>
      </c>
      <c r="H11440">
        <v>3</v>
      </c>
      <c r="I11440" s="3">
        <v>95.61</v>
      </c>
      <c r="J11440" s="3">
        <v>0.45</v>
      </c>
      <c r="L11440">
        <v>628</v>
      </c>
      <c r="M11440" t="s">
        <v>2737</v>
      </c>
      <c r="N11440" t="s">
        <v>30</v>
      </c>
      <c r="P11440" t="str">
        <f>"15210"</f>
        <v>15210</v>
      </c>
    </row>
    <row r="11441" spans="1:16" x14ac:dyDescent="0.25">
      <c r="A11441" t="str">
        <f>"1180014A00227    00"</f>
        <v>1180014A00227    00</v>
      </c>
      <c r="B11441" t="s">
        <v>25341</v>
      </c>
      <c r="C11441" t="s">
        <v>25342</v>
      </c>
      <c r="E11441" t="s">
        <v>39</v>
      </c>
      <c r="F11441">
        <v>0</v>
      </c>
      <c r="G11441">
        <v>0</v>
      </c>
      <c r="H11441">
        <v>1</v>
      </c>
      <c r="I11441" s="3">
        <v>298.62</v>
      </c>
      <c r="J11441" s="3">
        <v>238.88</v>
      </c>
      <c r="K11441" t="s">
        <v>25343</v>
      </c>
      <c r="L11441">
        <v>614</v>
      </c>
      <c r="M11441" t="s">
        <v>2737</v>
      </c>
      <c r="N11441" t="s">
        <v>30</v>
      </c>
      <c r="O11441" t="s">
        <v>31</v>
      </c>
      <c r="P11441" t="str">
        <f>"15210"</f>
        <v>15210</v>
      </c>
    </row>
    <row r="11442" spans="1:16" x14ac:dyDescent="0.25">
      <c r="A11442" t="str">
        <f>"1180014A00240    00"</f>
        <v>1180014A00240    00</v>
      </c>
      <c r="B11442" t="s">
        <v>25344</v>
      </c>
      <c r="C11442" t="s">
        <v>25345</v>
      </c>
      <c r="D11442" t="s">
        <v>20</v>
      </c>
      <c r="E11442" t="s">
        <v>39</v>
      </c>
      <c r="F11442">
        <v>0</v>
      </c>
      <c r="G11442">
        <v>0</v>
      </c>
      <c r="H11442">
        <v>10</v>
      </c>
      <c r="I11442" s="3">
        <v>2090.02</v>
      </c>
      <c r="J11442" s="3">
        <v>894.9</v>
      </c>
      <c r="L11442">
        <v>75</v>
      </c>
      <c r="M11442" t="s">
        <v>25346</v>
      </c>
      <c r="N11442" t="s">
        <v>30</v>
      </c>
      <c r="O11442" t="s">
        <v>31</v>
      </c>
      <c r="P11442" t="str">
        <f>"15210"</f>
        <v>15210</v>
      </c>
    </row>
    <row r="11443" spans="1:16" x14ac:dyDescent="0.25">
      <c r="A11443" t="str">
        <f>"1180014A00242    00"</f>
        <v>1180014A00242    00</v>
      </c>
      <c r="B11443" t="s">
        <v>25347</v>
      </c>
      <c r="C11443" t="s">
        <v>25348</v>
      </c>
      <c r="D11443" t="s">
        <v>20</v>
      </c>
      <c r="E11443" t="s">
        <v>39</v>
      </c>
      <c r="F11443">
        <v>0</v>
      </c>
      <c r="G11443">
        <v>0</v>
      </c>
      <c r="H11443">
        <v>17</v>
      </c>
      <c r="I11443" s="3">
        <v>76.14</v>
      </c>
      <c r="J11443" s="3">
        <v>79.59</v>
      </c>
      <c r="K11443" t="s">
        <v>1008</v>
      </c>
      <c r="P11443" t="str">
        <f>""</f>
        <v/>
      </c>
    </row>
    <row r="11444" spans="1:16" x14ac:dyDescent="0.25">
      <c r="A11444" t="str">
        <f>"1180014A00243    00"</f>
        <v>1180014A00243    00</v>
      </c>
      <c r="B11444" t="s">
        <v>25349</v>
      </c>
      <c r="C11444" t="s">
        <v>25350</v>
      </c>
      <c r="D11444" t="s">
        <v>20</v>
      </c>
      <c r="E11444" t="s">
        <v>39</v>
      </c>
      <c r="F11444">
        <v>0</v>
      </c>
      <c r="G11444">
        <v>0</v>
      </c>
      <c r="H11444">
        <v>5</v>
      </c>
      <c r="I11444" s="3">
        <v>1003.22</v>
      </c>
      <c r="J11444" s="3">
        <v>216.46</v>
      </c>
      <c r="K11444" t="s">
        <v>25351</v>
      </c>
      <c r="M11444" t="s">
        <v>25352</v>
      </c>
      <c r="N11444" t="s">
        <v>636</v>
      </c>
      <c r="O11444" t="s">
        <v>31</v>
      </c>
      <c r="P11444" t="str">
        <f>"15104"</f>
        <v>15104</v>
      </c>
    </row>
    <row r="11445" spans="1:16" x14ac:dyDescent="0.25">
      <c r="A11445" t="str">
        <f>"1180014A00249    00"</f>
        <v>1180014A00249    00</v>
      </c>
      <c r="B11445" t="s">
        <v>25353</v>
      </c>
      <c r="C11445" t="s">
        <v>25354</v>
      </c>
      <c r="E11445" t="s">
        <v>39</v>
      </c>
      <c r="F11445">
        <v>0</v>
      </c>
      <c r="G11445">
        <v>0</v>
      </c>
      <c r="H11445">
        <v>1</v>
      </c>
      <c r="I11445" s="3">
        <v>123.63</v>
      </c>
      <c r="J11445" s="3">
        <v>0</v>
      </c>
      <c r="L11445">
        <v>611</v>
      </c>
      <c r="M11445" t="s">
        <v>2737</v>
      </c>
      <c r="N11445" t="s">
        <v>30</v>
      </c>
      <c r="O11445" t="s">
        <v>31</v>
      </c>
      <c r="P11445" t="str">
        <f>"15210"</f>
        <v>15210</v>
      </c>
    </row>
    <row r="11446" spans="1:16" x14ac:dyDescent="0.25">
      <c r="A11446" t="str">
        <f>"1180014A00294    00"</f>
        <v>1180014A00294    00</v>
      </c>
      <c r="B11446" t="s">
        <v>25355</v>
      </c>
      <c r="C11446" t="s">
        <v>25356</v>
      </c>
      <c r="E11446" t="s">
        <v>39</v>
      </c>
      <c r="F11446">
        <v>0</v>
      </c>
      <c r="G11446">
        <v>0</v>
      </c>
      <c r="H11446">
        <v>1</v>
      </c>
      <c r="I11446" s="3">
        <v>29.1</v>
      </c>
      <c r="J11446" s="3">
        <v>29.59</v>
      </c>
      <c r="L11446">
        <v>228</v>
      </c>
      <c r="M11446" t="s">
        <v>9578</v>
      </c>
      <c r="N11446" t="s">
        <v>199</v>
      </c>
      <c r="O11446" t="s">
        <v>200</v>
      </c>
      <c r="P11446" t="str">
        <f>"10003"</f>
        <v>10003</v>
      </c>
    </row>
    <row r="11447" spans="1:16" x14ac:dyDescent="0.25">
      <c r="A11447" t="str">
        <f>"1180014A00297    00"</f>
        <v>1180014A00297    00</v>
      </c>
      <c r="B11447" t="s">
        <v>25071</v>
      </c>
      <c r="C11447" t="s">
        <v>25357</v>
      </c>
      <c r="E11447" t="s">
        <v>39</v>
      </c>
      <c r="F11447">
        <v>0</v>
      </c>
      <c r="G11447">
        <v>0</v>
      </c>
      <c r="H11447">
        <v>1</v>
      </c>
      <c r="I11447" s="3">
        <v>381.2</v>
      </c>
      <c r="J11447" s="3">
        <v>0</v>
      </c>
      <c r="K11447" t="s">
        <v>25073</v>
      </c>
      <c r="L11447">
        <v>940</v>
      </c>
      <c r="M11447" t="s">
        <v>25074</v>
      </c>
      <c r="N11447" t="s">
        <v>30</v>
      </c>
      <c r="O11447" t="s">
        <v>31</v>
      </c>
      <c r="P11447" t="str">
        <f>"15220"</f>
        <v>15220</v>
      </c>
    </row>
    <row r="11448" spans="1:16" x14ac:dyDescent="0.25">
      <c r="A11448" t="str">
        <f>"1180014A00301    00"</f>
        <v>1180014A00301    00</v>
      </c>
      <c r="B11448" t="s">
        <v>25358</v>
      </c>
      <c r="C11448" t="s">
        <v>25359</v>
      </c>
      <c r="D11448" t="s">
        <v>20</v>
      </c>
      <c r="E11448" t="s">
        <v>39</v>
      </c>
      <c r="F11448">
        <v>0</v>
      </c>
      <c r="G11448">
        <v>0</v>
      </c>
      <c r="H11448">
        <v>1</v>
      </c>
      <c r="I11448" s="3">
        <v>411.7</v>
      </c>
      <c r="J11448" s="3">
        <v>0</v>
      </c>
      <c r="K11448" t="s">
        <v>23127</v>
      </c>
      <c r="L11448">
        <v>901</v>
      </c>
      <c r="M11448" t="s">
        <v>6264</v>
      </c>
      <c r="N11448" t="s">
        <v>30</v>
      </c>
      <c r="O11448" t="s">
        <v>31</v>
      </c>
      <c r="P11448" t="str">
        <f>"15203"</f>
        <v>15203</v>
      </c>
    </row>
    <row r="11449" spans="1:16" x14ac:dyDescent="0.25">
      <c r="A11449" t="str">
        <f>"1180014A00304    00"</f>
        <v>1180014A00304    00</v>
      </c>
      <c r="B11449" t="s">
        <v>25360</v>
      </c>
      <c r="C11449" t="s">
        <v>25361</v>
      </c>
      <c r="D11449" t="s">
        <v>20</v>
      </c>
      <c r="E11449" t="s">
        <v>39</v>
      </c>
      <c r="F11449">
        <v>0</v>
      </c>
      <c r="G11449">
        <v>0</v>
      </c>
      <c r="H11449">
        <v>3</v>
      </c>
      <c r="I11449" s="3">
        <v>1160.79</v>
      </c>
      <c r="J11449" s="3">
        <v>77.38</v>
      </c>
      <c r="L11449">
        <v>5619</v>
      </c>
      <c r="M11449" t="s">
        <v>13365</v>
      </c>
      <c r="N11449" t="s">
        <v>30</v>
      </c>
      <c r="O11449" t="s">
        <v>31</v>
      </c>
      <c r="P11449" t="str">
        <f>"15206"</f>
        <v>15206</v>
      </c>
    </row>
    <row r="11450" spans="1:16" x14ac:dyDescent="0.25">
      <c r="A11450" t="str">
        <f>"1180014A00307    00"</f>
        <v>1180014A00307    00</v>
      </c>
      <c r="B11450" t="s">
        <v>25362</v>
      </c>
      <c r="C11450" t="s">
        <v>25363</v>
      </c>
      <c r="D11450" t="s">
        <v>20</v>
      </c>
      <c r="E11450" t="s">
        <v>39</v>
      </c>
      <c r="F11450">
        <v>0</v>
      </c>
      <c r="G11450">
        <v>0</v>
      </c>
      <c r="H11450">
        <v>3</v>
      </c>
      <c r="I11450" s="3">
        <v>768.95</v>
      </c>
      <c r="J11450" s="3">
        <v>83.37</v>
      </c>
      <c r="K11450" t="s">
        <v>25364</v>
      </c>
      <c r="L11450">
        <v>705</v>
      </c>
      <c r="M11450" t="s">
        <v>2737</v>
      </c>
      <c r="N11450" t="s">
        <v>30</v>
      </c>
      <c r="O11450" t="s">
        <v>31</v>
      </c>
      <c r="P11450" t="str">
        <f t="shared" ref="P11450:P11459" si="131">"15210"</f>
        <v>15210</v>
      </c>
    </row>
    <row r="11451" spans="1:16" x14ac:dyDescent="0.25">
      <c r="A11451" t="str">
        <f>"1180014A00317    00"</f>
        <v>1180014A00317    00</v>
      </c>
      <c r="B11451" t="s">
        <v>25365</v>
      </c>
      <c r="C11451" t="s">
        <v>25366</v>
      </c>
      <c r="D11451" t="s">
        <v>20</v>
      </c>
      <c r="E11451" t="s">
        <v>39</v>
      </c>
      <c r="F11451">
        <v>0</v>
      </c>
      <c r="G11451">
        <v>0</v>
      </c>
      <c r="H11451">
        <v>2</v>
      </c>
      <c r="I11451" s="3">
        <v>192.06</v>
      </c>
      <c r="J11451" s="3">
        <v>0</v>
      </c>
      <c r="L11451">
        <v>59</v>
      </c>
      <c r="M11451" t="s">
        <v>23888</v>
      </c>
      <c r="N11451" t="s">
        <v>30</v>
      </c>
      <c r="O11451" t="s">
        <v>31</v>
      </c>
      <c r="P11451" t="str">
        <f t="shared" si="131"/>
        <v>15210</v>
      </c>
    </row>
    <row r="11452" spans="1:16" x14ac:dyDescent="0.25">
      <c r="A11452" t="str">
        <f>"1180014A00318    00"</f>
        <v>1180014A00318    00</v>
      </c>
      <c r="B11452" t="s">
        <v>25367</v>
      </c>
      <c r="C11452" t="s">
        <v>25368</v>
      </c>
      <c r="D11452" t="s">
        <v>20</v>
      </c>
      <c r="E11452" t="s">
        <v>39</v>
      </c>
      <c r="F11452">
        <v>0</v>
      </c>
      <c r="G11452">
        <v>0</v>
      </c>
      <c r="H11452">
        <v>2</v>
      </c>
      <c r="I11452" s="3">
        <v>172.42</v>
      </c>
      <c r="J11452" s="3">
        <v>0</v>
      </c>
      <c r="L11452">
        <v>67</v>
      </c>
      <c r="M11452" t="s">
        <v>23888</v>
      </c>
      <c r="N11452" t="s">
        <v>30</v>
      </c>
      <c r="O11452" t="s">
        <v>31</v>
      </c>
      <c r="P11452" t="str">
        <f t="shared" si="131"/>
        <v>15210</v>
      </c>
    </row>
    <row r="11453" spans="1:16" x14ac:dyDescent="0.25">
      <c r="A11453" t="str">
        <f>"1180014A00323    00"</f>
        <v>1180014A00323    00</v>
      </c>
      <c r="B11453" t="s">
        <v>25367</v>
      </c>
      <c r="C11453" t="s">
        <v>25369</v>
      </c>
      <c r="D11453" t="s">
        <v>20</v>
      </c>
      <c r="E11453" t="s">
        <v>39</v>
      </c>
      <c r="F11453">
        <v>0</v>
      </c>
      <c r="G11453">
        <v>0</v>
      </c>
      <c r="H11453">
        <v>2</v>
      </c>
      <c r="I11453" s="3">
        <v>373.56</v>
      </c>
      <c r="J11453" s="3">
        <v>0</v>
      </c>
      <c r="L11453">
        <v>67</v>
      </c>
      <c r="M11453" t="s">
        <v>23888</v>
      </c>
      <c r="N11453" t="s">
        <v>30</v>
      </c>
      <c r="O11453" t="s">
        <v>31</v>
      </c>
      <c r="P11453" t="str">
        <f t="shared" si="131"/>
        <v>15210</v>
      </c>
    </row>
    <row r="11454" spans="1:16" x14ac:dyDescent="0.25">
      <c r="A11454" t="str">
        <f>"1180014A00327    00"</f>
        <v>1180014A00327    00</v>
      </c>
      <c r="B11454" t="s">
        <v>25370</v>
      </c>
      <c r="C11454" t="s">
        <v>25371</v>
      </c>
      <c r="E11454" t="s">
        <v>21</v>
      </c>
      <c r="F11454">
        <v>0</v>
      </c>
      <c r="G11454">
        <v>0</v>
      </c>
      <c r="H11454">
        <v>2</v>
      </c>
      <c r="I11454" s="3">
        <v>2128.36</v>
      </c>
      <c r="J11454" s="3">
        <v>170.26</v>
      </c>
      <c r="L11454">
        <v>705</v>
      </c>
      <c r="M11454" t="s">
        <v>23227</v>
      </c>
      <c r="N11454" t="s">
        <v>30</v>
      </c>
      <c r="O11454" t="s">
        <v>31</v>
      </c>
      <c r="P11454" t="str">
        <f t="shared" si="131"/>
        <v>15210</v>
      </c>
    </row>
    <row r="11455" spans="1:16" x14ac:dyDescent="0.25">
      <c r="A11455" t="str">
        <f>"1180014A00337    00"</f>
        <v>1180014A00337    00</v>
      </c>
      <c r="B11455" t="s">
        <v>25372</v>
      </c>
      <c r="C11455" t="s">
        <v>25373</v>
      </c>
      <c r="E11455" t="s">
        <v>21</v>
      </c>
      <c r="F11455">
        <v>0</v>
      </c>
      <c r="G11455">
        <v>0</v>
      </c>
      <c r="H11455">
        <v>18</v>
      </c>
      <c r="I11455" s="3">
        <v>51033.82</v>
      </c>
      <c r="J11455" s="3">
        <v>44990.97</v>
      </c>
      <c r="K11455" t="s">
        <v>25374</v>
      </c>
      <c r="L11455">
        <v>829</v>
      </c>
      <c r="M11455" t="s">
        <v>2475</v>
      </c>
      <c r="N11455" t="s">
        <v>30</v>
      </c>
      <c r="O11455" t="s">
        <v>31</v>
      </c>
      <c r="P11455" t="str">
        <f t="shared" si="131"/>
        <v>15210</v>
      </c>
    </row>
    <row r="11456" spans="1:16" x14ac:dyDescent="0.25">
      <c r="A11456" t="str">
        <f>"1180014A00341    00"</f>
        <v>1180014A00341    00</v>
      </c>
      <c r="B11456" t="s">
        <v>25375</v>
      </c>
      <c r="C11456" t="s">
        <v>25376</v>
      </c>
      <c r="D11456" t="s">
        <v>20</v>
      </c>
      <c r="E11456" t="s">
        <v>39</v>
      </c>
      <c r="F11456">
        <v>0</v>
      </c>
      <c r="G11456">
        <v>0</v>
      </c>
      <c r="H11456">
        <v>7</v>
      </c>
      <c r="I11456" s="3">
        <v>1288.06</v>
      </c>
      <c r="J11456" s="3">
        <v>375.54</v>
      </c>
      <c r="L11456">
        <v>620</v>
      </c>
      <c r="M11456" t="s">
        <v>23227</v>
      </c>
      <c r="N11456" t="s">
        <v>30</v>
      </c>
      <c r="O11456" t="s">
        <v>31</v>
      </c>
      <c r="P11456" t="str">
        <f t="shared" si="131"/>
        <v>15210</v>
      </c>
    </row>
    <row r="11457" spans="1:16" x14ac:dyDescent="0.25">
      <c r="A11457" t="str">
        <f>"1180014A00342    00"</f>
        <v>1180014A00342    00</v>
      </c>
      <c r="B11457" t="s">
        <v>25375</v>
      </c>
      <c r="C11457" t="s">
        <v>25376</v>
      </c>
      <c r="D11457" t="s">
        <v>20</v>
      </c>
      <c r="E11457" t="s">
        <v>39</v>
      </c>
      <c r="F11457">
        <v>0</v>
      </c>
      <c r="G11457">
        <v>0</v>
      </c>
      <c r="H11457">
        <v>5</v>
      </c>
      <c r="I11457" s="3">
        <v>318.56</v>
      </c>
      <c r="J11457" s="3">
        <v>56.41</v>
      </c>
      <c r="L11457">
        <v>620</v>
      </c>
      <c r="M11457" t="s">
        <v>23227</v>
      </c>
      <c r="N11457" t="s">
        <v>30</v>
      </c>
      <c r="O11457" t="s">
        <v>31</v>
      </c>
      <c r="P11457" t="str">
        <f t="shared" si="131"/>
        <v>15210</v>
      </c>
    </row>
    <row r="11458" spans="1:16" x14ac:dyDescent="0.25">
      <c r="A11458" t="str">
        <f>"1180014A00353    00"</f>
        <v>1180014A00353    00</v>
      </c>
      <c r="B11458" t="s">
        <v>25377</v>
      </c>
      <c r="C11458" t="s">
        <v>25378</v>
      </c>
      <c r="D11458" t="s">
        <v>20</v>
      </c>
      <c r="E11458" t="s">
        <v>21</v>
      </c>
      <c r="F11458">
        <v>0</v>
      </c>
      <c r="G11458">
        <v>0</v>
      </c>
      <c r="H11458">
        <v>15</v>
      </c>
      <c r="I11458" s="3">
        <v>11082.66</v>
      </c>
      <c r="J11458" s="3">
        <v>13431.68</v>
      </c>
      <c r="L11458">
        <v>125</v>
      </c>
      <c r="M11458" t="s">
        <v>25043</v>
      </c>
      <c r="N11458" t="s">
        <v>30</v>
      </c>
      <c r="O11458" t="s">
        <v>31</v>
      </c>
      <c r="P11458" t="str">
        <f t="shared" si="131"/>
        <v>15210</v>
      </c>
    </row>
    <row r="11459" spans="1:16" x14ac:dyDescent="0.25">
      <c r="A11459" t="str">
        <f>"1180014A00372    00"</f>
        <v>1180014A00372    00</v>
      </c>
      <c r="B11459" t="s">
        <v>25379</v>
      </c>
      <c r="C11459" t="s">
        <v>25380</v>
      </c>
      <c r="D11459" t="s">
        <v>20</v>
      </c>
      <c r="E11459" t="s">
        <v>39</v>
      </c>
      <c r="F11459">
        <v>0</v>
      </c>
      <c r="G11459">
        <v>0</v>
      </c>
      <c r="H11459">
        <v>19</v>
      </c>
      <c r="I11459" s="3">
        <v>6775.63</v>
      </c>
      <c r="J11459" s="3">
        <v>6539.1</v>
      </c>
      <c r="L11459">
        <v>739</v>
      </c>
      <c r="M11459" t="s">
        <v>25381</v>
      </c>
      <c r="N11459" t="s">
        <v>30</v>
      </c>
      <c r="O11459" t="s">
        <v>31</v>
      </c>
      <c r="P11459" t="str">
        <f t="shared" si="131"/>
        <v>15210</v>
      </c>
    </row>
    <row r="11460" spans="1:16" x14ac:dyDescent="0.25">
      <c r="A11460" t="str">
        <f>"1180014A00375    00"</f>
        <v>1180014A00375    00</v>
      </c>
      <c r="B11460" t="s">
        <v>25382</v>
      </c>
      <c r="C11460" t="s">
        <v>25383</v>
      </c>
      <c r="E11460" t="s">
        <v>39</v>
      </c>
      <c r="F11460">
        <v>0</v>
      </c>
      <c r="G11460">
        <v>0</v>
      </c>
      <c r="H11460">
        <v>1</v>
      </c>
      <c r="I11460" s="3">
        <v>212.18</v>
      </c>
      <c r="J11460" s="3">
        <v>1.77</v>
      </c>
      <c r="K11460" t="s">
        <v>25384</v>
      </c>
      <c r="L11460">
        <v>1800</v>
      </c>
      <c r="M11460" t="s">
        <v>16754</v>
      </c>
      <c r="N11460" t="s">
        <v>30</v>
      </c>
      <c r="O11460" t="s">
        <v>31</v>
      </c>
      <c r="P11460" t="str">
        <f>"15217"</f>
        <v>15217</v>
      </c>
    </row>
    <row r="11461" spans="1:16" x14ac:dyDescent="0.25">
      <c r="A11461" t="str">
        <f>"1180014A00395    00"</f>
        <v>1180014A00395    00</v>
      </c>
      <c r="B11461" t="s">
        <v>25385</v>
      </c>
      <c r="C11461" t="s">
        <v>25386</v>
      </c>
      <c r="D11461" t="s">
        <v>20</v>
      </c>
      <c r="E11461" t="s">
        <v>39</v>
      </c>
      <c r="F11461">
        <v>0</v>
      </c>
      <c r="G11461">
        <v>0</v>
      </c>
      <c r="H11461">
        <v>17</v>
      </c>
      <c r="I11461" s="3">
        <v>134.15</v>
      </c>
      <c r="J11461" s="3">
        <v>149.49</v>
      </c>
      <c r="K11461" t="s">
        <v>1037</v>
      </c>
      <c r="L11461">
        <v>623</v>
      </c>
      <c r="M11461" t="s">
        <v>25387</v>
      </c>
      <c r="N11461" t="s">
        <v>30</v>
      </c>
      <c r="O11461" t="s">
        <v>31</v>
      </c>
      <c r="P11461" t="str">
        <f>"15210"</f>
        <v>15210</v>
      </c>
    </row>
    <row r="11462" spans="1:16" x14ac:dyDescent="0.25">
      <c r="A11462" t="str">
        <f>"1180014B00001    00"</f>
        <v>1180014B00001    00</v>
      </c>
      <c r="B11462" t="s">
        <v>25388</v>
      </c>
      <c r="C11462" t="s">
        <v>25116</v>
      </c>
      <c r="D11462" t="s">
        <v>20</v>
      </c>
      <c r="E11462" t="s">
        <v>39</v>
      </c>
      <c r="F11462">
        <v>0</v>
      </c>
      <c r="G11462">
        <v>0</v>
      </c>
      <c r="H11462">
        <v>4</v>
      </c>
      <c r="I11462" s="3">
        <v>455.35</v>
      </c>
      <c r="J11462" s="3">
        <v>73.33</v>
      </c>
      <c r="L11462">
        <v>723</v>
      </c>
      <c r="M11462" t="s">
        <v>25077</v>
      </c>
      <c r="N11462" t="s">
        <v>30</v>
      </c>
      <c r="O11462" t="s">
        <v>31</v>
      </c>
      <c r="P11462" t="str">
        <f>"15210"</f>
        <v>15210</v>
      </c>
    </row>
    <row r="11463" spans="1:16" x14ac:dyDescent="0.25">
      <c r="A11463" t="str">
        <f>"1180014B00002    00"</f>
        <v>1180014B00002    00</v>
      </c>
      <c r="B11463" t="s">
        <v>25389</v>
      </c>
      <c r="C11463" t="s">
        <v>25390</v>
      </c>
      <c r="D11463" t="s">
        <v>20</v>
      </c>
      <c r="E11463" t="s">
        <v>39</v>
      </c>
      <c r="F11463">
        <v>0</v>
      </c>
      <c r="G11463">
        <v>0</v>
      </c>
      <c r="H11463">
        <v>1</v>
      </c>
      <c r="I11463" s="3">
        <v>446.02</v>
      </c>
      <c r="J11463" s="3">
        <v>0</v>
      </c>
      <c r="L11463">
        <v>21</v>
      </c>
      <c r="M11463" t="s">
        <v>25391</v>
      </c>
      <c r="N11463" t="s">
        <v>30</v>
      </c>
      <c r="O11463" t="s">
        <v>31</v>
      </c>
      <c r="P11463" t="str">
        <f>"15237"</f>
        <v>15237</v>
      </c>
    </row>
    <row r="11464" spans="1:16" x14ac:dyDescent="0.25">
      <c r="A11464" t="str">
        <f>"1180014B00012    00"</f>
        <v>1180014B00012    00</v>
      </c>
      <c r="B11464" t="s">
        <v>25392</v>
      </c>
      <c r="C11464" t="s">
        <v>25393</v>
      </c>
      <c r="E11464" t="s">
        <v>39</v>
      </c>
      <c r="F11464">
        <v>0</v>
      </c>
      <c r="G11464">
        <v>0</v>
      </c>
      <c r="H11464">
        <v>1</v>
      </c>
      <c r="I11464" s="3">
        <v>121.98</v>
      </c>
      <c r="J11464" s="3">
        <v>8.1300000000000008</v>
      </c>
      <c r="L11464">
        <v>829</v>
      </c>
      <c r="M11464" t="s">
        <v>2475</v>
      </c>
      <c r="N11464" t="s">
        <v>30</v>
      </c>
      <c r="O11464" t="s">
        <v>31</v>
      </c>
      <c r="P11464" t="str">
        <f>"15210"</f>
        <v>15210</v>
      </c>
    </row>
    <row r="11465" spans="1:16" x14ac:dyDescent="0.25">
      <c r="A11465" t="str">
        <f>"1180014B00019    00"</f>
        <v>1180014B00019    00</v>
      </c>
      <c r="B11465" t="s">
        <v>25394</v>
      </c>
      <c r="C11465" t="s">
        <v>25395</v>
      </c>
      <c r="D11465" t="s">
        <v>57</v>
      </c>
      <c r="E11465" t="s">
        <v>39</v>
      </c>
      <c r="F11465">
        <v>0</v>
      </c>
      <c r="G11465">
        <v>0</v>
      </c>
      <c r="H11465">
        <v>1</v>
      </c>
      <c r="I11465" s="3">
        <v>238.01</v>
      </c>
      <c r="J11465" s="3">
        <v>53.55</v>
      </c>
      <c r="K11465" t="s">
        <v>25396</v>
      </c>
      <c r="L11465">
        <v>13890</v>
      </c>
      <c r="M11465" t="s">
        <v>25397</v>
      </c>
      <c r="N11465" t="s">
        <v>2059</v>
      </c>
      <c r="O11465" t="s">
        <v>31</v>
      </c>
      <c r="P11465" t="str">
        <f>"15642"</f>
        <v>15642</v>
      </c>
    </row>
    <row r="11466" spans="1:16" x14ac:dyDescent="0.25">
      <c r="A11466" t="str">
        <f>"1180014B00042    00"</f>
        <v>1180014B00042    00</v>
      </c>
      <c r="B11466" t="s">
        <v>25398</v>
      </c>
      <c r="C11466" t="s">
        <v>25399</v>
      </c>
      <c r="E11466" t="s">
        <v>39</v>
      </c>
      <c r="F11466">
        <v>0</v>
      </c>
      <c r="G11466">
        <v>0</v>
      </c>
      <c r="H11466">
        <v>1</v>
      </c>
      <c r="I11466" s="3">
        <v>388.15</v>
      </c>
      <c r="J11466" s="3">
        <v>155.25</v>
      </c>
      <c r="L11466">
        <v>27</v>
      </c>
      <c r="M11466" t="s">
        <v>25400</v>
      </c>
      <c r="N11466" t="s">
        <v>30</v>
      </c>
      <c r="O11466" t="s">
        <v>31</v>
      </c>
      <c r="P11466" t="str">
        <f>"15210"</f>
        <v>15210</v>
      </c>
    </row>
    <row r="11467" spans="1:16" x14ac:dyDescent="0.25">
      <c r="A11467" t="str">
        <f>"1180014B00048    00"</f>
        <v>1180014B00048    00</v>
      </c>
      <c r="B11467" t="s">
        <v>25401</v>
      </c>
      <c r="C11467" t="s">
        <v>25402</v>
      </c>
      <c r="D11467" t="s">
        <v>20</v>
      </c>
      <c r="E11467" t="s">
        <v>39</v>
      </c>
      <c r="F11467">
        <v>0</v>
      </c>
      <c r="G11467">
        <v>0</v>
      </c>
      <c r="H11467">
        <v>4</v>
      </c>
      <c r="I11467" s="3">
        <v>1236.79</v>
      </c>
      <c r="J11467" s="3">
        <v>232.01</v>
      </c>
      <c r="K11467" t="s">
        <v>25403</v>
      </c>
      <c r="L11467">
        <v>743</v>
      </c>
      <c r="M11467" t="s">
        <v>2737</v>
      </c>
      <c r="N11467" t="s">
        <v>30</v>
      </c>
      <c r="O11467" t="s">
        <v>31</v>
      </c>
      <c r="P11467" t="str">
        <f>"15210"</f>
        <v>15210</v>
      </c>
    </row>
    <row r="11468" spans="1:16" x14ac:dyDescent="0.25">
      <c r="A11468" t="str">
        <f>"1180014B00049    00"</f>
        <v>1180014B00049    00</v>
      </c>
      <c r="B11468" t="s">
        <v>25404</v>
      </c>
      <c r="C11468" t="s">
        <v>25405</v>
      </c>
      <c r="D11468" t="s">
        <v>20</v>
      </c>
      <c r="E11468" t="s">
        <v>39</v>
      </c>
      <c r="F11468">
        <v>0</v>
      </c>
      <c r="G11468">
        <v>0</v>
      </c>
      <c r="H11468">
        <v>14</v>
      </c>
      <c r="I11468" s="3">
        <v>5194.57</v>
      </c>
      <c r="J11468" s="3">
        <v>3701.84</v>
      </c>
      <c r="L11468">
        <v>8402</v>
      </c>
      <c r="M11468" t="s">
        <v>25406</v>
      </c>
      <c r="N11468" t="s">
        <v>25407</v>
      </c>
      <c r="O11468" t="s">
        <v>200</v>
      </c>
      <c r="P11468" t="str">
        <f>"11415"</f>
        <v>11415</v>
      </c>
    </row>
    <row r="11469" spans="1:16" x14ac:dyDescent="0.25">
      <c r="A11469" t="str">
        <f>"1180014B00056    00"</f>
        <v>1180014B00056    00</v>
      </c>
      <c r="B11469" t="s">
        <v>25408</v>
      </c>
      <c r="C11469" t="s">
        <v>25409</v>
      </c>
      <c r="D11469" t="s">
        <v>20</v>
      </c>
      <c r="E11469" t="s">
        <v>39</v>
      </c>
      <c r="F11469">
        <v>0</v>
      </c>
      <c r="G11469">
        <v>0</v>
      </c>
      <c r="H11469">
        <v>5</v>
      </c>
      <c r="I11469" s="3">
        <v>466</v>
      </c>
      <c r="J11469" s="3">
        <v>80.349999999999994</v>
      </c>
      <c r="L11469">
        <v>723</v>
      </c>
      <c r="M11469" t="s">
        <v>2737</v>
      </c>
      <c r="N11469" t="s">
        <v>30</v>
      </c>
      <c r="O11469" t="s">
        <v>31</v>
      </c>
      <c r="P11469" t="str">
        <f>"15210"</f>
        <v>15210</v>
      </c>
    </row>
    <row r="11470" spans="1:16" x14ac:dyDescent="0.25">
      <c r="A11470" t="str">
        <f>"1180014B00061    00"</f>
        <v>1180014B00061    00</v>
      </c>
      <c r="B11470" t="s">
        <v>23155</v>
      </c>
      <c r="C11470" t="s">
        <v>25410</v>
      </c>
      <c r="D11470" t="s">
        <v>20</v>
      </c>
      <c r="E11470" t="s">
        <v>39</v>
      </c>
      <c r="F11470">
        <v>0</v>
      </c>
      <c r="G11470">
        <v>0</v>
      </c>
      <c r="H11470">
        <v>3</v>
      </c>
      <c r="I11470" s="3">
        <v>182.4</v>
      </c>
      <c r="J11470" s="3">
        <v>12.16</v>
      </c>
      <c r="L11470">
        <v>712</v>
      </c>
      <c r="M11470" t="s">
        <v>2737</v>
      </c>
      <c r="N11470" t="s">
        <v>30</v>
      </c>
      <c r="O11470" t="s">
        <v>31</v>
      </c>
      <c r="P11470" t="str">
        <f>"15210"</f>
        <v>15210</v>
      </c>
    </row>
    <row r="11471" spans="1:16" x14ac:dyDescent="0.25">
      <c r="A11471" t="str">
        <f>"1180014B00062    00"</f>
        <v>1180014B00062    00</v>
      </c>
      <c r="B11471" t="s">
        <v>25411</v>
      </c>
      <c r="C11471" t="s">
        <v>25412</v>
      </c>
      <c r="E11471" t="s">
        <v>39</v>
      </c>
      <c r="F11471">
        <v>0</v>
      </c>
      <c r="G11471">
        <v>0</v>
      </c>
      <c r="H11471">
        <v>4</v>
      </c>
      <c r="I11471" s="3">
        <v>1919.95</v>
      </c>
      <c r="J11471" s="3">
        <v>3226.87</v>
      </c>
      <c r="K11471" t="s">
        <v>25413</v>
      </c>
      <c r="L11471">
        <v>716</v>
      </c>
      <c r="M11471" t="s">
        <v>25414</v>
      </c>
      <c r="N11471" t="s">
        <v>30</v>
      </c>
      <c r="O11471" t="s">
        <v>31</v>
      </c>
      <c r="P11471" t="str">
        <f>"15210"</f>
        <v>15210</v>
      </c>
    </row>
    <row r="11472" spans="1:16" x14ac:dyDescent="0.25">
      <c r="A11472" t="str">
        <f>"1180014B00063    00"</f>
        <v>1180014B00063    00</v>
      </c>
      <c r="B11472" t="s">
        <v>25415</v>
      </c>
      <c r="C11472" t="s">
        <v>25416</v>
      </c>
      <c r="E11472" t="s">
        <v>39</v>
      </c>
      <c r="F11472">
        <v>0</v>
      </c>
      <c r="G11472">
        <v>0</v>
      </c>
      <c r="H11472">
        <v>3</v>
      </c>
      <c r="I11472" s="3">
        <v>197.95</v>
      </c>
      <c r="J11472" s="3">
        <v>174.77</v>
      </c>
      <c r="L11472">
        <v>718</v>
      </c>
      <c r="M11472" t="s">
        <v>2737</v>
      </c>
      <c r="N11472" t="s">
        <v>30</v>
      </c>
      <c r="O11472" t="s">
        <v>31</v>
      </c>
      <c r="P11472" t="str">
        <f>"15210"</f>
        <v>15210</v>
      </c>
    </row>
    <row r="11473" spans="1:16" x14ac:dyDescent="0.25">
      <c r="A11473" t="str">
        <f>"1180014B00064    00"</f>
        <v>1180014B00064    00</v>
      </c>
      <c r="B11473" t="s">
        <v>25417</v>
      </c>
      <c r="C11473" t="s">
        <v>25418</v>
      </c>
      <c r="D11473" t="s">
        <v>20</v>
      </c>
      <c r="E11473" t="s">
        <v>39</v>
      </c>
      <c r="F11473">
        <v>0</v>
      </c>
      <c r="G11473">
        <v>0</v>
      </c>
      <c r="H11473">
        <v>2</v>
      </c>
      <c r="I11473" s="3">
        <v>712.86</v>
      </c>
      <c r="J11473" s="3">
        <v>0</v>
      </c>
      <c r="L11473">
        <v>415</v>
      </c>
      <c r="M11473" t="s">
        <v>22783</v>
      </c>
      <c r="N11473" t="s">
        <v>30</v>
      </c>
      <c r="O11473" t="s">
        <v>31</v>
      </c>
      <c r="P11473" t="str">
        <f>"15211"</f>
        <v>15211</v>
      </c>
    </row>
    <row r="11474" spans="1:16" x14ac:dyDescent="0.25">
      <c r="A11474" t="str">
        <f>"1180014B00065    00"</f>
        <v>1180014B00065    00</v>
      </c>
      <c r="B11474" t="s">
        <v>25419</v>
      </c>
      <c r="C11474" t="s">
        <v>25405</v>
      </c>
      <c r="D11474" t="s">
        <v>20</v>
      </c>
      <c r="E11474" t="s">
        <v>39</v>
      </c>
      <c r="F11474">
        <v>0</v>
      </c>
      <c r="G11474">
        <v>0</v>
      </c>
      <c r="H11474">
        <v>2</v>
      </c>
      <c r="I11474" s="3">
        <v>400.28</v>
      </c>
      <c r="J11474" s="3">
        <v>0</v>
      </c>
      <c r="K11474" t="s">
        <v>25420</v>
      </c>
      <c r="L11474">
        <v>451</v>
      </c>
      <c r="M11474" t="s">
        <v>11744</v>
      </c>
      <c r="N11474" t="s">
        <v>30</v>
      </c>
      <c r="O11474" t="s">
        <v>31</v>
      </c>
      <c r="P11474" t="str">
        <f>"15215"</f>
        <v>15215</v>
      </c>
    </row>
    <row r="11475" spans="1:16" x14ac:dyDescent="0.25">
      <c r="A11475" t="str">
        <f>"1180014B00066    00"</f>
        <v>1180014B00066    00</v>
      </c>
      <c r="B11475" t="s">
        <v>25421</v>
      </c>
      <c r="C11475" t="s">
        <v>25405</v>
      </c>
      <c r="E11475" t="s">
        <v>39</v>
      </c>
      <c r="F11475">
        <v>0</v>
      </c>
      <c r="G11475">
        <v>0</v>
      </c>
      <c r="H11475">
        <v>2</v>
      </c>
      <c r="I11475" s="3">
        <v>182.11</v>
      </c>
      <c r="J11475" s="3">
        <v>49.36</v>
      </c>
      <c r="L11475">
        <v>724</v>
      </c>
      <c r="M11475" t="s">
        <v>25422</v>
      </c>
      <c r="N11475" t="s">
        <v>30</v>
      </c>
      <c r="O11475" t="s">
        <v>31</v>
      </c>
      <c r="P11475" t="str">
        <f>"15224"</f>
        <v>15224</v>
      </c>
    </row>
    <row r="11476" spans="1:16" x14ac:dyDescent="0.25">
      <c r="A11476" t="str">
        <f>"1180014B00076    00"</f>
        <v>1180014B00076    00</v>
      </c>
      <c r="B11476" t="s">
        <v>25423</v>
      </c>
      <c r="C11476" t="s">
        <v>25424</v>
      </c>
      <c r="D11476" t="s">
        <v>20</v>
      </c>
      <c r="E11476" t="s">
        <v>39</v>
      </c>
      <c r="F11476">
        <v>0</v>
      </c>
      <c r="G11476">
        <v>0</v>
      </c>
      <c r="H11476">
        <v>15</v>
      </c>
      <c r="I11476" s="3">
        <v>9006.1200000000008</v>
      </c>
      <c r="J11476" s="3">
        <v>3796.7</v>
      </c>
      <c r="K11476" t="s">
        <v>25425</v>
      </c>
      <c r="L11476">
        <v>834</v>
      </c>
      <c r="M11476" t="s">
        <v>475</v>
      </c>
      <c r="N11476" t="s">
        <v>30</v>
      </c>
      <c r="O11476" t="s">
        <v>31</v>
      </c>
      <c r="P11476" t="str">
        <f>"15228"</f>
        <v>15228</v>
      </c>
    </row>
    <row r="11477" spans="1:16" x14ac:dyDescent="0.25">
      <c r="A11477" t="str">
        <f>"1180014B00079    00"</f>
        <v>1180014B00079    00</v>
      </c>
      <c r="B11477" t="s">
        <v>25426</v>
      </c>
      <c r="C11477" t="s">
        <v>25427</v>
      </c>
      <c r="E11477" t="s">
        <v>39</v>
      </c>
      <c r="F11477">
        <v>0</v>
      </c>
      <c r="G11477">
        <v>0</v>
      </c>
      <c r="H11477">
        <v>1</v>
      </c>
      <c r="I11477" s="3">
        <v>337.68</v>
      </c>
      <c r="J11477" s="3">
        <v>92.86</v>
      </c>
      <c r="M11477" t="s">
        <v>9510</v>
      </c>
      <c r="N11477" t="s">
        <v>30</v>
      </c>
      <c r="O11477" t="s">
        <v>31</v>
      </c>
      <c r="P11477" t="str">
        <f>"15216"</f>
        <v>15216</v>
      </c>
    </row>
    <row r="11478" spans="1:16" x14ac:dyDescent="0.25">
      <c r="A11478" t="str">
        <f>"1180014B00087    00"</f>
        <v>1180014B00087    00</v>
      </c>
      <c r="B11478" t="s">
        <v>25428</v>
      </c>
      <c r="C11478" t="s">
        <v>25429</v>
      </c>
      <c r="D11478" t="s">
        <v>20</v>
      </c>
      <c r="E11478" t="s">
        <v>39</v>
      </c>
      <c r="F11478">
        <v>0</v>
      </c>
      <c r="G11478">
        <v>0</v>
      </c>
      <c r="H11478">
        <v>14</v>
      </c>
      <c r="I11478" s="3">
        <v>5725.18</v>
      </c>
      <c r="J11478" s="3">
        <v>3709.97</v>
      </c>
      <c r="M11478" t="s">
        <v>25430</v>
      </c>
      <c r="N11478" t="s">
        <v>1827</v>
      </c>
      <c r="O11478" t="s">
        <v>2109</v>
      </c>
      <c r="P11478" t="str">
        <f>"84333"</f>
        <v>84333</v>
      </c>
    </row>
    <row r="11479" spans="1:16" x14ac:dyDescent="0.25">
      <c r="A11479" t="str">
        <f>"1180014B00118    00"</f>
        <v>1180014B00118    00</v>
      </c>
      <c r="B11479" t="s">
        <v>25431</v>
      </c>
      <c r="C11479" t="s">
        <v>25432</v>
      </c>
      <c r="E11479" t="s">
        <v>21</v>
      </c>
      <c r="F11479">
        <v>0</v>
      </c>
      <c r="G11479">
        <v>0</v>
      </c>
      <c r="H11479">
        <v>1</v>
      </c>
      <c r="I11479" s="3">
        <v>499.39</v>
      </c>
      <c r="J11479" s="3">
        <v>0</v>
      </c>
      <c r="K11479" t="s">
        <v>25433</v>
      </c>
      <c r="L11479">
        <v>940</v>
      </c>
      <c r="M11479" t="s">
        <v>25074</v>
      </c>
      <c r="N11479" t="s">
        <v>30</v>
      </c>
      <c r="O11479" t="s">
        <v>31</v>
      </c>
      <c r="P11479" t="str">
        <f>"15220"</f>
        <v>15220</v>
      </c>
    </row>
    <row r="11480" spans="1:16" x14ac:dyDescent="0.25">
      <c r="A11480" t="str">
        <f>"1180014B00133    00"</f>
        <v>1180014B00133    00</v>
      </c>
      <c r="B11480" t="s">
        <v>944</v>
      </c>
      <c r="C11480" t="s">
        <v>25434</v>
      </c>
      <c r="E11480" t="s">
        <v>39</v>
      </c>
      <c r="F11480">
        <v>0</v>
      </c>
      <c r="G11480">
        <v>0</v>
      </c>
      <c r="H11480">
        <v>2</v>
      </c>
      <c r="I11480" s="3">
        <v>3031.36</v>
      </c>
      <c r="J11480" s="3">
        <v>3886.81</v>
      </c>
      <c r="L11480">
        <v>200</v>
      </c>
      <c r="M11480" t="s">
        <v>946</v>
      </c>
      <c r="N11480" t="s">
        <v>30</v>
      </c>
      <c r="O11480" t="s">
        <v>31</v>
      </c>
      <c r="P11480" t="str">
        <f>"15219"</f>
        <v>15219</v>
      </c>
    </row>
    <row r="11481" spans="1:16" x14ac:dyDescent="0.25">
      <c r="A11481" t="str">
        <f>"1180014B00141    00"</f>
        <v>1180014B00141    00</v>
      </c>
      <c r="B11481" t="s">
        <v>25435</v>
      </c>
      <c r="C11481" t="s">
        <v>25436</v>
      </c>
      <c r="D11481" t="s">
        <v>20</v>
      </c>
      <c r="E11481" t="s">
        <v>21</v>
      </c>
      <c r="F11481">
        <v>0</v>
      </c>
      <c r="G11481">
        <v>0</v>
      </c>
      <c r="H11481">
        <v>1</v>
      </c>
      <c r="I11481" s="3">
        <v>3467.02</v>
      </c>
      <c r="J11481" s="3">
        <v>0</v>
      </c>
      <c r="L11481">
        <v>744</v>
      </c>
      <c r="M11481" t="s">
        <v>23227</v>
      </c>
      <c r="N11481" t="s">
        <v>30</v>
      </c>
      <c r="O11481" t="s">
        <v>31</v>
      </c>
      <c r="P11481" t="str">
        <f>"15210"</f>
        <v>15210</v>
      </c>
    </row>
    <row r="11482" spans="1:16" x14ac:dyDescent="0.25">
      <c r="A11482" t="str">
        <f>"1180014B00144    00"</f>
        <v>1180014B00144    00</v>
      </c>
      <c r="B11482" t="s">
        <v>25437</v>
      </c>
      <c r="C11482" t="s">
        <v>25438</v>
      </c>
      <c r="D11482" t="s">
        <v>20</v>
      </c>
      <c r="E11482" t="s">
        <v>21</v>
      </c>
      <c r="F11482">
        <v>0</v>
      </c>
      <c r="G11482">
        <v>0</v>
      </c>
      <c r="H11482">
        <v>1</v>
      </c>
      <c r="I11482" s="3">
        <v>2224.31</v>
      </c>
      <c r="J11482" s="3">
        <v>0</v>
      </c>
      <c r="K11482" t="s">
        <v>25439</v>
      </c>
      <c r="L11482">
        <v>750</v>
      </c>
      <c r="M11482" t="s">
        <v>23227</v>
      </c>
      <c r="N11482" t="s">
        <v>30</v>
      </c>
      <c r="O11482" t="s">
        <v>31</v>
      </c>
      <c r="P11482" t="str">
        <f>"15210"</f>
        <v>15210</v>
      </c>
    </row>
    <row r="11483" spans="1:16" x14ac:dyDescent="0.25">
      <c r="A11483" t="str">
        <f>"1180014B00164    00"</f>
        <v>1180014B00164    00</v>
      </c>
      <c r="B11483" t="s">
        <v>25440</v>
      </c>
      <c r="C11483" t="s">
        <v>25441</v>
      </c>
      <c r="D11483" t="s">
        <v>20</v>
      </c>
      <c r="E11483" t="s">
        <v>39</v>
      </c>
      <c r="F11483">
        <v>0</v>
      </c>
      <c r="G11483">
        <v>0</v>
      </c>
      <c r="H11483">
        <v>5</v>
      </c>
      <c r="I11483" s="3">
        <v>1942.01</v>
      </c>
      <c r="J11483" s="3">
        <v>0</v>
      </c>
      <c r="L11483">
        <v>318</v>
      </c>
      <c r="M11483" t="s">
        <v>23888</v>
      </c>
      <c r="N11483" t="s">
        <v>30</v>
      </c>
      <c r="O11483" t="s">
        <v>31</v>
      </c>
      <c r="P11483" t="str">
        <f>"15210"</f>
        <v>15210</v>
      </c>
    </row>
    <row r="11484" spans="1:16" x14ac:dyDescent="0.25">
      <c r="A11484" t="str">
        <f>"1180014B00168    00"</f>
        <v>1180014B00168    00</v>
      </c>
      <c r="B11484" t="s">
        <v>25442</v>
      </c>
      <c r="C11484" t="s">
        <v>25443</v>
      </c>
      <c r="D11484" t="s">
        <v>20</v>
      </c>
      <c r="E11484" t="s">
        <v>39</v>
      </c>
      <c r="F11484">
        <v>0</v>
      </c>
      <c r="G11484">
        <v>0</v>
      </c>
      <c r="H11484">
        <v>4</v>
      </c>
      <c r="I11484" s="3">
        <v>30.16</v>
      </c>
      <c r="J11484" s="3">
        <v>3.71</v>
      </c>
      <c r="L11484">
        <v>744</v>
      </c>
      <c r="M11484" t="s">
        <v>25444</v>
      </c>
      <c r="N11484" t="s">
        <v>30</v>
      </c>
      <c r="O11484" t="s">
        <v>31</v>
      </c>
      <c r="P11484" t="str">
        <f>"15204"</f>
        <v>15204</v>
      </c>
    </row>
    <row r="11485" spans="1:16" x14ac:dyDescent="0.25">
      <c r="A11485" t="str">
        <f>"1180014B00169    00"</f>
        <v>1180014B00169    00</v>
      </c>
      <c r="B11485" t="s">
        <v>25445</v>
      </c>
      <c r="C11485" t="s">
        <v>25446</v>
      </c>
      <c r="D11485" t="s">
        <v>20</v>
      </c>
      <c r="E11485" t="s">
        <v>39</v>
      </c>
      <c r="F11485">
        <v>0</v>
      </c>
      <c r="G11485">
        <v>0</v>
      </c>
      <c r="H11485">
        <v>10</v>
      </c>
      <c r="I11485" s="3">
        <v>2861.24</v>
      </c>
      <c r="J11485" s="3">
        <v>346.64</v>
      </c>
      <c r="K11485" t="s">
        <v>25447</v>
      </c>
      <c r="L11485">
        <v>328</v>
      </c>
      <c r="M11485" t="s">
        <v>25448</v>
      </c>
      <c r="N11485" t="s">
        <v>30</v>
      </c>
      <c r="O11485" t="s">
        <v>31</v>
      </c>
      <c r="P11485" t="str">
        <f t="shared" ref="P11485:P11491" si="132">"15210"</f>
        <v>15210</v>
      </c>
    </row>
    <row r="11486" spans="1:16" x14ac:dyDescent="0.25">
      <c r="A11486" t="str">
        <f>"1180014B00172    00"</f>
        <v>1180014B00172    00</v>
      </c>
      <c r="B11486" t="s">
        <v>25449</v>
      </c>
      <c r="C11486" t="s">
        <v>25450</v>
      </c>
      <c r="D11486" t="s">
        <v>20</v>
      </c>
      <c r="E11486" t="s">
        <v>39</v>
      </c>
      <c r="F11486">
        <v>0</v>
      </c>
      <c r="G11486">
        <v>0</v>
      </c>
      <c r="H11486">
        <v>2</v>
      </c>
      <c r="I11486" s="3">
        <v>160.36000000000001</v>
      </c>
      <c r="J11486" s="3">
        <v>0</v>
      </c>
      <c r="L11486">
        <v>812</v>
      </c>
      <c r="M11486" t="s">
        <v>25077</v>
      </c>
      <c r="N11486" t="s">
        <v>30</v>
      </c>
      <c r="O11486" t="s">
        <v>31</v>
      </c>
      <c r="P11486" t="str">
        <f t="shared" si="132"/>
        <v>15210</v>
      </c>
    </row>
    <row r="11487" spans="1:16" x14ac:dyDescent="0.25">
      <c r="A11487" t="str">
        <f>"1180014B00173    00"</f>
        <v>1180014B00173    00</v>
      </c>
      <c r="B11487" t="s">
        <v>25451</v>
      </c>
      <c r="C11487" t="s">
        <v>25452</v>
      </c>
      <c r="E11487" t="s">
        <v>39</v>
      </c>
      <c r="F11487">
        <v>0</v>
      </c>
      <c r="G11487">
        <v>0</v>
      </c>
      <c r="H11487">
        <v>3</v>
      </c>
      <c r="I11487" s="3">
        <v>967.02</v>
      </c>
      <c r="J11487" s="3">
        <v>26.79</v>
      </c>
      <c r="L11487">
        <v>814</v>
      </c>
      <c r="M11487" t="s">
        <v>25077</v>
      </c>
      <c r="N11487" t="s">
        <v>30</v>
      </c>
      <c r="O11487" t="s">
        <v>31</v>
      </c>
      <c r="P11487" t="str">
        <f t="shared" si="132"/>
        <v>15210</v>
      </c>
    </row>
    <row r="11488" spans="1:16" x14ac:dyDescent="0.25">
      <c r="A11488" t="str">
        <f>"1180014B00183    00"</f>
        <v>1180014B00183    00</v>
      </c>
      <c r="B11488" t="s">
        <v>25453</v>
      </c>
      <c r="C11488" t="s">
        <v>25454</v>
      </c>
      <c r="D11488" t="s">
        <v>20</v>
      </c>
      <c r="E11488" t="s">
        <v>39</v>
      </c>
      <c r="F11488">
        <v>0</v>
      </c>
      <c r="G11488">
        <v>0</v>
      </c>
      <c r="H11488">
        <v>7</v>
      </c>
      <c r="I11488" s="3">
        <v>4277.09</v>
      </c>
      <c r="J11488" s="3">
        <v>1197.78</v>
      </c>
      <c r="L11488">
        <v>2665</v>
      </c>
      <c r="M11488" t="s">
        <v>24535</v>
      </c>
      <c r="N11488" t="s">
        <v>30</v>
      </c>
      <c r="O11488" t="s">
        <v>31</v>
      </c>
      <c r="P11488" t="str">
        <f t="shared" si="132"/>
        <v>15210</v>
      </c>
    </row>
    <row r="11489" spans="1:16" x14ac:dyDescent="0.25">
      <c r="A11489" t="str">
        <f>"1180014B00201B   00"</f>
        <v>1180014B00201B   00</v>
      </c>
      <c r="B11489" t="s">
        <v>25455</v>
      </c>
      <c r="C11489" t="s">
        <v>25456</v>
      </c>
      <c r="E11489" t="s">
        <v>39</v>
      </c>
      <c r="F11489">
        <v>0</v>
      </c>
      <c r="G11489">
        <v>0</v>
      </c>
      <c r="H11489">
        <v>1</v>
      </c>
      <c r="I11489" s="3">
        <v>72.430000000000007</v>
      </c>
      <c r="J11489" s="3">
        <v>0</v>
      </c>
      <c r="L11489">
        <v>824</v>
      </c>
      <c r="M11489" t="s">
        <v>25457</v>
      </c>
      <c r="N11489" t="s">
        <v>30</v>
      </c>
      <c r="O11489" t="s">
        <v>31</v>
      </c>
      <c r="P11489" t="str">
        <f t="shared" si="132"/>
        <v>15210</v>
      </c>
    </row>
    <row r="11490" spans="1:16" x14ac:dyDescent="0.25">
      <c r="A11490" t="str">
        <f>"1180014B00219    00"</f>
        <v>1180014B00219    00</v>
      </c>
      <c r="B11490" t="s">
        <v>25458</v>
      </c>
      <c r="C11490" t="s">
        <v>25405</v>
      </c>
      <c r="D11490" t="s">
        <v>20</v>
      </c>
      <c r="E11490" t="s">
        <v>39</v>
      </c>
      <c r="F11490">
        <v>0</v>
      </c>
      <c r="G11490">
        <v>0</v>
      </c>
      <c r="H11490">
        <v>11</v>
      </c>
      <c r="I11490" s="3">
        <v>78.45</v>
      </c>
      <c r="J11490" s="3">
        <v>46.2</v>
      </c>
      <c r="L11490">
        <v>28</v>
      </c>
      <c r="M11490" t="s">
        <v>25082</v>
      </c>
      <c r="N11490" t="s">
        <v>30</v>
      </c>
      <c r="O11490" t="s">
        <v>31</v>
      </c>
      <c r="P11490" t="str">
        <f t="shared" si="132"/>
        <v>15210</v>
      </c>
    </row>
    <row r="11491" spans="1:16" x14ac:dyDescent="0.25">
      <c r="A11491" t="str">
        <f>"1180014B00225    00"</f>
        <v>1180014B00225    00</v>
      </c>
      <c r="B11491" t="s">
        <v>25459</v>
      </c>
      <c r="C11491" t="s">
        <v>25460</v>
      </c>
      <c r="E11491" t="s">
        <v>39</v>
      </c>
      <c r="F11491">
        <v>0</v>
      </c>
      <c r="G11491">
        <v>0</v>
      </c>
      <c r="H11491">
        <v>11</v>
      </c>
      <c r="I11491" s="3">
        <v>4209.43</v>
      </c>
      <c r="J11491" s="3">
        <v>597.1</v>
      </c>
      <c r="L11491">
        <v>328</v>
      </c>
      <c r="M11491" t="s">
        <v>25448</v>
      </c>
      <c r="N11491" t="s">
        <v>30</v>
      </c>
      <c r="O11491" t="s">
        <v>31</v>
      </c>
      <c r="P11491" t="str">
        <f t="shared" si="132"/>
        <v>15210</v>
      </c>
    </row>
    <row r="11492" spans="1:16" x14ac:dyDescent="0.25">
      <c r="A11492" t="str">
        <f>"1180014B00226    00"</f>
        <v>1180014B00226    00</v>
      </c>
      <c r="B11492" t="s">
        <v>25461</v>
      </c>
      <c r="C11492" t="s">
        <v>25462</v>
      </c>
      <c r="E11492" t="s">
        <v>39</v>
      </c>
      <c r="F11492">
        <v>0</v>
      </c>
      <c r="G11492">
        <v>0</v>
      </c>
      <c r="H11492">
        <v>1</v>
      </c>
      <c r="I11492" s="3">
        <v>188.54</v>
      </c>
      <c r="J11492" s="3">
        <v>0</v>
      </c>
      <c r="L11492">
        <v>3107</v>
      </c>
      <c r="M11492" t="s">
        <v>25463</v>
      </c>
      <c r="N11492" t="s">
        <v>30</v>
      </c>
      <c r="O11492" t="s">
        <v>31</v>
      </c>
      <c r="P11492" t="str">
        <f>"15227"</f>
        <v>15227</v>
      </c>
    </row>
    <row r="11493" spans="1:16" x14ac:dyDescent="0.25">
      <c r="A11493" t="str">
        <f>"1180014B00236    00"</f>
        <v>1180014B00236    00</v>
      </c>
      <c r="B11493" t="s">
        <v>25464</v>
      </c>
      <c r="C11493" t="s">
        <v>25465</v>
      </c>
      <c r="D11493" t="s">
        <v>20</v>
      </c>
      <c r="E11493" t="s">
        <v>39</v>
      </c>
      <c r="F11493">
        <v>0</v>
      </c>
      <c r="G11493">
        <v>0</v>
      </c>
      <c r="H11493">
        <v>13</v>
      </c>
      <c r="I11493" s="3">
        <v>2844.31</v>
      </c>
      <c r="J11493" s="3">
        <v>2325.27</v>
      </c>
      <c r="K11493" t="s">
        <v>25466</v>
      </c>
      <c r="L11493">
        <v>837</v>
      </c>
      <c r="M11493" t="s">
        <v>2737</v>
      </c>
      <c r="N11493" t="s">
        <v>30</v>
      </c>
      <c r="O11493" t="s">
        <v>31</v>
      </c>
      <c r="P11493" t="str">
        <f>"15210"</f>
        <v>15210</v>
      </c>
    </row>
    <row r="11494" spans="1:16" x14ac:dyDescent="0.25">
      <c r="A11494" t="str">
        <f>"1180014B00241    00"</f>
        <v>1180014B00241    00</v>
      </c>
      <c r="B11494" t="s">
        <v>25467</v>
      </c>
      <c r="C11494" t="s">
        <v>25468</v>
      </c>
      <c r="D11494" t="s">
        <v>20</v>
      </c>
      <c r="E11494" t="s">
        <v>39</v>
      </c>
      <c r="F11494">
        <v>0</v>
      </c>
      <c r="G11494">
        <v>0</v>
      </c>
      <c r="H11494">
        <v>4</v>
      </c>
      <c r="I11494" s="3">
        <v>223.51</v>
      </c>
      <c r="J11494" s="3">
        <v>15.87</v>
      </c>
      <c r="L11494">
        <v>847</v>
      </c>
      <c r="M11494" t="s">
        <v>2737</v>
      </c>
      <c r="N11494" t="s">
        <v>30</v>
      </c>
      <c r="O11494" t="s">
        <v>31</v>
      </c>
      <c r="P11494" t="str">
        <f>"15210"</f>
        <v>15210</v>
      </c>
    </row>
    <row r="11495" spans="1:16" x14ac:dyDescent="0.25">
      <c r="A11495" t="str">
        <f>"1180014B00250    00"</f>
        <v>1180014B00250    00</v>
      </c>
      <c r="B11495" t="s">
        <v>25469</v>
      </c>
      <c r="C11495" t="s">
        <v>25470</v>
      </c>
      <c r="D11495" t="s">
        <v>20</v>
      </c>
      <c r="E11495" t="s">
        <v>39</v>
      </c>
      <c r="F11495">
        <v>0</v>
      </c>
      <c r="G11495">
        <v>0</v>
      </c>
      <c r="H11495">
        <v>3</v>
      </c>
      <c r="I11495" s="3">
        <v>1102.28</v>
      </c>
      <c r="J11495" s="3">
        <v>85.31</v>
      </c>
      <c r="L11495">
        <v>836</v>
      </c>
      <c r="M11495" t="s">
        <v>2737</v>
      </c>
      <c r="N11495" t="s">
        <v>30</v>
      </c>
      <c r="O11495" t="s">
        <v>31</v>
      </c>
      <c r="P11495" t="str">
        <f>"15210"</f>
        <v>15210</v>
      </c>
    </row>
    <row r="11496" spans="1:16" x14ac:dyDescent="0.25">
      <c r="A11496" t="str">
        <f>"1180014B00253    00"</f>
        <v>1180014B00253    00</v>
      </c>
      <c r="B11496" t="s">
        <v>25471</v>
      </c>
      <c r="C11496" t="s">
        <v>25472</v>
      </c>
      <c r="D11496" t="s">
        <v>20</v>
      </c>
      <c r="E11496" t="s">
        <v>39</v>
      </c>
      <c r="F11496">
        <v>0</v>
      </c>
      <c r="G11496">
        <v>0</v>
      </c>
      <c r="H11496">
        <v>16</v>
      </c>
      <c r="I11496" s="3">
        <v>3091.96</v>
      </c>
      <c r="J11496" s="3">
        <v>1988.32</v>
      </c>
      <c r="K11496" t="s">
        <v>25473</v>
      </c>
      <c r="L11496">
        <v>233</v>
      </c>
      <c r="M11496" t="s">
        <v>25474</v>
      </c>
      <c r="N11496" t="s">
        <v>30</v>
      </c>
      <c r="O11496" t="s">
        <v>31</v>
      </c>
      <c r="P11496" t="str">
        <f>"15211"</f>
        <v>15211</v>
      </c>
    </row>
    <row r="11497" spans="1:16" x14ac:dyDescent="0.25">
      <c r="A11497" t="str">
        <f>"1180014B00255    00"</f>
        <v>1180014B00255    00</v>
      </c>
      <c r="B11497" t="s">
        <v>25389</v>
      </c>
      <c r="C11497" t="s">
        <v>25475</v>
      </c>
      <c r="D11497" t="s">
        <v>20</v>
      </c>
      <c r="E11497" t="s">
        <v>39</v>
      </c>
      <c r="F11497">
        <v>0</v>
      </c>
      <c r="G11497">
        <v>0</v>
      </c>
      <c r="H11497">
        <v>1</v>
      </c>
      <c r="I11497" s="3">
        <v>476.52</v>
      </c>
      <c r="J11497" s="3">
        <v>0</v>
      </c>
      <c r="L11497">
        <v>21</v>
      </c>
      <c r="M11497" t="s">
        <v>25391</v>
      </c>
      <c r="N11497" t="s">
        <v>30</v>
      </c>
      <c r="O11497" t="s">
        <v>31</v>
      </c>
      <c r="P11497" t="str">
        <f>"15237"</f>
        <v>15237</v>
      </c>
    </row>
    <row r="11498" spans="1:16" x14ac:dyDescent="0.25">
      <c r="A11498" t="str">
        <f>"1180014B00309    00"</f>
        <v>1180014B00309    00</v>
      </c>
      <c r="B11498" t="s">
        <v>25476</v>
      </c>
      <c r="C11498" t="s">
        <v>25477</v>
      </c>
      <c r="E11498" t="s">
        <v>21</v>
      </c>
      <c r="F11498">
        <v>0</v>
      </c>
      <c r="G11498">
        <v>0</v>
      </c>
      <c r="H11498">
        <v>1</v>
      </c>
      <c r="I11498" s="3">
        <v>1078.8</v>
      </c>
      <c r="J11498" s="3">
        <v>0</v>
      </c>
      <c r="L11498">
        <v>4115</v>
      </c>
      <c r="M11498" t="s">
        <v>22972</v>
      </c>
      <c r="N11498" t="s">
        <v>79</v>
      </c>
      <c r="O11498" t="s">
        <v>31</v>
      </c>
      <c r="P11498" t="str">
        <f>"15668"</f>
        <v>15668</v>
      </c>
    </row>
    <row r="11499" spans="1:16" x14ac:dyDescent="0.25">
      <c r="A11499" t="str">
        <f>"1180014B00358    00"</f>
        <v>1180014B00358    00</v>
      </c>
      <c r="B11499" t="s">
        <v>25087</v>
      </c>
      <c r="C11499" t="s">
        <v>25478</v>
      </c>
      <c r="D11499" t="s">
        <v>20</v>
      </c>
      <c r="E11499" t="s">
        <v>21</v>
      </c>
      <c r="F11499">
        <v>0</v>
      </c>
      <c r="G11499">
        <v>0</v>
      </c>
      <c r="H11499">
        <v>2</v>
      </c>
      <c r="I11499" s="3">
        <v>2512.98</v>
      </c>
      <c r="J11499" s="3">
        <v>0.98</v>
      </c>
      <c r="L11499">
        <v>701</v>
      </c>
      <c r="M11499" t="s">
        <v>23227</v>
      </c>
      <c r="N11499" t="s">
        <v>30</v>
      </c>
      <c r="O11499" t="s">
        <v>31</v>
      </c>
      <c r="P11499" t="str">
        <f>"15210"</f>
        <v>15210</v>
      </c>
    </row>
    <row r="11500" spans="1:16" x14ac:dyDescent="0.25">
      <c r="A11500" t="str">
        <f>"1180014B00372    00"</f>
        <v>1180014B00372    00</v>
      </c>
      <c r="B11500" t="s">
        <v>25332</v>
      </c>
      <c r="C11500" t="s">
        <v>25386</v>
      </c>
      <c r="E11500" t="s">
        <v>39</v>
      </c>
      <c r="F11500">
        <v>0</v>
      </c>
      <c r="G11500">
        <v>0</v>
      </c>
      <c r="H11500">
        <v>1</v>
      </c>
      <c r="I11500" s="3">
        <v>25.41</v>
      </c>
      <c r="J11500" s="3">
        <v>12.49</v>
      </c>
      <c r="K11500" t="s">
        <v>25334</v>
      </c>
      <c r="L11500">
        <v>829</v>
      </c>
      <c r="M11500" t="s">
        <v>2475</v>
      </c>
      <c r="N11500" t="s">
        <v>30</v>
      </c>
      <c r="O11500" t="s">
        <v>31</v>
      </c>
      <c r="P11500" t="str">
        <f>"15210"</f>
        <v>15210</v>
      </c>
    </row>
    <row r="11501" spans="1:16" x14ac:dyDescent="0.25">
      <c r="A11501" t="str">
        <f>"1180014B00387    00"</f>
        <v>1180014B00387    00</v>
      </c>
      <c r="B11501" t="s">
        <v>25479</v>
      </c>
      <c r="C11501" t="s">
        <v>25480</v>
      </c>
      <c r="E11501" t="s">
        <v>21</v>
      </c>
      <c r="F11501">
        <v>0</v>
      </c>
      <c r="G11501">
        <v>0</v>
      </c>
      <c r="H11501">
        <v>1</v>
      </c>
      <c r="I11501" s="3">
        <v>1321.51</v>
      </c>
      <c r="J11501" s="3">
        <v>0</v>
      </c>
      <c r="K11501" t="s">
        <v>25481</v>
      </c>
      <c r="L11501">
        <v>3111</v>
      </c>
      <c r="M11501" t="s">
        <v>25482</v>
      </c>
      <c r="N11501" t="s">
        <v>171</v>
      </c>
      <c r="O11501" t="s">
        <v>31</v>
      </c>
      <c r="P11501" t="str">
        <f>"15057"</f>
        <v>15057</v>
      </c>
    </row>
    <row r="11502" spans="1:16" x14ac:dyDescent="0.25">
      <c r="A11502" t="str">
        <f>"1180014B00392    00"</f>
        <v>1180014B00392    00</v>
      </c>
      <c r="B11502" t="s">
        <v>25483</v>
      </c>
      <c r="C11502" t="s">
        <v>25484</v>
      </c>
      <c r="E11502" t="s">
        <v>290</v>
      </c>
      <c r="F11502">
        <v>0</v>
      </c>
      <c r="G11502">
        <v>0</v>
      </c>
      <c r="H11502">
        <v>1</v>
      </c>
      <c r="I11502" s="3">
        <v>12469.05</v>
      </c>
      <c r="J11502" s="3">
        <v>6130.37</v>
      </c>
      <c r="K11502" t="s">
        <v>4293</v>
      </c>
      <c r="L11502">
        <v>411</v>
      </c>
      <c r="M11502" t="s">
        <v>4294</v>
      </c>
      <c r="N11502" t="s">
        <v>3934</v>
      </c>
      <c r="O11502" t="s">
        <v>31</v>
      </c>
      <c r="P11502" t="str">
        <f>"15102"</f>
        <v>15102</v>
      </c>
    </row>
    <row r="11503" spans="1:16" x14ac:dyDescent="0.25">
      <c r="A11503" t="str">
        <f>"1180014B00401    00"</f>
        <v>1180014B00401    00</v>
      </c>
      <c r="B11503" t="s">
        <v>25485</v>
      </c>
      <c r="C11503" t="s">
        <v>25486</v>
      </c>
      <c r="D11503" t="s">
        <v>20</v>
      </c>
      <c r="E11503" t="s">
        <v>39</v>
      </c>
      <c r="F11503">
        <v>0</v>
      </c>
      <c r="G11503">
        <v>0</v>
      </c>
      <c r="H11503">
        <v>2</v>
      </c>
      <c r="I11503" s="3">
        <v>739.58</v>
      </c>
      <c r="J11503" s="3">
        <v>0</v>
      </c>
      <c r="L11503">
        <v>900</v>
      </c>
      <c r="M11503" t="s">
        <v>2737</v>
      </c>
      <c r="N11503" t="s">
        <v>30</v>
      </c>
      <c r="O11503" t="s">
        <v>31</v>
      </c>
      <c r="P11503" t="str">
        <f>"15210"</f>
        <v>15210</v>
      </c>
    </row>
    <row r="11504" spans="1:16" x14ac:dyDescent="0.25">
      <c r="A11504" t="str">
        <f>"1180014B00402    00"</f>
        <v>1180014B00402    00</v>
      </c>
      <c r="B11504" t="s">
        <v>25487</v>
      </c>
      <c r="C11504" t="s">
        <v>25405</v>
      </c>
      <c r="D11504" t="s">
        <v>20</v>
      </c>
      <c r="E11504" t="s">
        <v>39</v>
      </c>
      <c r="F11504">
        <v>0</v>
      </c>
      <c r="G11504">
        <v>0</v>
      </c>
      <c r="H11504">
        <v>6</v>
      </c>
      <c r="I11504" s="3">
        <v>44.32</v>
      </c>
      <c r="J11504" s="3">
        <v>17.38</v>
      </c>
      <c r="L11504">
        <v>2723</v>
      </c>
      <c r="M11504" t="s">
        <v>25488</v>
      </c>
      <c r="N11504" t="s">
        <v>30</v>
      </c>
      <c r="O11504" t="s">
        <v>31</v>
      </c>
      <c r="P11504" t="str">
        <f>"15227"</f>
        <v>15227</v>
      </c>
    </row>
    <row r="11505" spans="1:16" x14ac:dyDescent="0.25">
      <c r="A11505" t="str">
        <f>"1180014B00406    00"</f>
        <v>1180014B00406    00</v>
      </c>
      <c r="B11505" t="s">
        <v>25489</v>
      </c>
      <c r="C11505" t="s">
        <v>25490</v>
      </c>
      <c r="D11505" t="s">
        <v>20</v>
      </c>
      <c r="E11505" t="s">
        <v>39</v>
      </c>
      <c r="F11505">
        <v>0</v>
      </c>
      <c r="G11505">
        <v>0</v>
      </c>
      <c r="H11505">
        <v>4</v>
      </c>
      <c r="I11505" s="3">
        <v>1655.5</v>
      </c>
      <c r="J11505" s="3">
        <v>195.57</v>
      </c>
      <c r="L11505">
        <v>905</v>
      </c>
      <c r="M11505" t="s">
        <v>2737</v>
      </c>
      <c r="N11505" t="s">
        <v>30</v>
      </c>
      <c r="O11505" t="s">
        <v>31</v>
      </c>
      <c r="P11505" t="str">
        <f>"15210"</f>
        <v>15210</v>
      </c>
    </row>
    <row r="11506" spans="1:16" x14ac:dyDescent="0.25">
      <c r="A11506" t="str">
        <f>"1180014B00408    00"</f>
        <v>1180014B00408    00</v>
      </c>
      <c r="B11506" t="s">
        <v>25491</v>
      </c>
      <c r="C11506" t="s">
        <v>25405</v>
      </c>
      <c r="D11506" t="s">
        <v>20</v>
      </c>
      <c r="E11506" t="s">
        <v>39</v>
      </c>
      <c r="F11506">
        <v>0</v>
      </c>
      <c r="G11506">
        <v>0</v>
      </c>
      <c r="H11506">
        <v>19</v>
      </c>
      <c r="I11506" s="3">
        <v>1857.92</v>
      </c>
      <c r="J11506" s="3">
        <v>1926.69</v>
      </c>
      <c r="L11506">
        <v>2146</v>
      </c>
      <c r="M11506" t="s">
        <v>25492</v>
      </c>
      <c r="N11506" t="s">
        <v>30</v>
      </c>
      <c r="O11506" t="s">
        <v>31</v>
      </c>
      <c r="P11506" t="str">
        <f>"15210"</f>
        <v>15210</v>
      </c>
    </row>
    <row r="11507" spans="1:16" x14ac:dyDescent="0.25">
      <c r="A11507" t="str">
        <f>"1180014B00412    00"</f>
        <v>1180014B00412    00</v>
      </c>
      <c r="B11507" t="s">
        <v>25493</v>
      </c>
      <c r="C11507" t="s">
        <v>25063</v>
      </c>
      <c r="D11507" t="s">
        <v>20</v>
      </c>
      <c r="E11507" t="s">
        <v>39</v>
      </c>
      <c r="F11507">
        <v>0</v>
      </c>
      <c r="G11507">
        <v>0</v>
      </c>
      <c r="H11507">
        <v>3</v>
      </c>
      <c r="I11507" s="3">
        <v>223.02</v>
      </c>
      <c r="J11507" s="3">
        <v>14.88</v>
      </c>
      <c r="L11507">
        <v>5</v>
      </c>
      <c r="M11507" t="s">
        <v>25111</v>
      </c>
      <c r="N11507" t="s">
        <v>30</v>
      </c>
      <c r="O11507" t="s">
        <v>31</v>
      </c>
      <c r="P11507" t="str">
        <f>"15210"</f>
        <v>15210</v>
      </c>
    </row>
    <row r="11508" spans="1:16" x14ac:dyDescent="0.25">
      <c r="A11508" t="str">
        <f>"1180014C00010    00"</f>
        <v>1180014C00010    00</v>
      </c>
      <c r="B11508" t="s">
        <v>25494</v>
      </c>
      <c r="C11508" t="s">
        <v>25405</v>
      </c>
      <c r="D11508" t="s">
        <v>20</v>
      </c>
      <c r="E11508" t="s">
        <v>39</v>
      </c>
      <c r="F11508">
        <v>0</v>
      </c>
      <c r="G11508">
        <v>0</v>
      </c>
      <c r="H11508">
        <v>19</v>
      </c>
      <c r="I11508" s="3">
        <v>240.29</v>
      </c>
      <c r="J11508" s="3">
        <v>207.62</v>
      </c>
      <c r="L11508">
        <v>8</v>
      </c>
      <c r="M11508" t="s">
        <v>25495</v>
      </c>
      <c r="N11508" t="s">
        <v>25496</v>
      </c>
      <c r="O11508" t="s">
        <v>3392</v>
      </c>
      <c r="P11508" t="str">
        <f>"19901"</f>
        <v>19901</v>
      </c>
    </row>
    <row r="11509" spans="1:16" x14ac:dyDescent="0.25">
      <c r="A11509" t="str">
        <f>"1180014C00045    00"</f>
        <v>1180014C00045    00</v>
      </c>
      <c r="B11509" t="s">
        <v>25497</v>
      </c>
      <c r="C11509" t="s">
        <v>25498</v>
      </c>
      <c r="D11509" t="s">
        <v>20</v>
      </c>
      <c r="E11509" t="s">
        <v>39</v>
      </c>
      <c r="F11509">
        <v>0</v>
      </c>
      <c r="G11509">
        <v>0</v>
      </c>
      <c r="H11509">
        <v>19</v>
      </c>
      <c r="I11509" s="3">
        <v>4698.74</v>
      </c>
      <c r="J11509" s="3">
        <v>5180.6400000000003</v>
      </c>
      <c r="L11509">
        <v>8</v>
      </c>
      <c r="M11509" t="s">
        <v>25495</v>
      </c>
      <c r="N11509" t="s">
        <v>25496</v>
      </c>
      <c r="O11509" t="s">
        <v>3392</v>
      </c>
      <c r="P11509" t="str">
        <f>"19901"</f>
        <v>19901</v>
      </c>
    </row>
    <row r="11510" spans="1:16" x14ac:dyDescent="0.25">
      <c r="A11510" t="str">
        <f>"1180014C00081    00"</f>
        <v>1180014C00081    00</v>
      </c>
      <c r="B11510" t="s">
        <v>25499</v>
      </c>
      <c r="C11510" t="s">
        <v>23201</v>
      </c>
      <c r="D11510" t="s">
        <v>20</v>
      </c>
      <c r="E11510" t="s">
        <v>39</v>
      </c>
      <c r="F11510">
        <v>0</v>
      </c>
      <c r="G11510">
        <v>0</v>
      </c>
      <c r="H11510">
        <v>13</v>
      </c>
      <c r="I11510" s="3">
        <v>128.72999999999999</v>
      </c>
      <c r="J11510" s="3">
        <v>97.24</v>
      </c>
      <c r="L11510">
        <v>90</v>
      </c>
      <c r="M11510" t="s">
        <v>25500</v>
      </c>
      <c r="N11510" t="s">
        <v>30</v>
      </c>
      <c r="O11510" t="s">
        <v>31</v>
      </c>
      <c r="P11510" t="str">
        <f>"15223"</f>
        <v>15223</v>
      </c>
    </row>
    <row r="11511" spans="1:16" x14ac:dyDescent="0.25">
      <c r="A11511" t="str">
        <f>"1180014C00084    00"</f>
        <v>1180014C00084    00</v>
      </c>
      <c r="B11511" t="s">
        <v>25501</v>
      </c>
      <c r="C11511" t="s">
        <v>25502</v>
      </c>
      <c r="D11511" t="s">
        <v>20</v>
      </c>
      <c r="E11511" t="s">
        <v>39</v>
      </c>
      <c r="F11511">
        <v>0</v>
      </c>
      <c r="G11511">
        <v>0</v>
      </c>
      <c r="H11511">
        <v>8</v>
      </c>
      <c r="I11511" s="3">
        <v>5729.58</v>
      </c>
      <c r="J11511" s="3">
        <v>97.58</v>
      </c>
      <c r="K11511" t="s">
        <v>25503</v>
      </c>
      <c r="L11511">
        <v>1087</v>
      </c>
      <c r="M11511" t="s">
        <v>3525</v>
      </c>
      <c r="N11511" t="s">
        <v>30</v>
      </c>
      <c r="O11511" t="s">
        <v>31</v>
      </c>
      <c r="P11511" t="str">
        <f>"15203"</f>
        <v>15203</v>
      </c>
    </row>
    <row r="11512" spans="1:16" x14ac:dyDescent="0.25">
      <c r="A11512" t="str">
        <f>"1180014C00094    00"</f>
        <v>1180014C00094    00</v>
      </c>
      <c r="B11512" t="s">
        <v>25504</v>
      </c>
      <c r="C11512" t="s">
        <v>25505</v>
      </c>
      <c r="D11512" t="s">
        <v>20</v>
      </c>
      <c r="E11512" t="s">
        <v>39</v>
      </c>
      <c r="F11512">
        <v>0</v>
      </c>
      <c r="G11512">
        <v>0</v>
      </c>
      <c r="H11512">
        <v>13</v>
      </c>
      <c r="I11512" s="3">
        <v>1804.45</v>
      </c>
      <c r="J11512" s="3">
        <v>2566.3000000000002</v>
      </c>
      <c r="L11512">
        <v>1105</v>
      </c>
      <c r="M11512" t="s">
        <v>3525</v>
      </c>
      <c r="N11512" t="s">
        <v>30</v>
      </c>
      <c r="O11512" t="s">
        <v>31</v>
      </c>
      <c r="P11512" t="str">
        <f>"15203"</f>
        <v>15203</v>
      </c>
    </row>
    <row r="11513" spans="1:16" x14ac:dyDescent="0.25">
      <c r="A11513" t="str">
        <f>"1180014C00149    00"</f>
        <v>1180014C00149    00</v>
      </c>
      <c r="B11513" t="s">
        <v>25506</v>
      </c>
      <c r="C11513" t="s">
        <v>25507</v>
      </c>
      <c r="D11513" t="s">
        <v>20</v>
      </c>
      <c r="E11513" t="s">
        <v>39</v>
      </c>
      <c r="F11513">
        <v>0</v>
      </c>
      <c r="G11513">
        <v>0</v>
      </c>
      <c r="H11513">
        <v>1</v>
      </c>
      <c r="I11513" s="3">
        <v>236.34</v>
      </c>
      <c r="J11513" s="3">
        <v>0</v>
      </c>
      <c r="K11513" t="s">
        <v>25508</v>
      </c>
      <c r="L11513">
        <v>3325</v>
      </c>
      <c r="M11513" t="s">
        <v>9782</v>
      </c>
      <c r="N11513" t="s">
        <v>30</v>
      </c>
      <c r="O11513" t="s">
        <v>31</v>
      </c>
      <c r="P11513" t="str">
        <f>"15227"</f>
        <v>15227</v>
      </c>
    </row>
    <row r="11514" spans="1:16" x14ac:dyDescent="0.25">
      <c r="A11514" t="str">
        <f>"1180014C00151    00"</f>
        <v>1180014C00151    00</v>
      </c>
      <c r="B11514" t="s">
        <v>25506</v>
      </c>
      <c r="C11514" t="s">
        <v>24353</v>
      </c>
      <c r="D11514" t="s">
        <v>20</v>
      </c>
      <c r="E11514" t="s">
        <v>39</v>
      </c>
      <c r="F11514">
        <v>0</v>
      </c>
      <c r="G11514">
        <v>0</v>
      </c>
      <c r="H11514">
        <v>1</v>
      </c>
      <c r="I11514" s="3">
        <v>20.98</v>
      </c>
      <c r="J11514" s="3">
        <v>0</v>
      </c>
      <c r="K11514" t="s">
        <v>25508</v>
      </c>
      <c r="L11514">
        <v>3325</v>
      </c>
      <c r="M11514" t="s">
        <v>9782</v>
      </c>
      <c r="N11514" t="s">
        <v>30</v>
      </c>
      <c r="O11514" t="s">
        <v>31</v>
      </c>
      <c r="P11514" t="str">
        <f>"15227"</f>
        <v>15227</v>
      </c>
    </row>
    <row r="11515" spans="1:16" x14ac:dyDescent="0.25">
      <c r="A11515" t="str">
        <f>"1180014C00241    00"</f>
        <v>1180014C00241    00</v>
      </c>
      <c r="B11515" t="s">
        <v>25509</v>
      </c>
      <c r="C11515" t="s">
        <v>24836</v>
      </c>
      <c r="D11515" t="s">
        <v>20</v>
      </c>
      <c r="E11515" t="s">
        <v>39</v>
      </c>
      <c r="F11515">
        <v>0</v>
      </c>
      <c r="G11515">
        <v>0</v>
      </c>
      <c r="H11515">
        <v>19</v>
      </c>
      <c r="I11515" s="3">
        <v>3368.42</v>
      </c>
      <c r="J11515" s="3">
        <v>4323.6499999999996</v>
      </c>
      <c r="L11515">
        <v>723</v>
      </c>
      <c r="M11515" t="s">
        <v>25077</v>
      </c>
      <c r="N11515" t="s">
        <v>30</v>
      </c>
      <c r="O11515" t="s">
        <v>31</v>
      </c>
      <c r="P11515" t="str">
        <f>"15210"</f>
        <v>15210</v>
      </c>
    </row>
    <row r="11516" spans="1:16" x14ac:dyDescent="0.25">
      <c r="A11516" t="str">
        <f>"1180014C00242    00"</f>
        <v>1180014C00242    00</v>
      </c>
      <c r="B11516" t="s">
        <v>25510</v>
      </c>
      <c r="C11516" t="s">
        <v>24836</v>
      </c>
      <c r="D11516" t="s">
        <v>20</v>
      </c>
      <c r="E11516" t="s">
        <v>39</v>
      </c>
      <c r="F11516">
        <v>0</v>
      </c>
      <c r="G11516">
        <v>0</v>
      </c>
      <c r="H11516">
        <v>19</v>
      </c>
      <c r="I11516" s="3">
        <v>1982.24</v>
      </c>
      <c r="J11516" s="3">
        <v>2195.1</v>
      </c>
      <c r="L11516">
        <v>1026</v>
      </c>
      <c r="M11516" t="s">
        <v>25511</v>
      </c>
      <c r="N11516" t="s">
        <v>30</v>
      </c>
      <c r="O11516" t="s">
        <v>31</v>
      </c>
      <c r="P11516" t="str">
        <f>"15210"</f>
        <v>15210</v>
      </c>
    </row>
    <row r="11517" spans="1:16" x14ac:dyDescent="0.25">
      <c r="A11517" t="str">
        <f>"1180014C00244    00"</f>
        <v>1180014C00244    00</v>
      </c>
      <c r="B11517" t="s">
        <v>25512</v>
      </c>
      <c r="C11517" t="s">
        <v>24836</v>
      </c>
      <c r="D11517" t="s">
        <v>20</v>
      </c>
      <c r="E11517" t="s">
        <v>39</v>
      </c>
      <c r="F11517">
        <v>0</v>
      </c>
      <c r="G11517">
        <v>0</v>
      </c>
      <c r="H11517">
        <v>19</v>
      </c>
      <c r="I11517" s="3">
        <v>1122.1600000000001</v>
      </c>
      <c r="J11517" s="3">
        <v>910.46</v>
      </c>
      <c r="P11517" t="str">
        <f>""</f>
        <v/>
      </c>
    </row>
    <row r="11518" spans="1:16" x14ac:dyDescent="0.25">
      <c r="A11518" t="str">
        <f>"1180014C00247    00"</f>
        <v>1180014C00247    00</v>
      </c>
      <c r="B11518" t="s">
        <v>25513</v>
      </c>
      <c r="C11518" t="s">
        <v>24836</v>
      </c>
      <c r="D11518" t="s">
        <v>20</v>
      </c>
      <c r="E11518" t="s">
        <v>39</v>
      </c>
      <c r="F11518">
        <v>0</v>
      </c>
      <c r="G11518">
        <v>0</v>
      </c>
      <c r="H11518">
        <v>19</v>
      </c>
      <c r="I11518" s="3">
        <v>7145.03</v>
      </c>
      <c r="J11518" s="3">
        <v>9618.1299999999992</v>
      </c>
      <c r="K11518" t="s">
        <v>25514</v>
      </c>
      <c r="L11518">
        <v>145</v>
      </c>
      <c r="M11518" t="s">
        <v>25515</v>
      </c>
      <c r="N11518" t="s">
        <v>2176</v>
      </c>
      <c r="O11518" t="s">
        <v>273</v>
      </c>
      <c r="P11518" t="str">
        <f>"29579"</f>
        <v>29579</v>
      </c>
    </row>
    <row r="11519" spans="1:16" x14ac:dyDescent="0.25">
      <c r="A11519" t="str">
        <f>"1180014C00251    00"</f>
        <v>1180014C00251    00</v>
      </c>
      <c r="B11519" t="s">
        <v>25509</v>
      </c>
      <c r="C11519" t="s">
        <v>24836</v>
      </c>
      <c r="D11519" t="s">
        <v>20</v>
      </c>
      <c r="E11519" t="s">
        <v>39</v>
      </c>
      <c r="F11519">
        <v>0</v>
      </c>
      <c r="G11519">
        <v>0</v>
      </c>
      <c r="H11519">
        <v>19</v>
      </c>
      <c r="I11519" s="3">
        <v>4339.05</v>
      </c>
      <c r="J11519" s="3">
        <v>5880.37</v>
      </c>
      <c r="L11519">
        <v>723</v>
      </c>
      <c r="M11519" t="s">
        <v>17295</v>
      </c>
      <c r="N11519" t="s">
        <v>30</v>
      </c>
      <c r="O11519" t="s">
        <v>31</v>
      </c>
      <c r="P11519" t="str">
        <f>"15210"</f>
        <v>15210</v>
      </c>
    </row>
    <row r="11520" spans="1:16" x14ac:dyDescent="0.25">
      <c r="A11520" t="str">
        <f>"1180014C00258    00"</f>
        <v>1180014C00258    00</v>
      </c>
      <c r="B11520" t="s">
        <v>25516</v>
      </c>
      <c r="C11520" t="s">
        <v>24836</v>
      </c>
      <c r="D11520" t="s">
        <v>20</v>
      </c>
      <c r="E11520" t="s">
        <v>39</v>
      </c>
      <c r="F11520">
        <v>0</v>
      </c>
      <c r="G11520">
        <v>0</v>
      </c>
      <c r="H11520">
        <v>18</v>
      </c>
      <c r="I11520" s="3">
        <v>1586.89</v>
      </c>
      <c r="J11520" s="3">
        <v>1988.51</v>
      </c>
      <c r="M11520" t="s">
        <v>25517</v>
      </c>
      <c r="N11520" t="s">
        <v>30</v>
      </c>
      <c r="O11520" t="s">
        <v>31</v>
      </c>
      <c r="P11520" t="str">
        <f>"15210"</f>
        <v>15210</v>
      </c>
    </row>
    <row r="11521" spans="1:16" x14ac:dyDescent="0.25">
      <c r="A11521" t="str">
        <f>"1180014C00259    00"</f>
        <v>1180014C00259    00</v>
      </c>
      <c r="B11521" t="s">
        <v>25518</v>
      </c>
      <c r="C11521" t="s">
        <v>25519</v>
      </c>
      <c r="D11521" t="s">
        <v>20</v>
      </c>
      <c r="E11521" t="s">
        <v>39</v>
      </c>
      <c r="F11521">
        <v>0</v>
      </c>
      <c r="G11521">
        <v>0</v>
      </c>
      <c r="H11521">
        <v>11</v>
      </c>
      <c r="I11521" s="3">
        <v>8798.02</v>
      </c>
      <c r="J11521" s="3">
        <v>3993.23</v>
      </c>
      <c r="L11521">
        <v>904</v>
      </c>
      <c r="M11521" t="s">
        <v>24830</v>
      </c>
      <c r="N11521" t="s">
        <v>30</v>
      </c>
      <c r="O11521" t="s">
        <v>31</v>
      </c>
      <c r="P11521" t="str">
        <f>"15203"</f>
        <v>15203</v>
      </c>
    </row>
    <row r="11522" spans="1:16" x14ac:dyDescent="0.25">
      <c r="A11522" t="str">
        <f>"1180014C00265    00"</f>
        <v>1180014C00265    00</v>
      </c>
      <c r="B11522" t="s">
        <v>25520</v>
      </c>
      <c r="C11522" t="s">
        <v>25521</v>
      </c>
      <c r="D11522" t="s">
        <v>20</v>
      </c>
      <c r="E11522" t="s">
        <v>39</v>
      </c>
      <c r="F11522">
        <v>0</v>
      </c>
      <c r="G11522">
        <v>0</v>
      </c>
      <c r="H11522">
        <v>9</v>
      </c>
      <c r="I11522" s="3">
        <v>130.41999999999999</v>
      </c>
      <c r="J11522" s="3">
        <v>185.21</v>
      </c>
      <c r="L11522">
        <v>923</v>
      </c>
      <c r="M11522" t="s">
        <v>23227</v>
      </c>
      <c r="N11522" t="s">
        <v>30</v>
      </c>
      <c r="O11522" t="s">
        <v>31</v>
      </c>
      <c r="P11522" t="str">
        <f>"15210"</f>
        <v>15210</v>
      </c>
    </row>
    <row r="11523" spans="1:16" x14ac:dyDescent="0.25">
      <c r="A11523" t="str">
        <f>"1180014C00269    00"</f>
        <v>1180014C00269    00</v>
      </c>
      <c r="B11523" t="s">
        <v>25522</v>
      </c>
      <c r="C11523" t="s">
        <v>25523</v>
      </c>
      <c r="D11523" t="s">
        <v>20</v>
      </c>
      <c r="E11523" t="s">
        <v>39</v>
      </c>
      <c r="F11523">
        <v>0</v>
      </c>
      <c r="G11523">
        <v>0</v>
      </c>
      <c r="H11523">
        <v>1</v>
      </c>
      <c r="I11523" s="3">
        <v>223.49</v>
      </c>
      <c r="J11523" s="3">
        <v>0</v>
      </c>
      <c r="L11523">
        <v>921</v>
      </c>
      <c r="M11523" t="s">
        <v>25387</v>
      </c>
      <c r="N11523" t="s">
        <v>30</v>
      </c>
      <c r="O11523" t="s">
        <v>31</v>
      </c>
      <c r="P11523" t="str">
        <f>"15210"</f>
        <v>15210</v>
      </c>
    </row>
    <row r="11524" spans="1:16" x14ac:dyDescent="0.25">
      <c r="A11524" t="str">
        <f>"1180014C00272    00"</f>
        <v>1180014C00272    00</v>
      </c>
      <c r="B11524" t="s">
        <v>25524</v>
      </c>
      <c r="C11524" t="s">
        <v>25525</v>
      </c>
      <c r="D11524" t="s">
        <v>20</v>
      </c>
      <c r="E11524" t="s">
        <v>39</v>
      </c>
      <c r="F11524">
        <v>0</v>
      </c>
      <c r="G11524">
        <v>0</v>
      </c>
      <c r="H11524">
        <v>1</v>
      </c>
      <c r="I11524" s="3">
        <v>221.12</v>
      </c>
      <c r="J11524" s="3">
        <v>0</v>
      </c>
      <c r="K11524" t="s">
        <v>25526</v>
      </c>
      <c r="L11524">
        <v>79</v>
      </c>
      <c r="M11524" t="s">
        <v>25527</v>
      </c>
      <c r="N11524" t="s">
        <v>30</v>
      </c>
      <c r="O11524" t="s">
        <v>31</v>
      </c>
      <c r="P11524" t="str">
        <f>"15227"</f>
        <v>15227</v>
      </c>
    </row>
    <row r="11525" spans="1:16" x14ac:dyDescent="0.25">
      <c r="A11525" t="str">
        <f>"1180014C00273    00"</f>
        <v>1180014C00273    00</v>
      </c>
      <c r="B11525" t="s">
        <v>25528</v>
      </c>
      <c r="C11525" t="s">
        <v>24836</v>
      </c>
      <c r="D11525" t="s">
        <v>20</v>
      </c>
      <c r="E11525" t="s">
        <v>21</v>
      </c>
      <c r="F11525">
        <v>0</v>
      </c>
      <c r="G11525">
        <v>0</v>
      </c>
      <c r="H11525">
        <v>14</v>
      </c>
      <c r="I11525" s="3">
        <v>2101.17</v>
      </c>
      <c r="J11525" s="3">
        <v>2445.6999999999998</v>
      </c>
      <c r="L11525">
        <v>402</v>
      </c>
      <c r="M11525" t="s">
        <v>25529</v>
      </c>
      <c r="N11525" t="s">
        <v>30</v>
      </c>
      <c r="O11525" t="s">
        <v>31</v>
      </c>
      <c r="P11525" t="str">
        <f>"15210"</f>
        <v>15210</v>
      </c>
    </row>
    <row r="11526" spans="1:16" x14ac:dyDescent="0.25">
      <c r="A11526" t="str">
        <f>"1180014C00275    00"</f>
        <v>1180014C00275    00</v>
      </c>
      <c r="B11526" t="s">
        <v>25530</v>
      </c>
      <c r="C11526" t="s">
        <v>24836</v>
      </c>
      <c r="D11526" t="s">
        <v>20</v>
      </c>
      <c r="E11526" t="s">
        <v>39</v>
      </c>
      <c r="F11526">
        <v>0</v>
      </c>
      <c r="G11526">
        <v>0</v>
      </c>
      <c r="H11526">
        <v>17</v>
      </c>
      <c r="I11526" s="3">
        <v>2429.8000000000002</v>
      </c>
      <c r="J11526" s="3">
        <v>2997.94</v>
      </c>
      <c r="L11526">
        <v>2419</v>
      </c>
      <c r="M11526" t="s">
        <v>25531</v>
      </c>
      <c r="N11526" t="s">
        <v>903</v>
      </c>
      <c r="O11526" t="s">
        <v>31</v>
      </c>
      <c r="P11526" t="str">
        <f>"15136"</f>
        <v>15136</v>
      </c>
    </row>
    <row r="11527" spans="1:16" x14ac:dyDescent="0.25">
      <c r="A11527" t="str">
        <f>"1180014C00276    00"</f>
        <v>1180014C00276    00</v>
      </c>
      <c r="B11527" t="s">
        <v>25532</v>
      </c>
      <c r="C11527" t="s">
        <v>24836</v>
      </c>
      <c r="D11527" t="s">
        <v>20</v>
      </c>
      <c r="E11527" t="s">
        <v>39</v>
      </c>
      <c r="F11527">
        <v>0</v>
      </c>
      <c r="G11527">
        <v>0</v>
      </c>
      <c r="H11527">
        <v>2</v>
      </c>
      <c r="I11527" s="3">
        <v>102.94</v>
      </c>
      <c r="J11527" s="3">
        <v>0</v>
      </c>
      <c r="L11527">
        <v>205</v>
      </c>
      <c r="M11527" t="s">
        <v>25533</v>
      </c>
      <c r="N11527" t="s">
        <v>30</v>
      </c>
      <c r="O11527" t="s">
        <v>31</v>
      </c>
      <c r="P11527" t="str">
        <f>"15210"</f>
        <v>15210</v>
      </c>
    </row>
    <row r="11528" spans="1:16" x14ac:dyDescent="0.25">
      <c r="A11528" t="str">
        <f>"1180014C00279    00"</f>
        <v>1180014C00279    00</v>
      </c>
      <c r="B11528" t="s">
        <v>25534</v>
      </c>
      <c r="C11528" t="s">
        <v>24836</v>
      </c>
      <c r="D11528" t="s">
        <v>20</v>
      </c>
      <c r="E11528" t="s">
        <v>39</v>
      </c>
      <c r="F11528">
        <v>0</v>
      </c>
      <c r="G11528">
        <v>0</v>
      </c>
      <c r="H11528">
        <v>17</v>
      </c>
      <c r="I11528" s="3">
        <v>152.36000000000001</v>
      </c>
      <c r="J11528" s="3">
        <v>159.4</v>
      </c>
      <c r="L11528">
        <v>1432</v>
      </c>
      <c r="M11528" t="s">
        <v>1695</v>
      </c>
      <c r="N11528" t="s">
        <v>30</v>
      </c>
      <c r="O11528" t="s">
        <v>31</v>
      </c>
      <c r="P11528" t="str">
        <f>"15217"</f>
        <v>15217</v>
      </c>
    </row>
    <row r="11529" spans="1:16" x14ac:dyDescent="0.25">
      <c r="A11529" t="str">
        <f>"1180014C00281    00"</f>
        <v>1180014C00281    00</v>
      </c>
      <c r="B11529" t="s">
        <v>25513</v>
      </c>
      <c r="C11529" t="s">
        <v>24836</v>
      </c>
      <c r="D11529" t="s">
        <v>20</v>
      </c>
      <c r="E11529" t="s">
        <v>39</v>
      </c>
      <c r="F11529">
        <v>0</v>
      </c>
      <c r="G11529">
        <v>0</v>
      </c>
      <c r="H11529">
        <v>19</v>
      </c>
      <c r="I11529" s="3">
        <v>3249.93</v>
      </c>
      <c r="J11529" s="3">
        <v>4076</v>
      </c>
      <c r="K11529" t="s">
        <v>25514</v>
      </c>
      <c r="L11529">
        <v>145</v>
      </c>
      <c r="M11529" t="s">
        <v>25515</v>
      </c>
      <c r="N11529" t="s">
        <v>2176</v>
      </c>
      <c r="O11529" t="s">
        <v>273</v>
      </c>
      <c r="P11529" t="str">
        <f>"29579"</f>
        <v>29579</v>
      </c>
    </row>
    <row r="11530" spans="1:16" x14ac:dyDescent="0.25">
      <c r="A11530" t="str">
        <f>"1180014C00283    00"</f>
        <v>1180014C00283    00</v>
      </c>
      <c r="B11530" t="s">
        <v>25535</v>
      </c>
      <c r="C11530" t="s">
        <v>24836</v>
      </c>
      <c r="D11530" t="s">
        <v>20</v>
      </c>
      <c r="E11530" t="s">
        <v>39</v>
      </c>
      <c r="F11530">
        <v>0</v>
      </c>
      <c r="G11530">
        <v>0</v>
      </c>
      <c r="H11530">
        <v>17</v>
      </c>
      <c r="I11530" s="3">
        <v>2601.64</v>
      </c>
      <c r="J11530" s="3">
        <v>3826.55</v>
      </c>
      <c r="L11530">
        <v>131</v>
      </c>
      <c r="M11530" t="s">
        <v>25536</v>
      </c>
      <c r="N11530" t="s">
        <v>666</v>
      </c>
      <c r="O11530" t="s">
        <v>31</v>
      </c>
      <c r="P11530" t="str">
        <f>"16002"</f>
        <v>16002</v>
      </c>
    </row>
    <row r="11531" spans="1:16" x14ac:dyDescent="0.25">
      <c r="A11531" t="str">
        <f>"1180014C00286    00"</f>
        <v>1180014C00286    00</v>
      </c>
      <c r="B11531" t="s">
        <v>25537</v>
      </c>
      <c r="C11531" t="s">
        <v>24836</v>
      </c>
      <c r="D11531" t="s">
        <v>20</v>
      </c>
      <c r="E11531" t="s">
        <v>39</v>
      </c>
      <c r="F11531">
        <v>0</v>
      </c>
      <c r="G11531">
        <v>0</v>
      </c>
      <c r="H11531">
        <v>17</v>
      </c>
      <c r="I11531" s="3">
        <v>214.95</v>
      </c>
      <c r="J11531" s="3">
        <v>227.56</v>
      </c>
      <c r="K11531" t="s">
        <v>1008</v>
      </c>
      <c r="P11531" t="str">
        <f>""</f>
        <v/>
      </c>
    </row>
    <row r="11532" spans="1:16" x14ac:dyDescent="0.25">
      <c r="A11532" t="str">
        <f>"1180014C00295    00"</f>
        <v>1180014C00295    00</v>
      </c>
      <c r="B11532" t="s">
        <v>25538</v>
      </c>
      <c r="C11532" t="s">
        <v>25539</v>
      </c>
      <c r="D11532" t="s">
        <v>20</v>
      </c>
      <c r="E11532" t="s">
        <v>39</v>
      </c>
      <c r="F11532">
        <v>0</v>
      </c>
      <c r="G11532">
        <v>0</v>
      </c>
      <c r="H11532">
        <v>3</v>
      </c>
      <c r="I11532" s="3">
        <v>1846.95</v>
      </c>
      <c r="J11532" s="3">
        <v>123.13</v>
      </c>
      <c r="L11532">
        <v>972</v>
      </c>
      <c r="M11532" t="s">
        <v>23227</v>
      </c>
      <c r="N11532" t="s">
        <v>30</v>
      </c>
      <c r="O11532" t="s">
        <v>31</v>
      </c>
      <c r="P11532" t="str">
        <f>"15210"</f>
        <v>15210</v>
      </c>
    </row>
    <row r="11533" spans="1:16" x14ac:dyDescent="0.25">
      <c r="A11533" t="str">
        <f>"1180014C00343    00"</f>
        <v>1180014C00343    00</v>
      </c>
      <c r="B11533" t="s">
        <v>25540</v>
      </c>
      <c r="C11533" t="s">
        <v>25541</v>
      </c>
      <c r="D11533" t="s">
        <v>20</v>
      </c>
      <c r="E11533" t="s">
        <v>39</v>
      </c>
      <c r="F11533">
        <v>0</v>
      </c>
      <c r="G11533">
        <v>0</v>
      </c>
      <c r="H11533">
        <v>1</v>
      </c>
      <c r="I11533" s="3">
        <v>111.47</v>
      </c>
      <c r="J11533" s="3">
        <v>0</v>
      </c>
      <c r="K11533" t="s">
        <v>25542</v>
      </c>
      <c r="L11533">
        <v>1609</v>
      </c>
      <c r="M11533" t="s">
        <v>21881</v>
      </c>
      <c r="N11533" t="s">
        <v>6987</v>
      </c>
      <c r="O11533" t="s">
        <v>370</v>
      </c>
      <c r="P11533" t="str">
        <f>"34231"</f>
        <v>34231</v>
      </c>
    </row>
    <row r="11534" spans="1:16" x14ac:dyDescent="0.25">
      <c r="A11534" t="str">
        <f>"1180014C00350    00"</f>
        <v>1180014C00350    00</v>
      </c>
      <c r="B11534" t="s">
        <v>25543</v>
      </c>
      <c r="C11534" t="s">
        <v>25544</v>
      </c>
      <c r="D11534" t="s">
        <v>20</v>
      </c>
      <c r="E11534" t="s">
        <v>39</v>
      </c>
      <c r="F11534">
        <v>0</v>
      </c>
      <c r="G11534">
        <v>0</v>
      </c>
      <c r="H11534">
        <v>1</v>
      </c>
      <c r="I11534" s="3">
        <v>138.91</v>
      </c>
      <c r="J11534" s="3">
        <v>55.56</v>
      </c>
      <c r="K11534" t="s">
        <v>417</v>
      </c>
      <c r="L11534">
        <v>3001</v>
      </c>
      <c r="M11534" t="s">
        <v>330</v>
      </c>
      <c r="N11534" t="s">
        <v>331</v>
      </c>
      <c r="O11534" t="s">
        <v>108</v>
      </c>
      <c r="P11534" t="str">
        <f>"75063"</f>
        <v>75063</v>
      </c>
    </row>
    <row r="11535" spans="1:16" x14ac:dyDescent="0.25">
      <c r="A11535" t="str">
        <f>"1180014C00355    00"</f>
        <v>1180014C00355    00</v>
      </c>
      <c r="B11535" t="s">
        <v>25545</v>
      </c>
      <c r="C11535" t="s">
        <v>25386</v>
      </c>
      <c r="D11535" t="s">
        <v>20</v>
      </c>
      <c r="E11535" t="s">
        <v>39</v>
      </c>
      <c r="F11535">
        <v>0</v>
      </c>
      <c r="G11535">
        <v>0</v>
      </c>
      <c r="H11535">
        <v>16</v>
      </c>
      <c r="I11535" s="3">
        <v>642.33000000000004</v>
      </c>
      <c r="J11535" s="3">
        <v>378.62</v>
      </c>
      <c r="L11535">
        <v>3331</v>
      </c>
      <c r="M11535" t="s">
        <v>25546</v>
      </c>
      <c r="N11535" t="s">
        <v>25547</v>
      </c>
      <c r="O11535" t="s">
        <v>9696</v>
      </c>
      <c r="P11535" t="str">
        <f>"47403"</f>
        <v>47403</v>
      </c>
    </row>
    <row r="11536" spans="1:16" x14ac:dyDescent="0.25">
      <c r="A11536" t="str">
        <f>"1180014C00359    00"</f>
        <v>1180014C00359    00</v>
      </c>
      <c r="B11536" t="s">
        <v>25548</v>
      </c>
      <c r="C11536" t="s">
        <v>25549</v>
      </c>
      <c r="E11536" t="s">
        <v>39</v>
      </c>
      <c r="F11536">
        <v>0</v>
      </c>
      <c r="G11536">
        <v>0</v>
      </c>
      <c r="H11536">
        <v>9</v>
      </c>
      <c r="I11536" s="3">
        <v>8278.27</v>
      </c>
      <c r="J11536" s="3">
        <v>9792.6</v>
      </c>
      <c r="K11536" t="s">
        <v>25550</v>
      </c>
      <c r="L11536">
        <v>829</v>
      </c>
      <c r="M11536" t="s">
        <v>2475</v>
      </c>
      <c r="N11536" t="s">
        <v>30</v>
      </c>
      <c r="O11536" t="s">
        <v>31</v>
      </c>
      <c r="P11536" t="str">
        <f>"15210"</f>
        <v>15210</v>
      </c>
    </row>
    <row r="11537" spans="1:16" x14ac:dyDescent="0.25">
      <c r="A11537" t="str">
        <f>"1180014C00371    00"</f>
        <v>1180014C00371    00</v>
      </c>
      <c r="B11537" t="s">
        <v>25551</v>
      </c>
      <c r="C11537" t="s">
        <v>25552</v>
      </c>
      <c r="E11537" t="s">
        <v>39</v>
      </c>
      <c r="F11537">
        <v>0</v>
      </c>
      <c r="G11537">
        <v>0</v>
      </c>
      <c r="H11537">
        <v>2</v>
      </c>
      <c r="I11537" s="3">
        <v>174.46</v>
      </c>
      <c r="J11537" s="3">
        <v>17.45</v>
      </c>
      <c r="K11537" t="s">
        <v>25553</v>
      </c>
      <c r="L11537">
        <v>942</v>
      </c>
      <c r="M11537" t="s">
        <v>25387</v>
      </c>
      <c r="N11537" t="s">
        <v>30</v>
      </c>
      <c r="O11537" t="s">
        <v>31</v>
      </c>
      <c r="P11537" t="str">
        <f>"15210"</f>
        <v>15210</v>
      </c>
    </row>
    <row r="11538" spans="1:16" x14ac:dyDescent="0.25">
      <c r="A11538" t="str">
        <f>"1180014C00378    00"</f>
        <v>1180014C00378    00</v>
      </c>
      <c r="B11538" t="s">
        <v>25554</v>
      </c>
      <c r="C11538" t="s">
        <v>25555</v>
      </c>
      <c r="D11538" t="s">
        <v>20</v>
      </c>
      <c r="E11538" t="s">
        <v>39</v>
      </c>
      <c r="F11538">
        <v>0</v>
      </c>
      <c r="G11538">
        <v>0</v>
      </c>
      <c r="H11538">
        <v>1</v>
      </c>
      <c r="I11538" s="3">
        <v>377.39</v>
      </c>
      <c r="J11538" s="3">
        <v>0</v>
      </c>
      <c r="K11538" t="s">
        <v>25556</v>
      </c>
      <c r="L11538">
        <v>958</v>
      </c>
      <c r="M11538" t="s">
        <v>25387</v>
      </c>
      <c r="N11538" t="s">
        <v>30</v>
      </c>
      <c r="O11538" t="s">
        <v>31</v>
      </c>
      <c r="P11538" t="str">
        <f>"15210"</f>
        <v>15210</v>
      </c>
    </row>
    <row r="11539" spans="1:16" x14ac:dyDescent="0.25">
      <c r="A11539" t="str">
        <f>"1180014E00005    00"</f>
        <v>1180014E00005    00</v>
      </c>
      <c r="B11539" t="s">
        <v>16104</v>
      </c>
      <c r="C11539" t="s">
        <v>25557</v>
      </c>
      <c r="D11539" t="s">
        <v>20</v>
      </c>
      <c r="E11539" t="s">
        <v>21</v>
      </c>
      <c r="F11539">
        <v>0</v>
      </c>
      <c r="G11539">
        <v>0</v>
      </c>
      <c r="H11539">
        <v>2</v>
      </c>
      <c r="I11539" s="3">
        <v>2605.83</v>
      </c>
      <c r="J11539" s="3">
        <v>355.44</v>
      </c>
      <c r="L11539">
        <v>8807</v>
      </c>
      <c r="M11539" t="s">
        <v>13958</v>
      </c>
      <c r="N11539" t="s">
        <v>30</v>
      </c>
      <c r="O11539" t="s">
        <v>31</v>
      </c>
      <c r="P11539" t="str">
        <f>"15221"</f>
        <v>15221</v>
      </c>
    </row>
    <row r="11540" spans="1:16" x14ac:dyDescent="0.25">
      <c r="A11540" t="str">
        <f>"1180014E00013    00"</f>
        <v>1180014E00013    00</v>
      </c>
      <c r="B11540" t="s">
        <v>25558</v>
      </c>
      <c r="C11540" t="s">
        <v>25559</v>
      </c>
      <c r="D11540" t="s">
        <v>20</v>
      </c>
      <c r="E11540" t="s">
        <v>39</v>
      </c>
      <c r="F11540">
        <v>0</v>
      </c>
      <c r="G11540">
        <v>0</v>
      </c>
      <c r="H11540">
        <v>6</v>
      </c>
      <c r="I11540" s="3">
        <v>1488.27</v>
      </c>
      <c r="J11540" s="3">
        <v>333.47</v>
      </c>
      <c r="K11540" t="s">
        <v>25560</v>
      </c>
      <c r="L11540">
        <v>800</v>
      </c>
      <c r="M11540" t="s">
        <v>1070</v>
      </c>
      <c r="N11540" t="s">
        <v>30</v>
      </c>
      <c r="O11540" t="s">
        <v>31</v>
      </c>
      <c r="P11540" t="str">
        <f>"15219"</f>
        <v>15219</v>
      </c>
    </row>
    <row r="11541" spans="1:16" x14ac:dyDescent="0.25">
      <c r="A11541" t="str">
        <f>"1180014E00017    00"</f>
        <v>1180014E00017    00</v>
      </c>
      <c r="B11541" t="s">
        <v>25561</v>
      </c>
      <c r="C11541" t="s">
        <v>25562</v>
      </c>
      <c r="D11541" t="s">
        <v>20</v>
      </c>
      <c r="E11541" t="s">
        <v>39</v>
      </c>
      <c r="F11541">
        <v>0</v>
      </c>
      <c r="G11541">
        <v>0</v>
      </c>
      <c r="H11541">
        <v>16</v>
      </c>
      <c r="I11541" s="3">
        <v>2641.78</v>
      </c>
      <c r="J11541" s="3">
        <v>2701.2</v>
      </c>
      <c r="L11541">
        <v>255</v>
      </c>
      <c r="M11541" t="s">
        <v>25563</v>
      </c>
      <c r="N11541" t="s">
        <v>30</v>
      </c>
      <c r="O11541" t="s">
        <v>31</v>
      </c>
      <c r="P11541" t="str">
        <f>"15210"</f>
        <v>15210</v>
      </c>
    </row>
    <row r="11542" spans="1:16" x14ac:dyDescent="0.25">
      <c r="A11542" t="str">
        <f>"1180014E00022    00"</f>
        <v>1180014E00022    00</v>
      </c>
      <c r="B11542" t="s">
        <v>25564</v>
      </c>
      <c r="C11542" t="s">
        <v>25565</v>
      </c>
      <c r="D11542" t="s">
        <v>20</v>
      </c>
      <c r="E11542" t="s">
        <v>39</v>
      </c>
      <c r="F11542">
        <v>0</v>
      </c>
      <c r="G11542">
        <v>0</v>
      </c>
      <c r="H11542">
        <v>8</v>
      </c>
      <c r="I11542" s="3">
        <v>577.83000000000004</v>
      </c>
      <c r="J11542" s="3">
        <v>190.97</v>
      </c>
      <c r="K11542" t="s">
        <v>25566</v>
      </c>
      <c r="L11542">
        <v>614</v>
      </c>
      <c r="M11542" t="s">
        <v>25567</v>
      </c>
      <c r="N11542" t="s">
        <v>30</v>
      </c>
      <c r="O11542" t="s">
        <v>31</v>
      </c>
      <c r="P11542" t="str">
        <f>"15220"</f>
        <v>15220</v>
      </c>
    </row>
    <row r="11543" spans="1:16" x14ac:dyDescent="0.25">
      <c r="A11543" t="str">
        <f>"1180014E00034    00"</f>
        <v>1180014E00034    00</v>
      </c>
      <c r="B11543" t="s">
        <v>25568</v>
      </c>
      <c r="C11543" t="s">
        <v>25565</v>
      </c>
      <c r="D11543" t="s">
        <v>20</v>
      </c>
      <c r="E11543" t="s">
        <v>39</v>
      </c>
      <c r="F11543">
        <v>0</v>
      </c>
      <c r="G11543">
        <v>0</v>
      </c>
      <c r="H11543">
        <v>15</v>
      </c>
      <c r="I11543" s="3">
        <v>3409.93</v>
      </c>
      <c r="J11543" s="3">
        <v>2838.92</v>
      </c>
      <c r="L11543">
        <v>316</v>
      </c>
      <c r="M11543" t="s">
        <v>25569</v>
      </c>
      <c r="N11543" t="s">
        <v>30</v>
      </c>
      <c r="O11543" t="s">
        <v>31</v>
      </c>
      <c r="P11543" t="str">
        <f>"15210"</f>
        <v>15210</v>
      </c>
    </row>
    <row r="11544" spans="1:16" x14ac:dyDescent="0.25">
      <c r="A11544" t="str">
        <f>"1180014E00035    00"</f>
        <v>1180014E00035    00</v>
      </c>
      <c r="B11544" t="s">
        <v>25570</v>
      </c>
      <c r="C11544" t="s">
        <v>25565</v>
      </c>
      <c r="D11544" t="s">
        <v>20</v>
      </c>
      <c r="E11544" t="s">
        <v>39</v>
      </c>
      <c r="F11544">
        <v>0</v>
      </c>
      <c r="G11544">
        <v>0</v>
      </c>
      <c r="H11544">
        <v>15</v>
      </c>
      <c r="I11544" s="3">
        <v>1261.08</v>
      </c>
      <c r="J11544" s="3">
        <v>1084.54</v>
      </c>
      <c r="L11544">
        <v>318</v>
      </c>
      <c r="M11544" t="s">
        <v>25571</v>
      </c>
      <c r="N11544" t="s">
        <v>30</v>
      </c>
      <c r="O11544" t="s">
        <v>31</v>
      </c>
      <c r="P11544" t="str">
        <f>"15210"</f>
        <v>15210</v>
      </c>
    </row>
    <row r="11545" spans="1:16" x14ac:dyDescent="0.25">
      <c r="A11545" t="str">
        <f>"1180014E00041    00"</f>
        <v>1180014E00041    00</v>
      </c>
      <c r="B11545" t="s">
        <v>25572</v>
      </c>
      <c r="C11545" t="s">
        <v>25565</v>
      </c>
      <c r="D11545" t="s">
        <v>20</v>
      </c>
      <c r="E11545" t="s">
        <v>39</v>
      </c>
      <c r="F11545">
        <v>0</v>
      </c>
      <c r="G11545">
        <v>0</v>
      </c>
      <c r="H11545">
        <v>19</v>
      </c>
      <c r="I11545" s="3">
        <v>5546.06</v>
      </c>
      <c r="J11545" s="3">
        <v>7384.82</v>
      </c>
      <c r="L11545">
        <v>414</v>
      </c>
      <c r="M11545" t="s">
        <v>25573</v>
      </c>
      <c r="N11545" t="s">
        <v>30</v>
      </c>
      <c r="O11545" t="s">
        <v>31</v>
      </c>
      <c r="P11545" t="str">
        <f>"15213"</f>
        <v>15213</v>
      </c>
    </row>
    <row r="11546" spans="1:16" x14ac:dyDescent="0.25">
      <c r="A11546" t="str">
        <f>"1180014E00042    00"</f>
        <v>1180014E00042    00</v>
      </c>
      <c r="B11546" t="s">
        <v>25574</v>
      </c>
      <c r="C11546" t="s">
        <v>25565</v>
      </c>
      <c r="D11546" t="s">
        <v>20</v>
      </c>
      <c r="E11546" t="s">
        <v>39</v>
      </c>
      <c r="F11546">
        <v>0</v>
      </c>
      <c r="G11546">
        <v>0</v>
      </c>
      <c r="H11546">
        <v>15</v>
      </c>
      <c r="I11546" s="3">
        <v>176.25</v>
      </c>
      <c r="J11546" s="3">
        <v>126.37</v>
      </c>
      <c r="L11546">
        <v>6231</v>
      </c>
      <c r="M11546" t="s">
        <v>25575</v>
      </c>
      <c r="N11546" t="s">
        <v>30</v>
      </c>
      <c r="O11546" t="s">
        <v>31</v>
      </c>
      <c r="P11546" t="str">
        <f>"15206"</f>
        <v>15206</v>
      </c>
    </row>
    <row r="11547" spans="1:16" x14ac:dyDescent="0.25">
      <c r="A11547" t="str">
        <f>"1180014E00043    00"</f>
        <v>1180014E00043    00</v>
      </c>
      <c r="B11547" t="s">
        <v>25576</v>
      </c>
      <c r="C11547" t="s">
        <v>25565</v>
      </c>
      <c r="D11547" t="s">
        <v>20</v>
      </c>
      <c r="E11547" t="s">
        <v>39</v>
      </c>
      <c r="F11547">
        <v>0</v>
      </c>
      <c r="G11547">
        <v>0</v>
      </c>
      <c r="H11547">
        <v>19</v>
      </c>
      <c r="I11547" s="3">
        <v>2111.19</v>
      </c>
      <c r="J11547" s="3">
        <v>2240.85</v>
      </c>
      <c r="L11547">
        <v>405</v>
      </c>
      <c r="M11547" t="s">
        <v>25569</v>
      </c>
      <c r="N11547" t="s">
        <v>30</v>
      </c>
      <c r="O11547" t="s">
        <v>31</v>
      </c>
      <c r="P11547" t="str">
        <f>"15210"</f>
        <v>15210</v>
      </c>
    </row>
    <row r="11548" spans="1:16" x14ac:dyDescent="0.25">
      <c r="A11548" t="str">
        <f>"1180014E00045    00"</f>
        <v>1180014E00045    00</v>
      </c>
      <c r="B11548" t="s">
        <v>25577</v>
      </c>
      <c r="C11548" t="s">
        <v>25565</v>
      </c>
      <c r="D11548" t="s">
        <v>20</v>
      </c>
      <c r="E11548" t="s">
        <v>39</v>
      </c>
      <c r="F11548">
        <v>0</v>
      </c>
      <c r="G11548">
        <v>0</v>
      </c>
      <c r="H11548">
        <v>19</v>
      </c>
      <c r="I11548" s="3">
        <v>279.7</v>
      </c>
      <c r="J11548" s="3">
        <v>282.8</v>
      </c>
      <c r="K11548" t="s">
        <v>1008</v>
      </c>
      <c r="P11548" t="str">
        <f>""</f>
        <v/>
      </c>
    </row>
    <row r="11549" spans="1:16" x14ac:dyDescent="0.25">
      <c r="A11549" t="str">
        <f>"1180014E00046    00"</f>
        <v>1180014E00046    00</v>
      </c>
      <c r="B11549" t="s">
        <v>9508</v>
      </c>
      <c r="C11549" t="s">
        <v>25578</v>
      </c>
      <c r="D11549" t="s">
        <v>20</v>
      </c>
      <c r="E11549" t="s">
        <v>39</v>
      </c>
      <c r="F11549">
        <v>0</v>
      </c>
      <c r="G11549">
        <v>0</v>
      </c>
      <c r="H11549">
        <v>18</v>
      </c>
      <c r="I11549" s="3">
        <v>680.74</v>
      </c>
      <c r="J11549" s="3">
        <v>827.47</v>
      </c>
      <c r="M11549" t="s">
        <v>9510</v>
      </c>
      <c r="N11549" t="s">
        <v>30</v>
      </c>
      <c r="O11549" t="s">
        <v>31</v>
      </c>
      <c r="P11549" t="str">
        <f>"15216"</f>
        <v>15216</v>
      </c>
    </row>
    <row r="11550" spans="1:16" x14ac:dyDescent="0.25">
      <c r="A11550" t="str">
        <f>"1180014E00048    00"</f>
        <v>1180014E00048    00</v>
      </c>
      <c r="B11550" t="s">
        <v>25579</v>
      </c>
      <c r="C11550" t="s">
        <v>25578</v>
      </c>
      <c r="D11550" t="s">
        <v>20</v>
      </c>
      <c r="E11550" t="s">
        <v>39</v>
      </c>
      <c r="F11550">
        <v>0</v>
      </c>
      <c r="G11550">
        <v>0</v>
      </c>
      <c r="H11550">
        <v>19</v>
      </c>
      <c r="I11550" s="3">
        <v>2111.19</v>
      </c>
      <c r="J11550" s="3">
        <v>2240.85</v>
      </c>
      <c r="L11550">
        <v>320</v>
      </c>
      <c r="M11550" t="s">
        <v>12198</v>
      </c>
      <c r="N11550" t="s">
        <v>30</v>
      </c>
      <c r="O11550" t="s">
        <v>31</v>
      </c>
      <c r="P11550" t="str">
        <f>"15210"</f>
        <v>15210</v>
      </c>
    </row>
    <row r="11551" spans="1:16" x14ac:dyDescent="0.25">
      <c r="A11551" t="str">
        <f>"1180014E00051    00"</f>
        <v>1180014E00051    00</v>
      </c>
      <c r="B11551" t="s">
        <v>25580</v>
      </c>
      <c r="C11551" t="s">
        <v>25581</v>
      </c>
      <c r="D11551" t="s">
        <v>20</v>
      </c>
      <c r="E11551" t="s">
        <v>39</v>
      </c>
      <c r="F11551">
        <v>0</v>
      </c>
      <c r="G11551">
        <v>0</v>
      </c>
      <c r="H11551">
        <v>2</v>
      </c>
      <c r="I11551" s="3">
        <v>970.18</v>
      </c>
      <c r="J11551" s="3">
        <v>0</v>
      </c>
      <c r="K11551" t="s">
        <v>25582</v>
      </c>
      <c r="L11551">
        <v>522</v>
      </c>
      <c r="M11551" t="s">
        <v>16473</v>
      </c>
      <c r="N11551" t="s">
        <v>30</v>
      </c>
      <c r="O11551" t="s">
        <v>31</v>
      </c>
      <c r="P11551" t="str">
        <f>"15210"</f>
        <v>15210</v>
      </c>
    </row>
    <row r="11552" spans="1:16" x14ac:dyDescent="0.25">
      <c r="A11552" t="str">
        <f>"1180014E00056    00"</f>
        <v>1180014E00056    00</v>
      </c>
      <c r="B11552" t="s">
        <v>3108</v>
      </c>
      <c r="C11552" t="s">
        <v>25378</v>
      </c>
      <c r="D11552" t="s">
        <v>20</v>
      </c>
      <c r="E11552" t="s">
        <v>39</v>
      </c>
      <c r="F11552">
        <v>0</v>
      </c>
      <c r="G11552">
        <v>0</v>
      </c>
      <c r="H11552">
        <v>15</v>
      </c>
      <c r="I11552" s="3">
        <v>205.35</v>
      </c>
      <c r="J11552" s="3">
        <v>212.49</v>
      </c>
      <c r="K11552" t="s">
        <v>3137</v>
      </c>
      <c r="L11552">
        <v>400</v>
      </c>
      <c r="M11552" t="s">
        <v>25043</v>
      </c>
      <c r="N11552" t="s">
        <v>30</v>
      </c>
      <c r="O11552" t="s">
        <v>31</v>
      </c>
      <c r="P11552" t="str">
        <f>"15210"</f>
        <v>15210</v>
      </c>
    </row>
    <row r="11553" spans="1:16" x14ac:dyDescent="0.25">
      <c r="A11553" t="str">
        <f>"1180014E00057    00"</f>
        <v>1180014E00057    00</v>
      </c>
      <c r="B11553" t="s">
        <v>25583</v>
      </c>
      <c r="C11553" t="s">
        <v>25378</v>
      </c>
      <c r="D11553" t="s">
        <v>20</v>
      </c>
      <c r="E11553" t="s">
        <v>39</v>
      </c>
      <c r="F11553">
        <v>0</v>
      </c>
      <c r="G11553">
        <v>0</v>
      </c>
      <c r="H11553">
        <v>8</v>
      </c>
      <c r="I11553" s="3">
        <v>408.4</v>
      </c>
      <c r="J11553" s="3">
        <v>175.79</v>
      </c>
      <c r="L11553">
        <v>730</v>
      </c>
      <c r="M11553" t="s">
        <v>15552</v>
      </c>
      <c r="N11553" t="s">
        <v>15553</v>
      </c>
      <c r="O11553" t="s">
        <v>31</v>
      </c>
      <c r="P11553" t="str">
        <f>"15035"</f>
        <v>15035</v>
      </c>
    </row>
    <row r="11554" spans="1:16" x14ac:dyDescent="0.25">
      <c r="A11554" t="str">
        <f>"1180014E00058    00"</f>
        <v>1180014E00058    00</v>
      </c>
      <c r="B11554" t="s">
        <v>25584</v>
      </c>
      <c r="C11554" t="s">
        <v>25378</v>
      </c>
      <c r="D11554" t="s">
        <v>20</v>
      </c>
      <c r="E11554" t="s">
        <v>39</v>
      </c>
      <c r="F11554">
        <v>0</v>
      </c>
      <c r="G11554">
        <v>0</v>
      </c>
      <c r="H11554">
        <v>19</v>
      </c>
      <c r="I11554" s="3">
        <v>6288.07</v>
      </c>
      <c r="J11554" s="3">
        <v>8156</v>
      </c>
      <c r="L11554">
        <v>112</v>
      </c>
      <c r="M11554" t="s">
        <v>25585</v>
      </c>
      <c r="N11554" t="s">
        <v>30</v>
      </c>
      <c r="O11554" t="s">
        <v>31</v>
      </c>
      <c r="P11554" t="str">
        <f>"15210"</f>
        <v>15210</v>
      </c>
    </row>
    <row r="11555" spans="1:16" x14ac:dyDescent="0.25">
      <c r="A11555" t="str">
        <f>"1180014E00059    00"</f>
        <v>1180014E00059    00</v>
      </c>
      <c r="B11555" t="s">
        <v>25586</v>
      </c>
      <c r="C11555" t="s">
        <v>25587</v>
      </c>
      <c r="D11555" t="s">
        <v>20</v>
      </c>
      <c r="E11555" t="s">
        <v>39</v>
      </c>
      <c r="F11555">
        <v>0</v>
      </c>
      <c r="G11555">
        <v>0</v>
      </c>
      <c r="H11555">
        <v>1</v>
      </c>
      <c r="I11555" s="3">
        <v>46.61</v>
      </c>
      <c r="J11555" s="3">
        <v>0</v>
      </c>
      <c r="L11555">
        <v>320</v>
      </c>
      <c r="M11555" t="s">
        <v>25043</v>
      </c>
      <c r="N11555" t="s">
        <v>30</v>
      </c>
      <c r="O11555" t="s">
        <v>31</v>
      </c>
      <c r="P11555" t="str">
        <f>"15210"</f>
        <v>15210</v>
      </c>
    </row>
    <row r="11556" spans="1:16" x14ac:dyDescent="0.25">
      <c r="A11556" t="str">
        <f>"1180014E00061    00"</f>
        <v>1180014E00061    00</v>
      </c>
      <c r="B11556" t="s">
        <v>25588</v>
      </c>
      <c r="C11556" t="s">
        <v>25589</v>
      </c>
      <c r="D11556" t="s">
        <v>20</v>
      </c>
      <c r="E11556" t="s">
        <v>39</v>
      </c>
      <c r="F11556">
        <v>0</v>
      </c>
      <c r="G11556">
        <v>0</v>
      </c>
      <c r="H11556">
        <v>1</v>
      </c>
      <c r="I11556" s="3">
        <v>457.44</v>
      </c>
      <c r="J11556" s="3">
        <v>0</v>
      </c>
      <c r="L11556">
        <v>314</v>
      </c>
      <c r="M11556" t="s">
        <v>25043</v>
      </c>
      <c r="N11556" t="s">
        <v>30</v>
      </c>
      <c r="O11556" t="s">
        <v>31</v>
      </c>
      <c r="P11556" t="str">
        <f>"15210"</f>
        <v>15210</v>
      </c>
    </row>
    <row r="11557" spans="1:16" x14ac:dyDescent="0.25">
      <c r="A11557" t="str">
        <f>"1180014E00063    00"</f>
        <v>1180014E00063    00</v>
      </c>
      <c r="B11557" t="s">
        <v>25590</v>
      </c>
      <c r="C11557" t="s">
        <v>25591</v>
      </c>
      <c r="D11557" t="s">
        <v>20</v>
      </c>
      <c r="E11557" t="s">
        <v>39</v>
      </c>
      <c r="F11557">
        <v>0</v>
      </c>
      <c r="G11557">
        <v>0</v>
      </c>
      <c r="H11557">
        <v>2</v>
      </c>
      <c r="I11557" s="3">
        <v>116.31</v>
      </c>
      <c r="J11557" s="3">
        <v>0</v>
      </c>
      <c r="K11557" t="s">
        <v>25592</v>
      </c>
      <c r="L11557">
        <v>308</v>
      </c>
      <c r="M11557" t="s">
        <v>25043</v>
      </c>
      <c r="N11557" t="s">
        <v>30</v>
      </c>
      <c r="O11557" t="s">
        <v>31</v>
      </c>
      <c r="P11557" t="str">
        <f>"15210"</f>
        <v>15210</v>
      </c>
    </row>
    <row r="11558" spans="1:16" x14ac:dyDescent="0.25">
      <c r="A11558" t="str">
        <f>"1180014E00070    00"</f>
        <v>1180014E00070    00</v>
      </c>
      <c r="B11558" t="s">
        <v>25593</v>
      </c>
      <c r="C11558" t="s">
        <v>25594</v>
      </c>
      <c r="D11558" t="s">
        <v>20</v>
      </c>
      <c r="E11558" t="s">
        <v>39</v>
      </c>
      <c r="F11558">
        <v>0</v>
      </c>
      <c r="G11558">
        <v>0</v>
      </c>
      <c r="H11558">
        <v>5</v>
      </c>
      <c r="I11558" s="3">
        <v>1353.14</v>
      </c>
      <c r="J11558" s="3">
        <v>448.9</v>
      </c>
      <c r="K11558" t="s">
        <v>25595</v>
      </c>
      <c r="L11558">
        <v>104</v>
      </c>
      <c r="M11558" t="s">
        <v>25596</v>
      </c>
      <c r="N11558" t="s">
        <v>30</v>
      </c>
      <c r="O11558" t="s">
        <v>31</v>
      </c>
      <c r="P11558" t="str">
        <f>"15211"</f>
        <v>15211</v>
      </c>
    </row>
    <row r="11559" spans="1:16" x14ac:dyDescent="0.25">
      <c r="A11559" t="str">
        <f>"1180014E00071    00"</f>
        <v>1180014E00071    00</v>
      </c>
      <c r="B11559" t="s">
        <v>25597</v>
      </c>
      <c r="C11559" t="s">
        <v>25598</v>
      </c>
      <c r="D11559" t="s">
        <v>20</v>
      </c>
      <c r="E11559" t="s">
        <v>39</v>
      </c>
      <c r="F11559">
        <v>0</v>
      </c>
      <c r="G11559">
        <v>0</v>
      </c>
      <c r="H11559">
        <v>19</v>
      </c>
      <c r="I11559" s="3">
        <v>4594.49</v>
      </c>
      <c r="J11559" s="3">
        <v>4784.99</v>
      </c>
      <c r="L11559">
        <v>519</v>
      </c>
      <c r="M11559" t="s">
        <v>16473</v>
      </c>
      <c r="N11559" t="s">
        <v>30</v>
      </c>
      <c r="O11559" t="s">
        <v>31</v>
      </c>
      <c r="P11559" t="str">
        <f>"15210"</f>
        <v>15210</v>
      </c>
    </row>
    <row r="11560" spans="1:16" x14ac:dyDescent="0.25">
      <c r="A11560" t="str">
        <f>"1180014E00079    00"</f>
        <v>1180014E00079    00</v>
      </c>
      <c r="B11560" t="s">
        <v>25599</v>
      </c>
      <c r="C11560" t="s">
        <v>25600</v>
      </c>
      <c r="D11560" t="s">
        <v>20</v>
      </c>
      <c r="E11560" t="s">
        <v>39</v>
      </c>
      <c r="F11560">
        <v>0</v>
      </c>
      <c r="G11560">
        <v>0</v>
      </c>
      <c r="H11560">
        <v>17</v>
      </c>
      <c r="I11560" s="3">
        <v>1561.38</v>
      </c>
      <c r="J11560" s="3">
        <v>2213.61</v>
      </c>
      <c r="L11560">
        <v>308</v>
      </c>
      <c r="M11560" t="s">
        <v>16473</v>
      </c>
      <c r="N11560" t="s">
        <v>30</v>
      </c>
      <c r="O11560" t="s">
        <v>31</v>
      </c>
      <c r="P11560" t="str">
        <f>"15210"</f>
        <v>15210</v>
      </c>
    </row>
    <row r="11561" spans="1:16" x14ac:dyDescent="0.25">
      <c r="A11561" t="str">
        <f>"1180014E00086    00"</f>
        <v>1180014E00086    00</v>
      </c>
      <c r="B11561" t="s">
        <v>25601</v>
      </c>
      <c r="C11561" t="s">
        <v>25562</v>
      </c>
      <c r="D11561" t="s">
        <v>20</v>
      </c>
      <c r="E11561" t="s">
        <v>39</v>
      </c>
      <c r="F11561">
        <v>0</v>
      </c>
      <c r="G11561">
        <v>0</v>
      </c>
      <c r="H11561">
        <v>19</v>
      </c>
      <c r="I11561" s="3">
        <v>4695.12</v>
      </c>
      <c r="J11561" s="3">
        <v>6324.63</v>
      </c>
      <c r="L11561">
        <v>16</v>
      </c>
      <c r="M11561" t="s">
        <v>25602</v>
      </c>
      <c r="N11561" t="s">
        <v>30</v>
      </c>
      <c r="O11561" t="s">
        <v>31</v>
      </c>
      <c r="P11561" t="str">
        <f>"15211"</f>
        <v>15211</v>
      </c>
    </row>
    <row r="11562" spans="1:16" x14ac:dyDescent="0.25">
      <c r="A11562" t="str">
        <f>"1180014E00090    00"</f>
        <v>1180014E00090    00</v>
      </c>
      <c r="B11562" t="s">
        <v>25603</v>
      </c>
      <c r="C11562" t="s">
        <v>25562</v>
      </c>
      <c r="D11562" t="s">
        <v>20</v>
      </c>
      <c r="E11562" t="s">
        <v>21</v>
      </c>
      <c r="F11562">
        <v>0</v>
      </c>
      <c r="G11562">
        <v>0</v>
      </c>
      <c r="H11562">
        <v>6</v>
      </c>
      <c r="I11562" s="3">
        <v>2195.41</v>
      </c>
      <c r="J11562" s="3">
        <v>635.83000000000004</v>
      </c>
      <c r="K11562" t="s">
        <v>25604</v>
      </c>
      <c r="L11562">
        <v>1148</v>
      </c>
      <c r="M11562" t="s">
        <v>25605</v>
      </c>
      <c r="N11562" t="s">
        <v>30</v>
      </c>
      <c r="O11562" t="s">
        <v>31</v>
      </c>
      <c r="P11562" t="str">
        <f>"15210"</f>
        <v>15210</v>
      </c>
    </row>
    <row r="11563" spans="1:16" x14ac:dyDescent="0.25">
      <c r="A11563" t="str">
        <f>"1180014E00092    00"</f>
        <v>1180014E00092    00</v>
      </c>
      <c r="B11563" t="s">
        <v>25606</v>
      </c>
      <c r="C11563" t="s">
        <v>25565</v>
      </c>
      <c r="D11563" t="s">
        <v>20</v>
      </c>
      <c r="E11563" t="s">
        <v>39</v>
      </c>
      <c r="F11563">
        <v>0</v>
      </c>
      <c r="G11563">
        <v>0</v>
      </c>
      <c r="H11563">
        <v>19</v>
      </c>
      <c r="I11563" s="3">
        <v>279.7</v>
      </c>
      <c r="J11563" s="3">
        <v>282.8</v>
      </c>
      <c r="K11563" t="s">
        <v>1008</v>
      </c>
      <c r="P11563" t="str">
        <f>""</f>
        <v/>
      </c>
    </row>
    <row r="11564" spans="1:16" x14ac:dyDescent="0.25">
      <c r="A11564" t="str">
        <f>"1180014E00095    00"</f>
        <v>1180014E00095    00</v>
      </c>
      <c r="B11564" t="s">
        <v>25607</v>
      </c>
      <c r="C11564" t="s">
        <v>25565</v>
      </c>
      <c r="D11564" t="s">
        <v>20</v>
      </c>
      <c r="E11564" t="s">
        <v>39</v>
      </c>
      <c r="F11564">
        <v>0</v>
      </c>
      <c r="G11564">
        <v>0</v>
      </c>
      <c r="H11564">
        <v>15</v>
      </c>
      <c r="I11564" s="3">
        <v>798.38</v>
      </c>
      <c r="J11564" s="3">
        <v>460.82</v>
      </c>
      <c r="L11564">
        <v>318</v>
      </c>
      <c r="M11564" t="s">
        <v>25569</v>
      </c>
      <c r="N11564" t="s">
        <v>30</v>
      </c>
      <c r="O11564" t="s">
        <v>31</v>
      </c>
      <c r="P11564" t="str">
        <f>"15210"</f>
        <v>15210</v>
      </c>
    </row>
    <row r="11565" spans="1:16" x14ac:dyDescent="0.25">
      <c r="A11565" t="str">
        <f>"1180014E00097    00"</f>
        <v>1180014E00097    00</v>
      </c>
      <c r="B11565" t="s">
        <v>25608</v>
      </c>
      <c r="C11565" t="s">
        <v>25565</v>
      </c>
      <c r="D11565" t="s">
        <v>20</v>
      </c>
      <c r="E11565" t="s">
        <v>39</v>
      </c>
      <c r="F11565">
        <v>0</v>
      </c>
      <c r="G11565">
        <v>0</v>
      </c>
      <c r="H11565">
        <v>17</v>
      </c>
      <c r="I11565" s="3">
        <v>232.25</v>
      </c>
      <c r="J11565" s="3">
        <v>239.53</v>
      </c>
      <c r="K11565" t="s">
        <v>1008</v>
      </c>
      <c r="P11565" t="str">
        <f>""</f>
        <v/>
      </c>
    </row>
    <row r="11566" spans="1:16" x14ac:dyDescent="0.25">
      <c r="A11566" t="str">
        <f>"1180014E00099    00"</f>
        <v>1180014E00099    00</v>
      </c>
      <c r="B11566" t="s">
        <v>25609</v>
      </c>
      <c r="C11566" t="s">
        <v>25565</v>
      </c>
      <c r="D11566" t="s">
        <v>20</v>
      </c>
      <c r="E11566" t="s">
        <v>39</v>
      </c>
      <c r="F11566">
        <v>0</v>
      </c>
      <c r="G11566">
        <v>0</v>
      </c>
      <c r="H11566">
        <v>19</v>
      </c>
      <c r="I11566" s="3">
        <v>3283.7</v>
      </c>
      <c r="J11566" s="3">
        <v>4877.47</v>
      </c>
      <c r="L11566">
        <v>309</v>
      </c>
      <c r="M11566" t="s">
        <v>25569</v>
      </c>
      <c r="N11566" t="s">
        <v>30</v>
      </c>
      <c r="O11566" t="s">
        <v>31</v>
      </c>
      <c r="P11566" t="str">
        <f t="shared" ref="P11566:P11573" si="133">"15210"</f>
        <v>15210</v>
      </c>
    </row>
    <row r="11567" spans="1:16" x14ac:dyDescent="0.25">
      <c r="A11567" t="str">
        <f>"1180014E00100    00"</f>
        <v>1180014E00100    00</v>
      </c>
      <c r="B11567" t="s">
        <v>25609</v>
      </c>
      <c r="C11567" t="s">
        <v>25565</v>
      </c>
      <c r="D11567" t="s">
        <v>20</v>
      </c>
      <c r="E11567" t="s">
        <v>39</v>
      </c>
      <c r="F11567">
        <v>0</v>
      </c>
      <c r="G11567">
        <v>0</v>
      </c>
      <c r="H11567">
        <v>19</v>
      </c>
      <c r="I11567" s="3">
        <v>342.86</v>
      </c>
      <c r="J11567" s="3">
        <v>293.64</v>
      </c>
      <c r="L11567">
        <v>305</v>
      </c>
      <c r="M11567" t="s">
        <v>25569</v>
      </c>
      <c r="N11567" t="s">
        <v>30</v>
      </c>
      <c r="O11567" t="s">
        <v>31</v>
      </c>
      <c r="P11567" t="str">
        <f t="shared" si="133"/>
        <v>15210</v>
      </c>
    </row>
    <row r="11568" spans="1:16" x14ac:dyDescent="0.25">
      <c r="A11568" t="str">
        <f>"1180014E00102    00"</f>
        <v>1180014E00102    00</v>
      </c>
      <c r="B11568" t="s">
        <v>25610</v>
      </c>
      <c r="C11568" t="s">
        <v>25565</v>
      </c>
      <c r="D11568" t="s">
        <v>20</v>
      </c>
      <c r="E11568" t="s">
        <v>39</v>
      </c>
      <c r="F11568">
        <v>0</v>
      </c>
      <c r="G11568">
        <v>0</v>
      </c>
      <c r="H11568">
        <v>19</v>
      </c>
      <c r="I11568" s="3">
        <v>9341.32</v>
      </c>
      <c r="J11568" s="3">
        <v>11179.57</v>
      </c>
      <c r="L11568">
        <v>303</v>
      </c>
      <c r="M11568" t="s">
        <v>25569</v>
      </c>
      <c r="N11568" t="s">
        <v>30</v>
      </c>
      <c r="O11568" t="s">
        <v>31</v>
      </c>
      <c r="P11568" t="str">
        <f t="shared" si="133"/>
        <v>15210</v>
      </c>
    </row>
    <row r="11569" spans="1:16" x14ac:dyDescent="0.25">
      <c r="A11569" t="str">
        <f>"1180014E00118    00"</f>
        <v>1180014E00118    00</v>
      </c>
      <c r="B11569" t="s">
        <v>25611</v>
      </c>
      <c r="C11569" t="s">
        <v>25612</v>
      </c>
      <c r="E11569" t="s">
        <v>21</v>
      </c>
      <c r="F11569">
        <v>0</v>
      </c>
      <c r="G11569">
        <v>0</v>
      </c>
      <c r="H11569">
        <v>1</v>
      </c>
      <c r="I11569" s="3">
        <v>613.98</v>
      </c>
      <c r="J11569" s="3">
        <v>0</v>
      </c>
      <c r="K11569" t="s">
        <v>25613</v>
      </c>
      <c r="L11569">
        <v>216</v>
      </c>
      <c r="M11569" t="s">
        <v>25043</v>
      </c>
      <c r="N11569" t="s">
        <v>30</v>
      </c>
      <c r="O11569" t="s">
        <v>31</v>
      </c>
      <c r="P11569" t="str">
        <f t="shared" si="133"/>
        <v>15210</v>
      </c>
    </row>
    <row r="11570" spans="1:16" x14ac:dyDescent="0.25">
      <c r="A11570" t="str">
        <f>"1180014E00119    00"</f>
        <v>1180014E00119    00</v>
      </c>
      <c r="B11570" t="s">
        <v>25614</v>
      </c>
      <c r="C11570" t="s">
        <v>25378</v>
      </c>
      <c r="D11570" t="s">
        <v>20</v>
      </c>
      <c r="E11570" t="s">
        <v>39</v>
      </c>
      <c r="F11570">
        <v>0</v>
      </c>
      <c r="G11570">
        <v>0</v>
      </c>
      <c r="H11570">
        <v>2</v>
      </c>
      <c r="I11570" s="3">
        <v>22.88</v>
      </c>
      <c r="J11570" s="3">
        <v>0</v>
      </c>
      <c r="K11570" t="s">
        <v>25615</v>
      </c>
      <c r="L11570">
        <v>216</v>
      </c>
      <c r="M11570" t="s">
        <v>25043</v>
      </c>
      <c r="N11570" t="s">
        <v>30</v>
      </c>
      <c r="O11570" t="s">
        <v>31</v>
      </c>
      <c r="P11570" t="str">
        <f t="shared" si="133"/>
        <v>15210</v>
      </c>
    </row>
    <row r="11571" spans="1:16" x14ac:dyDescent="0.25">
      <c r="A11571" t="str">
        <f>"1180014E00122    00"</f>
        <v>1180014E00122    00</v>
      </c>
      <c r="B11571" t="s">
        <v>25616</v>
      </c>
      <c r="C11571" t="s">
        <v>25617</v>
      </c>
      <c r="D11571" t="s">
        <v>20</v>
      </c>
      <c r="E11571" t="s">
        <v>39</v>
      </c>
      <c r="F11571">
        <v>0</v>
      </c>
      <c r="G11571">
        <v>0</v>
      </c>
      <c r="H11571">
        <v>2</v>
      </c>
      <c r="I11571" s="3">
        <v>75.78</v>
      </c>
      <c r="J11571" s="3">
        <v>0</v>
      </c>
      <c r="L11571">
        <v>210</v>
      </c>
      <c r="M11571" t="s">
        <v>25043</v>
      </c>
      <c r="N11571" t="s">
        <v>30</v>
      </c>
      <c r="O11571" t="s">
        <v>31</v>
      </c>
      <c r="P11571" t="str">
        <f t="shared" si="133"/>
        <v>15210</v>
      </c>
    </row>
    <row r="11572" spans="1:16" x14ac:dyDescent="0.25">
      <c r="A11572" t="str">
        <f>"1180014E00124    00"</f>
        <v>1180014E00124    00</v>
      </c>
      <c r="B11572" t="s">
        <v>25618</v>
      </c>
      <c r="C11572" t="s">
        <v>25619</v>
      </c>
      <c r="D11572" t="s">
        <v>20</v>
      </c>
      <c r="E11572" t="s">
        <v>39</v>
      </c>
      <c r="F11572">
        <v>0</v>
      </c>
      <c r="G11572">
        <v>0</v>
      </c>
      <c r="H11572">
        <v>2</v>
      </c>
      <c r="I11572" s="3">
        <v>1095.29</v>
      </c>
      <c r="J11572" s="3">
        <v>0</v>
      </c>
      <c r="L11572">
        <v>206</v>
      </c>
      <c r="M11572" t="s">
        <v>25043</v>
      </c>
      <c r="N11572" t="s">
        <v>30</v>
      </c>
      <c r="O11572" t="s">
        <v>31</v>
      </c>
      <c r="P11572" t="str">
        <f t="shared" si="133"/>
        <v>15210</v>
      </c>
    </row>
    <row r="11573" spans="1:16" x14ac:dyDescent="0.25">
      <c r="A11573" t="str">
        <f>"1180014E00131    00"</f>
        <v>1180014E00131    00</v>
      </c>
      <c r="B11573" t="s">
        <v>25620</v>
      </c>
      <c r="C11573" t="s">
        <v>25621</v>
      </c>
      <c r="D11573" t="s">
        <v>20</v>
      </c>
      <c r="E11573" t="s">
        <v>39</v>
      </c>
      <c r="F11573">
        <v>0</v>
      </c>
      <c r="G11573">
        <v>0</v>
      </c>
      <c r="H11573">
        <v>6</v>
      </c>
      <c r="I11573" s="3">
        <v>2562.2399999999998</v>
      </c>
      <c r="J11573" s="3">
        <v>44.65</v>
      </c>
      <c r="L11573">
        <v>518</v>
      </c>
      <c r="M11573" t="s">
        <v>2475</v>
      </c>
      <c r="N11573" t="s">
        <v>30</v>
      </c>
      <c r="O11573" t="s">
        <v>31</v>
      </c>
      <c r="P11573" t="str">
        <f t="shared" si="133"/>
        <v>15210</v>
      </c>
    </row>
    <row r="11574" spans="1:16" x14ac:dyDescent="0.25">
      <c r="A11574" t="str">
        <f>"1180014E00132    00"</f>
        <v>1180014E00132    00</v>
      </c>
      <c r="B11574" t="s">
        <v>25622</v>
      </c>
      <c r="C11574" t="s">
        <v>25623</v>
      </c>
      <c r="D11574" t="s">
        <v>20</v>
      </c>
      <c r="E11574" t="s">
        <v>39</v>
      </c>
      <c r="F11574">
        <v>0</v>
      </c>
      <c r="G11574">
        <v>0</v>
      </c>
      <c r="H11574">
        <v>19</v>
      </c>
      <c r="I11574" s="3">
        <v>191.12</v>
      </c>
      <c r="J11574" s="3">
        <v>159.24</v>
      </c>
      <c r="L11574">
        <v>114</v>
      </c>
      <c r="M11574" t="s">
        <v>12791</v>
      </c>
      <c r="N11574" t="s">
        <v>2008</v>
      </c>
      <c r="O11574" t="s">
        <v>31</v>
      </c>
      <c r="P11574" t="str">
        <f>"16066"</f>
        <v>16066</v>
      </c>
    </row>
    <row r="11575" spans="1:16" x14ac:dyDescent="0.25">
      <c r="A11575" t="str">
        <f>"1180014E00133    00"</f>
        <v>1180014E00133    00</v>
      </c>
      <c r="B11575" t="s">
        <v>25624</v>
      </c>
      <c r="C11575" t="s">
        <v>25623</v>
      </c>
      <c r="D11575" t="s">
        <v>20</v>
      </c>
      <c r="E11575" t="s">
        <v>39</v>
      </c>
      <c r="F11575">
        <v>0</v>
      </c>
      <c r="G11575">
        <v>0</v>
      </c>
      <c r="H11575">
        <v>16</v>
      </c>
      <c r="I11575" s="3">
        <v>246.96</v>
      </c>
      <c r="J11575" s="3">
        <v>264.35000000000002</v>
      </c>
      <c r="K11575" t="s">
        <v>1037</v>
      </c>
      <c r="L11575">
        <v>514</v>
      </c>
      <c r="M11575" t="s">
        <v>2475</v>
      </c>
      <c r="N11575" t="s">
        <v>30</v>
      </c>
      <c r="O11575" t="s">
        <v>31</v>
      </c>
      <c r="P11575" t="str">
        <f>"15210"</f>
        <v>15210</v>
      </c>
    </row>
    <row r="11576" spans="1:16" x14ac:dyDescent="0.25">
      <c r="A11576" t="str">
        <f>"1180014E00134    00"</f>
        <v>1180014E00134    00</v>
      </c>
      <c r="B11576" t="s">
        <v>25625</v>
      </c>
      <c r="C11576" t="s">
        <v>25623</v>
      </c>
      <c r="D11576" t="s">
        <v>20</v>
      </c>
      <c r="E11576" t="s">
        <v>39</v>
      </c>
      <c r="F11576">
        <v>0</v>
      </c>
      <c r="G11576">
        <v>0</v>
      </c>
      <c r="H11576">
        <v>18</v>
      </c>
      <c r="I11576" s="3">
        <v>2741.56</v>
      </c>
      <c r="J11576" s="3">
        <v>3301.62</v>
      </c>
      <c r="K11576" t="s">
        <v>25626</v>
      </c>
      <c r="L11576">
        <v>1005</v>
      </c>
      <c r="M11576" t="s">
        <v>25627</v>
      </c>
      <c r="N11576" t="s">
        <v>30</v>
      </c>
      <c r="O11576" t="s">
        <v>31</v>
      </c>
      <c r="P11576" t="str">
        <f>"15219"</f>
        <v>15219</v>
      </c>
    </row>
    <row r="11577" spans="1:16" x14ac:dyDescent="0.25">
      <c r="A11577" t="str">
        <f>"1180014E00135    00"</f>
        <v>1180014E00135    00</v>
      </c>
      <c r="B11577" t="s">
        <v>7111</v>
      </c>
      <c r="C11577" t="s">
        <v>25628</v>
      </c>
      <c r="E11577" t="s">
        <v>39</v>
      </c>
      <c r="F11577">
        <v>0</v>
      </c>
      <c r="G11577">
        <v>0</v>
      </c>
      <c r="H11577">
        <v>1</v>
      </c>
      <c r="I11577" s="3">
        <v>233.47</v>
      </c>
      <c r="J11577" s="3">
        <v>0</v>
      </c>
      <c r="L11577">
        <v>4735</v>
      </c>
      <c r="M11577" t="s">
        <v>841</v>
      </c>
      <c r="N11577" t="s">
        <v>30</v>
      </c>
      <c r="O11577" t="s">
        <v>31</v>
      </c>
      <c r="P11577" t="str">
        <f>"15201"</f>
        <v>15201</v>
      </c>
    </row>
    <row r="11578" spans="1:16" x14ac:dyDescent="0.25">
      <c r="A11578" t="str">
        <f>"1180014E00135A   00"</f>
        <v>1180014E00135A   00</v>
      </c>
      <c r="B11578" t="s">
        <v>25629</v>
      </c>
      <c r="C11578" t="s">
        <v>25565</v>
      </c>
      <c r="D11578" t="s">
        <v>20</v>
      </c>
      <c r="E11578" t="s">
        <v>39</v>
      </c>
      <c r="F11578">
        <v>0</v>
      </c>
      <c r="G11578">
        <v>0</v>
      </c>
      <c r="H11578">
        <v>17</v>
      </c>
      <c r="I11578" s="3">
        <v>2648.1</v>
      </c>
      <c r="J11578" s="3">
        <v>3852.47</v>
      </c>
      <c r="K11578" t="s">
        <v>25630</v>
      </c>
      <c r="L11578">
        <v>20</v>
      </c>
      <c r="M11578" t="s">
        <v>25569</v>
      </c>
      <c r="N11578" t="s">
        <v>30</v>
      </c>
      <c r="O11578" t="s">
        <v>31</v>
      </c>
      <c r="P11578" t="str">
        <f>"15210"</f>
        <v>15210</v>
      </c>
    </row>
    <row r="11579" spans="1:16" x14ac:dyDescent="0.25">
      <c r="A11579" t="str">
        <f>"1180014E00136    00"</f>
        <v>1180014E00136    00</v>
      </c>
      <c r="B11579" t="s">
        <v>25631</v>
      </c>
      <c r="C11579" t="s">
        <v>25632</v>
      </c>
      <c r="D11579" t="s">
        <v>20</v>
      </c>
      <c r="E11579" t="s">
        <v>39</v>
      </c>
      <c r="F11579">
        <v>0</v>
      </c>
      <c r="G11579">
        <v>0</v>
      </c>
      <c r="H11579">
        <v>3</v>
      </c>
      <c r="I11579" s="3">
        <v>1360.89</v>
      </c>
      <c r="J11579" s="3">
        <v>90.72</v>
      </c>
      <c r="L11579">
        <v>109</v>
      </c>
      <c r="M11579" t="s">
        <v>2475</v>
      </c>
      <c r="N11579" t="s">
        <v>30</v>
      </c>
      <c r="O11579" t="s">
        <v>31</v>
      </c>
      <c r="P11579" t="str">
        <f>"15210"</f>
        <v>15210</v>
      </c>
    </row>
    <row r="11580" spans="1:16" x14ac:dyDescent="0.25">
      <c r="A11580" t="str">
        <f>"1180014E00138    00"</f>
        <v>1180014E00138    00</v>
      </c>
      <c r="B11580" t="s">
        <v>25633</v>
      </c>
      <c r="C11580" t="s">
        <v>25634</v>
      </c>
      <c r="D11580" t="s">
        <v>20</v>
      </c>
      <c r="E11580" t="s">
        <v>39</v>
      </c>
      <c r="F11580">
        <v>0</v>
      </c>
      <c r="G11580">
        <v>0</v>
      </c>
      <c r="H11580">
        <v>1</v>
      </c>
      <c r="I11580" s="3">
        <v>62.56</v>
      </c>
      <c r="J11580" s="3">
        <v>0</v>
      </c>
      <c r="L11580">
        <v>12</v>
      </c>
      <c r="M11580" t="s">
        <v>25569</v>
      </c>
      <c r="N11580" t="s">
        <v>30</v>
      </c>
      <c r="O11580" t="s">
        <v>31</v>
      </c>
      <c r="P11580" t="str">
        <f>"15210"</f>
        <v>15210</v>
      </c>
    </row>
    <row r="11581" spans="1:16" x14ac:dyDescent="0.25">
      <c r="A11581" t="str">
        <f>"1180014E00139    00"</f>
        <v>1180014E00139    00</v>
      </c>
      <c r="B11581" t="s">
        <v>25635</v>
      </c>
      <c r="C11581" t="s">
        <v>25636</v>
      </c>
      <c r="D11581" t="s">
        <v>20</v>
      </c>
      <c r="E11581" t="s">
        <v>39</v>
      </c>
      <c r="F11581">
        <v>0</v>
      </c>
      <c r="G11581">
        <v>0</v>
      </c>
      <c r="H11581">
        <v>10</v>
      </c>
      <c r="I11581" s="3">
        <v>3158.26</v>
      </c>
      <c r="J11581" s="3">
        <v>1633.06</v>
      </c>
      <c r="L11581">
        <v>10</v>
      </c>
      <c r="M11581" t="s">
        <v>25569</v>
      </c>
      <c r="N11581" t="s">
        <v>30</v>
      </c>
      <c r="O11581" t="s">
        <v>31</v>
      </c>
      <c r="P11581" t="str">
        <f>"15210"</f>
        <v>15210</v>
      </c>
    </row>
    <row r="11582" spans="1:16" x14ac:dyDescent="0.25">
      <c r="A11582" t="str">
        <f>"1180014E00143    00"</f>
        <v>1180014E00143    00</v>
      </c>
      <c r="B11582" t="s">
        <v>25599</v>
      </c>
      <c r="C11582" t="s">
        <v>24836</v>
      </c>
      <c r="D11582" t="s">
        <v>20</v>
      </c>
      <c r="E11582" t="s">
        <v>39</v>
      </c>
      <c r="F11582">
        <v>0</v>
      </c>
      <c r="G11582">
        <v>0</v>
      </c>
      <c r="H11582">
        <v>17</v>
      </c>
      <c r="I11582" s="3">
        <v>2439.04</v>
      </c>
      <c r="J11582" s="3">
        <v>3547.11</v>
      </c>
      <c r="L11582">
        <v>263</v>
      </c>
      <c r="M11582" t="s">
        <v>25563</v>
      </c>
      <c r="N11582" t="s">
        <v>30</v>
      </c>
      <c r="O11582" t="s">
        <v>31</v>
      </c>
      <c r="P11582" t="str">
        <f>"15210"</f>
        <v>15210</v>
      </c>
    </row>
    <row r="11583" spans="1:16" x14ac:dyDescent="0.25">
      <c r="A11583" t="str">
        <f>"1180014E00149    00"</f>
        <v>1180014E00149    00</v>
      </c>
      <c r="B11583" t="s">
        <v>25637</v>
      </c>
      <c r="C11583" t="s">
        <v>25638</v>
      </c>
      <c r="D11583" t="s">
        <v>20</v>
      </c>
      <c r="E11583" t="s">
        <v>39</v>
      </c>
      <c r="F11583">
        <v>0</v>
      </c>
      <c r="G11583">
        <v>0</v>
      </c>
      <c r="H11583">
        <v>1</v>
      </c>
      <c r="I11583" s="3">
        <v>514.64</v>
      </c>
      <c r="J11583" s="3">
        <v>0</v>
      </c>
      <c r="K11583" t="s">
        <v>25639</v>
      </c>
      <c r="L11583">
        <v>2029</v>
      </c>
      <c r="M11583" t="s">
        <v>25640</v>
      </c>
      <c r="N11583" t="s">
        <v>30</v>
      </c>
      <c r="O11583" t="s">
        <v>31</v>
      </c>
      <c r="P11583" t="str">
        <f>"15226"</f>
        <v>15226</v>
      </c>
    </row>
    <row r="11584" spans="1:16" x14ac:dyDescent="0.25">
      <c r="A11584" t="str">
        <f>"1180014E00150    00"</f>
        <v>1180014E00150    00</v>
      </c>
      <c r="B11584" t="s">
        <v>25641</v>
      </c>
      <c r="C11584" t="s">
        <v>25642</v>
      </c>
      <c r="D11584" t="s">
        <v>20</v>
      </c>
      <c r="E11584" t="s">
        <v>39</v>
      </c>
      <c r="F11584">
        <v>0</v>
      </c>
      <c r="G11584">
        <v>0</v>
      </c>
      <c r="H11584">
        <v>4</v>
      </c>
      <c r="I11584" s="3">
        <v>1085.95</v>
      </c>
      <c r="J11584" s="3">
        <v>128.28</v>
      </c>
      <c r="K11584" t="s">
        <v>25643</v>
      </c>
      <c r="L11584">
        <v>509</v>
      </c>
      <c r="M11584" t="s">
        <v>2475</v>
      </c>
      <c r="N11584" t="s">
        <v>30</v>
      </c>
      <c r="O11584" t="s">
        <v>31</v>
      </c>
      <c r="P11584" t="str">
        <f>"15210"</f>
        <v>15210</v>
      </c>
    </row>
    <row r="11585" spans="1:16" x14ac:dyDescent="0.25">
      <c r="A11585" t="str">
        <f>"1180014E00155    00"</f>
        <v>1180014E00155    00</v>
      </c>
      <c r="B11585" t="s">
        <v>25644</v>
      </c>
      <c r="C11585" t="s">
        <v>25623</v>
      </c>
      <c r="D11585" t="s">
        <v>20</v>
      </c>
      <c r="E11585" t="s">
        <v>39</v>
      </c>
      <c r="F11585">
        <v>0</v>
      </c>
      <c r="G11585">
        <v>0</v>
      </c>
      <c r="H11585">
        <v>14</v>
      </c>
      <c r="I11585" s="3">
        <v>1338.47</v>
      </c>
      <c r="J11585" s="3">
        <v>1210.18</v>
      </c>
      <c r="K11585" t="s">
        <v>25645</v>
      </c>
      <c r="L11585">
        <v>544</v>
      </c>
      <c r="M11585" t="s">
        <v>25646</v>
      </c>
      <c r="N11585" t="s">
        <v>903</v>
      </c>
      <c r="O11585" t="s">
        <v>31</v>
      </c>
      <c r="P11585" t="str">
        <f>"15136"</f>
        <v>15136</v>
      </c>
    </row>
    <row r="11586" spans="1:16" x14ac:dyDescent="0.25">
      <c r="A11586" t="str">
        <f>"1180014E00157    00"</f>
        <v>1180014E00157    00</v>
      </c>
      <c r="B11586" t="s">
        <v>25647</v>
      </c>
      <c r="C11586" t="s">
        <v>25648</v>
      </c>
      <c r="D11586" t="s">
        <v>20</v>
      </c>
      <c r="E11586" t="s">
        <v>39</v>
      </c>
      <c r="F11586">
        <v>0</v>
      </c>
      <c r="G11586">
        <v>0</v>
      </c>
      <c r="H11586">
        <v>12</v>
      </c>
      <c r="I11586" s="3">
        <v>454.96</v>
      </c>
      <c r="J11586" s="3">
        <v>397.07</v>
      </c>
      <c r="L11586">
        <v>527</v>
      </c>
      <c r="M11586" t="s">
        <v>2475</v>
      </c>
      <c r="N11586" t="s">
        <v>30</v>
      </c>
      <c r="O11586" t="s">
        <v>31</v>
      </c>
      <c r="P11586" t="str">
        <f>"15210"</f>
        <v>15210</v>
      </c>
    </row>
    <row r="11587" spans="1:16" x14ac:dyDescent="0.25">
      <c r="A11587" t="str">
        <f>"1180014E00159    00"</f>
        <v>1180014E00159    00</v>
      </c>
      <c r="B11587" t="s">
        <v>218</v>
      </c>
      <c r="C11587" t="s">
        <v>25378</v>
      </c>
      <c r="E11587" t="s">
        <v>39</v>
      </c>
      <c r="F11587">
        <v>0</v>
      </c>
      <c r="G11587">
        <v>0</v>
      </c>
      <c r="H11587">
        <v>1</v>
      </c>
      <c r="I11587" s="3">
        <v>70.53</v>
      </c>
      <c r="J11587" s="3">
        <v>0</v>
      </c>
      <c r="K11587" t="s">
        <v>220</v>
      </c>
      <c r="L11587">
        <v>412</v>
      </c>
      <c r="M11587" t="s">
        <v>221</v>
      </c>
      <c r="N11587" t="s">
        <v>30</v>
      </c>
      <c r="O11587" t="s">
        <v>31</v>
      </c>
      <c r="P11587" t="str">
        <f>"15219"</f>
        <v>15219</v>
      </c>
    </row>
    <row r="11588" spans="1:16" x14ac:dyDescent="0.25">
      <c r="A11588" t="str">
        <f>"1180014E00160    00"</f>
        <v>1180014E00160    00</v>
      </c>
      <c r="B11588" t="s">
        <v>218</v>
      </c>
      <c r="C11588" t="s">
        <v>25378</v>
      </c>
      <c r="E11588" t="s">
        <v>39</v>
      </c>
      <c r="F11588">
        <v>0</v>
      </c>
      <c r="G11588">
        <v>0</v>
      </c>
      <c r="H11588">
        <v>1</v>
      </c>
      <c r="I11588" s="3">
        <v>62.91</v>
      </c>
      <c r="J11588" s="3">
        <v>0</v>
      </c>
      <c r="K11588" t="s">
        <v>220</v>
      </c>
      <c r="L11588">
        <v>412</v>
      </c>
      <c r="M11588" t="s">
        <v>221</v>
      </c>
      <c r="N11588" t="s">
        <v>30</v>
      </c>
      <c r="O11588" t="s">
        <v>31</v>
      </c>
      <c r="P11588" t="str">
        <f>"15219"</f>
        <v>15219</v>
      </c>
    </row>
    <row r="11589" spans="1:16" x14ac:dyDescent="0.25">
      <c r="A11589" t="str">
        <f>"1180014E00163    00"</f>
        <v>1180014E00163    00</v>
      </c>
      <c r="B11589" t="s">
        <v>218</v>
      </c>
      <c r="C11589" t="s">
        <v>25378</v>
      </c>
      <c r="E11589" t="s">
        <v>39</v>
      </c>
      <c r="F11589">
        <v>0</v>
      </c>
      <c r="G11589">
        <v>0</v>
      </c>
      <c r="H11589">
        <v>1</v>
      </c>
      <c r="I11589" s="3">
        <v>74.34</v>
      </c>
      <c r="J11589" s="3">
        <v>0</v>
      </c>
      <c r="K11589" t="s">
        <v>220</v>
      </c>
      <c r="L11589">
        <v>412</v>
      </c>
      <c r="M11589" t="s">
        <v>221</v>
      </c>
      <c r="N11589" t="s">
        <v>30</v>
      </c>
      <c r="O11589" t="s">
        <v>31</v>
      </c>
      <c r="P11589" t="str">
        <f>"15219"</f>
        <v>15219</v>
      </c>
    </row>
    <row r="11590" spans="1:16" x14ac:dyDescent="0.25">
      <c r="A11590" t="str">
        <f>"1180014E00167    00"</f>
        <v>1180014E00167    00</v>
      </c>
      <c r="B11590" t="s">
        <v>218</v>
      </c>
      <c r="C11590" t="s">
        <v>25378</v>
      </c>
      <c r="E11590" t="s">
        <v>39</v>
      </c>
      <c r="F11590">
        <v>0</v>
      </c>
      <c r="G11590">
        <v>0</v>
      </c>
      <c r="H11590">
        <v>1</v>
      </c>
      <c r="I11590" s="3">
        <v>72.430000000000007</v>
      </c>
      <c r="J11590" s="3">
        <v>0</v>
      </c>
      <c r="K11590" t="s">
        <v>220</v>
      </c>
      <c r="L11590">
        <v>412</v>
      </c>
      <c r="M11590" t="s">
        <v>221</v>
      </c>
      <c r="N11590" t="s">
        <v>30</v>
      </c>
      <c r="O11590" t="s">
        <v>31</v>
      </c>
      <c r="P11590" t="str">
        <f>"15219"</f>
        <v>15219</v>
      </c>
    </row>
    <row r="11591" spans="1:16" x14ac:dyDescent="0.25">
      <c r="A11591" t="str">
        <f>"1180014E00171    00"</f>
        <v>1180014E00171    00</v>
      </c>
      <c r="B11591" t="s">
        <v>25649</v>
      </c>
      <c r="C11591" t="s">
        <v>25623</v>
      </c>
      <c r="D11591" t="s">
        <v>20</v>
      </c>
      <c r="E11591" t="s">
        <v>39</v>
      </c>
      <c r="F11591">
        <v>0</v>
      </c>
      <c r="G11591">
        <v>0</v>
      </c>
      <c r="H11591">
        <v>15</v>
      </c>
      <c r="I11591" s="3">
        <v>2458.23</v>
      </c>
      <c r="J11591" s="3">
        <v>2944.59</v>
      </c>
      <c r="L11591">
        <v>135</v>
      </c>
      <c r="M11591" t="s">
        <v>25650</v>
      </c>
      <c r="N11591" t="s">
        <v>5339</v>
      </c>
      <c r="O11591" t="s">
        <v>31</v>
      </c>
      <c r="P11591" t="str">
        <f>"15084"</f>
        <v>15084</v>
      </c>
    </row>
    <row r="11592" spans="1:16" x14ac:dyDescent="0.25">
      <c r="A11592" t="str">
        <f>"1180014E00185    00"</f>
        <v>1180014E00185    00</v>
      </c>
      <c r="B11592" t="s">
        <v>25651</v>
      </c>
      <c r="C11592" t="s">
        <v>25652</v>
      </c>
      <c r="D11592" t="s">
        <v>20</v>
      </c>
      <c r="E11592" t="s">
        <v>290</v>
      </c>
      <c r="F11592">
        <v>0</v>
      </c>
      <c r="G11592">
        <v>0</v>
      </c>
      <c r="H11592">
        <v>2</v>
      </c>
      <c r="I11592" s="3">
        <v>3792.48</v>
      </c>
      <c r="J11592" s="3">
        <v>0</v>
      </c>
      <c r="K11592" t="s">
        <v>25653</v>
      </c>
      <c r="L11592">
        <v>2730</v>
      </c>
      <c r="M11592" t="s">
        <v>2487</v>
      </c>
      <c r="N11592" t="s">
        <v>30</v>
      </c>
      <c r="O11592" t="s">
        <v>31</v>
      </c>
      <c r="P11592" t="str">
        <f>"15203"</f>
        <v>15203</v>
      </c>
    </row>
    <row r="11593" spans="1:16" x14ac:dyDescent="0.25">
      <c r="A11593" t="str">
        <f>"1180014E00187    00"</f>
        <v>1180014E00187    00</v>
      </c>
      <c r="B11593" t="s">
        <v>25651</v>
      </c>
      <c r="C11593" t="s">
        <v>25654</v>
      </c>
      <c r="E11593" t="s">
        <v>39</v>
      </c>
      <c r="F11593">
        <v>0</v>
      </c>
      <c r="G11593">
        <v>0</v>
      </c>
      <c r="H11593">
        <v>1</v>
      </c>
      <c r="I11593" s="3">
        <v>31.72</v>
      </c>
      <c r="J11593" s="3">
        <v>0</v>
      </c>
      <c r="K11593" t="s">
        <v>25653</v>
      </c>
      <c r="L11593">
        <v>2730</v>
      </c>
      <c r="M11593" t="s">
        <v>2487</v>
      </c>
      <c r="N11593" t="s">
        <v>30</v>
      </c>
      <c r="O11593" t="s">
        <v>31</v>
      </c>
      <c r="P11593" t="str">
        <f>"15203"</f>
        <v>15203</v>
      </c>
    </row>
    <row r="11594" spans="1:16" x14ac:dyDescent="0.25">
      <c r="A11594" t="str">
        <f>"1180014E00187000100"</f>
        <v>1180014E00187000100</v>
      </c>
      <c r="B11594" t="s">
        <v>25651</v>
      </c>
      <c r="C11594" t="s">
        <v>25655</v>
      </c>
      <c r="E11594" t="s">
        <v>39</v>
      </c>
      <c r="F11594">
        <v>0</v>
      </c>
      <c r="G11594">
        <v>0</v>
      </c>
      <c r="H11594">
        <v>1</v>
      </c>
      <c r="I11594" s="3">
        <v>23.79</v>
      </c>
      <c r="J11594" s="3">
        <v>0</v>
      </c>
      <c r="K11594" t="s">
        <v>25653</v>
      </c>
      <c r="L11594">
        <v>2730</v>
      </c>
      <c r="M11594" t="s">
        <v>2487</v>
      </c>
      <c r="N11594" t="s">
        <v>30</v>
      </c>
      <c r="O11594" t="s">
        <v>31</v>
      </c>
      <c r="P11594" t="str">
        <f>"15203"</f>
        <v>15203</v>
      </c>
    </row>
    <row r="11595" spans="1:16" x14ac:dyDescent="0.25">
      <c r="A11595" t="str">
        <f>"1180014E00197    00"</f>
        <v>1180014E00197    00</v>
      </c>
      <c r="B11595" t="s">
        <v>25656</v>
      </c>
      <c r="C11595" t="s">
        <v>25657</v>
      </c>
      <c r="D11595" t="s">
        <v>20</v>
      </c>
      <c r="E11595" t="s">
        <v>39</v>
      </c>
      <c r="F11595">
        <v>0</v>
      </c>
      <c r="G11595">
        <v>0</v>
      </c>
      <c r="H11595">
        <v>1</v>
      </c>
      <c r="I11595" s="3">
        <v>602.32000000000005</v>
      </c>
      <c r="J11595" s="3">
        <v>0</v>
      </c>
      <c r="L11595">
        <v>614</v>
      </c>
      <c r="M11595" t="s">
        <v>2475</v>
      </c>
      <c r="N11595" t="s">
        <v>30</v>
      </c>
      <c r="O11595" t="s">
        <v>31</v>
      </c>
      <c r="P11595" t="str">
        <f>"15210"</f>
        <v>15210</v>
      </c>
    </row>
    <row r="11596" spans="1:16" x14ac:dyDescent="0.25">
      <c r="A11596" t="str">
        <f>"1180014E00217    00"</f>
        <v>1180014E00217    00</v>
      </c>
      <c r="B11596" t="s">
        <v>25658</v>
      </c>
      <c r="C11596" t="s">
        <v>25659</v>
      </c>
      <c r="E11596" t="s">
        <v>39</v>
      </c>
      <c r="F11596">
        <v>0</v>
      </c>
      <c r="G11596">
        <v>0</v>
      </c>
      <c r="H11596">
        <v>8</v>
      </c>
      <c r="I11596" s="3">
        <v>1459</v>
      </c>
      <c r="J11596" s="3">
        <v>1887.88</v>
      </c>
      <c r="L11596">
        <v>214</v>
      </c>
      <c r="M11596" t="s">
        <v>23888</v>
      </c>
      <c r="N11596" t="s">
        <v>30</v>
      </c>
      <c r="O11596" t="s">
        <v>31</v>
      </c>
      <c r="P11596" t="str">
        <f>"15210"</f>
        <v>15210</v>
      </c>
    </row>
    <row r="11597" spans="1:16" x14ac:dyDescent="0.25">
      <c r="A11597" t="str">
        <f>"1180014E00239    00"</f>
        <v>1180014E00239    00</v>
      </c>
      <c r="B11597" t="s">
        <v>218</v>
      </c>
      <c r="C11597" t="s">
        <v>25378</v>
      </c>
      <c r="E11597" t="s">
        <v>39</v>
      </c>
      <c r="F11597">
        <v>0</v>
      </c>
      <c r="G11597">
        <v>0</v>
      </c>
      <c r="H11597">
        <v>1</v>
      </c>
      <c r="I11597" s="3">
        <v>28.6</v>
      </c>
      <c r="J11597" s="3">
        <v>0</v>
      </c>
      <c r="K11597" t="s">
        <v>220</v>
      </c>
      <c r="L11597">
        <v>412</v>
      </c>
      <c r="M11597" t="s">
        <v>221</v>
      </c>
      <c r="N11597" t="s">
        <v>30</v>
      </c>
      <c r="O11597" t="s">
        <v>31</v>
      </c>
      <c r="P11597" t="str">
        <f>"15219"</f>
        <v>15219</v>
      </c>
    </row>
    <row r="11598" spans="1:16" x14ac:dyDescent="0.25">
      <c r="A11598" t="str">
        <f>"1180014E00241    00"</f>
        <v>1180014E00241    00</v>
      </c>
      <c r="B11598" t="s">
        <v>218</v>
      </c>
      <c r="C11598" t="s">
        <v>25378</v>
      </c>
      <c r="E11598" t="s">
        <v>39</v>
      </c>
      <c r="F11598">
        <v>0</v>
      </c>
      <c r="G11598">
        <v>0</v>
      </c>
      <c r="H11598">
        <v>1</v>
      </c>
      <c r="I11598" s="3">
        <v>59.1</v>
      </c>
      <c r="J11598" s="3">
        <v>0</v>
      </c>
      <c r="K11598" t="s">
        <v>220</v>
      </c>
      <c r="L11598">
        <v>412</v>
      </c>
      <c r="M11598" t="s">
        <v>221</v>
      </c>
      <c r="N11598" t="s">
        <v>30</v>
      </c>
      <c r="O11598" t="s">
        <v>31</v>
      </c>
      <c r="P11598" t="str">
        <f>"15219"</f>
        <v>15219</v>
      </c>
    </row>
    <row r="11599" spans="1:16" x14ac:dyDescent="0.25">
      <c r="A11599" t="str">
        <f>"1180014E00242    00"</f>
        <v>1180014E00242    00</v>
      </c>
      <c r="B11599" t="s">
        <v>218</v>
      </c>
      <c r="C11599" t="s">
        <v>25378</v>
      </c>
      <c r="E11599" t="s">
        <v>39</v>
      </c>
      <c r="F11599">
        <v>0</v>
      </c>
      <c r="G11599">
        <v>0</v>
      </c>
      <c r="H11599">
        <v>1</v>
      </c>
      <c r="I11599" s="3">
        <v>59.1</v>
      </c>
      <c r="J11599" s="3">
        <v>0</v>
      </c>
      <c r="K11599" t="s">
        <v>220</v>
      </c>
      <c r="L11599">
        <v>412</v>
      </c>
      <c r="M11599" t="s">
        <v>221</v>
      </c>
      <c r="N11599" t="s">
        <v>30</v>
      </c>
      <c r="O11599" t="s">
        <v>31</v>
      </c>
      <c r="P11599" t="str">
        <f>"15219"</f>
        <v>15219</v>
      </c>
    </row>
    <row r="11600" spans="1:16" x14ac:dyDescent="0.25">
      <c r="A11600" t="str">
        <f>"1180014E00244    00"</f>
        <v>1180014E00244    00</v>
      </c>
      <c r="B11600" t="s">
        <v>218</v>
      </c>
      <c r="C11600" t="s">
        <v>25378</v>
      </c>
      <c r="E11600" t="s">
        <v>39</v>
      </c>
      <c r="F11600">
        <v>0</v>
      </c>
      <c r="G11600">
        <v>0</v>
      </c>
      <c r="H11600">
        <v>1</v>
      </c>
      <c r="I11600" s="3">
        <v>66.72</v>
      </c>
      <c r="J11600" s="3">
        <v>0</v>
      </c>
      <c r="K11600" t="s">
        <v>220</v>
      </c>
      <c r="L11600">
        <v>412</v>
      </c>
      <c r="M11600" t="s">
        <v>221</v>
      </c>
      <c r="N11600" t="s">
        <v>30</v>
      </c>
      <c r="O11600" t="s">
        <v>31</v>
      </c>
      <c r="P11600" t="str">
        <f>"15219"</f>
        <v>15219</v>
      </c>
    </row>
    <row r="11601" spans="1:16" x14ac:dyDescent="0.25">
      <c r="A11601" t="str">
        <f>"1180014E00248    00"</f>
        <v>1180014E00248    00</v>
      </c>
      <c r="B11601" t="s">
        <v>25660</v>
      </c>
      <c r="C11601" t="s">
        <v>25661</v>
      </c>
      <c r="D11601" t="s">
        <v>20</v>
      </c>
      <c r="E11601" t="s">
        <v>39</v>
      </c>
      <c r="F11601">
        <v>0</v>
      </c>
      <c r="G11601">
        <v>0</v>
      </c>
      <c r="H11601">
        <v>18</v>
      </c>
      <c r="I11601" s="3">
        <v>6266.72</v>
      </c>
      <c r="J11601" s="3">
        <v>5505.91</v>
      </c>
      <c r="L11601">
        <v>1035</v>
      </c>
      <c r="M11601" t="s">
        <v>25662</v>
      </c>
      <c r="N11601" t="s">
        <v>30</v>
      </c>
      <c r="O11601" t="s">
        <v>31</v>
      </c>
      <c r="P11601" t="str">
        <f>"15227"</f>
        <v>15227</v>
      </c>
    </row>
    <row r="11602" spans="1:16" x14ac:dyDescent="0.25">
      <c r="A11602" t="str">
        <f>"1180014E00254    00"</f>
        <v>1180014E00254    00</v>
      </c>
      <c r="B11602" t="s">
        <v>25663</v>
      </c>
      <c r="C11602" t="s">
        <v>25600</v>
      </c>
      <c r="D11602" t="s">
        <v>20</v>
      </c>
      <c r="E11602" t="s">
        <v>39</v>
      </c>
      <c r="F11602">
        <v>0</v>
      </c>
      <c r="G11602">
        <v>0</v>
      </c>
      <c r="H11602">
        <v>17</v>
      </c>
      <c r="I11602" s="3">
        <v>152.36000000000001</v>
      </c>
      <c r="J11602" s="3">
        <v>159.4</v>
      </c>
      <c r="L11602">
        <v>905</v>
      </c>
      <c r="M11602" t="s">
        <v>25664</v>
      </c>
      <c r="N11602" t="s">
        <v>30</v>
      </c>
      <c r="O11602" t="s">
        <v>31</v>
      </c>
      <c r="P11602" t="str">
        <f>"15210"</f>
        <v>15210</v>
      </c>
    </row>
    <row r="11603" spans="1:16" x14ac:dyDescent="0.25">
      <c r="A11603" t="str">
        <f>"1180014E00255    00"</f>
        <v>1180014E00255    00</v>
      </c>
      <c r="B11603" t="s">
        <v>25665</v>
      </c>
      <c r="C11603" t="s">
        <v>25600</v>
      </c>
      <c r="D11603" t="s">
        <v>20</v>
      </c>
      <c r="E11603" t="s">
        <v>39</v>
      </c>
      <c r="F11603">
        <v>0</v>
      </c>
      <c r="G11603">
        <v>0</v>
      </c>
      <c r="H11603">
        <v>17</v>
      </c>
      <c r="I11603" s="3">
        <v>152.36000000000001</v>
      </c>
      <c r="J11603" s="3">
        <v>159.4</v>
      </c>
      <c r="K11603" t="s">
        <v>1008</v>
      </c>
      <c r="P11603" t="str">
        <f>""</f>
        <v/>
      </c>
    </row>
    <row r="11604" spans="1:16" x14ac:dyDescent="0.25">
      <c r="A11604" t="str">
        <f>"1180014E00256    00"</f>
        <v>1180014E00256    00</v>
      </c>
      <c r="B11604" t="s">
        <v>25666</v>
      </c>
      <c r="C11604" t="s">
        <v>25600</v>
      </c>
      <c r="D11604" t="s">
        <v>20</v>
      </c>
      <c r="E11604" t="s">
        <v>39</v>
      </c>
      <c r="F11604">
        <v>0</v>
      </c>
      <c r="G11604">
        <v>0</v>
      </c>
      <c r="H11604">
        <v>19</v>
      </c>
      <c r="I11604" s="3">
        <v>3750.31</v>
      </c>
      <c r="J11604" s="3">
        <v>5021.47</v>
      </c>
      <c r="L11604">
        <v>616</v>
      </c>
      <c r="M11604" t="s">
        <v>25667</v>
      </c>
      <c r="N11604" t="s">
        <v>30</v>
      </c>
      <c r="O11604" t="s">
        <v>31</v>
      </c>
      <c r="P11604" t="str">
        <f>"15210"</f>
        <v>15210</v>
      </c>
    </row>
    <row r="11605" spans="1:16" x14ac:dyDescent="0.25">
      <c r="A11605" t="str">
        <f>"1180014E00258    00"</f>
        <v>1180014E00258    00</v>
      </c>
      <c r="B11605" t="s">
        <v>25668</v>
      </c>
      <c r="C11605" t="s">
        <v>25600</v>
      </c>
      <c r="D11605" t="s">
        <v>20</v>
      </c>
      <c r="E11605" t="s">
        <v>39</v>
      </c>
      <c r="F11605">
        <v>0</v>
      </c>
      <c r="G11605">
        <v>0</v>
      </c>
      <c r="H11605">
        <v>17</v>
      </c>
      <c r="I11605" s="3">
        <v>152.36000000000001</v>
      </c>
      <c r="J11605" s="3">
        <v>159.4</v>
      </c>
      <c r="K11605" t="s">
        <v>1008</v>
      </c>
      <c r="P11605" t="str">
        <f>""</f>
        <v/>
      </c>
    </row>
    <row r="11606" spans="1:16" x14ac:dyDescent="0.25">
      <c r="A11606" t="str">
        <f>"1180014E00264    00"</f>
        <v>1180014E00264    00</v>
      </c>
      <c r="B11606" t="s">
        <v>25669</v>
      </c>
      <c r="C11606" t="s">
        <v>25670</v>
      </c>
      <c r="D11606" t="s">
        <v>20</v>
      </c>
      <c r="E11606" t="s">
        <v>39</v>
      </c>
      <c r="F11606">
        <v>0</v>
      </c>
      <c r="G11606">
        <v>0</v>
      </c>
      <c r="H11606">
        <v>1</v>
      </c>
      <c r="I11606" s="3">
        <v>432.68</v>
      </c>
      <c r="J11606" s="3">
        <v>0</v>
      </c>
      <c r="K11606" t="s">
        <v>445</v>
      </c>
      <c r="L11606">
        <v>1</v>
      </c>
      <c r="M11606" t="s">
        <v>1163</v>
      </c>
      <c r="N11606" t="s">
        <v>1164</v>
      </c>
      <c r="O11606" t="s">
        <v>108</v>
      </c>
      <c r="P11606" t="str">
        <f>"76262"</f>
        <v>76262</v>
      </c>
    </row>
    <row r="11607" spans="1:16" x14ac:dyDescent="0.25">
      <c r="A11607" t="str">
        <f>"1180014E00276    00"</f>
        <v>1180014E00276    00</v>
      </c>
      <c r="B11607" t="s">
        <v>25671</v>
      </c>
      <c r="C11607" t="s">
        <v>25672</v>
      </c>
      <c r="D11607" t="s">
        <v>20</v>
      </c>
      <c r="E11607" t="s">
        <v>39</v>
      </c>
      <c r="F11607">
        <v>0</v>
      </c>
      <c r="G11607">
        <v>0</v>
      </c>
      <c r="H11607">
        <v>2</v>
      </c>
      <c r="I11607" s="3">
        <v>1312.39</v>
      </c>
      <c r="J11607" s="3">
        <v>179.02</v>
      </c>
      <c r="K11607" t="s">
        <v>25673</v>
      </c>
      <c r="L11607">
        <v>3030</v>
      </c>
      <c r="M11607" t="s">
        <v>25674</v>
      </c>
      <c r="N11607" t="s">
        <v>30</v>
      </c>
      <c r="O11607" t="s">
        <v>31</v>
      </c>
      <c r="P11607" t="str">
        <f>"15227"</f>
        <v>15227</v>
      </c>
    </row>
    <row r="11608" spans="1:16" x14ac:dyDescent="0.25">
      <c r="A11608" t="str">
        <f>"1180014E00284    00"</f>
        <v>1180014E00284    00</v>
      </c>
      <c r="B11608" t="s">
        <v>25675</v>
      </c>
      <c r="C11608" t="s">
        <v>25676</v>
      </c>
      <c r="D11608" t="s">
        <v>20</v>
      </c>
      <c r="E11608" t="s">
        <v>39</v>
      </c>
      <c r="F11608">
        <v>0</v>
      </c>
      <c r="G11608">
        <v>0</v>
      </c>
      <c r="H11608">
        <v>1</v>
      </c>
      <c r="I11608" s="3">
        <v>51.99</v>
      </c>
      <c r="J11608" s="3">
        <v>0</v>
      </c>
      <c r="L11608">
        <v>400</v>
      </c>
      <c r="M11608" t="s">
        <v>23888</v>
      </c>
      <c r="N11608" t="s">
        <v>30</v>
      </c>
      <c r="O11608" t="s">
        <v>31</v>
      </c>
      <c r="P11608" t="str">
        <f>"15210"</f>
        <v>15210</v>
      </c>
    </row>
    <row r="11609" spans="1:16" x14ac:dyDescent="0.25">
      <c r="A11609" t="str">
        <f>"1180014E00288    00"</f>
        <v>1180014E00288    00</v>
      </c>
      <c r="B11609" t="s">
        <v>25677</v>
      </c>
      <c r="C11609" t="s">
        <v>25678</v>
      </c>
      <c r="D11609" t="s">
        <v>20</v>
      </c>
      <c r="E11609" t="s">
        <v>39</v>
      </c>
      <c r="F11609">
        <v>0</v>
      </c>
      <c r="G11609">
        <v>0</v>
      </c>
      <c r="H11609">
        <v>17</v>
      </c>
      <c r="I11609" s="3">
        <v>427.74</v>
      </c>
      <c r="J11609" s="3">
        <v>575.44000000000005</v>
      </c>
      <c r="K11609" t="s">
        <v>25679</v>
      </c>
      <c r="L11609">
        <v>709</v>
      </c>
      <c r="M11609" t="s">
        <v>25680</v>
      </c>
      <c r="N11609" t="s">
        <v>30</v>
      </c>
      <c r="O11609" t="s">
        <v>31</v>
      </c>
      <c r="P11609" t="str">
        <f>"15210"</f>
        <v>15210</v>
      </c>
    </row>
    <row r="11610" spans="1:16" x14ac:dyDescent="0.25">
      <c r="A11610" t="str">
        <f>"1180014E00297    00"</f>
        <v>1180014E00297    00</v>
      </c>
      <c r="B11610" t="s">
        <v>25681</v>
      </c>
      <c r="C11610" t="s">
        <v>25682</v>
      </c>
      <c r="D11610" t="s">
        <v>20</v>
      </c>
      <c r="E11610" t="s">
        <v>39</v>
      </c>
      <c r="F11610">
        <v>0</v>
      </c>
      <c r="G11610">
        <v>0</v>
      </c>
      <c r="H11610">
        <v>4</v>
      </c>
      <c r="I11610" s="3">
        <v>3033.43</v>
      </c>
      <c r="J11610" s="3">
        <v>815.58</v>
      </c>
      <c r="L11610">
        <v>319</v>
      </c>
      <c r="M11610" t="s">
        <v>23888</v>
      </c>
      <c r="N11610" t="s">
        <v>30</v>
      </c>
      <c r="O11610" t="s">
        <v>31</v>
      </c>
      <c r="P11610" t="str">
        <f>"15210"</f>
        <v>15210</v>
      </c>
    </row>
    <row r="11611" spans="1:16" x14ac:dyDescent="0.25">
      <c r="A11611" t="str">
        <f>"1180014E00302    00"</f>
        <v>1180014E00302    00</v>
      </c>
      <c r="B11611" t="s">
        <v>25683</v>
      </c>
      <c r="C11611" t="s">
        <v>25655</v>
      </c>
      <c r="D11611" t="s">
        <v>20</v>
      </c>
      <c r="E11611" t="s">
        <v>39</v>
      </c>
      <c r="F11611">
        <v>0</v>
      </c>
      <c r="G11611">
        <v>0</v>
      </c>
      <c r="H11611">
        <v>14</v>
      </c>
      <c r="I11611" s="3">
        <v>1616.05</v>
      </c>
      <c r="J11611" s="3">
        <v>1780.15</v>
      </c>
      <c r="L11611">
        <v>222</v>
      </c>
      <c r="M11611" t="s">
        <v>1232</v>
      </c>
      <c r="N11611" t="s">
        <v>30</v>
      </c>
      <c r="O11611" t="s">
        <v>31</v>
      </c>
      <c r="P11611" t="str">
        <f>"15219"</f>
        <v>15219</v>
      </c>
    </row>
    <row r="11612" spans="1:16" x14ac:dyDescent="0.25">
      <c r="A11612" t="str">
        <f>"1180014E00303    00"</f>
        <v>1180014E00303    00</v>
      </c>
      <c r="B11612" t="s">
        <v>25683</v>
      </c>
      <c r="C11612" t="s">
        <v>25655</v>
      </c>
      <c r="D11612" t="s">
        <v>20</v>
      </c>
      <c r="E11612" t="s">
        <v>39</v>
      </c>
      <c r="F11612">
        <v>0</v>
      </c>
      <c r="G11612">
        <v>0</v>
      </c>
      <c r="H11612">
        <v>11</v>
      </c>
      <c r="I11612" s="3">
        <v>2297.17</v>
      </c>
      <c r="J11612" s="3">
        <v>2060.7600000000002</v>
      </c>
      <c r="L11612">
        <v>222</v>
      </c>
      <c r="M11612" t="s">
        <v>1232</v>
      </c>
      <c r="N11612" t="s">
        <v>30</v>
      </c>
      <c r="O11612" t="s">
        <v>31</v>
      </c>
      <c r="P11612" t="str">
        <f>"15219"</f>
        <v>15219</v>
      </c>
    </row>
    <row r="11613" spans="1:16" x14ac:dyDescent="0.25">
      <c r="A11613" t="str">
        <f>"1180014F00006    00"</f>
        <v>1180014F00006    00</v>
      </c>
      <c r="B11613" t="s">
        <v>25684</v>
      </c>
      <c r="C11613" t="s">
        <v>25685</v>
      </c>
      <c r="D11613" t="s">
        <v>20</v>
      </c>
      <c r="E11613" t="s">
        <v>39</v>
      </c>
      <c r="F11613">
        <v>0</v>
      </c>
      <c r="G11613">
        <v>0</v>
      </c>
      <c r="H11613">
        <v>4</v>
      </c>
      <c r="I11613" s="3">
        <v>1617.57</v>
      </c>
      <c r="J11613" s="3">
        <v>191.08</v>
      </c>
      <c r="L11613">
        <v>3225</v>
      </c>
      <c r="M11613" t="s">
        <v>25686</v>
      </c>
      <c r="N11613" t="s">
        <v>1320</v>
      </c>
      <c r="O11613" t="s">
        <v>1321</v>
      </c>
      <c r="P11613" t="str">
        <f>"89121"</f>
        <v>89121</v>
      </c>
    </row>
    <row r="11614" spans="1:16" x14ac:dyDescent="0.25">
      <c r="A11614" t="str">
        <f>"1180014F00012    00"</f>
        <v>1180014F00012    00</v>
      </c>
      <c r="B11614" t="s">
        <v>25687</v>
      </c>
      <c r="C11614" t="s">
        <v>25688</v>
      </c>
      <c r="D11614" t="s">
        <v>20</v>
      </c>
      <c r="E11614" t="s">
        <v>39</v>
      </c>
      <c r="F11614">
        <v>0</v>
      </c>
      <c r="G11614">
        <v>0</v>
      </c>
      <c r="H11614">
        <v>19</v>
      </c>
      <c r="I11614" s="3">
        <v>270.16000000000003</v>
      </c>
      <c r="J11614" s="3">
        <v>278.52</v>
      </c>
      <c r="L11614">
        <v>1016</v>
      </c>
      <c r="M11614" t="s">
        <v>23227</v>
      </c>
      <c r="N11614" t="s">
        <v>30</v>
      </c>
      <c r="O11614" t="s">
        <v>31</v>
      </c>
      <c r="P11614" t="str">
        <f>"15210"</f>
        <v>15210</v>
      </c>
    </row>
    <row r="11615" spans="1:16" x14ac:dyDescent="0.25">
      <c r="A11615" t="str">
        <f>"1180014F00020    00"</f>
        <v>1180014F00020    00</v>
      </c>
      <c r="B11615" t="s">
        <v>25689</v>
      </c>
      <c r="C11615" t="s">
        <v>25690</v>
      </c>
      <c r="D11615" t="s">
        <v>20</v>
      </c>
      <c r="E11615" t="s">
        <v>39</v>
      </c>
      <c r="F11615">
        <v>0</v>
      </c>
      <c r="G11615">
        <v>0</v>
      </c>
      <c r="H11615">
        <v>15</v>
      </c>
      <c r="I11615" s="3">
        <v>12700.84</v>
      </c>
      <c r="J11615" s="3">
        <v>5420.67</v>
      </c>
      <c r="K11615" t="s">
        <v>25691</v>
      </c>
      <c r="L11615">
        <v>128</v>
      </c>
      <c r="M11615" t="s">
        <v>22857</v>
      </c>
      <c r="N11615" t="s">
        <v>30</v>
      </c>
      <c r="O11615" t="s">
        <v>31</v>
      </c>
      <c r="P11615" t="str">
        <f>"15203"</f>
        <v>15203</v>
      </c>
    </row>
    <row r="11616" spans="1:16" x14ac:dyDescent="0.25">
      <c r="A11616" t="str">
        <f>"1180014F00024    00"</f>
        <v>1180014F00024    00</v>
      </c>
      <c r="B11616" t="s">
        <v>25692</v>
      </c>
      <c r="C11616" t="s">
        <v>25688</v>
      </c>
      <c r="D11616" t="s">
        <v>20</v>
      </c>
      <c r="E11616" t="s">
        <v>39</v>
      </c>
      <c r="F11616">
        <v>0</v>
      </c>
      <c r="G11616">
        <v>0</v>
      </c>
      <c r="H11616">
        <v>14</v>
      </c>
      <c r="I11616" s="3">
        <v>3845</v>
      </c>
      <c r="J11616" s="3">
        <v>5602.95</v>
      </c>
      <c r="P11616" t="str">
        <f>""</f>
        <v/>
      </c>
    </row>
    <row r="11617" spans="1:16" x14ac:dyDescent="0.25">
      <c r="A11617" t="str">
        <f>"1180014F00038    00"</f>
        <v>1180014F00038    00</v>
      </c>
      <c r="B11617" t="s">
        <v>25693</v>
      </c>
      <c r="C11617" t="s">
        <v>25694</v>
      </c>
      <c r="D11617" t="s">
        <v>20</v>
      </c>
      <c r="E11617" t="s">
        <v>39</v>
      </c>
      <c r="F11617">
        <v>0</v>
      </c>
      <c r="G11617">
        <v>0</v>
      </c>
      <c r="H11617">
        <v>1</v>
      </c>
      <c r="I11617" s="3">
        <v>43.68</v>
      </c>
      <c r="J11617" s="3">
        <v>0</v>
      </c>
      <c r="M11617" t="s">
        <v>25695</v>
      </c>
      <c r="N11617" t="s">
        <v>30</v>
      </c>
      <c r="O11617" t="s">
        <v>31</v>
      </c>
      <c r="P11617" t="str">
        <f>"15210"</f>
        <v>15210</v>
      </c>
    </row>
    <row r="11618" spans="1:16" x14ac:dyDescent="0.25">
      <c r="A11618" t="str">
        <f>"1180014F00041    00"</f>
        <v>1180014F00041    00</v>
      </c>
      <c r="B11618" t="s">
        <v>25696</v>
      </c>
      <c r="C11618" t="s">
        <v>25697</v>
      </c>
      <c r="D11618" t="s">
        <v>20</v>
      </c>
      <c r="E11618" t="s">
        <v>39</v>
      </c>
      <c r="F11618">
        <v>0</v>
      </c>
      <c r="G11618">
        <v>0</v>
      </c>
      <c r="H11618">
        <v>2</v>
      </c>
      <c r="I11618" s="3">
        <v>264.70999999999998</v>
      </c>
      <c r="J11618" s="3">
        <v>0</v>
      </c>
      <c r="L11618">
        <v>329</v>
      </c>
      <c r="M11618" t="s">
        <v>13616</v>
      </c>
      <c r="N11618" t="s">
        <v>30</v>
      </c>
      <c r="O11618" t="s">
        <v>31</v>
      </c>
      <c r="P11618" t="str">
        <f>"15236"</f>
        <v>15236</v>
      </c>
    </row>
    <row r="11619" spans="1:16" x14ac:dyDescent="0.25">
      <c r="A11619" t="str">
        <f>"1180014F00042    00"</f>
        <v>1180014F00042    00</v>
      </c>
      <c r="B11619" t="s">
        <v>25698</v>
      </c>
      <c r="C11619" t="s">
        <v>25699</v>
      </c>
      <c r="D11619" t="s">
        <v>20</v>
      </c>
      <c r="E11619" t="s">
        <v>39</v>
      </c>
      <c r="F11619">
        <v>0</v>
      </c>
      <c r="G11619">
        <v>0</v>
      </c>
      <c r="H11619">
        <v>4</v>
      </c>
      <c r="I11619" s="3">
        <v>587.97</v>
      </c>
      <c r="J11619" s="3">
        <v>72.13</v>
      </c>
      <c r="L11619">
        <v>127</v>
      </c>
      <c r="M11619" t="s">
        <v>25700</v>
      </c>
      <c r="N11619" t="s">
        <v>30</v>
      </c>
      <c r="O11619" t="s">
        <v>31</v>
      </c>
      <c r="P11619" t="str">
        <f>"15210"</f>
        <v>15210</v>
      </c>
    </row>
    <row r="11620" spans="1:16" x14ac:dyDescent="0.25">
      <c r="A11620" t="str">
        <f>"1180014F00043    00"</f>
        <v>1180014F00043    00</v>
      </c>
      <c r="B11620" t="s">
        <v>25698</v>
      </c>
      <c r="C11620" t="s">
        <v>25701</v>
      </c>
      <c r="D11620" t="s">
        <v>20</v>
      </c>
      <c r="E11620" t="s">
        <v>39</v>
      </c>
      <c r="F11620">
        <v>0</v>
      </c>
      <c r="G11620">
        <v>0</v>
      </c>
      <c r="H11620">
        <v>4</v>
      </c>
      <c r="I11620" s="3">
        <v>1921.33</v>
      </c>
      <c r="J11620" s="3">
        <v>226.97</v>
      </c>
      <c r="L11620">
        <v>127</v>
      </c>
      <c r="M11620" t="s">
        <v>25700</v>
      </c>
      <c r="N11620" t="s">
        <v>30</v>
      </c>
      <c r="O11620" t="s">
        <v>31</v>
      </c>
      <c r="P11620" t="str">
        <f>"15210"</f>
        <v>15210</v>
      </c>
    </row>
    <row r="11621" spans="1:16" x14ac:dyDescent="0.25">
      <c r="A11621" t="str">
        <f>"1180014F00051    00"</f>
        <v>1180014F00051    00</v>
      </c>
      <c r="B11621" t="s">
        <v>25702</v>
      </c>
      <c r="C11621" t="s">
        <v>25703</v>
      </c>
      <c r="D11621" t="s">
        <v>20</v>
      </c>
      <c r="E11621" t="s">
        <v>39</v>
      </c>
      <c r="F11621">
        <v>0</v>
      </c>
      <c r="G11621">
        <v>0</v>
      </c>
      <c r="H11621">
        <v>1</v>
      </c>
      <c r="I11621" s="3">
        <v>314.5</v>
      </c>
      <c r="J11621" s="3">
        <v>0</v>
      </c>
      <c r="L11621">
        <v>215</v>
      </c>
      <c r="M11621" t="s">
        <v>25700</v>
      </c>
      <c r="N11621" t="s">
        <v>30</v>
      </c>
      <c r="O11621" t="s">
        <v>31</v>
      </c>
      <c r="P11621" t="str">
        <f>"15210"</f>
        <v>15210</v>
      </c>
    </row>
    <row r="11622" spans="1:16" x14ac:dyDescent="0.25">
      <c r="A11622" t="str">
        <f>"1180014F00052    00"</f>
        <v>1180014F00052    00</v>
      </c>
      <c r="B11622" t="s">
        <v>25704</v>
      </c>
      <c r="C11622" t="s">
        <v>25703</v>
      </c>
      <c r="D11622" t="s">
        <v>20</v>
      </c>
      <c r="E11622" t="s">
        <v>39</v>
      </c>
      <c r="F11622">
        <v>0</v>
      </c>
      <c r="G11622">
        <v>0</v>
      </c>
      <c r="H11622">
        <v>2</v>
      </c>
      <c r="I11622" s="3">
        <v>629</v>
      </c>
      <c r="J11622" s="3">
        <v>0</v>
      </c>
      <c r="K11622" t="s">
        <v>25705</v>
      </c>
      <c r="L11622">
        <v>215</v>
      </c>
      <c r="M11622" t="s">
        <v>25700</v>
      </c>
      <c r="N11622" t="s">
        <v>30</v>
      </c>
      <c r="O11622" t="s">
        <v>31</v>
      </c>
      <c r="P11622" t="str">
        <f>"15210"</f>
        <v>15210</v>
      </c>
    </row>
    <row r="11623" spans="1:16" x14ac:dyDescent="0.25">
      <c r="A11623" t="str">
        <f>"1180014F00054    00"</f>
        <v>1180014F00054    00</v>
      </c>
      <c r="B11623" t="s">
        <v>25706</v>
      </c>
      <c r="C11623" t="s">
        <v>25707</v>
      </c>
      <c r="D11623" t="s">
        <v>20</v>
      </c>
      <c r="E11623" t="s">
        <v>39</v>
      </c>
      <c r="F11623">
        <v>0</v>
      </c>
      <c r="G11623">
        <v>0</v>
      </c>
      <c r="H11623">
        <v>11</v>
      </c>
      <c r="I11623" s="3">
        <v>5612.48</v>
      </c>
      <c r="J11623" s="3">
        <v>796.12</v>
      </c>
      <c r="L11623">
        <v>328</v>
      </c>
      <c r="M11623" t="s">
        <v>25448</v>
      </c>
      <c r="N11623" t="s">
        <v>30</v>
      </c>
      <c r="O11623" t="s">
        <v>31</v>
      </c>
      <c r="P11623" t="str">
        <f>"15210"</f>
        <v>15210</v>
      </c>
    </row>
    <row r="11624" spans="1:16" x14ac:dyDescent="0.25">
      <c r="A11624" t="str">
        <f>"1180014F00058    00"</f>
        <v>1180014F00058    00</v>
      </c>
      <c r="B11624" t="s">
        <v>25708</v>
      </c>
      <c r="C11624" t="s">
        <v>25709</v>
      </c>
      <c r="D11624" t="s">
        <v>20</v>
      </c>
      <c r="E11624" t="s">
        <v>39</v>
      </c>
      <c r="F11624">
        <v>0</v>
      </c>
      <c r="G11624">
        <v>0</v>
      </c>
      <c r="H11624">
        <v>3</v>
      </c>
      <c r="I11624" s="3">
        <v>1835.49</v>
      </c>
      <c r="J11624" s="3">
        <v>122.36</v>
      </c>
      <c r="L11624">
        <v>239</v>
      </c>
      <c r="M11624" t="s">
        <v>4730</v>
      </c>
      <c r="N11624" t="s">
        <v>30</v>
      </c>
      <c r="O11624" t="s">
        <v>31</v>
      </c>
      <c r="P11624" t="str">
        <f>"15222"</f>
        <v>15222</v>
      </c>
    </row>
    <row r="11625" spans="1:16" x14ac:dyDescent="0.25">
      <c r="A11625" t="str">
        <f>"1180014F00086    00"</f>
        <v>1180014F00086    00</v>
      </c>
      <c r="B11625" t="s">
        <v>25710</v>
      </c>
      <c r="C11625" t="s">
        <v>25443</v>
      </c>
      <c r="D11625" t="s">
        <v>20</v>
      </c>
      <c r="E11625" t="s">
        <v>39</v>
      </c>
      <c r="F11625">
        <v>0</v>
      </c>
      <c r="G11625">
        <v>0</v>
      </c>
      <c r="H11625">
        <v>19</v>
      </c>
      <c r="I11625" s="3">
        <v>1646.26</v>
      </c>
      <c r="J11625" s="3">
        <v>1708.89</v>
      </c>
      <c r="L11625">
        <v>633</v>
      </c>
      <c r="M11625" t="s">
        <v>25711</v>
      </c>
      <c r="N11625" t="s">
        <v>25712</v>
      </c>
      <c r="O11625" t="s">
        <v>370</v>
      </c>
      <c r="P11625" t="str">
        <f>"32534"</f>
        <v>32534</v>
      </c>
    </row>
    <row r="11626" spans="1:16" x14ac:dyDescent="0.25">
      <c r="A11626" t="str">
        <f>"1180014F00088    00"</f>
        <v>1180014F00088    00</v>
      </c>
      <c r="B11626" t="s">
        <v>25713</v>
      </c>
      <c r="C11626" t="s">
        <v>25714</v>
      </c>
      <c r="D11626" t="s">
        <v>20</v>
      </c>
      <c r="E11626" t="s">
        <v>39</v>
      </c>
      <c r="F11626">
        <v>0</v>
      </c>
      <c r="G11626">
        <v>0</v>
      </c>
      <c r="H11626">
        <v>13</v>
      </c>
      <c r="I11626" s="3">
        <v>10947.01</v>
      </c>
      <c r="J11626" s="3">
        <v>6040.35</v>
      </c>
      <c r="L11626">
        <v>222</v>
      </c>
      <c r="M11626" t="s">
        <v>25715</v>
      </c>
      <c r="N11626" t="s">
        <v>30</v>
      </c>
      <c r="O11626" t="s">
        <v>31</v>
      </c>
      <c r="P11626" t="str">
        <f t="shared" ref="P11626:P11632" si="134">"15210"</f>
        <v>15210</v>
      </c>
    </row>
    <row r="11627" spans="1:16" x14ac:dyDescent="0.25">
      <c r="A11627" t="str">
        <f>"1180014F00099    00"</f>
        <v>1180014F00099    00</v>
      </c>
      <c r="B11627" t="s">
        <v>25716</v>
      </c>
      <c r="C11627" t="s">
        <v>25717</v>
      </c>
      <c r="D11627" t="s">
        <v>20</v>
      </c>
      <c r="E11627" t="s">
        <v>39</v>
      </c>
      <c r="F11627">
        <v>0</v>
      </c>
      <c r="G11627">
        <v>0</v>
      </c>
      <c r="H11627">
        <v>1</v>
      </c>
      <c r="I11627" s="3">
        <v>587.04999999999995</v>
      </c>
      <c r="J11627" s="3">
        <v>0</v>
      </c>
      <c r="K11627" t="s">
        <v>25718</v>
      </c>
      <c r="L11627">
        <v>304</v>
      </c>
      <c r="M11627" t="s">
        <v>25082</v>
      </c>
      <c r="N11627" t="s">
        <v>30</v>
      </c>
      <c r="O11627" t="s">
        <v>31</v>
      </c>
      <c r="P11627" t="str">
        <f t="shared" si="134"/>
        <v>15210</v>
      </c>
    </row>
    <row r="11628" spans="1:16" x14ac:dyDescent="0.25">
      <c r="A11628" t="str">
        <f>"1180014F00156    00"</f>
        <v>1180014F00156    00</v>
      </c>
      <c r="B11628" t="s">
        <v>25719</v>
      </c>
      <c r="C11628" t="s">
        <v>25720</v>
      </c>
      <c r="D11628" t="s">
        <v>20</v>
      </c>
      <c r="E11628" t="s">
        <v>39</v>
      </c>
      <c r="F11628">
        <v>0</v>
      </c>
      <c r="G11628">
        <v>0</v>
      </c>
      <c r="H11628">
        <v>1</v>
      </c>
      <c r="I11628" s="3">
        <v>133.91999999999999</v>
      </c>
      <c r="J11628" s="3">
        <v>0</v>
      </c>
      <c r="L11628">
        <v>1223</v>
      </c>
      <c r="M11628" t="s">
        <v>3525</v>
      </c>
      <c r="N11628" t="s">
        <v>30</v>
      </c>
      <c r="O11628" t="s">
        <v>31</v>
      </c>
      <c r="P11628" t="str">
        <f t="shared" si="134"/>
        <v>15210</v>
      </c>
    </row>
    <row r="11629" spans="1:16" x14ac:dyDescent="0.25">
      <c r="A11629" t="str">
        <f>"1180014F00164    00"</f>
        <v>1180014F00164    00</v>
      </c>
      <c r="B11629" t="s">
        <v>25332</v>
      </c>
      <c r="C11629" t="s">
        <v>25721</v>
      </c>
      <c r="E11629" t="s">
        <v>39</v>
      </c>
      <c r="F11629">
        <v>0</v>
      </c>
      <c r="G11629">
        <v>0</v>
      </c>
      <c r="H11629">
        <v>1</v>
      </c>
      <c r="I11629" s="3">
        <v>598.96</v>
      </c>
      <c r="J11629" s="3">
        <v>294.48</v>
      </c>
      <c r="K11629" t="s">
        <v>25334</v>
      </c>
      <c r="L11629">
        <v>829</v>
      </c>
      <c r="M11629" t="s">
        <v>2475</v>
      </c>
      <c r="N11629" t="s">
        <v>30</v>
      </c>
      <c r="O11629" t="s">
        <v>31</v>
      </c>
      <c r="P11629" t="str">
        <f t="shared" si="134"/>
        <v>15210</v>
      </c>
    </row>
    <row r="11630" spans="1:16" x14ac:dyDescent="0.25">
      <c r="A11630" t="str">
        <f>"1180014F00174    00"</f>
        <v>1180014F00174    00</v>
      </c>
      <c r="B11630" t="s">
        <v>25722</v>
      </c>
      <c r="C11630" t="s">
        <v>25723</v>
      </c>
      <c r="D11630" t="s">
        <v>20</v>
      </c>
      <c r="E11630" t="s">
        <v>39</v>
      </c>
      <c r="F11630">
        <v>0</v>
      </c>
      <c r="G11630">
        <v>0</v>
      </c>
      <c r="H11630">
        <v>2</v>
      </c>
      <c r="I11630" s="3">
        <v>1540.1</v>
      </c>
      <c r="J11630" s="3">
        <v>0</v>
      </c>
      <c r="K11630" t="s">
        <v>25724</v>
      </c>
      <c r="L11630">
        <v>1306</v>
      </c>
      <c r="M11630" t="s">
        <v>3525</v>
      </c>
      <c r="N11630" t="s">
        <v>30</v>
      </c>
      <c r="O11630" t="s">
        <v>31</v>
      </c>
      <c r="P11630" t="str">
        <f t="shared" si="134"/>
        <v>15210</v>
      </c>
    </row>
    <row r="11631" spans="1:16" x14ac:dyDescent="0.25">
      <c r="A11631" t="str">
        <f>"1180014F00178    00"</f>
        <v>1180014F00178    00</v>
      </c>
      <c r="B11631" t="s">
        <v>25725</v>
      </c>
      <c r="C11631" t="s">
        <v>25726</v>
      </c>
      <c r="D11631" t="s">
        <v>20</v>
      </c>
      <c r="E11631" t="s">
        <v>39</v>
      </c>
      <c r="F11631">
        <v>0</v>
      </c>
      <c r="G11631">
        <v>0</v>
      </c>
      <c r="H11631">
        <v>17</v>
      </c>
      <c r="I11631" s="3">
        <v>3999.51</v>
      </c>
      <c r="J11631" s="3">
        <v>5306.92</v>
      </c>
      <c r="L11631">
        <v>713</v>
      </c>
      <c r="M11631" t="s">
        <v>2737</v>
      </c>
      <c r="N11631" t="s">
        <v>30</v>
      </c>
      <c r="O11631" t="s">
        <v>31</v>
      </c>
      <c r="P11631" t="str">
        <f t="shared" si="134"/>
        <v>15210</v>
      </c>
    </row>
    <row r="11632" spans="1:16" x14ac:dyDescent="0.25">
      <c r="A11632" t="str">
        <f>"1180014F00181    00"</f>
        <v>1180014F00181    00</v>
      </c>
      <c r="B11632" t="s">
        <v>25727</v>
      </c>
      <c r="C11632" t="s">
        <v>25728</v>
      </c>
      <c r="D11632" t="s">
        <v>20</v>
      </c>
      <c r="E11632" t="s">
        <v>39</v>
      </c>
      <c r="F11632">
        <v>0</v>
      </c>
      <c r="G11632">
        <v>0</v>
      </c>
      <c r="H11632">
        <v>12</v>
      </c>
      <c r="I11632" s="3">
        <v>2534.87</v>
      </c>
      <c r="J11632" s="3">
        <v>2410.19</v>
      </c>
      <c r="L11632">
        <v>841</v>
      </c>
      <c r="M11632" t="s">
        <v>25729</v>
      </c>
      <c r="N11632" t="s">
        <v>30</v>
      </c>
      <c r="O11632" t="s">
        <v>31</v>
      </c>
      <c r="P11632" t="str">
        <f t="shared" si="134"/>
        <v>15210</v>
      </c>
    </row>
    <row r="11633" spans="1:16" x14ac:dyDescent="0.25">
      <c r="A11633" t="str">
        <f>"1180014F00191    00"</f>
        <v>1180014F00191    00</v>
      </c>
      <c r="B11633" t="s">
        <v>25730</v>
      </c>
      <c r="C11633" t="s">
        <v>25726</v>
      </c>
      <c r="D11633" t="s">
        <v>20</v>
      </c>
      <c r="E11633" t="s">
        <v>39</v>
      </c>
      <c r="F11633">
        <v>0</v>
      </c>
      <c r="G11633">
        <v>0</v>
      </c>
      <c r="H11633">
        <v>17</v>
      </c>
      <c r="I11633" s="3">
        <v>152.36000000000001</v>
      </c>
      <c r="J11633" s="3">
        <v>159.4</v>
      </c>
      <c r="L11633">
        <v>3009</v>
      </c>
      <c r="M11633" t="s">
        <v>25731</v>
      </c>
      <c r="N11633" t="s">
        <v>30</v>
      </c>
      <c r="O11633" t="s">
        <v>31</v>
      </c>
      <c r="P11633" t="str">
        <f>"15234"</f>
        <v>15234</v>
      </c>
    </row>
    <row r="11634" spans="1:16" x14ac:dyDescent="0.25">
      <c r="A11634" t="str">
        <f>"1180014F00195    00"</f>
        <v>1180014F00195    00</v>
      </c>
      <c r="B11634" t="s">
        <v>25732</v>
      </c>
      <c r="C11634" t="s">
        <v>25733</v>
      </c>
      <c r="D11634" t="s">
        <v>20</v>
      </c>
      <c r="E11634" t="s">
        <v>39</v>
      </c>
      <c r="F11634">
        <v>0</v>
      </c>
      <c r="G11634">
        <v>0</v>
      </c>
      <c r="H11634">
        <v>10</v>
      </c>
      <c r="I11634" s="3">
        <v>3717.59</v>
      </c>
      <c r="J11634" s="3">
        <v>1591.76</v>
      </c>
      <c r="L11634">
        <v>715</v>
      </c>
      <c r="M11634" t="s">
        <v>25734</v>
      </c>
      <c r="N11634" t="s">
        <v>25735</v>
      </c>
      <c r="O11634" t="s">
        <v>31</v>
      </c>
      <c r="P11634" t="str">
        <f>"19401"</f>
        <v>19401</v>
      </c>
    </row>
    <row r="11635" spans="1:16" x14ac:dyDescent="0.25">
      <c r="A11635" t="str">
        <f>"1180014F00196    00"</f>
        <v>1180014F00196    00</v>
      </c>
      <c r="B11635" t="s">
        <v>23568</v>
      </c>
      <c r="C11635" t="s">
        <v>25736</v>
      </c>
      <c r="D11635" t="s">
        <v>20</v>
      </c>
      <c r="E11635" t="s">
        <v>39</v>
      </c>
      <c r="F11635">
        <v>0</v>
      </c>
      <c r="G11635">
        <v>0</v>
      </c>
      <c r="H11635">
        <v>2</v>
      </c>
      <c r="I11635" s="3">
        <v>569.51</v>
      </c>
      <c r="J11635" s="3">
        <v>0</v>
      </c>
      <c r="L11635">
        <v>629</v>
      </c>
      <c r="M11635" t="s">
        <v>23497</v>
      </c>
      <c r="N11635" t="s">
        <v>30</v>
      </c>
      <c r="O11635" t="s">
        <v>31</v>
      </c>
      <c r="P11635" t="str">
        <f>"15211"</f>
        <v>15211</v>
      </c>
    </row>
    <row r="11636" spans="1:16" x14ac:dyDescent="0.25">
      <c r="A11636" t="str">
        <f>"1180014F00199    00"</f>
        <v>1180014F00199    00</v>
      </c>
      <c r="B11636" t="s">
        <v>25737</v>
      </c>
      <c r="C11636" t="s">
        <v>25738</v>
      </c>
      <c r="E11636" t="s">
        <v>39</v>
      </c>
      <c r="F11636">
        <v>0</v>
      </c>
      <c r="G11636">
        <v>0</v>
      </c>
      <c r="H11636">
        <v>1</v>
      </c>
      <c r="I11636" s="3">
        <v>348.25</v>
      </c>
      <c r="J11636" s="3">
        <v>11.61</v>
      </c>
      <c r="K11636" t="s">
        <v>25739</v>
      </c>
      <c r="L11636">
        <v>1321</v>
      </c>
      <c r="M11636" t="s">
        <v>25740</v>
      </c>
      <c r="N11636" t="s">
        <v>30</v>
      </c>
      <c r="O11636" t="s">
        <v>31</v>
      </c>
      <c r="P11636" t="str">
        <f>"15207"</f>
        <v>15207</v>
      </c>
    </row>
    <row r="11637" spans="1:16" x14ac:dyDescent="0.25">
      <c r="A11637" t="str">
        <f>"1180014F00205    00"</f>
        <v>1180014F00205    00</v>
      </c>
      <c r="B11637" t="s">
        <v>25283</v>
      </c>
      <c r="C11637" t="s">
        <v>25443</v>
      </c>
      <c r="E11637" t="s">
        <v>21</v>
      </c>
      <c r="F11637">
        <v>0</v>
      </c>
      <c r="G11637">
        <v>0</v>
      </c>
      <c r="H11637">
        <v>11</v>
      </c>
      <c r="I11637" s="3">
        <v>11843.61</v>
      </c>
      <c r="J11637" s="3">
        <v>14617.27</v>
      </c>
      <c r="K11637" t="s">
        <v>23554</v>
      </c>
      <c r="L11637">
        <v>829</v>
      </c>
      <c r="M11637" t="s">
        <v>2475</v>
      </c>
      <c r="N11637" t="s">
        <v>30</v>
      </c>
      <c r="O11637" t="s">
        <v>31</v>
      </c>
      <c r="P11637" t="str">
        <f>"15210"</f>
        <v>15210</v>
      </c>
    </row>
    <row r="11638" spans="1:16" x14ac:dyDescent="0.25">
      <c r="A11638" t="str">
        <f>"1180014F00210    00"</f>
        <v>1180014F00210    00</v>
      </c>
      <c r="B11638" t="s">
        <v>25741</v>
      </c>
      <c r="C11638" t="s">
        <v>25742</v>
      </c>
      <c r="D11638" t="s">
        <v>20</v>
      </c>
      <c r="E11638" t="s">
        <v>21</v>
      </c>
      <c r="F11638">
        <v>0</v>
      </c>
      <c r="G11638">
        <v>0</v>
      </c>
      <c r="H11638">
        <v>4</v>
      </c>
      <c r="I11638" s="3">
        <v>129.74</v>
      </c>
      <c r="J11638" s="3">
        <v>15.98</v>
      </c>
      <c r="L11638">
        <v>2160</v>
      </c>
      <c r="M11638" t="s">
        <v>25743</v>
      </c>
      <c r="N11638" t="s">
        <v>546</v>
      </c>
      <c r="O11638" t="s">
        <v>31</v>
      </c>
      <c r="P11638" t="str">
        <f>"15044"</f>
        <v>15044</v>
      </c>
    </row>
    <row r="11639" spans="1:16" x14ac:dyDescent="0.25">
      <c r="A11639" t="str">
        <f>"1180014F00234    00"</f>
        <v>1180014F00234    00</v>
      </c>
      <c r="B11639" t="s">
        <v>25744</v>
      </c>
      <c r="C11639" t="s">
        <v>25745</v>
      </c>
      <c r="D11639" t="s">
        <v>20</v>
      </c>
      <c r="E11639" t="s">
        <v>39</v>
      </c>
      <c r="F11639">
        <v>0</v>
      </c>
      <c r="G11639">
        <v>0</v>
      </c>
      <c r="H11639">
        <v>2</v>
      </c>
      <c r="I11639" s="3">
        <v>884.4</v>
      </c>
      <c r="J11639" s="3">
        <v>0</v>
      </c>
      <c r="L11639">
        <v>1808</v>
      </c>
      <c r="M11639" t="s">
        <v>23668</v>
      </c>
      <c r="N11639" t="s">
        <v>30</v>
      </c>
      <c r="O11639" t="s">
        <v>31</v>
      </c>
      <c r="P11639" t="str">
        <f>"15203"</f>
        <v>15203</v>
      </c>
    </row>
    <row r="11640" spans="1:16" x14ac:dyDescent="0.25">
      <c r="A11640" t="str">
        <f>"1180014F00240    00"</f>
        <v>1180014F00240    00</v>
      </c>
      <c r="B11640" t="s">
        <v>25746</v>
      </c>
      <c r="C11640" t="s">
        <v>25747</v>
      </c>
      <c r="D11640" t="s">
        <v>20</v>
      </c>
      <c r="E11640" t="s">
        <v>39</v>
      </c>
      <c r="F11640">
        <v>0</v>
      </c>
      <c r="G11640">
        <v>0</v>
      </c>
      <c r="H11640">
        <v>19</v>
      </c>
      <c r="I11640" s="3">
        <v>8175.12</v>
      </c>
      <c r="J11640" s="3">
        <v>7533.96</v>
      </c>
      <c r="L11640">
        <v>415</v>
      </c>
      <c r="M11640" t="s">
        <v>23376</v>
      </c>
      <c r="N11640" t="s">
        <v>30</v>
      </c>
      <c r="O11640" t="s">
        <v>31</v>
      </c>
      <c r="P11640" t="str">
        <f t="shared" ref="P11640:P11645" si="135">"15210"</f>
        <v>15210</v>
      </c>
    </row>
    <row r="11641" spans="1:16" x14ac:dyDescent="0.25">
      <c r="A11641" t="str">
        <f>"1180014F00252    00"</f>
        <v>1180014F00252    00</v>
      </c>
      <c r="B11641" t="s">
        <v>25748</v>
      </c>
      <c r="C11641" t="s">
        <v>25749</v>
      </c>
      <c r="E11641" t="s">
        <v>39</v>
      </c>
      <c r="F11641">
        <v>0</v>
      </c>
      <c r="G11641">
        <v>0</v>
      </c>
      <c r="H11641">
        <v>4</v>
      </c>
      <c r="I11641" s="3">
        <v>1216.1199999999999</v>
      </c>
      <c r="J11641" s="3">
        <v>2008.39</v>
      </c>
      <c r="L11641">
        <v>859</v>
      </c>
      <c r="M11641" t="s">
        <v>25667</v>
      </c>
      <c r="N11641" t="s">
        <v>30</v>
      </c>
      <c r="O11641" t="s">
        <v>31</v>
      </c>
      <c r="P11641" t="str">
        <f t="shared" si="135"/>
        <v>15210</v>
      </c>
    </row>
    <row r="11642" spans="1:16" x14ac:dyDescent="0.25">
      <c r="A11642" t="str">
        <f>"1180014F00254    00"</f>
        <v>1180014F00254    00</v>
      </c>
      <c r="B11642" t="s">
        <v>25750</v>
      </c>
      <c r="C11642" t="s">
        <v>25751</v>
      </c>
      <c r="D11642" t="s">
        <v>20</v>
      </c>
      <c r="E11642" t="s">
        <v>39</v>
      </c>
      <c r="F11642">
        <v>0</v>
      </c>
      <c r="G11642">
        <v>0</v>
      </c>
      <c r="H11642">
        <v>13</v>
      </c>
      <c r="I11642" s="3">
        <v>4794.71</v>
      </c>
      <c r="J11642" s="3">
        <v>2820.2</v>
      </c>
      <c r="L11642">
        <v>860</v>
      </c>
      <c r="M11642" t="s">
        <v>11789</v>
      </c>
      <c r="N11642" t="s">
        <v>30</v>
      </c>
      <c r="O11642" t="s">
        <v>31</v>
      </c>
      <c r="P11642" t="str">
        <f t="shared" si="135"/>
        <v>15210</v>
      </c>
    </row>
    <row r="11643" spans="1:16" x14ac:dyDescent="0.25">
      <c r="A11643" t="str">
        <f>"1180014F00256    00"</f>
        <v>1180014F00256    00</v>
      </c>
      <c r="B11643" t="s">
        <v>25752</v>
      </c>
      <c r="C11643" t="s">
        <v>25753</v>
      </c>
      <c r="D11643" t="s">
        <v>20</v>
      </c>
      <c r="E11643" t="s">
        <v>39</v>
      </c>
      <c r="F11643">
        <v>0</v>
      </c>
      <c r="G11643">
        <v>0</v>
      </c>
      <c r="H11643">
        <v>9</v>
      </c>
      <c r="I11643" s="3">
        <v>5371.32</v>
      </c>
      <c r="J11643" s="3">
        <v>3080.74</v>
      </c>
      <c r="L11643">
        <v>856</v>
      </c>
      <c r="M11643" t="s">
        <v>11789</v>
      </c>
      <c r="N11643" t="s">
        <v>30</v>
      </c>
      <c r="O11643" t="s">
        <v>31</v>
      </c>
      <c r="P11643" t="str">
        <f t="shared" si="135"/>
        <v>15210</v>
      </c>
    </row>
    <row r="11644" spans="1:16" x14ac:dyDescent="0.25">
      <c r="A11644" t="str">
        <f>"1180014F00256000200"</f>
        <v>1180014F00256000200</v>
      </c>
      <c r="B11644" t="s">
        <v>25752</v>
      </c>
      <c r="C11644" t="s">
        <v>25600</v>
      </c>
      <c r="D11644" t="s">
        <v>20</v>
      </c>
      <c r="E11644" t="s">
        <v>39</v>
      </c>
      <c r="F11644">
        <v>0</v>
      </c>
      <c r="G11644">
        <v>0</v>
      </c>
      <c r="H11644">
        <v>11</v>
      </c>
      <c r="I11644" s="3">
        <v>41.56</v>
      </c>
      <c r="J11644" s="3">
        <v>25.8</v>
      </c>
      <c r="M11644" t="s">
        <v>25754</v>
      </c>
      <c r="N11644" t="s">
        <v>30</v>
      </c>
      <c r="O11644" t="s">
        <v>31</v>
      </c>
      <c r="P11644" t="str">
        <f t="shared" si="135"/>
        <v>15210</v>
      </c>
    </row>
    <row r="11645" spans="1:16" x14ac:dyDescent="0.25">
      <c r="A11645" t="str">
        <f>"1180014F00257    00"</f>
        <v>1180014F00257    00</v>
      </c>
      <c r="B11645" t="s">
        <v>25755</v>
      </c>
      <c r="C11645" t="s">
        <v>25756</v>
      </c>
      <c r="D11645" t="s">
        <v>20</v>
      </c>
      <c r="E11645" t="s">
        <v>39</v>
      </c>
      <c r="F11645">
        <v>0</v>
      </c>
      <c r="G11645">
        <v>0</v>
      </c>
      <c r="H11645">
        <v>2</v>
      </c>
      <c r="I11645" s="3">
        <v>571.84</v>
      </c>
      <c r="J11645" s="3">
        <v>0</v>
      </c>
      <c r="K11645" t="s">
        <v>25757</v>
      </c>
      <c r="L11645">
        <v>854</v>
      </c>
      <c r="M11645" t="s">
        <v>11789</v>
      </c>
      <c r="N11645" t="s">
        <v>30</v>
      </c>
      <c r="O11645" t="s">
        <v>31</v>
      </c>
      <c r="P11645" t="str">
        <f t="shared" si="135"/>
        <v>15210</v>
      </c>
    </row>
    <row r="11646" spans="1:16" x14ac:dyDescent="0.25">
      <c r="A11646" t="str">
        <f>"1180014F00260    00"</f>
        <v>1180014F00260    00</v>
      </c>
      <c r="B11646" t="s">
        <v>25758</v>
      </c>
      <c r="C11646" t="s">
        <v>25759</v>
      </c>
      <c r="D11646" t="s">
        <v>20</v>
      </c>
      <c r="E11646" t="s">
        <v>39</v>
      </c>
      <c r="F11646">
        <v>0</v>
      </c>
      <c r="G11646">
        <v>0</v>
      </c>
      <c r="H11646">
        <v>12</v>
      </c>
      <c r="I11646" s="3">
        <v>4115.26</v>
      </c>
      <c r="J11646" s="3">
        <v>2164.65</v>
      </c>
      <c r="L11646">
        <v>5322</v>
      </c>
      <c r="M11646" t="s">
        <v>25760</v>
      </c>
      <c r="N11646" t="s">
        <v>30</v>
      </c>
      <c r="O11646" t="s">
        <v>31</v>
      </c>
      <c r="P11646" t="str">
        <f>"15236"</f>
        <v>15236</v>
      </c>
    </row>
    <row r="11647" spans="1:16" x14ac:dyDescent="0.25">
      <c r="A11647" t="str">
        <f>"1180014F00261    00"</f>
        <v>1180014F00261    00</v>
      </c>
      <c r="B11647" t="s">
        <v>23184</v>
      </c>
      <c r="C11647" t="s">
        <v>25761</v>
      </c>
      <c r="D11647" t="s">
        <v>20</v>
      </c>
      <c r="E11647" t="s">
        <v>39</v>
      </c>
      <c r="F11647">
        <v>0</v>
      </c>
      <c r="G11647">
        <v>0</v>
      </c>
      <c r="H11647">
        <v>17</v>
      </c>
      <c r="I11647" s="3">
        <v>6363.6</v>
      </c>
      <c r="J11647" s="3">
        <v>5023.12</v>
      </c>
      <c r="L11647">
        <v>4974</v>
      </c>
      <c r="M11647" t="s">
        <v>8048</v>
      </c>
      <c r="N11647" t="s">
        <v>30</v>
      </c>
      <c r="O11647" t="s">
        <v>31</v>
      </c>
      <c r="P11647" t="str">
        <f>"15236"</f>
        <v>15236</v>
      </c>
    </row>
    <row r="11648" spans="1:16" x14ac:dyDescent="0.25">
      <c r="A11648" t="str">
        <f>"1180014F00269    00"</f>
        <v>1180014F00269    00</v>
      </c>
      <c r="B11648" t="s">
        <v>25762</v>
      </c>
      <c r="C11648" t="s">
        <v>25763</v>
      </c>
      <c r="D11648" t="s">
        <v>20</v>
      </c>
      <c r="E11648" t="s">
        <v>39</v>
      </c>
      <c r="F11648">
        <v>0</v>
      </c>
      <c r="G11648">
        <v>0</v>
      </c>
      <c r="H11648">
        <v>17</v>
      </c>
      <c r="I11648" s="3">
        <v>2799.39</v>
      </c>
      <c r="J11648" s="3">
        <v>3369.88</v>
      </c>
      <c r="K11648" t="s">
        <v>25764</v>
      </c>
      <c r="L11648">
        <v>837</v>
      </c>
      <c r="M11648" t="s">
        <v>25667</v>
      </c>
      <c r="N11648" t="s">
        <v>30</v>
      </c>
      <c r="O11648" t="s">
        <v>31</v>
      </c>
      <c r="P11648" t="str">
        <f>"15210"</f>
        <v>15210</v>
      </c>
    </row>
    <row r="11649" spans="1:16" x14ac:dyDescent="0.25">
      <c r="A11649" t="str">
        <f>"1180014F00272    00"</f>
        <v>1180014F00272    00</v>
      </c>
      <c r="B11649" t="s">
        <v>25765</v>
      </c>
      <c r="C11649" t="s">
        <v>25766</v>
      </c>
      <c r="D11649" t="s">
        <v>20</v>
      </c>
      <c r="E11649" t="s">
        <v>39</v>
      </c>
      <c r="F11649">
        <v>0</v>
      </c>
      <c r="G11649">
        <v>0</v>
      </c>
      <c r="H11649">
        <v>14</v>
      </c>
      <c r="I11649" s="3">
        <v>9064.43</v>
      </c>
      <c r="J11649" s="3">
        <v>5864.57</v>
      </c>
      <c r="L11649">
        <v>2400</v>
      </c>
      <c r="M11649" t="s">
        <v>25767</v>
      </c>
      <c r="N11649" t="s">
        <v>3934</v>
      </c>
      <c r="O11649" t="s">
        <v>31</v>
      </c>
      <c r="P11649" t="str">
        <f>"15102"</f>
        <v>15102</v>
      </c>
    </row>
    <row r="11650" spans="1:16" x14ac:dyDescent="0.25">
      <c r="A11650" t="str">
        <f>"1180014F00273    00"</f>
        <v>1180014F00273    00</v>
      </c>
      <c r="B11650" t="s">
        <v>25588</v>
      </c>
      <c r="C11650" t="s">
        <v>25768</v>
      </c>
      <c r="D11650" t="s">
        <v>20</v>
      </c>
      <c r="E11650" t="s">
        <v>39</v>
      </c>
      <c r="F11650">
        <v>0</v>
      </c>
      <c r="G11650">
        <v>0</v>
      </c>
      <c r="H11650">
        <v>3</v>
      </c>
      <c r="I11650" s="3">
        <v>1370</v>
      </c>
      <c r="J11650" s="3">
        <v>150.71</v>
      </c>
      <c r="L11650">
        <v>519</v>
      </c>
      <c r="M11650" t="s">
        <v>25529</v>
      </c>
      <c r="N11650" t="s">
        <v>30</v>
      </c>
      <c r="O11650" t="s">
        <v>31</v>
      </c>
      <c r="P11650" t="str">
        <f>"15210"</f>
        <v>15210</v>
      </c>
    </row>
    <row r="11651" spans="1:16" x14ac:dyDescent="0.25">
      <c r="A11651" t="str">
        <f>"1180014F00282    00"</f>
        <v>1180014F00282    00</v>
      </c>
      <c r="B11651" t="s">
        <v>25769</v>
      </c>
      <c r="C11651" t="s">
        <v>25770</v>
      </c>
      <c r="D11651" t="s">
        <v>20</v>
      </c>
      <c r="E11651" t="s">
        <v>39</v>
      </c>
      <c r="F11651">
        <v>0</v>
      </c>
      <c r="G11651">
        <v>0</v>
      </c>
      <c r="H11651">
        <v>16</v>
      </c>
      <c r="I11651" s="3">
        <v>6842.58</v>
      </c>
      <c r="J11651" s="3">
        <v>4923.88</v>
      </c>
      <c r="L11651">
        <v>812</v>
      </c>
      <c r="M11651" t="s">
        <v>11789</v>
      </c>
      <c r="N11651" t="s">
        <v>30</v>
      </c>
      <c r="O11651" t="s">
        <v>31</v>
      </c>
      <c r="P11651" t="str">
        <f>"15210"</f>
        <v>15210</v>
      </c>
    </row>
    <row r="11652" spans="1:16" x14ac:dyDescent="0.25">
      <c r="A11652" t="str">
        <f>"1180014F00287    00"</f>
        <v>1180014F00287    00</v>
      </c>
      <c r="B11652" t="s">
        <v>25771</v>
      </c>
      <c r="C11652" t="s">
        <v>25772</v>
      </c>
      <c r="D11652" t="s">
        <v>20</v>
      </c>
      <c r="E11652" t="s">
        <v>39</v>
      </c>
      <c r="F11652">
        <v>0</v>
      </c>
      <c r="G11652">
        <v>0</v>
      </c>
      <c r="H11652">
        <v>2</v>
      </c>
      <c r="I11652" s="3">
        <v>42.3</v>
      </c>
      <c r="J11652" s="3">
        <v>0</v>
      </c>
      <c r="K11652" t="s">
        <v>417</v>
      </c>
      <c r="L11652">
        <v>3001</v>
      </c>
      <c r="M11652" t="s">
        <v>330</v>
      </c>
      <c r="N11652" t="s">
        <v>331</v>
      </c>
      <c r="O11652" t="s">
        <v>108</v>
      </c>
      <c r="P11652" t="str">
        <f>"75063"</f>
        <v>75063</v>
      </c>
    </row>
    <row r="11653" spans="1:16" x14ac:dyDescent="0.25">
      <c r="A11653" t="str">
        <f>"1180014F00292    00"</f>
        <v>1180014F00292    00</v>
      </c>
      <c r="B11653" t="s">
        <v>25773</v>
      </c>
      <c r="C11653" t="s">
        <v>25774</v>
      </c>
      <c r="D11653" t="s">
        <v>20</v>
      </c>
      <c r="E11653" t="s">
        <v>39</v>
      </c>
      <c r="F11653">
        <v>0</v>
      </c>
      <c r="G11653">
        <v>0</v>
      </c>
      <c r="H11653">
        <v>2</v>
      </c>
      <c r="I11653" s="3">
        <v>1235.08</v>
      </c>
      <c r="J11653" s="3">
        <v>0</v>
      </c>
      <c r="L11653">
        <v>14140</v>
      </c>
      <c r="M11653" t="s">
        <v>25775</v>
      </c>
      <c r="N11653" t="s">
        <v>14556</v>
      </c>
      <c r="O11653" t="s">
        <v>1184</v>
      </c>
      <c r="P11653" t="str">
        <f>"20707"</f>
        <v>20707</v>
      </c>
    </row>
    <row r="11654" spans="1:16" x14ac:dyDescent="0.25">
      <c r="A11654" t="str">
        <f>"1180014F00295    00"</f>
        <v>1180014F00295    00</v>
      </c>
      <c r="B11654" t="s">
        <v>25776</v>
      </c>
      <c r="C11654" t="s">
        <v>25777</v>
      </c>
      <c r="D11654" t="s">
        <v>33</v>
      </c>
      <c r="E11654" t="s">
        <v>39</v>
      </c>
      <c r="F11654">
        <v>0</v>
      </c>
      <c r="G11654">
        <v>0</v>
      </c>
      <c r="H11654">
        <v>2</v>
      </c>
      <c r="I11654" s="3">
        <v>375.16</v>
      </c>
      <c r="J11654" s="3">
        <v>9.3800000000000008</v>
      </c>
      <c r="K11654" t="s">
        <v>25778</v>
      </c>
      <c r="L11654">
        <v>319</v>
      </c>
      <c r="M11654" t="s">
        <v>25082</v>
      </c>
      <c r="N11654" t="s">
        <v>30</v>
      </c>
      <c r="O11654" t="s">
        <v>31</v>
      </c>
      <c r="P11654" t="str">
        <f>"15210"</f>
        <v>15210</v>
      </c>
    </row>
    <row r="11655" spans="1:16" x14ac:dyDescent="0.25">
      <c r="A11655" t="str">
        <f>"1180014F00296    00"</f>
        <v>1180014F00296    00</v>
      </c>
      <c r="B11655" t="s">
        <v>25779</v>
      </c>
      <c r="C11655" t="s">
        <v>25443</v>
      </c>
      <c r="D11655" t="s">
        <v>20</v>
      </c>
      <c r="E11655" t="s">
        <v>39</v>
      </c>
      <c r="F11655">
        <v>0</v>
      </c>
      <c r="G11655">
        <v>0</v>
      </c>
      <c r="H11655">
        <v>19</v>
      </c>
      <c r="I11655" s="3">
        <v>2048.71</v>
      </c>
      <c r="J11655" s="3">
        <v>2595.25</v>
      </c>
      <c r="M11655" t="s">
        <v>25780</v>
      </c>
      <c r="N11655" t="s">
        <v>30</v>
      </c>
      <c r="O11655" t="s">
        <v>31</v>
      </c>
      <c r="P11655" t="str">
        <f>"15210"</f>
        <v>15210</v>
      </c>
    </row>
    <row r="11656" spans="1:16" x14ac:dyDescent="0.25">
      <c r="A11656" t="str">
        <f>"1180014F00300    00"</f>
        <v>1180014F00300    00</v>
      </c>
      <c r="B11656" t="s">
        <v>25781</v>
      </c>
      <c r="C11656" t="s">
        <v>25782</v>
      </c>
      <c r="E11656" t="s">
        <v>39</v>
      </c>
      <c r="F11656">
        <v>0</v>
      </c>
      <c r="G11656">
        <v>0</v>
      </c>
      <c r="H11656">
        <v>2</v>
      </c>
      <c r="I11656" s="3">
        <v>40.42</v>
      </c>
      <c r="J11656" s="3">
        <v>0.5</v>
      </c>
      <c r="K11656" t="s">
        <v>25783</v>
      </c>
      <c r="L11656">
        <v>211</v>
      </c>
      <c r="M11656" t="s">
        <v>25784</v>
      </c>
      <c r="N11656" t="s">
        <v>30</v>
      </c>
      <c r="O11656" t="s">
        <v>31</v>
      </c>
      <c r="P11656" t="str">
        <f>"15210"</f>
        <v>15210</v>
      </c>
    </row>
    <row r="11657" spans="1:16" x14ac:dyDescent="0.25">
      <c r="A11657" t="str">
        <f>"1180014F00302    00"</f>
        <v>1180014F00302    00</v>
      </c>
      <c r="B11657" t="s">
        <v>25785</v>
      </c>
      <c r="C11657" t="s">
        <v>25578</v>
      </c>
      <c r="D11657" t="s">
        <v>20</v>
      </c>
      <c r="E11657" t="s">
        <v>39</v>
      </c>
      <c r="F11657">
        <v>0</v>
      </c>
      <c r="G11657">
        <v>0</v>
      </c>
      <c r="H11657">
        <v>16</v>
      </c>
      <c r="I11657" s="3">
        <v>2202.63</v>
      </c>
      <c r="J11657" s="3">
        <v>2254.5</v>
      </c>
      <c r="L11657">
        <v>815</v>
      </c>
      <c r="M11657" t="s">
        <v>16473</v>
      </c>
      <c r="N11657" t="s">
        <v>30</v>
      </c>
      <c r="O11657" t="s">
        <v>31</v>
      </c>
      <c r="P11657" t="str">
        <f>"15210"</f>
        <v>15210</v>
      </c>
    </row>
    <row r="11658" spans="1:16" x14ac:dyDescent="0.25">
      <c r="A11658" t="str">
        <f>"1180014F00304    00"</f>
        <v>1180014F00304    00</v>
      </c>
      <c r="B11658" t="s">
        <v>25786</v>
      </c>
      <c r="C11658" t="s">
        <v>25578</v>
      </c>
      <c r="D11658" t="s">
        <v>20</v>
      </c>
      <c r="E11658" t="s">
        <v>39</v>
      </c>
      <c r="F11658">
        <v>0</v>
      </c>
      <c r="G11658">
        <v>0</v>
      </c>
      <c r="H11658">
        <v>17</v>
      </c>
      <c r="I11658" s="3">
        <v>152.36000000000001</v>
      </c>
      <c r="J11658" s="3">
        <v>159.4</v>
      </c>
      <c r="L11658">
        <v>105</v>
      </c>
      <c r="M11658" t="s">
        <v>25787</v>
      </c>
      <c r="N11658" t="s">
        <v>25788</v>
      </c>
      <c r="O11658" t="s">
        <v>31</v>
      </c>
      <c r="P11658" t="str">
        <f>"15360"</f>
        <v>15360</v>
      </c>
    </row>
    <row r="11659" spans="1:16" x14ac:dyDescent="0.25">
      <c r="A11659" t="str">
        <f>"1180014F00306    00"</f>
        <v>1180014F00306    00</v>
      </c>
      <c r="B11659" t="s">
        <v>25698</v>
      </c>
      <c r="C11659" t="s">
        <v>25789</v>
      </c>
      <c r="D11659" t="s">
        <v>20</v>
      </c>
      <c r="E11659" t="s">
        <v>39</v>
      </c>
      <c r="F11659">
        <v>0</v>
      </c>
      <c r="G11659">
        <v>0</v>
      </c>
      <c r="H11659">
        <v>4</v>
      </c>
      <c r="I11659" s="3">
        <v>1587.17</v>
      </c>
      <c r="J11659" s="3">
        <v>187.49</v>
      </c>
      <c r="L11659">
        <v>127</v>
      </c>
      <c r="M11659" t="s">
        <v>25700</v>
      </c>
      <c r="N11659" t="s">
        <v>30</v>
      </c>
      <c r="O11659" t="s">
        <v>31</v>
      </c>
      <c r="P11659" t="str">
        <f>"15210"</f>
        <v>15210</v>
      </c>
    </row>
    <row r="11660" spans="1:16" x14ac:dyDescent="0.25">
      <c r="A11660" t="str">
        <f>"1180014F00315    00"</f>
        <v>1180014F00315    00</v>
      </c>
      <c r="B11660" t="s">
        <v>25790</v>
      </c>
      <c r="C11660" t="s">
        <v>25578</v>
      </c>
      <c r="D11660" t="s">
        <v>20</v>
      </c>
      <c r="E11660" t="s">
        <v>39</v>
      </c>
      <c r="F11660">
        <v>0</v>
      </c>
      <c r="G11660">
        <v>0</v>
      </c>
      <c r="H11660">
        <v>3</v>
      </c>
      <c r="I11660" s="3">
        <v>188.73</v>
      </c>
      <c r="J11660" s="3">
        <v>12.59</v>
      </c>
      <c r="L11660">
        <v>118</v>
      </c>
      <c r="M11660" t="s">
        <v>23379</v>
      </c>
      <c r="N11660" t="s">
        <v>30</v>
      </c>
      <c r="O11660" t="s">
        <v>31</v>
      </c>
      <c r="P11660" t="str">
        <f>"15227"</f>
        <v>15227</v>
      </c>
    </row>
    <row r="11661" spans="1:16" x14ac:dyDescent="0.25">
      <c r="A11661" t="str">
        <f>"1180014F00316    00"</f>
        <v>1180014F00316    00</v>
      </c>
      <c r="B11661" t="s">
        <v>25791</v>
      </c>
      <c r="C11661" t="s">
        <v>25578</v>
      </c>
      <c r="D11661" t="s">
        <v>20</v>
      </c>
      <c r="E11661" t="s">
        <v>39</v>
      </c>
      <c r="F11661">
        <v>0</v>
      </c>
      <c r="G11661">
        <v>0</v>
      </c>
      <c r="H11661">
        <v>17</v>
      </c>
      <c r="I11661" s="3">
        <v>907.08</v>
      </c>
      <c r="J11661" s="3">
        <v>813.74</v>
      </c>
      <c r="K11661" t="s">
        <v>25792</v>
      </c>
      <c r="L11661">
        <v>833</v>
      </c>
      <c r="M11661" t="s">
        <v>16473</v>
      </c>
      <c r="N11661" t="s">
        <v>30</v>
      </c>
      <c r="O11661" t="s">
        <v>31</v>
      </c>
      <c r="P11661" t="str">
        <f>"15210"</f>
        <v>15210</v>
      </c>
    </row>
    <row r="11662" spans="1:16" x14ac:dyDescent="0.25">
      <c r="A11662" t="str">
        <f>"1180014F00317    00"</f>
        <v>1180014F00317    00</v>
      </c>
      <c r="B11662" t="s">
        <v>25793</v>
      </c>
      <c r="C11662" t="s">
        <v>25600</v>
      </c>
      <c r="D11662" t="s">
        <v>20</v>
      </c>
      <c r="E11662" t="s">
        <v>39</v>
      </c>
      <c r="F11662">
        <v>0</v>
      </c>
      <c r="G11662">
        <v>0</v>
      </c>
      <c r="H11662">
        <v>10</v>
      </c>
      <c r="I11662" s="3">
        <v>481.22</v>
      </c>
      <c r="J11662" s="3">
        <v>474.7</v>
      </c>
      <c r="L11662">
        <v>148</v>
      </c>
      <c r="M11662" t="s">
        <v>7984</v>
      </c>
      <c r="N11662" t="s">
        <v>30</v>
      </c>
      <c r="O11662" t="s">
        <v>31</v>
      </c>
      <c r="P11662" t="str">
        <f>"15243"</f>
        <v>15243</v>
      </c>
    </row>
    <row r="11663" spans="1:16" x14ac:dyDescent="0.25">
      <c r="A11663" t="str">
        <f>"1180014F00319    00"</f>
        <v>1180014F00319    00</v>
      </c>
      <c r="B11663" t="s">
        <v>25794</v>
      </c>
      <c r="C11663" t="s">
        <v>25795</v>
      </c>
      <c r="D11663" t="s">
        <v>20</v>
      </c>
      <c r="E11663" t="s">
        <v>39</v>
      </c>
      <c r="F11663">
        <v>0</v>
      </c>
      <c r="G11663">
        <v>0</v>
      </c>
      <c r="H11663">
        <v>2</v>
      </c>
      <c r="I11663" s="3">
        <v>928.09</v>
      </c>
      <c r="J11663" s="3">
        <v>0</v>
      </c>
      <c r="L11663">
        <v>238</v>
      </c>
      <c r="M11663" t="s">
        <v>25796</v>
      </c>
      <c r="N11663" t="s">
        <v>30</v>
      </c>
      <c r="O11663" t="s">
        <v>31</v>
      </c>
      <c r="P11663" t="str">
        <f>"15210"</f>
        <v>15210</v>
      </c>
    </row>
    <row r="11664" spans="1:16" x14ac:dyDescent="0.25">
      <c r="A11664" t="str">
        <f>"1180014F00321    00"</f>
        <v>1180014F00321    00</v>
      </c>
      <c r="B11664" t="s">
        <v>25797</v>
      </c>
      <c r="C11664" t="s">
        <v>25578</v>
      </c>
      <c r="D11664" t="s">
        <v>20</v>
      </c>
      <c r="E11664" t="s">
        <v>39</v>
      </c>
      <c r="F11664">
        <v>0</v>
      </c>
      <c r="G11664">
        <v>0</v>
      </c>
      <c r="H11664">
        <v>16</v>
      </c>
      <c r="I11664" s="3">
        <v>588.54999999999995</v>
      </c>
      <c r="J11664" s="3">
        <v>342.4</v>
      </c>
      <c r="L11664">
        <v>838</v>
      </c>
      <c r="M11664" t="s">
        <v>16473</v>
      </c>
      <c r="N11664" t="s">
        <v>30</v>
      </c>
      <c r="O11664" t="s">
        <v>31</v>
      </c>
      <c r="P11664" t="str">
        <f>"15201"</f>
        <v>15201</v>
      </c>
    </row>
    <row r="11665" spans="1:16" x14ac:dyDescent="0.25">
      <c r="A11665" t="str">
        <f>"1180014F00321A   00"</f>
        <v>1180014F00321A   00</v>
      </c>
      <c r="B11665" t="s">
        <v>25798</v>
      </c>
      <c r="C11665" t="s">
        <v>25799</v>
      </c>
      <c r="D11665" t="s">
        <v>20</v>
      </c>
      <c r="E11665" t="s">
        <v>39</v>
      </c>
      <c r="F11665">
        <v>0</v>
      </c>
      <c r="G11665">
        <v>0</v>
      </c>
      <c r="H11665">
        <v>2</v>
      </c>
      <c r="I11665" s="3">
        <v>21.16</v>
      </c>
      <c r="J11665" s="3">
        <v>0</v>
      </c>
      <c r="L11665">
        <v>838</v>
      </c>
      <c r="M11665" t="s">
        <v>25667</v>
      </c>
      <c r="N11665" t="s">
        <v>30</v>
      </c>
      <c r="O11665" t="s">
        <v>31</v>
      </c>
      <c r="P11665" t="str">
        <f>"15210"</f>
        <v>15210</v>
      </c>
    </row>
    <row r="11666" spans="1:16" x14ac:dyDescent="0.25">
      <c r="A11666" t="str">
        <f>"1180014F00322    00"</f>
        <v>1180014F00322    00</v>
      </c>
      <c r="B11666" t="s">
        <v>25800</v>
      </c>
      <c r="C11666" t="s">
        <v>25578</v>
      </c>
      <c r="D11666" t="s">
        <v>20</v>
      </c>
      <c r="E11666" t="s">
        <v>39</v>
      </c>
      <c r="F11666">
        <v>0</v>
      </c>
      <c r="G11666">
        <v>0</v>
      </c>
      <c r="H11666">
        <v>19</v>
      </c>
      <c r="I11666" s="3">
        <v>4000.63</v>
      </c>
      <c r="J11666" s="3">
        <v>5537.65</v>
      </c>
      <c r="L11666">
        <v>841</v>
      </c>
      <c r="M11666" t="s">
        <v>16473</v>
      </c>
      <c r="N11666" t="s">
        <v>30</v>
      </c>
      <c r="O11666" t="s">
        <v>31</v>
      </c>
      <c r="P11666" t="str">
        <f>"15210"</f>
        <v>15210</v>
      </c>
    </row>
    <row r="11667" spans="1:16" x14ac:dyDescent="0.25">
      <c r="A11667" t="str">
        <f>"1180014F00323A   00"</f>
        <v>1180014F00323A   00</v>
      </c>
      <c r="B11667" t="s">
        <v>3843</v>
      </c>
      <c r="C11667" t="s">
        <v>25801</v>
      </c>
      <c r="D11667" t="s">
        <v>20</v>
      </c>
      <c r="E11667" t="s">
        <v>39</v>
      </c>
      <c r="F11667">
        <v>0</v>
      </c>
      <c r="G11667">
        <v>0</v>
      </c>
      <c r="H11667">
        <v>11</v>
      </c>
      <c r="I11667" s="3">
        <v>3618.23</v>
      </c>
      <c r="J11667" s="3">
        <v>2022.11</v>
      </c>
      <c r="L11667">
        <v>600</v>
      </c>
      <c r="M11667" t="s">
        <v>25802</v>
      </c>
      <c r="N11667" t="s">
        <v>3845</v>
      </c>
      <c r="O11667" t="s">
        <v>200</v>
      </c>
      <c r="P11667" t="str">
        <f>"11530"</f>
        <v>11530</v>
      </c>
    </row>
    <row r="11668" spans="1:16" x14ac:dyDescent="0.25">
      <c r="A11668" t="str">
        <f>"1180014F00324    00"</f>
        <v>1180014F00324    00</v>
      </c>
      <c r="B11668" t="s">
        <v>25803</v>
      </c>
      <c r="C11668" t="s">
        <v>25578</v>
      </c>
      <c r="D11668" t="s">
        <v>20</v>
      </c>
      <c r="E11668" t="s">
        <v>39</v>
      </c>
      <c r="F11668">
        <v>0</v>
      </c>
      <c r="G11668">
        <v>0</v>
      </c>
      <c r="H11668">
        <v>19</v>
      </c>
      <c r="I11668" s="3">
        <v>3410.24</v>
      </c>
      <c r="J11668" s="3">
        <v>4548.92</v>
      </c>
      <c r="L11668">
        <v>845</v>
      </c>
      <c r="M11668" t="s">
        <v>16473</v>
      </c>
      <c r="N11668" t="s">
        <v>30</v>
      </c>
      <c r="O11668" t="s">
        <v>31</v>
      </c>
      <c r="P11668" t="str">
        <f>"15210"</f>
        <v>15210</v>
      </c>
    </row>
    <row r="11669" spans="1:16" x14ac:dyDescent="0.25">
      <c r="A11669" t="str">
        <f>"1180014F00324A   00"</f>
        <v>1180014F00324A   00</v>
      </c>
      <c r="B11669" t="s">
        <v>25804</v>
      </c>
      <c r="C11669" t="s">
        <v>25805</v>
      </c>
      <c r="D11669" t="s">
        <v>20</v>
      </c>
      <c r="E11669" t="s">
        <v>39</v>
      </c>
      <c r="F11669">
        <v>0</v>
      </c>
      <c r="G11669">
        <v>0</v>
      </c>
      <c r="H11669">
        <v>1</v>
      </c>
      <c r="I11669" s="3">
        <v>316.42</v>
      </c>
      <c r="J11669" s="3">
        <v>0</v>
      </c>
      <c r="L11669">
        <v>844</v>
      </c>
      <c r="M11669" t="s">
        <v>25667</v>
      </c>
      <c r="N11669" t="s">
        <v>30</v>
      </c>
      <c r="O11669" t="s">
        <v>31</v>
      </c>
      <c r="P11669" t="str">
        <f>"15210"</f>
        <v>15210</v>
      </c>
    </row>
    <row r="11670" spans="1:16" x14ac:dyDescent="0.25">
      <c r="A11670" t="str">
        <f>"1180014F00325    00"</f>
        <v>1180014F00325    00</v>
      </c>
      <c r="B11670" t="s">
        <v>25806</v>
      </c>
      <c r="C11670" t="s">
        <v>25578</v>
      </c>
      <c r="D11670" t="s">
        <v>20</v>
      </c>
      <c r="E11670" t="s">
        <v>39</v>
      </c>
      <c r="F11670">
        <v>0</v>
      </c>
      <c r="G11670">
        <v>0</v>
      </c>
      <c r="H11670">
        <v>8</v>
      </c>
      <c r="I11670" s="3">
        <v>44.48</v>
      </c>
      <c r="J11670" s="3">
        <v>19.02</v>
      </c>
      <c r="L11670">
        <v>840</v>
      </c>
      <c r="M11670" t="s">
        <v>16473</v>
      </c>
      <c r="N11670" t="s">
        <v>30</v>
      </c>
      <c r="O11670" t="s">
        <v>31</v>
      </c>
      <c r="P11670" t="str">
        <f>"15210"</f>
        <v>15210</v>
      </c>
    </row>
    <row r="11671" spans="1:16" x14ac:dyDescent="0.25">
      <c r="A11671" t="str">
        <f>"1180014F00330    00"</f>
        <v>1180014F00330    00</v>
      </c>
      <c r="B11671" t="s">
        <v>25807</v>
      </c>
      <c r="C11671" t="s">
        <v>25808</v>
      </c>
      <c r="E11671" t="s">
        <v>39</v>
      </c>
      <c r="F11671">
        <v>0</v>
      </c>
      <c r="G11671">
        <v>0</v>
      </c>
      <c r="H11671">
        <v>1</v>
      </c>
      <c r="I11671" s="3">
        <v>75.77</v>
      </c>
      <c r="J11671" s="3">
        <v>0</v>
      </c>
      <c r="L11671">
        <v>853</v>
      </c>
      <c r="M11671" t="s">
        <v>16473</v>
      </c>
      <c r="N11671" t="s">
        <v>30</v>
      </c>
      <c r="O11671" t="s">
        <v>31</v>
      </c>
      <c r="P11671" t="str">
        <f>"15210"</f>
        <v>15210</v>
      </c>
    </row>
    <row r="11672" spans="1:16" x14ac:dyDescent="0.25">
      <c r="A11672" t="str">
        <f>"1180014F00334    00"</f>
        <v>1180014F00334    00</v>
      </c>
      <c r="B11672" t="s">
        <v>25809</v>
      </c>
      <c r="C11672" t="s">
        <v>25810</v>
      </c>
      <c r="E11672" t="s">
        <v>39</v>
      </c>
      <c r="F11672">
        <v>0</v>
      </c>
      <c r="G11672">
        <v>0</v>
      </c>
      <c r="H11672">
        <v>2</v>
      </c>
      <c r="I11672" s="3">
        <v>60.52</v>
      </c>
      <c r="J11672" s="3">
        <v>12.43</v>
      </c>
      <c r="L11672">
        <v>859</v>
      </c>
      <c r="M11672" t="s">
        <v>16473</v>
      </c>
      <c r="N11672" t="s">
        <v>30</v>
      </c>
      <c r="O11672" t="s">
        <v>31</v>
      </c>
      <c r="P11672" t="str">
        <f>"15210"</f>
        <v>15210</v>
      </c>
    </row>
    <row r="11673" spans="1:16" x14ac:dyDescent="0.25">
      <c r="A11673" t="str">
        <f>"1180014F00335    00"</f>
        <v>1180014F00335    00</v>
      </c>
      <c r="B11673" t="s">
        <v>25811</v>
      </c>
      <c r="C11673" t="s">
        <v>25578</v>
      </c>
      <c r="D11673" t="s">
        <v>20</v>
      </c>
      <c r="E11673" t="s">
        <v>39</v>
      </c>
      <c r="F11673">
        <v>0</v>
      </c>
      <c r="G11673">
        <v>0</v>
      </c>
      <c r="H11673">
        <v>17</v>
      </c>
      <c r="I11673" s="3">
        <v>5177.43</v>
      </c>
      <c r="J11673" s="3">
        <v>6240.84</v>
      </c>
      <c r="L11673">
        <v>529</v>
      </c>
      <c r="M11673" t="s">
        <v>25812</v>
      </c>
      <c r="N11673" t="s">
        <v>30</v>
      </c>
      <c r="O11673" t="s">
        <v>31</v>
      </c>
      <c r="P11673" t="str">
        <f>"15202"</f>
        <v>15202</v>
      </c>
    </row>
    <row r="11674" spans="1:16" x14ac:dyDescent="0.25">
      <c r="A11674" t="str">
        <f>"1180014F00338    00"</f>
        <v>1180014F00338    00</v>
      </c>
      <c r="B11674" t="s">
        <v>25813</v>
      </c>
      <c r="C11674" t="s">
        <v>25814</v>
      </c>
      <c r="D11674" t="s">
        <v>20</v>
      </c>
      <c r="E11674" t="s">
        <v>39</v>
      </c>
      <c r="F11674">
        <v>0</v>
      </c>
      <c r="G11674">
        <v>0</v>
      </c>
      <c r="H11674">
        <v>15</v>
      </c>
      <c r="I11674" s="3">
        <v>9333.16</v>
      </c>
      <c r="J11674" s="3">
        <v>7201.97</v>
      </c>
      <c r="L11674">
        <v>6413</v>
      </c>
      <c r="M11674" t="s">
        <v>25815</v>
      </c>
      <c r="N11674" t="s">
        <v>25816</v>
      </c>
      <c r="O11674" t="s">
        <v>200</v>
      </c>
      <c r="P11674" t="str">
        <f>"11377"</f>
        <v>11377</v>
      </c>
    </row>
    <row r="11675" spans="1:16" x14ac:dyDescent="0.25">
      <c r="A11675" t="str">
        <f>"1180014F00346    00"</f>
        <v>1180014F00346    00</v>
      </c>
      <c r="B11675" t="s">
        <v>25817</v>
      </c>
      <c r="C11675" t="s">
        <v>25818</v>
      </c>
      <c r="D11675" t="s">
        <v>20</v>
      </c>
      <c r="E11675" t="s">
        <v>39</v>
      </c>
      <c r="F11675">
        <v>0</v>
      </c>
      <c r="G11675">
        <v>0</v>
      </c>
      <c r="H11675">
        <v>1</v>
      </c>
      <c r="I11675" s="3">
        <v>125.11</v>
      </c>
      <c r="J11675" s="3">
        <v>0</v>
      </c>
      <c r="K11675" t="s">
        <v>25819</v>
      </c>
      <c r="L11675">
        <v>201</v>
      </c>
      <c r="M11675" t="s">
        <v>25820</v>
      </c>
      <c r="N11675" t="s">
        <v>30</v>
      </c>
      <c r="O11675" t="s">
        <v>31</v>
      </c>
      <c r="P11675" t="str">
        <f>"15220"</f>
        <v>15220</v>
      </c>
    </row>
    <row r="11676" spans="1:16" x14ac:dyDescent="0.25">
      <c r="A11676" t="str">
        <f>"1180014F00347    00"</f>
        <v>1180014F00347    00</v>
      </c>
      <c r="B11676" t="s">
        <v>25821</v>
      </c>
      <c r="C11676" t="s">
        <v>25578</v>
      </c>
      <c r="D11676" t="s">
        <v>20</v>
      </c>
      <c r="E11676" t="s">
        <v>39</v>
      </c>
      <c r="F11676">
        <v>0</v>
      </c>
      <c r="G11676">
        <v>0</v>
      </c>
      <c r="H11676">
        <v>19</v>
      </c>
      <c r="I11676" s="3">
        <v>4174.33</v>
      </c>
      <c r="J11676" s="3">
        <v>5796.11</v>
      </c>
      <c r="L11676">
        <v>816</v>
      </c>
      <c r="M11676" t="s">
        <v>16473</v>
      </c>
      <c r="N11676" t="s">
        <v>30</v>
      </c>
      <c r="O11676" t="s">
        <v>31</v>
      </c>
      <c r="P11676" t="str">
        <f>"15210"</f>
        <v>15210</v>
      </c>
    </row>
    <row r="11677" spans="1:16" x14ac:dyDescent="0.25">
      <c r="A11677" t="str">
        <f>"1180014F00348    00"</f>
        <v>1180014F00348    00</v>
      </c>
      <c r="B11677" t="s">
        <v>25822</v>
      </c>
      <c r="C11677" t="s">
        <v>25823</v>
      </c>
      <c r="D11677" t="s">
        <v>20</v>
      </c>
      <c r="E11677" t="s">
        <v>39</v>
      </c>
      <c r="F11677">
        <v>0</v>
      </c>
      <c r="G11677">
        <v>0</v>
      </c>
      <c r="H11677">
        <v>6</v>
      </c>
      <c r="I11677" s="3">
        <v>1725.7</v>
      </c>
      <c r="J11677" s="3">
        <v>426.07</v>
      </c>
      <c r="K11677" t="s">
        <v>25824</v>
      </c>
      <c r="L11677">
        <v>201</v>
      </c>
      <c r="M11677" t="s">
        <v>25820</v>
      </c>
      <c r="N11677" t="s">
        <v>30</v>
      </c>
      <c r="O11677" t="s">
        <v>31</v>
      </c>
      <c r="P11677" t="str">
        <f>"15220"</f>
        <v>15220</v>
      </c>
    </row>
    <row r="11678" spans="1:16" x14ac:dyDescent="0.25">
      <c r="A11678" t="str">
        <f>"1180014F00350    00"</f>
        <v>1180014F00350    00</v>
      </c>
      <c r="B11678" t="s">
        <v>25822</v>
      </c>
      <c r="C11678" t="s">
        <v>25825</v>
      </c>
      <c r="D11678" t="s">
        <v>20</v>
      </c>
      <c r="E11678" t="s">
        <v>39</v>
      </c>
      <c r="F11678">
        <v>0</v>
      </c>
      <c r="G11678">
        <v>0</v>
      </c>
      <c r="H11678">
        <v>6</v>
      </c>
      <c r="I11678" s="3">
        <v>2745.74</v>
      </c>
      <c r="J11678" s="3">
        <v>508.8</v>
      </c>
      <c r="K11678" t="s">
        <v>25824</v>
      </c>
      <c r="L11678">
        <v>201</v>
      </c>
      <c r="M11678" t="s">
        <v>25820</v>
      </c>
      <c r="N11678" t="s">
        <v>30</v>
      </c>
      <c r="O11678" t="s">
        <v>31</v>
      </c>
      <c r="P11678" t="str">
        <f>"15220"</f>
        <v>15220</v>
      </c>
    </row>
    <row r="11679" spans="1:16" x14ac:dyDescent="0.25">
      <c r="A11679" t="str">
        <f>"1180014F00355    00"</f>
        <v>1180014F00355    00</v>
      </c>
      <c r="B11679" t="s">
        <v>25826</v>
      </c>
      <c r="C11679" t="s">
        <v>25678</v>
      </c>
      <c r="D11679" t="s">
        <v>20</v>
      </c>
      <c r="E11679" t="s">
        <v>39</v>
      </c>
      <c r="F11679">
        <v>0</v>
      </c>
      <c r="G11679">
        <v>0</v>
      </c>
      <c r="H11679">
        <v>17</v>
      </c>
      <c r="I11679" s="3">
        <v>132.6</v>
      </c>
      <c r="J11679" s="3">
        <v>129.53</v>
      </c>
      <c r="L11679">
        <v>1522</v>
      </c>
      <c r="M11679" t="s">
        <v>25827</v>
      </c>
      <c r="N11679" t="s">
        <v>30</v>
      </c>
      <c r="O11679" t="s">
        <v>31</v>
      </c>
      <c r="P11679" t="str">
        <f>"15216"</f>
        <v>15216</v>
      </c>
    </row>
    <row r="11680" spans="1:16" x14ac:dyDescent="0.25">
      <c r="A11680" t="str">
        <f>"1180014F00357    00"</f>
        <v>1180014F00357    00</v>
      </c>
      <c r="B11680" t="s">
        <v>25828</v>
      </c>
      <c r="C11680" t="s">
        <v>25829</v>
      </c>
      <c r="D11680" t="s">
        <v>20</v>
      </c>
      <c r="E11680" t="s">
        <v>39</v>
      </c>
      <c r="F11680">
        <v>0</v>
      </c>
      <c r="G11680">
        <v>0</v>
      </c>
      <c r="H11680">
        <v>14</v>
      </c>
      <c r="I11680" s="3">
        <v>2998.54</v>
      </c>
      <c r="J11680" s="3">
        <v>1624.92</v>
      </c>
      <c r="L11680">
        <v>263</v>
      </c>
      <c r="M11680" t="s">
        <v>25830</v>
      </c>
      <c r="N11680" t="s">
        <v>1928</v>
      </c>
      <c r="O11680" t="s">
        <v>31</v>
      </c>
      <c r="P11680" t="str">
        <f>"15317"</f>
        <v>15317</v>
      </c>
    </row>
    <row r="11681" spans="1:16" x14ac:dyDescent="0.25">
      <c r="A11681" t="str">
        <f>"1180014F00359    00"</f>
        <v>1180014F00359    00</v>
      </c>
      <c r="B11681" t="s">
        <v>25831</v>
      </c>
      <c r="C11681" t="s">
        <v>25832</v>
      </c>
      <c r="D11681" t="s">
        <v>20</v>
      </c>
      <c r="E11681" t="s">
        <v>39</v>
      </c>
      <c r="F11681">
        <v>0</v>
      </c>
      <c r="G11681">
        <v>0</v>
      </c>
      <c r="H11681">
        <v>4</v>
      </c>
      <c r="I11681" s="3">
        <v>1520.82</v>
      </c>
      <c r="J11681" s="3">
        <v>168.04</v>
      </c>
      <c r="L11681">
        <v>111</v>
      </c>
      <c r="M11681" t="s">
        <v>25833</v>
      </c>
      <c r="N11681" t="s">
        <v>30</v>
      </c>
      <c r="O11681" t="s">
        <v>31</v>
      </c>
      <c r="P11681" t="str">
        <f>"15210"</f>
        <v>15210</v>
      </c>
    </row>
    <row r="11682" spans="1:16" x14ac:dyDescent="0.25">
      <c r="A11682" t="str">
        <f>"1180014F00360    00"</f>
        <v>1180014F00360    00</v>
      </c>
      <c r="B11682" t="s">
        <v>25834</v>
      </c>
      <c r="C11682" t="s">
        <v>25578</v>
      </c>
      <c r="D11682" t="s">
        <v>20</v>
      </c>
      <c r="E11682" t="s">
        <v>39</v>
      </c>
      <c r="F11682">
        <v>0</v>
      </c>
      <c r="G11682">
        <v>0</v>
      </c>
      <c r="H11682">
        <v>19</v>
      </c>
      <c r="I11682" s="3">
        <v>5263.33</v>
      </c>
      <c r="J11682" s="3">
        <v>6835.46</v>
      </c>
      <c r="L11682">
        <v>842</v>
      </c>
      <c r="M11682" t="s">
        <v>16473</v>
      </c>
      <c r="N11682" t="s">
        <v>30</v>
      </c>
      <c r="O11682" t="s">
        <v>31</v>
      </c>
      <c r="P11682" t="str">
        <f>"15210"</f>
        <v>15210</v>
      </c>
    </row>
    <row r="11683" spans="1:16" x14ac:dyDescent="0.25">
      <c r="A11683" t="str">
        <f>"1180014F00361    00"</f>
        <v>1180014F00361    00</v>
      </c>
      <c r="B11683" t="s">
        <v>25835</v>
      </c>
      <c r="C11683" t="s">
        <v>25836</v>
      </c>
      <c r="D11683" t="s">
        <v>20</v>
      </c>
      <c r="E11683" t="s">
        <v>39</v>
      </c>
      <c r="F11683">
        <v>0</v>
      </c>
      <c r="G11683">
        <v>0</v>
      </c>
      <c r="H11683">
        <v>15</v>
      </c>
      <c r="I11683" s="3">
        <v>7136.07</v>
      </c>
      <c r="J11683" s="3">
        <v>4816.8599999999997</v>
      </c>
      <c r="L11683">
        <v>846</v>
      </c>
      <c r="M11683" t="s">
        <v>16473</v>
      </c>
      <c r="N11683" t="s">
        <v>30</v>
      </c>
      <c r="O11683" t="s">
        <v>31</v>
      </c>
      <c r="P11683" t="str">
        <f>"15210"</f>
        <v>15210</v>
      </c>
    </row>
    <row r="11684" spans="1:16" x14ac:dyDescent="0.25">
      <c r="A11684" t="str">
        <f>"1180014F00362    00"</f>
        <v>1180014F00362    00</v>
      </c>
      <c r="B11684" t="s">
        <v>25837</v>
      </c>
      <c r="C11684" t="s">
        <v>25838</v>
      </c>
      <c r="D11684" t="s">
        <v>20</v>
      </c>
      <c r="E11684" t="s">
        <v>39</v>
      </c>
      <c r="F11684">
        <v>0</v>
      </c>
      <c r="G11684">
        <v>0</v>
      </c>
      <c r="H11684">
        <v>2</v>
      </c>
      <c r="I11684" s="3">
        <v>918.72</v>
      </c>
      <c r="J11684" s="3">
        <v>0</v>
      </c>
      <c r="L11684">
        <v>5947</v>
      </c>
      <c r="M11684" t="s">
        <v>25839</v>
      </c>
      <c r="N11684" t="s">
        <v>3262</v>
      </c>
      <c r="O11684" t="s">
        <v>3263</v>
      </c>
      <c r="P11684" t="str">
        <f>"97219"</f>
        <v>97219</v>
      </c>
    </row>
    <row r="11685" spans="1:16" x14ac:dyDescent="0.25">
      <c r="A11685" t="str">
        <f>"1180014F00364    00"</f>
        <v>1180014F00364    00</v>
      </c>
      <c r="B11685" t="s">
        <v>25840</v>
      </c>
      <c r="C11685" t="s">
        <v>25841</v>
      </c>
      <c r="D11685" t="s">
        <v>20</v>
      </c>
      <c r="E11685" t="s">
        <v>39</v>
      </c>
      <c r="F11685">
        <v>0</v>
      </c>
      <c r="G11685">
        <v>0</v>
      </c>
      <c r="H11685">
        <v>2</v>
      </c>
      <c r="I11685" s="3">
        <v>635.47</v>
      </c>
      <c r="J11685" s="3">
        <v>0</v>
      </c>
      <c r="M11685" t="s">
        <v>25842</v>
      </c>
      <c r="N11685" t="s">
        <v>30</v>
      </c>
      <c r="O11685" t="s">
        <v>31</v>
      </c>
      <c r="P11685" t="str">
        <f>"15237"</f>
        <v>15237</v>
      </c>
    </row>
    <row r="11686" spans="1:16" x14ac:dyDescent="0.25">
      <c r="A11686" t="str">
        <f>"1180014F00365    00"</f>
        <v>1180014F00365    00</v>
      </c>
      <c r="B11686" t="s">
        <v>25843</v>
      </c>
      <c r="C11686" t="s">
        <v>25578</v>
      </c>
      <c r="D11686" t="s">
        <v>20</v>
      </c>
      <c r="E11686" t="s">
        <v>39</v>
      </c>
      <c r="F11686">
        <v>0</v>
      </c>
      <c r="G11686">
        <v>0</v>
      </c>
      <c r="H11686">
        <v>19</v>
      </c>
      <c r="I11686" s="3">
        <v>12004.81</v>
      </c>
      <c r="J11686" s="3">
        <v>13296.07</v>
      </c>
      <c r="L11686">
        <v>1267</v>
      </c>
      <c r="M11686" t="s">
        <v>25844</v>
      </c>
      <c r="N11686" t="s">
        <v>25845</v>
      </c>
      <c r="O11686" t="s">
        <v>1413</v>
      </c>
      <c r="P11686" t="str">
        <f>"28606"</f>
        <v>28606</v>
      </c>
    </row>
    <row r="11687" spans="1:16" x14ac:dyDescent="0.25">
      <c r="A11687" t="str">
        <f>"1180014G00001    00"</f>
        <v>1180014G00001    00</v>
      </c>
      <c r="B11687" t="s">
        <v>25846</v>
      </c>
      <c r="C11687" t="s">
        <v>25847</v>
      </c>
      <c r="D11687" t="s">
        <v>20</v>
      </c>
      <c r="E11687" t="s">
        <v>39</v>
      </c>
      <c r="F11687">
        <v>0</v>
      </c>
      <c r="G11687">
        <v>0</v>
      </c>
      <c r="H11687">
        <v>16</v>
      </c>
      <c r="I11687" s="3">
        <v>3725.43</v>
      </c>
      <c r="J11687" s="3">
        <v>5345.63</v>
      </c>
      <c r="L11687">
        <v>410</v>
      </c>
      <c r="M11687" t="s">
        <v>25848</v>
      </c>
      <c r="N11687" t="s">
        <v>30</v>
      </c>
      <c r="O11687" t="s">
        <v>31</v>
      </c>
      <c r="P11687" t="str">
        <f>"15210"</f>
        <v>15210</v>
      </c>
    </row>
    <row r="11688" spans="1:16" x14ac:dyDescent="0.25">
      <c r="A11688" t="str">
        <f>"1180014G00003    00"</f>
        <v>1180014G00003    00</v>
      </c>
      <c r="B11688" t="s">
        <v>25849</v>
      </c>
      <c r="C11688" t="s">
        <v>25850</v>
      </c>
      <c r="D11688" t="s">
        <v>20</v>
      </c>
      <c r="E11688" t="s">
        <v>39</v>
      </c>
      <c r="F11688">
        <v>0</v>
      </c>
      <c r="G11688">
        <v>0</v>
      </c>
      <c r="H11688">
        <v>3</v>
      </c>
      <c r="I11688" s="3">
        <v>333.03</v>
      </c>
      <c r="J11688" s="3">
        <v>22.2</v>
      </c>
      <c r="K11688" t="s">
        <v>1632</v>
      </c>
      <c r="L11688">
        <v>3001</v>
      </c>
      <c r="M11688" t="s">
        <v>330</v>
      </c>
      <c r="N11688" t="s">
        <v>331</v>
      </c>
      <c r="O11688" t="s">
        <v>108</v>
      </c>
      <c r="P11688" t="str">
        <f>"75063"</f>
        <v>75063</v>
      </c>
    </row>
    <row r="11689" spans="1:16" x14ac:dyDescent="0.25">
      <c r="A11689" t="str">
        <f>"1180014G00010    00"</f>
        <v>1180014G00010    00</v>
      </c>
      <c r="B11689" t="s">
        <v>25851</v>
      </c>
      <c r="C11689" t="s">
        <v>25847</v>
      </c>
      <c r="E11689" t="s">
        <v>39</v>
      </c>
      <c r="F11689">
        <v>0</v>
      </c>
      <c r="G11689">
        <v>0</v>
      </c>
      <c r="H11689">
        <v>2</v>
      </c>
      <c r="I11689" s="3">
        <v>114.36</v>
      </c>
      <c r="J11689" s="3">
        <v>11.44</v>
      </c>
      <c r="L11689">
        <v>846</v>
      </c>
      <c r="M11689" t="s">
        <v>259</v>
      </c>
      <c r="N11689" t="s">
        <v>30</v>
      </c>
      <c r="O11689" t="s">
        <v>31</v>
      </c>
      <c r="P11689" t="str">
        <f>"15217"</f>
        <v>15217</v>
      </c>
    </row>
    <row r="11690" spans="1:16" x14ac:dyDescent="0.25">
      <c r="A11690" t="str">
        <f>"1180014G00011    00"</f>
        <v>1180014G00011    00</v>
      </c>
      <c r="B11690" t="s">
        <v>25851</v>
      </c>
      <c r="C11690" t="s">
        <v>25852</v>
      </c>
      <c r="E11690" t="s">
        <v>39</v>
      </c>
      <c r="F11690">
        <v>0</v>
      </c>
      <c r="G11690">
        <v>0</v>
      </c>
      <c r="H11690">
        <v>3</v>
      </c>
      <c r="I11690" s="3">
        <v>1142.8699999999999</v>
      </c>
      <c r="J11690" s="3">
        <v>164.18</v>
      </c>
      <c r="L11690">
        <v>846</v>
      </c>
      <c r="M11690" t="s">
        <v>259</v>
      </c>
      <c r="N11690" t="s">
        <v>30</v>
      </c>
      <c r="O11690" t="s">
        <v>31</v>
      </c>
      <c r="P11690" t="str">
        <f>"15217"</f>
        <v>15217</v>
      </c>
    </row>
    <row r="11691" spans="1:16" x14ac:dyDescent="0.25">
      <c r="A11691" t="str">
        <f>"1180014G00041    00"</f>
        <v>1180014G00041    00</v>
      </c>
      <c r="B11691" t="s">
        <v>25853</v>
      </c>
      <c r="C11691" t="s">
        <v>25854</v>
      </c>
      <c r="D11691" t="s">
        <v>20</v>
      </c>
      <c r="E11691" t="s">
        <v>39</v>
      </c>
      <c r="F11691">
        <v>0</v>
      </c>
      <c r="G11691">
        <v>0</v>
      </c>
      <c r="H11691">
        <v>2</v>
      </c>
      <c r="I11691" s="3">
        <v>1052.1199999999999</v>
      </c>
      <c r="J11691" s="3">
        <v>0</v>
      </c>
      <c r="K11691" t="s">
        <v>25855</v>
      </c>
      <c r="L11691">
        <v>1420</v>
      </c>
      <c r="M11691" t="s">
        <v>14151</v>
      </c>
      <c r="N11691" t="s">
        <v>30</v>
      </c>
      <c r="O11691" t="s">
        <v>31</v>
      </c>
      <c r="P11691" t="str">
        <f>"15212"</f>
        <v>15212</v>
      </c>
    </row>
    <row r="11692" spans="1:16" x14ac:dyDescent="0.25">
      <c r="A11692" t="str">
        <f>"1180014G00043    00"</f>
        <v>1180014G00043    00</v>
      </c>
      <c r="B11692" t="s">
        <v>25856</v>
      </c>
      <c r="C11692" t="s">
        <v>25857</v>
      </c>
      <c r="D11692" t="s">
        <v>20</v>
      </c>
      <c r="E11692" t="s">
        <v>39</v>
      </c>
      <c r="F11692">
        <v>0</v>
      </c>
      <c r="G11692">
        <v>0</v>
      </c>
      <c r="H11692">
        <v>11</v>
      </c>
      <c r="I11692" s="3">
        <v>5075.3</v>
      </c>
      <c r="J11692" s="3">
        <v>1089.25</v>
      </c>
      <c r="L11692">
        <v>328</v>
      </c>
      <c r="M11692" t="s">
        <v>25448</v>
      </c>
      <c r="N11692" t="s">
        <v>30</v>
      </c>
      <c r="O11692" t="s">
        <v>31</v>
      </c>
      <c r="P11692" t="str">
        <f>"15210"</f>
        <v>15210</v>
      </c>
    </row>
    <row r="11693" spans="1:16" x14ac:dyDescent="0.25">
      <c r="A11693" t="str">
        <f>"1180014G00044    00"</f>
        <v>1180014G00044    00</v>
      </c>
      <c r="B11693" t="s">
        <v>25858</v>
      </c>
      <c r="C11693" t="s">
        <v>25859</v>
      </c>
      <c r="D11693" t="s">
        <v>20</v>
      </c>
      <c r="E11693" t="s">
        <v>39</v>
      </c>
      <c r="F11693">
        <v>0</v>
      </c>
      <c r="G11693">
        <v>0</v>
      </c>
      <c r="H11693">
        <v>12</v>
      </c>
      <c r="I11693" s="3">
        <v>1133.51</v>
      </c>
      <c r="J11693" s="3">
        <v>629.19000000000005</v>
      </c>
      <c r="L11693">
        <v>912</v>
      </c>
      <c r="M11693" t="s">
        <v>25667</v>
      </c>
      <c r="N11693" t="s">
        <v>30</v>
      </c>
      <c r="O11693" t="s">
        <v>31</v>
      </c>
      <c r="P11693" t="str">
        <f>"15210"</f>
        <v>15210</v>
      </c>
    </row>
    <row r="11694" spans="1:16" x14ac:dyDescent="0.25">
      <c r="A11694" t="str">
        <f>"1180014G00045    00"</f>
        <v>1180014G00045    00</v>
      </c>
      <c r="B11694" t="s">
        <v>25860</v>
      </c>
      <c r="C11694" t="s">
        <v>25600</v>
      </c>
      <c r="D11694" t="s">
        <v>20</v>
      </c>
      <c r="E11694" t="s">
        <v>39</v>
      </c>
      <c r="F11694">
        <v>0</v>
      </c>
      <c r="G11694">
        <v>0</v>
      </c>
      <c r="H11694">
        <v>19</v>
      </c>
      <c r="I11694" s="3">
        <v>1201.26</v>
      </c>
      <c r="J11694" s="3">
        <v>801.55</v>
      </c>
      <c r="K11694" t="s">
        <v>25861</v>
      </c>
      <c r="L11694">
        <v>1695</v>
      </c>
      <c r="M11694" t="s">
        <v>25862</v>
      </c>
      <c r="N11694" t="s">
        <v>30</v>
      </c>
      <c r="O11694" t="s">
        <v>31</v>
      </c>
      <c r="P11694" t="str">
        <f>"15216"</f>
        <v>15216</v>
      </c>
    </row>
    <row r="11695" spans="1:16" x14ac:dyDescent="0.25">
      <c r="A11695" t="str">
        <f>"1180014G00059    00"</f>
        <v>1180014G00059    00</v>
      </c>
      <c r="B11695" t="s">
        <v>25095</v>
      </c>
      <c r="C11695" t="s">
        <v>25863</v>
      </c>
      <c r="E11695" t="s">
        <v>39</v>
      </c>
      <c r="F11695">
        <v>0</v>
      </c>
      <c r="G11695">
        <v>0</v>
      </c>
      <c r="H11695">
        <v>2</v>
      </c>
      <c r="I11695" s="3">
        <v>520.87</v>
      </c>
      <c r="J11695" s="3">
        <v>76.849999999999994</v>
      </c>
      <c r="K11695" t="s">
        <v>25097</v>
      </c>
      <c r="L11695">
        <v>500</v>
      </c>
      <c r="M11695" t="s">
        <v>25098</v>
      </c>
      <c r="N11695" t="s">
        <v>25099</v>
      </c>
      <c r="O11695" t="s">
        <v>1413</v>
      </c>
      <c r="P11695" t="str">
        <f>"27330"</f>
        <v>27330</v>
      </c>
    </row>
    <row r="11696" spans="1:16" x14ac:dyDescent="0.25">
      <c r="A11696" t="str">
        <f>"1180014G00062    00"</f>
        <v>1180014G00062    00</v>
      </c>
      <c r="B11696" t="s">
        <v>25864</v>
      </c>
      <c r="C11696" t="s">
        <v>25578</v>
      </c>
      <c r="D11696" t="s">
        <v>20</v>
      </c>
      <c r="E11696" t="s">
        <v>39</v>
      </c>
      <c r="F11696">
        <v>0</v>
      </c>
      <c r="G11696">
        <v>0</v>
      </c>
      <c r="H11696">
        <v>17</v>
      </c>
      <c r="I11696" s="3">
        <v>5810.63</v>
      </c>
      <c r="J11696" s="3">
        <v>8110.24</v>
      </c>
      <c r="L11696">
        <v>910</v>
      </c>
      <c r="M11696" t="s">
        <v>16473</v>
      </c>
      <c r="N11696" t="s">
        <v>30</v>
      </c>
      <c r="O11696" t="s">
        <v>31</v>
      </c>
      <c r="P11696" t="str">
        <f>"15210"</f>
        <v>15210</v>
      </c>
    </row>
    <row r="11697" spans="1:16" x14ac:dyDescent="0.25">
      <c r="A11697" t="str">
        <f>"1180014G00069    00"</f>
        <v>1180014G00069    00</v>
      </c>
      <c r="B11697" t="s">
        <v>25865</v>
      </c>
      <c r="C11697" t="s">
        <v>25866</v>
      </c>
      <c r="D11697" t="s">
        <v>20</v>
      </c>
      <c r="E11697" t="s">
        <v>39</v>
      </c>
      <c r="F11697">
        <v>0</v>
      </c>
      <c r="G11697">
        <v>0</v>
      </c>
      <c r="H11697">
        <v>1</v>
      </c>
      <c r="I11697" s="3">
        <v>476.5</v>
      </c>
      <c r="J11697" s="3">
        <v>0</v>
      </c>
      <c r="K11697" t="s">
        <v>23127</v>
      </c>
      <c r="L11697">
        <v>901</v>
      </c>
      <c r="M11697" t="s">
        <v>6264</v>
      </c>
      <c r="N11697" t="s">
        <v>30</v>
      </c>
      <c r="O11697" t="s">
        <v>31</v>
      </c>
      <c r="P11697" t="str">
        <f>"15203"</f>
        <v>15203</v>
      </c>
    </row>
    <row r="11698" spans="1:16" x14ac:dyDescent="0.25">
      <c r="A11698" t="str">
        <f>"1180014G00070    00"</f>
        <v>1180014G00070    00</v>
      </c>
      <c r="B11698" t="s">
        <v>25867</v>
      </c>
      <c r="C11698" t="s">
        <v>25868</v>
      </c>
      <c r="D11698" t="s">
        <v>20</v>
      </c>
      <c r="E11698" t="s">
        <v>39</v>
      </c>
      <c r="F11698">
        <v>0</v>
      </c>
      <c r="G11698">
        <v>0</v>
      </c>
      <c r="H11698">
        <v>8</v>
      </c>
      <c r="I11698" s="3">
        <v>2654.28</v>
      </c>
      <c r="J11698" s="3">
        <v>948.65</v>
      </c>
      <c r="L11698">
        <v>923</v>
      </c>
      <c r="M11698" t="s">
        <v>25680</v>
      </c>
      <c r="N11698" t="s">
        <v>30</v>
      </c>
      <c r="O11698" t="s">
        <v>31</v>
      </c>
      <c r="P11698" t="str">
        <f t="shared" ref="P11698:P11704" si="136">"15210"</f>
        <v>15210</v>
      </c>
    </row>
    <row r="11699" spans="1:16" x14ac:dyDescent="0.25">
      <c r="A11699" t="str">
        <f>"1180014G00077    00"</f>
        <v>1180014G00077    00</v>
      </c>
      <c r="B11699" t="s">
        <v>25869</v>
      </c>
      <c r="C11699" t="s">
        <v>25870</v>
      </c>
      <c r="D11699" t="s">
        <v>20</v>
      </c>
      <c r="E11699" t="s">
        <v>39</v>
      </c>
      <c r="F11699">
        <v>0</v>
      </c>
      <c r="G11699">
        <v>0</v>
      </c>
      <c r="H11699">
        <v>1</v>
      </c>
      <c r="I11699" s="3">
        <v>332.12</v>
      </c>
      <c r="J11699" s="3">
        <v>0</v>
      </c>
      <c r="K11699" t="s">
        <v>25871</v>
      </c>
      <c r="L11699">
        <v>930</v>
      </c>
      <c r="M11699" t="s">
        <v>16473</v>
      </c>
      <c r="N11699" t="s">
        <v>30</v>
      </c>
      <c r="O11699" t="s">
        <v>31</v>
      </c>
      <c r="P11699" t="str">
        <f t="shared" si="136"/>
        <v>15210</v>
      </c>
    </row>
    <row r="11700" spans="1:16" x14ac:dyDescent="0.25">
      <c r="A11700" t="str">
        <f>"1180014G00079    00"</f>
        <v>1180014G00079    00</v>
      </c>
      <c r="B11700" t="s">
        <v>25872</v>
      </c>
      <c r="C11700" t="s">
        <v>25873</v>
      </c>
      <c r="D11700" t="s">
        <v>20</v>
      </c>
      <c r="E11700" t="s">
        <v>39</v>
      </c>
      <c r="F11700">
        <v>0</v>
      </c>
      <c r="G11700">
        <v>0</v>
      </c>
      <c r="H11700">
        <v>11</v>
      </c>
      <c r="I11700" s="3">
        <v>6479.04</v>
      </c>
      <c r="J11700" s="3">
        <v>2897.07</v>
      </c>
      <c r="L11700">
        <v>324</v>
      </c>
      <c r="M11700" t="s">
        <v>25874</v>
      </c>
      <c r="N11700" t="s">
        <v>30</v>
      </c>
      <c r="O11700" t="s">
        <v>31</v>
      </c>
      <c r="P11700" t="str">
        <f t="shared" si="136"/>
        <v>15210</v>
      </c>
    </row>
    <row r="11701" spans="1:16" x14ac:dyDescent="0.25">
      <c r="A11701" t="str">
        <f>"1180014G00094    00"</f>
        <v>1180014G00094    00</v>
      </c>
      <c r="B11701" t="s">
        <v>25875</v>
      </c>
      <c r="C11701" t="s">
        <v>25876</v>
      </c>
      <c r="D11701" t="s">
        <v>20</v>
      </c>
      <c r="E11701" t="s">
        <v>39</v>
      </c>
      <c r="F11701">
        <v>0</v>
      </c>
      <c r="G11701">
        <v>0</v>
      </c>
      <c r="H11701">
        <v>6</v>
      </c>
      <c r="I11701" s="3">
        <v>780.34</v>
      </c>
      <c r="J11701" s="3">
        <v>174.77</v>
      </c>
      <c r="K11701" t="s">
        <v>25877</v>
      </c>
      <c r="L11701">
        <v>1515</v>
      </c>
      <c r="M11701" t="s">
        <v>3525</v>
      </c>
      <c r="N11701" t="s">
        <v>30</v>
      </c>
      <c r="O11701" t="s">
        <v>31</v>
      </c>
      <c r="P11701" t="str">
        <f t="shared" si="136"/>
        <v>15210</v>
      </c>
    </row>
    <row r="11702" spans="1:16" x14ac:dyDescent="0.25">
      <c r="A11702" t="str">
        <f>"1180014G00100    00"</f>
        <v>1180014G00100    00</v>
      </c>
      <c r="B11702" t="s">
        <v>25878</v>
      </c>
      <c r="C11702" t="s">
        <v>25879</v>
      </c>
      <c r="D11702" t="s">
        <v>20</v>
      </c>
      <c r="E11702" t="s">
        <v>39</v>
      </c>
      <c r="F11702">
        <v>0</v>
      </c>
      <c r="G11702">
        <v>0</v>
      </c>
      <c r="H11702">
        <v>5</v>
      </c>
      <c r="I11702" s="3">
        <v>289.82</v>
      </c>
      <c r="J11702" s="3">
        <v>245.06</v>
      </c>
      <c r="L11702">
        <v>75</v>
      </c>
      <c r="M11702" t="s">
        <v>22999</v>
      </c>
      <c r="N11702" t="s">
        <v>30</v>
      </c>
      <c r="O11702" t="s">
        <v>31</v>
      </c>
      <c r="P11702" t="str">
        <f t="shared" si="136"/>
        <v>15210</v>
      </c>
    </row>
    <row r="11703" spans="1:16" x14ac:dyDescent="0.25">
      <c r="A11703" t="str">
        <f>"1180014G00101    00"</f>
        <v>1180014G00101    00</v>
      </c>
      <c r="B11703" t="s">
        <v>25880</v>
      </c>
      <c r="C11703" t="s">
        <v>25881</v>
      </c>
      <c r="D11703" t="s">
        <v>20</v>
      </c>
      <c r="E11703" t="s">
        <v>39</v>
      </c>
      <c r="F11703">
        <v>0</v>
      </c>
      <c r="G11703">
        <v>0</v>
      </c>
      <c r="H11703">
        <v>8</v>
      </c>
      <c r="I11703" s="3">
        <v>5173.03</v>
      </c>
      <c r="J11703" s="3">
        <v>1692.7</v>
      </c>
      <c r="K11703" t="s">
        <v>25882</v>
      </c>
      <c r="L11703">
        <v>73</v>
      </c>
      <c r="M11703" t="s">
        <v>22999</v>
      </c>
      <c r="N11703" t="s">
        <v>30</v>
      </c>
      <c r="O11703" t="s">
        <v>31</v>
      </c>
      <c r="P11703" t="str">
        <f t="shared" si="136"/>
        <v>15210</v>
      </c>
    </row>
    <row r="11704" spans="1:16" x14ac:dyDescent="0.25">
      <c r="A11704" t="str">
        <f>"1180014G00110    00"</f>
        <v>1180014G00110    00</v>
      </c>
      <c r="B11704" t="s">
        <v>25883</v>
      </c>
      <c r="C11704" t="s">
        <v>25884</v>
      </c>
      <c r="D11704" t="s">
        <v>20</v>
      </c>
      <c r="E11704" t="s">
        <v>39</v>
      </c>
      <c r="F11704">
        <v>0</v>
      </c>
      <c r="G11704">
        <v>0</v>
      </c>
      <c r="H11704">
        <v>2</v>
      </c>
      <c r="I11704" s="3">
        <v>373.54</v>
      </c>
      <c r="J11704" s="3">
        <v>0</v>
      </c>
      <c r="K11704" t="s">
        <v>25885</v>
      </c>
      <c r="L11704">
        <v>61</v>
      </c>
      <c r="M11704" t="s">
        <v>22999</v>
      </c>
      <c r="N11704" t="s">
        <v>30</v>
      </c>
      <c r="O11704" t="s">
        <v>31</v>
      </c>
      <c r="P11704" t="str">
        <f t="shared" si="136"/>
        <v>15210</v>
      </c>
    </row>
    <row r="11705" spans="1:16" x14ac:dyDescent="0.25">
      <c r="A11705" t="str">
        <f>"1180014G00117    00"</f>
        <v>1180014G00117    00</v>
      </c>
      <c r="B11705" t="s">
        <v>25886</v>
      </c>
      <c r="C11705" t="s">
        <v>25887</v>
      </c>
      <c r="D11705" t="s">
        <v>20</v>
      </c>
      <c r="E11705" t="s">
        <v>39</v>
      </c>
      <c r="F11705">
        <v>0</v>
      </c>
      <c r="G11705">
        <v>0</v>
      </c>
      <c r="H11705">
        <v>1</v>
      </c>
      <c r="I11705" s="3">
        <v>625.19000000000005</v>
      </c>
      <c r="J11705" s="3">
        <v>0</v>
      </c>
      <c r="K11705" t="s">
        <v>25888</v>
      </c>
      <c r="L11705">
        <v>504</v>
      </c>
      <c r="M11705" t="s">
        <v>25889</v>
      </c>
      <c r="N11705" t="s">
        <v>25890</v>
      </c>
      <c r="O11705" t="s">
        <v>31</v>
      </c>
      <c r="P11705" t="str">
        <f>"15144"</f>
        <v>15144</v>
      </c>
    </row>
    <row r="11706" spans="1:16" x14ac:dyDescent="0.25">
      <c r="A11706" t="str">
        <f>"1180014G00131    00"</f>
        <v>1180014G00131    00</v>
      </c>
      <c r="B11706" t="s">
        <v>25071</v>
      </c>
      <c r="C11706" t="s">
        <v>25891</v>
      </c>
      <c r="E11706" t="s">
        <v>39</v>
      </c>
      <c r="F11706">
        <v>0</v>
      </c>
      <c r="G11706">
        <v>0</v>
      </c>
      <c r="H11706">
        <v>1</v>
      </c>
      <c r="I11706" s="3">
        <v>285.92</v>
      </c>
      <c r="J11706" s="3">
        <v>0</v>
      </c>
      <c r="K11706" t="s">
        <v>25073</v>
      </c>
      <c r="L11706">
        <v>940</v>
      </c>
      <c r="M11706" t="s">
        <v>25074</v>
      </c>
      <c r="N11706" t="s">
        <v>30</v>
      </c>
      <c r="O11706" t="s">
        <v>31</v>
      </c>
      <c r="P11706" t="str">
        <f>"15220"</f>
        <v>15220</v>
      </c>
    </row>
    <row r="11707" spans="1:16" x14ac:dyDescent="0.25">
      <c r="A11707" t="str">
        <f>"1180014G00137    00"</f>
        <v>1180014G00137    00</v>
      </c>
      <c r="B11707" t="s">
        <v>25892</v>
      </c>
      <c r="C11707" t="s">
        <v>25893</v>
      </c>
      <c r="D11707" t="s">
        <v>20</v>
      </c>
      <c r="E11707" t="s">
        <v>39</v>
      </c>
      <c r="F11707">
        <v>0</v>
      </c>
      <c r="G11707">
        <v>0</v>
      </c>
      <c r="H11707">
        <v>19</v>
      </c>
      <c r="I11707" s="3">
        <v>9352.19</v>
      </c>
      <c r="J11707" s="3">
        <v>11031.57</v>
      </c>
      <c r="L11707">
        <v>1415</v>
      </c>
      <c r="M11707" t="s">
        <v>3525</v>
      </c>
      <c r="N11707" t="s">
        <v>30</v>
      </c>
      <c r="O11707" t="s">
        <v>31</v>
      </c>
      <c r="P11707" t="str">
        <f>"15210"</f>
        <v>15210</v>
      </c>
    </row>
    <row r="11708" spans="1:16" x14ac:dyDescent="0.25">
      <c r="A11708" t="str">
        <f>"1180014G00141    00"</f>
        <v>1180014G00141    00</v>
      </c>
      <c r="B11708" t="s">
        <v>25894</v>
      </c>
      <c r="C11708" t="s">
        <v>25895</v>
      </c>
      <c r="D11708" t="s">
        <v>20</v>
      </c>
      <c r="E11708" t="s">
        <v>39</v>
      </c>
      <c r="F11708">
        <v>0</v>
      </c>
      <c r="G11708">
        <v>0</v>
      </c>
      <c r="H11708">
        <v>4</v>
      </c>
      <c r="I11708" s="3">
        <v>860.59</v>
      </c>
      <c r="J11708" s="3">
        <v>117.52</v>
      </c>
      <c r="L11708">
        <v>912</v>
      </c>
      <c r="M11708" t="s">
        <v>11789</v>
      </c>
      <c r="N11708" t="s">
        <v>30</v>
      </c>
      <c r="O11708" t="s">
        <v>31</v>
      </c>
      <c r="P11708" t="str">
        <f>"15210"</f>
        <v>15210</v>
      </c>
    </row>
    <row r="11709" spans="1:16" x14ac:dyDescent="0.25">
      <c r="A11709" t="str">
        <f>"1180014G00145    00"</f>
        <v>1180014G00145    00</v>
      </c>
      <c r="B11709" t="s">
        <v>25896</v>
      </c>
      <c r="C11709" t="s">
        <v>25897</v>
      </c>
      <c r="D11709" t="s">
        <v>20</v>
      </c>
      <c r="E11709" t="s">
        <v>39</v>
      </c>
      <c r="F11709">
        <v>0</v>
      </c>
      <c r="G11709">
        <v>0</v>
      </c>
      <c r="H11709">
        <v>7</v>
      </c>
      <c r="I11709" s="3">
        <v>411.87</v>
      </c>
      <c r="J11709" s="3">
        <v>260.51</v>
      </c>
      <c r="L11709">
        <v>1419</v>
      </c>
      <c r="M11709" t="s">
        <v>3525</v>
      </c>
      <c r="N11709" t="s">
        <v>30</v>
      </c>
      <c r="O11709" t="s">
        <v>31</v>
      </c>
      <c r="P11709" t="str">
        <f>"15210"</f>
        <v>15210</v>
      </c>
    </row>
    <row r="11710" spans="1:16" x14ac:dyDescent="0.25">
      <c r="A11710" t="str">
        <f>"1180014G00148    00"</f>
        <v>1180014G00148    00</v>
      </c>
      <c r="B11710" t="s">
        <v>25898</v>
      </c>
      <c r="C11710" t="s">
        <v>25899</v>
      </c>
      <c r="E11710" t="s">
        <v>39</v>
      </c>
      <c r="F11710">
        <v>0</v>
      </c>
      <c r="G11710">
        <v>0</v>
      </c>
      <c r="H11710">
        <v>3</v>
      </c>
      <c r="I11710" s="3">
        <v>1072.26</v>
      </c>
      <c r="J11710" s="3">
        <v>368.28</v>
      </c>
      <c r="L11710">
        <v>920</v>
      </c>
      <c r="M11710" t="s">
        <v>11789</v>
      </c>
      <c r="N11710" t="s">
        <v>30</v>
      </c>
      <c r="O11710" t="s">
        <v>31</v>
      </c>
      <c r="P11710" t="str">
        <f>"15210"</f>
        <v>15210</v>
      </c>
    </row>
    <row r="11711" spans="1:16" x14ac:dyDescent="0.25">
      <c r="A11711" t="str">
        <f>"1180014G00151    00"</f>
        <v>1180014G00151    00</v>
      </c>
      <c r="B11711" t="s">
        <v>25900</v>
      </c>
      <c r="C11711" t="s">
        <v>25901</v>
      </c>
      <c r="D11711" t="s">
        <v>20</v>
      </c>
      <c r="E11711" t="s">
        <v>39</v>
      </c>
      <c r="F11711">
        <v>0</v>
      </c>
      <c r="G11711">
        <v>0</v>
      </c>
      <c r="H11711">
        <v>1</v>
      </c>
      <c r="I11711" s="3">
        <v>678.56</v>
      </c>
      <c r="J11711" s="3">
        <v>0</v>
      </c>
      <c r="L11711">
        <v>7004</v>
      </c>
      <c r="M11711" t="s">
        <v>25902</v>
      </c>
      <c r="N11711" t="s">
        <v>2943</v>
      </c>
      <c r="O11711" t="s">
        <v>31</v>
      </c>
      <c r="P11711" t="str">
        <f>"15025"</f>
        <v>15025</v>
      </c>
    </row>
    <row r="11712" spans="1:16" x14ac:dyDescent="0.25">
      <c r="A11712" t="str">
        <f>"1180014G00158    00"</f>
        <v>1180014G00158    00</v>
      </c>
      <c r="B11712" t="s">
        <v>25903</v>
      </c>
      <c r="C11712" t="s">
        <v>25904</v>
      </c>
      <c r="D11712" t="s">
        <v>20</v>
      </c>
      <c r="E11712" t="s">
        <v>39</v>
      </c>
      <c r="F11712">
        <v>0</v>
      </c>
      <c r="G11712">
        <v>0</v>
      </c>
      <c r="H11712">
        <v>1</v>
      </c>
      <c r="I11712" s="3">
        <v>895.84</v>
      </c>
      <c r="J11712" s="3">
        <v>0</v>
      </c>
      <c r="L11712">
        <v>9216</v>
      </c>
      <c r="M11712" t="s">
        <v>25905</v>
      </c>
      <c r="N11712" t="s">
        <v>25906</v>
      </c>
      <c r="O11712" t="s">
        <v>108</v>
      </c>
      <c r="P11712" t="str">
        <f>"75071"</f>
        <v>75071</v>
      </c>
    </row>
    <row r="11713" spans="1:16" x14ac:dyDescent="0.25">
      <c r="A11713" t="str">
        <f>"1180014G00160    00"</f>
        <v>1180014G00160    00</v>
      </c>
      <c r="B11713" t="s">
        <v>25907</v>
      </c>
      <c r="C11713" t="s">
        <v>25908</v>
      </c>
      <c r="D11713" t="s">
        <v>20</v>
      </c>
      <c r="E11713" t="s">
        <v>39</v>
      </c>
      <c r="F11713">
        <v>0</v>
      </c>
      <c r="G11713">
        <v>0</v>
      </c>
      <c r="H11713">
        <v>3</v>
      </c>
      <c r="I11713" s="3">
        <v>591.32000000000005</v>
      </c>
      <c r="J11713" s="3">
        <v>118.35</v>
      </c>
      <c r="L11713">
        <v>942</v>
      </c>
      <c r="M11713" t="s">
        <v>11789</v>
      </c>
      <c r="N11713" t="s">
        <v>30</v>
      </c>
      <c r="O11713" t="s">
        <v>31</v>
      </c>
      <c r="P11713" t="str">
        <f>"15210"</f>
        <v>15210</v>
      </c>
    </row>
    <row r="11714" spans="1:16" x14ac:dyDescent="0.25">
      <c r="A11714" t="str">
        <f>"1180014G00173    00"</f>
        <v>1180014G00173    00</v>
      </c>
      <c r="B11714" t="s">
        <v>25909</v>
      </c>
      <c r="C11714" t="s">
        <v>25910</v>
      </c>
      <c r="D11714" t="s">
        <v>20</v>
      </c>
      <c r="E11714" t="s">
        <v>39</v>
      </c>
      <c r="F11714">
        <v>0</v>
      </c>
      <c r="G11714">
        <v>0</v>
      </c>
      <c r="H11714">
        <v>7</v>
      </c>
      <c r="I11714" s="3">
        <v>4776.4399999999996</v>
      </c>
      <c r="J11714" s="3">
        <v>1320.84</v>
      </c>
      <c r="L11714">
        <v>105</v>
      </c>
      <c r="M11714" t="s">
        <v>25911</v>
      </c>
      <c r="N11714" t="s">
        <v>3556</v>
      </c>
      <c r="O11714" t="s">
        <v>31</v>
      </c>
      <c r="P11714" t="str">
        <f>"16117"</f>
        <v>16117</v>
      </c>
    </row>
    <row r="11715" spans="1:16" x14ac:dyDescent="0.25">
      <c r="A11715" t="str">
        <f>"1180014G00194    00"</f>
        <v>1180014G00194    00</v>
      </c>
      <c r="B11715" t="s">
        <v>25912</v>
      </c>
      <c r="C11715" t="s">
        <v>25562</v>
      </c>
      <c r="D11715" t="s">
        <v>20</v>
      </c>
      <c r="E11715" t="s">
        <v>39</v>
      </c>
      <c r="F11715">
        <v>0</v>
      </c>
      <c r="G11715">
        <v>0</v>
      </c>
      <c r="H11715">
        <v>19</v>
      </c>
      <c r="I11715" s="3">
        <v>1673.45</v>
      </c>
      <c r="J11715" s="3">
        <v>1187.18</v>
      </c>
      <c r="K11715" t="s">
        <v>1008</v>
      </c>
      <c r="P11715" t="str">
        <f>""</f>
        <v/>
      </c>
    </row>
    <row r="11716" spans="1:16" x14ac:dyDescent="0.25">
      <c r="A11716" t="str">
        <f>"1180014G00195    00"</f>
        <v>1180014G00195    00</v>
      </c>
      <c r="B11716" t="s">
        <v>25913</v>
      </c>
      <c r="C11716" t="s">
        <v>25914</v>
      </c>
      <c r="D11716" t="s">
        <v>20</v>
      </c>
      <c r="E11716" t="s">
        <v>39</v>
      </c>
      <c r="F11716">
        <v>0</v>
      </c>
      <c r="G11716">
        <v>0</v>
      </c>
      <c r="H11716">
        <v>11</v>
      </c>
      <c r="I11716" s="3">
        <v>7383.94</v>
      </c>
      <c r="J11716" s="3">
        <v>6277.26</v>
      </c>
      <c r="L11716">
        <v>907</v>
      </c>
      <c r="M11716" t="s">
        <v>11789</v>
      </c>
      <c r="N11716" t="s">
        <v>30</v>
      </c>
      <c r="O11716" t="s">
        <v>31</v>
      </c>
      <c r="P11716" t="str">
        <f>"15210"</f>
        <v>15210</v>
      </c>
    </row>
    <row r="11717" spans="1:16" x14ac:dyDescent="0.25">
      <c r="A11717" t="str">
        <f>"1180014G00204    00"</f>
        <v>1180014G00204    00</v>
      </c>
      <c r="B11717" t="s">
        <v>25915</v>
      </c>
      <c r="C11717" t="s">
        <v>25916</v>
      </c>
      <c r="D11717" t="s">
        <v>20</v>
      </c>
      <c r="E11717" t="s">
        <v>39</v>
      </c>
      <c r="F11717">
        <v>0</v>
      </c>
      <c r="G11717">
        <v>0</v>
      </c>
      <c r="H11717">
        <v>1</v>
      </c>
      <c r="I11717" s="3">
        <v>221.57</v>
      </c>
      <c r="J11717" s="3">
        <v>0</v>
      </c>
      <c r="K11717" t="s">
        <v>391</v>
      </c>
      <c r="L11717">
        <v>1</v>
      </c>
      <c r="M11717" t="s">
        <v>392</v>
      </c>
      <c r="N11717" t="s">
        <v>393</v>
      </c>
      <c r="O11717" t="s">
        <v>394</v>
      </c>
      <c r="P11717" t="str">
        <f>"50328"</f>
        <v>50328</v>
      </c>
    </row>
    <row r="11718" spans="1:16" x14ac:dyDescent="0.25">
      <c r="A11718" t="str">
        <f>"1180014G00212    00"</f>
        <v>1180014G00212    00</v>
      </c>
      <c r="B11718" t="s">
        <v>25917</v>
      </c>
      <c r="C11718" t="s">
        <v>25918</v>
      </c>
      <c r="E11718" t="s">
        <v>39</v>
      </c>
      <c r="F11718">
        <v>0</v>
      </c>
      <c r="G11718">
        <v>0</v>
      </c>
      <c r="H11718">
        <v>1</v>
      </c>
      <c r="I11718" s="3">
        <v>26.2</v>
      </c>
      <c r="J11718" s="3">
        <v>36.450000000000003</v>
      </c>
      <c r="L11718">
        <v>2033</v>
      </c>
      <c r="M11718" t="s">
        <v>25919</v>
      </c>
      <c r="N11718" t="s">
        <v>25920</v>
      </c>
      <c r="O11718" t="s">
        <v>495</v>
      </c>
      <c r="P11718" t="str">
        <f>"95926"</f>
        <v>95926</v>
      </c>
    </row>
    <row r="11719" spans="1:16" x14ac:dyDescent="0.25">
      <c r="A11719" t="str">
        <f>"1180014G00219    00"</f>
        <v>1180014G00219    00</v>
      </c>
      <c r="B11719" t="s">
        <v>25921</v>
      </c>
      <c r="C11719" t="s">
        <v>25922</v>
      </c>
      <c r="D11719" t="s">
        <v>20</v>
      </c>
      <c r="E11719" t="s">
        <v>39</v>
      </c>
      <c r="F11719">
        <v>0</v>
      </c>
      <c r="G11719">
        <v>0</v>
      </c>
      <c r="H11719">
        <v>2</v>
      </c>
      <c r="I11719" s="3">
        <v>261.95999999999998</v>
      </c>
      <c r="J11719" s="3">
        <v>0</v>
      </c>
      <c r="L11719">
        <v>934</v>
      </c>
      <c r="M11719" t="s">
        <v>2475</v>
      </c>
      <c r="N11719" t="s">
        <v>30</v>
      </c>
      <c r="O11719" t="s">
        <v>31</v>
      </c>
      <c r="P11719" t="str">
        <f t="shared" ref="P11719:P11724" si="137">"15210"</f>
        <v>15210</v>
      </c>
    </row>
    <row r="11720" spans="1:16" x14ac:dyDescent="0.25">
      <c r="A11720" t="str">
        <f>"1180014G00222    00"</f>
        <v>1180014G00222    00</v>
      </c>
      <c r="B11720" t="s">
        <v>25923</v>
      </c>
      <c r="C11720" t="s">
        <v>25924</v>
      </c>
      <c r="D11720" t="s">
        <v>20</v>
      </c>
      <c r="E11720" t="s">
        <v>39</v>
      </c>
      <c r="F11720">
        <v>0</v>
      </c>
      <c r="G11720">
        <v>0</v>
      </c>
      <c r="H11720">
        <v>5</v>
      </c>
      <c r="I11720" s="3">
        <v>1123.25</v>
      </c>
      <c r="J11720" s="3">
        <v>239.65</v>
      </c>
      <c r="L11720">
        <v>942</v>
      </c>
      <c r="M11720" t="s">
        <v>2475</v>
      </c>
      <c r="N11720" t="s">
        <v>30</v>
      </c>
      <c r="O11720" t="s">
        <v>31</v>
      </c>
      <c r="P11720" t="str">
        <f t="shared" si="137"/>
        <v>15210</v>
      </c>
    </row>
    <row r="11721" spans="1:16" x14ac:dyDescent="0.25">
      <c r="A11721" t="str">
        <f>"1180014G00229    00"</f>
        <v>1180014G00229    00</v>
      </c>
      <c r="B11721" t="s">
        <v>25925</v>
      </c>
      <c r="C11721" t="s">
        <v>25926</v>
      </c>
      <c r="D11721" t="s">
        <v>20</v>
      </c>
      <c r="E11721" t="s">
        <v>39</v>
      </c>
      <c r="F11721">
        <v>0</v>
      </c>
      <c r="G11721">
        <v>0</v>
      </c>
      <c r="H11721">
        <v>1</v>
      </c>
      <c r="I11721" s="3">
        <v>165.64</v>
      </c>
      <c r="J11721" s="3">
        <v>0</v>
      </c>
      <c r="K11721" t="s">
        <v>25927</v>
      </c>
      <c r="L11721">
        <v>958</v>
      </c>
      <c r="M11721" t="s">
        <v>2475</v>
      </c>
      <c r="N11721" t="s">
        <v>30</v>
      </c>
      <c r="O11721" t="s">
        <v>31</v>
      </c>
      <c r="P11721" t="str">
        <f t="shared" si="137"/>
        <v>15210</v>
      </c>
    </row>
    <row r="11722" spans="1:16" x14ac:dyDescent="0.25">
      <c r="A11722" t="str">
        <f>"1180014G00251    00"</f>
        <v>1180014G00251    00</v>
      </c>
      <c r="B11722" t="s">
        <v>25928</v>
      </c>
      <c r="C11722" t="s">
        <v>25929</v>
      </c>
      <c r="D11722" t="s">
        <v>20</v>
      </c>
      <c r="E11722" t="s">
        <v>39</v>
      </c>
      <c r="F11722">
        <v>0</v>
      </c>
      <c r="G11722">
        <v>0</v>
      </c>
      <c r="H11722">
        <v>8</v>
      </c>
      <c r="I11722" s="3">
        <v>5708.27</v>
      </c>
      <c r="J11722" s="3">
        <v>1867.82</v>
      </c>
      <c r="K11722" t="s">
        <v>25930</v>
      </c>
      <c r="L11722">
        <v>113</v>
      </c>
      <c r="M11722" t="s">
        <v>25931</v>
      </c>
      <c r="N11722" t="s">
        <v>30</v>
      </c>
      <c r="O11722" t="s">
        <v>31</v>
      </c>
      <c r="P11722" t="str">
        <f t="shared" si="137"/>
        <v>15210</v>
      </c>
    </row>
    <row r="11723" spans="1:16" x14ac:dyDescent="0.25">
      <c r="A11723" t="str">
        <f>"1180014G00266    00"</f>
        <v>1180014G00266    00</v>
      </c>
      <c r="B11723" t="s">
        <v>23532</v>
      </c>
      <c r="C11723" t="s">
        <v>25932</v>
      </c>
      <c r="D11723" t="s">
        <v>20</v>
      </c>
      <c r="E11723" t="s">
        <v>39</v>
      </c>
      <c r="F11723">
        <v>0</v>
      </c>
      <c r="G11723">
        <v>0</v>
      </c>
      <c r="H11723">
        <v>11</v>
      </c>
      <c r="I11723" s="3">
        <v>7237.1</v>
      </c>
      <c r="J11723" s="3">
        <v>1236.06</v>
      </c>
      <c r="L11723">
        <v>328</v>
      </c>
      <c r="M11723" t="s">
        <v>25448</v>
      </c>
      <c r="N11723" t="s">
        <v>30</v>
      </c>
      <c r="O11723" t="s">
        <v>31</v>
      </c>
      <c r="P11723" t="str">
        <f t="shared" si="137"/>
        <v>15210</v>
      </c>
    </row>
    <row r="11724" spans="1:16" x14ac:dyDescent="0.25">
      <c r="A11724" t="str">
        <f>"1180014G00270    00"</f>
        <v>1180014G00270    00</v>
      </c>
      <c r="B11724" t="s">
        <v>25933</v>
      </c>
      <c r="C11724" t="s">
        <v>25934</v>
      </c>
      <c r="E11724" t="s">
        <v>39</v>
      </c>
      <c r="F11724">
        <v>0</v>
      </c>
      <c r="G11724">
        <v>0</v>
      </c>
      <c r="H11724">
        <v>13</v>
      </c>
      <c r="I11724" s="3">
        <v>3773.83</v>
      </c>
      <c r="J11724" s="3">
        <v>2419.11</v>
      </c>
      <c r="L11724">
        <v>950</v>
      </c>
      <c r="M11724" t="s">
        <v>25387</v>
      </c>
      <c r="N11724" t="s">
        <v>30</v>
      </c>
      <c r="O11724" t="s">
        <v>31</v>
      </c>
      <c r="P11724" t="str">
        <f t="shared" si="137"/>
        <v>15210</v>
      </c>
    </row>
    <row r="11725" spans="1:16" x14ac:dyDescent="0.25">
      <c r="A11725" t="str">
        <f>"1180014G00271    00"</f>
        <v>1180014G00271    00</v>
      </c>
      <c r="B11725" t="s">
        <v>25935</v>
      </c>
      <c r="C11725" t="s">
        <v>25936</v>
      </c>
      <c r="D11725" t="s">
        <v>20</v>
      </c>
      <c r="E11725" t="s">
        <v>39</v>
      </c>
      <c r="F11725">
        <v>0</v>
      </c>
      <c r="G11725">
        <v>0</v>
      </c>
      <c r="H11725">
        <v>9</v>
      </c>
      <c r="I11725" s="3">
        <v>4614.8</v>
      </c>
      <c r="J11725" s="3">
        <v>54.56</v>
      </c>
      <c r="M11725" t="s">
        <v>25937</v>
      </c>
      <c r="N11725" t="s">
        <v>9778</v>
      </c>
      <c r="O11725" t="s">
        <v>423</v>
      </c>
      <c r="P11725" t="str">
        <f>"07303"</f>
        <v>07303</v>
      </c>
    </row>
    <row r="11726" spans="1:16" x14ac:dyDescent="0.25">
      <c r="A11726" t="str">
        <f>"1180014G00277    00"</f>
        <v>1180014G00277    00</v>
      </c>
      <c r="B11726" t="s">
        <v>25938</v>
      </c>
      <c r="C11726" t="s">
        <v>25939</v>
      </c>
      <c r="D11726" t="s">
        <v>20</v>
      </c>
      <c r="E11726" t="s">
        <v>39</v>
      </c>
      <c r="F11726">
        <v>0</v>
      </c>
      <c r="G11726">
        <v>0</v>
      </c>
      <c r="H11726">
        <v>1</v>
      </c>
      <c r="I11726" s="3">
        <v>66.72</v>
      </c>
      <c r="J11726" s="3">
        <v>0</v>
      </c>
      <c r="L11726">
        <v>960</v>
      </c>
      <c r="M11726" t="s">
        <v>25387</v>
      </c>
      <c r="N11726" t="s">
        <v>30</v>
      </c>
      <c r="O11726" t="s">
        <v>31</v>
      </c>
      <c r="P11726" t="str">
        <f>"15210"</f>
        <v>15210</v>
      </c>
    </row>
    <row r="11727" spans="1:16" x14ac:dyDescent="0.25">
      <c r="A11727" t="str">
        <f>"1180014G00278    00"</f>
        <v>1180014G00278    00</v>
      </c>
      <c r="B11727" t="s">
        <v>25938</v>
      </c>
      <c r="C11727" t="s">
        <v>25386</v>
      </c>
      <c r="D11727" t="s">
        <v>20</v>
      </c>
      <c r="E11727" t="s">
        <v>39</v>
      </c>
      <c r="F11727">
        <v>0</v>
      </c>
      <c r="G11727">
        <v>0</v>
      </c>
      <c r="H11727">
        <v>1</v>
      </c>
      <c r="I11727" s="3">
        <v>66.72</v>
      </c>
      <c r="J11727" s="3">
        <v>0</v>
      </c>
      <c r="K11727" t="s">
        <v>25940</v>
      </c>
      <c r="L11727">
        <v>849</v>
      </c>
      <c r="M11727" t="s">
        <v>25941</v>
      </c>
      <c r="N11727" t="s">
        <v>8009</v>
      </c>
      <c r="O11727" t="s">
        <v>31</v>
      </c>
      <c r="P11727" t="str">
        <f>"16323"</f>
        <v>16323</v>
      </c>
    </row>
    <row r="11728" spans="1:16" x14ac:dyDescent="0.25">
      <c r="A11728" t="str">
        <f>"1180014G00280    00"</f>
        <v>1180014G00280    00</v>
      </c>
      <c r="B11728" t="s">
        <v>25938</v>
      </c>
      <c r="C11728" t="s">
        <v>25623</v>
      </c>
      <c r="D11728" t="s">
        <v>20</v>
      </c>
      <c r="E11728" t="s">
        <v>39</v>
      </c>
      <c r="F11728">
        <v>0</v>
      </c>
      <c r="G11728">
        <v>0</v>
      </c>
      <c r="H11728">
        <v>1</v>
      </c>
      <c r="I11728" s="3">
        <v>66.72</v>
      </c>
      <c r="J11728" s="3">
        <v>0</v>
      </c>
      <c r="K11728" t="s">
        <v>25940</v>
      </c>
      <c r="L11728">
        <v>960</v>
      </c>
      <c r="M11728" t="s">
        <v>25387</v>
      </c>
      <c r="N11728" t="s">
        <v>30</v>
      </c>
      <c r="O11728" t="s">
        <v>31</v>
      </c>
      <c r="P11728" t="str">
        <f>"15210"</f>
        <v>15210</v>
      </c>
    </row>
    <row r="11729" spans="1:16" x14ac:dyDescent="0.25">
      <c r="A11729" t="str">
        <f>"1180014G00285    00"</f>
        <v>1180014G00285    00</v>
      </c>
      <c r="B11729" t="s">
        <v>25445</v>
      </c>
      <c r="C11729" t="s">
        <v>25942</v>
      </c>
      <c r="D11729" t="s">
        <v>20</v>
      </c>
      <c r="E11729" t="s">
        <v>39</v>
      </c>
      <c r="F11729">
        <v>0</v>
      </c>
      <c r="G11729">
        <v>0</v>
      </c>
      <c r="H11729">
        <v>6</v>
      </c>
      <c r="I11729" s="3">
        <v>3213.29</v>
      </c>
      <c r="J11729" s="3">
        <v>0</v>
      </c>
      <c r="K11729" t="s">
        <v>25447</v>
      </c>
      <c r="L11729">
        <v>328</v>
      </c>
      <c r="M11729" t="s">
        <v>25448</v>
      </c>
      <c r="N11729" t="s">
        <v>30</v>
      </c>
      <c r="O11729" t="s">
        <v>31</v>
      </c>
      <c r="P11729" t="str">
        <f>"15210"</f>
        <v>15210</v>
      </c>
    </row>
    <row r="11730" spans="1:16" x14ac:dyDescent="0.25">
      <c r="A11730" t="str">
        <f>"1180014J00116    00"</f>
        <v>1180014J00116    00</v>
      </c>
      <c r="B11730" t="s">
        <v>25943</v>
      </c>
      <c r="C11730" t="s">
        <v>25944</v>
      </c>
      <c r="D11730" t="s">
        <v>20</v>
      </c>
      <c r="E11730" t="s">
        <v>39</v>
      </c>
      <c r="F11730">
        <v>0</v>
      </c>
      <c r="G11730">
        <v>0</v>
      </c>
      <c r="H11730">
        <v>17</v>
      </c>
      <c r="I11730" s="3">
        <v>6460.66</v>
      </c>
      <c r="J11730" s="3">
        <v>5052.26</v>
      </c>
      <c r="L11730">
        <v>501</v>
      </c>
      <c r="M11730" t="s">
        <v>25945</v>
      </c>
      <c r="N11730" t="s">
        <v>238</v>
      </c>
      <c r="O11730" t="s">
        <v>31</v>
      </c>
      <c r="P11730" t="str">
        <f>"15132"</f>
        <v>15132</v>
      </c>
    </row>
    <row r="11731" spans="1:16" x14ac:dyDescent="0.25">
      <c r="A11731" t="str">
        <f>"1180014J00121    00"</f>
        <v>1180014J00121    00</v>
      </c>
      <c r="B11731" t="s">
        <v>25946</v>
      </c>
      <c r="C11731" t="s">
        <v>25678</v>
      </c>
      <c r="D11731" t="s">
        <v>20</v>
      </c>
      <c r="E11731" t="s">
        <v>39</v>
      </c>
      <c r="F11731">
        <v>0</v>
      </c>
      <c r="G11731">
        <v>0</v>
      </c>
      <c r="H11731">
        <v>19</v>
      </c>
      <c r="I11731" s="3">
        <v>1367.75</v>
      </c>
      <c r="J11731" s="3">
        <v>1348.38</v>
      </c>
      <c r="L11731">
        <v>626</v>
      </c>
      <c r="M11731" t="s">
        <v>25680</v>
      </c>
      <c r="N11731" t="s">
        <v>30</v>
      </c>
      <c r="O11731" t="s">
        <v>31</v>
      </c>
      <c r="P11731" t="str">
        <f>"15210"</f>
        <v>15210</v>
      </c>
    </row>
    <row r="11732" spans="1:16" x14ac:dyDescent="0.25">
      <c r="A11732" t="str">
        <f>"1180014J00123    00"</f>
        <v>1180014J00123    00</v>
      </c>
      <c r="B11732" t="s">
        <v>25947</v>
      </c>
      <c r="C11732" t="s">
        <v>25678</v>
      </c>
      <c r="D11732" t="s">
        <v>20</v>
      </c>
      <c r="E11732" t="s">
        <v>39</v>
      </c>
      <c r="F11732">
        <v>0</v>
      </c>
      <c r="G11732">
        <v>0</v>
      </c>
      <c r="H11732">
        <v>19</v>
      </c>
      <c r="I11732" s="3">
        <v>1831.49</v>
      </c>
      <c r="J11732" s="3">
        <v>1957.96</v>
      </c>
      <c r="P11732" t="str">
        <f>""</f>
        <v/>
      </c>
    </row>
    <row r="11733" spans="1:16" x14ac:dyDescent="0.25">
      <c r="A11733" t="str">
        <f>"1180014J00132    00"</f>
        <v>1180014J00132    00</v>
      </c>
      <c r="B11733" t="s">
        <v>25948</v>
      </c>
      <c r="C11733" t="s">
        <v>25949</v>
      </c>
      <c r="D11733" t="s">
        <v>20</v>
      </c>
      <c r="E11733" t="s">
        <v>39</v>
      </c>
      <c r="F11733">
        <v>0</v>
      </c>
      <c r="G11733">
        <v>0</v>
      </c>
      <c r="H11733">
        <v>5</v>
      </c>
      <c r="I11733" s="3">
        <v>217.06</v>
      </c>
      <c r="J11733" s="3">
        <v>57.4</v>
      </c>
      <c r="K11733" t="s">
        <v>25950</v>
      </c>
      <c r="L11733">
        <v>702</v>
      </c>
      <c r="M11733" t="s">
        <v>25680</v>
      </c>
      <c r="N11733" t="s">
        <v>30</v>
      </c>
      <c r="O11733" t="s">
        <v>31</v>
      </c>
      <c r="P11733" t="str">
        <f>"15210"</f>
        <v>15210</v>
      </c>
    </row>
    <row r="11734" spans="1:16" x14ac:dyDescent="0.25">
      <c r="A11734" t="str">
        <f>"1180014J00134    00"</f>
        <v>1180014J00134    00</v>
      </c>
      <c r="B11734" t="s">
        <v>25951</v>
      </c>
      <c r="C11734" t="s">
        <v>25678</v>
      </c>
      <c r="D11734" t="s">
        <v>20</v>
      </c>
      <c r="E11734" t="s">
        <v>39</v>
      </c>
      <c r="F11734">
        <v>0</v>
      </c>
      <c r="G11734">
        <v>0</v>
      </c>
      <c r="H11734">
        <v>5</v>
      </c>
      <c r="I11734" s="3">
        <v>93.7</v>
      </c>
      <c r="J11734" s="3">
        <v>16.579999999999998</v>
      </c>
      <c r="L11734">
        <v>2549</v>
      </c>
      <c r="M11734" t="s">
        <v>25952</v>
      </c>
      <c r="N11734" t="s">
        <v>30</v>
      </c>
      <c r="O11734" t="s">
        <v>31</v>
      </c>
      <c r="P11734" t="str">
        <f>"15234"</f>
        <v>15234</v>
      </c>
    </row>
    <row r="11735" spans="1:16" x14ac:dyDescent="0.25">
      <c r="A11735" t="str">
        <f>"1180014J00138    00"</f>
        <v>1180014J00138    00</v>
      </c>
      <c r="B11735" t="s">
        <v>22078</v>
      </c>
      <c r="C11735" t="s">
        <v>25378</v>
      </c>
      <c r="D11735" t="s">
        <v>20</v>
      </c>
      <c r="E11735" t="s">
        <v>39</v>
      </c>
      <c r="F11735">
        <v>0</v>
      </c>
      <c r="G11735">
        <v>0</v>
      </c>
      <c r="H11735">
        <v>19</v>
      </c>
      <c r="I11735" s="3">
        <v>3073.86</v>
      </c>
      <c r="J11735" s="3">
        <v>4109.2</v>
      </c>
      <c r="L11735">
        <v>416</v>
      </c>
      <c r="M11735" t="s">
        <v>25043</v>
      </c>
      <c r="N11735" t="s">
        <v>30</v>
      </c>
      <c r="O11735" t="s">
        <v>31</v>
      </c>
      <c r="P11735" t="str">
        <f>"15210"</f>
        <v>15210</v>
      </c>
    </row>
    <row r="11736" spans="1:16" x14ac:dyDescent="0.25">
      <c r="A11736" t="str">
        <f>"1180014J00139    00"</f>
        <v>1180014J00139    00</v>
      </c>
      <c r="B11736" t="s">
        <v>25953</v>
      </c>
      <c r="C11736" t="s">
        <v>25378</v>
      </c>
      <c r="D11736" t="s">
        <v>20</v>
      </c>
      <c r="E11736" t="s">
        <v>39</v>
      </c>
      <c r="F11736">
        <v>0</v>
      </c>
      <c r="G11736">
        <v>0</v>
      </c>
      <c r="H11736">
        <v>19</v>
      </c>
      <c r="I11736" s="3">
        <v>16743.04</v>
      </c>
      <c r="J11736" s="3">
        <v>19082.45</v>
      </c>
      <c r="L11736">
        <v>418</v>
      </c>
      <c r="M11736" t="s">
        <v>25043</v>
      </c>
      <c r="N11736" t="s">
        <v>30</v>
      </c>
      <c r="O11736" t="s">
        <v>31</v>
      </c>
      <c r="P11736" t="str">
        <f>"15210"</f>
        <v>15210</v>
      </c>
    </row>
    <row r="11737" spans="1:16" x14ac:dyDescent="0.25">
      <c r="A11737" t="str">
        <f>"1180014J00145    00"</f>
        <v>1180014J00145    00</v>
      </c>
      <c r="B11737" t="s">
        <v>25954</v>
      </c>
      <c r="C11737" t="s">
        <v>25955</v>
      </c>
      <c r="E11737" t="s">
        <v>39</v>
      </c>
      <c r="F11737">
        <v>0</v>
      </c>
      <c r="G11737">
        <v>0</v>
      </c>
      <c r="H11737">
        <v>1</v>
      </c>
      <c r="I11737" s="3">
        <v>154.18</v>
      </c>
      <c r="J11737" s="3">
        <v>0</v>
      </c>
      <c r="K11737" t="s">
        <v>25956</v>
      </c>
      <c r="L11737">
        <v>508</v>
      </c>
      <c r="M11737" t="s">
        <v>25043</v>
      </c>
      <c r="N11737" t="s">
        <v>30</v>
      </c>
      <c r="O11737" t="s">
        <v>31</v>
      </c>
      <c r="P11737" t="str">
        <f>"15210"</f>
        <v>15210</v>
      </c>
    </row>
    <row r="11738" spans="1:16" x14ac:dyDescent="0.25">
      <c r="A11738" t="str">
        <f>"1180014J00147    00"</f>
        <v>1180014J00147    00</v>
      </c>
      <c r="B11738" t="s">
        <v>25957</v>
      </c>
      <c r="C11738" t="s">
        <v>25958</v>
      </c>
      <c r="D11738" t="s">
        <v>20</v>
      </c>
      <c r="E11738" t="s">
        <v>39</v>
      </c>
      <c r="F11738">
        <v>0</v>
      </c>
      <c r="G11738">
        <v>0</v>
      </c>
      <c r="H11738">
        <v>5</v>
      </c>
      <c r="I11738" s="3">
        <v>1196.3800000000001</v>
      </c>
      <c r="J11738" s="3">
        <v>206.69</v>
      </c>
      <c r="L11738">
        <v>1813</v>
      </c>
      <c r="M11738" t="s">
        <v>25959</v>
      </c>
      <c r="N11738" t="s">
        <v>7608</v>
      </c>
      <c r="O11738" t="s">
        <v>31</v>
      </c>
      <c r="P11738" t="str">
        <f>"15068"</f>
        <v>15068</v>
      </c>
    </row>
    <row r="11739" spans="1:16" x14ac:dyDescent="0.25">
      <c r="A11739" t="str">
        <f>"1180014J00164    00"</f>
        <v>1180014J00164    00</v>
      </c>
      <c r="B11739" t="s">
        <v>25960</v>
      </c>
      <c r="C11739" t="s">
        <v>25378</v>
      </c>
      <c r="D11739" t="s">
        <v>20</v>
      </c>
      <c r="E11739" t="s">
        <v>39</v>
      </c>
      <c r="F11739">
        <v>0</v>
      </c>
      <c r="G11739">
        <v>0</v>
      </c>
      <c r="H11739">
        <v>19</v>
      </c>
      <c r="I11739" s="3">
        <v>3721.52</v>
      </c>
      <c r="J11739" s="3">
        <v>4983.67</v>
      </c>
      <c r="L11739">
        <v>700</v>
      </c>
      <c r="M11739" t="s">
        <v>25043</v>
      </c>
      <c r="N11739" t="s">
        <v>30</v>
      </c>
      <c r="O11739" t="s">
        <v>31</v>
      </c>
      <c r="P11739" t="str">
        <f>"15210"</f>
        <v>15210</v>
      </c>
    </row>
    <row r="11740" spans="1:16" x14ac:dyDescent="0.25">
      <c r="A11740" t="str">
        <f>"1180014J00166    00"</f>
        <v>1180014J00166    00</v>
      </c>
      <c r="B11740" t="s">
        <v>25961</v>
      </c>
      <c r="C11740" t="s">
        <v>25962</v>
      </c>
      <c r="D11740" t="s">
        <v>20</v>
      </c>
      <c r="E11740" t="s">
        <v>39</v>
      </c>
      <c r="F11740">
        <v>0</v>
      </c>
      <c r="G11740">
        <v>0</v>
      </c>
      <c r="H11740">
        <v>6</v>
      </c>
      <c r="I11740" s="3">
        <v>2596.17</v>
      </c>
      <c r="J11740" s="3">
        <v>472.06</v>
      </c>
      <c r="L11740">
        <v>702</v>
      </c>
      <c r="M11740" t="s">
        <v>25043</v>
      </c>
      <c r="N11740" t="s">
        <v>30</v>
      </c>
      <c r="O11740" t="s">
        <v>31</v>
      </c>
      <c r="P11740" t="str">
        <f>"15210"</f>
        <v>15210</v>
      </c>
    </row>
    <row r="11741" spans="1:16" x14ac:dyDescent="0.25">
      <c r="A11741" t="str">
        <f>"1180014J00168    00"</f>
        <v>1180014J00168    00</v>
      </c>
      <c r="B11741" t="s">
        <v>25963</v>
      </c>
      <c r="C11741" t="s">
        <v>25964</v>
      </c>
      <c r="D11741" t="s">
        <v>20</v>
      </c>
      <c r="E11741" t="s">
        <v>39</v>
      </c>
      <c r="F11741">
        <v>0</v>
      </c>
      <c r="G11741">
        <v>0</v>
      </c>
      <c r="H11741">
        <v>2</v>
      </c>
      <c r="I11741" s="3">
        <v>1373.81</v>
      </c>
      <c r="J11741" s="3">
        <v>0</v>
      </c>
      <c r="K11741" t="s">
        <v>6184</v>
      </c>
      <c r="L11741">
        <v>901</v>
      </c>
      <c r="M11741" t="s">
        <v>1503</v>
      </c>
      <c r="N11741" t="s">
        <v>494</v>
      </c>
      <c r="O11741" t="s">
        <v>495</v>
      </c>
      <c r="P11741" t="str">
        <f>"91768"</f>
        <v>91768</v>
      </c>
    </row>
    <row r="11742" spans="1:16" x14ac:dyDescent="0.25">
      <c r="A11742" t="str">
        <f>"1180014J00169    00"</f>
        <v>1180014J00169    00</v>
      </c>
      <c r="B11742" t="s">
        <v>25965</v>
      </c>
      <c r="C11742" t="s">
        <v>25378</v>
      </c>
      <c r="E11742" t="s">
        <v>39</v>
      </c>
      <c r="F11742">
        <v>0</v>
      </c>
      <c r="G11742">
        <v>0</v>
      </c>
      <c r="H11742">
        <v>18</v>
      </c>
      <c r="I11742" s="3">
        <v>1397.45</v>
      </c>
      <c r="J11742" s="3">
        <v>1535.72</v>
      </c>
      <c r="L11742">
        <v>706</v>
      </c>
      <c r="M11742" t="s">
        <v>25043</v>
      </c>
      <c r="N11742" t="s">
        <v>30</v>
      </c>
      <c r="O11742" t="s">
        <v>31</v>
      </c>
      <c r="P11742" t="str">
        <f>"15210"</f>
        <v>15210</v>
      </c>
    </row>
    <row r="11743" spans="1:16" x14ac:dyDescent="0.25">
      <c r="A11743" t="str">
        <f>"1180014J00171    00"</f>
        <v>1180014J00171    00</v>
      </c>
      <c r="B11743" t="s">
        <v>25966</v>
      </c>
      <c r="C11743" t="s">
        <v>25967</v>
      </c>
      <c r="D11743" t="s">
        <v>20</v>
      </c>
      <c r="E11743" t="s">
        <v>39</v>
      </c>
      <c r="F11743">
        <v>0</v>
      </c>
      <c r="G11743">
        <v>0</v>
      </c>
      <c r="H11743">
        <v>14</v>
      </c>
      <c r="I11743" s="3">
        <v>8438.6299999999992</v>
      </c>
      <c r="J11743" s="3">
        <v>6291.09</v>
      </c>
      <c r="L11743">
        <v>710</v>
      </c>
      <c r="M11743" t="s">
        <v>25968</v>
      </c>
      <c r="N11743" t="s">
        <v>30</v>
      </c>
      <c r="O11743" t="s">
        <v>31</v>
      </c>
      <c r="P11743" t="str">
        <f>"15210"</f>
        <v>15210</v>
      </c>
    </row>
    <row r="11744" spans="1:16" x14ac:dyDescent="0.25">
      <c r="A11744" t="str">
        <f>"1180014J00173    00"</f>
        <v>1180014J00173    00</v>
      </c>
      <c r="B11744" t="s">
        <v>16277</v>
      </c>
      <c r="C11744" t="s">
        <v>25969</v>
      </c>
      <c r="D11744" t="s">
        <v>20</v>
      </c>
      <c r="E11744" t="s">
        <v>39</v>
      </c>
      <c r="F11744">
        <v>0</v>
      </c>
      <c r="G11744">
        <v>0</v>
      </c>
      <c r="H11744">
        <v>12</v>
      </c>
      <c r="I11744" s="3">
        <v>7614.24</v>
      </c>
      <c r="J11744" s="3">
        <v>3678.56</v>
      </c>
      <c r="M11744" t="s">
        <v>16278</v>
      </c>
      <c r="N11744" t="s">
        <v>30</v>
      </c>
      <c r="O11744" t="s">
        <v>31</v>
      </c>
      <c r="P11744" t="str">
        <f>"15210"</f>
        <v>15210</v>
      </c>
    </row>
    <row r="11745" spans="1:16" x14ac:dyDescent="0.25">
      <c r="A11745" t="str">
        <f>"1180014J00179    00"</f>
        <v>1180014J00179    00</v>
      </c>
      <c r="B11745" t="s">
        <v>25970</v>
      </c>
      <c r="C11745" t="s">
        <v>25971</v>
      </c>
      <c r="D11745" t="s">
        <v>20</v>
      </c>
      <c r="E11745" t="s">
        <v>39</v>
      </c>
      <c r="F11745">
        <v>0</v>
      </c>
      <c r="G11745">
        <v>0</v>
      </c>
      <c r="H11745">
        <v>15</v>
      </c>
      <c r="I11745" s="3">
        <v>925.65</v>
      </c>
      <c r="J11745" s="3">
        <v>710.32</v>
      </c>
      <c r="L11745">
        <v>3256</v>
      </c>
      <c r="M11745" t="s">
        <v>25972</v>
      </c>
      <c r="N11745" t="s">
        <v>30</v>
      </c>
      <c r="O11745" t="s">
        <v>31</v>
      </c>
      <c r="P11745" t="str">
        <f>"15216"</f>
        <v>15216</v>
      </c>
    </row>
    <row r="11746" spans="1:16" x14ac:dyDescent="0.25">
      <c r="A11746" t="str">
        <f>"1180014J00181    00"</f>
        <v>1180014J00181    00</v>
      </c>
      <c r="B11746" t="s">
        <v>25973</v>
      </c>
      <c r="C11746" t="s">
        <v>25974</v>
      </c>
      <c r="D11746" t="s">
        <v>20</v>
      </c>
      <c r="E11746" t="s">
        <v>39</v>
      </c>
      <c r="F11746">
        <v>0</v>
      </c>
      <c r="G11746">
        <v>0</v>
      </c>
      <c r="H11746">
        <v>15</v>
      </c>
      <c r="I11746" s="3">
        <v>4336.21</v>
      </c>
      <c r="J11746" s="3">
        <v>3756.03</v>
      </c>
      <c r="K11746" t="s">
        <v>25975</v>
      </c>
      <c r="L11746">
        <v>519</v>
      </c>
      <c r="M11746" t="s">
        <v>12198</v>
      </c>
      <c r="N11746" t="s">
        <v>30</v>
      </c>
      <c r="O11746" t="s">
        <v>31</v>
      </c>
      <c r="P11746" t="str">
        <f>"15210"</f>
        <v>15210</v>
      </c>
    </row>
    <row r="11747" spans="1:16" x14ac:dyDescent="0.25">
      <c r="A11747" t="str">
        <f>"1180014J00185    00"</f>
        <v>1180014J00185    00</v>
      </c>
      <c r="B11747" t="s">
        <v>25976</v>
      </c>
      <c r="C11747" t="s">
        <v>25977</v>
      </c>
      <c r="D11747" t="s">
        <v>20</v>
      </c>
      <c r="E11747" t="s">
        <v>39</v>
      </c>
      <c r="F11747">
        <v>0</v>
      </c>
      <c r="G11747">
        <v>0</v>
      </c>
      <c r="H11747">
        <v>16</v>
      </c>
      <c r="I11747" s="3">
        <v>313.74</v>
      </c>
      <c r="J11747" s="3">
        <v>279.61</v>
      </c>
      <c r="L11747">
        <v>504</v>
      </c>
      <c r="M11747" t="s">
        <v>25978</v>
      </c>
      <c r="N11747" t="s">
        <v>30</v>
      </c>
      <c r="O11747" t="s">
        <v>31</v>
      </c>
      <c r="P11747" t="str">
        <f>"15210"</f>
        <v>15210</v>
      </c>
    </row>
    <row r="11748" spans="1:16" x14ac:dyDescent="0.25">
      <c r="A11748" t="str">
        <f>"1180014J00188    00"</f>
        <v>1180014J00188    00</v>
      </c>
      <c r="B11748" t="s">
        <v>25979</v>
      </c>
      <c r="C11748" t="s">
        <v>25977</v>
      </c>
      <c r="D11748" t="s">
        <v>20</v>
      </c>
      <c r="E11748" t="s">
        <v>39</v>
      </c>
      <c r="F11748">
        <v>0</v>
      </c>
      <c r="G11748">
        <v>0</v>
      </c>
      <c r="H11748">
        <v>19</v>
      </c>
      <c r="I11748" s="3">
        <v>5215.12</v>
      </c>
      <c r="J11748" s="3">
        <v>7205.38</v>
      </c>
      <c r="K11748" t="s">
        <v>25980</v>
      </c>
      <c r="L11748">
        <v>518</v>
      </c>
      <c r="M11748" t="s">
        <v>25981</v>
      </c>
      <c r="N11748" t="s">
        <v>30</v>
      </c>
      <c r="O11748" t="s">
        <v>31</v>
      </c>
      <c r="P11748" t="str">
        <f>"15219"</f>
        <v>15219</v>
      </c>
    </row>
    <row r="11749" spans="1:16" x14ac:dyDescent="0.25">
      <c r="A11749" t="str">
        <f>"1180014J00189    00"</f>
        <v>1180014J00189    00</v>
      </c>
      <c r="B11749" t="s">
        <v>25826</v>
      </c>
      <c r="C11749" t="s">
        <v>25977</v>
      </c>
      <c r="D11749" t="s">
        <v>20</v>
      </c>
      <c r="E11749" t="s">
        <v>39</v>
      </c>
      <c r="F11749">
        <v>0</v>
      </c>
      <c r="G11749">
        <v>0</v>
      </c>
      <c r="H11749">
        <v>19</v>
      </c>
      <c r="I11749" s="3">
        <v>342.86</v>
      </c>
      <c r="J11749" s="3">
        <v>293.64</v>
      </c>
      <c r="L11749">
        <v>1522</v>
      </c>
      <c r="M11749" t="s">
        <v>25827</v>
      </c>
      <c r="N11749" t="s">
        <v>30</v>
      </c>
      <c r="O11749" t="s">
        <v>31</v>
      </c>
      <c r="P11749" t="str">
        <f>"15216"</f>
        <v>15216</v>
      </c>
    </row>
    <row r="11750" spans="1:16" x14ac:dyDescent="0.25">
      <c r="A11750" t="str">
        <f>"1180014J00190    00"</f>
        <v>1180014J00190    00</v>
      </c>
      <c r="B11750" t="s">
        <v>25982</v>
      </c>
      <c r="C11750" t="s">
        <v>25977</v>
      </c>
      <c r="D11750" t="s">
        <v>20</v>
      </c>
      <c r="E11750" t="s">
        <v>39</v>
      </c>
      <c r="F11750">
        <v>0</v>
      </c>
      <c r="G11750">
        <v>0</v>
      </c>
      <c r="H11750">
        <v>16</v>
      </c>
      <c r="I11750" s="3">
        <v>160</v>
      </c>
      <c r="J11750" s="3">
        <v>192.07</v>
      </c>
      <c r="L11750">
        <v>2851</v>
      </c>
      <c r="M11750" t="s">
        <v>854</v>
      </c>
      <c r="N11750" t="s">
        <v>30</v>
      </c>
      <c r="O11750" t="s">
        <v>31</v>
      </c>
      <c r="P11750" t="str">
        <f>"15219"</f>
        <v>15219</v>
      </c>
    </row>
    <row r="11751" spans="1:16" x14ac:dyDescent="0.25">
      <c r="A11751" t="str">
        <f>"1180014J00191    00"</f>
        <v>1180014J00191    00</v>
      </c>
      <c r="B11751" t="s">
        <v>25983</v>
      </c>
      <c r="C11751" t="s">
        <v>25977</v>
      </c>
      <c r="D11751" t="s">
        <v>20</v>
      </c>
      <c r="E11751" t="s">
        <v>39</v>
      </c>
      <c r="F11751">
        <v>0</v>
      </c>
      <c r="G11751">
        <v>0</v>
      </c>
      <c r="H11751">
        <v>18</v>
      </c>
      <c r="I11751" s="3">
        <v>6162.3</v>
      </c>
      <c r="J11751" s="3">
        <v>8792.93</v>
      </c>
      <c r="K11751" t="s">
        <v>25984</v>
      </c>
      <c r="L11751">
        <v>505</v>
      </c>
      <c r="M11751" t="s">
        <v>14217</v>
      </c>
      <c r="N11751" t="s">
        <v>30</v>
      </c>
      <c r="O11751" t="s">
        <v>31</v>
      </c>
      <c r="P11751" t="str">
        <f>"15235"</f>
        <v>15235</v>
      </c>
    </row>
    <row r="11752" spans="1:16" x14ac:dyDescent="0.25">
      <c r="A11752" t="str">
        <f>"1180014J00196    00"</f>
        <v>1180014J00196    00</v>
      </c>
      <c r="B11752" t="s">
        <v>25985</v>
      </c>
      <c r="C11752" t="s">
        <v>25986</v>
      </c>
      <c r="D11752" t="s">
        <v>20</v>
      </c>
      <c r="E11752" t="s">
        <v>39</v>
      </c>
      <c r="F11752">
        <v>0</v>
      </c>
      <c r="G11752">
        <v>0</v>
      </c>
      <c r="H11752">
        <v>15</v>
      </c>
      <c r="I11752" s="3">
        <v>6050.78</v>
      </c>
      <c r="J11752" s="3">
        <v>5406.86</v>
      </c>
      <c r="L11752">
        <v>517</v>
      </c>
      <c r="M11752" t="s">
        <v>25529</v>
      </c>
      <c r="N11752" t="s">
        <v>30</v>
      </c>
      <c r="O11752" t="s">
        <v>31</v>
      </c>
      <c r="P11752" t="str">
        <f>"15210"</f>
        <v>15210</v>
      </c>
    </row>
    <row r="11753" spans="1:16" x14ac:dyDescent="0.25">
      <c r="A11753" t="str">
        <f>"1180014J00198    00"</f>
        <v>1180014J00198    00</v>
      </c>
      <c r="B11753" t="s">
        <v>25987</v>
      </c>
      <c r="C11753" t="s">
        <v>25988</v>
      </c>
      <c r="D11753" t="s">
        <v>20</v>
      </c>
      <c r="E11753" t="s">
        <v>39</v>
      </c>
      <c r="F11753">
        <v>0</v>
      </c>
      <c r="G11753">
        <v>0</v>
      </c>
      <c r="H11753">
        <v>1</v>
      </c>
      <c r="I11753" s="3">
        <v>92.4</v>
      </c>
      <c r="J11753" s="3">
        <v>0</v>
      </c>
      <c r="M11753" t="s">
        <v>25989</v>
      </c>
      <c r="N11753" t="s">
        <v>30</v>
      </c>
      <c r="O11753" t="s">
        <v>31</v>
      </c>
      <c r="P11753" t="str">
        <f>"15230"</f>
        <v>15230</v>
      </c>
    </row>
    <row r="11754" spans="1:16" x14ac:dyDescent="0.25">
      <c r="A11754" t="str">
        <f>"1180014J00213    00"</f>
        <v>1180014J00213    00</v>
      </c>
      <c r="B11754" t="s">
        <v>25990</v>
      </c>
      <c r="C11754" t="s">
        <v>25991</v>
      </c>
      <c r="D11754" t="s">
        <v>20</v>
      </c>
      <c r="E11754" t="s">
        <v>39</v>
      </c>
      <c r="F11754">
        <v>0</v>
      </c>
      <c r="G11754">
        <v>0</v>
      </c>
      <c r="H11754">
        <v>19</v>
      </c>
      <c r="I11754" s="3">
        <v>12229.33</v>
      </c>
      <c r="J11754" s="3">
        <v>10765.51</v>
      </c>
      <c r="L11754">
        <v>803</v>
      </c>
      <c r="M11754" t="s">
        <v>25992</v>
      </c>
      <c r="N11754" t="s">
        <v>30</v>
      </c>
      <c r="O11754" t="s">
        <v>31</v>
      </c>
      <c r="P11754" t="str">
        <f>"15210"</f>
        <v>15210</v>
      </c>
    </row>
    <row r="11755" spans="1:16" x14ac:dyDescent="0.25">
      <c r="A11755" t="str">
        <f>"1180014J00217    00"</f>
        <v>1180014J00217    00</v>
      </c>
      <c r="B11755" t="s">
        <v>25993</v>
      </c>
      <c r="C11755" t="s">
        <v>25994</v>
      </c>
      <c r="D11755" t="s">
        <v>20</v>
      </c>
      <c r="E11755" t="s">
        <v>39</v>
      </c>
      <c r="F11755">
        <v>0</v>
      </c>
      <c r="G11755">
        <v>0</v>
      </c>
      <c r="H11755">
        <v>19</v>
      </c>
      <c r="I11755" s="3">
        <v>16543.330000000002</v>
      </c>
      <c r="J11755" s="3">
        <v>17182.439999999999</v>
      </c>
      <c r="L11755">
        <v>518</v>
      </c>
      <c r="M11755" t="s">
        <v>25995</v>
      </c>
      <c r="N11755" t="s">
        <v>30</v>
      </c>
      <c r="O11755" t="s">
        <v>31</v>
      </c>
      <c r="P11755" t="str">
        <f>"15210"</f>
        <v>15210</v>
      </c>
    </row>
    <row r="11756" spans="1:16" x14ac:dyDescent="0.25">
      <c r="A11756" t="str">
        <f>"1180014J00218    00"</f>
        <v>1180014J00218    00</v>
      </c>
      <c r="B11756" t="s">
        <v>25996</v>
      </c>
      <c r="C11756" t="s">
        <v>25997</v>
      </c>
      <c r="D11756" t="s">
        <v>20</v>
      </c>
      <c r="E11756" t="s">
        <v>39</v>
      </c>
      <c r="F11756">
        <v>0</v>
      </c>
      <c r="G11756">
        <v>0</v>
      </c>
      <c r="H11756">
        <v>19</v>
      </c>
      <c r="I11756" s="3">
        <v>15316.18</v>
      </c>
      <c r="J11756" s="3">
        <v>12664.78</v>
      </c>
      <c r="L11756">
        <v>2293</v>
      </c>
      <c r="M11756" t="s">
        <v>25998</v>
      </c>
      <c r="N11756" t="s">
        <v>30</v>
      </c>
      <c r="O11756" t="s">
        <v>31</v>
      </c>
      <c r="P11756" t="str">
        <f>"15235"</f>
        <v>15235</v>
      </c>
    </row>
    <row r="11757" spans="1:16" x14ac:dyDescent="0.25">
      <c r="A11757" t="str">
        <f>"1180014J00219    00"</f>
        <v>1180014J00219    00</v>
      </c>
      <c r="B11757" t="s">
        <v>25999</v>
      </c>
      <c r="C11757" t="s">
        <v>26000</v>
      </c>
      <c r="D11757" t="s">
        <v>20</v>
      </c>
      <c r="E11757" t="s">
        <v>39</v>
      </c>
      <c r="F11757">
        <v>0</v>
      </c>
      <c r="G11757">
        <v>0</v>
      </c>
      <c r="H11757">
        <v>17</v>
      </c>
      <c r="I11757" s="3">
        <v>9223.17</v>
      </c>
      <c r="J11757" s="3">
        <v>8941.2199999999993</v>
      </c>
      <c r="L11757">
        <v>125</v>
      </c>
      <c r="M11757" t="s">
        <v>7116</v>
      </c>
      <c r="N11757" t="s">
        <v>30</v>
      </c>
      <c r="O11757" t="s">
        <v>31</v>
      </c>
      <c r="P11757" t="str">
        <f>"15211"</f>
        <v>15211</v>
      </c>
    </row>
    <row r="11758" spans="1:16" x14ac:dyDescent="0.25">
      <c r="A11758" t="str">
        <f>"1180014J00222    00"</f>
        <v>1180014J00222    00</v>
      </c>
      <c r="B11758" t="s">
        <v>26001</v>
      </c>
      <c r="C11758" t="s">
        <v>26002</v>
      </c>
      <c r="D11758" t="s">
        <v>20</v>
      </c>
      <c r="E11758" t="s">
        <v>39</v>
      </c>
      <c r="F11758">
        <v>0</v>
      </c>
      <c r="G11758">
        <v>0</v>
      </c>
      <c r="H11758">
        <v>16</v>
      </c>
      <c r="I11758" s="3">
        <v>12534.78</v>
      </c>
      <c r="J11758" s="3">
        <v>9977.65</v>
      </c>
      <c r="L11758">
        <v>519</v>
      </c>
      <c r="M11758" t="s">
        <v>25995</v>
      </c>
      <c r="N11758" t="s">
        <v>30</v>
      </c>
      <c r="O11758" t="s">
        <v>31</v>
      </c>
      <c r="P11758" t="str">
        <f>"15210"</f>
        <v>15210</v>
      </c>
    </row>
    <row r="11759" spans="1:16" x14ac:dyDescent="0.25">
      <c r="A11759" t="str">
        <f>"1180014J00223    00"</f>
        <v>1180014J00223    00</v>
      </c>
      <c r="B11759" t="s">
        <v>26003</v>
      </c>
      <c r="C11759" t="s">
        <v>26004</v>
      </c>
      <c r="E11759" t="s">
        <v>39</v>
      </c>
      <c r="F11759">
        <v>0</v>
      </c>
      <c r="G11759">
        <v>0</v>
      </c>
      <c r="H11759">
        <v>1</v>
      </c>
      <c r="I11759" s="3">
        <v>241.72</v>
      </c>
      <c r="J11759" s="3">
        <v>48.35</v>
      </c>
      <c r="K11759" t="s">
        <v>26005</v>
      </c>
      <c r="L11759">
        <v>517</v>
      </c>
      <c r="M11759" t="s">
        <v>25995</v>
      </c>
      <c r="N11759" t="s">
        <v>30</v>
      </c>
      <c r="O11759" t="s">
        <v>31</v>
      </c>
      <c r="P11759" t="str">
        <f>"15210"</f>
        <v>15210</v>
      </c>
    </row>
    <row r="11760" spans="1:16" x14ac:dyDescent="0.25">
      <c r="A11760" t="str">
        <f>"1180014J00225    00"</f>
        <v>1180014J00225    00</v>
      </c>
      <c r="B11760" t="s">
        <v>26006</v>
      </c>
      <c r="C11760" t="s">
        <v>26007</v>
      </c>
      <c r="D11760" t="s">
        <v>20</v>
      </c>
      <c r="E11760" t="s">
        <v>39</v>
      </c>
      <c r="F11760">
        <v>0</v>
      </c>
      <c r="G11760">
        <v>0</v>
      </c>
      <c r="H11760">
        <v>18</v>
      </c>
      <c r="I11760" s="3">
        <v>7973.55</v>
      </c>
      <c r="J11760" s="3">
        <v>6302.76</v>
      </c>
      <c r="K11760" t="s">
        <v>26008</v>
      </c>
      <c r="L11760">
        <v>96</v>
      </c>
      <c r="M11760" t="s">
        <v>26009</v>
      </c>
      <c r="N11760" t="s">
        <v>30</v>
      </c>
      <c r="O11760" t="s">
        <v>31</v>
      </c>
      <c r="P11760" t="str">
        <f>"15218"</f>
        <v>15218</v>
      </c>
    </row>
    <row r="11761" spans="1:16" x14ac:dyDescent="0.25">
      <c r="A11761" t="str">
        <f>"1180014J00228    00"</f>
        <v>1180014J00228    00</v>
      </c>
      <c r="B11761" t="s">
        <v>25572</v>
      </c>
      <c r="C11761" t="s">
        <v>25565</v>
      </c>
      <c r="D11761" t="s">
        <v>20</v>
      </c>
      <c r="E11761" t="s">
        <v>39</v>
      </c>
      <c r="F11761">
        <v>0</v>
      </c>
      <c r="G11761">
        <v>0</v>
      </c>
      <c r="H11761">
        <v>19</v>
      </c>
      <c r="I11761" s="3">
        <v>367.5</v>
      </c>
      <c r="J11761" s="3">
        <v>329.21</v>
      </c>
      <c r="L11761">
        <v>414</v>
      </c>
      <c r="M11761" t="s">
        <v>25573</v>
      </c>
      <c r="N11761" t="s">
        <v>30</v>
      </c>
      <c r="O11761" t="s">
        <v>31</v>
      </c>
      <c r="P11761" t="str">
        <f>"15213"</f>
        <v>15213</v>
      </c>
    </row>
    <row r="11762" spans="1:16" x14ac:dyDescent="0.25">
      <c r="A11762" t="str">
        <f>"1180014J00231    00"</f>
        <v>1180014J00231    00</v>
      </c>
      <c r="B11762" t="s">
        <v>26010</v>
      </c>
      <c r="C11762" t="s">
        <v>26011</v>
      </c>
      <c r="D11762" t="s">
        <v>20</v>
      </c>
      <c r="E11762" t="s">
        <v>39</v>
      </c>
      <c r="F11762">
        <v>0</v>
      </c>
      <c r="G11762">
        <v>0</v>
      </c>
      <c r="H11762">
        <v>5</v>
      </c>
      <c r="I11762" s="3">
        <v>1026.82</v>
      </c>
      <c r="J11762" s="3">
        <v>175.93</v>
      </c>
      <c r="L11762">
        <v>7209</v>
      </c>
      <c r="M11762" t="s">
        <v>12045</v>
      </c>
      <c r="N11762" t="s">
        <v>30</v>
      </c>
      <c r="O11762" t="s">
        <v>31</v>
      </c>
      <c r="P11762" t="str">
        <f>"15208"</f>
        <v>15208</v>
      </c>
    </row>
    <row r="11763" spans="1:16" x14ac:dyDescent="0.25">
      <c r="A11763" t="str">
        <f>"1180014J00233    00"</f>
        <v>1180014J00233    00</v>
      </c>
      <c r="B11763" t="s">
        <v>26012</v>
      </c>
      <c r="C11763" t="s">
        <v>26013</v>
      </c>
      <c r="D11763" t="s">
        <v>20</v>
      </c>
      <c r="E11763" t="s">
        <v>39</v>
      </c>
      <c r="F11763">
        <v>0</v>
      </c>
      <c r="G11763">
        <v>0</v>
      </c>
      <c r="H11763">
        <v>10</v>
      </c>
      <c r="I11763" s="3">
        <v>570.20000000000005</v>
      </c>
      <c r="J11763" s="3">
        <v>243.33</v>
      </c>
      <c r="L11763">
        <v>501</v>
      </c>
      <c r="M11763" t="s">
        <v>25569</v>
      </c>
      <c r="N11763" t="s">
        <v>30</v>
      </c>
      <c r="O11763" t="s">
        <v>31</v>
      </c>
      <c r="P11763" t="str">
        <f>"15210"</f>
        <v>15210</v>
      </c>
    </row>
    <row r="11764" spans="1:16" x14ac:dyDescent="0.25">
      <c r="A11764" t="str">
        <f>"1180014J00235    00"</f>
        <v>1180014J00235    00</v>
      </c>
      <c r="B11764" t="s">
        <v>26014</v>
      </c>
      <c r="C11764" t="s">
        <v>26015</v>
      </c>
      <c r="D11764" t="s">
        <v>20</v>
      </c>
      <c r="E11764" t="s">
        <v>39</v>
      </c>
      <c r="F11764">
        <v>0</v>
      </c>
      <c r="G11764">
        <v>0</v>
      </c>
      <c r="H11764">
        <v>18</v>
      </c>
      <c r="I11764" s="3">
        <v>7701.63</v>
      </c>
      <c r="J11764" s="3">
        <v>7126.58</v>
      </c>
      <c r="L11764">
        <v>5001</v>
      </c>
      <c r="M11764" t="s">
        <v>2720</v>
      </c>
      <c r="N11764" t="s">
        <v>30</v>
      </c>
      <c r="O11764" t="s">
        <v>31</v>
      </c>
      <c r="P11764" t="str">
        <f>"15213"</f>
        <v>15213</v>
      </c>
    </row>
    <row r="11765" spans="1:16" x14ac:dyDescent="0.25">
      <c r="A11765" t="str">
        <f>"1180014J00236    00"</f>
        <v>1180014J00236    00</v>
      </c>
      <c r="B11765" t="s">
        <v>26016</v>
      </c>
      <c r="C11765" t="s">
        <v>25565</v>
      </c>
      <c r="D11765" t="s">
        <v>20</v>
      </c>
      <c r="E11765" t="s">
        <v>39</v>
      </c>
      <c r="F11765">
        <v>0</v>
      </c>
      <c r="G11765">
        <v>0</v>
      </c>
      <c r="H11765">
        <v>16</v>
      </c>
      <c r="I11765" s="3">
        <v>4490.0200000000004</v>
      </c>
      <c r="J11765" s="3">
        <v>4745.99</v>
      </c>
      <c r="L11765">
        <v>4619</v>
      </c>
      <c r="M11765" t="s">
        <v>26017</v>
      </c>
      <c r="N11765" t="s">
        <v>1320</v>
      </c>
      <c r="O11765" t="s">
        <v>1321</v>
      </c>
      <c r="P11765" t="str">
        <f>"89102"</f>
        <v>89102</v>
      </c>
    </row>
    <row r="11766" spans="1:16" x14ac:dyDescent="0.25">
      <c r="A11766" t="str">
        <f>"1180014J00245    00"</f>
        <v>1180014J00245    00</v>
      </c>
      <c r="B11766" t="s">
        <v>26018</v>
      </c>
      <c r="C11766" t="s">
        <v>26019</v>
      </c>
      <c r="D11766" t="s">
        <v>20</v>
      </c>
      <c r="E11766" t="s">
        <v>39</v>
      </c>
      <c r="F11766">
        <v>0</v>
      </c>
      <c r="G11766">
        <v>0</v>
      </c>
      <c r="H11766">
        <v>14</v>
      </c>
      <c r="I11766" s="3">
        <v>10238.43</v>
      </c>
      <c r="J11766" s="3">
        <v>6394.84</v>
      </c>
      <c r="K11766" t="s">
        <v>26020</v>
      </c>
      <c r="L11766">
        <v>2720</v>
      </c>
      <c r="M11766" t="s">
        <v>26021</v>
      </c>
      <c r="N11766" t="s">
        <v>238</v>
      </c>
      <c r="O11766" t="s">
        <v>31</v>
      </c>
      <c r="P11766" t="str">
        <f>"15133"</f>
        <v>15133</v>
      </c>
    </row>
    <row r="11767" spans="1:16" x14ac:dyDescent="0.25">
      <c r="A11767" t="str">
        <f>"1180014J00247    00"</f>
        <v>1180014J00247    00</v>
      </c>
      <c r="B11767" t="s">
        <v>26022</v>
      </c>
      <c r="C11767" t="s">
        <v>25565</v>
      </c>
      <c r="D11767" t="s">
        <v>20</v>
      </c>
      <c r="E11767" t="s">
        <v>39</v>
      </c>
      <c r="F11767">
        <v>0</v>
      </c>
      <c r="G11767">
        <v>0</v>
      </c>
      <c r="H11767">
        <v>19</v>
      </c>
      <c r="I11767" s="3">
        <v>1472.46</v>
      </c>
      <c r="J11767" s="3">
        <v>1520.76</v>
      </c>
      <c r="L11767">
        <v>1636</v>
      </c>
      <c r="M11767" t="s">
        <v>26023</v>
      </c>
      <c r="N11767" t="s">
        <v>30</v>
      </c>
      <c r="O11767" t="s">
        <v>31</v>
      </c>
      <c r="P11767" t="str">
        <f>"15205"</f>
        <v>15205</v>
      </c>
    </row>
    <row r="11768" spans="1:16" x14ac:dyDescent="0.25">
      <c r="A11768" t="str">
        <f>"1180014J00248    00"</f>
        <v>1180014J00248    00</v>
      </c>
      <c r="B11768" t="s">
        <v>26024</v>
      </c>
      <c r="C11768" t="s">
        <v>26025</v>
      </c>
      <c r="D11768" t="s">
        <v>20</v>
      </c>
      <c r="E11768" t="s">
        <v>39</v>
      </c>
      <c r="F11768">
        <v>0</v>
      </c>
      <c r="G11768">
        <v>0</v>
      </c>
      <c r="H11768">
        <v>19</v>
      </c>
      <c r="I11768" s="3">
        <v>7209.22</v>
      </c>
      <c r="J11768" s="3">
        <v>8548.86</v>
      </c>
      <c r="L11768">
        <v>114</v>
      </c>
      <c r="M11768" t="s">
        <v>26026</v>
      </c>
      <c r="N11768" t="s">
        <v>5797</v>
      </c>
      <c r="O11768" t="s">
        <v>200</v>
      </c>
      <c r="P11768" t="str">
        <f>"11207"</f>
        <v>11207</v>
      </c>
    </row>
    <row r="11769" spans="1:16" x14ac:dyDescent="0.25">
      <c r="A11769" t="str">
        <f>"1180014J00249    00"</f>
        <v>1180014J00249    00</v>
      </c>
      <c r="B11769" t="s">
        <v>26027</v>
      </c>
      <c r="C11769" t="s">
        <v>26028</v>
      </c>
      <c r="D11769" t="s">
        <v>20</v>
      </c>
      <c r="E11769" t="s">
        <v>39</v>
      </c>
      <c r="F11769">
        <v>0</v>
      </c>
      <c r="G11769">
        <v>0</v>
      </c>
      <c r="H11769">
        <v>5</v>
      </c>
      <c r="I11769" s="3">
        <v>3561.64</v>
      </c>
      <c r="J11769" s="3">
        <v>900.13</v>
      </c>
      <c r="L11769">
        <v>209</v>
      </c>
      <c r="M11769" t="s">
        <v>26029</v>
      </c>
      <c r="N11769" t="s">
        <v>30</v>
      </c>
      <c r="O11769" t="s">
        <v>31</v>
      </c>
      <c r="P11769" t="str">
        <f>"15210"</f>
        <v>15210</v>
      </c>
    </row>
    <row r="11770" spans="1:16" x14ac:dyDescent="0.25">
      <c r="A11770" t="str">
        <f>"1180014J00251    00"</f>
        <v>1180014J00251    00</v>
      </c>
      <c r="B11770" t="s">
        <v>26030</v>
      </c>
      <c r="C11770" t="s">
        <v>26031</v>
      </c>
      <c r="D11770" t="s">
        <v>20</v>
      </c>
      <c r="E11770" t="s">
        <v>39</v>
      </c>
      <c r="F11770">
        <v>0</v>
      </c>
      <c r="G11770">
        <v>0</v>
      </c>
      <c r="H11770">
        <v>2</v>
      </c>
      <c r="I11770" s="3">
        <v>781.48</v>
      </c>
      <c r="J11770" s="3">
        <v>0</v>
      </c>
      <c r="L11770">
        <v>2442</v>
      </c>
      <c r="M11770" t="s">
        <v>11725</v>
      </c>
      <c r="N11770" t="s">
        <v>30</v>
      </c>
      <c r="O11770" t="s">
        <v>31</v>
      </c>
      <c r="P11770" t="str">
        <f>"15221"</f>
        <v>15221</v>
      </c>
    </row>
    <row r="11771" spans="1:16" x14ac:dyDescent="0.25">
      <c r="A11771" t="str">
        <f>"1180014J00253    00"</f>
        <v>1180014J00253    00</v>
      </c>
      <c r="B11771" t="s">
        <v>26032</v>
      </c>
      <c r="C11771" t="s">
        <v>26033</v>
      </c>
      <c r="E11771" t="s">
        <v>39</v>
      </c>
      <c r="F11771">
        <v>0</v>
      </c>
      <c r="G11771">
        <v>0</v>
      </c>
      <c r="H11771">
        <v>2</v>
      </c>
      <c r="I11771" s="3">
        <v>342.36</v>
      </c>
      <c r="J11771" s="3">
        <v>7.13</v>
      </c>
      <c r="K11771" t="s">
        <v>26034</v>
      </c>
      <c r="L11771">
        <v>10</v>
      </c>
      <c r="M11771" t="s">
        <v>2911</v>
      </c>
      <c r="N11771" t="s">
        <v>30</v>
      </c>
      <c r="O11771" t="s">
        <v>31</v>
      </c>
      <c r="P11771" t="str">
        <f>"15203"</f>
        <v>15203</v>
      </c>
    </row>
    <row r="11772" spans="1:16" x14ac:dyDescent="0.25">
      <c r="A11772" t="str">
        <f>"1180014J00254    00"</f>
        <v>1180014J00254    00</v>
      </c>
      <c r="B11772" t="s">
        <v>26035</v>
      </c>
      <c r="C11772" t="s">
        <v>26036</v>
      </c>
      <c r="D11772" t="s">
        <v>20</v>
      </c>
      <c r="E11772" t="s">
        <v>39</v>
      </c>
      <c r="F11772">
        <v>0</v>
      </c>
      <c r="G11772">
        <v>0</v>
      </c>
      <c r="H11772">
        <v>2</v>
      </c>
      <c r="I11772" s="3">
        <v>994.97</v>
      </c>
      <c r="J11772" s="3">
        <v>0</v>
      </c>
      <c r="L11772">
        <v>206</v>
      </c>
      <c r="M11772" t="s">
        <v>25043</v>
      </c>
      <c r="N11772" t="s">
        <v>30</v>
      </c>
      <c r="O11772" t="s">
        <v>31</v>
      </c>
      <c r="P11772" t="str">
        <f>"15210"</f>
        <v>15210</v>
      </c>
    </row>
    <row r="11773" spans="1:16" x14ac:dyDescent="0.25">
      <c r="A11773" t="str">
        <f>"1180014J00256    00"</f>
        <v>1180014J00256    00</v>
      </c>
      <c r="B11773" t="s">
        <v>26037</v>
      </c>
      <c r="C11773" t="s">
        <v>25971</v>
      </c>
      <c r="D11773" t="s">
        <v>20</v>
      </c>
      <c r="E11773" t="s">
        <v>39</v>
      </c>
      <c r="F11773">
        <v>0</v>
      </c>
      <c r="G11773">
        <v>0</v>
      </c>
      <c r="H11773">
        <v>9</v>
      </c>
      <c r="I11773" s="3">
        <v>99.8</v>
      </c>
      <c r="J11773" s="3">
        <v>38.08</v>
      </c>
      <c r="L11773">
        <v>4020</v>
      </c>
      <c r="M11773" t="s">
        <v>26038</v>
      </c>
      <c r="N11773" t="s">
        <v>526</v>
      </c>
      <c r="O11773" t="s">
        <v>527</v>
      </c>
      <c r="P11773" t="str">
        <f>"20019"</f>
        <v>20019</v>
      </c>
    </row>
    <row r="11774" spans="1:16" x14ac:dyDescent="0.25">
      <c r="A11774" t="str">
        <f>"1180014J00257    00"</f>
        <v>1180014J00257    00</v>
      </c>
      <c r="B11774" t="s">
        <v>26039</v>
      </c>
      <c r="C11774" t="s">
        <v>25971</v>
      </c>
      <c r="D11774" t="s">
        <v>20</v>
      </c>
      <c r="E11774" t="s">
        <v>39</v>
      </c>
      <c r="F11774">
        <v>0</v>
      </c>
      <c r="G11774">
        <v>0</v>
      </c>
      <c r="H11774">
        <v>17</v>
      </c>
      <c r="I11774" s="3">
        <v>3831.31</v>
      </c>
      <c r="J11774" s="3">
        <v>5261.33</v>
      </c>
      <c r="L11774">
        <v>225</v>
      </c>
      <c r="M11774" t="s">
        <v>26040</v>
      </c>
      <c r="N11774" t="s">
        <v>26041</v>
      </c>
      <c r="O11774" t="s">
        <v>495</v>
      </c>
      <c r="P11774" t="str">
        <f>"94306"</f>
        <v>94306</v>
      </c>
    </row>
    <row r="11775" spans="1:16" x14ac:dyDescent="0.25">
      <c r="A11775" t="str">
        <f>"1180014J00263    00"</f>
        <v>1180014J00263    00</v>
      </c>
      <c r="B11775" t="s">
        <v>26042</v>
      </c>
      <c r="C11775" t="s">
        <v>26043</v>
      </c>
      <c r="D11775" t="s">
        <v>20</v>
      </c>
      <c r="E11775" t="s">
        <v>39</v>
      </c>
      <c r="F11775">
        <v>0</v>
      </c>
      <c r="G11775">
        <v>0</v>
      </c>
      <c r="H11775">
        <v>10</v>
      </c>
      <c r="I11775" s="3">
        <v>30.86</v>
      </c>
      <c r="J11775" s="3">
        <v>17.579999999999998</v>
      </c>
      <c r="L11775">
        <v>436</v>
      </c>
      <c r="M11775" t="s">
        <v>12198</v>
      </c>
      <c r="N11775" t="s">
        <v>30</v>
      </c>
      <c r="O11775" t="s">
        <v>31</v>
      </c>
      <c r="P11775" t="str">
        <f>"15210"</f>
        <v>15210</v>
      </c>
    </row>
    <row r="11776" spans="1:16" x14ac:dyDescent="0.25">
      <c r="A11776" t="str">
        <f>"1180014J00266    00"</f>
        <v>1180014J00266    00</v>
      </c>
      <c r="B11776" t="s">
        <v>26044</v>
      </c>
      <c r="C11776" t="s">
        <v>25971</v>
      </c>
      <c r="D11776" t="s">
        <v>20</v>
      </c>
      <c r="E11776" t="s">
        <v>39</v>
      </c>
      <c r="F11776">
        <v>0</v>
      </c>
      <c r="G11776">
        <v>0</v>
      </c>
      <c r="H11776">
        <v>19</v>
      </c>
      <c r="I11776" s="3">
        <v>342.86</v>
      </c>
      <c r="J11776" s="3">
        <v>293.64</v>
      </c>
      <c r="K11776" t="s">
        <v>26045</v>
      </c>
      <c r="P11776" t="str">
        <f>""</f>
        <v/>
      </c>
    </row>
    <row r="11777" spans="1:16" x14ac:dyDescent="0.25">
      <c r="A11777" t="str">
        <f>"1180014J00267    00"</f>
        <v>1180014J00267    00</v>
      </c>
      <c r="B11777" t="s">
        <v>26046</v>
      </c>
      <c r="C11777" t="s">
        <v>25971</v>
      </c>
      <c r="D11777" t="s">
        <v>20</v>
      </c>
      <c r="E11777" t="s">
        <v>39</v>
      </c>
      <c r="F11777">
        <v>0</v>
      </c>
      <c r="G11777">
        <v>0</v>
      </c>
      <c r="H11777">
        <v>3</v>
      </c>
      <c r="I11777" s="3">
        <v>62.94</v>
      </c>
      <c r="J11777" s="3">
        <v>4.2</v>
      </c>
      <c r="L11777">
        <v>314</v>
      </c>
      <c r="M11777" t="s">
        <v>2852</v>
      </c>
      <c r="N11777" t="s">
        <v>509</v>
      </c>
      <c r="O11777" t="s">
        <v>31</v>
      </c>
      <c r="P11777" t="str">
        <f>"19107"</f>
        <v>19107</v>
      </c>
    </row>
    <row r="11778" spans="1:16" x14ac:dyDescent="0.25">
      <c r="A11778" t="str">
        <f>"1180014J00275    00"</f>
        <v>1180014J00275    00</v>
      </c>
      <c r="B11778" t="s">
        <v>25440</v>
      </c>
      <c r="C11778" t="s">
        <v>25971</v>
      </c>
      <c r="D11778" t="s">
        <v>20</v>
      </c>
      <c r="E11778" t="s">
        <v>39</v>
      </c>
      <c r="F11778">
        <v>0</v>
      </c>
      <c r="G11778">
        <v>0</v>
      </c>
      <c r="H11778">
        <v>5</v>
      </c>
      <c r="I11778" s="3">
        <v>93.7</v>
      </c>
      <c r="J11778" s="3">
        <v>16.579999999999998</v>
      </c>
      <c r="L11778">
        <v>318</v>
      </c>
      <c r="M11778" t="s">
        <v>23888</v>
      </c>
      <c r="N11778" t="s">
        <v>30</v>
      </c>
      <c r="O11778" t="s">
        <v>31</v>
      </c>
      <c r="P11778" t="str">
        <f>"15210"</f>
        <v>15210</v>
      </c>
    </row>
    <row r="11779" spans="1:16" x14ac:dyDescent="0.25">
      <c r="A11779" t="str">
        <f>"1180014J00283    00"</f>
        <v>1180014J00283    00</v>
      </c>
      <c r="B11779" t="s">
        <v>26047</v>
      </c>
      <c r="C11779" t="s">
        <v>26048</v>
      </c>
      <c r="D11779" t="s">
        <v>20</v>
      </c>
      <c r="E11779" t="s">
        <v>39</v>
      </c>
      <c r="F11779">
        <v>0</v>
      </c>
      <c r="G11779">
        <v>0</v>
      </c>
      <c r="H11779">
        <v>5</v>
      </c>
      <c r="I11779" s="3">
        <v>3645.58</v>
      </c>
      <c r="J11779" s="3">
        <v>629.80999999999995</v>
      </c>
      <c r="K11779" t="s">
        <v>26049</v>
      </c>
      <c r="M11779" t="s">
        <v>26050</v>
      </c>
      <c r="N11779" t="s">
        <v>526</v>
      </c>
      <c r="O11779" t="s">
        <v>527</v>
      </c>
      <c r="P11779" t="str">
        <f>"20003"</f>
        <v>20003</v>
      </c>
    </row>
    <row r="11780" spans="1:16" x14ac:dyDescent="0.25">
      <c r="A11780" t="str">
        <f>"1180014J00290    00"</f>
        <v>1180014J00290    00</v>
      </c>
      <c r="B11780" t="s">
        <v>26051</v>
      </c>
      <c r="C11780" t="s">
        <v>26052</v>
      </c>
      <c r="D11780" t="s">
        <v>20</v>
      </c>
      <c r="E11780" t="s">
        <v>39</v>
      </c>
      <c r="F11780">
        <v>0</v>
      </c>
      <c r="G11780">
        <v>0</v>
      </c>
      <c r="H11780">
        <v>7</v>
      </c>
      <c r="I11780" s="3">
        <v>2131.2199999999998</v>
      </c>
      <c r="J11780" s="3">
        <v>550.71</v>
      </c>
      <c r="L11780">
        <v>430</v>
      </c>
      <c r="M11780" t="s">
        <v>25529</v>
      </c>
      <c r="N11780" t="s">
        <v>30</v>
      </c>
      <c r="O11780" t="s">
        <v>31</v>
      </c>
      <c r="P11780" t="str">
        <f>"15210"</f>
        <v>15210</v>
      </c>
    </row>
    <row r="11781" spans="1:16" x14ac:dyDescent="0.25">
      <c r="A11781" t="str">
        <f>"1180014J00293    00"</f>
        <v>1180014J00293    00</v>
      </c>
      <c r="B11781" t="s">
        <v>26053</v>
      </c>
      <c r="C11781" t="s">
        <v>26054</v>
      </c>
      <c r="E11781" t="s">
        <v>39</v>
      </c>
      <c r="F11781">
        <v>0</v>
      </c>
      <c r="G11781">
        <v>0</v>
      </c>
      <c r="H11781">
        <v>1</v>
      </c>
      <c r="I11781" s="3">
        <v>130.38999999999999</v>
      </c>
      <c r="J11781" s="3">
        <v>0</v>
      </c>
      <c r="L11781">
        <v>516</v>
      </c>
      <c r="M11781" t="s">
        <v>25569</v>
      </c>
      <c r="N11781" t="s">
        <v>30</v>
      </c>
      <c r="O11781" t="s">
        <v>31</v>
      </c>
      <c r="P11781" t="str">
        <f>"15210"</f>
        <v>15210</v>
      </c>
    </row>
    <row r="11782" spans="1:16" x14ac:dyDescent="0.25">
      <c r="A11782" t="str">
        <f>"1180014J00297    00"</f>
        <v>1180014J00297    00</v>
      </c>
      <c r="B11782" t="s">
        <v>26055</v>
      </c>
      <c r="C11782" t="s">
        <v>26056</v>
      </c>
      <c r="D11782" t="s">
        <v>20</v>
      </c>
      <c r="E11782" t="s">
        <v>39</v>
      </c>
      <c r="F11782">
        <v>0</v>
      </c>
      <c r="G11782">
        <v>0</v>
      </c>
      <c r="H11782">
        <v>2</v>
      </c>
      <c r="I11782" s="3">
        <v>841.44</v>
      </c>
      <c r="J11782" s="3">
        <v>0</v>
      </c>
      <c r="K11782" t="s">
        <v>26057</v>
      </c>
      <c r="L11782">
        <v>112</v>
      </c>
      <c r="M11782" t="s">
        <v>26058</v>
      </c>
      <c r="N11782" t="s">
        <v>30</v>
      </c>
      <c r="O11782" t="s">
        <v>31</v>
      </c>
      <c r="P11782" t="str">
        <f>"15219"</f>
        <v>15219</v>
      </c>
    </row>
    <row r="11783" spans="1:16" x14ac:dyDescent="0.25">
      <c r="A11783" t="str">
        <f>"1180014J00298    00"</f>
        <v>1180014J00298    00</v>
      </c>
      <c r="B11783" t="s">
        <v>26059</v>
      </c>
      <c r="C11783" t="s">
        <v>26060</v>
      </c>
      <c r="D11783" t="s">
        <v>20</v>
      </c>
      <c r="E11783" t="s">
        <v>39</v>
      </c>
      <c r="F11783">
        <v>0</v>
      </c>
      <c r="G11783">
        <v>0</v>
      </c>
      <c r="H11783">
        <v>9</v>
      </c>
      <c r="I11783" s="3">
        <v>3486.22</v>
      </c>
      <c r="J11783" s="3">
        <v>1320.06</v>
      </c>
      <c r="L11783">
        <v>504</v>
      </c>
      <c r="M11783" t="s">
        <v>25569</v>
      </c>
      <c r="N11783" t="s">
        <v>30</v>
      </c>
      <c r="O11783" t="s">
        <v>31</v>
      </c>
      <c r="P11783" t="str">
        <f>"15210"</f>
        <v>15210</v>
      </c>
    </row>
    <row r="11784" spans="1:16" x14ac:dyDescent="0.25">
      <c r="A11784" t="str">
        <f>"1180014J00309    00"</f>
        <v>1180014J00309    00</v>
      </c>
      <c r="B11784" t="s">
        <v>26061</v>
      </c>
      <c r="C11784" t="s">
        <v>26062</v>
      </c>
      <c r="D11784" t="s">
        <v>20</v>
      </c>
      <c r="E11784" t="s">
        <v>39</v>
      </c>
      <c r="F11784">
        <v>0</v>
      </c>
      <c r="G11784">
        <v>0</v>
      </c>
      <c r="H11784">
        <v>2</v>
      </c>
      <c r="I11784" s="3">
        <v>435.58</v>
      </c>
      <c r="J11784" s="3">
        <v>0</v>
      </c>
      <c r="K11784" t="s">
        <v>26063</v>
      </c>
      <c r="L11784">
        <v>4165</v>
      </c>
      <c r="M11784" t="s">
        <v>26064</v>
      </c>
      <c r="N11784" t="s">
        <v>1634</v>
      </c>
      <c r="O11784" t="s">
        <v>25</v>
      </c>
      <c r="P11784" t="str">
        <f>"45416"</f>
        <v>45416</v>
      </c>
    </row>
    <row r="11785" spans="1:16" x14ac:dyDescent="0.25">
      <c r="A11785" t="str">
        <f>"1180014J00310    00"</f>
        <v>1180014J00310    00</v>
      </c>
      <c r="B11785" t="s">
        <v>26065</v>
      </c>
      <c r="C11785" t="s">
        <v>26066</v>
      </c>
      <c r="D11785" t="s">
        <v>20</v>
      </c>
      <c r="E11785" t="s">
        <v>39</v>
      </c>
      <c r="F11785">
        <v>0</v>
      </c>
      <c r="G11785">
        <v>0</v>
      </c>
      <c r="H11785">
        <v>3</v>
      </c>
      <c r="I11785" s="3">
        <v>1036.8499999999999</v>
      </c>
      <c r="J11785" s="3">
        <v>51.84</v>
      </c>
      <c r="L11785">
        <v>14532</v>
      </c>
      <c r="M11785" t="s">
        <v>26067</v>
      </c>
      <c r="N11785" t="s">
        <v>13177</v>
      </c>
      <c r="O11785" t="s">
        <v>200</v>
      </c>
      <c r="P11785" t="str">
        <f>"11436"</f>
        <v>11436</v>
      </c>
    </row>
    <row r="11786" spans="1:16" x14ac:dyDescent="0.25">
      <c r="A11786" t="str">
        <f>"1180014K00001    00"</f>
        <v>1180014K00001    00</v>
      </c>
      <c r="B11786" t="s">
        <v>26068</v>
      </c>
      <c r="C11786" t="s">
        <v>25678</v>
      </c>
      <c r="D11786" t="s">
        <v>20</v>
      </c>
      <c r="E11786" t="s">
        <v>39</v>
      </c>
      <c r="F11786">
        <v>0</v>
      </c>
      <c r="G11786">
        <v>0</v>
      </c>
      <c r="H11786">
        <v>9</v>
      </c>
      <c r="I11786" s="3">
        <v>681.92</v>
      </c>
      <c r="J11786" s="3">
        <v>260.29000000000002</v>
      </c>
      <c r="K11786" t="s">
        <v>26069</v>
      </c>
      <c r="L11786">
        <v>720</v>
      </c>
      <c r="M11786" t="s">
        <v>25680</v>
      </c>
      <c r="N11786" t="s">
        <v>30</v>
      </c>
      <c r="O11786" t="s">
        <v>31</v>
      </c>
      <c r="P11786" t="str">
        <f>"15210"</f>
        <v>15210</v>
      </c>
    </row>
    <row r="11787" spans="1:16" x14ac:dyDescent="0.25">
      <c r="A11787" t="str">
        <f>"1180014K00005    00"</f>
        <v>1180014K00005    00</v>
      </c>
      <c r="B11787" t="s">
        <v>26070</v>
      </c>
      <c r="C11787" t="s">
        <v>26071</v>
      </c>
      <c r="D11787" t="s">
        <v>20</v>
      </c>
      <c r="E11787" t="s">
        <v>39</v>
      </c>
      <c r="F11787">
        <v>0</v>
      </c>
      <c r="G11787">
        <v>0</v>
      </c>
      <c r="H11787">
        <v>2</v>
      </c>
      <c r="I11787" s="3">
        <v>1322.78</v>
      </c>
      <c r="J11787" s="3">
        <v>0</v>
      </c>
      <c r="L11787">
        <v>724</v>
      </c>
      <c r="M11787" t="s">
        <v>25680</v>
      </c>
      <c r="N11787" t="s">
        <v>30</v>
      </c>
      <c r="O11787" t="s">
        <v>31</v>
      </c>
      <c r="P11787" t="str">
        <f>"15210"</f>
        <v>15210</v>
      </c>
    </row>
    <row r="11788" spans="1:16" x14ac:dyDescent="0.25">
      <c r="A11788" t="str">
        <f>"1180014K00008    00"</f>
        <v>1180014K00008    00</v>
      </c>
      <c r="B11788" t="s">
        <v>26072</v>
      </c>
      <c r="C11788" t="s">
        <v>25678</v>
      </c>
      <c r="D11788" t="s">
        <v>20</v>
      </c>
      <c r="E11788" t="s">
        <v>39</v>
      </c>
      <c r="F11788">
        <v>0</v>
      </c>
      <c r="G11788">
        <v>0</v>
      </c>
      <c r="H11788">
        <v>19</v>
      </c>
      <c r="I11788" s="3">
        <v>4365.6000000000004</v>
      </c>
      <c r="J11788" s="3">
        <v>5910.11</v>
      </c>
      <c r="L11788">
        <v>732</v>
      </c>
      <c r="M11788" t="s">
        <v>25680</v>
      </c>
      <c r="N11788" t="s">
        <v>30</v>
      </c>
      <c r="O11788" t="s">
        <v>31</v>
      </c>
      <c r="P11788" t="str">
        <f>"15210"</f>
        <v>15210</v>
      </c>
    </row>
    <row r="11789" spans="1:16" x14ac:dyDescent="0.25">
      <c r="A11789" t="str">
        <f>"1180014K00011    00"</f>
        <v>1180014K00011    00</v>
      </c>
      <c r="B11789" t="s">
        <v>26073</v>
      </c>
      <c r="C11789" t="s">
        <v>25678</v>
      </c>
      <c r="D11789" t="s">
        <v>20</v>
      </c>
      <c r="E11789" t="s">
        <v>39</v>
      </c>
      <c r="F11789">
        <v>0</v>
      </c>
      <c r="G11789">
        <v>0</v>
      </c>
      <c r="H11789">
        <v>12</v>
      </c>
      <c r="I11789" s="3">
        <v>128.27000000000001</v>
      </c>
      <c r="J11789" s="3">
        <v>65.83</v>
      </c>
      <c r="L11789">
        <v>809</v>
      </c>
      <c r="M11789" t="s">
        <v>26074</v>
      </c>
      <c r="N11789" t="s">
        <v>6603</v>
      </c>
      <c r="O11789" t="s">
        <v>31</v>
      </c>
      <c r="P11789" t="str">
        <f>"15122"</f>
        <v>15122</v>
      </c>
    </row>
    <row r="11790" spans="1:16" x14ac:dyDescent="0.25">
      <c r="A11790" t="str">
        <f>"1180014K00012    00"</f>
        <v>1180014K00012    00</v>
      </c>
      <c r="B11790" t="s">
        <v>26075</v>
      </c>
      <c r="C11790" t="s">
        <v>25678</v>
      </c>
      <c r="D11790" t="s">
        <v>20</v>
      </c>
      <c r="E11790" t="s">
        <v>39</v>
      </c>
      <c r="F11790">
        <v>0</v>
      </c>
      <c r="G11790">
        <v>0</v>
      </c>
      <c r="H11790">
        <v>13</v>
      </c>
      <c r="I11790" s="3">
        <v>673.51</v>
      </c>
      <c r="J11790" s="3">
        <v>365.75</v>
      </c>
      <c r="L11790">
        <v>23</v>
      </c>
      <c r="M11790" t="s">
        <v>26076</v>
      </c>
      <c r="N11790" t="s">
        <v>18305</v>
      </c>
      <c r="O11790" t="s">
        <v>31</v>
      </c>
      <c r="P11790" t="str">
        <f>"15330"</f>
        <v>15330</v>
      </c>
    </row>
    <row r="11791" spans="1:16" x14ac:dyDescent="0.25">
      <c r="A11791" t="str">
        <f>"1180014K00015    00"</f>
        <v>1180014K00015    00</v>
      </c>
      <c r="B11791" t="s">
        <v>26077</v>
      </c>
      <c r="C11791" t="s">
        <v>26078</v>
      </c>
      <c r="E11791" t="s">
        <v>39</v>
      </c>
      <c r="F11791">
        <v>0</v>
      </c>
      <c r="G11791">
        <v>0</v>
      </c>
      <c r="H11791">
        <v>1</v>
      </c>
      <c r="I11791" s="3">
        <v>185.01</v>
      </c>
      <c r="J11791" s="3">
        <v>0</v>
      </c>
      <c r="L11791">
        <v>746</v>
      </c>
      <c r="M11791" t="s">
        <v>25680</v>
      </c>
      <c r="N11791" t="s">
        <v>30</v>
      </c>
      <c r="O11791" t="s">
        <v>31</v>
      </c>
      <c r="P11791" t="str">
        <f>"15210"</f>
        <v>15210</v>
      </c>
    </row>
    <row r="11792" spans="1:16" x14ac:dyDescent="0.25">
      <c r="A11792" t="str">
        <f>"1180014K00020    00"</f>
        <v>1180014K00020    00</v>
      </c>
      <c r="B11792" t="s">
        <v>26079</v>
      </c>
      <c r="C11792" t="s">
        <v>25678</v>
      </c>
      <c r="D11792" t="s">
        <v>20</v>
      </c>
      <c r="E11792" t="s">
        <v>39</v>
      </c>
      <c r="F11792">
        <v>0</v>
      </c>
      <c r="G11792">
        <v>0</v>
      </c>
      <c r="H11792">
        <v>17</v>
      </c>
      <c r="I11792" s="3">
        <v>4387.3</v>
      </c>
      <c r="J11792" s="3">
        <v>5168.66</v>
      </c>
      <c r="L11792">
        <v>1</v>
      </c>
      <c r="M11792" t="s">
        <v>26080</v>
      </c>
      <c r="N11792" t="s">
        <v>30</v>
      </c>
      <c r="O11792" t="s">
        <v>31</v>
      </c>
      <c r="P11792" t="str">
        <f>"15219"</f>
        <v>15219</v>
      </c>
    </row>
    <row r="11793" spans="1:16" x14ac:dyDescent="0.25">
      <c r="A11793" t="str">
        <f>"1180014K00022    00"</f>
        <v>1180014K00022    00</v>
      </c>
      <c r="B11793" t="s">
        <v>26081</v>
      </c>
      <c r="C11793" t="s">
        <v>26082</v>
      </c>
      <c r="E11793" t="s">
        <v>39</v>
      </c>
      <c r="F11793">
        <v>0</v>
      </c>
      <c r="G11793">
        <v>0</v>
      </c>
      <c r="H11793">
        <v>1</v>
      </c>
      <c r="I11793" s="3">
        <v>171.44</v>
      </c>
      <c r="J11793" s="3">
        <v>0</v>
      </c>
      <c r="L11793">
        <v>806</v>
      </c>
      <c r="M11793" t="s">
        <v>25680</v>
      </c>
      <c r="N11793" t="s">
        <v>30</v>
      </c>
      <c r="O11793" t="s">
        <v>31</v>
      </c>
      <c r="P11793" t="str">
        <f t="shared" ref="P11793:P11798" si="138">"15210"</f>
        <v>15210</v>
      </c>
    </row>
    <row r="11794" spans="1:16" x14ac:dyDescent="0.25">
      <c r="A11794" t="str">
        <f>"1180014K00025    00"</f>
        <v>1180014K00025    00</v>
      </c>
      <c r="B11794" t="s">
        <v>26083</v>
      </c>
      <c r="C11794" t="s">
        <v>26084</v>
      </c>
      <c r="D11794" t="s">
        <v>20</v>
      </c>
      <c r="E11794" t="s">
        <v>39</v>
      </c>
      <c r="F11794">
        <v>0</v>
      </c>
      <c r="G11794">
        <v>0</v>
      </c>
      <c r="H11794">
        <v>16</v>
      </c>
      <c r="I11794" s="3">
        <v>8773.25</v>
      </c>
      <c r="J11794" s="3">
        <v>5953.79</v>
      </c>
      <c r="L11794">
        <v>404</v>
      </c>
      <c r="M11794" t="s">
        <v>25043</v>
      </c>
      <c r="N11794" t="s">
        <v>30</v>
      </c>
      <c r="O11794" t="s">
        <v>31</v>
      </c>
      <c r="P11794" t="str">
        <f t="shared" si="138"/>
        <v>15210</v>
      </c>
    </row>
    <row r="11795" spans="1:16" x14ac:dyDescent="0.25">
      <c r="A11795" t="str">
        <f>"1180014K00031    00"</f>
        <v>1180014K00031    00</v>
      </c>
      <c r="B11795" t="s">
        <v>26085</v>
      </c>
      <c r="C11795" t="s">
        <v>26086</v>
      </c>
      <c r="D11795" t="s">
        <v>20</v>
      </c>
      <c r="E11795" t="s">
        <v>39</v>
      </c>
      <c r="F11795">
        <v>0</v>
      </c>
      <c r="G11795">
        <v>0</v>
      </c>
      <c r="H11795">
        <v>2</v>
      </c>
      <c r="I11795" s="3">
        <v>251.38</v>
      </c>
      <c r="J11795" s="3">
        <v>0</v>
      </c>
      <c r="L11795">
        <v>826</v>
      </c>
      <c r="M11795" t="s">
        <v>25680</v>
      </c>
      <c r="N11795" t="s">
        <v>30</v>
      </c>
      <c r="O11795" t="s">
        <v>31</v>
      </c>
      <c r="P11795" t="str">
        <f t="shared" si="138"/>
        <v>15210</v>
      </c>
    </row>
    <row r="11796" spans="1:16" x14ac:dyDescent="0.25">
      <c r="A11796" t="str">
        <f>"1180014K00032    00"</f>
        <v>1180014K00032    00</v>
      </c>
      <c r="B11796" t="s">
        <v>26087</v>
      </c>
      <c r="C11796" t="s">
        <v>26088</v>
      </c>
      <c r="E11796" t="s">
        <v>39</v>
      </c>
      <c r="F11796">
        <v>0</v>
      </c>
      <c r="G11796">
        <v>0</v>
      </c>
      <c r="H11796">
        <v>9</v>
      </c>
      <c r="I11796" s="3">
        <v>2324.9499999999998</v>
      </c>
      <c r="J11796" s="3">
        <v>2277.58</v>
      </c>
      <c r="L11796">
        <v>830</v>
      </c>
      <c r="M11796" t="s">
        <v>25680</v>
      </c>
      <c r="N11796" t="s">
        <v>30</v>
      </c>
      <c r="O11796" t="s">
        <v>31</v>
      </c>
      <c r="P11796" t="str">
        <f t="shared" si="138"/>
        <v>15210</v>
      </c>
    </row>
    <row r="11797" spans="1:16" x14ac:dyDescent="0.25">
      <c r="A11797" t="str">
        <f>"1180014K00033    00"</f>
        <v>1180014K00033    00</v>
      </c>
      <c r="B11797" t="s">
        <v>26089</v>
      </c>
      <c r="C11797" t="s">
        <v>25678</v>
      </c>
      <c r="E11797" t="s">
        <v>39</v>
      </c>
      <c r="F11797">
        <v>0</v>
      </c>
      <c r="G11797">
        <v>0</v>
      </c>
      <c r="H11797">
        <v>4</v>
      </c>
      <c r="I11797" s="3">
        <v>36.549999999999997</v>
      </c>
      <c r="J11797" s="3">
        <v>50.97</v>
      </c>
      <c r="L11797">
        <v>822</v>
      </c>
      <c r="M11797" t="s">
        <v>25680</v>
      </c>
      <c r="N11797" t="s">
        <v>30</v>
      </c>
      <c r="O11797" t="s">
        <v>31</v>
      </c>
      <c r="P11797" t="str">
        <f t="shared" si="138"/>
        <v>15210</v>
      </c>
    </row>
    <row r="11798" spans="1:16" x14ac:dyDescent="0.25">
      <c r="A11798" t="str">
        <f>"1180014K00035    00"</f>
        <v>1180014K00035    00</v>
      </c>
      <c r="B11798" t="s">
        <v>26090</v>
      </c>
      <c r="C11798" t="s">
        <v>26091</v>
      </c>
      <c r="D11798" t="s">
        <v>20</v>
      </c>
      <c r="E11798" t="s">
        <v>39</v>
      </c>
      <c r="F11798">
        <v>0</v>
      </c>
      <c r="G11798">
        <v>0</v>
      </c>
      <c r="H11798">
        <v>1</v>
      </c>
      <c r="I11798" s="3">
        <v>165.83</v>
      </c>
      <c r="J11798" s="3">
        <v>0</v>
      </c>
      <c r="L11798">
        <v>834</v>
      </c>
      <c r="M11798" t="s">
        <v>25680</v>
      </c>
      <c r="N11798" t="s">
        <v>30</v>
      </c>
      <c r="O11798" t="s">
        <v>31</v>
      </c>
      <c r="P11798" t="str">
        <f t="shared" si="138"/>
        <v>15210</v>
      </c>
    </row>
    <row r="11799" spans="1:16" x14ac:dyDescent="0.25">
      <c r="A11799" t="str">
        <f>"1180014K00037    00"</f>
        <v>1180014K00037    00</v>
      </c>
      <c r="B11799" t="s">
        <v>26092</v>
      </c>
      <c r="C11799" t="s">
        <v>26093</v>
      </c>
      <c r="D11799" t="s">
        <v>20</v>
      </c>
      <c r="E11799" t="s">
        <v>39</v>
      </c>
      <c r="F11799">
        <v>0</v>
      </c>
      <c r="G11799">
        <v>0</v>
      </c>
      <c r="H11799">
        <v>16</v>
      </c>
      <c r="I11799" s="3">
        <v>8414.39</v>
      </c>
      <c r="J11799" s="3">
        <v>7242.73</v>
      </c>
      <c r="L11799">
        <v>348</v>
      </c>
      <c r="M11799" t="s">
        <v>1835</v>
      </c>
      <c r="N11799" t="s">
        <v>30</v>
      </c>
      <c r="O11799" t="s">
        <v>31</v>
      </c>
      <c r="P11799" t="str">
        <f>"15213"</f>
        <v>15213</v>
      </c>
    </row>
    <row r="11800" spans="1:16" x14ac:dyDescent="0.25">
      <c r="A11800" t="str">
        <f>"1180014K00040    00"</f>
        <v>1180014K00040    00</v>
      </c>
      <c r="B11800" t="s">
        <v>26094</v>
      </c>
      <c r="C11800" t="s">
        <v>26095</v>
      </c>
      <c r="D11800" t="s">
        <v>20</v>
      </c>
      <c r="E11800" t="s">
        <v>39</v>
      </c>
      <c r="F11800">
        <v>0</v>
      </c>
      <c r="G11800">
        <v>0</v>
      </c>
      <c r="H11800">
        <v>11</v>
      </c>
      <c r="I11800" s="3">
        <v>574.41</v>
      </c>
      <c r="J11800" s="3">
        <v>188.77</v>
      </c>
      <c r="L11800">
        <v>846</v>
      </c>
      <c r="M11800" t="s">
        <v>25680</v>
      </c>
      <c r="N11800" t="s">
        <v>30</v>
      </c>
      <c r="O11800" t="s">
        <v>31</v>
      </c>
      <c r="P11800" t="str">
        <f>"15210"</f>
        <v>15210</v>
      </c>
    </row>
    <row r="11801" spans="1:16" x14ac:dyDescent="0.25">
      <c r="A11801" t="str">
        <f>"1180014K00041    00"</f>
        <v>1180014K00041    00</v>
      </c>
      <c r="B11801" t="s">
        <v>26096</v>
      </c>
      <c r="C11801" t="s">
        <v>26097</v>
      </c>
      <c r="D11801" t="s">
        <v>20</v>
      </c>
      <c r="E11801" t="s">
        <v>39</v>
      </c>
      <c r="F11801">
        <v>0</v>
      </c>
      <c r="G11801">
        <v>0</v>
      </c>
      <c r="H11801">
        <v>1</v>
      </c>
      <c r="I11801" s="3">
        <v>199.11</v>
      </c>
      <c r="J11801" s="3">
        <v>0</v>
      </c>
      <c r="L11801">
        <v>848</v>
      </c>
      <c r="M11801" t="s">
        <v>25680</v>
      </c>
      <c r="N11801" t="s">
        <v>30</v>
      </c>
      <c r="O11801" t="s">
        <v>31</v>
      </c>
      <c r="P11801" t="str">
        <f>"15210"</f>
        <v>15210</v>
      </c>
    </row>
    <row r="11802" spans="1:16" x14ac:dyDescent="0.25">
      <c r="A11802" t="str">
        <f>"1180014K00042    00"</f>
        <v>1180014K00042    00</v>
      </c>
      <c r="B11802" t="s">
        <v>26098</v>
      </c>
      <c r="C11802" t="s">
        <v>26099</v>
      </c>
      <c r="D11802" t="s">
        <v>20</v>
      </c>
      <c r="E11802" t="s">
        <v>39</v>
      </c>
      <c r="F11802">
        <v>0</v>
      </c>
      <c r="G11802">
        <v>0</v>
      </c>
      <c r="H11802">
        <v>1</v>
      </c>
      <c r="I11802" s="3">
        <v>306.88</v>
      </c>
      <c r="J11802" s="3">
        <v>0</v>
      </c>
      <c r="L11802">
        <v>850</v>
      </c>
      <c r="M11802" t="s">
        <v>25680</v>
      </c>
      <c r="N11802" t="s">
        <v>30</v>
      </c>
      <c r="O11802" t="s">
        <v>31</v>
      </c>
      <c r="P11802" t="str">
        <f>"15210"</f>
        <v>15210</v>
      </c>
    </row>
    <row r="11803" spans="1:16" x14ac:dyDescent="0.25">
      <c r="A11803" t="str">
        <f>"1180014K00045    00"</f>
        <v>1180014K00045    00</v>
      </c>
      <c r="B11803" t="s">
        <v>26100</v>
      </c>
      <c r="C11803" t="s">
        <v>26101</v>
      </c>
      <c r="D11803" t="s">
        <v>20</v>
      </c>
      <c r="E11803" t="s">
        <v>39</v>
      </c>
      <c r="F11803">
        <v>0</v>
      </c>
      <c r="G11803">
        <v>0</v>
      </c>
      <c r="H11803">
        <v>4</v>
      </c>
      <c r="I11803" s="3">
        <v>767.05</v>
      </c>
      <c r="J11803" s="3">
        <v>90.63</v>
      </c>
      <c r="L11803">
        <v>455</v>
      </c>
      <c r="M11803" t="s">
        <v>26102</v>
      </c>
      <c r="N11803" t="s">
        <v>26103</v>
      </c>
      <c r="O11803" t="s">
        <v>1413</v>
      </c>
      <c r="P11803" t="str">
        <f>"28390"</f>
        <v>28390</v>
      </c>
    </row>
    <row r="11804" spans="1:16" x14ac:dyDescent="0.25">
      <c r="A11804" t="str">
        <f>"1180014K00046    00"</f>
        <v>1180014K00046    00</v>
      </c>
      <c r="B11804" t="s">
        <v>26104</v>
      </c>
      <c r="C11804" t="s">
        <v>25678</v>
      </c>
      <c r="D11804" t="s">
        <v>20</v>
      </c>
      <c r="E11804" t="s">
        <v>39</v>
      </c>
      <c r="F11804">
        <v>0</v>
      </c>
      <c r="G11804">
        <v>0</v>
      </c>
      <c r="H11804">
        <v>4</v>
      </c>
      <c r="I11804" s="3">
        <v>226.32</v>
      </c>
      <c r="J11804" s="3">
        <v>27.86</v>
      </c>
      <c r="L11804">
        <v>858</v>
      </c>
      <c r="M11804" t="s">
        <v>25680</v>
      </c>
      <c r="N11804" t="s">
        <v>30</v>
      </c>
      <c r="O11804" t="s">
        <v>31</v>
      </c>
      <c r="P11804" t="str">
        <f>"15210"</f>
        <v>15210</v>
      </c>
    </row>
    <row r="11805" spans="1:16" x14ac:dyDescent="0.25">
      <c r="A11805" t="str">
        <f>"1180014L00003    00"</f>
        <v>1180014L00003    00</v>
      </c>
      <c r="B11805" t="s">
        <v>26105</v>
      </c>
      <c r="C11805" t="s">
        <v>25847</v>
      </c>
      <c r="D11805" t="s">
        <v>20</v>
      </c>
      <c r="E11805" t="s">
        <v>39</v>
      </c>
      <c r="F11805">
        <v>0</v>
      </c>
      <c r="G11805">
        <v>0</v>
      </c>
      <c r="H11805">
        <v>2</v>
      </c>
      <c r="I11805" s="3">
        <v>22.88</v>
      </c>
      <c r="J11805" s="3">
        <v>0</v>
      </c>
      <c r="K11805" t="s">
        <v>26106</v>
      </c>
      <c r="L11805">
        <v>166</v>
      </c>
      <c r="M11805" t="s">
        <v>26107</v>
      </c>
      <c r="N11805" t="s">
        <v>20793</v>
      </c>
      <c r="O11805" t="s">
        <v>31</v>
      </c>
      <c r="P11805" t="str">
        <f>"16353"</f>
        <v>16353</v>
      </c>
    </row>
    <row r="11806" spans="1:16" x14ac:dyDescent="0.25">
      <c r="A11806" t="str">
        <f>"1180014L00006    00"</f>
        <v>1180014L00006    00</v>
      </c>
      <c r="B11806" t="s">
        <v>26108</v>
      </c>
      <c r="C11806" t="s">
        <v>26109</v>
      </c>
      <c r="D11806" t="s">
        <v>20</v>
      </c>
      <c r="E11806" t="s">
        <v>39</v>
      </c>
      <c r="F11806">
        <v>0</v>
      </c>
      <c r="G11806">
        <v>0</v>
      </c>
      <c r="H11806">
        <v>1</v>
      </c>
      <c r="I11806" s="3">
        <v>354.54</v>
      </c>
      <c r="J11806" s="3">
        <v>0</v>
      </c>
      <c r="L11806">
        <v>3937</v>
      </c>
      <c r="M11806" t="s">
        <v>8048</v>
      </c>
      <c r="N11806" t="s">
        <v>30</v>
      </c>
      <c r="O11806" t="s">
        <v>31</v>
      </c>
      <c r="P11806" t="str">
        <f>"15227"</f>
        <v>15227</v>
      </c>
    </row>
    <row r="11807" spans="1:16" x14ac:dyDescent="0.25">
      <c r="A11807" t="str">
        <f>"1180014L00006000100"</f>
        <v>1180014L00006000100</v>
      </c>
      <c r="B11807" t="s">
        <v>26110</v>
      </c>
      <c r="C11807" t="s">
        <v>26111</v>
      </c>
      <c r="D11807" t="s">
        <v>20</v>
      </c>
      <c r="E11807" t="s">
        <v>39</v>
      </c>
      <c r="F11807">
        <v>0</v>
      </c>
      <c r="G11807">
        <v>0</v>
      </c>
      <c r="H11807">
        <v>18</v>
      </c>
      <c r="I11807" s="3">
        <v>5560</v>
      </c>
      <c r="J11807" s="3">
        <v>5835.15</v>
      </c>
      <c r="K11807" t="s">
        <v>26112</v>
      </c>
      <c r="L11807">
        <v>2790</v>
      </c>
      <c r="M11807" t="s">
        <v>26113</v>
      </c>
      <c r="N11807" t="s">
        <v>23975</v>
      </c>
      <c r="O11807" t="s">
        <v>1321</v>
      </c>
      <c r="P11807" t="str">
        <f>"89502"</f>
        <v>89502</v>
      </c>
    </row>
    <row r="11808" spans="1:16" x14ac:dyDescent="0.25">
      <c r="A11808" t="str">
        <f>"1180014L00013    00"</f>
        <v>1180014L00013    00</v>
      </c>
      <c r="B11808" t="s">
        <v>26114</v>
      </c>
      <c r="C11808" t="s">
        <v>26115</v>
      </c>
      <c r="E11808" t="s">
        <v>39</v>
      </c>
      <c r="F11808">
        <v>0</v>
      </c>
      <c r="G11808">
        <v>0</v>
      </c>
      <c r="H11808">
        <v>1</v>
      </c>
      <c r="I11808" s="3">
        <v>2438.3000000000002</v>
      </c>
      <c r="J11808" s="3">
        <v>0</v>
      </c>
      <c r="L11808">
        <v>914</v>
      </c>
      <c r="M11808" t="s">
        <v>25680</v>
      </c>
      <c r="N11808" t="s">
        <v>30</v>
      </c>
      <c r="O11808" t="s">
        <v>31</v>
      </c>
      <c r="P11808" t="str">
        <f>"15210"</f>
        <v>15210</v>
      </c>
    </row>
    <row r="11809" spans="1:16" x14ac:dyDescent="0.25">
      <c r="A11809" t="str">
        <f>"1180014L00019    00"</f>
        <v>1180014L00019    00</v>
      </c>
      <c r="B11809" t="s">
        <v>25588</v>
      </c>
      <c r="C11809" t="s">
        <v>26116</v>
      </c>
      <c r="D11809" t="s">
        <v>20</v>
      </c>
      <c r="E11809" t="s">
        <v>39</v>
      </c>
      <c r="F11809">
        <v>0</v>
      </c>
      <c r="G11809">
        <v>0</v>
      </c>
      <c r="H11809">
        <v>1</v>
      </c>
      <c r="I11809" s="3">
        <v>249.69</v>
      </c>
      <c r="J11809" s="3">
        <v>0</v>
      </c>
      <c r="L11809">
        <v>930</v>
      </c>
      <c r="M11809" t="s">
        <v>25680</v>
      </c>
      <c r="N11809" t="s">
        <v>30</v>
      </c>
      <c r="O11809" t="s">
        <v>31</v>
      </c>
      <c r="P11809" t="str">
        <f>"15210"</f>
        <v>15210</v>
      </c>
    </row>
    <row r="11810" spans="1:16" x14ac:dyDescent="0.25">
      <c r="A11810" t="str">
        <f>"1180014L00020    00"</f>
        <v>1180014L00020    00</v>
      </c>
      <c r="B11810" t="s">
        <v>26117</v>
      </c>
      <c r="C11810" t="s">
        <v>25678</v>
      </c>
      <c r="D11810" t="s">
        <v>20</v>
      </c>
      <c r="E11810" t="s">
        <v>39</v>
      </c>
      <c r="F11810">
        <v>0</v>
      </c>
      <c r="G11810">
        <v>0</v>
      </c>
      <c r="H11810">
        <v>3</v>
      </c>
      <c r="I11810" s="3">
        <v>434.72</v>
      </c>
      <c r="J11810" s="3">
        <v>204.35</v>
      </c>
      <c r="K11810" t="s">
        <v>26118</v>
      </c>
      <c r="L11810">
        <v>1388</v>
      </c>
      <c r="M11810" t="s">
        <v>3378</v>
      </c>
      <c r="N11810" t="s">
        <v>30</v>
      </c>
      <c r="O11810" t="s">
        <v>31</v>
      </c>
      <c r="P11810" t="str">
        <f>"15238"</f>
        <v>15238</v>
      </c>
    </row>
    <row r="11811" spans="1:16" x14ac:dyDescent="0.25">
      <c r="A11811" t="str">
        <f>"1180014L00022    00"</f>
        <v>1180014L00022    00</v>
      </c>
      <c r="B11811" t="s">
        <v>26119</v>
      </c>
      <c r="C11811" t="s">
        <v>25678</v>
      </c>
      <c r="D11811" t="s">
        <v>20</v>
      </c>
      <c r="E11811" t="s">
        <v>39</v>
      </c>
      <c r="F11811">
        <v>0</v>
      </c>
      <c r="G11811">
        <v>0</v>
      </c>
      <c r="H11811">
        <v>6</v>
      </c>
      <c r="I11811" s="3">
        <v>264.64</v>
      </c>
      <c r="J11811" s="3">
        <v>160.75</v>
      </c>
      <c r="L11811">
        <v>75</v>
      </c>
      <c r="M11811" t="s">
        <v>2672</v>
      </c>
      <c r="N11811" t="s">
        <v>30</v>
      </c>
      <c r="O11811" t="s">
        <v>31</v>
      </c>
      <c r="P11811" t="str">
        <f>"15211"</f>
        <v>15211</v>
      </c>
    </row>
    <row r="11812" spans="1:16" x14ac:dyDescent="0.25">
      <c r="A11812" t="str">
        <f>"1180014L00023    00"</f>
        <v>1180014L00023    00</v>
      </c>
      <c r="B11812" t="s">
        <v>26120</v>
      </c>
      <c r="C11812" t="s">
        <v>25678</v>
      </c>
      <c r="D11812" t="s">
        <v>20</v>
      </c>
      <c r="E11812" t="s">
        <v>39</v>
      </c>
      <c r="F11812">
        <v>0</v>
      </c>
      <c r="G11812">
        <v>0</v>
      </c>
      <c r="H11812">
        <v>14</v>
      </c>
      <c r="I11812" s="3">
        <v>5964.92</v>
      </c>
      <c r="J11812" s="3">
        <v>6809.98</v>
      </c>
      <c r="K11812" t="s">
        <v>26121</v>
      </c>
      <c r="L11812">
        <v>8524</v>
      </c>
      <c r="M11812" t="s">
        <v>26122</v>
      </c>
      <c r="N11812" t="s">
        <v>652</v>
      </c>
      <c r="O11812" t="s">
        <v>108</v>
      </c>
      <c r="P11812" t="str">
        <f>"77095"</f>
        <v>77095</v>
      </c>
    </row>
    <row r="11813" spans="1:16" x14ac:dyDescent="0.25">
      <c r="A11813" t="str">
        <f>"1180014N00002    00"</f>
        <v>1180014N00002    00</v>
      </c>
      <c r="B11813" t="s">
        <v>26123</v>
      </c>
      <c r="C11813" t="s">
        <v>26124</v>
      </c>
      <c r="D11813" t="s">
        <v>20</v>
      </c>
      <c r="E11813" t="s">
        <v>39</v>
      </c>
      <c r="F11813">
        <v>0</v>
      </c>
      <c r="G11813">
        <v>0</v>
      </c>
      <c r="H11813">
        <v>19</v>
      </c>
      <c r="I11813" s="3">
        <v>378.35</v>
      </c>
      <c r="J11813" s="3">
        <v>424.97</v>
      </c>
      <c r="K11813" t="s">
        <v>1008</v>
      </c>
      <c r="P11813" t="str">
        <f>""</f>
        <v/>
      </c>
    </row>
    <row r="11814" spans="1:16" x14ac:dyDescent="0.25">
      <c r="A11814" t="str">
        <f>"1180014N00009    00"</f>
        <v>1180014N00009    00</v>
      </c>
      <c r="B11814" t="s">
        <v>26125</v>
      </c>
      <c r="C11814" t="s">
        <v>26126</v>
      </c>
      <c r="D11814" t="s">
        <v>20</v>
      </c>
      <c r="E11814" t="s">
        <v>39</v>
      </c>
      <c r="F11814">
        <v>0</v>
      </c>
      <c r="G11814">
        <v>0</v>
      </c>
      <c r="H11814">
        <v>2</v>
      </c>
      <c r="I11814" s="3">
        <v>762.4</v>
      </c>
      <c r="J11814" s="3">
        <v>0</v>
      </c>
      <c r="K11814" t="s">
        <v>26127</v>
      </c>
      <c r="L11814">
        <v>438</v>
      </c>
      <c r="M11814" t="s">
        <v>26128</v>
      </c>
      <c r="N11814" t="s">
        <v>30</v>
      </c>
      <c r="O11814" t="s">
        <v>31</v>
      </c>
      <c r="P11814" t="str">
        <f>"15210"</f>
        <v>15210</v>
      </c>
    </row>
    <row r="11815" spans="1:16" x14ac:dyDescent="0.25">
      <c r="A11815" t="str">
        <f>"1180014N00010    00"</f>
        <v>1180014N00010    00</v>
      </c>
      <c r="B11815" t="s">
        <v>26129</v>
      </c>
      <c r="C11815" t="s">
        <v>26130</v>
      </c>
      <c r="D11815" t="s">
        <v>20</v>
      </c>
      <c r="E11815" t="s">
        <v>39</v>
      </c>
      <c r="F11815">
        <v>0</v>
      </c>
      <c r="G11815">
        <v>0</v>
      </c>
      <c r="H11815">
        <v>16</v>
      </c>
      <c r="I11815" s="3">
        <v>12409.15</v>
      </c>
      <c r="J11815" s="3">
        <v>13253.63</v>
      </c>
      <c r="K11815" t="s">
        <v>26131</v>
      </c>
      <c r="L11815">
        <v>634</v>
      </c>
      <c r="M11815" t="s">
        <v>26132</v>
      </c>
      <c r="N11815" t="s">
        <v>285</v>
      </c>
      <c r="O11815" t="s">
        <v>31</v>
      </c>
      <c r="P11815" t="str">
        <f>"15120"</f>
        <v>15120</v>
      </c>
    </row>
    <row r="11816" spans="1:16" x14ac:dyDescent="0.25">
      <c r="A11816" t="str">
        <f>"1180014N00011    00"</f>
        <v>1180014N00011    00</v>
      </c>
      <c r="B11816" t="s">
        <v>26133</v>
      </c>
      <c r="C11816" t="s">
        <v>26124</v>
      </c>
      <c r="D11816" t="s">
        <v>20</v>
      </c>
      <c r="E11816" t="s">
        <v>39</v>
      </c>
      <c r="F11816">
        <v>0</v>
      </c>
      <c r="G11816">
        <v>0</v>
      </c>
      <c r="H11816">
        <v>19</v>
      </c>
      <c r="I11816" s="3">
        <v>378.35</v>
      </c>
      <c r="J11816" s="3">
        <v>424.97</v>
      </c>
      <c r="K11816" t="s">
        <v>1037</v>
      </c>
      <c r="L11816">
        <v>444</v>
      </c>
      <c r="M11816" t="s">
        <v>26128</v>
      </c>
      <c r="N11816" t="s">
        <v>30</v>
      </c>
      <c r="O11816" t="s">
        <v>31</v>
      </c>
      <c r="P11816" t="str">
        <f t="shared" ref="P11816:P11828" si="139">"15210"</f>
        <v>15210</v>
      </c>
    </row>
    <row r="11817" spans="1:16" x14ac:dyDescent="0.25">
      <c r="A11817" t="str">
        <f>"1180014N00016    00"</f>
        <v>1180014N00016    00</v>
      </c>
      <c r="B11817" t="s">
        <v>26134</v>
      </c>
      <c r="C11817" t="s">
        <v>26135</v>
      </c>
      <c r="D11817" t="s">
        <v>20</v>
      </c>
      <c r="E11817" t="s">
        <v>39</v>
      </c>
      <c r="F11817">
        <v>0</v>
      </c>
      <c r="G11817">
        <v>0</v>
      </c>
      <c r="H11817">
        <v>18</v>
      </c>
      <c r="I11817" s="3">
        <v>12199.37</v>
      </c>
      <c r="J11817" s="3">
        <v>12069.67</v>
      </c>
      <c r="L11817">
        <v>910</v>
      </c>
      <c r="M11817" t="s">
        <v>25968</v>
      </c>
      <c r="N11817" t="s">
        <v>30</v>
      </c>
      <c r="O11817" t="s">
        <v>31</v>
      </c>
      <c r="P11817" t="str">
        <f t="shared" si="139"/>
        <v>15210</v>
      </c>
    </row>
    <row r="11818" spans="1:16" x14ac:dyDescent="0.25">
      <c r="A11818" t="str">
        <f>"1180014N00029    00"</f>
        <v>1180014N00029    00</v>
      </c>
      <c r="B11818" t="s">
        <v>26136</v>
      </c>
      <c r="C11818" t="s">
        <v>26137</v>
      </c>
      <c r="D11818" t="s">
        <v>20</v>
      </c>
      <c r="E11818" t="s">
        <v>39</v>
      </c>
      <c r="F11818">
        <v>0</v>
      </c>
      <c r="G11818">
        <v>0</v>
      </c>
      <c r="H11818">
        <v>2</v>
      </c>
      <c r="I11818" s="3">
        <v>116.3</v>
      </c>
      <c r="J11818" s="3">
        <v>0</v>
      </c>
      <c r="L11818">
        <v>833</v>
      </c>
      <c r="M11818" t="s">
        <v>3977</v>
      </c>
      <c r="N11818" t="s">
        <v>30</v>
      </c>
      <c r="O11818" t="s">
        <v>31</v>
      </c>
      <c r="P11818" t="str">
        <f t="shared" si="139"/>
        <v>15210</v>
      </c>
    </row>
    <row r="11819" spans="1:16" x14ac:dyDescent="0.25">
      <c r="A11819" t="str">
        <f>"1180014N00034    00"</f>
        <v>1180014N00034    00</v>
      </c>
      <c r="B11819" t="s">
        <v>26138</v>
      </c>
      <c r="C11819" t="s">
        <v>26124</v>
      </c>
      <c r="D11819" t="s">
        <v>20</v>
      </c>
      <c r="E11819" t="s">
        <v>39</v>
      </c>
      <c r="F11819">
        <v>0</v>
      </c>
      <c r="G11819">
        <v>0</v>
      </c>
      <c r="H11819">
        <v>4</v>
      </c>
      <c r="I11819" s="3">
        <v>75.33</v>
      </c>
      <c r="J11819" s="3">
        <v>12.73</v>
      </c>
      <c r="L11819">
        <v>435</v>
      </c>
      <c r="M11819" t="s">
        <v>26128</v>
      </c>
      <c r="N11819" t="s">
        <v>30</v>
      </c>
      <c r="O11819" t="s">
        <v>31</v>
      </c>
      <c r="P11819" t="str">
        <f t="shared" si="139"/>
        <v>15210</v>
      </c>
    </row>
    <row r="11820" spans="1:16" x14ac:dyDescent="0.25">
      <c r="A11820" t="str">
        <f>"1180014N00035    00"</f>
        <v>1180014N00035    00</v>
      </c>
      <c r="B11820" t="s">
        <v>26138</v>
      </c>
      <c r="C11820" t="s">
        <v>26124</v>
      </c>
      <c r="D11820" t="s">
        <v>20</v>
      </c>
      <c r="E11820" t="s">
        <v>39</v>
      </c>
      <c r="F11820">
        <v>0</v>
      </c>
      <c r="G11820">
        <v>0</v>
      </c>
      <c r="H11820">
        <v>4</v>
      </c>
      <c r="I11820" s="3">
        <v>75.33</v>
      </c>
      <c r="J11820" s="3">
        <v>12.73</v>
      </c>
      <c r="L11820">
        <v>435</v>
      </c>
      <c r="M11820" t="s">
        <v>26128</v>
      </c>
      <c r="N11820" t="s">
        <v>30</v>
      </c>
      <c r="O11820" t="s">
        <v>31</v>
      </c>
      <c r="P11820" t="str">
        <f t="shared" si="139"/>
        <v>15210</v>
      </c>
    </row>
    <row r="11821" spans="1:16" x14ac:dyDescent="0.25">
      <c r="A11821" t="str">
        <f>"1180014N00036    00"</f>
        <v>1180014N00036    00</v>
      </c>
      <c r="B11821" t="s">
        <v>26139</v>
      </c>
      <c r="C11821" t="s">
        <v>26140</v>
      </c>
      <c r="D11821" t="s">
        <v>20</v>
      </c>
      <c r="E11821" t="s">
        <v>39</v>
      </c>
      <c r="F11821">
        <v>0</v>
      </c>
      <c r="G11821">
        <v>0</v>
      </c>
      <c r="H11821">
        <v>5</v>
      </c>
      <c r="I11821" s="3">
        <v>354.94</v>
      </c>
      <c r="J11821" s="3">
        <v>81.53</v>
      </c>
      <c r="L11821">
        <v>435</v>
      </c>
      <c r="M11821" t="s">
        <v>26128</v>
      </c>
      <c r="N11821" t="s">
        <v>30</v>
      </c>
      <c r="O11821" t="s">
        <v>31</v>
      </c>
      <c r="P11821" t="str">
        <f t="shared" si="139"/>
        <v>15210</v>
      </c>
    </row>
    <row r="11822" spans="1:16" x14ac:dyDescent="0.25">
      <c r="A11822" t="str">
        <f>"1180014N00040    00"</f>
        <v>1180014N00040    00</v>
      </c>
      <c r="B11822" t="s">
        <v>26141</v>
      </c>
      <c r="C11822" t="s">
        <v>26124</v>
      </c>
      <c r="D11822" t="s">
        <v>20</v>
      </c>
      <c r="E11822" t="s">
        <v>39</v>
      </c>
      <c r="F11822">
        <v>0</v>
      </c>
      <c r="G11822">
        <v>0</v>
      </c>
      <c r="H11822">
        <v>15</v>
      </c>
      <c r="I11822" s="3">
        <v>334.83</v>
      </c>
      <c r="J11822" s="3">
        <v>396.97</v>
      </c>
      <c r="L11822">
        <v>445</v>
      </c>
      <c r="M11822" t="s">
        <v>26128</v>
      </c>
      <c r="N11822" t="s">
        <v>30</v>
      </c>
      <c r="O11822" t="s">
        <v>31</v>
      </c>
      <c r="P11822" t="str">
        <f t="shared" si="139"/>
        <v>15210</v>
      </c>
    </row>
    <row r="11823" spans="1:16" x14ac:dyDescent="0.25">
      <c r="A11823" t="str">
        <f>"1180014N00043    00"</f>
        <v>1180014N00043    00</v>
      </c>
      <c r="B11823" t="s">
        <v>26142</v>
      </c>
      <c r="C11823" t="s">
        <v>26143</v>
      </c>
      <c r="D11823" t="s">
        <v>20</v>
      </c>
      <c r="E11823" t="s">
        <v>39</v>
      </c>
      <c r="F11823">
        <v>0</v>
      </c>
      <c r="G11823">
        <v>0</v>
      </c>
      <c r="H11823">
        <v>14</v>
      </c>
      <c r="I11823" s="3">
        <v>473.33</v>
      </c>
      <c r="J11823" s="3">
        <v>341.68</v>
      </c>
      <c r="L11823">
        <v>906</v>
      </c>
      <c r="M11823" t="s">
        <v>25968</v>
      </c>
      <c r="N11823" t="s">
        <v>30</v>
      </c>
      <c r="O11823" t="s">
        <v>31</v>
      </c>
      <c r="P11823" t="str">
        <f t="shared" si="139"/>
        <v>15210</v>
      </c>
    </row>
    <row r="11824" spans="1:16" x14ac:dyDescent="0.25">
      <c r="A11824" t="str">
        <f>"1180014N00046    00"</f>
        <v>1180014N00046    00</v>
      </c>
      <c r="B11824" t="s">
        <v>26144</v>
      </c>
      <c r="C11824" t="s">
        <v>26145</v>
      </c>
      <c r="D11824" t="s">
        <v>20</v>
      </c>
      <c r="E11824" t="s">
        <v>39</v>
      </c>
      <c r="F11824">
        <v>0</v>
      </c>
      <c r="G11824">
        <v>0</v>
      </c>
      <c r="H11824">
        <v>1</v>
      </c>
      <c r="I11824" s="3">
        <v>496.83</v>
      </c>
      <c r="J11824" s="3">
        <v>0</v>
      </c>
      <c r="L11824">
        <v>884</v>
      </c>
      <c r="M11824" t="s">
        <v>25968</v>
      </c>
      <c r="N11824" t="s">
        <v>30</v>
      </c>
      <c r="O11824" t="s">
        <v>31</v>
      </c>
      <c r="P11824" t="str">
        <f t="shared" si="139"/>
        <v>15210</v>
      </c>
    </row>
    <row r="11825" spans="1:16" x14ac:dyDescent="0.25">
      <c r="A11825" t="str">
        <f>"1180014N00069    00"</f>
        <v>1180014N00069    00</v>
      </c>
      <c r="B11825" t="s">
        <v>26146</v>
      </c>
      <c r="C11825" t="s">
        <v>26147</v>
      </c>
      <c r="D11825" t="s">
        <v>20</v>
      </c>
      <c r="E11825" t="s">
        <v>39</v>
      </c>
      <c r="F11825">
        <v>0</v>
      </c>
      <c r="G11825">
        <v>0</v>
      </c>
      <c r="H11825">
        <v>7</v>
      </c>
      <c r="I11825" s="3">
        <v>666.43</v>
      </c>
      <c r="J11825" s="3">
        <v>156.46</v>
      </c>
      <c r="L11825">
        <v>827</v>
      </c>
      <c r="M11825" t="s">
        <v>3977</v>
      </c>
      <c r="N11825" t="s">
        <v>30</v>
      </c>
      <c r="O11825" t="s">
        <v>31</v>
      </c>
      <c r="P11825" t="str">
        <f t="shared" si="139"/>
        <v>15210</v>
      </c>
    </row>
    <row r="11826" spans="1:16" x14ac:dyDescent="0.25">
      <c r="A11826" t="str">
        <f>"1180014N00072    00"</f>
        <v>1180014N00072    00</v>
      </c>
      <c r="B11826" t="s">
        <v>26148</v>
      </c>
      <c r="C11826" t="s">
        <v>26149</v>
      </c>
      <c r="D11826" t="s">
        <v>20</v>
      </c>
      <c r="E11826" t="s">
        <v>39</v>
      </c>
      <c r="F11826">
        <v>0</v>
      </c>
      <c r="G11826">
        <v>0</v>
      </c>
      <c r="H11826">
        <v>4</v>
      </c>
      <c r="I11826" s="3">
        <v>324.44</v>
      </c>
      <c r="J11826" s="3">
        <v>39.96</v>
      </c>
      <c r="L11826">
        <v>841</v>
      </c>
      <c r="M11826" t="s">
        <v>3977</v>
      </c>
      <c r="N11826" t="s">
        <v>30</v>
      </c>
      <c r="O11826" t="s">
        <v>31</v>
      </c>
      <c r="P11826" t="str">
        <f t="shared" si="139"/>
        <v>15210</v>
      </c>
    </row>
    <row r="11827" spans="1:16" x14ac:dyDescent="0.25">
      <c r="A11827" t="str">
        <f>"1180014N00089    00"</f>
        <v>1180014N00089    00</v>
      </c>
      <c r="B11827" t="s">
        <v>25976</v>
      </c>
      <c r="C11827" t="s">
        <v>26150</v>
      </c>
      <c r="E11827" t="s">
        <v>39</v>
      </c>
      <c r="F11827">
        <v>0</v>
      </c>
      <c r="G11827">
        <v>0</v>
      </c>
      <c r="H11827">
        <v>5</v>
      </c>
      <c r="I11827" s="3">
        <v>2105.88</v>
      </c>
      <c r="J11827" s="3">
        <v>650.51</v>
      </c>
      <c r="L11827">
        <v>504</v>
      </c>
      <c r="M11827" t="s">
        <v>25978</v>
      </c>
      <c r="N11827" t="s">
        <v>30</v>
      </c>
      <c r="O11827" t="s">
        <v>31</v>
      </c>
      <c r="P11827" t="str">
        <f t="shared" si="139"/>
        <v>15210</v>
      </c>
    </row>
    <row r="11828" spans="1:16" x14ac:dyDescent="0.25">
      <c r="A11828" t="str">
        <f>"1180014N00100    00"</f>
        <v>1180014N00100    00</v>
      </c>
      <c r="B11828" t="s">
        <v>26151</v>
      </c>
      <c r="C11828" t="s">
        <v>26152</v>
      </c>
      <c r="D11828" t="s">
        <v>20</v>
      </c>
      <c r="E11828" t="s">
        <v>39</v>
      </c>
      <c r="F11828">
        <v>0</v>
      </c>
      <c r="G11828">
        <v>0</v>
      </c>
      <c r="H11828">
        <v>19</v>
      </c>
      <c r="I11828" s="3">
        <v>3662.67</v>
      </c>
      <c r="J11828" s="3">
        <v>4823.62</v>
      </c>
      <c r="L11828">
        <v>29</v>
      </c>
      <c r="M11828" t="s">
        <v>26153</v>
      </c>
      <c r="N11828" t="s">
        <v>30</v>
      </c>
      <c r="O11828" t="s">
        <v>31</v>
      </c>
      <c r="P11828" t="str">
        <f t="shared" si="139"/>
        <v>15210</v>
      </c>
    </row>
    <row r="11829" spans="1:16" x14ac:dyDescent="0.25">
      <c r="A11829" t="str">
        <f>"1180014N00101    00"</f>
        <v>1180014N00101    00</v>
      </c>
      <c r="B11829" t="s">
        <v>2396</v>
      </c>
      <c r="C11829" t="s">
        <v>26154</v>
      </c>
      <c r="D11829" t="s">
        <v>20</v>
      </c>
      <c r="E11829" t="s">
        <v>39</v>
      </c>
      <c r="F11829">
        <v>0</v>
      </c>
      <c r="G11829">
        <v>0</v>
      </c>
      <c r="H11829">
        <v>6</v>
      </c>
      <c r="I11829" s="3">
        <v>1863.6</v>
      </c>
      <c r="J11829" s="3">
        <v>55.06</v>
      </c>
      <c r="K11829" t="s">
        <v>11606</v>
      </c>
      <c r="L11829">
        <v>7721</v>
      </c>
      <c r="M11829" t="s">
        <v>2398</v>
      </c>
      <c r="N11829" t="s">
        <v>1046</v>
      </c>
      <c r="O11829" t="s">
        <v>31</v>
      </c>
      <c r="P11829" t="str">
        <f>"15147"</f>
        <v>15147</v>
      </c>
    </row>
    <row r="11830" spans="1:16" x14ac:dyDescent="0.25">
      <c r="A11830" t="str">
        <f>"1180014N00106    00"</f>
        <v>1180014N00106    00</v>
      </c>
      <c r="B11830" t="s">
        <v>26155</v>
      </c>
      <c r="C11830" t="s">
        <v>26156</v>
      </c>
      <c r="D11830" t="s">
        <v>20</v>
      </c>
      <c r="E11830" t="s">
        <v>39</v>
      </c>
      <c r="F11830">
        <v>0</v>
      </c>
      <c r="G11830">
        <v>0</v>
      </c>
      <c r="H11830">
        <v>1</v>
      </c>
      <c r="I11830" s="3">
        <v>47.15</v>
      </c>
      <c r="J11830" s="3">
        <v>0</v>
      </c>
      <c r="L11830">
        <v>502</v>
      </c>
      <c r="M11830" t="s">
        <v>12198</v>
      </c>
      <c r="N11830" t="s">
        <v>30</v>
      </c>
      <c r="O11830" t="s">
        <v>31</v>
      </c>
      <c r="P11830" t="str">
        <f>"15210"</f>
        <v>15210</v>
      </c>
    </row>
    <row r="11831" spans="1:16" x14ac:dyDescent="0.25">
      <c r="A11831" t="str">
        <f>"1180014N00108    00"</f>
        <v>1180014N00108    00</v>
      </c>
      <c r="B11831" t="s">
        <v>26157</v>
      </c>
      <c r="C11831" t="s">
        <v>26152</v>
      </c>
      <c r="D11831" t="s">
        <v>20</v>
      </c>
      <c r="E11831" t="s">
        <v>39</v>
      </c>
      <c r="F11831">
        <v>0</v>
      </c>
      <c r="G11831">
        <v>0</v>
      </c>
      <c r="H11831">
        <v>19</v>
      </c>
      <c r="I11831" s="3">
        <v>255.06</v>
      </c>
      <c r="J11831" s="3">
        <v>247.23</v>
      </c>
      <c r="K11831" t="s">
        <v>1008</v>
      </c>
      <c r="P11831" t="str">
        <f>""</f>
        <v/>
      </c>
    </row>
    <row r="11832" spans="1:16" x14ac:dyDescent="0.25">
      <c r="A11832" t="str">
        <f>"1180014N00109    00"</f>
        <v>1180014N00109    00</v>
      </c>
      <c r="B11832" t="s">
        <v>26158</v>
      </c>
      <c r="C11832" t="s">
        <v>26159</v>
      </c>
      <c r="D11832" t="s">
        <v>20</v>
      </c>
      <c r="E11832" t="s">
        <v>39</v>
      </c>
      <c r="F11832">
        <v>0</v>
      </c>
      <c r="G11832">
        <v>0</v>
      </c>
      <c r="H11832">
        <v>1</v>
      </c>
      <c r="I11832" s="3">
        <v>200</v>
      </c>
      <c r="J11832" s="3">
        <v>0</v>
      </c>
      <c r="K11832" t="s">
        <v>26160</v>
      </c>
      <c r="L11832">
        <v>449</v>
      </c>
      <c r="M11832" t="s">
        <v>25978</v>
      </c>
      <c r="N11832" t="s">
        <v>30</v>
      </c>
      <c r="O11832" t="s">
        <v>31</v>
      </c>
      <c r="P11832" t="str">
        <f>"15210"</f>
        <v>15210</v>
      </c>
    </row>
    <row r="11833" spans="1:16" x14ac:dyDescent="0.25">
      <c r="A11833" t="str">
        <f>"1180014N00110    00"</f>
        <v>1180014N00110    00</v>
      </c>
      <c r="B11833" t="s">
        <v>26161</v>
      </c>
      <c r="C11833" t="s">
        <v>26162</v>
      </c>
      <c r="D11833" t="s">
        <v>20</v>
      </c>
      <c r="E11833" t="s">
        <v>39</v>
      </c>
      <c r="F11833">
        <v>0</v>
      </c>
      <c r="G11833">
        <v>0</v>
      </c>
      <c r="H11833">
        <v>3</v>
      </c>
      <c r="I11833" s="3">
        <v>1565.46</v>
      </c>
      <c r="J11833" s="3">
        <v>41.39</v>
      </c>
      <c r="L11833">
        <v>451</v>
      </c>
      <c r="M11833" t="s">
        <v>25978</v>
      </c>
      <c r="N11833" t="s">
        <v>30</v>
      </c>
      <c r="O11833" t="s">
        <v>31</v>
      </c>
      <c r="P11833" t="str">
        <f>"15210"</f>
        <v>15210</v>
      </c>
    </row>
    <row r="11834" spans="1:16" x14ac:dyDescent="0.25">
      <c r="A11834" t="str">
        <f>"1180014N00114    00"</f>
        <v>1180014N00114    00</v>
      </c>
      <c r="B11834" t="s">
        <v>26163</v>
      </c>
      <c r="C11834" t="s">
        <v>26164</v>
      </c>
      <c r="D11834" t="s">
        <v>20</v>
      </c>
      <c r="E11834" t="s">
        <v>39</v>
      </c>
      <c r="F11834">
        <v>0</v>
      </c>
      <c r="G11834">
        <v>0</v>
      </c>
      <c r="H11834">
        <v>16</v>
      </c>
      <c r="I11834" s="3">
        <v>1332.18</v>
      </c>
      <c r="J11834" s="3">
        <v>849.66</v>
      </c>
      <c r="L11834">
        <v>503</v>
      </c>
      <c r="M11834" t="s">
        <v>26165</v>
      </c>
      <c r="N11834" t="s">
        <v>30</v>
      </c>
      <c r="O11834" t="s">
        <v>31</v>
      </c>
      <c r="P11834" t="str">
        <f>"15210"</f>
        <v>15210</v>
      </c>
    </row>
    <row r="11835" spans="1:16" x14ac:dyDescent="0.25">
      <c r="A11835" t="str">
        <f>"1180014N00116    00"</f>
        <v>1180014N00116    00</v>
      </c>
      <c r="B11835" t="s">
        <v>26163</v>
      </c>
      <c r="C11835" t="s">
        <v>26164</v>
      </c>
      <c r="D11835" t="s">
        <v>20</v>
      </c>
      <c r="E11835" t="s">
        <v>39</v>
      </c>
      <c r="F11835">
        <v>0</v>
      </c>
      <c r="G11835">
        <v>0</v>
      </c>
      <c r="H11835">
        <v>16</v>
      </c>
      <c r="I11835" s="3">
        <v>10573.89</v>
      </c>
      <c r="J11835" s="3">
        <v>7448.6</v>
      </c>
      <c r="L11835">
        <v>503</v>
      </c>
      <c r="M11835" t="s">
        <v>25978</v>
      </c>
      <c r="N11835" t="s">
        <v>30</v>
      </c>
      <c r="O11835" t="s">
        <v>31</v>
      </c>
      <c r="P11835" t="str">
        <f>"15210"</f>
        <v>15210</v>
      </c>
    </row>
    <row r="11836" spans="1:16" x14ac:dyDescent="0.25">
      <c r="A11836" t="str">
        <f>"1180015C00202    00"</f>
        <v>1180015C00202    00</v>
      </c>
      <c r="B11836" t="s">
        <v>26166</v>
      </c>
      <c r="C11836" t="s">
        <v>26167</v>
      </c>
      <c r="D11836" t="s">
        <v>20</v>
      </c>
      <c r="E11836" t="s">
        <v>207</v>
      </c>
      <c r="F11836">
        <v>0</v>
      </c>
      <c r="G11836">
        <v>0</v>
      </c>
      <c r="H11836">
        <v>1</v>
      </c>
      <c r="I11836" s="3">
        <v>7357.18</v>
      </c>
      <c r="J11836" s="3">
        <v>0</v>
      </c>
      <c r="K11836" t="s">
        <v>26168</v>
      </c>
      <c r="L11836">
        <v>45</v>
      </c>
      <c r="M11836" t="s">
        <v>1473</v>
      </c>
      <c r="N11836" t="s">
        <v>1474</v>
      </c>
      <c r="O11836" t="s">
        <v>31</v>
      </c>
      <c r="P11836" t="str">
        <f>"15017"</f>
        <v>15017</v>
      </c>
    </row>
    <row r="11837" spans="1:16" x14ac:dyDescent="0.25">
      <c r="A11837" t="str">
        <f>"1180015C00216    00"</f>
        <v>1180015C00216    00</v>
      </c>
      <c r="B11837" t="s">
        <v>26169</v>
      </c>
      <c r="C11837" t="s">
        <v>26170</v>
      </c>
      <c r="D11837" t="s">
        <v>20</v>
      </c>
      <c r="E11837" t="s">
        <v>39</v>
      </c>
      <c r="F11837">
        <v>0</v>
      </c>
      <c r="G11837">
        <v>0</v>
      </c>
      <c r="H11837">
        <v>4</v>
      </c>
      <c r="I11837" s="3">
        <v>2855.19</v>
      </c>
      <c r="J11837" s="3">
        <v>196.11</v>
      </c>
      <c r="L11837">
        <v>100</v>
      </c>
      <c r="M11837" t="s">
        <v>26171</v>
      </c>
      <c r="N11837" t="s">
        <v>30</v>
      </c>
      <c r="O11837" t="s">
        <v>31</v>
      </c>
      <c r="P11837" t="str">
        <f>"15211"</f>
        <v>15211</v>
      </c>
    </row>
    <row r="11838" spans="1:16" x14ac:dyDescent="0.25">
      <c r="A11838" t="str">
        <f>"1180015D00008    00"</f>
        <v>1180015D00008    00</v>
      </c>
      <c r="B11838" t="s">
        <v>26172</v>
      </c>
      <c r="C11838" t="s">
        <v>26173</v>
      </c>
      <c r="E11838" t="s">
        <v>39</v>
      </c>
      <c r="F11838">
        <v>0</v>
      </c>
      <c r="G11838">
        <v>0</v>
      </c>
      <c r="H11838">
        <v>1</v>
      </c>
      <c r="I11838" s="3">
        <v>2936.12</v>
      </c>
      <c r="J11838" s="3">
        <v>611.66999999999996</v>
      </c>
      <c r="K11838" t="s">
        <v>1632</v>
      </c>
      <c r="M11838" t="s">
        <v>1633</v>
      </c>
      <c r="N11838" t="s">
        <v>1634</v>
      </c>
      <c r="O11838" t="s">
        <v>25</v>
      </c>
      <c r="P11838" t="str">
        <f>"45401"</f>
        <v>45401</v>
      </c>
    </row>
    <row r="11839" spans="1:16" x14ac:dyDescent="0.25">
      <c r="A11839" t="str">
        <f>"1180015D00013    00"</f>
        <v>1180015D00013    00</v>
      </c>
      <c r="B11839" t="s">
        <v>25417</v>
      </c>
      <c r="C11839" t="s">
        <v>26174</v>
      </c>
      <c r="D11839" t="s">
        <v>20</v>
      </c>
      <c r="E11839" t="s">
        <v>39</v>
      </c>
      <c r="F11839">
        <v>0</v>
      </c>
      <c r="G11839">
        <v>0</v>
      </c>
      <c r="H11839">
        <v>2</v>
      </c>
      <c r="I11839" s="3">
        <v>2851.38</v>
      </c>
      <c r="J11839" s="3">
        <v>0</v>
      </c>
      <c r="L11839">
        <v>415</v>
      </c>
      <c r="M11839" t="s">
        <v>22783</v>
      </c>
      <c r="N11839" t="s">
        <v>30</v>
      </c>
      <c r="O11839" t="s">
        <v>31</v>
      </c>
      <c r="P11839" t="str">
        <f>"15211"</f>
        <v>15211</v>
      </c>
    </row>
    <row r="11840" spans="1:16" x14ac:dyDescent="0.25">
      <c r="A11840" t="str">
        <f>"1180015D00022    00"</f>
        <v>1180015D00022    00</v>
      </c>
      <c r="B11840" t="s">
        <v>26175</v>
      </c>
      <c r="C11840" t="s">
        <v>26176</v>
      </c>
      <c r="D11840" t="s">
        <v>20</v>
      </c>
      <c r="E11840" t="s">
        <v>39</v>
      </c>
      <c r="F11840">
        <v>0</v>
      </c>
      <c r="G11840">
        <v>0</v>
      </c>
      <c r="H11840">
        <v>3</v>
      </c>
      <c r="I11840" s="3">
        <v>3693.9</v>
      </c>
      <c r="J11840" s="3">
        <v>246.25</v>
      </c>
      <c r="K11840" t="s">
        <v>1127</v>
      </c>
      <c r="M11840" t="s">
        <v>1128</v>
      </c>
      <c r="N11840" t="s">
        <v>1129</v>
      </c>
      <c r="O11840" t="s">
        <v>108</v>
      </c>
      <c r="P11840" t="str">
        <f>"76161"</f>
        <v>76161</v>
      </c>
    </row>
    <row r="11841" spans="1:16" x14ac:dyDescent="0.25">
      <c r="A11841" t="str">
        <f>"1180015D00025    00"</f>
        <v>1180015D00025    00</v>
      </c>
      <c r="B11841" t="s">
        <v>26177</v>
      </c>
      <c r="C11841" t="s">
        <v>26178</v>
      </c>
      <c r="D11841" t="s">
        <v>20</v>
      </c>
      <c r="E11841" t="s">
        <v>39</v>
      </c>
      <c r="F11841">
        <v>0</v>
      </c>
      <c r="G11841">
        <v>0</v>
      </c>
      <c r="H11841">
        <v>2</v>
      </c>
      <c r="I11841" s="3">
        <v>893.02</v>
      </c>
      <c r="J11841" s="3">
        <v>0</v>
      </c>
      <c r="L11841">
        <v>506</v>
      </c>
      <c r="M11841" t="s">
        <v>26179</v>
      </c>
      <c r="N11841" t="s">
        <v>1823</v>
      </c>
      <c r="O11841" t="s">
        <v>31</v>
      </c>
      <c r="P11841" t="str">
        <f>"15024"</f>
        <v>15024</v>
      </c>
    </row>
    <row r="11842" spans="1:16" x14ac:dyDescent="0.25">
      <c r="A11842" t="str">
        <f>"1180015D00051    00"</f>
        <v>1180015D00051    00</v>
      </c>
      <c r="B11842" t="s">
        <v>26180</v>
      </c>
      <c r="C11842" t="s">
        <v>26181</v>
      </c>
      <c r="D11842" t="s">
        <v>20</v>
      </c>
      <c r="E11842" t="s">
        <v>39</v>
      </c>
      <c r="F11842">
        <v>0</v>
      </c>
      <c r="G11842">
        <v>0</v>
      </c>
      <c r="H11842">
        <v>2</v>
      </c>
      <c r="I11842" s="3">
        <v>308.36</v>
      </c>
      <c r="J11842" s="3">
        <v>0</v>
      </c>
      <c r="L11842">
        <v>92</v>
      </c>
      <c r="M11842" t="s">
        <v>26182</v>
      </c>
      <c r="N11842" t="s">
        <v>30</v>
      </c>
      <c r="O11842" t="s">
        <v>31</v>
      </c>
      <c r="P11842" t="str">
        <f>"15211"</f>
        <v>15211</v>
      </c>
    </row>
    <row r="11843" spans="1:16" x14ac:dyDescent="0.25">
      <c r="A11843" t="str">
        <f>"1180015D00059    00"</f>
        <v>1180015D00059    00</v>
      </c>
      <c r="B11843" t="s">
        <v>26183</v>
      </c>
      <c r="C11843" t="s">
        <v>26184</v>
      </c>
      <c r="D11843" t="s">
        <v>20</v>
      </c>
      <c r="E11843" t="s">
        <v>39</v>
      </c>
      <c r="F11843">
        <v>0</v>
      </c>
      <c r="G11843">
        <v>0</v>
      </c>
      <c r="H11843">
        <v>6</v>
      </c>
      <c r="I11843" s="3">
        <v>1921.91</v>
      </c>
      <c r="J11843" s="3">
        <v>470.82</v>
      </c>
      <c r="L11843">
        <v>87</v>
      </c>
      <c r="M11843" t="s">
        <v>26185</v>
      </c>
      <c r="N11843" t="s">
        <v>30</v>
      </c>
      <c r="O11843" t="s">
        <v>31</v>
      </c>
      <c r="P11843" t="str">
        <f>"15211"</f>
        <v>15211</v>
      </c>
    </row>
    <row r="11844" spans="1:16" x14ac:dyDescent="0.25">
      <c r="A11844" t="str">
        <f>"1180015D00064    00"</f>
        <v>1180015D00064    00</v>
      </c>
      <c r="B11844" t="s">
        <v>25134</v>
      </c>
      <c r="C11844" t="s">
        <v>26186</v>
      </c>
      <c r="D11844" t="s">
        <v>20</v>
      </c>
      <c r="E11844" t="s">
        <v>39</v>
      </c>
      <c r="F11844">
        <v>0</v>
      </c>
      <c r="G11844">
        <v>0</v>
      </c>
      <c r="H11844">
        <v>1</v>
      </c>
      <c r="I11844" s="3">
        <v>230.64</v>
      </c>
      <c r="J11844" s="3">
        <v>0</v>
      </c>
      <c r="K11844" t="s">
        <v>25136</v>
      </c>
      <c r="L11844">
        <v>355</v>
      </c>
      <c r="M11844" t="s">
        <v>25137</v>
      </c>
      <c r="N11844" t="s">
        <v>30</v>
      </c>
      <c r="O11844" t="s">
        <v>31</v>
      </c>
      <c r="P11844" t="str">
        <f>"15211"</f>
        <v>15211</v>
      </c>
    </row>
    <row r="11845" spans="1:16" x14ac:dyDescent="0.25">
      <c r="A11845" t="str">
        <f>"1180015D00072    00"</f>
        <v>1180015D00072    00</v>
      </c>
      <c r="B11845" t="s">
        <v>26187</v>
      </c>
      <c r="C11845" t="s">
        <v>26188</v>
      </c>
      <c r="E11845" t="s">
        <v>39</v>
      </c>
      <c r="F11845">
        <v>0</v>
      </c>
      <c r="G11845">
        <v>0</v>
      </c>
      <c r="H11845">
        <v>2</v>
      </c>
      <c r="I11845" s="3">
        <v>656.78</v>
      </c>
      <c r="J11845" s="3">
        <v>86.51</v>
      </c>
      <c r="K11845" t="s">
        <v>26189</v>
      </c>
      <c r="L11845">
        <v>111</v>
      </c>
      <c r="M11845" t="s">
        <v>26185</v>
      </c>
      <c r="N11845" t="s">
        <v>30</v>
      </c>
      <c r="O11845" t="s">
        <v>31</v>
      </c>
      <c r="P11845" t="str">
        <f>"15211"</f>
        <v>15211</v>
      </c>
    </row>
    <row r="11846" spans="1:16" x14ac:dyDescent="0.25">
      <c r="A11846" t="str">
        <f>"1180015D00080    00"</f>
        <v>1180015D00080    00</v>
      </c>
      <c r="B11846" t="s">
        <v>26190</v>
      </c>
      <c r="C11846" t="s">
        <v>26191</v>
      </c>
      <c r="D11846" t="s">
        <v>20</v>
      </c>
      <c r="E11846" t="s">
        <v>39</v>
      </c>
      <c r="F11846">
        <v>0</v>
      </c>
      <c r="G11846">
        <v>0</v>
      </c>
      <c r="H11846">
        <v>7</v>
      </c>
      <c r="I11846" s="3">
        <v>3272.38</v>
      </c>
      <c r="J11846" s="3">
        <v>882.99</v>
      </c>
      <c r="K11846" t="s">
        <v>8393</v>
      </c>
      <c r="M11846" t="s">
        <v>8394</v>
      </c>
      <c r="N11846" t="s">
        <v>8395</v>
      </c>
      <c r="O11846" t="s">
        <v>1616</v>
      </c>
      <c r="P11846" t="str">
        <f>"57709"</f>
        <v>57709</v>
      </c>
    </row>
    <row r="11847" spans="1:16" x14ac:dyDescent="0.25">
      <c r="A11847" t="str">
        <f>"1180015D00083    00"</f>
        <v>1180015D00083    00</v>
      </c>
      <c r="B11847" t="s">
        <v>21768</v>
      </c>
      <c r="C11847" t="s">
        <v>26192</v>
      </c>
      <c r="D11847" t="s">
        <v>20</v>
      </c>
      <c r="E11847" t="s">
        <v>39</v>
      </c>
      <c r="F11847">
        <v>0</v>
      </c>
      <c r="G11847">
        <v>0</v>
      </c>
      <c r="H11847">
        <v>14</v>
      </c>
      <c r="I11847" s="3">
        <v>498.47</v>
      </c>
      <c r="J11847" s="3">
        <v>580.45000000000005</v>
      </c>
      <c r="N11847" t="s">
        <v>26193</v>
      </c>
      <c r="P11847" t="str">
        <f>""</f>
        <v/>
      </c>
    </row>
    <row r="11848" spans="1:16" x14ac:dyDescent="0.25">
      <c r="A11848" t="str">
        <f>"1180015D00087A   00"</f>
        <v>1180015D00087A   00</v>
      </c>
      <c r="B11848" t="s">
        <v>26194</v>
      </c>
      <c r="C11848" t="s">
        <v>26195</v>
      </c>
      <c r="D11848" t="s">
        <v>20</v>
      </c>
      <c r="E11848" t="s">
        <v>39</v>
      </c>
      <c r="F11848">
        <v>0</v>
      </c>
      <c r="G11848">
        <v>0</v>
      </c>
      <c r="H11848">
        <v>1</v>
      </c>
      <c r="I11848" s="3">
        <v>133.41999999999999</v>
      </c>
      <c r="J11848" s="3">
        <v>0</v>
      </c>
      <c r="K11848" t="s">
        <v>26196</v>
      </c>
      <c r="L11848">
        <v>1207</v>
      </c>
      <c r="M11848" t="s">
        <v>26197</v>
      </c>
      <c r="N11848" t="s">
        <v>30</v>
      </c>
      <c r="O11848" t="s">
        <v>31</v>
      </c>
      <c r="P11848" t="str">
        <f>"15219"</f>
        <v>15219</v>
      </c>
    </row>
    <row r="11849" spans="1:16" x14ac:dyDescent="0.25">
      <c r="A11849" t="str">
        <f>"1180015D00087B   00"</f>
        <v>1180015D00087B   00</v>
      </c>
      <c r="B11849" t="s">
        <v>8294</v>
      </c>
      <c r="C11849" t="s">
        <v>26198</v>
      </c>
      <c r="D11849" t="s">
        <v>20</v>
      </c>
      <c r="E11849" t="s">
        <v>39</v>
      </c>
      <c r="F11849">
        <v>0</v>
      </c>
      <c r="G11849">
        <v>0</v>
      </c>
      <c r="H11849">
        <v>1</v>
      </c>
      <c r="I11849" s="3">
        <v>232.53</v>
      </c>
      <c r="J11849" s="3">
        <v>0</v>
      </c>
      <c r="L11849">
        <v>303</v>
      </c>
      <c r="M11849" t="s">
        <v>8296</v>
      </c>
      <c r="N11849" t="s">
        <v>30</v>
      </c>
      <c r="O11849" t="s">
        <v>31</v>
      </c>
      <c r="P11849" t="str">
        <f>"15211"</f>
        <v>15211</v>
      </c>
    </row>
    <row r="11850" spans="1:16" x14ac:dyDescent="0.25">
      <c r="A11850" t="str">
        <f>"1180015D00087C   00"</f>
        <v>1180015D00087C   00</v>
      </c>
      <c r="B11850" t="s">
        <v>8294</v>
      </c>
      <c r="C11850" t="s">
        <v>26199</v>
      </c>
      <c r="D11850" t="s">
        <v>20</v>
      </c>
      <c r="E11850" t="s">
        <v>39</v>
      </c>
      <c r="F11850">
        <v>0</v>
      </c>
      <c r="G11850">
        <v>0</v>
      </c>
      <c r="H11850">
        <v>2</v>
      </c>
      <c r="I11850" s="3">
        <v>423.14</v>
      </c>
      <c r="J11850" s="3">
        <v>0</v>
      </c>
      <c r="L11850">
        <v>303</v>
      </c>
      <c r="M11850" t="s">
        <v>8296</v>
      </c>
      <c r="N11850" t="s">
        <v>30</v>
      </c>
      <c r="O11850" t="s">
        <v>31</v>
      </c>
      <c r="P11850" t="str">
        <f>"15211"</f>
        <v>15211</v>
      </c>
    </row>
    <row r="11851" spans="1:16" x14ac:dyDescent="0.25">
      <c r="A11851" t="str">
        <f>"1180015D00088    00"</f>
        <v>1180015D00088    00</v>
      </c>
      <c r="B11851" t="s">
        <v>8294</v>
      </c>
      <c r="C11851" t="s">
        <v>26200</v>
      </c>
      <c r="D11851" t="s">
        <v>20</v>
      </c>
      <c r="E11851" t="s">
        <v>39</v>
      </c>
      <c r="F11851">
        <v>0</v>
      </c>
      <c r="G11851">
        <v>0</v>
      </c>
      <c r="H11851">
        <v>3</v>
      </c>
      <c r="I11851" s="3">
        <v>505.87</v>
      </c>
      <c r="J11851" s="3">
        <v>33.090000000000003</v>
      </c>
      <c r="L11851">
        <v>303</v>
      </c>
      <c r="M11851" t="s">
        <v>8296</v>
      </c>
      <c r="N11851" t="s">
        <v>30</v>
      </c>
      <c r="O11851" t="s">
        <v>31</v>
      </c>
      <c r="P11851" t="str">
        <f>"15211"</f>
        <v>15211</v>
      </c>
    </row>
    <row r="11852" spans="1:16" x14ac:dyDescent="0.25">
      <c r="A11852" t="str">
        <f>"1180015D00092    00"</f>
        <v>1180015D00092    00</v>
      </c>
      <c r="B11852" t="s">
        <v>26201</v>
      </c>
      <c r="C11852" t="s">
        <v>26202</v>
      </c>
      <c r="D11852" t="s">
        <v>20</v>
      </c>
      <c r="E11852" t="s">
        <v>39</v>
      </c>
      <c r="F11852">
        <v>0</v>
      </c>
      <c r="G11852">
        <v>0</v>
      </c>
      <c r="H11852">
        <v>3</v>
      </c>
      <c r="I11852" s="3">
        <v>802.75</v>
      </c>
      <c r="J11852" s="3">
        <v>400.85</v>
      </c>
      <c r="L11852">
        <v>104</v>
      </c>
      <c r="M11852" t="s">
        <v>25596</v>
      </c>
      <c r="N11852" t="s">
        <v>30</v>
      </c>
      <c r="O11852" t="s">
        <v>31</v>
      </c>
      <c r="P11852" t="str">
        <f>"15211"</f>
        <v>15211</v>
      </c>
    </row>
    <row r="11853" spans="1:16" x14ac:dyDescent="0.25">
      <c r="A11853" t="str">
        <f>"1180015D00098    00"</f>
        <v>1180015D00098    00</v>
      </c>
      <c r="B11853" t="s">
        <v>26203</v>
      </c>
      <c r="C11853" t="s">
        <v>25260</v>
      </c>
      <c r="E11853" t="s">
        <v>39</v>
      </c>
      <c r="F11853">
        <v>0</v>
      </c>
      <c r="G11853">
        <v>0</v>
      </c>
      <c r="H11853">
        <v>1</v>
      </c>
      <c r="I11853" s="3">
        <v>74.86</v>
      </c>
      <c r="J11853" s="3">
        <v>14.98</v>
      </c>
      <c r="K11853" t="s">
        <v>26204</v>
      </c>
      <c r="L11853">
        <v>664</v>
      </c>
      <c r="M11853" t="s">
        <v>26205</v>
      </c>
      <c r="N11853" t="s">
        <v>605</v>
      </c>
      <c r="O11853" t="s">
        <v>606</v>
      </c>
      <c r="P11853" t="str">
        <f>"30307"</f>
        <v>30307</v>
      </c>
    </row>
    <row r="11854" spans="1:16" x14ac:dyDescent="0.25">
      <c r="A11854" t="str">
        <f>"1180015D00107    00"</f>
        <v>1180015D00107    00</v>
      </c>
      <c r="B11854" t="s">
        <v>26206</v>
      </c>
      <c r="C11854" t="s">
        <v>26207</v>
      </c>
      <c r="D11854" t="s">
        <v>20</v>
      </c>
      <c r="E11854" t="s">
        <v>39</v>
      </c>
      <c r="F11854">
        <v>0</v>
      </c>
      <c r="G11854">
        <v>0</v>
      </c>
      <c r="H11854">
        <v>2</v>
      </c>
      <c r="I11854" s="3">
        <v>631.39</v>
      </c>
      <c r="J11854" s="3">
        <v>0</v>
      </c>
      <c r="L11854">
        <v>2559</v>
      </c>
      <c r="M11854" t="s">
        <v>24844</v>
      </c>
      <c r="N11854" t="s">
        <v>30</v>
      </c>
      <c r="O11854" t="s">
        <v>31</v>
      </c>
      <c r="P11854" t="str">
        <f>"15234"</f>
        <v>15234</v>
      </c>
    </row>
    <row r="11855" spans="1:16" x14ac:dyDescent="0.25">
      <c r="A11855" t="str">
        <f>"1180015D00122    00"</f>
        <v>1180015D00122    00</v>
      </c>
      <c r="B11855" t="s">
        <v>26208</v>
      </c>
      <c r="C11855" t="s">
        <v>26209</v>
      </c>
      <c r="E11855" t="s">
        <v>39</v>
      </c>
      <c r="F11855">
        <v>0</v>
      </c>
      <c r="G11855">
        <v>0</v>
      </c>
      <c r="H11855">
        <v>1</v>
      </c>
      <c r="I11855" s="3">
        <v>412.32</v>
      </c>
      <c r="J11855" s="3">
        <v>0</v>
      </c>
      <c r="K11855" t="s">
        <v>26210</v>
      </c>
      <c r="L11855">
        <v>1150</v>
      </c>
      <c r="M11855" t="s">
        <v>20800</v>
      </c>
      <c r="N11855" t="s">
        <v>163</v>
      </c>
      <c r="O11855" t="s">
        <v>31</v>
      </c>
      <c r="P11855" t="str">
        <f>"19406"</f>
        <v>19406</v>
      </c>
    </row>
    <row r="11856" spans="1:16" x14ac:dyDescent="0.25">
      <c r="A11856" t="str">
        <f>"1180015D00123    00"</f>
        <v>1180015D00123    00</v>
      </c>
      <c r="B11856" t="s">
        <v>26211</v>
      </c>
      <c r="C11856" t="s">
        <v>26212</v>
      </c>
      <c r="D11856" t="s">
        <v>20</v>
      </c>
      <c r="E11856" t="s">
        <v>39</v>
      </c>
      <c r="F11856">
        <v>0</v>
      </c>
      <c r="G11856">
        <v>0</v>
      </c>
      <c r="H11856">
        <v>1</v>
      </c>
      <c r="I11856" s="3">
        <v>973.98</v>
      </c>
      <c r="J11856" s="3">
        <v>40.57</v>
      </c>
      <c r="K11856" t="s">
        <v>26213</v>
      </c>
      <c r="M11856" t="s">
        <v>26214</v>
      </c>
      <c r="N11856" t="s">
        <v>107</v>
      </c>
      <c r="O11856" t="s">
        <v>108</v>
      </c>
      <c r="P11856" t="str">
        <f>"75266"</f>
        <v>75266</v>
      </c>
    </row>
    <row r="11857" spans="1:16" x14ac:dyDescent="0.25">
      <c r="A11857" t="str">
        <f>"1180015D00124    00"</f>
        <v>1180015D00124    00</v>
      </c>
      <c r="B11857" t="s">
        <v>26215</v>
      </c>
      <c r="C11857" t="s">
        <v>25260</v>
      </c>
      <c r="D11857" t="s">
        <v>20</v>
      </c>
      <c r="E11857" t="s">
        <v>39</v>
      </c>
      <c r="F11857">
        <v>0</v>
      </c>
      <c r="G11857">
        <v>0</v>
      </c>
      <c r="H11857">
        <v>8</v>
      </c>
      <c r="I11857" s="3">
        <v>862.18</v>
      </c>
      <c r="J11857" s="3">
        <v>282.11</v>
      </c>
      <c r="L11857">
        <v>401</v>
      </c>
      <c r="M11857" t="s">
        <v>26216</v>
      </c>
      <c r="N11857" t="s">
        <v>199</v>
      </c>
      <c r="O11857" t="s">
        <v>200</v>
      </c>
      <c r="P11857" t="str">
        <f>"10011"</f>
        <v>10011</v>
      </c>
    </row>
    <row r="11858" spans="1:16" x14ac:dyDescent="0.25">
      <c r="A11858" t="str">
        <f>"1180015D00126    00"</f>
        <v>1180015D00126    00</v>
      </c>
      <c r="B11858" t="s">
        <v>26217</v>
      </c>
      <c r="C11858" t="s">
        <v>25260</v>
      </c>
      <c r="D11858" t="s">
        <v>20</v>
      </c>
      <c r="E11858" t="s">
        <v>39</v>
      </c>
      <c r="F11858">
        <v>0</v>
      </c>
      <c r="G11858">
        <v>0</v>
      </c>
      <c r="H11858">
        <v>16</v>
      </c>
      <c r="I11858" s="3">
        <v>5713.98</v>
      </c>
      <c r="J11858" s="3">
        <v>3522.96</v>
      </c>
      <c r="L11858">
        <v>2481</v>
      </c>
      <c r="M11858" t="s">
        <v>26218</v>
      </c>
      <c r="N11858" t="s">
        <v>26219</v>
      </c>
      <c r="O11858" t="s">
        <v>1184</v>
      </c>
      <c r="P11858" t="str">
        <f>"20601"</f>
        <v>20601</v>
      </c>
    </row>
    <row r="11859" spans="1:16" x14ac:dyDescent="0.25">
      <c r="A11859" t="str">
        <f>"1180015D00144    00"</f>
        <v>1180015D00144    00</v>
      </c>
      <c r="B11859" t="s">
        <v>26220</v>
      </c>
      <c r="C11859" t="s">
        <v>26192</v>
      </c>
      <c r="D11859" t="s">
        <v>20</v>
      </c>
      <c r="E11859" t="s">
        <v>39</v>
      </c>
      <c r="F11859">
        <v>0</v>
      </c>
      <c r="G11859">
        <v>0</v>
      </c>
      <c r="H11859">
        <v>19</v>
      </c>
      <c r="I11859" s="3">
        <v>4036.78</v>
      </c>
      <c r="J11859" s="3">
        <v>6099.6</v>
      </c>
      <c r="L11859">
        <v>307</v>
      </c>
      <c r="M11859" t="s">
        <v>25300</v>
      </c>
      <c r="N11859" t="s">
        <v>30</v>
      </c>
      <c r="O11859" t="s">
        <v>31</v>
      </c>
      <c r="P11859" t="str">
        <f>"15211"</f>
        <v>15211</v>
      </c>
    </row>
    <row r="11860" spans="1:16" x14ac:dyDescent="0.25">
      <c r="A11860" t="str">
        <f>"1180015D00149    00"</f>
        <v>1180015D00149    00</v>
      </c>
      <c r="B11860" t="s">
        <v>26221</v>
      </c>
      <c r="C11860" t="s">
        <v>25248</v>
      </c>
      <c r="E11860" t="s">
        <v>39</v>
      </c>
      <c r="F11860">
        <v>0</v>
      </c>
      <c r="G11860">
        <v>0</v>
      </c>
      <c r="H11860">
        <v>3</v>
      </c>
      <c r="I11860" s="3">
        <v>27.69</v>
      </c>
      <c r="J11860" s="3">
        <v>5.57</v>
      </c>
      <c r="K11860" t="s">
        <v>26222</v>
      </c>
      <c r="L11860">
        <v>155</v>
      </c>
      <c r="M11860" t="s">
        <v>3015</v>
      </c>
      <c r="N11860" t="s">
        <v>30</v>
      </c>
      <c r="O11860" t="s">
        <v>31</v>
      </c>
      <c r="P11860" t="str">
        <f>"15210"</f>
        <v>15210</v>
      </c>
    </row>
    <row r="11861" spans="1:16" x14ac:dyDescent="0.25">
      <c r="A11861" t="str">
        <f>"1180015D00162    00"</f>
        <v>1180015D00162    00</v>
      </c>
      <c r="B11861" t="s">
        <v>26223</v>
      </c>
      <c r="C11861" t="s">
        <v>26224</v>
      </c>
      <c r="D11861" t="s">
        <v>20</v>
      </c>
      <c r="E11861" t="s">
        <v>39</v>
      </c>
      <c r="F11861">
        <v>0</v>
      </c>
      <c r="G11861">
        <v>0</v>
      </c>
      <c r="H11861">
        <v>1</v>
      </c>
      <c r="I11861" s="3">
        <v>1713.5</v>
      </c>
      <c r="J11861" s="3">
        <v>0</v>
      </c>
      <c r="L11861">
        <v>3237</v>
      </c>
      <c r="M11861" t="s">
        <v>1695</v>
      </c>
      <c r="N11861" t="s">
        <v>30</v>
      </c>
      <c r="O11861" t="s">
        <v>31</v>
      </c>
      <c r="P11861" t="str">
        <f>"15217"</f>
        <v>15217</v>
      </c>
    </row>
    <row r="11862" spans="1:16" x14ac:dyDescent="0.25">
      <c r="A11862" t="str">
        <f>"1180015D00166    00"</f>
        <v>1180015D00166    00</v>
      </c>
      <c r="B11862" t="s">
        <v>26225</v>
      </c>
      <c r="C11862" t="s">
        <v>26226</v>
      </c>
      <c r="D11862" t="s">
        <v>20</v>
      </c>
      <c r="E11862" t="s">
        <v>39</v>
      </c>
      <c r="F11862">
        <v>0</v>
      </c>
      <c r="G11862">
        <v>0</v>
      </c>
      <c r="H11862">
        <v>4</v>
      </c>
      <c r="I11862" s="3">
        <v>2729.04</v>
      </c>
      <c r="J11862" s="3">
        <v>1092.73</v>
      </c>
      <c r="L11862">
        <v>70</v>
      </c>
      <c r="M11862" t="s">
        <v>25252</v>
      </c>
      <c r="N11862" t="s">
        <v>30</v>
      </c>
      <c r="O11862" t="s">
        <v>31</v>
      </c>
      <c r="P11862" t="str">
        <f>"15211"</f>
        <v>15211</v>
      </c>
    </row>
    <row r="11863" spans="1:16" x14ac:dyDescent="0.25">
      <c r="A11863" t="str">
        <f>"1180015D00206    00"</f>
        <v>1180015D00206    00</v>
      </c>
      <c r="B11863" t="s">
        <v>26227</v>
      </c>
      <c r="C11863" t="s">
        <v>26228</v>
      </c>
      <c r="D11863" t="s">
        <v>20</v>
      </c>
      <c r="E11863" t="s">
        <v>39</v>
      </c>
      <c r="F11863">
        <v>0</v>
      </c>
      <c r="G11863">
        <v>0</v>
      </c>
      <c r="H11863">
        <v>1</v>
      </c>
      <c r="I11863" s="3">
        <v>1105.5</v>
      </c>
      <c r="J11863" s="3">
        <v>0</v>
      </c>
      <c r="K11863" t="s">
        <v>26229</v>
      </c>
      <c r="L11863">
        <v>74</v>
      </c>
      <c r="M11863" t="s">
        <v>26230</v>
      </c>
      <c r="N11863" t="s">
        <v>30</v>
      </c>
      <c r="O11863" t="s">
        <v>31</v>
      </c>
      <c r="P11863" t="str">
        <f>"15203"</f>
        <v>15203</v>
      </c>
    </row>
    <row r="11864" spans="1:16" x14ac:dyDescent="0.25">
      <c r="A11864" t="str">
        <f>"1180015D00222    00"</f>
        <v>1180015D00222    00</v>
      </c>
      <c r="B11864" t="s">
        <v>26231</v>
      </c>
      <c r="C11864" t="s">
        <v>26232</v>
      </c>
      <c r="D11864" t="s">
        <v>20</v>
      </c>
      <c r="E11864" t="s">
        <v>39</v>
      </c>
      <c r="F11864">
        <v>0</v>
      </c>
      <c r="G11864">
        <v>0</v>
      </c>
      <c r="H11864">
        <v>4</v>
      </c>
      <c r="I11864" s="3">
        <v>3185.28</v>
      </c>
      <c r="J11864" s="3">
        <v>429.27</v>
      </c>
      <c r="M11864" t="s">
        <v>26233</v>
      </c>
      <c r="N11864" t="s">
        <v>1067</v>
      </c>
      <c r="O11864" t="s">
        <v>31</v>
      </c>
      <c r="P11864" t="str">
        <f>"15143"</f>
        <v>15143</v>
      </c>
    </row>
    <row r="11865" spans="1:16" x14ac:dyDescent="0.25">
      <c r="A11865" t="str">
        <f>"1180015D00231    00"</f>
        <v>1180015D00231    00</v>
      </c>
      <c r="B11865" t="s">
        <v>26234</v>
      </c>
      <c r="C11865" t="s">
        <v>26235</v>
      </c>
      <c r="E11865" t="s">
        <v>39</v>
      </c>
      <c r="F11865">
        <v>0</v>
      </c>
      <c r="G11865">
        <v>0</v>
      </c>
      <c r="H11865">
        <v>7</v>
      </c>
      <c r="I11865" s="3">
        <v>14254.97</v>
      </c>
      <c r="J11865" s="3">
        <v>20693.18</v>
      </c>
      <c r="L11865">
        <v>411</v>
      </c>
      <c r="M11865" t="s">
        <v>25288</v>
      </c>
      <c r="N11865" t="s">
        <v>30</v>
      </c>
      <c r="O11865" t="s">
        <v>31</v>
      </c>
      <c r="P11865" t="str">
        <f>"15211"</f>
        <v>15211</v>
      </c>
    </row>
    <row r="11866" spans="1:16" x14ac:dyDescent="0.25">
      <c r="A11866" t="str">
        <f>"1180015D00241    00"</f>
        <v>1180015D00241    00</v>
      </c>
      <c r="B11866" t="s">
        <v>26236</v>
      </c>
      <c r="C11866" t="s">
        <v>26237</v>
      </c>
      <c r="E11866" t="s">
        <v>39</v>
      </c>
      <c r="F11866">
        <v>0</v>
      </c>
      <c r="G11866">
        <v>0</v>
      </c>
      <c r="H11866">
        <v>1</v>
      </c>
      <c r="I11866" s="3">
        <v>363.86</v>
      </c>
      <c r="J11866" s="3">
        <v>0</v>
      </c>
      <c r="L11866">
        <v>408</v>
      </c>
      <c r="M11866" t="s">
        <v>25288</v>
      </c>
      <c r="N11866" t="s">
        <v>30</v>
      </c>
      <c r="O11866" t="s">
        <v>31</v>
      </c>
      <c r="P11866" t="str">
        <f>"15211"</f>
        <v>15211</v>
      </c>
    </row>
    <row r="11867" spans="1:16" x14ac:dyDescent="0.25">
      <c r="A11867" t="str">
        <f>"1180015D00242    00"</f>
        <v>1180015D00242    00</v>
      </c>
      <c r="B11867" t="s">
        <v>26238</v>
      </c>
      <c r="C11867" t="s">
        <v>26239</v>
      </c>
      <c r="D11867" t="s">
        <v>20</v>
      </c>
      <c r="E11867" t="s">
        <v>39</v>
      </c>
      <c r="F11867">
        <v>0</v>
      </c>
      <c r="G11867">
        <v>0</v>
      </c>
      <c r="H11867">
        <v>1</v>
      </c>
      <c r="I11867" s="3">
        <v>695.7</v>
      </c>
      <c r="J11867" s="3">
        <v>0</v>
      </c>
      <c r="L11867">
        <v>154</v>
      </c>
      <c r="M11867" t="s">
        <v>22141</v>
      </c>
      <c r="N11867" t="s">
        <v>30</v>
      </c>
      <c r="O11867" t="s">
        <v>31</v>
      </c>
      <c r="P11867" t="str">
        <f>"15236"</f>
        <v>15236</v>
      </c>
    </row>
    <row r="11868" spans="1:16" x14ac:dyDescent="0.25">
      <c r="A11868" t="str">
        <f>"1180015D00254    00"</f>
        <v>1180015D00254    00</v>
      </c>
      <c r="B11868" t="s">
        <v>26240</v>
      </c>
      <c r="C11868" t="s">
        <v>26192</v>
      </c>
      <c r="D11868" t="s">
        <v>20</v>
      </c>
      <c r="E11868" t="s">
        <v>39</v>
      </c>
      <c r="F11868">
        <v>0</v>
      </c>
      <c r="G11868">
        <v>0</v>
      </c>
      <c r="H11868">
        <v>19</v>
      </c>
      <c r="I11868" s="3">
        <v>329.07</v>
      </c>
      <c r="J11868" s="3">
        <v>353.93</v>
      </c>
      <c r="K11868" t="s">
        <v>1037</v>
      </c>
      <c r="L11868">
        <v>423</v>
      </c>
      <c r="M11868" t="s">
        <v>25300</v>
      </c>
      <c r="N11868" t="s">
        <v>30</v>
      </c>
      <c r="O11868" t="s">
        <v>31</v>
      </c>
      <c r="P11868" t="str">
        <f>"15211"</f>
        <v>15211</v>
      </c>
    </row>
    <row r="11869" spans="1:16" x14ac:dyDescent="0.25">
      <c r="A11869" t="str">
        <f>"1180015D00263    00"</f>
        <v>1180015D00263    00</v>
      </c>
      <c r="B11869" t="s">
        <v>26241</v>
      </c>
      <c r="C11869" t="s">
        <v>26242</v>
      </c>
      <c r="E11869" t="s">
        <v>39</v>
      </c>
      <c r="F11869">
        <v>0</v>
      </c>
      <c r="G11869">
        <v>0</v>
      </c>
      <c r="H11869">
        <v>1</v>
      </c>
      <c r="I11869" s="3">
        <v>223.42</v>
      </c>
      <c r="J11869" s="3">
        <v>61.43</v>
      </c>
      <c r="L11869">
        <v>405</v>
      </c>
      <c r="M11869" t="s">
        <v>25300</v>
      </c>
      <c r="N11869" t="s">
        <v>30</v>
      </c>
      <c r="O11869" t="s">
        <v>31</v>
      </c>
      <c r="P11869" t="str">
        <f>"15211"</f>
        <v>15211</v>
      </c>
    </row>
    <row r="11870" spans="1:16" x14ac:dyDescent="0.25">
      <c r="A11870" t="str">
        <f>"1180015D00291    00"</f>
        <v>1180015D00291    00</v>
      </c>
      <c r="B11870" t="s">
        <v>25218</v>
      </c>
      <c r="C11870" t="s">
        <v>26243</v>
      </c>
      <c r="E11870" t="s">
        <v>39</v>
      </c>
      <c r="F11870">
        <v>0</v>
      </c>
      <c r="G11870">
        <v>0</v>
      </c>
      <c r="H11870">
        <v>1</v>
      </c>
      <c r="I11870" s="3">
        <v>1010.18</v>
      </c>
      <c r="J11870" s="3">
        <v>202.03</v>
      </c>
      <c r="K11870" t="s">
        <v>25220</v>
      </c>
      <c r="L11870">
        <v>18</v>
      </c>
      <c r="M11870" t="s">
        <v>7116</v>
      </c>
      <c r="N11870" t="s">
        <v>30</v>
      </c>
      <c r="O11870" t="s">
        <v>31</v>
      </c>
      <c r="P11870" t="str">
        <f>"15211"</f>
        <v>15211</v>
      </c>
    </row>
    <row r="11871" spans="1:16" x14ac:dyDescent="0.25">
      <c r="A11871" t="str">
        <f>"1180015D00298    00"</f>
        <v>1180015D00298    00</v>
      </c>
      <c r="B11871" t="s">
        <v>26244</v>
      </c>
      <c r="C11871" t="s">
        <v>26245</v>
      </c>
      <c r="D11871" t="s">
        <v>20</v>
      </c>
      <c r="E11871" t="s">
        <v>39</v>
      </c>
      <c r="F11871">
        <v>0</v>
      </c>
      <c r="G11871">
        <v>0</v>
      </c>
      <c r="H11871">
        <v>16</v>
      </c>
      <c r="I11871" s="3">
        <v>19898.71</v>
      </c>
      <c r="J11871" s="3">
        <v>16122.83</v>
      </c>
      <c r="L11871">
        <v>3042</v>
      </c>
      <c r="M11871" t="s">
        <v>16891</v>
      </c>
      <c r="N11871" t="s">
        <v>30</v>
      </c>
      <c r="O11871" t="s">
        <v>31</v>
      </c>
      <c r="P11871" t="str">
        <f>"15204"</f>
        <v>15204</v>
      </c>
    </row>
    <row r="11872" spans="1:16" x14ac:dyDescent="0.25">
      <c r="A11872" t="str">
        <f>"1180015D00302    00"</f>
        <v>1180015D00302    00</v>
      </c>
      <c r="B11872" t="s">
        <v>26246</v>
      </c>
      <c r="C11872" t="s">
        <v>26247</v>
      </c>
      <c r="D11872" t="s">
        <v>20</v>
      </c>
      <c r="E11872" t="s">
        <v>39</v>
      </c>
      <c r="F11872">
        <v>0</v>
      </c>
      <c r="G11872">
        <v>0</v>
      </c>
      <c r="H11872">
        <v>3</v>
      </c>
      <c r="I11872" s="3">
        <v>594.66</v>
      </c>
      <c r="J11872" s="3">
        <v>39.64</v>
      </c>
      <c r="K11872" t="s">
        <v>26248</v>
      </c>
      <c r="L11872">
        <v>11</v>
      </c>
      <c r="M11872" t="s">
        <v>26249</v>
      </c>
      <c r="N11872" t="s">
        <v>13311</v>
      </c>
      <c r="O11872" t="s">
        <v>200</v>
      </c>
      <c r="P11872" t="str">
        <f>"14207"</f>
        <v>14207</v>
      </c>
    </row>
    <row r="11873" spans="1:16" x14ac:dyDescent="0.25">
      <c r="A11873" t="str">
        <f>"1180015F00190    00"</f>
        <v>1180015F00190    00</v>
      </c>
      <c r="B11873" t="s">
        <v>26250</v>
      </c>
      <c r="C11873" t="s">
        <v>26251</v>
      </c>
      <c r="D11873" t="s">
        <v>20</v>
      </c>
      <c r="E11873" t="s">
        <v>39</v>
      </c>
      <c r="F11873">
        <v>0</v>
      </c>
      <c r="G11873">
        <v>0</v>
      </c>
      <c r="H11873">
        <v>2</v>
      </c>
      <c r="I11873" s="3">
        <v>149.78</v>
      </c>
      <c r="J11873" s="3">
        <v>0</v>
      </c>
      <c r="K11873" t="s">
        <v>26252</v>
      </c>
      <c r="L11873">
        <v>285</v>
      </c>
      <c r="M11873" t="s">
        <v>26253</v>
      </c>
      <c r="N11873" t="s">
        <v>30</v>
      </c>
      <c r="O11873" t="s">
        <v>31</v>
      </c>
      <c r="P11873" t="str">
        <f>"15211"</f>
        <v>15211</v>
      </c>
    </row>
    <row r="11874" spans="1:16" x14ac:dyDescent="0.25">
      <c r="A11874" t="str">
        <f>"1180015F00191    00"</f>
        <v>1180015F00191    00</v>
      </c>
      <c r="B11874" t="s">
        <v>26254</v>
      </c>
      <c r="C11874" t="s">
        <v>26255</v>
      </c>
      <c r="D11874" t="s">
        <v>20</v>
      </c>
      <c r="E11874" t="s">
        <v>39</v>
      </c>
      <c r="F11874">
        <v>0</v>
      </c>
      <c r="G11874">
        <v>0</v>
      </c>
      <c r="H11874">
        <v>17</v>
      </c>
      <c r="I11874" s="3">
        <v>829.92</v>
      </c>
      <c r="J11874" s="3">
        <v>936.94</v>
      </c>
      <c r="L11874">
        <v>119</v>
      </c>
      <c r="M11874" t="s">
        <v>25563</v>
      </c>
      <c r="N11874" t="s">
        <v>30</v>
      </c>
      <c r="O11874" t="s">
        <v>31</v>
      </c>
      <c r="P11874" t="str">
        <f>"15210"</f>
        <v>15210</v>
      </c>
    </row>
    <row r="11875" spans="1:16" x14ac:dyDescent="0.25">
      <c r="A11875" t="str">
        <f>"1180015F00192    00"</f>
        <v>1180015F00192    00</v>
      </c>
      <c r="B11875" t="s">
        <v>26254</v>
      </c>
      <c r="C11875" t="s">
        <v>26255</v>
      </c>
      <c r="D11875" t="s">
        <v>20</v>
      </c>
      <c r="E11875" t="s">
        <v>39</v>
      </c>
      <c r="F11875">
        <v>0</v>
      </c>
      <c r="G11875">
        <v>0</v>
      </c>
      <c r="H11875">
        <v>19</v>
      </c>
      <c r="I11875" s="3">
        <v>364.93</v>
      </c>
      <c r="J11875" s="3">
        <v>305.31</v>
      </c>
      <c r="L11875">
        <v>119</v>
      </c>
      <c r="M11875" t="s">
        <v>25563</v>
      </c>
      <c r="N11875" t="s">
        <v>30</v>
      </c>
      <c r="O11875" t="s">
        <v>31</v>
      </c>
      <c r="P11875" t="str">
        <f>"15210"</f>
        <v>15210</v>
      </c>
    </row>
    <row r="11876" spans="1:16" x14ac:dyDescent="0.25">
      <c r="A11876" t="str">
        <f>"1180015F00196    00"</f>
        <v>1180015F00196    00</v>
      </c>
      <c r="B11876" t="s">
        <v>3051</v>
      </c>
      <c r="C11876" t="s">
        <v>26255</v>
      </c>
      <c r="D11876" t="s">
        <v>20</v>
      </c>
      <c r="E11876" t="s">
        <v>39</v>
      </c>
      <c r="F11876">
        <v>0</v>
      </c>
      <c r="G11876">
        <v>0</v>
      </c>
      <c r="H11876">
        <v>13</v>
      </c>
      <c r="I11876" s="3">
        <v>128.34</v>
      </c>
      <c r="J11876" s="3">
        <v>157.52000000000001</v>
      </c>
      <c r="K11876" t="s">
        <v>26256</v>
      </c>
      <c r="L11876">
        <v>225</v>
      </c>
      <c r="M11876" t="s">
        <v>26040</v>
      </c>
      <c r="N11876" t="s">
        <v>26041</v>
      </c>
      <c r="O11876" t="s">
        <v>495</v>
      </c>
      <c r="P11876" t="str">
        <f>"94306"</f>
        <v>94306</v>
      </c>
    </row>
    <row r="11877" spans="1:16" x14ac:dyDescent="0.25">
      <c r="A11877" t="str">
        <f>"1180015F00198    00"</f>
        <v>1180015F00198    00</v>
      </c>
      <c r="B11877" t="s">
        <v>26257</v>
      </c>
      <c r="C11877" t="s">
        <v>26258</v>
      </c>
      <c r="D11877" t="s">
        <v>20</v>
      </c>
      <c r="E11877" t="s">
        <v>39</v>
      </c>
      <c r="F11877">
        <v>0</v>
      </c>
      <c r="G11877">
        <v>0</v>
      </c>
      <c r="H11877">
        <v>2</v>
      </c>
      <c r="I11877" s="3">
        <v>756.08</v>
      </c>
      <c r="J11877" s="3">
        <v>0</v>
      </c>
      <c r="K11877" t="s">
        <v>26259</v>
      </c>
      <c r="L11877">
        <v>101</v>
      </c>
      <c r="M11877" t="s">
        <v>26260</v>
      </c>
      <c r="N11877" t="s">
        <v>30</v>
      </c>
      <c r="O11877" t="s">
        <v>31</v>
      </c>
      <c r="P11877" t="str">
        <f t="shared" ref="P11877:P11882" si="140">"15210"</f>
        <v>15210</v>
      </c>
    </row>
    <row r="11878" spans="1:16" x14ac:dyDescent="0.25">
      <c r="A11878" t="str">
        <f>"1180015F00200    00"</f>
        <v>1180015F00200    00</v>
      </c>
      <c r="B11878" t="s">
        <v>26261</v>
      </c>
      <c r="C11878" t="s">
        <v>25623</v>
      </c>
      <c r="D11878" t="s">
        <v>20</v>
      </c>
      <c r="E11878" t="s">
        <v>39</v>
      </c>
      <c r="F11878">
        <v>0</v>
      </c>
      <c r="G11878">
        <v>0</v>
      </c>
      <c r="H11878">
        <v>19</v>
      </c>
      <c r="I11878" s="3">
        <v>1804.19</v>
      </c>
      <c r="J11878" s="3">
        <v>1898.48</v>
      </c>
      <c r="L11878">
        <v>192</v>
      </c>
      <c r="M11878" t="s">
        <v>25563</v>
      </c>
      <c r="N11878" t="s">
        <v>30</v>
      </c>
      <c r="O11878" t="s">
        <v>31</v>
      </c>
      <c r="P11878" t="str">
        <f t="shared" si="140"/>
        <v>15210</v>
      </c>
    </row>
    <row r="11879" spans="1:16" x14ac:dyDescent="0.25">
      <c r="A11879" t="str">
        <f>"1180015F00201    00"</f>
        <v>1180015F00201    00</v>
      </c>
      <c r="B11879" t="s">
        <v>26262</v>
      </c>
      <c r="C11879" t="s">
        <v>26263</v>
      </c>
      <c r="D11879" t="s">
        <v>20</v>
      </c>
      <c r="E11879" t="s">
        <v>39</v>
      </c>
      <c r="F11879">
        <v>0</v>
      </c>
      <c r="G11879">
        <v>0</v>
      </c>
      <c r="H11879">
        <v>2</v>
      </c>
      <c r="I11879" s="3">
        <v>297.38</v>
      </c>
      <c r="J11879" s="3">
        <v>0</v>
      </c>
      <c r="L11879">
        <v>57</v>
      </c>
      <c r="M11879" t="s">
        <v>11789</v>
      </c>
      <c r="N11879" t="s">
        <v>30</v>
      </c>
      <c r="O11879" t="s">
        <v>31</v>
      </c>
      <c r="P11879" t="str">
        <f t="shared" si="140"/>
        <v>15210</v>
      </c>
    </row>
    <row r="11880" spans="1:16" x14ac:dyDescent="0.25">
      <c r="A11880" t="str">
        <f>"1180015F00202    00"</f>
        <v>1180015F00202    00</v>
      </c>
      <c r="B11880" t="s">
        <v>26262</v>
      </c>
      <c r="C11880" t="s">
        <v>26264</v>
      </c>
      <c r="D11880" t="s">
        <v>20</v>
      </c>
      <c r="E11880" t="s">
        <v>39</v>
      </c>
      <c r="F11880">
        <v>0</v>
      </c>
      <c r="G11880">
        <v>0</v>
      </c>
      <c r="H11880">
        <v>2</v>
      </c>
      <c r="I11880" s="3">
        <v>33.5</v>
      </c>
      <c r="J11880" s="3">
        <v>0</v>
      </c>
      <c r="L11880">
        <v>190</v>
      </c>
      <c r="M11880" t="s">
        <v>26265</v>
      </c>
      <c r="N11880" t="s">
        <v>30</v>
      </c>
      <c r="O11880" t="s">
        <v>31</v>
      </c>
      <c r="P11880" t="str">
        <f t="shared" si="140"/>
        <v>15210</v>
      </c>
    </row>
    <row r="11881" spans="1:16" x14ac:dyDescent="0.25">
      <c r="A11881" t="str">
        <f>"1180015F00206    00"</f>
        <v>1180015F00206    00</v>
      </c>
      <c r="B11881" t="s">
        <v>26266</v>
      </c>
      <c r="C11881" t="s">
        <v>26267</v>
      </c>
      <c r="E11881" t="s">
        <v>39</v>
      </c>
      <c r="F11881">
        <v>0</v>
      </c>
      <c r="G11881">
        <v>0</v>
      </c>
      <c r="H11881">
        <v>7</v>
      </c>
      <c r="I11881" s="3">
        <v>2239.98</v>
      </c>
      <c r="J11881" s="3">
        <v>3064.95</v>
      </c>
      <c r="L11881">
        <v>17</v>
      </c>
      <c r="M11881" t="s">
        <v>2475</v>
      </c>
      <c r="N11881" t="s">
        <v>30</v>
      </c>
      <c r="O11881" t="s">
        <v>31</v>
      </c>
      <c r="P11881" t="str">
        <f t="shared" si="140"/>
        <v>15210</v>
      </c>
    </row>
    <row r="11882" spans="1:16" x14ac:dyDescent="0.25">
      <c r="A11882" t="str">
        <f>"1180015F00207    00"</f>
        <v>1180015F00207    00</v>
      </c>
      <c r="B11882" t="s">
        <v>26268</v>
      </c>
      <c r="C11882" t="s">
        <v>26269</v>
      </c>
      <c r="E11882" t="s">
        <v>39</v>
      </c>
      <c r="F11882">
        <v>0</v>
      </c>
      <c r="G11882">
        <v>0</v>
      </c>
      <c r="H11882">
        <v>1</v>
      </c>
      <c r="I11882" s="3">
        <v>93.07</v>
      </c>
      <c r="J11882" s="3">
        <v>55.84</v>
      </c>
      <c r="L11882">
        <v>15</v>
      </c>
      <c r="M11882" t="s">
        <v>2475</v>
      </c>
      <c r="N11882" t="s">
        <v>30</v>
      </c>
      <c r="O11882" t="s">
        <v>31</v>
      </c>
      <c r="P11882" t="str">
        <f t="shared" si="140"/>
        <v>15210</v>
      </c>
    </row>
    <row r="11883" spans="1:16" x14ac:dyDescent="0.25">
      <c r="A11883" t="str">
        <f>"1180015F00216    00"</f>
        <v>1180015F00216    00</v>
      </c>
      <c r="B11883" t="s">
        <v>26270</v>
      </c>
      <c r="C11883" t="s">
        <v>25623</v>
      </c>
      <c r="D11883" t="s">
        <v>20</v>
      </c>
      <c r="E11883" t="s">
        <v>39</v>
      </c>
      <c r="F11883">
        <v>0</v>
      </c>
      <c r="G11883">
        <v>0</v>
      </c>
      <c r="H11883">
        <v>17</v>
      </c>
      <c r="I11883" s="3">
        <v>178.33</v>
      </c>
      <c r="J11883" s="3">
        <v>207.61</v>
      </c>
      <c r="K11883" t="s">
        <v>1008</v>
      </c>
      <c r="P11883" t="str">
        <f>""</f>
        <v/>
      </c>
    </row>
    <row r="11884" spans="1:16" x14ac:dyDescent="0.25">
      <c r="A11884" t="str">
        <f>"1180015F00216A   00"</f>
        <v>1180015F00216A   00</v>
      </c>
      <c r="B11884" t="s">
        <v>26271</v>
      </c>
      <c r="C11884" t="s">
        <v>26272</v>
      </c>
      <c r="D11884" t="s">
        <v>20</v>
      </c>
      <c r="E11884" t="s">
        <v>39</v>
      </c>
      <c r="F11884">
        <v>0</v>
      </c>
      <c r="G11884">
        <v>0</v>
      </c>
      <c r="H11884">
        <v>7</v>
      </c>
      <c r="I11884" s="3">
        <v>3060.69</v>
      </c>
      <c r="J11884" s="3">
        <v>85.59</v>
      </c>
      <c r="L11884">
        <v>834</v>
      </c>
      <c r="M11884" t="s">
        <v>3977</v>
      </c>
      <c r="N11884" t="s">
        <v>30</v>
      </c>
      <c r="O11884" t="s">
        <v>31</v>
      </c>
      <c r="P11884" t="str">
        <f>"15210"</f>
        <v>15210</v>
      </c>
    </row>
    <row r="11885" spans="1:16" x14ac:dyDescent="0.25">
      <c r="A11885" t="str">
        <f>"1180015F00217    00"</f>
        <v>1180015F00217    00</v>
      </c>
      <c r="B11885" t="s">
        <v>26238</v>
      </c>
      <c r="C11885" t="s">
        <v>26273</v>
      </c>
      <c r="D11885" t="s">
        <v>20</v>
      </c>
      <c r="E11885" t="s">
        <v>39</v>
      </c>
      <c r="F11885">
        <v>0</v>
      </c>
      <c r="G11885">
        <v>0</v>
      </c>
      <c r="H11885">
        <v>1</v>
      </c>
      <c r="I11885" s="3">
        <v>451.73</v>
      </c>
      <c r="J11885" s="3">
        <v>0</v>
      </c>
      <c r="L11885">
        <v>154</v>
      </c>
      <c r="M11885" t="s">
        <v>22141</v>
      </c>
      <c r="N11885" t="s">
        <v>30</v>
      </c>
      <c r="O11885" t="s">
        <v>31</v>
      </c>
      <c r="P11885" t="str">
        <f>"15236"</f>
        <v>15236</v>
      </c>
    </row>
    <row r="11886" spans="1:16" x14ac:dyDescent="0.25">
      <c r="A11886" t="str">
        <f>"1180015F00218    00"</f>
        <v>1180015F00218    00</v>
      </c>
      <c r="B11886" t="s">
        <v>26274</v>
      </c>
      <c r="C11886" t="s">
        <v>26275</v>
      </c>
      <c r="D11886" t="s">
        <v>20</v>
      </c>
      <c r="E11886" t="s">
        <v>39</v>
      </c>
      <c r="F11886">
        <v>0</v>
      </c>
      <c r="G11886">
        <v>0</v>
      </c>
      <c r="H11886">
        <v>5</v>
      </c>
      <c r="I11886" s="3">
        <v>2156.41</v>
      </c>
      <c r="J11886" s="3">
        <v>452.12</v>
      </c>
      <c r="K11886" t="s">
        <v>26276</v>
      </c>
      <c r="L11886">
        <v>44</v>
      </c>
      <c r="M11886" t="s">
        <v>2475</v>
      </c>
      <c r="N11886" t="s">
        <v>30</v>
      </c>
      <c r="O11886" t="s">
        <v>31</v>
      </c>
      <c r="P11886" t="str">
        <f>"15210"</f>
        <v>15210</v>
      </c>
    </row>
    <row r="11887" spans="1:16" x14ac:dyDescent="0.25">
      <c r="A11887" t="str">
        <f>"1180015G00020    00"</f>
        <v>1180015G00020    00</v>
      </c>
      <c r="B11887" t="s">
        <v>26277</v>
      </c>
      <c r="C11887" t="s">
        <v>26278</v>
      </c>
      <c r="E11887" t="s">
        <v>39</v>
      </c>
      <c r="F11887">
        <v>0</v>
      </c>
      <c r="G11887">
        <v>0</v>
      </c>
      <c r="H11887">
        <v>12</v>
      </c>
      <c r="I11887" s="3">
        <v>5203.18</v>
      </c>
      <c r="J11887" s="3">
        <v>6108.04</v>
      </c>
      <c r="L11887">
        <v>220</v>
      </c>
      <c r="M11887" t="s">
        <v>26279</v>
      </c>
      <c r="N11887" t="s">
        <v>30</v>
      </c>
      <c r="O11887" t="s">
        <v>31</v>
      </c>
      <c r="P11887" t="str">
        <f>"15210"</f>
        <v>15210</v>
      </c>
    </row>
    <row r="11888" spans="1:16" x14ac:dyDescent="0.25">
      <c r="A11888" t="str">
        <f>"1180015G00021    00"</f>
        <v>1180015G00021    00</v>
      </c>
      <c r="B11888" t="s">
        <v>26277</v>
      </c>
      <c r="C11888" t="s">
        <v>24836</v>
      </c>
      <c r="E11888" t="s">
        <v>39</v>
      </c>
      <c r="F11888">
        <v>0</v>
      </c>
      <c r="G11888">
        <v>0</v>
      </c>
      <c r="H11888">
        <v>3</v>
      </c>
      <c r="I11888" s="3">
        <v>50.76</v>
      </c>
      <c r="J11888" s="3">
        <v>8.3699999999999992</v>
      </c>
      <c r="L11888">
        <v>220</v>
      </c>
      <c r="M11888" t="s">
        <v>26280</v>
      </c>
      <c r="N11888" t="s">
        <v>30</v>
      </c>
      <c r="O11888" t="s">
        <v>31</v>
      </c>
      <c r="P11888" t="str">
        <f>"15210"</f>
        <v>15210</v>
      </c>
    </row>
    <row r="11889" spans="1:16" x14ac:dyDescent="0.25">
      <c r="A11889" t="str">
        <f>"1180015G00031    00"</f>
        <v>1180015G00031    00</v>
      </c>
      <c r="B11889" t="s">
        <v>26281</v>
      </c>
      <c r="C11889" t="s">
        <v>26282</v>
      </c>
      <c r="D11889" t="s">
        <v>20</v>
      </c>
      <c r="E11889" t="s">
        <v>39</v>
      </c>
      <c r="F11889">
        <v>0</v>
      </c>
      <c r="G11889">
        <v>0</v>
      </c>
      <c r="H11889">
        <v>1</v>
      </c>
      <c r="I11889" s="3">
        <v>501.74</v>
      </c>
      <c r="J11889" s="3">
        <v>0</v>
      </c>
      <c r="K11889" t="s">
        <v>26283</v>
      </c>
      <c r="L11889">
        <v>19221</v>
      </c>
      <c r="M11889" t="s">
        <v>26284</v>
      </c>
      <c r="N11889" t="s">
        <v>1827</v>
      </c>
      <c r="O11889" t="s">
        <v>108</v>
      </c>
      <c r="P11889" t="str">
        <f>"77407"</f>
        <v>77407</v>
      </c>
    </row>
    <row r="11890" spans="1:16" x14ac:dyDescent="0.25">
      <c r="A11890" t="str">
        <f>"1180015G00032    00"</f>
        <v>1180015G00032    00</v>
      </c>
      <c r="B11890" t="s">
        <v>21146</v>
      </c>
      <c r="C11890" t="s">
        <v>26285</v>
      </c>
      <c r="E11890" t="s">
        <v>39</v>
      </c>
      <c r="F11890">
        <v>0</v>
      </c>
      <c r="G11890">
        <v>0</v>
      </c>
      <c r="H11890">
        <v>1</v>
      </c>
      <c r="I11890" s="3">
        <v>437.42</v>
      </c>
      <c r="J11890" s="3">
        <v>236.93</v>
      </c>
      <c r="K11890" t="s">
        <v>21148</v>
      </c>
      <c r="M11890" t="s">
        <v>6556</v>
      </c>
      <c r="N11890" t="s">
        <v>30</v>
      </c>
      <c r="O11890" t="s">
        <v>31</v>
      </c>
      <c r="P11890" t="str">
        <f>"15201"</f>
        <v>15201</v>
      </c>
    </row>
    <row r="11891" spans="1:16" x14ac:dyDescent="0.25">
      <c r="A11891" t="str">
        <f>"1180015G00050    00"</f>
        <v>1180015G00050    00</v>
      </c>
      <c r="B11891" t="s">
        <v>26286</v>
      </c>
      <c r="C11891" t="s">
        <v>26287</v>
      </c>
      <c r="D11891" t="s">
        <v>20</v>
      </c>
      <c r="E11891" t="s">
        <v>39</v>
      </c>
      <c r="F11891">
        <v>0</v>
      </c>
      <c r="G11891">
        <v>0</v>
      </c>
      <c r="H11891">
        <v>2</v>
      </c>
      <c r="I11891" s="3">
        <v>248.39</v>
      </c>
      <c r="J11891" s="3">
        <v>0</v>
      </c>
      <c r="K11891" t="s">
        <v>26288</v>
      </c>
      <c r="L11891">
        <v>4408</v>
      </c>
      <c r="M11891" t="s">
        <v>26289</v>
      </c>
      <c r="N11891" t="s">
        <v>5166</v>
      </c>
      <c r="O11891" t="s">
        <v>1413</v>
      </c>
      <c r="P11891" t="str">
        <f>"27612"</f>
        <v>27612</v>
      </c>
    </row>
    <row r="11892" spans="1:16" x14ac:dyDescent="0.25">
      <c r="A11892" t="str">
        <f>"1180015G00065    00"</f>
        <v>1180015G00065    00</v>
      </c>
      <c r="B11892" t="s">
        <v>26290</v>
      </c>
      <c r="C11892" t="s">
        <v>26291</v>
      </c>
      <c r="D11892" t="s">
        <v>20</v>
      </c>
      <c r="E11892" t="s">
        <v>39</v>
      </c>
      <c r="F11892">
        <v>0</v>
      </c>
      <c r="G11892">
        <v>0</v>
      </c>
      <c r="H11892">
        <v>19</v>
      </c>
      <c r="I11892" s="3">
        <v>919.06</v>
      </c>
      <c r="J11892" s="3">
        <v>643.29999999999995</v>
      </c>
      <c r="K11892" t="s">
        <v>1008</v>
      </c>
      <c r="P11892" t="str">
        <f>""</f>
        <v/>
      </c>
    </row>
    <row r="11893" spans="1:16" x14ac:dyDescent="0.25">
      <c r="A11893" t="str">
        <f>"1180015G00071    00"</f>
        <v>1180015G00071    00</v>
      </c>
      <c r="B11893" t="s">
        <v>26292</v>
      </c>
      <c r="C11893" t="s">
        <v>26293</v>
      </c>
      <c r="D11893" t="s">
        <v>20</v>
      </c>
      <c r="E11893" t="s">
        <v>39</v>
      </c>
      <c r="F11893">
        <v>0</v>
      </c>
      <c r="G11893">
        <v>0</v>
      </c>
      <c r="H11893">
        <v>19</v>
      </c>
      <c r="I11893" s="3">
        <v>2021</v>
      </c>
      <c r="J11893" s="3">
        <v>1990.71</v>
      </c>
      <c r="P11893" t="str">
        <f>""</f>
        <v/>
      </c>
    </row>
    <row r="11894" spans="1:16" x14ac:dyDescent="0.25">
      <c r="A11894" t="str">
        <f>"1180015G00074    00"</f>
        <v>1180015G00074    00</v>
      </c>
      <c r="B11894" t="s">
        <v>26294</v>
      </c>
      <c r="C11894" t="s">
        <v>26293</v>
      </c>
      <c r="D11894" t="s">
        <v>20</v>
      </c>
      <c r="E11894" t="s">
        <v>39</v>
      </c>
      <c r="F11894">
        <v>0</v>
      </c>
      <c r="G11894">
        <v>0</v>
      </c>
      <c r="H11894">
        <v>19</v>
      </c>
      <c r="I11894" s="3">
        <v>2089.3000000000002</v>
      </c>
      <c r="J11894" s="3">
        <v>2229.27</v>
      </c>
      <c r="P11894" t="str">
        <f>""</f>
        <v/>
      </c>
    </row>
    <row r="11895" spans="1:16" x14ac:dyDescent="0.25">
      <c r="A11895" t="str">
        <f>"1180015G00075    00"</f>
        <v>1180015G00075    00</v>
      </c>
      <c r="B11895" t="s">
        <v>26295</v>
      </c>
      <c r="C11895" t="s">
        <v>26293</v>
      </c>
      <c r="E11895" t="s">
        <v>39</v>
      </c>
      <c r="F11895">
        <v>0</v>
      </c>
      <c r="G11895">
        <v>0</v>
      </c>
      <c r="H11895">
        <v>16</v>
      </c>
      <c r="I11895" s="3">
        <v>4036.88</v>
      </c>
      <c r="J11895" s="3">
        <v>4722.32</v>
      </c>
      <c r="L11895">
        <v>315</v>
      </c>
      <c r="M11895" t="s">
        <v>26296</v>
      </c>
      <c r="N11895" t="s">
        <v>264</v>
      </c>
      <c r="O11895" t="s">
        <v>25</v>
      </c>
      <c r="P11895" t="str">
        <f>"45246"</f>
        <v>45246</v>
      </c>
    </row>
    <row r="11896" spans="1:16" x14ac:dyDescent="0.25">
      <c r="A11896" t="str">
        <f>"1180015G00080    00"</f>
        <v>1180015G00080    00</v>
      </c>
      <c r="B11896" t="s">
        <v>26297</v>
      </c>
      <c r="C11896" t="s">
        <v>25623</v>
      </c>
      <c r="D11896" t="s">
        <v>20</v>
      </c>
      <c r="E11896" t="s">
        <v>39</v>
      </c>
      <c r="F11896">
        <v>0</v>
      </c>
      <c r="G11896">
        <v>0</v>
      </c>
      <c r="H11896">
        <v>16</v>
      </c>
      <c r="I11896" s="3">
        <v>375.05</v>
      </c>
      <c r="J11896" s="3">
        <v>347.99</v>
      </c>
      <c r="K11896" t="s">
        <v>1037</v>
      </c>
      <c r="L11896">
        <v>71</v>
      </c>
      <c r="M11896" t="s">
        <v>2475</v>
      </c>
      <c r="N11896" t="s">
        <v>30</v>
      </c>
      <c r="O11896" t="s">
        <v>31</v>
      </c>
      <c r="P11896" t="str">
        <f>"15210"</f>
        <v>15210</v>
      </c>
    </row>
    <row r="11897" spans="1:16" x14ac:dyDescent="0.25">
      <c r="A11897" t="str">
        <f>"1180015G00081    00"</f>
        <v>1180015G00081    00</v>
      </c>
      <c r="B11897" t="s">
        <v>26298</v>
      </c>
      <c r="C11897" t="s">
        <v>25623</v>
      </c>
      <c r="D11897" t="s">
        <v>20</v>
      </c>
      <c r="E11897" t="s">
        <v>39</v>
      </c>
      <c r="F11897">
        <v>0</v>
      </c>
      <c r="G11897">
        <v>0</v>
      </c>
      <c r="H11897">
        <v>10</v>
      </c>
      <c r="I11897" s="3">
        <v>3579.2</v>
      </c>
      <c r="J11897" s="3">
        <v>5042.6000000000004</v>
      </c>
      <c r="K11897" t="s">
        <v>26299</v>
      </c>
      <c r="M11897" t="s">
        <v>26300</v>
      </c>
      <c r="N11897" t="s">
        <v>30</v>
      </c>
      <c r="O11897" t="s">
        <v>31</v>
      </c>
      <c r="P11897" t="str">
        <f>"15233"</f>
        <v>15233</v>
      </c>
    </row>
    <row r="11898" spans="1:16" x14ac:dyDescent="0.25">
      <c r="A11898" t="str">
        <f>"1180015G00086    00"</f>
        <v>1180015G00086    00</v>
      </c>
      <c r="B11898" t="s">
        <v>26301</v>
      </c>
      <c r="C11898" t="s">
        <v>26302</v>
      </c>
      <c r="D11898" t="s">
        <v>20</v>
      </c>
      <c r="E11898" t="s">
        <v>21</v>
      </c>
      <c r="F11898">
        <v>0</v>
      </c>
      <c r="G11898">
        <v>0</v>
      </c>
      <c r="H11898">
        <v>10</v>
      </c>
      <c r="I11898" s="3">
        <v>12329.99</v>
      </c>
      <c r="J11898" s="3">
        <v>6324.22</v>
      </c>
      <c r="K11898" t="s">
        <v>26303</v>
      </c>
      <c r="L11898">
        <v>2326</v>
      </c>
      <c r="M11898" t="s">
        <v>26304</v>
      </c>
      <c r="N11898" t="s">
        <v>30</v>
      </c>
      <c r="O11898" t="s">
        <v>31</v>
      </c>
      <c r="P11898" t="str">
        <f>"15216"</f>
        <v>15216</v>
      </c>
    </row>
    <row r="11899" spans="1:16" x14ac:dyDescent="0.25">
      <c r="A11899" t="str">
        <f>"1180015G00087    00"</f>
        <v>1180015G00087    00</v>
      </c>
      <c r="B11899" t="s">
        <v>26305</v>
      </c>
      <c r="C11899" t="s">
        <v>26306</v>
      </c>
      <c r="D11899" t="s">
        <v>20</v>
      </c>
      <c r="E11899" t="s">
        <v>39</v>
      </c>
      <c r="F11899">
        <v>0</v>
      </c>
      <c r="G11899">
        <v>0</v>
      </c>
      <c r="H11899">
        <v>2</v>
      </c>
      <c r="I11899" s="3">
        <v>853.88</v>
      </c>
      <c r="J11899" s="3">
        <v>0</v>
      </c>
      <c r="K11899" t="s">
        <v>26307</v>
      </c>
      <c r="L11899">
        <v>1315</v>
      </c>
      <c r="M11899" t="s">
        <v>26308</v>
      </c>
      <c r="N11899" t="s">
        <v>30</v>
      </c>
      <c r="O11899" t="s">
        <v>31</v>
      </c>
      <c r="P11899" t="str">
        <f>"15234"</f>
        <v>15234</v>
      </c>
    </row>
    <row r="11900" spans="1:16" x14ac:dyDescent="0.25">
      <c r="A11900" t="str">
        <f>"1180015G00088    00"</f>
        <v>1180015G00088    00</v>
      </c>
      <c r="B11900" t="s">
        <v>26309</v>
      </c>
      <c r="C11900" t="s">
        <v>26310</v>
      </c>
      <c r="D11900" t="s">
        <v>20</v>
      </c>
      <c r="E11900" t="s">
        <v>39</v>
      </c>
      <c r="F11900">
        <v>0</v>
      </c>
      <c r="G11900">
        <v>0</v>
      </c>
      <c r="H11900">
        <v>18</v>
      </c>
      <c r="I11900" s="3">
        <v>4972.41</v>
      </c>
      <c r="J11900" s="3">
        <v>5607.39</v>
      </c>
      <c r="L11900">
        <v>1700</v>
      </c>
      <c r="M11900" t="s">
        <v>2789</v>
      </c>
      <c r="N11900" t="s">
        <v>30</v>
      </c>
      <c r="O11900" t="s">
        <v>31</v>
      </c>
      <c r="P11900" t="str">
        <f>"15206"</f>
        <v>15206</v>
      </c>
    </row>
    <row r="11901" spans="1:16" x14ac:dyDescent="0.25">
      <c r="A11901" t="str">
        <f>"1180015G00089    00"</f>
        <v>1180015G00089    00</v>
      </c>
      <c r="B11901" t="s">
        <v>26311</v>
      </c>
      <c r="C11901" t="s">
        <v>25623</v>
      </c>
      <c r="D11901" t="s">
        <v>20</v>
      </c>
      <c r="E11901" t="s">
        <v>39</v>
      </c>
      <c r="F11901">
        <v>0</v>
      </c>
      <c r="G11901">
        <v>0</v>
      </c>
      <c r="H11901">
        <v>19</v>
      </c>
      <c r="I11901" s="3">
        <v>279.7</v>
      </c>
      <c r="J11901" s="3">
        <v>282.68</v>
      </c>
      <c r="L11901">
        <v>110</v>
      </c>
      <c r="M11901" t="s">
        <v>26312</v>
      </c>
      <c r="N11901" t="s">
        <v>30</v>
      </c>
      <c r="O11901" t="s">
        <v>31</v>
      </c>
      <c r="P11901" t="str">
        <f>"15214"</f>
        <v>15214</v>
      </c>
    </row>
    <row r="11902" spans="1:16" x14ac:dyDescent="0.25">
      <c r="A11902" t="str">
        <f>"1180015G00090    00"</f>
        <v>1180015G00090    00</v>
      </c>
      <c r="B11902" t="s">
        <v>26313</v>
      </c>
      <c r="C11902" t="s">
        <v>26314</v>
      </c>
      <c r="E11902" t="s">
        <v>39</v>
      </c>
      <c r="F11902">
        <v>0</v>
      </c>
      <c r="G11902">
        <v>0</v>
      </c>
      <c r="H11902">
        <v>1</v>
      </c>
      <c r="I11902" s="3">
        <v>411.6</v>
      </c>
      <c r="J11902" s="3">
        <v>38.229999999999997</v>
      </c>
      <c r="K11902" t="s">
        <v>26315</v>
      </c>
      <c r="L11902">
        <v>89</v>
      </c>
      <c r="M11902" t="s">
        <v>2475</v>
      </c>
      <c r="N11902" t="s">
        <v>30</v>
      </c>
      <c r="O11902" t="s">
        <v>31</v>
      </c>
      <c r="P11902" t="str">
        <f>"15210"</f>
        <v>15210</v>
      </c>
    </row>
    <row r="11903" spans="1:16" x14ac:dyDescent="0.25">
      <c r="A11903" t="str">
        <f>"1180015G00091    00"</f>
        <v>1180015G00091    00</v>
      </c>
      <c r="B11903" t="s">
        <v>26316</v>
      </c>
      <c r="C11903" t="s">
        <v>26317</v>
      </c>
      <c r="D11903" t="s">
        <v>20</v>
      </c>
      <c r="E11903" t="s">
        <v>39</v>
      </c>
      <c r="F11903">
        <v>0</v>
      </c>
      <c r="G11903">
        <v>0</v>
      </c>
      <c r="H11903">
        <v>1</v>
      </c>
      <c r="I11903" s="3">
        <v>232.53</v>
      </c>
      <c r="J11903" s="3">
        <v>0</v>
      </c>
      <c r="L11903">
        <v>4142</v>
      </c>
      <c r="M11903" t="s">
        <v>26318</v>
      </c>
      <c r="N11903" t="s">
        <v>1061</v>
      </c>
      <c r="O11903" t="s">
        <v>495</v>
      </c>
      <c r="P11903" t="str">
        <f>"90029"</f>
        <v>90029</v>
      </c>
    </row>
    <row r="11904" spans="1:16" x14ac:dyDescent="0.25">
      <c r="A11904" t="str">
        <f>"1180015G00101    00"</f>
        <v>1180015G00101    00</v>
      </c>
      <c r="B11904" t="s">
        <v>25631</v>
      </c>
      <c r="C11904" t="s">
        <v>26319</v>
      </c>
      <c r="D11904" t="s">
        <v>20</v>
      </c>
      <c r="E11904" t="s">
        <v>39</v>
      </c>
      <c r="F11904">
        <v>0</v>
      </c>
      <c r="G11904">
        <v>0</v>
      </c>
      <c r="H11904">
        <v>2</v>
      </c>
      <c r="I11904" s="3">
        <v>815.8</v>
      </c>
      <c r="J11904" s="3">
        <v>0</v>
      </c>
      <c r="L11904">
        <v>109</v>
      </c>
      <c r="M11904" t="s">
        <v>2475</v>
      </c>
      <c r="N11904" t="s">
        <v>30</v>
      </c>
      <c r="O11904" t="s">
        <v>31</v>
      </c>
      <c r="P11904" t="str">
        <f>"15210"</f>
        <v>15210</v>
      </c>
    </row>
    <row r="11905" spans="1:16" x14ac:dyDescent="0.25">
      <c r="A11905" t="str">
        <f>"1180015G00102    00"</f>
        <v>1180015G00102    00</v>
      </c>
      <c r="B11905" t="s">
        <v>26320</v>
      </c>
      <c r="C11905" t="s">
        <v>25623</v>
      </c>
      <c r="D11905" t="s">
        <v>20</v>
      </c>
      <c r="E11905" t="s">
        <v>39</v>
      </c>
      <c r="F11905">
        <v>0</v>
      </c>
      <c r="G11905">
        <v>0</v>
      </c>
      <c r="H11905">
        <v>6</v>
      </c>
      <c r="I11905" s="3">
        <v>77.7</v>
      </c>
      <c r="J11905" s="3">
        <v>25.5</v>
      </c>
      <c r="L11905">
        <v>614</v>
      </c>
      <c r="M11905" t="s">
        <v>2475</v>
      </c>
      <c r="N11905" t="s">
        <v>30</v>
      </c>
      <c r="O11905" t="s">
        <v>31</v>
      </c>
      <c r="P11905" t="str">
        <f>"15210"</f>
        <v>15210</v>
      </c>
    </row>
    <row r="11906" spans="1:16" x14ac:dyDescent="0.25">
      <c r="A11906" t="str">
        <f>"1180015G00103    00"</f>
        <v>1180015G00103    00</v>
      </c>
      <c r="B11906" t="s">
        <v>26321</v>
      </c>
      <c r="C11906" t="s">
        <v>25623</v>
      </c>
      <c r="D11906" t="s">
        <v>20</v>
      </c>
      <c r="E11906" t="s">
        <v>39</v>
      </c>
      <c r="F11906">
        <v>0</v>
      </c>
      <c r="G11906">
        <v>0</v>
      </c>
      <c r="H11906">
        <v>4</v>
      </c>
      <c r="I11906" s="3">
        <v>37.76</v>
      </c>
      <c r="J11906" s="3">
        <v>4.66</v>
      </c>
      <c r="L11906">
        <v>6002</v>
      </c>
      <c r="M11906" t="s">
        <v>26322</v>
      </c>
      <c r="N11906" t="s">
        <v>26323</v>
      </c>
      <c r="O11906" t="s">
        <v>1184</v>
      </c>
      <c r="P11906" t="str">
        <f>"20735"</f>
        <v>20735</v>
      </c>
    </row>
    <row r="11907" spans="1:16" x14ac:dyDescent="0.25">
      <c r="A11907" t="str">
        <f>"1180015G00110    00"</f>
        <v>1180015G00110    00</v>
      </c>
      <c r="B11907" t="s">
        <v>26324</v>
      </c>
      <c r="C11907" t="s">
        <v>26325</v>
      </c>
      <c r="D11907" t="s">
        <v>20</v>
      </c>
      <c r="E11907" t="s">
        <v>39</v>
      </c>
      <c r="F11907">
        <v>0</v>
      </c>
      <c r="G11907">
        <v>0</v>
      </c>
      <c r="H11907">
        <v>1</v>
      </c>
      <c r="I11907" s="3">
        <v>63.43</v>
      </c>
      <c r="J11907" s="3">
        <v>0</v>
      </c>
      <c r="L11907">
        <v>127</v>
      </c>
      <c r="M11907" t="s">
        <v>26326</v>
      </c>
      <c r="N11907" t="s">
        <v>30</v>
      </c>
      <c r="O11907" t="s">
        <v>31</v>
      </c>
      <c r="P11907" t="str">
        <f>"15210"</f>
        <v>15210</v>
      </c>
    </row>
    <row r="11908" spans="1:16" x14ac:dyDescent="0.25">
      <c r="A11908" t="str">
        <f>"1180015G00116    00"</f>
        <v>1180015G00116    00</v>
      </c>
      <c r="B11908" t="s">
        <v>26327</v>
      </c>
      <c r="C11908" t="s">
        <v>26328</v>
      </c>
      <c r="D11908" t="s">
        <v>20</v>
      </c>
      <c r="E11908" t="s">
        <v>39</v>
      </c>
      <c r="F11908">
        <v>0</v>
      </c>
      <c r="G11908">
        <v>0</v>
      </c>
      <c r="H11908">
        <v>2</v>
      </c>
      <c r="I11908" s="3">
        <v>521.17999999999995</v>
      </c>
      <c r="J11908" s="3">
        <v>0</v>
      </c>
      <c r="L11908">
        <v>201</v>
      </c>
      <c r="M11908" t="s">
        <v>2475</v>
      </c>
      <c r="N11908" t="s">
        <v>30</v>
      </c>
      <c r="O11908" t="s">
        <v>31</v>
      </c>
      <c r="P11908" t="str">
        <f>"15210"</f>
        <v>15210</v>
      </c>
    </row>
    <row r="11909" spans="1:16" x14ac:dyDescent="0.25">
      <c r="A11909" t="str">
        <f>"1180015G00135    00"</f>
        <v>1180015G00135    00</v>
      </c>
      <c r="B11909" t="s">
        <v>26329</v>
      </c>
      <c r="C11909" t="s">
        <v>26330</v>
      </c>
      <c r="D11909" t="s">
        <v>20</v>
      </c>
      <c r="E11909" t="s">
        <v>39</v>
      </c>
      <c r="F11909">
        <v>0</v>
      </c>
      <c r="G11909">
        <v>0</v>
      </c>
      <c r="H11909">
        <v>7</v>
      </c>
      <c r="I11909" s="3">
        <v>2061.91</v>
      </c>
      <c r="J11909" s="3">
        <v>570.19000000000005</v>
      </c>
      <c r="L11909">
        <v>110</v>
      </c>
      <c r="M11909" t="s">
        <v>26331</v>
      </c>
      <c r="N11909" t="s">
        <v>30</v>
      </c>
      <c r="O11909" t="s">
        <v>31</v>
      </c>
      <c r="P11909" t="str">
        <f>"15214"</f>
        <v>15214</v>
      </c>
    </row>
    <row r="11910" spans="1:16" x14ac:dyDescent="0.25">
      <c r="A11910" t="str">
        <f>"1180015G00144    00"</f>
        <v>1180015G00144    00</v>
      </c>
      <c r="B11910" t="s">
        <v>26332</v>
      </c>
      <c r="C11910" t="s">
        <v>25623</v>
      </c>
      <c r="D11910" t="s">
        <v>20</v>
      </c>
      <c r="E11910" t="s">
        <v>39</v>
      </c>
      <c r="F11910">
        <v>0</v>
      </c>
      <c r="G11910">
        <v>0</v>
      </c>
      <c r="H11910">
        <v>3</v>
      </c>
      <c r="I11910" s="3">
        <v>251.6</v>
      </c>
      <c r="J11910" s="3">
        <v>45.74</v>
      </c>
      <c r="L11910">
        <v>321</v>
      </c>
      <c r="M11910" t="s">
        <v>10453</v>
      </c>
      <c r="N11910" t="s">
        <v>30</v>
      </c>
      <c r="O11910" t="s">
        <v>31</v>
      </c>
      <c r="P11910" t="str">
        <f>"15206"</f>
        <v>15206</v>
      </c>
    </row>
    <row r="11911" spans="1:16" x14ac:dyDescent="0.25">
      <c r="A11911" t="str">
        <f>"1180015G00149    00"</f>
        <v>1180015G00149    00</v>
      </c>
      <c r="B11911" t="s">
        <v>26333</v>
      </c>
      <c r="C11911" t="s">
        <v>26334</v>
      </c>
      <c r="D11911" t="s">
        <v>20</v>
      </c>
      <c r="E11911" t="s">
        <v>39</v>
      </c>
      <c r="F11911">
        <v>0</v>
      </c>
      <c r="G11911">
        <v>0</v>
      </c>
      <c r="H11911">
        <v>10</v>
      </c>
      <c r="I11911" s="3">
        <v>2304.3200000000002</v>
      </c>
      <c r="J11911" s="3">
        <v>1117.4000000000001</v>
      </c>
      <c r="L11911">
        <v>220</v>
      </c>
      <c r="M11911" t="s">
        <v>26280</v>
      </c>
      <c r="N11911" t="s">
        <v>30</v>
      </c>
      <c r="O11911" t="s">
        <v>31</v>
      </c>
      <c r="P11911" t="str">
        <f>"15210"</f>
        <v>15210</v>
      </c>
    </row>
    <row r="11912" spans="1:16" x14ac:dyDescent="0.25">
      <c r="A11912" t="str">
        <f>"1180015G00153    00"</f>
        <v>1180015G00153    00</v>
      </c>
      <c r="B11912" t="s">
        <v>26335</v>
      </c>
      <c r="C11912" t="s">
        <v>26336</v>
      </c>
      <c r="D11912" t="s">
        <v>20</v>
      </c>
      <c r="E11912" t="s">
        <v>39</v>
      </c>
      <c r="F11912">
        <v>0</v>
      </c>
      <c r="G11912">
        <v>0</v>
      </c>
      <c r="H11912">
        <v>4</v>
      </c>
      <c r="I11912" s="3">
        <v>2050.38</v>
      </c>
      <c r="J11912" s="3">
        <v>242.21</v>
      </c>
      <c r="L11912">
        <v>109</v>
      </c>
      <c r="M11912" t="s">
        <v>2475</v>
      </c>
      <c r="N11912" t="s">
        <v>30</v>
      </c>
      <c r="O11912" t="s">
        <v>31</v>
      </c>
      <c r="P11912" t="str">
        <f>"15210"</f>
        <v>15210</v>
      </c>
    </row>
    <row r="11913" spans="1:16" x14ac:dyDescent="0.25">
      <c r="A11913" t="str">
        <f>"1180015G00154    00"</f>
        <v>1180015G00154    00</v>
      </c>
      <c r="B11913" t="s">
        <v>26337</v>
      </c>
      <c r="C11913" t="s">
        <v>26338</v>
      </c>
      <c r="D11913" t="s">
        <v>20</v>
      </c>
      <c r="E11913" t="s">
        <v>39</v>
      </c>
      <c r="F11913">
        <v>0</v>
      </c>
      <c r="G11913">
        <v>0</v>
      </c>
      <c r="H11913">
        <v>2</v>
      </c>
      <c r="I11913" s="3">
        <v>279.77999999999997</v>
      </c>
      <c r="J11913" s="3">
        <v>0</v>
      </c>
      <c r="K11913" t="s">
        <v>26339</v>
      </c>
      <c r="L11913">
        <v>108</v>
      </c>
      <c r="M11913" t="s">
        <v>2475</v>
      </c>
      <c r="N11913" t="s">
        <v>30</v>
      </c>
      <c r="O11913" t="s">
        <v>31</v>
      </c>
      <c r="P11913" t="str">
        <f>"15210"</f>
        <v>15210</v>
      </c>
    </row>
    <row r="11914" spans="1:16" x14ac:dyDescent="0.25">
      <c r="A11914" t="str">
        <f>"1180015G00156    00"</f>
        <v>1180015G00156    00</v>
      </c>
      <c r="B11914" t="s">
        <v>26340</v>
      </c>
      <c r="C11914" t="s">
        <v>26341</v>
      </c>
      <c r="D11914" t="s">
        <v>20</v>
      </c>
      <c r="E11914" t="s">
        <v>39</v>
      </c>
      <c r="F11914">
        <v>0</v>
      </c>
      <c r="G11914">
        <v>0</v>
      </c>
      <c r="H11914">
        <v>1</v>
      </c>
      <c r="I11914" s="3">
        <v>348.81</v>
      </c>
      <c r="J11914" s="3">
        <v>0</v>
      </c>
      <c r="L11914">
        <v>9804</v>
      </c>
      <c r="M11914" t="s">
        <v>11939</v>
      </c>
      <c r="N11914" t="s">
        <v>30</v>
      </c>
      <c r="O11914" t="s">
        <v>31</v>
      </c>
      <c r="P11914" t="str">
        <f>"15235"</f>
        <v>15235</v>
      </c>
    </row>
    <row r="11915" spans="1:16" x14ac:dyDescent="0.25">
      <c r="A11915" t="str">
        <f>"1180015G00164    00"</f>
        <v>1180015G00164    00</v>
      </c>
      <c r="B11915" t="s">
        <v>26342</v>
      </c>
      <c r="C11915" t="s">
        <v>25623</v>
      </c>
      <c r="D11915" t="s">
        <v>20</v>
      </c>
      <c r="E11915" t="s">
        <v>39</v>
      </c>
      <c r="F11915">
        <v>0</v>
      </c>
      <c r="G11915">
        <v>0</v>
      </c>
      <c r="H11915">
        <v>19</v>
      </c>
      <c r="I11915" s="3">
        <v>1884.14</v>
      </c>
      <c r="J11915" s="3">
        <v>1923.3</v>
      </c>
      <c r="L11915">
        <v>82</v>
      </c>
      <c r="M11915" t="s">
        <v>2475</v>
      </c>
      <c r="N11915" t="s">
        <v>30</v>
      </c>
      <c r="O11915" t="s">
        <v>31</v>
      </c>
      <c r="P11915" t="str">
        <f>"15210"</f>
        <v>15210</v>
      </c>
    </row>
    <row r="11916" spans="1:16" x14ac:dyDescent="0.25">
      <c r="A11916" t="str">
        <f>"1180015G00165    00"</f>
        <v>1180015G00165    00</v>
      </c>
      <c r="B11916" t="s">
        <v>26343</v>
      </c>
      <c r="C11916" t="s">
        <v>26344</v>
      </c>
      <c r="D11916" t="s">
        <v>20</v>
      </c>
      <c r="E11916" t="s">
        <v>39</v>
      </c>
      <c r="F11916">
        <v>0</v>
      </c>
      <c r="G11916">
        <v>0</v>
      </c>
      <c r="H11916">
        <v>19</v>
      </c>
      <c r="I11916" s="3">
        <v>279.7</v>
      </c>
      <c r="J11916" s="3">
        <v>282.8</v>
      </c>
      <c r="K11916" t="s">
        <v>1037</v>
      </c>
      <c r="L11916">
        <v>35</v>
      </c>
      <c r="M11916" t="s">
        <v>26345</v>
      </c>
      <c r="N11916" t="s">
        <v>30</v>
      </c>
      <c r="O11916" t="s">
        <v>31</v>
      </c>
      <c r="P11916" t="str">
        <f>"15210"</f>
        <v>15210</v>
      </c>
    </row>
    <row r="11917" spans="1:16" x14ac:dyDescent="0.25">
      <c r="A11917" t="str">
        <f>"1180015G00167    00"</f>
        <v>1180015G00167    00</v>
      </c>
      <c r="B11917" t="s">
        <v>26346</v>
      </c>
      <c r="C11917" t="s">
        <v>26347</v>
      </c>
      <c r="D11917" t="s">
        <v>20</v>
      </c>
      <c r="E11917" t="s">
        <v>39</v>
      </c>
      <c r="F11917">
        <v>0</v>
      </c>
      <c r="G11917">
        <v>0</v>
      </c>
      <c r="H11917">
        <v>5</v>
      </c>
      <c r="I11917" s="3">
        <v>829.52</v>
      </c>
      <c r="J11917" s="3">
        <v>286.81</v>
      </c>
      <c r="L11917">
        <v>88</v>
      </c>
      <c r="M11917" t="s">
        <v>2475</v>
      </c>
      <c r="N11917" t="s">
        <v>30</v>
      </c>
      <c r="O11917" t="s">
        <v>31</v>
      </c>
      <c r="P11917" t="str">
        <f>"15210"</f>
        <v>15210</v>
      </c>
    </row>
    <row r="11918" spans="1:16" x14ac:dyDescent="0.25">
      <c r="A11918" t="str">
        <f>"1180015G00169    00"</f>
        <v>1180015G00169    00</v>
      </c>
      <c r="B11918" t="s">
        <v>26348</v>
      </c>
      <c r="C11918" t="s">
        <v>26349</v>
      </c>
      <c r="D11918" t="s">
        <v>20</v>
      </c>
      <c r="E11918" t="s">
        <v>39</v>
      </c>
      <c r="F11918">
        <v>0</v>
      </c>
      <c r="G11918">
        <v>0</v>
      </c>
      <c r="H11918">
        <v>19</v>
      </c>
      <c r="I11918" s="3">
        <v>8940.86</v>
      </c>
      <c r="J11918" s="3">
        <v>11103.63</v>
      </c>
      <c r="K11918" t="s">
        <v>26350</v>
      </c>
      <c r="L11918">
        <v>2401</v>
      </c>
      <c r="M11918" t="s">
        <v>26351</v>
      </c>
      <c r="N11918" t="s">
        <v>15078</v>
      </c>
      <c r="O11918" t="s">
        <v>1413</v>
      </c>
      <c r="P11918" t="str">
        <f>"28602"</f>
        <v>28602</v>
      </c>
    </row>
    <row r="11919" spans="1:16" x14ac:dyDescent="0.25">
      <c r="A11919" t="str">
        <f>"1180015G00170    00"</f>
        <v>1180015G00170    00</v>
      </c>
      <c r="B11919" t="s">
        <v>26352</v>
      </c>
      <c r="C11919" t="s">
        <v>25623</v>
      </c>
      <c r="D11919" t="s">
        <v>20</v>
      </c>
      <c r="E11919" t="s">
        <v>39</v>
      </c>
      <c r="F11919">
        <v>0</v>
      </c>
      <c r="G11919">
        <v>0</v>
      </c>
      <c r="H11919">
        <v>17</v>
      </c>
      <c r="I11919" s="3">
        <v>486.18</v>
      </c>
      <c r="J11919" s="3">
        <v>618.46</v>
      </c>
      <c r="L11919">
        <v>94</v>
      </c>
      <c r="M11919" t="s">
        <v>2475</v>
      </c>
      <c r="N11919" t="s">
        <v>30</v>
      </c>
      <c r="O11919" t="s">
        <v>31</v>
      </c>
      <c r="P11919" t="str">
        <f t="shared" ref="P11919:P11924" si="141">"15210"</f>
        <v>15210</v>
      </c>
    </row>
    <row r="11920" spans="1:16" x14ac:dyDescent="0.25">
      <c r="A11920" t="str">
        <f>"1180015G00171    00"</f>
        <v>1180015G00171    00</v>
      </c>
      <c r="B11920" t="s">
        <v>26353</v>
      </c>
      <c r="C11920" t="s">
        <v>26354</v>
      </c>
      <c r="D11920" t="s">
        <v>20</v>
      </c>
      <c r="E11920" t="s">
        <v>39</v>
      </c>
      <c r="F11920">
        <v>0</v>
      </c>
      <c r="G11920">
        <v>0</v>
      </c>
      <c r="H11920">
        <v>9</v>
      </c>
      <c r="I11920" s="3">
        <v>3087.78</v>
      </c>
      <c r="J11920" s="3">
        <v>988.88</v>
      </c>
      <c r="L11920">
        <v>96</v>
      </c>
      <c r="M11920" t="s">
        <v>2475</v>
      </c>
      <c r="N11920" t="s">
        <v>30</v>
      </c>
      <c r="O11920" t="s">
        <v>31</v>
      </c>
      <c r="P11920" t="str">
        <f t="shared" si="141"/>
        <v>15210</v>
      </c>
    </row>
    <row r="11921" spans="1:16" x14ac:dyDescent="0.25">
      <c r="A11921" t="str">
        <f>"1180015G00175    00"</f>
        <v>1180015G00175    00</v>
      </c>
      <c r="B11921" t="s">
        <v>26355</v>
      </c>
      <c r="C11921" t="s">
        <v>26356</v>
      </c>
      <c r="E11921" t="s">
        <v>39</v>
      </c>
      <c r="F11921">
        <v>0</v>
      </c>
      <c r="G11921">
        <v>0</v>
      </c>
      <c r="H11921">
        <v>6</v>
      </c>
      <c r="I11921" s="3">
        <v>3210.84</v>
      </c>
      <c r="J11921" s="3">
        <v>4275.07</v>
      </c>
      <c r="L11921">
        <v>24</v>
      </c>
      <c r="M11921" t="s">
        <v>26357</v>
      </c>
      <c r="N11921" t="s">
        <v>30</v>
      </c>
      <c r="O11921" t="s">
        <v>31</v>
      </c>
      <c r="P11921" t="str">
        <f t="shared" si="141"/>
        <v>15210</v>
      </c>
    </row>
    <row r="11922" spans="1:16" x14ac:dyDescent="0.25">
      <c r="A11922" t="str">
        <f>"1180015G00183    00"</f>
        <v>1180015G00183    00</v>
      </c>
      <c r="B11922" t="s">
        <v>26358</v>
      </c>
      <c r="C11922" t="s">
        <v>26359</v>
      </c>
      <c r="D11922" t="s">
        <v>20</v>
      </c>
      <c r="E11922" t="s">
        <v>39</v>
      </c>
      <c r="F11922">
        <v>0</v>
      </c>
      <c r="G11922">
        <v>0</v>
      </c>
      <c r="H11922">
        <v>3</v>
      </c>
      <c r="I11922" s="3">
        <v>1380.93</v>
      </c>
      <c r="J11922" s="3">
        <v>161.91</v>
      </c>
      <c r="K11922" t="s">
        <v>26360</v>
      </c>
      <c r="L11922">
        <v>64</v>
      </c>
      <c r="M11922" t="s">
        <v>2475</v>
      </c>
      <c r="N11922" t="s">
        <v>30</v>
      </c>
      <c r="O11922" t="s">
        <v>31</v>
      </c>
      <c r="P11922" t="str">
        <f t="shared" si="141"/>
        <v>15210</v>
      </c>
    </row>
    <row r="11923" spans="1:16" x14ac:dyDescent="0.25">
      <c r="A11923" t="str">
        <f>"1180015G00202    00"</f>
        <v>1180015G00202    00</v>
      </c>
      <c r="B11923" t="s">
        <v>26361</v>
      </c>
      <c r="C11923" t="s">
        <v>26362</v>
      </c>
      <c r="D11923" t="s">
        <v>20</v>
      </c>
      <c r="E11923" t="s">
        <v>39</v>
      </c>
      <c r="F11923">
        <v>0</v>
      </c>
      <c r="G11923">
        <v>0</v>
      </c>
      <c r="H11923">
        <v>6</v>
      </c>
      <c r="I11923" s="3">
        <v>1465.16</v>
      </c>
      <c r="J11923" s="3">
        <v>436.53</v>
      </c>
      <c r="K11923" t="s">
        <v>26363</v>
      </c>
      <c r="L11923">
        <v>85</v>
      </c>
      <c r="M11923" t="s">
        <v>11789</v>
      </c>
      <c r="N11923" t="s">
        <v>30</v>
      </c>
      <c r="O11923" t="s">
        <v>31</v>
      </c>
      <c r="P11923" t="str">
        <f t="shared" si="141"/>
        <v>15210</v>
      </c>
    </row>
    <row r="11924" spans="1:16" x14ac:dyDescent="0.25">
      <c r="A11924" t="str">
        <f>"1180015G00203    00"</f>
        <v>1180015G00203    00</v>
      </c>
      <c r="B11924" t="s">
        <v>26364</v>
      </c>
      <c r="C11924" t="s">
        <v>26365</v>
      </c>
      <c r="D11924" t="s">
        <v>20</v>
      </c>
      <c r="E11924" t="s">
        <v>39</v>
      </c>
      <c r="F11924">
        <v>0</v>
      </c>
      <c r="G11924">
        <v>0</v>
      </c>
      <c r="H11924">
        <v>6</v>
      </c>
      <c r="I11924" s="3">
        <v>1837.21</v>
      </c>
      <c r="J11924" s="3">
        <v>423.64</v>
      </c>
      <c r="L11924">
        <v>87</v>
      </c>
      <c r="M11924" t="s">
        <v>11789</v>
      </c>
      <c r="N11924" t="s">
        <v>30</v>
      </c>
      <c r="O11924" t="s">
        <v>31</v>
      </c>
      <c r="P11924" t="str">
        <f t="shared" si="141"/>
        <v>15210</v>
      </c>
    </row>
    <row r="11925" spans="1:16" x14ac:dyDescent="0.25">
      <c r="A11925" t="str">
        <f>"1180015G00204    00"</f>
        <v>1180015G00204    00</v>
      </c>
      <c r="B11925" t="s">
        <v>26366</v>
      </c>
      <c r="C11925" t="s">
        <v>26367</v>
      </c>
      <c r="D11925" t="s">
        <v>20</v>
      </c>
      <c r="E11925" t="s">
        <v>39</v>
      </c>
      <c r="F11925">
        <v>0</v>
      </c>
      <c r="G11925">
        <v>0</v>
      </c>
      <c r="H11925">
        <v>3</v>
      </c>
      <c r="I11925" s="3">
        <v>1229.4000000000001</v>
      </c>
      <c r="J11925" s="3">
        <v>81.96</v>
      </c>
      <c r="L11925">
        <v>23</v>
      </c>
      <c r="M11925" t="s">
        <v>26368</v>
      </c>
      <c r="N11925" t="s">
        <v>26369</v>
      </c>
      <c r="O11925" t="s">
        <v>200</v>
      </c>
      <c r="P11925" t="str">
        <f>"11772"</f>
        <v>11772</v>
      </c>
    </row>
    <row r="11926" spans="1:16" x14ac:dyDescent="0.25">
      <c r="A11926" t="str">
        <f>"1180015G00207    00"</f>
        <v>1180015G00207    00</v>
      </c>
      <c r="B11926" t="s">
        <v>26370</v>
      </c>
      <c r="C11926" t="s">
        <v>26371</v>
      </c>
      <c r="D11926" t="s">
        <v>20</v>
      </c>
      <c r="E11926" t="s">
        <v>39</v>
      </c>
      <c r="F11926">
        <v>0</v>
      </c>
      <c r="G11926">
        <v>0</v>
      </c>
      <c r="H11926">
        <v>6</v>
      </c>
      <c r="I11926" s="3">
        <v>2817.72</v>
      </c>
      <c r="J11926" s="3">
        <v>616.44000000000005</v>
      </c>
      <c r="L11926">
        <v>95</v>
      </c>
      <c r="M11926" t="s">
        <v>11789</v>
      </c>
      <c r="N11926" t="s">
        <v>30</v>
      </c>
      <c r="O11926" t="s">
        <v>31</v>
      </c>
      <c r="P11926" t="str">
        <f>"15210"</f>
        <v>15210</v>
      </c>
    </row>
    <row r="11927" spans="1:16" x14ac:dyDescent="0.25">
      <c r="A11927" t="str">
        <f>"1180015G00208    00"</f>
        <v>1180015G00208    00</v>
      </c>
      <c r="B11927" t="s">
        <v>26370</v>
      </c>
      <c r="C11927" t="s">
        <v>25562</v>
      </c>
      <c r="D11927" t="s">
        <v>20</v>
      </c>
      <c r="E11927" t="s">
        <v>39</v>
      </c>
      <c r="F11927">
        <v>0</v>
      </c>
      <c r="G11927">
        <v>0</v>
      </c>
      <c r="H11927">
        <v>13</v>
      </c>
      <c r="I11927" s="3">
        <v>212.5</v>
      </c>
      <c r="J11927" s="3">
        <v>122.05</v>
      </c>
      <c r="L11927">
        <v>95</v>
      </c>
      <c r="M11927" t="s">
        <v>11789</v>
      </c>
      <c r="N11927" t="s">
        <v>30</v>
      </c>
      <c r="O11927" t="s">
        <v>31</v>
      </c>
      <c r="P11927" t="str">
        <f>"15210"</f>
        <v>15210</v>
      </c>
    </row>
    <row r="11928" spans="1:16" x14ac:dyDescent="0.25">
      <c r="A11928" t="str">
        <f>"1180015G00209    00"</f>
        <v>1180015G00209    00</v>
      </c>
      <c r="B11928" t="s">
        <v>1156</v>
      </c>
      <c r="C11928" t="s">
        <v>25562</v>
      </c>
      <c r="D11928" t="s">
        <v>20</v>
      </c>
      <c r="E11928" t="s">
        <v>39</v>
      </c>
      <c r="F11928">
        <v>0</v>
      </c>
      <c r="G11928">
        <v>0</v>
      </c>
      <c r="H11928">
        <v>19</v>
      </c>
      <c r="I11928" s="3">
        <v>3816.75</v>
      </c>
      <c r="J11928" s="3">
        <v>4737.88</v>
      </c>
      <c r="K11928" t="s">
        <v>22930</v>
      </c>
      <c r="L11928">
        <v>2715</v>
      </c>
      <c r="M11928" t="s">
        <v>1157</v>
      </c>
      <c r="N11928" t="s">
        <v>1158</v>
      </c>
      <c r="O11928" t="s">
        <v>370</v>
      </c>
      <c r="P11928" t="str">
        <f>"33407"</f>
        <v>33407</v>
      </c>
    </row>
    <row r="11929" spans="1:16" x14ac:dyDescent="0.25">
      <c r="A11929" t="str">
        <f>"1180015G00222    00"</f>
        <v>1180015G00222    00</v>
      </c>
      <c r="B11929" t="s">
        <v>11751</v>
      </c>
      <c r="C11929" t="s">
        <v>25562</v>
      </c>
      <c r="D11929" t="s">
        <v>20</v>
      </c>
      <c r="E11929" t="s">
        <v>39</v>
      </c>
      <c r="F11929">
        <v>0</v>
      </c>
      <c r="G11929">
        <v>0</v>
      </c>
      <c r="H11929">
        <v>4</v>
      </c>
      <c r="I11929" s="3">
        <v>225.99</v>
      </c>
      <c r="J11929" s="3">
        <v>38.21</v>
      </c>
      <c r="L11929">
        <v>1218</v>
      </c>
      <c r="M11929" t="s">
        <v>11753</v>
      </c>
      <c r="N11929" t="s">
        <v>30</v>
      </c>
      <c r="O11929" t="s">
        <v>31</v>
      </c>
      <c r="P11929" t="str">
        <f>"15206"</f>
        <v>15206</v>
      </c>
    </row>
    <row r="11930" spans="1:16" x14ac:dyDescent="0.25">
      <c r="A11930" t="str">
        <f>"1180015G00245    00"</f>
        <v>1180015G00245    00</v>
      </c>
      <c r="B11930" t="s">
        <v>26372</v>
      </c>
      <c r="C11930" t="s">
        <v>26373</v>
      </c>
      <c r="D11930" t="s">
        <v>20</v>
      </c>
      <c r="E11930" t="s">
        <v>39</v>
      </c>
      <c r="F11930">
        <v>0</v>
      </c>
      <c r="G11930">
        <v>0</v>
      </c>
      <c r="H11930">
        <v>16</v>
      </c>
      <c r="I11930" s="3">
        <v>15804.21</v>
      </c>
      <c r="J11930" s="3">
        <v>10009.83</v>
      </c>
      <c r="L11930">
        <v>548</v>
      </c>
      <c r="M11930" t="s">
        <v>26374</v>
      </c>
      <c r="N11930" t="s">
        <v>22038</v>
      </c>
      <c r="O11930" t="s">
        <v>25</v>
      </c>
      <c r="P11930" t="str">
        <f>"44511"</f>
        <v>44511</v>
      </c>
    </row>
    <row r="11931" spans="1:16" x14ac:dyDescent="0.25">
      <c r="A11931" t="str">
        <f>"1180015G00251    00"</f>
        <v>1180015G00251    00</v>
      </c>
      <c r="B11931" t="s">
        <v>26375</v>
      </c>
      <c r="C11931" t="s">
        <v>25600</v>
      </c>
      <c r="D11931" t="s">
        <v>20</v>
      </c>
      <c r="E11931" t="s">
        <v>39</v>
      </c>
      <c r="F11931">
        <v>0</v>
      </c>
      <c r="G11931">
        <v>0</v>
      </c>
      <c r="H11931">
        <v>19</v>
      </c>
      <c r="I11931" s="3">
        <v>279.7</v>
      </c>
      <c r="J11931" s="3">
        <v>282.8</v>
      </c>
      <c r="K11931" t="s">
        <v>1008</v>
      </c>
      <c r="P11931" t="str">
        <f>""</f>
        <v/>
      </c>
    </row>
    <row r="11932" spans="1:16" x14ac:dyDescent="0.25">
      <c r="A11932" t="str">
        <f>"1180015G00254    00"</f>
        <v>1180015G00254    00</v>
      </c>
      <c r="B11932" t="s">
        <v>26376</v>
      </c>
      <c r="C11932" t="s">
        <v>25562</v>
      </c>
      <c r="D11932" t="s">
        <v>20</v>
      </c>
      <c r="E11932" t="s">
        <v>39</v>
      </c>
      <c r="F11932">
        <v>0</v>
      </c>
      <c r="G11932">
        <v>0</v>
      </c>
      <c r="H11932">
        <v>19</v>
      </c>
      <c r="I11932" s="3">
        <v>279.7</v>
      </c>
      <c r="J11932" s="3">
        <v>282.8</v>
      </c>
      <c r="L11932">
        <v>207</v>
      </c>
      <c r="M11932" t="s">
        <v>11789</v>
      </c>
      <c r="N11932" t="s">
        <v>30</v>
      </c>
      <c r="O11932" t="s">
        <v>31</v>
      </c>
      <c r="P11932" t="str">
        <f>"15210"</f>
        <v>15210</v>
      </c>
    </row>
    <row r="11933" spans="1:16" x14ac:dyDescent="0.25">
      <c r="A11933" t="str">
        <f>"1180015G00263    00"</f>
        <v>1180015G00263    00</v>
      </c>
      <c r="B11933" t="s">
        <v>25564</v>
      </c>
      <c r="C11933" t="s">
        <v>26377</v>
      </c>
      <c r="D11933" t="s">
        <v>20</v>
      </c>
      <c r="E11933" t="s">
        <v>39</v>
      </c>
      <c r="F11933">
        <v>0</v>
      </c>
      <c r="G11933">
        <v>0</v>
      </c>
      <c r="H11933">
        <v>1</v>
      </c>
      <c r="I11933" s="3">
        <v>804.33</v>
      </c>
      <c r="J11933" s="3">
        <v>0</v>
      </c>
      <c r="L11933">
        <v>614</v>
      </c>
      <c r="M11933" t="s">
        <v>25567</v>
      </c>
      <c r="N11933" t="s">
        <v>30</v>
      </c>
      <c r="O11933" t="s">
        <v>31</v>
      </c>
      <c r="P11933" t="str">
        <f>"15220"</f>
        <v>15220</v>
      </c>
    </row>
    <row r="11934" spans="1:16" x14ac:dyDescent="0.25">
      <c r="A11934" t="str">
        <f>"1180015G00270    00"</f>
        <v>1180015G00270    00</v>
      </c>
      <c r="B11934" t="s">
        <v>26378</v>
      </c>
      <c r="C11934" t="s">
        <v>25562</v>
      </c>
      <c r="D11934" t="s">
        <v>20</v>
      </c>
      <c r="E11934" t="s">
        <v>39</v>
      </c>
      <c r="F11934">
        <v>0</v>
      </c>
      <c r="G11934">
        <v>0</v>
      </c>
      <c r="H11934">
        <v>10</v>
      </c>
      <c r="I11934" s="3">
        <v>627.11</v>
      </c>
      <c r="J11934" s="3">
        <v>270.33999999999997</v>
      </c>
      <c r="K11934" t="s">
        <v>26379</v>
      </c>
      <c r="L11934">
        <v>825</v>
      </c>
      <c r="M11934" t="s">
        <v>3299</v>
      </c>
      <c r="N11934" t="s">
        <v>295</v>
      </c>
      <c r="O11934" t="s">
        <v>31</v>
      </c>
      <c r="P11934" t="str">
        <f>"15146"</f>
        <v>15146</v>
      </c>
    </row>
    <row r="11935" spans="1:16" x14ac:dyDescent="0.25">
      <c r="A11935" t="str">
        <f>"1180015G00272    00"</f>
        <v>1180015G00272    00</v>
      </c>
      <c r="B11935" t="s">
        <v>26380</v>
      </c>
      <c r="C11935" t="s">
        <v>25562</v>
      </c>
      <c r="D11935" t="s">
        <v>20</v>
      </c>
      <c r="E11935" t="s">
        <v>39</v>
      </c>
      <c r="F11935">
        <v>0</v>
      </c>
      <c r="G11935">
        <v>0</v>
      </c>
      <c r="H11935">
        <v>14</v>
      </c>
      <c r="I11935" s="3">
        <v>830.45</v>
      </c>
      <c r="J11935" s="3">
        <v>517.66999999999996</v>
      </c>
      <c r="K11935" t="s">
        <v>26381</v>
      </c>
      <c r="L11935">
        <v>116</v>
      </c>
      <c r="M11935" t="s">
        <v>11789</v>
      </c>
      <c r="N11935" t="s">
        <v>30</v>
      </c>
      <c r="O11935" t="s">
        <v>31</v>
      </c>
      <c r="P11935" t="str">
        <f>"15210"</f>
        <v>15210</v>
      </c>
    </row>
    <row r="11936" spans="1:16" x14ac:dyDescent="0.25">
      <c r="A11936" t="str">
        <f>"1180015G00282    00"</f>
        <v>1180015G00282    00</v>
      </c>
      <c r="B11936" t="s">
        <v>26382</v>
      </c>
      <c r="C11936" t="s">
        <v>26383</v>
      </c>
      <c r="D11936" t="s">
        <v>20</v>
      </c>
      <c r="E11936" t="s">
        <v>39</v>
      </c>
      <c r="F11936">
        <v>0</v>
      </c>
      <c r="G11936">
        <v>0</v>
      </c>
      <c r="H11936">
        <v>17</v>
      </c>
      <c r="I11936" s="3">
        <v>196.54</v>
      </c>
      <c r="J11936" s="3">
        <v>217.52</v>
      </c>
      <c r="L11936">
        <v>306</v>
      </c>
      <c r="M11936" t="s">
        <v>14713</v>
      </c>
      <c r="N11936" t="s">
        <v>30</v>
      </c>
      <c r="O11936" t="s">
        <v>31</v>
      </c>
      <c r="P11936" t="str">
        <f>"15210"</f>
        <v>15210</v>
      </c>
    </row>
    <row r="11937" spans="1:16" x14ac:dyDescent="0.25">
      <c r="A11937" t="str">
        <f>"1180015G00283    00"</f>
        <v>1180015G00283    00</v>
      </c>
      <c r="B11937" t="s">
        <v>26384</v>
      </c>
      <c r="C11937" t="s">
        <v>26344</v>
      </c>
      <c r="D11937" t="s">
        <v>20</v>
      </c>
      <c r="E11937" t="s">
        <v>39</v>
      </c>
      <c r="F11937">
        <v>0</v>
      </c>
      <c r="G11937">
        <v>0</v>
      </c>
      <c r="H11937">
        <v>17</v>
      </c>
      <c r="I11937" s="3">
        <v>134.15</v>
      </c>
      <c r="J11937" s="3">
        <v>149.49</v>
      </c>
      <c r="K11937" t="s">
        <v>1008</v>
      </c>
      <c r="P11937" t="str">
        <f>""</f>
        <v/>
      </c>
    </row>
    <row r="11938" spans="1:16" x14ac:dyDescent="0.25">
      <c r="A11938" t="str">
        <f>"1180015G00291    00"</f>
        <v>1180015G00291    00</v>
      </c>
      <c r="B11938" t="s">
        <v>26385</v>
      </c>
      <c r="C11938" t="s">
        <v>26386</v>
      </c>
      <c r="D11938" t="s">
        <v>20</v>
      </c>
      <c r="E11938" t="s">
        <v>290</v>
      </c>
      <c r="F11938">
        <v>0</v>
      </c>
      <c r="G11938">
        <v>0</v>
      </c>
      <c r="H11938">
        <v>1</v>
      </c>
      <c r="I11938" s="3">
        <v>476.5</v>
      </c>
      <c r="J11938" s="3">
        <v>0</v>
      </c>
      <c r="K11938" t="s">
        <v>26387</v>
      </c>
      <c r="L11938">
        <v>18</v>
      </c>
      <c r="M11938" t="s">
        <v>11789</v>
      </c>
      <c r="N11938" t="s">
        <v>30</v>
      </c>
      <c r="O11938" t="s">
        <v>31</v>
      </c>
      <c r="P11938" t="str">
        <f>"15210"</f>
        <v>15210</v>
      </c>
    </row>
    <row r="11939" spans="1:16" x14ac:dyDescent="0.25">
      <c r="A11939" t="str">
        <f>"1180015G00292    00"</f>
        <v>1180015G00292    00</v>
      </c>
      <c r="B11939" t="s">
        <v>26388</v>
      </c>
      <c r="C11939" t="s">
        <v>25562</v>
      </c>
      <c r="D11939" t="s">
        <v>20</v>
      </c>
      <c r="E11939" t="s">
        <v>39</v>
      </c>
      <c r="F11939">
        <v>0</v>
      </c>
      <c r="G11939">
        <v>0</v>
      </c>
      <c r="H11939">
        <v>6</v>
      </c>
      <c r="I11939" s="3">
        <v>129.72999999999999</v>
      </c>
      <c r="J11939" s="3">
        <v>31.87</v>
      </c>
      <c r="L11939">
        <v>85</v>
      </c>
      <c r="M11939" t="s">
        <v>11789</v>
      </c>
      <c r="N11939" t="s">
        <v>30</v>
      </c>
      <c r="O11939" t="s">
        <v>31</v>
      </c>
      <c r="P11939" t="str">
        <f>"15210"</f>
        <v>15210</v>
      </c>
    </row>
    <row r="11940" spans="1:16" x14ac:dyDescent="0.25">
      <c r="A11940" t="str">
        <f>"1180015G00295    00"</f>
        <v>1180015G00295    00</v>
      </c>
      <c r="B11940" t="s">
        <v>26389</v>
      </c>
      <c r="C11940" t="s">
        <v>25578</v>
      </c>
      <c r="D11940" t="s">
        <v>20</v>
      </c>
      <c r="E11940" t="s">
        <v>39</v>
      </c>
      <c r="F11940">
        <v>0</v>
      </c>
      <c r="G11940">
        <v>0</v>
      </c>
      <c r="H11940">
        <v>19</v>
      </c>
      <c r="I11940" s="3">
        <v>1224.74</v>
      </c>
      <c r="J11940" s="3">
        <v>854.1</v>
      </c>
      <c r="L11940">
        <v>133</v>
      </c>
      <c r="M11940" t="s">
        <v>16473</v>
      </c>
      <c r="N11940" t="s">
        <v>30</v>
      </c>
      <c r="O11940" t="s">
        <v>31</v>
      </c>
      <c r="P11940" t="str">
        <f>"15210"</f>
        <v>15210</v>
      </c>
    </row>
    <row r="11941" spans="1:16" x14ac:dyDescent="0.25">
      <c r="A11941" t="str">
        <f>"1180015G00303    00"</f>
        <v>1180015G00303    00</v>
      </c>
      <c r="B11941" t="s">
        <v>26390</v>
      </c>
      <c r="C11941" t="s">
        <v>26391</v>
      </c>
      <c r="D11941" t="s">
        <v>20</v>
      </c>
      <c r="E11941" t="s">
        <v>39</v>
      </c>
      <c r="F11941">
        <v>0</v>
      </c>
      <c r="G11941">
        <v>0</v>
      </c>
      <c r="H11941">
        <v>1</v>
      </c>
      <c r="I11941" s="3">
        <v>1117.3800000000001</v>
      </c>
      <c r="J11941" s="3">
        <v>0</v>
      </c>
      <c r="K11941" t="s">
        <v>2106</v>
      </c>
      <c r="L11941">
        <v>6053</v>
      </c>
      <c r="M11941" t="s">
        <v>2107</v>
      </c>
      <c r="N11941" t="s">
        <v>2108</v>
      </c>
      <c r="O11941" t="s">
        <v>2109</v>
      </c>
      <c r="P11941" t="str">
        <f>"84107"</f>
        <v>84107</v>
      </c>
    </row>
    <row r="11942" spans="1:16" x14ac:dyDescent="0.25">
      <c r="A11942" t="str">
        <f>"1180015G00304    00"</f>
        <v>1180015G00304    00</v>
      </c>
      <c r="B11942" t="s">
        <v>26392</v>
      </c>
      <c r="C11942" t="s">
        <v>26393</v>
      </c>
      <c r="D11942" t="s">
        <v>20</v>
      </c>
      <c r="E11942" t="s">
        <v>39</v>
      </c>
      <c r="F11942">
        <v>0</v>
      </c>
      <c r="G11942">
        <v>0</v>
      </c>
      <c r="H11942">
        <v>4</v>
      </c>
      <c r="I11942" s="3">
        <v>3280.43</v>
      </c>
      <c r="J11942" s="3">
        <v>308.89</v>
      </c>
      <c r="L11942">
        <v>147</v>
      </c>
      <c r="M11942" t="s">
        <v>16473</v>
      </c>
      <c r="N11942" t="s">
        <v>30</v>
      </c>
      <c r="O11942" t="s">
        <v>31</v>
      </c>
      <c r="P11942" t="str">
        <f>"15210"</f>
        <v>15210</v>
      </c>
    </row>
    <row r="11943" spans="1:16" x14ac:dyDescent="0.25">
      <c r="A11943" t="str">
        <f>"1180015G00305    00"</f>
        <v>1180015G00305    00</v>
      </c>
      <c r="B11943" t="s">
        <v>26392</v>
      </c>
      <c r="C11943" t="s">
        <v>25578</v>
      </c>
      <c r="D11943" t="s">
        <v>20</v>
      </c>
      <c r="E11943" t="s">
        <v>39</v>
      </c>
      <c r="F11943">
        <v>0</v>
      </c>
      <c r="G11943">
        <v>0</v>
      </c>
      <c r="H11943">
        <v>1</v>
      </c>
      <c r="I11943" s="3">
        <v>59.1</v>
      </c>
      <c r="J11943" s="3">
        <v>0</v>
      </c>
      <c r="L11943">
        <v>147</v>
      </c>
      <c r="M11943" t="s">
        <v>16473</v>
      </c>
      <c r="N11943" t="s">
        <v>30</v>
      </c>
      <c r="O11943" t="s">
        <v>31</v>
      </c>
      <c r="P11943" t="str">
        <f>"15210"</f>
        <v>15210</v>
      </c>
    </row>
    <row r="11944" spans="1:16" x14ac:dyDescent="0.25">
      <c r="A11944" t="str">
        <f>"1180015G00306    00"</f>
        <v>1180015G00306    00</v>
      </c>
      <c r="B11944" t="s">
        <v>26394</v>
      </c>
      <c r="C11944" t="s">
        <v>25578</v>
      </c>
      <c r="D11944" t="s">
        <v>20</v>
      </c>
      <c r="E11944" t="s">
        <v>39</v>
      </c>
      <c r="F11944">
        <v>0</v>
      </c>
      <c r="G11944">
        <v>0</v>
      </c>
      <c r="H11944">
        <v>19</v>
      </c>
      <c r="I11944" s="3">
        <v>279.7</v>
      </c>
      <c r="J11944" s="3">
        <v>282.8</v>
      </c>
      <c r="K11944" t="s">
        <v>1008</v>
      </c>
      <c r="P11944" t="str">
        <f>""</f>
        <v/>
      </c>
    </row>
    <row r="11945" spans="1:16" x14ac:dyDescent="0.25">
      <c r="A11945" t="str">
        <f>"1180015G00307    00"</f>
        <v>1180015G00307    00</v>
      </c>
      <c r="B11945" t="s">
        <v>26395</v>
      </c>
      <c r="C11945" t="s">
        <v>25578</v>
      </c>
      <c r="D11945" t="s">
        <v>20</v>
      </c>
      <c r="E11945" t="s">
        <v>39</v>
      </c>
      <c r="F11945">
        <v>0</v>
      </c>
      <c r="G11945">
        <v>0</v>
      </c>
      <c r="H11945">
        <v>19</v>
      </c>
      <c r="I11945" s="3">
        <v>279.7</v>
      </c>
      <c r="J11945" s="3">
        <v>282.8</v>
      </c>
      <c r="L11945">
        <v>211</v>
      </c>
      <c r="M11945" t="s">
        <v>16473</v>
      </c>
      <c r="N11945" t="s">
        <v>30</v>
      </c>
      <c r="O11945" t="s">
        <v>31</v>
      </c>
      <c r="P11945" t="str">
        <f>"15210"</f>
        <v>15210</v>
      </c>
    </row>
    <row r="11946" spans="1:16" x14ac:dyDescent="0.25">
      <c r="A11946" t="str">
        <f>"1180015H00003    00"</f>
        <v>1180015H00003    00</v>
      </c>
      <c r="B11946" t="s">
        <v>26396</v>
      </c>
      <c r="C11946" t="s">
        <v>26397</v>
      </c>
      <c r="E11946" t="s">
        <v>39</v>
      </c>
      <c r="F11946">
        <v>0</v>
      </c>
      <c r="G11946">
        <v>0</v>
      </c>
      <c r="H11946">
        <v>1</v>
      </c>
      <c r="I11946" s="3">
        <v>107.75</v>
      </c>
      <c r="J11946" s="3">
        <v>1.8</v>
      </c>
      <c r="L11946">
        <v>236</v>
      </c>
      <c r="M11946" t="s">
        <v>16473</v>
      </c>
      <c r="N11946" t="s">
        <v>30</v>
      </c>
      <c r="O11946" t="s">
        <v>31</v>
      </c>
      <c r="P11946" t="str">
        <f>"15210"</f>
        <v>15210</v>
      </c>
    </row>
    <row r="11947" spans="1:16" x14ac:dyDescent="0.25">
      <c r="A11947" t="str">
        <f>"1180015H00004    00"</f>
        <v>1180015H00004    00</v>
      </c>
      <c r="B11947" t="s">
        <v>26398</v>
      </c>
      <c r="C11947" t="s">
        <v>26399</v>
      </c>
      <c r="D11947" t="s">
        <v>20</v>
      </c>
      <c r="E11947" t="s">
        <v>39</v>
      </c>
      <c r="F11947">
        <v>0</v>
      </c>
      <c r="G11947">
        <v>0</v>
      </c>
      <c r="H11947">
        <v>4</v>
      </c>
      <c r="I11947" s="3">
        <v>2437.69</v>
      </c>
      <c r="J11947" s="3">
        <v>287.95999999999998</v>
      </c>
      <c r="L11947">
        <v>240</v>
      </c>
      <c r="M11947" t="s">
        <v>16473</v>
      </c>
      <c r="N11947" t="s">
        <v>30</v>
      </c>
      <c r="O11947" t="s">
        <v>31</v>
      </c>
      <c r="P11947" t="str">
        <f>"15210"</f>
        <v>15210</v>
      </c>
    </row>
    <row r="11948" spans="1:16" x14ac:dyDescent="0.25">
      <c r="A11948" t="str">
        <f>"1180015H00025    00"</f>
        <v>1180015H00025    00</v>
      </c>
      <c r="B11948" t="s">
        <v>26400</v>
      </c>
      <c r="C11948" t="s">
        <v>26401</v>
      </c>
      <c r="D11948" t="s">
        <v>20</v>
      </c>
      <c r="E11948" t="s">
        <v>39</v>
      </c>
      <c r="F11948">
        <v>0</v>
      </c>
      <c r="G11948">
        <v>0</v>
      </c>
      <c r="H11948">
        <v>4</v>
      </c>
      <c r="I11948" s="3">
        <v>4299.87</v>
      </c>
      <c r="J11948" s="3">
        <v>902.01</v>
      </c>
      <c r="K11948" t="s">
        <v>26402</v>
      </c>
      <c r="L11948">
        <v>336</v>
      </c>
      <c r="M11948" t="s">
        <v>16473</v>
      </c>
      <c r="N11948" t="s">
        <v>30</v>
      </c>
      <c r="O11948" t="s">
        <v>31</v>
      </c>
      <c r="P11948" t="str">
        <f>"15210"</f>
        <v>15210</v>
      </c>
    </row>
    <row r="11949" spans="1:16" x14ac:dyDescent="0.25">
      <c r="A11949" t="str">
        <f>"1180015H00028    00"</f>
        <v>1180015H00028    00</v>
      </c>
      <c r="B11949" t="s">
        <v>26403</v>
      </c>
      <c r="C11949" t="s">
        <v>25578</v>
      </c>
      <c r="D11949" t="s">
        <v>20</v>
      </c>
      <c r="E11949" t="s">
        <v>39</v>
      </c>
      <c r="F11949">
        <v>0</v>
      </c>
      <c r="G11949">
        <v>0</v>
      </c>
      <c r="H11949">
        <v>6</v>
      </c>
      <c r="I11949" s="3">
        <v>105.8</v>
      </c>
      <c r="J11949" s="3">
        <v>22.53</v>
      </c>
      <c r="K11949" t="s">
        <v>26404</v>
      </c>
      <c r="L11949">
        <v>2822</v>
      </c>
      <c r="M11949" t="s">
        <v>26405</v>
      </c>
      <c r="N11949" t="s">
        <v>14021</v>
      </c>
      <c r="O11949" t="s">
        <v>692</v>
      </c>
      <c r="P11949" t="str">
        <f>"22306"</f>
        <v>22306</v>
      </c>
    </row>
    <row r="11950" spans="1:16" x14ac:dyDescent="0.25">
      <c r="A11950" t="str">
        <f>"1180015H00029    00"</f>
        <v>1180015H00029    00</v>
      </c>
      <c r="B11950" t="s">
        <v>26403</v>
      </c>
      <c r="C11950" t="s">
        <v>25578</v>
      </c>
      <c r="D11950" t="s">
        <v>20</v>
      </c>
      <c r="E11950" t="s">
        <v>39</v>
      </c>
      <c r="F11950">
        <v>0</v>
      </c>
      <c r="G11950">
        <v>0</v>
      </c>
      <c r="H11950">
        <v>9</v>
      </c>
      <c r="I11950" s="3">
        <v>1744.94</v>
      </c>
      <c r="J11950" s="3">
        <v>854.91</v>
      </c>
      <c r="K11950" t="s">
        <v>26406</v>
      </c>
      <c r="L11950">
        <v>2822</v>
      </c>
      <c r="M11950" t="s">
        <v>26407</v>
      </c>
      <c r="N11950" t="s">
        <v>14021</v>
      </c>
      <c r="O11950" t="s">
        <v>692</v>
      </c>
      <c r="P11950" t="str">
        <f>"22306"</f>
        <v>22306</v>
      </c>
    </row>
    <row r="11951" spans="1:16" x14ac:dyDescent="0.25">
      <c r="A11951" t="str">
        <f>"1180015H00037    00"</f>
        <v>1180015H00037    00</v>
      </c>
      <c r="B11951" t="s">
        <v>26408</v>
      </c>
      <c r="C11951" t="s">
        <v>26409</v>
      </c>
      <c r="D11951" t="s">
        <v>20</v>
      </c>
      <c r="E11951" t="s">
        <v>39</v>
      </c>
      <c r="F11951">
        <v>0</v>
      </c>
      <c r="G11951">
        <v>0</v>
      </c>
      <c r="H11951">
        <v>8</v>
      </c>
      <c r="I11951" s="3">
        <v>2270.94</v>
      </c>
      <c r="J11951" s="3">
        <v>581.37</v>
      </c>
      <c r="L11951">
        <v>406</v>
      </c>
      <c r="M11951" t="s">
        <v>16473</v>
      </c>
      <c r="N11951" t="s">
        <v>30</v>
      </c>
      <c r="O11951" t="s">
        <v>31</v>
      </c>
      <c r="P11951" t="str">
        <f t="shared" ref="P11951:P11956" si="142">"15210"</f>
        <v>15210</v>
      </c>
    </row>
    <row r="11952" spans="1:16" x14ac:dyDescent="0.25">
      <c r="A11952" t="str">
        <f>"1180015H00039    00"</f>
        <v>1180015H00039    00</v>
      </c>
      <c r="B11952" t="s">
        <v>26410</v>
      </c>
      <c r="C11952" t="s">
        <v>26411</v>
      </c>
      <c r="D11952" t="s">
        <v>20</v>
      </c>
      <c r="E11952" t="s">
        <v>39</v>
      </c>
      <c r="F11952">
        <v>0</v>
      </c>
      <c r="G11952">
        <v>0</v>
      </c>
      <c r="H11952">
        <v>7</v>
      </c>
      <c r="I11952" s="3">
        <v>646.66</v>
      </c>
      <c r="J11952" s="3">
        <v>135.19999999999999</v>
      </c>
      <c r="L11952">
        <v>412</v>
      </c>
      <c r="M11952" t="s">
        <v>16473</v>
      </c>
      <c r="N11952" t="s">
        <v>30</v>
      </c>
      <c r="O11952" t="s">
        <v>31</v>
      </c>
      <c r="P11952" t="str">
        <f t="shared" si="142"/>
        <v>15210</v>
      </c>
    </row>
    <row r="11953" spans="1:16" x14ac:dyDescent="0.25">
      <c r="A11953" t="str">
        <f>"1180015H00042    00"</f>
        <v>1180015H00042    00</v>
      </c>
      <c r="B11953" t="s">
        <v>26412</v>
      </c>
      <c r="C11953" t="s">
        <v>26413</v>
      </c>
      <c r="D11953" t="s">
        <v>20</v>
      </c>
      <c r="E11953" t="s">
        <v>39</v>
      </c>
      <c r="F11953">
        <v>0</v>
      </c>
      <c r="G11953">
        <v>0</v>
      </c>
      <c r="H11953">
        <v>4</v>
      </c>
      <c r="I11953" s="3">
        <v>1110.82</v>
      </c>
      <c r="J11953" s="3">
        <v>61.3</v>
      </c>
      <c r="K11953" t="s">
        <v>26414</v>
      </c>
      <c r="L11953">
        <v>237</v>
      </c>
      <c r="M11953" t="s">
        <v>26415</v>
      </c>
      <c r="N11953" t="s">
        <v>30</v>
      </c>
      <c r="O11953" t="s">
        <v>31</v>
      </c>
      <c r="P11953" t="str">
        <f t="shared" si="142"/>
        <v>15210</v>
      </c>
    </row>
    <row r="11954" spans="1:16" x14ac:dyDescent="0.25">
      <c r="A11954" t="str">
        <f>"1180015H00049    00"</f>
        <v>1180015H00049    00</v>
      </c>
      <c r="B11954" t="s">
        <v>25618</v>
      </c>
      <c r="C11954" t="s">
        <v>26416</v>
      </c>
      <c r="D11954" t="s">
        <v>20</v>
      </c>
      <c r="E11954" t="s">
        <v>39</v>
      </c>
      <c r="F11954">
        <v>0</v>
      </c>
      <c r="G11954">
        <v>0</v>
      </c>
      <c r="H11954">
        <v>2</v>
      </c>
      <c r="I11954" s="3">
        <v>484.96</v>
      </c>
      <c r="J11954" s="3">
        <v>0</v>
      </c>
      <c r="L11954">
        <v>206</v>
      </c>
      <c r="M11954" t="s">
        <v>25043</v>
      </c>
      <c r="N11954" t="s">
        <v>30</v>
      </c>
      <c r="O11954" t="s">
        <v>31</v>
      </c>
      <c r="P11954" t="str">
        <f t="shared" si="142"/>
        <v>15210</v>
      </c>
    </row>
    <row r="11955" spans="1:16" x14ac:dyDescent="0.25">
      <c r="A11955" t="str">
        <f>"1180015H00053    00"</f>
        <v>1180015H00053    00</v>
      </c>
      <c r="B11955" t="s">
        <v>26417</v>
      </c>
      <c r="C11955" t="s">
        <v>26418</v>
      </c>
      <c r="D11955" t="s">
        <v>20</v>
      </c>
      <c r="E11955" t="s">
        <v>39</v>
      </c>
      <c r="F11955">
        <v>0</v>
      </c>
      <c r="G11955">
        <v>0</v>
      </c>
      <c r="H11955">
        <v>8</v>
      </c>
      <c r="I11955" s="3">
        <v>2379.77</v>
      </c>
      <c r="J11955" s="3">
        <v>1039.01</v>
      </c>
      <c r="L11955">
        <v>410</v>
      </c>
      <c r="M11955" t="s">
        <v>25667</v>
      </c>
      <c r="N11955" t="s">
        <v>30</v>
      </c>
      <c r="O11955" t="s">
        <v>31</v>
      </c>
      <c r="P11955" t="str">
        <f t="shared" si="142"/>
        <v>15210</v>
      </c>
    </row>
    <row r="11956" spans="1:16" x14ac:dyDescent="0.25">
      <c r="A11956" t="str">
        <f>"1180015H00066    00"</f>
        <v>1180015H00066    00</v>
      </c>
      <c r="B11956" t="s">
        <v>26419</v>
      </c>
      <c r="C11956" t="s">
        <v>25248</v>
      </c>
      <c r="D11956" t="s">
        <v>20</v>
      </c>
      <c r="E11956" t="s">
        <v>39</v>
      </c>
      <c r="F11956">
        <v>0</v>
      </c>
      <c r="G11956">
        <v>0</v>
      </c>
      <c r="H11956">
        <v>17</v>
      </c>
      <c r="I11956" s="3">
        <v>2397.0300000000002</v>
      </c>
      <c r="J11956" s="3">
        <v>3468.17</v>
      </c>
      <c r="L11956">
        <v>513</v>
      </c>
      <c r="M11956" t="s">
        <v>25569</v>
      </c>
      <c r="N11956" t="s">
        <v>30</v>
      </c>
      <c r="O11956" t="s">
        <v>31</v>
      </c>
      <c r="P11956" t="str">
        <f t="shared" si="142"/>
        <v>15210</v>
      </c>
    </row>
    <row r="11957" spans="1:16" x14ac:dyDescent="0.25">
      <c r="A11957" t="str">
        <f>"1180015H00066A   00"</f>
        <v>1180015H00066A   00</v>
      </c>
      <c r="B11957" t="s">
        <v>26420</v>
      </c>
      <c r="C11957" t="s">
        <v>25248</v>
      </c>
      <c r="D11957" t="s">
        <v>20</v>
      </c>
      <c r="E11957" t="s">
        <v>39</v>
      </c>
      <c r="F11957">
        <v>0</v>
      </c>
      <c r="G11957">
        <v>0</v>
      </c>
      <c r="H11957">
        <v>17</v>
      </c>
      <c r="I11957" s="3">
        <v>2397.0300000000002</v>
      </c>
      <c r="J11957" s="3">
        <v>3468.17</v>
      </c>
      <c r="L11957">
        <v>102</v>
      </c>
      <c r="M11957" t="s">
        <v>26421</v>
      </c>
      <c r="N11957" t="s">
        <v>1809</v>
      </c>
      <c r="O11957" t="s">
        <v>31</v>
      </c>
      <c r="P11957" t="str">
        <f>"15009"</f>
        <v>15009</v>
      </c>
    </row>
    <row r="11958" spans="1:16" x14ac:dyDescent="0.25">
      <c r="A11958" t="str">
        <f>"1180015H00067    00"</f>
        <v>1180015H00067    00</v>
      </c>
      <c r="B11958" t="s">
        <v>26422</v>
      </c>
      <c r="C11958" t="s">
        <v>25600</v>
      </c>
      <c r="D11958" t="s">
        <v>20</v>
      </c>
      <c r="E11958" t="s">
        <v>39</v>
      </c>
      <c r="F11958">
        <v>0</v>
      </c>
      <c r="G11958">
        <v>0</v>
      </c>
      <c r="H11958">
        <v>17</v>
      </c>
      <c r="I11958" s="3">
        <v>115.74</v>
      </c>
      <c r="J11958" s="3">
        <v>139.41999999999999</v>
      </c>
      <c r="P11958" t="str">
        <f>""</f>
        <v/>
      </c>
    </row>
    <row r="11959" spans="1:16" x14ac:dyDescent="0.25">
      <c r="A11959" t="str">
        <f>"1180015H00067A   00"</f>
        <v>1180015H00067A   00</v>
      </c>
      <c r="B11959" t="s">
        <v>26422</v>
      </c>
      <c r="C11959" t="s">
        <v>25600</v>
      </c>
      <c r="D11959" t="s">
        <v>20</v>
      </c>
      <c r="E11959" t="s">
        <v>39</v>
      </c>
      <c r="F11959">
        <v>0</v>
      </c>
      <c r="G11959">
        <v>0</v>
      </c>
      <c r="H11959">
        <v>17</v>
      </c>
      <c r="I11959" s="3">
        <v>134.15</v>
      </c>
      <c r="J11959" s="3">
        <v>149.49</v>
      </c>
      <c r="P11959" t="str">
        <f>""</f>
        <v/>
      </c>
    </row>
    <row r="11960" spans="1:16" x14ac:dyDescent="0.25">
      <c r="A11960" t="str">
        <f>"1180015H00068B   00"</f>
        <v>1180015H00068B   00</v>
      </c>
      <c r="B11960" t="s">
        <v>26423</v>
      </c>
      <c r="C11960" t="s">
        <v>25248</v>
      </c>
      <c r="D11960" t="s">
        <v>20</v>
      </c>
      <c r="E11960" t="s">
        <v>39</v>
      </c>
      <c r="F11960">
        <v>0</v>
      </c>
      <c r="G11960">
        <v>0</v>
      </c>
      <c r="H11960">
        <v>17</v>
      </c>
      <c r="I11960" s="3">
        <v>2754.19</v>
      </c>
      <c r="J11960" s="3">
        <v>4432.24</v>
      </c>
      <c r="M11960" t="s">
        <v>26424</v>
      </c>
      <c r="N11960" t="s">
        <v>30</v>
      </c>
      <c r="O11960" t="s">
        <v>31</v>
      </c>
      <c r="P11960" t="str">
        <f>"15210"</f>
        <v>15210</v>
      </c>
    </row>
    <row r="11961" spans="1:16" x14ac:dyDescent="0.25">
      <c r="A11961" t="str">
        <f>"1180015H00068D   00"</f>
        <v>1180015H00068D   00</v>
      </c>
      <c r="B11961" t="s">
        <v>26425</v>
      </c>
      <c r="C11961" t="s">
        <v>25578</v>
      </c>
      <c r="D11961" t="s">
        <v>20</v>
      </c>
      <c r="E11961" t="s">
        <v>39</v>
      </c>
      <c r="F11961">
        <v>0</v>
      </c>
      <c r="G11961">
        <v>0</v>
      </c>
      <c r="H11961">
        <v>17</v>
      </c>
      <c r="I11961" s="3">
        <v>134.15</v>
      </c>
      <c r="J11961" s="3">
        <v>149.49</v>
      </c>
      <c r="K11961" t="s">
        <v>1037</v>
      </c>
      <c r="L11961">
        <v>345</v>
      </c>
      <c r="M11961" t="s">
        <v>16473</v>
      </c>
      <c r="N11961" t="s">
        <v>30</v>
      </c>
      <c r="O11961" t="s">
        <v>31</v>
      </c>
      <c r="P11961" t="str">
        <f>"15210"</f>
        <v>15210</v>
      </c>
    </row>
    <row r="11962" spans="1:16" x14ac:dyDescent="0.25">
      <c r="A11962" t="str">
        <f>"1180015H00068E   00"</f>
        <v>1180015H00068E   00</v>
      </c>
      <c r="B11962" t="s">
        <v>26426</v>
      </c>
      <c r="C11962" t="s">
        <v>25578</v>
      </c>
      <c r="D11962" t="s">
        <v>20</v>
      </c>
      <c r="E11962" t="s">
        <v>39</v>
      </c>
      <c r="F11962">
        <v>0</v>
      </c>
      <c r="G11962">
        <v>0</v>
      </c>
      <c r="H11962">
        <v>17</v>
      </c>
      <c r="I11962" s="3">
        <v>196.54</v>
      </c>
      <c r="J11962" s="3">
        <v>217.52</v>
      </c>
      <c r="L11962">
        <v>343</v>
      </c>
      <c r="M11962" t="s">
        <v>16473</v>
      </c>
      <c r="N11962" t="s">
        <v>30</v>
      </c>
      <c r="O11962" t="s">
        <v>31</v>
      </c>
      <c r="P11962" t="str">
        <f>"15210"</f>
        <v>15210</v>
      </c>
    </row>
    <row r="11963" spans="1:16" x14ac:dyDescent="0.25">
      <c r="A11963" t="str">
        <f>"1180015H00073A   00"</f>
        <v>1180015H00073A   00</v>
      </c>
      <c r="B11963" t="s">
        <v>26427</v>
      </c>
      <c r="C11963" t="s">
        <v>25600</v>
      </c>
      <c r="D11963" t="s">
        <v>20</v>
      </c>
      <c r="E11963" t="s">
        <v>39</v>
      </c>
      <c r="F11963">
        <v>0</v>
      </c>
      <c r="G11963">
        <v>0</v>
      </c>
      <c r="H11963">
        <v>17</v>
      </c>
      <c r="I11963" s="3">
        <v>115.74</v>
      </c>
      <c r="J11963" s="3">
        <v>139.41999999999999</v>
      </c>
      <c r="K11963" t="s">
        <v>13562</v>
      </c>
      <c r="M11963" t="s">
        <v>26428</v>
      </c>
      <c r="O11963" t="s">
        <v>31</v>
      </c>
      <c r="P11963" t="str">
        <f>"10000"</f>
        <v>10000</v>
      </c>
    </row>
    <row r="11964" spans="1:16" x14ac:dyDescent="0.25">
      <c r="A11964" t="str">
        <f>"1180015H00082    00"</f>
        <v>1180015H00082    00</v>
      </c>
      <c r="B11964" t="s">
        <v>25599</v>
      </c>
      <c r="C11964" t="s">
        <v>26429</v>
      </c>
      <c r="D11964" t="s">
        <v>20</v>
      </c>
      <c r="E11964" t="s">
        <v>39</v>
      </c>
      <c r="F11964">
        <v>0</v>
      </c>
      <c r="G11964">
        <v>0</v>
      </c>
      <c r="H11964">
        <v>19</v>
      </c>
      <c r="I11964" s="3">
        <v>11127.49</v>
      </c>
      <c r="J11964" s="3">
        <v>9168.91</v>
      </c>
      <c r="L11964">
        <v>308</v>
      </c>
      <c r="M11964" t="s">
        <v>26430</v>
      </c>
      <c r="N11964" t="s">
        <v>30</v>
      </c>
      <c r="O11964" t="s">
        <v>31</v>
      </c>
      <c r="P11964" t="str">
        <f>"15210"</f>
        <v>15210</v>
      </c>
    </row>
    <row r="11965" spans="1:16" x14ac:dyDescent="0.25">
      <c r="A11965" t="str">
        <f>"1180015H00089    00"</f>
        <v>1180015H00089    00</v>
      </c>
      <c r="B11965" t="s">
        <v>26431</v>
      </c>
      <c r="C11965" t="s">
        <v>26432</v>
      </c>
      <c r="D11965" t="s">
        <v>20</v>
      </c>
      <c r="E11965" t="s">
        <v>39</v>
      </c>
      <c r="F11965">
        <v>0</v>
      </c>
      <c r="G11965">
        <v>0</v>
      </c>
      <c r="H11965">
        <v>16</v>
      </c>
      <c r="I11965" s="3">
        <v>7872.97</v>
      </c>
      <c r="J11965" s="3">
        <v>5997.91</v>
      </c>
      <c r="K11965" t="s">
        <v>26433</v>
      </c>
      <c r="L11965">
        <v>2448</v>
      </c>
      <c r="M11965" t="s">
        <v>24723</v>
      </c>
      <c r="N11965" t="s">
        <v>30</v>
      </c>
      <c r="O11965" t="s">
        <v>31</v>
      </c>
      <c r="P11965" t="str">
        <f>"15226"</f>
        <v>15226</v>
      </c>
    </row>
    <row r="11966" spans="1:16" x14ac:dyDescent="0.25">
      <c r="A11966" t="str">
        <f>"1180015H00090    00"</f>
        <v>1180015H00090    00</v>
      </c>
      <c r="B11966" t="s">
        <v>26434</v>
      </c>
      <c r="C11966" t="s">
        <v>26435</v>
      </c>
      <c r="D11966" t="s">
        <v>20</v>
      </c>
      <c r="E11966" t="s">
        <v>39</v>
      </c>
      <c r="F11966">
        <v>0</v>
      </c>
      <c r="G11966">
        <v>0</v>
      </c>
      <c r="H11966">
        <v>2</v>
      </c>
      <c r="I11966" s="3">
        <v>1490.52</v>
      </c>
      <c r="J11966" s="3">
        <v>0</v>
      </c>
      <c r="L11966">
        <v>850</v>
      </c>
      <c r="M11966" t="s">
        <v>3180</v>
      </c>
      <c r="N11966" t="s">
        <v>30</v>
      </c>
      <c r="O11966" t="s">
        <v>31</v>
      </c>
      <c r="P11966" t="str">
        <f>"15210"</f>
        <v>15210</v>
      </c>
    </row>
    <row r="11967" spans="1:16" x14ac:dyDescent="0.25">
      <c r="A11967" t="str">
        <f>"1180015H00095    00"</f>
        <v>1180015H00095    00</v>
      </c>
      <c r="B11967" t="s">
        <v>26436</v>
      </c>
      <c r="C11967" t="s">
        <v>25578</v>
      </c>
      <c r="D11967" t="s">
        <v>20</v>
      </c>
      <c r="E11967" t="s">
        <v>39</v>
      </c>
      <c r="F11967">
        <v>0</v>
      </c>
      <c r="G11967">
        <v>0</v>
      </c>
      <c r="H11967">
        <v>19</v>
      </c>
      <c r="I11967" s="3">
        <v>1433.21</v>
      </c>
      <c r="J11967" s="3">
        <v>1756.04</v>
      </c>
      <c r="L11967">
        <v>61</v>
      </c>
      <c r="M11967" t="s">
        <v>2672</v>
      </c>
      <c r="N11967" t="s">
        <v>30</v>
      </c>
      <c r="O11967" t="s">
        <v>31</v>
      </c>
      <c r="P11967" t="str">
        <f>"15211"</f>
        <v>15211</v>
      </c>
    </row>
    <row r="11968" spans="1:16" x14ac:dyDescent="0.25">
      <c r="A11968" t="str">
        <f>"1180015H00095A   00"</f>
        <v>1180015H00095A   00</v>
      </c>
      <c r="B11968" t="s">
        <v>26437</v>
      </c>
      <c r="C11968" t="s">
        <v>25578</v>
      </c>
      <c r="D11968" t="s">
        <v>20</v>
      </c>
      <c r="E11968" t="s">
        <v>39</v>
      </c>
      <c r="F11968">
        <v>0</v>
      </c>
      <c r="G11968">
        <v>0</v>
      </c>
      <c r="H11968">
        <v>17</v>
      </c>
      <c r="I11968" s="3">
        <v>196.54</v>
      </c>
      <c r="J11968" s="3">
        <v>217.52</v>
      </c>
      <c r="K11968" t="s">
        <v>1037</v>
      </c>
      <c r="L11968">
        <v>238</v>
      </c>
      <c r="M11968" t="s">
        <v>25667</v>
      </c>
      <c r="N11968" t="s">
        <v>30</v>
      </c>
      <c r="O11968" t="s">
        <v>31</v>
      </c>
      <c r="P11968" t="str">
        <f>"15210"</f>
        <v>15210</v>
      </c>
    </row>
    <row r="11969" spans="1:16" x14ac:dyDescent="0.25">
      <c r="A11969" t="str">
        <f>"1180015H00096    00"</f>
        <v>1180015H00096    00</v>
      </c>
      <c r="B11969" t="s">
        <v>26438</v>
      </c>
      <c r="C11969" t="s">
        <v>26439</v>
      </c>
      <c r="E11969" t="s">
        <v>39</v>
      </c>
      <c r="F11969">
        <v>0</v>
      </c>
      <c r="G11969">
        <v>0</v>
      </c>
      <c r="H11969">
        <v>2</v>
      </c>
      <c r="I11969" s="3">
        <v>154.25</v>
      </c>
      <c r="J11969" s="3">
        <v>6.71</v>
      </c>
      <c r="K11969" t="s">
        <v>26440</v>
      </c>
      <c r="L11969">
        <v>237</v>
      </c>
      <c r="M11969" t="s">
        <v>16473</v>
      </c>
      <c r="N11969" t="s">
        <v>30</v>
      </c>
      <c r="O11969" t="s">
        <v>31</v>
      </c>
      <c r="P11969" t="str">
        <f>"15210"</f>
        <v>15210</v>
      </c>
    </row>
    <row r="11970" spans="1:16" x14ac:dyDescent="0.25">
      <c r="A11970" t="str">
        <f>"1180015H00096A   00"</f>
        <v>1180015H00096A   00</v>
      </c>
      <c r="B11970" t="s">
        <v>26044</v>
      </c>
      <c r="C11970" t="s">
        <v>25600</v>
      </c>
      <c r="D11970" t="s">
        <v>20</v>
      </c>
      <c r="E11970" t="s">
        <v>39</v>
      </c>
      <c r="F11970">
        <v>0</v>
      </c>
      <c r="G11970">
        <v>0</v>
      </c>
      <c r="H11970">
        <v>19</v>
      </c>
      <c r="I11970" s="3">
        <v>255.06</v>
      </c>
      <c r="J11970" s="3">
        <v>247.23</v>
      </c>
      <c r="K11970" t="s">
        <v>26045</v>
      </c>
      <c r="L11970">
        <v>37</v>
      </c>
      <c r="M11970" t="s">
        <v>26441</v>
      </c>
      <c r="N11970" t="s">
        <v>30</v>
      </c>
      <c r="O11970" t="s">
        <v>31</v>
      </c>
      <c r="P11970" t="str">
        <f>"15202"</f>
        <v>15202</v>
      </c>
    </row>
    <row r="11971" spans="1:16" x14ac:dyDescent="0.25">
      <c r="A11971" t="str">
        <f>"1180015H00097    00"</f>
        <v>1180015H00097    00</v>
      </c>
      <c r="B11971" t="s">
        <v>25564</v>
      </c>
      <c r="C11971" t="s">
        <v>26442</v>
      </c>
      <c r="D11971" t="s">
        <v>20</v>
      </c>
      <c r="E11971" t="s">
        <v>39</v>
      </c>
      <c r="F11971">
        <v>0</v>
      </c>
      <c r="G11971">
        <v>0</v>
      </c>
      <c r="H11971">
        <v>9</v>
      </c>
      <c r="I11971" s="3">
        <v>2234.34</v>
      </c>
      <c r="J11971" s="3">
        <v>788.04</v>
      </c>
      <c r="K11971" t="s">
        <v>25566</v>
      </c>
      <c r="L11971">
        <v>614</v>
      </c>
      <c r="M11971" t="s">
        <v>25567</v>
      </c>
      <c r="N11971" t="s">
        <v>30</v>
      </c>
      <c r="O11971" t="s">
        <v>31</v>
      </c>
      <c r="P11971" t="str">
        <f>"15220"</f>
        <v>15220</v>
      </c>
    </row>
    <row r="11972" spans="1:16" x14ac:dyDescent="0.25">
      <c r="A11972" t="str">
        <f>"1180015H00099    00"</f>
        <v>1180015H00099    00</v>
      </c>
      <c r="B11972" t="s">
        <v>26443</v>
      </c>
      <c r="C11972" t="s">
        <v>25600</v>
      </c>
      <c r="D11972" t="s">
        <v>20</v>
      </c>
      <c r="E11972" t="s">
        <v>39</v>
      </c>
      <c r="F11972">
        <v>0</v>
      </c>
      <c r="G11972">
        <v>0</v>
      </c>
      <c r="H11972">
        <v>17</v>
      </c>
      <c r="I11972" s="3">
        <v>196.54</v>
      </c>
      <c r="J11972" s="3">
        <v>217.52</v>
      </c>
      <c r="K11972" t="s">
        <v>1037</v>
      </c>
      <c r="L11972">
        <v>232</v>
      </c>
      <c r="M11972" t="s">
        <v>25667</v>
      </c>
      <c r="N11972" t="s">
        <v>30</v>
      </c>
      <c r="O11972" t="s">
        <v>31</v>
      </c>
      <c r="P11972" t="str">
        <f>"15210"</f>
        <v>15210</v>
      </c>
    </row>
    <row r="11973" spans="1:16" x14ac:dyDescent="0.25">
      <c r="A11973" t="str">
        <f>"1180015H00104    00"</f>
        <v>1180015H00104    00</v>
      </c>
      <c r="B11973" t="s">
        <v>26444</v>
      </c>
      <c r="C11973" t="s">
        <v>25578</v>
      </c>
      <c r="D11973" t="s">
        <v>20</v>
      </c>
      <c r="E11973" t="s">
        <v>39</v>
      </c>
      <c r="F11973">
        <v>0</v>
      </c>
      <c r="G11973">
        <v>0</v>
      </c>
      <c r="H11973">
        <v>19</v>
      </c>
      <c r="I11973" s="3">
        <v>2385.71</v>
      </c>
      <c r="J11973" s="3">
        <v>2564.3000000000002</v>
      </c>
      <c r="P11973" t="str">
        <f>""</f>
        <v/>
      </c>
    </row>
    <row r="11974" spans="1:16" x14ac:dyDescent="0.25">
      <c r="A11974" t="str">
        <f>"1180015H00105    00"</f>
        <v>1180015H00105    00</v>
      </c>
      <c r="B11974" t="s">
        <v>26445</v>
      </c>
      <c r="C11974" t="s">
        <v>25578</v>
      </c>
      <c r="D11974" t="s">
        <v>20</v>
      </c>
      <c r="E11974" t="s">
        <v>39</v>
      </c>
      <c r="F11974">
        <v>0</v>
      </c>
      <c r="G11974">
        <v>0</v>
      </c>
      <c r="H11974">
        <v>15</v>
      </c>
      <c r="I11974" s="3">
        <v>1325.4</v>
      </c>
      <c r="J11974" s="3">
        <v>1450.11</v>
      </c>
      <c r="L11974">
        <v>223</v>
      </c>
      <c r="M11974" t="s">
        <v>16473</v>
      </c>
      <c r="N11974" t="s">
        <v>30</v>
      </c>
      <c r="O11974" t="s">
        <v>31</v>
      </c>
      <c r="P11974" t="str">
        <f>"15210"</f>
        <v>15210</v>
      </c>
    </row>
    <row r="11975" spans="1:16" x14ac:dyDescent="0.25">
      <c r="A11975" t="str">
        <f>"1180015H00107    00"</f>
        <v>1180015H00107    00</v>
      </c>
      <c r="B11975" t="s">
        <v>26446</v>
      </c>
      <c r="C11975" t="s">
        <v>25600</v>
      </c>
      <c r="D11975" t="s">
        <v>20</v>
      </c>
      <c r="E11975" t="s">
        <v>39</v>
      </c>
      <c r="F11975">
        <v>0</v>
      </c>
      <c r="G11975">
        <v>0</v>
      </c>
      <c r="H11975">
        <v>14</v>
      </c>
      <c r="I11975" s="3">
        <v>94.59</v>
      </c>
      <c r="J11975" s="3">
        <v>87.07</v>
      </c>
      <c r="K11975" t="s">
        <v>26447</v>
      </c>
      <c r="L11975">
        <v>119</v>
      </c>
      <c r="M11975" t="s">
        <v>26448</v>
      </c>
      <c r="N11975" t="s">
        <v>30</v>
      </c>
      <c r="O11975" t="s">
        <v>31</v>
      </c>
      <c r="P11975" t="str">
        <f>"15235"</f>
        <v>15235</v>
      </c>
    </row>
    <row r="11976" spans="1:16" x14ac:dyDescent="0.25">
      <c r="A11976" t="str">
        <f>"1180015H00116    00"</f>
        <v>1180015H00116    00</v>
      </c>
      <c r="B11976" t="s">
        <v>26449</v>
      </c>
      <c r="C11976" t="s">
        <v>25562</v>
      </c>
      <c r="E11976" t="s">
        <v>39</v>
      </c>
      <c r="F11976">
        <v>0</v>
      </c>
      <c r="G11976">
        <v>0</v>
      </c>
      <c r="H11976">
        <v>8</v>
      </c>
      <c r="I11976" s="3">
        <v>277.47000000000003</v>
      </c>
      <c r="J11976" s="3">
        <v>346.62</v>
      </c>
      <c r="K11976" t="s">
        <v>26450</v>
      </c>
      <c r="L11976">
        <v>120</v>
      </c>
      <c r="M11976" t="s">
        <v>26451</v>
      </c>
      <c r="N11976" t="s">
        <v>8181</v>
      </c>
      <c r="O11976" t="s">
        <v>31</v>
      </c>
      <c r="P11976" t="str">
        <f>"15110"</f>
        <v>15110</v>
      </c>
    </row>
    <row r="11977" spans="1:16" x14ac:dyDescent="0.25">
      <c r="A11977" t="str">
        <f>"1180015H00132    00"</f>
        <v>1180015H00132    00</v>
      </c>
      <c r="B11977" t="s">
        <v>26452</v>
      </c>
      <c r="C11977" t="s">
        <v>26453</v>
      </c>
      <c r="D11977" t="s">
        <v>20</v>
      </c>
      <c r="E11977" t="s">
        <v>39</v>
      </c>
      <c r="F11977">
        <v>0</v>
      </c>
      <c r="G11977">
        <v>0</v>
      </c>
      <c r="H11977">
        <v>5</v>
      </c>
      <c r="I11977" s="3">
        <v>2189.19</v>
      </c>
      <c r="J11977" s="3">
        <v>382.74</v>
      </c>
      <c r="K11977" t="s">
        <v>26454</v>
      </c>
      <c r="L11977">
        <v>306</v>
      </c>
      <c r="M11977" t="s">
        <v>11789</v>
      </c>
      <c r="N11977" t="s">
        <v>30</v>
      </c>
      <c r="O11977" t="s">
        <v>31</v>
      </c>
      <c r="P11977" t="str">
        <f>"15210"</f>
        <v>15210</v>
      </c>
    </row>
    <row r="11978" spans="1:16" x14ac:dyDescent="0.25">
      <c r="A11978" t="str">
        <f>"1180015H00133    00"</f>
        <v>1180015H00133    00</v>
      </c>
      <c r="B11978" t="s">
        <v>26452</v>
      </c>
      <c r="C11978" t="s">
        <v>26455</v>
      </c>
      <c r="D11978" t="s">
        <v>20</v>
      </c>
      <c r="E11978" t="s">
        <v>39</v>
      </c>
      <c r="F11978">
        <v>0</v>
      </c>
      <c r="G11978">
        <v>0</v>
      </c>
      <c r="H11978">
        <v>7</v>
      </c>
      <c r="I11978" s="3">
        <v>4371.04</v>
      </c>
      <c r="J11978" s="3">
        <v>1174.1099999999999</v>
      </c>
      <c r="K11978" t="s">
        <v>26454</v>
      </c>
      <c r="L11978">
        <v>306</v>
      </c>
      <c r="M11978" t="s">
        <v>26456</v>
      </c>
      <c r="N11978" t="s">
        <v>30</v>
      </c>
      <c r="O11978" t="s">
        <v>31</v>
      </c>
      <c r="P11978" t="str">
        <f>"15210"</f>
        <v>15210</v>
      </c>
    </row>
    <row r="11979" spans="1:16" x14ac:dyDescent="0.25">
      <c r="A11979" t="str">
        <f>"1180015H00134    00"</f>
        <v>1180015H00134    00</v>
      </c>
      <c r="B11979" t="s">
        <v>26452</v>
      </c>
      <c r="C11979" t="s">
        <v>26455</v>
      </c>
      <c r="D11979" t="s">
        <v>20</v>
      </c>
      <c r="E11979" t="s">
        <v>39</v>
      </c>
      <c r="F11979">
        <v>0</v>
      </c>
      <c r="G11979">
        <v>0</v>
      </c>
      <c r="H11979">
        <v>5</v>
      </c>
      <c r="I11979" s="3">
        <v>297.2</v>
      </c>
      <c r="J11979" s="3">
        <v>52.02</v>
      </c>
      <c r="K11979" t="s">
        <v>26454</v>
      </c>
      <c r="L11979">
        <v>306</v>
      </c>
      <c r="M11979" t="s">
        <v>11789</v>
      </c>
      <c r="N11979" t="s">
        <v>30</v>
      </c>
      <c r="O11979" t="s">
        <v>31</v>
      </c>
      <c r="P11979" t="str">
        <f>"15210"</f>
        <v>15210</v>
      </c>
    </row>
    <row r="11980" spans="1:16" x14ac:dyDescent="0.25">
      <c r="A11980" t="str">
        <f>"1180015H00135    00"</f>
        <v>1180015H00135    00</v>
      </c>
      <c r="B11980" t="s">
        <v>26457</v>
      </c>
      <c r="C11980" t="s">
        <v>26458</v>
      </c>
      <c r="D11980" t="s">
        <v>20</v>
      </c>
      <c r="E11980" t="s">
        <v>21</v>
      </c>
      <c r="F11980">
        <v>0</v>
      </c>
      <c r="G11980">
        <v>0</v>
      </c>
      <c r="H11980">
        <v>8</v>
      </c>
      <c r="I11980" s="3">
        <v>7715.03</v>
      </c>
      <c r="J11980" s="3">
        <v>2626.52</v>
      </c>
      <c r="L11980">
        <v>213</v>
      </c>
      <c r="M11980" t="s">
        <v>26459</v>
      </c>
      <c r="N11980" t="s">
        <v>30</v>
      </c>
      <c r="O11980" t="s">
        <v>31</v>
      </c>
      <c r="P11980" t="str">
        <f>"15214"</f>
        <v>15214</v>
      </c>
    </row>
    <row r="11981" spans="1:16" x14ac:dyDescent="0.25">
      <c r="A11981" t="str">
        <f>"1180015H00155    00"</f>
        <v>1180015H00155    00</v>
      </c>
      <c r="B11981" t="s">
        <v>26460</v>
      </c>
      <c r="C11981" t="s">
        <v>26461</v>
      </c>
      <c r="D11981" t="s">
        <v>20</v>
      </c>
      <c r="E11981" t="s">
        <v>39</v>
      </c>
      <c r="F11981">
        <v>0</v>
      </c>
      <c r="G11981">
        <v>0</v>
      </c>
      <c r="H11981">
        <v>19</v>
      </c>
      <c r="I11981" s="3">
        <v>10027.129999999999</v>
      </c>
      <c r="J11981" s="3">
        <v>10213.76</v>
      </c>
      <c r="L11981">
        <v>402</v>
      </c>
      <c r="M11981" t="s">
        <v>11789</v>
      </c>
      <c r="N11981" t="s">
        <v>30</v>
      </c>
      <c r="O11981" t="s">
        <v>31</v>
      </c>
      <c r="P11981" t="str">
        <f>"15210"</f>
        <v>15210</v>
      </c>
    </row>
    <row r="11982" spans="1:16" x14ac:dyDescent="0.25">
      <c r="A11982" t="str">
        <f>"1180015H00164    00"</f>
        <v>1180015H00164    00</v>
      </c>
      <c r="B11982" t="s">
        <v>26462</v>
      </c>
      <c r="C11982" t="s">
        <v>25562</v>
      </c>
      <c r="D11982" t="s">
        <v>20</v>
      </c>
      <c r="E11982" t="s">
        <v>39</v>
      </c>
      <c r="F11982">
        <v>0</v>
      </c>
      <c r="G11982">
        <v>0</v>
      </c>
      <c r="H11982">
        <v>19</v>
      </c>
      <c r="I11982" s="3">
        <v>2502.7600000000002</v>
      </c>
      <c r="J11982" s="3">
        <v>2809.45</v>
      </c>
      <c r="L11982">
        <v>306</v>
      </c>
      <c r="M11982" t="s">
        <v>25529</v>
      </c>
      <c r="N11982" t="s">
        <v>30</v>
      </c>
      <c r="O11982" t="s">
        <v>31</v>
      </c>
      <c r="P11982" t="str">
        <f>"15210"</f>
        <v>15210</v>
      </c>
    </row>
    <row r="11983" spans="1:16" x14ac:dyDescent="0.25">
      <c r="A11983" t="str">
        <f>"1180015H00170    00"</f>
        <v>1180015H00170    00</v>
      </c>
      <c r="B11983" t="s">
        <v>26463</v>
      </c>
      <c r="C11983" t="s">
        <v>26464</v>
      </c>
      <c r="D11983" t="s">
        <v>20</v>
      </c>
      <c r="E11983" t="s">
        <v>39</v>
      </c>
      <c r="F11983">
        <v>0</v>
      </c>
      <c r="G11983">
        <v>0</v>
      </c>
      <c r="H11983">
        <v>5</v>
      </c>
      <c r="I11983" s="3">
        <v>4001.3</v>
      </c>
      <c r="J11983" s="3">
        <v>572.70000000000005</v>
      </c>
      <c r="M11983" t="s">
        <v>26465</v>
      </c>
      <c r="N11983" t="s">
        <v>24</v>
      </c>
      <c r="O11983" t="s">
        <v>25</v>
      </c>
      <c r="P11983" t="str">
        <f>"43110"</f>
        <v>43110</v>
      </c>
    </row>
    <row r="11984" spans="1:16" x14ac:dyDescent="0.25">
      <c r="A11984" t="str">
        <f>"1180015H00171    00"</f>
        <v>1180015H00171    00</v>
      </c>
      <c r="B11984" t="s">
        <v>26466</v>
      </c>
      <c r="C11984" t="s">
        <v>25562</v>
      </c>
      <c r="D11984" t="s">
        <v>20</v>
      </c>
      <c r="E11984" t="s">
        <v>39</v>
      </c>
      <c r="F11984">
        <v>0</v>
      </c>
      <c r="G11984">
        <v>0</v>
      </c>
      <c r="H11984">
        <v>3</v>
      </c>
      <c r="I11984" s="3">
        <v>28.17</v>
      </c>
      <c r="J11984" s="3">
        <v>2.29</v>
      </c>
      <c r="M11984" t="s">
        <v>26467</v>
      </c>
      <c r="N11984" t="s">
        <v>24</v>
      </c>
      <c r="O11984" t="s">
        <v>25</v>
      </c>
      <c r="P11984" t="str">
        <f>"43110"</f>
        <v>43110</v>
      </c>
    </row>
    <row r="11985" spans="1:16" x14ac:dyDescent="0.25">
      <c r="A11985" t="str">
        <f>"1180015H00173    00"</f>
        <v>1180015H00173    00</v>
      </c>
      <c r="B11985" t="s">
        <v>26468</v>
      </c>
      <c r="C11985" t="s">
        <v>25562</v>
      </c>
      <c r="D11985" t="s">
        <v>20</v>
      </c>
      <c r="E11985" t="s">
        <v>21</v>
      </c>
      <c r="F11985">
        <v>0</v>
      </c>
      <c r="G11985">
        <v>0</v>
      </c>
      <c r="H11985">
        <v>19</v>
      </c>
      <c r="I11985" s="3">
        <v>12006.99</v>
      </c>
      <c r="J11985" s="3">
        <v>13536.86</v>
      </c>
      <c r="L11985">
        <v>633</v>
      </c>
      <c r="M11985" t="s">
        <v>25711</v>
      </c>
      <c r="N11985" t="s">
        <v>25712</v>
      </c>
      <c r="O11985" t="s">
        <v>370</v>
      </c>
      <c r="P11985" t="str">
        <f>"32534"</f>
        <v>32534</v>
      </c>
    </row>
    <row r="11986" spans="1:16" x14ac:dyDescent="0.25">
      <c r="A11986" t="str">
        <f>"1180015H00189    00"</f>
        <v>1180015H00189    00</v>
      </c>
      <c r="B11986" t="s">
        <v>26469</v>
      </c>
      <c r="C11986" t="s">
        <v>26470</v>
      </c>
      <c r="E11986" t="s">
        <v>39</v>
      </c>
      <c r="F11986">
        <v>0</v>
      </c>
      <c r="G11986">
        <v>0</v>
      </c>
      <c r="H11986">
        <v>1</v>
      </c>
      <c r="I11986" s="3">
        <v>259.32</v>
      </c>
      <c r="J11986" s="3">
        <v>155.58000000000001</v>
      </c>
      <c r="L11986">
        <v>209</v>
      </c>
      <c r="M11986" t="s">
        <v>25252</v>
      </c>
      <c r="N11986" t="s">
        <v>30</v>
      </c>
      <c r="O11986" t="s">
        <v>31</v>
      </c>
      <c r="P11986" t="str">
        <f>"15210"</f>
        <v>15210</v>
      </c>
    </row>
    <row r="11987" spans="1:16" x14ac:dyDescent="0.25">
      <c r="A11987" t="str">
        <f>"1180015H00191    00"</f>
        <v>1180015H00191    00</v>
      </c>
      <c r="B11987" t="s">
        <v>26471</v>
      </c>
      <c r="C11987" t="s">
        <v>25248</v>
      </c>
      <c r="D11987" t="s">
        <v>20</v>
      </c>
      <c r="E11987" t="s">
        <v>39</v>
      </c>
      <c r="F11987">
        <v>0</v>
      </c>
      <c r="G11987">
        <v>0</v>
      </c>
      <c r="H11987">
        <v>16</v>
      </c>
      <c r="I11987" s="3">
        <v>2493.19</v>
      </c>
      <c r="J11987" s="3">
        <v>3037.28</v>
      </c>
      <c r="L11987">
        <v>205</v>
      </c>
      <c r="M11987" t="s">
        <v>25252</v>
      </c>
      <c r="N11987" t="s">
        <v>30</v>
      </c>
      <c r="O11987" t="s">
        <v>31</v>
      </c>
      <c r="P11987" t="str">
        <f>"15210"</f>
        <v>15210</v>
      </c>
    </row>
    <row r="11988" spans="1:16" x14ac:dyDescent="0.25">
      <c r="A11988" t="str">
        <f>"1180015H00197    00"</f>
        <v>1180015H00197    00</v>
      </c>
      <c r="B11988" t="s">
        <v>26472</v>
      </c>
      <c r="C11988" t="s">
        <v>25248</v>
      </c>
      <c r="D11988" t="s">
        <v>20</v>
      </c>
      <c r="E11988" t="s">
        <v>39</v>
      </c>
      <c r="F11988">
        <v>0</v>
      </c>
      <c r="G11988">
        <v>0</v>
      </c>
      <c r="H11988">
        <v>17</v>
      </c>
      <c r="I11988" s="3">
        <v>5075.6400000000003</v>
      </c>
      <c r="J11988" s="3">
        <v>7134.61</v>
      </c>
      <c r="L11988">
        <v>227</v>
      </c>
      <c r="M11988" t="s">
        <v>23695</v>
      </c>
      <c r="N11988" t="s">
        <v>30</v>
      </c>
      <c r="O11988" t="s">
        <v>31</v>
      </c>
      <c r="P11988" t="str">
        <f>"15216"</f>
        <v>15216</v>
      </c>
    </row>
    <row r="11989" spans="1:16" x14ac:dyDescent="0.25">
      <c r="A11989" t="str">
        <f>"1180015H00201    00"</f>
        <v>1180015H00201    00</v>
      </c>
      <c r="B11989" t="s">
        <v>26473</v>
      </c>
      <c r="C11989" t="s">
        <v>26474</v>
      </c>
      <c r="D11989" t="s">
        <v>20</v>
      </c>
      <c r="E11989" t="s">
        <v>39</v>
      </c>
      <c r="F11989">
        <v>0</v>
      </c>
      <c r="G11989">
        <v>0</v>
      </c>
      <c r="H11989">
        <v>2</v>
      </c>
      <c r="I11989" s="3">
        <v>1468.05</v>
      </c>
      <c r="J11989" s="3">
        <v>1156.48</v>
      </c>
      <c r="L11989">
        <v>208</v>
      </c>
      <c r="M11989" t="s">
        <v>25252</v>
      </c>
      <c r="N11989" t="s">
        <v>30</v>
      </c>
      <c r="O11989" t="s">
        <v>31</v>
      </c>
      <c r="P11989" t="str">
        <f>"15210"</f>
        <v>15210</v>
      </c>
    </row>
    <row r="11990" spans="1:16" x14ac:dyDescent="0.25">
      <c r="A11990" t="str">
        <f>"1180015H00211    00"</f>
        <v>1180015H00211    00</v>
      </c>
      <c r="B11990" t="s">
        <v>26475</v>
      </c>
      <c r="C11990" t="s">
        <v>25562</v>
      </c>
      <c r="E11990" t="s">
        <v>39</v>
      </c>
      <c r="F11990">
        <v>0</v>
      </c>
      <c r="G11990">
        <v>0</v>
      </c>
      <c r="H11990">
        <v>8</v>
      </c>
      <c r="I11990" s="3">
        <v>2050.21</v>
      </c>
      <c r="J11990" s="3">
        <v>1198.4100000000001</v>
      </c>
      <c r="K11990" t="s">
        <v>26476</v>
      </c>
      <c r="L11990">
        <v>37</v>
      </c>
      <c r="M11990" t="s">
        <v>26477</v>
      </c>
      <c r="N11990" t="s">
        <v>26478</v>
      </c>
      <c r="O11990" t="s">
        <v>31</v>
      </c>
      <c r="P11990" t="str">
        <f>"19063"</f>
        <v>19063</v>
      </c>
    </row>
    <row r="11991" spans="1:16" x14ac:dyDescent="0.25">
      <c r="A11991" t="str">
        <f>"1180015H00219    00"</f>
        <v>1180015H00219    00</v>
      </c>
      <c r="B11991" t="s">
        <v>26479</v>
      </c>
      <c r="C11991" t="s">
        <v>26480</v>
      </c>
      <c r="D11991" t="s">
        <v>20</v>
      </c>
      <c r="E11991" t="s">
        <v>39</v>
      </c>
      <c r="F11991">
        <v>0</v>
      </c>
      <c r="G11991">
        <v>0</v>
      </c>
      <c r="H11991">
        <v>2</v>
      </c>
      <c r="I11991" s="3">
        <v>945.69</v>
      </c>
      <c r="J11991" s="3">
        <v>0</v>
      </c>
      <c r="L11991">
        <v>9</v>
      </c>
      <c r="M11991" t="s">
        <v>26481</v>
      </c>
      <c r="N11991" t="s">
        <v>30</v>
      </c>
      <c r="O11991" t="s">
        <v>31</v>
      </c>
      <c r="P11991" t="str">
        <f>"15210"</f>
        <v>15210</v>
      </c>
    </row>
    <row r="11992" spans="1:16" x14ac:dyDescent="0.25">
      <c r="A11992" t="str">
        <f>"1180015H00240    00"</f>
        <v>1180015H00240    00</v>
      </c>
      <c r="B11992" t="s">
        <v>26482</v>
      </c>
      <c r="C11992" t="s">
        <v>25270</v>
      </c>
      <c r="D11992" t="s">
        <v>20</v>
      </c>
      <c r="E11992" t="s">
        <v>39</v>
      </c>
      <c r="F11992">
        <v>0</v>
      </c>
      <c r="G11992">
        <v>0</v>
      </c>
      <c r="H11992">
        <v>10</v>
      </c>
      <c r="I11992" s="3">
        <v>110.69</v>
      </c>
      <c r="J11992" s="3">
        <v>47.7</v>
      </c>
      <c r="L11992">
        <v>471</v>
      </c>
      <c r="M11992" t="s">
        <v>26483</v>
      </c>
      <c r="N11992" t="s">
        <v>625</v>
      </c>
      <c r="O11992" t="s">
        <v>31</v>
      </c>
      <c r="P11992" t="str">
        <f>"15108"</f>
        <v>15108</v>
      </c>
    </row>
    <row r="11993" spans="1:16" x14ac:dyDescent="0.25">
      <c r="A11993" t="str">
        <f>"1180015H00254    00"</f>
        <v>1180015H00254    00</v>
      </c>
      <c r="B11993" t="s">
        <v>26484</v>
      </c>
      <c r="C11993" t="s">
        <v>26485</v>
      </c>
      <c r="E11993" t="s">
        <v>39</v>
      </c>
      <c r="F11993">
        <v>0</v>
      </c>
      <c r="G11993">
        <v>0</v>
      </c>
      <c r="H11993">
        <v>1</v>
      </c>
      <c r="I11993" s="3">
        <v>567.99</v>
      </c>
      <c r="J11993" s="3">
        <v>0</v>
      </c>
      <c r="L11993">
        <v>231</v>
      </c>
      <c r="M11993" t="s">
        <v>11789</v>
      </c>
      <c r="N11993" t="s">
        <v>30</v>
      </c>
      <c r="O11993" t="s">
        <v>31</v>
      </c>
      <c r="P11993" t="str">
        <f t="shared" ref="P11993:P11998" si="143">"15210"</f>
        <v>15210</v>
      </c>
    </row>
    <row r="11994" spans="1:16" x14ac:dyDescent="0.25">
      <c r="A11994" t="str">
        <f>"1180015H00264    00"</f>
        <v>1180015H00264    00</v>
      </c>
      <c r="B11994" t="s">
        <v>26486</v>
      </c>
      <c r="C11994" t="s">
        <v>26487</v>
      </c>
      <c r="D11994" t="s">
        <v>20</v>
      </c>
      <c r="E11994" t="s">
        <v>39</v>
      </c>
      <c r="F11994">
        <v>0</v>
      </c>
      <c r="G11994">
        <v>0</v>
      </c>
      <c r="H11994">
        <v>19</v>
      </c>
      <c r="I11994" s="3">
        <v>10230.379999999999</v>
      </c>
      <c r="J11994" s="3">
        <v>10494.97</v>
      </c>
      <c r="L11994">
        <v>234</v>
      </c>
      <c r="M11994" t="s">
        <v>2475</v>
      </c>
      <c r="N11994" t="s">
        <v>30</v>
      </c>
      <c r="O11994" t="s">
        <v>31</v>
      </c>
      <c r="P11994" t="str">
        <f t="shared" si="143"/>
        <v>15210</v>
      </c>
    </row>
    <row r="11995" spans="1:16" x14ac:dyDescent="0.25">
      <c r="A11995" t="str">
        <f>"1180015H00265    00"</f>
        <v>1180015H00265    00</v>
      </c>
      <c r="B11995" t="s">
        <v>26486</v>
      </c>
      <c r="C11995" t="s">
        <v>25623</v>
      </c>
      <c r="D11995" t="s">
        <v>20</v>
      </c>
      <c r="E11995" t="s">
        <v>39</v>
      </c>
      <c r="F11995">
        <v>0</v>
      </c>
      <c r="G11995">
        <v>0</v>
      </c>
      <c r="H11995">
        <v>6</v>
      </c>
      <c r="I11995" s="3">
        <v>447.4</v>
      </c>
      <c r="J11995" s="3">
        <v>102.07</v>
      </c>
      <c r="L11995">
        <v>234</v>
      </c>
      <c r="M11995" t="s">
        <v>2475</v>
      </c>
      <c r="N11995" t="s">
        <v>30</v>
      </c>
      <c r="O11995" t="s">
        <v>31</v>
      </c>
      <c r="P11995" t="str">
        <f t="shared" si="143"/>
        <v>15210</v>
      </c>
    </row>
    <row r="11996" spans="1:16" x14ac:dyDescent="0.25">
      <c r="A11996" t="str">
        <f>"1180015H00280    00"</f>
        <v>1180015H00280    00</v>
      </c>
      <c r="B11996" t="s">
        <v>26488</v>
      </c>
      <c r="C11996" t="s">
        <v>25623</v>
      </c>
      <c r="E11996" t="s">
        <v>39</v>
      </c>
      <c r="F11996">
        <v>0</v>
      </c>
      <c r="G11996">
        <v>0</v>
      </c>
      <c r="H11996">
        <v>2</v>
      </c>
      <c r="I11996" s="3">
        <v>26.7</v>
      </c>
      <c r="J11996" s="3">
        <v>2.68</v>
      </c>
      <c r="L11996">
        <v>233</v>
      </c>
      <c r="M11996" t="s">
        <v>2475</v>
      </c>
      <c r="N11996" t="s">
        <v>30</v>
      </c>
      <c r="O11996" t="s">
        <v>31</v>
      </c>
      <c r="P11996" t="str">
        <f t="shared" si="143"/>
        <v>15210</v>
      </c>
    </row>
    <row r="11997" spans="1:16" x14ac:dyDescent="0.25">
      <c r="A11997" t="str">
        <f>"1180015H00281    00"</f>
        <v>1180015H00281    00</v>
      </c>
      <c r="B11997" t="s">
        <v>26488</v>
      </c>
      <c r="C11997" t="s">
        <v>25623</v>
      </c>
      <c r="E11997" t="s">
        <v>39</v>
      </c>
      <c r="F11997">
        <v>0</v>
      </c>
      <c r="G11997">
        <v>0</v>
      </c>
      <c r="H11997">
        <v>2</v>
      </c>
      <c r="I11997" s="3">
        <v>30.5</v>
      </c>
      <c r="J11997" s="3">
        <v>3.05</v>
      </c>
      <c r="L11997">
        <v>233</v>
      </c>
      <c r="M11997" t="s">
        <v>2475</v>
      </c>
      <c r="N11997" t="s">
        <v>30</v>
      </c>
      <c r="O11997" t="s">
        <v>31</v>
      </c>
      <c r="P11997" t="str">
        <f t="shared" si="143"/>
        <v>15210</v>
      </c>
    </row>
    <row r="11998" spans="1:16" x14ac:dyDescent="0.25">
      <c r="A11998" t="str">
        <f>"1180015H00282    00"</f>
        <v>1180015H00282    00</v>
      </c>
      <c r="B11998" t="s">
        <v>26488</v>
      </c>
      <c r="C11998" t="s">
        <v>26489</v>
      </c>
      <c r="E11998" t="s">
        <v>39</v>
      </c>
      <c r="F11998">
        <v>0</v>
      </c>
      <c r="G11998">
        <v>0</v>
      </c>
      <c r="H11998">
        <v>2</v>
      </c>
      <c r="I11998" s="3">
        <v>1052.1199999999999</v>
      </c>
      <c r="J11998" s="3">
        <v>105.21</v>
      </c>
      <c r="L11998">
        <v>233</v>
      </c>
      <c r="M11998" t="s">
        <v>2475</v>
      </c>
      <c r="N11998" t="s">
        <v>30</v>
      </c>
      <c r="O11998" t="s">
        <v>31</v>
      </c>
      <c r="P11998" t="str">
        <f t="shared" si="143"/>
        <v>15210</v>
      </c>
    </row>
    <row r="11999" spans="1:16" x14ac:dyDescent="0.25">
      <c r="A11999" t="str">
        <f>"1180015H00284    00"</f>
        <v>1180015H00284    00</v>
      </c>
      <c r="B11999" t="s">
        <v>26490</v>
      </c>
      <c r="C11999" t="s">
        <v>24836</v>
      </c>
      <c r="E11999" t="s">
        <v>39</v>
      </c>
      <c r="F11999">
        <v>0</v>
      </c>
      <c r="G11999">
        <v>0</v>
      </c>
      <c r="H11999">
        <v>1</v>
      </c>
      <c r="I11999" s="3">
        <v>65.34</v>
      </c>
      <c r="J11999" s="3">
        <v>39.200000000000003</v>
      </c>
      <c r="K11999" t="s">
        <v>1162</v>
      </c>
      <c r="L11999">
        <v>1</v>
      </c>
      <c r="M11999" t="s">
        <v>1163</v>
      </c>
      <c r="N11999" t="s">
        <v>1164</v>
      </c>
      <c r="O11999" t="s">
        <v>108</v>
      </c>
      <c r="P11999" t="str">
        <f>"76262"</f>
        <v>76262</v>
      </c>
    </row>
    <row r="12000" spans="1:16" x14ac:dyDescent="0.25">
      <c r="A12000" t="str">
        <f>"1180015H00285    00"</f>
        <v>1180015H00285    00</v>
      </c>
      <c r="B12000" t="s">
        <v>26490</v>
      </c>
      <c r="C12000" t="s">
        <v>24836</v>
      </c>
      <c r="E12000" t="s">
        <v>39</v>
      </c>
      <c r="F12000">
        <v>0</v>
      </c>
      <c r="G12000">
        <v>0</v>
      </c>
      <c r="H12000">
        <v>1</v>
      </c>
      <c r="I12000" s="3">
        <v>49.01</v>
      </c>
      <c r="J12000" s="3">
        <v>29.41</v>
      </c>
      <c r="K12000" t="s">
        <v>1162</v>
      </c>
      <c r="L12000">
        <v>1</v>
      </c>
      <c r="M12000" t="s">
        <v>1163</v>
      </c>
      <c r="N12000" t="s">
        <v>1164</v>
      </c>
      <c r="O12000" t="s">
        <v>108</v>
      </c>
      <c r="P12000" t="str">
        <f>"76262"</f>
        <v>76262</v>
      </c>
    </row>
    <row r="12001" spans="1:16" x14ac:dyDescent="0.25">
      <c r="A12001" t="str">
        <f>"1180015H00286    00"</f>
        <v>1180015H00286    00</v>
      </c>
      <c r="B12001" t="s">
        <v>26490</v>
      </c>
      <c r="C12001" t="s">
        <v>26491</v>
      </c>
      <c r="E12001" t="s">
        <v>39</v>
      </c>
      <c r="F12001">
        <v>0</v>
      </c>
      <c r="G12001">
        <v>0</v>
      </c>
      <c r="H12001">
        <v>1</v>
      </c>
      <c r="I12001" s="3">
        <v>431.98</v>
      </c>
      <c r="J12001" s="3">
        <v>259.18</v>
      </c>
      <c r="K12001" t="s">
        <v>1162</v>
      </c>
      <c r="L12001">
        <v>1</v>
      </c>
      <c r="M12001" t="s">
        <v>1163</v>
      </c>
      <c r="N12001" t="s">
        <v>1164</v>
      </c>
      <c r="O12001" t="s">
        <v>108</v>
      </c>
      <c r="P12001" t="str">
        <f>"76262"</f>
        <v>76262</v>
      </c>
    </row>
    <row r="12002" spans="1:16" x14ac:dyDescent="0.25">
      <c r="A12002" t="str">
        <f>"1180015H00287    00"</f>
        <v>1180015H00287    00</v>
      </c>
      <c r="B12002" t="s">
        <v>26492</v>
      </c>
      <c r="C12002" t="s">
        <v>26493</v>
      </c>
      <c r="D12002" t="s">
        <v>20</v>
      </c>
      <c r="E12002" t="s">
        <v>39</v>
      </c>
      <c r="F12002">
        <v>0</v>
      </c>
      <c r="G12002">
        <v>0</v>
      </c>
      <c r="H12002">
        <v>2</v>
      </c>
      <c r="I12002" s="3">
        <v>857.72</v>
      </c>
      <c r="J12002" s="3">
        <v>0</v>
      </c>
      <c r="K12002" t="s">
        <v>26494</v>
      </c>
      <c r="L12002">
        <v>239</v>
      </c>
      <c r="M12002" t="s">
        <v>26495</v>
      </c>
      <c r="N12002" t="s">
        <v>30</v>
      </c>
      <c r="O12002" t="s">
        <v>31</v>
      </c>
      <c r="P12002" t="str">
        <f>"15222"</f>
        <v>15222</v>
      </c>
    </row>
    <row r="12003" spans="1:16" x14ac:dyDescent="0.25">
      <c r="A12003" t="str">
        <f>"1180015H00289    00"</f>
        <v>1180015H00289    00</v>
      </c>
      <c r="B12003" t="s">
        <v>26496</v>
      </c>
      <c r="C12003" t="s">
        <v>26497</v>
      </c>
      <c r="E12003" t="s">
        <v>39</v>
      </c>
      <c r="F12003">
        <v>0</v>
      </c>
      <c r="G12003">
        <v>0</v>
      </c>
      <c r="H12003">
        <v>7</v>
      </c>
      <c r="I12003" s="3">
        <v>3444.83</v>
      </c>
      <c r="J12003" s="3">
        <v>2954.72</v>
      </c>
      <c r="L12003">
        <v>240</v>
      </c>
      <c r="M12003" t="s">
        <v>26498</v>
      </c>
      <c r="N12003" t="s">
        <v>903</v>
      </c>
      <c r="O12003" t="s">
        <v>31</v>
      </c>
      <c r="P12003" t="str">
        <f>"15136"</f>
        <v>15136</v>
      </c>
    </row>
    <row r="12004" spans="1:16" x14ac:dyDescent="0.25">
      <c r="A12004" t="str">
        <f>"1180015H00291    00"</f>
        <v>1180015H00291    00</v>
      </c>
      <c r="B12004" t="s">
        <v>1997</v>
      </c>
      <c r="C12004" t="s">
        <v>26499</v>
      </c>
      <c r="E12004" t="s">
        <v>39</v>
      </c>
      <c r="F12004">
        <v>0</v>
      </c>
      <c r="G12004">
        <v>0</v>
      </c>
      <c r="H12004">
        <v>12</v>
      </c>
      <c r="I12004" s="3">
        <v>8168.96</v>
      </c>
      <c r="J12004" s="3">
        <v>7989.04</v>
      </c>
      <c r="L12004">
        <v>412</v>
      </c>
      <c r="M12004" t="s">
        <v>8136</v>
      </c>
      <c r="N12004" t="s">
        <v>30</v>
      </c>
      <c r="O12004" t="s">
        <v>31</v>
      </c>
      <c r="P12004" t="str">
        <f>"15219"</f>
        <v>15219</v>
      </c>
    </row>
    <row r="12005" spans="1:16" x14ac:dyDescent="0.25">
      <c r="A12005" t="str">
        <f>"1180015H00334    00"</f>
        <v>1180015H00334    00</v>
      </c>
      <c r="B12005" t="s">
        <v>26500</v>
      </c>
      <c r="C12005" t="s">
        <v>26501</v>
      </c>
      <c r="D12005" t="s">
        <v>20</v>
      </c>
      <c r="E12005" t="s">
        <v>290</v>
      </c>
      <c r="F12005">
        <v>0</v>
      </c>
      <c r="G12005">
        <v>0</v>
      </c>
      <c r="H12005">
        <v>3</v>
      </c>
      <c r="I12005" s="3">
        <v>2001.3</v>
      </c>
      <c r="J12005" s="3">
        <v>133.41999999999999</v>
      </c>
      <c r="L12005">
        <v>500</v>
      </c>
      <c r="M12005" t="s">
        <v>26502</v>
      </c>
      <c r="N12005" t="s">
        <v>30</v>
      </c>
      <c r="O12005" t="s">
        <v>31</v>
      </c>
      <c r="P12005" t="str">
        <f>"15227"</f>
        <v>15227</v>
      </c>
    </row>
    <row r="12006" spans="1:16" x14ac:dyDescent="0.25">
      <c r="A12006" t="str">
        <f>"1180015H00335    00"</f>
        <v>1180015H00335    00</v>
      </c>
      <c r="B12006" t="s">
        <v>26027</v>
      </c>
      <c r="C12006" t="s">
        <v>24836</v>
      </c>
      <c r="D12006" t="s">
        <v>20</v>
      </c>
      <c r="E12006" t="s">
        <v>207</v>
      </c>
      <c r="F12006">
        <v>0</v>
      </c>
      <c r="G12006">
        <v>0</v>
      </c>
      <c r="H12006">
        <v>1</v>
      </c>
      <c r="I12006" s="3">
        <v>28.6</v>
      </c>
      <c r="J12006" s="3">
        <v>0</v>
      </c>
      <c r="L12006">
        <v>744</v>
      </c>
      <c r="M12006" t="s">
        <v>23227</v>
      </c>
      <c r="N12006" t="s">
        <v>30</v>
      </c>
      <c r="O12006" t="s">
        <v>31</v>
      </c>
      <c r="P12006" t="str">
        <f>"15210"</f>
        <v>15210</v>
      </c>
    </row>
    <row r="12007" spans="1:16" x14ac:dyDescent="0.25">
      <c r="A12007" t="str">
        <f>"1180015H00336    00"</f>
        <v>1180015H00336    00</v>
      </c>
      <c r="B12007" t="s">
        <v>26027</v>
      </c>
      <c r="C12007" t="s">
        <v>26503</v>
      </c>
      <c r="D12007" t="s">
        <v>20</v>
      </c>
      <c r="E12007" t="s">
        <v>21</v>
      </c>
      <c r="F12007">
        <v>0</v>
      </c>
      <c r="G12007">
        <v>0</v>
      </c>
      <c r="H12007">
        <v>5</v>
      </c>
      <c r="I12007" s="3">
        <v>9493.75</v>
      </c>
      <c r="J12007" s="3">
        <v>1805.53</v>
      </c>
      <c r="L12007">
        <v>51</v>
      </c>
      <c r="M12007" t="s">
        <v>11789</v>
      </c>
      <c r="N12007" t="s">
        <v>30</v>
      </c>
      <c r="O12007" t="s">
        <v>31</v>
      </c>
      <c r="P12007" t="str">
        <f>"15210"</f>
        <v>15210</v>
      </c>
    </row>
    <row r="12008" spans="1:16" x14ac:dyDescent="0.25">
      <c r="A12008" t="str">
        <f>"1180015H00340    00"</f>
        <v>1180015H00340    00</v>
      </c>
      <c r="B12008" t="s">
        <v>26027</v>
      </c>
      <c r="C12008" t="s">
        <v>24836</v>
      </c>
      <c r="D12008" t="s">
        <v>20</v>
      </c>
      <c r="E12008" t="s">
        <v>21</v>
      </c>
      <c r="F12008">
        <v>0</v>
      </c>
      <c r="G12008">
        <v>0</v>
      </c>
      <c r="H12008">
        <v>1</v>
      </c>
      <c r="I12008" s="3">
        <v>167.73</v>
      </c>
      <c r="J12008" s="3">
        <v>0</v>
      </c>
      <c r="L12008">
        <v>744</v>
      </c>
      <c r="M12008" t="s">
        <v>23227</v>
      </c>
      <c r="N12008" t="s">
        <v>30</v>
      </c>
      <c r="O12008" t="s">
        <v>31</v>
      </c>
      <c r="P12008" t="str">
        <f>"15210"</f>
        <v>15210</v>
      </c>
    </row>
    <row r="12009" spans="1:16" x14ac:dyDescent="0.25">
      <c r="A12009" t="str">
        <f>"1180015H00341    00"</f>
        <v>1180015H00341    00</v>
      </c>
      <c r="B12009" t="s">
        <v>26027</v>
      </c>
      <c r="C12009" t="s">
        <v>24836</v>
      </c>
      <c r="D12009" t="s">
        <v>20</v>
      </c>
      <c r="E12009" t="s">
        <v>21</v>
      </c>
      <c r="F12009">
        <v>0</v>
      </c>
      <c r="G12009">
        <v>0</v>
      </c>
      <c r="H12009">
        <v>1</v>
      </c>
      <c r="I12009" s="3">
        <v>137.22999999999999</v>
      </c>
      <c r="J12009" s="3">
        <v>0</v>
      </c>
      <c r="L12009">
        <v>744</v>
      </c>
      <c r="M12009" t="s">
        <v>23227</v>
      </c>
      <c r="N12009" t="s">
        <v>30</v>
      </c>
      <c r="O12009" t="s">
        <v>31</v>
      </c>
      <c r="P12009" t="str">
        <f>"15210"</f>
        <v>15210</v>
      </c>
    </row>
    <row r="12010" spans="1:16" x14ac:dyDescent="0.25">
      <c r="A12010" t="str">
        <f>"1180015K00006    00"</f>
        <v>1180015K00006    00</v>
      </c>
      <c r="B12010" t="s">
        <v>26504</v>
      </c>
      <c r="C12010" t="s">
        <v>26505</v>
      </c>
      <c r="D12010" t="s">
        <v>20</v>
      </c>
      <c r="E12010" t="s">
        <v>39</v>
      </c>
      <c r="F12010">
        <v>0</v>
      </c>
      <c r="G12010">
        <v>0</v>
      </c>
      <c r="H12010">
        <v>1</v>
      </c>
      <c r="I12010" s="3">
        <v>337.51</v>
      </c>
      <c r="J12010" s="3">
        <v>0</v>
      </c>
      <c r="K12010" t="s">
        <v>26506</v>
      </c>
      <c r="L12010">
        <v>2726</v>
      </c>
      <c r="M12010" t="s">
        <v>15633</v>
      </c>
      <c r="N12010" t="s">
        <v>30</v>
      </c>
      <c r="O12010" t="s">
        <v>31</v>
      </c>
      <c r="P12010" t="str">
        <f>"15204"</f>
        <v>15204</v>
      </c>
    </row>
    <row r="12011" spans="1:16" x14ac:dyDescent="0.25">
      <c r="A12011" t="str">
        <f>"1180015K00012    00"</f>
        <v>1180015K00012    00</v>
      </c>
      <c r="B12011" t="s">
        <v>26507</v>
      </c>
      <c r="C12011" t="s">
        <v>26508</v>
      </c>
      <c r="D12011" t="s">
        <v>20</v>
      </c>
      <c r="E12011" t="s">
        <v>39</v>
      </c>
      <c r="F12011">
        <v>0</v>
      </c>
      <c r="G12011">
        <v>0</v>
      </c>
      <c r="H12011">
        <v>2</v>
      </c>
      <c r="I12011" s="3">
        <v>88.12</v>
      </c>
      <c r="J12011" s="3">
        <v>0</v>
      </c>
      <c r="L12011">
        <v>431</v>
      </c>
      <c r="M12011" t="s">
        <v>23227</v>
      </c>
      <c r="N12011" t="s">
        <v>30</v>
      </c>
      <c r="O12011" t="s">
        <v>31</v>
      </c>
      <c r="P12011" t="str">
        <f>"15210"</f>
        <v>15210</v>
      </c>
    </row>
    <row r="12012" spans="1:16" x14ac:dyDescent="0.25">
      <c r="A12012" t="str">
        <f>"1180015K00042    00"</f>
        <v>1180015K00042    00</v>
      </c>
      <c r="B12012" t="s">
        <v>26509</v>
      </c>
      <c r="C12012" t="s">
        <v>26510</v>
      </c>
      <c r="D12012" t="s">
        <v>20</v>
      </c>
      <c r="E12012" t="s">
        <v>39</v>
      </c>
      <c r="F12012">
        <v>0</v>
      </c>
      <c r="G12012">
        <v>0</v>
      </c>
      <c r="H12012">
        <v>2</v>
      </c>
      <c r="I12012" s="3">
        <v>190.3</v>
      </c>
      <c r="J12012" s="3">
        <v>0</v>
      </c>
      <c r="L12012">
        <v>5</v>
      </c>
      <c r="M12012" t="s">
        <v>25529</v>
      </c>
      <c r="N12012" t="s">
        <v>30</v>
      </c>
      <c r="O12012" t="s">
        <v>31</v>
      </c>
      <c r="P12012" t="str">
        <f>"15210"</f>
        <v>15210</v>
      </c>
    </row>
    <row r="12013" spans="1:16" x14ac:dyDescent="0.25">
      <c r="A12013" t="str">
        <f>"1180015K00046    00"</f>
        <v>1180015K00046    00</v>
      </c>
      <c r="B12013" t="s">
        <v>26511</v>
      </c>
      <c r="C12013" t="s">
        <v>26512</v>
      </c>
      <c r="D12013" t="s">
        <v>20</v>
      </c>
      <c r="E12013" t="s">
        <v>39</v>
      </c>
      <c r="F12013">
        <v>0</v>
      </c>
      <c r="G12013">
        <v>0</v>
      </c>
      <c r="H12013">
        <v>1</v>
      </c>
      <c r="I12013" s="3">
        <v>631.37</v>
      </c>
      <c r="J12013" s="3">
        <v>0</v>
      </c>
      <c r="L12013">
        <v>513</v>
      </c>
      <c r="M12013" t="s">
        <v>25563</v>
      </c>
      <c r="N12013" t="s">
        <v>30</v>
      </c>
      <c r="O12013" t="s">
        <v>31</v>
      </c>
      <c r="P12013" t="str">
        <f>"15210"</f>
        <v>15210</v>
      </c>
    </row>
    <row r="12014" spans="1:16" x14ac:dyDescent="0.25">
      <c r="A12014" t="str">
        <f>"1180015K00047    00"</f>
        <v>1180015K00047    00</v>
      </c>
      <c r="B12014" t="s">
        <v>26511</v>
      </c>
      <c r="C12014" t="s">
        <v>26512</v>
      </c>
      <c r="D12014" t="s">
        <v>20</v>
      </c>
      <c r="E12014" t="s">
        <v>39</v>
      </c>
      <c r="F12014">
        <v>0</v>
      </c>
      <c r="G12014">
        <v>0</v>
      </c>
      <c r="H12014">
        <v>1</v>
      </c>
      <c r="I12014" s="3">
        <v>64.8</v>
      </c>
      <c r="J12014" s="3">
        <v>0</v>
      </c>
      <c r="L12014">
        <v>513</v>
      </c>
      <c r="M12014" t="s">
        <v>25563</v>
      </c>
      <c r="N12014" t="s">
        <v>30</v>
      </c>
      <c r="O12014" t="s">
        <v>31</v>
      </c>
      <c r="P12014" t="str">
        <f>"15210"</f>
        <v>15210</v>
      </c>
    </row>
    <row r="12015" spans="1:16" x14ac:dyDescent="0.25">
      <c r="A12015" t="str">
        <f>"1180015K00051    00"</f>
        <v>1180015K00051    00</v>
      </c>
      <c r="B12015" t="s">
        <v>26513</v>
      </c>
      <c r="C12015" t="s">
        <v>26514</v>
      </c>
      <c r="D12015" t="s">
        <v>20</v>
      </c>
      <c r="E12015" t="s">
        <v>39</v>
      </c>
      <c r="F12015">
        <v>0</v>
      </c>
      <c r="G12015">
        <v>0</v>
      </c>
      <c r="H12015">
        <v>2</v>
      </c>
      <c r="I12015" s="3">
        <v>1097.8399999999999</v>
      </c>
      <c r="J12015" s="3">
        <v>0</v>
      </c>
      <c r="K12015" t="s">
        <v>26515</v>
      </c>
      <c r="L12015">
        <v>3117</v>
      </c>
      <c r="M12015" t="s">
        <v>26516</v>
      </c>
      <c r="N12015" t="s">
        <v>30</v>
      </c>
      <c r="O12015" t="s">
        <v>31</v>
      </c>
      <c r="P12015" t="str">
        <f>"15204"</f>
        <v>15204</v>
      </c>
    </row>
    <row r="12016" spans="1:16" x14ac:dyDescent="0.25">
      <c r="A12016" t="str">
        <f>"1180015K00066    00"</f>
        <v>1180015K00066    00</v>
      </c>
      <c r="B12016" t="s">
        <v>26517</v>
      </c>
      <c r="C12016" t="s">
        <v>26518</v>
      </c>
      <c r="D12016" t="s">
        <v>20</v>
      </c>
      <c r="E12016" t="s">
        <v>39</v>
      </c>
      <c r="F12016">
        <v>0</v>
      </c>
      <c r="G12016">
        <v>0</v>
      </c>
      <c r="H12016">
        <v>3</v>
      </c>
      <c r="I12016" s="3">
        <v>1713.69</v>
      </c>
      <c r="J12016" s="3">
        <v>186</v>
      </c>
      <c r="L12016">
        <v>313</v>
      </c>
      <c r="M12016" t="s">
        <v>25563</v>
      </c>
      <c r="N12016" t="s">
        <v>30</v>
      </c>
      <c r="O12016" t="s">
        <v>31</v>
      </c>
      <c r="P12016" t="str">
        <f>"15210"</f>
        <v>15210</v>
      </c>
    </row>
    <row r="12017" spans="1:16" x14ac:dyDescent="0.25">
      <c r="A12017" t="str">
        <f>"1180015K00068    00"</f>
        <v>1180015K00068    00</v>
      </c>
      <c r="B12017" t="s">
        <v>26519</v>
      </c>
      <c r="C12017" t="s">
        <v>26520</v>
      </c>
      <c r="D12017" t="s">
        <v>20</v>
      </c>
      <c r="E12017" t="s">
        <v>39</v>
      </c>
      <c r="F12017">
        <v>0</v>
      </c>
      <c r="G12017">
        <v>0</v>
      </c>
      <c r="H12017">
        <v>1</v>
      </c>
      <c r="I12017" s="3">
        <v>301.14</v>
      </c>
      <c r="J12017" s="3">
        <v>0</v>
      </c>
      <c r="K12017" t="s">
        <v>26521</v>
      </c>
      <c r="L12017">
        <v>309</v>
      </c>
      <c r="M12017" t="s">
        <v>26522</v>
      </c>
      <c r="N12017" t="s">
        <v>30</v>
      </c>
      <c r="O12017" t="s">
        <v>31</v>
      </c>
      <c r="P12017" t="str">
        <f>"15210"</f>
        <v>15210</v>
      </c>
    </row>
    <row r="12018" spans="1:16" x14ac:dyDescent="0.25">
      <c r="A12018" t="str">
        <f>"1180015K00072    00"</f>
        <v>1180015K00072    00</v>
      </c>
      <c r="B12018" t="s">
        <v>26523</v>
      </c>
      <c r="C12018" t="s">
        <v>26255</v>
      </c>
      <c r="D12018" t="s">
        <v>20</v>
      </c>
      <c r="E12018" t="s">
        <v>39</v>
      </c>
      <c r="F12018">
        <v>0</v>
      </c>
      <c r="G12018">
        <v>0</v>
      </c>
      <c r="H12018">
        <v>18</v>
      </c>
      <c r="I12018" s="3">
        <v>264.36</v>
      </c>
      <c r="J12018" s="3">
        <v>252.63</v>
      </c>
      <c r="K12018" t="s">
        <v>26524</v>
      </c>
      <c r="L12018">
        <v>134</v>
      </c>
      <c r="M12018" t="s">
        <v>26525</v>
      </c>
      <c r="N12018" t="s">
        <v>26526</v>
      </c>
      <c r="O12018" t="s">
        <v>423</v>
      </c>
      <c r="P12018" t="str">
        <f>"08824"</f>
        <v>08824</v>
      </c>
    </row>
    <row r="12019" spans="1:16" x14ac:dyDescent="0.25">
      <c r="A12019" t="str">
        <f>"1180015K00072000100"</f>
        <v>1180015K00072000100</v>
      </c>
      <c r="B12019" t="s">
        <v>26527</v>
      </c>
      <c r="C12019" t="s">
        <v>26528</v>
      </c>
      <c r="D12019" t="s">
        <v>20</v>
      </c>
      <c r="E12019" t="s">
        <v>39</v>
      </c>
      <c r="F12019">
        <v>0</v>
      </c>
      <c r="G12019">
        <v>0</v>
      </c>
      <c r="H12019">
        <v>9</v>
      </c>
      <c r="I12019" s="3">
        <v>658.3</v>
      </c>
      <c r="J12019" s="3">
        <v>614.91</v>
      </c>
      <c r="L12019">
        <v>261</v>
      </c>
      <c r="M12019" t="s">
        <v>25563</v>
      </c>
      <c r="N12019" t="s">
        <v>30</v>
      </c>
      <c r="O12019" t="s">
        <v>31</v>
      </c>
      <c r="P12019" t="str">
        <f>"15210"</f>
        <v>15210</v>
      </c>
    </row>
    <row r="12020" spans="1:16" x14ac:dyDescent="0.25">
      <c r="A12020" t="str">
        <f>"1180015K00072000200"</f>
        <v>1180015K00072000200</v>
      </c>
      <c r="B12020" t="s">
        <v>26529</v>
      </c>
      <c r="C12020" t="s">
        <v>26530</v>
      </c>
      <c r="D12020" t="s">
        <v>20</v>
      </c>
      <c r="E12020" t="s">
        <v>39</v>
      </c>
      <c r="F12020">
        <v>0</v>
      </c>
      <c r="G12020">
        <v>0</v>
      </c>
      <c r="H12020">
        <v>19</v>
      </c>
      <c r="I12020" s="3">
        <v>6076.46</v>
      </c>
      <c r="J12020" s="3">
        <v>5539.75</v>
      </c>
      <c r="L12020">
        <v>263</v>
      </c>
      <c r="M12020" t="s">
        <v>25563</v>
      </c>
      <c r="N12020" t="s">
        <v>30</v>
      </c>
      <c r="O12020" t="s">
        <v>31</v>
      </c>
      <c r="P12020" t="str">
        <f>"15210"</f>
        <v>15210</v>
      </c>
    </row>
    <row r="12021" spans="1:16" x14ac:dyDescent="0.25">
      <c r="A12021" t="str">
        <f>"1180015K00072000400"</f>
        <v>1180015K00072000400</v>
      </c>
      <c r="B12021" t="s">
        <v>26531</v>
      </c>
      <c r="C12021" t="s">
        <v>26532</v>
      </c>
      <c r="D12021" t="s">
        <v>20</v>
      </c>
      <c r="E12021" t="s">
        <v>39</v>
      </c>
      <c r="F12021">
        <v>0</v>
      </c>
      <c r="G12021">
        <v>0</v>
      </c>
      <c r="H12021">
        <v>1</v>
      </c>
      <c r="I12021" s="3">
        <v>295.44</v>
      </c>
      <c r="J12021" s="3">
        <v>0</v>
      </c>
      <c r="L12021">
        <v>1525</v>
      </c>
      <c r="M12021" t="s">
        <v>22739</v>
      </c>
      <c r="N12021" t="s">
        <v>30</v>
      </c>
      <c r="O12021" t="s">
        <v>31</v>
      </c>
      <c r="P12021" t="str">
        <f>"15235"</f>
        <v>15235</v>
      </c>
    </row>
    <row r="12022" spans="1:16" x14ac:dyDescent="0.25">
      <c r="A12022" t="str">
        <f>"1180015K00100    00"</f>
        <v>1180015K00100    00</v>
      </c>
      <c r="B12022" t="s">
        <v>26533</v>
      </c>
      <c r="C12022" t="s">
        <v>26255</v>
      </c>
      <c r="D12022" t="s">
        <v>20</v>
      </c>
      <c r="E12022" t="s">
        <v>39</v>
      </c>
      <c r="F12022">
        <v>0</v>
      </c>
      <c r="G12022">
        <v>0</v>
      </c>
      <c r="H12022">
        <v>13</v>
      </c>
      <c r="I12022" s="3">
        <v>256.45999999999998</v>
      </c>
      <c r="J12022" s="3">
        <v>145.27000000000001</v>
      </c>
      <c r="L12022">
        <v>179</v>
      </c>
      <c r="M12022" t="s">
        <v>26534</v>
      </c>
      <c r="N12022" t="s">
        <v>526</v>
      </c>
      <c r="O12022" t="s">
        <v>31</v>
      </c>
      <c r="P12022" t="str">
        <f>"15301"</f>
        <v>15301</v>
      </c>
    </row>
    <row r="12023" spans="1:16" x14ac:dyDescent="0.25">
      <c r="A12023" t="str">
        <f>"1180015K00101    00"</f>
        <v>1180015K00101    00</v>
      </c>
      <c r="B12023" t="s">
        <v>26535</v>
      </c>
      <c r="C12023" t="s">
        <v>26536</v>
      </c>
      <c r="D12023" t="s">
        <v>20</v>
      </c>
      <c r="E12023" t="s">
        <v>39</v>
      </c>
      <c r="F12023">
        <v>0</v>
      </c>
      <c r="G12023">
        <v>0</v>
      </c>
      <c r="H12023">
        <v>14</v>
      </c>
      <c r="I12023" s="3">
        <v>4741.9799999999996</v>
      </c>
      <c r="J12023" s="3">
        <v>3221.38</v>
      </c>
      <c r="K12023" t="s">
        <v>26537</v>
      </c>
      <c r="L12023">
        <v>213</v>
      </c>
      <c r="M12023" t="s">
        <v>25563</v>
      </c>
      <c r="N12023" t="s">
        <v>30</v>
      </c>
      <c r="O12023" t="s">
        <v>31</v>
      </c>
      <c r="P12023" t="str">
        <f t="shared" ref="P12023:P12028" si="144">"15210"</f>
        <v>15210</v>
      </c>
    </row>
    <row r="12024" spans="1:16" x14ac:dyDescent="0.25">
      <c r="A12024" t="str">
        <f>"1180015K00105    00"</f>
        <v>1180015K00105    00</v>
      </c>
      <c r="B12024" t="s">
        <v>26538</v>
      </c>
      <c r="C12024" t="s">
        <v>26539</v>
      </c>
      <c r="D12024" t="s">
        <v>20</v>
      </c>
      <c r="E12024" t="s">
        <v>39</v>
      </c>
      <c r="F12024">
        <v>0</v>
      </c>
      <c r="G12024">
        <v>0</v>
      </c>
      <c r="H12024">
        <v>17</v>
      </c>
      <c r="I12024" s="3">
        <v>11111.7</v>
      </c>
      <c r="J12024" s="3">
        <v>10189.34</v>
      </c>
      <c r="L12024">
        <v>57</v>
      </c>
      <c r="M12024" t="s">
        <v>11789</v>
      </c>
      <c r="N12024" t="s">
        <v>30</v>
      </c>
      <c r="O12024" t="s">
        <v>31</v>
      </c>
      <c r="P12024" t="str">
        <f t="shared" si="144"/>
        <v>15210</v>
      </c>
    </row>
    <row r="12025" spans="1:16" x14ac:dyDescent="0.25">
      <c r="A12025" t="str">
        <f>"1180015K00111    00"</f>
        <v>1180015K00111    00</v>
      </c>
      <c r="B12025" t="s">
        <v>26540</v>
      </c>
      <c r="C12025" t="s">
        <v>26541</v>
      </c>
      <c r="D12025" t="s">
        <v>20</v>
      </c>
      <c r="E12025" t="s">
        <v>39</v>
      </c>
      <c r="F12025">
        <v>0</v>
      </c>
      <c r="G12025">
        <v>0</v>
      </c>
      <c r="H12025">
        <v>5</v>
      </c>
      <c r="I12025" s="3">
        <v>828.97</v>
      </c>
      <c r="J12025" s="3">
        <v>143.21</v>
      </c>
      <c r="K12025" t="s">
        <v>26542</v>
      </c>
      <c r="L12025">
        <v>301</v>
      </c>
      <c r="M12025" t="s">
        <v>20816</v>
      </c>
      <c r="N12025" t="s">
        <v>30</v>
      </c>
      <c r="O12025" t="s">
        <v>31</v>
      </c>
      <c r="P12025" t="str">
        <f t="shared" si="144"/>
        <v>15210</v>
      </c>
    </row>
    <row r="12026" spans="1:16" x14ac:dyDescent="0.25">
      <c r="A12026" t="str">
        <f>"1180015K00114    00"</f>
        <v>1180015K00114    00</v>
      </c>
      <c r="B12026" t="s">
        <v>26543</v>
      </c>
      <c r="C12026" t="s">
        <v>26544</v>
      </c>
      <c r="D12026" t="s">
        <v>20</v>
      </c>
      <c r="E12026" t="s">
        <v>39</v>
      </c>
      <c r="F12026">
        <v>0</v>
      </c>
      <c r="G12026">
        <v>0</v>
      </c>
      <c r="H12026">
        <v>18</v>
      </c>
      <c r="I12026" s="3">
        <v>2528.83</v>
      </c>
      <c r="J12026" s="3">
        <v>3573.93</v>
      </c>
      <c r="L12026">
        <v>212</v>
      </c>
      <c r="M12026" t="s">
        <v>20816</v>
      </c>
      <c r="N12026" t="s">
        <v>30</v>
      </c>
      <c r="O12026" t="s">
        <v>31</v>
      </c>
      <c r="P12026" t="str">
        <f t="shared" si="144"/>
        <v>15210</v>
      </c>
    </row>
    <row r="12027" spans="1:16" x14ac:dyDescent="0.25">
      <c r="A12027" t="str">
        <f>"1180015K00116    00"</f>
        <v>1180015K00116    00</v>
      </c>
      <c r="B12027" t="s">
        <v>26540</v>
      </c>
      <c r="C12027" t="s">
        <v>25562</v>
      </c>
      <c r="D12027" t="s">
        <v>20</v>
      </c>
      <c r="E12027" t="s">
        <v>39</v>
      </c>
      <c r="F12027">
        <v>0</v>
      </c>
      <c r="G12027">
        <v>0</v>
      </c>
      <c r="H12027">
        <v>5</v>
      </c>
      <c r="I12027" s="3">
        <v>243.64</v>
      </c>
      <c r="J12027" s="3">
        <v>43.14</v>
      </c>
      <c r="L12027">
        <v>301</v>
      </c>
      <c r="M12027" t="s">
        <v>20816</v>
      </c>
      <c r="N12027" t="s">
        <v>30</v>
      </c>
      <c r="O12027" t="s">
        <v>31</v>
      </c>
      <c r="P12027" t="str">
        <f t="shared" si="144"/>
        <v>15210</v>
      </c>
    </row>
    <row r="12028" spans="1:16" x14ac:dyDescent="0.25">
      <c r="A12028" t="str">
        <f>"1180015K00117    00"</f>
        <v>1180015K00117    00</v>
      </c>
      <c r="B12028" t="s">
        <v>26540</v>
      </c>
      <c r="C12028" t="s">
        <v>25562</v>
      </c>
      <c r="D12028" t="s">
        <v>20</v>
      </c>
      <c r="E12028" t="s">
        <v>39</v>
      </c>
      <c r="F12028">
        <v>0</v>
      </c>
      <c r="G12028">
        <v>0</v>
      </c>
      <c r="H12028">
        <v>5</v>
      </c>
      <c r="I12028" s="3">
        <v>56.24</v>
      </c>
      <c r="J12028" s="3">
        <v>9.9600000000000009</v>
      </c>
      <c r="L12028">
        <v>301</v>
      </c>
      <c r="M12028" t="s">
        <v>20816</v>
      </c>
      <c r="N12028" t="s">
        <v>30</v>
      </c>
      <c r="O12028" t="s">
        <v>31</v>
      </c>
      <c r="P12028" t="str">
        <f t="shared" si="144"/>
        <v>15210</v>
      </c>
    </row>
    <row r="12029" spans="1:16" x14ac:dyDescent="0.25">
      <c r="A12029" t="str">
        <f>"1180015K00118    00"</f>
        <v>1180015K00118    00</v>
      </c>
      <c r="B12029" t="s">
        <v>25564</v>
      </c>
      <c r="C12029" t="s">
        <v>25562</v>
      </c>
      <c r="D12029" t="s">
        <v>20</v>
      </c>
      <c r="E12029" t="s">
        <v>39</v>
      </c>
      <c r="F12029">
        <v>0</v>
      </c>
      <c r="G12029">
        <v>0</v>
      </c>
      <c r="H12029">
        <v>9</v>
      </c>
      <c r="I12029" s="3">
        <v>99.8</v>
      </c>
      <c r="J12029" s="3">
        <v>38.08</v>
      </c>
      <c r="K12029" t="s">
        <v>25566</v>
      </c>
      <c r="L12029">
        <v>614</v>
      </c>
      <c r="M12029" t="s">
        <v>25567</v>
      </c>
      <c r="N12029" t="s">
        <v>30</v>
      </c>
      <c r="O12029" t="s">
        <v>31</v>
      </c>
      <c r="P12029" t="str">
        <f>"15220"</f>
        <v>15220</v>
      </c>
    </row>
    <row r="12030" spans="1:16" x14ac:dyDescent="0.25">
      <c r="A12030" t="str">
        <f>"1180015K00119    00"</f>
        <v>1180015K00119    00</v>
      </c>
      <c r="B12030" t="s">
        <v>26545</v>
      </c>
      <c r="C12030" t="s">
        <v>25562</v>
      </c>
      <c r="E12030" t="s">
        <v>39</v>
      </c>
      <c r="F12030">
        <v>0</v>
      </c>
      <c r="G12030">
        <v>0</v>
      </c>
      <c r="H12030">
        <v>7</v>
      </c>
      <c r="I12030" s="3">
        <v>335.65</v>
      </c>
      <c r="J12030" s="3">
        <v>127.3</v>
      </c>
      <c r="K12030" t="s">
        <v>26546</v>
      </c>
      <c r="L12030">
        <v>1700</v>
      </c>
      <c r="M12030" t="s">
        <v>26547</v>
      </c>
      <c r="N12030" t="s">
        <v>5166</v>
      </c>
      <c r="O12030" t="s">
        <v>1413</v>
      </c>
      <c r="P12030" t="str">
        <f>"27608"</f>
        <v>27608</v>
      </c>
    </row>
    <row r="12031" spans="1:16" x14ac:dyDescent="0.25">
      <c r="A12031" t="str">
        <f>"1180015K00120    00"</f>
        <v>1180015K00120    00</v>
      </c>
      <c r="B12031" t="s">
        <v>26548</v>
      </c>
      <c r="C12031" t="s">
        <v>25562</v>
      </c>
      <c r="D12031" t="s">
        <v>20</v>
      </c>
      <c r="E12031" t="s">
        <v>39</v>
      </c>
      <c r="F12031">
        <v>0</v>
      </c>
      <c r="G12031">
        <v>0</v>
      </c>
      <c r="H12031">
        <v>15</v>
      </c>
      <c r="I12031" s="3">
        <v>1071.03</v>
      </c>
      <c r="J12031" s="3">
        <v>1645.55</v>
      </c>
      <c r="L12031">
        <v>35</v>
      </c>
      <c r="M12031" t="s">
        <v>11789</v>
      </c>
      <c r="N12031" t="s">
        <v>30</v>
      </c>
      <c r="O12031" t="s">
        <v>31</v>
      </c>
      <c r="P12031" t="str">
        <f>"15210"</f>
        <v>15210</v>
      </c>
    </row>
    <row r="12032" spans="1:16" x14ac:dyDescent="0.25">
      <c r="A12032" t="str">
        <f>"1180015K00126    00"</f>
        <v>1180015K00126    00</v>
      </c>
      <c r="B12032" t="s">
        <v>26549</v>
      </c>
      <c r="C12032" t="s">
        <v>25562</v>
      </c>
      <c r="D12032" t="s">
        <v>20</v>
      </c>
      <c r="E12032" t="s">
        <v>39</v>
      </c>
      <c r="F12032">
        <v>0</v>
      </c>
      <c r="G12032">
        <v>0</v>
      </c>
      <c r="H12032">
        <v>19</v>
      </c>
      <c r="I12032" s="3">
        <v>3186.24</v>
      </c>
      <c r="J12032" s="3">
        <v>3853.2</v>
      </c>
      <c r="K12032" t="s">
        <v>26550</v>
      </c>
      <c r="L12032">
        <v>29</v>
      </c>
      <c r="M12032" t="s">
        <v>26551</v>
      </c>
      <c r="N12032" t="s">
        <v>30</v>
      </c>
      <c r="O12032" t="s">
        <v>31</v>
      </c>
      <c r="P12032" t="str">
        <f>"15210"</f>
        <v>15210</v>
      </c>
    </row>
    <row r="12033" spans="1:16" x14ac:dyDescent="0.25">
      <c r="A12033" t="str">
        <f>"1180015K00130    00"</f>
        <v>1180015K00130    00</v>
      </c>
      <c r="B12033" t="s">
        <v>26552</v>
      </c>
      <c r="C12033" t="s">
        <v>26553</v>
      </c>
      <c r="D12033" t="s">
        <v>20</v>
      </c>
      <c r="E12033" t="s">
        <v>39</v>
      </c>
      <c r="F12033">
        <v>0</v>
      </c>
      <c r="G12033">
        <v>0</v>
      </c>
      <c r="H12033">
        <v>16</v>
      </c>
      <c r="I12033" s="3">
        <v>8813.4</v>
      </c>
      <c r="J12033" s="3">
        <v>7034.34</v>
      </c>
      <c r="L12033">
        <v>10</v>
      </c>
      <c r="M12033" t="s">
        <v>11789</v>
      </c>
      <c r="N12033" t="s">
        <v>30</v>
      </c>
      <c r="O12033" t="s">
        <v>31</v>
      </c>
      <c r="P12033" t="str">
        <f>"15210"</f>
        <v>15210</v>
      </c>
    </row>
    <row r="12034" spans="1:16" x14ac:dyDescent="0.25">
      <c r="A12034" t="str">
        <f>"1180015K00133    00"</f>
        <v>1180015K00133    00</v>
      </c>
      <c r="B12034" t="s">
        <v>26513</v>
      </c>
      <c r="C12034" t="s">
        <v>26554</v>
      </c>
      <c r="D12034" t="s">
        <v>20</v>
      </c>
      <c r="E12034" t="s">
        <v>39</v>
      </c>
      <c r="F12034">
        <v>0</v>
      </c>
      <c r="G12034">
        <v>0</v>
      </c>
      <c r="H12034">
        <v>3</v>
      </c>
      <c r="I12034" s="3">
        <v>933.92</v>
      </c>
      <c r="J12034" s="3">
        <v>12.65</v>
      </c>
      <c r="K12034" t="s">
        <v>26515</v>
      </c>
      <c r="L12034">
        <v>216</v>
      </c>
      <c r="M12034" t="s">
        <v>15694</v>
      </c>
      <c r="N12034" t="s">
        <v>30</v>
      </c>
      <c r="O12034" t="s">
        <v>31</v>
      </c>
      <c r="P12034" t="str">
        <f>"15205"</f>
        <v>15205</v>
      </c>
    </row>
    <row r="12035" spans="1:16" x14ac:dyDescent="0.25">
      <c r="A12035" t="str">
        <f>"1180015K00134    00"</f>
        <v>1180015K00134    00</v>
      </c>
      <c r="B12035" t="s">
        <v>26555</v>
      </c>
      <c r="C12035" t="s">
        <v>26556</v>
      </c>
      <c r="D12035" t="s">
        <v>20</v>
      </c>
      <c r="E12035" t="s">
        <v>39</v>
      </c>
      <c r="F12035">
        <v>0</v>
      </c>
      <c r="G12035">
        <v>0</v>
      </c>
      <c r="H12035">
        <v>14</v>
      </c>
      <c r="I12035" s="3">
        <v>2985.88</v>
      </c>
      <c r="J12035" s="3">
        <v>1929.34</v>
      </c>
      <c r="K12035" t="s">
        <v>26557</v>
      </c>
      <c r="L12035">
        <v>16</v>
      </c>
      <c r="M12035" t="s">
        <v>11789</v>
      </c>
      <c r="N12035" t="s">
        <v>30</v>
      </c>
      <c r="O12035" t="s">
        <v>31</v>
      </c>
      <c r="P12035" t="str">
        <f t="shared" ref="P12035:P12045" si="145">"15210"</f>
        <v>15210</v>
      </c>
    </row>
    <row r="12036" spans="1:16" x14ac:dyDescent="0.25">
      <c r="A12036" t="str">
        <f>"1180015K00136    00"</f>
        <v>1180015K00136    00</v>
      </c>
      <c r="B12036" t="s">
        <v>26558</v>
      </c>
      <c r="C12036" t="s">
        <v>25562</v>
      </c>
      <c r="D12036" t="s">
        <v>20</v>
      </c>
      <c r="E12036" t="s">
        <v>39</v>
      </c>
      <c r="F12036">
        <v>0</v>
      </c>
      <c r="G12036">
        <v>0</v>
      </c>
      <c r="H12036">
        <v>19</v>
      </c>
      <c r="I12036" s="3">
        <v>2475.0500000000002</v>
      </c>
      <c r="J12036" s="3">
        <v>3186.52</v>
      </c>
      <c r="L12036">
        <v>20</v>
      </c>
      <c r="M12036" t="s">
        <v>11789</v>
      </c>
      <c r="N12036" t="s">
        <v>30</v>
      </c>
      <c r="O12036" t="s">
        <v>31</v>
      </c>
      <c r="P12036" t="str">
        <f t="shared" si="145"/>
        <v>15210</v>
      </c>
    </row>
    <row r="12037" spans="1:16" x14ac:dyDescent="0.25">
      <c r="A12037" t="str">
        <f>"1180015K00137    00"</f>
        <v>1180015K00137    00</v>
      </c>
      <c r="B12037" t="s">
        <v>26559</v>
      </c>
      <c r="C12037" t="s">
        <v>25562</v>
      </c>
      <c r="D12037" t="s">
        <v>20</v>
      </c>
      <c r="E12037" t="s">
        <v>39</v>
      </c>
      <c r="F12037">
        <v>0</v>
      </c>
      <c r="G12037">
        <v>0</v>
      </c>
      <c r="H12037">
        <v>19</v>
      </c>
      <c r="I12037" s="3">
        <v>367.5</v>
      </c>
      <c r="J12037" s="3">
        <v>329.21</v>
      </c>
      <c r="K12037" t="s">
        <v>1037</v>
      </c>
      <c r="L12037">
        <v>22</v>
      </c>
      <c r="M12037" t="s">
        <v>11789</v>
      </c>
      <c r="N12037" t="s">
        <v>30</v>
      </c>
      <c r="O12037" t="s">
        <v>31</v>
      </c>
      <c r="P12037" t="str">
        <f t="shared" si="145"/>
        <v>15210</v>
      </c>
    </row>
    <row r="12038" spans="1:16" x14ac:dyDescent="0.25">
      <c r="A12038" t="str">
        <f>"1180015K00138    00"</f>
        <v>1180015K00138    00</v>
      </c>
      <c r="B12038" t="s">
        <v>26560</v>
      </c>
      <c r="C12038" t="s">
        <v>25562</v>
      </c>
      <c r="D12038" t="s">
        <v>20</v>
      </c>
      <c r="E12038" t="s">
        <v>39</v>
      </c>
      <c r="F12038">
        <v>0</v>
      </c>
      <c r="G12038">
        <v>0</v>
      </c>
      <c r="H12038">
        <v>19</v>
      </c>
      <c r="I12038" s="3">
        <v>279.7</v>
      </c>
      <c r="J12038" s="3">
        <v>282.8</v>
      </c>
      <c r="L12038">
        <v>24</v>
      </c>
      <c r="M12038" t="s">
        <v>11789</v>
      </c>
      <c r="N12038" t="s">
        <v>30</v>
      </c>
      <c r="O12038" t="s">
        <v>31</v>
      </c>
      <c r="P12038" t="str">
        <f t="shared" si="145"/>
        <v>15210</v>
      </c>
    </row>
    <row r="12039" spans="1:16" x14ac:dyDescent="0.25">
      <c r="A12039" t="str">
        <f>"1180015K00139    00"</f>
        <v>1180015K00139    00</v>
      </c>
      <c r="B12039" t="s">
        <v>26561</v>
      </c>
      <c r="C12039" t="s">
        <v>26562</v>
      </c>
      <c r="E12039" t="s">
        <v>39</v>
      </c>
      <c r="F12039">
        <v>0</v>
      </c>
      <c r="G12039">
        <v>0</v>
      </c>
      <c r="H12039">
        <v>7</v>
      </c>
      <c r="I12039" s="3">
        <v>2643.87</v>
      </c>
      <c r="J12039" s="3">
        <v>22.05</v>
      </c>
      <c r="L12039">
        <v>26</v>
      </c>
      <c r="M12039" t="s">
        <v>11789</v>
      </c>
      <c r="N12039" t="s">
        <v>30</v>
      </c>
      <c r="O12039" t="s">
        <v>31</v>
      </c>
      <c r="P12039" t="str">
        <f t="shared" si="145"/>
        <v>15210</v>
      </c>
    </row>
    <row r="12040" spans="1:16" x14ac:dyDescent="0.25">
      <c r="A12040" t="str">
        <f>"1180015K00141    00"</f>
        <v>1180015K00141    00</v>
      </c>
      <c r="B12040" t="s">
        <v>26563</v>
      </c>
      <c r="C12040" t="s">
        <v>25562</v>
      </c>
      <c r="D12040" t="s">
        <v>20</v>
      </c>
      <c r="E12040" t="s">
        <v>39</v>
      </c>
      <c r="F12040">
        <v>0</v>
      </c>
      <c r="G12040">
        <v>0</v>
      </c>
      <c r="H12040">
        <v>19</v>
      </c>
      <c r="I12040" s="3">
        <v>3054.8</v>
      </c>
      <c r="J12040" s="3">
        <v>3950.31</v>
      </c>
      <c r="L12040">
        <v>30</v>
      </c>
      <c r="M12040" t="s">
        <v>11789</v>
      </c>
      <c r="N12040" t="s">
        <v>30</v>
      </c>
      <c r="O12040" t="s">
        <v>31</v>
      </c>
      <c r="P12040" t="str">
        <f t="shared" si="145"/>
        <v>15210</v>
      </c>
    </row>
    <row r="12041" spans="1:16" x14ac:dyDescent="0.25">
      <c r="A12041" t="str">
        <f>"1180015K00142    00"</f>
        <v>1180015K00142    00</v>
      </c>
      <c r="B12041" t="s">
        <v>26564</v>
      </c>
      <c r="C12041" t="s">
        <v>25562</v>
      </c>
      <c r="D12041" t="s">
        <v>20</v>
      </c>
      <c r="E12041" t="s">
        <v>39</v>
      </c>
      <c r="F12041">
        <v>0</v>
      </c>
      <c r="G12041">
        <v>0</v>
      </c>
      <c r="H12041">
        <v>19</v>
      </c>
      <c r="I12041" s="3">
        <v>5948.98</v>
      </c>
      <c r="J12041" s="3">
        <v>8934.44</v>
      </c>
      <c r="L12041">
        <v>32</v>
      </c>
      <c r="M12041" t="s">
        <v>11789</v>
      </c>
      <c r="N12041" t="s">
        <v>30</v>
      </c>
      <c r="O12041" t="s">
        <v>31</v>
      </c>
      <c r="P12041" t="str">
        <f t="shared" si="145"/>
        <v>15210</v>
      </c>
    </row>
    <row r="12042" spans="1:16" x14ac:dyDescent="0.25">
      <c r="A12042" t="str">
        <f>"1180015K00143    00"</f>
        <v>1180015K00143    00</v>
      </c>
      <c r="B12042" t="s">
        <v>26565</v>
      </c>
      <c r="C12042" t="s">
        <v>25562</v>
      </c>
      <c r="D12042" t="s">
        <v>20</v>
      </c>
      <c r="E12042" t="s">
        <v>39</v>
      </c>
      <c r="F12042">
        <v>0</v>
      </c>
      <c r="G12042">
        <v>0</v>
      </c>
      <c r="H12042">
        <v>19</v>
      </c>
      <c r="I12042" s="3">
        <v>316.61</v>
      </c>
      <c r="J12042" s="3">
        <v>338.77</v>
      </c>
      <c r="M12042" t="s">
        <v>26566</v>
      </c>
      <c r="N12042" t="s">
        <v>30</v>
      </c>
      <c r="O12042" t="s">
        <v>31</v>
      </c>
      <c r="P12042" t="str">
        <f t="shared" si="145"/>
        <v>15210</v>
      </c>
    </row>
    <row r="12043" spans="1:16" x14ac:dyDescent="0.25">
      <c r="A12043" t="str">
        <f>"1180015K00144    00"</f>
        <v>1180015K00144    00</v>
      </c>
      <c r="B12043" t="s">
        <v>26567</v>
      </c>
      <c r="C12043" t="s">
        <v>25562</v>
      </c>
      <c r="D12043" t="s">
        <v>20</v>
      </c>
      <c r="E12043" t="s">
        <v>39</v>
      </c>
      <c r="F12043">
        <v>0</v>
      </c>
      <c r="G12043">
        <v>0</v>
      </c>
      <c r="H12043">
        <v>4</v>
      </c>
      <c r="I12043" s="3">
        <v>83.04</v>
      </c>
      <c r="J12043" s="3">
        <v>10.220000000000001</v>
      </c>
      <c r="K12043" t="s">
        <v>26568</v>
      </c>
      <c r="L12043">
        <v>40</v>
      </c>
      <c r="M12043" t="s">
        <v>11789</v>
      </c>
      <c r="N12043" t="s">
        <v>30</v>
      </c>
      <c r="O12043" t="s">
        <v>31</v>
      </c>
      <c r="P12043" t="str">
        <f t="shared" si="145"/>
        <v>15210</v>
      </c>
    </row>
    <row r="12044" spans="1:16" x14ac:dyDescent="0.25">
      <c r="A12044" t="str">
        <f>"1180015K00145    00"</f>
        <v>1180015K00145    00</v>
      </c>
      <c r="B12044" t="s">
        <v>26567</v>
      </c>
      <c r="C12044" t="s">
        <v>26569</v>
      </c>
      <c r="D12044" t="s">
        <v>20</v>
      </c>
      <c r="E12044" t="s">
        <v>39</v>
      </c>
      <c r="F12044">
        <v>0</v>
      </c>
      <c r="G12044">
        <v>0</v>
      </c>
      <c r="H12044">
        <v>8</v>
      </c>
      <c r="I12044" s="3">
        <v>1071.6099999999999</v>
      </c>
      <c r="J12044" s="3">
        <v>379.79</v>
      </c>
      <c r="K12044" t="s">
        <v>26568</v>
      </c>
      <c r="L12044">
        <v>40</v>
      </c>
      <c r="M12044" t="s">
        <v>11789</v>
      </c>
      <c r="N12044" t="s">
        <v>30</v>
      </c>
      <c r="O12044" t="s">
        <v>31</v>
      </c>
      <c r="P12044" t="str">
        <f t="shared" si="145"/>
        <v>15210</v>
      </c>
    </row>
    <row r="12045" spans="1:16" x14ac:dyDescent="0.25">
      <c r="A12045" t="str">
        <f>"1180015K00150    00"</f>
        <v>1180015K00150    00</v>
      </c>
      <c r="B12045" t="s">
        <v>26570</v>
      </c>
      <c r="C12045" t="s">
        <v>26571</v>
      </c>
      <c r="D12045" t="s">
        <v>20</v>
      </c>
      <c r="E12045" t="s">
        <v>39</v>
      </c>
      <c r="F12045">
        <v>0</v>
      </c>
      <c r="G12045">
        <v>0</v>
      </c>
      <c r="H12045">
        <v>2</v>
      </c>
      <c r="I12045" s="3">
        <v>671.92</v>
      </c>
      <c r="J12045" s="3">
        <v>0</v>
      </c>
      <c r="L12045">
        <v>301</v>
      </c>
      <c r="M12045" t="s">
        <v>20816</v>
      </c>
      <c r="N12045" t="s">
        <v>30</v>
      </c>
      <c r="O12045" t="s">
        <v>31</v>
      </c>
      <c r="P12045" t="str">
        <f t="shared" si="145"/>
        <v>15210</v>
      </c>
    </row>
    <row r="12046" spans="1:16" x14ac:dyDescent="0.25">
      <c r="A12046" t="str">
        <f>"1180015K00165    00"</f>
        <v>1180015K00165    00</v>
      </c>
      <c r="B12046" t="s">
        <v>26572</v>
      </c>
      <c r="C12046" t="s">
        <v>26573</v>
      </c>
      <c r="D12046" t="s">
        <v>20</v>
      </c>
      <c r="E12046" t="s">
        <v>39</v>
      </c>
      <c r="F12046">
        <v>0</v>
      </c>
      <c r="G12046">
        <v>0</v>
      </c>
      <c r="H12046">
        <v>15</v>
      </c>
      <c r="I12046" s="3">
        <v>9615.11</v>
      </c>
      <c r="J12046" s="3">
        <v>6258</v>
      </c>
      <c r="L12046">
        <v>6815</v>
      </c>
      <c r="M12046" t="s">
        <v>26574</v>
      </c>
      <c r="N12046" t="s">
        <v>15834</v>
      </c>
      <c r="O12046" t="s">
        <v>1184</v>
      </c>
      <c r="P12046" t="str">
        <f>"20737"</f>
        <v>20737</v>
      </c>
    </row>
    <row r="12047" spans="1:16" x14ac:dyDescent="0.25">
      <c r="A12047" t="str">
        <f>"1180015K00171    00"</f>
        <v>1180015K00171    00</v>
      </c>
      <c r="B12047" t="s">
        <v>26529</v>
      </c>
      <c r="C12047" t="s">
        <v>26575</v>
      </c>
      <c r="D12047" t="s">
        <v>20</v>
      </c>
      <c r="E12047" t="s">
        <v>39</v>
      </c>
      <c r="F12047">
        <v>0</v>
      </c>
      <c r="G12047">
        <v>0</v>
      </c>
      <c r="H12047">
        <v>19</v>
      </c>
      <c r="I12047" s="3">
        <v>3983.12</v>
      </c>
      <c r="J12047" s="3">
        <v>5511.29</v>
      </c>
      <c r="L12047">
        <v>308</v>
      </c>
      <c r="M12047" t="s">
        <v>26576</v>
      </c>
      <c r="N12047" t="s">
        <v>30</v>
      </c>
      <c r="O12047" t="s">
        <v>31</v>
      </c>
      <c r="P12047" t="str">
        <f>"15210"</f>
        <v>15210</v>
      </c>
    </row>
    <row r="12048" spans="1:16" x14ac:dyDescent="0.25">
      <c r="A12048" t="str">
        <f>"1180015K00172    00"</f>
        <v>1180015K00172    00</v>
      </c>
      <c r="B12048" t="s">
        <v>26577</v>
      </c>
      <c r="C12048" t="s">
        <v>26578</v>
      </c>
      <c r="D12048" t="s">
        <v>20</v>
      </c>
      <c r="E12048" t="s">
        <v>39</v>
      </c>
      <c r="F12048">
        <v>0</v>
      </c>
      <c r="G12048">
        <v>0</v>
      </c>
      <c r="H12048">
        <v>17</v>
      </c>
      <c r="I12048" s="3">
        <v>12082.21</v>
      </c>
      <c r="J12048" s="3">
        <v>9744.7099999999991</v>
      </c>
      <c r="L12048">
        <v>1839</v>
      </c>
      <c r="M12048" t="s">
        <v>17600</v>
      </c>
      <c r="N12048" t="s">
        <v>30</v>
      </c>
      <c r="O12048" t="s">
        <v>31</v>
      </c>
      <c r="P12048" t="str">
        <f>"15221"</f>
        <v>15221</v>
      </c>
    </row>
    <row r="12049" spans="1:16" x14ac:dyDescent="0.25">
      <c r="A12049" t="str">
        <f>"1180015K00176    00"</f>
        <v>1180015K00176    00</v>
      </c>
      <c r="B12049" t="s">
        <v>26579</v>
      </c>
      <c r="C12049" t="s">
        <v>26575</v>
      </c>
      <c r="D12049" t="s">
        <v>20</v>
      </c>
      <c r="E12049" t="s">
        <v>39</v>
      </c>
      <c r="F12049">
        <v>0</v>
      </c>
      <c r="G12049">
        <v>0</v>
      </c>
      <c r="H12049">
        <v>18</v>
      </c>
      <c r="I12049" s="3">
        <v>6040.6</v>
      </c>
      <c r="J12049" s="3">
        <v>7872.13</v>
      </c>
      <c r="L12049">
        <v>31</v>
      </c>
      <c r="M12049" t="s">
        <v>26580</v>
      </c>
      <c r="N12049" t="s">
        <v>30</v>
      </c>
      <c r="O12049" t="s">
        <v>31</v>
      </c>
      <c r="P12049" t="str">
        <f>"15210"</f>
        <v>15210</v>
      </c>
    </row>
    <row r="12050" spans="1:16" x14ac:dyDescent="0.25">
      <c r="A12050" t="str">
        <f>"1180015K00177    00"</f>
        <v>1180015K00177    00</v>
      </c>
      <c r="B12050" t="s">
        <v>25564</v>
      </c>
      <c r="C12050" t="s">
        <v>26581</v>
      </c>
      <c r="D12050" t="s">
        <v>20</v>
      </c>
      <c r="E12050" t="s">
        <v>39</v>
      </c>
      <c r="F12050">
        <v>0</v>
      </c>
      <c r="G12050">
        <v>0</v>
      </c>
      <c r="H12050">
        <v>7</v>
      </c>
      <c r="I12050" s="3">
        <v>2128.3200000000002</v>
      </c>
      <c r="J12050" s="3">
        <v>807.18</v>
      </c>
      <c r="K12050" t="s">
        <v>25566</v>
      </c>
      <c r="L12050">
        <v>614</v>
      </c>
      <c r="M12050" t="s">
        <v>25567</v>
      </c>
      <c r="N12050" t="s">
        <v>30</v>
      </c>
      <c r="O12050" t="s">
        <v>31</v>
      </c>
      <c r="P12050" t="str">
        <f>"15220"</f>
        <v>15220</v>
      </c>
    </row>
    <row r="12051" spans="1:16" x14ac:dyDescent="0.25">
      <c r="A12051" t="str">
        <f>"1180015K00184    00"</f>
        <v>1180015K00184    00</v>
      </c>
      <c r="B12051" t="s">
        <v>26582</v>
      </c>
      <c r="C12051" t="s">
        <v>26575</v>
      </c>
      <c r="D12051" t="s">
        <v>20</v>
      </c>
      <c r="E12051" t="s">
        <v>39</v>
      </c>
      <c r="F12051">
        <v>0</v>
      </c>
      <c r="G12051">
        <v>0</v>
      </c>
      <c r="H12051">
        <v>16</v>
      </c>
      <c r="I12051" s="3">
        <v>1164.76</v>
      </c>
      <c r="J12051" s="3">
        <v>1012.31</v>
      </c>
      <c r="L12051">
        <v>10438</v>
      </c>
      <c r="M12051" t="s">
        <v>26583</v>
      </c>
      <c r="N12051" t="s">
        <v>26584</v>
      </c>
      <c r="O12051" t="s">
        <v>495</v>
      </c>
      <c r="P12051" t="str">
        <f>"91311"</f>
        <v>91311</v>
      </c>
    </row>
    <row r="12052" spans="1:16" x14ac:dyDescent="0.25">
      <c r="A12052" t="str">
        <f>"1180015K00185    00"</f>
        <v>1180015K00185    00</v>
      </c>
      <c r="B12052" t="s">
        <v>26585</v>
      </c>
      <c r="C12052" t="s">
        <v>26575</v>
      </c>
      <c r="D12052" t="s">
        <v>20</v>
      </c>
      <c r="E12052" t="s">
        <v>39</v>
      </c>
      <c r="F12052">
        <v>0</v>
      </c>
      <c r="G12052">
        <v>0</v>
      </c>
      <c r="H12052">
        <v>19</v>
      </c>
      <c r="I12052" s="3">
        <v>1743.44</v>
      </c>
      <c r="J12052" s="3">
        <v>1728.11</v>
      </c>
      <c r="L12052">
        <v>2509</v>
      </c>
      <c r="M12052" t="s">
        <v>26586</v>
      </c>
      <c r="N12052" t="s">
        <v>30</v>
      </c>
      <c r="O12052" t="s">
        <v>31</v>
      </c>
      <c r="P12052" t="str">
        <f>"15234"</f>
        <v>15234</v>
      </c>
    </row>
    <row r="12053" spans="1:16" x14ac:dyDescent="0.25">
      <c r="A12053" t="str">
        <f>"1180015K00186    00"</f>
        <v>1180015K00186    00</v>
      </c>
      <c r="B12053" t="s">
        <v>22105</v>
      </c>
      <c r="C12053" t="s">
        <v>26587</v>
      </c>
      <c r="D12053" t="s">
        <v>20</v>
      </c>
      <c r="E12053" t="s">
        <v>39</v>
      </c>
      <c r="F12053">
        <v>0</v>
      </c>
      <c r="G12053">
        <v>0</v>
      </c>
      <c r="H12053">
        <v>5</v>
      </c>
      <c r="I12053" s="3">
        <v>3739.71</v>
      </c>
      <c r="J12053" s="3">
        <v>646.07000000000005</v>
      </c>
      <c r="K12053" t="s">
        <v>22107</v>
      </c>
      <c r="L12053">
        <v>906</v>
      </c>
      <c r="M12053" t="s">
        <v>22108</v>
      </c>
      <c r="N12053" t="s">
        <v>15553</v>
      </c>
      <c r="O12053" t="s">
        <v>31</v>
      </c>
      <c r="P12053" t="str">
        <f>"15035"</f>
        <v>15035</v>
      </c>
    </row>
    <row r="12054" spans="1:16" x14ac:dyDescent="0.25">
      <c r="A12054" t="str">
        <f>"1180015K00195    00"</f>
        <v>1180015K00195    00</v>
      </c>
      <c r="B12054" t="s">
        <v>26588</v>
      </c>
      <c r="C12054" t="s">
        <v>26589</v>
      </c>
      <c r="D12054" t="s">
        <v>20</v>
      </c>
      <c r="E12054" t="s">
        <v>39</v>
      </c>
      <c r="F12054">
        <v>0</v>
      </c>
      <c r="G12054">
        <v>0</v>
      </c>
      <c r="H12054">
        <v>2</v>
      </c>
      <c r="I12054" s="3">
        <v>731.26</v>
      </c>
      <c r="J12054" s="3">
        <v>184.99</v>
      </c>
      <c r="L12054">
        <v>20</v>
      </c>
      <c r="M12054" t="s">
        <v>26580</v>
      </c>
      <c r="N12054" t="s">
        <v>30</v>
      </c>
      <c r="O12054" t="s">
        <v>31</v>
      </c>
      <c r="P12054" t="str">
        <f>"15210"</f>
        <v>15210</v>
      </c>
    </row>
    <row r="12055" spans="1:16" x14ac:dyDescent="0.25">
      <c r="A12055" t="str">
        <f>"1180015K00201    00"</f>
        <v>1180015K00201    00</v>
      </c>
      <c r="B12055" t="s">
        <v>26590</v>
      </c>
      <c r="C12055" t="s">
        <v>26591</v>
      </c>
      <c r="D12055" t="s">
        <v>20</v>
      </c>
      <c r="E12055" t="s">
        <v>39</v>
      </c>
      <c r="F12055">
        <v>0</v>
      </c>
      <c r="G12055">
        <v>0</v>
      </c>
      <c r="H12055">
        <v>2</v>
      </c>
      <c r="I12055" s="3">
        <v>956.84</v>
      </c>
      <c r="J12055" s="3">
        <v>95.68</v>
      </c>
      <c r="L12055">
        <v>512</v>
      </c>
      <c r="M12055" t="s">
        <v>3126</v>
      </c>
      <c r="N12055" t="s">
        <v>30</v>
      </c>
      <c r="O12055" t="s">
        <v>31</v>
      </c>
      <c r="P12055" t="str">
        <f>"15219"</f>
        <v>15219</v>
      </c>
    </row>
    <row r="12056" spans="1:16" x14ac:dyDescent="0.25">
      <c r="A12056" t="str">
        <f>"1180015K00202    00"</f>
        <v>1180015K00202    00</v>
      </c>
      <c r="B12056" t="s">
        <v>25564</v>
      </c>
      <c r="C12056" t="s">
        <v>26575</v>
      </c>
      <c r="D12056" t="s">
        <v>20</v>
      </c>
      <c r="E12056" t="s">
        <v>39</v>
      </c>
      <c r="F12056">
        <v>0</v>
      </c>
      <c r="G12056">
        <v>0</v>
      </c>
      <c r="H12056">
        <v>9</v>
      </c>
      <c r="I12056" s="3">
        <v>179.75</v>
      </c>
      <c r="J12056" s="3">
        <v>62.49</v>
      </c>
      <c r="K12056" t="s">
        <v>25566</v>
      </c>
      <c r="L12056">
        <v>614</v>
      </c>
      <c r="M12056" t="s">
        <v>25567</v>
      </c>
      <c r="N12056" t="s">
        <v>30</v>
      </c>
      <c r="O12056" t="s">
        <v>31</v>
      </c>
      <c r="P12056" t="str">
        <f>"15220"</f>
        <v>15220</v>
      </c>
    </row>
    <row r="12057" spans="1:16" x14ac:dyDescent="0.25">
      <c r="A12057" t="str">
        <f>"1180015K00204    00"</f>
        <v>1180015K00204    00</v>
      </c>
      <c r="B12057" t="s">
        <v>26592</v>
      </c>
      <c r="C12057" t="s">
        <v>26593</v>
      </c>
      <c r="D12057" t="s">
        <v>20</v>
      </c>
      <c r="E12057" t="s">
        <v>39</v>
      </c>
      <c r="F12057">
        <v>0</v>
      </c>
      <c r="G12057">
        <v>0</v>
      </c>
      <c r="H12057">
        <v>4</v>
      </c>
      <c r="I12057" s="3">
        <v>976.05</v>
      </c>
      <c r="J12057" s="3">
        <v>134.93</v>
      </c>
      <c r="L12057">
        <v>32</v>
      </c>
      <c r="M12057" t="s">
        <v>26580</v>
      </c>
      <c r="N12057" t="s">
        <v>30</v>
      </c>
      <c r="O12057" t="s">
        <v>31</v>
      </c>
      <c r="P12057" t="str">
        <f t="shared" ref="P12057:P12066" si="146">"15210"</f>
        <v>15210</v>
      </c>
    </row>
    <row r="12058" spans="1:16" x14ac:dyDescent="0.25">
      <c r="A12058" t="str">
        <f>"1180015K00217    00"</f>
        <v>1180015K00217    00</v>
      </c>
      <c r="B12058" t="s">
        <v>26594</v>
      </c>
      <c r="C12058" t="s">
        <v>26595</v>
      </c>
      <c r="E12058" t="s">
        <v>39</v>
      </c>
      <c r="F12058">
        <v>0</v>
      </c>
      <c r="G12058">
        <v>0</v>
      </c>
      <c r="H12058">
        <v>9</v>
      </c>
      <c r="I12058" s="3">
        <v>9848.1299999999992</v>
      </c>
      <c r="J12058" s="3">
        <v>14670.72</v>
      </c>
      <c r="L12058">
        <v>506</v>
      </c>
      <c r="M12058" t="s">
        <v>20816</v>
      </c>
      <c r="N12058" t="s">
        <v>30</v>
      </c>
      <c r="O12058" t="s">
        <v>31</v>
      </c>
      <c r="P12058" t="str">
        <f t="shared" si="146"/>
        <v>15210</v>
      </c>
    </row>
    <row r="12059" spans="1:16" x14ac:dyDescent="0.25">
      <c r="A12059" t="str">
        <f>"1180015K00218    00"</f>
        <v>1180015K00218    00</v>
      </c>
      <c r="B12059" t="s">
        <v>26596</v>
      </c>
      <c r="C12059" t="s">
        <v>26597</v>
      </c>
      <c r="D12059" t="s">
        <v>20</v>
      </c>
      <c r="E12059" t="s">
        <v>39</v>
      </c>
      <c r="F12059">
        <v>0</v>
      </c>
      <c r="G12059">
        <v>0</v>
      </c>
      <c r="H12059">
        <v>2</v>
      </c>
      <c r="I12059" s="3">
        <v>169.18</v>
      </c>
      <c r="J12059" s="3">
        <v>0</v>
      </c>
      <c r="L12059">
        <v>512</v>
      </c>
      <c r="M12059" t="s">
        <v>20816</v>
      </c>
      <c r="N12059" t="s">
        <v>30</v>
      </c>
      <c r="O12059" t="s">
        <v>31</v>
      </c>
      <c r="P12059" t="str">
        <f t="shared" si="146"/>
        <v>15210</v>
      </c>
    </row>
    <row r="12060" spans="1:16" x14ac:dyDescent="0.25">
      <c r="A12060" t="str">
        <f>"1180015K00220    00"</f>
        <v>1180015K00220    00</v>
      </c>
      <c r="B12060" t="s">
        <v>26598</v>
      </c>
      <c r="C12060" t="s">
        <v>26599</v>
      </c>
      <c r="E12060" t="s">
        <v>39</v>
      </c>
      <c r="F12060">
        <v>0</v>
      </c>
      <c r="G12060">
        <v>0</v>
      </c>
      <c r="H12060">
        <v>1</v>
      </c>
      <c r="I12060" s="3">
        <v>503.21</v>
      </c>
      <c r="J12060" s="3">
        <v>0</v>
      </c>
      <c r="L12060">
        <v>512</v>
      </c>
      <c r="M12060" t="s">
        <v>20816</v>
      </c>
      <c r="N12060" t="s">
        <v>30</v>
      </c>
      <c r="O12060" t="s">
        <v>31</v>
      </c>
      <c r="P12060" t="str">
        <f t="shared" si="146"/>
        <v>15210</v>
      </c>
    </row>
    <row r="12061" spans="1:16" x14ac:dyDescent="0.25">
      <c r="A12061" t="str">
        <f>"1180015K00231    00"</f>
        <v>1180015K00231    00</v>
      </c>
      <c r="B12061" t="s">
        <v>26600</v>
      </c>
      <c r="C12061" t="s">
        <v>26601</v>
      </c>
      <c r="D12061" t="s">
        <v>20</v>
      </c>
      <c r="E12061" t="s">
        <v>39</v>
      </c>
      <c r="F12061">
        <v>0</v>
      </c>
      <c r="G12061">
        <v>0</v>
      </c>
      <c r="H12061">
        <v>2</v>
      </c>
      <c r="I12061" s="3">
        <v>586.11</v>
      </c>
      <c r="J12061" s="3">
        <v>21.55</v>
      </c>
      <c r="K12061" t="s">
        <v>26602</v>
      </c>
      <c r="L12061">
        <v>93</v>
      </c>
      <c r="M12061" t="s">
        <v>26580</v>
      </c>
      <c r="N12061" t="s">
        <v>30</v>
      </c>
      <c r="O12061" t="s">
        <v>31</v>
      </c>
      <c r="P12061" t="str">
        <f t="shared" si="146"/>
        <v>15210</v>
      </c>
    </row>
    <row r="12062" spans="1:16" x14ac:dyDescent="0.25">
      <c r="A12062" t="str">
        <f>"1180015K00232    00"</f>
        <v>1180015K00232    00</v>
      </c>
      <c r="B12062" t="s">
        <v>26600</v>
      </c>
      <c r="C12062" t="s">
        <v>25977</v>
      </c>
      <c r="D12062" t="s">
        <v>20</v>
      </c>
      <c r="E12062" t="s">
        <v>39</v>
      </c>
      <c r="F12062">
        <v>0</v>
      </c>
      <c r="G12062">
        <v>0</v>
      </c>
      <c r="H12062">
        <v>2</v>
      </c>
      <c r="I12062" s="3">
        <v>24.86</v>
      </c>
      <c r="J12062" s="3">
        <v>0.8</v>
      </c>
      <c r="K12062" t="s">
        <v>26602</v>
      </c>
      <c r="L12062">
        <v>93</v>
      </c>
      <c r="M12062" t="s">
        <v>26580</v>
      </c>
      <c r="N12062" t="s">
        <v>30</v>
      </c>
      <c r="O12062" t="s">
        <v>31</v>
      </c>
      <c r="P12062" t="str">
        <f t="shared" si="146"/>
        <v>15210</v>
      </c>
    </row>
    <row r="12063" spans="1:16" x14ac:dyDescent="0.25">
      <c r="A12063" t="str">
        <f>"1180015K00243    00"</f>
        <v>1180015K00243    00</v>
      </c>
      <c r="B12063" t="s">
        <v>26603</v>
      </c>
      <c r="C12063" t="s">
        <v>26604</v>
      </c>
      <c r="E12063" t="s">
        <v>39</v>
      </c>
      <c r="F12063">
        <v>0</v>
      </c>
      <c r="G12063">
        <v>0</v>
      </c>
      <c r="H12063">
        <v>1</v>
      </c>
      <c r="I12063" s="3">
        <v>920.61</v>
      </c>
      <c r="J12063" s="3">
        <v>0</v>
      </c>
      <c r="L12063">
        <v>17</v>
      </c>
      <c r="M12063" t="s">
        <v>25529</v>
      </c>
      <c r="N12063" t="s">
        <v>30</v>
      </c>
      <c r="O12063" t="s">
        <v>31</v>
      </c>
      <c r="P12063" t="str">
        <f t="shared" si="146"/>
        <v>15210</v>
      </c>
    </row>
    <row r="12064" spans="1:16" x14ac:dyDescent="0.25">
      <c r="A12064" t="str">
        <f>"1180015K00254    00"</f>
        <v>1180015K00254    00</v>
      </c>
      <c r="B12064" t="s">
        <v>26605</v>
      </c>
      <c r="C12064" t="s">
        <v>25977</v>
      </c>
      <c r="D12064" t="s">
        <v>20</v>
      </c>
      <c r="E12064" t="s">
        <v>39</v>
      </c>
      <c r="F12064">
        <v>0</v>
      </c>
      <c r="G12064">
        <v>0</v>
      </c>
      <c r="H12064">
        <v>16</v>
      </c>
      <c r="I12064" s="3">
        <v>3514.67</v>
      </c>
      <c r="J12064" s="3">
        <v>4779.2700000000004</v>
      </c>
      <c r="L12064">
        <v>50</v>
      </c>
      <c r="M12064" t="s">
        <v>25529</v>
      </c>
      <c r="N12064" t="s">
        <v>30</v>
      </c>
      <c r="O12064" t="s">
        <v>31</v>
      </c>
      <c r="P12064" t="str">
        <f t="shared" si="146"/>
        <v>15210</v>
      </c>
    </row>
    <row r="12065" spans="1:16" x14ac:dyDescent="0.25">
      <c r="A12065" t="str">
        <f>"1180015L00003    00"</f>
        <v>1180015L00003    00</v>
      </c>
      <c r="B12065" t="s">
        <v>26540</v>
      </c>
      <c r="C12065" t="s">
        <v>26571</v>
      </c>
      <c r="D12065" t="s">
        <v>20</v>
      </c>
      <c r="E12065" t="s">
        <v>39</v>
      </c>
      <c r="F12065">
        <v>0</v>
      </c>
      <c r="G12065">
        <v>0</v>
      </c>
      <c r="H12065">
        <v>6</v>
      </c>
      <c r="I12065" s="3">
        <v>499.72</v>
      </c>
      <c r="J12065" s="3">
        <v>137.83000000000001</v>
      </c>
      <c r="L12065">
        <v>301</v>
      </c>
      <c r="M12065" t="s">
        <v>20816</v>
      </c>
      <c r="N12065" t="s">
        <v>30</v>
      </c>
      <c r="O12065" t="s">
        <v>31</v>
      </c>
      <c r="P12065" t="str">
        <f t="shared" si="146"/>
        <v>15210</v>
      </c>
    </row>
    <row r="12066" spans="1:16" x14ac:dyDescent="0.25">
      <c r="A12066" t="str">
        <f>"1180015L00008    00"</f>
        <v>1180015L00008    00</v>
      </c>
      <c r="B12066" t="s">
        <v>26606</v>
      </c>
      <c r="C12066" t="s">
        <v>26607</v>
      </c>
      <c r="D12066" t="s">
        <v>20</v>
      </c>
      <c r="E12066" t="s">
        <v>39</v>
      </c>
      <c r="F12066">
        <v>0</v>
      </c>
      <c r="G12066">
        <v>0</v>
      </c>
      <c r="H12066">
        <v>2</v>
      </c>
      <c r="I12066" s="3">
        <v>853.88</v>
      </c>
      <c r="J12066" s="3">
        <v>0</v>
      </c>
      <c r="K12066" t="s">
        <v>26608</v>
      </c>
      <c r="L12066">
        <v>67</v>
      </c>
      <c r="M12066" t="s">
        <v>11789</v>
      </c>
      <c r="N12066" t="s">
        <v>30</v>
      </c>
      <c r="O12066" t="s">
        <v>31</v>
      </c>
      <c r="P12066" t="str">
        <f t="shared" si="146"/>
        <v>15210</v>
      </c>
    </row>
    <row r="12067" spans="1:16" x14ac:dyDescent="0.25">
      <c r="A12067" t="str">
        <f>"1180015L00019    00"</f>
        <v>1180015L00019    00</v>
      </c>
      <c r="B12067" t="s">
        <v>26609</v>
      </c>
      <c r="C12067" t="s">
        <v>25562</v>
      </c>
      <c r="E12067" t="s">
        <v>39</v>
      </c>
      <c r="F12067">
        <v>0</v>
      </c>
      <c r="G12067">
        <v>0</v>
      </c>
      <c r="H12067">
        <v>2</v>
      </c>
      <c r="I12067" s="3">
        <v>49.14</v>
      </c>
      <c r="J12067" s="3">
        <v>6.28</v>
      </c>
      <c r="K12067" t="s">
        <v>26610</v>
      </c>
      <c r="N12067" t="s">
        <v>26611</v>
      </c>
      <c r="P12067" t="str">
        <f>""</f>
        <v/>
      </c>
    </row>
    <row r="12068" spans="1:16" x14ac:dyDescent="0.25">
      <c r="A12068" t="str">
        <f>"1180015L00027    00"</f>
        <v>1180015L00027    00</v>
      </c>
      <c r="B12068" t="s">
        <v>26612</v>
      </c>
      <c r="C12068" t="s">
        <v>26575</v>
      </c>
      <c r="D12068" t="s">
        <v>20</v>
      </c>
      <c r="E12068" t="s">
        <v>39</v>
      </c>
      <c r="F12068">
        <v>0</v>
      </c>
      <c r="G12068">
        <v>0</v>
      </c>
      <c r="H12068">
        <v>18</v>
      </c>
      <c r="I12068" s="3">
        <v>4293.5600000000004</v>
      </c>
      <c r="J12068" s="3">
        <v>5568.27</v>
      </c>
      <c r="L12068">
        <v>20</v>
      </c>
      <c r="M12068" t="s">
        <v>26580</v>
      </c>
      <c r="N12068" t="s">
        <v>30</v>
      </c>
      <c r="O12068" t="s">
        <v>31</v>
      </c>
      <c r="P12068" t="str">
        <f>"15210"</f>
        <v>15210</v>
      </c>
    </row>
    <row r="12069" spans="1:16" x14ac:dyDescent="0.25">
      <c r="A12069" t="str">
        <f>"1180015L00028    00"</f>
        <v>1180015L00028    00</v>
      </c>
      <c r="B12069" t="s">
        <v>13709</v>
      </c>
      <c r="C12069" t="s">
        <v>26575</v>
      </c>
      <c r="D12069" t="s">
        <v>20</v>
      </c>
      <c r="E12069" t="s">
        <v>39</v>
      </c>
      <c r="F12069">
        <v>0</v>
      </c>
      <c r="G12069">
        <v>0</v>
      </c>
      <c r="H12069">
        <v>16</v>
      </c>
      <c r="I12069" s="3">
        <v>1550.49</v>
      </c>
      <c r="J12069" s="3">
        <v>1540.66</v>
      </c>
      <c r="K12069" t="s">
        <v>26613</v>
      </c>
      <c r="M12069" t="s">
        <v>13711</v>
      </c>
      <c r="N12069" t="s">
        <v>30</v>
      </c>
      <c r="O12069" t="s">
        <v>31</v>
      </c>
      <c r="P12069" t="str">
        <f>"15235"</f>
        <v>15235</v>
      </c>
    </row>
    <row r="12070" spans="1:16" x14ac:dyDescent="0.25">
      <c r="A12070" t="str">
        <f>"1180015L00029    00"</f>
        <v>1180015L00029    00</v>
      </c>
      <c r="B12070" t="s">
        <v>26614</v>
      </c>
      <c r="C12070" t="s">
        <v>26575</v>
      </c>
      <c r="D12070" t="s">
        <v>20</v>
      </c>
      <c r="E12070" t="s">
        <v>39</v>
      </c>
      <c r="F12070">
        <v>0</v>
      </c>
      <c r="G12070">
        <v>0</v>
      </c>
      <c r="H12070">
        <v>12</v>
      </c>
      <c r="I12070" s="3">
        <v>497.85</v>
      </c>
      <c r="J12070" s="3">
        <v>439.59</v>
      </c>
      <c r="L12070">
        <v>2914</v>
      </c>
      <c r="M12070" t="s">
        <v>3525</v>
      </c>
      <c r="N12070" t="s">
        <v>30</v>
      </c>
      <c r="O12070" t="s">
        <v>31</v>
      </c>
      <c r="P12070" t="str">
        <f>"15210"</f>
        <v>15210</v>
      </c>
    </row>
    <row r="12071" spans="1:16" x14ac:dyDescent="0.25">
      <c r="A12071" t="str">
        <f>"1180015L00030    00"</f>
        <v>1180015L00030    00</v>
      </c>
      <c r="B12071" t="s">
        <v>26600</v>
      </c>
      <c r="C12071" t="s">
        <v>26615</v>
      </c>
      <c r="D12071" t="s">
        <v>20</v>
      </c>
      <c r="E12071" t="s">
        <v>39</v>
      </c>
      <c r="F12071">
        <v>0</v>
      </c>
      <c r="G12071">
        <v>0</v>
      </c>
      <c r="H12071">
        <v>1</v>
      </c>
      <c r="I12071" s="3">
        <v>489.85</v>
      </c>
      <c r="J12071" s="3">
        <v>0</v>
      </c>
      <c r="K12071" t="s">
        <v>26602</v>
      </c>
      <c r="L12071">
        <v>93</v>
      </c>
      <c r="M12071" t="s">
        <v>26580</v>
      </c>
      <c r="N12071" t="s">
        <v>30</v>
      </c>
      <c r="O12071" t="s">
        <v>31</v>
      </c>
      <c r="P12071" t="str">
        <f>"15210"</f>
        <v>15210</v>
      </c>
    </row>
    <row r="12072" spans="1:16" x14ac:dyDescent="0.25">
      <c r="A12072" t="str">
        <f>"1180015L00031    00"</f>
        <v>1180015L00031    00</v>
      </c>
      <c r="B12072" t="s">
        <v>26616</v>
      </c>
      <c r="C12072" t="s">
        <v>26617</v>
      </c>
      <c r="D12072" t="s">
        <v>20</v>
      </c>
      <c r="E12072" t="s">
        <v>39</v>
      </c>
      <c r="F12072">
        <v>0</v>
      </c>
      <c r="G12072">
        <v>0</v>
      </c>
      <c r="H12072">
        <v>8</v>
      </c>
      <c r="I12072" s="3">
        <v>1936.19</v>
      </c>
      <c r="J12072" s="3">
        <v>0</v>
      </c>
      <c r="L12072">
        <v>202</v>
      </c>
      <c r="M12072" t="s">
        <v>26618</v>
      </c>
      <c r="N12072" t="s">
        <v>30</v>
      </c>
      <c r="O12072" t="s">
        <v>31</v>
      </c>
      <c r="P12072" t="str">
        <f>"15210"</f>
        <v>15210</v>
      </c>
    </row>
    <row r="12073" spans="1:16" x14ac:dyDescent="0.25">
      <c r="A12073" t="str">
        <f>"1180015L00032    00"</f>
        <v>1180015L00032    00</v>
      </c>
      <c r="B12073" t="s">
        <v>26619</v>
      </c>
      <c r="C12073" t="s">
        <v>26620</v>
      </c>
      <c r="D12073" t="s">
        <v>20</v>
      </c>
      <c r="E12073" t="s">
        <v>39</v>
      </c>
      <c r="F12073">
        <v>0</v>
      </c>
      <c r="G12073">
        <v>0</v>
      </c>
      <c r="H12073">
        <v>2</v>
      </c>
      <c r="I12073" s="3">
        <v>549.04999999999995</v>
      </c>
      <c r="J12073" s="3">
        <v>0</v>
      </c>
      <c r="L12073">
        <v>206</v>
      </c>
      <c r="M12073" t="s">
        <v>25043</v>
      </c>
      <c r="N12073" t="s">
        <v>30</v>
      </c>
      <c r="O12073" t="s">
        <v>31</v>
      </c>
      <c r="P12073" t="str">
        <f>"15210"</f>
        <v>15210</v>
      </c>
    </row>
    <row r="12074" spans="1:16" x14ac:dyDescent="0.25">
      <c r="A12074" t="str">
        <f>"1180015L00033    00"</f>
        <v>1180015L00033    00</v>
      </c>
      <c r="B12074" t="s">
        <v>26621</v>
      </c>
      <c r="C12074" t="s">
        <v>26575</v>
      </c>
      <c r="D12074" t="s">
        <v>20</v>
      </c>
      <c r="E12074" t="s">
        <v>39</v>
      </c>
      <c r="F12074">
        <v>0</v>
      </c>
      <c r="G12074">
        <v>0</v>
      </c>
      <c r="H12074">
        <v>18</v>
      </c>
      <c r="I12074" s="3">
        <v>4234.5200000000004</v>
      </c>
      <c r="J12074" s="3">
        <v>5563.27</v>
      </c>
      <c r="M12074" t="s">
        <v>26622</v>
      </c>
      <c r="N12074" t="s">
        <v>30</v>
      </c>
      <c r="O12074" t="s">
        <v>31</v>
      </c>
      <c r="P12074" t="str">
        <f>"15211"</f>
        <v>15211</v>
      </c>
    </row>
    <row r="12075" spans="1:16" x14ac:dyDescent="0.25">
      <c r="A12075" t="str">
        <f>"1180015L00040    00"</f>
        <v>1180015L00040    00</v>
      </c>
      <c r="B12075" t="s">
        <v>26623</v>
      </c>
      <c r="C12075" t="s">
        <v>26575</v>
      </c>
      <c r="D12075" t="s">
        <v>20</v>
      </c>
      <c r="E12075" t="s">
        <v>39</v>
      </c>
      <c r="F12075">
        <v>0</v>
      </c>
      <c r="G12075">
        <v>0</v>
      </c>
      <c r="H12075">
        <v>7</v>
      </c>
      <c r="I12075" s="3">
        <v>533.08000000000004</v>
      </c>
      <c r="J12075" s="3">
        <v>149.29</v>
      </c>
      <c r="K12075" t="s">
        <v>26624</v>
      </c>
      <c r="L12075">
        <v>10</v>
      </c>
      <c r="M12075" t="s">
        <v>26625</v>
      </c>
      <c r="N12075" t="s">
        <v>26626</v>
      </c>
      <c r="O12075" t="s">
        <v>440</v>
      </c>
      <c r="P12075" t="str">
        <f>"02169"</f>
        <v>02169</v>
      </c>
    </row>
    <row r="12076" spans="1:16" x14ac:dyDescent="0.25">
      <c r="A12076" t="str">
        <f>"1180015L00045    00"</f>
        <v>1180015L00045    00</v>
      </c>
      <c r="B12076" t="s">
        <v>26590</v>
      </c>
      <c r="C12076" t="s">
        <v>26627</v>
      </c>
      <c r="D12076" t="s">
        <v>20</v>
      </c>
      <c r="E12076" t="s">
        <v>39</v>
      </c>
      <c r="F12076">
        <v>0</v>
      </c>
      <c r="G12076">
        <v>0</v>
      </c>
      <c r="H12076">
        <v>3</v>
      </c>
      <c r="I12076" s="3">
        <v>1315.14</v>
      </c>
      <c r="J12076" s="3">
        <v>87.67</v>
      </c>
      <c r="L12076">
        <v>512</v>
      </c>
      <c r="M12076" t="s">
        <v>3126</v>
      </c>
      <c r="N12076" t="s">
        <v>30</v>
      </c>
      <c r="O12076" t="s">
        <v>31</v>
      </c>
      <c r="P12076" t="str">
        <f>"15219"</f>
        <v>15219</v>
      </c>
    </row>
    <row r="12077" spans="1:16" x14ac:dyDescent="0.25">
      <c r="A12077" t="str">
        <f>"1180015L00046    00"</f>
        <v>1180015L00046    00</v>
      </c>
      <c r="B12077" t="s">
        <v>26628</v>
      </c>
      <c r="C12077" t="s">
        <v>26575</v>
      </c>
      <c r="D12077" t="s">
        <v>20</v>
      </c>
      <c r="E12077" t="s">
        <v>39</v>
      </c>
      <c r="F12077">
        <v>0</v>
      </c>
      <c r="G12077">
        <v>0</v>
      </c>
      <c r="H12077">
        <v>12</v>
      </c>
      <c r="I12077" s="3">
        <v>700.98</v>
      </c>
      <c r="J12077" s="3">
        <v>360.35</v>
      </c>
      <c r="L12077">
        <v>65</v>
      </c>
      <c r="M12077" t="s">
        <v>26580</v>
      </c>
      <c r="N12077" t="s">
        <v>30</v>
      </c>
      <c r="O12077" t="s">
        <v>31</v>
      </c>
      <c r="P12077" t="str">
        <f>"15210"</f>
        <v>15210</v>
      </c>
    </row>
    <row r="12078" spans="1:16" x14ac:dyDescent="0.25">
      <c r="A12078" t="str">
        <f>"1180015L00054    00"</f>
        <v>1180015L00054    00</v>
      </c>
      <c r="B12078" t="s">
        <v>26629</v>
      </c>
      <c r="C12078" t="s">
        <v>26630</v>
      </c>
      <c r="D12078" t="s">
        <v>20</v>
      </c>
      <c r="E12078" t="s">
        <v>39</v>
      </c>
      <c r="F12078">
        <v>0</v>
      </c>
      <c r="G12078">
        <v>0</v>
      </c>
      <c r="H12078">
        <v>9</v>
      </c>
      <c r="I12078" s="3">
        <v>2560.29</v>
      </c>
      <c r="J12078" s="3">
        <v>869.7</v>
      </c>
      <c r="L12078">
        <v>7311</v>
      </c>
      <c r="M12078" t="s">
        <v>12395</v>
      </c>
      <c r="N12078" t="s">
        <v>30</v>
      </c>
      <c r="O12078" t="s">
        <v>31</v>
      </c>
      <c r="P12078" t="str">
        <f>"15208"</f>
        <v>15208</v>
      </c>
    </row>
    <row r="12079" spans="1:16" x14ac:dyDescent="0.25">
      <c r="A12079" t="str">
        <f>"1180015L00055    00"</f>
        <v>1180015L00055    00</v>
      </c>
      <c r="B12079" t="s">
        <v>26631</v>
      </c>
      <c r="C12079" t="s">
        <v>26632</v>
      </c>
      <c r="D12079" t="s">
        <v>20</v>
      </c>
      <c r="E12079" t="s">
        <v>39</v>
      </c>
      <c r="F12079">
        <v>0</v>
      </c>
      <c r="G12079">
        <v>0</v>
      </c>
      <c r="H12079">
        <v>3</v>
      </c>
      <c r="I12079" s="3">
        <v>2550.21</v>
      </c>
      <c r="J12079" s="3">
        <v>170.01</v>
      </c>
      <c r="L12079">
        <v>81</v>
      </c>
      <c r="M12079" t="s">
        <v>26580</v>
      </c>
      <c r="N12079" t="s">
        <v>30</v>
      </c>
      <c r="O12079" t="s">
        <v>31</v>
      </c>
      <c r="P12079" t="str">
        <f>"15210"</f>
        <v>15210</v>
      </c>
    </row>
    <row r="12080" spans="1:16" x14ac:dyDescent="0.25">
      <c r="A12080" t="str">
        <f>"1180015L00057    00"</f>
        <v>1180015L00057    00</v>
      </c>
      <c r="B12080" t="s">
        <v>26633</v>
      </c>
      <c r="C12080" t="s">
        <v>26634</v>
      </c>
      <c r="D12080" t="s">
        <v>20</v>
      </c>
      <c r="E12080" t="s">
        <v>39</v>
      </c>
      <c r="F12080">
        <v>0</v>
      </c>
      <c r="G12080">
        <v>0</v>
      </c>
      <c r="H12080">
        <v>19</v>
      </c>
      <c r="I12080" s="3">
        <v>4938.28</v>
      </c>
      <c r="J12080" s="3">
        <v>5706.81</v>
      </c>
      <c r="L12080">
        <v>83</v>
      </c>
      <c r="M12080" t="s">
        <v>14046</v>
      </c>
      <c r="N12080" t="s">
        <v>30</v>
      </c>
      <c r="O12080" t="s">
        <v>31</v>
      </c>
      <c r="P12080" t="str">
        <f>"15235"</f>
        <v>15235</v>
      </c>
    </row>
    <row r="12081" spans="1:16" x14ac:dyDescent="0.25">
      <c r="A12081" t="str">
        <f>"1180015L00057A   00"</f>
        <v>1180015L00057A   00</v>
      </c>
      <c r="B12081" t="s">
        <v>26635</v>
      </c>
      <c r="C12081" t="s">
        <v>26636</v>
      </c>
      <c r="D12081" t="s">
        <v>20</v>
      </c>
      <c r="E12081" t="s">
        <v>39</v>
      </c>
      <c r="F12081">
        <v>0</v>
      </c>
      <c r="G12081">
        <v>0</v>
      </c>
      <c r="H12081">
        <v>19</v>
      </c>
      <c r="I12081" s="3">
        <v>4700.8999999999996</v>
      </c>
      <c r="J12081" s="3">
        <v>5788.8</v>
      </c>
      <c r="P12081" t="str">
        <f>""</f>
        <v/>
      </c>
    </row>
    <row r="12082" spans="1:16" x14ac:dyDescent="0.25">
      <c r="A12082" t="str">
        <f>"1180015L00057B   00"</f>
        <v>1180015L00057B   00</v>
      </c>
      <c r="B12082" t="s">
        <v>26637</v>
      </c>
      <c r="C12082" t="s">
        <v>26638</v>
      </c>
      <c r="D12082" t="s">
        <v>20</v>
      </c>
      <c r="E12082" t="s">
        <v>39</v>
      </c>
      <c r="F12082">
        <v>0</v>
      </c>
      <c r="G12082">
        <v>0</v>
      </c>
      <c r="H12082">
        <v>19</v>
      </c>
      <c r="I12082" s="3">
        <v>4547.46</v>
      </c>
      <c r="J12082" s="3">
        <v>3674.84</v>
      </c>
      <c r="L12082">
        <v>219</v>
      </c>
      <c r="M12082" t="s">
        <v>26639</v>
      </c>
      <c r="N12082" t="s">
        <v>30</v>
      </c>
      <c r="O12082" t="s">
        <v>31</v>
      </c>
      <c r="P12082" t="str">
        <f>"15210"</f>
        <v>15210</v>
      </c>
    </row>
    <row r="12083" spans="1:16" x14ac:dyDescent="0.25">
      <c r="A12083" t="str">
        <f>"1180015L00062    00"</f>
        <v>1180015L00062    00</v>
      </c>
      <c r="B12083" t="s">
        <v>26640</v>
      </c>
      <c r="C12083" t="s">
        <v>26575</v>
      </c>
      <c r="D12083" t="s">
        <v>20</v>
      </c>
      <c r="E12083" t="s">
        <v>39</v>
      </c>
      <c r="F12083">
        <v>0</v>
      </c>
      <c r="G12083">
        <v>0</v>
      </c>
      <c r="H12083">
        <v>19</v>
      </c>
      <c r="I12083" s="3">
        <v>2266.83</v>
      </c>
      <c r="J12083" s="3">
        <v>2309.83</v>
      </c>
      <c r="P12083" t="str">
        <f>""</f>
        <v/>
      </c>
    </row>
    <row r="12084" spans="1:16" x14ac:dyDescent="0.25">
      <c r="A12084" t="str">
        <f>"1180015L00065    00"</f>
        <v>1180015L00065    00</v>
      </c>
      <c r="B12084" t="s">
        <v>25599</v>
      </c>
      <c r="C12084" t="s">
        <v>26641</v>
      </c>
      <c r="D12084" t="s">
        <v>20</v>
      </c>
      <c r="E12084" t="s">
        <v>39</v>
      </c>
      <c r="F12084">
        <v>0</v>
      </c>
      <c r="G12084">
        <v>0</v>
      </c>
      <c r="H12084">
        <v>19</v>
      </c>
      <c r="I12084" s="3">
        <v>5931.87</v>
      </c>
      <c r="J12084" s="3">
        <v>6187.71</v>
      </c>
      <c r="L12084">
        <v>263</v>
      </c>
      <c r="M12084" t="s">
        <v>25563</v>
      </c>
      <c r="N12084" t="s">
        <v>30</v>
      </c>
      <c r="O12084" t="s">
        <v>31</v>
      </c>
      <c r="P12084" t="str">
        <f>"15210"</f>
        <v>15210</v>
      </c>
    </row>
    <row r="12085" spans="1:16" x14ac:dyDescent="0.25">
      <c r="A12085" t="str">
        <f>"1180015L00066    00"</f>
        <v>1180015L00066    00</v>
      </c>
      <c r="B12085" t="s">
        <v>26642</v>
      </c>
      <c r="C12085" t="s">
        <v>26643</v>
      </c>
      <c r="D12085" t="s">
        <v>20</v>
      </c>
      <c r="E12085" t="s">
        <v>39</v>
      </c>
      <c r="F12085">
        <v>0</v>
      </c>
      <c r="G12085">
        <v>0</v>
      </c>
      <c r="H12085">
        <v>2</v>
      </c>
      <c r="I12085" s="3">
        <v>389.4</v>
      </c>
      <c r="J12085" s="3">
        <v>0</v>
      </c>
      <c r="L12085">
        <v>88</v>
      </c>
      <c r="M12085" t="s">
        <v>26580</v>
      </c>
      <c r="N12085" t="s">
        <v>30</v>
      </c>
      <c r="O12085" t="s">
        <v>31</v>
      </c>
      <c r="P12085" t="str">
        <f>"15210"</f>
        <v>15210</v>
      </c>
    </row>
    <row r="12086" spans="1:16" x14ac:dyDescent="0.25">
      <c r="A12086" t="str">
        <f>"1180015L00070    00"</f>
        <v>1180015L00070    00</v>
      </c>
      <c r="B12086" t="s">
        <v>26644</v>
      </c>
      <c r="C12086" t="s">
        <v>26575</v>
      </c>
      <c r="D12086" t="s">
        <v>20</v>
      </c>
      <c r="E12086" t="s">
        <v>39</v>
      </c>
      <c r="F12086">
        <v>0</v>
      </c>
      <c r="G12086">
        <v>0</v>
      </c>
      <c r="H12086">
        <v>18</v>
      </c>
      <c r="I12086" s="3">
        <v>1726.6</v>
      </c>
      <c r="J12086" s="3">
        <v>1922.56</v>
      </c>
      <c r="L12086">
        <v>8807</v>
      </c>
      <c r="M12086" t="s">
        <v>13958</v>
      </c>
      <c r="N12086" t="s">
        <v>30</v>
      </c>
      <c r="O12086" t="s">
        <v>31</v>
      </c>
      <c r="P12086" t="str">
        <f>"15221"</f>
        <v>15221</v>
      </c>
    </row>
    <row r="12087" spans="1:16" x14ac:dyDescent="0.25">
      <c r="A12087" t="str">
        <f>"1180015L00071    00"</f>
        <v>1180015L00071    00</v>
      </c>
      <c r="B12087" t="s">
        <v>26644</v>
      </c>
      <c r="C12087" t="s">
        <v>26575</v>
      </c>
      <c r="D12087" t="s">
        <v>20</v>
      </c>
      <c r="E12087" t="s">
        <v>39</v>
      </c>
      <c r="F12087">
        <v>0</v>
      </c>
      <c r="G12087">
        <v>0</v>
      </c>
      <c r="H12087">
        <v>18</v>
      </c>
      <c r="I12087" s="3">
        <v>1880.76</v>
      </c>
      <c r="J12087" s="3">
        <v>2074</v>
      </c>
      <c r="L12087">
        <v>8807</v>
      </c>
      <c r="M12087" t="s">
        <v>13958</v>
      </c>
      <c r="N12087" t="s">
        <v>30</v>
      </c>
      <c r="O12087" t="s">
        <v>31</v>
      </c>
      <c r="P12087" t="str">
        <f>"15221"</f>
        <v>15221</v>
      </c>
    </row>
    <row r="12088" spans="1:16" x14ac:dyDescent="0.25">
      <c r="A12088" t="str">
        <f>"1180015L00073    00"</f>
        <v>1180015L00073    00</v>
      </c>
      <c r="B12088" t="s">
        <v>26645</v>
      </c>
      <c r="C12088" t="s">
        <v>26344</v>
      </c>
      <c r="D12088" t="s">
        <v>20</v>
      </c>
      <c r="E12088" t="s">
        <v>39</v>
      </c>
      <c r="F12088">
        <v>0</v>
      </c>
      <c r="G12088">
        <v>0</v>
      </c>
      <c r="H12088">
        <v>19</v>
      </c>
      <c r="I12088" s="3">
        <v>2348.11</v>
      </c>
      <c r="J12088" s="3">
        <v>2837.2</v>
      </c>
      <c r="L12088">
        <v>214</v>
      </c>
      <c r="M12088" t="s">
        <v>3295</v>
      </c>
      <c r="N12088" t="s">
        <v>30</v>
      </c>
      <c r="O12088" t="s">
        <v>31</v>
      </c>
      <c r="P12088" t="str">
        <f>"15210"</f>
        <v>15210</v>
      </c>
    </row>
    <row r="12089" spans="1:16" x14ac:dyDescent="0.25">
      <c r="A12089" t="str">
        <f>"1180015L00081    00"</f>
        <v>1180015L00081    00</v>
      </c>
      <c r="B12089" t="s">
        <v>26646</v>
      </c>
      <c r="C12089" t="s">
        <v>26647</v>
      </c>
      <c r="D12089" t="s">
        <v>20</v>
      </c>
      <c r="E12089" t="s">
        <v>39</v>
      </c>
      <c r="F12089">
        <v>0</v>
      </c>
      <c r="G12089">
        <v>0</v>
      </c>
      <c r="H12089">
        <v>3</v>
      </c>
      <c r="I12089" s="3">
        <v>274.92</v>
      </c>
      <c r="J12089" s="3">
        <v>3.82</v>
      </c>
      <c r="L12089">
        <v>91</v>
      </c>
      <c r="M12089" t="s">
        <v>25529</v>
      </c>
      <c r="N12089" t="s">
        <v>30</v>
      </c>
      <c r="O12089" t="s">
        <v>31</v>
      </c>
      <c r="P12089" t="str">
        <f>"15210"</f>
        <v>15210</v>
      </c>
    </row>
    <row r="12090" spans="1:16" x14ac:dyDescent="0.25">
      <c r="A12090" t="str">
        <f>"1180015L00082    00"</f>
        <v>1180015L00082    00</v>
      </c>
      <c r="B12090" t="s">
        <v>26648</v>
      </c>
      <c r="C12090" t="s">
        <v>26649</v>
      </c>
      <c r="E12090" t="s">
        <v>39</v>
      </c>
      <c r="F12090">
        <v>0</v>
      </c>
      <c r="G12090">
        <v>0</v>
      </c>
      <c r="H12090">
        <v>4</v>
      </c>
      <c r="I12090" s="3">
        <v>1795.87</v>
      </c>
      <c r="J12090" s="3">
        <v>388.96</v>
      </c>
      <c r="L12090">
        <v>1719</v>
      </c>
      <c r="M12090" t="s">
        <v>26650</v>
      </c>
      <c r="N12090" t="s">
        <v>30</v>
      </c>
      <c r="O12090" t="s">
        <v>31</v>
      </c>
      <c r="P12090" t="str">
        <f>"15212"</f>
        <v>15212</v>
      </c>
    </row>
    <row r="12091" spans="1:16" x14ac:dyDescent="0.25">
      <c r="A12091" t="str">
        <f>"1180015L00084    00"</f>
        <v>1180015L00084    00</v>
      </c>
      <c r="B12091" t="s">
        <v>26651</v>
      </c>
      <c r="C12091" t="s">
        <v>26652</v>
      </c>
      <c r="D12091" t="s">
        <v>20</v>
      </c>
      <c r="E12091" t="s">
        <v>39</v>
      </c>
      <c r="F12091">
        <v>0</v>
      </c>
      <c r="G12091">
        <v>0</v>
      </c>
      <c r="H12091">
        <v>18</v>
      </c>
      <c r="I12091" s="3">
        <v>11127.74</v>
      </c>
      <c r="J12091" s="3">
        <v>9522.1</v>
      </c>
      <c r="K12091" t="s">
        <v>26653</v>
      </c>
      <c r="L12091">
        <v>4400</v>
      </c>
      <c r="M12091" t="s">
        <v>26654</v>
      </c>
      <c r="N12091" t="s">
        <v>30</v>
      </c>
      <c r="O12091" t="s">
        <v>31</v>
      </c>
      <c r="P12091" t="str">
        <f>"15213"</f>
        <v>15213</v>
      </c>
    </row>
    <row r="12092" spans="1:16" x14ac:dyDescent="0.25">
      <c r="A12092" t="str">
        <f>"1180015L00085    01"</f>
        <v>1180015L00085    01</v>
      </c>
      <c r="B12092" t="s">
        <v>26655</v>
      </c>
      <c r="C12092" t="s">
        <v>26656</v>
      </c>
      <c r="D12092" t="s">
        <v>20</v>
      </c>
      <c r="E12092" t="s">
        <v>39</v>
      </c>
      <c r="F12092">
        <v>0</v>
      </c>
      <c r="G12092">
        <v>0</v>
      </c>
      <c r="H12092">
        <v>11</v>
      </c>
      <c r="I12092" s="3">
        <v>7293.6</v>
      </c>
      <c r="J12092" s="3">
        <v>3480.98</v>
      </c>
      <c r="L12092">
        <v>83</v>
      </c>
      <c r="M12092" t="s">
        <v>26657</v>
      </c>
      <c r="N12092" t="s">
        <v>30</v>
      </c>
      <c r="O12092" t="s">
        <v>31</v>
      </c>
      <c r="P12092" t="str">
        <f>"15210"</f>
        <v>15210</v>
      </c>
    </row>
    <row r="12093" spans="1:16" x14ac:dyDescent="0.25">
      <c r="A12093" t="str">
        <f>"1180015L00086    00"</f>
        <v>1180015L00086    00</v>
      </c>
      <c r="B12093" t="s">
        <v>26658</v>
      </c>
      <c r="C12093" t="s">
        <v>25977</v>
      </c>
      <c r="D12093" t="s">
        <v>20</v>
      </c>
      <c r="E12093" t="s">
        <v>39</v>
      </c>
      <c r="F12093">
        <v>0</v>
      </c>
      <c r="G12093">
        <v>0</v>
      </c>
      <c r="H12093">
        <v>18</v>
      </c>
      <c r="I12093" s="3">
        <v>1879.28</v>
      </c>
      <c r="J12093" s="3">
        <v>2134.54</v>
      </c>
      <c r="K12093" t="s">
        <v>26659</v>
      </c>
      <c r="L12093">
        <v>3824</v>
      </c>
      <c r="M12093" t="s">
        <v>26660</v>
      </c>
      <c r="N12093" t="s">
        <v>26661</v>
      </c>
      <c r="O12093" t="s">
        <v>31</v>
      </c>
      <c r="P12093" t="str">
        <f>"15129"</f>
        <v>15129</v>
      </c>
    </row>
    <row r="12094" spans="1:16" x14ac:dyDescent="0.25">
      <c r="A12094" t="str">
        <f>"1180015L00087    00"</f>
        <v>1180015L00087    00</v>
      </c>
      <c r="B12094" t="s">
        <v>26662</v>
      </c>
      <c r="C12094" t="s">
        <v>25977</v>
      </c>
      <c r="D12094" t="s">
        <v>20</v>
      </c>
      <c r="E12094" t="s">
        <v>39</v>
      </c>
      <c r="F12094">
        <v>0</v>
      </c>
      <c r="G12094">
        <v>0</v>
      </c>
      <c r="H12094">
        <v>17</v>
      </c>
      <c r="I12094" s="3">
        <v>1401.67</v>
      </c>
      <c r="J12094" s="3">
        <v>1435.84</v>
      </c>
      <c r="L12094">
        <v>216</v>
      </c>
      <c r="M12094" t="s">
        <v>25529</v>
      </c>
      <c r="N12094" t="s">
        <v>30</v>
      </c>
      <c r="O12094" t="s">
        <v>31</v>
      </c>
      <c r="P12094" t="str">
        <f>"15210"</f>
        <v>15210</v>
      </c>
    </row>
    <row r="12095" spans="1:16" x14ac:dyDescent="0.25">
      <c r="A12095" t="str">
        <f>"1180015L00088    00"</f>
        <v>1180015L00088    00</v>
      </c>
      <c r="B12095" t="s">
        <v>26663</v>
      </c>
      <c r="C12095" t="s">
        <v>25977</v>
      </c>
      <c r="D12095" t="s">
        <v>20</v>
      </c>
      <c r="E12095" t="s">
        <v>39</v>
      </c>
      <c r="F12095">
        <v>0</v>
      </c>
      <c r="G12095">
        <v>0</v>
      </c>
      <c r="H12095">
        <v>16</v>
      </c>
      <c r="I12095" s="3">
        <v>988.46</v>
      </c>
      <c r="J12095" s="3">
        <v>747.09</v>
      </c>
      <c r="L12095">
        <v>77</v>
      </c>
      <c r="M12095" t="s">
        <v>25529</v>
      </c>
      <c r="N12095" t="s">
        <v>30</v>
      </c>
      <c r="O12095" t="s">
        <v>31</v>
      </c>
      <c r="P12095" t="str">
        <f>"15210"</f>
        <v>15210</v>
      </c>
    </row>
    <row r="12096" spans="1:16" x14ac:dyDescent="0.25">
      <c r="A12096" t="str">
        <f>"1180015L00093    00"</f>
        <v>1180015L00093    00</v>
      </c>
      <c r="B12096" t="s">
        <v>26664</v>
      </c>
      <c r="C12096" t="s">
        <v>26665</v>
      </c>
      <c r="D12096" t="s">
        <v>57</v>
      </c>
      <c r="E12096" t="s">
        <v>39</v>
      </c>
      <c r="F12096">
        <v>0</v>
      </c>
      <c r="G12096">
        <v>0</v>
      </c>
      <c r="H12096">
        <v>1</v>
      </c>
      <c r="I12096" s="3">
        <v>617.54</v>
      </c>
      <c r="J12096" s="3">
        <v>0</v>
      </c>
      <c r="L12096">
        <v>202</v>
      </c>
      <c r="M12096" t="s">
        <v>26618</v>
      </c>
      <c r="N12096" t="s">
        <v>30</v>
      </c>
      <c r="O12096" t="s">
        <v>31</v>
      </c>
      <c r="P12096" t="str">
        <f>"15210"</f>
        <v>15210</v>
      </c>
    </row>
    <row r="12097" spans="1:16" x14ac:dyDescent="0.25">
      <c r="A12097" t="str">
        <f>"1180015L00094    00"</f>
        <v>1180015L00094    00</v>
      </c>
      <c r="B12097" t="s">
        <v>26666</v>
      </c>
      <c r="C12097" t="s">
        <v>25977</v>
      </c>
      <c r="D12097" t="s">
        <v>20</v>
      </c>
      <c r="E12097" t="s">
        <v>39</v>
      </c>
      <c r="F12097">
        <v>0</v>
      </c>
      <c r="G12097">
        <v>0</v>
      </c>
      <c r="H12097">
        <v>7</v>
      </c>
      <c r="I12097" s="3">
        <v>408.57</v>
      </c>
      <c r="J12097" s="3">
        <v>243.32</v>
      </c>
      <c r="L12097">
        <v>61</v>
      </c>
      <c r="M12097" t="s">
        <v>25529</v>
      </c>
      <c r="N12097" t="s">
        <v>30</v>
      </c>
      <c r="O12097" t="s">
        <v>31</v>
      </c>
      <c r="P12097" t="str">
        <f>"15210"</f>
        <v>15210</v>
      </c>
    </row>
    <row r="12098" spans="1:16" x14ac:dyDescent="0.25">
      <c r="A12098" t="str">
        <f>"1180015L00097    00"</f>
        <v>1180015L00097    00</v>
      </c>
      <c r="B12098" t="s">
        <v>26667</v>
      </c>
      <c r="C12098" t="s">
        <v>26668</v>
      </c>
      <c r="D12098" t="s">
        <v>20</v>
      </c>
      <c r="E12098" t="s">
        <v>39</v>
      </c>
      <c r="F12098">
        <v>0</v>
      </c>
      <c r="G12098">
        <v>0</v>
      </c>
      <c r="H12098">
        <v>2</v>
      </c>
      <c r="I12098" s="3">
        <v>774.86</v>
      </c>
      <c r="J12098" s="3">
        <v>0</v>
      </c>
      <c r="L12098">
        <v>61</v>
      </c>
      <c r="M12098" t="s">
        <v>25529</v>
      </c>
      <c r="N12098" t="s">
        <v>30</v>
      </c>
      <c r="O12098" t="s">
        <v>31</v>
      </c>
      <c r="P12098" t="str">
        <f>"15210"</f>
        <v>15210</v>
      </c>
    </row>
    <row r="12099" spans="1:16" x14ac:dyDescent="0.25">
      <c r="A12099" t="str">
        <f>"1180015L00103    00"</f>
        <v>1180015L00103    00</v>
      </c>
      <c r="B12099" t="s">
        <v>26669</v>
      </c>
      <c r="C12099" t="s">
        <v>25977</v>
      </c>
      <c r="D12099" t="s">
        <v>20</v>
      </c>
      <c r="E12099" t="s">
        <v>39</v>
      </c>
      <c r="F12099">
        <v>0</v>
      </c>
      <c r="G12099">
        <v>0</v>
      </c>
      <c r="H12099">
        <v>17</v>
      </c>
      <c r="I12099" s="3">
        <v>196.54</v>
      </c>
      <c r="J12099" s="3">
        <v>217.52</v>
      </c>
      <c r="K12099" t="s">
        <v>1008</v>
      </c>
      <c r="P12099" t="str">
        <f>""</f>
        <v/>
      </c>
    </row>
    <row r="12100" spans="1:16" x14ac:dyDescent="0.25">
      <c r="A12100" t="str">
        <f>"1180015L00107    00"</f>
        <v>1180015L00107    00</v>
      </c>
      <c r="B12100" t="s">
        <v>26670</v>
      </c>
      <c r="C12100" t="s">
        <v>26671</v>
      </c>
      <c r="D12100" t="s">
        <v>20</v>
      </c>
      <c r="E12100" t="s">
        <v>21</v>
      </c>
      <c r="F12100">
        <v>0</v>
      </c>
      <c r="G12100">
        <v>0</v>
      </c>
      <c r="H12100">
        <v>15</v>
      </c>
      <c r="I12100" s="3">
        <v>218.35</v>
      </c>
      <c r="J12100" s="3">
        <v>177</v>
      </c>
      <c r="K12100" t="s">
        <v>3331</v>
      </c>
      <c r="L12100">
        <v>613</v>
      </c>
      <c r="M12100" t="s">
        <v>14713</v>
      </c>
      <c r="N12100" t="s">
        <v>30</v>
      </c>
      <c r="O12100" t="s">
        <v>31</v>
      </c>
      <c r="P12100" t="str">
        <f>"15210"</f>
        <v>15210</v>
      </c>
    </row>
    <row r="12101" spans="1:16" x14ac:dyDescent="0.25">
      <c r="A12101" t="str">
        <f>"1180015L00139    00"</f>
        <v>1180015L00139    00</v>
      </c>
      <c r="B12101" t="s">
        <v>26672</v>
      </c>
      <c r="C12101" t="s">
        <v>25971</v>
      </c>
      <c r="D12101" t="s">
        <v>20</v>
      </c>
      <c r="E12101" t="s">
        <v>39</v>
      </c>
      <c r="F12101">
        <v>0</v>
      </c>
      <c r="G12101">
        <v>0</v>
      </c>
      <c r="H12101">
        <v>13</v>
      </c>
      <c r="I12101" s="3">
        <v>673.51</v>
      </c>
      <c r="J12101" s="3">
        <v>365.75</v>
      </c>
      <c r="L12101">
        <v>999</v>
      </c>
      <c r="M12101" t="s">
        <v>26673</v>
      </c>
      <c r="N12101" t="s">
        <v>26674</v>
      </c>
      <c r="O12101" t="s">
        <v>495</v>
      </c>
      <c r="P12101" t="str">
        <f>"92694"</f>
        <v>92694</v>
      </c>
    </row>
    <row r="12102" spans="1:16" x14ac:dyDescent="0.25">
      <c r="A12102" t="str">
        <f>"1180015L00142    00"</f>
        <v>1180015L00142    00</v>
      </c>
      <c r="B12102" t="s">
        <v>26675</v>
      </c>
      <c r="C12102" t="s">
        <v>26676</v>
      </c>
      <c r="E12102" t="s">
        <v>39</v>
      </c>
      <c r="F12102">
        <v>0</v>
      </c>
      <c r="G12102">
        <v>0</v>
      </c>
      <c r="H12102">
        <v>1</v>
      </c>
      <c r="I12102" s="3">
        <v>1074.48</v>
      </c>
      <c r="J12102" s="3">
        <v>743.16</v>
      </c>
      <c r="K12102" t="s">
        <v>26677</v>
      </c>
      <c r="L12102">
        <v>40</v>
      </c>
      <c r="M12102" t="s">
        <v>11611</v>
      </c>
      <c r="N12102" t="s">
        <v>30</v>
      </c>
      <c r="O12102" t="s">
        <v>31</v>
      </c>
      <c r="P12102" t="str">
        <f>"15211"</f>
        <v>15211</v>
      </c>
    </row>
    <row r="12103" spans="1:16" x14ac:dyDescent="0.25">
      <c r="A12103" t="str">
        <f>"1180015L00143    00"</f>
        <v>1180015L00143    00</v>
      </c>
      <c r="B12103" t="s">
        <v>26678</v>
      </c>
      <c r="C12103" t="s">
        <v>25971</v>
      </c>
      <c r="D12103" t="s">
        <v>20</v>
      </c>
      <c r="E12103" t="s">
        <v>39</v>
      </c>
      <c r="F12103">
        <v>0</v>
      </c>
      <c r="G12103">
        <v>0</v>
      </c>
      <c r="H12103">
        <v>19</v>
      </c>
      <c r="I12103" s="3">
        <v>6744.6</v>
      </c>
      <c r="J12103" s="3">
        <v>9602.6200000000008</v>
      </c>
      <c r="L12103">
        <v>1336</v>
      </c>
      <c r="M12103" t="s">
        <v>26679</v>
      </c>
      <c r="N12103" t="s">
        <v>26680</v>
      </c>
      <c r="O12103" t="s">
        <v>70</v>
      </c>
      <c r="P12103" t="str">
        <f>"48601"</f>
        <v>48601</v>
      </c>
    </row>
    <row r="12104" spans="1:16" x14ac:dyDescent="0.25">
      <c r="A12104" t="str">
        <f>"1180015L00144    00"</f>
        <v>1180015L00144    00</v>
      </c>
      <c r="B12104" t="s">
        <v>26681</v>
      </c>
      <c r="C12104" t="s">
        <v>26682</v>
      </c>
      <c r="D12104" t="s">
        <v>20</v>
      </c>
      <c r="E12104" t="s">
        <v>39</v>
      </c>
      <c r="F12104">
        <v>0</v>
      </c>
      <c r="G12104">
        <v>0</v>
      </c>
      <c r="H12104">
        <v>3</v>
      </c>
      <c r="I12104" s="3">
        <v>1671.25</v>
      </c>
      <c r="J12104" s="3">
        <v>74.260000000000005</v>
      </c>
      <c r="L12104">
        <v>8351</v>
      </c>
      <c r="M12104" t="s">
        <v>3107</v>
      </c>
      <c r="N12104" t="s">
        <v>30</v>
      </c>
      <c r="O12104" t="s">
        <v>31</v>
      </c>
      <c r="P12104" t="str">
        <f>"15221"</f>
        <v>15221</v>
      </c>
    </row>
    <row r="12105" spans="1:16" x14ac:dyDescent="0.25">
      <c r="A12105" t="str">
        <f>"1180015L00151    00"</f>
        <v>1180015L00151    00</v>
      </c>
      <c r="B12105" t="s">
        <v>26683</v>
      </c>
      <c r="C12105" t="s">
        <v>26684</v>
      </c>
      <c r="D12105" t="s">
        <v>20</v>
      </c>
      <c r="E12105" t="s">
        <v>39</v>
      </c>
      <c r="F12105">
        <v>0</v>
      </c>
      <c r="G12105">
        <v>0</v>
      </c>
      <c r="H12105">
        <v>5</v>
      </c>
      <c r="I12105" s="3">
        <v>1560.54</v>
      </c>
      <c r="J12105" s="3">
        <v>369.91</v>
      </c>
      <c r="L12105">
        <v>132</v>
      </c>
      <c r="M12105" t="s">
        <v>12198</v>
      </c>
      <c r="N12105" t="s">
        <v>30</v>
      </c>
      <c r="O12105" t="s">
        <v>31</v>
      </c>
      <c r="P12105" t="str">
        <f>"15210"</f>
        <v>15210</v>
      </c>
    </row>
    <row r="12106" spans="1:16" x14ac:dyDescent="0.25">
      <c r="A12106" t="str">
        <f>"1180015L00152    00"</f>
        <v>1180015L00152    00</v>
      </c>
      <c r="B12106" t="s">
        <v>26685</v>
      </c>
      <c r="C12106" t="s">
        <v>26686</v>
      </c>
      <c r="D12106" t="s">
        <v>20</v>
      </c>
      <c r="E12106" t="s">
        <v>39</v>
      </c>
      <c r="F12106">
        <v>0</v>
      </c>
      <c r="G12106">
        <v>0</v>
      </c>
      <c r="H12106">
        <v>14</v>
      </c>
      <c r="I12106" s="3">
        <v>2511.16</v>
      </c>
      <c r="J12106" s="3">
        <v>2102.9899999999998</v>
      </c>
      <c r="L12106">
        <v>2032</v>
      </c>
      <c r="M12106" t="s">
        <v>26687</v>
      </c>
      <c r="N12106" t="s">
        <v>30</v>
      </c>
      <c r="O12106" t="s">
        <v>31</v>
      </c>
      <c r="P12106" t="str">
        <f>"15210"</f>
        <v>15210</v>
      </c>
    </row>
    <row r="12107" spans="1:16" x14ac:dyDescent="0.25">
      <c r="A12107" t="str">
        <f>"1180015L00153    00"</f>
        <v>1180015L00153    00</v>
      </c>
      <c r="B12107" t="s">
        <v>26685</v>
      </c>
      <c r="C12107" t="s">
        <v>25971</v>
      </c>
      <c r="D12107" t="s">
        <v>20</v>
      </c>
      <c r="E12107" t="s">
        <v>39</v>
      </c>
      <c r="F12107">
        <v>0</v>
      </c>
      <c r="G12107">
        <v>0</v>
      </c>
      <c r="H12107">
        <v>12</v>
      </c>
      <c r="I12107" s="3">
        <v>176.37</v>
      </c>
      <c r="J12107" s="3">
        <v>96.41</v>
      </c>
      <c r="L12107">
        <v>2032</v>
      </c>
      <c r="M12107" t="s">
        <v>26687</v>
      </c>
      <c r="N12107" t="s">
        <v>30</v>
      </c>
      <c r="O12107" t="s">
        <v>31</v>
      </c>
      <c r="P12107" t="str">
        <f>"15210"</f>
        <v>15210</v>
      </c>
    </row>
    <row r="12108" spans="1:16" x14ac:dyDescent="0.25">
      <c r="A12108" t="str">
        <f>"1180015L00154    00"</f>
        <v>1180015L00154    00</v>
      </c>
      <c r="B12108" t="s">
        <v>26688</v>
      </c>
      <c r="C12108" t="s">
        <v>26689</v>
      </c>
      <c r="D12108" t="s">
        <v>20</v>
      </c>
      <c r="E12108" t="s">
        <v>39</v>
      </c>
      <c r="F12108">
        <v>0</v>
      </c>
      <c r="G12108">
        <v>0</v>
      </c>
      <c r="H12108">
        <v>6</v>
      </c>
      <c r="I12108" s="3">
        <v>965.23</v>
      </c>
      <c r="J12108" s="3">
        <v>340.44</v>
      </c>
      <c r="L12108">
        <v>132</v>
      </c>
      <c r="M12108" t="s">
        <v>12198</v>
      </c>
      <c r="N12108" t="s">
        <v>30</v>
      </c>
      <c r="O12108" t="s">
        <v>31</v>
      </c>
      <c r="P12108" t="str">
        <f>"15210"</f>
        <v>15210</v>
      </c>
    </row>
    <row r="12109" spans="1:16" x14ac:dyDescent="0.25">
      <c r="A12109" t="str">
        <f>"1180015L00155    00"</f>
        <v>1180015L00155    00</v>
      </c>
      <c r="B12109" t="s">
        <v>26690</v>
      </c>
      <c r="C12109" t="s">
        <v>25971</v>
      </c>
      <c r="D12109" t="s">
        <v>20</v>
      </c>
      <c r="E12109" t="s">
        <v>39</v>
      </c>
      <c r="F12109">
        <v>0</v>
      </c>
      <c r="G12109">
        <v>0</v>
      </c>
      <c r="H12109">
        <v>19</v>
      </c>
      <c r="I12109" s="3">
        <v>4782.17</v>
      </c>
      <c r="J12109" s="3">
        <v>6329.53</v>
      </c>
      <c r="P12109" t="str">
        <f>"15219"</f>
        <v>15219</v>
      </c>
    </row>
    <row r="12110" spans="1:16" x14ac:dyDescent="0.25">
      <c r="A12110" t="str">
        <f>"1180015L00168    00"</f>
        <v>1180015L00168    00</v>
      </c>
      <c r="B12110" t="s">
        <v>26691</v>
      </c>
      <c r="C12110" t="s">
        <v>26692</v>
      </c>
      <c r="D12110" t="s">
        <v>20</v>
      </c>
      <c r="E12110" t="s">
        <v>39</v>
      </c>
      <c r="F12110">
        <v>0</v>
      </c>
      <c r="G12110">
        <v>0</v>
      </c>
      <c r="H12110">
        <v>19</v>
      </c>
      <c r="I12110" s="3">
        <v>3214.68</v>
      </c>
      <c r="J12110" s="3">
        <v>4423.18</v>
      </c>
      <c r="L12110">
        <v>171</v>
      </c>
      <c r="M12110" t="s">
        <v>26693</v>
      </c>
      <c r="N12110" t="s">
        <v>9778</v>
      </c>
      <c r="O12110" t="s">
        <v>423</v>
      </c>
      <c r="P12110" t="str">
        <f>"07305"</f>
        <v>07305</v>
      </c>
    </row>
    <row r="12111" spans="1:16" x14ac:dyDescent="0.25">
      <c r="A12111" t="str">
        <f>"1180015L00180    00"</f>
        <v>1180015L00180    00</v>
      </c>
      <c r="B12111" t="s">
        <v>26694</v>
      </c>
      <c r="C12111" t="s">
        <v>26383</v>
      </c>
      <c r="D12111" t="s">
        <v>20</v>
      </c>
      <c r="E12111" t="s">
        <v>39</v>
      </c>
      <c r="F12111">
        <v>0</v>
      </c>
      <c r="G12111">
        <v>0</v>
      </c>
      <c r="H12111">
        <v>19</v>
      </c>
      <c r="I12111" s="3">
        <v>279.7</v>
      </c>
      <c r="J12111" s="3">
        <v>282.8</v>
      </c>
      <c r="L12111">
        <v>111</v>
      </c>
      <c r="M12111" t="s">
        <v>12198</v>
      </c>
      <c r="N12111" t="s">
        <v>30</v>
      </c>
      <c r="O12111" t="s">
        <v>31</v>
      </c>
      <c r="P12111" t="str">
        <f>"15210"</f>
        <v>15210</v>
      </c>
    </row>
    <row r="12112" spans="1:16" x14ac:dyDescent="0.25">
      <c r="A12112" t="str">
        <f>"1180015L00181    00"</f>
        <v>1180015L00181    00</v>
      </c>
      <c r="B12112" t="s">
        <v>26695</v>
      </c>
      <c r="C12112" t="s">
        <v>26383</v>
      </c>
      <c r="D12112" t="s">
        <v>20</v>
      </c>
      <c r="E12112" t="s">
        <v>39</v>
      </c>
      <c r="F12112">
        <v>0</v>
      </c>
      <c r="G12112">
        <v>0</v>
      </c>
      <c r="H12112">
        <v>15</v>
      </c>
      <c r="I12112" s="3">
        <v>176.25</v>
      </c>
      <c r="J12112" s="3">
        <v>126.37</v>
      </c>
      <c r="K12112" t="s">
        <v>26696</v>
      </c>
      <c r="L12112">
        <v>2337</v>
      </c>
      <c r="M12112" t="s">
        <v>26697</v>
      </c>
      <c r="N12112" t="s">
        <v>5080</v>
      </c>
      <c r="O12112" t="s">
        <v>7695</v>
      </c>
      <c r="P12112" t="str">
        <f>"40206"</f>
        <v>40206</v>
      </c>
    </row>
    <row r="12113" spans="1:16" x14ac:dyDescent="0.25">
      <c r="A12113" t="str">
        <f>"1180015L00182    00"</f>
        <v>1180015L00182    00</v>
      </c>
      <c r="B12113" t="s">
        <v>26698</v>
      </c>
      <c r="C12113" t="s">
        <v>26383</v>
      </c>
      <c r="D12113" t="s">
        <v>20</v>
      </c>
      <c r="E12113" t="s">
        <v>39</v>
      </c>
      <c r="F12113">
        <v>0</v>
      </c>
      <c r="G12113">
        <v>0</v>
      </c>
      <c r="H12113">
        <v>19</v>
      </c>
      <c r="I12113" s="3">
        <v>920.33</v>
      </c>
      <c r="J12113" s="3">
        <v>639.99</v>
      </c>
      <c r="L12113">
        <v>609</v>
      </c>
      <c r="M12113" t="s">
        <v>14713</v>
      </c>
      <c r="N12113" t="s">
        <v>30</v>
      </c>
      <c r="O12113" t="s">
        <v>31</v>
      </c>
      <c r="P12113" t="str">
        <f>"15210"</f>
        <v>15210</v>
      </c>
    </row>
    <row r="12114" spans="1:16" x14ac:dyDescent="0.25">
      <c r="A12114" t="str">
        <f>"1180015L00183    00"</f>
        <v>1180015L00183    00</v>
      </c>
      <c r="B12114" t="s">
        <v>26699</v>
      </c>
      <c r="C12114" t="s">
        <v>26383</v>
      </c>
      <c r="D12114" t="s">
        <v>20</v>
      </c>
      <c r="E12114" t="s">
        <v>39</v>
      </c>
      <c r="F12114">
        <v>0</v>
      </c>
      <c r="G12114">
        <v>0</v>
      </c>
      <c r="H12114">
        <v>19</v>
      </c>
      <c r="I12114" s="3">
        <v>638.73</v>
      </c>
      <c r="J12114" s="3">
        <v>720.04</v>
      </c>
      <c r="L12114">
        <v>609</v>
      </c>
      <c r="M12114" t="s">
        <v>14713</v>
      </c>
      <c r="N12114" t="s">
        <v>30</v>
      </c>
      <c r="O12114" t="s">
        <v>31</v>
      </c>
      <c r="P12114" t="str">
        <f>"15210"</f>
        <v>15210</v>
      </c>
    </row>
    <row r="12115" spans="1:16" x14ac:dyDescent="0.25">
      <c r="A12115" t="str">
        <f>"1180015L00185    00"</f>
        <v>1180015L00185    00</v>
      </c>
      <c r="B12115" t="s">
        <v>26700</v>
      </c>
      <c r="C12115" t="s">
        <v>26701</v>
      </c>
      <c r="D12115" t="s">
        <v>20</v>
      </c>
      <c r="E12115" t="s">
        <v>39</v>
      </c>
      <c r="F12115">
        <v>0</v>
      </c>
      <c r="G12115">
        <v>0</v>
      </c>
      <c r="H12115">
        <v>16</v>
      </c>
      <c r="I12115" s="3">
        <v>5029.8100000000004</v>
      </c>
      <c r="J12115" s="3">
        <v>3026.43</v>
      </c>
      <c r="L12115">
        <v>285</v>
      </c>
      <c r="M12115" t="s">
        <v>26253</v>
      </c>
      <c r="N12115" t="s">
        <v>30</v>
      </c>
      <c r="O12115" t="s">
        <v>31</v>
      </c>
      <c r="P12115" t="str">
        <f>"15211"</f>
        <v>15211</v>
      </c>
    </row>
    <row r="12116" spans="1:16" x14ac:dyDescent="0.25">
      <c r="A12116" t="str">
        <f>"1180015L00186    00"</f>
        <v>1180015L00186    00</v>
      </c>
      <c r="B12116" t="s">
        <v>26702</v>
      </c>
      <c r="C12116" t="s">
        <v>26703</v>
      </c>
      <c r="D12116" t="s">
        <v>20</v>
      </c>
      <c r="E12116" t="s">
        <v>39</v>
      </c>
      <c r="F12116">
        <v>0</v>
      </c>
      <c r="G12116">
        <v>0</v>
      </c>
      <c r="H12116">
        <v>4</v>
      </c>
      <c r="I12116" s="3">
        <v>1124.93</v>
      </c>
      <c r="J12116" s="3">
        <v>215.33</v>
      </c>
      <c r="L12116">
        <v>112</v>
      </c>
      <c r="M12116" t="s">
        <v>26704</v>
      </c>
      <c r="N12116" t="s">
        <v>30</v>
      </c>
      <c r="O12116" t="s">
        <v>31</v>
      </c>
      <c r="P12116" t="str">
        <f>"15220"</f>
        <v>15220</v>
      </c>
    </row>
    <row r="12117" spans="1:16" x14ac:dyDescent="0.25">
      <c r="A12117" t="str">
        <f>"1180015L00188    00"</f>
        <v>1180015L00188    00</v>
      </c>
      <c r="B12117" t="s">
        <v>26705</v>
      </c>
      <c r="C12117" t="s">
        <v>26383</v>
      </c>
      <c r="D12117" t="s">
        <v>20</v>
      </c>
      <c r="E12117" t="s">
        <v>39</v>
      </c>
      <c r="F12117">
        <v>0</v>
      </c>
      <c r="G12117">
        <v>0</v>
      </c>
      <c r="H12117">
        <v>16</v>
      </c>
      <c r="I12117" s="3">
        <v>5111.5200000000004</v>
      </c>
      <c r="J12117" s="3">
        <v>6719</v>
      </c>
      <c r="M12117" t="s">
        <v>26706</v>
      </c>
      <c r="N12117" t="s">
        <v>26707</v>
      </c>
      <c r="O12117" t="s">
        <v>1005</v>
      </c>
      <c r="P12117" t="str">
        <f>"85172"</f>
        <v>85172</v>
      </c>
    </row>
    <row r="12118" spans="1:16" x14ac:dyDescent="0.25">
      <c r="A12118" t="str">
        <f>"1180015L00189    00"</f>
        <v>1180015L00189    00</v>
      </c>
      <c r="B12118" t="s">
        <v>26708</v>
      </c>
      <c r="C12118" t="s">
        <v>26709</v>
      </c>
      <c r="D12118" t="s">
        <v>20</v>
      </c>
      <c r="E12118" t="s">
        <v>39</v>
      </c>
      <c r="F12118">
        <v>0</v>
      </c>
      <c r="G12118">
        <v>0</v>
      </c>
      <c r="H12118">
        <v>5</v>
      </c>
      <c r="I12118" s="3">
        <v>2807.27</v>
      </c>
      <c r="J12118" s="3">
        <v>484.99</v>
      </c>
      <c r="K12118" t="s">
        <v>26710</v>
      </c>
      <c r="L12118">
        <v>1407</v>
      </c>
      <c r="M12118" t="s">
        <v>26711</v>
      </c>
      <c r="N12118" t="s">
        <v>30</v>
      </c>
      <c r="O12118" t="s">
        <v>31</v>
      </c>
      <c r="P12118" t="str">
        <f>"15204"</f>
        <v>15204</v>
      </c>
    </row>
    <row r="12119" spans="1:16" x14ac:dyDescent="0.25">
      <c r="A12119" t="str">
        <f>"1180015L00192    00"</f>
        <v>1180015L00192    00</v>
      </c>
      <c r="B12119" t="s">
        <v>16104</v>
      </c>
      <c r="C12119" t="s">
        <v>26712</v>
      </c>
      <c r="D12119" t="s">
        <v>20</v>
      </c>
      <c r="E12119" t="s">
        <v>39</v>
      </c>
      <c r="F12119">
        <v>0</v>
      </c>
      <c r="G12119">
        <v>0</v>
      </c>
      <c r="H12119">
        <v>1</v>
      </c>
      <c r="I12119" s="3">
        <v>746.65</v>
      </c>
      <c r="J12119" s="3">
        <v>205.32</v>
      </c>
      <c r="L12119">
        <v>8807</v>
      </c>
      <c r="M12119" t="s">
        <v>13958</v>
      </c>
      <c r="N12119" t="s">
        <v>30</v>
      </c>
      <c r="O12119" t="s">
        <v>31</v>
      </c>
      <c r="P12119" t="str">
        <f>"15221"</f>
        <v>15221</v>
      </c>
    </row>
    <row r="12120" spans="1:16" x14ac:dyDescent="0.25">
      <c r="A12120" t="str">
        <f>"1180015L00193    00"</f>
        <v>1180015L00193    00</v>
      </c>
      <c r="B12120" t="s">
        <v>26713</v>
      </c>
      <c r="C12120" t="s">
        <v>25971</v>
      </c>
      <c r="D12120" t="s">
        <v>20</v>
      </c>
      <c r="E12120" t="s">
        <v>39</v>
      </c>
      <c r="F12120">
        <v>0</v>
      </c>
      <c r="G12120">
        <v>0</v>
      </c>
      <c r="H12120">
        <v>19</v>
      </c>
      <c r="I12120" s="3">
        <v>279.7</v>
      </c>
      <c r="J12120" s="3">
        <v>282.8</v>
      </c>
      <c r="L12120">
        <v>618</v>
      </c>
      <c r="M12120" t="s">
        <v>14713</v>
      </c>
      <c r="N12120" t="s">
        <v>30</v>
      </c>
      <c r="O12120" t="s">
        <v>31</v>
      </c>
      <c r="P12120" t="str">
        <f t="shared" ref="P12120:P12126" si="147">"15210"</f>
        <v>15210</v>
      </c>
    </row>
    <row r="12121" spans="1:16" x14ac:dyDescent="0.25">
      <c r="A12121" t="str">
        <f>"1180015L00194    00"</f>
        <v>1180015L00194    00</v>
      </c>
      <c r="B12121" t="s">
        <v>26714</v>
      </c>
      <c r="C12121" t="s">
        <v>26715</v>
      </c>
      <c r="D12121" t="s">
        <v>20</v>
      </c>
      <c r="E12121" t="s">
        <v>39</v>
      </c>
      <c r="F12121">
        <v>0</v>
      </c>
      <c r="G12121">
        <v>0</v>
      </c>
      <c r="H12121">
        <v>12</v>
      </c>
      <c r="I12121" s="3">
        <v>2744.8</v>
      </c>
      <c r="J12121" s="3">
        <v>1721.71</v>
      </c>
      <c r="L12121">
        <v>114</v>
      </c>
      <c r="M12121" t="s">
        <v>16328</v>
      </c>
      <c r="N12121" t="s">
        <v>30</v>
      </c>
      <c r="O12121" t="s">
        <v>31</v>
      </c>
      <c r="P12121" t="str">
        <f t="shared" si="147"/>
        <v>15210</v>
      </c>
    </row>
    <row r="12122" spans="1:16" x14ac:dyDescent="0.25">
      <c r="A12122" t="str">
        <f>"1180015L00196    00"</f>
        <v>1180015L00196    00</v>
      </c>
      <c r="B12122" t="s">
        <v>26716</v>
      </c>
      <c r="C12122" t="s">
        <v>26344</v>
      </c>
      <c r="E12122" t="s">
        <v>39</v>
      </c>
      <c r="F12122">
        <v>0</v>
      </c>
      <c r="G12122">
        <v>0</v>
      </c>
      <c r="H12122">
        <v>6</v>
      </c>
      <c r="I12122" s="3">
        <v>87.3</v>
      </c>
      <c r="J12122" s="3">
        <v>47.73</v>
      </c>
      <c r="L12122">
        <v>884</v>
      </c>
      <c r="M12122" t="s">
        <v>25968</v>
      </c>
      <c r="N12122" t="s">
        <v>30</v>
      </c>
      <c r="O12122" t="s">
        <v>31</v>
      </c>
      <c r="P12122" t="str">
        <f t="shared" si="147"/>
        <v>15210</v>
      </c>
    </row>
    <row r="12123" spans="1:16" x14ac:dyDescent="0.25">
      <c r="A12123" t="str">
        <f>"1180015L00198    00"</f>
        <v>1180015L00198    00</v>
      </c>
      <c r="B12123" t="s">
        <v>26717</v>
      </c>
      <c r="C12123" t="s">
        <v>26718</v>
      </c>
      <c r="E12123" t="s">
        <v>39</v>
      </c>
      <c r="F12123">
        <v>0</v>
      </c>
      <c r="G12123">
        <v>0</v>
      </c>
      <c r="H12123">
        <v>1</v>
      </c>
      <c r="I12123" s="3">
        <v>160.79</v>
      </c>
      <c r="J12123" s="3">
        <v>184.44</v>
      </c>
      <c r="L12123">
        <v>615</v>
      </c>
      <c r="M12123" t="s">
        <v>26345</v>
      </c>
      <c r="N12123" t="s">
        <v>30</v>
      </c>
      <c r="O12123" t="s">
        <v>31</v>
      </c>
      <c r="P12123" t="str">
        <f t="shared" si="147"/>
        <v>15210</v>
      </c>
    </row>
    <row r="12124" spans="1:16" x14ac:dyDescent="0.25">
      <c r="A12124" t="str">
        <f>"1180015L00199    00"</f>
        <v>1180015L00199    00</v>
      </c>
      <c r="B12124" t="s">
        <v>26719</v>
      </c>
      <c r="C12124" t="s">
        <v>26720</v>
      </c>
      <c r="D12124" t="s">
        <v>20</v>
      </c>
      <c r="E12124" t="s">
        <v>39</v>
      </c>
      <c r="F12124">
        <v>0</v>
      </c>
      <c r="G12124">
        <v>0</v>
      </c>
      <c r="H12124">
        <v>15</v>
      </c>
      <c r="I12124" s="3">
        <v>4314.22</v>
      </c>
      <c r="J12124" s="3">
        <v>2795.73</v>
      </c>
      <c r="L12124">
        <v>884</v>
      </c>
      <c r="M12124" t="s">
        <v>25968</v>
      </c>
      <c r="N12124" t="s">
        <v>30</v>
      </c>
      <c r="O12124" t="s">
        <v>31</v>
      </c>
      <c r="P12124" t="str">
        <f t="shared" si="147"/>
        <v>15210</v>
      </c>
    </row>
    <row r="12125" spans="1:16" x14ac:dyDescent="0.25">
      <c r="A12125" t="str">
        <f>"1180015L00200    00"</f>
        <v>1180015L00200    00</v>
      </c>
      <c r="B12125" t="s">
        <v>26721</v>
      </c>
      <c r="C12125" t="s">
        <v>26722</v>
      </c>
      <c r="D12125" t="s">
        <v>20</v>
      </c>
      <c r="E12125" t="s">
        <v>39</v>
      </c>
      <c r="F12125">
        <v>0</v>
      </c>
      <c r="G12125">
        <v>0</v>
      </c>
      <c r="H12125">
        <v>15</v>
      </c>
      <c r="I12125" s="3">
        <v>6882.46</v>
      </c>
      <c r="J12125" s="3">
        <v>4700</v>
      </c>
      <c r="L12125">
        <v>884</v>
      </c>
      <c r="M12125" t="s">
        <v>25968</v>
      </c>
      <c r="N12125" t="s">
        <v>30</v>
      </c>
      <c r="O12125" t="s">
        <v>31</v>
      </c>
      <c r="P12125" t="str">
        <f t="shared" si="147"/>
        <v>15210</v>
      </c>
    </row>
    <row r="12126" spans="1:16" x14ac:dyDescent="0.25">
      <c r="A12126" t="str">
        <f>"1180015L00202    00"</f>
        <v>1180015L00202    00</v>
      </c>
      <c r="B12126" t="s">
        <v>26723</v>
      </c>
      <c r="C12126" t="s">
        <v>26724</v>
      </c>
      <c r="E12126" t="s">
        <v>39</v>
      </c>
      <c r="F12126">
        <v>0</v>
      </c>
      <c r="G12126">
        <v>0</v>
      </c>
      <c r="H12126">
        <v>2</v>
      </c>
      <c r="I12126" s="3">
        <v>150.97999999999999</v>
      </c>
      <c r="J12126" s="3">
        <v>81.31</v>
      </c>
      <c r="L12126">
        <v>116</v>
      </c>
      <c r="M12126" t="s">
        <v>25529</v>
      </c>
      <c r="N12126" t="s">
        <v>30</v>
      </c>
      <c r="O12126" t="s">
        <v>31</v>
      </c>
      <c r="P12126" t="str">
        <f t="shared" si="147"/>
        <v>15210</v>
      </c>
    </row>
    <row r="12127" spans="1:16" x14ac:dyDescent="0.25">
      <c r="A12127" t="str">
        <f>"1180015L00203    00"</f>
        <v>1180015L00203    00</v>
      </c>
      <c r="B12127" t="s">
        <v>26725</v>
      </c>
      <c r="C12127" t="s">
        <v>26726</v>
      </c>
      <c r="D12127" t="s">
        <v>20</v>
      </c>
      <c r="E12127" t="s">
        <v>39</v>
      </c>
      <c r="F12127">
        <v>0</v>
      </c>
      <c r="G12127">
        <v>0</v>
      </c>
      <c r="H12127">
        <v>2</v>
      </c>
      <c r="I12127" s="3">
        <v>419.06</v>
      </c>
      <c r="J12127" s="3">
        <v>0</v>
      </c>
      <c r="L12127">
        <v>530</v>
      </c>
      <c r="M12127" t="s">
        <v>26727</v>
      </c>
      <c r="N12127" t="s">
        <v>30</v>
      </c>
      <c r="O12127" t="s">
        <v>31</v>
      </c>
      <c r="P12127" t="str">
        <f>"15221"</f>
        <v>15221</v>
      </c>
    </row>
    <row r="12128" spans="1:16" x14ac:dyDescent="0.25">
      <c r="A12128" t="str">
        <f>"1180015L00204    00"</f>
        <v>1180015L00204    00</v>
      </c>
      <c r="B12128" t="s">
        <v>25564</v>
      </c>
      <c r="C12128" t="s">
        <v>26728</v>
      </c>
      <c r="D12128" t="s">
        <v>20</v>
      </c>
      <c r="E12128" t="s">
        <v>39</v>
      </c>
      <c r="F12128">
        <v>0</v>
      </c>
      <c r="G12128">
        <v>0</v>
      </c>
      <c r="H12128">
        <v>10</v>
      </c>
      <c r="I12128" s="3">
        <v>5474.54</v>
      </c>
      <c r="J12128" s="3">
        <v>2344.1</v>
      </c>
      <c r="K12128" t="s">
        <v>25566</v>
      </c>
      <c r="L12128">
        <v>614</v>
      </c>
      <c r="M12128" t="s">
        <v>25567</v>
      </c>
      <c r="N12128" t="s">
        <v>30</v>
      </c>
      <c r="O12128" t="s">
        <v>31</v>
      </c>
      <c r="P12128" t="str">
        <f>"15220"</f>
        <v>15220</v>
      </c>
    </row>
    <row r="12129" spans="1:16" x14ac:dyDescent="0.25">
      <c r="A12129" t="str">
        <f>"1180015L00206    00"</f>
        <v>1180015L00206    00</v>
      </c>
      <c r="B12129" t="s">
        <v>26729</v>
      </c>
      <c r="C12129" t="s">
        <v>26730</v>
      </c>
      <c r="E12129" t="s">
        <v>39</v>
      </c>
      <c r="F12129">
        <v>0</v>
      </c>
      <c r="G12129">
        <v>0</v>
      </c>
      <c r="H12129">
        <v>2</v>
      </c>
      <c r="I12129" s="3">
        <v>352.77</v>
      </c>
      <c r="J12129" s="3">
        <v>52.67</v>
      </c>
      <c r="L12129">
        <v>108</v>
      </c>
      <c r="M12129" t="s">
        <v>25529</v>
      </c>
      <c r="N12129" t="s">
        <v>30</v>
      </c>
      <c r="O12129" t="s">
        <v>31</v>
      </c>
      <c r="P12129" t="str">
        <f>"15210"</f>
        <v>15210</v>
      </c>
    </row>
    <row r="12130" spans="1:16" x14ac:dyDescent="0.25">
      <c r="A12130" t="str">
        <f>"1180015L00209    00"</f>
        <v>1180015L00209    00</v>
      </c>
      <c r="B12130" t="s">
        <v>26731</v>
      </c>
      <c r="C12130" t="s">
        <v>26732</v>
      </c>
      <c r="D12130" t="s">
        <v>20</v>
      </c>
      <c r="E12130" t="s">
        <v>39</v>
      </c>
      <c r="F12130">
        <v>0</v>
      </c>
      <c r="G12130">
        <v>0</v>
      </c>
      <c r="H12130">
        <v>11</v>
      </c>
      <c r="I12130" s="3">
        <v>2736.19</v>
      </c>
      <c r="J12130" s="3">
        <v>3223.37</v>
      </c>
      <c r="K12130" t="s">
        <v>26733</v>
      </c>
      <c r="L12130">
        <v>2057</v>
      </c>
      <c r="M12130" t="s">
        <v>22758</v>
      </c>
      <c r="N12130" t="s">
        <v>30</v>
      </c>
      <c r="O12130" t="s">
        <v>31</v>
      </c>
      <c r="P12130" t="str">
        <f>"15210"</f>
        <v>15210</v>
      </c>
    </row>
    <row r="12131" spans="1:16" x14ac:dyDescent="0.25">
      <c r="A12131" t="str">
        <f>"1180015L00214    00"</f>
        <v>1180015L00214    00</v>
      </c>
      <c r="B12131" t="s">
        <v>26734</v>
      </c>
      <c r="C12131" t="s">
        <v>25977</v>
      </c>
      <c r="D12131" t="s">
        <v>20</v>
      </c>
      <c r="E12131" t="s">
        <v>39</v>
      </c>
      <c r="F12131">
        <v>0</v>
      </c>
      <c r="G12131">
        <v>0</v>
      </c>
      <c r="H12131">
        <v>17</v>
      </c>
      <c r="I12131" s="3">
        <v>134.15</v>
      </c>
      <c r="J12131" s="3">
        <v>149.49</v>
      </c>
      <c r="K12131" t="s">
        <v>1008</v>
      </c>
      <c r="P12131" t="str">
        <f>""</f>
        <v/>
      </c>
    </row>
    <row r="12132" spans="1:16" x14ac:dyDescent="0.25">
      <c r="A12132" t="str">
        <f>"1180015L00215    00"</f>
        <v>1180015L00215    00</v>
      </c>
      <c r="B12132" t="s">
        <v>26734</v>
      </c>
      <c r="C12132" t="s">
        <v>26344</v>
      </c>
      <c r="D12132" t="s">
        <v>20</v>
      </c>
      <c r="E12132" t="s">
        <v>39</v>
      </c>
      <c r="F12132">
        <v>0</v>
      </c>
      <c r="G12132">
        <v>0</v>
      </c>
      <c r="H12132">
        <v>17</v>
      </c>
      <c r="I12132" s="3">
        <v>1256.9000000000001</v>
      </c>
      <c r="J12132" s="3">
        <v>1745.41</v>
      </c>
      <c r="P12132" t="str">
        <f>""</f>
        <v/>
      </c>
    </row>
    <row r="12133" spans="1:16" x14ac:dyDescent="0.25">
      <c r="A12133" t="str">
        <f>"1180015L00216    00"</f>
        <v>1180015L00216    00</v>
      </c>
      <c r="B12133" t="s">
        <v>26735</v>
      </c>
      <c r="C12133" t="s">
        <v>26736</v>
      </c>
      <c r="D12133" t="s">
        <v>20</v>
      </c>
      <c r="E12133" t="s">
        <v>39</v>
      </c>
      <c r="F12133">
        <v>0</v>
      </c>
      <c r="G12133">
        <v>0</v>
      </c>
      <c r="H12133">
        <v>9</v>
      </c>
      <c r="I12133" s="3">
        <v>3336.14</v>
      </c>
      <c r="J12133" s="3">
        <v>1263.25</v>
      </c>
      <c r="L12133">
        <v>523</v>
      </c>
      <c r="M12133" t="s">
        <v>26345</v>
      </c>
      <c r="N12133" t="s">
        <v>30</v>
      </c>
      <c r="O12133" t="s">
        <v>31</v>
      </c>
      <c r="P12133" t="str">
        <f>"15210"</f>
        <v>15210</v>
      </c>
    </row>
    <row r="12134" spans="1:16" x14ac:dyDescent="0.25">
      <c r="A12134" t="str">
        <f>"1180015L00220    00"</f>
        <v>1180015L00220    00</v>
      </c>
      <c r="B12134" t="s">
        <v>26737</v>
      </c>
      <c r="C12134" t="s">
        <v>26738</v>
      </c>
      <c r="E12134" t="s">
        <v>39</v>
      </c>
      <c r="F12134">
        <v>0</v>
      </c>
      <c r="G12134">
        <v>0</v>
      </c>
      <c r="H12134">
        <v>8</v>
      </c>
      <c r="I12134" s="3">
        <v>1820.96</v>
      </c>
      <c r="J12134" s="3">
        <v>3120.08</v>
      </c>
      <c r="M12134" t="s">
        <v>26739</v>
      </c>
      <c r="N12134" t="s">
        <v>30</v>
      </c>
      <c r="O12134" t="s">
        <v>31</v>
      </c>
      <c r="P12134" t="str">
        <f>"15210"</f>
        <v>15210</v>
      </c>
    </row>
    <row r="12135" spans="1:16" x14ac:dyDescent="0.25">
      <c r="A12135" t="str">
        <f>"1180015L00227    00"</f>
        <v>1180015L00227    00</v>
      </c>
      <c r="B12135" t="s">
        <v>26740</v>
      </c>
      <c r="C12135" t="s">
        <v>26741</v>
      </c>
      <c r="E12135" t="s">
        <v>39</v>
      </c>
      <c r="F12135">
        <v>0</v>
      </c>
      <c r="G12135">
        <v>0</v>
      </c>
      <c r="H12135">
        <v>2</v>
      </c>
      <c r="I12135" s="3">
        <v>997.82</v>
      </c>
      <c r="J12135" s="3">
        <v>280.83999999999997</v>
      </c>
      <c r="K12135" t="s">
        <v>26742</v>
      </c>
      <c r="L12135">
        <v>4920</v>
      </c>
      <c r="M12135" t="s">
        <v>26743</v>
      </c>
      <c r="N12135" t="s">
        <v>3934</v>
      </c>
      <c r="O12135" t="s">
        <v>31</v>
      </c>
      <c r="P12135" t="str">
        <f>"15102"</f>
        <v>15102</v>
      </c>
    </row>
    <row r="12136" spans="1:16" x14ac:dyDescent="0.25">
      <c r="A12136" t="str">
        <f>"1180015L00228    00"</f>
        <v>1180015L00228    00</v>
      </c>
      <c r="B12136" t="s">
        <v>26744</v>
      </c>
      <c r="C12136" t="s">
        <v>26383</v>
      </c>
      <c r="D12136" t="s">
        <v>20</v>
      </c>
      <c r="E12136" t="s">
        <v>39</v>
      </c>
      <c r="F12136">
        <v>0</v>
      </c>
      <c r="G12136">
        <v>0</v>
      </c>
      <c r="H12136">
        <v>19</v>
      </c>
      <c r="I12136" s="3">
        <v>279.7</v>
      </c>
      <c r="J12136" s="3">
        <v>282.8</v>
      </c>
      <c r="K12136" t="s">
        <v>1008</v>
      </c>
      <c r="P12136" t="str">
        <f>""</f>
        <v/>
      </c>
    </row>
    <row r="12137" spans="1:16" x14ac:dyDescent="0.25">
      <c r="A12137" t="str">
        <f>"1180015L00230    00"</f>
        <v>1180015L00230    00</v>
      </c>
      <c r="B12137" t="s">
        <v>26745</v>
      </c>
      <c r="C12137" t="s">
        <v>26383</v>
      </c>
      <c r="D12137" t="s">
        <v>20</v>
      </c>
      <c r="E12137" t="s">
        <v>39</v>
      </c>
      <c r="F12137">
        <v>0</v>
      </c>
      <c r="G12137">
        <v>0</v>
      </c>
      <c r="H12137">
        <v>19</v>
      </c>
      <c r="I12137" s="3">
        <v>279.7</v>
      </c>
      <c r="J12137" s="3">
        <v>282.8</v>
      </c>
      <c r="L12137">
        <v>506</v>
      </c>
      <c r="M12137" t="s">
        <v>14713</v>
      </c>
      <c r="N12137" t="s">
        <v>30</v>
      </c>
      <c r="O12137" t="s">
        <v>31</v>
      </c>
      <c r="P12137" t="str">
        <f>"15210"</f>
        <v>15210</v>
      </c>
    </row>
    <row r="12138" spans="1:16" x14ac:dyDescent="0.25">
      <c r="A12138" t="str">
        <f>"1180015L00232    00"</f>
        <v>1180015L00232    00</v>
      </c>
      <c r="B12138" t="s">
        <v>26746</v>
      </c>
      <c r="C12138" t="s">
        <v>26383</v>
      </c>
      <c r="D12138" t="s">
        <v>20</v>
      </c>
      <c r="E12138" t="s">
        <v>39</v>
      </c>
      <c r="F12138">
        <v>0</v>
      </c>
      <c r="G12138">
        <v>0</v>
      </c>
      <c r="H12138">
        <v>6</v>
      </c>
      <c r="I12138" s="3">
        <v>110.94</v>
      </c>
      <c r="J12138" s="3">
        <v>36.39</v>
      </c>
      <c r="L12138">
        <v>512</v>
      </c>
      <c r="M12138" t="s">
        <v>14713</v>
      </c>
      <c r="N12138" t="s">
        <v>30</v>
      </c>
      <c r="O12138" t="s">
        <v>31</v>
      </c>
      <c r="P12138" t="str">
        <f>"15210"</f>
        <v>15210</v>
      </c>
    </row>
    <row r="12139" spans="1:16" x14ac:dyDescent="0.25">
      <c r="A12139" t="str">
        <f>"1180015L00233    00"</f>
        <v>1180015L00233    00</v>
      </c>
      <c r="B12139" t="s">
        <v>26746</v>
      </c>
      <c r="C12139" t="s">
        <v>26747</v>
      </c>
      <c r="D12139" t="s">
        <v>20</v>
      </c>
      <c r="E12139" t="s">
        <v>39</v>
      </c>
      <c r="F12139">
        <v>0</v>
      </c>
      <c r="G12139">
        <v>0</v>
      </c>
      <c r="H12139">
        <v>7</v>
      </c>
      <c r="I12139" s="3">
        <v>4310.92</v>
      </c>
      <c r="J12139" s="3">
        <v>1635.34</v>
      </c>
      <c r="L12139">
        <v>512</v>
      </c>
      <c r="M12139" t="s">
        <v>14713</v>
      </c>
      <c r="N12139" t="s">
        <v>30</v>
      </c>
      <c r="O12139" t="s">
        <v>31</v>
      </c>
      <c r="P12139" t="str">
        <f>"15210"</f>
        <v>15210</v>
      </c>
    </row>
    <row r="12140" spans="1:16" x14ac:dyDescent="0.25">
      <c r="A12140" t="str">
        <f>"1180015L00234    00"</f>
        <v>1180015L00234    00</v>
      </c>
      <c r="B12140" t="s">
        <v>26748</v>
      </c>
      <c r="C12140" t="s">
        <v>26749</v>
      </c>
      <c r="D12140" t="s">
        <v>20</v>
      </c>
      <c r="E12140" t="s">
        <v>39</v>
      </c>
      <c r="F12140">
        <v>0</v>
      </c>
      <c r="G12140">
        <v>0</v>
      </c>
      <c r="H12140">
        <v>4</v>
      </c>
      <c r="I12140" s="3">
        <v>1090.8</v>
      </c>
      <c r="J12140" s="3">
        <v>110.13</v>
      </c>
      <c r="K12140" t="s">
        <v>26750</v>
      </c>
      <c r="L12140">
        <v>514</v>
      </c>
      <c r="M12140" t="s">
        <v>14713</v>
      </c>
      <c r="N12140" t="s">
        <v>30</v>
      </c>
      <c r="O12140" t="s">
        <v>31</v>
      </c>
      <c r="P12140" t="str">
        <f>"15210"</f>
        <v>15210</v>
      </c>
    </row>
    <row r="12141" spans="1:16" x14ac:dyDescent="0.25">
      <c r="A12141" t="str">
        <f>"1180015L00235    00"</f>
        <v>1180015L00235    00</v>
      </c>
      <c r="B12141" t="s">
        <v>26751</v>
      </c>
      <c r="C12141" t="s">
        <v>26752</v>
      </c>
      <c r="D12141" t="s">
        <v>20</v>
      </c>
      <c r="E12141" t="s">
        <v>39</v>
      </c>
      <c r="F12141">
        <v>0</v>
      </c>
      <c r="G12141">
        <v>0</v>
      </c>
      <c r="H12141">
        <v>3</v>
      </c>
      <c r="I12141" s="3">
        <v>1690.83</v>
      </c>
      <c r="J12141" s="3">
        <v>149.68</v>
      </c>
      <c r="L12141">
        <v>516</v>
      </c>
      <c r="M12141" t="s">
        <v>14713</v>
      </c>
      <c r="N12141" t="s">
        <v>30</v>
      </c>
      <c r="O12141" t="s">
        <v>31</v>
      </c>
      <c r="P12141" t="str">
        <f>"15210"</f>
        <v>15210</v>
      </c>
    </row>
    <row r="12142" spans="1:16" x14ac:dyDescent="0.25">
      <c r="A12142" t="str">
        <f>"1180015L00238    00"</f>
        <v>1180015L00238    00</v>
      </c>
      <c r="B12142" t="s">
        <v>26753</v>
      </c>
      <c r="C12142" t="s">
        <v>26383</v>
      </c>
      <c r="D12142" t="s">
        <v>20</v>
      </c>
      <c r="E12142" t="s">
        <v>39</v>
      </c>
      <c r="F12142">
        <v>0</v>
      </c>
      <c r="G12142">
        <v>0</v>
      </c>
      <c r="H12142">
        <v>9</v>
      </c>
      <c r="I12142" s="3">
        <v>1236.17</v>
      </c>
      <c r="J12142" s="3">
        <v>1641.45</v>
      </c>
      <c r="K12142" t="s">
        <v>26754</v>
      </c>
      <c r="L12142">
        <v>37</v>
      </c>
      <c r="M12142" t="s">
        <v>26755</v>
      </c>
      <c r="N12142" t="s">
        <v>26756</v>
      </c>
      <c r="O12142" t="s">
        <v>1269</v>
      </c>
      <c r="P12142" t="str">
        <f>"06851"</f>
        <v>06851</v>
      </c>
    </row>
    <row r="12143" spans="1:16" x14ac:dyDescent="0.25">
      <c r="A12143" t="str">
        <f>"1180015L00245    00"</f>
        <v>1180015L00245    00</v>
      </c>
      <c r="B12143" t="s">
        <v>26757</v>
      </c>
      <c r="C12143" t="s">
        <v>26383</v>
      </c>
      <c r="D12143" t="s">
        <v>20</v>
      </c>
      <c r="E12143" t="s">
        <v>39</v>
      </c>
      <c r="F12143">
        <v>0</v>
      </c>
      <c r="G12143">
        <v>0</v>
      </c>
      <c r="H12143">
        <v>19</v>
      </c>
      <c r="I12143" s="3">
        <v>5646.7</v>
      </c>
      <c r="J12143" s="3">
        <v>7702.43</v>
      </c>
      <c r="L12143">
        <v>109</v>
      </c>
      <c r="M12143" t="s">
        <v>25978</v>
      </c>
      <c r="N12143" t="s">
        <v>30</v>
      </c>
      <c r="O12143" t="s">
        <v>31</v>
      </c>
      <c r="P12143" t="str">
        <f t="shared" ref="P12143:P12150" si="148">"15210"</f>
        <v>15210</v>
      </c>
    </row>
    <row r="12144" spans="1:16" x14ac:dyDescent="0.25">
      <c r="A12144" t="str">
        <f>"1180015L00246    00"</f>
        <v>1180015L00246    00</v>
      </c>
      <c r="B12144" t="s">
        <v>26758</v>
      </c>
      <c r="C12144" t="s">
        <v>26759</v>
      </c>
      <c r="D12144" t="s">
        <v>20</v>
      </c>
      <c r="E12144" t="s">
        <v>39</v>
      </c>
      <c r="F12144">
        <v>0</v>
      </c>
      <c r="G12144">
        <v>0</v>
      </c>
      <c r="H12144">
        <v>5</v>
      </c>
      <c r="I12144" s="3">
        <v>3840.85</v>
      </c>
      <c r="J12144" s="3">
        <v>668.57</v>
      </c>
      <c r="L12144">
        <v>108</v>
      </c>
      <c r="M12144" t="s">
        <v>25529</v>
      </c>
      <c r="N12144" t="s">
        <v>30</v>
      </c>
      <c r="O12144" t="s">
        <v>31</v>
      </c>
      <c r="P12144" t="str">
        <f t="shared" si="148"/>
        <v>15210</v>
      </c>
    </row>
    <row r="12145" spans="1:16" x14ac:dyDescent="0.25">
      <c r="A12145" t="str">
        <f>"1180015L00250    00"</f>
        <v>1180015L00250    00</v>
      </c>
      <c r="B12145" t="s">
        <v>26760</v>
      </c>
      <c r="C12145" t="s">
        <v>26383</v>
      </c>
      <c r="D12145" t="s">
        <v>20</v>
      </c>
      <c r="E12145" t="s">
        <v>39</v>
      </c>
      <c r="F12145">
        <v>0</v>
      </c>
      <c r="G12145">
        <v>0</v>
      </c>
      <c r="H12145">
        <v>14</v>
      </c>
      <c r="I12145" s="3">
        <v>4831.1099999999997</v>
      </c>
      <c r="J12145" s="3">
        <v>5254</v>
      </c>
      <c r="L12145">
        <v>232</v>
      </c>
      <c r="M12145" t="s">
        <v>26761</v>
      </c>
      <c r="N12145" t="s">
        <v>30</v>
      </c>
      <c r="O12145" t="s">
        <v>31</v>
      </c>
      <c r="P12145" t="str">
        <f t="shared" si="148"/>
        <v>15210</v>
      </c>
    </row>
    <row r="12146" spans="1:16" x14ac:dyDescent="0.25">
      <c r="A12146" t="str">
        <f>"1180015L00259    00"</f>
        <v>1180015L00259    00</v>
      </c>
      <c r="B12146" t="s">
        <v>26762</v>
      </c>
      <c r="C12146" t="s">
        <v>26763</v>
      </c>
      <c r="D12146" t="s">
        <v>20</v>
      </c>
      <c r="E12146" t="s">
        <v>39</v>
      </c>
      <c r="F12146">
        <v>0</v>
      </c>
      <c r="G12146">
        <v>0</v>
      </c>
      <c r="H12146">
        <v>2</v>
      </c>
      <c r="I12146" s="3">
        <v>282.08</v>
      </c>
      <c r="J12146" s="3">
        <v>0</v>
      </c>
      <c r="L12146">
        <v>514</v>
      </c>
      <c r="M12146" t="s">
        <v>26764</v>
      </c>
      <c r="N12146" t="s">
        <v>30</v>
      </c>
      <c r="O12146" t="s">
        <v>31</v>
      </c>
      <c r="P12146" t="str">
        <f t="shared" si="148"/>
        <v>15210</v>
      </c>
    </row>
    <row r="12147" spans="1:16" x14ac:dyDescent="0.25">
      <c r="A12147" t="str">
        <f>"1180015L00264    00"</f>
        <v>1180015L00264    00</v>
      </c>
      <c r="B12147" t="s">
        <v>26765</v>
      </c>
      <c r="C12147" t="s">
        <v>26766</v>
      </c>
      <c r="E12147" t="s">
        <v>39</v>
      </c>
      <c r="F12147">
        <v>0</v>
      </c>
      <c r="G12147">
        <v>0</v>
      </c>
      <c r="H12147">
        <v>1</v>
      </c>
      <c r="I12147" s="3">
        <v>961.34</v>
      </c>
      <c r="J12147" s="3">
        <v>192.26</v>
      </c>
      <c r="L12147">
        <v>524</v>
      </c>
      <c r="M12147" t="s">
        <v>3180</v>
      </c>
      <c r="N12147" t="s">
        <v>30</v>
      </c>
      <c r="O12147" t="s">
        <v>31</v>
      </c>
      <c r="P12147" t="str">
        <f t="shared" si="148"/>
        <v>15210</v>
      </c>
    </row>
    <row r="12148" spans="1:16" x14ac:dyDescent="0.25">
      <c r="A12148" t="str">
        <f>"1180015L00297    00"</f>
        <v>1180015L00297    00</v>
      </c>
      <c r="B12148" t="s">
        <v>26767</v>
      </c>
      <c r="C12148" t="s">
        <v>25578</v>
      </c>
      <c r="D12148" t="s">
        <v>20</v>
      </c>
      <c r="E12148" t="s">
        <v>39</v>
      </c>
      <c r="F12148">
        <v>0</v>
      </c>
      <c r="G12148">
        <v>0</v>
      </c>
      <c r="H12148">
        <v>19</v>
      </c>
      <c r="I12148" s="3">
        <v>1044.31</v>
      </c>
      <c r="J12148" s="3">
        <v>964.8</v>
      </c>
      <c r="L12148">
        <v>820</v>
      </c>
      <c r="M12148" t="s">
        <v>23227</v>
      </c>
      <c r="N12148" t="s">
        <v>30</v>
      </c>
      <c r="O12148" t="s">
        <v>31</v>
      </c>
      <c r="P12148" t="str">
        <f t="shared" si="148"/>
        <v>15210</v>
      </c>
    </row>
    <row r="12149" spans="1:16" x14ac:dyDescent="0.25">
      <c r="A12149" t="str">
        <f>"1180015L00311    00"</f>
        <v>1180015L00311    00</v>
      </c>
      <c r="B12149" t="s">
        <v>26768</v>
      </c>
      <c r="C12149" t="s">
        <v>25578</v>
      </c>
      <c r="D12149" t="s">
        <v>20</v>
      </c>
      <c r="E12149" t="s">
        <v>39</v>
      </c>
      <c r="F12149">
        <v>0</v>
      </c>
      <c r="G12149">
        <v>0</v>
      </c>
      <c r="H12149">
        <v>19</v>
      </c>
      <c r="I12149" s="3">
        <v>5370.1</v>
      </c>
      <c r="J12149" s="3">
        <v>7520.03</v>
      </c>
      <c r="K12149" t="s">
        <v>26769</v>
      </c>
      <c r="L12149">
        <v>2040</v>
      </c>
      <c r="M12149" t="s">
        <v>8048</v>
      </c>
      <c r="N12149" t="s">
        <v>30</v>
      </c>
      <c r="O12149" t="s">
        <v>31</v>
      </c>
      <c r="P12149" t="str">
        <f t="shared" si="148"/>
        <v>15210</v>
      </c>
    </row>
    <row r="12150" spans="1:16" x14ac:dyDescent="0.25">
      <c r="A12150" t="str">
        <f>"1180015L00314    00"</f>
        <v>1180015L00314    00</v>
      </c>
      <c r="B12150" t="s">
        <v>26770</v>
      </c>
      <c r="C12150" t="s">
        <v>26771</v>
      </c>
      <c r="D12150" t="s">
        <v>20</v>
      </c>
      <c r="E12150" t="s">
        <v>39</v>
      </c>
      <c r="F12150">
        <v>0</v>
      </c>
      <c r="G12150">
        <v>0</v>
      </c>
      <c r="H12150">
        <v>3</v>
      </c>
      <c r="I12150" s="3">
        <v>133.87</v>
      </c>
      <c r="J12150" s="3">
        <v>38.83</v>
      </c>
      <c r="L12150">
        <v>100</v>
      </c>
      <c r="M12150" t="s">
        <v>16473</v>
      </c>
      <c r="N12150" t="s">
        <v>30</v>
      </c>
      <c r="O12150" t="s">
        <v>31</v>
      </c>
      <c r="P12150" t="str">
        <f t="shared" si="148"/>
        <v>15210</v>
      </c>
    </row>
    <row r="12151" spans="1:16" x14ac:dyDescent="0.25">
      <c r="A12151" t="str">
        <f>"1180015L00331    00"</f>
        <v>1180015L00331    00</v>
      </c>
      <c r="B12151" t="s">
        <v>26772</v>
      </c>
      <c r="C12151" t="s">
        <v>26773</v>
      </c>
      <c r="D12151" t="s">
        <v>20</v>
      </c>
      <c r="E12151" t="s">
        <v>39</v>
      </c>
      <c r="F12151">
        <v>0</v>
      </c>
      <c r="G12151">
        <v>0</v>
      </c>
      <c r="H12151">
        <v>2</v>
      </c>
      <c r="I12151" s="3">
        <v>602</v>
      </c>
      <c r="J12151" s="3">
        <v>0</v>
      </c>
      <c r="L12151">
        <v>8002</v>
      </c>
      <c r="M12151" t="s">
        <v>26774</v>
      </c>
      <c r="N12151" t="s">
        <v>1474</v>
      </c>
      <c r="O12151" t="s">
        <v>31</v>
      </c>
      <c r="P12151" t="str">
        <f>"15017"</f>
        <v>15017</v>
      </c>
    </row>
    <row r="12152" spans="1:16" x14ac:dyDescent="0.25">
      <c r="A12152" t="str">
        <f>"1180015M00008    00"</f>
        <v>1180015M00008    00</v>
      </c>
      <c r="B12152" t="s">
        <v>26775</v>
      </c>
      <c r="C12152" t="s">
        <v>26776</v>
      </c>
      <c r="D12152" t="s">
        <v>20</v>
      </c>
      <c r="E12152" t="s">
        <v>39</v>
      </c>
      <c r="F12152">
        <v>0</v>
      </c>
      <c r="G12152">
        <v>0</v>
      </c>
      <c r="H12152">
        <v>2</v>
      </c>
      <c r="I12152" s="3">
        <v>1048.32</v>
      </c>
      <c r="J12152" s="3">
        <v>0</v>
      </c>
      <c r="L12152">
        <v>210</v>
      </c>
      <c r="M12152" t="s">
        <v>16473</v>
      </c>
      <c r="N12152" t="s">
        <v>30</v>
      </c>
      <c r="O12152" t="s">
        <v>31</v>
      </c>
      <c r="P12152" t="str">
        <f t="shared" ref="P12152:P12158" si="149">"15210"</f>
        <v>15210</v>
      </c>
    </row>
    <row r="12153" spans="1:16" x14ac:dyDescent="0.25">
      <c r="A12153" t="str">
        <f>"1180015M00010    00"</f>
        <v>1180015M00010    00</v>
      </c>
      <c r="B12153" t="s">
        <v>26777</v>
      </c>
      <c r="C12153" t="s">
        <v>26778</v>
      </c>
      <c r="D12153" t="s">
        <v>20</v>
      </c>
      <c r="E12153" t="s">
        <v>39</v>
      </c>
      <c r="F12153">
        <v>0</v>
      </c>
      <c r="G12153">
        <v>0</v>
      </c>
      <c r="H12153">
        <v>4</v>
      </c>
      <c r="I12153" s="3">
        <v>13.88</v>
      </c>
      <c r="J12153" s="3">
        <v>1.7</v>
      </c>
      <c r="K12153" t="s">
        <v>26779</v>
      </c>
      <c r="L12153">
        <v>206</v>
      </c>
      <c r="M12153" t="s">
        <v>16473</v>
      </c>
      <c r="N12153" t="s">
        <v>30</v>
      </c>
      <c r="O12153" t="s">
        <v>31</v>
      </c>
      <c r="P12153" t="str">
        <f t="shared" si="149"/>
        <v>15210</v>
      </c>
    </row>
    <row r="12154" spans="1:16" x14ac:dyDescent="0.25">
      <c r="A12154" t="str">
        <f>"1180015M00016    00"</f>
        <v>1180015M00016    00</v>
      </c>
      <c r="B12154" t="s">
        <v>26780</v>
      </c>
      <c r="C12154" t="s">
        <v>26781</v>
      </c>
      <c r="D12154" t="s">
        <v>20</v>
      </c>
      <c r="E12154" t="s">
        <v>39</v>
      </c>
      <c r="F12154">
        <v>0</v>
      </c>
      <c r="G12154">
        <v>0</v>
      </c>
      <c r="H12154">
        <v>9</v>
      </c>
      <c r="I12154" s="3">
        <v>3326.37</v>
      </c>
      <c r="J12154" s="3">
        <v>1171.6300000000001</v>
      </c>
      <c r="L12154">
        <v>211</v>
      </c>
      <c r="M12154" t="s">
        <v>25995</v>
      </c>
      <c r="N12154" t="s">
        <v>30</v>
      </c>
      <c r="O12154" t="s">
        <v>31</v>
      </c>
      <c r="P12154" t="str">
        <f t="shared" si="149"/>
        <v>15210</v>
      </c>
    </row>
    <row r="12155" spans="1:16" x14ac:dyDescent="0.25">
      <c r="A12155" t="str">
        <f>"1180015M00043    00"</f>
        <v>1180015M00043    00</v>
      </c>
      <c r="B12155" t="s">
        <v>26782</v>
      </c>
      <c r="C12155" t="s">
        <v>26783</v>
      </c>
      <c r="D12155" t="s">
        <v>20</v>
      </c>
      <c r="E12155" t="s">
        <v>39</v>
      </c>
      <c r="F12155">
        <v>0</v>
      </c>
      <c r="G12155">
        <v>0</v>
      </c>
      <c r="H12155">
        <v>9</v>
      </c>
      <c r="I12155" s="3">
        <v>748.23</v>
      </c>
      <c r="J12155" s="3">
        <v>600.27</v>
      </c>
      <c r="K12155" t="s">
        <v>26784</v>
      </c>
      <c r="L12155">
        <v>329</v>
      </c>
      <c r="M12155" t="s">
        <v>25995</v>
      </c>
      <c r="N12155" t="s">
        <v>30</v>
      </c>
      <c r="O12155" t="s">
        <v>31</v>
      </c>
      <c r="P12155" t="str">
        <f t="shared" si="149"/>
        <v>15210</v>
      </c>
    </row>
    <row r="12156" spans="1:16" x14ac:dyDescent="0.25">
      <c r="A12156" t="str">
        <f>"1180015M00048    00"</f>
        <v>1180015M00048    00</v>
      </c>
      <c r="B12156" t="s">
        <v>26785</v>
      </c>
      <c r="C12156" t="s">
        <v>26786</v>
      </c>
      <c r="D12156" t="s">
        <v>20</v>
      </c>
      <c r="E12156" t="s">
        <v>39</v>
      </c>
      <c r="F12156">
        <v>0</v>
      </c>
      <c r="G12156">
        <v>0</v>
      </c>
      <c r="H12156">
        <v>1</v>
      </c>
      <c r="I12156" s="3">
        <v>27.32</v>
      </c>
      <c r="J12156" s="3">
        <v>0</v>
      </c>
      <c r="L12156">
        <v>345</v>
      </c>
      <c r="M12156" t="s">
        <v>25995</v>
      </c>
      <c r="N12156" t="s">
        <v>30</v>
      </c>
      <c r="O12156" t="s">
        <v>31</v>
      </c>
      <c r="P12156" t="str">
        <f t="shared" si="149"/>
        <v>15210</v>
      </c>
    </row>
    <row r="12157" spans="1:16" x14ac:dyDescent="0.25">
      <c r="A12157" t="str">
        <f>"1180015M00058    00"</f>
        <v>1180015M00058    00</v>
      </c>
      <c r="B12157" t="s">
        <v>26787</v>
      </c>
      <c r="C12157" t="s">
        <v>26788</v>
      </c>
      <c r="D12157" t="s">
        <v>20</v>
      </c>
      <c r="E12157" t="s">
        <v>39</v>
      </c>
      <c r="F12157">
        <v>0</v>
      </c>
      <c r="G12157">
        <v>0</v>
      </c>
      <c r="H12157">
        <v>2</v>
      </c>
      <c r="I12157" s="3">
        <v>19.079999999999998</v>
      </c>
      <c r="J12157" s="3">
        <v>0</v>
      </c>
      <c r="L12157">
        <v>407</v>
      </c>
      <c r="M12157" t="s">
        <v>25995</v>
      </c>
      <c r="N12157" t="s">
        <v>30</v>
      </c>
      <c r="O12157" t="s">
        <v>31</v>
      </c>
      <c r="P12157" t="str">
        <f t="shared" si="149"/>
        <v>15210</v>
      </c>
    </row>
    <row r="12158" spans="1:16" x14ac:dyDescent="0.25">
      <c r="A12158" t="str">
        <f>"1180015M00059    00"</f>
        <v>1180015M00059    00</v>
      </c>
      <c r="B12158" t="s">
        <v>26789</v>
      </c>
      <c r="C12158" t="s">
        <v>26788</v>
      </c>
      <c r="D12158" t="s">
        <v>20</v>
      </c>
      <c r="E12158" t="s">
        <v>39</v>
      </c>
      <c r="F12158">
        <v>0</v>
      </c>
      <c r="G12158">
        <v>0</v>
      </c>
      <c r="H12158">
        <v>1</v>
      </c>
      <c r="I12158" s="3">
        <v>459.36</v>
      </c>
      <c r="J12158" s="3">
        <v>0</v>
      </c>
      <c r="L12158">
        <v>837</v>
      </c>
      <c r="M12158" t="s">
        <v>3977</v>
      </c>
      <c r="N12158" t="s">
        <v>30</v>
      </c>
      <c r="O12158" t="s">
        <v>31</v>
      </c>
      <c r="P12158" t="str">
        <f t="shared" si="149"/>
        <v>15210</v>
      </c>
    </row>
    <row r="12159" spans="1:16" x14ac:dyDescent="0.25">
      <c r="A12159" t="str">
        <f>"1180015M00068    00"</f>
        <v>1180015M00068    00</v>
      </c>
      <c r="B12159" t="s">
        <v>26790</v>
      </c>
      <c r="C12159" t="s">
        <v>26791</v>
      </c>
      <c r="E12159" t="s">
        <v>39</v>
      </c>
      <c r="F12159">
        <v>0</v>
      </c>
      <c r="G12159">
        <v>0</v>
      </c>
      <c r="H12159">
        <v>1</v>
      </c>
      <c r="I12159" s="3">
        <v>192.51</v>
      </c>
      <c r="J12159" s="3">
        <v>38.51</v>
      </c>
      <c r="L12159">
        <v>804</v>
      </c>
      <c r="M12159" t="s">
        <v>14435</v>
      </c>
      <c r="N12159" t="s">
        <v>26792</v>
      </c>
      <c r="O12159" t="s">
        <v>495</v>
      </c>
      <c r="P12159" t="str">
        <f>"90640"</f>
        <v>90640</v>
      </c>
    </row>
    <row r="12160" spans="1:16" x14ac:dyDescent="0.25">
      <c r="A12160" t="str">
        <f>"1180015M00070    00"</f>
        <v>1180015M00070    00</v>
      </c>
      <c r="B12160" t="s">
        <v>26793</v>
      </c>
      <c r="C12160" t="s">
        <v>26794</v>
      </c>
      <c r="E12160" t="s">
        <v>39</v>
      </c>
      <c r="F12160">
        <v>0</v>
      </c>
      <c r="G12160">
        <v>0</v>
      </c>
      <c r="H12160">
        <v>1</v>
      </c>
      <c r="I12160" s="3">
        <v>379.83</v>
      </c>
      <c r="J12160" s="3">
        <v>151.91999999999999</v>
      </c>
      <c r="K12160" t="s">
        <v>26795</v>
      </c>
      <c r="M12160" t="s">
        <v>26796</v>
      </c>
      <c r="N12160" t="s">
        <v>26797</v>
      </c>
      <c r="O12160" t="s">
        <v>31</v>
      </c>
      <c r="P12160" t="str">
        <f>"16652"</f>
        <v>16652</v>
      </c>
    </row>
    <row r="12161" spans="1:16" x14ac:dyDescent="0.25">
      <c r="A12161" t="str">
        <f>"1180015M00076    00"</f>
        <v>1180015M00076    00</v>
      </c>
      <c r="B12161" t="s">
        <v>26798</v>
      </c>
      <c r="C12161" t="s">
        <v>26799</v>
      </c>
      <c r="D12161" t="s">
        <v>20</v>
      </c>
      <c r="E12161" t="s">
        <v>66</v>
      </c>
      <c r="F12161">
        <v>0</v>
      </c>
      <c r="G12161">
        <v>0</v>
      </c>
      <c r="H12161">
        <v>3</v>
      </c>
      <c r="I12161" s="3">
        <v>6861.5</v>
      </c>
      <c r="J12161" s="3">
        <v>1352.78</v>
      </c>
      <c r="L12161">
        <v>900</v>
      </c>
      <c r="M12161" t="s">
        <v>3180</v>
      </c>
      <c r="N12161" t="s">
        <v>30</v>
      </c>
      <c r="O12161" t="s">
        <v>31</v>
      </c>
      <c r="P12161" t="str">
        <f>"15210"</f>
        <v>15210</v>
      </c>
    </row>
    <row r="12162" spans="1:16" x14ac:dyDescent="0.25">
      <c r="A12162" t="str">
        <f>"1180015M00076    02"</f>
        <v>1180015M00076    02</v>
      </c>
      <c r="B12162" t="s">
        <v>26800</v>
      </c>
      <c r="C12162" t="s">
        <v>26801</v>
      </c>
      <c r="D12162" t="s">
        <v>20</v>
      </c>
      <c r="E12162" t="s">
        <v>39</v>
      </c>
      <c r="F12162">
        <v>0</v>
      </c>
      <c r="G12162">
        <v>0</v>
      </c>
      <c r="H12162">
        <v>1</v>
      </c>
      <c r="I12162" s="3">
        <v>24.79</v>
      </c>
      <c r="J12162" s="3">
        <v>0</v>
      </c>
      <c r="K12162" t="s">
        <v>26802</v>
      </c>
      <c r="L12162">
        <v>2920</v>
      </c>
      <c r="M12162" t="s">
        <v>26803</v>
      </c>
      <c r="N12162" t="s">
        <v>5166</v>
      </c>
      <c r="O12162" t="s">
        <v>1413</v>
      </c>
      <c r="P12162" t="str">
        <f>"27616"</f>
        <v>27616</v>
      </c>
    </row>
    <row r="12163" spans="1:16" x14ac:dyDescent="0.25">
      <c r="A12163" t="str">
        <f>"1180015M00077    00"</f>
        <v>1180015M00077    00</v>
      </c>
      <c r="B12163" t="s">
        <v>26800</v>
      </c>
      <c r="C12163" t="s">
        <v>26799</v>
      </c>
      <c r="D12163" t="s">
        <v>20</v>
      </c>
      <c r="E12163" t="s">
        <v>39</v>
      </c>
      <c r="F12163">
        <v>0</v>
      </c>
      <c r="G12163">
        <v>0</v>
      </c>
      <c r="H12163">
        <v>2</v>
      </c>
      <c r="I12163" s="3">
        <v>546.08000000000004</v>
      </c>
      <c r="J12163" s="3">
        <v>0</v>
      </c>
      <c r="L12163">
        <v>2920</v>
      </c>
      <c r="M12163" t="s">
        <v>26803</v>
      </c>
      <c r="N12163" t="s">
        <v>5166</v>
      </c>
      <c r="O12163" t="s">
        <v>1413</v>
      </c>
      <c r="P12163" t="str">
        <f>"27616"</f>
        <v>27616</v>
      </c>
    </row>
    <row r="12164" spans="1:16" x14ac:dyDescent="0.25">
      <c r="A12164" t="str">
        <f>"1180015M00098    00"</f>
        <v>1180015M00098    00</v>
      </c>
      <c r="B12164" t="s">
        <v>26804</v>
      </c>
      <c r="C12164" t="s">
        <v>26801</v>
      </c>
      <c r="D12164" t="s">
        <v>20</v>
      </c>
      <c r="E12164" t="s">
        <v>207</v>
      </c>
      <c r="F12164">
        <v>0</v>
      </c>
      <c r="G12164">
        <v>0</v>
      </c>
      <c r="H12164">
        <v>3</v>
      </c>
      <c r="I12164" s="3">
        <v>186.09</v>
      </c>
      <c r="J12164" s="3">
        <v>4.1100000000000003</v>
      </c>
      <c r="K12164" t="s">
        <v>26805</v>
      </c>
      <c r="L12164">
        <v>2121</v>
      </c>
      <c r="M12164" t="s">
        <v>25070</v>
      </c>
      <c r="N12164" t="s">
        <v>4265</v>
      </c>
      <c r="O12164" t="s">
        <v>31</v>
      </c>
      <c r="P12164" t="str">
        <f>"16803"</f>
        <v>16803</v>
      </c>
    </row>
    <row r="12165" spans="1:16" x14ac:dyDescent="0.25">
      <c r="A12165" t="str">
        <f>"1180015M00117    00"</f>
        <v>1180015M00117    00</v>
      </c>
      <c r="B12165" t="s">
        <v>26806</v>
      </c>
      <c r="C12165" t="s">
        <v>26807</v>
      </c>
      <c r="D12165" t="s">
        <v>20</v>
      </c>
      <c r="E12165" t="s">
        <v>39</v>
      </c>
      <c r="F12165">
        <v>0</v>
      </c>
      <c r="G12165">
        <v>0</v>
      </c>
      <c r="H12165">
        <v>4</v>
      </c>
      <c r="I12165" s="3">
        <v>2525.35</v>
      </c>
      <c r="J12165" s="3">
        <v>214.27</v>
      </c>
      <c r="K12165" t="s">
        <v>26414</v>
      </c>
      <c r="L12165">
        <v>237</v>
      </c>
      <c r="M12165" t="s">
        <v>26415</v>
      </c>
      <c r="N12165" t="s">
        <v>30</v>
      </c>
      <c r="O12165" t="s">
        <v>31</v>
      </c>
      <c r="P12165" t="str">
        <f>"15210"</f>
        <v>15210</v>
      </c>
    </row>
    <row r="12166" spans="1:16" x14ac:dyDescent="0.25">
      <c r="A12166" t="str">
        <f>"1180015M00119    00"</f>
        <v>1180015M00119    00</v>
      </c>
      <c r="B12166" t="s">
        <v>26808</v>
      </c>
      <c r="C12166" t="s">
        <v>25977</v>
      </c>
      <c r="D12166" t="s">
        <v>20</v>
      </c>
      <c r="E12166" t="s">
        <v>39</v>
      </c>
      <c r="F12166">
        <v>0</v>
      </c>
      <c r="G12166">
        <v>0</v>
      </c>
      <c r="H12166">
        <v>2</v>
      </c>
      <c r="I12166" s="3">
        <v>125.82</v>
      </c>
      <c r="J12166" s="3">
        <v>0</v>
      </c>
      <c r="K12166" t="s">
        <v>26809</v>
      </c>
      <c r="L12166">
        <v>213</v>
      </c>
      <c r="M12166" t="s">
        <v>25529</v>
      </c>
      <c r="N12166" t="s">
        <v>30</v>
      </c>
      <c r="O12166" t="s">
        <v>31</v>
      </c>
      <c r="P12166" t="str">
        <f>"15210"</f>
        <v>15210</v>
      </c>
    </row>
    <row r="12167" spans="1:16" x14ac:dyDescent="0.25">
      <c r="A12167" t="str">
        <f>"1180015M00122    00"</f>
        <v>1180015M00122    00</v>
      </c>
      <c r="B12167" t="s">
        <v>26810</v>
      </c>
      <c r="C12167" t="s">
        <v>26811</v>
      </c>
      <c r="D12167" t="s">
        <v>20</v>
      </c>
      <c r="E12167" t="s">
        <v>39</v>
      </c>
      <c r="F12167">
        <v>0</v>
      </c>
      <c r="G12167">
        <v>0</v>
      </c>
      <c r="H12167">
        <v>3</v>
      </c>
      <c r="I12167" s="3">
        <v>1675.48</v>
      </c>
      <c r="J12167" s="3">
        <v>26.87</v>
      </c>
      <c r="K12167" t="s">
        <v>26812</v>
      </c>
      <c r="L12167">
        <v>225</v>
      </c>
      <c r="M12167" t="s">
        <v>25529</v>
      </c>
      <c r="N12167" t="s">
        <v>30</v>
      </c>
      <c r="O12167" t="s">
        <v>31</v>
      </c>
      <c r="P12167" t="str">
        <f>"15210"</f>
        <v>15210</v>
      </c>
    </row>
    <row r="12168" spans="1:16" x14ac:dyDescent="0.25">
      <c r="A12168" t="str">
        <f>"1180015M00123    00"</f>
        <v>1180015M00123    00</v>
      </c>
      <c r="B12168" t="s">
        <v>26813</v>
      </c>
      <c r="C12168" t="s">
        <v>25977</v>
      </c>
      <c r="D12168" t="s">
        <v>20</v>
      </c>
      <c r="E12168" t="s">
        <v>39</v>
      </c>
      <c r="F12168">
        <v>0</v>
      </c>
      <c r="G12168">
        <v>0</v>
      </c>
      <c r="H12168">
        <v>2</v>
      </c>
      <c r="I12168" s="3">
        <v>49.58</v>
      </c>
      <c r="J12168" s="3">
        <v>0</v>
      </c>
      <c r="L12168">
        <v>225</v>
      </c>
      <c r="M12168" t="s">
        <v>25529</v>
      </c>
      <c r="N12168" t="s">
        <v>30</v>
      </c>
      <c r="O12168" t="s">
        <v>31</v>
      </c>
      <c r="P12168" t="str">
        <f>"15210"</f>
        <v>15210</v>
      </c>
    </row>
    <row r="12169" spans="1:16" x14ac:dyDescent="0.25">
      <c r="A12169" t="str">
        <f>"1180015M00131    00"</f>
        <v>1180015M00131    00</v>
      </c>
      <c r="B12169" t="s">
        <v>26804</v>
      </c>
      <c r="C12169" t="s">
        <v>26814</v>
      </c>
      <c r="D12169" t="s">
        <v>20</v>
      </c>
      <c r="E12169" t="s">
        <v>66</v>
      </c>
      <c r="F12169">
        <v>0</v>
      </c>
      <c r="G12169">
        <v>0</v>
      </c>
      <c r="H12169">
        <v>2</v>
      </c>
      <c r="I12169" s="3">
        <v>41102.58</v>
      </c>
      <c r="J12169" s="3">
        <v>1250.22</v>
      </c>
      <c r="K12169" t="s">
        <v>26805</v>
      </c>
      <c r="L12169">
        <v>2121</v>
      </c>
      <c r="M12169" t="s">
        <v>25070</v>
      </c>
      <c r="N12169" t="s">
        <v>4265</v>
      </c>
      <c r="O12169" t="s">
        <v>31</v>
      </c>
      <c r="P12169" t="str">
        <f>"16803"</f>
        <v>16803</v>
      </c>
    </row>
    <row r="12170" spans="1:16" x14ac:dyDescent="0.25">
      <c r="A12170" t="str">
        <f>"1180015M00146    00"</f>
        <v>1180015M00146    00</v>
      </c>
      <c r="B12170" t="s">
        <v>26027</v>
      </c>
      <c r="C12170" t="s">
        <v>26815</v>
      </c>
      <c r="D12170" t="s">
        <v>20</v>
      </c>
      <c r="E12170" t="s">
        <v>39</v>
      </c>
      <c r="F12170">
        <v>0</v>
      </c>
      <c r="G12170">
        <v>0</v>
      </c>
      <c r="H12170">
        <v>6</v>
      </c>
      <c r="I12170" s="3">
        <v>3962.91</v>
      </c>
      <c r="J12170" s="3">
        <v>1284.32</v>
      </c>
      <c r="L12170">
        <v>209</v>
      </c>
      <c r="M12170" t="s">
        <v>26029</v>
      </c>
      <c r="N12170" t="s">
        <v>30</v>
      </c>
      <c r="O12170" t="s">
        <v>31</v>
      </c>
      <c r="P12170" t="str">
        <f>"15210"</f>
        <v>15210</v>
      </c>
    </row>
    <row r="12171" spans="1:16" x14ac:dyDescent="0.25">
      <c r="A12171" t="str">
        <f>"1180015M00148    00"</f>
        <v>1180015M00148    00</v>
      </c>
      <c r="B12171" t="s">
        <v>26027</v>
      </c>
      <c r="C12171" t="s">
        <v>25977</v>
      </c>
      <c r="D12171" t="s">
        <v>20</v>
      </c>
      <c r="E12171" t="s">
        <v>39</v>
      </c>
      <c r="F12171">
        <v>0</v>
      </c>
      <c r="G12171">
        <v>0</v>
      </c>
      <c r="H12171">
        <v>5</v>
      </c>
      <c r="I12171" s="3">
        <v>112.17</v>
      </c>
      <c r="J12171" s="3">
        <v>28.35</v>
      </c>
      <c r="L12171">
        <v>209</v>
      </c>
      <c r="M12171" t="s">
        <v>26029</v>
      </c>
      <c r="N12171" t="s">
        <v>30</v>
      </c>
      <c r="O12171" t="s">
        <v>31</v>
      </c>
      <c r="P12171" t="str">
        <f>"15210"</f>
        <v>15210</v>
      </c>
    </row>
    <row r="12172" spans="1:16" x14ac:dyDescent="0.25">
      <c r="A12172" t="str">
        <f>"1180015M00167    00"</f>
        <v>1180015M00167    00</v>
      </c>
      <c r="B12172" t="s">
        <v>26816</v>
      </c>
      <c r="C12172" t="s">
        <v>26817</v>
      </c>
      <c r="E12172" t="s">
        <v>39</v>
      </c>
      <c r="F12172">
        <v>0</v>
      </c>
      <c r="G12172">
        <v>0</v>
      </c>
      <c r="H12172">
        <v>1</v>
      </c>
      <c r="I12172" s="3">
        <v>116.29</v>
      </c>
      <c r="J12172" s="3">
        <v>0</v>
      </c>
      <c r="L12172">
        <v>414</v>
      </c>
      <c r="M12172" t="s">
        <v>25529</v>
      </c>
      <c r="N12172" t="s">
        <v>30</v>
      </c>
      <c r="O12172" t="s">
        <v>31</v>
      </c>
      <c r="P12172" t="str">
        <f>"15210"</f>
        <v>15210</v>
      </c>
    </row>
    <row r="12173" spans="1:16" x14ac:dyDescent="0.25">
      <c r="A12173" t="str">
        <f>"1180015M00176    00"</f>
        <v>1180015M00176    00</v>
      </c>
      <c r="B12173" t="s">
        <v>26818</v>
      </c>
      <c r="C12173" t="s">
        <v>25248</v>
      </c>
      <c r="D12173" t="s">
        <v>20</v>
      </c>
      <c r="E12173" t="s">
        <v>39</v>
      </c>
      <c r="F12173">
        <v>0</v>
      </c>
      <c r="G12173">
        <v>0</v>
      </c>
      <c r="H12173">
        <v>7</v>
      </c>
      <c r="I12173" s="3">
        <v>73.510000000000005</v>
      </c>
      <c r="J12173" s="3">
        <v>27.41</v>
      </c>
      <c r="M12173" t="s">
        <v>26819</v>
      </c>
      <c r="N12173" t="s">
        <v>30</v>
      </c>
      <c r="O12173" t="s">
        <v>31</v>
      </c>
      <c r="P12173" t="str">
        <f>"15210"</f>
        <v>15210</v>
      </c>
    </row>
    <row r="12174" spans="1:16" x14ac:dyDescent="0.25">
      <c r="A12174" t="str">
        <f>"1180015M00183    00"</f>
        <v>1180015M00183    00</v>
      </c>
      <c r="B12174" t="s">
        <v>26820</v>
      </c>
      <c r="C12174" t="s">
        <v>26821</v>
      </c>
      <c r="D12174" t="s">
        <v>20</v>
      </c>
      <c r="E12174" t="s">
        <v>39</v>
      </c>
      <c r="F12174">
        <v>0</v>
      </c>
      <c r="G12174">
        <v>0</v>
      </c>
      <c r="H12174">
        <v>14</v>
      </c>
      <c r="I12174" s="3">
        <v>8320.44</v>
      </c>
      <c r="J12174" s="3">
        <v>5730.03</v>
      </c>
      <c r="L12174">
        <v>1725</v>
      </c>
      <c r="M12174" t="s">
        <v>26822</v>
      </c>
      <c r="N12174" t="s">
        <v>26823</v>
      </c>
      <c r="O12174" t="s">
        <v>495</v>
      </c>
      <c r="P12174" t="str">
        <f>"90813"</f>
        <v>90813</v>
      </c>
    </row>
    <row r="12175" spans="1:16" x14ac:dyDescent="0.25">
      <c r="A12175" t="str">
        <f>"1180015M00186    00"</f>
        <v>1180015M00186    00</v>
      </c>
      <c r="B12175" t="s">
        <v>26824</v>
      </c>
      <c r="C12175" t="s">
        <v>26825</v>
      </c>
      <c r="E12175" t="s">
        <v>39</v>
      </c>
      <c r="F12175">
        <v>0</v>
      </c>
      <c r="G12175">
        <v>0</v>
      </c>
      <c r="H12175">
        <v>4</v>
      </c>
      <c r="I12175" s="3">
        <v>2088.9</v>
      </c>
      <c r="J12175" s="3">
        <v>452.42</v>
      </c>
      <c r="K12175" t="s">
        <v>26826</v>
      </c>
      <c r="L12175">
        <v>328</v>
      </c>
      <c r="M12175" t="s">
        <v>25529</v>
      </c>
      <c r="N12175" t="s">
        <v>30</v>
      </c>
      <c r="O12175" t="s">
        <v>31</v>
      </c>
      <c r="P12175" t="str">
        <f>"15210"</f>
        <v>15210</v>
      </c>
    </row>
    <row r="12176" spans="1:16" x14ac:dyDescent="0.25">
      <c r="A12176" t="str">
        <f>"1180015M00196    00"</f>
        <v>1180015M00196    00</v>
      </c>
      <c r="B12176" t="s">
        <v>26827</v>
      </c>
      <c r="C12176" t="s">
        <v>25977</v>
      </c>
      <c r="D12176" t="s">
        <v>20</v>
      </c>
      <c r="E12176" t="s">
        <v>39</v>
      </c>
      <c r="F12176">
        <v>0</v>
      </c>
      <c r="G12176">
        <v>0</v>
      </c>
      <c r="H12176">
        <v>19</v>
      </c>
      <c r="I12176" s="3">
        <v>10947.2</v>
      </c>
      <c r="J12176" s="3">
        <v>12619.77</v>
      </c>
      <c r="L12176">
        <v>302</v>
      </c>
      <c r="M12176" t="s">
        <v>25529</v>
      </c>
      <c r="N12176" t="s">
        <v>30</v>
      </c>
      <c r="O12176" t="s">
        <v>31</v>
      </c>
      <c r="P12176" t="str">
        <f>"15210"</f>
        <v>15210</v>
      </c>
    </row>
    <row r="12177" spans="1:16" x14ac:dyDescent="0.25">
      <c r="A12177" t="str">
        <f>"1180015M00203    00"</f>
        <v>1180015M00203    00</v>
      </c>
      <c r="B12177" t="s">
        <v>26828</v>
      </c>
      <c r="C12177" t="s">
        <v>25977</v>
      </c>
      <c r="D12177" t="s">
        <v>20</v>
      </c>
      <c r="E12177" t="s">
        <v>39</v>
      </c>
      <c r="F12177">
        <v>0</v>
      </c>
      <c r="G12177">
        <v>0</v>
      </c>
      <c r="H12177">
        <v>2</v>
      </c>
      <c r="I12177" s="3">
        <v>27.87</v>
      </c>
      <c r="J12177" s="3">
        <v>0</v>
      </c>
      <c r="L12177">
        <v>226</v>
      </c>
      <c r="M12177" t="s">
        <v>25529</v>
      </c>
      <c r="N12177" t="s">
        <v>30</v>
      </c>
      <c r="O12177" t="s">
        <v>31</v>
      </c>
      <c r="P12177" t="str">
        <f>"15210"</f>
        <v>15210</v>
      </c>
    </row>
    <row r="12178" spans="1:16" x14ac:dyDescent="0.25">
      <c r="A12178" t="str">
        <f>"1180015M00204    00"</f>
        <v>1180015M00204    00</v>
      </c>
      <c r="B12178" t="s">
        <v>26829</v>
      </c>
      <c r="C12178" t="s">
        <v>26830</v>
      </c>
      <c r="D12178" t="s">
        <v>20</v>
      </c>
      <c r="E12178" t="s">
        <v>39</v>
      </c>
      <c r="F12178">
        <v>0</v>
      </c>
      <c r="G12178">
        <v>0</v>
      </c>
      <c r="H12178">
        <v>8</v>
      </c>
      <c r="I12178" s="3">
        <v>3050.46</v>
      </c>
      <c r="J12178" s="3">
        <v>4065.88</v>
      </c>
      <c r="L12178">
        <v>226</v>
      </c>
      <c r="M12178" t="s">
        <v>25529</v>
      </c>
      <c r="N12178" t="s">
        <v>30</v>
      </c>
      <c r="O12178" t="s">
        <v>31</v>
      </c>
      <c r="P12178" t="str">
        <f>"15210"</f>
        <v>15210</v>
      </c>
    </row>
    <row r="12179" spans="1:16" x14ac:dyDescent="0.25">
      <c r="A12179" t="str">
        <f>"1180015M00211    00"</f>
        <v>1180015M00211    00</v>
      </c>
      <c r="B12179" t="s">
        <v>25355</v>
      </c>
      <c r="C12179" t="s">
        <v>26831</v>
      </c>
      <c r="E12179" t="s">
        <v>39</v>
      </c>
      <c r="F12179">
        <v>0</v>
      </c>
      <c r="G12179">
        <v>0</v>
      </c>
      <c r="H12179">
        <v>1</v>
      </c>
      <c r="I12179" s="3">
        <v>60.86</v>
      </c>
      <c r="J12179" s="3">
        <v>18.260000000000002</v>
      </c>
      <c r="L12179">
        <v>228</v>
      </c>
      <c r="M12179" t="s">
        <v>9578</v>
      </c>
      <c r="N12179" t="s">
        <v>199</v>
      </c>
      <c r="O12179" t="s">
        <v>200</v>
      </c>
      <c r="P12179" t="str">
        <f>"10003"</f>
        <v>10003</v>
      </c>
    </row>
    <row r="12180" spans="1:16" x14ac:dyDescent="0.25">
      <c r="A12180" t="str">
        <f>"1180015M00212    00"</f>
        <v>1180015M00212    00</v>
      </c>
      <c r="B12180" t="s">
        <v>26832</v>
      </c>
      <c r="C12180" t="s">
        <v>26833</v>
      </c>
      <c r="D12180" t="s">
        <v>20</v>
      </c>
      <c r="E12180" t="s">
        <v>39</v>
      </c>
      <c r="F12180">
        <v>0</v>
      </c>
      <c r="G12180">
        <v>0</v>
      </c>
      <c r="H12180">
        <v>1</v>
      </c>
      <c r="I12180" s="3">
        <v>282.89999999999998</v>
      </c>
      <c r="J12180" s="3">
        <v>0</v>
      </c>
      <c r="K12180" t="s">
        <v>26834</v>
      </c>
      <c r="L12180">
        <v>130</v>
      </c>
      <c r="M12180" t="s">
        <v>23871</v>
      </c>
      <c r="N12180" t="s">
        <v>30</v>
      </c>
      <c r="O12180" t="s">
        <v>31</v>
      </c>
      <c r="P12180" t="str">
        <f>"15210"</f>
        <v>15210</v>
      </c>
    </row>
    <row r="12181" spans="1:16" x14ac:dyDescent="0.25">
      <c r="A12181" t="str">
        <f>"1180015M00226    00"</f>
        <v>1180015M00226    00</v>
      </c>
      <c r="B12181" t="s">
        <v>26835</v>
      </c>
      <c r="C12181" t="s">
        <v>25971</v>
      </c>
      <c r="D12181" t="s">
        <v>20</v>
      </c>
      <c r="E12181" t="s">
        <v>39</v>
      </c>
      <c r="F12181">
        <v>0</v>
      </c>
      <c r="G12181">
        <v>0</v>
      </c>
      <c r="H12181">
        <v>19</v>
      </c>
      <c r="I12181" s="3">
        <v>3687.45</v>
      </c>
      <c r="J12181" s="3">
        <v>3303.69</v>
      </c>
      <c r="K12181" t="s">
        <v>1008</v>
      </c>
      <c r="P12181" t="str">
        <f>""</f>
        <v/>
      </c>
    </row>
    <row r="12182" spans="1:16" x14ac:dyDescent="0.25">
      <c r="A12182" t="str">
        <f>"1180015M00247    00"</f>
        <v>1180015M00247    00</v>
      </c>
      <c r="B12182" t="s">
        <v>26836</v>
      </c>
      <c r="C12182" t="s">
        <v>26837</v>
      </c>
      <c r="D12182" t="s">
        <v>20</v>
      </c>
      <c r="E12182" t="s">
        <v>39</v>
      </c>
      <c r="F12182">
        <v>0</v>
      </c>
      <c r="G12182">
        <v>0</v>
      </c>
      <c r="H12182">
        <v>2</v>
      </c>
      <c r="I12182" s="3">
        <v>979.7</v>
      </c>
      <c r="J12182" s="3">
        <v>0</v>
      </c>
      <c r="L12182">
        <v>8939</v>
      </c>
      <c r="M12182" t="s">
        <v>26838</v>
      </c>
      <c r="N12182" t="s">
        <v>5232</v>
      </c>
      <c r="O12182" t="s">
        <v>3486</v>
      </c>
      <c r="P12182" t="str">
        <f>"60620"</f>
        <v>60620</v>
      </c>
    </row>
    <row r="12183" spans="1:16" x14ac:dyDescent="0.25">
      <c r="A12183" t="str">
        <f>"1180015M00264    00"</f>
        <v>1180015M00264    00</v>
      </c>
      <c r="B12183" t="s">
        <v>26839</v>
      </c>
      <c r="C12183" t="s">
        <v>25971</v>
      </c>
      <c r="D12183" t="s">
        <v>20</v>
      </c>
      <c r="E12183" t="s">
        <v>39</v>
      </c>
      <c r="F12183">
        <v>0</v>
      </c>
      <c r="G12183">
        <v>0</v>
      </c>
      <c r="H12183">
        <v>3</v>
      </c>
      <c r="I12183" s="3">
        <v>33.36</v>
      </c>
      <c r="J12183" s="3">
        <v>0.18</v>
      </c>
      <c r="L12183">
        <v>481</v>
      </c>
      <c r="M12183" t="s">
        <v>26840</v>
      </c>
      <c r="N12183" t="s">
        <v>285</v>
      </c>
      <c r="O12183" t="s">
        <v>31</v>
      </c>
      <c r="P12183" t="str">
        <f>"15120"</f>
        <v>15120</v>
      </c>
    </row>
    <row r="12184" spans="1:16" x14ac:dyDescent="0.25">
      <c r="A12184" t="str">
        <f>"1180015M00273    00"</f>
        <v>1180015M00273    00</v>
      </c>
      <c r="B12184" t="s">
        <v>26841</v>
      </c>
      <c r="C12184" t="s">
        <v>25971</v>
      </c>
      <c r="D12184" t="s">
        <v>20</v>
      </c>
      <c r="E12184" t="s">
        <v>39</v>
      </c>
      <c r="F12184">
        <v>0</v>
      </c>
      <c r="G12184">
        <v>0</v>
      </c>
      <c r="H12184">
        <v>19</v>
      </c>
      <c r="I12184" s="3">
        <v>4159.6099999999997</v>
      </c>
      <c r="J12184" s="3">
        <v>5666.7</v>
      </c>
      <c r="P12184" t="str">
        <f>""</f>
        <v/>
      </c>
    </row>
    <row r="12185" spans="1:16" x14ac:dyDescent="0.25">
      <c r="A12185" t="str">
        <f>"1180015M00275    00"</f>
        <v>1180015M00275    00</v>
      </c>
      <c r="B12185" t="s">
        <v>26841</v>
      </c>
      <c r="C12185" t="s">
        <v>25971</v>
      </c>
      <c r="D12185" t="s">
        <v>20</v>
      </c>
      <c r="E12185" t="s">
        <v>39</v>
      </c>
      <c r="F12185">
        <v>0</v>
      </c>
      <c r="G12185">
        <v>0</v>
      </c>
      <c r="H12185">
        <v>19</v>
      </c>
      <c r="I12185" s="3">
        <v>1987.9</v>
      </c>
      <c r="J12185" s="3">
        <v>2063.0700000000002</v>
      </c>
      <c r="P12185" t="str">
        <f>""</f>
        <v/>
      </c>
    </row>
    <row r="12186" spans="1:16" x14ac:dyDescent="0.25">
      <c r="A12186" t="str">
        <f>"1180015M00292    00"</f>
        <v>1180015M00292    00</v>
      </c>
      <c r="B12186" t="s">
        <v>26842</v>
      </c>
      <c r="C12186" t="s">
        <v>26843</v>
      </c>
      <c r="D12186" t="s">
        <v>20</v>
      </c>
      <c r="E12186" t="s">
        <v>39</v>
      </c>
      <c r="F12186">
        <v>0</v>
      </c>
      <c r="G12186">
        <v>0</v>
      </c>
      <c r="H12186">
        <v>2</v>
      </c>
      <c r="I12186" s="3">
        <v>1551.5</v>
      </c>
      <c r="J12186" s="3">
        <v>0</v>
      </c>
      <c r="K12186" t="s">
        <v>26844</v>
      </c>
      <c r="L12186">
        <v>320</v>
      </c>
      <c r="M12186" t="s">
        <v>12198</v>
      </c>
      <c r="N12186" t="s">
        <v>30</v>
      </c>
      <c r="O12186" t="s">
        <v>31</v>
      </c>
      <c r="P12186" t="str">
        <f>"15210"</f>
        <v>15210</v>
      </c>
    </row>
    <row r="12187" spans="1:16" x14ac:dyDescent="0.25">
      <c r="A12187" t="str">
        <f>"1180015M00296    00"</f>
        <v>1180015M00296    00</v>
      </c>
      <c r="B12187" t="s">
        <v>26845</v>
      </c>
      <c r="C12187" t="s">
        <v>26846</v>
      </c>
      <c r="D12187" t="s">
        <v>20</v>
      </c>
      <c r="E12187" t="s">
        <v>39</v>
      </c>
      <c r="F12187">
        <v>0</v>
      </c>
      <c r="G12187">
        <v>0</v>
      </c>
      <c r="H12187">
        <v>18</v>
      </c>
      <c r="I12187" s="3">
        <v>7699.35</v>
      </c>
      <c r="J12187" s="3">
        <v>7709.2</v>
      </c>
      <c r="L12187">
        <v>7704</v>
      </c>
      <c r="M12187" t="s">
        <v>26847</v>
      </c>
      <c r="N12187" t="s">
        <v>1412</v>
      </c>
      <c r="O12187" t="s">
        <v>1413</v>
      </c>
      <c r="P12187" t="str">
        <f>"28216"</f>
        <v>28216</v>
      </c>
    </row>
    <row r="12188" spans="1:16" x14ac:dyDescent="0.25">
      <c r="A12188" t="str">
        <f>"1180015M00297    00"</f>
        <v>1180015M00297    00</v>
      </c>
      <c r="B12188" t="s">
        <v>26848</v>
      </c>
      <c r="C12188" t="s">
        <v>26849</v>
      </c>
      <c r="D12188" t="s">
        <v>20</v>
      </c>
      <c r="E12188" t="s">
        <v>39</v>
      </c>
      <c r="F12188">
        <v>0</v>
      </c>
      <c r="G12188">
        <v>0</v>
      </c>
      <c r="H12188">
        <v>16</v>
      </c>
      <c r="I12188" s="3">
        <v>5709.49</v>
      </c>
      <c r="J12188" s="3">
        <v>3794.7</v>
      </c>
      <c r="M12188" t="s">
        <v>26850</v>
      </c>
      <c r="N12188" t="s">
        <v>30</v>
      </c>
      <c r="O12188" t="s">
        <v>31</v>
      </c>
      <c r="P12188" t="str">
        <f>"15210"</f>
        <v>15210</v>
      </c>
    </row>
    <row r="12189" spans="1:16" x14ac:dyDescent="0.25">
      <c r="A12189" t="str">
        <f>"1180015M00298    00"</f>
        <v>1180015M00298    00</v>
      </c>
      <c r="B12189" t="s">
        <v>26851</v>
      </c>
      <c r="C12189" t="s">
        <v>26852</v>
      </c>
      <c r="D12189" t="s">
        <v>20</v>
      </c>
      <c r="E12189" t="s">
        <v>39</v>
      </c>
      <c r="F12189">
        <v>0</v>
      </c>
      <c r="G12189">
        <v>0</v>
      </c>
      <c r="H12189">
        <v>2</v>
      </c>
      <c r="I12189" s="3">
        <v>164.4</v>
      </c>
      <c r="J12189" s="3">
        <v>12.44</v>
      </c>
      <c r="L12189">
        <v>304</v>
      </c>
      <c r="M12189" t="s">
        <v>12198</v>
      </c>
      <c r="N12189" t="s">
        <v>30</v>
      </c>
      <c r="O12189" t="s">
        <v>31</v>
      </c>
      <c r="P12189" t="str">
        <f>"15210"</f>
        <v>15210</v>
      </c>
    </row>
    <row r="12190" spans="1:16" x14ac:dyDescent="0.25">
      <c r="A12190" t="str">
        <f>"1180015M00304    00"</f>
        <v>1180015M00304    00</v>
      </c>
      <c r="B12190" t="s">
        <v>26853</v>
      </c>
      <c r="C12190" t="s">
        <v>25971</v>
      </c>
      <c r="D12190" t="s">
        <v>20</v>
      </c>
      <c r="E12190" t="s">
        <v>39</v>
      </c>
      <c r="F12190">
        <v>0</v>
      </c>
      <c r="G12190">
        <v>0</v>
      </c>
      <c r="H12190">
        <v>13</v>
      </c>
      <c r="I12190" s="3">
        <v>599.20000000000005</v>
      </c>
      <c r="J12190" s="3">
        <v>670.02</v>
      </c>
      <c r="L12190">
        <v>3327</v>
      </c>
      <c r="M12190" t="s">
        <v>26854</v>
      </c>
      <c r="N12190" t="s">
        <v>264</v>
      </c>
      <c r="O12190" t="s">
        <v>25</v>
      </c>
      <c r="P12190" t="str">
        <f>"45207"</f>
        <v>45207</v>
      </c>
    </row>
    <row r="12191" spans="1:16" x14ac:dyDescent="0.25">
      <c r="A12191" t="str">
        <f>"1180015M00305    00"</f>
        <v>1180015M00305    00</v>
      </c>
      <c r="B12191" t="s">
        <v>16104</v>
      </c>
      <c r="C12191" t="s">
        <v>26855</v>
      </c>
      <c r="D12191" t="s">
        <v>20</v>
      </c>
      <c r="E12191" t="s">
        <v>39</v>
      </c>
      <c r="F12191">
        <v>0</v>
      </c>
      <c r="G12191">
        <v>0</v>
      </c>
      <c r="H12191">
        <v>3</v>
      </c>
      <c r="I12191" s="3">
        <v>1514.17</v>
      </c>
      <c r="J12191" s="3">
        <v>732.48</v>
      </c>
      <c r="L12191">
        <v>8807</v>
      </c>
      <c r="M12191" t="s">
        <v>13958</v>
      </c>
      <c r="N12191" t="s">
        <v>30</v>
      </c>
      <c r="O12191" t="s">
        <v>31</v>
      </c>
      <c r="P12191" t="str">
        <f>"15221"</f>
        <v>15221</v>
      </c>
    </row>
    <row r="12192" spans="1:16" x14ac:dyDescent="0.25">
      <c r="A12192" t="str">
        <f>"1180015M00307    00"</f>
        <v>1180015M00307    00</v>
      </c>
      <c r="B12192" t="s">
        <v>26856</v>
      </c>
      <c r="C12192" t="s">
        <v>26857</v>
      </c>
      <c r="D12192" t="s">
        <v>20</v>
      </c>
      <c r="E12192" t="s">
        <v>39</v>
      </c>
      <c r="F12192">
        <v>0</v>
      </c>
      <c r="G12192">
        <v>0</v>
      </c>
      <c r="H12192">
        <v>1</v>
      </c>
      <c r="I12192" s="3">
        <v>503.19</v>
      </c>
      <c r="J12192" s="3">
        <v>0</v>
      </c>
      <c r="K12192" t="s">
        <v>26858</v>
      </c>
      <c r="L12192">
        <v>230</v>
      </c>
      <c r="M12192" t="s">
        <v>12198</v>
      </c>
      <c r="N12192" t="s">
        <v>30</v>
      </c>
      <c r="O12192" t="s">
        <v>31</v>
      </c>
      <c r="P12192" t="str">
        <f>"15210"</f>
        <v>15210</v>
      </c>
    </row>
    <row r="12193" spans="1:16" x14ac:dyDescent="0.25">
      <c r="A12193" t="str">
        <f>"1180015M00308    00"</f>
        <v>1180015M00308    00</v>
      </c>
      <c r="B12193" t="s">
        <v>26859</v>
      </c>
      <c r="C12193" t="s">
        <v>26860</v>
      </c>
      <c r="D12193" t="s">
        <v>20</v>
      </c>
      <c r="E12193" t="s">
        <v>39</v>
      </c>
      <c r="F12193">
        <v>0</v>
      </c>
      <c r="G12193">
        <v>0</v>
      </c>
      <c r="H12193">
        <v>12</v>
      </c>
      <c r="I12193" s="3">
        <v>8962.7099999999991</v>
      </c>
      <c r="J12193" s="3">
        <v>4310.18</v>
      </c>
      <c r="L12193">
        <v>230</v>
      </c>
      <c r="M12193" t="s">
        <v>12198</v>
      </c>
      <c r="N12193" t="s">
        <v>30</v>
      </c>
      <c r="O12193" t="s">
        <v>31</v>
      </c>
      <c r="P12193" t="str">
        <f>"15210"</f>
        <v>15210</v>
      </c>
    </row>
    <row r="12194" spans="1:16" x14ac:dyDescent="0.25">
      <c r="A12194" t="str">
        <f>"1180015M00310    00"</f>
        <v>1180015M00310    00</v>
      </c>
      <c r="B12194" t="s">
        <v>26861</v>
      </c>
      <c r="C12194" t="s">
        <v>25971</v>
      </c>
      <c r="D12194" t="s">
        <v>20</v>
      </c>
      <c r="E12194" t="s">
        <v>39</v>
      </c>
      <c r="F12194">
        <v>0</v>
      </c>
      <c r="G12194">
        <v>0</v>
      </c>
      <c r="H12194">
        <v>19</v>
      </c>
      <c r="I12194" s="3">
        <v>279.7</v>
      </c>
      <c r="J12194" s="3">
        <v>282.8</v>
      </c>
      <c r="L12194">
        <v>844</v>
      </c>
      <c r="M12194" t="s">
        <v>14713</v>
      </c>
      <c r="N12194" t="s">
        <v>30</v>
      </c>
      <c r="O12194" t="s">
        <v>31</v>
      </c>
      <c r="P12194" t="str">
        <f>"15210"</f>
        <v>15210</v>
      </c>
    </row>
    <row r="12195" spans="1:16" x14ac:dyDescent="0.25">
      <c r="A12195" t="str">
        <f>"1180015M00311    00"</f>
        <v>1180015M00311    00</v>
      </c>
      <c r="B12195" t="s">
        <v>26862</v>
      </c>
      <c r="C12195" t="s">
        <v>25971</v>
      </c>
      <c r="D12195" t="s">
        <v>20</v>
      </c>
      <c r="E12195" t="s">
        <v>39</v>
      </c>
      <c r="F12195">
        <v>0</v>
      </c>
      <c r="G12195">
        <v>0</v>
      </c>
      <c r="H12195">
        <v>19</v>
      </c>
      <c r="I12195" s="3">
        <v>3273.97</v>
      </c>
      <c r="J12195" s="3">
        <v>4627.9399999999996</v>
      </c>
      <c r="L12195">
        <v>214</v>
      </c>
      <c r="M12195" t="s">
        <v>23477</v>
      </c>
      <c r="N12195" t="s">
        <v>30</v>
      </c>
      <c r="O12195" t="s">
        <v>31</v>
      </c>
      <c r="P12195" t="str">
        <f>"15210"</f>
        <v>15210</v>
      </c>
    </row>
    <row r="12196" spans="1:16" x14ac:dyDescent="0.25">
      <c r="A12196" t="str">
        <f>"1180015M00312    00"</f>
        <v>1180015M00312    00</v>
      </c>
      <c r="B12196" t="s">
        <v>26863</v>
      </c>
      <c r="C12196" t="s">
        <v>25971</v>
      </c>
      <c r="D12196" t="s">
        <v>20</v>
      </c>
      <c r="E12196" t="s">
        <v>39</v>
      </c>
      <c r="F12196">
        <v>0</v>
      </c>
      <c r="G12196">
        <v>0</v>
      </c>
      <c r="H12196">
        <v>19</v>
      </c>
      <c r="I12196" s="3">
        <v>2584.58</v>
      </c>
      <c r="J12196" s="3">
        <v>3613.22</v>
      </c>
      <c r="K12196" t="s">
        <v>26864</v>
      </c>
      <c r="L12196">
        <v>350</v>
      </c>
      <c r="M12196" t="s">
        <v>15347</v>
      </c>
      <c r="N12196" t="s">
        <v>26865</v>
      </c>
      <c r="O12196" t="s">
        <v>108</v>
      </c>
      <c r="P12196" t="str">
        <f>"75067"</f>
        <v>75067</v>
      </c>
    </row>
    <row r="12197" spans="1:16" x14ac:dyDescent="0.25">
      <c r="A12197" t="str">
        <f>"1180015M00313    00"</f>
        <v>1180015M00313    00</v>
      </c>
      <c r="B12197" t="s">
        <v>26866</v>
      </c>
      <c r="C12197" t="s">
        <v>25971</v>
      </c>
      <c r="D12197" t="s">
        <v>20</v>
      </c>
      <c r="E12197" t="s">
        <v>39</v>
      </c>
      <c r="F12197">
        <v>0</v>
      </c>
      <c r="G12197">
        <v>0</v>
      </c>
      <c r="H12197">
        <v>19</v>
      </c>
      <c r="I12197" s="3">
        <v>279.7</v>
      </c>
      <c r="J12197" s="3">
        <v>282.8</v>
      </c>
      <c r="K12197" t="s">
        <v>1008</v>
      </c>
      <c r="P12197" t="str">
        <f>""</f>
        <v/>
      </c>
    </row>
    <row r="12198" spans="1:16" x14ac:dyDescent="0.25">
      <c r="A12198" t="str">
        <f>"1180015M00314    00"</f>
        <v>1180015M00314    00</v>
      </c>
      <c r="B12198" t="s">
        <v>26867</v>
      </c>
      <c r="C12198" t="s">
        <v>25971</v>
      </c>
      <c r="D12198" t="s">
        <v>20</v>
      </c>
      <c r="E12198" t="s">
        <v>39</v>
      </c>
      <c r="F12198">
        <v>0</v>
      </c>
      <c r="G12198">
        <v>0</v>
      </c>
      <c r="H12198">
        <v>19</v>
      </c>
      <c r="I12198" s="3">
        <v>7489.19</v>
      </c>
      <c r="J12198" s="3">
        <v>10189.89</v>
      </c>
      <c r="L12198">
        <v>210</v>
      </c>
      <c r="M12198" t="s">
        <v>12198</v>
      </c>
      <c r="N12198" t="s">
        <v>30</v>
      </c>
      <c r="O12198" t="s">
        <v>31</v>
      </c>
      <c r="P12198" t="str">
        <f t="shared" ref="P12198:P12203" si="150">"15210"</f>
        <v>15210</v>
      </c>
    </row>
    <row r="12199" spans="1:16" x14ac:dyDescent="0.25">
      <c r="A12199" t="str">
        <f>"1180015M00316    00"</f>
        <v>1180015M00316    00</v>
      </c>
      <c r="B12199" t="s">
        <v>26868</v>
      </c>
      <c r="C12199" t="s">
        <v>26869</v>
      </c>
      <c r="D12199" t="s">
        <v>20</v>
      </c>
      <c r="E12199" t="s">
        <v>21</v>
      </c>
      <c r="F12199">
        <v>0</v>
      </c>
      <c r="G12199">
        <v>0</v>
      </c>
      <c r="H12199">
        <v>6</v>
      </c>
      <c r="I12199" s="3">
        <v>15750.23</v>
      </c>
      <c r="J12199" s="3">
        <v>3113.87</v>
      </c>
      <c r="L12199">
        <v>200</v>
      </c>
      <c r="M12199" t="s">
        <v>12198</v>
      </c>
      <c r="N12199" t="s">
        <v>30</v>
      </c>
      <c r="O12199" t="s">
        <v>31</v>
      </c>
      <c r="P12199" t="str">
        <f t="shared" si="150"/>
        <v>15210</v>
      </c>
    </row>
    <row r="12200" spans="1:16" x14ac:dyDescent="0.25">
      <c r="A12200" t="str">
        <f>"1180015P00015    00"</f>
        <v>1180015P00015    00</v>
      </c>
      <c r="B12200" t="s">
        <v>26870</v>
      </c>
      <c r="C12200" t="s">
        <v>26871</v>
      </c>
      <c r="E12200" t="s">
        <v>39</v>
      </c>
      <c r="F12200">
        <v>0</v>
      </c>
      <c r="G12200">
        <v>0</v>
      </c>
      <c r="H12200">
        <v>4</v>
      </c>
      <c r="I12200" s="3">
        <v>1456.25</v>
      </c>
      <c r="J12200" s="3">
        <v>282.07</v>
      </c>
      <c r="L12200">
        <v>26</v>
      </c>
      <c r="M12200" t="s">
        <v>25529</v>
      </c>
      <c r="N12200" t="s">
        <v>30</v>
      </c>
      <c r="O12200" t="s">
        <v>31</v>
      </c>
      <c r="P12200" t="str">
        <f t="shared" si="150"/>
        <v>15210</v>
      </c>
    </row>
    <row r="12201" spans="1:16" x14ac:dyDescent="0.25">
      <c r="A12201" t="str">
        <f>"1180015P00025    00"</f>
        <v>1180015P00025    00</v>
      </c>
      <c r="B12201" t="s">
        <v>26452</v>
      </c>
      <c r="C12201" t="s">
        <v>26872</v>
      </c>
      <c r="D12201" t="s">
        <v>20</v>
      </c>
      <c r="E12201" t="s">
        <v>39</v>
      </c>
      <c r="F12201">
        <v>0</v>
      </c>
      <c r="G12201">
        <v>0</v>
      </c>
      <c r="H12201">
        <v>5</v>
      </c>
      <c r="I12201" s="3">
        <v>2027.8</v>
      </c>
      <c r="J12201" s="3">
        <v>355.78</v>
      </c>
      <c r="K12201" t="s">
        <v>26454</v>
      </c>
      <c r="L12201">
        <v>306</v>
      </c>
      <c r="M12201" t="s">
        <v>11789</v>
      </c>
      <c r="N12201" t="s">
        <v>30</v>
      </c>
      <c r="O12201" t="s">
        <v>31</v>
      </c>
      <c r="P12201" t="str">
        <f t="shared" si="150"/>
        <v>15210</v>
      </c>
    </row>
    <row r="12202" spans="1:16" x14ac:dyDescent="0.25">
      <c r="A12202" t="str">
        <f>"1180015P00027    00"</f>
        <v>1180015P00027    00</v>
      </c>
      <c r="B12202" t="s">
        <v>26452</v>
      </c>
      <c r="C12202" t="s">
        <v>26873</v>
      </c>
      <c r="D12202" t="s">
        <v>20</v>
      </c>
      <c r="E12202" t="s">
        <v>39</v>
      </c>
      <c r="F12202">
        <v>0</v>
      </c>
      <c r="G12202">
        <v>0</v>
      </c>
      <c r="H12202">
        <v>5</v>
      </c>
      <c r="I12202" s="3">
        <v>2000.8</v>
      </c>
      <c r="J12202" s="3">
        <v>346.72</v>
      </c>
      <c r="L12202">
        <v>306</v>
      </c>
      <c r="M12202" t="s">
        <v>11789</v>
      </c>
      <c r="N12202" t="s">
        <v>30</v>
      </c>
      <c r="O12202" t="s">
        <v>31</v>
      </c>
      <c r="P12202" t="str">
        <f t="shared" si="150"/>
        <v>15210</v>
      </c>
    </row>
    <row r="12203" spans="1:16" x14ac:dyDescent="0.25">
      <c r="A12203" t="str">
        <f>"1180015P00047    00"</f>
        <v>1180015P00047    00</v>
      </c>
      <c r="B12203" t="s">
        <v>26874</v>
      </c>
      <c r="C12203" t="s">
        <v>26875</v>
      </c>
      <c r="D12203" t="s">
        <v>20</v>
      </c>
      <c r="E12203" t="s">
        <v>39</v>
      </c>
      <c r="F12203">
        <v>0</v>
      </c>
      <c r="G12203">
        <v>0</v>
      </c>
      <c r="H12203">
        <v>14</v>
      </c>
      <c r="I12203" s="3">
        <v>1862.11</v>
      </c>
      <c r="J12203" s="3">
        <v>2077.29</v>
      </c>
      <c r="L12203">
        <v>203</v>
      </c>
      <c r="M12203" t="s">
        <v>25978</v>
      </c>
      <c r="N12203" t="s">
        <v>30</v>
      </c>
      <c r="O12203" t="s">
        <v>31</v>
      </c>
      <c r="P12203" t="str">
        <f t="shared" si="150"/>
        <v>15210</v>
      </c>
    </row>
    <row r="12204" spans="1:16" x14ac:dyDescent="0.25">
      <c r="A12204" t="str">
        <f>"1180015R00003    00"</f>
        <v>1180015R00003    00</v>
      </c>
      <c r="B12204" t="s">
        <v>26876</v>
      </c>
      <c r="C12204" t="s">
        <v>26875</v>
      </c>
      <c r="D12204" t="s">
        <v>20</v>
      </c>
      <c r="E12204" t="s">
        <v>39</v>
      </c>
      <c r="F12204">
        <v>0</v>
      </c>
      <c r="G12204">
        <v>0</v>
      </c>
      <c r="H12204">
        <v>17</v>
      </c>
      <c r="I12204" s="3">
        <v>196.54</v>
      </c>
      <c r="J12204" s="3">
        <v>217.52</v>
      </c>
      <c r="K12204" t="s">
        <v>1037</v>
      </c>
      <c r="L12204">
        <v>200</v>
      </c>
      <c r="M12204" t="s">
        <v>11991</v>
      </c>
      <c r="N12204" t="s">
        <v>30</v>
      </c>
      <c r="O12204" t="s">
        <v>31</v>
      </c>
      <c r="P12204" t="str">
        <f>"15220"</f>
        <v>15220</v>
      </c>
    </row>
    <row r="12205" spans="1:16" x14ac:dyDescent="0.25">
      <c r="A12205" t="str">
        <f>"1180015R00004    00"</f>
        <v>1180015R00004    00</v>
      </c>
      <c r="B12205" t="s">
        <v>26877</v>
      </c>
      <c r="C12205" t="s">
        <v>26878</v>
      </c>
      <c r="D12205" t="s">
        <v>20</v>
      </c>
      <c r="E12205" t="s">
        <v>39</v>
      </c>
      <c r="F12205">
        <v>0</v>
      </c>
      <c r="G12205">
        <v>0</v>
      </c>
      <c r="H12205">
        <v>12</v>
      </c>
      <c r="I12205" s="3">
        <v>3747.38</v>
      </c>
      <c r="J12205" s="3">
        <v>2215.35</v>
      </c>
      <c r="K12205" t="s">
        <v>26879</v>
      </c>
      <c r="L12205">
        <v>1</v>
      </c>
      <c r="M12205" t="s">
        <v>26880</v>
      </c>
      <c r="N12205" t="s">
        <v>30</v>
      </c>
      <c r="O12205" t="s">
        <v>31</v>
      </c>
      <c r="P12205" t="str">
        <f>"15210"</f>
        <v>15210</v>
      </c>
    </row>
    <row r="12206" spans="1:16" x14ac:dyDescent="0.25">
      <c r="A12206" t="str">
        <f>"1180015R00022    00"</f>
        <v>1180015R00022    00</v>
      </c>
      <c r="B12206" t="s">
        <v>26881</v>
      </c>
      <c r="C12206" t="s">
        <v>26882</v>
      </c>
      <c r="D12206" t="s">
        <v>20</v>
      </c>
      <c r="E12206" t="s">
        <v>39</v>
      </c>
      <c r="F12206">
        <v>0</v>
      </c>
      <c r="G12206">
        <v>0</v>
      </c>
      <c r="H12206">
        <v>19</v>
      </c>
      <c r="I12206" s="3">
        <v>5499.21</v>
      </c>
      <c r="J12206" s="3">
        <v>6614.88</v>
      </c>
      <c r="K12206" t="s">
        <v>26883</v>
      </c>
      <c r="L12206">
        <v>141</v>
      </c>
      <c r="M12206" t="s">
        <v>12436</v>
      </c>
      <c r="N12206" t="s">
        <v>30</v>
      </c>
      <c r="O12206" t="s">
        <v>31</v>
      </c>
      <c r="P12206" t="str">
        <f>"15220"</f>
        <v>15220</v>
      </c>
    </row>
    <row r="12207" spans="1:16" x14ac:dyDescent="0.25">
      <c r="A12207" t="str">
        <f>"1180015R00023    00"</f>
        <v>1180015R00023    00</v>
      </c>
      <c r="B12207" t="s">
        <v>12433</v>
      </c>
      <c r="C12207" t="s">
        <v>26884</v>
      </c>
      <c r="D12207" t="s">
        <v>20</v>
      </c>
      <c r="E12207" t="s">
        <v>39</v>
      </c>
      <c r="F12207">
        <v>0</v>
      </c>
      <c r="G12207">
        <v>0</v>
      </c>
      <c r="H12207">
        <v>11</v>
      </c>
      <c r="I12207" s="3">
        <v>4092.51</v>
      </c>
      <c r="J12207" s="3">
        <v>1953.22</v>
      </c>
      <c r="K12207" t="s">
        <v>12435</v>
      </c>
      <c r="L12207">
        <v>832</v>
      </c>
      <c r="M12207" t="s">
        <v>26885</v>
      </c>
      <c r="N12207" t="s">
        <v>30</v>
      </c>
      <c r="O12207" t="s">
        <v>31</v>
      </c>
      <c r="P12207" t="str">
        <f>"15210"</f>
        <v>15210</v>
      </c>
    </row>
    <row r="12208" spans="1:16" x14ac:dyDescent="0.25">
      <c r="A12208" t="str">
        <f>"1180015R00029    00"</f>
        <v>1180015R00029    00</v>
      </c>
      <c r="B12208" t="s">
        <v>26886</v>
      </c>
      <c r="C12208" t="s">
        <v>26887</v>
      </c>
      <c r="D12208" t="s">
        <v>20</v>
      </c>
      <c r="E12208" t="s">
        <v>39</v>
      </c>
      <c r="F12208">
        <v>0</v>
      </c>
      <c r="G12208">
        <v>0</v>
      </c>
      <c r="H12208">
        <v>19</v>
      </c>
      <c r="I12208" s="3">
        <v>850.52</v>
      </c>
      <c r="J12208" s="3">
        <v>584.6</v>
      </c>
      <c r="K12208" t="s">
        <v>1037</v>
      </c>
      <c r="L12208">
        <v>800</v>
      </c>
      <c r="M12208" t="s">
        <v>20816</v>
      </c>
      <c r="N12208" t="s">
        <v>30</v>
      </c>
      <c r="O12208" t="s">
        <v>31</v>
      </c>
      <c r="P12208" t="str">
        <f>"15210"</f>
        <v>15210</v>
      </c>
    </row>
    <row r="12209" spans="1:16" x14ac:dyDescent="0.25">
      <c r="A12209" t="str">
        <f>"1180015R00030    00"</f>
        <v>1180015R00030    00</v>
      </c>
      <c r="B12209" t="s">
        <v>26888</v>
      </c>
      <c r="C12209" t="s">
        <v>26887</v>
      </c>
      <c r="D12209" t="s">
        <v>20</v>
      </c>
      <c r="E12209" t="s">
        <v>39</v>
      </c>
      <c r="F12209">
        <v>0</v>
      </c>
      <c r="G12209">
        <v>0</v>
      </c>
      <c r="H12209">
        <v>19</v>
      </c>
      <c r="I12209" s="3">
        <v>875.16</v>
      </c>
      <c r="J12209" s="3">
        <v>620.1</v>
      </c>
      <c r="K12209" t="s">
        <v>1037</v>
      </c>
      <c r="L12209">
        <v>31</v>
      </c>
      <c r="M12209" t="s">
        <v>26889</v>
      </c>
      <c r="N12209" t="s">
        <v>30</v>
      </c>
      <c r="O12209" t="s">
        <v>31</v>
      </c>
      <c r="P12209" t="str">
        <f>"15210"</f>
        <v>15210</v>
      </c>
    </row>
    <row r="12210" spans="1:16" x14ac:dyDescent="0.25">
      <c r="A12210" t="str">
        <f>"1180015R00031    00"</f>
        <v>1180015R00031    00</v>
      </c>
      <c r="B12210" t="s">
        <v>26890</v>
      </c>
      <c r="C12210" t="s">
        <v>26891</v>
      </c>
      <c r="D12210" t="s">
        <v>20</v>
      </c>
      <c r="E12210" t="s">
        <v>39</v>
      </c>
      <c r="F12210">
        <v>0</v>
      </c>
      <c r="G12210">
        <v>0</v>
      </c>
      <c r="H12210">
        <v>18</v>
      </c>
      <c r="I12210" s="3">
        <v>12178.87</v>
      </c>
      <c r="J12210" s="3">
        <v>12175.35</v>
      </c>
      <c r="L12210">
        <v>2226</v>
      </c>
      <c r="M12210" t="s">
        <v>3522</v>
      </c>
      <c r="N12210" t="s">
        <v>30</v>
      </c>
      <c r="O12210" t="s">
        <v>31</v>
      </c>
      <c r="P12210" t="str">
        <f>"15226"</f>
        <v>15226</v>
      </c>
    </row>
    <row r="12211" spans="1:16" x14ac:dyDescent="0.25">
      <c r="A12211" t="str">
        <f>"1180015R00033    00"</f>
        <v>1180015R00033    00</v>
      </c>
      <c r="B12211" t="s">
        <v>26892</v>
      </c>
      <c r="C12211" t="s">
        <v>26893</v>
      </c>
      <c r="E12211" t="s">
        <v>39</v>
      </c>
      <c r="F12211">
        <v>0</v>
      </c>
      <c r="G12211">
        <v>0</v>
      </c>
      <c r="H12211">
        <v>1</v>
      </c>
      <c r="I12211" s="3">
        <v>121.58</v>
      </c>
      <c r="J12211" s="3">
        <v>0</v>
      </c>
      <c r="K12211" t="s">
        <v>26894</v>
      </c>
      <c r="L12211">
        <v>1414</v>
      </c>
      <c r="M12211" t="s">
        <v>26895</v>
      </c>
      <c r="N12211" t="s">
        <v>3623</v>
      </c>
      <c r="O12211" t="s">
        <v>31</v>
      </c>
      <c r="P12211" t="str">
        <f>"17102"</f>
        <v>17102</v>
      </c>
    </row>
    <row r="12212" spans="1:16" x14ac:dyDescent="0.25">
      <c r="A12212" t="str">
        <f>"1180015R00034    00"</f>
        <v>1180015R00034    00</v>
      </c>
      <c r="B12212" t="s">
        <v>26896</v>
      </c>
      <c r="C12212" t="s">
        <v>26887</v>
      </c>
      <c r="D12212" t="s">
        <v>20</v>
      </c>
      <c r="E12212" t="s">
        <v>39</v>
      </c>
      <c r="F12212">
        <v>0</v>
      </c>
      <c r="G12212">
        <v>0</v>
      </c>
      <c r="H12212">
        <v>2</v>
      </c>
      <c r="I12212" s="3">
        <v>45.74</v>
      </c>
      <c r="J12212" s="3">
        <v>0</v>
      </c>
      <c r="K12212" t="s">
        <v>26897</v>
      </c>
      <c r="L12212">
        <v>1414</v>
      </c>
      <c r="M12212" t="s">
        <v>26895</v>
      </c>
      <c r="N12212" t="s">
        <v>3623</v>
      </c>
      <c r="O12212" t="s">
        <v>31</v>
      </c>
      <c r="P12212" t="str">
        <f>"17102"</f>
        <v>17102</v>
      </c>
    </row>
    <row r="12213" spans="1:16" x14ac:dyDescent="0.25">
      <c r="A12213" t="str">
        <f>"1180015R00070    00"</f>
        <v>1180015R00070    00</v>
      </c>
      <c r="B12213" t="s">
        <v>26898</v>
      </c>
      <c r="C12213" t="s">
        <v>26899</v>
      </c>
      <c r="D12213" t="s">
        <v>20</v>
      </c>
      <c r="E12213" t="s">
        <v>39</v>
      </c>
      <c r="F12213">
        <v>0</v>
      </c>
      <c r="G12213">
        <v>0</v>
      </c>
      <c r="H12213">
        <v>2</v>
      </c>
      <c r="I12213" s="3">
        <v>865.34</v>
      </c>
      <c r="J12213" s="3">
        <v>0</v>
      </c>
      <c r="K12213" t="s">
        <v>26900</v>
      </c>
      <c r="L12213">
        <v>2929</v>
      </c>
      <c r="M12213" t="s">
        <v>26901</v>
      </c>
      <c r="N12213" t="s">
        <v>30</v>
      </c>
      <c r="O12213" t="s">
        <v>31</v>
      </c>
      <c r="P12213" t="str">
        <f>"15227"</f>
        <v>15227</v>
      </c>
    </row>
    <row r="12214" spans="1:16" x14ac:dyDescent="0.25">
      <c r="A12214" t="str">
        <f>"1180015R00072    00"</f>
        <v>1180015R00072    00</v>
      </c>
      <c r="B12214" t="s">
        <v>26902</v>
      </c>
      <c r="C12214" t="s">
        <v>26544</v>
      </c>
      <c r="D12214" t="s">
        <v>20</v>
      </c>
      <c r="E12214" t="s">
        <v>39</v>
      </c>
      <c r="F12214">
        <v>0</v>
      </c>
      <c r="G12214">
        <v>0</v>
      </c>
      <c r="H12214">
        <v>3</v>
      </c>
      <c r="I12214" s="3">
        <v>57.18</v>
      </c>
      <c r="J12214" s="3">
        <v>3.81</v>
      </c>
      <c r="L12214">
        <v>922</v>
      </c>
      <c r="M12214" t="s">
        <v>20816</v>
      </c>
      <c r="N12214" t="s">
        <v>30</v>
      </c>
      <c r="O12214" t="s">
        <v>31</v>
      </c>
      <c r="P12214" t="str">
        <f>"15210"</f>
        <v>15210</v>
      </c>
    </row>
    <row r="12215" spans="1:16" x14ac:dyDescent="0.25">
      <c r="A12215" t="str">
        <f>"1180015R00086    00"</f>
        <v>1180015R00086    00</v>
      </c>
      <c r="B12215" t="s">
        <v>26903</v>
      </c>
      <c r="C12215" t="s">
        <v>26904</v>
      </c>
      <c r="D12215" t="s">
        <v>20</v>
      </c>
      <c r="E12215" t="s">
        <v>39</v>
      </c>
      <c r="F12215">
        <v>0</v>
      </c>
      <c r="G12215">
        <v>0</v>
      </c>
      <c r="H12215">
        <v>4</v>
      </c>
      <c r="I12215" s="3">
        <v>2145.7199999999998</v>
      </c>
      <c r="J12215" s="3">
        <v>584.16999999999996</v>
      </c>
      <c r="L12215">
        <v>701</v>
      </c>
      <c r="M12215" t="s">
        <v>20816</v>
      </c>
      <c r="N12215" t="s">
        <v>30</v>
      </c>
      <c r="O12215" t="s">
        <v>31</v>
      </c>
      <c r="P12215" t="str">
        <f>"15210"</f>
        <v>15210</v>
      </c>
    </row>
    <row r="12216" spans="1:16" x14ac:dyDescent="0.25">
      <c r="A12216" t="str">
        <f>"1180015R00088    00"</f>
        <v>1180015R00088    00</v>
      </c>
      <c r="B12216" t="s">
        <v>26905</v>
      </c>
      <c r="C12216" t="s">
        <v>26544</v>
      </c>
      <c r="D12216" t="s">
        <v>20</v>
      </c>
      <c r="E12216" t="s">
        <v>39</v>
      </c>
      <c r="F12216">
        <v>0</v>
      </c>
      <c r="G12216">
        <v>0</v>
      </c>
      <c r="H12216">
        <v>15</v>
      </c>
      <c r="I12216" s="3">
        <v>6771.02</v>
      </c>
      <c r="J12216" s="3">
        <v>5315.01</v>
      </c>
      <c r="L12216">
        <v>4041</v>
      </c>
      <c r="M12216" t="s">
        <v>26906</v>
      </c>
      <c r="N12216" t="s">
        <v>295</v>
      </c>
      <c r="O12216" t="s">
        <v>31</v>
      </c>
      <c r="P12216" t="str">
        <f>"15146"</f>
        <v>15146</v>
      </c>
    </row>
    <row r="12217" spans="1:16" x14ac:dyDescent="0.25">
      <c r="A12217" t="str">
        <f>"1180015R00090    00"</f>
        <v>1180015R00090    00</v>
      </c>
      <c r="B12217" t="s">
        <v>26907</v>
      </c>
      <c r="C12217" t="s">
        <v>26544</v>
      </c>
      <c r="D12217" t="s">
        <v>20</v>
      </c>
      <c r="E12217" t="s">
        <v>39</v>
      </c>
      <c r="F12217">
        <v>0</v>
      </c>
      <c r="G12217">
        <v>0</v>
      </c>
      <c r="H12217">
        <v>17</v>
      </c>
      <c r="I12217" s="3">
        <v>172.12</v>
      </c>
      <c r="J12217" s="3">
        <v>189.11</v>
      </c>
      <c r="M12217" t="s">
        <v>26908</v>
      </c>
      <c r="N12217" t="s">
        <v>26909</v>
      </c>
      <c r="O12217" t="s">
        <v>606</v>
      </c>
      <c r="P12217" t="str">
        <f>"30037"</f>
        <v>30037</v>
      </c>
    </row>
    <row r="12218" spans="1:16" x14ac:dyDescent="0.25">
      <c r="A12218" t="str">
        <f>"1180015R00091    00"</f>
        <v>1180015R00091    00</v>
      </c>
      <c r="B12218" t="s">
        <v>14498</v>
      </c>
      <c r="C12218" t="s">
        <v>26910</v>
      </c>
      <c r="D12218" t="s">
        <v>20</v>
      </c>
      <c r="E12218" t="s">
        <v>39</v>
      </c>
      <c r="F12218">
        <v>0</v>
      </c>
      <c r="G12218">
        <v>0</v>
      </c>
      <c r="H12218">
        <v>19</v>
      </c>
      <c r="I12218" s="3">
        <v>12330.78</v>
      </c>
      <c r="J12218" s="3">
        <v>13590.78</v>
      </c>
      <c r="K12218" t="s">
        <v>14500</v>
      </c>
      <c r="L12218">
        <v>43</v>
      </c>
      <c r="M12218" t="s">
        <v>14501</v>
      </c>
      <c r="N12218" t="s">
        <v>509</v>
      </c>
      <c r="O12218" t="s">
        <v>31</v>
      </c>
      <c r="P12218" t="str">
        <f>"19139"</f>
        <v>19139</v>
      </c>
    </row>
    <row r="12219" spans="1:16" x14ac:dyDescent="0.25">
      <c r="A12219" t="str">
        <f>"1180015R00099    00"</f>
        <v>1180015R00099    00</v>
      </c>
      <c r="B12219" t="s">
        <v>26911</v>
      </c>
      <c r="C12219" t="s">
        <v>26544</v>
      </c>
      <c r="D12219" t="s">
        <v>20</v>
      </c>
      <c r="E12219" t="s">
        <v>39</v>
      </c>
      <c r="F12219">
        <v>0</v>
      </c>
      <c r="G12219">
        <v>0</v>
      </c>
      <c r="H12219">
        <v>19</v>
      </c>
      <c r="I12219" s="3">
        <v>5754.12</v>
      </c>
      <c r="J12219" s="3">
        <v>7966.82</v>
      </c>
      <c r="K12219" t="s">
        <v>26912</v>
      </c>
      <c r="L12219">
        <v>1073</v>
      </c>
      <c r="M12219" t="s">
        <v>26913</v>
      </c>
      <c r="N12219" t="s">
        <v>4652</v>
      </c>
      <c r="O12219" t="s">
        <v>370</v>
      </c>
      <c r="P12219" t="str">
        <f>"32163"</f>
        <v>32163</v>
      </c>
    </row>
    <row r="12220" spans="1:16" x14ac:dyDescent="0.25">
      <c r="A12220" t="str">
        <f>"1180015R00101    00"</f>
        <v>1180015R00101    00</v>
      </c>
      <c r="B12220" t="s">
        <v>25316</v>
      </c>
      <c r="C12220" t="s">
        <v>26914</v>
      </c>
      <c r="D12220" t="s">
        <v>20</v>
      </c>
      <c r="E12220" t="s">
        <v>39</v>
      </c>
      <c r="F12220">
        <v>0</v>
      </c>
      <c r="G12220">
        <v>0</v>
      </c>
      <c r="H12220">
        <v>4</v>
      </c>
      <c r="I12220" s="3">
        <v>2247.92</v>
      </c>
      <c r="J12220" s="3">
        <v>265.54000000000002</v>
      </c>
      <c r="K12220" t="s">
        <v>1632</v>
      </c>
      <c r="L12220">
        <v>3001</v>
      </c>
      <c r="M12220" t="s">
        <v>330</v>
      </c>
      <c r="N12220" t="s">
        <v>331</v>
      </c>
      <c r="O12220" t="s">
        <v>108</v>
      </c>
      <c r="P12220" t="str">
        <f>"75063"</f>
        <v>75063</v>
      </c>
    </row>
    <row r="12221" spans="1:16" x14ac:dyDescent="0.25">
      <c r="A12221" t="str">
        <f>"1180015R00105    00"</f>
        <v>1180015R00105    00</v>
      </c>
      <c r="B12221" t="s">
        <v>26915</v>
      </c>
      <c r="C12221" t="s">
        <v>26544</v>
      </c>
      <c r="D12221" t="s">
        <v>20</v>
      </c>
      <c r="E12221" t="s">
        <v>39</v>
      </c>
      <c r="F12221">
        <v>0</v>
      </c>
      <c r="G12221">
        <v>0</v>
      </c>
      <c r="H12221">
        <v>19</v>
      </c>
      <c r="I12221" s="3">
        <v>3525.18</v>
      </c>
      <c r="J12221" s="3">
        <v>4157.95</v>
      </c>
      <c r="L12221">
        <v>907</v>
      </c>
      <c r="M12221" t="s">
        <v>20816</v>
      </c>
      <c r="N12221" t="s">
        <v>30</v>
      </c>
      <c r="O12221" t="s">
        <v>31</v>
      </c>
      <c r="P12221" t="str">
        <f>"15210"</f>
        <v>15210</v>
      </c>
    </row>
    <row r="12222" spans="1:16" x14ac:dyDescent="0.25">
      <c r="A12222" t="str">
        <f>"1180015R00108    00"</f>
        <v>1180015R00108    00</v>
      </c>
      <c r="B12222" t="s">
        <v>26916</v>
      </c>
      <c r="C12222" t="s">
        <v>26544</v>
      </c>
      <c r="D12222" t="s">
        <v>20</v>
      </c>
      <c r="E12222" t="s">
        <v>39</v>
      </c>
      <c r="F12222">
        <v>0</v>
      </c>
      <c r="G12222">
        <v>0</v>
      </c>
      <c r="H12222">
        <v>19</v>
      </c>
      <c r="I12222" s="3">
        <v>1335.65</v>
      </c>
      <c r="J12222" s="3">
        <v>1223.47</v>
      </c>
      <c r="P12222" t="str">
        <f>""</f>
        <v/>
      </c>
    </row>
    <row r="12223" spans="1:16" x14ac:dyDescent="0.25">
      <c r="A12223" t="str">
        <f>"1180015R00110    00"</f>
        <v>1180015R00110    00</v>
      </c>
      <c r="B12223" t="s">
        <v>26917</v>
      </c>
      <c r="C12223" t="s">
        <v>26918</v>
      </c>
      <c r="D12223" t="s">
        <v>20</v>
      </c>
      <c r="E12223" t="s">
        <v>39</v>
      </c>
      <c r="F12223">
        <v>0</v>
      </c>
      <c r="G12223">
        <v>0</v>
      </c>
      <c r="H12223">
        <v>19</v>
      </c>
      <c r="I12223" s="3">
        <v>10348.86</v>
      </c>
      <c r="J12223" s="3">
        <v>10761.52</v>
      </c>
      <c r="L12223">
        <v>248</v>
      </c>
      <c r="M12223" t="s">
        <v>25833</v>
      </c>
      <c r="N12223" t="s">
        <v>30</v>
      </c>
      <c r="O12223" t="s">
        <v>31</v>
      </c>
      <c r="P12223" t="str">
        <f t="shared" ref="P12223:P12230" si="151">"15210"</f>
        <v>15210</v>
      </c>
    </row>
    <row r="12224" spans="1:16" x14ac:dyDescent="0.25">
      <c r="A12224" t="str">
        <f>"1180015R00111    00"</f>
        <v>1180015R00111    00</v>
      </c>
      <c r="B12224" t="s">
        <v>26919</v>
      </c>
      <c r="C12224" t="s">
        <v>26920</v>
      </c>
      <c r="D12224" t="s">
        <v>20</v>
      </c>
      <c r="E12224" t="s">
        <v>39</v>
      </c>
      <c r="F12224">
        <v>0</v>
      </c>
      <c r="G12224">
        <v>0</v>
      </c>
      <c r="H12224">
        <v>12</v>
      </c>
      <c r="I12224" s="3">
        <v>3721.38</v>
      </c>
      <c r="J12224" s="3">
        <v>1802.96</v>
      </c>
      <c r="L12224">
        <v>911</v>
      </c>
      <c r="M12224" t="s">
        <v>26921</v>
      </c>
      <c r="N12224" t="s">
        <v>30</v>
      </c>
      <c r="O12224" t="s">
        <v>31</v>
      </c>
      <c r="P12224" t="str">
        <f t="shared" si="151"/>
        <v>15210</v>
      </c>
    </row>
    <row r="12225" spans="1:16" x14ac:dyDescent="0.25">
      <c r="A12225" t="str">
        <f>"1180015R00112    00"</f>
        <v>1180015R00112    00</v>
      </c>
      <c r="B12225" t="s">
        <v>26922</v>
      </c>
      <c r="C12225" t="s">
        <v>26544</v>
      </c>
      <c r="D12225" t="s">
        <v>20</v>
      </c>
      <c r="E12225" t="s">
        <v>39</v>
      </c>
      <c r="F12225">
        <v>0</v>
      </c>
      <c r="G12225">
        <v>0</v>
      </c>
      <c r="H12225">
        <v>15</v>
      </c>
      <c r="I12225" s="3">
        <v>172.14</v>
      </c>
      <c r="J12225" s="3">
        <v>174.92</v>
      </c>
      <c r="L12225">
        <v>911</v>
      </c>
      <c r="M12225" t="s">
        <v>20816</v>
      </c>
      <c r="N12225" t="s">
        <v>30</v>
      </c>
      <c r="O12225" t="s">
        <v>31</v>
      </c>
      <c r="P12225" t="str">
        <f t="shared" si="151"/>
        <v>15210</v>
      </c>
    </row>
    <row r="12226" spans="1:16" x14ac:dyDescent="0.25">
      <c r="A12226" t="str">
        <f>"1180015R00119    00"</f>
        <v>1180015R00119    00</v>
      </c>
      <c r="B12226" t="s">
        <v>3293</v>
      </c>
      <c r="C12226" t="s">
        <v>26923</v>
      </c>
      <c r="D12226" t="s">
        <v>20</v>
      </c>
      <c r="E12226" t="s">
        <v>39</v>
      </c>
      <c r="F12226">
        <v>0</v>
      </c>
      <c r="G12226">
        <v>0</v>
      </c>
      <c r="H12226">
        <v>7</v>
      </c>
      <c r="I12226" s="3">
        <v>3249.54</v>
      </c>
      <c r="J12226" s="3">
        <v>898.59</v>
      </c>
      <c r="L12226">
        <v>414</v>
      </c>
      <c r="M12226" t="s">
        <v>3295</v>
      </c>
      <c r="N12226" t="s">
        <v>30</v>
      </c>
      <c r="O12226" t="s">
        <v>31</v>
      </c>
      <c r="P12226" t="str">
        <f t="shared" si="151"/>
        <v>15210</v>
      </c>
    </row>
    <row r="12227" spans="1:16" x14ac:dyDescent="0.25">
      <c r="A12227" t="str">
        <f>"1180015R00125    00"</f>
        <v>1180015R00125    00</v>
      </c>
      <c r="B12227" t="s">
        <v>26924</v>
      </c>
      <c r="C12227" t="s">
        <v>26344</v>
      </c>
      <c r="D12227" t="s">
        <v>20</v>
      </c>
      <c r="E12227" t="s">
        <v>39</v>
      </c>
      <c r="F12227">
        <v>0</v>
      </c>
      <c r="G12227">
        <v>0</v>
      </c>
      <c r="H12227">
        <v>19</v>
      </c>
      <c r="I12227" s="3">
        <v>351.53</v>
      </c>
      <c r="J12227" s="3">
        <v>379.81</v>
      </c>
      <c r="L12227">
        <v>922</v>
      </c>
      <c r="M12227" t="s">
        <v>26345</v>
      </c>
      <c r="N12227" t="s">
        <v>30</v>
      </c>
      <c r="O12227" t="s">
        <v>31</v>
      </c>
      <c r="P12227" t="str">
        <f t="shared" si="151"/>
        <v>15210</v>
      </c>
    </row>
    <row r="12228" spans="1:16" x14ac:dyDescent="0.25">
      <c r="A12228" t="str">
        <f>"1180015R00127    00"</f>
        <v>1180015R00127    00</v>
      </c>
      <c r="B12228" t="s">
        <v>26925</v>
      </c>
      <c r="C12228" t="s">
        <v>26926</v>
      </c>
      <c r="D12228" t="s">
        <v>20</v>
      </c>
      <c r="E12228" t="s">
        <v>39</v>
      </c>
      <c r="F12228">
        <v>0</v>
      </c>
      <c r="G12228">
        <v>0</v>
      </c>
      <c r="H12228">
        <v>1</v>
      </c>
      <c r="I12228" s="3">
        <v>381.2</v>
      </c>
      <c r="J12228" s="3">
        <v>0</v>
      </c>
      <c r="L12228">
        <v>910</v>
      </c>
      <c r="M12228" t="s">
        <v>26345</v>
      </c>
      <c r="N12228" t="s">
        <v>30</v>
      </c>
      <c r="O12228" t="s">
        <v>31</v>
      </c>
      <c r="P12228" t="str">
        <f t="shared" si="151"/>
        <v>15210</v>
      </c>
    </row>
    <row r="12229" spans="1:16" x14ac:dyDescent="0.25">
      <c r="A12229" t="str">
        <f>"1180015R00128    00"</f>
        <v>1180015R00128    00</v>
      </c>
      <c r="B12229" t="s">
        <v>26927</v>
      </c>
      <c r="C12229" t="s">
        <v>26344</v>
      </c>
      <c r="E12229" t="s">
        <v>39</v>
      </c>
      <c r="F12229">
        <v>0</v>
      </c>
      <c r="G12229">
        <v>0</v>
      </c>
      <c r="H12229">
        <v>7</v>
      </c>
      <c r="I12229" s="3">
        <v>2022</v>
      </c>
      <c r="J12229" s="3">
        <v>2913.37</v>
      </c>
      <c r="L12229">
        <v>212</v>
      </c>
      <c r="M12229" t="s">
        <v>11789</v>
      </c>
      <c r="N12229" t="s">
        <v>30</v>
      </c>
      <c r="O12229" t="s">
        <v>31</v>
      </c>
      <c r="P12229" t="str">
        <f t="shared" si="151"/>
        <v>15210</v>
      </c>
    </row>
    <row r="12230" spans="1:16" x14ac:dyDescent="0.25">
      <c r="A12230" t="str">
        <f>"1180015R00132    00"</f>
        <v>1180015R00132    00</v>
      </c>
      <c r="B12230" t="s">
        <v>26928</v>
      </c>
      <c r="C12230" t="s">
        <v>26344</v>
      </c>
      <c r="D12230" t="s">
        <v>20</v>
      </c>
      <c r="E12230" t="s">
        <v>39</v>
      </c>
      <c r="F12230">
        <v>0</v>
      </c>
      <c r="G12230">
        <v>0</v>
      </c>
      <c r="H12230">
        <v>19</v>
      </c>
      <c r="I12230" s="3">
        <v>378.35</v>
      </c>
      <c r="J12230" s="3">
        <v>424.97</v>
      </c>
      <c r="L12230">
        <v>904</v>
      </c>
      <c r="M12230" t="s">
        <v>26345</v>
      </c>
      <c r="N12230" t="s">
        <v>30</v>
      </c>
      <c r="O12230" t="s">
        <v>31</v>
      </c>
      <c r="P12230" t="str">
        <f t="shared" si="151"/>
        <v>15210</v>
      </c>
    </row>
    <row r="12231" spans="1:16" x14ac:dyDescent="0.25">
      <c r="A12231" t="str">
        <f>"1180015R00134    00"</f>
        <v>1180015R00134    00</v>
      </c>
      <c r="B12231" t="s">
        <v>26929</v>
      </c>
      <c r="C12231" t="s">
        <v>26344</v>
      </c>
      <c r="D12231" t="s">
        <v>20</v>
      </c>
      <c r="E12231" t="s">
        <v>39</v>
      </c>
      <c r="F12231">
        <v>0</v>
      </c>
      <c r="G12231">
        <v>0</v>
      </c>
      <c r="H12231">
        <v>17</v>
      </c>
      <c r="I12231" s="3">
        <v>6560.01</v>
      </c>
      <c r="J12231" s="3">
        <v>7752.1</v>
      </c>
      <c r="K12231" t="s">
        <v>26930</v>
      </c>
      <c r="L12231">
        <v>125</v>
      </c>
      <c r="M12231" t="s">
        <v>26931</v>
      </c>
      <c r="N12231" t="s">
        <v>30</v>
      </c>
      <c r="O12231" t="s">
        <v>31</v>
      </c>
      <c r="P12231" t="str">
        <f>"15211"</f>
        <v>15211</v>
      </c>
    </row>
    <row r="12232" spans="1:16" x14ac:dyDescent="0.25">
      <c r="A12232" t="str">
        <f>"1180015R00150    00"</f>
        <v>1180015R00150    00</v>
      </c>
      <c r="B12232" t="s">
        <v>26932</v>
      </c>
      <c r="C12232" t="s">
        <v>26933</v>
      </c>
      <c r="E12232" t="s">
        <v>39</v>
      </c>
      <c r="F12232">
        <v>0</v>
      </c>
      <c r="G12232">
        <v>0</v>
      </c>
      <c r="H12232">
        <v>1</v>
      </c>
      <c r="I12232" s="3">
        <v>26.44</v>
      </c>
      <c r="J12232" s="3">
        <v>0</v>
      </c>
      <c r="L12232">
        <v>810</v>
      </c>
      <c r="M12232" t="s">
        <v>26345</v>
      </c>
      <c r="N12232" t="s">
        <v>30</v>
      </c>
      <c r="O12232" t="s">
        <v>31</v>
      </c>
      <c r="P12232" t="str">
        <f>"15210"</f>
        <v>15210</v>
      </c>
    </row>
    <row r="12233" spans="1:16" x14ac:dyDescent="0.25">
      <c r="A12233" t="str">
        <f>"1180015R00156    00"</f>
        <v>1180015R00156    00</v>
      </c>
      <c r="B12233" t="s">
        <v>26934</v>
      </c>
      <c r="C12233" t="s">
        <v>26935</v>
      </c>
      <c r="D12233" t="s">
        <v>20</v>
      </c>
      <c r="E12233" t="s">
        <v>39</v>
      </c>
      <c r="F12233">
        <v>0</v>
      </c>
      <c r="G12233">
        <v>0</v>
      </c>
      <c r="H12233">
        <v>5</v>
      </c>
      <c r="I12233" s="3">
        <v>1480.52</v>
      </c>
      <c r="J12233" s="3">
        <v>262.18</v>
      </c>
      <c r="L12233">
        <v>804</v>
      </c>
      <c r="M12233" t="s">
        <v>26345</v>
      </c>
      <c r="N12233" t="s">
        <v>30</v>
      </c>
      <c r="O12233" t="s">
        <v>31</v>
      </c>
      <c r="P12233" t="str">
        <f>"15210"</f>
        <v>15210</v>
      </c>
    </row>
    <row r="12234" spans="1:16" x14ac:dyDescent="0.25">
      <c r="A12234" t="str">
        <f>"1180015R00172    00"</f>
        <v>1180015R00172    00</v>
      </c>
      <c r="B12234" t="s">
        <v>26936</v>
      </c>
      <c r="C12234" t="s">
        <v>26344</v>
      </c>
      <c r="D12234" t="s">
        <v>20</v>
      </c>
      <c r="E12234" t="s">
        <v>39</v>
      </c>
      <c r="F12234">
        <v>0</v>
      </c>
      <c r="G12234">
        <v>0</v>
      </c>
      <c r="H12234">
        <v>6</v>
      </c>
      <c r="I12234" s="3">
        <v>524.55999999999995</v>
      </c>
      <c r="J12234" s="3">
        <v>119.36</v>
      </c>
      <c r="L12234">
        <v>808</v>
      </c>
      <c r="M12234" t="s">
        <v>26345</v>
      </c>
      <c r="N12234" t="s">
        <v>30</v>
      </c>
      <c r="O12234" t="s">
        <v>31</v>
      </c>
      <c r="P12234" t="str">
        <f>"15210"</f>
        <v>15210</v>
      </c>
    </row>
    <row r="12235" spans="1:16" x14ac:dyDescent="0.25">
      <c r="A12235" t="str">
        <f>"1180015R00177    00"</f>
        <v>1180015R00177    00</v>
      </c>
      <c r="B12235" t="s">
        <v>26936</v>
      </c>
      <c r="C12235" t="s">
        <v>26937</v>
      </c>
      <c r="D12235" t="s">
        <v>20</v>
      </c>
      <c r="E12235" t="s">
        <v>39</v>
      </c>
      <c r="F12235">
        <v>0</v>
      </c>
      <c r="G12235">
        <v>0</v>
      </c>
      <c r="H12235">
        <v>19</v>
      </c>
      <c r="I12235" s="3">
        <v>8982.3700000000008</v>
      </c>
      <c r="J12235" s="3">
        <v>8630.61</v>
      </c>
      <c r="L12235">
        <v>808</v>
      </c>
      <c r="M12235" t="s">
        <v>26345</v>
      </c>
      <c r="N12235" t="s">
        <v>30</v>
      </c>
      <c r="O12235" t="s">
        <v>31</v>
      </c>
      <c r="P12235" t="str">
        <f>"15210"</f>
        <v>15210</v>
      </c>
    </row>
    <row r="12236" spans="1:16" x14ac:dyDescent="0.25">
      <c r="A12236" t="str">
        <f>"1180015R00181    00"</f>
        <v>1180015R00181    00</v>
      </c>
      <c r="B12236" t="s">
        <v>26938</v>
      </c>
      <c r="C12236" t="s">
        <v>26344</v>
      </c>
      <c r="D12236" t="s">
        <v>20</v>
      </c>
      <c r="E12236" t="s">
        <v>39</v>
      </c>
      <c r="F12236">
        <v>0</v>
      </c>
      <c r="G12236">
        <v>0</v>
      </c>
      <c r="H12236">
        <v>19</v>
      </c>
      <c r="I12236" s="3">
        <v>3110.23</v>
      </c>
      <c r="J12236" s="3">
        <v>4492.16</v>
      </c>
      <c r="K12236" t="s">
        <v>26939</v>
      </c>
      <c r="M12236" t="s">
        <v>26940</v>
      </c>
      <c r="N12236" t="s">
        <v>30</v>
      </c>
      <c r="O12236" t="s">
        <v>31</v>
      </c>
      <c r="P12236" t="str">
        <f>"15207"</f>
        <v>15207</v>
      </c>
    </row>
    <row r="12237" spans="1:16" x14ac:dyDescent="0.25">
      <c r="A12237" t="str">
        <f>"1180015R00182    00"</f>
        <v>1180015R00182    00</v>
      </c>
      <c r="B12237" t="s">
        <v>26941</v>
      </c>
      <c r="C12237" t="s">
        <v>26344</v>
      </c>
      <c r="D12237" t="s">
        <v>20</v>
      </c>
      <c r="E12237" t="s">
        <v>39</v>
      </c>
      <c r="F12237">
        <v>0</v>
      </c>
      <c r="G12237">
        <v>0</v>
      </c>
      <c r="H12237">
        <v>14</v>
      </c>
      <c r="I12237" s="3">
        <v>312.5</v>
      </c>
      <c r="J12237" s="3">
        <v>290.93</v>
      </c>
      <c r="L12237">
        <v>5638</v>
      </c>
      <c r="M12237" t="s">
        <v>9872</v>
      </c>
      <c r="N12237" t="s">
        <v>30</v>
      </c>
      <c r="O12237" t="s">
        <v>31</v>
      </c>
      <c r="P12237" t="str">
        <f>"15206"</f>
        <v>15206</v>
      </c>
    </row>
    <row r="12238" spans="1:16" x14ac:dyDescent="0.25">
      <c r="A12238" t="str">
        <f>"1180015R00183    00"</f>
        <v>1180015R00183    00</v>
      </c>
      <c r="B12238" t="s">
        <v>26941</v>
      </c>
      <c r="C12238" t="s">
        <v>26344</v>
      </c>
      <c r="D12238" t="s">
        <v>20</v>
      </c>
      <c r="E12238" t="s">
        <v>39</v>
      </c>
      <c r="F12238">
        <v>0</v>
      </c>
      <c r="G12238">
        <v>0</v>
      </c>
      <c r="H12238">
        <v>14</v>
      </c>
      <c r="I12238" s="3">
        <v>358.9</v>
      </c>
      <c r="J12238" s="3">
        <v>348.66</v>
      </c>
      <c r="L12238">
        <v>5638</v>
      </c>
      <c r="M12238" t="s">
        <v>9872</v>
      </c>
      <c r="N12238" t="s">
        <v>30</v>
      </c>
      <c r="O12238" t="s">
        <v>31</v>
      </c>
      <c r="P12238" t="str">
        <f>"15206"</f>
        <v>15206</v>
      </c>
    </row>
    <row r="12239" spans="1:16" x14ac:dyDescent="0.25">
      <c r="A12239" t="str">
        <f>"1180015R00184    00"</f>
        <v>1180015R00184    00</v>
      </c>
      <c r="B12239" t="s">
        <v>26941</v>
      </c>
      <c r="C12239" t="s">
        <v>26344</v>
      </c>
      <c r="D12239" t="s">
        <v>20</v>
      </c>
      <c r="E12239" t="s">
        <v>39</v>
      </c>
      <c r="F12239">
        <v>0</v>
      </c>
      <c r="G12239">
        <v>0</v>
      </c>
      <c r="H12239">
        <v>15</v>
      </c>
      <c r="I12239" s="3">
        <v>403.59</v>
      </c>
      <c r="J12239" s="3">
        <v>409.57</v>
      </c>
      <c r="L12239">
        <v>5638</v>
      </c>
      <c r="M12239" t="s">
        <v>9872</v>
      </c>
      <c r="N12239" t="s">
        <v>30</v>
      </c>
      <c r="O12239" t="s">
        <v>31</v>
      </c>
      <c r="P12239" t="str">
        <f>"15206"</f>
        <v>15206</v>
      </c>
    </row>
    <row r="12240" spans="1:16" x14ac:dyDescent="0.25">
      <c r="A12240" t="str">
        <f>"1180015R00185    00"</f>
        <v>1180015R00185    00</v>
      </c>
      <c r="B12240" t="s">
        <v>26941</v>
      </c>
      <c r="C12240" t="s">
        <v>26344</v>
      </c>
      <c r="D12240" t="s">
        <v>20</v>
      </c>
      <c r="E12240" t="s">
        <v>39</v>
      </c>
      <c r="F12240">
        <v>0</v>
      </c>
      <c r="G12240">
        <v>0</v>
      </c>
      <c r="H12240">
        <v>16</v>
      </c>
      <c r="I12240" s="3">
        <v>2781.1</v>
      </c>
      <c r="J12240" s="3">
        <v>3368.02</v>
      </c>
      <c r="L12240">
        <v>5638</v>
      </c>
      <c r="M12240" t="s">
        <v>9872</v>
      </c>
      <c r="N12240" t="s">
        <v>30</v>
      </c>
      <c r="O12240" t="s">
        <v>31</v>
      </c>
      <c r="P12240" t="str">
        <f>"15206"</f>
        <v>15206</v>
      </c>
    </row>
    <row r="12241" spans="1:16" x14ac:dyDescent="0.25">
      <c r="A12241" t="str">
        <f>"1180015R00187    00"</f>
        <v>1180015R00187    00</v>
      </c>
      <c r="B12241" t="s">
        <v>17182</v>
      </c>
      <c r="C12241" t="s">
        <v>26942</v>
      </c>
      <c r="D12241" t="s">
        <v>20</v>
      </c>
      <c r="E12241" t="s">
        <v>39</v>
      </c>
      <c r="F12241">
        <v>0</v>
      </c>
      <c r="G12241">
        <v>0</v>
      </c>
      <c r="H12241">
        <v>11</v>
      </c>
      <c r="I12241" s="3">
        <v>4253.58</v>
      </c>
      <c r="J12241" s="3">
        <v>4460.79</v>
      </c>
      <c r="L12241">
        <v>140</v>
      </c>
      <c r="M12241" t="s">
        <v>26943</v>
      </c>
      <c r="N12241" t="s">
        <v>30</v>
      </c>
      <c r="O12241" t="s">
        <v>31</v>
      </c>
      <c r="P12241" t="str">
        <f>"15210"</f>
        <v>15210</v>
      </c>
    </row>
    <row r="12242" spans="1:16" x14ac:dyDescent="0.25">
      <c r="A12242" t="str">
        <f>"1180015R00197    00"</f>
        <v>1180015R00197    00</v>
      </c>
      <c r="B12242" t="s">
        <v>26944</v>
      </c>
      <c r="C12242" t="s">
        <v>26945</v>
      </c>
      <c r="D12242" t="s">
        <v>20</v>
      </c>
      <c r="E12242" t="s">
        <v>39</v>
      </c>
      <c r="F12242">
        <v>0</v>
      </c>
      <c r="G12242">
        <v>0</v>
      </c>
      <c r="H12242">
        <v>3</v>
      </c>
      <c r="I12242" s="3">
        <v>570.78</v>
      </c>
      <c r="J12242" s="3">
        <v>30.3</v>
      </c>
      <c r="L12242">
        <v>709</v>
      </c>
      <c r="M12242" t="s">
        <v>26345</v>
      </c>
      <c r="N12242" t="s">
        <v>30</v>
      </c>
      <c r="O12242" t="s">
        <v>31</v>
      </c>
      <c r="P12242" t="str">
        <f>"15210"</f>
        <v>15210</v>
      </c>
    </row>
    <row r="12243" spans="1:16" x14ac:dyDescent="0.25">
      <c r="A12243" t="str">
        <f>"1180015R00198    00"</f>
        <v>1180015R00198    00</v>
      </c>
      <c r="B12243" t="s">
        <v>26946</v>
      </c>
      <c r="C12243" t="s">
        <v>26947</v>
      </c>
      <c r="D12243" t="s">
        <v>20</v>
      </c>
      <c r="E12243" t="s">
        <v>39</v>
      </c>
      <c r="F12243">
        <v>0</v>
      </c>
      <c r="G12243">
        <v>0</v>
      </c>
      <c r="H12243">
        <v>6</v>
      </c>
      <c r="I12243" s="3">
        <v>2869.61</v>
      </c>
      <c r="J12243" s="3">
        <v>3579.01</v>
      </c>
      <c r="L12243">
        <v>2057</v>
      </c>
      <c r="M12243" t="s">
        <v>22758</v>
      </c>
      <c r="N12243" t="s">
        <v>30</v>
      </c>
      <c r="O12243" t="s">
        <v>31</v>
      </c>
      <c r="P12243" t="str">
        <f>"15210"</f>
        <v>15210</v>
      </c>
    </row>
    <row r="12244" spans="1:16" x14ac:dyDescent="0.25">
      <c r="A12244" t="str">
        <f>"1180015R00200    00"</f>
        <v>1180015R00200    00</v>
      </c>
      <c r="B12244" t="s">
        <v>26948</v>
      </c>
      <c r="C12244" t="s">
        <v>26152</v>
      </c>
      <c r="D12244" t="s">
        <v>20</v>
      </c>
      <c r="E12244" t="s">
        <v>39</v>
      </c>
      <c r="F12244">
        <v>0</v>
      </c>
      <c r="G12244">
        <v>0</v>
      </c>
      <c r="H12244">
        <v>15</v>
      </c>
      <c r="I12244" s="3">
        <v>1716.71</v>
      </c>
      <c r="J12244" s="3">
        <v>2085.4499999999998</v>
      </c>
      <c r="L12244">
        <v>252</v>
      </c>
      <c r="M12244" t="s">
        <v>26949</v>
      </c>
      <c r="N12244" t="s">
        <v>199</v>
      </c>
      <c r="O12244" t="s">
        <v>200</v>
      </c>
      <c r="P12244" t="str">
        <f>"10009"</f>
        <v>10009</v>
      </c>
    </row>
    <row r="12245" spans="1:16" x14ac:dyDescent="0.25">
      <c r="A12245" t="str">
        <f>"1180015R00201    00"</f>
        <v>1180015R00201    00</v>
      </c>
      <c r="B12245" t="s">
        <v>26950</v>
      </c>
      <c r="C12245" t="s">
        <v>26951</v>
      </c>
      <c r="D12245" t="s">
        <v>20</v>
      </c>
      <c r="E12245" t="s">
        <v>39</v>
      </c>
      <c r="F12245">
        <v>0</v>
      </c>
      <c r="G12245">
        <v>0</v>
      </c>
      <c r="H12245">
        <v>9</v>
      </c>
      <c r="I12245" s="3">
        <v>131.04</v>
      </c>
      <c r="J12245" s="3">
        <v>0</v>
      </c>
      <c r="L12245">
        <v>712</v>
      </c>
      <c r="M12245" t="s">
        <v>14713</v>
      </c>
      <c r="N12245" t="s">
        <v>30</v>
      </c>
      <c r="O12245" t="s">
        <v>31</v>
      </c>
      <c r="P12245" t="str">
        <f>"15210"</f>
        <v>15210</v>
      </c>
    </row>
    <row r="12246" spans="1:16" x14ac:dyDescent="0.25">
      <c r="A12246" t="str">
        <f>"1180015R00202    00"</f>
        <v>1180015R00202    00</v>
      </c>
      <c r="B12246" t="s">
        <v>26952</v>
      </c>
      <c r="C12246" t="s">
        <v>26951</v>
      </c>
      <c r="D12246" t="s">
        <v>20</v>
      </c>
      <c r="E12246" t="s">
        <v>39</v>
      </c>
      <c r="F12246">
        <v>0</v>
      </c>
      <c r="G12246">
        <v>0</v>
      </c>
      <c r="H12246">
        <v>5</v>
      </c>
      <c r="I12246" s="3">
        <v>1895.09</v>
      </c>
      <c r="J12246" s="3">
        <v>149.41</v>
      </c>
      <c r="L12246">
        <v>712</v>
      </c>
      <c r="M12246" t="s">
        <v>14713</v>
      </c>
      <c r="N12246" t="s">
        <v>30</v>
      </c>
      <c r="O12246" t="s">
        <v>31</v>
      </c>
      <c r="P12246" t="str">
        <f>"15210"</f>
        <v>15210</v>
      </c>
    </row>
    <row r="12247" spans="1:16" x14ac:dyDescent="0.25">
      <c r="A12247" t="str">
        <f>"1180015R00203    00"</f>
        <v>1180015R00203    00</v>
      </c>
      <c r="B12247" t="s">
        <v>26953</v>
      </c>
      <c r="C12247" t="s">
        <v>26383</v>
      </c>
      <c r="D12247" t="s">
        <v>20</v>
      </c>
      <c r="E12247" t="s">
        <v>39</v>
      </c>
      <c r="F12247">
        <v>0</v>
      </c>
      <c r="G12247">
        <v>0</v>
      </c>
      <c r="H12247">
        <v>11</v>
      </c>
      <c r="I12247" s="3">
        <v>161.69</v>
      </c>
      <c r="J12247" s="3">
        <v>77.61</v>
      </c>
      <c r="L12247">
        <v>716</v>
      </c>
      <c r="M12247" t="s">
        <v>14713</v>
      </c>
      <c r="N12247" t="s">
        <v>30</v>
      </c>
      <c r="O12247" t="s">
        <v>31</v>
      </c>
      <c r="P12247" t="str">
        <f>"15210"</f>
        <v>15210</v>
      </c>
    </row>
    <row r="12248" spans="1:16" x14ac:dyDescent="0.25">
      <c r="A12248" t="str">
        <f>"1180015R00204    00"</f>
        <v>1180015R00204    00</v>
      </c>
      <c r="B12248" t="s">
        <v>26953</v>
      </c>
      <c r="C12248" t="s">
        <v>26954</v>
      </c>
      <c r="D12248" t="s">
        <v>20</v>
      </c>
      <c r="E12248" t="s">
        <v>39</v>
      </c>
      <c r="F12248">
        <v>0</v>
      </c>
      <c r="G12248">
        <v>0</v>
      </c>
      <c r="H12248">
        <v>10</v>
      </c>
      <c r="I12248" s="3">
        <v>2411.79</v>
      </c>
      <c r="J12248" s="3">
        <v>1118.26</v>
      </c>
      <c r="L12248">
        <v>716</v>
      </c>
      <c r="M12248" t="s">
        <v>14713</v>
      </c>
      <c r="N12248" t="s">
        <v>30</v>
      </c>
      <c r="O12248" t="s">
        <v>31</v>
      </c>
      <c r="P12248" t="str">
        <f>"15210"</f>
        <v>15210</v>
      </c>
    </row>
    <row r="12249" spans="1:16" x14ac:dyDescent="0.25">
      <c r="A12249" t="str">
        <f>"1180015R00212    00"</f>
        <v>1180015R00212    00</v>
      </c>
      <c r="B12249" t="s">
        <v>26955</v>
      </c>
      <c r="C12249" t="s">
        <v>26956</v>
      </c>
      <c r="D12249" t="s">
        <v>20</v>
      </c>
      <c r="E12249" t="s">
        <v>39</v>
      </c>
      <c r="F12249">
        <v>0</v>
      </c>
      <c r="G12249">
        <v>0</v>
      </c>
      <c r="H12249">
        <v>1</v>
      </c>
      <c r="I12249" s="3">
        <v>186.79</v>
      </c>
      <c r="J12249" s="3">
        <v>0</v>
      </c>
      <c r="K12249" t="s">
        <v>26957</v>
      </c>
      <c r="L12249">
        <v>152</v>
      </c>
      <c r="M12249" t="s">
        <v>26958</v>
      </c>
      <c r="N12249" t="s">
        <v>26959</v>
      </c>
      <c r="O12249" t="s">
        <v>495</v>
      </c>
      <c r="P12249" t="str">
        <f>"90212"</f>
        <v>90212</v>
      </c>
    </row>
    <row r="12250" spans="1:16" x14ac:dyDescent="0.25">
      <c r="A12250" t="str">
        <f>"1180015R00215    00"</f>
        <v>1180015R00215    00</v>
      </c>
      <c r="B12250" t="s">
        <v>26960</v>
      </c>
      <c r="C12250" t="s">
        <v>26961</v>
      </c>
      <c r="D12250" t="s">
        <v>20</v>
      </c>
      <c r="E12250" t="s">
        <v>39</v>
      </c>
      <c r="F12250">
        <v>0</v>
      </c>
      <c r="G12250">
        <v>0</v>
      </c>
      <c r="H12250">
        <v>2</v>
      </c>
      <c r="I12250" s="3">
        <v>1059.06</v>
      </c>
      <c r="J12250" s="3">
        <v>0</v>
      </c>
      <c r="L12250">
        <v>110</v>
      </c>
      <c r="M12250" t="s">
        <v>26962</v>
      </c>
      <c r="N12250" t="s">
        <v>30</v>
      </c>
      <c r="O12250" t="s">
        <v>31</v>
      </c>
      <c r="P12250" t="str">
        <f>"15236"</f>
        <v>15236</v>
      </c>
    </row>
    <row r="12251" spans="1:16" x14ac:dyDescent="0.25">
      <c r="A12251" t="str">
        <f>"1180015R00216    00"</f>
        <v>1180015R00216    00</v>
      </c>
      <c r="B12251" t="s">
        <v>26963</v>
      </c>
      <c r="C12251" t="s">
        <v>26964</v>
      </c>
      <c r="D12251" t="s">
        <v>20</v>
      </c>
      <c r="E12251" t="s">
        <v>39</v>
      </c>
      <c r="F12251">
        <v>0</v>
      </c>
      <c r="G12251">
        <v>0</v>
      </c>
      <c r="H12251">
        <v>16</v>
      </c>
      <c r="I12251" s="3">
        <v>10749.76</v>
      </c>
      <c r="J12251" s="3">
        <v>8028.1</v>
      </c>
      <c r="K12251" t="s">
        <v>26965</v>
      </c>
      <c r="L12251">
        <v>405</v>
      </c>
      <c r="M12251" t="s">
        <v>3295</v>
      </c>
      <c r="N12251" t="s">
        <v>30</v>
      </c>
      <c r="O12251" t="s">
        <v>31</v>
      </c>
      <c r="P12251" t="str">
        <f>"15210"</f>
        <v>15210</v>
      </c>
    </row>
    <row r="12252" spans="1:16" x14ac:dyDescent="0.25">
      <c r="A12252" t="str">
        <f>"1180015R00218    00"</f>
        <v>1180015R00218    00</v>
      </c>
      <c r="B12252" t="s">
        <v>26966</v>
      </c>
      <c r="C12252" t="s">
        <v>26967</v>
      </c>
      <c r="D12252" t="s">
        <v>20</v>
      </c>
      <c r="E12252" t="s">
        <v>39</v>
      </c>
      <c r="F12252">
        <v>0</v>
      </c>
      <c r="G12252">
        <v>0</v>
      </c>
      <c r="H12252">
        <v>3</v>
      </c>
      <c r="I12252" s="3">
        <v>1909.8</v>
      </c>
      <c r="J12252" s="3">
        <v>127.32</v>
      </c>
      <c r="L12252">
        <v>514</v>
      </c>
      <c r="M12252" t="s">
        <v>14713</v>
      </c>
      <c r="N12252" t="s">
        <v>30</v>
      </c>
      <c r="O12252" t="s">
        <v>31</v>
      </c>
      <c r="P12252" t="str">
        <f>"15210"</f>
        <v>15210</v>
      </c>
    </row>
    <row r="12253" spans="1:16" x14ac:dyDescent="0.25">
      <c r="A12253" t="str">
        <f>"1180015R00221    00"</f>
        <v>1180015R00221    00</v>
      </c>
      <c r="B12253" t="s">
        <v>26968</v>
      </c>
      <c r="C12253" t="s">
        <v>26969</v>
      </c>
      <c r="D12253" t="s">
        <v>20</v>
      </c>
      <c r="E12253" t="s">
        <v>39</v>
      </c>
      <c r="F12253">
        <v>0</v>
      </c>
      <c r="G12253">
        <v>0</v>
      </c>
      <c r="H12253">
        <v>6</v>
      </c>
      <c r="I12253" s="3">
        <v>3320.79</v>
      </c>
      <c r="J12253" s="3">
        <v>1799.98</v>
      </c>
      <c r="M12253" t="s">
        <v>26970</v>
      </c>
      <c r="N12253" t="s">
        <v>26971</v>
      </c>
      <c r="O12253" t="s">
        <v>4435</v>
      </c>
      <c r="P12253" t="str">
        <f>"70429"</f>
        <v>70429</v>
      </c>
    </row>
    <row r="12254" spans="1:16" x14ac:dyDescent="0.25">
      <c r="A12254" t="str">
        <f>"1180015R00224    00"</f>
        <v>1180015R00224    00</v>
      </c>
      <c r="B12254" t="s">
        <v>26972</v>
      </c>
      <c r="C12254" t="s">
        <v>26973</v>
      </c>
      <c r="D12254" t="s">
        <v>20</v>
      </c>
      <c r="E12254" t="s">
        <v>39</v>
      </c>
      <c r="F12254">
        <v>0</v>
      </c>
      <c r="G12254">
        <v>0</v>
      </c>
      <c r="H12254">
        <v>4</v>
      </c>
      <c r="I12254" s="3">
        <v>3432.48</v>
      </c>
      <c r="J12254" s="3">
        <v>405.47</v>
      </c>
      <c r="K12254" t="s">
        <v>26974</v>
      </c>
      <c r="L12254">
        <v>51</v>
      </c>
      <c r="M12254" t="s">
        <v>11789</v>
      </c>
      <c r="N12254" t="s">
        <v>30</v>
      </c>
      <c r="O12254" t="s">
        <v>31</v>
      </c>
      <c r="P12254" t="str">
        <f>"15210"</f>
        <v>15210</v>
      </c>
    </row>
    <row r="12255" spans="1:16" x14ac:dyDescent="0.25">
      <c r="A12255" t="str">
        <f>"1180015R00225    00"</f>
        <v>1180015R00225    00</v>
      </c>
      <c r="B12255" t="s">
        <v>26975</v>
      </c>
      <c r="C12255" t="s">
        <v>26976</v>
      </c>
      <c r="D12255" t="s">
        <v>20</v>
      </c>
      <c r="E12255" t="s">
        <v>39</v>
      </c>
      <c r="F12255">
        <v>0</v>
      </c>
      <c r="G12255">
        <v>0</v>
      </c>
      <c r="H12255">
        <v>2</v>
      </c>
      <c r="I12255" s="3">
        <v>510.8</v>
      </c>
      <c r="J12255" s="3">
        <v>0</v>
      </c>
      <c r="K12255" t="s">
        <v>26977</v>
      </c>
      <c r="L12255">
        <v>414</v>
      </c>
      <c r="M12255" t="s">
        <v>3295</v>
      </c>
      <c r="N12255" t="s">
        <v>30</v>
      </c>
      <c r="O12255" t="s">
        <v>31</v>
      </c>
      <c r="P12255" t="str">
        <f>"15210"</f>
        <v>15210</v>
      </c>
    </row>
    <row r="12256" spans="1:16" x14ac:dyDescent="0.25">
      <c r="A12256" t="str">
        <f>"1180015R00230    00"</f>
        <v>1180015R00230    00</v>
      </c>
      <c r="B12256" t="s">
        <v>1997</v>
      </c>
      <c r="C12256" t="s">
        <v>26978</v>
      </c>
      <c r="E12256" t="s">
        <v>39</v>
      </c>
      <c r="F12256">
        <v>0</v>
      </c>
      <c r="G12256">
        <v>0</v>
      </c>
      <c r="H12256">
        <v>12</v>
      </c>
      <c r="I12256" s="3">
        <v>11235.57</v>
      </c>
      <c r="J12256" s="3">
        <v>14476.26</v>
      </c>
      <c r="K12256" t="s">
        <v>2361</v>
      </c>
      <c r="L12256">
        <v>412</v>
      </c>
      <c r="M12256" t="s">
        <v>221</v>
      </c>
      <c r="N12256" t="s">
        <v>30</v>
      </c>
      <c r="O12256" t="s">
        <v>31</v>
      </c>
      <c r="P12256" t="str">
        <f>"15219"</f>
        <v>15219</v>
      </c>
    </row>
    <row r="12257" spans="1:16" x14ac:dyDescent="0.25">
      <c r="A12257" t="str">
        <f>"1180015R00231    00"</f>
        <v>1180015R00231    00</v>
      </c>
      <c r="B12257" t="s">
        <v>4090</v>
      </c>
      <c r="C12257" t="s">
        <v>26979</v>
      </c>
      <c r="E12257" t="s">
        <v>39</v>
      </c>
      <c r="F12257">
        <v>0</v>
      </c>
      <c r="G12257">
        <v>0</v>
      </c>
      <c r="H12257">
        <v>12</v>
      </c>
      <c r="I12257" s="3">
        <v>10749.5</v>
      </c>
      <c r="J12257" s="3">
        <v>13626.89</v>
      </c>
      <c r="K12257" t="s">
        <v>4092</v>
      </c>
      <c r="L12257">
        <v>412</v>
      </c>
      <c r="M12257" t="s">
        <v>221</v>
      </c>
      <c r="N12257" t="s">
        <v>30</v>
      </c>
      <c r="O12257" t="s">
        <v>31</v>
      </c>
      <c r="P12257" t="str">
        <f>"15219"</f>
        <v>15219</v>
      </c>
    </row>
    <row r="12258" spans="1:16" x14ac:dyDescent="0.25">
      <c r="A12258" t="str">
        <f>"1180015R00243    00"</f>
        <v>1180015R00243    00</v>
      </c>
      <c r="B12258" t="s">
        <v>26980</v>
      </c>
      <c r="C12258" t="s">
        <v>26981</v>
      </c>
      <c r="D12258" t="s">
        <v>20</v>
      </c>
      <c r="E12258" t="s">
        <v>39</v>
      </c>
      <c r="F12258">
        <v>0</v>
      </c>
      <c r="G12258">
        <v>0</v>
      </c>
      <c r="H12258">
        <v>14</v>
      </c>
      <c r="I12258" s="3">
        <v>8453.06</v>
      </c>
      <c r="J12258" s="3">
        <v>5021.3900000000003</v>
      </c>
      <c r="L12258">
        <v>430</v>
      </c>
      <c r="M12258" t="s">
        <v>25529</v>
      </c>
      <c r="N12258" t="s">
        <v>30</v>
      </c>
      <c r="O12258" t="s">
        <v>31</v>
      </c>
      <c r="P12258" t="str">
        <f>"15210"</f>
        <v>15210</v>
      </c>
    </row>
    <row r="12259" spans="1:16" x14ac:dyDescent="0.25">
      <c r="A12259" t="str">
        <f>"1180015R00251    00"</f>
        <v>1180015R00251    00</v>
      </c>
      <c r="B12259" t="s">
        <v>26982</v>
      </c>
      <c r="C12259" t="s">
        <v>26383</v>
      </c>
      <c r="D12259" t="s">
        <v>20</v>
      </c>
      <c r="E12259" t="s">
        <v>39</v>
      </c>
      <c r="F12259">
        <v>0</v>
      </c>
      <c r="G12259">
        <v>0</v>
      </c>
      <c r="H12259">
        <v>13</v>
      </c>
      <c r="I12259" s="3">
        <v>162.86000000000001</v>
      </c>
      <c r="J12259" s="3">
        <v>106.18</v>
      </c>
      <c r="L12259">
        <v>361</v>
      </c>
      <c r="M12259" t="s">
        <v>26983</v>
      </c>
      <c r="N12259" t="s">
        <v>18135</v>
      </c>
      <c r="O12259" t="s">
        <v>31</v>
      </c>
      <c r="P12259" t="str">
        <f>"19013"</f>
        <v>19013</v>
      </c>
    </row>
    <row r="12260" spans="1:16" x14ac:dyDescent="0.25">
      <c r="A12260" t="str">
        <f>"1180015R00254    00"</f>
        <v>1180015R00254    00</v>
      </c>
      <c r="B12260" t="s">
        <v>26984</v>
      </c>
      <c r="C12260" t="s">
        <v>26383</v>
      </c>
      <c r="D12260" t="s">
        <v>20</v>
      </c>
      <c r="E12260" t="s">
        <v>39</v>
      </c>
      <c r="F12260">
        <v>0</v>
      </c>
      <c r="G12260">
        <v>0</v>
      </c>
      <c r="H12260">
        <v>2</v>
      </c>
      <c r="I12260" s="3">
        <v>19.079999999999998</v>
      </c>
      <c r="J12260" s="3">
        <v>0</v>
      </c>
      <c r="L12260">
        <v>4749</v>
      </c>
      <c r="M12260" t="s">
        <v>2720</v>
      </c>
      <c r="N12260" t="s">
        <v>30</v>
      </c>
      <c r="O12260" t="s">
        <v>31</v>
      </c>
      <c r="P12260" t="str">
        <f>"15213"</f>
        <v>15213</v>
      </c>
    </row>
    <row r="12261" spans="1:16" x14ac:dyDescent="0.25">
      <c r="A12261" t="str">
        <f>"1180015R00255    00"</f>
        <v>1180015R00255    00</v>
      </c>
      <c r="B12261" t="s">
        <v>26985</v>
      </c>
      <c r="C12261" t="s">
        <v>26383</v>
      </c>
      <c r="D12261" t="s">
        <v>20</v>
      </c>
      <c r="E12261" t="s">
        <v>39</v>
      </c>
      <c r="F12261">
        <v>0</v>
      </c>
      <c r="G12261">
        <v>0</v>
      </c>
      <c r="H12261">
        <v>17</v>
      </c>
      <c r="I12261" s="3">
        <v>3672.19</v>
      </c>
      <c r="J12261" s="3">
        <v>5431.77</v>
      </c>
      <c r="L12261">
        <v>628</v>
      </c>
      <c r="M12261" t="s">
        <v>26986</v>
      </c>
      <c r="N12261" t="s">
        <v>26987</v>
      </c>
      <c r="O12261" t="s">
        <v>606</v>
      </c>
      <c r="P12261" t="str">
        <f>"31064"</f>
        <v>31064</v>
      </c>
    </row>
    <row r="12262" spans="1:16" x14ac:dyDescent="0.25">
      <c r="A12262" t="str">
        <f>"1180015R00256    00"</f>
        <v>1180015R00256    00</v>
      </c>
      <c r="B12262" t="s">
        <v>26988</v>
      </c>
      <c r="C12262" t="s">
        <v>26383</v>
      </c>
      <c r="D12262" t="s">
        <v>20</v>
      </c>
      <c r="E12262" t="s">
        <v>21</v>
      </c>
      <c r="F12262">
        <v>0</v>
      </c>
      <c r="G12262">
        <v>0</v>
      </c>
      <c r="H12262">
        <v>19</v>
      </c>
      <c r="I12262" s="3">
        <v>4648.97</v>
      </c>
      <c r="J12262" s="3">
        <v>6573.3</v>
      </c>
      <c r="L12262">
        <v>410</v>
      </c>
      <c r="M12262" t="s">
        <v>11789</v>
      </c>
      <c r="N12262" t="s">
        <v>30</v>
      </c>
      <c r="O12262" t="s">
        <v>31</v>
      </c>
      <c r="P12262" t="str">
        <f>"15210"</f>
        <v>15210</v>
      </c>
    </row>
    <row r="12263" spans="1:16" x14ac:dyDescent="0.25">
      <c r="A12263" t="str">
        <f>"1180015R00257    00"</f>
        <v>1180015R00257    00</v>
      </c>
      <c r="B12263" t="s">
        <v>26989</v>
      </c>
      <c r="C12263" t="s">
        <v>26152</v>
      </c>
      <c r="D12263" t="s">
        <v>20</v>
      </c>
      <c r="E12263" t="s">
        <v>39</v>
      </c>
      <c r="F12263">
        <v>0</v>
      </c>
      <c r="G12263">
        <v>0</v>
      </c>
      <c r="H12263">
        <v>19</v>
      </c>
      <c r="I12263" s="3">
        <v>333.9</v>
      </c>
      <c r="J12263" s="3">
        <v>331.7</v>
      </c>
      <c r="L12263">
        <v>628</v>
      </c>
      <c r="M12263" t="s">
        <v>26986</v>
      </c>
      <c r="N12263" t="s">
        <v>26987</v>
      </c>
      <c r="O12263" t="s">
        <v>606</v>
      </c>
      <c r="P12263" t="str">
        <f>"31064"</f>
        <v>31064</v>
      </c>
    </row>
    <row r="12264" spans="1:16" x14ac:dyDescent="0.25">
      <c r="A12264" t="str">
        <f>"1180015R00260    00"</f>
        <v>1180015R00260    00</v>
      </c>
      <c r="B12264" t="s">
        <v>26990</v>
      </c>
      <c r="C12264" t="s">
        <v>26383</v>
      </c>
      <c r="D12264" t="s">
        <v>20</v>
      </c>
      <c r="E12264" t="s">
        <v>39</v>
      </c>
      <c r="F12264">
        <v>0</v>
      </c>
      <c r="G12264">
        <v>0</v>
      </c>
      <c r="H12264">
        <v>17</v>
      </c>
      <c r="I12264" s="3">
        <v>2953.29</v>
      </c>
      <c r="J12264" s="3">
        <v>3619.77</v>
      </c>
      <c r="L12264">
        <v>111</v>
      </c>
      <c r="M12264" t="s">
        <v>26991</v>
      </c>
      <c r="N12264" t="s">
        <v>26992</v>
      </c>
      <c r="O12264" t="s">
        <v>370</v>
      </c>
      <c r="P12264" t="str">
        <f>"32425"</f>
        <v>32425</v>
      </c>
    </row>
    <row r="12265" spans="1:16" x14ac:dyDescent="0.25">
      <c r="A12265" t="str">
        <f>"1180015R00263    00"</f>
        <v>1180015R00263    00</v>
      </c>
      <c r="B12265" t="s">
        <v>26993</v>
      </c>
      <c r="C12265" t="s">
        <v>26383</v>
      </c>
      <c r="D12265" t="s">
        <v>20</v>
      </c>
      <c r="E12265" t="s">
        <v>39</v>
      </c>
      <c r="F12265">
        <v>0</v>
      </c>
      <c r="G12265">
        <v>0</v>
      </c>
      <c r="H12265">
        <v>12</v>
      </c>
      <c r="I12265" s="3">
        <v>5184.66</v>
      </c>
      <c r="J12265" s="3">
        <v>4376.8500000000004</v>
      </c>
      <c r="K12265" t="s">
        <v>26994</v>
      </c>
      <c r="L12265">
        <v>711</v>
      </c>
      <c r="M12265" t="s">
        <v>14713</v>
      </c>
      <c r="N12265" t="s">
        <v>30</v>
      </c>
      <c r="O12265" t="s">
        <v>31</v>
      </c>
      <c r="P12265" t="str">
        <f>"15210"</f>
        <v>15210</v>
      </c>
    </row>
    <row r="12266" spans="1:16" x14ac:dyDescent="0.25">
      <c r="A12266" t="str">
        <f>"1180015R00265    00"</f>
        <v>1180015R00265    00</v>
      </c>
      <c r="B12266" t="s">
        <v>26995</v>
      </c>
      <c r="C12266" t="s">
        <v>26383</v>
      </c>
      <c r="D12266" t="s">
        <v>20</v>
      </c>
      <c r="E12266" t="s">
        <v>39</v>
      </c>
      <c r="F12266">
        <v>0</v>
      </c>
      <c r="G12266">
        <v>0</v>
      </c>
      <c r="H12266">
        <v>17</v>
      </c>
      <c r="I12266" s="3">
        <v>239.59</v>
      </c>
      <c r="J12266" s="3">
        <v>263.13</v>
      </c>
      <c r="L12266">
        <v>709</v>
      </c>
      <c r="M12266" t="s">
        <v>14713</v>
      </c>
      <c r="N12266" t="s">
        <v>30</v>
      </c>
      <c r="O12266" t="s">
        <v>31</v>
      </c>
      <c r="P12266" t="str">
        <f>"15210"</f>
        <v>15210</v>
      </c>
    </row>
    <row r="12267" spans="1:16" x14ac:dyDescent="0.25">
      <c r="A12267" t="str">
        <f>"1180015R00267    00"</f>
        <v>1180015R00267    00</v>
      </c>
      <c r="B12267" t="s">
        <v>26996</v>
      </c>
      <c r="C12267" t="s">
        <v>26152</v>
      </c>
      <c r="D12267" t="s">
        <v>20</v>
      </c>
      <c r="E12267" t="s">
        <v>39</v>
      </c>
      <c r="F12267">
        <v>0</v>
      </c>
      <c r="G12267">
        <v>0</v>
      </c>
      <c r="H12267">
        <v>19</v>
      </c>
      <c r="I12267" s="3">
        <v>786.84</v>
      </c>
      <c r="J12267" s="3">
        <v>824.55</v>
      </c>
      <c r="K12267" t="s">
        <v>1008</v>
      </c>
      <c r="P12267" t="str">
        <f>""</f>
        <v/>
      </c>
    </row>
    <row r="12268" spans="1:16" x14ac:dyDescent="0.25">
      <c r="A12268" t="str">
        <f>"1180015R00268    00"</f>
        <v>1180015R00268    00</v>
      </c>
      <c r="B12268" t="s">
        <v>218</v>
      </c>
      <c r="C12268" t="s">
        <v>26997</v>
      </c>
      <c r="E12268" t="s">
        <v>39</v>
      </c>
      <c r="F12268">
        <v>0</v>
      </c>
      <c r="G12268">
        <v>0</v>
      </c>
      <c r="H12268">
        <v>12</v>
      </c>
      <c r="I12268" s="3">
        <v>11050.11</v>
      </c>
      <c r="J12268" s="3">
        <v>15314.58</v>
      </c>
      <c r="K12268" t="s">
        <v>220</v>
      </c>
      <c r="L12268">
        <v>412</v>
      </c>
      <c r="M12268" t="s">
        <v>221</v>
      </c>
      <c r="N12268" t="s">
        <v>30</v>
      </c>
      <c r="O12268" t="s">
        <v>31</v>
      </c>
      <c r="P12268" t="str">
        <f>"15219"</f>
        <v>15219</v>
      </c>
    </row>
    <row r="12269" spans="1:16" x14ac:dyDescent="0.25">
      <c r="A12269" t="str">
        <f>"1180015R00271    00"</f>
        <v>1180015R00271    00</v>
      </c>
      <c r="B12269" t="s">
        <v>26998</v>
      </c>
      <c r="C12269" t="s">
        <v>26692</v>
      </c>
      <c r="D12269" t="s">
        <v>20</v>
      </c>
      <c r="E12269" t="s">
        <v>39</v>
      </c>
      <c r="F12269">
        <v>0</v>
      </c>
      <c r="G12269">
        <v>0</v>
      </c>
      <c r="H12269">
        <v>19</v>
      </c>
      <c r="I12269" s="3">
        <v>2411.12</v>
      </c>
      <c r="J12269" s="3">
        <v>2385.1999999999998</v>
      </c>
      <c r="P12269" t="str">
        <f>""</f>
        <v/>
      </c>
    </row>
    <row r="12270" spans="1:16" x14ac:dyDescent="0.25">
      <c r="A12270" t="str">
        <f>"1180015R00281    00"</f>
        <v>1180015R00281    00</v>
      </c>
      <c r="B12270" t="s">
        <v>1997</v>
      </c>
      <c r="C12270" t="s">
        <v>26999</v>
      </c>
      <c r="E12270" t="s">
        <v>39</v>
      </c>
      <c r="F12270">
        <v>0</v>
      </c>
      <c r="G12270">
        <v>0</v>
      </c>
      <c r="H12270">
        <v>5</v>
      </c>
      <c r="I12270" s="3">
        <v>3519.75</v>
      </c>
      <c r="J12270" s="3">
        <v>2788.36</v>
      </c>
      <c r="K12270" t="s">
        <v>2361</v>
      </c>
      <c r="L12270">
        <v>412</v>
      </c>
      <c r="M12270" t="s">
        <v>221</v>
      </c>
      <c r="N12270" t="s">
        <v>30</v>
      </c>
      <c r="O12270" t="s">
        <v>31</v>
      </c>
      <c r="P12270" t="str">
        <f>"15219"</f>
        <v>15219</v>
      </c>
    </row>
    <row r="12271" spans="1:16" x14ac:dyDescent="0.25">
      <c r="A12271" t="str">
        <f>"1180015R00284    00"</f>
        <v>1180015R00284    00</v>
      </c>
      <c r="B12271" t="s">
        <v>27000</v>
      </c>
      <c r="C12271" t="s">
        <v>27001</v>
      </c>
      <c r="D12271" t="s">
        <v>20</v>
      </c>
      <c r="E12271" t="s">
        <v>39</v>
      </c>
      <c r="F12271">
        <v>0</v>
      </c>
      <c r="G12271">
        <v>0</v>
      </c>
      <c r="H12271">
        <v>1</v>
      </c>
      <c r="I12271" s="3">
        <v>185.9</v>
      </c>
      <c r="J12271" s="3">
        <v>0</v>
      </c>
      <c r="L12271">
        <v>822</v>
      </c>
      <c r="M12271" t="s">
        <v>3180</v>
      </c>
      <c r="N12271" t="s">
        <v>30</v>
      </c>
      <c r="O12271" t="s">
        <v>31</v>
      </c>
      <c r="P12271" t="str">
        <f>"15210"</f>
        <v>15210</v>
      </c>
    </row>
    <row r="12272" spans="1:16" x14ac:dyDescent="0.25">
      <c r="A12272" t="str">
        <f>"1180015R00285    00"</f>
        <v>1180015R00285    00</v>
      </c>
      <c r="B12272" t="s">
        <v>27002</v>
      </c>
      <c r="C12272" t="s">
        <v>27003</v>
      </c>
      <c r="D12272" t="s">
        <v>20</v>
      </c>
      <c r="E12272" t="s">
        <v>39</v>
      </c>
      <c r="F12272">
        <v>0</v>
      </c>
      <c r="G12272">
        <v>0</v>
      </c>
      <c r="H12272">
        <v>1</v>
      </c>
      <c r="I12272" s="3">
        <v>177.09</v>
      </c>
      <c r="J12272" s="3">
        <v>0</v>
      </c>
      <c r="L12272">
        <v>824</v>
      </c>
      <c r="M12272" t="s">
        <v>3180</v>
      </c>
      <c r="N12272" t="s">
        <v>30</v>
      </c>
      <c r="O12272" t="s">
        <v>31</v>
      </c>
      <c r="P12272" t="str">
        <f>"15210"</f>
        <v>15210</v>
      </c>
    </row>
    <row r="12273" spans="1:16" x14ac:dyDescent="0.25">
      <c r="A12273" t="str">
        <f>"1180015R00286    00"</f>
        <v>1180015R00286    00</v>
      </c>
      <c r="B12273" t="s">
        <v>27004</v>
      </c>
      <c r="C12273" t="s">
        <v>27005</v>
      </c>
      <c r="E12273" t="s">
        <v>39</v>
      </c>
      <c r="F12273">
        <v>0</v>
      </c>
      <c r="G12273">
        <v>0</v>
      </c>
      <c r="H12273">
        <v>1</v>
      </c>
      <c r="I12273" s="3">
        <v>73.39</v>
      </c>
      <c r="J12273" s="3">
        <v>44.03</v>
      </c>
      <c r="K12273" t="s">
        <v>27006</v>
      </c>
      <c r="L12273">
        <v>400</v>
      </c>
      <c r="M12273" t="s">
        <v>25833</v>
      </c>
      <c r="N12273" t="s">
        <v>30</v>
      </c>
      <c r="O12273" t="s">
        <v>31</v>
      </c>
      <c r="P12273" t="str">
        <f>"15210"</f>
        <v>15210</v>
      </c>
    </row>
    <row r="12274" spans="1:16" x14ac:dyDescent="0.25">
      <c r="A12274" t="str">
        <f>"1180015R00291    00"</f>
        <v>1180015R00291    00</v>
      </c>
      <c r="B12274" t="s">
        <v>27007</v>
      </c>
      <c r="C12274" t="s">
        <v>27008</v>
      </c>
      <c r="D12274" t="s">
        <v>20</v>
      </c>
      <c r="E12274" t="s">
        <v>39</v>
      </c>
      <c r="F12274">
        <v>0</v>
      </c>
      <c r="G12274">
        <v>0</v>
      </c>
      <c r="H12274">
        <v>3</v>
      </c>
      <c r="I12274" s="3">
        <v>182.37</v>
      </c>
      <c r="J12274" s="3">
        <v>12.16</v>
      </c>
      <c r="K12274" t="s">
        <v>1127</v>
      </c>
      <c r="M12274" t="s">
        <v>1128</v>
      </c>
      <c r="N12274" t="s">
        <v>1129</v>
      </c>
      <c r="O12274" t="s">
        <v>108</v>
      </c>
      <c r="P12274" t="str">
        <f>"76161"</f>
        <v>76161</v>
      </c>
    </row>
    <row r="12275" spans="1:16" x14ac:dyDescent="0.25">
      <c r="A12275" t="str">
        <f>"1180015R00293    00"</f>
        <v>1180015R00293    00</v>
      </c>
      <c r="B12275" t="s">
        <v>27009</v>
      </c>
      <c r="C12275" t="s">
        <v>27010</v>
      </c>
      <c r="D12275" t="s">
        <v>20</v>
      </c>
      <c r="E12275" t="s">
        <v>39</v>
      </c>
      <c r="F12275">
        <v>0</v>
      </c>
      <c r="G12275">
        <v>0</v>
      </c>
      <c r="H12275">
        <v>6</v>
      </c>
      <c r="I12275" s="3">
        <v>688.2</v>
      </c>
      <c r="J12275" s="3">
        <v>222.17</v>
      </c>
      <c r="L12275">
        <v>846</v>
      </c>
      <c r="M12275" t="s">
        <v>3180</v>
      </c>
      <c r="N12275" t="s">
        <v>30</v>
      </c>
      <c r="O12275" t="s">
        <v>31</v>
      </c>
      <c r="P12275" t="str">
        <f>"15210"</f>
        <v>15210</v>
      </c>
    </row>
    <row r="12276" spans="1:16" x14ac:dyDescent="0.25">
      <c r="A12276" t="str">
        <f>"1180015R00296    00"</f>
        <v>1180015R00296    00</v>
      </c>
      <c r="B12276" t="s">
        <v>27011</v>
      </c>
      <c r="C12276" t="s">
        <v>27012</v>
      </c>
      <c r="D12276" t="s">
        <v>20</v>
      </c>
      <c r="E12276" t="s">
        <v>39</v>
      </c>
      <c r="F12276">
        <v>0</v>
      </c>
      <c r="G12276">
        <v>0</v>
      </c>
      <c r="H12276">
        <v>4</v>
      </c>
      <c r="I12276" s="3">
        <v>500.57</v>
      </c>
      <c r="J12276" s="3">
        <v>53.17</v>
      </c>
      <c r="K12276" t="s">
        <v>27013</v>
      </c>
      <c r="L12276">
        <v>850</v>
      </c>
      <c r="M12276" t="s">
        <v>3180</v>
      </c>
      <c r="N12276" t="s">
        <v>30</v>
      </c>
      <c r="O12276" t="s">
        <v>31</v>
      </c>
      <c r="P12276" t="str">
        <f>"15210"</f>
        <v>15210</v>
      </c>
    </row>
    <row r="12277" spans="1:16" x14ac:dyDescent="0.25">
      <c r="A12277" t="str">
        <f>"1180015R00299    00"</f>
        <v>1180015R00299    00</v>
      </c>
      <c r="B12277" t="s">
        <v>27014</v>
      </c>
      <c r="C12277" t="s">
        <v>27012</v>
      </c>
      <c r="D12277" t="s">
        <v>20</v>
      </c>
      <c r="E12277" t="s">
        <v>39</v>
      </c>
      <c r="F12277">
        <v>0</v>
      </c>
      <c r="G12277">
        <v>0</v>
      </c>
      <c r="H12277">
        <v>11</v>
      </c>
      <c r="I12277" s="3">
        <v>465.65</v>
      </c>
      <c r="J12277" s="3">
        <v>537.88</v>
      </c>
      <c r="M12277" t="s">
        <v>27015</v>
      </c>
      <c r="N12277" t="s">
        <v>30</v>
      </c>
      <c r="O12277" t="s">
        <v>31</v>
      </c>
      <c r="P12277" t="str">
        <f>"15210"</f>
        <v>15210</v>
      </c>
    </row>
    <row r="12278" spans="1:16" x14ac:dyDescent="0.25">
      <c r="A12278" t="str">
        <f>"1180015R00302    00"</f>
        <v>1180015R00302    00</v>
      </c>
      <c r="B12278" t="s">
        <v>27016</v>
      </c>
      <c r="C12278" t="s">
        <v>27017</v>
      </c>
      <c r="D12278" t="s">
        <v>20</v>
      </c>
      <c r="E12278" t="s">
        <v>39</v>
      </c>
      <c r="F12278">
        <v>0</v>
      </c>
      <c r="G12278">
        <v>0</v>
      </c>
      <c r="H12278">
        <v>3</v>
      </c>
      <c r="I12278" s="3">
        <v>3209.71</v>
      </c>
      <c r="J12278" s="3">
        <v>187.55</v>
      </c>
      <c r="L12278">
        <v>660</v>
      </c>
      <c r="M12278" t="s">
        <v>27018</v>
      </c>
      <c r="N12278" t="s">
        <v>30</v>
      </c>
      <c r="O12278" t="s">
        <v>31</v>
      </c>
      <c r="P12278" t="str">
        <f>"15227"</f>
        <v>15227</v>
      </c>
    </row>
    <row r="12279" spans="1:16" x14ac:dyDescent="0.25">
      <c r="A12279" t="str">
        <f>"1180015S00001    00"</f>
        <v>1180015S00001    00</v>
      </c>
      <c r="B12279" t="s">
        <v>1068</v>
      </c>
      <c r="C12279" t="s">
        <v>27019</v>
      </c>
      <c r="D12279" t="s">
        <v>20</v>
      </c>
      <c r="E12279" t="s">
        <v>39</v>
      </c>
      <c r="F12279">
        <v>0</v>
      </c>
      <c r="G12279">
        <v>0</v>
      </c>
      <c r="H12279">
        <v>2</v>
      </c>
      <c r="I12279" s="3">
        <v>114.36</v>
      </c>
      <c r="J12279" s="3">
        <v>0</v>
      </c>
      <c r="L12279">
        <v>800</v>
      </c>
      <c r="M12279" t="s">
        <v>1070</v>
      </c>
      <c r="N12279" t="s">
        <v>30</v>
      </c>
      <c r="O12279" t="s">
        <v>31</v>
      </c>
      <c r="P12279" t="str">
        <f>"15219"</f>
        <v>15219</v>
      </c>
    </row>
    <row r="12280" spans="1:16" x14ac:dyDescent="0.25">
      <c r="A12280" t="str">
        <f>"1180015S00002    00"</f>
        <v>1180015S00002    00</v>
      </c>
      <c r="B12280" t="s">
        <v>1068</v>
      </c>
      <c r="C12280" t="s">
        <v>27019</v>
      </c>
      <c r="D12280" t="s">
        <v>20</v>
      </c>
      <c r="E12280" t="s">
        <v>39</v>
      </c>
      <c r="F12280">
        <v>0</v>
      </c>
      <c r="G12280">
        <v>0</v>
      </c>
      <c r="H12280">
        <v>6</v>
      </c>
      <c r="I12280" s="3">
        <v>2542.91</v>
      </c>
      <c r="J12280" s="3">
        <v>1023.75</v>
      </c>
      <c r="L12280">
        <v>800</v>
      </c>
      <c r="M12280" t="s">
        <v>1070</v>
      </c>
      <c r="N12280" t="s">
        <v>30</v>
      </c>
      <c r="O12280" t="s">
        <v>31</v>
      </c>
      <c r="P12280" t="str">
        <f>"15219"</f>
        <v>15219</v>
      </c>
    </row>
    <row r="12281" spans="1:16" x14ac:dyDescent="0.25">
      <c r="A12281" t="str">
        <f>"1180015S00004    00"</f>
        <v>1180015S00004    00</v>
      </c>
      <c r="B12281" t="s">
        <v>27020</v>
      </c>
      <c r="C12281" t="s">
        <v>27021</v>
      </c>
      <c r="D12281" t="s">
        <v>20</v>
      </c>
      <c r="E12281" t="s">
        <v>39</v>
      </c>
      <c r="F12281">
        <v>0</v>
      </c>
      <c r="G12281">
        <v>0</v>
      </c>
      <c r="H12281">
        <v>4</v>
      </c>
      <c r="I12281" s="3">
        <v>1191.25</v>
      </c>
      <c r="J12281" s="3">
        <v>126.87</v>
      </c>
      <c r="L12281">
        <v>211</v>
      </c>
      <c r="M12281" t="s">
        <v>25978</v>
      </c>
      <c r="N12281" t="s">
        <v>30</v>
      </c>
      <c r="O12281" t="s">
        <v>31</v>
      </c>
      <c r="P12281" t="str">
        <f>"15210"</f>
        <v>15210</v>
      </c>
    </row>
    <row r="12282" spans="1:16" x14ac:dyDescent="0.25">
      <c r="A12282" t="str">
        <f>"1180015S00005    00"</f>
        <v>1180015S00005    00</v>
      </c>
      <c r="B12282" t="s">
        <v>27022</v>
      </c>
      <c r="C12282" t="s">
        <v>27023</v>
      </c>
      <c r="E12282" t="s">
        <v>39</v>
      </c>
      <c r="F12282">
        <v>0</v>
      </c>
      <c r="G12282">
        <v>0</v>
      </c>
      <c r="H12282">
        <v>4</v>
      </c>
      <c r="I12282" s="3">
        <v>10600.56</v>
      </c>
      <c r="J12282" s="3">
        <v>15910.34</v>
      </c>
      <c r="L12282">
        <v>213</v>
      </c>
      <c r="M12282" t="s">
        <v>25978</v>
      </c>
      <c r="N12282" t="s">
        <v>30</v>
      </c>
      <c r="O12282" t="s">
        <v>31</v>
      </c>
      <c r="P12282" t="str">
        <f>"15210"</f>
        <v>15210</v>
      </c>
    </row>
    <row r="12283" spans="1:16" x14ac:dyDescent="0.25">
      <c r="A12283" t="str">
        <f>"1180015S00006    00"</f>
        <v>1180015S00006    00</v>
      </c>
      <c r="B12283" t="s">
        <v>25970</v>
      </c>
      <c r="C12283" t="s">
        <v>27024</v>
      </c>
      <c r="D12283" t="s">
        <v>20</v>
      </c>
      <c r="E12283" t="s">
        <v>39</v>
      </c>
      <c r="F12283">
        <v>0</v>
      </c>
      <c r="G12283">
        <v>0</v>
      </c>
      <c r="H12283">
        <v>15</v>
      </c>
      <c r="I12283" s="3">
        <v>12894.69</v>
      </c>
      <c r="J12283" s="3">
        <v>8554.25</v>
      </c>
      <c r="L12283">
        <v>3256</v>
      </c>
      <c r="M12283" t="s">
        <v>25972</v>
      </c>
      <c r="N12283" t="s">
        <v>30</v>
      </c>
      <c r="O12283" t="s">
        <v>31</v>
      </c>
      <c r="P12283" t="str">
        <f>"15216"</f>
        <v>15216</v>
      </c>
    </row>
    <row r="12284" spans="1:16" x14ac:dyDescent="0.25">
      <c r="A12284" t="str">
        <f>"1180015S00009    00"</f>
        <v>1180015S00009    00</v>
      </c>
      <c r="B12284" t="s">
        <v>27025</v>
      </c>
      <c r="C12284" t="s">
        <v>27026</v>
      </c>
      <c r="D12284" t="s">
        <v>20</v>
      </c>
      <c r="E12284" t="s">
        <v>39</v>
      </c>
      <c r="F12284">
        <v>0</v>
      </c>
      <c r="G12284">
        <v>0</v>
      </c>
      <c r="H12284">
        <v>4</v>
      </c>
      <c r="I12284" s="3">
        <v>4200.3500000000004</v>
      </c>
      <c r="J12284" s="3">
        <v>696.66</v>
      </c>
      <c r="L12284">
        <v>225</v>
      </c>
      <c r="M12284" t="s">
        <v>25978</v>
      </c>
      <c r="N12284" t="s">
        <v>30</v>
      </c>
      <c r="O12284" t="s">
        <v>31</v>
      </c>
      <c r="P12284" t="str">
        <f>"15210"</f>
        <v>15210</v>
      </c>
    </row>
    <row r="12285" spans="1:16" x14ac:dyDescent="0.25">
      <c r="A12285" t="str">
        <f>"1180015S00010    00"</f>
        <v>1180015S00010    00</v>
      </c>
      <c r="B12285" t="s">
        <v>27027</v>
      </c>
      <c r="C12285" t="s">
        <v>27028</v>
      </c>
      <c r="D12285" t="s">
        <v>20</v>
      </c>
      <c r="E12285" t="s">
        <v>39</v>
      </c>
      <c r="F12285">
        <v>0</v>
      </c>
      <c r="G12285">
        <v>0</v>
      </c>
      <c r="H12285">
        <v>2</v>
      </c>
      <c r="I12285" s="3">
        <v>1389.86</v>
      </c>
      <c r="J12285" s="3">
        <v>0</v>
      </c>
      <c r="K12285" t="s">
        <v>27029</v>
      </c>
      <c r="L12285">
        <v>147</v>
      </c>
      <c r="M12285" t="s">
        <v>16473</v>
      </c>
      <c r="N12285" t="s">
        <v>30</v>
      </c>
      <c r="O12285" t="s">
        <v>31</v>
      </c>
      <c r="P12285" t="str">
        <f>"15210"</f>
        <v>15210</v>
      </c>
    </row>
    <row r="12286" spans="1:16" x14ac:dyDescent="0.25">
      <c r="A12286" t="str">
        <f>"1180015S00014    00"</f>
        <v>1180015S00014    00</v>
      </c>
      <c r="B12286" t="s">
        <v>218</v>
      </c>
      <c r="C12286" t="s">
        <v>27030</v>
      </c>
      <c r="E12286" t="s">
        <v>39</v>
      </c>
      <c r="F12286">
        <v>0</v>
      </c>
      <c r="G12286">
        <v>0</v>
      </c>
      <c r="H12286">
        <v>13</v>
      </c>
      <c r="I12286" s="3">
        <v>9242.58</v>
      </c>
      <c r="J12286" s="3">
        <v>7017.68</v>
      </c>
      <c r="K12286" t="s">
        <v>220</v>
      </c>
      <c r="L12286">
        <v>412</v>
      </c>
      <c r="M12286" t="s">
        <v>221</v>
      </c>
      <c r="N12286" t="s">
        <v>30</v>
      </c>
      <c r="O12286" t="s">
        <v>31</v>
      </c>
      <c r="P12286" t="str">
        <f>"15219"</f>
        <v>15219</v>
      </c>
    </row>
    <row r="12287" spans="1:16" x14ac:dyDescent="0.25">
      <c r="A12287" t="str">
        <f>"1180015S00022    00"</f>
        <v>1180015S00022    00</v>
      </c>
      <c r="B12287" t="s">
        <v>27031</v>
      </c>
      <c r="C12287" t="s">
        <v>27032</v>
      </c>
      <c r="D12287" t="s">
        <v>20</v>
      </c>
      <c r="E12287" t="s">
        <v>39</v>
      </c>
      <c r="F12287">
        <v>0</v>
      </c>
      <c r="G12287">
        <v>0</v>
      </c>
      <c r="H12287">
        <v>2</v>
      </c>
      <c r="I12287" s="3">
        <v>123.34</v>
      </c>
      <c r="J12287" s="3">
        <v>0</v>
      </c>
      <c r="L12287">
        <v>307</v>
      </c>
      <c r="M12287" t="s">
        <v>25978</v>
      </c>
      <c r="N12287" t="s">
        <v>30</v>
      </c>
      <c r="O12287" t="s">
        <v>31</v>
      </c>
      <c r="P12287" t="str">
        <f>"15210"</f>
        <v>15210</v>
      </c>
    </row>
    <row r="12288" spans="1:16" x14ac:dyDescent="0.25">
      <c r="A12288" t="str">
        <f>"1180015S00023    00"</f>
        <v>1180015S00023    00</v>
      </c>
      <c r="B12288" t="s">
        <v>27033</v>
      </c>
      <c r="C12288" t="s">
        <v>27034</v>
      </c>
      <c r="D12288" t="s">
        <v>20</v>
      </c>
      <c r="E12288" t="s">
        <v>39</v>
      </c>
      <c r="F12288">
        <v>0</v>
      </c>
      <c r="G12288">
        <v>0</v>
      </c>
      <c r="H12288">
        <v>14</v>
      </c>
      <c r="I12288" s="3">
        <v>6575.34</v>
      </c>
      <c r="J12288" s="3">
        <v>5053.8900000000003</v>
      </c>
      <c r="L12288">
        <v>311</v>
      </c>
      <c r="M12288" t="s">
        <v>25978</v>
      </c>
      <c r="N12288" t="s">
        <v>30</v>
      </c>
      <c r="O12288" t="s">
        <v>31</v>
      </c>
      <c r="P12288" t="str">
        <f>"15210"</f>
        <v>15210</v>
      </c>
    </row>
    <row r="12289" spans="1:16" x14ac:dyDescent="0.25">
      <c r="A12289" t="str">
        <f>"1180015S00026    00"</f>
        <v>1180015S00026    00</v>
      </c>
      <c r="B12289" t="s">
        <v>27035</v>
      </c>
      <c r="C12289" t="s">
        <v>26152</v>
      </c>
      <c r="E12289" t="s">
        <v>39</v>
      </c>
      <c r="F12289">
        <v>0</v>
      </c>
      <c r="G12289">
        <v>0</v>
      </c>
      <c r="H12289">
        <v>1</v>
      </c>
      <c r="I12289" s="3">
        <v>76.239999999999995</v>
      </c>
      <c r="J12289" s="3">
        <v>15.25</v>
      </c>
      <c r="L12289">
        <v>321</v>
      </c>
      <c r="M12289" t="s">
        <v>25978</v>
      </c>
      <c r="N12289" t="s">
        <v>30</v>
      </c>
      <c r="O12289" t="s">
        <v>31</v>
      </c>
      <c r="P12289" t="str">
        <f>"15210"</f>
        <v>15210</v>
      </c>
    </row>
    <row r="12290" spans="1:16" x14ac:dyDescent="0.25">
      <c r="A12290" t="str">
        <f>"1180015S00035    00"</f>
        <v>1180015S00035    00</v>
      </c>
      <c r="B12290" t="s">
        <v>27036</v>
      </c>
      <c r="C12290" t="s">
        <v>27037</v>
      </c>
      <c r="D12290" t="s">
        <v>20</v>
      </c>
      <c r="E12290" t="s">
        <v>39</v>
      </c>
      <c r="F12290">
        <v>0</v>
      </c>
      <c r="G12290">
        <v>0</v>
      </c>
      <c r="H12290">
        <v>11</v>
      </c>
      <c r="I12290" s="3">
        <v>5753.82</v>
      </c>
      <c r="J12290" s="3">
        <v>2746.12</v>
      </c>
      <c r="M12290" t="s">
        <v>27038</v>
      </c>
      <c r="N12290" t="s">
        <v>23649</v>
      </c>
      <c r="O12290" t="s">
        <v>9696</v>
      </c>
      <c r="P12290" t="str">
        <f>"46250"</f>
        <v>46250</v>
      </c>
    </row>
    <row r="12291" spans="1:16" x14ac:dyDescent="0.25">
      <c r="A12291" t="str">
        <f>"1180015S00036    00"</f>
        <v>1180015S00036    00</v>
      </c>
      <c r="B12291" t="s">
        <v>27039</v>
      </c>
      <c r="C12291" t="s">
        <v>27040</v>
      </c>
      <c r="E12291" t="s">
        <v>39</v>
      </c>
      <c r="F12291">
        <v>0</v>
      </c>
      <c r="G12291">
        <v>0</v>
      </c>
      <c r="H12291">
        <v>1</v>
      </c>
      <c r="I12291" s="3">
        <v>202.63</v>
      </c>
      <c r="J12291" s="3">
        <v>0</v>
      </c>
      <c r="L12291">
        <v>335</v>
      </c>
      <c r="M12291" t="s">
        <v>25978</v>
      </c>
      <c r="N12291" t="s">
        <v>30</v>
      </c>
      <c r="O12291" t="s">
        <v>31</v>
      </c>
      <c r="P12291" t="str">
        <f>"15210"</f>
        <v>15210</v>
      </c>
    </row>
    <row r="12292" spans="1:16" x14ac:dyDescent="0.25">
      <c r="A12292" t="str">
        <f>"1180015S00045    00"</f>
        <v>1180015S00045    00</v>
      </c>
      <c r="B12292" t="s">
        <v>27041</v>
      </c>
      <c r="C12292" t="s">
        <v>27042</v>
      </c>
      <c r="D12292" t="s">
        <v>20</v>
      </c>
      <c r="E12292" t="s">
        <v>39</v>
      </c>
      <c r="F12292">
        <v>0</v>
      </c>
      <c r="G12292">
        <v>0</v>
      </c>
      <c r="H12292">
        <v>2</v>
      </c>
      <c r="I12292" s="3">
        <v>533.72</v>
      </c>
      <c r="J12292" s="3">
        <v>0</v>
      </c>
      <c r="L12292">
        <v>401</v>
      </c>
      <c r="M12292" t="s">
        <v>25978</v>
      </c>
      <c r="N12292" t="s">
        <v>30</v>
      </c>
      <c r="O12292" t="s">
        <v>31</v>
      </c>
      <c r="P12292" t="str">
        <f>"15210"</f>
        <v>15210</v>
      </c>
    </row>
    <row r="12293" spans="1:16" x14ac:dyDescent="0.25">
      <c r="A12293" t="str">
        <f>"1180015S00047    00"</f>
        <v>1180015S00047    00</v>
      </c>
      <c r="B12293" t="s">
        <v>27043</v>
      </c>
      <c r="C12293" t="s">
        <v>26152</v>
      </c>
      <c r="D12293" t="s">
        <v>20</v>
      </c>
      <c r="E12293" t="s">
        <v>39</v>
      </c>
      <c r="F12293">
        <v>0</v>
      </c>
      <c r="G12293">
        <v>0</v>
      </c>
      <c r="H12293">
        <v>17</v>
      </c>
      <c r="I12293" s="3">
        <v>3157.63</v>
      </c>
      <c r="J12293" s="3">
        <v>4322.09</v>
      </c>
      <c r="L12293">
        <v>400</v>
      </c>
      <c r="M12293" t="s">
        <v>12198</v>
      </c>
      <c r="N12293" t="s">
        <v>30</v>
      </c>
      <c r="O12293" t="s">
        <v>31</v>
      </c>
      <c r="P12293" t="str">
        <f>"15210"</f>
        <v>15210</v>
      </c>
    </row>
    <row r="12294" spans="1:16" x14ac:dyDescent="0.25">
      <c r="A12294" t="str">
        <f>"1180015S00048    00"</f>
        <v>1180015S00048    00</v>
      </c>
      <c r="B12294" t="s">
        <v>27044</v>
      </c>
      <c r="C12294" t="s">
        <v>26152</v>
      </c>
      <c r="D12294" t="s">
        <v>20</v>
      </c>
      <c r="E12294" t="s">
        <v>39</v>
      </c>
      <c r="F12294">
        <v>0</v>
      </c>
      <c r="G12294">
        <v>0</v>
      </c>
      <c r="H12294">
        <v>19</v>
      </c>
      <c r="I12294" s="3">
        <v>1419.52</v>
      </c>
      <c r="J12294" s="3">
        <v>1040.6600000000001</v>
      </c>
      <c r="L12294">
        <v>407</v>
      </c>
      <c r="M12294" t="s">
        <v>25978</v>
      </c>
      <c r="N12294" t="s">
        <v>30</v>
      </c>
      <c r="O12294" t="s">
        <v>31</v>
      </c>
      <c r="P12294" t="str">
        <f>"15210"</f>
        <v>15210</v>
      </c>
    </row>
    <row r="12295" spans="1:16" x14ac:dyDescent="0.25">
      <c r="A12295" t="str">
        <f>"1180015S00064    00"</f>
        <v>1180015S00064    00</v>
      </c>
      <c r="B12295" t="s">
        <v>27045</v>
      </c>
      <c r="C12295" t="s">
        <v>26152</v>
      </c>
      <c r="D12295" t="s">
        <v>20</v>
      </c>
      <c r="E12295" t="s">
        <v>39</v>
      </c>
      <c r="F12295">
        <v>0</v>
      </c>
      <c r="G12295">
        <v>0</v>
      </c>
      <c r="H12295">
        <v>15</v>
      </c>
      <c r="I12295" s="3">
        <v>1545.49</v>
      </c>
      <c r="J12295" s="3">
        <v>1298.52</v>
      </c>
      <c r="L12295">
        <v>800</v>
      </c>
      <c r="M12295" t="s">
        <v>3180</v>
      </c>
      <c r="N12295" t="s">
        <v>30</v>
      </c>
      <c r="O12295" t="s">
        <v>31</v>
      </c>
      <c r="P12295" t="str">
        <f>"15210"</f>
        <v>15210</v>
      </c>
    </row>
    <row r="12296" spans="1:16" x14ac:dyDescent="0.25">
      <c r="A12296" t="str">
        <f>"1180015S00065    00"</f>
        <v>1180015S00065    00</v>
      </c>
      <c r="B12296" t="s">
        <v>16810</v>
      </c>
      <c r="C12296" t="s">
        <v>26152</v>
      </c>
      <c r="D12296" t="s">
        <v>20</v>
      </c>
      <c r="E12296" t="s">
        <v>39</v>
      </c>
      <c r="F12296">
        <v>0</v>
      </c>
      <c r="G12296">
        <v>0</v>
      </c>
      <c r="H12296">
        <v>14</v>
      </c>
      <c r="I12296" s="3">
        <v>3726.75</v>
      </c>
      <c r="J12296" s="3">
        <v>4756.76</v>
      </c>
      <c r="L12296">
        <v>100</v>
      </c>
      <c r="M12296" t="s">
        <v>16811</v>
      </c>
      <c r="N12296" t="s">
        <v>8991</v>
      </c>
      <c r="O12296" t="s">
        <v>31</v>
      </c>
      <c r="P12296" t="str">
        <f>"15145"</f>
        <v>15145</v>
      </c>
    </row>
    <row r="12297" spans="1:16" x14ac:dyDescent="0.25">
      <c r="A12297" t="str">
        <f>"1180015S00066    00"</f>
        <v>1180015S00066    00</v>
      </c>
      <c r="B12297" t="s">
        <v>27046</v>
      </c>
      <c r="C12297" t="s">
        <v>26152</v>
      </c>
      <c r="D12297" t="s">
        <v>20</v>
      </c>
      <c r="E12297" t="s">
        <v>39</v>
      </c>
      <c r="F12297">
        <v>0</v>
      </c>
      <c r="G12297">
        <v>0</v>
      </c>
      <c r="H12297">
        <v>19</v>
      </c>
      <c r="I12297" s="3">
        <v>534.69000000000005</v>
      </c>
      <c r="J12297" s="3">
        <v>530.17999999999995</v>
      </c>
      <c r="K12297" t="s">
        <v>27047</v>
      </c>
      <c r="L12297">
        <v>1075</v>
      </c>
      <c r="M12297" t="s">
        <v>27048</v>
      </c>
      <c r="N12297" t="s">
        <v>30</v>
      </c>
      <c r="O12297" t="s">
        <v>31</v>
      </c>
      <c r="P12297" t="str">
        <f>"15216"</f>
        <v>15216</v>
      </c>
    </row>
    <row r="12298" spans="1:16" x14ac:dyDescent="0.25">
      <c r="A12298" t="str">
        <f>"1180015S00073    00"</f>
        <v>1180015S00073    00</v>
      </c>
      <c r="B12298" t="s">
        <v>27049</v>
      </c>
      <c r="C12298" t="s">
        <v>27050</v>
      </c>
      <c r="D12298" t="s">
        <v>20</v>
      </c>
      <c r="E12298" t="s">
        <v>39</v>
      </c>
      <c r="F12298">
        <v>0</v>
      </c>
      <c r="G12298">
        <v>0</v>
      </c>
      <c r="H12298">
        <v>16</v>
      </c>
      <c r="I12298" s="3">
        <v>11410.93</v>
      </c>
      <c r="J12298" s="3">
        <v>9296.92</v>
      </c>
      <c r="L12298">
        <v>824</v>
      </c>
      <c r="M12298" t="s">
        <v>3977</v>
      </c>
      <c r="N12298" t="s">
        <v>30</v>
      </c>
      <c r="O12298" t="s">
        <v>31</v>
      </c>
      <c r="P12298" t="str">
        <f>"15210"</f>
        <v>15210</v>
      </c>
    </row>
    <row r="12299" spans="1:16" x14ac:dyDescent="0.25">
      <c r="A12299" t="str">
        <f>"1180015S00075    00"</f>
        <v>1180015S00075    00</v>
      </c>
      <c r="B12299" t="s">
        <v>27051</v>
      </c>
      <c r="C12299" t="s">
        <v>27052</v>
      </c>
      <c r="D12299" t="s">
        <v>20</v>
      </c>
      <c r="E12299" t="s">
        <v>39</v>
      </c>
      <c r="F12299">
        <v>0</v>
      </c>
      <c r="G12299">
        <v>0</v>
      </c>
      <c r="H12299">
        <v>17</v>
      </c>
      <c r="I12299" s="3">
        <v>3016.96</v>
      </c>
      <c r="J12299" s="3">
        <v>3737.74</v>
      </c>
      <c r="K12299" t="s">
        <v>27053</v>
      </c>
      <c r="P12299" t="str">
        <f>""</f>
        <v/>
      </c>
    </row>
    <row r="12300" spans="1:16" x14ac:dyDescent="0.25">
      <c r="A12300" t="str">
        <f>"1180015S00079    00"</f>
        <v>1180015S00079    00</v>
      </c>
      <c r="B12300" t="s">
        <v>27054</v>
      </c>
      <c r="C12300" t="s">
        <v>27055</v>
      </c>
      <c r="D12300" t="s">
        <v>20</v>
      </c>
      <c r="E12300" t="s">
        <v>39</v>
      </c>
      <c r="F12300">
        <v>0</v>
      </c>
      <c r="G12300">
        <v>0</v>
      </c>
      <c r="H12300">
        <v>6</v>
      </c>
      <c r="I12300" s="3">
        <v>388.98</v>
      </c>
      <c r="J12300" s="3">
        <v>86.96</v>
      </c>
      <c r="L12300">
        <v>834</v>
      </c>
      <c r="M12300" t="s">
        <v>3977</v>
      </c>
      <c r="N12300" t="s">
        <v>30</v>
      </c>
      <c r="O12300" t="s">
        <v>31</v>
      </c>
      <c r="P12300" t="str">
        <f>"15210"</f>
        <v>15210</v>
      </c>
    </row>
    <row r="12301" spans="1:16" x14ac:dyDescent="0.25">
      <c r="A12301" t="str">
        <f>"1180015S00081    00"</f>
        <v>1180015S00081    00</v>
      </c>
      <c r="B12301" t="s">
        <v>27056</v>
      </c>
      <c r="C12301" t="s">
        <v>27057</v>
      </c>
      <c r="E12301" t="s">
        <v>39</v>
      </c>
      <c r="F12301">
        <v>0</v>
      </c>
      <c r="G12301">
        <v>0</v>
      </c>
      <c r="H12301">
        <v>5</v>
      </c>
      <c r="I12301" s="3">
        <v>271.25</v>
      </c>
      <c r="J12301" s="3">
        <v>89.19</v>
      </c>
      <c r="L12301">
        <v>838</v>
      </c>
      <c r="M12301" t="s">
        <v>3977</v>
      </c>
      <c r="N12301" t="s">
        <v>30</v>
      </c>
      <c r="O12301" t="s">
        <v>31</v>
      </c>
      <c r="P12301" t="str">
        <f>"15210"</f>
        <v>15210</v>
      </c>
    </row>
    <row r="12302" spans="1:16" x14ac:dyDescent="0.25">
      <c r="A12302" t="str">
        <f>"1180015S00083    00"</f>
        <v>1180015S00083    00</v>
      </c>
      <c r="B12302" t="s">
        <v>1965</v>
      </c>
      <c r="C12302" t="s">
        <v>27058</v>
      </c>
      <c r="D12302" t="s">
        <v>20</v>
      </c>
      <c r="E12302" t="s">
        <v>39</v>
      </c>
      <c r="F12302">
        <v>0</v>
      </c>
      <c r="G12302">
        <v>0</v>
      </c>
      <c r="H12302">
        <v>10</v>
      </c>
      <c r="I12302" s="3">
        <v>4407.93</v>
      </c>
      <c r="J12302" s="3">
        <v>2572.69</v>
      </c>
      <c r="L12302">
        <v>1556</v>
      </c>
      <c r="M12302" t="s">
        <v>14332</v>
      </c>
      <c r="N12302" t="s">
        <v>30</v>
      </c>
      <c r="O12302" t="s">
        <v>31</v>
      </c>
      <c r="P12302" t="str">
        <f>"15216"</f>
        <v>15216</v>
      </c>
    </row>
    <row r="12303" spans="1:16" x14ac:dyDescent="0.25">
      <c r="A12303" t="str">
        <f>"1180015S00085    00"</f>
        <v>1180015S00085    00</v>
      </c>
      <c r="B12303" t="s">
        <v>27059</v>
      </c>
      <c r="C12303" t="s">
        <v>27060</v>
      </c>
      <c r="D12303" t="s">
        <v>20</v>
      </c>
      <c r="E12303" t="s">
        <v>39</v>
      </c>
      <c r="F12303">
        <v>0</v>
      </c>
      <c r="G12303">
        <v>0</v>
      </c>
      <c r="H12303">
        <v>8</v>
      </c>
      <c r="I12303" s="3">
        <v>3514.79</v>
      </c>
      <c r="J12303" s="3">
        <v>990.61</v>
      </c>
      <c r="L12303">
        <v>844</v>
      </c>
      <c r="M12303" t="s">
        <v>3977</v>
      </c>
      <c r="N12303" t="s">
        <v>30</v>
      </c>
      <c r="O12303" t="s">
        <v>31</v>
      </c>
      <c r="P12303" t="str">
        <f>"15210"</f>
        <v>15210</v>
      </c>
    </row>
    <row r="12304" spans="1:16" x14ac:dyDescent="0.25">
      <c r="A12304" t="str">
        <f>"1180015S00094    00"</f>
        <v>1180015S00094    00</v>
      </c>
      <c r="B12304" t="s">
        <v>27061</v>
      </c>
      <c r="C12304" t="s">
        <v>26124</v>
      </c>
      <c r="D12304" t="s">
        <v>20</v>
      </c>
      <c r="E12304" t="s">
        <v>39</v>
      </c>
      <c r="F12304">
        <v>0</v>
      </c>
      <c r="G12304">
        <v>0</v>
      </c>
      <c r="H12304">
        <v>19</v>
      </c>
      <c r="I12304" s="3">
        <v>417.32</v>
      </c>
      <c r="J12304" s="3">
        <v>414.57</v>
      </c>
      <c r="L12304">
        <v>414</v>
      </c>
      <c r="M12304" t="s">
        <v>26128</v>
      </c>
      <c r="N12304" t="s">
        <v>30</v>
      </c>
      <c r="O12304" t="s">
        <v>31</v>
      </c>
      <c r="P12304" t="str">
        <f>"15210"</f>
        <v>15210</v>
      </c>
    </row>
    <row r="12305" spans="1:16" x14ac:dyDescent="0.25">
      <c r="A12305" t="str">
        <f>"1180015S00095    00"</f>
        <v>1180015S00095    00</v>
      </c>
      <c r="B12305" t="s">
        <v>27062</v>
      </c>
      <c r="C12305" t="s">
        <v>27063</v>
      </c>
      <c r="D12305" t="s">
        <v>20</v>
      </c>
      <c r="E12305" t="s">
        <v>39</v>
      </c>
      <c r="F12305">
        <v>0</v>
      </c>
      <c r="G12305">
        <v>0</v>
      </c>
      <c r="H12305">
        <v>16</v>
      </c>
      <c r="I12305" s="3">
        <v>2872.14</v>
      </c>
      <c r="J12305" s="3">
        <v>2779.1</v>
      </c>
      <c r="L12305">
        <v>414</v>
      </c>
      <c r="M12305" t="s">
        <v>26128</v>
      </c>
      <c r="N12305" t="s">
        <v>30</v>
      </c>
      <c r="O12305" t="s">
        <v>31</v>
      </c>
      <c r="P12305" t="str">
        <f>"15210"</f>
        <v>15210</v>
      </c>
    </row>
    <row r="12306" spans="1:16" x14ac:dyDescent="0.25">
      <c r="A12306" t="str">
        <f>"1180015S00096    00"</f>
        <v>1180015S00096    00</v>
      </c>
      <c r="B12306" t="s">
        <v>27064</v>
      </c>
      <c r="C12306" t="s">
        <v>27065</v>
      </c>
      <c r="D12306" t="s">
        <v>20</v>
      </c>
      <c r="E12306" t="s">
        <v>39</v>
      </c>
      <c r="F12306">
        <v>0</v>
      </c>
      <c r="G12306">
        <v>0</v>
      </c>
      <c r="H12306">
        <v>6</v>
      </c>
      <c r="I12306" s="3">
        <v>2467.06</v>
      </c>
      <c r="J12306" s="3">
        <v>1050.29</v>
      </c>
      <c r="K12306" t="s">
        <v>27066</v>
      </c>
      <c r="L12306">
        <v>412</v>
      </c>
      <c r="M12306" t="s">
        <v>26128</v>
      </c>
      <c r="N12306" t="s">
        <v>30</v>
      </c>
      <c r="O12306" t="s">
        <v>31</v>
      </c>
      <c r="P12306" t="str">
        <f>"15210"</f>
        <v>15210</v>
      </c>
    </row>
    <row r="12307" spans="1:16" x14ac:dyDescent="0.25">
      <c r="A12307" t="str">
        <f>"1180015S00102    00"</f>
        <v>1180015S00102    00</v>
      </c>
      <c r="B12307" t="s">
        <v>27067</v>
      </c>
      <c r="C12307" t="s">
        <v>27068</v>
      </c>
      <c r="D12307" t="s">
        <v>20</v>
      </c>
      <c r="E12307" t="s">
        <v>39</v>
      </c>
      <c r="F12307">
        <v>0</v>
      </c>
      <c r="G12307">
        <v>0</v>
      </c>
      <c r="H12307">
        <v>2</v>
      </c>
      <c r="I12307" s="3">
        <v>823.32</v>
      </c>
      <c r="J12307" s="3">
        <v>445.69</v>
      </c>
      <c r="L12307">
        <v>857</v>
      </c>
      <c r="M12307" t="s">
        <v>25252</v>
      </c>
      <c r="N12307" t="s">
        <v>30</v>
      </c>
      <c r="O12307" t="s">
        <v>31</v>
      </c>
      <c r="P12307" t="str">
        <f>"15210"</f>
        <v>15210</v>
      </c>
    </row>
    <row r="12308" spans="1:16" x14ac:dyDescent="0.25">
      <c r="A12308" t="str">
        <f>"1180015S00103    00"</f>
        <v>1180015S00103    00</v>
      </c>
      <c r="B12308" t="s">
        <v>27069</v>
      </c>
      <c r="C12308" t="s">
        <v>27070</v>
      </c>
      <c r="D12308" t="s">
        <v>20</v>
      </c>
      <c r="E12308" t="s">
        <v>39</v>
      </c>
      <c r="F12308">
        <v>0</v>
      </c>
      <c r="G12308">
        <v>0</v>
      </c>
      <c r="H12308">
        <v>12</v>
      </c>
      <c r="I12308" s="3">
        <v>5108.79</v>
      </c>
      <c r="J12308" s="3">
        <v>2631.42</v>
      </c>
      <c r="K12308" t="s">
        <v>27071</v>
      </c>
      <c r="L12308">
        <v>2262</v>
      </c>
      <c r="M12308" t="s">
        <v>27072</v>
      </c>
      <c r="N12308" t="s">
        <v>30</v>
      </c>
      <c r="O12308" t="s">
        <v>31</v>
      </c>
      <c r="P12308" t="str">
        <f>"15234"</f>
        <v>15234</v>
      </c>
    </row>
    <row r="12309" spans="1:16" x14ac:dyDescent="0.25">
      <c r="A12309" t="str">
        <f>"1180015S00104    00"</f>
        <v>1180015S00104    00</v>
      </c>
      <c r="B12309" t="s">
        <v>27073</v>
      </c>
      <c r="C12309" t="s">
        <v>27074</v>
      </c>
      <c r="E12309" t="s">
        <v>39</v>
      </c>
      <c r="F12309">
        <v>0</v>
      </c>
      <c r="G12309">
        <v>0</v>
      </c>
      <c r="H12309">
        <v>1</v>
      </c>
      <c r="I12309" s="3">
        <v>316.39999999999998</v>
      </c>
      <c r="J12309" s="3">
        <v>0</v>
      </c>
      <c r="K12309" t="s">
        <v>27075</v>
      </c>
      <c r="L12309">
        <v>35</v>
      </c>
      <c r="M12309" t="s">
        <v>27076</v>
      </c>
      <c r="N12309" t="s">
        <v>30</v>
      </c>
      <c r="O12309" t="s">
        <v>31</v>
      </c>
      <c r="P12309" t="str">
        <f>"15210"</f>
        <v>15210</v>
      </c>
    </row>
    <row r="12310" spans="1:16" x14ac:dyDescent="0.25">
      <c r="A12310" t="str">
        <f>"1180015S00113    00"</f>
        <v>1180015S00113    00</v>
      </c>
      <c r="B12310" t="s">
        <v>20814</v>
      </c>
      <c r="C12310" t="s">
        <v>27077</v>
      </c>
      <c r="D12310" t="s">
        <v>20</v>
      </c>
      <c r="E12310" t="s">
        <v>39</v>
      </c>
      <c r="F12310">
        <v>0</v>
      </c>
      <c r="G12310">
        <v>0</v>
      </c>
      <c r="H12310">
        <v>7</v>
      </c>
      <c r="I12310" s="3">
        <v>2053.48</v>
      </c>
      <c r="J12310" s="3">
        <v>535.54999999999995</v>
      </c>
      <c r="L12310">
        <v>911</v>
      </c>
      <c r="M12310" t="s">
        <v>20816</v>
      </c>
      <c r="N12310" t="s">
        <v>30</v>
      </c>
      <c r="O12310" t="s">
        <v>31</v>
      </c>
      <c r="P12310" t="str">
        <f>"15210"</f>
        <v>15210</v>
      </c>
    </row>
    <row r="12311" spans="1:16" x14ac:dyDescent="0.25">
      <c r="A12311" t="str">
        <f>"1180015S00116    00"</f>
        <v>1180015S00116    00</v>
      </c>
      <c r="B12311" t="s">
        <v>27078</v>
      </c>
      <c r="C12311" t="s">
        <v>27079</v>
      </c>
      <c r="D12311" t="s">
        <v>20</v>
      </c>
      <c r="E12311" t="s">
        <v>39</v>
      </c>
      <c r="F12311">
        <v>0</v>
      </c>
      <c r="G12311">
        <v>0</v>
      </c>
      <c r="H12311">
        <v>1</v>
      </c>
      <c r="I12311" s="3">
        <v>339.29</v>
      </c>
      <c r="J12311" s="3">
        <v>0</v>
      </c>
      <c r="L12311">
        <v>1609</v>
      </c>
      <c r="M12311" t="s">
        <v>27080</v>
      </c>
      <c r="N12311" t="s">
        <v>27081</v>
      </c>
      <c r="O12311" t="s">
        <v>108</v>
      </c>
      <c r="P12311" t="str">
        <f>"76248"</f>
        <v>76248</v>
      </c>
    </row>
    <row r="12312" spans="1:16" x14ac:dyDescent="0.25">
      <c r="A12312" t="str">
        <f>"1180015S00120    00"</f>
        <v>1180015S00120    00</v>
      </c>
      <c r="B12312" t="s">
        <v>27082</v>
      </c>
      <c r="C12312" t="s">
        <v>27083</v>
      </c>
      <c r="D12312" t="s">
        <v>20</v>
      </c>
      <c r="E12312" t="s">
        <v>39</v>
      </c>
      <c r="F12312">
        <v>0</v>
      </c>
      <c r="G12312">
        <v>0</v>
      </c>
      <c r="H12312">
        <v>6</v>
      </c>
      <c r="I12312" s="3">
        <v>3498.15</v>
      </c>
      <c r="J12312" s="3">
        <v>594.76</v>
      </c>
      <c r="L12312">
        <v>825</v>
      </c>
      <c r="M12312" t="s">
        <v>25252</v>
      </c>
      <c r="N12312" t="s">
        <v>30</v>
      </c>
      <c r="O12312" t="s">
        <v>31</v>
      </c>
      <c r="P12312" t="str">
        <f>"15210"</f>
        <v>15210</v>
      </c>
    </row>
    <row r="12313" spans="1:16" x14ac:dyDescent="0.25">
      <c r="A12313" t="str">
        <f>"1180015S00123    00"</f>
        <v>1180015S00123    00</v>
      </c>
      <c r="B12313" t="s">
        <v>27084</v>
      </c>
      <c r="C12313" t="s">
        <v>25248</v>
      </c>
      <c r="D12313" t="s">
        <v>20</v>
      </c>
      <c r="E12313" t="s">
        <v>39</v>
      </c>
      <c r="F12313">
        <v>0</v>
      </c>
      <c r="G12313">
        <v>0</v>
      </c>
      <c r="H12313">
        <v>19</v>
      </c>
      <c r="I12313" s="3">
        <v>11498.1</v>
      </c>
      <c r="J12313" s="3">
        <v>15593.67</v>
      </c>
      <c r="L12313">
        <v>910</v>
      </c>
      <c r="M12313" t="s">
        <v>25968</v>
      </c>
      <c r="N12313" t="s">
        <v>30</v>
      </c>
      <c r="O12313" t="s">
        <v>31</v>
      </c>
      <c r="P12313" t="str">
        <f>"15210"</f>
        <v>15210</v>
      </c>
    </row>
    <row r="12314" spans="1:16" x14ac:dyDescent="0.25">
      <c r="A12314" t="str">
        <f>"1180015S00126    00"</f>
        <v>1180015S00126    00</v>
      </c>
      <c r="B12314" t="s">
        <v>27085</v>
      </c>
      <c r="C12314" t="s">
        <v>25248</v>
      </c>
      <c r="D12314" t="s">
        <v>20</v>
      </c>
      <c r="E12314" t="s">
        <v>39</v>
      </c>
      <c r="F12314">
        <v>0</v>
      </c>
      <c r="G12314">
        <v>0</v>
      </c>
      <c r="H12314">
        <v>19</v>
      </c>
      <c r="I12314" s="3">
        <v>2957.26</v>
      </c>
      <c r="J12314" s="3">
        <v>3429.36</v>
      </c>
      <c r="L12314">
        <v>806</v>
      </c>
      <c r="M12314" t="s">
        <v>25252</v>
      </c>
      <c r="N12314" t="s">
        <v>30</v>
      </c>
      <c r="O12314" t="s">
        <v>31</v>
      </c>
      <c r="P12314" t="str">
        <f>"15210"</f>
        <v>15210</v>
      </c>
    </row>
    <row r="12315" spans="1:16" x14ac:dyDescent="0.25">
      <c r="A12315" t="str">
        <f>"1180015S00128    00"</f>
        <v>1180015S00128    00</v>
      </c>
      <c r="B12315" t="s">
        <v>27086</v>
      </c>
      <c r="C12315" t="s">
        <v>25248</v>
      </c>
      <c r="D12315" t="s">
        <v>20</v>
      </c>
      <c r="E12315" t="s">
        <v>39</v>
      </c>
      <c r="F12315">
        <v>0</v>
      </c>
      <c r="G12315">
        <v>0</v>
      </c>
      <c r="H12315">
        <v>19</v>
      </c>
      <c r="I12315" s="3">
        <v>4356.91</v>
      </c>
      <c r="J12315" s="3">
        <v>6197.89</v>
      </c>
      <c r="L12315">
        <v>202</v>
      </c>
      <c r="M12315" t="s">
        <v>27087</v>
      </c>
      <c r="N12315" t="s">
        <v>27088</v>
      </c>
      <c r="O12315" t="s">
        <v>1321</v>
      </c>
      <c r="P12315" t="str">
        <f>"89703"</f>
        <v>89703</v>
      </c>
    </row>
    <row r="12316" spans="1:16" x14ac:dyDescent="0.25">
      <c r="A12316" t="str">
        <f>"1180015S00129    00"</f>
        <v>1180015S00129    00</v>
      </c>
      <c r="B12316" t="s">
        <v>27089</v>
      </c>
      <c r="C12316" t="s">
        <v>25248</v>
      </c>
      <c r="D12316" t="s">
        <v>20</v>
      </c>
      <c r="E12316" t="s">
        <v>39</v>
      </c>
      <c r="F12316">
        <v>0</v>
      </c>
      <c r="G12316">
        <v>0</v>
      </c>
      <c r="H12316">
        <v>19</v>
      </c>
      <c r="I12316" s="3">
        <v>383.92</v>
      </c>
      <c r="J12316" s="3">
        <v>457.05</v>
      </c>
      <c r="K12316" t="s">
        <v>27090</v>
      </c>
      <c r="L12316">
        <v>8211</v>
      </c>
      <c r="M12316" t="s">
        <v>27091</v>
      </c>
      <c r="N12316" t="s">
        <v>30</v>
      </c>
      <c r="O12316" t="s">
        <v>31</v>
      </c>
      <c r="P12316" t="str">
        <f>"15221"</f>
        <v>15221</v>
      </c>
    </row>
    <row r="12317" spans="1:16" x14ac:dyDescent="0.25">
      <c r="A12317" t="str">
        <f>"1180015S00130    00"</f>
        <v>1180015S00130    00</v>
      </c>
      <c r="B12317" t="s">
        <v>27092</v>
      </c>
      <c r="C12317" t="s">
        <v>27093</v>
      </c>
      <c r="D12317" t="s">
        <v>20</v>
      </c>
      <c r="E12317" t="s">
        <v>39</v>
      </c>
      <c r="F12317">
        <v>0</v>
      </c>
      <c r="G12317">
        <v>0</v>
      </c>
      <c r="H12317">
        <v>8</v>
      </c>
      <c r="I12317" s="3">
        <v>2008.6</v>
      </c>
      <c r="J12317" s="3">
        <v>2699.36</v>
      </c>
      <c r="L12317">
        <v>809</v>
      </c>
      <c r="M12317" t="s">
        <v>25252</v>
      </c>
      <c r="N12317" t="s">
        <v>30</v>
      </c>
      <c r="O12317" t="s">
        <v>31</v>
      </c>
      <c r="P12317" t="str">
        <f>"15210"</f>
        <v>15210</v>
      </c>
    </row>
    <row r="12318" spans="1:16" x14ac:dyDescent="0.25">
      <c r="A12318" t="str">
        <f>"1180015S00133    00"</f>
        <v>1180015S00133    00</v>
      </c>
      <c r="B12318" t="s">
        <v>27094</v>
      </c>
      <c r="C12318" t="s">
        <v>27095</v>
      </c>
      <c r="E12318" t="s">
        <v>39</v>
      </c>
      <c r="F12318">
        <v>0</v>
      </c>
      <c r="G12318">
        <v>0</v>
      </c>
      <c r="H12318">
        <v>9</v>
      </c>
      <c r="I12318" s="3">
        <v>5622.21</v>
      </c>
      <c r="J12318" s="3">
        <v>8007.51</v>
      </c>
      <c r="L12318">
        <v>800</v>
      </c>
      <c r="M12318" t="s">
        <v>25249</v>
      </c>
      <c r="N12318" t="s">
        <v>30</v>
      </c>
      <c r="O12318" t="s">
        <v>31</v>
      </c>
      <c r="P12318" t="str">
        <f>"15210"</f>
        <v>15210</v>
      </c>
    </row>
    <row r="12319" spans="1:16" x14ac:dyDescent="0.25">
      <c r="A12319" t="str">
        <f>"1180015S00136    00"</f>
        <v>1180015S00136    00</v>
      </c>
      <c r="B12319" t="s">
        <v>27085</v>
      </c>
      <c r="C12319" t="s">
        <v>27096</v>
      </c>
      <c r="D12319" t="s">
        <v>20</v>
      </c>
      <c r="E12319" t="s">
        <v>39</v>
      </c>
      <c r="F12319">
        <v>0</v>
      </c>
      <c r="G12319">
        <v>0</v>
      </c>
      <c r="H12319">
        <v>14</v>
      </c>
      <c r="I12319" s="3">
        <v>8516.18</v>
      </c>
      <c r="J12319" s="3">
        <v>5493.59</v>
      </c>
      <c r="L12319">
        <v>806</v>
      </c>
      <c r="M12319" t="s">
        <v>25252</v>
      </c>
      <c r="N12319" t="s">
        <v>30</v>
      </c>
      <c r="O12319" t="s">
        <v>31</v>
      </c>
      <c r="P12319" t="str">
        <f>"15210"</f>
        <v>15210</v>
      </c>
    </row>
    <row r="12320" spans="1:16" x14ac:dyDescent="0.25">
      <c r="A12320" t="str">
        <f>"1180015S00146    00"</f>
        <v>1180015S00146    00</v>
      </c>
      <c r="B12320" t="s">
        <v>27097</v>
      </c>
      <c r="C12320" t="s">
        <v>27098</v>
      </c>
      <c r="E12320" t="s">
        <v>39</v>
      </c>
      <c r="F12320">
        <v>0</v>
      </c>
      <c r="G12320">
        <v>0</v>
      </c>
      <c r="H12320">
        <v>2</v>
      </c>
      <c r="I12320" s="3">
        <v>760.87</v>
      </c>
      <c r="J12320" s="3">
        <v>104.07</v>
      </c>
      <c r="K12320" t="s">
        <v>27099</v>
      </c>
      <c r="L12320">
        <v>818</v>
      </c>
      <c r="M12320" t="s">
        <v>25252</v>
      </c>
      <c r="N12320" t="s">
        <v>30</v>
      </c>
      <c r="O12320" t="s">
        <v>31</v>
      </c>
      <c r="P12320" t="str">
        <f>"15210"</f>
        <v>15210</v>
      </c>
    </row>
    <row r="12321" spans="1:16" x14ac:dyDescent="0.25">
      <c r="A12321" t="str">
        <f>"1180015S00147    00"</f>
        <v>1180015S00147    00</v>
      </c>
      <c r="B12321" t="s">
        <v>27100</v>
      </c>
      <c r="C12321" t="s">
        <v>25248</v>
      </c>
      <c r="D12321" t="s">
        <v>20</v>
      </c>
      <c r="E12321" t="s">
        <v>39</v>
      </c>
      <c r="F12321">
        <v>0</v>
      </c>
      <c r="G12321">
        <v>0</v>
      </c>
      <c r="H12321">
        <v>19</v>
      </c>
      <c r="I12321" s="3">
        <v>6848.07</v>
      </c>
      <c r="J12321" s="3">
        <v>9266.15</v>
      </c>
      <c r="P12321" t="str">
        <f>""</f>
        <v/>
      </c>
    </row>
    <row r="12322" spans="1:16" x14ac:dyDescent="0.25">
      <c r="A12322" t="str">
        <f>"1180015S00148    00"</f>
        <v>1180015S00148    00</v>
      </c>
      <c r="B12322" t="s">
        <v>27101</v>
      </c>
      <c r="C12322" t="s">
        <v>25248</v>
      </c>
      <c r="D12322" t="s">
        <v>20</v>
      </c>
      <c r="E12322" t="s">
        <v>39</v>
      </c>
      <c r="F12322">
        <v>0</v>
      </c>
      <c r="G12322">
        <v>0</v>
      </c>
      <c r="H12322">
        <v>9</v>
      </c>
      <c r="I12322" s="3">
        <v>930.67</v>
      </c>
      <c r="J12322" s="3">
        <v>988.49</v>
      </c>
      <c r="L12322">
        <v>227</v>
      </c>
      <c r="M12322" t="s">
        <v>27102</v>
      </c>
      <c r="N12322" t="s">
        <v>30</v>
      </c>
      <c r="O12322" t="s">
        <v>31</v>
      </c>
      <c r="P12322" t="str">
        <f>"15205"</f>
        <v>15205</v>
      </c>
    </row>
    <row r="12323" spans="1:16" x14ac:dyDescent="0.25">
      <c r="A12323" t="str">
        <f>"1180015S00149    00"</f>
        <v>1180015S00149    00</v>
      </c>
      <c r="B12323" t="s">
        <v>27103</v>
      </c>
      <c r="C12323" t="s">
        <v>25248</v>
      </c>
      <c r="D12323" t="s">
        <v>20</v>
      </c>
      <c r="E12323" t="s">
        <v>39</v>
      </c>
      <c r="F12323">
        <v>0</v>
      </c>
      <c r="G12323">
        <v>0</v>
      </c>
      <c r="H12323">
        <v>19</v>
      </c>
      <c r="I12323" s="3">
        <v>8144.6</v>
      </c>
      <c r="J12323" s="3">
        <v>11597.89</v>
      </c>
      <c r="L12323">
        <v>828</v>
      </c>
      <c r="M12323" t="s">
        <v>25252</v>
      </c>
      <c r="N12323" t="s">
        <v>30</v>
      </c>
      <c r="O12323" t="s">
        <v>31</v>
      </c>
      <c r="P12323" t="str">
        <f t="shared" ref="P12323:P12330" si="152">"15210"</f>
        <v>15210</v>
      </c>
    </row>
    <row r="12324" spans="1:16" x14ac:dyDescent="0.25">
      <c r="A12324" t="str">
        <f>"1180015S00152    00"</f>
        <v>1180015S00152    00</v>
      </c>
      <c r="B12324" t="s">
        <v>27104</v>
      </c>
      <c r="C12324" t="s">
        <v>27105</v>
      </c>
      <c r="D12324" t="s">
        <v>20</v>
      </c>
      <c r="E12324" t="s">
        <v>39</v>
      </c>
      <c r="F12324">
        <v>0</v>
      </c>
      <c r="G12324">
        <v>0</v>
      </c>
      <c r="H12324">
        <v>8</v>
      </c>
      <c r="I12324" s="3">
        <v>2146.9</v>
      </c>
      <c r="J12324" s="3">
        <v>694.72</v>
      </c>
      <c r="L12324">
        <v>834</v>
      </c>
      <c r="M12324" t="s">
        <v>25252</v>
      </c>
      <c r="N12324" t="s">
        <v>30</v>
      </c>
      <c r="O12324" t="s">
        <v>31</v>
      </c>
      <c r="P12324" t="str">
        <f t="shared" si="152"/>
        <v>15210</v>
      </c>
    </row>
    <row r="12325" spans="1:16" x14ac:dyDescent="0.25">
      <c r="A12325" t="str">
        <f>"1180015S00153    00"</f>
        <v>1180015S00153    00</v>
      </c>
      <c r="B12325" t="s">
        <v>27106</v>
      </c>
      <c r="C12325" t="s">
        <v>27107</v>
      </c>
      <c r="D12325" t="s">
        <v>20</v>
      </c>
      <c r="E12325" t="s">
        <v>39</v>
      </c>
      <c r="F12325">
        <v>0</v>
      </c>
      <c r="G12325">
        <v>0</v>
      </c>
      <c r="H12325">
        <v>4</v>
      </c>
      <c r="I12325" s="3">
        <v>1728.49</v>
      </c>
      <c r="J12325" s="3">
        <v>116.75</v>
      </c>
      <c r="K12325" t="s">
        <v>27108</v>
      </c>
      <c r="L12325">
        <v>836</v>
      </c>
      <c r="M12325" t="s">
        <v>25252</v>
      </c>
      <c r="N12325" t="s">
        <v>30</v>
      </c>
      <c r="O12325" t="s">
        <v>31</v>
      </c>
      <c r="P12325" t="str">
        <f t="shared" si="152"/>
        <v>15210</v>
      </c>
    </row>
    <row r="12326" spans="1:16" x14ac:dyDescent="0.25">
      <c r="A12326" t="str">
        <f>"1180015S00156    00"</f>
        <v>1180015S00156    00</v>
      </c>
      <c r="B12326" t="s">
        <v>27109</v>
      </c>
      <c r="C12326" t="s">
        <v>27110</v>
      </c>
      <c r="D12326" t="s">
        <v>20</v>
      </c>
      <c r="E12326" t="s">
        <v>39</v>
      </c>
      <c r="F12326">
        <v>0</v>
      </c>
      <c r="G12326">
        <v>0</v>
      </c>
      <c r="H12326">
        <v>4</v>
      </c>
      <c r="I12326" s="3">
        <v>1509.29</v>
      </c>
      <c r="J12326" s="3">
        <v>90.53</v>
      </c>
      <c r="L12326">
        <v>840</v>
      </c>
      <c r="M12326" t="s">
        <v>25252</v>
      </c>
      <c r="N12326" t="s">
        <v>30</v>
      </c>
      <c r="O12326" t="s">
        <v>31</v>
      </c>
      <c r="P12326" t="str">
        <f t="shared" si="152"/>
        <v>15210</v>
      </c>
    </row>
    <row r="12327" spans="1:16" x14ac:dyDescent="0.25">
      <c r="A12327" t="str">
        <f>"1180015S00158    00"</f>
        <v>1180015S00158    00</v>
      </c>
      <c r="B12327" t="s">
        <v>27111</v>
      </c>
      <c r="C12327" t="s">
        <v>25248</v>
      </c>
      <c r="D12327" t="s">
        <v>20</v>
      </c>
      <c r="E12327" t="s">
        <v>39</v>
      </c>
      <c r="F12327">
        <v>0</v>
      </c>
      <c r="G12327">
        <v>0</v>
      </c>
      <c r="H12327">
        <v>11</v>
      </c>
      <c r="I12327" s="3">
        <v>196.22</v>
      </c>
      <c r="J12327" s="3">
        <v>91.17</v>
      </c>
      <c r="K12327" t="s">
        <v>27112</v>
      </c>
      <c r="L12327">
        <v>842</v>
      </c>
      <c r="M12327" t="s">
        <v>25249</v>
      </c>
      <c r="N12327" t="s">
        <v>30</v>
      </c>
      <c r="O12327" t="s">
        <v>31</v>
      </c>
      <c r="P12327" t="str">
        <f t="shared" si="152"/>
        <v>15210</v>
      </c>
    </row>
    <row r="12328" spans="1:16" x14ac:dyDescent="0.25">
      <c r="A12328" t="str">
        <f>"1180015S00159    00"</f>
        <v>1180015S00159    00</v>
      </c>
      <c r="B12328" t="s">
        <v>27111</v>
      </c>
      <c r="C12328" t="s">
        <v>25248</v>
      </c>
      <c r="D12328" t="s">
        <v>20</v>
      </c>
      <c r="E12328" t="s">
        <v>39</v>
      </c>
      <c r="F12328">
        <v>0</v>
      </c>
      <c r="G12328">
        <v>0</v>
      </c>
      <c r="H12328">
        <v>11</v>
      </c>
      <c r="I12328" s="3">
        <v>196.22</v>
      </c>
      <c r="J12328" s="3">
        <v>91.17</v>
      </c>
      <c r="K12328" t="s">
        <v>27112</v>
      </c>
      <c r="L12328">
        <v>842</v>
      </c>
      <c r="M12328" t="s">
        <v>25249</v>
      </c>
      <c r="N12328" t="s">
        <v>30</v>
      </c>
      <c r="O12328" t="s">
        <v>31</v>
      </c>
      <c r="P12328" t="str">
        <f t="shared" si="152"/>
        <v>15210</v>
      </c>
    </row>
    <row r="12329" spans="1:16" x14ac:dyDescent="0.25">
      <c r="A12329" t="str">
        <f>"1180015S00166    00"</f>
        <v>1180015S00166    00</v>
      </c>
      <c r="B12329" t="s">
        <v>27113</v>
      </c>
      <c r="C12329" t="s">
        <v>27114</v>
      </c>
      <c r="D12329" t="s">
        <v>20</v>
      </c>
      <c r="E12329" t="s">
        <v>39</v>
      </c>
      <c r="F12329">
        <v>0</v>
      </c>
      <c r="G12329">
        <v>0</v>
      </c>
      <c r="H12329">
        <v>5</v>
      </c>
      <c r="I12329" s="3">
        <v>640.57000000000005</v>
      </c>
      <c r="J12329" s="3">
        <v>110.66</v>
      </c>
      <c r="K12329" t="s">
        <v>27115</v>
      </c>
      <c r="L12329">
        <v>809</v>
      </c>
      <c r="M12329" t="s">
        <v>25252</v>
      </c>
      <c r="N12329" t="s">
        <v>30</v>
      </c>
      <c r="O12329" t="s">
        <v>31</v>
      </c>
      <c r="P12329" t="str">
        <f t="shared" si="152"/>
        <v>15210</v>
      </c>
    </row>
    <row r="12330" spans="1:16" x14ac:dyDescent="0.25">
      <c r="A12330" t="str">
        <f>"1180015S00167    00"</f>
        <v>1180015S00167    00</v>
      </c>
      <c r="B12330" t="s">
        <v>27116</v>
      </c>
      <c r="C12330" t="s">
        <v>27117</v>
      </c>
      <c r="D12330" t="s">
        <v>20</v>
      </c>
      <c r="E12330" t="s">
        <v>39</v>
      </c>
      <c r="F12330">
        <v>0</v>
      </c>
      <c r="G12330">
        <v>0</v>
      </c>
      <c r="H12330">
        <v>2</v>
      </c>
      <c r="I12330" s="3">
        <v>809.14</v>
      </c>
      <c r="J12330" s="3">
        <v>0</v>
      </c>
      <c r="L12330">
        <v>856</v>
      </c>
      <c r="M12330" t="s">
        <v>25252</v>
      </c>
      <c r="N12330" t="s">
        <v>30</v>
      </c>
      <c r="O12330" t="s">
        <v>31</v>
      </c>
      <c r="P12330" t="str">
        <f t="shared" si="152"/>
        <v>15210</v>
      </c>
    </row>
    <row r="12331" spans="1:16" x14ac:dyDescent="0.25">
      <c r="A12331" t="str">
        <f>"1180015S00170    00"</f>
        <v>1180015S00170    00</v>
      </c>
      <c r="B12331" t="s">
        <v>218</v>
      </c>
      <c r="C12331" t="s">
        <v>27118</v>
      </c>
      <c r="E12331" t="s">
        <v>39</v>
      </c>
      <c r="F12331">
        <v>0</v>
      </c>
      <c r="G12331">
        <v>0</v>
      </c>
      <c r="H12331">
        <v>17</v>
      </c>
      <c r="I12331" s="3">
        <v>2081.0500000000002</v>
      </c>
      <c r="J12331" s="3">
        <v>2244.35</v>
      </c>
      <c r="K12331" t="s">
        <v>220</v>
      </c>
      <c r="L12331">
        <v>412</v>
      </c>
      <c r="M12331" t="s">
        <v>221</v>
      </c>
      <c r="N12331" t="s">
        <v>30</v>
      </c>
      <c r="O12331" t="s">
        <v>31</v>
      </c>
      <c r="P12331" t="str">
        <f>"15219"</f>
        <v>15219</v>
      </c>
    </row>
    <row r="12332" spans="1:16" x14ac:dyDescent="0.25">
      <c r="A12332" t="str">
        <f>"1180015S00172    00"</f>
        <v>1180015S00172    00</v>
      </c>
      <c r="B12332" t="s">
        <v>27119</v>
      </c>
      <c r="C12332" t="s">
        <v>27120</v>
      </c>
      <c r="D12332" t="s">
        <v>20</v>
      </c>
      <c r="E12332" t="s">
        <v>39</v>
      </c>
      <c r="F12332">
        <v>0</v>
      </c>
      <c r="G12332">
        <v>0</v>
      </c>
      <c r="H12332">
        <v>4</v>
      </c>
      <c r="I12332" s="3">
        <v>1677.37</v>
      </c>
      <c r="J12332" s="3">
        <v>18.68</v>
      </c>
      <c r="K12332" t="s">
        <v>2570</v>
      </c>
      <c r="L12332">
        <v>901</v>
      </c>
      <c r="M12332" t="s">
        <v>1503</v>
      </c>
      <c r="N12332" t="s">
        <v>494</v>
      </c>
      <c r="O12332" t="s">
        <v>495</v>
      </c>
      <c r="P12332" t="str">
        <f>"91768"</f>
        <v>91768</v>
      </c>
    </row>
    <row r="12333" spans="1:16" x14ac:dyDescent="0.25">
      <c r="A12333" t="str">
        <f>"1180015S00174    00"</f>
        <v>1180015S00174    00</v>
      </c>
      <c r="B12333" t="s">
        <v>27121</v>
      </c>
      <c r="C12333" t="s">
        <v>27122</v>
      </c>
      <c r="E12333" t="s">
        <v>39</v>
      </c>
      <c r="F12333">
        <v>0</v>
      </c>
      <c r="G12333">
        <v>0</v>
      </c>
      <c r="H12333">
        <v>1</v>
      </c>
      <c r="I12333" s="3">
        <v>166.29</v>
      </c>
      <c r="J12333" s="3">
        <v>169.06</v>
      </c>
      <c r="L12333">
        <v>3720</v>
      </c>
      <c r="M12333" t="s">
        <v>15928</v>
      </c>
      <c r="N12333" t="s">
        <v>30</v>
      </c>
      <c r="O12333" t="s">
        <v>31</v>
      </c>
      <c r="P12333" t="str">
        <f>"15221"</f>
        <v>15221</v>
      </c>
    </row>
    <row r="12334" spans="1:16" x14ac:dyDescent="0.25">
      <c r="A12334" t="str">
        <f>"1180015S00175    00"</f>
        <v>1180015S00175    00</v>
      </c>
      <c r="B12334" t="s">
        <v>218</v>
      </c>
      <c r="C12334" t="s">
        <v>27118</v>
      </c>
      <c r="E12334" t="s">
        <v>39</v>
      </c>
      <c r="F12334">
        <v>0</v>
      </c>
      <c r="G12334">
        <v>0</v>
      </c>
      <c r="H12334">
        <v>17</v>
      </c>
      <c r="I12334" s="3">
        <v>6669</v>
      </c>
      <c r="J12334" s="3">
        <v>9293.48</v>
      </c>
      <c r="K12334" t="s">
        <v>220</v>
      </c>
      <c r="L12334">
        <v>412</v>
      </c>
      <c r="M12334" t="s">
        <v>221</v>
      </c>
      <c r="N12334" t="s">
        <v>30</v>
      </c>
      <c r="O12334" t="s">
        <v>31</v>
      </c>
      <c r="P12334" t="str">
        <f>"15219"</f>
        <v>15219</v>
      </c>
    </row>
    <row r="12335" spans="1:16" x14ac:dyDescent="0.25">
      <c r="A12335" t="str">
        <f>"1180015S00181    00"</f>
        <v>1180015S00181    00</v>
      </c>
      <c r="B12335" t="s">
        <v>27123</v>
      </c>
      <c r="C12335" t="s">
        <v>27124</v>
      </c>
      <c r="D12335" t="s">
        <v>20</v>
      </c>
      <c r="E12335" t="s">
        <v>39</v>
      </c>
      <c r="F12335">
        <v>0</v>
      </c>
      <c r="G12335">
        <v>0</v>
      </c>
      <c r="H12335">
        <v>5</v>
      </c>
      <c r="I12335" s="3">
        <v>472.48</v>
      </c>
      <c r="J12335" s="3">
        <v>135.77000000000001</v>
      </c>
      <c r="L12335">
        <v>1617</v>
      </c>
      <c r="M12335" t="s">
        <v>27125</v>
      </c>
      <c r="N12335" t="s">
        <v>30</v>
      </c>
      <c r="O12335" t="s">
        <v>31</v>
      </c>
      <c r="P12335" t="str">
        <f>"15216"</f>
        <v>15216</v>
      </c>
    </row>
    <row r="12336" spans="1:16" x14ac:dyDescent="0.25">
      <c r="A12336" t="str">
        <f>"1180015S00186    00"</f>
        <v>1180015S00186    00</v>
      </c>
      <c r="B12336" t="s">
        <v>27126</v>
      </c>
      <c r="C12336" t="s">
        <v>27127</v>
      </c>
      <c r="D12336" t="s">
        <v>57</v>
      </c>
      <c r="E12336" t="s">
        <v>39</v>
      </c>
      <c r="F12336">
        <v>0</v>
      </c>
      <c r="G12336">
        <v>0</v>
      </c>
      <c r="H12336">
        <v>1</v>
      </c>
      <c r="I12336" s="3">
        <v>286.33999999999997</v>
      </c>
      <c r="J12336" s="3">
        <v>0</v>
      </c>
      <c r="K12336" t="s">
        <v>27128</v>
      </c>
      <c r="L12336">
        <v>523</v>
      </c>
      <c r="M12336" t="s">
        <v>4014</v>
      </c>
      <c r="N12336" t="s">
        <v>30</v>
      </c>
      <c r="O12336" t="s">
        <v>31</v>
      </c>
      <c r="P12336" t="str">
        <f>"15219"</f>
        <v>15219</v>
      </c>
    </row>
    <row r="12337" spans="1:16" x14ac:dyDescent="0.25">
      <c r="A12337" t="str">
        <f>"1180015S00192    00"</f>
        <v>1180015S00192    00</v>
      </c>
      <c r="B12337" t="s">
        <v>218</v>
      </c>
      <c r="C12337" t="s">
        <v>27129</v>
      </c>
      <c r="E12337" t="s">
        <v>39</v>
      </c>
      <c r="F12337">
        <v>0</v>
      </c>
      <c r="G12337">
        <v>0</v>
      </c>
      <c r="H12337">
        <v>15</v>
      </c>
      <c r="I12337" s="3">
        <v>10215.01</v>
      </c>
      <c r="J12337" s="3">
        <v>11219.07</v>
      </c>
      <c r="K12337" t="s">
        <v>220</v>
      </c>
      <c r="L12337">
        <v>412</v>
      </c>
      <c r="M12337" t="s">
        <v>221</v>
      </c>
      <c r="N12337" t="s">
        <v>30</v>
      </c>
      <c r="O12337" t="s">
        <v>31</v>
      </c>
      <c r="P12337" t="str">
        <f>"15219"</f>
        <v>15219</v>
      </c>
    </row>
    <row r="12338" spans="1:16" x14ac:dyDescent="0.25">
      <c r="A12338" t="str">
        <f>"1180015S00193    00"</f>
        <v>1180015S00193    00</v>
      </c>
      <c r="B12338" t="s">
        <v>27130</v>
      </c>
      <c r="C12338" t="s">
        <v>27131</v>
      </c>
      <c r="D12338" t="s">
        <v>20</v>
      </c>
      <c r="E12338" t="s">
        <v>39</v>
      </c>
      <c r="F12338">
        <v>0</v>
      </c>
      <c r="G12338">
        <v>0</v>
      </c>
      <c r="H12338">
        <v>2</v>
      </c>
      <c r="I12338" s="3">
        <v>238.27</v>
      </c>
      <c r="J12338" s="3">
        <v>0</v>
      </c>
      <c r="K12338" t="s">
        <v>27132</v>
      </c>
      <c r="L12338">
        <v>8469</v>
      </c>
      <c r="M12338" t="s">
        <v>27133</v>
      </c>
      <c r="N12338" t="s">
        <v>27134</v>
      </c>
      <c r="O12338" t="s">
        <v>495</v>
      </c>
      <c r="P12338" t="str">
        <f>"91942"</f>
        <v>91942</v>
      </c>
    </row>
    <row r="12339" spans="1:16" x14ac:dyDescent="0.25">
      <c r="A12339" t="str">
        <f>"1180015S00194    00"</f>
        <v>1180015S00194    00</v>
      </c>
      <c r="B12339" t="s">
        <v>27135</v>
      </c>
      <c r="C12339" t="s">
        <v>27136</v>
      </c>
      <c r="D12339" t="s">
        <v>20</v>
      </c>
      <c r="E12339" t="s">
        <v>39</v>
      </c>
      <c r="F12339">
        <v>0</v>
      </c>
      <c r="G12339">
        <v>0</v>
      </c>
      <c r="H12339">
        <v>2</v>
      </c>
      <c r="I12339" s="3">
        <v>594.66999999999996</v>
      </c>
      <c r="J12339" s="3">
        <v>0</v>
      </c>
      <c r="K12339" t="s">
        <v>27137</v>
      </c>
      <c r="L12339">
        <v>8469</v>
      </c>
      <c r="M12339" t="s">
        <v>27138</v>
      </c>
      <c r="N12339" t="s">
        <v>27134</v>
      </c>
      <c r="O12339" t="s">
        <v>495</v>
      </c>
      <c r="P12339" t="str">
        <f>"91942"</f>
        <v>91942</v>
      </c>
    </row>
    <row r="12340" spans="1:16" x14ac:dyDescent="0.25">
      <c r="A12340" t="str">
        <f>"1180015S00197    00"</f>
        <v>1180015S00197    00</v>
      </c>
      <c r="B12340" t="s">
        <v>218</v>
      </c>
      <c r="C12340" t="s">
        <v>27118</v>
      </c>
      <c r="E12340" t="s">
        <v>39</v>
      </c>
      <c r="F12340">
        <v>0</v>
      </c>
      <c r="G12340">
        <v>0</v>
      </c>
      <c r="H12340">
        <v>12</v>
      </c>
      <c r="I12340" s="3">
        <v>275.69</v>
      </c>
      <c r="J12340" s="3">
        <v>367.55</v>
      </c>
      <c r="K12340" t="s">
        <v>220</v>
      </c>
      <c r="L12340">
        <v>412</v>
      </c>
      <c r="M12340" t="s">
        <v>221</v>
      </c>
      <c r="N12340" t="s">
        <v>30</v>
      </c>
      <c r="O12340" t="s">
        <v>31</v>
      </c>
      <c r="P12340" t="str">
        <f>"15219"</f>
        <v>15219</v>
      </c>
    </row>
    <row r="12341" spans="1:16" x14ac:dyDescent="0.25">
      <c r="A12341" t="str">
        <f>"1180015S00198    00"</f>
        <v>1180015S00198    00</v>
      </c>
      <c r="B12341" t="s">
        <v>218</v>
      </c>
      <c r="C12341" t="s">
        <v>27139</v>
      </c>
      <c r="E12341" t="s">
        <v>39</v>
      </c>
      <c r="F12341">
        <v>0</v>
      </c>
      <c r="G12341">
        <v>0</v>
      </c>
      <c r="H12341">
        <v>12</v>
      </c>
      <c r="I12341" s="3">
        <v>311.43</v>
      </c>
      <c r="J12341" s="3">
        <v>420.31</v>
      </c>
      <c r="K12341" t="s">
        <v>220</v>
      </c>
      <c r="L12341">
        <v>412</v>
      </c>
      <c r="M12341" t="s">
        <v>221</v>
      </c>
      <c r="N12341" t="s">
        <v>30</v>
      </c>
      <c r="O12341" t="s">
        <v>31</v>
      </c>
      <c r="P12341" t="str">
        <f>"15219"</f>
        <v>15219</v>
      </c>
    </row>
    <row r="12342" spans="1:16" x14ac:dyDescent="0.25">
      <c r="A12342" t="str">
        <f>"1180015S00199    00"</f>
        <v>1180015S00199    00</v>
      </c>
      <c r="B12342" t="s">
        <v>218</v>
      </c>
      <c r="C12342" t="s">
        <v>27140</v>
      </c>
      <c r="E12342" t="s">
        <v>39</v>
      </c>
      <c r="F12342">
        <v>0</v>
      </c>
      <c r="G12342">
        <v>0</v>
      </c>
      <c r="H12342">
        <v>12</v>
      </c>
      <c r="I12342" s="3">
        <v>6310.37</v>
      </c>
      <c r="J12342" s="3">
        <v>4900.47</v>
      </c>
      <c r="K12342" t="s">
        <v>220</v>
      </c>
      <c r="L12342">
        <v>412</v>
      </c>
      <c r="M12342" t="s">
        <v>221</v>
      </c>
      <c r="N12342" t="s">
        <v>30</v>
      </c>
      <c r="O12342" t="s">
        <v>31</v>
      </c>
      <c r="P12342" t="str">
        <f>"15219"</f>
        <v>15219</v>
      </c>
    </row>
    <row r="12343" spans="1:16" x14ac:dyDescent="0.25">
      <c r="A12343" t="str">
        <f>"1180015S00200    00"</f>
        <v>1180015S00200    00</v>
      </c>
      <c r="B12343" t="s">
        <v>16104</v>
      </c>
      <c r="C12343" t="s">
        <v>27141</v>
      </c>
      <c r="D12343" t="s">
        <v>20</v>
      </c>
      <c r="E12343" t="s">
        <v>39</v>
      </c>
      <c r="F12343">
        <v>0</v>
      </c>
      <c r="G12343">
        <v>0</v>
      </c>
      <c r="H12343">
        <v>3</v>
      </c>
      <c r="I12343" s="3">
        <v>1645.51</v>
      </c>
      <c r="J12343" s="3">
        <v>414</v>
      </c>
      <c r="L12343">
        <v>8807</v>
      </c>
      <c r="M12343" t="s">
        <v>13958</v>
      </c>
      <c r="N12343" t="s">
        <v>30</v>
      </c>
      <c r="O12343" t="s">
        <v>31</v>
      </c>
      <c r="P12343" t="str">
        <f>"15221"</f>
        <v>15221</v>
      </c>
    </row>
    <row r="12344" spans="1:16" x14ac:dyDescent="0.25">
      <c r="A12344" t="str">
        <f>"1180033A00003    00"</f>
        <v>1180033A00003    00</v>
      </c>
      <c r="B12344" t="s">
        <v>27142</v>
      </c>
      <c r="C12344" t="s">
        <v>27143</v>
      </c>
      <c r="D12344" t="s">
        <v>20</v>
      </c>
      <c r="E12344" t="s">
        <v>39</v>
      </c>
      <c r="F12344">
        <v>0</v>
      </c>
      <c r="G12344">
        <v>0</v>
      </c>
      <c r="H12344">
        <v>2</v>
      </c>
      <c r="I12344" s="3">
        <v>389.42</v>
      </c>
      <c r="J12344" s="3">
        <v>0</v>
      </c>
      <c r="L12344">
        <v>425</v>
      </c>
      <c r="M12344" t="s">
        <v>27144</v>
      </c>
      <c r="N12344" t="s">
        <v>30</v>
      </c>
      <c r="O12344" t="s">
        <v>31</v>
      </c>
      <c r="P12344" t="str">
        <f>"15210"</f>
        <v>15210</v>
      </c>
    </row>
    <row r="12345" spans="1:16" x14ac:dyDescent="0.25">
      <c r="A12345" t="str">
        <f>"1180033E00014    00"</f>
        <v>1180033E00014    00</v>
      </c>
      <c r="B12345" t="s">
        <v>16192</v>
      </c>
      <c r="C12345" t="s">
        <v>27145</v>
      </c>
      <c r="D12345" t="s">
        <v>20</v>
      </c>
      <c r="E12345" t="s">
        <v>39</v>
      </c>
      <c r="F12345">
        <v>0</v>
      </c>
      <c r="G12345">
        <v>0</v>
      </c>
      <c r="H12345">
        <v>1</v>
      </c>
      <c r="I12345" s="3">
        <v>987.33</v>
      </c>
      <c r="J12345" s="3">
        <v>0</v>
      </c>
      <c r="K12345" t="s">
        <v>16194</v>
      </c>
      <c r="L12345">
        <v>7526</v>
      </c>
      <c r="M12345" t="s">
        <v>13523</v>
      </c>
      <c r="N12345" t="s">
        <v>30</v>
      </c>
      <c r="O12345" t="s">
        <v>31</v>
      </c>
      <c r="P12345" t="str">
        <f>"15208"</f>
        <v>15208</v>
      </c>
    </row>
    <row r="12346" spans="1:16" x14ac:dyDescent="0.25">
      <c r="A12346" t="str">
        <f>"1180033E00102    00"</f>
        <v>1180033E00102    00</v>
      </c>
      <c r="B12346" t="s">
        <v>27146</v>
      </c>
      <c r="C12346" t="s">
        <v>27147</v>
      </c>
      <c r="D12346" t="s">
        <v>20</v>
      </c>
      <c r="E12346" t="s">
        <v>39</v>
      </c>
      <c r="F12346">
        <v>0</v>
      </c>
      <c r="G12346">
        <v>0</v>
      </c>
      <c r="H12346">
        <v>7</v>
      </c>
      <c r="I12346" s="3">
        <v>4679.3900000000003</v>
      </c>
      <c r="J12346" s="3">
        <v>1682.61</v>
      </c>
      <c r="L12346">
        <v>109</v>
      </c>
      <c r="M12346" t="s">
        <v>26618</v>
      </c>
      <c r="N12346" t="s">
        <v>30</v>
      </c>
      <c r="O12346" t="s">
        <v>31</v>
      </c>
      <c r="P12346" t="str">
        <f>"15210"</f>
        <v>15210</v>
      </c>
    </row>
    <row r="12347" spans="1:16" x14ac:dyDescent="0.25">
      <c r="A12347" t="str">
        <f>"1180033E00110    00"</f>
        <v>1180033E00110    00</v>
      </c>
      <c r="B12347" t="s">
        <v>27148</v>
      </c>
      <c r="C12347" t="s">
        <v>27149</v>
      </c>
      <c r="D12347" t="s">
        <v>20</v>
      </c>
      <c r="E12347" t="s">
        <v>39</v>
      </c>
      <c r="F12347">
        <v>0</v>
      </c>
      <c r="G12347">
        <v>0</v>
      </c>
      <c r="H12347">
        <v>1</v>
      </c>
      <c r="I12347" s="3">
        <v>989.23</v>
      </c>
      <c r="J12347" s="3">
        <v>0</v>
      </c>
      <c r="L12347">
        <v>405</v>
      </c>
      <c r="M12347" t="s">
        <v>27150</v>
      </c>
      <c r="N12347" t="s">
        <v>30</v>
      </c>
      <c r="O12347" t="s">
        <v>31</v>
      </c>
      <c r="P12347" t="str">
        <f>"15227"</f>
        <v>15227</v>
      </c>
    </row>
    <row r="12348" spans="1:16" x14ac:dyDescent="0.25">
      <c r="A12348" t="str">
        <f>"1180033E00118    00"</f>
        <v>1180033E00118    00</v>
      </c>
      <c r="B12348" t="s">
        <v>27151</v>
      </c>
      <c r="C12348" t="s">
        <v>27152</v>
      </c>
      <c r="D12348" t="s">
        <v>20</v>
      </c>
      <c r="E12348" t="s">
        <v>39</v>
      </c>
      <c r="F12348">
        <v>0</v>
      </c>
      <c r="G12348">
        <v>0</v>
      </c>
      <c r="H12348">
        <v>1</v>
      </c>
      <c r="I12348" s="3">
        <v>1444.77</v>
      </c>
      <c r="J12348" s="3">
        <v>0</v>
      </c>
      <c r="L12348">
        <v>114</v>
      </c>
      <c r="M12348" t="s">
        <v>24933</v>
      </c>
      <c r="N12348" t="s">
        <v>30</v>
      </c>
      <c r="O12348" t="s">
        <v>31</v>
      </c>
      <c r="P12348" t="str">
        <f>"15210"</f>
        <v>15210</v>
      </c>
    </row>
    <row r="12349" spans="1:16" x14ac:dyDescent="0.25">
      <c r="A12349" t="str">
        <f>"1180033E00127    00"</f>
        <v>1180033E00127    00</v>
      </c>
      <c r="B12349" t="s">
        <v>27153</v>
      </c>
      <c r="C12349" t="s">
        <v>27154</v>
      </c>
      <c r="E12349" t="s">
        <v>39</v>
      </c>
      <c r="F12349">
        <v>0</v>
      </c>
      <c r="G12349">
        <v>0</v>
      </c>
      <c r="H12349">
        <v>1</v>
      </c>
      <c r="I12349" s="3">
        <v>154.11000000000001</v>
      </c>
      <c r="J12349" s="3">
        <v>0</v>
      </c>
      <c r="K12349" t="s">
        <v>27155</v>
      </c>
      <c r="L12349">
        <v>3812</v>
      </c>
      <c r="M12349" t="s">
        <v>8048</v>
      </c>
      <c r="N12349" t="s">
        <v>30</v>
      </c>
      <c r="O12349" t="s">
        <v>31</v>
      </c>
      <c r="P12349" t="str">
        <f>"15227"</f>
        <v>15227</v>
      </c>
    </row>
    <row r="12350" spans="1:16" x14ac:dyDescent="0.25">
      <c r="A12350" t="str">
        <f>"1180033E00148    00"</f>
        <v>1180033E00148    00</v>
      </c>
      <c r="B12350" t="s">
        <v>27156</v>
      </c>
      <c r="C12350" t="s">
        <v>27157</v>
      </c>
      <c r="D12350" t="s">
        <v>20</v>
      </c>
      <c r="E12350" t="s">
        <v>39</v>
      </c>
      <c r="F12350">
        <v>0</v>
      </c>
      <c r="G12350">
        <v>0</v>
      </c>
      <c r="H12350">
        <v>17</v>
      </c>
      <c r="I12350" s="3">
        <v>5244.18</v>
      </c>
      <c r="J12350" s="3">
        <v>5450.87</v>
      </c>
      <c r="L12350">
        <v>114</v>
      </c>
      <c r="M12350" t="s">
        <v>27158</v>
      </c>
      <c r="N12350" t="s">
        <v>30</v>
      </c>
      <c r="O12350" t="s">
        <v>31</v>
      </c>
      <c r="P12350" t="str">
        <f>"15210"</f>
        <v>15210</v>
      </c>
    </row>
    <row r="12351" spans="1:16" x14ac:dyDescent="0.25">
      <c r="A12351" t="str">
        <f>"1180033E00149    00"</f>
        <v>1180033E00149    00</v>
      </c>
      <c r="B12351" t="s">
        <v>27159</v>
      </c>
      <c r="C12351" t="s">
        <v>27160</v>
      </c>
      <c r="D12351" t="s">
        <v>20</v>
      </c>
      <c r="E12351" t="s">
        <v>39</v>
      </c>
      <c r="F12351">
        <v>0</v>
      </c>
      <c r="G12351">
        <v>0</v>
      </c>
      <c r="H12351">
        <v>19</v>
      </c>
      <c r="I12351" s="3">
        <v>1454.31</v>
      </c>
      <c r="J12351" s="3">
        <v>967.99</v>
      </c>
      <c r="L12351">
        <v>113</v>
      </c>
      <c r="M12351" t="s">
        <v>27161</v>
      </c>
      <c r="N12351" t="s">
        <v>30</v>
      </c>
      <c r="O12351" t="s">
        <v>31</v>
      </c>
      <c r="P12351" t="str">
        <f>"15210"</f>
        <v>15210</v>
      </c>
    </row>
    <row r="12352" spans="1:16" x14ac:dyDescent="0.25">
      <c r="A12352" t="str">
        <f>"1180033E00150    00"</f>
        <v>1180033E00150    00</v>
      </c>
      <c r="B12352" t="s">
        <v>27159</v>
      </c>
      <c r="C12352" t="s">
        <v>27160</v>
      </c>
      <c r="D12352" t="s">
        <v>20</v>
      </c>
      <c r="E12352" t="s">
        <v>39</v>
      </c>
      <c r="F12352">
        <v>0</v>
      </c>
      <c r="G12352">
        <v>0</v>
      </c>
      <c r="H12352">
        <v>19</v>
      </c>
      <c r="I12352" s="3">
        <v>1344.37</v>
      </c>
      <c r="J12352" s="3">
        <v>910.15</v>
      </c>
      <c r="L12352">
        <v>113</v>
      </c>
      <c r="M12352" t="s">
        <v>27161</v>
      </c>
      <c r="N12352" t="s">
        <v>30</v>
      </c>
      <c r="O12352" t="s">
        <v>31</v>
      </c>
      <c r="P12352" t="str">
        <f>"15210"</f>
        <v>15210</v>
      </c>
    </row>
    <row r="12353" spans="1:16" x14ac:dyDescent="0.25">
      <c r="A12353" t="str">
        <f>"1180033E00156    00"</f>
        <v>1180033E00156    00</v>
      </c>
      <c r="B12353" t="s">
        <v>27162</v>
      </c>
      <c r="C12353" t="s">
        <v>27160</v>
      </c>
      <c r="D12353" t="s">
        <v>20</v>
      </c>
      <c r="E12353" t="s">
        <v>39</v>
      </c>
      <c r="F12353">
        <v>0</v>
      </c>
      <c r="G12353">
        <v>0</v>
      </c>
      <c r="H12353">
        <v>19</v>
      </c>
      <c r="I12353" s="3">
        <v>6322.03</v>
      </c>
      <c r="J12353" s="3">
        <v>5062.34</v>
      </c>
      <c r="M12353" t="s">
        <v>27163</v>
      </c>
      <c r="N12353" t="s">
        <v>30</v>
      </c>
      <c r="O12353" t="s">
        <v>31</v>
      </c>
      <c r="P12353" t="str">
        <f>"15236"</f>
        <v>15236</v>
      </c>
    </row>
    <row r="12354" spans="1:16" x14ac:dyDescent="0.25">
      <c r="A12354" t="str">
        <f>"1180033E00157    00"</f>
        <v>1180033E00157    00</v>
      </c>
      <c r="B12354" t="s">
        <v>27159</v>
      </c>
      <c r="C12354" t="s">
        <v>27160</v>
      </c>
      <c r="D12354" t="s">
        <v>20</v>
      </c>
      <c r="E12354" t="s">
        <v>39</v>
      </c>
      <c r="F12354">
        <v>0</v>
      </c>
      <c r="G12354">
        <v>0</v>
      </c>
      <c r="H12354">
        <v>19</v>
      </c>
      <c r="I12354" s="3">
        <v>2364.41</v>
      </c>
      <c r="J12354" s="3">
        <v>1514.4</v>
      </c>
      <c r="L12354">
        <v>113</v>
      </c>
      <c r="M12354" t="s">
        <v>27161</v>
      </c>
      <c r="N12354" t="s">
        <v>30</v>
      </c>
      <c r="O12354" t="s">
        <v>31</v>
      </c>
      <c r="P12354" t="str">
        <f>"15210"</f>
        <v>15210</v>
      </c>
    </row>
    <row r="12355" spans="1:16" x14ac:dyDescent="0.25">
      <c r="A12355" t="str">
        <f>"1180033E00159    00"</f>
        <v>1180033E00159    00</v>
      </c>
      <c r="B12355" t="s">
        <v>27159</v>
      </c>
      <c r="C12355" t="s">
        <v>27164</v>
      </c>
      <c r="D12355" t="s">
        <v>20</v>
      </c>
      <c r="E12355" t="s">
        <v>39</v>
      </c>
      <c r="F12355">
        <v>0</v>
      </c>
      <c r="G12355">
        <v>0</v>
      </c>
      <c r="H12355">
        <v>19</v>
      </c>
      <c r="I12355" s="3">
        <v>1633.07</v>
      </c>
      <c r="J12355" s="3">
        <v>1084.6199999999999</v>
      </c>
      <c r="L12355">
        <v>113</v>
      </c>
      <c r="M12355" t="s">
        <v>27161</v>
      </c>
      <c r="N12355" t="s">
        <v>30</v>
      </c>
      <c r="O12355" t="s">
        <v>31</v>
      </c>
      <c r="P12355" t="str">
        <f>"15210"</f>
        <v>15210</v>
      </c>
    </row>
    <row r="12356" spans="1:16" x14ac:dyDescent="0.25">
      <c r="A12356" t="str">
        <f>"1180033E00163    00"</f>
        <v>1180033E00163    00</v>
      </c>
      <c r="B12356" t="s">
        <v>27159</v>
      </c>
      <c r="C12356" t="s">
        <v>27164</v>
      </c>
      <c r="D12356" t="s">
        <v>20</v>
      </c>
      <c r="E12356" t="s">
        <v>39</v>
      </c>
      <c r="F12356">
        <v>0</v>
      </c>
      <c r="G12356">
        <v>0</v>
      </c>
      <c r="H12356">
        <v>19</v>
      </c>
      <c r="I12356" s="3">
        <v>24097.65</v>
      </c>
      <c r="J12356" s="3">
        <v>21765.19</v>
      </c>
      <c r="L12356">
        <v>113</v>
      </c>
      <c r="M12356" t="s">
        <v>27161</v>
      </c>
      <c r="N12356" t="s">
        <v>30</v>
      </c>
      <c r="O12356" t="s">
        <v>31</v>
      </c>
      <c r="P12356" t="str">
        <f>"15210"</f>
        <v>15210</v>
      </c>
    </row>
    <row r="12357" spans="1:16" x14ac:dyDescent="0.25">
      <c r="A12357" t="str">
        <f>"1180033J00011    00"</f>
        <v>1180033J00011    00</v>
      </c>
      <c r="B12357" t="s">
        <v>27165</v>
      </c>
      <c r="C12357" t="s">
        <v>27166</v>
      </c>
      <c r="D12357" t="s">
        <v>57</v>
      </c>
      <c r="E12357" t="s">
        <v>39</v>
      </c>
      <c r="F12357">
        <v>0</v>
      </c>
      <c r="G12357">
        <v>0</v>
      </c>
      <c r="H12357">
        <v>1</v>
      </c>
      <c r="I12357" s="3">
        <v>234.94</v>
      </c>
      <c r="J12357" s="3">
        <v>0</v>
      </c>
      <c r="L12357">
        <v>2148</v>
      </c>
      <c r="M12357" t="s">
        <v>26687</v>
      </c>
      <c r="N12357" t="s">
        <v>30</v>
      </c>
      <c r="O12357" t="s">
        <v>31</v>
      </c>
      <c r="P12357" t="str">
        <f>"15210"</f>
        <v>15210</v>
      </c>
    </row>
    <row r="12358" spans="1:16" x14ac:dyDescent="0.25">
      <c r="A12358" t="str">
        <f>"1180033J00020    00"</f>
        <v>1180033J00020    00</v>
      </c>
      <c r="B12358" t="s">
        <v>27167</v>
      </c>
      <c r="C12358" t="s">
        <v>27168</v>
      </c>
      <c r="D12358" t="s">
        <v>20</v>
      </c>
      <c r="E12358" t="s">
        <v>39</v>
      </c>
      <c r="F12358">
        <v>0</v>
      </c>
      <c r="G12358">
        <v>0</v>
      </c>
      <c r="H12358">
        <v>5</v>
      </c>
      <c r="I12358" s="3">
        <v>5859.33</v>
      </c>
      <c r="J12358" s="3">
        <v>1012.27</v>
      </c>
      <c r="L12358">
        <v>400</v>
      </c>
      <c r="M12358" t="s">
        <v>27169</v>
      </c>
      <c r="N12358" t="s">
        <v>1210</v>
      </c>
      <c r="O12358" t="s">
        <v>495</v>
      </c>
      <c r="P12358" t="str">
        <f>"94102"</f>
        <v>94102</v>
      </c>
    </row>
    <row r="12359" spans="1:16" x14ac:dyDescent="0.25">
      <c r="A12359" t="str">
        <f>"1180033J00033    00"</f>
        <v>1180033J00033    00</v>
      </c>
      <c r="B12359" t="s">
        <v>27170</v>
      </c>
      <c r="C12359" t="s">
        <v>27171</v>
      </c>
      <c r="E12359" t="s">
        <v>39</v>
      </c>
      <c r="F12359">
        <v>0</v>
      </c>
      <c r="G12359">
        <v>0</v>
      </c>
      <c r="H12359">
        <v>1</v>
      </c>
      <c r="I12359" s="3">
        <v>647.54</v>
      </c>
      <c r="J12359" s="3">
        <v>0</v>
      </c>
      <c r="L12359">
        <v>213</v>
      </c>
      <c r="M12359" t="s">
        <v>26618</v>
      </c>
      <c r="N12359" t="s">
        <v>30</v>
      </c>
      <c r="O12359" t="s">
        <v>31</v>
      </c>
      <c r="P12359" t="str">
        <f>"15210"</f>
        <v>15210</v>
      </c>
    </row>
    <row r="12360" spans="1:16" x14ac:dyDescent="0.25">
      <c r="A12360" t="str">
        <f>"1180033J00044    00"</f>
        <v>1180033J00044    00</v>
      </c>
      <c r="B12360" t="s">
        <v>27172</v>
      </c>
      <c r="C12360" t="s">
        <v>27173</v>
      </c>
      <c r="D12360" t="s">
        <v>20</v>
      </c>
      <c r="E12360" t="s">
        <v>39</v>
      </c>
      <c r="F12360">
        <v>0</v>
      </c>
      <c r="G12360">
        <v>0</v>
      </c>
      <c r="H12360">
        <v>1</v>
      </c>
      <c r="I12360" s="3">
        <v>832.94</v>
      </c>
      <c r="J12360" s="3">
        <v>0</v>
      </c>
      <c r="L12360">
        <v>3812</v>
      </c>
      <c r="M12360" t="s">
        <v>8048</v>
      </c>
      <c r="N12360" t="s">
        <v>30</v>
      </c>
      <c r="O12360" t="s">
        <v>31</v>
      </c>
      <c r="P12360" t="str">
        <f>"15227"</f>
        <v>15227</v>
      </c>
    </row>
    <row r="12361" spans="1:16" x14ac:dyDescent="0.25">
      <c r="A12361" t="str">
        <f>"1180033J00048    00"</f>
        <v>1180033J00048    00</v>
      </c>
      <c r="B12361" t="s">
        <v>27174</v>
      </c>
      <c r="C12361" t="s">
        <v>27175</v>
      </c>
      <c r="D12361" t="s">
        <v>20</v>
      </c>
      <c r="E12361" t="s">
        <v>39</v>
      </c>
      <c r="F12361">
        <v>0</v>
      </c>
      <c r="G12361">
        <v>0</v>
      </c>
      <c r="H12361">
        <v>5</v>
      </c>
      <c r="I12361" s="3">
        <v>2824.89</v>
      </c>
      <c r="J12361" s="3">
        <v>405.2</v>
      </c>
      <c r="L12361">
        <v>222</v>
      </c>
      <c r="M12361" t="s">
        <v>24933</v>
      </c>
      <c r="N12361" t="s">
        <v>30</v>
      </c>
      <c r="O12361" t="s">
        <v>31</v>
      </c>
      <c r="P12361" t="str">
        <f>"15210"</f>
        <v>15210</v>
      </c>
    </row>
    <row r="12362" spans="1:16" x14ac:dyDescent="0.25">
      <c r="A12362" t="str">
        <f>"1180033J00060    00"</f>
        <v>1180033J00060    00</v>
      </c>
      <c r="B12362" t="s">
        <v>27176</v>
      </c>
      <c r="C12362" t="s">
        <v>27177</v>
      </c>
      <c r="E12362" t="s">
        <v>39</v>
      </c>
      <c r="F12362">
        <v>0</v>
      </c>
      <c r="G12362">
        <v>0</v>
      </c>
      <c r="H12362">
        <v>3</v>
      </c>
      <c r="I12362" s="3">
        <v>2774.65</v>
      </c>
      <c r="J12362" s="3">
        <v>3004.9</v>
      </c>
      <c r="M12362" t="s">
        <v>10286</v>
      </c>
      <c r="N12362" t="s">
        <v>30</v>
      </c>
      <c r="O12362" t="s">
        <v>31</v>
      </c>
      <c r="P12362" t="str">
        <f>"15217"</f>
        <v>15217</v>
      </c>
    </row>
    <row r="12363" spans="1:16" x14ac:dyDescent="0.25">
      <c r="A12363" t="str">
        <f>"1180033J00062    00"</f>
        <v>1180033J00062    00</v>
      </c>
      <c r="B12363" t="s">
        <v>27178</v>
      </c>
      <c r="C12363" t="s">
        <v>27179</v>
      </c>
      <c r="D12363" t="s">
        <v>20</v>
      </c>
      <c r="E12363" t="s">
        <v>39</v>
      </c>
      <c r="F12363">
        <v>0</v>
      </c>
      <c r="G12363">
        <v>0</v>
      </c>
      <c r="H12363">
        <v>9</v>
      </c>
      <c r="I12363" s="3">
        <v>4594.1899999999996</v>
      </c>
      <c r="J12363" s="3">
        <v>1702.39</v>
      </c>
      <c r="L12363">
        <v>250</v>
      </c>
      <c r="M12363" t="s">
        <v>24933</v>
      </c>
      <c r="N12363" t="s">
        <v>30</v>
      </c>
      <c r="O12363" t="s">
        <v>31</v>
      </c>
      <c r="P12363" t="str">
        <f>"15210"</f>
        <v>15210</v>
      </c>
    </row>
    <row r="12364" spans="1:16" x14ac:dyDescent="0.25">
      <c r="A12364" t="str">
        <f>"1180033J00066    00"</f>
        <v>1180033J00066    00</v>
      </c>
      <c r="B12364" t="s">
        <v>27180</v>
      </c>
      <c r="C12364" t="s">
        <v>27181</v>
      </c>
      <c r="D12364" t="s">
        <v>20</v>
      </c>
      <c r="E12364" t="s">
        <v>39</v>
      </c>
      <c r="F12364">
        <v>0</v>
      </c>
      <c r="G12364">
        <v>0</v>
      </c>
      <c r="H12364">
        <v>5</v>
      </c>
      <c r="I12364" s="3">
        <v>655.04999999999995</v>
      </c>
      <c r="J12364" s="3">
        <v>124.67</v>
      </c>
      <c r="K12364" t="s">
        <v>403</v>
      </c>
      <c r="L12364">
        <v>3001</v>
      </c>
      <c r="M12364" t="s">
        <v>404</v>
      </c>
      <c r="N12364" t="s">
        <v>331</v>
      </c>
      <c r="O12364" t="s">
        <v>108</v>
      </c>
      <c r="P12364" t="str">
        <f>"75063"</f>
        <v>75063</v>
      </c>
    </row>
    <row r="12365" spans="1:16" x14ac:dyDescent="0.25">
      <c r="A12365" t="str">
        <f>"1180033J00077    00"</f>
        <v>1180033J00077    00</v>
      </c>
      <c r="B12365" t="s">
        <v>27182</v>
      </c>
      <c r="C12365" t="s">
        <v>27183</v>
      </c>
      <c r="D12365" t="s">
        <v>20</v>
      </c>
      <c r="E12365" t="s">
        <v>39</v>
      </c>
      <c r="F12365">
        <v>0</v>
      </c>
      <c r="G12365">
        <v>0</v>
      </c>
      <c r="H12365">
        <v>3</v>
      </c>
      <c r="I12365" s="3">
        <v>3407.16</v>
      </c>
      <c r="J12365" s="3">
        <v>17.399999999999999</v>
      </c>
      <c r="L12365">
        <v>330</v>
      </c>
      <c r="M12365" t="s">
        <v>24933</v>
      </c>
      <c r="N12365" t="s">
        <v>30</v>
      </c>
      <c r="O12365" t="s">
        <v>31</v>
      </c>
      <c r="P12365" t="str">
        <f>"15210"</f>
        <v>15210</v>
      </c>
    </row>
    <row r="12366" spans="1:16" x14ac:dyDescent="0.25">
      <c r="A12366" t="str">
        <f>"1180033J00143    00"</f>
        <v>1180033J00143    00</v>
      </c>
      <c r="B12366" t="s">
        <v>27184</v>
      </c>
      <c r="C12366" t="s">
        <v>27185</v>
      </c>
      <c r="D12366" t="s">
        <v>20</v>
      </c>
      <c r="E12366" t="s">
        <v>39</v>
      </c>
      <c r="F12366">
        <v>0</v>
      </c>
      <c r="G12366">
        <v>0</v>
      </c>
      <c r="H12366">
        <v>6</v>
      </c>
      <c r="I12366" s="3">
        <v>3937.18</v>
      </c>
      <c r="J12366" s="3">
        <v>900.53</v>
      </c>
      <c r="L12366">
        <v>305</v>
      </c>
      <c r="M12366" t="s">
        <v>24933</v>
      </c>
      <c r="N12366" t="s">
        <v>30</v>
      </c>
      <c r="O12366" t="s">
        <v>31</v>
      </c>
      <c r="P12366" t="str">
        <f>"15210"</f>
        <v>15210</v>
      </c>
    </row>
    <row r="12367" spans="1:16" x14ac:dyDescent="0.25">
      <c r="A12367" t="str">
        <f>"1180033J00155    00"</f>
        <v>1180033J00155    00</v>
      </c>
      <c r="B12367" t="s">
        <v>27186</v>
      </c>
      <c r="C12367" t="s">
        <v>27187</v>
      </c>
      <c r="D12367" t="s">
        <v>20</v>
      </c>
      <c r="E12367" t="s">
        <v>39</v>
      </c>
      <c r="F12367">
        <v>0</v>
      </c>
      <c r="G12367">
        <v>0</v>
      </c>
      <c r="H12367">
        <v>9</v>
      </c>
      <c r="I12367" s="3">
        <v>875.46</v>
      </c>
      <c r="J12367" s="3">
        <v>330.36</v>
      </c>
      <c r="K12367" t="s">
        <v>27188</v>
      </c>
      <c r="L12367">
        <v>124</v>
      </c>
      <c r="M12367" t="s">
        <v>27189</v>
      </c>
      <c r="N12367" t="s">
        <v>30</v>
      </c>
      <c r="O12367" t="s">
        <v>31</v>
      </c>
      <c r="P12367" t="str">
        <f>"15210"</f>
        <v>15210</v>
      </c>
    </row>
    <row r="12368" spans="1:16" x14ac:dyDescent="0.25">
      <c r="A12368" t="str">
        <f>"1180033J00161    00"</f>
        <v>1180033J00161    00</v>
      </c>
      <c r="B12368" t="s">
        <v>27190</v>
      </c>
      <c r="C12368" t="s">
        <v>27191</v>
      </c>
      <c r="D12368" t="s">
        <v>20</v>
      </c>
      <c r="E12368" t="s">
        <v>39</v>
      </c>
      <c r="F12368">
        <v>0</v>
      </c>
      <c r="G12368">
        <v>0</v>
      </c>
      <c r="H12368">
        <v>2</v>
      </c>
      <c r="I12368" s="3">
        <v>892.04</v>
      </c>
      <c r="J12368" s="3">
        <v>0</v>
      </c>
      <c r="L12368">
        <v>415</v>
      </c>
      <c r="M12368" t="s">
        <v>22783</v>
      </c>
      <c r="N12368" t="s">
        <v>30</v>
      </c>
      <c r="O12368" t="s">
        <v>31</v>
      </c>
      <c r="P12368" t="str">
        <f>"15211"</f>
        <v>15211</v>
      </c>
    </row>
    <row r="12369" spans="1:16" x14ac:dyDescent="0.25">
      <c r="A12369" t="str">
        <f>"1180033J00164    00"</f>
        <v>1180033J00164    00</v>
      </c>
      <c r="B12369" t="s">
        <v>27192</v>
      </c>
      <c r="C12369" t="s">
        <v>27193</v>
      </c>
      <c r="D12369" t="s">
        <v>20</v>
      </c>
      <c r="E12369" t="s">
        <v>39</v>
      </c>
      <c r="F12369">
        <v>0</v>
      </c>
      <c r="G12369">
        <v>0</v>
      </c>
      <c r="H12369">
        <v>15</v>
      </c>
      <c r="I12369" s="3">
        <v>9962.2199999999993</v>
      </c>
      <c r="J12369" s="3">
        <v>7204.85</v>
      </c>
      <c r="L12369">
        <v>117</v>
      </c>
      <c r="M12369" t="s">
        <v>27189</v>
      </c>
      <c r="N12369" t="s">
        <v>30</v>
      </c>
      <c r="O12369" t="s">
        <v>31</v>
      </c>
      <c r="P12369" t="str">
        <f>"15210"</f>
        <v>15210</v>
      </c>
    </row>
    <row r="12370" spans="1:16" x14ac:dyDescent="0.25">
      <c r="A12370" t="str">
        <f>"1180033J00180    00"</f>
        <v>1180033J00180    00</v>
      </c>
      <c r="B12370" t="s">
        <v>27194</v>
      </c>
      <c r="C12370" t="s">
        <v>27195</v>
      </c>
      <c r="D12370" t="s">
        <v>20</v>
      </c>
      <c r="E12370" t="s">
        <v>39</v>
      </c>
      <c r="F12370">
        <v>0</v>
      </c>
      <c r="G12370">
        <v>0</v>
      </c>
      <c r="H12370">
        <v>7</v>
      </c>
      <c r="I12370" s="3">
        <v>2423.9899999999998</v>
      </c>
      <c r="J12370" s="3">
        <v>718.39</v>
      </c>
      <c r="L12370">
        <v>109</v>
      </c>
      <c r="M12370" t="s">
        <v>27196</v>
      </c>
      <c r="N12370" t="s">
        <v>625</v>
      </c>
      <c r="O12370" t="s">
        <v>31</v>
      </c>
      <c r="P12370" t="str">
        <f>"15108"</f>
        <v>15108</v>
      </c>
    </row>
    <row r="12371" spans="1:16" x14ac:dyDescent="0.25">
      <c r="A12371" t="str">
        <f>"1180033J00200    00"</f>
        <v>1180033J00200    00</v>
      </c>
      <c r="B12371" t="s">
        <v>27197</v>
      </c>
      <c r="C12371" t="s">
        <v>27198</v>
      </c>
      <c r="D12371" t="s">
        <v>20</v>
      </c>
      <c r="E12371" t="s">
        <v>39</v>
      </c>
      <c r="F12371">
        <v>0</v>
      </c>
      <c r="G12371">
        <v>0</v>
      </c>
      <c r="H12371">
        <v>5</v>
      </c>
      <c r="I12371" s="3">
        <v>3699.59</v>
      </c>
      <c r="J12371" s="3">
        <v>588.36</v>
      </c>
      <c r="L12371">
        <v>117</v>
      </c>
      <c r="M12371" t="s">
        <v>27199</v>
      </c>
      <c r="N12371" t="s">
        <v>30</v>
      </c>
      <c r="O12371" t="s">
        <v>31</v>
      </c>
      <c r="P12371" t="str">
        <f t="shared" ref="P12371:P12378" si="153">"15210"</f>
        <v>15210</v>
      </c>
    </row>
    <row r="12372" spans="1:16" x14ac:dyDescent="0.25">
      <c r="A12372" t="str">
        <f>"1180033N00023    00"</f>
        <v>1180033N00023    00</v>
      </c>
      <c r="B12372" t="s">
        <v>27200</v>
      </c>
      <c r="C12372" t="s">
        <v>27201</v>
      </c>
      <c r="D12372" t="s">
        <v>20</v>
      </c>
      <c r="E12372" t="s">
        <v>39</v>
      </c>
      <c r="F12372">
        <v>0</v>
      </c>
      <c r="G12372">
        <v>0</v>
      </c>
      <c r="H12372">
        <v>2</v>
      </c>
      <c r="I12372" s="3">
        <v>909.45</v>
      </c>
      <c r="J12372" s="3">
        <v>0</v>
      </c>
      <c r="L12372">
        <v>413</v>
      </c>
      <c r="M12372" t="s">
        <v>26618</v>
      </c>
      <c r="N12372" t="s">
        <v>30</v>
      </c>
      <c r="O12372" t="s">
        <v>31</v>
      </c>
      <c r="P12372" t="str">
        <f t="shared" si="153"/>
        <v>15210</v>
      </c>
    </row>
    <row r="12373" spans="1:16" x14ac:dyDescent="0.25">
      <c r="A12373" t="str">
        <f>"1180033N00061    00"</f>
        <v>1180033N00061    00</v>
      </c>
      <c r="B12373" t="s">
        <v>27202</v>
      </c>
      <c r="C12373" t="s">
        <v>27203</v>
      </c>
      <c r="E12373" t="s">
        <v>39</v>
      </c>
      <c r="F12373">
        <v>0</v>
      </c>
      <c r="G12373">
        <v>0</v>
      </c>
      <c r="H12373">
        <v>1</v>
      </c>
      <c r="I12373" s="3">
        <v>1142.23</v>
      </c>
      <c r="J12373" s="3">
        <v>0</v>
      </c>
      <c r="L12373">
        <v>408</v>
      </c>
      <c r="M12373" t="s">
        <v>24933</v>
      </c>
      <c r="N12373" t="s">
        <v>30</v>
      </c>
      <c r="O12373" t="s">
        <v>31</v>
      </c>
      <c r="P12373" t="str">
        <f t="shared" si="153"/>
        <v>15210</v>
      </c>
    </row>
    <row r="12374" spans="1:16" x14ac:dyDescent="0.25">
      <c r="A12374" t="str">
        <f>"1180033N00069    00"</f>
        <v>1180033N00069    00</v>
      </c>
      <c r="B12374" t="s">
        <v>24931</v>
      </c>
      <c r="C12374" t="s">
        <v>27204</v>
      </c>
      <c r="D12374" t="s">
        <v>20</v>
      </c>
      <c r="E12374" t="s">
        <v>39</v>
      </c>
      <c r="F12374">
        <v>0</v>
      </c>
      <c r="G12374">
        <v>0</v>
      </c>
      <c r="H12374">
        <v>1</v>
      </c>
      <c r="I12374" s="3">
        <v>1381.86</v>
      </c>
      <c r="J12374" s="3">
        <v>0</v>
      </c>
      <c r="K12374" t="s">
        <v>24932</v>
      </c>
      <c r="L12374">
        <v>426</v>
      </c>
      <c r="M12374" t="s">
        <v>24933</v>
      </c>
      <c r="N12374" t="s">
        <v>30</v>
      </c>
      <c r="O12374" t="s">
        <v>31</v>
      </c>
      <c r="P12374" t="str">
        <f t="shared" si="153"/>
        <v>15210</v>
      </c>
    </row>
    <row r="12375" spans="1:16" x14ac:dyDescent="0.25">
      <c r="A12375" t="str">
        <f>"1180033N00090    00"</f>
        <v>1180033N00090    00</v>
      </c>
      <c r="B12375" t="s">
        <v>27205</v>
      </c>
      <c r="C12375" t="s">
        <v>27206</v>
      </c>
      <c r="E12375" t="s">
        <v>39</v>
      </c>
      <c r="F12375">
        <v>0</v>
      </c>
      <c r="G12375">
        <v>0</v>
      </c>
      <c r="H12375">
        <v>1</v>
      </c>
      <c r="I12375" s="3">
        <v>269.94</v>
      </c>
      <c r="J12375" s="3">
        <v>0</v>
      </c>
      <c r="K12375" t="s">
        <v>27207</v>
      </c>
      <c r="L12375">
        <v>441</v>
      </c>
      <c r="M12375" t="s">
        <v>24933</v>
      </c>
      <c r="N12375" t="s">
        <v>30</v>
      </c>
      <c r="O12375" t="s">
        <v>31</v>
      </c>
      <c r="P12375" t="str">
        <f t="shared" si="153"/>
        <v>15210</v>
      </c>
    </row>
    <row r="12376" spans="1:16" x14ac:dyDescent="0.25">
      <c r="A12376" t="str">
        <f>"1180033N00108000100"</f>
        <v>1180033N00108000100</v>
      </c>
      <c r="B12376" t="s">
        <v>27208</v>
      </c>
      <c r="C12376" t="s">
        <v>27209</v>
      </c>
      <c r="D12376" t="s">
        <v>20</v>
      </c>
      <c r="E12376" t="s">
        <v>39</v>
      </c>
      <c r="F12376">
        <v>0</v>
      </c>
      <c r="G12376">
        <v>0</v>
      </c>
      <c r="H12376">
        <v>1</v>
      </c>
      <c r="I12376" s="3">
        <v>797.18</v>
      </c>
      <c r="J12376" s="3">
        <v>0</v>
      </c>
      <c r="K12376" t="s">
        <v>27210</v>
      </c>
      <c r="L12376">
        <v>369</v>
      </c>
      <c r="M12376" t="s">
        <v>24933</v>
      </c>
      <c r="N12376" t="s">
        <v>30</v>
      </c>
      <c r="O12376" t="s">
        <v>31</v>
      </c>
      <c r="P12376" t="str">
        <f t="shared" si="153"/>
        <v>15210</v>
      </c>
    </row>
    <row r="12377" spans="1:16" x14ac:dyDescent="0.25">
      <c r="A12377" t="str">
        <f>"1180033N00113    00"</f>
        <v>1180033N00113    00</v>
      </c>
      <c r="B12377" t="s">
        <v>27211</v>
      </c>
      <c r="C12377" t="s">
        <v>27212</v>
      </c>
      <c r="E12377" t="s">
        <v>39</v>
      </c>
      <c r="F12377">
        <v>0</v>
      </c>
      <c r="G12377">
        <v>0</v>
      </c>
      <c r="H12377">
        <v>1</v>
      </c>
      <c r="I12377" s="3">
        <v>531.29999999999995</v>
      </c>
      <c r="J12377" s="3">
        <v>146.1</v>
      </c>
      <c r="L12377">
        <v>349</v>
      </c>
      <c r="M12377" t="s">
        <v>24933</v>
      </c>
      <c r="N12377" t="s">
        <v>30</v>
      </c>
      <c r="O12377" t="s">
        <v>31</v>
      </c>
      <c r="P12377" t="str">
        <f t="shared" si="153"/>
        <v>15210</v>
      </c>
    </row>
    <row r="12378" spans="1:16" x14ac:dyDescent="0.25">
      <c r="A12378" t="str">
        <f>"1180033N00168    00"</f>
        <v>1180033N00168    00</v>
      </c>
      <c r="B12378" t="s">
        <v>27213</v>
      </c>
      <c r="C12378" t="s">
        <v>27214</v>
      </c>
      <c r="D12378" t="s">
        <v>20</v>
      </c>
      <c r="E12378" t="s">
        <v>39</v>
      </c>
      <c r="F12378">
        <v>0</v>
      </c>
      <c r="G12378">
        <v>0</v>
      </c>
      <c r="H12378">
        <v>7</v>
      </c>
      <c r="I12378" s="3">
        <v>4760.4399999999996</v>
      </c>
      <c r="J12378" s="3">
        <v>1174.03</v>
      </c>
      <c r="L12378">
        <v>421</v>
      </c>
      <c r="M12378" t="s">
        <v>27215</v>
      </c>
      <c r="N12378" t="s">
        <v>30</v>
      </c>
      <c r="O12378" t="s">
        <v>31</v>
      </c>
      <c r="P12378" t="str">
        <f t="shared" si="153"/>
        <v>15210</v>
      </c>
    </row>
    <row r="12379" spans="1:16" x14ac:dyDescent="0.25">
      <c r="A12379" t="str">
        <f>"1180034C00172    00"</f>
        <v>1180034C00172    00</v>
      </c>
      <c r="B12379" t="s">
        <v>27216</v>
      </c>
      <c r="C12379" t="s">
        <v>27217</v>
      </c>
      <c r="D12379" t="s">
        <v>20</v>
      </c>
      <c r="E12379" t="s">
        <v>39</v>
      </c>
      <c r="F12379">
        <v>0</v>
      </c>
      <c r="G12379">
        <v>0</v>
      </c>
      <c r="H12379">
        <v>9</v>
      </c>
      <c r="I12379" s="3">
        <v>199.55</v>
      </c>
      <c r="J12379" s="3">
        <v>76.19</v>
      </c>
      <c r="L12379">
        <v>600</v>
      </c>
      <c r="M12379" t="s">
        <v>27218</v>
      </c>
      <c r="N12379" t="s">
        <v>509</v>
      </c>
      <c r="O12379" t="s">
        <v>31</v>
      </c>
      <c r="P12379" t="str">
        <f>"19119"</f>
        <v>19119</v>
      </c>
    </row>
    <row r="12380" spans="1:16" x14ac:dyDescent="0.25">
      <c r="A12380" t="str">
        <f>"1180034D00002    00"</f>
        <v>1180034D00002    00</v>
      </c>
      <c r="B12380" t="s">
        <v>27219</v>
      </c>
      <c r="C12380" t="s">
        <v>27220</v>
      </c>
      <c r="D12380" t="s">
        <v>20</v>
      </c>
      <c r="E12380" t="s">
        <v>39</v>
      </c>
      <c r="F12380">
        <v>0</v>
      </c>
      <c r="G12380">
        <v>0</v>
      </c>
      <c r="H12380">
        <v>7</v>
      </c>
      <c r="I12380" s="3">
        <v>3667.13</v>
      </c>
      <c r="J12380" s="3">
        <v>1014.07</v>
      </c>
      <c r="L12380">
        <v>415</v>
      </c>
      <c r="M12380" t="s">
        <v>27144</v>
      </c>
      <c r="N12380" t="s">
        <v>30</v>
      </c>
      <c r="O12380" t="s">
        <v>31</v>
      </c>
      <c r="P12380" t="str">
        <f>"15210"</f>
        <v>15210</v>
      </c>
    </row>
    <row r="12381" spans="1:16" x14ac:dyDescent="0.25">
      <c r="A12381" t="str">
        <f>"1180034D00009    00"</f>
        <v>1180034D00009    00</v>
      </c>
      <c r="B12381" t="s">
        <v>27221</v>
      </c>
      <c r="C12381" t="s">
        <v>27222</v>
      </c>
      <c r="D12381" t="s">
        <v>20</v>
      </c>
      <c r="E12381" t="s">
        <v>39</v>
      </c>
      <c r="F12381">
        <v>0</v>
      </c>
      <c r="G12381">
        <v>0</v>
      </c>
      <c r="H12381">
        <v>3</v>
      </c>
      <c r="I12381" s="3">
        <v>1332.41</v>
      </c>
      <c r="J12381" s="3">
        <v>27.56</v>
      </c>
      <c r="K12381" t="s">
        <v>27223</v>
      </c>
      <c r="L12381">
        <v>4075</v>
      </c>
      <c r="M12381" t="s">
        <v>27224</v>
      </c>
      <c r="N12381" t="s">
        <v>27225</v>
      </c>
      <c r="O12381" t="s">
        <v>606</v>
      </c>
      <c r="P12381" t="str">
        <f>"30288"</f>
        <v>30288</v>
      </c>
    </row>
    <row r="12382" spans="1:16" x14ac:dyDescent="0.25">
      <c r="A12382" t="str">
        <f>"1180034D00011    00"</f>
        <v>1180034D00011    00</v>
      </c>
      <c r="B12382" t="s">
        <v>27226</v>
      </c>
      <c r="C12382" t="s">
        <v>27227</v>
      </c>
      <c r="D12382" t="s">
        <v>20</v>
      </c>
      <c r="E12382" t="s">
        <v>39</v>
      </c>
      <c r="F12382">
        <v>0</v>
      </c>
      <c r="G12382">
        <v>0</v>
      </c>
      <c r="H12382">
        <v>10</v>
      </c>
      <c r="I12382" s="3">
        <v>3175</v>
      </c>
      <c r="J12382" s="3">
        <v>1205.08</v>
      </c>
      <c r="L12382">
        <v>3671</v>
      </c>
      <c r="M12382" t="s">
        <v>27228</v>
      </c>
      <c r="N12382" t="s">
        <v>30</v>
      </c>
      <c r="O12382" t="s">
        <v>31</v>
      </c>
      <c r="P12382" t="str">
        <f>"15204"</f>
        <v>15204</v>
      </c>
    </row>
    <row r="12383" spans="1:16" x14ac:dyDescent="0.25">
      <c r="A12383" t="str">
        <f>"1180034D00014    00"</f>
        <v>1180034D00014    00</v>
      </c>
      <c r="B12383" t="s">
        <v>218</v>
      </c>
      <c r="C12383" t="s">
        <v>27229</v>
      </c>
      <c r="E12383" t="s">
        <v>39</v>
      </c>
      <c r="F12383">
        <v>0</v>
      </c>
      <c r="G12383">
        <v>0</v>
      </c>
      <c r="H12383">
        <v>17</v>
      </c>
      <c r="I12383" s="3">
        <v>4879.7299999999996</v>
      </c>
      <c r="J12383" s="3">
        <v>4436.1899999999996</v>
      </c>
      <c r="K12383" t="s">
        <v>220</v>
      </c>
      <c r="L12383">
        <v>412</v>
      </c>
      <c r="M12383" t="s">
        <v>221</v>
      </c>
      <c r="N12383" t="s">
        <v>30</v>
      </c>
      <c r="O12383" t="s">
        <v>31</v>
      </c>
      <c r="P12383" t="str">
        <f>"15219"</f>
        <v>15219</v>
      </c>
    </row>
    <row r="12384" spans="1:16" x14ac:dyDescent="0.25">
      <c r="A12384" t="str">
        <f>"1180034G00074    00"</f>
        <v>1180034G00074    00</v>
      </c>
      <c r="B12384" t="s">
        <v>9290</v>
      </c>
      <c r="C12384" t="s">
        <v>27230</v>
      </c>
      <c r="D12384" t="s">
        <v>20</v>
      </c>
      <c r="E12384" t="s">
        <v>39</v>
      </c>
      <c r="F12384">
        <v>0</v>
      </c>
      <c r="G12384">
        <v>0</v>
      </c>
      <c r="H12384">
        <v>3</v>
      </c>
      <c r="I12384" s="3">
        <v>834.9</v>
      </c>
      <c r="J12384" s="3">
        <v>55.66</v>
      </c>
      <c r="L12384">
        <v>414</v>
      </c>
      <c r="M12384" t="s">
        <v>9292</v>
      </c>
      <c r="N12384" t="s">
        <v>30</v>
      </c>
      <c r="O12384" t="s">
        <v>31</v>
      </c>
      <c r="P12384" t="str">
        <f>"15219"</f>
        <v>15219</v>
      </c>
    </row>
    <row r="12385" spans="1:16" x14ac:dyDescent="0.25">
      <c r="A12385" t="str">
        <f>"1180034G00076    00"</f>
        <v>1180034G00076    00</v>
      </c>
      <c r="B12385" t="s">
        <v>9290</v>
      </c>
      <c r="C12385" t="s">
        <v>27231</v>
      </c>
      <c r="D12385" t="s">
        <v>20</v>
      </c>
      <c r="E12385" t="s">
        <v>39</v>
      </c>
      <c r="F12385">
        <v>0</v>
      </c>
      <c r="G12385">
        <v>0</v>
      </c>
      <c r="H12385">
        <v>3</v>
      </c>
      <c r="I12385" s="3">
        <v>1012.11</v>
      </c>
      <c r="J12385" s="3">
        <v>67.47</v>
      </c>
      <c r="L12385">
        <v>414</v>
      </c>
      <c r="M12385" t="s">
        <v>9292</v>
      </c>
      <c r="N12385" t="s">
        <v>30</v>
      </c>
      <c r="O12385" t="s">
        <v>31</v>
      </c>
      <c r="P12385" t="str">
        <f>"15219"</f>
        <v>15219</v>
      </c>
    </row>
    <row r="12386" spans="1:16" x14ac:dyDescent="0.25">
      <c r="A12386" t="str">
        <f>"1180034H00198    00"</f>
        <v>1180034H00198    00</v>
      </c>
      <c r="B12386" t="s">
        <v>27232</v>
      </c>
      <c r="C12386" t="s">
        <v>27233</v>
      </c>
      <c r="D12386" t="s">
        <v>20</v>
      </c>
      <c r="E12386" t="s">
        <v>39</v>
      </c>
      <c r="F12386">
        <v>0</v>
      </c>
      <c r="G12386">
        <v>0</v>
      </c>
      <c r="H12386">
        <v>7</v>
      </c>
      <c r="I12386" s="3">
        <v>8339.0400000000009</v>
      </c>
      <c r="J12386" s="3">
        <v>2306</v>
      </c>
      <c r="L12386">
        <v>304</v>
      </c>
      <c r="M12386" t="s">
        <v>27234</v>
      </c>
      <c r="N12386" t="s">
        <v>30</v>
      </c>
      <c r="O12386" t="s">
        <v>31</v>
      </c>
      <c r="P12386" t="str">
        <f>"15227"</f>
        <v>15227</v>
      </c>
    </row>
    <row r="12387" spans="1:16" x14ac:dyDescent="0.25">
      <c r="A12387" t="str">
        <f>"1180034H00208    00"</f>
        <v>1180034H00208    00</v>
      </c>
      <c r="B12387" t="s">
        <v>27235</v>
      </c>
      <c r="C12387" t="s">
        <v>27236</v>
      </c>
      <c r="E12387" t="s">
        <v>39</v>
      </c>
      <c r="F12387">
        <v>0</v>
      </c>
      <c r="G12387">
        <v>0</v>
      </c>
      <c r="H12387">
        <v>1</v>
      </c>
      <c r="I12387" s="3">
        <v>1147.42</v>
      </c>
      <c r="J12387" s="3">
        <v>0</v>
      </c>
      <c r="L12387">
        <v>339</v>
      </c>
      <c r="M12387" t="s">
        <v>27237</v>
      </c>
      <c r="N12387" t="s">
        <v>30</v>
      </c>
      <c r="O12387" t="s">
        <v>31</v>
      </c>
      <c r="P12387" t="str">
        <f>"15210"</f>
        <v>15210</v>
      </c>
    </row>
    <row r="12388" spans="1:16" x14ac:dyDescent="0.25">
      <c r="A12388" t="str">
        <f>"1180034H00224    00"</f>
        <v>1180034H00224    00</v>
      </c>
      <c r="B12388" t="s">
        <v>27238</v>
      </c>
      <c r="C12388" t="s">
        <v>27239</v>
      </c>
      <c r="D12388" t="s">
        <v>20</v>
      </c>
      <c r="E12388" t="s">
        <v>39</v>
      </c>
      <c r="F12388">
        <v>0</v>
      </c>
      <c r="G12388">
        <v>0</v>
      </c>
      <c r="H12388">
        <v>3</v>
      </c>
      <c r="I12388" s="3">
        <v>2322.84</v>
      </c>
      <c r="J12388" s="3">
        <v>226.51</v>
      </c>
      <c r="K12388" t="s">
        <v>2570</v>
      </c>
      <c r="L12388">
        <v>901</v>
      </c>
      <c r="M12388" t="s">
        <v>1503</v>
      </c>
      <c r="N12388" t="s">
        <v>494</v>
      </c>
      <c r="O12388" t="s">
        <v>495</v>
      </c>
      <c r="P12388" t="str">
        <f>"91768"</f>
        <v>91768</v>
      </c>
    </row>
    <row r="12389" spans="1:16" x14ac:dyDescent="0.25">
      <c r="A12389" t="str">
        <f>"1180034H00252    00"</f>
        <v>1180034H00252    00</v>
      </c>
      <c r="B12389" t="s">
        <v>27240</v>
      </c>
      <c r="C12389" t="s">
        <v>27241</v>
      </c>
      <c r="D12389" t="s">
        <v>20</v>
      </c>
      <c r="E12389" t="s">
        <v>39</v>
      </c>
      <c r="F12389">
        <v>0</v>
      </c>
      <c r="G12389">
        <v>0</v>
      </c>
      <c r="H12389">
        <v>1</v>
      </c>
      <c r="I12389" s="3">
        <v>520.79999999999995</v>
      </c>
      <c r="J12389" s="3">
        <v>0</v>
      </c>
      <c r="K12389" t="s">
        <v>27242</v>
      </c>
      <c r="L12389">
        <v>319</v>
      </c>
      <c r="M12389" t="s">
        <v>27237</v>
      </c>
      <c r="N12389" t="s">
        <v>30</v>
      </c>
      <c r="O12389" t="s">
        <v>31</v>
      </c>
      <c r="P12389" t="str">
        <f>"15210"</f>
        <v>15210</v>
      </c>
    </row>
    <row r="12390" spans="1:16" x14ac:dyDescent="0.25">
      <c r="A12390" t="str">
        <f>"1180034H00301    00"</f>
        <v>1180034H00301    00</v>
      </c>
      <c r="B12390" t="s">
        <v>27243</v>
      </c>
      <c r="C12390" t="s">
        <v>27244</v>
      </c>
      <c r="D12390" t="s">
        <v>20</v>
      </c>
      <c r="E12390" t="s">
        <v>39</v>
      </c>
      <c r="F12390">
        <v>0</v>
      </c>
      <c r="G12390">
        <v>0</v>
      </c>
      <c r="H12390">
        <v>14</v>
      </c>
      <c r="I12390" s="3">
        <v>14605.84</v>
      </c>
      <c r="J12390" s="3">
        <v>9494.58</v>
      </c>
      <c r="K12390" t="s">
        <v>27245</v>
      </c>
      <c r="L12390">
        <v>216</v>
      </c>
      <c r="M12390" t="s">
        <v>27246</v>
      </c>
      <c r="N12390" t="s">
        <v>30</v>
      </c>
      <c r="O12390" t="s">
        <v>31</v>
      </c>
      <c r="P12390" t="str">
        <f>"15210"</f>
        <v>15210</v>
      </c>
    </row>
    <row r="12391" spans="1:16" x14ac:dyDescent="0.25">
      <c r="A12391" t="str">
        <f>"1180034H00313    00"</f>
        <v>1180034H00313    00</v>
      </c>
      <c r="B12391" t="s">
        <v>27247</v>
      </c>
      <c r="C12391" t="s">
        <v>27248</v>
      </c>
      <c r="D12391" t="s">
        <v>20</v>
      </c>
      <c r="E12391" t="s">
        <v>39</v>
      </c>
      <c r="F12391">
        <v>0</v>
      </c>
      <c r="G12391">
        <v>0</v>
      </c>
      <c r="H12391">
        <v>7</v>
      </c>
      <c r="I12391" s="3">
        <v>8669.61</v>
      </c>
      <c r="J12391" s="3">
        <v>3254.08</v>
      </c>
      <c r="L12391">
        <v>201</v>
      </c>
      <c r="M12391" t="s">
        <v>27246</v>
      </c>
      <c r="N12391" t="s">
        <v>30</v>
      </c>
      <c r="O12391" t="s">
        <v>31</v>
      </c>
      <c r="P12391" t="str">
        <f>"15210"</f>
        <v>15210</v>
      </c>
    </row>
    <row r="12392" spans="1:16" x14ac:dyDescent="0.25">
      <c r="A12392" t="str">
        <f>"1180034H00316    00"</f>
        <v>1180034H00316    00</v>
      </c>
      <c r="B12392" t="s">
        <v>27249</v>
      </c>
      <c r="C12392" t="s">
        <v>27250</v>
      </c>
      <c r="E12392" t="s">
        <v>39</v>
      </c>
      <c r="F12392">
        <v>0</v>
      </c>
      <c r="G12392">
        <v>0</v>
      </c>
      <c r="H12392">
        <v>2</v>
      </c>
      <c r="I12392" s="3">
        <v>1210.81</v>
      </c>
      <c r="J12392" s="3">
        <v>253.85</v>
      </c>
      <c r="L12392">
        <v>202</v>
      </c>
      <c r="M12392" t="s">
        <v>26618</v>
      </c>
      <c r="N12392" t="s">
        <v>30</v>
      </c>
      <c r="O12392" t="s">
        <v>31</v>
      </c>
      <c r="P12392" t="str">
        <f>"15210"</f>
        <v>15210</v>
      </c>
    </row>
    <row r="12393" spans="1:16" x14ac:dyDescent="0.25">
      <c r="A12393" t="str">
        <f>"1180034M00051    00"</f>
        <v>1180034M00051    00</v>
      </c>
      <c r="B12393" t="s">
        <v>27251</v>
      </c>
      <c r="C12393" t="s">
        <v>27252</v>
      </c>
      <c r="D12393" t="s">
        <v>20</v>
      </c>
      <c r="E12393" t="s">
        <v>39</v>
      </c>
      <c r="F12393">
        <v>0</v>
      </c>
      <c r="G12393">
        <v>0</v>
      </c>
      <c r="H12393">
        <v>7</v>
      </c>
      <c r="I12393" s="3">
        <v>6668.63</v>
      </c>
      <c r="J12393" s="3">
        <v>1844.07</v>
      </c>
      <c r="K12393" t="s">
        <v>27253</v>
      </c>
      <c r="L12393">
        <v>312</v>
      </c>
      <c r="M12393" t="s">
        <v>27254</v>
      </c>
      <c r="N12393" t="s">
        <v>30</v>
      </c>
      <c r="O12393" t="s">
        <v>31</v>
      </c>
      <c r="P12393" t="str">
        <f>"15202"</f>
        <v>15202</v>
      </c>
    </row>
    <row r="12394" spans="1:16" x14ac:dyDescent="0.25">
      <c r="A12394" t="str">
        <f>"1180034M00077    00"</f>
        <v>1180034M00077    00</v>
      </c>
      <c r="B12394" t="s">
        <v>27255</v>
      </c>
      <c r="C12394" t="s">
        <v>27256</v>
      </c>
      <c r="E12394" t="s">
        <v>39</v>
      </c>
      <c r="F12394">
        <v>0</v>
      </c>
      <c r="G12394">
        <v>0</v>
      </c>
      <c r="H12394">
        <v>5</v>
      </c>
      <c r="I12394" s="3">
        <v>3789.05</v>
      </c>
      <c r="J12394" s="3">
        <v>1202.8599999999999</v>
      </c>
      <c r="L12394">
        <v>235</v>
      </c>
      <c r="M12394" t="s">
        <v>27257</v>
      </c>
      <c r="N12394" t="s">
        <v>30</v>
      </c>
      <c r="O12394" t="s">
        <v>31</v>
      </c>
      <c r="P12394" t="str">
        <f>"15210"</f>
        <v>15210</v>
      </c>
    </row>
    <row r="12395" spans="1:16" x14ac:dyDescent="0.25">
      <c r="A12395" t="str">
        <f>"1180034M00093    00"</f>
        <v>1180034M00093    00</v>
      </c>
      <c r="B12395" t="s">
        <v>27258</v>
      </c>
      <c r="C12395" t="s">
        <v>27259</v>
      </c>
      <c r="E12395" t="s">
        <v>39</v>
      </c>
      <c r="F12395">
        <v>0</v>
      </c>
      <c r="G12395">
        <v>0</v>
      </c>
      <c r="H12395">
        <v>1</v>
      </c>
      <c r="I12395" s="3">
        <v>355.94</v>
      </c>
      <c r="J12395" s="3">
        <v>496.22</v>
      </c>
      <c r="K12395" t="s">
        <v>2570</v>
      </c>
      <c r="L12395">
        <v>901</v>
      </c>
      <c r="M12395" t="s">
        <v>1503</v>
      </c>
      <c r="N12395" t="s">
        <v>494</v>
      </c>
      <c r="O12395" t="s">
        <v>495</v>
      </c>
      <c r="P12395" t="str">
        <f>"91768"</f>
        <v>91768</v>
      </c>
    </row>
    <row r="12396" spans="1:16" x14ac:dyDescent="0.25">
      <c r="A12396" t="str">
        <f>"1180034S00332    00"</f>
        <v>1180034S00332    00</v>
      </c>
      <c r="B12396" t="s">
        <v>27260</v>
      </c>
      <c r="C12396" t="s">
        <v>27261</v>
      </c>
      <c r="D12396" t="s">
        <v>20</v>
      </c>
      <c r="E12396" t="s">
        <v>39</v>
      </c>
      <c r="F12396">
        <v>0</v>
      </c>
      <c r="G12396">
        <v>0</v>
      </c>
      <c r="H12396">
        <v>6</v>
      </c>
      <c r="I12396" s="3">
        <v>5753.4</v>
      </c>
      <c r="J12396" s="3">
        <v>1111.51</v>
      </c>
      <c r="L12396">
        <v>352</v>
      </c>
      <c r="M12396" t="s">
        <v>26618</v>
      </c>
      <c r="N12396" t="s">
        <v>30</v>
      </c>
      <c r="O12396" t="s">
        <v>31</v>
      </c>
      <c r="P12396" t="str">
        <f>"15210"</f>
        <v>15210</v>
      </c>
    </row>
    <row r="12397" spans="1:16" x14ac:dyDescent="0.25">
      <c r="A12397" t="str">
        <f>"1180060A00062    00"</f>
        <v>1180060A00062    00</v>
      </c>
      <c r="B12397" t="s">
        <v>27262</v>
      </c>
      <c r="C12397" t="s">
        <v>27263</v>
      </c>
      <c r="D12397" t="s">
        <v>20</v>
      </c>
      <c r="E12397" t="s">
        <v>39</v>
      </c>
      <c r="F12397">
        <v>0</v>
      </c>
      <c r="G12397">
        <v>0</v>
      </c>
      <c r="H12397">
        <v>1</v>
      </c>
      <c r="I12397" s="3">
        <v>376.69</v>
      </c>
      <c r="J12397" s="3">
        <v>0</v>
      </c>
      <c r="L12397">
        <v>437</v>
      </c>
      <c r="M12397" t="s">
        <v>24933</v>
      </c>
      <c r="N12397" t="s">
        <v>30</v>
      </c>
      <c r="O12397" t="s">
        <v>31</v>
      </c>
      <c r="P12397" t="str">
        <f>"15210"</f>
        <v>15210</v>
      </c>
    </row>
    <row r="12398" spans="1:16" x14ac:dyDescent="0.25">
      <c r="A12398" t="str">
        <f>"1180060A00068    00"</f>
        <v>1180060A00068    00</v>
      </c>
      <c r="B12398" t="s">
        <v>27264</v>
      </c>
      <c r="C12398" t="s">
        <v>27265</v>
      </c>
      <c r="D12398" t="s">
        <v>20</v>
      </c>
      <c r="E12398" t="s">
        <v>39</v>
      </c>
      <c r="F12398">
        <v>0</v>
      </c>
      <c r="G12398">
        <v>0</v>
      </c>
      <c r="H12398">
        <v>2</v>
      </c>
      <c r="I12398" s="3">
        <v>2009.96</v>
      </c>
      <c r="J12398" s="3">
        <v>0</v>
      </c>
      <c r="L12398">
        <v>459</v>
      </c>
      <c r="M12398" t="s">
        <v>27266</v>
      </c>
      <c r="N12398" t="s">
        <v>30</v>
      </c>
      <c r="O12398" t="s">
        <v>31</v>
      </c>
      <c r="P12398" t="str">
        <f>"15210"</f>
        <v>15210</v>
      </c>
    </row>
    <row r="12399" spans="1:16" x14ac:dyDescent="0.25">
      <c r="A12399" t="str">
        <f>"1180061D00200    00"</f>
        <v>1180061D00200    00</v>
      </c>
      <c r="B12399" t="s">
        <v>27267</v>
      </c>
      <c r="C12399" t="s">
        <v>27268</v>
      </c>
      <c r="E12399" t="s">
        <v>21</v>
      </c>
      <c r="F12399">
        <v>0</v>
      </c>
      <c r="G12399">
        <v>0</v>
      </c>
      <c r="H12399">
        <v>14</v>
      </c>
      <c r="I12399" s="3">
        <v>47379.49</v>
      </c>
      <c r="J12399" s="3">
        <v>43406.04</v>
      </c>
      <c r="K12399" t="s">
        <v>27269</v>
      </c>
      <c r="L12399">
        <v>1308</v>
      </c>
      <c r="M12399" t="s">
        <v>27270</v>
      </c>
      <c r="N12399" t="s">
        <v>30</v>
      </c>
      <c r="O12399" t="s">
        <v>31</v>
      </c>
      <c r="P12399" t="str">
        <f>"15226"</f>
        <v>15226</v>
      </c>
    </row>
    <row r="12400" spans="1:16" x14ac:dyDescent="0.25">
      <c r="A12400" t="str">
        <f>"1190001E00120    02"</f>
        <v>1190001E00120    02</v>
      </c>
      <c r="B12400" t="s">
        <v>27271</v>
      </c>
      <c r="C12400" t="s">
        <v>27272</v>
      </c>
      <c r="E12400" t="s">
        <v>513</v>
      </c>
      <c r="F12400">
        <v>0</v>
      </c>
      <c r="G12400">
        <v>0</v>
      </c>
      <c r="H12400">
        <v>2</v>
      </c>
      <c r="I12400" s="3">
        <v>58.96</v>
      </c>
      <c r="J12400" s="3">
        <v>86.01</v>
      </c>
      <c r="K12400" t="s">
        <v>2273</v>
      </c>
      <c r="L12400">
        <v>500</v>
      </c>
      <c r="M12400" t="s">
        <v>4705</v>
      </c>
      <c r="N12400" t="s">
        <v>3919</v>
      </c>
      <c r="O12400" t="s">
        <v>370</v>
      </c>
      <c r="P12400" t="str">
        <f>"32202"</f>
        <v>32202</v>
      </c>
    </row>
    <row r="12401" spans="1:16" x14ac:dyDescent="0.25">
      <c r="A12401" t="str">
        <f>"1190001J00024    00"</f>
        <v>1190001J00024    00</v>
      </c>
      <c r="B12401" t="s">
        <v>27273</v>
      </c>
      <c r="C12401" t="s">
        <v>27274</v>
      </c>
      <c r="D12401" t="s">
        <v>20</v>
      </c>
      <c r="E12401" t="s">
        <v>39</v>
      </c>
      <c r="F12401">
        <v>0</v>
      </c>
      <c r="G12401">
        <v>0</v>
      </c>
      <c r="H12401">
        <v>2</v>
      </c>
      <c r="I12401" s="3">
        <v>5799.11</v>
      </c>
      <c r="J12401" s="3">
        <v>781.25</v>
      </c>
      <c r="L12401">
        <v>817</v>
      </c>
      <c r="M12401" t="s">
        <v>3777</v>
      </c>
      <c r="N12401" t="s">
        <v>30</v>
      </c>
      <c r="O12401" t="s">
        <v>31</v>
      </c>
      <c r="P12401" t="str">
        <f>"15211"</f>
        <v>15211</v>
      </c>
    </row>
    <row r="12402" spans="1:16" x14ac:dyDescent="0.25">
      <c r="A12402" t="str">
        <f>"1190001J00027    00"</f>
        <v>1190001J00027    00</v>
      </c>
      <c r="B12402" t="s">
        <v>27275</v>
      </c>
      <c r="C12402" t="s">
        <v>27276</v>
      </c>
      <c r="E12402" t="s">
        <v>39</v>
      </c>
      <c r="F12402">
        <v>0</v>
      </c>
      <c r="G12402">
        <v>0</v>
      </c>
      <c r="H12402">
        <v>2</v>
      </c>
      <c r="I12402" s="3">
        <v>132.24</v>
      </c>
      <c r="J12402" s="3">
        <v>2.4700000000000002</v>
      </c>
      <c r="L12402">
        <v>813</v>
      </c>
      <c r="M12402" t="s">
        <v>3777</v>
      </c>
      <c r="N12402" t="s">
        <v>30</v>
      </c>
      <c r="O12402" t="s">
        <v>31</v>
      </c>
      <c r="P12402" t="str">
        <f>"15211"</f>
        <v>15211</v>
      </c>
    </row>
    <row r="12403" spans="1:16" x14ac:dyDescent="0.25">
      <c r="A12403" t="str">
        <f>"1190001J00039    00"</f>
        <v>1190001J00039    00</v>
      </c>
      <c r="B12403" t="s">
        <v>27277</v>
      </c>
      <c r="C12403" t="s">
        <v>27278</v>
      </c>
      <c r="D12403" t="s">
        <v>20</v>
      </c>
      <c r="E12403" t="s">
        <v>39</v>
      </c>
      <c r="F12403">
        <v>0</v>
      </c>
      <c r="G12403">
        <v>0</v>
      </c>
      <c r="H12403">
        <v>1</v>
      </c>
      <c r="I12403" s="3">
        <v>18160.39</v>
      </c>
      <c r="J12403" s="3">
        <v>0</v>
      </c>
      <c r="K12403" t="s">
        <v>27279</v>
      </c>
      <c r="L12403">
        <v>620</v>
      </c>
      <c r="M12403" t="s">
        <v>3777</v>
      </c>
      <c r="N12403" t="s">
        <v>30</v>
      </c>
      <c r="O12403" t="s">
        <v>31</v>
      </c>
      <c r="P12403" t="str">
        <f>"15211"</f>
        <v>15211</v>
      </c>
    </row>
    <row r="12404" spans="1:16" x14ac:dyDescent="0.25">
      <c r="A12404" t="str">
        <f>"1190001J00056    00"</f>
        <v>1190001J00056    00</v>
      </c>
      <c r="B12404" t="s">
        <v>27280</v>
      </c>
      <c r="C12404" t="s">
        <v>27281</v>
      </c>
      <c r="E12404" t="s">
        <v>39</v>
      </c>
      <c r="F12404">
        <v>0</v>
      </c>
      <c r="G12404">
        <v>0</v>
      </c>
      <c r="H12404">
        <v>1</v>
      </c>
      <c r="I12404" s="3">
        <v>155.80000000000001</v>
      </c>
      <c r="J12404" s="3">
        <v>0</v>
      </c>
      <c r="L12404">
        <v>11300</v>
      </c>
      <c r="M12404" t="s">
        <v>27282</v>
      </c>
      <c r="N12404" t="s">
        <v>652</v>
      </c>
      <c r="O12404" t="s">
        <v>108</v>
      </c>
      <c r="P12404" t="str">
        <f>"77024"</f>
        <v>77024</v>
      </c>
    </row>
    <row r="12405" spans="1:16" x14ac:dyDescent="0.25">
      <c r="A12405" t="str">
        <f>"1190001J00062001100"</f>
        <v>1190001J00062001100</v>
      </c>
      <c r="B12405" t="s">
        <v>27283</v>
      </c>
      <c r="C12405" t="s">
        <v>27284</v>
      </c>
      <c r="D12405" t="s">
        <v>20</v>
      </c>
      <c r="E12405" t="s">
        <v>39</v>
      </c>
      <c r="F12405">
        <v>0</v>
      </c>
      <c r="G12405">
        <v>0</v>
      </c>
      <c r="H12405">
        <v>1</v>
      </c>
      <c r="I12405" s="3">
        <v>2383.5500000000002</v>
      </c>
      <c r="J12405" s="3">
        <v>0</v>
      </c>
      <c r="K12405" t="s">
        <v>5718</v>
      </c>
      <c r="L12405">
        <v>26642</v>
      </c>
      <c r="M12405" t="s">
        <v>5719</v>
      </c>
      <c r="N12405" t="s">
        <v>5720</v>
      </c>
      <c r="O12405" t="s">
        <v>495</v>
      </c>
      <c r="P12405" t="str">
        <f>"92610"</f>
        <v>92610</v>
      </c>
    </row>
    <row r="12406" spans="1:16" x14ac:dyDescent="0.25">
      <c r="A12406" t="str">
        <f>"1190001J00062002100"</f>
        <v>1190001J00062002100</v>
      </c>
      <c r="B12406" t="s">
        <v>27285</v>
      </c>
      <c r="C12406" t="s">
        <v>27286</v>
      </c>
      <c r="D12406" t="s">
        <v>20</v>
      </c>
      <c r="E12406" t="s">
        <v>39</v>
      </c>
      <c r="F12406">
        <v>0</v>
      </c>
      <c r="G12406">
        <v>0</v>
      </c>
      <c r="H12406">
        <v>1</v>
      </c>
      <c r="I12406" s="3">
        <v>8052.76</v>
      </c>
      <c r="J12406" s="3">
        <v>0</v>
      </c>
      <c r="L12406">
        <v>812</v>
      </c>
      <c r="M12406" t="s">
        <v>27287</v>
      </c>
      <c r="N12406" t="s">
        <v>30</v>
      </c>
      <c r="O12406" t="s">
        <v>31</v>
      </c>
      <c r="P12406" t="str">
        <f>"15211"</f>
        <v>15211</v>
      </c>
    </row>
    <row r="12407" spans="1:16" x14ac:dyDescent="0.25">
      <c r="A12407" t="str">
        <f>"1190001J00092    00"</f>
        <v>1190001J00092    00</v>
      </c>
      <c r="B12407" t="s">
        <v>27288</v>
      </c>
      <c r="C12407" t="s">
        <v>27289</v>
      </c>
      <c r="D12407" t="s">
        <v>20</v>
      </c>
      <c r="E12407" t="s">
        <v>21</v>
      </c>
      <c r="F12407">
        <v>0</v>
      </c>
      <c r="G12407">
        <v>0</v>
      </c>
      <c r="H12407">
        <v>4</v>
      </c>
      <c r="I12407" s="3">
        <v>210087.84</v>
      </c>
      <c r="J12407" s="3">
        <v>29937.69</v>
      </c>
      <c r="K12407" t="s">
        <v>27290</v>
      </c>
      <c r="L12407">
        <v>195</v>
      </c>
      <c r="M12407" t="s">
        <v>27291</v>
      </c>
      <c r="N12407" t="s">
        <v>27292</v>
      </c>
      <c r="O12407" t="s">
        <v>31</v>
      </c>
      <c r="P12407" t="str">
        <f>"15425"</f>
        <v>15425</v>
      </c>
    </row>
    <row r="12408" spans="1:16" x14ac:dyDescent="0.25">
      <c r="A12408" t="str">
        <f>"1190001K00072    00"</f>
        <v>1190001K00072    00</v>
      </c>
      <c r="B12408" t="s">
        <v>27288</v>
      </c>
      <c r="C12408" t="s">
        <v>27293</v>
      </c>
      <c r="D12408" t="s">
        <v>20</v>
      </c>
      <c r="E12408" t="s">
        <v>21</v>
      </c>
      <c r="F12408">
        <v>0</v>
      </c>
      <c r="G12408">
        <v>0</v>
      </c>
      <c r="H12408">
        <v>1</v>
      </c>
      <c r="I12408" s="3">
        <v>49556</v>
      </c>
      <c r="J12408" s="3">
        <v>0</v>
      </c>
      <c r="K12408" t="s">
        <v>27290</v>
      </c>
      <c r="L12408">
        <v>195</v>
      </c>
      <c r="M12408" t="s">
        <v>27291</v>
      </c>
      <c r="N12408" t="s">
        <v>27292</v>
      </c>
      <c r="O12408" t="s">
        <v>31</v>
      </c>
      <c r="P12408" t="str">
        <f>"15425"</f>
        <v>15425</v>
      </c>
    </row>
    <row r="12409" spans="1:16" x14ac:dyDescent="0.25">
      <c r="A12409" t="str">
        <f>"1190001N00004    00"</f>
        <v>1190001N00004    00</v>
      </c>
      <c r="B12409" t="s">
        <v>27294</v>
      </c>
      <c r="C12409" t="s">
        <v>27295</v>
      </c>
      <c r="E12409" t="s">
        <v>39</v>
      </c>
      <c r="F12409">
        <v>0</v>
      </c>
      <c r="G12409">
        <v>0</v>
      </c>
      <c r="H12409">
        <v>1</v>
      </c>
      <c r="I12409" s="3">
        <v>34.450000000000003</v>
      </c>
      <c r="J12409" s="3">
        <v>30.42</v>
      </c>
      <c r="L12409">
        <v>132</v>
      </c>
      <c r="M12409" t="s">
        <v>18095</v>
      </c>
      <c r="N12409" t="s">
        <v>30</v>
      </c>
      <c r="O12409" t="s">
        <v>31</v>
      </c>
      <c r="P12409" t="str">
        <f t="shared" ref="P12409:P12415" si="154">"15211"</f>
        <v>15211</v>
      </c>
    </row>
    <row r="12410" spans="1:16" x14ac:dyDescent="0.25">
      <c r="A12410" t="str">
        <f>"1190001N00006    00"</f>
        <v>1190001N00006    00</v>
      </c>
      <c r="B12410" t="s">
        <v>27296</v>
      </c>
      <c r="C12410" t="s">
        <v>27297</v>
      </c>
      <c r="D12410" t="s">
        <v>20</v>
      </c>
      <c r="E12410" t="s">
        <v>39</v>
      </c>
      <c r="F12410">
        <v>0</v>
      </c>
      <c r="G12410">
        <v>0</v>
      </c>
      <c r="H12410">
        <v>1</v>
      </c>
      <c r="I12410" s="3">
        <v>1053.3900000000001</v>
      </c>
      <c r="J12410" s="3">
        <v>0</v>
      </c>
      <c r="L12410">
        <v>1712</v>
      </c>
      <c r="M12410" t="s">
        <v>27298</v>
      </c>
      <c r="N12410" t="s">
        <v>30</v>
      </c>
      <c r="O12410" t="s">
        <v>31</v>
      </c>
      <c r="P12410" t="str">
        <f t="shared" si="154"/>
        <v>15211</v>
      </c>
    </row>
    <row r="12411" spans="1:16" x14ac:dyDescent="0.25">
      <c r="A12411" t="str">
        <f>"1190001N00007    00"</f>
        <v>1190001N00007    00</v>
      </c>
      <c r="B12411" t="s">
        <v>27299</v>
      </c>
      <c r="C12411" t="s">
        <v>27300</v>
      </c>
      <c r="D12411" t="s">
        <v>20</v>
      </c>
      <c r="E12411" t="s">
        <v>39</v>
      </c>
      <c r="F12411">
        <v>0</v>
      </c>
      <c r="G12411">
        <v>0</v>
      </c>
      <c r="H12411">
        <v>1</v>
      </c>
      <c r="I12411" s="3">
        <v>315.13</v>
      </c>
      <c r="J12411" s="3">
        <v>63.02</v>
      </c>
      <c r="L12411">
        <v>1712</v>
      </c>
      <c r="M12411" t="s">
        <v>27301</v>
      </c>
      <c r="N12411" t="s">
        <v>30</v>
      </c>
      <c r="O12411" t="s">
        <v>31</v>
      </c>
      <c r="P12411" t="str">
        <f t="shared" si="154"/>
        <v>15211</v>
      </c>
    </row>
    <row r="12412" spans="1:16" x14ac:dyDescent="0.25">
      <c r="A12412" t="str">
        <f>"1190001N00023    00"</f>
        <v>1190001N00023    00</v>
      </c>
      <c r="B12412" t="s">
        <v>27302</v>
      </c>
      <c r="C12412" t="s">
        <v>27303</v>
      </c>
      <c r="D12412" t="s">
        <v>57</v>
      </c>
      <c r="E12412" t="s">
        <v>39</v>
      </c>
      <c r="F12412">
        <v>0</v>
      </c>
      <c r="G12412">
        <v>0</v>
      </c>
      <c r="H12412">
        <v>1</v>
      </c>
      <c r="I12412" s="3">
        <v>1011.01</v>
      </c>
      <c r="J12412" s="3">
        <v>0</v>
      </c>
      <c r="L12412">
        <v>209</v>
      </c>
      <c r="M12412" t="s">
        <v>18095</v>
      </c>
      <c r="N12412" t="s">
        <v>30</v>
      </c>
      <c r="O12412" t="s">
        <v>31</v>
      </c>
      <c r="P12412" t="str">
        <f t="shared" si="154"/>
        <v>15211</v>
      </c>
    </row>
    <row r="12413" spans="1:16" x14ac:dyDescent="0.25">
      <c r="A12413" t="str">
        <f>"1190001N00043    00"</f>
        <v>1190001N00043    00</v>
      </c>
      <c r="B12413" t="s">
        <v>27304</v>
      </c>
      <c r="C12413" t="s">
        <v>27305</v>
      </c>
      <c r="D12413" t="s">
        <v>20</v>
      </c>
      <c r="E12413" t="s">
        <v>39</v>
      </c>
      <c r="F12413">
        <v>0</v>
      </c>
      <c r="G12413">
        <v>0</v>
      </c>
      <c r="H12413">
        <v>1</v>
      </c>
      <c r="I12413" s="3">
        <v>28.2</v>
      </c>
      <c r="J12413" s="3">
        <v>19.5</v>
      </c>
      <c r="L12413">
        <v>1712</v>
      </c>
      <c r="M12413" t="s">
        <v>27306</v>
      </c>
      <c r="N12413" t="s">
        <v>30</v>
      </c>
      <c r="O12413" t="s">
        <v>31</v>
      </c>
      <c r="P12413" t="str">
        <f t="shared" si="154"/>
        <v>15211</v>
      </c>
    </row>
    <row r="12414" spans="1:16" x14ac:dyDescent="0.25">
      <c r="A12414" t="str">
        <f>"1190001N00049    00"</f>
        <v>1190001N00049    00</v>
      </c>
      <c r="B12414" t="s">
        <v>27307</v>
      </c>
      <c r="C12414" t="s">
        <v>27308</v>
      </c>
      <c r="E12414" t="s">
        <v>39</v>
      </c>
      <c r="F12414">
        <v>0</v>
      </c>
      <c r="G12414">
        <v>0</v>
      </c>
      <c r="H12414">
        <v>7</v>
      </c>
      <c r="I12414" s="3">
        <v>7054.93</v>
      </c>
      <c r="J12414" s="3">
        <v>200.66</v>
      </c>
      <c r="K12414" t="s">
        <v>27309</v>
      </c>
      <c r="L12414">
        <v>496</v>
      </c>
      <c r="M12414" t="s">
        <v>9319</v>
      </c>
      <c r="N12414" t="s">
        <v>30</v>
      </c>
      <c r="O12414" t="s">
        <v>31</v>
      </c>
      <c r="P12414" t="str">
        <f t="shared" si="154"/>
        <v>15211</v>
      </c>
    </row>
    <row r="12415" spans="1:16" x14ac:dyDescent="0.25">
      <c r="A12415" t="str">
        <f>"1190001N00052    00"</f>
        <v>1190001N00052    00</v>
      </c>
      <c r="B12415" t="s">
        <v>27310</v>
      </c>
      <c r="C12415" t="s">
        <v>27311</v>
      </c>
      <c r="E12415" t="s">
        <v>39</v>
      </c>
      <c r="F12415">
        <v>0</v>
      </c>
      <c r="G12415">
        <v>0</v>
      </c>
      <c r="H12415">
        <v>1</v>
      </c>
      <c r="I12415" s="3">
        <v>534.21</v>
      </c>
      <c r="J12415" s="3">
        <v>0</v>
      </c>
      <c r="L12415">
        <v>121</v>
      </c>
      <c r="M12415" t="s">
        <v>18095</v>
      </c>
      <c r="N12415" t="s">
        <v>30</v>
      </c>
      <c r="O12415" t="s">
        <v>31</v>
      </c>
      <c r="P12415" t="str">
        <f t="shared" si="154"/>
        <v>15211</v>
      </c>
    </row>
    <row r="12416" spans="1:16" x14ac:dyDescent="0.25">
      <c r="A12416" t="str">
        <f>"1190001N00079    00"</f>
        <v>1190001N00079    00</v>
      </c>
      <c r="B12416" t="s">
        <v>27312</v>
      </c>
      <c r="C12416" t="s">
        <v>27313</v>
      </c>
      <c r="D12416" t="s">
        <v>20</v>
      </c>
      <c r="E12416" t="s">
        <v>39</v>
      </c>
      <c r="F12416">
        <v>0</v>
      </c>
      <c r="G12416">
        <v>0</v>
      </c>
      <c r="H12416">
        <v>2</v>
      </c>
      <c r="I12416" s="3">
        <v>2350.21</v>
      </c>
      <c r="J12416" s="3">
        <v>0.02</v>
      </c>
      <c r="K12416" t="s">
        <v>27314</v>
      </c>
      <c r="L12416">
        <v>122</v>
      </c>
      <c r="M12416" t="s">
        <v>27315</v>
      </c>
      <c r="N12416" t="s">
        <v>1766</v>
      </c>
      <c r="O12416" t="s">
        <v>31</v>
      </c>
      <c r="P12416" t="str">
        <f>"15367"</f>
        <v>15367</v>
      </c>
    </row>
    <row r="12417" spans="1:16" x14ac:dyDescent="0.25">
      <c r="A12417" t="str">
        <f>"1190001N00095    00"</f>
        <v>1190001N00095    00</v>
      </c>
      <c r="B12417" t="s">
        <v>27316</v>
      </c>
      <c r="C12417" t="s">
        <v>27317</v>
      </c>
      <c r="D12417" t="s">
        <v>20</v>
      </c>
      <c r="E12417" t="s">
        <v>39</v>
      </c>
      <c r="F12417">
        <v>0</v>
      </c>
      <c r="G12417">
        <v>0</v>
      </c>
      <c r="H12417">
        <v>16</v>
      </c>
      <c r="I12417" s="3">
        <v>25217.67</v>
      </c>
      <c r="J12417" s="3">
        <v>17270.759999999998</v>
      </c>
      <c r="L12417">
        <v>237</v>
      </c>
      <c r="M12417" t="s">
        <v>27318</v>
      </c>
      <c r="N12417" t="s">
        <v>30</v>
      </c>
      <c r="O12417" t="s">
        <v>31</v>
      </c>
      <c r="P12417" t="str">
        <f>"15211"</f>
        <v>15211</v>
      </c>
    </row>
    <row r="12418" spans="1:16" x14ac:dyDescent="0.25">
      <c r="A12418" t="str">
        <f>"1190001N00112000300"</f>
        <v>1190001N00112000300</v>
      </c>
      <c r="B12418" t="s">
        <v>27319</v>
      </c>
      <c r="C12418" t="s">
        <v>27320</v>
      </c>
      <c r="D12418" t="s">
        <v>33</v>
      </c>
      <c r="E12418" t="s">
        <v>39</v>
      </c>
      <c r="F12418">
        <v>0</v>
      </c>
      <c r="G12418">
        <v>0</v>
      </c>
      <c r="H12418">
        <v>13</v>
      </c>
      <c r="I12418" s="3">
        <v>13011.53</v>
      </c>
      <c r="J12418" s="3">
        <v>9869.6</v>
      </c>
      <c r="P12418" t="str">
        <f>""</f>
        <v/>
      </c>
    </row>
    <row r="12419" spans="1:16" x14ac:dyDescent="0.25">
      <c r="A12419" t="str">
        <f>"1190001N00149000100"</f>
        <v>1190001N00149000100</v>
      </c>
      <c r="B12419" t="s">
        <v>27321</v>
      </c>
      <c r="C12419" t="s">
        <v>27322</v>
      </c>
      <c r="D12419" t="s">
        <v>20</v>
      </c>
      <c r="E12419" t="s">
        <v>39</v>
      </c>
      <c r="F12419">
        <v>0</v>
      </c>
      <c r="G12419">
        <v>0</v>
      </c>
      <c r="H12419">
        <v>3</v>
      </c>
      <c r="I12419" s="3">
        <v>388.83</v>
      </c>
      <c r="J12419" s="3">
        <v>25.92</v>
      </c>
      <c r="K12419" t="s">
        <v>27323</v>
      </c>
      <c r="L12419">
        <v>130</v>
      </c>
      <c r="M12419" t="s">
        <v>27324</v>
      </c>
      <c r="N12419" t="s">
        <v>30</v>
      </c>
      <c r="O12419" t="s">
        <v>31</v>
      </c>
      <c r="P12419" t="str">
        <f>"15211"</f>
        <v>15211</v>
      </c>
    </row>
    <row r="12420" spans="1:16" x14ac:dyDescent="0.25">
      <c r="A12420" t="str">
        <f>"1190001N00163    00"</f>
        <v>1190001N00163    00</v>
      </c>
      <c r="B12420" t="s">
        <v>27325</v>
      </c>
      <c r="C12420" t="s">
        <v>27326</v>
      </c>
      <c r="D12420" t="s">
        <v>57</v>
      </c>
      <c r="E12420" t="s">
        <v>39</v>
      </c>
      <c r="F12420">
        <v>0</v>
      </c>
      <c r="G12420">
        <v>0</v>
      </c>
      <c r="H12420">
        <v>1</v>
      </c>
      <c r="I12420" s="3">
        <v>7455.22</v>
      </c>
      <c r="J12420" s="3">
        <v>1553.1</v>
      </c>
      <c r="K12420" t="s">
        <v>756</v>
      </c>
      <c r="L12420">
        <v>3001</v>
      </c>
      <c r="M12420" t="s">
        <v>330</v>
      </c>
      <c r="N12420" t="s">
        <v>331</v>
      </c>
      <c r="O12420" t="s">
        <v>108</v>
      </c>
      <c r="P12420" t="str">
        <f>"75063"</f>
        <v>75063</v>
      </c>
    </row>
    <row r="12421" spans="1:16" x14ac:dyDescent="0.25">
      <c r="A12421" t="str">
        <f>"1190001N00171    00"</f>
        <v>1190001N00171    00</v>
      </c>
      <c r="B12421" t="s">
        <v>27327</v>
      </c>
      <c r="C12421" t="s">
        <v>27328</v>
      </c>
      <c r="D12421" t="s">
        <v>20</v>
      </c>
      <c r="E12421" t="s">
        <v>39</v>
      </c>
      <c r="F12421">
        <v>0</v>
      </c>
      <c r="G12421">
        <v>0</v>
      </c>
      <c r="H12421">
        <v>2</v>
      </c>
      <c r="I12421" s="3">
        <v>3972.1</v>
      </c>
      <c r="J12421" s="3">
        <v>0</v>
      </c>
      <c r="K12421" t="s">
        <v>27329</v>
      </c>
      <c r="L12421">
        <v>116</v>
      </c>
      <c r="M12421" t="s">
        <v>22706</v>
      </c>
      <c r="N12421" t="s">
        <v>139</v>
      </c>
      <c r="O12421" t="s">
        <v>31</v>
      </c>
      <c r="P12421" t="str">
        <f>"15090"</f>
        <v>15090</v>
      </c>
    </row>
    <row r="12422" spans="1:16" x14ac:dyDescent="0.25">
      <c r="A12422" t="str">
        <f>"1190001N00172    00"</f>
        <v>1190001N00172    00</v>
      </c>
      <c r="B12422" t="s">
        <v>27330</v>
      </c>
      <c r="C12422" t="s">
        <v>27331</v>
      </c>
      <c r="D12422" t="s">
        <v>20</v>
      </c>
      <c r="E12422" t="s">
        <v>39</v>
      </c>
      <c r="F12422">
        <v>0</v>
      </c>
      <c r="G12422">
        <v>0</v>
      </c>
      <c r="H12422">
        <v>5</v>
      </c>
      <c r="I12422" s="3">
        <v>4293.88</v>
      </c>
      <c r="J12422" s="3">
        <v>765.99</v>
      </c>
      <c r="L12422">
        <v>175</v>
      </c>
      <c r="M12422" t="s">
        <v>27324</v>
      </c>
      <c r="N12422" t="s">
        <v>30</v>
      </c>
      <c r="O12422" t="s">
        <v>31</v>
      </c>
      <c r="P12422" t="str">
        <f>"15211"</f>
        <v>15211</v>
      </c>
    </row>
    <row r="12423" spans="1:16" x14ac:dyDescent="0.25">
      <c r="A12423" t="str">
        <f>"1190001N00180    00"</f>
        <v>1190001N00180    00</v>
      </c>
      <c r="B12423" t="s">
        <v>27332</v>
      </c>
      <c r="C12423" t="s">
        <v>27322</v>
      </c>
      <c r="E12423" t="s">
        <v>39</v>
      </c>
      <c r="F12423">
        <v>0</v>
      </c>
      <c r="G12423">
        <v>0</v>
      </c>
      <c r="H12423">
        <v>5</v>
      </c>
      <c r="I12423" s="3">
        <v>4945.79</v>
      </c>
      <c r="J12423" s="3">
        <v>4631.88</v>
      </c>
      <c r="L12423">
        <v>1340</v>
      </c>
      <c r="M12423" t="s">
        <v>27333</v>
      </c>
      <c r="N12423" t="s">
        <v>30</v>
      </c>
      <c r="O12423" t="s">
        <v>31</v>
      </c>
      <c r="P12423" t="str">
        <f>"15216"</f>
        <v>15216</v>
      </c>
    </row>
    <row r="12424" spans="1:16" x14ac:dyDescent="0.25">
      <c r="A12424" t="str">
        <f>"1190001N00182    00"</f>
        <v>1190001N00182    00</v>
      </c>
      <c r="B12424" t="s">
        <v>27332</v>
      </c>
      <c r="C12424" t="s">
        <v>27322</v>
      </c>
      <c r="D12424" t="s">
        <v>20</v>
      </c>
      <c r="E12424" t="s">
        <v>39</v>
      </c>
      <c r="F12424">
        <v>0</v>
      </c>
      <c r="G12424">
        <v>0</v>
      </c>
      <c r="H12424">
        <v>12</v>
      </c>
      <c r="I12424" s="3">
        <v>797.73</v>
      </c>
      <c r="J12424" s="3">
        <v>442.08</v>
      </c>
      <c r="L12424">
        <v>1340</v>
      </c>
      <c r="M12424" t="s">
        <v>27333</v>
      </c>
      <c r="N12424" t="s">
        <v>30</v>
      </c>
      <c r="O12424" t="s">
        <v>31</v>
      </c>
      <c r="P12424" t="str">
        <f>"15216"</f>
        <v>15216</v>
      </c>
    </row>
    <row r="12425" spans="1:16" x14ac:dyDescent="0.25">
      <c r="A12425" t="str">
        <f>"1190001N00266    00"</f>
        <v>1190001N00266    00</v>
      </c>
      <c r="B12425" t="s">
        <v>27334</v>
      </c>
      <c r="C12425" t="s">
        <v>27335</v>
      </c>
      <c r="D12425" t="s">
        <v>20</v>
      </c>
      <c r="E12425" t="s">
        <v>39</v>
      </c>
      <c r="F12425">
        <v>0</v>
      </c>
      <c r="G12425">
        <v>0</v>
      </c>
      <c r="H12425">
        <v>1</v>
      </c>
      <c r="I12425" s="3">
        <v>1236.67</v>
      </c>
      <c r="J12425" s="3">
        <v>0</v>
      </c>
      <c r="K12425" t="s">
        <v>27336</v>
      </c>
      <c r="L12425">
        <v>123</v>
      </c>
      <c r="M12425" t="s">
        <v>27337</v>
      </c>
      <c r="N12425" t="s">
        <v>30</v>
      </c>
      <c r="O12425" t="s">
        <v>31</v>
      </c>
      <c r="P12425" t="str">
        <f>"15211"</f>
        <v>15211</v>
      </c>
    </row>
    <row r="12426" spans="1:16" x14ac:dyDescent="0.25">
      <c r="A12426" t="str">
        <f>"1190001N00273    00"</f>
        <v>1190001N00273    00</v>
      </c>
      <c r="B12426" t="s">
        <v>1737</v>
      </c>
      <c r="C12426" t="s">
        <v>27338</v>
      </c>
      <c r="D12426" t="s">
        <v>20</v>
      </c>
      <c r="E12426" t="s">
        <v>39</v>
      </c>
      <c r="F12426">
        <v>0</v>
      </c>
      <c r="G12426">
        <v>0</v>
      </c>
      <c r="H12426">
        <v>1</v>
      </c>
      <c r="I12426" s="3">
        <v>3796.76</v>
      </c>
      <c r="J12426" s="3">
        <v>0</v>
      </c>
      <c r="K12426" t="s">
        <v>1739</v>
      </c>
      <c r="L12426">
        <v>630</v>
      </c>
      <c r="M12426" t="s">
        <v>27339</v>
      </c>
      <c r="N12426" t="s">
        <v>30</v>
      </c>
      <c r="O12426" t="s">
        <v>31</v>
      </c>
      <c r="P12426" t="str">
        <f>"15212"</f>
        <v>15212</v>
      </c>
    </row>
    <row r="12427" spans="1:16" x14ac:dyDescent="0.25">
      <c r="A12427" t="str">
        <f>"1190001N002811B  00"</f>
        <v>1190001N002811B  00</v>
      </c>
      <c r="B12427" t="s">
        <v>27340</v>
      </c>
      <c r="C12427" t="s">
        <v>27341</v>
      </c>
      <c r="D12427" t="s">
        <v>20</v>
      </c>
      <c r="E12427" t="s">
        <v>39</v>
      </c>
      <c r="F12427">
        <v>0</v>
      </c>
      <c r="G12427">
        <v>0</v>
      </c>
      <c r="H12427">
        <v>3</v>
      </c>
      <c r="I12427" s="3">
        <v>8437.8799999999992</v>
      </c>
      <c r="J12427" s="3">
        <v>58.88</v>
      </c>
      <c r="K12427" t="s">
        <v>27342</v>
      </c>
      <c r="L12427">
        <v>501</v>
      </c>
      <c r="M12427" t="s">
        <v>27343</v>
      </c>
      <c r="N12427" t="s">
        <v>30</v>
      </c>
      <c r="O12427" t="s">
        <v>31</v>
      </c>
      <c r="P12427" t="str">
        <f>"15211"</f>
        <v>15211</v>
      </c>
    </row>
    <row r="12428" spans="1:16" x14ac:dyDescent="0.25">
      <c r="A12428" t="str">
        <f>"1190001N00316    00"</f>
        <v>1190001N00316    00</v>
      </c>
      <c r="B12428" t="s">
        <v>27344</v>
      </c>
      <c r="C12428" t="s">
        <v>27345</v>
      </c>
      <c r="D12428" t="s">
        <v>20</v>
      </c>
      <c r="E12428" t="s">
        <v>39</v>
      </c>
      <c r="F12428">
        <v>0</v>
      </c>
      <c r="G12428">
        <v>0</v>
      </c>
      <c r="H12428">
        <v>1</v>
      </c>
      <c r="I12428" s="3">
        <v>417.54</v>
      </c>
      <c r="J12428" s="3">
        <v>0</v>
      </c>
      <c r="L12428">
        <v>160</v>
      </c>
      <c r="M12428" t="s">
        <v>27346</v>
      </c>
      <c r="N12428" t="s">
        <v>30</v>
      </c>
      <c r="O12428" t="s">
        <v>31</v>
      </c>
      <c r="P12428" t="str">
        <f>"15211"</f>
        <v>15211</v>
      </c>
    </row>
    <row r="12429" spans="1:16" x14ac:dyDescent="0.25">
      <c r="A12429" t="str">
        <f>"1190001P00026    00"</f>
        <v>1190001P00026    00</v>
      </c>
      <c r="B12429" t="s">
        <v>27347</v>
      </c>
      <c r="C12429" t="s">
        <v>27348</v>
      </c>
      <c r="E12429" t="s">
        <v>39</v>
      </c>
      <c r="F12429">
        <v>0</v>
      </c>
      <c r="G12429">
        <v>0</v>
      </c>
      <c r="H12429">
        <v>1</v>
      </c>
      <c r="I12429" s="3">
        <v>629.77</v>
      </c>
      <c r="J12429" s="3">
        <v>173.18</v>
      </c>
      <c r="K12429" t="s">
        <v>27349</v>
      </c>
      <c r="L12429">
        <v>1338</v>
      </c>
      <c r="M12429" t="s">
        <v>4167</v>
      </c>
      <c r="N12429" t="s">
        <v>30</v>
      </c>
      <c r="O12429" t="s">
        <v>31</v>
      </c>
      <c r="P12429" t="str">
        <f>"15212"</f>
        <v>15212</v>
      </c>
    </row>
    <row r="12430" spans="1:16" x14ac:dyDescent="0.25">
      <c r="A12430" t="str">
        <f>"1190004A00003    00"</f>
        <v>1190004A00003    00</v>
      </c>
      <c r="B12430" t="s">
        <v>27350</v>
      </c>
      <c r="C12430" t="s">
        <v>27351</v>
      </c>
      <c r="D12430" t="s">
        <v>20</v>
      </c>
      <c r="E12430" t="s">
        <v>39</v>
      </c>
      <c r="F12430">
        <v>0</v>
      </c>
      <c r="G12430">
        <v>0</v>
      </c>
      <c r="H12430">
        <v>2</v>
      </c>
      <c r="I12430" s="3">
        <v>4515.34</v>
      </c>
      <c r="J12430" s="3">
        <v>0</v>
      </c>
      <c r="L12430">
        <v>323</v>
      </c>
      <c r="M12430" t="s">
        <v>27352</v>
      </c>
      <c r="N12430" t="s">
        <v>30</v>
      </c>
      <c r="O12430" t="s">
        <v>31</v>
      </c>
      <c r="P12430" t="str">
        <f>"15211"</f>
        <v>15211</v>
      </c>
    </row>
    <row r="12431" spans="1:16" x14ac:dyDescent="0.25">
      <c r="A12431" t="str">
        <f>"1190004A00005    00"</f>
        <v>1190004A00005    00</v>
      </c>
      <c r="B12431" t="s">
        <v>27350</v>
      </c>
      <c r="C12431" t="s">
        <v>27353</v>
      </c>
      <c r="D12431" t="s">
        <v>20</v>
      </c>
      <c r="E12431" t="s">
        <v>39</v>
      </c>
      <c r="F12431">
        <v>0</v>
      </c>
      <c r="G12431">
        <v>0</v>
      </c>
      <c r="H12431">
        <v>2</v>
      </c>
      <c r="I12431" s="3">
        <v>2279.59</v>
      </c>
      <c r="J12431" s="3">
        <v>0</v>
      </c>
      <c r="L12431">
        <v>323</v>
      </c>
      <c r="M12431" t="s">
        <v>27352</v>
      </c>
      <c r="N12431" t="s">
        <v>30</v>
      </c>
      <c r="O12431" t="s">
        <v>31</v>
      </c>
      <c r="P12431" t="str">
        <f>"15211"</f>
        <v>15211</v>
      </c>
    </row>
    <row r="12432" spans="1:16" x14ac:dyDescent="0.25">
      <c r="A12432" t="str">
        <f>"1190004A00009    00"</f>
        <v>1190004A00009    00</v>
      </c>
      <c r="B12432" t="s">
        <v>27354</v>
      </c>
      <c r="C12432" t="s">
        <v>27355</v>
      </c>
      <c r="D12432" t="s">
        <v>20</v>
      </c>
      <c r="E12432" t="s">
        <v>39</v>
      </c>
      <c r="F12432">
        <v>0</v>
      </c>
      <c r="G12432">
        <v>0</v>
      </c>
      <c r="H12432">
        <v>1</v>
      </c>
      <c r="I12432" s="3">
        <v>514.64</v>
      </c>
      <c r="J12432" s="3">
        <v>0</v>
      </c>
      <c r="K12432" t="s">
        <v>27356</v>
      </c>
      <c r="L12432">
        <v>321</v>
      </c>
      <c r="M12432" t="s">
        <v>27318</v>
      </c>
      <c r="N12432" t="s">
        <v>30</v>
      </c>
      <c r="O12432" t="s">
        <v>31</v>
      </c>
      <c r="P12432" t="str">
        <f>"15211"</f>
        <v>15211</v>
      </c>
    </row>
    <row r="12433" spans="1:16" x14ac:dyDescent="0.25">
      <c r="A12433" t="str">
        <f>"1190004A00011    00"</f>
        <v>1190004A00011    00</v>
      </c>
      <c r="B12433" t="s">
        <v>27357</v>
      </c>
      <c r="C12433" t="s">
        <v>27358</v>
      </c>
      <c r="D12433" t="s">
        <v>20</v>
      </c>
      <c r="E12433" t="s">
        <v>39</v>
      </c>
      <c r="F12433">
        <v>0</v>
      </c>
      <c r="G12433">
        <v>0</v>
      </c>
      <c r="H12433">
        <v>1</v>
      </c>
      <c r="I12433" s="3">
        <v>1054.48</v>
      </c>
      <c r="J12433" s="3">
        <v>0</v>
      </c>
      <c r="K12433" t="s">
        <v>27359</v>
      </c>
      <c r="L12433">
        <v>2372</v>
      </c>
      <c r="M12433" t="s">
        <v>27360</v>
      </c>
      <c r="N12433" t="s">
        <v>30</v>
      </c>
      <c r="O12433" t="s">
        <v>31</v>
      </c>
      <c r="P12433" t="str">
        <f>"15241"</f>
        <v>15241</v>
      </c>
    </row>
    <row r="12434" spans="1:16" x14ac:dyDescent="0.25">
      <c r="A12434" t="str">
        <f>"1190004A00028    00"</f>
        <v>1190004A00028    00</v>
      </c>
      <c r="B12434" t="s">
        <v>27361</v>
      </c>
      <c r="C12434" t="s">
        <v>27362</v>
      </c>
      <c r="D12434" t="s">
        <v>20</v>
      </c>
      <c r="E12434" t="s">
        <v>39</v>
      </c>
      <c r="F12434">
        <v>0</v>
      </c>
      <c r="G12434">
        <v>0</v>
      </c>
      <c r="H12434">
        <v>2</v>
      </c>
      <c r="I12434" s="3">
        <v>2946.7</v>
      </c>
      <c r="J12434" s="3">
        <v>0</v>
      </c>
      <c r="K12434" t="s">
        <v>27363</v>
      </c>
      <c r="L12434">
        <v>116</v>
      </c>
      <c r="M12434" t="s">
        <v>22706</v>
      </c>
      <c r="N12434" t="s">
        <v>139</v>
      </c>
      <c r="O12434" t="s">
        <v>31</v>
      </c>
      <c r="P12434" t="str">
        <f>"15090"</f>
        <v>15090</v>
      </c>
    </row>
    <row r="12435" spans="1:16" x14ac:dyDescent="0.25">
      <c r="A12435" t="str">
        <f>"1190004A00032    00"</f>
        <v>1190004A00032    00</v>
      </c>
      <c r="B12435" t="s">
        <v>27354</v>
      </c>
      <c r="C12435" t="s">
        <v>27364</v>
      </c>
      <c r="D12435" t="s">
        <v>20</v>
      </c>
      <c r="E12435" t="s">
        <v>39</v>
      </c>
      <c r="F12435">
        <v>0</v>
      </c>
      <c r="G12435">
        <v>0</v>
      </c>
      <c r="H12435">
        <v>1</v>
      </c>
      <c r="I12435" s="3">
        <v>1732.56</v>
      </c>
      <c r="J12435" s="3">
        <v>0</v>
      </c>
      <c r="K12435" t="s">
        <v>27356</v>
      </c>
      <c r="L12435">
        <v>321</v>
      </c>
      <c r="M12435" t="s">
        <v>27318</v>
      </c>
      <c r="N12435" t="s">
        <v>30</v>
      </c>
      <c r="O12435" t="s">
        <v>31</v>
      </c>
      <c r="P12435" t="str">
        <f t="shared" ref="P12435:P12444" si="155">"15211"</f>
        <v>15211</v>
      </c>
    </row>
    <row r="12436" spans="1:16" x14ac:dyDescent="0.25">
      <c r="A12436" t="str">
        <f>"1190004A00033    00"</f>
        <v>1190004A00033    00</v>
      </c>
      <c r="B12436" t="s">
        <v>27354</v>
      </c>
      <c r="C12436" t="s">
        <v>27364</v>
      </c>
      <c r="D12436" t="s">
        <v>20</v>
      </c>
      <c r="E12436" t="s">
        <v>21</v>
      </c>
      <c r="F12436">
        <v>0</v>
      </c>
      <c r="G12436">
        <v>0</v>
      </c>
      <c r="H12436">
        <v>1</v>
      </c>
      <c r="I12436" s="3">
        <v>367.87</v>
      </c>
      <c r="J12436" s="3">
        <v>0</v>
      </c>
      <c r="K12436" t="s">
        <v>27356</v>
      </c>
      <c r="L12436">
        <v>321</v>
      </c>
      <c r="M12436" t="s">
        <v>27318</v>
      </c>
      <c r="N12436" t="s">
        <v>30</v>
      </c>
      <c r="O12436" t="s">
        <v>31</v>
      </c>
      <c r="P12436" t="str">
        <f t="shared" si="155"/>
        <v>15211</v>
      </c>
    </row>
    <row r="12437" spans="1:16" x14ac:dyDescent="0.25">
      <c r="A12437" t="str">
        <f>"1190004A00034    00"</f>
        <v>1190004A00034    00</v>
      </c>
      <c r="B12437" t="s">
        <v>27354</v>
      </c>
      <c r="C12437" t="s">
        <v>27364</v>
      </c>
      <c r="D12437" t="s">
        <v>20</v>
      </c>
      <c r="E12437" t="s">
        <v>21</v>
      </c>
      <c r="F12437">
        <v>0</v>
      </c>
      <c r="G12437">
        <v>0</v>
      </c>
      <c r="H12437">
        <v>1</v>
      </c>
      <c r="I12437" s="3">
        <v>362.14</v>
      </c>
      <c r="J12437" s="3">
        <v>0</v>
      </c>
      <c r="K12437" t="s">
        <v>27356</v>
      </c>
      <c r="L12437">
        <v>321</v>
      </c>
      <c r="M12437" t="s">
        <v>27318</v>
      </c>
      <c r="N12437" t="s">
        <v>30</v>
      </c>
      <c r="O12437" t="s">
        <v>31</v>
      </c>
      <c r="P12437" t="str">
        <f t="shared" si="155"/>
        <v>15211</v>
      </c>
    </row>
    <row r="12438" spans="1:16" x14ac:dyDescent="0.25">
      <c r="A12438" t="str">
        <f>"1190004A00036    00"</f>
        <v>1190004A00036    00</v>
      </c>
      <c r="B12438" t="s">
        <v>27354</v>
      </c>
      <c r="C12438" t="s">
        <v>27365</v>
      </c>
      <c r="D12438" t="s">
        <v>20</v>
      </c>
      <c r="E12438" t="s">
        <v>21</v>
      </c>
      <c r="F12438">
        <v>0</v>
      </c>
      <c r="G12438">
        <v>0</v>
      </c>
      <c r="H12438">
        <v>1</v>
      </c>
      <c r="I12438" s="3">
        <v>4151.2700000000004</v>
      </c>
      <c r="J12438" s="3">
        <v>0</v>
      </c>
      <c r="L12438">
        <v>321</v>
      </c>
      <c r="M12438" t="s">
        <v>27318</v>
      </c>
      <c r="N12438" t="s">
        <v>30</v>
      </c>
      <c r="O12438" t="s">
        <v>31</v>
      </c>
      <c r="P12438" t="str">
        <f t="shared" si="155"/>
        <v>15211</v>
      </c>
    </row>
    <row r="12439" spans="1:16" x14ac:dyDescent="0.25">
      <c r="A12439" t="str">
        <f>"1190004A00038    00"</f>
        <v>1190004A00038    00</v>
      </c>
      <c r="B12439" t="s">
        <v>27354</v>
      </c>
      <c r="C12439" t="s">
        <v>27365</v>
      </c>
      <c r="D12439" t="s">
        <v>20</v>
      </c>
      <c r="E12439" t="s">
        <v>21</v>
      </c>
      <c r="F12439">
        <v>0</v>
      </c>
      <c r="G12439">
        <v>0</v>
      </c>
      <c r="H12439">
        <v>1</v>
      </c>
      <c r="I12439" s="3">
        <v>127.71</v>
      </c>
      <c r="J12439" s="3">
        <v>0</v>
      </c>
      <c r="K12439" t="s">
        <v>27356</v>
      </c>
      <c r="L12439">
        <v>321</v>
      </c>
      <c r="M12439" t="s">
        <v>27318</v>
      </c>
      <c r="N12439" t="s">
        <v>30</v>
      </c>
      <c r="O12439" t="s">
        <v>31</v>
      </c>
      <c r="P12439" t="str">
        <f t="shared" si="155"/>
        <v>15211</v>
      </c>
    </row>
    <row r="12440" spans="1:16" x14ac:dyDescent="0.25">
      <c r="A12440" t="str">
        <f>"1190004A00039    00"</f>
        <v>1190004A00039    00</v>
      </c>
      <c r="B12440" t="s">
        <v>27354</v>
      </c>
      <c r="C12440" t="s">
        <v>27366</v>
      </c>
      <c r="D12440" t="s">
        <v>20</v>
      </c>
      <c r="E12440" t="s">
        <v>39</v>
      </c>
      <c r="F12440">
        <v>0</v>
      </c>
      <c r="G12440">
        <v>0</v>
      </c>
      <c r="H12440">
        <v>1</v>
      </c>
      <c r="I12440" s="3">
        <v>1723.04</v>
      </c>
      <c r="J12440" s="3">
        <v>0</v>
      </c>
      <c r="L12440">
        <v>321</v>
      </c>
      <c r="M12440" t="s">
        <v>27318</v>
      </c>
      <c r="N12440" t="s">
        <v>30</v>
      </c>
      <c r="O12440" t="s">
        <v>31</v>
      </c>
      <c r="P12440" t="str">
        <f t="shared" si="155"/>
        <v>15211</v>
      </c>
    </row>
    <row r="12441" spans="1:16" x14ac:dyDescent="0.25">
      <c r="A12441" t="str">
        <f>"1190004A00040    00"</f>
        <v>1190004A00040    00</v>
      </c>
      <c r="B12441" t="s">
        <v>27354</v>
      </c>
      <c r="C12441" t="s">
        <v>27367</v>
      </c>
      <c r="D12441" t="s">
        <v>20</v>
      </c>
      <c r="E12441" t="s">
        <v>21</v>
      </c>
      <c r="F12441">
        <v>0</v>
      </c>
      <c r="G12441">
        <v>0</v>
      </c>
      <c r="H12441">
        <v>1</v>
      </c>
      <c r="I12441" s="3">
        <v>5569.35</v>
      </c>
      <c r="J12441" s="3">
        <v>0</v>
      </c>
      <c r="K12441" t="s">
        <v>27356</v>
      </c>
      <c r="L12441">
        <v>321</v>
      </c>
      <c r="M12441" t="s">
        <v>27318</v>
      </c>
      <c r="N12441" t="s">
        <v>30</v>
      </c>
      <c r="O12441" t="s">
        <v>31</v>
      </c>
      <c r="P12441" t="str">
        <f t="shared" si="155"/>
        <v>15211</v>
      </c>
    </row>
    <row r="12442" spans="1:16" x14ac:dyDescent="0.25">
      <c r="A12442" t="str">
        <f>"1190004A00044    00"</f>
        <v>1190004A00044    00</v>
      </c>
      <c r="B12442" t="s">
        <v>27354</v>
      </c>
      <c r="C12442" t="s">
        <v>27368</v>
      </c>
      <c r="D12442" t="s">
        <v>20</v>
      </c>
      <c r="E12442" t="s">
        <v>39</v>
      </c>
      <c r="F12442">
        <v>0</v>
      </c>
      <c r="G12442">
        <v>0</v>
      </c>
      <c r="H12442">
        <v>1</v>
      </c>
      <c r="I12442" s="3">
        <v>1646.78</v>
      </c>
      <c r="J12442" s="3">
        <v>0</v>
      </c>
      <c r="K12442" t="s">
        <v>27356</v>
      </c>
      <c r="L12442">
        <v>321</v>
      </c>
      <c r="M12442" t="s">
        <v>27318</v>
      </c>
      <c r="N12442" t="s">
        <v>30</v>
      </c>
      <c r="O12442" t="s">
        <v>31</v>
      </c>
      <c r="P12442" t="str">
        <f t="shared" si="155"/>
        <v>15211</v>
      </c>
    </row>
    <row r="12443" spans="1:16" x14ac:dyDescent="0.25">
      <c r="A12443" t="str">
        <f>"1190004A00056    01"</f>
        <v>1190004A00056    01</v>
      </c>
      <c r="B12443" t="s">
        <v>27354</v>
      </c>
      <c r="C12443" t="s">
        <v>27365</v>
      </c>
      <c r="D12443" t="s">
        <v>20</v>
      </c>
      <c r="E12443" t="s">
        <v>21</v>
      </c>
      <c r="F12443">
        <v>0</v>
      </c>
      <c r="G12443">
        <v>0</v>
      </c>
      <c r="H12443">
        <v>1</v>
      </c>
      <c r="I12443" s="3">
        <v>415.51</v>
      </c>
      <c r="J12443" s="3">
        <v>0</v>
      </c>
      <c r="L12443">
        <v>321</v>
      </c>
      <c r="M12443" t="s">
        <v>27318</v>
      </c>
      <c r="N12443" t="s">
        <v>30</v>
      </c>
      <c r="O12443" t="s">
        <v>31</v>
      </c>
      <c r="P12443" t="str">
        <f t="shared" si="155"/>
        <v>15211</v>
      </c>
    </row>
    <row r="12444" spans="1:16" x14ac:dyDescent="0.25">
      <c r="A12444" t="str">
        <f>"1190004A00060    00"</f>
        <v>1190004A00060    00</v>
      </c>
      <c r="B12444" t="s">
        <v>27354</v>
      </c>
      <c r="C12444" t="s">
        <v>27369</v>
      </c>
      <c r="D12444" t="s">
        <v>20</v>
      </c>
      <c r="E12444" t="s">
        <v>39</v>
      </c>
      <c r="F12444">
        <v>0</v>
      </c>
      <c r="G12444">
        <v>0</v>
      </c>
      <c r="H12444">
        <v>1</v>
      </c>
      <c r="I12444" s="3">
        <v>1343.74</v>
      </c>
      <c r="J12444" s="3">
        <v>0</v>
      </c>
      <c r="L12444">
        <v>321</v>
      </c>
      <c r="M12444" t="s">
        <v>27318</v>
      </c>
      <c r="N12444" t="s">
        <v>30</v>
      </c>
      <c r="O12444" t="s">
        <v>31</v>
      </c>
      <c r="P12444" t="str">
        <f t="shared" si="155"/>
        <v>15211</v>
      </c>
    </row>
    <row r="12445" spans="1:16" x14ac:dyDescent="0.25">
      <c r="A12445" t="str">
        <f>"1190004A00072    00"</f>
        <v>1190004A00072    00</v>
      </c>
      <c r="B12445" t="s">
        <v>27370</v>
      </c>
      <c r="C12445" t="s">
        <v>27371</v>
      </c>
      <c r="D12445" t="s">
        <v>20</v>
      </c>
      <c r="E12445" t="s">
        <v>39</v>
      </c>
      <c r="F12445">
        <v>0</v>
      </c>
      <c r="G12445">
        <v>0</v>
      </c>
      <c r="H12445">
        <v>2</v>
      </c>
      <c r="I12445" s="3">
        <v>1098.27</v>
      </c>
      <c r="J12445" s="3">
        <v>10.27</v>
      </c>
      <c r="L12445">
        <v>522</v>
      </c>
      <c r="M12445" t="s">
        <v>27372</v>
      </c>
      <c r="N12445" t="s">
        <v>21557</v>
      </c>
      <c r="O12445" t="s">
        <v>31</v>
      </c>
      <c r="P12445" t="str">
        <f>"15063"</f>
        <v>15063</v>
      </c>
    </row>
    <row r="12446" spans="1:16" x14ac:dyDescent="0.25">
      <c r="A12446" t="str">
        <f>"1190004A00074    00"</f>
        <v>1190004A00074    00</v>
      </c>
      <c r="B12446" t="s">
        <v>27373</v>
      </c>
      <c r="C12446" t="s">
        <v>27374</v>
      </c>
      <c r="D12446" t="s">
        <v>57</v>
      </c>
      <c r="E12446" t="s">
        <v>39</v>
      </c>
      <c r="F12446">
        <v>0</v>
      </c>
      <c r="G12446">
        <v>0</v>
      </c>
      <c r="H12446">
        <v>1</v>
      </c>
      <c r="I12446" s="3">
        <v>378.47</v>
      </c>
      <c r="J12446" s="3">
        <v>384.77</v>
      </c>
      <c r="K12446" t="s">
        <v>27375</v>
      </c>
      <c r="L12446">
        <v>48</v>
      </c>
      <c r="M12446" t="s">
        <v>24509</v>
      </c>
      <c r="N12446" t="s">
        <v>30</v>
      </c>
      <c r="O12446" t="s">
        <v>31</v>
      </c>
      <c r="P12446" t="str">
        <f>"15203"</f>
        <v>15203</v>
      </c>
    </row>
    <row r="12447" spans="1:16" x14ac:dyDescent="0.25">
      <c r="A12447" t="str">
        <f>"1190004A00086    00"</f>
        <v>1190004A00086    00</v>
      </c>
      <c r="B12447" t="s">
        <v>27376</v>
      </c>
      <c r="C12447" t="s">
        <v>27377</v>
      </c>
      <c r="D12447" t="s">
        <v>20</v>
      </c>
      <c r="E12447" t="s">
        <v>39</v>
      </c>
      <c r="F12447">
        <v>0</v>
      </c>
      <c r="G12447">
        <v>0</v>
      </c>
      <c r="H12447">
        <v>1</v>
      </c>
      <c r="I12447" s="3">
        <v>600.46</v>
      </c>
      <c r="J12447" s="3">
        <v>0</v>
      </c>
      <c r="L12447">
        <v>369</v>
      </c>
      <c r="M12447" t="s">
        <v>27378</v>
      </c>
      <c r="N12447" t="s">
        <v>1353</v>
      </c>
      <c r="O12447" t="s">
        <v>31</v>
      </c>
      <c r="P12447" t="str">
        <f>"15085"</f>
        <v>15085</v>
      </c>
    </row>
    <row r="12448" spans="1:16" x14ac:dyDescent="0.25">
      <c r="A12448" t="str">
        <f>"1190004A00103    00"</f>
        <v>1190004A00103    00</v>
      </c>
      <c r="B12448" t="s">
        <v>27379</v>
      </c>
      <c r="C12448" t="s">
        <v>27380</v>
      </c>
      <c r="D12448" t="s">
        <v>20</v>
      </c>
      <c r="E12448" t="s">
        <v>39</v>
      </c>
      <c r="F12448">
        <v>0</v>
      </c>
      <c r="G12448">
        <v>0</v>
      </c>
      <c r="H12448">
        <v>2</v>
      </c>
      <c r="I12448" s="3">
        <v>2580.7399999999998</v>
      </c>
      <c r="J12448" s="3">
        <v>0</v>
      </c>
      <c r="L12448">
        <v>208</v>
      </c>
      <c r="M12448" t="s">
        <v>27337</v>
      </c>
      <c r="N12448" t="s">
        <v>30</v>
      </c>
      <c r="O12448" t="s">
        <v>31</v>
      </c>
      <c r="P12448" t="str">
        <f>"15211"</f>
        <v>15211</v>
      </c>
    </row>
    <row r="12449" spans="1:16" x14ac:dyDescent="0.25">
      <c r="A12449" t="str">
        <f>"1190004A00104    00"</f>
        <v>1190004A00104    00</v>
      </c>
      <c r="B12449" t="s">
        <v>27381</v>
      </c>
      <c r="C12449" t="s">
        <v>27382</v>
      </c>
      <c r="E12449" t="s">
        <v>39</v>
      </c>
      <c r="F12449">
        <v>0</v>
      </c>
      <c r="G12449">
        <v>0</v>
      </c>
      <c r="H12449">
        <v>9</v>
      </c>
      <c r="I12449" s="3">
        <v>13048.01</v>
      </c>
      <c r="J12449" s="3">
        <v>13298.93</v>
      </c>
      <c r="K12449" t="s">
        <v>7017</v>
      </c>
      <c r="L12449">
        <v>428</v>
      </c>
      <c r="M12449" t="s">
        <v>7018</v>
      </c>
      <c r="N12449" t="s">
        <v>5847</v>
      </c>
      <c r="O12449" t="s">
        <v>31</v>
      </c>
      <c r="P12449" t="str">
        <f>"15139"</f>
        <v>15139</v>
      </c>
    </row>
    <row r="12450" spans="1:16" x14ac:dyDescent="0.25">
      <c r="A12450" t="str">
        <f>"1190004A00140    00"</f>
        <v>1190004A00140    00</v>
      </c>
      <c r="B12450" t="s">
        <v>27383</v>
      </c>
      <c r="C12450" t="s">
        <v>27384</v>
      </c>
      <c r="D12450" t="s">
        <v>20</v>
      </c>
      <c r="E12450" t="s">
        <v>39</v>
      </c>
      <c r="F12450">
        <v>0</v>
      </c>
      <c r="G12450">
        <v>0</v>
      </c>
      <c r="H12450">
        <v>3</v>
      </c>
      <c r="I12450" s="3">
        <v>2385.3000000000002</v>
      </c>
      <c r="J12450" s="3">
        <v>188.77</v>
      </c>
      <c r="L12450">
        <v>45</v>
      </c>
      <c r="M12450" t="s">
        <v>27385</v>
      </c>
      <c r="N12450" t="s">
        <v>30</v>
      </c>
      <c r="O12450" t="s">
        <v>31</v>
      </c>
      <c r="P12450" t="str">
        <f>"15228"</f>
        <v>15228</v>
      </c>
    </row>
    <row r="12451" spans="1:16" x14ac:dyDescent="0.25">
      <c r="A12451" t="str">
        <f>"1190004A00145    00"</f>
        <v>1190004A00145    00</v>
      </c>
      <c r="B12451" t="s">
        <v>27386</v>
      </c>
      <c r="C12451" t="s">
        <v>27387</v>
      </c>
      <c r="D12451" t="s">
        <v>20</v>
      </c>
      <c r="E12451" t="s">
        <v>39</v>
      </c>
      <c r="F12451">
        <v>0</v>
      </c>
      <c r="G12451">
        <v>0</v>
      </c>
      <c r="H12451">
        <v>1</v>
      </c>
      <c r="I12451" s="3">
        <v>142.96</v>
      </c>
      <c r="J12451" s="3">
        <v>0</v>
      </c>
      <c r="K12451" t="s">
        <v>27388</v>
      </c>
      <c r="L12451">
        <v>939</v>
      </c>
      <c r="M12451" t="s">
        <v>27389</v>
      </c>
      <c r="N12451" t="s">
        <v>107</v>
      </c>
      <c r="O12451" t="s">
        <v>108</v>
      </c>
      <c r="P12451" t="str">
        <f>"75218"</f>
        <v>75218</v>
      </c>
    </row>
    <row r="12452" spans="1:16" x14ac:dyDescent="0.25">
      <c r="A12452" t="str">
        <f>"1190004A00189    00"</f>
        <v>1190004A00189    00</v>
      </c>
      <c r="B12452" t="s">
        <v>27390</v>
      </c>
      <c r="C12452" t="s">
        <v>27391</v>
      </c>
      <c r="E12452" t="s">
        <v>39</v>
      </c>
      <c r="F12452">
        <v>0</v>
      </c>
      <c r="G12452">
        <v>0</v>
      </c>
      <c r="H12452">
        <v>3</v>
      </c>
      <c r="I12452" s="3">
        <v>5580.22</v>
      </c>
      <c r="J12452" s="3">
        <v>1665.98</v>
      </c>
      <c r="K12452" t="s">
        <v>27392</v>
      </c>
      <c r="L12452">
        <v>116</v>
      </c>
      <c r="M12452" t="s">
        <v>27393</v>
      </c>
      <c r="N12452" t="s">
        <v>3594</v>
      </c>
      <c r="O12452" t="s">
        <v>31</v>
      </c>
      <c r="P12452" t="str">
        <f>"18411"</f>
        <v>18411</v>
      </c>
    </row>
    <row r="12453" spans="1:16" x14ac:dyDescent="0.25">
      <c r="A12453" t="str">
        <f>"1190004A00203    00"</f>
        <v>1190004A00203    00</v>
      </c>
      <c r="B12453" t="s">
        <v>27394</v>
      </c>
      <c r="C12453" t="s">
        <v>27395</v>
      </c>
      <c r="E12453" t="s">
        <v>39</v>
      </c>
      <c r="F12453">
        <v>0</v>
      </c>
      <c r="G12453">
        <v>0</v>
      </c>
      <c r="H12453">
        <v>1</v>
      </c>
      <c r="I12453" s="3">
        <v>811.9</v>
      </c>
      <c r="J12453" s="3">
        <v>805.1</v>
      </c>
      <c r="K12453" t="s">
        <v>557</v>
      </c>
      <c r="L12453">
        <v>3001</v>
      </c>
      <c r="M12453" t="s">
        <v>330</v>
      </c>
      <c r="N12453" t="s">
        <v>331</v>
      </c>
      <c r="O12453" t="s">
        <v>108</v>
      </c>
      <c r="P12453" t="str">
        <f>"75063"</f>
        <v>75063</v>
      </c>
    </row>
    <row r="12454" spans="1:16" x14ac:dyDescent="0.25">
      <c r="A12454" t="str">
        <f>"1190004A00208    00"</f>
        <v>1190004A00208    00</v>
      </c>
      <c r="B12454" t="s">
        <v>27354</v>
      </c>
      <c r="C12454" t="s">
        <v>27396</v>
      </c>
      <c r="D12454" t="s">
        <v>20</v>
      </c>
      <c r="E12454" t="s">
        <v>39</v>
      </c>
      <c r="F12454">
        <v>0</v>
      </c>
      <c r="G12454">
        <v>0</v>
      </c>
      <c r="H12454">
        <v>1</v>
      </c>
      <c r="I12454" s="3">
        <v>1732.56</v>
      </c>
      <c r="J12454" s="3">
        <v>0</v>
      </c>
      <c r="L12454">
        <v>321</v>
      </c>
      <c r="M12454" t="s">
        <v>27318</v>
      </c>
      <c r="N12454" t="s">
        <v>30</v>
      </c>
      <c r="O12454" t="s">
        <v>31</v>
      </c>
      <c r="P12454" t="str">
        <f>"15211"</f>
        <v>15211</v>
      </c>
    </row>
    <row r="12455" spans="1:16" x14ac:dyDescent="0.25">
      <c r="A12455" t="str">
        <f>"1190004A00227    00"</f>
        <v>1190004A00227    00</v>
      </c>
      <c r="B12455" t="s">
        <v>27397</v>
      </c>
      <c r="C12455" t="s">
        <v>27398</v>
      </c>
      <c r="D12455" t="s">
        <v>20</v>
      </c>
      <c r="E12455" t="s">
        <v>39</v>
      </c>
      <c r="F12455">
        <v>0</v>
      </c>
      <c r="G12455">
        <v>0</v>
      </c>
      <c r="H12455">
        <v>1</v>
      </c>
      <c r="I12455" s="3">
        <v>2198.08</v>
      </c>
      <c r="J12455" s="3">
        <v>0</v>
      </c>
      <c r="L12455">
        <v>329</v>
      </c>
      <c r="M12455" t="s">
        <v>27399</v>
      </c>
      <c r="N12455" t="s">
        <v>30</v>
      </c>
      <c r="O12455" t="s">
        <v>31</v>
      </c>
      <c r="P12455" t="str">
        <f>"15211"</f>
        <v>15211</v>
      </c>
    </row>
    <row r="12456" spans="1:16" x14ac:dyDescent="0.25">
      <c r="A12456" t="str">
        <f>"1190004A00229    00"</f>
        <v>1190004A00229    00</v>
      </c>
      <c r="B12456" t="s">
        <v>27400</v>
      </c>
      <c r="C12456" t="s">
        <v>27401</v>
      </c>
      <c r="D12456" t="s">
        <v>20</v>
      </c>
      <c r="E12456" t="s">
        <v>39</v>
      </c>
      <c r="F12456">
        <v>0</v>
      </c>
      <c r="G12456">
        <v>0</v>
      </c>
      <c r="H12456">
        <v>1</v>
      </c>
      <c r="I12456" s="3">
        <v>499.37</v>
      </c>
      <c r="J12456" s="3">
        <v>0</v>
      </c>
      <c r="L12456">
        <v>329</v>
      </c>
      <c r="M12456" t="s">
        <v>27399</v>
      </c>
      <c r="N12456" t="s">
        <v>30</v>
      </c>
      <c r="O12456" t="s">
        <v>31</v>
      </c>
      <c r="P12456" t="str">
        <f>"15211"</f>
        <v>15211</v>
      </c>
    </row>
    <row r="12457" spans="1:16" x14ac:dyDescent="0.25">
      <c r="A12457" t="str">
        <f>"1190004A00230    00"</f>
        <v>1190004A00230    00</v>
      </c>
      <c r="B12457" t="s">
        <v>27400</v>
      </c>
      <c r="C12457" t="s">
        <v>27402</v>
      </c>
      <c r="D12457" t="s">
        <v>20</v>
      </c>
      <c r="E12457" t="s">
        <v>39</v>
      </c>
      <c r="F12457">
        <v>0</v>
      </c>
      <c r="G12457">
        <v>0</v>
      </c>
      <c r="H12457">
        <v>1</v>
      </c>
      <c r="I12457" s="3">
        <v>1341.82</v>
      </c>
      <c r="J12457" s="3">
        <v>0</v>
      </c>
      <c r="L12457">
        <v>329</v>
      </c>
      <c r="M12457" t="s">
        <v>27399</v>
      </c>
      <c r="N12457" t="s">
        <v>30</v>
      </c>
      <c r="O12457" t="s">
        <v>31</v>
      </c>
      <c r="P12457" t="str">
        <f>"15211"</f>
        <v>15211</v>
      </c>
    </row>
    <row r="12458" spans="1:16" x14ac:dyDescent="0.25">
      <c r="A12458" t="str">
        <f>"1190004A00232    00"</f>
        <v>1190004A00232    00</v>
      </c>
      <c r="B12458" t="s">
        <v>27403</v>
      </c>
      <c r="C12458" t="s">
        <v>27404</v>
      </c>
      <c r="D12458" t="s">
        <v>20</v>
      </c>
      <c r="E12458" t="s">
        <v>39</v>
      </c>
      <c r="F12458">
        <v>0</v>
      </c>
      <c r="G12458">
        <v>0</v>
      </c>
      <c r="H12458">
        <v>2</v>
      </c>
      <c r="I12458" s="3">
        <v>2773.71</v>
      </c>
      <c r="J12458" s="3">
        <v>0</v>
      </c>
      <c r="K12458" t="s">
        <v>27405</v>
      </c>
      <c r="L12458">
        <v>6020</v>
      </c>
      <c r="M12458" t="s">
        <v>27406</v>
      </c>
      <c r="N12458" t="s">
        <v>5390</v>
      </c>
      <c r="O12458" t="s">
        <v>370</v>
      </c>
      <c r="P12458" t="str">
        <f>"34116"</f>
        <v>34116</v>
      </c>
    </row>
    <row r="12459" spans="1:16" x14ac:dyDescent="0.25">
      <c r="A12459" t="str">
        <f>"1190004A00233    00"</f>
        <v>1190004A00233    00</v>
      </c>
      <c r="B12459" t="s">
        <v>27407</v>
      </c>
      <c r="C12459" t="s">
        <v>27408</v>
      </c>
      <c r="D12459" t="s">
        <v>20</v>
      </c>
      <c r="E12459" t="s">
        <v>39</v>
      </c>
      <c r="F12459">
        <v>0</v>
      </c>
      <c r="G12459">
        <v>0</v>
      </c>
      <c r="H12459">
        <v>1</v>
      </c>
      <c r="I12459" s="3">
        <v>1406.65</v>
      </c>
      <c r="J12459" s="3">
        <v>0</v>
      </c>
      <c r="L12459">
        <v>329</v>
      </c>
      <c r="M12459" t="s">
        <v>27399</v>
      </c>
      <c r="N12459" t="s">
        <v>30</v>
      </c>
      <c r="O12459" t="s">
        <v>31</v>
      </c>
      <c r="P12459" t="str">
        <f t="shared" ref="P12459:P12464" si="156">"15211"</f>
        <v>15211</v>
      </c>
    </row>
    <row r="12460" spans="1:16" x14ac:dyDescent="0.25">
      <c r="A12460" t="str">
        <f>"1190004A00235    00"</f>
        <v>1190004A00235    00</v>
      </c>
      <c r="B12460" t="s">
        <v>27409</v>
      </c>
      <c r="C12460" t="s">
        <v>27410</v>
      </c>
      <c r="D12460" t="s">
        <v>20</v>
      </c>
      <c r="E12460" t="s">
        <v>39</v>
      </c>
      <c r="F12460">
        <v>0</v>
      </c>
      <c r="G12460">
        <v>0</v>
      </c>
      <c r="H12460">
        <v>1</v>
      </c>
      <c r="I12460" s="3">
        <v>1543.86</v>
      </c>
      <c r="J12460" s="3">
        <v>0</v>
      </c>
      <c r="L12460">
        <v>329</v>
      </c>
      <c r="M12460" t="s">
        <v>27399</v>
      </c>
      <c r="N12460" t="s">
        <v>30</v>
      </c>
      <c r="O12460" t="s">
        <v>31</v>
      </c>
      <c r="P12460" t="str">
        <f t="shared" si="156"/>
        <v>15211</v>
      </c>
    </row>
    <row r="12461" spans="1:16" x14ac:dyDescent="0.25">
      <c r="A12461" t="str">
        <f>"1190004A00238    00"</f>
        <v>1190004A00238    00</v>
      </c>
      <c r="B12461" t="s">
        <v>27411</v>
      </c>
      <c r="C12461" t="s">
        <v>27412</v>
      </c>
      <c r="D12461" t="s">
        <v>20</v>
      </c>
      <c r="E12461" t="s">
        <v>39</v>
      </c>
      <c r="F12461">
        <v>0</v>
      </c>
      <c r="G12461">
        <v>0</v>
      </c>
      <c r="H12461">
        <v>1</v>
      </c>
      <c r="I12461" s="3">
        <v>1576.27</v>
      </c>
      <c r="J12461" s="3">
        <v>0</v>
      </c>
      <c r="L12461">
        <v>329</v>
      </c>
      <c r="M12461" t="s">
        <v>27399</v>
      </c>
      <c r="N12461" t="s">
        <v>30</v>
      </c>
      <c r="O12461" t="s">
        <v>31</v>
      </c>
      <c r="P12461" t="str">
        <f t="shared" si="156"/>
        <v>15211</v>
      </c>
    </row>
    <row r="12462" spans="1:16" x14ac:dyDescent="0.25">
      <c r="A12462" t="str">
        <f>"1190004A00260    00"</f>
        <v>1190004A00260    00</v>
      </c>
      <c r="B12462" t="s">
        <v>27413</v>
      </c>
      <c r="C12462" t="s">
        <v>27414</v>
      </c>
      <c r="E12462" t="s">
        <v>39</v>
      </c>
      <c r="F12462">
        <v>0</v>
      </c>
      <c r="G12462">
        <v>0</v>
      </c>
      <c r="H12462">
        <v>1</v>
      </c>
      <c r="I12462" s="3">
        <v>1433.85</v>
      </c>
      <c r="J12462" s="3">
        <v>1063.4000000000001</v>
      </c>
      <c r="L12462">
        <v>300</v>
      </c>
      <c r="M12462" t="s">
        <v>27337</v>
      </c>
      <c r="N12462" t="s">
        <v>30</v>
      </c>
      <c r="O12462" t="s">
        <v>31</v>
      </c>
      <c r="P12462" t="str">
        <f t="shared" si="156"/>
        <v>15211</v>
      </c>
    </row>
    <row r="12463" spans="1:16" x14ac:dyDescent="0.25">
      <c r="A12463" t="str">
        <f>"1190004A00272    00"</f>
        <v>1190004A00272    00</v>
      </c>
      <c r="B12463" t="s">
        <v>27415</v>
      </c>
      <c r="C12463" t="s">
        <v>27416</v>
      </c>
      <c r="D12463" t="s">
        <v>20</v>
      </c>
      <c r="E12463" t="s">
        <v>39</v>
      </c>
      <c r="F12463">
        <v>0</v>
      </c>
      <c r="G12463">
        <v>0</v>
      </c>
      <c r="H12463">
        <v>1</v>
      </c>
      <c r="I12463" s="3">
        <v>398.99</v>
      </c>
      <c r="J12463" s="3">
        <v>0</v>
      </c>
      <c r="L12463">
        <v>1700</v>
      </c>
      <c r="M12463" t="s">
        <v>27417</v>
      </c>
      <c r="N12463" t="s">
        <v>30</v>
      </c>
      <c r="O12463" t="s">
        <v>31</v>
      </c>
      <c r="P12463" t="str">
        <f t="shared" si="156"/>
        <v>15211</v>
      </c>
    </row>
    <row r="12464" spans="1:16" x14ac:dyDescent="0.25">
      <c r="A12464" t="str">
        <f>"1190004A00299    00"</f>
        <v>1190004A00299    00</v>
      </c>
      <c r="B12464" t="s">
        <v>23499</v>
      </c>
      <c r="C12464" t="s">
        <v>27418</v>
      </c>
      <c r="D12464" t="s">
        <v>20</v>
      </c>
      <c r="E12464" t="s">
        <v>39</v>
      </c>
      <c r="F12464">
        <v>0</v>
      </c>
      <c r="G12464">
        <v>0</v>
      </c>
      <c r="H12464">
        <v>2</v>
      </c>
      <c r="I12464" s="3">
        <v>3297.4</v>
      </c>
      <c r="J12464" s="3">
        <v>0</v>
      </c>
      <c r="K12464" t="s">
        <v>23501</v>
      </c>
      <c r="L12464">
        <v>825</v>
      </c>
      <c r="M12464" t="s">
        <v>11611</v>
      </c>
      <c r="N12464" t="s">
        <v>30</v>
      </c>
      <c r="O12464" t="s">
        <v>31</v>
      </c>
      <c r="P12464" t="str">
        <f t="shared" si="156"/>
        <v>15211</v>
      </c>
    </row>
    <row r="12465" spans="1:16" x14ac:dyDescent="0.25">
      <c r="A12465" t="str">
        <f>"1190004B00018    00"</f>
        <v>1190004B00018    00</v>
      </c>
      <c r="B12465" t="s">
        <v>27419</v>
      </c>
      <c r="C12465" t="s">
        <v>27420</v>
      </c>
      <c r="D12465" t="s">
        <v>20</v>
      </c>
      <c r="E12465" t="s">
        <v>39</v>
      </c>
      <c r="F12465">
        <v>0</v>
      </c>
      <c r="G12465">
        <v>0</v>
      </c>
      <c r="H12465">
        <v>1</v>
      </c>
      <c r="I12465" s="3">
        <v>1479.06</v>
      </c>
      <c r="J12465" s="3">
        <v>0</v>
      </c>
      <c r="L12465">
        <v>4917</v>
      </c>
      <c r="M12465" t="s">
        <v>27421</v>
      </c>
      <c r="N12465" t="s">
        <v>9653</v>
      </c>
      <c r="O12465" t="s">
        <v>31</v>
      </c>
      <c r="P12465" t="str">
        <f>"15632"</f>
        <v>15632</v>
      </c>
    </row>
    <row r="12466" spans="1:16" x14ac:dyDescent="0.25">
      <c r="A12466" t="str">
        <f>"1190004B00044    00"</f>
        <v>1190004B00044    00</v>
      </c>
      <c r="B12466" t="s">
        <v>27422</v>
      </c>
      <c r="C12466" t="s">
        <v>27423</v>
      </c>
      <c r="D12466" t="s">
        <v>20</v>
      </c>
      <c r="E12466" t="s">
        <v>39</v>
      </c>
      <c r="F12466">
        <v>0</v>
      </c>
      <c r="G12466">
        <v>0</v>
      </c>
      <c r="H12466">
        <v>2</v>
      </c>
      <c r="I12466" s="3">
        <v>26.7</v>
      </c>
      <c r="J12466" s="3">
        <v>0</v>
      </c>
      <c r="L12466">
        <v>2411</v>
      </c>
      <c r="M12466" t="s">
        <v>27424</v>
      </c>
      <c r="N12466" t="s">
        <v>27425</v>
      </c>
      <c r="O12466" t="s">
        <v>108</v>
      </c>
      <c r="P12466" t="str">
        <f>"76210"</f>
        <v>76210</v>
      </c>
    </row>
    <row r="12467" spans="1:16" x14ac:dyDescent="0.25">
      <c r="A12467" t="str">
        <f>"1190004B00046    00"</f>
        <v>1190004B00046    00</v>
      </c>
      <c r="B12467" t="s">
        <v>27426</v>
      </c>
      <c r="C12467" t="s">
        <v>27427</v>
      </c>
      <c r="D12467" t="s">
        <v>20</v>
      </c>
      <c r="E12467" t="s">
        <v>39</v>
      </c>
      <c r="F12467">
        <v>0</v>
      </c>
      <c r="G12467">
        <v>0</v>
      </c>
      <c r="H12467">
        <v>11</v>
      </c>
      <c r="I12467" s="3">
        <v>17221</v>
      </c>
      <c r="J12467" s="3">
        <v>8218.99</v>
      </c>
      <c r="L12467">
        <v>324</v>
      </c>
      <c r="M12467" t="s">
        <v>888</v>
      </c>
      <c r="N12467" t="s">
        <v>30</v>
      </c>
      <c r="O12467" t="s">
        <v>31</v>
      </c>
      <c r="P12467" t="str">
        <f>"15211"</f>
        <v>15211</v>
      </c>
    </row>
    <row r="12468" spans="1:16" x14ac:dyDescent="0.25">
      <c r="A12468" t="str">
        <f>"1190004B00084    00"</f>
        <v>1190004B00084    00</v>
      </c>
      <c r="B12468" t="s">
        <v>8682</v>
      </c>
      <c r="C12468" t="s">
        <v>27428</v>
      </c>
      <c r="D12468" t="s">
        <v>20</v>
      </c>
      <c r="E12468" t="s">
        <v>39</v>
      </c>
      <c r="F12468">
        <v>0</v>
      </c>
      <c r="G12468">
        <v>0</v>
      </c>
      <c r="H12468">
        <v>3</v>
      </c>
      <c r="I12468" s="3">
        <v>3358.57</v>
      </c>
      <c r="J12468" s="3">
        <v>2.27</v>
      </c>
      <c r="L12468">
        <v>425</v>
      </c>
      <c r="M12468" t="s">
        <v>78</v>
      </c>
      <c r="N12468" t="s">
        <v>295</v>
      </c>
      <c r="O12468" t="s">
        <v>31</v>
      </c>
      <c r="P12468" t="str">
        <f>"15146"</f>
        <v>15146</v>
      </c>
    </row>
    <row r="12469" spans="1:16" x14ac:dyDescent="0.25">
      <c r="A12469" t="str">
        <f>"1190004B00096    00"</f>
        <v>1190004B00096    00</v>
      </c>
      <c r="B12469" t="s">
        <v>27429</v>
      </c>
      <c r="C12469" t="s">
        <v>27430</v>
      </c>
      <c r="D12469" t="s">
        <v>57</v>
      </c>
      <c r="E12469" t="s">
        <v>39</v>
      </c>
      <c r="F12469">
        <v>0</v>
      </c>
      <c r="G12469">
        <v>0</v>
      </c>
      <c r="H12469">
        <v>1</v>
      </c>
      <c r="I12469" s="3">
        <v>378.47</v>
      </c>
      <c r="J12469" s="3">
        <v>384.77</v>
      </c>
      <c r="K12469" t="s">
        <v>557</v>
      </c>
      <c r="L12469">
        <v>3001</v>
      </c>
      <c r="M12469" t="s">
        <v>330</v>
      </c>
      <c r="N12469" t="s">
        <v>331</v>
      </c>
      <c r="O12469" t="s">
        <v>108</v>
      </c>
      <c r="P12469" t="str">
        <f>"75063"</f>
        <v>75063</v>
      </c>
    </row>
    <row r="12470" spans="1:16" x14ac:dyDescent="0.25">
      <c r="A12470" t="str">
        <f>"1190004B00101    00"</f>
        <v>1190004B00101    00</v>
      </c>
      <c r="B12470" t="s">
        <v>27431</v>
      </c>
      <c r="C12470" t="s">
        <v>27432</v>
      </c>
      <c r="D12470" t="s">
        <v>20</v>
      </c>
      <c r="E12470" t="s">
        <v>39</v>
      </c>
      <c r="F12470">
        <v>0</v>
      </c>
      <c r="G12470">
        <v>0</v>
      </c>
      <c r="H12470">
        <v>11</v>
      </c>
      <c r="I12470" s="3">
        <v>6518.53</v>
      </c>
      <c r="J12470" s="3">
        <v>3641.46</v>
      </c>
      <c r="K12470" t="s">
        <v>27433</v>
      </c>
      <c r="L12470">
        <v>1690</v>
      </c>
      <c r="M12470" t="s">
        <v>27434</v>
      </c>
      <c r="N12470" t="s">
        <v>30</v>
      </c>
      <c r="O12470" t="s">
        <v>31</v>
      </c>
      <c r="P12470" t="str">
        <f>"15241"</f>
        <v>15241</v>
      </c>
    </row>
    <row r="12471" spans="1:16" x14ac:dyDescent="0.25">
      <c r="A12471" t="str">
        <f>"1190004B00107    00"</f>
        <v>1190004B00107    00</v>
      </c>
      <c r="B12471" t="s">
        <v>27354</v>
      </c>
      <c r="C12471" t="s">
        <v>27435</v>
      </c>
      <c r="D12471" t="s">
        <v>20</v>
      </c>
      <c r="E12471" t="s">
        <v>39</v>
      </c>
      <c r="F12471">
        <v>0</v>
      </c>
      <c r="G12471">
        <v>0</v>
      </c>
      <c r="H12471">
        <v>1</v>
      </c>
      <c r="I12471" s="3">
        <v>1025.42</v>
      </c>
      <c r="J12471" s="3">
        <v>0</v>
      </c>
      <c r="L12471">
        <v>321</v>
      </c>
      <c r="M12471" t="s">
        <v>27318</v>
      </c>
      <c r="N12471" t="s">
        <v>30</v>
      </c>
      <c r="O12471" t="s">
        <v>31</v>
      </c>
      <c r="P12471" t="str">
        <f>"15211"</f>
        <v>15211</v>
      </c>
    </row>
    <row r="12472" spans="1:16" x14ac:dyDescent="0.25">
      <c r="A12472" t="str">
        <f>"1190004B00108    00"</f>
        <v>1190004B00108    00</v>
      </c>
      <c r="B12472" t="s">
        <v>27354</v>
      </c>
      <c r="C12472" t="s">
        <v>27436</v>
      </c>
      <c r="D12472" t="s">
        <v>20</v>
      </c>
      <c r="E12472" t="s">
        <v>39</v>
      </c>
      <c r="F12472">
        <v>0</v>
      </c>
      <c r="G12472">
        <v>0</v>
      </c>
      <c r="H12472">
        <v>1</v>
      </c>
      <c r="I12472" s="3">
        <v>106.74</v>
      </c>
      <c r="J12472" s="3">
        <v>0</v>
      </c>
      <c r="L12472">
        <v>321</v>
      </c>
      <c r="M12472" t="s">
        <v>27318</v>
      </c>
      <c r="N12472" t="s">
        <v>30</v>
      </c>
      <c r="O12472" t="s">
        <v>31</v>
      </c>
      <c r="P12472" t="str">
        <f>"15211"</f>
        <v>15211</v>
      </c>
    </row>
    <row r="12473" spans="1:16" x14ac:dyDescent="0.25">
      <c r="A12473" t="str">
        <f>"1190004B00116    00"</f>
        <v>1190004B00116    00</v>
      </c>
      <c r="B12473" t="s">
        <v>27437</v>
      </c>
      <c r="C12473" t="s">
        <v>27438</v>
      </c>
      <c r="E12473" t="s">
        <v>39</v>
      </c>
      <c r="F12473">
        <v>0</v>
      </c>
      <c r="G12473">
        <v>0</v>
      </c>
      <c r="H12473">
        <v>2</v>
      </c>
      <c r="I12473" s="3">
        <v>3539.31</v>
      </c>
      <c r="J12473" s="3">
        <v>4967.1400000000003</v>
      </c>
      <c r="L12473">
        <v>330</v>
      </c>
      <c r="M12473" t="s">
        <v>25137</v>
      </c>
      <c r="N12473" t="s">
        <v>30</v>
      </c>
      <c r="O12473" t="s">
        <v>31</v>
      </c>
      <c r="P12473" t="str">
        <f>"15211"</f>
        <v>15211</v>
      </c>
    </row>
    <row r="12474" spans="1:16" x14ac:dyDescent="0.25">
      <c r="A12474" t="str">
        <f>"1190004B00132    00"</f>
        <v>1190004B00132    00</v>
      </c>
      <c r="B12474" t="s">
        <v>27439</v>
      </c>
      <c r="C12474" t="s">
        <v>27440</v>
      </c>
      <c r="D12474" t="s">
        <v>20</v>
      </c>
      <c r="E12474" t="s">
        <v>21</v>
      </c>
      <c r="F12474">
        <v>0</v>
      </c>
      <c r="G12474">
        <v>0</v>
      </c>
      <c r="H12474">
        <v>3</v>
      </c>
      <c r="I12474" s="3">
        <v>10683.79</v>
      </c>
      <c r="J12474" s="3">
        <v>534.16999999999996</v>
      </c>
      <c r="L12474">
        <v>314</v>
      </c>
      <c r="M12474" t="s">
        <v>27441</v>
      </c>
      <c r="N12474" t="s">
        <v>30</v>
      </c>
      <c r="O12474" t="s">
        <v>31</v>
      </c>
      <c r="P12474" t="str">
        <f>"15216"</f>
        <v>15216</v>
      </c>
    </row>
    <row r="12475" spans="1:16" x14ac:dyDescent="0.25">
      <c r="A12475" t="str">
        <f>"1190004B00145    00"</f>
        <v>1190004B00145    00</v>
      </c>
      <c r="B12475" t="s">
        <v>27442</v>
      </c>
      <c r="C12475" t="s">
        <v>27443</v>
      </c>
      <c r="D12475" t="s">
        <v>20</v>
      </c>
      <c r="E12475" t="s">
        <v>21</v>
      </c>
      <c r="F12475">
        <v>0</v>
      </c>
      <c r="G12475">
        <v>0</v>
      </c>
      <c r="H12475">
        <v>3</v>
      </c>
      <c r="I12475" s="3">
        <v>3806.97</v>
      </c>
      <c r="J12475" s="3">
        <v>190.34</v>
      </c>
      <c r="L12475">
        <v>314</v>
      </c>
      <c r="M12475" t="s">
        <v>27441</v>
      </c>
      <c r="N12475" t="s">
        <v>30</v>
      </c>
      <c r="O12475" t="s">
        <v>31</v>
      </c>
      <c r="P12475" t="str">
        <f>"15216"</f>
        <v>15216</v>
      </c>
    </row>
    <row r="12476" spans="1:16" x14ac:dyDescent="0.25">
      <c r="A12476" t="str">
        <f>"1190004B00147    00"</f>
        <v>1190004B00147    00</v>
      </c>
      <c r="B12476" t="s">
        <v>27444</v>
      </c>
      <c r="C12476" t="s">
        <v>27445</v>
      </c>
      <c r="D12476" t="s">
        <v>20</v>
      </c>
      <c r="E12476" t="s">
        <v>39</v>
      </c>
      <c r="F12476">
        <v>0</v>
      </c>
      <c r="G12476">
        <v>0</v>
      </c>
      <c r="H12476">
        <v>2</v>
      </c>
      <c r="I12476" s="3">
        <v>1419.42</v>
      </c>
      <c r="J12476" s="3">
        <v>0.55000000000000004</v>
      </c>
      <c r="K12476" t="s">
        <v>27446</v>
      </c>
      <c r="L12476">
        <v>226</v>
      </c>
      <c r="M12476" t="s">
        <v>27447</v>
      </c>
      <c r="N12476" t="s">
        <v>30</v>
      </c>
      <c r="O12476" t="s">
        <v>31</v>
      </c>
      <c r="P12476" t="str">
        <f>"15211"</f>
        <v>15211</v>
      </c>
    </row>
    <row r="12477" spans="1:16" x14ac:dyDescent="0.25">
      <c r="A12477" t="str">
        <f>"1190004B00149    00"</f>
        <v>1190004B00149    00</v>
      </c>
      <c r="B12477" t="s">
        <v>27448</v>
      </c>
      <c r="C12477" t="s">
        <v>27449</v>
      </c>
      <c r="D12477" t="s">
        <v>20</v>
      </c>
      <c r="E12477" t="s">
        <v>39</v>
      </c>
      <c r="F12477">
        <v>0</v>
      </c>
      <c r="G12477">
        <v>0</v>
      </c>
      <c r="H12477">
        <v>2</v>
      </c>
      <c r="I12477" s="3">
        <v>1569.1</v>
      </c>
      <c r="J12477" s="3">
        <v>0</v>
      </c>
      <c r="K12477" t="s">
        <v>27450</v>
      </c>
      <c r="L12477">
        <v>3000</v>
      </c>
      <c r="M12477" t="s">
        <v>3447</v>
      </c>
      <c r="N12477" t="s">
        <v>139</v>
      </c>
      <c r="O12477" t="s">
        <v>31</v>
      </c>
      <c r="P12477" t="str">
        <f>"15090"</f>
        <v>15090</v>
      </c>
    </row>
    <row r="12478" spans="1:16" x14ac:dyDescent="0.25">
      <c r="A12478" t="str">
        <f>"1190004B00175    00"</f>
        <v>1190004B00175    00</v>
      </c>
      <c r="B12478" t="s">
        <v>27426</v>
      </c>
      <c r="C12478" t="s">
        <v>27451</v>
      </c>
      <c r="D12478" t="s">
        <v>20</v>
      </c>
      <c r="E12478" t="s">
        <v>39</v>
      </c>
      <c r="F12478">
        <v>0</v>
      </c>
      <c r="G12478">
        <v>0</v>
      </c>
      <c r="H12478">
        <v>8</v>
      </c>
      <c r="I12478" s="3">
        <v>11629.83</v>
      </c>
      <c r="J12478" s="3">
        <v>4055.19</v>
      </c>
      <c r="L12478">
        <v>324</v>
      </c>
      <c r="M12478" t="s">
        <v>888</v>
      </c>
      <c r="N12478" t="s">
        <v>30</v>
      </c>
      <c r="O12478" t="s">
        <v>31</v>
      </c>
      <c r="P12478" t="str">
        <f>"15211"</f>
        <v>15211</v>
      </c>
    </row>
    <row r="12479" spans="1:16" x14ac:dyDescent="0.25">
      <c r="A12479" t="str">
        <f>"1190004B00182    00"</f>
        <v>1190004B00182    00</v>
      </c>
      <c r="B12479" t="s">
        <v>27452</v>
      </c>
      <c r="C12479" t="s">
        <v>27453</v>
      </c>
      <c r="D12479" t="s">
        <v>20</v>
      </c>
      <c r="E12479" t="s">
        <v>39</v>
      </c>
      <c r="F12479">
        <v>0</v>
      </c>
      <c r="G12479">
        <v>0</v>
      </c>
      <c r="H12479">
        <v>5</v>
      </c>
      <c r="I12479" s="3">
        <v>12787.11</v>
      </c>
      <c r="J12479" s="3">
        <v>2252.61</v>
      </c>
      <c r="L12479">
        <v>134</v>
      </c>
      <c r="M12479" t="s">
        <v>9440</v>
      </c>
      <c r="N12479" t="s">
        <v>30</v>
      </c>
      <c r="O12479" t="s">
        <v>31</v>
      </c>
      <c r="P12479" t="str">
        <f>"15234"</f>
        <v>15234</v>
      </c>
    </row>
    <row r="12480" spans="1:16" x14ac:dyDescent="0.25">
      <c r="A12480" t="str">
        <f>"1190004B00203    00"</f>
        <v>1190004B00203    00</v>
      </c>
      <c r="B12480" t="s">
        <v>27454</v>
      </c>
      <c r="C12480" t="s">
        <v>27455</v>
      </c>
      <c r="D12480" t="s">
        <v>20</v>
      </c>
      <c r="E12480" t="s">
        <v>39</v>
      </c>
      <c r="F12480">
        <v>0</v>
      </c>
      <c r="G12480">
        <v>0</v>
      </c>
      <c r="H12480">
        <v>3</v>
      </c>
      <c r="I12480" s="3">
        <v>4454.34</v>
      </c>
      <c r="J12480" s="3">
        <v>296.95</v>
      </c>
      <c r="K12480" t="s">
        <v>27456</v>
      </c>
      <c r="L12480">
        <v>118</v>
      </c>
      <c r="M12480" t="s">
        <v>27447</v>
      </c>
      <c r="N12480" t="s">
        <v>30</v>
      </c>
      <c r="O12480" t="s">
        <v>31</v>
      </c>
      <c r="P12480" t="str">
        <f>"15211"</f>
        <v>15211</v>
      </c>
    </row>
    <row r="12481" spans="1:16" x14ac:dyDescent="0.25">
      <c r="A12481" t="str">
        <f>"1190004B00224000300"</f>
        <v>1190004B00224000300</v>
      </c>
      <c r="B12481" t="s">
        <v>27457</v>
      </c>
      <c r="C12481" t="s">
        <v>27458</v>
      </c>
      <c r="E12481" t="s">
        <v>39</v>
      </c>
      <c r="F12481">
        <v>0</v>
      </c>
      <c r="G12481">
        <v>0</v>
      </c>
      <c r="H12481">
        <v>1</v>
      </c>
      <c r="I12481" s="3">
        <v>2399.4299999999998</v>
      </c>
      <c r="J12481" s="3">
        <v>1139.69</v>
      </c>
      <c r="K12481" t="s">
        <v>4877</v>
      </c>
      <c r="L12481">
        <v>1</v>
      </c>
      <c r="M12481" t="s">
        <v>4878</v>
      </c>
      <c r="N12481" t="s">
        <v>4879</v>
      </c>
      <c r="O12481" t="s">
        <v>31</v>
      </c>
      <c r="P12481" t="str">
        <f>"19428"</f>
        <v>19428</v>
      </c>
    </row>
    <row r="12482" spans="1:16" x14ac:dyDescent="0.25">
      <c r="A12482" t="str">
        <f>"1190004B00226A   00"</f>
        <v>1190004B00226A   00</v>
      </c>
      <c r="B12482" t="s">
        <v>27459</v>
      </c>
      <c r="C12482" t="s">
        <v>27460</v>
      </c>
      <c r="E12482" t="s">
        <v>39</v>
      </c>
      <c r="F12482">
        <v>0</v>
      </c>
      <c r="G12482">
        <v>0</v>
      </c>
      <c r="H12482">
        <v>1</v>
      </c>
      <c r="I12482" s="3">
        <v>3692.1</v>
      </c>
      <c r="J12482" s="3">
        <v>676.85</v>
      </c>
      <c r="L12482">
        <v>219</v>
      </c>
      <c r="M12482" t="s">
        <v>27461</v>
      </c>
      <c r="N12482" t="s">
        <v>30</v>
      </c>
      <c r="O12482" t="s">
        <v>31</v>
      </c>
      <c r="P12482" t="str">
        <f>"15211"</f>
        <v>15211</v>
      </c>
    </row>
    <row r="12483" spans="1:16" x14ac:dyDescent="0.25">
      <c r="A12483" t="str">
        <f>"1190004B00226D   00"</f>
        <v>1190004B00226D   00</v>
      </c>
      <c r="B12483" t="s">
        <v>27462</v>
      </c>
      <c r="C12483" t="s">
        <v>27463</v>
      </c>
      <c r="E12483" t="s">
        <v>39</v>
      </c>
      <c r="F12483">
        <v>0</v>
      </c>
      <c r="G12483">
        <v>0</v>
      </c>
      <c r="H12483">
        <v>2</v>
      </c>
      <c r="I12483" s="3">
        <v>261.98</v>
      </c>
      <c r="J12483" s="3">
        <v>3.27</v>
      </c>
      <c r="K12483" t="s">
        <v>426</v>
      </c>
      <c r="L12483">
        <v>2570</v>
      </c>
      <c r="M12483" t="s">
        <v>427</v>
      </c>
      <c r="N12483" t="s">
        <v>30</v>
      </c>
      <c r="O12483" t="s">
        <v>31</v>
      </c>
      <c r="P12483" t="str">
        <f>"15241"</f>
        <v>15241</v>
      </c>
    </row>
    <row r="12484" spans="1:16" x14ac:dyDescent="0.25">
      <c r="A12484" t="str">
        <f>"1190004B00229    00"</f>
        <v>1190004B00229    00</v>
      </c>
      <c r="B12484" t="s">
        <v>27464</v>
      </c>
      <c r="C12484" t="s">
        <v>27465</v>
      </c>
      <c r="E12484" t="s">
        <v>39</v>
      </c>
      <c r="F12484">
        <v>0</v>
      </c>
      <c r="G12484">
        <v>0</v>
      </c>
      <c r="H12484">
        <v>1</v>
      </c>
      <c r="I12484" s="3">
        <v>415.72</v>
      </c>
      <c r="J12484" s="3">
        <v>76.209999999999994</v>
      </c>
      <c r="K12484" t="s">
        <v>27466</v>
      </c>
      <c r="L12484">
        <v>219</v>
      </c>
      <c r="M12484" t="s">
        <v>27467</v>
      </c>
      <c r="N12484" t="s">
        <v>30</v>
      </c>
      <c r="O12484" t="s">
        <v>31</v>
      </c>
      <c r="P12484" t="str">
        <f>"15211"</f>
        <v>15211</v>
      </c>
    </row>
    <row r="12485" spans="1:16" x14ac:dyDescent="0.25">
      <c r="A12485" t="str">
        <f>"1190004B00237    00"</f>
        <v>1190004B00237    00</v>
      </c>
      <c r="B12485" t="s">
        <v>27468</v>
      </c>
      <c r="C12485" t="s">
        <v>27469</v>
      </c>
      <c r="E12485" t="s">
        <v>39</v>
      </c>
      <c r="F12485">
        <v>0</v>
      </c>
      <c r="G12485">
        <v>0</v>
      </c>
      <c r="H12485">
        <v>2</v>
      </c>
      <c r="I12485" s="3">
        <v>8472.31</v>
      </c>
      <c r="J12485" s="3">
        <v>63.65</v>
      </c>
      <c r="K12485" t="s">
        <v>27470</v>
      </c>
      <c r="L12485">
        <v>245</v>
      </c>
      <c r="M12485" t="s">
        <v>20636</v>
      </c>
      <c r="N12485" t="s">
        <v>30</v>
      </c>
      <c r="O12485" t="s">
        <v>31</v>
      </c>
      <c r="P12485" t="str">
        <f>"15228"</f>
        <v>15228</v>
      </c>
    </row>
    <row r="12486" spans="1:16" x14ac:dyDescent="0.25">
      <c r="A12486" t="str">
        <f>"1190004B00239    00"</f>
        <v>1190004B00239    00</v>
      </c>
      <c r="B12486" t="s">
        <v>27471</v>
      </c>
      <c r="C12486" t="s">
        <v>27472</v>
      </c>
      <c r="E12486" t="s">
        <v>21</v>
      </c>
      <c r="F12486">
        <v>0</v>
      </c>
      <c r="G12486">
        <v>0</v>
      </c>
      <c r="H12486">
        <v>1</v>
      </c>
      <c r="I12486" s="3">
        <v>8327.32</v>
      </c>
      <c r="J12486" s="3">
        <v>208.17</v>
      </c>
      <c r="K12486" t="s">
        <v>27473</v>
      </c>
      <c r="L12486">
        <v>3088</v>
      </c>
      <c r="M12486" t="s">
        <v>27474</v>
      </c>
      <c r="N12486" t="s">
        <v>7330</v>
      </c>
      <c r="O12486" t="s">
        <v>180</v>
      </c>
      <c r="P12486" t="str">
        <f>"80211"</f>
        <v>80211</v>
      </c>
    </row>
    <row r="12487" spans="1:16" x14ac:dyDescent="0.25">
      <c r="A12487" t="str">
        <f>"1190004B00266    00"</f>
        <v>1190004B00266    00</v>
      </c>
      <c r="B12487" t="s">
        <v>27475</v>
      </c>
      <c r="C12487" t="s">
        <v>27476</v>
      </c>
      <c r="D12487" t="s">
        <v>20</v>
      </c>
      <c r="E12487" t="s">
        <v>39</v>
      </c>
      <c r="F12487">
        <v>0</v>
      </c>
      <c r="G12487">
        <v>0</v>
      </c>
      <c r="H12487">
        <v>3</v>
      </c>
      <c r="I12487" s="3">
        <v>7073.19</v>
      </c>
      <c r="J12487" s="3">
        <v>471.54</v>
      </c>
      <c r="K12487" t="s">
        <v>27477</v>
      </c>
      <c r="L12487">
        <v>1690</v>
      </c>
      <c r="M12487" t="s">
        <v>27434</v>
      </c>
      <c r="N12487" t="s">
        <v>30</v>
      </c>
      <c r="O12487" t="s">
        <v>31</v>
      </c>
      <c r="P12487" t="str">
        <f>"15241"</f>
        <v>15241</v>
      </c>
    </row>
    <row r="12488" spans="1:16" x14ac:dyDescent="0.25">
      <c r="A12488" t="str">
        <f>"1190004B00267    00"</f>
        <v>1190004B00267    00</v>
      </c>
      <c r="B12488" t="s">
        <v>27475</v>
      </c>
      <c r="C12488" t="s">
        <v>27478</v>
      </c>
      <c r="D12488" t="s">
        <v>20</v>
      </c>
      <c r="E12488" t="s">
        <v>39</v>
      </c>
      <c r="F12488">
        <v>0</v>
      </c>
      <c r="G12488">
        <v>0</v>
      </c>
      <c r="H12488">
        <v>3</v>
      </c>
      <c r="I12488" s="3">
        <v>7073.22</v>
      </c>
      <c r="J12488" s="3">
        <v>471.54</v>
      </c>
      <c r="K12488" t="s">
        <v>27477</v>
      </c>
      <c r="L12488">
        <v>1690</v>
      </c>
      <c r="M12488" t="s">
        <v>27434</v>
      </c>
      <c r="N12488" t="s">
        <v>30</v>
      </c>
      <c r="O12488" t="s">
        <v>31</v>
      </c>
      <c r="P12488" t="str">
        <f>"15241"</f>
        <v>15241</v>
      </c>
    </row>
    <row r="12489" spans="1:16" x14ac:dyDescent="0.25">
      <c r="A12489" t="str">
        <f>"1190004B00283    00"</f>
        <v>1190004B00283    00</v>
      </c>
      <c r="B12489" t="s">
        <v>27475</v>
      </c>
      <c r="C12489" t="s">
        <v>27479</v>
      </c>
      <c r="D12489" t="s">
        <v>20</v>
      </c>
      <c r="E12489" t="s">
        <v>39</v>
      </c>
      <c r="F12489">
        <v>0</v>
      </c>
      <c r="G12489">
        <v>0</v>
      </c>
      <c r="H12489">
        <v>3</v>
      </c>
      <c r="I12489" s="3">
        <v>394.56</v>
      </c>
      <c r="J12489" s="3">
        <v>26.31</v>
      </c>
      <c r="K12489" t="s">
        <v>27477</v>
      </c>
      <c r="L12489">
        <v>1690</v>
      </c>
      <c r="M12489" t="s">
        <v>27434</v>
      </c>
      <c r="N12489" t="s">
        <v>30</v>
      </c>
      <c r="O12489" t="s">
        <v>31</v>
      </c>
      <c r="P12489" t="str">
        <f>"15241"</f>
        <v>15241</v>
      </c>
    </row>
    <row r="12490" spans="1:16" x14ac:dyDescent="0.25">
      <c r="A12490" t="str">
        <f>"1190004C00007000300"</f>
        <v>1190004C00007000300</v>
      </c>
      <c r="B12490" t="s">
        <v>27480</v>
      </c>
      <c r="C12490" t="s">
        <v>27481</v>
      </c>
      <c r="D12490" t="s">
        <v>20</v>
      </c>
      <c r="E12490" t="s">
        <v>39</v>
      </c>
      <c r="F12490">
        <v>0</v>
      </c>
      <c r="G12490">
        <v>0</v>
      </c>
      <c r="H12490">
        <v>2</v>
      </c>
      <c r="I12490" s="3">
        <v>4273.28</v>
      </c>
      <c r="J12490" s="3">
        <v>0</v>
      </c>
      <c r="K12490" t="s">
        <v>27482</v>
      </c>
      <c r="L12490">
        <v>271</v>
      </c>
      <c r="M12490" t="s">
        <v>27483</v>
      </c>
      <c r="N12490" t="s">
        <v>30</v>
      </c>
      <c r="O12490" t="s">
        <v>31</v>
      </c>
      <c r="P12490" t="str">
        <f>"15221"</f>
        <v>15221</v>
      </c>
    </row>
    <row r="12491" spans="1:16" x14ac:dyDescent="0.25">
      <c r="A12491" t="str">
        <f>"1190004C00007001700"</f>
        <v>1190004C00007001700</v>
      </c>
      <c r="B12491" t="s">
        <v>27484</v>
      </c>
      <c r="C12491" t="s">
        <v>27485</v>
      </c>
      <c r="D12491" t="s">
        <v>20</v>
      </c>
      <c r="E12491" t="s">
        <v>39</v>
      </c>
      <c r="F12491">
        <v>0</v>
      </c>
      <c r="G12491">
        <v>0</v>
      </c>
      <c r="H12491">
        <v>2</v>
      </c>
      <c r="I12491" s="3">
        <v>4319.0200000000004</v>
      </c>
      <c r="J12491" s="3">
        <v>0</v>
      </c>
      <c r="L12491">
        <v>121</v>
      </c>
      <c r="M12491" t="s">
        <v>27486</v>
      </c>
      <c r="N12491" t="s">
        <v>30</v>
      </c>
      <c r="O12491" t="s">
        <v>31</v>
      </c>
      <c r="P12491" t="str">
        <f>"15211"</f>
        <v>15211</v>
      </c>
    </row>
    <row r="12492" spans="1:16" x14ac:dyDescent="0.25">
      <c r="A12492" t="str">
        <f>"1190004C00013040300"</f>
        <v>1190004C00013040300</v>
      </c>
      <c r="B12492" t="s">
        <v>27487</v>
      </c>
      <c r="C12492" t="s">
        <v>27488</v>
      </c>
      <c r="E12492" t="s">
        <v>39</v>
      </c>
      <c r="F12492">
        <v>0</v>
      </c>
      <c r="G12492">
        <v>0</v>
      </c>
      <c r="H12492">
        <v>1</v>
      </c>
      <c r="I12492" s="3">
        <v>4348.05</v>
      </c>
      <c r="J12492" s="3">
        <v>0</v>
      </c>
      <c r="L12492">
        <v>111</v>
      </c>
      <c r="M12492" t="s">
        <v>27489</v>
      </c>
      <c r="N12492" t="s">
        <v>30</v>
      </c>
      <c r="O12492" t="s">
        <v>31</v>
      </c>
      <c r="P12492" t="str">
        <f>"15211"</f>
        <v>15211</v>
      </c>
    </row>
    <row r="12493" spans="1:16" x14ac:dyDescent="0.25">
      <c r="A12493" t="str">
        <f>"1190004C00013050300"</f>
        <v>1190004C00013050300</v>
      </c>
      <c r="B12493" t="s">
        <v>27490</v>
      </c>
      <c r="C12493" t="s">
        <v>27491</v>
      </c>
      <c r="E12493" t="s">
        <v>39</v>
      </c>
      <c r="F12493">
        <v>0</v>
      </c>
      <c r="G12493">
        <v>0</v>
      </c>
      <c r="H12493">
        <v>1</v>
      </c>
      <c r="I12493" s="3">
        <v>1046.81</v>
      </c>
      <c r="J12493" s="3">
        <v>287.83999999999997</v>
      </c>
      <c r="L12493">
        <v>111</v>
      </c>
      <c r="M12493" t="s">
        <v>27492</v>
      </c>
      <c r="N12493" t="s">
        <v>30</v>
      </c>
      <c r="O12493" t="s">
        <v>31</v>
      </c>
      <c r="P12493" t="str">
        <f>"15211"</f>
        <v>15211</v>
      </c>
    </row>
    <row r="12494" spans="1:16" x14ac:dyDescent="0.25">
      <c r="A12494" t="str">
        <f>"1190004C00130    04"</f>
        <v>1190004C00130    04</v>
      </c>
      <c r="B12494" t="s">
        <v>4503</v>
      </c>
      <c r="C12494" t="s">
        <v>4502</v>
      </c>
      <c r="E12494" t="s">
        <v>513</v>
      </c>
      <c r="F12494">
        <v>0</v>
      </c>
      <c r="G12494">
        <v>0</v>
      </c>
      <c r="H12494">
        <v>6</v>
      </c>
      <c r="I12494" s="3">
        <v>16462.73</v>
      </c>
      <c r="J12494" s="3">
        <v>24192.74</v>
      </c>
      <c r="K12494" t="s">
        <v>603</v>
      </c>
      <c r="L12494">
        <v>110</v>
      </c>
      <c r="M12494" t="s">
        <v>4504</v>
      </c>
      <c r="N12494" t="s">
        <v>4505</v>
      </c>
      <c r="O12494" t="s">
        <v>692</v>
      </c>
      <c r="P12494" t="str">
        <f>"24042"</f>
        <v>24042</v>
      </c>
    </row>
    <row r="12495" spans="1:16" x14ac:dyDescent="0.25">
      <c r="A12495" t="str">
        <f>"1190004E00012    00"</f>
        <v>1190004E00012    00</v>
      </c>
      <c r="B12495" t="s">
        <v>27493</v>
      </c>
      <c r="C12495" t="s">
        <v>27494</v>
      </c>
      <c r="D12495" t="s">
        <v>20</v>
      </c>
      <c r="E12495" t="s">
        <v>39</v>
      </c>
      <c r="F12495">
        <v>0</v>
      </c>
      <c r="G12495">
        <v>0</v>
      </c>
      <c r="H12495">
        <v>4</v>
      </c>
      <c r="I12495" s="3">
        <v>1599.73</v>
      </c>
      <c r="J12495" s="3">
        <v>545.86</v>
      </c>
      <c r="K12495" t="s">
        <v>27495</v>
      </c>
      <c r="L12495">
        <v>347</v>
      </c>
      <c r="M12495" t="s">
        <v>27324</v>
      </c>
      <c r="N12495" t="s">
        <v>30</v>
      </c>
      <c r="O12495" t="s">
        <v>31</v>
      </c>
      <c r="P12495" t="str">
        <f>"15211"</f>
        <v>15211</v>
      </c>
    </row>
    <row r="12496" spans="1:16" x14ac:dyDescent="0.25">
      <c r="A12496" t="str">
        <f>"1190004E00017    00"</f>
        <v>1190004E00017    00</v>
      </c>
      <c r="B12496" t="s">
        <v>27496</v>
      </c>
      <c r="C12496" t="s">
        <v>27497</v>
      </c>
      <c r="D12496" t="s">
        <v>20</v>
      </c>
      <c r="E12496" t="s">
        <v>39</v>
      </c>
      <c r="F12496">
        <v>0</v>
      </c>
      <c r="G12496">
        <v>0</v>
      </c>
      <c r="H12496">
        <v>2</v>
      </c>
      <c r="I12496" s="3">
        <v>355.63</v>
      </c>
      <c r="J12496" s="3">
        <v>259.62</v>
      </c>
      <c r="L12496">
        <v>333</v>
      </c>
      <c r="M12496" t="s">
        <v>27324</v>
      </c>
      <c r="N12496" t="s">
        <v>30</v>
      </c>
      <c r="O12496" t="s">
        <v>31</v>
      </c>
      <c r="P12496" t="str">
        <f>"15211"</f>
        <v>15211</v>
      </c>
    </row>
    <row r="12497" spans="1:16" x14ac:dyDescent="0.25">
      <c r="A12497" t="str">
        <f>"1190004E00060    00"</f>
        <v>1190004E00060    00</v>
      </c>
      <c r="B12497" t="s">
        <v>27498</v>
      </c>
      <c r="C12497" t="s">
        <v>27499</v>
      </c>
      <c r="E12497" t="s">
        <v>39</v>
      </c>
      <c r="F12497">
        <v>0</v>
      </c>
      <c r="G12497">
        <v>0</v>
      </c>
      <c r="H12497">
        <v>1</v>
      </c>
      <c r="I12497" s="3">
        <v>255.64</v>
      </c>
      <c r="J12497" s="3">
        <v>102.25</v>
      </c>
      <c r="L12497">
        <v>461</v>
      </c>
      <c r="M12497" t="s">
        <v>27500</v>
      </c>
      <c r="N12497" t="s">
        <v>30</v>
      </c>
      <c r="O12497" t="s">
        <v>31</v>
      </c>
      <c r="P12497" t="str">
        <f>"15228"</f>
        <v>15228</v>
      </c>
    </row>
    <row r="12498" spans="1:16" x14ac:dyDescent="0.25">
      <c r="A12498" t="str">
        <f>"1190004E00062    00"</f>
        <v>1190004E00062    00</v>
      </c>
      <c r="B12498" t="s">
        <v>27501</v>
      </c>
      <c r="C12498" t="s">
        <v>27502</v>
      </c>
      <c r="D12498" t="s">
        <v>20</v>
      </c>
      <c r="E12498" t="s">
        <v>39</v>
      </c>
      <c r="F12498">
        <v>0</v>
      </c>
      <c r="G12498">
        <v>0</v>
      </c>
      <c r="H12498">
        <v>1</v>
      </c>
      <c r="I12498" s="3">
        <v>4252.3</v>
      </c>
      <c r="J12498" s="3">
        <v>0</v>
      </c>
      <c r="L12498">
        <v>521</v>
      </c>
      <c r="M12498" t="s">
        <v>27503</v>
      </c>
      <c r="N12498" t="s">
        <v>15078</v>
      </c>
      <c r="O12498" t="s">
        <v>31</v>
      </c>
      <c r="P12498" t="str">
        <f t="shared" ref="P12498:P12504" si="157">"15340"</f>
        <v>15340</v>
      </c>
    </row>
    <row r="12499" spans="1:16" x14ac:dyDescent="0.25">
      <c r="A12499" t="str">
        <f>"1190004E00063    00"</f>
        <v>1190004E00063    00</v>
      </c>
      <c r="B12499" t="s">
        <v>27504</v>
      </c>
      <c r="C12499" t="s">
        <v>27505</v>
      </c>
      <c r="D12499" t="s">
        <v>20</v>
      </c>
      <c r="E12499" t="s">
        <v>39</v>
      </c>
      <c r="F12499">
        <v>0</v>
      </c>
      <c r="G12499">
        <v>0</v>
      </c>
      <c r="H12499">
        <v>1</v>
      </c>
      <c r="I12499" s="3">
        <v>266.83999999999997</v>
      </c>
      <c r="J12499" s="3">
        <v>0</v>
      </c>
      <c r="K12499" t="s">
        <v>27506</v>
      </c>
      <c r="L12499">
        <v>521</v>
      </c>
      <c r="M12499" t="s">
        <v>27503</v>
      </c>
      <c r="N12499" t="s">
        <v>15078</v>
      </c>
      <c r="O12499" t="s">
        <v>31</v>
      </c>
      <c r="P12499" t="str">
        <f t="shared" si="157"/>
        <v>15340</v>
      </c>
    </row>
    <row r="12500" spans="1:16" x14ac:dyDescent="0.25">
      <c r="A12500" t="str">
        <f>"1190004E00064    00"</f>
        <v>1190004E00064    00</v>
      </c>
      <c r="B12500" t="s">
        <v>27504</v>
      </c>
      <c r="C12500" t="s">
        <v>27507</v>
      </c>
      <c r="D12500" t="s">
        <v>20</v>
      </c>
      <c r="E12500" t="s">
        <v>39</v>
      </c>
      <c r="F12500">
        <v>0</v>
      </c>
      <c r="G12500">
        <v>0</v>
      </c>
      <c r="H12500">
        <v>1</v>
      </c>
      <c r="I12500" s="3">
        <v>266.83999999999997</v>
      </c>
      <c r="J12500" s="3">
        <v>0</v>
      </c>
      <c r="K12500" t="s">
        <v>27506</v>
      </c>
      <c r="L12500">
        <v>521</v>
      </c>
      <c r="M12500" t="s">
        <v>27503</v>
      </c>
      <c r="N12500" t="s">
        <v>15078</v>
      </c>
      <c r="O12500" t="s">
        <v>31</v>
      </c>
      <c r="P12500" t="str">
        <f t="shared" si="157"/>
        <v>15340</v>
      </c>
    </row>
    <row r="12501" spans="1:16" x14ac:dyDescent="0.25">
      <c r="A12501" t="str">
        <f>"1190004E00065    00"</f>
        <v>1190004E00065    00</v>
      </c>
      <c r="B12501" t="s">
        <v>27504</v>
      </c>
      <c r="C12501" t="s">
        <v>27508</v>
      </c>
      <c r="D12501" t="s">
        <v>20</v>
      </c>
      <c r="E12501" t="s">
        <v>39</v>
      </c>
      <c r="F12501">
        <v>0</v>
      </c>
      <c r="G12501">
        <v>0</v>
      </c>
      <c r="H12501">
        <v>1</v>
      </c>
      <c r="I12501" s="3">
        <v>268.76</v>
      </c>
      <c r="J12501" s="3">
        <v>0</v>
      </c>
      <c r="K12501" t="s">
        <v>27506</v>
      </c>
      <c r="L12501">
        <v>521</v>
      </c>
      <c r="M12501" t="s">
        <v>27503</v>
      </c>
      <c r="N12501" t="s">
        <v>15078</v>
      </c>
      <c r="O12501" t="s">
        <v>31</v>
      </c>
      <c r="P12501" t="str">
        <f t="shared" si="157"/>
        <v>15340</v>
      </c>
    </row>
    <row r="12502" spans="1:16" x14ac:dyDescent="0.25">
      <c r="A12502" t="str">
        <f>"1190004E00066    00"</f>
        <v>1190004E00066    00</v>
      </c>
      <c r="B12502" t="s">
        <v>27504</v>
      </c>
      <c r="C12502" t="s">
        <v>27509</v>
      </c>
      <c r="D12502" t="s">
        <v>20</v>
      </c>
      <c r="E12502" t="s">
        <v>39</v>
      </c>
      <c r="F12502">
        <v>0</v>
      </c>
      <c r="G12502">
        <v>0</v>
      </c>
      <c r="H12502">
        <v>1</v>
      </c>
      <c r="I12502" s="3">
        <v>364.06</v>
      </c>
      <c r="J12502" s="3">
        <v>0</v>
      </c>
      <c r="K12502" t="s">
        <v>27506</v>
      </c>
      <c r="L12502">
        <v>521</v>
      </c>
      <c r="M12502" t="s">
        <v>27503</v>
      </c>
      <c r="N12502" t="s">
        <v>15078</v>
      </c>
      <c r="O12502" t="s">
        <v>31</v>
      </c>
      <c r="P12502" t="str">
        <f t="shared" si="157"/>
        <v>15340</v>
      </c>
    </row>
    <row r="12503" spans="1:16" x14ac:dyDescent="0.25">
      <c r="A12503" t="str">
        <f>"1190004E00067    00"</f>
        <v>1190004E00067    00</v>
      </c>
      <c r="B12503" t="s">
        <v>27504</v>
      </c>
      <c r="C12503" t="s">
        <v>27510</v>
      </c>
      <c r="D12503" t="s">
        <v>20</v>
      </c>
      <c r="E12503" t="s">
        <v>39</v>
      </c>
      <c r="F12503">
        <v>0</v>
      </c>
      <c r="G12503">
        <v>0</v>
      </c>
      <c r="H12503">
        <v>1</v>
      </c>
      <c r="I12503" s="3">
        <v>272.57</v>
      </c>
      <c r="J12503" s="3">
        <v>0</v>
      </c>
      <c r="K12503" t="s">
        <v>27506</v>
      </c>
      <c r="L12503">
        <v>521</v>
      </c>
      <c r="M12503" t="s">
        <v>27503</v>
      </c>
      <c r="N12503" t="s">
        <v>15078</v>
      </c>
      <c r="O12503" t="s">
        <v>31</v>
      </c>
      <c r="P12503" t="str">
        <f t="shared" si="157"/>
        <v>15340</v>
      </c>
    </row>
    <row r="12504" spans="1:16" x14ac:dyDescent="0.25">
      <c r="A12504" t="str">
        <f>"1190004E00068    00"</f>
        <v>1190004E00068    00</v>
      </c>
      <c r="B12504" t="s">
        <v>27504</v>
      </c>
      <c r="C12504" t="s">
        <v>27511</v>
      </c>
      <c r="D12504" t="s">
        <v>20</v>
      </c>
      <c r="E12504" t="s">
        <v>39</v>
      </c>
      <c r="F12504">
        <v>0</v>
      </c>
      <c r="G12504">
        <v>0</v>
      </c>
      <c r="H12504">
        <v>1</v>
      </c>
      <c r="I12504" s="3">
        <v>276.38</v>
      </c>
      <c r="J12504" s="3">
        <v>0</v>
      </c>
      <c r="K12504" t="s">
        <v>27506</v>
      </c>
      <c r="L12504">
        <v>521</v>
      </c>
      <c r="M12504" t="s">
        <v>27503</v>
      </c>
      <c r="N12504" t="s">
        <v>15078</v>
      </c>
      <c r="O12504" t="s">
        <v>31</v>
      </c>
      <c r="P12504" t="str">
        <f t="shared" si="157"/>
        <v>15340</v>
      </c>
    </row>
    <row r="12505" spans="1:16" x14ac:dyDescent="0.25">
      <c r="A12505" t="str">
        <f>"1190004E00076    00"</f>
        <v>1190004E00076    00</v>
      </c>
      <c r="B12505" t="s">
        <v>27512</v>
      </c>
      <c r="C12505" t="s">
        <v>27513</v>
      </c>
      <c r="E12505" t="s">
        <v>39</v>
      </c>
      <c r="F12505">
        <v>0</v>
      </c>
      <c r="G12505">
        <v>0</v>
      </c>
      <c r="H12505">
        <v>1</v>
      </c>
      <c r="I12505" s="3">
        <v>1129.25</v>
      </c>
      <c r="J12505" s="3">
        <v>555.20000000000005</v>
      </c>
      <c r="K12505" t="s">
        <v>27514</v>
      </c>
      <c r="L12505">
        <v>441</v>
      </c>
      <c r="M12505" t="s">
        <v>25137</v>
      </c>
      <c r="N12505" t="s">
        <v>30</v>
      </c>
      <c r="O12505" t="s">
        <v>31</v>
      </c>
      <c r="P12505" t="str">
        <f>"15211"</f>
        <v>15211</v>
      </c>
    </row>
    <row r="12506" spans="1:16" x14ac:dyDescent="0.25">
      <c r="A12506" t="str">
        <f>"1190004E00082    00"</f>
        <v>1190004E00082    00</v>
      </c>
      <c r="B12506" t="s">
        <v>27515</v>
      </c>
      <c r="C12506" t="s">
        <v>27509</v>
      </c>
      <c r="D12506" t="s">
        <v>20</v>
      </c>
      <c r="E12506" t="s">
        <v>39</v>
      </c>
      <c r="F12506">
        <v>0</v>
      </c>
      <c r="G12506">
        <v>0</v>
      </c>
      <c r="H12506">
        <v>2</v>
      </c>
      <c r="I12506" s="3">
        <v>687.36</v>
      </c>
      <c r="J12506" s="3">
        <v>0</v>
      </c>
      <c r="K12506" t="s">
        <v>13571</v>
      </c>
      <c r="L12506">
        <v>3301</v>
      </c>
      <c r="M12506" t="s">
        <v>330</v>
      </c>
      <c r="N12506" t="s">
        <v>331</v>
      </c>
      <c r="O12506" t="s">
        <v>108</v>
      </c>
      <c r="P12506" t="str">
        <f>"75063"</f>
        <v>75063</v>
      </c>
    </row>
    <row r="12507" spans="1:16" x14ac:dyDescent="0.25">
      <c r="A12507" t="str">
        <f>"1190004E00086    00"</f>
        <v>1190004E00086    00</v>
      </c>
      <c r="B12507" t="s">
        <v>27515</v>
      </c>
      <c r="C12507" t="s">
        <v>27516</v>
      </c>
      <c r="D12507" t="s">
        <v>20</v>
      </c>
      <c r="E12507" t="s">
        <v>39</v>
      </c>
      <c r="F12507">
        <v>0</v>
      </c>
      <c r="G12507">
        <v>0</v>
      </c>
      <c r="H12507">
        <v>2</v>
      </c>
      <c r="I12507" s="3">
        <v>919.72</v>
      </c>
      <c r="J12507" s="3">
        <v>0</v>
      </c>
      <c r="K12507" t="s">
        <v>13571</v>
      </c>
      <c r="L12507">
        <v>3301</v>
      </c>
      <c r="M12507" t="s">
        <v>330</v>
      </c>
      <c r="N12507" t="s">
        <v>331</v>
      </c>
      <c r="O12507" t="s">
        <v>108</v>
      </c>
      <c r="P12507" t="str">
        <f>"75063"</f>
        <v>75063</v>
      </c>
    </row>
    <row r="12508" spans="1:16" x14ac:dyDescent="0.25">
      <c r="A12508" t="str">
        <f>"1190004E00190    00"</f>
        <v>1190004E00190    00</v>
      </c>
      <c r="B12508" t="s">
        <v>27517</v>
      </c>
      <c r="C12508" t="s">
        <v>27518</v>
      </c>
      <c r="D12508" t="s">
        <v>20</v>
      </c>
      <c r="E12508" t="s">
        <v>39</v>
      </c>
      <c r="F12508">
        <v>0</v>
      </c>
      <c r="G12508">
        <v>0</v>
      </c>
      <c r="H12508">
        <v>15</v>
      </c>
      <c r="I12508" s="3">
        <v>1845.65</v>
      </c>
      <c r="J12508" s="3">
        <v>1429.51</v>
      </c>
      <c r="L12508">
        <v>436</v>
      </c>
      <c r="M12508" t="s">
        <v>27519</v>
      </c>
      <c r="N12508" t="s">
        <v>30</v>
      </c>
      <c r="O12508" t="s">
        <v>31</v>
      </c>
      <c r="P12508" t="str">
        <f>"15211"</f>
        <v>15211</v>
      </c>
    </row>
    <row r="12509" spans="1:16" x14ac:dyDescent="0.25">
      <c r="A12509" t="str">
        <f>"1190004E00191    00"</f>
        <v>1190004E00191    00</v>
      </c>
      <c r="B12509" t="s">
        <v>27520</v>
      </c>
      <c r="C12509" t="s">
        <v>27521</v>
      </c>
      <c r="D12509" t="s">
        <v>20</v>
      </c>
      <c r="E12509" t="s">
        <v>39</v>
      </c>
      <c r="F12509">
        <v>0</v>
      </c>
      <c r="G12509">
        <v>0</v>
      </c>
      <c r="H12509">
        <v>12</v>
      </c>
      <c r="I12509" s="3">
        <v>12345.79</v>
      </c>
      <c r="J12509" s="3">
        <v>6594.43</v>
      </c>
      <c r="L12509">
        <v>436</v>
      </c>
      <c r="M12509" t="s">
        <v>27519</v>
      </c>
      <c r="N12509" t="s">
        <v>30</v>
      </c>
      <c r="O12509" t="s">
        <v>31</v>
      </c>
      <c r="P12509" t="str">
        <f>"15211"</f>
        <v>15211</v>
      </c>
    </row>
    <row r="12510" spans="1:16" x14ac:dyDescent="0.25">
      <c r="A12510" t="str">
        <f>"1190004E00198    00"</f>
        <v>1190004E00198    00</v>
      </c>
      <c r="B12510" t="s">
        <v>27522</v>
      </c>
      <c r="C12510" t="s">
        <v>27523</v>
      </c>
      <c r="D12510" t="s">
        <v>20</v>
      </c>
      <c r="E12510" t="s">
        <v>39</v>
      </c>
      <c r="F12510">
        <v>0</v>
      </c>
      <c r="G12510">
        <v>0</v>
      </c>
      <c r="H12510">
        <v>2</v>
      </c>
      <c r="I12510" s="3">
        <v>1723.06</v>
      </c>
      <c r="J12510" s="3">
        <v>0</v>
      </c>
      <c r="K12510" t="s">
        <v>27524</v>
      </c>
      <c r="L12510">
        <v>11</v>
      </c>
      <c r="M12510" t="s">
        <v>27525</v>
      </c>
      <c r="N12510" t="s">
        <v>27526</v>
      </c>
      <c r="O12510" t="s">
        <v>31</v>
      </c>
      <c r="P12510" t="str">
        <f>"18701"</f>
        <v>18701</v>
      </c>
    </row>
    <row r="12511" spans="1:16" x14ac:dyDescent="0.25">
      <c r="A12511" t="str">
        <f>"1190004E00199    00"</f>
        <v>1190004E00199    00</v>
      </c>
      <c r="B12511" t="s">
        <v>27527</v>
      </c>
      <c r="C12511" t="s">
        <v>27518</v>
      </c>
      <c r="D12511" t="s">
        <v>20</v>
      </c>
      <c r="E12511" t="s">
        <v>39</v>
      </c>
      <c r="F12511">
        <v>0</v>
      </c>
      <c r="G12511">
        <v>0</v>
      </c>
      <c r="H12511">
        <v>5</v>
      </c>
      <c r="I12511" s="3">
        <v>1202.8399999999999</v>
      </c>
      <c r="J12511" s="3">
        <v>149.34</v>
      </c>
      <c r="L12511">
        <v>411</v>
      </c>
      <c r="M12511" t="s">
        <v>27519</v>
      </c>
      <c r="N12511" t="s">
        <v>30</v>
      </c>
      <c r="O12511" t="s">
        <v>31</v>
      </c>
      <c r="P12511" t="str">
        <f>"15211"</f>
        <v>15211</v>
      </c>
    </row>
    <row r="12512" spans="1:16" x14ac:dyDescent="0.25">
      <c r="A12512" t="str">
        <f>"1190004E00206    00"</f>
        <v>1190004E00206    00</v>
      </c>
      <c r="B12512" t="s">
        <v>27528</v>
      </c>
      <c r="C12512" t="s">
        <v>27518</v>
      </c>
      <c r="D12512" t="s">
        <v>20</v>
      </c>
      <c r="E12512" t="s">
        <v>39</v>
      </c>
      <c r="F12512">
        <v>0</v>
      </c>
      <c r="G12512">
        <v>0</v>
      </c>
      <c r="H12512">
        <v>4</v>
      </c>
      <c r="I12512" s="3">
        <v>1691.6</v>
      </c>
      <c r="J12512" s="3">
        <v>249.55</v>
      </c>
      <c r="L12512">
        <v>5246</v>
      </c>
      <c r="M12512" t="s">
        <v>208</v>
      </c>
      <c r="N12512" t="s">
        <v>30</v>
      </c>
      <c r="O12512" t="s">
        <v>31</v>
      </c>
      <c r="P12512" t="str">
        <f>"15217"</f>
        <v>15217</v>
      </c>
    </row>
    <row r="12513" spans="1:16" x14ac:dyDescent="0.25">
      <c r="A12513" t="str">
        <f>"1190004E00208    00"</f>
        <v>1190004E00208    00</v>
      </c>
      <c r="B12513" t="s">
        <v>27529</v>
      </c>
      <c r="C12513" t="s">
        <v>27530</v>
      </c>
      <c r="E12513" t="s">
        <v>39</v>
      </c>
      <c r="F12513">
        <v>0</v>
      </c>
      <c r="G12513">
        <v>0</v>
      </c>
      <c r="H12513">
        <v>1</v>
      </c>
      <c r="I12513" s="3">
        <v>139.55000000000001</v>
      </c>
      <c r="J12513" s="3">
        <v>0</v>
      </c>
      <c r="K12513" t="s">
        <v>27531</v>
      </c>
      <c r="L12513">
        <v>1313</v>
      </c>
      <c r="M12513" t="s">
        <v>27532</v>
      </c>
      <c r="N12513" t="s">
        <v>30</v>
      </c>
      <c r="O12513" t="s">
        <v>31</v>
      </c>
      <c r="P12513" t="str">
        <f>"15212"</f>
        <v>15212</v>
      </c>
    </row>
    <row r="12514" spans="1:16" x14ac:dyDescent="0.25">
      <c r="A12514" t="str">
        <f>"1190004E00209    00"</f>
        <v>1190004E00209    00</v>
      </c>
      <c r="B12514" t="s">
        <v>27533</v>
      </c>
      <c r="C12514" t="s">
        <v>27534</v>
      </c>
      <c r="E12514" t="s">
        <v>39</v>
      </c>
      <c r="F12514">
        <v>0</v>
      </c>
      <c r="G12514">
        <v>0</v>
      </c>
      <c r="H12514">
        <v>2</v>
      </c>
      <c r="I12514" s="3">
        <v>144.86000000000001</v>
      </c>
      <c r="J12514" s="3">
        <v>1.81</v>
      </c>
      <c r="K12514" t="s">
        <v>4877</v>
      </c>
      <c r="L12514">
        <v>1</v>
      </c>
      <c r="M12514" t="s">
        <v>4878</v>
      </c>
      <c r="N12514" t="s">
        <v>4879</v>
      </c>
      <c r="O12514" t="s">
        <v>31</v>
      </c>
      <c r="P12514" t="str">
        <f>"19428"</f>
        <v>19428</v>
      </c>
    </row>
    <row r="12515" spans="1:16" x14ac:dyDescent="0.25">
      <c r="A12515" t="str">
        <f>"1190004E00210    00"</f>
        <v>1190004E00210    00</v>
      </c>
      <c r="B12515" t="s">
        <v>27533</v>
      </c>
      <c r="C12515" t="s">
        <v>27534</v>
      </c>
      <c r="E12515" t="s">
        <v>39</v>
      </c>
      <c r="F12515">
        <v>0</v>
      </c>
      <c r="G12515">
        <v>0</v>
      </c>
      <c r="H12515">
        <v>2</v>
      </c>
      <c r="I12515" s="3">
        <v>144.86000000000001</v>
      </c>
      <c r="J12515" s="3">
        <v>1.81</v>
      </c>
      <c r="K12515" t="s">
        <v>4877</v>
      </c>
      <c r="L12515">
        <v>1</v>
      </c>
      <c r="M12515" t="s">
        <v>4878</v>
      </c>
      <c r="N12515" t="s">
        <v>4879</v>
      </c>
      <c r="O12515" t="s">
        <v>31</v>
      </c>
      <c r="P12515" t="str">
        <f>"19428"</f>
        <v>19428</v>
      </c>
    </row>
    <row r="12516" spans="1:16" x14ac:dyDescent="0.25">
      <c r="A12516" t="str">
        <f>"1190004E00211    00"</f>
        <v>1190004E00211    00</v>
      </c>
      <c r="B12516" t="s">
        <v>27533</v>
      </c>
      <c r="C12516" t="s">
        <v>27534</v>
      </c>
      <c r="E12516" t="s">
        <v>39</v>
      </c>
      <c r="F12516">
        <v>0</v>
      </c>
      <c r="G12516">
        <v>0</v>
      </c>
      <c r="H12516">
        <v>2</v>
      </c>
      <c r="I12516" s="3">
        <v>4311.3999999999996</v>
      </c>
      <c r="J12516" s="3">
        <v>53.89</v>
      </c>
      <c r="K12516" t="s">
        <v>4877</v>
      </c>
      <c r="L12516">
        <v>1</v>
      </c>
      <c r="M12516" t="s">
        <v>4878</v>
      </c>
      <c r="N12516" t="s">
        <v>4879</v>
      </c>
      <c r="O12516" t="s">
        <v>31</v>
      </c>
      <c r="P12516" t="str">
        <f>"19428"</f>
        <v>19428</v>
      </c>
    </row>
    <row r="12517" spans="1:16" x14ac:dyDescent="0.25">
      <c r="A12517" t="str">
        <f>"1190004E00214    00"</f>
        <v>1190004E00214    00</v>
      </c>
      <c r="B12517" t="s">
        <v>27533</v>
      </c>
      <c r="C12517" t="s">
        <v>27534</v>
      </c>
      <c r="E12517" t="s">
        <v>39</v>
      </c>
      <c r="F12517">
        <v>0</v>
      </c>
      <c r="G12517">
        <v>0</v>
      </c>
      <c r="H12517">
        <v>2</v>
      </c>
      <c r="I12517" s="3">
        <v>575.64</v>
      </c>
      <c r="J12517" s="3">
        <v>9.6</v>
      </c>
      <c r="K12517" t="s">
        <v>4877</v>
      </c>
      <c r="L12517">
        <v>1</v>
      </c>
      <c r="M12517" t="s">
        <v>4878</v>
      </c>
      <c r="N12517" t="s">
        <v>4879</v>
      </c>
      <c r="O12517" t="s">
        <v>31</v>
      </c>
      <c r="P12517" t="str">
        <f>"19428"</f>
        <v>19428</v>
      </c>
    </row>
    <row r="12518" spans="1:16" x14ac:dyDescent="0.25">
      <c r="A12518" t="str">
        <f>"1190004E00215    00"</f>
        <v>1190004E00215    00</v>
      </c>
      <c r="B12518" t="s">
        <v>27533</v>
      </c>
      <c r="C12518" t="s">
        <v>27518</v>
      </c>
      <c r="E12518" t="s">
        <v>39</v>
      </c>
      <c r="F12518">
        <v>0</v>
      </c>
      <c r="G12518">
        <v>0</v>
      </c>
      <c r="H12518">
        <v>2</v>
      </c>
      <c r="I12518" s="3">
        <v>259.22000000000003</v>
      </c>
      <c r="J12518" s="3">
        <v>3.23</v>
      </c>
      <c r="K12518" t="s">
        <v>4877</v>
      </c>
      <c r="L12518">
        <v>1</v>
      </c>
      <c r="M12518" t="s">
        <v>4878</v>
      </c>
      <c r="N12518" t="s">
        <v>4879</v>
      </c>
      <c r="O12518" t="s">
        <v>31</v>
      </c>
      <c r="P12518" t="str">
        <f>"19428"</f>
        <v>19428</v>
      </c>
    </row>
    <row r="12519" spans="1:16" x14ac:dyDescent="0.25">
      <c r="A12519" t="str">
        <f>"1190004E00222    00"</f>
        <v>1190004E00222    00</v>
      </c>
      <c r="B12519" t="s">
        <v>27535</v>
      </c>
      <c r="C12519" t="s">
        <v>27536</v>
      </c>
      <c r="E12519" t="s">
        <v>39</v>
      </c>
      <c r="F12519">
        <v>0</v>
      </c>
      <c r="G12519">
        <v>0</v>
      </c>
      <c r="H12519">
        <v>2</v>
      </c>
      <c r="I12519" s="3">
        <v>47.58</v>
      </c>
      <c r="J12519" s="3">
        <v>4.76</v>
      </c>
      <c r="K12519" t="s">
        <v>16191</v>
      </c>
      <c r="L12519">
        <v>88</v>
      </c>
      <c r="M12519" t="s">
        <v>7693</v>
      </c>
      <c r="N12519" t="s">
        <v>7694</v>
      </c>
      <c r="O12519" t="s">
        <v>7695</v>
      </c>
      <c r="P12519" t="str">
        <f>"40601"</f>
        <v>40601</v>
      </c>
    </row>
    <row r="12520" spans="1:16" x14ac:dyDescent="0.25">
      <c r="A12520" t="str">
        <f>"1190004E00223    00"</f>
        <v>1190004E00223    00</v>
      </c>
      <c r="B12520" t="s">
        <v>27535</v>
      </c>
      <c r="C12520" t="s">
        <v>27536</v>
      </c>
      <c r="E12520" t="s">
        <v>39</v>
      </c>
      <c r="F12520">
        <v>0</v>
      </c>
      <c r="G12520">
        <v>0</v>
      </c>
      <c r="H12520">
        <v>2</v>
      </c>
      <c r="I12520" s="3">
        <v>52.86</v>
      </c>
      <c r="J12520" s="3">
        <v>5.28</v>
      </c>
      <c r="K12520" t="s">
        <v>16191</v>
      </c>
      <c r="L12520">
        <v>88</v>
      </c>
      <c r="M12520" t="s">
        <v>7693</v>
      </c>
      <c r="N12520" t="s">
        <v>7694</v>
      </c>
      <c r="O12520" t="s">
        <v>7695</v>
      </c>
      <c r="P12520" t="str">
        <f>"40601"</f>
        <v>40601</v>
      </c>
    </row>
    <row r="12521" spans="1:16" x14ac:dyDescent="0.25">
      <c r="A12521" t="str">
        <f>"1190004E00224    00"</f>
        <v>1190004E00224    00</v>
      </c>
      <c r="B12521" t="s">
        <v>27535</v>
      </c>
      <c r="C12521" t="s">
        <v>27536</v>
      </c>
      <c r="E12521" t="s">
        <v>39</v>
      </c>
      <c r="F12521">
        <v>0</v>
      </c>
      <c r="G12521">
        <v>0</v>
      </c>
      <c r="H12521">
        <v>2</v>
      </c>
      <c r="I12521" s="3">
        <v>40.54</v>
      </c>
      <c r="J12521" s="3">
        <v>4.0599999999999996</v>
      </c>
      <c r="K12521" t="s">
        <v>16191</v>
      </c>
      <c r="L12521">
        <v>88</v>
      </c>
      <c r="M12521" t="s">
        <v>7693</v>
      </c>
      <c r="N12521" t="s">
        <v>7694</v>
      </c>
      <c r="O12521" t="s">
        <v>7695</v>
      </c>
      <c r="P12521" t="str">
        <f>"40601"</f>
        <v>40601</v>
      </c>
    </row>
    <row r="12522" spans="1:16" x14ac:dyDescent="0.25">
      <c r="A12522" t="str">
        <f>"1190004E00225    00"</f>
        <v>1190004E00225    00</v>
      </c>
      <c r="B12522" t="s">
        <v>27535</v>
      </c>
      <c r="C12522" t="s">
        <v>27537</v>
      </c>
      <c r="E12522" t="s">
        <v>39</v>
      </c>
      <c r="F12522">
        <v>0</v>
      </c>
      <c r="G12522">
        <v>0</v>
      </c>
      <c r="H12522">
        <v>1</v>
      </c>
      <c r="I12522" s="3">
        <v>561.20000000000005</v>
      </c>
      <c r="J12522" s="3">
        <v>0</v>
      </c>
      <c r="K12522" t="s">
        <v>16191</v>
      </c>
      <c r="L12522">
        <v>88</v>
      </c>
      <c r="M12522" t="s">
        <v>7693</v>
      </c>
      <c r="N12522" t="s">
        <v>7694</v>
      </c>
      <c r="O12522" t="s">
        <v>7695</v>
      </c>
      <c r="P12522" t="str">
        <f>"40601"</f>
        <v>40601</v>
      </c>
    </row>
    <row r="12523" spans="1:16" x14ac:dyDescent="0.25">
      <c r="A12523" t="str">
        <f>"1190004F00042    00"</f>
        <v>1190004F00042    00</v>
      </c>
      <c r="B12523" t="s">
        <v>27538</v>
      </c>
      <c r="C12523" t="s">
        <v>27539</v>
      </c>
      <c r="D12523" t="s">
        <v>20</v>
      </c>
      <c r="E12523" t="s">
        <v>39</v>
      </c>
      <c r="F12523">
        <v>0</v>
      </c>
      <c r="G12523">
        <v>0</v>
      </c>
      <c r="H12523">
        <v>18</v>
      </c>
      <c r="I12523" s="3">
        <v>9412.3799999999992</v>
      </c>
      <c r="J12523" s="3">
        <v>7309.84</v>
      </c>
      <c r="L12523">
        <v>315</v>
      </c>
      <c r="M12523" t="s">
        <v>27519</v>
      </c>
      <c r="N12523" t="s">
        <v>30</v>
      </c>
      <c r="O12523" t="s">
        <v>31</v>
      </c>
      <c r="P12523" t="str">
        <f>"15211"</f>
        <v>15211</v>
      </c>
    </row>
    <row r="12524" spans="1:16" x14ac:dyDescent="0.25">
      <c r="A12524" t="str">
        <f>"1190004F00043    00"</f>
        <v>1190004F00043    00</v>
      </c>
      <c r="B12524" t="s">
        <v>27540</v>
      </c>
      <c r="C12524" t="s">
        <v>27541</v>
      </c>
      <c r="D12524" t="s">
        <v>20</v>
      </c>
      <c r="E12524" t="s">
        <v>39</v>
      </c>
      <c r="F12524">
        <v>0</v>
      </c>
      <c r="G12524">
        <v>0</v>
      </c>
      <c r="H12524">
        <v>4</v>
      </c>
      <c r="I12524" s="3">
        <v>4017.25</v>
      </c>
      <c r="J12524" s="3">
        <v>474.55</v>
      </c>
      <c r="M12524" t="s">
        <v>27542</v>
      </c>
      <c r="N12524" t="s">
        <v>30</v>
      </c>
      <c r="O12524" t="s">
        <v>31</v>
      </c>
      <c r="P12524" t="str">
        <f>"15211"</f>
        <v>15211</v>
      </c>
    </row>
    <row r="12525" spans="1:16" x14ac:dyDescent="0.25">
      <c r="A12525" t="str">
        <f>"1190004F00046    00"</f>
        <v>1190004F00046    00</v>
      </c>
      <c r="B12525" t="s">
        <v>27543</v>
      </c>
      <c r="C12525" t="s">
        <v>27544</v>
      </c>
      <c r="E12525" t="s">
        <v>39</v>
      </c>
      <c r="F12525">
        <v>0</v>
      </c>
      <c r="G12525">
        <v>0</v>
      </c>
      <c r="H12525">
        <v>1</v>
      </c>
      <c r="I12525" s="3">
        <v>126.67</v>
      </c>
      <c r="J12525" s="3">
        <v>0</v>
      </c>
      <c r="L12525">
        <v>307</v>
      </c>
      <c r="M12525" t="s">
        <v>27519</v>
      </c>
      <c r="N12525" t="s">
        <v>30</v>
      </c>
      <c r="O12525" t="s">
        <v>31</v>
      </c>
      <c r="P12525" t="str">
        <f>"15211"</f>
        <v>15211</v>
      </c>
    </row>
    <row r="12526" spans="1:16" x14ac:dyDescent="0.25">
      <c r="A12526" t="str">
        <f>"1190004F00049    00"</f>
        <v>1190004F00049    00</v>
      </c>
      <c r="B12526" t="s">
        <v>27527</v>
      </c>
      <c r="C12526" t="s">
        <v>27545</v>
      </c>
      <c r="D12526" t="s">
        <v>20</v>
      </c>
      <c r="E12526" t="s">
        <v>39</v>
      </c>
      <c r="F12526">
        <v>0</v>
      </c>
      <c r="G12526">
        <v>0</v>
      </c>
      <c r="H12526">
        <v>4</v>
      </c>
      <c r="I12526" s="3">
        <v>4639.99</v>
      </c>
      <c r="J12526" s="3">
        <v>548.11</v>
      </c>
      <c r="L12526">
        <v>411</v>
      </c>
      <c r="M12526" t="s">
        <v>27519</v>
      </c>
      <c r="N12526" t="s">
        <v>30</v>
      </c>
      <c r="O12526" t="s">
        <v>31</v>
      </c>
      <c r="P12526" t="str">
        <f>"15211"</f>
        <v>15211</v>
      </c>
    </row>
    <row r="12527" spans="1:16" x14ac:dyDescent="0.25">
      <c r="A12527" t="str">
        <f>"1190004F00056    00"</f>
        <v>1190004F00056    00</v>
      </c>
      <c r="B12527" t="s">
        <v>23292</v>
      </c>
      <c r="C12527" t="s">
        <v>27546</v>
      </c>
      <c r="D12527" t="s">
        <v>20</v>
      </c>
      <c r="E12527" t="s">
        <v>39</v>
      </c>
      <c r="F12527">
        <v>0</v>
      </c>
      <c r="G12527">
        <v>0</v>
      </c>
      <c r="H12527">
        <v>14</v>
      </c>
      <c r="I12527" s="3">
        <v>17429.7</v>
      </c>
      <c r="J12527" s="3">
        <v>11098.88</v>
      </c>
      <c r="K12527" t="s">
        <v>23294</v>
      </c>
      <c r="L12527">
        <v>623</v>
      </c>
      <c r="M12527" t="s">
        <v>24271</v>
      </c>
      <c r="N12527" t="s">
        <v>238</v>
      </c>
      <c r="O12527" t="s">
        <v>31</v>
      </c>
      <c r="P12527" t="str">
        <f>"15132"</f>
        <v>15132</v>
      </c>
    </row>
    <row r="12528" spans="1:16" x14ac:dyDescent="0.25">
      <c r="A12528" t="str">
        <f>"1190004F00079    00"</f>
        <v>1190004F00079    00</v>
      </c>
      <c r="B12528" t="s">
        <v>27547</v>
      </c>
      <c r="C12528" t="s">
        <v>27536</v>
      </c>
      <c r="D12528" t="s">
        <v>20</v>
      </c>
      <c r="E12528" t="s">
        <v>39</v>
      </c>
      <c r="F12528">
        <v>0</v>
      </c>
      <c r="G12528">
        <v>0</v>
      </c>
      <c r="H12528">
        <v>3</v>
      </c>
      <c r="I12528" s="3">
        <v>745.9</v>
      </c>
      <c r="J12528" s="3">
        <v>165.76</v>
      </c>
      <c r="L12528">
        <v>3691</v>
      </c>
      <c r="M12528" t="s">
        <v>27548</v>
      </c>
      <c r="N12528" t="s">
        <v>30</v>
      </c>
      <c r="O12528" t="s">
        <v>31</v>
      </c>
      <c r="P12528" t="str">
        <f>"15204"</f>
        <v>15204</v>
      </c>
    </row>
    <row r="12529" spans="1:16" x14ac:dyDescent="0.25">
      <c r="A12529" t="str">
        <f>"1190004F00093    00"</f>
        <v>1190004F00093    00</v>
      </c>
      <c r="B12529" t="s">
        <v>27549</v>
      </c>
      <c r="C12529" t="s">
        <v>27550</v>
      </c>
      <c r="D12529" t="s">
        <v>20</v>
      </c>
      <c r="E12529" t="s">
        <v>39</v>
      </c>
      <c r="F12529">
        <v>0</v>
      </c>
      <c r="G12529">
        <v>0</v>
      </c>
      <c r="H12529">
        <v>1</v>
      </c>
      <c r="I12529" s="3">
        <v>787.19</v>
      </c>
      <c r="J12529" s="3">
        <v>0</v>
      </c>
      <c r="L12529">
        <v>1517</v>
      </c>
      <c r="M12529" t="s">
        <v>27551</v>
      </c>
      <c r="N12529" t="s">
        <v>30</v>
      </c>
      <c r="O12529" t="s">
        <v>31</v>
      </c>
      <c r="P12529" t="str">
        <f>"15216"</f>
        <v>15216</v>
      </c>
    </row>
    <row r="12530" spans="1:16" x14ac:dyDescent="0.25">
      <c r="A12530" t="str">
        <f>"1190004F00094    00"</f>
        <v>1190004F00094    00</v>
      </c>
      <c r="B12530" t="s">
        <v>23292</v>
      </c>
      <c r="C12530" t="s">
        <v>27552</v>
      </c>
      <c r="D12530" t="s">
        <v>20</v>
      </c>
      <c r="E12530" t="s">
        <v>39</v>
      </c>
      <c r="F12530">
        <v>0</v>
      </c>
      <c r="G12530">
        <v>0</v>
      </c>
      <c r="H12530">
        <v>16</v>
      </c>
      <c r="I12530" s="3">
        <v>15215.02</v>
      </c>
      <c r="J12530" s="3">
        <v>10644.09</v>
      </c>
      <c r="K12530" t="s">
        <v>23294</v>
      </c>
      <c r="L12530">
        <v>306</v>
      </c>
      <c r="M12530" t="s">
        <v>27553</v>
      </c>
      <c r="N12530" t="s">
        <v>30</v>
      </c>
      <c r="O12530" t="s">
        <v>31</v>
      </c>
      <c r="P12530" t="str">
        <f>"15222"</f>
        <v>15222</v>
      </c>
    </row>
    <row r="12531" spans="1:16" x14ac:dyDescent="0.25">
      <c r="A12531" t="str">
        <f>"1190004F00123    00"</f>
        <v>1190004F00123    00</v>
      </c>
      <c r="B12531" t="s">
        <v>27554</v>
      </c>
      <c r="C12531" t="s">
        <v>27555</v>
      </c>
      <c r="E12531" t="s">
        <v>39</v>
      </c>
      <c r="F12531">
        <v>0</v>
      </c>
      <c r="G12531">
        <v>0</v>
      </c>
      <c r="H12531">
        <v>2</v>
      </c>
      <c r="I12531" s="3">
        <v>2794.48</v>
      </c>
      <c r="J12531" s="3">
        <v>2072.4899999999998</v>
      </c>
      <c r="K12531" t="s">
        <v>909</v>
      </c>
      <c r="L12531">
        <v>3001</v>
      </c>
      <c r="M12531" t="s">
        <v>330</v>
      </c>
      <c r="N12531" t="s">
        <v>331</v>
      </c>
      <c r="O12531" t="s">
        <v>108</v>
      </c>
      <c r="P12531" t="str">
        <f>"75063"</f>
        <v>75063</v>
      </c>
    </row>
    <row r="12532" spans="1:16" x14ac:dyDescent="0.25">
      <c r="A12532" t="str">
        <f>"1190004F00145    00"</f>
        <v>1190004F00145    00</v>
      </c>
      <c r="B12532" t="s">
        <v>27556</v>
      </c>
      <c r="C12532" t="s">
        <v>27557</v>
      </c>
      <c r="D12532" t="s">
        <v>20</v>
      </c>
      <c r="E12532" t="s">
        <v>39</v>
      </c>
      <c r="F12532">
        <v>0</v>
      </c>
      <c r="G12532">
        <v>0</v>
      </c>
      <c r="H12532">
        <v>17</v>
      </c>
      <c r="I12532" s="3">
        <v>3403.12</v>
      </c>
      <c r="J12532" s="3">
        <v>2325.56</v>
      </c>
      <c r="L12532">
        <v>149</v>
      </c>
      <c r="M12532" t="s">
        <v>27558</v>
      </c>
      <c r="N12532" t="s">
        <v>30</v>
      </c>
      <c r="O12532" t="s">
        <v>31</v>
      </c>
      <c r="P12532" t="str">
        <f>"15211"</f>
        <v>15211</v>
      </c>
    </row>
    <row r="12533" spans="1:16" x14ac:dyDescent="0.25">
      <c r="A12533" t="str">
        <f>"1190004F00147    00"</f>
        <v>1190004F00147    00</v>
      </c>
      <c r="B12533" t="s">
        <v>27559</v>
      </c>
      <c r="C12533" t="s">
        <v>27560</v>
      </c>
      <c r="D12533" t="s">
        <v>20</v>
      </c>
      <c r="E12533" t="s">
        <v>39</v>
      </c>
      <c r="F12533">
        <v>0</v>
      </c>
      <c r="G12533">
        <v>0</v>
      </c>
      <c r="H12533">
        <v>2</v>
      </c>
      <c r="I12533" s="3">
        <v>523.91999999999996</v>
      </c>
      <c r="J12533" s="3">
        <v>0</v>
      </c>
      <c r="K12533" t="s">
        <v>27561</v>
      </c>
      <c r="L12533">
        <v>134</v>
      </c>
      <c r="M12533" t="s">
        <v>27562</v>
      </c>
      <c r="N12533" t="s">
        <v>4150</v>
      </c>
      <c r="O12533" t="s">
        <v>31</v>
      </c>
      <c r="P12533" t="str">
        <f>"15116"</f>
        <v>15116</v>
      </c>
    </row>
    <row r="12534" spans="1:16" x14ac:dyDescent="0.25">
      <c r="A12534" t="str">
        <f>"1190004F00173    00"</f>
        <v>1190004F00173    00</v>
      </c>
      <c r="B12534" t="s">
        <v>27563</v>
      </c>
      <c r="C12534" t="s">
        <v>27564</v>
      </c>
      <c r="D12534" t="s">
        <v>20</v>
      </c>
      <c r="E12534" t="s">
        <v>39</v>
      </c>
      <c r="F12534">
        <v>0</v>
      </c>
      <c r="G12534">
        <v>0</v>
      </c>
      <c r="H12534">
        <v>1</v>
      </c>
      <c r="I12534" s="3">
        <v>732.38</v>
      </c>
      <c r="J12534" s="3">
        <v>0</v>
      </c>
      <c r="L12534">
        <v>437</v>
      </c>
      <c r="M12534" t="s">
        <v>27266</v>
      </c>
      <c r="N12534" t="s">
        <v>30</v>
      </c>
      <c r="O12534" t="s">
        <v>31</v>
      </c>
      <c r="P12534" t="str">
        <f>"15210"</f>
        <v>15210</v>
      </c>
    </row>
    <row r="12535" spans="1:16" x14ac:dyDescent="0.25">
      <c r="A12535" t="str">
        <f>"1190004F00201    00"</f>
        <v>1190004F00201    00</v>
      </c>
      <c r="B12535" t="s">
        <v>27565</v>
      </c>
      <c r="C12535" t="s">
        <v>27566</v>
      </c>
      <c r="D12535" t="s">
        <v>20</v>
      </c>
      <c r="E12535" t="s">
        <v>39</v>
      </c>
      <c r="F12535">
        <v>0</v>
      </c>
      <c r="G12535">
        <v>0</v>
      </c>
      <c r="H12535">
        <v>1</v>
      </c>
      <c r="I12535" s="3">
        <v>2315.8000000000002</v>
      </c>
      <c r="J12535" s="3">
        <v>0</v>
      </c>
      <c r="K12535" t="s">
        <v>3637</v>
      </c>
      <c r="L12535">
        <v>901</v>
      </c>
      <c r="M12535" t="s">
        <v>1503</v>
      </c>
      <c r="N12535" t="s">
        <v>494</v>
      </c>
      <c r="O12535" t="s">
        <v>495</v>
      </c>
      <c r="P12535" t="str">
        <f>"91768"</f>
        <v>91768</v>
      </c>
    </row>
    <row r="12536" spans="1:16" x14ac:dyDescent="0.25">
      <c r="A12536" t="str">
        <f>"1190004F00209    00"</f>
        <v>1190004F00209    00</v>
      </c>
      <c r="B12536" t="s">
        <v>27567</v>
      </c>
      <c r="C12536" t="s">
        <v>27568</v>
      </c>
      <c r="D12536" t="s">
        <v>20</v>
      </c>
      <c r="E12536" t="s">
        <v>39</v>
      </c>
      <c r="F12536">
        <v>0</v>
      </c>
      <c r="G12536">
        <v>0</v>
      </c>
      <c r="H12536">
        <v>2</v>
      </c>
      <c r="I12536" s="3">
        <v>1456.18</v>
      </c>
      <c r="J12536" s="3">
        <v>0</v>
      </c>
      <c r="K12536" t="s">
        <v>27569</v>
      </c>
      <c r="L12536">
        <v>940</v>
      </c>
      <c r="M12536" t="s">
        <v>27570</v>
      </c>
      <c r="N12536" t="s">
        <v>30</v>
      </c>
      <c r="O12536" t="s">
        <v>31</v>
      </c>
      <c r="P12536" t="str">
        <f>"15221"</f>
        <v>15221</v>
      </c>
    </row>
    <row r="12537" spans="1:16" x14ac:dyDescent="0.25">
      <c r="A12537" t="str">
        <f>"1190004F00210    00"</f>
        <v>1190004F00210    00</v>
      </c>
      <c r="B12537" t="s">
        <v>27571</v>
      </c>
      <c r="C12537" t="s">
        <v>27572</v>
      </c>
      <c r="E12537" t="s">
        <v>39</v>
      </c>
      <c r="F12537">
        <v>0</v>
      </c>
      <c r="G12537">
        <v>0</v>
      </c>
      <c r="H12537">
        <v>1</v>
      </c>
      <c r="I12537" s="3">
        <v>505.7</v>
      </c>
      <c r="J12537" s="3">
        <v>0</v>
      </c>
      <c r="K12537" t="s">
        <v>27573</v>
      </c>
      <c r="L12537">
        <v>7110</v>
      </c>
      <c r="M12537" t="s">
        <v>27574</v>
      </c>
      <c r="N12537" t="s">
        <v>12463</v>
      </c>
      <c r="O12537" t="s">
        <v>31</v>
      </c>
      <c r="P12537" t="str">
        <f>"15142"</f>
        <v>15142</v>
      </c>
    </row>
    <row r="12538" spans="1:16" x14ac:dyDescent="0.25">
      <c r="A12538" t="str">
        <f>"1190004F00220    00"</f>
        <v>1190004F00220    00</v>
      </c>
      <c r="B12538" t="s">
        <v>27575</v>
      </c>
      <c r="C12538" t="s">
        <v>27576</v>
      </c>
      <c r="E12538" t="s">
        <v>39</v>
      </c>
      <c r="F12538">
        <v>0</v>
      </c>
      <c r="G12538">
        <v>0</v>
      </c>
      <c r="H12538">
        <v>1</v>
      </c>
      <c r="I12538" s="3">
        <v>11.16</v>
      </c>
      <c r="J12538" s="3">
        <v>5.69</v>
      </c>
      <c r="L12538">
        <v>128</v>
      </c>
      <c r="M12538" t="s">
        <v>27577</v>
      </c>
      <c r="N12538" t="s">
        <v>30</v>
      </c>
      <c r="O12538" t="s">
        <v>31</v>
      </c>
      <c r="P12538" t="str">
        <f>"15211"</f>
        <v>15211</v>
      </c>
    </row>
    <row r="12539" spans="1:16" x14ac:dyDescent="0.25">
      <c r="A12539" t="str">
        <f>"1190004F00222    00"</f>
        <v>1190004F00222    00</v>
      </c>
      <c r="B12539" t="s">
        <v>27578</v>
      </c>
      <c r="C12539" t="s">
        <v>27579</v>
      </c>
      <c r="D12539" t="s">
        <v>20</v>
      </c>
      <c r="E12539" t="s">
        <v>39</v>
      </c>
      <c r="F12539">
        <v>0</v>
      </c>
      <c r="G12539">
        <v>0</v>
      </c>
      <c r="H12539">
        <v>6</v>
      </c>
      <c r="I12539" s="3">
        <v>88.67</v>
      </c>
      <c r="J12539" s="3">
        <v>39.26</v>
      </c>
      <c r="L12539">
        <v>507</v>
      </c>
      <c r="M12539" t="s">
        <v>27580</v>
      </c>
      <c r="N12539" t="s">
        <v>666</v>
      </c>
      <c r="O12539" t="s">
        <v>31</v>
      </c>
      <c r="P12539" t="str">
        <f>"16001"</f>
        <v>16001</v>
      </c>
    </row>
    <row r="12540" spans="1:16" x14ac:dyDescent="0.25">
      <c r="A12540" t="str">
        <f>"1190004F00227    00"</f>
        <v>1190004F00227    00</v>
      </c>
      <c r="B12540" t="s">
        <v>27581</v>
      </c>
      <c r="C12540" t="s">
        <v>27582</v>
      </c>
      <c r="D12540" t="s">
        <v>20</v>
      </c>
      <c r="E12540" t="s">
        <v>21</v>
      </c>
      <c r="F12540">
        <v>0</v>
      </c>
      <c r="G12540">
        <v>0</v>
      </c>
      <c r="H12540">
        <v>2</v>
      </c>
      <c r="I12540" s="3">
        <v>457.27</v>
      </c>
      <c r="J12540" s="3">
        <v>4.16</v>
      </c>
      <c r="L12540">
        <v>620</v>
      </c>
      <c r="M12540" t="s">
        <v>27583</v>
      </c>
      <c r="N12540" t="s">
        <v>1067</v>
      </c>
      <c r="O12540" t="s">
        <v>31</v>
      </c>
      <c r="P12540" t="str">
        <f>"15143"</f>
        <v>15143</v>
      </c>
    </row>
    <row r="12541" spans="1:16" x14ac:dyDescent="0.25">
      <c r="A12541" t="str">
        <f>"1190004F00242    00"</f>
        <v>1190004F00242    00</v>
      </c>
      <c r="B12541" t="s">
        <v>27584</v>
      </c>
      <c r="C12541" t="s">
        <v>27585</v>
      </c>
      <c r="E12541" t="s">
        <v>39</v>
      </c>
      <c r="F12541">
        <v>0</v>
      </c>
      <c r="G12541">
        <v>0</v>
      </c>
      <c r="H12541">
        <v>1</v>
      </c>
      <c r="I12541" s="3">
        <v>226.42</v>
      </c>
      <c r="J12541" s="3">
        <v>0</v>
      </c>
      <c r="L12541">
        <v>114</v>
      </c>
      <c r="M12541" t="s">
        <v>27586</v>
      </c>
      <c r="N12541" t="s">
        <v>30</v>
      </c>
      <c r="O12541" t="s">
        <v>31</v>
      </c>
      <c r="P12541" t="str">
        <f>"15211"</f>
        <v>15211</v>
      </c>
    </row>
    <row r="12542" spans="1:16" x14ac:dyDescent="0.25">
      <c r="A12542" t="str">
        <f>"1190004F00275    00"</f>
        <v>1190004F00275    00</v>
      </c>
      <c r="B12542" t="s">
        <v>27587</v>
      </c>
      <c r="C12542" t="s">
        <v>27588</v>
      </c>
      <c r="D12542" t="s">
        <v>20</v>
      </c>
      <c r="E12542" t="s">
        <v>21</v>
      </c>
      <c r="F12542">
        <v>0</v>
      </c>
      <c r="G12542">
        <v>0</v>
      </c>
      <c r="H12542">
        <v>2</v>
      </c>
      <c r="I12542" s="3">
        <v>1414.28</v>
      </c>
      <c r="J12542" s="3">
        <v>0</v>
      </c>
      <c r="K12542" t="s">
        <v>27589</v>
      </c>
      <c r="L12542">
        <v>314</v>
      </c>
      <c r="M12542" t="s">
        <v>27441</v>
      </c>
      <c r="N12542" t="s">
        <v>30</v>
      </c>
      <c r="O12542" t="s">
        <v>31</v>
      </c>
      <c r="P12542" t="str">
        <f>"15216"</f>
        <v>15216</v>
      </c>
    </row>
    <row r="12543" spans="1:16" x14ac:dyDescent="0.25">
      <c r="A12543" t="str">
        <f>"1190004F00277    00"</f>
        <v>1190004F00277    00</v>
      </c>
      <c r="B12543" t="s">
        <v>27587</v>
      </c>
      <c r="C12543" t="s">
        <v>27588</v>
      </c>
      <c r="D12543" t="s">
        <v>20</v>
      </c>
      <c r="E12543" t="s">
        <v>21</v>
      </c>
      <c r="F12543">
        <v>0</v>
      </c>
      <c r="G12543">
        <v>0</v>
      </c>
      <c r="H12543">
        <v>2</v>
      </c>
      <c r="I12543" s="3">
        <v>64.819999999999993</v>
      </c>
      <c r="J12543" s="3">
        <v>0</v>
      </c>
      <c r="K12543" t="s">
        <v>27589</v>
      </c>
      <c r="L12543">
        <v>314</v>
      </c>
      <c r="M12543" t="s">
        <v>27441</v>
      </c>
      <c r="N12543" t="s">
        <v>30</v>
      </c>
      <c r="O12543" t="s">
        <v>31</v>
      </c>
      <c r="P12543" t="str">
        <f>"15216"</f>
        <v>15216</v>
      </c>
    </row>
    <row r="12544" spans="1:16" x14ac:dyDescent="0.25">
      <c r="A12544" t="str">
        <f>"1190004F00279    00"</f>
        <v>1190004F00279    00</v>
      </c>
      <c r="B12544" t="s">
        <v>27587</v>
      </c>
      <c r="C12544" t="s">
        <v>27588</v>
      </c>
      <c r="D12544" t="s">
        <v>20</v>
      </c>
      <c r="E12544" t="s">
        <v>21</v>
      </c>
      <c r="F12544">
        <v>0</v>
      </c>
      <c r="G12544">
        <v>0</v>
      </c>
      <c r="H12544">
        <v>2</v>
      </c>
      <c r="I12544" s="3">
        <v>64.819999999999993</v>
      </c>
      <c r="J12544" s="3">
        <v>0</v>
      </c>
      <c r="K12544" t="s">
        <v>27589</v>
      </c>
      <c r="L12544">
        <v>314</v>
      </c>
      <c r="M12544" t="s">
        <v>27441</v>
      </c>
      <c r="N12544" t="s">
        <v>30</v>
      </c>
      <c r="O12544" t="s">
        <v>31</v>
      </c>
      <c r="P12544" t="str">
        <f>"15216"</f>
        <v>15216</v>
      </c>
    </row>
    <row r="12545" spans="1:16" x14ac:dyDescent="0.25">
      <c r="A12545" t="str">
        <f>"1190004F00283    00"</f>
        <v>1190004F00283    00</v>
      </c>
      <c r="B12545" t="s">
        <v>27590</v>
      </c>
      <c r="C12545" t="s">
        <v>27436</v>
      </c>
      <c r="D12545" t="s">
        <v>20</v>
      </c>
      <c r="E12545" t="s">
        <v>39</v>
      </c>
      <c r="F12545">
        <v>0</v>
      </c>
      <c r="G12545">
        <v>0</v>
      </c>
      <c r="H12545">
        <v>4</v>
      </c>
      <c r="I12545" s="3">
        <v>1047.1099999999999</v>
      </c>
      <c r="J12545" s="3">
        <v>177.03</v>
      </c>
      <c r="L12545">
        <v>138</v>
      </c>
      <c r="M12545" t="s">
        <v>27399</v>
      </c>
      <c r="N12545" t="s">
        <v>30</v>
      </c>
      <c r="O12545" t="s">
        <v>31</v>
      </c>
      <c r="P12545" t="str">
        <f>"15211"</f>
        <v>15211</v>
      </c>
    </row>
    <row r="12546" spans="1:16" x14ac:dyDescent="0.25">
      <c r="A12546" t="str">
        <f>"1190004F00285    00"</f>
        <v>1190004F00285    00</v>
      </c>
      <c r="B12546" t="s">
        <v>27591</v>
      </c>
      <c r="C12546" t="s">
        <v>27592</v>
      </c>
      <c r="D12546" t="s">
        <v>20</v>
      </c>
      <c r="E12546" t="s">
        <v>39</v>
      </c>
      <c r="F12546">
        <v>0</v>
      </c>
      <c r="G12546">
        <v>0</v>
      </c>
      <c r="H12546">
        <v>1</v>
      </c>
      <c r="I12546" s="3">
        <v>695.7</v>
      </c>
      <c r="J12546" s="3">
        <v>0</v>
      </c>
      <c r="L12546">
        <v>1185</v>
      </c>
      <c r="M12546" t="s">
        <v>4537</v>
      </c>
      <c r="N12546" t="s">
        <v>30</v>
      </c>
      <c r="O12546" t="s">
        <v>31</v>
      </c>
      <c r="P12546" t="str">
        <f>"15220"</f>
        <v>15220</v>
      </c>
    </row>
    <row r="12547" spans="1:16" x14ac:dyDescent="0.25">
      <c r="A12547" t="str">
        <f>"1190004F00286    00"</f>
        <v>1190004F00286    00</v>
      </c>
      <c r="B12547" t="s">
        <v>27593</v>
      </c>
      <c r="C12547" t="s">
        <v>27594</v>
      </c>
      <c r="D12547" t="s">
        <v>20</v>
      </c>
      <c r="E12547" t="s">
        <v>39</v>
      </c>
      <c r="F12547">
        <v>0</v>
      </c>
      <c r="G12547">
        <v>0</v>
      </c>
      <c r="H12547">
        <v>3</v>
      </c>
      <c r="I12547" s="3">
        <v>427.71</v>
      </c>
      <c r="J12547" s="3">
        <v>67.83</v>
      </c>
      <c r="L12547">
        <v>138</v>
      </c>
      <c r="M12547" t="s">
        <v>27399</v>
      </c>
      <c r="N12547" t="s">
        <v>30</v>
      </c>
      <c r="O12547" t="s">
        <v>31</v>
      </c>
      <c r="P12547" t="str">
        <f t="shared" ref="P12547:P12552" si="158">"15211"</f>
        <v>15211</v>
      </c>
    </row>
    <row r="12548" spans="1:16" x14ac:dyDescent="0.25">
      <c r="A12548" t="str">
        <f>"1190004F00287    00"</f>
        <v>1190004F00287    00</v>
      </c>
      <c r="B12548" t="s">
        <v>27593</v>
      </c>
      <c r="C12548" t="s">
        <v>27594</v>
      </c>
      <c r="D12548" t="s">
        <v>20</v>
      </c>
      <c r="E12548" t="s">
        <v>39</v>
      </c>
      <c r="F12548">
        <v>0</v>
      </c>
      <c r="G12548">
        <v>0</v>
      </c>
      <c r="H12548">
        <v>2</v>
      </c>
      <c r="I12548" s="3">
        <v>2420.64</v>
      </c>
      <c r="J12548" s="3">
        <v>0</v>
      </c>
      <c r="L12548">
        <v>138</v>
      </c>
      <c r="M12548" t="s">
        <v>27399</v>
      </c>
      <c r="N12548" t="s">
        <v>30</v>
      </c>
      <c r="O12548" t="s">
        <v>31</v>
      </c>
      <c r="P12548" t="str">
        <f t="shared" si="158"/>
        <v>15211</v>
      </c>
    </row>
    <row r="12549" spans="1:16" x14ac:dyDescent="0.25">
      <c r="A12549" t="str">
        <f>"1190004F00288    00"</f>
        <v>1190004F00288    00</v>
      </c>
      <c r="B12549" t="s">
        <v>27593</v>
      </c>
      <c r="C12549" t="s">
        <v>27595</v>
      </c>
      <c r="D12549" t="s">
        <v>20</v>
      </c>
      <c r="E12549" t="s">
        <v>39</v>
      </c>
      <c r="F12549">
        <v>0</v>
      </c>
      <c r="G12549">
        <v>0</v>
      </c>
      <c r="H12549">
        <v>4</v>
      </c>
      <c r="I12549" s="3">
        <v>5318.28</v>
      </c>
      <c r="J12549" s="3">
        <v>899.1</v>
      </c>
      <c r="L12549">
        <v>138</v>
      </c>
      <c r="M12549" t="s">
        <v>27399</v>
      </c>
      <c r="N12549" t="s">
        <v>30</v>
      </c>
      <c r="O12549" t="s">
        <v>31</v>
      </c>
      <c r="P12549" t="str">
        <f t="shared" si="158"/>
        <v>15211</v>
      </c>
    </row>
    <row r="12550" spans="1:16" x14ac:dyDescent="0.25">
      <c r="A12550" t="str">
        <f>"1190004F00288A   00"</f>
        <v>1190004F00288A   00</v>
      </c>
      <c r="B12550" t="s">
        <v>27593</v>
      </c>
      <c r="C12550" t="s">
        <v>27595</v>
      </c>
      <c r="D12550" t="s">
        <v>20</v>
      </c>
      <c r="E12550" t="s">
        <v>39</v>
      </c>
      <c r="F12550">
        <v>0</v>
      </c>
      <c r="G12550">
        <v>0</v>
      </c>
      <c r="H12550">
        <v>4</v>
      </c>
      <c r="I12550" s="3">
        <v>225.99</v>
      </c>
      <c r="J12550" s="3">
        <v>38.21</v>
      </c>
      <c r="L12550">
        <v>138</v>
      </c>
      <c r="M12550" t="s">
        <v>27399</v>
      </c>
      <c r="N12550" t="s">
        <v>30</v>
      </c>
      <c r="O12550" t="s">
        <v>31</v>
      </c>
      <c r="P12550" t="str">
        <f t="shared" si="158"/>
        <v>15211</v>
      </c>
    </row>
    <row r="12551" spans="1:16" x14ac:dyDescent="0.25">
      <c r="A12551" t="str">
        <f>"1190004F00289    00"</f>
        <v>1190004F00289    00</v>
      </c>
      <c r="B12551" t="s">
        <v>27593</v>
      </c>
      <c r="C12551" t="s">
        <v>27596</v>
      </c>
      <c r="D12551" t="s">
        <v>20</v>
      </c>
      <c r="E12551" t="s">
        <v>21</v>
      </c>
      <c r="F12551">
        <v>0</v>
      </c>
      <c r="G12551">
        <v>0</v>
      </c>
      <c r="H12551">
        <v>4</v>
      </c>
      <c r="I12551" s="3">
        <v>13154.01</v>
      </c>
      <c r="J12551" s="3">
        <v>2209.69</v>
      </c>
      <c r="L12551">
        <v>138</v>
      </c>
      <c r="M12551" t="s">
        <v>27399</v>
      </c>
      <c r="N12551" t="s">
        <v>30</v>
      </c>
      <c r="O12551" t="s">
        <v>31</v>
      </c>
      <c r="P12551" t="str">
        <f t="shared" si="158"/>
        <v>15211</v>
      </c>
    </row>
    <row r="12552" spans="1:16" x14ac:dyDescent="0.25">
      <c r="A12552" t="str">
        <f>"1190004F00294    00"</f>
        <v>1190004F00294    00</v>
      </c>
      <c r="B12552" t="s">
        <v>27597</v>
      </c>
      <c r="C12552" t="s">
        <v>27598</v>
      </c>
      <c r="D12552" t="s">
        <v>20</v>
      </c>
      <c r="E12552" t="s">
        <v>39</v>
      </c>
      <c r="F12552">
        <v>0</v>
      </c>
      <c r="G12552">
        <v>0</v>
      </c>
      <c r="H12552">
        <v>4</v>
      </c>
      <c r="I12552" s="3">
        <v>4444.47</v>
      </c>
      <c r="J12552" s="3">
        <v>751.38</v>
      </c>
      <c r="L12552">
        <v>132</v>
      </c>
      <c r="M12552" t="s">
        <v>27399</v>
      </c>
      <c r="N12552" t="s">
        <v>30</v>
      </c>
      <c r="O12552" t="s">
        <v>31</v>
      </c>
      <c r="P12552" t="str">
        <f t="shared" si="158"/>
        <v>15211</v>
      </c>
    </row>
    <row r="12553" spans="1:16" x14ac:dyDescent="0.25">
      <c r="A12553" t="str">
        <f>"1190004G00032    00"</f>
        <v>1190004G00032    00</v>
      </c>
      <c r="B12553" t="s">
        <v>27599</v>
      </c>
      <c r="C12553" t="s">
        <v>27600</v>
      </c>
      <c r="D12553" t="s">
        <v>20</v>
      </c>
      <c r="E12553" t="s">
        <v>21</v>
      </c>
      <c r="F12553">
        <v>0</v>
      </c>
      <c r="G12553">
        <v>0</v>
      </c>
      <c r="H12553">
        <v>2</v>
      </c>
      <c r="I12553" s="3">
        <v>1984.76</v>
      </c>
      <c r="J12553" s="3">
        <v>18.05</v>
      </c>
      <c r="L12553">
        <v>620</v>
      </c>
      <c r="M12553" t="s">
        <v>27583</v>
      </c>
      <c r="N12553" t="s">
        <v>1067</v>
      </c>
      <c r="O12553" t="s">
        <v>31</v>
      </c>
      <c r="P12553" t="str">
        <f>"15143"</f>
        <v>15143</v>
      </c>
    </row>
    <row r="12554" spans="1:16" x14ac:dyDescent="0.25">
      <c r="A12554" t="str">
        <f>"1190004G00034    00"</f>
        <v>1190004G00034    00</v>
      </c>
      <c r="B12554" t="s">
        <v>25202</v>
      </c>
      <c r="C12554" t="s">
        <v>27601</v>
      </c>
      <c r="D12554" t="s">
        <v>20</v>
      </c>
      <c r="E12554" t="s">
        <v>39</v>
      </c>
      <c r="F12554">
        <v>0</v>
      </c>
      <c r="G12554">
        <v>0</v>
      </c>
      <c r="H12554">
        <v>1</v>
      </c>
      <c r="I12554" s="3">
        <v>1414.27</v>
      </c>
      <c r="J12554" s="3">
        <v>0</v>
      </c>
      <c r="K12554" t="s">
        <v>25200</v>
      </c>
      <c r="M12554" t="s">
        <v>25201</v>
      </c>
      <c r="N12554" t="s">
        <v>30</v>
      </c>
      <c r="O12554" t="s">
        <v>31</v>
      </c>
      <c r="P12554" t="str">
        <f t="shared" ref="P12554:P12559" si="159">"15211"</f>
        <v>15211</v>
      </c>
    </row>
    <row r="12555" spans="1:16" x14ac:dyDescent="0.25">
      <c r="A12555" t="str">
        <f>"1190004G00035    00"</f>
        <v>1190004G00035    00</v>
      </c>
      <c r="B12555" t="s">
        <v>27602</v>
      </c>
      <c r="C12555" t="s">
        <v>27603</v>
      </c>
      <c r="D12555" t="s">
        <v>20</v>
      </c>
      <c r="E12555" t="s">
        <v>21</v>
      </c>
      <c r="F12555">
        <v>0</v>
      </c>
      <c r="G12555">
        <v>0</v>
      </c>
      <c r="H12555">
        <v>1</v>
      </c>
      <c r="I12555" s="3">
        <v>764.32</v>
      </c>
      <c r="J12555" s="3">
        <v>0</v>
      </c>
      <c r="K12555" t="s">
        <v>25200</v>
      </c>
      <c r="M12555" t="s">
        <v>25201</v>
      </c>
      <c r="N12555" t="s">
        <v>30</v>
      </c>
      <c r="O12555" t="s">
        <v>31</v>
      </c>
      <c r="P12555" t="str">
        <f t="shared" si="159"/>
        <v>15211</v>
      </c>
    </row>
    <row r="12556" spans="1:16" x14ac:dyDescent="0.25">
      <c r="A12556" t="str">
        <f>"1190004G00036    00"</f>
        <v>1190004G00036    00</v>
      </c>
      <c r="B12556" t="s">
        <v>27602</v>
      </c>
      <c r="C12556" t="s">
        <v>27603</v>
      </c>
      <c r="D12556" t="s">
        <v>20</v>
      </c>
      <c r="E12556" t="s">
        <v>39</v>
      </c>
      <c r="F12556">
        <v>0</v>
      </c>
      <c r="G12556">
        <v>0</v>
      </c>
      <c r="H12556">
        <v>1</v>
      </c>
      <c r="I12556" s="3">
        <v>1429.5</v>
      </c>
      <c r="J12556" s="3">
        <v>0</v>
      </c>
      <c r="K12556" t="s">
        <v>25200</v>
      </c>
      <c r="M12556" t="s">
        <v>25201</v>
      </c>
      <c r="N12556" t="s">
        <v>30</v>
      </c>
      <c r="O12556" t="s">
        <v>31</v>
      </c>
      <c r="P12556" t="str">
        <f t="shared" si="159"/>
        <v>15211</v>
      </c>
    </row>
    <row r="12557" spans="1:16" x14ac:dyDescent="0.25">
      <c r="A12557" t="str">
        <f>"1190004G00037    00"</f>
        <v>1190004G00037    00</v>
      </c>
      <c r="B12557" t="s">
        <v>27602</v>
      </c>
      <c r="C12557" t="s">
        <v>27604</v>
      </c>
      <c r="D12557" t="s">
        <v>20</v>
      </c>
      <c r="E12557" t="s">
        <v>21</v>
      </c>
      <c r="F12557">
        <v>0</v>
      </c>
      <c r="G12557">
        <v>0</v>
      </c>
      <c r="H12557">
        <v>1</v>
      </c>
      <c r="I12557" s="3">
        <v>2744.66</v>
      </c>
      <c r="J12557" s="3">
        <v>0</v>
      </c>
      <c r="K12557" t="s">
        <v>25200</v>
      </c>
      <c r="M12557" t="s">
        <v>25201</v>
      </c>
      <c r="N12557" t="s">
        <v>30</v>
      </c>
      <c r="O12557" t="s">
        <v>31</v>
      </c>
      <c r="P12557" t="str">
        <f t="shared" si="159"/>
        <v>15211</v>
      </c>
    </row>
    <row r="12558" spans="1:16" x14ac:dyDescent="0.25">
      <c r="A12558" t="str">
        <f>"1190004G00039    00"</f>
        <v>1190004G00039    00</v>
      </c>
      <c r="B12558" t="s">
        <v>25202</v>
      </c>
      <c r="C12558" t="s">
        <v>27605</v>
      </c>
      <c r="D12558" t="s">
        <v>20</v>
      </c>
      <c r="E12558" t="s">
        <v>39</v>
      </c>
      <c r="F12558">
        <v>0</v>
      </c>
      <c r="G12558">
        <v>0</v>
      </c>
      <c r="H12558">
        <v>1</v>
      </c>
      <c r="I12558" s="3">
        <v>718.57</v>
      </c>
      <c r="J12558" s="3">
        <v>0</v>
      </c>
      <c r="K12558" t="s">
        <v>25200</v>
      </c>
      <c r="M12558" t="s">
        <v>25201</v>
      </c>
      <c r="N12558" t="s">
        <v>30</v>
      </c>
      <c r="O12558" t="s">
        <v>31</v>
      </c>
      <c r="P12558" t="str">
        <f t="shared" si="159"/>
        <v>15211</v>
      </c>
    </row>
    <row r="12559" spans="1:16" x14ac:dyDescent="0.25">
      <c r="A12559" t="str">
        <f>"1190004G00047    00"</f>
        <v>1190004G00047    00</v>
      </c>
      <c r="B12559" t="s">
        <v>27354</v>
      </c>
      <c r="C12559" t="s">
        <v>27606</v>
      </c>
      <c r="D12559" t="s">
        <v>20</v>
      </c>
      <c r="E12559" t="s">
        <v>21</v>
      </c>
      <c r="F12559">
        <v>0</v>
      </c>
      <c r="G12559">
        <v>0</v>
      </c>
      <c r="H12559">
        <v>1</v>
      </c>
      <c r="I12559" s="3">
        <v>2224.31</v>
      </c>
      <c r="J12559" s="3">
        <v>0</v>
      </c>
      <c r="L12559">
        <v>321</v>
      </c>
      <c r="M12559" t="s">
        <v>27318</v>
      </c>
      <c r="N12559" t="s">
        <v>30</v>
      </c>
      <c r="O12559" t="s">
        <v>31</v>
      </c>
      <c r="P12559" t="str">
        <f t="shared" si="159"/>
        <v>15211</v>
      </c>
    </row>
    <row r="12560" spans="1:16" x14ac:dyDescent="0.25">
      <c r="A12560" t="str">
        <f>"1190004G00057    00"</f>
        <v>1190004G00057    00</v>
      </c>
      <c r="B12560" t="s">
        <v>27607</v>
      </c>
      <c r="C12560" t="s">
        <v>27608</v>
      </c>
      <c r="D12560" t="s">
        <v>20</v>
      </c>
      <c r="E12560" t="s">
        <v>21</v>
      </c>
      <c r="F12560">
        <v>0</v>
      </c>
      <c r="G12560">
        <v>0</v>
      </c>
      <c r="H12560">
        <v>1</v>
      </c>
      <c r="I12560" s="3">
        <v>2016.55</v>
      </c>
      <c r="J12560" s="3">
        <v>0</v>
      </c>
      <c r="L12560">
        <v>1185</v>
      </c>
      <c r="M12560" t="s">
        <v>4537</v>
      </c>
      <c r="N12560" t="s">
        <v>30</v>
      </c>
      <c r="O12560" t="s">
        <v>31</v>
      </c>
      <c r="P12560" t="str">
        <f>"15220"</f>
        <v>15220</v>
      </c>
    </row>
    <row r="12561" spans="1:16" x14ac:dyDescent="0.25">
      <c r="A12561" t="str">
        <f>"1190004G00063    00"</f>
        <v>1190004G00063    00</v>
      </c>
      <c r="B12561" t="s">
        <v>27609</v>
      </c>
      <c r="C12561" t="s">
        <v>27610</v>
      </c>
      <c r="D12561" t="s">
        <v>20</v>
      </c>
      <c r="E12561" t="s">
        <v>21</v>
      </c>
      <c r="F12561">
        <v>0</v>
      </c>
      <c r="G12561">
        <v>0</v>
      </c>
      <c r="H12561">
        <v>1</v>
      </c>
      <c r="I12561" s="3">
        <v>3219.25</v>
      </c>
      <c r="J12561" s="3">
        <v>0</v>
      </c>
      <c r="L12561">
        <v>1185</v>
      </c>
      <c r="M12561" t="s">
        <v>4537</v>
      </c>
      <c r="N12561" t="s">
        <v>30</v>
      </c>
      <c r="O12561" t="s">
        <v>31</v>
      </c>
      <c r="P12561" t="str">
        <f>"15220"</f>
        <v>15220</v>
      </c>
    </row>
    <row r="12562" spans="1:16" x14ac:dyDescent="0.25">
      <c r="A12562" t="str">
        <f>"1190004G00064    00"</f>
        <v>1190004G00064    00</v>
      </c>
      <c r="B12562" t="s">
        <v>27607</v>
      </c>
      <c r="C12562" t="s">
        <v>27611</v>
      </c>
      <c r="D12562" t="s">
        <v>20</v>
      </c>
      <c r="E12562" t="s">
        <v>39</v>
      </c>
      <c r="F12562">
        <v>0</v>
      </c>
      <c r="G12562">
        <v>0</v>
      </c>
      <c r="H12562">
        <v>1</v>
      </c>
      <c r="I12562" s="3">
        <v>1690.63</v>
      </c>
      <c r="J12562" s="3">
        <v>0</v>
      </c>
      <c r="L12562">
        <v>1185</v>
      </c>
      <c r="M12562" t="s">
        <v>4537</v>
      </c>
      <c r="N12562" t="s">
        <v>30</v>
      </c>
      <c r="O12562" t="s">
        <v>31</v>
      </c>
      <c r="P12562" t="str">
        <f>"15220"</f>
        <v>15220</v>
      </c>
    </row>
    <row r="12563" spans="1:16" x14ac:dyDescent="0.25">
      <c r="A12563" t="str">
        <f>"1190004G00065    00"</f>
        <v>1190004G00065    00</v>
      </c>
      <c r="B12563" t="s">
        <v>4535</v>
      </c>
      <c r="C12563" t="s">
        <v>27612</v>
      </c>
      <c r="D12563" t="s">
        <v>20</v>
      </c>
      <c r="E12563" t="s">
        <v>39</v>
      </c>
      <c r="F12563">
        <v>0</v>
      </c>
      <c r="G12563">
        <v>0</v>
      </c>
      <c r="H12563">
        <v>1</v>
      </c>
      <c r="I12563" s="3">
        <v>1191.26</v>
      </c>
      <c r="J12563" s="3">
        <v>0</v>
      </c>
      <c r="L12563">
        <v>1185</v>
      </c>
      <c r="M12563" t="s">
        <v>4537</v>
      </c>
      <c r="N12563" t="s">
        <v>30</v>
      </c>
      <c r="O12563" t="s">
        <v>31</v>
      </c>
      <c r="P12563" t="str">
        <f>"15220"</f>
        <v>15220</v>
      </c>
    </row>
    <row r="12564" spans="1:16" x14ac:dyDescent="0.25">
      <c r="A12564" t="str">
        <f>"1190004G00069    00"</f>
        <v>1190004G00069    00</v>
      </c>
      <c r="B12564" t="s">
        <v>27613</v>
      </c>
      <c r="C12564" t="s">
        <v>27614</v>
      </c>
      <c r="D12564" t="s">
        <v>20</v>
      </c>
      <c r="E12564" t="s">
        <v>21</v>
      </c>
      <c r="F12564">
        <v>0</v>
      </c>
      <c r="G12564">
        <v>0</v>
      </c>
      <c r="H12564">
        <v>3</v>
      </c>
      <c r="I12564" s="3">
        <v>12007.8</v>
      </c>
      <c r="J12564" s="3">
        <v>800.49</v>
      </c>
      <c r="L12564">
        <v>636</v>
      </c>
      <c r="M12564" t="s">
        <v>27615</v>
      </c>
      <c r="N12564" t="s">
        <v>30</v>
      </c>
      <c r="O12564" t="s">
        <v>31</v>
      </c>
      <c r="P12564" t="str">
        <f>"15211"</f>
        <v>15211</v>
      </c>
    </row>
    <row r="12565" spans="1:16" x14ac:dyDescent="0.25">
      <c r="A12565" t="str">
        <f>"1190004G00101    00"</f>
        <v>1190004G00101    00</v>
      </c>
      <c r="B12565" t="s">
        <v>27616</v>
      </c>
      <c r="C12565" t="s">
        <v>27617</v>
      </c>
      <c r="D12565" t="s">
        <v>20</v>
      </c>
      <c r="E12565" t="s">
        <v>39</v>
      </c>
      <c r="F12565">
        <v>0</v>
      </c>
      <c r="G12565">
        <v>0</v>
      </c>
      <c r="H12565">
        <v>17</v>
      </c>
      <c r="I12565" s="3">
        <v>400.27</v>
      </c>
      <c r="J12565" s="3">
        <v>527.44000000000005</v>
      </c>
      <c r="K12565" t="s">
        <v>1037</v>
      </c>
      <c r="M12565" t="s">
        <v>27618</v>
      </c>
      <c r="N12565" t="s">
        <v>30</v>
      </c>
      <c r="O12565" t="s">
        <v>31</v>
      </c>
      <c r="P12565" t="str">
        <f>"15211"</f>
        <v>15211</v>
      </c>
    </row>
    <row r="12566" spans="1:16" x14ac:dyDescent="0.25">
      <c r="A12566" t="str">
        <f>"1190004G00108    00"</f>
        <v>1190004G00108    00</v>
      </c>
      <c r="B12566" t="s">
        <v>27619</v>
      </c>
      <c r="C12566" t="s">
        <v>27620</v>
      </c>
      <c r="E12566" t="s">
        <v>39</v>
      </c>
      <c r="F12566">
        <v>0</v>
      </c>
      <c r="G12566">
        <v>0</v>
      </c>
      <c r="H12566">
        <v>1</v>
      </c>
      <c r="I12566" s="3">
        <v>2163.04</v>
      </c>
      <c r="J12566" s="3">
        <v>594.80999999999995</v>
      </c>
      <c r="L12566">
        <v>5304</v>
      </c>
      <c r="M12566" t="s">
        <v>27621</v>
      </c>
      <c r="N12566" t="s">
        <v>30</v>
      </c>
      <c r="O12566" t="s">
        <v>31</v>
      </c>
      <c r="P12566" t="str">
        <f>"15201"</f>
        <v>15201</v>
      </c>
    </row>
    <row r="12567" spans="1:16" x14ac:dyDescent="0.25">
      <c r="A12567" t="str">
        <f>"1190004G00111    00"</f>
        <v>1190004G00111    00</v>
      </c>
      <c r="B12567" t="s">
        <v>27622</v>
      </c>
      <c r="C12567" t="s">
        <v>27623</v>
      </c>
      <c r="D12567" t="s">
        <v>20</v>
      </c>
      <c r="E12567" t="s">
        <v>39</v>
      </c>
      <c r="F12567">
        <v>0</v>
      </c>
      <c r="G12567">
        <v>0</v>
      </c>
      <c r="H12567">
        <v>1</v>
      </c>
      <c r="I12567" s="3">
        <v>1723.02</v>
      </c>
      <c r="J12567" s="3">
        <v>0</v>
      </c>
      <c r="K12567" t="s">
        <v>27624</v>
      </c>
      <c r="L12567">
        <v>126</v>
      </c>
      <c r="M12567" t="s">
        <v>27625</v>
      </c>
      <c r="N12567" t="s">
        <v>7382</v>
      </c>
      <c r="O12567" t="s">
        <v>31</v>
      </c>
      <c r="P12567" t="str">
        <f>"15086"</f>
        <v>15086</v>
      </c>
    </row>
    <row r="12568" spans="1:16" x14ac:dyDescent="0.25">
      <c r="A12568" t="str">
        <f>"1190004G00114    00"</f>
        <v>1190004G00114    00</v>
      </c>
      <c r="B12568" t="s">
        <v>27626</v>
      </c>
      <c r="C12568" t="s">
        <v>27627</v>
      </c>
      <c r="D12568" t="s">
        <v>20</v>
      </c>
      <c r="E12568" t="s">
        <v>21</v>
      </c>
      <c r="F12568">
        <v>0</v>
      </c>
      <c r="G12568">
        <v>0</v>
      </c>
      <c r="H12568">
        <v>2</v>
      </c>
      <c r="I12568" s="3">
        <v>4052.88</v>
      </c>
      <c r="J12568" s="3">
        <v>27.86</v>
      </c>
      <c r="K12568" t="s">
        <v>27628</v>
      </c>
      <c r="L12568">
        <v>1185</v>
      </c>
      <c r="M12568" t="s">
        <v>4537</v>
      </c>
      <c r="N12568" t="s">
        <v>30</v>
      </c>
      <c r="O12568" t="s">
        <v>31</v>
      </c>
      <c r="P12568" t="str">
        <f>"15220"</f>
        <v>15220</v>
      </c>
    </row>
    <row r="12569" spans="1:16" x14ac:dyDescent="0.25">
      <c r="A12569" t="str">
        <f>"1190004G00117    00"</f>
        <v>1190004G00117    00</v>
      </c>
      <c r="B12569" t="s">
        <v>27629</v>
      </c>
      <c r="C12569" t="s">
        <v>27630</v>
      </c>
      <c r="D12569" t="s">
        <v>20</v>
      </c>
      <c r="E12569" t="s">
        <v>21</v>
      </c>
      <c r="F12569">
        <v>0</v>
      </c>
      <c r="G12569">
        <v>0</v>
      </c>
      <c r="H12569">
        <v>4</v>
      </c>
      <c r="I12569" s="3">
        <v>18248.18</v>
      </c>
      <c r="J12569" s="3">
        <v>2737.77</v>
      </c>
      <c r="K12569" t="s">
        <v>27631</v>
      </c>
      <c r="L12569">
        <v>220</v>
      </c>
      <c r="M12569" t="s">
        <v>5763</v>
      </c>
      <c r="N12569" t="s">
        <v>1928</v>
      </c>
      <c r="O12569" t="s">
        <v>31</v>
      </c>
      <c r="P12569" t="str">
        <f>"15317"</f>
        <v>15317</v>
      </c>
    </row>
    <row r="12570" spans="1:16" x14ac:dyDescent="0.25">
      <c r="A12570" t="str">
        <f>"1190004G00123    00"</f>
        <v>1190004G00123    00</v>
      </c>
      <c r="B12570" t="s">
        <v>27632</v>
      </c>
      <c r="C12570" t="s">
        <v>27633</v>
      </c>
      <c r="D12570" t="s">
        <v>20</v>
      </c>
      <c r="E12570" t="s">
        <v>39</v>
      </c>
      <c r="F12570">
        <v>0</v>
      </c>
      <c r="G12570">
        <v>0</v>
      </c>
      <c r="H12570">
        <v>5</v>
      </c>
      <c r="I12570" s="3">
        <v>23146.98</v>
      </c>
      <c r="J12570" s="3">
        <v>5781.9</v>
      </c>
      <c r="L12570">
        <v>128</v>
      </c>
      <c r="M12570" t="s">
        <v>27618</v>
      </c>
      <c r="N12570" t="s">
        <v>30</v>
      </c>
      <c r="O12570" t="s">
        <v>31</v>
      </c>
      <c r="P12570" t="str">
        <f>"15211"</f>
        <v>15211</v>
      </c>
    </row>
    <row r="12571" spans="1:16" x14ac:dyDescent="0.25">
      <c r="A12571" t="str">
        <f>"1190004G00162    00"</f>
        <v>1190004G00162    00</v>
      </c>
      <c r="B12571" t="s">
        <v>27634</v>
      </c>
      <c r="C12571" t="s">
        <v>27635</v>
      </c>
      <c r="D12571" t="s">
        <v>20</v>
      </c>
      <c r="E12571" t="s">
        <v>39</v>
      </c>
      <c r="F12571">
        <v>0</v>
      </c>
      <c r="G12571">
        <v>0</v>
      </c>
      <c r="H12571">
        <v>10</v>
      </c>
      <c r="I12571" s="3">
        <v>129.18</v>
      </c>
      <c r="J12571" s="3">
        <v>55.68</v>
      </c>
      <c r="L12571">
        <v>3307</v>
      </c>
      <c r="M12571" t="s">
        <v>23899</v>
      </c>
      <c r="N12571" t="s">
        <v>30</v>
      </c>
      <c r="O12571" t="s">
        <v>31</v>
      </c>
      <c r="P12571" t="str">
        <f>"15227"</f>
        <v>15227</v>
      </c>
    </row>
    <row r="12572" spans="1:16" x14ac:dyDescent="0.25">
      <c r="A12572" t="str">
        <f>"1190004J00039    00"</f>
        <v>1190004J00039    00</v>
      </c>
      <c r="B12572" t="s">
        <v>27636</v>
      </c>
      <c r="C12572" t="s">
        <v>27637</v>
      </c>
      <c r="E12572" t="s">
        <v>39</v>
      </c>
      <c r="F12572">
        <v>0</v>
      </c>
      <c r="G12572">
        <v>0</v>
      </c>
      <c r="H12572">
        <v>1</v>
      </c>
      <c r="I12572" s="3">
        <v>295.14</v>
      </c>
      <c r="J12572" s="3">
        <v>0</v>
      </c>
      <c r="L12572">
        <v>603</v>
      </c>
      <c r="M12572" t="s">
        <v>624</v>
      </c>
      <c r="N12572" t="s">
        <v>625</v>
      </c>
      <c r="O12572" t="s">
        <v>31</v>
      </c>
      <c r="P12572" t="str">
        <f>"15108"</f>
        <v>15108</v>
      </c>
    </row>
    <row r="12573" spans="1:16" x14ac:dyDescent="0.25">
      <c r="A12573" t="str">
        <f>"1190004J00040    00"</f>
        <v>1190004J00040    00</v>
      </c>
      <c r="B12573" t="s">
        <v>27638</v>
      </c>
      <c r="C12573" t="s">
        <v>27639</v>
      </c>
      <c r="D12573" t="s">
        <v>20</v>
      </c>
      <c r="E12573" t="s">
        <v>39</v>
      </c>
      <c r="F12573">
        <v>0</v>
      </c>
      <c r="G12573">
        <v>0</v>
      </c>
      <c r="H12573">
        <v>7</v>
      </c>
      <c r="I12573" s="3">
        <v>3628.03</v>
      </c>
      <c r="J12573" s="3">
        <v>1205.07</v>
      </c>
      <c r="K12573" t="s">
        <v>27640</v>
      </c>
      <c r="N12573" t="s">
        <v>30</v>
      </c>
      <c r="O12573" t="s">
        <v>31</v>
      </c>
      <c r="P12573" t="str">
        <f>"15216"</f>
        <v>15216</v>
      </c>
    </row>
    <row r="12574" spans="1:16" x14ac:dyDescent="0.25">
      <c r="A12574" t="str">
        <f>"1190004J00041    00"</f>
        <v>1190004J00041    00</v>
      </c>
      <c r="B12574" t="s">
        <v>27641</v>
      </c>
      <c r="C12574" t="s">
        <v>27642</v>
      </c>
      <c r="D12574" t="s">
        <v>20</v>
      </c>
      <c r="E12574" t="s">
        <v>39</v>
      </c>
      <c r="F12574">
        <v>0</v>
      </c>
      <c r="G12574">
        <v>0</v>
      </c>
      <c r="H12574">
        <v>2</v>
      </c>
      <c r="I12574" s="3">
        <v>132.16</v>
      </c>
      <c r="J12574" s="3">
        <v>0</v>
      </c>
      <c r="K12574" t="s">
        <v>27643</v>
      </c>
      <c r="L12574">
        <v>504</v>
      </c>
      <c r="M12574" t="s">
        <v>9319</v>
      </c>
      <c r="N12574" t="s">
        <v>30</v>
      </c>
      <c r="O12574" t="s">
        <v>31</v>
      </c>
      <c r="P12574" t="str">
        <f>"15211"</f>
        <v>15211</v>
      </c>
    </row>
    <row r="12575" spans="1:16" x14ac:dyDescent="0.25">
      <c r="A12575" t="str">
        <f>"1190004J00051    00"</f>
        <v>1190004J00051    00</v>
      </c>
      <c r="B12575" t="s">
        <v>27644</v>
      </c>
      <c r="C12575" t="s">
        <v>27645</v>
      </c>
      <c r="D12575" t="s">
        <v>20</v>
      </c>
      <c r="E12575" t="s">
        <v>39</v>
      </c>
      <c r="F12575">
        <v>0</v>
      </c>
      <c r="G12575">
        <v>0</v>
      </c>
      <c r="H12575">
        <v>1</v>
      </c>
      <c r="I12575" s="3">
        <v>2285.31</v>
      </c>
      <c r="J12575" s="3">
        <v>0</v>
      </c>
      <c r="K12575" t="s">
        <v>881</v>
      </c>
      <c r="L12575">
        <v>3001</v>
      </c>
      <c r="M12575" t="s">
        <v>330</v>
      </c>
      <c r="N12575" t="s">
        <v>331</v>
      </c>
      <c r="O12575" t="s">
        <v>108</v>
      </c>
      <c r="P12575" t="str">
        <f>"75063"</f>
        <v>75063</v>
      </c>
    </row>
    <row r="12576" spans="1:16" x14ac:dyDescent="0.25">
      <c r="A12576" t="str">
        <f>"1190004J00072    00"</f>
        <v>1190004J00072    00</v>
      </c>
      <c r="B12576" t="s">
        <v>27646</v>
      </c>
      <c r="C12576" t="s">
        <v>27509</v>
      </c>
      <c r="D12576" t="s">
        <v>20</v>
      </c>
      <c r="E12576" t="s">
        <v>39</v>
      </c>
      <c r="F12576">
        <v>0</v>
      </c>
      <c r="G12576">
        <v>0</v>
      </c>
      <c r="H12576">
        <v>9</v>
      </c>
      <c r="I12576" s="3">
        <v>3035.75</v>
      </c>
      <c r="J12576" s="3">
        <v>1149.53</v>
      </c>
      <c r="L12576">
        <v>819</v>
      </c>
      <c r="M12576" t="s">
        <v>27647</v>
      </c>
      <c r="N12576" t="s">
        <v>27648</v>
      </c>
      <c r="O12576" t="s">
        <v>495</v>
      </c>
      <c r="P12576" t="str">
        <f>"93101"</f>
        <v>93101</v>
      </c>
    </row>
    <row r="12577" spans="1:16" x14ac:dyDescent="0.25">
      <c r="A12577" t="str">
        <f>"1190004J00093    00"</f>
        <v>1190004J00093    00</v>
      </c>
      <c r="B12577" t="s">
        <v>27649</v>
      </c>
      <c r="C12577" t="s">
        <v>27650</v>
      </c>
      <c r="D12577" t="s">
        <v>20</v>
      </c>
      <c r="E12577" t="s">
        <v>39</v>
      </c>
      <c r="F12577">
        <v>0</v>
      </c>
      <c r="G12577">
        <v>0</v>
      </c>
      <c r="H12577">
        <v>13</v>
      </c>
      <c r="I12577" s="3">
        <v>10905.82</v>
      </c>
      <c r="J12577" s="3">
        <v>5877.69</v>
      </c>
      <c r="L12577">
        <v>1502</v>
      </c>
      <c r="M12577" t="s">
        <v>27651</v>
      </c>
      <c r="N12577" t="s">
        <v>625</v>
      </c>
      <c r="O12577" t="s">
        <v>31</v>
      </c>
      <c r="P12577" t="str">
        <f>"15108"</f>
        <v>15108</v>
      </c>
    </row>
    <row r="12578" spans="1:16" x14ac:dyDescent="0.25">
      <c r="A12578" t="str">
        <f>"1190004J00094    00"</f>
        <v>1190004J00094    00</v>
      </c>
      <c r="B12578" t="s">
        <v>27649</v>
      </c>
      <c r="C12578" t="s">
        <v>27650</v>
      </c>
      <c r="D12578" t="s">
        <v>20</v>
      </c>
      <c r="E12578" t="s">
        <v>39</v>
      </c>
      <c r="F12578">
        <v>0</v>
      </c>
      <c r="G12578">
        <v>0</v>
      </c>
      <c r="H12578">
        <v>13</v>
      </c>
      <c r="I12578" s="3">
        <v>2050.75</v>
      </c>
      <c r="J12578" s="3">
        <v>1182.69</v>
      </c>
      <c r="L12578">
        <v>1502</v>
      </c>
      <c r="M12578" t="s">
        <v>27651</v>
      </c>
      <c r="N12578" t="s">
        <v>625</v>
      </c>
      <c r="O12578" t="s">
        <v>31</v>
      </c>
      <c r="P12578" t="str">
        <f>"15108"</f>
        <v>15108</v>
      </c>
    </row>
    <row r="12579" spans="1:16" x14ac:dyDescent="0.25">
      <c r="A12579" t="str">
        <f>"1190004J00101    00"</f>
        <v>1190004J00101    00</v>
      </c>
      <c r="B12579" t="s">
        <v>27652</v>
      </c>
      <c r="C12579" t="s">
        <v>27653</v>
      </c>
      <c r="D12579" t="s">
        <v>20</v>
      </c>
      <c r="E12579" t="s">
        <v>39</v>
      </c>
      <c r="F12579">
        <v>0</v>
      </c>
      <c r="G12579">
        <v>0</v>
      </c>
      <c r="H12579">
        <v>2</v>
      </c>
      <c r="I12579" s="3">
        <v>407.3</v>
      </c>
      <c r="J12579" s="3">
        <v>2.19</v>
      </c>
      <c r="L12579">
        <v>461</v>
      </c>
      <c r="M12579" t="s">
        <v>9319</v>
      </c>
      <c r="N12579" t="s">
        <v>30</v>
      </c>
      <c r="O12579" t="s">
        <v>31</v>
      </c>
      <c r="P12579" t="str">
        <f>"15211"</f>
        <v>15211</v>
      </c>
    </row>
    <row r="12580" spans="1:16" x14ac:dyDescent="0.25">
      <c r="A12580" t="str">
        <f>"1190004J00109    00"</f>
        <v>1190004J00109    00</v>
      </c>
      <c r="B12580" t="s">
        <v>27654</v>
      </c>
      <c r="C12580" t="s">
        <v>27655</v>
      </c>
      <c r="D12580" t="s">
        <v>20</v>
      </c>
      <c r="E12580" t="s">
        <v>39</v>
      </c>
      <c r="F12580">
        <v>0</v>
      </c>
      <c r="G12580">
        <v>0</v>
      </c>
      <c r="H12580">
        <v>6</v>
      </c>
      <c r="I12580" s="3">
        <v>9564.43</v>
      </c>
      <c r="J12580" s="3">
        <v>1877.45</v>
      </c>
      <c r="L12580">
        <v>448</v>
      </c>
      <c r="M12580" t="s">
        <v>27519</v>
      </c>
      <c r="N12580" t="s">
        <v>30</v>
      </c>
      <c r="O12580" t="s">
        <v>31</v>
      </c>
      <c r="P12580" t="str">
        <f>"15211"</f>
        <v>15211</v>
      </c>
    </row>
    <row r="12581" spans="1:16" x14ac:dyDescent="0.25">
      <c r="A12581" t="str">
        <f>"1190004J00112    00"</f>
        <v>1190004J00112    00</v>
      </c>
      <c r="B12581" t="s">
        <v>27656</v>
      </c>
      <c r="C12581" t="s">
        <v>27518</v>
      </c>
      <c r="D12581" t="s">
        <v>20</v>
      </c>
      <c r="E12581" t="s">
        <v>39</v>
      </c>
      <c r="F12581">
        <v>0</v>
      </c>
      <c r="G12581">
        <v>0</v>
      </c>
      <c r="H12581">
        <v>17</v>
      </c>
      <c r="I12581" s="3">
        <v>313.60000000000002</v>
      </c>
      <c r="J12581" s="3">
        <v>369.72</v>
      </c>
      <c r="L12581">
        <v>470</v>
      </c>
      <c r="M12581" t="s">
        <v>27519</v>
      </c>
      <c r="N12581" t="s">
        <v>30</v>
      </c>
      <c r="O12581" t="s">
        <v>31</v>
      </c>
      <c r="P12581" t="str">
        <f>"15211"</f>
        <v>15211</v>
      </c>
    </row>
    <row r="12582" spans="1:16" x14ac:dyDescent="0.25">
      <c r="A12582" t="str">
        <f>"1190004J00119    00"</f>
        <v>1190004J00119    00</v>
      </c>
      <c r="B12582" t="s">
        <v>27657</v>
      </c>
      <c r="C12582" t="s">
        <v>27658</v>
      </c>
      <c r="D12582" t="s">
        <v>20</v>
      </c>
      <c r="E12582" t="s">
        <v>39</v>
      </c>
      <c r="F12582">
        <v>0</v>
      </c>
      <c r="G12582">
        <v>0</v>
      </c>
      <c r="H12582">
        <v>2</v>
      </c>
      <c r="I12582" s="3">
        <v>1669.66</v>
      </c>
      <c r="J12582" s="3">
        <v>0</v>
      </c>
      <c r="L12582">
        <v>473</v>
      </c>
      <c r="M12582" t="s">
        <v>27519</v>
      </c>
      <c r="N12582" t="s">
        <v>30</v>
      </c>
      <c r="O12582" t="s">
        <v>31</v>
      </c>
      <c r="P12582" t="str">
        <f>"15211"</f>
        <v>15211</v>
      </c>
    </row>
    <row r="12583" spans="1:16" x14ac:dyDescent="0.25">
      <c r="A12583" t="str">
        <f>"1190004J00129    00"</f>
        <v>1190004J00129    00</v>
      </c>
      <c r="B12583" t="s">
        <v>27659</v>
      </c>
      <c r="C12583" t="s">
        <v>27660</v>
      </c>
      <c r="D12583" t="s">
        <v>20</v>
      </c>
      <c r="E12583" t="s">
        <v>39</v>
      </c>
      <c r="F12583">
        <v>0</v>
      </c>
      <c r="G12583">
        <v>0</v>
      </c>
      <c r="H12583">
        <v>5</v>
      </c>
      <c r="I12583" s="3">
        <v>1177.4100000000001</v>
      </c>
      <c r="J12583" s="3">
        <v>27.9</v>
      </c>
      <c r="L12583">
        <v>145</v>
      </c>
      <c r="M12583" t="s">
        <v>27661</v>
      </c>
      <c r="N12583" t="s">
        <v>30</v>
      </c>
      <c r="O12583" t="s">
        <v>31</v>
      </c>
      <c r="P12583" t="str">
        <f>"15235"</f>
        <v>15235</v>
      </c>
    </row>
    <row r="12584" spans="1:16" x14ac:dyDescent="0.25">
      <c r="A12584" t="str">
        <f>"1190004J00142    00"</f>
        <v>1190004J00142    00</v>
      </c>
      <c r="B12584" t="s">
        <v>27662</v>
      </c>
      <c r="C12584" t="s">
        <v>27663</v>
      </c>
      <c r="E12584" t="s">
        <v>39</v>
      </c>
      <c r="F12584">
        <v>0</v>
      </c>
      <c r="G12584">
        <v>0</v>
      </c>
      <c r="H12584">
        <v>4</v>
      </c>
      <c r="I12584" s="3">
        <v>1466.55</v>
      </c>
      <c r="J12584" s="3">
        <v>36.450000000000003</v>
      </c>
      <c r="K12584" t="s">
        <v>27664</v>
      </c>
      <c r="L12584">
        <v>126</v>
      </c>
      <c r="M12584" t="s">
        <v>27665</v>
      </c>
      <c r="N12584" t="s">
        <v>30</v>
      </c>
      <c r="O12584" t="s">
        <v>31</v>
      </c>
      <c r="P12584" t="str">
        <f>"15211"</f>
        <v>15211</v>
      </c>
    </row>
    <row r="12585" spans="1:16" x14ac:dyDescent="0.25">
      <c r="A12585" t="str">
        <f>"1190004J00148    00"</f>
        <v>1190004J00148    00</v>
      </c>
      <c r="B12585" t="s">
        <v>27666</v>
      </c>
      <c r="C12585" t="s">
        <v>27667</v>
      </c>
      <c r="D12585" t="s">
        <v>20</v>
      </c>
      <c r="E12585" t="s">
        <v>39</v>
      </c>
      <c r="F12585">
        <v>0</v>
      </c>
      <c r="G12585">
        <v>0</v>
      </c>
      <c r="H12585">
        <v>1</v>
      </c>
      <c r="I12585" s="3">
        <v>440.3</v>
      </c>
      <c r="J12585" s="3">
        <v>0</v>
      </c>
      <c r="L12585">
        <v>5608</v>
      </c>
      <c r="M12585" t="s">
        <v>27668</v>
      </c>
      <c r="N12585" t="s">
        <v>23708</v>
      </c>
      <c r="O12585" t="s">
        <v>658</v>
      </c>
      <c r="P12585" t="str">
        <f>"74145"</f>
        <v>74145</v>
      </c>
    </row>
    <row r="12586" spans="1:16" x14ac:dyDescent="0.25">
      <c r="A12586" t="str">
        <f>"1190004J00158    00"</f>
        <v>1190004J00158    00</v>
      </c>
      <c r="B12586" t="s">
        <v>27669</v>
      </c>
      <c r="C12586" t="s">
        <v>27670</v>
      </c>
      <c r="E12586" t="s">
        <v>39</v>
      </c>
      <c r="F12586">
        <v>0</v>
      </c>
      <c r="G12586">
        <v>0</v>
      </c>
      <c r="H12586">
        <v>2</v>
      </c>
      <c r="I12586" s="3">
        <v>455.31</v>
      </c>
      <c r="J12586" s="3">
        <v>462.87</v>
      </c>
      <c r="K12586" t="s">
        <v>1502</v>
      </c>
      <c r="L12586">
        <v>901</v>
      </c>
      <c r="M12586" t="s">
        <v>1503</v>
      </c>
      <c r="N12586" t="s">
        <v>494</v>
      </c>
      <c r="O12586" t="s">
        <v>495</v>
      </c>
      <c r="P12586" t="str">
        <f>"91768"</f>
        <v>91768</v>
      </c>
    </row>
    <row r="12587" spans="1:16" x14ac:dyDescent="0.25">
      <c r="A12587" t="str">
        <f>"1190004J00169    00"</f>
        <v>1190004J00169    00</v>
      </c>
      <c r="B12587" t="s">
        <v>27671</v>
      </c>
      <c r="C12587" t="s">
        <v>27536</v>
      </c>
      <c r="E12587" t="s">
        <v>39</v>
      </c>
      <c r="F12587">
        <v>0</v>
      </c>
      <c r="G12587">
        <v>0</v>
      </c>
      <c r="H12587">
        <v>3</v>
      </c>
      <c r="I12587" s="3">
        <v>47.95</v>
      </c>
      <c r="J12587" s="3">
        <v>47.35</v>
      </c>
      <c r="L12587">
        <v>454</v>
      </c>
      <c r="M12587" t="s">
        <v>27586</v>
      </c>
      <c r="N12587" t="s">
        <v>30</v>
      </c>
      <c r="O12587" t="s">
        <v>31</v>
      </c>
      <c r="P12587" t="str">
        <f>"15211"</f>
        <v>15211</v>
      </c>
    </row>
    <row r="12588" spans="1:16" x14ac:dyDescent="0.25">
      <c r="A12588" t="str">
        <f>"1190004J00200    00"</f>
        <v>1190004J00200    00</v>
      </c>
      <c r="B12588" t="s">
        <v>27672</v>
      </c>
      <c r="C12588" t="s">
        <v>27673</v>
      </c>
      <c r="D12588" t="s">
        <v>20</v>
      </c>
      <c r="E12588" t="s">
        <v>39</v>
      </c>
      <c r="F12588">
        <v>0</v>
      </c>
      <c r="G12588">
        <v>0</v>
      </c>
      <c r="H12588">
        <v>2</v>
      </c>
      <c r="I12588" s="3">
        <v>1816.44</v>
      </c>
      <c r="J12588" s="3">
        <v>0</v>
      </c>
      <c r="K12588" t="s">
        <v>27674</v>
      </c>
      <c r="L12588">
        <v>131</v>
      </c>
      <c r="M12588" t="s">
        <v>10147</v>
      </c>
      <c r="N12588" t="s">
        <v>30</v>
      </c>
      <c r="O12588" t="s">
        <v>31</v>
      </c>
      <c r="P12588" t="str">
        <f>"15236"</f>
        <v>15236</v>
      </c>
    </row>
    <row r="12589" spans="1:16" x14ac:dyDescent="0.25">
      <c r="A12589" t="str">
        <f>"1190004J00202    00"</f>
        <v>1190004J00202    00</v>
      </c>
      <c r="B12589" t="s">
        <v>27675</v>
      </c>
      <c r="C12589" t="s">
        <v>27676</v>
      </c>
      <c r="D12589" t="s">
        <v>20</v>
      </c>
      <c r="E12589" t="s">
        <v>39</v>
      </c>
      <c r="F12589">
        <v>0</v>
      </c>
      <c r="G12589">
        <v>0</v>
      </c>
      <c r="H12589">
        <v>14</v>
      </c>
      <c r="I12589" s="3">
        <v>3948.02</v>
      </c>
      <c r="J12589" s="3">
        <v>3722.84</v>
      </c>
      <c r="K12589" t="s">
        <v>27677</v>
      </c>
      <c r="L12589">
        <v>1116</v>
      </c>
      <c r="M12589" t="s">
        <v>7241</v>
      </c>
      <c r="N12589" t="s">
        <v>30</v>
      </c>
      <c r="O12589" t="s">
        <v>31</v>
      </c>
      <c r="P12589" t="str">
        <f>"15206"</f>
        <v>15206</v>
      </c>
    </row>
    <row r="12590" spans="1:16" x14ac:dyDescent="0.25">
      <c r="A12590" t="str">
        <f>"1190004J00203    00"</f>
        <v>1190004J00203    00</v>
      </c>
      <c r="B12590" t="s">
        <v>27678</v>
      </c>
      <c r="C12590" t="s">
        <v>27679</v>
      </c>
      <c r="E12590" t="s">
        <v>39</v>
      </c>
      <c r="F12590">
        <v>0</v>
      </c>
      <c r="G12590">
        <v>0</v>
      </c>
      <c r="H12590">
        <v>7</v>
      </c>
      <c r="I12590" s="3">
        <v>878.2</v>
      </c>
      <c r="J12590" s="3">
        <v>986.31</v>
      </c>
      <c r="L12590">
        <v>110</v>
      </c>
      <c r="M12590" t="s">
        <v>27680</v>
      </c>
      <c r="N12590" t="s">
        <v>30</v>
      </c>
      <c r="O12590" t="s">
        <v>31</v>
      </c>
      <c r="P12590" t="str">
        <f>"15235"</f>
        <v>15235</v>
      </c>
    </row>
    <row r="12591" spans="1:16" x14ac:dyDescent="0.25">
      <c r="A12591" t="str">
        <f>"1190004J00204    00"</f>
        <v>1190004J00204    00</v>
      </c>
      <c r="B12591" t="s">
        <v>27681</v>
      </c>
      <c r="C12591" t="s">
        <v>27676</v>
      </c>
      <c r="D12591" t="s">
        <v>20</v>
      </c>
      <c r="E12591" t="s">
        <v>39</v>
      </c>
      <c r="F12591">
        <v>0</v>
      </c>
      <c r="G12591">
        <v>0</v>
      </c>
      <c r="H12591">
        <v>3</v>
      </c>
      <c r="I12591" s="3">
        <v>56.38</v>
      </c>
      <c r="J12591" s="3">
        <v>5.47</v>
      </c>
      <c r="L12591">
        <v>12436</v>
      </c>
      <c r="M12591" t="s">
        <v>27682</v>
      </c>
      <c r="N12591" t="s">
        <v>21904</v>
      </c>
      <c r="O12591" t="s">
        <v>108</v>
      </c>
      <c r="P12591" t="str">
        <f>"78230"</f>
        <v>78230</v>
      </c>
    </row>
    <row r="12592" spans="1:16" x14ac:dyDescent="0.25">
      <c r="A12592" t="str">
        <f>"1190004J00206    00"</f>
        <v>1190004J00206    00</v>
      </c>
      <c r="B12592" t="s">
        <v>27683</v>
      </c>
      <c r="C12592" t="s">
        <v>27676</v>
      </c>
      <c r="E12592" t="s">
        <v>39</v>
      </c>
      <c r="F12592">
        <v>0</v>
      </c>
      <c r="G12592">
        <v>0</v>
      </c>
      <c r="H12592">
        <v>1</v>
      </c>
      <c r="I12592" s="3">
        <v>345</v>
      </c>
      <c r="J12592" s="3">
        <v>0</v>
      </c>
      <c r="M12592" t="s">
        <v>27684</v>
      </c>
      <c r="N12592" t="s">
        <v>30</v>
      </c>
      <c r="O12592" t="s">
        <v>31</v>
      </c>
      <c r="P12592" t="str">
        <f>"15211"</f>
        <v>15211</v>
      </c>
    </row>
    <row r="12593" spans="1:16" x14ac:dyDescent="0.25">
      <c r="A12593" t="str">
        <f>"1190004J00208    00"</f>
        <v>1190004J00208    00</v>
      </c>
      <c r="B12593" t="s">
        <v>27685</v>
      </c>
      <c r="C12593" t="s">
        <v>27686</v>
      </c>
      <c r="D12593" t="s">
        <v>20</v>
      </c>
      <c r="E12593" t="s">
        <v>39</v>
      </c>
      <c r="F12593">
        <v>0</v>
      </c>
      <c r="G12593">
        <v>0</v>
      </c>
      <c r="H12593">
        <v>9</v>
      </c>
      <c r="I12593" s="3">
        <v>8261.7199999999993</v>
      </c>
      <c r="J12593" s="3">
        <v>2713.18</v>
      </c>
      <c r="K12593" t="s">
        <v>27687</v>
      </c>
      <c r="L12593">
        <v>168</v>
      </c>
      <c r="M12593" t="s">
        <v>27688</v>
      </c>
      <c r="N12593" t="s">
        <v>139</v>
      </c>
      <c r="O12593" t="s">
        <v>31</v>
      </c>
      <c r="P12593" t="str">
        <f>"15090"</f>
        <v>15090</v>
      </c>
    </row>
    <row r="12594" spans="1:16" x14ac:dyDescent="0.25">
      <c r="A12594" t="str">
        <f>"1190004J00215    00"</f>
        <v>1190004J00215    00</v>
      </c>
      <c r="B12594" t="s">
        <v>27689</v>
      </c>
      <c r="C12594" t="s">
        <v>27676</v>
      </c>
      <c r="D12594" t="s">
        <v>20</v>
      </c>
      <c r="E12594" t="s">
        <v>39</v>
      </c>
      <c r="F12594">
        <v>0</v>
      </c>
      <c r="G12594">
        <v>0</v>
      </c>
      <c r="H12594">
        <v>4</v>
      </c>
      <c r="I12594" s="3">
        <v>1085.99</v>
      </c>
      <c r="J12594" s="3">
        <v>128.29</v>
      </c>
      <c r="L12594">
        <v>208</v>
      </c>
      <c r="M12594" t="s">
        <v>25474</v>
      </c>
      <c r="N12594" t="s">
        <v>30</v>
      </c>
      <c r="O12594" t="s">
        <v>31</v>
      </c>
      <c r="P12594" t="str">
        <f>"15211"</f>
        <v>15211</v>
      </c>
    </row>
    <row r="12595" spans="1:16" x14ac:dyDescent="0.25">
      <c r="A12595" t="str">
        <f>"1190004J00216    00"</f>
        <v>1190004J00216    00</v>
      </c>
      <c r="B12595" t="s">
        <v>27690</v>
      </c>
      <c r="C12595" t="s">
        <v>27676</v>
      </c>
      <c r="D12595" t="s">
        <v>20</v>
      </c>
      <c r="E12595" t="s">
        <v>39</v>
      </c>
      <c r="F12595">
        <v>0</v>
      </c>
      <c r="G12595">
        <v>0</v>
      </c>
      <c r="H12595">
        <v>4</v>
      </c>
      <c r="I12595" s="3">
        <v>402.53</v>
      </c>
      <c r="J12595" s="3">
        <v>47.56</v>
      </c>
      <c r="L12595">
        <v>208</v>
      </c>
      <c r="M12595" t="s">
        <v>25474</v>
      </c>
      <c r="N12595" t="s">
        <v>30</v>
      </c>
      <c r="O12595" t="s">
        <v>31</v>
      </c>
      <c r="P12595" t="str">
        <f>"15211"</f>
        <v>15211</v>
      </c>
    </row>
    <row r="12596" spans="1:16" x14ac:dyDescent="0.25">
      <c r="A12596" t="str">
        <f>"1190004J00217    00"</f>
        <v>1190004J00217    00</v>
      </c>
      <c r="B12596" t="s">
        <v>27690</v>
      </c>
      <c r="C12596" t="s">
        <v>27691</v>
      </c>
      <c r="D12596" t="s">
        <v>20</v>
      </c>
      <c r="E12596" t="s">
        <v>39</v>
      </c>
      <c r="F12596">
        <v>0</v>
      </c>
      <c r="G12596">
        <v>0</v>
      </c>
      <c r="H12596">
        <v>4</v>
      </c>
      <c r="I12596" s="3">
        <v>3578.83</v>
      </c>
      <c r="J12596" s="3">
        <v>443.51</v>
      </c>
      <c r="L12596">
        <v>208</v>
      </c>
      <c r="M12596" t="s">
        <v>25474</v>
      </c>
      <c r="N12596" t="s">
        <v>30</v>
      </c>
      <c r="O12596" t="s">
        <v>31</v>
      </c>
      <c r="P12596" t="str">
        <f>"15211"</f>
        <v>15211</v>
      </c>
    </row>
    <row r="12597" spans="1:16" x14ac:dyDescent="0.25">
      <c r="A12597" t="str">
        <f>"1190004J00222    00"</f>
        <v>1190004J00222    00</v>
      </c>
      <c r="B12597" t="s">
        <v>27692</v>
      </c>
      <c r="C12597" t="s">
        <v>27693</v>
      </c>
      <c r="D12597" t="s">
        <v>20</v>
      </c>
      <c r="E12597" t="s">
        <v>39</v>
      </c>
      <c r="F12597">
        <v>0</v>
      </c>
      <c r="G12597">
        <v>0</v>
      </c>
      <c r="H12597">
        <v>11</v>
      </c>
      <c r="I12597" s="3">
        <v>5434.86</v>
      </c>
      <c r="J12597" s="3">
        <v>2243.1799999999998</v>
      </c>
      <c r="K12597" t="s">
        <v>27694</v>
      </c>
      <c r="L12597">
        <v>325</v>
      </c>
      <c r="M12597" t="s">
        <v>27695</v>
      </c>
      <c r="N12597" t="s">
        <v>30</v>
      </c>
      <c r="O12597" t="s">
        <v>31</v>
      </c>
      <c r="P12597" t="str">
        <f>"15211"</f>
        <v>15211</v>
      </c>
    </row>
    <row r="12598" spans="1:16" x14ac:dyDescent="0.25">
      <c r="A12598" t="str">
        <f>"1190004J00249    00"</f>
        <v>1190004J00249    00</v>
      </c>
      <c r="B12598" t="s">
        <v>27696</v>
      </c>
      <c r="C12598" t="s">
        <v>27697</v>
      </c>
      <c r="D12598" t="s">
        <v>20</v>
      </c>
      <c r="E12598" t="s">
        <v>39</v>
      </c>
      <c r="F12598">
        <v>0</v>
      </c>
      <c r="G12598">
        <v>0</v>
      </c>
      <c r="H12598">
        <v>4</v>
      </c>
      <c r="I12598" s="3">
        <v>6549.38</v>
      </c>
      <c r="J12598" s="3">
        <v>1010.65</v>
      </c>
      <c r="K12598" t="s">
        <v>27698</v>
      </c>
      <c r="L12598">
        <v>6</v>
      </c>
      <c r="M12598" t="s">
        <v>27699</v>
      </c>
      <c r="N12598" t="s">
        <v>30</v>
      </c>
      <c r="O12598" t="s">
        <v>31</v>
      </c>
      <c r="P12598" t="str">
        <f>"15211"</f>
        <v>15211</v>
      </c>
    </row>
    <row r="12599" spans="1:16" x14ac:dyDescent="0.25">
      <c r="A12599" t="str">
        <f>"1190004K00015    00"</f>
        <v>1190004K00015    00</v>
      </c>
      <c r="B12599" t="s">
        <v>27700</v>
      </c>
      <c r="C12599" t="s">
        <v>27701</v>
      </c>
      <c r="E12599" t="s">
        <v>39</v>
      </c>
      <c r="F12599">
        <v>0</v>
      </c>
      <c r="G12599">
        <v>0</v>
      </c>
      <c r="H12599">
        <v>1</v>
      </c>
      <c r="I12599" s="3">
        <v>1317.14</v>
      </c>
      <c r="J12599" s="3">
        <v>372.22</v>
      </c>
      <c r="K12599" t="s">
        <v>27702</v>
      </c>
      <c r="M12599" t="s">
        <v>27703</v>
      </c>
      <c r="N12599" t="s">
        <v>5634</v>
      </c>
      <c r="O12599" t="s">
        <v>5635</v>
      </c>
      <c r="P12599" t="str">
        <f>"68124"</f>
        <v>68124</v>
      </c>
    </row>
    <row r="12600" spans="1:16" x14ac:dyDescent="0.25">
      <c r="A12600" t="str">
        <f>"1190004K00022    00"</f>
        <v>1190004K00022    00</v>
      </c>
      <c r="B12600" t="s">
        <v>27704</v>
      </c>
      <c r="C12600" t="s">
        <v>27705</v>
      </c>
      <c r="E12600" t="s">
        <v>39</v>
      </c>
      <c r="F12600">
        <v>0</v>
      </c>
      <c r="G12600">
        <v>0</v>
      </c>
      <c r="H12600">
        <v>1</v>
      </c>
      <c r="I12600" s="3">
        <v>359.39</v>
      </c>
      <c r="J12600" s="3">
        <v>98.83</v>
      </c>
      <c r="K12600" t="s">
        <v>27706</v>
      </c>
      <c r="L12600">
        <v>302</v>
      </c>
      <c r="M12600" t="s">
        <v>27577</v>
      </c>
      <c r="N12600" t="s">
        <v>30</v>
      </c>
      <c r="O12600" t="s">
        <v>31</v>
      </c>
      <c r="P12600" t="str">
        <f>"15211"</f>
        <v>15211</v>
      </c>
    </row>
    <row r="12601" spans="1:16" x14ac:dyDescent="0.25">
      <c r="A12601" t="str">
        <f>"1190004K00023    00"</f>
        <v>1190004K00023    00</v>
      </c>
      <c r="B12601" t="s">
        <v>27704</v>
      </c>
      <c r="C12601" t="s">
        <v>27707</v>
      </c>
      <c r="E12601" t="s">
        <v>39</v>
      </c>
      <c r="F12601">
        <v>0</v>
      </c>
      <c r="G12601">
        <v>0</v>
      </c>
      <c r="H12601">
        <v>1</v>
      </c>
      <c r="I12601" s="3">
        <v>332.06</v>
      </c>
      <c r="J12601" s="3">
        <v>0</v>
      </c>
      <c r="K12601" t="s">
        <v>27706</v>
      </c>
      <c r="L12601">
        <v>302</v>
      </c>
      <c r="M12601" t="s">
        <v>27577</v>
      </c>
      <c r="N12601" t="s">
        <v>30</v>
      </c>
      <c r="O12601" t="s">
        <v>31</v>
      </c>
      <c r="P12601" t="str">
        <f>"15211"</f>
        <v>15211</v>
      </c>
    </row>
    <row r="12602" spans="1:16" x14ac:dyDescent="0.25">
      <c r="A12602" t="str">
        <f>"1190004K00051    00"</f>
        <v>1190004K00051    00</v>
      </c>
      <c r="B12602" t="s">
        <v>27708</v>
      </c>
      <c r="C12602" t="s">
        <v>27709</v>
      </c>
      <c r="D12602" t="s">
        <v>20</v>
      </c>
      <c r="E12602" t="s">
        <v>39</v>
      </c>
      <c r="F12602">
        <v>0</v>
      </c>
      <c r="G12602">
        <v>0</v>
      </c>
      <c r="H12602">
        <v>2</v>
      </c>
      <c r="I12602" s="3">
        <v>1294.47</v>
      </c>
      <c r="J12602" s="3">
        <v>0</v>
      </c>
      <c r="L12602">
        <v>51</v>
      </c>
      <c r="M12602" t="s">
        <v>27710</v>
      </c>
      <c r="N12602" t="s">
        <v>30</v>
      </c>
      <c r="O12602" t="s">
        <v>31</v>
      </c>
      <c r="P12602" t="str">
        <f>"15211"</f>
        <v>15211</v>
      </c>
    </row>
    <row r="12603" spans="1:16" x14ac:dyDescent="0.25">
      <c r="A12603" t="str">
        <f>"1190004K00053    00"</f>
        <v>1190004K00053    00</v>
      </c>
      <c r="B12603" t="s">
        <v>27711</v>
      </c>
      <c r="C12603" t="s">
        <v>27712</v>
      </c>
      <c r="D12603" t="s">
        <v>20</v>
      </c>
      <c r="E12603" t="s">
        <v>39</v>
      </c>
      <c r="F12603">
        <v>0</v>
      </c>
      <c r="G12603">
        <v>0</v>
      </c>
      <c r="H12603">
        <v>3</v>
      </c>
      <c r="I12603" s="3">
        <v>2329.34</v>
      </c>
      <c r="J12603" s="3">
        <v>17.8</v>
      </c>
      <c r="L12603">
        <v>4000</v>
      </c>
      <c r="M12603" t="s">
        <v>27713</v>
      </c>
      <c r="N12603" t="s">
        <v>27714</v>
      </c>
      <c r="O12603" t="s">
        <v>31</v>
      </c>
      <c r="P12603" t="str">
        <f>"17055"</f>
        <v>17055</v>
      </c>
    </row>
    <row r="12604" spans="1:16" x14ac:dyDescent="0.25">
      <c r="A12604" t="str">
        <f>"1190004K00060    00"</f>
        <v>1190004K00060    00</v>
      </c>
      <c r="B12604" t="s">
        <v>27715</v>
      </c>
      <c r="C12604" t="s">
        <v>27716</v>
      </c>
      <c r="D12604" t="s">
        <v>20</v>
      </c>
      <c r="E12604" t="s">
        <v>39</v>
      </c>
      <c r="F12604">
        <v>0</v>
      </c>
      <c r="G12604">
        <v>0</v>
      </c>
      <c r="H12604">
        <v>1</v>
      </c>
      <c r="I12604" s="3">
        <v>45.1</v>
      </c>
      <c r="J12604" s="3">
        <v>0</v>
      </c>
      <c r="L12604">
        <v>246</v>
      </c>
      <c r="M12604" t="s">
        <v>27717</v>
      </c>
      <c r="N12604" t="s">
        <v>30</v>
      </c>
      <c r="O12604" t="s">
        <v>31</v>
      </c>
      <c r="P12604" t="str">
        <f>"15203"</f>
        <v>15203</v>
      </c>
    </row>
    <row r="12605" spans="1:16" x14ac:dyDescent="0.25">
      <c r="A12605" t="str">
        <f>"1190004K00064    00"</f>
        <v>1190004K00064    00</v>
      </c>
      <c r="B12605" t="s">
        <v>27718</v>
      </c>
      <c r="C12605" t="s">
        <v>27716</v>
      </c>
      <c r="D12605" t="s">
        <v>20</v>
      </c>
      <c r="E12605" t="s">
        <v>39</v>
      </c>
      <c r="F12605">
        <v>0</v>
      </c>
      <c r="G12605">
        <v>0</v>
      </c>
      <c r="H12605">
        <v>1</v>
      </c>
      <c r="I12605" s="3">
        <v>230</v>
      </c>
      <c r="J12605" s="3">
        <v>0</v>
      </c>
      <c r="L12605">
        <v>50</v>
      </c>
      <c r="M12605" t="s">
        <v>27719</v>
      </c>
      <c r="N12605" t="s">
        <v>30</v>
      </c>
      <c r="O12605" t="s">
        <v>31</v>
      </c>
      <c r="P12605" t="str">
        <f>"15211"</f>
        <v>15211</v>
      </c>
    </row>
    <row r="12606" spans="1:16" x14ac:dyDescent="0.25">
      <c r="A12606" t="str">
        <f>"1190004K00110    00"</f>
        <v>1190004K00110    00</v>
      </c>
      <c r="B12606" t="s">
        <v>25257</v>
      </c>
      <c r="C12606" t="s">
        <v>27720</v>
      </c>
      <c r="D12606" t="s">
        <v>20</v>
      </c>
      <c r="E12606" t="s">
        <v>39</v>
      </c>
      <c r="F12606">
        <v>0</v>
      </c>
      <c r="G12606">
        <v>0</v>
      </c>
      <c r="H12606">
        <v>3</v>
      </c>
      <c r="I12606" s="3">
        <v>2819.06</v>
      </c>
      <c r="J12606" s="3">
        <v>167.38</v>
      </c>
      <c r="L12606">
        <v>303</v>
      </c>
      <c r="M12606" t="s">
        <v>8296</v>
      </c>
      <c r="N12606" t="s">
        <v>30</v>
      </c>
      <c r="O12606" t="s">
        <v>31</v>
      </c>
      <c r="P12606" t="str">
        <f>"15211"</f>
        <v>15211</v>
      </c>
    </row>
    <row r="12607" spans="1:16" x14ac:dyDescent="0.25">
      <c r="A12607" t="str">
        <f>"1190004K00162    00"</f>
        <v>1190004K00162    00</v>
      </c>
      <c r="B12607" t="s">
        <v>27721</v>
      </c>
      <c r="C12607" t="s">
        <v>27722</v>
      </c>
      <c r="E12607" t="s">
        <v>39</v>
      </c>
      <c r="F12607">
        <v>0</v>
      </c>
      <c r="G12607">
        <v>0</v>
      </c>
      <c r="H12607">
        <v>1</v>
      </c>
      <c r="I12607" s="3">
        <v>40.98</v>
      </c>
      <c r="J12607" s="3">
        <v>0</v>
      </c>
      <c r="K12607" t="s">
        <v>27723</v>
      </c>
      <c r="L12607">
        <v>253</v>
      </c>
      <c r="M12607" t="s">
        <v>27577</v>
      </c>
      <c r="N12607" t="s">
        <v>30</v>
      </c>
      <c r="O12607" t="s">
        <v>31</v>
      </c>
      <c r="P12607" t="str">
        <f>"15211"</f>
        <v>15211</v>
      </c>
    </row>
    <row r="12608" spans="1:16" x14ac:dyDescent="0.25">
      <c r="A12608" t="str">
        <f>"1190004K00163    00"</f>
        <v>1190004K00163    00</v>
      </c>
      <c r="B12608" t="s">
        <v>27721</v>
      </c>
      <c r="C12608" t="s">
        <v>27724</v>
      </c>
      <c r="E12608" t="s">
        <v>39</v>
      </c>
      <c r="F12608">
        <v>0</v>
      </c>
      <c r="G12608">
        <v>0</v>
      </c>
      <c r="H12608">
        <v>1</v>
      </c>
      <c r="I12608" s="3">
        <v>34.24</v>
      </c>
      <c r="J12608" s="3">
        <v>0</v>
      </c>
      <c r="K12608" t="s">
        <v>27723</v>
      </c>
      <c r="L12608">
        <v>253</v>
      </c>
      <c r="M12608" t="s">
        <v>27577</v>
      </c>
      <c r="N12608" t="s">
        <v>30</v>
      </c>
      <c r="O12608" t="s">
        <v>31</v>
      </c>
      <c r="P12608" t="str">
        <f>"15211"</f>
        <v>15211</v>
      </c>
    </row>
    <row r="12609" spans="1:16" x14ac:dyDescent="0.25">
      <c r="A12609" t="str">
        <f>"1190004K00243    00"</f>
        <v>1190004K00243    00</v>
      </c>
      <c r="B12609" t="s">
        <v>27725</v>
      </c>
      <c r="C12609" t="s">
        <v>27726</v>
      </c>
      <c r="E12609" t="s">
        <v>39</v>
      </c>
      <c r="F12609">
        <v>0</v>
      </c>
      <c r="G12609">
        <v>0</v>
      </c>
      <c r="H12609">
        <v>2</v>
      </c>
      <c r="I12609" s="3">
        <v>3407.73</v>
      </c>
      <c r="J12609" s="3">
        <v>38.26</v>
      </c>
      <c r="K12609" t="s">
        <v>27727</v>
      </c>
      <c r="L12609">
        <v>4120</v>
      </c>
      <c r="M12609" t="s">
        <v>27728</v>
      </c>
      <c r="N12609" t="s">
        <v>5232</v>
      </c>
      <c r="O12609" t="s">
        <v>3486</v>
      </c>
      <c r="P12609" t="str">
        <f>"60639"</f>
        <v>60639</v>
      </c>
    </row>
    <row r="12610" spans="1:16" x14ac:dyDescent="0.25">
      <c r="A12610" t="str">
        <f>"1190004K00251    00"</f>
        <v>1190004K00251    00</v>
      </c>
      <c r="B12610" t="s">
        <v>27729</v>
      </c>
      <c r="C12610" t="s">
        <v>27582</v>
      </c>
      <c r="E12610" t="s">
        <v>39</v>
      </c>
      <c r="F12610">
        <v>0</v>
      </c>
      <c r="G12610">
        <v>0</v>
      </c>
      <c r="H12610">
        <v>1</v>
      </c>
      <c r="I12610" s="3">
        <v>234.45</v>
      </c>
      <c r="J12610" s="3">
        <v>0</v>
      </c>
      <c r="K12610" t="s">
        <v>27730</v>
      </c>
      <c r="L12610">
        <v>59</v>
      </c>
      <c r="M12610" t="s">
        <v>11611</v>
      </c>
      <c r="N12610" t="s">
        <v>30</v>
      </c>
      <c r="O12610" t="s">
        <v>31</v>
      </c>
      <c r="P12610" t="str">
        <f>"15211"</f>
        <v>15211</v>
      </c>
    </row>
    <row r="12611" spans="1:16" x14ac:dyDescent="0.25">
      <c r="A12611" t="str">
        <f>"1190004K00264    00"</f>
        <v>1190004K00264    00</v>
      </c>
      <c r="B12611" t="s">
        <v>27599</v>
      </c>
      <c r="C12611" t="s">
        <v>27582</v>
      </c>
      <c r="D12611" t="s">
        <v>20</v>
      </c>
      <c r="E12611" t="s">
        <v>39</v>
      </c>
      <c r="F12611">
        <v>0</v>
      </c>
      <c r="G12611">
        <v>0</v>
      </c>
      <c r="H12611">
        <v>2</v>
      </c>
      <c r="I12611" s="3">
        <v>331.46</v>
      </c>
      <c r="J12611" s="3">
        <v>3.02</v>
      </c>
      <c r="L12611">
        <v>620</v>
      </c>
      <c r="M12611" t="s">
        <v>27583</v>
      </c>
      <c r="N12611" t="s">
        <v>1067</v>
      </c>
      <c r="O12611" t="s">
        <v>31</v>
      </c>
      <c r="P12611" t="str">
        <f>"15143"</f>
        <v>15143</v>
      </c>
    </row>
    <row r="12612" spans="1:16" x14ac:dyDescent="0.25">
      <c r="A12612" t="str">
        <f>"1190004K00272    00"</f>
        <v>1190004K00272    00</v>
      </c>
      <c r="B12612" t="s">
        <v>27731</v>
      </c>
      <c r="C12612" t="s">
        <v>27732</v>
      </c>
      <c r="D12612" t="s">
        <v>20</v>
      </c>
      <c r="E12612" t="s">
        <v>39</v>
      </c>
      <c r="F12612">
        <v>0</v>
      </c>
      <c r="G12612">
        <v>0</v>
      </c>
      <c r="H12612">
        <v>3</v>
      </c>
      <c r="I12612" s="3">
        <v>2589.02</v>
      </c>
      <c r="J12612" s="3">
        <v>184.42</v>
      </c>
      <c r="L12612">
        <v>48</v>
      </c>
      <c r="M12612" t="s">
        <v>27733</v>
      </c>
      <c r="N12612" t="s">
        <v>30</v>
      </c>
      <c r="O12612" t="s">
        <v>31</v>
      </c>
      <c r="P12612" t="str">
        <f>"15211"</f>
        <v>15211</v>
      </c>
    </row>
    <row r="12613" spans="1:16" x14ac:dyDescent="0.25">
      <c r="A12613" t="str">
        <f>"1190004K00283    00"</f>
        <v>1190004K00283    00</v>
      </c>
      <c r="B12613" t="s">
        <v>27734</v>
      </c>
      <c r="C12613" t="s">
        <v>27735</v>
      </c>
      <c r="D12613" t="s">
        <v>33</v>
      </c>
      <c r="E12613" t="s">
        <v>39</v>
      </c>
      <c r="F12613">
        <v>0</v>
      </c>
      <c r="G12613">
        <v>0</v>
      </c>
      <c r="H12613">
        <v>1</v>
      </c>
      <c r="I12613" s="3">
        <v>657.03</v>
      </c>
      <c r="J12613" s="3">
        <v>0</v>
      </c>
      <c r="L12613">
        <v>3207</v>
      </c>
      <c r="M12613" t="s">
        <v>833</v>
      </c>
      <c r="N12613" t="s">
        <v>30</v>
      </c>
      <c r="O12613" t="s">
        <v>31</v>
      </c>
      <c r="P12613" t="str">
        <f>"15219"</f>
        <v>15219</v>
      </c>
    </row>
    <row r="12614" spans="1:16" x14ac:dyDescent="0.25">
      <c r="A12614" t="str">
        <f>"1190004K00291    00"</f>
        <v>1190004K00291    00</v>
      </c>
      <c r="B12614" t="s">
        <v>27736</v>
      </c>
      <c r="C12614" t="s">
        <v>27737</v>
      </c>
      <c r="D12614" t="s">
        <v>20</v>
      </c>
      <c r="E12614" t="s">
        <v>39</v>
      </c>
      <c r="F12614">
        <v>0</v>
      </c>
      <c r="G12614">
        <v>0</v>
      </c>
      <c r="H12614">
        <v>2</v>
      </c>
      <c r="I12614" s="3">
        <v>2283.4</v>
      </c>
      <c r="J12614" s="3">
        <v>0</v>
      </c>
      <c r="L12614">
        <v>73</v>
      </c>
      <c r="M12614" t="s">
        <v>27733</v>
      </c>
      <c r="N12614" t="s">
        <v>30</v>
      </c>
      <c r="O12614" t="s">
        <v>31</v>
      </c>
      <c r="P12614" t="str">
        <f>"15211"</f>
        <v>15211</v>
      </c>
    </row>
    <row r="12615" spans="1:16" x14ac:dyDescent="0.25">
      <c r="A12615" t="str">
        <f>"1190004K00305    00"</f>
        <v>1190004K00305    00</v>
      </c>
      <c r="B12615" t="s">
        <v>27738</v>
      </c>
      <c r="C12615" t="s">
        <v>27739</v>
      </c>
      <c r="E12615" t="s">
        <v>39</v>
      </c>
      <c r="F12615">
        <v>0</v>
      </c>
      <c r="G12615">
        <v>0</v>
      </c>
      <c r="H12615">
        <v>1</v>
      </c>
      <c r="I12615" s="3">
        <v>2319.5700000000002</v>
      </c>
      <c r="J12615" s="3">
        <v>1140.4100000000001</v>
      </c>
      <c r="K12615" t="s">
        <v>27740</v>
      </c>
      <c r="L12615">
        <v>105</v>
      </c>
      <c r="M12615" t="s">
        <v>11611</v>
      </c>
      <c r="N12615" t="s">
        <v>30</v>
      </c>
      <c r="O12615" t="s">
        <v>31</v>
      </c>
      <c r="P12615" t="str">
        <f>"15211"</f>
        <v>15211</v>
      </c>
    </row>
    <row r="12616" spans="1:16" x14ac:dyDescent="0.25">
      <c r="A12616" t="str">
        <f>"1190004K00306    00"</f>
        <v>1190004K00306    00</v>
      </c>
      <c r="B12616" t="s">
        <v>24076</v>
      </c>
      <c r="C12616" t="s">
        <v>27582</v>
      </c>
      <c r="D12616" t="s">
        <v>20</v>
      </c>
      <c r="E12616" t="s">
        <v>39</v>
      </c>
      <c r="F12616">
        <v>0</v>
      </c>
      <c r="G12616">
        <v>0</v>
      </c>
      <c r="H12616">
        <v>1</v>
      </c>
      <c r="I12616" s="3">
        <v>287.82</v>
      </c>
      <c r="J12616" s="3">
        <v>0</v>
      </c>
      <c r="L12616">
        <v>2351</v>
      </c>
      <c r="M12616" t="s">
        <v>9782</v>
      </c>
      <c r="N12616" t="s">
        <v>30</v>
      </c>
      <c r="O12616" t="s">
        <v>31</v>
      </c>
      <c r="P12616" t="str">
        <f>"15210"</f>
        <v>15210</v>
      </c>
    </row>
    <row r="12617" spans="1:16" x14ac:dyDescent="0.25">
      <c r="A12617" t="str">
        <f>"1190004K00324    00"</f>
        <v>1190004K00324    00</v>
      </c>
      <c r="B12617" t="s">
        <v>27741</v>
      </c>
      <c r="C12617" t="s">
        <v>27742</v>
      </c>
      <c r="E12617" t="s">
        <v>39</v>
      </c>
      <c r="F12617">
        <v>0</v>
      </c>
      <c r="G12617">
        <v>0</v>
      </c>
      <c r="H12617">
        <v>1</v>
      </c>
      <c r="I12617" s="3">
        <v>428.86</v>
      </c>
      <c r="J12617" s="3">
        <v>0</v>
      </c>
      <c r="K12617" t="s">
        <v>27743</v>
      </c>
      <c r="L12617">
        <v>3198</v>
      </c>
      <c r="M12617" t="s">
        <v>27744</v>
      </c>
      <c r="N12617" t="s">
        <v>30</v>
      </c>
      <c r="O12617" t="s">
        <v>31</v>
      </c>
      <c r="P12617" t="str">
        <f>"15227"</f>
        <v>15227</v>
      </c>
    </row>
    <row r="12618" spans="1:16" x14ac:dyDescent="0.25">
      <c r="A12618" t="str">
        <f>"1190004K00340    00"</f>
        <v>1190004K00340    00</v>
      </c>
      <c r="B12618" t="s">
        <v>27745</v>
      </c>
      <c r="C12618" t="s">
        <v>27746</v>
      </c>
      <c r="D12618" t="s">
        <v>20</v>
      </c>
      <c r="E12618" t="s">
        <v>39</v>
      </c>
      <c r="F12618">
        <v>0</v>
      </c>
      <c r="G12618">
        <v>0</v>
      </c>
      <c r="H12618">
        <v>13</v>
      </c>
      <c r="I12618" s="3">
        <v>3345.12</v>
      </c>
      <c r="J12618" s="3">
        <v>1916.78</v>
      </c>
      <c r="K12618" t="s">
        <v>27747</v>
      </c>
      <c r="L12618">
        <v>39</v>
      </c>
      <c r="M12618" t="s">
        <v>27710</v>
      </c>
      <c r="N12618" t="s">
        <v>30</v>
      </c>
      <c r="O12618" t="s">
        <v>31</v>
      </c>
      <c r="P12618" t="str">
        <f>"15211"</f>
        <v>15211</v>
      </c>
    </row>
    <row r="12619" spans="1:16" x14ac:dyDescent="0.25">
      <c r="A12619" t="str">
        <f>"1190004L00024    00"</f>
        <v>1190004L00024    00</v>
      </c>
      <c r="B12619" t="s">
        <v>27748</v>
      </c>
      <c r="C12619" t="s">
        <v>27749</v>
      </c>
      <c r="D12619" t="s">
        <v>57</v>
      </c>
      <c r="E12619" t="s">
        <v>39</v>
      </c>
      <c r="F12619">
        <v>0</v>
      </c>
      <c r="G12619">
        <v>0</v>
      </c>
      <c r="H12619">
        <v>2</v>
      </c>
      <c r="I12619" s="3">
        <v>1607.79</v>
      </c>
      <c r="J12619" s="3">
        <v>0.78</v>
      </c>
      <c r="K12619" t="s">
        <v>27750</v>
      </c>
      <c r="L12619">
        <v>7009</v>
      </c>
      <c r="M12619" t="s">
        <v>27751</v>
      </c>
      <c r="N12619" t="s">
        <v>546</v>
      </c>
      <c r="O12619" t="s">
        <v>31</v>
      </c>
      <c r="P12619" t="str">
        <f>"15044"</f>
        <v>15044</v>
      </c>
    </row>
    <row r="12620" spans="1:16" x14ac:dyDescent="0.25">
      <c r="A12620" t="str">
        <f>"1190004L00025    00"</f>
        <v>1190004L00025    00</v>
      </c>
      <c r="B12620" t="s">
        <v>27748</v>
      </c>
      <c r="C12620" t="s">
        <v>27752</v>
      </c>
      <c r="E12620" t="s">
        <v>39</v>
      </c>
      <c r="F12620">
        <v>0</v>
      </c>
      <c r="G12620">
        <v>0</v>
      </c>
      <c r="H12620">
        <v>2</v>
      </c>
      <c r="I12620" s="3">
        <v>1621.39</v>
      </c>
      <c r="J12620" s="3">
        <v>0.8</v>
      </c>
      <c r="K12620" t="s">
        <v>27750</v>
      </c>
      <c r="L12620">
        <v>7009</v>
      </c>
      <c r="M12620" t="s">
        <v>27751</v>
      </c>
      <c r="N12620" t="s">
        <v>546</v>
      </c>
      <c r="O12620" t="s">
        <v>31</v>
      </c>
      <c r="P12620" t="str">
        <f>"15044"</f>
        <v>15044</v>
      </c>
    </row>
    <row r="12621" spans="1:16" x14ac:dyDescent="0.25">
      <c r="A12621" t="str">
        <f>"1190004L00026    00"</f>
        <v>1190004L00026    00</v>
      </c>
      <c r="B12621" t="s">
        <v>27753</v>
      </c>
      <c r="C12621" t="s">
        <v>27754</v>
      </c>
      <c r="D12621" t="s">
        <v>20</v>
      </c>
      <c r="E12621" t="s">
        <v>39</v>
      </c>
      <c r="F12621">
        <v>0</v>
      </c>
      <c r="G12621">
        <v>0</v>
      </c>
      <c r="H12621">
        <v>2</v>
      </c>
      <c r="I12621" s="3">
        <v>2569.2800000000002</v>
      </c>
      <c r="J12621" s="3">
        <v>0</v>
      </c>
      <c r="K12621" t="s">
        <v>27755</v>
      </c>
      <c r="L12621">
        <v>84</v>
      </c>
      <c r="M12621" t="s">
        <v>27618</v>
      </c>
      <c r="N12621" t="s">
        <v>30</v>
      </c>
      <c r="O12621" t="s">
        <v>31</v>
      </c>
      <c r="P12621" t="str">
        <f>"15211"</f>
        <v>15211</v>
      </c>
    </row>
    <row r="12622" spans="1:16" x14ac:dyDescent="0.25">
      <c r="A12622" t="str">
        <f>"1190004L00036    00"</f>
        <v>1190004L00036    00</v>
      </c>
      <c r="B12622" t="s">
        <v>27756</v>
      </c>
      <c r="C12622" t="s">
        <v>27757</v>
      </c>
      <c r="E12622" t="s">
        <v>39</v>
      </c>
      <c r="F12622">
        <v>0</v>
      </c>
      <c r="G12622">
        <v>0</v>
      </c>
      <c r="H12622">
        <v>2</v>
      </c>
      <c r="I12622" s="3">
        <v>7909.92</v>
      </c>
      <c r="J12622" s="3">
        <v>98.87</v>
      </c>
      <c r="L12622">
        <v>96</v>
      </c>
      <c r="M12622" t="s">
        <v>27618</v>
      </c>
      <c r="N12622" t="s">
        <v>30</v>
      </c>
      <c r="O12622" t="s">
        <v>31</v>
      </c>
      <c r="P12622" t="str">
        <f>"15211"</f>
        <v>15211</v>
      </c>
    </row>
    <row r="12623" spans="1:16" x14ac:dyDescent="0.25">
      <c r="A12623" t="str">
        <f>"1190004L00046    00"</f>
        <v>1190004L00046    00</v>
      </c>
      <c r="B12623" t="s">
        <v>27748</v>
      </c>
      <c r="C12623" t="s">
        <v>27617</v>
      </c>
      <c r="E12623" t="s">
        <v>39</v>
      </c>
      <c r="F12623">
        <v>0</v>
      </c>
      <c r="G12623">
        <v>0</v>
      </c>
      <c r="H12623">
        <v>2</v>
      </c>
      <c r="I12623" s="3">
        <v>820.41</v>
      </c>
      <c r="J12623" s="3">
        <v>0.41</v>
      </c>
      <c r="K12623" t="s">
        <v>27750</v>
      </c>
      <c r="L12623">
        <v>7009</v>
      </c>
      <c r="M12623" t="s">
        <v>27751</v>
      </c>
      <c r="N12623" t="s">
        <v>546</v>
      </c>
      <c r="O12623" t="s">
        <v>31</v>
      </c>
      <c r="P12623" t="str">
        <f>"15044"</f>
        <v>15044</v>
      </c>
    </row>
    <row r="12624" spans="1:16" x14ac:dyDescent="0.25">
      <c r="A12624" t="str">
        <f>"1190004L00060    00"</f>
        <v>1190004L00060    00</v>
      </c>
      <c r="B12624" t="s">
        <v>27758</v>
      </c>
      <c r="C12624" t="s">
        <v>27759</v>
      </c>
      <c r="D12624" t="s">
        <v>20</v>
      </c>
      <c r="E12624" t="s">
        <v>39</v>
      </c>
      <c r="F12624">
        <v>0</v>
      </c>
      <c r="G12624">
        <v>0</v>
      </c>
      <c r="H12624">
        <v>2</v>
      </c>
      <c r="I12624" s="3">
        <v>1420.1</v>
      </c>
      <c r="J12624" s="3">
        <v>150.88</v>
      </c>
      <c r="L12624">
        <v>128</v>
      </c>
      <c r="M12624" t="s">
        <v>23497</v>
      </c>
      <c r="N12624" t="s">
        <v>30</v>
      </c>
      <c r="O12624" t="s">
        <v>31</v>
      </c>
      <c r="P12624" t="str">
        <f>"15211"</f>
        <v>15211</v>
      </c>
    </row>
    <row r="12625" spans="1:16" x14ac:dyDescent="0.25">
      <c r="A12625" t="str">
        <f>"1190004L00169030000"</f>
        <v>1190004L00169030000</v>
      </c>
      <c r="B12625" t="s">
        <v>27760</v>
      </c>
      <c r="C12625" t="s">
        <v>27761</v>
      </c>
      <c r="D12625" t="s">
        <v>57</v>
      </c>
      <c r="E12625" t="s">
        <v>39</v>
      </c>
      <c r="F12625">
        <v>0</v>
      </c>
      <c r="G12625">
        <v>0</v>
      </c>
      <c r="H12625">
        <v>2</v>
      </c>
      <c r="I12625" s="3">
        <v>4124.58</v>
      </c>
      <c r="J12625" s="3">
        <v>34.36</v>
      </c>
      <c r="K12625" t="s">
        <v>27762</v>
      </c>
      <c r="M12625" t="s">
        <v>27763</v>
      </c>
      <c r="N12625" t="s">
        <v>571</v>
      </c>
      <c r="O12625" t="s">
        <v>423</v>
      </c>
      <c r="P12625" t="str">
        <f>"07184"</f>
        <v>07184</v>
      </c>
    </row>
    <row r="12626" spans="1:16" x14ac:dyDescent="0.25">
      <c r="A12626" t="str">
        <f>"1190004L00189    00"</f>
        <v>1190004L00189    00</v>
      </c>
      <c r="B12626" t="s">
        <v>27764</v>
      </c>
      <c r="C12626" t="s">
        <v>27765</v>
      </c>
      <c r="E12626" t="s">
        <v>39</v>
      </c>
      <c r="F12626">
        <v>0</v>
      </c>
      <c r="G12626">
        <v>0</v>
      </c>
      <c r="H12626">
        <v>1</v>
      </c>
      <c r="I12626" s="3">
        <v>3568.29</v>
      </c>
      <c r="J12626" s="3">
        <v>1754.34</v>
      </c>
      <c r="L12626">
        <v>1080</v>
      </c>
      <c r="M12626" t="s">
        <v>24940</v>
      </c>
      <c r="N12626" t="s">
        <v>30</v>
      </c>
      <c r="O12626" t="s">
        <v>31</v>
      </c>
      <c r="P12626" t="str">
        <f>"15220"</f>
        <v>15220</v>
      </c>
    </row>
    <row r="12627" spans="1:16" x14ac:dyDescent="0.25">
      <c r="A12627" t="str">
        <f>"1190004L00191    00"</f>
        <v>1190004L00191    00</v>
      </c>
      <c r="B12627" t="s">
        <v>24384</v>
      </c>
      <c r="C12627" t="s">
        <v>24987</v>
      </c>
      <c r="D12627" t="s">
        <v>20</v>
      </c>
      <c r="E12627" t="s">
        <v>39</v>
      </c>
      <c r="F12627">
        <v>0</v>
      </c>
      <c r="G12627">
        <v>0</v>
      </c>
      <c r="H12627">
        <v>1</v>
      </c>
      <c r="I12627" s="3">
        <v>1029.24</v>
      </c>
      <c r="J12627" s="3">
        <v>0</v>
      </c>
      <c r="L12627">
        <v>20</v>
      </c>
      <c r="M12627" t="s">
        <v>24440</v>
      </c>
      <c r="N12627" t="s">
        <v>30</v>
      </c>
      <c r="O12627" t="s">
        <v>31</v>
      </c>
      <c r="P12627" t="str">
        <f>"15203"</f>
        <v>15203</v>
      </c>
    </row>
    <row r="12628" spans="1:16" x14ac:dyDescent="0.25">
      <c r="A12628" t="str">
        <f>"1190004L00192    00"</f>
        <v>1190004L00192    00</v>
      </c>
      <c r="B12628" t="s">
        <v>24384</v>
      </c>
      <c r="C12628" t="s">
        <v>27766</v>
      </c>
      <c r="D12628" t="s">
        <v>20</v>
      </c>
      <c r="E12628" t="s">
        <v>39</v>
      </c>
      <c r="F12628">
        <v>0</v>
      </c>
      <c r="G12628">
        <v>0</v>
      </c>
      <c r="H12628">
        <v>1</v>
      </c>
      <c r="I12628" s="3">
        <v>686.16</v>
      </c>
      <c r="J12628" s="3">
        <v>0</v>
      </c>
      <c r="L12628">
        <v>20</v>
      </c>
      <c r="M12628" t="s">
        <v>24440</v>
      </c>
      <c r="N12628" t="s">
        <v>30</v>
      </c>
      <c r="O12628" t="s">
        <v>31</v>
      </c>
      <c r="P12628" t="str">
        <f>"15203"</f>
        <v>15203</v>
      </c>
    </row>
    <row r="12629" spans="1:16" x14ac:dyDescent="0.25">
      <c r="A12629" t="str">
        <f>"1190004L00202    00"</f>
        <v>1190004L00202    00</v>
      </c>
      <c r="B12629" t="s">
        <v>20634</v>
      </c>
      <c r="C12629" t="s">
        <v>27767</v>
      </c>
      <c r="D12629" t="s">
        <v>20</v>
      </c>
      <c r="E12629" t="s">
        <v>39</v>
      </c>
      <c r="F12629">
        <v>0</v>
      </c>
      <c r="G12629">
        <v>0</v>
      </c>
      <c r="H12629">
        <v>1</v>
      </c>
      <c r="I12629" s="3">
        <v>3568.03</v>
      </c>
      <c r="J12629" s="3">
        <v>0</v>
      </c>
      <c r="L12629">
        <v>245</v>
      </c>
      <c r="M12629" t="s">
        <v>20636</v>
      </c>
      <c r="N12629" t="s">
        <v>30</v>
      </c>
      <c r="O12629" t="s">
        <v>31</v>
      </c>
      <c r="P12629" t="str">
        <f>"15228"</f>
        <v>15228</v>
      </c>
    </row>
    <row r="12630" spans="1:16" x14ac:dyDescent="0.25">
      <c r="A12630" t="str">
        <f>"1190004L00324    00"</f>
        <v>1190004L00324    00</v>
      </c>
      <c r="B12630" t="s">
        <v>27768</v>
      </c>
      <c r="C12630" t="s">
        <v>27769</v>
      </c>
      <c r="E12630" t="s">
        <v>39</v>
      </c>
      <c r="F12630">
        <v>0</v>
      </c>
      <c r="G12630">
        <v>0</v>
      </c>
      <c r="H12630">
        <v>1</v>
      </c>
      <c r="I12630" s="3">
        <v>815.81</v>
      </c>
      <c r="J12630" s="3">
        <v>0</v>
      </c>
      <c r="L12630">
        <v>60</v>
      </c>
      <c r="M12630" t="s">
        <v>27770</v>
      </c>
      <c r="N12630" t="s">
        <v>1210</v>
      </c>
      <c r="O12630" t="s">
        <v>495</v>
      </c>
      <c r="P12630" t="str">
        <f>"94114"</f>
        <v>94114</v>
      </c>
    </row>
    <row r="12631" spans="1:16" x14ac:dyDescent="0.25">
      <c r="A12631" t="str">
        <f>"1190004L00326    00"</f>
        <v>1190004L00326    00</v>
      </c>
      <c r="B12631" t="s">
        <v>27771</v>
      </c>
      <c r="C12631" t="s">
        <v>27772</v>
      </c>
      <c r="E12631" t="s">
        <v>39</v>
      </c>
      <c r="F12631">
        <v>0</v>
      </c>
      <c r="G12631">
        <v>0</v>
      </c>
      <c r="H12631">
        <v>1</v>
      </c>
      <c r="I12631" s="3">
        <v>1764.96</v>
      </c>
      <c r="J12631" s="3">
        <v>0</v>
      </c>
      <c r="K12631" t="s">
        <v>8530</v>
      </c>
      <c r="L12631">
        <v>6100</v>
      </c>
      <c r="M12631" t="s">
        <v>9949</v>
      </c>
      <c r="N12631" t="s">
        <v>8009</v>
      </c>
      <c r="O12631" t="s">
        <v>2097</v>
      </c>
      <c r="P12631" t="str">
        <f>"37067"</f>
        <v>37067</v>
      </c>
    </row>
    <row r="12632" spans="1:16" x14ac:dyDescent="0.25">
      <c r="A12632" t="str">
        <f>"1190004L00328    00"</f>
        <v>1190004L00328    00</v>
      </c>
      <c r="B12632" t="s">
        <v>27773</v>
      </c>
      <c r="C12632" t="s">
        <v>27774</v>
      </c>
      <c r="D12632" t="s">
        <v>20</v>
      </c>
      <c r="E12632" t="s">
        <v>39</v>
      </c>
      <c r="F12632">
        <v>0</v>
      </c>
      <c r="G12632">
        <v>0</v>
      </c>
      <c r="H12632">
        <v>3</v>
      </c>
      <c r="I12632" s="3">
        <v>5294.88</v>
      </c>
      <c r="J12632" s="3">
        <v>352.98</v>
      </c>
      <c r="K12632" t="s">
        <v>8530</v>
      </c>
      <c r="L12632">
        <v>6100</v>
      </c>
      <c r="M12632" t="s">
        <v>9949</v>
      </c>
      <c r="N12632" t="s">
        <v>8009</v>
      </c>
      <c r="O12632" t="s">
        <v>2097</v>
      </c>
      <c r="P12632" t="str">
        <f>"37067"</f>
        <v>37067</v>
      </c>
    </row>
    <row r="12633" spans="1:16" x14ac:dyDescent="0.25">
      <c r="A12633" t="str">
        <f>"1190004N00001    00"</f>
        <v>1190004N00001    00</v>
      </c>
      <c r="B12633" t="s">
        <v>27775</v>
      </c>
      <c r="C12633" t="s">
        <v>27776</v>
      </c>
      <c r="D12633" t="s">
        <v>20</v>
      </c>
      <c r="E12633" t="s">
        <v>39</v>
      </c>
      <c r="F12633">
        <v>0</v>
      </c>
      <c r="G12633">
        <v>0</v>
      </c>
      <c r="H12633">
        <v>9</v>
      </c>
      <c r="I12633" s="3">
        <v>1468.58</v>
      </c>
      <c r="J12633" s="3">
        <v>507.19</v>
      </c>
      <c r="L12633">
        <v>231</v>
      </c>
      <c r="M12633" t="s">
        <v>27710</v>
      </c>
      <c r="N12633" t="s">
        <v>30</v>
      </c>
      <c r="O12633" t="s">
        <v>31</v>
      </c>
      <c r="P12633" t="str">
        <f>"15211"</f>
        <v>15211</v>
      </c>
    </row>
    <row r="12634" spans="1:16" x14ac:dyDescent="0.25">
      <c r="A12634" t="str">
        <f>"1190004N00004    00"</f>
        <v>1190004N00004    00</v>
      </c>
      <c r="B12634" t="s">
        <v>27777</v>
      </c>
      <c r="C12634" t="s">
        <v>27778</v>
      </c>
      <c r="E12634" t="s">
        <v>39</v>
      </c>
      <c r="F12634">
        <v>0</v>
      </c>
      <c r="G12634">
        <v>0</v>
      </c>
      <c r="H12634">
        <v>2</v>
      </c>
      <c r="I12634" s="3">
        <v>867.11</v>
      </c>
      <c r="J12634" s="3">
        <v>652.23</v>
      </c>
      <c r="L12634">
        <v>219</v>
      </c>
      <c r="M12634" t="s">
        <v>25474</v>
      </c>
      <c r="N12634" t="s">
        <v>30</v>
      </c>
      <c r="O12634" t="s">
        <v>31</v>
      </c>
      <c r="P12634" t="str">
        <f>"15211"</f>
        <v>15211</v>
      </c>
    </row>
    <row r="12635" spans="1:16" x14ac:dyDescent="0.25">
      <c r="A12635" t="str">
        <f>"1190004N00024    00"</f>
        <v>1190004N00024    00</v>
      </c>
      <c r="B12635" t="s">
        <v>27779</v>
      </c>
      <c r="C12635" t="s">
        <v>27780</v>
      </c>
      <c r="D12635" t="s">
        <v>20</v>
      </c>
      <c r="E12635" t="s">
        <v>39</v>
      </c>
      <c r="F12635">
        <v>0</v>
      </c>
      <c r="G12635">
        <v>0</v>
      </c>
      <c r="H12635">
        <v>14</v>
      </c>
      <c r="I12635" s="3">
        <v>7525.77</v>
      </c>
      <c r="J12635" s="3">
        <v>6979.06</v>
      </c>
      <c r="L12635">
        <v>114</v>
      </c>
      <c r="M12635" t="s">
        <v>27710</v>
      </c>
      <c r="N12635" t="s">
        <v>30</v>
      </c>
      <c r="O12635" t="s">
        <v>31</v>
      </c>
      <c r="P12635" t="str">
        <f>"15211"</f>
        <v>15211</v>
      </c>
    </row>
    <row r="12636" spans="1:16" x14ac:dyDescent="0.25">
      <c r="A12636" t="str">
        <f>"1190004N00025    00"</f>
        <v>1190004N00025    00</v>
      </c>
      <c r="B12636" t="s">
        <v>27781</v>
      </c>
      <c r="C12636" t="s">
        <v>27782</v>
      </c>
      <c r="E12636" t="s">
        <v>39</v>
      </c>
      <c r="F12636">
        <v>0</v>
      </c>
      <c r="G12636">
        <v>0</v>
      </c>
      <c r="H12636">
        <v>1</v>
      </c>
      <c r="I12636" s="3">
        <v>72.8</v>
      </c>
      <c r="J12636" s="3">
        <v>29.12</v>
      </c>
      <c r="L12636">
        <v>116</v>
      </c>
      <c r="M12636" t="s">
        <v>27710</v>
      </c>
      <c r="N12636" t="s">
        <v>30</v>
      </c>
      <c r="O12636" t="s">
        <v>31</v>
      </c>
      <c r="P12636" t="str">
        <f>"15211"</f>
        <v>15211</v>
      </c>
    </row>
    <row r="12637" spans="1:16" x14ac:dyDescent="0.25">
      <c r="A12637" t="str">
        <f>"1190004N00030    00"</f>
        <v>1190004N00030    00</v>
      </c>
      <c r="B12637" t="s">
        <v>27783</v>
      </c>
      <c r="C12637" t="s">
        <v>27784</v>
      </c>
      <c r="D12637" t="s">
        <v>20</v>
      </c>
      <c r="E12637" t="s">
        <v>39</v>
      </c>
      <c r="F12637">
        <v>0</v>
      </c>
      <c r="G12637">
        <v>0</v>
      </c>
      <c r="H12637">
        <v>3</v>
      </c>
      <c r="I12637" s="3">
        <v>152.81</v>
      </c>
      <c r="J12637" s="3">
        <v>8.2200000000000006</v>
      </c>
      <c r="K12637" t="s">
        <v>4424</v>
      </c>
      <c r="L12637">
        <v>3001</v>
      </c>
      <c r="M12637" t="s">
        <v>330</v>
      </c>
      <c r="N12637" t="s">
        <v>331</v>
      </c>
      <c r="O12637" t="s">
        <v>108</v>
      </c>
      <c r="P12637" t="str">
        <f>"75063"</f>
        <v>75063</v>
      </c>
    </row>
    <row r="12638" spans="1:16" x14ac:dyDescent="0.25">
      <c r="A12638" t="str">
        <f>"1190004N00031    00"</f>
        <v>1190004N00031    00</v>
      </c>
      <c r="B12638" t="s">
        <v>27783</v>
      </c>
      <c r="C12638" t="s">
        <v>27785</v>
      </c>
      <c r="E12638" t="s">
        <v>39</v>
      </c>
      <c r="F12638">
        <v>0</v>
      </c>
      <c r="G12638">
        <v>0</v>
      </c>
      <c r="H12638">
        <v>1</v>
      </c>
      <c r="I12638" s="3">
        <v>384.08</v>
      </c>
      <c r="J12638" s="3">
        <v>115.22</v>
      </c>
      <c r="K12638" t="s">
        <v>4424</v>
      </c>
      <c r="L12638">
        <v>3001</v>
      </c>
      <c r="M12638" t="s">
        <v>330</v>
      </c>
      <c r="N12638" t="s">
        <v>331</v>
      </c>
      <c r="O12638" t="s">
        <v>108</v>
      </c>
      <c r="P12638" t="str">
        <f>"75063"</f>
        <v>75063</v>
      </c>
    </row>
    <row r="12639" spans="1:16" x14ac:dyDescent="0.25">
      <c r="A12639" t="str">
        <f>"1190004N00055    00"</f>
        <v>1190004N00055    00</v>
      </c>
      <c r="B12639" t="s">
        <v>27786</v>
      </c>
      <c r="C12639" t="s">
        <v>27787</v>
      </c>
      <c r="E12639" t="s">
        <v>39</v>
      </c>
      <c r="F12639">
        <v>0</v>
      </c>
      <c r="G12639">
        <v>0</v>
      </c>
      <c r="H12639">
        <v>1</v>
      </c>
      <c r="I12639" s="3">
        <v>201.93</v>
      </c>
      <c r="J12639" s="3">
        <v>0</v>
      </c>
      <c r="K12639" t="s">
        <v>484</v>
      </c>
      <c r="L12639">
        <v>3001</v>
      </c>
      <c r="M12639" t="s">
        <v>330</v>
      </c>
      <c r="N12639" t="s">
        <v>331</v>
      </c>
      <c r="O12639" t="s">
        <v>108</v>
      </c>
      <c r="P12639" t="str">
        <f>"75063"</f>
        <v>75063</v>
      </c>
    </row>
    <row r="12640" spans="1:16" x14ac:dyDescent="0.25">
      <c r="A12640" t="str">
        <f>"1190004N00061    00"</f>
        <v>1190004N00061    00</v>
      </c>
      <c r="B12640" t="s">
        <v>27788</v>
      </c>
      <c r="C12640" t="s">
        <v>27789</v>
      </c>
      <c r="D12640" t="s">
        <v>20</v>
      </c>
      <c r="E12640" t="s">
        <v>39</v>
      </c>
      <c r="F12640">
        <v>0</v>
      </c>
      <c r="G12640">
        <v>0</v>
      </c>
      <c r="H12640">
        <v>1</v>
      </c>
      <c r="I12640" s="3">
        <v>1896.48</v>
      </c>
      <c r="J12640" s="3">
        <v>0</v>
      </c>
      <c r="K12640" t="s">
        <v>400</v>
      </c>
      <c r="L12640">
        <v>3001</v>
      </c>
      <c r="M12640" t="s">
        <v>330</v>
      </c>
      <c r="N12640" t="s">
        <v>331</v>
      </c>
      <c r="O12640" t="s">
        <v>108</v>
      </c>
      <c r="P12640" t="str">
        <f>"75063"</f>
        <v>75063</v>
      </c>
    </row>
    <row r="12641" spans="1:16" x14ac:dyDescent="0.25">
      <c r="A12641" t="str">
        <f>"1190004N00094    00"</f>
        <v>1190004N00094    00</v>
      </c>
      <c r="B12641" t="s">
        <v>944</v>
      </c>
      <c r="C12641" t="s">
        <v>27790</v>
      </c>
      <c r="E12641" t="s">
        <v>39</v>
      </c>
      <c r="F12641">
        <v>0</v>
      </c>
      <c r="G12641">
        <v>0</v>
      </c>
      <c r="H12641">
        <v>2</v>
      </c>
      <c r="I12641" s="3">
        <v>1900.22</v>
      </c>
      <c r="J12641" s="3">
        <v>2436.4499999999998</v>
      </c>
      <c r="L12641">
        <v>200</v>
      </c>
      <c r="M12641" t="s">
        <v>946</v>
      </c>
      <c r="N12641" t="s">
        <v>30</v>
      </c>
      <c r="O12641" t="s">
        <v>31</v>
      </c>
      <c r="P12641" t="str">
        <f>"15219"</f>
        <v>15219</v>
      </c>
    </row>
    <row r="12642" spans="1:16" x14ac:dyDescent="0.25">
      <c r="A12642" t="str">
        <f>"1190004N00095    00"</f>
        <v>1190004N00095    00</v>
      </c>
      <c r="B12642" t="s">
        <v>944</v>
      </c>
      <c r="C12642" t="s">
        <v>27791</v>
      </c>
      <c r="E12642" t="s">
        <v>39</v>
      </c>
      <c r="F12642">
        <v>0</v>
      </c>
      <c r="G12642">
        <v>0</v>
      </c>
      <c r="H12642">
        <v>2</v>
      </c>
      <c r="I12642" s="3">
        <v>1905.22</v>
      </c>
      <c r="J12642" s="3">
        <v>2442.87</v>
      </c>
      <c r="L12642">
        <v>200</v>
      </c>
      <c r="M12642" t="s">
        <v>946</v>
      </c>
      <c r="N12642" t="s">
        <v>30</v>
      </c>
      <c r="O12642" t="s">
        <v>31</v>
      </c>
      <c r="P12642" t="str">
        <f>"15219"</f>
        <v>15219</v>
      </c>
    </row>
    <row r="12643" spans="1:16" x14ac:dyDescent="0.25">
      <c r="A12643" t="str">
        <f>"1190004N00120    00"</f>
        <v>1190004N00120    00</v>
      </c>
      <c r="B12643" t="s">
        <v>27792</v>
      </c>
      <c r="C12643" t="s">
        <v>27793</v>
      </c>
      <c r="E12643" t="s">
        <v>39</v>
      </c>
      <c r="F12643">
        <v>0</v>
      </c>
      <c r="G12643">
        <v>0</v>
      </c>
      <c r="H12643">
        <v>1</v>
      </c>
      <c r="I12643" s="3">
        <v>797.2</v>
      </c>
      <c r="J12643" s="3">
        <v>318.87</v>
      </c>
      <c r="L12643">
        <v>113</v>
      </c>
      <c r="M12643" t="s">
        <v>27710</v>
      </c>
      <c r="N12643" t="s">
        <v>30</v>
      </c>
      <c r="O12643" t="s">
        <v>31</v>
      </c>
      <c r="P12643" t="str">
        <f>"15211"</f>
        <v>15211</v>
      </c>
    </row>
    <row r="12644" spans="1:16" x14ac:dyDescent="0.25">
      <c r="A12644" t="str">
        <f>"1190004N00133    00"</f>
        <v>1190004N00133    00</v>
      </c>
      <c r="B12644" t="s">
        <v>23499</v>
      </c>
      <c r="C12644" t="s">
        <v>27794</v>
      </c>
      <c r="E12644" t="s">
        <v>39</v>
      </c>
      <c r="F12644">
        <v>0</v>
      </c>
      <c r="G12644">
        <v>0</v>
      </c>
      <c r="H12644">
        <v>1</v>
      </c>
      <c r="I12644" s="3">
        <v>1604.13</v>
      </c>
      <c r="J12644" s="3">
        <v>0</v>
      </c>
      <c r="K12644" t="s">
        <v>23501</v>
      </c>
      <c r="L12644">
        <v>825</v>
      </c>
      <c r="M12644" t="s">
        <v>11611</v>
      </c>
      <c r="N12644" t="s">
        <v>30</v>
      </c>
      <c r="O12644" t="s">
        <v>31</v>
      </c>
      <c r="P12644" t="str">
        <f>"15211"</f>
        <v>15211</v>
      </c>
    </row>
    <row r="12645" spans="1:16" x14ac:dyDescent="0.25">
      <c r="A12645" t="str">
        <f>"1190004N00137    00"</f>
        <v>1190004N00137    00</v>
      </c>
      <c r="B12645" t="s">
        <v>3058</v>
      </c>
      <c r="C12645" t="s">
        <v>27795</v>
      </c>
      <c r="D12645" t="s">
        <v>20</v>
      </c>
      <c r="E12645" t="s">
        <v>39</v>
      </c>
      <c r="F12645">
        <v>0</v>
      </c>
      <c r="G12645">
        <v>0</v>
      </c>
      <c r="H12645">
        <v>19</v>
      </c>
      <c r="I12645" s="3">
        <v>4313.21</v>
      </c>
      <c r="J12645" s="3">
        <v>3816.54</v>
      </c>
      <c r="L12645">
        <v>5103</v>
      </c>
      <c r="M12645" t="s">
        <v>27796</v>
      </c>
      <c r="N12645" t="s">
        <v>23708</v>
      </c>
      <c r="O12645" t="s">
        <v>658</v>
      </c>
      <c r="P12645" t="str">
        <f>"74145"</f>
        <v>74145</v>
      </c>
    </row>
    <row r="12646" spans="1:16" x14ac:dyDescent="0.25">
      <c r="A12646" t="str">
        <f>"1190004N00140    00"</f>
        <v>1190004N00140    00</v>
      </c>
      <c r="B12646" t="s">
        <v>27797</v>
      </c>
      <c r="C12646" t="s">
        <v>27798</v>
      </c>
      <c r="D12646" t="s">
        <v>20</v>
      </c>
      <c r="E12646" t="s">
        <v>39</v>
      </c>
      <c r="F12646">
        <v>0</v>
      </c>
      <c r="G12646">
        <v>0</v>
      </c>
      <c r="H12646">
        <v>5</v>
      </c>
      <c r="I12646" s="3">
        <v>3655.19</v>
      </c>
      <c r="J12646" s="3">
        <v>568.84</v>
      </c>
      <c r="K12646" t="s">
        <v>27799</v>
      </c>
      <c r="L12646">
        <v>512</v>
      </c>
      <c r="M12646" t="s">
        <v>3126</v>
      </c>
      <c r="N12646" t="s">
        <v>30</v>
      </c>
      <c r="O12646" t="s">
        <v>31</v>
      </c>
      <c r="P12646" t="str">
        <f>"15219"</f>
        <v>15219</v>
      </c>
    </row>
    <row r="12647" spans="1:16" x14ac:dyDescent="0.25">
      <c r="A12647" t="str">
        <f>"1190004N00144    00"</f>
        <v>1190004N00144    00</v>
      </c>
      <c r="B12647" t="s">
        <v>27800</v>
      </c>
      <c r="C12647" t="s">
        <v>27795</v>
      </c>
      <c r="D12647" t="s">
        <v>20</v>
      </c>
      <c r="E12647" t="s">
        <v>39</v>
      </c>
      <c r="F12647">
        <v>0</v>
      </c>
      <c r="G12647">
        <v>0</v>
      </c>
      <c r="H12647">
        <v>2</v>
      </c>
      <c r="I12647" s="3">
        <v>171.56</v>
      </c>
      <c r="J12647" s="3">
        <v>0</v>
      </c>
      <c r="L12647">
        <v>444</v>
      </c>
      <c r="M12647" t="s">
        <v>27801</v>
      </c>
      <c r="N12647" t="s">
        <v>30</v>
      </c>
      <c r="O12647" t="s">
        <v>31</v>
      </c>
      <c r="P12647" t="str">
        <f>"15212"</f>
        <v>15212</v>
      </c>
    </row>
    <row r="12648" spans="1:16" x14ac:dyDescent="0.25">
      <c r="A12648" t="str">
        <f>"1190004N00145    00"</f>
        <v>1190004N00145    00</v>
      </c>
      <c r="B12648" t="s">
        <v>27800</v>
      </c>
      <c r="C12648" t="s">
        <v>27802</v>
      </c>
      <c r="D12648" t="s">
        <v>20</v>
      </c>
      <c r="E12648" t="s">
        <v>39</v>
      </c>
      <c r="F12648">
        <v>0</v>
      </c>
      <c r="G12648">
        <v>0</v>
      </c>
      <c r="H12648">
        <v>2</v>
      </c>
      <c r="I12648" s="3">
        <v>2256.7399999999998</v>
      </c>
      <c r="J12648" s="3">
        <v>0</v>
      </c>
      <c r="L12648">
        <v>444</v>
      </c>
      <c r="M12648" t="s">
        <v>27801</v>
      </c>
      <c r="N12648" t="s">
        <v>30</v>
      </c>
      <c r="O12648" t="s">
        <v>31</v>
      </c>
      <c r="P12648" t="str">
        <f>"15212"</f>
        <v>15212</v>
      </c>
    </row>
    <row r="12649" spans="1:16" x14ac:dyDescent="0.25">
      <c r="A12649" t="str">
        <f>"1190004N00170    00"</f>
        <v>1190004N00170    00</v>
      </c>
      <c r="B12649" t="s">
        <v>27803</v>
      </c>
      <c r="C12649" t="s">
        <v>27804</v>
      </c>
      <c r="D12649" t="s">
        <v>20</v>
      </c>
      <c r="E12649" t="s">
        <v>39</v>
      </c>
      <c r="F12649">
        <v>0</v>
      </c>
      <c r="G12649">
        <v>0</v>
      </c>
      <c r="H12649">
        <v>1</v>
      </c>
      <c r="I12649" s="3">
        <v>104.84</v>
      </c>
      <c r="J12649" s="3">
        <v>0</v>
      </c>
      <c r="L12649">
        <v>3266</v>
      </c>
      <c r="M12649" t="s">
        <v>1905</v>
      </c>
      <c r="N12649" t="s">
        <v>30</v>
      </c>
      <c r="O12649" t="s">
        <v>31</v>
      </c>
      <c r="P12649" t="str">
        <f>"15213"</f>
        <v>15213</v>
      </c>
    </row>
    <row r="12650" spans="1:16" x14ac:dyDescent="0.25">
      <c r="A12650" t="str">
        <f>"1190004N00171    00"</f>
        <v>1190004N00171    00</v>
      </c>
      <c r="B12650" t="s">
        <v>27805</v>
      </c>
      <c r="C12650" t="s">
        <v>27806</v>
      </c>
      <c r="E12650" t="s">
        <v>39</v>
      </c>
      <c r="F12650">
        <v>0</v>
      </c>
      <c r="G12650">
        <v>0</v>
      </c>
      <c r="H12650">
        <v>1</v>
      </c>
      <c r="I12650" s="3">
        <v>343.08</v>
      </c>
      <c r="J12650" s="3">
        <v>0</v>
      </c>
      <c r="K12650" t="s">
        <v>484</v>
      </c>
      <c r="L12650">
        <v>3001</v>
      </c>
      <c r="M12650" t="s">
        <v>330</v>
      </c>
      <c r="N12650" t="s">
        <v>331</v>
      </c>
      <c r="O12650" t="s">
        <v>108</v>
      </c>
      <c r="P12650" t="str">
        <f>"75063"</f>
        <v>75063</v>
      </c>
    </row>
    <row r="12651" spans="1:16" x14ac:dyDescent="0.25">
      <c r="A12651" t="str">
        <f>"1190004N00172    00"</f>
        <v>1190004N00172    00</v>
      </c>
      <c r="B12651" t="s">
        <v>27807</v>
      </c>
      <c r="C12651" t="s">
        <v>27808</v>
      </c>
      <c r="D12651" t="s">
        <v>20</v>
      </c>
      <c r="E12651" t="s">
        <v>39</v>
      </c>
      <c r="F12651">
        <v>0</v>
      </c>
      <c r="G12651">
        <v>0</v>
      </c>
      <c r="H12651">
        <v>4</v>
      </c>
      <c r="I12651" s="3">
        <v>1118.69</v>
      </c>
      <c r="J12651" s="3">
        <v>122.98</v>
      </c>
      <c r="L12651">
        <v>640</v>
      </c>
      <c r="M12651" t="s">
        <v>11047</v>
      </c>
      <c r="N12651" t="s">
        <v>30</v>
      </c>
      <c r="O12651" t="s">
        <v>31</v>
      </c>
      <c r="P12651" t="str">
        <f>"15211"</f>
        <v>15211</v>
      </c>
    </row>
    <row r="12652" spans="1:16" x14ac:dyDescent="0.25">
      <c r="A12652" t="str">
        <f>"1190004N00173    01"</f>
        <v>1190004N00173    01</v>
      </c>
      <c r="B12652" t="s">
        <v>27809</v>
      </c>
      <c r="C12652" t="s">
        <v>27810</v>
      </c>
      <c r="D12652" t="s">
        <v>20</v>
      </c>
      <c r="E12652" t="s">
        <v>39</v>
      </c>
      <c r="F12652">
        <v>0</v>
      </c>
      <c r="G12652">
        <v>0</v>
      </c>
      <c r="H12652">
        <v>8</v>
      </c>
      <c r="I12652" s="3">
        <v>5544.72</v>
      </c>
      <c r="J12652" s="3">
        <v>1814.32</v>
      </c>
      <c r="L12652">
        <v>22</v>
      </c>
      <c r="M12652" t="s">
        <v>27811</v>
      </c>
      <c r="N12652" t="s">
        <v>30</v>
      </c>
      <c r="O12652" t="s">
        <v>31</v>
      </c>
      <c r="P12652" t="str">
        <f>"15211"</f>
        <v>15211</v>
      </c>
    </row>
    <row r="12653" spans="1:16" x14ac:dyDescent="0.25">
      <c r="A12653" t="str">
        <f>"1190004N00175    00"</f>
        <v>1190004N00175    00</v>
      </c>
      <c r="B12653" t="s">
        <v>27812</v>
      </c>
      <c r="C12653" t="s">
        <v>27813</v>
      </c>
      <c r="D12653" t="s">
        <v>20</v>
      </c>
      <c r="E12653" t="s">
        <v>39</v>
      </c>
      <c r="F12653">
        <v>0</v>
      </c>
      <c r="G12653">
        <v>0</v>
      </c>
      <c r="H12653">
        <v>3</v>
      </c>
      <c r="I12653" s="3">
        <v>236.86</v>
      </c>
      <c r="J12653" s="3">
        <v>24.11</v>
      </c>
      <c r="L12653">
        <v>8</v>
      </c>
      <c r="M12653" t="s">
        <v>27811</v>
      </c>
      <c r="N12653" t="s">
        <v>30</v>
      </c>
      <c r="O12653" t="s">
        <v>31</v>
      </c>
      <c r="P12653" t="str">
        <f>"15211"</f>
        <v>15211</v>
      </c>
    </row>
    <row r="12654" spans="1:16" x14ac:dyDescent="0.25">
      <c r="A12654" t="str">
        <f>"1190004P00015    00"</f>
        <v>1190004P00015    00</v>
      </c>
      <c r="B12654" t="s">
        <v>27814</v>
      </c>
      <c r="C12654" t="s">
        <v>27815</v>
      </c>
      <c r="D12654" t="s">
        <v>20</v>
      </c>
      <c r="E12654" t="s">
        <v>39</v>
      </c>
      <c r="F12654">
        <v>0</v>
      </c>
      <c r="G12654">
        <v>0</v>
      </c>
      <c r="H12654">
        <v>1</v>
      </c>
      <c r="I12654" s="3">
        <v>537.51</v>
      </c>
      <c r="J12654" s="3">
        <v>0</v>
      </c>
      <c r="L12654">
        <v>407</v>
      </c>
      <c r="M12654" t="s">
        <v>27816</v>
      </c>
      <c r="N12654" t="s">
        <v>30</v>
      </c>
      <c r="O12654" t="s">
        <v>31</v>
      </c>
      <c r="P12654" t="str">
        <f>"15210"</f>
        <v>15210</v>
      </c>
    </row>
    <row r="12655" spans="1:16" x14ac:dyDescent="0.25">
      <c r="A12655" t="str">
        <f>"1190004P00029    00"</f>
        <v>1190004P00029    00</v>
      </c>
      <c r="B12655" t="s">
        <v>27817</v>
      </c>
      <c r="C12655" t="s">
        <v>27784</v>
      </c>
      <c r="D12655" t="s">
        <v>20</v>
      </c>
      <c r="E12655" t="s">
        <v>39</v>
      </c>
      <c r="F12655">
        <v>0</v>
      </c>
      <c r="G12655">
        <v>0</v>
      </c>
      <c r="H12655">
        <v>19</v>
      </c>
      <c r="I12655" s="3">
        <v>545.54999999999995</v>
      </c>
      <c r="J12655" s="3">
        <v>625.73</v>
      </c>
      <c r="L12655">
        <v>600</v>
      </c>
      <c r="M12655" t="s">
        <v>6264</v>
      </c>
      <c r="N12655" t="s">
        <v>30</v>
      </c>
      <c r="O12655" t="s">
        <v>31</v>
      </c>
      <c r="P12655" t="str">
        <f>"15203"</f>
        <v>15203</v>
      </c>
    </row>
    <row r="12656" spans="1:16" x14ac:dyDescent="0.25">
      <c r="A12656" t="str">
        <f>"1190004P00034    00"</f>
        <v>1190004P00034    00</v>
      </c>
      <c r="B12656" t="s">
        <v>27818</v>
      </c>
      <c r="C12656" t="s">
        <v>27716</v>
      </c>
      <c r="D12656" t="s">
        <v>20</v>
      </c>
      <c r="E12656" t="s">
        <v>39</v>
      </c>
      <c r="F12656">
        <v>0</v>
      </c>
      <c r="G12656">
        <v>0</v>
      </c>
      <c r="H12656">
        <v>19</v>
      </c>
      <c r="I12656" s="3">
        <v>6981.62</v>
      </c>
      <c r="J12656" s="3">
        <v>7759.66</v>
      </c>
      <c r="L12656">
        <v>476</v>
      </c>
      <c r="M12656" t="s">
        <v>27719</v>
      </c>
      <c r="N12656" t="s">
        <v>30</v>
      </c>
      <c r="O12656" t="s">
        <v>31</v>
      </c>
      <c r="P12656" t="str">
        <f>"15211"</f>
        <v>15211</v>
      </c>
    </row>
    <row r="12657" spans="1:16" x14ac:dyDescent="0.25">
      <c r="A12657" t="str">
        <f>"1190004P00040    00"</f>
        <v>1190004P00040    00</v>
      </c>
      <c r="B12657" t="s">
        <v>27819</v>
      </c>
      <c r="C12657" t="s">
        <v>27716</v>
      </c>
      <c r="D12657" t="s">
        <v>20</v>
      </c>
      <c r="E12657" t="s">
        <v>39</v>
      </c>
      <c r="F12657">
        <v>0</v>
      </c>
      <c r="G12657">
        <v>0</v>
      </c>
      <c r="H12657">
        <v>17</v>
      </c>
      <c r="I12657" s="3">
        <v>412.25</v>
      </c>
      <c r="J12657" s="3">
        <v>511.9</v>
      </c>
      <c r="K12657" t="s">
        <v>1008</v>
      </c>
      <c r="P12657" t="str">
        <f>""</f>
        <v/>
      </c>
    </row>
    <row r="12658" spans="1:16" x14ac:dyDescent="0.25">
      <c r="A12658" t="str">
        <f>"1190004P00048    00"</f>
        <v>1190004P00048    00</v>
      </c>
      <c r="B12658" t="s">
        <v>27820</v>
      </c>
      <c r="C12658" t="s">
        <v>27821</v>
      </c>
      <c r="D12658" t="s">
        <v>20</v>
      </c>
      <c r="E12658" t="s">
        <v>39</v>
      </c>
      <c r="F12658">
        <v>0</v>
      </c>
      <c r="G12658">
        <v>0</v>
      </c>
      <c r="H12658">
        <v>4</v>
      </c>
      <c r="I12658" s="3">
        <v>2646.9</v>
      </c>
      <c r="J12658" s="3">
        <v>220.71</v>
      </c>
      <c r="K12658" t="s">
        <v>27822</v>
      </c>
      <c r="L12658">
        <v>405</v>
      </c>
      <c r="M12658" t="s">
        <v>11007</v>
      </c>
      <c r="N12658" t="s">
        <v>11008</v>
      </c>
      <c r="O12658" t="s">
        <v>370</v>
      </c>
      <c r="P12658" t="str">
        <f>"32092"</f>
        <v>32092</v>
      </c>
    </row>
    <row r="12659" spans="1:16" x14ac:dyDescent="0.25">
      <c r="A12659" t="str">
        <f>"1190004P00049    00"</f>
        <v>1190004P00049    00</v>
      </c>
      <c r="B12659" t="s">
        <v>25202</v>
      </c>
      <c r="C12659" t="s">
        <v>27823</v>
      </c>
      <c r="D12659" t="s">
        <v>20</v>
      </c>
      <c r="E12659" t="s">
        <v>39</v>
      </c>
      <c r="F12659">
        <v>0</v>
      </c>
      <c r="G12659">
        <v>0</v>
      </c>
      <c r="H12659">
        <v>1</v>
      </c>
      <c r="I12659" s="3">
        <v>1273.23</v>
      </c>
      <c r="J12659" s="3">
        <v>0</v>
      </c>
      <c r="K12659" t="s">
        <v>25200</v>
      </c>
      <c r="M12659" t="s">
        <v>25201</v>
      </c>
      <c r="N12659" t="s">
        <v>30</v>
      </c>
      <c r="O12659" t="s">
        <v>31</v>
      </c>
      <c r="P12659" t="str">
        <f>"15211"</f>
        <v>15211</v>
      </c>
    </row>
    <row r="12660" spans="1:16" x14ac:dyDescent="0.25">
      <c r="A12660" t="str">
        <f>"1190004P00056    00"</f>
        <v>1190004P00056    00</v>
      </c>
      <c r="B12660" t="s">
        <v>27824</v>
      </c>
      <c r="C12660" t="s">
        <v>27825</v>
      </c>
      <c r="D12660" t="s">
        <v>20</v>
      </c>
      <c r="E12660" t="s">
        <v>39</v>
      </c>
      <c r="F12660">
        <v>0</v>
      </c>
      <c r="G12660">
        <v>0</v>
      </c>
      <c r="H12660">
        <v>7</v>
      </c>
      <c r="I12660" s="3">
        <v>3367.03</v>
      </c>
      <c r="J12660" s="3">
        <v>931.1</v>
      </c>
      <c r="L12660">
        <v>43</v>
      </c>
      <c r="M12660" t="s">
        <v>27719</v>
      </c>
      <c r="N12660" t="s">
        <v>30</v>
      </c>
      <c r="O12660" t="s">
        <v>31</v>
      </c>
      <c r="P12660" t="str">
        <f>"15211"</f>
        <v>15211</v>
      </c>
    </row>
    <row r="12661" spans="1:16" x14ac:dyDescent="0.25">
      <c r="A12661" t="str">
        <f>"1190004P00060    00"</f>
        <v>1190004P00060    00</v>
      </c>
      <c r="B12661" t="s">
        <v>27826</v>
      </c>
      <c r="C12661" t="s">
        <v>27827</v>
      </c>
      <c r="D12661" t="s">
        <v>20</v>
      </c>
      <c r="E12661" t="s">
        <v>39</v>
      </c>
      <c r="F12661">
        <v>0</v>
      </c>
      <c r="G12661">
        <v>0</v>
      </c>
      <c r="H12661">
        <v>5</v>
      </c>
      <c r="I12661" s="3">
        <v>2236.77</v>
      </c>
      <c r="J12661" s="3">
        <v>519.98</v>
      </c>
      <c r="L12661">
        <v>39</v>
      </c>
      <c r="M12661" t="s">
        <v>27719</v>
      </c>
      <c r="N12661" t="s">
        <v>30</v>
      </c>
      <c r="O12661" t="s">
        <v>31</v>
      </c>
      <c r="P12661" t="str">
        <f>"15211"</f>
        <v>15211</v>
      </c>
    </row>
    <row r="12662" spans="1:16" x14ac:dyDescent="0.25">
      <c r="A12662" t="str">
        <f>"1190004P00068    00"</f>
        <v>1190004P00068    00</v>
      </c>
      <c r="B12662" t="s">
        <v>22975</v>
      </c>
      <c r="C12662" t="s">
        <v>27828</v>
      </c>
      <c r="D12662" t="s">
        <v>20</v>
      </c>
      <c r="E12662" t="s">
        <v>39</v>
      </c>
      <c r="F12662">
        <v>0</v>
      </c>
      <c r="G12662">
        <v>0</v>
      </c>
      <c r="H12662">
        <v>4</v>
      </c>
      <c r="I12662" s="3">
        <v>2430.96</v>
      </c>
      <c r="J12662" s="3">
        <v>519.96</v>
      </c>
      <c r="K12662" t="s">
        <v>22977</v>
      </c>
      <c r="M12662" t="s">
        <v>23597</v>
      </c>
      <c r="N12662" t="s">
        <v>149</v>
      </c>
      <c r="O12662" t="s">
        <v>31</v>
      </c>
      <c r="P12662" t="str">
        <f>"15106"</f>
        <v>15106</v>
      </c>
    </row>
    <row r="12663" spans="1:16" x14ac:dyDescent="0.25">
      <c r="A12663" t="str">
        <f>"1190004P00073    00"</f>
        <v>1190004P00073    00</v>
      </c>
      <c r="B12663" t="s">
        <v>25218</v>
      </c>
      <c r="C12663" t="s">
        <v>27829</v>
      </c>
      <c r="D12663" t="s">
        <v>20</v>
      </c>
      <c r="E12663" t="s">
        <v>39</v>
      </c>
      <c r="F12663">
        <v>0</v>
      </c>
      <c r="G12663">
        <v>0</v>
      </c>
      <c r="H12663">
        <v>1</v>
      </c>
      <c r="I12663" s="3">
        <v>628.98</v>
      </c>
      <c r="J12663" s="3">
        <v>0</v>
      </c>
      <c r="K12663" t="s">
        <v>25220</v>
      </c>
      <c r="L12663">
        <v>18</v>
      </c>
      <c r="M12663" t="s">
        <v>7116</v>
      </c>
      <c r="N12663" t="s">
        <v>30</v>
      </c>
      <c r="O12663" t="s">
        <v>31</v>
      </c>
      <c r="P12663" t="str">
        <f>"15211"</f>
        <v>15211</v>
      </c>
    </row>
    <row r="12664" spans="1:16" x14ac:dyDescent="0.25">
      <c r="A12664" t="str">
        <f>"1190004P00093    00"</f>
        <v>1190004P00093    00</v>
      </c>
      <c r="B12664" t="s">
        <v>23499</v>
      </c>
      <c r="C12664" t="s">
        <v>27830</v>
      </c>
      <c r="D12664" t="s">
        <v>20</v>
      </c>
      <c r="E12664" t="s">
        <v>39</v>
      </c>
      <c r="F12664">
        <v>0</v>
      </c>
      <c r="G12664">
        <v>0</v>
      </c>
      <c r="H12664">
        <v>2</v>
      </c>
      <c r="I12664" s="3">
        <v>5725.66</v>
      </c>
      <c r="J12664" s="3">
        <v>0</v>
      </c>
      <c r="K12664" t="s">
        <v>23501</v>
      </c>
      <c r="L12664">
        <v>825</v>
      </c>
      <c r="M12664" t="s">
        <v>11611</v>
      </c>
      <c r="N12664" t="s">
        <v>30</v>
      </c>
      <c r="O12664" t="s">
        <v>31</v>
      </c>
      <c r="P12664" t="str">
        <f>"15211"</f>
        <v>15211</v>
      </c>
    </row>
    <row r="12665" spans="1:16" x14ac:dyDescent="0.25">
      <c r="A12665" t="str">
        <f>"1190004P00095    00"</f>
        <v>1190004P00095    00</v>
      </c>
      <c r="B12665" t="s">
        <v>27831</v>
      </c>
      <c r="C12665" t="s">
        <v>27832</v>
      </c>
      <c r="D12665" t="s">
        <v>20</v>
      </c>
      <c r="E12665" t="s">
        <v>39</v>
      </c>
      <c r="F12665">
        <v>0</v>
      </c>
      <c r="G12665">
        <v>0</v>
      </c>
      <c r="H12665">
        <v>3</v>
      </c>
      <c r="I12665" s="3">
        <v>125.45</v>
      </c>
      <c r="J12665" s="3">
        <v>8.41</v>
      </c>
      <c r="L12665">
        <v>483</v>
      </c>
      <c r="M12665" t="s">
        <v>27719</v>
      </c>
      <c r="N12665" t="s">
        <v>30</v>
      </c>
      <c r="O12665" t="s">
        <v>31</v>
      </c>
      <c r="P12665" t="str">
        <f>"15211"</f>
        <v>15211</v>
      </c>
    </row>
    <row r="12666" spans="1:16" x14ac:dyDescent="0.25">
      <c r="A12666" t="str">
        <f>"1190004P00104    00"</f>
        <v>1190004P00104    00</v>
      </c>
      <c r="B12666" t="s">
        <v>27833</v>
      </c>
      <c r="C12666" t="s">
        <v>27834</v>
      </c>
      <c r="D12666" t="s">
        <v>20</v>
      </c>
      <c r="E12666" t="s">
        <v>39</v>
      </c>
      <c r="F12666">
        <v>0</v>
      </c>
      <c r="G12666">
        <v>0</v>
      </c>
      <c r="H12666">
        <v>2</v>
      </c>
      <c r="I12666" s="3">
        <v>2970.98</v>
      </c>
      <c r="J12666" s="3">
        <v>0</v>
      </c>
      <c r="M12666" t="s">
        <v>25201</v>
      </c>
      <c r="N12666" t="s">
        <v>30</v>
      </c>
      <c r="O12666" t="s">
        <v>31</v>
      </c>
      <c r="P12666" t="str">
        <f>"15211"</f>
        <v>15211</v>
      </c>
    </row>
    <row r="12667" spans="1:16" x14ac:dyDescent="0.25">
      <c r="A12667" t="str">
        <f>"1190004P00109    00"</f>
        <v>1190004P00109    00</v>
      </c>
      <c r="B12667" t="s">
        <v>27835</v>
      </c>
      <c r="C12667" t="s">
        <v>27582</v>
      </c>
      <c r="E12667" t="s">
        <v>39</v>
      </c>
      <c r="F12667">
        <v>0</v>
      </c>
      <c r="G12667">
        <v>0</v>
      </c>
      <c r="H12667">
        <v>1</v>
      </c>
      <c r="I12667" s="3">
        <v>75.77</v>
      </c>
      <c r="J12667" s="3">
        <v>0</v>
      </c>
      <c r="L12667">
        <v>322</v>
      </c>
      <c r="M12667" t="s">
        <v>27836</v>
      </c>
      <c r="N12667" t="s">
        <v>30</v>
      </c>
      <c r="O12667" t="s">
        <v>31</v>
      </c>
      <c r="P12667" t="str">
        <f>"15202"</f>
        <v>15202</v>
      </c>
    </row>
    <row r="12668" spans="1:16" x14ac:dyDescent="0.25">
      <c r="A12668" t="str">
        <f>"1190004P00124    00"</f>
        <v>1190004P00124    00</v>
      </c>
      <c r="B12668" t="s">
        <v>8467</v>
      </c>
      <c r="C12668" t="s">
        <v>27837</v>
      </c>
      <c r="D12668" t="s">
        <v>20</v>
      </c>
      <c r="E12668" t="s">
        <v>39</v>
      </c>
      <c r="F12668">
        <v>0</v>
      </c>
      <c r="G12668">
        <v>0</v>
      </c>
      <c r="H12668">
        <v>1</v>
      </c>
      <c r="I12668" s="3">
        <v>920.61</v>
      </c>
      <c r="J12668" s="3">
        <v>0</v>
      </c>
      <c r="K12668" t="s">
        <v>8469</v>
      </c>
      <c r="L12668">
        <v>202</v>
      </c>
      <c r="M12668" t="s">
        <v>2136</v>
      </c>
      <c r="N12668" t="s">
        <v>30</v>
      </c>
      <c r="O12668" t="s">
        <v>31</v>
      </c>
      <c r="P12668" t="str">
        <f>"15228"</f>
        <v>15228</v>
      </c>
    </row>
    <row r="12669" spans="1:16" x14ac:dyDescent="0.25">
      <c r="A12669" t="str">
        <f>"1190004P00136    00"</f>
        <v>1190004P00136    00</v>
      </c>
      <c r="B12669" t="s">
        <v>27838</v>
      </c>
      <c r="C12669" t="s">
        <v>27839</v>
      </c>
      <c r="D12669" t="s">
        <v>20</v>
      </c>
      <c r="E12669" t="s">
        <v>39</v>
      </c>
      <c r="F12669">
        <v>0</v>
      </c>
      <c r="G12669">
        <v>0</v>
      </c>
      <c r="H12669">
        <v>1</v>
      </c>
      <c r="I12669" s="3">
        <v>1031.1600000000001</v>
      </c>
      <c r="J12669" s="3">
        <v>0</v>
      </c>
      <c r="L12669">
        <v>4001</v>
      </c>
      <c r="M12669" t="s">
        <v>27840</v>
      </c>
      <c r="N12669" t="s">
        <v>285</v>
      </c>
      <c r="O12669" t="s">
        <v>31</v>
      </c>
      <c r="P12669" t="str">
        <f>"15120"</f>
        <v>15120</v>
      </c>
    </row>
    <row r="12670" spans="1:16" x14ac:dyDescent="0.25">
      <c r="A12670" t="str">
        <f>"1190004P00148    00"</f>
        <v>1190004P00148    00</v>
      </c>
      <c r="B12670" t="s">
        <v>23499</v>
      </c>
      <c r="C12670" t="s">
        <v>27841</v>
      </c>
      <c r="D12670" t="s">
        <v>20</v>
      </c>
      <c r="E12670" t="s">
        <v>39</v>
      </c>
      <c r="F12670">
        <v>0</v>
      </c>
      <c r="G12670">
        <v>0</v>
      </c>
      <c r="H12670">
        <v>1</v>
      </c>
      <c r="I12670" s="3">
        <v>146.77000000000001</v>
      </c>
      <c r="J12670" s="3">
        <v>0</v>
      </c>
      <c r="K12670" t="s">
        <v>23501</v>
      </c>
      <c r="M12670" t="s">
        <v>27842</v>
      </c>
      <c r="N12670" t="s">
        <v>30</v>
      </c>
      <c r="O12670" t="s">
        <v>31</v>
      </c>
      <c r="P12670" t="str">
        <f>"15211"</f>
        <v>15211</v>
      </c>
    </row>
    <row r="12671" spans="1:16" x14ac:dyDescent="0.25">
      <c r="A12671" t="str">
        <f>"1190004P00152    00"</f>
        <v>1190004P00152    00</v>
      </c>
      <c r="B12671" t="s">
        <v>27843</v>
      </c>
      <c r="C12671" t="s">
        <v>27844</v>
      </c>
      <c r="E12671" t="s">
        <v>39</v>
      </c>
      <c r="F12671">
        <v>0</v>
      </c>
      <c r="G12671">
        <v>0</v>
      </c>
      <c r="H12671">
        <v>1</v>
      </c>
      <c r="I12671" s="3">
        <v>363.65</v>
      </c>
      <c r="J12671" s="3">
        <v>72.73</v>
      </c>
      <c r="L12671">
        <v>213</v>
      </c>
      <c r="M12671" t="s">
        <v>11611</v>
      </c>
      <c r="N12671" t="s">
        <v>30</v>
      </c>
      <c r="O12671" t="s">
        <v>31</v>
      </c>
      <c r="P12671" t="str">
        <f>"15211"</f>
        <v>15211</v>
      </c>
    </row>
    <row r="12672" spans="1:16" x14ac:dyDescent="0.25">
      <c r="A12672" t="str">
        <f>"1190004P00162    00"</f>
        <v>1190004P00162    00</v>
      </c>
      <c r="B12672" t="s">
        <v>27845</v>
      </c>
      <c r="C12672" t="s">
        <v>27846</v>
      </c>
      <c r="D12672" t="s">
        <v>20</v>
      </c>
      <c r="E12672" t="s">
        <v>39</v>
      </c>
      <c r="F12672">
        <v>0</v>
      </c>
      <c r="G12672">
        <v>0</v>
      </c>
      <c r="H12672">
        <v>1</v>
      </c>
      <c r="I12672" s="3">
        <v>779.57</v>
      </c>
      <c r="J12672" s="3">
        <v>0</v>
      </c>
      <c r="K12672" t="s">
        <v>27847</v>
      </c>
      <c r="L12672">
        <v>209</v>
      </c>
      <c r="M12672" t="s">
        <v>27848</v>
      </c>
      <c r="N12672" t="s">
        <v>2943</v>
      </c>
      <c r="O12672" t="s">
        <v>31</v>
      </c>
      <c r="P12672" t="str">
        <f>"15025"</f>
        <v>15025</v>
      </c>
    </row>
    <row r="12673" spans="1:16" x14ac:dyDescent="0.25">
      <c r="A12673" t="str">
        <f>"1190004P00175    00"</f>
        <v>1190004P00175    00</v>
      </c>
      <c r="B12673" t="s">
        <v>27849</v>
      </c>
      <c r="C12673" t="s">
        <v>27582</v>
      </c>
      <c r="D12673" t="s">
        <v>20</v>
      </c>
      <c r="E12673" t="s">
        <v>39</v>
      </c>
      <c r="F12673">
        <v>0</v>
      </c>
      <c r="G12673">
        <v>0</v>
      </c>
      <c r="H12673">
        <v>19</v>
      </c>
      <c r="I12673" s="3">
        <v>12355.78</v>
      </c>
      <c r="J12673" s="3">
        <v>14632.36</v>
      </c>
      <c r="L12673">
        <v>1608</v>
      </c>
      <c r="M12673" t="s">
        <v>27850</v>
      </c>
      <c r="N12673" t="s">
        <v>30</v>
      </c>
      <c r="O12673" t="s">
        <v>31</v>
      </c>
      <c r="P12673" t="str">
        <f>"15205"</f>
        <v>15205</v>
      </c>
    </row>
    <row r="12674" spans="1:16" x14ac:dyDescent="0.25">
      <c r="A12674" t="str">
        <f>"1190004P00184    00"</f>
        <v>1190004P00184    00</v>
      </c>
      <c r="B12674" t="s">
        <v>27851</v>
      </c>
      <c r="C12674" t="s">
        <v>27852</v>
      </c>
      <c r="D12674" t="s">
        <v>20</v>
      </c>
      <c r="E12674" t="s">
        <v>39</v>
      </c>
      <c r="F12674">
        <v>0</v>
      </c>
      <c r="G12674">
        <v>0</v>
      </c>
      <c r="H12674">
        <v>1</v>
      </c>
      <c r="I12674" s="3">
        <v>375.96</v>
      </c>
      <c r="J12674" s="3">
        <v>0</v>
      </c>
      <c r="K12674" t="s">
        <v>27853</v>
      </c>
      <c r="L12674">
        <v>157</v>
      </c>
      <c r="M12674" t="s">
        <v>11611</v>
      </c>
      <c r="N12674" t="s">
        <v>30</v>
      </c>
      <c r="O12674" t="s">
        <v>31</v>
      </c>
      <c r="P12674" t="str">
        <f>"15211"</f>
        <v>15211</v>
      </c>
    </row>
    <row r="12675" spans="1:16" x14ac:dyDescent="0.25">
      <c r="A12675" t="str">
        <f>"1190004P00222    00"</f>
        <v>1190004P00222    00</v>
      </c>
      <c r="B12675" t="s">
        <v>27854</v>
      </c>
      <c r="C12675" t="s">
        <v>27855</v>
      </c>
      <c r="D12675" t="s">
        <v>20</v>
      </c>
      <c r="E12675" t="s">
        <v>39</v>
      </c>
      <c r="F12675">
        <v>0</v>
      </c>
      <c r="G12675">
        <v>0</v>
      </c>
      <c r="H12675">
        <v>10</v>
      </c>
      <c r="I12675" s="3">
        <v>4168.1099999999997</v>
      </c>
      <c r="J12675" s="3">
        <v>2846.23</v>
      </c>
      <c r="L12675">
        <v>5256</v>
      </c>
      <c r="M12675" t="s">
        <v>27856</v>
      </c>
      <c r="N12675" t="s">
        <v>826</v>
      </c>
      <c r="O12675" t="s">
        <v>31</v>
      </c>
      <c r="P12675" t="str">
        <f>"15601"</f>
        <v>15601</v>
      </c>
    </row>
    <row r="12676" spans="1:16" x14ac:dyDescent="0.25">
      <c r="A12676" t="str">
        <f>"1190004P00227    00"</f>
        <v>1190004P00227    00</v>
      </c>
      <c r="B12676" t="s">
        <v>27857</v>
      </c>
      <c r="C12676" t="s">
        <v>27858</v>
      </c>
      <c r="E12676" t="s">
        <v>39</v>
      </c>
      <c r="F12676">
        <v>0</v>
      </c>
      <c r="G12676">
        <v>0</v>
      </c>
      <c r="H12676">
        <v>1</v>
      </c>
      <c r="I12676" s="3">
        <v>1458.1</v>
      </c>
      <c r="J12676" s="3">
        <v>291.61</v>
      </c>
      <c r="L12676">
        <v>418</v>
      </c>
      <c r="M12676" t="s">
        <v>23497</v>
      </c>
      <c r="N12676" t="s">
        <v>30</v>
      </c>
      <c r="O12676" t="s">
        <v>31</v>
      </c>
      <c r="P12676" t="str">
        <f>"15211"</f>
        <v>15211</v>
      </c>
    </row>
    <row r="12677" spans="1:16" x14ac:dyDescent="0.25">
      <c r="A12677" t="str">
        <f>"1190004P00238    00"</f>
        <v>1190004P00238    00</v>
      </c>
      <c r="B12677" t="s">
        <v>27859</v>
      </c>
      <c r="C12677" t="s">
        <v>27860</v>
      </c>
      <c r="E12677" t="s">
        <v>39</v>
      </c>
      <c r="F12677">
        <v>0</v>
      </c>
      <c r="G12677">
        <v>0</v>
      </c>
      <c r="H12677">
        <v>1</v>
      </c>
      <c r="I12677" s="3">
        <v>1941.05</v>
      </c>
      <c r="J12677" s="3">
        <v>614.64</v>
      </c>
      <c r="L12677">
        <v>9450</v>
      </c>
      <c r="M12677" t="s">
        <v>27861</v>
      </c>
      <c r="N12677" t="s">
        <v>19118</v>
      </c>
      <c r="O12677" t="s">
        <v>3263</v>
      </c>
      <c r="P12677" t="str">
        <f>"97008"</f>
        <v>97008</v>
      </c>
    </row>
    <row r="12678" spans="1:16" x14ac:dyDescent="0.25">
      <c r="A12678" t="str">
        <f>"1190004P00250    00"</f>
        <v>1190004P00250    00</v>
      </c>
      <c r="B12678" t="s">
        <v>27862</v>
      </c>
      <c r="C12678" t="s">
        <v>27863</v>
      </c>
      <c r="E12678" t="s">
        <v>39</v>
      </c>
      <c r="F12678">
        <v>0</v>
      </c>
      <c r="G12678">
        <v>0</v>
      </c>
      <c r="H12678">
        <v>1</v>
      </c>
      <c r="I12678" s="3">
        <v>1716.96</v>
      </c>
      <c r="J12678" s="3">
        <v>343.38</v>
      </c>
      <c r="K12678" t="s">
        <v>27864</v>
      </c>
      <c r="L12678">
        <v>418</v>
      </c>
      <c r="M12678" t="s">
        <v>23497</v>
      </c>
      <c r="N12678" t="s">
        <v>30</v>
      </c>
      <c r="O12678" t="s">
        <v>31</v>
      </c>
      <c r="P12678" t="str">
        <f>"15211"</f>
        <v>15211</v>
      </c>
    </row>
    <row r="12679" spans="1:16" x14ac:dyDescent="0.25">
      <c r="A12679" t="str">
        <f>"1190004P00302    00"</f>
        <v>1190004P00302    00</v>
      </c>
      <c r="B12679" t="s">
        <v>27736</v>
      </c>
      <c r="C12679" t="s">
        <v>27865</v>
      </c>
      <c r="D12679" t="s">
        <v>20</v>
      </c>
      <c r="E12679" t="s">
        <v>39</v>
      </c>
      <c r="F12679">
        <v>0</v>
      </c>
      <c r="G12679">
        <v>0</v>
      </c>
      <c r="H12679">
        <v>2</v>
      </c>
      <c r="I12679" s="3">
        <v>648.08000000000004</v>
      </c>
      <c r="J12679" s="3">
        <v>0</v>
      </c>
      <c r="L12679">
        <v>73</v>
      </c>
      <c r="M12679" t="s">
        <v>27733</v>
      </c>
      <c r="N12679" t="s">
        <v>30</v>
      </c>
      <c r="O12679" t="s">
        <v>31</v>
      </c>
      <c r="P12679" t="str">
        <f>"15211"</f>
        <v>15211</v>
      </c>
    </row>
    <row r="12680" spans="1:16" x14ac:dyDescent="0.25">
      <c r="A12680" t="str">
        <f>"1190004P00304    00"</f>
        <v>1190004P00304    00</v>
      </c>
      <c r="B12680" t="s">
        <v>27866</v>
      </c>
      <c r="C12680" t="s">
        <v>27867</v>
      </c>
      <c r="D12680" t="s">
        <v>20</v>
      </c>
      <c r="E12680" t="s">
        <v>39</v>
      </c>
      <c r="F12680">
        <v>0</v>
      </c>
      <c r="G12680">
        <v>0</v>
      </c>
      <c r="H12680">
        <v>1</v>
      </c>
      <c r="I12680" s="3">
        <v>518.45000000000005</v>
      </c>
      <c r="J12680" s="3">
        <v>0</v>
      </c>
      <c r="L12680">
        <v>103</v>
      </c>
      <c r="M12680" t="s">
        <v>27868</v>
      </c>
      <c r="N12680" t="s">
        <v>30</v>
      </c>
      <c r="O12680" t="s">
        <v>31</v>
      </c>
      <c r="P12680" t="str">
        <f>"15216"</f>
        <v>15216</v>
      </c>
    </row>
    <row r="12681" spans="1:16" x14ac:dyDescent="0.25">
      <c r="A12681" t="str">
        <f>"1190004P00308    00"</f>
        <v>1190004P00308    00</v>
      </c>
      <c r="B12681" t="s">
        <v>27869</v>
      </c>
      <c r="C12681" t="s">
        <v>27870</v>
      </c>
      <c r="D12681" t="s">
        <v>20</v>
      </c>
      <c r="E12681" t="s">
        <v>39</v>
      </c>
      <c r="F12681">
        <v>0</v>
      </c>
      <c r="G12681">
        <v>0</v>
      </c>
      <c r="H12681">
        <v>9</v>
      </c>
      <c r="I12681" s="3">
        <v>4986.09</v>
      </c>
      <c r="J12681" s="3">
        <v>1845.29</v>
      </c>
      <c r="K12681" t="s">
        <v>27871</v>
      </c>
      <c r="L12681">
        <v>608</v>
      </c>
      <c r="M12681" t="s">
        <v>27872</v>
      </c>
      <c r="N12681" t="s">
        <v>30</v>
      </c>
      <c r="O12681" t="s">
        <v>31</v>
      </c>
      <c r="P12681" t="str">
        <f>"15226"</f>
        <v>15226</v>
      </c>
    </row>
    <row r="12682" spans="1:16" x14ac:dyDescent="0.25">
      <c r="A12682" t="str">
        <f>"1190004P00309    00"</f>
        <v>1190004P00309    00</v>
      </c>
      <c r="B12682" t="s">
        <v>27873</v>
      </c>
      <c r="C12682" t="s">
        <v>27874</v>
      </c>
      <c r="D12682" t="s">
        <v>20</v>
      </c>
      <c r="E12682" t="s">
        <v>39</v>
      </c>
      <c r="F12682">
        <v>0</v>
      </c>
      <c r="G12682">
        <v>0</v>
      </c>
      <c r="H12682">
        <v>1</v>
      </c>
      <c r="I12682" s="3">
        <v>255.4</v>
      </c>
      <c r="J12682" s="3">
        <v>0</v>
      </c>
      <c r="L12682">
        <v>10</v>
      </c>
      <c r="M12682" t="s">
        <v>27875</v>
      </c>
      <c r="N12682" t="s">
        <v>30</v>
      </c>
      <c r="O12682" t="s">
        <v>31</v>
      </c>
      <c r="P12682" t="str">
        <f>"15211"</f>
        <v>15211</v>
      </c>
    </row>
    <row r="12683" spans="1:16" x14ac:dyDescent="0.25">
      <c r="A12683" t="str">
        <f>"1190004P00322    00"</f>
        <v>1190004P00322    00</v>
      </c>
      <c r="B12683" t="s">
        <v>27876</v>
      </c>
      <c r="C12683" t="s">
        <v>27877</v>
      </c>
      <c r="D12683" t="s">
        <v>20</v>
      </c>
      <c r="E12683" t="s">
        <v>39</v>
      </c>
      <c r="F12683">
        <v>0</v>
      </c>
      <c r="G12683">
        <v>0</v>
      </c>
      <c r="H12683">
        <v>3</v>
      </c>
      <c r="I12683" s="3">
        <v>4061.61</v>
      </c>
      <c r="J12683" s="3">
        <v>160.46</v>
      </c>
      <c r="K12683" t="s">
        <v>27878</v>
      </c>
      <c r="L12683">
        <v>834</v>
      </c>
      <c r="M12683" t="s">
        <v>475</v>
      </c>
      <c r="N12683" t="s">
        <v>30</v>
      </c>
      <c r="O12683" t="s">
        <v>31</v>
      </c>
      <c r="P12683" t="str">
        <f>"15228"</f>
        <v>15228</v>
      </c>
    </row>
    <row r="12684" spans="1:16" x14ac:dyDescent="0.25">
      <c r="A12684" t="str">
        <f>"1190004P00326    00"</f>
        <v>1190004P00326    00</v>
      </c>
      <c r="B12684" t="s">
        <v>27873</v>
      </c>
      <c r="C12684" t="s">
        <v>27879</v>
      </c>
      <c r="D12684" t="s">
        <v>20</v>
      </c>
      <c r="E12684" t="s">
        <v>39</v>
      </c>
      <c r="F12684">
        <v>0</v>
      </c>
      <c r="G12684">
        <v>0</v>
      </c>
      <c r="H12684">
        <v>1</v>
      </c>
      <c r="I12684" s="3">
        <v>1494.78</v>
      </c>
      <c r="J12684" s="3">
        <v>0</v>
      </c>
      <c r="L12684">
        <v>10</v>
      </c>
      <c r="M12684" t="s">
        <v>27875</v>
      </c>
      <c r="N12684" t="s">
        <v>30</v>
      </c>
      <c r="O12684" t="s">
        <v>31</v>
      </c>
      <c r="P12684" t="str">
        <f>"15211"</f>
        <v>15211</v>
      </c>
    </row>
    <row r="12685" spans="1:16" x14ac:dyDescent="0.25">
      <c r="A12685" t="str">
        <f>"1190004P00340    00"</f>
        <v>1190004P00340    00</v>
      </c>
      <c r="B12685" t="s">
        <v>27880</v>
      </c>
      <c r="C12685" t="s">
        <v>27855</v>
      </c>
      <c r="D12685" t="s">
        <v>20</v>
      </c>
      <c r="E12685" t="s">
        <v>39</v>
      </c>
      <c r="F12685">
        <v>0</v>
      </c>
      <c r="G12685">
        <v>0</v>
      </c>
      <c r="H12685">
        <v>19</v>
      </c>
      <c r="I12685" s="3">
        <v>567.55999999999995</v>
      </c>
      <c r="J12685" s="3">
        <v>637.37</v>
      </c>
      <c r="K12685" t="s">
        <v>1008</v>
      </c>
      <c r="P12685" t="str">
        <f>""</f>
        <v/>
      </c>
    </row>
    <row r="12686" spans="1:16" x14ac:dyDescent="0.25">
      <c r="A12686" t="str">
        <f>"1190004P00349    00"</f>
        <v>1190004P00349    00</v>
      </c>
      <c r="B12686" t="s">
        <v>27881</v>
      </c>
      <c r="C12686" t="s">
        <v>27882</v>
      </c>
      <c r="D12686" t="s">
        <v>20</v>
      </c>
      <c r="E12686" t="s">
        <v>39</v>
      </c>
      <c r="F12686">
        <v>0</v>
      </c>
      <c r="G12686">
        <v>0</v>
      </c>
      <c r="H12686">
        <v>4</v>
      </c>
      <c r="I12686" s="3">
        <v>974.75</v>
      </c>
      <c r="J12686" s="3">
        <v>133.93</v>
      </c>
      <c r="L12686">
        <v>235</v>
      </c>
      <c r="M12686" t="s">
        <v>23497</v>
      </c>
      <c r="N12686" t="s">
        <v>30</v>
      </c>
      <c r="O12686" t="s">
        <v>31</v>
      </c>
      <c r="P12686" t="str">
        <f>"15211"</f>
        <v>15211</v>
      </c>
    </row>
    <row r="12687" spans="1:16" x14ac:dyDescent="0.25">
      <c r="A12687" t="str">
        <f>"1190004R00009    00"</f>
        <v>1190004R00009    00</v>
      </c>
      <c r="B12687" t="s">
        <v>27883</v>
      </c>
      <c r="C12687" t="s">
        <v>27884</v>
      </c>
      <c r="D12687" t="s">
        <v>20</v>
      </c>
      <c r="E12687" t="s">
        <v>39</v>
      </c>
      <c r="F12687">
        <v>0</v>
      </c>
      <c r="G12687">
        <v>0</v>
      </c>
      <c r="H12687">
        <v>19</v>
      </c>
      <c r="I12687" s="3">
        <v>9055.19</v>
      </c>
      <c r="J12687" s="3">
        <v>8657.4500000000007</v>
      </c>
      <c r="L12687">
        <v>209</v>
      </c>
      <c r="M12687" t="s">
        <v>27885</v>
      </c>
      <c r="N12687" t="s">
        <v>30</v>
      </c>
      <c r="O12687" t="s">
        <v>31</v>
      </c>
      <c r="P12687" t="str">
        <f>"15211"</f>
        <v>15211</v>
      </c>
    </row>
    <row r="12688" spans="1:16" x14ac:dyDescent="0.25">
      <c r="A12688" t="str">
        <f>"1190004R00012    00"</f>
        <v>1190004R00012    00</v>
      </c>
      <c r="B12688" t="s">
        <v>27886</v>
      </c>
      <c r="C12688" t="s">
        <v>27887</v>
      </c>
      <c r="D12688" t="s">
        <v>20</v>
      </c>
      <c r="E12688" t="s">
        <v>21</v>
      </c>
      <c r="F12688">
        <v>0</v>
      </c>
      <c r="G12688">
        <v>0</v>
      </c>
      <c r="H12688">
        <v>2</v>
      </c>
      <c r="I12688" s="3">
        <v>2917.2</v>
      </c>
      <c r="J12688" s="3">
        <v>0</v>
      </c>
      <c r="L12688">
        <v>205</v>
      </c>
      <c r="M12688" t="s">
        <v>23497</v>
      </c>
      <c r="N12688" t="s">
        <v>30</v>
      </c>
      <c r="O12688" t="s">
        <v>31</v>
      </c>
      <c r="P12688" t="str">
        <f>"15211"</f>
        <v>15211</v>
      </c>
    </row>
    <row r="12689" spans="1:16" x14ac:dyDescent="0.25">
      <c r="A12689" t="str">
        <f>"1190004R00065    00"</f>
        <v>1190004R00065    00</v>
      </c>
      <c r="B12689" t="s">
        <v>27888</v>
      </c>
      <c r="C12689" t="s">
        <v>27889</v>
      </c>
      <c r="E12689" t="s">
        <v>39</v>
      </c>
      <c r="F12689">
        <v>0</v>
      </c>
      <c r="G12689">
        <v>0</v>
      </c>
      <c r="H12689">
        <v>2</v>
      </c>
      <c r="I12689" s="3">
        <v>1508.8</v>
      </c>
      <c r="J12689" s="3">
        <v>31.43</v>
      </c>
      <c r="K12689" t="s">
        <v>27890</v>
      </c>
      <c r="L12689">
        <v>1020</v>
      </c>
      <c r="M12689" t="s">
        <v>27891</v>
      </c>
      <c r="N12689" t="s">
        <v>30</v>
      </c>
      <c r="O12689" t="s">
        <v>31</v>
      </c>
      <c r="P12689" t="str">
        <f>"15204"</f>
        <v>15204</v>
      </c>
    </row>
    <row r="12690" spans="1:16" x14ac:dyDescent="0.25">
      <c r="A12690" t="str">
        <f>"1190004R00074    00"</f>
        <v>1190004R00074    00</v>
      </c>
      <c r="B12690" t="s">
        <v>27892</v>
      </c>
      <c r="C12690" t="s">
        <v>27893</v>
      </c>
      <c r="D12690" t="s">
        <v>20</v>
      </c>
      <c r="E12690" t="s">
        <v>39</v>
      </c>
      <c r="F12690">
        <v>0</v>
      </c>
      <c r="G12690">
        <v>0</v>
      </c>
      <c r="H12690">
        <v>2</v>
      </c>
      <c r="I12690" s="3">
        <v>762.44</v>
      </c>
      <c r="J12690" s="3">
        <v>0</v>
      </c>
      <c r="K12690" t="s">
        <v>27894</v>
      </c>
      <c r="L12690">
        <v>3605</v>
      </c>
      <c r="M12690" t="s">
        <v>27895</v>
      </c>
      <c r="N12690" t="s">
        <v>30</v>
      </c>
      <c r="O12690" t="s">
        <v>31</v>
      </c>
      <c r="P12690" t="str">
        <f>"15227"</f>
        <v>15227</v>
      </c>
    </row>
    <row r="12691" spans="1:16" x14ac:dyDescent="0.25">
      <c r="A12691" t="str">
        <f>"1190004R00084    00"</f>
        <v>1190004R00084    00</v>
      </c>
      <c r="B12691" t="s">
        <v>27896</v>
      </c>
      <c r="C12691" t="s">
        <v>27897</v>
      </c>
      <c r="D12691" t="s">
        <v>20</v>
      </c>
      <c r="E12691" t="s">
        <v>39</v>
      </c>
      <c r="F12691">
        <v>0</v>
      </c>
      <c r="G12691">
        <v>0</v>
      </c>
      <c r="H12691">
        <v>1</v>
      </c>
      <c r="I12691" s="3">
        <v>872.95</v>
      </c>
      <c r="J12691" s="3">
        <v>0</v>
      </c>
      <c r="K12691" t="s">
        <v>27898</v>
      </c>
      <c r="L12691">
        <v>538</v>
      </c>
      <c r="M12691" t="s">
        <v>27899</v>
      </c>
      <c r="N12691" t="s">
        <v>30</v>
      </c>
      <c r="O12691" t="s">
        <v>31</v>
      </c>
      <c r="P12691" t="str">
        <f>"15227"</f>
        <v>15227</v>
      </c>
    </row>
    <row r="12692" spans="1:16" x14ac:dyDescent="0.25">
      <c r="A12692" t="str">
        <f>"1190004R00085    00"</f>
        <v>1190004R00085    00</v>
      </c>
      <c r="B12692" t="s">
        <v>27900</v>
      </c>
      <c r="C12692" t="s">
        <v>27901</v>
      </c>
      <c r="D12692" t="s">
        <v>20</v>
      </c>
      <c r="E12692" t="s">
        <v>39</v>
      </c>
      <c r="F12692">
        <v>0</v>
      </c>
      <c r="G12692">
        <v>0</v>
      </c>
      <c r="H12692">
        <v>19</v>
      </c>
      <c r="I12692" s="3">
        <v>14854.38</v>
      </c>
      <c r="J12692" s="3">
        <v>14732.75</v>
      </c>
      <c r="L12692">
        <v>126</v>
      </c>
      <c r="M12692" t="s">
        <v>27902</v>
      </c>
      <c r="N12692" t="s">
        <v>30</v>
      </c>
      <c r="O12692" t="s">
        <v>31</v>
      </c>
      <c r="P12692" t="str">
        <f>"15211"</f>
        <v>15211</v>
      </c>
    </row>
    <row r="12693" spans="1:16" x14ac:dyDescent="0.25">
      <c r="A12693" t="str">
        <f>"1190004R00106    00"</f>
        <v>1190004R00106    00</v>
      </c>
      <c r="B12693" t="s">
        <v>27903</v>
      </c>
      <c r="C12693" t="s">
        <v>27904</v>
      </c>
      <c r="E12693" t="s">
        <v>39</v>
      </c>
      <c r="F12693">
        <v>0</v>
      </c>
      <c r="G12693">
        <v>0</v>
      </c>
      <c r="H12693">
        <v>1</v>
      </c>
      <c r="I12693" s="3">
        <v>596.57000000000005</v>
      </c>
      <c r="J12693" s="3">
        <v>591.58000000000004</v>
      </c>
      <c r="K12693" t="s">
        <v>1632</v>
      </c>
      <c r="L12693">
        <v>3001</v>
      </c>
      <c r="M12693" t="s">
        <v>330</v>
      </c>
      <c r="N12693" t="s">
        <v>331</v>
      </c>
      <c r="O12693" t="s">
        <v>108</v>
      </c>
      <c r="P12693" t="str">
        <f>"75063"</f>
        <v>75063</v>
      </c>
    </row>
    <row r="12694" spans="1:16" x14ac:dyDescent="0.25">
      <c r="A12694" t="str">
        <f>"1190004R00109    00"</f>
        <v>1190004R00109    00</v>
      </c>
      <c r="B12694" t="s">
        <v>27905</v>
      </c>
      <c r="C12694" t="s">
        <v>27906</v>
      </c>
      <c r="D12694" t="s">
        <v>20</v>
      </c>
      <c r="E12694" t="s">
        <v>39</v>
      </c>
      <c r="F12694">
        <v>0</v>
      </c>
      <c r="G12694">
        <v>0</v>
      </c>
      <c r="H12694">
        <v>5</v>
      </c>
      <c r="I12694" s="3">
        <v>4832.3900000000003</v>
      </c>
      <c r="J12694" s="3">
        <v>1209.6300000000001</v>
      </c>
      <c r="K12694" t="s">
        <v>27907</v>
      </c>
      <c r="L12694">
        <v>115</v>
      </c>
      <c r="M12694" t="s">
        <v>24276</v>
      </c>
      <c r="N12694" t="s">
        <v>30</v>
      </c>
      <c r="O12694" t="s">
        <v>31</v>
      </c>
      <c r="P12694" t="str">
        <f>"15203"</f>
        <v>15203</v>
      </c>
    </row>
    <row r="12695" spans="1:16" x14ac:dyDescent="0.25">
      <c r="A12695" t="str">
        <f>"1190004R00119    00"</f>
        <v>1190004R00119    00</v>
      </c>
      <c r="B12695" t="s">
        <v>27908</v>
      </c>
      <c r="C12695" t="s">
        <v>27909</v>
      </c>
      <c r="D12695" t="s">
        <v>20</v>
      </c>
      <c r="E12695" t="s">
        <v>39</v>
      </c>
      <c r="F12695">
        <v>0</v>
      </c>
      <c r="G12695">
        <v>0</v>
      </c>
      <c r="H12695">
        <v>1</v>
      </c>
      <c r="I12695" s="3">
        <v>669.95</v>
      </c>
      <c r="J12695" s="3">
        <v>0</v>
      </c>
      <c r="L12695">
        <v>9869</v>
      </c>
      <c r="M12695" t="s">
        <v>27910</v>
      </c>
      <c r="N12695" t="s">
        <v>27911</v>
      </c>
      <c r="O12695" t="s">
        <v>180</v>
      </c>
      <c r="P12695" t="str">
        <f>"80129"</f>
        <v>80129</v>
      </c>
    </row>
    <row r="12696" spans="1:16" x14ac:dyDescent="0.25">
      <c r="A12696" t="str">
        <f>"1190004R00147    00"</f>
        <v>1190004R00147    00</v>
      </c>
      <c r="B12696" t="s">
        <v>27607</v>
      </c>
      <c r="C12696" t="s">
        <v>27912</v>
      </c>
      <c r="D12696" t="s">
        <v>20</v>
      </c>
      <c r="E12696" t="s">
        <v>39</v>
      </c>
      <c r="F12696">
        <v>0</v>
      </c>
      <c r="G12696">
        <v>0</v>
      </c>
      <c r="H12696">
        <v>1</v>
      </c>
      <c r="I12696" s="3">
        <v>756.7</v>
      </c>
      <c r="J12696" s="3">
        <v>0</v>
      </c>
      <c r="L12696">
        <v>1185</v>
      </c>
      <c r="M12696" t="s">
        <v>4537</v>
      </c>
      <c r="N12696" t="s">
        <v>30</v>
      </c>
      <c r="O12696" t="s">
        <v>31</v>
      </c>
      <c r="P12696" t="str">
        <f>"15220"</f>
        <v>15220</v>
      </c>
    </row>
    <row r="12697" spans="1:16" x14ac:dyDescent="0.25">
      <c r="A12697" t="str">
        <f>"1190004R00163    00"</f>
        <v>1190004R00163    00</v>
      </c>
      <c r="B12697" t="s">
        <v>27913</v>
      </c>
      <c r="C12697" t="s">
        <v>27914</v>
      </c>
      <c r="D12697" t="s">
        <v>20</v>
      </c>
      <c r="E12697" t="s">
        <v>39</v>
      </c>
      <c r="F12697">
        <v>0</v>
      </c>
      <c r="G12697">
        <v>0</v>
      </c>
      <c r="H12697">
        <v>2</v>
      </c>
      <c r="I12697" s="3">
        <v>1169.03</v>
      </c>
      <c r="J12697" s="3">
        <v>133.71</v>
      </c>
      <c r="L12697">
        <v>232</v>
      </c>
      <c r="M12697" t="s">
        <v>27915</v>
      </c>
      <c r="N12697" t="s">
        <v>30</v>
      </c>
      <c r="O12697" t="s">
        <v>31</v>
      </c>
      <c r="P12697" t="str">
        <f>"15211"</f>
        <v>15211</v>
      </c>
    </row>
    <row r="12698" spans="1:16" x14ac:dyDescent="0.25">
      <c r="A12698" t="str">
        <f>"1190004R00178    00"</f>
        <v>1190004R00178    00</v>
      </c>
      <c r="B12698" t="s">
        <v>27916</v>
      </c>
      <c r="C12698" t="s">
        <v>27917</v>
      </c>
      <c r="E12698" t="s">
        <v>39</v>
      </c>
      <c r="F12698">
        <v>0</v>
      </c>
      <c r="G12698">
        <v>0</v>
      </c>
      <c r="H12698">
        <v>2</v>
      </c>
      <c r="I12698" s="3">
        <v>8054.78</v>
      </c>
      <c r="J12698" s="3">
        <v>402.71</v>
      </c>
      <c r="K12698" t="s">
        <v>27918</v>
      </c>
      <c r="L12698">
        <v>323</v>
      </c>
      <c r="M12698" t="s">
        <v>27919</v>
      </c>
      <c r="N12698" t="s">
        <v>30</v>
      </c>
      <c r="O12698" t="s">
        <v>31</v>
      </c>
      <c r="P12698" t="str">
        <f>"15211"</f>
        <v>15211</v>
      </c>
    </row>
    <row r="12699" spans="1:16" x14ac:dyDescent="0.25">
      <c r="A12699" t="str">
        <f>"1190004R00183    00"</f>
        <v>1190004R00183    00</v>
      </c>
      <c r="B12699" t="s">
        <v>8967</v>
      </c>
      <c r="C12699" t="s">
        <v>27920</v>
      </c>
      <c r="D12699" t="s">
        <v>20</v>
      </c>
      <c r="E12699" t="s">
        <v>39</v>
      </c>
      <c r="F12699">
        <v>0</v>
      </c>
      <c r="G12699">
        <v>0</v>
      </c>
      <c r="H12699">
        <v>1</v>
      </c>
      <c r="I12699" s="3">
        <v>508.91</v>
      </c>
      <c r="J12699" s="3">
        <v>0</v>
      </c>
      <c r="K12699" t="s">
        <v>27921</v>
      </c>
      <c r="L12699">
        <v>9118</v>
      </c>
      <c r="M12699" t="s">
        <v>8969</v>
      </c>
      <c r="N12699" t="s">
        <v>30</v>
      </c>
      <c r="O12699" t="s">
        <v>31</v>
      </c>
      <c r="P12699" t="str">
        <f>"15237"</f>
        <v>15237</v>
      </c>
    </row>
    <row r="12700" spans="1:16" x14ac:dyDescent="0.25">
      <c r="A12700" t="str">
        <f>"1190004R00197    00"</f>
        <v>1190004R00197    00</v>
      </c>
      <c r="B12700" t="s">
        <v>27922</v>
      </c>
      <c r="C12700" t="s">
        <v>27923</v>
      </c>
      <c r="E12700" t="s">
        <v>39</v>
      </c>
      <c r="F12700">
        <v>0</v>
      </c>
      <c r="G12700">
        <v>0</v>
      </c>
      <c r="H12700">
        <v>1</v>
      </c>
      <c r="I12700" s="3">
        <v>478.06</v>
      </c>
      <c r="J12700" s="3">
        <v>95.62</v>
      </c>
      <c r="L12700">
        <v>326</v>
      </c>
      <c r="M12700" t="s">
        <v>27919</v>
      </c>
      <c r="N12700" t="s">
        <v>30</v>
      </c>
      <c r="O12700" t="s">
        <v>31</v>
      </c>
      <c r="P12700" t="str">
        <f>"15211"</f>
        <v>15211</v>
      </c>
    </row>
    <row r="12701" spans="1:16" x14ac:dyDescent="0.25">
      <c r="A12701" t="str">
        <f>"1190004R00207    00"</f>
        <v>1190004R00207    00</v>
      </c>
      <c r="B12701" t="s">
        <v>27924</v>
      </c>
      <c r="C12701" t="s">
        <v>27925</v>
      </c>
      <c r="D12701" t="s">
        <v>20</v>
      </c>
      <c r="E12701" t="s">
        <v>39</v>
      </c>
      <c r="F12701">
        <v>0</v>
      </c>
      <c r="G12701">
        <v>0</v>
      </c>
      <c r="H12701">
        <v>3</v>
      </c>
      <c r="I12701" s="3">
        <v>1022.24</v>
      </c>
      <c r="J12701" s="3">
        <v>79.98</v>
      </c>
      <c r="L12701">
        <v>73</v>
      </c>
      <c r="M12701" t="s">
        <v>27926</v>
      </c>
      <c r="N12701" t="s">
        <v>30</v>
      </c>
      <c r="O12701" t="s">
        <v>31</v>
      </c>
      <c r="P12701" t="str">
        <f>"15211"</f>
        <v>15211</v>
      </c>
    </row>
    <row r="12702" spans="1:16" x14ac:dyDescent="0.25">
      <c r="A12702" t="str">
        <f>"1190004R00208    00"</f>
        <v>1190004R00208    00</v>
      </c>
      <c r="B12702" t="s">
        <v>27924</v>
      </c>
      <c r="C12702" t="s">
        <v>27927</v>
      </c>
      <c r="D12702" t="s">
        <v>20</v>
      </c>
      <c r="E12702" t="s">
        <v>39</v>
      </c>
      <c r="F12702">
        <v>0</v>
      </c>
      <c r="G12702">
        <v>0</v>
      </c>
      <c r="H12702">
        <v>3</v>
      </c>
      <c r="I12702" s="3">
        <v>217.29</v>
      </c>
      <c r="J12702" s="3">
        <v>14.49</v>
      </c>
      <c r="L12702">
        <v>73</v>
      </c>
      <c r="M12702" t="s">
        <v>27926</v>
      </c>
      <c r="N12702" t="s">
        <v>30</v>
      </c>
      <c r="O12702" t="s">
        <v>31</v>
      </c>
      <c r="P12702" t="str">
        <f>"15211"</f>
        <v>15211</v>
      </c>
    </row>
    <row r="12703" spans="1:16" x14ac:dyDescent="0.25">
      <c r="A12703" t="str">
        <f>"1190004R00217    00"</f>
        <v>1190004R00217    00</v>
      </c>
      <c r="B12703" t="s">
        <v>27928</v>
      </c>
      <c r="C12703" t="s">
        <v>27929</v>
      </c>
      <c r="D12703" t="s">
        <v>20</v>
      </c>
      <c r="E12703" t="s">
        <v>39</v>
      </c>
      <c r="F12703">
        <v>0</v>
      </c>
      <c r="G12703">
        <v>0</v>
      </c>
      <c r="H12703">
        <v>2</v>
      </c>
      <c r="I12703" s="3">
        <v>1956.5</v>
      </c>
      <c r="J12703" s="3">
        <v>0</v>
      </c>
      <c r="L12703">
        <v>94</v>
      </c>
      <c r="M12703" t="s">
        <v>7116</v>
      </c>
      <c r="N12703" t="s">
        <v>30</v>
      </c>
      <c r="O12703" t="s">
        <v>31</v>
      </c>
      <c r="P12703" t="str">
        <f>"15211"</f>
        <v>15211</v>
      </c>
    </row>
    <row r="12704" spans="1:16" x14ac:dyDescent="0.25">
      <c r="A12704" t="str">
        <f>"1190005C00045    00"</f>
        <v>1190005C00045    00</v>
      </c>
      <c r="B12704" t="s">
        <v>27930</v>
      </c>
      <c r="C12704" t="s">
        <v>27931</v>
      </c>
      <c r="D12704" t="s">
        <v>20</v>
      </c>
      <c r="E12704" t="s">
        <v>39</v>
      </c>
      <c r="F12704">
        <v>0</v>
      </c>
      <c r="G12704">
        <v>0</v>
      </c>
      <c r="H12704">
        <v>2</v>
      </c>
      <c r="I12704" s="3">
        <v>3057.28</v>
      </c>
      <c r="J12704" s="3">
        <v>0</v>
      </c>
      <c r="L12704">
        <v>452</v>
      </c>
      <c r="M12704" t="s">
        <v>27932</v>
      </c>
      <c r="N12704" t="s">
        <v>30</v>
      </c>
      <c r="O12704" t="s">
        <v>31</v>
      </c>
      <c r="P12704" t="str">
        <f>"15211"</f>
        <v>15211</v>
      </c>
    </row>
    <row r="12705" spans="1:16" x14ac:dyDescent="0.25">
      <c r="A12705" t="str">
        <f>"1190005C00056    00"</f>
        <v>1190005C00056    00</v>
      </c>
      <c r="B12705" t="s">
        <v>27933</v>
      </c>
      <c r="C12705" t="s">
        <v>27934</v>
      </c>
      <c r="D12705" t="s">
        <v>20</v>
      </c>
      <c r="E12705" t="s">
        <v>39</v>
      </c>
      <c r="F12705">
        <v>0</v>
      </c>
      <c r="G12705">
        <v>0</v>
      </c>
      <c r="H12705">
        <v>3</v>
      </c>
      <c r="I12705" s="3">
        <v>28.22</v>
      </c>
      <c r="J12705" s="3">
        <v>2.74</v>
      </c>
      <c r="L12705">
        <v>2360</v>
      </c>
      <c r="M12705" t="s">
        <v>27935</v>
      </c>
      <c r="N12705" t="s">
        <v>9653</v>
      </c>
      <c r="O12705" t="s">
        <v>31</v>
      </c>
      <c r="P12705" t="str">
        <f>"15632"</f>
        <v>15632</v>
      </c>
    </row>
    <row r="12706" spans="1:16" x14ac:dyDescent="0.25">
      <c r="A12706" t="str">
        <f>"1190005C00110    00"</f>
        <v>1190005C00110    00</v>
      </c>
      <c r="B12706" t="s">
        <v>27936</v>
      </c>
      <c r="C12706" t="s">
        <v>27934</v>
      </c>
      <c r="D12706" t="s">
        <v>20</v>
      </c>
      <c r="E12706" t="s">
        <v>39</v>
      </c>
      <c r="F12706">
        <v>0</v>
      </c>
      <c r="G12706">
        <v>0</v>
      </c>
      <c r="H12706">
        <v>3</v>
      </c>
      <c r="I12706" s="3">
        <v>164.28</v>
      </c>
      <c r="J12706" s="3">
        <v>13.35</v>
      </c>
      <c r="K12706" t="s">
        <v>445</v>
      </c>
      <c r="L12706">
        <v>1</v>
      </c>
      <c r="M12706" t="s">
        <v>1163</v>
      </c>
      <c r="N12706" t="s">
        <v>1164</v>
      </c>
      <c r="O12706" t="s">
        <v>108</v>
      </c>
      <c r="P12706" t="str">
        <f>"76262"</f>
        <v>76262</v>
      </c>
    </row>
    <row r="12707" spans="1:16" x14ac:dyDescent="0.25">
      <c r="A12707" t="str">
        <f>"1190005C00123    00"</f>
        <v>1190005C00123    00</v>
      </c>
      <c r="B12707" t="s">
        <v>27937</v>
      </c>
      <c r="C12707" t="s">
        <v>27938</v>
      </c>
      <c r="D12707" t="s">
        <v>20</v>
      </c>
      <c r="E12707" t="s">
        <v>39</v>
      </c>
      <c r="F12707">
        <v>0</v>
      </c>
      <c r="G12707">
        <v>0</v>
      </c>
      <c r="H12707">
        <v>14</v>
      </c>
      <c r="I12707" s="3">
        <v>3964.21</v>
      </c>
      <c r="J12707" s="3">
        <v>2340.88</v>
      </c>
      <c r="L12707">
        <v>17</v>
      </c>
      <c r="M12707" t="s">
        <v>27939</v>
      </c>
      <c r="N12707" t="s">
        <v>16651</v>
      </c>
      <c r="O12707" t="s">
        <v>31</v>
      </c>
      <c r="P12707" t="str">
        <f>"15656"</f>
        <v>15656</v>
      </c>
    </row>
    <row r="12708" spans="1:16" x14ac:dyDescent="0.25">
      <c r="A12708" t="str">
        <f>"1190005C00184    00"</f>
        <v>1190005C00184    00</v>
      </c>
      <c r="B12708" t="s">
        <v>27940</v>
      </c>
      <c r="C12708" t="s">
        <v>27941</v>
      </c>
      <c r="E12708" t="s">
        <v>39</v>
      </c>
      <c r="F12708">
        <v>0</v>
      </c>
      <c r="G12708">
        <v>0</v>
      </c>
      <c r="H12708">
        <v>2</v>
      </c>
      <c r="I12708" s="3">
        <v>1094.8699999999999</v>
      </c>
      <c r="J12708" s="3">
        <v>160.82</v>
      </c>
      <c r="K12708" t="s">
        <v>27942</v>
      </c>
      <c r="L12708">
        <v>246</v>
      </c>
      <c r="M12708" t="s">
        <v>27943</v>
      </c>
      <c r="N12708" t="s">
        <v>27944</v>
      </c>
      <c r="O12708" t="s">
        <v>31</v>
      </c>
      <c r="P12708" t="str">
        <f>"16057"</f>
        <v>16057</v>
      </c>
    </row>
    <row r="12709" spans="1:16" x14ac:dyDescent="0.25">
      <c r="A12709" t="str">
        <f>"1190005C00186    00"</f>
        <v>1190005C00186    00</v>
      </c>
      <c r="B12709" t="s">
        <v>27945</v>
      </c>
      <c r="C12709" t="s">
        <v>27946</v>
      </c>
      <c r="D12709" t="s">
        <v>20</v>
      </c>
      <c r="E12709" t="s">
        <v>39</v>
      </c>
      <c r="F12709">
        <v>0</v>
      </c>
      <c r="G12709">
        <v>0</v>
      </c>
      <c r="H12709">
        <v>3</v>
      </c>
      <c r="I12709" s="3">
        <v>3804.49</v>
      </c>
      <c r="J12709" s="3">
        <v>231.76</v>
      </c>
      <c r="L12709">
        <v>525</v>
      </c>
      <c r="M12709" t="s">
        <v>27947</v>
      </c>
      <c r="N12709" t="s">
        <v>30</v>
      </c>
      <c r="O12709" t="s">
        <v>31</v>
      </c>
      <c r="P12709" t="str">
        <f>"15211"</f>
        <v>15211</v>
      </c>
    </row>
    <row r="12710" spans="1:16" x14ac:dyDescent="0.25">
      <c r="A12710" t="str">
        <f>"1190005C00198    00"</f>
        <v>1190005C00198    00</v>
      </c>
      <c r="B12710" t="s">
        <v>27948</v>
      </c>
      <c r="C12710" t="s">
        <v>27949</v>
      </c>
      <c r="D12710" t="s">
        <v>20</v>
      </c>
      <c r="E12710" t="s">
        <v>39</v>
      </c>
      <c r="F12710">
        <v>0</v>
      </c>
      <c r="G12710">
        <v>0</v>
      </c>
      <c r="H12710">
        <v>1</v>
      </c>
      <c r="I12710" s="3">
        <v>426.94</v>
      </c>
      <c r="J12710" s="3">
        <v>0</v>
      </c>
      <c r="L12710">
        <v>3237</v>
      </c>
      <c r="M12710" t="s">
        <v>1695</v>
      </c>
      <c r="N12710" t="s">
        <v>30</v>
      </c>
      <c r="O12710" t="s">
        <v>31</v>
      </c>
      <c r="P12710" t="str">
        <f>"15217"</f>
        <v>15217</v>
      </c>
    </row>
    <row r="12711" spans="1:16" x14ac:dyDescent="0.25">
      <c r="A12711" t="str">
        <f>"1190005D00001    00"</f>
        <v>1190005D00001    00</v>
      </c>
      <c r="B12711" t="s">
        <v>27950</v>
      </c>
      <c r="C12711" t="s">
        <v>27951</v>
      </c>
      <c r="D12711" t="s">
        <v>20</v>
      </c>
      <c r="E12711" t="s">
        <v>39</v>
      </c>
      <c r="F12711">
        <v>0</v>
      </c>
      <c r="G12711">
        <v>0</v>
      </c>
      <c r="H12711">
        <v>2</v>
      </c>
      <c r="I12711" s="3">
        <v>4688.76</v>
      </c>
      <c r="J12711" s="3">
        <v>0</v>
      </c>
      <c r="K12711" t="s">
        <v>27952</v>
      </c>
      <c r="L12711">
        <v>116</v>
      </c>
      <c r="M12711" t="s">
        <v>22706</v>
      </c>
      <c r="N12711" t="s">
        <v>139</v>
      </c>
      <c r="O12711" t="s">
        <v>31</v>
      </c>
      <c r="P12711" t="str">
        <f>"15090"</f>
        <v>15090</v>
      </c>
    </row>
    <row r="12712" spans="1:16" x14ac:dyDescent="0.25">
      <c r="A12712" t="str">
        <f>"1190005D00018    00"</f>
        <v>1190005D00018    00</v>
      </c>
      <c r="B12712" t="s">
        <v>27953</v>
      </c>
      <c r="C12712" t="s">
        <v>27954</v>
      </c>
      <c r="D12712" t="s">
        <v>20</v>
      </c>
      <c r="E12712" t="s">
        <v>39</v>
      </c>
      <c r="F12712">
        <v>0</v>
      </c>
      <c r="G12712">
        <v>0</v>
      </c>
      <c r="H12712">
        <v>2</v>
      </c>
      <c r="I12712" s="3">
        <v>3162.24</v>
      </c>
      <c r="J12712" s="3">
        <v>0</v>
      </c>
      <c r="L12712">
        <v>306</v>
      </c>
      <c r="M12712" t="s">
        <v>27955</v>
      </c>
      <c r="N12712" t="s">
        <v>30</v>
      </c>
      <c r="O12712" t="s">
        <v>31</v>
      </c>
      <c r="P12712" t="str">
        <f>"15211"</f>
        <v>15211</v>
      </c>
    </row>
    <row r="12713" spans="1:16" x14ac:dyDescent="0.25">
      <c r="A12713" t="str">
        <f>"1190005D00022    00"</f>
        <v>1190005D00022    00</v>
      </c>
      <c r="B12713" t="s">
        <v>27956</v>
      </c>
      <c r="C12713" t="s">
        <v>27957</v>
      </c>
      <c r="D12713" t="s">
        <v>57</v>
      </c>
      <c r="E12713" t="s">
        <v>39</v>
      </c>
      <c r="F12713">
        <v>0</v>
      </c>
      <c r="G12713">
        <v>0</v>
      </c>
      <c r="H12713">
        <v>2</v>
      </c>
      <c r="I12713" s="3">
        <v>2292.9</v>
      </c>
      <c r="J12713" s="3">
        <v>2837.84</v>
      </c>
      <c r="K12713" t="s">
        <v>2570</v>
      </c>
      <c r="L12713">
        <v>901</v>
      </c>
      <c r="M12713" t="s">
        <v>1503</v>
      </c>
      <c r="N12713" t="s">
        <v>494</v>
      </c>
      <c r="O12713" t="s">
        <v>495</v>
      </c>
      <c r="P12713" t="str">
        <f>"91768"</f>
        <v>91768</v>
      </c>
    </row>
    <row r="12714" spans="1:16" x14ac:dyDescent="0.25">
      <c r="A12714" t="str">
        <f>"1190005D00169    00"</f>
        <v>1190005D00169    00</v>
      </c>
      <c r="B12714" t="s">
        <v>27958</v>
      </c>
      <c r="C12714" t="s">
        <v>27959</v>
      </c>
      <c r="D12714" t="s">
        <v>20</v>
      </c>
      <c r="E12714" t="s">
        <v>39</v>
      </c>
      <c r="F12714">
        <v>0</v>
      </c>
      <c r="G12714">
        <v>0</v>
      </c>
      <c r="H12714">
        <v>1</v>
      </c>
      <c r="I12714" s="3">
        <v>2283.41</v>
      </c>
      <c r="J12714" s="3">
        <v>0</v>
      </c>
      <c r="L12714">
        <v>1101</v>
      </c>
      <c r="M12714" t="s">
        <v>27399</v>
      </c>
      <c r="N12714" t="s">
        <v>30</v>
      </c>
      <c r="O12714" t="s">
        <v>31</v>
      </c>
      <c r="P12714" t="str">
        <f>"15211"</f>
        <v>15211</v>
      </c>
    </row>
    <row r="12715" spans="1:16" x14ac:dyDescent="0.25">
      <c r="A12715" t="str">
        <f>"1190005D00182    00"</f>
        <v>1190005D00182    00</v>
      </c>
      <c r="B12715" t="s">
        <v>27354</v>
      </c>
      <c r="C12715" t="s">
        <v>27960</v>
      </c>
      <c r="D12715" t="s">
        <v>20</v>
      </c>
      <c r="E12715" t="s">
        <v>39</v>
      </c>
      <c r="F12715">
        <v>0</v>
      </c>
      <c r="G12715">
        <v>0</v>
      </c>
      <c r="H12715">
        <v>1</v>
      </c>
      <c r="I12715" s="3">
        <v>1957.47</v>
      </c>
      <c r="J12715" s="3">
        <v>0</v>
      </c>
      <c r="L12715">
        <v>321</v>
      </c>
      <c r="M12715" t="s">
        <v>27318</v>
      </c>
      <c r="N12715" t="s">
        <v>30</v>
      </c>
      <c r="O12715" t="s">
        <v>31</v>
      </c>
      <c r="P12715" t="str">
        <f>"15211"</f>
        <v>15211</v>
      </c>
    </row>
    <row r="12716" spans="1:16" x14ac:dyDescent="0.25">
      <c r="A12716" t="str">
        <f>"1190005D00215    00"</f>
        <v>1190005D00215    00</v>
      </c>
      <c r="B12716" t="s">
        <v>27961</v>
      </c>
      <c r="C12716" t="s">
        <v>27962</v>
      </c>
      <c r="D12716" t="s">
        <v>20</v>
      </c>
      <c r="E12716" t="s">
        <v>39</v>
      </c>
      <c r="F12716">
        <v>0</v>
      </c>
      <c r="G12716">
        <v>0</v>
      </c>
      <c r="H12716">
        <v>1</v>
      </c>
      <c r="I12716" s="3">
        <v>1496.22</v>
      </c>
      <c r="J12716" s="3">
        <v>0</v>
      </c>
      <c r="K12716" t="s">
        <v>27963</v>
      </c>
      <c r="L12716">
        <v>1040</v>
      </c>
      <c r="M12716" t="s">
        <v>27964</v>
      </c>
      <c r="N12716" t="s">
        <v>321</v>
      </c>
      <c r="O12716" t="s">
        <v>31</v>
      </c>
      <c r="P12716" t="str">
        <f>"15001"</f>
        <v>15001</v>
      </c>
    </row>
    <row r="12717" spans="1:16" x14ac:dyDescent="0.25">
      <c r="A12717" t="str">
        <f>"1190005D00219    00"</f>
        <v>1190005D00219    00</v>
      </c>
      <c r="B12717" t="s">
        <v>27965</v>
      </c>
      <c r="C12717" t="s">
        <v>27966</v>
      </c>
      <c r="D12717" t="s">
        <v>20</v>
      </c>
      <c r="E12717" t="s">
        <v>39</v>
      </c>
      <c r="F12717">
        <v>0</v>
      </c>
      <c r="G12717">
        <v>0</v>
      </c>
      <c r="H12717">
        <v>3</v>
      </c>
      <c r="I12717" s="3">
        <v>5054.7</v>
      </c>
      <c r="J12717" s="3">
        <v>336.96</v>
      </c>
      <c r="K12717" t="s">
        <v>27967</v>
      </c>
      <c r="L12717">
        <v>1201</v>
      </c>
      <c r="M12717" t="s">
        <v>27399</v>
      </c>
      <c r="N12717" t="s">
        <v>30</v>
      </c>
      <c r="O12717" t="s">
        <v>31</v>
      </c>
      <c r="P12717" t="str">
        <f>"15211"</f>
        <v>15211</v>
      </c>
    </row>
    <row r="12718" spans="1:16" x14ac:dyDescent="0.25">
      <c r="A12718" t="str">
        <f>"1190006A00375    02"</f>
        <v>1190006A00375    02</v>
      </c>
      <c r="B12718" t="s">
        <v>27968</v>
      </c>
      <c r="C12718" t="s">
        <v>27401</v>
      </c>
      <c r="E12718" t="s">
        <v>513</v>
      </c>
      <c r="F12718">
        <v>0</v>
      </c>
      <c r="G12718">
        <v>0</v>
      </c>
      <c r="H12718">
        <v>1</v>
      </c>
      <c r="I12718" s="3">
        <v>24.97</v>
      </c>
      <c r="J12718" s="3">
        <v>29.34</v>
      </c>
      <c r="K12718" t="s">
        <v>27969</v>
      </c>
      <c r="L12718">
        <v>100</v>
      </c>
      <c r="M12718" t="s">
        <v>27970</v>
      </c>
      <c r="N12718" t="s">
        <v>27971</v>
      </c>
      <c r="O12718" t="s">
        <v>25</v>
      </c>
      <c r="P12718" t="str">
        <f>"44613"</f>
        <v>44613</v>
      </c>
    </row>
    <row r="12719" spans="1:16" x14ac:dyDescent="0.25">
      <c r="A12719" t="str">
        <f>"1190006B00161070200"</f>
        <v>1190006B00161070200</v>
      </c>
      <c r="B12719" t="s">
        <v>27972</v>
      </c>
      <c r="C12719" t="s">
        <v>27973</v>
      </c>
      <c r="E12719" t="s">
        <v>39</v>
      </c>
      <c r="F12719">
        <v>0</v>
      </c>
      <c r="G12719">
        <v>0</v>
      </c>
      <c r="H12719">
        <v>1</v>
      </c>
      <c r="I12719" s="3">
        <v>25.13</v>
      </c>
      <c r="J12719" s="3">
        <v>0.21</v>
      </c>
      <c r="K12719" t="s">
        <v>400</v>
      </c>
      <c r="L12719">
        <v>3001</v>
      </c>
      <c r="M12719" t="s">
        <v>330</v>
      </c>
      <c r="N12719" t="s">
        <v>331</v>
      </c>
      <c r="O12719" t="s">
        <v>108</v>
      </c>
      <c r="P12719" t="str">
        <f>"75063"</f>
        <v>75063</v>
      </c>
    </row>
    <row r="12720" spans="1:16" x14ac:dyDescent="0.25">
      <c r="A12720" t="str">
        <f>"1190006B00161090200"</f>
        <v>1190006B00161090200</v>
      </c>
      <c r="B12720" t="s">
        <v>27974</v>
      </c>
      <c r="C12720" t="s">
        <v>27975</v>
      </c>
      <c r="E12720" t="s">
        <v>39</v>
      </c>
      <c r="F12720">
        <v>0</v>
      </c>
      <c r="G12720">
        <v>0</v>
      </c>
      <c r="H12720">
        <v>1</v>
      </c>
      <c r="I12720" s="3">
        <v>40.270000000000003</v>
      </c>
      <c r="J12720" s="3">
        <v>9.39</v>
      </c>
      <c r="L12720">
        <v>1700</v>
      </c>
      <c r="M12720" t="s">
        <v>27976</v>
      </c>
      <c r="N12720" t="s">
        <v>30</v>
      </c>
      <c r="O12720" t="s">
        <v>31</v>
      </c>
      <c r="P12720" t="str">
        <f>"15211"</f>
        <v>15211</v>
      </c>
    </row>
    <row r="12721" spans="1:16" x14ac:dyDescent="0.25">
      <c r="A12721" t="str">
        <f>"1190006B00162    00"</f>
        <v>1190006B00162    00</v>
      </c>
      <c r="B12721" t="s">
        <v>27977</v>
      </c>
      <c r="C12721" t="s">
        <v>27465</v>
      </c>
      <c r="E12721" t="s">
        <v>39</v>
      </c>
      <c r="F12721">
        <v>0</v>
      </c>
      <c r="G12721">
        <v>0</v>
      </c>
      <c r="H12721">
        <v>1</v>
      </c>
      <c r="I12721" s="3">
        <v>87.9</v>
      </c>
      <c r="J12721" s="3">
        <v>106.73</v>
      </c>
      <c r="K12721" t="s">
        <v>1008</v>
      </c>
      <c r="P12721" t="str">
        <f>""</f>
        <v/>
      </c>
    </row>
    <row r="12722" spans="1:16" x14ac:dyDescent="0.25">
      <c r="A12722" t="str">
        <f>"1190006B00170    00"</f>
        <v>1190006B00170    00</v>
      </c>
      <c r="B12722" t="s">
        <v>27978</v>
      </c>
      <c r="C12722" t="s">
        <v>27979</v>
      </c>
      <c r="D12722" t="s">
        <v>20</v>
      </c>
      <c r="E12722" t="s">
        <v>39</v>
      </c>
      <c r="F12722">
        <v>0</v>
      </c>
      <c r="G12722">
        <v>0</v>
      </c>
      <c r="H12722">
        <v>1</v>
      </c>
      <c r="I12722" s="3">
        <v>3104.89</v>
      </c>
      <c r="J12722" s="3">
        <v>0</v>
      </c>
      <c r="L12722">
        <v>5859</v>
      </c>
      <c r="M12722" t="s">
        <v>27980</v>
      </c>
      <c r="N12722" t="s">
        <v>30</v>
      </c>
      <c r="O12722" t="s">
        <v>31</v>
      </c>
      <c r="P12722" t="str">
        <f>"15217"</f>
        <v>15217</v>
      </c>
    </row>
    <row r="12723" spans="1:16" x14ac:dyDescent="0.25">
      <c r="A12723" t="str">
        <f>"1190006C00004    00"</f>
        <v>1190006C00004    00</v>
      </c>
      <c r="B12723" t="s">
        <v>27978</v>
      </c>
      <c r="C12723" t="s">
        <v>27981</v>
      </c>
      <c r="D12723" t="s">
        <v>20</v>
      </c>
      <c r="E12723" t="s">
        <v>39</v>
      </c>
      <c r="F12723">
        <v>0</v>
      </c>
      <c r="G12723">
        <v>0</v>
      </c>
      <c r="H12723">
        <v>1</v>
      </c>
      <c r="I12723" s="3">
        <v>2550.23</v>
      </c>
      <c r="J12723" s="3">
        <v>0</v>
      </c>
      <c r="L12723">
        <v>5859</v>
      </c>
      <c r="M12723" t="s">
        <v>27980</v>
      </c>
      <c r="N12723" t="s">
        <v>30</v>
      </c>
      <c r="O12723" t="s">
        <v>31</v>
      </c>
      <c r="P12723" t="str">
        <f>"15217"</f>
        <v>15217</v>
      </c>
    </row>
    <row r="12724" spans="1:16" x14ac:dyDescent="0.25">
      <c r="A12724" t="str">
        <f>"1190006C00030    00"</f>
        <v>1190006C00030    00</v>
      </c>
      <c r="B12724" t="s">
        <v>27982</v>
      </c>
      <c r="C12724" t="s">
        <v>27983</v>
      </c>
      <c r="D12724" t="s">
        <v>20</v>
      </c>
      <c r="E12724" t="s">
        <v>21</v>
      </c>
      <c r="F12724">
        <v>0</v>
      </c>
      <c r="G12724">
        <v>0</v>
      </c>
      <c r="H12724">
        <v>2</v>
      </c>
      <c r="I12724" s="3">
        <v>5902.7</v>
      </c>
      <c r="J12724" s="3">
        <v>513.4</v>
      </c>
      <c r="K12724" t="s">
        <v>27984</v>
      </c>
      <c r="L12724">
        <v>1635</v>
      </c>
      <c r="M12724" t="s">
        <v>27985</v>
      </c>
      <c r="N12724" t="s">
        <v>30</v>
      </c>
      <c r="O12724" t="s">
        <v>31</v>
      </c>
      <c r="P12724" t="str">
        <f>"15219"</f>
        <v>15219</v>
      </c>
    </row>
    <row r="12725" spans="1:16" x14ac:dyDescent="0.25">
      <c r="A12725" t="str">
        <f>"1190006C00042    01"</f>
        <v>1190006C00042    01</v>
      </c>
      <c r="B12725" t="s">
        <v>687</v>
      </c>
      <c r="C12725" t="s">
        <v>27986</v>
      </c>
      <c r="E12725" t="s">
        <v>513</v>
      </c>
      <c r="F12725">
        <v>0</v>
      </c>
      <c r="G12725">
        <v>0</v>
      </c>
      <c r="H12725">
        <v>1</v>
      </c>
      <c r="I12725" s="3">
        <v>147.1</v>
      </c>
      <c r="J12725" s="3">
        <v>205.09</v>
      </c>
      <c r="K12725" t="s">
        <v>603</v>
      </c>
      <c r="L12725">
        <v>650</v>
      </c>
      <c r="M12725" t="s">
        <v>604</v>
      </c>
      <c r="N12725" t="s">
        <v>605</v>
      </c>
      <c r="O12725" t="s">
        <v>606</v>
      </c>
      <c r="P12725" t="str">
        <f>"30308"</f>
        <v>30308</v>
      </c>
    </row>
    <row r="12726" spans="1:16" x14ac:dyDescent="0.25">
      <c r="A12726" t="str">
        <f>"1190006C00043    00"</f>
        <v>1190006C00043    00</v>
      </c>
      <c r="B12726" t="s">
        <v>27987</v>
      </c>
      <c r="C12726" t="s">
        <v>27988</v>
      </c>
      <c r="D12726" t="s">
        <v>20</v>
      </c>
      <c r="E12726" t="s">
        <v>21</v>
      </c>
      <c r="F12726">
        <v>0</v>
      </c>
      <c r="G12726">
        <v>0</v>
      </c>
      <c r="H12726">
        <v>6</v>
      </c>
      <c r="I12726" s="3">
        <v>9939.11</v>
      </c>
      <c r="J12726" s="3">
        <v>2077.9</v>
      </c>
      <c r="K12726" t="s">
        <v>27989</v>
      </c>
      <c r="M12726" t="s">
        <v>27990</v>
      </c>
      <c r="N12726" t="s">
        <v>1474</v>
      </c>
      <c r="O12726" t="s">
        <v>31</v>
      </c>
      <c r="P12726" t="str">
        <f>"15017"</f>
        <v>15017</v>
      </c>
    </row>
    <row r="12727" spans="1:16" x14ac:dyDescent="0.25">
      <c r="A12727" t="str">
        <f>"1190006E00229    00"</f>
        <v>1190006E00229    00</v>
      </c>
      <c r="B12727" t="s">
        <v>27991</v>
      </c>
      <c r="C12727" t="s">
        <v>27992</v>
      </c>
      <c r="D12727" t="s">
        <v>20</v>
      </c>
      <c r="E12727" t="s">
        <v>39</v>
      </c>
      <c r="F12727">
        <v>0</v>
      </c>
      <c r="G12727">
        <v>0</v>
      </c>
      <c r="H12727">
        <v>5</v>
      </c>
      <c r="I12727" s="3">
        <v>1995.82</v>
      </c>
      <c r="J12727" s="3">
        <v>164</v>
      </c>
      <c r="K12727" t="s">
        <v>27993</v>
      </c>
      <c r="L12727">
        <v>1846</v>
      </c>
      <c r="M12727" t="s">
        <v>27994</v>
      </c>
      <c r="N12727" t="s">
        <v>30</v>
      </c>
      <c r="O12727" t="s">
        <v>31</v>
      </c>
      <c r="P12727" t="str">
        <f>"15211"</f>
        <v>15211</v>
      </c>
    </row>
    <row r="12728" spans="1:16" x14ac:dyDescent="0.25">
      <c r="A12728" t="str">
        <f>"1190006E00233    00"</f>
        <v>1190006E00233    00</v>
      </c>
      <c r="B12728" t="s">
        <v>27991</v>
      </c>
      <c r="C12728" t="s">
        <v>27992</v>
      </c>
      <c r="D12728" t="s">
        <v>20</v>
      </c>
      <c r="E12728" t="s">
        <v>39</v>
      </c>
      <c r="F12728">
        <v>0</v>
      </c>
      <c r="G12728">
        <v>0</v>
      </c>
      <c r="H12728">
        <v>3</v>
      </c>
      <c r="I12728" s="3">
        <v>4431.4799999999996</v>
      </c>
      <c r="J12728" s="3">
        <v>73.86</v>
      </c>
      <c r="K12728" t="s">
        <v>27993</v>
      </c>
      <c r="L12728">
        <v>1846</v>
      </c>
      <c r="M12728" t="s">
        <v>27994</v>
      </c>
      <c r="N12728" t="s">
        <v>30</v>
      </c>
      <c r="O12728" t="s">
        <v>31</v>
      </c>
      <c r="P12728" t="str">
        <f>"15211"</f>
        <v>15211</v>
      </c>
    </row>
    <row r="12729" spans="1:16" x14ac:dyDescent="0.25">
      <c r="A12729" t="str">
        <f>"1190006F00001    00"</f>
        <v>1190006F00001    00</v>
      </c>
      <c r="B12729" t="s">
        <v>27995</v>
      </c>
      <c r="C12729" t="s">
        <v>27996</v>
      </c>
      <c r="E12729" t="s">
        <v>39</v>
      </c>
      <c r="F12729">
        <v>0</v>
      </c>
      <c r="G12729">
        <v>0</v>
      </c>
      <c r="H12729">
        <v>1</v>
      </c>
      <c r="I12729" s="3">
        <v>1413.32</v>
      </c>
      <c r="J12729" s="3">
        <v>447.53</v>
      </c>
      <c r="K12729" t="s">
        <v>391</v>
      </c>
      <c r="L12729">
        <v>1</v>
      </c>
      <c r="M12729" t="s">
        <v>392</v>
      </c>
      <c r="N12729" t="s">
        <v>393</v>
      </c>
      <c r="O12729" t="s">
        <v>394</v>
      </c>
      <c r="P12729" t="str">
        <f>"50328"</f>
        <v>50328</v>
      </c>
    </row>
    <row r="12730" spans="1:16" x14ac:dyDescent="0.25">
      <c r="A12730" t="str">
        <f>"1190006F00025    00"</f>
        <v>1190006F00025    00</v>
      </c>
      <c r="B12730" t="s">
        <v>27997</v>
      </c>
      <c r="C12730" t="s">
        <v>27998</v>
      </c>
      <c r="D12730" t="s">
        <v>20</v>
      </c>
      <c r="E12730" t="s">
        <v>39</v>
      </c>
      <c r="F12730">
        <v>0</v>
      </c>
      <c r="G12730">
        <v>0</v>
      </c>
      <c r="H12730">
        <v>1</v>
      </c>
      <c r="I12730" s="3">
        <v>955.39</v>
      </c>
      <c r="J12730" s="3">
        <v>0</v>
      </c>
      <c r="L12730">
        <v>1804</v>
      </c>
      <c r="M12730" t="s">
        <v>27994</v>
      </c>
      <c r="N12730" t="s">
        <v>30</v>
      </c>
      <c r="O12730" t="s">
        <v>31</v>
      </c>
      <c r="P12730" t="str">
        <f>"15211"</f>
        <v>15211</v>
      </c>
    </row>
    <row r="12731" spans="1:16" x14ac:dyDescent="0.25">
      <c r="A12731" t="str">
        <f>"1190006F00049    00"</f>
        <v>1190006F00049    00</v>
      </c>
      <c r="B12731" t="s">
        <v>27999</v>
      </c>
      <c r="C12731" t="s">
        <v>28000</v>
      </c>
      <c r="D12731" t="s">
        <v>20</v>
      </c>
      <c r="E12731" t="s">
        <v>39</v>
      </c>
      <c r="F12731">
        <v>0</v>
      </c>
      <c r="G12731">
        <v>0</v>
      </c>
      <c r="H12731">
        <v>1</v>
      </c>
      <c r="I12731" s="3">
        <v>507</v>
      </c>
      <c r="J12731" s="3">
        <v>0</v>
      </c>
      <c r="K12731" t="s">
        <v>28001</v>
      </c>
      <c r="L12731">
        <v>211</v>
      </c>
      <c r="M12731" t="s">
        <v>27955</v>
      </c>
      <c r="N12731" t="s">
        <v>30</v>
      </c>
      <c r="O12731" t="s">
        <v>31</v>
      </c>
      <c r="P12731" t="str">
        <f>"15211"</f>
        <v>15211</v>
      </c>
    </row>
    <row r="12732" spans="1:16" x14ac:dyDescent="0.25">
      <c r="A12732" t="str">
        <f>"1190006F00062    00"</f>
        <v>1190006F00062    00</v>
      </c>
      <c r="B12732" t="s">
        <v>28002</v>
      </c>
      <c r="C12732" t="s">
        <v>28003</v>
      </c>
      <c r="E12732" t="s">
        <v>39</v>
      </c>
      <c r="F12732">
        <v>0</v>
      </c>
      <c r="G12732">
        <v>0</v>
      </c>
      <c r="H12732">
        <v>1</v>
      </c>
      <c r="I12732" s="3">
        <v>663.54</v>
      </c>
      <c r="J12732" s="3">
        <v>0</v>
      </c>
      <c r="K12732" t="s">
        <v>28004</v>
      </c>
      <c r="L12732">
        <v>10</v>
      </c>
      <c r="M12732" t="s">
        <v>28005</v>
      </c>
      <c r="N12732" t="s">
        <v>28006</v>
      </c>
      <c r="O12732" t="s">
        <v>273</v>
      </c>
      <c r="P12732" t="str">
        <f>"29909"</f>
        <v>29909</v>
      </c>
    </row>
    <row r="12733" spans="1:16" x14ac:dyDescent="0.25">
      <c r="A12733" t="str">
        <f>"1190006F00064    00"</f>
        <v>1190006F00064    00</v>
      </c>
      <c r="B12733" t="s">
        <v>28007</v>
      </c>
      <c r="C12733" t="s">
        <v>28008</v>
      </c>
      <c r="E12733" t="s">
        <v>39</v>
      </c>
      <c r="F12733">
        <v>0</v>
      </c>
      <c r="G12733">
        <v>0</v>
      </c>
      <c r="H12733">
        <v>1</v>
      </c>
      <c r="I12733" s="3">
        <v>1703.96</v>
      </c>
      <c r="J12733" s="3">
        <v>0</v>
      </c>
      <c r="L12733">
        <v>679</v>
      </c>
      <c r="M12733" t="s">
        <v>28009</v>
      </c>
      <c r="N12733" t="s">
        <v>1766</v>
      </c>
      <c r="O12733" t="s">
        <v>31</v>
      </c>
      <c r="P12733" t="str">
        <f>"15367"</f>
        <v>15367</v>
      </c>
    </row>
    <row r="12734" spans="1:16" x14ac:dyDescent="0.25">
      <c r="A12734" t="str">
        <f>"1190006F00091    00"</f>
        <v>1190006F00091    00</v>
      </c>
      <c r="B12734" t="s">
        <v>28010</v>
      </c>
      <c r="C12734" t="s">
        <v>28011</v>
      </c>
      <c r="E12734" t="s">
        <v>39</v>
      </c>
      <c r="F12734">
        <v>0</v>
      </c>
      <c r="G12734">
        <v>0</v>
      </c>
      <c r="H12734">
        <v>11</v>
      </c>
      <c r="I12734" s="3">
        <v>11513.22</v>
      </c>
      <c r="J12734" s="3">
        <v>14730.03</v>
      </c>
      <c r="L12734">
        <v>310</v>
      </c>
      <c r="M12734" t="s">
        <v>28012</v>
      </c>
      <c r="N12734" t="s">
        <v>30</v>
      </c>
      <c r="O12734" t="s">
        <v>31</v>
      </c>
      <c r="P12734" t="str">
        <f>"15211"</f>
        <v>15211</v>
      </c>
    </row>
    <row r="12735" spans="1:16" x14ac:dyDescent="0.25">
      <c r="A12735" t="str">
        <f>"1190006F00103    00"</f>
        <v>1190006F00103    00</v>
      </c>
      <c r="B12735" t="s">
        <v>28013</v>
      </c>
      <c r="C12735" t="s">
        <v>28014</v>
      </c>
      <c r="E12735" t="s">
        <v>21</v>
      </c>
      <c r="F12735">
        <v>0</v>
      </c>
      <c r="G12735">
        <v>0</v>
      </c>
      <c r="H12735">
        <v>1</v>
      </c>
      <c r="I12735" s="3">
        <v>1570.87</v>
      </c>
      <c r="J12735" s="3">
        <v>0</v>
      </c>
      <c r="L12735">
        <v>1700</v>
      </c>
      <c r="M12735" t="s">
        <v>27994</v>
      </c>
      <c r="N12735" t="s">
        <v>30</v>
      </c>
      <c r="O12735" t="s">
        <v>31</v>
      </c>
      <c r="P12735" t="str">
        <f>"15211"</f>
        <v>15211</v>
      </c>
    </row>
    <row r="12736" spans="1:16" x14ac:dyDescent="0.25">
      <c r="A12736" t="str">
        <f>"1190006F00105    00"</f>
        <v>1190006F00105    00</v>
      </c>
      <c r="B12736" t="s">
        <v>28015</v>
      </c>
      <c r="C12736" t="s">
        <v>28014</v>
      </c>
      <c r="E12736" t="s">
        <v>21</v>
      </c>
      <c r="F12736">
        <v>0</v>
      </c>
      <c r="G12736">
        <v>0</v>
      </c>
      <c r="H12736">
        <v>1</v>
      </c>
      <c r="I12736" s="3">
        <v>116.79</v>
      </c>
      <c r="J12736" s="3">
        <v>0</v>
      </c>
      <c r="L12736">
        <v>1700</v>
      </c>
      <c r="M12736" t="s">
        <v>27994</v>
      </c>
      <c r="N12736" t="s">
        <v>30</v>
      </c>
      <c r="O12736" t="s">
        <v>31</v>
      </c>
      <c r="P12736" t="str">
        <f>"15211"</f>
        <v>15211</v>
      </c>
    </row>
    <row r="12737" spans="1:16" x14ac:dyDescent="0.25">
      <c r="A12737" t="str">
        <f>"1190006F00106    00"</f>
        <v>1190006F00106    00</v>
      </c>
      <c r="B12737" t="s">
        <v>28015</v>
      </c>
      <c r="C12737" t="s">
        <v>28014</v>
      </c>
      <c r="E12737" t="s">
        <v>21</v>
      </c>
      <c r="F12737">
        <v>0</v>
      </c>
      <c r="G12737">
        <v>0</v>
      </c>
      <c r="H12737">
        <v>1</v>
      </c>
      <c r="I12737" s="3">
        <v>44.94</v>
      </c>
      <c r="J12737" s="3">
        <v>0</v>
      </c>
      <c r="L12737">
        <v>1700</v>
      </c>
      <c r="M12737" t="s">
        <v>27994</v>
      </c>
      <c r="N12737" t="s">
        <v>30</v>
      </c>
      <c r="O12737" t="s">
        <v>31</v>
      </c>
      <c r="P12737" t="str">
        <f>"15211"</f>
        <v>15211</v>
      </c>
    </row>
    <row r="12738" spans="1:16" x14ac:dyDescent="0.25">
      <c r="A12738" t="str">
        <f>"1190006F00109    00"</f>
        <v>1190006F00109    00</v>
      </c>
      <c r="B12738" t="s">
        <v>28016</v>
      </c>
      <c r="C12738" t="s">
        <v>28017</v>
      </c>
      <c r="D12738" t="s">
        <v>20</v>
      </c>
      <c r="E12738" t="s">
        <v>39</v>
      </c>
      <c r="F12738">
        <v>0</v>
      </c>
      <c r="G12738">
        <v>0</v>
      </c>
      <c r="H12738">
        <v>1</v>
      </c>
      <c r="I12738" s="3">
        <v>3981.64</v>
      </c>
      <c r="J12738" s="3">
        <v>0</v>
      </c>
      <c r="K12738" t="s">
        <v>1435</v>
      </c>
      <c r="M12738" t="s">
        <v>271</v>
      </c>
      <c r="N12738" t="s">
        <v>272</v>
      </c>
      <c r="O12738" t="s">
        <v>273</v>
      </c>
      <c r="P12738" t="str">
        <f>"29603"</f>
        <v>29603</v>
      </c>
    </row>
    <row r="12739" spans="1:16" x14ac:dyDescent="0.25">
      <c r="A12739" t="str">
        <f>"1190006F00129    00"</f>
        <v>1190006F00129    00</v>
      </c>
      <c r="B12739" t="s">
        <v>28018</v>
      </c>
      <c r="C12739" t="s">
        <v>28019</v>
      </c>
      <c r="D12739" t="s">
        <v>57</v>
      </c>
      <c r="E12739" t="s">
        <v>39</v>
      </c>
      <c r="F12739">
        <v>0</v>
      </c>
      <c r="G12739">
        <v>0</v>
      </c>
      <c r="H12739">
        <v>1</v>
      </c>
      <c r="I12739" s="3">
        <v>545.38</v>
      </c>
      <c r="J12739" s="3">
        <v>540.80999999999995</v>
      </c>
      <c r="K12739" t="s">
        <v>881</v>
      </c>
      <c r="L12739">
        <v>3001</v>
      </c>
      <c r="M12739" t="s">
        <v>330</v>
      </c>
      <c r="N12739" t="s">
        <v>331</v>
      </c>
      <c r="O12739" t="s">
        <v>108</v>
      </c>
      <c r="P12739" t="str">
        <f>"75063"</f>
        <v>75063</v>
      </c>
    </row>
    <row r="12740" spans="1:16" x14ac:dyDescent="0.25">
      <c r="A12740" t="str">
        <f>"1190006F00134    00"</f>
        <v>1190006F00134    00</v>
      </c>
      <c r="B12740" t="s">
        <v>28015</v>
      </c>
      <c r="C12740" t="s">
        <v>28020</v>
      </c>
      <c r="E12740" t="s">
        <v>21</v>
      </c>
      <c r="F12740">
        <v>0</v>
      </c>
      <c r="G12740">
        <v>0</v>
      </c>
      <c r="H12740">
        <v>1</v>
      </c>
      <c r="I12740" s="3">
        <v>51.33</v>
      </c>
      <c r="J12740" s="3">
        <v>0</v>
      </c>
      <c r="L12740">
        <v>1700</v>
      </c>
      <c r="M12740" t="s">
        <v>27994</v>
      </c>
      <c r="N12740" t="s">
        <v>30</v>
      </c>
      <c r="O12740" t="s">
        <v>31</v>
      </c>
      <c r="P12740" t="str">
        <f>"15211"</f>
        <v>15211</v>
      </c>
    </row>
    <row r="12741" spans="1:16" x14ac:dyDescent="0.25">
      <c r="A12741" t="str">
        <f>"1190006F00138    00"</f>
        <v>1190006F00138    00</v>
      </c>
      <c r="B12741" t="s">
        <v>28021</v>
      </c>
      <c r="C12741" t="s">
        <v>28022</v>
      </c>
      <c r="E12741" t="s">
        <v>39</v>
      </c>
      <c r="F12741">
        <v>0</v>
      </c>
      <c r="G12741">
        <v>0</v>
      </c>
      <c r="H12741">
        <v>2</v>
      </c>
      <c r="I12741" s="3">
        <v>3479.64</v>
      </c>
      <c r="J12741" s="3">
        <v>2077.86</v>
      </c>
      <c r="L12741">
        <v>246</v>
      </c>
      <c r="M12741" t="s">
        <v>28012</v>
      </c>
      <c r="N12741" t="s">
        <v>30</v>
      </c>
      <c r="O12741" t="s">
        <v>31</v>
      </c>
      <c r="P12741" t="str">
        <f>"15211"</f>
        <v>15211</v>
      </c>
    </row>
    <row r="12742" spans="1:16" x14ac:dyDescent="0.25">
      <c r="A12742" t="str">
        <f>"1190006F00182    00"</f>
        <v>1190006F00182    00</v>
      </c>
      <c r="B12742" t="s">
        <v>24721</v>
      </c>
      <c r="C12742" t="s">
        <v>28023</v>
      </c>
      <c r="D12742" t="s">
        <v>20</v>
      </c>
      <c r="E12742" t="s">
        <v>39</v>
      </c>
      <c r="F12742">
        <v>0</v>
      </c>
      <c r="G12742">
        <v>0</v>
      </c>
      <c r="H12742">
        <v>2</v>
      </c>
      <c r="I12742" s="3">
        <v>1666.86</v>
      </c>
      <c r="J12742" s="3">
        <v>0</v>
      </c>
      <c r="M12742" t="s">
        <v>24727</v>
      </c>
      <c r="N12742" t="s">
        <v>30</v>
      </c>
      <c r="O12742" t="s">
        <v>31</v>
      </c>
      <c r="P12742" t="str">
        <f>"15211"</f>
        <v>15211</v>
      </c>
    </row>
    <row r="12743" spans="1:16" x14ac:dyDescent="0.25">
      <c r="A12743" t="str">
        <f>"1190006F00201    00"</f>
        <v>1190006F00201    00</v>
      </c>
      <c r="B12743" t="s">
        <v>28024</v>
      </c>
      <c r="C12743" t="s">
        <v>28025</v>
      </c>
      <c r="D12743" t="s">
        <v>20</v>
      </c>
      <c r="E12743" t="s">
        <v>39</v>
      </c>
      <c r="F12743">
        <v>0</v>
      </c>
      <c r="G12743">
        <v>0</v>
      </c>
      <c r="H12743">
        <v>2</v>
      </c>
      <c r="I12743" s="3">
        <v>3337.87</v>
      </c>
      <c r="J12743" s="3">
        <v>1051.3599999999999</v>
      </c>
      <c r="K12743" t="s">
        <v>28026</v>
      </c>
      <c r="L12743">
        <v>227</v>
      </c>
      <c r="M12743" t="s">
        <v>28012</v>
      </c>
      <c r="N12743" t="s">
        <v>30</v>
      </c>
      <c r="O12743" t="s">
        <v>31</v>
      </c>
      <c r="P12743" t="str">
        <f>"15211"</f>
        <v>15211</v>
      </c>
    </row>
    <row r="12744" spans="1:16" x14ac:dyDescent="0.25">
      <c r="A12744" t="str">
        <f>"1190006F00205    00"</f>
        <v>1190006F00205    00</v>
      </c>
      <c r="B12744" t="s">
        <v>28027</v>
      </c>
      <c r="C12744" t="s">
        <v>28028</v>
      </c>
      <c r="D12744" t="s">
        <v>57</v>
      </c>
      <c r="E12744" t="s">
        <v>39</v>
      </c>
      <c r="F12744">
        <v>0</v>
      </c>
      <c r="G12744">
        <v>0</v>
      </c>
      <c r="H12744">
        <v>1</v>
      </c>
      <c r="I12744" s="3">
        <v>10159.64</v>
      </c>
      <c r="J12744" s="3">
        <v>2822.9</v>
      </c>
      <c r="K12744" t="s">
        <v>5334</v>
      </c>
      <c r="L12744">
        <v>3001</v>
      </c>
      <c r="M12744" t="s">
        <v>330</v>
      </c>
      <c r="N12744" t="s">
        <v>331</v>
      </c>
      <c r="O12744" t="s">
        <v>108</v>
      </c>
      <c r="P12744" t="str">
        <f>"75063"</f>
        <v>75063</v>
      </c>
    </row>
    <row r="12745" spans="1:16" x14ac:dyDescent="0.25">
      <c r="A12745" t="str">
        <f>"1190006F00224    00"</f>
        <v>1190006F00224    00</v>
      </c>
      <c r="B12745" t="s">
        <v>28029</v>
      </c>
      <c r="C12745" t="s">
        <v>28030</v>
      </c>
      <c r="D12745" t="s">
        <v>20</v>
      </c>
      <c r="E12745" t="s">
        <v>39</v>
      </c>
      <c r="F12745">
        <v>0</v>
      </c>
      <c r="G12745">
        <v>0</v>
      </c>
      <c r="H12745">
        <v>6</v>
      </c>
      <c r="I12745" s="3">
        <v>2610.08</v>
      </c>
      <c r="J12745" s="3">
        <v>448.65</v>
      </c>
      <c r="L12745">
        <v>232</v>
      </c>
      <c r="M12745" t="s">
        <v>28031</v>
      </c>
      <c r="N12745" t="s">
        <v>30</v>
      </c>
      <c r="O12745" t="s">
        <v>31</v>
      </c>
      <c r="P12745" t="str">
        <f>"15211"</f>
        <v>15211</v>
      </c>
    </row>
    <row r="12746" spans="1:16" x14ac:dyDescent="0.25">
      <c r="A12746" t="str">
        <f>"1190006F00230    00"</f>
        <v>1190006F00230    00</v>
      </c>
      <c r="B12746" t="s">
        <v>28032</v>
      </c>
      <c r="C12746" t="s">
        <v>28033</v>
      </c>
      <c r="E12746" t="s">
        <v>39</v>
      </c>
      <c r="F12746">
        <v>0</v>
      </c>
      <c r="G12746">
        <v>0</v>
      </c>
      <c r="H12746">
        <v>1</v>
      </c>
      <c r="I12746" s="3">
        <v>2404.4299999999998</v>
      </c>
      <c r="J12746" s="3">
        <v>0</v>
      </c>
      <c r="K12746" t="s">
        <v>4397</v>
      </c>
      <c r="L12746">
        <v>1050</v>
      </c>
      <c r="M12746" t="s">
        <v>3522</v>
      </c>
      <c r="N12746" t="s">
        <v>3827</v>
      </c>
      <c r="O12746" t="s">
        <v>70</v>
      </c>
      <c r="P12746" t="str">
        <f>"48226"</f>
        <v>48226</v>
      </c>
    </row>
    <row r="12747" spans="1:16" x14ac:dyDescent="0.25">
      <c r="A12747" t="str">
        <f>"1190006F00232    00"</f>
        <v>1190006F00232    00</v>
      </c>
      <c r="B12747" t="s">
        <v>28034</v>
      </c>
      <c r="C12747" t="s">
        <v>28035</v>
      </c>
      <c r="E12747" t="s">
        <v>39</v>
      </c>
      <c r="F12747">
        <v>0</v>
      </c>
      <c r="G12747">
        <v>0</v>
      </c>
      <c r="H12747">
        <v>2</v>
      </c>
      <c r="I12747" s="3">
        <v>2559.44</v>
      </c>
      <c r="J12747" s="3">
        <v>62.73</v>
      </c>
      <c r="K12747" t="s">
        <v>28036</v>
      </c>
      <c r="L12747">
        <v>218</v>
      </c>
      <c r="M12747" t="s">
        <v>28037</v>
      </c>
      <c r="N12747" t="s">
        <v>30</v>
      </c>
      <c r="O12747" t="s">
        <v>31</v>
      </c>
      <c r="P12747" t="str">
        <f>"15211"</f>
        <v>15211</v>
      </c>
    </row>
    <row r="12748" spans="1:16" x14ac:dyDescent="0.25">
      <c r="A12748" t="str">
        <f>"1190006F00233    00"</f>
        <v>1190006F00233    00</v>
      </c>
      <c r="B12748" t="s">
        <v>28038</v>
      </c>
      <c r="C12748" t="s">
        <v>28039</v>
      </c>
      <c r="E12748" t="s">
        <v>39</v>
      </c>
      <c r="F12748">
        <v>0</v>
      </c>
      <c r="G12748">
        <v>0</v>
      </c>
      <c r="H12748">
        <v>2</v>
      </c>
      <c r="I12748" s="3">
        <v>2952.85</v>
      </c>
      <c r="J12748" s="3">
        <v>201.93</v>
      </c>
      <c r="K12748" t="s">
        <v>1632</v>
      </c>
      <c r="M12748" t="s">
        <v>1633</v>
      </c>
      <c r="N12748" t="s">
        <v>1634</v>
      </c>
      <c r="O12748" t="s">
        <v>25</v>
      </c>
      <c r="P12748" t="str">
        <f>"45401"</f>
        <v>45401</v>
      </c>
    </row>
    <row r="12749" spans="1:16" x14ac:dyDescent="0.25">
      <c r="A12749" t="str">
        <f>"1190006F00234    00"</f>
        <v>1190006F00234    00</v>
      </c>
      <c r="B12749" t="s">
        <v>28040</v>
      </c>
      <c r="C12749" t="s">
        <v>28041</v>
      </c>
      <c r="E12749" t="s">
        <v>39</v>
      </c>
      <c r="F12749">
        <v>0</v>
      </c>
      <c r="G12749">
        <v>0</v>
      </c>
      <c r="H12749">
        <v>2</v>
      </c>
      <c r="I12749" s="3">
        <v>4267.54</v>
      </c>
      <c r="J12749" s="3">
        <v>753.97</v>
      </c>
      <c r="K12749" t="s">
        <v>403</v>
      </c>
      <c r="L12749">
        <v>3001</v>
      </c>
      <c r="M12749" t="s">
        <v>404</v>
      </c>
      <c r="N12749" t="s">
        <v>331</v>
      </c>
      <c r="O12749" t="s">
        <v>108</v>
      </c>
      <c r="P12749" t="str">
        <f>"75063"</f>
        <v>75063</v>
      </c>
    </row>
    <row r="12750" spans="1:16" x14ac:dyDescent="0.25">
      <c r="A12750" t="str">
        <f>"1190006F00252    00"</f>
        <v>1190006F00252    00</v>
      </c>
      <c r="B12750" t="s">
        <v>28042</v>
      </c>
      <c r="C12750" t="s">
        <v>28043</v>
      </c>
      <c r="D12750" t="s">
        <v>20</v>
      </c>
      <c r="E12750" t="s">
        <v>39</v>
      </c>
      <c r="F12750">
        <v>0</v>
      </c>
      <c r="G12750">
        <v>0</v>
      </c>
      <c r="H12750">
        <v>2</v>
      </c>
      <c r="I12750" s="3">
        <v>247.8</v>
      </c>
      <c r="J12750" s="3">
        <v>0</v>
      </c>
      <c r="K12750" t="s">
        <v>28044</v>
      </c>
      <c r="L12750">
        <v>1</v>
      </c>
      <c r="M12750" t="s">
        <v>4878</v>
      </c>
      <c r="N12750" t="s">
        <v>4879</v>
      </c>
      <c r="O12750" t="s">
        <v>31</v>
      </c>
      <c r="P12750" t="str">
        <f>"19428"</f>
        <v>19428</v>
      </c>
    </row>
    <row r="12751" spans="1:16" x14ac:dyDescent="0.25">
      <c r="A12751" t="str">
        <f>"1190006F00253    00"</f>
        <v>1190006F00253    00</v>
      </c>
      <c r="B12751" t="s">
        <v>28042</v>
      </c>
      <c r="C12751" t="s">
        <v>28045</v>
      </c>
      <c r="D12751" t="s">
        <v>20</v>
      </c>
      <c r="E12751" t="s">
        <v>39</v>
      </c>
      <c r="F12751">
        <v>0</v>
      </c>
      <c r="G12751">
        <v>0</v>
      </c>
      <c r="H12751">
        <v>2</v>
      </c>
      <c r="I12751" s="3">
        <v>1780.22</v>
      </c>
      <c r="J12751" s="3">
        <v>0</v>
      </c>
      <c r="K12751" t="s">
        <v>28046</v>
      </c>
      <c r="L12751">
        <v>1</v>
      </c>
      <c r="M12751" t="s">
        <v>4878</v>
      </c>
      <c r="N12751" t="s">
        <v>4879</v>
      </c>
      <c r="O12751" t="s">
        <v>31</v>
      </c>
      <c r="P12751" t="str">
        <f>"19428"</f>
        <v>19428</v>
      </c>
    </row>
    <row r="12752" spans="1:16" x14ac:dyDescent="0.25">
      <c r="A12752" t="str">
        <f>"1190006F00259    00"</f>
        <v>1190006F00259    00</v>
      </c>
      <c r="B12752" t="s">
        <v>28047</v>
      </c>
      <c r="C12752" t="s">
        <v>28043</v>
      </c>
      <c r="D12752" t="s">
        <v>20</v>
      </c>
      <c r="E12752" t="s">
        <v>39</v>
      </c>
      <c r="F12752">
        <v>0</v>
      </c>
      <c r="G12752">
        <v>0</v>
      </c>
      <c r="H12752">
        <v>15</v>
      </c>
      <c r="I12752" s="3">
        <v>7465.15</v>
      </c>
      <c r="J12752" s="3">
        <v>6239.47</v>
      </c>
      <c r="L12752">
        <v>239</v>
      </c>
      <c r="M12752" t="s">
        <v>28048</v>
      </c>
      <c r="N12752" t="s">
        <v>30</v>
      </c>
      <c r="O12752" t="s">
        <v>31</v>
      </c>
      <c r="P12752" t="str">
        <f>"15211"</f>
        <v>15211</v>
      </c>
    </row>
    <row r="12753" spans="1:16" x14ac:dyDescent="0.25">
      <c r="A12753" t="str">
        <f>"1190006F00274    00"</f>
        <v>1190006F00274    00</v>
      </c>
      <c r="B12753" t="s">
        <v>27468</v>
      </c>
      <c r="C12753" t="s">
        <v>28049</v>
      </c>
      <c r="E12753" t="s">
        <v>39</v>
      </c>
      <c r="F12753">
        <v>0</v>
      </c>
      <c r="G12753">
        <v>0</v>
      </c>
      <c r="H12753">
        <v>1</v>
      </c>
      <c r="I12753" s="3">
        <v>1230</v>
      </c>
      <c r="J12753" s="3">
        <v>0</v>
      </c>
      <c r="K12753" t="s">
        <v>27470</v>
      </c>
      <c r="L12753">
        <v>202</v>
      </c>
      <c r="M12753" t="s">
        <v>2136</v>
      </c>
      <c r="N12753" t="s">
        <v>30</v>
      </c>
      <c r="O12753" t="s">
        <v>31</v>
      </c>
      <c r="P12753" t="str">
        <f>"15228"</f>
        <v>15228</v>
      </c>
    </row>
    <row r="12754" spans="1:16" x14ac:dyDescent="0.25">
      <c r="A12754" t="str">
        <f>"1190006F00300    00"</f>
        <v>1190006F00300    00</v>
      </c>
      <c r="B12754" t="s">
        <v>28050</v>
      </c>
      <c r="C12754" t="s">
        <v>28043</v>
      </c>
      <c r="D12754" t="s">
        <v>20</v>
      </c>
      <c r="E12754" t="s">
        <v>39</v>
      </c>
      <c r="F12754">
        <v>0</v>
      </c>
      <c r="G12754">
        <v>0</v>
      </c>
      <c r="H12754">
        <v>19</v>
      </c>
      <c r="I12754" s="3">
        <v>9201.99</v>
      </c>
      <c r="J12754" s="3">
        <v>8020.59</v>
      </c>
      <c r="L12754">
        <v>511</v>
      </c>
      <c r="M12754" t="s">
        <v>28051</v>
      </c>
      <c r="N12754" t="s">
        <v>30</v>
      </c>
      <c r="O12754" t="s">
        <v>31</v>
      </c>
      <c r="P12754" t="str">
        <f>"15237"</f>
        <v>15237</v>
      </c>
    </row>
    <row r="12755" spans="1:16" x14ac:dyDescent="0.25">
      <c r="A12755" t="str">
        <f>"1190006G00014    00"</f>
        <v>1190006G00014    00</v>
      </c>
      <c r="B12755" t="s">
        <v>28052</v>
      </c>
      <c r="C12755" t="s">
        <v>28053</v>
      </c>
      <c r="D12755" t="s">
        <v>20</v>
      </c>
      <c r="E12755" t="s">
        <v>39</v>
      </c>
      <c r="F12755">
        <v>0</v>
      </c>
      <c r="G12755">
        <v>0</v>
      </c>
      <c r="H12755">
        <v>4</v>
      </c>
      <c r="I12755" s="3">
        <v>6006.91</v>
      </c>
      <c r="J12755" s="3">
        <v>709.59</v>
      </c>
      <c r="L12755">
        <v>1614</v>
      </c>
      <c r="M12755" t="s">
        <v>28054</v>
      </c>
      <c r="N12755" t="s">
        <v>30</v>
      </c>
      <c r="O12755" t="s">
        <v>31</v>
      </c>
      <c r="P12755" t="str">
        <f>"15211"</f>
        <v>15211</v>
      </c>
    </row>
    <row r="12756" spans="1:16" x14ac:dyDescent="0.25">
      <c r="A12756" t="str">
        <f>"1190006G00053    00"</f>
        <v>1190006G00053    00</v>
      </c>
      <c r="B12756" t="s">
        <v>28055</v>
      </c>
      <c r="C12756" t="s">
        <v>28056</v>
      </c>
      <c r="D12756" t="s">
        <v>20</v>
      </c>
      <c r="E12756" t="s">
        <v>39</v>
      </c>
      <c r="F12756">
        <v>0</v>
      </c>
      <c r="G12756">
        <v>0</v>
      </c>
      <c r="H12756">
        <v>6</v>
      </c>
      <c r="I12756" s="3">
        <v>4858.3900000000003</v>
      </c>
      <c r="J12756" s="3">
        <v>1970.76</v>
      </c>
      <c r="L12756">
        <v>112</v>
      </c>
      <c r="M12756" t="s">
        <v>28057</v>
      </c>
      <c r="N12756" t="s">
        <v>30</v>
      </c>
      <c r="O12756" t="s">
        <v>31</v>
      </c>
      <c r="P12756" t="str">
        <f>"15211"</f>
        <v>15211</v>
      </c>
    </row>
    <row r="12757" spans="1:16" x14ac:dyDescent="0.25">
      <c r="A12757" t="str">
        <f>"1190006G00090    00"</f>
        <v>1190006G00090    00</v>
      </c>
      <c r="B12757" t="s">
        <v>28058</v>
      </c>
      <c r="C12757" t="s">
        <v>28059</v>
      </c>
      <c r="D12757" t="s">
        <v>20</v>
      </c>
      <c r="E12757" t="s">
        <v>39</v>
      </c>
      <c r="F12757">
        <v>0</v>
      </c>
      <c r="G12757">
        <v>0</v>
      </c>
      <c r="H12757">
        <v>1</v>
      </c>
      <c r="I12757" s="3">
        <v>349.89</v>
      </c>
      <c r="J12757" s="3">
        <v>0</v>
      </c>
      <c r="K12757" t="s">
        <v>28060</v>
      </c>
      <c r="L12757">
        <v>206</v>
      </c>
      <c r="M12757" t="s">
        <v>28048</v>
      </c>
      <c r="N12757" t="s">
        <v>30</v>
      </c>
      <c r="O12757" t="s">
        <v>31</v>
      </c>
      <c r="P12757" t="str">
        <f>"15211"</f>
        <v>15211</v>
      </c>
    </row>
    <row r="12758" spans="1:16" x14ac:dyDescent="0.25">
      <c r="A12758" t="str">
        <f>"1190006G00101    00"</f>
        <v>1190006G00101    00</v>
      </c>
      <c r="B12758" t="s">
        <v>28061</v>
      </c>
      <c r="C12758" t="s">
        <v>28062</v>
      </c>
      <c r="D12758" t="s">
        <v>20</v>
      </c>
      <c r="E12758" t="s">
        <v>39</v>
      </c>
      <c r="F12758">
        <v>0</v>
      </c>
      <c r="G12758">
        <v>0</v>
      </c>
      <c r="H12758">
        <v>1</v>
      </c>
      <c r="I12758" s="3">
        <v>473.16</v>
      </c>
      <c r="J12758" s="3">
        <v>0</v>
      </c>
      <c r="K12758" t="s">
        <v>22906</v>
      </c>
      <c r="M12758" t="s">
        <v>570</v>
      </c>
      <c r="N12758" t="s">
        <v>571</v>
      </c>
      <c r="O12758" t="s">
        <v>423</v>
      </c>
      <c r="P12758" t="str">
        <f>"07101"</f>
        <v>07101</v>
      </c>
    </row>
    <row r="12759" spans="1:16" x14ac:dyDescent="0.25">
      <c r="A12759" t="str">
        <f>"1190006G00129    00"</f>
        <v>1190006G00129    00</v>
      </c>
      <c r="B12759" t="s">
        <v>28063</v>
      </c>
      <c r="C12759" t="s">
        <v>28064</v>
      </c>
      <c r="D12759" t="s">
        <v>20</v>
      </c>
      <c r="E12759" t="s">
        <v>39</v>
      </c>
      <c r="F12759">
        <v>0</v>
      </c>
      <c r="G12759">
        <v>0</v>
      </c>
      <c r="H12759">
        <v>5</v>
      </c>
      <c r="I12759" s="3">
        <v>9153.42</v>
      </c>
      <c r="J12759" s="3">
        <v>1403.39</v>
      </c>
      <c r="M12759" t="s">
        <v>28065</v>
      </c>
      <c r="N12759" t="s">
        <v>30</v>
      </c>
      <c r="O12759" t="s">
        <v>31</v>
      </c>
      <c r="P12759" t="str">
        <f>"15211"</f>
        <v>15211</v>
      </c>
    </row>
    <row r="12760" spans="1:16" x14ac:dyDescent="0.25">
      <c r="A12760" t="str">
        <f>"1190006G00157    00"</f>
        <v>1190006G00157    00</v>
      </c>
      <c r="B12760" t="s">
        <v>28066</v>
      </c>
      <c r="C12760" t="s">
        <v>28067</v>
      </c>
      <c r="D12760" t="s">
        <v>20</v>
      </c>
      <c r="E12760" t="s">
        <v>39</v>
      </c>
      <c r="F12760">
        <v>0</v>
      </c>
      <c r="G12760">
        <v>0</v>
      </c>
      <c r="H12760">
        <v>1</v>
      </c>
      <c r="I12760" s="3">
        <v>562.75</v>
      </c>
      <c r="J12760" s="3">
        <v>0</v>
      </c>
      <c r="K12760" t="s">
        <v>8630</v>
      </c>
      <c r="L12760">
        <v>2600</v>
      </c>
      <c r="M12760" t="s">
        <v>28068</v>
      </c>
      <c r="N12760" t="s">
        <v>16695</v>
      </c>
      <c r="O12760" t="s">
        <v>495</v>
      </c>
      <c r="P12760" t="str">
        <f>"92612"</f>
        <v>92612</v>
      </c>
    </row>
    <row r="12761" spans="1:16" x14ac:dyDescent="0.25">
      <c r="A12761" t="str">
        <f>"1190006G00169    00"</f>
        <v>1190006G00169    00</v>
      </c>
      <c r="B12761" t="s">
        <v>28069</v>
      </c>
      <c r="C12761" t="s">
        <v>28070</v>
      </c>
      <c r="E12761" t="s">
        <v>39</v>
      </c>
      <c r="F12761">
        <v>0</v>
      </c>
      <c r="G12761">
        <v>0</v>
      </c>
      <c r="H12761">
        <v>1</v>
      </c>
      <c r="I12761" s="3">
        <v>1063.19</v>
      </c>
      <c r="J12761" s="3">
        <v>212.63</v>
      </c>
      <c r="K12761" t="s">
        <v>1632</v>
      </c>
      <c r="L12761">
        <v>3001</v>
      </c>
      <c r="M12761" t="s">
        <v>330</v>
      </c>
      <c r="N12761" t="s">
        <v>331</v>
      </c>
      <c r="O12761" t="s">
        <v>108</v>
      </c>
      <c r="P12761" t="str">
        <f>"75063"</f>
        <v>75063</v>
      </c>
    </row>
    <row r="12762" spans="1:16" x14ac:dyDescent="0.25">
      <c r="A12762" t="str">
        <f>"1190006G00172    00"</f>
        <v>1190006G00172    00</v>
      </c>
      <c r="B12762" t="s">
        <v>28071</v>
      </c>
      <c r="C12762" t="s">
        <v>28072</v>
      </c>
      <c r="D12762" t="s">
        <v>20</v>
      </c>
      <c r="E12762" t="s">
        <v>39</v>
      </c>
      <c r="F12762">
        <v>0</v>
      </c>
      <c r="G12762">
        <v>0</v>
      </c>
      <c r="H12762">
        <v>6</v>
      </c>
      <c r="I12762" s="3">
        <v>7948.05</v>
      </c>
      <c r="J12762" s="3">
        <v>1745.28</v>
      </c>
      <c r="L12762">
        <v>218</v>
      </c>
      <c r="M12762" t="s">
        <v>28057</v>
      </c>
      <c r="N12762" t="s">
        <v>30</v>
      </c>
      <c r="O12762" t="s">
        <v>31</v>
      </c>
      <c r="P12762" t="str">
        <f>"15211"</f>
        <v>15211</v>
      </c>
    </row>
    <row r="12763" spans="1:16" x14ac:dyDescent="0.25">
      <c r="A12763" t="str">
        <f>"1190006G00188    00"</f>
        <v>1190006G00188    00</v>
      </c>
      <c r="B12763" t="s">
        <v>28073</v>
      </c>
      <c r="C12763" t="s">
        <v>28074</v>
      </c>
      <c r="E12763" t="s">
        <v>39</v>
      </c>
      <c r="F12763">
        <v>0</v>
      </c>
      <c r="G12763">
        <v>0</v>
      </c>
      <c r="H12763">
        <v>2</v>
      </c>
      <c r="I12763" s="3">
        <v>3089.27</v>
      </c>
      <c r="J12763" s="3">
        <v>401.77</v>
      </c>
      <c r="K12763" t="s">
        <v>28075</v>
      </c>
      <c r="L12763">
        <v>11</v>
      </c>
      <c r="M12763" t="s">
        <v>28076</v>
      </c>
      <c r="N12763" t="s">
        <v>28077</v>
      </c>
      <c r="O12763" t="s">
        <v>370</v>
      </c>
      <c r="P12763" t="str">
        <f>"33444"</f>
        <v>33444</v>
      </c>
    </row>
    <row r="12764" spans="1:16" x14ac:dyDescent="0.25">
      <c r="A12764" t="str">
        <f>"1190006H00057    00"</f>
        <v>1190006H00057    00</v>
      </c>
      <c r="B12764" t="s">
        <v>27987</v>
      </c>
      <c r="C12764" t="s">
        <v>27986</v>
      </c>
      <c r="D12764" t="s">
        <v>20</v>
      </c>
      <c r="E12764" t="s">
        <v>21</v>
      </c>
      <c r="F12764">
        <v>0</v>
      </c>
      <c r="G12764">
        <v>0</v>
      </c>
      <c r="H12764">
        <v>6</v>
      </c>
      <c r="I12764" s="3">
        <v>12681.66</v>
      </c>
      <c r="J12764" s="3">
        <v>2651.26</v>
      </c>
      <c r="K12764" t="s">
        <v>27989</v>
      </c>
      <c r="M12764" t="s">
        <v>27990</v>
      </c>
      <c r="N12764" t="s">
        <v>1474</v>
      </c>
      <c r="O12764" t="s">
        <v>31</v>
      </c>
      <c r="P12764" t="str">
        <f>"15017"</f>
        <v>15017</v>
      </c>
    </row>
    <row r="12765" spans="1:16" x14ac:dyDescent="0.25">
      <c r="A12765" t="str">
        <f>"1190006J00003    00"</f>
        <v>1190006J00003    00</v>
      </c>
      <c r="B12765" t="s">
        <v>28078</v>
      </c>
      <c r="C12765" t="s">
        <v>28079</v>
      </c>
      <c r="D12765" t="s">
        <v>57</v>
      </c>
      <c r="E12765" t="s">
        <v>39</v>
      </c>
      <c r="F12765">
        <v>0</v>
      </c>
      <c r="G12765">
        <v>0</v>
      </c>
      <c r="H12765">
        <v>1</v>
      </c>
      <c r="I12765" s="3">
        <v>56.46</v>
      </c>
      <c r="J12765" s="3">
        <v>0</v>
      </c>
      <c r="K12765" t="s">
        <v>28080</v>
      </c>
      <c r="L12765">
        <v>497</v>
      </c>
      <c r="M12765" t="s">
        <v>28081</v>
      </c>
      <c r="N12765" t="s">
        <v>30</v>
      </c>
      <c r="O12765" t="s">
        <v>31</v>
      </c>
      <c r="P12765" t="str">
        <f>"15211"</f>
        <v>15211</v>
      </c>
    </row>
    <row r="12766" spans="1:16" x14ac:dyDescent="0.25">
      <c r="A12766" t="str">
        <f>"1190006J00007    00"</f>
        <v>1190006J00007    00</v>
      </c>
      <c r="B12766" t="s">
        <v>28082</v>
      </c>
      <c r="C12766" t="s">
        <v>28083</v>
      </c>
      <c r="D12766" t="s">
        <v>5698</v>
      </c>
      <c r="E12766" t="s">
        <v>39</v>
      </c>
      <c r="F12766">
        <v>0</v>
      </c>
      <c r="G12766">
        <v>0</v>
      </c>
      <c r="H12766">
        <v>1</v>
      </c>
      <c r="I12766" s="3">
        <v>2221.56</v>
      </c>
      <c r="J12766" s="3">
        <v>55.53</v>
      </c>
      <c r="K12766" t="s">
        <v>881</v>
      </c>
      <c r="L12766">
        <v>3001</v>
      </c>
      <c r="M12766" t="s">
        <v>330</v>
      </c>
      <c r="N12766" t="s">
        <v>331</v>
      </c>
      <c r="O12766" t="s">
        <v>108</v>
      </c>
      <c r="P12766" t="str">
        <f>"75063"</f>
        <v>75063</v>
      </c>
    </row>
    <row r="12767" spans="1:16" x14ac:dyDescent="0.25">
      <c r="A12767" t="str">
        <f>"1190006K00007    00"</f>
        <v>1190006K00007    00</v>
      </c>
      <c r="B12767" t="s">
        <v>28084</v>
      </c>
      <c r="C12767" t="s">
        <v>28085</v>
      </c>
      <c r="E12767" t="s">
        <v>39</v>
      </c>
      <c r="F12767">
        <v>0</v>
      </c>
      <c r="G12767">
        <v>0</v>
      </c>
      <c r="H12767">
        <v>2</v>
      </c>
      <c r="I12767" s="3">
        <v>50.54</v>
      </c>
      <c r="J12767" s="3">
        <v>0.64</v>
      </c>
      <c r="K12767" t="s">
        <v>3637</v>
      </c>
      <c r="L12767">
        <v>901</v>
      </c>
      <c r="M12767" t="s">
        <v>1503</v>
      </c>
      <c r="N12767" t="s">
        <v>494</v>
      </c>
      <c r="O12767" t="s">
        <v>495</v>
      </c>
      <c r="P12767" t="str">
        <f>"91768"</f>
        <v>91768</v>
      </c>
    </row>
    <row r="12768" spans="1:16" x14ac:dyDescent="0.25">
      <c r="A12768" t="str">
        <f>"1190006K00011    00"</f>
        <v>1190006K00011    00</v>
      </c>
      <c r="B12768" t="s">
        <v>28086</v>
      </c>
      <c r="C12768" t="s">
        <v>28087</v>
      </c>
      <c r="D12768" t="s">
        <v>20</v>
      </c>
      <c r="E12768" t="s">
        <v>39</v>
      </c>
      <c r="F12768">
        <v>0</v>
      </c>
      <c r="G12768">
        <v>0</v>
      </c>
      <c r="H12768">
        <v>1</v>
      </c>
      <c r="I12768" s="3">
        <v>127.32</v>
      </c>
      <c r="J12768" s="3">
        <v>31.83</v>
      </c>
      <c r="K12768" t="s">
        <v>28088</v>
      </c>
      <c r="L12768">
        <v>410</v>
      </c>
      <c r="M12768" t="s">
        <v>28089</v>
      </c>
      <c r="N12768" t="s">
        <v>28090</v>
      </c>
      <c r="O12768" t="s">
        <v>9696</v>
      </c>
      <c r="P12768" t="str">
        <f>"46032"</f>
        <v>46032</v>
      </c>
    </row>
    <row r="12769" spans="1:16" x14ac:dyDescent="0.25">
      <c r="A12769" t="str">
        <f>"1190006K00091    00"</f>
        <v>1190006K00091    00</v>
      </c>
      <c r="B12769" t="s">
        <v>28091</v>
      </c>
      <c r="C12769" t="s">
        <v>28092</v>
      </c>
      <c r="E12769" t="s">
        <v>39</v>
      </c>
      <c r="F12769">
        <v>0</v>
      </c>
      <c r="G12769">
        <v>0</v>
      </c>
      <c r="H12769">
        <v>1</v>
      </c>
      <c r="I12769" s="3">
        <v>681.63</v>
      </c>
      <c r="J12769" s="3">
        <v>0</v>
      </c>
      <c r="K12769" t="s">
        <v>28093</v>
      </c>
      <c r="L12769">
        <v>1333</v>
      </c>
      <c r="M12769" t="s">
        <v>28094</v>
      </c>
      <c r="N12769" t="s">
        <v>19152</v>
      </c>
      <c r="O12769" t="s">
        <v>3486</v>
      </c>
      <c r="P12769" t="str">
        <f>"60515"</f>
        <v>60515</v>
      </c>
    </row>
    <row r="12770" spans="1:16" x14ac:dyDescent="0.25">
      <c r="A12770" t="str">
        <f>"1190006K00096    00"</f>
        <v>1190006K00096    00</v>
      </c>
      <c r="B12770" t="s">
        <v>28095</v>
      </c>
      <c r="C12770" t="s">
        <v>28096</v>
      </c>
      <c r="E12770" t="s">
        <v>39</v>
      </c>
      <c r="F12770">
        <v>0</v>
      </c>
      <c r="G12770">
        <v>0</v>
      </c>
      <c r="H12770">
        <v>1</v>
      </c>
      <c r="I12770" s="3">
        <v>82</v>
      </c>
      <c r="J12770" s="3">
        <v>0</v>
      </c>
      <c r="K12770" t="s">
        <v>28097</v>
      </c>
      <c r="L12770">
        <v>36</v>
      </c>
      <c r="M12770" t="s">
        <v>28098</v>
      </c>
      <c r="N12770" t="s">
        <v>30</v>
      </c>
      <c r="O12770" t="s">
        <v>31</v>
      </c>
      <c r="P12770" t="str">
        <f>"15205"</f>
        <v>15205</v>
      </c>
    </row>
    <row r="12771" spans="1:16" x14ac:dyDescent="0.25">
      <c r="A12771" t="str">
        <f>"1190006K00127    00"</f>
        <v>1190006K00127    00</v>
      </c>
      <c r="B12771" t="s">
        <v>28099</v>
      </c>
      <c r="C12771" t="s">
        <v>28100</v>
      </c>
      <c r="E12771" t="s">
        <v>39</v>
      </c>
      <c r="F12771">
        <v>0</v>
      </c>
      <c r="G12771">
        <v>0</v>
      </c>
      <c r="H12771">
        <v>2</v>
      </c>
      <c r="I12771" s="3">
        <v>2656.98</v>
      </c>
      <c r="J12771" s="3">
        <v>265.69</v>
      </c>
      <c r="K12771" t="s">
        <v>28093</v>
      </c>
      <c r="L12771">
        <v>1333</v>
      </c>
      <c r="M12771" t="s">
        <v>28101</v>
      </c>
      <c r="N12771" t="s">
        <v>19152</v>
      </c>
      <c r="O12771" t="s">
        <v>3486</v>
      </c>
      <c r="P12771" t="str">
        <f>"60515"</f>
        <v>60515</v>
      </c>
    </row>
    <row r="12772" spans="1:16" x14ac:dyDescent="0.25">
      <c r="A12772" t="str">
        <f>"1190006K00132    00"</f>
        <v>1190006K00132    00</v>
      </c>
      <c r="B12772" t="s">
        <v>28102</v>
      </c>
      <c r="C12772" t="s">
        <v>28103</v>
      </c>
      <c r="D12772" t="s">
        <v>20</v>
      </c>
      <c r="E12772" t="s">
        <v>39</v>
      </c>
      <c r="F12772">
        <v>0</v>
      </c>
      <c r="G12772">
        <v>0</v>
      </c>
      <c r="H12772">
        <v>3</v>
      </c>
      <c r="I12772" s="3">
        <v>2840.57</v>
      </c>
      <c r="J12772" s="3">
        <v>201.2</v>
      </c>
      <c r="L12772">
        <v>346</v>
      </c>
      <c r="M12772" t="s">
        <v>28012</v>
      </c>
      <c r="N12772" t="s">
        <v>30</v>
      </c>
      <c r="O12772" t="s">
        <v>31</v>
      </c>
      <c r="P12772" t="str">
        <f>"15211"</f>
        <v>15211</v>
      </c>
    </row>
    <row r="12773" spans="1:16" x14ac:dyDescent="0.25">
      <c r="A12773" t="str">
        <f>"1190006K00146    00"</f>
        <v>1190006K00146    00</v>
      </c>
      <c r="B12773" t="s">
        <v>28104</v>
      </c>
      <c r="C12773" t="s">
        <v>28043</v>
      </c>
      <c r="D12773" t="s">
        <v>20</v>
      </c>
      <c r="E12773" t="s">
        <v>39</v>
      </c>
      <c r="F12773">
        <v>0</v>
      </c>
      <c r="G12773">
        <v>0</v>
      </c>
      <c r="H12773">
        <v>6</v>
      </c>
      <c r="I12773" s="3">
        <v>2404.27</v>
      </c>
      <c r="J12773" s="3">
        <v>539.22</v>
      </c>
      <c r="L12773">
        <v>2025</v>
      </c>
      <c r="M12773" t="s">
        <v>28105</v>
      </c>
      <c r="N12773" t="s">
        <v>28106</v>
      </c>
      <c r="O12773" t="s">
        <v>2109</v>
      </c>
      <c r="P12773" t="str">
        <f>"84098"</f>
        <v>84098</v>
      </c>
    </row>
    <row r="12774" spans="1:16" x14ac:dyDescent="0.25">
      <c r="A12774" t="str">
        <f>"1190006K00177    00"</f>
        <v>1190006K00177    00</v>
      </c>
      <c r="B12774" t="s">
        <v>28107</v>
      </c>
      <c r="C12774" t="s">
        <v>28108</v>
      </c>
      <c r="D12774" t="s">
        <v>20</v>
      </c>
      <c r="E12774" t="s">
        <v>39</v>
      </c>
      <c r="F12774">
        <v>0</v>
      </c>
      <c r="G12774">
        <v>0</v>
      </c>
      <c r="H12774">
        <v>1</v>
      </c>
      <c r="I12774" s="3">
        <v>47.66</v>
      </c>
      <c r="J12774" s="3">
        <v>0</v>
      </c>
      <c r="L12774">
        <v>349</v>
      </c>
      <c r="M12774" t="s">
        <v>28012</v>
      </c>
      <c r="N12774" t="s">
        <v>30</v>
      </c>
      <c r="O12774" t="s">
        <v>31</v>
      </c>
      <c r="P12774" t="str">
        <f>"15211"</f>
        <v>15211</v>
      </c>
    </row>
    <row r="12775" spans="1:16" x14ac:dyDescent="0.25">
      <c r="A12775" t="str">
        <f>"1190006K00240    00"</f>
        <v>1190006K00240    00</v>
      </c>
      <c r="B12775" t="s">
        <v>27409</v>
      </c>
      <c r="C12775" t="s">
        <v>28109</v>
      </c>
      <c r="D12775" t="s">
        <v>20</v>
      </c>
      <c r="E12775" t="s">
        <v>39</v>
      </c>
      <c r="F12775">
        <v>0</v>
      </c>
      <c r="G12775">
        <v>0</v>
      </c>
      <c r="H12775">
        <v>1</v>
      </c>
      <c r="I12775" s="3">
        <v>533.67999999999995</v>
      </c>
      <c r="J12775" s="3">
        <v>0</v>
      </c>
      <c r="L12775">
        <v>329</v>
      </c>
      <c r="M12775" t="s">
        <v>27399</v>
      </c>
      <c r="N12775" t="s">
        <v>30</v>
      </c>
      <c r="O12775" t="s">
        <v>31</v>
      </c>
      <c r="P12775" t="str">
        <f>"15211"</f>
        <v>15211</v>
      </c>
    </row>
    <row r="12776" spans="1:16" x14ac:dyDescent="0.25">
      <c r="A12776" t="str">
        <f>"1190006K00242    00"</f>
        <v>1190006K00242    00</v>
      </c>
      <c r="B12776" t="s">
        <v>27407</v>
      </c>
      <c r="C12776" t="s">
        <v>28043</v>
      </c>
      <c r="D12776" t="s">
        <v>20</v>
      </c>
      <c r="E12776" t="s">
        <v>39</v>
      </c>
      <c r="F12776">
        <v>0</v>
      </c>
      <c r="G12776">
        <v>0</v>
      </c>
      <c r="H12776">
        <v>1</v>
      </c>
      <c r="I12776" s="3">
        <v>38.119999999999997</v>
      </c>
      <c r="J12776" s="3">
        <v>0</v>
      </c>
      <c r="L12776">
        <v>329</v>
      </c>
      <c r="M12776" t="s">
        <v>27399</v>
      </c>
      <c r="N12776" t="s">
        <v>30</v>
      </c>
      <c r="O12776" t="s">
        <v>31</v>
      </c>
      <c r="P12776" t="str">
        <f>"15211"</f>
        <v>15211</v>
      </c>
    </row>
    <row r="12777" spans="1:16" x14ac:dyDescent="0.25">
      <c r="A12777" t="str">
        <f>"1190006K00267    00"</f>
        <v>1190006K00267    00</v>
      </c>
      <c r="B12777" t="s">
        <v>28110</v>
      </c>
      <c r="C12777" t="s">
        <v>28111</v>
      </c>
      <c r="E12777" t="s">
        <v>39</v>
      </c>
      <c r="F12777">
        <v>0</v>
      </c>
      <c r="G12777">
        <v>0</v>
      </c>
      <c r="H12777">
        <v>3</v>
      </c>
      <c r="I12777" s="3">
        <v>6242.21</v>
      </c>
      <c r="J12777" s="3">
        <v>1396.2</v>
      </c>
      <c r="K12777" t="s">
        <v>28112</v>
      </c>
      <c r="L12777">
        <v>333</v>
      </c>
      <c r="M12777" t="s">
        <v>28048</v>
      </c>
      <c r="N12777" t="s">
        <v>30</v>
      </c>
      <c r="O12777" t="s">
        <v>31</v>
      </c>
      <c r="P12777" t="str">
        <f>"15211"</f>
        <v>15211</v>
      </c>
    </row>
    <row r="12778" spans="1:16" x14ac:dyDescent="0.25">
      <c r="A12778" t="str">
        <f>"1190006K00276    00"</f>
        <v>1190006K00276    00</v>
      </c>
      <c r="B12778" t="s">
        <v>28113</v>
      </c>
      <c r="C12778" t="s">
        <v>28114</v>
      </c>
      <c r="E12778" t="s">
        <v>39</v>
      </c>
      <c r="F12778">
        <v>0</v>
      </c>
      <c r="G12778">
        <v>0</v>
      </c>
      <c r="H12778">
        <v>1</v>
      </c>
      <c r="I12778" s="3">
        <v>3961.68</v>
      </c>
      <c r="J12778" s="3">
        <v>4093.58</v>
      </c>
      <c r="K12778" t="s">
        <v>391</v>
      </c>
      <c r="L12778">
        <v>1</v>
      </c>
      <c r="M12778" t="s">
        <v>392</v>
      </c>
      <c r="N12778" t="s">
        <v>393</v>
      </c>
      <c r="O12778" t="s">
        <v>394</v>
      </c>
      <c r="P12778" t="str">
        <f>"50328"</f>
        <v>50328</v>
      </c>
    </row>
    <row r="12779" spans="1:16" x14ac:dyDescent="0.25">
      <c r="A12779" t="str">
        <f>"1190006K00286    00"</f>
        <v>1190006K00286    00</v>
      </c>
      <c r="B12779" t="s">
        <v>28115</v>
      </c>
      <c r="C12779" t="s">
        <v>28116</v>
      </c>
      <c r="D12779" t="s">
        <v>20</v>
      </c>
      <c r="E12779" t="s">
        <v>39</v>
      </c>
      <c r="F12779">
        <v>0</v>
      </c>
      <c r="G12779">
        <v>0</v>
      </c>
      <c r="H12779">
        <v>5</v>
      </c>
      <c r="I12779" s="3">
        <v>2221.62</v>
      </c>
      <c r="J12779" s="3">
        <v>384.58</v>
      </c>
      <c r="L12779">
        <v>428</v>
      </c>
      <c r="M12779" t="s">
        <v>28117</v>
      </c>
      <c r="N12779" t="s">
        <v>30</v>
      </c>
      <c r="O12779" t="s">
        <v>31</v>
      </c>
      <c r="P12779" t="str">
        <f>"15211"</f>
        <v>15211</v>
      </c>
    </row>
    <row r="12780" spans="1:16" x14ac:dyDescent="0.25">
      <c r="A12780" t="str">
        <f>"1190006L00018A   00"</f>
        <v>1190006L00018A   00</v>
      </c>
      <c r="B12780" t="s">
        <v>28118</v>
      </c>
      <c r="C12780" t="s">
        <v>28119</v>
      </c>
      <c r="E12780" t="s">
        <v>39</v>
      </c>
      <c r="F12780">
        <v>0</v>
      </c>
      <c r="G12780">
        <v>0</v>
      </c>
      <c r="H12780">
        <v>1</v>
      </c>
      <c r="I12780" s="3">
        <v>28.09</v>
      </c>
      <c r="J12780" s="3">
        <v>27.85</v>
      </c>
      <c r="K12780" t="s">
        <v>1030</v>
      </c>
      <c r="M12780" t="s">
        <v>1031</v>
      </c>
      <c r="N12780" t="s">
        <v>1032</v>
      </c>
      <c r="O12780" t="s">
        <v>25</v>
      </c>
      <c r="P12780" t="str">
        <f>"44711"</f>
        <v>44711</v>
      </c>
    </row>
    <row r="12781" spans="1:16" x14ac:dyDescent="0.25">
      <c r="A12781" t="str">
        <f>"1190006L00093    00"</f>
        <v>1190006L00093    00</v>
      </c>
      <c r="B12781" t="s">
        <v>28120</v>
      </c>
      <c r="C12781" t="s">
        <v>28121</v>
      </c>
      <c r="E12781" t="s">
        <v>39</v>
      </c>
      <c r="F12781">
        <v>0</v>
      </c>
      <c r="G12781">
        <v>0</v>
      </c>
      <c r="H12781">
        <v>1</v>
      </c>
      <c r="I12781" s="3">
        <v>2035.63</v>
      </c>
      <c r="J12781" s="3">
        <v>559.78</v>
      </c>
      <c r="K12781" t="s">
        <v>4801</v>
      </c>
      <c r="L12781">
        <v>1</v>
      </c>
      <c r="M12781" t="s">
        <v>4802</v>
      </c>
      <c r="N12781" t="s">
        <v>4803</v>
      </c>
      <c r="O12781" t="s">
        <v>554</v>
      </c>
      <c r="P12781" t="str">
        <f>"26003"</f>
        <v>26003</v>
      </c>
    </row>
    <row r="12782" spans="1:16" x14ac:dyDescent="0.25">
      <c r="A12782" t="str">
        <f>"1190006L00097    00"</f>
        <v>1190006L00097    00</v>
      </c>
      <c r="B12782" t="s">
        <v>28122</v>
      </c>
      <c r="C12782" t="s">
        <v>28123</v>
      </c>
      <c r="D12782" t="s">
        <v>20</v>
      </c>
      <c r="E12782" t="s">
        <v>39</v>
      </c>
      <c r="F12782">
        <v>0</v>
      </c>
      <c r="G12782">
        <v>0</v>
      </c>
      <c r="H12782">
        <v>3</v>
      </c>
      <c r="I12782" s="3">
        <v>3324.4</v>
      </c>
      <c r="J12782" s="3">
        <v>192.97</v>
      </c>
      <c r="K12782" t="s">
        <v>2302</v>
      </c>
      <c r="L12782">
        <v>3001</v>
      </c>
      <c r="M12782" t="s">
        <v>330</v>
      </c>
      <c r="N12782" t="s">
        <v>331</v>
      </c>
      <c r="O12782" t="s">
        <v>108</v>
      </c>
      <c r="P12782" t="str">
        <f>"75063"</f>
        <v>75063</v>
      </c>
    </row>
    <row r="12783" spans="1:16" x14ac:dyDescent="0.25">
      <c r="A12783" t="str">
        <f>"1190006L00138    00"</f>
        <v>1190006L00138    00</v>
      </c>
      <c r="B12783" t="s">
        <v>28124</v>
      </c>
      <c r="C12783" t="s">
        <v>28125</v>
      </c>
      <c r="E12783" t="s">
        <v>39</v>
      </c>
      <c r="F12783">
        <v>0</v>
      </c>
      <c r="G12783">
        <v>0</v>
      </c>
      <c r="H12783">
        <v>2</v>
      </c>
      <c r="I12783" s="3">
        <v>1688.93</v>
      </c>
      <c r="J12783" s="3">
        <v>115.49</v>
      </c>
      <c r="K12783" t="s">
        <v>1135</v>
      </c>
      <c r="L12783">
        <v>3001</v>
      </c>
      <c r="M12783" t="s">
        <v>330</v>
      </c>
      <c r="N12783" t="s">
        <v>331</v>
      </c>
      <c r="O12783" t="s">
        <v>108</v>
      </c>
      <c r="P12783" t="str">
        <f>"75063"</f>
        <v>75063</v>
      </c>
    </row>
    <row r="12784" spans="1:16" x14ac:dyDescent="0.25">
      <c r="A12784" t="str">
        <f>"1190006L00177    00"</f>
        <v>1190006L00177    00</v>
      </c>
      <c r="B12784" t="s">
        <v>28126</v>
      </c>
      <c r="C12784" t="s">
        <v>28127</v>
      </c>
      <c r="D12784" t="s">
        <v>20</v>
      </c>
      <c r="E12784" t="s">
        <v>39</v>
      </c>
      <c r="F12784">
        <v>0</v>
      </c>
      <c r="G12784">
        <v>0</v>
      </c>
      <c r="H12784">
        <v>3</v>
      </c>
      <c r="I12784" s="3">
        <v>8165.31</v>
      </c>
      <c r="J12784" s="3">
        <v>68.03</v>
      </c>
      <c r="K12784" t="s">
        <v>28128</v>
      </c>
      <c r="M12784" t="s">
        <v>28129</v>
      </c>
      <c r="N12784" t="s">
        <v>21931</v>
      </c>
      <c r="O12784" t="s">
        <v>2767</v>
      </c>
      <c r="P12784" t="str">
        <f>"35202"</f>
        <v>35202</v>
      </c>
    </row>
    <row r="12785" spans="1:16" x14ac:dyDescent="0.25">
      <c r="A12785" t="str">
        <f>"1190006L00193    00"</f>
        <v>1190006L00193    00</v>
      </c>
      <c r="B12785" t="s">
        <v>28130</v>
      </c>
      <c r="C12785" t="s">
        <v>28131</v>
      </c>
      <c r="D12785" t="s">
        <v>20</v>
      </c>
      <c r="E12785" t="s">
        <v>39</v>
      </c>
      <c r="F12785">
        <v>0</v>
      </c>
      <c r="G12785">
        <v>0</v>
      </c>
      <c r="H12785">
        <v>3</v>
      </c>
      <c r="I12785" s="3">
        <v>409.53</v>
      </c>
      <c r="J12785" s="3">
        <v>64.59</v>
      </c>
      <c r="L12785">
        <v>349</v>
      </c>
      <c r="M12785" t="s">
        <v>28057</v>
      </c>
      <c r="N12785" t="s">
        <v>30</v>
      </c>
      <c r="O12785" t="s">
        <v>31</v>
      </c>
      <c r="P12785" t="str">
        <f t="shared" ref="P12785:P12792" si="160">"15211"</f>
        <v>15211</v>
      </c>
    </row>
    <row r="12786" spans="1:16" x14ac:dyDescent="0.25">
      <c r="A12786" t="str">
        <f>"1190006L00195    00"</f>
        <v>1190006L00195    00</v>
      </c>
      <c r="B12786" t="s">
        <v>28130</v>
      </c>
      <c r="C12786" t="s">
        <v>28131</v>
      </c>
      <c r="D12786" t="s">
        <v>20</v>
      </c>
      <c r="E12786" t="s">
        <v>39</v>
      </c>
      <c r="F12786">
        <v>0</v>
      </c>
      <c r="G12786">
        <v>0</v>
      </c>
      <c r="H12786">
        <v>3</v>
      </c>
      <c r="I12786" s="3">
        <v>500.55</v>
      </c>
      <c r="J12786" s="3">
        <v>78.94</v>
      </c>
      <c r="L12786">
        <v>349</v>
      </c>
      <c r="M12786" t="s">
        <v>28057</v>
      </c>
      <c r="N12786" t="s">
        <v>30</v>
      </c>
      <c r="O12786" t="s">
        <v>31</v>
      </c>
      <c r="P12786" t="str">
        <f t="shared" si="160"/>
        <v>15211</v>
      </c>
    </row>
    <row r="12787" spans="1:16" x14ac:dyDescent="0.25">
      <c r="A12787" t="str">
        <f>"1190006L00198    00"</f>
        <v>1190006L00198    00</v>
      </c>
      <c r="B12787" t="s">
        <v>28130</v>
      </c>
      <c r="C12787" t="s">
        <v>28131</v>
      </c>
      <c r="D12787" t="s">
        <v>20</v>
      </c>
      <c r="E12787" t="s">
        <v>39</v>
      </c>
      <c r="F12787">
        <v>0</v>
      </c>
      <c r="G12787">
        <v>0</v>
      </c>
      <c r="H12787">
        <v>3</v>
      </c>
      <c r="I12787" s="3">
        <v>265.01</v>
      </c>
      <c r="J12787" s="3">
        <v>43.67</v>
      </c>
      <c r="L12787">
        <v>349</v>
      </c>
      <c r="M12787" t="s">
        <v>28057</v>
      </c>
      <c r="N12787" t="s">
        <v>30</v>
      </c>
      <c r="O12787" t="s">
        <v>31</v>
      </c>
      <c r="P12787" t="str">
        <f t="shared" si="160"/>
        <v>15211</v>
      </c>
    </row>
    <row r="12788" spans="1:16" x14ac:dyDescent="0.25">
      <c r="A12788" t="str">
        <f>"1190006L00199    00"</f>
        <v>1190006L00199    00</v>
      </c>
      <c r="B12788" t="s">
        <v>28132</v>
      </c>
      <c r="C12788" t="s">
        <v>27949</v>
      </c>
      <c r="D12788" t="s">
        <v>20</v>
      </c>
      <c r="E12788" t="s">
        <v>39</v>
      </c>
      <c r="F12788">
        <v>0</v>
      </c>
      <c r="G12788">
        <v>0</v>
      </c>
      <c r="H12788">
        <v>1</v>
      </c>
      <c r="I12788" s="3">
        <v>93.4</v>
      </c>
      <c r="J12788" s="3">
        <v>0</v>
      </c>
      <c r="L12788">
        <v>1518</v>
      </c>
      <c r="M12788" t="s">
        <v>28133</v>
      </c>
      <c r="N12788" t="s">
        <v>30</v>
      </c>
      <c r="O12788" t="s">
        <v>31</v>
      </c>
      <c r="P12788" t="str">
        <f t="shared" si="160"/>
        <v>15211</v>
      </c>
    </row>
    <row r="12789" spans="1:16" x14ac:dyDescent="0.25">
      <c r="A12789" t="str">
        <f>"1190006L00200    00"</f>
        <v>1190006L00200    00</v>
      </c>
      <c r="B12789" t="s">
        <v>28134</v>
      </c>
      <c r="C12789" t="s">
        <v>28135</v>
      </c>
      <c r="D12789" t="s">
        <v>20</v>
      </c>
      <c r="E12789" t="s">
        <v>39</v>
      </c>
      <c r="F12789">
        <v>0</v>
      </c>
      <c r="G12789">
        <v>0</v>
      </c>
      <c r="H12789">
        <v>1</v>
      </c>
      <c r="I12789" s="3">
        <v>4050.26</v>
      </c>
      <c r="J12789" s="3">
        <v>0</v>
      </c>
      <c r="K12789" t="s">
        <v>28136</v>
      </c>
      <c r="L12789">
        <v>1522</v>
      </c>
      <c r="M12789" t="s">
        <v>28133</v>
      </c>
      <c r="N12789" t="s">
        <v>30</v>
      </c>
      <c r="O12789" t="s">
        <v>31</v>
      </c>
      <c r="P12789" t="str">
        <f t="shared" si="160"/>
        <v>15211</v>
      </c>
    </row>
    <row r="12790" spans="1:16" x14ac:dyDescent="0.25">
      <c r="A12790" t="str">
        <f>"1190006L00203    00"</f>
        <v>1190006L00203    00</v>
      </c>
      <c r="B12790" t="s">
        <v>28137</v>
      </c>
      <c r="C12790" t="s">
        <v>28138</v>
      </c>
      <c r="D12790" t="s">
        <v>20</v>
      </c>
      <c r="E12790" t="s">
        <v>39</v>
      </c>
      <c r="F12790">
        <v>0</v>
      </c>
      <c r="G12790">
        <v>0</v>
      </c>
      <c r="H12790">
        <v>1</v>
      </c>
      <c r="I12790" s="3">
        <v>673.3</v>
      </c>
      <c r="J12790" s="3">
        <v>0</v>
      </c>
      <c r="L12790">
        <v>1518</v>
      </c>
      <c r="M12790" t="s">
        <v>28133</v>
      </c>
      <c r="N12790" t="s">
        <v>30</v>
      </c>
      <c r="O12790" t="s">
        <v>31</v>
      </c>
      <c r="P12790" t="str">
        <f t="shared" si="160"/>
        <v>15211</v>
      </c>
    </row>
    <row r="12791" spans="1:16" x14ac:dyDescent="0.25">
      <c r="A12791" t="str">
        <f>"1190006L00204    00"</f>
        <v>1190006L00204    00</v>
      </c>
      <c r="B12791" t="s">
        <v>28137</v>
      </c>
      <c r="C12791" t="s">
        <v>28139</v>
      </c>
      <c r="D12791" t="s">
        <v>20</v>
      </c>
      <c r="E12791" t="s">
        <v>39</v>
      </c>
      <c r="F12791">
        <v>0</v>
      </c>
      <c r="G12791">
        <v>0</v>
      </c>
      <c r="H12791">
        <v>1</v>
      </c>
      <c r="I12791" s="3">
        <v>28.6</v>
      </c>
      <c r="J12791" s="3">
        <v>0</v>
      </c>
      <c r="L12791">
        <v>1518</v>
      </c>
      <c r="M12791" t="s">
        <v>28133</v>
      </c>
      <c r="N12791" t="s">
        <v>30</v>
      </c>
      <c r="O12791" t="s">
        <v>31</v>
      </c>
      <c r="P12791" t="str">
        <f t="shared" si="160"/>
        <v>15211</v>
      </c>
    </row>
    <row r="12792" spans="1:16" x14ac:dyDescent="0.25">
      <c r="A12792" t="str">
        <f>"1190006L00205    00"</f>
        <v>1190006L00205    00</v>
      </c>
      <c r="B12792" t="s">
        <v>28137</v>
      </c>
      <c r="C12792" t="s">
        <v>28139</v>
      </c>
      <c r="D12792" t="s">
        <v>20</v>
      </c>
      <c r="E12792" t="s">
        <v>39</v>
      </c>
      <c r="F12792">
        <v>0</v>
      </c>
      <c r="G12792">
        <v>0</v>
      </c>
      <c r="H12792">
        <v>1</v>
      </c>
      <c r="I12792" s="3">
        <v>59.1</v>
      </c>
      <c r="J12792" s="3">
        <v>0</v>
      </c>
      <c r="L12792">
        <v>1518</v>
      </c>
      <c r="M12792" t="s">
        <v>28133</v>
      </c>
      <c r="N12792" t="s">
        <v>30</v>
      </c>
      <c r="O12792" t="s">
        <v>31</v>
      </c>
      <c r="P12792" t="str">
        <f t="shared" si="160"/>
        <v>15211</v>
      </c>
    </row>
    <row r="12793" spans="1:16" x14ac:dyDescent="0.25">
      <c r="A12793" t="str">
        <f>"1190006L00284    00"</f>
        <v>1190006L00284    00</v>
      </c>
      <c r="B12793" t="s">
        <v>28140</v>
      </c>
      <c r="C12793" t="s">
        <v>28141</v>
      </c>
      <c r="E12793" t="s">
        <v>39</v>
      </c>
      <c r="F12793">
        <v>0</v>
      </c>
      <c r="G12793">
        <v>0</v>
      </c>
      <c r="H12793">
        <v>1</v>
      </c>
      <c r="I12793" s="3">
        <v>241.39</v>
      </c>
      <c r="J12793" s="3">
        <v>0</v>
      </c>
      <c r="K12793" t="s">
        <v>7613</v>
      </c>
      <c r="M12793" t="s">
        <v>2655</v>
      </c>
      <c r="N12793" t="s">
        <v>2656</v>
      </c>
      <c r="O12793" t="s">
        <v>31</v>
      </c>
      <c r="P12793" t="str">
        <f>"15907"</f>
        <v>15907</v>
      </c>
    </row>
    <row r="12794" spans="1:16" x14ac:dyDescent="0.25">
      <c r="A12794" t="str">
        <f>"1190006L00316    00"</f>
        <v>1190006L00316    00</v>
      </c>
      <c r="B12794" t="s">
        <v>28142</v>
      </c>
      <c r="C12794" t="s">
        <v>28143</v>
      </c>
      <c r="E12794" t="s">
        <v>39</v>
      </c>
      <c r="F12794">
        <v>0</v>
      </c>
      <c r="G12794">
        <v>0</v>
      </c>
      <c r="H12794">
        <v>1</v>
      </c>
      <c r="I12794" s="3">
        <v>2963.61</v>
      </c>
      <c r="J12794" s="3">
        <v>938.44</v>
      </c>
      <c r="K12794" t="s">
        <v>6646</v>
      </c>
      <c r="M12794" t="s">
        <v>28144</v>
      </c>
      <c r="N12794" t="s">
        <v>5407</v>
      </c>
      <c r="O12794" t="s">
        <v>273</v>
      </c>
      <c r="P12794" t="str">
        <f>"29502"</f>
        <v>29502</v>
      </c>
    </row>
    <row r="12795" spans="1:16" x14ac:dyDescent="0.25">
      <c r="A12795" t="str">
        <f>"1190006L00345    00"</f>
        <v>1190006L00345    00</v>
      </c>
      <c r="B12795" t="s">
        <v>28145</v>
      </c>
      <c r="C12795" t="s">
        <v>28146</v>
      </c>
      <c r="D12795" t="s">
        <v>20</v>
      </c>
      <c r="E12795" t="s">
        <v>39</v>
      </c>
      <c r="F12795">
        <v>0</v>
      </c>
      <c r="G12795">
        <v>0</v>
      </c>
      <c r="H12795">
        <v>17</v>
      </c>
      <c r="I12795" s="3">
        <v>17969.419999999998</v>
      </c>
      <c r="J12795" s="3">
        <v>25809.11</v>
      </c>
      <c r="K12795" t="s">
        <v>28147</v>
      </c>
      <c r="L12795">
        <v>242</v>
      </c>
      <c r="M12795" t="s">
        <v>3580</v>
      </c>
      <c r="N12795" t="s">
        <v>30</v>
      </c>
      <c r="O12795" t="s">
        <v>31</v>
      </c>
      <c r="P12795" t="str">
        <f>"15206"</f>
        <v>15206</v>
      </c>
    </row>
    <row r="12796" spans="1:16" x14ac:dyDescent="0.25">
      <c r="A12796" t="str">
        <f>"1190006M00024000100"</f>
        <v>1190006M00024000100</v>
      </c>
      <c r="B12796" t="s">
        <v>28148</v>
      </c>
      <c r="C12796" t="s">
        <v>28149</v>
      </c>
      <c r="E12796" t="s">
        <v>39</v>
      </c>
      <c r="F12796">
        <v>0</v>
      </c>
      <c r="G12796">
        <v>0</v>
      </c>
      <c r="H12796">
        <v>2</v>
      </c>
      <c r="I12796" s="3">
        <v>1181.68</v>
      </c>
      <c r="J12796" s="3">
        <v>80.81</v>
      </c>
      <c r="K12796" t="s">
        <v>28150</v>
      </c>
      <c r="L12796">
        <v>2400</v>
      </c>
      <c r="M12796" t="s">
        <v>28151</v>
      </c>
      <c r="N12796" t="s">
        <v>28152</v>
      </c>
      <c r="O12796" t="s">
        <v>1184</v>
      </c>
      <c r="P12796" t="str">
        <f>"20850"</f>
        <v>20850</v>
      </c>
    </row>
    <row r="12797" spans="1:16" x14ac:dyDescent="0.25">
      <c r="A12797" t="str">
        <f>"1190006M00024000200"</f>
        <v>1190006M00024000200</v>
      </c>
      <c r="B12797" t="s">
        <v>28153</v>
      </c>
      <c r="C12797" t="s">
        <v>28154</v>
      </c>
      <c r="E12797" t="s">
        <v>39</v>
      </c>
      <c r="F12797">
        <v>0</v>
      </c>
      <c r="G12797">
        <v>0</v>
      </c>
      <c r="H12797">
        <v>4</v>
      </c>
      <c r="I12797" s="3">
        <v>16337.98</v>
      </c>
      <c r="J12797" s="3">
        <v>7034.22</v>
      </c>
      <c r="K12797" t="s">
        <v>28155</v>
      </c>
      <c r="L12797">
        <v>1104</v>
      </c>
      <c r="M12797" t="s">
        <v>3777</v>
      </c>
      <c r="N12797" t="s">
        <v>30</v>
      </c>
      <c r="O12797" t="s">
        <v>31</v>
      </c>
      <c r="P12797" t="str">
        <f>"15211"</f>
        <v>15211</v>
      </c>
    </row>
    <row r="12798" spans="1:16" x14ac:dyDescent="0.25">
      <c r="A12798" t="str">
        <f>"1190006M00030020500"</f>
        <v>1190006M00030020500</v>
      </c>
      <c r="B12798" t="s">
        <v>28156</v>
      </c>
      <c r="C12798" t="s">
        <v>28157</v>
      </c>
      <c r="E12798" t="s">
        <v>39</v>
      </c>
      <c r="F12798">
        <v>0</v>
      </c>
      <c r="G12798">
        <v>0</v>
      </c>
      <c r="H12798">
        <v>2</v>
      </c>
      <c r="I12798" s="3">
        <v>4555.08</v>
      </c>
      <c r="J12798" s="3">
        <v>74.42</v>
      </c>
      <c r="K12798" t="s">
        <v>28158</v>
      </c>
      <c r="L12798">
        <v>3660</v>
      </c>
      <c r="M12798" t="s">
        <v>28159</v>
      </c>
      <c r="N12798" t="s">
        <v>28160</v>
      </c>
      <c r="O12798" t="s">
        <v>554</v>
      </c>
      <c r="P12798" t="str">
        <f>"26062"</f>
        <v>26062</v>
      </c>
    </row>
    <row r="12799" spans="1:16" x14ac:dyDescent="0.25">
      <c r="A12799" t="str">
        <f>"1190006M00030030400"</f>
        <v>1190006M00030030400</v>
      </c>
      <c r="B12799" t="s">
        <v>28161</v>
      </c>
      <c r="C12799" t="s">
        <v>28162</v>
      </c>
      <c r="E12799" t="s">
        <v>39</v>
      </c>
      <c r="F12799">
        <v>0</v>
      </c>
      <c r="G12799">
        <v>0</v>
      </c>
      <c r="H12799">
        <v>2</v>
      </c>
      <c r="I12799" s="3">
        <v>3871.15</v>
      </c>
      <c r="J12799" s="3">
        <v>264.73</v>
      </c>
      <c r="K12799" t="s">
        <v>557</v>
      </c>
      <c r="L12799">
        <v>3001</v>
      </c>
      <c r="M12799" t="s">
        <v>330</v>
      </c>
      <c r="N12799" t="s">
        <v>331</v>
      </c>
      <c r="O12799" t="s">
        <v>108</v>
      </c>
      <c r="P12799" t="str">
        <f>"75063"</f>
        <v>75063</v>
      </c>
    </row>
    <row r="12800" spans="1:16" x14ac:dyDescent="0.25">
      <c r="A12800" t="str">
        <f>"1190006M00030050500"</f>
        <v>1190006M00030050500</v>
      </c>
      <c r="B12800" t="s">
        <v>28163</v>
      </c>
      <c r="C12800" t="s">
        <v>28164</v>
      </c>
      <c r="E12800" t="s">
        <v>39</v>
      </c>
      <c r="F12800">
        <v>0</v>
      </c>
      <c r="G12800">
        <v>0</v>
      </c>
      <c r="H12800">
        <v>2</v>
      </c>
      <c r="I12800" s="3">
        <v>6705.32</v>
      </c>
      <c r="J12800" s="3">
        <v>139.68</v>
      </c>
      <c r="K12800" t="s">
        <v>28165</v>
      </c>
      <c r="L12800">
        <v>20</v>
      </c>
      <c r="M12800" t="s">
        <v>28166</v>
      </c>
      <c r="N12800" t="s">
        <v>526</v>
      </c>
      <c r="O12800" t="s">
        <v>31</v>
      </c>
      <c r="P12800" t="str">
        <f>"15301"</f>
        <v>15301</v>
      </c>
    </row>
    <row r="12801" spans="1:16" x14ac:dyDescent="0.25">
      <c r="A12801" t="str">
        <f>"1190006M00030090600"</f>
        <v>1190006M00030090600</v>
      </c>
      <c r="B12801" t="s">
        <v>28167</v>
      </c>
      <c r="C12801" t="s">
        <v>28168</v>
      </c>
      <c r="E12801" t="s">
        <v>39</v>
      </c>
      <c r="F12801">
        <v>0</v>
      </c>
      <c r="G12801">
        <v>0</v>
      </c>
      <c r="H12801">
        <v>2</v>
      </c>
      <c r="I12801" s="3">
        <v>3179.2</v>
      </c>
      <c r="J12801" s="3">
        <v>39.729999999999997</v>
      </c>
      <c r="K12801" t="s">
        <v>28169</v>
      </c>
      <c r="L12801">
        <v>1000</v>
      </c>
      <c r="M12801" t="s">
        <v>28170</v>
      </c>
      <c r="N12801" t="s">
        <v>30</v>
      </c>
      <c r="O12801" t="s">
        <v>31</v>
      </c>
      <c r="P12801" t="str">
        <f>"15211"</f>
        <v>15211</v>
      </c>
    </row>
    <row r="12802" spans="1:16" x14ac:dyDescent="0.25">
      <c r="A12802" t="str">
        <f>"1190006M00030102100"</f>
        <v>1190006M00030102100</v>
      </c>
      <c r="B12802" t="s">
        <v>28167</v>
      </c>
      <c r="C12802" t="s">
        <v>28171</v>
      </c>
      <c r="E12802" t="s">
        <v>39</v>
      </c>
      <c r="F12802">
        <v>0</v>
      </c>
      <c r="G12802">
        <v>0</v>
      </c>
      <c r="H12802">
        <v>2</v>
      </c>
      <c r="I12802" s="3">
        <v>83.86</v>
      </c>
      <c r="J12802" s="3">
        <v>1.04</v>
      </c>
      <c r="K12802" t="s">
        <v>28169</v>
      </c>
      <c r="L12802">
        <v>1000</v>
      </c>
      <c r="M12802" t="s">
        <v>3777</v>
      </c>
      <c r="N12802" t="s">
        <v>30</v>
      </c>
      <c r="O12802" t="s">
        <v>31</v>
      </c>
      <c r="P12802" t="str">
        <f>"15211"</f>
        <v>15211</v>
      </c>
    </row>
    <row r="12803" spans="1:16" x14ac:dyDescent="0.25">
      <c r="A12803" t="str">
        <f>"1190006M00030110200"</f>
        <v>1190006M00030110200</v>
      </c>
      <c r="B12803" t="s">
        <v>28172</v>
      </c>
      <c r="C12803" t="s">
        <v>28173</v>
      </c>
      <c r="D12803" t="s">
        <v>20</v>
      </c>
      <c r="E12803" t="s">
        <v>39</v>
      </c>
      <c r="F12803">
        <v>0</v>
      </c>
      <c r="G12803">
        <v>0</v>
      </c>
      <c r="H12803">
        <v>1</v>
      </c>
      <c r="I12803" s="3">
        <v>1386.5</v>
      </c>
      <c r="J12803" s="3">
        <v>0</v>
      </c>
      <c r="K12803" t="s">
        <v>28174</v>
      </c>
      <c r="L12803">
        <v>1950</v>
      </c>
      <c r="M12803" t="s">
        <v>28175</v>
      </c>
      <c r="N12803" t="s">
        <v>422</v>
      </c>
      <c r="O12803" t="s">
        <v>423</v>
      </c>
      <c r="P12803" t="str">
        <f>"08003"</f>
        <v>08003</v>
      </c>
    </row>
    <row r="12804" spans="1:16" x14ac:dyDescent="0.25">
      <c r="A12804" t="str">
        <f>"1190006M00030110600"</f>
        <v>1190006M00030110600</v>
      </c>
      <c r="B12804" t="s">
        <v>28176</v>
      </c>
      <c r="C12804" t="s">
        <v>28177</v>
      </c>
      <c r="D12804" t="s">
        <v>20</v>
      </c>
      <c r="E12804" t="s">
        <v>39</v>
      </c>
      <c r="F12804">
        <v>0</v>
      </c>
      <c r="G12804">
        <v>0</v>
      </c>
      <c r="H12804">
        <v>1</v>
      </c>
      <c r="I12804" s="3">
        <v>20.77</v>
      </c>
      <c r="J12804" s="3">
        <v>8.31</v>
      </c>
      <c r="L12804">
        <v>195</v>
      </c>
      <c r="M12804" t="s">
        <v>28178</v>
      </c>
      <c r="N12804" t="s">
        <v>28179</v>
      </c>
      <c r="O12804" t="s">
        <v>31</v>
      </c>
      <c r="P12804" t="str">
        <f>"15717"</f>
        <v>15717</v>
      </c>
    </row>
    <row r="12805" spans="1:16" x14ac:dyDescent="0.25">
      <c r="A12805" t="str">
        <f>"1190006M00030120500"</f>
        <v>1190006M00030120500</v>
      </c>
      <c r="B12805" t="s">
        <v>28180</v>
      </c>
      <c r="C12805" t="s">
        <v>28181</v>
      </c>
      <c r="E12805" t="s">
        <v>39</v>
      </c>
      <c r="F12805">
        <v>0</v>
      </c>
      <c r="G12805">
        <v>0</v>
      </c>
      <c r="H12805">
        <v>1</v>
      </c>
      <c r="I12805" s="3">
        <v>2888.73</v>
      </c>
      <c r="J12805" s="3">
        <v>914.72</v>
      </c>
      <c r="K12805" t="s">
        <v>28182</v>
      </c>
      <c r="L12805">
        <v>1000</v>
      </c>
      <c r="M12805" t="s">
        <v>28183</v>
      </c>
      <c r="N12805" t="s">
        <v>30</v>
      </c>
      <c r="O12805" t="s">
        <v>31</v>
      </c>
      <c r="P12805" t="str">
        <f>"15211"</f>
        <v>15211</v>
      </c>
    </row>
    <row r="12806" spans="1:16" x14ac:dyDescent="0.25">
      <c r="A12806" t="str">
        <f>"1190006M00030G13 00"</f>
        <v>1190006M00030G13 00</v>
      </c>
      <c r="B12806" t="s">
        <v>28172</v>
      </c>
      <c r="C12806" t="s">
        <v>28173</v>
      </c>
      <c r="D12806" t="s">
        <v>20</v>
      </c>
      <c r="E12806" t="s">
        <v>39</v>
      </c>
      <c r="F12806">
        <v>0</v>
      </c>
      <c r="G12806">
        <v>0</v>
      </c>
      <c r="H12806">
        <v>2</v>
      </c>
      <c r="I12806" s="3">
        <v>153.30000000000001</v>
      </c>
      <c r="J12806" s="3">
        <v>0</v>
      </c>
      <c r="K12806" t="s">
        <v>28174</v>
      </c>
      <c r="L12806">
        <v>1950</v>
      </c>
      <c r="M12806" t="s">
        <v>28175</v>
      </c>
      <c r="N12806" t="s">
        <v>422</v>
      </c>
      <c r="O12806" t="s">
        <v>423</v>
      </c>
      <c r="P12806" t="str">
        <f>"08003"</f>
        <v>08003</v>
      </c>
    </row>
    <row r="12807" spans="1:16" x14ac:dyDescent="0.25">
      <c r="A12807" t="str">
        <f>"1190006M00030G14 00"</f>
        <v>1190006M00030G14 00</v>
      </c>
      <c r="B12807" t="s">
        <v>28184</v>
      </c>
      <c r="C12807" t="s">
        <v>28185</v>
      </c>
      <c r="D12807" t="s">
        <v>20</v>
      </c>
      <c r="E12807" t="s">
        <v>39</v>
      </c>
      <c r="F12807">
        <v>0</v>
      </c>
      <c r="G12807">
        <v>0</v>
      </c>
      <c r="H12807">
        <v>1</v>
      </c>
      <c r="I12807" s="3">
        <v>184.89</v>
      </c>
      <c r="J12807" s="3">
        <v>0</v>
      </c>
      <c r="K12807" t="s">
        <v>28186</v>
      </c>
      <c r="L12807">
        <v>1000</v>
      </c>
      <c r="M12807" t="s">
        <v>28187</v>
      </c>
      <c r="N12807" t="s">
        <v>30</v>
      </c>
      <c r="O12807" t="s">
        <v>31</v>
      </c>
      <c r="P12807" t="str">
        <f>"15211"</f>
        <v>15211</v>
      </c>
    </row>
    <row r="12808" spans="1:16" x14ac:dyDescent="0.25">
      <c r="A12808" t="str">
        <f>"1190006M00030G28 00"</f>
        <v>1190006M00030G28 00</v>
      </c>
      <c r="B12808" t="s">
        <v>28188</v>
      </c>
      <c r="C12808" t="s">
        <v>28185</v>
      </c>
      <c r="E12808" t="s">
        <v>39</v>
      </c>
      <c r="F12808">
        <v>0</v>
      </c>
      <c r="G12808">
        <v>0</v>
      </c>
      <c r="H12808">
        <v>3</v>
      </c>
      <c r="I12808" s="3">
        <v>100.48</v>
      </c>
      <c r="J12808" s="3">
        <v>40.21</v>
      </c>
      <c r="L12808">
        <v>1000</v>
      </c>
      <c r="M12808" t="s">
        <v>28189</v>
      </c>
      <c r="N12808" t="s">
        <v>30</v>
      </c>
      <c r="O12808" t="s">
        <v>31</v>
      </c>
      <c r="P12808" t="str">
        <f>"15211"</f>
        <v>15211</v>
      </c>
    </row>
    <row r="12809" spans="1:16" x14ac:dyDescent="0.25">
      <c r="A12809" t="str">
        <f>"1190006M00030G75 00"</f>
        <v>1190006M00030G75 00</v>
      </c>
      <c r="B12809" t="s">
        <v>28190</v>
      </c>
      <c r="C12809" t="s">
        <v>28185</v>
      </c>
      <c r="D12809" t="s">
        <v>20</v>
      </c>
      <c r="E12809" t="s">
        <v>39</v>
      </c>
      <c r="F12809">
        <v>0</v>
      </c>
      <c r="G12809">
        <v>0</v>
      </c>
      <c r="H12809">
        <v>1</v>
      </c>
      <c r="I12809" s="3">
        <v>76.69</v>
      </c>
      <c r="J12809" s="3">
        <v>30.68</v>
      </c>
      <c r="L12809">
        <v>1000</v>
      </c>
      <c r="M12809" t="s">
        <v>28191</v>
      </c>
      <c r="N12809" t="s">
        <v>30</v>
      </c>
      <c r="O12809" t="s">
        <v>31</v>
      </c>
      <c r="P12809" t="str">
        <f>"15211"</f>
        <v>15211</v>
      </c>
    </row>
    <row r="12810" spans="1:16" x14ac:dyDescent="0.25">
      <c r="A12810" t="str">
        <f>"1190006M00051    00"</f>
        <v>1190006M00051    00</v>
      </c>
      <c r="B12810" t="s">
        <v>28192</v>
      </c>
      <c r="C12810" t="s">
        <v>28193</v>
      </c>
      <c r="E12810" t="s">
        <v>39</v>
      </c>
      <c r="F12810">
        <v>0</v>
      </c>
      <c r="G12810">
        <v>0</v>
      </c>
      <c r="H12810">
        <v>1</v>
      </c>
      <c r="I12810" s="3">
        <v>1473.59</v>
      </c>
      <c r="J12810" s="3">
        <v>442.05</v>
      </c>
      <c r="K12810" t="s">
        <v>329</v>
      </c>
      <c r="L12810">
        <v>3001</v>
      </c>
      <c r="M12810" t="s">
        <v>330</v>
      </c>
      <c r="N12810" t="s">
        <v>331</v>
      </c>
      <c r="O12810" t="s">
        <v>108</v>
      </c>
      <c r="P12810" t="str">
        <f>"75063"</f>
        <v>75063</v>
      </c>
    </row>
    <row r="12811" spans="1:16" x14ac:dyDescent="0.25">
      <c r="A12811" t="str">
        <f>"1190006M00102000100"</f>
        <v>1190006M00102000100</v>
      </c>
      <c r="B12811" t="s">
        <v>28194</v>
      </c>
      <c r="C12811" t="s">
        <v>28195</v>
      </c>
      <c r="E12811" t="s">
        <v>39</v>
      </c>
      <c r="F12811">
        <v>0</v>
      </c>
      <c r="G12811">
        <v>0</v>
      </c>
      <c r="H12811">
        <v>1</v>
      </c>
      <c r="I12811" s="3">
        <v>479.04</v>
      </c>
      <c r="J12811" s="3">
        <v>0</v>
      </c>
      <c r="K12811" t="s">
        <v>417</v>
      </c>
      <c r="L12811">
        <v>3001</v>
      </c>
      <c r="M12811" t="s">
        <v>330</v>
      </c>
      <c r="N12811" t="s">
        <v>331</v>
      </c>
      <c r="O12811" t="s">
        <v>108</v>
      </c>
      <c r="P12811" t="str">
        <f>"75063"</f>
        <v>75063</v>
      </c>
    </row>
    <row r="12812" spans="1:16" x14ac:dyDescent="0.25">
      <c r="A12812" t="str">
        <f>"1190006M00117A3  00"</f>
        <v>1190006M00117A3  00</v>
      </c>
      <c r="B12812" t="s">
        <v>28196</v>
      </c>
      <c r="C12812" t="s">
        <v>28197</v>
      </c>
      <c r="D12812" t="s">
        <v>20</v>
      </c>
      <c r="E12812" t="s">
        <v>39</v>
      </c>
      <c r="F12812">
        <v>0</v>
      </c>
      <c r="G12812">
        <v>0</v>
      </c>
      <c r="H12812">
        <v>1</v>
      </c>
      <c r="I12812" s="3">
        <v>5693.23</v>
      </c>
      <c r="J12812" s="3">
        <v>0</v>
      </c>
      <c r="K12812" t="s">
        <v>4424</v>
      </c>
      <c r="L12812">
        <v>3001</v>
      </c>
      <c r="M12812" t="s">
        <v>330</v>
      </c>
      <c r="N12812" t="s">
        <v>331</v>
      </c>
      <c r="O12812" t="s">
        <v>108</v>
      </c>
      <c r="P12812" t="str">
        <f>"75063"</f>
        <v>75063</v>
      </c>
    </row>
    <row r="12813" spans="1:16" x14ac:dyDescent="0.25">
      <c r="A12813" t="str">
        <f>"1190006M00120    00"</f>
        <v>1190006M00120    00</v>
      </c>
      <c r="B12813" t="s">
        <v>28198</v>
      </c>
      <c r="C12813" t="s">
        <v>28199</v>
      </c>
      <c r="D12813" t="s">
        <v>20</v>
      </c>
      <c r="E12813" t="s">
        <v>39</v>
      </c>
      <c r="F12813">
        <v>0</v>
      </c>
      <c r="G12813">
        <v>0</v>
      </c>
      <c r="H12813">
        <v>1</v>
      </c>
      <c r="I12813" s="3">
        <v>70.53</v>
      </c>
      <c r="J12813" s="3">
        <v>0</v>
      </c>
      <c r="K12813" t="s">
        <v>28200</v>
      </c>
      <c r="L12813">
        <v>77</v>
      </c>
      <c r="M12813" t="s">
        <v>25567</v>
      </c>
      <c r="N12813" t="s">
        <v>526</v>
      </c>
      <c r="O12813" t="s">
        <v>31</v>
      </c>
      <c r="P12813" t="str">
        <f>"15301"</f>
        <v>15301</v>
      </c>
    </row>
    <row r="12814" spans="1:16" x14ac:dyDescent="0.25">
      <c r="A12814" t="str">
        <f>"1190006M00152    00"</f>
        <v>1190006M00152    00</v>
      </c>
      <c r="B12814" t="s">
        <v>28201</v>
      </c>
      <c r="C12814" t="s">
        <v>28202</v>
      </c>
      <c r="E12814" t="s">
        <v>39</v>
      </c>
      <c r="F12814">
        <v>0</v>
      </c>
      <c r="G12814">
        <v>0</v>
      </c>
      <c r="H12814">
        <v>1</v>
      </c>
      <c r="I12814" s="3">
        <v>594.5</v>
      </c>
      <c r="J12814" s="3">
        <v>0</v>
      </c>
      <c r="K12814" t="s">
        <v>563</v>
      </c>
      <c r="L12814">
        <v>3001</v>
      </c>
      <c r="M12814" t="s">
        <v>330</v>
      </c>
      <c r="N12814" t="s">
        <v>331</v>
      </c>
      <c r="O12814" t="s">
        <v>108</v>
      </c>
      <c r="P12814" t="str">
        <f>"75063"</f>
        <v>75063</v>
      </c>
    </row>
    <row r="12815" spans="1:16" x14ac:dyDescent="0.25">
      <c r="A12815" t="str">
        <f>"1190006M00192    00"</f>
        <v>1190006M00192    00</v>
      </c>
      <c r="B12815" t="s">
        <v>28203</v>
      </c>
      <c r="C12815" t="s">
        <v>28204</v>
      </c>
      <c r="D12815" t="s">
        <v>20</v>
      </c>
      <c r="E12815" t="s">
        <v>39</v>
      </c>
      <c r="F12815">
        <v>0</v>
      </c>
      <c r="G12815">
        <v>0</v>
      </c>
      <c r="H12815">
        <v>1</v>
      </c>
      <c r="I12815" s="3">
        <v>2292.9299999999998</v>
      </c>
      <c r="J12815" s="3">
        <v>0</v>
      </c>
      <c r="K12815" t="s">
        <v>28205</v>
      </c>
      <c r="L12815">
        <v>12140</v>
      </c>
      <c r="M12815" t="s">
        <v>28206</v>
      </c>
      <c r="N12815" t="s">
        <v>4783</v>
      </c>
      <c r="O12815" t="s">
        <v>4784</v>
      </c>
      <c r="P12815" t="str">
        <f>"63141"</f>
        <v>63141</v>
      </c>
    </row>
    <row r="12816" spans="1:16" x14ac:dyDescent="0.25">
      <c r="A12816" t="str">
        <f>"1190006M00198    00"</f>
        <v>1190006M00198    00</v>
      </c>
      <c r="B12816" t="s">
        <v>28207</v>
      </c>
      <c r="C12816" t="s">
        <v>28208</v>
      </c>
      <c r="D12816" t="s">
        <v>20</v>
      </c>
      <c r="E12816" t="s">
        <v>39</v>
      </c>
      <c r="F12816">
        <v>0</v>
      </c>
      <c r="G12816">
        <v>0</v>
      </c>
      <c r="H12816">
        <v>2</v>
      </c>
      <c r="I12816" s="3">
        <v>2697.82</v>
      </c>
      <c r="J12816" s="3">
        <v>0</v>
      </c>
      <c r="L12816">
        <v>122</v>
      </c>
      <c r="M12816" t="s">
        <v>27315</v>
      </c>
      <c r="N12816" t="s">
        <v>1766</v>
      </c>
      <c r="O12816" t="s">
        <v>31</v>
      </c>
      <c r="P12816" t="str">
        <f>"15367"</f>
        <v>15367</v>
      </c>
    </row>
    <row r="12817" spans="1:16" x14ac:dyDescent="0.25">
      <c r="A12817" t="str">
        <f>"1190006M00312111000"</f>
        <v>1190006M00312111000</v>
      </c>
      <c r="B12817" t="s">
        <v>28209</v>
      </c>
      <c r="C12817" t="s">
        <v>28210</v>
      </c>
      <c r="E12817" t="s">
        <v>39</v>
      </c>
      <c r="F12817">
        <v>0</v>
      </c>
      <c r="G12817">
        <v>0</v>
      </c>
      <c r="H12817">
        <v>2</v>
      </c>
      <c r="I12817" s="3">
        <v>6572.8</v>
      </c>
      <c r="J12817" s="3">
        <v>697.47</v>
      </c>
      <c r="L12817">
        <v>1</v>
      </c>
      <c r="M12817" t="s">
        <v>28211</v>
      </c>
      <c r="N12817" t="s">
        <v>30</v>
      </c>
      <c r="O12817" t="s">
        <v>31</v>
      </c>
      <c r="P12817" t="str">
        <f>"15211"</f>
        <v>15211</v>
      </c>
    </row>
    <row r="12818" spans="1:16" x14ac:dyDescent="0.25">
      <c r="A12818" t="str">
        <f>"1190006M00312114000"</f>
        <v>1190006M00312114000</v>
      </c>
      <c r="B12818" t="s">
        <v>28212</v>
      </c>
      <c r="C12818" t="s">
        <v>28213</v>
      </c>
      <c r="E12818" t="s">
        <v>39</v>
      </c>
      <c r="F12818">
        <v>0</v>
      </c>
      <c r="G12818">
        <v>0</v>
      </c>
      <c r="H12818">
        <v>2</v>
      </c>
      <c r="I12818" s="3">
        <v>2080.1999999999998</v>
      </c>
      <c r="J12818" s="3">
        <v>1.02</v>
      </c>
      <c r="K12818" t="s">
        <v>28214</v>
      </c>
      <c r="L12818">
        <v>61</v>
      </c>
      <c r="M12818" t="s">
        <v>28215</v>
      </c>
      <c r="N12818" t="s">
        <v>7608</v>
      </c>
      <c r="O12818" t="s">
        <v>31</v>
      </c>
      <c r="P12818" t="str">
        <f>"15068"</f>
        <v>15068</v>
      </c>
    </row>
    <row r="12819" spans="1:16" x14ac:dyDescent="0.25">
      <c r="A12819" t="str">
        <f>"1190006M00312116600"</f>
        <v>1190006M00312116600</v>
      </c>
      <c r="B12819" t="s">
        <v>28216</v>
      </c>
      <c r="C12819" t="s">
        <v>28217</v>
      </c>
      <c r="D12819" t="s">
        <v>20</v>
      </c>
      <c r="E12819" t="s">
        <v>21</v>
      </c>
      <c r="F12819">
        <v>0</v>
      </c>
      <c r="G12819">
        <v>0</v>
      </c>
      <c r="H12819">
        <v>3</v>
      </c>
      <c r="I12819" s="3">
        <v>4803.57</v>
      </c>
      <c r="J12819" s="3">
        <v>158.96</v>
      </c>
      <c r="K12819" t="s">
        <v>28218</v>
      </c>
      <c r="L12819">
        <v>4382</v>
      </c>
      <c r="M12819" t="s">
        <v>28219</v>
      </c>
      <c r="N12819" t="s">
        <v>171</v>
      </c>
      <c r="O12819" t="s">
        <v>31</v>
      </c>
      <c r="P12819" t="str">
        <f>"15057"</f>
        <v>15057</v>
      </c>
    </row>
    <row r="12820" spans="1:16" x14ac:dyDescent="0.25">
      <c r="A12820" t="str">
        <f>"1190006M00312116601"</f>
        <v>1190006M00312116601</v>
      </c>
      <c r="B12820" t="s">
        <v>28220</v>
      </c>
      <c r="C12820" t="s">
        <v>28221</v>
      </c>
      <c r="D12820" t="s">
        <v>20</v>
      </c>
      <c r="E12820" t="s">
        <v>21</v>
      </c>
      <c r="F12820">
        <v>0</v>
      </c>
      <c r="G12820">
        <v>0</v>
      </c>
      <c r="H12820">
        <v>2</v>
      </c>
      <c r="I12820" s="3">
        <v>2111.84</v>
      </c>
      <c r="J12820" s="3">
        <v>0</v>
      </c>
      <c r="K12820" t="s">
        <v>28222</v>
      </c>
      <c r="L12820">
        <v>1301</v>
      </c>
      <c r="M12820" t="s">
        <v>28223</v>
      </c>
      <c r="N12820" t="s">
        <v>30</v>
      </c>
      <c r="O12820" t="s">
        <v>31</v>
      </c>
      <c r="P12820" t="str">
        <f>"15211"</f>
        <v>15211</v>
      </c>
    </row>
    <row r="12821" spans="1:16" x14ac:dyDescent="0.25">
      <c r="A12821" t="str">
        <f>"1190006M00312121000"</f>
        <v>1190006M00312121000</v>
      </c>
      <c r="B12821" t="s">
        <v>28224</v>
      </c>
      <c r="C12821" t="s">
        <v>28225</v>
      </c>
      <c r="E12821" t="s">
        <v>39</v>
      </c>
      <c r="F12821">
        <v>0</v>
      </c>
      <c r="G12821">
        <v>0</v>
      </c>
      <c r="H12821">
        <v>1</v>
      </c>
      <c r="I12821" s="3">
        <v>1768.1</v>
      </c>
      <c r="J12821" s="3">
        <v>1178.68</v>
      </c>
      <c r="K12821" t="s">
        <v>28226</v>
      </c>
      <c r="L12821">
        <v>1</v>
      </c>
      <c r="M12821" t="s">
        <v>28227</v>
      </c>
      <c r="N12821" t="s">
        <v>30</v>
      </c>
      <c r="O12821" t="s">
        <v>31</v>
      </c>
      <c r="P12821" t="str">
        <f>"15211"</f>
        <v>15211</v>
      </c>
    </row>
    <row r="12822" spans="1:16" x14ac:dyDescent="0.25">
      <c r="A12822" t="str">
        <f>"1190006M00312160100"</f>
        <v>1190006M00312160100</v>
      </c>
      <c r="B12822" t="s">
        <v>28228</v>
      </c>
      <c r="C12822" t="s">
        <v>28229</v>
      </c>
      <c r="E12822" t="s">
        <v>39</v>
      </c>
      <c r="F12822">
        <v>0</v>
      </c>
      <c r="G12822">
        <v>0</v>
      </c>
      <c r="H12822">
        <v>1</v>
      </c>
      <c r="I12822" s="3">
        <v>4101.71</v>
      </c>
      <c r="J12822" s="3">
        <v>410.15</v>
      </c>
      <c r="L12822">
        <v>1</v>
      </c>
      <c r="M12822" t="s">
        <v>28230</v>
      </c>
      <c r="N12822" t="s">
        <v>30</v>
      </c>
      <c r="O12822" t="s">
        <v>31</v>
      </c>
      <c r="P12822" t="str">
        <f>"15211"</f>
        <v>15211</v>
      </c>
    </row>
    <row r="12823" spans="1:16" x14ac:dyDescent="0.25">
      <c r="A12823" t="str">
        <f>"1190006M00312221500"</f>
        <v>1190006M00312221500</v>
      </c>
      <c r="B12823" t="s">
        <v>28231</v>
      </c>
      <c r="C12823" t="s">
        <v>28232</v>
      </c>
      <c r="D12823" t="s">
        <v>20</v>
      </c>
      <c r="E12823" t="s">
        <v>39</v>
      </c>
      <c r="F12823">
        <v>0</v>
      </c>
      <c r="G12823">
        <v>0</v>
      </c>
      <c r="H12823">
        <v>1</v>
      </c>
      <c r="I12823" s="3">
        <v>8805.7199999999993</v>
      </c>
      <c r="J12823" s="3">
        <v>0</v>
      </c>
      <c r="K12823" t="s">
        <v>391</v>
      </c>
      <c r="L12823">
        <v>1</v>
      </c>
      <c r="M12823" t="s">
        <v>392</v>
      </c>
      <c r="N12823" t="s">
        <v>393</v>
      </c>
      <c r="O12823" t="s">
        <v>394</v>
      </c>
      <c r="P12823" t="str">
        <f>"50328"</f>
        <v>50328</v>
      </c>
    </row>
    <row r="12824" spans="1:16" x14ac:dyDescent="0.25">
      <c r="A12824" t="str">
        <f>"1190006M00312231500"</f>
        <v>1190006M00312231500</v>
      </c>
      <c r="B12824" t="s">
        <v>28233</v>
      </c>
      <c r="C12824" t="s">
        <v>28234</v>
      </c>
      <c r="E12824" t="s">
        <v>39</v>
      </c>
      <c r="F12824">
        <v>0</v>
      </c>
      <c r="G12824">
        <v>0</v>
      </c>
      <c r="H12824">
        <v>2</v>
      </c>
      <c r="I12824" s="3">
        <v>1239.05</v>
      </c>
      <c r="J12824" s="3">
        <v>93.77</v>
      </c>
      <c r="L12824">
        <v>1</v>
      </c>
      <c r="M12824" t="s">
        <v>28235</v>
      </c>
      <c r="N12824" t="s">
        <v>30</v>
      </c>
      <c r="O12824" t="s">
        <v>31</v>
      </c>
      <c r="P12824" t="str">
        <f>"15211"</f>
        <v>15211</v>
      </c>
    </row>
    <row r="12825" spans="1:16" x14ac:dyDescent="0.25">
      <c r="A12825" t="str">
        <f>"1190006M00312548000"</f>
        <v>1190006M00312548000</v>
      </c>
      <c r="B12825" t="s">
        <v>28236</v>
      </c>
      <c r="C12825" t="s">
        <v>28237</v>
      </c>
      <c r="D12825" t="s">
        <v>20</v>
      </c>
      <c r="E12825" t="s">
        <v>39</v>
      </c>
      <c r="F12825">
        <v>0</v>
      </c>
      <c r="G12825">
        <v>0</v>
      </c>
      <c r="H12825">
        <v>1</v>
      </c>
      <c r="I12825" s="3">
        <v>3289.59</v>
      </c>
      <c r="J12825" s="3">
        <v>0</v>
      </c>
      <c r="K12825" t="s">
        <v>4293</v>
      </c>
      <c r="L12825">
        <v>411</v>
      </c>
      <c r="M12825" t="s">
        <v>4294</v>
      </c>
      <c r="N12825" t="s">
        <v>3934</v>
      </c>
      <c r="O12825" t="s">
        <v>31</v>
      </c>
      <c r="P12825" t="str">
        <f>"15102"</f>
        <v>15102</v>
      </c>
    </row>
    <row r="12826" spans="1:16" x14ac:dyDescent="0.25">
      <c r="A12826" t="str">
        <f>"1190006M0031292BA00"</f>
        <v>1190006M0031292BA00</v>
      </c>
      <c r="B12826" t="s">
        <v>28238</v>
      </c>
      <c r="C12826" t="s">
        <v>28239</v>
      </c>
      <c r="E12826" t="s">
        <v>21</v>
      </c>
      <c r="F12826">
        <v>0</v>
      </c>
      <c r="G12826">
        <v>0</v>
      </c>
      <c r="H12826">
        <v>1</v>
      </c>
      <c r="I12826" s="3">
        <v>5980.23</v>
      </c>
      <c r="J12826" s="3">
        <v>0</v>
      </c>
      <c r="L12826">
        <v>1305</v>
      </c>
      <c r="M12826" t="s">
        <v>28240</v>
      </c>
      <c r="N12826" t="s">
        <v>30</v>
      </c>
      <c r="O12826" t="s">
        <v>31</v>
      </c>
      <c r="P12826" t="str">
        <f>"15211"</f>
        <v>15211</v>
      </c>
    </row>
    <row r="12827" spans="1:16" x14ac:dyDescent="0.25">
      <c r="A12827" t="str">
        <f>"1190006M00312A16600"</f>
        <v>1190006M00312A16600</v>
      </c>
      <c r="B12827" t="s">
        <v>28241</v>
      </c>
      <c r="C12827" t="s">
        <v>28242</v>
      </c>
      <c r="D12827" t="s">
        <v>20</v>
      </c>
      <c r="E12827" t="s">
        <v>21</v>
      </c>
      <c r="F12827">
        <v>0</v>
      </c>
      <c r="G12827">
        <v>0</v>
      </c>
      <c r="H12827">
        <v>2</v>
      </c>
      <c r="I12827" s="3">
        <v>2470.1799999999998</v>
      </c>
      <c r="J12827" s="3">
        <v>0</v>
      </c>
      <c r="K12827" t="s">
        <v>28243</v>
      </c>
      <c r="L12827">
        <v>1</v>
      </c>
      <c r="M12827" t="s">
        <v>28244</v>
      </c>
      <c r="N12827" t="s">
        <v>30</v>
      </c>
      <c r="O12827" t="s">
        <v>31</v>
      </c>
      <c r="P12827" t="str">
        <f>"15211"</f>
        <v>15211</v>
      </c>
    </row>
    <row r="12828" spans="1:16" x14ac:dyDescent="0.25">
      <c r="A12828" t="str">
        <f>"1190006M00312C16600"</f>
        <v>1190006M00312C16600</v>
      </c>
      <c r="B12828" t="s">
        <v>28245</v>
      </c>
      <c r="C12828" t="s">
        <v>28246</v>
      </c>
      <c r="E12828" t="s">
        <v>21</v>
      </c>
      <c r="F12828">
        <v>0</v>
      </c>
      <c r="G12828">
        <v>0</v>
      </c>
      <c r="H12828">
        <v>1</v>
      </c>
      <c r="I12828" s="3">
        <v>1166.44</v>
      </c>
      <c r="J12828" s="3">
        <v>0</v>
      </c>
      <c r="K12828" t="s">
        <v>28247</v>
      </c>
      <c r="L12828">
        <v>701</v>
      </c>
      <c r="M12828" t="s">
        <v>28248</v>
      </c>
      <c r="N12828" t="s">
        <v>12446</v>
      </c>
      <c r="O12828" t="s">
        <v>370</v>
      </c>
      <c r="P12828" t="str">
        <f>"33431"</f>
        <v>33431</v>
      </c>
    </row>
    <row r="12829" spans="1:16" x14ac:dyDescent="0.25">
      <c r="A12829" t="str">
        <f>"1190006M00320    00"</f>
        <v>1190006M00320    00</v>
      </c>
      <c r="B12829" t="s">
        <v>28249</v>
      </c>
      <c r="C12829" t="s">
        <v>28250</v>
      </c>
      <c r="D12829" t="s">
        <v>20</v>
      </c>
      <c r="E12829" t="s">
        <v>39</v>
      </c>
      <c r="F12829">
        <v>0</v>
      </c>
      <c r="G12829">
        <v>0</v>
      </c>
      <c r="H12829">
        <v>2</v>
      </c>
      <c r="I12829" s="3">
        <v>137.24</v>
      </c>
      <c r="J12829" s="3">
        <v>0</v>
      </c>
      <c r="K12829" t="s">
        <v>28251</v>
      </c>
      <c r="L12829">
        <v>129</v>
      </c>
      <c r="M12829" t="s">
        <v>27932</v>
      </c>
      <c r="N12829" t="s">
        <v>30</v>
      </c>
      <c r="O12829" t="s">
        <v>31</v>
      </c>
      <c r="P12829" t="str">
        <f>"15211"</f>
        <v>15211</v>
      </c>
    </row>
    <row r="12830" spans="1:16" x14ac:dyDescent="0.25">
      <c r="A12830" t="str">
        <f>"1190006P00064    00"</f>
        <v>1190006P00064    00</v>
      </c>
      <c r="B12830" t="s">
        <v>28252</v>
      </c>
      <c r="C12830" t="s">
        <v>28119</v>
      </c>
      <c r="D12830" t="s">
        <v>20</v>
      </c>
      <c r="E12830" t="s">
        <v>39</v>
      </c>
      <c r="F12830">
        <v>0</v>
      </c>
      <c r="G12830">
        <v>0</v>
      </c>
      <c r="H12830">
        <v>2</v>
      </c>
      <c r="I12830" s="3">
        <v>179.18</v>
      </c>
      <c r="J12830" s="3">
        <v>0</v>
      </c>
      <c r="K12830" t="s">
        <v>28253</v>
      </c>
      <c r="L12830">
        <v>3001</v>
      </c>
      <c r="M12830" t="s">
        <v>330</v>
      </c>
      <c r="N12830" t="s">
        <v>331</v>
      </c>
      <c r="O12830" t="s">
        <v>108</v>
      </c>
      <c r="P12830" t="str">
        <f>"75063"</f>
        <v>75063</v>
      </c>
    </row>
    <row r="12831" spans="1:16" x14ac:dyDescent="0.25">
      <c r="A12831" t="str">
        <f>"1190006P00074    00"</f>
        <v>1190006P00074    00</v>
      </c>
      <c r="B12831" t="s">
        <v>28254</v>
      </c>
      <c r="C12831" t="s">
        <v>28119</v>
      </c>
      <c r="D12831" t="s">
        <v>20</v>
      </c>
      <c r="E12831" t="s">
        <v>39</v>
      </c>
      <c r="F12831">
        <v>0</v>
      </c>
      <c r="G12831">
        <v>0</v>
      </c>
      <c r="H12831">
        <v>14</v>
      </c>
      <c r="I12831" s="3">
        <v>4197.91</v>
      </c>
      <c r="J12831" s="3">
        <v>4991.25</v>
      </c>
      <c r="L12831">
        <v>432</v>
      </c>
      <c r="M12831" t="s">
        <v>27695</v>
      </c>
      <c r="N12831" t="s">
        <v>30</v>
      </c>
      <c r="O12831" t="s">
        <v>31</v>
      </c>
      <c r="P12831" t="str">
        <f t="shared" ref="P12831:P12838" si="161">"15211"</f>
        <v>15211</v>
      </c>
    </row>
    <row r="12832" spans="1:16" x14ac:dyDescent="0.25">
      <c r="A12832" t="str">
        <f>"1190006P00076    00"</f>
        <v>1190006P00076    00</v>
      </c>
      <c r="B12832" t="s">
        <v>28254</v>
      </c>
      <c r="C12832" t="s">
        <v>28255</v>
      </c>
      <c r="D12832" t="s">
        <v>20</v>
      </c>
      <c r="E12832" t="s">
        <v>39</v>
      </c>
      <c r="F12832">
        <v>0</v>
      </c>
      <c r="G12832">
        <v>0</v>
      </c>
      <c r="H12832">
        <v>7</v>
      </c>
      <c r="I12832" s="3">
        <v>6190.67</v>
      </c>
      <c r="J12832" s="3">
        <v>1549.06</v>
      </c>
      <c r="L12832">
        <v>432</v>
      </c>
      <c r="M12832" t="s">
        <v>27695</v>
      </c>
      <c r="N12832" t="s">
        <v>30</v>
      </c>
      <c r="O12832" t="s">
        <v>31</v>
      </c>
      <c r="P12832" t="str">
        <f t="shared" si="161"/>
        <v>15211</v>
      </c>
    </row>
    <row r="12833" spans="1:16" x14ac:dyDescent="0.25">
      <c r="A12833" t="str">
        <f>"1190006P00104    00"</f>
        <v>1190006P00104    00</v>
      </c>
      <c r="B12833" t="s">
        <v>28256</v>
      </c>
      <c r="C12833" t="s">
        <v>28119</v>
      </c>
      <c r="D12833" t="s">
        <v>20</v>
      </c>
      <c r="E12833" t="s">
        <v>39</v>
      </c>
      <c r="F12833">
        <v>0</v>
      </c>
      <c r="G12833">
        <v>0</v>
      </c>
      <c r="H12833">
        <v>2</v>
      </c>
      <c r="I12833" s="3">
        <v>198.22</v>
      </c>
      <c r="J12833" s="3">
        <v>0</v>
      </c>
      <c r="L12833">
        <v>469</v>
      </c>
      <c r="M12833" t="s">
        <v>27695</v>
      </c>
      <c r="N12833" t="s">
        <v>30</v>
      </c>
      <c r="O12833" t="s">
        <v>31</v>
      </c>
      <c r="P12833" t="str">
        <f t="shared" si="161"/>
        <v>15211</v>
      </c>
    </row>
    <row r="12834" spans="1:16" x14ac:dyDescent="0.25">
      <c r="A12834" t="str">
        <f>"1190006P00105    00"</f>
        <v>1190006P00105    00</v>
      </c>
      <c r="B12834" t="s">
        <v>28256</v>
      </c>
      <c r="C12834" t="s">
        <v>28257</v>
      </c>
      <c r="D12834" t="s">
        <v>20</v>
      </c>
      <c r="E12834" t="s">
        <v>39</v>
      </c>
      <c r="F12834">
        <v>0</v>
      </c>
      <c r="G12834">
        <v>0</v>
      </c>
      <c r="H12834">
        <v>3</v>
      </c>
      <c r="I12834" s="3">
        <v>1340.13</v>
      </c>
      <c r="J12834" s="3">
        <v>0</v>
      </c>
      <c r="L12834">
        <v>469</v>
      </c>
      <c r="M12834" t="s">
        <v>27695</v>
      </c>
      <c r="N12834" t="s">
        <v>30</v>
      </c>
      <c r="O12834" t="s">
        <v>31</v>
      </c>
      <c r="P12834" t="str">
        <f t="shared" si="161"/>
        <v>15211</v>
      </c>
    </row>
    <row r="12835" spans="1:16" x14ac:dyDescent="0.25">
      <c r="A12835" t="str">
        <f>"1190006P00137    00"</f>
        <v>1190006P00137    00</v>
      </c>
      <c r="B12835" t="s">
        <v>28258</v>
      </c>
      <c r="C12835" t="s">
        <v>28259</v>
      </c>
      <c r="E12835" t="s">
        <v>39</v>
      </c>
      <c r="F12835">
        <v>0</v>
      </c>
      <c r="G12835">
        <v>0</v>
      </c>
      <c r="H12835">
        <v>1</v>
      </c>
      <c r="I12835" s="3">
        <v>523.11</v>
      </c>
      <c r="J12835" s="3">
        <v>0</v>
      </c>
      <c r="L12835">
        <v>510</v>
      </c>
      <c r="M12835" t="s">
        <v>28057</v>
      </c>
      <c r="N12835" t="s">
        <v>30</v>
      </c>
      <c r="O12835" t="s">
        <v>31</v>
      </c>
      <c r="P12835" t="str">
        <f t="shared" si="161"/>
        <v>15211</v>
      </c>
    </row>
    <row r="12836" spans="1:16" x14ac:dyDescent="0.25">
      <c r="A12836" t="str">
        <f>"1190006P00141    00"</f>
        <v>1190006P00141    00</v>
      </c>
      <c r="B12836" t="s">
        <v>28260</v>
      </c>
      <c r="C12836" t="s">
        <v>28261</v>
      </c>
      <c r="D12836" t="s">
        <v>20</v>
      </c>
      <c r="E12836" t="s">
        <v>39</v>
      </c>
      <c r="F12836">
        <v>0</v>
      </c>
      <c r="G12836">
        <v>0</v>
      </c>
      <c r="H12836">
        <v>1</v>
      </c>
      <c r="I12836" s="3">
        <v>1353.73</v>
      </c>
      <c r="J12836" s="3">
        <v>0</v>
      </c>
      <c r="L12836">
        <v>502</v>
      </c>
      <c r="M12836" t="s">
        <v>28057</v>
      </c>
      <c r="N12836" t="s">
        <v>30</v>
      </c>
      <c r="O12836" t="s">
        <v>31</v>
      </c>
      <c r="P12836" t="str">
        <f t="shared" si="161"/>
        <v>15211</v>
      </c>
    </row>
    <row r="12837" spans="1:16" x14ac:dyDescent="0.25">
      <c r="A12837" t="str">
        <f>"1190006R00007    00"</f>
        <v>1190006R00007    00</v>
      </c>
      <c r="B12837" t="s">
        <v>28262</v>
      </c>
      <c r="C12837" t="s">
        <v>28263</v>
      </c>
      <c r="D12837" t="s">
        <v>20</v>
      </c>
      <c r="E12837" t="s">
        <v>39</v>
      </c>
      <c r="F12837">
        <v>0</v>
      </c>
      <c r="G12837">
        <v>0</v>
      </c>
      <c r="H12837">
        <v>1</v>
      </c>
      <c r="I12837" s="3">
        <v>1467.62</v>
      </c>
      <c r="J12837" s="3">
        <v>0</v>
      </c>
      <c r="K12837" t="s">
        <v>28264</v>
      </c>
      <c r="L12837">
        <v>502</v>
      </c>
      <c r="M12837" t="s">
        <v>28057</v>
      </c>
      <c r="N12837" t="s">
        <v>30</v>
      </c>
      <c r="O12837" t="s">
        <v>31</v>
      </c>
      <c r="P12837" t="str">
        <f t="shared" si="161"/>
        <v>15211</v>
      </c>
    </row>
    <row r="12838" spans="1:16" x14ac:dyDescent="0.25">
      <c r="A12838" t="str">
        <f>"1190006R00053    00"</f>
        <v>1190006R00053    00</v>
      </c>
      <c r="B12838" t="s">
        <v>23499</v>
      </c>
      <c r="C12838" t="s">
        <v>28265</v>
      </c>
      <c r="D12838" t="s">
        <v>20</v>
      </c>
      <c r="E12838" t="s">
        <v>39</v>
      </c>
      <c r="F12838">
        <v>0</v>
      </c>
      <c r="G12838">
        <v>0</v>
      </c>
      <c r="H12838">
        <v>2</v>
      </c>
      <c r="I12838" s="3">
        <v>2428.2600000000002</v>
      </c>
      <c r="J12838" s="3">
        <v>0</v>
      </c>
      <c r="K12838" t="s">
        <v>23501</v>
      </c>
      <c r="L12838">
        <v>825</v>
      </c>
      <c r="M12838" t="s">
        <v>11611</v>
      </c>
      <c r="N12838" t="s">
        <v>30</v>
      </c>
      <c r="O12838" t="s">
        <v>31</v>
      </c>
      <c r="P12838" t="str">
        <f t="shared" si="161"/>
        <v>15211</v>
      </c>
    </row>
    <row r="12839" spans="1:16" x14ac:dyDescent="0.25">
      <c r="A12839" t="str">
        <f>"1190006R00060    00"</f>
        <v>1190006R00060    00</v>
      </c>
      <c r="B12839" t="s">
        <v>28266</v>
      </c>
      <c r="C12839" t="s">
        <v>28267</v>
      </c>
      <c r="D12839" t="s">
        <v>20</v>
      </c>
      <c r="E12839" t="s">
        <v>39</v>
      </c>
      <c r="F12839">
        <v>0</v>
      </c>
      <c r="G12839">
        <v>0</v>
      </c>
      <c r="H12839">
        <v>2</v>
      </c>
      <c r="I12839" s="3">
        <v>957.01</v>
      </c>
      <c r="J12839" s="3">
        <v>0</v>
      </c>
      <c r="K12839" t="s">
        <v>28268</v>
      </c>
      <c r="L12839">
        <v>40</v>
      </c>
      <c r="M12839" t="s">
        <v>28269</v>
      </c>
      <c r="N12839" t="s">
        <v>826</v>
      </c>
      <c r="O12839" t="s">
        <v>31</v>
      </c>
      <c r="P12839" t="str">
        <f>"15601"</f>
        <v>15601</v>
      </c>
    </row>
    <row r="12840" spans="1:16" x14ac:dyDescent="0.25">
      <c r="A12840" t="str">
        <f>"1190006R00063    00"</f>
        <v>1190006R00063    00</v>
      </c>
      <c r="B12840" t="s">
        <v>28270</v>
      </c>
      <c r="C12840" t="s">
        <v>28271</v>
      </c>
      <c r="E12840" t="s">
        <v>39</v>
      </c>
      <c r="F12840">
        <v>0</v>
      </c>
      <c r="G12840">
        <v>0</v>
      </c>
      <c r="H12840">
        <v>2</v>
      </c>
      <c r="I12840" s="3">
        <v>6465.16</v>
      </c>
      <c r="J12840" s="3">
        <v>80.81</v>
      </c>
      <c r="K12840" t="s">
        <v>28272</v>
      </c>
      <c r="L12840">
        <v>454</v>
      </c>
      <c r="M12840" t="s">
        <v>28273</v>
      </c>
      <c r="N12840" t="s">
        <v>30</v>
      </c>
      <c r="O12840" t="s">
        <v>31</v>
      </c>
      <c r="P12840" t="str">
        <f>"15211"</f>
        <v>15211</v>
      </c>
    </row>
    <row r="12841" spans="1:16" x14ac:dyDescent="0.25">
      <c r="A12841" t="str">
        <f>"1190006R00064    00"</f>
        <v>1190006R00064    00</v>
      </c>
      <c r="B12841" t="s">
        <v>28274</v>
      </c>
      <c r="C12841" t="s">
        <v>28275</v>
      </c>
      <c r="E12841" t="s">
        <v>39</v>
      </c>
      <c r="F12841">
        <v>0</v>
      </c>
      <c r="G12841">
        <v>0</v>
      </c>
      <c r="H12841">
        <v>1</v>
      </c>
      <c r="I12841" s="3">
        <v>3548.97</v>
      </c>
      <c r="J12841" s="3">
        <v>88.72</v>
      </c>
      <c r="K12841" t="s">
        <v>391</v>
      </c>
      <c r="L12841">
        <v>1</v>
      </c>
      <c r="M12841" t="s">
        <v>392</v>
      </c>
      <c r="N12841" t="s">
        <v>393</v>
      </c>
      <c r="O12841" t="s">
        <v>394</v>
      </c>
      <c r="P12841" t="str">
        <f>"50328"</f>
        <v>50328</v>
      </c>
    </row>
    <row r="12842" spans="1:16" x14ac:dyDescent="0.25">
      <c r="A12842" t="str">
        <f>"1190006R00070    00"</f>
        <v>1190006R00070    00</v>
      </c>
      <c r="B12842" t="s">
        <v>28276</v>
      </c>
      <c r="C12842" t="s">
        <v>28277</v>
      </c>
      <c r="D12842" t="s">
        <v>20</v>
      </c>
      <c r="E12842" t="s">
        <v>39</v>
      </c>
      <c r="F12842">
        <v>0</v>
      </c>
      <c r="G12842">
        <v>0</v>
      </c>
      <c r="H12842">
        <v>2</v>
      </c>
      <c r="I12842" s="3">
        <v>853.88</v>
      </c>
      <c r="J12842" s="3">
        <v>0</v>
      </c>
      <c r="K12842" t="s">
        <v>28278</v>
      </c>
      <c r="L12842">
        <v>2675</v>
      </c>
      <c r="M12842" t="s">
        <v>28279</v>
      </c>
      <c r="N12842" t="s">
        <v>4652</v>
      </c>
      <c r="O12842" t="s">
        <v>370</v>
      </c>
      <c r="P12842" t="str">
        <f>"33133"</f>
        <v>33133</v>
      </c>
    </row>
    <row r="12843" spans="1:16" x14ac:dyDescent="0.25">
      <c r="A12843" t="str">
        <f>"1190006R00095    00"</f>
        <v>1190006R00095    00</v>
      </c>
      <c r="B12843" t="s">
        <v>28280</v>
      </c>
      <c r="C12843" t="s">
        <v>28281</v>
      </c>
      <c r="D12843" t="s">
        <v>57</v>
      </c>
      <c r="E12843" t="s">
        <v>39</v>
      </c>
      <c r="F12843">
        <v>0</v>
      </c>
      <c r="G12843">
        <v>0</v>
      </c>
      <c r="H12843">
        <v>1</v>
      </c>
      <c r="I12843" s="3">
        <v>5323.47</v>
      </c>
      <c r="J12843" s="3">
        <v>1197.73</v>
      </c>
      <c r="K12843" t="s">
        <v>484</v>
      </c>
      <c r="L12843">
        <v>3001</v>
      </c>
      <c r="M12843" t="s">
        <v>330</v>
      </c>
      <c r="N12843" t="s">
        <v>331</v>
      </c>
      <c r="O12843" t="s">
        <v>108</v>
      </c>
      <c r="P12843" t="str">
        <f>"75063"</f>
        <v>75063</v>
      </c>
    </row>
    <row r="12844" spans="1:16" x14ac:dyDescent="0.25">
      <c r="A12844" t="str">
        <f>"1190006R00112    00"</f>
        <v>1190006R00112    00</v>
      </c>
      <c r="B12844" t="s">
        <v>28282</v>
      </c>
      <c r="C12844" t="s">
        <v>28283</v>
      </c>
      <c r="E12844" t="s">
        <v>39</v>
      </c>
      <c r="F12844">
        <v>0</v>
      </c>
      <c r="G12844">
        <v>0</v>
      </c>
      <c r="H12844">
        <v>3</v>
      </c>
      <c r="I12844" s="3">
        <v>4239.1099999999997</v>
      </c>
      <c r="J12844" s="3">
        <v>1695.1</v>
      </c>
      <c r="K12844" t="s">
        <v>28284</v>
      </c>
      <c r="L12844">
        <v>467</v>
      </c>
      <c r="M12844" t="s">
        <v>28273</v>
      </c>
      <c r="N12844" t="s">
        <v>30</v>
      </c>
      <c r="O12844" t="s">
        <v>31</v>
      </c>
      <c r="P12844" t="str">
        <f>"15211"</f>
        <v>15211</v>
      </c>
    </row>
    <row r="12845" spans="1:16" x14ac:dyDescent="0.25">
      <c r="A12845" t="str">
        <f>"1190006R00125    00"</f>
        <v>1190006R00125    00</v>
      </c>
      <c r="B12845" t="s">
        <v>28285</v>
      </c>
      <c r="C12845" t="s">
        <v>28286</v>
      </c>
      <c r="D12845" t="s">
        <v>20</v>
      </c>
      <c r="E12845" t="s">
        <v>39</v>
      </c>
      <c r="F12845">
        <v>0</v>
      </c>
      <c r="G12845">
        <v>0</v>
      </c>
      <c r="H12845">
        <v>19</v>
      </c>
      <c r="I12845" s="3">
        <v>6313.04</v>
      </c>
      <c r="J12845" s="3">
        <v>6478.95</v>
      </c>
      <c r="K12845" t="s">
        <v>1008</v>
      </c>
      <c r="P12845" t="str">
        <f>""</f>
        <v/>
      </c>
    </row>
    <row r="12846" spans="1:16" x14ac:dyDescent="0.25">
      <c r="A12846" t="str">
        <f>"1190006R00129    00"</f>
        <v>1190006R00129    00</v>
      </c>
      <c r="B12846" t="s">
        <v>28285</v>
      </c>
      <c r="C12846" t="s">
        <v>28286</v>
      </c>
      <c r="D12846" t="s">
        <v>20</v>
      </c>
      <c r="E12846" t="s">
        <v>39</v>
      </c>
      <c r="F12846">
        <v>0</v>
      </c>
      <c r="G12846">
        <v>0</v>
      </c>
      <c r="H12846">
        <v>7</v>
      </c>
      <c r="I12846" s="3">
        <v>809.09</v>
      </c>
      <c r="J12846" s="3">
        <v>223.74</v>
      </c>
      <c r="K12846" t="s">
        <v>28287</v>
      </c>
      <c r="L12846">
        <v>2683</v>
      </c>
      <c r="M12846" t="s">
        <v>28288</v>
      </c>
      <c r="N12846" t="s">
        <v>17127</v>
      </c>
      <c r="O12846" t="s">
        <v>495</v>
      </c>
      <c r="P12846" t="str">
        <f>"92014"</f>
        <v>92014</v>
      </c>
    </row>
    <row r="12847" spans="1:16" x14ac:dyDescent="0.25">
      <c r="A12847" t="str">
        <f>"1190006R00149    00"</f>
        <v>1190006R00149    00</v>
      </c>
      <c r="B12847" t="s">
        <v>28289</v>
      </c>
      <c r="C12847" t="s">
        <v>28290</v>
      </c>
      <c r="D12847" t="s">
        <v>20</v>
      </c>
      <c r="E12847" t="s">
        <v>39</v>
      </c>
      <c r="F12847">
        <v>0</v>
      </c>
      <c r="G12847">
        <v>0</v>
      </c>
      <c r="H12847">
        <v>1</v>
      </c>
      <c r="I12847" s="3">
        <v>328</v>
      </c>
      <c r="J12847" s="3">
        <v>0</v>
      </c>
      <c r="L12847">
        <v>239</v>
      </c>
      <c r="M12847" t="s">
        <v>4730</v>
      </c>
      <c r="N12847" t="s">
        <v>30</v>
      </c>
      <c r="O12847" t="s">
        <v>31</v>
      </c>
      <c r="P12847" t="str">
        <f>"15222"</f>
        <v>15222</v>
      </c>
    </row>
    <row r="12848" spans="1:16" x14ac:dyDescent="0.25">
      <c r="A12848" t="str">
        <f>"1190006R00173    00"</f>
        <v>1190006R00173    00</v>
      </c>
      <c r="B12848" t="s">
        <v>28291</v>
      </c>
      <c r="C12848" t="s">
        <v>28292</v>
      </c>
      <c r="E12848" t="s">
        <v>39</v>
      </c>
      <c r="F12848">
        <v>0</v>
      </c>
      <c r="G12848">
        <v>0</v>
      </c>
      <c r="H12848">
        <v>1</v>
      </c>
      <c r="I12848" s="3">
        <v>1726.84</v>
      </c>
      <c r="J12848" s="3">
        <v>0</v>
      </c>
      <c r="K12848" t="s">
        <v>28293</v>
      </c>
      <c r="L12848">
        <v>450</v>
      </c>
      <c r="M12848" t="s">
        <v>27947</v>
      </c>
      <c r="N12848" t="s">
        <v>30</v>
      </c>
      <c r="O12848" t="s">
        <v>31</v>
      </c>
      <c r="P12848" t="str">
        <f>"15211"</f>
        <v>15211</v>
      </c>
    </row>
    <row r="12849" spans="1:16" x14ac:dyDescent="0.25">
      <c r="A12849" t="str">
        <f>"1190006R00175    00"</f>
        <v>1190006R00175    00</v>
      </c>
      <c r="B12849" t="s">
        <v>28294</v>
      </c>
      <c r="C12849" t="s">
        <v>28295</v>
      </c>
      <c r="D12849" t="s">
        <v>20</v>
      </c>
      <c r="E12849" t="s">
        <v>39</v>
      </c>
      <c r="F12849">
        <v>0</v>
      </c>
      <c r="G12849">
        <v>0</v>
      </c>
      <c r="H12849">
        <v>2</v>
      </c>
      <c r="I12849" s="3">
        <v>3646.72</v>
      </c>
      <c r="J12849" s="3">
        <v>16.29</v>
      </c>
      <c r="K12849" t="s">
        <v>403</v>
      </c>
      <c r="L12849">
        <v>3001</v>
      </c>
      <c r="M12849" t="s">
        <v>404</v>
      </c>
      <c r="N12849" t="s">
        <v>331</v>
      </c>
      <c r="O12849" t="s">
        <v>108</v>
      </c>
      <c r="P12849" t="str">
        <f>"75063"</f>
        <v>75063</v>
      </c>
    </row>
    <row r="12850" spans="1:16" x14ac:dyDescent="0.25">
      <c r="A12850" t="str">
        <f>"1190006R00177    00"</f>
        <v>1190006R00177    00</v>
      </c>
      <c r="B12850" t="s">
        <v>28296</v>
      </c>
      <c r="C12850" t="s">
        <v>28297</v>
      </c>
      <c r="D12850" t="s">
        <v>20</v>
      </c>
      <c r="E12850" t="s">
        <v>39</v>
      </c>
      <c r="F12850">
        <v>0</v>
      </c>
      <c r="G12850">
        <v>0</v>
      </c>
      <c r="H12850">
        <v>2</v>
      </c>
      <c r="I12850" s="3">
        <v>5211.0200000000004</v>
      </c>
      <c r="J12850" s="3">
        <v>0</v>
      </c>
      <c r="K12850" t="s">
        <v>28298</v>
      </c>
      <c r="L12850">
        <v>454</v>
      </c>
      <c r="M12850" t="s">
        <v>27947</v>
      </c>
      <c r="N12850" t="s">
        <v>30</v>
      </c>
      <c r="O12850" t="s">
        <v>31</v>
      </c>
      <c r="P12850" t="str">
        <f>"15211"</f>
        <v>15211</v>
      </c>
    </row>
    <row r="12851" spans="1:16" x14ac:dyDescent="0.25">
      <c r="A12851" t="str">
        <f>"1190006R00255    00"</f>
        <v>1190006R00255    00</v>
      </c>
      <c r="B12851" t="s">
        <v>28299</v>
      </c>
      <c r="C12851" t="s">
        <v>28300</v>
      </c>
      <c r="D12851" t="s">
        <v>33</v>
      </c>
      <c r="E12851" t="s">
        <v>39</v>
      </c>
      <c r="F12851">
        <v>0</v>
      </c>
      <c r="G12851">
        <v>0</v>
      </c>
      <c r="H12851">
        <v>5</v>
      </c>
      <c r="I12851" s="3">
        <v>4187.29</v>
      </c>
      <c r="J12851" s="3">
        <v>54.52</v>
      </c>
      <c r="L12851">
        <v>333</v>
      </c>
      <c r="M12851" t="s">
        <v>28301</v>
      </c>
      <c r="N12851" t="s">
        <v>30</v>
      </c>
      <c r="O12851" t="s">
        <v>31</v>
      </c>
      <c r="P12851" t="str">
        <f>"15216"</f>
        <v>15216</v>
      </c>
    </row>
    <row r="12852" spans="1:16" x14ac:dyDescent="0.25">
      <c r="A12852" t="str">
        <f>"1190006R00259    00"</f>
        <v>1190006R00259    00</v>
      </c>
      <c r="B12852" t="s">
        <v>28302</v>
      </c>
      <c r="C12852" t="s">
        <v>28303</v>
      </c>
      <c r="D12852" t="s">
        <v>20</v>
      </c>
      <c r="E12852" t="s">
        <v>39</v>
      </c>
      <c r="F12852">
        <v>0</v>
      </c>
      <c r="G12852">
        <v>0</v>
      </c>
      <c r="H12852">
        <v>6</v>
      </c>
      <c r="I12852" s="3">
        <v>6835.45</v>
      </c>
      <c r="J12852" s="3">
        <v>1752.93</v>
      </c>
      <c r="L12852">
        <v>333</v>
      </c>
      <c r="M12852" t="s">
        <v>28301</v>
      </c>
      <c r="N12852" t="s">
        <v>30</v>
      </c>
      <c r="O12852" t="s">
        <v>31</v>
      </c>
      <c r="P12852" t="str">
        <f>"15216"</f>
        <v>15216</v>
      </c>
    </row>
    <row r="12853" spans="1:16" x14ac:dyDescent="0.25">
      <c r="A12853" t="str">
        <f>"1190006R00286    00"</f>
        <v>1190006R00286    00</v>
      </c>
      <c r="B12853" t="s">
        <v>28304</v>
      </c>
      <c r="C12853" t="s">
        <v>28305</v>
      </c>
      <c r="D12853" t="s">
        <v>20</v>
      </c>
      <c r="E12853" t="s">
        <v>39</v>
      </c>
      <c r="F12853">
        <v>0</v>
      </c>
      <c r="G12853">
        <v>0</v>
      </c>
      <c r="H12853">
        <v>4</v>
      </c>
      <c r="I12853" s="3">
        <v>4940.78</v>
      </c>
      <c r="J12853" s="3">
        <v>439.32</v>
      </c>
      <c r="L12853">
        <v>2727</v>
      </c>
      <c r="M12853" t="s">
        <v>28306</v>
      </c>
      <c r="N12853" t="s">
        <v>30</v>
      </c>
      <c r="O12853" t="s">
        <v>31</v>
      </c>
      <c r="P12853" t="str">
        <f>"15203"</f>
        <v>15203</v>
      </c>
    </row>
    <row r="12854" spans="1:16" x14ac:dyDescent="0.25">
      <c r="A12854" t="str">
        <f>"1190006R00306    00"</f>
        <v>1190006R00306    00</v>
      </c>
      <c r="B12854" t="s">
        <v>28307</v>
      </c>
      <c r="C12854" t="s">
        <v>28308</v>
      </c>
      <c r="E12854" t="s">
        <v>39</v>
      </c>
      <c r="F12854">
        <v>0</v>
      </c>
      <c r="G12854">
        <v>0</v>
      </c>
      <c r="H12854">
        <v>1</v>
      </c>
      <c r="I12854" s="3">
        <v>497.13</v>
      </c>
      <c r="J12854" s="3">
        <v>0</v>
      </c>
      <c r="K12854" t="s">
        <v>28309</v>
      </c>
      <c r="L12854">
        <v>1317</v>
      </c>
      <c r="M12854" t="s">
        <v>21221</v>
      </c>
      <c r="N12854" t="s">
        <v>30</v>
      </c>
      <c r="O12854" t="s">
        <v>31</v>
      </c>
      <c r="P12854" t="str">
        <f>"15204"</f>
        <v>15204</v>
      </c>
    </row>
    <row r="12855" spans="1:16" x14ac:dyDescent="0.25">
      <c r="A12855" t="str">
        <f>"1190006R00307    00"</f>
        <v>1190006R00307    00</v>
      </c>
      <c r="B12855" t="s">
        <v>23499</v>
      </c>
      <c r="C12855" t="s">
        <v>28310</v>
      </c>
      <c r="D12855" t="s">
        <v>20</v>
      </c>
      <c r="E12855" t="s">
        <v>39</v>
      </c>
      <c r="F12855">
        <v>0</v>
      </c>
      <c r="G12855">
        <v>0</v>
      </c>
      <c r="H12855">
        <v>1</v>
      </c>
      <c r="I12855" s="3">
        <v>360.7</v>
      </c>
      <c r="J12855" s="3">
        <v>0</v>
      </c>
      <c r="K12855" t="s">
        <v>23501</v>
      </c>
      <c r="M12855" t="s">
        <v>27842</v>
      </c>
      <c r="N12855" t="s">
        <v>30</v>
      </c>
      <c r="O12855" t="s">
        <v>31</v>
      </c>
      <c r="P12855" t="str">
        <f>"15211"</f>
        <v>15211</v>
      </c>
    </row>
    <row r="12856" spans="1:16" x14ac:dyDescent="0.25">
      <c r="A12856" t="str">
        <f>"1190006R00326    00"</f>
        <v>1190006R00326    00</v>
      </c>
      <c r="B12856" t="s">
        <v>28311</v>
      </c>
      <c r="C12856" t="s">
        <v>28312</v>
      </c>
      <c r="E12856" t="s">
        <v>39</v>
      </c>
      <c r="F12856">
        <v>0</v>
      </c>
      <c r="G12856">
        <v>0</v>
      </c>
      <c r="H12856">
        <v>1</v>
      </c>
      <c r="I12856" s="3">
        <v>3022.25</v>
      </c>
      <c r="J12856" s="3">
        <v>327.39999999999998</v>
      </c>
      <c r="K12856" t="s">
        <v>445</v>
      </c>
      <c r="L12856">
        <v>1</v>
      </c>
      <c r="M12856" t="s">
        <v>1163</v>
      </c>
      <c r="N12856" t="s">
        <v>1164</v>
      </c>
      <c r="O12856" t="s">
        <v>108</v>
      </c>
      <c r="P12856" t="str">
        <f>"76262"</f>
        <v>76262</v>
      </c>
    </row>
    <row r="12857" spans="1:16" x14ac:dyDescent="0.25">
      <c r="A12857" t="str">
        <f>"1190006R00328    00"</f>
        <v>1190006R00328    00</v>
      </c>
      <c r="B12857" t="s">
        <v>28313</v>
      </c>
      <c r="C12857" t="s">
        <v>28314</v>
      </c>
      <c r="D12857" t="s">
        <v>20</v>
      </c>
      <c r="E12857" t="s">
        <v>39</v>
      </c>
      <c r="F12857">
        <v>0</v>
      </c>
      <c r="G12857">
        <v>0</v>
      </c>
      <c r="H12857">
        <v>2</v>
      </c>
      <c r="I12857" s="3">
        <v>2619.7600000000002</v>
      </c>
      <c r="J12857" s="3">
        <v>651.09</v>
      </c>
      <c r="L12857">
        <v>176</v>
      </c>
      <c r="M12857" t="s">
        <v>28315</v>
      </c>
      <c r="N12857" t="s">
        <v>30</v>
      </c>
      <c r="O12857" t="s">
        <v>31</v>
      </c>
      <c r="P12857" t="str">
        <f>"15206"</f>
        <v>15206</v>
      </c>
    </row>
    <row r="12858" spans="1:16" x14ac:dyDescent="0.25">
      <c r="A12858" t="str">
        <f>"1190006R00363    00"</f>
        <v>1190006R00363    00</v>
      </c>
      <c r="B12858" t="s">
        <v>28316</v>
      </c>
      <c r="C12858" t="s">
        <v>28317</v>
      </c>
      <c r="D12858" t="s">
        <v>20</v>
      </c>
      <c r="E12858" t="s">
        <v>39</v>
      </c>
      <c r="F12858">
        <v>0</v>
      </c>
      <c r="G12858">
        <v>0</v>
      </c>
      <c r="H12858">
        <v>1</v>
      </c>
      <c r="I12858" s="3">
        <v>389.56</v>
      </c>
      <c r="J12858" s="3">
        <v>0</v>
      </c>
      <c r="L12858">
        <v>196</v>
      </c>
      <c r="M12858" t="s">
        <v>8296</v>
      </c>
      <c r="N12858" t="s">
        <v>30</v>
      </c>
      <c r="O12858" t="s">
        <v>31</v>
      </c>
      <c r="P12858" t="str">
        <f>"15211"</f>
        <v>15211</v>
      </c>
    </row>
    <row r="12859" spans="1:16" x14ac:dyDescent="0.25">
      <c r="A12859" t="str">
        <f>"1190006R00371    00"</f>
        <v>1190006R00371    00</v>
      </c>
      <c r="B12859" t="s">
        <v>28318</v>
      </c>
      <c r="C12859" t="s">
        <v>28319</v>
      </c>
      <c r="D12859" t="s">
        <v>20</v>
      </c>
      <c r="E12859" t="s">
        <v>39</v>
      </c>
      <c r="F12859">
        <v>0</v>
      </c>
      <c r="G12859">
        <v>0</v>
      </c>
      <c r="H12859">
        <v>5</v>
      </c>
      <c r="I12859" s="3">
        <v>5761.24</v>
      </c>
      <c r="J12859" s="3">
        <v>1025.3499999999999</v>
      </c>
      <c r="L12859">
        <v>313</v>
      </c>
      <c r="M12859" t="s">
        <v>8296</v>
      </c>
      <c r="N12859" t="s">
        <v>30</v>
      </c>
      <c r="O12859" t="s">
        <v>31</v>
      </c>
      <c r="P12859" t="str">
        <f>"15211"</f>
        <v>15211</v>
      </c>
    </row>
    <row r="12860" spans="1:16" x14ac:dyDescent="0.25">
      <c r="A12860" t="str">
        <f>"1190006S00002    00"</f>
        <v>1190006S00002    00</v>
      </c>
      <c r="B12860" t="s">
        <v>28320</v>
      </c>
      <c r="C12860" t="s">
        <v>28321</v>
      </c>
      <c r="D12860" t="s">
        <v>20</v>
      </c>
      <c r="E12860" t="s">
        <v>39</v>
      </c>
      <c r="F12860">
        <v>0</v>
      </c>
      <c r="G12860">
        <v>0</v>
      </c>
      <c r="H12860">
        <v>1</v>
      </c>
      <c r="I12860" s="3">
        <v>670.93</v>
      </c>
      <c r="J12860" s="3">
        <v>0</v>
      </c>
      <c r="K12860" t="s">
        <v>28322</v>
      </c>
      <c r="L12860">
        <v>1215</v>
      </c>
      <c r="M12860" t="s">
        <v>888</v>
      </c>
      <c r="N12860" t="s">
        <v>30</v>
      </c>
      <c r="O12860" t="s">
        <v>31</v>
      </c>
      <c r="P12860" t="str">
        <f>"15211"</f>
        <v>15211</v>
      </c>
    </row>
    <row r="12861" spans="1:16" x14ac:dyDescent="0.25">
      <c r="A12861" t="str">
        <f>"1190006S00004    00"</f>
        <v>1190006S00004    00</v>
      </c>
      <c r="B12861" t="s">
        <v>28323</v>
      </c>
      <c r="C12861" t="s">
        <v>28324</v>
      </c>
      <c r="D12861" t="s">
        <v>20</v>
      </c>
      <c r="E12861" t="s">
        <v>39</v>
      </c>
      <c r="F12861">
        <v>0</v>
      </c>
      <c r="G12861">
        <v>0</v>
      </c>
      <c r="H12861">
        <v>3</v>
      </c>
      <c r="I12861" s="3">
        <v>3324.84</v>
      </c>
      <c r="J12861" s="3">
        <v>14.79</v>
      </c>
      <c r="L12861">
        <v>251</v>
      </c>
      <c r="M12861" t="s">
        <v>8296</v>
      </c>
      <c r="N12861" t="s">
        <v>30</v>
      </c>
      <c r="O12861" t="s">
        <v>31</v>
      </c>
      <c r="P12861" t="str">
        <f>"15211"</f>
        <v>15211</v>
      </c>
    </row>
    <row r="12862" spans="1:16" x14ac:dyDescent="0.25">
      <c r="A12862" t="str">
        <f>"1190006S00019    00"</f>
        <v>1190006S00019    00</v>
      </c>
      <c r="B12862" t="s">
        <v>28325</v>
      </c>
      <c r="C12862" t="s">
        <v>28326</v>
      </c>
      <c r="D12862" t="s">
        <v>20</v>
      </c>
      <c r="E12862" t="s">
        <v>39</v>
      </c>
      <c r="F12862">
        <v>0</v>
      </c>
      <c r="G12862">
        <v>0</v>
      </c>
      <c r="H12862">
        <v>2</v>
      </c>
      <c r="I12862" s="3">
        <v>858.3</v>
      </c>
      <c r="J12862" s="3">
        <v>0</v>
      </c>
      <c r="L12862">
        <v>221</v>
      </c>
      <c r="M12862" t="s">
        <v>8296</v>
      </c>
      <c r="N12862" t="s">
        <v>30</v>
      </c>
      <c r="O12862" t="s">
        <v>31</v>
      </c>
      <c r="P12862" t="str">
        <f>"15211"</f>
        <v>15211</v>
      </c>
    </row>
    <row r="12863" spans="1:16" x14ac:dyDescent="0.25">
      <c r="A12863" t="str">
        <f>"1190006S00025    00"</f>
        <v>1190006S00025    00</v>
      </c>
      <c r="B12863" t="s">
        <v>28327</v>
      </c>
      <c r="C12863" t="s">
        <v>28328</v>
      </c>
      <c r="E12863" t="s">
        <v>39</v>
      </c>
      <c r="F12863">
        <v>0</v>
      </c>
      <c r="G12863">
        <v>0</v>
      </c>
      <c r="H12863">
        <v>1</v>
      </c>
      <c r="I12863" s="3">
        <v>3083.91</v>
      </c>
      <c r="J12863" s="3">
        <v>0</v>
      </c>
      <c r="K12863" t="s">
        <v>1435</v>
      </c>
      <c r="M12863" t="s">
        <v>271</v>
      </c>
      <c r="N12863" t="s">
        <v>272</v>
      </c>
      <c r="O12863" t="s">
        <v>273</v>
      </c>
      <c r="P12863" t="str">
        <f>"29603"</f>
        <v>29603</v>
      </c>
    </row>
    <row r="12864" spans="1:16" x14ac:dyDescent="0.25">
      <c r="A12864" t="str">
        <f>"1190006S00028    00"</f>
        <v>1190006S00028    00</v>
      </c>
      <c r="B12864" t="s">
        <v>28329</v>
      </c>
      <c r="C12864" t="s">
        <v>28330</v>
      </c>
      <c r="E12864" t="s">
        <v>39</v>
      </c>
      <c r="F12864">
        <v>0</v>
      </c>
      <c r="G12864">
        <v>0</v>
      </c>
      <c r="H12864">
        <v>1</v>
      </c>
      <c r="I12864" s="3">
        <v>1788.06</v>
      </c>
      <c r="J12864" s="3">
        <v>491.7</v>
      </c>
      <c r="L12864">
        <v>302</v>
      </c>
      <c r="M12864" t="s">
        <v>27932</v>
      </c>
      <c r="N12864" t="s">
        <v>30</v>
      </c>
      <c r="O12864" t="s">
        <v>31</v>
      </c>
      <c r="P12864" t="str">
        <f>"15211"</f>
        <v>15211</v>
      </c>
    </row>
    <row r="12865" spans="1:16" x14ac:dyDescent="0.25">
      <c r="A12865" t="str">
        <f>"1190006S0002800T100"</f>
        <v>1190006S0002800T100</v>
      </c>
      <c r="B12865" t="s">
        <v>28331</v>
      </c>
      <c r="C12865" t="s">
        <v>28332</v>
      </c>
      <c r="E12865" t="s">
        <v>21</v>
      </c>
      <c r="F12865">
        <v>0</v>
      </c>
      <c r="G12865">
        <v>0</v>
      </c>
      <c r="H12865">
        <v>1</v>
      </c>
      <c r="I12865" s="3">
        <v>407.21</v>
      </c>
      <c r="J12865" s="3">
        <v>118.77</v>
      </c>
      <c r="K12865" t="s">
        <v>28333</v>
      </c>
      <c r="M12865" t="s">
        <v>28334</v>
      </c>
      <c r="N12865" t="s">
        <v>8654</v>
      </c>
      <c r="O12865" t="s">
        <v>6668</v>
      </c>
      <c r="P12865" t="str">
        <f>"98015"</f>
        <v>98015</v>
      </c>
    </row>
    <row r="12866" spans="1:16" x14ac:dyDescent="0.25">
      <c r="A12866" t="str">
        <f>"1190006S00043    00"</f>
        <v>1190006S00043    00</v>
      </c>
      <c r="B12866" t="s">
        <v>28335</v>
      </c>
      <c r="C12866" t="s">
        <v>28336</v>
      </c>
      <c r="E12866" t="s">
        <v>39</v>
      </c>
      <c r="F12866">
        <v>0</v>
      </c>
      <c r="G12866">
        <v>0</v>
      </c>
      <c r="H12866">
        <v>2</v>
      </c>
      <c r="I12866" s="3">
        <v>1391.95</v>
      </c>
      <c r="J12866" s="3">
        <v>389.82</v>
      </c>
      <c r="L12866">
        <v>220</v>
      </c>
      <c r="M12866" t="s">
        <v>27932</v>
      </c>
      <c r="N12866" t="s">
        <v>30</v>
      </c>
      <c r="O12866" t="s">
        <v>31</v>
      </c>
      <c r="P12866" t="str">
        <f>"15211"</f>
        <v>15211</v>
      </c>
    </row>
    <row r="12867" spans="1:16" x14ac:dyDescent="0.25">
      <c r="A12867" t="str">
        <f>"1190006S00087    00"</f>
        <v>1190006S00087    00</v>
      </c>
      <c r="B12867" t="s">
        <v>28337</v>
      </c>
      <c r="C12867" t="s">
        <v>28338</v>
      </c>
      <c r="D12867" t="s">
        <v>20</v>
      </c>
      <c r="E12867" t="s">
        <v>39</v>
      </c>
      <c r="F12867">
        <v>0</v>
      </c>
      <c r="G12867">
        <v>0</v>
      </c>
      <c r="H12867">
        <v>1</v>
      </c>
      <c r="I12867" s="3">
        <v>1895.04</v>
      </c>
      <c r="J12867" s="3">
        <v>0</v>
      </c>
      <c r="K12867" t="s">
        <v>484</v>
      </c>
      <c r="L12867">
        <v>3001</v>
      </c>
      <c r="M12867" t="s">
        <v>330</v>
      </c>
      <c r="N12867" t="s">
        <v>331</v>
      </c>
      <c r="O12867" t="s">
        <v>108</v>
      </c>
      <c r="P12867" t="str">
        <f>"75063"</f>
        <v>75063</v>
      </c>
    </row>
    <row r="12868" spans="1:16" x14ac:dyDescent="0.25">
      <c r="A12868" t="str">
        <f>"1190006S00111    00"</f>
        <v>1190006S00111    00</v>
      </c>
      <c r="B12868" t="s">
        <v>28339</v>
      </c>
      <c r="C12868" t="s">
        <v>28340</v>
      </c>
      <c r="D12868" t="s">
        <v>20</v>
      </c>
      <c r="E12868" t="s">
        <v>39</v>
      </c>
      <c r="F12868">
        <v>0</v>
      </c>
      <c r="G12868">
        <v>0</v>
      </c>
      <c r="H12868">
        <v>1</v>
      </c>
      <c r="I12868" s="3">
        <v>1702.07</v>
      </c>
      <c r="J12868" s="3">
        <v>0</v>
      </c>
      <c r="L12868">
        <v>820</v>
      </c>
      <c r="M12868" t="s">
        <v>28341</v>
      </c>
      <c r="N12868" t="s">
        <v>171</v>
      </c>
      <c r="O12868" t="s">
        <v>31</v>
      </c>
      <c r="P12868" t="str">
        <f>"15057"</f>
        <v>15057</v>
      </c>
    </row>
    <row r="12869" spans="1:16" x14ac:dyDescent="0.25">
      <c r="A12869" t="str">
        <f>"1190006S00125    00"</f>
        <v>1190006S00125    00</v>
      </c>
      <c r="B12869" t="s">
        <v>28342</v>
      </c>
      <c r="C12869" t="s">
        <v>28343</v>
      </c>
      <c r="D12869" t="s">
        <v>20</v>
      </c>
      <c r="E12869" t="s">
        <v>39</v>
      </c>
      <c r="F12869">
        <v>0</v>
      </c>
      <c r="G12869">
        <v>0</v>
      </c>
      <c r="H12869">
        <v>15</v>
      </c>
      <c r="I12869" s="3">
        <v>11053.54</v>
      </c>
      <c r="J12869" s="3">
        <v>4861.5200000000004</v>
      </c>
      <c r="L12869">
        <v>162</v>
      </c>
      <c r="M12869" t="s">
        <v>27955</v>
      </c>
      <c r="N12869" t="s">
        <v>30</v>
      </c>
      <c r="O12869" t="s">
        <v>31</v>
      </c>
      <c r="P12869" t="str">
        <f>"15211"</f>
        <v>15211</v>
      </c>
    </row>
    <row r="12870" spans="1:16" x14ac:dyDescent="0.25">
      <c r="A12870" t="str">
        <f>"1190006S00139    00"</f>
        <v>1190006S00139    00</v>
      </c>
      <c r="B12870" t="s">
        <v>28344</v>
      </c>
      <c r="C12870" t="s">
        <v>28345</v>
      </c>
      <c r="D12870" t="s">
        <v>20</v>
      </c>
      <c r="E12870" t="s">
        <v>39</v>
      </c>
      <c r="F12870">
        <v>0</v>
      </c>
      <c r="G12870">
        <v>0</v>
      </c>
      <c r="H12870">
        <v>1</v>
      </c>
      <c r="I12870" s="3">
        <v>475.08</v>
      </c>
      <c r="J12870" s="3">
        <v>0</v>
      </c>
      <c r="L12870">
        <v>169</v>
      </c>
      <c r="M12870" t="s">
        <v>27955</v>
      </c>
      <c r="N12870" t="s">
        <v>30</v>
      </c>
      <c r="O12870" t="s">
        <v>31</v>
      </c>
      <c r="P12870" t="str">
        <f>"15211"</f>
        <v>15211</v>
      </c>
    </row>
    <row r="12871" spans="1:16" x14ac:dyDescent="0.25">
      <c r="A12871" t="str">
        <f>"1190006S00150    00"</f>
        <v>1190006S00150    00</v>
      </c>
      <c r="B12871" t="s">
        <v>28346</v>
      </c>
      <c r="C12871" t="s">
        <v>28347</v>
      </c>
      <c r="E12871" t="s">
        <v>39</v>
      </c>
      <c r="F12871">
        <v>0</v>
      </c>
      <c r="G12871">
        <v>0</v>
      </c>
      <c r="H12871">
        <v>2</v>
      </c>
      <c r="I12871" s="3">
        <v>3705.26</v>
      </c>
      <c r="J12871" s="3">
        <v>370.51</v>
      </c>
      <c r="K12871" t="s">
        <v>28348</v>
      </c>
      <c r="M12871" t="s">
        <v>28349</v>
      </c>
      <c r="N12871" t="s">
        <v>238</v>
      </c>
      <c r="O12871" t="s">
        <v>31</v>
      </c>
      <c r="P12871" t="str">
        <f>"15134"</f>
        <v>15134</v>
      </c>
    </row>
    <row r="12872" spans="1:16" x14ac:dyDescent="0.25">
      <c r="A12872" t="str">
        <f>"1190006S00179    00"</f>
        <v>1190006S00179    00</v>
      </c>
      <c r="B12872" t="s">
        <v>28350</v>
      </c>
      <c r="C12872" t="s">
        <v>28351</v>
      </c>
      <c r="D12872" t="s">
        <v>20</v>
      </c>
      <c r="E12872" t="s">
        <v>39</v>
      </c>
      <c r="F12872">
        <v>0</v>
      </c>
      <c r="G12872">
        <v>0</v>
      </c>
      <c r="H12872">
        <v>3</v>
      </c>
      <c r="I12872" s="3">
        <v>3240.21</v>
      </c>
      <c r="J12872" s="3">
        <v>396.47</v>
      </c>
      <c r="L12872">
        <v>223</v>
      </c>
      <c r="M12872" t="s">
        <v>28057</v>
      </c>
      <c r="N12872" t="s">
        <v>30</v>
      </c>
      <c r="O12872" t="s">
        <v>31</v>
      </c>
      <c r="P12872" t="str">
        <f>"15211"</f>
        <v>15211</v>
      </c>
    </row>
    <row r="12873" spans="1:16" x14ac:dyDescent="0.25">
      <c r="A12873" t="str">
        <f>"1190006S00188    00"</f>
        <v>1190006S00188    00</v>
      </c>
      <c r="B12873" t="s">
        <v>28352</v>
      </c>
      <c r="C12873" t="s">
        <v>28353</v>
      </c>
      <c r="D12873" t="s">
        <v>20</v>
      </c>
      <c r="E12873" t="s">
        <v>39</v>
      </c>
      <c r="F12873">
        <v>0</v>
      </c>
      <c r="G12873">
        <v>0</v>
      </c>
      <c r="H12873">
        <v>3</v>
      </c>
      <c r="I12873" s="3">
        <v>4118.2700000000004</v>
      </c>
      <c r="J12873" s="3">
        <v>171.8</v>
      </c>
      <c r="L12873">
        <v>208</v>
      </c>
      <c r="M12873" t="s">
        <v>27352</v>
      </c>
      <c r="N12873" t="s">
        <v>30</v>
      </c>
      <c r="O12873" t="s">
        <v>31</v>
      </c>
      <c r="P12873" t="str">
        <f>"15211"</f>
        <v>15211</v>
      </c>
    </row>
    <row r="12874" spans="1:16" x14ac:dyDescent="0.25">
      <c r="A12874" t="str">
        <f>"1190006S00202    00"</f>
        <v>1190006S00202    00</v>
      </c>
      <c r="B12874" t="s">
        <v>28354</v>
      </c>
      <c r="C12874" t="s">
        <v>28355</v>
      </c>
      <c r="D12874" t="s">
        <v>20</v>
      </c>
      <c r="E12874" t="s">
        <v>39</v>
      </c>
      <c r="F12874">
        <v>0</v>
      </c>
      <c r="G12874">
        <v>0</v>
      </c>
      <c r="H12874">
        <v>1</v>
      </c>
      <c r="I12874" s="3">
        <v>2818.98</v>
      </c>
      <c r="J12874" s="3">
        <v>0</v>
      </c>
      <c r="K12874" t="s">
        <v>5718</v>
      </c>
      <c r="L12874">
        <v>26642</v>
      </c>
      <c r="M12874" t="s">
        <v>5719</v>
      </c>
      <c r="N12874" t="s">
        <v>5720</v>
      </c>
      <c r="O12874" t="s">
        <v>495</v>
      </c>
      <c r="P12874" t="str">
        <f>"92610"</f>
        <v>92610</v>
      </c>
    </row>
    <row r="12875" spans="1:16" x14ac:dyDescent="0.25">
      <c r="A12875" t="str">
        <f>"1190006S00239    00"</f>
        <v>1190006S00239    00</v>
      </c>
      <c r="B12875" t="s">
        <v>28356</v>
      </c>
      <c r="C12875" t="s">
        <v>28357</v>
      </c>
      <c r="E12875" t="s">
        <v>39</v>
      </c>
      <c r="F12875">
        <v>0</v>
      </c>
      <c r="G12875">
        <v>0</v>
      </c>
      <c r="H12875">
        <v>1</v>
      </c>
      <c r="I12875" s="3">
        <v>4902.12</v>
      </c>
      <c r="J12875" s="3">
        <v>0</v>
      </c>
      <c r="K12875" t="s">
        <v>28358</v>
      </c>
      <c r="L12875">
        <v>229</v>
      </c>
      <c r="M12875" t="s">
        <v>27352</v>
      </c>
      <c r="N12875" t="s">
        <v>30</v>
      </c>
      <c r="O12875" t="s">
        <v>31</v>
      </c>
      <c r="P12875" t="str">
        <f>"15211"</f>
        <v>15211</v>
      </c>
    </row>
    <row r="12876" spans="1:16" x14ac:dyDescent="0.25">
      <c r="A12876" t="str">
        <f>"1190006S00243    00"</f>
        <v>1190006S00243    00</v>
      </c>
      <c r="B12876" t="s">
        <v>28359</v>
      </c>
      <c r="C12876" t="s">
        <v>28360</v>
      </c>
      <c r="E12876" t="s">
        <v>39</v>
      </c>
      <c r="F12876">
        <v>0</v>
      </c>
      <c r="G12876">
        <v>0</v>
      </c>
      <c r="H12876">
        <v>1</v>
      </c>
      <c r="I12876" s="3">
        <v>2546.42</v>
      </c>
      <c r="J12876" s="3">
        <v>63.65</v>
      </c>
      <c r="K12876" t="s">
        <v>28361</v>
      </c>
      <c r="L12876">
        <v>237</v>
      </c>
      <c r="M12876" t="s">
        <v>27352</v>
      </c>
      <c r="N12876" t="s">
        <v>30</v>
      </c>
      <c r="O12876" t="s">
        <v>31</v>
      </c>
      <c r="P12876" t="str">
        <f>"15211"</f>
        <v>15211</v>
      </c>
    </row>
    <row r="12877" spans="1:16" x14ac:dyDescent="0.25">
      <c r="A12877" t="str">
        <f>"1190006S00251    00"</f>
        <v>1190006S00251    00</v>
      </c>
      <c r="B12877" t="s">
        <v>28362</v>
      </c>
      <c r="C12877" t="s">
        <v>28363</v>
      </c>
      <c r="E12877" t="s">
        <v>39</v>
      </c>
      <c r="F12877">
        <v>0</v>
      </c>
      <c r="G12877">
        <v>0</v>
      </c>
      <c r="H12877">
        <v>2</v>
      </c>
      <c r="I12877" s="3">
        <v>2542.62</v>
      </c>
      <c r="J12877" s="3">
        <v>31.78</v>
      </c>
      <c r="K12877" t="s">
        <v>5432</v>
      </c>
      <c r="L12877">
        <v>3001</v>
      </c>
      <c r="M12877" t="s">
        <v>330</v>
      </c>
      <c r="N12877" t="s">
        <v>331</v>
      </c>
      <c r="O12877" t="s">
        <v>108</v>
      </c>
      <c r="P12877" t="str">
        <f>"75063"</f>
        <v>75063</v>
      </c>
    </row>
    <row r="12878" spans="1:16" x14ac:dyDescent="0.25">
      <c r="A12878" t="str">
        <f>"1190006S00274    00"</f>
        <v>1190006S00274    00</v>
      </c>
      <c r="B12878" t="s">
        <v>28364</v>
      </c>
      <c r="C12878" t="s">
        <v>28365</v>
      </c>
      <c r="E12878" t="s">
        <v>39</v>
      </c>
      <c r="F12878">
        <v>0</v>
      </c>
      <c r="G12878">
        <v>0</v>
      </c>
      <c r="H12878">
        <v>1</v>
      </c>
      <c r="I12878" s="3">
        <v>2312.15</v>
      </c>
      <c r="J12878" s="3">
        <v>1367.97</v>
      </c>
      <c r="K12878" t="s">
        <v>445</v>
      </c>
      <c r="L12878">
        <v>1</v>
      </c>
      <c r="M12878" t="s">
        <v>1163</v>
      </c>
      <c r="N12878" t="s">
        <v>1164</v>
      </c>
      <c r="O12878" t="s">
        <v>108</v>
      </c>
      <c r="P12878" t="str">
        <f>"76262"</f>
        <v>76262</v>
      </c>
    </row>
    <row r="12879" spans="1:16" x14ac:dyDescent="0.25">
      <c r="A12879" t="str">
        <f>"1190007P00003    00"</f>
        <v>1190007P00003    00</v>
      </c>
      <c r="B12879" t="s">
        <v>28366</v>
      </c>
      <c r="C12879" t="s">
        <v>28367</v>
      </c>
      <c r="E12879" t="s">
        <v>39</v>
      </c>
      <c r="F12879">
        <v>0</v>
      </c>
      <c r="G12879">
        <v>0</v>
      </c>
      <c r="H12879">
        <v>1</v>
      </c>
      <c r="I12879" s="3">
        <v>39.549999999999997</v>
      </c>
      <c r="J12879" s="3">
        <v>46.8</v>
      </c>
      <c r="L12879">
        <v>929</v>
      </c>
      <c r="M12879" t="s">
        <v>28368</v>
      </c>
      <c r="N12879" t="s">
        <v>903</v>
      </c>
      <c r="O12879" t="s">
        <v>31</v>
      </c>
      <c r="P12879" t="str">
        <f>"15136"</f>
        <v>15136</v>
      </c>
    </row>
    <row r="12880" spans="1:16" x14ac:dyDescent="0.25">
      <c r="A12880" t="str">
        <f>"1190007P00004    00"</f>
        <v>1190007P00004    00</v>
      </c>
      <c r="B12880" t="s">
        <v>28366</v>
      </c>
      <c r="C12880" t="s">
        <v>28369</v>
      </c>
      <c r="E12880" t="s">
        <v>39</v>
      </c>
      <c r="F12880">
        <v>0</v>
      </c>
      <c r="G12880">
        <v>0</v>
      </c>
      <c r="H12880">
        <v>2</v>
      </c>
      <c r="I12880" s="3">
        <v>172.98</v>
      </c>
      <c r="J12880" s="3">
        <v>192.69</v>
      </c>
      <c r="L12880">
        <v>929</v>
      </c>
      <c r="M12880" t="s">
        <v>28368</v>
      </c>
      <c r="N12880" t="s">
        <v>903</v>
      </c>
      <c r="O12880" t="s">
        <v>31</v>
      </c>
      <c r="P12880" t="str">
        <f>"15136"</f>
        <v>15136</v>
      </c>
    </row>
    <row r="12881" spans="1:16" x14ac:dyDescent="0.25">
      <c r="A12881" t="str">
        <f>"1190007P00075    02"</f>
        <v>1190007P00075    02</v>
      </c>
      <c r="B12881" t="s">
        <v>27968</v>
      </c>
      <c r="C12881" t="s">
        <v>27986</v>
      </c>
      <c r="E12881" t="s">
        <v>513</v>
      </c>
      <c r="F12881">
        <v>0</v>
      </c>
      <c r="G12881">
        <v>0</v>
      </c>
      <c r="H12881">
        <v>1</v>
      </c>
      <c r="I12881" s="3">
        <v>64.92</v>
      </c>
      <c r="J12881" s="3">
        <v>76.28</v>
      </c>
      <c r="K12881" t="s">
        <v>27969</v>
      </c>
      <c r="L12881">
        <v>100</v>
      </c>
      <c r="M12881" t="s">
        <v>27970</v>
      </c>
      <c r="N12881" t="s">
        <v>27971</v>
      </c>
      <c r="O12881" t="s">
        <v>25</v>
      </c>
      <c r="P12881" t="str">
        <f>"44613"</f>
        <v>44613</v>
      </c>
    </row>
    <row r="12882" spans="1:16" x14ac:dyDescent="0.25">
      <c r="A12882" t="str">
        <f>"1190007P00300    01"</f>
        <v>1190007P00300    01</v>
      </c>
      <c r="B12882" t="s">
        <v>687</v>
      </c>
      <c r="C12882" t="s">
        <v>28370</v>
      </c>
      <c r="E12882" t="s">
        <v>513</v>
      </c>
      <c r="F12882">
        <v>0</v>
      </c>
      <c r="G12882">
        <v>0</v>
      </c>
      <c r="H12882">
        <v>1</v>
      </c>
      <c r="I12882" s="3">
        <v>345.68</v>
      </c>
      <c r="J12882" s="3">
        <v>481.95</v>
      </c>
      <c r="K12882" t="s">
        <v>603</v>
      </c>
      <c r="L12882">
        <v>650</v>
      </c>
      <c r="M12882" t="s">
        <v>604</v>
      </c>
      <c r="N12882" t="s">
        <v>605</v>
      </c>
      <c r="O12882" t="s">
        <v>606</v>
      </c>
      <c r="P12882" t="str">
        <f>"30308"</f>
        <v>30308</v>
      </c>
    </row>
    <row r="12883" spans="1:16" x14ac:dyDescent="0.25">
      <c r="A12883" t="str">
        <f>"1190015A00057    00"</f>
        <v>1190015A00057    00</v>
      </c>
      <c r="B12883" t="s">
        <v>28371</v>
      </c>
      <c r="C12883" t="s">
        <v>28372</v>
      </c>
      <c r="D12883" t="s">
        <v>20</v>
      </c>
      <c r="E12883" t="s">
        <v>39</v>
      </c>
      <c r="F12883">
        <v>0</v>
      </c>
      <c r="G12883">
        <v>0</v>
      </c>
      <c r="H12883">
        <v>4</v>
      </c>
      <c r="I12883" s="3">
        <v>1682.02</v>
      </c>
      <c r="J12883" s="3">
        <v>164.48</v>
      </c>
      <c r="K12883" t="s">
        <v>28373</v>
      </c>
      <c r="L12883">
        <v>616</v>
      </c>
      <c r="M12883" t="s">
        <v>28374</v>
      </c>
      <c r="N12883" t="s">
        <v>30</v>
      </c>
      <c r="O12883" t="s">
        <v>31</v>
      </c>
      <c r="P12883" t="str">
        <f>"15211"</f>
        <v>15211</v>
      </c>
    </row>
    <row r="12884" spans="1:16" x14ac:dyDescent="0.25">
      <c r="A12884" t="str">
        <f>"1190015A00059    00"</f>
        <v>1190015A00059    00</v>
      </c>
      <c r="B12884" t="s">
        <v>8467</v>
      </c>
      <c r="C12884" t="s">
        <v>28375</v>
      </c>
      <c r="D12884" t="s">
        <v>20</v>
      </c>
      <c r="E12884" t="s">
        <v>39</v>
      </c>
      <c r="F12884">
        <v>0</v>
      </c>
      <c r="G12884">
        <v>0</v>
      </c>
      <c r="H12884">
        <v>1</v>
      </c>
      <c r="I12884" s="3">
        <v>1069.27</v>
      </c>
      <c r="J12884" s="3">
        <v>0</v>
      </c>
      <c r="K12884" t="s">
        <v>8469</v>
      </c>
      <c r="L12884">
        <v>202</v>
      </c>
      <c r="M12884" t="s">
        <v>2136</v>
      </c>
      <c r="N12884" t="s">
        <v>30</v>
      </c>
      <c r="O12884" t="s">
        <v>31</v>
      </c>
      <c r="P12884" t="str">
        <f>"15228"</f>
        <v>15228</v>
      </c>
    </row>
    <row r="12885" spans="1:16" x14ac:dyDescent="0.25">
      <c r="A12885" t="str">
        <f>"1190015A00078    00"</f>
        <v>1190015A00078    00</v>
      </c>
      <c r="B12885" t="s">
        <v>28376</v>
      </c>
      <c r="C12885" t="s">
        <v>28377</v>
      </c>
      <c r="D12885" t="s">
        <v>20</v>
      </c>
      <c r="E12885" t="s">
        <v>39</v>
      </c>
      <c r="F12885">
        <v>0</v>
      </c>
      <c r="G12885">
        <v>0</v>
      </c>
      <c r="H12885">
        <v>7</v>
      </c>
      <c r="I12885" s="3">
        <v>4580.63</v>
      </c>
      <c r="J12885" s="3">
        <v>1266.69</v>
      </c>
      <c r="L12885">
        <v>333</v>
      </c>
      <c r="M12885" t="s">
        <v>28301</v>
      </c>
      <c r="N12885" t="s">
        <v>30</v>
      </c>
      <c r="O12885" t="s">
        <v>31</v>
      </c>
      <c r="P12885" t="str">
        <f>"15216"</f>
        <v>15216</v>
      </c>
    </row>
    <row r="12886" spans="1:16" x14ac:dyDescent="0.25">
      <c r="A12886" t="str">
        <f>"1190015A00153    00"</f>
        <v>1190015A00153    00</v>
      </c>
      <c r="B12886" t="s">
        <v>28378</v>
      </c>
      <c r="C12886" t="s">
        <v>28379</v>
      </c>
      <c r="E12886" t="s">
        <v>39</v>
      </c>
      <c r="F12886">
        <v>0</v>
      </c>
      <c r="G12886">
        <v>0</v>
      </c>
      <c r="H12886">
        <v>1</v>
      </c>
      <c r="I12886" s="3">
        <v>132.11000000000001</v>
      </c>
      <c r="J12886" s="3">
        <v>52.83</v>
      </c>
      <c r="K12886" t="s">
        <v>28380</v>
      </c>
      <c r="L12886">
        <v>400</v>
      </c>
      <c r="M12886" t="s">
        <v>28381</v>
      </c>
      <c r="N12886" t="s">
        <v>30</v>
      </c>
      <c r="O12886" t="s">
        <v>31</v>
      </c>
      <c r="P12886" t="str">
        <f>"15211"</f>
        <v>15211</v>
      </c>
    </row>
    <row r="12887" spans="1:16" x14ac:dyDescent="0.25">
      <c r="A12887" t="str">
        <f>"1190015A00198    00"</f>
        <v>1190015A00198    00</v>
      </c>
      <c r="B12887" t="s">
        <v>28382</v>
      </c>
      <c r="C12887" t="s">
        <v>28383</v>
      </c>
      <c r="E12887" t="s">
        <v>39</v>
      </c>
      <c r="F12887">
        <v>0</v>
      </c>
      <c r="G12887">
        <v>0</v>
      </c>
      <c r="H12887">
        <v>1</v>
      </c>
      <c r="I12887" s="3">
        <v>260.58</v>
      </c>
      <c r="J12887" s="3">
        <v>104.23</v>
      </c>
      <c r="K12887" t="s">
        <v>28384</v>
      </c>
      <c r="L12887">
        <v>612</v>
      </c>
      <c r="M12887" t="s">
        <v>11611</v>
      </c>
      <c r="N12887" t="s">
        <v>30</v>
      </c>
      <c r="O12887" t="s">
        <v>31</v>
      </c>
      <c r="P12887" t="str">
        <f>"15211"</f>
        <v>15211</v>
      </c>
    </row>
    <row r="12888" spans="1:16" x14ac:dyDescent="0.25">
      <c r="A12888" t="str">
        <f>"1190015A00221    00"</f>
        <v>1190015A00221    00</v>
      </c>
      <c r="B12888" t="s">
        <v>28385</v>
      </c>
      <c r="C12888" t="s">
        <v>28386</v>
      </c>
      <c r="E12888" t="s">
        <v>39</v>
      </c>
      <c r="F12888">
        <v>0</v>
      </c>
      <c r="G12888">
        <v>0</v>
      </c>
      <c r="H12888">
        <v>2</v>
      </c>
      <c r="I12888" s="3">
        <v>452.78</v>
      </c>
      <c r="J12888" s="3">
        <v>99.46</v>
      </c>
      <c r="K12888" t="s">
        <v>391</v>
      </c>
      <c r="L12888">
        <v>1</v>
      </c>
      <c r="M12888" t="s">
        <v>392</v>
      </c>
      <c r="N12888" t="s">
        <v>393</v>
      </c>
      <c r="O12888" t="s">
        <v>394</v>
      </c>
      <c r="P12888" t="str">
        <f>"50328"</f>
        <v>50328</v>
      </c>
    </row>
    <row r="12889" spans="1:16" x14ac:dyDescent="0.25">
      <c r="A12889" t="str">
        <f>"1190015A00228    00"</f>
        <v>1190015A00228    00</v>
      </c>
      <c r="B12889" t="s">
        <v>28387</v>
      </c>
      <c r="C12889" t="s">
        <v>28388</v>
      </c>
      <c r="D12889" t="s">
        <v>20</v>
      </c>
      <c r="E12889" t="s">
        <v>39</v>
      </c>
      <c r="F12889">
        <v>0</v>
      </c>
      <c r="G12889">
        <v>0</v>
      </c>
      <c r="H12889">
        <v>1</v>
      </c>
      <c r="I12889" s="3">
        <v>470.8</v>
      </c>
      <c r="J12889" s="3">
        <v>0</v>
      </c>
      <c r="L12889">
        <v>131</v>
      </c>
      <c r="M12889" t="s">
        <v>10147</v>
      </c>
      <c r="N12889" t="s">
        <v>30</v>
      </c>
      <c r="O12889" t="s">
        <v>31</v>
      </c>
      <c r="P12889" t="str">
        <f>"15236"</f>
        <v>15236</v>
      </c>
    </row>
    <row r="12890" spans="1:16" x14ac:dyDescent="0.25">
      <c r="A12890" t="str">
        <f>"1190015A00230    00"</f>
        <v>1190015A00230    00</v>
      </c>
      <c r="B12890" t="s">
        <v>28389</v>
      </c>
      <c r="C12890" t="s">
        <v>28390</v>
      </c>
      <c r="E12890" t="s">
        <v>39</v>
      </c>
      <c r="F12890">
        <v>0</v>
      </c>
      <c r="G12890">
        <v>0</v>
      </c>
      <c r="H12890">
        <v>2</v>
      </c>
      <c r="I12890" s="3">
        <v>409.47</v>
      </c>
      <c r="J12890" s="3">
        <v>84.8</v>
      </c>
      <c r="L12890">
        <v>3</v>
      </c>
      <c r="M12890" t="s">
        <v>26253</v>
      </c>
      <c r="N12890" t="s">
        <v>30</v>
      </c>
      <c r="O12890" t="s">
        <v>31</v>
      </c>
      <c r="P12890" t="str">
        <f>"15211"</f>
        <v>15211</v>
      </c>
    </row>
    <row r="12891" spans="1:16" x14ac:dyDescent="0.25">
      <c r="A12891" t="str">
        <f>"1190015B00001    00"</f>
        <v>1190015B00001    00</v>
      </c>
      <c r="B12891" t="s">
        <v>28391</v>
      </c>
      <c r="C12891" t="s">
        <v>27582</v>
      </c>
      <c r="D12891" t="s">
        <v>20</v>
      </c>
      <c r="E12891" t="s">
        <v>39</v>
      </c>
      <c r="F12891">
        <v>0</v>
      </c>
      <c r="G12891">
        <v>0</v>
      </c>
      <c r="H12891">
        <v>2</v>
      </c>
      <c r="I12891" s="3">
        <v>709.04</v>
      </c>
      <c r="J12891" s="3">
        <v>0</v>
      </c>
      <c r="K12891" t="s">
        <v>28392</v>
      </c>
      <c r="L12891">
        <v>3198</v>
      </c>
      <c r="M12891" t="s">
        <v>27744</v>
      </c>
      <c r="N12891" t="s">
        <v>30</v>
      </c>
      <c r="O12891" t="s">
        <v>31</v>
      </c>
      <c r="P12891" t="str">
        <f>"15227"</f>
        <v>15227</v>
      </c>
    </row>
    <row r="12892" spans="1:16" x14ac:dyDescent="0.25">
      <c r="A12892" t="str">
        <f>"1190015B00005    00"</f>
        <v>1190015B00005    00</v>
      </c>
      <c r="B12892" t="s">
        <v>28393</v>
      </c>
      <c r="C12892" t="s">
        <v>28394</v>
      </c>
      <c r="D12892" t="s">
        <v>20</v>
      </c>
      <c r="E12892" t="s">
        <v>39</v>
      </c>
      <c r="F12892">
        <v>0</v>
      </c>
      <c r="G12892">
        <v>0</v>
      </c>
      <c r="H12892">
        <v>1</v>
      </c>
      <c r="I12892" s="3">
        <v>196.47</v>
      </c>
      <c r="J12892" s="3">
        <v>0</v>
      </c>
      <c r="L12892">
        <v>258</v>
      </c>
      <c r="M12892" t="s">
        <v>11611</v>
      </c>
      <c r="N12892" t="s">
        <v>30</v>
      </c>
      <c r="O12892" t="s">
        <v>31</v>
      </c>
      <c r="P12892" t="str">
        <f>"15211"</f>
        <v>15211</v>
      </c>
    </row>
    <row r="12893" spans="1:16" x14ac:dyDescent="0.25">
      <c r="A12893" t="str">
        <f>"1190015B00024    00"</f>
        <v>1190015B00024    00</v>
      </c>
      <c r="B12893" t="s">
        <v>4852</v>
      </c>
      <c r="C12893" t="s">
        <v>28395</v>
      </c>
      <c r="E12893" t="s">
        <v>39</v>
      </c>
      <c r="F12893">
        <v>0</v>
      </c>
      <c r="G12893">
        <v>0</v>
      </c>
      <c r="H12893">
        <v>2</v>
      </c>
      <c r="I12893" s="3">
        <v>692.14</v>
      </c>
      <c r="J12893" s="3">
        <v>13.01</v>
      </c>
      <c r="K12893" t="s">
        <v>4854</v>
      </c>
      <c r="L12893">
        <v>4</v>
      </c>
      <c r="M12893" t="s">
        <v>4855</v>
      </c>
      <c r="N12893" t="s">
        <v>4856</v>
      </c>
      <c r="O12893" t="s">
        <v>200</v>
      </c>
      <c r="P12893" t="str">
        <f>"10977"</f>
        <v>10977</v>
      </c>
    </row>
    <row r="12894" spans="1:16" x14ac:dyDescent="0.25">
      <c r="A12894" t="str">
        <f>"1190015B00026B   00"</f>
        <v>1190015B00026B   00</v>
      </c>
      <c r="B12894" t="s">
        <v>28396</v>
      </c>
      <c r="C12894" t="s">
        <v>28397</v>
      </c>
      <c r="D12894" t="s">
        <v>20</v>
      </c>
      <c r="E12894" t="s">
        <v>39</v>
      </c>
      <c r="F12894">
        <v>0</v>
      </c>
      <c r="G12894">
        <v>0</v>
      </c>
      <c r="H12894">
        <v>1</v>
      </c>
      <c r="I12894" s="3">
        <v>90.96</v>
      </c>
      <c r="J12894" s="3">
        <v>0</v>
      </c>
      <c r="L12894">
        <v>502</v>
      </c>
      <c r="M12894" t="s">
        <v>28398</v>
      </c>
      <c r="N12894" t="s">
        <v>30</v>
      </c>
      <c r="O12894" t="s">
        <v>31</v>
      </c>
      <c r="P12894" t="str">
        <f>"15211"</f>
        <v>15211</v>
      </c>
    </row>
    <row r="12895" spans="1:16" x14ac:dyDescent="0.25">
      <c r="A12895" t="str">
        <f>"1190015B00032    00"</f>
        <v>1190015B00032    00</v>
      </c>
      <c r="B12895" t="s">
        <v>28399</v>
      </c>
      <c r="C12895" t="s">
        <v>27582</v>
      </c>
      <c r="D12895" t="s">
        <v>20</v>
      </c>
      <c r="E12895" t="s">
        <v>39</v>
      </c>
      <c r="F12895">
        <v>0</v>
      </c>
      <c r="G12895">
        <v>0</v>
      </c>
      <c r="H12895">
        <v>19</v>
      </c>
      <c r="I12895" s="3">
        <v>589.45000000000005</v>
      </c>
      <c r="J12895" s="3">
        <v>648.91999999999996</v>
      </c>
      <c r="L12895">
        <v>620</v>
      </c>
      <c r="M12895" t="s">
        <v>614</v>
      </c>
      <c r="N12895" t="s">
        <v>30</v>
      </c>
      <c r="O12895" t="s">
        <v>31</v>
      </c>
      <c r="P12895" t="str">
        <f>"15222"</f>
        <v>15222</v>
      </c>
    </row>
    <row r="12896" spans="1:16" x14ac:dyDescent="0.25">
      <c r="A12896" t="str">
        <f>"1190015B00035    00"</f>
        <v>1190015B00035    00</v>
      </c>
      <c r="B12896" t="s">
        <v>28400</v>
      </c>
      <c r="C12896" t="s">
        <v>28401</v>
      </c>
      <c r="D12896" t="s">
        <v>20</v>
      </c>
      <c r="E12896" t="s">
        <v>39</v>
      </c>
      <c r="F12896">
        <v>0</v>
      </c>
      <c r="G12896">
        <v>0</v>
      </c>
      <c r="H12896">
        <v>2</v>
      </c>
      <c r="I12896" s="3">
        <v>386.29</v>
      </c>
      <c r="J12896" s="3">
        <v>4.8099999999999996</v>
      </c>
      <c r="L12896">
        <v>514</v>
      </c>
      <c r="M12896" t="s">
        <v>28398</v>
      </c>
      <c r="N12896" t="s">
        <v>30</v>
      </c>
      <c r="O12896" t="s">
        <v>31</v>
      </c>
      <c r="P12896" t="str">
        <f>"15211"</f>
        <v>15211</v>
      </c>
    </row>
    <row r="12897" spans="1:16" x14ac:dyDescent="0.25">
      <c r="A12897" t="str">
        <f>"1190015B00035A   00"</f>
        <v>1190015B00035A   00</v>
      </c>
      <c r="B12897" t="s">
        <v>28402</v>
      </c>
      <c r="C12897" t="s">
        <v>28403</v>
      </c>
      <c r="D12897" t="s">
        <v>20</v>
      </c>
      <c r="E12897" t="s">
        <v>39</v>
      </c>
      <c r="F12897">
        <v>0</v>
      </c>
      <c r="G12897">
        <v>0</v>
      </c>
      <c r="H12897">
        <v>7</v>
      </c>
      <c r="I12897" s="3">
        <v>5950.94</v>
      </c>
      <c r="J12897" s="3">
        <v>1645.62</v>
      </c>
      <c r="K12897" t="s">
        <v>28404</v>
      </c>
      <c r="L12897">
        <v>512</v>
      </c>
      <c r="M12897" t="s">
        <v>28398</v>
      </c>
      <c r="N12897" t="s">
        <v>30</v>
      </c>
      <c r="O12897" t="s">
        <v>31</v>
      </c>
      <c r="P12897" t="str">
        <f>"15211"</f>
        <v>15211</v>
      </c>
    </row>
    <row r="12898" spans="1:16" x14ac:dyDescent="0.25">
      <c r="A12898" t="str">
        <f>"1190015B00037    00"</f>
        <v>1190015B00037    00</v>
      </c>
      <c r="B12898" t="s">
        <v>28405</v>
      </c>
      <c r="C12898" t="s">
        <v>28406</v>
      </c>
      <c r="D12898" t="s">
        <v>20</v>
      </c>
      <c r="E12898" t="s">
        <v>39</v>
      </c>
      <c r="F12898">
        <v>0</v>
      </c>
      <c r="G12898">
        <v>0</v>
      </c>
      <c r="H12898">
        <v>19</v>
      </c>
      <c r="I12898" s="3">
        <v>614.09</v>
      </c>
      <c r="J12898" s="3">
        <v>684.54</v>
      </c>
      <c r="K12898" t="s">
        <v>28407</v>
      </c>
      <c r="L12898">
        <v>120</v>
      </c>
      <c r="M12898" t="s">
        <v>28408</v>
      </c>
      <c r="N12898" t="s">
        <v>30</v>
      </c>
      <c r="O12898" t="s">
        <v>31</v>
      </c>
      <c r="P12898" t="str">
        <f>"15211"</f>
        <v>15211</v>
      </c>
    </row>
    <row r="12899" spans="1:16" x14ac:dyDescent="0.25">
      <c r="A12899" t="str">
        <f>"1190015B00062    00"</f>
        <v>1190015B00062    00</v>
      </c>
      <c r="B12899" t="s">
        <v>28409</v>
      </c>
      <c r="C12899" t="s">
        <v>28410</v>
      </c>
      <c r="E12899" t="s">
        <v>39</v>
      </c>
      <c r="F12899">
        <v>0</v>
      </c>
      <c r="G12899">
        <v>0</v>
      </c>
      <c r="H12899">
        <v>1</v>
      </c>
      <c r="I12899" s="3">
        <v>97.85</v>
      </c>
      <c r="J12899" s="3">
        <v>0</v>
      </c>
      <c r="L12899">
        <v>607</v>
      </c>
      <c r="M12899" t="s">
        <v>28398</v>
      </c>
      <c r="N12899" t="s">
        <v>30</v>
      </c>
      <c r="O12899" t="s">
        <v>31</v>
      </c>
      <c r="P12899" t="str">
        <f>"15211"</f>
        <v>15211</v>
      </c>
    </row>
    <row r="12900" spans="1:16" x14ac:dyDescent="0.25">
      <c r="A12900" t="str">
        <f>"1190015B00075    00"</f>
        <v>1190015B00075    00</v>
      </c>
      <c r="B12900" t="s">
        <v>28411</v>
      </c>
      <c r="C12900" t="s">
        <v>28412</v>
      </c>
      <c r="D12900" t="s">
        <v>20</v>
      </c>
      <c r="E12900" t="s">
        <v>39</v>
      </c>
      <c r="F12900">
        <v>0</v>
      </c>
      <c r="G12900">
        <v>0</v>
      </c>
      <c r="H12900">
        <v>2</v>
      </c>
      <c r="I12900" s="3">
        <v>782.44</v>
      </c>
      <c r="J12900" s="3">
        <v>0</v>
      </c>
      <c r="L12900">
        <v>604</v>
      </c>
      <c r="M12900" t="s">
        <v>27615</v>
      </c>
      <c r="N12900" t="s">
        <v>30</v>
      </c>
      <c r="O12900" t="s">
        <v>31</v>
      </c>
      <c r="P12900" t="str">
        <f>"15211"</f>
        <v>15211</v>
      </c>
    </row>
    <row r="12901" spans="1:16" x14ac:dyDescent="0.25">
      <c r="A12901" t="str">
        <f>"1190015B00106    00"</f>
        <v>1190015B00106    00</v>
      </c>
      <c r="B12901" t="s">
        <v>28413</v>
      </c>
      <c r="C12901" t="s">
        <v>28414</v>
      </c>
      <c r="D12901" t="s">
        <v>20</v>
      </c>
      <c r="E12901" t="s">
        <v>39</v>
      </c>
      <c r="F12901">
        <v>0</v>
      </c>
      <c r="G12901">
        <v>0</v>
      </c>
      <c r="H12901">
        <v>1</v>
      </c>
      <c r="I12901" s="3">
        <v>1048.32</v>
      </c>
      <c r="J12901" s="3">
        <v>0</v>
      </c>
      <c r="K12901" t="s">
        <v>28415</v>
      </c>
      <c r="L12901">
        <v>190</v>
      </c>
      <c r="M12901" t="s">
        <v>28416</v>
      </c>
      <c r="N12901" t="s">
        <v>28417</v>
      </c>
      <c r="O12901" t="s">
        <v>370</v>
      </c>
      <c r="P12901" t="str">
        <f>"34145"</f>
        <v>34145</v>
      </c>
    </row>
    <row r="12902" spans="1:16" x14ac:dyDescent="0.25">
      <c r="A12902" t="str">
        <f>"1190015B00124    00"</f>
        <v>1190015B00124    00</v>
      </c>
      <c r="B12902" t="s">
        <v>28418</v>
      </c>
      <c r="C12902" t="s">
        <v>28419</v>
      </c>
      <c r="D12902" t="s">
        <v>20</v>
      </c>
      <c r="E12902" t="s">
        <v>39</v>
      </c>
      <c r="F12902">
        <v>0</v>
      </c>
      <c r="G12902">
        <v>0</v>
      </c>
      <c r="H12902">
        <v>2</v>
      </c>
      <c r="I12902" s="3">
        <v>1366.88</v>
      </c>
      <c r="J12902" s="3">
        <v>0.18</v>
      </c>
      <c r="L12902">
        <v>21</v>
      </c>
      <c r="M12902" t="s">
        <v>25391</v>
      </c>
      <c r="N12902" t="s">
        <v>30</v>
      </c>
      <c r="O12902" t="s">
        <v>31</v>
      </c>
      <c r="P12902" t="str">
        <f>"15237"</f>
        <v>15237</v>
      </c>
    </row>
    <row r="12903" spans="1:16" x14ac:dyDescent="0.25">
      <c r="A12903" t="str">
        <f>"1190015B00137    00"</f>
        <v>1190015B00137    00</v>
      </c>
      <c r="B12903" t="s">
        <v>28420</v>
      </c>
      <c r="C12903" t="s">
        <v>28421</v>
      </c>
      <c r="D12903" t="s">
        <v>20</v>
      </c>
      <c r="E12903" t="s">
        <v>39</v>
      </c>
      <c r="F12903">
        <v>0</v>
      </c>
      <c r="G12903">
        <v>0</v>
      </c>
      <c r="H12903">
        <v>2</v>
      </c>
      <c r="I12903" s="3">
        <v>7414.36</v>
      </c>
      <c r="J12903" s="3">
        <v>741.41</v>
      </c>
      <c r="K12903" t="s">
        <v>28422</v>
      </c>
      <c r="L12903">
        <v>116</v>
      </c>
      <c r="M12903" t="s">
        <v>22706</v>
      </c>
      <c r="N12903" t="s">
        <v>139</v>
      </c>
      <c r="O12903" t="s">
        <v>31</v>
      </c>
      <c r="P12903" t="str">
        <f>"15090"</f>
        <v>15090</v>
      </c>
    </row>
    <row r="12904" spans="1:16" x14ac:dyDescent="0.25">
      <c r="A12904" t="str">
        <f>"1190015B00180    00"</f>
        <v>1190015B00180    00</v>
      </c>
      <c r="B12904" t="s">
        <v>28423</v>
      </c>
      <c r="C12904" t="s">
        <v>28424</v>
      </c>
      <c r="D12904" t="s">
        <v>20</v>
      </c>
      <c r="E12904" t="s">
        <v>39</v>
      </c>
      <c r="F12904">
        <v>0</v>
      </c>
      <c r="G12904">
        <v>0</v>
      </c>
      <c r="H12904">
        <v>6</v>
      </c>
      <c r="I12904" s="3">
        <v>5617.5</v>
      </c>
      <c r="J12904" s="3">
        <v>1259.8900000000001</v>
      </c>
      <c r="L12904">
        <v>260</v>
      </c>
      <c r="M12904" t="s">
        <v>26253</v>
      </c>
      <c r="N12904" t="s">
        <v>30</v>
      </c>
      <c r="O12904" t="s">
        <v>31</v>
      </c>
      <c r="P12904" t="str">
        <f>"15211"</f>
        <v>15211</v>
      </c>
    </row>
    <row r="12905" spans="1:16" x14ac:dyDescent="0.25">
      <c r="A12905" t="str">
        <f>"1190015B00195    00"</f>
        <v>1190015B00195    00</v>
      </c>
      <c r="B12905" t="s">
        <v>28425</v>
      </c>
      <c r="C12905" t="s">
        <v>28426</v>
      </c>
      <c r="D12905" t="s">
        <v>20</v>
      </c>
      <c r="E12905" t="s">
        <v>39</v>
      </c>
      <c r="F12905">
        <v>0</v>
      </c>
      <c r="G12905">
        <v>0</v>
      </c>
      <c r="H12905">
        <v>2</v>
      </c>
      <c r="I12905" s="3">
        <v>1356.69</v>
      </c>
      <c r="J12905" s="3">
        <v>0</v>
      </c>
      <c r="K12905" t="s">
        <v>4500</v>
      </c>
      <c r="L12905">
        <v>3001</v>
      </c>
      <c r="M12905" t="s">
        <v>330</v>
      </c>
      <c r="N12905" t="s">
        <v>331</v>
      </c>
      <c r="O12905" t="s">
        <v>108</v>
      </c>
      <c r="P12905" t="str">
        <f>"75063"</f>
        <v>75063</v>
      </c>
    </row>
    <row r="12906" spans="1:16" x14ac:dyDescent="0.25">
      <c r="A12906" t="str">
        <f>"1190015B00238    00"</f>
        <v>1190015B00238    00</v>
      </c>
      <c r="B12906" t="s">
        <v>28427</v>
      </c>
      <c r="C12906" t="s">
        <v>28428</v>
      </c>
      <c r="D12906" t="s">
        <v>20</v>
      </c>
      <c r="E12906" t="s">
        <v>39</v>
      </c>
      <c r="F12906">
        <v>0</v>
      </c>
      <c r="G12906">
        <v>0</v>
      </c>
      <c r="H12906">
        <v>2</v>
      </c>
      <c r="I12906" s="3">
        <v>2462.58</v>
      </c>
      <c r="J12906" s="3">
        <v>0</v>
      </c>
      <c r="K12906" t="s">
        <v>28429</v>
      </c>
      <c r="L12906">
        <v>2312</v>
      </c>
      <c r="M12906" t="s">
        <v>22805</v>
      </c>
      <c r="N12906" t="s">
        <v>30</v>
      </c>
      <c r="O12906" t="s">
        <v>31</v>
      </c>
      <c r="P12906" t="str">
        <f>"15203"</f>
        <v>15203</v>
      </c>
    </row>
    <row r="12907" spans="1:16" x14ac:dyDescent="0.25">
      <c r="A12907" t="str">
        <f>"1190015B00253A   00"</f>
        <v>1190015B00253A   00</v>
      </c>
      <c r="B12907" t="s">
        <v>28430</v>
      </c>
      <c r="C12907" t="s">
        <v>28431</v>
      </c>
      <c r="D12907" t="s">
        <v>20</v>
      </c>
      <c r="E12907" t="s">
        <v>39</v>
      </c>
      <c r="F12907">
        <v>0</v>
      </c>
      <c r="G12907">
        <v>0</v>
      </c>
      <c r="H12907">
        <v>2</v>
      </c>
      <c r="I12907" s="3">
        <v>1488.28</v>
      </c>
      <c r="J12907" s="3">
        <v>0</v>
      </c>
      <c r="L12907">
        <v>1991</v>
      </c>
      <c r="M12907" t="s">
        <v>23341</v>
      </c>
      <c r="N12907" t="s">
        <v>30</v>
      </c>
      <c r="O12907" t="s">
        <v>31</v>
      </c>
      <c r="P12907" t="str">
        <f>"15243"</f>
        <v>15243</v>
      </c>
    </row>
    <row r="12908" spans="1:16" x14ac:dyDescent="0.25">
      <c r="A12908" t="str">
        <f>"1190015B00257    00"</f>
        <v>1190015B00257    00</v>
      </c>
      <c r="B12908" t="s">
        <v>28432</v>
      </c>
      <c r="C12908" t="s">
        <v>28433</v>
      </c>
      <c r="D12908" t="s">
        <v>20</v>
      </c>
      <c r="E12908" t="s">
        <v>39</v>
      </c>
      <c r="F12908">
        <v>0</v>
      </c>
      <c r="G12908">
        <v>0</v>
      </c>
      <c r="H12908">
        <v>2</v>
      </c>
      <c r="I12908" s="3">
        <v>1369.54</v>
      </c>
      <c r="J12908" s="3">
        <v>0</v>
      </c>
      <c r="L12908">
        <v>227</v>
      </c>
      <c r="M12908" t="s">
        <v>16818</v>
      </c>
      <c r="N12908" t="s">
        <v>30</v>
      </c>
      <c r="O12908" t="s">
        <v>31</v>
      </c>
      <c r="P12908" t="str">
        <f>"15211"</f>
        <v>15211</v>
      </c>
    </row>
    <row r="12909" spans="1:16" x14ac:dyDescent="0.25">
      <c r="A12909" t="str">
        <f>"1190015B00277    00"</f>
        <v>1190015B00277    00</v>
      </c>
      <c r="B12909" t="s">
        <v>28434</v>
      </c>
      <c r="C12909" t="s">
        <v>28435</v>
      </c>
      <c r="E12909" t="s">
        <v>39</v>
      </c>
      <c r="F12909">
        <v>0</v>
      </c>
      <c r="G12909">
        <v>0</v>
      </c>
      <c r="H12909">
        <v>2</v>
      </c>
      <c r="I12909" s="3">
        <v>7879.42</v>
      </c>
      <c r="J12909" s="3">
        <v>98.48</v>
      </c>
      <c r="K12909" t="s">
        <v>9998</v>
      </c>
      <c r="L12909">
        <v>3001</v>
      </c>
      <c r="M12909" t="s">
        <v>404</v>
      </c>
      <c r="N12909" t="s">
        <v>331</v>
      </c>
      <c r="O12909" t="s">
        <v>108</v>
      </c>
      <c r="P12909" t="str">
        <f>"75063"</f>
        <v>75063</v>
      </c>
    </row>
    <row r="12910" spans="1:16" x14ac:dyDescent="0.25">
      <c r="A12910" t="str">
        <f>"1190015B00291    00"</f>
        <v>1190015B00291    00</v>
      </c>
      <c r="B12910" t="s">
        <v>28436</v>
      </c>
      <c r="C12910" t="s">
        <v>28437</v>
      </c>
      <c r="D12910" t="s">
        <v>20</v>
      </c>
      <c r="E12910" t="s">
        <v>39</v>
      </c>
      <c r="F12910">
        <v>0</v>
      </c>
      <c r="G12910">
        <v>0</v>
      </c>
      <c r="H12910">
        <v>1</v>
      </c>
      <c r="I12910" s="3">
        <v>274.94</v>
      </c>
      <c r="J12910" s="3">
        <v>0</v>
      </c>
      <c r="L12910">
        <v>66</v>
      </c>
      <c r="M12910" t="s">
        <v>24369</v>
      </c>
      <c r="N12910" t="s">
        <v>30</v>
      </c>
      <c r="O12910" t="s">
        <v>31</v>
      </c>
      <c r="P12910" t="str">
        <f>"15203"</f>
        <v>15203</v>
      </c>
    </row>
    <row r="12911" spans="1:16" x14ac:dyDescent="0.25">
      <c r="A12911" t="str">
        <f>"1190015B00314    00"</f>
        <v>1190015B00314    00</v>
      </c>
      <c r="B12911" t="s">
        <v>28438</v>
      </c>
      <c r="C12911" t="s">
        <v>28439</v>
      </c>
      <c r="D12911" t="s">
        <v>20</v>
      </c>
      <c r="E12911" t="s">
        <v>39</v>
      </c>
      <c r="F12911">
        <v>0</v>
      </c>
      <c r="G12911">
        <v>0</v>
      </c>
      <c r="H12911">
        <v>7</v>
      </c>
      <c r="I12911" s="3">
        <v>7425.54</v>
      </c>
      <c r="J12911" s="3">
        <v>2053.39</v>
      </c>
      <c r="L12911">
        <v>217</v>
      </c>
      <c r="M12911" t="s">
        <v>28440</v>
      </c>
      <c r="N12911" t="s">
        <v>30</v>
      </c>
      <c r="O12911" t="s">
        <v>31</v>
      </c>
      <c r="P12911" t="str">
        <f>"15211"</f>
        <v>15211</v>
      </c>
    </row>
    <row r="12912" spans="1:16" x14ac:dyDescent="0.25">
      <c r="A12912" t="str">
        <f>"1190015B00319    00"</f>
        <v>1190015B00319    00</v>
      </c>
      <c r="B12912" t="s">
        <v>28441</v>
      </c>
      <c r="C12912" t="s">
        <v>28442</v>
      </c>
      <c r="D12912" t="s">
        <v>20</v>
      </c>
      <c r="E12912" t="s">
        <v>39</v>
      </c>
      <c r="F12912">
        <v>0</v>
      </c>
      <c r="G12912">
        <v>0</v>
      </c>
      <c r="H12912">
        <v>2</v>
      </c>
      <c r="I12912" s="3">
        <v>1237</v>
      </c>
      <c r="J12912" s="3">
        <v>0</v>
      </c>
      <c r="L12912">
        <v>1626</v>
      </c>
      <c r="M12912" t="s">
        <v>1407</v>
      </c>
      <c r="N12912" t="s">
        <v>30</v>
      </c>
      <c r="O12912" t="s">
        <v>31</v>
      </c>
      <c r="P12912" t="str">
        <f>"15210"</f>
        <v>15210</v>
      </c>
    </row>
    <row r="12913" spans="1:16" x14ac:dyDescent="0.25">
      <c r="A12913" t="str">
        <f>"1190015B00325    00"</f>
        <v>1190015B00325    00</v>
      </c>
      <c r="B12913" t="s">
        <v>28443</v>
      </c>
      <c r="C12913" t="s">
        <v>28444</v>
      </c>
      <c r="D12913" t="s">
        <v>20</v>
      </c>
      <c r="E12913" t="s">
        <v>39</v>
      </c>
      <c r="F12913">
        <v>0</v>
      </c>
      <c r="G12913">
        <v>0</v>
      </c>
      <c r="H12913">
        <v>1</v>
      </c>
      <c r="I12913" s="3">
        <v>1591.52</v>
      </c>
      <c r="J12913" s="3">
        <v>0</v>
      </c>
      <c r="K12913" t="s">
        <v>28445</v>
      </c>
      <c r="L12913">
        <v>740</v>
      </c>
      <c r="M12913" t="s">
        <v>8461</v>
      </c>
      <c r="N12913" t="s">
        <v>526</v>
      </c>
      <c r="O12913" t="s">
        <v>527</v>
      </c>
      <c r="P12913" t="str">
        <f>"20005"</f>
        <v>20005</v>
      </c>
    </row>
    <row r="12914" spans="1:16" x14ac:dyDescent="0.25">
      <c r="A12914" t="str">
        <f>"1190015B00353    00"</f>
        <v>1190015B00353    00</v>
      </c>
      <c r="B12914" t="s">
        <v>28446</v>
      </c>
      <c r="C12914" t="s">
        <v>28447</v>
      </c>
      <c r="D12914" t="s">
        <v>20</v>
      </c>
      <c r="E12914" t="s">
        <v>39</v>
      </c>
      <c r="F12914">
        <v>0</v>
      </c>
      <c r="G12914">
        <v>0</v>
      </c>
      <c r="H12914">
        <v>1</v>
      </c>
      <c r="I12914" s="3">
        <v>36.22</v>
      </c>
      <c r="J12914" s="3">
        <v>0</v>
      </c>
      <c r="K12914" t="s">
        <v>557</v>
      </c>
      <c r="L12914">
        <v>3001</v>
      </c>
      <c r="M12914" t="s">
        <v>330</v>
      </c>
      <c r="N12914" t="s">
        <v>331</v>
      </c>
      <c r="O12914" t="s">
        <v>108</v>
      </c>
      <c r="P12914" t="str">
        <f>"75063"</f>
        <v>75063</v>
      </c>
    </row>
    <row r="12915" spans="1:16" x14ac:dyDescent="0.25">
      <c r="A12915" t="str">
        <f>"1190015C00015    00"</f>
        <v>1190015C00015    00</v>
      </c>
      <c r="B12915" t="s">
        <v>28448</v>
      </c>
      <c r="C12915" t="s">
        <v>28449</v>
      </c>
      <c r="E12915" t="s">
        <v>39</v>
      </c>
      <c r="F12915">
        <v>0</v>
      </c>
      <c r="G12915">
        <v>0</v>
      </c>
      <c r="H12915">
        <v>2</v>
      </c>
      <c r="I12915" s="3">
        <v>773.52</v>
      </c>
      <c r="J12915" s="3">
        <v>19.329999999999998</v>
      </c>
      <c r="K12915" t="s">
        <v>28450</v>
      </c>
      <c r="M12915" t="s">
        <v>28451</v>
      </c>
      <c r="N12915" t="s">
        <v>28160</v>
      </c>
      <c r="O12915" t="s">
        <v>554</v>
      </c>
      <c r="P12915" t="str">
        <f>"26062"</f>
        <v>26062</v>
      </c>
    </row>
    <row r="12916" spans="1:16" x14ac:dyDescent="0.25">
      <c r="A12916" t="str">
        <f>"1190015C00043    00"</f>
        <v>1190015C00043    00</v>
      </c>
      <c r="B12916" t="s">
        <v>28452</v>
      </c>
      <c r="C12916" t="s">
        <v>28453</v>
      </c>
      <c r="D12916" t="s">
        <v>20</v>
      </c>
      <c r="E12916" t="s">
        <v>39</v>
      </c>
      <c r="F12916">
        <v>0</v>
      </c>
      <c r="G12916">
        <v>0</v>
      </c>
      <c r="H12916">
        <v>2</v>
      </c>
      <c r="I12916" s="3">
        <v>953.21</v>
      </c>
      <c r="J12916" s="3">
        <v>0</v>
      </c>
      <c r="L12916">
        <v>276</v>
      </c>
      <c r="M12916" t="s">
        <v>16818</v>
      </c>
      <c r="N12916" t="s">
        <v>30</v>
      </c>
      <c r="O12916" t="s">
        <v>31</v>
      </c>
      <c r="P12916" t="str">
        <f>"15211"</f>
        <v>15211</v>
      </c>
    </row>
    <row r="12917" spans="1:16" x14ac:dyDescent="0.25">
      <c r="A12917" t="str">
        <f>"1190015C00047    00"</f>
        <v>1190015C00047    00</v>
      </c>
      <c r="B12917" t="s">
        <v>28454</v>
      </c>
      <c r="C12917" t="s">
        <v>28455</v>
      </c>
      <c r="E12917" t="s">
        <v>39</v>
      </c>
      <c r="F12917">
        <v>0</v>
      </c>
      <c r="G12917">
        <v>0</v>
      </c>
      <c r="H12917">
        <v>2</v>
      </c>
      <c r="I12917" s="3">
        <v>1219.8399999999999</v>
      </c>
      <c r="J12917" s="3">
        <v>121.98</v>
      </c>
      <c r="K12917" t="s">
        <v>28456</v>
      </c>
      <c r="L12917">
        <v>277</v>
      </c>
      <c r="M12917" t="s">
        <v>16818</v>
      </c>
      <c r="N12917" t="s">
        <v>30</v>
      </c>
      <c r="O12917" t="s">
        <v>31</v>
      </c>
      <c r="P12917" t="str">
        <f>"15211"</f>
        <v>15211</v>
      </c>
    </row>
    <row r="12918" spans="1:16" x14ac:dyDescent="0.25">
      <c r="A12918" t="str">
        <f>"1190015C00048    00"</f>
        <v>1190015C00048    00</v>
      </c>
      <c r="B12918" t="s">
        <v>24724</v>
      </c>
      <c r="C12918" t="s">
        <v>28457</v>
      </c>
      <c r="D12918" t="s">
        <v>20</v>
      </c>
      <c r="E12918" t="s">
        <v>39</v>
      </c>
      <c r="F12918">
        <v>0</v>
      </c>
      <c r="G12918">
        <v>0</v>
      </c>
      <c r="H12918">
        <v>2</v>
      </c>
      <c r="I12918" s="3">
        <v>34.32</v>
      </c>
      <c r="J12918" s="3">
        <v>0</v>
      </c>
      <c r="K12918" t="s">
        <v>28458</v>
      </c>
      <c r="M12918" t="s">
        <v>24727</v>
      </c>
      <c r="N12918" t="s">
        <v>30</v>
      </c>
      <c r="O12918" t="s">
        <v>31</v>
      </c>
      <c r="P12918" t="str">
        <f>"15211"</f>
        <v>15211</v>
      </c>
    </row>
    <row r="12919" spans="1:16" x14ac:dyDescent="0.25">
      <c r="A12919" t="str">
        <f>"1190015C00049    00"</f>
        <v>1190015C00049    00</v>
      </c>
      <c r="B12919" t="s">
        <v>24724</v>
      </c>
      <c r="C12919" t="s">
        <v>28457</v>
      </c>
      <c r="D12919" t="s">
        <v>20</v>
      </c>
      <c r="E12919" t="s">
        <v>39</v>
      </c>
      <c r="F12919">
        <v>0</v>
      </c>
      <c r="G12919">
        <v>0</v>
      </c>
      <c r="H12919">
        <v>2</v>
      </c>
      <c r="I12919" s="3">
        <v>1254.18</v>
      </c>
      <c r="J12919" s="3">
        <v>0</v>
      </c>
      <c r="K12919" t="s">
        <v>24726</v>
      </c>
      <c r="M12919" t="s">
        <v>24727</v>
      </c>
      <c r="N12919" t="s">
        <v>30</v>
      </c>
      <c r="O12919" t="s">
        <v>31</v>
      </c>
      <c r="P12919" t="str">
        <f>"15211"</f>
        <v>15211</v>
      </c>
    </row>
    <row r="12920" spans="1:16" x14ac:dyDescent="0.25">
      <c r="A12920" t="str">
        <f>"1190015C00050    00"</f>
        <v>1190015C00050    00</v>
      </c>
      <c r="B12920" t="s">
        <v>28459</v>
      </c>
      <c r="C12920" t="s">
        <v>28460</v>
      </c>
      <c r="D12920" t="s">
        <v>20</v>
      </c>
      <c r="E12920" t="s">
        <v>39</v>
      </c>
      <c r="F12920">
        <v>0</v>
      </c>
      <c r="G12920">
        <v>0</v>
      </c>
      <c r="H12920">
        <v>1</v>
      </c>
      <c r="I12920" s="3">
        <v>632.79999999999995</v>
      </c>
      <c r="J12920" s="3">
        <v>0</v>
      </c>
      <c r="L12920">
        <v>154</v>
      </c>
      <c r="M12920" t="s">
        <v>22141</v>
      </c>
      <c r="N12920" t="s">
        <v>30</v>
      </c>
      <c r="O12920" t="s">
        <v>31</v>
      </c>
      <c r="P12920" t="str">
        <f>"15236"</f>
        <v>15236</v>
      </c>
    </row>
    <row r="12921" spans="1:16" x14ac:dyDescent="0.25">
      <c r="A12921" t="str">
        <f>"1190015C00057    00"</f>
        <v>1190015C00057    00</v>
      </c>
      <c r="B12921" t="s">
        <v>28461</v>
      </c>
      <c r="C12921" t="s">
        <v>28462</v>
      </c>
      <c r="D12921" t="s">
        <v>20</v>
      </c>
      <c r="E12921" t="s">
        <v>39</v>
      </c>
      <c r="F12921">
        <v>0</v>
      </c>
      <c r="G12921">
        <v>0</v>
      </c>
      <c r="H12921">
        <v>2</v>
      </c>
      <c r="I12921" s="3">
        <v>3873.04</v>
      </c>
      <c r="J12921" s="3">
        <v>0</v>
      </c>
      <c r="K12921" t="s">
        <v>28463</v>
      </c>
      <c r="L12921">
        <v>2312</v>
      </c>
      <c r="M12921" t="s">
        <v>28464</v>
      </c>
      <c r="N12921" t="s">
        <v>28465</v>
      </c>
      <c r="O12921" t="s">
        <v>495</v>
      </c>
      <c r="P12921" t="str">
        <f>"95242"</f>
        <v>95242</v>
      </c>
    </row>
    <row r="12922" spans="1:16" x14ac:dyDescent="0.25">
      <c r="A12922" t="str">
        <f>"1190015C00069    00"</f>
        <v>1190015C00069    00</v>
      </c>
      <c r="B12922" t="s">
        <v>28466</v>
      </c>
      <c r="C12922" t="s">
        <v>28467</v>
      </c>
      <c r="D12922" t="s">
        <v>20</v>
      </c>
      <c r="E12922" t="s">
        <v>39</v>
      </c>
      <c r="F12922">
        <v>0</v>
      </c>
      <c r="G12922">
        <v>0</v>
      </c>
      <c r="H12922">
        <v>1</v>
      </c>
      <c r="I12922" s="3">
        <v>352.34</v>
      </c>
      <c r="J12922" s="3">
        <v>0</v>
      </c>
      <c r="K12922" t="s">
        <v>725</v>
      </c>
      <c r="L12922">
        <v>1301</v>
      </c>
      <c r="M12922" t="s">
        <v>722</v>
      </c>
      <c r="N12922" t="s">
        <v>30</v>
      </c>
      <c r="O12922" t="s">
        <v>31</v>
      </c>
      <c r="P12922" t="str">
        <f>"15211"</f>
        <v>15211</v>
      </c>
    </row>
    <row r="12923" spans="1:16" x14ac:dyDescent="0.25">
      <c r="A12923" t="str">
        <f>"1190015C00160    00"</f>
        <v>1190015C00160    00</v>
      </c>
      <c r="B12923" t="s">
        <v>28468</v>
      </c>
      <c r="C12923" t="s">
        <v>28469</v>
      </c>
      <c r="D12923" t="s">
        <v>20</v>
      </c>
      <c r="E12923" t="s">
        <v>39</v>
      </c>
      <c r="F12923">
        <v>0</v>
      </c>
      <c r="G12923">
        <v>0</v>
      </c>
      <c r="H12923">
        <v>6</v>
      </c>
      <c r="I12923" s="3">
        <v>5275.38</v>
      </c>
      <c r="J12923" s="3">
        <v>1352.85</v>
      </c>
      <c r="L12923">
        <v>333</v>
      </c>
      <c r="M12923" t="s">
        <v>28301</v>
      </c>
      <c r="N12923" t="s">
        <v>30</v>
      </c>
      <c r="O12923" t="s">
        <v>31</v>
      </c>
      <c r="P12923" t="str">
        <f>"15216"</f>
        <v>15216</v>
      </c>
    </row>
    <row r="12924" spans="1:16" x14ac:dyDescent="0.25">
      <c r="A12924" t="str">
        <f>"1190015E00059    00"</f>
        <v>1190015E00059    00</v>
      </c>
      <c r="B12924" t="s">
        <v>28470</v>
      </c>
      <c r="C12924" t="s">
        <v>28471</v>
      </c>
      <c r="D12924" t="s">
        <v>20</v>
      </c>
      <c r="E12924" t="s">
        <v>39</v>
      </c>
      <c r="F12924">
        <v>0</v>
      </c>
      <c r="G12924">
        <v>0</v>
      </c>
      <c r="H12924">
        <v>4</v>
      </c>
      <c r="I12924" s="3">
        <v>2331.89</v>
      </c>
      <c r="J12924" s="3">
        <v>490.05</v>
      </c>
      <c r="L12924">
        <v>654</v>
      </c>
      <c r="M12924" t="s">
        <v>11611</v>
      </c>
      <c r="N12924" t="s">
        <v>30</v>
      </c>
      <c r="O12924" t="s">
        <v>31</v>
      </c>
      <c r="P12924" t="str">
        <f>"15211"</f>
        <v>15211</v>
      </c>
    </row>
    <row r="12925" spans="1:16" x14ac:dyDescent="0.25">
      <c r="A12925" t="str">
        <f>"1190015E00060    00"</f>
        <v>1190015E00060    00</v>
      </c>
      <c r="B12925" t="s">
        <v>28472</v>
      </c>
      <c r="C12925" t="s">
        <v>28473</v>
      </c>
      <c r="D12925" t="s">
        <v>20</v>
      </c>
      <c r="E12925" t="s">
        <v>39</v>
      </c>
      <c r="F12925">
        <v>0</v>
      </c>
      <c r="G12925">
        <v>0</v>
      </c>
      <c r="H12925">
        <v>1</v>
      </c>
      <c r="I12925" s="3">
        <v>162.11000000000001</v>
      </c>
      <c r="J12925" s="3">
        <v>0</v>
      </c>
      <c r="L12925">
        <v>656</v>
      </c>
      <c r="M12925" t="s">
        <v>11611</v>
      </c>
      <c r="N12925" t="s">
        <v>30</v>
      </c>
      <c r="O12925" t="s">
        <v>31</v>
      </c>
      <c r="P12925" t="str">
        <f>"15211"</f>
        <v>15211</v>
      </c>
    </row>
    <row r="12926" spans="1:16" x14ac:dyDescent="0.25">
      <c r="A12926" t="str">
        <f>"1190015E00062    00"</f>
        <v>1190015E00062    00</v>
      </c>
      <c r="B12926" t="s">
        <v>28474</v>
      </c>
      <c r="C12926" t="s">
        <v>28475</v>
      </c>
      <c r="E12926" t="s">
        <v>39</v>
      </c>
      <c r="F12926">
        <v>0</v>
      </c>
      <c r="G12926">
        <v>0</v>
      </c>
      <c r="H12926">
        <v>2</v>
      </c>
      <c r="I12926" s="3">
        <v>1359.16</v>
      </c>
      <c r="J12926" s="3">
        <v>28.31</v>
      </c>
      <c r="K12926" t="s">
        <v>28476</v>
      </c>
      <c r="L12926">
        <v>660</v>
      </c>
      <c r="M12926" t="s">
        <v>11611</v>
      </c>
      <c r="N12926" t="s">
        <v>30</v>
      </c>
      <c r="O12926" t="s">
        <v>31</v>
      </c>
      <c r="P12926" t="str">
        <f>"15211"</f>
        <v>15211</v>
      </c>
    </row>
    <row r="12927" spans="1:16" x14ac:dyDescent="0.25">
      <c r="A12927" t="str">
        <f>"1190015E00075    00"</f>
        <v>1190015E00075    00</v>
      </c>
      <c r="B12927" t="s">
        <v>28477</v>
      </c>
      <c r="C12927" t="s">
        <v>28478</v>
      </c>
      <c r="D12927" t="s">
        <v>20</v>
      </c>
      <c r="E12927" t="s">
        <v>39</v>
      </c>
      <c r="F12927">
        <v>0</v>
      </c>
      <c r="G12927">
        <v>0</v>
      </c>
      <c r="H12927">
        <v>1</v>
      </c>
      <c r="I12927" s="3">
        <v>1911.73</v>
      </c>
      <c r="J12927" s="3">
        <v>0</v>
      </c>
      <c r="K12927" t="s">
        <v>557</v>
      </c>
      <c r="L12927">
        <v>3001</v>
      </c>
      <c r="M12927" t="s">
        <v>330</v>
      </c>
      <c r="N12927" t="s">
        <v>331</v>
      </c>
      <c r="O12927" t="s">
        <v>108</v>
      </c>
      <c r="P12927" t="str">
        <f>"75063"</f>
        <v>75063</v>
      </c>
    </row>
    <row r="12928" spans="1:16" x14ac:dyDescent="0.25">
      <c r="A12928" t="str">
        <f>"1190015E00108    00"</f>
        <v>1190015E00108    00</v>
      </c>
      <c r="B12928" t="s">
        <v>23501</v>
      </c>
      <c r="C12928" t="s">
        <v>28479</v>
      </c>
      <c r="D12928" t="s">
        <v>20</v>
      </c>
      <c r="E12928" t="s">
        <v>39</v>
      </c>
      <c r="F12928">
        <v>0</v>
      </c>
      <c r="G12928">
        <v>0</v>
      </c>
      <c r="H12928">
        <v>3</v>
      </c>
      <c r="I12928" s="3">
        <v>2550.3000000000002</v>
      </c>
      <c r="J12928" s="3">
        <v>170.01</v>
      </c>
      <c r="M12928" t="s">
        <v>27842</v>
      </c>
      <c r="N12928" t="s">
        <v>30</v>
      </c>
      <c r="O12928" t="s">
        <v>31</v>
      </c>
      <c r="P12928" t="str">
        <f>"15211"</f>
        <v>15211</v>
      </c>
    </row>
    <row r="12929" spans="1:16" x14ac:dyDescent="0.25">
      <c r="A12929" t="str">
        <f>"1190015E00110    00"</f>
        <v>1190015E00110    00</v>
      </c>
      <c r="B12929" t="s">
        <v>28480</v>
      </c>
      <c r="C12929" t="s">
        <v>28481</v>
      </c>
      <c r="D12929" t="s">
        <v>20</v>
      </c>
      <c r="E12929" t="s">
        <v>39</v>
      </c>
      <c r="F12929">
        <v>0</v>
      </c>
      <c r="G12929">
        <v>0</v>
      </c>
      <c r="H12929">
        <v>2</v>
      </c>
      <c r="I12929" s="3">
        <v>4524.8599999999997</v>
      </c>
      <c r="J12929" s="3">
        <v>0</v>
      </c>
      <c r="K12929" t="s">
        <v>1632</v>
      </c>
      <c r="L12929">
        <v>3001</v>
      </c>
      <c r="M12929" t="s">
        <v>330</v>
      </c>
      <c r="N12929" t="s">
        <v>331</v>
      </c>
      <c r="O12929" t="s">
        <v>108</v>
      </c>
      <c r="P12929" t="str">
        <f>"75063"</f>
        <v>75063</v>
      </c>
    </row>
    <row r="12930" spans="1:16" x14ac:dyDescent="0.25">
      <c r="A12930" t="str">
        <f>"1190015E00118    00"</f>
        <v>1190015E00118    00</v>
      </c>
      <c r="B12930" t="s">
        <v>28482</v>
      </c>
      <c r="C12930" t="s">
        <v>28483</v>
      </c>
      <c r="D12930" t="s">
        <v>20</v>
      </c>
      <c r="E12930" t="s">
        <v>39</v>
      </c>
      <c r="F12930">
        <v>0</v>
      </c>
      <c r="G12930">
        <v>0</v>
      </c>
      <c r="H12930">
        <v>2</v>
      </c>
      <c r="I12930" s="3">
        <v>1218.5</v>
      </c>
      <c r="J12930" s="3">
        <v>0</v>
      </c>
      <c r="L12930">
        <v>5304</v>
      </c>
      <c r="M12930" t="s">
        <v>8639</v>
      </c>
      <c r="N12930" t="s">
        <v>30</v>
      </c>
      <c r="O12930" t="s">
        <v>31</v>
      </c>
      <c r="P12930" t="str">
        <f>"15201"</f>
        <v>15201</v>
      </c>
    </row>
    <row r="12931" spans="1:16" x14ac:dyDescent="0.25">
      <c r="A12931" t="str">
        <f>"1190015E00127    00"</f>
        <v>1190015E00127    00</v>
      </c>
      <c r="B12931" t="s">
        <v>28484</v>
      </c>
      <c r="C12931" t="s">
        <v>28485</v>
      </c>
      <c r="D12931" t="s">
        <v>20</v>
      </c>
      <c r="E12931" t="s">
        <v>39</v>
      </c>
      <c r="F12931">
        <v>0</v>
      </c>
      <c r="G12931">
        <v>0</v>
      </c>
      <c r="H12931">
        <v>1</v>
      </c>
      <c r="I12931" s="3">
        <v>928.58</v>
      </c>
      <c r="J12931" s="3">
        <v>0</v>
      </c>
      <c r="K12931" t="s">
        <v>7258</v>
      </c>
      <c r="L12931">
        <v>4201</v>
      </c>
      <c r="M12931" t="s">
        <v>7259</v>
      </c>
      <c r="N12931" t="s">
        <v>7260</v>
      </c>
      <c r="O12931" t="s">
        <v>108</v>
      </c>
      <c r="P12931" t="str">
        <f>"75007"</f>
        <v>75007</v>
      </c>
    </row>
    <row r="12932" spans="1:16" x14ac:dyDescent="0.25">
      <c r="A12932" t="str">
        <f>"1190015E00128    00"</f>
        <v>1190015E00128    00</v>
      </c>
      <c r="B12932" t="s">
        <v>28486</v>
      </c>
      <c r="C12932" t="s">
        <v>28487</v>
      </c>
      <c r="D12932" t="s">
        <v>20</v>
      </c>
      <c r="E12932" t="s">
        <v>39</v>
      </c>
      <c r="F12932">
        <v>0</v>
      </c>
      <c r="G12932">
        <v>0</v>
      </c>
      <c r="H12932">
        <v>1</v>
      </c>
      <c r="I12932" s="3">
        <v>718.71</v>
      </c>
      <c r="J12932" s="3">
        <v>0</v>
      </c>
      <c r="L12932">
        <v>496</v>
      </c>
      <c r="M12932" t="s">
        <v>28488</v>
      </c>
      <c r="N12932" t="s">
        <v>30</v>
      </c>
      <c r="O12932" t="s">
        <v>31</v>
      </c>
      <c r="P12932" t="str">
        <f>"15205"</f>
        <v>15205</v>
      </c>
    </row>
    <row r="12933" spans="1:16" x14ac:dyDescent="0.25">
      <c r="A12933" t="str">
        <f>"1190015E00151    00"</f>
        <v>1190015E00151    00</v>
      </c>
      <c r="B12933" t="s">
        <v>27609</v>
      </c>
      <c r="C12933" t="s">
        <v>28489</v>
      </c>
      <c r="D12933" t="s">
        <v>20</v>
      </c>
      <c r="E12933" t="s">
        <v>39</v>
      </c>
      <c r="F12933">
        <v>0</v>
      </c>
      <c r="G12933">
        <v>0</v>
      </c>
      <c r="H12933">
        <v>1</v>
      </c>
      <c r="I12933" s="3">
        <v>1134.08</v>
      </c>
      <c r="J12933" s="3">
        <v>0</v>
      </c>
      <c r="L12933">
        <v>1185</v>
      </c>
      <c r="M12933" t="s">
        <v>4537</v>
      </c>
      <c r="N12933" t="s">
        <v>30</v>
      </c>
      <c r="O12933" t="s">
        <v>31</v>
      </c>
      <c r="P12933" t="str">
        <f>"15220"</f>
        <v>15220</v>
      </c>
    </row>
    <row r="12934" spans="1:16" x14ac:dyDescent="0.25">
      <c r="A12934" t="str">
        <f>"1190015E00180    00"</f>
        <v>1190015E00180    00</v>
      </c>
      <c r="B12934" t="s">
        <v>25218</v>
      </c>
      <c r="C12934" t="s">
        <v>28490</v>
      </c>
      <c r="D12934" t="s">
        <v>20</v>
      </c>
      <c r="E12934" t="s">
        <v>39</v>
      </c>
      <c r="F12934">
        <v>0</v>
      </c>
      <c r="G12934">
        <v>0</v>
      </c>
      <c r="H12934">
        <v>1</v>
      </c>
      <c r="I12934" s="3">
        <v>1658.22</v>
      </c>
      <c r="J12934" s="3">
        <v>0</v>
      </c>
      <c r="K12934" t="s">
        <v>25220</v>
      </c>
      <c r="L12934">
        <v>18</v>
      </c>
      <c r="M12934" t="s">
        <v>7116</v>
      </c>
      <c r="N12934" t="s">
        <v>30</v>
      </c>
      <c r="O12934" t="s">
        <v>31</v>
      </c>
      <c r="P12934" t="str">
        <f>"15211"</f>
        <v>15211</v>
      </c>
    </row>
    <row r="12935" spans="1:16" x14ac:dyDescent="0.25">
      <c r="A12935" t="str">
        <f>"1190015E00188    00"</f>
        <v>1190015E00188    00</v>
      </c>
      <c r="B12935" t="s">
        <v>28491</v>
      </c>
      <c r="C12935" t="s">
        <v>28492</v>
      </c>
      <c r="D12935" t="s">
        <v>20</v>
      </c>
      <c r="E12935" t="s">
        <v>39</v>
      </c>
      <c r="F12935">
        <v>0</v>
      </c>
      <c r="G12935">
        <v>0</v>
      </c>
      <c r="H12935">
        <v>1</v>
      </c>
      <c r="I12935" s="3">
        <v>2283.39</v>
      </c>
      <c r="J12935" s="3">
        <v>0</v>
      </c>
      <c r="K12935" t="s">
        <v>881</v>
      </c>
      <c r="L12935">
        <v>3001</v>
      </c>
      <c r="M12935" t="s">
        <v>330</v>
      </c>
      <c r="N12935" t="s">
        <v>331</v>
      </c>
      <c r="O12935" t="s">
        <v>108</v>
      </c>
      <c r="P12935" t="str">
        <f>"75063"</f>
        <v>75063</v>
      </c>
    </row>
    <row r="12936" spans="1:16" x14ac:dyDescent="0.25">
      <c r="A12936" t="str">
        <f>"1190015F00046    00"</f>
        <v>1190015F00046    00</v>
      </c>
      <c r="B12936" t="s">
        <v>28493</v>
      </c>
      <c r="C12936" t="s">
        <v>28494</v>
      </c>
      <c r="D12936" t="s">
        <v>20</v>
      </c>
      <c r="E12936" t="s">
        <v>39</v>
      </c>
      <c r="F12936">
        <v>0</v>
      </c>
      <c r="G12936">
        <v>0</v>
      </c>
      <c r="H12936">
        <v>3</v>
      </c>
      <c r="I12936" s="3">
        <v>388.83</v>
      </c>
      <c r="J12936" s="3">
        <v>25.92</v>
      </c>
      <c r="L12936">
        <v>636</v>
      </c>
      <c r="M12936" t="s">
        <v>27615</v>
      </c>
      <c r="N12936" t="s">
        <v>30</v>
      </c>
      <c r="O12936" t="s">
        <v>31</v>
      </c>
      <c r="P12936" t="str">
        <f>"15211"</f>
        <v>15211</v>
      </c>
    </row>
    <row r="12937" spans="1:16" x14ac:dyDescent="0.25">
      <c r="A12937" t="str">
        <f>"1190015F00047    00"</f>
        <v>1190015F00047    00</v>
      </c>
      <c r="B12937" t="s">
        <v>28493</v>
      </c>
      <c r="C12937" t="s">
        <v>28495</v>
      </c>
      <c r="D12937" t="s">
        <v>20</v>
      </c>
      <c r="E12937" t="s">
        <v>39</v>
      </c>
      <c r="F12937">
        <v>0</v>
      </c>
      <c r="G12937">
        <v>0</v>
      </c>
      <c r="H12937">
        <v>3</v>
      </c>
      <c r="I12937" s="3">
        <v>1005.11</v>
      </c>
      <c r="J12937" s="3">
        <v>78.84</v>
      </c>
      <c r="L12937">
        <v>636</v>
      </c>
      <c r="M12937" t="s">
        <v>27615</v>
      </c>
      <c r="N12937" t="s">
        <v>30</v>
      </c>
      <c r="O12937" t="s">
        <v>31</v>
      </c>
      <c r="P12937" t="str">
        <f>"15211"</f>
        <v>15211</v>
      </c>
    </row>
    <row r="12938" spans="1:16" x14ac:dyDescent="0.25">
      <c r="A12938" t="str">
        <f>"1190015F00064    00"</f>
        <v>1190015F00064    00</v>
      </c>
      <c r="B12938" t="s">
        <v>28496</v>
      </c>
      <c r="C12938" t="s">
        <v>28497</v>
      </c>
      <c r="D12938" t="s">
        <v>20</v>
      </c>
      <c r="E12938" t="s">
        <v>39</v>
      </c>
      <c r="F12938">
        <v>0</v>
      </c>
      <c r="G12938">
        <v>0</v>
      </c>
      <c r="H12938">
        <v>1</v>
      </c>
      <c r="I12938" s="3">
        <v>819.6</v>
      </c>
      <c r="J12938" s="3">
        <v>0</v>
      </c>
      <c r="K12938" t="s">
        <v>13571</v>
      </c>
      <c r="L12938">
        <v>3301</v>
      </c>
      <c r="M12938" t="s">
        <v>330</v>
      </c>
      <c r="N12938" t="s">
        <v>331</v>
      </c>
      <c r="O12938" t="s">
        <v>108</v>
      </c>
      <c r="P12938" t="str">
        <f>"75063"</f>
        <v>75063</v>
      </c>
    </row>
    <row r="12939" spans="1:16" x14ac:dyDescent="0.25">
      <c r="A12939" t="str">
        <f>"1190015F00066    00"</f>
        <v>1190015F00066    00</v>
      </c>
      <c r="B12939" t="s">
        <v>28498</v>
      </c>
      <c r="C12939" t="s">
        <v>28499</v>
      </c>
      <c r="D12939" t="s">
        <v>20</v>
      </c>
      <c r="E12939" t="s">
        <v>39</v>
      </c>
      <c r="F12939">
        <v>0</v>
      </c>
      <c r="G12939">
        <v>0</v>
      </c>
      <c r="H12939">
        <v>17</v>
      </c>
      <c r="I12939" s="3">
        <v>14957.21</v>
      </c>
      <c r="J12939" s="3">
        <v>17770.71</v>
      </c>
      <c r="K12939" t="s">
        <v>28500</v>
      </c>
      <c r="L12939">
        <v>370</v>
      </c>
      <c r="M12939" t="s">
        <v>28501</v>
      </c>
      <c r="N12939" t="s">
        <v>30</v>
      </c>
      <c r="O12939" t="s">
        <v>31</v>
      </c>
      <c r="P12939" t="str">
        <f>"15220"</f>
        <v>15220</v>
      </c>
    </row>
    <row r="12940" spans="1:16" x14ac:dyDescent="0.25">
      <c r="A12940" t="str">
        <f>"1190015F00069    00"</f>
        <v>1190015F00069    00</v>
      </c>
      <c r="B12940" t="s">
        <v>28502</v>
      </c>
      <c r="C12940" t="s">
        <v>28503</v>
      </c>
      <c r="D12940" t="s">
        <v>20</v>
      </c>
      <c r="E12940" t="s">
        <v>39</v>
      </c>
      <c r="F12940">
        <v>0</v>
      </c>
      <c r="G12940">
        <v>0</v>
      </c>
      <c r="H12940">
        <v>1</v>
      </c>
      <c r="I12940" s="3">
        <v>1852.65</v>
      </c>
      <c r="J12940" s="3">
        <v>0</v>
      </c>
      <c r="K12940" t="s">
        <v>28504</v>
      </c>
      <c r="L12940">
        <v>131</v>
      </c>
      <c r="M12940" t="s">
        <v>28505</v>
      </c>
      <c r="N12940" t="s">
        <v>28506</v>
      </c>
      <c r="O12940" t="s">
        <v>31</v>
      </c>
      <c r="P12940" t="str">
        <f>"15051"</f>
        <v>15051</v>
      </c>
    </row>
    <row r="12941" spans="1:16" x14ac:dyDescent="0.25">
      <c r="A12941" t="str">
        <f>"1190015F00071    00"</f>
        <v>1190015F00071    00</v>
      </c>
      <c r="B12941" t="s">
        <v>28507</v>
      </c>
      <c r="C12941" t="s">
        <v>28508</v>
      </c>
      <c r="D12941" t="s">
        <v>20</v>
      </c>
      <c r="E12941" t="s">
        <v>39</v>
      </c>
      <c r="F12941">
        <v>0</v>
      </c>
      <c r="G12941">
        <v>0</v>
      </c>
      <c r="H12941">
        <v>1</v>
      </c>
      <c r="I12941" s="3">
        <v>972.53</v>
      </c>
      <c r="J12941" s="3">
        <v>0</v>
      </c>
      <c r="K12941" t="s">
        <v>28509</v>
      </c>
      <c r="L12941">
        <v>629</v>
      </c>
      <c r="M12941" t="s">
        <v>23497</v>
      </c>
      <c r="N12941" t="s">
        <v>30</v>
      </c>
      <c r="O12941" t="s">
        <v>31</v>
      </c>
      <c r="P12941" t="str">
        <f>"15211"</f>
        <v>15211</v>
      </c>
    </row>
    <row r="12942" spans="1:16" x14ac:dyDescent="0.25">
      <c r="A12942" t="str">
        <f>"1190015F00081    00"</f>
        <v>1190015F00081    00</v>
      </c>
      <c r="B12942" t="s">
        <v>28510</v>
      </c>
      <c r="C12942" t="s">
        <v>28511</v>
      </c>
      <c r="D12942" t="s">
        <v>20</v>
      </c>
      <c r="E12942" t="s">
        <v>39</v>
      </c>
      <c r="F12942">
        <v>0</v>
      </c>
      <c r="G12942">
        <v>0</v>
      </c>
      <c r="H12942">
        <v>1</v>
      </c>
      <c r="I12942" s="3">
        <v>1437.13</v>
      </c>
      <c r="J12942" s="3">
        <v>0</v>
      </c>
      <c r="L12942">
        <v>1185</v>
      </c>
      <c r="M12942" t="s">
        <v>28512</v>
      </c>
      <c r="N12942" t="s">
        <v>30</v>
      </c>
      <c r="O12942" t="s">
        <v>31</v>
      </c>
      <c r="P12942" t="str">
        <f>"15220"</f>
        <v>15220</v>
      </c>
    </row>
    <row r="12943" spans="1:16" x14ac:dyDescent="0.25">
      <c r="A12943" t="str">
        <f>"1190015F00086    00"</f>
        <v>1190015F00086    00</v>
      </c>
      <c r="B12943" t="s">
        <v>4535</v>
      </c>
      <c r="C12943" t="s">
        <v>28513</v>
      </c>
      <c r="D12943" t="s">
        <v>20</v>
      </c>
      <c r="E12943" t="s">
        <v>39</v>
      </c>
      <c r="F12943">
        <v>0</v>
      </c>
      <c r="G12943">
        <v>0</v>
      </c>
      <c r="H12943">
        <v>1</v>
      </c>
      <c r="I12943" s="3">
        <v>1951.77</v>
      </c>
      <c r="J12943" s="3">
        <v>0</v>
      </c>
      <c r="L12943">
        <v>1185</v>
      </c>
      <c r="M12943" t="s">
        <v>4537</v>
      </c>
      <c r="N12943" t="s">
        <v>30</v>
      </c>
      <c r="O12943" t="s">
        <v>31</v>
      </c>
      <c r="P12943" t="str">
        <f>"15220"</f>
        <v>15220</v>
      </c>
    </row>
    <row r="12944" spans="1:16" x14ac:dyDescent="0.25">
      <c r="A12944" t="str">
        <f>"1190015F00104    00"</f>
        <v>1190015F00104    00</v>
      </c>
      <c r="B12944" t="s">
        <v>28514</v>
      </c>
      <c r="C12944" t="s">
        <v>28515</v>
      </c>
      <c r="E12944" t="s">
        <v>39</v>
      </c>
      <c r="F12944">
        <v>0</v>
      </c>
      <c r="G12944">
        <v>0</v>
      </c>
      <c r="H12944">
        <v>5</v>
      </c>
      <c r="I12944" s="3">
        <v>2788.34</v>
      </c>
      <c r="J12944" s="3">
        <v>73.98</v>
      </c>
      <c r="K12944" t="s">
        <v>28516</v>
      </c>
      <c r="L12944">
        <v>4336</v>
      </c>
      <c r="M12944" t="s">
        <v>28517</v>
      </c>
      <c r="N12944" t="s">
        <v>28518</v>
      </c>
      <c r="O12944" t="s">
        <v>495</v>
      </c>
      <c r="P12944" t="str">
        <f>"92869"</f>
        <v>92869</v>
      </c>
    </row>
    <row r="12945" spans="1:16" x14ac:dyDescent="0.25">
      <c r="A12945" t="str">
        <f>"1190015F00122    00"</f>
        <v>1190015F00122    00</v>
      </c>
      <c r="B12945" t="s">
        <v>28519</v>
      </c>
      <c r="C12945" t="s">
        <v>28520</v>
      </c>
      <c r="D12945" t="s">
        <v>57</v>
      </c>
      <c r="E12945" t="s">
        <v>39</v>
      </c>
      <c r="F12945">
        <v>0</v>
      </c>
      <c r="G12945">
        <v>0</v>
      </c>
      <c r="H12945">
        <v>1</v>
      </c>
      <c r="I12945" s="3">
        <v>225.5</v>
      </c>
      <c r="J12945" s="3">
        <v>0</v>
      </c>
      <c r="K12945" t="s">
        <v>28521</v>
      </c>
      <c r="L12945">
        <v>1269</v>
      </c>
      <c r="M12945" t="s">
        <v>28522</v>
      </c>
      <c r="N12945" t="s">
        <v>903</v>
      </c>
      <c r="O12945" t="s">
        <v>31</v>
      </c>
      <c r="P12945" t="str">
        <f>"15136"</f>
        <v>15136</v>
      </c>
    </row>
    <row r="12946" spans="1:16" x14ac:dyDescent="0.25">
      <c r="A12946" t="str">
        <f>"1190015F00122A   00"</f>
        <v>1190015F00122A   00</v>
      </c>
      <c r="B12946" t="s">
        <v>28523</v>
      </c>
      <c r="C12946" t="s">
        <v>28524</v>
      </c>
      <c r="E12946" t="s">
        <v>39</v>
      </c>
      <c r="F12946">
        <v>0</v>
      </c>
      <c r="G12946">
        <v>0</v>
      </c>
      <c r="H12946">
        <v>1</v>
      </c>
      <c r="I12946" s="3">
        <v>225.5</v>
      </c>
      <c r="J12946" s="3">
        <v>0</v>
      </c>
      <c r="K12946" t="s">
        <v>28525</v>
      </c>
      <c r="L12946">
        <v>642</v>
      </c>
      <c r="M12946" t="s">
        <v>11047</v>
      </c>
      <c r="N12946" t="s">
        <v>30</v>
      </c>
      <c r="O12946" t="s">
        <v>31</v>
      </c>
      <c r="P12946" t="str">
        <f>"15211"</f>
        <v>15211</v>
      </c>
    </row>
    <row r="12947" spans="1:16" x14ac:dyDescent="0.25">
      <c r="A12947" t="str">
        <f>"1190015F00123    00"</f>
        <v>1190015F00123    00</v>
      </c>
      <c r="B12947" t="s">
        <v>28523</v>
      </c>
      <c r="C12947" t="s">
        <v>28526</v>
      </c>
      <c r="E12947" t="s">
        <v>39</v>
      </c>
      <c r="F12947">
        <v>0</v>
      </c>
      <c r="G12947">
        <v>0</v>
      </c>
      <c r="H12947">
        <v>1</v>
      </c>
      <c r="I12947" s="3">
        <v>434.61</v>
      </c>
      <c r="J12947" s="3">
        <v>0</v>
      </c>
      <c r="K12947" t="s">
        <v>28525</v>
      </c>
      <c r="L12947">
        <v>644</v>
      </c>
      <c r="M12947" t="s">
        <v>28527</v>
      </c>
      <c r="N12947" t="s">
        <v>30</v>
      </c>
      <c r="O12947" t="s">
        <v>31</v>
      </c>
      <c r="P12947" t="str">
        <f>"15211"</f>
        <v>15211</v>
      </c>
    </row>
    <row r="12948" spans="1:16" x14ac:dyDescent="0.25">
      <c r="A12948" t="str">
        <f>"1190015F00124    00"</f>
        <v>1190015F00124    00</v>
      </c>
      <c r="B12948" t="s">
        <v>28528</v>
      </c>
      <c r="C12948" t="s">
        <v>28529</v>
      </c>
      <c r="D12948" t="s">
        <v>20</v>
      </c>
      <c r="E12948" t="s">
        <v>39</v>
      </c>
      <c r="F12948">
        <v>0</v>
      </c>
      <c r="G12948">
        <v>0</v>
      </c>
      <c r="H12948">
        <v>5</v>
      </c>
      <c r="I12948" s="3">
        <v>4426.8599999999997</v>
      </c>
      <c r="J12948" s="3">
        <v>954.49</v>
      </c>
      <c r="L12948">
        <v>110</v>
      </c>
      <c r="M12948" t="s">
        <v>28530</v>
      </c>
      <c r="N12948" t="s">
        <v>30</v>
      </c>
      <c r="O12948" t="s">
        <v>31</v>
      </c>
      <c r="P12948" t="str">
        <f>"15220"</f>
        <v>15220</v>
      </c>
    </row>
    <row r="12949" spans="1:16" x14ac:dyDescent="0.25">
      <c r="A12949" t="str">
        <f>"1190015F00158    00"</f>
        <v>1190015F00158    00</v>
      </c>
      <c r="B12949" t="s">
        <v>28531</v>
      </c>
      <c r="C12949" t="s">
        <v>28532</v>
      </c>
      <c r="D12949" t="s">
        <v>20</v>
      </c>
      <c r="E12949" t="s">
        <v>39</v>
      </c>
      <c r="F12949">
        <v>0</v>
      </c>
      <c r="G12949">
        <v>0</v>
      </c>
      <c r="H12949">
        <v>18</v>
      </c>
      <c r="I12949" s="3">
        <v>13896.11</v>
      </c>
      <c r="J12949" s="3">
        <v>8757.07</v>
      </c>
      <c r="K12949" t="s">
        <v>28533</v>
      </c>
      <c r="L12949">
        <v>244</v>
      </c>
      <c r="M12949" t="s">
        <v>28534</v>
      </c>
      <c r="N12949" t="s">
        <v>30</v>
      </c>
      <c r="O12949" t="s">
        <v>31</v>
      </c>
      <c r="P12949" t="str">
        <f>"15211"</f>
        <v>15211</v>
      </c>
    </row>
    <row r="12950" spans="1:16" x14ac:dyDescent="0.25">
      <c r="A12950" t="str">
        <f>"1190015F00176    00"</f>
        <v>1190015F00176    00</v>
      </c>
      <c r="B12950" t="s">
        <v>28535</v>
      </c>
      <c r="C12950" t="s">
        <v>28536</v>
      </c>
      <c r="D12950" t="s">
        <v>20</v>
      </c>
      <c r="E12950" t="s">
        <v>39</v>
      </c>
      <c r="F12950">
        <v>0</v>
      </c>
      <c r="G12950">
        <v>0</v>
      </c>
      <c r="H12950">
        <v>2</v>
      </c>
      <c r="I12950" s="3">
        <v>1571.86</v>
      </c>
      <c r="J12950" s="3">
        <v>0</v>
      </c>
      <c r="L12950">
        <v>207</v>
      </c>
      <c r="M12950" t="s">
        <v>23227</v>
      </c>
      <c r="N12950" t="s">
        <v>30</v>
      </c>
      <c r="O12950" t="s">
        <v>31</v>
      </c>
      <c r="P12950" t="str">
        <f>"15210"</f>
        <v>15210</v>
      </c>
    </row>
    <row r="12951" spans="1:16" x14ac:dyDescent="0.25">
      <c r="A12951" t="str">
        <f>"1190015J00026    00"</f>
        <v>1190015J00026    00</v>
      </c>
      <c r="B12951" t="s">
        <v>25257</v>
      </c>
      <c r="C12951" t="s">
        <v>28537</v>
      </c>
      <c r="D12951" t="s">
        <v>20</v>
      </c>
      <c r="E12951" t="s">
        <v>39</v>
      </c>
      <c r="F12951">
        <v>0</v>
      </c>
      <c r="G12951">
        <v>0</v>
      </c>
      <c r="H12951">
        <v>1</v>
      </c>
      <c r="I12951" s="3">
        <v>1143.5999999999999</v>
      </c>
      <c r="J12951" s="3">
        <v>0</v>
      </c>
      <c r="L12951">
        <v>303</v>
      </c>
      <c r="M12951" t="s">
        <v>8296</v>
      </c>
      <c r="N12951" t="s">
        <v>30</v>
      </c>
      <c r="O12951" t="s">
        <v>31</v>
      </c>
      <c r="P12951" t="str">
        <f>"15211"</f>
        <v>15211</v>
      </c>
    </row>
    <row r="12952" spans="1:16" x14ac:dyDescent="0.25">
      <c r="A12952" t="str">
        <f>"1190015J00032    00"</f>
        <v>1190015J00032    00</v>
      </c>
      <c r="B12952" t="s">
        <v>28538</v>
      </c>
      <c r="C12952" t="s">
        <v>28539</v>
      </c>
      <c r="D12952" t="s">
        <v>20</v>
      </c>
      <c r="E12952" t="s">
        <v>39</v>
      </c>
      <c r="F12952">
        <v>0</v>
      </c>
      <c r="G12952">
        <v>0</v>
      </c>
      <c r="H12952">
        <v>6</v>
      </c>
      <c r="I12952" s="3">
        <v>7811.38</v>
      </c>
      <c r="J12952" s="3">
        <v>1841.42</v>
      </c>
      <c r="L12952">
        <v>806</v>
      </c>
      <c r="M12952" t="s">
        <v>11611</v>
      </c>
      <c r="N12952" t="s">
        <v>30</v>
      </c>
      <c r="O12952" t="s">
        <v>31</v>
      </c>
      <c r="P12952" t="str">
        <f>"15211"</f>
        <v>15211</v>
      </c>
    </row>
    <row r="12953" spans="1:16" x14ac:dyDescent="0.25">
      <c r="A12953" t="str">
        <f>"1190015J00047    00"</f>
        <v>1190015J00047    00</v>
      </c>
      <c r="B12953" t="s">
        <v>23499</v>
      </c>
      <c r="C12953" t="s">
        <v>28540</v>
      </c>
      <c r="E12953" t="s">
        <v>39</v>
      </c>
      <c r="F12953">
        <v>0</v>
      </c>
      <c r="G12953">
        <v>0</v>
      </c>
      <c r="H12953">
        <v>1</v>
      </c>
      <c r="I12953" s="3">
        <v>673.43</v>
      </c>
      <c r="J12953" s="3">
        <v>0</v>
      </c>
      <c r="K12953" t="s">
        <v>23501</v>
      </c>
      <c r="L12953">
        <v>825</v>
      </c>
      <c r="M12953" t="s">
        <v>11611</v>
      </c>
      <c r="N12953" t="s">
        <v>30</v>
      </c>
      <c r="O12953" t="s">
        <v>31</v>
      </c>
      <c r="P12953" t="str">
        <f>"15211"</f>
        <v>15211</v>
      </c>
    </row>
    <row r="12954" spans="1:16" x14ac:dyDescent="0.25">
      <c r="A12954" t="str">
        <f>"1190015J00076    00"</f>
        <v>1190015J00076    00</v>
      </c>
      <c r="B12954" t="s">
        <v>28541</v>
      </c>
      <c r="C12954" t="s">
        <v>28542</v>
      </c>
      <c r="E12954" t="s">
        <v>39</v>
      </c>
      <c r="F12954">
        <v>0</v>
      </c>
      <c r="G12954">
        <v>0</v>
      </c>
      <c r="H12954">
        <v>1</v>
      </c>
      <c r="I12954" s="3">
        <v>1016.4</v>
      </c>
      <c r="J12954" s="3">
        <v>8.4700000000000006</v>
      </c>
      <c r="K12954" t="s">
        <v>6646</v>
      </c>
      <c r="L12954">
        <v>3001</v>
      </c>
      <c r="M12954" t="s">
        <v>404</v>
      </c>
      <c r="N12954" t="s">
        <v>331</v>
      </c>
      <c r="O12954" t="s">
        <v>108</v>
      </c>
      <c r="P12954" t="str">
        <f>"75063"</f>
        <v>75063</v>
      </c>
    </row>
    <row r="12955" spans="1:16" x14ac:dyDescent="0.25">
      <c r="A12955" t="str">
        <f>"1190015N00010    00"</f>
        <v>1190015N00010    00</v>
      </c>
      <c r="B12955" t="s">
        <v>28543</v>
      </c>
      <c r="C12955" t="s">
        <v>28544</v>
      </c>
      <c r="D12955" t="s">
        <v>20</v>
      </c>
      <c r="E12955" t="s">
        <v>21</v>
      </c>
      <c r="F12955">
        <v>0</v>
      </c>
      <c r="G12955">
        <v>0</v>
      </c>
      <c r="H12955">
        <v>3</v>
      </c>
      <c r="I12955" s="3">
        <v>3340.13</v>
      </c>
      <c r="J12955" s="3">
        <v>1347.02</v>
      </c>
      <c r="L12955">
        <v>2639</v>
      </c>
      <c r="M12955" t="s">
        <v>28545</v>
      </c>
      <c r="N12955" t="s">
        <v>30</v>
      </c>
      <c r="O12955" t="s">
        <v>31</v>
      </c>
      <c r="P12955" t="str">
        <f>"15216"</f>
        <v>15216</v>
      </c>
    </row>
    <row r="12956" spans="1:16" x14ac:dyDescent="0.25">
      <c r="A12956" t="str">
        <f>"1190015N00026    00"</f>
        <v>1190015N00026    00</v>
      </c>
      <c r="B12956" t="s">
        <v>28546</v>
      </c>
      <c r="C12956" t="s">
        <v>28547</v>
      </c>
      <c r="E12956" t="s">
        <v>290</v>
      </c>
      <c r="F12956">
        <v>0</v>
      </c>
      <c r="G12956">
        <v>0</v>
      </c>
      <c r="H12956">
        <v>1</v>
      </c>
      <c r="I12956" s="3">
        <v>82.96</v>
      </c>
      <c r="J12956" s="3">
        <v>82.27</v>
      </c>
      <c r="L12956">
        <v>2639</v>
      </c>
      <c r="M12956" t="s">
        <v>28545</v>
      </c>
      <c r="N12956" t="s">
        <v>30</v>
      </c>
      <c r="O12956" t="s">
        <v>31</v>
      </c>
      <c r="P12956" t="str">
        <f>"15216"</f>
        <v>15216</v>
      </c>
    </row>
    <row r="12957" spans="1:16" x14ac:dyDescent="0.25">
      <c r="A12957" t="str">
        <f>"1190015N00034    00"</f>
        <v>1190015N00034    00</v>
      </c>
      <c r="B12957" t="s">
        <v>28548</v>
      </c>
      <c r="C12957" t="s">
        <v>28549</v>
      </c>
      <c r="D12957" t="s">
        <v>20</v>
      </c>
      <c r="E12957" t="s">
        <v>39</v>
      </c>
      <c r="F12957">
        <v>0</v>
      </c>
      <c r="G12957">
        <v>0</v>
      </c>
      <c r="H12957">
        <v>3</v>
      </c>
      <c r="I12957" s="3">
        <v>397.4</v>
      </c>
      <c r="J12957" s="3">
        <v>26.61</v>
      </c>
      <c r="L12957">
        <v>97</v>
      </c>
      <c r="M12957" t="s">
        <v>28550</v>
      </c>
      <c r="N12957" t="s">
        <v>30</v>
      </c>
      <c r="O12957" t="s">
        <v>31</v>
      </c>
      <c r="P12957" t="str">
        <f>"15226"</f>
        <v>15226</v>
      </c>
    </row>
    <row r="12958" spans="1:16" x14ac:dyDescent="0.25">
      <c r="A12958" t="str">
        <f>"1190015N00037    00"</f>
        <v>1190015N00037    00</v>
      </c>
      <c r="B12958" t="s">
        <v>28551</v>
      </c>
      <c r="C12958" t="s">
        <v>28552</v>
      </c>
      <c r="D12958" t="s">
        <v>20</v>
      </c>
      <c r="E12958" t="s">
        <v>39</v>
      </c>
      <c r="F12958">
        <v>0</v>
      </c>
      <c r="G12958">
        <v>0</v>
      </c>
      <c r="H12958">
        <v>2</v>
      </c>
      <c r="I12958" s="3">
        <v>412.3</v>
      </c>
      <c r="J12958" s="3">
        <v>0</v>
      </c>
      <c r="K12958" t="s">
        <v>759</v>
      </c>
      <c r="L12958">
        <v>3001</v>
      </c>
      <c r="M12958" t="s">
        <v>404</v>
      </c>
      <c r="N12958" t="s">
        <v>331</v>
      </c>
      <c r="O12958" t="s">
        <v>108</v>
      </c>
      <c r="P12958" t="str">
        <f>"75063"</f>
        <v>75063</v>
      </c>
    </row>
    <row r="12959" spans="1:16" x14ac:dyDescent="0.25">
      <c r="A12959" t="str">
        <f>"1190015N00039    00"</f>
        <v>1190015N00039    00</v>
      </c>
      <c r="B12959" t="s">
        <v>28553</v>
      </c>
      <c r="C12959" t="s">
        <v>28554</v>
      </c>
      <c r="E12959" t="s">
        <v>39</v>
      </c>
      <c r="F12959">
        <v>0</v>
      </c>
      <c r="G12959">
        <v>0</v>
      </c>
      <c r="H12959">
        <v>1</v>
      </c>
      <c r="I12959" s="3">
        <v>439.23</v>
      </c>
      <c r="J12959" s="3">
        <v>303.77999999999997</v>
      </c>
      <c r="K12959" t="s">
        <v>28555</v>
      </c>
      <c r="L12959">
        <v>93</v>
      </c>
      <c r="M12959" t="s">
        <v>28550</v>
      </c>
      <c r="N12959" t="s">
        <v>30</v>
      </c>
      <c r="O12959" t="s">
        <v>31</v>
      </c>
      <c r="P12959" t="str">
        <f>"15226"</f>
        <v>15226</v>
      </c>
    </row>
    <row r="12960" spans="1:16" x14ac:dyDescent="0.25">
      <c r="A12960" t="str">
        <f>"1190016B00036    00"</f>
        <v>1190016B00036    00</v>
      </c>
      <c r="B12960" t="s">
        <v>28556</v>
      </c>
      <c r="C12960" t="s">
        <v>28557</v>
      </c>
      <c r="D12960" t="s">
        <v>20</v>
      </c>
      <c r="E12960" t="s">
        <v>39</v>
      </c>
      <c r="F12960">
        <v>0</v>
      </c>
      <c r="G12960">
        <v>0</v>
      </c>
      <c r="H12960">
        <v>1</v>
      </c>
      <c r="I12960" s="3">
        <v>669.68</v>
      </c>
      <c r="J12960" s="3">
        <v>0</v>
      </c>
      <c r="L12960">
        <v>1223</v>
      </c>
      <c r="M12960" t="s">
        <v>28558</v>
      </c>
      <c r="N12960" t="s">
        <v>30</v>
      </c>
      <c r="O12960" t="s">
        <v>31</v>
      </c>
      <c r="P12960" t="str">
        <f>"15216"</f>
        <v>15216</v>
      </c>
    </row>
    <row r="12961" spans="1:16" x14ac:dyDescent="0.25">
      <c r="A12961" t="str">
        <f>"1190016B00051    00"</f>
        <v>1190016B00051    00</v>
      </c>
      <c r="B12961" t="s">
        <v>28559</v>
      </c>
      <c r="C12961" t="s">
        <v>28560</v>
      </c>
      <c r="D12961" t="s">
        <v>20</v>
      </c>
      <c r="E12961" t="s">
        <v>39</v>
      </c>
      <c r="F12961">
        <v>0</v>
      </c>
      <c r="G12961">
        <v>0</v>
      </c>
      <c r="H12961">
        <v>8</v>
      </c>
      <c r="I12961" s="3">
        <v>7375.64</v>
      </c>
      <c r="J12961" s="3">
        <v>1621.57</v>
      </c>
      <c r="L12961">
        <v>831</v>
      </c>
      <c r="M12961" t="s">
        <v>28561</v>
      </c>
      <c r="N12961" t="s">
        <v>30</v>
      </c>
      <c r="O12961" t="s">
        <v>31</v>
      </c>
      <c r="P12961" t="str">
        <f>"15216"</f>
        <v>15216</v>
      </c>
    </row>
    <row r="12962" spans="1:16" x14ac:dyDescent="0.25">
      <c r="A12962" t="str">
        <f>"1190016B00072    00"</f>
        <v>1190016B00072    00</v>
      </c>
      <c r="B12962" t="s">
        <v>28562</v>
      </c>
      <c r="C12962" t="s">
        <v>28563</v>
      </c>
      <c r="D12962" t="s">
        <v>20</v>
      </c>
      <c r="E12962" t="s">
        <v>39</v>
      </c>
      <c r="F12962">
        <v>0</v>
      </c>
      <c r="G12962">
        <v>0</v>
      </c>
      <c r="H12962">
        <v>1</v>
      </c>
      <c r="I12962" s="3">
        <v>926.78</v>
      </c>
      <c r="J12962" s="3">
        <v>0</v>
      </c>
      <c r="K12962" t="s">
        <v>28564</v>
      </c>
      <c r="L12962">
        <v>3001</v>
      </c>
      <c r="M12962" t="s">
        <v>330</v>
      </c>
      <c r="N12962" t="s">
        <v>331</v>
      </c>
      <c r="O12962" t="s">
        <v>108</v>
      </c>
      <c r="P12962" t="str">
        <f>"75063"</f>
        <v>75063</v>
      </c>
    </row>
    <row r="12963" spans="1:16" x14ac:dyDescent="0.25">
      <c r="A12963" t="str">
        <f>"1190016F00028    00"</f>
        <v>1190016F00028    00</v>
      </c>
      <c r="B12963" t="s">
        <v>28565</v>
      </c>
      <c r="C12963" t="s">
        <v>28566</v>
      </c>
      <c r="D12963" t="s">
        <v>20</v>
      </c>
      <c r="E12963" t="s">
        <v>39</v>
      </c>
      <c r="F12963">
        <v>0</v>
      </c>
      <c r="G12963">
        <v>0</v>
      </c>
      <c r="H12963">
        <v>1</v>
      </c>
      <c r="I12963" s="3">
        <v>174</v>
      </c>
      <c r="J12963" s="3">
        <v>0</v>
      </c>
      <c r="L12963">
        <v>956</v>
      </c>
      <c r="M12963" t="s">
        <v>28567</v>
      </c>
      <c r="N12963" t="s">
        <v>30</v>
      </c>
      <c r="O12963" t="s">
        <v>31</v>
      </c>
      <c r="P12963" t="str">
        <f>"15216"</f>
        <v>15216</v>
      </c>
    </row>
    <row r="12964" spans="1:16" x14ac:dyDescent="0.25">
      <c r="A12964" t="str">
        <f>"1190016F00069    00"</f>
        <v>1190016F00069    00</v>
      </c>
      <c r="B12964" t="s">
        <v>28568</v>
      </c>
      <c r="C12964" t="s">
        <v>28569</v>
      </c>
      <c r="E12964" t="s">
        <v>39</v>
      </c>
      <c r="F12964">
        <v>0</v>
      </c>
      <c r="G12964">
        <v>0</v>
      </c>
      <c r="H12964">
        <v>1</v>
      </c>
      <c r="I12964" s="3">
        <v>931.23</v>
      </c>
      <c r="J12964" s="3">
        <v>0</v>
      </c>
      <c r="L12964">
        <v>13326</v>
      </c>
      <c r="M12964" t="s">
        <v>28570</v>
      </c>
      <c r="N12964" t="s">
        <v>28571</v>
      </c>
      <c r="O12964" t="s">
        <v>370</v>
      </c>
      <c r="P12964" t="str">
        <f>"33981"</f>
        <v>33981</v>
      </c>
    </row>
    <row r="12965" spans="1:16" x14ac:dyDescent="0.25">
      <c r="A12965" t="str">
        <f>"1190016F00070    00"</f>
        <v>1190016F00070    00</v>
      </c>
      <c r="B12965" t="s">
        <v>28572</v>
      </c>
      <c r="C12965" t="s">
        <v>28569</v>
      </c>
      <c r="E12965" t="s">
        <v>39</v>
      </c>
      <c r="F12965">
        <v>0</v>
      </c>
      <c r="G12965">
        <v>0</v>
      </c>
      <c r="H12965">
        <v>1</v>
      </c>
      <c r="I12965" s="3">
        <v>287.82</v>
      </c>
      <c r="J12965" s="3">
        <v>0</v>
      </c>
      <c r="L12965">
        <v>13326</v>
      </c>
      <c r="M12965" t="s">
        <v>28570</v>
      </c>
      <c r="N12965" t="s">
        <v>28571</v>
      </c>
      <c r="O12965" t="s">
        <v>370</v>
      </c>
      <c r="P12965" t="str">
        <f>"33981"</f>
        <v>33981</v>
      </c>
    </row>
    <row r="12966" spans="1:16" x14ac:dyDescent="0.25">
      <c r="A12966" t="str">
        <f>"1190016F00106    00"</f>
        <v>1190016F00106    00</v>
      </c>
      <c r="B12966" t="s">
        <v>28573</v>
      </c>
      <c r="C12966" t="s">
        <v>28574</v>
      </c>
      <c r="D12966" t="s">
        <v>20</v>
      </c>
      <c r="E12966" t="s">
        <v>39</v>
      </c>
      <c r="F12966">
        <v>0</v>
      </c>
      <c r="G12966">
        <v>0</v>
      </c>
      <c r="H12966">
        <v>1</v>
      </c>
      <c r="I12966" s="3">
        <v>1688.71</v>
      </c>
      <c r="J12966" s="3">
        <v>0</v>
      </c>
      <c r="K12966" t="s">
        <v>28575</v>
      </c>
      <c r="L12966">
        <v>927</v>
      </c>
      <c r="M12966" t="s">
        <v>28561</v>
      </c>
      <c r="N12966" t="s">
        <v>30</v>
      </c>
      <c r="O12966" t="s">
        <v>31</v>
      </c>
      <c r="P12966" t="str">
        <f>"15216"</f>
        <v>15216</v>
      </c>
    </row>
    <row r="12967" spans="1:16" x14ac:dyDescent="0.25">
      <c r="A12967" t="str">
        <f>"1190016G00007    00"</f>
        <v>1190016G00007    00</v>
      </c>
      <c r="B12967" t="s">
        <v>28576</v>
      </c>
      <c r="C12967" t="s">
        <v>28577</v>
      </c>
      <c r="D12967" t="s">
        <v>20</v>
      </c>
      <c r="E12967" t="s">
        <v>39</v>
      </c>
      <c r="F12967">
        <v>0</v>
      </c>
      <c r="G12967">
        <v>0</v>
      </c>
      <c r="H12967">
        <v>2</v>
      </c>
      <c r="I12967" s="3">
        <v>1948.92</v>
      </c>
      <c r="J12967" s="3">
        <v>0</v>
      </c>
      <c r="L12967">
        <v>1005</v>
      </c>
      <c r="M12967" t="s">
        <v>28578</v>
      </c>
      <c r="N12967" t="s">
        <v>30</v>
      </c>
      <c r="O12967" t="s">
        <v>31</v>
      </c>
      <c r="P12967" t="str">
        <f>"15216"</f>
        <v>15216</v>
      </c>
    </row>
    <row r="12968" spans="1:16" x14ac:dyDescent="0.25">
      <c r="A12968" t="str">
        <f>"1190016G00016    00"</f>
        <v>1190016G00016    00</v>
      </c>
      <c r="B12968" t="s">
        <v>28579</v>
      </c>
      <c r="C12968" t="s">
        <v>28580</v>
      </c>
      <c r="D12968" t="s">
        <v>20</v>
      </c>
      <c r="E12968" t="s">
        <v>39</v>
      </c>
      <c r="F12968">
        <v>0</v>
      </c>
      <c r="G12968">
        <v>0</v>
      </c>
      <c r="H12968">
        <v>19</v>
      </c>
      <c r="I12968" s="3">
        <v>912.8</v>
      </c>
      <c r="J12968" s="3">
        <v>1134.8699999999999</v>
      </c>
      <c r="K12968" t="s">
        <v>28581</v>
      </c>
      <c r="L12968">
        <v>3701</v>
      </c>
      <c r="M12968" t="s">
        <v>28582</v>
      </c>
      <c r="N12968" t="s">
        <v>30</v>
      </c>
      <c r="O12968" t="s">
        <v>31</v>
      </c>
      <c r="P12968" t="str">
        <f>"15227"</f>
        <v>15227</v>
      </c>
    </row>
    <row r="12969" spans="1:16" x14ac:dyDescent="0.25">
      <c r="A12969" t="str">
        <f>"1190016G00044    00"</f>
        <v>1190016G00044    00</v>
      </c>
      <c r="B12969" t="s">
        <v>28583</v>
      </c>
      <c r="C12969" t="s">
        <v>28584</v>
      </c>
      <c r="D12969" t="s">
        <v>20</v>
      </c>
      <c r="E12969" t="s">
        <v>39</v>
      </c>
      <c r="F12969">
        <v>0</v>
      </c>
      <c r="G12969">
        <v>0</v>
      </c>
      <c r="H12969">
        <v>1</v>
      </c>
      <c r="I12969" s="3">
        <v>503.98</v>
      </c>
      <c r="J12969" s="3">
        <v>0</v>
      </c>
      <c r="L12969">
        <v>911</v>
      </c>
      <c r="M12969" t="s">
        <v>28567</v>
      </c>
      <c r="N12969" t="s">
        <v>30</v>
      </c>
      <c r="O12969" t="s">
        <v>31</v>
      </c>
      <c r="P12969" t="str">
        <f>"15216"</f>
        <v>15216</v>
      </c>
    </row>
    <row r="12970" spans="1:16" x14ac:dyDescent="0.25">
      <c r="A12970" t="str">
        <f>"1190016G00058    00"</f>
        <v>1190016G00058    00</v>
      </c>
      <c r="B12970" t="s">
        <v>28585</v>
      </c>
      <c r="C12970" t="s">
        <v>28586</v>
      </c>
      <c r="D12970" t="s">
        <v>20</v>
      </c>
      <c r="E12970" t="s">
        <v>39</v>
      </c>
      <c r="F12970">
        <v>0</v>
      </c>
      <c r="G12970">
        <v>0</v>
      </c>
      <c r="H12970">
        <v>1</v>
      </c>
      <c r="I12970" s="3">
        <v>1264.1600000000001</v>
      </c>
      <c r="J12970" s="3">
        <v>0</v>
      </c>
      <c r="L12970">
        <v>914</v>
      </c>
      <c r="M12970" t="s">
        <v>28578</v>
      </c>
      <c r="N12970" t="s">
        <v>30</v>
      </c>
      <c r="O12970" t="s">
        <v>31</v>
      </c>
      <c r="P12970" t="str">
        <f>"15216"</f>
        <v>15216</v>
      </c>
    </row>
    <row r="12971" spans="1:16" x14ac:dyDescent="0.25">
      <c r="A12971" t="str">
        <f>"1190016G00067    00"</f>
        <v>1190016G00067    00</v>
      </c>
      <c r="B12971" t="s">
        <v>28587</v>
      </c>
      <c r="C12971" t="s">
        <v>28588</v>
      </c>
      <c r="E12971" t="s">
        <v>39</v>
      </c>
      <c r="F12971">
        <v>0</v>
      </c>
      <c r="G12971">
        <v>0</v>
      </c>
      <c r="H12971">
        <v>8</v>
      </c>
      <c r="I12971" s="3">
        <v>2197</v>
      </c>
      <c r="J12971" s="3">
        <v>855.69</v>
      </c>
      <c r="L12971">
        <v>963</v>
      </c>
      <c r="M12971" t="s">
        <v>28578</v>
      </c>
      <c r="N12971" t="s">
        <v>30</v>
      </c>
      <c r="O12971" t="s">
        <v>31</v>
      </c>
      <c r="P12971" t="str">
        <f>"15216"</f>
        <v>15216</v>
      </c>
    </row>
    <row r="12972" spans="1:16" x14ac:dyDescent="0.25">
      <c r="A12972" t="str">
        <f>"1190016G00081    00"</f>
        <v>1190016G00081    00</v>
      </c>
      <c r="B12972" t="s">
        <v>28589</v>
      </c>
      <c r="C12972" t="s">
        <v>28590</v>
      </c>
      <c r="D12972" t="s">
        <v>20</v>
      </c>
      <c r="E12972" t="s">
        <v>39</v>
      </c>
      <c r="F12972">
        <v>0</v>
      </c>
      <c r="G12972">
        <v>0</v>
      </c>
      <c r="H12972">
        <v>3</v>
      </c>
      <c r="I12972" s="3">
        <v>1565.26</v>
      </c>
      <c r="J12972" s="3">
        <v>0</v>
      </c>
      <c r="K12972" t="s">
        <v>28591</v>
      </c>
      <c r="L12972">
        <v>3336</v>
      </c>
      <c r="M12972" t="s">
        <v>28592</v>
      </c>
      <c r="N12972" t="s">
        <v>28571</v>
      </c>
      <c r="O12972" t="s">
        <v>370</v>
      </c>
      <c r="P12972" t="str">
        <f>"33980"</f>
        <v>33980</v>
      </c>
    </row>
    <row r="12973" spans="1:16" x14ac:dyDescent="0.25">
      <c r="A12973" t="str">
        <f>"1190016G00106    00"</f>
        <v>1190016G00106    00</v>
      </c>
      <c r="B12973" t="s">
        <v>28587</v>
      </c>
      <c r="C12973" t="s">
        <v>28588</v>
      </c>
      <c r="D12973" t="s">
        <v>20</v>
      </c>
      <c r="E12973" t="s">
        <v>39</v>
      </c>
      <c r="F12973">
        <v>0</v>
      </c>
      <c r="G12973">
        <v>0</v>
      </c>
      <c r="H12973">
        <v>9</v>
      </c>
      <c r="I12973" s="3">
        <v>5578.55</v>
      </c>
      <c r="J12973" s="3">
        <v>2981.6</v>
      </c>
      <c r="L12973">
        <v>715</v>
      </c>
      <c r="M12973" t="s">
        <v>28593</v>
      </c>
      <c r="N12973" t="s">
        <v>30</v>
      </c>
      <c r="O12973" t="s">
        <v>31</v>
      </c>
      <c r="P12973" t="str">
        <f>"15216"</f>
        <v>15216</v>
      </c>
    </row>
    <row r="12974" spans="1:16" x14ac:dyDescent="0.25">
      <c r="A12974" t="str">
        <f>"1190016G00130    00"</f>
        <v>1190016G00130    00</v>
      </c>
      <c r="B12974" t="s">
        <v>28594</v>
      </c>
      <c r="C12974" t="s">
        <v>28595</v>
      </c>
      <c r="D12974" t="s">
        <v>20</v>
      </c>
      <c r="E12974" t="s">
        <v>39</v>
      </c>
      <c r="F12974">
        <v>0</v>
      </c>
      <c r="G12974">
        <v>0</v>
      </c>
      <c r="H12974">
        <v>1</v>
      </c>
      <c r="I12974" s="3">
        <v>3547.07</v>
      </c>
      <c r="J12974" s="3">
        <v>0</v>
      </c>
      <c r="K12974" t="s">
        <v>28596</v>
      </c>
      <c r="L12974">
        <v>1619</v>
      </c>
      <c r="M12974" t="s">
        <v>28597</v>
      </c>
      <c r="N12974" t="s">
        <v>30</v>
      </c>
      <c r="O12974" t="s">
        <v>31</v>
      </c>
      <c r="P12974" t="str">
        <f>"15216"</f>
        <v>15216</v>
      </c>
    </row>
    <row r="12975" spans="1:16" x14ac:dyDescent="0.25">
      <c r="A12975" t="str">
        <f>"1190016K00024    00"</f>
        <v>1190016K00024    00</v>
      </c>
      <c r="B12975" t="s">
        <v>28598</v>
      </c>
      <c r="C12975" t="s">
        <v>28599</v>
      </c>
      <c r="D12975" t="s">
        <v>20</v>
      </c>
      <c r="E12975" t="s">
        <v>39</v>
      </c>
      <c r="F12975">
        <v>0</v>
      </c>
      <c r="G12975">
        <v>0</v>
      </c>
      <c r="H12975">
        <v>13</v>
      </c>
      <c r="I12975" s="3">
        <v>3672.8</v>
      </c>
      <c r="J12975" s="3">
        <v>1935.22</v>
      </c>
      <c r="L12975">
        <v>1434</v>
      </c>
      <c r="M12975" t="s">
        <v>849</v>
      </c>
      <c r="N12975" t="s">
        <v>28600</v>
      </c>
      <c r="O12975" t="s">
        <v>370</v>
      </c>
      <c r="P12975" t="str">
        <f>"33020"</f>
        <v>33020</v>
      </c>
    </row>
    <row r="12976" spans="1:16" x14ac:dyDescent="0.25">
      <c r="A12976" t="str">
        <f>"1190016K00038    00"</f>
        <v>1190016K00038    00</v>
      </c>
      <c r="B12976" t="s">
        <v>19748</v>
      </c>
      <c r="C12976" t="s">
        <v>28599</v>
      </c>
      <c r="D12976" t="s">
        <v>20</v>
      </c>
      <c r="E12976" t="s">
        <v>39</v>
      </c>
      <c r="F12976">
        <v>0</v>
      </c>
      <c r="G12976">
        <v>0</v>
      </c>
      <c r="H12976">
        <v>19</v>
      </c>
      <c r="I12976" s="3">
        <v>5927.5</v>
      </c>
      <c r="J12976" s="3">
        <v>4493.97</v>
      </c>
      <c r="L12976">
        <v>233</v>
      </c>
      <c r="M12976" t="s">
        <v>1602</v>
      </c>
      <c r="N12976" t="s">
        <v>30</v>
      </c>
      <c r="O12976" t="s">
        <v>31</v>
      </c>
      <c r="P12976" t="str">
        <f>"15213"</f>
        <v>15213</v>
      </c>
    </row>
    <row r="12977" spans="1:16" x14ac:dyDescent="0.25">
      <c r="A12977" t="str">
        <f>"1190016K00095    00"</f>
        <v>1190016K00095    00</v>
      </c>
      <c r="B12977" t="s">
        <v>28601</v>
      </c>
      <c r="C12977" t="s">
        <v>28602</v>
      </c>
      <c r="D12977" t="s">
        <v>20</v>
      </c>
      <c r="E12977" t="s">
        <v>39</v>
      </c>
      <c r="F12977">
        <v>0</v>
      </c>
      <c r="G12977">
        <v>0</v>
      </c>
      <c r="H12977">
        <v>12</v>
      </c>
      <c r="I12977" s="3">
        <v>11865.15</v>
      </c>
      <c r="J12977" s="3">
        <v>5723.02</v>
      </c>
      <c r="L12977">
        <v>1211</v>
      </c>
      <c r="M12977" t="s">
        <v>23923</v>
      </c>
      <c r="N12977" t="s">
        <v>30</v>
      </c>
      <c r="O12977" t="s">
        <v>31</v>
      </c>
      <c r="P12977" t="str">
        <f>"15216"</f>
        <v>15216</v>
      </c>
    </row>
    <row r="12978" spans="1:16" x14ac:dyDescent="0.25">
      <c r="A12978" t="str">
        <f>"1190016K00108    00"</f>
        <v>1190016K00108    00</v>
      </c>
      <c r="B12978" t="s">
        <v>28603</v>
      </c>
      <c r="C12978" t="s">
        <v>28604</v>
      </c>
      <c r="D12978" t="s">
        <v>20</v>
      </c>
      <c r="E12978" t="s">
        <v>39</v>
      </c>
      <c r="F12978">
        <v>0</v>
      </c>
      <c r="G12978">
        <v>0</v>
      </c>
      <c r="H12978">
        <v>2</v>
      </c>
      <c r="I12978" s="3">
        <v>1335.5</v>
      </c>
      <c r="J12978" s="3">
        <v>0</v>
      </c>
      <c r="L12978">
        <v>1206</v>
      </c>
      <c r="M12978" t="s">
        <v>14332</v>
      </c>
      <c r="N12978" t="s">
        <v>30</v>
      </c>
      <c r="O12978" t="s">
        <v>31</v>
      </c>
      <c r="P12978" t="str">
        <f>"15216"</f>
        <v>15216</v>
      </c>
    </row>
    <row r="12979" spans="1:16" x14ac:dyDescent="0.25">
      <c r="A12979" t="str">
        <f>"1190016K00118    00"</f>
        <v>1190016K00118    00</v>
      </c>
      <c r="B12979" t="s">
        <v>28605</v>
      </c>
      <c r="C12979" t="s">
        <v>28606</v>
      </c>
      <c r="D12979" t="s">
        <v>20</v>
      </c>
      <c r="E12979" t="s">
        <v>39</v>
      </c>
      <c r="F12979">
        <v>0</v>
      </c>
      <c r="G12979">
        <v>0</v>
      </c>
      <c r="H12979">
        <v>2</v>
      </c>
      <c r="I12979" s="3">
        <v>1189.3</v>
      </c>
      <c r="J12979" s="3">
        <v>4.6900000000000004</v>
      </c>
      <c r="L12979">
        <v>1205</v>
      </c>
      <c r="M12979" t="s">
        <v>14332</v>
      </c>
      <c r="N12979" t="s">
        <v>30</v>
      </c>
      <c r="O12979" t="s">
        <v>31</v>
      </c>
      <c r="P12979" t="str">
        <f>"15216"</f>
        <v>15216</v>
      </c>
    </row>
    <row r="12980" spans="1:16" x14ac:dyDescent="0.25">
      <c r="A12980" t="str">
        <f>"1190016K00135    00"</f>
        <v>1190016K00135    00</v>
      </c>
      <c r="B12980" t="s">
        <v>28607</v>
      </c>
      <c r="C12980" t="s">
        <v>28608</v>
      </c>
      <c r="D12980" t="s">
        <v>20</v>
      </c>
      <c r="E12980" t="s">
        <v>39</v>
      </c>
      <c r="F12980">
        <v>0</v>
      </c>
      <c r="G12980">
        <v>0</v>
      </c>
      <c r="H12980">
        <v>1</v>
      </c>
      <c r="I12980" s="3">
        <v>962.41</v>
      </c>
      <c r="J12980" s="3">
        <v>0</v>
      </c>
      <c r="K12980" t="s">
        <v>563</v>
      </c>
      <c r="L12980">
        <v>3001</v>
      </c>
      <c r="M12980" t="s">
        <v>330</v>
      </c>
      <c r="N12980" t="s">
        <v>331</v>
      </c>
      <c r="O12980" t="s">
        <v>108</v>
      </c>
      <c r="P12980" t="str">
        <f>"75063"</f>
        <v>75063</v>
      </c>
    </row>
    <row r="12981" spans="1:16" x14ac:dyDescent="0.25">
      <c r="A12981" t="str">
        <f>"1190016K00154    00"</f>
        <v>1190016K00154    00</v>
      </c>
      <c r="B12981" t="s">
        <v>28609</v>
      </c>
      <c r="C12981" t="s">
        <v>28610</v>
      </c>
      <c r="E12981" t="s">
        <v>39</v>
      </c>
      <c r="F12981">
        <v>0</v>
      </c>
      <c r="G12981">
        <v>0</v>
      </c>
      <c r="H12981">
        <v>1</v>
      </c>
      <c r="I12981" s="3">
        <v>590.41</v>
      </c>
      <c r="J12981" s="3">
        <v>0</v>
      </c>
      <c r="K12981" t="s">
        <v>28611</v>
      </c>
      <c r="L12981">
        <v>76</v>
      </c>
      <c r="M12981" t="s">
        <v>25043</v>
      </c>
      <c r="N12981" t="s">
        <v>30</v>
      </c>
      <c r="O12981" t="s">
        <v>31</v>
      </c>
      <c r="P12981" t="str">
        <f>"15210"</f>
        <v>15210</v>
      </c>
    </row>
    <row r="12982" spans="1:16" x14ac:dyDescent="0.25">
      <c r="A12982" t="str">
        <f>"1190016K00186000100"</f>
        <v>1190016K00186000100</v>
      </c>
      <c r="B12982" t="s">
        <v>28612</v>
      </c>
      <c r="C12982" t="s">
        <v>28613</v>
      </c>
      <c r="D12982" t="s">
        <v>20</v>
      </c>
      <c r="E12982" t="s">
        <v>39</v>
      </c>
      <c r="F12982">
        <v>0</v>
      </c>
      <c r="G12982">
        <v>0</v>
      </c>
      <c r="H12982">
        <v>18</v>
      </c>
      <c r="I12982" s="3">
        <v>941.68</v>
      </c>
      <c r="J12982" s="3">
        <v>825.51</v>
      </c>
      <c r="L12982">
        <v>260</v>
      </c>
      <c r="M12982" t="s">
        <v>28614</v>
      </c>
      <c r="N12982" t="s">
        <v>30</v>
      </c>
      <c r="O12982" t="s">
        <v>31</v>
      </c>
      <c r="P12982" t="str">
        <f>"15220"</f>
        <v>15220</v>
      </c>
    </row>
    <row r="12983" spans="1:16" x14ac:dyDescent="0.25">
      <c r="A12983" t="str">
        <f>"1190016K00190000100"</f>
        <v>1190016K00190000100</v>
      </c>
      <c r="B12983" t="s">
        <v>28615</v>
      </c>
      <c r="C12983" t="s">
        <v>28613</v>
      </c>
      <c r="D12983" t="s">
        <v>20</v>
      </c>
      <c r="E12983" t="s">
        <v>39</v>
      </c>
      <c r="F12983">
        <v>0</v>
      </c>
      <c r="G12983">
        <v>0</v>
      </c>
      <c r="H12983">
        <v>19</v>
      </c>
      <c r="I12983" s="3">
        <v>2145.61</v>
      </c>
      <c r="J12983" s="3">
        <v>1782.84</v>
      </c>
      <c r="L12983">
        <v>1043</v>
      </c>
      <c r="M12983" t="s">
        <v>28616</v>
      </c>
      <c r="N12983" t="s">
        <v>30</v>
      </c>
      <c r="O12983" t="s">
        <v>31</v>
      </c>
      <c r="P12983" t="str">
        <f>"15243"</f>
        <v>15243</v>
      </c>
    </row>
    <row r="12984" spans="1:16" x14ac:dyDescent="0.25">
      <c r="A12984" t="str">
        <f>"1190016L00037    00"</f>
        <v>1190016L00037    00</v>
      </c>
      <c r="B12984" t="s">
        <v>28617</v>
      </c>
      <c r="C12984" t="s">
        <v>28618</v>
      </c>
      <c r="D12984" t="s">
        <v>20</v>
      </c>
      <c r="E12984" t="s">
        <v>39</v>
      </c>
      <c r="F12984">
        <v>0</v>
      </c>
      <c r="G12984">
        <v>0</v>
      </c>
      <c r="H12984">
        <v>3</v>
      </c>
      <c r="I12984" s="3">
        <v>3280.88</v>
      </c>
      <c r="J12984" s="3">
        <v>230.55</v>
      </c>
      <c r="K12984" t="s">
        <v>28619</v>
      </c>
      <c r="L12984">
        <v>1015</v>
      </c>
      <c r="M12984" t="s">
        <v>28578</v>
      </c>
      <c r="N12984" t="s">
        <v>30</v>
      </c>
      <c r="O12984" t="s">
        <v>31</v>
      </c>
      <c r="P12984" t="str">
        <f>"15216"</f>
        <v>15216</v>
      </c>
    </row>
    <row r="12985" spans="1:16" x14ac:dyDescent="0.25">
      <c r="A12985" t="str">
        <f>"1190016L00046    00"</f>
        <v>1190016L00046    00</v>
      </c>
      <c r="B12985" t="s">
        <v>28620</v>
      </c>
      <c r="C12985" t="s">
        <v>28580</v>
      </c>
      <c r="D12985" t="s">
        <v>20</v>
      </c>
      <c r="E12985" t="s">
        <v>39</v>
      </c>
      <c r="F12985">
        <v>0</v>
      </c>
      <c r="G12985">
        <v>0</v>
      </c>
      <c r="H12985">
        <v>11</v>
      </c>
      <c r="I12985" s="3">
        <v>2853.9</v>
      </c>
      <c r="J12985" s="3">
        <v>1226.92</v>
      </c>
      <c r="L12985">
        <v>953</v>
      </c>
      <c r="M12985" t="s">
        <v>28578</v>
      </c>
      <c r="N12985" t="s">
        <v>30</v>
      </c>
      <c r="O12985" t="s">
        <v>31</v>
      </c>
      <c r="P12985" t="str">
        <f>"15216"</f>
        <v>15216</v>
      </c>
    </row>
    <row r="12986" spans="1:16" x14ac:dyDescent="0.25">
      <c r="A12986" t="str">
        <f>"1190016L00048    00"</f>
        <v>1190016L00048    00</v>
      </c>
      <c r="B12986" t="s">
        <v>28620</v>
      </c>
      <c r="C12986" t="s">
        <v>28580</v>
      </c>
      <c r="D12986" t="s">
        <v>20</v>
      </c>
      <c r="E12986" t="s">
        <v>39</v>
      </c>
      <c r="F12986">
        <v>0</v>
      </c>
      <c r="G12986">
        <v>0</v>
      </c>
      <c r="H12986">
        <v>12</v>
      </c>
      <c r="I12986" s="3">
        <v>3113.23</v>
      </c>
      <c r="J12986" s="3">
        <v>1448.12</v>
      </c>
      <c r="L12986">
        <v>953</v>
      </c>
      <c r="M12986" t="s">
        <v>28578</v>
      </c>
      <c r="N12986" t="s">
        <v>30</v>
      </c>
      <c r="O12986" t="s">
        <v>31</v>
      </c>
      <c r="P12986" t="str">
        <f>"15216"</f>
        <v>15216</v>
      </c>
    </row>
    <row r="12987" spans="1:16" x14ac:dyDescent="0.25">
      <c r="A12987" t="str">
        <f>"1190016L00068    00"</f>
        <v>1190016L00068    00</v>
      </c>
      <c r="B12987" t="s">
        <v>28621</v>
      </c>
      <c r="C12987" t="s">
        <v>28622</v>
      </c>
      <c r="D12987" t="s">
        <v>20</v>
      </c>
      <c r="E12987" t="s">
        <v>39</v>
      </c>
      <c r="F12987">
        <v>0</v>
      </c>
      <c r="G12987">
        <v>0</v>
      </c>
      <c r="H12987">
        <v>1</v>
      </c>
      <c r="I12987" s="3">
        <v>1446.66</v>
      </c>
      <c r="J12987" s="3">
        <v>0</v>
      </c>
      <c r="L12987">
        <v>70</v>
      </c>
      <c r="M12987" t="s">
        <v>28623</v>
      </c>
      <c r="N12987" t="s">
        <v>12463</v>
      </c>
      <c r="O12987" t="s">
        <v>31</v>
      </c>
      <c r="P12987" t="str">
        <f>"15142"</f>
        <v>15142</v>
      </c>
    </row>
    <row r="12988" spans="1:16" x14ac:dyDescent="0.25">
      <c r="A12988" t="str">
        <f>"1190016L00073    00"</f>
        <v>1190016L00073    00</v>
      </c>
      <c r="B12988" t="s">
        <v>28624</v>
      </c>
      <c r="C12988" t="s">
        <v>28625</v>
      </c>
      <c r="D12988" t="s">
        <v>20</v>
      </c>
      <c r="E12988" t="s">
        <v>39</v>
      </c>
      <c r="F12988">
        <v>0</v>
      </c>
      <c r="G12988">
        <v>0</v>
      </c>
      <c r="H12988">
        <v>7</v>
      </c>
      <c r="I12988" s="3">
        <v>1894.4</v>
      </c>
      <c r="J12988" s="3">
        <v>461.24</v>
      </c>
      <c r="K12988" t="s">
        <v>28626</v>
      </c>
      <c r="L12988">
        <v>517</v>
      </c>
      <c r="M12988" t="s">
        <v>28627</v>
      </c>
      <c r="N12988" t="s">
        <v>3934</v>
      </c>
      <c r="O12988" t="s">
        <v>31</v>
      </c>
      <c r="P12988" t="str">
        <f>"15102"</f>
        <v>15102</v>
      </c>
    </row>
    <row r="12989" spans="1:16" x14ac:dyDescent="0.25">
      <c r="A12989" t="str">
        <f>"1190016L00120    00"</f>
        <v>1190016L00120    00</v>
      </c>
      <c r="B12989" t="s">
        <v>28628</v>
      </c>
      <c r="C12989" t="s">
        <v>28629</v>
      </c>
      <c r="D12989" t="s">
        <v>20</v>
      </c>
      <c r="E12989" t="s">
        <v>39</v>
      </c>
      <c r="F12989">
        <v>0</v>
      </c>
      <c r="G12989">
        <v>0</v>
      </c>
      <c r="H12989">
        <v>1</v>
      </c>
      <c r="I12989" s="3">
        <v>567.84</v>
      </c>
      <c r="J12989" s="3">
        <v>0</v>
      </c>
      <c r="L12989">
        <v>1108</v>
      </c>
      <c r="M12989" t="s">
        <v>25827</v>
      </c>
      <c r="N12989" t="s">
        <v>30</v>
      </c>
      <c r="O12989" t="s">
        <v>31</v>
      </c>
      <c r="P12989" t="str">
        <f>"15216"</f>
        <v>15216</v>
      </c>
    </row>
    <row r="12990" spans="1:16" x14ac:dyDescent="0.25">
      <c r="A12990" t="str">
        <f>"1190016L00143    00"</f>
        <v>1190016L00143    00</v>
      </c>
      <c r="B12990" t="s">
        <v>28630</v>
      </c>
      <c r="C12990" t="s">
        <v>28631</v>
      </c>
      <c r="D12990" t="s">
        <v>20</v>
      </c>
      <c r="E12990" t="s">
        <v>39</v>
      </c>
      <c r="F12990">
        <v>0</v>
      </c>
      <c r="G12990">
        <v>0</v>
      </c>
      <c r="H12990">
        <v>1</v>
      </c>
      <c r="I12990" s="3">
        <v>1253.98</v>
      </c>
      <c r="J12990" s="3">
        <v>0</v>
      </c>
      <c r="L12990">
        <v>1122</v>
      </c>
      <c r="M12990" t="s">
        <v>28632</v>
      </c>
      <c r="N12990" t="s">
        <v>30</v>
      </c>
      <c r="O12990" t="s">
        <v>31</v>
      </c>
      <c r="P12990" t="str">
        <f>"15216"</f>
        <v>15216</v>
      </c>
    </row>
    <row r="12991" spans="1:16" x14ac:dyDescent="0.25">
      <c r="A12991" t="str">
        <f>"1190016L00198    00"</f>
        <v>1190016L00198    00</v>
      </c>
      <c r="B12991" t="s">
        <v>28633</v>
      </c>
      <c r="C12991" t="s">
        <v>28634</v>
      </c>
      <c r="E12991" t="s">
        <v>39</v>
      </c>
      <c r="F12991">
        <v>0</v>
      </c>
      <c r="G12991">
        <v>0</v>
      </c>
      <c r="H12991">
        <v>2</v>
      </c>
      <c r="I12991" s="3">
        <v>1797.72</v>
      </c>
      <c r="J12991" s="3">
        <v>361.45</v>
      </c>
      <c r="L12991">
        <v>654</v>
      </c>
      <c r="M12991" t="s">
        <v>28635</v>
      </c>
      <c r="N12991" t="s">
        <v>30</v>
      </c>
      <c r="O12991" t="s">
        <v>31</v>
      </c>
      <c r="P12991" t="str">
        <f>"15216"</f>
        <v>15216</v>
      </c>
    </row>
    <row r="12992" spans="1:16" x14ac:dyDescent="0.25">
      <c r="A12992" t="str">
        <f>"1190016L00202    00"</f>
        <v>1190016L00202    00</v>
      </c>
      <c r="B12992" t="s">
        <v>28636</v>
      </c>
      <c r="C12992" t="s">
        <v>28637</v>
      </c>
      <c r="E12992" t="s">
        <v>39</v>
      </c>
      <c r="F12992">
        <v>0</v>
      </c>
      <c r="G12992">
        <v>0</v>
      </c>
      <c r="H12992">
        <v>2</v>
      </c>
      <c r="I12992" s="3">
        <v>167.39</v>
      </c>
      <c r="J12992" s="3">
        <v>7.87</v>
      </c>
      <c r="K12992" t="s">
        <v>426</v>
      </c>
      <c r="L12992">
        <v>2570</v>
      </c>
      <c r="M12992" t="s">
        <v>427</v>
      </c>
      <c r="N12992" t="s">
        <v>30</v>
      </c>
      <c r="O12992" t="s">
        <v>31</v>
      </c>
      <c r="P12992" t="str">
        <f>"15241"</f>
        <v>15241</v>
      </c>
    </row>
    <row r="12993" spans="1:16" x14ac:dyDescent="0.25">
      <c r="A12993" t="str">
        <f>"1190016L00215    00"</f>
        <v>1190016L00215    00</v>
      </c>
      <c r="B12993" t="s">
        <v>28638</v>
      </c>
      <c r="C12993" t="s">
        <v>28639</v>
      </c>
      <c r="E12993" t="s">
        <v>39</v>
      </c>
      <c r="F12993">
        <v>0</v>
      </c>
      <c r="G12993">
        <v>0</v>
      </c>
      <c r="H12993">
        <v>5</v>
      </c>
      <c r="I12993" s="3">
        <v>4978.71</v>
      </c>
      <c r="J12993" s="3">
        <v>2130.8200000000002</v>
      </c>
      <c r="K12993" t="s">
        <v>28640</v>
      </c>
      <c r="L12993">
        <v>1800</v>
      </c>
      <c r="M12993" t="s">
        <v>28641</v>
      </c>
      <c r="N12993" t="s">
        <v>30</v>
      </c>
      <c r="O12993" t="s">
        <v>31</v>
      </c>
      <c r="P12993" t="str">
        <f>"15217"</f>
        <v>15217</v>
      </c>
    </row>
    <row r="12994" spans="1:16" x14ac:dyDescent="0.25">
      <c r="A12994" t="str">
        <f>"1190016M00185    00"</f>
        <v>1190016M00185    00</v>
      </c>
      <c r="B12994" t="s">
        <v>28642</v>
      </c>
      <c r="C12994" t="s">
        <v>28613</v>
      </c>
      <c r="D12994" t="s">
        <v>20</v>
      </c>
      <c r="E12994" t="s">
        <v>39</v>
      </c>
      <c r="F12994">
        <v>0</v>
      </c>
      <c r="G12994">
        <v>0</v>
      </c>
      <c r="H12994">
        <v>11</v>
      </c>
      <c r="I12994" s="3">
        <v>404.2</v>
      </c>
      <c r="J12994" s="3">
        <v>194.05</v>
      </c>
      <c r="L12994">
        <v>2389</v>
      </c>
      <c r="M12994" t="s">
        <v>28643</v>
      </c>
      <c r="N12994" t="s">
        <v>30</v>
      </c>
      <c r="O12994" t="s">
        <v>31</v>
      </c>
      <c r="P12994" t="str">
        <f>"15220"</f>
        <v>15220</v>
      </c>
    </row>
    <row r="12995" spans="1:16" x14ac:dyDescent="0.25">
      <c r="A12995" t="str">
        <f>"1190016N00155    00"</f>
        <v>1190016N00155    00</v>
      </c>
      <c r="B12995" t="s">
        <v>28644</v>
      </c>
      <c r="C12995" t="s">
        <v>28645</v>
      </c>
      <c r="D12995" t="s">
        <v>20</v>
      </c>
      <c r="E12995" t="s">
        <v>39</v>
      </c>
      <c r="F12995">
        <v>0</v>
      </c>
      <c r="G12995">
        <v>0</v>
      </c>
      <c r="H12995">
        <v>10</v>
      </c>
      <c r="I12995" s="3">
        <v>3828.53</v>
      </c>
      <c r="J12995" s="3">
        <v>1639.3</v>
      </c>
      <c r="L12995">
        <v>2702</v>
      </c>
      <c r="M12995" t="s">
        <v>28646</v>
      </c>
      <c r="N12995" t="s">
        <v>30</v>
      </c>
      <c r="O12995" t="s">
        <v>31</v>
      </c>
      <c r="P12995" t="str">
        <f>"15216"</f>
        <v>15216</v>
      </c>
    </row>
    <row r="12996" spans="1:16" x14ac:dyDescent="0.25">
      <c r="A12996" t="str">
        <f>"1190016N00156    00"</f>
        <v>1190016N00156    00</v>
      </c>
      <c r="B12996" t="s">
        <v>28647</v>
      </c>
      <c r="C12996" t="s">
        <v>28645</v>
      </c>
      <c r="D12996" t="s">
        <v>20</v>
      </c>
      <c r="E12996" t="s">
        <v>39</v>
      </c>
      <c r="F12996">
        <v>0</v>
      </c>
      <c r="G12996">
        <v>0</v>
      </c>
      <c r="H12996">
        <v>19</v>
      </c>
      <c r="I12996" s="3">
        <v>2017.04</v>
      </c>
      <c r="J12996" s="3">
        <v>2685.87</v>
      </c>
      <c r="L12996">
        <v>4522</v>
      </c>
      <c r="M12996" t="s">
        <v>20861</v>
      </c>
      <c r="N12996" t="s">
        <v>30</v>
      </c>
      <c r="O12996" t="s">
        <v>31</v>
      </c>
      <c r="P12996" t="str">
        <f>"15207"</f>
        <v>15207</v>
      </c>
    </row>
    <row r="12997" spans="1:16" x14ac:dyDescent="0.25">
      <c r="A12997" t="str">
        <f>"1190016N00168    00"</f>
        <v>1190016N00168    00</v>
      </c>
      <c r="B12997" t="s">
        <v>28644</v>
      </c>
      <c r="C12997" t="s">
        <v>28648</v>
      </c>
      <c r="D12997" t="s">
        <v>20</v>
      </c>
      <c r="E12997" t="s">
        <v>39</v>
      </c>
      <c r="F12997">
        <v>0</v>
      </c>
      <c r="G12997">
        <v>0</v>
      </c>
      <c r="H12997">
        <v>10</v>
      </c>
      <c r="I12997" s="3">
        <v>1109.7</v>
      </c>
      <c r="J12997" s="3">
        <v>475.15</v>
      </c>
      <c r="L12997">
        <v>2702</v>
      </c>
      <c r="M12997" t="s">
        <v>28646</v>
      </c>
      <c r="N12997" t="s">
        <v>30</v>
      </c>
      <c r="O12997" t="s">
        <v>31</v>
      </c>
      <c r="P12997" t="str">
        <f>"15216"</f>
        <v>15216</v>
      </c>
    </row>
    <row r="12998" spans="1:16" x14ac:dyDescent="0.25">
      <c r="A12998" t="str">
        <f>"1190016P00011    00"</f>
        <v>1190016P00011    00</v>
      </c>
      <c r="B12998" t="s">
        <v>28649</v>
      </c>
      <c r="C12998" t="s">
        <v>28648</v>
      </c>
      <c r="D12998" t="s">
        <v>20</v>
      </c>
      <c r="E12998" t="s">
        <v>39</v>
      </c>
      <c r="F12998">
        <v>0</v>
      </c>
      <c r="G12998">
        <v>0</v>
      </c>
      <c r="H12998">
        <v>4</v>
      </c>
      <c r="I12998" s="3">
        <v>83.04</v>
      </c>
      <c r="J12998" s="3">
        <v>10.220000000000001</v>
      </c>
      <c r="L12998">
        <v>6900</v>
      </c>
      <c r="M12998" t="s">
        <v>28650</v>
      </c>
      <c r="N12998" t="s">
        <v>30</v>
      </c>
      <c r="O12998" t="s">
        <v>31</v>
      </c>
      <c r="P12998" t="str">
        <f>"15225"</f>
        <v>15225</v>
      </c>
    </row>
    <row r="12999" spans="1:16" x14ac:dyDescent="0.25">
      <c r="A12999" t="str">
        <f>"1190016P00017    00"</f>
        <v>1190016P00017    00</v>
      </c>
      <c r="B12999" t="s">
        <v>28651</v>
      </c>
      <c r="C12999" t="s">
        <v>28648</v>
      </c>
      <c r="E12999" t="s">
        <v>39</v>
      </c>
      <c r="F12999">
        <v>0</v>
      </c>
      <c r="G12999">
        <v>0</v>
      </c>
      <c r="H12999">
        <v>1</v>
      </c>
      <c r="I12999" s="3">
        <v>35.24</v>
      </c>
      <c r="J12999" s="3">
        <v>0</v>
      </c>
      <c r="L12999">
        <v>1614</v>
      </c>
      <c r="M12999" t="s">
        <v>28652</v>
      </c>
      <c r="N12999" t="s">
        <v>30</v>
      </c>
      <c r="O12999" t="s">
        <v>31</v>
      </c>
      <c r="P12999" t="str">
        <f t="shared" ref="P12999:P13004" si="162">"15216"</f>
        <v>15216</v>
      </c>
    </row>
    <row r="13000" spans="1:16" x14ac:dyDescent="0.25">
      <c r="A13000" t="str">
        <f>"1190016P00018    00"</f>
        <v>1190016P00018    00</v>
      </c>
      <c r="B13000" t="s">
        <v>28651</v>
      </c>
      <c r="C13000" t="s">
        <v>28648</v>
      </c>
      <c r="E13000" t="s">
        <v>39</v>
      </c>
      <c r="F13000">
        <v>0</v>
      </c>
      <c r="G13000">
        <v>0</v>
      </c>
      <c r="H13000">
        <v>1</v>
      </c>
      <c r="I13000" s="3">
        <v>61.67</v>
      </c>
      <c r="J13000" s="3">
        <v>0</v>
      </c>
      <c r="L13000">
        <v>1614</v>
      </c>
      <c r="M13000" t="s">
        <v>28652</v>
      </c>
      <c r="N13000" t="s">
        <v>30</v>
      </c>
      <c r="O13000" t="s">
        <v>31</v>
      </c>
      <c r="P13000" t="str">
        <f t="shared" si="162"/>
        <v>15216</v>
      </c>
    </row>
    <row r="13001" spans="1:16" x14ac:dyDescent="0.25">
      <c r="A13001" t="str">
        <f>"1190016P00048    00"</f>
        <v>1190016P00048    00</v>
      </c>
      <c r="B13001" t="s">
        <v>28651</v>
      </c>
      <c r="C13001" t="s">
        <v>28599</v>
      </c>
      <c r="E13001" t="s">
        <v>39</v>
      </c>
      <c r="F13001">
        <v>0</v>
      </c>
      <c r="G13001">
        <v>0</v>
      </c>
      <c r="H13001">
        <v>1</v>
      </c>
      <c r="I13001" s="3">
        <v>52.86</v>
      </c>
      <c r="J13001" s="3">
        <v>0</v>
      </c>
      <c r="L13001">
        <v>1614</v>
      </c>
      <c r="M13001" t="s">
        <v>28652</v>
      </c>
      <c r="N13001" t="s">
        <v>30</v>
      </c>
      <c r="O13001" t="s">
        <v>31</v>
      </c>
      <c r="P13001" t="str">
        <f t="shared" si="162"/>
        <v>15216</v>
      </c>
    </row>
    <row r="13002" spans="1:16" x14ac:dyDescent="0.25">
      <c r="A13002" t="str">
        <f>"1190016P00049    00"</f>
        <v>1190016P00049    00</v>
      </c>
      <c r="B13002" t="s">
        <v>28651</v>
      </c>
      <c r="C13002" t="s">
        <v>28653</v>
      </c>
      <c r="E13002" t="s">
        <v>39</v>
      </c>
      <c r="F13002">
        <v>0</v>
      </c>
      <c r="G13002">
        <v>0</v>
      </c>
      <c r="H13002">
        <v>1</v>
      </c>
      <c r="I13002" s="3">
        <v>535.6</v>
      </c>
      <c r="J13002" s="3">
        <v>0</v>
      </c>
      <c r="K13002" t="s">
        <v>28654</v>
      </c>
      <c r="L13002">
        <v>1614</v>
      </c>
      <c r="M13002" t="s">
        <v>28652</v>
      </c>
      <c r="N13002" t="s">
        <v>30</v>
      </c>
      <c r="O13002" t="s">
        <v>31</v>
      </c>
      <c r="P13002" t="str">
        <f t="shared" si="162"/>
        <v>15216</v>
      </c>
    </row>
    <row r="13003" spans="1:16" x14ac:dyDescent="0.25">
      <c r="A13003" t="str">
        <f>"1190016P00050    00"</f>
        <v>1190016P00050    00</v>
      </c>
      <c r="B13003" t="s">
        <v>28651</v>
      </c>
      <c r="C13003" t="s">
        <v>28599</v>
      </c>
      <c r="E13003" t="s">
        <v>39</v>
      </c>
      <c r="F13003">
        <v>0</v>
      </c>
      <c r="G13003">
        <v>0</v>
      </c>
      <c r="H13003">
        <v>1</v>
      </c>
      <c r="I13003" s="3">
        <v>26.43</v>
      </c>
      <c r="J13003" s="3">
        <v>0</v>
      </c>
      <c r="L13003">
        <v>1614</v>
      </c>
      <c r="M13003" t="s">
        <v>28652</v>
      </c>
      <c r="N13003" t="s">
        <v>30</v>
      </c>
      <c r="O13003" t="s">
        <v>31</v>
      </c>
      <c r="P13003" t="str">
        <f t="shared" si="162"/>
        <v>15216</v>
      </c>
    </row>
    <row r="13004" spans="1:16" x14ac:dyDescent="0.25">
      <c r="A13004" t="str">
        <f>"1190016P00079    00"</f>
        <v>1190016P00079    00</v>
      </c>
      <c r="B13004" t="s">
        <v>28655</v>
      </c>
      <c r="C13004" t="s">
        <v>28656</v>
      </c>
      <c r="D13004" t="s">
        <v>20</v>
      </c>
      <c r="E13004" t="s">
        <v>39</v>
      </c>
      <c r="F13004">
        <v>0</v>
      </c>
      <c r="G13004">
        <v>0</v>
      </c>
      <c r="H13004">
        <v>5</v>
      </c>
      <c r="I13004" s="3">
        <v>1256.72</v>
      </c>
      <c r="J13004" s="3">
        <v>247.61</v>
      </c>
      <c r="L13004">
        <v>1331</v>
      </c>
      <c r="M13004" t="s">
        <v>28657</v>
      </c>
      <c r="N13004" t="s">
        <v>30</v>
      </c>
      <c r="O13004" t="s">
        <v>31</v>
      </c>
      <c r="P13004" t="str">
        <f t="shared" si="162"/>
        <v>15216</v>
      </c>
    </row>
    <row r="13005" spans="1:16" x14ac:dyDescent="0.25">
      <c r="A13005" t="str">
        <f>"1190016P00081    00"</f>
        <v>1190016P00081    00</v>
      </c>
      <c r="B13005" t="s">
        <v>28658</v>
      </c>
      <c r="C13005" t="s">
        <v>28599</v>
      </c>
      <c r="D13005" t="s">
        <v>57</v>
      </c>
      <c r="E13005" t="s">
        <v>39</v>
      </c>
      <c r="F13005">
        <v>0</v>
      </c>
      <c r="G13005">
        <v>0</v>
      </c>
      <c r="H13005">
        <v>1</v>
      </c>
      <c r="I13005" s="3">
        <v>304.95999999999998</v>
      </c>
      <c r="J13005" s="3">
        <v>0</v>
      </c>
      <c r="L13005">
        <v>949</v>
      </c>
      <c r="M13005" t="s">
        <v>28659</v>
      </c>
      <c r="N13005" t="s">
        <v>30</v>
      </c>
      <c r="O13005" t="s">
        <v>31</v>
      </c>
      <c r="P13005" t="str">
        <f>"15226"</f>
        <v>15226</v>
      </c>
    </row>
    <row r="13006" spans="1:16" x14ac:dyDescent="0.25">
      <c r="A13006" t="str">
        <f>"1190016P00083    00"</f>
        <v>1190016P00083    00</v>
      </c>
      <c r="B13006" t="s">
        <v>28660</v>
      </c>
      <c r="C13006" t="s">
        <v>28599</v>
      </c>
      <c r="E13006" t="s">
        <v>39</v>
      </c>
      <c r="F13006">
        <v>0</v>
      </c>
      <c r="G13006">
        <v>0</v>
      </c>
      <c r="H13006">
        <v>1</v>
      </c>
      <c r="I13006" s="3">
        <v>114.36</v>
      </c>
      <c r="J13006" s="3">
        <v>0</v>
      </c>
      <c r="K13006" t="s">
        <v>28661</v>
      </c>
      <c r="L13006">
        <v>1334</v>
      </c>
      <c r="M13006" t="s">
        <v>28657</v>
      </c>
      <c r="N13006" t="s">
        <v>30</v>
      </c>
      <c r="O13006" t="s">
        <v>31</v>
      </c>
      <c r="P13006" t="str">
        <f>"15216"</f>
        <v>15216</v>
      </c>
    </row>
    <row r="13007" spans="1:16" x14ac:dyDescent="0.25">
      <c r="A13007" t="str">
        <f>"1190016P00084    00"</f>
        <v>1190016P00084    00</v>
      </c>
      <c r="B13007" t="s">
        <v>28662</v>
      </c>
      <c r="C13007" t="s">
        <v>28599</v>
      </c>
      <c r="D13007" t="s">
        <v>20</v>
      </c>
      <c r="E13007" t="s">
        <v>39</v>
      </c>
      <c r="F13007">
        <v>0</v>
      </c>
      <c r="G13007">
        <v>0</v>
      </c>
      <c r="H13007">
        <v>14</v>
      </c>
      <c r="I13007" s="3">
        <v>6556.47</v>
      </c>
      <c r="J13007" s="3">
        <v>6823.98</v>
      </c>
      <c r="L13007">
        <v>1321</v>
      </c>
      <c r="M13007" t="s">
        <v>28657</v>
      </c>
      <c r="N13007" t="s">
        <v>30</v>
      </c>
      <c r="O13007" t="s">
        <v>31</v>
      </c>
      <c r="P13007" t="str">
        <f>"15216"</f>
        <v>15216</v>
      </c>
    </row>
    <row r="13008" spans="1:16" x14ac:dyDescent="0.25">
      <c r="A13008" t="str">
        <f>"1190016P00086    00"</f>
        <v>1190016P00086    00</v>
      </c>
      <c r="B13008" t="s">
        <v>28662</v>
      </c>
      <c r="C13008" t="s">
        <v>28663</v>
      </c>
      <c r="D13008" t="s">
        <v>20</v>
      </c>
      <c r="E13008" t="s">
        <v>39</v>
      </c>
      <c r="F13008">
        <v>0</v>
      </c>
      <c r="G13008">
        <v>0</v>
      </c>
      <c r="H13008">
        <v>10</v>
      </c>
      <c r="I13008" s="3">
        <v>6436.27</v>
      </c>
      <c r="J13008" s="3">
        <v>2755.88</v>
      </c>
      <c r="L13008">
        <v>1319</v>
      </c>
      <c r="M13008" t="s">
        <v>28664</v>
      </c>
      <c r="N13008" t="s">
        <v>30</v>
      </c>
      <c r="O13008" t="s">
        <v>31</v>
      </c>
      <c r="P13008" t="str">
        <f>"15216"</f>
        <v>15216</v>
      </c>
    </row>
    <row r="13009" spans="1:16" x14ac:dyDescent="0.25">
      <c r="A13009" t="str">
        <f>"1190016P00087    00"</f>
        <v>1190016P00087    00</v>
      </c>
      <c r="B13009" t="s">
        <v>28662</v>
      </c>
      <c r="C13009" t="s">
        <v>28599</v>
      </c>
      <c r="D13009" t="s">
        <v>20</v>
      </c>
      <c r="E13009" t="s">
        <v>39</v>
      </c>
      <c r="F13009">
        <v>0</v>
      </c>
      <c r="G13009">
        <v>0</v>
      </c>
      <c r="H13009">
        <v>10</v>
      </c>
      <c r="I13009" s="3">
        <v>1109.7</v>
      </c>
      <c r="J13009" s="3">
        <v>475.15</v>
      </c>
      <c r="L13009">
        <v>1319</v>
      </c>
      <c r="M13009" t="s">
        <v>28664</v>
      </c>
      <c r="N13009" t="s">
        <v>30</v>
      </c>
      <c r="O13009" t="s">
        <v>31</v>
      </c>
      <c r="P13009" t="str">
        <f>"15216"</f>
        <v>15216</v>
      </c>
    </row>
    <row r="13010" spans="1:16" x14ac:dyDescent="0.25">
      <c r="A13010" t="str">
        <f>"1190016P00088    00"</f>
        <v>1190016P00088    00</v>
      </c>
      <c r="B13010" t="s">
        <v>28665</v>
      </c>
      <c r="C13010" t="s">
        <v>28599</v>
      </c>
      <c r="D13010" t="s">
        <v>20</v>
      </c>
      <c r="E13010" t="s">
        <v>39</v>
      </c>
      <c r="F13010">
        <v>0</v>
      </c>
      <c r="G13010">
        <v>0</v>
      </c>
      <c r="H13010">
        <v>1</v>
      </c>
      <c r="I13010" s="3">
        <v>114.36</v>
      </c>
      <c r="J13010" s="3">
        <v>0</v>
      </c>
      <c r="L13010">
        <v>612</v>
      </c>
      <c r="M13010" t="s">
        <v>28666</v>
      </c>
      <c r="N13010" t="s">
        <v>1474</v>
      </c>
      <c r="O13010" t="s">
        <v>31</v>
      </c>
      <c r="P13010" t="str">
        <f>"15017"</f>
        <v>15017</v>
      </c>
    </row>
    <row r="13011" spans="1:16" x14ac:dyDescent="0.25">
      <c r="A13011" t="str">
        <f>"1190016P00089    00"</f>
        <v>1190016P00089    00</v>
      </c>
      <c r="B13011" t="s">
        <v>28667</v>
      </c>
      <c r="C13011" t="s">
        <v>28599</v>
      </c>
      <c r="D13011" t="s">
        <v>20</v>
      </c>
      <c r="E13011" t="s">
        <v>39</v>
      </c>
      <c r="F13011">
        <v>0</v>
      </c>
      <c r="G13011">
        <v>0</v>
      </c>
      <c r="H13011">
        <v>1</v>
      </c>
      <c r="I13011" s="3">
        <v>114.36</v>
      </c>
      <c r="J13011" s="3">
        <v>0</v>
      </c>
      <c r="L13011">
        <v>612</v>
      </c>
      <c r="M13011" t="s">
        <v>28666</v>
      </c>
      <c r="N13011" t="s">
        <v>1474</v>
      </c>
      <c r="O13011" t="s">
        <v>31</v>
      </c>
      <c r="P13011" t="str">
        <f>"15017"</f>
        <v>15017</v>
      </c>
    </row>
    <row r="13012" spans="1:16" x14ac:dyDescent="0.25">
      <c r="A13012" t="str">
        <f>"1190016P00090    00"</f>
        <v>1190016P00090    00</v>
      </c>
      <c r="B13012" t="s">
        <v>28667</v>
      </c>
      <c r="C13012" t="s">
        <v>28668</v>
      </c>
      <c r="E13012" t="s">
        <v>39</v>
      </c>
      <c r="F13012">
        <v>0</v>
      </c>
      <c r="G13012">
        <v>0</v>
      </c>
      <c r="H13012">
        <v>1</v>
      </c>
      <c r="I13012" s="3">
        <v>1041.08</v>
      </c>
      <c r="J13012" s="3">
        <v>0</v>
      </c>
      <c r="K13012" t="s">
        <v>28669</v>
      </c>
      <c r="L13012">
        <v>316</v>
      </c>
      <c r="M13012" t="s">
        <v>28670</v>
      </c>
      <c r="N13012" t="s">
        <v>541</v>
      </c>
      <c r="O13012" t="s">
        <v>31</v>
      </c>
      <c r="P13012" t="str">
        <f>"15071"</f>
        <v>15071</v>
      </c>
    </row>
    <row r="13013" spans="1:16" x14ac:dyDescent="0.25">
      <c r="A13013" t="str">
        <f>"1190016P00107    00"</f>
        <v>1190016P00107    00</v>
      </c>
      <c r="B13013" t="s">
        <v>28671</v>
      </c>
      <c r="C13013" t="s">
        <v>28672</v>
      </c>
      <c r="D13013" t="s">
        <v>20</v>
      </c>
      <c r="E13013" t="s">
        <v>39</v>
      </c>
      <c r="F13013">
        <v>0</v>
      </c>
      <c r="G13013">
        <v>0</v>
      </c>
      <c r="H13013">
        <v>1</v>
      </c>
      <c r="I13013" s="3">
        <v>454.1</v>
      </c>
      <c r="J13013" s="3">
        <v>0</v>
      </c>
      <c r="L13013">
        <v>1310</v>
      </c>
      <c r="M13013" t="s">
        <v>27125</v>
      </c>
      <c r="N13013" t="s">
        <v>30</v>
      </c>
      <c r="O13013" t="s">
        <v>31</v>
      </c>
      <c r="P13013" t="str">
        <f>"15216"</f>
        <v>15216</v>
      </c>
    </row>
    <row r="13014" spans="1:16" x14ac:dyDescent="0.25">
      <c r="A13014" t="str">
        <f>"1190016P00117    00"</f>
        <v>1190016P00117    00</v>
      </c>
      <c r="B13014" t="s">
        <v>28673</v>
      </c>
      <c r="C13014" t="s">
        <v>28674</v>
      </c>
      <c r="E13014" t="s">
        <v>39</v>
      </c>
      <c r="F13014">
        <v>0</v>
      </c>
      <c r="G13014">
        <v>0</v>
      </c>
      <c r="H13014">
        <v>1</v>
      </c>
      <c r="I13014" s="3">
        <v>110.37</v>
      </c>
      <c r="J13014" s="3">
        <v>24.82</v>
      </c>
      <c r="L13014">
        <v>1332</v>
      </c>
      <c r="M13014" t="s">
        <v>27125</v>
      </c>
      <c r="N13014" t="s">
        <v>30</v>
      </c>
      <c r="O13014" t="s">
        <v>31</v>
      </c>
      <c r="P13014" t="str">
        <f>"15216"</f>
        <v>15216</v>
      </c>
    </row>
    <row r="13015" spans="1:16" x14ac:dyDescent="0.25">
      <c r="A13015" t="str">
        <f>"1190016P00123    00"</f>
        <v>1190016P00123    00</v>
      </c>
      <c r="B13015" t="s">
        <v>28675</v>
      </c>
      <c r="C13015" t="s">
        <v>28676</v>
      </c>
      <c r="D13015" t="s">
        <v>20</v>
      </c>
      <c r="E13015" t="s">
        <v>39</v>
      </c>
      <c r="F13015">
        <v>0</v>
      </c>
      <c r="G13015">
        <v>0</v>
      </c>
      <c r="H13015">
        <v>7</v>
      </c>
      <c r="I13015" s="3">
        <v>7197.42</v>
      </c>
      <c r="J13015" s="3">
        <v>1764.99</v>
      </c>
      <c r="K13015" t="s">
        <v>28677</v>
      </c>
      <c r="L13015">
        <v>1340</v>
      </c>
      <c r="M13015" t="s">
        <v>27125</v>
      </c>
      <c r="N13015" t="s">
        <v>30</v>
      </c>
      <c r="O13015" t="s">
        <v>31</v>
      </c>
      <c r="P13015" t="str">
        <f>"15216"</f>
        <v>15216</v>
      </c>
    </row>
    <row r="13016" spans="1:16" x14ac:dyDescent="0.25">
      <c r="A13016" t="str">
        <f>"1190016P00167    00"</f>
        <v>1190016P00167    00</v>
      </c>
      <c r="B13016" t="s">
        <v>28678</v>
      </c>
      <c r="C13016" t="s">
        <v>28679</v>
      </c>
      <c r="D13016" t="s">
        <v>20</v>
      </c>
      <c r="E13016" t="s">
        <v>39</v>
      </c>
      <c r="F13016">
        <v>0</v>
      </c>
      <c r="G13016">
        <v>0</v>
      </c>
      <c r="H13016">
        <v>14</v>
      </c>
      <c r="I13016" s="3">
        <v>300.95</v>
      </c>
      <c r="J13016" s="3">
        <v>200.88</v>
      </c>
      <c r="P13016" t="str">
        <f>""</f>
        <v/>
      </c>
    </row>
    <row r="13017" spans="1:16" x14ac:dyDescent="0.25">
      <c r="A13017" t="str">
        <f>"1190016P00181    00"</f>
        <v>1190016P00181    00</v>
      </c>
      <c r="B13017" t="s">
        <v>28680</v>
      </c>
      <c r="C13017" t="s">
        <v>28681</v>
      </c>
      <c r="D13017" t="s">
        <v>20</v>
      </c>
      <c r="E13017" t="s">
        <v>39</v>
      </c>
      <c r="F13017">
        <v>0</v>
      </c>
      <c r="G13017">
        <v>0</v>
      </c>
      <c r="H13017">
        <v>2</v>
      </c>
      <c r="I13017" s="3">
        <v>1700.16</v>
      </c>
      <c r="J13017" s="3">
        <v>0</v>
      </c>
      <c r="L13017">
        <v>1324</v>
      </c>
      <c r="M13017" t="s">
        <v>23923</v>
      </c>
      <c r="N13017" t="s">
        <v>30</v>
      </c>
      <c r="O13017" t="s">
        <v>31</v>
      </c>
      <c r="P13017" t="str">
        <f>"15216"</f>
        <v>15216</v>
      </c>
    </row>
    <row r="13018" spans="1:16" x14ac:dyDescent="0.25">
      <c r="A13018" t="str">
        <f>"1190016P00193    00"</f>
        <v>1190016P00193    00</v>
      </c>
      <c r="B13018" t="s">
        <v>1965</v>
      </c>
      <c r="C13018" t="s">
        <v>28682</v>
      </c>
      <c r="D13018" t="s">
        <v>20</v>
      </c>
      <c r="E13018" t="s">
        <v>39</v>
      </c>
      <c r="F13018">
        <v>0</v>
      </c>
      <c r="G13018">
        <v>0</v>
      </c>
      <c r="H13018">
        <v>5</v>
      </c>
      <c r="I13018" s="3">
        <v>5962.92</v>
      </c>
      <c r="J13018" s="3">
        <v>1030.18</v>
      </c>
      <c r="L13018">
        <v>1556</v>
      </c>
      <c r="M13018" t="s">
        <v>14332</v>
      </c>
      <c r="N13018" t="s">
        <v>30</v>
      </c>
      <c r="O13018" t="s">
        <v>31</v>
      </c>
      <c r="P13018" t="str">
        <f>"15216"</f>
        <v>15216</v>
      </c>
    </row>
    <row r="13019" spans="1:16" x14ac:dyDescent="0.25">
      <c r="A13019" t="str">
        <f>"1190016P00209    00"</f>
        <v>1190016P00209    00</v>
      </c>
      <c r="B13019" t="s">
        <v>28683</v>
      </c>
      <c r="C13019" t="s">
        <v>28684</v>
      </c>
      <c r="D13019" t="s">
        <v>20</v>
      </c>
      <c r="E13019" t="s">
        <v>39</v>
      </c>
      <c r="F13019">
        <v>0</v>
      </c>
      <c r="G13019">
        <v>0</v>
      </c>
      <c r="H13019">
        <v>6</v>
      </c>
      <c r="I13019" s="3">
        <v>4071.94</v>
      </c>
      <c r="J13019" s="3">
        <v>912.11</v>
      </c>
      <c r="K13019" t="s">
        <v>28685</v>
      </c>
      <c r="L13019">
        <v>1339</v>
      </c>
      <c r="M13019" t="s">
        <v>23923</v>
      </c>
      <c r="N13019" t="s">
        <v>30</v>
      </c>
      <c r="O13019" t="s">
        <v>31</v>
      </c>
      <c r="P13019" t="str">
        <f>"15216"</f>
        <v>15216</v>
      </c>
    </row>
    <row r="13020" spans="1:16" x14ac:dyDescent="0.25">
      <c r="A13020" t="str">
        <f>"1190016P00219    00"</f>
        <v>1190016P00219    00</v>
      </c>
      <c r="B13020" t="s">
        <v>28686</v>
      </c>
      <c r="C13020" t="s">
        <v>28687</v>
      </c>
      <c r="D13020" t="s">
        <v>20</v>
      </c>
      <c r="E13020" t="s">
        <v>39</v>
      </c>
      <c r="F13020">
        <v>0</v>
      </c>
      <c r="G13020">
        <v>0</v>
      </c>
      <c r="H13020">
        <v>1</v>
      </c>
      <c r="I13020" s="3">
        <v>783.85</v>
      </c>
      <c r="J13020" s="3">
        <v>0</v>
      </c>
      <c r="L13020">
        <v>1317</v>
      </c>
      <c r="M13020" t="s">
        <v>23923</v>
      </c>
      <c r="N13020" t="s">
        <v>30</v>
      </c>
      <c r="O13020" t="s">
        <v>31</v>
      </c>
      <c r="P13020" t="str">
        <f>"15216"</f>
        <v>15216</v>
      </c>
    </row>
    <row r="13021" spans="1:16" x14ac:dyDescent="0.25">
      <c r="A13021" t="str">
        <f>"1190016P00225    00"</f>
        <v>1190016P00225    00</v>
      </c>
      <c r="B13021" t="s">
        <v>28688</v>
      </c>
      <c r="C13021" t="s">
        <v>28689</v>
      </c>
      <c r="D13021" t="s">
        <v>20</v>
      </c>
      <c r="E13021" t="s">
        <v>39</v>
      </c>
      <c r="F13021">
        <v>0</v>
      </c>
      <c r="G13021">
        <v>0</v>
      </c>
      <c r="H13021">
        <v>2</v>
      </c>
      <c r="I13021" s="3">
        <v>4063.58</v>
      </c>
      <c r="J13021" s="3">
        <v>0</v>
      </c>
      <c r="K13021" t="s">
        <v>28690</v>
      </c>
      <c r="L13021">
        <v>9800</v>
      </c>
      <c r="M13021" t="s">
        <v>28691</v>
      </c>
      <c r="N13021" t="s">
        <v>30</v>
      </c>
      <c r="O13021" t="s">
        <v>31</v>
      </c>
      <c r="P13021" t="str">
        <f>"15237"</f>
        <v>15237</v>
      </c>
    </row>
    <row r="13022" spans="1:16" x14ac:dyDescent="0.25">
      <c r="A13022" t="str">
        <f>"1190016P00226    00"</f>
        <v>1190016P00226    00</v>
      </c>
      <c r="B13022" t="s">
        <v>28692</v>
      </c>
      <c r="C13022" t="s">
        <v>28679</v>
      </c>
      <c r="D13022" t="s">
        <v>20</v>
      </c>
      <c r="E13022" t="s">
        <v>39</v>
      </c>
      <c r="F13022">
        <v>0</v>
      </c>
      <c r="G13022">
        <v>0</v>
      </c>
      <c r="H13022">
        <v>16</v>
      </c>
      <c r="I13022" s="3">
        <v>5152.68</v>
      </c>
      <c r="J13022" s="3">
        <v>3306.04</v>
      </c>
      <c r="L13022">
        <v>2207</v>
      </c>
      <c r="M13022" t="s">
        <v>28693</v>
      </c>
      <c r="N13022" t="s">
        <v>3934</v>
      </c>
      <c r="O13022" t="s">
        <v>31</v>
      </c>
      <c r="P13022" t="str">
        <f>"15102"</f>
        <v>15102</v>
      </c>
    </row>
    <row r="13023" spans="1:16" x14ac:dyDescent="0.25">
      <c r="A13023" t="str">
        <f>"1190016P00234    00"</f>
        <v>1190016P00234    00</v>
      </c>
      <c r="B13023" t="s">
        <v>28694</v>
      </c>
      <c r="C13023" t="s">
        <v>28695</v>
      </c>
      <c r="D13023" t="s">
        <v>20</v>
      </c>
      <c r="E13023" t="s">
        <v>39</v>
      </c>
      <c r="F13023">
        <v>0</v>
      </c>
      <c r="G13023">
        <v>0</v>
      </c>
      <c r="H13023">
        <v>1</v>
      </c>
      <c r="I13023" s="3">
        <v>2458.7600000000002</v>
      </c>
      <c r="J13023" s="3">
        <v>0</v>
      </c>
      <c r="K13023" t="s">
        <v>28696</v>
      </c>
      <c r="L13023">
        <v>1676</v>
      </c>
      <c r="M13023" t="s">
        <v>28697</v>
      </c>
      <c r="N13023" t="s">
        <v>30</v>
      </c>
      <c r="O13023" t="s">
        <v>31</v>
      </c>
      <c r="P13023" t="str">
        <f>"15227"</f>
        <v>15227</v>
      </c>
    </row>
    <row r="13024" spans="1:16" x14ac:dyDescent="0.25">
      <c r="A13024" t="str">
        <f>"1190016P00260    00"</f>
        <v>1190016P00260    00</v>
      </c>
      <c r="B13024" t="s">
        <v>28698</v>
      </c>
      <c r="C13024" t="s">
        <v>28699</v>
      </c>
      <c r="D13024" t="s">
        <v>20</v>
      </c>
      <c r="E13024" t="s">
        <v>39</v>
      </c>
      <c r="F13024">
        <v>0</v>
      </c>
      <c r="G13024">
        <v>0</v>
      </c>
      <c r="H13024">
        <v>18</v>
      </c>
      <c r="I13024" s="3">
        <v>5496.06</v>
      </c>
      <c r="J13024" s="3">
        <v>4857.26</v>
      </c>
      <c r="L13024">
        <v>33451</v>
      </c>
      <c r="M13024" t="s">
        <v>28700</v>
      </c>
      <c r="N13024" t="s">
        <v>28701</v>
      </c>
      <c r="O13024" t="s">
        <v>495</v>
      </c>
      <c r="P13024" t="str">
        <f>"94587"</f>
        <v>94587</v>
      </c>
    </row>
    <row r="13025" spans="1:16" x14ac:dyDescent="0.25">
      <c r="A13025" t="str">
        <f>"1190016P00262    00"</f>
        <v>1190016P00262    00</v>
      </c>
      <c r="B13025" t="s">
        <v>28702</v>
      </c>
      <c r="C13025" t="s">
        <v>28703</v>
      </c>
      <c r="D13025" t="s">
        <v>20</v>
      </c>
      <c r="E13025" t="s">
        <v>39</v>
      </c>
      <c r="F13025">
        <v>0</v>
      </c>
      <c r="G13025">
        <v>0</v>
      </c>
      <c r="H13025">
        <v>1</v>
      </c>
      <c r="I13025" s="3">
        <v>654.59</v>
      </c>
      <c r="J13025" s="3">
        <v>0</v>
      </c>
      <c r="L13025">
        <v>1406</v>
      </c>
      <c r="M13025" t="s">
        <v>14332</v>
      </c>
      <c r="N13025" t="s">
        <v>30</v>
      </c>
      <c r="O13025" t="s">
        <v>31</v>
      </c>
      <c r="P13025" t="str">
        <f>"15216"</f>
        <v>15216</v>
      </c>
    </row>
    <row r="13026" spans="1:16" x14ac:dyDescent="0.25">
      <c r="A13026" t="str">
        <f>"1190016P00281    00"</f>
        <v>1190016P00281    00</v>
      </c>
      <c r="B13026" t="s">
        <v>28704</v>
      </c>
      <c r="C13026" t="s">
        <v>28705</v>
      </c>
      <c r="E13026" t="s">
        <v>39</v>
      </c>
      <c r="F13026">
        <v>0</v>
      </c>
      <c r="G13026">
        <v>0</v>
      </c>
      <c r="H13026">
        <v>3</v>
      </c>
      <c r="I13026" s="3">
        <v>2478.66</v>
      </c>
      <c r="J13026" s="3">
        <v>41.11</v>
      </c>
      <c r="K13026" t="s">
        <v>28706</v>
      </c>
      <c r="L13026">
        <v>1327</v>
      </c>
      <c r="M13026" t="s">
        <v>14332</v>
      </c>
      <c r="N13026" t="s">
        <v>30</v>
      </c>
      <c r="O13026" t="s">
        <v>31</v>
      </c>
      <c r="P13026" t="str">
        <f>"15216"</f>
        <v>15216</v>
      </c>
    </row>
    <row r="13027" spans="1:16" x14ac:dyDescent="0.25">
      <c r="A13027" t="str">
        <f>"1190016P00292    00"</f>
        <v>1190016P00292    00</v>
      </c>
      <c r="B13027" t="s">
        <v>28707</v>
      </c>
      <c r="C13027" t="s">
        <v>28708</v>
      </c>
      <c r="D13027" t="s">
        <v>20</v>
      </c>
      <c r="E13027" t="s">
        <v>39</v>
      </c>
      <c r="F13027">
        <v>0</v>
      </c>
      <c r="G13027">
        <v>0</v>
      </c>
      <c r="H13027">
        <v>1</v>
      </c>
      <c r="I13027" s="3">
        <v>554.01</v>
      </c>
      <c r="J13027" s="3">
        <v>0</v>
      </c>
      <c r="L13027">
        <v>1309</v>
      </c>
      <c r="M13027" t="s">
        <v>14332</v>
      </c>
      <c r="N13027" t="s">
        <v>30</v>
      </c>
      <c r="O13027" t="s">
        <v>31</v>
      </c>
      <c r="P13027" t="str">
        <f>"15216"</f>
        <v>15216</v>
      </c>
    </row>
    <row r="13028" spans="1:16" x14ac:dyDescent="0.25">
      <c r="A13028" t="str">
        <f>"1190016P00295    00"</f>
        <v>1190016P00295    00</v>
      </c>
      <c r="B13028" t="s">
        <v>28709</v>
      </c>
      <c r="C13028" t="s">
        <v>28710</v>
      </c>
      <c r="E13028" t="s">
        <v>39</v>
      </c>
      <c r="F13028">
        <v>0</v>
      </c>
      <c r="G13028">
        <v>0</v>
      </c>
      <c r="H13028">
        <v>1</v>
      </c>
      <c r="I13028" s="3">
        <v>13.24</v>
      </c>
      <c r="J13028" s="3">
        <v>0</v>
      </c>
      <c r="K13028" t="s">
        <v>1722</v>
      </c>
      <c r="M13028" t="s">
        <v>1723</v>
      </c>
      <c r="N13028" t="s">
        <v>410</v>
      </c>
      <c r="O13028" t="s">
        <v>31</v>
      </c>
      <c r="P13028" t="str">
        <f>"15701"</f>
        <v>15701</v>
      </c>
    </row>
    <row r="13029" spans="1:16" x14ac:dyDescent="0.25">
      <c r="A13029" t="str">
        <f>"1190016R00016    00"</f>
        <v>1190016R00016    00</v>
      </c>
      <c r="B13029" t="s">
        <v>28711</v>
      </c>
      <c r="C13029" t="s">
        <v>28712</v>
      </c>
      <c r="D13029" t="s">
        <v>20</v>
      </c>
      <c r="E13029" t="s">
        <v>39</v>
      </c>
      <c r="F13029">
        <v>0</v>
      </c>
      <c r="G13029">
        <v>0</v>
      </c>
      <c r="H13029">
        <v>10</v>
      </c>
      <c r="I13029" s="3">
        <v>3942.78</v>
      </c>
      <c r="J13029" s="3">
        <v>1944.22</v>
      </c>
      <c r="L13029">
        <v>1330</v>
      </c>
      <c r="M13029" t="s">
        <v>27551</v>
      </c>
      <c r="N13029" t="s">
        <v>30</v>
      </c>
      <c r="O13029" t="s">
        <v>31</v>
      </c>
      <c r="P13029" t="str">
        <f>"15216"</f>
        <v>15216</v>
      </c>
    </row>
    <row r="13030" spans="1:16" x14ac:dyDescent="0.25">
      <c r="A13030" t="str">
        <f>"1190016R00028    00"</f>
        <v>1190016R00028    00</v>
      </c>
      <c r="B13030" t="s">
        <v>28713</v>
      </c>
      <c r="C13030" t="s">
        <v>28625</v>
      </c>
      <c r="D13030" t="s">
        <v>20</v>
      </c>
      <c r="E13030" t="s">
        <v>39</v>
      </c>
      <c r="F13030">
        <v>0</v>
      </c>
      <c r="G13030">
        <v>0</v>
      </c>
      <c r="H13030">
        <v>2</v>
      </c>
      <c r="I13030" s="3">
        <v>192.31</v>
      </c>
      <c r="J13030" s="3">
        <v>0</v>
      </c>
      <c r="K13030" t="s">
        <v>2302</v>
      </c>
      <c r="L13030">
        <v>3001</v>
      </c>
      <c r="M13030" t="s">
        <v>330</v>
      </c>
      <c r="N13030" t="s">
        <v>331</v>
      </c>
      <c r="O13030" t="s">
        <v>108</v>
      </c>
      <c r="P13030" t="str">
        <f>"75063"</f>
        <v>75063</v>
      </c>
    </row>
    <row r="13031" spans="1:16" x14ac:dyDescent="0.25">
      <c r="A13031" t="str">
        <f>"1190016R00029    00"</f>
        <v>1190016R00029    00</v>
      </c>
      <c r="B13031" t="s">
        <v>28713</v>
      </c>
      <c r="C13031" t="s">
        <v>28625</v>
      </c>
      <c r="D13031" t="s">
        <v>20</v>
      </c>
      <c r="E13031" t="s">
        <v>39</v>
      </c>
      <c r="F13031">
        <v>0</v>
      </c>
      <c r="G13031">
        <v>0</v>
      </c>
      <c r="H13031">
        <v>2</v>
      </c>
      <c r="I13031" s="3">
        <v>192.31</v>
      </c>
      <c r="J13031" s="3">
        <v>0</v>
      </c>
      <c r="K13031" t="s">
        <v>2302</v>
      </c>
      <c r="L13031">
        <v>3001</v>
      </c>
      <c r="M13031" t="s">
        <v>330</v>
      </c>
      <c r="N13031" t="s">
        <v>331</v>
      </c>
      <c r="O13031" t="s">
        <v>108</v>
      </c>
      <c r="P13031" t="str">
        <f>"75063"</f>
        <v>75063</v>
      </c>
    </row>
    <row r="13032" spans="1:16" x14ac:dyDescent="0.25">
      <c r="A13032" t="str">
        <f>"1190016R00030    00"</f>
        <v>1190016R00030    00</v>
      </c>
      <c r="B13032" t="s">
        <v>28713</v>
      </c>
      <c r="C13032" t="s">
        <v>28714</v>
      </c>
      <c r="D13032" t="s">
        <v>20</v>
      </c>
      <c r="E13032" t="s">
        <v>39</v>
      </c>
      <c r="F13032">
        <v>0</v>
      </c>
      <c r="G13032">
        <v>0</v>
      </c>
      <c r="H13032">
        <v>2</v>
      </c>
      <c r="I13032" s="3">
        <v>1960.16</v>
      </c>
      <c r="J13032" s="3">
        <v>0</v>
      </c>
      <c r="K13032" t="s">
        <v>2302</v>
      </c>
      <c r="L13032">
        <v>3001</v>
      </c>
      <c r="M13032" t="s">
        <v>330</v>
      </c>
      <c r="N13032" t="s">
        <v>331</v>
      </c>
      <c r="O13032" t="s">
        <v>108</v>
      </c>
      <c r="P13032" t="str">
        <f>"75063"</f>
        <v>75063</v>
      </c>
    </row>
    <row r="13033" spans="1:16" x14ac:dyDescent="0.25">
      <c r="A13033" t="str">
        <f>"1190016R00049    00"</f>
        <v>1190016R00049    00</v>
      </c>
      <c r="B13033" t="s">
        <v>28715</v>
      </c>
      <c r="C13033" t="s">
        <v>28716</v>
      </c>
      <c r="D13033" t="s">
        <v>20</v>
      </c>
      <c r="E13033" t="s">
        <v>39</v>
      </c>
      <c r="F13033">
        <v>0</v>
      </c>
      <c r="G13033">
        <v>0</v>
      </c>
      <c r="H13033">
        <v>4</v>
      </c>
      <c r="I13033" s="3">
        <v>5770.76</v>
      </c>
      <c r="J13033" s="3">
        <v>885.08</v>
      </c>
      <c r="L13033">
        <v>1051</v>
      </c>
      <c r="M13033" t="s">
        <v>28717</v>
      </c>
      <c r="N13033" t="s">
        <v>30</v>
      </c>
      <c r="O13033" t="s">
        <v>31</v>
      </c>
      <c r="P13033" t="str">
        <f>"15202"</f>
        <v>15202</v>
      </c>
    </row>
    <row r="13034" spans="1:16" x14ac:dyDescent="0.25">
      <c r="A13034" t="str">
        <f>"1190016R00057    00"</f>
        <v>1190016R00057    00</v>
      </c>
      <c r="B13034" t="s">
        <v>28718</v>
      </c>
      <c r="C13034" t="s">
        <v>28719</v>
      </c>
      <c r="D13034" t="s">
        <v>20</v>
      </c>
      <c r="E13034" t="s">
        <v>39</v>
      </c>
      <c r="F13034">
        <v>0</v>
      </c>
      <c r="G13034">
        <v>0</v>
      </c>
      <c r="H13034">
        <v>5</v>
      </c>
      <c r="I13034" s="3">
        <v>6727.55</v>
      </c>
      <c r="J13034" s="3">
        <v>992.4</v>
      </c>
      <c r="L13034">
        <v>1401</v>
      </c>
      <c r="M13034" t="s">
        <v>27551</v>
      </c>
      <c r="N13034" t="s">
        <v>30</v>
      </c>
      <c r="O13034" t="s">
        <v>31</v>
      </c>
      <c r="P13034" t="str">
        <f>"15216"</f>
        <v>15216</v>
      </c>
    </row>
    <row r="13035" spans="1:16" x14ac:dyDescent="0.25">
      <c r="A13035" t="str">
        <f>"1190016R00058    00"</f>
        <v>1190016R00058    00</v>
      </c>
      <c r="B13035" t="s">
        <v>28718</v>
      </c>
      <c r="C13035" t="s">
        <v>28719</v>
      </c>
      <c r="D13035" t="s">
        <v>20</v>
      </c>
      <c r="E13035" t="s">
        <v>39</v>
      </c>
      <c r="F13035">
        <v>0</v>
      </c>
      <c r="G13035">
        <v>0</v>
      </c>
      <c r="H13035">
        <v>3</v>
      </c>
      <c r="I13035" s="3">
        <v>769.12</v>
      </c>
      <c r="J13035" s="3">
        <v>43.78</v>
      </c>
      <c r="K13035" t="s">
        <v>28720</v>
      </c>
      <c r="L13035">
        <v>1120</v>
      </c>
      <c r="M13035" t="s">
        <v>28567</v>
      </c>
      <c r="N13035" t="s">
        <v>30</v>
      </c>
      <c r="O13035" t="s">
        <v>31</v>
      </c>
      <c r="P13035" t="str">
        <f>"15216"</f>
        <v>15216</v>
      </c>
    </row>
    <row r="13036" spans="1:16" x14ac:dyDescent="0.25">
      <c r="A13036" t="str">
        <f>"1190016R00067    00"</f>
        <v>1190016R00067    00</v>
      </c>
      <c r="B13036" t="s">
        <v>28721</v>
      </c>
      <c r="C13036" t="s">
        <v>28722</v>
      </c>
      <c r="D13036" t="s">
        <v>20</v>
      </c>
      <c r="E13036" t="s">
        <v>39</v>
      </c>
      <c r="F13036">
        <v>0</v>
      </c>
      <c r="G13036">
        <v>0</v>
      </c>
      <c r="H13036">
        <v>1</v>
      </c>
      <c r="I13036" s="3">
        <v>124.28</v>
      </c>
      <c r="J13036" s="3">
        <v>0</v>
      </c>
      <c r="L13036">
        <v>939</v>
      </c>
      <c r="M13036" t="s">
        <v>28723</v>
      </c>
      <c r="N13036" t="s">
        <v>30</v>
      </c>
      <c r="O13036" t="s">
        <v>31</v>
      </c>
      <c r="P13036" t="str">
        <f>"15243"</f>
        <v>15243</v>
      </c>
    </row>
    <row r="13037" spans="1:16" x14ac:dyDescent="0.25">
      <c r="A13037" t="str">
        <f>"1190016R00070    00"</f>
        <v>1190016R00070    00</v>
      </c>
      <c r="B13037" t="s">
        <v>28724</v>
      </c>
      <c r="C13037" t="s">
        <v>28725</v>
      </c>
      <c r="D13037" t="s">
        <v>20</v>
      </c>
      <c r="E13037" t="s">
        <v>39</v>
      </c>
      <c r="F13037">
        <v>0</v>
      </c>
      <c r="G13037">
        <v>0</v>
      </c>
      <c r="H13037">
        <v>1</v>
      </c>
      <c r="I13037" s="3">
        <v>825.76</v>
      </c>
      <c r="J13037" s="3">
        <v>0</v>
      </c>
      <c r="L13037">
        <v>819</v>
      </c>
      <c r="M13037" t="s">
        <v>28726</v>
      </c>
      <c r="N13037" t="s">
        <v>30</v>
      </c>
      <c r="O13037" t="s">
        <v>31</v>
      </c>
      <c r="P13037" t="str">
        <f>"15226"</f>
        <v>15226</v>
      </c>
    </row>
    <row r="13038" spans="1:16" x14ac:dyDescent="0.25">
      <c r="A13038" t="str">
        <f>"1190016R00075    00"</f>
        <v>1190016R00075    00</v>
      </c>
      <c r="B13038" t="s">
        <v>28727</v>
      </c>
      <c r="C13038" t="s">
        <v>28728</v>
      </c>
      <c r="E13038" t="s">
        <v>39</v>
      </c>
      <c r="F13038">
        <v>0</v>
      </c>
      <c r="G13038">
        <v>0</v>
      </c>
      <c r="H13038">
        <v>1</v>
      </c>
      <c r="I13038" s="3">
        <v>817.68</v>
      </c>
      <c r="J13038" s="3">
        <v>0</v>
      </c>
      <c r="K13038" t="s">
        <v>28729</v>
      </c>
      <c r="L13038">
        <v>1252</v>
      </c>
      <c r="M13038" t="s">
        <v>25827</v>
      </c>
      <c r="N13038" t="s">
        <v>30</v>
      </c>
      <c r="O13038" t="s">
        <v>31</v>
      </c>
      <c r="P13038" t="str">
        <f>"15216"</f>
        <v>15216</v>
      </c>
    </row>
    <row r="13039" spans="1:16" x14ac:dyDescent="0.25">
      <c r="A13039" t="str">
        <f>"1190016R00106    00"</f>
        <v>1190016R00106    00</v>
      </c>
      <c r="B13039" t="s">
        <v>28730</v>
      </c>
      <c r="C13039" t="s">
        <v>28731</v>
      </c>
      <c r="D13039" t="s">
        <v>20</v>
      </c>
      <c r="E13039" t="s">
        <v>39</v>
      </c>
      <c r="F13039">
        <v>0</v>
      </c>
      <c r="G13039">
        <v>0</v>
      </c>
      <c r="H13039">
        <v>2</v>
      </c>
      <c r="I13039" s="3">
        <v>352.42</v>
      </c>
      <c r="J13039" s="3">
        <v>0</v>
      </c>
      <c r="L13039">
        <v>1231</v>
      </c>
      <c r="M13039" t="s">
        <v>25827</v>
      </c>
      <c r="N13039" t="s">
        <v>30</v>
      </c>
      <c r="O13039" t="s">
        <v>31</v>
      </c>
      <c r="P13039" t="str">
        <f>"15216"</f>
        <v>15216</v>
      </c>
    </row>
    <row r="13040" spans="1:16" x14ac:dyDescent="0.25">
      <c r="A13040" t="str">
        <f>"1190016R00122    00"</f>
        <v>1190016R00122    00</v>
      </c>
      <c r="B13040" t="s">
        <v>28732</v>
      </c>
      <c r="C13040" t="s">
        <v>28733</v>
      </c>
      <c r="D13040" t="s">
        <v>20</v>
      </c>
      <c r="E13040" t="s">
        <v>39</v>
      </c>
      <c r="F13040">
        <v>0</v>
      </c>
      <c r="G13040">
        <v>0</v>
      </c>
      <c r="H13040">
        <v>2</v>
      </c>
      <c r="I13040" s="3">
        <v>2067.1</v>
      </c>
      <c r="J13040" s="3">
        <v>0</v>
      </c>
      <c r="L13040">
        <v>1401</v>
      </c>
      <c r="M13040" t="s">
        <v>25827</v>
      </c>
      <c r="N13040" t="s">
        <v>30</v>
      </c>
      <c r="O13040" t="s">
        <v>31</v>
      </c>
      <c r="P13040" t="str">
        <f>"15216"</f>
        <v>15216</v>
      </c>
    </row>
    <row r="13041" spans="1:16" x14ac:dyDescent="0.25">
      <c r="A13041" t="str">
        <f>"1190016S00080    00"</f>
        <v>1190016S00080    00</v>
      </c>
      <c r="B13041" t="s">
        <v>28734</v>
      </c>
      <c r="C13041" t="s">
        <v>28735</v>
      </c>
      <c r="D13041" t="s">
        <v>20</v>
      </c>
      <c r="E13041" t="s">
        <v>39</v>
      </c>
      <c r="F13041">
        <v>0</v>
      </c>
      <c r="G13041">
        <v>0</v>
      </c>
      <c r="H13041">
        <v>7</v>
      </c>
      <c r="I13041" s="3">
        <v>7488.01</v>
      </c>
      <c r="J13041" s="3">
        <v>1826.95</v>
      </c>
      <c r="L13041">
        <v>1251</v>
      </c>
      <c r="M13041" t="s">
        <v>28652</v>
      </c>
      <c r="N13041" t="s">
        <v>30</v>
      </c>
      <c r="O13041" t="s">
        <v>31</v>
      </c>
      <c r="P13041" t="str">
        <f>"15216"</f>
        <v>15216</v>
      </c>
    </row>
    <row r="13042" spans="1:16" x14ac:dyDescent="0.25">
      <c r="A13042" t="str">
        <f>"1190016S00124    00"</f>
        <v>1190016S00124    00</v>
      </c>
      <c r="B13042" t="s">
        <v>28736</v>
      </c>
      <c r="C13042" t="s">
        <v>28737</v>
      </c>
      <c r="D13042" t="s">
        <v>20</v>
      </c>
      <c r="E13042" t="s">
        <v>39</v>
      </c>
      <c r="F13042">
        <v>0</v>
      </c>
      <c r="G13042">
        <v>0</v>
      </c>
      <c r="H13042">
        <v>3</v>
      </c>
      <c r="I13042" s="3">
        <v>1464.64</v>
      </c>
      <c r="J13042" s="3">
        <v>74.36</v>
      </c>
      <c r="L13042">
        <v>1233</v>
      </c>
      <c r="M13042" t="s">
        <v>17224</v>
      </c>
      <c r="N13042" t="s">
        <v>30</v>
      </c>
      <c r="O13042" t="s">
        <v>31</v>
      </c>
      <c r="P13042" t="str">
        <f>"15216"</f>
        <v>15216</v>
      </c>
    </row>
    <row r="13043" spans="1:16" x14ac:dyDescent="0.25">
      <c r="A13043" t="str">
        <f>"1190016S00128    00"</f>
        <v>1190016S00128    00</v>
      </c>
      <c r="B13043" t="s">
        <v>28738</v>
      </c>
      <c r="C13043" t="s">
        <v>28739</v>
      </c>
      <c r="D13043" t="s">
        <v>20</v>
      </c>
      <c r="E13043" t="s">
        <v>39</v>
      </c>
      <c r="F13043">
        <v>0</v>
      </c>
      <c r="G13043">
        <v>0</v>
      </c>
      <c r="H13043">
        <v>1</v>
      </c>
      <c r="I13043" s="3">
        <v>1442.85</v>
      </c>
      <c r="J13043" s="3">
        <v>0</v>
      </c>
      <c r="L13043">
        <v>1027</v>
      </c>
      <c r="M13043" t="s">
        <v>28740</v>
      </c>
      <c r="N13043" t="s">
        <v>28741</v>
      </c>
      <c r="O13043" t="s">
        <v>31</v>
      </c>
      <c r="P13043" t="str">
        <f>"15644"</f>
        <v>15644</v>
      </c>
    </row>
    <row r="13044" spans="1:16" x14ac:dyDescent="0.25">
      <c r="A13044" t="str">
        <f>"1190016S00210    00"</f>
        <v>1190016S00210    00</v>
      </c>
      <c r="B13044" t="s">
        <v>28742</v>
      </c>
      <c r="C13044" t="s">
        <v>28743</v>
      </c>
      <c r="D13044" t="s">
        <v>20</v>
      </c>
      <c r="E13044" t="s">
        <v>39</v>
      </c>
      <c r="F13044">
        <v>0</v>
      </c>
      <c r="G13044">
        <v>0</v>
      </c>
      <c r="H13044">
        <v>4</v>
      </c>
      <c r="I13044" s="3">
        <v>1365.52</v>
      </c>
      <c r="J13044" s="3">
        <v>168.16</v>
      </c>
      <c r="K13044" t="s">
        <v>28744</v>
      </c>
      <c r="L13044">
        <v>1307</v>
      </c>
      <c r="M13044" t="s">
        <v>28745</v>
      </c>
      <c r="N13044" t="s">
        <v>30</v>
      </c>
      <c r="O13044" t="s">
        <v>31</v>
      </c>
      <c r="P13044" t="str">
        <f>"15216"</f>
        <v>15216</v>
      </c>
    </row>
    <row r="13045" spans="1:16" x14ac:dyDescent="0.25">
      <c r="A13045" t="str">
        <f>"1190016S00211    00"</f>
        <v>1190016S00211    00</v>
      </c>
      <c r="B13045" t="s">
        <v>28742</v>
      </c>
      <c r="C13045" t="s">
        <v>28746</v>
      </c>
      <c r="D13045" t="s">
        <v>20</v>
      </c>
      <c r="E13045" t="s">
        <v>39</v>
      </c>
      <c r="F13045">
        <v>0</v>
      </c>
      <c r="G13045">
        <v>0</v>
      </c>
      <c r="H13045">
        <v>4</v>
      </c>
      <c r="I13045" s="3">
        <v>170.23</v>
      </c>
      <c r="J13045" s="3">
        <v>20.86</v>
      </c>
      <c r="K13045" t="s">
        <v>28744</v>
      </c>
      <c r="L13045">
        <v>1307</v>
      </c>
      <c r="M13045" t="s">
        <v>28745</v>
      </c>
      <c r="N13045" t="s">
        <v>30</v>
      </c>
      <c r="O13045" t="s">
        <v>31</v>
      </c>
      <c r="P13045" t="str">
        <f>"15216"</f>
        <v>15216</v>
      </c>
    </row>
    <row r="13046" spans="1:16" x14ac:dyDescent="0.25">
      <c r="A13046" t="str">
        <f>"1190034A00014    00"</f>
        <v>1190034A00014    00</v>
      </c>
      <c r="B13046" t="s">
        <v>28747</v>
      </c>
      <c r="C13046" t="s">
        <v>28748</v>
      </c>
      <c r="D13046" t="s">
        <v>20</v>
      </c>
      <c r="E13046" t="s">
        <v>39</v>
      </c>
      <c r="F13046">
        <v>0</v>
      </c>
      <c r="G13046">
        <v>0</v>
      </c>
      <c r="H13046">
        <v>1</v>
      </c>
      <c r="I13046" s="3">
        <v>226.82</v>
      </c>
      <c r="J13046" s="3">
        <v>0</v>
      </c>
      <c r="K13046" t="s">
        <v>7138</v>
      </c>
      <c r="L13046">
        <v>1123</v>
      </c>
      <c r="M13046" t="s">
        <v>7139</v>
      </c>
      <c r="N13046" t="s">
        <v>7140</v>
      </c>
      <c r="O13046" t="s">
        <v>495</v>
      </c>
      <c r="P13046" t="str">
        <f>"91724"</f>
        <v>91724</v>
      </c>
    </row>
    <row r="13047" spans="1:16" x14ac:dyDescent="0.25">
      <c r="A13047" t="str">
        <f>"1190034A00015    00"</f>
        <v>1190034A00015    00</v>
      </c>
      <c r="B13047" t="s">
        <v>28747</v>
      </c>
      <c r="C13047" t="s">
        <v>28748</v>
      </c>
      <c r="D13047" t="s">
        <v>20</v>
      </c>
      <c r="E13047" t="s">
        <v>39</v>
      </c>
      <c r="F13047">
        <v>0</v>
      </c>
      <c r="G13047">
        <v>0</v>
      </c>
      <c r="H13047">
        <v>1</v>
      </c>
      <c r="I13047" s="3">
        <v>766.21</v>
      </c>
      <c r="J13047" s="3">
        <v>0</v>
      </c>
      <c r="K13047" t="s">
        <v>7138</v>
      </c>
      <c r="L13047">
        <v>1123</v>
      </c>
      <c r="M13047" t="s">
        <v>7139</v>
      </c>
      <c r="N13047" t="s">
        <v>7140</v>
      </c>
      <c r="O13047" t="s">
        <v>495</v>
      </c>
      <c r="P13047" t="str">
        <f>"91724"</f>
        <v>91724</v>
      </c>
    </row>
    <row r="13048" spans="1:16" x14ac:dyDescent="0.25">
      <c r="A13048" t="str">
        <f>"1190034A00017    00"</f>
        <v>1190034A00017    00</v>
      </c>
      <c r="B13048" t="s">
        <v>28749</v>
      </c>
      <c r="C13048" t="s">
        <v>28750</v>
      </c>
      <c r="D13048" t="s">
        <v>20</v>
      </c>
      <c r="E13048" t="s">
        <v>39</v>
      </c>
      <c r="F13048">
        <v>0</v>
      </c>
      <c r="G13048">
        <v>0</v>
      </c>
      <c r="H13048">
        <v>3</v>
      </c>
      <c r="I13048" s="3">
        <v>577.55999999999995</v>
      </c>
      <c r="J13048" s="3">
        <v>38.51</v>
      </c>
      <c r="L13048">
        <v>1122</v>
      </c>
      <c r="M13048" t="s">
        <v>28751</v>
      </c>
      <c r="N13048" t="s">
        <v>30</v>
      </c>
      <c r="O13048" t="s">
        <v>31</v>
      </c>
      <c r="P13048" t="str">
        <f>"15216"</f>
        <v>15216</v>
      </c>
    </row>
    <row r="13049" spans="1:16" x14ac:dyDescent="0.25">
      <c r="A13049" t="str">
        <f>"1190034A00018    00"</f>
        <v>1190034A00018    00</v>
      </c>
      <c r="B13049" t="s">
        <v>28752</v>
      </c>
      <c r="C13049" t="s">
        <v>28748</v>
      </c>
      <c r="D13049" t="s">
        <v>20</v>
      </c>
      <c r="E13049" t="s">
        <v>39</v>
      </c>
      <c r="F13049">
        <v>0</v>
      </c>
      <c r="G13049">
        <v>0</v>
      </c>
      <c r="H13049">
        <v>1</v>
      </c>
      <c r="I13049" s="3">
        <v>190.6</v>
      </c>
      <c r="J13049" s="3">
        <v>0</v>
      </c>
      <c r="K13049" t="s">
        <v>7138</v>
      </c>
      <c r="L13049">
        <v>1123</v>
      </c>
      <c r="M13049" t="s">
        <v>7139</v>
      </c>
      <c r="N13049" t="s">
        <v>7140</v>
      </c>
      <c r="O13049" t="s">
        <v>495</v>
      </c>
      <c r="P13049" t="str">
        <f>"91724"</f>
        <v>91724</v>
      </c>
    </row>
    <row r="13050" spans="1:16" x14ac:dyDescent="0.25">
      <c r="A13050" t="str">
        <f>"1190034A00019    00"</f>
        <v>1190034A00019    00</v>
      </c>
      <c r="B13050" t="s">
        <v>28749</v>
      </c>
      <c r="C13050" t="s">
        <v>28750</v>
      </c>
      <c r="D13050" t="s">
        <v>20</v>
      </c>
      <c r="E13050" t="s">
        <v>39</v>
      </c>
      <c r="F13050">
        <v>0</v>
      </c>
      <c r="G13050">
        <v>0</v>
      </c>
      <c r="H13050">
        <v>3</v>
      </c>
      <c r="I13050" s="3">
        <v>285.89999999999998</v>
      </c>
      <c r="J13050" s="3">
        <v>19.059999999999999</v>
      </c>
      <c r="L13050">
        <v>1122</v>
      </c>
      <c r="M13050" t="s">
        <v>28751</v>
      </c>
      <c r="N13050" t="s">
        <v>30</v>
      </c>
      <c r="O13050" t="s">
        <v>31</v>
      </c>
      <c r="P13050" t="str">
        <f>"15216"</f>
        <v>15216</v>
      </c>
    </row>
    <row r="13051" spans="1:16" x14ac:dyDescent="0.25">
      <c r="A13051" t="str">
        <f>"1190034A00145    00"</f>
        <v>1190034A00145    00</v>
      </c>
      <c r="B13051" t="s">
        <v>28753</v>
      </c>
      <c r="C13051" t="s">
        <v>28754</v>
      </c>
      <c r="D13051" t="s">
        <v>20</v>
      </c>
      <c r="E13051" t="s">
        <v>39</v>
      </c>
      <c r="F13051">
        <v>0</v>
      </c>
      <c r="G13051">
        <v>0</v>
      </c>
      <c r="H13051">
        <v>19</v>
      </c>
      <c r="I13051" s="3">
        <v>6686.36</v>
      </c>
      <c r="J13051" s="3">
        <v>5800.86</v>
      </c>
      <c r="L13051">
        <v>124</v>
      </c>
      <c r="M13051" t="s">
        <v>23695</v>
      </c>
      <c r="N13051" t="s">
        <v>30</v>
      </c>
      <c r="O13051" t="s">
        <v>31</v>
      </c>
      <c r="P13051" t="str">
        <f>"15216"</f>
        <v>15216</v>
      </c>
    </row>
    <row r="13052" spans="1:16" x14ac:dyDescent="0.25">
      <c r="A13052" t="str">
        <f>"1190034A00146    00"</f>
        <v>1190034A00146    00</v>
      </c>
      <c r="B13052" t="s">
        <v>28755</v>
      </c>
      <c r="C13052" t="s">
        <v>28756</v>
      </c>
      <c r="D13052" t="s">
        <v>20</v>
      </c>
      <c r="E13052" t="s">
        <v>39</v>
      </c>
      <c r="F13052">
        <v>0</v>
      </c>
      <c r="G13052">
        <v>0</v>
      </c>
      <c r="H13052">
        <v>3</v>
      </c>
      <c r="I13052" s="3">
        <v>331.76</v>
      </c>
      <c r="J13052" s="3">
        <v>79.05</v>
      </c>
      <c r="L13052">
        <v>5282</v>
      </c>
      <c r="M13052" t="s">
        <v>13512</v>
      </c>
      <c r="N13052" t="s">
        <v>30</v>
      </c>
      <c r="O13052" t="s">
        <v>31</v>
      </c>
      <c r="P13052" t="str">
        <f>"15207"</f>
        <v>15207</v>
      </c>
    </row>
    <row r="13053" spans="1:16" x14ac:dyDescent="0.25">
      <c r="A13053" t="str">
        <f>"1190034A00178    00"</f>
        <v>1190034A00178    00</v>
      </c>
      <c r="B13053" t="s">
        <v>28757</v>
      </c>
      <c r="C13053" t="s">
        <v>28758</v>
      </c>
      <c r="D13053" t="s">
        <v>20</v>
      </c>
      <c r="E13053" t="s">
        <v>39</v>
      </c>
      <c r="F13053">
        <v>0</v>
      </c>
      <c r="G13053">
        <v>0</v>
      </c>
      <c r="H13053">
        <v>5</v>
      </c>
      <c r="I13053" s="3">
        <v>4473.0200000000004</v>
      </c>
      <c r="J13053" s="3">
        <v>608.36</v>
      </c>
      <c r="L13053">
        <v>264</v>
      </c>
      <c r="M13053" t="s">
        <v>23695</v>
      </c>
      <c r="N13053" t="s">
        <v>30</v>
      </c>
      <c r="O13053" t="s">
        <v>31</v>
      </c>
      <c r="P13053" t="str">
        <f>"15216"</f>
        <v>15216</v>
      </c>
    </row>
    <row r="13054" spans="1:16" x14ac:dyDescent="0.25">
      <c r="A13054" t="str">
        <f>"1190034A00197    00"</f>
        <v>1190034A00197    00</v>
      </c>
      <c r="B13054" t="s">
        <v>28759</v>
      </c>
      <c r="C13054" t="s">
        <v>28760</v>
      </c>
      <c r="D13054" t="s">
        <v>20</v>
      </c>
      <c r="E13054" t="s">
        <v>39</v>
      </c>
      <c r="F13054">
        <v>0</v>
      </c>
      <c r="G13054">
        <v>0</v>
      </c>
      <c r="H13054">
        <v>1</v>
      </c>
      <c r="I13054" s="3">
        <v>1387.57</v>
      </c>
      <c r="J13054" s="3">
        <v>0</v>
      </c>
      <c r="L13054">
        <v>8280</v>
      </c>
      <c r="M13054" t="s">
        <v>28761</v>
      </c>
      <c r="N13054" t="s">
        <v>28762</v>
      </c>
      <c r="O13054" t="s">
        <v>370</v>
      </c>
      <c r="P13054" t="str">
        <f>"33068"</f>
        <v>33068</v>
      </c>
    </row>
    <row r="13055" spans="1:16" x14ac:dyDescent="0.25">
      <c r="A13055" t="str">
        <f>"1190034A00202    00"</f>
        <v>1190034A00202    00</v>
      </c>
      <c r="B13055" t="s">
        <v>28763</v>
      </c>
      <c r="C13055" t="s">
        <v>28764</v>
      </c>
      <c r="D13055" t="s">
        <v>20</v>
      </c>
      <c r="E13055" t="s">
        <v>39</v>
      </c>
      <c r="F13055">
        <v>0</v>
      </c>
      <c r="G13055">
        <v>0</v>
      </c>
      <c r="H13055">
        <v>19</v>
      </c>
      <c r="I13055" s="3">
        <v>4534.6400000000003</v>
      </c>
      <c r="J13055" s="3">
        <v>3787.93</v>
      </c>
      <c r="L13055">
        <v>260</v>
      </c>
      <c r="M13055" t="s">
        <v>28765</v>
      </c>
      <c r="N13055" t="s">
        <v>30</v>
      </c>
      <c r="O13055" t="s">
        <v>31</v>
      </c>
      <c r="P13055" t="str">
        <f>"15216"</f>
        <v>15216</v>
      </c>
    </row>
    <row r="13056" spans="1:16" x14ac:dyDescent="0.25">
      <c r="A13056" t="str">
        <f>"1190034A00204    00"</f>
        <v>1190034A00204    00</v>
      </c>
      <c r="B13056" t="s">
        <v>28766</v>
      </c>
      <c r="C13056" t="s">
        <v>28767</v>
      </c>
      <c r="D13056" t="s">
        <v>20</v>
      </c>
      <c r="E13056" t="s">
        <v>39</v>
      </c>
      <c r="F13056">
        <v>0</v>
      </c>
      <c r="G13056">
        <v>0</v>
      </c>
      <c r="H13056">
        <v>3</v>
      </c>
      <c r="I13056" s="3">
        <v>1354.32</v>
      </c>
      <c r="J13056" s="3">
        <v>87.89</v>
      </c>
      <c r="L13056">
        <v>1325</v>
      </c>
      <c r="M13056" t="s">
        <v>28768</v>
      </c>
      <c r="N13056" t="s">
        <v>30</v>
      </c>
      <c r="O13056" t="s">
        <v>31</v>
      </c>
      <c r="P13056" t="str">
        <f>"15243"</f>
        <v>15243</v>
      </c>
    </row>
    <row r="13057" spans="1:16" x14ac:dyDescent="0.25">
      <c r="A13057" t="str">
        <f>"1190034A00212    00"</f>
        <v>1190034A00212    00</v>
      </c>
      <c r="B13057" t="s">
        <v>28769</v>
      </c>
      <c r="C13057" t="s">
        <v>28770</v>
      </c>
      <c r="D13057" t="s">
        <v>20</v>
      </c>
      <c r="E13057" t="s">
        <v>39</v>
      </c>
      <c r="F13057">
        <v>0</v>
      </c>
      <c r="G13057">
        <v>0</v>
      </c>
      <c r="H13057">
        <v>6</v>
      </c>
      <c r="I13057" s="3">
        <v>4196.07</v>
      </c>
      <c r="J13057" s="3">
        <v>572.97</v>
      </c>
      <c r="K13057" t="s">
        <v>28771</v>
      </c>
      <c r="L13057">
        <v>230</v>
      </c>
      <c r="M13057" t="s">
        <v>28765</v>
      </c>
      <c r="N13057" t="s">
        <v>30</v>
      </c>
      <c r="O13057" t="s">
        <v>31</v>
      </c>
      <c r="P13057" t="str">
        <f>"15216"</f>
        <v>15216</v>
      </c>
    </row>
    <row r="13058" spans="1:16" x14ac:dyDescent="0.25">
      <c r="A13058" t="str">
        <f>"1190034A00233    00"</f>
        <v>1190034A00233    00</v>
      </c>
      <c r="B13058" t="s">
        <v>28772</v>
      </c>
      <c r="C13058" t="s">
        <v>28756</v>
      </c>
      <c r="D13058" t="s">
        <v>20</v>
      </c>
      <c r="E13058" t="s">
        <v>39</v>
      </c>
      <c r="F13058">
        <v>0</v>
      </c>
      <c r="G13058">
        <v>0</v>
      </c>
      <c r="H13058">
        <v>19</v>
      </c>
      <c r="I13058" s="3">
        <v>493.54</v>
      </c>
      <c r="J13058" s="3">
        <v>530.78</v>
      </c>
      <c r="K13058" t="s">
        <v>1008</v>
      </c>
      <c r="P13058" t="str">
        <f>""</f>
        <v/>
      </c>
    </row>
    <row r="13059" spans="1:16" x14ac:dyDescent="0.25">
      <c r="A13059" t="str">
        <f>"1190034A00238    00"</f>
        <v>1190034A00238    00</v>
      </c>
      <c r="B13059" t="s">
        <v>28773</v>
      </c>
      <c r="C13059" t="s">
        <v>28764</v>
      </c>
      <c r="D13059" t="s">
        <v>20</v>
      </c>
      <c r="E13059" t="s">
        <v>39</v>
      </c>
      <c r="F13059">
        <v>0</v>
      </c>
      <c r="G13059">
        <v>0</v>
      </c>
      <c r="H13059">
        <v>1</v>
      </c>
      <c r="I13059" s="3">
        <v>59.1</v>
      </c>
      <c r="J13059" s="3">
        <v>0</v>
      </c>
      <c r="L13059">
        <v>196</v>
      </c>
      <c r="M13059" t="s">
        <v>28582</v>
      </c>
      <c r="N13059" t="s">
        <v>30</v>
      </c>
      <c r="O13059" t="s">
        <v>31</v>
      </c>
      <c r="P13059" t="str">
        <f>"15227"</f>
        <v>15227</v>
      </c>
    </row>
    <row r="13060" spans="1:16" x14ac:dyDescent="0.25">
      <c r="A13060" t="str">
        <f>"1190034A00239    00"</f>
        <v>1190034A00239    00</v>
      </c>
      <c r="B13060" t="s">
        <v>28773</v>
      </c>
      <c r="C13060" t="s">
        <v>28764</v>
      </c>
      <c r="D13060" t="s">
        <v>20</v>
      </c>
      <c r="E13060" t="s">
        <v>39</v>
      </c>
      <c r="F13060">
        <v>0</v>
      </c>
      <c r="G13060">
        <v>0</v>
      </c>
      <c r="H13060">
        <v>1</v>
      </c>
      <c r="I13060" s="3">
        <v>70.53</v>
      </c>
      <c r="J13060" s="3">
        <v>0</v>
      </c>
      <c r="L13060">
        <v>196</v>
      </c>
      <c r="M13060" t="s">
        <v>28582</v>
      </c>
      <c r="N13060" t="s">
        <v>30</v>
      </c>
      <c r="O13060" t="s">
        <v>31</v>
      </c>
      <c r="P13060" t="str">
        <f>"15227"</f>
        <v>15227</v>
      </c>
    </row>
    <row r="13061" spans="1:16" x14ac:dyDescent="0.25">
      <c r="A13061" t="str">
        <f>"1190034A00240    00"</f>
        <v>1190034A00240    00</v>
      </c>
      <c r="B13061" t="s">
        <v>28773</v>
      </c>
      <c r="C13061" t="s">
        <v>28774</v>
      </c>
      <c r="D13061" t="s">
        <v>20</v>
      </c>
      <c r="E13061" t="s">
        <v>39</v>
      </c>
      <c r="F13061">
        <v>0</v>
      </c>
      <c r="G13061">
        <v>0</v>
      </c>
      <c r="H13061">
        <v>1</v>
      </c>
      <c r="I13061" s="3">
        <v>749.06</v>
      </c>
      <c r="J13061" s="3">
        <v>0</v>
      </c>
      <c r="L13061">
        <v>196</v>
      </c>
      <c r="M13061" t="s">
        <v>28582</v>
      </c>
      <c r="N13061" t="s">
        <v>30</v>
      </c>
      <c r="O13061" t="s">
        <v>31</v>
      </c>
      <c r="P13061" t="str">
        <f>"15227"</f>
        <v>15227</v>
      </c>
    </row>
    <row r="13062" spans="1:16" x14ac:dyDescent="0.25">
      <c r="A13062" t="str">
        <f>"1190034A00241    00"</f>
        <v>1190034A00241    00</v>
      </c>
      <c r="B13062" t="s">
        <v>28773</v>
      </c>
      <c r="C13062" t="s">
        <v>28764</v>
      </c>
      <c r="D13062" t="s">
        <v>20</v>
      </c>
      <c r="E13062" t="s">
        <v>39</v>
      </c>
      <c r="F13062">
        <v>0</v>
      </c>
      <c r="G13062">
        <v>0</v>
      </c>
      <c r="H13062">
        <v>1</v>
      </c>
      <c r="I13062" s="3">
        <v>97.22</v>
      </c>
      <c r="J13062" s="3">
        <v>0</v>
      </c>
      <c r="L13062">
        <v>196</v>
      </c>
      <c r="M13062" t="s">
        <v>28582</v>
      </c>
      <c r="N13062" t="s">
        <v>30</v>
      </c>
      <c r="O13062" t="s">
        <v>31</v>
      </c>
      <c r="P13062" t="str">
        <f>"15227"</f>
        <v>15227</v>
      </c>
    </row>
    <row r="13063" spans="1:16" x14ac:dyDescent="0.25">
      <c r="A13063" t="str">
        <f>"1190034A00244    00"</f>
        <v>1190034A00244    00</v>
      </c>
      <c r="B13063" t="s">
        <v>28775</v>
      </c>
      <c r="C13063" t="s">
        <v>28764</v>
      </c>
      <c r="D13063" t="s">
        <v>20</v>
      </c>
      <c r="E13063" t="s">
        <v>39</v>
      </c>
      <c r="F13063">
        <v>0</v>
      </c>
      <c r="G13063">
        <v>0</v>
      </c>
      <c r="H13063">
        <v>13</v>
      </c>
      <c r="I13063" s="3">
        <v>5716.94</v>
      </c>
      <c r="J13063" s="3">
        <v>3499.62</v>
      </c>
      <c r="L13063">
        <v>219</v>
      </c>
      <c r="M13063" t="s">
        <v>28765</v>
      </c>
      <c r="N13063" t="s">
        <v>30</v>
      </c>
      <c r="O13063" t="s">
        <v>31</v>
      </c>
      <c r="P13063" t="str">
        <f>"15216"</f>
        <v>15216</v>
      </c>
    </row>
    <row r="13064" spans="1:16" x14ac:dyDescent="0.25">
      <c r="A13064" t="str">
        <f>"1190034A00255A   00"</f>
        <v>1190034A00255A   00</v>
      </c>
      <c r="B13064" t="s">
        <v>28776</v>
      </c>
      <c r="C13064" t="s">
        <v>28777</v>
      </c>
      <c r="E13064" t="s">
        <v>39</v>
      </c>
      <c r="F13064">
        <v>0</v>
      </c>
      <c r="G13064">
        <v>0</v>
      </c>
      <c r="H13064">
        <v>2</v>
      </c>
      <c r="I13064" s="3">
        <v>72.819999999999993</v>
      </c>
      <c r="J13064" s="3">
        <v>28.82</v>
      </c>
      <c r="K13064" t="s">
        <v>13571</v>
      </c>
      <c r="L13064">
        <v>3301</v>
      </c>
      <c r="M13064" t="s">
        <v>330</v>
      </c>
      <c r="N13064" t="s">
        <v>331</v>
      </c>
      <c r="O13064" t="s">
        <v>108</v>
      </c>
      <c r="P13064" t="str">
        <f>"75063"</f>
        <v>75063</v>
      </c>
    </row>
    <row r="13065" spans="1:16" x14ac:dyDescent="0.25">
      <c r="A13065" t="str">
        <f>"1190034A00290    00"</f>
        <v>1190034A00290    00</v>
      </c>
      <c r="B13065" t="s">
        <v>28778</v>
      </c>
      <c r="C13065" t="s">
        <v>28779</v>
      </c>
      <c r="D13065" t="s">
        <v>20</v>
      </c>
      <c r="E13065" t="s">
        <v>39</v>
      </c>
      <c r="F13065">
        <v>0</v>
      </c>
      <c r="G13065">
        <v>0</v>
      </c>
      <c r="H13065">
        <v>5</v>
      </c>
      <c r="I13065" s="3">
        <v>24254.76</v>
      </c>
      <c r="J13065" s="3">
        <v>4378.8999999999996</v>
      </c>
      <c r="L13065">
        <v>6</v>
      </c>
      <c r="M13065" t="s">
        <v>4839</v>
      </c>
      <c r="N13065" t="s">
        <v>30</v>
      </c>
      <c r="O13065" t="s">
        <v>31</v>
      </c>
      <c r="P13065" t="str">
        <f>"15222"</f>
        <v>15222</v>
      </c>
    </row>
    <row r="13066" spans="1:16" x14ac:dyDescent="0.25">
      <c r="A13066" t="str">
        <f>"1190034B00043    00"</f>
        <v>1190034B00043    00</v>
      </c>
      <c r="B13066" t="s">
        <v>28780</v>
      </c>
      <c r="C13066" t="s">
        <v>28781</v>
      </c>
      <c r="D13066" t="s">
        <v>20</v>
      </c>
      <c r="E13066" t="s">
        <v>39</v>
      </c>
      <c r="F13066">
        <v>0</v>
      </c>
      <c r="G13066">
        <v>0</v>
      </c>
      <c r="H13066">
        <v>4</v>
      </c>
      <c r="I13066" s="3">
        <v>3026.16</v>
      </c>
      <c r="J13066" s="3">
        <v>237.89</v>
      </c>
      <c r="L13066">
        <v>117</v>
      </c>
      <c r="M13066" t="s">
        <v>23695</v>
      </c>
      <c r="N13066" t="s">
        <v>30</v>
      </c>
      <c r="O13066" t="s">
        <v>31</v>
      </c>
      <c r="P13066" t="str">
        <f>"15216"</f>
        <v>15216</v>
      </c>
    </row>
    <row r="13067" spans="1:16" x14ac:dyDescent="0.25">
      <c r="A13067" t="str">
        <f>"1190034B00044    00"</f>
        <v>1190034B00044    00</v>
      </c>
      <c r="B13067" t="s">
        <v>28782</v>
      </c>
      <c r="C13067" t="s">
        <v>28783</v>
      </c>
      <c r="E13067" t="s">
        <v>39</v>
      </c>
      <c r="F13067">
        <v>0</v>
      </c>
      <c r="G13067">
        <v>0</v>
      </c>
      <c r="H13067">
        <v>4</v>
      </c>
      <c r="I13067" s="3">
        <v>2806.69</v>
      </c>
      <c r="J13067" s="3">
        <v>626.62</v>
      </c>
      <c r="L13067">
        <v>116</v>
      </c>
      <c r="M13067" t="s">
        <v>23695</v>
      </c>
      <c r="N13067" t="s">
        <v>30</v>
      </c>
      <c r="O13067" t="s">
        <v>31</v>
      </c>
      <c r="P13067" t="str">
        <f>"15216"</f>
        <v>15216</v>
      </c>
    </row>
    <row r="13068" spans="1:16" x14ac:dyDescent="0.25">
      <c r="A13068" t="str">
        <f>"1190034B00045    00"</f>
        <v>1190034B00045    00</v>
      </c>
      <c r="B13068" t="s">
        <v>28782</v>
      </c>
      <c r="C13068" t="s">
        <v>28756</v>
      </c>
      <c r="E13068" t="s">
        <v>39</v>
      </c>
      <c r="F13068">
        <v>0</v>
      </c>
      <c r="G13068">
        <v>0</v>
      </c>
      <c r="H13068">
        <v>5</v>
      </c>
      <c r="I13068" s="3">
        <v>559.74</v>
      </c>
      <c r="J13068" s="3">
        <v>151.19</v>
      </c>
      <c r="L13068">
        <v>116</v>
      </c>
      <c r="M13068" t="s">
        <v>23695</v>
      </c>
      <c r="N13068" t="s">
        <v>30</v>
      </c>
      <c r="O13068" t="s">
        <v>31</v>
      </c>
      <c r="P13068" t="str">
        <f>"15216"</f>
        <v>15216</v>
      </c>
    </row>
    <row r="13069" spans="1:16" x14ac:dyDescent="0.25">
      <c r="A13069" t="str">
        <f>"1190034B00077    00"</f>
        <v>1190034B00077    00</v>
      </c>
      <c r="B13069" t="s">
        <v>28784</v>
      </c>
      <c r="C13069" t="s">
        <v>28785</v>
      </c>
      <c r="D13069" t="s">
        <v>20</v>
      </c>
      <c r="E13069" t="s">
        <v>21</v>
      </c>
      <c r="F13069">
        <v>0</v>
      </c>
      <c r="G13069">
        <v>0</v>
      </c>
      <c r="H13069">
        <v>6</v>
      </c>
      <c r="I13069" s="3">
        <v>11730</v>
      </c>
      <c r="J13069" s="3">
        <v>2508.2600000000002</v>
      </c>
      <c r="L13069">
        <v>101</v>
      </c>
      <c r="M13069" t="s">
        <v>28786</v>
      </c>
      <c r="N13069" t="s">
        <v>30</v>
      </c>
      <c r="O13069" t="s">
        <v>31</v>
      </c>
      <c r="P13069" t="str">
        <f>"15226"</f>
        <v>15226</v>
      </c>
    </row>
    <row r="13070" spans="1:16" x14ac:dyDescent="0.25">
      <c r="A13070" t="str">
        <f>"1190034B00090    00"</f>
        <v>1190034B00090    00</v>
      </c>
      <c r="B13070" t="s">
        <v>28787</v>
      </c>
      <c r="C13070" t="s">
        <v>28788</v>
      </c>
      <c r="D13070" t="s">
        <v>20</v>
      </c>
      <c r="E13070" t="s">
        <v>21</v>
      </c>
      <c r="F13070">
        <v>0</v>
      </c>
      <c r="G13070">
        <v>0</v>
      </c>
      <c r="H13070">
        <v>17</v>
      </c>
      <c r="I13070" s="3">
        <v>319.83</v>
      </c>
      <c r="J13070" s="3">
        <v>395.26</v>
      </c>
      <c r="K13070" t="s">
        <v>28789</v>
      </c>
      <c r="L13070">
        <v>381</v>
      </c>
      <c r="M13070" t="s">
        <v>28790</v>
      </c>
      <c r="N13070" t="s">
        <v>30</v>
      </c>
      <c r="O13070" t="s">
        <v>31</v>
      </c>
      <c r="P13070" t="str">
        <f>"15220"</f>
        <v>15220</v>
      </c>
    </row>
    <row r="13071" spans="1:16" x14ac:dyDescent="0.25">
      <c r="A13071" t="str">
        <f>"1190034E00082    00"</f>
        <v>1190034E00082    00</v>
      </c>
      <c r="B13071" t="s">
        <v>28791</v>
      </c>
      <c r="C13071" t="s">
        <v>28792</v>
      </c>
      <c r="E13071" t="s">
        <v>290</v>
      </c>
      <c r="F13071">
        <v>0</v>
      </c>
      <c r="G13071">
        <v>0</v>
      </c>
      <c r="H13071">
        <v>2</v>
      </c>
      <c r="I13071" s="3">
        <v>11586.59</v>
      </c>
      <c r="J13071" s="3">
        <v>289.32</v>
      </c>
      <c r="L13071">
        <v>450</v>
      </c>
      <c r="M13071" t="s">
        <v>28793</v>
      </c>
      <c r="N13071" t="s">
        <v>149</v>
      </c>
      <c r="O13071" t="s">
        <v>31</v>
      </c>
      <c r="P13071" t="str">
        <f>"15106"</f>
        <v>15106</v>
      </c>
    </row>
    <row r="13072" spans="1:16" x14ac:dyDescent="0.25">
      <c r="A13072" t="str">
        <f>"1190034E00097    00"</f>
        <v>1190034E00097    00</v>
      </c>
      <c r="B13072" t="s">
        <v>28791</v>
      </c>
      <c r="C13072" t="s">
        <v>28794</v>
      </c>
      <c r="D13072" t="s">
        <v>20</v>
      </c>
      <c r="E13072" t="s">
        <v>21</v>
      </c>
      <c r="F13072">
        <v>0</v>
      </c>
      <c r="G13072">
        <v>0</v>
      </c>
      <c r="H13072">
        <v>1</v>
      </c>
      <c r="I13072" s="3">
        <v>1490.49</v>
      </c>
      <c r="J13072" s="3">
        <v>0</v>
      </c>
      <c r="L13072">
        <v>450</v>
      </c>
      <c r="M13072" t="s">
        <v>28793</v>
      </c>
      <c r="N13072" t="s">
        <v>149</v>
      </c>
      <c r="O13072" t="s">
        <v>31</v>
      </c>
      <c r="P13072" t="str">
        <f>"15106"</f>
        <v>15106</v>
      </c>
    </row>
    <row r="13073" spans="1:16" x14ac:dyDescent="0.25">
      <c r="A13073" t="str">
        <f>"1190034E00101    00"</f>
        <v>1190034E00101    00</v>
      </c>
      <c r="B13073" t="s">
        <v>28791</v>
      </c>
      <c r="C13073" t="s">
        <v>28795</v>
      </c>
      <c r="D13073" t="s">
        <v>20</v>
      </c>
      <c r="E13073" t="s">
        <v>21</v>
      </c>
      <c r="F13073">
        <v>0</v>
      </c>
      <c r="G13073">
        <v>0</v>
      </c>
      <c r="H13073">
        <v>1</v>
      </c>
      <c r="I13073" s="3">
        <v>19060</v>
      </c>
      <c r="J13073" s="3">
        <v>0</v>
      </c>
      <c r="L13073">
        <v>450</v>
      </c>
      <c r="M13073" t="s">
        <v>28793</v>
      </c>
      <c r="N13073" t="s">
        <v>149</v>
      </c>
      <c r="O13073" t="s">
        <v>31</v>
      </c>
      <c r="P13073" t="str">
        <f>"15106"</f>
        <v>15106</v>
      </c>
    </row>
    <row r="13074" spans="1:16" x14ac:dyDescent="0.25">
      <c r="A13074" t="str">
        <f>"1190034E00109    00"</f>
        <v>1190034E00109    00</v>
      </c>
      <c r="B13074" t="s">
        <v>28791</v>
      </c>
      <c r="C13074" t="s">
        <v>28795</v>
      </c>
      <c r="D13074" t="s">
        <v>20</v>
      </c>
      <c r="E13074" t="s">
        <v>21</v>
      </c>
      <c r="F13074">
        <v>0</v>
      </c>
      <c r="G13074">
        <v>0</v>
      </c>
      <c r="H13074">
        <v>1</v>
      </c>
      <c r="I13074" s="3">
        <v>3688.12</v>
      </c>
      <c r="J13074" s="3">
        <v>0</v>
      </c>
      <c r="L13074">
        <v>450</v>
      </c>
      <c r="M13074" t="s">
        <v>28793</v>
      </c>
      <c r="N13074" t="s">
        <v>149</v>
      </c>
      <c r="O13074" t="s">
        <v>31</v>
      </c>
      <c r="P13074" t="str">
        <f>"15106"</f>
        <v>15106</v>
      </c>
    </row>
    <row r="13075" spans="1:16" x14ac:dyDescent="0.25">
      <c r="A13075" t="str">
        <f>"1190034E00316    00"</f>
        <v>1190034E00316    00</v>
      </c>
      <c r="B13075" t="s">
        <v>28796</v>
      </c>
      <c r="C13075" t="s">
        <v>28797</v>
      </c>
      <c r="D13075" t="s">
        <v>20</v>
      </c>
      <c r="E13075" t="s">
        <v>39</v>
      </c>
      <c r="F13075">
        <v>0</v>
      </c>
      <c r="G13075">
        <v>0</v>
      </c>
      <c r="H13075">
        <v>1</v>
      </c>
      <c r="I13075" s="3">
        <v>913.44</v>
      </c>
      <c r="J13075" s="3">
        <v>0</v>
      </c>
      <c r="L13075">
        <v>647</v>
      </c>
      <c r="M13075" t="s">
        <v>28798</v>
      </c>
      <c r="N13075" t="s">
        <v>30</v>
      </c>
      <c r="O13075" t="s">
        <v>31</v>
      </c>
      <c r="P13075" t="str">
        <f>"15226"</f>
        <v>15226</v>
      </c>
    </row>
    <row r="13076" spans="1:16" x14ac:dyDescent="0.25">
      <c r="A13076" t="str">
        <f>"1190034F00436    00"</f>
        <v>1190034F00436    00</v>
      </c>
      <c r="B13076" t="s">
        <v>28799</v>
      </c>
      <c r="C13076" t="s">
        <v>28800</v>
      </c>
      <c r="D13076" t="s">
        <v>20</v>
      </c>
      <c r="E13076" t="s">
        <v>39</v>
      </c>
      <c r="F13076">
        <v>0</v>
      </c>
      <c r="G13076">
        <v>0</v>
      </c>
      <c r="H13076">
        <v>2</v>
      </c>
      <c r="I13076" s="3">
        <v>2946.74</v>
      </c>
      <c r="J13076" s="3">
        <v>0</v>
      </c>
      <c r="K13076" t="s">
        <v>28801</v>
      </c>
      <c r="L13076">
        <v>135</v>
      </c>
      <c r="M13076" t="s">
        <v>28802</v>
      </c>
      <c r="N13076" t="s">
        <v>30</v>
      </c>
      <c r="O13076" t="s">
        <v>31</v>
      </c>
      <c r="P13076" t="str">
        <f>"15226"</f>
        <v>15226</v>
      </c>
    </row>
    <row r="13077" spans="1:16" x14ac:dyDescent="0.25">
      <c r="A13077" t="str">
        <f>"1190034F00439    00"</f>
        <v>1190034F00439    00</v>
      </c>
      <c r="B13077" t="s">
        <v>28803</v>
      </c>
      <c r="C13077" t="s">
        <v>28804</v>
      </c>
      <c r="E13077" t="s">
        <v>39</v>
      </c>
      <c r="F13077">
        <v>0</v>
      </c>
      <c r="G13077">
        <v>0</v>
      </c>
      <c r="H13077">
        <v>1</v>
      </c>
      <c r="I13077" s="3">
        <v>47.99</v>
      </c>
      <c r="J13077" s="3">
        <v>19.190000000000001</v>
      </c>
      <c r="L13077">
        <v>129</v>
      </c>
      <c r="M13077" t="s">
        <v>28805</v>
      </c>
      <c r="N13077" t="s">
        <v>30</v>
      </c>
      <c r="O13077" t="s">
        <v>31</v>
      </c>
      <c r="P13077" t="str">
        <f>"15226"</f>
        <v>15226</v>
      </c>
    </row>
    <row r="13078" spans="1:16" x14ac:dyDescent="0.25">
      <c r="A13078" t="str">
        <f>"1190034G00019    00"</f>
        <v>1190034G00019    00</v>
      </c>
      <c r="B13078" t="s">
        <v>28806</v>
      </c>
      <c r="C13078" t="s">
        <v>28807</v>
      </c>
      <c r="E13078" t="s">
        <v>39</v>
      </c>
      <c r="F13078">
        <v>0</v>
      </c>
      <c r="G13078">
        <v>0</v>
      </c>
      <c r="H13078">
        <v>1</v>
      </c>
      <c r="I13078" s="3">
        <v>888.22</v>
      </c>
      <c r="J13078" s="3">
        <v>0</v>
      </c>
      <c r="K13078" t="s">
        <v>4397</v>
      </c>
      <c r="L13078">
        <v>1050</v>
      </c>
      <c r="M13078" t="s">
        <v>3522</v>
      </c>
      <c r="N13078" t="s">
        <v>3827</v>
      </c>
      <c r="O13078" t="s">
        <v>70</v>
      </c>
      <c r="P13078" t="str">
        <f>"48226"</f>
        <v>48226</v>
      </c>
    </row>
    <row r="13079" spans="1:16" x14ac:dyDescent="0.25">
      <c r="A13079" t="str">
        <f>"1190034J00070    00"</f>
        <v>1190034J00070    00</v>
      </c>
      <c r="B13079" t="s">
        <v>28808</v>
      </c>
      <c r="C13079" t="s">
        <v>28809</v>
      </c>
      <c r="E13079" t="s">
        <v>39</v>
      </c>
      <c r="F13079">
        <v>0</v>
      </c>
      <c r="G13079">
        <v>0</v>
      </c>
      <c r="H13079">
        <v>1</v>
      </c>
      <c r="I13079" s="3">
        <v>606.92999999999995</v>
      </c>
      <c r="J13079" s="3">
        <v>121.38</v>
      </c>
      <c r="K13079" t="s">
        <v>28810</v>
      </c>
      <c r="L13079">
        <v>1696</v>
      </c>
      <c r="M13079" t="s">
        <v>2837</v>
      </c>
      <c r="N13079" t="s">
        <v>30</v>
      </c>
      <c r="O13079" t="s">
        <v>31</v>
      </c>
      <c r="P13079" t="str">
        <f>"15226"</f>
        <v>15226</v>
      </c>
    </row>
    <row r="13080" spans="1:16" x14ac:dyDescent="0.25">
      <c r="A13080" t="str">
        <f>"1190034J00072    00"</f>
        <v>1190034J00072    00</v>
      </c>
      <c r="B13080" t="s">
        <v>28811</v>
      </c>
      <c r="C13080" t="s">
        <v>28812</v>
      </c>
      <c r="D13080" t="s">
        <v>20</v>
      </c>
      <c r="E13080" t="s">
        <v>39</v>
      </c>
      <c r="F13080">
        <v>0</v>
      </c>
      <c r="G13080">
        <v>0</v>
      </c>
      <c r="H13080">
        <v>1</v>
      </c>
      <c r="I13080" s="3">
        <v>1528.61</v>
      </c>
      <c r="J13080" s="3">
        <v>0</v>
      </c>
      <c r="K13080" t="s">
        <v>28813</v>
      </c>
      <c r="L13080">
        <v>236</v>
      </c>
      <c r="M13080" t="s">
        <v>28814</v>
      </c>
      <c r="N13080" t="s">
        <v>30</v>
      </c>
      <c r="O13080" t="s">
        <v>31</v>
      </c>
      <c r="P13080" t="str">
        <f>"15220"</f>
        <v>15220</v>
      </c>
    </row>
    <row r="13081" spans="1:16" x14ac:dyDescent="0.25">
      <c r="A13081" t="str">
        <f>"1190034J00212    00"</f>
        <v>1190034J00212    00</v>
      </c>
      <c r="B13081" t="s">
        <v>28815</v>
      </c>
      <c r="C13081" t="s">
        <v>28816</v>
      </c>
      <c r="E13081" t="s">
        <v>39</v>
      </c>
      <c r="F13081">
        <v>0</v>
      </c>
      <c r="G13081">
        <v>0</v>
      </c>
      <c r="H13081">
        <v>1</v>
      </c>
      <c r="I13081" s="3">
        <v>174.92</v>
      </c>
      <c r="J13081" s="3">
        <v>34.99</v>
      </c>
      <c r="K13081" t="s">
        <v>400</v>
      </c>
      <c r="L13081">
        <v>3001</v>
      </c>
      <c r="M13081" t="s">
        <v>330</v>
      </c>
      <c r="N13081" t="s">
        <v>331</v>
      </c>
      <c r="O13081" t="s">
        <v>108</v>
      </c>
      <c r="P13081" t="str">
        <f>"75063"</f>
        <v>75063</v>
      </c>
    </row>
    <row r="13082" spans="1:16" x14ac:dyDescent="0.25">
      <c r="A13082" t="str">
        <f>"1190034J00222    00"</f>
        <v>1190034J00222    00</v>
      </c>
      <c r="B13082" t="s">
        <v>28817</v>
      </c>
      <c r="C13082" t="s">
        <v>28818</v>
      </c>
      <c r="D13082" t="s">
        <v>20</v>
      </c>
      <c r="E13082" t="s">
        <v>39</v>
      </c>
      <c r="F13082">
        <v>0</v>
      </c>
      <c r="G13082">
        <v>0</v>
      </c>
      <c r="H13082">
        <v>1</v>
      </c>
      <c r="I13082" s="3">
        <v>1505.76</v>
      </c>
      <c r="J13082" s="3">
        <v>0</v>
      </c>
      <c r="K13082" t="s">
        <v>28819</v>
      </c>
      <c r="L13082">
        <v>2351</v>
      </c>
      <c r="M13082" t="s">
        <v>9782</v>
      </c>
      <c r="N13082" t="s">
        <v>30</v>
      </c>
      <c r="O13082" t="s">
        <v>31</v>
      </c>
      <c r="P13082" t="str">
        <f>"15210"</f>
        <v>15210</v>
      </c>
    </row>
    <row r="13083" spans="1:16" x14ac:dyDescent="0.25">
      <c r="A13083" t="str">
        <f>"1190034J00224    00"</f>
        <v>1190034J00224    00</v>
      </c>
      <c r="B13083" t="s">
        <v>28817</v>
      </c>
      <c r="C13083" t="s">
        <v>28820</v>
      </c>
      <c r="D13083" t="s">
        <v>20</v>
      </c>
      <c r="E13083" t="s">
        <v>39</v>
      </c>
      <c r="F13083">
        <v>0</v>
      </c>
      <c r="G13083">
        <v>0</v>
      </c>
      <c r="H13083">
        <v>5</v>
      </c>
      <c r="I13083" s="3">
        <v>6028.8</v>
      </c>
      <c r="J13083" s="3">
        <v>1041.55</v>
      </c>
      <c r="K13083" t="s">
        <v>6184</v>
      </c>
      <c r="L13083">
        <v>901</v>
      </c>
      <c r="M13083" t="s">
        <v>1503</v>
      </c>
      <c r="N13083" t="s">
        <v>494</v>
      </c>
      <c r="O13083" t="s">
        <v>495</v>
      </c>
      <c r="P13083" t="str">
        <f>"91768"</f>
        <v>91768</v>
      </c>
    </row>
    <row r="13084" spans="1:16" x14ac:dyDescent="0.25">
      <c r="A13084" t="str">
        <f>"1190034J00243    00"</f>
        <v>1190034J00243    00</v>
      </c>
      <c r="B13084" t="s">
        <v>28821</v>
      </c>
      <c r="C13084" t="s">
        <v>28822</v>
      </c>
      <c r="E13084" t="s">
        <v>39</v>
      </c>
      <c r="F13084">
        <v>0</v>
      </c>
      <c r="G13084">
        <v>0</v>
      </c>
      <c r="H13084">
        <v>4</v>
      </c>
      <c r="I13084" s="3">
        <v>5600.26</v>
      </c>
      <c r="J13084" s="3">
        <v>4566.7</v>
      </c>
      <c r="L13084">
        <v>633</v>
      </c>
      <c r="M13084" t="s">
        <v>28823</v>
      </c>
      <c r="N13084" t="s">
        <v>30</v>
      </c>
      <c r="O13084" t="s">
        <v>31</v>
      </c>
      <c r="P13084" t="str">
        <f>"15226"</f>
        <v>15226</v>
      </c>
    </row>
    <row r="13085" spans="1:16" x14ac:dyDescent="0.25">
      <c r="A13085" t="str">
        <f>"1190034J00260    00"</f>
        <v>1190034J00260    00</v>
      </c>
      <c r="B13085" t="s">
        <v>28824</v>
      </c>
      <c r="C13085" t="s">
        <v>28825</v>
      </c>
      <c r="D13085" t="s">
        <v>20</v>
      </c>
      <c r="E13085" t="s">
        <v>39</v>
      </c>
      <c r="F13085">
        <v>0</v>
      </c>
      <c r="G13085">
        <v>0</v>
      </c>
      <c r="H13085">
        <v>5</v>
      </c>
      <c r="I13085" s="3">
        <v>3639.39</v>
      </c>
      <c r="J13085" s="3">
        <v>384.77</v>
      </c>
      <c r="L13085">
        <v>640</v>
      </c>
      <c r="M13085" t="s">
        <v>28823</v>
      </c>
      <c r="N13085" t="s">
        <v>30</v>
      </c>
      <c r="O13085" t="s">
        <v>31</v>
      </c>
      <c r="P13085" t="str">
        <f>"15226"</f>
        <v>15226</v>
      </c>
    </row>
    <row r="13086" spans="1:16" x14ac:dyDescent="0.25">
      <c r="A13086" t="str">
        <f>"1190034K00016    00"</f>
        <v>1190034K00016    00</v>
      </c>
      <c r="B13086" t="s">
        <v>28826</v>
      </c>
      <c r="C13086" t="s">
        <v>28827</v>
      </c>
      <c r="D13086" t="s">
        <v>20</v>
      </c>
      <c r="E13086" t="s">
        <v>39</v>
      </c>
      <c r="F13086">
        <v>0</v>
      </c>
      <c r="G13086">
        <v>0</v>
      </c>
      <c r="H13086">
        <v>19</v>
      </c>
      <c r="I13086" s="3">
        <v>10982.29</v>
      </c>
      <c r="J13086" s="3">
        <v>9657.4500000000007</v>
      </c>
      <c r="L13086">
        <v>423</v>
      </c>
      <c r="M13086" t="s">
        <v>23633</v>
      </c>
      <c r="N13086" t="s">
        <v>30</v>
      </c>
      <c r="O13086" t="s">
        <v>31</v>
      </c>
      <c r="P13086" t="str">
        <f>"15226"</f>
        <v>15226</v>
      </c>
    </row>
    <row r="13087" spans="1:16" x14ac:dyDescent="0.25">
      <c r="A13087" t="str">
        <f>"1190034K00033    00"</f>
        <v>1190034K00033    00</v>
      </c>
      <c r="B13087" t="s">
        <v>28828</v>
      </c>
      <c r="C13087" t="s">
        <v>28829</v>
      </c>
      <c r="D13087" t="s">
        <v>20</v>
      </c>
      <c r="E13087" t="s">
        <v>39</v>
      </c>
      <c r="F13087">
        <v>0</v>
      </c>
      <c r="G13087">
        <v>0</v>
      </c>
      <c r="H13087">
        <v>2</v>
      </c>
      <c r="I13087" s="3">
        <v>4410.5</v>
      </c>
      <c r="J13087" s="3">
        <v>0</v>
      </c>
      <c r="K13087" t="s">
        <v>5324</v>
      </c>
      <c r="M13087" t="s">
        <v>1439</v>
      </c>
      <c r="N13087" t="s">
        <v>1440</v>
      </c>
      <c r="O13087" t="s">
        <v>70</v>
      </c>
      <c r="P13087" t="str">
        <f>"48501"</f>
        <v>48501</v>
      </c>
    </row>
    <row r="13088" spans="1:16" x14ac:dyDescent="0.25">
      <c r="A13088" t="str">
        <f>"1190034L00072    00"</f>
        <v>1190034L00072    00</v>
      </c>
      <c r="B13088" t="s">
        <v>28830</v>
      </c>
      <c r="C13088" t="s">
        <v>28831</v>
      </c>
      <c r="E13088" t="s">
        <v>39</v>
      </c>
      <c r="F13088">
        <v>0</v>
      </c>
      <c r="G13088">
        <v>0</v>
      </c>
      <c r="H13088">
        <v>1</v>
      </c>
      <c r="I13088" s="3">
        <v>335.54</v>
      </c>
      <c r="J13088" s="3">
        <v>67.11</v>
      </c>
      <c r="K13088" t="s">
        <v>4933</v>
      </c>
      <c r="L13088">
        <v>3001</v>
      </c>
      <c r="M13088" t="s">
        <v>330</v>
      </c>
      <c r="N13088" t="s">
        <v>331</v>
      </c>
      <c r="O13088" t="s">
        <v>108</v>
      </c>
      <c r="P13088" t="str">
        <f>"75063"</f>
        <v>75063</v>
      </c>
    </row>
    <row r="13089" spans="1:16" x14ac:dyDescent="0.25">
      <c r="A13089" t="str">
        <f>"1190034N00016    00"</f>
        <v>1190034N00016    00</v>
      </c>
      <c r="B13089" t="s">
        <v>28832</v>
      </c>
      <c r="C13089" t="s">
        <v>28833</v>
      </c>
      <c r="D13089" t="s">
        <v>20</v>
      </c>
      <c r="E13089" t="s">
        <v>39</v>
      </c>
      <c r="F13089">
        <v>0</v>
      </c>
      <c r="G13089">
        <v>0</v>
      </c>
      <c r="H13089">
        <v>1</v>
      </c>
      <c r="I13089" s="3">
        <v>1113.1099999999999</v>
      </c>
      <c r="J13089" s="3">
        <v>0</v>
      </c>
      <c r="L13089">
        <v>1821</v>
      </c>
      <c r="M13089" t="s">
        <v>2966</v>
      </c>
      <c r="N13089" t="s">
        <v>30</v>
      </c>
      <c r="O13089" t="s">
        <v>31</v>
      </c>
      <c r="P13089" t="str">
        <f>"15226"</f>
        <v>15226</v>
      </c>
    </row>
    <row r="13090" spans="1:16" x14ac:dyDescent="0.25">
      <c r="A13090" t="str">
        <f>"1190034N00048    00"</f>
        <v>1190034N00048    00</v>
      </c>
      <c r="B13090" t="s">
        <v>28834</v>
      </c>
      <c r="C13090" t="s">
        <v>28835</v>
      </c>
      <c r="D13090" t="s">
        <v>20</v>
      </c>
      <c r="E13090" t="s">
        <v>39</v>
      </c>
      <c r="F13090">
        <v>0</v>
      </c>
      <c r="G13090">
        <v>0</v>
      </c>
      <c r="H13090">
        <v>2</v>
      </c>
      <c r="I13090" s="3">
        <v>1952.74</v>
      </c>
      <c r="J13090" s="3">
        <v>0</v>
      </c>
      <c r="K13090" t="s">
        <v>28836</v>
      </c>
      <c r="L13090">
        <v>1744</v>
      </c>
      <c r="M13090" t="s">
        <v>2837</v>
      </c>
      <c r="N13090" t="s">
        <v>30</v>
      </c>
      <c r="O13090" t="s">
        <v>31</v>
      </c>
      <c r="P13090" t="str">
        <f>"15226"</f>
        <v>15226</v>
      </c>
    </row>
    <row r="13091" spans="1:16" x14ac:dyDescent="0.25">
      <c r="A13091" t="str">
        <f>"1190034N00052    00"</f>
        <v>1190034N00052    00</v>
      </c>
      <c r="B13091" t="s">
        <v>28837</v>
      </c>
      <c r="C13091" t="s">
        <v>28838</v>
      </c>
      <c r="D13091" t="s">
        <v>20</v>
      </c>
      <c r="E13091" t="s">
        <v>39</v>
      </c>
      <c r="F13091">
        <v>0</v>
      </c>
      <c r="G13091">
        <v>0</v>
      </c>
      <c r="H13091">
        <v>1</v>
      </c>
      <c r="I13091" s="3">
        <v>1044.49</v>
      </c>
      <c r="J13091" s="3">
        <v>0</v>
      </c>
      <c r="L13091">
        <v>3547</v>
      </c>
      <c r="M13091" t="s">
        <v>6909</v>
      </c>
      <c r="N13091" t="s">
        <v>30</v>
      </c>
      <c r="O13091" t="s">
        <v>31</v>
      </c>
      <c r="P13091" t="str">
        <f>"15234"</f>
        <v>15234</v>
      </c>
    </row>
    <row r="13092" spans="1:16" x14ac:dyDescent="0.25">
      <c r="A13092" t="str">
        <f>"1190034N00058    00"</f>
        <v>1190034N00058    00</v>
      </c>
      <c r="B13092" t="s">
        <v>28839</v>
      </c>
      <c r="C13092" t="s">
        <v>28840</v>
      </c>
      <c r="D13092" t="s">
        <v>20</v>
      </c>
      <c r="E13092" t="s">
        <v>39</v>
      </c>
      <c r="F13092">
        <v>0</v>
      </c>
      <c r="G13092">
        <v>0</v>
      </c>
      <c r="H13092">
        <v>3</v>
      </c>
      <c r="I13092" s="3">
        <v>3330.47</v>
      </c>
      <c r="J13092" s="3">
        <v>487.69</v>
      </c>
      <c r="M13092" t="s">
        <v>5036</v>
      </c>
      <c r="N13092" t="s">
        <v>30</v>
      </c>
      <c r="O13092" t="s">
        <v>31</v>
      </c>
      <c r="P13092" t="str">
        <f>"15244"</f>
        <v>15244</v>
      </c>
    </row>
    <row r="13093" spans="1:16" x14ac:dyDescent="0.25">
      <c r="A13093" t="str">
        <f>"1190034N00077    00"</f>
        <v>1190034N00077    00</v>
      </c>
      <c r="B13093" t="s">
        <v>24076</v>
      </c>
      <c r="C13093" t="s">
        <v>28841</v>
      </c>
      <c r="D13093" t="s">
        <v>20</v>
      </c>
      <c r="E13093" t="s">
        <v>39</v>
      </c>
      <c r="F13093">
        <v>0</v>
      </c>
      <c r="G13093">
        <v>0</v>
      </c>
      <c r="H13093">
        <v>2</v>
      </c>
      <c r="I13093" s="3">
        <v>2158.1799999999998</v>
      </c>
      <c r="J13093" s="3">
        <v>728.09</v>
      </c>
      <c r="L13093">
        <v>2351</v>
      </c>
      <c r="M13093" t="s">
        <v>9782</v>
      </c>
      <c r="N13093" t="s">
        <v>30</v>
      </c>
      <c r="O13093" t="s">
        <v>31</v>
      </c>
      <c r="P13093" t="str">
        <f>"15210"</f>
        <v>15210</v>
      </c>
    </row>
    <row r="13094" spans="1:16" x14ac:dyDescent="0.25">
      <c r="A13094" t="str">
        <f>"1190034N00078    00"</f>
        <v>1190034N00078    00</v>
      </c>
      <c r="B13094" t="s">
        <v>28842</v>
      </c>
      <c r="C13094" t="s">
        <v>28843</v>
      </c>
      <c r="E13094" t="s">
        <v>39</v>
      </c>
      <c r="F13094">
        <v>0</v>
      </c>
      <c r="G13094">
        <v>0</v>
      </c>
      <c r="H13094">
        <v>1</v>
      </c>
      <c r="I13094" s="3">
        <v>1021.93</v>
      </c>
      <c r="J13094" s="3">
        <v>0</v>
      </c>
      <c r="K13094" t="s">
        <v>28844</v>
      </c>
      <c r="L13094">
        <v>722</v>
      </c>
      <c r="M13094" t="s">
        <v>28659</v>
      </c>
      <c r="N13094" t="s">
        <v>30</v>
      </c>
      <c r="O13094" t="s">
        <v>31</v>
      </c>
      <c r="P13094" t="str">
        <f>"15226"</f>
        <v>15226</v>
      </c>
    </row>
    <row r="13095" spans="1:16" x14ac:dyDescent="0.25">
      <c r="A13095" t="str">
        <f>"1190034N00080    00"</f>
        <v>1190034N00080    00</v>
      </c>
      <c r="B13095" t="s">
        <v>28845</v>
      </c>
      <c r="C13095" t="s">
        <v>28846</v>
      </c>
      <c r="D13095" t="s">
        <v>20</v>
      </c>
      <c r="E13095" t="s">
        <v>39</v>
      </c>
      <c r="F13095">
        <v>0</v>
      </c>
      <c r="G13095">
        <v>0</v>
      </c>
      <c r="H13095">
        <v>1</v>
      </c>
      <c r="I13095" s="3">
        <v>45.99</v>
      </c>
      <c r="J13095" s="3">
        <v>0</v>
      </c>
      <c r="L13095">
        <v>1841</v>
      </c>
      <c r="M13095" t="s">
        <v>2837</v>
      </c>
      <c r="N13095" t="s">
        <v>30</v>
      </c>
      <c r="O13095" t="s">
        <v>31</v>
      </c>
      <c r="P13095" t="str">
        <f>"15226"</f>
        <v>15226</v>
      </c>
    </row>
    <row r="13096" spans="1:16" x14ac:dyDescent="0.25">
      <c r="A13096" t="str">
        <f>"1190035A00012    00"</f>
        <v>1190035A00012    00</v>
      </c>
      <c r="B13096" t="s">
        <v>28847</v>
      </c>
      <c r="C13096" t="s">
        <v>28648</v>
      </c>
      <c r="E13096" t="s">
        <v>39</v>
      </c>
      <c r="F13096">
        <v>0</v>
      </c>
      <c r="G13096">
        <v>0</v>
      </c>
      <c r="H13096">
        <v>1</v>
      </c>
      <c r="I13096" s="3">
        <v>35.24</v>
      </c>
      <c r="J13096" s="3">
        <v>0</v>
      </c>
      <c r="K13096" t="s">
        <v>28848</v>
      </c>
      <c r="L13096">
        <v>2064</v>
      </c>
      <c r="M13096" t="s">
        <v>26687</v>
      </c>
      <c r="N13096" t="s">
        <v>30</v>
      </c>
      <c r="O13096" t="s">
        <v>31</v>
      </c>
      <c r="P13096" t="str">
        <f>"15210"</f>
        <v>15210</v>
      </c>
    </row>
    <row r="13097" spans="1:16" x14ac:dyDescent="0.25">
      <c r="A13097" t="str">
        <f>"1190035A00013    00"</f>
        <v>1190035A00013    00</v>
      </c>
      <c r="B13097" t="s">
        <v>28847</v>
      </c>
      <c r="C13097" t="s">
        <v>28648</v>
      </c>
      <c r="E13097" t="s">
        <v>39</v>
      </c>
      <c r="F13097">
        <v>0</v>
      </c>
      <c r="G13097">
        <v>0</v>
      </c>
      <c r="H13097">
        <v>1</v>
      </c>
      <c r="I13097" s="3">
        <v>35.24</v>
      </c>
      <c r="J13097" s="3">
        <v>0</v>
      </c>
      <c r="K13097" t="s">
        <v>28848</v>
      </c>
      <c r="L13097">
        <v>2064</v>
      </c>
      <c r="M13097" t="s">
        <v>26687</v>
      </c>
      <c r="N13097" t="s">
        <v>30</v>
      </c>
      <c r="O13097" t="s">
        <v>31</v>
      </c>
      <c r="P13097" t="str">
        <f>"15210"</f>
        <v>15210</v>
      </c>
    </row>
    <row r="13098" spans="1:16" x14ac:dyDescent="0.25">
      <c r="A13098" t="str">
        <f>"1190035A00014    00"</f>
        <v>1190035A00014    00</v>
      </c>
      <c r="B13098" t="s">
        <v>28849</v>
      </c>
      <c r="C13098" t="s">
        <v>28850</v>
      </c>
      <c r="D13098" t="s">
        <v>20</v>
      </c>
      <c r="E13098" t="s">
        <v>39</v>
      </c>
      <c r="F13098">
        <v>0</v>
      </c>
      <c r="G13098">
        <v>0</v>
      </c>
      <c r="H13098">
        <v>1</v>
      </c>
      <c r="I13098" s="3">
        <v>781.46</v>
      </c>
      <c r="J13098" s="3">
        <v>0</v>
      </c>
      <c r="L13098">
        <v>1140</v>
      </c>
      <c r="M13098" t="s">
        <v>28851</v>
      </c>
      <c r="N13098" t="s">
        <v>28852</v>
      </c>
      <c r="O13098" t="s">
        <v>370</v>
      </c>
      <c r="P13098" t="str">
        <f>"32751"</f>
        <v>32751</v>
      </c>
    </row>
    <row r="13099" spans="1:16" x14ac:dyDescent="0.25">
      <c r="A13099" t="str">
        <f>"1190035A00015    00"</f>
        <v>1190035A00015    00</v>
      </c>
      <c r="B13099" t="s">
        <v>28849</v>
      </c>
      <c r="C13099" t="s">
        <v>28648</v>
      </c>
      <c r="D13099" t="s">
        <v>20</v>
      </c>
      <c r="E13099" t="s">
        <v>39</v>
      </c>
      <c r="F13099">
        <v>0</v>
      </c>
      <c r="G13099">
        <v>0</v>
      </c>
      <c r="H13099">
        <v>1</v>
      </c>
      <c r="I13099" s="3">
        <v>114.36</v>
      </c>
      <c r="J13099" s="3">
        <v>0</v>
      </c>
      <c r="L13099">
        <v>1140</v>
      </c>
      <c r="M13099" t="s">
        <v>28851</v>
      </c>
      <c r="N13099" t="s">
        <v>28852</v>
      </c>
      <c r="O13099" t="s">
        <v>370</v>
      </c>
      <c r="P13099" t="str">
        <f>"32751"</f>
        <v>32751</v>
      </c>
    </row>
    <row r="13100" spans="1:16" x14ac:dyDescent="0.25">
      <c r="A13100" t="str">
        <f>"1190035A00016    00"</f>
        <v>1190035A00016    00</v>
      </c>
      <c r="B13100" t="s">
        <v>28853</v>
      </c>
      <c r="C13100" t="s">
        <v>28648</v>
      </c>
      <c r="D13100" t="s">
        <v>20</v>
      </c>
      <c r="E13100" t="s">
        <v>39</v>
      </c>
      <c r="F13100">
        <v>0</v>
      </c>
      <c r="G13100">
        <v>0</v>
      </c>
      <c r="H13100">
        <v>19</v>
      </c>
      <c r="I13100" s="3">
        <v>5296.37</v>
      </c>
      <c r="J13100" s="3">
        <v>4410.21</v>
      </c>
      <c r="P13100" t="str">
        <f>""</f>
        <v/>
      </c>
    </row>
    <row r="13101" spans="1:16" x14ac:dyDescent="0.25">
      <c r="A13101" t="str">
        <f>"1190035A00046    00"</f>
        <v>1190035A00046    00</v>
      </c>
      <c r="B13101" t="s">
        <v>28854</v>
      </c>
      <c r="C13101" t="s">
        <v>28645</v>
      </c>
      <c r="D13101" t="s">
        <v>20</v>
      </c>
      <c r="E13101" t="s">
        <v>39</v>
      </c>
      <c r="F13101">
        <v>0</v>
      </c>
      <c r="G13101">
        <v>0</v>
      </c>
      <c r="H13101">
        <v>19</v>
      </c>
      <c r="I13101" s="3">
        <v>5296.37</v>
      </c>
      <c r="J13101" s="3">
        <v>4410.21</v>
      </c>
      <c r="P13101" t="str">
        <f>""</f>
        <v/>
      </c>
    </row>
    <row r="13102" spans="1:16" x14ac:dyDescent="0.25">
      <c r="A13102" t="str">
        <f>"1190035A00063    00"</f>
        <v>1190035A00063    00</v>
      </c>
      <c r="B13102" t="s">
        <v>28849</v>
      </c>
      <c r="C13102" t="s">
        <v>28645</v>
      </c>
      <c r="D13102" t="s">
        <v>20</v>
      </c>
      <c r="E13102" t="s">
        <v>39</v>
      </c>
      <c r="F13102">
        <v>0</v>
      </c>
      <c r="G13102">
        <v>0</v>
      </c>
      <c r="H13102">
        <v>1</v>
      </c>
      <c r="I13102" s="3">
        <v>114.36</v>
      </c>
      <c r="J13102" s="3">
        <v>0</v>
      </c>
      <c r="L13102">
        <v>1140</v>
      </c>
      <c r="M13102" t="s">
        <v>28851</v>
      </c>
      <c r="N13102" t="s">
        <v>28852</v>
      </c>
      <c r="O13102" t="s">
        <v>370</v>
      </c>
      <c r="P13102" t="str">
        <f>"32751"</f>
        <v>32751</v>
      </c>
    </row>
    <row r="13103" spans="1:16" x14ac:dyDescent="0.25">
      <c r="A13103" t="str">
        <f>"1190035A00066    00"</f>
        <v>1190035A00066    00</v>
      </c>
      <c r="B13103" t="s">
        <v>28847</v>
      </c>
      <c r="C13103" t="s">
        <v>28855</v>
      </c>
      <c r="D13103" t="s">
        <v>20</v>
      </c>
      <c r="E13103" t="s">
        <v>39</v>
      </c>
      <c r="F13103">
        <v>0</v>
      </c>
      <c r="G13103">
        <v>0</v>
      </c>
      <c r="H13103">
        <v>1</v>
      </c>
      <c r="I13103" s="3">
        <v>307.77999999999997</v>
      </c>
      <c r="J13103" s="3">
        <v>0</v>
      </c>
      <c r="K13103" t="s">
        <v>28848</v>
      </c>
      <c r="L13103">
        <v>2064</v>
      </c>
      <c r="M13103" t="s">
        <v>26687</v>
      </c>
      <c r="N13103" t="s">
        <v>30</v>
      </c>
      <c r="O13103" t="s">
        <v>31</v>
      </c>
      <c r="P13103" t="str">
        <f>"15210"</f>
        <v>15210</v>
      </c>
    </row>
    <row r="13104" spans="1:16" x14ac:dyDescent="0.25">
      <c r="A13104" t="str">
        <f>"1190035A00067    00"</f>
        <v>1190035A00067    00</v>
      </c>
      <c r="B13104" t="s">
        <v>28847</v>
      </c>
      <c r="C13104" t="s">
        <v>28855</v>
      </c>
      <c r="D13104" t="s">
        <v>20</v>
      </c>
      <c r="E13104" t="s">
        <v>39</v>
      </c>
      <c r="F13104">
        <v>0</v>
      </c>
      <c r="G13104">
        <v>0</v>
      </c>
      <c r="H13104">
        <v>1</v>
      </c>
      <c r="I13104" s="3">
        <v>35.24</v>
      </c>
      <c r="J13104" s="3">
        <v>0</v>
      </c>
      <c r="K13104" t="s">
        <v>28848</v>
      </c>
      <c r="L13104">
        <v>2064</v>
      </c>
      <c r="M13104" t="s">
        <v>26687</v>
      </c>
      <c r="N13104" t="s">
        <v>30</v>
      </c>
      <c r="O13104" t="s">
        <v>31</v>
      </c>
      <c r="P13104" t="str">
        <f>"15210"</f>
        <v>15210</v>
      </c>
    </row>
    <row r="13105" spans="1:16" x14ac:dyDescent="0.25">
      <c r="A13105" t="str">
        <f>"1190035A00082    00"</f>
        <v>1190035A00082    00</v>
      </c>
      <c r="B13105" t="s">
        <v>28856</v>
      </c>
      <c r="C13105" t="s">
        <v>28645</v>
      </c>
      <c r="D13105" t="s">
        <v>20</v>
      </c>
      <c r="E13105" t="s">
        <v>39</v>
      </c>
      <c r="F13105">
        <v>0</v>
      </c>
      <c r="G13105">
        <v>0</v>
      </c>
      <c r="H13105">
        <v>19</v>
      </c>
      <c r="I13105" s="3">
        <v>3095.77</v>
      </c>
      <c r="J13105" s="3">
        <v>3252.68</v>
      </c>
      <c r="L13105">
        <v>1527</v>
      </c>
      <c r="M13105" t="s">
        <v>28857</v>
      </c>
      <c r="N13105" t="s">
        <v>30</v>
      </c>
      <c r="O13105" t="s">
        <v>31</v>
      </c>
      <c r="P13105" t="str">
        <f>"15216"</f>
        <v>15216</v>
      </c>
    </row>
    <row r="13106" spans="1:16" x14ac:dyDescent="0.25">
      <c r="A13106" t="str">
        <f>"1190035A00094    00"</f>
        <v>1190035A00094    00</v>
      </c>
      <c r="B13106" t="s">
        <v>28847</v>
      </c>
      <c r="C13106" t="s">
        <v>28645</v>
      </c>
      <c r="E13106" t="s">
        <v>39</v>
      </c>
      <c r="F13106">
        <v>0</v>
      </c>
      <c r="G13106">
        <v>0</v>
      </c>
      <c r="H13106">
        <v>1</v>
      </c>
      <c r="I13106" s="3">
        <v>35.24</v>
      </c>
      <c r="J13106" s="3">
        <v>0</v>
      </c>
      <c r="K13106" t="s">
        <v>28848</v>
      </c>
      <c r="L13106">
        <v>2064</v>
      </c>
      <c r="M13106" t="s">
        <v>26687</v>
      </c>
      <c r="N13106" t="s">
        <v>30</v>
      </c>
      <c r="O13106" t="s">
        <v>31</v>
      </c>
      <c r="P13106" t="str">
        <f>"15210"</f>
        <v>15210</v>
      </c>
    </row>
    <row r="13107" spans="1:16" x14ac:dyDescent="0.25">
      <c r="A13107" t="str">
        <f>"1190035A00109    00"</f>
        <v>1190035A00109    00</v>
      </c>
      <c r="B13107" t="s">
        <v>28858</v>
      </c>
      <c r="C13107" t="s">
        <v>28645</v>
      </c>
      <c r="D13107" t="s">
        <v>57</v>
      </c>
      <c r="E13107" t="s">
        <v>21</v>
      </c>
      <c r="F13107">
        <v>0</v>
      </c>
      <c r="G13107">
        <v>0</v>
      </c>
      <c r="H13107">
        <v>1</v>
      </c>
      <c r="I13107" s="3">
        <v>17.62</v>
      </c>
      <c r="J13107" s="3">
        <v>0</v>
      </c>
      <c r="L13107">
        <v>1459</v>
      </c>
      <c r="M13107" t="s">
        <v>28859</v>
      </c>
      <c r="N13107" t="s">
        <v>30</v>
      </c>
      <c r="O13107" t="s">
        <v>31</v>
      </c>
      <c r="P13107" t="str">
        <f>"15216"</f>
        <v>15216</v>
      </c>
    </row>
    <row r="13108" spans="1:16" x14ac:dyDescent="0.25">
      <c r="A13108" t="str">
        <f>"1190035B00022    00"</f>
        <v>1190035B00022    00</v>
      </c>
      <c r="B13108" t="s">
        <v>28860</v>
      </c>
      <c r="C13108" t="s">
        <v>28648</v>
      </c>
      <c r="D13108" t="s">
        <v>20</v>
      </c>
      <c r="E13108" t="s">
        <v>39</v>
      </c>
      <c r="F13108">
        <v>0</v>
      </c>
      <c r="G13108">
        <v>0</v>
      </c>
      <c r="H13108">
        <v>9</v>
      </c>
      <c r="I13108" s="3">
        <v>3486.17</v>
      </c>
      <c r="J13108" s="3">
        <v>1320.06</v>
      </c>
      <c r="L13108">
        <v>1418</v>
      </c>
      <c r="M13108" t="s">
        <v>28857</v>
      </c>
      <c r="N13108" t="s">
        <v>30</v>
      </c>
      <c r="O13108" t="s">
        <v>31</v>
      </c>
      <c r="P13108" t="str">
        <f>"15216"</f>
        <v>15216</v>
      </c>
    </row>
    <row r="13109" spans="1:16" x14ac:dyDescent="0.25">
      <c r="A13109" t="str">
        <f>"1190035B00038    00"</f>
        <v>1190035B00038    00</v>
      </c>
      <c r="B13109" t="s">
        <v>28861</v>
      </c>
      <c r="C13109" t="s">
        <v>28862</v>
      </c>
      <c r="E13109" t="s">
        <v>39</v>
      </c>
      <c r="F13109">
        <v>0</v>
      </c>
      <c r="G13109">
        <v>0</v>
      </c>
      <c r="H13109">
        <v>1</v>
      </c>
      <c r="I13109" s="3">
        <v>1223.6500000000001</v>
      </c>
      <c r="J13109" s="3">
        <v>0</v>
      </c>
      <c r="K13109" t="s">
        <v>28863</v>
      </c>
      <c r="L13109">
        <v>1200</v>
      </c>
      <c r="M13109" t="s">
        <v>1990</v>
      </c>
      <c r="N13109" t="s">
        <v>30</v>
      </c>
      <c r="O13109" t="s">
        <v>31</v>
      </c>
      <c r="P13109" t="str">
        <f>"15226"</f>
        <v>15226</v>
      </c>
    </row>
    <row r="13110" spans="1:16" x14ac:dyDescent="0.25">
      <c r="A13110" t="str">
        <f>"1190035B00044    00"</f>
        <v>1190035B00044    00</v>
      </c>
      <c r="B13110" t="s">
        <v>28864</v>
      </c>
      <c r="C13110" t="s">
        <v>28599</v>
      </c>
      <c r="D13110" t="s">
        <v>20</v>
      </c>
      <c r="E13110" t="s">
        <v>39</v>
      </c>
      <c r="F13110">
        <v>0</v>
      </c>
      <c r="G13110">
        <v>0</v>
      </c>
      <c r="H13110">
        <v>6</v>
      </c>
      <c r="I13110" s="3">
        <v>674.1</v>
      </c>
      <c r="J13110" s="3">
        <v>151.19</v>
      </c>
      <c r="K13110" t="s">
        <v>1127</v>
      </c>
      <c r="M13110" t="s">
        <v>1128</v>
      </c>
      <c r="N13110" t="s">
        <v>1129</v>
      </c>
      <c r="O13110" t="s">
        <v>108</v>
      </c>
      <c r="P13110" t="str">
        <f>"76161"</f>
        <v>76161</v>
      </c>
    </row>
    <row r="13111" spans="1:16" x14ac:dyDescent="0.25">
      <c r="A13111" t="str">
        <f>"1190035B00045    00"</f>
        <v>1190035B00045    00</v>
      </c>
      <c r="B13111" t="s">
        <v>28865</v>
      </c>
      <c r="C13111" t="s">
        <v>28599</v>
      </c>
      <c r="D13111" t="s">
        <v>20</v>
      </c>
      <c r="E13111" t="s">
        <v>21</v>
      </c>
      <c r="F13111">
        <v>0</v>
      </c>
      <c r="G13111">
        <v>0</v>
      </c>
      <c r="H13111">
        <v>17</v>
      </c>
      <c r="I13111" s="3">
        <v>4439.5600000000004</v>
      </c>
      <c r="J13111" s="3">
        <v>2459.66</v>
      </c>
      <c r="L13111">
        <v>1964</v>
      </c>
      <c r="M13111" t="s">
        <v>28866</v>
      </c>
      <c r="N13111" t="s">
        <v>199</v>
      </c>
      <c r="O13111" t="s">
        <v>200</v>
      </c>
      <c r="P13111" t="str">
        <f>"10029"</f>
        <v>10029</v>
      </c>
    </row>
    <row r="13112" spans="1:16" x14ac:dyDescent="0.25">
      <c r="A13112" t="str">
        <f>"1190035B00063    00"</f>
        <v>1190035B00063    00</v>
      </c>
      <c r="B13112" t="s">
        <v>28867</v>
      </c>
      <c r="C13112" t="s">
        <v>28868</v>
      </c>
      <c r="D13112" t="s">
        <v>20</v>
      </c>
      <c r="E13112" t="s">
        <v>39</v>
      </c>
      <c r="F13112">
        <v>0</v>
      </c>
      <c r="G13112">
        <v>0</v>
      </c>
      <c r="H13112">
        <v>7</v>
      </c>
      <c r="I13112" s="3">
        <v>3980.31</v>
      </c>
      <c r="J13112" s="3">
        <v>1100.6600000000001</v>
      </c>
      <c r="K13112" t="s">
        <v>28869</v>
      </c>
      <c r="L13112">
        <v>1512</v>
      </c>
      <c r="M13112" t="s">
        <v>28657</v>
      </c>
      <c r="N13112" t="s">
        <v>30</v>
      </c>
      <c r="O13112" t="s">
        <v>31</v>
      </c>
      <c r="P13112" t="str">
        <f>"15216"</f>
        <v>15216</v>
      </c>
    </row>
    <row r="13113" spans="1:16" x14ac:dyDescent="0.25">
      <c r="A13113" t="str">
        <f>"1190035B00064    00"</f>
        <v>1190035B00064    00</v>
      </c>
      <c r="B13113" t="s">
        <v>28870</v>
      </c>
      <c r="C13113" t="s">
        <v>28599</v>
      </c>
      <c r="D13113" t="s">
        <v>20</v>
      </c>
      <c r="E13113" t="s">
        <v>39</v>
      </c>
      <c r="F13113">
        <v>0</v>
      </c>
      <c r="G13113">
        <v>0</v>
      </c>
      <c r="H13113">
        <v>16</v>
      </c>
      <c r="I13113" s="3">
        <v>4584.45</v>
      </c>
      <c r="J13113" s="3">
        <v>3305.27</v>
      </c>
      <c r="K13113" t="s">
        <v>28871</v>
      </c>
      <c r="L13113">
        <v>5743</v>
      </c>
      <c r="M13113" t="s">
        <v>28872</v>
      </c>
      <c r="N13113" t="s">
        <v>546</v>
      </c>
      <c r="O13113" t="s">
        <v>31</v>
      </c>
      <c r="P13113" t="str">
        <f>"15044"</f>
        <v>15044</v>
      </c>
    </row>
    <row r="13114" spans="1:16" x14ac:dyDescent="0.25">
      <c r="A13114" t="str">
        <f>"1190035B00069    00"</f>
        <v>1190035B00069    00</v>
      </c>
      <c r="B13114" t="s">
        <v>28873</v>
      </c>
      <c r="C13114" t="s">
        <v>28599</v>
      </c>
      <c r="D13114" t="s">
        <v>20</v>
      </c>
      <c r="E13114" t="s">
        <v>39</v>
      </c>
      <c r="F13114">
        <v>0</v>
      </c>
      <c r="G13114">
        <v>0</v>
      </c>
      <c r="H13114">
        <v>15</v>
      </c>
      <c r="I13114" s="3">
        <v>3936.24</v>
      </c>
      <c r="J13114" s="3">
        <v>2371.64</v>
      </c>
      <c r="L13114">
        <v>183</v>
      </c>
      <c r="M13114" t="s">
        <v>28874</v>
      </c>
      <c r="N13114" t="s">
        <v>30</v>
      </c>
      <c r="O13114" t="s">
        <v>31</v>
      </c>
      <c r="P13114" t="str">
        <f>"15226"</f>
        <v>15226</v>
      </c>
    </row>
    <row r="13115" spans="1:16" x14ac:dyDescent="0.25">
      <c r="A13115" t="str">
        <f>"1190035B00071    00"</f>
        <v>1190035B00071    00</v>
      </c>
      <c r="B13115" t="s">
        <v>28875</v>
      </c>
      <c r="C13115" t="s">
        <v>28599</v>
      </c>
      <c r="D13115" t="s">
        <v>20</v>
      </c>
      <c r="E13115" t="s">
        <v>39</v>
      </c>
      <c r="F13115">
        <v>0</v>
      </c>
      <c r="G13115">
        <v>0</v>
      </c>
      <c r="H13115">
        <v>19</v>
      </c>
      <c r="I13115" s="3">
        <v>3095.77</v>
      </c>
      <c r="J13115" s="3">
        <v>3252.68</v>
      </c>
      <c r="P13115" t="str">
        <f>""</f>
        <v/>
      </c>
    </row>
    <row r="13116" spans="1:16" x14ac:dyDescent="0.25">
      <c r="A13116" t="str">
        <f>"1190035B00072    00"</f>
        <v>1190035B00072    00</v>
      </c>
      <c r="B13116" t="s">
        <v>28875</v>
      </c>
      <c r="C13116" t="s">
        <v>28599</v>
      </c>
      <c r="D13116" t="s">
        <v>20</v>
      </c>
      <c r="E13116" t="s">
        <v>39</v>
      </c>
      <c r="F13116">
        <v>0</v>
      </c>
      <c r="G13116">
        <v>0</v>
      </c>
      <c r="H13116">
        <v>19</v>
      </c>
      <c r="I13116" s="3">
        <v>3095.77</v>
      </c>
      <c r="J13116" s="3">
        <v>3252.68</v>
      </c>
      <c r="P13116" t="str">
        <f>""</f>
        <v/>
      </c>
    </row>
    <row r="13117" spans="1:16" x14ac:dyDescent="0.25">
      <c r="A13117" t="str">
        <f>"1190035B00073    00"</f>
        <v>1190035B00073    00</v>
      </c>
      <c r="B13117" t="s">
        <v>28875</v>
      </c>
      <c r="C13117" t="s">
        <v>28599</v>
      </c>
      <c r="D13117" t="s">
        <v>20</v>
      </c>
      <c r="E13117" t="s">
        <v>39</v>
      </c>
      <c r="F13117">
        <v>0</v>
      </c>
      <c r="G13117">
        <v>0</v>
      </c>
      <c r="H13117">
        <v>19</v>
      </c>
      <c r="I13117" s="3">
        <v>1517.67</v>
      </c>
      <c r="J13117" s="3">
        <v>978.82</v>
      </c>
      <c r="K13117" t="s">
        <v>1008</v>
      </c>
      <c r="P13117" t="str">
        <f>""</f>
        <v/>
      </c>
    </row>
    <row r="13118" spans="1:16" x14ac:dyDescent="0.25">
      <c r="A13118" t="str">
        <f>"1190035B00074    00"</f>
        <v>1190035B00074    00</v>
      </c>
      <c r="B13118" t="s">
        <v>26380</v>
      </c>
      <c r="C13118" t="s">
        <v>28876</v>
      </c>
      <c r="D13118" t="s">
        <v>20</v>
      </c>
      <c r="E13118" t="s">
        <v>39</v>
      </c>
      <c r="F13118">
        <v>0</v>
      </c>
      <c r="G13118">
        <v>0</v>
      </c>
      <c r="H13118">
        <v>14</v>
      </c>
      <c r="I13118" s="3">
        <v>12354.67</v>
      </c>
      <c r="J13118" s="3">
        <v>8206.48</v>
      </c>
      <c r="K13118" t="s">
        <v>26381</v>
      </c>
      <c r="L13118">
        <v>1511</v>
      </c>
      <c r="M13118" t="s">
        <v>28657</v>
      </c>
      <c r="N13118" t="s">
        <v>30</v>
      </c>
      <c r="O13118" t="s">
        <v>31</v>
      </c>
      <c r="P13118" t="str">
        <f>"15216"</f>
        <v>15216</v>
      </c>
    </row>
    <row r="13119" spans="1:16" x14ac:dyDescent="0.25">
      <c r="A13119" t="str">
        <f>"1190035B00082    00"</f>
        <v>1190035B00082    00</v>
      </c>
      <c r="B13119" t="s">
        <v>28860</v>
      </c>
      <c r="C13119" t="s">
        <v>28599</v>
      </c>
      <c r="D13119" t="s">
        <v>20</v>
      </c>
      <c r="E13119" t="s">
        <v>21</v>
      </c>
      <c r="F13119">
        <v>0</v>
      </c>
      <c r="G13119">
        <v>0</v>
      </c>
      <c r="H13119">
        <v>9</v>
      </c>
      <c r="I13119" s="3">
        <v>3669.6</v>
      </c>
      <c r="J13119" s="3">
        <v>1389.52</v>
      </c>
      <c r="L13119">
        <v>1418</v>
      </c>
      <c r="M13119" t="s">
        <v>28857</v>
      </c>
      <c r="N13119" t="s">
        <v>30</v>
      </c>
      <c r="O13119" t="s">
        <v>31</v>
      </c>
      <c r="P13119" t="str">
        <f>"15216"</f>
        <v>15216</v>
      </c>
    </row>
    <row r="13120" spans="1:16" x14ac:dyDescent="0.25">
      <c r="A13120" t="str">
        <f>"1190035B00083    00"</f>
        <v>1190035B00083    00</v>
      </c>
      <c r="B13120" t="s">
        <v>28877</v>
      </c>
      <c r="C13120" t="s">
        <v>28599</v>
      </c>
      <c r="D13120" t="s">
        <v>20</v>
      </c>
      <c r="E13120" t="s">
        <v>39</v>
      </c>
      <c r="F13120">
        <v>0</v>
      </c>
      <c r="G13120">
        <v>0</v>
      </c>
      <c r="H13120">
        <v>9</v>
      </c>
      <c r="I13120" s="3">
        <v>1000.8</v>
      </c>
      <c r="J13120" s="3">
        <v>378.96</v>
      </c>
      <c r="L13120">
        <v>1418</v>
      </c>
      <c r="M13120" t="s">
        <v>28857</v>
      </c>
      <c r="N13120" t="s">
        <v>30</v>
      </c>
      <c r="O13120" t="s">
        <v>31</v>
      </c>
      <c r="P13120" t="str">
        <f>"15216"</f>
        <v>15216</v>
      </c>
    </row>
    <row r="13121" spans="1:16" x14ac:dyDescent="0.25">
      <c r="A13121" t="str">
        <f>"1190035B00084    00"</f>
        <v>1190035B00084    00</v>
      </c>
      <c r="B13121" t="s">
        <v>28877</v>
      </c>
      <c r="C13121" t="s">
        <v>28599</v>
      </c>
      <c r="D13121" t="s">
        <v>20</v>
      </c>
      <c r="E13121" t="s">
        <v>39</v>
      </c>
      <c r="F13121">
        <v>0</v>
      </c>
      <c r="G13121">
        <v>0</v>
      </c>
      <c r="H13121">
        <v>9</v>
      </c>
      <c r="I13121" s="3">
        <v>1000.8</v>
      </c>
      <c r="J13121" s="3">
        <v>378.96</v>
      </c>
      <c r="L13121">
        <v>1418</v>
      </c>
      <c r="M13121" t="s">
        <v>28857</v>
      </c>
      <c r="N13121" t="s">
        <v>30</v>
      </c>
      <c r="O13121" t="s">
        <v>31</v>
      </c>
      <c r="P13121" t="str">
        <f>"15216"</f>
        <v>15216</v>
      </c>
    </row>
    <row r="13122" spans="1:16" x14ac:dyDescent="0.25">
      <c r="A13122" t="str">
        <f>"1190035B00088    00"</f>
        <v>1190035B00088    00</v>
      </c>
      <c r="B13122" t="s">
        <v>28878</v>
      </c>
      <c r="C13122" t="s">
        <v>28599</v>
      </c>
      <c r="D13122" t="s">
        <v>20</v>
      </c>
      <c r="E13122" t="s">
        <v>39</v>
      </c>
      <c r="F13122">
        <v>0</v>
      </c>
      <c r="G13122">
        <v>0</v>
      </c>
      <c r="H13122">
        <v>19</v>
      </c>
      <c r="I13122" s="3">
        <v>3095.77</v>
      </c>
      <c r="J13122" s="3">
        <v>3252.68</v>
      </c>
      <c r="L13122">
        <v>463</v>
      </c>
      <c r="M13122" t="s">
        <v>28879</v>
      </c>
      <c r="N13122" t="s">
        <v>526</v>
      </c>
      <c r="O13122" t="s">
        <v>31</v>
      </c>
      <c r="P13122" t="str">
        <f>"15301"</f>
        <v>15301</v>
      </c>
    </row>
    <row r="13123" spans="1:16" x14ac:dyDescent="0.25">
      <c r="A13123" t="str">
        <f>"1190035B00089    00"</f>
        <v>1190035B00089    00</v>
      </c>
      <c r="B13123" t="s">
        <v>28878</v>
      </c>
      <c r="C13123" t="s">
        <v>28599</v>
      </c>
      <c r="D13123" t="s">
        <v>20</v>
      </c>
      <c r="E13123" t="s">
        <v>39</v>
      </c>
      <c r="F13123">
        <v>0</v>
      </c>
      <c r="G13123">
        <v>0</v>
      </c>
      <c r="H13123">
        <v>19</v>
      </c>
      <c r="I13123" s="3">
        <v>3095.77</v>
      </c>
      <c r="J13123" s="3">
        <v>3252.68</v>
      </c>
      <c r="L13123">
        <v>463</v>
      </c>
      <c r="M13123" t="s">
        <v>28879</v>
      </c>
      <c r="N13123" t="s">
        <v>526</v>
      </c>
      <c r="O13123" t="s">
        <v>31</v>
      </c>
      <c r="P13123" t="str">
        <f>"15301"</f>
        <v>15301</v>
      </c>
    </row>
    <row r="13124" spans="1:16" x14ac:dyDescent="0.25">
      <c r="A13124" t="str">
        <f>"1190035B00096    00"</f>
        <v>1190035B00096    00</v>
      </c>
      <c r="B13124" t="s">
        <v>28880</v>
      </c>
      <c r="C13124" t="s">
        <v>28881</v>
      </c>
      <c r="E13124" t="s">
        <v>39</v>
      </c>
      <c r="F13124">
        <v>0</v>
      </c>
      <c r="G13124">
        <v>0</v>
      </c>
      <c r="H13124">
        <v>1</v>
      </c>
      <c r="I13124" s="3">
        <v>1296.08</v>
      </c>
      <c r="J13124" s="3">
        <v>0</v>
      </c>
      <c r="K13124" t="s">
        <v>28863</v>
      </c>
      <c r="L13124">
        <v>1200</v>
      </c>
      <c r="M13124" t="s">
        <v>1990</v>
      </c>
      <c r="N13124" t="s">
        <v>30</v>
      </c>
      <c r="O13124" t="s">
        <v>31</v>
      </c>
      <c r="P13124" t="str">
        <f>"15226"</f>
        <v>15226</v>
      </c>
    </row>
    <row r="13125" spans="1:16" x14ac:dyDescent="0.25">
      <c r="A13125" t="str">
        <f>"1190035B00097    00"</f>
        <v>1190035B00097    00</v>
      </c>
      <c r="B13125" t="s">
        <v>28880</v>
      </c>
      <c r="C13125" t="s">
        <v>28599</v>
      </c>
      <c r="E13125" t="s">
        <v>39</v>
      </c>
      <c r="F13125">
        <v>0</v>
      </c>
      <c r="G13125">
        <v>0</v>
      </c>
      <c r="H13125">
        <v>1</v>
      </c>
      <c r="I13125" s="3">
        <v>114.36</v>
      </c>
      <c r="J13125" s="3">
        <v>0</v>
      </c>
      <c r="K13125" t="s">
        <v>28863</v>
      </c>
      <c r="L13125">
        <v>1200</v>
      </c>
      <c r="M13125" t="s">
        <v>1990</v>
      </c>
      <c r="N13125" t="s">
        <v>30</v>
      </c>
      <c r="O13125" t="s">
        <v>31</v>
      </c>
      <c r="P13125" t="str">
        <f>"15226"</f>
        <v>15226</v>
      </c>
    </row>
    <row r="13126" spans="1:16" x14ac:dyDescent="0.25">
      <c r="A13126" t="str">
        <f>"1190035B00098    00"</f>
        <v>1190035B00098    00</v>
      </c>
      <c r="B13126" t="s">
        <v>28882</v>
      </c>
      <c r="C13126" t="s">
        <v>28883</v>
      </c>
      <c r="E13126" t="s">
        <v>39</v>
      </c>
      <c r="F13126">
        <v>0</v>
      </c>
      <c r="G13126">
        <v>0</v>
      </c>
      <c r="H13126">
        <v>1</v>
      </c>
      <c r="I13126" s="3">
        <v>638.52</v>
      </c>
      <c r="J13126" s="3">
        <v>0</v>
      </c>
      <c r="K13126" t="s">
        <v>28863</v>
      </c>
      <c r="L13126">
        <v>1200</v>
      </c>
      <c r="M13126" t="s">
        <v>1990</v>
      </c>
      <c r="N13126" t="s">
        <v>30</v>
      </c>
      <c r="O13126" t="s">
        <v>31</v>
      </c>
      <c r="P13126" t="str">
        <f>"15226"</f>
        <v>15226</v>
      </c>
    </row>
    <row r="13127" spans="1:16" x14ac:dyDescent="0.25">
      <c r="A13127" t="str">
        <f>"1190035B00113    00"</f>
        <v>1190035B00113    00</v>
      </c>
      <c r="B13127" t="s">
        <v>28878</v>
      </c>
      <c r="C13127" t="s">
        <v>28674</v>
      </c>
      <c r="D13127" t="s">
        <v>20</v>
      </c>
      <c r="E13127" t="s">
        <v>39</v>
      </c>
      <c r="F13127">
        <v>0</v>
      </c>
      <c r="G13127">
        <v>0</v>
      </c>
      <c r="H13127">
        <v>18</v>
      </c>
      <c r="I13127" s="3">
        <v>11666.76</v>
      </c>
      <c r="J13127" s="3">
        <v>13256.44</v>
      </c>
      <c r="L13127">
        <v>463</v>
      </c>
      <c r="M13127" t="s">
        <v>28879</v>
      </c>
      <c r="N13127" t="s">
        <v>526</v>
      </c>
      <c r="O13127" t="s">
        <v>31</v>
      </c>
      <c r="P13127" t="str">
        <f>"15301"</f>
        <v>15301</v>
      </c>
    </row>
    <row r="13128" spans="1:16" x14ac:dyDescent="0.25">
      <c r="A13128" t="str">
        <f>"1190035B00114    00"</f>
        <v>1190035B00114    00</v>
      </c>
      <c r="B13128" t="s">
        <v>28878</v>
      </c>
      <c r="C13128" t="s">
        <v>28674</v>
      </c>
      <c r="D13128" t="s">
        <v>20</v>
      </c>
      <c r="E13128" t="s">
        <v>39</v>
      </c>
      <c r="F13128">
        <v>0</v>
      </c>
      <c r="G13128">
        <v>0</v>
      </c>
      <c r="H13128">
        <v>19</v>
      </c>
      <c r="I13128" s="3">
        <v>1517.67</v>
      </c>
      <c r="J13128" s="3">
        <v>978.82</v>
      </c>
      <c r="L13128">
        <v>463</v>
      </c>
      <c r="M13128" t="s">
        <v>28879</v>
      </c>
      <c r="N13128" t="s">
        <v>526</v>
      </c>
      <c r="O13128" t="s">
        <v>31</v>
      </c>
      <c r="P13128" t="str">
        <f>"15301"</f>
        <v>15301</v>
      </c>
    </row>
    <row r="13129" spans="1:16" x14ac:dyDescent="0.25">
      <c r="A13129" t="str">
        <f>"1190035B00121    00"</f>
        <v>1190035B00121    00</v>
      </c>
      <c r="B13129" t="s">
        <v>28884</v>
      </c>
      <c r="C13129" t="s">
        <v>28674</v>
      </c>
      <c r="D13129" t="s">
        <v>20</v>
      </c>
      <c r="E13129" t="s">
        <v>39</v>
      </c>
      <c r="F13129">
        <v>0</v>
      </c>
      <c r="G13129">
        <v>0</v>
      </c>
      <c r="H13129">
        <v>19</v>
      </c>
      <c r="I13129" s="3">
        <v>279.7</v>
      </c>
      <c r="J13129" s="3">
        <v>282.8</v>
      </c>
      <c r="K13129" t="s">
        <v>1037</v>
      </c>
      <c r="L13129">
        <v>1516</v>
      </c>
      <c r="M13129" t="s">
        <v>27125</v>
      </c>
      <c r="N13129" t="s">
        <v>30</v>
      </c>
      <c r="O13129" t="s">
        <v>31</v>
      </c>
      <c r="P13129" t="str">
        <f>"15216"</f>
        <v>15216</v>
      </c>
    </row>
    <row r="13130" spans="1:16" x14ac:dyDescent="0.25">
      <c r="A13130" t="str">
        <f>"1190035B00122    00"</f>
        <v>1190035B00122    00</v>
      </c>
      <c r="B13130" t="s">
        <v>28885</v>
      </c>
      <c r="C13130" t="s">
        <v>28674</v>
      </c>
      <c r="D13130" t="s">
        <v>20</v>
      </c>
      <c r="E13130" t="s">
        <v>39</v>
      </c>
      <c r="F13130">
        <v>0</v>
      </c>
      <c r="G13130">
        <v>0</v>
      </c>
      <c r="H13130">
        <v>19</v>
      </c>
      <c r="I13130" s="3">
        <v>5296.37</v>
      </c>
      <c r="J13130" s="3">
        <v>4410.21</v>
      </c>
      <c r="K13130" t="s">
        <v>1037</v>
      </c>
      <c r="L13130">
        <v>1516</v>
      </c>
      <c r="M13130" t="s">
        <v>27125</v>
      </c>
      <c r="N13130" t="s">
        <v>30</v>
      </c>
      <c r="O13130" t="s">
        <v>31</v>
      </c>
      <c r="P13130" t="str">
        <f>"15216"</f>
        <v>15216</v>
      </c>
    </row>
    <row r="13131" spans="1:16" x14ac:dyDescent="0.25">
      <c r="A13131" t="str">
        <f>"1190035B00125    00"</f>
        <v>1190035B00125    00</v>
      </c>
      <c r="B13131" t="s">
        <v>28860</v>
      </c>
      <c r="C13131" t="s">
        <v>28674</v>
      </c>
      <c r="D13131" t="s">
        <v>20</v>
      </c>
      <c r="E13131" t="s">
        <v>39</v>
      </c>
      <c r="F13131">
        <v>0</v>
      </c>
      <c r="G13131">
        <v>0</v>
      </c>
      <c r="H13131">
        <v>9</v>
      </c>
      <c r="I13131" s="3">
        <v>3869.75</v>
      </c>
      <c r="J13131" s="3">
        <v>1465.3</v>
      </c>
      <c r="L13131">
        <v>1418</v>
      </c>
      <c r="M13131" t="s">
        <v>28857</v>
      </c>
      <c r="N13131" t="s">
        <v>30</v>
      </c>
      <c r="O13131" t="s">
        <v>31</v>
      </c>
      <c r="P13131" t="str">
        <f>"15216"</f>
        <v>15216</v>
      </c>
    </row>
    <row r="13132" spans="1:16" x14ac:dyDescent="0.25">
      <c r="A13132" t="str">
        <f>"1190035B00135    00"</f>
        <v>1190035B00135    00</v>
      </c>
      <c r="B13132" t="s">
        <v>28886</v>
      </c>
      <c r="C13132" t="s">
        <v>28887</v>
      </c>
      <c r="D13132" t="s">
        <v>20</v>
      </c>
      <c r="E13132" t="s">
        <v>39</v>
      </c>
      <c r="F13132">
        <v>0</v>
      </c>
      <c r="G13132">
        <v>0</v>
      </c>
      <c r="H13132">
        <v>2</v>
      </c>
      <c r="I13132" s="3">
        <v>736.01</v>
      </c>
      <c r="J13132" s="3">
        <v>0</v>
      </c>
      <c r="L13132">
        <v>1531</v>
      </c>
      <c r="M13132" t="s">
        <v>27125</v>
      </c>
      <c r="N13132" t="s">
        <v>30</v>
      </c>
      <c r="O13132" t="s">
        <v>31</v>
      </c>
      <c r="P13132" t="str">
        <f>"15216"</f>
        <v>15216</v>
      </c>
    </row>
    <row r="13133" spans="1:16" x14ac:dyDescent="0.25">
      <c r="A13133" t="str">
        <f>"1190035B00153    00"</f>
        <v>1190035B00153    00</v>
      </c>
      <c r="B13133" t="s">
        <v>28888</v>
      </c>
      <c r="C13133" t="s">
        <v>28674</v>
      </c>
      <c r="D13133" t="s">
        <v>20</v>
      </c>
      <c r="E13133" t="s">
        <v>39</v>
      </c>
      <c r="F13133">
        <v>0</v>
      </c>
      <c r="G13133">
        <v>0</v>
      </c>
      <c r="H13133">
        <v>19</v>
      </c>
      <c r="I13133" s="3">
        <v>3693.54</v>
      </c>
      <c r="J13133" s="3">
        <v>2100.7199999999998</v>
      </c>
      <c r="K13133" t="s">
        <v>1008</v>
      </c>
      <c r="P13133" t="str">
        <f>""</f>
        <v/>
      </c>
    </row>
    <row r="13134" spans="1:16" x14ac:dyDescent="0.25">
      <c r="A13134" t="str">
        <f>"1190035B00167    00"</f>
        <v>1190035B00167    00</v>
      </c>
      <c r="B13134" t="s">
        <v>28889</v>
      </c>
      <c r="C13134" t="s">
        <v>28679</v>
      </c>
      <c r="E13134" t="s">
        <v>39</v>
      </c>
      <c r="F13134">
        <v>0</v>
      </c>
      <c r="G13134">
        <v>0</v>
      </c>
      <c r="H13134">
        <v>7</v>
      </c>
      <c r="I13134" s="3">
        <v>74.52</v>
      </c>
      <c r="J13134" s="3">
        <v>66.03</v>
      </c>
      <c r="K13134" t="s">
        <v>24736</v>
      </c>
      <c r="L13134">
        <v>1123</v>
      </c>
      <c r="M13134" t="s">
        <v>7139</v>
      </c>
      <c r="N13134" t="s">
        <v>7140</v>
      </c>
      <c r="O13134" t="s">
        <v>495</v>
      </c>
      <c r="P13134" t="str">
        <f>"91724"</f>
        <v>91724</v>
      </c>
    </row>
    <row r="13135" spans="1:16" x14ac:dyDescent="0.25">
      <c r="A13135" t="str">
        <f>"1190035B00172    00"</f>
        <v>1190035B00172    00</v>
      </c>
      <c r="B13135" t="s">
        <v>28890</v>
      </c>
      <c r="C13135" t="s">
        <v>28891</v>
      </c>
      <c r="E13135" t="s">
        <v>39</v>
      </c>
      <c r="F13135">
        <v>0</v>
      </c>
      <c r="G13135">
        <v>0</v>
      </c>
      <c r="H13135">
        <v>10</v>
      </c>
      <c r="I13135" s="3">
        <v>5705.29</v>
      </c>
      <c r="J13135" s="3">
        <v>3300.25</v>
      </c>
      <c r="L13135">
        <v>1426</v>
      </c>
      <c r="M13135" t="s">
        <v>23923</v>
      </c>
      <c r="N13135" t="s">
        <v>30</v>
      </c>
      <c r="O13135" t="s">
        <v>31</v>
      </c>
      <c r="P13135" t="str">
        <f>"15216"</f>
        <v>15216</v>
      </c>
    </row>
    <row r="13136" spans="1:16" x14ac:dyDescent="0.25">
      <c r="A13136" t="str">
        <f>"1190035B00187    00"</f>
        <v>1190035B00187    00</v>
      </c>
      <c r="B13136" t="s">
        <v>28892</v>
      </c>
      <c r="C13136" t="s">
        <v>28679</v>
      </c>
      <c r="D13136" t="s">
        <v>20</v>
      </c>
      <c r="E13136" t="s">
        <v>39</v>
      </c>
      <c r="F13136">
        <v>0</v>
      </c>
      <c r="G13136">
        <v>0</v>
      </c>
      <c r="H13136">
        <v>2</v>
      </c>
      <c r="I13136" s="3">
        <v>228.72</v>
      </c>
      <c r="J13136" s="3">
        <v>0</v>
      </c>
      <c r="K13136" t="s">
        <v>28893</v>
      </c>
      <c r="L13136">
        <v>1500</v>
      </c>
      <c r="M13136" t="s">
        <v>28894</v>
      </c>
      <c r="N13136" t="s">
        <v>30</v>
      </c>
      <c r="O13136" t="s">
        <v>31</v>
      </c>
      <c r="P13136" t="str">
        <f>"15216"</f>
        <v>15216</v>
      </c>
    </row>
    <row r="13137" spans="1:16" x14ac:dyDescent="0.25">
      <c r="A13137" t="str">
        <f>"1190035B00190    00"</f>
        <v>1190035B00190    00</v>
      </c>
      <c r="B13137" t="s">
        <v>28895</v>
      </c>
      <c r="C13137" t="s">
        <v>28679</v>
      </c>
      <c r="D13137" t="s">
        <v>20</v>
      </c>
      <c r="E13137" t="s">
        <v>39</v>
      </c>
      <c r="F13137">
        <v>0</v>
      </c>
      <c r="G13137">
        <v>0</v>
      </c>
      <c r="H13137">
        <v>17</v>
      </c>
      <c r="I13137" s="3">
        <v>2991.63</v>
      </c>
      <c r="J13137" s="3">
        <v>4187.26</v>
      </c>
      <c r="L13137">
        <v>4218</v>
      </c>
      <c r="M13137" t="s">
        <v>28896</v>
      </c>
      <c r="N13137" t="s">
        <v>22823</v>
      </c>
      <c r="O13137" t="s">
        <v>4784</v>
      </c>
      <c r="P13137" t="str">
        <f>"64111"</f>
        <v>64111</v>
      </c>
    </row>
    <row r="13138" spans="1:16" x14ac:dyDescent="0.25">
      <c r="A13138" t="str">
        <f>"1190035B00191    00"</f>
        <v>1190035B00191    00</v>
      </c>
      <c r="B13138" t="s">
        <v>28897</v>
      </c>
      <c r="C13138" t="s">
        <v>28679</v>
      </c>
      <c r="D13138" t="s">
        <v>20</v>
      </c>
      <c r="E13138" t="s">
        <v>39</v>
      </c>
      <c r="F13138">
        <v>0</v>
      </c>
      <c r="G13138">
        <v>0</v>
      </c>
      <c r="H13138">
        <v>15</v>
      </c>
      <c r="I13138" s="3">
        <v>1112.8900000000001</v>
      </c>
      <c r="J13138" s="3">
        <v>1362.42</v>
      </c>
      <c r="K13138" t="s">
        <v>28898</v>
      </c>
      <c r="L13138">
        <v>4848</v>
      </c>
      <c r="M13138" t="s">
        <v>28899</v>
      </c>
      <c r="N13138" t="s">
        <v>11414</v>
      </c>
      <c r="O13138" t="s">
        <v>495</v>
      </c>
      <c r="P13138" t="str">
        <f>"95135"</f>
        <v>95135</v>
      </c>
    </row>
    <row r="13139" spans="1:16" x14ac:dyDescent="0.25">
      <c r="A13139" t="str">
        <f>"1190035B00203    00"</f>
        <v>1190035B00203    00</v>
      </c>
      <c r="B13139" t="s">
        <v>1965</v>
      </c>
      <c r="C13139" t="s">
        <v>28900</v>
      </c>
      <c r="D13139" t="s">
        <v>20</v>
      </c>
      <c r="E13139" t="s">
        <v>39</v>
      </c>
      <c r="F13139">
        <v>0</v>
      </c>
      <c r="G13139">
        <v>0</v>
      </c>
      <c r="H13139">
        <v>1</v>
      </c>
      <c r="I13139" s="3">
        <v>1280.83</v>
      </c>
      <c r="J13139" s="3">
        <v>0</v>
      </c>
      <c r="L13139">
        <v>1552</v>
      </c>
      <c r="M13139" t="s">
        <v>14332</v>
      </c>
      <c r="N13139" t="s">
        <v>30</v>
      </c>
      <c r="O13139" t="s">
        <v>31</v>
      </c>
      <c r="P13139" t="str">
        <f>"15216"</f>
        <v>15216</v>
      </c>
    </row>
    <row r="13140" spans="1:16" x14ac:dyDescent="0.25">
      <c r="A13140" t="str">
        <f>"1190035B00205    00"</f>
        <v>1190035B00205    00</v>
      </c>
      <c r="B13140" t="s">
        <v>28901</v>
      </c>
      <c r="C13140" t="s">
        <v>28902</v>
      </c>
      <c r="D13140" t="s">
        <v>20</v>
      </c>
      <c r="E13140" t="s">
        <v>39</v>
      </c>
      <c r="F13140">
        <v>0</v>
      </c>
      <c r="G13140">
        <v>0</v>
      </c>
      <c r="H13140">
        <v>9</v>
      </c>
      <c r="I13140" s="3">
        <v>9033.94</v>
      </c>
      <c r="J13140" s="3">
        <v>4639.0200000000004</v>
      </c>
      <c r="L13140">
        <v>1515</v>
      </c>
      <c r="M13140" t="s">
        <v>23923</v>
      </c>
      <c r="N13140" t="s">
        <v>30</v>
      </c>
      <c r="O13140" t="s">
        <v>31</v>
      </c>
      <c r="P13140" t="str">
        <f>"15216"</f>
        <v>15216</v>
      </c>
    </row>
    <row r="13141" spans="1:16" x14ac:dyDescent="0.25">
      <c r="A13141" t="str">
        <f>"1190035B00236    00"</f>
        <v>1190035B00236    00</v>
      </c>
      <c r="B13141" t="s">
        <v>28903</v>
      </c>
      <c r="C13141" t="s">
        <v>28904</v>
      </c>
      <c r="D13141" t="s">
        <v>20</v>
      </c>
      <c r="E13141" t="s">
        <v>39</v>
      </c>
      <c r="F13141">
        <v>0</v>
      </c>
      <c r="G13141">
        <v>0</v>
      </c>
      <c r="H13141">
        <v>4</v>
      </c>
      <c r="I13141" s="3">
        <v>5733.38</v>
      </c>
      <c r="J13141" s="3">
        <v>393.81</v>
      </c>
      <c r="L13141">
        <v>8801</v>
      </c>
      <c r="M13141" t="s">
        <v>28905</v>
      </c>
      <c r="N13141" t="s">
        <v>30</v>
      </c>
      <c r="O13141" t="s">
        <v>31</v>
      </c>
      <c r="P13141" t="str">
        <f>"15237"</f>
        <v>15237</v>
      </c>
    </row>
    <row r="13142" spans="1:16" x14ac:dyDescent="0.25">
      <c r="A13142" t="str">
        <f>"1190035B00238    00"</f>
        <v>1190035B00238    00</v>
      </c>
      <c r="B13142" t="s">
        <v>28906</v>
      </c>
      <c r="C13142" t="s">
        <v>28907</v>
      </c>
      <c r="D13142" t="s">
        <v>20</v>
      </c>
      <c r="E13142" t="s">
        <v>39</v>
      </c>
      <c r="F13142">
        <v>0</v>
      </c>
      <c r="G13142">
        <v>0</v>
      </c>
      <c r="H13142">
        <v>1</v>
      </c>
      <c r="I13142" s="3">
        <v>319.75</v>
      </c>
      <c r="J13142" s="3">
        <v>0</v>
      </c>
      <c r="L13142">
        <v>722</v>
      </c>
      <c r="M13142" t="s">
        <v>5578</v>
      </c>
      <c r="N13142" t="s">
        <v>30</v>
      </c>
      <c r="O13142" t="s">
        <v>31</v>
      </c>
      <c r="P13142" t="str">
        <f>"15232"</f>
        <v>15232</v>
      </c>
    </row>
    <row r="13143" spans="1:16" x14ac:dyDescent="0.25">
      <c r="A13143" t="str">
        <f>"1190035B00256    00"</f>
        <v>1190035B00256    00</v>
      </c>
      <c r="B13143" t="s">
        <v>28908</v>
      </c>
      <c r="C13143" t="s">
        <v>28909</v>
      </c>
      <c r="D13143" t="s">
        <v>20</v>
      </c>
      <c r="E13143" t="s">
        <v>39</v>
      </c>
      <c r="F13143">
        <v>0</v>
      </c>
      <c r="G13143">
        <v>0</v>
      </c>
      <c r="H13143">
        <v>2</v>
      </c>
      <c r="I13143" s="3">
        <v>1114.83</v>
      </c>
      <c r="J13143" s="3">
        <v>0</v>
      </c>
      <c r="K13143" t="s">
        <v>28910</v>
      </c>
      <c r="L13143">
        <v>122</v>
      </c>
      <c r="M13143" t="s">
        <v>25156</v>
      </c>
      <c r="N13143" t="s">
        <v>1766</v>
      </c>
      <c r="O13143" t="s">
        <v>31</v>
      </c>
      <c r="P13143" t="str">
        <f>"15367"</f>
        <v>15367</v>
      </c>
    </row>
    <row r="13144" spans="1:16" x14ac:dyDescent="0.25">
      <c r="A13144" t="str">
        <f>"1190035B00263    00"</f>
        <v>1190035B00263    00</v>
      </c>
      <c r="B13144" t="s">
        <v>28911</v>
      </c>
      <c r="C13144" t="s">
        <v>28912</v>
      </c>
      <c r="D13144" t="s">
        <v>20</v>
      </c>
      <c r="E13144" t="s">
        <v>39</v>
      </c>
      <c r="F13144">
        <v>0</v>
      </c>
      <c r="G13144">
        <v>0</v>
      </c>
      <c r="H13144">
        <v>4</v>
      </c>
      <c r="I13144" s="3">
        <v>3452.64</v>
      </c>
      <c r="J13144" s="3">
        <v>401.27</v>
      </c>
      <c r="L13144">
        <v>2535</v>
      </c>
      <c r="M13144" t="s">
        <v>28913</v>
      </c>
      <c r="N13144" t="s">
        <v>30</v>
      </c>
      <c r="O13144" t="s">
        <v>31</v>
      </c>
      <c r="P13144" t="str">
        <f>"15216"</f>
        <v>15216</v>
      </c>
    </row>
    <row r="13145" spans="1:16" x14ac:dyDescent="0.25">
      <c r="A13145" t="str">
        <f>"1190035B00265    00"</f>
        <v>1190035B00265    00</v>
      </c>
      <c r="B13145" t="s">
        <v>28914</v>
      </c>
      <c r="C13145" t="s">
        <v>28699</v>
      </c>
      <c r="E13145" t="s">
        <v>39</v>
      </c>
      <c r="F13145">
        <v>0</v>
      </c>
      <c r="G13145">
        <v>0</v>
      </c>
      <c r="H13145">
        <v>2</v>
      </c>
      <c r="I13145" s="3">
        <v>445.34</v>
      </c>
      <c r="J13145" s="3">
        <v>439.44</v>
      </c>
      <c r="L13145">
        <v>225</v>
      </c>
      <c r="M13145" t="s">
        <v>28814</v>
      </c>
      <c r="N13145" t="s">
        <v>30</v>
      </c>
      <c r="O13145" t="s">
        <v>31</v>
      </c>
      <c r="P13145" t="str">
        <f>"15220"</f>
        <v>15220</v>
      </c>
    </row>
    <row r="13146" spans="1:16" x14ac:dyDescent="0.25">
      <c r="A13146" t="str">
        <f>"1190035B00271    00"</f>
        <v>1190035B00271    00</v>
      </c>
      <c r="B13146" t="s">
        <v>28915</v>
      </c>
      <c r="C13146" t="s">
        <v>28916</v>
      </c>
      <c r="E13146" t="s">
        <v>39</v>
      </c>
      <c r="F13146">
        <v>0</v>
      </c>
      <c r="G13146">
        <v>0</v>
      </c>
      <c r="H13146">
        <v>1</v>
      </c>
      <c r="I13146" s="3">
        <v>859.98</v>
      </c>
      <c r="J13146" s="3">
        <v>0</v>
      </c>
      <c r="L13146">
        <v>1509</v>
      </c>
      <c r="M13146" t="s">
        <v>14332</v>
      </c>
      <c r="N13146" t="s">
        <v>30</v>
      </c>
      <c r="O13146" t="s">
        <v>31</v>
      </c>
      <c r="P13146" t="str">
        <f>"15216"</f>
        <v>15216</v>
      </c>
    </row>
    <row r="13147" spans="1:16" x14ac:dyDescent="0.25">
      <c r="A13147" t="str">
        <f>"1190035B00281    00"</f>
        <v>1190035B00281    00</v>
      </c>
      <c r="B13147" t="s">
        <v>1965</v>
      </c>
      <c r="C13147" t="s">
        <v>28917</v>
      </c>
      <c r="D13147" t="s">
        <v>20</v>
      </c>
      <c r="E13147" t="s">
        <v>39</v>
      </c>
      <c r="F13147">
        <v>0</v>
      </c>
      <c r="G13147">
        <v>0</v>
      </c>
      <c r="H13147">
        <v>2</v>
      </c>
      <c r="I13147" s="3">
        <v>2939.06</v>
      </c>
      <c r="J13147" s="3">
        <v>0</v>
      </c>
      <c r="K13147" t="s">
        <v>28918</v>
      </c>
      <c r="L13147">
        <v>1552</v>
      </c>
      <c r="M13147" t="s">
        <v>14332</v>
      </c>
      <c r="N13147" t="s">
        <v>30</v>
      </c>
      <c r="O13147" t="s">
        <v>31</v>
      </c>
      <c r="P13147" t="str">
        <f>"15216"</f>
        <v>15216</v>
      </c>
    </row>
    <row r="13148" spans="1:16" x14ac:dyDescent="0.25">
      <c r="A13148" t="str">
        <f>"1190035C00004    00"</f>
        <v>1190035C00004    00</v>
      </c>
      <c r="B13148" t="s">
        <v>28919</v>
      </c>
      <c r="C13148" t="s">
        <v>28920</v>
      </c>
      <c r="D13148" t="s">
        <v>20</v>
      </c>
      <c r="E13148" t="s">
        <v>39</v>
      </c>
      <c r="F13148">
        <v>0</v>
      </c>
      <c r="G13148">
        <v>0</v>
      </c>
      <c r="H13148">
        <v>1</v>
      </c>
      <c r="I13148" s="3">
        <v>1660.13</v>
      </c>
      <c r="J13148" s="3">
        <v>0</v>
      </c>
      <c r="K13148" t="s">
        <v>1632</v>
      </c>
      <c r="L13148">
        <v>3001</v>
      </c>
      <c r="M13148" t="s">
        <v>330</v>
      </c>
      <c r="N13148" t="s">
        <v>331</v>
      </c>
      <c r="O13148" t="s">
        <v>108</v>
      </c>
      <c r="P13148" t="str">
        <f>"75063"</f>
        <v>75063</v>
      </c>
    </row>
    <row r="13149" spans="1:16" x14ac:dyDescent="0.25">
      <c r="A13149" t="str">
        <f>"1190035C00027    00"</f>
        <v>1190035C00027    00</v>
      </c>
      <c r="B13149" t="s">
        <v>28921</v>
      </c>
      <c r="C13149" t="s">
        <v>28922</v>
      </c>
      <c r="D13149" t="s">
        <v>20</v>
      </c>
      <c r="E13149" t="s">
        <v>39</v>
      </c>
      <c r="F13149">
        <v>0</v>
      </c>
      <c r="G13149">
        <v>0</v>
      </c>
      <c r="H13149">
        <v>2</v>
      </c>
      <c r="I13149" s="3">
        <v>781.59</v>
      </c>
      <c r="J13149" s="3">
        <v>64.73</v>
      </c>
      <c r="L13149">
        <v>416</v>
      </c>
      <c r="M13149" t="s">
        <v>28923</v>
      </c>
      <c r="N13149" t="s">
        <v>2943</v>
      </c>
      <c r="O13149" t="s">
        <v>31</v>
      </c>
      <c r="P13149" t="str">
        <f>"15025"</f>
        <v>15025</v>
      </c>
    </row>
    <row r="13150" spans="1:16" x14ac:dyDescent="0.25">
      <c r="A13150" t="str">
        <f>"1190035C00057    00"</f>
        <v>1190035C00057    00</v>
      </c>
      <c r="B13150" t="s">
        <v>28924</v>
      </c>
      <c r="C13150" t="s">
        <v>28925</v>
      </c>
      <c r="D13150" t="s">
        <v>20</v>
      </c>
      <c r="E13150" t="s">
        <v>39</v>
      </c>
      <c r="F13150">
        <v>0</v>
      </c>
      <c r="G13150">
        <v>0</v>
      </c>
      <c r="H13150">
        <v>1</v>
      </c>
      <c r="I13150" s="3">
        <v>221.57</v>
      </c>
      <c r="J13150" s="3">
        <v>0</v>
      </c>
      <c r="L13150">
        <v>1517</v>
      </c>
      <c r="M13150" t="s">
        <v>27551</v>
      </c>
      <c r="N13150" t="s">
        <v>30</v>
      </c>
      <c r="O13150" t="s">
        <v>31</v>
      </c>
      <c r="P13150" t="str">
        <f>"15216"</f>
        <v>15216</v>
      </c>
    </row>
    <row r="13151" spans="1:16" x14ac:dyDescent="0.25">
      <c r="A13151" t="str">
        <f>"1190035C00063    00"</f>
        <v>1190035C00063    00</v>
      </c>
      <c r="B13151" t="s">
        <v>28926</v>
      </c>
      <c r="C13151" t="s">
        <v>28927</v>
      </c>
      <c r="D13151" t="s">
        <v>20</v>
      </c>
      <c r="E13151" t="s">
        <v>39</v>
      </c>
      <c r="F13151">
        <v>0</v>
      </c>
      <c r="G13151">
        <v>0</v>
      </c>
      <c r="H13151">
        <v>3</v>
      </c>
      <c r="I13151" s="3">
        <v>3162.09</v>
      </c>
      <c r="J13151" s="3">
        <v>210.8</v>
      </c>
      <c r="L13151">
        <v>1529</v>
      </c>
      <c r="M13151" t="s">
        <v>27551</v>
      </c>
      <c r="N13151" t="s">
        <v>30</v>
      </c>
      <c r="O13151" t="s">
        <v>31</v>
      </c>
      <c r="P13151" t="str">
        <f>"15216"</f>
        <v>15216</v>
      </c>
    </row>
    <row r="13152" spans="1:16" x14ac:dyDescent="0.25">
      <c r="A13152" t="str">
        <f>"1190035C00069    00"</f>
        <v>1190035C00069    00</v>
      </c>
      <c r="B13152" t="s">
        <v>28928</v>
      </c>
      <c r="C13152" t="s">
        <v>28929</v>
      </c>
      <c r="E13152" t="s">
        <v>39</v>
      </c>
      <c r="F13152">
        <v>0</v>
      </c>
      <c r="G13152">
        <v>0</v>
      </c>
      <c r="H13152">
        <v>3</v>
      </c>
      <c r="I13152" s="3">
        <v>1129.3</v>
      </c>
      <c r="J13152" s="3">
        <v>341.48</v>
      </c>
      <c r="L13152">
        <v>1536</v>
      </c>
      <c r="M13152" t="s">
        <v>25827</v>
      </c>
      <c r="N13152" t="s">
        <v>30</v>
      </c>
      <c r="O13152" t="s">
        <v>31</v>
      </c>
      <c r="P13152" t="str">
        <f>"15216"</f>
        <v>15216</v>
      </c>
    </row>
    <row r="13153" spans="1:16" x14ac:dyDescent="0.25">
      <c r="A13153" t="str">
        <f>"1190035C00076    00"</f>
        <v>1190035C00076    00</v>
      </c>
      <c r="B13153" t="s">
        <v>25092</v>
      </c>
      <c r="C13153" t="s">
        <v>28930</v>
      </c>
      <c r="D13153" t="s">
        <v>20</v>
      </c>
      <c r="E13153" t="s">
        <v>39</v>
      </c>
      <c r="F13153">
        <v>0</v>
      </c>
      <c r="G13153">
        <v>0</v>
      </c>
      <c r="H13153">
        <v>2</v>
      </c>
      <c r="I13153" s="3">
        <v>445.92</v>
      </c>
      <c r="J13153" s="3">
        <v>0</v>
      </c>
      <c r="L13153">
        <v>720</v>
      </c>
      <c r="M13153" t="s">
        <v>25094</v>
      </c>
      <c r="N13153" t="s">
        <v>5232</v>
      </c>
      <c r="O13153" t="s">
        <v>3486</v>
      </c>
      <c r="P13153" t="str">
        <f>"60654"</f>
        <v>60654</v>
      </c>
    </row>
    <row r="13154" spans="1:16" x14ac:dyDescent="0.25">
      <c r="A13154" t="str">
        <f>"1190035C00084    00"</f>
        <v>1190035C00084    00</v>
      </c>
      <c r="B13154" t="s">
        <v>28931</v>
      </c>
      <c r="C13154" t="s">
        <v>28930</v>
      </c>
      <c r="D13154" t="s">
        <v>20</v>
      </c>
      <c r="E13154" t="s">
        <v>39</v>
      </c>
      <c r="F13154">
        <v>0</v>
      </c>
      <c r="G13154">
        <v>0</v>
      </c>
      <c r="H13154">
        <v>15</v>
      </c>
      <c r="I13154" s="3">
        <v>6775.91</v>
      </c>
      <c r="J13154" s="3">
        <v>5975.17</v>
      </c>
      <c r="L13154">
        <v>44</v>
      </c>
      <c r="M13154" t="s">
        <v>28932</v>
      </c>
      <c r="N13154" t="s">
        <v>199</v>
      </c>
      <c r="O13154" t="s">
        <v>200</v>
      </c>
      <c r="P13154" t="str">
        <f>"10005"</f>
        <v>10005</v>
      </c>
    </row>
    <row r="13155" spans="1:16" x14ac:dyDescent="0.25">
      <c r="A13155" t="str">
        <f>"1190035C00086    00"</f>
        <v>1190035C00086    00</v>
      </c>
      <c r="B13155" t="s">
        <v>28933</v>
      </c>
      <c r="C13155" t="s">
        <v>28934</v>
      </c>
      <c r="D13155" t="s">
        <v>20</v>
      </c>
      <c r="E13155" t="s">
        <v>39</v>
      </c>
      <c r="F13155">
        <v>0</v>
      </c>
      <c r="G13155">
        <v>0</v>
      </c>
      <c r="H13155">
        <v>1</v>
      </c>
      <c r="I13155" s="3">
        <v>773.84</v>
      </c>
      <c r="J13155" s="3">
        <v>0</v>
      </c>
      <c r="K13155" t="s">
        <v>28935</v>
      </c>
      <c r="L13155">
        <v>1523</v>
      </c>
      <c r="M13155" t="s">
        <v>28936</v>
      </c>
      <c r="N13155" t="s">
        <v>6298</v>
      </c>
      <c r="O13155" t="s">
        <v>31</v>
      </c>
      <c r="P13155" t="str">
        <f>"15012"</f>
        <v>15012</v>
      </c>
    </row>
    <row r="13156" spans="1:16" x14ac:dyDescent="0.25">
      <c r="A13156" t="str">
        <f>"1190035C00087    00"</f>
        <v>1190035C00087    00</v>
      </c>
      <c r="B13156" t="s">
        <v>1965</v>
      </c>
      <c r="C13156" t="s">
        <v>28937</v>
      </c>
      <c r="D13156" t="s">
        <v>20</v>
      </c>
      <c r="E13156" t="s">
        <v>39</v>
      </c>
      <c r="F13156">
        <v>0</v>
      </c>
      <c r="G13156">
        <v>0</v>
      </c>
      <c r="H13156">
        <v>6</v>
      </c>
      <c r="I13156" s="3">
        <v>2141.12</v>
      </c>
      <c r="J13156" s="3">
        <v>559.66</v>
      </c>
      <c r="L13156">
        <v>1552</v>
      </c>
      <c r="M13156" t="s">
        <v>14332</v>
      </c>
      <c r="N13156" t="s">
        <v>30</v>
      </c>
      <c r="O13156" t="s">
        <v>31</v>
      </c>
      <c r="P13156" t="str">
        <f>"15216"</f>
        <v>15216</v>
      </c>
    </row>
    <row r="13157" spans="1:16" x14ac:dyDescent="0.25">
      <c r="A13157" t="str">
        <f>"1190035C00095    00"</f>
        <v>1190035C00095    00</v>
      </c>
      <c r="B13157" t="s">
        <v>28938</v>
      </c>
      <c r="C13157" t="s">
        <v>28939</v>
      </c>
      <c r="E13157" t="s">
        <v>39</v>
      </c>
      <c r="F13157">
        <v>0</v>
      </c>
      <c r="G13157">
        <v>0</v>
      </c>
      <c r="H13157">
        <v>2</v>
      </c>
      <c r="I13157" s="3">
        <v>859.95</v>
      </c>
      <c r="J13157" s="3">
        <v>3.54</v>
      </c>
      <c r="K13157" t="s">
        <v>391</v>
      </c>
      <c r="L13157">
        <v>1</v>
      </c>
      <c r="M13157" t="s">
        <v>392</v>
      </c>
      <c r="N13157" t="s">
        <v>393</v>
      </c>
      <c r="O13157" t="s">
        <v>394</v>
      </c>
      <c r="P13157" t="str">
        <f>"50328"</f>
        <v>50328</v>
      </c>
    </row>
    <row r="13158" spans="1:16" x14ac:dyDescent="0.25">
      <c r="A13158" t="str">
        <f>"1190035C00096    00"</f>
        <v>1190035C00096    00</v>
      </c>
      <c r="B13158" t="s">
        <v>28938</v>
      </c>
      <c r="C13158" t="s">
        <v>28939</v>
      </c>
      <c r="E13158" t="s">
        <v>39</v>
      </c>
      <c r="F13158">
        <v>0</v>
      </c>
      <c r="G13158">
        <v>0</v>
      </c>
      <c r="H13158">
        <v>2</v>
      </c>
      <c r="I13158" s="3">
        <v>330.06</v>
      </c>
      <c r="J13158" s="3">
        <v>1.38</v>
      </c>
      <c r="K13158" t="s">
        <v>391</v>
      </c>
      <c r="L13158">
        <v>1</v>
      </c>
      <c r="M13158" t="s">
        <v>392</v>
      </c>
      <c r="N13158" t="s">
        <v>393</v>
      </c>
      <c r="O13158" t="s">
        <v>394</v>
      </c>
      <c r="P13158" t="str">
        <f>"50328"</f>
        <v>50328</v>
      </c>
    </row>
    <row r="13159" spans="1:16" x14ac:dyDescent="0.25">
      <c r="A13159" t="str">
        <f>"1190035C00098    00"</f>
        <v>1190035C00098    00</v>
      </c>
      <c r="B13159" t="s">
        <v>28940</v>
      </c>
      <c r="C13159" t="s">
        <v>28941</v>
      </c>
      <c r="D13159" t="s">
        <v>20</v>
      </c>
      <c r="E13159" t="s">
        <v>39</v>
      </c>
      <c r="F13159">
        <v>0</v>
      </c>
      <c r="G13159">
        <v>0</v>
      </c>
      <c r="H13159">
        <v>3</v>
      </c>
      <c r="I13159" s="3">
        <v>2097.37</v>
      </c>
      <c r="J13159" s="3">
        <v>9.75</v>
      </c>
      <c r="K13159" t="s">
        <v>28942</v>
      </c>
      <c r="L13159">
        <v>1412</v>
      </c>
      <c r="M13159" t="s">
        <v>25827</v>
      </c>
      <c r="N13159" t="s">
        <v>30</v>
      </c>
      <c r="O13159" t="s">
        <v>31</v>
      </c>
      <c r="P13159" t="str">
        <f>"15216"</f>
        <v>15216</v>
      </c>
    </row>
    <row r="13160" spans="1:16" x14ac:dyDescent="0.25">
      <c r="A13160" t="str">
        <f>"1190035C00113    00"</f>
        <v>1190035C00113    00</v>
      </c>
      <c r="B13160" t="s">
        <v>28943</v>
      </c>
      <c r="C13160" t="s">
        <v>28944</v>
      </c>
      <c r="D13160" t="s">
        <v>20</v>
      </c>
      <c r="E13160" t="s">
        <v>39</v>
      </c>
      <c r="F13160">
        <v>0</v>
      </c>
      <c r="G13160">
        <v>0</v>
      </c>
      <c r="H13160">
        <v>9</v>
      </c>
      <c r="I13160" s="3">
        <v>7484.22</v>
      </c>
      <c r="J13160" s="3">
        <v>3035.64</v>
      </c>
      <c r="K13160" t="s">
        <v>28945</v>
      </c>
      <c r="L13160">
        <v>1305</v>
      </c>
      <c r="M13160" t="s">
        <v>28946</v>
      </c>
      <c r="N13160" t="s">
        <v>23115</v>
      </c>
      <c r="O13160" t="s">
        <v>1005</v>
      </c>
      <c r="P13160" t="str">
        <f>"85298"</f>
        <v>85298</v>
      </c>
    </row>
    <row r="13161" spans="1:16" x14ac:dyDescent="0.25">
      <c r="A13161" t="str">
        <f>"1190035C00130    00"</f>
        <v>1190035C00130    00</v>
      </c>
      <c r="B13161" t="s">
        <v>28947</v>
      </c>
      <c r="C13161" t="s">
        <v>28948</v>
      </c>
      <c r="D13161" t="s">
        <v>20</v>
      </c>
      <c r="E13161" t="s">
        <v>39</v>
      </c>
      <c r="F13161">
        <v>0</v>
      </c>
      <c r="G13161">
        <v>0</v>
      </c>
      <c r="H13161">
        <v>6</v>
      </c>
      <c r="I13161" s="3">
        <v>6543.65</v>
      </c>
      <c r="J13161" s="3">
        <v>1678.11</v>
      </c>
      <c r="L13161">
        <v>333</v>
      </c>
      <c r="M13161" t="s">
        <v>28301</v>
      </c>
      <c r="N13161" t="s">
        <v>30</v>
      </c>
      <c r="O13161" t="s">
        <v>31</v>
      </c>
      <c r="P13161" t="str">
        <f>"15216"</f>
        <v>15216</v>
      </c>
    </row>
    <row r="13162" spans="1:16" x14ac:dyDescent="0.25">
      <c r="A13162" t="str">
        <f>"1190035C00150    00"</f>
        <v>1190035C00150    00</v>
      </c>
      <c r="B13162" t="s">
        <v>28949</v>
      </c>
      <c r="C13162" t="s">
        <v>28950</v>
      </c>
      <c r="D13162" t="s">
        <v>20</v>
      </c>
      <c r="E13162" t="s">
        <v>39</v>
      </c>
      <c r="F13162">
        <v>0</v>
      </c>
      <c r="G13162">
        <v>0</v>
      </c>
      <c r="H13162">
        <v>1</v>
      </c>
      <c r="I13162" s="3">
        <v>905.36</v>
      </c>
      <c r="J13162" s="3">
        <v>0</v>
      </c>
      <c r="K13162" t="s">
        <v>28951</v>
      </c>
      <c r="L13162">
        <v>108</v>
      </c>
      <c r="M13162" t="s">
        <v>28952</v>
      </c>
      <c r="N13162" t="s">
        <v>30</v>
      </c>
      <c r="O13162" t="s">
        <v>31</v>
      </c>
      <c r="P13162" t="str">
        <f>"15228"</f>
        <v>15228</v>
      </c>
    </row>
    <row r="13163" spans="1:16" x14ac:dyDescent="0.25">
      <c r="A13163" t="str">
        <f>"1190035C00199    00"</f>
        <v>1190035C00199    00</v>
      </c>
      <c r="B13163" t="s">
        <v>28953</v>
      </c>
      <c r="C13163" t="s">
        <v>28954</v>
      </c>
      <c r="E13163" t="s">
        <v>39</v>
      </c>
      <c r="F13163">
        <v>0</v>
      </c>
      <c r="G13163">
        <v>0</v>
      </c>
      <c r="H13163">
        <v>2</v>
      </c>
      <c r="I13163" s="3">
        <v>1244.5</v>
      </c>
      <c r="J13163" s="3">
        <v>270.23</v>
      </c>
      <c r="K13163" t="s">
        <v>5432</v>
      </c>
      <c r="L13163">
        <v>3001</v>
      </c>
      <c r="M13163" t="s">
        <v>330</v>
      </c>
      <c r="N13163" t="s">
        <v>331</v>
      </c>
      <c r="O13163" t="s">
        <v>108</v>
      </c>
      <c r="P13163" t="str">
        <f>"75063"</f>
        <v>75063</v>
      </c>
    </row>
    <row r="13164" spans="1:16" x14ac:dyDescent="0.25">
      <c r="A13164" t="str">
        <f>"1190035C00201    00"</f>
        <v>1190035C00201    00</v>
      </c>
      <c r="B13164" t="s">
        <v>28955</v>
      </c>
      <c r="C13164" t="s">
        <v>28956</v>
      </c>
      <c r="D13164" t="s">
        <v>20</v>
      </c>
      <c r="E13164" t="s">
        <v>39</v>
      </c>
      <c r="F13164">
        <v>0</v>
      </c>
      <c r="G13164">
        <v>0</v>
      </c>
      <c r="H13164">
        <v>2</v>
      </c>
      <c r="I13164" s="3">
        <v>309.5</v>
      </c>
      <c r="J13164" s="3">
        <v>0</v>
      </c>
      <c r="L13164">
        <v>1518</v>
      </c>
      <c r="M13164" t="s">
        <v>28957</v>
      </c>
      <c r="N13164" t="s">
        <v>30</v>
      </c>
      <c r="O13164" t="s">
        <v>31</v>
      </c>
      <c r="P13164" t="str">
        <f>"15216"</f>
        <v>15216</v>
      </c>
    </row>
    <row r="13165" spans="1:16" x14ac:dyDescent="0.25">
      <c r="A13165" t="str">
        <f>"1190035C00204    00"</f>
        <v>1190035C00204    00</v>
      </c>
      <c r="B13165" t="s">
        <v>28958</v>
      </c>
      <c r="C13165" t="s">
        <v>28959</v>
      </c>
      <c r="D13165" t="s">
        <v>20</v>
      </c>
      <c r="E13165" t="s">
        <v>39</v>
      </c>
      <c r="F13165">
        <v>0</v>
      </c>
      <c r="G13165">
        <v>0</v>
      </c>
      <c r="H13165">
        <v>2</v>
      </c>
      <c r="I13165" s="3">
        <v>1676.96</v>
      </c>
      <c r="J13165" s="3">
        <v>0</v>
      </c>
      <c r="L13165">
        <v>1512</v>
      </c>
      <c r="M13165" t="s">
        <v>28957</v>
      </c>
      <c r="N13165" t="s">
        <v>30</v>
      </c>
      <c r="O13165" t="s">
        <v>31</v>
      </c>
      <c r="P13165" t="str">
        <f>"15216"</f>
        <v>15216</v>
      </c>
    </row>
    <row r="13166" spans="1:16" x14ac:dyDescent="0.25">
      <c r="A13166" t="str">
        <f>"1190035C00209    00"</f>
        <v>1190035C00209    00</v>
      </c>
      <c r="B13166" t="s">
        <v>28960</v>
      </c>
      <c r="C13166" t="s">
        <v>28961</v>
      </c>
      <c r="D13166" t="s">
        <v>20</v>
      </c>
      <c r="E13166" t="s">
        <v>39</v>
      </c>
      <c r="F13166">
        <v>0</v>
      </c>
      <c r="G13166">
        <v>0</v>
      </c>
      <c r="H13166">
        <v>2</v>
      </c>
      <c r="I13166" s="3">
        <v>2287.1999999999998</v>
      </c>
      <c r="J13166" s="3">
        <v>0</v>
      </c>
      <c r="K13166" t="s">
        <v>1632</v>
      </c>
      <c r="L13166">
        <v>3001</v>
      </c>
      <c r="M13166" t="s">
        <v>330</v>
      </c>
      <c r="N13166" t="s">
        <v>331</v>
      </c>
      <c r="O13166" t="s">
        <v>108</v>
      </c>
      <c r="P13166" t="str">
        <f>"75063"</f>
        <v>75063</v>
      </c>
    </row>
    <row r="13167" spans="1:16" x14ac:dyDescent="0.25">
      <c r="A13167" t="str">
        <f>"1190035C00215    00"</f>
        <v>1190035C00215    00</v>
      </c>
      <c r="B13167" t="s">
        <v>28962</v>
      </c>
      <c r="C13167" t="s">
        <v>28963</v>
      </c>
      <c r="D13167" t="s">
        <v>20</v>
      </c>
      <c r="E13167" t="s">
        <v>39</v>
      </c>
      <c r="F13167">
        <v>0</v>
      </c>
      <c r="G13167">
        <v>0</v>
      </c>
      <c r="H13167">
        <v>2</v>
      </c>
      <c r="I13167" s="3">
        <v>945.67</v>
      </c>
      <c r="J13167" s="3">
        <v>0</v>
      </c>
      <c r="K13167" t="s">
        <v>391</v>
      </c>
      <c r="L13167">
        <v>1</v>
      </c>
      <c r="M13167" t="s">
        <v>392</v>
      </c>
      <c r="N13167" t="s">
        <v>393</v>
      </c>
      <c r="O13167" t="s">
        <v>394</v>
      </c>
      <c r="P13167" t="str">
        <f>"50328"</f>
        <v>50328</v>
      </c>
    </row>
    <row r="13168" spans="1:16" x14ac:dyDescent="0.25">
      <c r="A13168" t="str">
        <f>"1190035C00242    00"</f>
        <v>1190035C00242    00</v>
      </c>
      <c r="B13168" t="s">
        <v>28964</v>
      </c>
      <c r="C13168" t="s">
        <v>28965</v>
      </c>
      <c r="D13168" t="s">
        <v>20</v>
      </c>
      <c r="E13168" t="s">
        <v>39</v>
      </c>
      <c r="F13168">
        <v>0</v>
      </c>
      <c r="G13168">
        <v>0</v>
      </c>
      <c r="H13168">
        <v>4</v>
      </c>
      <c r="I13168" s="3">
        <v>3712.88</v>
      </c>
      <c r="J13168" s="3">
        <v>263.97000000000003</v>
      </c>
      <c r="K13168" t="s">
        <v>28966</v>
      </c>
      <c r="L13168">
        <v>1409</v>
      </c>
      <c r="M13168" t="s">
        <v>28967</v>
      </c>
      <c r="N13168" t="s">
        <v>30</v>
      </c>
      <c r="O13168" t="s">
        <v>31</v>
      </c>
      <c r="P13168" t="str">
        <f>"15216"</f>
        <v>15216</v>
      </c>
    </row>
    <row r="13169" spans="1:16" x14ac:dyDescent="0.25">
      <c r="A13169" t="str">
        <f>"1190035C00272    00"</f>
        <v>1190035C00272    00</v>
      </c>
      <c r="B13169" t="s">
        <v>28968</v>
      </c>
      <c r="C13169" t="s">
        <v>28969</v>
      </c>
      <c r="D13169" t="s">
        <v>20</v>
      </c>
      <c r="E13169" t="s">
        <v>39</v>
      </c>
      <c r="F13169">
        <v>0</v>
      </c>
      <c r="G13169">
        <v>0</v>
      </c>
      <c r="H13169">
        <v>4</v>
      </c>
      <c r="I13169" s="3">
        <v>4432.79</v>
      </c>
      <c r="J13169" s="3">
        <v>358.64</v>
      </c>
      <c r="L13169">
        <v>1428</v>
      </c>
      <c r="M13169" t="s">
        <v>28970</v>
      </c>
      <c r="N13169" t="s">
        <v>30</v>
      </c>
      <c r="O13169" t="s">
        <v>31</v>
      </c>
      <c r="P13169" t="str">
        <f>"15216"</f>
        <v>15216</v>
      </c>
    </row>
    <row r="13170" spans="1:16" x14ac:dyDescent="0.25">
      <c r="A13170" t="str">
        <f>"1190035D00002    00"</f>
        <v>1190035D00002    00</v>
      </c>
      <c r="B13170" t="s">
        <v>28971</v>
      </c>
      <c r="C13170" t="s">
        <v>28972</v>
      </c>
      <c r="E13170" t="s">
        <v>39</v>
      </c>
      <c r="F13170">
        <v>0</v>
      </c>
      <c r="G13170">
        <v>0</v>
      </c>
      <c r="H13170">
        <v>1</v>
      </c>
      <c r="I13170" s="3">
        <v>1011.7</v>
      </c>
      <c r="J13170" s="3">
        <v>227.62</v>
      </c>
      <c r="K13170" t="s">
        <v>5228</v>
      </c>
      <c r="L13170">
        <v>3001</v>
      </c>
      <c r="M13170" t="s">
        <v>330</v>
      </c>
      <c r="N13170" t="s">
        <v>331</v>
      </c>
      <c r="O13170" t="s">
        <v>108</v>
      </c>
      <c r="P13170" t="str">
        <f>"75063"</f>
        <v>75063</v>
      </c>
    </row>
    <row r="13171" spans="1:16" x14ac:dyDescent="0.25">
      <c r="A13171" t="str">
        <f>"1190035D00027    00"</f>
        <v>1190035D00027    00</v>
      </c>
      <c r="B13171" t="s">
        <v>28973</v>
      </c>
      <c r="C13171" t="s">
        <v>28974</v>
      </c>
      <c r="D13171" t="s">
        <v>20</v>
      </c>
      <c r="E13171" t="s">
        <v>39</v>
      </c>
      <c r="F13171">
        <v>0</v>
      </c>
      <c r="G13171">
        <v>0</v>
      </c>
      <c r="H13171">
        <v>1</v>
      </c>
      <c r="I13171" s="3">
        <v>604.66</v>
      </c>
      <c r="J13171" s="3">
        <v>0</v>
      </c>
      <c r="K13171" t="s">
        <v>28975</v>
      </c>
      <c r="L13171">
        <v>1315</v>
      </c>
      <c r="M13171" t="s">
        <v>28970</v>
      </c>
      <c r="N13171" t="s">
        <v>30</v>
      </c>
      <c r="O13171" t="s">
        <v>31</v>
      </c>
      <c r="P13171" t="str">
        <f>"15216"</f>
        <v>15216</v>
      </c>
    </row>
    <row r="13172" spans="1:16" x14ac:dyDescent="0.25">
      <c r="A13172" t="str">
        <f>"1190035D00032    00"</f>
        <v>1190035D00032    00</v>
      </c>
      <c r="B13172" t="s">
        <v>944</v>
      </c>
      <c r="C13172" t="s">
        <v>28976</v>
      </c>
      <c r="E13172" t="s">
        <v>39</v>
      </c>
      <c r="F13172">
        <v>0</v>
      </c>
      <c r="G13172">
        <v>0</v>
      </c>
      <c r="H13172">
        <v>2</v>
      </c>
      <c r="I13172" s="3">
        <v>5586.01</v>
      </c>
      <c r="J13172" s="3">
        <v>5817.01</v>
      </c>
      <c r="L13172">
        <v>200</v>
      </c>
      <c r="M13172" t="s">
        <v>984</v>
      </c>
      <c r="N13172" t="s">
        <v>30</v>
      </c>
      <c r="O13172" t="s">
        <v>31</v>
      </c>
      <c r="P13172" t="str">
        <f>"15219"</f>
        <v>15219</v>
      </c>
    </row>
    <row r="13173" spans="1:16" x14ac:dyDescent="0.25">
      <c r="A13173" t="str">
        <f>"1190035D00038    00"</f>
        <v>1190035D00038    00</v>
      </c>
      <c r="B13173" t="s">
        <v>27468</v>
      </c>
      <c r="C13173" t="s">
        <v>28977</v>
      </c>
      <c r="D13173" t="s">
        <v>20</v>
      </c>
      <c r="E13173" t="s">
        <v>39</v>
      </c>
      <c r="F13173">
        <v>0</v>
      </c>
      <c r="G13173">
        <v>0</v>
      </c>
      <c r="H13173">
        <v>1</v>
      </c>
      <c r="I13173" s="3">
        <v>859.62</v>
      </c>
      <c r="J13173" s="3">
        <v>0</v>
      </c>
      <c r="K13173" t="s">
        <v>27470</v>
      </c>
      <c r="L13173">
        <v>245</v>
      </c>
      <c r="M13173" t="s">
        <v>20636</v>
      </c>
      <c r="N13173" t="s">
        <v>30</v>
      </c>
      <c r="O13173" t="s">
        <v>31</v>
      </c>
      <c r="P13173" t="str">
        <f>"15228"</f>
        <v>15228</v>
      </c>
    </row>
    <row r="13174" spans="1:16" x14ac:dyDescent="0.25">
      <c r="A13174" t="str">
        <f>"1190035D00039    00"</f>
        <v>1190035D00039    00</v>
      </c>
      <c r="B13174" t="s">
        <v>27468</v>
      </c>
      <c r="C13174" t="s">
        <v>28978</v>
      </c>
      <c r="D13174" t="s">
        <v>20</v>
      </c>
      <c r="E13174" t="s">
        <v>39</v>
      </c>
      <c r="F13174">
        <v>0</v>
      </c>
      <c r="G13174">
        <v>0</v>
      </c>
      <c r="H13174">
        <v>1</v>
      </c>
      <c r="I13174" s="3">
        <v>851.99</v>
      </c>
      <c r="J13174" s="3">
        <v>0</v>
      </c>
      <c r="K13174" t="s">
        <v>27470</v>
      </c>
      <c r="L13174">
        <v>245</v>
      </c>
      <c r="M13174" t="s">
        <v>20636</v>
      </c>
      <c r="N13174" t="s">
        <v>30</v>
      </c>
      <c r="O13174" t="s">
        <v>31</v>
      </c>
      <c r="P13174" t="str">
        <f>"15228"</f>
        <v>15228</v>
      </c>
    </row>
    <row r="13175" spans="1:16" x14ac:dyDescent="0.25">
      <c r="A13175" t="str">
        <f>"1190035D00040    00"</f>
        <v>1190035D00040    00</v>
      </c>
      <c r="B13175" t="s">
        <v>27468</v>
      </c>
      <c r="C13175" t="s">
        <v>28979</v>
      </c>
      <c r="D13175" t="s">
        <v>20</v>
      </c>
      <c r="E13175" t="s">
        <v>39</v>
      </c>
      <c r="F13175">
        <v>0</v>
      </c>
      <c r="G13175">
        <v>0</v>
      </c>
      <c r="H13175">
        <v>1</v>
      </c>
      <c r="I13175" s="3">
        <v>846.29</v>
      </c>
      <c r="J13175" s="3">
        <v>0</v>
      </c>
      <c r="K13175" t="s">
        <v>27470</v>
      </c>
      <c r="L13175">
        <v>245</v>
      </c>
      <c r="M13175" t="s">
        <v>20636</v>
      </c>
      <c r="N13175" t="s">
        <v>30</v>
      </c>
      <c r="O13175" t="s">
        <v>31</v>
      </c>
      <c r="P13175" t="str">
        <f>"15228"</f>
        <v>15228</v>
      </c>
    </row>
    <row r="13176" spans="1:16" x14ac:dyDescent="0.25">
      <c r="A13176" t="str">
        <f>"1190035D00060    00"</f>
        <v>1190035D00060    00</v>
      </c>
      <c r="B13176" t="s">
        <v>28980</v>
      </c>
      <c r="C13176" t="s">
        <v>28981</v>
      </c>
      <c r="D13176" t="s">
        <v>20</v>
      </c>
      <c r="E13176" t="s">
        <v>39</v>
      </c>
      <c r="F13176">
        <v>0</v>
      </c>
      <c r="G13176">
        <v>0</v>
      </c>
      <c r="H13176">
        <v>17</v>
      </c>
      <c r="I13176" s="3">
        <v>8958.19</v>
      </c>
      <c r="J13176" s="3">
        <v>8830.86</v>
      </c>
      <c r="K13176" t="s">
        <v>28982</v>
      </c>
      <c r="L13176">
        <v>1717</v>
      </c>
      <c r="M13176" t="s">
        <v>1695</v>
      </c>
      <c r="N13176" t="s">
        <v>30</v>
      </c>
      <c r="O13176" t="s">
        <v>31</v>
      </c>
      <c r="P13176" t="str">
        <f>"15217"</f>
        <v>15217</v>
      </c>
    </row>
    <row r="13177" spans="1:16" x14ac:dyDescent="0.25">
      <c r="A13177" t="str">
        <f>"1190035D00080    00"</f>
        <v>1190035D00080    00</v>
      </c>
      <c r="B13177" t="s">
        <v>28983</v>
      </c>
      <c r="C13177" t="s">
        <v>28984</v>
      </c>
      <c r="D13177" t="s">
        <v>20</v>
      </c>
      <c r="E13177" t="s">
        <v>39</v>
      </c>
      <c r="F13177">
        <v>0</v>
      </c>
      <c r="G13177">
        <v>0</v>
      </c>
      <c r="H13177">
        <v>6</v>
      </c>
      <c r="I13177" s="3">
        <v>5920.89</v>
      </c>
      <c r="J13177" s="3">
        <v>1327.93</v>
      </c>
      <c r="L13177">
        <v>101</v>
      </c>
      <c r="M13177" t="s">
        <v>28985</v>
      </c>
      <c r="N13177" t="s">
        <v>1766</v>
      </c>
      <c r="O13177" t="s">
        <v>31</v>
      </c>
      <c r="P13177" t="str">
        <f>"15367"</f>
        <v>15367</v>
      </c>
    </row>
    <row r="13178" spans="1:16" x14ac:dyDescent="0.25">
      <c r="A13178" t="str">
        <f>"1190035D00092    00"</f>
        <v>1190035D00092    00</v>
      </c>
      <c r="B13178" t="s">
        <v>28986</v>
      </c>
      <c r="C13178" t="s">
        <v>28987</v>
      </c>
      <c r="D13178" t="s">
        <v>20</v>
      </c>
      <c r="E13178" t="s">
        <v>39</v>
      </c>
      <c r="F13178">
        <v>0</v>
      </c>
      <c r="G13178">
        <v>0</v>
      </c>
      <c r="H13178">
        <v>3</v>
      </c>
      <c r="I13178" s="3">
        <v>1761.07</v>
      </c>
      <c r="J13178" s="3">
        <v>333.44</v>
      </c>
      <c r="K13178" t="s">
        <v>28988</v>
      </c>
      <c r="L13178">
        <v>1311</v>
      </c>
      <c r="M13178" t="s">
        <v>28652</v>
      </c>
      <c r="N13178" t="s">
        <v>30</v>
      </c>
      <c r="O13178" t="s">
        <v>31</v>
      </c>
      <c r="P13178" t="str">
        <f>"15216"</f>
        <v>15216</v>
      </c>
    </row>
    <row r="13179" spans="1:16" x14ac:dyDescent="0.25">
      <c r="A13179" t="str">
        <f>"1190035D00095    00"</f>
        <v>1190035D00095    00</v>
      </c>
      <c r="B13179" t="s">
        <v>12867</v>
      </c>
      <c r="C13179" t="s">
        <v>28989</v>
      </c>
      <c r="D13179" t="s">
        <v>20</v>
      </c>
      <c r="E13179" t="s">
        <v>39</v>
      </c>
      <c r="F13179">
        <v>0</v>
      </c>
      <c r="G13179">
        <v>0</v>
      </c>
      <c r="H13179">
        <v>6</v>
      </c>
      <c r="I13179" s="3">
        <v>4627.2</v>
      </c>
      <c r="J13179" s="3">
        <v>901.55</v>
      </c>
      <c r="K13179" t="s">
        <v>28990</v>
      </c>
      <c r="L13179">
        <v>1310</v>
      </c>
      <c r="M13179" t="s">
        <v>17224</v>
      </c>
      <c r="N13179" t="s">
        <v>30</v>
      </c>
      <c r="O13179" t="s">
        <v>31</v>
      </c>
      <c r="P13179" t="str">
        <f>"15216"</f>
        <v>15216</v>
      </c>
    </row>
    <row r="13180" spans="1:16" x14ac:dyDescent="0.25">
      <c r="A13180" t="str">
        <f>"1190035D00111    00"</f>
        <v>1190035D00111    00</v>
      </c>
      <c r="B13180" t="s">
        <v>28991</v>
      </c>
      <c r="C13180" t="s">
        <v>28992</v>
      </c>
      <c r="D13180" t="s">
        <v>20</v>
      </c>
      <c r="E13180" t="s">
        <v>39</v>
      </c>
      <c r="F13180">
        <v>0</v>
      </c>
      <c r="G13180">
        <v>0</v>
      </c>
      <c r="H13180">
        <v>4</v>
      </c>
      <c r="I13180" s="3">
        <v>2384.5</v>
      </c>
      <c r="J13180" s="3">
        <v>281.67</v>
      </c>
      <c r="L13180">
        <v>24</v>
      </c>
      <c r="M13180" t="s">
        <v>28993</v>
      </c>
      <c r="N13180" t="s">
        <v>28994</v>
      </c>
      <c r="O13180" t="s">
        <v>1321</v>
      </c>
      <c r="P13180" t="str">
        <f>"89052"</f>
        <v>89052</v>
      </c>
    </row>
    <row r="13181" spans="1:16" x14ac:dyDescent="0.25">
      <c r="A13181" t="str">
        <f>"1190035D00112    00"</f>
        <v>1190035D00112    00</v>
      </c>
      <c r="B13181" t="s">
        <v>28995</v>
      </c>
      <c r="C13181" t="s">
        <v>28996</v>
      </c>
      <c r="D13181" t="s">
        <v>20</v>
      </c>
      <c r="E13181" t="s">
        <v>39</v>
      </c>
      <c r="F13181">
        <v>0</v>
      </c>
      <c r="G13181">
        <v>0</v>
      </c>
      <c r="H13181">
        <v>19</v>
      </c>
      <c r="I13181" s="3">
        <v>4811.38</v>
      </c>
      <c r="J13181" s="3">
        <v>3668.09</v>
      </c>
      <c r="L13181">
        <v>451</v>
      </c>
      <c r="M13181" t="s">
        <v>28997</v>
      </c>
      <c r="N13181" t="s">
        <v>30</v>
      </c>
      <c r="O13181" t="s">
        <v>31</v>
      </c>
      <c r="P13181" t="str">
        <f>"15216"</f>
        <v>15216</v>
      </c>
    </row>
    <row r="13182" spans="1:16" x14ac:dyDescent="0.25">
      <c r="A13182" t="str">
        <f>"1190035D00116A   00"</f>
        <v>1190035D00116A   00</v>
      </c>
      <c r="B13182" t="s">
        <v>28998</v>
      </c>
      <c r="C13182" t="s">
        <v>28999</v>
      </c>
      <c r="D13182" t="s">
        <v>20</v>
      </c>
      <c r="E13182" t="s">
        <v>39</v>
      </c>
      <c r="F13182">
        <v>0</v>
      </c>
      <c r="G13182">
        <v>0</v>
      </c>
      <c r="H13182">
        <v>4</v>
      </c>
      <c r="I13182" s="3">
        <v>3782.82</v>
      </c>
      <c r="J13182" s="3">
        <v>475.17</v>
      </c>
      <c r="L13182">
        <v>1504</v>
      </c>
      <c r="M13182" t="s">
        <v>17224</v>
      </c>
      <c r="N13182" t="s">
        <v>30</v>
      </c>
      <c r="O13182" t="s">
        <v>31</v>
      </c>
      <c r="P13182" t="str">
        <f>"15216"</f>
        <v>15216</v>
      </c>
    </row>
    <row r="13183" spans="1:16" x14ac:dyDescent="0.25">
      <c r="A13183" t="str">
        <f>"1190035D00117    00"</f>
        <v>1190035D00117    00</v>
      </c>
      <c r="B13183" t="s">
        <v>29000</v>
      </c>
      <c r="C13183" t="s">
        <v>29001</v>
      </c>
      <c r="D13183" t="s">
        <v>20</v>
      </c>
      <c r="E13183" t="s">
        <v>39</v>
      </c>
      <c r="F13183">
        <v>0</v>
      </c>
      <c r="G13183">
        <v>0</v>
      </c>
      <c r="H13183">
        <v>2</v>
      </c>
      <c r="I13183" s="3">
        <v>2900.96</v>
      </c>
      <c r="J13183" s="3">
        <v>0</v>
      </c>
      <c r="K13183" t="s">
        <v>29002</v>
      </c>
      <c r="L13183">
        <v>1506</v>
      </c>
      <c r="M13183" t="s">
        <v>17224</v>
      </c>
      <c r="N13183" t="s">
        <v>30</v>
      </c>
      <c r="O13183" t="s">
        <v>31</v>
      </c>
      <c r="P13183" t="str">
        <f>"15216"</f>
        <v>15216</v>
      </c>
    </row>
    <row r="13184" spans="1:16" x14ac:dyDescent="0.25">
      <c r="A13184" t="str">
        <f>"1190035D00124    00"</f>
        <v>1190035D00124    00</v>
      </c>
      <c r="B13184" t="s">
        <v>20634</v>
      </c>
      <c r="C13184" t="s">
        <v>29003</v>
      </c>
      <c r="D13184" t="s">
        <v>20</v>
      </c>
      <c r="E13184" t="s">
        <v>39</v>
      </c>
      <c r="F13184">
        <v>0</v>
      </c>
      <c r="G13184">
        <v>0</v>
      </c>
      <c r="H13184">
        <v>1</v>
      </c>
      <c r="I13184" s="3">
        <v>1494.33</v>
      </c>
      <c r="J13184" s="3">
        <v>0</v>
      </c>
      <c r="L13184">
        <v>245</v>
      </c>
      <c r="M13184" t="s">
        <v>20636</v>
      </c>
      <c r="N13184" t="s">
        <v>30</v>
      </c>
      <c r="O13184" t="s">
        <v>31</v>
      </c>
      <c r="P13184" t="str">
        <f>"15228"</f>
        <v>15228</v>
      </c>
    </row>
    <row r="13185" spans="1:16" x14ac:dyDescent="0.25">
      <c r="A13185" t="str">
        <f>"1190035D00157    00"</f>
        <v>1190035D00157    00</v>
      </c>
      <c r="B13185" t="s">
        <v>29004</v>
      </c>
      <c r="C13185" t="s">
        <v>29005</v>
      </c>
      <c r="E13185" t="s">
        <v>39</v>
      </c>
      <c r="F13185">
        <v>0</v>
      </c>
      <c r="G13185">
        <v>0</v>
      </c>
      <c r="H13185">
        <v>2</v>
      </c>
      <c r="I13185" s="3">
        <v>283.14</v>
      </c>
      <c r="J13185" s="3">
        <v>245.79</v>
      </c>
      <c r="L13185">
        <v>1318</v>
      </c>
      <c r="M13185" t="s">
        <v>29006</v>
      </c>
      <c r="N13185" t="s">
        <v>30</v>
      </c>
      <c r="O13185" t="s">
        <v>31</v>
      </c>
      <c r="P13185" t="str">
        <f>"15216"</f>
        <v>15216</v>
      </c>
    </row>
    <row r="13186" spans="1:16" x14ac:dyDescent="0.25">
      <c r="A13186" t="str">
        <f>"1190035D00197    00"</f>
        <v>1190035D00197    00</v>
      </c>
      <c r="B13186" t="s">
        <v>29007</v>
      </c>
      <c r="C13186" t="s">
        <v>29008</v>
      </c>
      <c r="D13186" t="s">
        <v>20</v>
      </c>
      <c r="E13186" t="s">
        <v>39</v>
      </c>
      <c r="F13186">
        <v>0</v>
      </c>
      <c r="G13186">
        <v>0</v>
      </c>
      <c r="H13186">
        <v>1</v>
      </c>
      <c r="I13186" s="3">
        <v>347.36</v>
      </c>
      <c r="J13186" s="3">
        <v>0</v>
      </c>
      <c r="L13186">
        <v>230</v>
      </c>
      <c r="M13186" t="s">
        <v>29009</v>
      </c>
      <c r="N13186" t="s">
        <v>30</v>
      </c>
      <c r="O13186" t="s">
        <v>31</v>
      </c>
      <c r="P13186" t="str">
        <f>"15216"</f>
        <v>15216</v>
      </c>
    </row>
    <row r="13187" spans="1:16" x14ac:dyDescent="0.25">
      <c r="A13187" t="str">
        <f>"1190035D00198    00"</f>
        <v>1190035D00198    00</v>
      </c>
      <c r="B13187" t="s">
        <v>29010</v>
      </c>
      <c r="C13187" t="s">
        <v>29011</v>
      </c>
      <c r="D13187" t="s">
        <v>20</v>
      </c>
      <c r="E13187" t="s">
        <v>39</v>
      </c>
      <c r="F13187">
        <v>0</v>
      </c>
      <c r="G13187">
        <v>0</v>
      </c>
      <c r="H13187">
        <v>9</v>
      </c>
      <c r="I13187" s="3">
        <v>1684.77</v>
      </c>
      <c r="J13187" s="3">
        <v>637.96</v>
      </c>
      <c r="K13187" t="s">
        <v>29012</v>
      </c>
      <c r="L13187">
        <v>2201</v>
      </c>
      <c r="M13187" t="s">
        <v>614</v>
      </c>
      <c r="N13187" t="s">
        <v>30</v>
      </c>
      <c r="O13187" t="s">
        <v>31</v>
      </c>
      <c r="P13187" t="str">
        <f>"15222"</f>
        <v>15222</v>
      </c>
    </row>
    <row r="13188" spans="1:16" x14ac:dyDescent="0.25">
      <c r="A13188" t="str">
        <f>"1190035D00200    00"</f>
        <v>1190035D00200    00</v>
      </c>
      <c r="B13188" t="s">
        <v>29013</v>
      </c>
      <c r="C13188" t="s">
        <v>29011</v>
      </c>
      <c r="D13188" t="s">
        <v>20</v>
      </c>
      <c r="E13188" t="s">
        <v>39</v>
      </c>
      <c r="F13188">
        <v>0</v>
      </c>
      <c r="G13188">
        <v>0</v>
      </c>
      <c r="H13188">
        <v>19</v>
      </c>
      <c r="I13188" s="3">
        <v>6492.81</v>
      </c>
      <c r="J13188" s="3">
        <v>5107.16</v>
      </c>
      <c r="L13188">
        <v>6387</v>
      </c>
      <c r="M13188" t="s">
        <v>29014</v>
      </c>
      <c r="N13188" t="s">
        <v>29015</v>
      </c>
      <c r="O13188" t="s">
        <v>370</v>
      </c>
      <c r="P13188" t="str">
        <f>"33308"</f>
        <v>33308</v>
      </c>
    </row>
    <row r="13189" spans="1:16" x14ac:dyDescent="0.25">
      <c r="A13189" t="str">
        <f>"1190035D00204    00"</f>
        <v>1190035D00204    00</v>
      </c>
      <c r="B13189" t="s">
        <v>29016</v>
      </c>
      <c r="C13189" t="s">
        <v>29011</v>
      </c>
      <c r="E13189" t="s">
        <v>39</v>
      </c>
      <c r="F13189">
        <v>0</v>
      </c>
      <c r="G13189">
        <v>0</v>
      </c>
      <c r="H13189">
        <v>1</v>
      </c>
      <c r="I13189" s="3">
        <v>144.86000000000001</v>
      </c>
      <c r="J13189" s="3">
        <v>28.97</v>
      </c>
      <c r="K13189" t="s">
        <v>29017</v>
      </c>
      <c r="L13189">
        <v>1537</v>
      </c>
      <c r="M13189" t="s">
        <v>29006</v>
      </c>
      <c r="N13189" t="s">
        <v>30</v>
      </c>
      <c r="O13189" t="s">
        <v>31</v>
      </c>
      <c r="P13189" t="str">
        <f>"15216"</f>
        <v>15216</v>
      </c>
    </row>
    <row r="13190" spans="1:16" x14ac:dyDescent="0.25">
      <c r="A13190" t="str">
        <f>"1190035D00255    00"</f>
        <v>1190035D00255    00</v>
      </c>
      <c r="B13190" t="s">
        <v>29018</v>
      </c>
      <c r="C13190" t="s">
        <v>28779</v>
      </c>
      <c r="D13190" t="s">
        <v>20</v>
      </c>
      <c r="E13190" t="s">
        <v>39</v>
      </c>
      <c r="F13190">
        <v>0</v>
      </c>
      <c r="G13190">
        <v>0</v>
      </c>
      <c r="H13190">
        <v>19</v>
      </c>
      <c r="I13190" s="3">
        <v>4963.12</v>
      </c>
      <c r="J13190" s="3">
        <v>3880.31</v>
      </c>
      <c r="L13190">
        <v>405</v>
      </c>
      <c r="M13190" t="s">
        <v>29019</v>
      </c>
      <c r="N13190" t="s">
        <v>541</v>
      </c>
      <c r="O13190" t="s">
        <v>31</v>
      </c>
      <c r="P13190" t="str">
        <f>"15071"</f>
        <v>15071</v>
      </c>
    </row>
    <row r="13191" spans="1:16" x14ac:dyDescent="0.25">
      <c r="A13191" t="str">
        <f>"1190035D00260    00"</f>
        <v>1190035D00260    00</v>
      </c>
      <c r="B13191" t="s">
        <v>29020</v>
      </c>
      <c r="C13191" t="s">
        <v>29011</v>
      </c>
      <c r="D13191" t="s">
        <v>20</v>
      </c>
      <c r="E13191" t="s">
        <v>39</v>
      </c>
      <c r="F13191">
        <v>0</v>
      </c>
      <c r="G13191">
        <v>0</v>
      </c>
      <c r="H13191">
        <v>2</v>
      </c>
      <c r="I13191" s="3">
        <v>228.72</v>
      </c>
      <c r="J13191" s="3">
        <v>0</v>
      </c>
      <c r="K13191" t="s">
        <v>29021</v>
      </c>
      <c r="L13191">
        <v>480</v>
      </c>
      <c r="M13191" t="s">
        <v>24565</v>
      </c>
      <c r="N13191" t="s">
        <v>24566</v>
      </c>
      <c r="O13191" t="s">
        <v>25</v>
      </c>
      <c r="P13191" t="str">
        <f>"43082"</f>
        <v>43082</v>
      </c>
    </row>
    <row r="13192" spans="1:16" x14ac:dyDescent="0.25">
      <c r="A13192" t="str">
        <f>"1190035D00262    00"</f>
        <v>1190035D00262    00</v>
      </c>
      <c r="B13192" t="s">
        <v>29020</v>
      </c>
      <c r="C13192" t="s">
        <v>29011</v>
      </c>
      <c r="D13192" t="s">
        <v>20</v>
      </c>
      <c r="E13192" t="s">
        <v>39</v>
      </c>
      <c r="F13192">
        <v>0</v>
      </c>
      <c r="G13192">
        <v>0</v>
      </c>
      <c r="H13192">
        <v>2</v>
      </c>
      <c r="I13192" s="3">
        <v>228.72</v>
      </c>
      <c r="J13192" s="3">
        <v>0</v>
      </c>
      <c r="K13192" t="s">
        <v>29021</v>
      </c>
      <c r="L13192">
        <v>480</v>
      </c>
      <c r="M13192" t="s">
        <v>24565</v>
      </c>
      <c r="N13192" t="s">
        <v>24566</v>
      </c>
      <c r="O13192" t="s">
        <v>25</v>
      </c>
      <c r="P13192" t="str">
        <f>"43082"</f>
        <v>43082</v>
      </c>
    </row>
    <row r="13193" spans="1:16" x14ac:dyDescent="0.25">
      <c r="A13193" t="str">
        <f>"1190035D00270    00"</f>
        <v>1190035D00270    00</v>
      </c>
      <c r="B13193" t="s">
        <v>29022</v>
      </c>
      <c r="C13193" t="s">
        <v>29023</v>
      </c>
      <c r="D13193" t="s">
        <v>20</v>
      </c>
      <c r="E13193" t="s">
        <v>39</v>
      </c>
      <c r="F13193">
        <v>0</v>
      </c>
      <c r="G13193">
        <v>0</v>
      </c>
      <c r="H13193">
        <v>2</v>
      </c>
      <c r="I13193" s="3">
        <v>1780.9</v>
      </c>
      <c r="J13193" s="3">
        <v>0</v>
      </c>
      <c r="L13193">
        <v>1320</v>
      </c>
      <c r="M13193" t="s">
        <v>28745</v>
      </c>
      <c r="N13193" t="s">
        <v>30</v>
      </c>
      <c r="O13193" t="s">
        <v>31</v>
      </c>
      <c r="P13193" t="str">
        <f>"15216"</f>
        <v>15216</v>
      </c>
    </row>
    <row r="13194" spans="1:16" x14ac:dyDescent="0.25">
      <c r="A13194" t="str">
        <f>"1190035D00283    00"</f>
        <v>1190035D00283    00</v>
      </c>
      <c r="B13194" t="s">
        <v>29024</v>
      </c>
      <c r="C13194" t="s">
        <v>29025</v>
      </c>
      <c r="D13194" t="s">
        <v>20</v>
      </c>
      <c r="E13194" t="s">
        <v>39</v>
      </c>
      <c r="F13194">
        <v>0</v>
      </c>
      <c r="G13194">
        <v>0</v>
      </c>
      <c r="H13194">
        <v>8</v>
      </c>
      <c r="I13194" s="3">
        <v>3833.57</v>
      </c>
      <c r="J13194" s="3">
        <v>1084.82</v>
      </c>
      <c r="L13194">
        <v>309</v>
      </c>
      <c r="M13194" t="s">
        <v>23695</v>
      </c>
      <c r="N13194" t="s">
        <v>30</v>
      </c>
      <c r="O13194" t="s">
        <v>31</v>
      </c>
      <c r="P13194" t="str">
        <f>"15216"</f>
        <v>15216</v>
      </c>
    </row>
    <row r="13195" spans="1:16" x14ac:dyDescent="0.25">
      <c r="A13195" t="str">
        <f>"1190035D00290    00"</f>
        <v>1190035D00290    00</v>
      </c>
      <c r="B13195" t="s">
        <v>29026</v>
      </c>
      <c r="C13195" t="s">
        <v>29027</v>
      </c>
      <c r="E13195" t="s">
        <v>39</v>
      </c>
      <c r="F13195">
        <v>0</v>
      </c>
      <c r="G13195">
        <v>0</v>
      </c>
      <c r="H13195">
        <v>6</v>
      </c>
      <c r="I13195" s="3">
        <v>4607.59</v>
      </c>
      <c r="J13195" s="3">
        <v>5557.25</v>
      </c>
      <c r="K13195" t="s">
        <v>23554</v>
      </c>
      <c r="L13195">
        <v>829</v>
      </c>
      <c r="M13195" t="s">
        <v>2475</v>
      </c>
      <c r="N13195" t="s">
        <v>30</v>
      </c>
      <c r="O13195" t="s">
        <v>31</v>
      </c>
      <c r="P13195" t="str">
        <f>"15210"</f>
        <v>15210</v>
      </c>
    </row>
    <row r="13196" spans="1:16" x14ac:dyDescent="0.25">
      <c r="A13196" t="str">
        <f>"1190035E00010    00"</f>
        <v>1190035E00010    00</v>
      </c>
      <c r="B13196" t="s">
        <v>29028</v>
      </c>
      <c r="C13196" t="s">
        <v>29029</v>
      </c>
      <c r="E13196" t="s">
        <v>39</v>
      </c>
      <c r="F13196">
        <v>0</v>
      </c>
      <c r="G13196">
        <v>0</v>
      </c>
      <c r="H13196">
        <v>1</v>
      </c>
      <c r="I13196" s="3">
        <v>172.71</v>
      </c>
      <c r="J13196" s="3">
        <v>0</v>
      </c>
      <c r="L13196">
        <v>1535</v>
      </c>
      <c r="M13196" t="s">
        <v>28857</v>
      </c>
      <c r="N13196" t="s">
        <v>30</v>
      </c>
      <c r="O13196" t="s">
        <v>31</v>
      </c>
      <c r="P13196" t="str">
        <f>"15216"</f>
        <v>15216</v>
      </c>
    </row>
    <row r="13197" spans="1:16" x14ac:dyDescent="0.25">
      <c r="A13197" t="str">
        <f>"1190035E00011    00"</f>
        <v>1190035E00011    00</v>
      </c>
      <c r="B13197" t="s">
        <v>29030</v>
      </c>
      <c r="C13197" t="s">
        <v>28645</v>
      </c>
      <c r="D13197" t="s">
        <v>20</v>
      </c>
      <c r="E13197" t="s">
        <v>39</v>
      </c>
      <c r="F13197">
        <v>0</v>
      </c>
      <c r="G13197">
        <v>0</v>
      </c>
      <c r="H13197">
        <v>2</v>
      </c>
      <c r="I13197" s="3">
        <v>228.72</v>
      </c>
      <c r="J13197" s="3">
        <v>0</v>
      </c>
      <c r="L13197">
        <v>1537</v>
      </c>
      <c r="M13197" t="s">
        <v>28857</v>
      </c>
      <c r="N13197" t="s">
        <v>30</v>
      </c>
      <c r="O13197" t="s">
        <v>31</v>
      </c>
      <c r="P13197" t="str">
        <f>"15216"</f>
        <v>15216</v>
      </c>
    </row>
    <row r="13198" spans="1:16" x14ac:dyDescent="0.25">
      <c r="A13198" t="str">
        <f>"1190035E00012    00"</f>
        <v>1190035E00012    00</v>
      </c>
      <c r="B13198" t="s">
        <v>29030</v>
      </c>
      <c r="C13198" t="s">
        <v>29031</v>
      </c>
      <c r="D13198" t="s">
        <v>20</v>
      </c>
      <c r="E13198" t="s">
        <v>39</v>
      </c>
      <c r="F13198">
        <v>0</v>
      </c>
      <c r="G13198">
        <v>0</v>
      </c>
      <c r="H13198">
        <v>2</v>
      </c>
      <c r="I13198" s="3">
        <v>649.04</v>
      </c>
      <c r="J13198" s="3">
        <v>0</v>
      </c>
      <c r="L13198">
        <v>1537</v>
      </c>
      <c r="M13198" t="s">
        <v>28857</v>
      </c>
      <c r="N13198" t="s">
        <v>30</v>
      </c>
      <c r="O13198" t="s">
        <v>31</v>
      </c>
      <c r="P13198" t="str">
        <f>"15216"</f>
        <v>15216</v>
      </c>
    </row>
    <row r="13199" spans="1:16" x14ac:dyDescent="0.25">
      <c r="A13199" t="str">
        <f>"1190035E00013    00"</f>
        <v>1190035E00013    00</v>
      </c>
      <c r="B13199" t="s">
        <v>22797</v>
      </c>
      <c r="C13199" t="s">
        <v>29032</v>
      </c>
      <c r="D13199" t="s">
        <v>20</v>
      </c>
      <c r="E13199" t="s">
        <v>39</v>
      </c>
      <c r="F13199">
        <v>0</v>
      </c>
      <c r="G13199">
        <v>0</v>
      </c>
      <c r="H13199">
        <v>4</v>
      </c>
      <c r="I13199" s="3">
        <v>455.64</v>
      </c>
      <c r="J13199" s="3">
        <v>53.82</v>
      </c>
      <c r="K13199" t="s">
        <v>8122</v>
      </c>
      <c r="L13199">
        <v>999</v>
      </c>
      <c r="M13199" t="s">
        <v>8123</v>
      </c>
      <c r="N13199" t="s">
        <v>8124</v>
      </c>
      <c r="O13199" t="s">
        <v>658</v>
      </c>
      <c r="P13199" t="str">
        <f>"73118"</f>
        <v>73118</v>
      </c>
    </row>
    <row r="13200" spans="1:16" x14ac:dyDescent="0.25">
      <c r="A13200" t="str">
        <f>"1190035E00017    00"</f>
        <v>1190035E00017    00</v>
      </c>
      <c r="B13200" t="s">
        <v>22797</v>
      </c>
      <c r="C13200" t="s">
        <v>29032</v>
      </c>
      <c r="D13200" t="s">
        <v>20</v>
      </c>
      <c r="E13200" t="s">
        <v>39</v>
      </c>
      <c r="F13200">
        <v>0</v>
      </c>
      <c r="G13200">
        <v>0</v>
      </c>
      <c r="H13200">
        <v>4</v>
      </c>
      <c r="I13200" s="3">
        <v>4867.7700000000004</v>
      </c>
      <c r="J13200" s="3">
        <v>575.02</v>
      </c>
      <c r="K13200" t="s">
        <v>8122</v>
      </c>
      <c r="L13200">
        <v>999</v>
      </c>
      <c r="M13200" t="s">
        <v>8123</v>
      </c>
      <c r="N13200" t="s">
        <v>8124</v>
      </c>
      <c r="O13200" t="s">
        <v>658</v>
      </c>
      <c r="P13200" t="str">
        <f>"73118"</f>
        <v>73118</v>
      </c>
    </row>
    <row r="13201" spans="1:16" x14ac:dyDescent="0.25">
      <c r="A13201" t="str">
        <f>"1190035E00067    00"</f>
        <v>1190035E00067    00</v>
      </c>
      <c r="B13201" t="s">
        <v>29033</v>
      </c>
      <c r="C13201" t="s">
        <v>29034</v>
      </c>
      <c r="E13201" t="s">
        <v>39</v>
      </c>
      <c r="F13201">
        <v>0</v>
      </c>
      <c r="G13201">
        <v>0</v>
      </c>
      <c r="H13201">
        <v>1</v>
      </c>
      <c r="I13201" s="3">
        <v>336.56</v>
      </c>
      <c r="J13201" s="3">
        <v>0</v>
      </c>
      <c r="K13201" t="s">
        <v>417</v>
      </c>
      <c r="L13201">
        <v>3001</v>
      </c>
      <c r="M13201" t="s">
        <v>330</v>
      </c>
      <c r="N13201" t="s">
        <v>331</v>
      </c>
      <c r="O13201" t="s">
        <v>108</v>
      </c>
      <c r="P13201" t="str">
        <f>"75063"</f>
        <v>75063</v>
      </c>
    </row>
    <row r="13202" spans="1:16" x14ac:dyDescent="0.25">
      <c r="A13202" t="str">
        <f>"1190035E00069    00"</f>
        <v>1190035E00069    00</v>
      </c>
      <c r="B13202" t="s">
        <v>29035</v>
      </c>
      <c r="C13202" t="s">
        <v>28645</v>
      </c>
      <c r="D13202" t="s">
        <v>20</v>
      </c>
      <c r="E13202" t="s">
        <v>39</v>
      </c>
      <c r="F13202">
        <v>0</v>
      </c>
      <c r="G13202">
        <v>0</v>
      </c>
      <c r="H13202">
        <v>1</v>
      </c>
      <c r="I13202" s="3">
        <v>101.64</v>
      </c>
      <c r="J13202" s="3">
        <v>0</v>
      </c>
      <c r="L13202">
        <v>1534</v>
      </c>
      <c r="M13202" t="s">
        <v>28857</v>
      </c>
      <c r="N13202" t="s">
        <v>30</v>
      </c>
      <c r="O13202" t="s">
        <v>31</v>
      </c>
      <c r="P13202" t="str">
        <f>"15216"</f>
        <v>15216</v>
      </c>
    </row>
    <row r="13203" spans="1:16" x14ac:dyDescent="0.25">
      <c r="A13203" t="str">
        <f>"1190035E00072    00"</f>
        <v>1190035E00072    00</v>
      </c>
      <c r="B13203" t="s">
        <v>29036</v>
      </c>
      <c r="C13203" t="s">
        <v>29037</v>
      </c>
      <c r="D13203" t="s">
        <v>20</v>
      </c>
      <c r="E13203" t="s">
        <v>39</v>
      </c>
      <c r="F13203">
        <v>0</v>
      </c>
      <c r="G13203">
        <v>0</v>
      </c>
      <c r="H13203">
        <v>19</v>
      </c>
      <c r="I13203" s="3">
        <v>5123.8</v>
      </c>
      <c r="J13203" s="3">
        <v>4161.4799999999996</v>
      </c>
      <c r="P13203" t="str">
        <f>""</f>
        <v/>
      </c>
    </row>
    <row r="13204" spans="1:16" x14ac:dyDescent="0.25">
      <c r="A13204" t="str">
        <f>"1190035E00074    00"</f>
        <v>1190035E00074    00</v>
      </c>
      <c r="B13204" t="s">
        <v>29038</v>
      </c>
      <c r="C13204" t="s">
        <v>29037</v>
      </c>
      <c r="D13204" t="s">
        <v>20</v>
      </c>
      <c r="E13204" t="s">
        <v>39</v>
      </c>
      <c r="F13204">
        <v>0</v>
      </c>
      <c r="G13204">
        <v>0</v>
      </c>
      <c r="H13204">
        <v>19</v>
      </c>
      <c r="I13204" s="3">
        <v>6124.81</v>
      </c>
      <c r="J13204" s="3">
        <v>4778.2299999999996</v>
      </c>
      <c r="L13204">
        <v>2034</v>
      </c>
      <c r="M13204" t="s">
        <v>29039</v>
      </c>
      <c r="N13204" t="s">
        <v>29040</v>
      </c>
      <c r="O13204" t="s">
        <v>31</v>
      </c>
      <c r="P13204" t="str">
        <f>"15220"</f>
        <v>15220</v>
      </c>
    </row>
    <row r="13205" spans="1:16" x14ac:dyDescent="0.25">
      <c r="A13205" t="str">
        <f>"1190035E00078    00"</f>
        <v>1190035E00078    00</v>
      </c>
      <c r="B13205" t="s">
        <v>29041</v>
      </c>
      <c r="C13205" t="s">
        <v>29037</v>
      </c>
      <c r="D13205" t="s">
        <v>20</v>
      </c>
      <c r="E13205" t="s">
        <v>39</v>
      </c>
      <c r="F13205">
        <v>0</v>
      </c>
      <c r="G13205">
        <v>0</v>
      </c>
      <c r="H13205">
        <v>19</v>
      </c>
      <c r="I13205" s="3">
        <v>1077.8499999999999</v>
      </c>
      <c r="J13205" s="3">
        <v>952.19</v>
      </c>
      <c r="L13205">
        <v>1543</v>
      </c>
      <c r="M13205" t="s">
        <v>29042</v>
      </c>
      <c r="N13205" t="s">
        <v>30</v>
      </c>
      <c r="O13205" t="s">
        <v>31</v>
      </c>
      <c r="P13205" t="str">
        <f>"15216"</f>
        <v>15216</v>
      </c>
    </row>
    <row r="13206" spans="1:16" x14ac:dyDescent="0.25">
      <c r="A13206" t="str">
        <f>"1190035E00081    00"</f>
        <v>1190035E00081    00</v>
      </c>
      <c r="B13206" t="s">
        <v>29043</v>
      </c>
      <c r="C13206" t="s">
        <v>29037</v>
      </c>
      <c r="D13206" t="s">
        <v>20</v>
      </c>
      <c r="E13206" t="s">
        <v>39</v>
      </c>
      <c r="F13206">
        <v>0</v>
      </c>
      <c r="G13206">
        <v>0</v>
      </c>
      <c r="H13206">
        <v>19</v>
      </c>
      <c r="I13206" s="3">
        <v>438.94</v>
      </c>
      <c r="J13206" s="3">
        <v>412.01</v>
      </c>
      <c r="L13206">
        <v>1551</v>
      </c>
      <c r="M13206" t="s">
        <v>29042</v>
      </c>
      <c r="N13206" t="s">
        <v>30</v>
      </c>
      <c r="O13206" t="s">
        <v>31</v>
      </c>
      <c r="P13206" t="str">
        <f>"15216"</f>
        <v>15216</v>
      </c>
    </row>
    <row r="13207" spans="1:16" x14ac:dyDescent="0.25">
      <c r="A13207" t="str">
        <f>"1190035E00085    00"</f>
        <v>1190035E00085    00</v>
      </c>
      <c r="B13207" t="s">
        <v>28609</v>
      </c>
      <c r="C13207" t="s">
        <v>29044</v>
      </c>
      <c r="D13207" t="s">
        <v>33</v>
      </c>
      <c r="E13207" t="s">
        <v>39</v>
      </c>
      <c r="F13207">
        <v>0</v>
      </c>
      <c r="G13207">
        <v>0</v>
      </c>
      <c r="H13207">
        <v>5</v>
      </c>
      <c r="I13207" s="3">
        <v>351.34</v>
      </c>
      <c r="J13207" s="3">
        <v>14.47</v>
      </c>
      <c r="K13207" t="s">
        <v>28611</v>
      </c>
      <c r="L13207">
        <v>76</v>
      </c>
      <c r="M13207" t="s">
        <v>25043</v>
      </c>
      <c r="N13207" t="s">
        <v>30</v>
      </c>
      <c r="O13207" t="s">
        <v>31</v>
      </c>
      <c r="P13207" t="str">
        <f>"15210"</f>
        <v>15210</v>
      </c>
    </row>
    <row r="13208" spans="1:16" x14ac:dyDescent="0.25">
      <c r="A13208" t="str">
        <f>"1190035E00086    00"</f>
        <v>1190035E00086    00</v>
      </c>
      <c r="B13208" t="s">
        <v>28609</v>
      </c>
      <c r="C13208" t="s">
        <v>29044</v>
      </c>
      <c r="D13208" t="s">
        <v>57</v>
      </c>
      <c r="E13208" t="s">
        <v>39</v>
      </c>
      <c r="F13208">
        <v>0</v>
      </c>
      <c r="G13208">
        <v>0</v>
      </c>
      <c r="H13208">
        <v>5</v>
      </c>
      <c r="I13208" s="3">
        <v>4061.98</v>
      </c>
      <c r="J13208" s="3">
        <v>172.53</v>
      </c>
      <c r="K13208" t="s">
        <v>28611</v>
      </c>
      <c r="L13208">
        <v>76</v>
      </c>
      <c r="M13208" t="s">
        <v>25043</v>
      </c>
      <c r="N13208" t="s">
        <v>30</v>
      </c>
      <c r="O13208" t="s">
        <v>31</v>
      </c>
      <c r="P13208" t="str">
        <f>"15210"</f>
        <v>15210</v>
      </c>
    </row>
    <row r="13209" spans="1:16" x14ac:dyDescent="0.25">
      <c r="A13209" t="str">
        <f>"1190035E00109    00"</f>
        <v>1190035E00109    00</v>
      </c>
      <c r="B13209" t="s">
        <v>29045</v>
      </c>
      <c r="C13209" t="s">
        <v>29037</v>
      </c>
      <c r="D13209" t="s">
        <v>20</v>
      </c>
      <c r="E13209" t="s">
        <v>39</v>
      </c>
      <c r="F13209">
        <v>0</v>
      </c>
      <c r="G13209">
        <v>0</v>
      </c>
      <c r="H13209">
        <v>19</v>
      </c>
      <c r="I13209" s="3">
        <v>2923.2</v>
      </c>
      <c r="J13209" s="3">
        <v>3003.95</v>
      </c>
      <c r="L13209">
        <v>597</v>
      </c>
      <c r="M13209" t="s">
        <v>29046</v>
      </c>
      <c r="N13209" t="s">
        <v>30</v>
      </c>
      <c r="O13209" t="s">
        <v>31</v>
      </c>
      <c r="P13209" t="str">
        <f>"15236"</f>
        <v>15236</v>
      </c>
    </row>
    <row r="13210" spans="1:16" x14ac:dyDescent="0.25">
      <c r="A13210" t="str">
        <f>"1190035E00110    00"</f>
        <v>1190035E00110    00</v>
      </c>
      <c r="B13210" t="s">
        <v>29045</v>
      </c>
      <c r="C13210" t="s">
        <v>29037</v>
      </c>
      <c r="D13210" t="s">
        <v>20</v>
      </c>
      <c r="E13210" t="s">
        <v>39</v>
      </c>
      <c r="F13210">
        <v>0</v>
      </c>
      <c r="G13210">
        <v>0</v>
      </c>
      <c r="H13210">
        <v>19</v>
      </c>
      <c r="I13210" s="3">
        <v>2923.2</v>
      </c>
      <c r="J13210" s="3">
        <v>3003.95</v>
      </c>
      <c r="L13210">
        <v>597</v>
      </c>
      <c r="M13210" t="s">
        <v>29046</v>
      </c>
      <c r="N13210" t="s">
        <v>30</v>
      </c>
      <c r="O13210" t="s">
        <v>31</v>
      </c>
      <c r="P13210" t="str">
        <f>"15236"</f>
        <v>15236</v>
      </c>
    </row>
    <row r="13211" spans="1:16" x14ac:dyDescent="0.25">
      <c r="A13211" t="str">
        <f>"1190035E00111    00"</f>
        <v>1190035E00111    00</v>
      </c>
      <c r="B13211" t="s">
        <v>29045</v>
      </c>
      <c r="C13211" t="s">
        <v>29037</v>
      </c>
      <c r="D13211" t="s">
        <v>20</v>
      </c>
      <c r="E13211" t="s">
        <v>39</v>
      </c>
      <c r="F13211">
        <v>0</v>
      </c>
      <c r="G13211">
        <v>0</v>
      </c>
      <c r="H13211">
        <v>19</v>
      </c>
      <c r="I13211" s="3">
        <v>6124.81</v>
      </c>
      <c r="J13211" s="3">
        <v>4778.2299999999996</v>
      </c>
      <c r="L13211">
        <v>597</v>
      </c>
      <c r="M13211" t="s">
        <v>29046</v>
      </c>
      <c r="N13211" t="s">
        <v>30</v>
      </c>
      <c r="O13211" t="s">
        <v>31</v>
      </c>
      <c r="P13211" t="str">
        <f>"15236"</f>
        <v>15236</v>
      </c>
    </row>
    <row r="13212" spans="1:16" x14ac:dyDescent="0.25">
      <c r="A13212" t="str">
        <f>"1190035F00002    00"</f>
        <v>1190035F00002    00</v>
      </c>
      <c r="B13212" t="s">
        <v>29047</v>
      </c>
      <c r="C13212" t="s">
        <v>29048</v>
      </c>
      <c r="D13212" t="s">
        <v>20</v>
      </c>
      <c r="E13212" t="s">
        <v>39</v>
      </c>
      <c r="F13212">
        <v>0</v>
      </c>
      <c r="G13212">
        <v>0</v>
      </c>
      <c r="H13212">
        <v>2</v>
      </c>
      <c r="I13212" s="3">
        <v>927.34</v>
      </c>
      <c r="J13212" s="3">
        <v>0</v>
      </c>
      <c r="L13212">
        <v>1630</v>
      </c>
      <c r="M13212" t="s">
        <v>29049</v>
      </c>
      <c r="N13212" t="s">
        <v>30</v>
      </c>
      <c r="O13212" t="s">
        <v>31</v>
      </c>
      <c r="P13212" t="str">
        <f>"15216"</f>
        <v>15216</v>
      </c>
    </row>
    <row r="13213" spans="1:16" x14ac:dyDescent="0.25">
      <c r="A13213" t="str">
        <f>"1190035F00051    00"</f>
        <v>1190035F00051    00</v>
      </c>
      <c r="B13213" t="s">
        <v>29050</v>
      </c>
      <c r="C13213" t="s">
        <v>29051</v>
      </c>
      <c r="D13213" t="s">
        <v>20</v>
      </c>
      <c r="E13213" t="s">
        <v>39</v>
      </c>
      <c r="F13213">
        <v>0</v>
      </c>
      <c r="G13213">
        <v>0</v>
      </c>
      <c r="H13213">
        <v>12</v>
      </c>
      <c r="I13213" s="3">
        <v>13393.24</v>
      </c>
      <c r="J13213" s="3">
        <v>8701.76</v>
      </c>
      <c r="K13213" t="s">
        <v>29052</v>
      </c>
      <c r="L13213">
        <v>326</v>
      </c>
      <c r="M13213" t="s">
        <v>29053</v>
      </c>
      <c r="N13213" t="s">
        <v>30</v>
      </c>
      <c r="O13213" t="s">
        <v>31</v>
      </c>
      <c r="P13213" t="str">
        <f>"15210"</f>
        <v>15210</v>
      </c>
    </row>
    <row r="13214" spans="1:16" x14ac:dyDescent="0.25">
      <c r="A13214" t="str">
        <f>"1190035F00054    00"</f>
        <v>1190035F00054    00</v>
      </c>
      <c r="B13214" t="s">
        <v>29054</v>
      </c>
      <c r="C13214" t="s">
        <v>28648</v>
      </c>
      <c r="D13214" t="s">
        <v>33</v>
      </c>
      <c r="E13214" t="s">
        <v>39</v>
      </c>
      <c r="F13214">
        <v>0</v>
      </c>
      <c r="G13214">
        <v>0</v>
      </c>
      <c r="H13214">
        <v>12</v>
      </c>
      <c r="I13214" s="3">
        <v>1860.46</v>
      </c>
      <c r="J13214" s="3">
        <v>417.34</v>
      </c>
      <c r="K13214" t="s">
        <v>29055</v>
      </c>
      <c r="L13214">
        <v>1613</v>
      </c>
      <c r="M13214" t="s">
        <v>29049</v>
      </c>
      <c r="N13214" t="s">
        <v>30</v>
      </c>
      <c r="O13214" t="s">
        <v>31</v>
      </c>
      <c r="P13214" t="str">
        <f>"15216"</f>
        <v>15216</v>
      </c>
    </row>
    <row r="13215" spans="1:16" x14ac:dyDescent="0.25">
      <c r="A13215" t="str">
        <f>"1190035F00056    00"</f>
        <v>1190035F00056    00</v>
      </c>
      <c r="B13215" t="s">
        <v>29056</v>
      </c>
      <c r="C13215" t="s">
        <v>28648</v>
      </c>
      <c r="E13215" t="s">
        <v>39</v>
      </c>
      <c r="F13215">
        <v>0</v>
      </c>
      <c r="G13215">
        <v>0</v>
      </c>
      <c r="H13215">
        <v>10</v>
      </c>
      <c r="I13215" s="3">
        <v>1097.0999999999999</v>
      </c>
      <c r="J13215" s="3">
        <v>607.41</v>
      </c>
      <c r="L13215">
        <v>1232</v>
      </c>
      <c r="M13215" t="s">
        <v>25827</v>
      </c>
      <c r="N13215" t="s">
        <v>30</v>
      </c>
      <c r="O13215" t="s">
        <v>31</v>
      </c>
      <c r="P13215" t="str">
        <f>"15216"</f>
        <v>15216</v>
      </c>
    </row>
    <row r="13216" spans="1:16" x14ac:dyDescent="0.25">
      <c r="A13216" t="str">
        <f>"1190035F00057    00"</f>
        <v>1190035F00057    00</v>
      </c>
      <c r="B13216" t="s">
        <v>29057</v>
      </c>
      <c r="C13216" t="s">
        <v>28648</v>
      </c>
      <c r="D13216" t="s">
        <v>20</v>
      </c>
      <c r="E13216" t="s">
        <v>39</v>
      </c>
      <c r="F13216">
        <v>0</v>
      </c>
      <c r="G13216">
        <v>0</v>
      </c>
      <c r="H13216">
        <v>19</v>
      </c>
      <c r="I13216" s="3">
        <v>5296.37</v>
      </c>
      <c r="J13216" s="3">
        <v>4410.21</v>
      </c>
      <c r="P13216" t="str">
        <f>""</f>
        <v/>
      </c>
    </row>
    <row r="13217" spans="1:16" x14ac:dyDescent="0.25">
      <c r="A13217" t="str">
        <f>"1190035F00058    00"</f>
        <v>1190035F00058    00</v>
      </c>
      <c r="B13217" t="s">
        <v>29056</v>
      </c>
      <c r="C13217" t="s">
        <v>28648</v>
      </c>
      <c r="E13217" t="s">
        <v>39</v>
      </c>
      <c r="F13217">
        <v>0</v>
      </c>
      <c r="G13217">
        <v>0</v>
      </c>
      <c r="H13217">
        <v>10</v>
      </c>
      <c r="I13217" s="3">
        <v>1097.0999999999999</v>
      </c>
      <c r="J13217" s="3">
        <v>607.41</v>
      </c>
      <c r="L13217">
        <v>1232</v>
      </c>
      <c r="M13217" t="s">
        <v>25827</v>
      </c>
      <c r="N13217" t="s">
        <v>30</v>
      </c>
      <c r="O13217" t="s">
        <v>31</v>
      </c>
      <c r="P13217" t="str">
        <f>"15216"</f>
        <v>15216</v>
      </c>
    </row>
    <row r="13218" spans="1:16" x14ac:dyDescent="0.25">
      <c r="A13218" t="str">
        <f>"1190035F00072    00"</f>
        <v>1190035F00072    00</v>
      </c>
      <c r="B13218" t="s">
        <v>24155</v>
      </c>
      <c r="C13218" t="s">
        <v>29058</v>
      </c>
      <c r="D13218" t="s">
        <v>20</v>
      </c>
      <c r="E13218" t="s">
        <v>39</v>
      </c>
      <c r="F13218">
        <v>0</v>
      </c>
      <c r="G13218">
        <v>0</v>
      </c>
      <c r="H13218">
        <v>5</v>
      </c>
      <c r="I13218" s="3">
        <v>4615.8</v>
      </c>
      <c r="J13218" s="3">
        <v>797.44</v>
      </c>
      <c r="L13218">
        <v>1635</v>
      </c>
      <c r="M13218" t="s">
        <v>24157</v>
      </c>
      <c r="N13218" t="s">
        <v>149</v>
      </c>
      <c r="O13218" t="s">
        <v>31</v>
      </c>
      <c r="P13218" t="str">
        <f>"15106"</f>
        <v>15106</v>
      </c>
    </row>
    <row r="13219" spans="1:16" x14ac:dyDescent="0.25">
      <c r="A13219" t="str">
        <f>"1190035F00080    00"</f>
        <v>1190035F00080    00</v>
      </c>
      <c r="B13219" t="s">
        <v>29059</v>
      </c>
      <c r="C13219" t="s">
        <v>29060</v>
      </c>
      <c r="E13219" t="s">
        <v>39</v>
      </c>
      <c r="F13219">
        <v>0</v>
      </c>
      <c r="G13219">
        <v>0</v>
      </c>
      <c r="H13219">
        <v>1</v>
      </c>
      <c r="I13219" s="3">
        <v>59.19</v>
      </c>
      <c r="J13219" s="3">
        <v>23.68</v>
      </c>
      <c r="K13219" t="s">
        <v>29061</v>
      </c>
      <c r="L13219">
        <v>1604</v>
      </c>
      <c r="M13219" t="s">
        <v>28657</v>
      </c>
      <c r="N13219" t="s">
        <v>30</v>
      </c>
      <c r="O13219" t="s">
        <v>31</v>
      </c>
      <c r="P13219" t="str">
        <f>"15216"</f>
        <v>15216</v>
      </c>
    </row>
    <row r="13220" spans="1:16" x14ac:dyDescent="0.25">
      <c r="A13220" t="str">
        <f>"1190035F00085    00"</f>
        <v>1190035F00085    00</v>
      </c>
      <c r="B13220" t="s">
        <v>28766</v>
      </c>
      <c r="C13220" t="s">
        <v>29062</v>
      </c>
      <c r="D13220" t="s">
        <v>20</v>
      </c>
      <c r="E13220" t="s">
        <v>39</v>
      </c>
      <c r="F13220">
        <v>0</v>
      </c>
      <c r="G13220">
        <v>0</v>
      </c>
      <c r="H13220">
        <v>5</v>
      </c>
      <c r="I13220" s="3">
        <v>6773.01</v>
      </c>
      <c r="J13220" s="3">
        <v>1170.1300000000001</v>
      </c>
      <c r="L13220">
        <v>1325</v>
      </c>
      <c r="M13220" t="s">
        <v>28768</v>
      </c>
      <c r="N13220" t="s">
        <v>30</v>
      </c>
      <c r="O13220" t="s">
        <v>31</v>
      </c>
      <c r="P13220" t="str">
        <f>"15243"</f>
        <v>15243</v>
      </c>
    </row>
    <row r="13221" spans="1:16" x14ac:dyDescent="0.25">
      <c r="A13221" t="str">
        <f>"1190035F00092    00"</f>
        <v>1190035F00092    00</v>
      </c>
      <c r="B13221" t="s">
        <v>29063</v>
      </c>
      <c r="C13221" t="s">
        <v>28599</v>
      </c>
      <c r="D13221" t="s">
        <v>20</v>
      </c>
      <c r="E13221" t="s">
        <v>39</v>
      </c>
      <c r="F13221">
        <v>0</v>
      </c>
      <c r="G13221">
        <v>0</v>
      </c>
      <c r="H13221">
        <v>1</v>
      </c>
      <c r="I13221" s="3">
        <v>304.95999999999998</v>
      </c>
      <c r="J13221" s="3">
        <v>0</v>
      </c>
      <c r="L13221">
        <v>1526</v>
      </c>
      <c r="M13221" t="s">
        <v>28657</v>
      </c>
      <c r="N13221" t="s">
        <v>30</v>
      </c>
      <c r="O13221" t="s">
        <v>31</v>
      </c>
      <c r="P13221" t="str">
        <f>"15216"</f>
        <v>15216</v>
      </c>
    </row>
    <row r="13222" spans="1:16" x14ac:dyDescent="0.25">
      <c r="A13222" t="str">
        <f>"1190035F00112    00"</f>
        <v>1190035F00112    00</v>
      </c>
      <c r="B13222" t="s">
        <v>29064</v>
      </c>
      <c r="C13222" t="s">
        <v>29065</v>
      </c>
      <c r="D13222" t="s">
        <v>20</v>
      </c>
      <c r="E13222" t="s">
        <v>39</v>
      </c>
      <c r="F13222">
        <v>0</v>
      </c>
      <c r="G13222">
        <v>0</v>
      </c>
      <c r="H13222">
        <v>1</v>
      </c>
      <c r="I13222" s="3">
        <v>395</v>
      </c>
      <c r="J13222" s="3">
        <v>0</v>
      </c>
      <c r="K13222" t="s">
        <v>29066</v>
      </c>
      <c r="L13222">
        <v>2488</v>
      </c>
      <c r="M13222" t="s">
        <v>29067</v>
      </c>
      <c r="N13222" t="s">
        <v>23708</v>
      </c>
      <c r="O13222" t="s">
        <v>658</v>
      </c>
      <c r="P13222" t="str">
        <f>"74137"</f>
        <v>74137</v>
      </c>
    </row>
    <row r="13223" spans="1:16" x14ac:dyDescent="0.25">
      <c r="A13223" t="str">
        <f>"1190035F00123    00"</f>
        <v>1190035F00123    00</v>
      </c>
      <c r="B13223" t="s">
        <v>13964</v>
      </c>
      <c r="C13223" t="s">
        <v>28599</v>
      </c>
      <c r="D13223" t="s">
        <v>20</v>
      </c>
      <c r="E13223" t="s">
        <v>39</v>
      </c>
      <c r="F13223">
        <v>0</v>
      </c>
      <c r="G13223">
        <v>0</v>
      </c>
      <c r="H13223">
        <v>2</v>
      </c>
      <c r="I13223" s="3">
        <v>41.96</v>
      </c>
      <c r="J13223" s="3">
        <v>0</v>
      </c>
      <c r="K13223" t="s">
        <v>13966</v>
      </c>
      <c r="L13223">
        <v>1338</v>
      </c>
      <c r="M13223" t="s">
        <v>13967</v>
      </c>
      <c r="N13223" t="s">
        <v>30</v>
      </c>
      <c r="O13223" t="s">
        <v>31</v>
      </c>
      <c r="P13223" t="str">
        <f>"15243"</f>
        <v>15243</v>
      </c>
    </row>
    <row r="13224" spans="1:16" x14ac:dyDescent="0.25">
      <c r="A13224" t="str">
        <f>"1190035F00147    00"</f>
        <v>1190035F00147    00</v>
      </c>
      <c r="B13224" t="s">
        <v>29068</v>
      </c>
      <c r="C13224" t="s">
        <v>28674</v>
      </c>
      <c r="D13224" t="s">
        <v>20</v>
      </c>
      <c r="E13224" t="s">
        <v>39</v>
      </c>
      <c r="F13224">
        <v>0</v>
      </c>
      <c r="G13224">
        <v>0</v>
      </c>
      <c r="H13224">
        <v>17</v>
      </c>
      <c r="I13224" s="3">
        <v>411.48</v>
      </c>
      <c r="J13224" s="3">
        <v>356.47</v>
      </c>
      <c r="M13224" t="s">
        <v>29069</v>
      </c>
      <c r="N13224" t="s">
        <v>30</v>
      </c>
      <c r="O13224" t="s">
        <v>31</v>
      </c>
      <c r="P13224" t="str">
        <f>"15243"</f>
        <v>15243</v>
      </c>
    </row>
    <row r="13225" spans="1:16" x14ac:dyDescent="0.25">
      <c r="A13225" t="str">
        <f>"1190035F00160    00"</f>
        <v>1190035F00160    00</v>
      </c>
      <c r="B13225" t="s">
        <v>28861</v>
      </c>
      <c r="C13225" t="s">
        <v>29070</v>
      </c>
      <c r="E13225" t="s">
        <v>39</v>
      </c>
      <c r="F13225">
        <v>0</v>
      </c>
      <c r="G13225">
        <v>0</v>
      </c>
      <c r="H13225">
        <v>1</v>
      </c>
      <c r="I13225" s="3">
        <v>1097.8599999999999</v>
      </c>
      <c r="J13225" s="3">
        <v>0</v>
      </c>
      <c r="K13225" t="s">
        <v>28863</v>
      </c>
      <c r="L13225">
        <v>1200</v>
      </c>
      <c r="M13225" t="s">
        <v>1990</v>
      </c>
      <c r="N13225" t="s">
        <v>30</v>
      </c>
      <c r="O13225" t="s">
        <v>31</v>
      </c>
      <c r="P13225" t="str">
        <f>"15226"</f>
        <v>15226</v>
      </c>
    </row>
    <row r="13226" spans="1:16" x14ac:dyDescent="0.25">
      <c r="A13226" t="str">
        <f>"1190035F00176    00"</f>
        <v>1190035F00176    00</v>
      </c>
      <c r="B13226" t="s">
        <v>26223</v>
      </c>
      <c r="C13226" t="s">
        <v>29071</v>
      </c>
      <c r="D13226" t="s">
        <v>20</v>
      </c>
      <c r="E13226" t="s">
        <v>39</v>
      </c>
      <c r="F13226">
        <v>0</v>
      </c>
      <c r="G13226">
        <v>0</v>
      </c>
      <c r="H13226">
        <v>1</v>
      </c>
      <c r="I13226" s="3">
        <v>1292.8</v>
      </c>
      <c r="J13226" s="3">
        <v>0</v>
      </c>
      <c r="L13226">
        <v>3237</v>
      </c>
      <c r="M13226" t="s">
        <v>1695</v>
      </c>
      <c r="N13226" t="s">
        <v>30</v>
      </c>
      <c r="O13226" t="s">
        <v>31</v>
      </c>
      <c r="P13226" t="str">
        <f>"15217"</f>
        <v>15217</v>
      </c>
    </row>
    <row r="13227" spans="1:16" x14ac:dyDescent="0.25">
      <c r="A13227" t="str">
        <f>"1190035F00188    00"</f>
        <v>1190035F00188    00</v>
      </c>
      <c r="B13227" t="s">
        <v>29072</v>
      </c>
      <c r="C13227" t="s">
        <v>28679</v>
      </c>
      <c r="D13227" t="s">
        <v>20</v>
      </c>
      <c r="E13227" t="s">
        <v>39</v>
      </c>
      <c r="F13227">
        <v>0</v>
      </c>
      <c r="G13227">
        <v>0</v>
      </c>
      <c r="H13227">
        <v>19</v>
      </c>
      <c r="I13227" s="3">
        <v>1272.8800000000001</v>
      </c>
      <c r="J13227" s="3">
        <v>827.41</v>
      </c>
      <c r="L13227">
        <v>1654</v>
      </c>
      <c r="M13227" t="s">
        <v>23923</v>
      </c>
      <c r="N13227" t="s">
        <v>30</v>
      </c>
      <c r="O13227" t="s">
        <v>31</v>
      </c>
      <c r="P13227" t="str">
        <f>"15216"</f>
        <v>15216</v>
      </c>
    </row>
    <row r="13228" spans="1:16" x14ac:dyDescent="0.25">
      <c r="A13228" t="str">
        <f>"1190035F00191    00"</f>
        <v>1190035F00191    00</v>
      </c>
      <c r="B13228" t="s">
        <v>29073</v>
      </c>
      <c r="C13228" t="s">
        <v>29074</v>
      </c>
      <c r="E13228" t="s">
        <v>39</v>
      </c>
      <c r="F13228">
        <v>0</v>
      </c>
      <c r="G13228">
        <v>0</v>
      </c>
      <c r="H13228">
        <v>1</v>
      </c>
      <c r="I13228" s="3">
        <v>19.82</v>
      </c>
      <c r="J13228" s="3">
        <v>0.83</v>
      </c>
      <c r="K13228" t="s">
        <v>29075</v>
      </c>
      <c r="M13228" t="s">
        <v>29076</v>
      </c>
      <c r="N13228" t="s">
        <v>2644</v>
      </c>
      <c r="O13228" t="s">
        <v>180</v>
      </c>
      <c r="P13228" t="str">
        <f>"80246"</f>
        <v>80246</v>
      </c>
    </row>
    <row r="13229" spans="1:16" x14ac:dyDescent="0.25">
      <c r="A13229" t="str">
        <f>"1190035F00212    00"</f>
        <v>1190035F00212    00</v>
      </c>
      <c r="B13229" t="s">
        <v>29077</v>
      </c>
      <c r="C13229" t="s">
        <v>29078</v>
      </c>
      <c r="D13229" t="s">
        <v>20</v>
      </c>
      <c r="E13229" t="s">
        <v>39</v>
      </c>
      <c r="F13229">
        <v>0</v>
      </c>
      <c r="G13229">
        <v>0</v>
      </c>
      <c r="H13229">
        <v>17</v>
      </c>
      <c r="I13229" s="3">
        <v>11423.23</v>
      </c>
      <c r="J13229" s="3">
        <v>9457.73</v>
      </c>
      <c r="L13229">
        <v>1542</v>
      </c>
      <c r="M13229" t="s">
        <v>23923</v>
      </c>
      <c r="N13229" t="s">
        <v>30</v>
      </c>
      <c r="O13229" t="s">
        <v>31</v>
      </c>
      <c r="P13229" t="str">
        <f>"15216"</f>
        <v>15216</v>
      </c>
    </row>
    <row r="13230" spans="1:16" x14ac:dyDescent="0.25">
      <c r="A13230" t="str">
        <f>"1190035F00222    00"</f>
        <v>1190035F00222    00</v>
      </c>
      <c r="B13230" t="s">
        <v>29079</v>
      </c>
      <c r="C13230" t="s">
        <v>29080</v>
      </c>
      <c r="D13230" t="s">
        <v>20</v>
      </c>
      <c r="E13230" t="s">
        <v>39</v>
      </c>
      <c r="F13230">
        <v>0</v>
      </c>
      <c r="G13230">
        <v>0</v>
      </c>
      <c r="H13230">
        <v>2</v>
      </c>
      <c r="I13230" s="3">
        <v>1867.88</v>
      </c>
      <c r="J13230" s="3">
        <v>0</v>
      </c>
      <c r="L13230">
        <v>1412</v>
      </c>
      <c r="M13230" t="s">
        <v>29081</v>
      </c>
      <c r="N13230" t="s">
        <v>30</v>
      </c>
      <c r="O13230" t="s">
        <v>31</v>
      </c>
      <c r="P13230" t="str">
        <f>"15205"</f>
        <v>15205</v>
      </c>
    </row>
    <row r="13231" spans="1:16" x14ac:dyDescent="0.25">
      <c r="A13231" t="str">
        <f>"1190035F00226    00"</f>
        <v>1190035F00226    00</v>
      </c>
      <c r="B13231" t="s">
        <v>29082</v>
      </c>
      <c r="C13231" t="s">
        <v>29083</v>
      </c>
      <c r="D13231" t="s">
        <v>20</v>
      </c>
      <c r="E13231" t="s">
        <v>39</v>
      </c>
      <c r="F13231">
        <v>0</v>
      </c>
      <c r="G13231">
        <v>0</v>
      </c>
      <c r="H13231">
        <v>9</v>
      </c>
      <c r="I13231" s="3">
        <v>5549.4</v>
      </c>
      <c r="J13231" s="3">
        <v>2167.58</v>
      </c>
      <c r="L13231">
        <v>1549</v>
      </c>
      <c r="M13231" t="s">
        <v>23923</v>
      </c>
      <c r="N13231" t="s">
        <v>30</v>
      </c>
      <c r="O13231" t="s">
        <v>31</v>
      </c>
      <c r="P13231" t="str">
        <f>"15216"</f>
        <v>15216</v>
      </c>
    </row>
    <row r="13232" spans="1:16" x14ac:dyDescent="0.25">
      <c r="A13232" t="str">
        <f>"1190035F00228    00"</f>
        <v>1190035F00228    00</v>
      </c>
      <c r="B13232" t="s">
        <v>29084</v>
      </c>
      <c r="C13232" t="s">
        <v>29085</v>
      </c>
      <c r="D13232" t="s">
        <v>20</v>
      </c>
      <c r="E13232" t="s">
        <v>39</v>
      </c>
      <c r="F13232">
        <v>0</v>
      </c>
      <c r="G13232">
        <v>0</v>
      </c>
      <c r="H13232">
        <v>3</v>
      </c>
      <c r="I13232" s="3">
        <v>2490.8000000000002</v>
      </c>
      <c r="J13232" s="3">
        <v>212.01</v>
      </c>
      <c r="K13232" t="s">
        <v>29086</v>
      </c>
      <c r="L13232">
        <v>1150</v>
      </c>
      <c r="M13232" t="s">
        <v>20800</v>
      </c>
      <c r="N13232" t="s">
        <v>163</v>
      </c>
      <c r="O13232" t="s">
        <v>31</v>
      </c>
      <c r="P13232" t="str">
        <f>"19406"</f>
        <v>19406</v>
      </c>
    </row>
    <row r="13233" spans="1:16" x14ac:dyDescent="0.25">
      <c r="A13233" t="str">
        <f>"1190035F00229    00"</f>
        <v>1190035F00229    00</v>
      </c>
      <c r="B13233" t="s">
        <v>8467</v>
      </c>
      <c r="C13233" t="s">
        <v>29087</v>
      </c>
      <c r="D13233" t="s">
        <v>20</v>
      </c>
      <c r="E13233" t="s">
        <v>39</v>
      </c>
      <c r="F13233">
        <v>0</v>
      </c>
      <c r="G13233">
        <v>0</v>
      </c>
      <c r="H13233">
        <v>2</v>
      </c>
      <c r="I13233" s="3">
        <v>1639.2</v>
      </c>
      <c r="J13233" s="3">
        <v>0</v>
      </c>
      <c r="K13233" t="s">
        <v>8469</v>
      </c>
      <c r="L13233">
        <v>202</v>
      </c>
      <c r="M13233" t="s">
        <v>2136</v>
      </c>
      <c r="N13233" t="s">
        <v>30</v>
      </c>
      <c r="O13233" t="s">
        <v>31</v>
      </c>
      <c r="P13233" t="str">
        <f>"15228"</f>
        <v>15228</v>
      </c>
    </row>
    <row r="13234" spans="1:16" x14ac:dyDescent="0.25">
      <c r="A13234" t="str">
        <f>"1190035F00235    00"</f>
        <v>1190035F00235    00</v>
      </c>
      <c r="B13234" t="s">
        <v>29088</v>
      </c>
      <c r="C13234" t="s">
        <v>28679</v>
      </c>
      <c r="D13234" t="s">
        <v>20</v>
      </c>
      <c r="E13234" t="s">
        <v>39</v>
      </c>
      <c r="F13234">
        <v>0</v>
      </c>
      <c r="G13234">
        <v>0</v>
      </c>
      <c r="H13234">
        <v>3</v>
      </c>
      <c r="I13234" s="3">
        <v>177.3</v>
      </c>
      <c r="J13234" s="3">
        <v>11.83</v>
      </c>
      <c r="L13234">
        <v>1500</v>
      </c>
      <c r="M13234" t="s">
        <v>28894</v>
      </c>
      <c r="N13234" t="s">
        <v>30</v>
      </c>
      <c r="O13234" t="s">
        <v>31</v>
      </c>
      <c r="P13234" t="str">
        <f>"15216"</f>
        <v>15216</v>
      </c>
    </row>
    <row r="13235" spans="1:16" x14ac:dyDescent="0.25">
      <c r="A13235" t="str">
        <f>"1190035F00236    00"</f>
        <v>1190035F00236    00</v>
      </c>
      <c r="B13235" t="s">
        <v>29088</v>
      </c>
      <c r="C13235" t="s">
        <v>28679</v>
      </c>
      <c r="D13235" t="s">
        <v>20</v>
      </c>
      <c r="E13235" t="s">
        <v>39</v>
      </c>
      <c r="F13235">
        <v>0</v>
      </c>
      <c r="G13235">
        <v>0</v>
      </c>
      <c r="H13235">
        <v>3</v>
      </c>
      <c r="I13235" s="3">
        <v>160.11000000000001</v>
      </c>
      <c r="J13235" s="3">
        <v>10.67</v>
      </c>
      <c r="L13235">
        <v>1500</v>
      </c>
      <c r="M13235" t="s">
        <v>28894</v>
      </c>
      <c r="N13235" t="s">
        <v>30</v>
      </c>
      <c r="O13235" t="s">
        <v>31</v>
      </c>
      <c r="P13235" t="str">
        <f>"15216"</f>
        <v>15216</v>
      </c>
    </row>
    <row r="13236" spans="1:16" x14ac:dyDescent="0.25">
      <c r="A13236" t="str">
        <f>"1190035F00239    00"</f>
        <v>1190035F00239    00</v>
      </c>
      <c r="B13236" t="s">
        <v>29089</v>
      </c>
      <c r="C13236" t="s">
        <v>29090</v>
      </c>
      <c r="D13236" t="s">
        <v>20</v>
      </c>
      <c r="E13236" t="s">
        <v>39</v>
      </c>
      <c r="F13236">
        <v>0</v>
      </c>
      <c r="G13236">
        <v>0</v>
      </c>
      <c r="H13236">
        <v>1</v>
      </c>
      <c r="I13236" s="3">
        <v>1383.76</v>
      </c>
      <c r="J13236" s="3">
        <v>0</v>
      </c>
      <c r="K13236" t="s">
        <v>29091</v>
      </c>
      <c r="L13236">
        <v>1627</v>
      </c>
      <c r="M13236" t="s">
        <v>23923</v>
      </c>
      <c r="N13236" t="s">
        <v>30</v>
      </c>
      <c r="O13236" t="s">
        <v>31</v>
      </c>
      <c r="P13236" t="str">
        <f>"15216"</f>
        <v>15216</v>
      </c>
    </row>
    <row r="13237" spans="1:16" x14ac:dyDescent="0.25">
      <c r="A13237" t="str">
        <f>"1190035F00242    00"</f>
        <v>1190035F00242    00</v>
      </c>
      <c r="B13237" t="s">
        <v>29092</v>
      </c>
      <c r="C13237" t="s">
        <v>29093</v>
      </c>
      <c r="D13237" t="s">
        <v>20</v>
      </c>
      <c r="E13237" t="s">
        <v>39</v>
      </c>
      <c r="F13237">
        <v>0</v>
      </c>
      <c r="G13237">
        <v>0</v>
      </c>
      <c r="H13237">
        <v>7</v>
      </c>
      <c r="I13237" s="3">
        <v>3433.95</v>
      </c>
      <c r="J13237" s="3">
        <v>953.97</v>
      </c>
      <c r="L13237">
        <v>1633</v>
      </c>
      <c r="M13237" t="s">
        <v>23923</v>
      </c>
      <c r="N13237" t="s">
        <v>30</v>
      </c>
      <c r="O13237" t="s">
        <v>31</v>
      </c>
      <c r="P13237" t="str">
        <f>"15216"</f>
        <v>15216</v>
      </c>
    </row>
    <row r="13238" spans="1:16" x14ac:dyDescent="0.25">
      <c r="A13238" t="str">
        <f>"1190035F00247    00"</f>
        <v>1190035F00247    00</v>
      </c>
      <c r="B13238" t="s">
        <v>29094</v>
      </c>
      <c r="C13238" t="s">
        <v>29095</v>
      </c>
      <c r="D13238" t="s">
        <v>20</v>
      </c>
      <c r="E13238" t="s">
        <v>39</v>
      </c>
      <c r="F13238">
        <v>0</v>
      </c>
      <c r="G13238">
        <v>0</v>
      </c>
      <c r="H13238">
        <v>3</v>
      </c>
      <c r="I13238" s="3">
        <v>1416.64</v>
      </c>
      <c r="J13238" s="3">
        <v>303.39999999999998</v>
      </c>
      <c r="L13238">
        <v>2535</v>
      </c>
      <c r="M13238" t="s">
        <v>28913</v>
      </c>
      <c r="N13238" t="s">
        <v>30</v>
      </c>
      <c r="O13238" t="s">
        <v>31</v>
      </c>
      <c r="P13238" t="str">
        <f>"15216"</f>
        <v>15216</v>
      </c>
    </row>
    <row r="13239" spans="1:16" x14ac:dyDescent="0.25">
      <c r="A13239" t="str">
        <f>"1190035F00251    00"</f>
        <v>1190035F00251    00</v>
      </c>
      <c r="B13239" t="s">
        <v>29096</v>
      </c>
      <c r="C13239" t="s">
        <v>29097</v>
      </c>
      <c r="D13239" t="s">
        <v>20</v>
      </c>
      <c r="E13239" t="s">
        <v>39</v>
      </c>
      <c r="F13239">
        <v>0</v>
      </c>
      <c r="G13239">
        <v>0</v>
      </c>
      <c r="H13239">
        <v>1</v>
      </c>
      <c r="I13239" s="3">
        <v>2651.26</v>
      </c>
      <c r="J13239" s="3">
        <v>0</v>
      </c>
      <c r="K13239" t="s">
        <v>2072</v>
      </c>
      <c r="L13239">
        <v>3200</v>
      </c>
      <c r="M13239" t="s">
        <v>29098</v>
      </c>
      <c r="N13239" t="s">
        <v>29099</v>
      </c>
      <c r="O13239" t="s">
        <v>495</v>
      </c>
      <c r="P13239" t="str">
        <f>"92626"</f>
        <v>92626</v>
      </c>
    </row>
    <row r="13240" spans="1:16" x14ac:dyDescent="0.25">
      <c r="A13240" t="str">
        <f>"1190035F00267    00"</f>
        <v>1190035F00267    00</v>
      </c>
      <c r="B13240" t="s">
        <v>218</v>
      </c>
      <c r="C13240" t="s">
        <v>29100</v>
      </c>
      <c r="E13240" t="s">
        <v>21</v>
      </c>
      <c r="F13240">
        <v>0</v>
      </c>
      <c r="G13240">
        <v>0</v>
      </c>
      <c r="H13240">
        <v>1</v>
      </c>
      <c r="I13240" s="3">
        <v>1072.58</v>
      </c>
      <c r="J13240" s="3">
        <v>1662.44</v>
      </c>
      <c r="K13240" t="s">
        <v>220</v>
      </c>
      <c r="L13240">
        <v>412</v>
      </c>
      <c r="M13240" t="s">
        <v>221</v>
      </c>
      <c r="N13240" t="s">
        <v>30</v>
      </c>
      <c r="O13240" t="s">
        <v>31</v>
      </c>
      <c r="P13240" t="str">
        <f>"15219"</f>
        <v>15219</v>
      </c>
    </row>
    <row r="13241" spans="1:16" x14ac:dyDescent="0.25">
      <c r="A13241" t="str">
        <f>"1190035F00269    00"</f>
        <v>1190035F00269    00</v>
      </c>
      <c r="B13241" t="s">
        <v>29101</v>
      </c>
      <c r="C13241" t="s">
        <v>29102</v>
      </c>
      <c r="D13241" t="s">
        <v>20</v>
      </c>
      <c r="E13241" t="s">
        <v>21</v>
      </c>
      <c r="F13241">
        <v>0</v>
      </c>
      <c r="G13241">
        <v>0</v>
      </c>
      <c r="H13241">
        <v>5</v>
      </c>
      <c r="I13241" s="3">
        <v>11304</v>
      </c>
      <c r="J13241" s="3">
        <v>1952.92</v>
      </c>
      <c r="L13241">
        <v>1554</v>
      </c>
      <c r="M13241" t="s">
        <v>14332</v>
      </c>
      <c r="N13241" t="s">
        <v>30</v>
      </c>
      <c r="O13241" t="s">
        <v>31</v>
      </c>
      <c r="P13241" t="str">
        <f>"15216"</f>
        <v>15216</v>
      </c>
    </row>
    <row r="13242" spans="1:16" x14ac:dyDescent="0.25">
      <c r="A13242" t="str">
        <f>"1190035F00271    00"</f>
        <v>1190035F00271    00</v>
      </c>
      <c r="B13242" t="s">
        <v>29101</v>
      </c>
      <c r="C13242" t="s">
        <v>29103</v>
      </c>
      <c r="D13242" t="s">
        <v>20</v>
      </c>
      <c r="E13242" t="s">
        <v>21</v>
      </c>
      <c r="F13242">
        <v>0</v>
      </c>
      <c r="G13242">
        <v>0</v>
      </c>
      <c r="H13242">
        <v>5</v>
      </c>
      <c r="I13242" s="3">
        <v>9420</v>
      </c>
      <c r="J13242" s="3">
        <v>1627.42</v>
      </c>
      <c r="L13242">
        <v>1550</v>
      </c>
      <c r="M13242" t="s">
        <v>14332</v>
      </c>
      <c r="N13242" t="s">
        <v>30</v>
      </c>
      <c r="O13242" t="s">
        <v>31</v>
      </c>
      <c r="P13242" t="str">
        <f>"15216"</f>
        <v>15216</v>
      </c>
    </row>
    <row r="13243" spans="1:16" x14ac:dyDescent="0.25">
      <c r="A13243" t="str">
        <f>"1190035F00274    00"</f>
        <v>1190035F00274    00</v>
      </c>
      <c r="B13243" t="s">
        <v>29104</v>
      </c>
      <c r="C13243" t="s">
        <v>29105</v>
      </c>
      <c r="D13243" t="s">
        <v>20</v>
      </c>
      <c r="E13243" t="s">
        <v>21</v>
      </c>
      <c r="F13243">
        <v>0</v>
      </c>
      <c r="G13243">
        <v>0</v>
      </c>
      <c r="H13243">
        <v>7</v>
      </c>
      <c r="I13243" s="3">
        <v>5036.5600000000004</v>
      </c>
      <c r="J13243" s="3">
        <v>3296.53</v>
      </c>
      <c r="K13243" t="s">
        <v>29106</v>
      </c>
      <c r="L13243">
        <v>1554</v>
      </c>
      <c r="M13243" t="s">
        <v>29107</v>
      </c>
      <c r="N13243" t="s">
        <v>30</v>
      </c>
      <c r="O13243" t="s">
        <v>31</v>
      </c>
      <c r="P13243" t="str">
        <f>"15216"</f>
        <v>15216</v>
      </c>
    </row>
    <row r="13244" spans="1:16" x14ac:dyDescent="0.25">
      <c r="A13244" t="str">
        <f>"1190035F00281    00"</f>
        <v>1190035F00281    00</v>
      </c>
      <c r="B13244" t="s">
        <v>29108</v>
      </c>
      <c r="C13244" t="s">
        <v>29109</v>
      </c>
      <c r="D13244" t="s">
        <v>20</v>
      </c>
      <c r="E13244" t="s">
        <v>39</v>
      </c>
      <c r="F13244">
        <v>0</v>
      </c>
      <c r="G13244">
        <v>0</v>
      </c>
      <c r="H13244">
        <v>1</v>
      </c>
      <c r="I13244" s="3">
        <v>33.44</v>
      </c>
      <c r="J13244" s="3">
        <v>0</v>
      </c>
      <c r="K13244" t="s">
        <v>557</v>
      </c>
      <c r="L13244">
        <v>3001</v>
      </c>
      <c r="M13244" t="s">
        <v>330</v>
      </c>
      <c r="N13244" t="s">
        <v>331</v>
      </c>
      <c r="O13244" t="s">
        <v>108</v>
      </c>
      <c r="P13244" t="str">
        <f>"75063"</f>
        <v>75063</v>
      </c>
    </row>
    <row r="13245" spans="1:16" x14ac:dyDescent="0.25">
      <c r="A13245" t="str">
        <f>"1190035G00016    00"</f>
        <v>1190035G00016    00</v>
      </c>
      <c r="B13245" t="s">
        <v>29110</v>
      </c>
      <c r="C13245" t="s">
        <v>29111</v>
      </c>
      <c r="D13245" t="s">
        <v>20</v>
      </c>
      <c r="E13245" t="s">
        <v>21</v>
      </c>
      <c r="F13245">
        <v>0</v>
      </c>
      <c r="G13245">
        <v>0</v>
      </c>
      <c r="H13245">
        <v>1</v>
      </c>
      <c r="I13245" s="3">
        <v>1764.95</v>
      </c>
      <c r="J13245" s="3">
        <v>0</v>
      </c>
      <c r="K13245" t="s">
        <v>29112</v>
      </c>
      <c r="L13245">
        <v>1500</v>
      </c>
      <c r="M13245" t="s">
        <v>28894</v>
      </c>
      <c r="N13245" t="s">
        <v>30</v>
      </c>
      <c r="O13245" t="s">
        <v>31</v>
      </c>
      <c r="P13245" t="str">
        <f>"15216"</f>
        <v>15216</v>
      </c>
    </row>
    <row r="13246" spans="1:16" x14ac:dyDescent="0.25">
      <c r="A13246" t="str">
        <f>"1190035G00017    00"</f>
        <v>1190035G00017    00</v>
      </c>
      <c r="B13246" t="s">
        <v>29113</v>
      </c>
      <c r="C13246" t="s">
        <v>29114</v>
      </c>
      <c r="D13246" t="s">
        <v>20</v>
      </c>
      <c r="E13246" t="s">
        <v>21</v>
      </c>
      <c r="F13246">
        <v>0</v>
      </c>
      <c r="G13246">
        <v>0</v>
      </c>
      <c r="H13246">
        <v>2</v>
      </c>
      <c r="I13246" s="3">
        <v>1822.14</v>
      </c>
      <c r="J13246" s="3">
        <v>0</v>
      </c>
      <c r="K13246" t="s">
        <v>29115</v>
      </c>
      <c r="L13246">
        <v>431</v>
      </c>
      <c r="M13246" t="s">
        <v>29116</v>
      </c>
      <c r="N13246" t="s">
        <v>30</v>
      </c>
      <c r="O13246" t="s">
        <v>31</v>
      </c>
      <c r="P13246" t="str">
        <f>"15210"</f>
        <v>15210</v>
      </c>
    </row>
    <row r="13247" spans="1:16" x14ac:dyDescent="0.25">
      <c r="A13247" t="str">
        <f>"1190035G00023    00"</f>
        <v>1190035G00023    00</v>
      </c>
      <c r="B13247" t="s">
        <v>29117</v>
      </c>
      <c r="C13247" t="s">
        <v>29118</v>
      </c>
      <c r="E13247" t="s">
        <v>21</v>
      </c>
      <c r="F13247">
        <v>0</v>
      </c>
      <c r="G13247">
        <v>0</v>
      </c>
      <c r="H13247">
        <v>1</v>
      </c>
      <c r="I13247" s="3">
        <v>830.25</v>
      </c>
      <c r="J13247" s="3">
        <v>0</v>
      </c>
      <c r="K13247" t="s">
        <v>29119</v>
      </c>
      <c r="L13247">
        <v>1603</v>
      </c>
      <c r="M13247" t="s">
        <v>23798</v>
      </c>
      <c r="N13247" t="s">
        <v>30</v>
      </c>
      <c r="O13247" t="s">
        <v>31</v>
      </c>
      <c r="P13247" t="str">
        <f>"15216"</f>
        <v>15216</v>
      </c>
    </row>
    <row r="13248" spans="1:16" x14ac:dyDescent="0.25">
      <c r="A13248" t="str">
        <f>"1190035G00032    00"</f>
        <v>1190035G00032    00</v>
      </c>
      <c r="B13248" t="s">
        <v>29120</v>
      </c>
      <c r="C13248" t="s">
        <v>29121</v>
      </c>
      <c r="E13248" t="s">
        <v>21</v>
      </c>
      <c r="F13248">
        <v>0</v>
      </c>
      <c r="G13248">
        <v>0</v>
      </c>
      <c r="H13248">
        <v>1</v>
      </c>
      <c r="I13248" s="3">
        <v>785.18</v>
      </c>
      <c r="J13248" s="3">
        <v>248.63</v>
      </c>
      <c r="K13248" t="s">
        <v>29122</v>
      </c>
      <c r="L13248">
        <v>400</v>
      </c>
      <c r="M13248" t="s">
        <v>29123</v>
      </c>
      <c r="N13248" t="s">
        <v>29124</v>
      </c>
      <c r="O13248" t="s">
        <v>1184</v>
      </c>
      <c r="P13248" t="str">
        <f>"20814"</f>
        <v>20814</v>
      </c>
    </row>
    <row r="13249" spans="1:16" x14ac:dyDescent="0.25">
      <c r="A13249" t="str">
        <f>"1190035G00034    00"</f>
        <v>1190035G00034    00</v>
      </c>
      <c r="B13249" t="s">
        <v>29125</v>
      </c>
      <c r="C13249" t="s">
        <v>29126</v>
      </c>
      <c r="D13249" t="s">
        <v>20</v>
      </c>
      <c r="E13249" t="s">
        <v>39</v>
      </c>
      <c r="F13249">
        <v>0</v>
      </c>
      <c r="G13249">
        <v>0</v>
      </c>
      <c r="H13249">
        <v>1</v>
      </c>
      <c r="I13249" s="3">
        <v>2481.61</v>
      </c>
      <c r="J13249" s="3">
        <v>0</v>
      </c>
      <c r="K13249" t="s">
        <v>29127</v>
      </c>
      <c r="L13249">
        <v>1039</v>
      </c>
      <c r="M13249" t="s">
        <v>1990</v>
      </c>
      <c r="N13249" t="s">
        <v>30</v>
      </c>
      <c r="O13249" t="s">
        <v>31</v>
      </c>
      <c r="P13249" t="str">
        <f>"15226"</f>
        <v>15226</v>
      </c>
    </row>
    <row r="13250" spans="1:16" x14ac:dyDescent="0.25">
      <c r="A13250" t="str">
        <f>"1190035G00058    00"</f>
        <v>1190035G00058    00</v>
      </c>
      <c r="B13250" t="s">
        <v>29128</v>
      </c>
      <c r="C13250" t="s">
        <v>29129</v>
      </c>
      <c r="D13250" t="s">
        <v>20</v>
      </c>
      <c r="E13250" t="s">
        <v>39</v>
      </c>
      <c r="F13250">
        <v>0</v>
      </c>
      <c r="G13250">
        <v>0</v>
      </c>
      <c r="H13250">
        <v>2</v>
      </c>
      <c r="I13250" s="3">
        <v>2268.16</v>
      </c>
      <c r="J13250" s="3">
        <v>0</v>
      </c>
      <c r="L13250">
        <v>1624</v>
      </c>
      <c r="M13250" t="s">
        <v>27551</v>
      </c>
      <c r="N13250" t="s">
        <v>30</v>
      </c>
      <c r="O13250" t="s">
        <v>31</v>
      </c>
      <c r="P13250" t="str">
        <f t="shared" ref="P13250:P13258" si="163">"15216"</f>
        <v>15216</v>
      </c>
    </row>
    <row r="13251" spans="1:16" x14ac:dyDescent="0.25">
      <c r="A13251" t="str">
        <f>"1190035G00082    00"</f>
        <v>1190035G00082    00</v>
      </c>
      <c r="B13251" t="s">
        <v>29130</v>
      </c>
      <c r="C13251" t="s">
        <v>29131</v>
      </c>
      <c r="D13251" t="s">
        <v>20</v>
      </c>
      <c r="E13251" t="s">
        <v>39</v>
      </c>
      <c r="F13251">
        <v>0</v>
      </c>
      <c r="G13251">
        <v>0</v>
      </c>
      <c r="H13251">
        <v>2</v>
      </c>
      <c r="I13251" s="3">
        <v>2198.16</v>
      </c>
      <c r="J13251" s="3">
        <v>0</v>
      </c>
      <c r="K13251" t="s">
        <v>29132</v>
      </c>
      <c r="L13251">
        <v>1625</v>
      </c>
      <c r="M13251" t="s">
        <v>27551</v>
      </c>
      <c r="N13251" t="s">
        <v>30</v>
      </c>
      <c r="O13251" t="s">
        <v>31</v>
      </c>
      <c r="P13251" t="str">
        <f t="shared" si="163"/>
        <v>15216</v>
      </c>
    </row>
    <row r="13252" spans="1:16" x14ac:dyDescent="0.25">
      <c r="A13252" t="str">
        <f>"1190035G00084    00"</f>
        <v>1190035G00084    00</v>
      </c>
      <c r="B13252" t="s">
        <v>29133</v>
      </c>
      <c r="C13252" t="s">
        <v>29134</v>
      </c>
      <c r="D13252" t="s">
        <v>20</v>
      </c>
      <c r="E13252" t="s">
        <v>39</v>
      </c>
      <c r="F13252">
        <v>0</v>
      </c>
      <c r="G13252">
        <v>0</v>
      </c>
      <c r="H13252">
        <v>1</v>
      </c>
      <c r="I13252" s="3">
        <v>776.21</v>
      </c>
      <c r="J13252" s="3">
        <v>0</v>
      </c>
      <c r="L13252">
        <v>1617</v>
      </c>
      <c r="M13252" t="s">
        <v>27551</v>
      </c>
      <c r="N13252" t="s">
        <v>30</v>
      </c>
      <c r="O13252" t="s">
        <v>31</v>
      </c>
      <c r="P13252" t="str">
        <f t="shared" si="163"/>
        <v>15216</v>
      </c>
    </row>
    <row r="13253" spans="1:16" x14ac:dyDescent="0.25">
      <c r="A13253" t="str">
        <f>"1190035G00102    00"</f>
        <v>1190035G00102    00</v>
      </c>
      <c r="B13253" t="s">
        <v>29135</v>
      </c>
      <c r="C13253" t="s">
        <v>29136</v>
      </c>
      <c r="D13253" t="s">
        <v>20</v>
      </c>
      <c r="E13253" t="s">
        <v>39</v>
      </c>
      <c r="F13253">
        <v>0</v>
      </c>
      <c r="G13253">
        <v>0</v>
      </c>
      <c r="H13253">
        <v>4</v>
      </c>
      <c r="I13253" s="3">
        <v>3463.4</v>
      </c>
      <c r="J13253" s="3">
        <v>698.8</v>
      </c>
      <c r="L13253">
        <v>1539</v>
      </c>
      <c r="M13253" t="s">
        <v>27551</v>
      </c>
      <c r="N13253" t="s">
        <v>30</v>
      </c>
      <c r="O13253" t="s">
        <v>31</v>
      </c>
      <c r="P13253" t="str">
        <f t="shared" si="163"/>
        <v>15216</v>
      </c>
    </row>
    <row r="13254" spans="1:16" x14ac:dyDescent="0.25">
      <c r="A13254" t="str">
        <f>"1190035G00130    00"</f>
        <v>1190035G00130    00</v>
      </c>
      <c r="B13254" t="s">
        <v>29137</v>
      </c>
      <c r="C13254" t="s">
        <v>29138</v>
      </c>
      <c r="E13254" t="s">
        <v>39</v>
      </c>
      <c r="F13254">
        <v>0</v>
      </c>
      <c r="G13254">
        <v>0</v>
      </c>
      <c r="H13254">
        <v>1</v>
      </c>
      <c r="I13254" s="3">
        <v>150.08000000000001</v>
      </c>
      <c r="J13254" s="3">
        <v>41.27</v>
      </c>
      <c r="L13254">
        <v>1636</v>
      </c>
      <c r="M13254" t="s">
        <v>25827</v>
      </c>
      <c r="N13254" t="s">
        <v>30</v>
      </c>
      <c r="O13254" t="s">
        <v>31</v>
      </c>
      <c r="P13254" t="str">
        <f t="shared" si="163"/>
        <v>15216</v>
      </c>
    </row>
    <row r="13255" spans="1:16" x14ac:dyDescent="0.25">
      <c r="A13255" t="str">
        <f>"1190035G00139    00"</f>
        <v>1190035G00139    00</v>
      </c>
      <c r="B13255" t="s">
        <v>29139</v>
      </c>
      <c r="C13255" t="s">
        <v>29140</v>
      </c>
      <c r="E13255" t="s">
        <v>39</v>
      </c>
      <c r="F13255">
        <v>0</v>
      </c>
      <c r="G13255">
        <v>0</v>
      </c>
      <c r="H13255">
        <v>1</v>
      </c>
      <c r="I13255" s="3">
        <v>890.65</v>
      </c>
      <c r="J13255" s="3">
        <v>0</v>
      </c>
      <c r="K13255" t="s">
        <v>29141</v>
      </c>
      <c r="L13255">
        <v>1657</v>
      </c>
      <c r="M13255" t="s">
        <v>25827</v>
      </c>
      <c r="N13255" t="s">
        <v>30</v>
      </c>
      <c r="O13255" t="s">
        <v>31</v>
      </c>
      <c r="P13255" t="str">
        <f t="shared" si="163"/>
        <v>15216</v>
      </c>
    </row>
    <row r="13256" spans="1:16" x14ac:dyDescent="0.25">
      <c r="A13256" t="str">
        <f>"1190035G00182    00"</f>
        <v>1190035G00182    00</v>
      </c>
      <c r="B13256" t="s">
        <v>29142</v>
      </c>
      <c r="C13256" t="s">
        <v>29143</v>
      </c>
      <c r="E13256" t="s">
        <v>39</v>
      </c>
      <c r="F13256">
        <v>0</v>
      </c>
      <c r="G13256">
        <v>0</v>
      </c>
      <c r="H13256">
        <v>1</v>
      </c>
      <c r="I13256" s="3">
        <v>1297.99</v>
      </c>
      <c r="J13256" s="3">
        <v>0</v>
      </c>
      <c r="L13256">
        <v>114</v>
      </c>
      <c r="M13256" t="s">
        <v>29144</v>
      </c>
      <c r="N13256" t="s">
        <v>30</v>
      </c>
      <c r="O13256" t="s">
        <v>31</v>
      </c>
      <c r="P13256" t="str">
        <f t="shared" si="163"/>
        <v>15216</v>
      </c>
    </row>
    <row r="13257" spans="1:16" x14ac:dyDescent="0.25">
      <c r="A13257" t="str">
        <f>"1190035G00192    00"</f>
        <v>1190035G00192    00</v>
      </c>
      <c r="B13257" t="s">
        <v>29145</v>
      </c>
      <c r="C13257" t="s">
        <v>29146</v>
      </c>
      <c r="E13257" t="s">
        <v>39</v>
      </c>
      <c r="F13257">
        <v>0</v>
      </c>
      <c r="G13257">
        <v>0</v>
      </c>
      <c r="H13257">
        <v>4</v>
      </c>
      <c r="I13257" s="3">
        <v>9201.4500000000007</v>
      </c>
      <c r="J13257" s="3">
        <v>3506.72</v>
      </c>
      <c r="L13257">
        <v>238</v>
      </c>
      <c r="M13257" t="s">
        <v>29147</v>
      </c>
      <c r="N13257" t="s">
        <v>30</v>
      </c>
      <c r="O13257" t="s">
        <v>31</v>
      </c>
      <c r="P13257" t="str">
        <f t="shared" si="163"/>
        <v>15216</v>
      </c>
    </row>
    <row r="13258" spans="1:16" x14ac:dyDescent="0.25">
      <c r="A13258" t="str">
        <f>"1190035G00215    00"</f>
        <v>1190035G00215    00</v>
      </c>
      <c r="B13258" t="s">
        <v>29148</v>
      </c>
      <c r="C13258" t="s">
        <v>29149</v>
      </c>
      <c r="D13258" t="s">
        <v>20</v>
      </c>
      <c r="E13258" t="s">
        <v>39</v>
      </c>
      <c r="F13258">
        <v>0</v>
      </c>
      <c r="G13258">
        <v>0</v>
      </c>
      <c r="H13258">
        <v>2</v>
      </c>
      <c r="I13258" s="3">
        <v>2306.2800000000002</v>
      </c>
      <c r="J13258" s="3">
        <v>0</v>
      </c>
      <c r="L13258">
        <v>1553</v>
      </c>
      <c r="M13258" t="s">
        <v>25827</v>
      </c>
      <c r="N13258" t="s">
        <v>30</v>
      </c>
      <c r="O13258" t="s">
        <v>31</v>
      </c>
      <c r="P13258" t="str">
        <f t="shared" si="163"/>
        <v>15216</v>
      </c>
    </row>
    <row r="13259" spans="1:16" x14ac:dyDescent="0.25">
      <c r="A13259" t="str">
        <f>"1190035G00216    00"</f>
        <v>1190035G00216    00</v>
      </c>
      <c r="B13259" t="s">
        <v>29150</v>
      </c>
      <c r="C13259" t="s">
        <v>28930</v>
      </c>
      <c r="D13259" t="s">
        <v>20</v>
      </c>
      <c r="E13259" t="s">
        <v>39</v>
      </c>
      <c r="F13259">
        <v>0</v>
      </c>
      <c r="G13259">
        <v>0</v>
      </c>
      <c r="H13259">
        <v>8</v>
      </c>
      <c r="I13259" s="3">
        <v>366.34</v>
      </c>
      <c r="J13259" s="3">
        <v>137.41</v>
      </c>
      <c r="K13259" t="s">
        <v>29151</v>
      </c>
      <c r="L13259">
        <v>212</v>
      </c>
      <c r="M13259" t="s">
        <v>1112</v>
      </c>
      <c r="N13259" t="s">
        <v>12579</v>
      </c>
      <c r="O13259" t="s">
        <v>31</v>
      </c>
      <c r="P13259" t="str">
        <f>"15112"</f>
        <v>15112</v>
      </c>
    </row>
    <row r="13260" spans="1:16" x14ac:dyDescent="0.25">
      <c r="A13260" t="str">
        <f>"1190035G00224    00"</f>
        <v>1190035G00224    00</v>
      </c>
      <c r="B13260" t="s">
        <v>28817</v>
      </c>
      <c r="C13260" t="s">
        <v>29152</v>
      </c>
      <c r="D13260" t="s">
        <v>20</v>
      </c>
      <c r="E13260" t="s">
        <v>21</v>
      </c>
      <c r="F13260">
        <v>0</v>
      </c>
      <c r="G13260">
        <v>0</v>
      </c>
      <c r="H13260">
        <v>1</v>
      </c>
      <c r="I13260" s="3">
        <v>953</v>
      </c>
      <c r="J13260" s="3">
        <v>0</v>
      </c>
      <c r="K13260" t="s">
        <v>29153</v>
      </c>
      <c r="L13260">
        <v>2531</v>
      </c>
      <c r="M13260" t="s">
        <v>6937</v>
      </c>
      <c r="N13260" t="s">
        <v>30</v>
      </c>
      <c r="O13260" t="s">
        <v>31</v>
      </c>
      <c r="P13260" t="str">
        <f>"15226"</f>
        <v>15226</v>
      </c>
    </row>
    <row r="13261" spans="1:16" x14ac:dyDescent="0.25">
      <c r="A13261" t="str">
        <f>"1190035G00250    00"</f>
        <v>1190035G00250    00</v>
      </c>
      <c r="B13261" t="s">
        <v>29154</v>
      </c>
      <c r="C13261" t="s">
        <v>29155</v>
      </c>
      <c r="D13261" t="s">
        <v>20</v>
      </c>
      <c r="E13261" t="s">
        <v>39</v>
      </c>
      <c r="F13261">
        <v>0</v>
      </c>
      <c r="G13261">
        <v>0</v>
      </c>
      <c r="H13261">
        <v>19</v>
      </c>
      <c r="I13261" s="3">
        <v>6322.03</v>
      </c>
      <c r="J13261" s="3">
        <v>5062.34</v>
      </c>
      <c r="P13261" t="str">
        <f>""</f>
        <v/>
      </c>
    </row>
    <row r="13262" spans="1:16" x14ac:dyDescent="0.25">
      <c r="A13262" t="str">
        <f>"1190035G00262    00"</f>
        <v>1190035G00262    00</v>
      </c>
      <c r="B13262" t="s">
        <v>29156</v>
      </c>
      <c r="C13262" t="s">
        <v>29155</v>
      </c>
      <c r="E13262" t="s">
        <v>39</v>
      </c>
      <c r="F13262">
        <v>0</v>
      </c>
      <c r="G13262">
        <v>0</v>
      </c>
      <c r="H13262">
        <v>3</v>
      </c>
      <c r="I13262" s="3">
        <v>1221.95</v>
      </c>
      <c r="J13262" s="3">
        <v>1279.95</v>
      </c>
      <c r="L13262">
        <v>1621</v>
      </c>
      <c r="M13262" t="s">
        <v>29157</v>
      </c>
      <c r="N13262" t="s">
        <v>30</v>
      </c>
      <c r="O13262" t="s">
        <v>31</v>
      </c>
      <c r="P13262" t="str">
        <f>"15210"</f>
        <v>15210</v>
      </c>
    </row>
    <row r="13263" spans="1:16" x14ac:dyDescent="0.25">
      <c r="A13263" t="str">
        <f>"1190035G00263    00"</f>
        <v>1190035G00263    00</v>
      </c>
      <c r="B13263" t="s">
        <v>29158</v>
      </c>
      <c r="C13263" t="s">
        <v>29155</v>
      </c>
      <c r="D13263" t="s">
        <v>20</v>
      </c>
      <c r="E13263" t="s">
        <v>39</v>
      </c>
      <c r="F13263">
        <v>0</v>
      </c>
      <c r="G13263">
        <v>0</v>
      </c>
      <c r="H13263">
        <v>19</v>
      </c>
      <c r="I13263" s="3">
        <v>4462.2299999999996</v>
      </c>
      <c r="J13263" s="3">
        <v>2705.28</v>
      </c>
      <c r="L13263">
        <v>302</v>
      </c>
      <c r="M13263" t="s">
        <v>29159</v>
      </c>
      <c r="N13263" t="s">
        <v>30</v>
      </c>
      <c r="O13263" t="s">
        <v>31</v>
      </c>
      <c r="P13263" t="str">
        <f>"15216"</f>
        <v>15216</v>
      </c>
    </row>
    <row r="13264" spans="1:16" x14ac:dyDescent="0.25">
      <c r="A13264" t="str">
        <f>"1190035G00264    00"</f>
        <v>1190035G00264    00</v>
      </c>
      <c r="B13264" t="s">
        <v>29160</v>
      </c>
      <c r="C13264" t="s">
        <v>29155</v>
      </c>
      <c r="E13264" t="s">
        <v>39</v>
      </c>
      <c r="F13264">
        <v>0</v>
      </c>
      <c r="G13264">
        <v>0</v>
      </c>
      <c r="H13264">
        <v>4</v>
      </c>
      <c r="I13264" s="3">
        <v>2994.1</v>
      </c>
      <c r="J13264" s="3">
        <v>3586.75</v>
      </c>
      <c r="L13264">
        <v>1621</v>
      </c>
      <c r="M13264" t="s">
        <v>29157</v>
      </c>
      <c r="N13264" t="s">
        <v>30</v>
      </c>
      <c r="O13264" t="s">
        <v>31</v>
      </c>
      <c r="P13264" t="str">
        <f>"15210"</f>
        <v>15210</v>
      </c>
    </row>
    <row r="13265" spans="1:16" x14ac:dyDescent="0.25">
      <c r="A13265" t="str">
        <f>"1190035G00270    00"</f>
        <v>1190035G00270    00</v>
      </c>
      <c r="B13265" t="s">
        <v>29161</v>
      </c>
      <c r="C13265" t="s">
        <v>29162</v>
      </c>
      <c r="D13265" t="s">
        <v>20</v>
      </c>
      <c r="E13265" t="s">
        <v>39</v>
      </c>
      <c r="F13265">
        <v>0</v>
      </c>
      <c r="G13265">
        <v>0</v>
      </c>
      <c r="H13265">
        <v>2</v>
      </c>
      <c r="I13265" s="3">
        <v>1176.4000000000001</v>
      </c>
      <c r="J13265" s="3">
        <v>0</v>
      </c>
      <c r="L13265">
        <v>316</v>
      </c>
      <c r="M13265" t="s">
        <v>29159</v>
      </c>
      <c r="N13265" t="s">
        <v>30</v>
      </c>
      <c r="O13265" t="s">
        <v>31</v>
      </c>
      <c r="P13265" t="str">
        <f>"15216"</f>
        <v>15216</v>
      </c>
    </row>
    <row r="13266" spans="1:16" x14ac:dyDescent="0.25">
      <c r="A13266" t="str">
        <f>"1190035G00305    00"</f>
        <v>1190035G00305    00</v>
      </c>
      <c r="B13266" t="s">
        <v>29163</v>
      </c>
      <c r="C13266" t="s">
        <v>29164</v>
      </c>
      <c r="D13266" t="s">
        <v>20</v>
      </c>
      <c r="E13266" t="s">
        <v>39</v>
      </c>
      <c r="F13266">
        <v>0</v>
      </c>
      <c r="G13266">
        <v>0</v>
      </c>
      <c r="H13266">
        <v>7</v>
      </c>
      <c r="I13266" s="3">
        <v>8264.49</v>
      </c>
      <c r="J13266" s="3">
        <v>2336.0300000000002</v>
      </c>
      <c r="L13266">
        <v>730</v>
      </c>
      <c r="M13266" t="s">
        <v>22085</v>
      </c>
      <c r="N13266" t="s">
        <v>30</v>
      </c>
      <c r="O13266" t="s">
        <v>31</v>
      </c>
      <c r="P13266" t="str">
        <f>"15216"</f>
        <v>15216</v>
      </c>
    </row>
    <row r="13267" spans="1:16" x14ac:dyDescent="0.25">
      <c r="A13267" t="str">
        <f>"1190035G00316    00"</f>
        <v>1190035G00316    00</v>
      </c>
      <c r="B13267" t="s">
        <v>29101</v>
      </c>
      <c r="C13267" t="s">
        <v>29165</v>
      </c>
      <c r="D13267" t="s">
        <v>20</v>
      </c>
      <c r="E13267" t="s">
        <v>39</v>
      </c>
      <c r="F13267">
        <v>0</v>
      </c>
      <c r="G13267">
        <v>0</v>
      </c>
      <c r="H13267">
        <v>5</v>
      </c>
      <c r="I13267" s="3">
        <v>7187.52</v>
      </c>
      <c r="J13267" s="3">
        <v>1241.74</v>
      </c>
      <c r="L13267">
        <v>1554</v>
      </c>
      <c r="M13267" t="s">
        <v>14332</v>
      </c>
      <c r="N13267" t="s">
        <v>30</v>
      </c>
      <c r="O13267" t="s">
        <v>31</v>
      </c>
      <c r="P13267" t="str">
        <f>"15216"</f>
        <v>15216</v>
      </c>
    </row>
    <row r="13268" spans="1:16" x14ac:dyDescent="0.25">
      <c r="A13268" t="str">
        <f>"1190035G00328    00"</f>
        <v>1190035G00328    00</v>
      </c>
      <c r="B13268" t="s">
        <v>29166</v>
      </c>
      <c r="C13268" t="s">
        <v>29167</v>
      </c>
      <c r="E13268" t="s">
        <v>39</v>
      </c>
      <c r="F13268">
        <v>0</v>
      </c>
      <c r="G13268">
        <v>0</v>
      </c>
      <c r="H13268">
        <v>14</v>
      </c>
      <c r="I13268" s="3">
        <v>15215.07</v>
      </c>
      <c r="J13268" s="3">
        <v>11733.21</v>
      </c>
      <c r="L13268">
        <v>1538</v>
      </c>
      <c r="M13268" t="s">
        <v>28970</v>
      </c>
      <c r="N13268" t="s">
        <v>30</v>
      </c>
      <c r="O13268" t="s">
        <v>31</v>
      </c>
      <c r="P13268" t="str">
        <f>"15216"</f>
        <v>15216</v>
      </c>
    </row>
    <row r="13269" spans="1:16" x14ac:dyDescent="0.25">
      <c r="A13269" t="str">
        <f>"1190035H00013    00"</f>
        <v>1190035H00013    00</v>
      </c>
      <c r="B13269" t="s">
        <v>29168</v>
      </c>
      <c r="C13269" t="s">
        <v>29169</v>
      </c>
      <c r="D13269" t="s">
        <v>20</v>
      </c>
      <c r="E13269" t="s">
        <v>39</v>
      </c>
      <c r="F13269">
        <v>0</v>
      </c>
      <c r="G13269">
        <v>0</v>
      </c>
      <c r="H13269">
        <v>3</v>
      </c>
      <c r="I13269" s="3">
        <v>4168.4399999999996</v>
      </c>
      <c r="J13269" s="3">
        <v>277.89</v>
      </c>
      <c r="K13269" t="s">
        <v>29170</v>
      </c>
      <c r="L13269">
        <v>433</v>
      </c>
      <c r="M13269" t="s">
        <v>29171</v>
      </c>
      <c r="N13269" t="s">
        <v>2008</v>
      </c>
      <c r="O13269" t="s">
        <v>31</v>
      </c>
      <c r="P13269" t="str">
        <f>"16066"</f>
        <v>16066</v>
      </c>
    </row>
    <row r="13270" spans="1:16" x14ac:dyDescent="0.25">
      <c r="A13270" t="str">
        <f>"1190035H00027    00"</f>
        <v>1190035H00027    00</v>
      </c>
      <c r="B13270" t="s">
        <v>8294</v>
      </c>
      <c r="C13270" t="s">
        <v>29172</v>
      </c>
      <c r="D13270" t="s">
        <v>20</v>
      </c>
      <c r="E13270" t="s">
        <v>39</v>
      </c>
      <c r="F13270">
        <v>0</v>
      </c>
      <c r="G13270">
        <v>0</v>
      </c>
      <c r="H13270">
        <v>3</v>
      </c>
      <c r="I13270" s="3">
        <v>4420.18</v>
      </c>
      <c r="J13270" s="3">
        <v>262.44</v>
      </c>
      <c r="L13270">
        <v>303</v>
      </c>
      <c r="M13270" t="s">
        <v>8296</v>
      </c>
      <c r="N13270" t="s">
        <v>30</v>
      </c>
      <c r="O13270" t="s">
        <v>31</v>
      </c>
      <c r="P13270" t="str">
        <f>"15211"</f>
        <v>15211</v>
      </c>
    </row>
    <row r="13271" spans="1:16" x14ac:dyDescent="0.25">
      <c r="A13271" t="str">
        <f>"1190035H00029    00"</f>
        <v>1190035H00029    00</v>
      </c>
      <c r="B13271" t="s">
        <v>29173</v>
      </c>
      <c r="C13271" t="s">
        <v>29174</v>
      </c>
      <c r="D13271" t="s">
        <v>20</v>
      </c>
      <c r="E13271" t="s">
        <v>39</v>
      </c>
      <c r="F13271">
        <v>0</v>
      </c>
      <c r="G13271">
        <v>0</v>
      </c>
      <c r="H13271">
        <v>3</v>
      </c>
      <c r="I13271" s="3">
        <v>2975.53</v>
      </c>
      <c r="J13271" s="3">
        <v>149.63999999999999</v>
      </c>
      <c r="L13271">
        <v>1606</v>
      </c>
      <c r="M13271" t="s">
        <v>28652</v>
      </c>
      <c r="N13271" t="s">
        <v>30</v>
      </c>
      <c r="O13271" t="s">
        <v>31</v>
      </c>
      <c r="P13271" t="str">
        <f>"15216"</f>
        <v>15216</v>
      </c>
    </row>
    <row r="13272" spans="1:16" x14ac:dyDescent="0.25">
      <c r="A13272" t="str">
        <f>"1190035H00044    00"</f>
        <v>1190035H00044    00</v>
      </c>
      <c r="B13272" t="s">
        <v>29175</v>
      </c>
      <c r="C13272" t="s">
        <v>29176</v>
      </c>
      <c r="D13272" t="s">
        <v>57</v>
      </c>
      <c r="E13272" t="s">
        <v>39</v>
      </c>
      <c r="F13272">
        <v>0</v>
      </c>
      <c r="G13272">
        <v>0</v>
      </c>
      <c r="H13272">
        <v>1</v>
      </c>
      <c r="I13272" s="3">
        <v>136.56</v>
      </c>
      <c r="J13272" s="3">
        <v>0</v>
      </c>
      <c r="K13272" t="s">
        <v>1135</v>
      </c>
      <c r="L13272">
        <v>3001</v>
      </c>
      <c r="M13272" t="s">
        <v>330</v>
      </c>
      <c r="N13272" t="s">
        <v>331</v>
      </c>
      <c r="O13272" t="s">
        <v>108</v>
      </c>
      <c r="P13272" t="str">
        <f>"75063"</f>
        <v>75063</v>
      </c>
    </row>
    <row r="13273" spans="1:16" x14ac:dyDescent="0.25">
      <c r="A13273" t="str">
        <f>"1190035H00057    00"</f>
        <v>1190035H00057    00</v>
      </c>
      <c r="B13273" t="s">
        <v>29177</v>
      </c>
      <c r="C13273" t="s">
        <v>29178</v>
      </c>
      <c r="D13273" t="s">
        <v>20</v>
      </c>
      <c r="E13273" t="s">
        <v>39</v>
      </c>
      <c r="F13273">
        <v>0</v>
      </c>
      <c r="G13273">
        <v>0</v>
      </c>
      <c r="H13273">
        <v>5</v>
      </c>
      <c r="I13273" s="3">
        <v>7667.86</v>
      </c>
      <c r="J13273" s="3">
        <v>1324.72</v>
      </c>
      <c r="L13273">
        <v>1611</v>
      </c>
      <c r="M13273" t="s">
        <v>28652</v>
      </c>
      <c r="N13273" t="s">
        <v>30</v>
      </c>
      <c r="O13273" t="s">
        <v>31</v>
      </c>
      <c r="P13273" t="str">
        <f t="shared" ref="P13273:P13278" si="164">"15216"</f>
        <v>15216</v>
      </c>
    </row>
    <row r="13274" spans="1:16" x14ac:dyDescent="0.25">
      <c r="A13274" t="str">
        <f>"1190035H00066    00"</f>
        <v>1190035H00066    00</v>
      </c>
      <c r="B13274" t="s">
        <v>29179</v>
      </c>
      <c r="C13274" t="s">
        <v>29180</v>
      </c>
      <c r="D13274" t="s">
        <v>20</v>
      </c>
      <c r="E13274" t="s">
        <v>39</v>
      </c>
      <c r="F13274">
        <v>0</v>
      </c>
      <c r="G13274">
        <v>0</v>
      </c>
      <c r="H13274">
        <v>5</v>
      </c>
      <c r="I13274" s="3">
        <v>7570.05</v>
      </c>
      <c r="J13274" s="3">
        <v>3680.54</v>
      </c>
      <c r="L13274">
        <v>1544</v>
      </c>
      <c r="M13274" t="s">
        <v>17224</v>
      </c>
      <c r="N13274" t="s">
        <v>30</v>
      </c>
      <c r="O13274" t="s">
        <v>31</v>
      </c>
      <c r="P13274" t="str">
        <f t="shared" si="164"/>
        <v>15216</v>
      </c>
    </row>
    <row r="13275" spans="1:16" x14ac:dyDescent="0.25">
      <c r="A13275" t="str">
        <f>"1190035H00069    00"</f>
        <v>1190035H00069    00</v>
      </c>
      <c r="B13275" t="s">
        <v>29181</v>
      </c>
      <c r="C13275" t="s">
        <v>29182</v>
      </c>
      <c r="D13275" t="s">
        <v>20</v>
      </c>
      <c r="E13275" t="s">
        <v>39</v>
      </c>
      <c r="F13275">
        <v>0</v>
      </c>
      <c r="G13275">
        <v>0</v>
      </c>
      <c r="H13275">
        <v>1</v>
      </c>
      <c r="I13275" s="3">
        <v>427.97</v>
      </c>
      <c r="J13275" s="3">
        <v>0</v>
      </c>
      <c r="L13275">
        <v>1532</v>
      </c>
      <c r="M13275" t="s">
        <v>17224</v>
      </c>
      <c r="N13275" t="s">
        <v>30</v>
      </c>
      <c r="O13275" t="s">
        <v>31</v>
      </c>
      <c r="P13275" t="str">
        <f t="shared" si="164"/>
        <v>15216</v>
      </c>
    </row>
    <row r="13276" spans="1:16" x14ac:dyDescent="0.25">
      <c r="A13276" t="str">
        <f>"1190035H00075    00"</f>
        <v>1190035H00075    00</v>
      </c>
      <c r="B13276" t="s">
        <v>29183</v>
      </c>
      <c r="C13276" t="s">
        <v>29184</v>
      </c>
      <c r="D13276" t="s">
        <v>20</v>
      </c>
      <c r="E13276" t="s">
        <v>39</v>
      </c>
      <c r="F13276">
        <v>0</v>
      </c>
      <c r="G13276">
        <v>0</v>
      </c>
      <c r="H13276">
        <v>14</v>
      </c>
      <c r="I13276" s="3">
        <v>13539.93</v>
      </c>
      <c r="J13276" s="3">
        <v>8618.92</v>
      </c>
      <c r="L13276">
        <v>1529</v>
      </c>
      <c r="M13276" t="s">
        <v>17224</v>
      </c>
      <c r="N13276" t="s">
        <v>30</v>
      </c>
      <c r="O13276" t="s">
        <v>31</v>
      </c>
      <c r="P13276" t="str">
        <f t="shared" si="164"/>
        <v>15216</v>
      </c>
    </row>
    <row r="13277" spans="1:16" x14ac:dyDescent="0.25">
      <c r="A13277" t="str">
        <f>"1190035H00106    00"</f>
        <v>1190035H00106    00</v>
      </c>
      <c r="B13277" t="s">
        <v>29016</v>
      </c>
      <c r="C13277" t="s">
        <v>29011</v>
      </c>
      <c r="E13277" t="s">
        <v>39</v>
      </c>
      <c r="F13277">
        <v>0</v>
      </c>
      <c r="G13277">
        <v>0</v>
      </c>
      <c r="H13277">
        <v>1</v>
      </c>
      <c r="I13277" s="3">
        <v>148.66999999999999</v>
      </c>
      <c r="J13277" s="3">
        <v>29.73</v>
      </c>
      <c r="K13277" t="s">
        <v>29017</v>
      </c>
      <c r="L13277">
        <v>1537</v>
      </c>
      <c r="M13277" t="s">
        <v>29006</v>
      </c>
      <c r="N13277" t="s">
        <v>30</v>
      </c>
      <c r="O13277" t="s">
        <v>31</v>
      </c>
      <c r="P13277" t="str">
        <f t="shared" si="164"/>
        <v>15216</v>
      </c>
    </row>
    <row r="13278" spans="1:16" x14ac:dyDescent="0.25">
      <c r="A13278" t="str">
        <f>"1190035H00137    00"</f>
        <v>1190035H00137    00</v>
      </c>
      <c r="B13278" t="s">
        <v>29185</v>
      </c>
      <c r="C13278" t="s">
        <v>29186</v>
      </c>
      <c r="E13278" t="s">
        <v>39</v>
      </c>
      <c r="F13278">
        <v>0</v>
      </c>
      <c r="G13278">
        <v>0</v>
      </c>
      <c r="H13278">
        <v>2</v>
      </c>
      <c r="I13278" s="3">
        <v>1009.31</v>
      </c>
      <c r="J13278" s="3">
        <v>294.70999999999998</v>
      </c>
      <c r="K13278" t="s">
        <v>29187</v>
      </c>
      <c r="L13278">
        <v>1640</v>
      </c>
      <c r="M13278" t="s">
        <v>29188</v>
      </c>
      <c r="N13278" t="s">
        <v>30</v>
      </c>
      <c r="O13278" t="s">
        <v>31</v>
      </c>
      <c r="P13278" t="str">
        <f t="shared" si="164"/>
        <v>15216</v>
      </c>
    </row>
    <row r="13279" spans="1:16" x14ac:dyDescent="0.25">
      <c r="A13279" t="str">
        <f>"1190035H00138    00"</f>
        <v>1190035H00138    00</v>
      </c>
      <c r="B13279" t="s">
        <v>29189</v>
      </c>
      <c r="C13279" t="s">
        <v>29190</v>
      </c>
      <c r="E13279" t="s">
        <v>39</v>
      </c>
      <c r="F13279">
        <v>0</v>
      </c>
      <c r="G13279">
        <v>0</v>
      </c>
      <c r="H13279">
        <v>1</v>
      </c>
      <c r="I13279" s="3">
        <v>21.02</v>
      </c>
      <c r="J13279" s="3">
        <v>18.57</v>
      </c>
      <c r="K13279" t="s">
        <v>2302</v>
      </c>
      <c r="L13279">
        <v>3001</v>
      </c>
      <c r="M13279" t="s">
        <v>330</v>
      </c>
      <c r="N13279" t="s">
        <v>331</v>
      </c>
      <c r="O13279" t="s">
        <v>108</v>
      </c>
      <c r="P13279" t="str">
        <f>"75063"</f>
        <v>75063</v>
      </c>
    </row>
    <row r="13280" spans="1:16" x14ac:dyDescent="0.25">
      <c r="A13280" t="str">
        <f>"1190035H00174    00"</f>
        <v>1190035H00174    00</v>
      </c>
      <c r="B13280" t="s">
        <v>29191</v>
      </c>
      <c r="C13280" t="s">
        <v>29192</v>
      </c>
      <c r="D13280" t="s">
        <v>20</v>
      </c>
      <c r="E13280" t="s">
        <v>39</v>
      </c>
      <c r="F13280">
        <v>0</v>
      </c>
      <c r="G13280">
        <v>0</v>
      </c>
      <c r="H13280">
        <v>19</v>
      </c>
      <c r="I13280" s="3">
        <v>8848.59</v>
      </c>
      <c r="J13280" s="3">
        <v>8602.26</v>
      </c>
      <c r="L13280">
        <v>6387</v>
      </c>
      <c r="M13280" t="s">
        <v>29014</v>
      </c>
      <c r="N13280" t="s">
        <v>29015</v>
      </c>
      <c r="O13280" t="s">
        <v>370</v>
      </c>
      <c r="P13280" t="str">
        <f>"33308"</f>
        <v>33308</v>
      </c>
    </row>
    <row r="13281" spans="1:16" x14ac:dyDescent="0.25">
      <c r="A13281" t="str">
        <f>"1190035H00198    00"</f>
        <v>1190035H00198    00</v>
      </c>
      <c r="B13281" t="s">
        <v>29193</v>
      </c>
      <c r="C13281" t="s">
        <v>29194</v>
      </c>
      <c r="D13281" t="s">
        <v>20</v>
      </c>
      <c r="E13281" t="s">
        <v>39</v>
      </c>
      <c r="F13281">
        <v>0</v>
      </c>
      <c r="G13281">
        <v>0</v>
      </c>
      <c r="H13281">
        <v>12</v>
      </c>
      <c r="I13281" s="3">
        <v>4280.95</v>
      </c>
      <c r="J13281" s="3">
        <v>2594.5100000000002</v>
      </c>
      <c r="K13281" t="s">
        <v>29195</v>
      </c>
      <c r="L13281">
        <v>2034</v>
      </c>
      <c r="M13281" t="s">
        <v>29196</v>
      </c>
      <c r="N13281" t="s">
        <v>30</v>
      </c>
      <c r="O13281" t="s">
        <v>31</v>
      </c>
      <c r="P13281" t="str">
        <f>"15216"</f>
        <v>15216</v>
      </c>
    </row>
    <row r="13282" spans="1:16" x14ac:dyDescent="0.25">
      <c r="A13282" t="str">
        <f>"1190035H00201    00"</f>
        <v>1190035H00201    00</v>
      </c>
      <c r="B13282" t="s">
        <v>8467</v>
      </c>
      <c r="C13282" t="s">
        <v>29197</v>
      </c>
      <c r="D13282" t="s">
        <v>20</v>
      </c>
      <c r="E13282" t="s">
        <v>39</v>
      </c>
      <c r="F13282">
        <v>0</v>
      </c>
      <c r="G13282">
        <v>0</v>
      </c>
      <c r="H13282">
        <v>2</v>
      </c>
      <c r="I13282" s="3">
        <v>1322.78</v>
      </c>
      <c r="J13282" s="3">
        <v>0</v>
      </c>
      <c r="K13282" t="s">
        <v>8469</v>
      </c>
      <c r="L13282">
        <v>202</v>
      </c>
      <c r="M13282" t="s">
        <v>2136</v>
      </c>
      <c r="N13282" t="s">
        <v>30</v>
      </c>
      <c r="O13282" t="s">
        <v>31</v>
      </c>
      <c r="P13282" t="str">
        <f>"15228"</f>
        <v>15228</v>
      </c>
    </row>
    <row r="13283" spans="1:16" x14ac:dyDescent="0.25">
      <c r="A13283" t="str">
        <f>"1190035H00203    00"</f>
        <v>1190035H00203    00</v>
      </c>
      <c r="B13283" t="s">
        <v>29193</v>
      </c>
      <c r="C13283" t="s">
        <v>29198</v>
      </c>
      <c r="D13283" t="s">
        <v>20</v>
      </c>
      <c r="E13283" t="s">
        <v>39</v>
      </c>
      <c r="F13283">
        <v>0</v>
      </c>
      <c r="G13283">
        <v>0</v>
      </c>
      <c r="H13283">
        <v>9</v>
      </c>
      <c r="I13283" s="3">
        <v>9857.92</v>
      </c>
      <c r="J13283" s="3">
        <v>3732.78</v>
      </c>
      <c r="K13283" t="s">
        <v>29195</v>
      </c>
      <c r="L13283">
        <v>2034</v>
      </c>
      <c r="M13283" t="s">
        <v>29199</v>
      </c>
      <c r="N13283" t="s">
        <v>30</v>
      </c>
      <c r="O13283" t="s">
        <v>31</v>
      </c>
      <c r="P13283" t="str">
        <f>"15216"</f>
        <v>15216</v>
      </c>
    </row>
    <row r="13284" spans="1:16" x14ac:dyDescent="0.25">
      <c r="A13284" t="str">
        <f>"1190035H00215    00"</f>
        <v>1190035H00215    00</v>
      </c>
      <c r="B13284" t="s">
        <v>29200</v>
      </c>
      <c r="C13284" t="s">
        <v>29201</v>
      </c>
      <c r="D13284" t="s">
        <v>20</v>
      </c>
      <c r="E13284" t="s">
        <v>39</v>
      </c>
      <c r="F13284">
        <v>0</v>
      </c>
      <c r="G13284">
        <v>0</v>
      </c>
      <c r="H13284">
        <v>19</v>
      </c>
      <c r="I13284" s="3">
        <v>5646.69</v>
      </c>
      <c r="J13284" s="3">
        <v>4391.49</v>
      </c>
      <c r="P13284" t="str">
        <f>""</f>
        <v/>
      </c>
    </row>
    <row r="13285" spans="1:16" x14ac:dyDescent="0.25">
      <c r="A13285" t="str">
        <f>"1190035H00218    00"</f>
        <v>1190035H00218    00</v>
      </c>
      <c r="B13285" t="s">
        <v>29202</v>
      </c>
      <c r="C13285" t="s">
        <v>29203</v>
      </c>
      <c r="D13285" t="s">
        <v>20</v>
      </c>
      <c r="E13285" t="s">
        <v>39</v>
      </c>
      <c r="F13285">
        <v>0</v>
      </c>
      <c r="G13285">
        <v>0</v>
      </c>
      <c r="H13285">
        <v>2</v>
      </c>
      <c r="I13285" s="3">
        <v>608.5</v>
      </c>
      <c r="J13285" s="3">
        <v>15.76</v>
      </c>
      <c r="L13285">
        <v>1651</v>
      </c>
      <c r="M13285" t="s">
        <v>29188</v>
      </c>
      <c r="N13285" t="s">
        <v>30</v>
      </c>
      <c r="O13285" t="s">
        <v>31</v>
      </c>
      <c r="P13285" t="str">
        <f>"15216"</f>
        <v>15216</v>
      </c>
    </row>
    <row r="13286" spans="1:16" x14ac:dyDescent="0.25">
      <c r="A13286" t="str">
        <f>"1190035H00237    00"</f>
        <v>1190035H00237    00</v>
      </c>
      <c r="B13286" t="s">
        <v>29193</v>
      </c>
      <c r="C13286" t="s">
        <v>29204</v>
      </c>
      <c r="D13286" t="s">
        <v>20</v>
      </c>
      <c r="E13286" t="s">
        <v>39</v>
      </c>
      <c r="F13286">
        <v>0</v>
      </c>
      <c r="G13286">
        <v>0</v>
      </c>
      <c r="H13286">
        <v>9</v>
      </c>
      <c r="I13286" s="3">
        <v>5804.79</v>
      </c>
      <c r="J13286" s="3">
        <v>2198</v>
      </c>
      <c r="K13286" t="s">
        <v>29195</v>
      </c>
      <c r="L13286">
        <v>2034</v>
      </c>
      <c r="M13286" t="s">
        <v>29199</v>
      </c>
      <c r="N13286" t="s">
        <v>30</v>
      </c>
      <c r="O13286" t="s">
        <v>31</v>
      </c>
      <c r="P13286" t="str">
        <f>"15216"</f>
        <v>15216</v>
      </c>
    </row>
    <row r="13287" spans="1:16" x14ac:dyDescent="0.25">
      <c r="A13287" t="str">
        <f>"1190035H00250    00"</f>
        <v>1190035H00250    00</v>
      </c>
      <c r="B13287" t="s">
        <v>29205</v>
      </c>
      <c r="C13287" t="s">
        <v>29206</v>
      </c>
      <c r="D13287" t="s">
        <v>20</v>
      </c>
      <c r="E13287" t="s">
        <v>39</v>
      </c>
      <c r="F13287">
        <v>0</v>
      </c>
      <c r="G13287">
        <v>0</v>
      </c>
      <c r="H13287">
        <v>2</v>
      </c>
      <c r="I13287" s="3">
        <v>1190.06</v>
      </c>
      <c r="J13287" s="3">
        <v>0</v>
      </c>
      <c r="L13287">
        <v>1659</v>
      </c>
      <c r="M13287" t="s">
        <v>29188</v>
      </c>
      <c r="N13287" t="s">
        <v>30</v>
      </c>
      <c r="O13287" t="s">
        <v>31</v>
      </c>
      <c r="P13287" t="str">
        <f>"15216"</f>
        <v>15216</v>
      </c>
    </row>
    <row r="13288" spans="1:16" x14ac:dyDescent="0.25">
      <c r="A13288" t="str">
        <f>"1190035H00267    00"</f>
        <v>1190035H00267    00</v>
      </c>
      <c r="B13288" t="s">
        <v>29207</v>
      </c>
      <c r="C13288" t="s">
        <v>29201</v>
      </c>
      <c r="D13288" t="s">
        <v>20</v>
      </c>
      <c r="E13288" t="s">
        <v>39</v>
      </c>
      <c r="F13288">
        <v>0</v>
      </c>
      <c r="G13288">
        <v>0</v>
      </c>
      <c r="H13288">
        <v>19</v>
      </c>
      <c r="I13288" s="3">
        <v>4967.1000000000004</v>
      </c>
      <c r="J13288" s="3">
        <v>3818.38</v>
      </c>
      <c r="L13288">
        <v>2</v>
      </c>
      <c r="M13288" t="s">
        <v>29208</v>
      </c>
      <c r="N13288" t="s">
        <v>30</v>
      </c>
      <c r="O13288" t="s">
        <v>31</v>
      </c>
      <c r="P13288" t="str">
        <f>"15234"</f>
        <v>15234</v>
      </c>
    </row>
    <row r="13289" spans="1:16" x14ac:dyDescent="0.25">
      <c r="A13289" t="str">
        <f>"1190035H00272    00"</f>
        <v>1190035H00272    00</v>
      </c>
      <c r="B13289" t="s">
        <v>29209</v>
      </c>
      <c r="C13289" t="s">
        <v>29201</v>
      </c>
      <c r="D13289" t="s">
        <v>20</v>
      </c>
      <c r="E13289" t="s">
        <v>21</v>
      </c>
      <c r="F13289">
        <v>0</v>
      </c>
      <c r="G13289">
        <v>0</v>
      </c>
      <c r="H13289">
        <v>19</v>
      </c>
      <c r="I13289" s="3">
        <v>745.85</v>
      </c>
      <c r="J13289" s="3">
        <v>754.22</v>
      </c>
      <c r="K13289" t="s">
        <v>1008</v>
      </c>
      <c r="P13289" t="str">
        <f>""</f>
        <v/>
      </c>
    </row>
    <row r="13290" spans="1:16" x14ac:dyDescent="0.25">
      <c r="A13290" t="str">
        <f>"1190035J00088    00"</f>
        <v>1190035J00088    00</v>
      </c>
      <c r="B13290" t="s">
        <v>29210</v>
      </c>
      <c r="C13290" t="s">
        <v>28645</v>
      </c>
      <c r="D13290" t="s">
        <v>20</v>
      </c>
      <c r="E13290" t="s">
        <v>39</v>
      </c>
      <c r="F13290">
        <v>0</v>
      </c>
      <c r="G13290">
        <v>0</v>
      </c>
      <c r="H13290">
        <v>19</v>
      </c>
      <c r="I13290" s="3">
        <v>11068.21</v>
      </c>
      <c r="J13290" s="3">
        <v>12278.64</v>
      </c>
      <c r="L13290">
        <v>1639</v>
      </c>
      <c r="M13290" t="s">
        <v>28857</v>
      </c>
      <c r="N13290" t="s">
        <v>30</v>
      </c>
      <c r="O13290" t="s">
        <v>31</v>
      </c>
      <c r="P13290" t="str">
        <f>"15216"</f>
        <v>15216</v>
      </c>
    </row>
    <row r="13291" spans="1:16" x14ac:dyDescent="0.25">
      <c r="A13291" t="str">
        <f>"1190035J00093    00"</f>
        <v>1190035J00093    00</v>
      </c>
      <c r="B13291" t="s">
        <v>1965</v>
      </c>
      <c r="C13291" t="s">
        <v>29211</v>
      </c>
      <c r="D13291" t="s">
        <v>20</v>
      </c>
      <c r="E13291" t="s">
        <v>39</v>
      </c>
      <c r="F13291">
        <v>0</v>
      </c>
      <c r="G13291">
        <v>0</v>
      </c>
      <c r="H13291">
        <v>5</v>
      </c>
      <c r="I13291" s="3">
        <v>3494.84</v>
      </c>
      <c r="J13291" s="3">
        <v>603.77</v>
      </c>
      <c r="L13291">
        <v>1556</v>
      </c>
      <c r="M13291" t="s">
        <v>29212</v>
      </c>
      <c r="N13291" t="s">
        <v>30</v>
      </c>
      <c r="O13291" t="s">
        <v>31</v>
      </c>
      <c r="P13291" t="str">
        <f>"15216"</f>
        <v>15216</v>
      </c>
    </row>
    <row r="13292" spans="1:16" x14ac:dyDescent="0.25">
      <c r="A13292" t="str">
        <f>"1190035J00094    00"</f>
        <v>1190035J00094    00</v>
      </c>
      <c r="B13292" t="s">
        <v>29213</v>
      </c>
      <c r="C13292" t="s">
        <v>29214</v>
      </c>
      <c r="D13292" t="s">
        <v>20</v>
      </c>
      <c r="E13292" t="s">
        <v>39</v>
      </c>
      <c r="F13292">
        <v>0</v>
      </c>
      <c r="G13292">
        <v>0</v>
      </c>
      <c r="H13292">
        <v>19</v>
      </c>
      <c r="I13292" s="3">
        <v>1385.61</v>
      </c>
      <c r="J13292" s="3">
        <v>909.34</v>
      </c>
      <c r="M13292" t="s">
        <v>29215</v>
      </c>
      <c r="N13292" t="s">
        <v>30</v>
      </c>
      <c r="O13292" t="s">
        <v>31</v>
      </c>
      <c r="P13292" t="str">
        <f>"15237"</f>
        <v>15237</v>
      </c>
    </row>
    <row r="13293" spans="1:16" x14ac:dyDescent="0.25">
      <c r="A13293" t="str">
        <f>"1190035J00095    00"</f>
        <v>1190035J00095    00</v>
      </c>
      <c r="B13293" t="s">
        <v>29213</v>
      </c>
      <c r="C13293" t="s">
        <v>29214</v>
      </c>
      <c r="D13293" t="s">
        <v>20</v>
      </c>
      <c r="E13293" t="s">
        <v>39</v>
      </c>
      <c r="F13293">
        <v>0</v>
      </c>
      <c r="G13293">
        <v>0</v>
      </c>
      <c r="H13293">
        <v>19</v>
      </c>
      <c r="I13293" s="3">
        <v>1385.61</v>
      </c>
      <c r="J13293" s="3">
        <v>909.34</v>
      </c>
      <c r="M13293" t="s">
        <v>29215</v>
      </c>
      <c r="N13293" t="s">
        <v>30</v>
      </c>
      <c r="O13293" t="s">
        <v>31</v>
      </c>
      <c r="P13293" t="str">
        <f>"15237"</f>
        <v>15237</v>
      </c>
    </row>
    <row r="13294" spans="1:16" x14ac:dyDescent="0.25">
      <c r="A13294" t="str">
        <f>"1190035J00104    00"</f>
        <v>1190035J00104    00</v>
      </c>
      <c r="B13294" t="s">
        <v>29216</v>
      </c>
      <c r="C13294" t="s">
        <v>29214</v>
      </c>
      <c r="D13294" t="s">
        <v>20</v>
      </c>
      <c r="E13294" t="s">
        <v>39</v>
      </c>
      <c r="F13294">
        <v>0</v>
      </c>
      <c r="G13294">
        <v>0</v>
      </c>
      <c r="H13294">
        <v>19</v>
      </c>
      <c r="I13294" s="3">
        <v>416.87</v>
      </c>
      <c r="J13294" s="3">
        <v>400.34</v>
      </c>
      <c r="L13294">
        <v>860</v>
      </c>
      <c r="M13294" t="s">
        <v>29217</v>
      </c>
      <c r="N13294" t="s">
        <v>30</v>
      </c>
      <c r="O13294" t="s">
        <v>31</v>
      </c>
      <c r="P13294" t="str">
        <f>"15243"</f>
        <v>15243</v>
      </c>
    </row>
    <row r="13295" spans="1:16" x14ac:dyDescent="0.25">
      <c r="A13295" t="str">
        <f>"1190035J00134    00"</f>
        <v>1190035J00134    00</v>
      </c>
      <c r="B13295" t="s">
        <v>29218</v>
      </c>
      <c r="C13295" t="s">
        <v>29219</v>
      </c>
      <c r="E13295" t="s">
        <v>39</v>
      </c>
      <c r="F13295">
        <v>0</v>
      </c>
      <c r="G13295">
        <v>0</v>
      </c>
      <c r="H13295">
        <v>3</v>
      </c>
      <c r="I13295" s="3">
        <v>722.36</v>
      </c>
      <c r="J13295" s="3">
        <v>173.64</v>
      </c>
      <c r="L13295">
        <v>110</v>
      </c>
      <c r="M13295" t="s">
        <v>29220</v>
      </c>
      <c r="N13295" t="s">
        <v>30</v>
      </c>
      <c r="O13295" t="s">
        <v>31</v>
      </c>
      <c r="P13295" t="str">
        <f>"15216"</f>
        <v>15216</v>
      </c>
    </row>
    <row r="13296" spans="1:16" x14ac:dyDescent="0.25">
      <c r="A13296" t="str">
        <f>"1190035K00045    00"</f>
        <v>1190035K00045    00</v>
      </c>
      <c r="B13296" t="s">
        <v>29221</v>
      </c>
      <c r="C13296" t="s">
        <v>28648</v>
      </c>
      <c r="D13296" t="s">
        <v>20</v>
      </c>
      <c r="E13296" t="s">
        <v>39</v>
      </c>
      <c r="F13296">
        <v>0</v>
      </c>
      <c r="G13296">
        <v>0</v>
      </c>
      <c r="H13296">
        <v>5</v>
      </c>
      <c r="I13296" s="3">
        <v>93.7</v>
      </c>
      <c r="J13296" s="3">
        <v>16.579999999999998</v>
      </c>
      <c r="L13296">
        <v>876</v>
      </c>
      <c r="M13296" t="s">
        <v>29222</v>
      </c>
      <c r="N13296" t="s">
        <v>199</v>
      </c>
      <c r="O13296" t="s">
        <v>200</v>
      </c>
      <c r="P13296" t="str">
        <f>"10003"</f>
        <v>10003</v>
      </c>
    </row>
    <row r="13297" spans="1:16" x14ac:dyDescent="0.25">
      <c r="A13297" t="str">
        <f>"1190035K00046    00"</f>
        <v>1190035K00046    00</v>
      </c>
      <c r="B13297" t="s">
        <v>29210</v>
      </c>
      <c r="C13297" t="s">
        <v>28648</v>
      </c>
      <c r="D13297" t="s">
        <v>20</v>
      </c>
      <c r="E13297" t="s">
        <v>39</v>
      </c>
      <c r="F13297">
        <v>0</v>
      </c>
      <c r="G13297">
        <v>0</v>
      </c>
      <c r="H13297">
        <v>19</v>
      </c>
      <c r="I13297" s="3">
        <v>5927.5</v>
      </c>
      <c r="J13297" s="3">
        <v>4493.97</v>
      </c>
      <c r="L13297">
        <v>204</v>
      </c>
      <c r="M13297" t="s">
        <v>29223</v>
      </c>
      <c r="N13297" t="s">
        <v>30</v>
      </c>
      <c r="O13297" t="s">
        <v>31</v>
      </c>
      <c r="P13297" t="str">
        <f>"15216"</f>
        <v>15216</v>
      </c>
    </row>
    <row r="13298" spans="1:16" x14ac:dyDescent="0.25">
      <c r="A13298" t="str">
        <f>"1190035K00066    00"</f>
        <v>1190035K00066    00</v>
      </c>
      <c r="B13298" t="s">
        <v>29224</v>
      </c>
      <c r="C13298" t="s">
        <v>28648</v>
      </c>
      <c r="D13298" t="s">
        <v>20</v>
      </c>
      <c r="E13298" t="s">
        <v>39</v>
      </c>
      <c r="F13298">
        <v>0</v>
      </c>
      <c r="G13298">
        <v>0</v>
      </c>
      <c r="H13298">
        <v>19</v>
      </c>
      <c r="I13298" s="3">
        <v>6124.81</v>
      </c>
      <c r="J13298" s="3">
        <v>4778.2299999999996</v>
      </c>
      <c r="K13298" t="s">
        <v>29225</v>
      </c>
      <c r="M13298" t="s">
        <v>29226</v>
      </c>
      <c r="N13298" t="s">
        <v>17813</v>
      </c>
      <c r="O13298" t="s">
        <v>31</v>
      </c>
      <c r="P13298" t="str">
        <f>"16146"</f>
        <v>16146</v>
      </c>
    </row>
    <row r="13299" spans="1:16" x14ac:dyDescent="0.25">
      <c r="A13299" t="str">
        <f>"1190035K00068    00"</f>
        <v>1190035K00068    00</v>
      </c>
      <c r="B13299" t="s">
        <v>29227</v>
      </c>
      <c r="C13299" t="s">
        <v>28599</v>
      </c>
      <c r="D13299" t="s">
        <v>20</v>
      </c>
      <c r="E13299" t="s">
        <v>39</v>
      </c>
      <c r="F13299">
        <v>0</v>
      </c>
      <c r="G13299">
        <v>0</v>
      </c>
      <c r="H13299">
        <v>3</v>
      </c>
      <c r="I13299" s="3">
        <v>506.99</v>
      </c>
      <c r="J13299" s="3">
        <v>5.25</v>
      </c>
      <c r="L13299">
        <v>1710</v>
      </c>
      <c r="M13299" t="s">
        <v>28657</v>
      </c>
      <c r="N13299" t="s">
        <v>30</v>
      </c>
      <c r="O13299" t="s">
        <v>31</v>
      </c>
      <c r="P13299" t="str">
        <f>"15216"</f>
        <v>15216</v>
      </c>
    </row>
    <row r="13300" spans="1:16" x14ac:dyDescent="0.25">
      <c r="A13300" t="str">
        <f>"1190035K00070    00"</f>
        <v>1190035K00070    00</v>
      </c>
      <c r="B13300" t="s">
        <v>29227</v>
      </c>
      <c r="C13300" t="s">
        <v>29228</v>
      </c>
      <c r="D13300" t="s">
        <v>20</v>
      </c>
      <c r="E13300" t="s">
        <v>39</v>
      </c>
      <c r="F13300">
        <v>0</v>
      </c>
      <c r="G13300">
        <v>0</v>
      </c>
      <c r="H13300">
        <v>3</v>
      </c>
      <c r="I13300" s="3">
        <v>2321.13</v>
      </c>
      <c r="J13300" s="3">
        <v>25.83</v>
      </c>
      <c r="L13300">
        <v>1710</v>
      </c>
      <c r="M13300" t="s">
        <v>28657</v>
      </c>
      <c r="N13300" t="s">
        <v>30</v>
      </c>
      <c r="O13300" t="s">
        <v>31</v>
      </c>
      <c r="P13300" t="str">
        <f>"15216"</f>
        <v>15216</v>
      </c>
    </row>
    <row r="13301" spans="1:16" x14ac:dyDescent="0.25">
      <c r="A13301" t="str">
        <f>"1190035K00083    00"</f>
        <v>1190035K00083    00</v>
      </c>
      <c r="B13301" t="s">
        <v>28817</v>
      </c>
      <c r="C13301" t="s">
        <v>29229</v>
      </c>
      <c r="D13301" t="s">
        <v>20</v>
      </c>
      <c r="E13301" t="s">
        <v>39</v>
      </c>
      <c r="F13301">
        <v>0</v>
      </c>
      <c r="G13301">
        <v>0</v>
      </c>
      <c r="H13301">
        <v>2</v>
      </c>
      <c r="I13301" s="3">
        <v>1867.88</v>
      </c>
      <c r="J13301" s="3">
        <v>0</v>
      </c>
      <c r="K13301" t="s">
        <v>29230</v>
      </c>
      <c r="L13301">
        <v>547</v>
      </c>
      <c r="M13301" t="s">
        <v>29231</v>
      </c>
      <c r="N13301" t="s">
        <v>30</v>
      </c>
      <c r="O13301" t="s">
        <v>31</v>
      </c>
      <c r="P13301" t="str">
        <f>"15226"</f>
        <v>15226</v>
      </c>
    </row>
    <row r="13302" spans="1:16" x14ac:dyDescent="0.25">
      <c r="A13302" t="str">
        <f>"1190035K00112    00"</f>
        <v>1190035K00112    00</v>
      </c>
      <c r="B13302" t="s">
        <v>29232</v>
      </c>
      <c r="C13302" t="s">
        <v>29233</v>
      </c>
      <c r="D13302" t="s">
        <v>20</v>
      </c>
      <c r="E13302" t="s">
        <v>39</v>
      </c>
      <c r="F13302">
        <v>0</v>
      </c>
      <c r="G13302">
        <v>0</v>
      </c>
      <c r="H13302">
        <v>1</v>
      </c>
      <c r="I13302" s="3">
        <v>1143.5999999999999</v>
      </c>
      <c r="J13302" s="3">
        <v>0</v>
      </c>
      <c r="K13302" t="s">
        <v>4293</v>
      </c>
      <c r="L13302">
        <v>411</v>
      </c>
      <c r="M13302" t="s">
        <v>4294</v>
      </c>
      <c r="N13302" t="s">
        <v>3934</v>
      </c>
      <c r="O13302" t="s">
        <v>31</v>
      </c>
      <c r="P13302" t="str">
        <f>"15102"</f>
        <v>15102</v>
      </c>
    </row>
    <row r="13303" spans="1:16" x14ac:dyDescent="0.25">
      <c r="A13303" t="str">
        <f>"1190035K00135    00"</f>
        <v>1190035K00135    00</v>
      </c>
      <c r="B13303" t="s">
        <v>29234</v>
      </c>
      <c r="C13303" t="s">
        <v>29235</v>
      </c>
      <c r="D13303" t="s">
        <v>20</v>
      </c>
      <c r="E13303" t="s">
        <v>39</v>
      </c>
      <c r="F13303">
        <v>0</v>
      </c>
      <c r="G13303">
        <v>0</v>
      </c>
      <c r="H13303">
        <v>2</v>
      </c>
      <c r="I13303" s="3">
        <v>1617.36</v>
      </c>
      <c r="J13303" s="3">
        <v>0</v>
      </c>
      <c r="L13303">
        <v>1661</v>
      </c>
      <c r="M13303" t="s">
        <v>27125</v>
      </c>
      <c r="N13303" t="s">
        <v>30</v>
      </c>
      <c r="O13303" t="s">
        <v>31</v>
      </c>
      <c r="P13303" t="str">
        <f>"15216"</f>
        <v>15216</v>
      </c>
    </row>
    <row r="13304" spans="1:16" x14ac:dyDescent="0.25">
      <c r="A13304" t="str">
        <f>"1190035K00149    00"</f>
        <v>1190035K00149    00</v>
      </c>
      <c r="B13304" t="s">
        <v>24677</v>
      </c>
      <c r="C13304" t="s">
        <v>29236</v>
      </c>
      <c r="D13304" t="s">
        <v>20</v>
      </c>
      <c r="E13304" t="s">
        <v>39</v>
      </c>
      <c r="F13304">
        <v>0</v>
      </c>
      <c r="G13304">
        <v>0</v>
      </c>
      <c r="H13304">
        <v>5</v>
      </c>
      <c r="I13304" s="3">
        <v>3909.35</v>
      </c>
      <c r="J13304" s="3">
        <v>675.4</v>
      </c>
      <c r="L13304">
        <v>1635</v>
      </c>
      <c r="M13304" t="s">
        <v>24680</v>
      </c>
      <c r="N13304" t="s">
        <v>149</v>
      </c>
      <c r="O13304" t="s">
        <v>31</v>
      </c>
      <c r="P13304" t="str">
        <f>"15106"</f>
        <v>15106</v>
      </c>
    </row>
    <row r="13305" spans="1:16" x14ac:dyDescent="0.25">
      <c r="A13305" t="str">
        <f>"1190035K00167    00"</f>
        <v>1190035K00167    00</v>
      </c>
      <c r="B13305" t="s">
        <v>1965</v>
      </c>
      <c r="C13305" t="s">
        <v>29214</v>
      </c>
      <c r="D13305" t="s">
        <v>20</v>
      </c>
      <c r="E13305" t="s">
        <v>39</v>
      </c>
      <c r="F13305">
        <v>0</v>
      </c>
      <c r="G13305">
        <v>0</v>
      </c>
      <c r="H13305">
        <v>2</v>
      </c>
      <c r="I13305" s="3">
        <v>343.08</v>
      </c>
      <c r="J13305" s="3">
        <v>0</v>
      </c>
      <c r="L13305">
        <v>1552</v>
      </c>
      <c r="M13305" t="s">
        <v>14332</v>
      </c>
      <c r="N13305" t="s">
        <v>30</v>
      </c>
      <c r="O13305" t="s">
        <v>31</v>
      </c>
      <c r="P13305" t="str">
        <f>"15216"</f>
        <v>15216</v>
      </c>
    </row>
    <row r="13306" spans="1:16" x14ac:dyDescent="0.25">
      <c r="A13306" t="str">
        <f>"1190035K00169    00"</f>
        <v>1190035K00169    00</v>
      </c>
      <c r="B13306" t="s">
        <v>1965</v>
      </c>
      <c r="C13306" t="s">
        <v>29237</v>
      </c>
      <c r="D13306" t="s">
        <v>20</v>
      </c>
      <c r="E13306" t="s">
        <v>39</v>
      </c>
      <c r="F13306">
        <v>0</v>
      </c>
      <c r="G13306">
        <v>0</v>
      </c>
      <c r="H13306">
        <v>2</v>
      </c>
      <c r="I13306" s="3">
        <v>2710.36</v>
      </c>
      <c r="J13306" s="3">
        <v>0</v>
      </c>
      <c r="L13306">
        <v>1552</v>
      </c>
      <c r="M13306" t="s">
        <v>14332</v>
      </c>
      <c r="N13306" t="s">
        <v>30</v>
      </c>
      <c r="O13306" t="s">
        <v>31</v>
      </c>
      <c r="P13306" t="str">
        <f>"15216"</f>
        <v>15216</v>
      </c>
    </row>
    <row r="13307" spans="1:16" x14ac:dyDescent="0.25">
      <c r="A13307" t="str">
        <f>"1190035K00175    00"</f>
        <v>1190035K00175    00</v>
      </c>
      <c r="B13307" t="s">
        <v>29072</v>
      </c>
      <c r="C13307" t="s">
        <v>28679</v>
      </c>
      <c r="D13307" t="s">
        <v>20</v>
      </c>
      <c r="E13307" t="s">
        <v>39</v>
      </c>
      <c r="F13307">
        <v>0</v>
      </c>
      <c r="G13307">
        <v>0</v>
      </c>
      <c r="H13307">
        <v>19</v>
      </c>
      <c r="I13307" s="3">
        <v>1272.8800000000001</v>
      </c>
      <c r="J13307" s="3">
        <v>827.41</v>
      </c>
      <c r="L13307">
        <v>1654</v>
      </c>
      <c r="M13307" t="s">
        <v>23923</v>
      </c>
      <c r="N13307" t="s">
        <v>30</v>
      </c>
      <c r="O13307" t="s">
        <v>31</v>
      </c>
      <c r="P13307" t="str">
        <f>"15216"</f>
        <v>15216</v>
      </c>
    </row>
    <row r="13308" spans="1:16" x14ac:dyDescent="0.25">
      <c r="A13308" t="str">
        <f>"1190035K00187    00"</f>
        <v>1190035K00187    00</v>
      </c>
      <c r="B13308" t="s">
        <v>29238</v>
      </c>
      <c r="C13308" t="s">
        <v>29239</v>
      </c>
      <c r="D13308" t="s">
        <v>20</v>
      </c>
      <c r="E13308" t="s">
        <v>21</v>
      </c>
      <c r="F13308">
        <v>0</v>
      </c>
      <c r="G13308">
        <v>0</v>
      </c>
      <c r="H13308">
        <v>2</v>
      </c>
      <c r="I13308" s="3">
        <v>6462.87</v>
      </c>
      <c r="J13308" s="3">
        <v>0</v>
      </c>
      <c r="K13308" t="s">
        <v>29240</v>
      </c>
      <c r="L13308">
        <v>1500</v>
      </c>
      <c r="M13308" t="s">
        <v>28894</v>
      </c>
      <c r="N13308" t="s">
        <v>30</v>
      </c>
      <c r="O13308" t="s">
        <v>31</v>
      </c>
      <c r="P13308" t="str">
        <f>"15216"</f>
        <v>15216</v>
      </c>
    </row>
    <row r="13309" spans="1:16" x14ac:dyDescent="0.25">
      <c r="A13309" t="str">
        <f>"1190035K00195    00"</f>
        <v>1190035K00195    00</v>
      </c>
      <c r="B13309" t="s">
        <v>29241</v>
      </c>
      <c r="C13309" t="s">
        <v>29242</v>
      </c>
      <c r="D13309" t="s">
        <v>20</v>
      </c>
      <c r="E13309" t="s">
        <v>21</v>
      </c>
      <c r="F13309">
        <v>0</v>
      </c>
      <c r="G13309">
        <v>0</v>
      </c>
      <c r="H13309">
        <v>2</v>
      </c>
      <c r="I13309" s="3">
        <v>3731.82</v>
      </c>
      <c r="J13309" s="3">
        <v>0</v>
      </c>
      <c r="K13309" t="s">
        <v>29243</v>
      </c>
      <c r="L13309">
        <v>1736</v>
      </c>
      <c r="M13309" t="s">
        <v>21268</v>
      </c>
      <c r="N13309" t="s">
        <v>30</v>
      </c>
      <c r="O13309" t="s">
        <v>31</v>
      </c>
      <c r="P13309" t="str">
        <f>"15210"</f>
        <v>15210</v>
      </c>
    </row>
    <row r="13310" spans="1:16" x14ac:dyDescent="0.25">
      <c r="A13310" t="str">
        <f>"1190035K00196    00"</f>
        <v>1190035K00196    00</v>
      </c>
      <c r="B13310" t="s">
        <v>29244</v>
      </c>
      <c r="C13310" t="s">
        <v>29245</v>
      </c>
      <c r="D13310" t="s">
        <v>20</v>
      </c>
      <c r="E13310" t="s">
        <v>39</v>
      </c>
      <c r="F13310">
        <v>0</v>
      </c>
      <c r="G13310">
        <v>0</v>
      </c>
      <c r="H13310">
        <v>5</v>
      </c>
      <c r="I13310" s="3">
        <v>6754.18</v>
      </c>
      <c r="J13310" s="3">
        <v>1166.8900000000001</v>
      </c>
      <c r="L13310">
        <v>6618</v>
      </c>
      <c r="M13310" t="s">
        <v>11213</v>
      </c>
      <c r="N13310" t="s">
        <v>30</v>
      </c>
      <c r="O13310" t="s">
        <v>31</v>
      </c>
      <c r="P13310" t="str">
        <f>"15235"</f>
        <v>15235</v>
      </c>
    </row>
    <row r="13311" spans="1:16" x14ac:dyDescent="0.25">
      <c r="A13311" t="str">
        <f>"1190035K00197    00"</f>
        <v>1190035K00197    00</v>
      </c>
      <c r="B13311" t="s">
        <v>29246</v>
      </c>
      <c r="C13311" t="s">
        <v>29247</v>
      </c>
      <c r="E13311" t="s">
        <v>39</v>
      </c>
      <c r="F13311">
        <v>0</v>
      </c>
      <c r="G13311">
        <v>0</v>
      </c>
      <c r="H13311">
        <v>4</v>
      </c>
      <c r="I13311" s="3">
        <v>4622.5200000000004</v>
      </c>
      <c r="J13311" s="3">
        <v>3871.59</v>
      </c>
      <c r="K13311" t="s">
        <v>29248</v>
      </c>
      <c r="L13311">
        <v>1101</v>
      </c>
      <c r="M13311" t="s">
        <v>29249</v>
      </c>
      <c r="N13311" t="s">
        <v>4141</v>
      </c>
      <c r="O13311" t="s">
        <v>108</v>
      </c>
      <c r="P13311" t="str">
        <f>"78746"</f>
        <v>78746</v>
      </c>
    </row>
    <row r="13312" spans="1:16" x14ac:dyDescent="0.25">
      <c r="A13312" t="str">
        <f>"1190035K00206    00"</f>
        <v>1190035K00206    00</v>
      </c>
      <c r="B13312" t="s">
        <v>29250</v>
      </c>
      <c r="C13312" t="s">
        <v>29251</v>
      </c>
      <c r="D13312" t="s">
        <v>20</v>
      </c>
      <c r="E13312" t="s">
        <v>39</v>
      </c>
      <c r="F13312">
        <v>0</v>
      </c>
      <c r="G13312">
        <v>0</v>
      </c>
      <c r="H13312">
        <v>6</v>
      </c>
      <c r="I13312" s="3">
        <v>5168.1000000000004</v>
      </c>
      <c r="J13312" s="3">
        <v>1159.08</v>
      </c>
      <c r="L13312">
        <v>1305</v>
      </c>
      <c r="M13312" t="s">
        <v>13373</v>
      </c>
      <c r="N13312" t="s">
        <v>30</v>
      </c>
      <c r="O13312" t="s">
        <v>31</v>
      </c>
      <c r="P13312" t="str">
        <f>"15221"</f>
        <v>15221</v>
      </c>
    </row>
    <row r="13313" spans="1:16" x14ac:dyDescent="0.25">
      <c r="A13313" t="str">
        <f>"1190035K00208    00"</f>
        <v>1190035K00208    00</v>
      </c>
      <c r="B13313" t="s">
        <v>27422</v>
      </c>
      <c r="C13313" t="s">
        <v>29252</v>
      </c>
      <c r="D13313" t="s">
        <v>20</v>
      </c>
      <c r="E13313" t="s">
        <v>39</v>
      </c>
      <c r="F13313">
        <v>0</v>
      </c>
      <c r="G13313">
        <v>0</v>
      </c>
      <c r="H13313">
        <v>1</v>
      </c>
      <c r="I13313" s="3">
        <v>842.92</v>
      </c>
      <c r="J13313" s="3">
        <v>0</v>
      </c>
      <c r="L13313">
        <v>2411</v>
      </c>
      <c r="M13313" t="s">
        <v>27424</v>
      </c>
      <c r="N13313" t="s">
        <v>27425</v>
      </c>
      <c r="O13313" t="s">
        <v>108</v>
      </c>
      <c r="P13313" t="str">
        <f>"76210"</f>
        <v>76210</v>
      </c>
    </row>
    <row r="13314" spans="1:16" x14ac:dyDescent="0.25">
      <c r="A13314" t="str">
        <f>"1190035K00231    00"</f>
        <v>1190035K00231    00</v>
      </c>
      <c r="B13314" t="s">
        <v>29253</v>
      </c>
      <c r="C13314" t="s">
        <v>29254</v>
      </c>
      <c r="E13314" t="s">
        <v>39</v>
      </c>
      <c r="F13314">
        <v>0</v>
      </c>
      <c r="G13314">
        <v>0</v>
      </c>
      <c r="H13314">
        <v>1</v>
      </c>
      <c r="I13314" s="3">
        <v>462.28</v>
      </c>
      <c r="J13314" s="3">
        <v>0</v>
      </c>
      <c r="K13314" t="s">
        <v>262</v>
      </c>
      <c r="L13314">
        <v>8805</v>
      </c>
      <c r="M13314" t="s">
        <v>263</v>
      </c>
      <c r="N13314" t="s">
        <v>264</v>
      </c>
      <c r="O13314" t="s">
        <v>25</v>
      </c>
      <c r="P13314" t="str">
        <f>"45249"</f>
        <v>45249</v>
      </c>
    </row>
    <row r="13315" spans="1:16" x14ac:dyDescent="0.25">
      <c r="A13315" t="str">
        <f>"1190035K00245    00"</f>
        <v>1190035K00245    00</v>
      </c>
      <c r="B13315" t="s">
        <v>29255</v>
      </c>
      <c r="C13315" t="s">
        <v>29256</v>
      </c>
      <c r="D13315" t="s">
        <v>20</v>
      </c>
      <c r="E13315" t="s">
        <v>39</v>
      </c>
      <c r="F13315">
        <v>0</v>
      </c>
      <c r="G13315">
        <v>0</v>
      </c>
      <c r="H13315">
        <v>1</v>
      </c>
      <c r="I13315" s="3">
        <v>991.14</v>
      </c>
      <c r="J13315" s="3">
        <v>0</v>
      </c>
      <c r="L13315">
        <v>3</v>
      </c>
      <c r="M13315" t="s">
        <v>29257</v>
      </c>
      <c r="N13315" t="s">
        <v>914</v>
      </c>
      <c r="O13315" t="s">
        <v>200</v>
      </c>
      <c r="P13315" t="str">
        <f>"10952"</f>
        <v>10952</v>
      </c>
    </row>
    <row r="13316" spans="1:16" x14ac:dyDescent="0.25">
      <c r="A13316" t="str">
        <f>"1190035K00259    00"</f>
        <v>1190035K00259    00</v>
      </c>
      <c r="B13316" t="s">
        <v>29258</v>
      </c>
      <c r="C13316" t="s">
        <v>29259</v>
      </c>
      <c r="D13316" t="s">
        <v>20</v>
      </c>
      <c r="E13316" t="s">
        <v>39</v>
      </c>
      <c r="F13316">
        <v>0</v>
      </c>
      <c r="G13316">
        <v>0</v>
      </c>
      <c r="H13316">
        <v>5</v>
      </c>
      <c r="I13316" s="3">
        <v>2077.9499999999998</v>
      </c>
      <c r="J13316" s="3">
        <v>389</v>
      </c>
      <c r="L13316">
        <v>1807</v>
      </c>
      <c r="M13316" t="s">
        <v>29260</v>
      </c>
      <c r="N13316" t="s">
        <v>30</v>
      </c>
      <c r="O13316" t="s">
        <v>31</v>
      </c>
      <c r="P13316" t="str">
        <f>"15216"</f>
        <v>15216</v>
      </c>
    </row>
    <row r="13317" spans="1:16" x14ac:dyDescent="0.25">
      <c r="A13317" t="str">
        <f>"1190035K00262    00"</f>
        <v>1190035K00262    00</v>
      </c>
      <c r="B13317" t="s">
        <v>29261</v>
      </c>
      <c r="C13317" t="s">
        <v>29262</v>
      </c>
      <c r="E13317" t="s">
        <v>39</v>
      </c>
      <c r="F13317">
        <v>0</v>
      </c>
      <c r="G13317">
        <v>0</v>
      </c>
      <c r="H13317">
        <v>1</v>
      </c>
      <c r="I13317" s="3">
        <v>72.209999999999994</v>
      </c>
      <c r="J13317" s="3">
        <v>28.88</v>
      </c>
      <c r="K13317" t="s">
        <v>29263</v>
      </c>
      <c r="L13317">
        <v>1813</v>
      </c>
      <c r="M13317" t="s">
        <v>29260</v>
      </c>
      <c r="N13317" t="s">
        <v>30</v>
      </c>
      <c r="O13317" t="s">
        <v>31</v>
      </c>
      <c r="P13317" t="str">
        <f>"15216"</f>
        <v>15216</v>
      </c>
    </row>
    <row r="13318" spans="1:16" x14ac:dyDescent="0.25">
      <c r="A13318" t="str">
        <f>"1190035K00268    00"</f>
        <v>1190035K00268    00</v>
      </c>
      <c r="B13318" t="s">
        <v>29264</v>
      </c>
      <c r="C13318" t="s">
        <v>29265</v>
      </c>
      <c r="D13318" t="s">
        <v>20</v>
      </c>
      <c r="E13318" t="s">
        <v>39</v>
      </c>
      <c r="F13318">
        <v>0</v>
      </c>
      <c r="G13318">
        <v>0</v>
      </c>
      <c r="H13318">
        <v>1</v>
      </c>
      <c r="I13318" s="3">
        <v>1202.7</v>
      </c>
      <c r="J13318" s="3">
        <v>0</v>
      </c>
      <c r="K13318" t="s">
        <v>29266</v>
      </c>
      <c r="L13318">
        <v>901</v>
      </c>
      <c r="M13318" t="s">
        <v>6264</v>
      </c>
      <c r="N13318" t="s">
        <v>30</v>
      </c>
      <c r="O13318" t="s">
        <v>31</v>
      </c>
      <c r="P13318" t="str">
        <f>"15203"</f>
        <v>15203</v>
      </c>
    </row>
    <row r="13319" spans="1:16" x14ac:dyDescent="0.25">
      <c r="A13319" t="str">
        <f>"1190035K00270    00"</f>
        <v>1190035K00270    00</v>
      </c>
      <c r="B13319" t="s">
        <v>29267</v>
      </c>
      <c r="C13319" t="s">
        <v>29268</v>
      </c>
      <c r="D13319" t="s">
        <v>20</v>
      </c>
      <c r="E13319" t="s">
        <v>39</v>
      </c>
      <c r="F13319">
        <v>0</v>
      </c>
      <c r="G13319">
        <v>0</v>
      </c>
      <c r="H13319">
        <v>12</v>
      </c>
      <c r="I13319" s="3">
        <v>6778.17</v>
      </c>
      <c r="J13319" s="3">
        <v>3665.81</v>
      </c>
      <c r="L13319">
        <v>1829</v>
      </c>
      <c r="M13319" t="s">
        <v>29269</v>
      </c>
      <c r="N13319" t="s">
        <v>30</v>
      </c>
      <c r="O13319" t="s">
        <v>31</v>
      </c>
      <c r="P13319" t="str">
        <f>"15216"</f>
        <v>15216</v>
      </c>
    </row>
    <row r="13320" spans="1:16" x14ac:dyDescent="0.25">
      <c r="A13320" t="str">
        <f>"1190035L00003    00"</f>
        <v>1190035L00003    00</v>
      </c>
      <c r="B13320" t="s">
        <v>29270</v>
      </c>
      <c r="C13320" t="s">
        <v>29271</v>
      </c>
      <c r="D13320" t="s">
        <v>20</v>
      </c>
      <c r="E13320" t="s">
        <v>39</v>
      </c>
      <c r="F13320">
        <v>0</v>
      </c>
      <c r="G13320">
        <v>0</v>
      </c>
      <c r="H13320">
        <v>2</v>
      </c>
      <c r="I13320" s="3">
        <v>2172.84</v>
      </c>
      <c r="J13320" s="3">
        <v>0</v>
      </c>
      <c r="K13320" t="s">
        <v>29272</v>
      </c>
      <c r="L13320">
        <v>859</v>
      </c>
      <c r="M13320" t="s">
        <v>29273</v>
      </c>
      <c r="N13320" t="s">
        <v>30</v>
      </c>
      <c r="O13320" t="s">
        <v>31</v>
      </c>
      <c r="P13320" t="str">
        <f>"15226"</f>
        <v>15226</v>
      </c>
    </row>
    <row r="13321" spans="1:16" x14ac:dyDescent="0.25">
      <c r="A13321" t="str">
        <f>"1190035L00035    00"</f>
        <v>1190035L00035    00</v>
      </c>
      <c r="B13321" t="s">
        <v>29274</v>
      </c>
      <c r="C13321" t="s">
        <v>29275</v>
      </c>
      <c r="E13321" t="s">
        <v>39</v>
      </c>
      <c r="F13321">
        <v>0</v>
      </c>
      <c r="G13321">
        <v>0</v>
      </c>
      <c r="H13321">
        <v>1</v>
      </c>
      <c r="I13321" s="3">
        <v>1150.4000000000001</v>
      </c>
      <c r="J13321" s="3">
        <v>460.13</v>
      </c>
      <c r="K13321" t="s">
        <v>881</v>
      </c>
      <c r="L13321">
        <v>3001</v>
      </c>
      <c r="M13321" t="s">
        <v>330</v>
      </c>
      <c r="N13321" t="s">
        <v>331</v>
      </c>
      <c r="O13321" t="s">
        <v>108</v>
      </c>
      <c r="P13321" t="str">
        <f>"75063"</f>
        <v>75063</v>
      </c>
    </row>
    <row r="13322" spans="1:16" x14ac:dyDescent="0.25">
      <c r="A13322" t="str">
        <f>"1190035L00054    00"</f>
        <v>1190035L00054    00</v>
      </c>
      <c r="B13322" t="s">
        <v>29276</v>
      </c>
      <c r="C13322" t="s">
        <v>28625</v>
      </c>
      <c r="D13322" t="s">
        <v>20</v>
      </c>
      <c r="E13322" t="s">
        <v>39</v>
      </c>
      <c r="F13322">
        <v>0</v>
      </c>
      <c r="G13322">
        <v>0</v>
      </c>
      <c r="H13322">
        <v>15</v>
      </c>
      <c r="I13322" s="3">
        <v>3105.35</v>
      </c>
      <c r="J13322" s="3">
        <v>1577.71</v>
      </c>
      <c r="L13322">
        <v>109</v>
      </c>
      <c r="M13322" t="s">
        <v>29144</v>
      </c>
      <c r="N13322" t="s">
        <v>30</v>
      </c>
      <c r="O13322" t="s">
        <v>31</v>
      </c>
      <c r="P13322" t="str">
        <f>"15216"</f>
        <v>15216</v>
      </c>
    </row>
    <row r="13323" spans="1:16" x14ac:dyDescent="0.25">
      <c r="A13323" t="str">
        <f>"1190035L00080    00"</f>
        <v>1190035L00080    00</v>
      </c>
      <c r="B13323" t="s">
        <v>29277</v>
      </c>
      <c r="C13323" t="s">
        <v>29278</v>
      </c>
      <c r="D13323" t="s">
        <v>20</v>
      </c>
      <c r="E13323" t="s">
        <v>39</v>
      </c>
      <c r="F13323">
        <v>0</v>
      </c>
      <c r="G13323">
        <v>0</v>
      </c>
      <c r="H13323">
        <v>2</v>
      </c>
      <c r="I13323" s="3">
        <v>1182.72</v>
      </c>
      <c r="J13323" s="3">
        <v>0</v>
      </c>
      <c r="L13323">
        <v>1803</v>
      </c>
      <c r="M13323" t="s">
        <v>27551</v>
      </c>
      <c r="N13323" t="s">
        <v>30</v>
      </c>
      <c r="O13323" t="s">
        <v>31</v>
      </c>
      <c r="P13323" t="str">
        <f>"15216"</f>
        <v>15216</v>
      </c>
    </row>
    <row r="13324" spans="1:16" x14ac:dyDescent="0.25">
      <c r="A13324" t="str">
        <f>"1190035L00090    00"</f>
        <v>1190035L00090    00</v>
      </c>
      <c r="B13324" t="s">
        <v>29279</v>
      </c>
      <c r="C13324" t="s">
        <v>29280</v>
      </c>
      <c r="D13324" t="s">
        <v>20</v>
      </c>
      <c r="E13324" t="s">
        <v>39</v>
      </c>
      <c r="F13324">
        <v>0</v>
      </c>
      <c r="G13324">
        <v>0</v>
      </c>
      <c r="H13324">
        <v>1</v>
      </c>
      <c r="I13324" s="3">
        <v>869.61</v>
      </c>
      <c r="J13324" s="3">
        <v>0</v>
      </c>
      <c r="L13324">
        <v>1715</v>
      </c>
      <c r="M13324" t="s">
        <v>27551</v>
      </c>
      <c r="N13324" t="s">
        <v>30</v>
      </c>
      <c r="O13324" t="s">
        <v>31</v>
      </c>
      <c r="P13324" t="str">
        <f>"15216"</f>
        <v>15216</v>
      </c>
    </row>
    <row r="13325" spans="1:16" x14ac:dyDescent="0.25">
      <c r="A13325" t="str">
        <f>"1190035L00098    00"</f>
        <v>1190035L00098    00</v>
      </c>
      <c r="B13325" t="s">
        <v>29281</v>
      </c>
      <c r="C13325" t="s">
        <v>29282</v>
      </c>
      <c r="D13325" t="s">
        <v>57</v>
      </c>
      <c r="E13325" t="s">
        <v>39</v>
      </c>
      <c r="F13325">
        <v>0</v>
      </c>
      <c r="G13325">
        <v>0</v>
      </c>
      <c r="H13325">
        <v>1</v>
      </c>
      <c r="I13325" s="3">
        <v>477.56</v>
      </c>
      <c r="J13325" s="3">
        <v>107.45</v>
      </c>
      <c r="K13325" t="s">
        <v>391</v>
      </c>
      <c r="L13325">
        <v>1</v>
      </c>
      <c r="M13325" t="s">
        <v>392</v>
      </c>
      <c r="N13325" t="s">
        <v>393</v>
      </c>
      <c r="O13325" t="s">
        <v>394</v>
      </c>
      <c r="P13325" t="str">
        <f>"50328"</f>
        <v>50328</v>
      </c>
    </row>
    <row r="13326" spans="1:16" x14ac:dyDescent="0.25">
      <c r="A13326" t="str">
        <f>"1190035L00119    00"</f>
        <v>1190035L00119    00</v>
      </c>
      <c r="B13326" t="s">
        <v>29283</v>
      </c>
      <c r="C13326" t="s">
        <v>29284</v>
      </c>
      <c r="D13326" t="s">
        <v>20</v>
      </c>
      <c r="E13326" t="s">
        <v>39</v>
      </c>
      <c r="F13326">
        <v>0</v>
      </c>
      <c r="G13326">
        <v>0</v>
      </c>
      <c r="H13326">
        <v>2</v>
      </c>
      <c r="I13326" s="3">
        <v>1586.78</v>
      </c>
      <c r="J13326" s="3">
        <v>0</v>
      </c>
      <c r="L13326">
        <v>1610</v>
      </c>
      <c r="M13326" t="s">
        <v>29269</v>
      </c>
      <c r="N13326" t="s">
        <v>30</v>
      </c>
      <c r="O13326" t="s">
        <v>31</v>
      </c>
      <c r="P13326" t="str">
        <f>"15216"</f>
        <v>15216</v>
      </c>
    </row>
    <row r="13327" spans="1:16" x14ac:dyDescent="0.25">
      <c r="A13327" t="str">
        <f>"1190035L00125    00"</f>
        <v>1190035L00125    00</v>
      </c>
      <c r="B13327" t="s">
        <v>29285</v>
      </c>
      <c r="C13327" t="s">
        <v>29286</v>
      </c>
      <c r="D13327" t="s">
        <v>20</v>
      </c>
      <c r="E13327" t="s">
        <v>39</v>
      </c>
      <c r="F13327">
        <v>0</v>
      </c>
      <c r="G13327">
        <v>0</v>
      </c>
      <c r="H13327">
        <v>1</v>
      </c>
      <c r="I13327" s="3">
        <v>953.48</v>
      </c>
      <c r="J13327" s="3">
        <v>0</v>
      </c>
      <c r="K13327" t="s">
        <v>29287</v>
      </c>
      <c r="L13327">
        <v>298</v>
      </c>
      <c r="M13327" t="s">
        <v>29288</v>
      </c>
      <c r="N13327" t="s">
        <v>30</v>
      </c>
      <c r="O13327" t="s">
        <v>31</v>
      </c>
      <c r="P13327" t="str">
        <f>"15202"</f>
        <v>15202</v>
      </c>
    </row>
    <row r="13328" spans="1:16" x14ac:dyDescent="0.25">
      <c r="A13328" t="str">
        <f>"1190035L00131    00"</f>
        <v>1190035L00131    00</v>
      </c>
      <c r="B13328" t="s">
        <v>29289</v>
      </c>
      <c r="C13328" t="s">
        <v>29290</v>
      </c>
      <c r="D13328" t="s">
        <v>20</v>
      </c>
      <c r="E13328" t="s">
        <v>39</v>
      </c>
      <c r="F13328">
        <v>0</v>
      </c>
      <c r="G13328">
        <v>0</v>
      </c>
      <c r="H13328">
        <v>1</v>
      </c>
      <c r="I13328" s="3">
        <v>450.28</v>
      </c>
      <c r="J13328" s="3">
        <v>0</v>
      </c>
      <c r="L13328">
        <v>1820</v>
      </c>
      <c r="M13328" t="s">
        <v>25827</v>
      </c>
      <c r="N13328" t="s">
        <v>30</v>
      </c>
      <c r="O13328" t="s">
        <v>31</v>
      </c>
      <c r="P13328" t="str">
        <f>"15216"</f>
        <v>15216</v>
      </c>
    </row>
    <row r="13329" spans="1:16" x14ac:dyDescent="0.25">
      <c r="A13329" t="str">
        <f>"1190035L00136    00"</f>
        <v>1190035L00136    00</v>
      </c>
      <c r="B13329" t="s">
        <v>29291</v>
      </c>
      <c r="C13329" t="s">
        <v>28930</v>
      </c>
      <c r="E13329" t="s">
        <v>39</v>
      </c>
      <c r="F13329">
        <v>0</v>
      </c>
      <c r="G13329">
        <v>0</v>
      </c>
      <c r="H13329">
        <v>6</v>
      </c>
      <c r="I13329" s="3">
        <v>649.05999999999995</v>
      </c>
      <c r="J13329" s="3">
        <v>593.74</v>
      </c>
      <c r="K13329" t="s">
        <v>29292</v>
      </c>
      <c r="L13329">
        <v>3021</v>
      </c>
      <c r="M13329" t="s">
        <v>29293</v>
      </c>
      <c r="N13329" t="s">
        <v>12463</v>
      </c>
      <c r="O13329" t="s">
        <v>31</v>
      </c>
      <c r="P13329" t="str">
        <f>"15142"</f>
        <v>15142</v>
      </c>
    </row>
    <row r="13330" spans="1:16" x14ac:dyDescent="0.25">
      <c r="A13330" t="str">
        <f>"1190035L00209    00"</f>
        <v>1190035L00209    00</v>
      </c>
      <c r="B13330" t="s">
        <v>29294</v>
      </c>
      <c r="C13330" t="s">
        <v>29295</v>
      </c>
      <c r="D13330" t="s">
        <v>20</v>
      </c>
      <c r="E13330" t="s">
        <v>39</v>
      </c>
      <c r="F13330">
        <v>0</v>
      </c>
      <c r="G13330">
        <v>0</v>
      </c>
      <c r="H13330">
        <v>19</v>
      </c>
      <c r="I13330" s="3">
        <v>5296.37</v>
      </c>
      <c r="J13330" s="3">
        <v>4410.21</v>
      </c>
      <c r="P13330" t="str">
        <f>"10000"</f>
        <v>10000</v>
      </c>
    </row>
    <row r="13331" spans="1:16" x14ac:dyDescent="0.25">
      <c r="A13331" t="str">
        <f>"1190035L00234    00"</f>
        <v>1190035L00234    00</v>
      </c>
      <c r="B13331" t="s">
        <v>29296</v>
      </c>
      <c r="C13331" t="s">
        <v>29297</v>
      </c>
      <c r="D13331" t="s">
        <v>20</v>
      </c>
      <c r="E13331" t="s">
        <v>39</v>
      </c>
      <c r="F13331">
        <v>0</v>
      </c>
      <c r="G13331">
        <v>0</v>
      </c>
      <c r="H13331">
        <v>19</v>
      </c>
      <c r="I13331" s="3">
        <v>6005.92</v>
      </c>
      <c r="J13331" s="3">
        <v>4828.58</v>
      </c>
      <c r="P13331" t="str">
        <f>""</f>
        <v/>
      </c>
    </row>
    <row r="13332" spans="1:16" x14ac:dyDescent="0.25">
      <c r="A13332" t="str">
        <f>"1190035L00258    00"</f>
        <v>1190035L00258    00</v>
      </c>
      <c r="B13332" t="s">
        <v>29298</v>
      </c>
      <c r="C13332" t="s">
        <v>29299</v>
      </c>
      <c r="D13332" t="s">
        <v>20</v>
      </c>
      <c r="E13332" t="s">
        <v>39</v>
      </c>
      <c r="F13332">
        <v>0</v>
      </c>
      <c r="G13332">
        <v>0</v>
      </c>
      <c r="H13332">
        <v>3</v>
      </c>
      <c r="I13332" s="3">
        <v>3839.41</v>
      </c>
      <c r="J13332" s="3">
        <v>522.80999999999995</v>
      </c>
      <c r="L13332">
        <v>5537</v>
      </c>
      <c r="M13332" t="s">
        <v>17198</v>
      </c>
      <c r="N13332" t="s">
        <v>3934</v>
      </c>
      <c r="O13332" t="s">
        <v>31</v>
      </c>
      <c r="P13332" t="str">
        <f>"15102"</f>
        <v>15102</v>
      </c>
    </row>
    <row r="13333" spans="1:16" x14ac:dyDescent="0.25">
      <c r="A13333" t="str">
        <f>"1190035L00266    00"</f>
        <v>1190035L00266    00</v>
      </c>
      <c r="B13333" t="s">
        <v>29300</v>
      </c>
      <c r="C13333" t="s">
        <v>29297</v>
      </c>
      <c r="D13333" t="s">
        <v>20</v>
      </c>
      <c r="E13333" t="s">
        <v>39</v>
      </c>
      <c r="F13333">
        <v>0</v>
      </c>
      <c r="G13333">
        <v>0</v>
      </c>
      <c r="H13333">
        <v>12</v>
      </c>
      <c r="I13333" s="3">
        <v>1320.36</v>
      </c>
      <c r="J13333" s="3">
        <v>694.53</v>
      </c>
      <c r="L13333">
        <v>1739</v>
      </c>
      <c r="M13333" t="s">
        <v>29301</v>
      </c>
      <c r="N13333" t="s">
        <v>30</v>
      </c>
      <c r="O13333" t="s">
        <v>31</v>
      </c>
      <c r="P13333" t="str">
        <f t="shared" ref="P13333:P13338" si="165">"15216"</f>
        <v>15216</v>
      </c>
    </row>
    <row r="13334" spans="1:16" x14ac:dyDescent="0.25">
      <c r="A13334" t="str">
        <f>"1190035L00267    00"</f>
        <v>1190035L00267    00</v>
      </c>
      <c r="B13334" t="s">
        <v>29300</v>
      </c>
      <c r="C13334" t="s">
        <v>29302</v>
      </c>
      <c r="D13334" t="s">
        <v>20</v>
      </c>
      <c r="E13334" t="s">
        <v>39</v>
      </c>
      <c r="F13334">
        <v>0</v>
      </c>
      <c r="G13334">
        <v>0</v>
      </c>
      <c r="H13334">
        <v>13</v>
      </c>
      <c r="I13334" s="3">
        <v>5180.91</v>
      </c>
      <c r="J13334" s="3">
        <v>2512.75</v>
      </c>
      <c r="L13334">
        <v>1739</v>
      </c>
      <c r="M13334" t="s">
        <v>29301</v>
      </c>
      <c r="N13334" t="s">
        <v>30</v>
      </c>
      <c r="O13334" t="s">
        <v>31</v>
      </c>
      <c r="P13334" t="str">
        <f t="shared" si="165"/>
        <v>15216</v>
      </c>
    </row>
    <row r="13335" spans="1:16" x14ac:dyDescent="0.25">
      <c r="A13335" t="str">
        <f>"1190035L00270    00"</f>
        <v>1190035L00270    00</v>
      </c>
      <c r="B13335" t="s">
        <v>29303</v>
      </c>
      <c r="C13335" t="s">
        <v>29297</v>
      </c>
      <c r="D13335" t="s">
        <v>20</v>
      </c>
      <c r="E13335" t="s">
        <v>39</v>
      </c>
      <c r="F13335">
        <v>0</v>
      </c>
      <c r="G13335">
        <v>0</v>
      </c>
      <c r="H13335">
        <v>1</v>
      </c>
      <c r="I13335" s="3">
        <v>95.3</v>
      </c>
      <c r="J13335" s="3">
        <v>0</v>
      </c>
      <c r="L13335">
        <v>109</v>
      </c>
      <c r="M13335" t="s">
        <v>29144</v>
      </c>
      <c r="N13335" t="s">
        <v>30</v>
      </c>
      <c r="O13335" t="s">
        <v>31</v>
      </c>
      <c r="P13335" t="str">
        <f t="shared" si="165"/>
        <v>15216</v>
      </c>
    </row>
    <row r="13336" spans="1:16" x14ac:dyDescent="0.25">
      <c r="A13336" t="str">
        <f>"1190035L00271    00"</f>
        <v>1190035L00271    00</v>
      </c>
      <c r="B13336" t="s">
        <v>29303</v>
      </c>
      <c r="C13336" t="s">
        <v>29304</v>
      </c>
      <c r="D13336" t="s">
        <v>20</v>
      </c>
      <c r="E13336" t="s">
        <v>39</v>
      </c>
      <c r="F13336">
        <v>0</v>
      </c>
      <c r="G13336">
        <v>0</v>
      </c>
      <c r="H13336">
        <v>2</v>
      </c>
      <c r="I13336" s="3">
        <v>557.5</v>
      </c>
      <c r="J13336" s="3">
        <v>2</v>
      </c>
      <c r="L13336">
        <v>109</v>
      </c>
      <c r="M13336" t="s">
        <v>29144</v>
      </c>
      <c r="N13336" t="s">
        <v>30</v>
      </c>
      <c r="O13336" t="s">
        <v>31</v>
      </c>
      <c r="P13336" t="str">
        <f t="shared" si="165"/>
        <v>15216</v>
      </c>
    </row>
    <row r="13337" spans="1:16" x14ac:dyDescent="0.25">
      <c r="A13337" t="str">
        <f>"1190035M00005    00"</f>
        <v>1190035M00005    00</v>
      </c>
      <c r="B13337" t="s">
        <v>29305</v>
      </c>
      <c r="C13337" t="s">
        <v>29306</v>
      </c>
      <c r="E13337" t="s">
        <v>39</v>
      </c>
      <c r="F13337">
        <v>0</v>
      </c>
      <c r="G13337">
        <v>0</v>
      </c>
      <c r="H13337">
        <v>6</v>
      </c>
      <c r="I13337" s="3">
        <v>5317.52</v>
      </c>
      <c r="J13337" s="3">
        <v>4457.57</v>
      </c>
      <c r="L13337">
        <v>1825</v>
      </c>
      <c r="M13337" t="s">
        <v>29307</v>
      </c>
      <c r="N13337" t="s">
        <v>30</v>
      </c>
      <c r="O13337" t="s">
        <v>31</v>
      </c>
      <c r="P13337" t="str">
        <f t="shared" si="165"/>
        <v>15216</v>
      </c>
    </row>
    <row r="13338" spans="1:16" x14ac:dyDescent="0.25">
      <c r="A13338" t="str">
        <f>"1190035M00068    00"</f>
        <v>1190035M00068    00</v>
      </c>
      <c r="B13338" t="s">
        <v>29308</v>
      </c>
      <c r="C13338" t="s">
        <v>29309</v>
      </c>
      <c r="D13338" t="s">
        <v>20</v>
      </c>
      <c r="E13338" t="s">
        <v>39</v>
      </c>
      <c r="F13338">
        <v>0</v>
      </c>
      <c r="G13338">
        <v>0</v>
      </c>
      <c r="H13338">
        <v>1</v>
      </c>
      <c r="I13338" s="3">
        <v>169.64</v>
      </c>
      <c r="J13338" s="3">
        <v>0</v>
      </c>
      <c r="K13338" t="s">
        <v>29310</v>
      </c>
      <c r="L13338">
        <v>1847</v>
      </c>
      <c r="M13338" t="s">
        <v>29311</v>
      </c>
      <c r="N13338" t="s">
        <v>30</v>
      </c>
      <c r="O13338" t="s">
        <v>31</v>
      </c>
      <c r="P13338" t="str">
        <f t="shared" si="165"/>
        <v>15216</v>
      </c>
    </row>
    <row r="13339" spans="1:16" x14ac:dyDescent="0.25">
      <c r="A13339" t="str">
        <f>"1190035M00190    00"</f>
        <v>1190035M00190    00</v>
      </c>
      <c r="B13339" t="s">
        <v>29312</v>
      </c>
      <c r="C13339" t="s">
        <v>29313</v>
      </c>
      <c r="D13339" t="s">
        <v>20</v>
      </c>
      <c r="E13339" t="s">
        <v>39</v>
      </c>
      <c r="F13339">
        <v>0</v>
      </c>
      <c r="G13339">
        <v>0</v>
      </c>
      <c r="H13339">
        <v>18</v>
      </c>
      <c r="I13339" s="3">
        <v>15614.44</v>
      </c>
      <c r="J13339" s="3">
        <v>12278.63</v>
      </c>
      <c r="L13339">
        <v>233</v>
      </c>
      <c r="M13339" t="s">
        <v>29314</v>
      </c>
      <c r="N13339" t="s">
        <v>30</v>
      </c>
      <c r="O13339" t="s">
        <v>31</v>
      </c>
      <c r="P13339" t="str">
        <f>"15235"</f>
        <v>15235</v>
      </c>
    </row>
    <row r="13340" spans="1:16" x14ac:dyDescent="0.25">
      <c r="A13340" t="str">
        <f>"1190035M00194    00"</f>
        <v>1190035M00194    00</v>
      </c>
      <c r="B13340" t="s">
        <v>29315</v>
      </c>
      <c r="C13340" t="s">
        <v>29316</v>
      </c>
      <c r="D13340" t="s">
        <v>20</v>
      </c>
      <c r="E13340" t="s">
        <v>39</v>
      </c>
      <c r="F13340">
        <v>0</v>
      </c>
      <c r="G13340">
        <v>0</v>
      </c>
      <c r="H13340">
        <v>1</v>
      </c>
      <c r="I13340" s="3">
        <v>1460</v>
      </c>
      <c r="J13340" s="3">
        <v>0</v>
      </c>
      <c r="L13340">
        <v>125</v>
      </c>
      <c r="M13340" t="s">
        <v>29159</v>
      </c>
      <c r="N13340" t="s">
        <v>30</v>
      </c>
      <c r="O13340" t="s">
        <v>31</v>
      </c>
      <c r="P13340" t="str">
        <f>"15216"</f>
        <v>15216</v>
      </c>
    </row>
    <row r="13341" spans="1:16" x14ac:dyDescent="0.25">
      <c r="A13341" t="str">
        <f>"1190035M00195    00"</f>
        <v>1190035M00195    00</v>
      </c>
      <c r="B13341" t="s">
        <v>29317</v>
      </c>
      <c r="C13341" t="s">
        <v>29155</v>
      </c>
      <c r="D13341" t="s">
        <v>20</v>
      </c>
      <c r="E13341" t="s">
        <v>39</v>
      </c>
      <c r="F13341">
        <v>0</v>
      </c>
      <c r="G13341">
        <v>0</v>
      </c>
      <c r="H13341">
        <v>17</v>
      </c>
      <c r="I13341" s="3">
        <v>5209.32</v>
      </c>
      <c r="J13341" s="3">
        <v>4349.03</v>
      </c>
      <c r="K13341" t="s">
        <v>29318</v>
      </c>
      <c r="L13341">
        <v>52</v>
      </c>
      <c r="M13341" t="s">
        <v>29319</v>
      </c>
      <c r="N13341" t="s">
        <v>30</v>
      </c>
      <c r="O13341" t="s">
        <v>31</v>
      </c>
      <c r="P13341" t="str">
        <f>"15217"</f>
        <v>15217</v>
      </c>
    </row>
    <row r="13342" spans="1:16" x14ac:dyDescent="0.25">
      <c r="A13342" t="str">
        <f>"1190035N00132    00"</f>
        <v>1190035N00132    00</v>
      </c>
      <c r="B13342" t="s">
        <v>29320</v>
      </c>
      <c r="C13342" t="s">
        <v>29321</v>
      </c>
      <c r="D13342" t="s">
        <v>20</v>
      </c>
      <c r="E13342" t="s">
        <v>39</v>
      </c>
      <c r="F13342">
        <v>0</v>
      </c>
      <c r="G13342">
        <v>0</v>
      </c>
      <c r="H13342">
        <v>2</v>
      </c>
      <c r="I13342" s="3">
        <v>108.89</v>
      </c>
      <c r="J13342" s="3">
        <v>0</v>
      </c>
      <c r="K13342" t="s">
        <v>29322</v>
      </c>
      <c r="L13342">
        <v>166</v>
      </c>
      <c r="M13342" t="s">
        <v>26107</v>
      </c>
      <c r="N13342" t="s">
        <v>20793</v>
      </c>
      <c r="O13342" t="s">
        <v>31</v>
      </c>
      <c r="P13342" t="str">
        <f>"16353"</f>
        <v>16353</v>
      </c>
    </row>
    <row r="13343" spans="1:16" x14ac:dyDescent="0.25">
      <c r="A13343" t="str">
        <f>"1190035N00134    00"</f>
        <v>1190035N00134    00</v>
      </c>
      <c r="B13343" t="s">
        <v>29320</v>
      </c>
      <c r="C13343" t="s">
        <v>29321</v>
      </c>
      <c r="D13343" t="s">
        <v>20</v>
      </c>
      <c r="E13343" t="s">
        <v>39</v>
      </c>
      <c r="F13343">
        <v>0</v>
      </c>
      <c r="G13343">
        <v>0</v>
      </c>
      <c r="H13343">
        <v>1</v>
      </c>
      <c r="I13343" s="3">
        <v>89.59</v>
      </c>
      <c r="J13343" s="3">
        <v>0</v>
      </c>
      <c r="K13343" t="s">
        <v>29322</v>
      </c>
      <c r="L13343">
        <v>166</v>
      </c>
      <c r="M13343" t="s">
        <v>26107</v>
      </c>
      <c r="N13343" t="s">
        <v>20793</v>
      </c>
      <c r="O13343" t="s">
        <v>31</v>
      </c>
      <c r="P13343" t="str">
        <f>"16353"</f>
        <v>16353</v>
      </c>
    </row>
    <row r="13344" spans="1:16" x14ac:dyDescent="0.25">
      <c r="A13344" t="str">
        <f>"1190035N00157    00"</f>
        <v>1190035N00157    00</v>
      </c>
      <c r="B13344" t="s">
        <v>29323</v>
      </c>
      <c r="C13344" t="s">
        <v>29324</v>
      </c>
      <c r="D13344" t="s">
        <v>20</v>
      </c>
      <c r="E13344" t="s">
        <v>39</v>
      </c>
      <c r="F13344">
        <v>0</v>
      </c>
      <c r="G13344">
        <v>0</v>
      </c>
      <c r="H13344">
        <v>16</v>
      </c>
      <c r="I13344" s="3">
        <v>30483.49</v>
      </c>
      <c r="J13344" s="3">
        <v>22386.65</v>
      </c>
      <c r="M13344" t="s">
        <v>29325</v>
      </c>
      <c r="N13344" t="s">
        <v>30</v>
      </c>
      <c r="O13344" t="s">
        <v>31</v>
      </c>
      <c r="P13344" t="str">
        <f>"15243"</f>
        <v>15243</v>
      </c>
    </row>
    <row r="13345" spans="1:16" x14ac:dyDescent="0.25">
      <c r="A13345" t="str">
        <f>"1190035N00160    00"</f>
        <v>1190035N00160    00</v>
      </c>
      <c r="B13345" t="s">
        <v>29326</v>
      </c>
      <c r="C13345" t="s">
        <v>29327</v>
      </c>
      <c r="D13345" t="s">
        <v>20</v>
      </c>
      <c r="E13345" t="s">
        <v>39</v>
      </c>
      <c r="F13345">
        <v>0</v>
      </c>
      <c r="G13345">
        <v>0</v>
      </c>
      <c r="H13345">
        <v>2</v>
      </c>
      <c r="I13345" s="3">
        <v>706.44</v>
      </c>
      <c r="J13345" s="3">
        <v>9.6300000000000008</v>
      </c>
      <c r="K13345" t="s">
        <v>29328</v>
      </c>
      <c r="L13345">
        <v>2018</v>
      </c>
      <c r="M13345" t="s">
        <v>23798</v>
      </c>
      <c r="N13345" t="s">
        <v>30</v>
      </c>
      <c r="O13345" t="s">
        <v>31</v>
      </c>
      <c r="P13345" t="str">
        <f>"15216"</f>
        <v>15216</v>
      </c>
    </row>
    <row r="13346" spans="1:16" x14ac:dyDescent="0.25">
      <c r="A13346" t="str">
        <f>"1190035N00162    00"</f>
        <v>1190035N00162    00</v>
      </c>
      <c r="B13346" t="s">
        <v>29329</v>
      </c>
      <c r="C13346" t="s">
        <v>29330</v>
      </c>
      <c r="D13346" t="s">
        <v>20</v>
      </c>
      <c r="E13346" t="s">
        <v>39</v>
      </c>
      <c r="F13346">
        <v>0</v>
      </c>
      <c r="G13346">
        <v>0</v>
      </c>
      <c r="H13346">
        <v>5</v>
      </c>
      <c r="I13346" s="3">
        <v>5652.1</v>
      </c>
      <c r="J13346" s="3">
        <v>976.47</v>
      </c>
      <c r="L13346">
        <v>1325</v>
      </c>
      <c r="M13346" t="s">
        <v>28768</v>
      </c>
      <c r="N13346" t="s">
        <v>30</v>
      </c>
      <c r="O13346" t="s">
        <v>31</v>
      </c>
      <c r="P13346" t="str">
        <f>"15243"</f>
        <v>15243</v>
      </c>
    </row>
    <row r="13347" spans="1:16" x14ac:dyDescent="0.25">
      <c r="A13347" t="str">
        <f>"1190035N00168    00"</f>
        <v>1190035N00168    00</v>
      </c>
      <c r="B13347" t="s">
        <v>29331</v>
      </c>
      <c r="C13347" t="s">
        <v>29332</v>
      </c>
      <c r="E13347" t="s">
        <v>39</v>
      </c>
      <c r="F13347">
        <v>0</v>
      </c>
      <c r="G13347">
        <v>0</v>
      </c>
      <c r="H13347">
        <v>4</v>
      </c>
      <c r="I13347" s="3">
        <v>4361.6899999999996</v>
      </c>
      <c r="J13347" s="3">
        <v>4650.17</v>
      </c>
      <c r="L13347">
        <v>1950</v>
      </c>
      <c r="M13347" t="s">
        <v>23798</v>
      </c>
      <c r="N13347" t="s">
        <v>30</v>
      </c>
      <c r="O13347" t="s">
        <v>31</v>
      </c>
      <c r="P13347" t="str">
        <f>"15216"</f>
        <v>15216</v>
      </c>
    </row>
    <row r="13348" spans="1:16" x14ac:dyDescent="0.25">
      <c r="A13348" t="str">
        <f>"1190035N00189    00"</f>
        <v>1190035N00189    00</v>
      </c>
      <c r="B13348" t="s">
        <v>29333</v>
      </c>
      <c r="C13348" t="s">
        <v>29334</v>
      </c>
      <c r="E13348" t="s">
        <v>21</v>
      </c>
      <c r="F13348">
        <v>0</v>
      </c>
      <c r="G13348">
        <v>0</v>
      </c>
      <c r="H13348">
        <v>1</v>
      </c>
      <c r="I13348" s="3">
        <v>1078.31</v>
      </c>
      <c r="J13348" s="3">
        <v>0</v>
      </c>
      <c r="L13348">
        <v>2056</v>
      </c>
      <c r="M13348" t="s">
        <v>23798</v>
      </c>
      <c r="N13348" t="s">
        <v>30</v>
      </c>
      <c r="O13348" t="s">
        <v>31</v>
      </c>
      <c r="P13348" t="str">
        <f>"15216"</f>
        <v>15216</v>
      </c>
    </row>
    <row r="13349" spans="1:16" x14ac:dyDescent="0.25">
      <c r="A13349" t="str">
        <f>"1190035N00254    00"</f>
        <v>1190035N00254    00</v>
      </c>
      <c r="B13349" t="s">
        <v>29335</v>
      </c>
      <c r="C13349" t="s">
        <v>29336</v>
      </c>
      <c r="D13349" t="s">
        <v>20</v>
      </c>
      <c r="E13349" t="s">
        <v>39</v>
      </c>
      <c r="F13349">
        <v>0</v>
      </c>
      <c r="G13349">
        <v>0</v>
      </c>
      <c r="H13349">
        <v>1</v>
      </c>
      <c r="I13349" s="3">
        <v>773.1</v>
      </c>
      <c r="J13349" s="3">
        <v>534.71</v>
      </c>
      <c r="L13349">
        <v>436</v>
      </c>
      <c r="M13349" t="s">
        <v>29337</v>
      </c>
      <c r="N13349" t="s">
        <v>30</v>
      </c>
      <c r="O13349" t="s">
        <v>31</v>
      </c>
      <c r="P13349" t="str">
        <f>"15216"</f>
        <v>15216</v>
      </c>
    </row>
    <row r="13350" spans="1:16" x14ac:dyDescent="0.25">
      <c r="A13350" t="str">
        <f>"1190035N00283    00"</f>
        <v>1190035N00283    00</v>
      </c>
      <c r="B13350" t="s">
        <v>29338</v>
      </c>
      <c r="C13350" t="s">
        <v>29339</v>
      </c>
      <c r="D13350" t="s">
        <v>20</v>
      </c>
      <c r="E13350" t="s">
        <v>39</v>
      </c>
      <c r="F13350">
        <v>0</v>
      </c>
      <c r="G13350">
        <v>0</v>
      </c>
      <c r="H13350">
        <v>8</v>
      </c>
      <c r="I13350" s="3">
        <v>7908.22</v>
      </c>
      <c r="J13350" s="3">
        <v>2587.6999999999998</v>
      </c>
      <c r="K13350" t="s">
        <v>29340</v>
      </c>
      <c r="L13350">
        <v>216</v>
      </c>
      <c r="M13350" t="s">
        <v>29341</v>
      </c>
      <c r="N13350" t="s">
        <v>30</v>
      </c>
      <c r="O13350" t="s">
        <v>31</v>
      </c>
      <c r="P13350" t="str">
        <f>"15228"</f>
        <v>15228</v>
      </c>
    </row>
    <row r="13351" spans="1:16" x14ac:dyDescent="0.25">
      <c r="A13351" t="str">
        <f>"1190035N00312    00"</f>
        <v>1190035N00312    00</v>
      </c>
      <c r="B13351" t="s">
        <v>29342</v>
      </c>
      <c r="C13351" t="s">
        <v>29343</v>
      </c>
      <c r="D13351" t="s">
        <v>20</v>
      </c>
      <c r="E13351" t="s">
        <v>39</v>
      </c>
      <c r="F13351">
        <v>0</v>
      </c>
      <c r="G13351">
        <v>0</v>
      </c>
      <c r="H13351">
        <v>2</v>
      </c>
      <c r="I13351" s="3">
        <v>2447.3200000000002</v>
      </c>
      <c r="J13351" s="3">
        <v>0</v>
      </c>
      <c r="L13351">
        <v>2116</v>
      </c>
      <c r="M13351" t="s">
        <v>29344</v>
      </c>
      <c r="N13351" t="s">
        <v>30</v>
      </c>
      <c r="O13351" t="s">
        <v>31</v>
      </c>
      <c r="P13351" t="str">
        <f>"15216"</f>
        <v>15216</v>
      </c>
    </row>
    <row r="13352" spans="1:16" x14ac:dyDescent="0.25">
      <c r="A13352" t="str">
        <f>"1190035P00006    00"</f>
        <v>1190035P00006    00</v>
      </c>
      <c r="B13352" t="s">
        <v>29345</v>
      </c>
      <c r="C13352" t="s">
        <v>29346</v>
      </c>
      <c r="E13352" t="s">
        <v>39</v>
      </c>
      <c r="F13352">
        <v>0</v>
      </c>
      <c r="G13352">
        <v>0</v>
      </c>
      <c r="H13352">
        <v>1</v>
      </c>
      <c r="I13352" s="3">
        <v>1424.3</v>
      </c>
      <c r="J13352" s="3">
        <v>427.27</v>
      </c>
      <c r="K13352" t="s">
        <v>329</v>
      </c>
      <c r="L13352">
        <v>3001</v>
      </c>
      <c r="M13352" t="s">
        <v>330</v>
      </c>
      <c r="N13352" t="s">
        <v>331</v>
      </c>
      <c r="O13352" t="s">
        <v>108</v>
      </c>
      <c r="P13352" t="str">
        <f>"75063"</f>
        <v>75063</v>
      </c>
    </row>
    <row r="13353" spans="1:16" x14ac:dyDescent="0.25">
      <c r="A13353" t="str">
        <f>"1190035P00075    00"</f>
        <v>1190035P00075    00</v>
      </c>
      <c r="B13353" t="s">
        <v>29347</v>
      </c>
      <c r="C13353" t="s">
        <v>29348</v>
      </c>
      <c r="E13353" t="s">
        <v>39</v>
      </c>
      <c r="F13353">
        <v>0</v>
      </c>
      <c r="G13353">
        <v>0</v>
      </c>
      <c r="H13353">
        <v>1</v>
      </c>
      <c r="I13353" s="3">
        <v>622.69000000000005</v>
      </c>
      <c r="J13353" s="3">
        <v>482.37</v>
      </c>
      <c r="K13353" t="s">
        <v>29349</v>
      </c>
      <c r="L13353">
        <v>4101</v>
      </c>
      <c r="M13353" t="s">
        <v>339</v>
      </c>
      <c r="N13353" t="s">
        <v>30</v>
      </c>
      <c r="O13353" t="s">
        <v>31</v>
      </c>
      <c r="P13353" t="str">
        <f>"15227"</f>
        <v>15227</v>
      </c>
    </row>
    <row r="13354" spans="1:16" x14ac:dyDescent="0.25">
      <c r="A13354" t="str">
        <f>"1190035P00105    00"</f>
        <v>1190035P00105    00</v>
      </c>
      <c r="B13354" t="s">
        <v>29350</v>
      </c>
      <c r="C13354" t="s">
        <v>29351</v>
      </c>
      <c r="D13354" t="s">
        <v>33</v>
      </c>
      <c r="E13354" t="s">
        <v>39</v>
      </c>
      <c r="F13354">
        <v>0</v>
      </c>
      <c r="G13354">
        <v>0</v>
      </c>
      <c r="H13354">
        <v>1</v>
      </c>
      <c r="I13354" s="3">
        <v>16.34</v>
      </c>
      <c r="J13354" s="3">
        <v>0</v>
      </c>
      <c r="L13354">
        <v>1819</v>
      </c>
      <c r="M13354" t="s">
        <v>29196</v>
      </c>
      <c r="N13354" t="s">
        <v>30</v>
      </c>
      <c r="O13354" t="s">
        <v>31</v>
      </c>
      <c r="P13354" t="str">
        <f>"15216"</f>
        <v>15216</v>
      </c>
    </row>
    <row r="13355" spans="1:16" x14ac:dyDescent="0.25">
      <c r="A13355" t="str">
        <f>"1190035P00155    00"</f>
        <v>1190035P00155    00</v>
      </c>
      <c r="B13355" t="s">
        <v>29352</v>
      </c>
      <c r="C13355" t="s">
        <v>29353</v>
      </c>
      <c r="D13355" t="s">
        <v>20</v>
      </c>
      <c r="E13355" t="s">
        <v>39</v>
      </c>
      <c r="F13355">
        <v>0</v>
      </c>
      <c r="G13355">
        <v>0</v>
      </c>
      <c r="H13355">
        <v>16</v>
      </c>
      <c r="I13355" s="3">
        <v>18603.78</v>
      </c>
      <c r="J13355" s="3">
        <v>11577.07</v>
      </c>
      <c r="K13355" t="s">
        <v>29354</v>
      </c>
      <c r="L13355">
        <v>1926</v>
      </c>
      <c r="M13355" t="s">
        <v>29355</v>
      </c>
      <c r="N13355" t="s">
        <v>30</v>
      </c>
      <c r="O13355" t="s">
        <v>31</v>
      </c>
      <c r="P13355" t="str">
        <f>"15216"</f>
        <v>15216</v>
      </c>
    </row>
    <row r="13356" spans="1:16" x14ac:dyDescent="0.25">
      <c r="A13356" t="str">
        <f>"1190035P00181    00"</f>
        <v>1190035P00181    00</v>
      </c>
      <c r="B13356" t="s">
        <v>29356</v>
      </c>
      <c r="C13356" t="s">
        <v>29357</v>
      </c>
      <c r="D13356" t="s">
        <v>20</v>
      </c>
      <c r="E13356" t="s">
        <v>39</v>
      </c>
      <c r="F13356">
        <v>0</v>
      </c>
      <c r="G13356">
        <v>0</v>
      </c>
      <c r="H13356">
        <v>1</v>
      </c>
      <c r="I13356" s="3">
        <v>976.35</v>
      </c>
      <c r="J13356" s="3">
        <v>0</v>
      </c>
      <c r="K13356" t="s">
        <v>10471</v>
      </c>
      <c r="L13356">
        <v>14</v>
      </c>
      <c r="M13356" t="s">
        <v>10472</v>
      </c>
      <c r="N13356" t="s">
        <v>10473</v>
      </c>
      <c r="O13356" t="s">
        <v>31</v>
      </c>
      <c r="P13356" t="str">
        <f>"18964"</f>
        <v>18964</v>
      </c>
    </row>
    <row r="13357" spans="1:16" x14ac:dyDescent="0.25">
      <c r="A13357" t="str">
        <f>"1190035P00217    00"</f>
        <v>1190035P00217    00</v>
      </c>
      <c r="B13357" t="s">
        <v>29358</v>
      </c>
      <c r="C13357" t="s">
        <v>29359</v>
      </c>
      <c r="E13357" t="s">
        <v>39</v>
      </c>
      <c r="F13357">
        <v>0</v>
      </c>
      <c r="G13357">
        <v>0</v>
      </c>
      <c r="H13357">
        <v>3</v>
      </c>
      <c r="I13357" s="3">
        <v>1096.2</v>
      </c>
      <c r="J13357" s="3">
        <v>18.170000000000002</v>
      </c>
      <c r="K13357" t="s">
        <v>29360</v>
      </c>
      <c r="L13357">
        <v>1315</v>
      </c>
      <c r="M13357" t="s">
        <v>28652</v>
      </c>
      <c r="N13357" t="s">
        <v>30</v>
      </c>
      <c r="O13357" t="s">
        <v>31</v>
      </c>
      <c r="P13357" t="str">
        <f>"15216"</f>
        <v>15216</v>
      </c>
    </row>
    <row r="13358" spans="1:16" x14ac:dyDescent="0.25">
      <c r="A13358" t="str">
        <f>"1190035P00222    00"</f>
        <v>1190035P00222    00</v>
      </c>
      <c r="B13358" t="s">
        <v>29361</v>
      </c>
      <c r="C13358" t="s">
        <v>29362</v>
      </c>
      <c r="D13358" t="s">
        <v>20</v>
      </c>
      <c r="E13358" t="s">
        <v>39</v>
      </c>
      <c r="F13358">
        <v>0</v>
      </c>
      <c r="G13358">
        <v>0</v>
      </c>
      <c r="H13358">
        <v>17</v>
      </c>
      <c r="I13358" s="3">
        <v>23074.75</v>
      </c>
      <c r="J13358" s="3">
        <v>17385.57</v>
      </c>
      <c r="L13358">
        <v>2120</v>
      </c>
      <c r="M13358" t="s">
        <v>29363</v>
      </c>
      <c r="N13358" t="s">
        <v>30</v>
      </c>
      <c r="O13358" t="s">
        <v>31</v>
      </c>
      <c r="P13358" t="str">
        <f>"15216"</f>
        <v>15216</v>
      </c>
    </row>
    <row r="13359" spans="1:16" x14ac:dyDescent="0.25">
      <c r="A13359" t="str">
        <f>"1190035P00306    00"</f>
        <v>1190035P00306    00</v>
      </c>
      <c r="B13359" t="s">
        <v>29364</v>
      </c>
      <c r="C13359" t="s">
        <v>29365</v>
      </c>
      <c r="D13359" t="s">
        <v>20</v>
      </c>
      <c r="E13359" t="s">
        <v>39</v>
      </c>
      <c r="F13359">
        <v>0</v>
      </c>
      <c r="G13359">
        <v>0</v>
      </c>
      <c r="H13359">
        <v>4</v>
      </c>
      <c r="I13359" s="3">
        <v>3297.86</v>
      </c>
      <c r="J13359" s="3">
        <v>410.32</v>
      </c>
      <c r="K13359" t="s">
        <v>5073</v>
      </c>
      <c r="L13359">
        <v>3001</v>
      </c>
      <c r="M13359" t="s">
        <v>330</v>
      </c>
      <c r="N13359" t="s">
        <v>331</v>
      </c>
      <c r="O13359" t="s">
        <v>108</v>
      </c>
      <c r="P13359" t="str">
        <f>"75063"</f>
        <v>75063</v>
      </c>
    </row>
    <row r="13360" spans="1:16" x14ac:dyDescent="0.25">
      <c r="A13360" t="str">
        <f>"1190035R00005    00"</f>
        <v>1190035R00005    00</v>
      </c>
      <c r="B13360" t="s">
        <v>28914</v>
      </c>
      <c r="C13360" t="s">
        <v>29366</v>
      </c>
      <c r="E13360" t="s">
        <v>39</v>
      </c>
      <c r="F13360">
        <v>0</v>
      </c>
      <c r="G13360">
        <v>0</v>
      </c>
      <c r="H13360">
        <v>2</v>
      </c>
      <c r="I13360" s="3">
        <v>696.07</v>
      </c>
      <c r="J13360" s="3">
        <v>687.69</v>
      </c>
      <c r="L13360">
        <v>225</v>
      </c>
      <c r="M13360" t="s">
        <v>28814</v>
      </c>
      <c r="N13360" t="s">
        <v>30</v>
      </c>
      <c r="O13360" t="s">
        <v>31</v>
      </c>
      <c r="P13360" t="str">
        <f>"15220"</f>
        <v>15220</v>
      </c>
    </row>
    <row r="13361" spans="1:16" x14ac:dyDescent="0.25">
      <c r="A13361" t="str">
        <f>"1190035R00013    00"</f>
        <v>1190035R00013    00</v>
      </c>
      <c r="B13361" t="s">
        <v>29367</v>
      </c>
      <c r="C13361" t="s">
        <v>29368</v>
      </c>
      <c r="E13361" t="s">
        <v>39</v>
      </c>
      <c r="F13361">
        <v>0</v>
      </c>
      <c r="G13361">
        <v>0</v>
      </c>
      <c r="H13361">
        <v>2</v>
      </c>
      <c r="I13361" s="3">
        <v>574.91999999999996</v>
      </c>
      <c r="J13361" s="3">
        <v>0.09</v>
      </c>
      <c r="K13361" t="s">
        <v>29369</v>
      </c>
      <c r="L13361">
        <v>1844</v>
      </c>
      <c r="M13361" t="s">
        <v>27551</v>
      </c>
      <c r="N13361" t="s">
        <v>30</v>
      </c>
      <c r="O13361" t="s">
        <v>31</v>
      </c>
      <c r="P13361" t="str">
        <f>"15216"</f>
        <v>15216</v>
      </c>
    </row>
    <row r="13362" spans="1:16" x14ac:dyDescent="0.25">
      <c r="A13362" t="str">
        <f>"1190035R00150    00"</f>
        <v>1190035R00150    00</v>
      </c>
      <c r="B13362" t="s">
        <v>29370</v>
      </c>
      <c r="C13362" t="s">
        <v>28930</v>
      </c>
      <c r="D13362" t="s">
        <v>20</v>
      </c>
      <c r="E13362" t="s">
        <v>39</v>
      </c>
      <c r="F13362">
        <v>0</v>
      </c>
      <c r="G13362">
        <v>0</v>
      </c>
      <c r="H13362">
        <v>18</v>
      </c>
      <c r="I13362" s="3">
        <v>5364.76</v>
      </c>
      <c r="J13362" s="3">
        <v>3637.06</v>
      </c>
      <c r="L13362">
        <v>1847</v>
      </c>
      <c r="M13362" t="s">
        <v>25827</v>
      </c>
      <c r="N13362" t="s">
        <v>30</v>
      </c>
      <c r="O13362" t="s">
        <v>31</v>
      </c>
      <c r="P13362" t="str">
        <f>"15216"</f>
        <v>15216</v>
      </c>
    </row>
    <row r="13363" spans="1:16" x14ac:dyDescent="0.25">
      <c r="A13363" t="str">
        <f>"1190035R00169    00"</f>
        <v>1190035R00169    00</v>
      </c>
      <c r="B13363" t="s">
        <v>29371</v>
      </c>
      <c r="C13363" t="s">
        <v>29372</v>
      </c>
      <c r="E13363" t="s">
        <v>39</v>
      </c>
      <c r="F13363">
        <v>0</v>
      </c>
      <c r="G13363">
        <v>0</v>
      </c>
      <c r="H13363">
        <v>1</v>
      </c>
      <c r="I13363" s="3">
        <v>525.66999999999996</v>
      </c>
      <c r="J13363" s="3">
        <v>96.37</v>
      </c>
      <c r="K13363" t="s">
        <v>29373</v>
      </c>
      <c r="M13363" t="s">
        <v>29374</v>
      </c>
      <c r="N13363" t="s">
        <v>2059</v>
      </c>
      <c r="O13363" t="s">
        <v>31</v>
      </c>
      <c r="P13363" t="str">
        <f>"15642"</f>
        <v>15642</v>
      </c>
    </row>
    <row r="13364" spans="1:16" x14ac:dyDescent="0.25">
      <c r="A13364" t="str">
        <f>"1190035R00177    00"</f>
        <v>1190035R00177    00</v>
      </c>
      <c r="B13364" t="s">
        <v>29375</v>
      </c>
      <c r="C13364" t="s">
        <v>28930</v>
      </c>
      <c r="D13364" t="s">
        <v>20</v>
      </c>
      <c r="E13364" t="s">
        <v>39</v>
      </c>
      <c r="F13364">
        <v>0</v>
      </c>
      <c r="G13364">
        <v>0</v>
      </c>
      <c r="H13364">
        <v>10</v>
      </c>
      <c r="I13364" s="3">
        <v>139.63999999999999</v>
      </c>
      <c r="J13364" s="3">
        <v>63.22</v>
      </c>
      <c r="L13364">
        <v>1838</v>
      </c>
      <c r="M13364" t="s">
        <v>25827</v>
      </c>
      <c r="N13364" t="s">
        <v>30</v>
      </c>
      <c r="O13364" t="s">
        <v>31</v>
      </c>
      <c r="P13364" t="str">
        <f>"15216"</f>
        <v>15216</v>
      </c>
    </row>
    <row r="13365" spans="1:16" x14ac:dyDescent="0.25">
      <c r="A13365" t="str">
        <f>"1190035R00184    00"</f>
        <v>1190035R00184    00</v>
      </c>
      <c r="B13365" t="s">
        <v>29376</v>
      </c>
      <c r="C13365" t="s">
        <v>29377</v>
      </c>
      <c r="D13365" t="s">
        <v>20</v>
      </c>
      <c r="E13365" t="s">
        <v>39</v>
      </c>
      <c r="F13365">
        <v>0</v>
      </c>
      <c r="G13365">
        <v>0</v>
      </c>
      <c r="H13365">
        <v>1</v>
      </c>
      <c r="I13365" s="3">
        <v>698.06</v>
      </c>
      <c r="J13365" s="3">
        <v>0</v>
      </c>
      <c r="L13365">
        <v>1854</v>
      </c>
      <c r="M13365" t="s">
        <v>25827</v>
      </c>
      <c r="N13365" t="s">
        <v>30</v>
      </c>
      <c r="O13365" t="s">
        <v>31</v>
      </c>
      <c r="P13365" t="str">
        <f>"15216"</f>
        <v>15216</v>
      </c>
    </row>
    <row r="13366" spans="1:16" x14ac:dyDescent="0.25">
      <c r="A13366" t="str">
        <f>"1190035R00193    00"</f>
        <v>1190035R00193    00</v>
      </c>
      <c r="B13366" t="s">
        <v>29370</v>
      </c>
      <c r="C13366" t="s">
        <v>28930</v>
      </c>
      <c r="D13366" t="s">
        <v>20</v>
      </c>
      <c r="E13366" t="s">
        <v>39</v>
      </c>
      <c r="F13366">
        <v>0</v>
      </c>
      <c r="G13366">
        <v>0</v>
      </c>
      <c r="H13366">
        <v>18</v>
      </c>
      <c r="I13366" s="3">
        <v>4497.45</v>
      </c>
      <c r="J13366" s="3">
        <v>2431.35</v>
      </c>
      <c r="L13366">
        <v>1847</v>
      </c>
      <c r="M13366" t="s">
        <v>25827</v>
      </c>
      <c r="N13366" t="s">
        <v>30</v>
      </c>
      <c r="O13366" t="s">
        <v>31</v>
      </c>
      <c r="P13366" t="str">
        <f>"15216"</f>
        <v>15216</v>
      </c>
    </row>
    <row r="13367" spans="1:16" x14ac:dyDescent="0.25">
      <c r="A13367" t="str">
        <f>"1190035R00195    00"</f>
        <v>1190035R00195    00</v>
      </c>
      <c r="B13367" t="s">
        <v>29378</v>
      </c>
      <c r="C13367" t="s">
        <v>28930</v>
      </c>
      <c r="E13367" t="s">
        <v>39</v>
      </c>
      <c r="F13367">
        <v>0</v>
      </c>
      <c r="G13367">
        <v>0</v>
      </c>
      <c r="H13367">
        <v>1</v>
      </c>
      <c r="I13367" s="3">
        <v>289.83999999999997</v>
      </c>
      <c r="J13367" s="3">
        <v>294.66000000000003</v>
      </c>
      <c r="L13367">
        <v>1879</v>
      </c>
      <c r="M13367" t="s">
        <v>25827</v>
      </c>
      <c r="N13367" t="s">
        <v>30</v>
      </c>
      <c r="O13367" t="s">
        <v>31</v>
      </c>
      <c r="P13367" t="str">
        <f>"15216"</f>
        <v>15216</v>
      </c>
    </row>
    <row r="13368" spans="1:16" x14ac:dyDescent="0.25">
      <c r="A13368" t="str">
        <f>"1190035R00197    00"</f>
        <v>1190035R00197    00</v>
      </c>
      <c r="B13368" t="s">
        <v>29379</v>
      </c>
      <c r="C13368" t="s">
        <v>28930</v>
      </c>
      <c r="D13368" t="s">
        <v>20</v>
      </c>
      <c r="E13368" t="s">
        <v>39</v>
      </c>
      <c r="F13368">
        <v>0</v>
      </c>
      <c r="G13368">
        <v>0</v>
      </c>
      <c r="H13368">
        <v>9</v>
      </c>
      <c r="I13368" s="3">
        <v>365.85</v>
      </c>
      <c r="J13368" s="3">
        <v>139.65</v>
      </c>
      <c r="K13368" t="s">
        <v>29380</v>
      </c>
      <c r="L13368">
        <v>200</v>
      </c>
      <c r="M13368" t="s">
        <v>29381</v>
      </c>
      <c r="N13368" t="s">
        <v>30</v>
      </c>
      <c r="O13368" t="s">
        <v>31</v>
      </c>
      <c r="P13368" t="str">
        <f>"15236"</f>
        <v>15236</v>
      </c>
    </row>
    <row r="13369" spans="1:16" x14ac:dyDescent="0.25">
      <c r="A13369" t="str">
        <f>"1190035R00210    00"</f>
        <v>1190035R00210    00</v>
      </c>
      <c r="B13369" t="s">
        <v>29382</v>
      </c>
      <c r="C13369" t="s">
        <v>29383</v>
      </c>
      <c r="D13369" t="s">
        <v>20</v>
      </c>
      <c r="E13369" t="s">
        <v>39</v>
      </c>
      <c r="F13369">
        <v>0</v>
      </c>
      <c r="G13369">
        <v>0</v>
      </c>
      <c r="H13369">
        <v>2</v>
      </c>
      <c r="I13369" s="3">
        <v>1870.1</v>
      </c>
      <c r="J13369" s="3">
        <v>0</v>
      </c>
      <c r="K13369" t="s">
        <v>29384</v>
      </c>
      <c r="L13369">
        <v>750</v>
      </c>
      <c r="M13369" t="s">
        <v>7837</v>
      </c>
      <c r="N13369" t="s">
        <v>30</v>
      </c>
      <c r="O13369" t="s">
        <v>31</v>
      </c>
      <c r="P13369" t="str">
        <f>"15228"</f>
        <v>15228</v>
      </c>
    </row>
    <row r="13370" spans="1:16" x14ac:dyDescent="0.25">
      <c r="A13370" t="str">
        <f>"1190035R00251    00"</f>
        <v>1190035R00251    00</v>
      </c>
      <c r="B13370" t="s">
        <v>29385</v>
      </c>
      <c r="C13370" t="s">
        <v>29386</v>
      </c>
      <c r="D13370" t="s">
        <v>20</v>
      </c>
      <c r="E13370" t="s">
        <v>39</v>
      </c>
      <c r="F13370">
        <v>0</v>
      </c>
      <c r="G13370">
        <v>0</v>
      </c>
      <c r="H13370">
        <v>1</v>
      </c>
      <c r="I13370" s="3">
        <v>89.59</v>
      </c>
      <c r="J13370" s="3">
        <v>0</v>
      </c>
      <c r="L13370">
        <v>1966</v>
      </c>
      <c r="M13370" t="s">
        <v>29387</v>
      </c>
      <c r="N13370" t="s">
        <v>30</v>
      </c>
      <c r="O13370" t="s">
        <v>31</v>
      </c>
      <c r="P13370" t="str">
        <f>"15220"</f>
        <v>15220</v>
      </c>
    </row>
    <row r="13371" spans="1:16" x14ac:dyDescent="0.25">
      <c r="A13371" t="str">
        <f>"1190035R00302    00"</f>
        <v>1190035R00302    00</v>
      </c>
      <c r="B13371" t="s">
        <v>29388</v>
      </c>
      <c r="C13371" t="s">
        <v>29389</v>
      </c>
      <c r="D13371" t="s">
        <v>57</v>
      </c>
      <c r="E13371" t="s">
        <v>39</v>
      </c>
      <c r="F13371">
        <v>0</v>
      </c>
      <c r="G13371">
        <v>0</v>
      </c>
      <c r="H13371">
        <v>1</v>
      </c>
      <c r="I13371" s="3">
        <v>129.61000000000001</v>
      </c>
      <c r="J13371" s="3">
        <v>0</v>
      </c>
      <c r="K13371" t="s">
        <v>557</v>
      </c>
      <c r="L13371">
        <v>3001</v>
      </c>
      <c r="M13371" t="s">
        <v>330</v>
      </c>
      <c r="N13371" t="s">
        <v>331</v>
      </c>
      <c r="O13371" t="s">
        <v>108</v>
      </c>
      <c r="P13371" t="str">
        <f>"75063"</f>
        <v>75063</v>
      </c>
    </row>
    <row r="13372" spans="1:16" x14ac:dyDescent="0.25">
      <c r="A13372" t="str">
        <f>"1190035R00311    00"</f>
        <v>1190035R00311    00</v>
      </c>
      <c r="B13372" t="s">
        <v>29390</v>
      </c>
      <c r="C13372" t="s">
        <v>29391</v>
      </c>
      <c r="E13372" t="s">
        <v>39</v>
      </c>
      <c r="F13372">
        <v>0</v>
      </c>
      <c r="G13372">
        <v>0</v>
      </c>
      <c r="H13372">
        <v>1</v>
      </c>
      <c r="I13372" s="3">
        <v>718.57</v>
      </c>
      <c r="J13372" s="3">
        <v>0</v>
      </c>
      <c r="K13372" t="s">
        <v>29392</v>
      </c>
      <c r="L13372">
        <v>513</v>
      </c>
      <c r="M13372" t="s">
        <v>13875</v>
      </c>
      <c r="N13372" t="s">
        <v>30</v>
      </c>
      <c r="O13372" t="s">
        <v>31</v>
      </c>
      <c r="P13372" t="str">
        <f>"15209"</f>
        <v>15209</v>
      </c>
    </row>
    <row r="13373" spans="1:16" x14ac:dyDescent="0.25">
      <c r="A13373" t="str">
        <f>"1190035R00322    00"</f>
        <v>1190035R00322    00</v>
      </c>
      <c r="B13373" t="s">
        <v>29393</v>
      </c>
      <c r="C13373" t="s">
        <v>29394</v>
      </c>
      <c r="D13373" t="s">
        <v>20</v>
      </c>
      <c r="E13373" t="s">
        <v>39</v>
      </c>
      <c r="F13373">
        <v>0</v>
      </c>
      <c r="G13373">
        <v>0</v>
      </c>
      <c r="H13373">
        <v>5</v>
      </c>
      <c r="I13373" s="3">
        <v>6125.53</v>
      </c>
      <c r="J13373" s="3">
        <v>951.96</v>
      </c>
      <c r="L13373">
        <v>1924</v>
      </c>
      <c r="M13373" t="s">
        <v>29301</v>
      </c>
      <c r="N13373" t="s">
        <v>30</v>
      </c>
      <c r="O13373" t="s">
        <v>31</v>
      </c>
      <c r="P13373" t="str">
        <f>"15216"</f>
        <v>15216</v>
      </c>
    </row>
    <row r="13374" spans="1:16" x14ac:dyDescent="0.25">
      <c r="A13374" t="str">
        <f>"1190035R00334    00"</f>
        <v>1190035R00334    00</v>
      </c>
      <c r="B13374" t="s">
        <v>29395</v>
      </c>
      <c r="C13374" t="s">
        <v>29297</v>
      </c>
      <c r="D13374" t="s">
        <v>20</v>
      </c>
      <c r="E13374" t="s">
        <v>39</v>
      </c>
      <c r="F13374">
        <v>0</v>
      </c>
      <c r="G13374">
        <v>0</v>
      </c>
      <c r="H13374">
        <v>19</v>
      </c>
      <c r="I13374" s="3">
        <v>6200.57</v>
      </c>
      <c r="J13374" s="3">
        <v>4969.18</v>
      </c>
      <c r="P13374" t="str">
        <f>""</f>
        <v/>
      </c>
    </row>
    <row r="13375" spans="1:16" x14ac:dyDescent="0.25">
      <c r="A13375" t="str">
        <f>"1190035R00340    00"</f>
        <v>1190035R00340    00</v>
      </c>
      <c r="B13375" t="s">
        <v>29396</v>
      </c>
      <c r="C13375" t="s">
        <v>29297</v>
      </c>
      <c r="D13375" t="s">
        <v>20</v>
      </c>
      <c r="E13375" t="s">
        <v>39</v>
      </c>
      <c r="F13375">
        <v>0</v>
      </c>
      <c r="G13375">
        <v>0</v>
      </c>
      <c r="H13375">
        <v>3</v>
      </c>
      <c r="I13375" s="3">
        <v>57.18</v>
      </c>
      <c r="J13375" s="3">
        <v>3.81</v>
      </c>
      <c r="L13375">
        <v>1961</v>
      </c>
      <c r="M13375" t="s">
        <v>29387</v>
      </c>
      <c r="N13375" t="s">
        <v>30</v>
      </c>
      <c r="O13375" t="s">
        <v>31</v>
      </c>
      <c r="P13375" t="str">
        <f>"15216"</f>
        <v>15216</v>
      </c>
    </row>
    <row r="13376" spans="1:16" x14ac:dyDescent="0.25">
      <c r="A13376" t="str">
        <f>"1190035R00341    00"</f>
        <v>1190035R00341    00</v>
      </c>
      <c r="B13376" t="s">
        <v>29397</v>
      </c>
      <c r="C13376" t="s">
        <v>29398</v>
      </c>
      <c r="E13376" t="s">
        <v>39</v>
      </c>
      <c r="F13376">
        <v>0</v>
      </c>
      <c r="G13376">
        <v>0</v>
      </c>
      <c r="H13376">
        <v>1</v>
      </c>
      <c r="I13376" s="3">
        <v>1484.67</v>
      </c>
      <c r="J13376" s="3">
        <v>1101.0899999999999</v>
      </c>
      <c r="K13376" t="s">
        <v>10517</v>
      </c>
      <c r="M13376" t="s">
        <v>29399</v>
      </c>
      <c r="N13376" t="s">
        <v>10519</v>
      </c>
      <c r="O13376" t="s">
        <v>692</v>
      </c>
      <c r="P13376" t="str">
        <f>"20153"</f>
        <v>20153</v>
      </c>
    </row>
    <row r="13377" spans="1:16" x14ac:dyDescent="0.25">
      <c r="A13377" t="str">
        <f>"1190035S00012    00"</f>
        <v>1190035S00012    00</v>
      </c>
      <c r="B13377" t="s">
        <v>29400</v>
      </c>
      <c r="C13377" t="s">
        <v>29401</v>
      </c>
      <c r="E13377" t="s">
        <v>39</v>
      </c>
      <c r="F13377">
        <v>0</v>
      </c>
      <c r="G13377">
        <v>0</v>
      </c>
      <c r="H13377">
        <v>1</v>
      </c>
      <c r="I13377" s="3">
        <v>676.5</v>
      </c>
      <c r="J13377" s="3">
        <v>0</v>
      </c>
      <c r="K13377" t="s">
        <v>557</v>
      </c>
      <c r="L13377">
        <v>3001</v>
      </c>
      <c r="M13377" t="s">
        <v>330</v>
      </c>
      <c r="N13377" t="s">
        <v>331</v>
      </c>
      <c r="O13377" t="s">
        <v>108</v>
      </c>
      <c r="P13377" t="str">
        <f>"75063"</f>
        <v>75063</v>
      </c>
    </row>
    <row r="13378" spans="1:16" x14ac:dyDescent="0.25">
      <c r="A13378" t="str">
        <f>"1190035S00024    00"</f>
        <v>1190035S00024    00</v>
      </c>
      <c r="B13378" t="s">
        <v>29402</v>
      </c>
      <c r="C13378" t="s">
        <v>29309</v>
      </c>
      <c r="D13378" t="s">
        <v>20</v>
      </c>
      <c r="E13378" t="s">
        <v>39</v>
      </c>
      <c r="F13378">
        <v>0</v>
      </c>
      <c r="G13378">
        <v>0</v>
      </c>
      <c r="H13378">
        <v>19</v>
      </c>
      <c r="I13378" s="3">
        <v>5428.43</v>
      </c>
      <c r="J13378" s="3">
        <v>4479.7</v>
      </c>
      <c r="L13378">
        <v>1858</v>
      </c>
      <c r="M13378" t="s">
        <v>29311</v>
      </c>
      <c r="N13378" t="s">
        <v>30</v>
      </c>
      <c r="O13378" t="s">
        <v>31</v>
      </c>
      <c r="P13378" t="str">
        <f>"15216"</f>
        <v>15216</v>
      </c>
    </row>
    <row r="13379" spans="1:16" x14ac:dyDescent="0.25">
      <c r="A13379" t="str">
        <f>"1190035S00035    00"</f>
        <v>1190035S00035    00</v>
      </c>
      <c r="B13379" t="s">
        <v>29403</v>
      </c>
      <c r="C13379" t="s">
        <v>29404</v>
      </c>
      <c r="D13379" t="s">
        <v>20</v>
      </c>
      <c r="E13379" t="s">
        <v>39</v>
      </c>
      <c r="F13379">
        <v>0</v>
      </c>
      <c r="G13379">
        <v>0</v>
      </c>
      <c r="H13379">
        <v>1</v>
      </c>
      <c r="I13379" s="3">
        <v>1381.86</v>
      </c>
      <c r="J13379" s="3">
        <v>0</v>
      </c>
      <c r="K13379" t="s">
        <v>29405</v>
      </c>
      <c r="N13379" t="s">
        <v>29406</v>
      </c>
      <c r="P13379" t="str">
        <f>""</f>
        <v/>
      </c>
    </row>
    <row r="13380" spans="1:16" x14ac:dyDescent="0.25">
      <c r="A13380" t="str">
        <f>"1190035S00036    00"</f>
        <v>1190035S00036    00</v>
      </c>
      <c r="B13380" t="s">
        <v>29407</v>
      </c>
      <c r="C13380" t="s">
        <v>29408</v>
      </c>
      <c r="D13380" t="s">
        <v>20</v>
      </c>
      <c r="E13380" t="s">
        <v>39</v>
      </c>
      <c r="F13380">
        <v>0</v>
      </c>
      <c r="G13380">
        <v>0</v>
      </c>
      <c r="H13380">
        <v>5</v>
      </c>
      <c r="I13380" s="3">
        <v>4115.1099999999997</v>
      </c>
      <c r="J13380" s="3">
        <v>865.03</v>
      </c>
      <c r="K13380" t="s">
        <v>403</v>
      </c>
      <c r="L13380">
        <v>3001</v>
      </c>
      <c r="M13380" t="s">
        <v>404</v>
      </c>
      <c r="N13380" t="s">
        <v>331</v>
      </c>
      <c r="O13380" t="s">
        <v>108</v>
      </c>
      <c r="P13380" t="str">
        <f>"75063"</f>
        <v>75063</v>
      </c>
    </row>
    <row r="13381" spans="1:16" x14ac:dyDescent="0.25">
      <c r="A13381" t="str">
        <f>"1190035S00045    00"</f>
        <v>1190035S00045    00</v>
      </c>
      <c r="B13381" t="s">
        <v>3488</v>
      </c>
      <c r="C13381" t="s">
        <v>29409</v>
      </c>
      <c r="E13381" t="s">
        <v>39</v>
      </c>
      <c r="F13381">
        <v>0</v>
      </c>
      <c r="G13381">
        <v>0</v>
      </c>
      <c r="H13381">
        <v>3</v>
      </c>
      <c r="I13381" s="3">
        <v>2844.06</v>
      </c>
      <c r="J13381" s="3">
        <v>448.54</v>
      </c>
      <c r="L13381">
        <v>850</v>
      </c>
      <c r="M13381" t="s">
        <v>29410</v>
      </c>
      <c r="N13381" t="s">
        <v>30</v>
      </c>
      <c r="O13381" t="s">
        <v>31</v>
      </c>
      <c r="P13381" t="str">
        <f>"15236"</f>
        <v>15236</v>
      </c>
    </row>
    <row r="13382" spans="1:16" x14ac:dyDescent="0.25">
      <c r="A13382" t="str">
        <f>"1190035S00085    00"</f>
        <v>1190035S00085    00</v>
      </c>
      <c r="B13382" t="s">
        <v>29308</v>
      </c>
      <c r="C13382" t="s">
        <v>29411</v>
      </c>
      <c r="D13382" t="s">
        <v>20</v>
      </c>
      <c r="E13382" t="s">
        <v>39</v>
      </c>
      <c r="F13382">
        <v>0</v>
      </c>
      <c r="G13382">
        <v>0</v>
      </c>
      <c r="H13382">
        <v>2</v>
      </c>
      <c r="I13382" s="3">
        <v>1140.82</v>
      </c>
      <c r="J13382" s="3">
        <v>0</v>
      </c>
      <c r="K13382" t="s">
        <v>29310</v>
      </c>
      <c r="L13382">
        <v>1847</v>
      </c>
      <c r="M13382" t="s">
        <v>29311</v>
      </c>
      <c r="N13382" t="s">
        <v>30</v>
      </c>
      <c r="O13382" t="s">
        <v>31</v>
      </c>
      <c r="P13382" t="str">
        <f>"15216"</f>
        <v>15216</v>
      </c>
    </row>
    <row r="13383" spans="1:16" x14ac:dyDescent="0.25">
      <c r="A13383" t="str">
        <f>"1190035S00107    00"</f>
        <v>1190035S00107    00</v>
      </c>
      <c r="B13383" t="s">
        <v>13587</v>
      </c>
      <c r="C13383" t="s">
        <v>29412</v>
      </c>
      <c r="E13383" t="s">
        <v>21</v>
      </c>
      <c r="F13383">
        <v>0</v>
      </c>
      <c r="G13383">
        <v>0</v>
      </c>
      <c r="H13383">
        <v>10</v>
      </c>
      <c r="I13383" s="3">
        <v>14426.26</v>
      </c>
      <c r="J13383" s="3">
        <v>7600.17</v>
      </c>
      <c r="K13383" t="s">
        <v>13589</v>
      </c>
      <c r="L13383">
        <v>1826</v>
      </c>
      <c r="M13383" t="s">
        <v>6937</v>
      </c>
      <c r="N13383" t="s">
        <v>30</v>
      </c>
      <c r="O13383" t="s">
        <v>31</v>
      </c>
      <c r="P13383" t="str">
        <f>"15226"</f>
        <v>15226</v>
      </c>
    </row>
    <row r="13384" spans="1:16" x14ac:dyDescent="0.25">
      <c r="A13384" t="str">
        <f>"1190035S00265    00"</f>
        <v>1190035S00265    00</v>
      </c>
      <c r="B13384" t="s">
        <v>29413</v>
      </c>
      <c r="C13384" t="s">
        <v>29414</v>
      </c>
      <c r="D13384" t="s">
        <v>20</v>
      </c>
      <c r="E13384" t="s">
        <v>39</v>
      </c>
      <c r="F13384">
        <v>0</v>
      </c>
      <c r="G13384">
        <v>0</v>
      </c>
      <c r="H13384">
        <v>1</v>
      </c>
      <c r="I13384" s="3">
        <v>1500.03</v>
      </c>
      <c r="J13384" s="3">
        <v>0</v>
      </c>
      <c r="K13384" t="s">
        <v>29415</v>
      </c>
      <c r="L13384">
        <v>3300</v>
      </c>
      <c r="M13384" t="s">
        <v>29416</v>
      </c>
      <c r="N13384" t="s">
        <v>3934</v>
      </c>
      <c r="O13384" t="s">
        <v>31</v>
      </c>
      <c r="P13384" t="str">
        <f>"15102"</f>
        <v>15102</v>
      </c>
    </row>
    <row r="13385" spans="1:16" x14ac:dyDescent="0.25">
      <c r="A13385" t="str">
        <f>"1190035S00267    00"</f>
        <v>1190035S00267    00</v>
      </c>
      <c r="B13385" t="s">
        <v>29417</v>
      </c>
      <c r="C13385" t="s">
        <v>29418</v>
      </c>
      <c r="D13385" t="s">
        <v>20</v>
      </c>
      <c r="E13385" t="s">
        <v>39</v>
      </c>
      <c r="F13385">
        <v>0</v>
      </c>
      <c r="G13385">
        <v>0</v>
      </c>
      <c r="H13385">
        <v>7</v>
      </c>
      <c r="I13385" s="3">
        <v>8012.68</v>
      </c>
      <c r="J13385" s="3">
        <v>2215.75</v>
      </c>
      <c r="L13385">
        <v>1923</v>
      </c>
      <c r="M13385" t="s">
        <v>29419</v>
      </c>
      <c r="N13385" t="s">
        <v>8912</v>
      </c>
      <c r="O13385" t="s">
        <v>495</v>
      </c>
      <c r="P13385" t="str">
        <f>"92109"</f>
        <v>92109</v>
      </c>
    </row>
    <row r="13386" spans="1:16" x14ac:dyDescent="0.25">
      <c r="A13386" t="str">
        <f>"1190035S00288    00"</f>
        <v>1190035S00288    00</v>
      </c>
      <c r="B13386" t="s">
        <v>29420</v>
      </c>
      <c r="C13386" t="s">
        <v>29421</v>
      </c>
      <c r="D13386" t="s">
        <v>20</v>
      </c>
      <c r="E13386" t="s">
        <v>39</v>
      </c>
      <c r="F13386">
        <v>0</v>
      </c>
      <c r="G13386">
        <v>0</v>
      </c>
      <c r="H13386">
        <v>2</v>
      </c>
      <c r="I13386" s="3">
        <v>2044.24</v>
      </c>
      <c r="J13386" s="3">
        <v>0</v>
      </c>
      <c r="L13386">
        <v>1829</v>
      </c>
      <c r="M13386" t="s">
        <v>3522</v>
      </c>
      <c r="N13386" t="s">
        <v>30</v>
      </c>
      <c r="O13386" t="s">
        <v>31</v>
      </c>
      <c r="P13386" t="str">
        <f>"15226"</f>
        <v>15226</v>
      </c>
    </row>
    <row r="13387" spans="1:16" x14ac:dyDescent="0.25">
      <c r="A13387" t="str">
        <f>"1190035S00291    00"</f>
        <v>1190035S00291    00</v>
      </c>
      <c r="B13387" t="s">
        <v>29422</v>
      </c>
      <c r="C13387" t="s">
        <v>29423</v>
      </c>
      <c r="D13387" t="s">
        <v>20</v>
      </c>
      <c r="E13387" t="s">
        <v>39</v>
      </c>
      <c r="F13387">
        <v>0</v>
      </c>
      <c r="G13387">
        <v>0</v>
      </c>
      <c r="H13387">
        <v>9</v>
      </c>
      <c r="I13387" s="3">
        <v>9969.7199999999993</v>
      </c>
      <c r="J13387" s="3">
        <v>3841.33</v>
      </c>
      <c r="L13387">
        <v>1203</v>
      </c>
      <c r="M13387" t="s">
        <v>29424</v>
      </c>
      <c r="N13387" t="s">
        <v>30</v>
      </c>
      <c r="O13387" t="s">
        <v>31</v>
      </c>
      <c r="P13387" t="str">
        <f>"15216"</f>
        <v>15216</v>
      </c>
    </row>
    <row r="13388" spans="1:16" x14ac:dyDescent="0.25">
      <c r="A13388" t="str">
        <f>"1190035S00292    00"</f>
        <v>1190035S00292    00</v>
      </c>
      <c r="B13388" t="s">
        <v>29425</v>
      </c>
      <c r="C13388" t="s">
        <v>29426</v>
      </c>
      <c r="D13388" t="s">
        <v>20</v>
      </c>
      <c r="E13388" t="s">
        <v>39</v>
      </c>
      <c r="F13388">
        <v>0</v>
      </c>
      <c r="G13388">
        <v>0</v>
      </c>
      <c r="H13388">
        <v>1</v>
      </c>
      <c r="I13388" s="3">
        <v>148.66999999999999</v>
      </c>
      <c r="J13388" s="3">
        <v>0</v>
      </c>
      <c r="L13388">
        <v>2116</v>
      </c>
      <c r="M13388" t="s">
        <v>24065</v>
      </c>
      <c r="N13388" t="s">
        <v>30</v>
      </c>
      <c r="O13388" t="s">
        <v>31</v>
      </c>
      <c r="P13388" t="str">
        <f>"15203"</f>
        <v>15203</v>
      </c>
    </row>
    <row r="13389" spans="1:16" x14ac:dyDescent="0.25">
      <c r="A13389" t="str">
        <f>"1190035S00294    00"</f>
        <v>1190035S00294    00</v>
      </c>
      <c r="B13389" t="s">
        <v>29425</v>
      </c>
      <c r="C13389" t="s">
        <v>29426</v>
      </c>
      <c r="D13389" t="s">
        <v>20</v>
      </c>
      <c r="E13389" t="s">
        <v>39</v>
      </c>
      <c r="F13389">
        <v>0</v>
      </c>
      <c r="G13389">
        <v>0</v>
      </c>
      <c r="H13389">
        <v>3</v>
      </c>
      <c r="I13389" s="3">
        <v>301.24</v>
      </c>
      <c r="J13389" s="3">
        <v>1.17</v>
      </c>
      <c r="L13389">
        <v>2116</v>
      </c>
      <c r="M13389" t="s">
        <v>24065</v>
      </c>
      <c r="N13389" t="s">
        <v>30</v>
      </c>
      <c r="O13389" t="s">
        <v>31</v>
      </c>
      <c r="P13389" t="str">
        <f>"15203"</f>
        <v>15203</v>
      </c>
    </row>
    <row r="13390" spans="1:16" x14ac:dyDescent="0.25">
      <c r="A13390" t="str">
        <f>"1190061A00072    00"</f>
        <v>1190061A00072    00</v>
      </c>
      <c r="B13390" t="s">
        <v>28842</v>
      </c>
      <c r="C13390" t="s">
        <v>29427</v>
      </c>
      <c r="E13390" t="s">
        <v>39</v>
      </c>
      <c r="F13390">
        <v>0</v>
      </c>
      <c r="G13390">
        <v>0</v>
      </c>
      <c r="H13390">
        <v>1</v>
      </c>
      <c r="I13390" s="3">
        <v>897.9</v>
      </c>
      <c r="J13390" s="3">
        <v>0</v>
      </c>
      <c r="K13390" t="s">
        <v>28844</v>
      </c>
      <c r="L13390">
        <v>722</v>
      </c>
      <c r="M13390" t="s">
        <v>28659</v>
      </c>
      <c r="N13390" t="s">
        <v>30</v>
      </c>
      <c r="O13390" t="s">
        <v>31</v>
      </c>
      <c r="P13390" t="str">
        <f t="shared" ref="P13390:P13397" si="166">"15226"</f>
        <v>15226</v>
      </c>
    </row>
    <row r="13391" spans="1:16" x14ac:dyDescent="0.25">
      <c r="A13391" t="str">
        <f>"1190061A00157    00"</f>
        <v>1190061A00157    00</v>
      </c>
      <c r="B13391" t="s">
        <v>29428</v>
      </c>
      <c r="C13391" t="s">
        <v>29429</v>
      </c>
      <c r="D13391" t="s">
        <v>20</v>
      </c>
      <c r="E13391" t="s">
        <v>39</v>
      </c>
      <c r="F13391">
        <v>0</v>
      </c>
      <c r="G13391">
        <v>0</v>
      </c>
      <c r="H13391">
        <v>2</v>
      </c>
      <c r="I13391" s="3">
        <v>913.44</v>
      </c>
      <c r="J13391" s="3">
        <v>0</v>
      </c>
      <c r="L13391">
        <v>656</v>
      </c>
      <c r="M13391" t="s">
        <v>29430</v>
      </c>
      <c r="N13391" t="s">
        <v>30</v>
      </c>
      <c r="O13391" t="s">
        <v>31</v>
      </c>
      <c r="P13391" t="str">
        <f t="shared" si="166"/>
        <v>15226</v>
      </c>
    </row>
    <row r="13392" spans="1:16" x14ac:dyDescent="0.25">
      <c r="A13392" t="str">
        <f>"1190061A00199    00"</f>
        <v>1190061A00199    00</v>
      </c>
      <c r="B13392" t="s">
        <v>29431</v>
      </c>
      <c r="C13392" t="s">
        <v>29432</v>
      </c>
      <c r="E13392" t="s">
        <v>39</v>
      </c>
      <c r="F13392">
        <v>0</v>
      </c>
      <c r="G13392">
        <v>0</v>
      </c>
      <c r="H13392">
        <v>1</v>
      </c>
      <c r="I13392" s="3">
        <v>1382.1</v>
      </c>
      <c r="J13392" s="3">
        <v>679.5</v>
      </c>
      <c r="L13392">
        <v>601</v>
      </c>
      <c r="M13392" t="s">
        <v>29433</v>
      </c>
      <c r="N13392" t="s">
        <v>30</v>
      </c>
      <c r="O13392" t="s">
        <v>31</v>
      </c>
      <c r="P13392" t="str">
        <f t="shared" si="166"/>
        <v>15226</v>
      </c>
    </row>
    <row r="13393" spans="1:16" x14ac:dyDescent="0.25">
      <c r="A13393" t="str">
        <f>"1190061A00238    00"</f>
        <v>1190061A00238    00</v>
      </c>
      <c r="B13393" t="s">
        <v>29434</v>
      </c>
      <c r="C13393" t="s">
        <v>29435</v>
      </c>
      <c r="D13393" t="s">
        <v>20</v>
      </c>
      <c r="E13393" t="s">
        <v>39</v>
      </c>
      <c r="F13393">
        <v>0</v>
      </c>
      <c r="G13393">
        <v>0</v>
      </c>
      <c r="H13393">
        <v>2</v>
      </c>
      <c r="I13393" s="3">
        <v>2257.38</v>
      </c>
      <c r="J13393" s="3">
        <v>0</v>
      </c>
      <c r="L13393">
        <v>630</v>
      </c>
      <c r="M13393" t="s">
        <v>29436</v>
      </c>
      <c r="N13393" t="s">
        <v>30</v>
      </c>
      <c r="O13393" t="s">
        <v>31</v>
      </c>
      <c r="P13393" t="str">
        <f t="shared" si="166"/>
        <v>15226</v>
      </c>
    </row>
    <row r="13394" spans="1:16" x14ac:dyDescent="0.25">
      <c r="A13394" t="str">
        <f>"1190061B00008    00"</f>
        <v>1190061B00008    00</v>
      </c>
      <c r="B13394" t="s">
        <v>29437</v>
      </c>
      <c r="C13394" t="s">
        <v>29438</v>
      </c>
      <c r="D13394" t="s">
        <v>20</v>
      </c>
      <c r="E13394" t="s">
        <v>39</v>
      </c>
      <c r="F13394">
        <v>0</v>
      </c>
      <c r="G13394">
        <v>0</v>
      </c>
      <c r="H13394">
        <v>3</v>
      </c>
      <c r="I13394" s="3">
        <v>2977.79</v>
      </c>
      <c r="J13394" s="3">
        <v>210.34</v>
      </c>
      <c r="L13394">
        <v>717</v>
      </c>
      <c r="M13394" t="s">
        <v>29439</v>
      </c>
      <c r="N13394" t="s">
        <v>30</v>
      </c>
      <c r="O13394" t="s">
        <v>31</v>
      </c>
      <c r="P13394" t="str">
        <f t="shared" si="166"/>
        <v>15226</v>
      </c>
    </row>
    <row r="13395" spans="1:16" x14ac:dyDescent="0.25">
      <c r="A13395" t="str">
        <f>"1190061B00071    00"</f>
        <v>1190061B00071    00</v>
      </c>
      <c r="B13395" t="s">
        <v>29440</v>
      </c>
      <c r="C13395" t="s">
        <v>29441</v>
      </c>
      <c r="D13395" t="s">
        <v>20</v>
      </c>
      <c r="E13395" t="s">
        <v>39</v>
      </c>
      <c r="F13395">
        <v>0</v>
      </c>
      <c r="G13395">
        <v>0</v>
      </c>
      <c r="H13395">
        <v>1</v>
      </c>
      <c r="I13395" s="3">
        <v>960.63</v>
      </c>
      <c r="J13395" s="3">
        <v>0</v>
      </c>
      <c r="L13395">
        <v>756</v>
      </c>
      <c r="M13395" t="s">
        <v>29433</v>
      </c>
      <c r="N13395" t="s">
        <v>30</v>
      </c>
      <c r="O13395" t="s">
        <v>31</v>
      </c>
      <c r="P13395" t="str">
        <f t="shared" si="166"/>
        <v>15226</v>
      </c>
    </row>
    <row r="13396" spans="1:16" x14ac:dyDescent="0.25">
      <c r="A13396" t="str">
        <f>"1190061B00072    00"</f>
        <v>1190061B00072    00</v>
      </c>
      <c r="B13396" t="s">
        <v>29442</v>
      </c>
      <c r="C13396" t="s">
        <v>29443</v>
      </c>
      <c r="D13396" t="s">
        <v>20</v>
      </c>
      <c r="E13396" t="s">
        <v>39</v>
      </c>
      <c r="F13396">
        <v>0</v>
      </c>
      <c r="G13396">
        <v>0</v>
      </c>
      <c r="H13396">
        <v>15</v>
      </c>
      <c r="I13396" s="3">
        <v>5173.0200000000004</v>
      </c>
      <c r="J13396" s="3">
        <v>3237.11</v>
      </c>
      <c r="K13396" t="s">
        <v>29444</v>
      </c>
      <c r="L13396">
        <v>754</v>
      </c>
      <c r="M13396" t="s">
        <v>29433</v>
      </c>
      <c r="N13396" t="s">
        <v>30</v>
      </c>
      <c r="O13396" t="s">
        <v>31</v>
      </c>
      <c r="P13396" t="str">
        <f t="shared" si="166"/>
        <v>15226</v>
      </c>
    </row>
    <row r="13397" spans="1:16" x14ac:dyDescent="0.25">
      <c r="A13397" t="str">
        <f>"1190061B00079    00"</f>
        <v>1190061B00079    00</v>
      </c>
      <c r="B13397" t="s">
        <v>29445</v>
      </c>
      <c r="C13397" t="s">
        <v>29446</v>
      </c>
      <c r="E13397" t="s">
        <v>39</v>
      </c>
      <c r="F13397">
        <v>0</v>
      </c>
      <c r="G13397">
        <v>0</v>
      </c>
      <c r="H13397">
        <v>1</v>
      </c>
      <c r="I13397" s="3">
        <v>1034.23</v>
      </c>
      <c r="J13397" s="3">
        <v>0</v>
      </c>
      <c r="L13397">
        <v>740</v>
      </c>
      <c r="M13397" t="s">
        <v>29433</v>
      </c>
      <c r="N13397" t="s">
        <v>30</v>
      </c>
      <c r="O13397" t="s">
        <v>31</v>
      </c>
      <c r="P13397" t="str">
        <f t="shared" si="166"/>
        <v>15226</v>
      </c>
    </row>
    <row r="13398" spans="1:16" x14ac:dyDescent="0.25">
      <c r="A13398" t="str">
        <f>"1190061B00094    00"</f>
        <v>1190061B00094    00</v>
      </c>
      <c r="B13398" t="s">
        <v>24076</v>
      </c>
      <c r="C13398" t="s">
        <v>29447</v>
      </c>
      <c r="D13398" t="s">
        <v>20</v>
      </c>
      <c r="E13398" t="s">
        <v>39</v>
      </c>
      <c r="F13398">
        <v>0</v>
      </c>
      <c r="G13398">
        <v>0</v>
      </c>
      <c r="H13398">
        <v>2</v>
      </c>
      <c r="I13398" s="3">
        <v>2058.48</v>
      </c>
      <c r="J13398" s="3">
        <v>0</v>
      </c>
      <c r="K13398" t="s">
        <v>1802</v>
      </c>
      <c r="L13398">
        <v>901</v>
      </c>
      <c r="M13398" t="s">
        <v>1503</v>
      </c>
      <c r="N13398" t="s">
        <v>494</v>
      </c>
      <c r="O13398" t="s">
        <v>495</v>
      </c>
      <c r="P13398" t="str">
        <f>"91768"</f>
        <v>91768</v>
      </c>
    </row>
    <row r="13399" spans="1:16" x14ac:dyDescent="0.25">
      <c r="A13399" t="str">
        <f>"1190061B00097    00"</f>
        <v>1190061B00097    00</v>
      </c>
      <c r="B13399" t="s">
        <v>29448</v>
      </c>
      <c r="C13399" t="s">
        <v>29449</v>
      </c>
      <c r="D13399" t="s">
        <v>20</v>
      </c>
      <c r="E13399" t="s">
        <v>39</v>
      </c>
      <c r="F13399">
        <v>0</v>
      </c>
      <c r="G13399">
        <v>0</v>
      </c>
      <c r="H13399">
        <v>1</v>
      </c>
      <c r="I13399" s="3">
        <v>250</v>
      </c>
      <c r="J13399" s="3">
        <v>0</v>
      </c>
      <c r="L13399">
        <v>702</v>
      </c>
      <c r="M13399" t="s">
        <v>29433</v>
      </c>
      <c r="N13399" t="s">
        <v>30</v>
      </c>
      <c r="O13399" t="s">
        <v>31</v>
      </c>
      <c r="P13399" t="str">
        <f t="shared" ref="P13399:P13406" si="167">"15226"</f>
        <v>15226</v>
      </c>
    </row>
    <row r="13400" spans="1:16" x14ac:dyDescent="0.25">
      <c r="A13400" t="str">
        <f>"1190061B00098    00"</f>
        <v>1190061B00098    00</v>
      </c>
      <c r="B13400" t="s">
        <v>29450</v>
      </c>
      <c r="C13400" t="s">
        <v>29451</v>
      </c>
      <c r="E13400" t="s">
        <v>39</v>
      </c>
      <c r="F13400">
        <v>0</v>
      </c>
      <c r="G13400">
        <v>0</v>
      </c>
      <c r="H13400">
        <v>1</v>
      </c>
      <c r="I13400" s="3">
        <v>626.4</v>
      </c>
      <c r="J13400" s="3">
        <v>0</v>
      </c>
      <c r="L13400">
        <v>700</v>
      </c>
      <c r="M13400" t="s">
        <v>29433</v>
      </c>
      <c r="N13400" t="s">
        <v>30</v>
      </c>
      <c r="O13400" t="s">
        <v>31</v>
      </c>
      <c r="P13400" t="str">
        <f t="shared" si="167"/>
        <v>15226</v>
      </c>
    </row>
    <row r="13401" spans="1:16" x14ac:dyDescent="0.25">
      <c r="A13401" t="str">
        <f>"1190061B00100    00"</f>
        <v>1190061B00100    00</v>
      </c>
      <c r="B13401" t="s">
        <v>29452</v>
      </c>
      <c r="C13401" t="s">
        <v>29453</v>
      </c>
      <c r="E13401" t="s">
        <v>39</v>
      </c>
      <c r="F13401">
        <v>0</v>
      </c>
      <c r="G13401">
        <v>0</v>
      </c>
      <c r="H13401">
        <v>8</v>
      </c>
      <c r="I13401" s="3">
        <v>1627.23</v>
      </c>
      <c r="J13401" s="3">
        <v>603.02</v>
      </c>
      <c r="L13401">
        <v>701</v>
      </c>
      <c r="M13401" t="s">
        <v>29433</v>
      </c>
      <c r="N13401" t="s">
        <v>30</v>
      </c>
      <c r="O13401" t="s">
        <v>31</v>
      </c>
      <c r="P13401" t="str">
        <f t="shared" si="167"/>
        <v>15226</v>
      </c>
    </row>
    <row r="13402" spans="1:16" x14ac:dyDescent="0.25">
      <c r="A13402" t="str">
        <f>"1190061B00118    00"</f>
        <v>1190061B00118    00</v>
      </c>
      <c r="B13402" t="s">
        <v>29454</v>
      </c>
      <c r="C13402" t="s">
        <v>29455</v>
      </c>
      <c r="D13402" t="s">
        <v>20</v>
      </c>
      <c r="E13402" t="s">
        <v>39</v>
      </c>
      <c r="F13402">
        <v>0</v>
      </c>
      <c r="G13402">
        <v>0</v>
      </c>
      <c r="H13402">
        <v>16</v>
      </c>
      <c r="I13402" s="3">
        <v>9800.32</v>
      </c>
      <c r="J13402" s="3">
        <v>7331.26</v>
      </c>
      <c r="L13402">
        <v>755</v>
      </c>
      <c r="M13402" t="s">
        <v>29433</v>
      </c>
      <c r="N13402" t="s">
        <v>30</v>
      </c>
      <c r="O13402" t="s">
        <v>31</v>
      </c>
      <c r="P13402" t="str">
        <f t="shared" si="167"/>
        <v>15226</v>
      </c>
    </row>
    <row r="13403" spans="1:16" x14ac:dyDescent="0.25">
      <c r="A13403" t="str">
        <f>"1190061B00231    00"</f>
        <v>1190061B00231    00</v>
      </c>
      <c r="B13403" t="s">
        <v>29456</v>
      </c>
      <c r="C13403" t="s">
        <v>29457</v>
      </c>
      <c r="D13403" t="s">
        <v>20</v>
      </c>
      <c r="E13403" t="s">
        <v>39</v>
      </c>
      <c r="F13403">
        <v>0</v>
      </c>
      <c r="G13403">
        <v>0</v>
      </c>
      <c r="H13403">
        <v>4</v>
      </c>
      <c r="I13403" s="3">
        <v>4973.74</v>
      </c>
      <c r="J13403" s="3">
        <v>519.58000000000004</v>
      </c>
      <c r="K13403" t="s">
        <v>29458</v>
      </c>
      <c r="L13403">
        <v>813</v>
      </c>
      <c r="M13403" t="s">
        <v>29433</v>
      </c>
      <c r="N13403" t="s">
        <v>30</v>
      </c>
      <c r="O13403" t="s">
        <v>31</v>
      </c>
      <c r="P13403" t="str">
        <f t="shared" si="167"/>
        <v>15226</v>
      </c>
    </row>
    <row r="13404" spans="1:16" x14ac:dyDescent="0.25">
      <c r="A13404" t="str">
        <f>"1190061C00088    00"</f>
        <v>1190061C00088    00</v>
      </c>
      <c r="B13404" t="s">
        <v>29459</v>
      </c>
      <c r="C13404" t="s">
        <v>29460</v>
      </c>
      <c r="D13404" t="s">
        <v>20</v>
      </c>
      <c r="E13404" t="s">
        <v>39</v>
      </c>
      <c r="F13404">
        <v>0</v>
      </c>
      <c r="G13404">
        <v>0</v>
      </c>
      <c r="H13404">
        <v>1</v>
      </c>
      <c r="I13404" s="3">
        <v>673.44</v>
      </c>
      <c r="J13404" s="3">
        <v>0</v>
      </c>
      <c r="L13404">
        <v>880</v>
      </c>
      <c r="M13404" t="s">
        <v>29433</v>
      </c>
      <c r="N13404" t="s">
        <v>30</v>
      </c>
      <c r="O13404" t="s">
        <v>31</v>
      </c>
      <c r="P13404" t="str">
        <f t="shared" si="167"/>
        <v>15226</v>
      </c>
    </row>
    <row r="13405" spans="1:16" x14ac:dyDescent="0.25">
      <c r="A13405" t="str">
        <f>"1190061C00118    00"</f>
        <v>1190061C00118    00</v>
      </c>
      <c r="B13405" t="s">
        <v>29461</v>
      </c>
      <c r="C13405" t="s">
        <v>29462</v>
      </c>
      <c r="D13405" t="s">
        <v>20</v>
      </c>
      <c r="E13405" t="s">
        <v>39</v>
      </c>
      <c r="F13405">
        <v>0</v>
      </c>
      <c r="G13405">
        <v>0</v>
      </c>
      <c r="H13405">
        <v>3</v>
      </c>
      <c r="I13405" s="3">
        <v>3972.74</v>
      </c>
      <c r="J13405" s="3">
        <v>276.67</v>
      </c>
      <c r="L13405">
        <v>849</v>
      </c>
      <c r="M13405" t="s">
        <v>29433</v>
      </c>
      <c r="N13405" t="s">
        <v>30</v>
      </c>
      <c r="O13405" t="s">
        <v>31</v>
      </c>
      <c r="P13405" t="str">
        <f t="shared" si="167"/>
        <v>15226</v>
      </c>
    </row>
    <row r="13406" spans="1:16" x14ac:dyDescent="0.25">
      <c r="A13406" t="str">
        <f>"1190061C00199    00"</f>
        <v>1190061C00199    00</v>
      </c>
      <c r="B13406" t="s">
        <v>29461</v>
      </c>
      <c r="C13406" t="s">
        <v>29443</v>
      </c>
      <c r="D13406" t="s">
        <v>20</v>
      </c>
      <c r="E13406" t="s">
        <v>39</v>
      </c>
      <c r="F13406">
        <v>0</v>
      </c>
      <c r="G13406">
        <v>0</v>
      </c>
      <c r="H13406">
        <v>3</v>
      </c>
      <c r="I13406" s="3">
        <v>377.4</v>
      </c>
      <c r="J13406" s="3">
        <v>25.16</v>
      </c>
      <c r="L13406">
        <v>849</v>
      </c>
      <c r="M13406" t="s">
        <v>29433</v>
      </c>
      <c r="N13406" t="s">
        <v>30</v>
      </c>
      <c r="O13406" t="s">
        <v>31</v>
      </c>
      <c r="P13406" t="str">
        <f t="shared" si="167"/>
        <v>15226</v>
      </c>
    </row>
    <row r="13407" spans="1:16" x14ac:dyDescent="0.25">
      <c r="A13407" t="str">
        <f>"1190061C00241    00"</f>
        <v>1190061C00241    00</v>
      </c>
      <c r="B13407" t="s">
        <v>29463</v>
      </c>
      <c r="C13407" t="s">
        <v>29443</v>
      </c>
      <c r="D13407" t="s">
        <v>20</v>
      </c>
      <c r="E13407" t="s">
        <v>39</v>
      </c>
      <c r="F13407">
        <v>0</v>
      </c>
      <c r="G13407">
        <v>0</v>
      </c>
      <c r="H13407">
        <v>5</v>
      </c>
      <c r="I13407" s="3">
        <v>318.56</v>
      </c>
      <c r="J13407" s="3">
        <v>56.41</v>
      </c>
      <c r="K13407" t="s">
        <v>29464</v>
      </c>
      <c r="L13407">
        <v>1005</v>
      </c>
      <c r="M13407" t="s">
        <v>29465</v>
      </c>
      <c r="N13407" t="s">
        <v>3934</v>
      </c>
      <c r="O13407" t="s">
        <v>31</v>
      </c>
      <c r="P13407" t="str">
        <f>"15102"</f>
        <v>15102</v>
      </c>
    </row>
    <row r="13408" spans="1:16" x14ac:dyDescent="0.25">
      <c r="A13408" t="str">
        <f>"1190061D00060    00"</f>
        <v>1190061D00060    00</v>
      </c>
      <c r="B13408" t="s">
        <v>29466</v>
      </c>
      <c r="C13408" t="s">
        <v>29467</v>
      </c>
      <c r="D13408" t="s">
        <v>20</v>
      </c>
      <c r="E13408" t="s">
        <v>39</v>
      </c>
      <c r="F13408">
        <v>0</v>
      </c>
      <c r="G13408">
        <v>0</v>
      </c>
      <c r="H13408">
        <v>19</v>
      </c>
      <c r="I13408" s="3">
        <v>3258.66</v>
      </c>
      <c r="J13408" s="3">
        <v>2083.52</v>
      </c>
      <c r="L13408">
        <v>1510</v>
      </c>
      <c r="M13408" t="s">
        <v>24723</v>
      </c>
      <c r="N13408" t="s">
        <v>30</v>
      </c>
      <c r="O13408" t="s">
        <v>31</v>
      </c>
      <c r="P13408" t="str">
        <f>"15226"</f>
        <v>15226</v>
      </c>
    </row>
    <row r="13409" spans="1:16" x14ac:dyDescent="0.25">
      <c r="A13409" t="str">
        <f>"1190061D00074    00"</f>
        <v>1190061D00074    00</v>
      </c>
      <c r="B13409" t="s">
        <v>29466</v>
      </c>
      <c r="C13409" t="s">
        <v>29468</v>
      </c>
      <c r="D13409" t="s">
        <v>20</v>
      </c>
      <c r="E13409" t="s">
        <v>39</v>
      </c>
      <c r="F13409">
        <v>0</v>
      </c>
      <c r="G13409">
        <v>0</v>
      </c>
      <c r="H13409">
        <v>19</v>
      </c>
      <c r="I13409" s="3">
        <v>11192.51</v>
      </c>
      <c r="J13409" s="3">
        <v>10762.17</v>
      </c>
      <c r="L13409">
        <v>2307</v>
      </c>
      <c r="M13409" t="s">
        <v>29469</v>
      </c>
      <c r="N13409" t="s">
        <v>238</v>
      </c>
      <c r="O13409" t="s">
        <v>31</v>
      </c>
      <c r="P13409" t="str">
        <f>"15135"</f>
        <v>15135</v>
      </c>
    </row>
    <row r="13410" spans="1:16" x14ac:dyDescent="0.25">
      <c r="A13410" t="str">
        <f>"1190061D00083    00"</f>
        <v>1190061D00083    00</v>
      </c>
      <c r="B13410" t="s">
        <v>29470</v>
      </c>
      <c r="C13410" t="s">
        <v>29471</v>
      </c>
      <c r="D13410" t="s">
        <v>20</v>
      </c>
      <c r="E13410" t="s">
        <v>39</v>
      </c>
      <c r="F13410">
        <v>0</v>
      </c>
      <c r="G13410">
        <v>0</v>
      </c>
      <c r="H13410">
        <v>2</v>
      </c>
      <c r="I13410" s="3">
        <v>1836.64</v>
      </c>
      <c r="J13410" s="3">
        <v>0</v>
      </c>
      <c r="L13410">
        <v>924</v>
      </c>
      <c r="M13410" t="s">
        <v>29472</v>
      </c>
      <c r="N13410" t="s">
        <v>30</v>
      </c>
      <c r="O13410" t="s">
        <v>31</v>
      </c>
      <c r="P13410" t="str">
        <f>"15226"</f>
        <v>15226</v>
      </c>
    </row>
    <row r="13411" spans="1:16" x14ac:dyDescent="0.25">
      <c r="A13411" t="str">
        <f>"1190061D00096    00"</f>
        <v>1190061D00096    00</v>
      </c>
      <c r="B13411" t="s">
        <v>29473</v>
      </c>
      <c r="C13411" t="s">
        <v>29474</v>
      </c>
      <c r="D13411" t="s">
        <v>20</v>
      </c>
      <c r="E13411" t="s">
        <v>39</v>
      </c>
      <c r="F13411">
        <v>0</v>
      </c>
      <c r="G13411">
        <v>0</v>
      </c>
      <c r="H13411">
        <v>4</v>
      </c>
      <c r="I13411" s="3">
        <v>5024.46</v>
      </c>
      <c r="J13411" s="3">
        <v>335.88</v>
      </c>
      <c r="K13411" t="s">
        <v>29475</v>
      </c>
      <c r="L13411">
        <v>2101</v>
      </c>
      <c r="M13411" t="s">
        <v>3522</v>
      </c>
      <c r="N13411" t="s">
        <v>30</v>
      </c>
      <c r="O13411" t="s">
        <v>31</v>
      </c>
      <c r="P13411" t="str">
        <f>"15226"</f>
        <v>15226</v>
      </c>
    </row>
    <row r="13412" spans="1:16" x14ac:dyDescent="0.25">
      <c r="A13412" t="str">
        <f>"1190061E00025    00"</f>
        <v>1190061E00025    00</v>
      </c>
      <c r="B13412" t="s">
        <v>29476</v>
      </c>
      <c r="C13412" t="s">
        <v>29477</v>
      </c>
      <c r="D13412" t="s">
        <v>20</v>
      </c>
      <c r="E13412" t="s">
        <v>39</v>
      </c>
      <c r="F13412">
        <v>0</v>
      </c>
      <c r="G13412">
        <v>0</v>
      </c>
      <c r="H13412">
        <v>2</v>
      </c>
      <c r="I13412" s="3">
        <v>1986.2</v>
      </c>
      <c r="J13412" s="3">
        <v>0</v>
      </c>
      <c r="L13412">
        <v>620</v>
      </c>
      <c r="M13412" t="s">
        <v>29439</v>
      </c>
      <c r="N13412" t="s">
        <v>30</v>
      </c>
      <c r="O13412" t="s">
        <v>31</v>
      </c>
      <c r="P13412" t="str">
        <f>"15226"</f>
        <v>15226</v>
      </c>
    </row>
    <row r="13413" spans="1:16" x14ac:dyDescent="0.25">
      <c r="A13413" t="str">
        <f>"1190061E00052    00"</f>
        <v>1190061E00052    00</v>
      </c>
      <c r="B13413" t="s">
        <v>29478</v>
      </c>
      <c r="C13413" t="s">
        <v>29479</v>
      </c>
      <c r="D13413" t="s">
        <v>20</v>
      </c>
      <c r="E13413" t="s">
        <v>39</v>
      </c>
      <c r="F13413">
        <v>0</v>
      </c>
      <c r="G13413">
        <v>0</v>
      </c>
      <c r="H13413">
        <v>3</v>
      </c>
      <c r="I13413" s="3">
        <v>3324.85</v>
      </c>
      <c r="J13413" s="3">
        <v>87.35</v>
      </c>
      <c r="L13413">
        <v>465</v>
      </c>
      <c r="M13413" t="s">
        <v>29480</v>
      </c>
      <c r="N13413" t="s">
        <v>30</v>
      </c>
      <c r="O13413" t="s">
        <v>31</v>
      </c>
      <c r="P13413" t="str">
        <f>"15226"</f>
        <v>15226</v>
      </c>
    </row>
    <row r="13414" spans="1:16" x14ac:dyDescent="0.25">
      <c r="A13414" t="str">
        <f>"1190061E00069    00"</f>
        <v>1190061E00069    00</v>
      </c>
      <c r="B13414" t="s">
        <v>29481</v>
      </c>
      <c r="C13414" t="s">
        <v>29482</v>
      </c>
      <c r="D13414" t="s">
        <v>20</v>
      </c>
      <c r="E13414" t="s">
        <v>39</v>
      </c>
      <c r="F13414">
        <v>0</v>
      </c>
      <c r="G13414">
        <v>0</v>
      </c>
      <c r="H13414">
        <v>1</v>
      </c>
      <c r="I13414" s="3">
        <v>1545.77</v>
      </c>
      <c r="J13414" s="3">
        <v>0</v>
      </c>
      <c r="K13414" t="s">
        <v>29483</v>
      </c>
      <c r="L13414">
        <v>625</v>
      </c>
      <c r="M13414" t="s">
        <v>29480</v>
      </c>
      <c r="N13414" t="s">
        <v>30</v>
      </c>
      <c r="O13414" t="s">
        <v>31</v>
      </c>
      <c r="P13414" t="str">
        <f>"15228"</f>
        <v>15228</v>
      </c>
    </row>
    <row r="13415" spans="1:16" x14ac:dyDescent="0.25">
      <c r="A13415" t="str">
        <f>"1190061E00131    00"</f>
        <v>1190061E00131    00</v>
      </c>
      <c r="B13415" t="s">
        <v>29484</v>
      </c>
      <c r="C13415" t="s">
        <v>29485</v>
      </c>
      <c r="D13415" t="s">
        <v>20</v>
      </c>
      <c r="E13415" t="s">
        <v>39</v>
      </c>
      <c r="F13415">
        <v>0</v>
      </c>
      <c r="G13415">
        <v>0</v>
      </c>
      <c r="H13415">
        <v>19</v>
      </c>
      <c r="I13415" s="3">
        <v>537.5</v>
      </c>
      <c r="J13415" s="3">
        <v>554</v>
      </c>
      <c r="K13415" t="s">
        <v>29486</v>
      </c>
      <c r="L13415">
        <v>1896</v>
      </c>
      <c r="M13415" t="s">
        <v>29487</v>
      </c>
      <c r="N13415" t="s">
        <v>30</v>
      </c>
      <c r="O13415" t="s">
        <v>31</v>
      </c>
      <c r="P13415" t="str">
        <f>"15241"</f>
        <v>15241</v>
      </c>
    </row>
    <row r="13416" spans="1:16" x14ac:dyDescent="0.25">
      <c r="A13416" t="str">
        <f>"1190061E00182    00"</f>
        <v>1190061E00182    00</v>
      </c>
      <c r="B13416" t="s">
        <v>29488</v>
      </c>
      <c r="C13416" t="s">
        <v>29489</v>
      </c>
      <c r="E13416" t="s">
        <v>39</v>
      </c>
      <c r="F13416">
        <v>0</v>
      </c>
      <c r="G13416">
        <v>0</v>
      </c>
      <c r="H13416">
        <v>2</v>
      </c>
      <c r="I13416" s="3">
        <v>844.47</v>
      </c>
      <c r="J13416" s="3">
        <v>818.07</v>
      </c>
      <c r="L13416">
        <v>2671</v>
      </c>
      <c r="M13416" t="s">
        <v>29490</v>
      </c>
      <c r="N13416" t="s">
        <v>541</v>
      </c>
      <c r="O13416" t="s">
        <v>31</v>
      </c>
      <c r="P13416" t="str">
        <f>"15071"</f>
        <v>15071</v>
      </c>
    </row>
    <row r="13417" spans="1:16" x14ac:dyDescent="0.25">
      <c r="A13417" t="str">
        <f>"1190061E00185    00"</f>
        <v>1190061E00185    00</v>
      </c>
      <c r="B13417" t="s">
        <v>29491</v>
      </c>
      <c r="C13417" t="s">
        <v>29492</v>
      </c>
      <c r="D13417" t="s">
        <v>20</v>
      </c>
      <c r="E13417" t="s">
        <v>39</v>
      </c>
      <c r="F13417">
        <v>0</v>
      </c>
      <c r="G13417">
        <v>0</v>
      </c>
      <c r="H13417">
        <v>1</v>
      </c>
      <c r="I13417" s="3">
        <v>419.59</v>
      </c>
      <c r="J13417" s="3">
        <v>0</v>
      </c>
      <c r="L13417">
        <v>363</v>
      </c>
      <c r="M13417" t="s">
        <v>29493</v>
      </c>
      <c r="N13417" t="s">
        <v>30</v>
      </c>
      <c r="O13417" t="s">
        <v>31</v>
      </c>
      <c r="P13417" t="str">
        <f>"15226"</f>
        <v>15226</v>
      </c>
    </row>
    <row r="13418" spans="1:16" x14ac:dyDescent="0.25">
      <c r="A13418" t="str">
        <f>"1190061E00204    00"</f>
        <v>1190061E00204    00</v>
      </c>
      <c r="B13418" t="s">
        <v>29494</v>
      </c>
      <c r="C13418" t="s">
        <v>29495</v>
      </c>
      <c r="D13418" t="s">
        <v>20</v>
      </c>
      <c r="E13418" t="s">
        <v>39</v>
      </c>
      <c r="F13418">
        <v>0</v>
      </c>
      <c r="G13418">
        <v>0</v>
      </c>
      <c r="H13418">
        <v>7</v>
      </c>
      <c r="I13418" s="3">
        <v>4489.24</v>
      </c>
      <c r="J13418" s="3">
        <v>73.319999999999993</v>
      </c>
      <c r="L13418">
        <v>604</v>
      </c>
      <c r="M13418" t="s">
        <v>29496</v>
      </c>
      <c r="N13418" t="s">
        <v>30</v>
      </c>
      <c r="O13418" t="s">
        <v>31</v>
      </c>
      <c r="P13418" t="str">
        <f>"15226"</f>
        <v>15226</v>
      </c>
    </row>
    <row r="13419" spans="1:16" x14ac:dyDescent="0.25">
      <c r="A13419" t="str">
        <f>"1190061E00260    00"</f>
        <v>1190061E00260    00</v>
      </c>
      <c r="B13419" t="s">
        <v>29497</v>
      </c>
      <c r="C13419" t="s">
        <v>29498</v>
      </c>
      <c r="D13419" t="s">
        <v>20</v>
      </c>
      <c r="E13419" t="s">
        <v>39</v>
      </c>
      <c r="F13419">
        <v>0</v>
      </c>
      <c r="G13419">
        <v>0</v>
      </c>
      <c r="H13419">
        <v>15</v>
      </c>
      <c r="I13419" s="3">
        <v>17401.689999999999</v>
      </c>
      <c r="J13419" s="3">
        <v>11964.26</v>
      </c>
      <c r="L13419">
        <v>576</v>
      </c>
      <c r="M13419" t="s">
        <v>16918</v>
      </c>
      <c r="N13419" t="s">
        <v>30</v>
      </c>
      <c r="O13419" t="s">
        <v>31</v>
      </c>
      <c r="P13419" t="str">
        <f>"15226"</f>
        <v>15226</v>
      </c>
    </row>
    <row r="13420" spans="1:16" x14ac:dyDescent="0.25">
      <c r="A13420" t="str">
        <f>"1190061F00044    00"</f>
        <v>1190061F00044    00</v>
      </c>
      <c r="B13420" t="s">
        <v>29499</v>
      </c>
      <c r="C13420" t="s">
        <v>29500</v>
      </c>
      <c r="D13420" t="s">
        <v>20</v>
      </c>
      <c r="E13420" t="s">
        <v>39</v>
      </c>
      <c r="F13420">
        <v>0</v>
      </c>
      <c r="G13420">
        <v>0</v>
      </c>
      <c r="H13420">
        <v>1</v>
      </c>
      <c r="I13420" s="3">
        <v>794</v>
      </c>
      <c r="J13420" s="3">
        <v>0</v>
      </c>
      <c r="L13420">
        <v>1776</v>
      </c>
      <c r="M13420" t="s">
        <v>29501</v>
      </c>
      <c r="N13420" t="s">
        <v>26661</v>
      </c>
      <c r="O13420" t="s">
        <v>31</v>
      </c>
      <c r="P13420" t="str">
        <f>"15129"</f>
        <v>15129</v>
      </c>
    </row>
    <row r="13421" spans="1:16" x14ac:dyDescent="0.25">
      <c r="A13421" t="str">
        <f>"1190061F00074    00"</f>
        <v>1190061F00074    00</v>
      </c>
      <c r="B13421" t="s">
        <v>29502</v>
      </c>
      <c r="C13421" t="s">
        <v>29485</v>
      </c>
      <c r="D13421" t="s">
        <v>20</v>
      </c>
      <c r="E13421" t="s">
        <v>39</v>
      </c>
      <c r="F13421">
        <v>0</v>
      </c>
      <c r="G13421">
        <v>0</v>
      </c>
      <c r="H13421">
        <v>2</v>
      </c>
      <c r="I13421" s="3">
        <v>217.39</v>
      </c>
      <c r="J13421" s="3">
        <v>0</v>
      </c>
      <c r="K13421" t="s">
        <v>1135</v>
      </c>
      <c r="L13421">
        <v>3001</v>
      </c>
      <c r="M13421" t="s">
        <v>330</v>
      </c>
      <c r="N13421" t="s">
        <v>331</v>
      </c>
      <c r="O13421" t="s">
        <v>108</v>
      </c>
      <c r="P13421" t="str">
        <f>"75063"</f>
        <v>75063</v>
      </c>
    </row>
    <row r="13422" spans="1:16" x14ac:dyDescent="0.25">
      <c r="A13422" t="str">
        <f>"1190061F00089    00"</f>
        <v>1190061F00089    00</v>
      </c>
      <c r="B13422" t="s">
        <v>29503</v>
      </c>
      <c r="C13422" t="s">
        <v>29504</v>
      </c>
      <c r="D13422" t="s">
        <v>20</v>
      </c>
      <c r="E13422" t="s">
        <v>39</v>
      </c>
      <c r="F13422">
        <v>0</v>
      </c>
      <c r="G13422">
        <v>0</v>
      </c>
      <c r="H13422">
        <v>1</v>
      </c>
      <c r="I13422" s="3">
        <v>1816.6</v>
      </c>
      <c r="J13422" s="3">
        <v>0</v>
      </c>
      <c r="L13422">
        <v>823</v>
      </c>
      <c r="M13422" t="s">
        <v>29480</v>
      </c>
      <c r="N13422" t="s">
        <v>30</v>
      </c>
      <c r="O13422" t="s">
        <v>31</v>
      </c>
      <c r="P13422" t="str">
        <f>"15226"</f>
        <v>15226</v>
      </c>
    </row>
    <row r="13423" spans="1:16" x14ac:dyDescent="0.25">
      <c r="A13423" t="str">
        <f>"1190061F00096    00"</f>
        <v>1190061F00096    00</v>
      </c>
      <c r="B13423" t="s">
        <v>29505</v>
      </c>
      <c r="C13423" t="s">
        <v>29485</v>
      </c>
      <c r="D13423" t="s">
        <v>20</v>
      </c>
      <c r="E13423" t="s">
        <v>39</v>
      </c>
      <c r="F13423">
        <v>0</v>
      </c>
      <c r="G13423">
        <v>0</v>
      </c>
      <c r="H13423">
        <v>10</v>
      </c>
      <c r="I13423" s="3">
        <v>827.89</v>
      </c>
      <c r="J13423" s="3">
        <v>386.68</v>
      </c>
      <c r="L13423">
        <v>430</v>
      </c>
      <c r="M13423" t="s">
        <v>29480</v>
      </c>
      <c r="N13423" t="s">
        <v>30</v>
      </c>
      <c r="O13423" t="s">
        <v>31</v>
      </c>
      <c r="P13423" t="str">
        <f>"15226"</f>
        <v>15226</v>
      </c>
    </row>
    <row r="13424" spans="1:16" x14ac:dyDescent="0.25">
      <c r="A13424" t="str">
        <f>"1190061F00132    00"</f>
        <v>1190061F00132    00</v>
      </c>
      <c r="B13424" t="s">
        <v>29506</v>
      </c>
      <c r="C13424" t="s">
        <v>29507</v>
      </c>
      <c r="D13424" t="s">
        <v>20</v>
      </c>
      <c r="E13424" t="s">
        <v>39</v>
      </c>
      <c r="F13424">
        <v>0</v>
      </c>
      <c r="G13424">
        <v>0</v>
      </c>
      <c r="H13424">
        <v>2</v>
      </c>
      <c r="I13424" s="3">
        <v>883.68</v>
      </c>
      <c r="J13424" s="3">
        <v>543.84</v>
      </c>
      <c r="L13424">
        <v>738</v>
      </c>
      <c r="M13424" t="s">
        <v>29480</v>
      </c>
      <c r="N13424" t="s">
        <v>30</v>
      </c>
      <c r="O13424" t="s">
        <v>31</v>
      </c>
      <c r="P13424" t="str">
        <f>"15226"</f>
        <v>15226</v>
      </c>
    </row>
    <row r="13425" spans="1:16" x14ac:dyDescent="0.25">
      <c r="A13425" t="str">
        <f>"1190061F00175    00"</f>
        <v>1190061F00175    00</v>
      </c>
      <c r="B13425" t="s">
        <v>29508</v>
      </c>
      <c r="C13425" t="s">
        <v>29468</v>
      </c>
      <c r="E13425" t="s">
        <v>39</v>
      </c>
      <c r="F13425">
        <v>0</v>
      </c>
      <c r="G13425">
        <v>0</v>
      </c>
      <c r="H13425">
        <v>1</v>
      </c>
      <c r="I13425" s="3">
        <v>16.7</v>
      </c>
      <c r="J13425" s="3">
        <v>11.55</v>
      </c>
      <c r="L13425">
        <v>1738</v>
      </c>
      <c r="M13425" t="s">
        <v>24723</v>
      </c>
      <c r="N13425" t="s">
        <v>30</v>
      </c>
      <c r="O13425" t="s">
        <v>31</v>
      </c>
      <c r="P13425" t="str">
        <f>"15226"</f>
        <v>15226</v>
      </c>
    </row>
    <row r="13426" spans="1:16" x14ac:dyDescent="0.25">
      <c r="A13426" t="str">
        <f>"1190061F00202    00"</f>
        <v>1190061F00202    00</v>
      </c>
      <c r="B13426" t="s">
        <v>29509</v>
      </c>
      <c r="C13426" t="s">
        <v>29510</v>
      </c>
      <c r="D13426" t="s">
        <v>20</v>
      </c>
      <c r="E13426" t="s">
        <v>39</v>
      </c>
      <c r="F13426">
        <v>0</v>
      </c>
      <c r="G13426">
        <v>0</v>
      </c>
      <c r="H13426">
        <v>19</v>
      </c>
      <c r="I13426" s="3">
        <v>1280.54</v>
      </c>
      <c r="J13426" s="3">
        <v>1284.21</v>
      </c>
      <c r="L13426">
        <v>5493</v>
      </c>
      <c r="M13426" t="s">
        <v>29511</v>
      </c>
      <c r="N13426" t="s">
        <v>30</v>
      </c>
      <c r="O13426" t="s">
        <v>31</v>
      </c>
      <c r="P13426" t="str">
        <f>"15236"</f>
        <v>15236</v>
      </c>
    </row>
    <row r="13427" spans="1:16" x14ac:dyDescent="0.25">
      <c r="A13427" t="str">
        <f>"1190061F00203    00"</f>
        <v>1190061F00203    00</v>
      </c>
      <c r="B13427" t="s">
        <v>29512</v>
      </c>
      <c r="C13427" t="s">
        <v>29510</v>
      </c>
      <c r="D13427" t="s">
        <v>20</v>
      </c>
      <c r="E13427" t="s">
        <v>39</v>
      </c>
      <c r="F13427">
        <v>0</v>
      </c>
      <c r="G13427">
        <v>0</v>
      </c>
      <c r="H13427">
        <v>19</v>
      </c>
      <c r="I13427" s="3">
        <v>699.32</v>
      </c>
      <c r="J13427" s="3">
        <v>707.05</v>
      </c>
      <c r="K13427" t="s">
        <v>1037</v>
      </c>
      <c r="L13427">
        <v>5493</v>
      </c>
      <c r="M13427" t="s">
        <v>29511</v>
      </c>
      <c r="N13427" t="s">
        <v>30</v>
      </c>
      <c r="O13427" t="s">
        <v>31</v>
      </c>
      <c r="P13427" t="str">
        <f>"15236"</f>
        <v>15236</v>
      </c>
    </row>
    <row r="13428" spans="1:16" x14ac:dyDescent="0.25">
      <c r="A13428" t="str">
        <f>"1190061G00094    00"</f>
        <v>1190061G00094    00</v>
      </c>
      <c r="B13428" t="s">
        <v>29513</v>
      </c>
      <c r="C13428" t="s">
        <v>29514</v>
      </c>
      <c r="D13428" t="s">
        <v>20</v>
      </c>
      <c r="E13428" t="s">
        <v>39</v>
      </c>
      <c r="F13428">
        <v>0</v>
      </c>
      <c r="G13428">
        <v>0</v>
      </c>
      <c r="H13428">
        <v>8</v>
      </c>
      <c r="I13428" s="3">
        <v>3121.65</v>
      </c>
      <c r="J13428" s="3">
        <v>1021.45</v>
      </c>
      <c r="L13428">
        <v>5330</v>
      </c>
      <c r="M13428" t="s">
        <v>29515</v>
      </c>
      <c r="N13428" t="s">
        <v>30</v>
      </c>
      <c r="O13428" t="s">
        <v>31</v>
      </c>
      <c r="P13428" t="str">
        <f>"15236"</f>
        <v>15236</v>
      </c>
    </row>
    <row r="13429" spans="1:16" x14ac:dyDescent="0.25">
      <c r="A13429" t="str">
        <f>"1190061G00230    00"</f>
        <v>1190061G00230    00</v>
      </c>
      <c r="B13429" t="s">
        <v>29516</v>
      </c>
      <c r="C13429" t="s">
        <v>29468</v>
      </c>
      <c r="D13429" t="s">
        <v>20</v>
      </c>
      <c r="E13429" t="s">
        <v>39</v>
      </c>
      <c r="F13429">
        <v>0</v>
      </c>
      <c r="G13429">
        <v>0</v>
      </c>
      <c r="H13429">
        <v>9</v>
      </c>
      <c r="I13429" s="3">
        <v>1868.15</v>
      </c>
      <c r="J13429" s="3">
        <v>707.37</v>
      </c>
      <c r="L13429">
        <v>11</v>
      </c>
      <c r="M13429" t="s">
        <v>29517</v>
      </c>
      <c r="N13429" t="s">
        <v>30</v>
      </c>
      <c r="O13429" t="s">
        <v>31</v>
      </c>
      <c r="P13429" t="str">
        <f>"15220"</f>
        <v>15220</v>
      </c>
    </row>
    <row r="13430" spans="1:16" x14ac:dyDescent="0.25">
      <c r="A13430" t="str">
        <f>"1190061G00240    00"</f>
        <v>1190061G00240    00</v>
      </c>
      <c r="B13430" t="s">
        <v>29516</v>
      </c>
      <c r="C13430" t="s">
        <v>29468</v>
      </c>
      <c r="D13430" t="s">
        <v>20</v>
      </c>
      <c r="E13430" t="s">
        <v>39</v>
      </c>
      <c r="F13430">
        <v>0</v>
      </c>
      <c r="G13430">
        <v>0</v>
      </c>
      <c r="H13430">
        <v>9</v>
      </c>
      <c r="I13430" s="3">
        <v>1718.12</v>
      </c>
      <c r="J13430" s="3">
        <v>650.58000000000004</v>
      </c>
      <c r="L13430">
        <v>11</v>
      </c>
      <c r="M13430" t="s">
        <v>29517</v>
      </c>
      <c r="N13430" t="s">
        <v>30</v>
      </c>
      <c r="O13430" t="s">
        <v>31</v>
      </c>
      <c r="P13430" t="str">
        <f>"15220"</f>
        <v>15220</v>
      </c>
    </row>
    <row r="13431" spans="1:16" x14ac:dyDescent="0.25">
      <c r="A13431" t="str">
        <f>"1190061G00246    00"</f>
        <v>1190061G00246    00</v>
      </c>
      <c r="B13431" t="s">
        <v>29516</v>
      </c>
      <c r="C13431" t="s">
        <v>29468</v>
      </c>
      <c r="D13431" t="s">
        <v>20</v>
      </c>
      <c r="E13431" t="s">
        <v>39</v>
      </c>
      <c r="F13431">
        <v>0</v>
      </c>
      <c r="G13431">
        <v>0</v>
      </c>
      <c r="H13431">
        <v>8</v>
      </c>
      <c r="I13431" s="3">
        <v>518.59</v>
      </c>
      <c r="J13431" s="3">
        <v>171.37</v>
      </c>
      <c r="L13431">
        <v>11</v>
      </c>
      <c r="M13431" t="s">
        <v>29517</v>
      </c>
      <c r="N13431" t="s">
        <v>30</v>
      </c>
      <c r="O13431" t="s">
        <v>31</v>
      </c>
      <c r="P13431" t="str">
        <f>"15220"</f>
        <v>15220</v>
      </c>
    </row>
    <row r="13432" spans="1:16" x14ac:dyDescent="0.25">
      <c r="A13432" t="str">
        <f>"1190061G00260    00"</f>
        <v>1190061G00260    00</v>
      </c>
      <c r="B13432" t="s">
        <v>29516</v>
      </c>
      <c r="C13432" t="s">
        <v>29468</v>
      </c>
      <c r="D13432" t="s">
        <v>20</v>
      </c>
      <c r="E13432" t="s">
        <v>39</v>
      </c>
      <c r="F13432">
        <v>0</v>
      </c>
      <c r="G13432">
        <v>0</v>
      </c>
      <c r="H13432">
        <v>9</v>
      </c>
      <c r="I13432" s="3">
        <v>2185.17</v>
      </c>
      <c r="J13432" s="3">
        <v>827.41</v>
      </c>
      <c r="L13432">
        <v>11</v>
      </c>
      <c r="M13432" t="s">
        <v>29518</v>
      </c>
      <c r="N13432" t="s">
        <v>30</v>
      </c>
      <c r="O13432" t="s">
        <v>31</v>
      </c>
      <c r="P13432" t="str">
        <f>"15220"</f>
        <v>15220</v>
      </c>
    </row>
    <row r="13433" spans="1:16" x14ac:dyDescent="0.25">
      <c r="A13433" t="str">
        <f>"1190061G00266    00"</f>
        <v>1190061G00266    00</v>
      </c>
      <c r="B13433" t="s">
        <v>29516</v>
      </c>
      <c r="C13433" t="s">
        <v>29468</v>
      </c>
      <c r="D13433" t="s">
        <v>20</v>
      </c>
      <c r="E13433" t="s">
        <v>39</v>
      </c>
      <c r="F13433">
        <v>0</v>
      </c>
      <c r="G13433">
        <v>0</v>
      </c>
      <c r="H13433">
        <v>9</v>
      </c>
      <c r="I13433" s="3">
        <v>765</v>
      </c>
      <c r="J13433" s="3">
        <v>292.01</v>
      </c>
      <c r="L13433">
        <v>11</v>
      </c>
      <c r="M13433" t="s">
        <v>29517</v>
      </c>
      <c r="N13433" t="s">
        <v>30</v>
      </c>
      <c r="O13433" t="s">
        <v>31</v>
      </c>
      <c r="P13433" t="str">
        <f>"15220"</f>
        <v>15220</v>
      </c>
    </row>
    <row r="13434" spans="1:16" x14ac:dyDescent="0.25">
      <c r="A13434" t="str">
        <f>"1190061J00032    00"</f>
        <v>1190061J00032    00</v>
      </c>
      <c r="B13434" t="s">
        <v>29519</v>
      </c>
      <c r="C13434" t="s">
        <v>29520</v>
      </c>
      <c r="D13434" t="s">
        <v>20</v>
      </c>
      <c r="E13434" t="s">
        <v>39</v>
      </c>
      <c r="F13434">
        <v>0</v>
      </c>
      <c r="G13434">
        <v>0</v>
      </c>
      <c r="H13434">
        <v>1</v>
      </c>
      <c r="I13434" s="3">
        <v>1100.25</v>
      </c>
      <c r="J13434" s="3">
        <v>0</v>
      </c>
      <c r="K13434" t="s">
        <v>1632</v>
      </c>
      <c r="L13434">
        <v>3001</v>
      </c>
      <c r="M13434" t="s">
        <v>330</v>
      </c>
      <c r="N13434" t="s">
        <v>331</v>
      </c>
      <c r="O13434" t="s">
        <v>108</v>
      </c>
      <c r="P13434" t="str">
        <f>"75063"</f>
        <v>75063</v>
      </c>
    </row>
    <row r="13435" spans="1:16" x14ac:dyDescent="0.25">
      <c r="A13435" t="str">
        <f>"1190061J00088    00"</f>
        <v>1190061J00088    00</v>
      </c>
      <c r="B13435" t="s">
        <v>29521</v>
      </c>
      <c r="C13435" t="s">
        <v>29468</v>
      </c>
      <c r="D13435" t="s">
        <v>20</v>
      </c>
      <c r="E13435" t="s">
        <v>39</v>
      </c>
      <c r="F13435">
        <v>0</v>
      </c>
      <c r="G13435">
        <v>0</v>
      </c>
      <c r="H13435">
        <v>4</v>
      </c>
      <c r="I13435" s="3">
        <v>75.44</v>
      </c>
      <c r="J13435" s="3">
        <v>9.2799999999999994</v>
      </c>
      <c r="L13435">
        <v>3699</v>
      </c>
      <c r="M13435" t="s">
        <v>29522</v>
      </c>
      <c r="N13435" t="s">
        <v>29523</v>
      </c>
      <c r="O13435" t="s">
        <v>370</v>
      </c>
      <c r="P13435" t="str">
        <f>"34946"</f>
        <v>34946</v>
      </c>
    </row>
    <row r="13436" spans="1:16" x14ac:dyDescent="0.25">
      <c r="A13436" t="str">
        <f>"1190061J00102    00"</f>
        <v>1190061J00102    00</v>
      </c>
      <c r="B13436" t="s">
        <v>29524</v>
      </c>
      <c r="C13436" t="s">
        <v>29525</v>
      </c>
      <c r="D13436" t="s">
        <v>20</v>
      </c>
      <c r="E13436" t="s">
        <v>39</v>
      </c>
      <c r="F13436">
        <v>0</v>
      </c>
      <c r="G13436">
        <v>0</v>
      </c>
      <c r="H13436">
        <v>1</v>
      </c>
      <c r="I13436" s="3">
        <v>896.29</v>
      </c>
      <c r="J13436" s="3">
        <v>0</v>
      </c>
      <c r="K13436" t="s">
        <v>417</v>
      </c>
      <c r="L13436">
        <v>3001</v>
      </c>
      <c r="M13436" t="s">
        <v>330</v>
      </c>
      <c r="N13436" t="s">
        <v>331</v>
      </c>
      <c r="O13436" t="s">
        <v>108</v>
      </c>
      <c r="P13436" t="str">
        <f>"75063"</f>
        <v>75063</v>
      </c>
    </row>
    <row r="13437" spans="1:16" x14ac:dyDescent="0.25">
      <c r="A13437" t="str">
        <f>"1190061J00174    00"</f>
        <v>1190061J00174    00</v>
      </c>
      <c r="B13437" t="s">
        <v>29526</v>
      </c>
      <c r="C13437" t="s">
        <v>29527</v>
      </c>
      <c r="E13437" t="s">
        <v>39</v>
      </c>
      <c r="F13437">
        <v>0</v>
      </c>
      <c r="G13437">
        <v>0</v>
      </c>
      <c r="H13437">
        <v>1</v>
      </c>
      <c r="I13437" s="3">
        <v>284</v>
      </c>
      <c r="J13437" s="3">
        <v>56.8</v>
      </c>
      <c r="K13437" t="s">
        <v>1135</v>
      </c>
      <c r="L13437">
        <v>3001</v>
      </c>
      <c r="M13437" t="s">
        <v>330</v>
      </c>
      <c r="N13437" t="s">
        <v>331</v>
      </c>
      <c r="O13437" t="s">
        <v>108</v>
      </c>
      <c r="P13437" t="str">
        <f>"75063"</f>
        <v>75063</v>
      </c>
    </row>
    <row r="13438" spans="1:16" x14ac:dyDescent="0.25">
      <c r="A13438" t="str">
        <f>"1190061K00054    00"</f>
        <v>1190061K00054    00</v>
      </c>
      <c r="B13438" t="s">
        <v>29528</v>
      </c>
      <c r="C13438" t="s">
        <v>29468</v>
      </c>
      <c r="D13438" t="s">
        <v>20</v>
      </c>
      <c r="E13438" t="s">
        <v>39</v>
      </c>
      <c r="F13438">
        <v>0</v>
      </c>
      <c r="G13438">
        <v>0</v>
      </c>
      <c r="H13438">
        <v>4</v>
      </c>
      <c r="I13438" s="3">
        <v>744.22</v>
      </c>
      <c r="J13438" s="3">
        <v>87.91</v>
      </c>
      <c r="L13438">
        <v>2883</v>
      </c>
      <c r="M13438" t="s">
        <v>29529</v>
      </c>
      <c r="N13438" t="s">
        <v>30</v>
      </c>
      <c r="O13438" t="s">
        <v>31</v>
      </c>
      <c r="P13438" t="str">
        <f>"15226"</f>
        <v>15226</v>
      </c>
    </row>
    <row r="13439" spans="1:16" x14ac:dyDescent="0.25">
      <c r="A13439" t="str">
        <f>"1190061K00128    00"</f>
        <v>1190061K00128    00</v>
      </c>
      <c r="B13439" t="s">
        <v>29530</v>
      </c>
      <c r="C13439" t="s">
        <v>29531</v>
      </c>
      <c r="D13439" t="s">
        <v>20</v>
      </c>
      <c r="E13439" t="s">
        <v>39</v>
      </c>
      <c r="F13439">
        <v>0</v>
      </c>
      <c r="G13439">
        <v>0</v>
      </c>
      <c r="H13439">
        <v>4</v>
      </c>
      <c r="I13439" s="3">
        <v>4799.47</v>
      </c>
      <c r="J13439" s="3">
        <v>851.06</v>
      </c>
      <c r="L13439">
        <v>2244</v>
      </c>
      <c r="M13439" t="s">
        <v>25206</v>
      </c>
      <c r="N13439" t="s">
        <v>30</v>
      </c>
      <c r="O13439" t="s">
        <v>31</v>
      </c>
      <c r="P13439" t="str">
        <f>"15226"</f>
        <v>15226</v>
      </c>
    </row>
    <row r="13440" spans="1:16" x14ac:dyDescent="0.25">
      <c r="A13440" t="str">
        <f>"1190061K00129    00"</f>
        <v>1190061K00129    00</v>
      </c>
      <c r="B13440" t="s">
        <v>29532</v>
      </c>
      <c r="C13440" t="s">
        <v>29533</v>
      </c>
      <c r="D13440" t="s">
        <v>20</v>
      </c>
      <c r="E13440" t="s">
        <v>39</v>
      </c>
      <c r="F13440">
        <v>0</v>
      </c>
      <c r="G13440">
        <v>0</v>
      </c>
      <c r="H13440">
        <v>1</v>
      </c>
      <c r="I13440" s="3">
        <v>1439.04</v>
      </c>
      <c r="J13440" s="3">
        <v>0</v>
      </c>
      <c r="K13440" t="s">
        <v>445</v>
      </c>
      <c r="L13440">
        <v>1</v>
      </c>
      <c r="M13440" t="s">
        <v>1163</v>
      </c>
      <c r="N13440" t="s">
        <v>1164</v>
      </c>
      <c r="O13440" t="s">
        <v>108</v>
      </c>
      <c r="P13440" t="str">
        <f>"76262"</f>
        <v>76262</v>
      </c>
    </row>
    <row r="13441" spans="1:16" x14ac:dyDescent="0.25">
      <c r="A13441" t="str">
        <f>"1190061K00178    00"</f>
        <v>1190061K00178    00</v>
      </c>
      <c r="B13441" t="s">
        <v>29534</v>
      </c>
      <c r="C13441" t="s">
        <v>29535</v>
      </c>
      <c r="E13441" t="s">
        <v>39</v>
      </c>
      <c r="F13441">
        <v>0</v>
      </c>
      <c r="G13441">
        <v>0</v>
      </c>
      <c r="H13441">
        <v>2</v>
      </c>
      <c r="I13441" s="3">
        <v>3806.48</v>
      </c>
      <c r="J13441" s="3">
        <v>389.5</v>
      </c>
      <c r="K13441" t="s">
        <v>29536</v>
      </c>
      <c r="L13441">
        <v>2238</v>
      </c>
      <c r="M13441" t="s">
        <v>29537</v>
      </c>
      <c r="N13441" t="s">
        <v>30</v>
      </c>
      <c r="O13441" t="s">
        <v>31</v>
      </c>
      <c r="P13441" t="str">
        <f>"15226"</f>
        <v>15226</v>
      </c>
    </row>
    <row r="13442" spans="1:16" x14ac:dyDescent="0.25">
      <c r="A13442" t="str">
        <f>"1190061L00206    00"</f>
        <v>1190061L00206    00</v>
      </c>
      <c r="B13442" t="s">
        <v>29538</v>
      </c>
      <c r="C13442" t="s">
        <v>29539</v>
      </c>
      <c r="D13442" t="s">
        <v>20</v>
      </c>
      <c r="E13442" t="s">
        <v>39</v>
      </c>
      <c r="F13442">
        <v>0</v>
      </c>
      <c r="G13442">
        <v>0</v>
      </c>
      <c r="H13442">
        <v>1</v>
      </c>
      <c r="I13442" s="3">
        <v>1056.4000000000001</v>
      </c>
      <c r="J13442" s="3">
        <v>0</v>
      </c>
      <c r="L13442">
        <v>2228</v>
      </c>
      <c r="M13442" t="s">
        <v>25206</v>
      </c>
      <c r="N13442" t="s">
        <v>30</v>
      </c>
      <c r="O13442" t="s">
        <v>31</v>
      </c>
      <c r="P13442" t="str">
        <f>"15226"</f>
        <v>15226</v>
      </c>
    </row>
    <row r="13443" spans="1:16" x14ac:dyDescent="0.25">
      <c r="A13443" t="str">
        <f>"1190061L00222    00"</f>
        <v>1190061L00222    00</v>
      </c>
      <c r="B13443" t="s">
        <v>29540</v>
      </c>
      <c r="C13443" t="s">
        <v>29541</v>
      </c>
      <c r="D13443" t="s">
        <v>20</v>
      </c>
      <c r="E13443" t="s">
        <v>39</v>
      </c>
      <c r="F13443">
        <v>0</v>
      </c>
      <c r="G13443">
        <v>0</v>
      </c>
      <c r="H13443">
        <v>2</v>
      </c>
      <c r="I13443" s="3">
        <v>1938.76</v>
      </c>
      <c r="J13443" s="3">
        <v>136.88999999999999</v>
      </c>
      <c r="L13443">
        <v>2222</v>
      </c>
      <c r="M13443" t="s">
        <v>29537</v>
      </c>
      <c r="N13443" t="s">
        <v>30</v>
      </c>
      <c r="O13443" t="s">
        <v>31</v>
      </c>
      <c r="P13443" t="str">
        <f>"15226"</f>
        <v>15226</v>
      </c>
    </row>
    <row r="13444" spans="1:16" x14ac:dyDescent="0.25">
      <c r="A13444" t="str">
        <f>"1190061N00015    00"</f>
        <v>1190061N00015    00</v>
      </c>
      <c r="B13444" t="s">
        <v>29542</v>
      </c>
      <c r="C13444" t="s">
        <v>29543</v>
      </c>
      <c r="D13444" t="s">
        <v>20</v>
      </c>
      <c r="E13444" t="s">
        <v>39</v>
      </c>
      <c r="F13444">
        <v>0</v>
      </c>
      <c r="G13444">
        <v>0</v>
      </c>
      <c r="H13444">
        <v>7</v>
      </c>
      <c r="I13444" s="3">
        <v>9906.82</v>
      </c>
      <c r="J13444" s="3">
        <v>2700.72</v>
      </c>
      <c r="L13444">
        <v>112</v>
      </c>
      <c r="M13444" t="s">
        <v>29544</v>
      </c>
      <c r="N13444" t="s">
        <v>526</v>
      </c>
      <c r="O13444" t="s">
        <v>31</v>
      </c>
      <c r="P13444" t="str">
        <f>"15301"</f>
        <v>15301</v>
      </c>
    </row>
    <row r="13445" spans="1:16" x14ac:dyDescent="0.25">
      <c r="A13445" t="str">
        <f>"1190061N00028    00"</f>
        <v>1190061N00028    00</v>
      </c>
      <c r="B13445" t="s">
        <v>29545</v>
      </c>
      <c r="C13445" t="s">
        <v>29546</v>
      </c>
      <c r="D13445" t="s">
        <v>20</v>
      </c>
      <c r="E13445" t="s">
        <v>39</v>
      </c>
      <c r="F13445">
        <v>0</v>
      </c>
      <c r="G13445">
        <v>0</v>
      </c>
      <c r="H13445">
        <v>1</v>
      </c>
      <c r="I13445" s="3">
        <v>95.3</v>
      </c>
      <c r="J13445" s="3">
        <v>0</v>
      </c>
      <c r="L13445">
        <v>1909</v>
      </c>
      <c r="M13445" t="s">
        <v>560</v>
      </c>
      <c r="N13445" t="s">
        <v>30</v>
      </c>
      <c r="O13445" t="s">
        <v>31</v>
      </c>
      <c r="P13445" t="str">
        <f>"15222"</f>
        <v>15222</v>
      </c>
    </row>
    <row r="13446" spans="1:16" x14ac:dyDescent="0.25">
      <c r="A13446" t="str">
        <f>"1190061N00029    00"</f>
        <v>1190061N00029    00</v>
      </c>
      <c r="B13446" t="s">
        <v>29545</v>
      </c>
      <c r="C13446" t="s">
        <v>29547</v>
      </c>
      <c r="D13446" t="s">
        <v>20</v>
      </c>
      <c r="E13446" t="s">
        <v>21</v>
      </c>
      <c r="F13446">
        <v>0</v>
      </c>
      <c r="G13446">
        <v>0</v>
      </c>
      <c r="H13446">
        <v>1</v>
      </c>
      <c r="I13446" s="3">
        <v>190.6</v>
      </c>
      <c r="J13446" s="3">
        <v>0</v>
      </c>
      <c r="L13446">
        <v>1909</v>
      </c>
      <c r="M13446" t="s">
        <v>560</v>
      </c>
      <c r="N13446" t="s">
        <v>30</v>
      </c>
      <c r="O13446" t="s">
        <v>31</v>
      </c>
      <c r="P13446" t="str">
        <f>"15222"</f>
        <v>15222</v>
      </c>
    </row>
    <row r="13447" spans="1:16" x14ac:dyDescent="0.25">
      <c r="A13447" t="str">
        <f>"1190061N00107    00"</f>
        <v>1190061N00107    00</v>
      </c>
      <c r="B13447" t="s">
        <v>29548</v>
      </c>
      <c r="C13447" t="s">
        <v>29549</v>
      </c>
      <c r="D13447" t="s">
        <v>20</v>
      </c>
      <c r="E13447" t="s">
        <v>39</v>
      </c>
      <c r="F13447">
        <v>0</v>
      </c>
      <c r="G13447">
        <v>0</v>
      </c>
      <c r="H13447">
        <v>2</v>
      </c>
      <c r="I13447" s="3">
        <v>327.84</v>
      </c>
      <c r="J13447" s="3">
        <v>0</v>
      </c>
      <c r="K13447" t="s">
        <v>29550</v>
      </c>
      <c r="L13447">
        <v>2330</v>
      </c>
      <c r="M13447" t="s">
        <v>29551</v>
      </c>
      <c r="N13447" t="s">
        <v>29552</v>
      </c>
      <c r="O13447" t="s">
        <v>370</v>
      </c>
      <c r="P13447" t="str">
        <f>"32905"</f>
        <v>32905</v>
      </c>
    </row>
    <row r="13448" spans="1:16" x14ac:dyDescent="0.25">
      <c r="A13448" t="str">
        <f>"1190061N00110    00"</f>
        <v>1190061N00110    00</v>
      </c>
      <c r="B13448" t="s">
        <v>29553</v>
      </c>
      <c r="C13448" t="s">
        <v>29554</v>
      </c>
      <c r="D13448" t="s">
        <v>20</v>
      </c>
      <c r="E13448" t="s">
        <v>39</v>
      </c>
      <c r="F13448">
        <v>0</v>
      </c>
      <c r="G13448">
        <v>0</v>
      </c>
      <c r="H13448">
        <v>1</v>
      </c>
      <c r="I13448" s="3">
        <v>388.44</v>
      </c>
      <c r="J13448" s="3">
        <v>0</v>
      </c>
      <c r="L13448">
        <v>2220</v>
      </c>
      <c r="M13448" t="s">
        <v>29555</v>
      </c>
      <c r="N13448" t="s">
        <v>30</v>
      </c>
      <c r="O13448" t="s">
        <v>31</v>
      </c>
      <c r="P13448" t="str">
        <f>"15226"</f>
        <v>15226</v>
      </c>
    </row>
    <row r="13449" spans="1:16" x14ac:dyDescent="0.25">
      <c r="A13449" t="str">
        <f>"1190061N00111    00"</f>
        <v>1190061N00111    00</v>
      </c>
      <c r="B13449" t="s">
        <v>29556</v>
      </c>
      <c r="C13449" t="s">
        <v>29557</v>
      </c>
      <c r="D13449" t="s">
        <v>20</v>
      </c>
      <c r="E13449" t="s">
        <v>39</v>
      </c>
      <c r="F13449">
        <v>0</v>
      </c>
      <c r="G13449">
        <v>0</v>
      </c>
      <c r="H13449">
        <v>4</v>
      </c>
      <c r="I13449" s="3">
        <v>5507.2</v>
      </c>
      <c r="J13449" s="3">
        <v>678.16</v>
      </c>
      <c r="K13449" t="s">
        <v>29558</v>
      </c>
      <c r="L13449">
        <v>2224</v>
      </c>
      <c r="M13449" t="s">
        <v>29555</v>
      </c>
      <c r="N13449" t="s">
        <v>30</v>
      </c>
      <c r="O13449" t="s">
        <v>31</v>
      </c>
      <c r="P13449" t="str">
        <f>"15226"</f>
        <v>15226</v>
      </c>
    </row>
    <row r="13450" spans="1:16" x14ac:dyDescent="0.25">
      <c r="A13450" t="str">
        <f>"1190061N00152    00"</f>
        <v>1190061N00152    00</v>
      </c>
      <c r="B13450" t="s">
        <v>29559</v>
      </c>
      <c r="C13450" t="s">
        <v>29560</v>
      </c>
      <c r="D13450" t="s">
        <v>20</v>
      </c>
      <c r="E13450" t="s">
        <v>39</v>
      </c>
      <c r="F13450">
        <v>0</v>
      </c>
      <c r="G13450">
        <v>0</v>
      </c>
      <c r="H13450">
        <v>19</v>
      </c>
      <c r="I13450" s="3">
        <v>15715.44</v>
      </c>
      <c r="J13450" s="3">
        <v>14254.49</v>
      </c>
      <c r="L13450">
        <v>1482</v>
      </c>
      <c r="M13450" t="s">
        <v>25862</v>
      </c>
      <c r="N13450" t="s">
        <v>30</v>
      </c>
      <c r="O13450" t="s">
        <v>31</v>
      </c>
      <c r="P13450" t="str">
        <f>"15216"</f>
        <v>15216</v>
      </c>
    </row>
    <row r="13451" spans="1:16" x14ac:dyDescent="0.25">
      <c r="A13451" t="str">
        <f>"1190061N00187    00"</f>
        <v>1190061N00187    00</v>
      </c>
      <c r="B13451" t="s">
        <v>29561</v>
      </c>
      <c r="C13451" t="s">
        <v>29468</v>
      </c>
      <c r="D13451" t="s">
        <v>20</v>
      </c>
      <c r="E13451" t="s">
        <v>39</v>
      </c>
      <c r="F13451">
        <v>0</v>
      </c>
      <c r="G13451">
        <v>0</v>
      </c>
      <c r="H13451">
        <v>2</v>
      </c>
      <c r="I13451" s="3">
        <v>312.58</v>
      </c>
      <c r="J13451" s="3">
        <v>0</v>
      </c>
      <c r="L13451">
        <v>2141</v>
      </c>
      <c r="M13451" t="s">
        <v>24723</v>
      </c>
      <c r="N13451" t="s">
        <v>30</v>
      </c>
      <c r="O13451" t="s">
        <v>31</v>
      </c>
      <c r="P13451" t="str">
        <f>"15226"</f>
        <v>15226</v>
      </c>
    </row>
    <row r="13452" spans="1:16" x14ac:dyDescent="0.25">
      <c r="A13452" t="str">
        <f>"1190061N00189    00"</f>
        <v>1190061N00189    00</v>
      </c>
      <c r="B13452" t="s">
        <v>29561</v>
      </c>
      <c r="C13452" t="s">
        <v>29562</v>
      </c>
      <c r="D13452" t="s">
        <v>20</v>
      </c>
      <c r="E13452" t="s">
        <v>39</v>
      </c>
      <c r="F13452">
        <v>0</v>
      </c>
      <c r="G13452">
        <v>0</v>
      </c>
      <c r="H13452">
        <v>2</v>
      </c>
      <c r="I13452" s="3">
        <v>1894.58</v>
      </c>
      <c r="J13452" s="3">
        <v>0</v>
      </c>
      <c r="L13452">
        <v>2141</v>
      </c>
      <c r="M13452" t="s">
        <v>24723</v>
      </c>
      <c r="N13452" t="s">
        <v>30</v>
      </c>
      <c r="O13452" t="s">
        <v>31</v>
      </c>
      <c r="P13452" t="str">
        <f>"15226"</f>
        <v>15226</v>
      </c>
    </row>
    <row r="13453" spans="1:16" x14ac:dyDescent="0.25">
      <c r="A13453" t="str">
        <f>"1190061N00273    00"</f>
        <v>1190061N00273    00</v>
      </c>
      <c r="B13453" t="s">
        <v>29563</v>
      </c>
      <c r="C13453" t="s">
        <v>29564</v>
      </c>
      <c r="E13453" t="s">
        <v>39</v>
      </c>
      <c r="F13453">
        <v>0</v>
      </c>
      <c r="G13453">
        <v>0</v>
      </c>
      <c r="H13453">
        <v>1</v>
      </c>
      <c r="I13453" s="3">
        <v>184.88</v>
      </c>
      <c r="J13453" s="3">
        <v>36.979999999999997</v>
      </c>
      <c r="L13453">
        <v>2412</v>
      </c>
      <c r="M13453" t="s">
        <v>29537</v>
      </c>
      <c r="N13453" t="s">
        <v>30</v>
      </c>
      <c r="O13453" t="s">
        <v>31</v>
      </c>
      <c r="P13453" t="str">
        <f>"15226"</f>
        <v>15226</v>
      </c>
    </row>
    <row r="13454" spans="1:16" x14ac:dyDescent="0.25">
      <c r="A13454" t="str">
        <f>"1190061P00053    00"</f>
        <v>1190061P00053    00</v>
      </c>
      <c r="B13454" t="s">
        <v>29565</v>
      </c>
      <c r="C13454" t="s">
        <v>29566</v>
      </c>
      <c r="D13454" t="s">
        <v>20</v>
      </c>
      <c r="E13454" t="s">
        <v>39</v>
      </c>
      <c r="F13454">
        <v>0</v>
      </c>
      <c r="G13454">
        <v>0</v>
      </c>
      <c r="H13454">
        <v>19</v>
      </c>
      <c r="I13454" s="3">
        <v>446.89</v>
      </c>
      <c r="J13454" s="3">
        <v>483.75</v>
      </c>
      <c r="K13454" t="s">
        <v>1037</v>
      </c>
      <c r="L13454">
        <v>2324</v>
      </c>
      <c r="M13454" t="s">
        <v>25206</v>
      </c>
      <c r="N13454" t="s">
        <v>30</v>
      </c>
      <c r="O13454" t="s">
        <v>31</v>
      </c>
      <c r="P13454" t="str">
        <f>"15226"</f>
        <v>15226</v>
      </c>
    </row>
    <row r="13455" spans="1:16" x14ac:dyDescent="0.25">
      <c r="A13455" t="str">
        <f>"1190062A00004    00"</f>
        <v>1190062A00004    00</v>
      </c>
      <c r="B13455" t="s">
        <v>29567</v>
      </c>
      <c r="C13455" t="s">
        <v>29568</v>
      </c>
      <c r="E13455" t="s">
        <v>39</v>
      </c>
      <c r="F13455">
        <v>0</v>
      </c>
      <c r="G13455">
        <v>0</v>
      </c>
      <c r="H13455">
        <v>1</v>
      </c>
      <c r="I13455" s="3">
        <v>66.959999999999994</v>
      </c>
      <c r="J13455" s="3">
        <v>0</v>
      </c>
      <c r="K13455" t="s">
        <v>29569</v>
      </c>
      <c r="L13455">
        <v>2241</v>
      </c>
      <c r="M13455" t="s">
        <v>29570</v>
      </c>
      <c r="N13455" t="s">
        <v>30</v>
      </c>
      <c r="O13455" t="s">
        <v>31</v>
      </c>
      <c r="P13455" t="str">
        <f>"15216"</f>
        <v>15216</v>
      </c>
    </row>
    <row r="13456" spans="1:16" x14ac:dyDescent="0.25">
      <c r="A13456" t="str">
        <f>"1190062A00070    00"</f>
        <v>1190062A00070    00</v>
      </c>
      <c r="B13456" t="s">
        <v>29571</v>
      </c>
      <c r="C13456" t="s">
        <v>29572</v>
      </c>
      <c r="D13456" t="s">
        <v>20</v>
      </c>
      <c r="E13456" t="s">
        <v>39</v>
      </c>
      <c r="F13456">
        <v>0</v>
      </c>
      <c r="G13456">
        <v>0</v>
      </c>
      <c r="H13456">
        <v>15</v>
      </c>
      <c r="I13456" s="3">
        <v>15426.55</v>
      </c>
      <c r="J13456" s="3">
        <v>10822.8</v>
      </c>
      <c r="K13456" t="s">
        <v>29573</v>
      </c>
      <c r="L13456">
        <v>350</v>
      </c>
      <c r="M13456" t="s">
        <v>29574</v>
      </c>
      <c r="N13456" t="s">
        <v>26865</v>
      </c>
      <c r="O13456" t="s">
        <v>108</v>
      </c>
      <c r="P13456" t="str">
        <f>"75067"</f>
        <v>75067</v>
      </c>
    </row>
    <row r="13457" spans="1:16" x14ac:dyDescent="0.25">
      <c r="A13457" t="str">
        <f>"1190062A00076    00"</f>
        <v>1190062A00076    00</v>
      </c>
      <c r="B13457" t="s">
        <v>29575</v>
      </c>
      <c r="C13457" t="s">
        <v>29576</v>
      </c>
      <c r="E13457" t="s">
        <v>39</v>
      </c>
      <c r="F13457">
        <v>0</v>
      </c>
      <c r="G13457">
        <v>0</v>
      </c>
      <c r="H13457">
        <v>1</v>
      </c>
      <c r="I13457" s="3">
        <v>19.97</v>
      </c>
      <c r="J13457" s="3">
        <v>11.98</v>
      </c>
      <c r="K13457" t="s">
        <v>557</v>
      </c>
      <c r="L13457">
        <v>3001</v>
      </c>
      <c r="M13457" t="s">
        <v>330</v>
      </c>
      <c r="N13457" t="s">
        <v>331</v>
      </c>
      <c r="O13457" t="s">
        <v>108</v>
      </c>
      <c r="P13457" t="str">
        <f>"75063"</f>
        <v>75063</v>
      </c>
    </row>
    <row r="13458" spans="1:16" x14ac:dyDescent="0.25">
      <c r="A13458" t="str">
        <f>"1190062A00099    00"</f>
        <v>1190062A00099    00</v>
      </c>
      <c r="B13458" t="s">
        <v>29577</v>
      </c>
      <c r="C13458" t="s">
        <v>29578</v>
      </c>
      <c r="D13458" t="s">
        <v>20</v>
      </c>
      <c r="E13458" t="s">
        <v>39</v>
      </c>
      <c r="F13458">
        <v>0</v>
      </c>
      <c r="G13458">
        <v>0</v>
      </c>
      <c r="H13458">
        <v>14</v>
      </c>
      <c r="I13458" s="3">
        <v>912.84</v>
      </c>
      <c r="J13458" s="3">
        <v>506.98</v>
      </c>
      <c r="L13458">
        <v>2311</v>
      </c>
      <c r="M13458" t="s">
        <v>29579</v>
      </c>
      <c r="N13458" t="s">
        <v>30</v>
      </c>
      <c r="O13458" t="s">
        <v>31</v>
      </c>
      <c r="P13458" t="str">
        <f>"15216"</f>
        <v>15216</v>
      </c>
    </row>
    <row r="13459" spans="1:16" x14ac:dyDescent="0.25">
      <c r="A13459" t="str">
        <f>"1190062A00110    00"</f>
        <v>1190062A00110    00</v>
      </c>
      <c r="B13459" t="s">
        <v>29580</v>
      </c>
      <c r="C13459" t="s">
        <v>29581</v>
      </c>
      <c r="E13459" t="s">
        <v>21</v>
      </c>
      <c r="F13459">
        <v>0</v>
      </c>
      <c r="G13459">
        <v>0</v>
      </c>
      <c r="H13459">
        <v>1</v>
      </c>
      <c r="I13459" s="3">
        <v>1393.3</v>
      </c>
      <c r="J13459" s="3">
        <v>0</v>
      </c>
      <c r="L13459">
        <v>1619</v>
      </c>
      <c r="M13459" t="s">
        <v>28597</v>
      </c>
      <c r="N13459" t="s">
        <v>30</v>
      </c>
      <c r="O13459" t="s">
        <v>31</v>
      </c>
      <c r="P13459" t="str">
        <f>"15216"</f>
        <v>15216</v>
      </c>
    </row>
    <row r="13460" spans="1:16" x14ac:dyDescent="0.25">
      <c r="A13460" t="str">
        <f>"1190062A00161    00"</f>
        <v>1190062A00161    00</v>
      </c>
      <c r="B13460" t="s">
        <v>28766</v>
      </c>
      <c r="C13460" t="s">
        <v>29582</v>
      </c>
      <c r="D13460" t="s">
        <v>20</v>
      </c>
      <c r="E13460" t="s">
        <v>39</v>
      </c>
      <c r="F13460">
        <v>0</v>
      </c>
      <c r="G13460">
        <v>0</v>
      </c>
      <c r="H13460">
        <v>5</v>
      </c>
      <c r="I13460" s="3">
        <v>7076.8</v>
      </c>
      <c r="J13460" s="3">
        <v>1131.42</v>
      </c>
      <c r="L13460">
        <v>1325</v>
      </c>
      <c r="M13460" t="s">
        <v>28768</v>
      </c>
      <c r="N13460" t="s">
        <v>30</v>
      </c>
      <c r="O13460" t="s">
        <v>31</v>
      </c>
      <c r="P13460" t="str">
        <f>"15243"</f>
        <v>15243</v>
      </c>
    </row>
    <row r="13461" spans="1:16" x14ac:dyDescent="0.25">
      <c r="A13461" t="str">
        <f>"1190062A00183    00"</f>
        <v>1190062A00183    00</v>
      </c>
      <c r="B13461" t="s">
        <v>29026</v>
      </c>
      <c r="C13461" t="s">
        <v>29583</v>
      </c>
      <c r="E13461" t="s">
        <v>39</v>
      </c>
      <c r="F13461">
        <v>0</v>
      </c>
      <c r="G13461">
        <v>0</v>
      </c>
      <c r="H13461">
        <v>3</v>
      </c>
      <c r="I13461" s="3">
        <v>2216.02</v>
      </c>
      <c r="J13461" s="3">
        <v>2679.06</v>
      </c>
      <c r="K13461" t="s">
        <v>23554</v>
      </c>
      <c r="L13461">
        <v>829</v>
      </c>
      <c r="M13461" t="s">
        <v>2475</v>
      </c>
      <c r="N13461" t="s">
        <v>30</v>
      </c>
      <c r="O13461" t="s">
        <v>31</v>
      </c>
      <c r="P13461" t="str">
        <f>"15210"</f>
        <v>15210</v>
      </c>
    </row>
    <row r="13462" spans="1:16" x14ac:dyDescent="0.25">
      <c r="A13462" t="str">
        <f>"1190062A00217    00"</f>
        <v>1190062A00217    00</v>
      </c>
      <c r="B13462" t="s">
        <v>29584</v>
      </c>
      <c r="C13462" t="s">
        <v>29585</v>
      </c>
      <c r="D13462" t="s">
        <v>20</v>
      </c>
      <c r="E13462" t="s">
        <v>39</v>
      </c>
      <c r="F13462">
        <v>0</v>
      </c>
      <c r="G13462">
        <v>0</v>
      </c>
      <c r="H13462">
        <v>8</v>
      </c>
      <c r="I13462" s="3">
        <v>6928.17</v>
      </c>
      <c r="J13462" s="3">
        <v>1840.02</v>
      </c>
      <c r="K13462" t="s">
        <v>29586</v>
      </c>
      <c r="L13462">
        <v>2309</v>
      </c>
      <c r="M13462" t="s">
        <v>29587</v>
      </c>
      <c r="N13462" t="s">
        <v>30</v>
      </c>
      <c r="O13462" t="s">
        <v>31</v>
      </c>
      <c r="P13462" t="str">
        <f>"15216"</f>
        <v>15216</v>
      </c>
    </row>
    <row r="13463" spans="1:16" x14ac:dyDescent="0.25">
      <c r="A13463" t="str">
        <f>"1190062A00233    00"</f>
        <v>1190062A00233    00</v>
      </c>
      <c r="B13463" t="s">
        <v>29588</v>
      </c>
      <c r="C13463" t="s">
        <v>29589</v>
      </c>
      <c r="D13463" t="s">
        <v>20</v>
      </c>
      <c r="E13463" t="s">
        <v>39</v>
      </c>
      <c r="F13463">
        <v>0</v>
      </c>
      <c r="G13463">
        <v>0</v>
      </c>
      <c r="H13463">
        <v>2</v>
      </c>
      <c r="I13463" s="3">
        <v>1667.51</v>
      </c>
      <c r="J13463" s="3">
        <v>0</v>
      </c>
      <c r="K13463" t="s">
        <v>1030</v>
      </c>
      <c r="M13463" t="s">
        <v>1031</v>
      </c>
      <c r="N13463" t="s">
        <v>1032</v>
      </c>
      <c r="O13463" t="s">
        <v>25</v>
      </c>
      <c r="P13463" t="str">
        <f>"44711"</f>
        <v>44711</v>
      </c>
    </row>
    <row r="13464" spans="1:16" x14ac:dyDescent="0.25">
      <c r="A13464" t="str">
        <f>"1190062B00007    00"</f>
        <v>1190062B00007    00</v>
      </c>
      <c r="B13464" t="s">
        <v>29590</v>
      </c>
      <c r="C13464" t="s">
        <v>29591</v>
      </c>
      <c r="D13464" t="s">
        <v>20</v>
      </c>
      <c r="E13464" t="s">
        <v>39</v>
      </c>
      <c r="F13464">
        <v>0</v>
      </c>
      <c r="G13464">
        <v>0</v>
      </c>
      <c r="H13464">
        <v>3</v>
      </c>
      <c r="I13464" s="3">
        <v>4168.47</v>
      </c>
      <c r="J13464" s="3">
        <v>277.89</v>
      </c>
      <c r="L13464">
        <v>2208</v>
      </c>
      <c r="M13464" t="s">
        <v>26304</v>
      </c>
      <c r="N13464" t="s">
        <v>30</v>
      </c>
      <c r="O13464" t="s">
        <v>31</v>
      </c>
      <c r="P13464" t="str">
        <f t="shared" ref="P13464:P13470" si="168">"15216"</f>
        <v>15216</v>
      </c>
    </row>
    <row r="13465" spans="1:16" x14ac:dyDescent="0.25">
      <c r="A13465" t="str">
        <f>"1190062B00039    00"</f>
        <v>1190062B00039    00</v>
      </c>
      <c r="B13465" t="s">
        <v>29592</v>
      </c>
      <c r="C13465" t="s">
        <v>29593</v>
      </c>
      <c r="D13465" t="s">
        <v>20</v>
      </c>
      <c r="E13465" t="s">
        <v>39</v>
      </c>
      <c r="F13465">
        <v>0</v>
      </c>
      <c r="G13465">
        <v>0</v>
      </c>
      <c r="H13465">
        <v>9</v>
      </c>
      <c r="I13465" s="3">
        <v>4615.3500000000004</v>
      </c>
      <c r="J13465" s="3">
        <v>1813.88</v>
      </c>
      <c r="L13465">
        <v>2311</v>
      </c>
      <c r="M13465" t="s">
        <v>26304</v>
      </c>
      <c r="N13465" t="s">
        <v>30</v>
      </c>
      <c r="O13465" t="s">
        <v>31</v>
      </c>
      <c r="P13465" t="str">
        <f t="shared" si="168"/>
        <v>15216</v>
      </c>
    </row>
    <row r="13466" spans="1:16" x14ac:dyDescent="0.25">
      <c r="A13466" t="str">
        <f>"1190062B00040    00"</f>
        <v>1190062B00040    00</v>
      </c>
      <c r="B13466" t="s">
        <v>29592</v>
      </c>
      <c r="C13466" t="s">
        <v>29594</v>
      </c>
      <c r="D13466" t="s">
        <v>20</v>
      </c>
      <c r="E13466" t="s">
        <v>39</v>
      </c>
      <c r="F13466">
        <v>0</v>
      </c>
      <c r="G13466">
        <v>0</v>
      </c>
      <c r="H13466">
        <v>10</v>
      </c>
      <c r="I13466" s="3">
        <v>1671.15</v>
      </c>
      <c r="J13466" s="3">
        <v>654.80999999999995</v>
      </c>
      <c r="L13466">
        <v>2311</v>
      </c>
      <c r="M13466" t="s">
        <v>26304</v>
      </c>
      <c r="N13466" t="s">
        <v>30</v>
      </c>
      <c r="O13466" t="s">
        <v>31</v>
      </c>
      <c r="P13466" t="str">
        <f t="shared" si="168"/>
        <v>15216</v>
      </c>
    </row>
    <row r="13467" spans="1:16" x14ac:dyDescent="0.25">
      <c r="A13467" t="str">
        <f>"1190062B00041    00"</f>
        <v>1190062B00041    00</v>
      </c>
      <c r="B13467" t="s">
        <v>29592</v>
      </c>
      <c r="C13467" t="s">
        <v>29594</v>
      </c>
      <c r="D13467" t="s">
        <v>20</v>
      </c>
      <c r="E13467" t="s">
        <v>39</v>
      </c>
      <c r="F13467">
        <v>0</v>
      </c>
      <c r="G13467">
        <v>0</v>
      </c>
      <c r="H13467">
        <v>9</v>
      </c>
      <c r="I13467" s="3">
        <v>1651.37</v>
      </c>
      <c r="J13467" s="3">
        <v>625.30999999999995</v>
      </c>
      <c r="L13467">
        <v>2311</v>
      </c>
      <c r="M13467" t="s">
        <v>26304</v>
      </c>
      <c r="N13467" t="s">
        <v>30</v>
      </c>
      <c r="O13467" t="s">
        <v>31</v>
      </c>
      <c r="P13467" t="str">
        <f t="shared" si="168"/>
        <v>15216</v>
      </c>
    </row>
    <row r="13468" spans="1:16" x14ac:dyDescent="0.25">
      <c r="A13468" t="str">
        <f>"1190062B00044    00"</f>
        <v>1190062B00044    00</v>
      </c>
      <c r="B13468" t="s">
        <v>29595</v>
      </c>
      <c r="C13468" t="s">
        <v>29596</v>
      </c>
      <c r="D13468" t="s">
        <v>20</v>
      </c>
      <c r="E13468" t="s">
        <v>39</v>
      </c>
      <c r="F13468">
        <v>0</v>
      </c>
      <c r="G13468">
        <v>0</v>
      </c>
      <c r="H13468">
        <v>2</v>
      </c>
      <c r="I13468" s="3">
        <v>2378.6999999999998</v>
      </c>
      <c r="J13468" s="3">
        <v>0</v>
      </c>
      <c r="L13468">
        <v>2235</v>
      </c>
      <c r="M13468" t="s">
        <v>26304</v>
      </c>
      <c r="N13468" t="s">
        <v>30</v>
      </c>
      <c r="O13468" t="s">
        <v>31</v>
      </c>
      <c r="P13468" t="str">
        <f t="shared" si="168"/>
        <v>15216</v>
      </c>
    </row>
    <row r="13469" spans="1:16" x14ac:dyDescent="0.25">
      <c r="A13469" t="str">
        <f>"1190062B00045    00"</f>
        <v>1190062B00045    00</v>
      </c>
      <c r="B13469" t="s">
        <v>29595</v>
      </c>
      <c r="C13469" t="s">
        <v>29596</v>
      </c>
      <c r="D13469" t="s">
        <v>20</v>
      </c>
      <c r="E13469" t="s">
        <v>39</v>
      </c>
      <c r="F13469">
        <v>0</v>
      </c>
      <c r="G13469">
        <v>0</v>
      </c>
      <c r="H13469">
        <v>2</v>
      </c>
      <c r="I13469" s="3">
        <v>251.6</v>
      </c>
      <c r="J13469" s="3">
        <v>0</v>
      </c>
      <c r="L13469">
        <v>2235</v>
      </c>
      <c r="M13469" t="s">
        <v>26304</v>
      </c>
      <c r="N13469" t="s">
        <v>30</v>
      </c>
      <c r="O13469" t="s">
        <v>31</v>
      </c>
      <c r="P13469" t="str">
        <f t="shared" si="168"/>
        <v>15216</v>
      </c>
    </row>
    <row r="13470" spans="1:16" x14ac:dyDescent="0.25">
      <c r="A13470" t="str">
        <f>"1190062B00054    00"</f>
        <v>1190062B00054    00</v>
      </c>
      <c r="B13470" t="s">
        <v>29597</v>
      </c>
      <c r="C13470" t="s">
        <v>29594</v>
      </c>
      <c r="D13470" t="s">
        <v>20</v>
      </c>
      <c r="E13470" t="s">
        <v>39</v>
      </c>
      <c r="F13470">
        <v>0</v>
      </c>
      <c r="G13470">
        <v>0</v>
      </c>
      <c r="H13470">
        <v>4</v>
      </c>
      <c r="I13470" s="3">
        <v>1260.6199999999999</v>
      </c>
      <c r="J13470" s="3">
        <v>148.91</v>
      </c>
      <c r="L13470">
        <v>1641</v>
      </c>
      <c r="M13470" t="s">
        <v>29188</v>
      </c>
      <c r="N13470" t="s">
        <v>30</v>
      </c>
      <c r="O13470" t="s">
        <v>31</v>
      </c>
      <c r="P13470" t="str">
        <f t="shared" si="168"/>
        <v>15216</v>
      </c>
    </row>
    <row r="13471" spans="1:16" x14ac:dyDescent="0.25">
      <c r="A13471" t="str">
        <f>"1190062B00058    00"</f>
        <v>1190062B00058    00</v>
      </c>
      <c r="B13471" t="s">
        <v>25328</v>
      </c>
      <c r="C13471" t="s">
        <v>29598</v>
      </c>
      <c r="D13471" t="s">
        <v>20</v>
      </c>
      <c r="E13471" t="s">
        <v>39</v>
      </c>
      <c r="F13471">
        <v>0</v>
      </c>
      <c r="G13471">
        <v>0</v>
      </c>
      <c r="H13471">
        <v>6</v>
      </c>
      <c r="I13471" s="3">
        <v>3370.5</v>
      </c>
      <c r="J13471" s="3">
        <v>814.91</v>
      </c>
      <c r="K13471" t="s">
        <v>25330</v>
      </c>
      <c r="M13471" t="s">
        <v>29599</v>
      </c>
      <c r="N13471" t="s">
        <v>199</v>
      </c>
      <c r="O13471" t="s">
        <v>200</v>
      </c>
      <c r="P13471" t="str">
        <f>"10150"</f>
        <v>10150</v>
      </c>
    </row>
    <row r="13472" spans="1:16" x14ac:dyDescent="0.25">
      <c r="A13472" t="str">
        <f>"1190062B00108    00"</f>
        <v>1190062B00108    00</v>
      </c>
      <c r="B13472" t="s">
        <v>29600</v>
      </c>
      <c r="C13472" t="s">
        <v>29601</v>
      </c>
      <c r="D13472" t="s">
        <v>20</v>
      </c>
      <c r="E13472" t="s">
        <v>39</v>
      </c>
      <c r="F13472">
        <v>0</v>
      </c>
      <c r="G13472">
        <v>0</v>
      </c>
      <c r="H13472">
        <v>2</v>
      </c>
      <c r="I13472" s="3">
        <v>1661.06</v>
      </c>
      <c r="J13472" s="3">
        <v>0</v>
      </c>
      <c r="K13472" t="s">
        <v>29602</v>
      </c>
      <c r="L13472">
        <v>122</v>
      </c>
      <c r="M13472" t="s">
        <v>27315</v>
      </c>
      <c r="N13472" t="s">
        <v>1766</v>
      </c>
      <c r="O13472" t="s">
        <v>31</v>
      </c>
      <c r="P13472" t="str">
        <f>"15367"</f>
        <v>15367</v>
      </c>
    </row>
    <row r="13473" spans="1:16" x14ac:dyDescent="0.25">
      <c r="A13473" t="str">
        <f>"1190062B00114    00"</f>
        <v>1190062B00114    00</v>
      </c>
      <c r="B13473" t="s">
        <v>29603</v>
      </c>
      <c r="C13473" t="s">
        <v>29604</v>
      </c>
      <c r="D13473" t="s">
        <v>20</v>
      </c>
      <c r="E13473" t="s">
        <v>39</v>
      </c>
      <c r="F13473">
        <v>0</v>
      </c>
      <c r="G13473">
        <v>0</v>
      </c>
      <c r="H13473">
        <v>3</v>
      </c>
      <c r="I13473" s="3">
        <v>68.61</v>
      </c>
      <c r="J13473" s="3">
        <v>4.57</v>
      </c>
      <c r="L13473">
        <v>2217</v>
      </c>
      <c r="M13473" t="s">
        <v>29605</v>
      </c>
      <c r="N13473" t="s">
        <v>30</v>
      </c>
      <c r="O13473" t="s">
        <v>31</v>
      </c>
      <c r="P13473" t="str">
        <f>"15216"</f>
        <v>15216</v>
      </c>
    </row>
    <row r="13474" spans="1:16" x14ac:dyDescent="0.25">
      <c r="A13474" t="str">
        <f>"1190062B00123    00"</f>
        <v>1190062B00123    00</v>
      </c>
      <c r="B13474" t="s">
        <v>29606</v>
      </c>
      <c r="C13474" t="s">
        <v>29607</v>
      </c>
      <c r="E13474" t="s">
        <v>39</v>
      </c>
      <c r="F13474">
        <v>0</v>
      </c>
      <c r="G13474">
        <v>0</v>
      </c>
      <c r="H13474">
        <v>8</v>
      </c>
      <c r="I13474" s="3">
        <v>4515.71</v>
      </c>
      <c r="J13474" s="3">
        <v>3880.53</v>
      </c>
      <c r="L13474">
        <v>2117</v>
      </c>
      <c r="M13474" t="s">
        <v>29605</v>
      </c>
      <c r="N13474" t="s">
        <v>30</v>
      </c>
      <c r="O13474" t="s">
        <v>31</v>
      </c>
      <c r="P13474" t="str">
        <f>"15216"</f>
        <v>15216</v>
      </c>
    </row>
    <row r="13475" spans="1:16" x14ac:dyDescent="0.25">
      <c r="A13475" t="str">
        <f>"1190062B00125    00"</f>
        <v>1190062B00125    00</v>
      </c>
      <c r="B13475" t="s">
        <v>29608</v>
      </c>
      <c r="C13475" t="s">
        <v>29609</v>
      </c>
      <c r="E13475" t="s">
        <v>39</v>
      </c>
      <c r="F13475">
        <v>0</v>
      </c>
      <c r="G13475">
        <v>0</v>
      </c>
      <c r="H13475">
        <v>1</v>
      </c>
      <c r="I13475" s="3">
        <v>570.41999999999996</v>
      </c>
      <c r="J13475" s="3">
        <v>0</v>
      </c>
      <c r="K13475" t="s">
        <v>29610</v>
      </c>
      <c r="L13475">
        <v>51</v>
      </c>
      <c r="M13475" t="s">
        <v>29611</v>
      </c>
      <c r="N13475" t="s">
        <v>3934</v>
      </c>
      <c r="O13475" t="s">
        <v>31</v>
      </c>
      <c r="P13475" t="str">
        <f>"15102"</f>
        <v>15102</v>
      </c>
    </row>
    <row r="13476" spans="1:16" x14ac:dyDescent="0.25">
      <c r="A13476" t="str">
        <f>"1190062B00127    00"</f>
        <v>1190062B00127    00</v>
      </c>
      <c r="B13476" t="s">
        <v>29612</v>
      </c>
      <c r="C13476" t="s">
        <v>29613</v>
      </c>
      <c r="D13476" t="s">
        <v>20</v>
      </c>
      <c r="E13476" t="s">
        <v>39</v>
      </c>
      <c r="F13476">
        <v>0</v>
      </c>
      <c r="G13476">
        <v>0</v>
      </c>
      <c r="H13476">
        <v>2</v>
      </c>
      <c r="I13476" s="3">
        <v>1715.4</v>
      </c>
      <c r="J13476" s="3">
        <v>0</v>
      </c>
      <c r="K13476" t="s">
        <v>29614</v>
      </c>
      <c r="L13476">
        <v>2502</v>
      </c>
      <c r="M13476" t="s">
        <v>29387</v>
      </c>
      <c r="N13476" t="s">
        <v>30</v>
      </c>
      <c r="O13476" t="s">
        <v>31</v>
      </c>
      <c r="P13476" t="str">
        <f>"15216"</f>
        <v>15216</v>
      </c>
    </row>
    <row r="13477" spans="1:16" x14ac:dyDescent="0.25">
      <c r="A13477" t="str">
        <f>"1190062B00146    00"</f>
        <v>1190062B00146    00</v>
      </c>
      <c r="B13477" t="s">
        <v>8467</v>
      </c>
      <c r="C13477" t="s">
        <v>29615</v>
      </c>
      <c r="D13477" t="s">
        <v>20</v>
      </c>
      <c r="E13477" t="s">
        <v>39</v>
      </c>
      <c r="F13477">
        <v>0</v>
      </c>
      <c r="G13477">
        <v>0</v>
      </c>
      <c r="H13477">
        <v>1</v>
      </c>
      <c r="I13477" s="3">
        <v>241.54</v>
      </c>
      <c r="J13477" s="3">
        <v>0</v>
      </c>
      <c r="K13477" t="s">
        <v>8469</v>
      </c>
      <c r="L13477">
        <v>202</v>
      </c>
      <c r="M13477" t="s">
        <v>2136</v>
      </c>
      <c r="N13477" t="s">
        <v>30</v>
      </c>
      <c r="O13477" t="s">
        <v>31</v>
      </c>
      <c r="P13477" t="str">
        <f>"15228"</f>
        <v>15228</v>
      </c>
    </row>
    <row r="13478" spans="1:16" x14ac:dyDescent="0.25">
      <c r="A13478" t="str">
        <f>"1190062C00007    00"</f>
        <v>1190062C00007    00</v>
      </c>
      <c r="B13478" t="s">
        <v>29616</v>
      </c>
      <c r="C13478" t="s">
        <v>29617</v>
      </c>
      <c r="D13478" t="s">
        <v>20</v>
      </c>
      <c r="E13478" t="s">
        <v>39</v>
      </c>
      <c r="F13478">
        <v>0</v>
      </c>
      <c r="G13478">
        <v>0</v>
      </c>
      <c r="H13478">
        <v>6</v>
      </c>
      <c r="I13478" s="3">
        <v>3388.49</v>
      </c>
      <c r="J13478" s="3">
        <v>798.98</v>
      </c>
      <c r="K13478" t="s">
        <v>13571</v>
      </c>
      <c r="L13478">
        <v>3301</v>
      </c>
      <c r="M13478" t="s">
        <v>330</v>
      </c>
      <c r="N13478" t="s">
        <v>331</v>
      </c>
      <c r="O13478" t="s">
        <v>108</v>
      </c>
      <c r="P13478" t="str">
        <f>"75063"</f>
        <v>75063</v>
      </c>
    </row>
    <row r="13479" spans="1:16" x14ac:dyDescent="0.25">
      <c r="A13479" t="str">
        <f>"1190062C00058    00"</f>
        <v>1190062C00058    00</v>
      </c>
      <c r="B13479" t="s">
        <v>29618</v>
      </c>
      <c r="C13479" t="s">
        <v>29619</v>
      </c>
      <c r="E13479" t="s">
        <v>39</v>
      </c>
      <c r="F13479">
        <v>0</v>
      </c>
      <c r="G13479">
        <v>0</v>
      </c>
      <c r="H13479">
        <v>1</v>
      </c>
      <c r="I13479" s="3">
        <v>1000</v>
      </c>
      <c r="J13479" s="3">
        <v>200</v>
      </c>
      <c r="K13479" t="s">
        <v>29620</v>
      </c>
      <c r="L13479">
        <v>2002</v>
      </c>
      <c r="M13479" t="s">
        <v>29621</v>
      </c>
      <c r="N13479" t="s">
        <v>30</v>
      </c>
      <c r="O13479" t="s">
        <v>31</v>
      </c>
      <c r="P13479" t="str">
        <f>"15216"</f>
        <v>15216</v>
      </c>
    </row>
    <row r="13480" spans="1:16" x14ac:dyDescent="0.25">
      <c r="A13480" t="str">
        <f>"1190062C00112    00"</f>
        <v>1190062C00112    00</v>
      </c>
      <c r="B13480" t="s">
        <v>29622</v>
      </c>
      <c r="C13480" t="s">
        <v>29623</v>
      </c>
      <c r="D13480" t="s">
        <v>20</v>
      </c>
      <c r="E13480" t="s">
        <v>39</v>
      </c>
      <c r="F13480">
        <v>0</v>
      </c>
      <c r="G13480">
        <v>0</v>
      </c>
      <c r="H13480">
        <v>3</v>
      </c>
      <c r="I13480" s="3">
        <v>3292.74</v>
      </c>
      <c r="J13480" s="3">
        <v>184.95</v>
      </c>
      <c r="K13480" t="s">
        <v>29624</v>
      </c>
      <c r="L13480">
        <v>2240</v>
      </c>
      <c r="M13480" t="s">
        <v>29625</v>
      </c>
      <c r="N13480" t="s">
        <v>30</v>
      </c>
      <c r="O13480" t="s">
        <v>31</v>
      </c>
      <c r="P13480" t="str">
        <f>"15216"</f>
        <v>15216</v>
      </c>
    </row>
    <row r="13481" spans="1:16" x14ac:dyDescent="0.25">
      <c r="A13481" t="str">
        <f>"1190062C00148    00"</f>
        <v>1190062C00148    00</v>
      </c>
      <c r="B13481" t="s">
        <v>29626</v>
      </c>
      <c r="C13481" t="s">
        <v>29627</v>
      </c>
      <c r="D13481" t="s">
        <v>20</v>
      </c>
      <c r="E13481" t="s">
        <v>39</v>
      </c>
      <c r="F13481">
        <v>0</v>
      </c>
      <c r="G13481">
        <v>0</v>
      </c>
      <c r="H13481">
        <v>1</v>
      </c>
      <c r="I13481" s="3">
        <v>972.54</v>
      </c>
      <c r="J13481" s="3">
        <v>0</v>
      </c>
      <c r="L13481">
        <v>2249</v>
      </c>
      <c r="M13481" t="s">
        <v>29363</v>
      </c>
      <c r="N13481" t="s">
        <v>30</v>
      </c>
      <c r="O13481" t="s">
        <v>31</v>
      </c>
      <c r="P13481" t="str">
        <f>"15216"</f>
        <v>15216</v>
      </c>
    </row>
    <row r="13482" spans="1:16" x14ac:dyDescent="0.25">
      <c r="A13482" t="str">
        <f>"1190062C00252    00"</f>
        <v>1190062C00252    00</v>
      </c>
      <c r="B13482" t="s">
        <v>29628</v>
      </c>
      <c r="C13482" t="s">
        <v>29629</v>
      </c>
      <c r="E13482" t="s">
        <v>39</v>
      </c>
      <c r="F13482">
        <v>0</v>
      </c>
      <c r="G13482">
        <v>0</v>
      </c>
      <c r="H13482">
        <v>1</v>
      </c>
      <c r="I13482" s="3">
        <v>1761.15</v>
      </c>
      <c r="J13482" s="3">
        <v>0</v>
      </c>
      <c r="K13482" t="s">
        <v>29630</v>
      </c>
      <c r="M13482" t="s">
        <v>29631</v>
      </c>
      <c r="N13482" t="s">
        <v>9197</v>
      </c>
      <c r="O13482" t="s">
        <v>31</v>
      </c>
      <c r="P13482" t="str">
        <f>"16514"</f>
        <v>16514</v>
      </c>
    </row>
    <row r="13483" spans="1:16" x14ac:dyDescent="0.25">
      <c r="A13483" t="str">
        <f>"1190062D00051    00"</f>
        <v>1190062D00051    00</v>
      </c>
      <c r="B13483" t="s">
        <v>29632</v>
      </c>
      <c r="C13483" t="s">
        <v>29633</v>
      </c>
      <c r="D13483" t="s">
        <v>20</v>
      </c>
      <c r="E13483" t="s">
        <v>39</v>
      </c>
      <c r="F13483">
        <v>0</v>
      </c>
      <c r="G13483">
        <v>0</v>
      </c>
      <c r="H13483">
        <v>4</v>
      </c>
      <c r="I13483" s="3">
        <v>2348.5700000000002</v>
      </c>
      <c r="J13483" s="3">
        <v>298.2</v>
      </c>
      <c r="L13483">
        <v>2025</v>
      </c>
      <c r="M13483" t="s">
        <v>29634</v>
      </c>
      <c r="N13483" t="s">
        <v>30</v>
      </c>
      <c r="O13483" t="s">
        <v>31</v>
      </c>
      <c r="P13483" t="str">
        <f>"15226"</f>
        <v>15226</v>
      </c>
    </row>
    <row r="13484" spans="1:16" x14ac:dyDescent="0.25">
      <c r="A13484" t="str">
        <f>"1190062D00052    00"</f>
        <v>1190062D00052    00</v>
      </c>
      <c r="B13484" t="s">
        <v>29635</v>
      </c>
      <c r="C13484" t="s">
        <v>29636</v>
      </c>
      <c r="D13484" t="s">
        <v>20</v>
      </c>
      <c r="E13484" t="s">
        <v>39</v>
      </c>
      <c r="F13484">
        <v>0</v>
      </c>
      <c r="G13484">
        <v>0</v>
      </c>
      <c r="H13484">
        <v>4</v>
      </c>
      <c r="I13484" s="3">
        <v>4328.58</v>
      </c>
      <c r="J13484" s="3">
        <v>511.34</v>
      </c>
      <c r="L13484">
        <v>3586</v>
      </c>
      <c r="M13484" t="s">
        <v>29637</v>
      </c>
      <c r="N13484" t="s">
        <v>3934</v>
      </c>
      <c r="O13484" t="s">
        <v>31</v>
      </c>
      <c r="P13484" t="str">
        <f>"15102"</f>
        <v>15102</v>
      </c>
    </row>
    <row r="13485" spans="1:16" x14ac:dyDescent="0.25">
      <c r="A13485" t="str">
        <f>"1190062D00053    00"</f>
        <v>1190062D00053    00</v>
      </c>
      <c r="B13485" t="s">
        <v>29635</v>
      </c>
      <c r="C13485" t="s">
        <v>29638</v>
      </c>
      <c r="D13485" t="s">
        <v>20</v>
      </c>
      <c r="E13485" t="s">
        <v>39</v>
      </c>
      <c r="F13485">
        <v>0</v>
      </c>
      <c r="G13485">
        <v>0</v>
      </c>
      <c r="H13485">
        <v>3</v>
      </c>
      <c r="I13485" s="3">
        <v>208.63</v>
      </c>
      <c r="J13485" s="3">
        <v>20.28</v>
      </c>
      <c r="L13485">
        <v>3586</v>
      </c>
      <c r="M13485" t="s">
        <v>29639</v>
      </c>
      <c r="N13485" t="s">
        <v>3934</v>
      </c>
      <c r="O13485" t="s">
        <v>31</v>
      </c>
      <c r="P13485" t="str">
        <f>"15102"</f>
        <v>15102</v>
      </c>
    </row>
    <row r="13486" spans="1:16" x14ac:dyDescent="0.25">
      <c r="A13486" t="str">
        <f>"1190062D00056    00"</f>
        <v>1190062D00056    00</v>
      </c>
      <c r="B13486" t="s">
        <v>29640</v>
      </c>
      <c r="C13486" t="s">
        <v>29638</v>
      </c>
      <c r="D13486" t="s">
        <v>20</v>
      </c>
      <c r="E13486" t="s">
        <v>39</v>
      </c>
      <c r="F13486">
        <v>0</v>
      </c>
      <c r="G13486">
        <v>0</v>
      </c>
      <c r="H13486">
        <v>4</v>
      </c>
      <c r="I13486" s="3">
        <v>5376.64</v>
      </c>
      <c r="J13486" s="3">
        <v>635.13</v>
      </c>
      <c r="L13486">
        <v>3586</v>
      </c>
      <c r="M13486" t="s">
        <v>29639</v>
      </c>
      <c r="N13486" t="s">
        <v>3934</v>
      </c>
      <c r="O13486" t="s">
        <v>31</v>
      </c>
      <c r="P13486" t="str">
        <f>"15102"</f>
        <v>15102</v>
      </c>
    </row>
    <row r="13487" spans="1:16" x14ac:dyDescent="0.25">
      <c r="A13487" t="str">
        <f>"1190062D00057    00"</f>
        <v>1190062D00057    00</v>
      </c>
      <c r="B13487" t="s">
        <v>29641</v>
      </c>
      <c r="C13487" t="s">
        <v>29642</v>
      </c>
      <c r="D13487" t="s">
        <v>20</v>
      </c>
      <c r="E13487" t="s">
        <v>39</v>
      </c>
      <c r="F13487">
        <v>0</v>
      </c>
      <c r="G13487">
        <v>0</v>
      </c>
      <c r="H13487">
        <v>2</v>
      </c>
      <c r="I13487" s="3">
        <v>1715.44</v>
      </c>
      <c r="J13487" s="3">
        <v>0</v>
      </c>
      <c r="M13487" t="s">
        <v>25695</v>
      </c>
      <c r="N13487" t="s">
        <v>30</v>
      </c>
      <c r="O13487" t="s">
        <v>31</v>
      </c>
      <c r="P13487" t="str">
        <f>"15210"</f>
        <v>15210</v>
      </c>
    </row>
    <row r="13488" spans="1:16" x14ac:dyDescent="0.25">
      <c r="A13488" t="str">
        <f>"1190062D00162    00"</f>
        <v>1190062D00162    00</v>
      </c>
      <c r="B13488" t="s">
        <v>29643</v>
      </c>
      <c r="C13488" t="s">
        <v>29644</v>
      </c>
      <c r="E13488" t="s">
        <v>39</v>
      </c>
      <c r="F13488">
        <v>0</v>
      </c>
      <c r="G13488">
        <v>0</v>
      </c>
      <c r="H13488">
        <v>1</v>
      </c>
      <c r="I13488" s="3">
        <v>1243.24</v>
      </c>
      <c r="J13488" s="3">
        <v>0</v>
      </c>
      <c r="K13488" t="s">
        <v>29645</v>
      </c>
      <c r="L13488">
        <v>2089</v>
      </c>
      <c r="M13488" t="s">
        <v>3522</v>
      </c>
      <c r="N13488" t="s">
        <v>30</v>
      </c>
      <c r="O13488" t="s">
        <v>31</v>
      </c>
      <c r="P13488" t="str">
        <f>"15226"</f>
        <v>15226</v>
      </c>
    </row>
    <row r="13489" spans="1:16" x14ac:dyDescent="0.25">
      <c r="A13489" t="str">
        <f>"1190062D00164    00"</f>
        <v>1190062D00164    00</v>
      </c>
      <c r="B13489" t="s">
        <v>29646</v>
      </c>
      <c r="C13489" t="s">
        <v>29647</v>
      </c>
      <c r="D13489" t="s">
        <v>20</v>
      </c>
      <c r="E13489" t="s">
        <v>39</v>
      </c>
      <c r="F13489">
        <v>0</v>
      </c>
      <c r="G13489">
        <v>0</v>
      </c>
      <c r="H13489">
        <v>1</v>
      </c>
      <c r="I13489" s="3">
        <v>1179.83</v>
      </c>
      <c r="J13489" s="3">
        <v>0</v>
      </c>
      <c r="K13489" t="s">
        <v>13571</v>
      </c>
      <c r="L13489">
        <v>3301</v>
      </c>
      <c r="M13489" t="s">
        <v>330</v>
      </c>
      <c r="N13489" t="s">
        <v>331</v>
      </c>
      <c r="O13489" t="s">
        <v>108</v>
      </c>
      <c r="P13489" t="str">
        <f>"75063"</f>
        <v>75063</v>
      </c>
    </row>
    <row r="13490" spans="1:16" x14ac:dyDescent="0.25">
      <c r="A13490" t="str">
        <f>"1190062D00165    00"</f>
        <v>1190062D00165    00</v>
      </c>
      <c r="B13490" t="s">
        <v>29648</v>
      </c>
      <c r="C13490" t="s">
        <v>29649</v>
      </c>
      <c r="D13490" t="s">
        <v>20</v>
      </c>
      <c r="E13490" t="s">
        <v>39</v>
      </c>
      <c r="F13490">
        <v>0</v>
      </c>
      <c r="G13490">
        <v>0</v>
      </c>
      <c r="H13490">
        <v>1</v>
      </c>
      <c r="I13490" s="3">
        <v>1193.1600000000001</v>
      </c>
      <c r="J13490" s="3">
        <v>0</v>
      </c>
      <c r="L13490">
        <v>230</v>
      </c>
      <c r="M13490" t="s">
        <v>29650</v>
      </c>
      <c r="N13490" t="s">
        <v>1928</v>
      </c>
      <c r="O13490" t="s">
        <v>31</v>
      </c>
      <c r="P13490" t="str">
        <f>"15317"</f>
        <v>15317</v>
      </c>
    </row>
    <row r="13491" spans="1:16" x14ac:dyDescent="0.25">
      <c r="A13491" t="str">
        <f>"1190062D00169    00"</f>
        <v>1190062D00169    00</v>
      </c>
      <c r="B13491" t="s">
        <v>29651</v>
      </c>
      <c r="C13491" t="s">
        <v>29652</v>
      </c>
      <c r="D13491" t="s">
        <v>20</v>
      </c>
      <c r="E13491" t="s">
        <v>39</v>
      </c>
      <c r="F13491">
        <v>0</v>
      </c>
      <c r="G13491">
        <v>0</v>
      </c>
      <c r="H13491">
        <v>1</v>
      </c>
      <c r="I13491" s="3">
        <v>347.12</v>
      </c>
      <c r="J13491" s="3">
        <v>0</v>
      </c>
      <c r="K13491" t="s">
        <v>29653</v>
      </c>
      <c r="L13491">
        <v>1605</v>
      </c>
      <c r="M13491" t="s">
        <v>23798</v>
      </c>
      <c r="N13491" t="s">
        <v>30</v>
      </c>
      <c r="O13491" t="s">
        <v>31</v>
      </c>
      <c r="P13491" t="str">
        <f>"15216"</f>
        <v>15216</v>
      </c>
    </row>
    <row r="13492" spans="1:16" x14ac:dyDescent="0.25">
      <c r="A13492" t="str">
        <f>"1190062D00203    00"</f>
        <v>1190062D00203    00</v>
      </c>
      <c r="B13492" t="s">
        <v>29654</v>
      </c>
      <c r="C13492" t="s">
        <v>29655</v>
      </c>
      <c r="D13492" t="s">
        <v>20</v>
      </c>
      <c r="E13492" t="s">
        <v>39</v>
      </c>
      <c r="F13492">
        <v>0</v>
      </c>
      <c r="G13492">
        <v>0</v>
      </c>
      <c r="H13492">
        <v>17</v>
      </c>
      <c r="I13492" s="3">
        <v>23505.01</v>
      </c>
      <c r="J13492" s="3">
        <v>16845.5</v>
      </c>
      <c r="L13492">
        <v>1931</v>
      </c>
      <c r="M13492" t="s">
        <v>3522</v>
      </c>
      <c r="N13492" t="s">
        <v>30</v>
      </c>
      <c r="O13492" t="s">
        <v>31</v>
      </c>
      <c r="P13492" t="str">
        <f>"15226"</f>
        <v>15226</v>
      </c>
    </row>
    <row r="13493" spans="1:16" x14ac:dyDescent="0.25">
      <c r="A13493" t="str">
        <f>"1190062D00220    00"</f>
        <v>1190062D00220    00</v>
      </c>
      <c r="B13493" t="s">
        <v>29656</v>
      </c>
      <c r="C13493" t="s">
        <v>29657</v>
      </c>
      <c r="D13493" t="s">
        <v>20</v>
      </c>
      <c r="E13493" t="s">
        <v>39</v>
      </c>
      <c r="F13493">
        <v>0</v>
      </c>
      <c r="G13493">
        <v>0</v>
      </c>
      <c r="H13493">
        <v>7</v>
      </c>
      <c r="I13493" s="3">
        <v>10191.08</v>
      </c>
      <c r="J13493" s="3">
        <v>2613.33</v>
      </c>
      <c r="L13493">
        <v>1920</v>
      </c>
      <c r="M13493" t="s">
        <v>2966</v>
      </c>
      <c r="N13493" t="s">
        <v>30</v>
      </c>
      <c r="O13493" t="s">
        <v>31</v>
      </c>
      <c r="P13493" t="str">
        <f>"15226"</f>
        <v>15226</v>
      </c>
    </row>
    <row r="13494" spans="1:16" x14ac:dyDescent="0.25">
      <c r="A13494" t="str">
        <f>"1190062D00222    00"</f>
        <v>1190062D00222    00</v>
      </c>
      <c r="B13494" t="s">
        <v>29658</v>
      </c>
      <c r="C13494" t="s">
        <v>29659</v>
      </c>
      <c r="E13494" t="s">
        <v>39</v>
      </c>
      <c r="F13494">
        <v>0</v>
      </c>
      <c r="G13494">
        <v>0</v>
      </c>
      <c r="H13494">
        <v>3</v>
      </c>
      <c r="I13494" s="3">
        <v>548.91</v>
      </c>
      <c r="J13494" s="3">
        <v>191.21</v>
      </c>
      <c r="K13494" t="s">
        <v>29660</v>
      </c>
      <c r="L13494">
        <v>1934</v>
      </c>
      <c r="M13494" t="s">
        <v>2966</v>
      </c>
      <c r="N13494" t="s">
        <v>30</v>
      </c>
      <c r="O13494" t="s">
        <v>31</v>
      </c>
      <c r="P13494" t="str">
        <f>"15226"</f>
        <v>15226</v>
      </c>
    </row>
    <row r="13495" spans="1:16" x14ac:dyDescent="0.25">
      <c r="A13495" t="str">
        <f>"1190062D00223    00"</f>
        <v>1190062D00223    00</v>
      </c>
      <c r="B13495" t="s">
        <v>29658</v>
      </c>
      <c r="C13495" t="s">
        <v>29659</v>
      </c>
      <c r="E13495" t="s">
        <v>39</v>
      </c>
      <c r="F13495">
        <v>0</v>
      </c>
      <c r="G13495">
        <v>0</v>
      </c>
      <c r="H13495">
        <v>1</v>
      </c>
      <c r="I13495" s="3">
        <v>53.24</v>
      </c>
      <c r="J13495" s="3">
        <v>0</v>
      </c>
      <c r="K13495" t="s">
        <v>29660</v>
      </c>
      <c r="L13495">
        <v>1934</v>
      </c>
      <c r="M13495" t="s">
        <v>2966</v>
      </c>
      <c r="N13495" t="s">
        <v>30</v>
      </c>
      <c r="O13495" t="s">
        <v>31</v>
      </c>
      <c r="P13495" t="str">
        <f>"15226"</f>
        <v>15226</v>
      </c>
    </row>
    <row r="13496" spans="1:16" x14ac:dyDescent="0.25">
      <c r="A13496" t="str">
        <f>"1190062D00224    00"</f>
        <v>1190062D00224    00</v>
      </c>
      <c r="B13496" t="s">
        <v>29661</v>
      </c>
      <c r="C13496" t="s">
        <v>29662</v>
      </c>
      <c r="D13496" t="s">
        <v>20</v>
      </c>
      <c r="E13496" t="s">
        <v>39</v>
      </c>
      <c r="F13496">
        <v>0</v>
      </c>
      <c r="G13496">
        <v>0</v>
      </c>
      <c r="H13496">
        <v>15</v>
      </c>
      <c r="I13496" s="3">
        <v>14521.3</v>
      </c>
      <c r="J13496" s="3">
        <v>10574.15</v>
      </c>
      <c r="L13496">
        <v>1940</v>
      </c>
      <c r="M13496" t="s">
        <v>2966</v>
      </c>
      <c r="N13496" t="s">
        <v>30</v>
      </c>
      <c r="O13496" t="s">
        <v>31</v>
      </c>
      <c r="P13496" t="str">
        <f>"15226"</f>
        <v>15226</v>
      </c>
    </row>
    <row r="13497" spans="1:16" x14ac:dyDescent="0.25">
      <c r="A13497" t="str">
        <f>"1190062D00238    00"</f>
        <v>1190062D00238    00</v>
      </c>
      <c r="B13497" t="s">
        <v>29663</v>
      </c>
      <c r="C13497" t="s">
        <v>29664</v>
      </c>
      <c r="D13497" t="s">
        <v>20</v>
      </c>
      <c r="E13497" t="s">
        <v>39</v>
      </c>
      <c r="F13497">
        <v>0</v>
      </c>
      <c r="G13497">
        <v>0</v>
      </c>
      <c r="H13497">
        <v>2</v>
      </c>
      <c r="I13497" s="3">
        <v>2881.88</v>
      </c>
      <c r="J13497" s="3">
        <v>0</v>
      </c>
      <c r="K13497" t="s">
        <v>29665</v>
      </c>
      <c r="M13497" t="s">
        <v>10286</v>
      </c>
      <c r="N13497" t="s">
        <v>30</v>
      </c>
      <c r="O13497" t="s">
        <v>31</v>
      </c>
      <c r="P13497" t="str">
        <f>"15217"</f>
        <v>15217</v>
      </c>
    </row>
    <row r="13498" spans="1:16" x14ac:dyDescent="0.25">
      <c r="A13498" t="str">
        <f>"1190062D00239    00"</f>
        <v>1190062D00239    00</v>
      </c>
      <c r="B13498" t="s">
        <v>25637</v>
      </c>
      <c r="C13498" t="s">
        <v>29666</v>
      </c>
      <c r="D13498" t="s">
        <v>20</v>
      </c>
      <c r="E13498" t="s">
        <v>39</v>
      </c>
      <c r="F13498">
        <v>0</v>
      </c>
      <c r="G13498">
        <v>0</v>
      </c>
      <c r="H13498">
        <v>1</v>
      </c>
      <c r="I13498" s="3">
        <v>20.98</v>
      </c>
      <c r="J13498" s="3">
        <v>0</v>
      </c>
      <c r="L13498">
        <v>2028</v>
      </c>
      <c r="M13498" t="s">
        <v>2966</v>
      </c>
      <c r="N13498" t="s">
        <v>30</v>
      </c>
      <c r="O13498" t="s">
        <v>31</v>
      </c>
      <c r="P13498" t="str">
        <f>"15226"</f>
        <v>15226</v>
      </c>
    </row>
    <row r="13499" spans="1:16" x14ac:dyDescent="0.25">
      <c r="A13499" t="str">
        <f>"1190062D00242    00"</f>
        <v>1190062D00242    00</v>
      </c>
      <c r="B13499" t="s">
        <v>29667</v>
      </c>
      <c r="C13499" t="s">
        <v>29668</v>
      </c>
      <c r="D13499" t="s">
        <v>20</v>
      </c>
      <c r="E13499" t="s">
        <v>39</v>
      </c>
      <c r="F13499">
        <v>0</v>
      </c>
      <c r="G13499">
        <v>0</v>
      </c>
      <c r="H13499">
        <v>2</v>
      </c>
      <c r="I13499" s="3">
        <v>996.46</v>
      </c>
      <c r="J13499" s="3">
        <v>0.01</v>
      </c>
      <c r="L13499">
        <v>2028</v>
      </c>
      <c r="M13499" t="s">
        <v>2966</v>
      </c>
      <c r="N13499" t="s">
        <v>30</v>
      </c>
      <c r="O13499" t="s">
        <v>31</v>
      </c>
      <c r="P13499" t="str">
        <f>"15226"</f>
        <v>15226</v>
      </c>
    </row>
    <row r="13500" spans="1:16" x14ac:dyDescent="0.25">
      <c r="A13500" t="str">
        <f>"1190062D00267    00"</f>
        <v>1190062D00267    00</v>
      </c>
      <c r="B13500" t="s">
        <v>29669</v>
      </c>
      <c r="C13500" t="s">
        <v>29666</v>
      </c>
      <c r="D13500" t="s">
        <v>20</v>
      </c>
      <c r="E13500" t="s">
        <v>39</v>
      </c>
      <c r="F13500">
        <v>0</v>
      </c>
      <c r="G13500">
        <v>0</v>
      </c>
      <c r="H13500">
        <v>19</v>
      </c>
      <c r="I13500" s="3">
        <v>8106.57</v>
      </c>
      <c r="J13500" s="3">
        <v>6768.23</v>
      </c>
      <c r="L13500">
        <v>5417</v>
      </c>
      <c r="M13500" t="s">
        <v>8048</v>
      </c>
      <c r="N13500" t="s">
        <v>30</v>
      </c>
      <c r="O13500" t="s">
        <v>31</v>
      </c>
      <c r="P13500" t="str">
        <f>"15236"</f>
        <v>15236</v>
      </c>
    </row>
    <row r="13501" spans="1:16" x14ac:dyDescent="0.25">
      <c r="A13501" t="str">
        <f>"1190062D00309    00"</f>
        <v>1190062D00309    00</v>
      </c>
      <c r="B13501" t="s">
        <v>29670</v>
      </c>
      <c r="C13501" t="s">
        <v>29671</v>
      </c>
      <c r="D13501" t="s">
        <v>20</v>
      </c>
      <c r="E13501" t="s">
        <v>39</v>
      </c>
      <c r="F13501">
        <v>0</v>
      </c>
      <c r="G13501">
        <v>0</v>
      </c>
      <c r="H13501">
        <v>1</v>
      </c>
      <c r="I13501" s="3">
        <v>1435.23</v>
      </c>
      <c r="J13501" s="3">
        <v>0</v>
      </c>
      <c r="K13501" t="s">
        <v>29672</v>
      </c>
      <c r="L13501">
        <v>1214</v>
      </c>
      <c r="M13501" t="s">
        <v>29673</v>
      </c>
      <c r="N13501" t="s">
        <v>30</v>
      </c>
      <c r="O13501" t="s">
        <v>31</v>
      </c>
      <c r="P13501" t="str">
        <f>"15216"</f>
        <v>15216</v>
      </c>
    </row>
    <row r="13502" spans="1:16" x14ac:dyDescent="0.25">
      <c r="A13502" t="str">
        <f>"1190062D00310    00"</f>
        <v>1190062D00310    00</v>
      </c>
      <c r="B13502" t="s">
        <v>29674</v>
      </c>
      <c r="C13502" t="s">
        <v>29675</v>
      </c>
      <c r="D13502" t="s">
        <v>20</v>
      </c>
      <c r="E13502" t="s">
        <v>39</v>
      </c>
      <c r="F13502">
        <v>0</v>
      </c>
      <c r="G13502">
        <v>0</v>
      </c>
      <c r="H13502">
        <v>3</v>
      </c>
      <c r="I13502" s="3">
        <v>1908.49</v>
      </c>
      <c r="J13502" s="3">
        <v>161.72999999999999</v>
      </c>
      <c r="L13502">
        <v>465</v>
      </c>
      <c r="M13502" t="s">
        <v>29676</v>
      </c>
      <c r="N13502" t="s">
        <v>29677</v>
      </c>
      <c r="O13502" t="s">
        <v>3486</v>
      </c>
      <c r="P13502" t="str">
        <f>"60191"</f>
        <v>60191</v>
      </c>
    </row>
    <row r="13503" spans="1:16" x14ac:dyDescent="0.25">
      <c r="A13503" t="str">
        <f>"1190062D00318    00"</f>
        <v>1190062D00318    00</v>
      </c>
      <c r="B13503" t="s">
        <v>29678</v>
      </c>
      <c r="C13503" t="s">
        <v>29679</v>
      </c>
      <c r="D13503" t="s">
        <v>20</v>
      </c>
      <c r="E13503" t="s">
        <v>39</v>
      </c>
      <c r="F13503">
        <v>0</v>
      </c>
      <c r="G13503">
        <v>0</v>
      </c>
      <c r="H13503">
        <v>1</v>
      </c>
      <c r="I13503" s="3">
        <v>1138.1400000000001</v>
      </c>
      <c r="J13503" s="3">
        <v>0</v>
      </c>
      <c r="M13503" t="s">
        <v>25695</v>
      </c>
      <c r="N13503" t="s">
        <v>30</v>
      </c>
      <c r="O13503" t="s">
        <v>31</v>
      </c>
      <c r="P13503" t="str">
        <f>"15210"</f>
        <v>15210</v>
      </c>
    </row>
    <row r="13504" spans="1:16" x14ac:dyDescent="0.25">
      <c r="A13504" t="str">
        <f>"1190062D00340    00"</f>
        <v>1190062D00340    00</v>
      </c>
      <c r="B13504" t="s">
        <v>29680</v>
      </c>
      <c r="C13504" t="s">
        <v>29681</v>
      </c>
      <c r="D13504" t="s">
        <v>20</v>
      </c>
      <c r="E13504" t="s">
        <v>39</v>
      </c>
      <c r="F13504">
        <v>0</v>
      </c>
      <c r="G13504">
        <v>0</v>
      </c>
      <c r="H13504">
        <v>11</v>
      </c>
      <c r="I13504" s="3">
        <v>12519.78</v>
      </c>
      <c r="J13504" s="3">
        <v>6062.43</v>
      </c>
      <c r="K13504" t="s">
        <v>29682</v>
      </c>
      <c r="L13504">
        <v>2850</v>
      </c>
      <c r="M13504" t="s">
        <v>23194</v>
      </c>
      <c r="N13504" t="s">
        <v>30</v>
      </c>
      <c r="O13504" t="s">
        <v>31</v>
      </c>
      <c r="P13504" t="str">
        <f>"15216"</f>
        <v>15216</v>
      </c>
    </row>
    <row r="13505" spans="1:16" x14ac:dyDescent="0.25">
      <c r="A13505" t="str">
        <f>"1190062E00001    00"</f>
        <v>1190062E00001    00</v>
      </c>
      <c r="B13505" t="s">
        <v>29683</v>
      </c>
      <c r="C13505" t="s">
        <v>29684</v>
      </c>
      <c r="D13505" t="s">
        <v>57</v>
      </c>
      <c r="E13505" t="s">
        <v>39</v>
      </c>
      <c r="F13505">
        <v>0</v>
      </c>
      <c r="G13505">
        <v>0</v>
      </c>
      <c r="H13505">
        <v>2</v>
      </c>
      <c r="I13505" s="3">
        <v>1775</v>
      </c>
      <c r="J13505" s="3">
        <v>85.24</v>
      </c>
      <c r="K13505" t="s">
        <v>29685</v>
      </c>
      <c r="L13505">
        <v>1812</v>
      </c>
      <c r="M13505" t="s">
        <v>1484</v>
      </c>
      <c r="N13505" t="s">
        <v>30</v>
      </c>
      <c r="O13505" t="s">
        <v>31</v>
      </c>
      <c r="P13505" t="str">
        <f>"15203"</f>
        <v>15203</v>
      </c>
    </row>
    <row r="13506" spans="1:16" x14ac:dyDescent="0.25">
      <c r="A13506" t="str">
        <f>"1190062E00002    00"</f>
        <v>1190062E00002    00</v>
      </c>
      <c r="B13506" t="s">
        <v>29683</v>
      </c>
      <c r="C13506" t="s">
        <v>29686</v>
      </c>
      <c r="E13506" t="s">
        <v>39</v>
      </c>
      <c r="F13506">
        <v>0</v>
      </c>
      <c r="G13506">
        <v>0</v>
      </c>
      <c r="H13506">
        <v>2</v>
      </c>
      <c r="I13506" s="3">
        <v>1020.24</v>
      </c>
      <c r="J13506" s="3">
        <v>56.94</v>
      </c>
      <c r="K13506" t="s">
        <v>29687</v>
      </c>
      <c r="L13506">
        <v>1812</v>
      </c>
      <c r="M13506" t="s">
        <v>1484</v>
      </c>
      <c r="N13506" t="s">
        <v>30</v>
      </c>
      <c r="O13506" t="s">
        <v>31</v>
      </c>
      <c r="P13506" t="str">
        <f>"15203"</f>
        <v>15203</v>
      </c>
    </row>
    <row r="13507" spans="1:16" x14ac:dyDescent="0.25">
      <c r="A13507" t="str">
        <f>"1190062E00020    00"</f>
        <v>1190062E00020    00</v>
      </c>
      <c r="B13507" t="s">
        <v>29338</v>
      </c>
      <c r="C13507" t="s">
        <v>29688</v>
      </c>
      <c r="D13507" t="s">
        <v>20</v>
      </c>
      <c r="E13507" t="s">
        <v>39</v>
      </c>
      <c r="F13507">
        <v>0</v>
      </c>
      <c r="G13507">
        <v>0</v>
      </c>
      <c r="H13507">
        <v>8</v>
      </c>
      <c r="I13507" s="3">
        <v>9352.4</v>
      </c>
      <c r="J13507" s="3">
        <v>2954.9</v>
      </c>
      <c r="K13507" t="s">
        <v>29340</v>
      </c>
      <c r="L13507">
        <v>164</v>
      </c>
      <c r="M13507" t="s">
        <v>29689</v>
      </c>
      <c r="N13507" t="s">
        <v>30</v>
      </c>
      <c r="O13507" t="s">
        <v>31</v>
      </c>
      <c r="P13507" t="str">
        <f>"15228"</f>
        <v>15228</v>
      </c>
    </row>
    <row r="13508" spans="1:16" x14ac:dyDescent="0.25">
      <c r="A13508" t="str">
        <f>"1190062E00050    00"</f>
        <v>1190062E00050    00</v>
      </c>
      <c r="B13508" t="s">
        <v>29690</v>
      </c>
      <c r="C13508" t="s">
        <v>29691</v>
      </c>
      <c r="D13508" t="s">
        <v>20</v>
      </c>
      <c r="E13508" t="s">
        <v>39</v>
      </c>
      <c r="F13508">
        <v>0</v>
      </c>
      <c r="G13508">
        <v>0</v>
      </c>
      <c r="H13508">
        <v>4</v>
      </c>
      <c r="I13508" s="3">
        <v>3379.01</v>
      </c>
      <c r="J13508" s="3">
        <v>277.16000000000003</v>
      </c>
      <c r="K13508" t="s">
        <v>29692</v>
      </c>
      <c r="L13508">
        <v>2353</v>
      </c>
      <c r="M13508" t="s">
        <v>29693</v>
      </c>
      <c r="N13508" t="s">
        <v>30</v>
      </c>
      <c r="O13508" t="s">
        <v>31</v>
      </c>
      <c r="P13508" t="str">
        <f>"15216"</f>
        <v>15216</v>
      </c>
    </row>
    <row r="13509" spans="1:16" x14ac:dyDescent="0.25">
      <c r="A13509" t="str">
        <f>"1190062E00074    00"</f>
        <v>1190062E00074    00</v>
      </c>
      <c r="B13509" t="s">
        <v>29694</v>
      </c>
      <c r="C13509" t="s">
        <v>29695</v>
      </c>
      <c r="E13509" t="s">
        <v>39</v>
      </c>
      <c r="F13509">
        <v>0</v>
      </c>
      <c r="G13509">
        <v>0</v>
      </c>
      <c r="H13509">
        <v>2</v>
      </c>
      <c r="I13509" s="3">
        <v>608.39</v>
      </c>
      <c r="J13509" s="3">
        <v>195.04</v>
      </c>
      <c r="L13509">
        <v>2348</v>
      </c>
      <c r="M13509" t="s">
        <v>29587</v>
      </c>
      <c r="N13509" t="s">
        <v>30</v>
      </c>
      <c r="O13509" t="s">
        <v>31</v>
      </c>
      <c r="P13509" t="str">
        <f>"15216"</f>
        <v>15216</v>
      </c>
    </row>
    <row r="13510" spans="1:16" x14ac:dyDescent="0.25">
      <c r="A13510" t="str">
        <f>"1190062E00097    00"</f>
        <v>1190062E00097    00</v>
      </c>
      <c r="B13510" t="s">
        <v>29696</v>
      </c>
      <c r="C13510" t="s">
        <v>29697</v>
      </c>
      <c r="D13510" t="s">
        <v>20</v>
      </c>
      <c r="E13510" t="s">
        <v>39</v>
      </c>
      <c r="F13510">
        <v>0</v>
      </c>
      <c r="G13510">
        <v>0</v>
      </c>
      <c r="H13510">
        <v>13</v>
      </c>
      <c r="I13510" s="3">
        <v>10890.19</v>
      </c>
      <c r="J13510" s="3">
        <v>6328.77</v>
      </c>
      <c r="L13510">
        <v>2367</v>
      </c>
      <c r="M13510" t="s">
        <v>29587</v>
      </c>
      <c r="N13510" t="s">
        <v>30</v>
      </c>
      <c r="O13510" t="s">
        <v>31</v>
      </c>
      <c r="P13510" t="str">
        <f>"15216"</f>
        <v>15216</v>
      </c>
    </row>
    <row r="13511" spans="1:16" x14ac:dyDescent="0.25">
      <c r="A13511" t="str">
        <f>"1190062E00099    00"</f>
        <v>1190062E00099    00</v>
      </c>
      <c r="B13511" t="s">
        <v>29698</v>
      </c>
      <c r="C13511" t="s">
        <v>29699</v>
      </c>
      <c r="D13511" t="s">
        <v>20</v>
      </c>
      <c r="E13511" t="s">
        <v>39</v>
      </c>
      <c r="F13511">
        <v>0</v>
      </c>
      <c r="G13511">
        <v>0</v>
      </c>
      <c r="H13511">
        <v>2</v>
      </c>
      <c r="I13511" s="3">
        <v>1491.48</v>
      </c>
      <c r="J13511" s="3">
        <v>0</v>
      </c>
      <c r="K13511" t="s">
        <v>29700</v>
      </c>
      <c r="L13511">
        <v>2373</v>
      </c>
      <c r="M13511" t="s">
        <v>29587</v>
      </c>
      <c r="N13511" t="s">
        <v>30</v>
      </c>
      <c r="O13511" t="s">
        <v>31</v>
      </c>
      <c r="P13511" t="str">
        <f>"15216"</f>
        <v>15216</v>
      </c>
    </row>
    <row r="13512" spans="1:16" x14ac:dyDescent="0.25">
      <c r="A13512" t="str">
        <f>"1190062E00132    00"</f>
        <v>1190062E00132    00</v>
      </c>
      <c r="B13512" t="s">
        <v>29701</v>
      </c>
      <c r="C13512" t="s">
        <v>29702</v>
      </c>
      <c r="D13512" t="s">
        <v>20</v>
      </c>
      <c r="E13512" t="s">
        <v>39</v>
      </c>
      <c r="F13512">
        <v>0</v>
      </c>
      <c r="G13512">
        <v>0</v>
      </c>
      <c r="H13512">
        <v>4</v>
      </c>
      <c r="I13512" s="3">
        <v>3610.93</v>
      </c>
      <c r="J13512" s="3">
        <v>360.74</v>
      </c>
      <c r="K13512" t="s">
        <v>8122</v>
      </c>
      <c r="L13512">
        <v>999</v>
      </c>
      <c r="M13512" t="s">
        <v>8123</v>
      </c>
      <c r="N13512" t="s">
        <v>8124</v>
      </c>
      <c r="O13512" t="s">
        <v>658</v>
      </c>
      <c r="P13512" t="str">
        <f>"73118"</f>
        <v>73118</v>
      </c>
    </row>
    <row r="13513" spans="1:16" x14ac:dyDescent="0.25">
      <c r="A13513" t="str">
        <f>"1190062E00156    00"</f>
        <v>1190062E00156    00</v>
      </c>
      <c r="B13513" t="s">
        <v>29703</v>
      </c>
      <c r="C13513" t="s">
        <v>29704</v>
      </c>
      <c r="D13513" t="s">
        <v>20</v>
      </c>
      <c r="E13513" t="s">
        <v>39</v>
      </c>
      <c r="F13513">
        <v>0</v>
      </c>
      <c r="G13513">
        <v>0</v>
      </c>
      <c r="H13513">
        <v>1</v>
      </c>
      <c r="I13513" s="3">
        <v>47.66</v>
      </c>
      <c r="J13513" s="3">
        <v>0</v>
      </c>
      <c r="L13513">
        <v>374</v>
      </c>
      <c r="M13513" t="s">
        <v>15027</v>
      </c>
      <c r="N13513" t="s">
        <v>30</v>
      </c>
      <c r="O13513" t="s">
        <v>31</v>
      </c>
      <c r="P13513" t="str">
        <f>"15216"</f>
        <v>15216</v>
      </c>
    </row>
    <row r="13514" spans="1:16" x14ac:dyDescent="0.25">
      <c r="A13514" t="str">
        <f>"1190062E00164    00"</f>
        <v>1190062E00164    00</v>
      </c>
      <c r="B13514" t="s">
        <v>29705</v>
      </c>
      <c r="C13514" t="s">
        <v>29706</v>
      </c>
      <c r="E13514" t="s">
        <v>39</v>
      </c>
      <c r="F13514">
        <v>0</v>
      </c>
      <c r="G13514">
        <v>0</v>
      </c>
      <c r="H13514">
        <v>1</v>
      </c>
      <c r="I13514" s="3">
        <v>1332.31</v>
      </c>
      <c r="J13514" s="3">
        <v>0</v>
      </c>
      <c r="K13514" t="s">
        <v>29707</v>
      </c>
      <c r="L13514">
        <v>3015</v>
      </c>
      <c r="M13514" t="s">
        <v>29708</v>
      </c>
      <c r="N13514" t="s">
        <v>4652</v>
      </c>
      <c r="O13514" t="s">
        <v>370</v>
      </c>
      <c r="P13514" t="str">
        <f>"33142"</f>
        <v>33142</v>
      </c>
    </row>
    <row r="13515" spans="1:16" x14ac:dyDescent="0.25">
      <c r="A13515" t="str">
        <f>"1190062E00172    00"</f>
        <v>1190062E00172    00</v>
      </c>
      <c r="B13515" t="s">
        <v>29709</v>
      </c>
      <c r="C13515" t="s">
        <v>29710</v>
      </c>
      <c r="D13515" t="s">
        <v>20</v>
      </c>
      <c r="E13515" t="s">
        <v>39</v>
      </c>
      <c r="F13515">
        <v>0</v>
      </c>
      <c r="G13515">
        <v>0</v>
      </c>
      <c r="H13515">
        <v>1</v>
      </c>
      <c r="I13515" s="3">
        <v>835.3</v>
      </c>
      <c r="J13515" s="3">
        <v>0</v>
      </c>
      <c r="K13515" t="s">
        <v>9056</v>
      </c>
      <c r="L13515">
        <v>3001</v>
      </c>
      <c r="M13515" t="s">
        <v>404</v>
      </c>
      <c r="N13515" t="s">
        <v>331</v>
      </c>
      <c r="O13515" t="s">
        <v>108</v>
      </c>
      <c r="P13515" t="str">
        <f>"75063"</f>
        <v>75063</v>
      </c>
    </row>
    <row r="13516" spans="1:16" x14ac:dyDescent="0.25">
      <c r="A13516" t="str">
        <f>"1190062E00229    00"</f>
        <v>1190062E00229    00</v>
      </c>
      <c r="B13516" t="s">
        <v>29711</v>
      </c>
      <c r="C13516" t="s">
        <v>29712</v>
      </c>
      <c r="D13516" t="s">
        <v>20</v>
      </c>
      <c r="E13516" t="s">
        <v>39</v>
      </c>
      <c r="F13516">
        <v>0</v>
      </c>
      <c r="G13516">
        <v>0</v>
      </c>
      <c r="H13516">
        <v>6</v>
      </c>
      <c r="I13516" s="3">
        <v>4917.16</v>
      </c>
      <c r="J13516" s="3">
        <v>876.5</v>
      </c>
      <c r="L13516">
        <v>551</v>
      </c>
      <c r="M13516" t="s">
        <v>170</v>
      </c>
      <c r="N13516" t="s">
        <v>30</v>
      </c>
      <c r="O13516" t="s">
        <v>31</v>
      </c>
      <c r="P13516" t="str">
        <f>"15243"</f>
        <v>15243</v>
      </c>
    </row>
    <row r="13517" spans="1:16" x14ac:dyDescent="0.25">
      <c r="A13517" t="str">
        <f>"1190062E00230    00"</f>
        <v>1190062E00230    00</v>
      </c>
      <c r="B13517" t="s">
        <v>29713</v>
      </c>
      <c r="C13517" t="s">
        <v>29714</v>
      </c>
      <c r="E13517" t="s">
        <v>39</v>
      </c>
      <c r="F13517">
        <v>0</v>
      </c>
      <c r="G13517">
        <v>0</v>
      </c>
      <c r="H13517">
        <v>1</v>
      </c>
      <c r="I13517" s="3">
        <v>593.41999999999996</v>
      </c>
      <c r="J13517" s="3">
        <v>0</v>
      </c>
      <c r="K13517" t="s">
        <v>4330</v>
      </c>
      <c r="L13517">
        <v>6191</v>
      </c>
      <c r="M13517" t="s">
        <v>4331</v>
      </c>
      <c r="N13517" t="s">
        <v>331</v>
      </c>
      <c r="O13517" t="s">
        <v>108</v>
      </c>
      <c r="P13517" t="str">
        <f>"75038"</f>
        <v>75038</v>
      </c>
    </row>
    <row r="13518" spans="1:16" x14ac:dyDescent="0.25">
      <c r="A13518" t="str">
        <f>"1190062E00231    00"</f>
        <v>1190062E00231    00</v>
      </c>
      <c r="B13518" t="s">
        <v>29713</v>
      </c>
      <c r="C13518" t="s">
        <v>29715</v>
      </c>
      <c r="E13518" t="s">
        <v>39</v>
      </c>
      <c r="F13518">
        <v>0</v>
      </c>
      <c r="G13518">
        <v>0</v>
      </c>
      <c r="H13518">
        <v>1</v>
      </c>
      <c r="I13518" s="3">
        <v>612.47</v>
      </c>
      <c r="J13518" s="3">
        <v>0</v>
      </c>
      <c r="K13518" t="s">
        <v>4330</v>
      </c>
      <c r="L13518">
        <v>6191</v>
      </c>
      <c r="M13518" t="s">
        <v>4331</v>
      </c>
      <c r="N13518" t="s">
        <v>331</v>
      </c>
      <c r="O13518" t="s">
        <v>108</v>
      </c>
      <c r="P13518" t="str">
        <f>"75038"</f>
        <v>75038</v>
      </c>
    </row>
    <row r="13519" spans="1:16" x14ac:dyDescent="0.25">
      <c r="A13519" t="str">
        <f>"1190062E00233    00"</f>
        <v>1190062E00233    00</v>
      </c>
      <c r="B13519" t="s">
        <v>29716</v>
      </c>
      <c r="C13519" t="s">
        <v>29717</v>
      </c>
      <c r="D13519" t="s">
        <v>20</v>
      </c>
      <c r="E13519" t="s">
        <v>39</v>
      </c>
      <c r="F13519">
        <v>0</v>
      </c>
      <c r="G13519">
        <v>0</v>
      </c>
      <c r="H13519">
        <v>1</v>
      </c>
      <c r="I13519" s="3">
        <v>599.63</v>
      </c>
      <c r="J13519" s="3">
        <v>0</v>
      </c>
      <c r="K13519" t="s">
        <v>29718</v>
      </c>
      <c r="L13519">
        <v>3059</v>
      </c>
      <c r="M13519" t="s">
        <v>2837</v>
      </c>
      <c r="N13519" t="s">
        <v>30</v>
      </c>
      <c r="O13519" t="s">
        <v>31</v>
      </c>
      <c r="P13519" t="str">
        <f>"15226"</f>
        <v>15226</v>
      </c>
    </row>
    <row r="13520" spans="1:16" x14ac:dyDescent="0.25">
      <c r="A13520" t="str">
        <f>"1190062E00235    00"</f>
        <v>1190062E00235    00</v>
      </c>
      <c r="B13520" t="s">
        <v>29719</v>
      </c>
      <c r="C13520" t="s">
        <v>29720</v>
      </c>
      <c r="D13520" t="s">
        <v>20</v>
      </c>
      <c r="E13520" t="s">
        <v>39</v>
      </c>
      <c r="F13520">
        <v>0</v>
      </c>
      <c r="G13520">
        <v>0</v>
      </c>
      <c r="H13520">
        <v>12</v>
      </c>
      <c r="I13520" s="3">
        <v>10387.06</v>
      </c>
      <c r="J13520" s="3">
        <v>5463.66</v>
      </c>
      <c r="L13520">
        <v>8</v>
      </c>
      <c r="M13520" t="s">
        <v>29721</v>
      </c>
      <c r="N13520" t="s">
        <v>30</v>
      </c>
      <c r="O13520" t="s">
        <v>31</v>
      </c>
      <c r="P13520" t="str">
        <f>"15216"</f>
        <v>15216</v>
      </c>
    </row>
    <row r="13521" spans="1:16" x14ac:dyDescent="0.25">
      <c r="A13521" t="str">
        <f>"1190062E00236    00"</f>
        <v>1190062E00236    00</v>
      </c>
      <c r="B13521" t="s">
        <v>25257</v>
      </c>
      <c r="C13521" t="s">
        <v>29722</v>
      </c>
      <c r="D13521" t="s">
        <v>20</v>
      </c>
      <c r="E13521" t="s">
        <v>39</v>
      </c>
      <c r="F13521">
        <v>0</v>
      </c>
      <c r="G13521">
        <v>0</v>
      </c>
      <c r="H13521">
        <v>3</v>
      </c>
      <c r="I13521" s="3">
        <v>2728.62</v>
      </c>
      <c r="J13521" s="3">
        <v>161.97999999999999</v>
      </c>
      <c r="L13521">
        <v>303</v>
      </c>
      <c r="M13521" t="s">
        <v>8296</v>
      </c>
      <c r="N13521" t="s">
        <v>30</v>
      </c>
      <c r="O13521" t="s">
        <v>31</v>
      </c>
      <c r="P13521" t="str">
        <f>"15211"</f>
        <v>15211</v>
      </c>
    </row>
    <row r="13522" spans="1:16" x14ac:dyDescent="0.25">
      <c r="A13522" t="str">
        <f>"1190062F00006    00"</f>
        <v>1190062F00006    00</v>
      </c>
      <c r="B13522" t="s">
        <v>29723</v>
      </c>
      <c r="C13522" t="s">
        <v>29724</v>
      </c>
      <c r="D13522" t="s">
        <v>20</v>
      </c>
      <c r="E13522" t="s">
        <v>39</v>
      </c>
      <c r="F13522">
        <v>0</v>
      </c>
      <c r="G13522">
        <v>0</v>
      </c>
      <c r="H13522">
        <v>12</v>
      </c>
      <c r="I13522" s="3">
        <v>13599.72</v>
      </c>
      <c r="J13522" s="3">
        <v>7153.59</v>
      </c>
      <c r="L13522">
        <v>2336</v>
      </c>
      <c r="M13522" t="s">
        <v>26304</v>
      </c>
      <c r="N13522" t="s">
        <v>30</v>
      </c>
      <c r="O13522" t="s">
        <v>31</v>
      </c>
      <c r="P13522" t="str">
        <f>"15216"</f>
        <v>15216</v>
      </c>
    </row>
    <row r="13523" spans="1:16" x14ac:dyDescent="0.25">
      <c r="A13523" t="str">
        <f>"1190062F00048    00"</f>
        <v>1190062F00048    00</v>
      </c>
      <c r="B13523" t="s">
        <v>29725</v>
      </c>
      <c r="C13523" t="s">
        <v>29726</v>
      </c>
      <c r="D13523" t="s">
        <v>20</v>
      </c>
      <c r="E13523" t="s">
        <v>39</v>
      </c>
      <c r="F13523">
        <v>0</v>
      </c>
      <c r="G13523">
        <v>0</v>
      </c>
      <c r="H13523">
        <v>15</v>
      </c>
      <c r="I13523" s="3">
        <v>19285</v>
      </c>
      <c r="J13523" s="3">
        <v>21936.02</v>
      </c>
      <c r="L13523">
        <v>2633</v>
      </c>
      <c r="M13523" t="s">
        <v>15027</v>
      </c>
      <c r="N13523" t="s">
        <v>30</v>
      </c>
      <c r="O13523" t="s">
        <v>31</v>
      </c>
      <c r="P13523" t="str">
        <f>"15216"</f>
        <v>15216</v>
      </c>
    </row>
    <row r="13524" spans="1:16" x14ac:dyDescent="0.25">
      <c r="A13524" t="str">
        <f>"1190062F00067    00"</f>
        <v>1190062F00067    00</v>
      </c>
      <c r="B13524" t="s">
        <v>29727</v>
      </c>
      <c r="C13524" t="s">
        <v>29728</v>
      </c>
      <c r="E13524" t="s">
        <v>39</v>
      </c>
      <c r="F13524">
        <v>0</v>
      </c>
      <c r="G13524">
        <v>0</v>
      </c>
      <c r="H13524">
        <v>1</v>
      </c>
      <c r="I13524" s="3">
        <v>202.37</v>
      </c>
      <c r="J13524" s="3">
        <v>40.47</v>
      </c>
      <c r="L13524">
        <v>2435</v>
      </c>
      <c r="M13524" t="s">
        <v>26304</v>
      </c>
      <c r="N13524" t="s">
        <v>30</v>
      </c>
      <c r="O13524" t="s">
        <v>31</v>
      </c>
      <c r="P13524" t="str">
        <f>"15216"</f>
        <v>15216</v>
      </c>
    </row>
    <row r="13525" spans="1:16" x14ac:dyDescent="0.25">
      <c r="A13525" t="str">
        <f>"1190062F00081    00"</f>
        <v>1190062F00081    00</v>
      </c>
      <c r="B13525" t="s">
        <v>29729</v>
      </c>
      <c r="C13525" t="s">
        <v>29730</v>
      </c>
      <c r="D13525" t="s">
        <v>57</v>
      </c>
      <c r="E13525" t="s">
        <v>39</v>
      </c>
      <c r="F13525">
        <v>0</v>
      </c>
      <c r="G13525">
        <v>0</v>
      </c>
      <c r="H13525">
        <v>1</v>
      </c>
      <c r="I13525" s="3">
        <v>339.27</v>
      </c>
      <c r="J13525" s="3">
        <v>67.849999999999994</v>
      </c>
      <c r="K13525" t="s">
        <v>29731</v>
      </c>
      <c r="L13525">
        <v>102</v>
      </c>
      <c r="M13525" t="s">
        <v>29732</v>
      </c>
      <c r="N13525" t="s">
        <v>321</v>
      </c>
      <c r="O13525" t="s">
        <v>31</v>
      </c>
      <c r="P13525" t="str">
        <f>"15001"</f>
        <v>15001</v>
      </c>
    </row>
    <row r="13526" spans="1:16" x14ac:dyDescent="0.25">
      <c r="A13526" t="str">
        <f>"1190062F00088    00"</f>
        <v>1190062F00088    00</v>
      </c>
      <c r="B13526" t="s">
        <v>29733</v>
      </c>
      <c r="C13526" t="s">
        <v>29734</v>
      </c>
      <c r="D13526" t="s">
        <v>20</v>
      </c>
      <c r="E13526" t="s">
        <v>39</v>
      </c>
      <c r="F13526">
        <v>0</v>
      </c>
      <c r="G13526">
        <v>0</v>
      </c>
      <c r="H13526">
        <v>2</v>
      </c>
      <c r="I13526" s="3">
        <v>752.78</v>
      </c>
      <c r="J13526" s="3">
        <v>8.5500000000000007</v>
      </c>
      <c r="K13526" t="s">
        <v>29735</v>
      </c>
      <c r="L13526">
        <v>2361</v>
      </c>
      <c r="M13526" t="s">
        <v>26304</v>
      </c>
      <c r="N13526" t="s">
        <v>30</v>
      </c>
      <c r="O13526" t="s">
        <v>31</v>
      </c>
      <c r="P13526" t="str">
        <f>"15216"</f>
        <v>15216</v>
      </c>
    </row>
    <row r="13527" spans="1:16" x14ac:dyDescent="0.25">
      <c r="A13527" t="str">
        <f>"1190062F00104    00"</f>
        <v>1190062F00104    00</v>
      </c>
      <c r="B13527" t="s">
        <v>29736</v>
      </c>
      <c r="C13527" t="s">
        <v>29737</v>
      </c>
      <c r="D13527" t="s">
        <v>20</v>
      </c>
      <c r="E13527" t="s">
        <v>39</v>
      </c>
      <c r="F13527">
        <v>0</v>
      </c>
      <c r="G13527">
        <v>0</v>
      </c>
      <c r="H13527">
        <v>2</v>
      </c>
      <c r="I13527" s="3">
        <v>1003.44</v>
      </c>
      <c r="J13527" s="3">
        <v>7.69</v>
      </c>
      <c r="L13527">
        <v>464</v>
      </c>
      <c r="M13527" t="s">
        <v>29738</v>
      </c>
      <c r="N13527" t="s">
        <v>30</v>
      </c>
      <c r="O13527" t="s">
        <v>31</v>
      </c>
      <c r="P13527" t="str">
        <f>"15216"</f>
        <v>15216</v>
      </c>
    </row>
    <row r="13528" spans="1:16" x14ac:dyDescent="0.25">
      <c r="A13528" t="str">
        <f>"1190062F00144    00"</f>
        <v>1190062F00144    00</v>
      </c>
      <c r="B13528" t="s">
        <v>29739</v>
      </c>
      <c r="C13528" t="s">
        <v>29740</v>
      </c>
      <c r="E13528" t="s">
        <v>39</v>
      </c>
      <c r="F13528">
        <v>0</v>
      </c>
      <c r="G13528">
        <v>0</v>
      </c>
      <c r="H13528">
        <v>1</v>
      </c>
      <c r="I13528" s="3">
        <v>1081.3800000000001</v>
      </c>
      <c r="J13528" s="3">
        <v>0</v>
      </c>
      <c r="K13528" t="s">
        <v>391</v>
      </c>
      <c r="L13528">
        <v>1</v>
      </c>
      <c r="M13528" t="s">
        <v>392</v>
      </c>
      <c r="N13528" t="s">
        <v>393</v>
      </c>
      <c r="O13528" t="s">
        <v>394</v>
      </c>
      <c r="P13528" t="str">
        <f>"50328"</f>
        <v>50328</v>
      </c>
    </row>
    <row r="13529" spans="1:16" x14ac:dyDescent="0.25">
      <c r="A13529" t="str">
        <f>"1190062F00157    00"</f>
        <v>1190062F00157    00</v>
      </c>
      <c r="B13529" t="s">
        <v>29741</v>
      </c>
      <c r="C13529" t="s">
        <v>29742</v>
      </c>
      <c r="D13529" t="s">
        <v>20</v>
      </c>
      <c r="E13529" t="s">
        <v>39</v>
      </c>
      <c r="F13529">
        <v>0</v>
      </c>
      <c r="G13529">
        <v>0</v>
      </c>
      <c r="H13529">
        <v>3</v>
      </c>
      <c r="I13529" s="3">
        <v>1797.69</v>
      </c>
      <c r="J13529" s="3">
        <v>58.95</v>
      </c>
      <c r="L13529">
        <v>2375</v>
      </c>
      <c r="M13529" t="s">
        <v>29605</v>
      </c>
      <c r="N13529" t="s">
        <v>30</v>
      </c>
      <c r="O13529" t="s">
        <v>31</v>
      </c>
      <c r="P13529" t="str">
        <f>"15216"</f>
        <v>15216</v>
      </c>
    </row>
    <row r="13530" spans="1:16" x14ac:dyDescent="0.25">
      <c r="A13530" t="str">
        <f>"1190062F00173    00"</f>
        <v>1190062F00173    00</v>
      </c>
      <c r="B13530" t="s">
        <v>29743</v>
      </c>
      <c r="C13530" t="s">
        <v>29744</v>
      </c>
      <c r="D13530" t="s">
        <v>20</v>
      </c>
      <c r="E13530" t="s">
        <v>39</v>
      </c>
      <c r="F13530">
        <v>0</v>
      </c>
      <c r="G13530">
        <v>0</v>
      </c>
      <c r="H13530">
        <v>8</v>
      </c>
      <c r="I13530" s="3">
        <v>15242.91</v>
      </c>
      <c r="J13530" s="3">
        <v>5584.36</v>
      </c>
      <c r="L13530">
        <v>2337</v>
      </c>
      <c r="M13530" t="s">
        <v>29605</v>
      </c>
      <c r="N13530" t="s">
        <v>30</v>
      </c>
      <c r="O13530" t="s">
        <v>31</v>
      </c>
      <c r="P13530" t="str">
        <f>"15216"</f>
        <v>15216</v>
      </c>
    </row>
    <row r="13531" spans="1:16" x14ac:dyDescent="0.25">
      <c r="A13531" t="str">
        <f>"1190062F00205    00"</f>
        <v>1190062F00205    00</v>
      </c>
      <c r="B13531" t="s">
        <v>29745</v>
      </c>
      <c r="C13531" t="s">
        <v>29746</v>
      </c>
      <c r="D13531" t="s">
        <v>20</v>
      </c>
      <c r="E13531" t="s">
        <v>39</v>
      </c>
      <c r="F13531">
        <v>0</v>
      </c>
      <c r="G13531">
        <v>0</v>
      </c>
      <c r="H13531">
        <v>1</v>
      </c>
      <c r="I13531" s="3">
        <v>1812.62</v>
      </c>
      <c r="J13531" s="3">
        <v>0</v>
      </c>
      <c r="K13531" t="s">
        <v>6483</v>
      </c>
      <c r="L13531">
        <v>3001</v>
      </c>
      <c r="M13531" t="s">
        <v>330</v>
      </c>
      <c r="N13531" t="s">
        <v>331</v>
      </c>
      <c r="O13531" t="s">
        <v>108</v>
      </c>
      <c r="P13531" t="str">
        <f>"75063"</f>
        <v>75063</v>
      </c>
    </row>
    <row r="13532" spans="1:16" x14ac:dyDescent="0.25">
      <c r="A13532" t="str">
        <f>"1190062F00235    00"</f>
        <v>1190062F00235    00</v>
      </c>
      <c r="B13532" t="s">
        <v>29747</v>
      </c>
      <c r="C13532" t="s">
        <v>29748</v>
      </c>
      <c r="D13532" t="s">
        <v>20</v>
      </c>
      <c r="E13532" t="s">
        <v>39</v>
      </c>
      <c r="F13532">
        <v>0</v>
      </c>
      <c r="G13532">
        <v>0</v>
      </c>
      <c r="H13532">
        <v>2</v>
      </c>
      <c r="I13532" s="3">
        <v>592.84</v>
      </c>
      <c r="J13532" s="3">
        <v>0</v>
      </c>
      <c r="L13532">
        <v>2335</v>
      </c>
      <c r="M13532" t="s">
        <v>29749</v>
      </c>
      <c r="N13532" t="s">
        <v>30</v>
      </c>
      <c r="O13532" t="s">
        <v>31</v>
      </c>
      <c r="P13532" t="str">
        <f>"15216"</f>
        <v>15216</v>
      </c>
    </row>
    <row r="13533" spans="1:16" x14ac:dyDescent="0.25">
      <c r="A13533" t="str">
        <f>"1190062G00116    00"</f>
        <v>1190062G00116    00</v>
      </c>
      <c r="B13533" t="s">
        <v>22139</v>
      </c>
      <c r="C13533" t="s">
        <v>29750</v>
      </c>
      <c r="D13533" t="s">
        <v>20</v>
      </c>
      <c r="E13533" t="s">
        <v>39</v>
      </c>
      <c r="F13533">
        <v>0</v>
      </c>
      <c r="G13533">
        <v>0</v>
      </c>
      <c r="H13533">
        <v>1</v>
      </c>
      <c r="I13533" s="3">
        <v>606.13</v>
      </c>
      <c r="J13533" s="3">
        <v>0</v>
      </c>
      <c r="K13533" t="s">
        <v>29751</v>
      </c>
      <c r="L13533">
        <v>154</v>
      </c>
      <c r="M13533" t="s">
        <v>22141</v>
      </c>
      <c r="N13533" t="s">
        <v>30</v>
      </c>
      <c r="O13533" t="s">
        <v>31</v>
      </c>
      <c r="P13533" t="str">
        <f>"15236"</f>
        <v>15236</v>
      </c>
    </row>
    <row r="13534" spans="1:16" x14ac:dyDescent="0.25">
      <c r="A13534" t="str">
        <f>"1190062G00124    00"</f>
        <v>1190062G00124    00</v>
      </c>
      <c r="B13534" t="s">
        <v>29752</v>
      </c>
      <c r="C13534" t="s">
        <v>29753</v>
      </c>
      <c r="D13534" t="s">
        <v>20</v>
      </c>
      <c r="E13534" t="s">
        <v>39</v>
      </c>
      <c r="F13534">
        <v>0</v>
      </c>
      <c r="G13534">
        <v>0</v>
      </c>
      <c r="H13534">
        <v>19</v>
      </c>
      <c r="I13534" s="3">
        <v>8077.52</v>
      </c>
      <c r="J13534" s="3">
        <v>6504.72</v>
      </c>
      <c r="L13534">
        <v>314</v>
      </c>
      <c r="M13534" t="s">
        <v>8048</v>
      </c>
      <c r="N13534" t="s">
        <v>30</v>
      </c>
      <c r="O13534" t="s">
        <v>31</v>
      </c>
      <c r="P13534" t="str">
        <f>"15210"</f>
        <v>15210</v>
      </c>
    </row>
    <row r="13535" spans="1:16" x14ac:dyDescent="0.25">
      <c r="A13535" t="str">
        <f>"1190062G00156    00"</f>
        <v>1190062G00156    00</v>
      </c>
      <c r="B13535" t="s">
        <v>29754</v>
      </c>
      <c r="C13535" t="s">
        <v>29753</v>
      </c>
      <c r="D13535" t="s">
        <v>20</v>
      </c>
      <c r="E13535" t="s">
        <v>39</v>
      </c>
      <c r="F13535">
        <v>0</v>
      </c>
      <c r="G13535">
        <v>0</v>
      </c>
      <c r="H13535">
        <v>19</v>
      </c>
      <c r="I13535" s="3">
        <v>8804.81</v>
      </c>
      <c r="J13535" s="3">
        <v>6991.53</v>
      </c>
      <c r="M13535" t="s">
        <v>3522</v>
      </c>
      <c r="N13535" t="s">
        <v>30</v>
      </c>
      <c r="P13535" t="str">
        <f>"15212"</f>
        <v>15212</v>
      </c>
    </row>
    <row r="13536" spans="1:16" x14ac:dyDescent="0.25">
      <c r="A13536" t="str">
        <f>"1190062G00187    00"</f>
        <v>1190062G00187    00</v>
      </c>
      <c r="B13536" t="s">
        <v>29755</v>
      </c>
      <c r="C13536" t="s">
        <v>29753</v>
      </c>
      <c r="D13536" t="s">
        <v>20</v>
      </c>
      <c r="E13536" t="s">
        <v>39</v>
      </c>
      <c r="F13536">
        <v>0</v>
      </c>
      <c r="G13536">
        <v>0</v>
      </c>
      <c r="H13536">
        <v>15</v>
      </c>
      <c r="I13536" s="3">
        <v>5470.18</v>
      </c>
      <c r="J13536" s="3">
        <v>3543.33</v>
      </c>
      <c r="K13536" t="s">
        <v>29756</v>
      </c>
      <c r="L13536">
        <v>14523</v>
      </c>
      <c r="M13536" t="s">
        <v>29757</v>
      </c>
      <c r="N13536" t="s">
        <v>19118</v>
      </c>
      <c r="O13536" t="s">
        <v>3263</v>
      </c>
      <c r="P13536" t="str">
        <f>"97005"</f>
        <v>97005</v>
      </c>
    </row>
    <row r="13537" spans="1:16" x14ac:dyDescent="0.25">
      <c r="A13537" t="str">
        <f>"1190062G00193    00"</f>
        <v>1190062G00193    00</v>
      </c>
      <c r="B13537" t="s">
        <v>29758</v>
      </c>
      <c r="C13537" t="s">
        <v>29666</v>
      </c>
      <c r="D13537" t="s">
        <v>20</v>
      </c>
      <c r="E13537" t="s">
        <v>39</v>
      </c>
      <c r="F13537">
        <v>0</v>
      </c>
      <c r="G13537">
        <v>0</v>
      </c>
      <c r="H13537">
        <v>14</v>
      </c>
      <c r="I13537" s="3">
        <v>4639.0600000000004</v>
      </c>
      <c r="J13537" s="3">
        <v>2484.52</v>
      </c>
      <c r="L13537">
        <v>741</v>
      </c>
      <c r="M13537" t="s">
        <v>29759</v>
      </c>
      <c r="N13537" t="s">
        <v>3934</v>
      </c>
      <c r="O13537" t="s">
        <v>31</v>
      </c>
      <c r="P13537" t="str">
        <f>"15102"</f>
        <v>15102</v>
      </c>
    </row>
    <row r="13538" spans="1:16" x14ac:dyDescent="0.25">
      <c r="A13538" t="str">
        <f>"1190062G00237    00"</f>
        <v>1190062G00237    00</v>
      </c>
      <c r="B13538" t="s">
        <v>29760</v>
      </c>
      <c r="C13538" t="s">
        <v>29761</v>
      </c>
      <c r="D13538" t="s">
        <v>20</v>
      </c>
      <c r="E13538" t="s">
        <v>39</v>
      </c>
      <c r="F13538">
        <v>0</v>
      </c>
      <c r="G13538">
        <v>0</v>
      </c>
      <c r="H13538">
        <v>16</v>
      </c>
      <c r="I13538" s="3">
        <v>19994.919999999998</v>
      </c>
      <c r="J13538" s="3">
        <v>16880.77</v>
      </c>
      <c r="L13538">
        <v>211</v>
      </c>
      <c r="M13538" t="s">
        <v>29762</v>
      </c>
      <c r="N13538" t="s">
        <v>30</v>
      </c>
      <c r="O13538" t="s">
        <v>31</v>
      </c>
      <c r="P13538" t="str">
        <f>"15211"</f>
        <v>15211</v>
      </c>
    </row>
    <row r="13539" spans="1:16" x14ac:dyDescent="0.25">
      <c r="A13539" t="str">
        <f>"1190062G00284    00"</f>
        <v>1190062G00284    00</v>
      </c>
      <c r="B13539" t="s">
        <v>29763</v>
      </c>
      <c r="C13539" t="s">
        <v>29764</v>
      </c>
      <c r="D13539" t="s">
        <v>20</v>
      </c>
      <c r="E13539" t="s">
        <v>39</v>
      </c>
      <c r="F13539">
        <v>0</v>
      </c>
      <c r="G13539">
        <v>0</v>
      </c>
      <c r="H13539">
        <v>19</v>
      </c>
      <c r="I13539" s="3">
        <v>446.89</v>
      </c>
      <c r="J13539" s="3">
        <v>483.75</v>
      </c>
      <c r="K13539" t="s">
        <v>1008</v>
      </c>
      <c r="P13539" t="str">
        <f>""</f>
        <v/>
      </c>
    </row>
    <row r="13540" spans="1:16" x14ac:dyDescent="0.25">
      <c r="A13540" t="str">
        <f>"1190062H00020    00"</f>
        <v>1190062H00020    00</v>
      </c>
      <c r="B13540" t="s">
        <v>29765</v>
      </c>
      <c r="C13540" t="s">
        <v>29766</v>
      </c>
      <c r="D13540" t="s">
        <v>20</v>
      </c>
      <c r="E13540" t="s">
        <v>39</v>
      </c>
      <c r="F13540">
        <v>0</v>
      </c>
      <c r="G13540">
        <v>0</v>
      </c>
      <c r="H13540">
        <v>8</v>
      </c>
      <c r="I13540" s="3">
        <v>6798.97</v>
      </c>
      <c r="J13540" s="3">
        <v>2474.7800000000002</v>
      </c>
      <c r="L13540">
        <v>2095</v>
      </c>
      <c r="M13540" t="s">
        <v>2966</v>
      </c>
      <c r="N13540" t="s">
        <v>30</v>
      </c>
      <c r="O13540" t="s">
        <v>31</v>
      </c>
      <c r="P13540" t="str">
        <f>"15226"</f>
        <v>15226</v>
      </c>
    </row>
    <row r="13541" spans="1:16" x14ac:dyDescent="0.25">
      <c r="A13541" t="str">
        <f>"1190062H00073    00"</f>
        <v>1190062H00073    00</v>
      </c>
      <c r="B13541" t="s">
        <v>29767</v>
      </c>
      <c r="C13541" t="s">
        <v>29768</v>
      </c>
      <c r="E13541" t="s">
        <v>39</v>
      </c>
      <c r="F13541">
        <v>0</v>
      </c>
      <c r="G13541">
        <v>0</v>
      </c>
      <c r="H13541">
        <v>3</v>
      </c>
      <c r="I13541" s="3">
        <v>1863.83</v>
      </c>
      <c r="J13541" s="3">
        <v>830.69</v>
      </c>
      <c r="K13541" t="s">
        <v>29769</v>
      </c>
      <c r="L13541">
        <v>2050</v>
      </c>
      <c r="M13541" t="s">
        <v>2837</v>
      </c>
      <c r="N13541" t="s">
        <v>30</v>
      </c>
      <c r="O13541" t="s">
        <v>31</v>
      </c>
      <c r="P13541" t="str">
        <f>"15226"</f>
        <v>15226</v>
      </c>
    </row>
    <row r="13542" spans="1:16" x14ac:dyDescent="0.25">
      <c r="A13542" t="str">
        <f>"1190062H00098    00"</f>
        <v>1190062H00098    00</v>
      </c>
      <c r="B13542" t="s">
        <v>29770</v>
      </c>
      <c r="C13542" t="s">
        <v>29771</v>
      </c>
      <c r="D13542" t="s">
        <v>20</v>
      </c>
      <c r="E13542" t="s">
        <v>39</v>
      </c>
      <c r="F13542">
        <v>0</v>
      </c>
      <c r="G13542">
        <v>0</v>
      </c>
      <c r="H13542">
        <v>7</v>
      </c>
      <c r="I13542" s="3">
        <v>12723.81</v>
      </c>
      <c r="J13542" s="3">
        <v>3518.55</v>
      </c>
      <c r="L13542">
        <v>335</v>
      </c>
      <c r="M13542" t="s">
        <v>29480</v>
      </c>
      <c r="N13542" t="s">
        <v>30</v>
      </c>
      <c r="O13542" t="s">
        <v>31</v>
      </c>
      <c r="P13542" t="str">
        <f>"15226"</f>
        <v>15226</v>
      </c>
    </row>
    <row r="13543" spans="1:16" x14ac:dyDescent="0.25">
      <c r="A13543" t="str">
        <f>"1190062H00100    00"</f>
        <v>1190062H00100    00</v>
      </c>
      <c r="B13543" t="s">
        <v>29772</v>
      </c>
      <c r="C13543" t="s">
        <v>29773</v>
      </c>
      <c r="E13543" t="s">
        <v>39</v>
      </c>
      <c r="F13543">
        <v>0</v>
      </c>
      <c r="G13543">
        <v>0</v>
      </c>
      <c r="H13543">
        <v>1</v>
      </c>
      <c r="I13543" s="3">
        <v>1061.9100000000001</v>
      </c>
      <c r="J13543" s="3">
        <v>0</v>
      </c>
      <c r="K13543" t="s">
        <v>29774</v>
      </c>
      <c r="L13543">
        <v>10517</v>
      </c>
      <c r="M13543" t="s">
        <v>29775</v>
      </c>
      <c r="N13543" t="s">
        <v>25906</v>
      </c>
      <c r="O13543" t="s">
        <v>108</v>
      </c>
      <c r="P13543" t="str">
        <f>"75072"</f>
        <v>75072</v>
      </c>
    </row>
    <row r="13544" spans="1:16" x14ac:dyDescent="0.25">
      <c r="A13544" t="str">
        <f>"1190062H00161    00"</f>
        <v>1190062H00161    00</v>
      </c>
      <c r="B13544" t="s">
        <v>29776</v>
      </c>
      <c r="C13544" t="s">
        <v>29777</v>
      </c>
      <c r="D13544" t="s">
        <v>20</v>
      </c>
      <c r="E13544" t="s">
        <v>39</v>
      </c>
      <c r="F13544">
        <v>0</v>
      </c>
      <c r="G13544">
        <v>0</v>
      </c>
      <c r="H13544">
        <v>4</v>
      </c>
      <c r="I13544" s="3">
        <v>2218.67</v>
      </c>
      <c r="J13544" s="3">
        <v>163.54</v>
      </c>
      <c r="L13544">
        <v>324</v>
      </c>
      <c r="M13544" t="s">
        <v>29493</v>
      </c>
      <c r="N13544" t="s">
        <v>30</v>
      </c>
      <c r="O13544" t="s">
        <v>31</v>
      </c>
      <c r="P13544" t="str">
        <f>"15226"</f>
        <v>15226</v>
      </c>
    </row>
    <row r="13545" spans="1:16" x14ac:dyDescent="0.25">
      <c r="A13545" t="str">
        <f>"1190062H00162    00"</f>
        <v>1190062H00162    00</v>
      </c>
      <c r="B13545" t="s">
        <v>29778</v>
      </c>
      <c r="C13545" t="s">
        <v>29779</v>
      </c>
      <c r="E13545" t="s">
        <v>39</v>
      </c>
      <c r="F13545">
        <v>0</v>
      </c>
      <c r="G13545">
        <v>0</v>
      </c>
      <c r="H13545">
        <v>4</v>
      </c>
      <c r="I13545" s="3">
        <v>1509.11</v>
      </c>
      <c r="J13545" s="3">
        <v>46.59</v>
      </c>
      <c r="L13545">
        <v>322</v>
      </c>
      <c r="M13545" t="s">
        <v>29493</v>
      </c>
      <c r="N13545" t="s">
        <v>30</v>
      </c>
      <c r="O13545" t="s">
        <v>31</v>
      </c>
      <c r="P13545" t="str">
        <f>"15226"</f>
        <v>15226</v>
      </c>
    </row>
    <row r="13546" spans="1:16" x14ac:dyDescent="0.25">
      <c r="A13546" t="str">
        <f>"1190062H00210    00"</f>
        <v>1190062H00210    00</v>
      </c>
      <c r="B13546" t="s">
        <v>29780</v>
      </c>
      <c r="C13546" t="s">
        <v>29781</v>
      </c>
      <c r="D13546" t="s">
        <v>20</v>
      </c>
      <c r="E13546" t="s">
        <v>39</v>
      </c>
      <c r="F13546">
        <v>0</v>
      </c>
      <c r="G13546">
        <v>0</v>
      </c>
      <c r="H13546">
        <v>1</v>
      </c>
      <c r="I13546" s="3">
        <v>277.69</v>
      </c>
      <c r="J13546" s="3">
        <v>0</v>
      </c>
      <c r="K13546" t="s">
        <v>6303</v>
      </c>
      <c r="L13546">
        <v>8050</v>
      </c>
      <c r="M13546" t="s">
        <v>6304</v>
      </c>
      <c r="N13546" t="s">
        <v>2008</v>
      </c>
      <c r="O13546" t="s">
        <v>31</v>
      </c>
      <c r="P13546" t="str">
        <f>"16066"</f>
        <v>16066</v>
      </c>
    </row>
    <row r="13547" spans="1:16" x14ac:dyDescent="0.25">
      <c r="A13547" t="str">
        <f>"1190062H00250    00"</f>
        <v>1190062H00250    00</v>
      </c>
      <c r="B13547" t="s">
        <v>29782</v>
      </c>
      <c r="C13547" t="s">
        <v>29783</v>
      </c>
      <c r="D13547" t="s">
        <v>20</v>
      </c>
      <c r="E13547" t="s">
        <v>39</v>
      </c>
      <c r="F13547">
        <v>0</v>
      </c>
      <c r="G13547">
        <v>0</v>
      </c>
      <c r="H13547">
        <v>2</v>
      </c>
      <c r="I13547" s="3">
        <v>2021.47</v>
      </c>
      <c r="J13547" s="3">
        <v>0</v>
      </c>
      <c r="K13547" t="s">
        <v>6184</v>
      </c>
      <c r="L13547">
        <v>901</v>
      </c>
      <c r="M13547" t="s">
        <v>1503</v>
      </c>
      <c r="N13547" t="s">
        <v>494</v>
      </c>
      <c r="O13547" t="s">
        <v>495</v>
      </c>
      <c r="P13547" t="str">
        <f>"91768"</f>
        <v>91768</v>
      </c>
    </row>
    <row r="13548" spans="1:16" x14ac:dyDescent="0.25">
      <c r="A13548" t="str">
        <f>"1190062H00304    00"</f>
        <v>1190062H00304    00</v>
      </c>
      <c r="B13548" t="s">
        <v>29784</v>
      </c>
      <c r="C13548" t="s">
        <v>29785</v>
      </c>
      <c r="D13548" t="s">
        <v>20</v>
      </c>
      <c r="E13548" t="s">
        <v>39</v>
      </c>
      <c r="F13548">
        <v>0</v>
      </c>
      <c r="G13548">
        <v>0</v>
      </c>
      <c r="H13548">
        <v>1</v>
      </c>
      <c r="I13548" s="3">
        <v>1581.98</v>
      </c>
      <c r="J13548" s="3">
        <v>0</v>
      </c>
      <c r="L13548">
        <v>535</v>
      </c>
      <c r="M13548" t="s">
        <v>16918</v>
      </c>
      <c r="N13548" t="s">
        <v>30</v>
      </c>
      <c r="O13548" t="s">
        <v>31</v>
      </c>
      <c r="P13548" t="str">
        <f>"15226"</f>
        <v>15226</v>
      </c>
    </row>
    <row r="13549" spans="1:16" x14ac:dyDescent="0.25">
      <c r="A13549" t="str">
        <f>"1190062J00018    00"</f>
        <v>1190062J00018    00</v>
      </c>
      <c r="B13549" t="s">
        <v>29711</v>
      </c>
      <c r="C13549" t="s">
        <v>29786</v>
      </c>
      <c r="D13549" t="s">
        <v>20</v>
      </c>
      <c r="E13549" t="s">
        <v>39</v>
      </c>
      <c r="F13549">
        <v>0</v>
      </c>
      <c r="G13549">
        <v>0</v>
      </c>
      <c r="H13549">
        <v>6</v>
      </c>
      <c r="I13549" s="3">
        <v>7437.93</v>
      </c>
      <c r="J13549" s="3">
        <v>1325.82</v>
      </c>
      <c r="L13549">
        <v>551</v>
      </c>
      <c r="M13549" t="s">
        <v>170</v>
      </c>
      <c r="N13549" t="s">
        <v>30</v>
      </c>
      <c r="O13549" t="s">
        <v>31</v>
      </c>
      <c r="P13549" t="str">
        <f>"15243"</f>
        <v>15243</v>
      </c>
    </row>
    <row r="13550" spans="1:16" x14ac:dyDescent="0.25">
      <c r="A13550" t="str">
        <f>"1190062J00023    00"</f>
        <v>1190062J00023    00</v>
      </c>
      <c r="B13550" t="s">
        <v>29787</v>
      </c>
      <c r="C13550" t="s">
        <v>29788</v>
      </c>
      <c r="E13550" t="s">
        <v>39</v>
      </c>
      <c r="F13550">
        <v>0</v>
      </c>
      <c r="G13550">
        <v>0</v>
      </c>
      <c r="H13550">
        <v>2</v>
      </c>
      <c r="I13550" s="3">
        <v>537.05999999999995</v>
      </c>
      <c r="J13550" s="3">
        <v>85.16</v>
      </c>
      <c r="L13550">
        <v>69</v>
      </c>
      <c r="M13550" t="s">
        <v>29721</v>
      </c>
      <c r="N13550" t="s">
        <v>30</v>
      </c>
      <c r="O13550" t="s">
        <v>31</v>
      </c>
      <c r="P13550" t="str">
        <f>"15216"</f>
        <v>15216</v>
      </c>
    </row>
    <row r="13551" spans="1:16" x14ac:dyDescent="0.25">
      <c r="A13551" t="str">
        <f>"1190062J00024    00"</f>
        <v>1190062J00024    00</v>
      </c>
      <c r="B13551" t="s">
        <v>29789</v>
      </c>
      <c r="C13551" t="s">
        <v>29790</v>
      </c>
      <c r="D13551" t="s">
        <v>20</v>
      </c>
      <c r="E13551" t="s">
        <v>39</v>
      </c>
      <c r="F13551">
        <v>0</v>
      </c>
      <c r="G13551">
        <v>0</v>
      </c>
      <c r="H13551">
        <v>1</v>
      </c>
      <c r="I13551" s="3">
        <v>993.04</v>
      </c>
      <c r="J13551" s="3">
        <v>0</v>
      </c>
      <c r="K13551" t="s">
        <v>29791</v>
      </c>
      <c r="L13551">
        <v>673</v>
      </c>
      <c r="M13551" t="s">
        <v>29792</v>
      </c>
      <c r="N13551" t="s">
        <v>1474</v>
      </c>
      <c r="O13551" t="s">
        <v>31</v>
      </c>
      <c r="P13551" t="str">
        <f>"15017"</f>
        <v>15017</v>
      </c>
    </row>
    <row r="13552" spans="1:16" x14ac:dyDescent="0.25">
      <c r="A13552" t="str">
        <f>"1190062J00033    00"</f>
        <v>1190062J00033    00</v>
      </c>
      <c r="B13552" t="s">
        <v>29793</v>
      </c>
      <c r="C13552" t="s">
        <v>29794</v>
      </c>
      <c r="E13552" t="s">
        <v>39</v>
      </c>
      <c r="F13552">
        <v>0</v>
      </c>
      <c r="G13552">
        <v>0</v>
      </c>
      <c r="H13552">
        <v>1</v>
      </c>
      <c r="I13552" s="3">
        <v>922.99</v>
      </c>
      <c r="J13552" s="3">
        <v>253.81</v>
      </c>
      <c r="M13552" t="s">
        <v>29795</v>
      </c>
      <c r="N13552" t="s">
        <v>3934</v>
      </c>
      <c r="O13552" t="s">
        <v>31</v>
      </c>
      <c r="P13552" t="str">
        <f>"15102"</f>
        <v>15102</v>
      </c>
    </row>
    <row r="13553" spans="1:16" x14ac:dyDescent="0.25">
      <c r="A13553" t="str">
        <f>"1190062J00047    00"</f>
        <v>1190062J00047    00</v>
      </c>
      <c r="B13553" t="s">
        <v>29796</v>
      </c>
      <c r="C13553" t="s">
        <v>29797</v>
      </c>
      <c r="D13553" t="s">
        <v>20</v>
      </c>
      <c r="E13553" t="s">
        <v>39</v>
      </c>
      <c r="F13553">
        <v>0</v>
      </c>
      <c r="G13553">
        <v>0</v>
      </c>
      <c r="H13553">
        <v>2</v>
      </c>
      <c r="I13553" s="3">
        <v>716.69</v>
      </c>
      <c r="J13553" s="3">
        <v>0</v>
      </c>
      <c r="L13553">
        <v>40</v>
      </c>
      <c r="M13553" t="s">
        <v>29721</v>
      </c>
      <c r="N13553" t="s">
        <v>30</v>
      </c>
      <c r="O13553" t="s">
        <v>31</v>
      </c>
      <c r="P13553" t="str">
        <f>"15216"</f>
        <v>15216</v>
      </c>
    </row>
    <row r="13554" spans="1:16" x14ac:dyDescent="0.25">
      <c r="A13554" t="str">
        <f>"1190062J00051    00"</f>
        <v>1190062J00051    00</v>
      </c>
      <c r="B13554" t="s">
        <v>29798</v>
      </c>
      <c r="C13554" t="s">
        <v>29799</v>
      </c>
      <c r="D13554" t="s">
        <v>20</v>
      </c>
      <c r="E13554" t="s">
        <v>39</v>
      </c>
      <c r="F13554">
        <v>0</v>
      </c>
      <c r="G13554">
        <v>0</v>
      </c>
      <c r="H13554">
        <v>1</v>
      </c>
      <c r="I13554" s="3">
        <v>762.4</v>
      </c>
      <c r="J13554" s="3">
        <v>0</v>
      </c>
      <c r="K13554" t="s">
        <v>29086</v>
      </c>
      <c r="L13554">
        <v>1150</v>
      </c>
      <c r="M13554" t="s">
        <v>20800</v>
      </c>
      <c r="N13554" t="s">
        <v>163</v>
      </c>
      <c r="O13554" t="s">
        <v>31</v>
      </c>
      <c r="P13554" t="str">
        <f>"19406"</f>
        <v>19406</v>
      </c>
    </row>
    <row r="13555" spans="1:16" x14ac:dyDescent="0.25">
      <c r="A13555" t="str">
        <f>"1190062J00063    00"</f>
        <v>1190062J00063    00</v>
      </c>
      <c r="B13555" t="s">
        <v>29800</v>
      </c>
      <c r="C13555" t="s">
        <v>29801</v>
      </c>
      <c r="D13555" t="s">
        <v>20</v>
      </c>
      <c r="E13555" t="s">
        <v>39</v>
      </c>
      <c r="F13555">
        <v>0</v>
      </c>
      <c r="G13555">
        <v>0</v>
      </c>
      <c r="H13555">
        <v>4</v>
      </c>
      <c r="I13555" s="3">
        <v>3781.82</v>
      </c>
      <c r="J13555" s="3">
        <v>446.74</v>
      </c>
      <c r="L13555">
        <v>2981</v>
      </c>
      <c r="M13555" t="s">
        <v>29802</v>
      </c>
      <c r="N13555" t="s">
        <v>30</v>
      </c>
      <c r="O13555" t="s">
        <v>31</v>
      </c>
      <c r="P13555" t="str">
        <f>"15216"</f>
        <v>15216</v>
      </c>
    </row>
    <row r="13556" spans="1:16" x14ac:dyDescent="0.25">
      <c r="A13556" t="str">
        <f>"1190062J00071    00"</f>
        <v>1190062J00071    00</v>
      </c>
      <c r="B13556" t="s">
        <v>29803</v>
      </c>
      <c r="C13556" t="s">
        <v>29804</v>
      </c>
      <c r="E13556" t="s">
        <v>39</v>
      </c>
      <c r="F13556">
        <v>0</v>
      </c>
      <c r="G13556">
        <v>0</v>
      </c>
      <c r="H13556">
        <v>1</v>
      </c>
      <c r="I13556" s="3">
        <v>1378.64</v>
      </c>
      <c r="J13556" s="3">
        <v>551.42999999999995</v>
      </c>
      <c r="L13556">
        <v>86</v>
      </c>
      <c r="M13556" t="s">
        <v>29721</v>
      </c>
      <c r="N13556" t="s">
        <v>30</v>
      </c>
      <c r="O13556" t="s">
        <v>31</v>
      </c>
      <c r="P13556" t="str">
        <f>"15216"</f>
        <v>15216</v>
      </c>
    </row>
    <row r="13557" spans="1:16" x14ac:dyDescent="0.25">
      <c r="A13557" t="str">
        <f>"1190062K00006    00"</f>
        <v>1190062K00006    00</v>
      </c>
      <c r="B13557" t="s">
        <v>29805</v>
      </c>
      <c r="C13557" t="s">
        <v>29806</v>
      </c>
      <c r="D13557" t="s">
        <v>20</v>
      </c>
      <c r="E13557" t="s">
        <v>21</v>
      </c>
      <c r="F13557">
        <v>0</v>
      </c>
      <c r="G13557">
        <v>0</v>
      </c>
      <c r="H13557">
        <v>1</v>
      </c>
      <c r="I13557" s="3">
        <v>2128</v>
      </c>
      <c r="J13557" s="3">
        <v>0</v>
      </c>
      <c r="K13557" t="s">
        <v>29807</v>
      </c>
      <c r="L13557">
        <v>3</v>
      </c>
      <c r="M13557" t="s">
        <v>29808</v>
      </c>
      <c r="N13557" t="s">
        <v>18305</v>
      </c>
      <c r="O13557" t="s">
        <v>31</v>
      </c>
      <c r="P13557" t="str">
        <f>"15330"</f>
        <v>15330</v>
      </c>
    </row>
    <row r="13558" spans="1:16" x14ac:dyDescent="0.25">
      <c r="A13558" t="str">
        <f>"1190062K00053    00"</f>
        <v>1190062K00053    00</v>
      </c>
      <c r="B13558" t="s">
        <v>29809</v>
      </c>
      <c r="C13558" t="s">
        <v>29810</v>
      </c>
      <c r="E13558" t="s">
        <v>39</v>
      </c>
      <c r="F13558">
        <v>0</v>
      </c>
      <c r="G13558">
        <v>0</v>
      </c>
      <c r="H13558">
        <v>3</v>
      </c>
      <c r="I13558" s="3">
        <v>877.35</v>
      </c>
      <c r="J13558" s="3">
        <v>29.24</v>
      </c>
      <c r="L13558">
        <v>2440</v>
      </c>
      <c r="M13558" t="s">
        <v>26304</v>
      </c>
      <c r="N13558" t="s">
        <v>30</v>
      </c>
      <c r="O13558" t="s">
        <v>31</v>
      </c>
      <c r="P13558" t="str">
        <f>"15216"</f>
        <v>15216</v>
      </c>
    </row>
    <row r="13559" spans="1:16" x14ac:dyDescent="0.25">
      <c r="A13559" t="str">
        <f>"1190062K00231    00"</f>
        <v>1190062K00231    00</v>
      </c>
      <c r="B13559" t="s">
        <v>29811</v>
      </c>
      <c r="C13559" t="s">
        <v>29812</v>
      </c>
      <c r="D13559" t="s">
        <v>20</v>
      </c>
      <c r="E13559" t="s">
        <v>21</v>
      </c>
      <c r="F13559">
        <v>0</v>
      </c>
      <c r="G13559">
        <v>0</v>
      </c>
      <c r="H13559">
        <v>1</v>
      </c>
      <c r="I13559" s="3">
        <v>1892.66</v>
      </c>
      <c r="J13559" s="3">
        <v>0</v>
      </c>
      <c r="L13559">
        <v>2531</v>
      </c>
      <c r="M13559" t="s">
        <v>6937</v>
      </c>
      <c r="N13559" t="s">
        <v>30</v>
      </c>
      <c r="O13559" t="s">
        <v>31</v>
      </c>
      <c r="P13559" t="str">
        <f>"15226"</f>
        <v>15226</v>
      </c>
    </row>
    <row r="13560" spans="1:16" x14ac:dyDescent="0.25">
      <c r="A13560" t="str">
        <f>"1190062K00233    00"</f>
        <v>1190062K00233    00</v>
      </c>
      <c r="B13560" t="s">
        <v>29813</v>
      </c>
      <c r="C13560" t="s">
        <v>29814</v>
      </c>
      <c r="E13560" t="s">
        <v>39</v>
      </c>
      <c r="F13560">
        <v>0</v>
      </c>
      <c r="G13560">
        <v>0</v>
      </c>
      <c r="H13560">
        <v>2</v>
      </c>
      <c r="I13560" s="3">
        <v>3998.82</v>
      </c>
      <c r="J13560" s="3">
        <v>399.87</v>
      </c>
      <c r="K13560" t="s">
        <v>29815</v>
      </c>
      <c r="L13560">
        <v>2524</v>
      </c>
      <c r="M13560" t="s">
        <v>3522</v>
      </c>
      <c r="N13560" t="s">
        <v>30</v>
      </c>
      <c r="O13560" t="s">
        <v>31</v>
      </c>
      <c r="P13560" t="str">
        <f>"15226"</f>
        <v>15226</v>
      </c>
    </row>
    <row r="13561" spans="1:16" x14ac:dyDescent="0.25">
      <c r="A13561" t="str">
        <f>"1190062K00235    00"</f>
        <v>1190062K00235    00</v>
      </c>
      <c r="B13561" t="s">
        <v>29811</v>
      </c>
      <c r="C13561" t="s">
        <v>29812</v>
      </c>
      <c r="D13561" t="s">
        <v>20</v>
      </c>
      <c r="E13561" t="s">
        <v>21</v>
      </c>
      <c r="F13561">
        <v>0</v>
      </c>
      <c r="G13561">
        <v>0</v>
      </c>
      <c r="H13561">
        <v>1</v>
      </c>
      <c r="I13561" s="3">
        <v>970.16</v>
      </c>
      <c r="J13561" s="3">
        <v>0</v>
      </c>
      <c r="L13561">
        <v>2531</v>
      </c>
      <c r="M13561" t="s">
        <v>6937</v>
      </c>
      <c r="N13561" t="s">
        <v>30</v>
      </c>
      <c r="O13561" t="s">
        <v>31</v>
      </c>
      <c r="P13561" t="str">
        <f>"15226"</f>
        <v>15226</v>
      </c>
    </row>
    <row r="13562" spans="1:16" x14ac:dyDescent="0.25">
      <c r="A13562" t="str">
        <f>"1190062K00245    00"</f>
        <v>1190062K00245    00</v>
      </c>
      <c r="B13562" t="s">
        <v>29816</v>
      </c>
      <c r="C13562" t="s">
        <v>29817</v>
      </c>
      <c r="E13562" t="s">
        <v>39</v>
      </c>
      <c r="F13562">
        <v>0</v>
      </c>
      <c r="G13562">
        <v>0</v>
      </c>
      <c r="H13562">
        <v>1</v>
      </c>
      <c r="I13562" s="3">
        <v>925.06</v>
      </c>
      <c r="J13562" s="3">
        <v>0</v>
      </c>
      <c r="L13562">
        <v>100</v>
      </c>
      <c r="M13562" t="s">
        <v>29818</v>
      </c>
      <c r="N13562" t="s">
        <v>30</v>
      </c>
      <c r="O13562" t="s">
        <v>31</v>
      </c>
      <c r="P13562" t="str">
        <f>"15202"</f>
        <v>15202</v>
      </c>
    </row>
    <row r="13563" spans="1:16" x14ac:dyDescent="0.25">
      <c r="A13563" t="str">
        <f>"1190062K00278    00"</f>
        <v>1190062K00278    00</v>
      </c>
      <c r="B13563" t="s">
        <v>29819</v>
      </c>
      <c r="C13563" t="s">
        <v>29820</v>
      </c>
      <c r="E13563" t="s">
        <v>39</v>
      </c>
      <c r="F13563">
        <v>0</v>
      </c>
      <c r="G13563">
        <v>0</v>
      </c>
      <c r="H13563">
        <v>13</v>
      </c>
      <c r="I13563" s="3">
        <v>11224.73</v>
      </c>
      <c r="J13563" s="3">
        <v>14584.42</v>
      </c>
      <c r="L13563">
        <v>2544</v>
      </c>
      <c r="M13563" t="s">
        <v>3522</v>
      </c>
      <c r="N13563" t="s">
        <v>30</v>
      </c>
      <c r="O13563" t="s">
        <v>31</v>
      </c>
      <c r="P13563" t="str">
        <f>"15226"</f>
        <v>15226</v>
      </c>
    </row>
    <row r="13564" spans="1:16" x14ac:dyDescent="0.25">
      <c r="A13564" t="str">
        <f>"1190062K00283    00"</f>
        <v>1190062K00283    00</v>
      </c>
      <c r="B13564" t="s">
        <v>28638</v>
      </c>
      <c r="C13564" t="s">
        <v>29821</v>
      </c>
      <c r="D13564" t="s">
        <v>20</v>
      </c>
      <c r="E13564" t="s">
        <v>39</v>
      </c>
      <c r="F13564">
        <v>0</v>
      </c>
      <c r="G13564">
        <v>0</v>
      </c>
      <c r="H13564">
        <v>13</v>
      </c>
      <c r="I13564" s="3">
        <v>8858.34</v>
      </c>
      <c r="J13564" s="3">
        <v>6002.13</v>
      </c>
      <c r="K13564" t="s">
        <v>28640</v>
      </c>
      <c r="L13564">
        <v>1800</v>
      </c>
      <c r="M13564" t="s">
        <v>28641</v>
      </c>
      <c r="N13564" t="s">
        <v>30</v>
      </c>
      <c r="O13564" t="s">
        <v>31</v>
      </c>
      <c r="P13564" t="str">
        <f>"15217"</f>
        <v>15217</v>
      </c>
    </row>
    <row r="13565" spans="1:16" x14ac:dyDescent="0.25">
      <c r="A13565" t="str">
        <f>"1190062K00294    00"</f>
        <v>1190062K00294    00</v>
      </c>
      <c r="B13565" t="s">
        <v>29822</v>
      </c>
      <c r="C13565" t="s">
        <v>29823</v>
      </c>
      <c r="D13565" t="s">
        <v>20</v>
      </c>
      <c r="E13565" t="s">
        <v>39</v>
      </c>
      <c r="F13565">
        <v>0</v>
      </c>
      <c r="G13565">
        <v>0</v>
      </c>
      <c r="H13565">
        <v>2</v>
      </c>
      <c r="I13565" s="3">
        <v>817.46</v>
      </c>
      <c r="J13565" s="3">
        <v>0</v>
      </c>
      <c r="L13565">
        <v>2526</v>
      </c>
      <c r="M13565" t="s">
        <v>2966</v>
      </c>
      <c r="N13565" t="s">
        <v>30</v>
      </c>
      <c r="O13565" t="s">
        <v>31</v>
      </c>
      <c r="P13565" t="str">
        <f>"15226"</f>
        <v>15226</v>
      </c>
    </row>
    <row r="13566" spans="1:16" x14ac:dyDescent="0.25">
      <c r="A13566" t="str">
        <f>"1190062L00020    00"</f>
        <v>1190062L00020    00</v>
      </c>
      <c r="B13566" t="s">
        <v>29824</v>
      </c>
      <c r="C13566" t="s">
        <v>29753</v>
      </c>
      <c r="D13566" t="s">
        <v>20</v>
      </c>
      <c r="E13566" t="s">
        <v>39</v>
      </c>
      <c r="F13566">
        <v>0</v>
      </c>
      <c r="G13566">
        <v>0</v>
      </c>
      <c r="H13566">
        <v>18</v>
      </c>
      <c r="I13566" s="3">
        <v>6240.54</v>
      </c>
      <c r="J13566" s="3">
        <v>5552.5</v>
      </c>
      <c r="L13566">
        <v>2443</v>
      </c>
      <c r="M13566" t="s">
        <v>3522</v>
      </c>
      <c r="N13566" t="s">
        <v>30</v>
      </c>
      <c r="O13566" t="s">
        <v>31</v>
      </c>
      <c r="P13566" t="str">
        <f>"15226"</f>
        <v>15226</v>
      </c>
    </row>
    <row r="13567" spans="1:16" x14ac:dyDescent="0.25">
      <c r="A13567" t="str">
        <f>"1190062L00076    00"</f>
        <v>1190062L00076    00</v>
      </c>
      <c r="B13567" t="s">
        <v>29825</v>
      </c>
      <c r="C13567" t="s">
        <v>29666</v>
      </c>
      <c r="D13567" t="s">
        <v>20</v>
      </c>
      <c r="E13567" t="s">
        <v>39</v>
      </c>
      <c r="F13567">
        <v>0</v>
      </c>
      <c r="G13567">
        <v>0</v>
      </c>
      <c r="H13567">
        <v>19</v>
      </c>
      <c r="I13567" s="3">
        <v>8694</v>
      </c>
      <c r="J13567" s="3">
        <v>7393.01</v>
      </c>
      <c r="P13567" t="str">
        <f>""</f>
        <v/>
      </c>
    </row>
    <row r="13568" spans="1:16" x14ac:dyDescent="0.25">
      <c r="A13568" t="str">
        <f>"1190062L00098    00"</f>
        <v>1190062L00098    00</v>
      </c>
      <c r="B13568" t="s">
        <v>8467</v>
      </c>
      <c r="C13568" t="s">
        <v>29826</v>
      </c>
      <c r="D13568" t="s">
        <v>20</v>
      </c>
      <c r="E13568" t="s">
        <v>21</v>
      </c>
      <c r="F13568">
        <v>0</v>
      </c>
      <c r="G13568">
        <v>0</v>
      </c>
      <c r="H13568">
        <v>2</v>
      </c>
      <c r="I13568" s="3">
        <v>2390.14</v>
      </c>
      <c r="J13568" s="3">
        <v>0</v>
      </c>
      <c r="K13568" t="s">
        <v>8469</v>
      </c>
      <c r="L13568">
        <v>202</v>
      </c>
      <c r="M13568" t="s">
        <v>2136</v>
      </c>
      <c r="N13568" t="s">
        <v>30</v>
      </c>
      <c r="O13568" t="s">
        <v>31</v>
      </c>
      <c r="P13568" t="str">
        <f>"15228"</f>
        <v>15228</v>
      </c>
    </row>
    <row r="13569" spans="1:16" x14ac:dyDescent="0.25">
      <c r="A13569" t="str">
        <f>"1190062L00106    00"</f>
        <v>1190062L00106    00</v>
      </c>
      <c r="B13569" t="s">
        <v>29827</v>
      </c>
      <c r="C13569" t="s">
        <v>29828</v>
      </c>
      <c r="D13569" t="s">
        <v>20</v>
      </c>
      <c r="E13569" t="s">
        <v>39</v>
      </c>
      <c r="F13569">
        <v>0</v>
      </c>
      <c r="G13569">
        <v>0</v>
      </c>
      <c r="H13569">
        <v>1</v>
      </c>
      <c r="I13569" s="3">
        <v>2159.98</v>
      </c>
      <c r="J13569" s="3">
        <v>0</v>
      </c>
      <c r="K13569" t="s">
        <v>29829</v>
      </c>
      <c r="L13569">
        <v>2438</v>
      </c>
      <c r="M13569" t="s">
        <v>2837</v>
      </c>
      <c r="N13569" t="s">
        <v>30</v>
      </c>
      <c r="O13569" t="s">
        <v>31</v>
      </c>
      <c r="P13569" t="str">
        <f>"15226"</f>
        <v>15226</v>
      </c>
    </row>
    <row r="13570" spans="1:16" x14ac:dyDescent="0.25">
      <c r="A13570" t="str">
        <f>"1190062L00124    00"</f>
        <v>1190062L00124    00</v>
      </c>
      <c r="B13570" t="s">
        <v>29830</v>
      </c>
      <c r="C13570" t="s">
        <v>29831</v>
      </c>
      <c r="D13570" t="s">
        <v>20</v>
      </c>
      <c r="E13570" t="s">
        <v>39</v>
      </c>
      <c r="F13570">
        <v>0</v>
      </c>
      <c r="G13570">
        <v>0</v>
      </c>
      <c r="H13570">
        <v>2</v>
      </c>
      <c r="I13570" s="3">
        <v>1655.49</v>
      </c>
      <c r="J13570" s="3">
        <v>0</v>
      </c>
      <c r="K13570" t="s">
        <v>28910</v>
      </c>
      <c r="L13570">
        <v>122</v>
      </c>
      <c r="M13570" t="s">
        <v>25156</v>
      </c>
      <c r="N13570" t="s">
        <v>1766</v>
      </c>
      <c r="O13570" t="s">
        <v>31</v>
      </c>
      <c r="P13570" t="str">
        <f>"15367"</f>
        <v>15367</v>
      </c>
    </row>
    <row r="13571" spans="1:16" x14ac:dyDescent="0.25">
      <c r="A13571" t="str">
        <f>"1190062L00130    00"</f>
        <v>1190062L00130    00</v>
      </c>
      <c r="B13571" t="s">
        <v>29832</v>
      </c>
      <c r="C13571" t="s">
        <v>29833</v>
      </c>
      <c r="D13571" t="s">
        <v>20</v>
      </c>
      <c r="E13571" t="s">
        <v>39</v>
      </c>
      <c r="F13571">
        <v>0</v>
      </c>
      <c r="G13571">
        <v>0</v>
      </c>
      <c r="H13571">
        <v>1</v>
      </c>
      <c r="I13571" s="3">
        <v>2313.88</v>
      </c>
      <c r="J13571" s="3">
        <v>0</v>
      </c>
      <c r="K13571" t="s">
        <v>22826</v>
      </c>
      <c r="L13571">
        <v>1400</v>
      </c>
      <c r="M13571" t="s">
        <v>22827</v>
      </c>
      <c r="N13571" t="s">
        <v>3681</v>
      </c>
      <c r="O13571" t="s">
        <v>4784</v>
      </c>
      <c r="P13571" t="str">
        <f>"65203"</f>
        <v>65203</v>
      </c>
    </row>
    <row r="13572" spans="1:16" x14ac:dyDescent="0.25">
      <c r="A13572" t="str">
        <f>"1190062L00148    00"</f>
        <v>1190062L00148    00</v>
      </c>
      <c r="B13572" t="s">
        <v>29834</v>
      </c>
      <c r="C13572" t="s">
        <v>29835</v>
      </c>
      <c r="D13572" t="s">
        <v>20</v>
      </c>
      <c r="E13572" t="s">
        <v>39</v>
      </c>
      <c r="F13572">
        <v>0</v>
      </c>
      <c r="G13572">
        <v>0</v>
      </c>
      <c r="H13572">
        <v>1</v>
      </c>
      <c r="I13572" s="3">
        <v>2066.12</v>
      </c>
      <c r="J13572" s="3">
        <v>0</v>
      </c>
      <c r="L13572">
        <v>15</v>
      </c>
      <c r="M13572" t="s">
        <v>29836</v>
      </c>
      <c r="N13572" t="s">
        <v>1766</v>
      </c>
      <c r="O13572" t="s">
        <v>31</v>
      </c>
      <c r="P13572" t="str">
        <f>"15367"</f>
        <v>15367</v>
      </c>
    </row>
    <row r="13573" spans="1:16" x14ac:dyDescent="0.25">
      <c r="A13573" t="str">
        <f>"1190062L00191    00"</f>
        <v>1190062L00191    00</v>
      </c>
      <c r="B13573" t="s">
        <v>29837</v>
      </c>
      <c r="C13573" t="s">
        <v>29838</v>
      </c>
      <c r="D13573" t="s">
        <v>20</v>
      </c>
      <c r="E13573" t="s">
        <v>39</v>
      </c>
      <c r="F13573">
        <v>0</v>
      </c>
      <c r="G13573">
        <v>0</v>
      </c>
      <c r="H13573">
        <v>2</v>
      </c>
      <c r="I13573" s="3">
        <v>91.11</v>
      </c>
      <c r="J13573" s="3">
        <v>54.55</v>
      </c>
      <c r="L13573">
        <v>518</v>
      </c>
      <c r="M13573" t="s">
        <v>7082</v>
      </c>
      <c r="N13573" t="s">
        <v>30</v>
      </c>
      <c r="O13573" t="s">
        <v>31</v>
      </c>
      <c r="P13573" t="str">
        <f>"15226"</f>
        <v>15226</v>
      </c>
    </row>
    <row r="13574" spans="1:16" x14ac:dyDescent="0.25">
      <c r="A13574" t="str">
        <f>"1190062L00304    00"</f>
        <v>1190062L00304    00</v>
      </c>
      <c r="B13574" t="s">
        <v>29839</v>
      </c>
      <c r="C13574" t="s">
        <v>29840</v>
      </c>
      <c r="D13574" t="s">
        <v>20</v>
      </c>
      <c r="E13574" t="s">
        <v>39</v>
      </c>
      <c r="F13574">
        <v>0</v>
      </c>
      <c r="G13574">
        <v>0</v>
      </c>
      <c r="H13574">
        <v>2</v>
      </c>
      <c r="I13574" s="3">
        <v>1396.21</v>
      </c>
      <c r="J13574" s="3">
        <v>0</v>
      </c>
      <c r="L13574">
        <v>2404</v>
      </c>
      <c r="M13574" t="s">
        <v>16918</v>
      </c>
      <c r="N13574" t="s">
        <v>30</v>
      </c>
      <c r="O13574" t="s">
        <v>31</v>
      </c>
      <c r="P13574" t="str">
        <f>"15226"</f>
        <v>15226</v>
      </c>
    </row>
    <row r="13575" spans="1:16" x14ac:dyDescent="0.25">
      <c r="A13575" t="str">
        <f>"1190062L00334    00"</f>
        <v>1190062L00334    00</v>
      </c>
      <c r="B13575" t="s">
        <v>29841</v>
      </c>
      <c r="C13575" t="s">
        <v>29842</v>
      </c>
      <c r="D13575" t="s">
        <v>20</v>
      </c>
      <c r="E13575" t="s">
        <v>39</v>
      </c>
      <c r="F13575">
        <v>0</v>
      </c>
      <c r="G13575">
        <v>0</v>
      </c>
      <c r="H13575">
        <v>1</v>
      </c>
      <c r="I13575" s="3">
        <v>223.01</v>
      </c>
      <c r="J13575" s="3">
        <v>0</v>
      </c>
      <c r="L13575">
        <v>2351</v>
      </c>
      <c r="M13575" t="s">
        <v>9782</v>
      </c>
      <c r="N13575" t="s">
        <v>30</v>
      </c>
      <c r="O13575" t="s">
        <v>31</v>
      </c>
      <c r="P13575" t="str">
        <f>"15210"</f>
        <v>15210</v>
      </c>
    </row>
    <row r="13576" spans="1:16" x14ac:dyDescent="0.25">
      <c r="A13576" t="str">
        <f>"1190062M00006    00"</f>
        <v>1190062M00006    00</v>
      </c>
      <c r="B13576" t="s">
        <v>29841</v>
      </c>
      <c r="C13576" t="s">
        <v>29843</v>
      </c>
      <c r="D13576" t="s">
        <v>20</v>
      </c>
      <c r="E13576" t="s">
        <v>39</v>
      </c>
      <c r="F13576">
        <v>0</v>
      </c>
      <c r="G13576">
        <v>0</v>
      </c>
      <c r="H13576">
        <v>1</v>
      </c>
      <c r="I13576" s="3">
        <v>4814.55</v>
      </c>
      <c r="J13576" s="3">
        <v>0</v>
      </c>
      <c r="L13576">
        <v>2351</v>
      </c>
      <c r="M13576" t="s">
        <v>9782</v>
      </c>
      <c r="N13576" t="s">
        <v>30</v>
      </c>
      <c r="O13576" t="s">
        <v>31</v>
      </c>
      <c r="P13576" t="str">
        <f>"15210"</f>
        <v>15210</v>
      </c>
    </row>
    <row r="13577" spans="1:16" x14ac:dyDescent="0.25">
      <c r="A13577" t="str">
        <f>"1190062M00050    00"</f>
        <v>1190062M00050    00</v>
      </c>
      <c r="B13577" t="s">
        <v>29844</v>
      </c>
      <c r="C13577" t="s">
        <v>29845</v>
      </c>
      <c r="D13577" t="s">
        <v>20</v>
      </c>
      <c r="E13577" t="s">
        <v>39</v>
      </c>
      <c r="F13577">
        <v>0</v>
      </c>
      <c r="G13577">
        <v>0</v>
      </c>
      <c r="H13577">
        <v>5</v>
      </c>
      <c r="I13577" s="3">
        <v>2346.56</v>
      </c>
      <c r="J13577" s="3">
        <v>1382.27</v>
      </c>
      <c r="L13577">
        <v>2346</v>
      </c>
      <c r="M13577" t="s">
        <v>16918</v>
      </c>
      <c r="N13577" t="s">
        <v>30</v>
      </c>
      <c r="O13577" t="s">
        <v>31</v>
      </c>
      <c r="P13577" t="str">
        <f>"15226"</f>
        <v>15226</v>
      </c>
    </row>
    <row r="13578" spans="1:16" x14ac:dyDescent="0.25">
      <c r="A13578" t="str">
        <f>"1190062M00051    00"</f>
        <v>1190062M00051    00</v>
      </c>
      <c r="B13578" t="s">
        <v>29846</v>
      </c>
      <c r="C13578" t="s">
        <v>29845</v>
      </c>
      <c r="D13578" t="s">
        <v>20</v>
      </c>
      <c r="E13578" t="s">
        <v>39</v>
      </c>
      <c r="F13578">
        <v>0</v>
      </c>
      <c r="G13578">
        <v>0</v>
      </c>
      <c r="H13578">
        <v>1</v>
      </c>
      <c r="I13578" s="3">
        <v>1483.4</v>
      </c>
      <c r="J13578" s="3">
        <v>0</v>
      </c>
      <c r="L13578">
        <v>2346</v>
      </c>
      <c r="M13578" t="s">
        <v>16918</v>
      </c>
      <c r="N13578" t="s">
        <v>30</v>
      </c>
      <c r="O13578" t="s">
        <v>31</v>
      </c>
      <c r="P13578" t="str">
        <f>"15226"</f>
        <v>15226</v>
      </c>
    </row>
    <row r="13579" spans="1:16" x14ac:dyDescent="0.25">
      <c r="A13579" t="str">
        <f>"1190062M00100    00"</f>
        <v>1190062M00100    00</v>
      </c>
      <c r="B13579" t="s">
        <v>29847</v>
      </c>
      <c r="C13579" t="s">
        <v>29848</v>
      </c>
      <c r="D13579" t="s">
        <v>57</v>
      </c>
      <c r="E13579" t="s">
        <v>39</v>
      </c>
      <c r="F13579">
        <v>0</v>
      </c>
      <c r="G13579">
        <v>0</v>
      </c>
      <c r="H13579">
        <v>1</v>
      </c>
      <c r="I13579" s="3">
        <v>1107.93</v>
      </c>
      <c r="J13579" s="3">
        <v>0</v>
      </c>
      <c r="L13579">
        <v>2351</v>
      </c>
      <c r="M13579" t="s">
        <v>29849</v>
      </c>
      <c r="N13579" t="s">
        <v>30</v>
      </c>
      <c r="O13579" t="s">
        <v>31</v>
      </c>
      <c r="P13579" t="str">
        <f>"15226"</f>
        <v>15226</v>
      </c>
    </row>
    <row r="13580" spans="1:16" x14ac:dyDescent="0.25">
      <c r="A13580" t="str">
        <f>"1190062M00202    00"</f>
        <v>1190062M00202    00</v>
      </c>
      <c r="B13580" t="s">
        <v>29850</v>
      </c>
      <c r="C13580" t="s">
        <v>29851</v>
      </c>
      <c r="E13580" t="s">
        <v>39</v>
      </c>
      <c r="F13580">
        <v>0</v>
      </c>
      <c r="G13580">
        <v>0</v>
      </c>
      <c r="H13580">
        <v>1</v>
      </c>
      <c r="I13580" s="3">
        <v>96.35</v>
      </c>
      <c r="J13580" s="3">
        <v>0.8</v>
      </c>
      <c r="K13580" t="s">
        <v>4989</v>
      </c>
      <c r="L13580">
        <v>3001</v>
      </c>
      <c r="M13580" t="s">
        <v>330</v>
      </c>
      <c r="N13580" t="s">
        <v>331</v>
      </c>
      <c r="O13580" t="s">
        <v>108</v>
      </c>
      <c r="P13580" t="str">
        <f>"75063"</f>
        <v>75063</v>
      </c>
    </row>
    <row r="13581" spans="1:16" x14ac:dyDescent="0.25">
      <c r="A13581" t="str">
        <f>"1190062M00231    00"</f>
        <v>1190062M00231    00</v>
      </c>
      <c r="B13581" t="s">
        <v>29852</v>
      </c>
      <c r="C13581" t="s">
        <v>29853</v>
      </c>
      <c r="D13581" t="s">
        <v>20</v>
      </c>
      <c r="E13581" t="s">
        <v>39</v>
      </c>
      <c r="F13581">
        <v>0</v>
      </c>
      <c r="G13581">
        <v>0</v>
      </c>
      <c r="H13581">
        <v>2</v>
      </c>
      <c r="I13581" s="3">
        <v>1055.04</v>
      </c>
      <c r="J13581" s="3">
        <v>0.18</v>
      </c>
      <c r="L13581">
        <v>726</v>
      </c>
      <c r="M13581" t="s">
        <v>29854</v>
      </c>
      <c r="N13581" t="s">
        <v>30</v>
      </c>
      <c r="O13581" t="s">
        <v>31</v>
      </c>
      <c r="P13581" t="str">
        <f t="shared" ref="P13581:P13588" si="169">"15226"</f>
        <v>15226</v>
      </c>
    </row>
    <row r="13582" spans="1:16" x14ac:dyDescent="0.25">
      <c r="A13582" t="str">
        <f>"1190062N00023    00"</f>
        <v>1190062N00023    00</v>
      </c>
      <c r="B13582" t="s">
        <v>29716</v>
      </c>
      <c r="C13582" t="s">
        <v>29855</v>
      </c>
      <c r="D13582" t="s">
        <v>20</v>
      </c>
      <c r="E13582" t="s">
        <v>39</v>
      </c>
      <c r="F13582">
        <v>0</v>
      </c>
      <c r="G13582">
        <v>0</v>
      </c>
      <c r="H13582">
        <v>1</v>
      </c>
      <c r="I13582" s="3">
        <v>1233.9000000000001</v>
      </c>
      <c r="J13582" s="3">
        <v>0</v>
      </c>
      <c r="L13582">
        <v>3059</v>
      </c>
      <c r="M13582" t="s">
        <v>2837</v>
      </c>
      <c r="N13582" t="s">
        <v>30</v>
      </c>
      <c r="O13582" t="s">
        <v>31</v>
      </c>
      <c r="P13582" t="str">
        <f t="shared" si="169"/>
        <v>15226</v>
      </c>
    </row>
    <row r="13583" spans="1:16" x14ac:dyDescent="0.25">
      <c r="A13583" t="str">
        <f>"1190062N00025    00"</f>
        <v>1190062N00025    00</v>
      </c>
      <c r="B13583" t="s">
        <v>29856</v>
      </c>
      <c r="C13583" t="s">
        <v>29857</v>
      </c>
      <c r="D13583" t="s">
        <v>20</v>
      </c>
      <c r="E13583" t="s">
        <v>39</v>
      </c>
      <c r="F13583">
        <v>0</v>
      </c>
      <c r="G13583">
        <v>0</v>
      </c>
      <c r="H13583">
        <v>2</v>
      </c>
      <c r="I13583" s="3">
        <v>3028.16</v>
      </c>
      <c r="J13583" s="3">
        <v>0</v>
      </c>
      <c r="L13583">
        <v>3037</v>
      </c>
      <c r="M13583" t="s">
        <v>2837</v>
      </c>
      <c r="N13583" t="s">
        <v>30</v>
      </c>
      <c r="O13583" t="s">
        <v>31</v>
      </c>
      <c r="P13583" t="str">
        <f t="shared" si="169"/>
        <v>15226</v>
      </c>
    </row>
    <row r="13584" spans="1:16" x14ac:dyDescent="0.25">
      <c r="A13584" t="str">
        <f>"1190062N00090    00"</f>
        <v>1190062N00090    00</v>
      </c>
      <c r="B13584" t="s">
        <v>29858</v>
      </c>
      <c r="C13584" t="s">
        <v>29859</v>
      </c>
      <c r="D13584" t="s">
        <v>20</v>
      </c>
      <c r="E13584" t="s">
        <v>39</v>
      </c>
      <c r="F13584">
        <v>0</v>
      </c>
      <c r="G13584">
        <v>0</v>
      </c>
      <c r="H13584">
        <v>5</v>
      </c>
      <c r="I13584" s="3">
        <v>3912.03</v>
      </c>
      <c r="J13584" s="3">
        <v>2476.5500000000002</v>
      </c>
      <c r="L13584">
        <v>2700</v>
      </c>
      <c r="M13584" t="s">
        <v>29860</v>
      </c>
      <c r="N13584" t="s">
        <v>30</v>
      </c>
      <c r="O13584" t="s">
        <v>31</v>
      </c>
      <c r="P13584" t="str">
        <f t="shared" si="169"/>
        <v>15226</v>
      </c>
    </row>
    <row r="13585" spans="1:16" x14ac:dyDescent="0.25">
      <c r="A13585" t="str">
        <f>"1190062N00125    00"</f>
        <v>1190062N00125    00</v>
      </c>
      <c r="B13585" t="s">
        <v>7079</v>
      </c>
      <c r="C13585" t="s">
        <v>29861</v>
      </c>
      <c r="D13585" t="s">
        <v>20</v>
      </c>
      <c r="E13585" t="s">
        <v>39</v>
      </c>
      <c r="F13585">
        <v>0</v>
      </c>
      <c r="G13585">
        <v>0</v>
      </c>
      <c r="H13585">
        <v>1</v>
      </c>
      <c r="I13585" s="3">
        <v>1214.1300000000001</v>
      </c>
      <c r="J13585" s="3">
        <v>0</v>
      </c>
      <c r="L13585">
        <v>712</v>
      </c>
      <c r="M13585" t="s">
        <v>7082</v>
      </c>
      <c r="N13585" t="s">
        <v>30</v>
      </c>
      <c r="O13585" t="s">
        <v>31</v>
      </c>
      <c r="P13585" t="str">
        <f t="shared" si="169"/>
        <v>15226</v>
      </c>
    </row>
    <row r="13586" spans="1:16" x14ac:dyDescent="0.25">
      <c r="A13586" t="str">
        <f>"1190062N00127    00"</f>
        <v>1190062N00127    00</v>
      </c>
      <c r="B13586" t="s">
        <v>29862</v>
      </c>
      <c r="C13586" t="s">
        <v>29863</v>
      </c>
      <c r="D13586" t="s">
        <v>20</v>
      </c>
      <c r="E13586" t="s">
        <v>39</v>
      </c>
      <c r="F13586">
        <v>0</v>
      </c>
      <c r="G13586">
        <v>0</v>
      </c>
      <c r="H13586">
        <v>3</v>
      </c>
      <c r="I13586" s="3">
        <v>529.34</v>
      </c>
      <c r="J13586" s="3">
        <v>5.83</v>
      </c>
      <c r="L13586">
        <v>2741</v>
      </c>
      <c r="M13586" t="s">
        <v>29864</v>
      </c>
      <c r="N13586" t="s">
        <v>30</v>
      </c>
      <c r="O13586" t="s">
        <v>31</v>
      </c>
      <c r="P13586" t="str">
        <f t="shared" si="169"/>
        <v>15226</v>
      </c>
    </row>
    <row r="13587" spans="1:16" x14ac:dyDescent="0.25">
      <c r="A13587" t="str">
        <f>"1190062N00140    00"</f>
        <v>1190062N00140    00</v>
      </c>
      <c r="B13587" t="s">
        <v>29865</v>
      </c>
      <c r="C13587" t="s">
        <v>29866</v>
      </c>
      <c r="D13587" t="s">
        <v>20</v>
      </c>
      <c r="E13587" t="s">
        <v>39</v>
      </c>
      <c r="F13587">
        <v>0</v>
      </c>
      <c r="G13587">
        <v>0</v>
      </c>
      <c r="H13587">
        <v>3</v>
      </c>
      <c r="I13587" s="3">
        <v>6065.51</v>
      </c>
      <c r="J13587" s="3">
        <v>416.18</v>
      </c>
      <c r="L13587">
        <v>2676</v>
      </c>
      <c r="M13587" t="s">
        <v>29864</v>
      </c>
      <c r="N13587" t="s">
        <v>30</v>
      </c>
      <c r="O13587" t="s">
        <v>31</v>
      </c>
      <c r="P13587" t="str">
        <f t="shared" si="169"/>
        <v>15226</v>
      </c>
    </row>
    <row r="13588" spans="1:16" x14ac:dyDescent="0.25">
      <c r="A13588" t="str">
        <f>"1190062N00163    00"</f>
        <v>1190062N00163    00</v>
      </c>
      <c r="B13588" t="s">
        <v>29867</v>
      </c>
      <c r="C13588" t="s">
        <v>29868</v>
      </c>
      <c r="D13588" t="s">
        <v>20</v>
      </c>
      <c r="E13588" t="s">
        <v>39</v>
      </c>
      <c r="F13588">
        <v>0</v>
      </c>
      <c r="G13588">
        <v>0</v>
      </c>
      <c r="H13588">
        <v>3</v>
      </c>
      <c r="I13588" s="3">
        <v>84.6</v>
      </c>
      <c r="J13588" s="3">
        <v>13.95</v>
      </c>
      <c r="L13588">
        <v>2760</v>
      </c>
      <c r="M13588" t="s">
        <v>29864</v>
      </c>
      <c r="N13588" t="s">
        <v>30</v>
      </c>
      <c r="O13588" t="s">
        <v>31</v>
      </c>
      <c r="P13588" t="str">
        <f t="shared" si="169"/>
        <v>15226</v>
      </c>
    </row>
    <row r="13589" spans="1:16" x14ac:dyDescent="0.25">
      <c r="A13589" t="str">
        <f>"1190062N00164    00"</f>
        <v>1190062N00164    00</v>
      </c>
      <c r="B13589" t="s">
        <v>29869</v>
      </c>
      <c r="C13589" t="s">
        <v>29870</v>
      </c>
      <c r="E13589" t="s">
        <v>39</v>
      </c>
      <c r="F13589">
        <v>0</v>
      </c>
      <c r="G13589">
        <v>0</v>
      </c>
      <c r="H13589">
        <v>4</v>
      </c>
      <c r="I13589" s="3">
        <v>4892.9799999999996</v>
      </c>
      <c r="J13589" s="3">
        <v>145.19</v>
      </c>
      <c r="K13589" t="s">
        <v>29871</v>
      </c>
      <c r="M13589" t="s">
        <v>570</v>
      </c>
      <c r="N13589" t="s">
        <v>571</v>
      </c>
      <c r="O13589" t="s">
        <v>423</v>
      </c>
      <c r="P13589" t="str">
        <f>"07101"</f>
        <v>07101</v>
      </c>
    </row>
    <row r="13590" spans="1:16" x14ac:dyDescent="0.25">
      <c r="A13590" t="str">
        <f>"1190062N00166    00"</f>
        <v>1190062N00166    00</v>
      </c>
      <c r="B13590" t="s">
        <v>29872</v>
      </c>
      <c r="C13590" t="s">
        <v>29873</v>
      </c>
      <c r="D13590" t="s">
        <v>20</v>
      </c>
      <c r="E13590" t="s">
        <v>39</v>
      </c>
      <c r="F13590">
        <v>0</v>
      </c>
      <c r="G13590">
        <v>0</v>
      </c>
      <c r="H13590">
        <v>14</v>
      </c>
      <c r="I13590" s="3">
        <v>14902.79</v>
      </c>
      <c r="J13590" s="3">
        <v>8575.68</v>
      </c>
      <c r="K13590" t="s">
        <v>29874</v>
      </c>
      <c r="L13590">
        <v>2764</v>
      </c>
      <c r="M13590" t="s">
        <v>29864</v>
      </c>
      <c r="N13590" t="s">
        <v>30</v>
      </c>
      <c r="O13590" t="s">
        <v>31</v>
      </c>
      <c r="P13590" t="str">
        <f>"15226"</f>
        <v>15226</v>
      </c>
    </row>
    <row r="13591" spans="1:16" x14ac:dyDescent="0.25">
      <c r="A13591" t="str">
        <f>"1190062P00096    00"</f>
        <v>1190062P00096    00</v>
      </c>
      <c r="B13591" t="s">
        <v>29875</v>
      </c>
      <c r="C13591" t="s">
        <v>29876</v>
      </c>
      <c r="D13591" t="s">
        <v>20</v>
      </c>
      <c r="E13591" t="s">
        <v>39</v>
      </c>
      <c r="F13591">
        <v>0</v>
      </c>
      <c r="G13591">
        <v>0</v>
      </c>
      <c r="H13591">
        <v>11</v>
      </c>
      <c r="I13591" s="3">
        <v>12480.29</v>
      </c>
      <c r="J13591" s="3">
        <v>5956.42</v>
      </c>
      <c r="L13591">
        <v>2823</v>
      </c>
      <c r="M13591" t="s">
        <v>29877</v>
      </c>
      <c r="N13591" t="s">
        <v>30</v>
      </c>
      <c r="O13591" t="s">
        <v>31</v>
      </c>
      <c r="P13591" t="str">
        <f>"15226"</f>
        <v>15226</v>
      </c>
    </row>
    <row r="13592" spans="1:16" x14ac:dyDescent="0.25">
      <c r="A13592" t="str">
        <f>"1190062P00098    00"</f>
        <v>1190062P00098    00</v>
      </c>
      <c r="B13592" t="s">
        <v>29878</v>
      </c>
      <c r="C13592" t="s">
        <v>29879</v>
      </c>
      <c r="D13592" t="s">
        <v>20</v>
      </c>
      <c r="E13592" t="s">
        <v>39</v>
      </c>
      <c r="F13592">
        <v>0</v>
      </c>
      <c r="G13592">
        <v>0</v>
      </c>
      <c r="H13592">
        <v>2</v>
      </c>
      <c r="I13592" s="3">
        <v>2279.62</v>
      </c>
      <c r="J13592" s="3">
        <v>0</v>
      </c>
      <c r="L13592">
        <v>2821</v>
      </c>
      <c r="M13592" t="s">
        <v>29877</v>
      </c>
      <c r="N13592" t="s">
        <v>30</v>
      </c>
      <c r="O13592" t="s">
        <v>31</v>
      </c>
      <c r="P13592" t="str">
        <f>"15226"</f>
        <v>15226</v>
      </c>
    </row>
    <row r="13593" spans="1:16" x14ac:dyDescent="0.25">
      <c r="A13593" t="str">
        <f>"1190062P00099    00"</f>
        <v>1190062P00099    00</v>
      </c>
      <c r="B13593" t="s">
        <v>29880</v>
      </c>
      <c r="C13593" t="s">
        <v>29881</v>
      </c>
      <c r="D13593" t="s">
        <v>20</v>
      </c>
      <c r="E13593" t="s">
        <v>39</v>
      </c>
      <c r="F13593">
        <v>0</v>
      </c>
      <c r="G13593">
        <v>0</v>
      </c>
      <c r="H13593">
        <v>2</v>
      </c>
      <c r="I13593" s="3">
        <v>1002.58</v>
      </c>
      <c r="J13593" s="3">
        <v>0</v>
      </c>
      <c r="L13593">
        <v>2821</v>
      </c>
      <c r="M13593" t="s">
        <v>29882</v>
      </c>
      <c r="N13593" t="s">
        <v>30</v>
      </c>
      <c r="O13593" t="s">
        <v>31</v>
      </c>
      <c r="P13593" t="str">
        <f>"15226"</f>
        <v>15226</v>
      </c>
    </row>
    <row r="13594" spans="1:16" x14ac:dyDescent="0.25">
      <c r="A13594" t="str">
        <f>"1190062P00123    00"</f>
        <v>1190062P00123    00</v>
      </c>
      <c r="B13594" t="s">
        <v>29883</v>
      </c>
      <c r="C13594" t="s">
        <v>29884</v>
      </c>
      <c r="D13594" t="s">
        <v>20</v>
      </c>
      <c r="E13594" t="s">
        <v>39</v>
      </c>
      <c r="F13594">
        <v>0</v>
      </c>
      <c r="G13594">
        <v>0</v>
      </c>
      <c r="H13594">
        <v>4</v>
      </c>
      <c r="I13594" s="3">
        <v>5549.28</v>
      </c>
      <c r="J13594" s="3">
        <v>704.23</v>
      </c>
      <c r="K13594" t="s">
        <v>29885</v>
      </c>
      <c r="L13594">
        <v>5506</v>
      </c>
      <c r="M13594" t="s">
        <v>29886</v>
      </c>
      <c r="N13594" t="s">
        <v>30</v>
      </c>
      <c r="O13594" t="s">
        <v>31</v>
      </c>
      <c r="P13594" t="str">
        <f>"15207"</f>
        <v>15207</v>
      </c>
    </row>
    <row r="13595" spans="1:16" x14ac:dyDescent="0.25">
      <c r="A13595" t="str">
        <f>"1190062P00144    00"</f>
        <v>1190062P00144    00</v>
      </c>
      <c r="B13595" t="s">
        <v>29887</v>
      </c>
      <c r="C13595" t="s">
        <v>29888</v>
      </c>
      <c r="E13595" t="s">
        <v>39</v>
      </c>
      <c r="F13595">
        <v>0</v>
      </c>
      <c r="G13595">
        <v>0</v>
      </c>
      <c r="H13595">
        <v>3</v>
      </c>
      <c r="I13595" s="3">
        <v>3045.18</v>
      </c>
      <c r="J13595" s="3">
        <v>676.72</v>
      </c>
      <c r="L13595">
        <v>100</v>
      </c>
      <c r="M13595" t="s">
        <v>29889</v>
      </c>
      <c r="N13595" t="s">
        <v>30</v>
      </c>
      <c r="O13595" t="s">
        <v>31</v>
      </c>
      <c r="P13595" t="str">
        <f>"15236"</f>
        <v>15236</v>
      </c>
    </row>
    <row r="13596" spans="1:16" x14ac:dyDescent="0.25">
      <c r="A13596" t="str">
        <f>"1190062P00173    00"</f>
        <v>1190062P00173    00</v>
      </c>
      <c r="B13596" t="s">
        <v>25693</v>
      </c>
      <c r="C13596" t="s">
        <v>29890</v>
      </c>
      <c r="D13596" t="s">
        <v>20</v>
      </c>
      <c r="E13596" t="s">
        <v>39</v>
      </c>
      <c r="F13596">
        <v>0</v>
      </c>
      <c r="G13596">
        <v>0</v>
      </c>
      <c r="H13596">
        <v>1</v>
      </c>
      <c r="I13596" s="3">
        <v>533.67999999999995</v>
      </c>
      <c r="J13596" s="3">
        <v>0</v>
      </c>
      <c r="M13596" t="s">
        <v>25695</v>
      </c>
      <c r="N13596" t="s">
        <v>30</v>
      </c>
      <c r="O13596" t="s">
        <v>31</v>
      </c>
      <c r="P13596" t="str">
        <f>"15210"</f>
        <v>15210</v>
      </c>
    </row>
    <row r="13597" spans="1:16" x14ac:dyDescent="0.25">
      <c r="A13597" t="str">
        <f>"1190062P00181    00"</f>
        <v>1190062P00181    00</v>
      </c>
      <c r="B13597" t="s">
        <v>28638</v>
      </c>
      <c r="C13597" t="s">
        <v>29891</v>
      </c>
      <c r="E13597" t="s">
        <v>39</v>
      </c>
      <c r="F13597">
        <v>0</v>
      </c>
      <c r="G13597">
        <v>0</v>
      </c>
      <c r="H13597">
        <v>6</v>
      </c>
      <c r="I13597" s="3">
        <v>2779.8</v>
      </c>
      <c r="J13597" s="3">
        <v>2305.77</v>
      </c>
      <c r="M13597" t="s">
        <v>29892</v>
      </c>
      <c r="N13597" t="s">
        <v>30</v>
      </c>
      <c r="O13597" t="s">
        <v>31</v>
      </c>
      <c r="P13597" t="str">
        <f>"15217"</f>
        <v>15217</v>
      </c>
    </row>
    <row r="13598" spans="1:16" x14ac:dyDescent="0.25">
      <c r="A13598" t="str">
        <f>"1190062P00190    00"</f>
        <v>1190062P00190    00</v>
      </c>
      <c r="B13598" t="s">
        <v>29893</v>
      </c>
      <c r="C13598" t="s">
        <v>29894</v>
      </c>
      <c r="D13598" t="s">
        <v>20</v>
      </c>
      <c r="E13598" t="s">
        <v>39</v>
      </c>
      <c r="F13598">
        <v>0</v>
      </c>
      <c r="G13598">
        <v>0</v>
      </c>
      <c r="H13598">
        <v>1</v>
      </c>
      <c r="I13598" s="3">
        <v>624.57000000000005</v>
      </c>
      <c r="J13598" s="3">
        <v>0</v>
      </c>
      <c r="L13598">
        <v>2823</v>
      </c>
      <c r="M13598" t="s">
        <v>29895</v>
      </c>
      <c r="N13598" t="s">
        <v>30</v>
      </c>
      <c r="O13598" t="s">
        <v>31</v>
      </c>
      <c r="P13598" t="str">
        <f>"15226"</f>
        <v>15226</v>
      </c>
    </row>
    <row r="13599" spans="1:16" x14ac:dyDescent="0.25">
      <c r="A13599" t="str">
        <f>"1190062P00195    00"</f>
        <v>1190062P00195    00</v>
      </c>
      <c r="B13599" t="s">
        <v>29896</v>
      </c>
      <c r="C13599" t="s">
        <v>29897</v>
      </c>
      <c r="D13599" t="s">
        <v>20</v>
      </c>
      <c r="E13599" t="s">
        <v>39</v>
      </c>
      <c r="F13599">
        <v>0</v>
      </c>
      <c r="G13599">
        <v>0</v>
      </c>
      <c r="H13599">
        <v>2</v>
      </c>
      <c r="I13599" s="3">
        <v>2184.3000000000002</v>
      </c>
      <c r="J13599" s="3">
        <v>0</v>
      </c>
      <c r="L13599">
        <v>2831</v>
      </c>
      <c r="M13599" t="s">
        <v>29895</v>
      </c>
      <c r="N13599" t="s">
        <v>30</v>
      </c>
      <c r="O13599" t="s">
        <v>31</v>
      </c>
      <c r="P13599" t="str">
        <f>"15226"</f>
        <v>15226</v>
      </c>
    </row>
    <row r="13600" spans="1:16" x14ac:dyDescent="0.25">
      <c r="A13600" t="str">
        <f>"1190062P00204    00"</f>
        <v>1190062P00204    00</v>
      </c>
      <c r="B13600" t="s">
        <v>8294</v>
      </c>
      <c r="C13600" t="s">
        <v>29898</v>
      </c>
      <c r="D13600" t="s">
        <v>20</v>
      </c>
      <c r="E13600" t="s">
        <v>39</v>
      </c>
      <c r="F13600">
        <v>0</v>
      </c>
      <c r="G13600">
        <v>0</v>
      </c>
      <c r="H13600">
        <v>3</v>
      </c>
      <c r="I13600" s="3">
        <v>4893.79</v>
      </c>
      <c r="J13600" s="3">
        <v>290.57</v>
      </c>
      <c r="L13600">
        <v>303</v>
      </c>
      <c r="M13600" t="s">
        <v>8296</v>
      </c>
      <c r="N13600" t="s">
        <v>30</v>
      </c>
      <c r="O13600" t="s">
        <v>31</v>
      </c>
      <c r="P13600" t="str">
        <f>"15211"</f>
        <v>15211</v>
      </c>
    </row>
    <row r="13601" spans="1:16" x14ac:dyDescent="0.25">
      <c r="A13601" t="str">
        <f>"1190062P00209    00"</f>
        <v>1190062P00209    00</v>
      </c>
      <c r="B13601" t="s">
        <v>29899</v>
      </c>
      <c r="C13601" t="s">
        <v>29900</v>
      </c>
      <c r="D13601" t="s">
        <v>20</v>
      </c>
      <c r="E13601" t="s">
        <v>39</v>
      </c>
      <c r="F13601">
        <v>0</v>
      </c>
      <c r="G13601">
        <v>0</v>
      </c>
      <c r="H13601">
        <v>2</v>
      </c>
      <c r="I13601" s="3">
        <v>1524.5</v>
      </c>
      <c r="J13601" s="3">
        <v>0</v>
      </c>
      <c r="K13601" t="s">
        <v>13571</v>
      </c>
      <c r="L13601">
        <v>3301</v>
      </c>
      <c r="M13601" t="s">
        <v>330</v>
      </c>
      <c r="N13601" t="s">
        <v>331</v>
      </c>
      <c r="O13601" t="s">
        <v>108</v>
      </c>
      <c r="P13601" t="str">
        <f>"75063"</f>
        <v>75063</v>
      </c>
    </row>
    <row r="13602" spans="1:16" x14ac:dyDescent="0.25">
      <c r="A13602" t="str">
        <f>"1190062P00220    00"</f>
        <v>1190062P00220    00</v>
      </c>
      <c r="B13602" t="s">
        <v>29901</v>
      </c>
      <c r="C13602" t="s">
        <v>29902</v>
      </c>
      <c r="D13602" t="s">
        <v>20</v>
      </c>
      <c r="E13602" t="s">
        <v>39</v>
      </c>
      <c r="F13602">
        <v>0</v>
      </c>
      <c r="G13602">
        <v>0</v>
      </c>
      <c r="H13602">
        <v>6</v>
      </c>
      <c r="I13602" s="3">
        <v>5984.04</v>
      </c>
      <c r="J13602" s="3">
        <v>1333.11</v>
      </c>
      <c r="L13602">
        <v>2710</v>
      </c>
      <c r="M13602" t="s">
        <v>2837</v>
      </c>
      <c r="N13602" t="s">
        <v>30</v>
      </c>
      <c r="O13602" t="s">
        <v>31</v>
      </c>
      <c r="P13602" t="str">
        <f>"15226"</f>
        <v>15226</v>
      </c>
    </row>
    <row r="13603" spans="1:16" x14ac:dyDescent="0.25">
      <c r="A13603" t="str">
        <f>"1190062P00233    00"</f>
        <v>1190062P00233    00</v>
      </c>
      <c r="B13603" t="s">
        <v>29903</v>
      </c>
      <c r="C13603" t="s">
        <v>29904</v>
      </c>
      <c r="D13603" t="s">
        <v>20</v>
      </c>
      <c r="E13603" t="s">
        <v>39</v>
      </c>
      <c r="F13603">
        <v>0</v>
      </c>
      <c r="G13603">
        <v>0</v>
      </c>
      <c r="H13603">
        <v>2</v>
      </c>
      <c r="I13603" s="3">
        <v>3125.84</v>
      </c>
      <c r="J13603" s="3">
        <v>0</v>
      </c>
      <c r="L13603">
        <v>2644</v>
      </c>
      <c r="M13603" t="s">
        <v>2837</v>
      </c>
      <c r="N13603" t="s">
        <v>30</v>
      </c>
      <c r="O13603" t="s">
        <v>31</v>
      </c>
      <c r="P13603" t="str">
        <f>"15226"</f>
        <v>15226</v>
      </c>
    </row>
    <row r="13604" spans="1:16" x14ac:dyDescent="0.25">
      <c r="A13604" t="str">
        <f>"1190062P00282    00"</f>
        <v>1190062P00282    00</v>
      </c>
      <c r="B13604" t="s">
        <v>29905</v>
      </c>
      <c r="C13604" t="s">
        <v>29906</v>
      </c>
      <c r="D13604" t="s">
        <v>20</v>
      </c>
      <c r="E13604" t="s">
        <v>66</v>
      </c>
      <c r="F13604">
        <v>0</v>
      </c>
      <c r="G13604">
        <v>0</v>
      </c>
      <c r="H13604">
        <v>1</v>
      </c>
      <c r="I13604" s="3">
        <v>6385.1</v>
      </c>
      <c r="J13604" s="3">
        <v>0</v>
      </c>
      <c r="K13604" t="s">
        <v>29907</v>
      </c>
      <c r="L13604">
        <v>4105</v>
      </c>
      <c r="M13604" t="s">
        <v>29908</v>
      </c>
      <c r="N13604" t="s">
        <v>295</v>
      </c>
      <c r="O13604" t="s">
        <v>31</v>
      </c>
      <c r="P13604" t="str">
        <f>"15146"</f>
        <v>15146</v>
      </c>
    </row>
    <row r="13605" spans="1:16" x14ac:dyDescent="0.25">
      <c r="A13605" t="str">
        <f>"1190062P00298000100"</f>
        <v>1190062P00298000100</v>
      </c>
      <c r="B13605" t="s">
        <v>29909</v>
      </c>
      <c r="C13605" t="s">
        <v>29910</v>
      </c>
      <c r="D13605" t="s">
        <v>20</v>
      </c>
      <c r="E13605" t="s">
        <v>39</v>
      </c>
      <c r="F13605">
        <v>0</v>
      </c>
      <c r="G13605">
        <v>0</v>
      </c>
      <c r="H13605">
        <v>3</v>
      </c>
      <c r="I13605" s="3">
        <v>1823.39</v>
      </c>
      <c r="J13605" s="3">
        <v>253.8</v>
      </c>
      <c r="L13605">
        <v>620</v>
      </c>
      <c r="M13605" t="s">
        <v>29911</v>
      </c>
      <c r="N13605" t="s">
        <v>5390</v>
      </c>
      <c r="O13605" t="s">
        <v>370</v>
      </c>
      <c r="P13605" t="str">
        <f>"34104"</f>
        <v>34104</v>
      </c>
    </row>
    <row r="13606" spans="1:16" x14ac:dyDescent="0.25">
      <c r="A13606" t="str">
        <f>"1190062P00298000200"</f>
        <v>1190062P00298000200</v>
      </c>
      <c r="B13606" t="s">
        <v>29909</v>
      </c>
      <c r="C13606" t="s">
        <v>29912</v>
      </c>
      <c r="D13606" t="s">
        <v>20</v>
      </c>
      <c r="E13606" t="s">
        <v>39</v>
      </c>
      <c r="F13606">
        <v>0</v>
      </c>
      <c r="G13606">
        <v>0</v>
      </c>
      <c r="H13606">
        <v>3</v>
      </c>
      <c r="I13606" s="3">
        <v>1807.58</v>
      </c>
      <c r="J13606" s="3">
        <v>251.59</v>
      </c>
      <c r="L13606">
        <v>620</v>
      </c>
      <c r="M13606" t="s">
        <v>29911</v>
      </c>
      <c r="N13606" t="s">
        <v>5390</v>
      </c>
      <c r="O13606" t="s">
        <v>370</v>
      </c>
      <c r="P13606" t="str">
        <f>"34104"</f>
        <v>34104</v>
      </c>
    </row>
    <row r="13607" spans="1:16" x14ac:dyDescent="0.25">
      <c r="A13607" t="str">
        <f>"1190062R00004    00"</f>
        <v>1190062R00004    00</v>
      </c>
      <c r="B13607" t="s">
        <v>29913</v>
      </c>
      <c r="C13607" t="s">
        <v>29914</v>
      </c>
      <c r="E13607" t="s">
        <v>21</v>
      </c>
      <c r="F13607">
        <v>0</v>
      </c>
      <c r="G13607">
        <v>0</v>
      </c>
      <c r="H13607">
        <v>1</v>
      </c>
      <c r="I13607" s="3">
        <v>3183.02</v>
      </c>
      <c r="J13607" s="3">
        <v>0</v>
      </c>
      <c r="L13607">
        <v>907</v>
      </c>
      <c r="M13607" t="s">
        <v>29915</v>
      </c>
      <c r="N13607" t="s">
        <v>30</v>
      </c>
      <c r="O13607" t="s">
        <v>31</v>
      </c>
      <c r="P13607" t="str">
        <f>"15236"</f>
        <v>15236</v>
      </c>
    </row>
    <row r="13608" spans="1:16" x14ac:dyDescent="0.25">
      <c r="A13608" t="str">
        <f>"1190062R00016    00"</f>
        <v>1190062R00016    00</v>
      </c>
      <c r="B13608" t="s">
        <v>29916</v>
      </c>
      <c r="C13608" t="s">
        <v>29917</v>
      </c>
      <c r="D13608" t="s">
        <v>20</v>
      </c>
      <c r="E13608" t="s">
        <v>39</v>
      </c>
      <c r="F13608">
        <v>0</v>
      </c>
      <c r="G13608">
        <v>0</v>
      </c>
      <c r="H13608">
        <v>2</v>
      </c>
      <c r="I13608" s="3">
        <v>1673.08</v>
      </c>
      <c r="J13608" s="3">
        <v>0</v>
      </c>
      <c r="K13608" t="s">
        <v>403</v>
      </c>
      <c r="L13608">
        <v>3001</v>
      </c>
      <c r="M13608" t="s">
        <v>404</v>
      </c>
      <c r="N13608" t="s">
        <v>331</v>
      </c>
      <c r="O13608" t="s">
        <v>108</v>
      </c>
      <c r="P13608" t="str">
        <f>"75063"</f>
        <v>75063</v>
      </c>
    </row>
    <row r="13609" spans="1:16" x14ac:dyDescent="0.25">
      <c r="A13609" t="str">
        <f>"1190062R00060    00"</f>
        <v>1190062R00060    00</v>
      </c>
      <c r="B13609" t="s">
        <v>29918</v>
      </c>
      <c r="C13609" t="s">
        <v>29919</v>
      </c>
      <c r="E13609" t="s">
        <v>39</v>
      </c>
      <c r="F13609">
        <v>0</v>
      </c>
      <c r="G13609">
        <v>0</v>
      </c>
      <c r="H13609">
        <v>1</v>
      </c>
      <c r="I13609" s="3">
        <v>684.54</v>
      </c>
      <c r="J13609" s="3">
        <v>0</v>
      </c>
      <c r="L13609">
        <v>526</v>
      </c>
      <c r="M13609" t="s">
        <v>29920</v>
      </c>
      <c r="N13609" t="s">
        <v>30</v>
      </c>
      <c r="O13609" t="s">
        <v>31</v>
      </c>
      <c r="P13609" t="str">
        <f>"15226"</f>
        <v>15226</v>
      </c>
    </row>
    <row r="13610" spans="1:16" x14ac:dyDescent="0.25">
      <c r="A13610" t="str">
        <f>"1190062R00094    00"</f>
        <v>1190062R00094    00</v>
      </c>
      <c r="B13610" t="s">
        <v>29921</v>
      </c>
      <c r="C13610" t="s">
        <v>29922</v>
      </c>
      <c r="D13610" t="s">
        <v>20</v>
      </c>
      <c r="E13610" t="s">
        <v>39</v>
      </c>
      <c r="F13610">
        <v>0</v>
      </c>
      <c r="G13610">
        <v>0</v>
      </c>
      <c r="H13610">
        <v>2</v>
      </c>
      <c r="I13610" s="3">
        <v>1959.08</v>
      </c>
      <c r="J13610" s="3">
        <v>0</v>
      </c>
      <c r="K13610" t="s">
        <v>29923</v>
      </c>
      <c r="M13610" t="s">
        <v>29924</v>
      </c>
      <c r="N13610" t="s">
        <v>1634</v>
      </c>
      <c r="O13610" t="s">
        <v>25</v>
      </c>
      <c r="P13610" t="str">
        <f>"45401"</f>
        <v>45401</v>
      </c>
    </row>
    <row r="13611" spans="1:16" x14ac:dyDescent="0.25">
      <c r="A13611" t="str">
        <f>"1190062R00096    00"</f>
        <v>1190062R00096    00</v>
      </c>
      <c r="B13611" t="s">
        <v>29925</v>
      </c>
      <c r="C13611" t="s">
        <v>29926</v>
      </c>
      <c r="E13611" t="s">
        <v>39</v>
      </c>
      <c r="F13611">
        <v>0</v>
      </c>
      <c r="G13611">
        <v>0</v>
      </c>
      <c r="H13611">
        <v>1</v>
      </c>
      <c r="I13611" s="3">
        <v>780.58</v>
      </c>
      <c r="J13611" s="3">
        <v>0</v>
      </c>
      <c r="K13611" t="s">
        <v>29927</v>
      </c>
      <c r="L13611">
        <v>1888</v>
      </c>
      <c r="M13611" t="s">
        <v>29487</v>
      </c>
      <c r="N13611" t="s">
        <v>30</v>
      </c>
      <c r="O13611" t="s">
        <v>31</v>
      </c>
      <c r="P13611" t="str">
        <f>"15241"</f>
        <v>15241</v>
      </c>
    </row>
    <row r="13612" spans="1:16" x14ac:dyDescent="0.25">
      <c r="A13612" t="str">
        <f>"1190062R00163    00"</f>
        <v>1190062R00163    00</v>
      </c>
      <c r="B13612" t="s">
        <v>29928</v>
      </c>
      <c r="C13612" t="s">
        <v>29929</v>
      </c>
      <c r="D13612" t="s">
        <v>20</v>
      </c>
      <c r="E13612" t="s">
        <v>39</v>
      </c>
      <c r="F13612">
        <v>0</v>
      </c>
      <c r="G13612">
        <v>0</v>
      </c>
      <c r="H13612">
        <v>1</v>
      </c>
      <c r="I13612" s="3">
        <v>1360.88</v>
      </c>
      <c r="J13612" s="3">
        <v>0</v>
      </c>
      <c r="K13612" t="s">
        <v>417</v>
      </c>
      <c r="L13612">
        <v>3001</v>
      </c>
      <c r="M13612" t="s">
        <v>330</v>
      </c>
      <c r="N13612" t="s">
        <v>331</v>
      </c>
      <c r="O13612" t="s">
        <v>108</v>
      </c>
      <c r="P13612" t="str">
        <f>"75063"</f>
        <v>75063</v>
      </c>
    </row>
    <row r="13613" spans="1:16" x14ac:dyDescent="0.25">
      <c r="A13613" t="str">
        <f>"1190062R00171    00"</f>
        <v>1190062R00171    00</v>
      </c>
      <c r="B13613" t="s">
        <v>29930</v>
      </c>
      <c r="C13613" t="s">
        <v>29931</v>
      </c>
      <c r="D13613" t="s">
        <v>20</v>
      </c>
      <c r="E13613" t="s">
        <v>39</v>
      </c>
      <c r="F13613">
        <v>0</v>
      </c>
      <c r="G13613">
        <v>0</v>
      </c>
      <c r="H13613">
        <v>1</v>
      </c>
      <c r="I13613" s="3">
        <v>2041.33</v>
      </c>
      <c r="J13613" s="3">
        <v>0</v>
      </c>
      <c r="K13613" t="s">
        <v>29932</v>
      </c>
      <c r="L13613">
        <v>5</v>
      </c>
      <c r="M13613" t="s">
        <v>3904</v>
      </c>
      <c r="N13613" t="s">
        <v>3905</v>
      </c>
      <c r="O13613" t="s">
        <v>423</v>
      </c>
      <c r="P13613" t="str">
        <f>"07740"</f>
        <v>07740</v>
      </c>
    </row>
    <row r="13614" spans="1:16" x14ac:dyDescent="0.25">
      <c r="A13614" t="str">
        <f>"1190062R00190    00"</f>
        <v>1190062R00190    00</v>
      </c>
      <c r="B13614" t="s">
        <v>29933</v>
      </c>
      <c r="C13614" t="s">
        <v>29934</v>
      </c>
      <c r="D13614" t="s">
        <v>20</v>
      </c>
      <c r="E13614" t="s">
        <v>39</v>
      </c>
      <c r="F13614">
        <v>0</v>
      </c>
      <c r="G13614">
        <v>0</v>
      </c>
      <c r="H13614">
        <v>1</v>
      </c>
      <c r="I13614" s="3">
        <v>1107.4000000000001</v>
      </c>
      <c r="J13614" s="3">
        <v>0</v>
      </c>
      <c r="K13614" t="s">
        <v>29935</v>
      </c>
      <c r="L13614">
        <v>2610</v>
      </c>
      <c r="M13614" t="s">
        <v>29936</v>
      </c>
      <c r="N13614" t="s">
        <v>30</v>
      </c>
      <c r="O13614" t="s">
        <v>31</v>
      </c>
      <c r="P13614" t="str">
        <f>"15227"</f>
        <v>15227</v>
      </c>
    </row>
    <row r="13615" spans="1:16" x14ac:dyDescent="0.25">
      <c r="A13615" t="str">
        <f>"1190062R00214    00"</f>
        <v>1190062R00214    00</v>
      </c>
      <c r="B13615" t="s">
        <v>29937</v>
      </c>
      <c r="C13615" t="s">
        <v>29938</v>
      </c>
      <c r="D13615" t="s">
        <v>20</v>
      </c>
      <c r="E13615" t="s">
        <v>39</v>
      </c>
      <c r="F13615">
        <v>0</v>
      </c>
      <c r="G13615">
        <v>0</v>
      </c>
      <c r="H13615">
        <v>1</v>
      </c>
      <c r="I13615" s="3">
        <v>2014.65</v>
      </c>
      <c r="J13615" s="3">
        <v>0</v>
      </c>
      <c r="K13615" t="s">
        <v>484</v>
      </c>
      <c r="L13615">
        <v>3001</v>
      </c>
      <c r="M13615" t="s">
        <v>330</v>
      </c>
      <c r="N13615" t="s">
        <v>331</v>
      </c>
      <c r="O13615" t="s">
        <v>108</v>
      </c>
      <c r="P13615" t="str">
        <f>"75063"</f>
        <v>75063</v>
      </c>
    </row>
    <row r="13616" spans="1:16" x14ac:dyDescent="0.25">
      <c r="A13616" t="str">
        <f>"1190062R00246    00"</f>
        <v>1190062R00246    00</v>
      </c>
      <c r="B13616" t="s">
        <v>29939</v>
      </c>
      <c r="C13616" t="s">
        <v>29940</v>
      </c>
      <c r="D13616" t="s">
        <v>20</v>
      </c>
      <c r="E13616" t="s">
        <v>39</v>
      </c>
      <c r="F13616">
        <v>0</v>
      </c>
      <c r="G13616">
        <v>0</v>
      </c>
      <c r="H13616">
        <v>1</v>
      </c>
      <c r="I13616" s="3">
        <v>1360.89</v>
      </c>
      <c r="J13616" s="3">
        <v>0</v>
      </c>
      <c r="L13616">
        <v>3061</v>
      </c>
      <c r="M13616" t="s">
        <v>2837</v>
      </c>
      <c r="N13616" t="s">
        <v>30</v>
      </c>
      <c r="O13616" t="s">
        <v>31</v>
      </c>
      <c r="P13616" t="str">
        <f>"15226"</f>
        <v>15226</v>
      </c>
    </row>
    <row r="13617" spans="1:16" x14ac:dyDescent="0.25">
      <c r="A13617" t="str">
        <f>"1190062R00261    00"</f>
        <v>1190062R00261    00</v>
      </c>
      <c r="B13617" t="s">
        <v>29941</v>
      </c>
      <c r="C13617" t="s">
        <v>29942</v>
      </c>
      <c r="E13617" t="s">
        <v>39</v>
      </c>
      <c r="F13617">
        <v>0</v>
      </c>
      <c r="G13617">
        <v>0</v>
      </c>
      <c r="H13617">
        <v>8</v>
      </c>
      <c r="I13617" s="3">
        <v>7019.29</v>
      </c>
      <c r="J13617" s="3">
        <v>7106.97</v>
      </c>
      <c r="M13617" t="s">
        <v>29892</v>
      </c>
      <c r="N13617" t="s">
        <v>30</v>
      </c>
      <c r="O13617" t="s">
        <v>31</v>
      </c>
      <c r="P13617" t="str">
        <f>"15217"</f>
        <v>15217</v>
      </c>
    </row>
    <row r="13618" spans="1:16" x14ac:dyDescent="0.25">
      <c r="A13618" t="str">
        <f>"1190062S00020    00"</f>
        <v>1190062S00020    00</v>
      </c>
      <c r="B13618" t="s">
        <v>29943</v>
      </c>
      <c r="C13618" t="s">
        <v>29944</v>
      </c>
      <c r="D13618" t="s">
        <v>20</v>
      </c>
      <c r="E13618" t="s">
        <v>39</v>
      </c>
      <c r="F13618">
        <v>0</v>
      </c>
      <c r="G13618">
        <v>0</v>
      </c>
      <c r="H13618">
        <v>3</v>
      </c>
      <c r="I13618" s="3">
        <v>6739.65</v>
      </c>
      <c r="J13618" s="3">
        <v>1020.58</v>
      </c>
      <c r="L13618">
        <v>745</v>
      </c>
      <c r="M13618" t="s">
        <v>28726</v>
      </c>
      <c r="N13618" t="s">
        <v>30</v>
      </c>
      <c r="O13618" t="s">
        <v>31</v>
      </c>
      <c r="P13618" t="str">
        <f>"15226"</f>
        <v>15226</v>
      </c>
    </row>
    <row r="13619" spans="1:16" x14ac:dyDescent="0.25">
      <c r="A13619" t="str">
        <f>"1190062S00051    00"</f>
        <v>1190062S00051    00</v>
      </c>
      <c r="B13619" t="s">
        <v>29945</v>
      </c>
      <c r="C13619" t="s">
        <v>29946</v>
      </c>
      <c r="D13619" t="s">
        <v>20</v>
      </c>
      <c r="E13619" t="s">
        <v>39</v>
      </c>
      <c r="F13619">
        <v>0</v>
      </c>
      <c r="G13619">
        <v>0</v>
      </c>
      <c r="H13619">
        <v>2</v>
      </c>
      <c r="I13619" s="3">
        <v>3060.64</v>
      </c>
      <c r="J13619" s="3">
        <v>0</v>
      </c>
      <c r="L13619">
        <v>726</v>
      </c>
      <c r="M13619" t="s">
        <v>7082</v>
      </c>
      <c r="N13619" t="s">
        <v>30</v>
      </c>
      <c r="O13619" t="s">
        <v>31</v>
      </c>
      <c r="P13619" t="str">
        <f>"15226"</f>
        <v>15226</v>
      </c>
    </row>
    <row r="13620" spans="1:16" x14ac:dyDescent="0.25">
      <c r="A13620" t="str">
        <f>"1190062S00068    00"</f>
        <v>1190062S00068    00</v>
      </c>
      <c r="B13620" t="s">
        <v>29947</v>
      </c>
      <c r="C13620" t="s">
        <v>29948</v>
      </c>
      <c r="D13620" t="s">
        <v>20</v>
      </c>
      <c r="E13620" t="s">
        <v>39</v>
      </c>
      <c r="F13620">
        <v>0</v>
      </c>
      <c r="G13620">
        <v>0</v>
      </c>
      <c r="H13620">
        <v>2</v>
      </c>
      <c r="I13620" s="3">
        <v>1962.06</v>
      </c>
      <c r="J13620" s="3">
        <v>0</v>
      </c>
      <c r="K13620" t="s">
        <v>29949</v>
      </c>
      <c r="L13620">
        <v>301</v>
      </c>
      <c r="M13620" t="s">
        <v>29950</v>
      </c>
      <c r="N13620" t="s">
        <v>30</v>
      </c>
      <c r="O13620" t="s">
        <v>31</v>
      </c>
      <c r="P13620" t="str">
        <f>"15219"</f>
        <v>15219</v>
      </c>
    </row>
    <row r="13621" spans="1:16" x14ac:dyDescent="0.25">
      <c r="A13621" t="str">
        <f>"1190062S00112    00"</f>
        <v>1190062S00112    00</v>
      </c>
      <c r="B13621" t="s">
        <v>29951</v>
      </c>
      <c r="C13621" t="s">
        <v>29952</v>
      </c>
      <c r="D13621" t="s">
        <v>20</v>
      </c>
      <c r="E13621" t="s">
        <v>39</v>
      </c>
      <c r="F13621">
        <v>0</v>
      </c>
      <c r="G13621">
        <v>0</v>
      </c>
      <c r="H13621">
        <v>4</v>
      </c>
      <c r="I13621" s="3">
        <v>2445.5300000000002</v>
      </c>
      <c r="J13621" s="3">
        <v>309.02</v>
      </c>
      <c r="L13621">
        <v>616</v>
      </c>
      <c r="M13621" t="s">
        <v>29231</v>
      </c>
      <c r="N13621" t="s">
        <v>30</v>
      </c>
      <c r="O13621" t="s">
        <v>31</v>
      </c>
      <c r="P13621" t="str">
        <f>"15226"</f>
        <v>15226</v>
      </c>
    </row>
    <row r="13622" spans="1:16" x14ac:dyDescent="0.25">
      <c r="A13622" t="str">
        <f>"1190062S00117    00"</f>
        <v>1190062S00117    00</v>
      </c>
      <c r="B13622" t="s">
        <v>29953</v>
      </c>
      <c r="C13622" t="s">
        <v>29954</v>
      </c>
      <c r="D13622" t="s">
        <v>20</v>
      </c>
      <c r="E13622" t="s">
        <v>39</v>
      </c>
      <c r="F13622">
        <v>0</v>
      </c>
      <c r="G13622">
        <v>0</v>
      </c>
      <c r="H13622">
        <v>2</v>
      </c>
      <c r="I13622" s="3">
        <v>3032.26</v>
      </c>
      <c r="J13622" s="3">
        <v>0</v>
      </c>
      <c r="K13622" t="s">
        <v>29955</v>
      </c>
      <c r="L13622">
        <v>702</v>
      </c>
      <c r="M13622" t="s">
        <v>29231</v>
      </c>
      <c r="N13622" t="s">
        <v>30</v>
      </c>
      <c r="O13622" t="s">
        <v>31</v>
      </c>
      <c r="P13622" t="str">
        <f>"15226"</f>
        <v>15226</v>
      </c>
    </row>
    <row r="13623" spans="1:16" x14ac:dyDescent="0.25">
      <c r="A13623" t="str">
        <f>"1190062S00119    00"</f>
        <v>1190062S00119    00</v>
      </c>
      <c r="B13623" t="s">
        <v>29956</v>
      </c>
      <c r="C13623" t="s">
        <v>29957</v>
      </c>
      <c r="D13623" t="s">
        <v>20</v>
      </c>
      <c r="E13623" t="s">
        <v>39</v>
      </c>
      <c r="F13623">
        <v>0</v>
      </c>
      <c r="G13623">
        <v>0</v>
      </c>
      <c r="H13623">
        <v>2</v>
      </c>
      <c r="I13623" s="3">
        <v>812.01</v>
      </c>
      <c r="J13623" s="3">
        <v>0</v>
      </c>
      <c r="L13623">
        <v>967</v>
      </c>
      <c r="M13623" t="s">
        <v>24044</v>
      </c>
      <c r="N13623" t="s">
        <v>30</v>
      </c>
      <c r="O13623" t="s">
        <v>31</v>
      </c>
      <c r="P13623" t="str">
        <f>"15226"</f>
        <v>15226</v>
      </c>
    </row>
    <row r="13624" spans="1:16" x14ac:dyDescent="0.25">
      <c r="A13624" t="str">
        <f>"1190062S00130    00"</f>
        <v>1190062S00130    00</v>
      </c>
      <c r="B13624" t="s">
        <v>29958</v>
      </c>
      <c r="C13624" t="s">
        <v>29959</v>
      </c>
      <c r="E13624" t="s">
        <v>39</v>
      </c>
      <c r="F13624">
        <v>0</v>
      </c>
      <c r="G13624">
        <v>0</v>
      </c>
      <c r="H13624">
        <v>12</v>
      </c>
      <c r="I13624" s="3">
        <v>15480.71</v>
      </c>
      <c r="J13624" s="3">
        <v>19860.12</v>
      </c>
      <c r="K13624" t="s">
        <v>29960</v>
      </c>
      <c r="L13624">
        <v>120</v>
      </c>
      <c r="M13624" t="s">
        <v>29961</v>
      </c>
      <c r="N13624" t="s">
        <v>5232</v>
      </c>
      <c r="O13624" t="s">
        <v>3486</v>
      </c>
      <c r="P13624" t="str">
        <f>"60606"</f>
        <v>60606</v>
      </c>
    </row>
    <row r="13625" spans="1:16" x14ac:dyDescent="0.25">
      <c r="A13625" t="str">
        <f>"1190062S00143    00"</f>
        <v>1190062S00143    00</v>
      </c>
      <c r="B13625" t="s">
        <v>29962</v>
      </c>
      <c r="C13625" t="s">
        <v>29963</v>
      </c>
      <c r="D13625" t="s">
        <v>20</v>
      </c>
      <c r="E13625" t="s">
        <v>39</v>
      </c>
      <c r="F13625">
        <v>0</v>
      </c>
      <c r="G13625">
        <v>0</v>
      </c>
      <c r="H13625">
        <v>2</v>
      </c>
      <c r="I13625" s="3">
        <v>1254.1500000000001</v>
      </c>
      <c r="J13625" s="3">
        <v>0</v>
      </c>
      <c r="L13625">
        <v>248</v>
      </c>
      <c r="M13625" t="s">
        <v>29964</v>
      </c>
      <c r="N13625" t="s">
        <v>3934</v>
      </c>
      <c r="O13625" t="s">
        <v>31</v>
      </c>
      <c r="P13625" t="str">
        <f>"15102"</f>
        <v>15102</v>
      </c>
    </row>
    <row r="13626" spans="1:16" x14ac:dyDescent="0.25">
      <c r="A13626" t="str">
        <f>"1190062S00184    00"</f>
        <v>1190062S00184    00</v>
      </c>
      <c r="B13626" t="s">
        <v>29965</v>
      </c>
      <c r="C13626" t="s">
        <v>29966</v>
      </c>
      <c r="E13626" t="s">
        <v>39</v>
      </c>
      <c r="F13626">
        <v>0</v>
      </c>
      <c r="G13626">
        <v>0</v>
      </c>
      <c r="H13626">
        <v>1</v>
      </c>
      <c r="I13626" s="3">
        <v>423.77</v>
      </c>
      <c r="J13626" s="3">
        <v>0</v>
      </c>
      <c r="L13626">
        <v>11716</v>
      </c>
      <c r="M13626" t="s">
        <v>29967</v>
      </c>
      <c r="N13626" t="s">
        <v>29968</v>
      </c>
      <c r="O13626" t="s">
        <v>658</v>
      </c>
      <c r="P13626" t="str">
        <f>"73012"</f>
        <v>73012</v>
      </c>
    </row>
    <row r="13627" spans="1:16" x14ac:dyDescent="0.25">
      <c r="A13627" t="str">
        <f>"1190062S00200    00"</f>
        <v>1190062S00200    00</v>
      </c>
      <c r="B13627" t="s">
        <v>29969</v>
      </c>
      <c r="C13627" t="s">
        <v>29970</v>
      </c>
      <c r="E13627" t="s">
        <v>39</v>
      </c>
      <c r="F13627">
        <v>0</v>
      </c>
      <c r="G13627">
        <v>0</v>
      </c>
      <c r="H13627">
        <v>2</v>
      </c>
      <c r="I13627" s="3">
        <v>1022.43</v>
      </c>
      <c r="J13627" s="3">
        <v>298.55</v>
      </c>
      <c r="K13627" t="s">
        <v>403</v>
      </c>
      <c r="L13627">
        <v>3001</v>
      </c>
      <c r="M13627" t="s">
        <v>404</v>
      </c>
      <c r="N13627" t="s">
        <v>331</v>
      </c>
      <c r="O13627" t="s">
        <v>108</v>
      </c>
      <c r="P13627" t="str">
        <f>"75063"</f>
        <v>75063</v>
      </c>
    </row>
    <row r="13628" spans="1:16" x14ac:dyDescent="0.25">
      <c r="A13628" t="str">
        <f>"1190062S00297    00"</f>
        <v>1190062S00297    00</v>
      </c>
      <c r="B13628" t="s">
        <v>29971</v>
      </c>
      <c r="C13628" t="s">
        <v>29972</v>
      </c>
      <c r="E13628" t="s">
        <v>39</v>
      </c>
      <c r="F13628">
        <v>0</v>
      </c>
      <c r="G13628">
        <v>0</v>
      </c>
      <c r="H13628">
        <v>1</v>
      </c>
      <c r="I13628" s="3">
        <v>1770.68</v>
      </c>
      <c r="J13628" s="3">
        <v>0</v>
      </c>
      <c r="L13628">
        <v>907</v>
      </c>
      <c r="M13628" t="s">
        <v>29915</v>
      </c>
      <c r="N13628" t="s">
        <v>30</v>
      </c>
      <c r="O13628" t="s">
        <v>31</v>
      </c>
      <c r="P13628" t="str">
        <f>"15236"</f>
        <v>15236</v>
      </c>
    </row>
    <row r="13629" spans="1:16" x14ac:dyDescent="0.25">
      <c r="A13629" t="str">
        <f>"1190062S00310    00"</f>
        <v>1190062S00310    00</v>
      </c>
      <c r="B13629" t="s">
        <v>29973</v>
      </c>
      <c r="C13629" t="s">
        <v>29974</v>
      </c>
      <c r="D13629" t="s">
        <v>20</v>
      </c>
      <c r="E13629" t="s">
        <v>39</v>
      </c>
      <c r="F13629">
        <v>0</v>
      </c>
      <c r="G13629">
        <v>0</v>
      </c>
      <c r="H13629">
        <v>4</v>
      </c>
      <c r="I13629" s="3">
        <v>1874.18</v>
      </c>
      <c r="J13629" s="3">
        <v>1286.06</v>
      </c>
      <c r="L13629">
        <v>815</v>
      </c>
      <c r="M13629" t="s">
        <v>29975</v>
      </c>
      <c r="N13629" t="s">
        <v>30</v>
      </c>
      <c r="O13629" t="s">
        <v>31</v>
      </c>
      <c r="P13629" t="str">
        <f>"15226"</f>
        <v>15226</v>
      </c>
    </row>
    <row r="13630" spans="1:16" x14ac:dyDescent="0.25">
      <c r="A13630" t="str">
        <f>"1190062S00368    00"</f>
        <v>1190062S00368    00</v>
      </c>
      <c r="B13630" t="s">
        <v>29976</v>
      </c>
      <c r="C13630" t="s">
        <v>29977</v>
      </c>
      <c r="E13630" t="s">
        <v>39</v>
      </c>
      <c r="F13630">
        <v>0</v>
      </c>
      <c r="G13630">
        <v>0</v>
      </c>
      <c r="H13630">
        <v>2</v>
      </c>
      <c r="I13630" s="3">
        <v>1576.53</v>
      </c>
      <c r="J13630" s="3">
        <v>319.32</v>
      </c>
      <c r="K13630" t="s">
        <v>29978</v>
      </c>
      <c r="L13630">
        <v>5109</v>
      </c>
      <c r="M13630" t="s">
        <v>2444</v>
      </c>
      <c r="N13630" t="s">
        <v>30</v>
      </c>
      <c r="O13630" t="s">
        <v>31</v>
      </c>
      <c r="P13630" t="str">
        <f>"15201"</f>
        <v>15201</v>
      </c>
    </row>
    <row r="13631" spans="1:16" x14ac:dyDescent="0.25">
      <c r="A13631" t="str">
        <f>"1190096A00003    00"</f>
        <v>1190096A00003    00</v>
      </c>
      <c r="B13631" t="s">
        <v>29979</v>
      </c>
      <c r="C13631" t="s">
        <v>29980</v>
      </c>
      <c r="D13631" t="s">
        <v>20</v>
      </c>
      <c r="E13631" t="s">
        <v>39</v>
      </c>
      <c r="F13631">
        <v>0</v>
      </c>
      <c r="G13631">
        <v>0</v>
      </c>
      <c r="H13631">
        <v>1</v>
      </c>
      <c r="I13631" s="3">
        <v>1117.3900000000001</v>
      </c>
      <c r="J13631" s="3">
        <v>0</v>
      </c>
      <c r="L13631">
        <v>2438</v>
      </c>
      <c r="M13631" t="s">
        <v>29555</v>
      </c>
      <c r="N13631" t="s">
        <v>30</v>
      </c>
      <c r="O13631" t="s">
        <v>31</v>
      </c>
      <c r="P13631" t="str">
        <f>"15226"</f>
        <v>15226</v>
      </c>
    </row>
    <row r="13632" spans="1:16" x14ac:dyDescent="0.25">
      <c r="A13632" t="str">
        <f>"1190096A00006    00"</f>
        <v>1190096A00006    00</v>
      </c>
      <c r="B13632" t="s">
        <v>29981</v>
      </c>
      <c r="C13632" t="s">
        <v>29982</v>
      </c>
      <c r="D13632" t="s">
        <v>20</v>
      </c>
      <c r="E13632" t="s">
        <v>39</v>
      </c>
      <c r="F13632">
        <v>0</v>
      </c>
      <c r="G13632">
        <v>0</v>
      </c>
      <c r="H13632">
        <v>2</v>
      </c>
      <c r="I13632" s="3">
        <v>2006.1</v>
      </c>
      <c r="J13632" s="3">
        <v>0</v>
      </c>
      <c r="K13632" t="s">
        <v>29983</v>
      </c>
      <c r="L13632">
        <v>2432</v>
      </c>
      <c r="M13632" t="s">
        <v>29555</v>
      </c>
      <c r="N13632" t="s">
        <v>30</v>
      </c>
      <c r="O13632" t="s">
        <v>31</v>
      </c>
      <c r="P13632" t="str">
        <f>"15226"</f>
        <v>15226</v>
      </c>
    </row>
    <row r="13633" spans="1:16" x14ac:dyDescent="0.25">
      <c r="A13633" t="str">
        <f>"1190096A00022    00"</f>
        <v>1190096A00022    00</v>
      </c>
      <c r="B13633" t="s">
        <v>29984</v>
      </c>
      <c r="C13633" t="s">
        <v>29985</v>
      </c>
      <c r="D13633" t="s">
        <v>20</v>
      </c>
      <c r="E13633" t="s">
        <v>39</v>
      </c>
      <c r="F13633">
        <v>0</v>
      </c>
      <c r="G13633">
        <v>0</v>
      </c>
      <c r="H13633">
        <v>1</v>
      </c>
      <c r="I13633" s="3">
        <v>66.22</v>
      </c>
      <c r="J13633" s="3">
        <v>0</v>
      </c>
      <c r="K13633" t="s">
        <v>5567</v>
      </c>
      <c r="L13633">
        <v>1427</v>
      </c>
      <c r="M13633" t="s">
        <v>29986</v>
      </c>
      <c r="N13633" t="s">
        <v>19162</v>
      </c>
      <c r="O13633" t="s">
        <v>4718</v>
      </c>
      <c r="P13633" t="str">
        <f>"55108"</f>
        <v>55108</v>
      </c>
    </row>
    <row r="13634" spans="1:16" x14ac:dyDescent="0.25">
      <c r="A13634" t="str">
        <f>"1190096A00023    00"</f>
        <v>1190096A00023    00</v>
      </c>
      <c r="B13634" t="s">
        <v>29987</v>
      </c>
      <c r="C13634" t="s">
        <v>29988</v>
      </c>
      <c r="D13634" t="s">
        <v>20</v>
      </c>
      <c r="E13634" t="s">
        <v>39</v>
      </c>
      <c r="F13634">
        <v>0</v>
      </c>
      <c r="G13634">
        <v>0</v>
      </c>
      <c r="H13634">
        <v>10</v>
      </c>
      <c r="I13634" s="3">
        <v>12053.49</v>
      </c>
      <c r="J13634" s="3">
        <v>4611.3599999999997</v>
      </c>
      <c r="L13634">
        <v>2451</v>
      </c>
      <c r="M13634" t="s">
        <v>29555</v>
      </c>
      <c r="N13634" t="s">
        <v>30</v>
      </c>
      <c r="O13634" t="s">
        <v>31</v>
      </c>
      <c r="P13634" t="str">
        <f>"15226"</f>
        <v>15226</v>
      </c>
    </row>
    <row r="13635" spans="1:16" x14ac:dyDescent="0.25">
      <c r="A13635" t="str">
        <f>"1190096A00087    00"</f>
        <v>1190096A00087    00</v>
      </c>
      <c r="B13635" t="s">
        <v>29989</v>
      </c>
      <c r="C13635" t="s">
        <v>29990</v>
      </c>
      <c r="D13635" t="s">
        <v>20</v>
      </c>
      <c r="E13635" t="s">
        <v>39</v>
      </c>
      <c r="F13635">
        <v>0</v>
      </c>
      <c r="G13635">
        <v>0</v>
      </c>
      <c r="H13635">
        <v>1</v>
      </c>
      <c r="I13635" s="3">
        <v>1100.23</v>
      </c>
      <c r="J13635" s="3">
        <v>0</v>
      </c>
      <c r="K13635" t="s">
        <v>8725</v>
      </c>
      <c r="L13635">
        <v>15301</v>
      </c>
      <c r="M13635" t="s">
        <v>8726</v>
      </c>
      <c r="N13635" t="s">
        <v>8727</v>
      </c>
      <c r="O13635" t="s">
        <v>108</v>
      </c>
      <c r="P13635" t="str">
        <f>"75001"</f>
        <v>75001</v>
      </c>
    </row>
    <row r="13636" spans="1:16" x14ac:dyDescent="0.25">
      <c r="A13636" t="str">
        <f>"1190096A00090    00"</f>
        <v>1190096A00090    00</v>
      </c>
      <c r="B13636" t="s">
        <v>29991</v>
      </c>
      <c r="C13636" t="s">
        <v>29992</v>
      </c>
      <c r="E13636" t="s">
        <v>39</v>
      </c>
      <c r="F13636">
        <v>0</v>
      </c>
      <c r="G13636">
        <v>0</v>
      </c>
      <c r="H13636">
        <v>1</v>
      </c>
      <c r="I13636" s="3">
        <v>1167.8599999999999</v>
      </c>
      <c r="J13636" s="3">
        <v>467.12</v>
      </c>
      <c r="L13636">
        <v>1036</v>
      </c>
      <c r="M13636" t="s">
        <v>28726</v>
      </c>
      <c r="N13636" t="s">
        <v>30</v>
      </c>
      <c r="O13636" t="s">
        <v>31</v>
      </c>
      <c r="P13636" t="str">
        <f>"15226"</f>
        <v>15226</v>
      </c>
    </row>
    <row r="13637" spans="1:16" x14ac:dyDescent="0.25">
      <c r="A13637" t="str">
        <f>"1190096A00150    00"</f>
        <v>1190096A00150    00</v>
      </c>
      <c r="B13637" t="s">
        <v>29993</v>
      </c>
      <c r="C13637" t="s">
        <v>29994</v>
      </c>
      <c r="D13637" t="s">
        <v>20</v>
      </c>
      <c r="E13637" t="s">
        <v>39</v>
      </c>
      <c r="F13637">
        <v>0</v>
      </c>
      <c r="G13637">
        <v>0</v>
      </c>
      <c r="H13637">
        <v>3</v>
      </c>
      <c r="I13637" s="3">
        <v>4740.24</v>
      </c>
      <c r="J13637" s="3">
        <v>316.01</v>
      </c>
      <c r="K13637" t="s">
        <v>29995</v>
      </c>
      <c r="L13637">
        <v>2511</v>
      </c>
      <c r="M13637" t="s">
        <v>24723</v>
      </c>
      <c r="N13637" t="s">
        <v>30</v>
      </c>
      <c r="O13637" t="s">
        <v>31</v>
      </c>
      <c r="P13637" t="str">
        <f>"15226"</f>
        <v>15226</v>
      </c>
    </row>
    <row r="13638" spans="1:16" x14ac:dyDescent="0.25">
      <c r="A13638" t="str">
        <f>"1190096A00162    00"</f>
        <v>1190096A00162    00</v>
      </c>
      <c r="B13638" t="s">
        <v>27468</v>
      </c>
      <c r="C13638" t="s">
        <v>29996</v>
      </c>
      <c r="D13638" t="s">
        <v>20</v>
      </c>
      <c r="E13638" t="s">
        <v>39</v>
      </c>
      <c r="F13638">
        <v>0</v>
      </c>
      <c r="G13638">
        <v>0</v>
      </c>
      <c r="H13638">
        <v>1</v>
      </c>
      <c r="I13638" s="3">
        <v>1435.23</v>
      </c>
      <c r="J13638" s="3">
        <v>0</v>
      </c>
      <c r="K13638" t="s">
        <v>27470</v>
      </c>
      <c r="L13638">
        <v>245</v>
      </c>
      <c r="M13638" t="s">
        <v>20636</v>
      </c>
      <c r="N13638" t="s">
        <v>30</v>
      </c>
      <c r="O13638" t="s">
        <v>31</v>
      </c>
      <c r="P13638" t="str">
        <f>"15228"</f>
        <v>15228</v>
      </c>
    </row>
    <row r="13639" spans="1:16" x14ac:dyDescent="0.25">
      <c r="A13639" t="str">
        <f>"1190096A00169A   00"</f>
        <v>1190096A00169A   00</v>
      </c>
      <c r="B13639" t="s">
        <v>29997</v>
      </c>
      <c r="C13639" t="s">
        <v>29998</v>
      </c>
      <c r="D13639" t="s">
        <v>20</v>
      </c>
      <c r="E13639" t="s">
        <v>39</v>
      </c>
      <c r="F13639">
        <v>0</v>
      </c>
      <c r="G13639">
        <v>0</v>
      </c>
      <c r="H13639">
        <v>1</v>
      </c>
      <c r="I13639" s="3">
        <v>1193.18</v>
      </c>
      <c r="J13639" s="3">
        <v>0</v>
      </c>
      <c r="L13639">
        <v>521</v>
      </c>
      <c r="M13639" t="s">
        <v>24044</v>
      </c>
      <c r="N13639" t="s">
        <v>30</v>
      </c>
      <c r="O13639" t="s">
        <v>31</v>
      </c>
      <c r="P13639" t="str">
        <f>"15226"</f>
        <v>15226</v>
      </c>
    </row>
    <row r="13640" spans="1:16" x14ac:dyDescent="0.25">
      <c r="A13640" t="str">
        <f>"1190096A00216    00"</f>
        <v>1190096A00216    00</v>
      </c>
      <c r="B13640" t="s">
        <v>8294</v>
      </c>
      <c r="C13640" t="s">
        <v>29999</v>
      </c>
      <c r="D13640" t="s">
        <v>20</v>
      </c>
      <c r="E13640" t="s">
        <v>39</v>
      </c>
      <c r="F13640">
        <v>0</v>
      </c>
      <c r="G13640">
        <v>0</v>
      </c>
      <c r="H13640">
        <v>3</v>
      </c>
      <c r="I13640" s="3">
        <v>4234.1499999999996</v>
      </c>
      <c r="J13640" s="3">
        <v>251.4</v>
      </c>
      <c r="L13640">
        <v>303</v>
      </c>
      <c r="M13640" t="s">
        <v>8296</v>
      </c>
      <c r="N13640" t="s">
        <v>30</v>
      </c>
      <c r="O13640" t="s">
        <v>31</v>
      </c>
      <c r="P13640" t="str">
        <f>"15211"</f>
        <v>15211</v>
      </c>
    </row>
    <row r="13641" spans="1:16" x14ac:dyDescent="0.25">
      <c r="A13641" t="str">
        <f>"1190096E00020    00"</f>
        <v>1190096E00020    00</v>
      </c>
      <c r="B13641" t="s">
        <v>30000</v>
      </c>
      <c r="C13641" t="s">
        <v>30001</v>
      </c>
      <c r="D13641" t="s">
        <v>20</v>
      </c>
      <c r="E13641" t="s">
        <v>39</v>
      </c>
      <c r="F13641">
        <v>0</v>
      </c>
      <c r="G13641">
        <v>0</v>
      </c>
      <c r="H13641">
        <v>2</v>
      </c>
      <c r="I13641" s="3">
        <v>239.69</v>
      </c>
      <c r="J13641" s="3">
        <v>0</v>
      </c>
      <c r="K13641" t="s">
        <v>25159</v>
      </c>
      <c r="L13641">
        <v>3001</v>
      </c>
      <c r="M13641" t="s">
        <v>330</v>
      </c>
      <c r="N13641" t="s">
        <v>331</v>
      </c>
      <c r="O13641" t="s">
        <v>108</v>
      </c>
      <c r="P13641" t="str">
        <f>"75063"</f>
        <v>75063</v>
      </c>
    </row>
    <row r="13642" spans="1:16" x14ac:dyDescent="0.25">
      <c r="A13642" t="str">
        <f>"1190096E00025    00"</f>
        <v>1190096E00025    00</v>
      </c>
      <c r="B13642" t="s">
        <v>30002</v>
      </c>
      <c r="C13642" t="s">
        <v>30003</v>
      </c>
      <c r="D13642" t="s">
        <v>57</v>
      </c>
      <c r="E13642" t="s">
        <v>39</v>
      </c>
      <c r="F13642">
        <v>0</v>
      </c>
      <c r="G13642">
        <v>0</v>
      </c>
      <c r="H13642">
        <v>2</v>
      </c>
      <c r="I13642" s="3">
        <v>394.35</v>
      </c>
      <c r="J13642" s="3">
        <v>400.91</v>
      </c>
      <c r="L13642">
        <v>1138</v>
      </c>
      <c r="M13642" t="s">
        <v>1990</v>
      </c>
      <c r="N13642" t="s">
        <v>30</v>
      </c>
      <c r="O13642" t="s">
        <v>31</v>
      </c>
      <c r="P13642" t="str">
        <f>"15226"</f>
        <v>15226</v>
      </c>
    </row>
    <row r="13643" spans="1:16" x14ac:dyDescent="0.25">
      <c r="A13643" t="str">
        <f>"1190096E00037    00"</f>
        <v>1190096E00037    00</v>
      </c>
      <c r="B13643" t="s">
        <v>30004</v>
      </c>
      <c r="C13643" t="s">
        <v>30005</v>
      </c>
      <c r="E13643" t="s">
        <v>39</v>
      </c>
      <c r="F13643">
        <v>0</v>
      </c>
      <c r="G13643">
        <v>0</v>
      </c>
      <c r="H13643">
        <v>2</v>
      </c>
      <c r="I13643" s="3">
        <v>2288.5300000000002</v>
      </c>
      <c r="J13643" s="3">
        <v>681.39</v>
      </c>
      <c r="L13643">
        <v>3150</v>
      </c>
      <c r="M13643" t="s">
        <v>30006</v>
      </c>
      <c r="N13643" t="s">
        <v>30</v>
      </c>
      <c r="O13643" t="s">
        <v>31</v>
      </c>
      <c r="P13643" t="str">
        <f>"15234"</f>
        <v>15234</v>
      </c>
    </row>
    <row r="13644" spans="1:16" x14ac:dyDescent="0.25">
      <c r="A13644" t="str">
        <f>"1190096E00064    00"</f>
        <v>1190096E00064    00</v>
      </c>
      <c r="B13644" t="s">
        <v>30007</v>
      </c>
      <c r="C13644" t="s">
        <v>30008</v>
      </c>
      <c r="D13644" t="s">
        <v>20</v>
      </c>
      <c r="E13644" t="s">
        <v>39</v>
      </c>
      <c r="F13644">
        <v>0</v>
      </c>
      <c r="G13644">
        <v>0</v>
      </c>
      <c r="H13644">
        <v>2</v>
      </c>
      <c r="I13644" s="3">
        <v>1784.24</v>
      </c>
      <c r="J13644" s="3">
        <v>784.42</v>
      </c>
      <c r="L13644">
        <v>1209</v>
      </c>
      <c r="M13644" t="s">
        <v>30009</v>
      </c>
      <c r="N13644" t="s">
        <v>30</v>
      </c>
      <c r="O13644" t="s">
        <v>31</v>
      </c>
      <c r="P13644" t="str">
        <f>"15226"</f>
        <v>15226</v>
      </c>
    </row>
    <row r="13645" spans="1:16" x14ac:dyDescent="0.25">
      <c r="A13645" t="str">
        <f>"1190096E00116    00"</f>
        <v>1190096E00116    00</v>
      </c>
      <c r="B13645" t="s">
        <v>30010</v>
      </c>
      <c r="C13645" t="s">
        <v>30011</v>
      </c>
      <c r="D13645" t="s">
        <v>20</v>
      </c>
      <c r="E13645" t="s">
        <v>39</v>
      </c>
      <c r="F13645">
        <v>0</v>
      </c>
      <c r="G13645">
        <v>0</v>
      </c>
      <c r="H13645">
        <v>1</v>
      </c>
      <c r="I13645" s="3">
        <v>1546.23</v>
      </c>
      <c r="J13645" s="3">
        <v>0</v>
      </c>
      <c r="K13645" t="s">
        <v>30012</v>
      </c>
      <c r="L13645">
        <v>175</v>
      </c>
      <c r="M13645" t="s">
        <v>5124</v>
      </c>
      <c r="N13645" t="s">
        <v>199</v>
      </c>
      <c r="O13645" t="s">
        <v>200</v>
      </c>
      <c r="P13645" t="str">
        <f>"10007"</f>
        <v>10007</v>
      </c>
    </row>
    <row r="13646" spans="1:16" x14ac:dyDescent="0.25">
      <c r="A13646" t="str">
        <f>"1190096E00123    00"</f>
        <v>1190096E00123    00</v>
      </c>
      <c r="B13646" t="s">
        <v>30013</v>
      </c>
      <c r="C13646" t="s">
        <v>30014</v>
      </c>
      <c r="D13646" t="s">
        <v>20</v>
      </c>
      <c r="E13646" t="s">
        <v>39</v>
      </c>
      <c r="F13646">
        <v>0</v>
      </c>
      <c r="G13646">
        <v>0</v>
      </c>
      <c r="H13646">
        <v>1</v>
      </c>
      <c r="I13646" s="3">
        <v>951.61</v>
      </c>
      <c r="J13646" s="3">
        <v>0</v>
      </c>
      <c r="L13646">
        <v>1225</v>
      </c>
      <c r="M13646" t="s">
        <v>30015</v>
      </c>
      <c r="N13646" t="s">
        <v>30</v>
      </c>
      <c r="O13646" t="s">
        <v>31</v>
      </c>
      <c r="P13646" t="str">
        <f>"15226"</f>
        <v>15226</v>
      </c>
    </row>
    <row r="13647" spans="1:16" x14ac:dyDescent="0.25">
      <c r="A13647" t="str">
        <f>"1190096E00171    00"</f>
        <v>1190096E00171    00</v>
      </c>
      <c r="B13647" t="s">
        <v>30016</v>
      </c>
      <c r="C13647" t="s">
        <v>30017</v>
      </c>
      <c r="D13647" t="s">
        <v>20</v>
      </c>
      <c r="E13647" t="s">
        <v>21</v>
      </c>
      <c r="F13647">
        <v>0</v>
      </c>
      <c r="G13647">
        <v>0</v>
      </c>
      <c r="H13647">
        <v>2</v>
      </c>
      <c r="I13647" s="3">
        <v>4765.04</v>
      </c>
      <c r="J13647" s="3">
        <v>0</v>
      </c>
      <c r="K13647" t="s">
        <v>30018</v>
      </c>
      <c r="L13647">
        <v>1113</v>
      </c>
      <c r="M13647" t="s">
        <v>30019</v>
      </c>
      <c r="N13647" t="s">
        <v>30</v>
      </c>
      <c r="O13647" t="s">
        <v>31</v>
      </c>
      <c r="P13647" t="str">
        <f>"15226"</f>
        <v>15226</v>
      </c>
    </row>
    <row r="13648" spans="1:16" x14ac:dyDescent="0.25">
      <c r="A13648" t="str">
        <f>"1190096E00176    00"</f>
        <v>1190096E00176    00</v>
      </c>
      <c r="B13648" t="s">
        <v>30016</v>
      </c>
      <c r="C13648" t="s">
        <v>30020</v>
      </c>
      <c r="D13648" t="s">
        <v>20</v>
      </c>
      <c r="E13648" t="s">
        <v>21</v>
      </c>
      <c r="F13648">
        <v>0</v>
      </c>
      <c r="G13648">
        <v>0</v>
      </c>
      <c r="H13648">
        <v>2</v>
      </c>
      <c r="I13648" s="3">
        <v>38.119999999999997</v>
      </c>
      <c r="J13648" s="3">
        <v>0</v>
      </c>
      <c r="L13648">
        <v>1113</v>
      </c>
      <c r="M13648" t="s">
        <v>30019</v>
      </c>
      <c r="N13648" t="s">
        <v>30</v>
      </c>
      <c r="O13648" t="s">
        <v>31</v>
      </c>
      <c r="P13648" t="str">
        <f>"15226"</f>
        <v>15226</v>
      </c>
    </row>
    <row r="13649" spans="1:16" x14ac:dyDescent="0.25">
      <c r="A13649" t="str">
        <f>"1190096E00180    00"</f>
        <v>1190096E00180    00</v>
      </c>
      <c r="B13649" t="s">
        <v>30021</v>
      </c>
      <c r="C13649" t="s">
        <v>30022</v>
      </c>
      <c r="D13649" t="s">
        <v>20</v>
      </c>
      <c r="E13649" t="s">
        <v>39</v>
      </c>
      <c r="F13649">
        <v>0</v>
      </c>
      <c r="G13649">
        <v>0</v>
      </c>
      <c r="H13649">
        <v>2</v>
      </c>
      <c r="I13649" s="3">
        <v>2096.7199999999998</v>
      </c>
      <c r="J13649" s="3">
        <v>0</v>
      </c>
      <c r="K13649" t="s">
        <v>30023</v>
      </c>
      <c r="L13649">
        <v>1127</v>
      </c>
      <c r="M13649" t="s">
        <v>30019</v>
      </c>
      <c r="N13649" t="s">
        <v>30</v>
      </c>
      <c r="O13649" t="s">
        <v>31</v>
      </c>
      <c r="P13649" t="str">
        <f>"15226"</f>
        <v>15226</v>
      </c>
    </row>
    <row r="13650" spans="1:16" x14ac:dyDescent="0.25">
      <c r="A13650" t="str">
        <f>"1190096E00181    00"</f>
        <v>1190096E00181    00</v>
      </c>
      <c r="B13650" t="s">
        <v>30024</v>
      </c>
      <c r="C13650" t="s">
        <v>30025</v>
      </c>
      <c r="D13650" t="s">
        <v>20</v>
      </c>
      <c r="E13650" t="s">
        <v>39</v>
      </c>
      <c r="F13650">
        <v>0</v>
      </c>
      <c r="G13650">
        <v>0</v>
      </c>
      <c r="H13650">
        <v>1</v>
      </c>
      <c r="I13650" s="3">
        <v>1349.92</v>
      </c>
      <c r="J13650" s="3">
        <v>0</v>
      </c>
      <c r="K13650" t="s">
        <v>1632</v>
      </c>
      <c r="L13650">
        <v>3001</v>
      </c>
      <c r="M13650" t="s">
        <v>330</v>
      </c>
      <c r="N13650" t="s">
        <v>331</v>
      </c>
      <c r="O13650" t="s">
        <v>108</v>
      </c>
      <c r="P13650" t="str">
        <f>"75063"</f>
        <v>75063</v>
      </c>
    </row>
    <row r="13651" spans="1:16" x14ac:dyDescent="0.25">
      <c r="A13651" t="str">
        <f>"1190096E00196    00"</f>
        <v>1190096E00196    00</v>
      </c>
      <c r="B13651" t="s">
        <v>30026</v>
      </c>
      <c r="C13651" t="s">
        <v>30027</v>
      </c>
      <c r="D13651" t="s">
        <v>20</v>
      </c>
      <c r="E13651" t="s">
        <v>39</v>
      </c>
      <c r="F13651">
        <v>0</v>
      </c>
      <c r="G13651">
        <v>0</v>
      </c>
      <c r="H13651">
        <v>1</v>
      </c>
      <c r="I13651" s="3">
        <v>2184.3000000000002</v>
      </c>
      <c r="J13651" s="3">
        <v>0</v>
      </c>
      <c r="L13651">
        <v>1225</v>
      </c>
      <c r="M13651" t="s">
        <v>30019</v>
      </c>
      <c r="N13651" t="s">
        <v>30</v>
      </c>
      <c r="O13651" t="s">
        <v>31</v>
      </c>
      <c r="P13651" t="str">
        <f t="shared" ref="P13651:P13657" si="170">"15226"</f>
        <v>15226</v>
      </c>
    </row>
    <row r="13652" spans="1:16" x14ac:dyDescent="0.25">
      <c r="A13652" t="str">
        <f>"1190096E00218    00"</f>
        <v>1190096E00218    00</v>
      </c>
      <c r="B13652" t="s">
        <v>30028</v>
      </c>
      <c r="C13652" t="s">
        <v>30029</v>
      </c>
      <c r="D13652" t="s">
        <v>20</v>
      </c>
      <c r="E13652" t="s">
        <v>39</v>
      </c>
      <c r="F13652">
        <v>0</v>
      </c>
      <c r="G13652">
        <v>0</v>
      </c>
      <c r="H13652">
        <v>3</v>
      </c>
      <c r="I13652" s="3">
        <v>3498.17</v>
      </c>
      <c r="J13652" s="3">
        <v>245.03</v>
      </c>
      <c r="L13652">
        <v>1206</v>
      </c>
      <c r="M13652" t="s">
        <v>30019</v>
      </c>
      <c r="N13652" t="s">
        <v>30</v>
      </c>
      <c r="O13652" t="s">
        <v>31</v>
      </c>
      <c r="P13652" t="str">
        <f t="shared" si="170"/>
        <v>15226</v>
      </c>
    </row>
    <row r="13653" spans="1:16" x14ac:dyDescent="0.25">
      <c r="A13653" t="str">
        <f>"1190096E00223    00"</f>
        <v>1190096E00223    00</v>
      </c>
      <c r="B13653" t="s">
        <v>30030</v>
      </c>
      <c r="C13653" t="s">
        <v>30031</v>
      </c>
      <c r="D13653" t="s">
        <v>20</v>
      </c>
      <c r="E13653" t="s">
        <v>39</v>
      </c>
      <c r="F13653">
        <v>0</v>
      </c>
      <c r="G13653">
        <v>0</v>
      </c>
      <c r="H13653">
        <v>1</v>
      </c>
      <c r="I13653" s="3">
        <v>1156.95</v>
      </c>
      <c r="J13653" s="3">
        <v>0</v>
      </c>
      <c r="K13653" t="s">
        <v>30032</v>
      </c>
      <c r="L13653">
        <v>1135</v>
      </c>
      <c r="M13653" t="s">
        <v>30019</v>
      </c>
      <c r="N13653" t="s">
        <v>30</v>
      </c>
      <c r="O13653" t="s">
        <v>31</v>
      </c>
      <c r="P13653" t="str">
        <f t="shared" si="170"/>
        <v>15226</v>
      </c>
    </row>
    <row r="13654" spans="1:16" x14ac:dyDescent="0.25">
      <c r="A13654" t="str">
        <f>"1190096E00285    00"</f>
        <v>1190096E00285    00</v>
      </c>
      <c r="B13654" t="s">
        <v>30033</v>
      </c>
      <c r="C13654" t="s">
        <v>30034</v>
      </c>
      <c r="E13654" t="s">
        <v>39</v>
      </c>
      <c r="F13654">
        <v>0</v>
      </c>
      <c r="G13654">
        <v>0</v>
      </c>
      <c r="H13654">
        <v>3</v>
      </c>
      <c r="I13654" s="3">
        <v>2400.91</v>
      </c>
      <c r="J13654" s="3">
        <v>1118.31</v>
      </c>
      <c r="L13654">
        <v>1202</v>
      </c>
      <c r="M13654" t="s">
        <v>30035</v>
      </c>
      <c r="N13654" t="s">
        <v>30</v>
      </c>
      <c r="O13654" t="s">
        <v>31</v>
      </c>
      <c r="P13654" t="str">
        <f t="shared" si="170"/>
        <v>15226</v>
      </c>
    </row>
    <row r="13655" spans="1:16" x14ac:dyDescent="0.25">
      <c r="A13655" t="str">
        <f>"1190096E00292    00"</f>
        <v>1190096E00292    00</v>
      </c>
      <c r="B13655" t="s">
        <v>30036</v>
      </c>
      <c r="C13655" t="s">
        <v>30037</v>
      </c>
      <c r="D13655" t="s">
        <v>20</v>
      </c>
      <c r="E13655" t="s">
        <v>39</v>
      </c>
      <c r="F13655">
        <v>0</v>
      </c>
      <c r="G13655">
        <v>0</v>
      </c>
      <c r="H13655">
        <v>2</v>
      </c>
      <c r="I13655" s="3">
        <v>1416.9</v>
      </c>
      <c r="J13655" s="3">
        <v>16.7</v>
      </c>
      <c r="K13655" t="s">
        <v>30038</v>
      </c>
      <c r="L13655">
        <v>1126</v>
      </c>
      <c r="M13655" t="s">
        <v>30035</v>
      </c>
      <c r="N13655" t="s">
        <v>30</v>
      </c>
      <c r="O13655" t="s">
        <v>31</v>
      </c>
      <c r="P13655" t="str">
        <f t="shared" si="170"/>
        <v>15226</v>
      </c>
    </row>
    <row r="13656" spans="1:16" x14ac:dyDescent="0.25">
      <c r="A13656" t="str">
        <f>"1190096E00293    00"</f>
        <v>1190096E00293    00</v>
      </c>
      <c r="B13656" t="s">
        <v>30039</v>
      </c>
      <c r="C13656" t="s">
        <v>30040</v>
      </c>
      <c r="D13656" t="s">
        <v>20</v>
      </c>
      <c r="E13656" t="s">
        <v>39</v>
      </c>
      <c r="F13656">
        <v>0</v>
      </c>
      <c r="G13656">
        <v>0</v>
      </c>
      <c r="H13656">
        <v>1</v>
      </c>
      <c r="I13656" s="3">
        <v>1161.21</v>
      </c>
      <c r="J13656" s="3">
        <v>0</v>
      </c>
      <c r="K13656" t="s">
        <v>30041</v>
      </c>
      <c r="L13656">
        <v>1124</v>
      </c>
      <c r="M13656" t="s">
        <v>30035</v>
      </c>
      <c r="N13656" t="s">
        <v>30</v>
      </c>
      <c r="O13656" t="s">
        <v>31</v>
      </c>
      <c r="P13656" t="str">
        <f t="shared" si="170"/>
        <v>15226</v>
      </c>
    </row>
    <row r="13657" spans="1:16" x14ac:dyDescent="0.25">
      <c r="A13657" t="str">
        <f>"1190096E00295    00"</f>
        <v>1190096E00295    00</v>
      </c>
      <c r="B13657" t="s">
        <v>30042</v>
      </c>
      <c r="C13657" t="s">
        <v>30043</v>
      </c>
      <c r="E13657" t="s">
        <v>39</v>
      </c>
      <c r="F13657">
        <v>0</v>
      </c>
      <c r="G13657">
        <v>0</v>
      </c>
      <c r="H13657">
        <v>1</v>
      </c>
      <c r="I13657" s="3">
        <v>1104.0899999999999</v>
      </c>
      <c r="J13657" s="3">
        <v>0</v>
      </c>
      <c r="L13657">
        <v>119</v>
      </c>
      <c r="M13657" t="s">
        <v>30044</v>
      </c>
      <c r="N13657" t="s">
        <v>30</v>
      </c>
      <c r="O13657" t="s">
        <v>31</v>
      </c>
      <c r="P13657" t="str">
        <f t="shared" si="170"/>
        <v>15226</v>
      </c>
    </row>
    <row r="13658" spans="1:16" x14ac:dyDescent="0.25">
      <c r="A13658" t="str">
        <f>"1190096E00303    00"</f>
        <v>1190096E00303    00</v>
      </c>
      <c r="B13658" t="s">
        <v>30045</v>
      </c>
      <c r="C13658" t="s">
        <v>30046</v>
      </c>
      <c r="D13658" t="s">
        <v>20</v>
      </c>
      <c r="E13658" t="s">
        <v>39</v>
      </c>
      <c r="F13658">
        <v>0</v>
      </c>
      <c r="G13658">
        <v>0</v>
      </c>
      <c r="H13658">
        <v>1</v>
      </c>
      <c r="I13658" s="3">
        <v>1105.95</v>
      </c>
      <c r="J13658" s="3">
        <v>0</v>
      </c>
      <c r="L13658">
        <v>82</v>
      </c>
      <c r="M13658" t="s">
        <v>27072</v>
      </c>
      <c r="N13658" t="s">
        <v>30</v>
      </c>
      <c r="O13658" t="s">
        <v>31</v>
      </c>
      <c r="P13658" t="str">
        <f>"15234"</f>
        <v>15234</v>
      </c>
    </row>
    <row r="13659" spans="1:16" x14ac:dyDescent="0.25">
      <c r="A13659" t="str">
        <f>"1190096F00010    00"</f>
        <v>1190096F00010    00</v>
      </c>
      <c r="B13659" t="s">
        <v>30047</v>
      </c>
      <c r="C13659" t="s">
        <v>30048</v>
      </c>
      <c r="D13659" t="s">
        <v>20</v>
      </c>
      <c r="E13659" t="s">
        <v>21</v>
      </c>
      <c r="F13659">
        <v>0</v>
      </c>
      <c r="G13659">
        <v>0</v>
      </c>
      <c r="H13659">
        <v>6</v>
      </c>
      <c r="I13659" s="3">
        <v>20709.189999999999</v>
      </c>
      <c r="J13659" s="3">
        <v>4056.73</v>
      </c>
      <c r="L13659">
        <v>239</v>
      </c>
      <c r="M13659" t="s">
        <v>16347</v>
      </c>
      <c r="N13659" t="s">
        <v>30</v>
      </c>
      <c r="O13659" t="s">
        <v>31</v>
      </c>
      <c r="P13659" t="str">
        <f>"15220"</f>
        <v>15220</v>
      </c>
    </row>
    <row r="13660" spans="1:16" x14ac:dyDescent="0.25">
      <c r="A13660" t="str">
        <f>"1190096F00102    00"</f>
        <v>1190096F00102    00</v>
      </c>
      <c r="B13660" t="s">
        <v>30049</v>
      </c>
      <c r="C13660" t="s">
        <v>30050</v>
      </c>
      <c r="E13660" t="s">
        <v>39</v>
      </c>
      <c r="F13660">
        <v>0</v>
      </c>
      <c r="G13660">
        <v>0</v>
      </c>
      <c r="H13660">
        <v>4</v>
      </c>
      <c r="I13660" s="3">
        <v>158.62</v>
      </c>
      <c r="J13660" s="3">
        <v>96.49</v>
      </c>
      <c r="K13660" t="s">
        <v>10517</v>
      </c>
      <c r="L13660">
        <v>14501</v>
      </c>
      <c r="M13660" t="s">
        <v>10518</v>
      </c>
      <c r="N13660" t="s">
        <v>10519</v>
      </c>
      <c r="O13660" t="s">
        <v>692</v>
      </c>
      <c r="P13660" t="str">
        <f>"20151"</f>
        <v>20151</v>
      </c>
    </row>
    <row r="13661" spans="1:16" x14ac:dyDescent="0.25">
      <c r="A13661" t="str">
        <f>"1190096F00255    00"</f>
        <v>1190096F00255    00</v>
      </c>
      <c r="B13661" t="s">
        <v>30051</v>
      </c>
      <c r="C13661" t="s">
        <v>30052</v>
      </c>
      <c r="D13661" t="s">
        <v>20</v>
      </c>
      <c r="E13661" t="s">
        <v>39</v>
      </c>
      <c r="F13661">
        <v>0</v>
      </c>
      <c r="G13661">
        <v>0</v>
      </c>
      <c r="H13661">
        <v>2</v>
      </c>
      <c r="I13661" s="3">
        <v>2809.3</v>
      </c>
      <c r="J13661" s="3">
        <v>0</v>
      </c>
      <c r="L13661">
        <v>1324</v>
      </c>
      <c r="M13661" t="s">
        <v>30053</v>
      </c>
      <c r="N13661" t="s">
        <v>30</v>
      </c>
      <c r="O13661" t="s">
        <v>31</v>
      </c>
      <c r="P13661" t="str">
        <f>"15226"</f>
        <v>15226</v>
      </c>
    </row>
    <row r="13662" spans="1:16" x14ac:dyDescent="0.25">
      <c r="A13662" t="str">
        <f>"1190096F00270    00"</f>
        <v>1190096F00270    00</v>
      </c>
      <c r="B13662" t="s">
        <v>30054</v>
      </c>
      <c r="C13662" t="s">
        <v>30055</v>
      </c>
      <c r="D13662" t="s">
        <v>20</v>
      </c>
      <c r="E13662" t="s">
        <v>39</v>
      </c>
      <c r="F13662">
        <v>0</v>
      </c>
      <c r="G13662">
        <v>0</v>
      </c>
      <c r="H13662">
        <v>3</v>
      </c>
      <c r="I13662" s="3">
        <v>1287.76</v>
      </c>
      <c r="J13662" s="3">
        <v>38.86</v>
      </c>
      <c r="L13662">
        <v>1310</v>
      </c>
      <c r="M13662" t="s">
        <v>30009</v>
      </c>
      <c r="N13662" t="s">
        <v>30</v>
      </c>
      <c r="O13662" t="s">
        <v>31</v>
      </c>
      <c r="P13662" t="str">
        <f>"15226"</f>
        <v>15226</v>
      </c>
    </row>
    <row r="13663" spans="1:16" x14ac:dyDescent="0.25">
      <c r="A13663" t="str">
        <f>"1190096J00166    00"</f>
        <v>1190096J00166    00</v>
      </c>
      <c r="B13663" t="s">
        <v>30056</v>
      </c>
      <c r="C13663" t="s">
        <v>30057</v>
      </c>
      <c r="E13663" t="s">
        <v>39</v>
      </c>
      <c r="F13663">
        <v>0</v>
      </c>
      <c r="G13663">
        <v>0</v>
      </c>
      <c r="H13663">
        <v>1</v>
      </c>
      <c r="I13663" s="3">
        <v>37.6</v>
      </c>
      <c r="J13663" s="3">
        <v>11.28</v>
      </c>
      <c r="K13663" t="s">
        <v>759</v>
      </c>
      <c r="L13663">
        <v>3001</v>
      </c>
      <c r="M13663" t="s">
        <v>404</v>
      </c>
      <c r="N13663" t="s">
        <v>331</v>
      </c>
      <c r="O13663" t="s">
        <v>108</v>
      </c>
      <c r="P13663" t="str">
        <f>"75063"</f>
        <v>75063</v>
      </c>
    </row>
    <row r="13664" spans="1:16" x14ac:dyDescent="0.25">
      <c r="A13664" t="str">
        <f>"1190096J00196    00"</f>
        <v>1190096J00196    00</v>
      </c>
      <c r="B13664" t="s">
        <v>30058</v>
      </c>
      <c r="C13664" t="s">
        <v>30059</v>
      </c>
      <c r="D13664" t="s">
        <v>20</v>
      </c>
      <c r="E13664" t="s">
        <v>39</v>
      </c>
      <c r="F13664">
        <v>0</v>
      </c>
      <c r="G13664">
        <v>0</v>
      </c>
      <c r="H13664">
        <v>7</v>
      </c>
      <c r="I13664" s="3">
        <v>5688.77</v>
      </c>
      <c r="J13664" s="3">
        <v>1618.11</v>
      </c>
      <c r="L13664">
        <v>1511</v>
      </c>
      <c r="M13664" t="s">
        <v>24044</v>
      </c>
      <c r="N13664" t="s">
        <v>30</v>
      </c>
      <c r="O13664" t="s">
        <v>31</v>
      </c>
      <c r="P13664" t="str">
        <f>"15226"</f>
        <v>15226</v>
      </c>
    </row>
    <row r="13665" spans="1:16" x14ac:dyDescent="0.25">
      <c r="A13665" t="str">
        <f>"1190096J00205    00"</f>
        <v>1190096J00205    00</v>
      </c>
      <c r="B13665" t="s">
        <v>30060</v>
      </c>
      <c r="C13665" t="s">
        <v>30061</v>
      </c>
      <c r="D13665" t="s">
        <v>20</v>
      </c>
      <c r="E13665" t="s">
        <v>39</v>
      </c>
      <c r="F13665">
        <v>0</v>
      </c>
      <c r="G13665">
        <v>0</v>
      </c>
      <c r="H13665">
        <v>2</v>
      </c>
      <c r="I13665" s="3">
        <v>3139.09</v>
      </c>
      <c r="J13665" s="3">
        <v>0</v>
      </c>
      <c r="L13665">
        <v>110</v>
      </c>
      <c r="M13665" t="s">
        <v>30062</v>
      </c>
      <c r="N13665" t="s">
        <v>1474</v>
      </c>
      <c r="O13665" t="s">
        <v>31</v>
      </c>
      <c r="P13665" t="str">
        <f>"15017"</f>
        <v>15017</v>
      </c>
    </row>
    <row r="13666" spans="1:16" x14ac:dyDescent="0.25">
      <c r="A13666" t="str">
        <f>"1190096J00231    00"</f>
        <v>1190096J00231    00</v>
      </c>
      <c r="B13666" t="s">
        <v>30063</v>
      </c>
      <c r="C13666" t="s">
        <v>30064</v>
      </c>
      <c r="E13666" t="s">
        <v>39</v>
      </c>
      <c r="F13666">
        <v>0</v>
      </c>
      <c r="G13666">
        <v>0</v>
      </c>
      <c r="H13666">
        <v>2</v>
      </c>
      <c r="I13666" s="3">
        <v>2047.96</v>
      </c>
      <c r="J13666" s="3">
        <v>0</v>
      </c>
      <c r="K13666" t="s">
        <v>30065</v>
      </c>
      <c r="L13666">
        <v>1214</v>
      </c>
      <c r="M13666" t="s">
        <v>24044</v>
      </c>
      <c r="N13666" t="s">
        <v>30</v>
      </c>
      <c r="O13666" t="s">
        <v>31</v>
      </c>
      <c r="P13666" t="str">
        <f t="shared" ref="P13666:P13674" si="171">"15226"</f>
        <v>15226</v>
      </c>
    </row>
    <row r="13667" spans="1:16" x14ac:dyDescent="0.25">
      <c r="A13667" t="str">
        <f>"1190096J00234    00"</f>
        <v>1190096J00234    00</v>
      </c>
      <c r="B13667" t="s">
        <v>30066</v>
      </c>
      <c r="C13667" t="s">
        <v>30067</v>
      </c>
      <c r="E13667" t="s">
        <v>39</v>
      </c>
      <c r="F13667">
        <v>0</v>
      </c>
      <c r="G13667">
        <v>0</v>
      </c>
      <c r="H13667">
        <v>4</v>
      </c>
      <c r="I13667" s="3">
        <v>4547.43</v>
      </c>
      <c r="J13667" s="3">
        <v>3268.32</v>
      </c>
      <c r="L13667">
        <v>1206</v>
      </c>
      <c r="M13667" t="s">
        <v>24044</v>
      </c>
      <c r="N13667" t="s">
        <v>30</v>
      </c>
      <c r="O13667" t="s">
        <v>31</v>
      </c>
      <c r="P13667" t="str">
        <f t="shared" si="171"/>
        <v>15226</v>
      </c>
    </row>
    <row r="13668" spans="1:16" x14ac:dyDescent="0.25">
      <c r="A13668" t="str">
        <f>"1190096J00322    00"</f>
        <v>1190096J00322    00</v>
      </c>
      <c r="B13668" t="s">
        <v>30068</v>
      </c>
      <c r="C13668" t="s">
        <v>30069</v>
      </c>
      <c r="E13668" t="s">
        <v>39</v>
      </c>
      <c r="F13668">
        <v>0</v>
      </c>
      <c r="G13668">
        <v>0</v>
      </c>
      <c r="H13668">
        <v>1</v>
      </c>
      <c r="I13668" s="3">
        <v>440.5</v>
      </c>
      <c r="J13668" s="3">
        <v>0</v>
      </c>
      <c r="K13668" t="s">
        <v>30070</v>
      </c>
      <c r="L13668">
        <v>1221</v>
      </c>
      <c r="M13668" t="s">
        <v>30071</v>
      </c>
      <c r="N13668" t="s">
        <v>30</v>
      </c>
      <c r="O13668" t="s">
        <v>31</v>
      </c>
      <c r="P13668" t="str">
        <f t="shared" si="171"/>
        <v>15226</v>
      </c>
    </row>
    <row r="13669" spans="1:16" x14ac:dyDescent="0.25">
      <c r="A13669" t="str">
        <f>"1190096J00324    00"</f>
        <v>1190096J00324    00</v>
      </c>
      <c r="B13669" t="s">
        <v>30072</v>
      </c>
      <c r="C13669" t="s">
        <v>30073</v>
      </c>
      <c r="D13669" t="s">
        <v>20</v>
      </c>
      <c r="E13669" t="s">
        <v>39</v>
      </c>
      <c r="F13669">
        <v>0</v>
      </c>
      <c r="G13669">
        <v>0</v>
      </c>
      <c r="H13669">
        <v>3</v>
      </c>
      <c r="I13669" s="3">
        <v>1771.68</v>
      </c>
      <c r="J13669" s="3">
        <v>84.93</v>
      </c>
      <c r="L13669">
        <v>1229</v>
      </c>
      <c r="M13669" t="s">
        <v>30071</v>
      </c>
      <c r="N13669" t="s">
        <v>30</v>
      </c>
      <c r="O13669" t="s">
        <v>31</v>
      </c>
      <c r="P13669" t="str">
        <f t="shared" si="171"/>
        <v>15226</v>
      </c>
    </row>
    <row r="13670" spans="1:16" x14ac:dyDescent="0.25">
      <c r="A13670" t="str">
        <f>"1190096J00325    00"</f>
        <v>1190096J00325    00</v>
      </c>
      <c r="B13670" t="s">
        <v>30074</v>
      </c>
      <c r="C13670" t="s">
        <v>30075</v>
      </c>
      <c r="D13670" t="s">
        <v>20</v>
      </c>
      <c r="E13670" t="s">
        <v>39</v>
      </c>
      <c r="F13670">
        <v>0</v>
      </c>
      <c r="G13670">
        <v>0</v>
      </c>
      <c r="H13670">
        <v>3</v>
      </c>
      <c r="I13670" s="3">
        <v>2634.15</v>
      </c>
      <c r="J13670" s="3">
        <v>15.03</v>
      </c>
      <c r="L13670">
        <v>1231</v>
      </c>
      <c r="M13670" t="s">
        <v>30071</v>
      </c>
      <c r="N13670" t="s">
        <v>30</v>
      </c>
      <c r="O13670" t="s">
        <v>31</v>
      </c>
      <c r="P13670" t="str">
        <f t="shared" si="171"/>
        <v>15226</v>
      </c>
    </row>
    <row r="13671" spans="1:16" x14ac:dyDescent="0.25">
      <c r="A13671" t="str">
        <f>"1190096J00334    00"</f>
        <v>1190096J00334    00</v>
      </c>
      <c r="B13671" t="s">
        <v>30076</v>
      </c>
      <c r="C13671" t="s">
        <v>30077</v>
      </c>
      <c r="D13671" t="s">
        <v>20</v>
      </c>
      <c r="E13671" t="s">
        <v>39</v>
      </c>
      <c r="F13671">
        <v>0</v>
      </c>
      <c r="G13671">
        <v>0</v>
      </c>
      <c r="H13671">
        <v>1</v>
      </c>
      <c r="I13671" s="3">
        <v>200</v>
      </c>
      <c r="J13671" s="3">
        <v>0</v>
      </c>
      <c r="L13671">
        <v>1303</v>
      </c>
      <c r="M13671" t="s">
        <v>30071</v>
      </c>
      <c r="N13671" t="s">
        <v>30</v>
      </c>
      <c r="O13671" t="s">
        <v>31</v>
      </c>
      <c r="P13671" t="str">
        <f t="shared" si="171"/>
        <v>15226</v>
      </c>
    </row>
    <row r="13672" spans="1:16" x14ac:dyDescent="0.25">
      <c r="A13672" t="str">
        <f>"1190096J00363    00"</f>
        <v>1190096J00363    00</v>
      </c>
      <c r="B13672" t="s">
        <v>30078</v>
      </c>
      <c r="C13672" t="s">
        <v>30079</v>
      </c>
      <c r="D13672" t="s">
        <v>20</v>
      </c>
      <c r="E13672" t="s">
        <v>39</v>
      </c>
      <c r="F13672">
        <v>0</v>
      </c>
      <c r="G13672">
        <v>0</v>
      </c>
      <c r="H13672">
        <v>1</v>
      </c>
      <c r="I13672" s="3">
        <v>322.27999999999997</v>
      </c>
      <c r="J13672" s="3">
        <v>0</v>
      </c>
      <c r="L13672">
        <v>1210</v>
      </c>
      <c r="M13672" t="s">
        <v>30071</v>
      </c>
      <c r="N13672" t="s">
        <v>30</v>
      </c>
      <c r="O13672" t="s">
        <v>31</v>
      </c>
      <c r="P13672" t="str">
        <f t="shared" si="171"/>
        <v>15226</v>
      </c>
    </row>
    <row r="13673" spans="1:16" x14ac:dyDescent="0.25">
      <c r="A13673" t="str">
        <f>"1190096K00020    00"</f>
        <v>1190096K00020    00</v>
      </c>
      <c r="B13673" t="s">
        <v>30080</v>
      </c>
      <c r="C13673" t="s">
        <v>30081</v>
      </c>
      <c r="E13673" t="s">
        <v>39</v>
      </c>
      <c r="F13673">
        <v>0</v>
      </c>
      <c r="G13673">
        <v>0</v>
      </c>
      <c r="H13673">
        <v>2</v>
      </c>
      <c r="I13673" s="3">
        <v>52.24</v>
      </c>
      <c r="J13673" s="3">
        <v>7.66</v>
      </c>
      <c r="K13673" t="s">
        <v>30082</v>
      </c>
      <c r="L13673">
        <v>1615</v>
      </c>
      <c r="M13673" t="s">
        <v>30035</v>
      </c>
      <c r="N13673" t="s">
        <v>30</v>
      </c>
      <c r="O13673" t="s">
        <v>31</v>
      </c>
      <c r="P13673" t="str">
        <f t="shared" si="171"/>
        <v>15226</v>
      </c>
    </row>
    <row r="13674" spans="1:16" x14ac:dyDescent="0.25">
      <c r="A13674" t="str">
        <f>"1190096K00021    00"</f>
        <v>1190096K00021    00</v>
      </c>
      <c r="B13674" t="s">
        <v>30080</v>
      </c>
      <c r="C13674" t="s">
        <v>30083</v>
      </c>
      <c r="D13674" t="s">
        <v>20</v>
      </c>
      <c r="E13674" t="s">
        <v>39</v>
      </c>
      <c r="F13674">
        <v>0</v>
      </c>
      <c r="G13674">
        <v>0</v>
      </c>
      <c r="H13674">
        <v>5</v>
      </c>
      <c r="I13674" s="3">
        <v>4056.9</v>
      </c>
      <c r="J13674" s="3">
        <v>565.14</v>
      </c>
      <c r="K13674" t="s">
        <v>30082</v>
      </c>
      <c r="L13674">
        <v>1615</v>
      </c>
      <c r="M13674" t="s">
        <v>30035</v>
      </c>
      <c r="N13674" t="s">
        <v>30</v>
      </c>
      <c r="O13674" t="s">
        <v>31</v>
      </c>
      <c r="P13674" t="str">
        <f t="shared" si="171"/>
        <v>15226</v>
      </c>
    </row>
    <row r="13675" spans="1:16" x14ac:dyDescent="0.25">
      <c r="A13675" t="str">
        <f>"1190096K00079    00"</f>
        <v>1190096K00079    00</v>
      </c>
      <c r="B13675" t="s">
        <v>30084</v>
      </c>
      <c r="C13675" t="s">
        <v>30085</v>
      </c>
      <c r="D13675" t="s">
        <v>20</v>
      </c>
      <c r="E13675" t="s">
        <v>39</v>
      </c>
      <c r="F13675">
        <v>0</v>
      </c>
      <c r="G13675">
        <v>0</v>
      </c>
      <c r="H13675">
        <v>3</v>
      </c>
      <c r="I13675" s="3">
        <v>1990.48</v>
      </c>
      <c r="J13675" s="3">
        <v>119.62</v>
      </c>
      <c r="K13675" t="s">
        <v>417</v>
      </c>
      <c r="L13675">
        <v>3001</v>
      </c>
      <c r="M13675" t="s">
        <v>330</v>
      </c>
      <c r="N13675" t="s">
        <v>331</v>
      </c>
      <c r="O13675" t="s">
        <v>108</v>
      </c>
      <c r="P13675" t="str">
        <f>"75063"</f>
        <v>75063</v>
      </c>
    </row>
    <row r="13676" spans="1:16" x14ac:dyDescent="0.25">
      <c r="A13676" t="str">
        <f>"1190096K00118    00"</f>
        <v>1190096K00118    00</v>
      </c>
      <c r="B13676" t="s">
        <v>30086</v>
      </c>
      <c r="C13676" t="s">
        <v>30087</v>
      </c>
      <c r="D13676" t="s">
        <v>20</v>
      </c>
      <c r="E13676" t="s">
        <v>39</v>
      </c>
      <c r="F13676">
        <v>0</v>
      </c>
      <c r="G13676">
        <v>0</v>
      </c>
      <c r="H13676">
        <v>2</v>
      </c>
      <c r="I13676" s="3">
        <v>1219.3399999999999</v>
      </c>
      <c r="J13676" s="3">
        <v>0</v>
      </c>
      <c r="L13676">
        <v>1503</v>
      </c>
      <c r="M13676" t="s">
        <v>30015</v>
      </c>
      <c r="N13676" t="s">
        <v>30</v>
      </c>
      <c r="O13676" t="s">
        <v>31</v>
      </c>
      <c r="P13676" t="str">
        <f>"15226"</f>
        <v>15226</v>
      </c>
    </row>
    <row r="13677" spans="1:16" x14ac:dyDescent="0.25">
      <c r="A13677" t="str">
        <f>"1190096K00192    00"</f>
        <v>1190096K00192    00</v>
      </c>
      <c r="B13677" t="s">
        <v>30088</v>
      </c>
      <c r="C13677" t="s">
        <v>30089</v>
      </c>
      <c r="D13677" t="s">
        <v>20</v>
      </c>
      <c r="E13677" t="s">
        <v>39</v>
      </c>
      <c r="F13677">
        <v>0</v>
      </c>
      <c r="G13677">
        <v>0</v>
      </c>
      <c r="H13677">
        <v>3</v>
      </c>
      <c r="I13677" s="3">
        <v>3584.81</v>
      </c>
      <c r="J13677" s="3">
        <v>203.65</v>
      </c>
      <c r="K13677" t="s">
        <v>1632</v>
      </c>
      <c r="L13677">
        <v>3001</v>
      </c>
      <c r="M13677" t="s">
        <v>330</v>
      </c>
      <c r="N13677" t="s">
        <v>331</v>
      </c>
      <c r="O13677" t="s">
        <v>108</v>
      </c>
      <c r="P13677" t="str">
        <f>"75063"</f>
        <v>75063</v>
      </c>
    </row>
    <row r="13678" spans="1:16" x14ac:dyDescent="0.25">
      <c r="A13678" t="str">
        <f>"1190096K00217    00"</f>
        <v>1190096K00217    00</v>
      </c>
      <c r="B13678" t="s">
        <v>30090</v>
      </c>
      <c r="C13678" t="s">
        <v>30091</v>
      </c>
      <c r="D13678" t="s">
        <v>20</v>
      </c>
      <c r="E13678" t="s">
        <v>39</v>
      </c>
      <c r="F13678">
        <v>0</v>
      </c>
      <c r="G13678">
        <v>0</v>
      </c>
      <c r="H13678">
        <v>2</v>
      </c>
      <c r="I13678" s="3">
        <v>1012.13</v>
      </c>
      <c r="J13678" s="3">
        <v>208.84</v>
      </c>
      <c r="K13678" t="s">
        <v>30092</v>
      </c>
      <c r="L13678">
        <v>825</v>
      </c>
      <c r="M13678" t="s">
        <v>30093</v>
      </c>
      <c r="N13678" t="s">
        <v>7608</v>
      </c>
      <c r="O13678" t="s">
        <v>31</v>
      </c>
      <c r="P13678" t="str">
        <f>"15068"</f>
        <v>15068</v>
      </c>
    </row>
    <row r="13679" spans="1:16" x14ac:dyDescent="0.25">
      <c r="A13679" t="str">
        <f>"1190096K00230    00"</f>
        <v>1190096K00230    00</v>
      </c>
      <c r="B13679" t="s">
        <v>30094</v>
      </c>
      <c r="C13679" t="s">
        <v>30095</v>
      </c>
      <c r="E13679" t="s">
        <v>39</v>
      </c>
      <c r="F13679">
        <v>0</v>
      </c>
      <c r="G13679">
        <v>0</v>
      </c>
      <c r="H13679">
        <v>2</v>
      </c>
      <c r="I13679" s="3">
        <v>3391.49</v>
      </c>
      <c r="J13679" s="3">
        <v>331.39</v>
      </c>
      <c r="L13679">
        <v>1635</v>
      </c>
      <c r="M13679" t="s">
        <v>30019</v>
      </c>
      <c r="N13679" t="s">
        <v>30</v>
      </c>
      <c r="O13679" t="s">
        <v>31</v>
      </c>
      <c r="P13679" t="str">
        <f t="shared" ref="P13679:P13685" si="172">"15226"</f>
        <v>15226</v>
      </c>
    </row>
    <row r="13680" spans="1:16" x14ac:dyDescent="0.25">
      <c r="A13680" t="str">
        <f>"1190096K00272    00"</f>
        <v>1190096K00272    00</v>
      </c>
      <c r="B13680" t="s">
        <v>30096</v>
      </c>
      <c r="C13680" t="s">
        <v>30097</v>
      </c>
      <c r="D13680" t="s">
        <v>20</v>
      </c>
      <c r="E13680" t="s">
        <v>39</v>
      </c>
      <c r="F13680">
        <v>0</v>
      </c>
      <c r="G13680">
        <v>0</v>
      </c>
      <c r="H13680">
        <v>1</v>
      </c>
      <c r="I13680" s="3">
        <v>869.6</v>
      </c>
      <c r="J13680" s="3">
        <v>0</v>
      </c>
      <c r="K13680" t="s">
        <v>30098</v>
      </c>
      <c r="L13680">
        <v>1652</v>
      </c>
      <c r="M13680" t="s">
        <v>30099</v>
      </c>
      <c r="N13680" t="s">
        <v>30</v>
      </c>
      <c r="O13680" t="s">
        <v>31</v>
      </c>
      <c r="P13680" t="str">
        <f t="shared" si="172"/>
        <v>15226</v>
      </c>
    </row>
    <row r="13681" spans="1:16" x14ac:dyDescent="0.25">
      <c r="A13681" t="str">
        <f>"1190096K00298    00"</f>
        <v>1190096K00298    00</v>
      </c>
      <c r="B13681" t="s">
        <v>30100</v>
      </c>
      <c r="C13681" t="s">
        <v>30101</v>
      </c>
      <c r="E13681" t="s">
        <v>39</v>
      </c>
      <c r="F13681">
        <v>0</v>
      </c>
      <c r="G13681">
        <v>0</v>
      </c>
      <c r="H13681">
        <v>1</v>
      </c>
      <c r="I13681" s="3">
        <v>703.92</v>
      </c>
      <c r="J13681" s="3">
        <v>0</v>
      </c>
      <c r="L13681">
        <v>1613</v>
      </c>
      <c r="M13681" t="s">
        <v>30099</v>
      </c>
      <c r="N13681" t="s">
        <v>30</v>
      </c>
      <c r="O13681" t="s">
        <v>31</v>
      </c>
      <c r="P13681" t="str">
        <f t="shared" si="172"/>
        <v>15226</v>
      </c>
    </row>
    <row r="13682" spans="1:16" x14ac:dyDescent="0.25">
      <c r="A13682" t="str">
        <f>"1190096N00019    00"</f>
        <v>1190096N00019    00</v>
      </c>
      <c r="B13682" t="s">
        <v>30102</v>
      </c>
      <c r="C13682" t="s">
        <v>30103</v>
      </c>
      <c r="D13682" t="s">
        <v>20</v>
      </c>
      <c r="E13682" t="s">
        <v>39</v>
      </c>
      <c r="F13682">
        <v>0</v>
      </c>
      <c r="G13682">
        <v>0</v>
      </c>
      <c r="H13682">
        <v>3</v>
      </c>
      <c r="I13682" s="3">
        <v>1932.05</v>
      </c>
      <c r="J13682" s="3">
        <v>140.63</v>
      </c>
      <c r="L13682">
        <v>2815</v>
      </c>
      <c r="M13682" t="s">
        <v>30104</v>
      </c>
      <c r="N13682" t="s">
        <v>30</v>
      </c>
      <c r="O13682" t="s">
        <v>31</v>
      </c>
      <c r="P13682" t="str">
        <f t="shared" si="172"/>
        <v>15226</v>
      </c>
    </row>
    <row r="13683" spans="1:16" x14ac:dyDescent="0.25">
      <c r="A13683" t="str">
        <f>"1190096N00162    00"</f>
        <v>1190096N00162    00</v>
      </c>
      <c r="B13683" t="s">
        <v>30105</v>
      </c>
      <c r="C13683" t="s">
        <v>30106</v>
      </c>
      <c r="D13683" t="s">
        <v>20</v>
      </c>
      <c r="E13683" t="s">
        <v>39</v>
      </c>
      <c r="F13683">
        <v>0</v>
      </c>
      <c r="G13683">
        <v>0</v>
      </c>
      <c r="H13683">
        <v>1</v>
      </c>
      <c r="I13683" s="3">
        <v>448.7</v>
      </c>
      <c r="J13683" s="3">
        <v>0</v>
      </c>
      <c r="K13683" t="s">
        <v>30107</v>
      </c>
      <c r="L13683">
        <v>1419</v>
      </c>
      <c r="M13683" t="s">
        <v>30071</v>
      </c>
      <c r="N13683" t="s">
        <v>30</v>
      </c>
      <c r="O13683" t="s">
        <v>31</v>
      </c>
      <c r="P13683" t="str">
        <f t="shared" si="172"/>
        <v>15226</v>
      </c>
    </row>
    <row r="13684" spans="1:16" x14ac:dyDescent="0.25">
      <c r="A13684" t="str">
        <f>"1190096N00166    00"</f>
        <v>1190096N00166    00</v>
      </c>
      <c r="B13684" t="s">
        <v>30108</v>
      </c>
      <c r="C13684" t="s">
        <v>30109</v>
      </c>
      <c r="D13684" t="s">
        <v>20</v>
      </c>
      <c r="E13684" t="s">
        <v>39</v>
      </c>
      <c r="F13684">
        <v>0</v>
      </c>
      <c r="G13684">
        <v>0</v>
      </c>
      <c r="H13684">
        <v>1</v>
      </c>
      <c r="I13684" s="3">
        <v>1580.08</v>
      </c>
      <c r="J13684" s="3">
        <v>0</v>
      </c>
      <c r="L13684">
        <v>1431</v>
      </c>
      <c r="M13684" t="s">
        <v>30071</v>
      </c>
      <c r="N13684" t="s">
        <v>30</v>
      </c>
      <c r="O13684" t="s">
        <v>31</v>
      </c>
      <c r="P13684" t="str">
        <f t="shared" si="172"/>
        <v>15226</v>
      </c>
    </row>
    <row r="13685" spans="1:16" x14ac:dyDescent="0.25">
      <c r="A13685" t="str">
        <f>"1190096N00185    00"</f>
        <v>1190096N00185    00</v>
      </c>
      <c r="B13685" t="s">
        <v>30110</v>
      </c>
      <c r="C13685" t="s">
        <v>30111</v>
      </c>
      <c r="E13685" t="s">
        <v>39</v>
      </c>
      <c r="F13685">
        <v>0</v>
      </c>
      <c r="G13685">
        <v>0</v>
      </c>
      <c r="H13685">
        <v>1</v>
      </c>
      <c r="I13685" s="3">
        <v>625.51</v>
      </c>
      <c r="J13685" s="3">
        <v>0</v>
      </c>
      <c r="L13685">
        <v>1618</v>
      </c>
      <c r="M13685" t="s">
        <v>30112</v>
      </c>
      <c r="N13685" t="s">
        <v>30</v>
      </c>
      <c r="O13685" t="s">
        <v>31</v>
      </c>
      <c r="P13685" t="str">
        <f t="shared" si="172"/>
        <v>15226</v>
      </c>
    </row>
    <row r="13686" spans="1:16" x14ac:dyDescent="0.25">
      <c r="A13686" t="str">
        <f>"1190096N00198    00"</f>
        <v>1190096N00198    00</v>
      </c>
      <c r="B13686" t="s">
        <v>30113</v>
      </c>
      <c r="C13686" t="s">
        <v>30114</v>
      </c>
      <c r="D13686" t="s">
        <v>20</v>
      </c>
      <c r="E13686" t="s">
        <v>39</v>
      </c>
      <c r="F13686">
        <v>0</v>
      </c>
      <c r="G13686">
        <v>0</v>
      </c>
      <c r="H13686">
        <v>3</v>
      </c>
      <c r="I13686" s="3">
        <v>2764.47</v>
      </c>
      <c r="J13686" s="3">
        <v>147.09</v>
      </c>
      <c r="L13686">
        <v>1122</v>
      </c>
      <c r="M13686" t="s">
        <v>30115</v>
      </c>
      <c r="N13686" t="s">
        <v>30</v>
      </c>
      <c r="O13686" t="s">
        <v>31</v>
      </c>
      <c r="P13686" t="str">
        <f>"15216"</f>
        <v>15216</v>
      </c>
    </row>
    <row r="13687" spans="1:16" x14ac:dyDescent="0.25">
      <c r="A13687" t="str">
        <f>"1190096N00200    00"</f>
        <v>1190096N00200    00</v>
      </c>
      <c r="B13687" t="s">
        <v>30116</v>
      </c>
      <c r="C13687" t="s">
        <v>30117</v>
      </c>
      <c r="D13687" t="s">
        <v>7100</v>
      </c>
      <c r="E13687" t="s">
        <v>39</v>
      </c>
      <c r="F13687">
        <v>0</v>
      </c>
      <c r="G13687">
        <v>0</v>
      </c>
      <c r="H13687">
        <v>1</v>
      </c>
      <c r="I13687" s="3">
        <v>11.97</v>
      </c>
      <c r="J13687" s="3">
        <v>0</v>
      </c>
      <c r="L13687">
        <v>1534</v>
      </c>
      <c r="M13687" t="s">
        <v>30071</v>
      </c>
      <c r="N13687" t="s">
        <v>30</v>
      </c>
      <c r="O13687" t="s">
        <v>31</v>
      </c>
      <c r="P13687" t="str">
        <f>"15226"</f>
        <v>15226</v>
      </c>
    </row>
    <row r="13688" spans="1:16" x14ac:dyDescent="0.25">
      <c r="A13688" t="str">
        <f>"1190096P00080    00"</f>
        <v>1190096P00080    00</v>
      </c>
      <c r="B13688" t="s">
        <v>30080</v>
      </c>
      <c r="C13688" t="s">
        <v>30081</v>
      </c>
      <c r="E13688" t="s">
        <v>39</v>
      </c>
      <c r="F13688">
        <v>0</v>
      </c>
      <c r="G13688">
        <v>0</v>
      </c>
      <c r="H13688">
        <v>2</v>
      </c>
      <c r="I13688" s="3">
        <v>74.64</v>
      </c>
      <c r="J13688" s="3">
        <v>10.96</v>
      </c>
      <c r="K13688" t="s">
        <v>30082</v>
      </c>
      <c r="L13688">
        <v>1615</v>
      </c>
      <c r="M13688" t="s">
        <v>30035</v>
      </c>
      <c r="N13688" t="s">
        <v>30</v>
      </c>
      <c r="O13688" t="s">
        <v>31</v>
      </c>
      <c r="P13688" t="str">
        <f>"15226"</f>
        <v>15226</v>
      </c>
    </row>
    <row r="13689" spans="1:16" x14ac:dyDescent="0.25">
      <c r="A13689" t="str">
        <f>"1190096P00113    00"</f>
        <v>1190096P00113    00</v>
      </c>
      <c r="B13689" t="s">
        <v>30118</v>
      </c>
      <c r="C13689" t="s">
        <v>30081</v>
      </c>
      <c r="D13689" t="s">
        <v>20</v>
      </c>
      <c r="E13689" t="s">
        <v>21</v>
      </c>
      <c r="F13689">
        <v>0</v>
      </c>
      <c r="G13689">
        <v>0</v>
      </c>
      <c r="H13689">
        <v>16</v>
      </c>
      <c r="I13689" s="3">
        <v>358.39</v>
      </c>
      <c r="J13689" s="3">
        <v>391.75</v>
      </c>
      <c r="L13689">
        <v>1740</v>
      </c>
      <c r="M13689" t="s">
        <v>30019</v>
      </c>
      <c r="N13689" t="s">
        <v>30</v>
      </c>
      <c r="O13689" t="s">
        <v>31</v>
      </c>
      <c r="P13689" t="str">
        <f>"15226"</f>
        <v>15226</v>
      </c>
    </row>
    <row r="13690" spans="1:16" x14ac:dyDescent="0.25">
      <c r="A13690" t="str">
        <f>"1190096P00115    00"</f>
        <v>1190096P00115    00</v>
      </c>
      <c r="B13690" t="s">
        <v>30119</v>
      </c>
      <c r="C13690" t="s">
        <v>30081</v>
      </c>
      <c r="D13690" t="s">
        <v>20</v>
      </c>
      <c r="E13690" t="s">
        <v>39</v>
      </c>
      <c r="F13690">
        <v>0</v>
      </c>
      <c r="G13690">
        <v>0</v>
      </c>
      <c r="H13690">
        <v>18</v>
      </c>
      <c r="I13690" s="3">
        <v>8095.29</v>
      </c>
      <c r="J13690" s="3">
        <v>6124.55</v>
      </c>
      <c r="M13690" t="s">
        <v>30120</v>
      </c>
      <c r="N13690" t="s">
        <v>3391</v>
      </c>
      <c r="O13690" t="s">
        <v>25</v>
      </c>
      <c r="P13690" t="str">
        <f>"45177"</f>
        <v>45177</v>
      </c>
    </row>
    <row r="13691" spans="1:16" x14ac:dyDescent="0.25">
      <c r="A13691" t="str">
        <f>"1190096P00122    00"</f>
        <v>1190096P00122    00</v>
      </c>
      <c r="B13691" t="s">
        <v>30121</v>
      </c>
      <c r="C13691" t="s">
        <v>30122</v>
      </c>
      <c r="E13691" t="s">
        <v>39</v>
      </c>
      <c r="F13691">
        <v>0</v>
      </c>
      <c r="G13691">
        <v>0</v>
      </c>
      <c r="H13691">
        <v>1</v>
      </c>
      <c r="I13691" s="3">
        <v>1418.59</v>
      </c>
      <c r="J13691" s="3">
        <v>0</v>
      </c>
      <c r="L13691">
        <v>1704</v>
      </c>
      <c r="M13691" t="s">
        <v>30123</v>
      </c>
      <c r="N13691" t="s">
        <v>30</v>
      </c>
      <c r="O13691" t="s">
        <v>31</v>
      </c>
      <c r="P13691" t="str">
        <f>"15226"</f>
        <v>15226</v>
      </c>
    </row>
    <row r="13692" spans="1:16" x14ac:dyDescent="0.25">
      <c r="A13692" t="str">
        <f>"1190096P00154    00"</f>
        <v>1190096P00154    00</v>
      </c>
      <c r="B13692" t="s">
        <v>30124</v>
      </c>
      <c r="C13692" t="s">
        <v>30125</v>
      </c>
      <c r="E13692" t="s">
        <v>39</v>
      </c>
      <c r="F13692">
        <v>0</v>
      </c>
      <c r="G13692">
        <v>0</v>
      </c>
      <c r="H13692">
        <v>1</v>
      </c>
      <c r="I13692" s="3">
        <v>512.51</v>
      </c>
      <c r="J13692" s="3">
        <v>0</v>
      </c>
      <c r="K13692" t="s">
        <v>30126</v>
      </c>
      <c r="L13692">
        <v>5555</v>
      </c>
      <c r="M13692" t="s">
        <v>30127</v>
      </c>
      <c r="N13692" t="s">
        <v>24</v>
      </c>
      <c r="O13692" t="s">
        <v>25</v>
      </c>
      <c r="P13692" t="str">
        <f>"43231"</f>
        <v>43231</v>
      </c>
    </row>
    <row r="13693" spans="1:16" x14ac:dyDescent="0.25">
      <c r="A13693" t="str">
        <f>"1190097A00008    00"</f>
        <v>1190097A00008    00</v>
      </c>
      <c r="B13693" t="s">
        <v>30128</v>
      </c>
      <c r="C13693" t="s">
        <v>30129</v>
      </c>
      <c r="D13693" t="s">
        <v>20</v>
      </c>
      <c r="E13693" t="s">
        <v>39</v>
      </c>
      <c r="F13693">
        <v>0</v>
      </c>
      <c r="G13693">
        <v>0</v>
      </c>
      <c r="H13693">
        <v>2</v>
      </c>
      <c r="I13693" s="3">
        <v>3862.58</v>
      </c>
      <c r="J13693" s="3">
        <v>0</v>
      </c>
      <c r="L13693">
        <v>118</v>
      </c>
      <c r="M13693" t="s">
        <v>23321</v>
      </c>
      <c r="N13693" t="s">
        <v>30</v>
      </c>
      <c r="O13693" t="s">
        <v>31</v>
      </c>
      <c r="P13693" t="str">
        <f>"15210"</f>
        <v>15210</v>
      </c>
    </row>
    <row r="13694" spans="1:16" x14ac:dyDescent="0.25">
      <c r="A13694" t="str">
        <f>"1190097A00033    00"</f>
        <v>1190097A00033    00</v>
      </c>
      <c r="B13694" t="s">
        <v>30130</v>
      </c>
      <c r="C13694" t="s">
        <v>30131</v>
      </c>
      <c r="D13694" t="s">
        <v>20</v>
      </c>
      <c r="E13694" t="s">
        <v>39</v>
      </c>
      <c r="F13694">
        <v>0</v>
      </c>
      <c r="G13694">
        <v>0</v>
      </c>
      <c r="H13694">
        <v>3</v>
      </c>
      <c r="I13694" s="3">
        <v>2696.38</v>
      </c>
      <c r="J13694" s="3">
        <v>26.56</v>
      </c>
      <c r="L13694">
        <v>22315</v>
      </c>
      <c r="M13694" t="s">
        <v>30132</v>
      </c>
      <c r="N13694" t="s">
        <v>30133</v>
      </c>
      <c r="O13694" t="s">
        <v>495</v>
      </c>
      <c r="P13694" t="str">
        <f>"90501"</f>
        <v>90501</v>
      </c>
    </row>
    <row r="13695" spans="1:16" x14ac:dyDescent="0.25">
      <c r="A13695" t="str">
        <f>"1190097A00047    00"</f>
        <v>1190097A00047    00</v>
      </c>
      <c r="B13695" t="s">
        <v>30134</v>
      </c>
      <c r="C13695" t="s">
        <v>30135</v>
      </c>
      <c r="D13695" t="s">
        <v>20</v>
      </c>
      <c r="E13695" t="s">
        <v>39</v>
      </c>
      <c r="F13695">
        <v>0</v>
      </c>
      <c r="G13695">
        <v>0</v>
      </c>
      <c r="H13695">
        <v>19</v>
      </c>
      <c r="I13695" s="3">
        <v>471.53</v>
      </c>
      <c r="J13695" s="3">
        <v>519.14</v>
      </c>
      <c r="K13695" t="s">
        <v>1037</v>
      </c>
      <c r="M13695" t="s">
        <v>30136</v>
      </c>
      <c r="N13695" t="s">
        <v>30</v>
      </c>
      <c r="O13695" t="s">
        <v>31</v>
      </c>
      <c r="P13695" t="str">
        <f>"15226"</f>
        <v>15226</v>
      </c>
    </row>
    <row r="13696" spans="1:16" x14ac:dyDescent="0.25">
      <c r="A13696" t="str">
        <f>"1190097B00007    00"</f>
        <v>1190097B00007    00</v>
      </c>
      <c r="B13696" t="s">
        <v>29232</v>
      </c>
      <c r="C13696" t="s">
        <v>30137</v>
      </c>
      <c r="D13696" t="s">
        <v>20</v>
      </c>
      <c r="E13696" t="s">
        <v>39</v>
      </c>
      <c r="F13696">
        <v>0</v>
      </c>
      <c r="G13696">
        <v>0</v>
      </c>
      <c r="H13696">
        <v>1</v>
      </c>
      <c r="I13696" s="3">
        <v>857.72</v>
      </c>
      <c r="J13696" s="3">
        <v>0</v>
      </c>
      <c r="M13696" t="s">
        <v>30138</v>
      </c>
      <c r="N13696" t="s">
        <v>30</v>
      </c>
      <c r="O13696" t="s">
        <v>31</v>
      </c>
      <c r="P13696" t="str">
        <f>"15216"</f>
        <v>15216</v>
      </c>
    </row>
    <row r="13697" spans="1:16" x14ac:dyDescent="0.25">
      <c r="A13697" t="str">
        <f>"1190097B00009    00"</f>
        <v>1190097B00009    00</v>
      </c>
      <c r="B13697" t="s">
        <v>29232</v>
      </c>
      <c r="C13697" t="s">
        <v>30139</v>
      </c>
      <c r="D13697" t="s">
        <v>20</v>
      </c>
      <c r="E13697" t="s">
        <v>39</v>
      </c>
      <c r="F13697">
        <v>0</v>
      </c>
      <c r="G13697">
        <v>0</v>
      </c>
      <c r="H13697">
        <v>1</v>
      </c>
      <c r="I13697" s="3">
        <v>857.72</v>
      </c>
      <c r="J13697" s="3">
        <v>0</v>
      </c>
      <c r="M13697" t="s">
        <v>30138</v>
      </c>
      <c r="N13697" t="s">
        <v>30</v>
      </c>
      <c r="O13697" t="s">
        <v>31</v>
      </c>
      <c r="P13697" t="str">
        <f>"15216"</f>
        <v>15216</v>
      </c>
    </row>
    <row r="13698" spans="1:16" x14ac:dyDescent="0.25">
      <c r="A13698" t="str">
        <f>"1190097B00116    00"</f>
        <v>1190097B00116    00</v>
      </c>
      <c r="B13698" t="s">
        <v>30140</v>
      </c>
      <c r="C13698" t="s">
        <v>30141</v>
      </c>
      <c r="D13698" t="s">
        <v>20</v>
      </c>
      <c r="E13698" t="s">
        <v>39</v>
      </c>
      <c r="F13698">
        <v>0</v>
      </c>
      <c r="G13698">
        <v>0</v>
      </c>
      <c r="H13698">
        <v>2</v>
      </c>
      <c r="I13698" s="3">
        <v>2645.76</v>
      </c>
      <c r="J13698" s="3">
        <v>0</v>
      </c>
      <c r="L13698">
        <v>2812</v>
      </c>
      <c r="M13698" t="s">
        <v>30142</v>
      </c>
      <c r="N13698" t="s">
        <v>30</v>
      </c>
      <c r="O13698" t="s">
        <v>31</v>
      </c>
      <c r="P13698" t="str">
        <f>"15226"</f>
        <v>15226</v>
      </c>
    </row>
    <row r="13699" spans="1:16" x14ac:dyDescent="0.25">
      <c r="A13699" t="str">
        <f>"1190097B00120    00"</f>
        <v>1190097B00120    00</v>
      </c>
      <c r="B13699" t="s">
        <v>30143</v>
      </c>
      <c r="C13699" t="s">
        <v>30144</v>
      </c>
      <c r="D13699" t="s">
        <v>20</v>
      </c>
      <c r="E13699" t="s">
        <v>39</v>
      </c>
      <c r="F13699">
        <v>0</v>
      </c>
      <c r="G13699">
        <v>0</v>
      </c>
      <c r="H13699">
        <v>2</v>
      </c>
      <c r="I13699" s="3">
        <v>1410.74</v>
      </c>
      <c r="J13699" s="3">
        <v>14.2</v>
      </c>
      <c r="L13699">
        <v>2822</v>
      </c>
      <c r="M13699" t="s">
        <v>30142</v>
      </c>
      <c r="N13699" t="s">
        <v>30</v>
      </c>
      <c r="O13699" t="s">
        <v>31</v>
      </c>
      <c r="P13699" t="str">
        <f>"15226"</f>
        <v>15226</v>
      </c>
    </row>
    <row r="13700" spans="1:16" x14ac:dyDescent="0.25">
      <c r="A13700" t="str">
        <f>"1190097B00214000300"</f>
        <v>1190097B00214000300</v>
      </c>
      <c r="B13700" t="s">
        <v>30145</v>
      </c>
      <c r="C13700" t="s">
        <v>30146</v>
      </c>
      <c r="E13700" t="s">
        <v>39</v>
      </c>
      <c r="F13700">
        <v>0</v>
      </c>
      <c r="G13700">
        <v>0</v>
      </c>
      <c r="H13700">
        <v>1</v>
      </c>
      <c r="I13700" s="3">
        <v>1050.3499999999999</v>
      </c>
      <c r="J13700" s="3">
        <v>236.32</v>
      </c>
      <c r="K13700" t="s">
        <v>30147</v>
      </c>
      <c r="L13700">
        <v>1000</v>
      </c>
      <c r="M13700" t="s">
        <v>5910</v>
      </c>
      <c r="N13700" t="s">
        <v>30148</v>
      </c>
      <c r="O13700" t="s">
        <v>4784</v>
      </c>
      <c r="P13700" t="str">
        <f>"63368"</f>
        <v>63368</v>
      </c>
    </row>
    <row r="13701" spans="1:16" x14ac:dyDescent="0.25">
      <c r="A13701" t="str">
        <f>"1190097B00229    00"</f>
        <v>1190097B00229    00</v>
      </c>
      <c r="B13701" t="s">
        <v>30149</v>
      </c>
      <c r="C13701" t="s">
        <v>30150</v>
      </c>
      <c r="D13701" t="s">
        <v>20</v>
      </c>
      <c r="E13701" t="s">
        <v>39</v>
      </c>
      <c r="F13701">
        <v>0</v>
      </c>
      <c r="G13701">
        <v>0</v>
      </c>
      <c r="H13701">
        <v>6</v>
      </c>
      <c r="I13701" s="3">
        <v>6403.95</v>
      </c>
      <c r="J13701" s="3">
        <v>1436.28</v>
      </c>
      <c r="L13701">
        <v>1325</v>
      </c>
      <c r="M13701" t="s">
        <v>28616</v>
      </c>
      <c r="N13701" t="s">
        <v>30</v>
      </c>
      <c r="O13701" t="s">
        <v>31</v>
      </c>
      <c r="P13701" t="str">
        <f>"15243"</f>
        <v>15243</v>
      </c>
    </row>
    <row r="13702" spans="1:16" x14ac:dyDescent="0.25">
      <c r="A13702" t="str">
        <f>"1190097B00263    00"</f>
        <v>1190097B00263    00</v>
      </c>
      <c r="B13702" t="s">
        <v>30151</v>
      </c>
      <c r="C13702" t="s">
        <v>30152</v>
      </c>
      <c r="D13702" t="s">
        <v>20</v>
      </c>
      <c r="E13702" t="s">
        <v>39</v>
      </c>
      <c r="F13702">
        <v>0</v>
      </c>
      <c r="G13702">
        <v>0</v>
      </c>
      <c r="H13702">
        <v>3</v>
      </c>
      <c r="I13702" s="3">
        <v>1026.1300000000001</v>
      </c>
      <c r="J13702" s="3">
        <v>6.31</v>
      </c>
      <c r="K13702" t="s">
        <v>30153</v>
      </c>
      <c r="L13702">
        <v>532</v>
      </c>
      <c r="M13702" t="s">
        <v>30154</v>
      </c>
      <c r="N13702" t="s">
        <v>30</v>
      </c>
      <c r="O13702" t="s">
        <v>31</v>
      </c>
      <c r="P13702" t="str">
        <f>"15226"</f>
        <v>15226</v>
      </c>
    </row>
    <row r="13703" spans="1:16" x14ac:dyDescent="0.25">
      <c r="A13703" t="str">
        <f>"1190097B00283    00"</f>
        <v>1190097B00283    00</v>
      </c>
      <c r="B13703" t="s">
        <v>29440</v>
      </c>
      <c r="C13703" t="s">
        <v>30155</v>
      </c>
      <c r="D13703" t="s">
        <v>20</v>
      </c>
      <c r="E13703" t="s">
        <v>39</v>
      </c>
      <c r="F13703">
        <v>0</v>
      </c>
      <c r="G13703">
        <v>0</v>
      </c>
      <c r="H13703">
        <v>1</v>
      </c>
      <c r="I13703" s="3">
        <v>1184.27</v>
      </c>
      <c r="J13703" s="3">
        <v>0</v>
      </c>
      <c r="L13703">
        <v>603</v>
      </c>
      <c r="M13703" t="s">
        <v>30154</v>
      </c>
      <c r="N13703" t="s">
        <v>30</v>
      </c>
      <c r="O13703" t="s">
        <v>31</v>
      </c>
      <c r="P13703" t="str">
        <f>"15226"</f>
        <v>15226</v>
      </c>
    </row>
    <row r="13704" spans="1:16" x14ac:dyDescent="0.25">
      <c r="A13704" t="str">
        <f>"1190097B00289    00"</f>
        <v>1190097B00289    00</v>
      </c>
      <c r="B13704" t="s">
        <v>30156</v>
      </c>
      <c r="C13704" t="s">
        <v>30157</v>
      </c>
      <c r="D13704" t="s">
        <v>20</v>
      </c>
      <c r="E13704" t="s">
        <v>39</v>
      </c>
      <c r="F13704">
        <v>0</v>
      </c>
      <c r="G13704">
        <v>0</v>
      </c>
      <c r="H13704">
        <v>1</v>
      </c>
      <c r="I13704" s="3">
        <v>1103.5899999999999</v>
      </c>
      <c r="J13704" s="3">
        <v>0</v>
      </c>
      <c r="L13704">
        <v>1052</v>
      </c>
      <c r="M13704" t="s">
        <v>30158</v>
      </c>
      <c r="N13704" t="s">
        <v>30</v>
      </c>
      <c r="O13704" t="s">
        <v>31</v>
      </c>
      <c r="P13704" t="str">
        <f>"15234"</f>
        <v>15234</v>
      </c>
    </row>
    <row r="13705" spans="1:16" x14ac:dyDescent="0.25">
      <c r="A13705" t="str">
        <f>"1190097B00290    00"</f>
        <v>1190097B00290    00</v>
      </c>
      <c r="B13705" t="s">
        <v>30159</v>
      </c>
      <c r="C13705" t="s">
        <v>30160</v>
      </c>
      <c r="D13705" t="s">
        <v>20</v>
      </c>
      <c r="E13705" t="s">
        <v>39</v>
      </c>
      <c r="F13705">
        <v>0</v>
      </c>
      <c r="G13705">
        <v>0</v>
      </c>
      <c r="H13705">
        <v>1</v>
      </c>
      <c r="I13705" s="3">
        <v>1076.9000000000001</v>
      </c>
      <c r="J13705" s="3">
        <v>0</v>
      </c>
      <c r="K13705" t="s">
        <v>30161</v>
      </c>
      <c r="L13705">
        <v>3001</v>
      </c>
      <c r="M13705" t="s">
        <v>330</v>
      </c>
      <c r="N13705" t="s">
        <v>331</v>
      </c>
      <c r="O13705" t="s">
        <v>108</v>
      </c>
      <c r="P13705" t="str">
        <f>"75063"</f>
        <v>75063</v>
      </c>
    </row>
    <row r="13706" spans="1:16" x14ac:dyDescent="0.25">
      <c r="A13706" t="str">
        <f>"1190097C00014    00"</f>
        <v>1190097C00014    00</v>
      </c>
      <c r="B13706" t="s">
        <v>30162</v>
      </c>
      <c r="C13706" t="s">
        <v>30163</v>
      </c>
      <c r="D13706" t="s">
        <v>20</v>
      </c>
      <c r="E13706" t="s">
        <v>39</v>
      </c>
      <c r="F13706">
        <v>0</v>
      </c>
      <c r="G13706">
        <v>0</v>
      </c>
      <c r="H13706">
        <v>4</v>
      </c>
      <c r="I13706" s="3">
        <v>2678.48</v>
      </c>
      <c r="J13706" s="3">
        <v>247.76</v>
      </c>
      <c r="L13706">
        <v>729</v>
      </c>
      <c r="M13706" t="s">
        <v>30154</v>
      </c>
      <c r="N13706" t="s">
        <v>30</v>
      </c>
      <c r="O13706" t="s">
        <v>31</v>
      </c>
      <c r="P13706" t="str">
        <f>"15226"</f>
        <v>15226</v>
      </c>
    </row>
    <row r="13707" spans="1:16" x14ac:dyDescent="0.25">
      <c r="A13707" t="str">
        <f>"1190097C00023    00"</f>
        <v>1190097C00023    00</v>
      </c>
      <c r="B13707" t="s">
        <v>30164</v>
      </c>
      <c r="C13707" t="s">
        <v>30165</v>
      </c>
      <c r="D13707" t="s">
        <v>57</v>
      </c>
      <c r="E13707" t="s">
        <v>39</v>
      </c>
      <c r="F13707">
        <v>0</v>
      </c>
      <c r="G13707">
        <v>0</v>
      </c>
      <c r="H13707">
        <v>1</v>
      </c>
      <c r="I13707" s="3">
        <v>925.94</v>
      </c>
      <c r="J13707" s="3">
        <v>0</v>
      </c>
      <c r="L13707">
        <v>722</v>
      </c>
      <c r="M13707" t="s">
        <v>28659</v>
      </c>
      <c r="N13707" t="s">
        <v>30</v>
      </c>
      <c r="O13707" t="s">
        <v>31</v>
      </c>
      <c r="P13707" t="str">
        <f>"15226"</f>
        <v>15226</v>
      </c>
    </row>
    <row r="13708" spans="1:16" x14ac:dyDescent="0.25">
      <c r="A13708" t="str">
        <f>"1190097C00029    00"</f>
        <v>1190097C00029    00</v>
      </c>
      <c r="B13708" t="s">
        <v>30166</v>
      </c>
      <c r="C13708" t="s">
        <v>30167</v>
      </c>
      <c r="D13708" t="s">
        <v>20</v>
      </c>
      <c r="E13708" t="s">
        <v>39</v>
      </c>
      <c r="F13708">
        <v>0</v>
      </c>
      <c r="G13708">
        <v>0</v>
      </c>
      <c r="H13708">
        <v>3</v>
      </c>
      <c r="I13708" s="3">
        <v>3368.68</v>
      </c>
      <c r="J13708" s="3">
        <v>150.72</v>
      </c>
      <c r="K13708" t="s">
        <v>30168</v>
      </c>
      <c r="L13708">
        <v>2679</v>
      </c>
      <c r="M13708" t="s">
        <v>2901</v>
      </c>
      <c r="N13708" t="s">
        <v>3934</v>
      </c>
      <c r="O13708" t="s">
        <v>31</v>
      </c>
      <c r="P13708" t="str">
        <f>"15102"</f>
        <v>15102</v>
      </c>
    </row>
    <row r="13709" spans="1:16" x14ac:dyDescent="0.25">
      <c r="A13709" t="str">
        <f>"1190097C00033    00"</f>
        <v>1190097C00033    00</v>
      </c>
      <c r="B13709" t="s">
        <v>30169</v>
      </c>
      <c r="C13709" t="s">
        <v>30170</v>
      </c>
      <c r="D13709" t="s">
        <v>20</v>
      </c>
      <c r="E13709" t="s">
        <v>39</v>
      </c>
      <c r="F13709">
        <v>0</v>
      </c>
      <c r="G13709">
        <v>0</v>
      </c>
      <c r="H13709">
        <v>2</v>
      </c>
      <c r="I13709" s="3">
        <v>2924.78</v>
      </c>
      <c r="J13709" s="3">
        <v>0</v>
      </c>
      <c r="K13709" t="s">
        <v>6184</v>
      </c>
      <c r="L13709">
        <v>901</v>
      </c>
      <c r="M13709" t="s">
        <v>1503</v>
      </c>
      <c r="N13709" t="s">
        <v>494</v>
      </c>
      <c r="O13709" t="s">
        <v>495</v>
      </c>
      <c r="P13709" t="str">
        <f>"91768"</f>
        <v>91768</v>
      </c>
    </row>
    <row r="13710" spans="1:16" x14ac:dyDescent="0.25">
      <c r="A13710" t="str">
        <f>"1190097C00099A   00"</f>
        <v>1190097C00099A   00</v>
      </c>
      <c r="B13710" t="s">
        <v>30171</v>
      </c>
      <c r="C13710" t="s">
        <v>30172</v>
      </c>
      <c r="E13710" t="s">
        <v>39</v>
      </c>
      <c r="F13710">
        <v>0</v>
      </c>
      <c r="G13710">
        <v>0</v>
      </c>
      <c r="H13710">
        <v>2</v>
      </c>
      <c r="I13710" s="3">
        <v>1159.8399999999999</v>
      </c>
      <c r="J13710" s="3">
        <v>148.97999999999999</v>
      </c>
      <c r="L13710">
        <v>734</v>
      </c>
      <c r="M13710" t="s">
        <v>30071</v>
      </c>
      <c r="N13710" t="s">
        <v>30</v>
      </c>
      <c r="O13710" t="s">
        <v>31</v>
      </c>
      <c r="P13710" t="str">
        <f>"15226"</f>
        <v>15226</v>
      </c>
    </row>
    <row r="13711" spans="1:16" x14ac:dyDescent="0.25">
      <c r="A13711" t="str">
        <f>"1190097C00206    00"</f>
        <v>1190097C00206    00</v>
      </c>
      <c r="B13711" t="s">
        <v>30173</v>
      </c>
      <c r="C13711" t="s">
        <v>30174</v>
      </c>
      <c r="D13711" t="s">
        <v>20</v>
      </c>
      <c r="E13711" t="s">
        <v>39</v>
      </c>
      <c r="F13711">
        <v>0</v>
      </c>
      <c r="G13711">
        <v>0</v>
      </c>
      <c r="H13711">
        <v>1</v>
      </c>
      <c r="I13711" s="3">
        <v>1107.8699999999999</v>
      </c>
      <c r="J13711" s="3">
        <v>0</v>
      </c>
      <c r="L13711">
        <v>724</v>
      </c>
      <c r="M13711" t="s">
        <v>24044</v>
      </c>
      <c r="N13711" t="s">
        <v>30</v>
      </c>
      <c r="O13711" t="s">
        <v>31</v>
      </c>
      <c r="P13711" t="str">
        <f>"15226"</f>
        <v>15226</v>
      </c>
    </row>
    <row r="13712" spans="1:16" x14ac:dyDescent="0.25">
      <c r="A13712" t="str">
        <f>"1190097C00219    00"</f>
        <v>1190097C00219    00</v>
      </c>
      <c r="B13712" t="s">
        <v>30175</v>
      </c>
      <c r="C13712" t="s">
        <v>30176</v>
      </c>
      <c r="D13712" t="s">
        <v>20</v>
      </c>
      <c r="E13712" t="s">
        <v>39</v>
      </c>
      <c r="F13712">
        <v>0</v>
      </c>
      <c r="G13712">
        <v>0</v>
      </c>
      <c r="H13712">
        <v>1</v>
      </c>
      <c r="I13712" s="3">
        <v>3085.83</v>
      </c>
      <c r="J13712" s="3">
        <v>0</v>
      </c>
      <c r="K13712" t="s">
        <v>270</v>
      </c>
      <c r="M13712" t="s">
        <v>271</v>
      </c>
      <c r="N13712" t="s">
        <v>272</v>
      </c>
      <c r="O13712" t="s">
        <v>273</v>
      </c>
      <c r="P13712" t="str">
        <f>"29603"</f>
        <v>29603</v>
      </c>
    </row>
    <row r="13713" spans="1:16" x14ac:dyDescent="0.25">
      <c r="A13713" t="str">
        <f>"1190097C00222    00"</f>
        <v>1190097C00222    00</v>
      </c>
      <c r="B13713" t="s">
        <v>30177</v>
      </c>
      <c r="C13713" t="s">
        <v>30178</v>
      </c>
      <c r="D13713" t="s">
        <v>20</v>
      </c>
      <c r="E13713" t="s">
        <v>39</v>
      </c>
      <c r="F13713">
        <v>0</v>
      </c>
      <c r="G13713">
        <v>0</v>
      </c>
      <c r="H13713">
        <v>2</v>
      </c>
      <c r="I13713" s="3">
        <v>1236.79</v>
      </c>
      <c r="J13713" s="3">
        <v>4.9000000000000004</v>
      </c>
      <c r="L13713">
        <v>624</v>
      </c>
      <c r="M13713" t="s">
        <v>24044</v>
      </c>
      <c r="N13713" t="s">
        <v>30</v>
      </c>
      <c r="O13713" t="s">
        <v>31</v>
      </c>
      <c r="P13713" t="str">
        <f>"15226"</f>
        <v>15226</v>
      </c>
    </row>
    <row r="13714" spans="1:16" x14ac:dyDescent="0.25">
      <c r="A13714" t="str">
        <f>"1190097C00264    00"</f>
        <v>1190097C00264    00</v>
      </c>
      <c r="B13714" t="s">
        <v>30179</v>
      </c>
      <c r="C13714" t="s">
        <v>30180</v>
      </c>
      <c r="D13714" t="s">
        <v>20</v>
      </c>
      <c r="E13714" t="s">
        <v>39</v>
      </c>
      <c r="F13714">
        <v>0</v>
      </c>
      <c r="G13714">
        <v>0</v>
      </c>
      <c r="H13714">
        <v>1</v>
      </c>
      <c r="I13714" s="3">
        <v>2018.46</v>
      </c>
      <c r="J13714" s="3">
        <v>0</v>
      </c>
      <c r="K13714" t="s">
        <v>4460</v>
      </c>
      <c r="L13714">
        <v>901</v>
      </c>
      <c r="M13714" t="s">
        <v>1503</v>
      </c>
      <c r="N13714" t="s">
        <v>494</v>
      </c>
      <c r="O13714" t="s">
        <v>495</v>
      </c>
      <c r="P13714" t="str">
        <f>"91768"</f>
        <v>91768</v>
      </c>
    </row>
    <row r="13715" spans="1:16" x14ac:dyDescent="0.25">
      <c r="A13715" t="str">
        <f>"1190097C00266    00"</f>
        <v>1190097C00266    00</v>
      </c>
      <c r="B13715" t="s">
        <v>30181</v>
      </c>
      <c r="C13715" t="s">
        <v>30182</v>
      </c>
      <c r="E13715" t="s">
        <v>21</v>
      </c>
      <c r="F13715">
        <v>0</v>
      </c>
      <c r="G13715">
        <v>0</v>
      </c>
      <c r="H13715">
        <v>1</v>
      </c>
      <c r="I13715" s="3">
        <v>971.09</v>
      </c>
      <c r="J13715" s="3">
        <v>776.84</v>
      </c>
      <c r="L13715">
        <v>603</v>
      </c>
      <c r="M13715" t="s">
        <v>30183</v>
      </c>
      <c r="N13715" t="s">
        <v>30</v>
      </c>
      <c r="O13715" t="s">
        <v>31</v>
      </c>
      <c r="P13715" t="str">
        <f>"15241"</f>
        <v>15241</v>
      </c>
    </row>
    <row r="13716" spans="1:16" x14ac:dyDescent="0.25">
      <c r="A13716" t="str">
        <f>"1190097C00268    00"</f>
        <v>1190097C00268    00</v>
      </c>
      <c r="B13716" t="s">
        <v>30184</v>
      </c>
      <c r="C13716" t="s">
        <v>30185</v>
      </c>
      <c r="D13716" t="s">
        <v>20</v>
      </c>
      <c r="E13716" t="s">
        <v>21</v>
      </c>
      <c r="F13716">
        <v>0</v>
      </c>
      <c r="G13716">
        <v>0</v>
      </c>
      <c r="H13716">
        <v>1</v>
      </c>
      <c r="I13716" s="3">
        <v>1963.18</v>
      </c>
      <c r="J13716" s="3">
        <v>0</v>
      </c>
      <c r="L13716">
        <v>744</v>
      </c>
      <c r="M13716" t="s">
        <v>1990</v>
      </c>
      <c r="N13716" t="s">
        <v>30</v>
      </c>
      <c r="O13716" t="s">
        <v>31</v>
      </c>
      <c r="P13716" t="str">
        <f>"15226"</f>
        <v>15226</v>
      </c>
    </row>
    <row r="13717" spans="1:16" x14ac:dyDescent="0.25">
      <c r="A13717" t="str">
        <f>"1190097D00059    00"</f>
        <v>1190097D00059    00</v>
      </c>
      <c r="B13717" t="s">
        <v>30186</v>
      </c>
      <c r="C13717" t="s">
        <v>30187</v>
      </c>
      <c r="D13717" t="s">
        <v>20</v>
      </c>
      <c r="E13717" t="s">
        <v>21</v>
      </c>
      <c r="F13717">
        <v>0</v>
      </c>
      <c r="G13717">
        <v>0</v>
      </c>
      <c r="H13717">
        <v>1</v>
      </c>
      <c r="I13717" s="3">
        <v>9968.3799999999992</v>
      </c>
      <c r="J13717" s="3">
        <v>0</v>
      </c>
      <c r="L13717">
        <v>2425</v>
      </c>
      <c r="M13717" t="s">
        <v>2837</v>
      </c>
      <c r="N13717" t="s">
        <v>30</v>
      </c>
      <c r="O13717" t="s">
        <v>31</v>
      </c>
      <c r="P13717" t="str">
        <f>"15226"</f>
        <v>15226</v>
      </c>
    </row>
    <row r="13718" spans="1:16" x14ac:dyDescent="0.25">
      <c r="A13718" t="str">
        <f>"1190097D00080    00"</f>
        <v>1190097D00080    00</v>
      </c>
      <c r="B13718" t="s">
        <v>30188</v>
      </c>
      <c r="C13718" t="s">
        <v>30189</v>
      </c>
      <c r="D13718" t="s">
        <v>20</v>
      </c>
      <c r="E13718" t="s">
        <v>21</v>
      </c>
      <c r="F13718">
        <v>0</v>
      </c>
      <c r="G13718">
        <v>0</v>
      </c>
      <c r="H13718">
        <v>2</v>
      </c>
      <c r="I13718" s="3">
        <v>6911.18</v>
      </c>
      <c r="J13718" s="3">
        <v>0</v>
      </c>
      <c r="L13718">
        <v>375</v>
      </c>
      <c r="M13718" t="s">
        <v>30190</v>
      </c>
      <c r="N13718" t="s">
        <v>30</v>
      </c>
      <c r="O13718" t="s">
        <v>31</v>
      </c>
      <c r="P13718" t="str">
        <f>"15213"</f>
        <v>15213</v>
      </c>
    </row>
    <row r="13719" spans="1:16" x14ac:dyDescent="0.25">
      <c r="A13719" t="str">
        <f>"1190097D00109    00"</f>
        <v>1190097D00109    00</v>
      </c>
      <c r="B13719" t="s">
        <v>30191</v>
      </c>
      <c r="C13719" t="s">
        <v>30192</v>
      </c>
      <c r="D13719" t="s">
        <v>20</v>
      </c>
      <c r="E13719" t="s">
        <v>21</v>
      </c>
      <c r="F13719">
        <v>0</v>
      </c>
      <c r="G13719">
        <v>0</v>
      </c>
      <c r="H13719">
        <v>4</v>
      </c>
      <c r="I13719" s="3">
        <v>11413.83</v>
      </c>
      <c r="J13719" s="3">
        <v>1348.29</v>
      </c>
      <c r="K13719" t="s">
        <v>1722</v>
      </c>
      <c r="M13719" t="s">
        <v>1723</v>
      </c>
      <c r="N13719" t="s">
        <v>410</v>
      </c>
      <c r="O13719" t="s">
        <v>31</v>
      </c>
      <c r="P13719" t="str">
        <f>"15701"</f>
        <v>15701</v>
      </c>
    </row>
    <row r="13720" spans="1:16" x14ac:dyDescent="0.25">
      <c r="A13720" t="str">
        <f>"1190097D00118    00"</f>
        <v>1190097D00118    00</v>
      </c>
      <c r="B13720" t="s">
        <v>30193</v>
      </c>
      <c r="C13720" t="s">
        <v>30194</v>
      </c>
      <c r="D13720" t="s">
        <v>20</v>
      </c>
      <c r="E13720" t="s">
        <v>21</v>
      </c>
      <c r="F13720">
        <v>0</v>
      </c>
      <c r="G13720">
        <v>0</v>
      </c>
      <c r="H13720">
        <v>2</v>
      </c>
      <c r="I13720" s="3">
        <v>2491.62</v>
      </c>
      <c r="J13720" s="3">
        <v>0</v>
      </c>
      <c r="K13720" t="s">
        <v>30195</v>
      </c>
      <c r="L13720">
        <v>1736</v>
      </c>
      <c r="M13720" t="s">
        <v>21268</v>
      </c>
      <c r="N13720" t="s">
        <v>30</v>
      </c>
      <c r="O13720" t="s">
        <v>31</v>
      </c>
      <c r="P13720" t="str">
        <f>"15210"</f>
        <v>15210</v>
      </c>
    </row>
    <row r="13721" spans="1:16" x14ac:dyDescent="0.25">
      <c r="A13721" t="str">
        <f>"1190097D00120    00"</f>
        <v>1190097D00120    00</v>
      </c>
      <c r="B13721" t="s">
        <v>30196</v>
      </c>
      <c r="C13721" t="s">
        <v>30197</v>
      </c>
      <c r="D13721" t="s">
        <v>20</v>
      </c>
      <c r="E13721" t="s">
        <v>39</v>
      </c>
      <c r="F13721">
        <v>0</v>
      </c>
      <c r="G13721">
        <v>0</v>
      </c>
      <c r="H13721">
        <v>11</v>
      </c>
      <c r="I13721" s="3">
        <v>14975.72</v>
      </c>
      <c r="J13721" s="3">
        <v>10089.200000000001</v>
      </c>
      <c r="L13721">
        <v>827</v>
      </c>
      <c r="M13721" t="s">
        <v>1990</v>
      </c>
      <c r="N13721" t="s">
        <v>30</v>
      </c>
      <c r="O13721" t="s">
        <v>31</v>
      </c>
      <c r="P13721" t="str">
        <f>"15226"</f>
        <v>15226</v>
      </c>
    </row>
    <row r="13722" spans="1:16" x14ac:dyDescent="0.25">
      <c r="A13722" t="str">
        <f>"1190097D00131    00"</f>
        <v>1190097D00131    00</v>
      </c>
      <c r="B13722" t="s">
        <v>9254</v>
      </c>
      <c r="C13722" t="s">
        <v>30198</v>
      </c>
      <c r="D13722" t="s">
        <v>20</v>
      </c>
      <c r="E13722" t="s">
        <v>21</v>
      </c>
      <c r="F13722">
        <v>0</v>
      </c>
      <c r="G13722">
        <v>0</v>
      </c>
      <c r="H13722">
        <v>3</v>
      </c>
      <c r="I13722" s="3">
        <v>10309.59</v>
      </c>
      <c r="J13722" s="3">
        <v>687.28</v>
      </c>
      <c r="K13722" t="s">
        <v>6943</v>
      </c>
      <c r="L13722">
        <v>3101</v>
      </c>
      <c r="M13722" t="s">
        <v>6937</v>
      </c>
      <c r="N13722" t="s">
        <v>30</v>
      </c>
      <c r="O13722" t="s">
        <v>31</v>
      </c>
      <c r="P13722" t="str">
        <f>"15216"</f>
        <v>15216</v>
      </c>
    </row>
    <row r="13723" spans="1:16" x14ac:dyDescent="0.25">
      <c r="A13723" t="str">
        <f>"1190097D00138    00"</f>
        <v>1190097D00138    00</v>
      </c>
      <c r="B13723" t="s">
        <v>30199</v>
      </c>
      <c r="C13723" t="s">
        <v>30200</v>
      </c>
      <c r="D13723" t="s">
        <v>20</v>
      </c>
      <c r="E13723" t="s">
        <v>39</v>
      </c>
      <c r="F13723">
        <v>0</v>
      </c>
      <c r="G13723">
        <v>0</v>
      </c>
      <c r="H13723">
        <v>2</v>
      </c>
      <c r="I13723" s="3">
        <v>1896.04</v>
      </c>
      <c r="J13723" s="3">
        <v>0</v>
      </c>
      <c r="L13723">
        <v>741</v>
      </c>
      <c r="M13723" t="s">
        <v>1990</v>
      </c>
      <c r="N13723" t="s">
        <v>30</v>
      </c>
      <c r="O13723" t="s">
        <v>31</v>
      </c>
      <c r="P13723" t="str">
        <f>"15226"</f>
        <v>15226</v>
      </c>
    </row>
    <row r="13724" spans="1:16" x14ac:dyDescent="0.25">
      <c r="A13724" t="str">
        <f>"1190097D00194    00"</f>
        <v>1190097D00194    00</v>
      </c>
      <c r="B13724" t="s">
        <v>30201</v>
      </c>
      <c r="C13724" t="s">
        <v>30202</v>
      </c>
      <c r="D13724" t="s">
        <v>20</v>
      </c>
      <c r="E13724" t="s">
        <v>39</v>
      </c>
      <c r="F13724">
        <v>0</v>
      </c>
      <c r="G13724">
        <v>0</v>
      </c>
      <c r="H13724">
        <v>6</v>
      </c>
      <c r="I13724" s="3">
        <v>4502.6499999999996</v>
      </c>
      <c r="J13724" s="3">
        <v>811.48</v>
      </c>
      <c r="L13724">
        <v>1028</v>
      </c>
      <c r="M13724" t="s">
        <v>28726</v>
      </c>
      <c r="N13724" t="s">
        <v>30</v>
      </c>
      <c r="O13724" t="s">
        <v>31</v>
      </c>
      <c r="P13724" t="str">
        <f>"15226"</f>
        <v>15226</v>
      </c>
    </row>
    <row r="13725" spans="1:16" x14ac:dyDescent="0.25">
      <c r="A13725" t="str">
        <f>"1190097D00212    00"</f>
        <v>1190097D00212    00</v>
      </c>
      <c r="B13725" t="s">
        <v>30203</v>
      </c>
      <c r="C13725" t="s">
        <v>30204</v>
      </c>
      <c r="D13725" t="s">
        <v>20</v>
      </c>
      <c r="E13725" t="s">
        <v>39</v>
      </c>
      <c r="F13725">
        <v>0</v>
      </c>
      <c r="G13725">
        <v>0</v>
      </c>
      <c r="H13725">
        <v>6</v>
      </c>
      <c r="I13725" s="3">
        <v>6882.54</v>
      </c>
      <c r="J13725" s="3">
        <v>1582.65</v>
      </c>
      <c r="L13725">
        <v>2448</v>
      </c>
      <c r="M13725" t="s">
        <v>29555</v>
      </c>
      <c r="N13725" t="s">
        <v>30</v>
      </c>
      <c r="O13725" t="s">
        <v>31</v>
      </c>
      <c r="P13725" t="str">
        <f>"15226"</f>
        <v>15226</v>
      </c>
    </row>
    <row r="13726" spans="1:16" x14ac:dyDescent="0.25">
      <c r="A13726" t="str">
        <f>"1190097D00222    00"</f>
        <v>1190097D00222    00</v>
      </c>
      <c r="B13726" t="s">
        <v>25031</v>
      </c>
      <c r="C13726" t="s">
        <v>30205</v>
      </c>
      <c r="E13726" t="s">
        <v>39</v>
      </c>
      <c r="F13726">
        <v>0</v>
      </c>
      <c r="G13726">
        <v>0</v>
      </c>
      <c r="H13726">
        <v>2</v>
      </c>
      <c r="I13726" s="3">
        <v>1719.96</v>
      </c>
      <c r="J13726" s="3">
        <v>21.5</v>
      </c>
      <c r="K13726" t="s">
        <v>30206</v>
      </c>
      <c r="L13726">
        <v>112</v>
      </c>
      <c r="M13726" t="s">
        <v>25033</v>
      </c>
      <c r="N13726" t="s">
        <v>199</v>
      </c>
      <c r="O13726" t="s">
        <v>200</v>
      </c>
      <c r="P13726" t="str">
        <f>"10019"</f>
        <v>10019</v>
      </c>
    </row>
    <row r="13727" spans="1:16" x14ac:dyDescent="0.25">
      <c r="A13727" t="str">
        <f>"1190097D00228    00"</f>
        <v>1190097D00228    00</v>
      </c>
      <c r="B13727" t="s">
        <v>30207</v>
      </c>
      <c r="C13727" t="s">
        <v>30208</v>
      </c>
      <c r="D13727" t="s">
        <v>20</v>
      </c>
      <c r="E13727" t="s">
        <v>39</v>
      </c>
      <c r="F13727">
        <v>0</v>
      </c>
      <c r="G13727">
        <v>0</v>
      </c>
      <c r="H13727">
        <v>2</v>
      </c>
      <c r="I13727" s="3">
        <v>118.2</v>
      </c>
      <c r="J13727" s="3">
        <v>0</v>
      </c>
      <c r="L13727">
        <v>2505</v>
      </c>
      <c r="M13727" t="s">
        <v>30209</v>
      </c>
      <c r="N13727" t="s">
        <v>30</v>
      </c>
      <c r="O13727" t="s">
        <v>31</v>
      </c>
      <c r="P13727" t="str">
        <f>"15226"</f>
        <v>15226</v>
      </c>
    </row>
    <row r="13728" spans="1:16" x14ac:dyDescent="0.25">
      <c r="A13728" t="str">
        <f>"1190097D00229    00"</f>
        <v>1190097D00229    00</v>
      </c>
      <c r="B13728" t="s">
        <v>30207</v>
      </c>
      <c r="C13728" t="s">
        <v>30208</v>
      </c>
      <c r="D13728" t="s">
        <v>20</v>
      </c>
      <c r="E13728" t="s">
        <v>39</v>
      </c>
      <c r="F13728">
        <v>0</v>
      </c>
      <c r="G13728">
        <v>0</v>
      </c>
      <c r="H13728">
        <v>2</v>
      </c>
      <c r="I13728" s="3">
        <v>358.32</v>
      </c>
      <c r="J13728" s="3">
        <v>0</v>
      </c>
      <c r="L13728">
        <v>2505</v>
      </c>
      <c r="M13728" t="s">
        <v>30209</v>
      </c>
      <c r="N13728" t="s">
        <v>30</v>
      </c>
      <c r="O13728" t="s">
        <v>31</v>
      </c>
      <c r="P13728" t="str">
        <f>"15226"</f>
        <v>15226</v>
      </c>
    </row>
    <row r="13729" spans="1:16" x14ac:dyDescent="0.25">
      <c r="A13729" t="str">
        <f>"1190097D00244    00"</f>
        <v>1190097D00244    00</v>
      </c>
      <c r="B13729" t="s">
        <v>30210</v>
      </c>
      <c r="C13729" t="s">
        <v>30211</v>
      </c>
      <c r="E13729" t="s">
        <v>39</v>
      </c>
      <c r="F13729">
        <v>0</v>
      </c>
      <c r="G13729">
        <v>0</v>
      </c>
      <c r="H13729">
        <v>3</v>
      </c>
      <c r="I13729" s="3">
        <v>3340.89</v>
      </c>
      <c r="J13729" s="3">
        <v>908.88</v>
      </c>
      <c r="L13729">
        <v>925</v>
      </c>
      <c r="M13729" t="s">
        <v>28726</v>
      </c>
      <c r="N13729" t="s">
        <v>30</v>
      </c>
      <c r="O13729" t="s">
        <v>31</v>
      </c>
      <c r="P13729" t="str">
        <f>"15226"</f>
        <v>15226</v>
      </c>
    </row>
    <row r="13730" spans="1:16" x14ac:dyDescent="0.25">
      <c r="A13730" t="str">
        <f>"1190097D00262    00"</f>
        <v>1190097D00262    00</v>
      </c>
      <c r="B13730" t="s">
        <v>30212</v>
      </c>
      <c r="C13730" t="s">
        <v>30213</v>
      </c>
      <c r="E13730" t="s">
        <v>39</v>
      </c>
      <c r="F13730">
        <v>0</v>
      </c>
      <c r="G13730">
        <v>0</v>
      </c>
      <c r="H13730">
        <v>1</v>
      </c>
      <c r="I13730" s="3">
        <v>943.82</v>
      </c>
      <c r="J13730" s="3">
        <v>173.03</v>
      </c>
      <c r="L13730">
        <v>821</v>
      </c>
      <c r="M13730" t="s">
        <v>28726</v>
      </c>
      <c r="N13730" t="s">
        <v>30</v>
      </c>
      <c r="O13730" t="s">
        <v>31</v>
      </c>
      <c r="P13730" t="str">
        <f>"15226"</f>
        <v>15226</v>
      </c>
    </row>
    <row r="13731" spans="1:16" x14ac:dyDescent="0.25">
      <c r="A13731" t="str">
        <f>"1190097D00281    00"</f>
        <v>1190097D00281    00</v>
      </c>
      <c r="B13731" t="s">
        <v>30156</v>
      </c>
      <c r="C13731" t="s">
        <v>30214</v>
      </c>
      <c r="D13731" t="s">
        <v>20</v>
      </c>
      <c r="E13731" t="s">
        <v>39</v>
      </c>
      <c r="F13731">
        <v>0</v>
      </c>
      <c r="G13731">
        <v>0</v>
      </c>
      <c r="H13731">
        <v>1</v>
      </c>
      <c r="I13731" s="3">
        <v>1749.71</v>
      </c>
      <c r="J13731" s="3">
        <v>0</v>
      </c>
      <c r="L13731">
        <v>1052</v>
      </c>
      <c r="M13731" t="s">
        <v>30158</v>
      </c>
      <c r="N13731" t="s">
        <v>30</v>
      </c>
      <c r="O13731" t="s">
        <v>31</v>
      </c>
      <c r="P13731" t="str">
        <f>"15234"</f>
        <v>15234</v>
      </c>
    </row>
    <row r="13732" spans="1:16" x14ac:dyDescent="0.25">
      <c r="A13732" t="str">
        <f>"1190097D00284    00"</f>
        <v>1190097D00284    00</v>
      </c>
      <c r="B13732" t="s">
        <v>30215</v>
      </c>
      <c r="C13732" t="s">
        <v>30216</v>
      </c>
      <c r="D13732" t="s">
        <v>20</v>
      </c>
      <c r="E13732" t="s">
        <v>39</v>
      </c>
      <c r="F13732">
        <v>0</v>
      </c>
      <c r="G13732">
        <v>0</v>
      </c>
      <c r="H13732">
        <v>5</v>
      </c>
      <c r="I13732" s="3">
        <v>7646.67</v>
      </c>
      <c r="J13732" s="3">
        <v>1932.51</v>
      </c>
      <c r="L13732">
        <v>1525</v>
      </c>
      <c r="M13732" t="s">
        <v>30217</v>
      </c>
      <c r="N13732" t="s">
        <v>30</v>
      </c>
      <c r="O13732" t="s">
        <v>31</v>
      </c>
      <c r="P13732" t="str">
        <f>"15237"</f>
        <v>15237</v>
      </c>
    </row>
    <row r="13733" spans="1:16" x14ac:dyDescent="0.25">
      <c r="A13733" t="str">
        <f>"1190097D00295    00"</f>
        <v>1190097D00295    00</v>
      </c>
      <c r="B13733" t="s">
        <v>30218</v>
      </c>
      <c r="C13733" t="s">
        <v>30219</v>
      </c>
      <c r="D13733" t="s">
        <v>20</v>
      </c>
      <c r="E13733" t="s">
        <v>39</v>
      </c>
      <c r="F13733">
        <v>0</v>
      </c>
      <c r="G13733">
        <v>0</v>
      </c>
      <c r="H13733">
        <v>2</v>
      </c>
      <c r="I13733" s="3">
        <v>1814.36</v>
      </c>
      <c r="J13733" s="3">
        <v>0</v>
      </c>
      <c r="K13733" t="s">
        <v>30220</v>
      </c>
      <c r="L13733">
        <v>248</v>
      </c>
      <c r="M13733" t="s">
        <v>14682</v>
      </c>
      <c r="N13733" t="s">
        <v>3934</v>
      </c>
      <c r="O13733" t="s">
        <v>31</v>
      </c>
      <c r="P13733" t="str">
        <f>"15102"</f>
        <v>15102</v>
      </c>
    </row>
    <row r="13734" spans="1:16" x14ac:dyDescent="0.25">
      <c r="A13734" t="str">
        <f>"1190097F00041    00"</f>
        <v>1190097F00041    00</v>
      </c>
      <c r="B13734" t="s">
        <v>30221</v>
      </c>
      <c r="C13734" t="s">
        <v>30222</v>
      </c>
      <c r="D13734" t="s">
        <v>20</v>
      </c>
      <c r="E13734" t="s">
        <v>39</v>
      </c>
      <c r="F13734">
        <v>0</v>
      </c>
      <c r="G13734">
        <v>0</v>
      </c>
      <c r="H13734">
        <v>7</v>
      </c>
      <c r="I13734" s="3">
        <v>7542.86</v>
      </c>
      <c r="J13734" s="3">
        <v>2085.84</v>
      </c>
      <c r="K13734" t="s">
        <v>30223</v>
      </c>
      <c r="L13734">
        <v>218</v>
      </c>
      <c r="M13734" t="s">
        <v>29341</v>
      </c>
      <c r="N13734" t="s">
        <v>30</v>
      </c>
      <c r="O13734" t="s">
        <v>31</v>
      </c>
      <c r="P13734" t="str">
        <f>"15228"</f>
        <v>15228</v>
      </c>
    </row>
    <row r="13735" spans="1:16" x14ac:dyDescent="0.25">
      <c r="A13735" t="str">
        <f>"1190097F00042    00"</f>
        <v>1190097F00042    00</v>
      </c>
      <c r="B13735" t="s">
        <v>30221</v>
      </c>
      <c r="C13735" t="s">
        <v>30224</v>
      </c>
      <c r="D13735" t="s">
        <v>20</v>
      </c>
      <c r="E13735" t="s">
        <v>39</v>
      </c>
      <c r="F13735">
        <v>0</v>
      </c>
      <c r="G13735">
        <v>0</v>
      </c>
      <c r="H13735">
        <v>7</v>
      </c>
      <c r="I13735" s="3">
        <v>169.07</v>
      </c>
      <c r="J13735" s="3">
        <v>47.35</v>
      </c>
      <c r="K13735" t="s">
        <v>30223</v>
      </c>
      <c r="L13735">
        <v>218</v>
      </c>
      <c r="M13735" t="s">
        <v>29341</v>
      </c>
      <c r="N13735" t="s">
        <v>30</v>
      </c>
      <c r="O13735" t="s">
        <v>31</v>
      </c>
      <c r="P13735" t="str">
        <f>"15228"</f>
        <v>15228</v>
      </c>
    </row>
    <row r="13736" spans="1:16" x14ac:dyDescent="0.25">
      <c r="A13736" t="str">
        <f>"1190097F00044    00"</f>
        <v>1190097F00044    00</v>
      </c>
      <c r="B13736" t="s">
        <v>30225</v>
      </c>
      <c r="C13736" t="s">
        <v>30226</v>
      </c>
      <c r="D13736" t="s">
        <v>20</v>
      </c>
      <c r="E13736" t="s">
        <v>39</v>
      </c>
      <c r="F13736">
        <v>0</v>
      </c>
      <c r="G13736">
        <v>0</v>
      </c>
      <c r="H13736">
        <v>2</v>
      </c>
      <c r="I13736" s="3">
        <v>1956.58</v>
      </c>
      <c r="J13736" s="3">
        <v>0</v>
      </c>
      <c r="L13736">
        <v>804</v>
      </c>
      <c r="M13736" t="s">
        <v>30227</v>
      </c>
      <c r="N13736" t="s">
        <v>30</v>
      </c>
      <c r="O13736" t="s">
        <v>31</v>
      </c>
      <c r="P13736" t="str">
        <f>"15226"</f>
        <v>15226</v>
      </c>
    </row>
    <row r="13737" spans="1:16" x14ac:dyDescent="0.25">
      <c r="A13737" t="str">
        <f>"1190097F00049    00"</f>
        <v>1190097F00049    00</v>
      </c>
      <c r="B13737" t="s">
        <v>30228</v>
      </c>
      <c r="C13737" t="s">
        <v>30229</v>
      </c>
      <c r="D13737" t="s">
        <v>33</v>
      </c>
      <c r="E13737" t="s">
        <v>39</v>
      </c>
      <c r="F13737">
        <v>0</v>
      </c>
      <c r="G13737">
        <v>0</v>
      </c>
      <c r="H13737">
        <v>14</v>
      </c>
      <c r="I13737" s="3">
        <v>10266.86</v>
      </c>
      <c r="J13737" s="3">
        <v>6214.01</v>
      </c>
      <c r="K13737" t="s">
        <v>30230</v>
      </c>
      <c r="L13737">
        <v>2832</v>
      </c>
      <c r="M13737" t="s">
        <v>30231</v>
      </c>
      <c r="N13737" t="s">
        <v>30</v>
      </c>
      <c r="O13737" t="s">
        <v>31</v>
      </c>
      <c r="P13737" t="str">
        <f>"15226"</f>
        <v>15226</v>
      </c>
    </row>
    <row r="13738" spans="1:16" x14ac:dyDescent="0.25">
      <c r="A13738" t="str">
        <f>"1190097F00057    00"</f>
        <v>1190097F00057    00</v>
      </c>
      <c r="B13738" t="s">
        <v>30232</v>
      </c>
      <c r="C13738" t="s">
        <v>30233</v>
      </c>
      <c r="D13738" t="s">
        <v>20</v>
      </c>
      <c r="E13738" t="s">
        <v>39</v>
      </c>
      <c r="F13738">
        <v>0</v>
      </c>
      <c r="G13738">
        <v>0</v>
      </c>
      <c r="H13738">
        <v>7</v>
      </c>
      <c r="I13738" s="3">
        <v>6546.84</v>
      </c>
      <c r="J13738" s="3">
        <v>1600.72</v>
      </c>
      <c r="L13738">
        <v>2856</v>
      </c>
      <c r="M13738" t="s">
        <v>30234</v>
      </c>
      <c r="N13738" t="s">
        <v>30</v>
      </c>
      <c r="O13738" t="s">
        <v>31</v>
      </c>
      <c r="P13738" t="str">
        <f>"15226"</f>
        <v>15226</v>
      </c>
    </row>
    <row r="13739" spans="1:16" x14ac:dyDescent="0.25">
      <c r="A13739" t="str">
        <f>"1190097F00100    00"</f>
        <v>1190097F00100    00</v>
      </c>
      <c r="B13739" t="s">
        <v>30235</v>
      </c>
      <c r="C13739" t="s">
        <v>30236</v>
      </c>
      <c r="D13739" t="s">
        <v>20</v>
      </c>
      <c r="E13739" t="s">
        <v>39</v>
      </c>
      <c r="F13739">
        <v>0</v>
      </c>
      <c r="G13739">
        <v>0</v>
      </c>
      <c r="H13739">
        <v>4</v>
      </c>
      <c r="I13739" s="3">
        <v>3655.34</v>
      </c>
      <c r="J13739" s="3">
        <v>350.4</v>
      </c>
      <c r="L13739">
        <v>2843</v>
      </c>
      <c r="M13739" t="s">
        <v>30237</v>
      </c>
      <c r="N13739" t="s">
        <v>30</v>
      </c>
      <c r="O13739" t="s">
        <v>31</v>
      </c>
      <c r="P13739" t="str">
        <f>"15226"</f>
        <v>15226</v>
      </c>
    </row>
    <row r="13740" spans="1:16" x14ac:dyDescent="0.25">
      <c r="A13740" t="str">
        <f>"1190097F00146    00"</f>
        <v>1190097F00146    00</v>
      </c>
      <c r="B13740" t="s">
        <v>30238</v>
      </c>
      <c r="C13740" t="s">
        <v>30239</v>
      </c>
      <c r="D13740" t="s">
        <v>20</v>
      </c>
      <c r="E13740" t="s">
        <v>39</v>
      </c>
      <c r="F13740">
        <v>0</v>
      </c>
      <c r="G13740">
        <v>0</v>
      </c>
      <c r="H13740">
        <v>1</v>
      </c>
      <c r="I13740" s="3">
        <v>905.81</v>
      </c>
      <c r="J13740" s="3">
        <v>0</v>
      </c>
      <c r="L13740">
        <v>629</v>
      </c>
      <c r="M13740" t="s">
        <v>30240</v>
      </c>
      <c r="N13740" t="s">
        <v>30</v>
      </c>
      <c r="O13740" t="s">
        <v>31</v>
      </c>
      <c r="P13740" t="str">
        <f>"15226"</f>
        <v>15226</v>
      </c>
    </row>
    <row r="13741" spans="1:16" x14ac:dyDescent="0.25">
      <c r="A13741" t="str">
        <f>"1190097F00153    00"</f>
        <v>1190097F00153    00</v>
      </c>
      <c r="B13741" t="s">
        <v>30241</v>
      </c>
      <c r="C13741" t="s">
        <v>30242</v>
      </c>
      <c r="E13741" t="s">
        <v>39</v>
      </c>
      <c r="F13741">
        <v>0</v>
      </c>
      <c r="G13741">
        <v>0</v>
      </c>
      <c r="H13741">
        <v>1</v>
      </c>
      <c r="I13741" s="3">
        <v>701.27</v>
      </c>
      <c r="J13741" s="3">
        <v>0</v>
      </c>
      <c r="L13741">
        <v>15</v>
      </c>
      <c r="M13741" t="s">
        <v>30243</v>
      </c>
      <c r="N13741" t="s">
        <v>30244</v>
      </c>
      <c r="O13741" t="s">
        <v>1184</v>
      </c>
      <c r="P13741" t="str">
        <f>"20678"</f>
        <v>20678</v>
      </c>
    </row>
    <row r="13742" spans="1:16" x14ac:dyDescent="0.25">
      <c r="A13742" t="str">
        <f>"1190097F00154    00"</f>
        <v>1190097F00154    00</v>
      </c>
      <c r="B13742" t="s">
        <v>30245</v>
      </c>
      <c r="C13742" t="s">
        <v>30246</v>
      </c>
      <c r="D13742" t="s">
        <v>20</v>
      </c>
      <c r="E13742" t="s">
        <v>39</v>
      </c>
      <c r="F13742">
        <v>0</v>
      </c>
      <c r="G13742">
        <v>0</v>
      </c>
      <c r="H13742">
        <v>17</v>
      </c>
      <c r="I13742" s="3">
        <v>276.98</v>
      </c>
      <c r="J13742" s="3">
        <v>349.77</v>
      </c>
      <c r="L13742">
        <v>1084</v>
      </c>
      <c r="M13742" t="s">
        <v>475</v>
      </c>
      <c r="N13742" t="s">
        <v>30</v>
      </c>
      <c r="O13742" t="s">
        <v>31</v>
      </c>
      <c r="P13742" t="str">
        <f>"15228"</f>
        <v>15228</v>
      </c>
    </row>
    <row r="13743" spans="1:16" x14ac:dyDescent="0.25">
      <c r="A13743" t="str">
        <f>"1190097G00054    00"</f>
        <v>1190097G00054    00</v>
      </c>
      <c r="B13743" t="s">
        <v>30247</v>
      </c>
      <c r="C13743" t="s">
        <v>30248</v>
      </c>
      <c r="D13743" t="s">
        <v>20</v>
      </c>
      <c r="E13743" t="s">
        <v>39</v>
      </c>
      <c r="F13743">
        <v>0</v>
      </c>
      <c r="G13743">
        <v>0</v>
      </c>
      <c r="H13743">
        <v>3</v>
      </c>
      <c r="I13743" s="3">
        <v>2011.02</v>
      </c>
      <c r="J13743" s="3">
        <v>196.92</v>
      </c>
      <c r="L13743">
        <v>902</v>
      </c>
      <c r="M13743" t="s">
        <v>28659</v>
      </c>
      <c r="N13743" t="s">
        <v>30</v>
      </c>
      <c r="O13743" t="s">
        <v>31</v>
      </c>
      <c r="P13743" t="str">
        <f>"15226"</f>
        <v>15226</v>
      </c>
    </row>
    <row r="13744" spans="1:16" x14ac:dyDescent="0.25">
      <c r="A13744" t="str">
        <f>"1190097G00057    00"</f>
        <v>1190097G00057    00</v>
      </c>
      <c r="B13744" t="s">
        <v>30249</v>
      </c>
      <c r="C13744" t="s">
        <v>30250</v>
      </c>
      <c r="E13744" t="s">
        <v>39</v>
      </c>
      <c r="F13744">
        <v>0</v>
      </c>
      <c r="G13744">
        <v>0</v>
      </c>
      <c r="H13744">
        <v>3</v>
      </c>
      <c r="I13744" s="3">
        <v>3542.76</v>
      </c>
      <c r="J13744" s="3">
        <v>3601.66</v>
      </c>
      <c r="K13744" t="s">
        <v>30251</v>
      </c>
      <c r="L13744">
        <v>830</v>
      </c>
      <c r="M13744" t="s">
        <v>28659</v>
      </c>
      <c r="N13744" t="s">
        <v>30</v>
      </c>
      <c r="O13744" t="s">
        <v>31</v>
      </c>
      <c r="P13744" t="str">
        <f>"15226"</f>
        <v>15226</v>
      </c>
    </row>
    <row r="13745" spans="1:16" x14ac:dyDescent="0.25">
      <c r="A13745" t="str">
        <f>"1190097G00064    00"</f>
        <v>1190097G00064    00</v>
      </c>
      <c r="B13745" t="s">
        <v>30252</v>
      </c>
      <c r="C13745" t="s">
        <v>30253</v>
      </c>
      <c r="D13745" t="s">
        <v>20</v>
      </c>
      <c r="E13745" t="s">
        <v>39</v>
      </c>
      <c r="F13745">
        <v>0</v>
      </c>
      <c r="G13745">
        <v>0</v>
      </c>
      <c r="H13745">
        <v>1</v>
      </c>
      <c r="I13745" s="3">
        <v>2092.7800000000002</v>
      </c>
      <c r="J13745" s="3">
        <v>0</v>
      </c>
      <c r="K13745" t="s">
        <v>30254</v>
      </c>
      <c r="L13745">
        <v>800</v>
      </c>
      <c r="M13745" t="s">
        <v>30255</v>
      </c>
      <c r="N13745" t="s">
        <v>7293</v>
      </c>
      <c r="O13745" t="s">
        <v>200</v>
      </c>
      <c r="P13745" t="str">
        <f>"10573"</f>
        <v>10573</v>
      </c>
    </row>
    <row r="13746" spans="1:16" x14ac:dyDescent="0.25">
      <c r="A13746" t="str">
        <f>"1190097G00094    00"</f>
        <v>1190097G00094    00</v>
      </c>
      <c r="B13746" t="s">
        <v>8743</v>
      </c>
      <c r="C13746" t="s">
        <v>30256</v>
      </c>
      <c r="D13746" t="s">
        <v>20</v>
      </c>
      <c r="E13746" t="s">
        <v>39</v>
      </c>
      <c r="F13746">
        <v>0</v>
      </c>
      <c r="G13746">
        <v>0</v>
      </c>
      <c r="H13746">
        <v>1</v>
      </c>
      <c r="I13746" s="3">
        <v>953.02</v>
      </c>
      <c r="J13746" s="3">
        <v>0</v>
      </c>
      <c r="L13746">
        <v>712</v>
      </c>
      <c r="M13746" t="s">
        <v>7082</v>
      </c>
      <c r="N13746" t="s">
        <v>30</v>
      </c>
      <c r="O13746" t="s">
        <v>31</v>
      </c>
      <c r="P13746" t="str">
        <f>"15226"</f>
        <v>15226</v>
      </c>
    </row>
    <row r="13747" spans="1:16" x14ac:dyDescent="0.25">
      <c r="A13747" t="str">
        <f>"1190097G00096    00"</f>
        <v>1190097G00096    00</v>
      </c>
      <c r="B13747" t="s">
        <v>28638</v>
      </c>
      <c r="C13747" t="s">
        <v>30257</v>
      </c>
      <c r="E13747" t="s">
        <v>39</v>
      </c>
      <c r="F13747">
        <v>0</v>
      </c>
      <c r="G13747">
        <v>0</v>
      </c>
      <c r="H13747">
        <v>3</v>
      </c>
      <c r="I13747" s="3">
        <v>3648.02</v>
      </c>
      <c r="J13747" s="3">
        <v>2357.41</v>
      </c>
      <c r="M13747" t="s">
        <v>29892</v>
      </c>
      <c r="N13747" t="s">
        <v>30</v>
      </c>
      <c r="O13747" t="s">
        <v>31</v>
      </c>
      <c r="P13747" t="str">
        <f>"15217"</f>
        <v>15217</v>
      </c>
    </row>
    <row r="13748" spans="1:16" x14ac:dyDescent="0.25">
      <c r="A13748" t="str">
        <f>"1190097G00129    00"</f>
        <v>1190097G00129    00</v>
      </c>
      <c r="B13748" t="s">
        <v>30258</v>
      </c>
      <c r="C13748" t="s">
        <v>30259</v>
      </c>
      <c r="E13748" t="s">
        <v>39</v>
      </c>
      <c r="F13748">
        <v>0</v>
      </c>
      <c r="G13748">
        <v>0</v>
      </c>
      <c r="H13748">
        <v>2</v>
      </c>
      <c r="I13748" s="3">
        <v>1452.37</v>
      </c>
      <c r="J13748" s="3">
        <v>156.19999999999999</v>
      </c>
      <c r="K13748" t="s">
        <v>30260</v>
      </c>
      <c r="L13748">
        <v>920</v>
      </c>
      <c r="M13748" t="s">
        <v>30154</v>
      </c>
      <c r="N13748" t="s">
        <v>30</v>
      </c>
      <c r="O13748" t="s">
        <v>31</v>
      </c>
      <c r="P13748" t="str">
        <f>"15226"</f>
        <v>15226</v>
      </c>
    </row>
    <row r="13749" spans="1:16" x14ac:dyDescent="0.25">
      <c r="A13749" t="str">
        <f>"1190097G00144    00"</f>
        <v>1190097G00144    00</v>
      </c>
      <c r="B13749" t="s">
        <v>2192</v>
      </c>
      <c r="C13749" t="s">
        <v>30261</v>
      </c>
      <c r="D13749" t="s">
        <v>20</v>
      </c>
      <c r="E13749" t="s">
        <v>39</v>
      </c>
      <c r="F13749">
        <v>0</v>
      </c>
      <c r="G13749">
        <v>0</v>
      </c>
      <c r="H13749">
        <v>1</v>
      </c>
      <c r="I13749" s="3">
        <v>1130.72</v>
      </c>
      <c r="J13749" s="3">
        <v>0</v>
      </c>
      <c r="K13749" t="s">
        <v>1351</v>
      </c>
      <c r="L13749">
        <v>422</v>
      </c>
      <c r="M13749" t="s">
        <v>1352</v>
      </c>
      <c r="N13749" t="s">
        <v>1353</v>
      </c>
      <c r="O13749" t="s">
        <v>31</v>
      </c>
      <c r="P13749" t="str">
        <f>"15085"</f>
        <v>15085</v>
      </c>
    </row>
    <row r="13750" spans="1:16" x14ac:dyDescent="0.25">
      <c r="A13750" t="str">
        <f>"1190097G00164    00"</f>
        <v>1190097G00164    00</v>
      </c>
      <c r="B13750" t="s">
        <v>30262</v>
      </c>
      <c r="C13750" t="s">
        <v>30263</v>
      </c>
      <c r="D13750" t="s">
        <v>20</v>
      </c>
      <c r="E13750" t="s">
        <v>39</v>
      </c>
      <c r="F13750">
        <v>0</v>
      </c>
      <c r="G13750">
        <v>0</v>
      </c>
      <c r="H13750">
        <v>3</v>
      </c>
      <c r="I13750" s="3">
        <v>1922.86</v>
      </c>
      <c r="J13750" s="3">
        <v>99.99</v>
      </c>
      <c r="L13750">
        <v>714</v>
      </c>
      <c r="M13750" t="s">
        <v>30154</v>
      </c>
      <c r="N13750" t="s">
        <v>30</v>
      </c>
      <c r="O13750" t="s">
        <v>31</v>
      </c>
      <c r="P13750" t="str">
        <f>"15226"</f>
        <v>15226</v>
      </c>
    </row>
    <row r="13751" spans="1:16" x14ac:dyDescent="0.25">
      <c r="A13751" t="str">
        <f>"1190097G00176    00"</f>
        <v>1190097G00176    00</v>
      </c>
      <c r="B13751" t="s">
        <v>30264</v>
      </c>
      <c r="C13751" t="s">
        <v>30265</v>
      </c>
      <c r="D13751" t="s">
        <v>20</v>
      </c>
      <c r="E13751" t="s">
        <v>39</v>
      </c>
      <c r="F13751">
        <v>0</v>
      </c>
      <c r="G13751">
        <v>0</v>
      </c>
      <c r="H13751">
        <v>4</v>
      </c>
      <c r="I13751" s="3">
        <v>4372.21</v>
      </c>
      <c r="J13751" s="3">
        <v>256.20999999999998</v>
      </c>
      <c r="L13751">
        <v>2457</v>
      </c>
      <c r="M13751" t="s">
        <v>29836</v>
      </c>
      <c r="N13751" t="s">
        <v>30</v>
      </c>
      <c r="O13751" t="s">
        <v>31</v>
      </c>
      <c r="P13751" t="str">
        <f>"15241"</f>
        <v>15241</v>
      </c>
    </row>
    <row r="13752" spans="1:16" x14ac:dyDescent="0.25">
      <c r="A13752" t="str">
        <f>"1190097G00177    00"</f>
        <v>1190097G00177    00</v>
      </c>
      <c r="B13752" t="s">
        <v>30266</v>
      </c>
      <c r="C13752" t="s">
        <v>30267</v>
      </c>
      <c r="D13752" t="s">
        <v>20</v>
      </c>
      <c r="E13752" t="s">
        <v>39</v>
      </c>
      <c r="F13752">
        <v>0</v>
      </c>
      <c r="G13752">
        <v>0</v>
      </c>
      <c r="H13752">
        <v>1</v>
      </c>
      <c r="I13752" s="3">
        <v>832.93</v>
      </c>
      <c r="J13752" s="3">
        <v>0</v>
      </c>
      <c r="L13752">
        <v>17108</v>
      </c>
      <c r="M13752" t="s">
        <v>30268</v>
      </c>
      <c r="N13752" t="s">
        <v>29968</v>
      </c>
      <c r="O13752" t="s">
        <v>658</v>
      </c>
      <c r="P13752" t="str">
        <f>"73012"</f>
        <v>73012</v>
      </c>
    </row>
    <row r="13753" spans="1:16" x14ac:dyDescent="0.25">
      <c r="A13753" t="str">
        <f>"1190097G00181    00"</f>
        <v>1190097G00181    00</v>
      </c>
      <c r="B13753" t="s">
        <v>28861</v>
      </c>
      <c r="C13753" t="s">
        <v>30269</v>
      </c>
      <c r="E13753" t="s">
        <v>39</v>
      </c>
      <c r="F13753">
        <v>0</v>
      </c>
      <c r="G13753">
        <v>0</v>
      </c>
      <c r="H13753">
        <v>1</v>
      </c>
      <c r="I13753" s="3">
        <v>1042.5899999999999</v>
      </c>
      <c r="J13753" s="3">
        <v>0</v>
      </c>
      <c r="K13753" t="s">
        <v>28863</v>
      </c>
      <c r="L13753">
        <v>1200</v>
      </c>
      <c r="M13753" t="s">
        <v>1990</v>
      </c>
      <c r="N13753" t="s">
        <v>30</v>
      </c>
      <c r="O13753" t="s">
        <v>31</v>
      </c>
      <c r="P13753" t="str">
        <f>"15226"</f>
        <v>15226</v>
      </c>
    </row>
    <row r="13754" spans="1:16" x14ac:dyDescent="0.25">
      <c r="A13754" t="str">
        <f>"1190097G00190    00"</f>
        <v>1190097G00190    00</v>
      </c>
      <c r="B13754" t="s">
        <v>30270</v>
      </c>
      <c r="C13754" t="s">
        <v>30271</v>
      </c>
      <c r="D13754" t="s">
        <v>20</v>
      </c>
      <c r="E13754" t="s">
        <v>39</v>
      </c>
      <c r="F13754">
        <v>0</v>
      </c>
      <c r="G13754">
        <v>0</v>
      </c>
      <c r="H13754">
        <v>3</v>
      </c>
      <c r="I13754" s="3">
        <v>3616.8</v>
      </c>
      <c r="J13754" s="3">
        <v>237.69</v>
      </c>
      <c r="L13754">
        <v>857</v>
      </c>
      <c r="M13754" t="s">
        <v>30227</v>
      </c>
      <c r="N13754" t="s">
        <v>30</v>
      </c>
      <c r="O13754" t="s">
        <v>31</v>
      </c>
      <c r="P13754" t="str">
        <f>"15226"</f>
        <v>15226</v>
      </c>
    </row>
    <row r="13755" spans="1:16" x14ac:dyDescent="0.25">
      <c r="A13755" t="str">
        <f>"1190097G00208    00"</f>
        <v>1190097G00208    00</v>
      </c>
      <c r="B13755" t="s">
        <v>30272</v>
      </c>
      <c r="C13755" t="s">
        <v>30273</v>
      </c>
      <c r="D13755" t="s">
        <v>20</v>
      </c>
      <c r="E13755" t="s">
        <v>39</v>
      </c>
      <c r="F13755">
        <v>0</v>
      </c>
      <c r="G13755">
        <v>0</v>
      </c>
      <c r="H13755">
        <v>6</v>
      </c>
      <c r="I13755" s="3">
        <v>6808.43</v>
      </c>
      <c r="J13755" s="3">
        <v>1527</v>
      </c>
      <c r="K13755" t="s">
        <v>30274</v>
      </c>
      <c r="L13755">
        <v>964</v>
      </c>
      <c r="M13755" t="s">
        <v>24044</v>
      </c>
      <c r="N13755" t="s">
        <v>30</v>
      </c>
      <c r="O13755" t="s">
        <v>31</v>
      </c>
      <c r="P13755" t="str">
        <f>"15226"</f>
        <v>15226</v>
      </c>
    </row>
    <row r="13756" spans="1:16" x14ac:dyDescent="0.25">
      <c r="A13756" t="str">
        <f>"1190097G00211    00"</f>
        <v>1190097G00211    00</v>
      </c>
      <c r="B13756" t="s">
        <v>30275</v>
      </c>
      <c r="C13756" t="s">
        <v>30276</v>
      </c>
      <c r="D13756" t="s">
        <v>20</v>
      </c>
      <c r="E13756" t="s">
        <v>39</v>
      </c>
      <c r="F13756">
        <v>0</v>
      </c>
      <c r="G13756">
        <v>0</v>
      </c>
      <c r="H13756">
        <v>1</v>
      </c>
      <c r="I13756" s="3">
        <v>760.97</v>
      </c>
      <c r="J13756" s="3">
        <v>0</v>
      </c>
      <c r="L13756">
        <v>900</v>
      </c>
      <c r="M13756" t="s">
        <v>30227</v>
      </c>
      <c r="N13756" t="s">
        <v>30</v>
      </c>
      <c r="O13756" t="s">
        <v>31</v>
      </c>
      <c r="P13756" t="str">
        <f>"15226"</f>
        <v>15226</v>
      </c>
    </row>
    <row r="13757" spans="1:16" x14ac:dyDescent="0.25">
      <c r="A13757" t="str">
        <f>"1190097H00037    00"</f>
        <v>1190097H00037    00</v>
      </c>
      <c r="B13757" t="s">
        <v>1988</v>
      </c>
      <c r="C13757" t="s">
        <v>30277</v>
      </c>
      <c r="E13757" t="s">
        <v>21</v>
      </c>
      <c r="F13757">
        <v>0</v>
      </c>
      <c r="G13757">
        <v>0</v>
      </c>
      <c r="H13757">
        <v>2</v>
      </c>
      <c r="I13757" s="3">
        <v>5639.58</v>
      </c>
      <c r="J13757" s="3">
        <v>426.49</v>
      </c>
      <c r="K13757" t="s">
        <v>30278</v>
      </c>
      <c r="L13757">
        <v>181</v>
      </c>
      <c r="M13757" t="s">
        <v>30279</v>
      </c>
      <c r="N13757" t="s">
        <v>30</v>
      </c>
      <c r="O13757" t="s">
        <v>31</v>
      </c>
      <c r="P13757" t="str">
        <f>"15236"</f>
        <v>15236</v>
      </c>
    </row>
    <row r="13758" spans="1:16" x14ac:dyDescent="0.25">
      <c r="A13758" t="str">
        <f>"1190097H00063    00"</f>
        <v>1190097H00063    00</v>
      </c>
      <c r="B13758" t="s">
        <v>30280</v>
      </c>
      <c r="C13758" t="s">
        <v>30281</v>
      </c>
      <c r="D13758" t="s">
        <v>20</v>
      </c>
      <c r="E13758" t="s">
        <v>39</v>
      </c>
      <c r="F13758">
        <v>0</v>
      </c>
      <c r="G13758">
        <v>0</v>
      </c>
      <c r="H13758">
        <v>2</v>
      </c>
      <c r="I13758" s="3">
        <v>3465.75</v>
      </c>
      <c r="J13758" s="3">
        <v>0</v>
      </c>
      <c r="L13758">
        <v>967</v>
      </c>
      <c r="M13758" t="s">
        <v>24044</v>
      </c>
      <c r="N13758" t="s">
        <v>30</v>
      </c>
      <c r="O13758" t="s">
        <v>31</v>
      </c>
      <c r="P13758" t="str">
        <f>"15226"</f>
        <v>15226</v>
      </c>
    </row>
    <row r="13759" spans="1:16" x14ac:dyDescent="0.25">
      <c r="A13759" t="str">
        <f>"1190097H00065    00"</f>
        <v>1190097H00065    00</v>
      </c>
      <c r="B13759" t="s">
        <v>30282</v>
      </c>
      <c r="C13759" t="s">
        <v>30283</v>
      </c>
      <c r="E13759" t="s">
        <v>39</v>
      </c>
      <c r="F13759">
        <v>0</v>
      </c>
      <c r="G13759">
        <v>0</v>
      </c>
      <c r="H13759">
        <v>1</v>
      </c>
      <c r="I13759" s="3">
        <v>565.72</v>
      </c>
      <c r="J13759" s="3">
        <v>119.77</v>
      </c>
      <c r="L13759">
        <v>4015</v>
      </c>
      <c r="M13759" t="s">
        <v>20861</v>
      </c>
      <c r="N13759" t="s">
        <v>30</v>
      </c>
      <c r="O13759" t="s">
        <v>31</v>
      </c>
      <c r="P13759" t="str">
        <f>"15207"</f>
        <v>15207</v>
      </c>
    </row>
    <row r="13760" spans="1:16" x14ac:dyDescent="0.25">
      <c r="A13760" t="str">
        <f>"1190097H00070    00"</f>
        <v>1190097H00070    00</v>
      </c>
      <c r="B13760" t="s">
        <v>30284</v>
      </c>
      <c r="C13760" t="s">
        <v>30285</v>
      </c>
      <c r="E13760" t="s">
        <v>39</v>
      </c>
      <c r="F13760">
        <v>0</v>
      </c>
      <c r="G13760">
        <v>0</v>
      </c>
      <c r="H13760">
        <v>1</v>
      </c>
      <c r="I13760" s="3">
        <v>1292.8</v>
      </c>
      <c r="J13760" s="3">
        <v>0</v>
      </c>
      <c r="K13760" t="s">
        <v>30286</v>
      </c>
      <c r="L13760">
        <v>1003</v>
      </c>
      <c r="M13760" t="s">
        <v>24044</v>
      </c>
      <c r="N13760" t="s">
        <v>30</v>
      </c>
      <c r="O13760" t="s">
        <v>31</v>
      </c>
      <c r="P13760" t="str">
        <f>"15226"</f>
        <v>15226</v>
      </c>
    </row>
    <row r="13761" spans="1:16" x14ac:dyDescent="0.25">
      <c r="A13761" t="str">
        <f>"1190097H00096    00"</f>
        <v>1190097H00096    00</v>
      </c>
      <c r="B13761" t="s">
        <v>30287</v>
      </c>
      <c r="C13761" t="s">
        <v>30288</v>
      </c>
      <c r="E13761" t="s">
        <v>39</v>
      </c>
      <c r="F13761">
        <v>0</v>
      </c>
      <c r="G13761">
        <v>0</v>
      </c>
      <c r="H13761">
        <v>4</v>
      </c>
      <c r="I13761" s="3">
        <v>7724.8</v>
      </c>
      <c r="J13761" s="3">
        <v>2517.92</v>
      </c>
      <c r="K13761" t="s">
        <v>23118</v>
      </c>
      <c r="L13761">
        <v>5000</v>
      </c>
      <c r="M13761" t="s">
        <v>30289</v>
      </c>
      <c r="N13761" t="s">
        <v>23567</v>
      </c>
      <c r="O13761" t="s">
        <v>108</v>
      </c>
      <c r="P13761" t="str">
        <f>"75033"</f>
        <v>75033</v>
      </c>
    </row>
    <row r="13762" spans="1:16" x14ac:dyDescent="0.25">
      <c r="A13762" t="str">
        <f>"1190097H00112    00"</f>
        <v>1190097H00112    00</v>
      </c>
      <c r="B13762" t="s">
        <v>30290</v>
      </c>
      <c r="C13762" t="s">
        <v>30291</v>
      </c>
      <c r="D13762" t="s">
        <v>20</v>
      </c>
      <c r="E13762" t="s">
        <v>39</v>
      </c>
      <c r="F13762">
        <v>0</v>
      </c>
      <c r="G13762">
        <v>0</v>
      </c>
      <c r="H13762">
        <v>2</v>
      </c>
      <c r="I13762" s="3">
        <v>2157.94</v>
      </c>
      <c r="J13762" s="3">
        <v>0</v>
      </c>
      <c r="L13762">
        <v>1026</v>
      </c>
      <c r="M13762" t="s">
        <v>24044</v>
      </c>
      <c r="N13762" t="s">
        <v>30</v>
      </c>
      <c r="O13762" t="s">
        <v>31</v>
      </c>
      <c r="P13762" t="str">
        <f>"15226"</f>
        <v>15226</v>
      </c>
    </row>
    <row r="13763" spans="1:16" x14ac:dyDescent="0.25">
      <c r="A13763" t="str">
        <f>"1190097H00130    00"</f>
        <v>1190097H00130    00</v>
      </c>
      <c r="B13763" t="s">
        <v>30221</v>
      </c>
      <c r="C13763" t="s">
        <v>30292</v>
      </c>
      <c r="D13763" t="s">
        <v>20</v>
      </c>
      <c r="E13763" t="s">
        <v>39</v>
      </c>
      <c r="F13763">
        <v>0</v>
      </c>
      <c r="G13763">
        <v>0</v>
      </c>
      <c r="H13763">
        <v>8</v>
      </c>
      <c r="I13763" s="3">
        <v>10256.98</v>
      </c>
      <c r="J13763" s="3">
        <v>3356.25</v>
      </c>
      <c r="K13763" t="s">
        <v>30293</v>
      </c>
      <c r="L13763">
        <v>218</v>
      </c>
      <c r="M13763" t="s">
        <v>29341</v>
      </c>
      <c r="N13763" t="s">
        <v>30</v>
      </c>
      <c r="O13763" t="s">
        <v>31</v>
      </c>
      <c r="P13763" t="str">
        <f>"15228"</f>
        <v>15228</v>
      </c>
    </row>
    <row r="13764" spans="1:16" x14ac:dyDescent="0.25">
      <c r="A13764" t="str">
        <f>"1190097H00152    00"</f>
        <v>1190097H00152    00</v>
      </c>
      <c r="B13764" t="s">
        <v>30294</v>
      </c>
      <c r="C13764" t="s">
        <v>30295</v>
      </c>
      <c r="D13764" t="s">
        <v>20</v>
      </c>
      <c r="E13764" t="s">
        <v>39</v>
      </c>
      <c r="F13764">
        <v>0</v>
      </c>
      <c r="G13764">
        <v>0</v>
      </c>
      <c r="H13764">
        <v>8</v>
      </c>
      <c r="I13764" s="3">
        <v>4537.3900000000003</v>
      </c>
      <c r="J13764" s="3">
        <v>1300.4100000000001</v>
      </c>
      <c r="L13764">
        <v>685</v>
      </c>
      <c r="M13764" t="s">
        <v>30296</v>
      </c>
      <c r="N13764" t="s">
        <v>30297</v>
      </c>
      <c r="O13764" t="s">
        <v>31</v>
      </c>
      <c r="P13764" t="str">
        <f>"16038"</f>
        <v>16038</v>
      </c>
    </row>
    <row r="13765" spans="1:16" x14ac:dyDescent="0.25">
      <c r="A13765" t="str">
        <f>"1190097H00157    00"</f>
        <v>1190097H00157    00</v>
      </c>
      <c r="B13765" t="s">
        <v>8467</v>
      </c>
      <c r="C13765" t="s">
        <v>30298</v>
      </c>
      <c r="D13765" t="s">
        <v>20</v>
      </c>
      <c r="E13765" t="s">
        <v>39</v>
      </c>
      <c r="F13765">
        <v>0</v>
      </c>
      <c r="G13765">
        <v>0</v>
      </c>
      <c r="H13765">
        <v>2</v>
      </c>
      <c r="I13765" s="3">
        <v>3015.3</v>
      </c>
      <c r="J13765" s="3">
        <v>0</v>
      </c>
      <c r="K13765" t="s">
        <v>8469</v>
      </c>
      <c r="L13765">
        <v>202</v>
      </c>
      <c r="M13765" t="s">
        <v>2136</v>
      </c>
      <c r="N13765" t="s">
        <v>30</v>
      </c>
      <c r="O13765" t="s">
        <v>31</v>
      </c>
      <c r="P13765" t="str">
        <f>"15228"</f>
        <v>15228</v>
      </c>
    </row>
    <row r="13766" spans="1:16" x14ac:dyDescent="0.25">
      <c r="A13766" t="str">
        <f>"1190097H00232    00"</f>
        <v>1190097H00232    00</v>
      </c>
      <c r="B13766" t="s">
        <v>30299</v>
      </c>
      <c r="C13766" t="s">
        <v>30300</v>
      </c>
      <c r="D13766" t="s">
        <v>20</v>
      </c>
      <c r="E13766" t="s">
        <v>39</v>
      </c>
      <c r="F13766">
        <v>0</v>
      </c>
      <c r="G13766">
        <v>0</v>
      </c>
      <c r="H13766">
        <v>5</v>
      </c>
      <c r="I13766" s="3">
        <v>5279.02</v>
      </c>
      <c r="J13766" s="3">
        <v>974.06</v>
      </c>
      <c r="L13766">
        <v>2714</v>
      </c>
      <c r="M13766" t="s">
        <v>30301</v>
      </c>
      <c r="N13766" t="s">
        <v>30</v>
      </c>
      <c r="O13766" t="s">
        <v>31</v>
      </c>
      <c r="P13766" t="str">
        <f>"15226"</f>
        <v>15226</v>
      </c>
    </row>
    <row r="13767" spans="1:16" x14ac:dyDescent="0.25">
      <c r="A13767" t="str">
        <f>"1190097H00251    00"</f>
        <v>1190097H00251    00</v>
      </c>
      <c r="B13767" t="s">
        <v>30302</v>
      </c>
      <c r="C13767" t="s">
        <v>30303</v>
      </c>
      <c r="D13767" t="s">
        <v>20</v>
      </c>
      <c r="E13767" t="s">
        <v>39</v>
      </c>
      <c r="F13767">
        <v>0</v>
      </c>
      <c r="G13767">
        <v>0</v>
      </c>
      <c r="H13767">
        <v>4</v>
      </c>
      <c r="I13767" s="3">
        <v>2350.84</v>
      </c>
      <c r="J13767" s="3">
        <v>167.8</v>
      </c>
      <c r="L13767">
        <v>1233</v>
      </c>
      <c r="M13767" t="s">
        <v>17224</v>
      </c>
      <c r="N13767" t="s">
        <v>30</v>
      </c>
      <c r="O13767" t="s">
        <v>31</v>
      </c>
      <c r="P13767" t="str">
        <f>"15216"</f>
        <v>15216</v>
      </c>
    </row>
    <row r="13768" spans="1:16" x14ac:dyDescent="0.25">
      <c r="A13768" t="str">
        <f>"1190097H00261    00"</f>
        <v>1190097H00261    00</v>
      </c>
      <c r="B13768" t="s">
        <v>30304</v>
      </c>
      <c r="C13768" t="s">
        <v>30305</v>
      </c>
      <c r="D13768" t="s">
        <v>20</v>
      </c>
      <c r="E13768" t="s">
        <v>39</v>
      </c>
      <c r="F13768">
        <v>0</v>
      </c>
      <c r="G13768">
        <v>0</v>
      </c>
      <c r="H13768">
        <v>3</v>
      </c>
      <c r="I13768" s="3">
        <v>6467.07</v>
      </c>
      <c r="J13768" s="3">
        <v>431.13</v>
      </c>
      <c r="K13768" t="s">
        <v>30306</v>
      </c>
      <c r="N13768" t="s">
        <v>30307</v>
      </c>
      <c r="P13768" t="str">
        <f>""</f>
        <v/>
      </c>
    </row>
    <row r="13769" spans="1:16" x14ac:dyDescent="0.25">
      <c r="A13769" t="str">
        <f>"1190097H00267    00"</f>
        <v>1190097H00267    00</v>
      </c>
      <c r="B13769" t="s">
        <v>29232</v>
      </c>
      <c r="C13769" t="s">
        <v>30308</v>
      </c>
      <c r="D13769" t="s">
        <v>20</v>
      </c>
      <c r="E13769" t="s">
        <v>39</v>
      </c>
      <c r="F13769">
        <v>0</v>
      </c>
      <c r="G13769">
        <v>0</v>
      </c>
      <c r="H13769">
        <v>5</v>
      </c>
      <c r="I13769" s="3">
        <v>6386.9</v>
      </c>
      <c r="J13769" s="3">
        <v>1267.97</v>
      </c>
      <c r="M13769" t="s">
        <v>30138</v>
      </c>
      <c r="N13769" t="s">
        <v>30</v>
      </c>
      <c r="O13769" t="s">
        <v>31</v>
      </c>
      <c r="P13769" t="str">
        <f>"15216"</f>
        <v>15216</v>
      </c>
    </row>
    <row r="13770" spans="1:16" x14ac:dyDescent="0.25">
      <c r="A13770" t="str">
        <f>"1190097L00048    00"</f>
        <v>1190097L00048    00</v>
      </c>
      <c r="B13770" t="s">
        <v>30309</v>
      </c>
      <c r="C13770" t="s">
        <v>30310</v>
      </c>
      <c r="D13770" t="s">
        <v>20</v>
      </c>
      <c r="E13770" t="s">
        <v>39</v>
      </c>
      <c r="F13770">
        <v>0</v>
      </c>
      <c r="G13770">
        <v>0</v>
      </c>
      <c r="H13770">
        <v>1</v>
      </c>
      <c r="I13770" s="3">
        <v>500</v>
      </c>
      <c r="J13770" s="3">
        <v>0</v>
      </c>
      <c r="L13770">
        <v>328</v>
      </c>
      <c r="M13770" t="s">
        <v>30311</v>
      </c>
      <c r="N13770" t="s">
        <v>30312</v>
      </c>
      <c r="O13770" t="s">
        <v>1184</v>
      </c>
      <c r="P13770" t="str">
        <f>"21716"</f>
        <v>21716</v>
      </c>
    </row>
    <row r="13771" spans="1:16" x14ac:dyDescent="0.25">
      <c r="A13771" t="str">
        <f>"1190097L00110    00"</f>
        <v>1190097L00110    00</v>
      </c>
      <c r="B13771" t="s">
        <v>30313</v>
      </c>
      <c r="C13771" t="s">
        <v>30314</v>
      </c>
      <c r="D13771" t="s">
        <v>20</v>
      </c>
      <c r="E13771" t="s">
        <v>39</v>
      </c>
      <c r="F13771">
        <v>0</v>
      </c>
      <c r="G13771">
        <v>0</v>
      </c>
      <c r="H13771">
        <v>2</v>
      </c>
      <c r="I13771" s="3">
        <v>917.19</v>
      </c>
      <c r="J13771" s="3">
        <v>7.5</v>
      </c>
      <c r="L13771">
        <v>1000</v>
      </c>
      <c r="M13771" t="s">
        <v>30227</v>
      </c>
      <c r="N13771" t="s">
        <v>30</v>
      </c>
      <c r="O13771" t="s">
        <v>31</v>
      </c>
      <c r="P13771" t="str">
        <f t="shared" ref="P13771:P13776" si="173">"15226"</f>
        <v>15226</v>
      </c>
    </row>
    <row r="13772" spans="1:16" x14ac:dyDescent="0.25">
      <c r="A13772" t="str">
        <f>"1190097L00145    00"</f>
        <v>1190097L00145    00</v>
      </c>
      <c r="B13772" t="s">
        <v>30315</v>
      </c>
      <c r="C13772" t="s">
        <v>30316</v>
      </c>
      <c r="D13772" t="s">
        <v>20</v>
      </c>
      <c r="E13772" t="s">
        <v>39</v>
      </c>
      <c r="F13772">
        <v>0</v>
      </c>
      <c r="G13772">
        <v>0</v>
      </c>
      <c r="H13772">
        <v>4</v>
      </c>
      <c r="I13772" s="3">
        <v>2898.79</v>
      </c>
      <c r="J13772" s="3">
        <v>386.52</v>
      </c>
      <c r="L13772">
        <v>949</v>
      </c>
      <c r="M13772" t="s">
        <v>30240</v>
      </c>
      <c r="N13772" t="s">
        <v>30</v>
      </c>
      <c r="O13772" t="s">
        <v>31</v>
      </c>
      <c r="P13772" t="str">
        <f t="shared" si="173"/>
        <v>15226</v>
      </c>
    </row>
    <row r="13773" spans="1:16" x14ac:dyDescent="0.25">
      <c r="A13773" t="str">
        <f>"1190097M00049    00"</f>
        <v>1190097M00049    00</v>
      </c>
      <c r="B13773" t="s">
        <v>30317</v>
      </c>
      <c r="C13773" t="s">
        <v>30318</v>
      </c>
      <c r="D13773" t="s">
        <v>20</v>
      </c>
      <c r="E13773" t="s">
        <v>39</v>
      </c>
      <c r="F13773">
        <v>0</v>
      </c>
      <c r="G13773">
        <v>0</v>
      </c>
      <c r="H13773">
        <v>1</v>
      </c>
      <c r="I13773" s="3">
        <v>1431.41</v>
      </c>
      <c r="J13773" s="3">
        <v>0</v>
      </c>
      <c r="L13773">
        <v>1025</v>
      </c>
      <c r="M13773" t="s">
        <v>30227</v>
      </c>
      <c r="N13773" t="s">
        <v>30</v>
      </c>
      <c r="O13773" t="s">
        <v>31</v>
      </c>
      <c r="P13773" t="str">
        <f t="shared" si="173"/>
        <v>15226</v>
      </c>
    </row>
    <row r="13774" spans="1:16" x14ac:dyDescent="0.25">
      <c r="A13774" t="str">
        <f>"1190097M00171    00"</f>
        <v>1190097M00171    00</v>
      </c>
      <c r="B13774" t="s">
        <v>30319</v>
      </c>
      <c r="C13774" t="s">
        <v>30320</v>
      </c>
      <c r="D13774" t="s">
        <v>20</v>
      </c>
      <c r="E13774" t="s">
        <v>39</v>
      </c>
      <c r="F13774">
        <v>0</v>
      </c>
      <c r="G13774">
        <v>0</v>
      </c>
      <c r="H13774">
        <v>2</v>
      </c>
      <c r="I13774" s="3">
        <v>1409.18</v>
      </c>
      <c r="J13774" s="3">
        <v>112.84</v>
      </c>
      <c r="K13774" t="s">
        <v>30321</v>
      </c>
      <c r="L13774">
        <v>1054</v>
      </c>
      <c r="M13774" t="s">
        <v>30322</v>
      </c>
      <c r="N13774" t="s">
        <v>30</v>
      </c>
      <c r="O13774" t="s">
        <v>31</v>
      </c>
      <c r="P13774" t="str">
        <f t="shared" si="173"/>
        <v>15226</v>
      </c>
    </row>
    <row r="13775" spans="1:16" x14ac:dyDescent="0.25">
      <c r="A13775" t="str">
        <f>"1190097M00222    00"</f>
        <v>1190097M00222    00</v>
      </c>
      <c r="B13775" t="s">
        <v>30323</v>
      </c>
      <c r="C13775" t="s">
        <v>30324</v>
      </c>
      <c r="D13775" t="s">
        <v>20</v>
      </c>
      <c r="E13775" t="s">
        <v>39</v>
      </c>
      <c r="F13775">
        <v>0</v>
      </c>
      <c r="G13775">
        <v>0</v>
      </c>
      <c r="H13775">
        <v>3</v>
      </c>
      <c r="I13775" s="3">
        <v>2607.83</v>
      </c>
      <c r="J13775" s="3">
        <v>23.21</v>
      </c>
      <c r="L13775">
        <v>1111</v>
      </c>
      <c r="M13775" t="s">
        <v>30071</v>
      </c>
      <c r="N13775" t="s">
        <v>30</v>
      </c>
      <c r="O13775" t="s">
        <v>31</v>
      </c>
      <c r="P13775" t="str">
        <f t="shared" si="173"/>
        <v>15226</v>
      </c>
    </row>
    <row r="13776" spans="1:16" x14ac:dyDescent="0.25">
      <c r="A13776" t="str">
        <f>"1190097M00261    00"</f>
        <v>1190097M00261    00</v>
      </c>
      <c r="B13776" t="s">
        <v>30325</v>
      </c>
      <c r="C13776" t="s">
        <v>30326</v>
      </c>
      <c r="E13776" t="s">
        <v>39</v>
      </c>
      <c r="F13776">
        <v>0</v>
      </c>
      <c r="G13776">
        <v>0</v>
      </c>
      <c r="H13776">
        <v>3</v>
      </c>
      <c r="I13776" s="3">
        <v>3322.5</v>
      </c>
      <c r="J13776" s="3">
        <v>950.97</v>
      </c>
      <c r="L13776">
        <v>1205</v>
      </c>
      <c r="M13776" t="s">
        <v>30327</v>
      </c>
      <c r="N13776" t="s">
        <v>30</v>
      </c>
      <c r="O13776" t="s">
        <v>31</v>
      </c>
      <c r="P13776" t="str">
        <f t="shared" si="173"/>
        <v>15226</v>
      </c>
    </row>
    <row r="13777" spans="1:16" x14ac:dyDescent="0.25">
      <c r="A13777" t="str">
        <f>"1190097M00274    00"</f>
        <v>1190097M00274    00</v>
      </c>
      <c r="B13777" t="s">
        <v>30328</v>
      </c>
      <c r="C13777" t="s">
        <v>30329</v>
      </c>
      <c r="E13777" t="s">
        <v>39</v>
      </c>
      <c r="F13777">
        <v>0</v>
      </c>
      <c r="G13777">
        <v>0</v>
      </c>
      <c r="H13777">
        <v>1</v>
      </c>
      <c r="I13777" s="3">
        <v>831.88</v>
      </c>
      <c r="J13777" s="3">
        <v>332.74</v>
      </c>
      <c r="K13777" t="s">
        <v>1135</v>
      </c>
      <c r="L13777">
        <v>3001</v>
      </c>
      <c r="M13777" t="s">
        <v>330</v>
      </c>
      <c r="N13777" t="s">
        <v>331</v>
      </c>
      <c r="O13777" t="s">
        <v>108</v>
      </c>
      <c r="P13777" t="str">
        <f>"75063"</f>
        <v>75063</v>
      </c>
    </row>
    <row r="13778" spans="1:16" x14ac:dyDescent="0.25">
      <c r="A13778" t="str">
        <f>"1190097S00005    00"</f>
        <v>1190097S00005    00</v>
      </c>
      <c r="B13778" t="s">
        <v>30330</v>
      </c>
      <c r="C13778" t="s">
        <v>30331</v>
      </c>
      <c r="D13778" t="s">
        <v>20</v>
      </c>
      <c r="E13778" t="s">
        <v>39</v>
      </c>
      <c r="F13778">
        <v>0</v>
      </c>
      <c r="G13778">
        <v>0</v>
      </c>
      <c r="H13778">
        <v>7</v>
      </c>
      <c r="I13778" s="3">
        <v>5007.74</v>
      </c>
      <c r="J13778" s="3">
        <v>1434.68</v>
      </c>
      <c r="L13778">
        <v>1001</v>
      </c>
      <c r="M13778" t="s">
        <v>30332</v>
      </c>
      <c r="N13778" t="s">
        <v>30</v>
      </c>
      <c r="O13778" t="s">
        <v>31</v>
      </c>
      <c r="P13778" t="str">
        <f>"15226"</f>
        <v>15226</v>
      </c>
    </row>
    <row r="13779" spans="1:16" x14ac:dyDescent="0.25">
      <c r="A13779" t="str">
        <f>"1190097S00012    00"</f>
        <v>1190097S00012    00</v>
      </c>
      <c r="B13779" t="s">
        <v>30333</v>
      </c>
      <c r="C13779" t="s">
        <v>30334</v>
      </c>
      <c r="D13779" t="s">
        <v>20</v>
      </c>
      <c r="E13779" t="s">
        <v>39</v>
      </c>
      <c r="F13779">
        <v>0</v>
      </c>
      <c r="G13779">
        <v>0</v>
      </c>
      <c r="H13779">
        <v>1</v>
      </c>
      <c r="I13779" s="3">
        <v>500.74</v>
      </c>
      <c r="J13779" s="3">
        <v>0</v>
      </c>
      <c r="L13779">
        <v>2818</v>
      </c>
      <c r="M13779" t="s">
        <v>30335</v>
      </c>
      <c r="N13779" t="s">
        <v>30</v>
      </c>
      <c r="O13779" t="s">
        <v>31</v>
      </c>
      <c r="P13779" t="str">
        <f>"15226"</f>
        <v>15226</v>
      </c>
    </row>
    <row r="13780" spans="1:16" x14ac:dyDescent="0.25">
      <c r="A13780" t="str">
        <f>"1190097S00032    00"</f>
        <v>1190097S00032    00</v>
      </c>
      <c r="B13780" t="s">
        <v>30336</v>
      </c>
      <c r="C13780" t="s">
        <v>30337</v>
      </c>
      <c r="D13780" t="s">
        <v>20</v>
      </c>
      <c r="E13780" t="s">
        <v>39</v>
      </c>
      <c r="F13780">
        <v>0</v>
      </c>
      <c r="G13780">
        <v>0</v>
      </c>
      <c r="H13780">
        <v>2</v>
      </c>
      <c r="I13780" s="3">
        <v>1926.63</v>
      </c>
      <c r="J13780" s="3">
        <v>0</v>
      </c>
      <c r="L13780">
        <v>2945</v>
      </c>
      <c r="M13780" t="s">
        <v>30338</v>
      </c>
      <c r="N13780" t="s">
        <v>30</v>
      </c>
      <c r="O13780" t="s">
        <v>31</v>
      </c>
      <c r="P13780" t="str">
        <f>"15226"</f>
        <v>15226</v>
      </c>
    </row>
    <row r="13781" spans="1:16" x14ac:dyDescent="0.25">
      <c r="A13781" t="str">
        <f>"1190097S00042    00"</f>
        <v>1190097S00042    00</v>
      </c>
      <c r="B13781" t="s">
        <v>30339</v>
      </c>
      <c r="C13781" t="s">
        <v>30340</v>
      </c>
      <c r="D13781" t="s">
        <v>20</v>
      </c>
      <c r="E13781" t="s">
        <v>39</v>
      </c>
      <c r="F13781">
        <v>0</v>
      </c>
      <c r="G13781">
        <v>0</v>
      </c>
      <c r="H13781">
        <v>3</v>
      </c>
      <c r="I13781" s="3">
        <v>2912.28</v>
      </c>
      <c r="J13781" s="3">
        <v>459.3</v>
      </c>
      <c r="L13781">
        <v>1025</v>
      </c>
      <c r="M13781" t="s">
        <v>30227</v>
      </c>
      <c r="N13781" t="s">
        <v>30</v>
      </c>
      <c r="O13781" t="s">
        <v>31</v>
      </c>
      <c r="P13781" t="str">
        <f>"15226"</f>
        <v>15226</v>
      </c>
    </row>
    <row r="13782" spans="1:16" x14ac:dyDescent="0.25">
      <c r="A13782" t="str">
        <f>"1190097S00064    00"</f>
        <v>1190097S00064    00</v>
      </c>
      <c r="B13782" t="s">
        <v>30341</v>
      </c>
      <c r="C13782" t="s">
        <v>30342</v>
      </c>
      <c r="D13782" t="s">
        <v>20</v>
      </c>
      <c r="E13782" t="s">
        <v>39</v>
      </c>
      <c r="F13782">
        <v>0</v>
      </c>
      <c r="G13782">
        <v>0</v>
      </c>
      <c r="H13782">
        <v>19</v>
      </c>
      <c r="I13782" s="3">
        <v>8985.2800000000007</v>
      </c>
      <c r="J13782" s="3">
        <v>7591.28</v>
      </c>
      <c r="L13782">
        <v>5751</v>
      </c>
      <c r="M13782" t="s">
        <v>30343</v>
      </c>
      <c r="N13782" t="s">
        <v>3934</v>
      </c>
      <c r="O13782" t="s">
        <v>31</v>
      </c>
      <c r="P13782" t="str">
        <f>"15102"</f>
        <v>15102</v>
      </c>
    </row>
    <row r="13783" spans="1:16" x14ac:dyDescent="0.25">
      <c r="A13783" t="str">
        <f>"1190139A00033    00"</f>
        <v>1190139A00033    00</v>
      </c>
      <c r="B13783" t="s">
        <v>944</v>
      </c>
      <c r="C13783" t="s">
        <v>30344</v>
      </c>
      <c r="E13783" t="s">
        <v>39</v>
      </c>
      <c r="F13783">
        <v>0</v>
      </c>
      <c r="G13783">
        <v>0</v>
      </c>
      <c r="H13783">
        <v>1</v>
      </c>
      <c r="I13783" s="3">
        <v>1646.35</v>
      </c>
      <c r="J13783" s="3">
        <v>2551.7399999999998</v>
      </c>
      <c r="L13783">
        <v>200</v>
      </c>
      <c r="M13783" t="s">
        <v>946</v>
      </c>
      <c r="N13783" t="s">
        <v>30</v>
      </c>
      <c r="O13783" t="s">
        <v>31</v>
      </c>
      <c r="P13783" t="str">
        <f>"15219"</f>
        <v>15219</v>
      </c>
    </row>
    <row r="13784" spans="1:16" x14ac:dyDescent="0.25">
      <c r="A13784" t="str">
        <f>"1190139B00004    00"</f>
        <v>1190139B00004    00</v>
      </c>
      <c r="B13784" t="s">
        <v>30345</v>
      </c>
      <c r="C13784" t="s">
        <v>30346</v>
      </c>
      <c r="D13784" t="s">
        <v>20</v>
      </c>
      <c r="E13784" t="s">
        <v>39</v>
      </c>
      <c r="F13784">
        <v>0</v>
      </c>
      <c r="G13784">
        <v>0</v>
      </c>
      <c r="H13784">
        <v>1</v>
      </c>
      <c r="I13784" s="3">
        <v>890.58</v>
      </c>
      <c r="J13784" s="3">
        <v>0</v>
      </c>
      <c r="L13784">
        <v>1629</v>
      </c>
      <c r="M13784" t="s">
        <v>30112</v>
      </c>
      <c r="N13784" t="s">
        <v>30</v>
      </c>
      <c r="O13784" t="s">
        <v>31</v>
      </c>
      <c r="P13784" t="str">
        <f>"15226"</f>
        <v>15226</v>
      </c>
    </row>
    <row r="13785" spans="1:16" x14ac:dyDescent="0.25">
      <c r="A13785" t="str">
        <f>"1190139B00009    00"</f>
        <v>1190139B00009    00</v>
      </c>
      <c r="B13785" t="s">
        <v>30347</v>
      </c>
      <c r="C13785" t="s">
        <v>30348</v>
      </c>
      <c r="D13785" t="s">
        <v>20</v>
      </c>
      <c r="E13785" t="s">
        <v>39</v>
      </c>
      <c r="F13785">
        <v>0</v>
      </c>
      <c r="G13785">
        <v>0</v>
      </c>
      <c r="H13785">
        <v>1</v>
      </c>
      <c r="I13785" s="3">
        <v>1641.08</v>
      </c>
      <c r="J13785" s="3">
        <v>0</v>
      </c>
      <c r="K13785" t="s">
        <v>4947</v>
      </c>
      <c r="L13785">
        <v>3001</v>
      </c>
      <c r="M13785" t="s">
        <v>330</v>
      </c>
      <c r="N13785" t="s">
        <v>331</v>
      </c>
      <c r="O13785" t="s">
        <v>108</v>
      </c>
      <c r="P13785" t="str">
        <f>"75063"</f>
        <v>75063</v>
      </c>
    </row>
    <row r="13786" spans="1:16" x14ac:dyDescent="0.25">
      <c r="A13786" t="str">
        <f>"1190139B00012    00"</f>
        <v>1190139B00012    00</v>
      </c>
      <c r="B13786" t="s">
        <v>30349</v>
      </c>
      <c r="C13786" t="s">
        <v>30350</v>
      </c>
      <c r="D13786" t="s">
        <v>20</v>
      </c>
      <c r="E13786" t="s">
        <v>39</v>
      </c>
      <c r="F13786">
        <v>0</v>
      </c>
      <c r="G13786">
        <v>0</v>
      </c>
      <c r="H13786">
        <v>19</v>
      </c>
      <c r="I13786" s="3">
        <v>908.02</v>
      </c>
      <c r="J13786" s="3">
        <v>727.52</v>
      </c>
      <c r="K13786" t="s">
        <v>30351</v>
      </c>
      <c r="L13786">
        <v>837</v>
      </c>
      <c r="M13786" t="s">
        <v>21742</v>
      </c>
      <c r="N13786" t="s">
        <v>30</v>
      </c>
      <c r="O13786" t="s">
        <v>31</v>
      </c>
      <c r="P13786" t="str">
        <f>"15217"</f>
        <v>15217</v>
      </c>
    </row>
    <row r="13787" spans="1:16" x14ac:dyDescent="0.25">
      <c r="A13787" t="str">
        <f>"1190139B00056    00"</f>
        <v>1190139B00056    00</v>
      </c>
      <c r="B13787" t="s">
        <v>30352</v>
      </c>
      <c r="C13787" t="s">
        <v>30353</v>
      </c>
      <c r="D13787" t="s">
        <v>20</v>
      </c>
      <c r="E13787" t="s">
        <v>39</v>
      </c>
      <c r="F13787">
        <v>0</v>
      </c>
      <c r="G13787">
        <v>0</v>
      </c>
      <c r="H13787">
        <v>5</v>
      </c>
      <c r="I13787" s="3">
        <v>3070.94</v>
      </c>
      <c r="J13787" s="3">
        <v>530.54999999999995</v>
      </c>
      <c r="K13787" t="s">
        <v>30354</v>
      </c>
      <c r="L13787">
        <v>1694</v>
      </c>
      <c r="M13787" t="s">
        <v>30019</v>
      </c>
      <c r="N13787" t="s">
        <v>30</v>
      </c>
      <c r="O13787" t="s">
        <v>31</v>
      </c>
      <c r="P13787" t="str">
        <f>"15226"</f>
        <v>15226</v>
      </c>
    </row>
    <row r="13788" spans="1:16" x14ac:dyDescent="0.25">
      <c r="A13788" t="str">
        <f>"1190139B00065    00"</f>
        <v>1190139B00065    00</v>
      </c>
      <c r="B13788" t="s">
        <v>30118</v>
      </c>
      <c r="C13788" t="s">
        <v>30081</v>
      </c>
      <c r="D13788" t="s">
        <v>20</v>
      </c>
      <c r="E13788" t="s">
        <v>39</v>
      </c>
      <c r="F13788">
        <v>0</v>
      </c>
      <c r="G13788">
        <v>0</v>
      </c>
      <c r="H13788">
        <v>16</v>
      </c>
      <c r="I13788" s="3">
        <v>1451.11</v>
      </c>
      <c r="J13788" s="3">
        <v>972.87</v>
      </c>
      <c r="L13788">
        <v>1740</v>
      </c>
      <c r="M13788" t="s">
        <v>30019</v>
      </c>
      <c r="N13788" t="s">
        <v>30</v>
      </c>
      <c r="O13788" t="s">
        <v>31</v>
      </c>
      <c r="P13788" t="str">
        <f>"15226"</f>
        <v>15226</v>
      </c>
    </row>
    <row r="13789" spans="1:16" x14ac:dyDescent="0.25">
      <c r="A13789" t="str">
        <f>"1190139B00066    00"</f>
        <v>1190139B00066    00</v>
      </c>
      <c r="B13789" t="s">
        <v>30118</v>
      </c>
      <c r="C13789" t="s">
        <v>30081</v>
      </c>
      <c r="D13789" t="s">
        <v>20</v>
      </c>
      <c r="E13789" t="s">
        <v>39</v>
      </c>
      <c r="F13789">
        <v>0</v>
      </c>
      <c r="G13789">
        <v>0</v>
      </c>
      <c r="H13789">
        <v>16</v>
      </c>
      <c r="I13789" s="3">
        <v>1471.42</v>
      </c>
      <c r="J13789" s="3">
        <v>982.6</v>
      </c>
      <c r="L13789">
        <v>1740</v>
      </c>
      <c r="M13789" t="s">
        <v>30019</v>
      </c>
      <c r="N13789" t="s">
        <v>30</v>
      </c>
      <c r="O13789" t="s">
        <v>31</v>
      </c>
      <c r="P13789" t="str">
        <f>"15226"</f>
        <v>15226</v>
      </c>
    </row>
    <row r="13790" spans="1:16" x14ac:dyDescent="0.25">
      <c r="A13790" t="str">
        <f>"1198119X00001    00"</f>
        <v>1198119X00001    00</v>
      </c>
      <c r="B13790" t="s">
        <v>30355</v>
      </c>
      <c r="C13790" t="s">
        <v>30356</v>
      </c>
      <c r="E13790" t="s">
        <v>290</v>
      </c>
      <c r="F13790">
        <v>0</v>
      </c>
      <c r="G13790">
        <v>0</v>
      </c>
      <c r="H13790">
        <v>1</v>
      </c>
      <c r="I13790" s="3">
        <v>3803.04</v>
      </c>
      <c r="J13790" s="3">
        <v>5642.62</v>
      </c>
      <c r="M13790" t="s">
        <v>30357</v>
      </c>
      <c r="N13790" t="s">
        <v>30</v>
      </c>
      <c r="O13790" t="s">
        <v>31</v>
      </c>
      <c r="P13790" t="str">
        <f>"00000"</f>
        <v>00000</v>
      </c>
    </row>
    <row r="13791" spans="1:16" x14ac:dyDescent="0.25">
      <c r="A13791" t="str">
        <f>"1200005A00020    00"</f>
        <v>1200005A00020    00</v>
      </c>
      <c r="B13791" t="s">
        <v>30358</v>
      </c>
      <c r="C13791" t="s">
        <v>30359</v>
      </c>
      <c r="E13791" t="s">
        <v>290</v>
      </c>
      <c r="F13791">
        <v>0</v>
      </c>
      <c r="G13791">
        <v>0</v>
      </c>
      <c r="H13791">
        <v>1</v>
      </c>
      <c r="I13791" s="3">
        <v>38.11</v>
      </c>
      <c r="J13791" s="3">
        <v>0</v>
      </c>
      <c r="K13791" t="s">
        <v>30360</v>
      </c>
      <c r="L13791">
        <v>1</v>
      </c>
      <c r="M13791" t="s">
        <v>30361</v>
      </c>
      <c r="N13791" t="s">
        <v>30</v>
      </c>
      <c r="O13791" t="s">
        <v>31</v>
      </c>
      <c r="P13791" t="str">
        <f>"15220"</f>
        <v>15220</v>
      </c>
    </row>
    <row r="13792" spans="1:16" x14ac:dyDescent="0.25">
      <c r="A13792" t="str">
        <f>"1200005F00046    00"</f>
        <v>1200005F00046    00</v>
      </c>
      <c r="B13792" t="s">
        <v>30362</v>
      </c>
      <c r="C13792" t="s">
        <v>27401</v>
      </c>
      <c r="E13792" t="s">
        <v>39</v>
      </c>
      <c r="F13792">
        <v>0</v>
      </c>
      <c r="G13792">
        <v>0</v>
      </c>
      <c r="H13792">
        <v>9</v>
      </c>
      <c r="I13792" s="3">
        <v>2767.37</v>
      </c>
      <c r="J13792" s="3">
        <v>3807.8</v>
      </c>
      <c r="P13792" t="str">
        <f>""</f>
        <v/>
      </c>
    </row>
    <row r="13793" spans="1:16" x14ac:dyDescent="0.25">
      <c r="A13793" t="str">
        <f>"1200005G00003    00"</f>
        <v>1200005G00003    00</v>
      </c>
      <c r="B13793" t="s">
        <v>30363</v>
      </c>
      <c r="C13793" t="s">
        <v>30364</v>
      </c>
      <c r="D13793" t="s">
        <v>20</v>
      </c>
      <c r="E13793" t="s">
        <v>39</v>
      </c>
      <c r="F13793">
        <v>0</v>
      </c>
      <c r="G13793">
        <v>0</v>
      </c>
      <c r="H13793">
        <v>2</v>
      </c>
      <c r="I13793" s="3">
        <v>22.88</v>
      </c>
      <c r="J13793" s="3">
        <v>0</v>
      </c>
      <c r="K13793" t="s">
        <v>30365</v>
      </c>
      <c r="L13793">
        <v>5186</v>
      </c>
      <c r="M13793" t="s">
        <v>30366</v>
      </c>
      <c r="N13793" t="s">
        <v>1061</v>
      </c>
      <c r="O13793" t="s">
        <v>495</v>
      </c>
      <c r="P13793" t="str">
        <f>"90008"</f>
        <v>90008</v>
      </c>
    </row>
    <row r="13794" spans="1:16" x14ac:dyDescent="0.25">
      <c r="A13794" t="str">
        <f>"1200005G00076    00"</f>
        <v>1200005G00076    00</v>
      </c>
      <c r="B13794" t="s">
        <v>27833</v>
      </c>
      <c r="C13794" t="s">
        <v>30367</v>
      </c>
      <c r="D13794" t="s">
        <v>20</v>
      </c>
      <c r="E13794" t="s">
        <v>39</v>
      </c>
      <c r="F13794">
        <v>0</v>
      </c>
      <c r="G13794">
        <v>0</v>
      </c>
      <c r="H13794">
        <v>1</v>
      </c>
      <c r="I13794" s="3">
        <v>920.61</v>
      </c>
      <c r="J13794" s="3">
        <v>0</v>
      </c>
      <c r="M13794" t="s">
        <v>25201</v>
      </c>
      <c r="N13794" t="s">
        <v>30</v>
      </c>
      <c r="O13794" t="s">
        <v>31</v>
      </c>
      <c r="P13794" t="str">
        <f>"15211"</f>
        <v>15211</v>
      </c>
    </row>
    <row r="13795" spans="1:16" x14ac:dyDescent="0.25">
      <c r="A13795" t="str">
        <f>"1200005G00126    00"</f>
        <v>1200005G00126    00</v>
      </c>
      <c r="B13795" t="s">
        <v>30368</v>
      </c>
      <c r="C13795" t="s">
        <v>30369</v>
      </c>
      <c r="D13795" t="s">
        <v>20</v>
      </c>
      <c r="E13795" t="s">
        <v>39</v>
      </c>
      <c r="F13795">
        <v>0</v>
      </c>
      <c r="G13795">
        <v>0</v>
      </c>
      <c r="H13795">
        <v>9</v>
      </c>
      <c r="I13795" s="3">
        <v>5022.6899999999996</v>
      </c>
      <c r="J13795" s="3">
        <v>1660.99</v>
      </c>
      <c r="L13795">
        <v>660</v>
      </c>
      <c r="M13795" t="s">
        <v>8296</v>
      </c>
      <c r="N13795" t="s">
        <v>30</v>
      </c>
      <c r="O13795" t="s">
        <v>31</v>
      </c>
      <c r="P13795" t="str">
        <f>"15211"</f>
        <v>15211</v>
      </c>
    </row>
    <row r="13796" spans="1:16" x14ac:dyDescent="0.25">
      <c r="A13796" t="str">
        <f>"1200005G00287    00"</f>
        <v>1200005G00287    00</v>
      </c>
      <c r="B13796" t="s">
        <v>30370</v>
      </c>
      <c r="C13796" t="s">
        <v>30371</v>
      </c>
      <c r="D13796" t="s">
        <v>20</v>
      </c>
      <c r="E13796" t="s">
        <v>39</v>
      </c>
      <c r="F13796">
        <v>0</v>
      </c>
      <c r="G13796">
        <v>0</v>
      </c>
      <c r="H13796">
        <v>8</v>
      </c>
      <c r="I13796" s="3">
        <v>1663.97</v>
      </c>
      <c r="J13796" s="3">
        <v>515.96</v>
      </c>
      <c r="L13796">
        <v>735</v>
      </c>
      <c r="M13796" t="s">
        <v>30372</v>
      </c>
      <c r="N13796" t="s">
        <v>30</v>
      </c>
      <c r="O13796" t="s">
        <v>31</v>
      </c>
      <c r="P13796" t="str">
        <f>"15220"</f>
        <v>15220</v>
      </c>
    </row>
    <row r="13797" spans="1:16" x14ac:dyDescent="0.25">
      <c r="A13797" t="str">
        <f>"1200005G00290    00"</f>
        <v>1200005G00290    00</v>
      </c>
      <c r="B13797" t="s">
        <v>30373</v>
      </c>
      <c r="C13797" t="s">
        <v>30374</v>
      </c>
      <c r="D13797" t="s">
        <v>20</v>
      </c>
      <c r="E13797" t="s">
        <v>39</v>
      </c>
      <c r="F13797">
        <v>0</v>
      </c>
      <c r="G13797">
        <v>0</v>
      </c>
      <c r="H13797">
        <v>2</v>
      </c>
      <c r="I13797" s="3">
        <v>1254.18</v>
      </c>
      <c r="J13797" s="3">
        <v>0</v>
      </c>
      <c r="L13797">
        <v>1759</v>
      </c>
      <c r="M13797" t="s">
        <v>30375</v>
      </c>
      <c r="N13797" t="s">
        <v>30</v>
      </c>
      <c r="O13797" t="s">
        <v>31</v>
      </c>
      <c r="P13797" t="str">
        <f>"15222"</f>
        <v>15222</v>
      </c>
    </row>
    <row r="13798" spans="1:16" x14ac:dyDescent="0.25">
      <c r="A13798" t="str">
        <f>"1200005H00044    00"</f>
        <v>1200005H00044    00</v>
      </c>
      <c r="B13798" t="s">
        <v>30376</v>
      </c>
      <c r="C13798" t="s">
        <v>30377</v>
      </c>
      <c r="D13798" t="s">
        <v>20</v>
      </c>
      <c r="E13798" t="s">
        <v>39</v>
      </c>
      <c r="F13798">
        <v>0</v>
      </c>
      <c r="G13798">
        <v>0</v>
      </c>
      <c r="H13798">
        <v>11</v>
      </c>
      <c r="I13798" s="3">
        <v>1671.18</v>
      </c>
      <c r="J13798" s="3">
        <v>1110.3900000000001</v>
      </c>
      <c r="L13798">
        <v>528</v>
      </c>
      <c r="M13798" t="s">
        <v>27955</v>
      </c>
      <c r="N13798" t="s">
        <v>30</v>
      </c>
      <c r="O13798" t="s">
        <v>31</v>
      </c>
      <c r="P13798" t="str">
        <f>"15211"</f>
        <v>15211</v>
      </c>
    </row>
    <row r="13799" spans="1:16" x14ac:dyDescent="0.25">
      <c r="A13799" t="str">
        <f>"1200005K00020    00"</f>
        <v>1200005K00020    00</v>
      </c>
      <c r="B13799" t="s">
        <v>30378</v>
      </c>
      <c r="C13799" t="s">
        <v>30379</v>
      </c>
      <c r="D13799" t="s">
        <v>20</v>
      </c>
      <c r="E13799" t="s">
        <v>39</v>
      </c>
      <c r="F13799">
        <v>0</v>
      </c>
      <c r="G13799">
        <v>0</v>
      </c>
      <c r="H13799">
        <v>2</v>
      </c>
      <c r="I13799" s="3">
        <v>19.52</v>
      </c>
      <c r="J13799" s="3">
        <v>0</v>
      </c>
      <c r="L13799">
        <v>1411</v>
      </c>
      <c r="M13799" t="s">
        <v>30379</v>
      </c>
      <c r="N13799" t="s">
        <v>30</v>
      </c>
      <c r="O13799" t="s">
        <v>31</v>
      </c>
      <c r="P13799" t="str">
        <f>"15220"</f>
        <v>15220</v>
      </c>
    </row>
    <row r="13800" spans="1:16" x14ac:dyDescent="0.25">
      <c r="A13800" t="str">
        <f>"1200005K00021    00"</f>
        <v>1200005K00021    00</v>
      </c>
      <c r="B13800" t="s">
        <v>30378</v>
      </c>
      <c r="C13800" t="s">
        <v>30379</v>
      </c>
      <c r="D13800" t="s">
        <v>20</v>
      </c>
      <c r="E13800" t="s">
        <v>39</v>
      </c>
      <c r="F13800">
        <v>0</v>
      </c>
      <c r="G13800">
        <v>0</v>
      </c>
      <c r="H13800">
        <v>4</v>
      </c>
      <c r="I13800" s="3">
        <v>1173.1500000000001</v>
      </c>
      <c r="J13800" s="3">
        <v>100.91</v>
      </c>
      <c r="L13800">
        <v>1411</v>
      </c>
      <c r="M13800" t="s">
        <v>30379</v>
      </c>
      <c r="N13800" t="s">
        <v>30</v>
      </c>
      <c r="O13800" t="s">
        <v>31</v>
      </c>
      <c r="P13800" t="str">
        <f>"15220"</f>
        <v>15220</v>
      </c>
    </row>
    <row r="13801" spans="1:16" x14ac:dyDescent="0.25">
      <c r="A13801" t="str">
        <f>"1200005K00023    00"</f>
        <v>1200005K00023    00</v>
      </c>
      <c r="B13801" t="s">
        <v>30378</v>
      </c>
      <c r="C13801" t="s">
        <v>30379</v>
      </c>
      <c r="D13801" t="s">
        <v>20</v>
      </c>
      <c r="E13801" t="s">
        <v>39</v>
      </c>
      <c r="F13801">
        <v>0</v>
      </c>
      <c r="G13801">
        <v>0</v>
      </c>
      <c r="H13801">
        <v>2</v>
      </c>
      <c r="I13801" s="3">
        <v>390.18</v>
      </c>
      <c r="J13801" s="3">
        <v>0</v>
      </c>
      <c r="L13801">
        <v>1411</v>
      </c>
      <c r="M13801" t="s">
        <v>30379</v>
      </c>
      <c r="N13801" t="s">
        <v>30</v>
      </c>
      <c r="O13801" t="s">
        <v>31</v>
      </c>
      <c r="P13801" t="str">
        <f>"15220"</f>
        <v>15220</v>
      </c>
    </row>
    <row r="13802" spans="1:16" x14ac:dyDescent="0.25">
      <c r="A13802" t="str">
        <f>"1200005K00208    00"</f>
        <v>1200005K00208    00</v>
      </c>
      <c r="B13802" t="s">
        <v>29711</v>
      </c>
      <c r="C13802" t="s">
        <v>30380</v>
      </c>
      <c r="D13802" t="s">
        <v>20</v>
      </c>
      <c r="E13802" t="s">
        <v>39</v>
      </c>
      <c r="F13802">
        <v>0</v>
      </c>
      <c r="G13802">
        <v>0</v>
      </c>
      <c r="H13802">
        <v>6</v>
      </c>
      <c r="I13802" s="3">
        <v>5032.18</v>
      </c>
      <c r="J13802" s="3">
        <v>897</v>
      </c>
      <c r="L13802">
        <v>551</v>
      </c>
      <c r="M13802" t="s">
        <v>170</v>
      </c>
      <c r="N13802" t="s">
        <v>30</v>
      </c>
      <c r="O13802" t="s">
        <v>31</v>
      </c>
      <c r="P13802" t="str">
        <f>"15243"</f>
        <v>15243</v>
      </c>
    </row>
    <row r="13803" spans="1:16" x14ac:dyDescent="0.25">
      <c r="A13803" t="str">
        <f>"1200005K00215    00"</f>
        <v>1200005K00215    00</v>
      </c>
      <c r="B13803" t="s">
        <v>30381</v>
      </c>
      <c r="C13803" t="s">
        <v>30382</v>
      </c>
      <c r="E13803" t="s">
        <v>39</v>
      </c>
      <c r="F13803">
        <v>0</v>
      </c>
      <c r="G13803">
        <v>0</v>
      </c>
      <c r="H13803">
        <v>1</v>
      </c>
      <c r="I13803" s="3">
        <v>264.95</v>
      </c>
      <c r="J13803" s="3">
        <v>0</v>
      </c>
      <c r="K13803" t="s">
        <v>30383</v>
      </c>
      <c r="L13803">
        <v>1691</v>
      </c>
      <c r="M13803" t="s">
        <v>30099</v>
      </c>
      <c r="N13803" t="s">
        <v>30</v>
      </c>
      <c r="O13803" t="s">
        <v>31</v>
      </c>
      <c r="P13803" t="str">
        <f>"15226"</f>
        <v>15226</v>
      </c>
    </row>
    <row r="13804" spans="1:16" x14ac:dyDescent="0.25">
      <c r="A13804" t="str">
        <f>"1200005L00110    00"</f>
        <v>1200005L00110    00</v>
      </c>
      <c r="B13804" t="s">
        <v>30384</v>
      </c>
      <c r="C13804" t="s">
        <v>30385</v>
      </c>
      <c r="D13804" t="s">
        <v>20</v>
      </c>
      <c r="E13804" t="s">
        <v>21</v>
      </c>
      <c r="F13804">
        <v>0</v>
      </c>
      <c r="G13804">
        <v>0</v>
      </c>
      <c r="H13804">
        <v>1</v>
      </c>
      <c r="I13804" s="3">
        <v>3691.93</v>
      </c>
      <c r="J13804" s="3">
        <v>0</v>
      </c>
      <c r="K13804" t="s">
        <v>30386</v>
      </c>
      <c r="L13804">
        <v>454</v>
      </c>
      <c r="M13804" t="s">
        <v>30387</v>
      </c>
      <c r="N13804" t="s">
        <v>30</v>
      </c>
      <c r="O13804" t="s">
        <v>31</v>
      </c>
      <c r="P13804" t="str">
        <f>"15228"</f>
        <v>15228</v>
      </c>
    </row>
    <row r="13805" spans="1:16" x14ac:dyDescent="0.25">
      <c r="A13805" t="str">
        <f>"1200005L00159    00"</f>
        <v>1200005L00159    00</v>
      </c>
      <c r="B13805" t="s">
        <v>30388</v>
      </c>
      <c r="C13805" t="s">
        <v>30379</v>
      </c>
      <c r="D13805" t="s">
        <v>20</v>
      </c>
      <c r="E13805" t="s">
        <v>21</v>
      </c>
      <c r="F13805">
        <v>0</v>
      </c>
      <c r="G13805">
        <v>0</v>
      </c>
      <c r="H13805">
        <v>4</v>
      </c>
      <c r="I13805" s="3">
        <v>1444.12</v>
      </c>
      <c r="J13805" s="3">
        <v>167.11</v>
      </c>
      <c r="L13805">
        <v>1267</v>
      </c>
      <c r="M13805" t="s">
        <v>30389</v>
      </c>
      <c r="N13805" t="s">
        <v>30</v>
      </c>
      <c r="O13805" t="s">
        <v>31</v>
      </c>
      <c r="P13805" t="str">
        <f>"15220"</f>
        <v>15220</v>
      </c>
    </row>
    <row r="13806" spans="1:16" x14ac:dyDescent="0.25">
      <c r="A13806" t="str">
        <f>"1200005L00186    00"</f>
        <v>1200005L00186    00</v>
      </c>
      <c r="B13806" t="s">
        <v>30390</v>
      </c>
      <c r="C13806" t="s">
        <v>30391</v>
      </c>
      <c r="D13806" t="s">
        <v>20</v>
      </c>
      <c r="E13806" t="s">
        <v>21</v>
      </c>
      <c r="F13806">
        <v>0</v>
      </c>
      <c r="G13806">
        <v>0</v>
      </c>
      <c r="H13806">
        <v>1</v>
      </c>
      <c r="I13806" s="3">
        <v>374.71</v>
      </c>
      <c r="J13806" s="3">
        <v>0</v>
      </c>
      <c r="K13806" t="s">
        <v>30392</v>
      </c>
      <c r="L13806">
        <v>1</v>
      </c>
      <c r="M13806" t="s">
        <v>30393</v>
      </c>
      <c r="N13806" t="s">
        <v>6298</v>
      </c>
      <c r="O13806" t="s">
        <v>31</v>
      </c>
      <c r="P13806" t="str">
        <f>"15012"</f>
        <v>15012</v>
      </c>
    </row>
    <row r="13807" spans="1:16" x14ac:dyDescent="0.25">
      <c r="A13807" t="str">
        <f>"1200005P00050    00"</f>
        <v>1200005P00050    00</v>
      </c>
      <c r="B13807" t="s">
        <v>30394</v>
      </c>
      <c r="C13807" t="s">
        <v>30395</v>
      </c>
      <c r="D13807" t="s">
        <v>20</v>
      </c>
      <c r="E13807" t="s">
        <v>39</v>
      </c>
      <c r="F13807">
        <v>0</v>
      </c>
      <c r="G13807">
        <v>0</v>
      </c>
      <c r="H13807">
        <v>3</v>
      </c>
      <c r="I13807" s="3">
        <v>926.31</v>
      </c>
      <c r="J13807" s="3">
        <v>61.75</v>
      </c>
      <c r="L13807">
        <v>800</v>
      </c>
      <c r="M13807" t="s">
        <v>28567</v>
      </c>
      <c r="N13807" t="s">
        <v>30</v>
      </c>
      <c r="O13807" t="s">
        <v>31</v>
      </c>
      <c r="P13807" t="str">
        <f>"15216"</f>
        <v>15216</v>
      </c>
    </row>
    <row r="13808" spans="1:16" x14ac:dyDescent="0.25">
      <c r="A13808" t="str">
        <f>"1200005P00057    00"</f>
        <v>1200005P00057    00</v>
      </c>
      <c r="B13808" t="s">
        <v>30394</v>
      </c>
      <c r="C13808" t="s">
        <v>30396</v>
      </c>
      <c r="D13808" t="s">
        <v>20</v>
      </c>
      <c r="E13808" t="s">
        <v>39</v>
      </c>
      <c r="F13808">
        <v>0</v>
      </c>
      <c r="G13808">
        <v>0</v>
      </c>
      <c r="H13808">
        <v>5</v>
      </c>
      <c r="I13808" s="3">
        <v>8327.01</v>
      </c>
      <c r="J13808" s="3">
        <v>1583.65</v>
      </c>
      <c r="L13808">
        <v>800</v>
      </c>
      <c r="M13808" t="s">
        <v>28567</v>
      </c>
      <c r="N13808" t="s">
        <v>30</v>
      </c>
      <c r="O13808" t="s">
        <v>31</v>
      </c>
      <c r="P13808" t="str">
        <f>"15216"</f>
        <v>15216</v>
      </c>
    </row>
    <row r="13809" spans="1:16" x14ac:dyDescent="0.25">
      <c r="A13809" t="str">
        <f>"1200005P00058    00"</f>
        <v>1200005P00058    00</v>
      </c>
      <c r="B13809" t="s">
        <v>30394</v>
      </c>
      <c r="C13809" t="s">
        <v>30397</v>
      </c>
      <c r="D13809" t="s">
        <v>20</v>
      </c>
      <c r="E13809" t="s">
        <v>39</v>
      </c>
      <c r="F13809">
        <v>0</v>
      </c>
      <c r="G13809">
        <v>0</v>
      </c>
      <c r="H13809">
        <v>6</v>
      </c>
      <c r="I13809" s="3">
        <v>14259.2</v>
      </c>
      <c r="J13809" s="3">
        <v>2536.13</v>
      </c>
      <c r="L13809">
        <v>800</v>
      </c>
      <c r="M13809" t="s">
        <v>28567</v>
      </c>
      <c r="N13809" t="s">
        <v>30</v>
      </c>
      <c r="O13809" t="s">
        <v>31</v>
      </c>
      <c r="P13809" t="str">
        <f>"15216"</f>
        <v>15216</v>
      </c>
    </row>
    <row r="13810" spans="1:16" x14ac:dyDescent="0.25">
      <c r="A13810" t="str">
        <f>"1200005P00065    00"</f>
        <v>1200005P00065    00</v>
      </c>
      <c r="B13810" t="s">
        <v>30398</v>
      </c>
      <c r="C13810" t="s">
        <v>30399</v>
      </c>
      <c r="D13810" t="s">
        <v>20</v>
      </c>
      <c r="E13810" t="s">
        <v>39</v>
      </c>
      <c r="F13810">
        <v>0</v>
      </c>
      <c r="G13810">
        <v>0</v>
      </c>
      <c r="H13810">
        <v>3</v>
      </c>
      <c r="I13810" s="3">
        <v>2650.68</v>
      </c>
      <c r="J13810" s="3">
        <v>208.89</v>
      </c>
      <c r="K13810" t="s">
        <v>30400</v>
      </c>
      <c r="L13810">
        <v>735</v>
      </c>
      <c r="M13810" t="s">
        <v>28561</v>
      </c>
      <c r="N13810" t="s">
        <v>30</v>
      </c>
      <c r="O13810" t="s">
        <v>31</v>
      </c>
      <c r="P13810" t="str">
        <f>"15241"</f>
        <v>15241</v>
      </c>
    </row>
    <row r="13811" spans="1:16" x14ac:dyDescent="0.25">
      <c r="A13811" t="str">
        <f>"1200005P00070    00"</f>
        <v>1200005P00070    00</v>
      </c>
      <c r="B13811" t="s">
        <v>30401</v>
      </c>
      <c r="C13811" t="s">
        <v>30402</v>
      </c>
      <c r="D13811" t="s">
        <v>20</v>
      </c>
      <c r="E13811" t="s">
        <v>39</v>
      </c>
      <c r="F13811">
        <v>0</v>
      </c>
      <c r="G13811">
        <v>0</v>
      </c>
      <c r="H13811">
        <v>3</v>
      </c>
      <c r="I13811" s="3">
        <v>1588.23</v>
      </c>
      <c r="J13811" s="3">
        <v>156.6</v>
      </c>
      <c r="L13811">
        <v>727</v>
      </c>
      <c r="M13811" t="s">
        <v>28561</v>
      </c>
      <c r="N13811" t="s">
        <v>30</v>
      </c>
      <c r="O13811" t="s">
        <v>31</v>
      </c>
      <c r="P13811" t="str">
        <f>"15216"</f>
        <v>15216</v>
      </c>
    </row>
    <row r="13812" spans="1:16" x14ac:dyDescent="0.25">
      <c r="A13812" t="str">
        <f>"1200005P00080    00"</f>
        <v>1200005P00080    00</v>
      </c>
      <c r="B13812" t="s">
        <v>30403</v>
      </c>
      <c r="C13812" t="s">
        <v>30404</v>
      </c>
      <c r="D13812" t="s">
        <v>20</v>
      </c>
      <c r="E13812" t="s">
        <v>39</v>
      </c>
      <c r="F13812">
        <v>0</v>
      </c>
      <c r="G13812">
        <v>0</v>
      </c>
      <c r="H13812">
        <v>14</v>
      </c>
      <c r="I13812" s="3">
        <v>5273.17</v>
      </c>
      <c r="J13812" s="3">
        <v>3081.89</v>
      </c>
      <c r="L13812">
        <v>709</v>
      </c>
      <c r="M13812" t="s">
        <v>28593</v>
      </c>
      <c r="N13812" t="s">
        <v>30</v>
      </c>
      <c r="O13812" t="s">
        <v>31</v>
      </c>
      <c r="P13812" t="str">
        <f>"15216"</f>
        <v>15216</v>
      </c>
    </row>
    <row r="13813" spans="1:16" x14ac:dyDescent="0.25">
      <c r="A13813" t="str">
        <f>"1200005P00093    00"</f>
        <v>1200005P00093    00</v>
      </c>
      <c r="B13813" t="s">
        <v>30405</v>
      </c>
      <c r="C13813" t="s">
        <v>30406</v>
      </c>
      <c r="E13813" t="s">
        <v>39</v>
      </c>
      <c r="F13813">
        <v>0</v>
      </c>
      <c r="G13813">
        <v>0</v>
      </c>
      <c r="H13813">
        <v>1</v>
      </c>
      <c r="I13813" s="3">
        <v>470.35</v>
      </c>
      <c r="J13813" s="3">
        <v>282.2</v>
      </c>
      <c r="L13813">
        <v>720</v>
      </c>
      <c r="M13813" t="s">
        <v>28593</v>
      </c>
      <c r="N13813" t="s">
        <v>30</v>
      </c>
      <c r="O13813" t="s">
        <v>31</v>
      </c>
      <c r="P13813" t="str">
        <f>"15216"</f>
        <v>15216</v>
      </c>
    </row>
    <row r="13814" spans="1:16" x14ac:dyDescent="0.25">
      <c r="A13814" t="str">
        <f>"1200005P00094    00"</f>
        <v>1200005P00094    00</v>
      </c>
      <c r="B13814" t="s">
        <v>30407</v>
      </c>
      <c r="C13814" t="s">
        <v>30408</v>
      </c>
      <c r="D13814" t="s">
        <v>20</v>
      </c>
      <c r="E13814" t="s">
        <v>39</v>
      </c>
      <c r="F13814">
        <v>0</v>
      </c>
      <c r="G13814">
        <v>0</v>
      </c>
      <c r="H13814">
        <v>19</v>
      </c>
      <c r="I13814" s="3">
        <v>20269.689999999999</v>
      </c>
      <c r="J13814" s="3">
        <v>19663.03</v>
      </c>
      <c r="L13814">
        <v>716</v>
      </c>
      <c r="M13814" t="s">
        <v>29424</v>
      </c>
      <c r="N13814" t="s">
        <v>30</v>
      </c>
      <c r="O13814" t="s">
        <v>31</v>
      </c>
      <c r="P13814" t="str">
        <f>"15216"</f>
        <v>15216</v>
      </c>
    </row>
    <row r="13815" spans="1:16" x14ac:dyDescent="0.25">
      <c r="A13815" t="str">
        <f>"1200005P00146    00"</f>
        <v>1200005P00146    00</v>
      </c>
      <c r="B13815" t="s">
        <v>30409</v>
      </c>
      <c r="C13815" t="s">
        <v>30410</v>
      </c>
      <c r="D13815" t="s">
        <v>20</v>
      </c>
      <c r="E13815" t="s">
        <v>39</v>
      </c>
      <c r="F13815">
        <v>0</v>
      </c>
      <c r="G13815">
        <v>0</v>
      </c>
      <c r="H13815">
        <v>1</v>
      </c>
      <c r="I13815" s="3">
        <v>1654.41</v>
      </c>
      <c r="J13815" s="3">
        <v>0</v>
      </c>
      <c r="L13815">
        <v>304</v>
      </c>
      <c r="M13815" t="s">
        <v>23695</v>
      </c>
      <c r="N13815" t="s">
        <v>30</v>
      </c>
      <c r="O13815" t="s">
        <v>31</v>
      </c>
      <c r="P13815" t="str">
        <f>"15216"</f>
        <v>15216</v>
      </c>
    </row>
    <row r="13816" spans="1:16" x14ac:dyDescent="0.25">
      <c r="A13816" t="str">
        <f>"1200005P00151    00"</f>
        <v>1200005P00151    00</v>
      </c>
      <c r="B13816" t="s">
        <v>30411</v>
      </c>
      <c r="C13816" t="s">
        <v>30412</v>
      </c>
      <c r="D13816" t="s">
        <v>20</v>
      </c>
      <c r="E13816" t="s">
        <v>39</v>
      </c>
      <c r="F13816">
        <v>0</v>
      </c>
      <c r="G13816">
        <v>0</v>
      </c>
      <c r="H13816">
        <v>1</v>
      </c>
      <c r="I13816" s="3">
        <v>819.6</v>
      </c>
      <c r="J13816" s="3">
        <v>0</v>
      </c>
      <c r="K13816" t="s">
        <v>759</v>
      </c>
      <c r="L13816">
        <v>3001</v>
      </c>
      <c r="M13816" t="s">
        <v>404</v>
      </c>
      <c r="N13816" t="s">
        <v>331</v>
      </c>
      <c r="O13816" t="s">
        <v>108</v>
      </c>
      <c r="P13816" t="str">
        <f>"75063"</f>
        <v>75063</v>
      </c>
    </row>
    <row r="13817" spans="1:16" x14ac:dyDescent="0.25">
      <c r="A13817" t="str">
        <f>"1200005P00153    00"</f>
        <v>1200005P00153    00</v>
      </c>
      <c r="B13817" t="s">
        <v>30413</v>
      </c>
      <c r="C13817" t="s">
        <v>30414</v>
      </c>
      <c r="D13817" t="s">
        <v>20</v>
      </c>
      <c r="E13817" t="s">
        <v>39</v>
      </c>
      <c r="F13817">
        <v>0</v>
      </c>
      <c r="G13817">
        <v>0</v>
      </c>
      <c r="H13817">
        <v>4</v>
      </c>
      <c r="I13817" s="3">
        <v>3804.65</v>
      </c>
      <c r="J13817" s="3">
        <v>449.44</v>
      </c>
      <c r="K13817" t="s">
        <v>30415</v>
      </c>
      <c r="L13817">
        <v>3586</v>
      </c>
      <c r="M13817" t="s">
        <v>29637</v>
      </c>
      <c r="N13817" t="s">
        <v>3934</v>
      </c>
      <c r="O13817" t="s">
        <v>31</v>
      </c>
      <c r="P13817" t="str">
        <f>"15102"</f>
        <v>15102</v>
      </c>
    </row>
    <row r="13818" spans="1:16" x14ac:dyDescent="0.25">
      <c r="A13818" t="str">
        <f>"1200005R00025    00"</f>
        <v>1200005R00025    00</v>
      </c>
      <c r="B13818" t="s">
        <v>30394</v>
      </c>
      <c r="C13818" t="s">
        <v>30395</v>
      </c>
      <c r="D13818" t="s">
        <v>20</v>
      </c>
      <c r="E13818" t="s">
        <v>39</v>
      </c>
      <c r="F13818">
        <v>0</v>
      </c>
      <c r="G13818">
        <v>0</v>
      </c>
      <c r="H13818">
        <v>3</v>
      </c>
      <c r="I13818" s="3">
        <v>1172.22</v>
      </c>
      <c r="J13818" s="3">
        <v>78.14</v>
      </c>
      <c r="L13818">
        <v>800</v>
      </c>
      <c r="M13818" t="s">
        <v>28567</v>
      </c>
      <c r="N13818" t="s">
        <v>30</v>
      </c>
      <c r="O13818" t="s">
        <v>31</v>
      </c>
      <c r="P13818" t="str">
        <f>"15216"</f>
        <v>15216</v>
      </c>
    </row>
    <row r="13819" spans="1:16" x14ac:dyDescent="0.25">
      <c r="A13819" t="str">
        <f>"1200005R00030    00"</f>
        <v>1200005R00030    00</v>
      </c>
      <c r="B13819" t="s">
        <v>30394</v>
      </c>
      <c r="C13819" t="s">
        <v>30395</v>
      </c>
      <c r="D13819" t="s">
        <v>20</v>
      </c>
      <c r="E13819" t="s">
        <v>39</v>
      </c>
      <c r="F13819">
        <v>0</v>
      </c>
      <c r="G13819">
        <v>0</v>
      </c>
      <c r="H13819">
        <v>3</v>
      </c>
      <c r="I13819" s="3">
        <v>1063.56</v>
      </c>
      <c r="J13819" s="3">
        <v>70.900000000000006</v>
      </c>
      <c r="L13819">
        <v>800</v>
      </c>
      <c r="M13819" t="s">
        <v>28567</v>
      </c>
      <c r="N13819" t="s">
        <v>30</v>
      </c>
      <c r="O13819" t="s">
        <v>31</v>
      </c>
      <c r="P13819" t="str">
        <f>"15216"</f>
        <v>15216</v>
      </c>
    </row>
    <row r="13820" spans="1:16" x14ac:dyDescent="0.25">
      <c r="A13820" t="str">
        <f>"1200006A00085    00"</f>
        <v>1200006A00085    00</v>
      </c>
      <c r="B13820" t="s">
        <v>30416</v>
      </c>
      <c r="C13820" t="s">
        <v>30417</v>
      </c>
      <c r="D13820" t="s">
        <v>20</v>
      </c>
      <c r="E13820" t="s">
        <v>21</v>
      </c>
      <c r="F13820">
        <v>0</v>
      </c>
      <c r="G13820">
        <v>0</v>
      </c>
      <c r="H13820">
        <v>1</v>
      </c>
      <c r="I13820" s="3">
        <v>11436.02</v>
      </c>
      <c r="J13820" s="3">
        <v>0</v>
      </c>
      <c r="K13820" t="s">
        <v>30418</v>
      </c>
      <c r="L13820">
        <v>3001</v>
      </c>
      <c r="M13820" t="s">
        <v>330</v>
      </c>
      <c r="N13820" t="s">
        <v>331</v>
      </c>
      <c r="O13820" t="s">
        <v>108</v>
      </c>
      <c r="P13820" t="str">
        <f>"75063"</f>
        <v>75063</v>
      </c>
    </row>
    <row r="13821" spans="1:16" x14ac:dyDescent="0.25">
      <c r="A13821" t="str">
        <f>"1200006A00101A   00"</f>
        <v>1200006A00101A   00</v>
      </c>
      <c r="B13821" t="s">
        <v>30419</v>
      </c>
      <c r="C13821" t="s">
        <v>30420</v>
      </c>
      <c r="E13821" t="s">
        <v>39</v>
      </c>
      <c r="F13821">
        <v>0</v>
      </c>
      <c r="G13821">
        <v>0</v>
      </c>
      <c r="H13821">
        <v>2</v>
      </c>
      <c r="I13821" s="3">
        <v>13729.34</v>
      </c>
      <c r="J13821" s="3">
        <v>166.29</v>
      </c>
      <c r="K13821" t="s">
        <v>30421</v>
      </c>
      <c r="L13821">
        <v>318</v>
      </c>
      <c r="M13821" t="s">
        <v>30422</v>
      </c>
      <c r="N13821" t="s">
        <v>30</v>
      </c>
      <c r="O13821" t="s">
        <v>31</v>
      </c>
      <c r="P13821" t="str">
        <f>"15220"</f>
        <v>15220</v>
      </c>
    </row>
    <row r="13822" spans="1:16" x14ac:dyDescent="0.25">
      <c r="A13822" t="str">
        <f>"1200006A00104    00"</f>
        <v>1200006A00104    00</v>
      </c>
      <c r="B13822" t="s">
        <v>30423</v>
      </c>
      <c r="C13822" t="s">
        <v>30424</v>
      </c>
      <c r="D13822" t="s">
        <v>20</v>
      </c>
      <c r="E13822" t="s">
        <v>39</v>
      </c>
      <c r="F13822">
        <v>0</v>
      </c>
      <c r="G13822">
        <v>0</v>
      </c>
      <c r="H13822">
        <v>1</v>
      </c>
      <c r="I13822" s="3">
        <v>434.59</v>
      </c>
      <c r="J13822" s="3">
        <v>0</v>
      </c>
      <c r="L13822">
        <v>131</v>
      </c>
      <c r="M13822" t="s">
        <v>30311</v>
      </c>
      <c r="N13822" t="s">
        <v>149</v>
      </c>
      <c r="O13822" t="s">
        <v>31</v>
      </c>
      <c r="P13822" t="str">
        <f>"15106"</f>
        <v>15106</v>
      </c>
    </row>
    <row r="13823" spans="1:16" x14ac:dyDescent="0.25">
      <c r="A13823" t="str">
        <f>"1200006A00105    00"</f>
        <v>1200006A00105    00</v>
      </c>
      <c r="B13823" t="s">
        <v>30425</v>
      </c>
      <c r="C13823" t="s">
        <v>30426</v>
      </c>
      <c r="D13823" t="s">
        <v>20</v>
      </c>
      <c r="E13823" t="s">
        <v>39</v>
      </c>
      <c r="F13823">
        <v>0</v>
      </c>
      <c r="G13823">
        <v>0</v>
      </c>
      <c r="H13823">
        <v>7</v>
      </c>
      <c r="I13823" s="3">
        <v>2798.9</v>
      </c>
      <c r="J13823" s="3">
        <v>732.59</v>
      </c>
      <c r="L13823">
        <v>529</v>
      </c>
      <c r="M13823" t="s">
        <v>30427</v>
      </c>
      <c r="N13823" t="s">
        <v>30</v>
      </c>
      <c r="O13823" t="s">
        <v>31</v>
      </c>
      <c r="P13823" t="str">
        <f>"15210"</f>
        <v>15210</v>
      </c>
    </row>
    <row r="13824" spans="1:16" x14ac:dyDescent="0.25">
      <c r="A13824" t="str">
        <f>"1200006A00120    00"</f>
        <v>1200006A00120    00</v>
      </c>
      <c r="B13824" t="s">
        <v>30428</v>
      </c>
      <c r="C13824" t="s">
        <v>30429</v>
      </c>
      <c r="E13824" t="s">
        <v>290</v>
      </c>
      <c r="F13824">
        <v>0</v>
      </c>
      <c r="G13824">
        <v>0</v>
      </c>
      <c r="H13824">
        <v>1</v>
      </c>
      <c r="I13824" s="3">
        <v>247.2</v>
      </c>
      <c r="J13824" s="3">
        <v>335.76</v>
      </c>
      <c r="L13824">
        <v>327</v>
      </c>
      <c r="M13824" t="s">
        <v>25567</v>
      </c>
      <c r="N13824" t="s">
        <v>30</v>
      </c>
      <c r="O13824" t="s">
        <v>31</v>
      </c>
      <c r="P13824" t="str">
        <f>"15220"</f>
        <v>15220</v>
      </c>
    </row>
    <row r="13825" spans="1:16" x14ac:dyDescent="0.25">
      <c r="A13825" t="str">
        <f>"1200006A00172    00"</f>
        <v>1200006A00172    00</v>
      </c>
      <c r="B13825" t="s">
        <v>30430</v>
      </c>
      <c r="C13825" t="s">
        <v>30431</v>
      </c>
      <c r="D13825" t="s">
        <v>20</v>
      </c>
      <c r="E13825" t="s">
        <v>21</v>
      </c>
      <c r="F13825">
        <v>0</v>
      </c>
      <c r="G13825">
        <v>0</v>
      </c>
      <c r="H13825">
        <v>1</v>
      </c>
      <c r="I13825" s="3">
        <v>1625.83</v>
      </c>
      <c r="J13825" s="3">
        <v>0</v>
      </c>
      <c r="K13825" t="s">
        <v>30432</v>
      </c>
      <c r="L13825">
        <v>150</v>
      </c>
      <c r="M13825" t="s">
        <v>3453</v>
      </c>
      <c r="N13825" t="s">
        <v>149</v>
      </c>
      <c r="O13825" t="s">
        <v>31</v>
      </c>
      <c r="P13825" t="str">
        <f>"15106"</f>
        <v>15106</v>
      </c>
    </row>
    <row r="13826" spans="1:16" x14ac:dyDescent="0.25">
      <c r="A13826" t="str">
        <f>"1200006A00190    00"</f>
        <v>1200006A00190    00</v>
      </c>
      <c r="B13826" t="s">
        <v>30433</v>
      </c>
      <c r="C13826" t="s">
        <v>28370</v>
      </c>
      <c r="E13826" t="s">
        <v>290</v>
      </c>
      <c r="F13826">
        <v>0</v>
      </c>
      <c r="G13826">
        <v>0</v>
      </c>
      <c r="H13826">
        <v>1</v>
      </c>
      <c r="I13826" s="3">
        <v>4578.1400000000003</v>
      </c>
      <c r="J13826" s="3">
        <v>8469.2199999999993</v>
      </c>
      <c r="L13826">
        <v>733</v>
      </c>
      <c r="M13826" t="s">
        <v>30434</v>
      </c>
      <c r="N13826" t="s">
        <v>30</v>
      </c>
      <c r="O13826" t="s">
        <v>31</v>
      </c>
      <c r="P13826" t="str">
        <f>"15220"</f>
        <v>15220</v>
      </c>
    </row>
    <row r="13827" spans="1:16" x14ac:dyDescent="0.25">
      <c r="A13827" t="str">
        <f>"1200006N00040    00"</f>
        <v>1200006N00040    00</v>
      </c>
      <c r="B13827" t="s">
        <v>30435</v>
      </c>
      <c r="C13827" t="s">
        <v>30436</v>
      </c>
      <c r="D13827" t="s">
        <v>20</v>
      </c>
      <c r="E13827" t="s">
        <v>21</v>
      </c>
      <c r="F13827">
        <v>0</v>
      </c>
      <c r="G13827">
        <v>0</v>
      </c>
      <c r="H13827">
        <v>2</v>
      </c>
      <c r="I13827" s="3">
        <v>24015.599999999999</v>
      </c>
      <c r="J13827" s="3">
        <v>0</v>
      </c>
      <c r="K13827" t="s">
        <v>30437</v>
      </c>
      <c r="L13827">
        <v>225</v>
      </c>
      <c r="M13827" t="s">
        <v>841</v>
      </c>
      <c r="N13827" t="s">
        <v>30</v>
      </c>
      <c r="O13827" t="s">
        <v>31</v>
      </c>
      <c r="P13827" t="str">
        <f>"15223"</f>
        <v>15223</v>
      </c>
    </row>
    <row r="13828" spans="1:16" x14ac:dyDescent="0.25">
      <c r="A13828" t="str">
        <f>"1200006N00048    00"</f>
        <v>1200006N00048    00</v>
      </c>
      <c r="B13828" t="s">
        <v>30438</v>
      </c>
      <c r="C13828" t="s">
        <v>30439</v>
      </c>
      <c r="E13828" t="s">
        <v>39</v>
      </c>
      <c r="F13828">
        <v>0</v>
      </c>
      <c r="G13828">
        <v>0</v>
      </c>
      <c r="H13828">
        <v>1</v>
      </c>
      <c r="I13828" s="3">
        <v>71.37</v>
      </c>
      <c r="J13828" s="3">
        <v>0</v>
      </c>
      <c r="L13828">
        <v>45</v>
      </c>
      <c r="M13828" t="s">
        <v>30440</v>
      </c>
      <c r="N13828" t="s">
        <v>30</v>
      </c>
      <c r="O13828" t="s">
        <v>31</v>
      </c>
      <c r="P13828" t="str">
        <f>"15220"</f>
        <v>15220</v>
      </c>
    </row>
    <row r="13829" spans="1:16" x14ac:dyDescent="0.25">
      <c r="A13829" t="str">
        <f>"1200006N00052    00"</f>
        <v>1200006N00052    00</v>
      </c>
      <c r="B13829" t="s">
        <v>30438</v>
      </c>
      <c r="C13829" t="s">
        <v>30441</v>
      </c>
      <c r="E13829" t="s">
        <v>39</v>
      </c>
      <c r="F13829">
        <v>0</v>
      </c>
      <c r="G13829">
        <v>0</v>
      </c>
      <c r="H13829">
        <v>1</v>
      </c>
      <c r="I13829" s="3">
        <v>113.66</v>
      </c>
      <c r="J13829" s="3">
        <v>0</v>
      </c>
      <c r="L13829">
        <v>45</v>
      </c>
      <c r="M13829" t="s">
        <v>30440</v>
      </c>
      <c r="N13829" t="s">
        <v>30</v>
      </c>
      <c r="O13829" t="s">
        <v>31</v>
      </c>
      <c r="P13829" t="str">
        <f>"15220"</f>
        <v>15220</v>
      </c>
    </row>
    <row r="13830" spans="1:16" x14ac:dyDescent="0.25">
      <c r="A13830" t="str">
        <f>"1200006N00053    00"</f>
        <v>1200006N00053    00</v>
      </c>
      <c r="B13830" t="s">
        <v>30442</v>
      </c>
      <c r="C13830" t="s">
        <v>30443</v>
      </c>
      <c r="D13830" t="s">
        <v>20</v>
      </c>
      <c r="E13830" t="s">
        <v>39</v>
      </c>
      <c r="F13830">
        <v>0</v>
      </c>
      <c r="G13830">
        <v>0</v>
      </c>
      <c r="H13830">
        <v>19</v>
      </c>
      <c r="I13830" s="3">
        <v>7640.63</v>
      </c>
      <c r="J13830" s="3">
        <v>10552.33</v>
      </c>
      <c r="K13830" t="s">
        <v>30444</v>
      </c>
      <c r="L13830">
        <v>47</v>
      </c>
      <c r="M13830" t="s">
        <v>30440</v>
      </c>
      <c r="N13830" t="s">
        <v>30</v>
      </c>
      <c r="O13830" t="s">
        <v>31</v>
      </c>
      <c r="P13830" t="str">
        <f>"15220"</f>
        <v>15220</v>
      </c>
    </row>
    <row r="13831" spans="1:16" x14ac:dyDescent="0.25">
      <c r="A13831" t="str">
        <f>"1200006N00057    00"</f>
        <v>1200006N00057    00</v>
      </c>
      <c r="B13831" t="s">
        <v>30445</v>
      </c>
      <c r="C13831" t="s">
        <v>30446</v>
      </c>
      <c r="D13831" t="s">
        <v>20</v>
      </c>
      <c r="E13831" t="s">
        <v>39</v>
      </c>
      <c r="F13831">
        <v>0</v>
      </c>
      <c r="G13831">
        <v>0</v>
      </c>
      <c r="H13831">
        <v>2</v>
      </c>
      <c r="I13831" s="3">
        <v>1437.32</v>
      </c>
      <c r="J13831" s="3">
        <v>0</v>
      </c>
      <c r="L13831">
        <v>50</v>
      </c>
      <c r="M13831" t="s">
        <v>30447</v>
      </c>
      <c r="N13831" t="s">
        <v>30</v>
      </c>
      <c r="O13831" t="s">
        <v>31</v>
      </c>
      <c r="P13831" t="str">
        <f>"15220"</f>
        <v>15220</v>
      </c>
    </row>
    <row r="13832" spans="1:16" x14ac:dyDescent="0.25">
      <c r="A13832" t="str">
        <f>"1200006N00058    00"</f>
        <v>1200006N00058    00</v>
      </c>
      <c r="B13832" t="s">
        <v>30448</v>
      </c>
      <c r="C13832" t="s">
        <v>30449</v>
      </c>
      <c r="E13832" t="s">
        <v>39</v>
      </c>
      <c r="F13832">
        <v>0</v>
      </c>
      <c r="G13832">
        <v>0</v>
      </c>
      <c r="H13832">
        <v>9</v>
      </c>
      <c r="I13832" s="3">
        <v>5520.15</v>
      </c>
      <c r="J13832" s="3">
        <v>6464.92</v>
      </c>
      <c r="L13832">
        <v>53</v>
      </c>
      <c r="M13832" t="s">
        <v>30440</v>
      </c>
      <c r="N13832" t="s">
        <v>30</v>
      </c>
      <c r="O13832" t="s">
        <v>31</v>
      </c>
      <c r="P13832" t="str">
        <f>"15220"</f>
        <v>15220</v>
      </c>
    </row>
    <row r="13833" spans="1:16" x14ac:dyDescent="0.25">
      <c r="A13833" t="str">
        <f>"1200006N00059    00"</f>
        <v>1200006N00059    00</v>
      </c>
      <c r="B13833" t="s">
        <v>30450</v>
      </c>
      <c r="C13833" t="s">
        <v>30451</v>
      </c>
      <c r="D13833" t="s">
        <v>20</v>
      </c>
      <c r="E13833" t="s">
        <v>39</v>
      </c>
      <c r="F13833">
        <v>0</v>
      </c>
      <c r="G13833">
        <v>0</v>
      </c>
      <c r="H13833">
        <v>16</v>
      </c>
      <c r="I13833" s="3">
        <v>11215.86</v>
      </c>
      <c r="J13833" s="3">
        <v>7855.4</v>
      </c>
      <c r="L13833">
        <v>3307</v>
      </c>
      <c r="M13833" t="s">
        <v>30452</v>
      </c>
      <c r="N13833" t="s">
        <v>30</v>
      </c>
      <c r="O13833" t="s">
        <v>31</v>
      </c>
      <c r="P13833" t="str">
        <f>"15204"</f>
        <v>15204</v>
      </c>
    </row>
    <row r="13834" spans="1:16" x14ac:dyDescent="0.25">
      <c r="A13834" t="str">
        <f>"1200006N00062    00"</f>
        <v>1200006N00062    00</v>
      </c>
      <c r="B13834" t="s">
        <v>30453</v>
      </c>
      <c r="C13834" t="s">
        <v>30454</v>
      </c>
      <c r="E13834" t="s">
        <v>39</v>
      </c>
      <c r="F13834">
        <v>0</v>
      </c>
      <c r="G13834">
        <v>0</v>
      </c>
      <c r="H13834">
        <v>1</v>
      </c>
      <c r="I13834" s="3">
        <v>277.11</v>
      </c>
      <c r="J13834" s="3">
        <v>0</v>
      </c>
      <c r="L13834">
        <v>60</v>
      </c>
      <c r="M13834" t="s">
        <v>30447</v>
      </c>
      <c r="N13834" t="s">
        <v>30</v>
      </c>
      <c r="O13834" t="s">
        <v>31</v>
      </c>
      <c r="P13834" t="str">
        <f>"15220"</f>
        <v>15220</v>
      </c>
    </row>
    <row r="13835" spans="1:16" x14ac:dyDescent="0.25">
      <c r="A13835" t="str">
        <f>"1200006N00210    00"</f>
        <v>1200006N00210    00</v>
      </c>
      <c r="B13835" t="s">
        <v>30455</v>
      </c>
      <c r="C13835" t="s">
        <v>30456</v>
      </c>
      <c r="D13835" t="s">
        <v>20</v>
      </c>
      <c r="E13835" t="s">
        <v>21</v>
      </c>
      <c r="F13835">
        <v>0</v>
      </c>
      <c r="G13835">
        <v>0</v>
      </c>
      <c r="H13835">
        <v>2</v>
      </c>
      <c r="I13835" s="3">
        <v>1633.19</v>
      </c>
      <c r="J13835" s="3">
        <v>0</v>
      </c>
      <c r="K13835" t="s">
        <v>30457</v>
      </c>
      <c r="L13835">
        <v>394</v>
      </c>
      <c r="M13835" t="s">
        <v>30458</v>
      </c>
      <c r="N13835" t="s">
        <v>3556</v>
      </c>
      <c r="O13835" t="s">
        <v>31</v>
      </c>
      <c r="P13835" t="str">
        <f>"16117"</f>
        <v>16117</v>
      </c>
    </row>
    <row r="13836" spans="1:16" x14ac:dyDescent="0.25">
      <c r="A13836" t="str">
        <f>"1200007J00080    00"</f>
        <v>1200007J00080    00</v>
      </c>
      <c r="B13836" t="s">
        <v>30459</v>
      </c>
      <c r="C13836" t="s">
        <v>30460</v>
      </c>
      <c r="E13836" t="s">
        <v>513</v>
      </c>
      <c r="F13836">
        <v>0</v>
      </c>
      <c r="G13836">
        <v>0</v>
      </c>
      <c r="H13836">
        <v>1</v>
      </c>
      <c r="I13836" s="3">
        <v>756.67</v>
      </c>
      <c r="J13836" s="3">
        <v>1122.6400000000001</v>
      </c>
      <c r="K13836" t="s">
        <v>30461</v>
      </c>
      <c r="L13836">
        <v>100</v>
      </c>
      <c r="M13836" t="s">
        <v>30462</v>
      </c>
      <c r="N13836" t="s">
        <v>27971</v>
      </c>
      <c r="O13836" t="s">
        <v>25</v>
      </c>
      <c r="P13836" t="str">
        <f>"44613"</f>
        <v>44613</v>
      </c>
    </row>
    <row r="13837" spans="1:16" x14ac:dyDescent="0.25">
      <c r="A13837" t="str">
        <f>"1200007N00051    00"</f>
        <v>1200007N00051    00</v>
      </c>
      <c r="B13837" t="s">
        <v>30463</v>
      </c>
      <c r="C13837" t="s">
        <v>30464</v>
      </c>
      <c r="D13837" t="s">
        <v>20</v>
      </c>
      <c r="E13837" t="s">
        <v>39</v>
      </c>
      <c r="F13837">
        <v>0</v>
      </c>
      <c r="G13837">
        <v>0</v>
      </c>
      <c r="H13837">
        <v>1</v>
      </c>
      <c r="I13837" s="3">
        <v>59.1</v>
      </c>
      <c r="J13837" s="3">
        <v>0</v>
      </c>
      <c r="K13837" t="s">
        <v>30465</v>
      </c>
      <c r="L13837">
        <v>150</v>
      </c>
      <c r="M13837" t="s">
        <v>3453</v>
      </c>
      <c r="N13837" t="s">
        <v>149</v>
      </c>
      <c r="O13837" t="s">
        <v>31</v>
      </c>
      <c r="P13837" t="str">
        <f>"15106"</f>
        <v>15106</v>
      </c>
    </row>
    <row r="13838" spans="1:16" x14ac:dyDescent="0.25">
      <c r="A13838" t="str">
        <f>"1200007N00060    00"</f>
        <v>1200007N00060    00</v>
      </c>
      <c r="B13838" t="s">
        <v>30466</v>
      </c>
      <c r="C13838" t="s">
        <v>30464</v>
      </c>
      <c r="E13838" t="s">
        <v>39</v>
      </c>
      <c r="F13838">
        <v>0</v>
      </c>
      <c r="G13838">
        <v>0</v>
      </c>
      <c r="H13838">
        <v>7</v>
      </c>
      <c r="I13838" s="3">
        <v>84.75</v>
      </c>
      <c r="J13838" s="3">
        <v>115.21</v>
      </c>
      <c r="L13838">
        <v>300</v>
      </c>
      <c r="M13838" t="s">
        <v>614</v>
      </c>
      <c r="N13838" t="s">
        <v>30</v>
      </c>
      <c r="O13838" t="s">
        <v>31</v>
      </c>
      <c r="P13838" t="str">
        <f>"15222"</f>
        <v>15222</v>
      </c>
    </row>
    <row r="13839" spans="1:16" x14ac:dyDescent="0.25">
      <c r="A13839" t="str">
        <f>"1200007N00067    00"</f>
        <v>1200007N00067    00</v>
      </c>
      <c r="B13839" t="s">
        <v>30467</v>
      </c>
      <c r="C13839" t="s">
        <v>30464</v>
      </c>
      <c r="D13839" t="s">
        <v>20</v>
      </c>
      <c r="E13839" t="s">
        <v>39</v>
      </c>
      <c r="F13839">
        <v>0</v>
      </c>
      <c r="G13839">
        <v>0</v>
      </c>
      <c r="H13839">
        <v>17</v>
      </c>
      <c r="I13839" s="3">
        <v>160.88</v>
      </c>
      <c r="J13839" s="3">
        <v>152.12</v>
      </c>
      <c r="L13839">
        <v>1320</v>
      </c>
      <c r="M13839" t="s">
        <v>16891</v>
      </c>
      <c r="N13839" t="s">
        <v>30</v>
      </c>
      <c r="O13839" t="s">
        <v>31</v>
      </c>
      <c r="P13839" t="str">
        <f>"15220"</f>
        <v>15220</v>
      </c>
    </row>
    <row r="13840" spans="1:16" x14ac:dyDescent="0.25">
      <c r="A13840" t="str">
        <f>"1200007N00108    00"</f>
        <v>1200007N00108    00</v>
      </c>
      <c r="B13840" t="s">
        <v>30468</v>
      </c>
      <c r="C13840" t="s">
        <v>30464</v>
      </c>
      <c r="D13840" t="s">
        <v>20</v>
      </c>
      <c r="E13840" t="s">
        <v>39</v>
      </c>
      <c r="F13840">
        <v>0</v>
      </c>
      <c r="G13840">
        <v>0</v>
      </c>
      <c r="H13840">
        <v>1</v>
      </c>
      <c r="I13840" s="3">
        <v>135.34</v>
      </c>
      <c r="J13840" s="3">
        <v>0</v>
      </c>
      <c r="K13840" t="s">
        <v>30418</v>
      </c>
      <c r="L13840">
        <v>3001</v>
      </c>
      <c r="M13840" t="s">
        <v>330</v>
      </c>
      <c r="N13840" t="s">
        <v>331</v>
      </c>
      <c r="O13840" t="s">
        <v>108</v>
      </c>
      <c r="P13840" t="str">
        <f>"75063"</f>
        <v>75063</v>
      </c>
    </row>
    <row r="13841" spans="1:16" x14ac:dyDescent="0.25">
      <c r="A13841" t="str">
        <f>"1200007N00125    00"</f>
        <v>1200007N00125    00</v>
      </c>
      <c r="B13841" t="s">
        <v>30469</v>
      </c>
      <c r="C13841" t="s">
        <v>30470</v>
      </c>
      <c r="D13841" t="s">
        <v>20</v>
      </c>
      <c r="E13841" t="s">
        <v>39</v>
      </c>
      <c r="F13841">
        <v>0</v>
      </c>
      <c r="G13841">
        <v>0</v>
      </c>
      <c r="H13841">
        <v>1</v>
      </c>
      <c r="I13841" s="3">
        <v>162.02000000000001</v>
      </c>
      <c r="J13841" s="3">
        <v>20.25</v>
      </c>
      <c r="L13841">
        <v>77</v>
      </c>
      <c r="M13841" t="s">
        <v>30471</v>
      </c>
      <c r="N13841" t="s">
        <v>903</v>
      </c>
      <c r="O13841" t="s">
        <v>31</v>
      </c>
      <c r="P13841" t="str">
        <f>"15136"</f>
        <v>15136</v>
      </c>
    </row>
    <row r="13842" spans="1:16" x14ac:dyDescent="0.25">
      <c r="A13842" t="str">
        <f>"1200007N00161    00"</f>
        <v>1200007N00161    00</v>
      </c>
      <c r="B13842" t="s">
        <v>30472</v>
      </c>
      <c r="C13842" t="s">
        <v>30473</v>
      </c>
      <c r="D13842" t="s">
        <v>20</v>
      </c>
      <c r="E13842" t="s">
        <v>39</v>
      </c>
      <c r="F13842">
        <v>0</v>
      </c>
      <c r="G13842">
        <v>0</v>
      </c>
      <c r="H13842">
        <v>5</v>
      </c>
      <c r="I13842" s="3">
        <v>215.57</v>
      </c>
      <c r="J13842" s="3">
        <v>38.19</v>
      </c>
      <c r="L13842">
        <v>1120</v>
      </c>
      <c r="M13842" t="s">
        <v>30474</v>
      </c>
      <c r="N13842" t="s">
        <v>30475</v>
      </c>
      <c r="O13842" t="s">
        <v>9696</v>
      </c>
      <c r="P13842" t="str">
        <f>"46403"</f>
        <v>46403</v>
      </c>
    </row>
    <row r="13843" spans="1:16" x14ac:dyDescent="0.25">
      <c r="A13843" t="str">
        <f>"1200007N00163    00"</f>
        <v>1200007N00163    00</v>
      </c>
      <c r="B13843" t="s">
        <v>30469</v>
      </c>
      <c r="C13843" t="s">
        <v>30473</v>
      </c>
      <c r="D13843" t="s">
        <v>20</v>
      </c>
      <c r="E13843" t="s">
        <v>39</v>
      </c>
      <c r="F13843">
        <v>0</v>
      </c>
      <c r="G13843">
        <v>0</v>
      </c>
      <c r="H13843">
        <v>1</v>
      </c>
      <c r="I13843" s="3">
        <v>68.62</v>
      </c>
      <c r="J13843" s="3">
        <v>8.57</v>
      </c>
      <c r="L13843">
        <v>77</v>
      </c>
      <c r="M13843" t="s">
        <v>30471</v>
      </c>
      <c r="N13843" t="s">
        <v>903</v>
      </c>
      <c r="O13843" t="s">
        <v>31</v>
      </c>
      <c r="P13843" t="str">
        <f t="shared" ref="P13843:P13849" si="174">"15136"</f>
        <v>15136</v>
      </c>
    </row>
    <row r="13844" spans="1:16" x14ac:dyDescent="0.25">
      <c r="A13844" t="str">
        <f>"1200007N00169    00"</f>
        <v>1200007N00169    00</v>
      </c>
      <c r="B13844" t="s">
        <v>30469</v>
      </c>
      <c r="C13844" t="s">
        <v>30473</v>
      </c>
      <c r="D13844" t="s">
        <v>20</v>
      </c>
      <c r="E13844" t="s">
        <v>39</v>
      </c>
      <c r="F13844">
        <v>0</v>
      </c>
      <c r="G13844">
        <v>0</v>
      </c>
      <c r="H13844">
        <v>1</v>
      </c>
      <c r="I13844" s="3">
        <v>70.53</v>
      </c>
      <c r="J13844" s="3">
        <v>8.82</v>
      </c>
      <c r="L13844">
        <v>77</v>
      </c>
      <c r="M13844" t="s">
        <v>30471</v>
      </c>
      <c r="N13844" t="s">
        <v>903</v>
      </c>
      <c r="O13844" t="s">
        <v>31</v>
      </c>
      <c r="P13844" t="str">
        <f t="shared" si="174"/>
        <v>15136</v>
      </c>
    </row>
    <row r="13845" spans="1:16" x14ac:dyDescent="0.25">
      <c r="A13845" t="str">
        <f>"1200007N00183    00"</f>
        <v>1200007N00183    00</v>
      </c>
      <c r="B13845" t="s">
        <v>30476</v>
      </c>
      <c r="C13845" t="s">
        <v>30477</v>
      </c>
      <c r="D13845" t="s">
        <v>20</v>
      </c>
      <c r="E13845" t="s">
        <v>39</v>
      </c>
      <c r="F13845">
        <v>0</v>
      </c>
      <c r="G13845">
        <v>0</v>
      </c>
      <c r="H13845">
        <v>1</v>
      </c>
      <c r="I13845" s="3">
        <v>226.82</v>
      </c>
      <c r="J13845" s="3">
        <v>28.35</v>
      </c>
      <c r="L13845">
        <v>77</v>
      </c>
      <c r="M13845" t="s">
        <v>30471</v>
      </c>
      <c r="N13845" t="s">
        <v>903</v>
      </c>
      <c r="O13845" t="s">
        <v>31</v>
      </c>
      <c r="P13845" t="str">
        <f t="shared" si="174"/>
        <v>15136</v>
      </c>
    </row>
    <row r="13846" spans="1:16" x14ac:dyDescent="0.25">
      <c r="A13846" t="str">
        <f>"1200007N00184    00"</f>
        <v>1200007N00184    00</v>
      </c>
      <c r="B13846" t="s">
        <v>30476</v>
      </c>
      <c r="C13846" t="s">
        <v>30478</v>
      </c>
      <c r="D13846" t="s">
        <v>20</v>
      </c>
      <c r="E13846" t="s">
        <v>39</v>
      </c>
      <c r="F13846">
        <v>0</v>
      </c>
      <c r="G13846">
        <v>0</v>
      </c>
      <c r="H13846">
        <v>2</v>
      </c>
      <c r="I13846" s="3">
        <v>595.76</v>
      </c>
      <c r="J13846" s="3">
        <v>73.86</v>
      </c>
      <c r="K13846" t="s">
        <v>30479</v>
      </c>
      <c r="L13846">
        <v>77</v>
      </c>
      <c r="M13846" t="s">
        <v>30471</v>
      </c>
      <c r="N13846" t="s">
        <v>903</v>
      </c>
      <c r="O13846" t="s">
        <v>31</v>
      </c>
      <c r="P13846" t="str">
        <f t="shared" si="174"/>
        <v>15136</v>
      </c>
    </row>
    <row r="13847" spans="1:16" x14ac:dyDescent="0.25">
      <c r="A13847" t="str">
        <f>"1200007N00186    00"</f>
        <v>1200007N00186    00</v>
      </c>
      <c r="B13847" t="s">
        <v>30469</v>
      </c>
      <c r="C13847" t="s">
        <v>30473</v>
      </c>
      <c r="D13847" t="s">
        <v>20</v>
      </c>
      <c r="E13847" t="s">
        <v>39</v>
      </c>
      <c r="F13847">
        <v>0</v>
      </c>
      <c r="G13847">
        <v>0</v>
      </c>
      <c r="H13847">
        <v>1</v>
      </c>
      <c r="I13847" s="3">
        <v>57.18</v>
      </c>
      <c r="J13847" s="3">
        <v>7.14</v>
      </c>
      <c r="L13847">
        <v>77</v>
      </c>
      <c r="M13847" t="s">
        <v>30471</v>
      </c>
      <c r="N13847" t="s">
        <v>903</v>
      </c>
      <c r="O13847" t="s">
        <v>31</v>
      </c>
      <c r="P13847" t="str">
        <f t="shared" si="174"/>
        <v>15136</v>
      </c>
    </row>
    <row r="13848" spans="1:16" x14ac:dyDescent="0.25">
      <c r="A13848" t="str">
        <f>"1200007N00190    00"</f>
        <v>1200007N00190    00</v>
      </c>
      <c r="B13848" t="s">
        <v>30476</v>
      </c>
      <c r="C13848" t="s">
        <v>30473</v>
      </c>
      <c r="D13848" t="s">
        <v>20</v>
      </c>
      <c r="E13848" t="s">
        <v>39</v>
      </c>
      <c r="F13848">
        <v>0</v>
      </c>
      <c r="G13848">
        <v>0</v>
      </c>
      <c r="H13848">
        <v>1</v>
      </c>
      <c r="I13848" s="3">
        <v>120.09</v>
      </c>
      <c r="J13848" s="3">
        <v>15.01</v>
      </c>
      <c r="L13848">
        <v>77</v>
      </c>
      <c r="M13848" t="s">
        <v>30471</v>
      </c>
      <c r="N13848" t="s">
        <v>903</v>
      </c>
      <c r="O13848" t="s">
        <v>31</v>
      </c>
      <c r="P13848" t="str">
        <f t="shared" si="174"/>
        <v>15136</v>
      </c>
    </row>
    <row r="13849" spans="1:16" x14ac:dyDescent="0.25">
      <c r="A13849" t="str">
        <f>"1200007N00199    00"</f>
        <v>1200007N00199    00</v>
      </c>
      <c r="B13849" t="s">
        <v>30476</v>
      </c>
      <c r="C13849" t="s">
        <v>30473</v>
      </c>
      <c r="D13849" t="s">
        <v>20</v>
      </c>
      <c r="E13849" t="s">
        <v>39</v>
      </c>
      <c r="F13849">
        <v>0</v>
      </c>
      <c r="G13849">
        <v>0</v>
      </c>
      <c r="H13849">
        <v>1</v>
      </c>
      <c r="I13849" s="3">
        <v>152.47999999999999</v>
      </c>
      <c r="J13849" s="3">
        <v>19.059999999999999</v>
      </c>
      <c r="L13849">
        <v>77</v>
      </c>
      <c r="M13849" t="s">
        <v>30471</v>
      </c>
      <c r="N13849" t="s">
        <v>903</v>
      </c>
      <c r="O13849" t="s">
        <v>31</v>
      </c>
      <c r="P13849" t="str">
        <f t="shared" si="174"/>
        <v>15136</v>
      </c>
    </row>
    <row r="13850" spans="1:16" x14ac:dyDescent="0.25">
      <c r="A13850" t="str">
        <f>"1200016D00200    00"</f>
        <v>1200016D00200    00</v>
      </c>
      <c r="B13850" t="s">
        <v>30480</v>
      </c>
      <c r="C13850" t="s">
        <v>30481</v>
      </c>
      <c r="E13850" t="s">
        <v>21</v>
      </c>
      <c r="F13850">
        <v>0</v>
      </c>
      <c r="G13850">
        <v>0</v>
      </c>
      <c r="H13850">
        <v>1</v>
      </c>
      <c r="I13850" s="3">
        <v>30393.09</v>
      </c>
      <c r="J13850" s="3">
        <v>6078.37</v>
      </c>
      <c r="K13850" t="s">
        <v>30482</v>
      </c>
      <c r="L13850">
        <v>9974</v>
      </c>
      <c r="M13850" t="s">
        <v>7407</v>
      </c>
      <c r="N13850" t="s">
        <v>139</v>
      </c>
      <c r="O13850" t="s">
        <v>31</v>
      </c>
      <c r="P13850" t="str">
        <f>"15090"</f>
        <v>15090</v>
      </c>
    </row>
    <row r="13851" spans="1:16" x14ac:dyDescent="0.25">
      <c r="A13851" t="str">
        <f>"1200016E00125    00"</f>
        <v>1200016E00125    00</v>
      </c>
      <c r="B13851" t="s">
        <v>30483</v>
      </c>
      <c r="C13851" t="s">
        <v>30484</v>
      </c>
      <c r="D13851" t="s">
        <v>57</v>
      </c>
      <c r="E13851" t="s">
        <v>21</v>
      </c>
      <c r="F13851">
        <v>0</v>
      </c>
      <c r="G13851">
        <v>0</v>
      </c>
      <c r="H13851">
        <v>2</v>
      </c>
      <c r="I13851" s="3">
        <v>3376.22</v>
      </c>
      <c r="J13851" s="3">
        <v>703.34</v>
      </c>
      <c r="K13851" t="s">
        <v>30485</v>
      </c>
      <c r="L13851">
        <v>572</v>
      </c>
      <c r="M13851" t="s">
        <v>30486</v>
      </c>
      <c r="N13851" t="s">
        <v>1928</v>
      </c>
      <c r="O13851" t="s">
        <v>31</v>
      </c>
      <c r="P13851" t="str">
        <f>"15317"</f>
        <v>15317</v>
      </c>
    </row>
    <row r="13852" spans="1:16" x14ac:dyDescent="0.25">
      <c r="A13852" t="str">
        <f>"1200016F00132    00"</f>
        <v>1200016F00132    00</v>
      </c>
      <c r="B13852" t="s">
        <v>28638</v>
      </c>
      <c r="C13852" t="s">
        <v>30487</v>
      </c>
      <c r="D13852" t="s">
        <v>20</v>
      </c>
      <c r="E13852" t="s">
        <v>39</v>
      </c>
      <c r="F13852">
        <v>0</v>
      </c>
      <c r="G13852">
        <v>0</v>
      </c>
      <c r="H13852">
        <v>3</v>
      </c>
      <c r="I13852" s="3">
        <v>2508.92</v>
      </c>
      <c r="J13852" s="3">
        <v>179.09</v>
      </c>
      <c r="K13852" t="s">
        <v>28640</v>
      </c>
      <c r="L13852">
        <v>1800</v>
      </c>
      <c r="M13852" t="s">
        <v>28641</v>
      </c>
      <c r="N13852" t="s">
        <v>30</v>
      </c>
      <c r="O13852" t="s">
        <v>31</v>
      </c>
      <c r="P13852" t="str">
        <f>"15217"</f>
        <v>15217</v>
      </c>
    </row>
    <row r="13853" spans="1:16" x14ac:dyDescent="0.25">
      <c r="A13853" t="str">
        <f>"1200016F00150    00"</f>
        <v>1200016F00150    00</v>
      </c>
      <c r="B13853" t="s">
        <v>30488</v>
      </c>
      <c r="C13853" t="s">
        <v>30489</v>
      </c>
      <c r="D13853" t="s">
        <v>20</v>
      </c>
      <c r="E13853" t="s">
        <v>39</v>
      </c>
      <c r="F13853">
        <v>0</v>
      </c>
      <c r="G13853">
        <v>0</v>
      </c>
      <c r="H13853">
        <v>15</v>
      </c>
      <c r="I13853" s="3">
        <v>4464.46</v>
      </c>
      <c r="J13853" s="3">
        <v>2969.92</v>
      </c>
      <c r="L13853">
        <v>984</v>
      </c>
      <c r="M13853" t="s">
        <v>28561</v>
      </c>
      <c r="N13853" t="s">
        <v>30</v>
      </c>
      <c r="O13853" t="s">
        <v>31</v>
      </c>
      <c r="P13853" t="str">
        <f>"15216"</f>
        <v>15216</v>
      </c>
    </row>
    <row r="13854" spans="1:16" x14ac:dyDescent="0.25">
      <c r="A13854" t="str">
        <f>"1200016J00013    00"</f>
        <v>1200016J00013    00</v>
      </c>
      <c r="B13854" t="s">
        <v>30490</v>
      </c>
      <c r="C13854" t="s">
        <v>30491</v>
      </c>
      <c r="E13854" t="s">
        <v>21</v>
      </c>
      <c r="F13854">
        <v>0</v>
      </c>
      <c r="G13854">
        <v>0</v>
      </c>
      <c r="H13854">
        <v>1</v>
      </c>
      <c r="I13854" s="3">
        <v>114.8</v>
      </c>
      <c r="J13854" s="3">
        <v>2.87</v>
      </c>
      <c r="K13854" t="s">
        <v>30492</v>
      </c>
      <c r="L13854">
        <v>1001</v>
      </c>
      <c r="M13854" t="s">
        <v>30493</v>
      </c>
      <c r="N13854" t="s">
        <v>30</v>
      </c>
      <c r="O13854" t="s">
        <v>31</v>
      </c>
      <c r="P13854" t="str">
        <f>"15216"</f>
        <v>15216</v>
      </c>
    </row>
    <row r="13855" spans="1:16" x14ac:dyDescent="0.25">
      <c r="A13855" t="str">
        <f>"1200016J00096    00"</f>
        <v>1200016J00096    00</v>
      </c>
      <c r="B13855" t="s">
        <v>30494</v>
      </c>
      <c r="C13855" t="s">
        <v>28613</v>
      </c>
      <c r="D13855" t="s">
        <v>20</v>
      </c>
      <c r="E13855" t="s">
        <v>21</v>
      </c>
      <c r="F13855">
        <v>0</v>
      </c>
      <c r="G13855">
        <v>0</v>
      </c>
      <c r="H13855">
        <v>2</v>
      </c>
      <c r="I13855" s="3">
        <v>2343.89</v>
      </c>
      <c r="J13855" s="3">
        <v>0</v>
      </c>
      <c r="L13855">
        <v>807</v>
      </c>
      <c r="M13855" t="s">
        <v>28635</v>
      </c>
      <c r="N13855" t="s">
        <v>30</v>
      </c>
      <c r="O13855" t="s">
        <v>31</v>
      </c>
      <c r="P13855" t="str">
        <f>"15216"</f>
        <v>15216</v>
      </c>
    </row>
    <row r="13856" spans="1:16" x14ac:dyDescent="0.25">
      <c r="A13856" t="str">
        <f>"1200016K00010    00"</f>
        <v>1200016K00010    00</v>
      </c>
      <c r="B13856" t="s">
        <v>30495</v>
      </c>
      <c r="C13856" t="s">
        <v>30496</v>
      </c>
      <c r="D13856" t="s">
        <v>20</v>
      </c>
      <c r="E13856" t="s">
        <v>21</v>
      </c>
      <c r="F13856">
        <v>0</v>
      </c>
      <c r="G13856">
        <v>0</v>
      </c>
      <c r="H13856">
        <v>2</v>
      </c>
      <c r="I13856" s="3">
        <v>7095.74</v>
      </c>
      <c r="J13856" s="3">
        <v>0</v>
      </c>
      <c r="L13856">
        <v>807</v>
      </c>
      <c r="M13856" t="s">
        <v>28635</v>
      </c>
      <c r="N13856" t="s">
        <v>30</v>
      </c>
      <c r="O13856" t="s">
        <v>31</v>
      </c>
      <c r="P13856" t="str">
        <f>"15216"</f>
        <v>15216</v>
      </c>
    </row>
    <row r="13857" spans="1:16" x14ac:dyDescent="0.25">
      <c r="A13857" t="str">
        <f>"1200016N00110    00"</f>
        <v>1200016N00110    00</v>
      </c>
      <c r="B13857" t="s">
        <v>30497</v>
      </c>
      <c r="C13857" t="s">
        <v>30498</v>
      </c>
      <c r="D13857" t="s">
        <v>20</v>
      </c>
      <c r="E13857" t="s">
        <v>21</v>
      </c>
      <c r="F13857">
        <v>0</v>
      </c>
      <c r="G13857">
        <v>0</v>
      </c>
      <c r="H13857">
        <v>16</v>
      </c>
      <c r="I13857" s="3">
        <v>25443.95</v>
      </c>
      <c r="J13857" s="3">
        <v>18883.009999999998</v>
      </c>
      <c r="L13857">
        <v>1</v>
      </c>
      <c r="M13857" t="s">
        <v>30499</v>
      </c>
      <c r="N13857" t="s">
        <v>16695</v>
      </c>
      <c r="O13857" t="s">
        <v>495</v>
      </c>
      <c r="P13857" t="str">
        <f>"92618"</f>
        <v>92618</v>
      </c>
    </row>
    <row r="13858" spans="1:16" x14ac:dyDescent="0.25">
      <c r="A13858" t="str">
        <f>"1200017M00002    00"</f>
        <v>1200017M00002    00</v>
      </c>
      <c r="B13858" t="s">
        <v>30500</v>
      </c>
      <c r="C13858" t="s">
        <v>23601</v>
      </c>
      <c r="D13858" t="s">
        <v>20</v>
      </c>
      <c r="E13858" t="s">
        <v>39</v>
      </c>
      <c r="F13858">
        <v>0</v>
      </c>
      <c r="G13858">
        <v>0</v>
      </c>
      <c r="H13858">
        <v>5</v>
      </c>
      <c r="I13858" s="3">
        <v>2891.98</v>
      </c>
      <c r="J13858" s="3">
        <v>499.62</v>
      </c>
      <c r="L13858">
        <v>122</v>
      </c>
      <c r="M13858" t="s">
        <v>30501</v>
      </c>
      <c r="N13858" t="s">
        <v>4959</v>
      </c>
      <c r="O13858" t="s">
        <v>31</v>
      </c>
      <c r="P13858" t="str">
        <f>"15658"</f>
        <v>15658</v>
      </c>
    </row>
    <row r="13859" spans="1:16" x14ac:dyDescent="0.25">
      <c r="A13859" t="str">
        <f>"1200017M00025    00"</f>
        <v>1200017M00025    00</v>
      </c>
      <c r="B13859" t="s">
        <v>30502</v>
      </c>
      <c r="C13859" t="s">
        <v>30503</v>
      </c>
      <c r="D13859" t="s">
        <v>20</v>
      </c>
      <c r="E13859" t="s">
        <v>39</v>
      </c>
      <c r="F13859">
        <v>0</v>
      </c>
      <c r="G13859">
        <v>0</v>
      </c>
      <c r="H13859">
        <v>19</v>
      </c>
      <c r="I13859" s="3">
        <v>12955.17</v>
      </c>
      <c r="J13859" s="3">
        <v>11393.16</v>
      </c>
      <c r="K13859" t="s">
        <v>30504</v>
      </c>
      <c r="L13859">
        <v>321</v>
      </c>
      <c r="M13859" t="s">
        <v>30505</v>
      </c>
      <c r="N13859" t="s">
        <v>30</v>
      </c>
      <c r="O13859" t="s">
        <v>31</v>
      </c>
      <c r="P13859" t="str">
        <f>"15216"</f>
        <v>15216</v>
      </c>
    </row>
    <row r="13860" spans="1:16" x14ac:dyDescent="0.25">
      <c r="A13860" t="str">
        <f>"1200017P00122000100"</f>
        <v>1200017P00122000100</v>
      </c>
      <c r="B13860" t="s">
        <v>30506</v>
      </c>
      <c r="C13860" t="s">
        <v>30507</v>
      </c>
      <c r="D13860" t="s">
        <v>20</v>
      </c>
      <c r="E13860" t="s">
        <v>39</v>
      </c>
      <c r="F13860">
        <v>0</v>
      </c>
      <c r="G13860">
        <v>0</v>
      </c>
      <c r="H13860">
        <v>19</v>
      </c>
      <c r="I13860" s="3">
        <v>910.41</v>
      </c>
      <c r="J13860" s="3">
        <v>931.13</v>
      </c>
      <c r="K13860" t="s">
        <v>1008</v>
      </c>
      <c r="P13860" t="str">
        <f>""</f>
        <v/>
      </c>
    </row>
    <row r="13861" spans="1:16" x14ac:dyDescent="0.25">
      <c r="A13861" t="str">
        <f>"1200018B00046    00"</f>
        <v>1200018B00046    00</v>
      </c>
      <c r="B13861" t="s">
        <v>30508</v>
      </c>
      <c r="C13861" t="s">
        <v>30509</v>
      </c>
      <c r="E13861" t="s">
        <v>39</v>
      </c>
      <c r="F13861">
        <v>0</v>
      </c>
      <c r="G13861">
        <v>0</v>
      </c>
      <c r="H13861">
        <v>1</v>
      </c>
      <c r="I13861" s="3">
        <v>107.95</v>
      </c>
      <c r="J13861" s="3">
        <v>113.34</v>
      </c>
      <c r="K13861" t="s">
        <v>30510</v>
      </c>
      <c r="L13861">
        <v>4056</v>
      </c>
      <c r="M13861" t="s">
        <v>30511</v>
      </c>
      <c r="N13861" t="s">
        <v>171</v>
      </c>
      <c r="O13861" t="s">
        <v>31</v>
      </c>
      <c r="P13861" t="str">
        <f>"15057"</f>
        <v>15057</v>
      </c>
    </row>
    <row r="13862" spans="1:16" x14ac:dyDescent="0.25">
      <c r="A13862" t="str">
        <f>"1200018B00100    00"</f>
        <v>1200018B00100    00</v>
      </c>
      <c r="B13862" t="s">
        <v>30512</v>
      </c>
      <c r="C13862" t="s">
        <v>30513</v>
      </c>
      <c r="E13862" t="s">
        <v>39</v>
      </c>
      <c r="F13862">
        <v>0</v>
      </c>
      <c r="G13862">
        <v>0</v>
      </c>
      <c r="H13862">
        <v>1</v>
      </c>
      <c r="I13862" s="3">
        <v>238.03</v>
      </c>
      <c r="J13862" s="3">
        <v>47.6</v>
      </c>
      <c r="K13862" t="s">
        <v>30514</v>
      </c>
      <c r="L13862">
        <v>1055</v>
      </c>
      <c r="M13862" t="s">
        <v>30515</v>
      </c>
      <c r="N13862" t="s">
        <v>30</v>
      </c>
      <c r="O13862" t="s">
        <v>31</v>
      </c>
      <c r="P13862" t="str">
        <f>"15220"</f>
        <v>15220</v>
      </c>
    </row>
    <row r="13863" spans="1:16" x14ac:dyDescent="0.25">
      <c r="A13863" t="str">
        <f>"1200018B00157    00"</f>
        <v>1200018B00157    00</v>
      </c>
      <c r="B13863" t="s">
        <v>30516</v>
      </c>
      <c r="C13863" t="s">
        <v>30517</v>
      </c>
      <c r="D13863" t="s">
        <v>20</v>
      </c>
      <c r="E13863" t="s">
        <v>39</v>
      </c>
      <c r="F13863">
        <v>0</v>
      </c>
      <c r="G13863">
        <v>0</v>
      </c>
      <c r="H13863">
        <v>2</v>
      </c>
      <c r="I13863" s="3">
        <v>5457.83</v>
      </c>
      <c r="J13863" s="3">
        <v>0</v>
      </c>
      <c r="K13863" t="s">
        <v>8393</v>
      </c>
      <c r="M13863" t="s">
        <v>8394</v>
      </c>
      <c r="N13863" t="s">
        <v>8395</v>
      </c>
      <c r="O13863" t="s">
        <v>1616</v>
      </c>
      <c r="P13863" t="str">
        <f>"57709"</f>
        <v>57709</v>
      </c>
    </row>
    <row r="13864" spans="1:16" x14ac:dyDescent="0.25">
      <c r="A13864" t="str">
        <f>"1200018C00105    00"</f>
        <v>1200018C00105    00</v>
      </c>
      <c r="B13864" t="s">
        <v>30518</v>
      </c>
      <c r="C13864" t="s">
        <v>30519</v>
      </c>
      <c r="D13864" t="s">
        <v>20</v>
      </c>
      <c r="E13864" t="s">
        <v>39</v>
      </c>
      <c r="F13864">
        <v>0</v>
      </c>
      <c r="G13864">
        <v>0</v>
      </c>
      <c r="H13864">
        <v>3</v>
      </c>
      <c r="I13864" s="3">
        <v>3604.44</v>
      </c>
      <c r="J13864" s="3">
        <v>106.19</v>
      </c>
      <c r="L13864">
        <v>176</v>
      </c>
      <c r="M13864" t="s">
        <v>30520</v>
      </c>
      <c r="N13864" t="s">
        <v>30</v>
      </c>
      <c r="O13864" t="s">
        <v>31</v>
      </c>
      <c r="P13864" t="str">
        <f>"15220"</f>
        <v>15220</v>
      </c>
    </row>
    <row r="13865" spans="1:16" x14ac:dyDescent="0.25">
      <c r="A13865" t="str">
        <f>"1200018C00188    00"</f>
        <v>1200018C00188    00</v>
      </c>
      <c r="B13865" t="s">
        <v>30521</v>
      </c>
      <c r="C13865" t="s">
        <v>30522</v>
      </c>
      <c r="D13865" t="s">
        <v>20</v>
      </c>
      <c r="E13865" t="s">
        <v>39</v>
      </c>
      <c r="F13865">
        <v>0</v>
      </c>
      <c r="G13865">
        <v>0</v>
      </c>
      <c r="H13865">
        <v>1</v>
      </c>
      <c r="I13865" s="3">
        <v>1044.96</v>
      </c>
      <c r="J13865" s="3">
        <v>0</v>
      </c>
      <c r="L13865">
        <v>508</v>
      </c>
      <c r="M13865" t="s">
        <v>30523</v>
      </c>
      <c r="N13865" t="s">
        <v>30</v>
      </c>
      <c r="O13865" t="s">
        <v>31</v>
      </c>
      <c r="P13865" t="str">
        <f>"15220"</f>
        <v>15220</v>
      </c>
    </row>
    <row r="13866" spans="1:16" x14ac:dyDescent="0.25">
      <c r="A13866" t="str">
        <f>"1200018C00204    00"</f>
        <v>1200018C00204    00</v>
      </c>
      <c r="B13866" t="s">
        <v>30524</v>
      </c>
      <c r="C13866" t="s">
        <v>30525</v>
      </c>
      <c r="D13866" t="s">
        <v>20</v>
      </c>
      <c r="E13866" t="s">
        <v>39</v>
      </c>
      <c r="F13866">
        <v>0</v>
      </c>
      <c r="G13866">
        <v>0</v>
      </c>
      <c r="H13866">
        <v>9</v>
      </c>
      <c r="I13866" s="3">
        <v>7641.56</v>
      </c>
      <c r="J13866" s="3">
        <v>2689.85</v>
      </c>
      <c r="L13866">
        <v>540</v>
      </c>
      <c r="M13866" t="s">
        <v>30523</v>
      </c>
      <c r="N13866" t="s">
        <v>30</v>
      </c>
      <c r="O13866" t="s">
        <v>31</v>
      </c>
      <c r="P13866" t="str">
        <f>"15220"</f>
        <v>15220</v>
      </c>
    </row>
    <row r="13867" spans="1:16" x14ac:dyDescent="0.25">
      <c r="A13867" t="str">
        <f>"1200018D00037    00"</f>
        <v>1200018D00037    00</v>
      </c>
      <c r="B13867" t="s">
        <v>30526</v>
      </c>
      <c r="C13867" t="s">
        <v>30527</v>
      </c>
      <c r="E13867" t="s">
        <v>39</v>
      </c>
      <c r="F13867">
        <v>0</v>
      </c>
      <c r="G13867">
        <v>0</v>
      </c>
      <c r="H13867">
        <v>1</v>
      </c>
      <c r="I13867" s="3">
        <v>372.67</v>
      </c>
      <c r="J13867" s="3">
        <v>0</v>
      </c>
      <c r="K13867" t="s">
        <v>30528</v>
      </c>
      <c r="L13867">
        <v>2003</v>
      </c>
      <c r="M13867" t="s">
        <v>30529</v>
      </c>
      <c r="N13867" t="s">
        <v>625</v>
      </c>
      <c r="O13867" t="s">
        <v>31</v>
      </c>
      <c r="P13867" t="str">
        <f>"15108"</f>
        <v>15108</v>
      </c>
    </row>
    <row r="13868" spans="1:16" x14ac:dyDescent="0.25">
      <c r="A13868" t="str">
        <f>"1200018D00201    00"</f>
        <v>1200018D00201    00</v>
      </c>
      <c r="B13868" t="s">
        <v>30530</v>
      </c>
      <c r="C13868" t="s">
        <v>30531</v>
      </c>
      <c r="D13868" t="s">
        <v>20</v>
      </c>
      <c r="E13868" t="s">
        <v>39</v>
      </c>
      <c r="F13868">
        <v>0</v>
      </c>
      <c r="G13868">
        <v>0</v>
      </c>
      <c r="H13868">
        <v>19</v>
      </c>
      <c r="I13868" s="3">
        <v>3473.94</v>
      </c>
      <c r="J13868" s="3">
        <v>1989.09</v>
      </c>
      <c r="K13868" t="s">
        <v>30532</v>
      </c>
      <c r="L13868">
        <v>988</v>
      </c>
      <c r="M13868" t="s">
        <v>30533</v>
      </c>
      <c r="N13868" t="s">
        <v>30</v>
      </c>
      <c r="O13868" t="s">
        <v>31</v>
      </c>
      <c r="P13868" t="str">
        <f t="shared" ref="P13868:P13873" si="175">"15237"</f>
        <v>15237</v>
      </c>
    </row>
    <row r="13869" spans="1:16" x14ac:dyDescent="0.25">
      <c r="A13869" t="str">
        <f>"1200018D00202    00"</f>
        <v>1200018D00202    00</v>
      </c>
      <c r="B13869" t="s">
        <v>30530</v>
      </c>
      <c r="C13869" t="s">
        <v>30531</v>
      </c>
      <c r="D13869" t="s">
        <v>20</v>
      </c>
      <c r="E13869" t="s">
        <v>39</v>
      </c>
      <c r="F13869">
        <v>0</v>
      </c>
      <c r="G13869">
        <v>0</v>
      </c>
      <c r="H13869">
        <v>19</v>
      </c>
      <c r="I13869" s="3">
        <v>1910.1</v>
      </c>
      <c r="J13869" s="3">
        <v>1247.27</v>
      </c>
      <c r="L13869">
        <v>988</v>
      </c>
      <c r="M13869" t="s">
        <v>13488</v>
      </c>
      <c r="N13869" t="s">
        <v>30</v>
      </c>
      <c r="O13869" t="s">
        <v>31</v>
      </c>
      <c r="P13869" t="str">
        <f t="shared" si="175"/>
        <v>15237</v>
      </c>
    </row>
    <row r="13870" spans="1:16" x14ac:dyDescent="0.25">
      <c r="A13870" t="str">
        <f>"1200018D00204    00"</f>
        <v>1200018D00204    00</v>
      </c>
      <c r="B13870" t="s">
        <v>30530</v>
      </c>
      <c r="C13870" t="s">
        <v>30531</v>
      </c>
      <c r="D13870" t="s">
        <v>20</v>
      </c>
      <c r="E13870" t="s">
        <v>39</v>
      </c>
      <c r="F13870">
        <v>0</v>
      </c>
      <c r="G13870">
        <v>0</v>
      </c>
      <c r="H13870">
        <v>19</v>
      </c>
      <c r="I13870" s="3">
        <v>2622.22</v>
      </c>
      <c r="J13870" s="3">
        <v>1670.42</v>
      </c>
      <c r="L13870">
        <v>988</v>
      </c>
      <c r="M13870" t="s">
        <v>13488</v>
      </c>
      <c r="N13870" t="s">
        <v>30</v>
      </c>
      <c r="O13870" t="s">
        <v>31</v>
      </c>
      <c r="P13870" t="str">
        <f t="shared" si="175"/>
        <v>15237</v>
      </c>
    </row>
    <row r="13871" spans="1:16" x14ac:dyDescent="0.25">
      <c r="A13871" t="str">
        <f>"1200018D00207    00"</f>
        <v>1200018D00207    00</v>
      </c>
      <c r="B13871" t="s">
        <v>30530</v>
      </c>
      <c r="C13871" t="s">
        <v>30531</v>
      </c>
      <c r="D13871" t="s">
        <v>20</v>
      </c>
      <c r="E13871" t="s">
        <v>39</v>
      </c>
      <c r="F13871">
        <v>0</v>
      </c>
      <c r="G13871">
        <v>0</v>
      </c>
      <c r="H13871">
        <v>19</v>
      </c>
      <c r="I13871" s="3">
        <v>7091.1</v>
      </c>
      <c r="J13871" s="3">
        <v>4166.6099999999997</v>
      </c>
      <c r="L13871">
        <v>988</v>
      </c>
      <c r="M13871" t="s">
        <v>13488</v>
      </c>
      <c r="N13871" t="s">
        <v>30</v>
      </c>
      <c r="O13871" t="s">
        <v>31</v>
      </c>
      <c r="P13871" t="str">
        <f t="shared" si="175"/>
        <v>15237</v>
      </c>
    </row>
    <row r="13872" spans="1:16" x14ac:dyDescent="0.25">
      <c r="A13872" t="str">
        <f>"1200018D00212    00"</f>
        <v>1200018D00212    00</v>
      </c>
      <c r="B13872" t="s">
        <v>30530</v>
      </c>
      <c r="C13872" t="s">
        <v>30531</v>
      </c>
      <c r="D13872" t="s">
        <v>20</v>
      </c>
      <c r="E13872" t="s">
        <v>39</v>
      </c>
      <c r="F13872">
        <v>0</v>
      </c>
      <c r="G13872">
        <v>0</v>
      </c>
      <c r="H13872">
        <v>19</v>
      </c>
      <c r="I13872" s="3">
        <v>7199.56</v>
      </c>
      <c r="J13872" s="3">
        <v>4331.5200000000004</v>
      </c>
      <c r="L13872">
        <v>988</v>
      </c>
      <c r="M13872" t="s">
        <v>13488</v>
      </c>
      <c r="N13872" t="s">
        <v>30</v>
      </c>
      <c r="O13872" t="s">
        <v>31</v>
      </c>
      <c r="P13872" t="str">
        <f t="shared" si="175"/>
        <v>15237</v>
      </c>
    </row>
    <row r="13873" spans="1:16" x14ac:dyDescent="0.25">
      <c r="A13873" t="str">
        <f>"1200018D00213    00"</f>
        <v>1200018D00213    00</v>
      </c>
      <c r="B13873" t="s">
        <v>30534</v>
      </c>
      <c r="C13873" t="s">
        <v>30531</v>
      </c>
      <c r="D13873" t="s">
        <v>20</v>
      </c>
      <c r="E13873" t="s">
        <v>39</v>
      </c>
      <c r="F13873">
        <v>0</v>
      </c>
      <c r="G13873">
        <v>0</v>
      </c>
      <c r="H13873">
        <v>19</v>
      </c>
      <c r="I13873" s="3">
        <v>1261.52</v>
      </c>
      <c r="J13873" s="3">
        <v>860.39</v>
      </c>
      <c r="K13873" t="s">
        <v>30532</v>
      </c>
      <c r="L13873">
        <v>988</v>
      </c>
      <c r="M13873" t="s">
        <v>30533</v>
      </c>
      <c r="N13873" t="s">
        <v>30</v>
      </c>
      <c r="O13873" t="s">
        <v>31</v>
      </c>
      <c r="P13873" t="str">
        <f t="shared" si="175"/>
        <v>15237</v>
      </c>
    </row>
    <row r="13874" spans="1:16" x14ac:dyDescent="0.25">
      <c r="A13874" t="str">
        <f>"1200018D00229    00"</f>
        <v>1200018D00229    00</v>
      </c>
      <c r="B13874" t="s">
        <v>30535</v>
      </c>
      <c r="C13874" t="s">
        <v>30536</v>
      </c>
      <c r="D13874" t="s">
        <v>20</v>
      </c>
      <c r="E13874" t="s">
        <v>39</v>
      </c>
      <c r="F13874">
        <v>0</v>
      </c>
      <c r="G13874">
        <v>0</v>
      </c>
      <c r="H13874">
        <v>19</v>
      </c>
      <c r="I13874" s="3">
        <v>542.91</v>
      </c>
      <c r="J13874" s="3">
        <v>601.91999999999996</v>
      </c>
      <c r="K13874" t="s">
        <v>1037</v>
      </c>
      <c r="L13874">
        <v>306</v>
      </c>
      <c r="M13874" t="s">
        <v>30537</v>
      </c>
      <c r="N13874" t="s">
        <v>30</v>
      </c>
      <c r="O13874" t="s">
        <v>31</v>
      </c>
      <c r="P13874" t="str">
        <f>"15220"</f>
        <v>15220</v>
      </c>
    </row>
    <row r="13875" spans="1:16" x14ac:dyDescent="0.25">
      <c r="A13875" t="str">
        <f>"1200018D00231    00"</f>
        <v>1200018D00231    00</v>
      </c>
      <c r="B13875" t="s">
        <v>30538</v>
      </c>
      <c r="C13875" t="s">
        <v>30536</v>
      </c>
      <c r="D13875" t="s">
        <v>20</v>
      </c>
      <c r="E13875" t="s">
        <v>39</v>
      </c>
      <c r="F13875">
        <v>0</v>
      </c>
      <c r="G13875">
        <v>0</v>
      </c>
      <c r="H13875">
        <v>14</v>
      </c>
      <c r="I13875" s="3">
        <v>2186.7600000000002</v>
      </c>
      <c r="J13875" s="3">
        <v>1222.46</v>
      </c>
      <c r="L13875">
        <v>136</v>
      </c>
      <c r="M13875" t="s">
        <v>2066</v>
      </c>
      <c r="N13875" t="s">
        <v>30</v>
      </c>
      <c r="O13875" t="s">
        <v>31</v>
      </c>
      <c r="P13875" t="str">
        <f>"15220"</f>
        <v>15220</v>
      </c>
    </row>
    <row r="13876" spans="1:16" x14ac:dyDescent="0.25">
      <c r="A13876" t="str">
        <f>"1200018D00232    00"</f>
        <v>1200018D00232    00</v>
      </c>
      <c r="B13876" t="s">
        <v>30538</v>
      </c>
      <c r="C13876" t="s">
        <v>30536</v>
      </c>
      <c r="D13876" t="s">
        <v>20</v>
      </c>
      <c r="E13876" t="s">
        <v>39</v>
      </c>
      <c r="F13876">
        <v>0</v>
      </c>
      <c r="G13876">
        <v>0</v>
      </c>
      <c r="H13876">
        <v>15</v>
      </c>
      <c r="I13876" s="3">
        <v>1416.78</v>
      </c>
      <c r="J13876" s="3">
        <v>847.18</v>
      </c>
      <c r="L13876">
        <v>136</v>
      </c>
      <c r="M13876" t="s">
        <v>2066</v>
      </c>
      <c r="N13876" t="s">
        <v>30</v>
      </c>
      <c r="O13876" t="s">
        <v>31</v>
      </c>
      <c r="P13876" t="str">
        <f>"15220"</f>
        <v>15220</v>
      </c>
    </row>
    <row r="13877" spans="1:16" x14ac:dyDescent="0.25">
      <c r="A13877" t="str">
        <f>"1200018D00233    00"</f>
        <v>1200018D00233    00</v>
      </c>
      <c r="B13877" t="s">
        <v>30538</v>
      </c>
      <c r="C13877" t="s">
        <v>30536</v>
      </c>
      <c r="D13877" t="s">
        <v>20</v>
      </c>
      <c r="E13877" t="s">
        <v>39</v>
      </c>
      <c r="F13877">
        <v>0</v>
      </c>
      <c r="G13877">
        <v>0</v>
      </c>
      <c r="H13877">
        <v>12</v>
      </c>
      <c r="I13877" s="3">
        <v>3300.9</v>
      </c>
      <c r="J13877" s="3">
        <v>1736.31</v>
      </c>
      <c r="L13877">
        <v>136</v>
      </c>
      <c r="M13877" t="s">
        <v>2066</v>
      </c>
      <c r="N13877" t="s">
        <v>30</v>
      </c>
      <c r="O13877" t="s">
        <v>31</v>
      </c>
      <c r="P13877" t="str">
        <f>"15220"</f>
        <v>15220</v>
      </c>
    </row>
    <row r="13878" spans="1:16" x14ac:dyDescent="0.25">
      <c r="A13878" t="str">
        <f>"1200018G00045    00"</f>
        <v>1200018G00045    00</v>
      </c>
      <c r="B13878" t="s">
        <v>30539</v>
      </c>
      <c r="C13878" t="s">
        <v>30540</v>
      </c>
      <c r="D13878" t="s">
        <v>20</v>
      </c>
      <c r="E13878" t="s">
        <v>39</v>
      </c>
      <c r="F13878">
        <v>0</v>
      </c>
      <c r="G13878">
        <v>0</v>
      </c>
      <c r="H13878">
        <v>2</v>
      </c>
      <c r="I13878" s="3">
        <v>1057.3699999999999</v>
      </c>
      <c r="J13878" s="3">
        <v>400.22</v>
      </c>
      <c r="K13878" t="s">
        <v>30541</v>
      </c>
      <c r="L13878">
        <v>1192</v>
      </c>
      <c r="M13878" t="s">
        <v>4537</v>
      </c>
      <c r="N13878" t="s">
        <v>30</v>
      </c>
      <c r="O13878" t="s">
        <v>31</v>
      </c>
      <c r="P13878" t="str">
        <f>"15220"</f>
        <v>15220</v>
      </c>
    </row>
    <row r="13879" spans="1:16" x14ac:dyDescent="0.25">
      <c r="A13879" t="str">
        <f>"1200018G00060    00"</f>
        <v>1200018G00060    00</v>
      </c>
      <c r="B13879" t="s">
        <v>30542</v>
      </c>
      <c r="C13879" t="s">
        <v>30543</v>
      </c>
      <c r="D13879" t="s">
        <v>20</v>
      </c>
      <c r="E13879" t="s">
        <v>39</v>
      </c>
      <c r="F13879">
        <v>0</v>
      </c>
      <c r="G13879">
        <v>0</v>
      </c>
      <c r="H13879">
        <v>14</v>
      </c>
      <c r="I13879" s="3">
        <v>1855.25</v>
      </c>
      <c r="J13879" s="3">
        <v>1041.95</v>
      </c>
      <c r="M13879" t="s">
        <v>30544</v>
      </c>
      <c r="N13879" t="s">
        <v>30545</v>
      </c>
      <c r="O13879" t="s">
        <v>273</v>
      </c>
      <c r="P13879" t="str">
        <f>"29901"</f>
        <v>29901</v>
      </c>
    </row>
    <row r="13880" spans="1:16" x14ac:dyDescent="0.25">
      <c r="A13880" t="str">
        <f>"1200018G00075    00"</f>
        <v>1200018G00075    00</v>
      </c>
      <c r="B13880" t="s">
        <v>30546</v>
      </c>
      <c r="C13880" t="s">
        <v>30547</v>
      </c>
      <c r="D13880" t="s">
        <v>20</v>
      </c>
      <c r="E13880" t="s">
        <v>39</v>
      </c>
      <c r="F13880">
        <v>0</v>
      </c>
      <c r="G13880">
        <v>0</v>
      </c>
      <c r="H13880">
        <v>11</v>
      </c>
      <c r="I13880" s="3">
        <v>39.090000000000003</v>
      </c>
      <c r="J13880" s="3">
        <v>22.87</v>
      </c>
      <c r="K13880" t="s">
        <v>30548</v>
      </c>
      <c r="L13880">
        <v>155</v>
      </c>
      <c r="M13880" t="s">
        <v>30549</v>
      </c>
      <c r="N13880" t="s">
        <v>30</v>
      </c>
      <c r="O13880" t="s">
        <v>31</v>
      </c>
      <c r="P13880" t="str">
        <f>"15211"</f>
        <v>15211</v>
      </c>
    </row>
    <row r="13881" spans="1:16" x14ac:dyDescent="0.25">
      <c r="A13881" t="str">
        <f>"1200018G00076    00"</f>
        <v>1200018G00076    00</v>
      </c>
      <c r="B13881" t="s">
        <v>30550</v>
      </c>
      <c r="C13881" t="s">
        <v>30551</v>
      </c>
      <c r="D13881" t="s">
        <v>20</v>
      </c>
      <c r="E13881" t="s">
        <v>39</v>
      </c>
      <c r="F13881">
        <v>0</v>
      </c>
      <c r="G13881">
        <v>0</v>
      </c>
      <c r="H13881">
        <v>4</v>
      </c>
      <c r="I13881" s="3">
        <v>4055.26</v>
      </c>
      <c r="J13881" s="3">
        <v>479.04</v>
      </c>
      <c r="L13881">
        <v>4717</v>
      </c>
      <c r="M13881" t="s">
        <v>614</v>
      </c>
      <c r="N13881" t="s">
        <v>30</v>
      </c>
      <c r="O13881" t="s">
        <v>31</v>
      </c>
      <c r="P13881" t="str">
        <f>"15224"</f>
        <v>15224</v>
      </c>
    </row>
    <row r="13882" spans="1:16" x14ac:dyDescent="0.25">
      <c r="A13882" t="str">
        <f>"1200018G00086    00"</f>
        <v>1200018G00086    00</v>
      </c>
      <c r="B13882" t="s">
        <v>30552</v>
      </c>
      <c r="C13882" t="s">
        <v>30553</v>
      </c>
      <c r="D13882" t="s">
        <v>20</v>
      </c>
      <c r="E13882" t="s">
        <v>39</v>
      </c>
      <c r="F13882">
        <v>0</v>
      </c>
      <c r="G13882">
        <v>0</v>
      </c>
      <c r="H13882">
        <v>2</v>
      </c>
      <c r="I13882" s="3">
        <v>2470.1799999999998</v>
      </c>
      <c r="J13882" s="3">
        <v>0</v>
      </c>
      <c r="K13882" t="s">
        <v>30554</v>
      </c>
      <c r="L13882">
        <v>630</v>
      </c>
      <c r="M13882" t="s">
        <v>30523</v>
      </c>
      <c r="N13882" t="s">
        <v>30</v>
      </c>
      <c r="O13882" t="s">
        <v>31</v>
      </c>
      <c r="P13882" t="str">
        <f>"15220"</f>
        <v>15220</v>
      </c>
    </row>
    <row r="13883" spans="1:16" x14ac:dyDescent="0.25">
      <c r="A13883" t="str">
        <f>"1200018G00151    00"</f>
        <v>1200018G00151    00</v>
      </c>
      <c r="B13883" t="s">
        <v>30555</v>
      </c>
      <c r="C13883" t="s">
        <v>30556</v>
      </c>
      <c r="E13883" t="s">
        <v>39</v>
      </c>
      <c r="F13883">
        <v>0</v>
      </c>
      <c r="G13883">
        <v>0</v>
      </c>
      <c r="H13883">
        <v>3</v>
      </c>
      <c r="I13883" s="3">
        <v>2901.72</v>
      </c>
      <c r="J13883" s="3">
        <v>1752.87</v>
      </c>
      <c r="K13883" t="s">
        <v>426</v>
      </c>
      <c r="L13883">
        <v>2570</v>
      </c>
      <c r="M13883" t="s">
        <v>427</v>
      </c>
      <c r="N13883" t="s">
        <v>30</v>
      </c>
      <c r="O13883" t="s">
        <v>31</v>
      </c>
      <c r="P13883" t="str">
        <f>"15241"</f>
        <v>15241</v>
      </c>
    </row>
    <row r="13884" spans="1:16" x14ac:dyDescent="0.25">
      <c r="A13884" t="str">
        <f>"1200018G00153    00"</f>
        <v>1200018G00153    00</v>
      </c>
      <c r="B13884" t="s">
        <v>30557</v>
      </c>
      <c r="C13884" t="s">
        <v>30558</v>
      </c>
      <c r="D13884" t="s">
        <v>20</v>
      </c>
      <c r="E13884" t="s">
        <v>39</v>
      </c>
      <c r="F13884">
        <v>0</v>
      </c>
      <c r="G13884">
        <v>0</v>
      </c>
      <c r="H13884">
        <v>3</v>
      </c>
      <c r="I13884" s="3">
        <v>2144.4</v>
      </c>
      <c r="J13884" s="3">
        <v>194.48</v>
      </c>
      <c r="L13884">
        <v>36</v>
      </c>
      <c r="M13884" t="s">
        <v>30559</v>
      </c>
      <c r="N13884" t="s">
        <v>30</v>
      </c>
      <c r="O13884" t="s">
        <v>31</v>
      </c>
      <c r="P13884" t="str">
        <f>"15205"</f>
        <v>15205</v>
      </c>
    </row>
    <row r="13885" spans="1:16" x14ac:dyDescent="0.25">
      <c r="A13885" t="str">
        <f>"1200018G00194    00"</f>
        <v>1200018G00194    00</v>
      </c>
      <c r="B13885" t="s">
        <v>30270</v>
      </c>
      <c r="C13885" t="s">
        <v>30560</v>
      </c>
      <c r="E13885" t="s">
        <v>39</v>
      </c>
      <c r="F13885">
        <v>0</v>
      </c>
      <c r="G13885">
        <v>0</v>
      </c>
      <c r="H13885">
        <v>1</v>
      </c>
      <c r="I13885" s="3">
        <v>1551.51</v>
      </c>
      <c r="J13885" s="3">
        <v>284.43</v>
      </c>
      <c r="M13885" t="s">
        <v>30561</v>
      </c>
      <c r="N13885" t="s">
        <v>1067</v>
      </c>
      <c r="O13885" t="s">
        <v>31</v>
      </c>
      <c r="P13885" t="str">
        <f>"15143"</f>
        <v>15143</v>
      </c>
    </row>
    <row r="13886" spans="1:16" x14ac:dyDescent="0.25">
      <c r="A13886" t="str">
        <f>"1200018G00250    00"</f>
        <v>1200018G00250    00</v>
      </c>
      <c r="B13886" t="s">
        <v>30562</v>
      </c>
      <c r="C13886" t="s">
        <v>30563</v>
      </c>
      <c r="E13886" t="s">
        <v>39</v>
      </c>
      <c r="F13886">
        <v>0</v>
      </c>
      <c r="G13886">
        <v>0</v>
      </c>
      <c r="H13886">
        <v>2</v>
      </c>
      <c r="I13886" s="3">
        <v>1874.54</v>
      </c>
      <c r="J13886" s="3">
        <v>1204.17</v>
      </c>
      <c r="L13886">
        <v>710</v>
      </c>
      <c r="M13886" t="s">
        <v>30564</v>
      </c>
      <c r="N13886" t="s">
        <v>30</v>
      </c>
      <c r="O13886" t="s">
        <v>31</v>
      </c>
      <c r="P13886" t="str">
        <f>"15220"</f>
        <v>15220</v>
      </c>
    </row>
    <row r="13887" spans="1:16" x14ac:dyDescent="0.25">
      <c r="A13887" t="str">
        <f>"1200018G00254    00"</f>
        <v>1200018G00254    00</v>
      </c>
      <c r="B13887" t="s">
        <v>30565</v>
      </c>
      <c r="C13887" t="s">
        <v>30566</v>
      </c>
      <c r="D13887" t="s">
        <v>20</v>
      </c>
      <c r="E13887" t="s">
        <v>39</v>
      </c>
      <c r="F13887">
        <v>0</v>
      </c>
      <c r="G13887">
        <v>0</v>
      </c>
      <c r="H13887">
        <v>2</v>
      </c>
      <c r="I13887" s="3">
        <v>1839.42</v>
      </c>
      <c r="J13887" s="3">
        <v>0</v>
      </c>
      <c r="K13887" t="s">
        <v>30567</v>
      </c>
      <c r="L13887">
        <v>1300</v>
      </c>
      <c r="M13887" t="s">
        <v>30568</v>
      </c>
      <c r="N13887" t="s">
        <v>30</v>
      </c>
      <c r="O13887" t="s">
        <v>31</v>
      </c>
      <c r="P13887" t="str">
        <f>"15220"</f>
        <v>15220</v>
      </c>
    </row>
    <row r="13888" spans="1:16" x14ac:dyDescent="0.25">
      <c r="A13888" t="str">
        <f>"1200018G00268    00"</f>
        <v>1200018G00268    00</v>
      </c>
      <c r="B13888" t="s">
        <v>30569</v>
      </c>
      <c r="C13888" t="s">
        <v>30570</v>
      </c>
      <c r="D13888" t="s">
        <v>20</v>
      </c>
      <c r="E13888" t="s">
        <v>39</v>
      </c>
      <c r="F13888">
        <v>0</v>
      </c>
      <c r="G13888">
        <v>0</v>
      </c>
      <c r="H13888">
        <v>1</v>
      </c>
      <c r="I13888" s="3">
        <v>1200.92</v>
      </c>
      <c r="J13888" s="3">
        <v>0</v>
      </c>
      <c r="L13888">
        <v>624</v>
      </c>
      <c r="M13888" t="s">
        <v>30564</v>
      </c>
      <c r="N13888" t="s">
        <v>30</v>
      </c>
      <c r="O13888" t="s">
        <v>31</v>
      </c>
      <c r="P13888" t="str">
        <f>"15220"</f>
        <v>15220</v>
      </c>
    </row>
    <row r="13889" spans="1:16" x14ac:dyDescent="0.25">
      <c r="A13889" t="str">
        <f>"1200018G00276    00"</f>
        <v>1200018G00276    00</v>
      </c>
      <c r="B13889" t="s">
        <v>30571</v>
      </c>
      <c r="C13889" t="s">
        <v>30572</v>
      </c>
      <c r="E13889" t="s">
        <v>39</v>
      </c>
      <c r="F13889">
        <v>0</v>
      </c>
      <c r="G13889">
        <v>0</v>
      </c>
      <c r="H13889">
        <v>5</v>
      </c>
      <c r="I13889" s="3">
        <v>2953.39</v>
      </c>
      <c r="J13889" s="3">
        <v>1236.78</v>
      </c>
      <c r="L13889">
        <v>608</v>
      </c>
      <c r="M13889" t="s">
        <v>30564</v>
      </c>
      <c r="N13889" t="s">
        <v>30</v>
      </c>
      <c r="O13889" t="s">
        <v>31</v>
      </c>
      <c r="P13889" t="str">
        <f>"15220"</f>
        <v>15220</v>
      </c>
    </row>
    <row r="13890" spans="1:16" x14ac:dyDescent="0.25">
      <c r="A13890" t="str">
        <f>"1200018H00002    00"</f>
        <v>1200018H00002    00</v>
      </c>
      <c r="B13890" t="s">
        <v>30573</v>
      </c>
      <c r="C13890" t="s">
        <v>30574</v>
      </c>
      <c r="D13890" t="s">
        <v>20</v>
      </c>
      <c r="E13890" t="s">
        <v>39</v>
      </c>
      <c r="F13890">
        <v>0</v>
      </c>
      <c r="G13890">
        <v>0</v>
      </c>
      <c r="H13890">
        <v>2</v>
      </c>
      <c r="I13890" s="3">
        <v>838.91</v>
      </c>
      <c r="J13890" s="3">
        <v>0</v>
      </c>
      <c r="K13890" t="s">
        <v>30575</v>
      </c>
      <c r="L13890">
        <v>1890</v>
      </c>
      <c r="M13890" t="s">
        <v>13274</v>
      </c>
      <c r="N13890" t="s">
        <v>30</v>
      </c>
      <c r="O13890" t="s">
        <v>31</v>
      </c>
      <c r="P13890" t="str">
        <f>"15202"</f>
        <v>15202</v>
      </c>
    </row>
    <row r="13891" spans="1:16" x14ac:dyDescent="0.25">
      <c r="A13891" t="str">
        <f>"1200018H00008    00"</f>
        <v>1200018H00008    00</v>
      </c>
      <c r="B13891" t="s">
        <v>30576</v>
      </c>
      <c r="C13891" t="s">
        <v>30574</v>
      </c>
      <c r="D13891" t="s">
        <v>20</v>
      </c>
      <c r="E13891" t="s">
        <v>39</v>
      </c>
      <c r="F13891">
        <v>0</v>
      </c>
      <c r="G13891">
        <v>0</v>
      </c>
      <c r="H13891">
        <v>9</v>
      </c>
      <c r="I13891" s="3">
        <v>2001.6</v>
      </c>
      <c r="J13891" s="3">
        <v>757.91</v>
      </c>
      <c r="L13891">
        <v>1890</v>
      </c>
      <c r="M13891" t="s">
        <v>13274</v>
      </c>
      <c r="N13891" t="s">
        <v>30</v>
      </c>
      <c r="O13891" t="s">
        <v>31</v>
      </c>
      <c r="P13891" t="str">
        <f>"15202"</f>
        <v>15202</v>
      </c>
    </row>
    <row r="13892" spans="1:16" x14ac:dyDescent="0.25">
      <c r="A13892" t="str">
        <f>"1200018H00066    00"</f>
        <v>1200018H00066    00</v>
      </c>
      <c r="B13892" t="s">
        <v>30577</v>
      </c>
      <c r="C13892" t="s">
        <v>30574</v>
      </c>
      <c r="D13892" t="s">
        <v>20</v>
      </c>
      <c r="E13892" t="s">
        <v>39</v>
      </c>
      <c r="F13892">
        <v>0</v>
      </c>
      <c r="G13892">
        <v>0</v>
      </c>
      <c r="H13892">
        <v>19</v>
      </c>
      <c r="I13892" s="3">
        <v>1640.96</v>
      </c>
      <c r="J13892" s="3">
        <v>1156.46</v>
      </c>
      <c r="L13892">
        <v>2440</v>
      </c>
      <c r="M13892" t="s">
        <v>30578</v>
      </c>
      <c r="N13892" t="s">
        <v>30</v>
      </c>
      <c r="O13892" t="s">
        <v>31</v>
      </c>
      <c r="P13892" t="str">
        <f>"15205"</f>
        <v>15205</v>
      </c>
    </row>
    <row r="13893" spans="1:16" x14ac:dyDescent="0.25">
      <c r="A13893" t="str">
        <f>"1200018H00070    00"</f>
        <v>1200018H00070    00</v>
      </c>
      <c r="B13893" t="s">
        <v>30577</v>
      </c>
      <c r="C13893" t="s">
        <v>30574</v>
      </c>
      <c r="D13893" t="s">
        <v>20</v>
      </c>
      <c r="E13893" t="s">
        <v>39</v>
      </c>
      <c r="F13893">
        <v>0</v>
      </c>
      <c r="G13893">
        <v>0</v>
      </c>
      <c r="H13893">
        <v>15</v>
      </c>
      <c r="I13893" s="3">
        <v>1991.14</v>
      </c>
      <c r="J13893" s="3">
        <v>1438.47</v>
      </c>
      <c r="L13893">
        <v>200</v>
      </c>
      <c r="M13893" t="s">
        <v>30579</v>
      </c>
      <c r="N13893" t="s">
        <v>30</v>
      </c>
      <c r="O13893" t="s">
        <v>31</v>
      </c>
      <c r="P13893" t="str">
        <f>"15220"</f>
        <v>15220</v>
      </c>
    </row>
    <row r="13894" spans="1:16" x14ac:dyDescent="0.25">
      <c r="A13894" t="str">
        <f>"1200018H00082    00"</f>
        <v>1200018H00082    00</v>
      </c>
      <c r="B13894" t="s">
        <v>30580</v>
      </c>
      <c r="C13894" t="s">
        <v>30581</v>
      </c>
      <c r="D13894" t="s">
        <v>20</v>
      </c>
      <c r="E13894" t="s">
        <v>39</v>
      </c>
      <c r="F13894">
        <v>0</v>
      </c>
      <c r="G13894">
        <v>0</v>
      </c>
      <c r="H13894">
        <v>14</v>
      </c>
      <c r="I13894" s="3">
        <v>423.37</v>
      </c>
      <c r="J13894" s="3">
        <v>290.02999999999997</v>
      </c>
      <c r="M13894" t="s">
        <v>30582</v>
      </c>
      <c r="N13894" t="s">
        <v>30583</v>
      </c>
      <c r="O13894" t="s">
        <v>370</v>
      </c>
      <c r="P13894" t="str">
        <f>"33454"</f>
        <v>33454</v>
      </c>
    </row>
    <row r="13895" spans="1:16" x14ac:dyDescent="0.25">
      <c r="A13895" t="str">
        <f>"1200018H00084    00"</f>
        <v>1200018H00084    00</v>
      </c>
      <c r="B13895" t="s">
        <v>30584</v>
      </c>
      <c r="C13895" t="s">
        <v>30581</v>
      </c>
      <c r="D13895" t="s">
        <v>20</v>
      </c>
      <c r="E13895" t="s">
        <v>39</v>
      </c>
      <c r="F13895">
        <v>0</v>
      </c>
      <c r="G13895">
        <v>0</v>
      </c>
      <c r="H13895">
        <v>15</v>
      </c>
      <c r="I13895" s="3">
        <v>2264.0100000000002</v>
      </c>
      <c r="J13895" s="3">
        <v>1453.52</v>
      </c>
      <c r="L13895">
        <v>266</v>
      </c>
      <c r="M13895" t="s">
        <v>30585</v>
      </c>
      <c r="N13895" t="s">
        <v>625</v>
      </c>
      <c r="O13895" t="s">
        <v>31</v>
      </c>
      <c r="P13895" t="str">
        <f>"15108"</f>
        <v>15108</v>
      </c>
    </row>
    <row r="13896" spans="1:16" x14ac:dyDescent="0.25">
      <c r="A13896" t="str">
        <f>"1200018H00086    00"</f>
        <v>1200018H00086    00</v>
      </c>
      <c r="B13896" t="s">
        <v>30586</v>
      </c>
      <c r="C13896" t="s">
        <v>30581</v>
      </c>
      <c r="D13896" t="s">
        <v>20</v>
      </c>
      <c r="E13896" t="s">
        <v>39</v>
      </c>
      <c r="F13896">
        <v>0</v>
      </c>
      <c r="G13896">
        <v>0</v>
      </c>
      <c r="H13896">
        <v>8</v>
      </c>
      <c r="I13896" s="3">
        <v>891.9</v>
      </c>
      <c r="J13896" s="3">
        <v>291.83999999999997</v>
      </c>
      <c r="L13896">
        <v>3218</v>
      </c>
      <c r="M13896" t="s">
        <v>30587</v>
      </c>
      <c r="N13896" t="s">
        <v>30</v>
      </c>
      <c r="O13896" t="s">
        <v>31</v>
      </c>
      <c r="P13896" t="str">
        <f>"15204"</f>
        <v>15204</v>
      </c>
    </row>
    <row r="13897" spans="1:16" x14ac:dyDescent="0.25">
      <c r="A13897" t="str">
        <f>"1200018H00087    00"</f>
        <v>1200018H00087    00</v>
      </c>
      <c r="B13897" t="s">
        <v>30584</v>
      </c>
      <c r="C13897" t="s">
        <v>30581</v>
      </c>
      <c r="D13897" t="s">
        <v>20</v>
      </c>
      <c r="E13897" t="s">
        <v>39</v>
      </c>
      <c r="F13897">
        <v>0</v>
      </c>
      <c r="G13897">
        <v>0</v>
      </c>
      <c r="H13897">
        <v>15</v>
      </c>
      <c r="I13897" s="3">
        <v>2041.89</v>
      </c>
      <c r="J13897" s="3">
        <v>1392.44</v>
      </c>
      <c r="L13897">
        <v>266</v>
      </c>
      <c r="M13897" t="s">
        <v>30585</v>
      </c>
      <c r="N13897" t="s">
        <v>625</v>
      </c>
      <c r="O13897" t="s">
        <v>31</v>
      </c>
      <c r="P13897" t="str">
        <f>"15108"</f>
        <v>15108</v>
      </c>
    </row>
    <row r="13898" spans="1:16" x14ac:dyDescent="0.25">
      <c r="A13898" t="str">
        <f>"1200018H00089    00"</f>
        <v>1200018H00089    00</v>
      </c>
      <c r="B13898" t="s">
        <v>30584</v>
      </c>
      <c r="C13898" t="s">
        <v>30581</v>
      </c>
      <c r="D13898" t="s">
        <v>20</v>
      </c>
      <c r="E13898" t="s">
        <v>39</v>
      </c>
      <c r="F13898">
        <v>0</v>
      </c>
      <c r="G13898">
        <v>0</v>
      </c>
      <c r="H13898">
        <v>16</v>
      </c>
      <c r="I13898" s="3">
        <v>2489.73</v>
      </c>
      <c r="J13898" s="3">
        <v>1498.43</v>
      </c>
      <c r="L13898">
        <v>266</v>
      </c>
      <c r="M13898" t="s">
        <v>30585</v>
      </c>
      <c r="N13898" t="s">
        <v>625</v>
      </c>
      <c r="O13898" t="s">
        <v>31</v>
      </c>
      <c r="P13898" t="str">
        <f>"15108"</f>
        <v>15108</v>
      </c>
    </row>
    <row r="13899" spans="1:16" x14ac:dyDescent="0.25">
      <c r="A13899" t="str">
        <f>"1200018H00097    00"</f>
        <v>1200018H00097    00</v>
      </c>
      <c r="B13899" t="s">
        <v>30588</v>
      </c>
      <c r="C13899" t="s">
        <v>30589</v>
      </c>
      <c r="D13899" t="s">
        <v>20</v>
      </c>
      <c r="E13899" t="s">
        <v>39</v>
      </c>
      <c r="F13899">
        <v>0</v>
      </c>
      <c r="G13899">
        <v>0</v>
      </c>
      <c r="H13899">
        <v>1</v>
      </c>
      <c r="I13899" s="3">
        <v>928.33</v>
      </c>
      <c r="J13899" s="3">
        <v>0</v>
      </c>
      <c r="L13899">
        <v>44</v>
      </c>
      <c r="M13899" t="s">
        <v>30590</v>
      </c>
      <c r="N13899" t="s">
        <v>30</v>
      </c>
      <c r="O13899" t="s">
        <v>31</v>
      </c>
      <c r="P13899" t="str">
        <f>"15220"</f>
        <v>15220</v>
      </c>
    </row>
    <row r="13900" spans="1:16" x14ac:dyDescent="0.25">
      <c r="A13900" t="str">
        <f>"1200018H00145    00"</f>
        <v>1200018H00145    00</v>
      </c>
      <c r="B13900" t="s">
        <v>30591</v>
      </c>
      <c r="C13900" t="s">
        <v>30581</v>
      </c>
      <c r="D13900" t="s">
        <v>20</v>
      </c>
      <c r="E13900" t="s">
        <v>39</v>
      </c>
      <c r="F13900">
        <v>0</v>
      </c>
      <c r="G13900">
        <v>0</v>
      </c>
      <c r="H13900">
        <v>1</v>
      </c>
      <c r="I13900" s="3">
        <v>928.96</v>
      </c>
      <c r="J13900" s="3">
        <v>0</v>
      </c>
      <c r="L13900">
        <v>44</v>
      </c>
      <c r="M13900" t="s">
        <v>30590</v>
      </c>
      <c r="N13900" t="s">
        <v>30</v>
      </c>
      <c r="O13900" t="s">
        <v>31</v>
      </c>
      <c r="P13900" t="str">
        <f>"15220"</f>
        <v>15220</v>
      </c>
    </row>
    <row r="13901" spans="1:16" x14ac:dyDescent="0.25">
      <c r="A13901" t="str">
        <f>"1200018H00206    00"</f>
        <v>1200018H00206    00</v>
      </c>
      <c r="B13901" t="s">
        <v>30586</v>
      </c>
      <c r="C13901" t="s">
        <v>30592</v>
      </c>
      <c r="D13901" t="s">
        <v>20</v>
      </c>
      <c r="E13901" t="s">
        <v>39</v>
      </c>
      <c r="F13901">
        <v>0</v>
      </c>
      <c r="G13901">
        <v>0</v>
      </c>
      <c r="H13901">
        <v>8</v>
      </c>
      <c r="I13901" s="3">
        <v>1783.8</v>
      </c>
      <c r="J13901" s="3">
        <v>583.67999999999995</v>
      </c>
      <c r="L13901">
        <v>3218</v>
      </c>
      <c r="M13901" t="s">
        <v>30587</v>
      </c>
      <c r="N13901" t="s">
        <v>30</v>
      </c>
      <c r="O13901" t="s">
        <v>31</v>
      </c>
      <c r="P13901" t="str">
        <f>"15204"</f>
        <v>15204</v>
      </c>
    </row>
    <row r="13902" spans="1:16" x14ac:dyDescent="0.25">
      <c r="A13902" t="str">
        <f>"1200019A00076    00"</f>
        <v>1200019A00076    00</v>
      </c>
      <c r="B13902" t="s">
        <v>30593</v>
      </c>
      <c r="C13902" t="s">
        <v>30594</v>
      </c>
      <c r="D13902" t="s">
        <v>20</v>
      </c>
      <c r="E13902" t="s">
        <v>39</v>
      </c>
      <c r="F13902">
        <v>0</v>
      </c>
      <c r="G13902">
        <v>0</v>
      </c>
      <c r="H13902">
        <v>17</v>
      </c>
      <c r="I13902" s="3">
        <v>10777.3</v>
      </c>
      <c r="J13902" s="3">
        <v>13475.37</v>
      </c>
      <c r="L13902">
        <v>401</v>
      </c>
      <c r="M13902" t="s">
        <v>30595</v>
      </c>
      <c r="N13902" t="s">
        <v>16709</v>
      </c>
      <c r="O13902" t="s">
        <v>30596</v>
      </c>
      <c r="P13902" t="str">
        <f>"39110"</f>
        <v>39110</v>
      </c>
    </row>
    <row r="13903" spans="1:16" x14ac:dyDescent="0.25">
      <c r="A13903" t="str">
        <f>"1200019A00105    00"</f>
        <v>1200019A00105    00</v>
      </c>
      <c r="B13903" t="s">
        <v>30597</v>
      </c>
      <c r="C13903" t="s">
        <v>30598</v>
      </c>
      <c r="D13903" t="s">
        <v>20</v>
      </c>
      <c r="E13903" t="s">
        <v>39</v>
      </c>
      <c r="F13903">
        <v>0</v>
      </c>
      <c r="G13903">
        <v>0</v>
      </c>
      <c r="H13903">
        <v>9</v>
      </c>
      <c r="I13903" s="3">
        <v>5872.39</v>
      </c>
      <c r="J13903" s="3">
        <v>8590.23</v>
      </c>
      <c r="L13903">
        <v>1113</v>
      </c>
      <c r="M13903" t="s">
        <v>24940</v>
      </c>
      <c r="N13903" t="s">
        <v>30</v>
      </c>
      <c r="O13903" t="s">
        <v>31</v>
      </c>
      <c r="P13903" t="str">
        <f>"15220"</f>
        <v>15220</v>
      </c>
    </row>
    <row r="13904" spans="1:16" x14ac:dyDescent="0.25">
      <c r="A13904" t="str">
        <f>"1200019A00108    00"</f>
        <v>1200019A00108    00</v>
      </c>
      <c r="B13904" t="s">
        <v>30599</v>
      </c>
      <c r="C13904" t="s">
        <v>30600</v>
      </c>
      <c r="D13904" t="s">
        <v>20</v>
      </c>
      <c r="E13904" t="s">
        <v>39</v>
      </c>
      <c r="F13904">
        <v>0</v>
      </c>
      <c r="G13904">
        <v>0</v>
      </c>
      <c r="H13904">
        <v>3</v>
      </c>
      <c r="I13904" s="3">
        <v>2727.51</v>
      </c>
      <c r="J13904" s="3">
        <v>181.83</v>
      </c>
      <c r="L13904">
        <v>1230</v>
      </c>
      <c r="M13904" t="s">
        <v>30601</v>
      </c>
      <c r="N13904" t="s">
        <v>30</v>
      </c>
      <c r="O13904" t="s">
        <v>31</v>
      </c>
      <c r="P13904" t="str">
        <f>"15220"</f>
        <v>15220</v>
      </c>
    </row>
    <row r="13905" spans="1:16" x14ac:dyDescent="0.25">
      <c r="A13905" t="str">
        <f>"1200019A00110    00"</f>
        <v>1200019A00110    00</v>
      </c>
      <c r="B13905" t="s">
        <v>30602</v>
      </c>
      <c r="C13905" t="s">
        <v>30603</v>
      </c>
      <c r="D13905" t="s">
        <v>20</v>
      </c>
      <c r="E13905" t="s">
        <v>39</v>
      </c>
      <c r="F13905">
        <v>0</v>
      </c>
      <c r="G13905">
        <v>0</v>
      </c>
      <c r="H13905">
        <v>3</v>
      </c>
      <c r="I13905" s="3">
        <v>2601.7199999999998</v>
      </c>
      <c r="J13905" s="3">
        <v>173.44</v>
      </c>
      <c r="L13905">
        <v>1230</v>
      </c>
      <c r="M13905" t="s">
        <v>30601</v>
      </c>
      <c r="N13905" t="s">
        <v>30</v>
      </c>
      <c r="O13905" t="s">
        <v>31</v>
      </c>
      <c r="P13905" t="str">
        <f>"15220"</f>
        <v>15220</v>
      </c>
    </row>
    <row r="13906" spans="1:16" x14ac:dyDescent="0.25">
      <c r="A13906" t="str">
        <f>"1200019A00122    00"</f>
        <v>1200019A00122    00</v>
      </c>
      <c r="B13906" t="s">
        <v>30604</v>
      </c>
      <c r="C13906" t="s">
        <v>30605</v>
      </c>
      <c r="D13906" t="s">
        <v>20</v>
      </c>
      <c r="E13906" t="s">
        <v>39</v>
      </c>
      <c r="F13906">
        <v>0</v>
      </c>
      <c r="G13906">
        <v>0</v>
      </c>
      <c r="H13906">
        <v>15</v>
      </c>
      <c r="I13906" s="3">
        <v>11915.95</v>
      </c>
      <c r="J13906" s="3">
        <v>8360.15</v>
      </c>
      <c r="L13906">
        <v>711</v>
      </c>
      <c r="M13906" t="s">
        <v>30606</v>
      </c>
      <c r="N13906" t="s">
        <v>30</v>
      </c>
      <c r="O13906" t="s">
        <v>31</v>
      </c>
      <c r="P13906" t="str">
        <f>"15228"</f>
        <v>15228</v>
      </c>
    </row>
    <row r="13907" spans="1:16" x14ac:dyDescent="0.25">
      <c r="A13907" t="str">
        <f>"1200019B00004    00"</f>
        <v>1200019B00004    00</v>
      </c>
      <c r="B13907" t="s">
        <v>30607</v>
      </c>
      <c r="C13907" t="s">
        <v>30608</v>
      </c>
      <c r="D13907" t="s">
        <v>20</v>
      </c>
      <c r="E13907" t="s">
        <v>39</v>
      </c>
      <c r="F13907">
        <v>0</v>
      </c>
      <c r="G13907">
        <v>0</v>
      </c>
      <c r="H13907">
        <v>8</v>
      </c>
      <c r="I13907" s="3">
        <v>4949.42</v>
      </c>
      <c r="J13907" s="3">
        <v>1707.53</v>
      </c>
      <c r="L13907">
        <v>733</v>
      </c>
      <c r="M13907" t="s">
        <v>12929</v>
      </c>
      <c r="N13907" t="s">
        <v>30</v>
      </c>
      <c r="O13907" t="s">
        <v>31</v>
      </c>
      <c r="P13907" t="str">
        <f>"15221"</f>
        <v>15221</v>
      </c>
    </row>
    <row r="13908" spans="1:16" x14ac:dyDescent="0.25">
      <c r="A13908" t="str">
        <f>"1200019B00005    00"</f>
        <v>1200019B00005    00</v>
      </c>
      <c r="B13908" t="s">
        <v>30609</v>
      </c>
      <c r="C13908" t="s">
        <v>30610</v>
      </c>
      <c r="D13908" t="s">
        <v>20</v>
      </c>
      <c r="E13908" t="s">
        <v>39</v>
      </c>
      <c r="F13908">
        <v>0</v>
      </c>
      <c r="G13908">
        <v>0</v>
      </c>
      <c r="H13908">
        <v>3</v>
      </c>
      <c r="I13908" s="3">
        <v>1618.82</v>
      </c>
      <c r="J13908" s="3">
        <v>963.31</v>
      </c>
      <c r="K13908" t="s">
        <v>30611</v>
      </c>
      <c r="M13908" t="s">
        <v>30612</v>
      </c>
      <c r="N13908" t="s">
        <v>30</v>
      </c>
      <c r="O13908" t="s">
        <v>31</v>
      </c>
      <c r="P13908" t="str">
        <f>"15215"</f>
        <v>15215</v>
      </c>
    </row>
    <row r="13909" spans="1:16" x14ac:dyDescent="0.25">
      <c r="A13909" t="str">
        <f>"1200019B00019    00"</f>
        <v>1200019B00019    00</v>
      </c>
      <c r="B13909" t="s">
        <v>30613</v>
      </c>
      <c r="C13909" t="s">
        <v>30614</v>
      </c>
      <c r="D13909" t="s">
        <v>20</v>
      </c>
      <c r="E13909" t="s">
        <v>39</v>
      </c>
      <c r="F13909">
        <v>0</v>
      </c>
      <c r="G13909">
        <v>0</v>
      </c>
      <c r="H13909">
        <v>1</v>
      </c>
      <c r="I13909" s="3">
        <v>358.8</v>
      </c>
      <c r="J13909" s="3">
        <v>0</v>
      </c>
      <c r="L13909">
        <v>838</v>
      </c>
      <c r="M13909" t="s">
        <v>24940</v>
      </c>
      <c r="N13909" t="s">
        <v>30</v>
      </c>
      <c r="O13909" t="s">
        <v>31</v>
      </c>
      <c r="P13909" t="str">
        <f>"15220"</f>
        <v>15220</v>
      </c>
    </row>
    <row r="13910" spans="1:16" x14ac:dyDescent="0.25">
      <c r="A13910" t="str">
        <f>"1200019B00023    00"</f>
        <v>1200019B00023    00</v>
      </c>
      <c r="B13910" t="s">
        <v>30615</v>
      </c>
      <c r="C13910" t="s">
        <v>30616</v>
      </c>
      <c r="D13910" t="s">
        <v>20</v>
      </c>
      <c r="E13910" t="s">
        <v>39</v>
      </c>
      <c r="F13910">
        <v>0</v>
      </c>
      <c r="G13910">
        <v>0</v>
      </c>
      <c r="H13910">
        <v>10</v>
      </c>
      <c r="I13910" s="3">
        <v>8903.35</v>
      </c>
      <c r="J13910" s="3">
        <v>3672.36</v>
      </c>
      <c r="K13910" t="s">
        <v>30617</v>
      </c>
      <c r="L13910">
        <v>564</v>
      </c>
      <c r="M13910" t="s">
        <v>30618</v>
      </c>
      <c r="N13910" t="s">
        <v>30</v>
      </c>
      <c r="O13910" t="s">
        <v>31</v>
      </c>
      <c r="P13910" t="str">
        <f>"15219"</f>
        <v>15219</v>
      </c>
    </row>
    <row r="13911" spans="1:16" x14ac:dyDescent="0.25">
      <c r="A13911" t="str">
        <f>"1200019B00039    00"</f>
        <v>1200019B00039    00</v>
      </c>
      <c r="B13911" t="s">
        <v>30619</v>
      </c>
      <c r="C13911" t="s">
        <v>30464</v>
      </c>
      <c r="E13911" t="s">
        <v>39</v>
      </c>
      <c r="F13911">
        <v>0</v>
      </c>
      <c r="G13911">
        <v>0</v>
      </c>
      <c r="H13911">
        <v>3</v>
      </c>
      <c r="I13911" s="3">
        <v>566.58000000000004</v>
      </c>
      <c r="J13911" s="3">
        <v>810.74</v>
      </c>
      <c r="L13911">
        <v>16</v>
      </c>
      <c r="M13911" t="s">
        <v>2066</v>
      </c>
      <c r="N13911" t="s">
        <v>30</v>
      </c>
      <c r="O13911" t="s">
        <v>31</v>
      </c>
      <c r="P13911" t="str">
        <f>"15220"</f>
        <v>15220</v>
      </c>
    </row>
    <row r="13912" spans="1:16" x14ac:dyDescent="0.25">
      <c r="A13912" t="str">
        <f>"1200019B00058    00"</f>
        <v>1200019B00058    00</v>
      </c>
      <c r="B13912" t="s">
        <v>30620</v>
      </c>
      <c r="C13912" t="s">
        <v>30621</v>
      </c>
      <c r="D13912" t="s">
        <v>20</v>
      </c>
      <c r="E13912" t="s">
        <v>39</v>
      </c>
      <c r="F13912">
        <v>0</v>
      </c>
      <c r="G13912">
        <v>0</v>
      </c>
      <c r="H13912">
        <v>11</v>
      </c>
      <c r="I13912" s="3">
        <v>2339.4699999999998</v>
      </c>
      <c r="J13912" s="3">
        <v>1233.6600000000001</v>
      </c>
      <c r="L13912">
        <v>837</v>
      </c>
      <c r="M13912" t="s">
        <v>24940</v>
      </c>
      <c r="N13912" t="s">
        <v>30</v>
      </c>
      <c r="O13912" t="s">
        <v>31</v>
      </c>
      <c r="P13912" t="str">
        <f>"15220"</f>
        <v>15220</v>
      </c>
    </row>
    <row r="13913" spans="1:16" x14ac:dyDescent="0.25">
      <c r="A13913" t="str">
        <f>"1200019B00067    00"</f>
        <v>1200019B00067    00</v>
      </c>
      <c r="B13913" t="s">
        <v>30622</v>
      </c>
      <c r="C13913" t="s">
        <v>30464</v>
      </c>
      <c r="D13913" t="s">
        <v>20</v>
      </c>
      <c r="E13913" t="s">
        <v>39</v>
      </c>
      <c r="F13913">
        <v>0</v>
      </c>
      <c r="G13913">
        <v>0</v>
      </c>
      <c r="H13913">
        <v>18</v>
      </c>
      <c r="I13913" s="3">
        <v>2509.67</v>
      </c>
      <c r="J13913" s="3">
        <v>1424.72</v>
      </c>
      <c r="L13913">
        <v>2156</v>
      </c>
      <c r="M13913" t="s">
        <v>30623</v>
      </c>
      <c r="N13913" t="s">
        <v>30</v>
      </c>
      <c r="O13913" t="s">
        <v>31</v>
      </c>
      <c r="P13913" t="str">
        <f>"15205"</f>
        <v>15205</v>
      </c>
    </row>
    <row r="13914" spans="1:16" x14ac:dyDescent="0.25">
      <c r="A13914" t="str">
        <f>"1200019B00068    00"</f>
        <v>1200019B00068    00</v>
      </c>
      <c r="B13914" t="s">
        <v>30624</v>
      </c>
      <c r="C13914" t="s">
        <v>30625</v>
      </c>
      <c r="D13914" t="s">
        <v>20</v>
      </c>
      <c r="E13914" t="s">
        <v>39</v>
      </c>
      <c r="F13914">
        <v>0</v>
      </c>
      <c r="G13914">
        <v>0</v>
      </c>
      <c r="H13914">
        <v>14</v>
      </c>
      <c r="I13914" s="3">
        <v>6210.1</v>
      </c>
      <c r="J13914" s="3">
        <v>4062.7</v>
      </c>
      <c r="L13914">
        <v>702</v>
      </c>
      <c r="M13914" t="s">
        <v>30626</v>
      </c>
      <c r="N13914" t="s">
        <v>30</v>
      </c>
      <c r="O13914" t="s">
        <v>31</v>
      </c>
      <c r="P13914" t="str">
        <f>"15220"</f>
        <v>15220</v>
      </c>
    </row>
    <row r="13915" spans="1:16" x14ac:dyDescent="0.25">
      <c r="A13915" t="str">
        <f>"1200019B00100    00"</f>
        <v>1200019B00100    00</v>
      </c>
      <c r="B13915" t="s">
        <v>30627</v>
      </c>
      <c r="C13915" t="s">
        <v>30628</v>
      </c>
      <c r="D13915" t="s">
        <v>20</v>
      </c>
      <c r="E13915" t="s">
        <v>39</v>
      </c>
      <c r="F13915">
        <v>0</v>
      </c>
      <c r="G13915">
        <v>0</v>
      </c>
      <c r="H13915">
        <v>2</v>
      </c>
      <c r="I13915" s="3">
        <v>1334.24</v>
      </c>
      <c r="J13915" s="3">
        <v>0</v>
      </c>
      <c r="L13915">
        <v>910</v>
      </c>
      <c r="M13915" t="s">
        <v>30629</v>
      </c>
      <c r="N13915" t="s">
        <v>30</v>
      </c>
      <c r="O13915" t="s">
        <v>31</v>
      </c>
      <c r="P13915" t="str">
        <f>"15220"</f>
        <v>15220</v>
      </c>
    </row>
    <row r="13916" spans="1:16" x14ac:dyDescent="0.25">
      <c r="A13916" t="str">
        <f>"1200019B00117    00"</f>
        <v>1200019B00117    00</v>
      </c>
      <c r="B13916" t="s">
        <v>30630</v>
      </c>
      <c r="C13916" t="s">
        <v>30631</v>
      </c>
      <c r="D13916" t="s">
        <v>20</v>
      </c>
      <c r="E13916" t="s">
        <v>39</v>
      </c>
      <c r="F13916">
        <v>0</v>
      </c>
      <c r="G13916">
        <v>0</v>
      </c>
      <c r="H13916">
        <v>2</v>
      </c>
      <c r="I13916" s="3">
        <v>669.58</v>
      </c>
      <c r="J13916" s="3">
        <v>0</v>
      </c>
      <c r="L13916">
        <v>1031</v>
      </c>
      <c r="M13916" t="s">
        <v>24940</v>
      </c>
      <c r="N13916" t="s">
        <v>30</v>
      </c>
      <c r="O13916" t="s">
        <v>31</v>
      </c>
      <c r="P13916" t="str">
        <f>"15220"</f>
        <v>15220</v>
      </c>
    </row>
    <row r="13917" spans="1:16" x14ac:dyDescent="0.25">
      <c r="A13917" t="str">
        <f>"1200019B00124    00"</f>
        <v>1200019B00124    00</v>
      </c>
      <c r="B13917" t="s">
        <v>29323</v>
      </c>
      <c r="C13917" t="s">
        <v>30632</v>
      </c>
      <c r="D13917" t="s">
        <v>20</v>
      </c>
      <c r="E13917" t="s">
        <v>39</v>
      </c>
      <c r="F13917">
        <v>0</v>
      </c>
      <c r="G13917">
        <v>0</v>
      </c>
      <c r="H13917">
        <v>9</v>
      </c>
      <c r="I13917" s="3">
        <v>6731.01</v>
      </c>
      <c r="J13917" s="3">
        <v>2259.19</v>
      </c>
      <c r="M13917" t="s">
        <v>29325</v>
      </c>
      <c r="N13917" t="s">
        <v>30</v>
      </c>
      <c r="O13917" t="s">
        <v>31</v>
      </c>
      <c r="P13917" t="str">
        <f>"15243"</f>
        <v>15243</v>
      </c>
    </row>
    <row r="13918" spans="1:16" x14ac:dyDescent="0.25">
      <c r="A13918" t="str">
        <f>"1200019B00125    00"</f>
        <v>1200019B00125    00</v>
      </c>
      <c r="B13918" t="s">
        <v>30633</v>
      </c>
      <c r="C13918" t="s">
        <v>30634</v>
      </c>
      <c r="E13918" t="s">
        <v>39</v>
      </c>
      <c r="F13918">
        <v>0</v>
      </c>
      <c r="G13918">
        <v>0</v>
      </c>
      <c r="H13918">
        <v>1</v>
      </c>
      <c r="I13918" s="3">
        <v>455.54</v>
      </c>
      <c r="J13918" s="3">
        <v>0</v>
      </c>
      <c r="L13918">
        <v>1051</v>
      </c>
      <c r="M13918" t="s">
        <v>24940</v>
      </c>
      <c r="N13918" t="s">
        <v>30</v>
      </c>
      <c r="O13918" t="s">
        <v>31</v>
      </c>
      <c r="P13918" t="str">
        <f>"15220"</f>
        <v>15220</v>
      </c>
    </row>
    <row r="13919" spans="1:16" x14ac:dyDescent="0.25">
      <c r="A13919" t="str">
        <f>"1200019B00127    00"</f>
        <v>1200019B00127    00</v>
      </c>
      <c r="B13919" t="s">
        <v>30635</v>
      </c>
      <c r="C13919" t="s">
        <v>30636</v>
      </c>
      <c r="D13919" t="s">
        <v>20</v>
      </c>
      <c r="E13919" t="s">
        <v>39</v>
      </c>
      <c r="F13919">
        <v>0</v>
      </c>
      <c r="G13919">
        <v>0</v>
      </c>
      <c r="H13919">
        <v>18</v>
      </c>
      <c r="I13919" s="3">
        <v>14109.3</v>
      </c>
      <c r="J13919" s="3">
        <v>17527.22</v>
      </c>
      <c r="K13919" t="s">
        <v>30637</v>
      </c>
      <c r="L13919">
        <v>1016</v>
      </c>
      <c r="M13919" t="s">
        <v>30638</v>
      </c>
      <c r="N13919" t="s">
        <v>30</v>
      </c>
      <c r="O13919" t="s">
        <v>31</v>
      </c>
      <c r="P13919" t="str">
        <f>"15220"</f>
        <v>15220</v>
      </c>
    </row>
    <row r="13920" spans="1:16" x14ac:dyDescent="0.25">
      <c r="A13920" t="str">
        <f>"1200019B00131    00"</f>
        <v>1200019B00131    00</v>
      </c>
      <c r="B13920" t="s">
        <v>30639</v>
      </c>
      <c r="C13920" t="s">
        <v>30640</v>
      </c>
      <c r="E13920" t="s">
        <v>39</v>
      </c>
      <c r="F13920">
        <v>0</v>
      </c>
      <c r="G13920">
        <v>0</v>
      </c>
      <c r="H13920">
        <v>2</v>
      </c>
      <c r="I13920" s="3">
        <v>946.73</v>
      </c>
      <c r="J13920" s="3">
        <v>123.13</v>
      </c>
      <c r="L13920">
        <v>102</v>
      </c>
      <c r="M13920" t="s">
        <v>16891</v>
      </c>
      <c r="N13920" t="s">
        <v>30</v>
      </c>
      <c r="O13920" t="s">
        <v>31</v>
      </c>
      <c r="P13920" t="str">
        <f>"15205"</f>
        <v>15205</v>
      </c>
    </row>
    <row r="13921" spans="1:16" x14ac:dyDescent="0.25">
      <c r="A13921" t="str">
        <f>"1200019B00153    00"</f>
        <v>1200019B00153    00</v>
      </c>
      <c r="B13921" t="s">
        <v>30641</v>
      </c>
      <c r="C13921" t="s">
        <v>30642</v>
      </c>
      <c r="D13921" t="s">
        <v>20</v>
      </c>
      <c r="E13921" t="s">
        <v>39</v>
      </c>
      <c r="F13921">
        <v>0</v>
      </c>
      <c r="G13921">
        <v>0</v>
      </c>
      <c r="H13921">
        <v>19</v>
      </c>
      <c r="I13921" s="3">
        <v>4360.55</v>
      </c>
      <c r="J13921" s="3">
        <v>3444.2</v>
      </c>
      <c r="L13921">
        <v>905</v>
      </c>
      <c r="M13921" t="s">
        <v>30629</v>
      </c>
      <c r="N13921" t="s">
        <v>30</v>
      </c>
      <c r="O13921" t="s">
        <v>31</v>
      </c>
      <c r="P13921" t="str">
        <f t="shared" ref="P13921:P13926" si="176">"15220"</f>
        <v>15220</v>
      </c>
    </row>
    <row r="13922" spans="1:16" x14ac:dyDescent="0.25">
      <c r="A13922" t="str">
        <f>"1200019B00163    00"</f>
        <v>1200019B00163    00</v>
      </c>
      <c r="B13922" t="s">
        <v>30643</v>
      </c>
      <c r="C13922" t="s">
        <v>30644</v>
      </c>
      <c r="D13922" t="s">
        <v>20</v>
      </c>
      <c r="E13922" t="s">
        <v>39</v>
      </c>
      <c r="F13922">
        <v>0</v>
      </c>
      <c r="G13922">
        <v>0</v>
      </c>
      <c r="H13922">
        <v>2</v>
      </c>
      <c r="I13922" s="3">
        <v>340.06</v>
      </c>
      <c r="J13922" s="3">
        <v>0</v>
      </c>
      <c r="L13922">
        <v>820</v>
      </c>
      <c r="M13922" t="s">
        <v>30638</v>
      </c>
      <c r="N13922" t="s">
        <v>30</v>
      </c>
      <c r="O13922" t="s">
        <v>31</v>
      </c>
      <c r="P13922" t="str">
        <f t="shared" si="176"/>
        <v>15220</v>
      </c>
    </row>
    <row r="13923" spans="1:16" x14ac:dyDescent="0.25">
      <c r="A13923" t="str">
        <f>"1200019B00167    00"</f>
        <v>1200019B00167    00</v>
      </c>
      <c r="B13923" t="s">
        <v>30645</v>
      </c>
      <c r="C13923" t="s">
        <v>30646</v>
      </c>
      <c r="D13923" t="s">
        <v>20</v>
      </c>
      <c r="E13923" t="s">
        <v>39</v>
      </c>
      <c r="F13923">
        <v>0</v>
      </c>
      <c r="G13923">
        <v>0</v>
      </c>
      <c r="H13923">
        <v>17</v>
      </c>
      <c r="I13923" s="3">
        <v>19124.79</v>
      </c>
      <c r="J13923" s="3">
        <v>14788.15</v>
      </c>
      <c r="L13923">
        <v>810</v>
      </c>
      <c r="M13923" t="s">
        <v>30638</v>
      </c>
      <c r="N13923" t="s">
        <v>30</v>
      </c>
      <c r="O13923" t="s">
        <v>31</v>
      </c>
      <c r="P13923" t="str">
        <f t="shared" si="176"/>
        <v>15220</v>
      </c>
    </row>
    <row r="13924" spans="1:16" x14ac:dyDescent="0.25">
      <c r="A13924" t="str">
        <f>"1200019B00178    00"</f>
        <v>1200019B00178    00</v>
      </c>
      <c r="B13924" t="s">
        <v>30647</v>
      </c>
      <c r="C13924" t="s">
        <v>30648</v>
      </c>
      <c r="D13924" t="s">
        <v>20</v>
      </c>
      <c r="E13924" t="s">
        <v>39</v>
      </c>
      <c r="F13924">
        <v>0</v>
      </c>
      <c r="G13924">
        <v>0</v>
      </c>
      <c r="H13924">
        <v>11</v>
      </c>
      <c r="I13924" s="3">
        <v>4364.37</v>
      </c>
      <c r="J13924" s="3">
        <v>3491.02</v>
      </c>
      <c r="L13924">
        <v>742</v>
      </c>
      <c r="M13924" t="s">
        <v>30629</v>
      </c>
      <c r="N13924" t="s">
        <v>30</v>
      </c>
      <c r="O13924" t="s">
        <v>31</v>
      </c>
      <c r="P13924" t="str">
        <f t="shared" si="176"/>
        <v>15220</v>
      </c>
    </row>
    <row r="13925" spans="1:16" x14ac:dyDescent="0.25">
      <c r="A13925" t="str">
        <f>"1200019B00184    00"</f>
        <v>1200019B00184    00</v>
      </c>
      <c r="B13925" t="s">
        <v>30649</v>
      </c>
      <c r="C13925" t="s">
        <v>30650</v>
      </c>
      <c r="D13925" t="s">
        <v>20</v>
      </c>
      <c r="E13925" t="s">
        <v>39</v>
      </c>
      <c r="F13925">
        <v>0</v>
      </c>
      <c r="G13925">
        <v>0</v>
      </c>
      <c r="H13925">
        <v>19</v>
      </c>
      <c r="I13925" s="3">
        <v>3565.52</v>
      </c>
      <c r="J13925" s="3">
        <v>2460.15</v>
      </c>
      <c r="L13925">
        <v>748</v>
      </c>
      <c r="M13925" t="s">
        <v>30638</v>
      </c>
      <c r="N13925" t="s">
        <v>30</v>
      </c>
      <c r="O13925" t="s">
        <v>31</v>
      </c>
      <c r="P13925" t="str">
        <f t="shared" si="176"/>
        <v>15220</v>
      </c>
    </row>
    <row r="13926" spans="1:16" x14ac:dyDescent="0.25">
      <c r="A13926" t="str">
        <f>"1200019B00206    00"</f>
        <v>1200019B00206    00</v>
      </c>
      <c r="B13926" t="s">
        <v>30651</v>
      </c>
      <c r="C13926" t="s">
        <v>30652</v>
      </c>
      <c r="D13926" t="s">
        <v>20</v>
      </c>
      <c r="E13926" t="s">
        <v>39</v>
      </c>
      <c r="F13926">
        <v>0</v>
      </c>
      <c r="G13926">
        <v>0</v>
      </c>
      <c r="H13926">
        <v>1</v>
      </c>
      <c r="I13926" s="3">
        <v>592.77</v>
      </c>
      <c r="J13926" s="3">
        <v>0</v>
      </c>
      <c r="L13926">
        <v>827</v>
      </c>
      <c r="M13926" t="s">
        <v>30638</v>
      </c>
      <c r="N13926" t="s">
        <v>30</v>
      </c>
      <c r="O13926" t="s">
        <v>31</v>
      </c>
      <c r="P13926" t="str">
        <f t="shared" si="176"/>
        <v>15220</v>
      </c>
    </row>
    <row r="13927" spans="1:16" x14ac:dyDescent="0.25">
      <c r="A13927" t="str">
        <f>"1200019B00210    00"</f>
        <v>1200019B00210    00</v>
      </c>
      <c r="B13927" t="s">
        <v>30653</v>
      </c>
      <c r="C13927" t="s">
        <v>30650</v>
      </c>
      <c r="D13927" t="s">
        <v>20</v>
      </c>
      <c r="E13927" t="s">
        <v>39</v>
      </c>
      <c r="F13927">
        <v>0</v>
      </c>
      <c r="G13927">
        <v>0</v>
      </c>
      <c r="H13927">
        <v>19</v>
      </c>
      <c r="I13927" s="3">
        <v>3275.54</v>
      </c>
      <c r="J13927" s="3">
        <v>1880.86</v>
      </c>
      <c r="K13927" t="s">
        <v>1008</v>
      </c>
      <c r="P13927" t="str">
        <f>""</f>
        <v/>
      </c>
    </row>
    <row r="13928" spans="1:16" x14ac:dyDescent="0.25">
      <c r="A13928" t="str">
        <f>"1200019B00226    00"</f>
        <v>1200019B00226    00</v>
      </c>
      <c r="B13928" t="s">
        <v>30654</v>
      </c>
      <c r="C13928" t="s">
        <v>30655</v>
      </c>
      <c r="D13928" t="s">
        <v>20</v>
      </c>
      <c r="E13928" t="s">
        <v>39</v>
      </c>
      <c r="F13928">
        <v>0</v>
      </c>
      <c r="G13928">
        <v>0</v>
      </c>
      <c r="H13928">
        <v>2</v>
      </c>
      <c r="I13928" s="3">
        <v>1753.03</v>
      </c>
      <c r="J13928" s="3">
        <v>0</v>
      </c>
      <c r="K13928" t="s">
        <v>417</v>
      </c>
      <c r="L13928">
        <v>3001</v>
      </c>
      <c r="M13928" t="s">
        <v>330</v>
      </c>
      <c r="N13928" t="s">
        <v>331</v>
      </c>
      <c r="O13928" t="s">
        <v>108</v>
      </c>
      <c r="P13928" t="str">
        <f>"75063"</f>
        <v>75063</v>
      </c>
    </row>
    <row r="13929" spans="1:16" x14ac:dyDescent="0.25">
      <c r="A13929" t="str">
        <f>"1200019B00244    00"</f>
        <v>1200019B00244    00</v>
      </c>
      <c r="B13929" t="s">
        <v>30656</v>
      </c>
      <c r="C13929" t="s">
        <v>30657</v>
      </c>
      <c r="D13929" t="s">
        <v>20</v>
      </c>
      <c r="E13929" t="s">
        <v>39</v>
      </c>
      <c r="F13929">
        <v>0</v>
      </c>
      <c r="G13929">
        <v>0</v>
      </c>
      <c r="H13929">
        <v>5</v>
      </c>
      <c r="I13929" s="3">
        <v>3901.67</v>
      </c>
      <c r="J13929" s="3">
        <v>683.04</v>
      </c>
      <c r="K13929" t="s">
        <v>30658</v>
      </c>
      <c r="L13929">
        <v>1000</v>
      </c>
      <c r="M13929" t="s">
        <v>30659</v>
      </c>
      <c r="N13929" t="s">
        <v>30</v>
      </c>
      <c r="O13929" t="s">
        <v>31</v>
      </c>
      <c r="P13929" t="str">
        <f>"15220"</f>
        <v>15220</v>
      </c>
    </row>
    <row r="13930" spans="1:16" x14ac:dyDescent="0.25">
      <c r="A13930" t="str">
        <f>"1200019B00319    00"</f>
        <v>1200019B00319    00</v>
      </c>
      <c r="B13930" t="s">
        <v>30660</v>
      </c>
      <c r="C13930" t="s">
        <v>30661</v>
      </c>
      <c r="D13930" t="s">
        <v>20</v>
      </c>
      <c r="E13930" t="s">
        <v>39</v>
      </c>
      <c r="F13930">
        <v>0</v>
      </c>
      <c r="G13930">
        <v>0</v>
      </c>
      <c r="H13930">
        <v>5</v>
      </c>
      <c r="I13930" s="3">
        <v>902.75</v>
      </c>
      <c r="J13930" s="3">
        <v>167.67</v>
      </c>
      <c r="K13930" t="s">
        <v>30662</v>
      </c>
      <c r="L13930">
        <v>1200</v>
      </c>
      <c r="M13930" t="s">
        <v>30663</v>
      </c>
      <c r="N13930" t="s">
        <v>30</v>
      </c>
      <c r="O13930" t="s">
        <v>31</v>
      </c>
      <c r="P13930" t="str">
        <f>"15211"</f>
        <v>15211</v>
      </c>
    </row>
    <row r="13931" spans="1:16" x14ac:dyDescent="0.25">
      <c r="A13931" t="str">
        <f>"1200019B00326    00"</f>
        <v>1200019B00326    00</v>
      </c>
      <c r="B13931" t="s">
        <v>30664</v>
      </c>
      <c r="C13931" t="s">
        <v>30665</v>
      </c>
      <c r="D13931" t="s">
        <v>20</v>
      </c>
      <c r="E13931" t="s">
        <v>39</v>
      </c>
      <c r="F13931">
        <v>0</v>
      </c>
      <c r="G13931">
        <v>0</v>
      </c>
      <c r="H13931">
        <v>6</v>
      </c>
      <c r="I13931" s="3">
        <v>6383.39</v>
      </c>
      <c r="J13931" s="3">
        <v>1334.52</v>
      </c>
      <c r="L13931">
        <v>647</v>
      </c>
      <c r="M13931" t="s">
        <v>23413</v>
      </c>
      <c r="N13931" t="s">
        <v>30</v>
      </c>
      <c r="O13931" t="s">
        <v>31</v>
      </c>
      <c r="P13931" t="str">
        <f>"15205"</f>
        <v>15205</v>
      </c>
    </row>
    <row r="13932" spans="1:16" x14ac:dyDescent="0.25">
      <c r="A13932" t="str">
        <f>"1200019B00332    00"</f>
        <v>1200019B00332    00</v>
      </c>
      <c r="B13932" t="s">
        <v>30666</v>
      </c>
      <c r="C13932" t="s">
        <v>30667</v>
      </c>
      <c r="E13932" t="s">
        <v>39</v>
      </c>
      <c r="F13932">
        <v>0</v>
      </c>
      <c r="G13932">
        <v>0</v>
      </c>
      <c r="H13932">
        <v>2</v>
      </c>
      <c r="I13932" s="3">
        <v>1518.94</v>
      </c>
      <c r="J13932" s="3">
        <v>378.1</v>
      </c>
      <c r="K13932" t="s">
        <v>7553</v>
      </c>
      <c r="L13932">
        <v>510</v>
      </c>
      <c r="M13932" t="s">
        <v>30668</v>
      </c>
      <c r="N13932" t="s">
        <v>30</v>
      </c>
      <c r="O13932" t="s">
        <v>31</v>
      </c>
      <c r="P13932" t="str">
        <f>"15212"</f>
        <v>15212</v>
      </c>
    </row>
    <row r="13933" spans="1:16" x14ac:dyDescent="0.25">
      <c r="A13933" t="str">
        <f>"1200019B00334    00"</f>
        <v>1200019B00334    00</v>
      </c>
      <c r="B13933" t="s">
        <v>30669</v>
      </c>
      <c r="C13933" t="s">
        <v>30670</v>
      </c>
      <c r="D13933" t="s">
        <v>20</v>
      </c>
      <c r="E13933" t="s">
        <v>39</v>
      </c>
      <c r="F13933">
        <v>0</v>
      </c>
      <c r="G13933">
        <v>0</v>
      </c>
      <c r="H13933">
        <v>2</v>
      </c>
      <c r="I13933" s="3">
        <v>496.92</v>
      </c>
      <c r="J13933" s="3">
        <v>0</v>
      </c>
      <c r="K13933" t="s">
        <v>30671</v>
      </c>
      <c r="L13933">
        <v>1056</v>
      </c>
      <c r="M13933" t="s">
        <v>24940</v>
      </c>
      <c r="N13933" t="s">
        <v>30</v>
      </c>
      <c r="O13933" t="s">
        <v>31</v>
      </c>
      <c r="P13933" t="str">
        <f>"15220"</f>
        <v>15220</v>
      </c>
    </row>
    <row r="13934" spans="1:16" x14ac:dyDescent="0.25">
      <c r="A13934" t="str">
        <f>"1200019C00021    00"</f>
        <v>1200019C00021    00</v>
      </c>
      <c r="B13934" t="s">
        <v>30672</v>
      </c>
      <c r="C13934" t="s">
        <v>30673</v>
      </c>
      <c r="D13934" t="s">
        <v>20</v>
      </c>
      <c r="E13934" t="s">
        <v>39</v>
      </c>
      <c r="F13934">
        <v>0</v>
      </c>
      <c r="G13934">
        <v>0</v>
      </c>
      <c r="H13934">
        <v>11</v>
      </c>
      <c r="I13934" s="3">
        <v>10364.67</v>
      </c>
      <c r="J13934" s="3">
        <v>5992.79</v>
      </c>
      <c r="L13934">
        <v>112</v>
      </c>
      <c r="M13934" t="s">
        <v>26704</v>
      </c>
      <c r="N13934" t="s">
        <v>30</v>
      </c>
      <c r="O13934" t="s">
        <v>31</v>
      </c>
      <c r="P13934" t="str">
        <f>"15220"</f>
        <v>15220</v>
      </c>
    </row>
    <row r="13935" spans="1:16" x14ac:dyDescent="0.25">
      <c r="A13935" t="str">
        <f>"1200019C00035    00"</f>
        <v>1200019C00035    00</v>
      </c>
      <c r="B13935" t="s">
        <v>30674</v>
      </c>
      <c r="C13935" t="s">
        <v>30675</v>
      </c>
      <c r="D13935" t="s">
        <v>20</v>
      </c>
      <c r="E13935" t="s">
        <v>39</v>
      </c>
      <c r="F13935">
        <v>0</v>
      </c>
      <c r="G13935">
        <v>0</v>
      </c>
      <c r="H13935">
        <v>14</v>
      </c>
      <c r="I13935" s="3">
        <v>3575.24</v>
      </c>
      <c r="J13935" s="3">
        <v>2376.02</v>
      </c>
      <c r="M13935" t="s">
        <v>30676</v>
      </c>
      <c r="P13935" t="str">
        <f>""</f>
        <v/>
      </c>
    </row>
    <row r="13936" spans="1:16" x14ac:dyDescent="0.25">
      <c r="A13936" t="str">
        <f>"1200019C00037    00"</f>
        <v>1200019C00037    00</v>
      </c>
      <c r="B13936" t="s">
        <v>30677</v>
      </c>
      <c r="C13936" t="s">
        <v>30675</v>
      </c>
      <c r="D13936" t="s">
        <v>20</v>
      </c>
      <c r="E13936" t="s">
        <v>39</v>
      </c>
      <c r="F13936">
        <v>0</v>
      </c>
      <c r="G13936">
        <v>0</v>
      </c>
      <c r="H13936">
        <v>15</v>
      </c>
      <c r="I13936" s="3">
        <v>3451.51</v>
      </c>
      <c r="J13936" s="3">
        <v>2088.79</v>
      </c>
      <c r="K13936" t="s">
        <v>30678</v>
      </c>
      <c r="P13936" t="str">
        <f>""</f>
        <v/>
      </c>
    </row>
    <row r="13937" spans="1:16" x14ac:dyDescent="0.25">
      <c r="A13937" t="str">
        <f>"1200019C00046    00"</f>
        <v>1200019C00046    00</v>
      </c>
      <c r="B13937" t="s">
        <v>30679</v>
      </c>
      <c r="C13937" t="s">
        <v>30680</v>
      </c>
      <c r="D13937" t="s">
        <v>20</v>
      </c>
      <c r="E13937" t="s">
        <v>21</v>
      </c>
      <c r="F13937">
        <v>0</v>
      </c>
      <c r="G13937">
        <v>0</v>
      </c>
      <c r="H13937">
        <v>1</v>
      </c>
      <c r="I13937" s="3">
        <v>307.68</v>
      </c>
      <c r="J13937" s="3">
        <v>0</v>
      </c>
      <c r="L13937">
        <v>812</v>
      </c>
      <c r="M13937" t="s">
        <v>16891</v>
      </c>
      <c r="N13937" t="s">
        <v>30</v>
      </c>
      <c r="O13937" t="s">
        <v>31</v>
      </c>
      <c r="P13937" t="str">
        <f>"15220"</f>
        <v>15220</v>
      </c>
    </row>
    <row r="13938" spans="1:16" x14ac:dyDescent="0.25">
      <c r="A13938" t="str">
        <f>"1200019C00053    00"</f>
        <v>1200019C00053    00</v>
      </c>
      <c r="B13938" t="s">
        <v>30681</v>
      </c>
      <c r="C13938" t="s">
        <v>30682</v>
      </c>
      <c r="D13938" t="s">
        <v>20</v>
      </c>
      <c r="E13938" t="s">
        <v>39</v>
      </c>
      <c r="F13938">
        <v>0</v>
      </c>
      <c r="G13938">
        <v>0</v>
      </c>
      <c r="H13938">
        <v>3</v>
      </c>
      <c r="I13938" s="3">
        <v>1155.75</v>
      </c>
      <c r="J13938" s="3">
        <v>4.38</v>
      </c>
      <c r="L13938">
        <v>506</v>
      </c>
      <c r="M13938" t="s">
        <v>30683</v>
      </c>
      <c r="N13938" t="s">
        <v>30</v>
      </c>
      <c r="O13938" t="s">
        <v>31</v>
      </c>
      <c r="P13938" t="str">
        <f>"15205"</f>
        <v>15205</v>
      </c>
    </row>
    <row r="13939" spans="1:16" x14ac:dyDescent="0.25">
      <c r="A13939" t="str">
        <f>"1200019C00055    00"</f>
        <v>1200019C00055    00</v>
      </c>
      <c r="B13939" t="s">
        <v>30684</v>
      </c>
      <c r="C13939" t="s">
        <v>30685</v>
      </c>
      <c r="E13939" t="s">
        <v>290</v>
      </c>
      <c r="F13939">
        <v>0</v>
      </c>
      <c r="G13939">
        <v>0</v>
      </c>
      <c r="H13939">
        <v>1</v>
      </c>
      <c r="I13939" s="3">
        <v>27</v>
      </c>
      <c r="J13939" s="3">
        <v>18.68</v>
      </c>
      <c r="K13939" t="s">
        <v>30686</v>
      </c>
      <c r="L13939">
        <v>800</v>
      </c>
      <c r="M13939" t="s">
        <v>16891</v>
      </c>
      <c r="N13939" t="s">
        <v>30</v>
      </c>
      <c r="O13939" t="s">
        <v>31</v>
      </c>
      <c r="P13939" t="str">
        <f>"15220"</f>
        <v>15220</v>
      </c>
    </row>
    <row r="13940" spans="1:16" x14ac:dyDescent="0.25">
      <c r="A13940" t="str">
        <f>"1200019C00061    00"</f>
        <v>1200019C00061    00</v>
      </c>
      <c r="B13940" t="s">
        <v>30687</v>
      </c>
      <c r="C13940" t="s">
        <v>30688</v>
      </c>
      <c r="D13940" t="s">
        <v>20</v>
      </c>
      <c r="E13940" t="s">
        <v>39</v>
      </c>
      <c r="F13940">
        <v>0</v>
      </c>
      <c r="G13940">
        <v>0</v>
      </c>
      <c r="H13940">
        <v>2</v>
      </c>
      <c r="I13940" s="3">
        <v>109.24</v>
      </c>
      <c r="J13940" s="3">
        <v>10.92</v>
      </c>
      <c r="L13940">
        <v>139</v>
      </c>
      <c r="M13940" t="s">
        <v>30689</v>
      </c>
      <c r="N13940" t="s">
        <v>30</v>
      </c>
      <c r="O13940" t="s">
        <v>31</v>
      </c>
      <c r="P13940" t="str">
        <f>"15220"</f>
        <v>15220</v>
      </c>
    </row>
    <row r="13941" spans="1:16" x14ac:dyDescent="0.25">
      <c r="A13941" t="str">
        <f>"1200019C00062    00"</f>
        <v>1200019C00062    00</v>
      </c>
      <c r="B13941" t="s">
        <v>30690</v>
      </c>
      <c r="C13941" t="s">
        <v>30675</v>
      </c>
      <c r="D13941" t="s">
        <v>20</v>
      </c>
      <c r="E13941" t="s">
        <v>39</v>
      </c>
      <c r="F13941">
        <v>0</v>
      </c>
      <c r="G13941">
        <v>0</v>
      </c>
      <c r="H13941">
        <v>2</v>
      </c>
      <c r="I13941" s="3">
        <v>537.52</v>
      </c>
      <c r="J13941" s="3">
        <v>53.75</v>
      </c>
      <c r="L13941">
        <v>139</v>
      </c>
      <c r="M13941" t="s">
        <v>30689</v>
      </c>
      <c r="N13941" t="s">
        <v>30</v>
      </c>
      <c r="O13941" t="s">
        <v>31</v>
      </c>
      <c r="P13941" t="str">
        <f>"15220"</f>
        <v>15220</v>
      </c>
    </row>
    <row r="13942" spans="1:16" x14ac:dyDescent="0.25">
      <c r="A13942" t="str">
        <f>"1200019C00064    00"</f>
        <v>1200019C00064    00</v>
      </c>
      <c r="B13942" t="s">
        <v>30691</v>
      </c>
      <c r="C13942" t="s">
        <v>30692</v>
      </c>
      <c r="D13942" t="s">
        <v>20</v>
      </c>
      <c r="E13942" t="s">
        <v>39</v>
      </c>
      <c r="F13942">
        <v>0</v>
      </c>
      <c r="G13942">
        <v>0</v>
      </c>
      <c r="H13942">
        <v>1</v>
      </c>
      <c r="I13942" s="3">
        <v>352.62</v>
      </c>
      <c r="J13942" s="3">
        <v>0</v>
      </c>
      <c r="L13942">
        <v>621</v>
      </c>
      <c r="M13942" t="s">
        <v>30693</v>
      </c>
      <c r="N13942" t="s">
        <v>30</v>
      </c>
      <c r="O13942" t="s">
        <v>31</v>
      </c>
      <c r="P13942" t="str">
        <f>"15220"</f>
        <v>15220</v>
      </c>
    </row>
    <row r="13943" spans="1:16" x14ac:dyDescent="0.25">
      <c r="A13943" t="str">
        <f>"1200019C00066    00"</f>
        <v>1200019C00066    00</v>
      </c>
      <c r="B13943" t="s">
        <v>30694</v>
      </c>
      <c r="C13943" t="s">
        <v>30675</v>
      </c>
      <c r="D13943" t="s">
        <v>20</v>
      </c>
      <c r="E13943" t="s">
        <v>39</v>
      </c>
      <c r="F13943">
        <v>0</v>
      </c>
      <c r="G13943">
        <v>0</v>
      </c>
      <c r="H13943">
        <v>15</v>
      </c>
      <c r="I13943" s="3">
        <v>5731.09</v>
      </c>
      <c r="J13943" s="3">
        <v>5098.5600000000004</v>
      </c>
      <c r="L13943">
        <v>1969</v>
      </c>
      <c r="M13943" t="s">
        <v>30695</v>
      </c>
      <c r="N13943" t="s">
        <v>5797</v>
      </c>
      <c r="O13943" t="s">
        <v>200</v>
      </c>
      <c r="P13943" t="str">
        <f>"11204"</f>
        <v>11204</v>
      </c>
    </row>
    <row r="13944" spans="1:16" x14ac:dyDescent="0.25">
      <c r="A13944" t="str">
        <f>"1200019C00071    00"</f>
        <v>1200019C00071    00</v>
      </c>
      <c r="B13944" t="s">
        <v>30696</v>
      </c>
      <c r="C13944" t="s">
        <v>30675</v>
      </c>
      <c r="D13944" t="s">
        <v>20</v>
      </c>
      <c r="E13944" t="s">
        <v>39</v>
      </c>
      <c r="F13944">
        <v>0</v>
      </c>
      <c r="G13944">
        <v>0</v>
      </c>
      <c r="H13944">
        <v>19</v>
      </c>
      <c r="I13944" s="3">
        <v>4634.3900000000003</v>
      </c>
      <c r="J13944" s="3">
        <v>3858.98</v>
      </c>
      <c r="P13944" t="str">
        <f>""</f>
        <v/>
      </c>
    </row>
    <row r="13945" spans="1:16" x14ac:dyDescent="0.25">
      <c r="A13945" t="str">
        <f>"1200019C00074    00"</f>
        <v>1200019C00074    00</v>
      </c>
      <c r="B13945" t="s">
        <v>30697</v>
      </c>
      <c r="C13945" t="s">
        <v>30675</v>
      </c>
      <c r="D13945" t="s">
        <v>20</v>
      </c>
      <c r="E13945" t="s">
        <v>39</v>
      </c>
      <c r="F13945">
        <v>0</v>
      </c>
      <c r="G13945">
        <v>0</v>
      </c>
      <c r="H13945">
        <v>19</v>
      </c>
      <c r="I13945" s="3">
        <v>7378.96</v>
      </c>
      <c r="J13945" s="3">
        <v>7788.68</v>
      </c>
      <c r="L13945">
        <v>748</v>
      </c>
      <c r="M13945" t="s">
        <v>30698</v>
      </c>
      <c r="N13945" t="s">
        <v>30</v>
      </c>
      <c r="O13945" t="s">
        <v>31</v>
      </c>
      <c r="P13945" t="str">
        <f>"15204"</f>
        <v>15204</v>
      </c>
    </row>
    <row r="13946" spans="1:16" x14ac:dyDescent="0.25">
      <c r="A13946" t="str">
        <f>"1200019C00083    00"</f>
        <v>1200019C00083    00</v>
      </c>
      <c r="B13946" t="s">
        <v>30699</v>
      </c>
      <c r="C13946" t="s">
        <v>30700</v>
      </c>
      <c r="D13946" t="s">
        <v>20</v>
      </c>
      <c r="E13946" t="s">
        <v>39</v>
      </c>
      <c r="F13946">
        <v>0</v>
      </c>
      <c r="G13946">
        <v>0</v>
      </c>
      <c r="H13946">
        <v>7</v>
      </c>
      <c r="I13946" s="3">
        <v>3079.82</v>
      </c>
      <c r="J13946" s="3">
        <v>851.65</v>
      </c>
      <c r="L13946">
        <v>100</v>
      </c>
      <c r="M13946" t="s">
        <v>30701</v>
      </c>
      <c r="N13946" t="s">
        <v>30</v>
      </c>
      <c r="O13946" t="s">
        <v>31</v>
      </c>
      <c r="P13946" t="str">
        <f>"15220"</f>
        <v>15220</v>
      </c>
    </row>
    <row r="13947" spans="1:16" x14ac:dyDescent="0.25">
      <c r="A13947" t="str">
        <f>"1200019C00085    00"</f>
        <v>1200019C00085    00</v>
      </c>
      <c r="B13947" t="s">
        <v>30702</v>
      </c>
      <c r="C13947" t="s">
        <v>30464</v>
      </c>
      <c r="D13947" t="s">
        <v>20</v>
      </c>
      <c r="E13947" t="s">
        <v>39</v>
      </c>
      <c r="F13947">
        <v>0</v>
      </c>
      <c r="G13947">
        <v>0</v>
      </c>
      <c r="H13947">
        <v>19</v>
      </c>
      <c r="I13947" s="3">
        <v>345.61</v>
      </c>
      <c r="J13947" s="3">
        <v>317.66000000000003</v>
      </c>
      <c r="K13947" t="s">
        <v>1037</v>
      </c>
      <c r="M13947" t="s">
        <v>30703</v>
      </c>
      <c r="N13947" t="s">
        <v>30704</v>
      </c>
      <c r="O13947" t="s">
        <v>31</v>
      </c>
      <c r="P13947" t="str">
        <f>"15424"</f>
        <v>15424</v>
      </c>
    </row>
    <row r="13948" spans="1:16" x14ac:dyDescent="0.25">
      <c r="A13948" t="str">
        <f>"1200019C00086    00"</f>
        <v>1200019C00086    00</v>
      </c>
      <c r="B13948" t="s">
        <v>30705</v>
      </c>
      <c r="C13948" t="s">
        <v>30706</v>
      </c>
      <c r="D13948" t="s">
        <v>20</v>
      </c>
      <c r="E13948" t="s">
        <v>39</v>
      </c>
      <c r="F13948">
        <v>0</v>
      </c>
      <c r="G13948">
        <v>0</v>
      </c>
      <c r="H13948">
        <v>3</v>
      </c>
      <c r="I13948" s="3">
        <v>1029.24</v>
      </c>
      <c r="J13948" s="3">
        <v>68.61</v>
      </c>
      <c r="K13948" t="s">
        <v>30707</v>
      </c>
      <c r="L13948">
        <v>529</v>
      </c>
      <c r="M13948" t="s">
        <v>30427</v>
      </c>
      <c r="N13948" t="s">
        <v>30</v>
      </c>
      <c r="O13948" t="s">
        <v>31</v>
      </c>
      <c r="P13948" t="str">
        <f>"15210"</f>
        <v>15210</v>
      </c>
    </row>
    <row r="13949" spans="1:16" x14ac:dyDescent="0.25">
      <c r="A13949" t="str">
        <f>"1200019C00087    00"</f>
        <v>1200019C00087    00</v>
      </c>
      <c r="B13949" t="s">
        <v>29068</v>
      </c>
      <c r="C13949" t="s">
        <v>30708</v>
      </c>
      <c r="D13949" t="s">
        <v>20</v>
      </c>
      <c r="E13949" t="s">
        <v>39</v>
      </c>
      <c r="F13949">
        <v>0</v>
      </c>
      <c r="G13949">
        <v>0</v>
      </c>
      <c r="H13949">
        <v>16</v>
      </c>
      <c r="I13949" s="3">
        <v>4191.3100000000004</v>
      </c>
      <c r="J13949" s="3">
        <v>3163.65</v>
      </c>
      <c r="M13949" t="s">
        <v>29325</v>
      </c>
      <c r="N13949" t="s">
        <v>30</v>
      </c>
      <c r="O13949" t="s">
        <v>31</v>
      </c>
      <c r="P13949" t="str">
        <f>"15243"</f>
        <v>15243</v>
      </c>
    </row>
    <row r="13950" spans="1:16" x14ac:dyDescent="0.25">
      <c r="A13950" t="str">
        <f>"1200019C00119    00"</f>
        <v>1200019C00119    00</v>
      </c>
      <c r="B13950" t="s">
        <v>30709</v>
      </c>
      <c r="C13950" t="s">
        <v>30710</v>
      </c>
      <c r="D13950" t="s">
        <v>20</v>
      </c>
      <c r="E13950" t="s">
        <v>39</v>
      </c>
      <c r="F13950">
        <v>0</v>
      </c>
      <c r="G13950">
        <v>0</v>
      </c>
      <c r="H13950">
        <v>5</v>
      </c>
      <c r="I13950" s="3">
        <v>2891.98</v>
      </c>
      <c r="J13950" s="3">
        <v>499.62</v>
      </c>
      <c r="L13950">
        <v>727</v>
      </c>
      <c r="M13950" t="s">
        <v>16891</v>
      </c>
      <c r="N13950" t="s">
        <v>30</v>
      </c>
      <c r="O13950" t="s">
        <v>31</v>
      </c>
      <c r="P13950" t="str">
        <f>"15220"</f>
        <v>15220</v>
      </c>
    </row>
    <row r="13951" spans="1:16" x14ac:dyDescent="0.25">
      <c r="A13951" t="str">
        <f>"1200019C00121    00"</f>
        <v>1200019C00121    00</v>
      </c>
      <c r="B13951" t="s">
        <v>30711</v>
      </c>
      <c r="C13951" t="s">
        <v>30712</v>
      </c>
      <c r="D13951" t="s">
        <v>20</v>
      </c>
      <c r="E13951" t="s">
        <v>39</v>
      </c>
      <c r="F13951">
        <v>0</v>
      </c>
      <c r="G13951">
        <v>0</v>
      </c>
      <c r="H13951">
        <v>17</v>
      </c>
      <c r="I13951" s="3">
        <v>10995.73</v>
      </c>
      <c r="J13951" s="3">
        <v>11171.07</v>
      </c>
      <c r="K13951" t="s">
        <v>30713</v>
      </c>
      <c r="L13951">
        <v>3033</v>
      </c>
      <c r="M13951" t="s">
        <v>30714</v>
      </c>
      <c r="N13951" t="s">
        <v>1928</v>
      </c>
      <c r="O13951" t="s">
        <v>31</v>
      </c>
      <c r="P13951" t="str">
        <f>"15317"</f>
        <v>15317</v>
      </c>
    </row>
    <row r="13952" spans="1:16" x14ac:dyDescent="0.25">
      <c r="A13952" t="str">
        <f>"1200019C00122    00"</f>
        <v>1200019C00122    00</v>
      </c>
      <c r="B13952" t="s">
        <v>30715</v>
      </c>
      <c r="C13952" t="s">
        <v>30716</v>
      </c>
      <c r="D13952" t="s">
        <v>20</v>
      </c>
      <c r="E13952" t="s">
        <v>39</v>
      </c>
      <c r="F13952">
        <v>0</v>
      </c>
      <c r="G13952">
        <v>0</v>
      </c>
      <c r="H13952">
        <v>13</v>
      </c>
      <c r="I13952" s="3">
        <v>6965.69</v>
      </c>
      <c r="J13952" s="3">
        <v>4028.61</v>
      </c>
      <c r="L13952">
        <v>2926</v>
      </c>
      <c r="M13952" t="s">
        <v>30717</v>
      </c>
      <c r="N13952" t="s">
        <v>30</v>
      </c>
      <c r="O13952" t="s">
        <v>31</v>
      </c>
      <c r="P13952" t="str">
        <f>"15227"</f>
        <v>15227</v>
      </c>
    </row>
    <row r="13953" spans="1:16" x14ac:dyDescent="0.25">
      <c r="A13953" t="str">
        <f>"1200019C00133    00"</f>
        <v>1200019C00133    00</v>
      </c>
      <c r="B13953" t="s">
        <v>30718</v>
      </c>
      <c r="C13953" t="s">
        <v>30719</v>
      </c>
      <c r="D13953" t="s">
        <v>20</v>
      </c>
      <c r="E13953" t="s">
        <v>39</v>
      </c>
      <c r="F13953">
        <v>0</v>
      </c>
      <c r="G13953">
        <v>0</v>
      </c>
      <c r="H13953">
        <v>19</v>
      </c>
      <c r="I13953" s="3">
        <v>723.31</v>
      </c>
      <c r="J13953" s="3">
        <v>464.19</v>
      </c>
      <c r="L13953">
        <v>736</v>
      </c>
      <c r="M13953" t="s">
        <v>30720</v>
      </c>
      <c r="N13953" t="s">
        <v>30</v>
      </c>
      <c r="O13953" t="s">
        <v>31</v>
      </c>
      <c r="P13953" t="str">
        <f>"15220"</f>
        <v>15220</v>
      </c>
    </row>
    <row r="13954" spans="1:16" x14ac:dyDescent="0.25">
      <c r="A13954" t="str">
        <f>"1200019C00139    00"</f>
        <v>1200019C00139    00</v>
      </c>
      <c r="B13954" t="s">
        <v>30718</v>
      </c>
      <c r="C13954" t="s">
        <v>30719</v>
      </c>
      <c r="D13954" t="s">
        <v>20</v>
      </c>
      <c r="E13954" t="s">
        <v>39</v>
      </c>
      <c r="F13954">
        <v>0</v>
      </c>
      <c r="G13954">
        <v>0</v>
      </c>
      <c r="H13954">
        <v>19</v>
      </c>
      <c r="I13954" s="3">
        <v>4289.01</v>
      </c>
      <c r="J13954" s="3">
        <v>3339.83</v>
      </c>
      <c r="L13954">
        <v>736</v>
      </c>
      <c r="M13954" t="s">
        <v>30720</v>
      </c>
      <c r="N13954" t="s">
        <v>30</v>
      </c>
      <c r="O13954" t="s">
        <v>31</v>
      </c>
      <c r="P13954" t="str">
        <f>"15220"</f>
        <v>15220</v>
      </c>
    </row>
    <row r="13955" spans="1:16" x14ac:dyDescent="0.25">
      <c r="A13955" t="str">
        <f>"1200019C00143    00"</f>
        <v>1200019C00143    00</v>
      </c>
      <c r="B13955" t="s">
        <v>30721</v>
      </c>
      <c r="C13955" t="s">
        <v>30722</v>
      </c>
      <c r="D13955" t="s">
        <v>20</v>
      </c>
      <c r="E13955" t="s">
        <v>39</v>
      </c>
      <c r="F13955">
        <v>0</v>
      </c>
      <c r="G13955">
        <v>0</v>
      </c>
      <c r="H13955">
        <v>16</v>
      </c>
      <c r="I13955" s="3">
        <v>8008.39</v>
      </c>
      <c r="J13955" s="3">
        <v>7015.09</v>
      </c>
      <c r="K13955" t="s">
        <v>30723</v>
      </c>
      <c r="L13955">
        <v>810</v>
      </c>
      <c r="M13955" t="s">
        <v>30693</v>
      </c>
      <c r="N13955" t="s">
        <v>30</v>
      </c>
      <c r="O13955" t="s">
        <v>31</v>
      </c>
      <c r="P13955" t="str">
        <f>"15220"</f>
        <v>15220</v>
      </c>
    </row>
    <row r="13956" spans="1:16" x14ac:dyDescent="0.25">
      <c r="A13956" t="str">
        <f>"1200019C00184    00"</f>
        <v>1200019C00184    00</v>
      </c>
      <c r="B13956" t="s">
        <v>1997</v>
      </c>
      <c r="C13956" t="s">
        <v>30724</v>
      </c>
      <c r="E13956" t="s">
        <v>39</v>
      </c>
      <c r="F13956">
        <v>0</v>
      </c>
      <c r="G13956">
        <v>0</v>
      </c>
      <c r="H13956">
        <v>14</v>
      </c>
      <c r="I13956" s="3">
        <v>12353.25</v>
      </c>
      <c r="J13956" s="3">
        <v>15113.6</v>
      </c>
      <c r="K13956" t="s">
        <v>2361</v>
      </c>
      <c r="L13956">
        <v>412</v>
      </c>
      <c r="M13956" t="s">
        <v>221</v>
      </c>
      <c r="N13956" t="s">
        <v>30</v>
      </c>
      <c r="O13956" t="s">
        <v>31</v>
      </c>
      <c r="P13956" t="str">
        <f>"15219"</f>
        <v>15219</v>
      </c>
    </row>
    <row r="13957" spans="1:16" x14ac:dyDescent="0.25">
      <c r="A13957" t="str">
        <f>"1200019C00187    00"</f>
        <v>1200019C00187    00</v>
      </c>
      <c r="B13957" t="s">
        <v>30725</v>
      </c>
      <c r="C13957" t="s">
        <v>30726</v>
      </c>
      <c r="D13957" t="s">
        <v>20</v>
      </c>
      <c r="E13957" t="s">
        <v>39</v>
      </c>
      <c r="F13957">
        <v>0</v>
      </c>
      <c r="G13957">
        <v>0</v>
      </c>
      <c r="H13957">
        <v>8</v>
      </c>
      <c r="I13957" s="3">
        <v>452.08</v>
      </c>
      <c r="J13957" s="3">
        <v>147.41999999999999</v>
      </c>
      <c r="K13957" t="s">
        <v>30727</v>
      </c>
      <c r="L13957">
        <v>735</v>
      </c>
      <c r="M13957" t="s">
        <v>30720</v>
      </c>
      <c r="N13957" t="s">
        <v>30</v>
      </c>
      <c r="O13957" t="s">
        <v>31</v>
      </c>
      <c r="P13957" t="str">
        <f>"15220"</f>
        <v>15220</v>
      </c>
    </row>
    <row r="13958" spans="1:16" x14ac:dyDescent="0.25">
      <c r="A13958" t="str">
        <f>"1200019C00198    00"</f>
        <v>1200019C00198    00</v>
      </c>
      <c r="B13958" t="s">
        <v>30728</v>
      </c>
      <c r="C13958" t="s">
        <v>30464</v>
      </c>
      <c r="D13958" t="s">
        <v>20</v>
      </c>
      <c r="E13958" t="s">
        <v>39</v>
      </c>
      <c r="F13958">
        <v>0</v>
      </c>
      <c r="G13958">
        <v>0</v>
      </c>
      <c r="H13958">
        <v>19</v>
      </c>
      <c r="I13958" s="3">
        <v>4423.91</v>
      </c>
      <c r="J13958" s="3">
        <v>3455.01</v>
      </c>
      <c r="L13958">
        <v>708</v>
      </c>
      <c r="M13958" t="s">
        <v>30729</v>
      </c>
      <c r="N13958" t="s">
        <v>30</v>
      </c>
      <c r="O13958" t="s">
        <v>31</v>
      </c>
      <c r="P13958" t="str">
        <f>"15220"</f>
        <v>15220</v>
      </c>
    </row>
    <row r="13959" spans="1:16" x14ac:dyDescent="0.25">
      <c r="A13959" t="str">
        <f>"1200019C00213    00"</f>
        <v>1200019C00213    00</v>
      </c>
      <c r="B13959" t="s">
        <v>1997</v>
      </c>
      <c r="C13959" t="s">
        <v>30730</v>
      </c>
      <c r="E13959" t="s">
        <v>39</v>
      </c>
      <c r="F13959">
        <v>0</v>
      </c>
      <c r="G13959">
        <v>0</v>
      </c>
      <c r="H13959">
        <v>12</v>
      </c>
      <c r="I13959" s="3">
        <v>6669.62</v>
      </c>
      <c r="J13959" s="3">
        <v>7738.67</v>
      </c>
      <c r="K13959" t="s">
        <v>2361</v>
      </c>
      <c r="L13959">
        <v>412</v>
      </c>
      <c r="M13959" t="s">
        <v>221</v>
      </c>
      <c r="N13959" t="s">
        <v>30</v>
      </c>
      <c r="O13959" t="s">
        <v>31</v>
      </c>
      <c r="P13959" t="str">
        <f>"15219"</f>
        <v>15219</v>
      </c>
    </row>
    <row r="13960" spans="1:16" x14ac:dyDescent="0.25">
      <c r="A13960" t="str">
        <f>"1200019C00213B   00"</f>
        <v>1200019C00213B   00</v>
      </c>
      <c r="B13960" t="s">
        <v>13709</v>
      </c>
      <c r="C13960" t="s">
        <v>30731</v>
      </c>
      <c r="D13960" t="s">
        <v>20</v>
      </c>
      <c r="E13960" t="s">
        <v>39</v>
      </c>
      <c r="F13960">
        <v>0</v>
      </c>
      <c r="G13960">
        <v>0</v>
      </c>
      <c r="H13960">
        <v>9</v>
      </c>
      <c r="I13960" s="3">
        <v>1868.34</v>
      </c>
      <c r="J13960" s="3">
        <v>0</v>
      </c>
      <c r="M13960" t="s">
        <v>30732</v>
      </c>
      <c r="N13960" t="s">
        <v>30</v>
      </c>
      <c r="O13960" t="s">
        <v>31</v>
      </c>
      <c r="P13960" t="str">
        <f>"15235"</f>
        <v>15235</v>
      </c>
    </row>
    <row r="13961" spans="1:16" x14ac:dyDescent="0.25">
      <c r="A13961" t="str">
        <f>"1200019C00224    00"</f>
        <v>1200019C00224    00</v>
      </c>
      <c r="B13961" t="s">
        <v>30733</v>
      </c>
      <c r="C13961" t="s">
        <v>30734</v>
      </c>
      <c r="D13961" t="s">
        <v>20</v>
      </c>
      <c r="E13961" t="s">
        <v>39</v>
      </c>
      <c r="F13961">
        <v>0</v>
      </c>
      <c r="G13961">
        <v>0</v>
      </c>
      <c r="H13961">
        <v>3</v>
      </c>
      <c r="I13961" s="3">
        <v>681.2</v>
      </c>
      <c r="J13961" s="3">
        <v>993.05</v>
      </c>
      <c r="L13961">
        <v>813</v>
      </c>
      <c r="M13961" t="s">
        <v>30729</v>
      </c>
      <c r="N13961" t="s">
        <v>30</v>
      </c>
      <c r="O13961" t="s">
        <v>31</v>
      </c>
      <c r="P13961" t="str">
        <f>"15220"</f>
        <v>15220</v>
      </c>
    </row>
    <row r="13962" spans="1:16" x14ac:dyDescent="0.25">
      <c r="A13962" t="str">
        <f>"1200019C00242    00"</f>
        <v>1200019C00242    00</v>
      </c>
      <c r="B13962" t="s">
        <v>26065</v>
      </c>
      <c r="C13962" t="s">
        <v>30735</v>
      </c>
      <c r="D13962" t="s">
        <v>20</v>
      </c>
      <c r="E13962" t="s">
        <v>39</v>
      </c>
      <c r="F13962">
        <v>0</v>
      </c>
      <c r="G13962">
        <v>0</v>
      </c>
      <c r="H13962">
        <v>2</v>
      </c>
      <c r="I13962" s="3">
        <v>987.32</v>
      </c>
      <c r="J13962" s="3">
        <v>0</v>
      </c>
      <c r="L13962">
        <v>14532</v>
      </c>
      <c r="M13962" t="s">
        <v>30736</v>
      </c>
      <c r="N13962" t="s">
        <v>13177</v>
      </c>
      <c r="O13962" t="s">
        <v>200</v>
      </c>
      <c r="P13962" t="str">
        <f>"11436"</f>
        <v>11436</v>
      </c>
    </row>
    <row r="13963" spans="1:16" x14ac:dyDescent="0.25">
      <c r="A13963" t="str">
        <f>"1200019C00255    00"</f>
        <v>1200019C00255    00</v>
      </c>
      <c r="B13963" t="s">
        <v>30737</v>
      </c>
      <c r="C13963" t="s">
        <v>30738</v>
      </c>
      <c r="E13963" t="s">
        <v>39</v>
      </c>
      <c r="F13963">
        <v>0</v>
      </c>
      <c r="G13963">
        <v>0</v>
      </c>
      <c r="H13963">
        <v>4</v>
      </c>
      <c r="I13963" s="3">
        <v>771.32</v>
      </c>
      <c r="J13963" s="3">
        <v>503.64</v>
      </c>
      <c r="L13963">
        <v>913</v>
      </c>
      <c r="M13963" t="s">
        <v>30739</v>
      </c>
      <c r="N13963" t="s">
        <v>30</v>
      </c>
      <c r="O13963" t="s">
        <v>31</v>
      </c>
      <c r="P13963" t="str">
        <f>"15220"</f>
        <v>15220</v>
      </c>
    </row>
    <row r="13964" spans="1:16" x14ac:dyDescent="0.25">
      <c r="A13964" t="str">
        <f>"1200019C00263    00"</f>
        <v>1200019C00263    00</v>
      </c>
      <c r="B13964" t="s">
        <v>30740</v>
      </c>
      <c r="C13964" t="s">
        <v>30741</v>
      </c>
      <c r="D13964" t="s">
        <v>20</v>
      </c>
      <c r="E13964" t="s">
        <v>39</v>
      </c>
      <c r="F13964">
        <v>0</v>
      </c>
      <c r="G13964">
        <v>0</v>
      </c>
      <c r="H13964">
        <v>18</v>
      </c>
      <c r="I13964" s="3">
        <v>8309.4500000000007</v>
      </c>
      <c r="J13964" s="3">
        <v>6329.19</v>
      </c>
      <c r="L13964">
        <v>702</v>
      </c>
      <c r="M13964" t="s">
        <v>30626</v>
      </c>
      <c r="N13964" t="s">
        <v>30</v>
      </c>
      <c r="O13964" t="s">
        <v>31</v>
      </c>
      <c r="P13964" t="str">
        <f>"15220"</f>
        <v>15220</v>
      </c>
    </row>
    <row r="13965" spans="1:16" x14ac:dyDescent="0.25">
      <c r="A13965" t="str">
        <f>"1200019C00267    00"</f>
        <v>1200019C00267    00</v>
      </c>
      <c r="B13965" t="s">
        <v>30742</v>
      </c>
      <c r="C13965" t="s">
        <v>30743</v>
      </c>
      <c r="D13965" t="s">
        <v>20</v>
      </c>
      <c r="E13965" t="s">
        <v>39</v>
      </c>
      <c r="F13965">
        <v>0</v>
      </c>
      <c r="G13965">
        <v>0</v>
      </c>
      <c r="H13965">
        <v>18</v>
      </c>
      <c r="I13965" s="3">
        <v>7579.06</v>
      </c>
      <c r="J13965" s="3">
        <v>6513.74</v>
      </c>
      <c r="L13965">
        <v>702</v>
      </c>
      <c r="M13965" t="s">
        <v>30626</v>
      </c>
      <c r="N13965" t="s">
        <v>30</v>
      </c>
      <c r="O13965" t="s">
        <v>31</v>
      </c>
      <c r="P13965" t="str">
        <f>"15220"</f>
        <v>15220</v>
      </c>
    </row>
    <row r="13966" spans="1:16" x14ac:dyDescent="0.25">
      <c r="A13966" t="str">
        <f>"1200019C00270    00"</f>
        <v>1200019C00270    00</v>
      </c>
      <c r="B13966" t="s">
        <v>30744</v>
      </c>
      <c r="C13966" t="s">
        <v>30745</v>
      </c>
      <c r="D13966" t="s">
        <v>20</v>
      </c>
      <c r="E13966" t="s">
        <v>39</v>
      </c>
      <c r="F13966">
        <v>0</v>
      </c>
      <c r="G13966">
        <v>0</v>
      </c>
      <c r="H13966">
        <v>2</v>
      </c>
      <c r="I13966" s="3">
        <v>1574.36</v>
      </c>
      <c r="J13966" s="3">
        <v>0</v>
      </c>
      <c r="L13966">
        <v>785</v>
      </c>
      <c r="M13966" t="s">
        <v>21031</v>
      </c>
      <c r="N13966" t="s">
        <v>30</v>
      </c>
      <c r="O13966" t="s">
        <v>31</v>
      </c>
      <c r="P13966" t="str">
        <f>"15217"</f>
        <v>15217</v>
      </c>
    </row>
    <row r="13967" spans="1:16" x14ac:dyDescent="0.25">
      <c r="A13967" t="str">
        <f>"1200019C00272    00"</f>
        <v>1200019C00272    00</v>
      </c>
      <c r="B13967" t="s">
        <v>30744</v>
      </c>
      <c r="C13967" t="s">
        <v>30746</v>
      </c>
      <c r="D13967" t="s">
        <v>20</v>
      </c>
      <c r="E13967" t="s">
        <v>21</v>
      </c>
      <c r="F13967">
        <v>0</v>
      </c>
      <c r="G13967">
        <v>0</v>
      </c>
      <c r="H13967">
        <v>2</v>
      </c>
      <c r="I13967" s="3">
        <v>5950.56</v>
      </c>
      <c r="J13967" s="3">
        <v>0</v>
      </c>
      <c r="L13967">
        <v>785</v>
      </c>
      <c r="M13967" t="s">
        <v>21031</v>
      </c>
      <c r="N13967" t="s">
        <v>30</v>
      </c>
      <c r="O13967" t="s">
        <v>31</v>
      </c>
      <c r="P13967" t="str">
        <f>"15217"</f>
        <v>15217</v>
      </c>
    </row>
    <row r="13968" spans="1:16" x14ac:dyDescent="0.25">
      <c r="A13968" t="str">
        <f>"1200019C00275    00"</f>
        <v>1200019C00275    00</v>
      </c>
      <c r="B13968" t="s">
        <v>30747</v>
      </c>
      <c r="C13968" t="s">
        <v>30748</v>
      </c>
      <c r="D13968" t="s">
        <v>20</v>
      </c>
      <c r="E13968" t="s">
        <v>39</v>
      </c>
      <c r="F13968">
        <v>0</v>
      </c>
      <c r="G13968">
        <v>0</v>
      </c>
      <c r="H13968">
        <v>18</v>
      </c>
      <c r="I13968" s="3">
        <v>4276.6899999999996</v>
      </c>
      <c r="J13968" s="3">
        <v>4151.8500000000004</v>
      </c>
      <c r="L13968">
        <v>757</v>
      </c>
      <c r="M13968" t="s">
        <v>24940</v>
      </c>
      <c r="N13968" t="s">
        <v>30</v>
      </c>
      <c r="O13968" t="s">
        <v>31</v>
      </c>
      <c r="P13968" t="str">
        <f>"15220"</f>
        <v>15220</v>
      </c>
    </row>
    <row r="13969" spans="1:16" x14ac:dyDescent="0.25">
      <c r="A13969" t="str">
        <f>"1200019C00278    00"</f>
        <v>1200019C00278    00</v>
      </c>
      <c r="B13969" t="s">
        <v>30749</v>
      </c>
      <c r="C13969" t="s">
        <v>30464</v>
      </c>
      <c r="D13969" t="s">
        <v>20</v>
      </c>
      <c r="E13969" t="s">
        <v>39</v>
      </c>
      <c r="F13969">
        <v>0</v>
      </c>
      <c r="G13969">
        <v>0</v>
      </c>
      <c r="H13969">
        <v>19</v>
      </c>
      <c r="I13969" s="3">
        <v>6391.6</v>
      </c>
      <c r="J13969" s="3">
        <v>7166.29</v>
      </c>
      <c r="K13969" t="s">
        <v>30750</v>
      </c>
      <c r="L13969">
        <v>1002</v>
      </c>
      <c r="M13969" t="s">
        <v>30751</v>
      </c>
      <c r="N13969" t="s">
        <v>30752</v>
      </c>
      <c r="O13969" t="s">
        <v>31</v>
      </c>
      <c r="P13969" t="str">
        <f>"15675"</f>
        <v>15675</v>
      </c>
    </row>
    <row r="13970" spans="1:16" x14ac:dyDescent="0.25">
      <c r="A13970" t="str">
        <f>"1200019C00290    00"</f>
        <v>1200019C00290    00</v>
      </c>
      <c r="B13970" t="s">
        <v>30753</v>
      </c>
      <c r="C13970" t="s">
        <v>30464</v>
      </c>
      <c r="D13970" t="s">
        <v>20</v>
      </c>
      <c r="E13970" t="s">
        <v>39</v>
      </c>
      <c r="F13970">
        <v>0</v>
      </c>
      <c r="G13970">
        <v>0</v>
      </c>
      <c r="H13970">
        <v>19</v>
      </c>
      <c r="I13970" s="3">
        <v>255.06</v>
      </c>
      <c r="J13970" s="3">
        <v>247.23</v>
      </c>
      <c r="K13970" t="s">
        <v>1037</v>
      </c>
      <c r="M13970" t="s">
        <v>30754</v>
      </c>
      <c r="N13970" t="s">
        <v>30755</v>
      </c>
      <c r="O13970" t="s">
        <v>423</v>
      </c>
      <c r="P13970" t="str">
        <f>"08232"</f>
        <v>08232</v>
      </c>
    </row>
    <row r="13971" spans="1:16" x14ac:dyDescent="0.25">
      <c r="A13971" t="str">
        <f>"1200019C00292    00"</f>
        <v>1200019C00292    00</v>
      </c>
      <c r="B13971" t="s">
        <v>30756</v>
      </c>
      <c r="C13971" t="s">
        <v>30757</v>
      </c>
      <c r="D13971" t="s">
        <v>20</v>
      </c>
      <c r="E13971" t="s">
        <v>39</v>
      </c>
      <c r="F13971">
        <v>0</v>
      </c>
      <c r="G13971">
        <v>0</v>
      </c>
      <c r="H13971">
        <v>2</v>
      </c>
      <c r="I13971" s="3">
        <v>49.56</v>
      </c>
      <c r="J13971" s="3">
        <v>0</v>
      </c>
      <c r="K13971" t="s">
        <v>30758</v>
      </c>
      <c r="L13971">
        <v>335</v>
      </c>
      <c r="M13971" t="s">
        <v>30759</v>
      </c>
      <c r="N13971" t="s">
        <v>24071</v>
      </c>
      <c r="O13971" t="s">
        <v>31</v>
      </c>
      <c r="P13971" t="str">
        <f>"15042"</f>
        <v>15042</v>
      </c>
    </row>
    <row r="13972" spans="1:16" x14ac:dyDescent="0.25">
      <c r="A13972" t="str">
        <f>"1200019C00305    00"</f>
        <v>1200019C00305    00</v>
      </c>
      <c r="B13972" t="s">
        <v>12981</v>
      </c>
      <c r="C13972" t="s">
        <v>30464</v>
      </c>
      <c r="D13972" t="s">
        <v>20</v>
      </c>
      <c r="E13972" t="s">
        <v>39</v>
      </c>
      <c r="F13972">
        <v>0</v>
      </c>
      <c r="G13972">
        <v>0</v>
      </c>
      <c r="H13972">
        <v>17</v>
      </c>
      <c r="I13972" s="3">
        <v>2384.87</v>
      </c>
      <c r="J13972" s="3">
        <v>1316.65</v>
      </c>
      <c r="L13972">
        <v>600</v>
      </c>
      <c r="M13972" t="s">
        <v>7842</v>
      </c>
      <c r="N13972" t="s">
        <v>12982</v>
      </c>
      <c r="O13972" t="s">
        <v>200</v>
      </c>
      <c r="P13972" t="str">
        <f>"11572"</f>
        <v>11572</v>
      </c>
    </row>
    <row r="13973" spans="1:16" x14ac:dyDescent="0.25">
      <c r="A13973" t="str">
        <f>"1200019C00321    00"</f>
        <v>1200019C00321    00</v>
      </c>
      <c r="B13973" t="s">
        <v>30760</v>
      </c>
      <c r="C13973" t="s">
        <v>30761</v>
      </c>
      <c r="E13973" t="s">
        <v>39</v>
      </c>
      <c r="F13973">
        <v>0</v>
      </c>
      <c r="G13973">
        <v>0</v>
      </c>
      <c r="H13973">
        <v>1</v>
      </c>
      <c r="I13973" s="3">
        <v>310.68</v>
      </c>
      <c r="J13973" s="3">
        <v>0</v>
      </c>
      <c r="L13973">
        <v>25</v>
      </c>
      <c r="M13973" t="s">
        <v>1826</v>
      </c>
      <c r="N13973" t="s">
        <v>149</v>
      </c>
      <c r="O13973" t="s">
        <v>31</v>
      </c>
      <c r="P13973" t="str">
        <f>"15106"</f>
        <v>15106</v>
      </c>
    </row>
    <row r="13974" spans="1:16" x14ac:dyDescent="0.25">
      <c r="A13974" t="str">
        <f>"1200019C00353    00"</f>
        <v>1200019C00353    00</v>
      </c>
      <c r="B13974" t="s">
        <v>30762</v>
      </c>
      <c r="C13974" t="s">
        <v>30763</v>
      </c>
      <c r="D13974" t="s">
        <v>20</v>
      </c>
      <c r="E13974" t="s">
        <v>39</v>
      </c>
      <c r="F13974">
        <v>0</v>
      </c>
      <c r="G13974">
        <v>0</v>
      </c>
      <c r="H13974">
        <v>8</v>
      </c>
      <c r="I13974" s="3">
        <v>5867.3</v>
      </c>
      <c r="J13974" s="3">
        <v>1683.76</v>
      </c>
      <c r="L13974">
        <v>334</v>
      </c>
      <c r="M13974" t="s">
        <v>30764</v>
      </c>
      <c r="N13974" t="s">
        <v>30</v>
      </c>
      <c r="O13974" t="s">
        <v>31</v>
      </c>
      <c r="P13974" t="str">
        <f>"15220"</f>
        <v>15220</v>
      </c>
    </row>
    <row r="13975" spans="1:16" x14ac:dyDescent="0.25">
      <c r="A13975" t="str">
        <f>"1200019D00003    00"</f>
        <v>1200019D00003    00</v>
      </c>
      <c r="B13975" t="s">
        <v>30765</v>
      </c>
      <c r="C13975" t="s">
        <v>30766</v>
      </c>
      <c r="D13975" t="s">
        <v>20</v>
      </c>
      <c r="E13975" t="s">
        <v>39</v>
      </c>
      <c r="F13975">
        <v>0</v>
      </c>
      <c r="G13975">
        <v>0</v>
      </c>
      <c r="H13975">
        <v>19</v>
      </c>
      <c r="I13975" s="3">
        <v>4975.43</v>
      </c>
      <c r="J13975" s="3">
        <v>4692.53</v>
      </c>
      <c r="K13975" t="s">
        <v>1008</v>
      </c>
      <c r="P13975" t="str">
        <f>""</f>
        <v/>
      </c>
    </row>
    <row r="13976" spans="1:16" x14ac:dyDescent="0.25">
      <c r="A13976" t="str">
        <f>"1200019D00011    00"</f>
        <v>1200019D00011    00</v>
      </c>
      <c r="B13976" t="s">
        <v>30767</v>
      </c>
      <c r="C13976" t="s">
        <v>30768</v>
      </c>
      <c r="D13976" t="s">
        <v>20</v>
      </c>
      <c r="E13976" t="s">
        <v>39</v>
      </c>
      <c r="F13976">
        <v>0</v>
      </c>
      <c r="G13976">
        <v>0</v>
      </c>
      <c r="H13976">
        <v>1</v>
      </c>
      <c r="I13976" s="3">
        <v>27.65</v>
      </c>
      <c r="J13976" s="3">
        <v>7.6</v>
      </c>
      <c r="L13976">
        <v>1661</v>
      </c>
      <c r="M13976" t="s">
        <v>30769</v>
      </c>
      <c r="N13976" t="s">
        <v>4652</v>
      </c>
      <c r="O13976" t="s">
        <v>370</v>
      </c>
      <c r="P13976" t="str">
        <f>"33145"</f>
        <v>33145</v>
      </c>
    </row>
    <row r="13977" spans="1:16" x14ac:dyDescent="0.25">
      <c r="A13977" t="str">
        <f>"1200019D00017    02"</f>
        <v>1200019D00017    02</v>
      </c>
      <c r="B13977" t="s">
        <v>30770</v>
      </c>
      <c r="C13977" t="s">
        <v>30771</v>
      </c>
      <c r="D13977" t="s">
        <v>20</v>
      </c>
      <c r="E13977" t="s">
        <v>39</v>
      </c>
      <c r="F13977">
        <v>0</v>
      </c>
      <c r="G13977">
        <v>0</v>
      </c>
      <c r="H13977">
        <v>9</v>
      </c>
      <c r="I13977" s="3">
        <v>2351.9699999999998</v>
      </c>
      <c r="J13977" s="3">
        <v>890.59</v>
      </c>
      <c r="L13977">
        <v>2509</v>
      </c>
      <c r="M13977" t="s">
        <v>26586</v>
      </c>
      <c r="N13977" t="s">
        <v>30</v>
      </c>
      <c r="O13977" t="s">
        <v>31</v>
      </c>
      <c r="P13977" t="str">
        <f>"15234"</f>
        <v>15234</v>
      </c>
    </row>
    <row r="13978" spans="1:16" x14ac:dyDescent="0.25">
      <c r="A13978" t="str">
        <f>"1200019D00017000100"</f>
        <v>1200019D00017000100</v>
      </c>
      <c r="B13978" t="s">
        <v>30772</v>
      </c>
      <c r="C13978" t="s">
        <v>30773</v>
      </c>
      <c r="D13978" t="s">
        <v>20</v>
      </c>
      <c r="E13978" t="s">
        <v>39</v>
      </c>
      <c r="F13978">
        <v>0</v>
      </c>
      <c r="G13978">
        <v>0</v>
      </c>
      <c r="H13978">
        <v>1</v>
      </c>
      <c r="I13978" s="3">
        <v>869.13</v>
      </c>
      <c r="J13978" s="3">
        <v>0</v>
      </c>
      <c r="L13978">
        <v>211</v>
      </c>
      <c r="M13978" t="s">
        <v>30701</v>
      </c>
      <c r="N13978" t="s">
        <v>30</v>
      </c>
      <c r="O13978" t="s">
        <v>31</v>
      </c>
      <c r="P13978" t="str">
        <f>"15220"</f>
        <v>15220</v>
      </c>
    </row>
    <row r="13979" spans="1:16" x14ac:dyDescent="0.25">
      <c r="A13979" t="str">
        <f>"1200019D00027    00"</f>
        <v>1200019D00027    00</v>
      </c>
      <c r="B13979" t="s">
        <v>30774</v>
      </c>
      <c r="C13979" t="s">
        <v>30771</v>
      </c>
      <c r="E13979" t="s">
        <v>39</v>
      </c>
      <c r="F13979">
        <v>0</v>
      </c>
      <c r="G13979">
        <v>0</v>
      </c>
      <c r="H13979">
        <v>5</v>
      </c>
      <c r="I13979" s="3">
        <v>2532.7600000000002</v>
      </c>
      <c r="J13979" s="3">
        <v>768.53</v>
      </c>
      <c r="L13979">
        <v>1822</v>
      </c>
      <c r="M13979" t="s">
        <v>30775</v>
      </c>
      <c r="N13979" t="s">
        <v>30</v>
      </c>
      <c r="O13979" t="s">
        <v>31</v>
      </c>
      <c r="P13979" t="str">
        <f>"15210"</f>
        <v>15210</v>
      </c>
    </row>
    <row r="13980" spans="1:16" x14ac:dyDescent="0.25">
      <c r="A13980" t="str">
        <f>"1200019D00080    00"</f>
        <v>1200019D00080    00</v>
      </c>
      <c r="B13980" t="s">
        <v>30776</v>
      </c>
      <c r="C13980" t="s">
        <v>30777</v>
      </c>
      <c r="D13980" t="s">
        <v>20</v>
      </c>
      <c r="E13980" t="s">
        <v>39</v>
      </c>
      <c r="F13980">
        <v>0</v>
      </c>
      <c r="G13980">
        <v>0</v>
      </c>
      <c r="H13980">
        <v>13</v>
      </c>
      <c r="I13980" s="3">
        <v>7487.28</v>
      </c>
      <c r="J13980" s="3">
        <v>4169.8100000000004</v>
      </c>
      <c r="M13980" t="s">
        <v>29325</v>
      </c>
      <c r="N13980" t="s">
        <v>30</v>
      </c>
      <c r="O13980" t="s">
        <v>31</v>
      </c>
      <c r="P13980" t="str">
        <f>"15243"</f>
        <v>15243</v>
      </c>
    </row>
    <row r="13981" spans="1:16" x14ac:dyDescent="0.25">
      <c r="A13981" t="str">
        <f>"1200019D00083    00"</f>
        <v>1200019D00083    00</v>
      </c>
      <c r="B13981" t="s">
        <v>30778</v>
      </c>
      <c r="C13981" t="s">
        <v>30771</v>
      </c>
      <c r="D13981" t="s">
        <v>20</v>
      </c>
      <c r="E13981" t="s">
        <v>39</v>
      </c>
      <c r="F13981">
        <v>0</v>
      </c>
      <c r="G13981">
        <v>0</v>
      </c>
      <c r="H13981">
        <v>19</v>
      </c>
      <c r="I13981" s="3">
        <v>5442.8</v>
      </c>
      <c r="J13981" s="3">
        <v>4983.5200000000004</v>
      </c>
      <c r="L13981">
        <v>805</v>
      </c>
      <c r="M13981" t="s">
        <v>30729</v>
      </c>
      <c r="N13981" t="s">
        <v>30</v>
      </c>
      <c r="O13981" t="s">
        <v>31</v>
      </c>
      <c r="P13981" t="str">
        <f>"15220"</f>
        <v>15220</v>
      </c>
    </row>
    <row r="13982" spans="1:16" x14ac:dyDescent="0.25">
      <c r="A13982" t="str">
        <f>"1200019D00084    00"</f>
        <v>1200019D00084    00</v>
      </c>
      <c r="B13982" t="s">
        <v>30779</v>
      </c>
      <c r="C13982" t="s">
        <v>30771</v>
      </c>
      <c r="D13982" t="s">
        <v>20</v>
      </c>
      <c r="E13982" t="s">
        <v>39</v>
      </c>
      <c r="F13982">
        <v>0</v>
      </c>
      <c r="G13982">
        <v>0</v>
      </c>
      <c r="H13982">
        <v>16</v>
      </c>
      <c r="I13982" s="3">
        <v>3947.64</v>
      </c>
      <c r="J13982" s="3">
        <v>2726.74</v>
      </c>
      <c r="L13982">
        <v>214</v>
      </c>
      <c r="M13982" t="s">
        <v>2042</v>
      </c>
      <c r="N13982" t="s">
        <v>30</v>
      </c>
      <c r="O13982" t="s">
        <v>31</v>
      </c>
      <c r="P13982" t="str">
        <f>"15205"</f>
        <v>15205</v>
      </c>
    </row>
    <row r="13983" spans="1:16" x14ac:dyDescent="0.25">
      <c r="A13983" t="str">
        <f>"1200019D00086    00"</f>
        <v>1200019D00086    00</v>
      </c>
      <c r="B13983" t="s">
        <v>30780</v>
      </c>
      <c r="C13983" t="s">
        <v>30781</v>
      </c>
      <c r="E13983" t="s">
        <v>39</v>
      </c>
      <c r="F13983">
        <v>0</v>
      </c>
      <c r="G13983">
        <v>0</v>
      </c>
      <c r="H13983">
        <v>1</v>
      </c>
      <c r="I13983" s="3">
        <v>183.62</v>
      </c>
      <c r="J13983" s="3">
        <v>50.49</v>
      </c>
      <c r="K13983" t="s">
        <v>25097</v>
      </c>
      <c r="L13983">
        <v>500</v>
      </c>
      <c r="M13983" t="s">
        <v>25098</v>
      </c>
      <c r="N13983" t="s">
        <v>25099</v>
      </c>
      <c r="O13983" t="s">
        <v>1413</v>
      </c>
      <c r="P13983" t="str">
        <f>"27330"</f>
        <v>27330</v>
      </c>
    </row>
    <row r="13984" spans="1:16" x14ac:dyDescent="0.25">
      <c r="A13984" t="str">
        <f>"1200019D00087    00"</f>
        <v>1200019D00087    00</v>
      </c>
      <c r="B13984" t="s">
        <v>30782</v>
      </c>
      <c r="C13984" t="s">
        <v>30771</v>
      </c>
      <c r="D13984" t="s">
        <v>20</v>
      </c>
      <c r="E13984" t="s">
        <v>39</v>
      </c>
      <c r="F13984">
        <v>0</v>
      </c>
      <c r="G13984">
        <v>0</v>
      </c>
      <c r="H13984">
        <v>19</v>
      </c>
      <c r="I13984" s="3">
        <v>7729.51</v>
      </c>
      <c r="J13984" s="3">
        <v>8434.44</v>
      </c>
      <c r="L13984">
        <v>102</v>
      </c>
      <c r="M13984" t="s">
        <v>30701</v>
      </c>
      <c r="N13984" t="s">
        <v>30</v>
      </c>
      <c r="O13984" t="s">
        <v>31</v>
      </c>
      <c r="P13984" t="str">
        <f>"15220"</f>
        <v>15220</v>
      </c>
    </row>
    <row r="13985" spans="1:16" x14ac:dyDescent="0.25">
      <c r="A13985" t="str">
        <f>"1200019D00091    00"</f>
        <v>1200019D00091    00</v>
      </c>
      <c r="B13985" t="s">
        <v>30783</v>
      </c>
      <c r="C13985" t="s">
        <v>30464</v>
      </c>
      <c r="D13985" t="s">
        <v>20</v>
      </c>
      <c r="E13985" t="s">
        <v>39</v>
      </c>
      <c r="F13985">
        <v>0</v>
      </c>
      <c r="G13985">
        <v>0</v>
      </c>
      <c r="H13985">
        <v>19</v>
      </c>
      <c r="I13985" s="3">
        <v>4700.8100000000004</v>
      </c>
      <c r="J13985" s="3">
        <v>4457.87</v>
      </c>
      <c r="P13985" t="str">
        <f>""</f>
        <v/>
      </c>
    </row>
    <row r="13986" spans="1:16" x14ac:dyDescent="0.25">
      <c r="A13986" t="str">
        <f>"1200019D00092    00"</f>
        <v>1200019D00092    00</v>
      </c>
      <c r="B13986" t="s">
        <v>30784</v>
      </c>
      <c r="C13986" t="s">
        <v>30464</v>
      </c>
      <c r="D13986" t="s">
        <v>20</v>
      </c>
      <c r="E13986" t="s">
        <v>39</v>
      </c>
      <c r="F13986">
        <v>0</v>
      </c>
      <c r="G13986">
        <v>0</v>
      </c>
      <c r="H13986">
        <v>19</v>
      </c>
      <c r="I13986" s="3">
        <v>3142.68</v>
      </c>
      <c r="J13986" s="3">
        <v>1991.36</v>
      </c>
      <c r="K13986" t="s">
        <v>1008</v>
      </c>
      <c r="P13986" t="str">
        <f>""</f>
        <v/>
      </c>
    </row>
    <row r="13987" spans="1:16" x14ac:dyDescent="0.25">
      <c r="A13987" t="str">
        <f>"1200019D00095    00"</f>
        <v>1200019D00095    00</v>
      </c>
      <c r="B13987" t="s">
        <v>30785</v>
      </c>
      <c r="C13987" t="s">
        <v>30464</v>
      </c>
      <c r="D13987" t="s">
        <v>20</v>
      </c>
      <c r="E13987" t="s">
        <v>39</v>
      </c>
      <c r="F13987">
        <v>0</v>
      </c>
      <c r="G13987">
        <v>0</v>
      </c>
      <c r="H13987">
        <v>7</v>
      </c>
      <c r="I13987" s="3">
        <v>330.15</v>
      </c>
      <c r="J13987" s="3">
        <v>83.18</v>
      </c>
      <c r="L13987">
        <v>213</v>
      </c>
      <c r="M13987" t="s">
        <v>24940</v>
      </c>
      <c r="N13987" t="s">
        <v>30</v>
      </c>
      <c r="O13987" t="s">
        <v>31</v>
      </c>
      <c r="P13987" t="str">
        <f>"15220"</f>
        <v>15220</v>
      </c>
    </row>
    <row r="13988" spans="1:16" x14ac:dyDescent="0.25">
      <c r="A13988" t="str">
        <f>"1200019D00096    00"</f>
        <v>1200019D00096    00</v>
      </c>
      <c r="B13988" t="s">
        <v>30786</v>
      </c>
      <c r="C13988" t="s">
        <v>30464</v>
      </c>
      <c r="D13988" t="s">
        <v>20</v>
      </c>
      <c r="E13988" t="s">
        <v>39</v>
      </c>
      <c r="F13988">
        <v>0</v>
      </c>
      <c r="G13988">
        <v>0</v>
      </c>
      <c r="H13988">
        <v>6</v>
      </c>
      <c r="I13988" s="3">
        <v>921.26</v>
      </c>
      <c r="J13988" s="3">
        <v>206.61</v>
      </c>
      <c r="K13988" t="s">
        <v>30787</v>
      </c>
      <c r="L13988">
        <v>37</v>
      </c>
      <c r="M13988" t="s">
        <v>30788</v>
      </c>
      <c r="N13988" t="s">
        <v>30</v>
      </c>
      <c r="O13988" t="s">
        <v>31</v>
      </c>
      <c r="P13988" t="str">
        <f>"15205"</f>
        <v>15205</v>
      </c>
    </row>
    <row r="13989" spans="1:16" x14ac:dyDescent="0.25">
      <c r="A13989" t="str">
        <f>"1200019D00098    00"</f>
        <v>1200019D00098    00</v>
      </c>
      <c r="B13989" t="s">
        <v>30789</v>
      </c>
      <c r="C13989" t="s">
        <v>30464</v>
      </c>
      <c r="D13989" t="s">
        <v>20</v>
      </c>
      <c r="E13989" t="s">
        <v>39</v>
      </c>
      <c r="F13989">
        <v>0</v>
      </c>
      <c r="G13989">
        <v>0</v>
      </c>
      <c r="H13989">
        <v>19</v>
      </c>
      <c r="I13989" s="3">
        <v>3273.21</v>
      </c>
      <c r="J13989" s="3">
        <v>3754.84</v>
      </c>
      <c r="L13989">
        <v>206</v>
      </c>
      <c r="M13989" t="s">
        <v>24940</v>
      </c>
      <c r="N13989" t="s">
        <v>30</v>
      </c>
      <c r="O13989" t="s">
        <v>31</v>
      </c>
      <c r="P13989" t="str">
        <f>"15220"</f>
        <v>15220</v>
      </c>
    </row>
    <row r="13990" spans="1:16" x14ac:dyDescent="0.25">
      <c r="A13990" t="str">
        <f>"1200019D00100    00"</f>
        <v>1200019D00100    00</v>
      </c>
      <c r="B13990" t="s">
        <v>30789</v>
      </c>
      <c r="C13990" t="s">
        <v>30464</v>
      </c>
      <c r="D13990" t="s">
        <v>20</v>
      </c>
      <c r="E13990" t="s">
        <v>39</v>
      </c>
      <c r="F13990">
        <v>0</v>
      </c>
      <c r="G13990">
        <v>0</v>
      </c>
      <c r="H13990">
        <v>19</v>
      </c>
      <c r="I13990" s="3">
        <v>817.47</v>
      </c>
      <c r="J13990" s="3">
        <v>657.12</v>
      </c>
      <c r="K13990" t="s">
        <v>1008</v>
      </c>
      <c r="P13990" t="str">
        <f>""</f>
        <v/>
      </c>
    </row>
    <row r="13991" spans="1:16" x14ac:dyDescent="0.25">
      <c r="A13991" t="str">
        <f>"1200019D00107    00"</f>
        <v>1200019D00107    00</v>
      </c>
      <c r="B13991" t="s">
        <v>30468</v>
      </c>
      <c r="C13991" t="s">
        <v>30464</v>
      </c>
      <c r="D13991" t="s">
        <v>20</v>
      </c>
      <c r="E13991" t="s">
        <v>39</v>
      </c>
      <c r="F13991">
        <v>0</v>
      </c>
      <c r="G13991">
        <v>0</v>
      </c>
      <c r="H13991">
        <v>1</v>
      </c>
      <c r="I13991" s="3">
        <v>139.15</v>
      </c>
      <c r="J13991" s="3">
        <v>0</v>
      </c>
      <c r="K13991" t="s">
        <v>30418</v>
      </c>
      <c r="L13991">
        <v>3001</v>
      </c>
      <c r="M13991" t="s">
        <v>330</v>
      </c>
      <c r="N13991" t="s">
        <v>331</v>
      </c>
      <c r="O13991" t="s">
        <v>108</v>
      </c>
      <c r="P13991" t="str">
        <f>"75063"</f>
        <v>75063</v>
      </c>
    </row>
    <row r="13992" spans="1:16" x14ac:dyDescent="0.25">
      <c r="A13992" t="str">
        <f>"1200019D00129    00"</f>
        <v>1200019D00129    00</v>
      </c>
      <c r="B13992" t="s">
        <v>30790</v>
      </c>
      <c r="C13992" t="s">
        <v>30464</v>
      </c>
      <c r="D13992" t="s">
        <v>20</v>
      </c>
      <c r="E13992" t="s">
        <v>39</v>
      </c>
      <c r="F13992">
        <v>0</v>
      </c>
      <c r="G13992">
        <v>0</v>
      </c>
      <c r="H13992">
        <v>11</v>
      </c>
      <c r="I13992" s="3">
        <v>222.41</v>
      </c>
      <c r="J13992" s="3">
        <v>106.74</v>
      </c>
      <c r="K13992" t="s">
        <v>30791</v>
      </c>
      <c r="L13992">
        <v>500</v>
      </c>
      <c r="M13992" t="s">
        <v>30792</v>
      </c>
      <c r="N13992" t="s">
        <v>4150</v>
      </c>
      <c r="O13992" t="s">
        <v>31</v>
      </c>
      <c r="P13992" t="str">
        <f>"15116"</f>
        <v>15116</v>
      </c>
    </row>
    <row r="13993" spans="1:16" x14ac:dyDescent="0.25">
      <c r="A13993" t="str">
        <f>"1200019D00131    00"</f>
        <v>1200019D00131    00</v>
      </c>
      <c r="B13993" t="s">
        <v>30468</v>
      </c>
      <c r="C13993" t="s">
        <v>30464</v>
      </c>
      <c r="D13993" t="s">
        <v>20</v>
      </c>
      <c r="E13993" t="s">
        <v>39</v>
      </c>
      <c r="F13993">
        <v>0</v>
      </c>
      <c r="G13993">
        <v>0</v>
      </c>
      <c r="H13993">
        <v>1</v>
      </c>
      <c r="I13993" s="3">
        <v>38.119999999999997</v>
      </c>
      <c r="J13993" s="3">
        <v>0</v>
      </c>
      <c r="K13993" t="s">
        <v>30418</v>
      </c>
      <c r="L13993">
        <v>3001</v>
      </c>
      <c r="M13993" t="s">
        <v>330</v>
      </c>
      <c r="N13993" t="s">
        <v>331</v>
      </c>
      <c r="O13993" t="s">
        <v>108</v>
      </c>
      <c r="P13993" t="str">
        <f>"75063"</f>
        <v>75063</v>
      </c>
    </row>
    <row r="13994" spans="1:16" x14ac:dyDescent="0.25">
      <c r="A13994" t="str">
        <f>"1200019D00132    00"</f>
        <v>1200019D00132    00</v>
      </c>
      <c r="B13994" t="s">
        <v>30793</v>
      </c>
      <c r="C13994" t="s">
        <v>30794</v>
      </c>
      <c r="D13994" t="s">
        <v>20</v>
      </c>
      <c r="E13994" t="s">
        <v>21</v>
      </c>
      <c r="F13994">
        <v>0</v>
      </c>
      <c r="G13994">
        <v>0</v>
      </c>
      <c r="H13994">
        <v>2</v>
      </c>
      <c r="I13994" s="3">
        <v>3292.18</v>
      </c>
      <c r="J13994" s="3">
        <v>0</v>
      </c>
      <c r="L13994">
        <v>1527</v>
      </c>
      <c r="M13994" t="s">
        <v>30795</v>
      </c>
      <c r="N13994" t="s">
        <v>30</v>
      </c>
      <c r="O13994" t="s">
        <v>31</v>
      </c>
      <c r="P13994" t="str">
        <f>"15220"</f>
        <v>15220</v>
      </c>
    </row>
    <row r="13995" spans="1:16" x14ac:dyDescent="0.25">
      <c r="A13995" t="str">
        <f>"1200019D00135    00"</f>
        <v>1200019D00135    00</v>
      </c>
      <c r="B13995" t="s">
        <v>30468</v>
      </c>
      <c r="C13995" t="s">
        <v>30464</v>
      </c>
      <c r="D13995" t="s">
        <v>20</v>
      </c>
      <c r="E13995" t="s">
        <v>21</v>
      </c>
      <c r="F13995">
        <v>0</v>
      </c>
      <c r="G13995">
        <v>0</v>
      </c>
      <c r="H13995">
        <v>1</v>
      </c>
      <c r="I13995" s="3">
        <v>95.3</v>
      </c>
      <c r="J13995" s="3">
        <v>0</v>
      </c>
      <c r="K13995" t="s">
        <v>30418</v>
      </c>
      <c r="L13995">
        <v>3001</v>
      </c>
      <c r="M13995" t="s">
        <v>330</v>
      </c>
      <c r="N13995" t="s">
        <v>331</v>
      </c>
      <c r="O13995" t="s">
        <v>108</v>
      </c>
      <c r="P13995" t="str">
        <f>"75063"</f>
        <v>75063</v>
      </c>
    </row>
    <row r="13996" spans="1:16" x14ac:dyDescent="0.25">
      <c r="A13996" t="str">
        <f>"1200019D00139    00"</f>
        <v>1200019D00139    00</v>
      </c>
      <c r="B13996" t="s">
        <v>30468</v>
      </c>
      <c r="C13996" t="s">
        <v>30464</v>
      </c>
      <c r="D13996" t="s">
        <v>20</v>
      </c>
      <c r="E13996" t="s">
        <v>21</v>
      </c>
      <c r="F13996">
        <v>0</v>
      </c>
      <c r="G13996">
        <v>0</v>
      </c>
      <c r="H13996">
        <v>1</v>
      </c>
      <c r="I13996" s="3">
        <v>19.059999999999999</v>
      </c>
      <c r="J13996" s="3">
        <v>0</v>
      </c>
      <c r="K13996" t="s">
        <v>30418</v>
      </c>
      <c r="L13996">
        <v>3001</v>
      </c>
      <c r="M13996" t="s">
        <v>330</v>
      </c>
      <c r="N13996" t="s">
        <v>331</v>
      </c>
      <c r="O13996" t="s">
        <v>108</v>
      </c>
      <c r="P13996" t="str">
        <f>"75063"</f>
        <v>75063</v>
      </c>
    </row>
    <row r="13997" spans="1:16" x14ac:dyDescent="0.25">
      <c r="A13997" t="str">
        <f>"1200019D00141    00"</f>
        <v>1200019D00141    00</v>
      </c>
      <c r="B13997" t="s">
        <v>30468</v>
      </c>
      <c r="C13997" t="s">
        <v>30464</v>
      </c>
      <c r="D13997" t="s">
        <v>20</v>
      </c>
      <c r="E13997" t="s">
        <v>21</v>
      </c>
      <c r="F13997">
        <v>0</v>
      </c>
      <c r="G13997">
        <v>0</v>
      </c>
      <c r="H13997">
        <v>1</v>
      </c>
      <c r="I13997" s="3">
        <v>19.059999999999999</v>
      </c>
      <c r="J13997" s="3">
        <v>0</v>
      </c>
      <c r="K13997" t="s">
        <v>30418</v>
      </c>
      <c r="L13997">
        <v>3001</v>
      </c>
      <c r="M13997" t="s">
        <v>330</v>
      </c>
      <c r="N13997" t="s">
        <v>331</v>
      </c>
      <c r="O13997" t="s">
        <v>108</v>
      </c>
      <c r="P13997" t="str">
        <f>"75063"</f>
        <v>75063</v>
      </c>
    </row>
    <row r="13998" spans="1:16" x14ac:dyDescent="0.25">
      <c r="A13998" t="str">
        <f>"1200019D00144    00"</f>
        <v>1200019D00144    00</v>
      </c>
      <c r="B13998" t="s">
        <v>30468</v>
      </c>
      <c r="C13998" t="s">
        <v>30464</v>
      </c>
      <c r="D13998" t="s">
        <v>20</v>
      </c>
      <c r="E13998" t="s">
        <v>21</v>
      </c>
      <c r="F13998">
        <v>0</v>
      </c>
      <c r="G13998">
        <v>0</v>
      </c>
      <c r="H13998">
        <v>1</v>
      </c>
      <c r="I13998" s="3">
        <v>36.22</v>
      </c>
      <c r="J13998" s="3">
        <v>0</v>
      </c>
      <c r="K13998" t="s">
        <v>30418</v>
      </c>
      <c r="L13998">
        <v>3001</v>
      </c>
      <c r="M13998" t="s">
        <v>330</v>
      </c>
      <c r="N13998" t="s">
        <v>331</v>
      </c>
      <c r="O13998" t="s">
        <v>108</v>
      </c>
      <c r="P13998" t="str">
        <f>"75063"</f>
        <v>75063</v>
      </c>
    </row>
    <row r="13999" spans="1:16" x14ac:dyDescent="0.25">
      <c r="A13999" t="str">
        <f>"1200019D00146    00"</f>
        <v>1200019D00146    00</v>
      </c>
      <c r="B13999" t="s">
        <v>30468</v>
      </c>
      <c r="C13999" t="s">
        <v>30464</v>
      </c>
      <c r="D13999" t="s">
        <v>20</v>
      </c>
      <c r="E13999" t="s">
        <v>21</v>
      </c>
      <c r="F13999">
        <v>0</v>
      </c>
      <c r="G13999">
        <v>0</v>
      </c>
      <c r="H13999">
        <v>1</v>
      </c>
      <c r="I13999" s="3">
        <v>32.409999999999997</v>
      </c>
      <c r="J13999" s="3">
        <v>0</v>
      </c>
      <c r="K13999" t="s">
        <v>30418</v>
      </c>
      <c r="L13999">
        <v>3001</v>
      </c>
      <c r="M13999" t="s">
        <v>330</v>
      </c>
      <c r="N13999" t="s">
        <v>331</v>
      </c>
      <c r="O13999" t="s">
        <v>108</v>
      </c>
      <c r="P13999" t="str">
        <f>"75063"</f>
        <v>75063</v>
      </c>
    </row>
    <row r="14000" spans="1:16" x14ac:dyDescent="0.25">
      <c r="A14000" t="str">
        <f>"1200019D00161    00"</f>
        <v>1200019D00161    00</v>
      </c>
      <c r="B14000" t="s">
        <v>30796</v>
      </c>
      <c r="C14000" t="s">
        <v>30797</v>
      </c>
      <c r="D14000" t="s">
        <v>20</v>
      </c>
      <c r="E14000" t="s">
        <v>39</v>
      </c>
      <c r="F14000">
        <v>0</v>
      </c>
      <c r="G14000">
        <v>0</v>
      </c>
      <c r="H14000">
        <v>7</v>
      </c>
      <c r="I14000" s="3">
        <v>1380.06</v>
      </c>
      <c r="J14000" s="3">
        <v>491.55</v>
      </c>
      <c r="L14000">
        <v>1063</v>
      </c>
      <c r="M14000" t="s">
        <v>30798</v>
      </c>
      <c r="N14000" t="s">
        <v>30</v>
      </c>
      <c r="O14000" t="s">
        <v>31</v>
      </c>
      <c r="P14000" t="str">
        <f>"15205"</f>
        <v>15205</v>
      </c>
    </row>
    <row r="14001" spans="1:16" x14ac:dyDescent="0.25">
      <c r="A14001" t="str">
        <f>"1200019D00167    00"</f>
        <v>1200019D00167    00</v>
      </c>
      <c r="B14001" t="s">
        <v>30799</v>
      </c>
      <c r="C14001" t="s">
        <v>30800</v>
      </c>
      <c r="D14001" t="s">
        <v>20</v>
      </c>
      <c r="E14001" t="s">
        <v>39</v>
      </c>
      <c r="F14001">
        <v>0</v>
      </c>
      <c r="G14001">
        <v>0</v>
      </c>
      <c r="H14001">
        <v>3</v>
      </c>
      <c r="I14001" s="3">
        <v>1340.15</v>
      </c>
      <c r="J14001" s="3">
        <v>5.2</v>
      </c>
      <c r="L14001">
        <v>408</v>
      </c>
      <c r="M14001" t="s">
        <v>25567</v>
      </c>
      <c r="N14001" t="s">
        <v>30</v>
      </c>
      <c r="O14001" t="s">
        <v>31</v>
      </c>
      <c r="P14001" t="str">
        <f>"15220"</f>
        <v>15220</v>
      </c>
    </row>
    <row r="14002" spans="1:16" x14ac:dyDescent="0.25">
      <c r="A14002" t="str">
        <f>"1200019D00168    00"</f>
        <v>1200019D00168    00</v>
      </c>
      <c r="B14002" t="s">
        <v>30799</v>
      </c>
      <c r="C14002" t="s">
        <v>30801</v>
      </c>
      <c r="D14002" t="s">
        <v>20</v>
      </c>
      <c r="E14002" t="s">
        <v>39</v>
      </c>
      <c r="F14002">
        <v>0</v>
      </c>
      <c r="G14002">
        <v>0</v>
      </c>
      <c r="H14002">
        <v>3</v>
      </c>
      <c r="I14002" s="3">
        <v>62.94</v>
      </c>
      <c r="J14002" s="3">
        <v>4.2</v>
      </c>
      <c r="L14002">
        <v>131</v>
      </c>
      <c r="M14002" t="s">
        <v>24940</v>
      </c>
      <c r="N14002" t="s">
        <v>30</v>
      </c>
      <c r="O14002" t="s">
        <v>31</v>
      </c>
      <c r="P14002" t="str">
        <f>"15221"</f>
        <v>15221</v>
      </c>
    </row>
    <row r="14003" spans="1:16" x14ac:dyDescent="0.25">
      <c r="A14003" t="str">
        <f>"1200019D00170    00"</f>
        <v>1200019D00170    00</v>
      </c>
      <c r="B14003" t="s">
        <v>30468</v>
      </c>
      <c r="C14003" t="s">
        <v>30464</v>
      </c>
      <c r="D14003" t="s">
        <v>20</v>
      </c>
      <c r="E14003" t="s">
        <v>39</v>
      </c>
      <c r="F14003">
        <v>0</v>
      </c>
      <c r="G14003">
        <v>0</v>
      </c>
      <c r="H14003">
        <v>1</v>
      </c>
      <c r="I14003" s="3">
        <v>221.1</v>
      </c>
      <c r="J14003" s="3">
        <v>0</v>
      </c>
      <c r="K14003" t="s">
        <v>30418</v>
      </c>
      <c r="L14003">
        <v>3001</v>
      </c>
      <c r="M14003" t="s">
        <v>330</v>
      </c>
      <c r="N14003" t="s">
        <v>331</v>
      </c>
      <c r="O14003" t="s">
        <v>108</v>
      </c>
      <c r="P14003" t="str">
        <f>"75063"</f>
        <v>75063</v>
      </c>
    </row>
    <row r="14004" spans="1:16" x14ac:dyDescent="0.25">
      <c r="A14004" t="str">
        <f>"1200019D00179    00"</f>
        <v>1200019D00179    00</v>
      </c>
      <c r="B14004" t="s">
        <v>30416</v>
      </c>
      <c r="C14004" t="s">
        <v>30802</v>
      </c>
      <c r="D14004" t="s">
        <v>20</v>
      </c>
      <c r="E14004" t="s">
        <v>21</v>
      </c>
      <c r="F14004">
        <v>0</v>
      </c>
      <c r="G14004">
        <v>0</v>
      </c>
      <c r="H14004">
        <v>1</v>
      </c>
      <c r="I14004" s="3">
        <v>3812.02</v>
      </c>
      <c r="J14004" s="3">
        <v>0</v>
      </c>
      <c r="K14004" t="s">
        <v>30432</v>
      </c>
      <c r="L14004">
        <v>149</v>
      </c>
      <c r="M14004" t="s">
        <v>30803</v>
      </c>
      <c r="N14004" t="s">
        <v>30</v>
      </c>
      <c r="O14004" t="s">
        <v>31</v>
      </c>
      <c r="P14004" t="str">
        <f>"15220"</f>
        <v>15220</v>
      </c>
    </row>
    <row r="14005" spans="1:16" x14ac:dyDescent="0.25">
      <c r="A14005" t="str">
        <f>"1200019D00204    00"</f>
        <v>1200019D00204    00</v>
      </c>
      <c r="B14005" t="s">
        <v>30804</v>
      </c>
      <c r="C14005" t="s">
        <v>30464</v>
      </c>
      <c r="D14005" t="s">
        <v>20</v>
      </c>
      <c r="E14005" t="s">
        <v>39</v>
      </c>
      <c r="F14005">
        <v>0</v>
      </c>
      <c r="G14005">
        <v>0</v>
      </c>
      <c r="H14005">
        <v>3</v>
      </c>
      <c r="I14005" s="3">
        <v>737.64</v>
      </c>
      <c r="J14005" s="3">
        <v>49.17</v>
      </c>
      <c r="L14005">
        <v>91</v>
      </c>
      <c r="M14005" t="s">
        <v>30805</v>
      </c>
      <c r="N14005" t="s">
        <v>30</v>
      </c>
      <c r="O14005" t="s">
        <v>31</v>
      </c>
      <c r="P14005" t="str">
        <f>"15205"</f>
        <v>15205</v>
      </c>
    </row>
    <row r="14006" spans="1:16" x14ac:dyDescent="0.25">
      <c r="A14006" t="str">
        <f>"1200019D00213    01"</f>
        <v>1200019D00213    01</v>
      </c>
      <c r="B14006" t="s">
        <v>30806</v>
      </c>
      <c r="C14006" t="s">
        <v>30807</v>
      </c>
      <c r="D14006" t="s">
        <v>20</v>
      </c>
      <c r="E14006" t="s">
        <v>21</v>
      </c>
      <c r="F14006">
        <v>0</v>
      </c>
      <c r="G14006">
        <v>0</v>
      </c>
      <c r="H14006">
        <v>2</v>
      </c>
      <c r="I14006" s="3">
        <v>23.53</v>
      </c>
      <c r="J14006" s="3">
        <v>9.51</v>
      </c>
      <c r="L14006">
        <v>1228</v>
      </c>
      <c r="M14006" t="s">
        <v>28159</v>
      </c>
      <c r="N14006" t="s">
        <v>30</v>
      </c>
      <c r="O14006" t="s">
        <v>31</v>
      </c>
      <c r="P14006" t="str">
        <f>"15233"</f>
        <v>15233</v>
      </c>
    </row>
    <row r="14007" spans="1:16" x14ac:dyDescent="0.25">
      <c r="A14007" t="str">
        <f>"1200019D00226    00"</f>
        <v>1200019D00226    00</v>
      </c>
      <c r="B14007" t="s">
        <v>30808</v>
      </c>
      <c r="C14007" t="s">
        <v>30809</v>
      </c>
      <c r="D14007" t="s">
        <v>20</v>
      </c>
      <c r="E14007" t="s">
        <v>39</v>
      </c>
      <c r="F14007">
        <v>0</v>
      </c>
      <c r="G14007">
        <v>0</v>
      </c>
      <c r="H14007">
        <v>11</v>
      </c>
      <c r="I14007" s="3">
        <v>8691.6</v>
      </c>
      <c r="J14007" s="3">
        <v>4148.2</v>
      </c>
      <c r="L14007">
        <v>614</v>
      </c>
      <c r="M14007" t="s">
        <v>25567</v>
      </c>
      <c r="N14007" t="s">
        <v>30</v>
      </c>
      <c r="O14007" t="s">
        <v>31</v>
      </c>
      <c r="P14007" t="str">
        <f>"15220"</f>
        <v>15220</v>
      </c>
    </row>
    <row r="14008" spans="1:16" x14ac:dyDescent="0.25">
      <c r="A14008" t="str">
        <f>"1200019D00227    00"</f>
        <v>1200019D00227    00</v>
      </c>
      <c r="B14008" t="s">
        <v>30810</v>
      </c>
      <c r="C14008" t="s">
        <v>30811</v>
      </c>
      <c r="D14008" t="s">
        <v>20</v>
      </c>
      <c r="E14008" t="s">
        <v>39</v>
      </c>
      <c r="F14008">
        <v>0</v>
      </c>
      <c r="G14008">
        <v>0</v>
      </c>
      <c r="H14008">
        <v>11</v>
      </c>
      <c r="I14008" s="3">
        <v>8002.78</v>
      </c>
      <c r="J14008" s="3">
        <v>3819.47</v>
      </c>
      <c r="L14008">
        <v>612</v>
      </c>
      <c r="M14008" t="s">
        <v>25567</v>
      </c>
      <c r="N14008" t="s">
        <v>30</v>
      </c>
      <c r="O14008" t="s">
        <v>31</v>
      </c>
      <c r="P14008" t="str">
        <f>"15220"</f>
        <v>15220</v>
      </c>
    </row>
    <row r="14009" spans="1:16" x14ac:dyDescent="0.25">
      <c r="A14009" t="str">
        <f>"1200019D00234    00"</f>
        <v>1200019D00234    00</v>
      </c>
      <c r="B14009" t="s">
        <v>30812</v>
      </c>
      <c r="C14009" t="s">
        <v>30813</v>
      </c>
      <c r="D14009" t="s">
        <v>20</v>
      </c>
      <c r="E14009" t="s">
        <v>39</v>
      </c>
      <c r="F14009">
        <v>0</v>
      </c>
      <c r="G14009">
        <v>0</v>
      </c>
      <c r="H14009">
        <v>2</v>
      </c>
      <c r="I14009" s="3">
        <v>57.2</v>
      </c>
      <c r="J14009" s="3">
        <v>0</v>
      </c>
      <c r="L14009">
        <v>5616</v>
      </c>
      <c r="M14009" t="s">
        <v>30814</v>
      </c>
      <c r="N14009" t="s">
        <v>79</v>
      </c>
      <c r="O14009" t="s">
        <v>31</v>
      </c>
      <c r="P14009" t="str">
        <f>"15668"</f>
        <v>15668</v>
      </c>
    </row>
    <row r="14010" spans="1:16" x14ac:dyDescent="0.25">
      <c r="A14010" t="str">
        <f>"1200019D00247    00"</f>
        <v>1200019D00247    00</v>
      </c>
      <c r="B14010" t="s">
        <v>30815</v>
      </c>
      <c r="C14010" t="s">
        <v>30816</v>
      </c>
      <c r="E14010" t="s">
        <v>21</v>
      </c>
      <c r="F14010">
        <v>0</v>
      </c>
      <c r="G14010">
        <v>0</v>
      </c>
      <c r="H14010">
        <v>1</v>
      </c>
      <c r="I14010" s="3">
        <v>629.04</v>
      </c>
      <c r="J14010" s="3">
        <v>0</v>
      </c>
      <c r="L14010">
        <v>14</v>
      </c>
      <c r="M14010" t="s">
        <v>2066</v>
      </c>
      <c r="N14010" t="s">
        <v>30</v>
      </c>
      <c r="O14010" t="s">
        <v>31</v>
      </c>
      <c r="P14010" t="str">
        <f t="shared" ref="P14010:P14019" si="177">"15220"</f>
        <v>15220</v>
      </c>
    </row>
    <row r="14011" spans="1:16" x14ac:dyDescent="0.25">
      <c r="A14011" t="str">
        <f>"1200019D00259    00"</f>
        <v>1200019D00259    00</v>
      </c>
      <c r="B14011" t="s">
        <v>30817</v>
      </c>
      <c r="C14011" t="s">
        <v>30818</v>
      </c>
      <c r="E14011" t="s">
        <v>21</v>
      </c>
      <c r="F14011">
        <v>0</v>
      </c>
      <c r="G14011">
        <v>0</v>
      </c>
      <c r="H14011">
        <v>3</v>
      </c>
      <c r="I14011" s="3">
        <v>5293.04</v>
      </c>
      <c r="J14011" s="3">
        <v>1785.17</v>
      </c>
      <c r="L14011">
        <v>436</v>
      </c>
      <c r="M14011" t="s">
        <v>30819</v>
      </c>
      <c r="N14011" t="s">
        <v>30</v>
      </c>
      <c r="O14011" t="s">
        <v>31</v>
      </c>
      <c r="P14011" t="str">
        <f t="shared" si="177"/>
        <v>15220</v>
      </c>
    </row>
    <row r="14012" spans="1:16" x14ac:dyDescent="0.25">
      <c r="A14012" t="str">
        <f>"1200019D00260    00"</f>
        <v>1200019D00260    00</v>
      </c>
      <c r="B14012" t="s">
        <v>30817</v>
      </c>
      <c r="C14012" t="s">
        <v>30820</v>
      </c>
      <c r="E14012" t="s">
        <v>21</v>
      </c>
      <c r="F14012">
        <v>0</v>
      </c>
      <c r="G14012">
        <v>0</v>
      </c>
      <c r="H14012">
        <v>3</v>
      </c>
      <c r="I14012" s="3">
        <v>5259.56</v>
      </c>
      <c r="J14012" s="3">
        <v>1773.88</v>
      </c>
      <c r="L14012">
        <v>436</v>
      </c>
      <c r="M14012" t="s">
        <v>25567</v>
      </c>
      <c r="N14012" t="s">
        <v>30</v>
      </c>
      <c r="O14012" t="s">
        <v>31</v>
      </c>
      <c r="P14012" t="str">
        <f t="shared" si="177"/>
        <v>15220</v>
      </c>
    </row>
    <row r="14013" spans="1:16" x14ac:dyDescent="0.25">
      <c r="A14013" t="str">
        <f>"1200019D00261    00"</f>
        <v>1200019D00261    00</v>
      </c>
      <c r="B14013" t="s">
        <v>30817</v>
      </c>
      <c r="C14013" t="s">
        <v>30821</v>
      </c>
      <c r="E14013" t="s">
        <v>21</v>
      </c>
      <c r="F14013">
        <v>0</v>
      </c>
      <c r="G14013">
        <v>0</v>
      </c>
      <c r="H14013">
        <v>2</v>
      </c>
      <c r="I14013" s="3">
        <v>10147.209999999999</v>
      </c>
      <c r="J14013" s="3">
        <v>3415.98</v>
      </c>
      <c r="L14013">
        <v>436</v>
      </c>
      <c r="M14013" t="s">
        <v>25567</v>
      </c>
      <c r="N14013" t="s">
        <v>30</v>
      </c>
      <c r="O14013" t="s">
        <v>31</v>
      </c>
      <c r="P14013" t="str">
        <f t="shared" si="177"/>
        <v>15220</v>
      </c>
    </row>
    <row r="14014" spans="1:16" x14ac:dyDescent="0.25">
      <c r="A14014" t="str">
        <f>"1200019D00266    00"</f>
        <v>1200019D00266    00</v>
      </c>
      <c r="B14014" t="s">
        <v>30822</v>
      </c>
      <c r="C14014" t="s">
        <v>30823</v>
      </c>
      <c r="D14014" t="s">
        <v>20</v>
      </c>
      <c r="E14014" t="s">
        <v>21</v>
      </c>
      <c r="F14014">
        <v>0</v>
      </c>
      <c r="G14014">
        <v>0</v>
      </c>
      <c r="H14014">
        <v>4</v>
      </c>
      <c r="I14014" s="3">
        <v>11998.52</v>
      </c>
      <c r="J14014" s="3">
        <v>1417.36</v>
      </c>
      <c r="L14014">
        <v>426</v>
      </c>
      <c r="M14014" t="s">
        <v>25567</v>
      </c>
      <c r="N14014" t="s">
        <v>30</v>
      </c>
      <c r="O14014" t="s">
        <v>31</v>
      </c>
      <c r="P14014" t="str">
        <f t="shared" si="177"/>
        <v>15220</v>
      </c>
    </row>
    <row r="14015" spans="1:16" x14ac:dyDescent="0.25">
      <c r="A14015" t="str">
        <f>"1200019D00269    00"</f>
        <v>1200019D00269    00</v>
      </c>
      <c r="B14015" t="s">
        <v>30824</v>
      </c>
      <c r="C14015" t="s">
        <v>30825</v>
      </c>
      <c r="D14015" t="s">
        <v>20</v>
      </c>
      <c r="E14015" t="s">
        <v>21</v>
      </c>
      <c r="F14015">
        <v>0</v>
      </c>
      <c r="G14015">
        <v>0</v>
      </c>
      <c r="H14015">
        <v>4</v>
      </c>
      <c r="I14015" s="3">
        <v>2779.42</v>
      </c>
      <c r="J14015" s="3">
        <v>328.33</v>
      </c>
      <c r="K14015" t="s">
        <v>30826</v>
      </c>
      <c r="L14015">
        <v>424</v>
      </c>
      <c r="M14015" t="s">
        <v>25567</v>
      </c>
      <c r="N14015" t="s">
        <v>30</v>
      </c>
      <c r="O14015" t="s">
        <v>31</v>
      </c>
      <c r="P14015" t="str">
        <f t="shared" si="177"/>
        <v>15220</v>
      </c>
    </row>
    <row r="14016" spans="1:16" x14ac:dyDescent="0.25">
      <c r="A14016" t="str">
        <f>"1200019D00272    00"</f>
        <v>1200019D00272    00</v>
      </c>
      <c r="B14016" t="s">
        <v>30827</v>
      </c>
      <c r="C14016" t="s">
        <v>30825</v>
      </c>
      <c r="D14016" t="s">
        <v>20</v>
      </c>
      <c r="E14016" t="s">
        <v>21</v>
      </c>
      <c r="F14016">
        <v>0</v>
      </c>
      <c r="G14016">
        <v>0</v>
      </c>
      <c r="H14016">
        <v>8</v>
      </c>
      <c r="I14016" s="3">
        <v>862.18</v>
      </c>
      <c r="J14016" s="3">
        <v>282.11</v>
      </c>
      <c r="M14016" t="s">
        <v>30828</v>
      </c>
      <c r="N14016" t="s">
        <v>30</v>
      </c>
      <c r="O14016" t="s">
        <v>31</v>
      </c>
      <c r="P14016" t="str">
        <f t="shared" si="177"/>
        <v>15220</v>
      </c>
    </row>
    <row r="14017" spans="1:16" x14ac:dyDescent="0.25">
      <c r="A14017" t="str">
        <f>"1200019D00273    00"</f>
        <v>1200019D00273    00</v>
      </c>
      <c r="B14017" t="s">
        <v>30827</v>
      </c>
      <c r="C14017" t="s">
        <v>30825</v>
      </c>
      <c r="D14017" t="s">
        <v>20</v>
      </c>
      <c r="E14017" t="s">
        <v>21</v>
      </c>
      <c r="F14017">
        <v>0</v>
      </c>
      <c r="G14017">
        <v>0</v>
      </c>
      <c r="H14017">
        <v>8</v>
      </c>
      <c r="I14017" s="3">
        <v>177.77</v>
      </c>
      <c r="J14017" s="3">
        <v>58.76</v>
      </c>
      <c r="M14017" t="s">
        <v>30828</v>
      </c>
      <c r="N14017" t="s">
        <v>30</v>
      </c>
      <c r="O14017" t="s">
        <v>31</v>
      </c>
      <c r="P14017" t="str">
        <f t="shared" si="177"/>
        <v>15220</v>
      </c>
    </row>
    <row r="14018" spans="1:16" x14ac:dyDescent="0.25">
      <c r="A14018" t="str">
        <f>"1200019D00274    00"</f>
        <v>1200019D00274    00</v>
      </c>
      <c r="B14018" t="s">
        <v>30829</v>
      </c>
      <c r="C14018" t="s">
        <v>30830</v>
      </c>
      <c r="D14018" t="s">
        <v>20</v>
      </c>
      <c r="E14018" t="s">
        <v>21</v>
      </c>
      <c r="F14018">
        <v>0</v>
      </c>
      <c r="G14018">
        <v>0</v>
      </c>
      <c r="H14018">
        <v>3</v>
      </c>
      <c r="I14018" s="3">
        <v>3509.55</v>
      </c>
      <c r="J14018" s="3">
        <v>318.29000000000002</v>
      </c>
      <c r="L14018">
        <v>408</v>
      </c>
      <c r="M14018" t="s">
        <v>25567</v>
      </c>
      <c r="N14018" t="s">
        <v>30</v>
      </c>
      <c r="O14018" t="s">
        <v>31</v>
      </c>
      <c r="P14018" t="str">
        <f t="shared" si="177"/>
        <v>15220</v>
      </c>
    </row>
    <row r="14019" spans="1:16" x14ac:dyDescent="0.25">
      <c r="A14019" t="str">
        <f>"1200019D00277    00"</f>
        <v>1200019D00277    00</v>
      </c>
      <c r="B14019" t="s">
        <v>30829</v>
      </c>
      <c r="C14019" t="s">
        <v>30831</v>
      </c>
      <c r="D14019" t="s">
        <v>20</v>
      </c>
      <c r="E14019" t="s">
        <v>21</v>
      </c>
      <c r="F14019">
        <v>0</v>
      </c>
      <c r="G14019">
        <v>0</v>
      </c>
      <c r="H14019">
        <v>4</v>
      </c>
      <c r="I14019" s="3">
        <v>8836.6</v>
      </c>
      <c r="J14019" s="3">
        <v>606.96</v>
      </c>
      <c r="L14019">
        <v>408</v>
      </c>
      <c r="M14019" t="s">
        <v>25567</v>
      </c>
      <c r="N14019" t="s">
        <v>30</v>
      </c>
      <c r="O14019" t="s">
        <v>31</v>
      </c>
      <c r="P14019" t="str">
        <f t="shared" si="177"/>
        <v>15220</v>
      </c>
    </row>
    <row r="14020" spans="1:16" x14ac:dyDescent="0.25">
      <c r="A14020" t="str">
        <f>"1200019D00290    00"</f>
        <v>1200019D00290    00</v>
      </c>
      <c r="B14020" t="s">
        <v>30468</v>
      </c>
      <c r="C14020" t="s">
        <v>30832</v>
      </c>
      <c r="D14020" t="s">
        <v>20</v>
      </c>
      <c r="E14020" t="s">
        <v>21</v>
      </c>
      <c r="F14020">
        <v>0</v>
      </c>
      <c r="G14020">
        <v>0</v>
      </c>
      <c r="H14020">
        <v>1</v>
      </c>
      <c r="I14020" s="3">
        <v>585.15</v>
      </c>
      <c r="J14020" s="3">
        <v>0</v>
      </c>
      <c r="K14020" t="s">
        <v>30418</v>
      </c>
      <c r="L14020">
        <v>3001</v>
      </c>
      <c r="M14020" t="s">
        <v>330</v>
      </c>
      <c r="N14020" t="s">
        <v>331</v>
      </c>
      <c r="O14020" t="s">
        <v>108</v>
      </c>
      <c r="P14020" t="str">
        <f>"75063"</f>
        <v>75063</v>
      </c>
    </row>
    <row r="14021" spans="1:16" x14ac:dyDescent="0.25">
      <c r="A14021" t="str">
        <f>"1200019D00296    00"</f>
        <v>1200019D00296    00</v>
      </c>
      <c r="B14021" t="s">
        <v>30468</v>
      </c>
      <c r="C14021" t="s">
        <v>30832</v>
      </c>
      <c r="D14021" t="s">
        <v>20</v>
      </c>
      <c r="E14021" t="s">
        <v>21</v>
      </c>
      <c r="F14021">
        <v>0</v>
      </c>
      <c r="G14021">
        <v>0</v>
      </c>
      <c r="H14021">
        <v>1</v>
      </c>
      <c r="I14021" s="3">
        <v>649.96</v>
      </c>
      <c r="J14021" s="3">
        <v>0</v>
      </c>
      <c r="K14021" t="s">
        <v>30418</v>
      </c>
      <c r="L14021">
        <v>3001</v>
      </c>
      <c r="M14021" t="s">
        <v>330</v>
      </c>
      <c r="N14021" t="s">
        <v>331</v>
      </c>
      <c r="O14021" t="s">
        <v>108</v>
      </c>
      <c r="P14021" t="str">
        <f>"75063"</f>
        <v>75063</v>
      </c>
    </row>
    <row r="14022" spans="1:16" x14ac:dyDescent="0.25">
      <c r="A14022" t="str">
        <f>"1200019D00300    00"</f>
        <v>1200019D00300    00</v>
      </c>
      <c r="B14022" t="s">
        <v>30468</v>
      </c>
      <c r="C14022" t="s">
        <v>30832</v>
      </c>
      <c r="D14022" t="s">
        <v>20</v>
      </c>
      <c r="E14022" t="s">
        <v>21</v>
      </c>
      <c r="F14022">
        <v>0</v>
      </c>
      <c r="G14022">
        <v>0</v>
      </c>
      <c r="H14022">
        <v>1</v>
      </c>
      <c r="I14022" s="3">
        <v>474.6</v>
      </c>
      <c r="J14022" s="3">
        <v>0</v>
      </c>
      <c r="K14022" t="s">
        <v>30418</v>
      </c>
      <c r="L14022">
        <v>3001</v>
      </c>
      <c r="M14022" t="s">
        <v>330</v>
      </c>
      <c r="N14022" t="s">
        <v>331</v>
      </c>
      <c r="O14022" t="s">
        <v>108</v>
      </c>
      <c r="P14022" t="str">
        <f>"75063"</f>
        <v>75063</v>
      </c>
    </row>
    <row r="14023" spans="1:16" x14ac:dyDescent="0.25">
      <c r="A14023" t="str">
        <f>"1200019D00305    00"</f>
        <v>1200019D00305    00</v>
      </c>
      <c r="B14023" t="s">
        <v>30833</v>
      </c>
      <c r="C14023" t="s">
        <v>30834</v>
      </c>
      <c r="D14023" t="s">
        <v>20</v>
      </c>
      <c r="E14023" t="s">
        <v>21</v>
      </c>
      <c r="F14023">
        <v>0</v>
      </c>
      <c r="G14023">
        <v>0</v>
      </c>
      <c r="H14023">
        <v>1</v>
      </c>
      <c r="I14023" s="3">
        <v>4765.0200000000004</v>
      </c>
      <c r="J14023" s="3">
        <v>0</v>
      </c>
      <c r="K14023" t="s">
        <v>30418</v>
      </c>
      <c r="L14023">
        <v>3001</v>
      </c>
      <c r="M14023" t="s">
        <v>330</v>
      </c>
      <c r="N14023" t="s">
        <v>331</v>
      </c>
      <c r="O14023" t="s">
        <v>108</v>
      </c>
      <c r="P14023" t="str">
        <f>"75063"</f>
        <v>75063</v>
      </c>
    </row>
    <row r="14024" spans="1:16" x14ac:dyDescent="0.25">
      <c r="A14024" t="str">
        <f>"1200019D00310    00"</f>
        <v>1200019D00310    00</v>
      </c>
      <c r="B14024" t="s">
        <v>30835</v>
      </c>
      <c r="C14024" t="s">
        <v>30836</v>
      </c>
      <c r="E14024" t="s">
        <v>39</v>
      </c>
      <c r="F14024">
        <v>0</v>
      </c>
      <c r="G14024">
        <v>0</v>
      </c>
      <c r="H14024">
        <v>2</v>
      </c>
      <c r="I14024" s="3">
        <v>2832.34</v>
      </c>
      <c r="J14024" s="3">
        <v>118.01</v>
      </c>
      <c r="K14024" t="s">
        <v>710</v>
      </c>
      <c r="L14024">
        <v>4140</v>
      </c>
      <c r="M14024" t="s">
        <v>711</v>
      </c>
      <c r="N14024" t="s">
        <v>712</v>
      </c>
      <c r="O14024" t="s">
        <v>31</v>
      </c>
      <c r="P14024" t="str">
        <f>"16148"</f>
        <v>16148</v>
      </c>
    </row>
    <row r="14025" spans="1:16" x14ac:dyDescent="0.25">
      <c r="A14025" t="str">
        <f>"1200019D00325    00"</f>
        <v>1200019D00325    00</v>
      </c>
      <c r="B14025" t="s">
        <v>30837</v>
      </c>
      <c r="C14025" t="s">
        <v>30832</v>
      </c>
      <c r="D14025" t="s">
        <v>20</v>
      </c>
      <c r="E14025" t="s">
        <v>21</v>
      </c>
      <c r="F14025">
        <v>0</v>
      </c>
      <c r="G14025">
        <v>0</v>
      </c>
      <c r="H14025">
        <v>2</v>
      </c>
      <c r="I14025" s="3">
        <v>687.88</v>
      </c>
      <c r="J14025" s="3">
        <v>0</v>
      </c>
      <c r="K14025" t="s">
        <v>30418</v>
      </c>
      <c r="L14025">
        <v>3001</v>
      </c>
      <c r="M14025" t="s">
        <v>330</v>
      </c>
      <c r="N14025" t="s">
        <v>331</v>
      </c>
      <c r="O14025" t="s">
        <v>108</v>
      </c>
      <c r="P14025" t="str">
        <f>"75063"</f>
        <v>75063</v>
      </c>
    </row>
    <row r="14026" spans="1:16" x14ac:dyDescent="0.25">
      <c r="A14026" t="str">
        <f>"1200019F00045    00"</f>
        <v>1200019F00045    00</v>
      </c>
      <c r="B14026" t="s">
        <v>30838</v>
      </c>
      <c r="C14026" t="s">
        <v>30839</v>
      </c>
      <c r="D14026" t="s">
        <v>20</v>
      </c>
      <c r="E14026" t="s">
        <v>39</v>
      </c>
      <c r="F14026">
        <v>0</v>
      </c>
      <c r="G14026">
        <v>0</v>
      </c>
      <c r="H14026">
        <v>17</v>
      </c>
      <c r="I14026" s="3">
        <v>8518.0300000000007</v>
      </c>
      <c r="J14026" s="3">
        <v>6020.55</v>
      </c>
      <c r="L14026">
        <v>1366</v>
      </c>
      <c r="M14026" t="s">
        <v>30840</v>
      </c>
      <c r="N14026" t="s">
        <v>30</v>
      </c>
      <c r="O14026" t="s">
        <v>31</v>
      </c>
      <c r="P14026" t="str">
        <f>"15205"</f>
        <v>15205</v>
      </c>
    </row>
    <row r="14027" spans="1:16" x14ac:dyDescent="0.25">
      <c r="A14027" t="str">
        <f>"1200019F00050    00"</f>
        <v>1200019F00050    00</v>
      </c>
      <c r="B14027" t="s">
        <v>30841</v>
      </c>
      <c r="C14027" t="s">
        <v>30842</v>
      </c>
      <c r="D14027" t="s">
        <v>20</v>
      </c>
      <c r="E14027" t="s">
        <v>39</v>
      </c>
      <c r="F14027">
        <v>0</v>
      </c>
      <c r="G14027">
        <v>0</v>
      </c>
      <c r="H14027">
        <v>5</v>
      </c>
      <c r="I14027" s="3">
        <v>4153.12</v>
      </c>
      <c r="J14027" s="3">
        <v>59.41</v>
      </c>
      <c r="L14027">
        <v>741</v>
      </c>
      <c r="M14027" t="s">
        <v>30638</v>
      </c>
      <c r="N14027" t="s">
        <v>30</v>
      </c>
      <c r="O14027" t="s">
        <v>31</v>
      </c>
      <c r="P14027" t="str">
        <f>"15220"</f>
        <v>15220</v>
      </c>
    </row>
    <row r="14028" spans="1:16" x14ac:dyDescent="0.25">
      <c r="A14028" t="str">
        <f>"1200019F00065    00"</f>
        <v>1200019F00065    00</v>
      </c>
      <c r="B14028" t="s">
        <v>30843</v>
      </c>
      <c r="C14028" t="s">
        <v>30844</v>
      </c>
      <c r="E14028" t="s">
        <v>39</v>
      </c>
      <c r="F14028">
        <v>0</v>
      </c>
      <c r="G14028">
        <v>0</v>
      </c>
      <c r="H14028">
        <v>1</v>
      </c>
      <c r="I14028" s="3">
        <v>363.52</v>
      </c>
      <c r="J14028" s="3">
        <v>0</v>
      </c>
      <c r="L14028">
        <v>740</v>
      </c>
      <c r="M14028" t="s">
        <v>30626</v>
      </c>
      <c r="N14028" t="s">
        <v>30</v>
      </c>
      <c r="O14028" t="s">
        <v>31</v>
      </c>
      <c r="P14028" t="str">
        <f>"15220"</f>
        <v>15220</v>
      </c>
    </row>
    <row r="14029" spans="1:16" x14ac:dyDescent="0.25">
      <c r="A14029" t="str">
        <f>"1200019F00066    00"</f>
        <v>1200019F00066    00</v>
      </c>
      <c r="B14029" t="s">
        <v>30843</v>
      </c>
      <c r="C14029" t="s">
        <v>30844</v>
      </c>
      <c r="E14029" t="s">
        <v>39</v>
      </c>
      <c r="F14029">
        <v>0</v>
      </c>
      <c r="G14029">
        <v>0</v>
      </c>
      <c r="H14029">
        <v>1</v>
      </c>
      <c r="I14029" s="3">
        <v>21.5</v>
      </c>
      <c r="J14029" s="3">
        <v>0</v>
      </c>
      <c r="L14029">
        <v>740</v>
      </c>
      <c r="M14029" t="s">
        <v>30626</v>
      </c>
      <c r="N14029" t="s">
        <v>30</v>
      </c>
      <c r="O14029" t="s">
        <v>31</v>
      </c>
      <c r="P14029" t="str">
        <f>"15220"</f>
        <v>15220</v>
      </c>
    </row>
    <row r="14030" spans="1:16" x14ac:dyDescent="0.25">
      <c r="A14030" t="str">
        <f>"1200019G00011    00"</f>
        <v>1200019G00011    00</v>
      </c>
      <c r="B14030" t="s">
        <v>30845</v>
      </c>
      <c r="C14030" t="s">
        <v>30846</v>
      </c>
      <c r="D14030" t="s">
        <v>20</v>
      </c>
      <c r="E14030" t="s">
        <v>39</v>
      </c>
      <c r="F14030">
        <v>0</v>
      </c>
      <c r="G14030">
        <v>0</v>
      </c>
      <c r="H14030">
        <v>15</v>
      </c>
      <c r="I14030" s="3">
        <v>834.93</v>
      </c>
      <c r="J14030" s="3">
        <v>474.58</v>
      </c>
      <c r="L14030">
        <v>531</v>
      </c>
      <c r="M14030" t="s">
        <v>4758</v>
      </c>
      <c r="N14030" t="s">
        <v>149</v>
      </c>
      <c r="O14030" t="s">
        <v>31</v>
      </c>
      <c r="P14030" t="str">
        <f>"15106"</f>
        <v>15106</v>
      </c>
    </row>
    <row r="14031" spans="1:16" x14ac:dyDescent="0.25">
      <c r="A14031" t="str">
        <f>"1200019G00018    00"</f>
        <v>1200019G00018    00</v>
      </c>
      <c r="B14031" t="s">
        <v>30847</v>
      </c>
      <c r="C14031" t="s">
        <v>30848</v>
      </c>
      <c r="D14031" t="s">
        <v>20</v>
      </c>
      <c r="E14031" t="s">
        <v>39</v>
      </c>
      <c r="F14031">
        <v>0</v>
      </c>
      <c r="G14031">
        <v>0</v>
      </c>
      <c r="H14031">
        <v>7</v>
      </c>
      <c r="I14031" s="3">
        <v>2466.4899999999998</v>
      </c>
      <c r="J14031" s="3">
        <v>682.05</v>
      </c>
      <c r="L14031">
        <v>101</v>
      </c>
      <c r="M14031" t="s">
        <v>30849</v>
      </c>
      <c r="N14031" t="s">
        <v>30850</v>
      </c>
      <c r="O14031" t="s">
        <v>31</v>
      </c>
      <c r="P14031" t="str">
        <f>"15061"</f>
        <v>15061</v>
      </c>
    </row>
    <row r="14032" spans="1:16" x14ac:dyDescent="0.25">
      <c r="A14032" t="str">
        <f>"1200019G00025    00"</f>
        <v>1200019G00025    00</v>
      </c>
      <c r="B14032" t="s">
        <v>30851</v>
      </c>
      <c r="C14032" t="s">
        <v>30846</v>
      </c>
      <c r="E14032" t="s">
        <v>39</v>
      </c>
      <c r="F14032">
        <v>0</v>
      </c>
      <c r="G14032">
        <v>0</v>
      </c>
      <c r="H14032">
        <v>1</v>
      </c>
      <c r="I14032" s="3">
        <v>146.33000000000001</v>
      </c>
      <c r="J14032" s="3">
        <v>40.24</v>
      </c>
      <c r="K14032" t="s">
        <v>30852</v>
      </c>
      <c r="L14032">
        <v>4401</v>
      </c>
      <c r="M14032" t="s">
        <v>30853</v>
      </c>
      <c r="N14032" t="s">
        <v>212</v>
      </c>
      <c r="O14032" t="s">
        <v>25</v>
      </c>
      <c r="P14032" t="str">
        <f>"44131"</f>
        <v>44131</v>
      </c>
    </row>
    <row r="14033" spans="1:16" x14ac:dyDescent="0.25">
      <c r="A14033" t="str">
        <f>"1200019G00064    00"</f>
        <v>1200019G00064    00</v>
      </c>
      <c r="B14033" t="s">
        <v>30854</v>
      </c>
      <c r="C14033" t="s">
        <v>30855</v>
      </c>
      <c r="D14033" t="s">
        <v>20</v>
      </c>
      <c r="E14033" t="s">
        <v>39</v>
      </c>
      <c r="F14033">
        <v>0</v>
      </c>
      <c r="G14033">
        <v>0</v>
      </c>
      <c r="H14033">
        <v>6</v>
      </c>
      <c r="I14033" s="3">
        <v>2864.98</v>
      </c>
      <c r="J14033" s="3">
        <v>642.54999999999995</v>
      </c>
      <c r="L14033">
        <v>3214</v>
      </c>
      <c r="M14033" t="s">
        <v>30856</v>
      </c>
      <c r="N14033" t="s">
        <v>30</v>
      </c>
      <c r="O14033" t="s">
        <v>31</v>
      </c>
      <c r="P14033" t="str">
        <f>"15204"</f>
        <v>15204</v>
      </c>
    </row>
    <row r="14034" spans="1:16" x14ac:dyDescent="0.25">
      <c r="A14034" t="str">
        <f>"1200019G00065    00"</f>
        <v>1200019G00065    00</v>
      </c>
      <c r="B14034" t="s">
        <v>30857</v>
      </c>
      <c r="C14034" t="s">
        <v>30846</v>
      </c>
      <c r="D14034" t="s">
        <v>20</v>
      </c>
      <c r="E14034" t="s">
        <v>39</v>
      </c>
      <c r="F14034">
        <v>0</v>
      </c>
      <c r="G14034">
        <v>0</v>
      </c>
      <c r="H14034">
        <v>2</v>
      </c>
      <c r="I14034" s="3">
        <v>57.2</v>
      </c>
      <c r="J14034" s="3">
        <v>0</v>
      </c>
      <c r="K14034" t="s">
        <v>30858</v>
      </c>
      <c r="L14034">
        <v>1403</v>
      </c>
      <c r="M14034" t="s">
        <v>30859</v>
      </c>
      <c r="N14034" t="s">
        <v>195</v>
      </c>
      <c r="O14034" t="s">
        <v>31</v>
      </c>
      <c r="P14034" t="str">
        <f>"15101"</f>
        <v>15101</v>
      </c>
    </row>
    <row r="14035" spans="1:16" x14ac:dyDescent="0.25">
      <c r="A14035" t="str">
        <f>"1200019G00066    00"</f>
        <v>1200019G00066    00</v>
      </c>
      <c r="B14035" t="s">
        <v>30860</v>
      </c>
      <c r="C14035" t="s">
        <v>30846</v>
      </c>
      <c r="D14035" t="s">
        <v>20</v>
      </c>
      <c r="E14035" t="s">
        <v>39</v>
      </c>
      <c r="F14035">
        <v>0</v>
      </c>
      <c r="G14035">
        <v>0</v>
      </c>
      <c r="H14035">
        <v>19</v>
      </c>
      <c r="I14035" s="3">
        <v>6203.88</v>
      </c>
      <c r="J14035" s="3">
        <v>7396.14</v>
      </c>
      <c r="L14035">
        <v>1201</v>
      </c>
      <c r="M14035" t="s">
        <v>30861</v>
      </c>
      <c r="N14035" t="s">
        <v>30</v>
      </c>
      <c r="O14035" t="s">
        <v>31</v>
      </c>
      <c r="P14035" t="str">
        <f>"15204"</f>
        <v>15204</v>
      </c>
    </row>
    <row r="14036" spans="1:16" x14ac:dyDescent="0.25">
      <c r="A14036" t="str">
        <f>"1200019G00069    00"</f>
        <v>1200019G00069    00</v>
      </c>
      <c r="B14036" t="s">
        <v>30862</v>
      </c>
      <c r="C14036" t="s">
        <v>30846</v>
      </c>
      <c r="D14036" t="s">
        <v>20</v>
      </c>
      <c r="E14036" t="s">
        <v>39</v>
      </c>
      <c r="F14036">
        <v>0</v>
      </c>
      <c r="G14036">
        <v>0</v>
      </c>
      <c r="H14036">
        <v>18</v>
      </c>
      <c r="I14036" s="3">
        <v>286.64999999999998</v>
      </c>
      <c r="J14036" s="3">
        <v>230.18</v>
      </c>
      <c r="K14036" t="s">
        <v>30863</v>
      </c>
      <c r="M14036" t="s">
        <v>30864</v>
      </c>
      <c r="N14036" t="s">
        <v>30</v>
      </c>
      <c r="O14036" t="s">
        <v>31</v>
      </c>
      <c r="P14036" t="str">
        <f>"15244"</f>
        <v>15244</v>
      </c>
    </row>
    <row r="14037" spans="1:16" x14ac:dyDescent="0.25">
      <c r="A14037" t="str">
        <f>"1200019G00104    00"</f>
        <v>1200019G00104    00</v>
      </c>
      <c r="B14037" t="s">
        <v>30865</v>
      </c>
      <c r="C14037" t="s">
        <v>30866</v>
      </c>
      <c r="D14037" t="s">
        <v>20</v>
      </c>
      <c r="E14037" t="s">
        <v>39</v>
      </c>
      <c r="F14037">
        <v>0</v>
      </c>
      <c r="G14037">
        <v>0</v>
      </c>
      <c r="H14037">
        <v>19</v>
      </c>
      <c r="I14037" s="3">
        <v>9121.02</v>
      </c>
      <c r="J14037" s="3">
        <v>9377.27</v>
      </c>
      <c r="P14037" t="str">
        <f>""</f>
        <v/>
      </c>
    </row>
    <row r="14038" spans="1:16" x14ac:dyDescent="0.25">
      <c r="A14038" t="str">
        <f>"1200019G00124    00"</f>
        <v>1200019G00124    00</v>
      </c>
      <c r="B14038" t="s">
        <v>30867</v>
      </c>
      <c r="C14038" t="s">
        <v>30868</v>
      </c>
      <c r="D14038" t="s">
        <v>20</v>
      </c>
      <c r="E14038" t="s">
        <v>39</v>
      </c>
      <c r="F14038">
        <v>0</v>
      </c>
      <c r="G14038">
        <v>0</v>
      </c>
      <c r="H14038">
        <v>19</v>
      </c>
      <c r="I14038" s="3">
        <v>345.61</v>
      </c>
      <c r="J14038" s="3">
        <v>317.66000000000003</v>
      </c>
      <c r="L14038">
        <v>16</v>
      </c>
      <c r="M14038" t="s">
        <v>2066</v>
      </c>
      <c r="N14038" t="s">
        <v>30</v>
      </c>
      <c r="O14038" t="s">
        <v>31</v>
      </c>
      <c r="P14038" t="str">
        <f>"15220"</f>
        <v>15220</v>
      </c>
    </row>
    <row r="14039" spans="1:16" x14ac:dyDescent="0.25">
      <c r="A14039" t="str">
        <f>"1200019G00154    00"</f>
        <v>1200019G00154    00</v>
      </c>
      <c r="B14039" t="s">
        <v>25218</v>
      </c>
      <c r="C14039" t="s">
        <v>30869</v>
      </c>
      <c r="D14039" t="s">
        <v>20</v>
      </c>
      <c r="E14039" t="s">
        <v>39</v>
      </c>
      <c r="F14039">
        <v>0</v>
      </c>
      <c r="G14039">
        <v>0</v>
      </c>
      <c r="H14039">
        <v>1</v>
      </c>
      <c r="I14039" s="3">
        <v>682.37</v>
      </c>
      <c r="J14039" s="3">
        <v>0</v>
      </c>
      <c r="K14039" t="s">
        <v>25220</v>
      </c>
      <c r="L14039">
        <v>18</v>
      </c>
      <c r="M14039" t="s">
        <v>7116</v>
      </c>
      <c r="N14039" t="s">
        <v>30</v>
      </c>
      <c r="O14039" t="s">
        <v>31</v>
      </c>
      <c r="P14039" t="str">
        <f>"15211"</f>
        <v>15211</v>
      </c>
    </row>
    <row r="14040" spans="1:16" x14ac:dyDescent="0.25">
      <c r="A14040" t="str">
        <f>"1200019G00177    00"</f>
        <v>1200019G00177    00</v>
      </c>
      <c r="B14040" t="s">
        <v>30870</v>
      </c>
      <c r="C14040" t="s">
        <v>30871</v>
      </c>
      <c r="D14040" t="s">
        <v>20</v>
      </c>
      <c r="E14040" t="s">
        <v>39</v>
      </c>
      <c r="F14040">
        <v>0</v>
      </c>
      <c r="G14040">
        <v>0</v>
      </c>
      <c r="H14040">
        <v>5</v>
      </c>
      <c r="I14040" s="3">
        <v>713.2</v>
      </c>
      <c r="J14040" s="3">
        <v>139.37</v>
      </c>
      <c r="L14040">
        <v>649</v>
      </c>
      <c r="M14040" t="s">
        <v>30629</v>
      </c>
      <c r="N14040" t="s">
        <v>30</v>
      </c>
      <c r="O14040" t="s">
        <v>31</v>
      </c>
      <c r="P14040" t="str">
        <f>"15220"</f>
        <v>15220</v>
      </c>
    </row>
    <row r="14041" spans="1:16" x14ac:dyDescent="0.25">
      <c r="A14041" t="str">
        <f>"1200019G00181    00"</f>
        <v>1200019G00181    00</v>
      </c>
      <c r="B14041" t="s">
        <v>30872</v>
      </c>
      <c r="C14041" t="s">
        <v>30642</v>
      </c>
      <c r="D14041" t="s">
        <v>20</v>
      </c>
      <c r="E14041" t="s">
        <v>39</v>
      </c>
      <c r="F14041">
        <v>0</v>
      </c>
      <c r="G14041">
        <v>0</v>
      </c>
      <c r="H14041">
        <v>19</v>
      </c>
      <c r="I14041" s="3">
        <v>8265.4699999999993</v>
      </c>
      <c r="J14041" s="3">
        <v>8699.5400000000009</v>
      </c>
      <c r="L14041">
        <v>641</v>
      </c>
      <c r="M14041" t="s">
        <v>30629</v>
      </c>
      <c r="N14041" t="s">
        <v>30</v>
      </c>
      <c r="O14041" t="s">
        <v>31</v>
      </c>
      <c r="P14041" t="str">
        <f>"15220"</f>
        <v>15220</v>
      </c>
    </row>
    <row r="14042" spans="1:16" x14ac:dyDescent="0.25">
      <c r="A14042" t="str">
        <f>"1200019G00198    00"</f>
        <v>1200019G00198    00</v>
      </c>
      <c r="B14042" t="s">
        <v>30873</v>
      </c>
      <c r="C14042" t="s">
        <v>30642</v>
      </c>
      <c r="D14042" t="s">
        <v>20</v>
      </c>
      <c r="E14042" t="s">
        <v>39</v>
      </c>
      <c r="F14042">
        <v>0</v>
      </c>
      <c r="G14042">
        <v>0</v>
      </c>
      <c r="H14042">
        <v>2</v>
      </c>
      <c r="I14042" s="3">
        <v>483.73</v>
      </c>
      <c r="J14042" s="3">
        <v>200.55</v>
      </c>
      <c r="K14042" t="s">
        <v>30874</v>
      </c>
      <c r="L14042">
        <v>535</v>
      </c>
      <c r="M14042" t="s">
        <v>30629</v>
      </c>
      <c r="N14042" t="s">
        <v>30</v>
      </c>
      <c r="O14042" t="s">
        <v>31</v>
      </c>
      <c r="P14042" t="str">
        <f>"15220"</f>
        <v>15220</v>
      </c>
    </row>
    <row r="14043" spans="1:16" x14ac:dyDescent="0.25">
      <c r="A14043" t="str">
        <f>"1200019G00222    00"</f>
        <v>1200019G00222    00</v>
      </c>
      <c r="B14043" t="s">
        <v>30875</v>
      </c>
      <c r="C14043" t="s">
        <v>30642</v>
      </c>
      <c r="D14043" t="s">
        <v>20</v>
      </c>
      <c r="E14043" t="s">
        <v>39</v>
      </c>
      <c r="F14043">
        <v>0</v>
      </c>
      <c r="G14043">
        <v>0</v>
      </c>
      <c r="H14043">
        <v>17</v>
      </c>
      <c r="I14043" s="3">
        <v>3526.73</v>
      </c>
      <c r="J14043" s="3">
        <v>2487.59</v>
      </c>
      <c r="K14043" t="s">
        <v>30876</v>
      </c>
      <c r="L14043">
        <v>645</v>
      </c>
      <c r="M14043" t="s">
        <v>30877</v>
      </c>
      <c r="N14043" t="s">
        <v>30</v>
      </c>
      <c r="O14043" t="s">
        <v>31</v>
      </c>
      <c r="P14043" t="str">
        <f>"15220"</f>
        <v>15220</v>
      </c>
    </row>
    <row r="14044" spans="1:16" x14ac:dyDescent="0.25">
      <c r="A14044" t="str">
        <f>"1200019G00244    00"</f>
        <v>1200019G00244    00</v>
      </c>
      <c r="B14044" t="s">
        <v>30878</v>
      </c>
      <c r="C14044" t="s">
        <v>30642</v>
      </c>
      <c r="D14044" t="s">
        <v>20</v>
      </c>
      <c r="E14044" t="s">
        <v>39</v>
      </c>
      <c r="F14044">
        <v>0</v>
      </c>
      <c r="G14044">
        <v>0</v>
      </c>
      <c r="H14044">
        <v>19</v>
      </c>
      <c r="I14044" s="3">
        <v>6937.37</v>
      </c>
      <c r="J14044" s="3">
        <v>7038.04</v>
      </c>
      <c r="K14044" t="s">
        <v>30879</v>
      </c>
      <c r="L14044">
        <v>217</v>
      </c>
      <c r="M14044" t="s">
        <v>30880</v>
      </c>
      <c r="N14044" t="s">
        <v>30</v>
      </c>
      <c r="O14044" t="s">
        <v>31</v>
      </c>
      <c r="P14044" t="str">
        <f>"15210"</f>
        <v>15210</v>
      </c>
    </row>
    <row r="14045" spans="1:16" x14ac:dyDescent="0.25">
      <c r="A14045" t="str">
        <f>"1200019G00246    00"</f>
        <v>1200019G00246    00</v>
      </c>
      <c r="B14045" t="s">
        <v>30881</v>
      </c>
      <c r="C14045" t="s">
        <v>30882</v>
      </c>
      <c r="D14045" t="s">
        <v>57</v>
      </c>
      <c r="E14045" t="s">
        <v>39</v>
      </c>
      <c r="F14045">
        <v>0</v>
      </c>
      <c r="G14045">
        <v>0</v>
      </c>
      <c r="H14045">
        <v>1</v>
      </c>
      <c r="I14045" s="3">
        <v>147.13</v>
      </c>
      <c r="J14045" s="3">
        <v>0</v>
      </c>
      <c r="L14045">
        <v>644</v>
      </c>
      <c r="M14045" t="s">
        <v>30629</v>
      </c>
      <c r="N14045" t="s">
        <v>30</v>
      </c>
      <c r="O14045" t="s">
        <v>31</v>
      </c>
      <c r="P14045" t="str">
        <f>"15220"</f>
        <v>15220</v>
      </c>
    </row>
    <row r="14046" spans="1:16" x14ac:dyDescent="0.25">
      <c r="A14046" t="str">
        <f>"1200019G00292    00"</f>
        <v>1200019G00292    00</v>
      </c>
      <c r="B14046" t="s">
        <v>30883</v>
      </c>
      <c r="C14046" t="s">
        <v>30884</v>
      </c>
      <c r="D14046" t="s">
        <v>20</v>
      </c>
      <c r="E14046" t="s">
        <v>39</v>
      </c>
      <c r="F14046">
        <v>0</v>
      </c>
      <c r="G14046">
        <v>0</v>
      </c>
      <c r="H14046">
        <v>15</v>
      </c>
      <c r="I14046" s="3">
        <v>3694.89</v>
      </c>
      <c r="J14046" s="3">
        <v>2319.44</v>
      </c>
      <c r="L14046">
        <v>5736</v>
      </c>
      <c r="M14046" t="s">
        <v>30885</v>
      </c>
      <c r="N14046" t="s">
        <v>3934</v>
      </c>
      <c r="O14046" t="s">
        <v>31</v>
      </c>
      <c r="P14046" t="str">
        <f>"15102"</f>
        <v>15102</v>
      </c>
    </row>
    <row r="14047" spans="1:16" x14ac:dyDescent="0.25">
      <c r="A14047" t="str">
        <f>"1200019G00305    00"</f>
        <v>1200019G00305    00</v>
      </c>
      <c r="B14047" t="s">
        <v>30886</v>
      </c>
      <c r="C14047" t="s">
        <v>30887</v>
      </c>
      <c r="D14047" t="s">
        <v>20</v>
      </c>
      <c r="E14047" t="s">
        <v>39</v>
      </c>
      <c r="F14047">
        <v>0</v>
      </c>
      <c r="G14047">
        <v>0</v>
      </c>
      <c r="H14047">
        <v>17</v>
      </c>
      <c r="I14047" s="3">
        <v>56.38</v>
      </c>
      <c r="J14047" s="3">
        <v>49.83</v>
      </c>
      <c r="K14047" t="s">
        <v>1008</v>
      </c>
      <c r="P14047" t="str">
        <f>""</f>
        <v/>
      </c>
    </row>
    <row r="14048" spans="1:16" x14ac:dyDescent="0.25">
      <c r="A14048" t="str">
        <f>"1200019G00317    00"</f>
        <v>1200019G00317    00</v>
      </c>
      <c r="B14048" t="s">
        <v>30888</v>
      </c>
      <c r="C14048" t="s">
        <v>30889</v>
      </c>
      <c r="D14048" t="s">
        <v>20</v>
      </c>
      <c r="E14048" t="s">
        <v>39</v>
      </c>
      <c r="F14048">
        <v>0</v>
      </c>
      <c r="G14048">
        <v>0</v>
      </c>
      <c r="H14048">
        <v>18</v>
      </c>
      <c r="I14048" s="3">
        <v>6684.16</v>
      </c>
      <c r="J14048" s="3">
        <v>6556.86</v>
      </c>
      <c r="K14048" t="s">
        <v>30890</v>
      </c>
      <c r="L14048">
        <v>416</v>
      </c>
      <c r="M14048" t="s">
        <v>26415</v>
      </c>
      <c r="N14048" t="s">
        <v>30</v>
      </c>
      <c r="O14048" t="s">
        <v>31</v>
      </c>
      <c r="P14048" t="str">
        <f>"15210"</f>
        <v>15210</v>
      </c>
    </row>
    <row r="14049" spans="1:16" x14ac:dyDescent="0.25">
      <c r="A14049" t="str">
        <f>"1200019G00336    00"</f>
        <v>1200019G00336    00</v>
      </c>
      <c r="B14049" t="s">
        <v>30891</v>
      </c>
      <c r="C14049" t="s">
        <v>30892</v>
      </c>
      <c r="D14049" t="s">
        <v>20</v>
      </c>
      <c r="E14049" t="s">
        <v>39</v>
      </c>
      <c r="F14049">
        <v>0</v>
      </c>
      <c r="G14049">
        <v>0</v>
      </c>
      <c r="H14049">
        <v>8</v>
      </c>
      <c r="I14049" s="3">
        <v>4662.78</v>
      </c>
      <c r="J14049" s="3">
        <v>1553.94</v>
      </c>
      <c r="L14049">
        <v>432</v>
      </c>
      <c r="M14049" t="s">
        <v>30893</v>
      </c>
      <c r="N14049" t="s">
        <v>30</v>
      </c>
      <c r="O14049" t="s">
        <v>31</v>
      </c>
      <c r="P14049" t="str">
        <f>"15243"</f>
        <v>15243</v>
      </c>
    </row>
    <row r="14050" spans="1:16" x14ac:dyDescent="0.25">
      <c r="A14050" t="str">
        <f>"1200019G00348    00"</f>
        <v>1200019G00348    00</v>
      </c>
      <c r="B14050" t="s">
        <v>30894</v>
      </c>
      <c r="C14050" t="s">
        <v>30895</v>
      </c>
      <c r="E14050" t="s">
        <v>39</v>
      </c>
      <c r="F14050">
        <v>0</v>
      </c>
      <c r="G14050">
        <v>0</v>
      </c>
      <c r="H14050">
        <v>1</v>
      </c>
      <c r="I14050" s="3">
        <v>58.43</v>
      </c>
      <c r="J14050" s="3">
        <v>0</v>
      </c>
      <c r="L14050">
        <v>625</v>
      </c>
      <c r="M14050" t="s">
        <v>25567</v>
      </c>
      <c r="N14050" t="s">
        <v>30</v>
      </c>
      <c r="O14050" t="s">
        <v>31</v>
      </c>
      <c r="P14050" t="str">
        <f>"15220"</f>
        <v>15220</v>
      </c>
    </row>
    <row r="14051" spans="1:16" x14ac:dyDescent="0.25">
      <c r="A14051" t="str">
        <f>"1200019G00349    00"</f>
        <v>1200019G00349    00</v>
      </c>
      <c r="B14051" t="s">
        <v>30896</v>
      </c>
      <c r="C14051" t="s">
        <v>30895</v>
      </c>
      <c r="D14051" t="s">
        <v>20</v>
      </c>
      <c r="E14051" t="s">
        <v>39</v>
      </c>
      <c r="F14051">
        <v>0</v>
      </c>
      <c r="G14051">
        <v>0</v>
      </c>
      <c r="H14051">
        <v>4</v>
      </c>
      <c r="I14051" s="3">
        <v>218.8</v>
      </c>
      <c r="J14051" s="3">
        <v>0.9</v>
      </c>
      <c r="M14051" t="s">
        <v>30897</v>
      </c>
      <c r="N14051" t="s">
        <v>30</v>
      </c>
      <c r="O14051" t="s">
        <v>31</v>
      </c>
      <c r="P14051" t="str">
        <f>"15242"</f>
        <v>15242</v>
      </c>
    </row>
    <row r="14052" spans="1:16" x14ac:dyDescent="0.25">
      <c r="A14052" t="str">
        <f>"1200019G00351    00"</f>
        <v>1200019G00351    00</v>
      </c>
      <c r="B14052" t="s">
        <v>30898</v>
      </c>
      <c r="C14052" t="s">
        <v>30899</v>
      </c>
      <c r="E14052" t="s">
        <v>39</v>
      </c>
      <c r="F14052">
        <v>0</v>
      </c>
      <c r="G14052">
        <v>0</v>
      </c>
      <c r="H14052">
        <v>2</v>
      </c>
      <c r="I14052" s="3">
        <v>31.61</v>
      </c>
      <c r="J14052" s="3">
        <v>32.92</v>
      </c>
      <c r="L14052">
        <v>623</v>
      </c>
      <c r="M14052" t="s">
        <v>25567</v>
      </c>
      <c r="N14052" t="s">
        <v>30</v>
      </c>
      <c r="O14052" t="s">
        <v>31</v>
      </c>
      <c r="P14052" t="str">
        <f t="shared" ref="P14052:P14058" si="178">"15220"</f>
        <v>15220</v>
      </c>
    </row>
    <row r="14053" spans="1:16" x14ac:dyDescent="0.25">
      <c r="A14053" t="str">
        <f>"1200019G00352    00"</f>
        <v>1200019G00352    00</v>
      </c>
      <c r="B14053" t="s">
        <v>30898</v>
      </c>
      <c r="C14053" t="s">
        <v>30900</v>
      </c>
      <c r="E14053" t="s">
        <v>39</v>
      </c>
      <c r="F14053">
        <v>0</v>
      </c>
      <c r="G14053">
        <v>0</v>
      </c>
      <c r="H14053">
        <v>2</v>
      </c>
      <c r="I14053" s="3">
        <v>31.61</v>
      </c>
      <c r="J14053" s="3">
        <v>32.92</v>
      </c>
      <c r="L14053">
        <v>623</v>
      </c>
      <c r="M14053" t="s">
        <v>25567</v>
      </c>
      <c r="N14053" t="s">
        <v>30</v>
      </c>
      <c r="O14053" t="s">
        <v>31</v>
      </c>
      <c r="P14053" t="str">
        <f t="shared" si="178"/>
        <v>15220</v>
      </c>
    </row>
    <row r="14054" spans="1:16" x14ac:dyDescent="0.25">
      <c r="A14054" t="str">
        <f>"1200019G00353    00"</f>
        <v>1200019G00353    00</v>
      </c>
      <c r="B14054" t="s">
        <v>30898</v>
      </c>
      <c r="C14054" t="s">
        <v>30901</v>
      </c>
      <c r="E14054" t="s">
        <v>39</v>
      </c>
      <c r="F14054">
        <v>0</v>
      </c>
      <c r="G14054">
        <v>0</v>
      </c>
      <c r="H14054">
        <v>2</v>
      </c>
      <c r="I14054" s="3">
        <v>28.09</v>
      </c>
      <c r="J14054" s="3">
        <v>29.25</v>
      </c>
      <c r="L14054">
        <v>623</v>
      </c>
      <c r="M14054" t="s">
        <v>25567</v>
      </c>
      <c r="N14054" t="s">
        <v>30</v>
      </c>
      <c r="O14054" t="s">
        <v>31</v>
      </c>
      <c r="P14054" t="str">
        <f t="shared" si="178"/>
        <v>15220</v>
      </c>
    </row>
    <row r="14055" spans="1:16" x14ac:dyDescent="0.25">
      <c r="A14055" t="str">
        <f>"1200019G00358    00"</f>
        <v>1200019G00358    00</v>
      </c>
      <c r="B14055" t="s">
        <v>30902</v>
      </c>
      <c r="C14055" t="s">
        <v>30431</v>
      </c>
      <c r="D14055" t="s">
        <v>20</v>
      </c>
      <c r="E14055" t="s">
        <v>39</v>
      </c>
      <c r="F14055">
        <v>0</v>
      </c>
      <c r="G14055">
        <v>0</v>
      </c>
      <c r="H14055">
        <v>15</v>
      </c>
      <c r="I14055" s="3">
        <v>3452.62</v>
      </c>
      <c r="J14055" s="3">
        <v>2160.44</v>
      </c>
      <c r="L14055">
        <v>1320</v>
      </c>
      <c r="M14055" t="s">
        <v>16891</v>
      </c>
      <c r="N14055" t="s">
        <v>30</v>
      </c>
      <c r="O14055" t="s">
        <v>31</v>
      </c>
      <c r="P14055" t="str">
        <f t="shared" si="178"/>
        <v>15220</v>
      </c>
    </row>
    <row r="14056" spans="1:16" x14ac:dyDescent="0.25">
      <c r="A14056" t="str">
        <f>"1200019H00021    00"</f>
        <v>1200019H00021    00</v>
      </c>
      <c r="B14056" t="s">
        <v>30903</v>
      </c>
      <c r="C14056" t="s">
        <v>30904</v>
      </c>
      <c r="E14056" t="s">
        <v>39</v>
      </c>
      <c r="F14056">
        <v>0</v>
      </c>
      <c r="G14056">
        <v>0</v>
      </c>
      <c r="H14056">
        <v>6</v>
      </c>
      <c r="I14056" s="3">
        <v>1232.77</v>
      </c>
      <c r="J14056" s="3">
        <v>467.43</v>
      </c>
      <c r="L14056">
        <v>705</v>
      </c>
      <c r="M14056" t="s">
        <v>30905</v>
      </c>
      <c r="N14056" t="s">
        <v>30</v>
      </c>
      <c r="O14056" t="s">
        <v>31</v>
      </c>
      <c r="P14056" t="str">
        <f t="shared" si="178"/>
        <v>15220</v>
      </c>
    </row>
    <row r="14057" spans="1:16" x14ac:dyDescent="0.25">
      <c r="A14057" t="str">
        <f>"1200019H00026    00"</f>
        <v>1200019H00026    00</v>
      </c>
      <c r="B14057" t="s">
        <v>30906</v>
      </c>
      <c r="C14057" t="s">
        <v>30907</v>
      </c>
      <c r="D14057" t="s">
        <v>20</v>
      </c>
      <c r="E14057" t="s">
        <v>39</v>
      </c>
      <c r="F14057">
        <v>0</v>
      </c>
      <c r="G14057">
        <v>0</v>
      </c>
      <c r="H14057">
        <v>10</v>
      </c>
      <c r="I14057" s="3">
        <v>9102.84</v>
      </c>
      <c r="J14057" s="3">
        <v>4924.4399999999996</v>
      </c>
      <c r="L14057">
        <v>701</v>
      </c>
      <c r="M14057" t="s">
        <v>30905</v>
      </c>
      <c r="N14057" t="s">
        <v>30</v>
      </c>
      <c r="O14057" t="s">
        <v>31</v>
      </c>
      <c r="P14057" t="str">
        <f t="shared" si="178"/>
        <v>15220</v>
      </c>
    </row>
    <row r="14058" spans="1:16" x14ac:dyDescent="0.25">
      <c r="A14058" t="str">
        <f>"1200019H00033    00"</f>
        <v>1200019H00033    00</v>
      </c>
      <c r="B14058" t="s">
        <v>30908</v>
      </c>
      <c r="C14058" t="s">
        <v>30909</v>
      </c>
      <c r="D14058" t="s">
        <v>20</v>
      </c>
      <c r="E14058" t="s">
        <v>39</v>
      </c>
      <c r="F14058">
        <v>0</v>
      </c>
      <c r="G14058">
        <v>0</v>
      </c>
      <c r="H14058">
        <v>1</v>
      </c>
      <c r="I14058" s="3">
        <v>297</v>
      </c>
      <c r="J14058" s="3">
        <v>0</v>
      </c>
      <c r="L14058">
        <v>702</v>
      </c>
      <c r="M14058" t="s">
        <v>30910</v>
      </c>
      <c r="N14058" t="s">
        <v>30</v>
      </c>
      <c r="O14058" t="s">
        <v>31</v>
      </c>
      <c r="P14058" t="str">
        <f t="shared" si="178"/>
        <v>15220</v>
      </c>
    </row>
    <row r="14059" spans="1:16" x14ac:dyDescent="0.25">
      <c r="A14059" t="str">
        <f>"1200019H00041    00"</f>
        <v>1200019H00041    00</v>
      </c>
      <c r="B14059" t="s">
        <v>30911</v>
      </c>
      <c r="C14059" t="s">
        <v>30912</v>
      </c>
      <c r="D14059" t="s">
        <v>20</v>
      </c>
      <c r="E14059" t="s">
        <v>39</v>
      </c>
      <c r="F14059">
        <v>0</v>
      </c>
      <c r="G14059">
        <v>0</v>
      </c>
      <c r="H14059">
        <v>3</v>
      </c>
      <c r="I14059" s="3">
        <v>1269.3900000000001</v>
      </c>
      <c r="J14059" s="3">
        <v>84.62</v>
      </c>
      <c r="K14059" t="s">
        <v>8393</v>
      </c>
      <c r="M14059" t="s">
        <v>8394</v>
      </c>
      <c r="N14059" t="s">
        <v>8395</v>
      </c>
      <c r="O14059" t="s">
        <v>1616</v>
      </c>
      <c r="P14059" t="str">
        <f>"57709"</f>
        <v>57709</v>
      </c>
    </row>
    <row r="14060" spans="1:16" x14ac:dyDescent="0.25">
      <c r="A14060" t="str">
        <f>"1200019H00051    00"</f>
        <v>1200019H00051    00</v>
      </c>
      <c r="B14060" t="s">
        <v>30913</v>
      </c>
      <c r="C14060" t="s">
        <v>30914</v>
      </c>
      <c r="D14060" t="s">
        <v>20</v>
      </c>
      <c r="E14060" t="s">
        <v>39</v>
      </c>
      <c r="F14060">
        <v>0</v>
      </c>
      <c r="G14060">
        <v>0</v>
      </c>
      <c r="H14060">
        <v>5</v>
      </c>
      <c r="I14060" s="3">
        <v>1464.73</v>
      </c>
      <c r="J14060" s="3">
        <v>375.68</v>
      </c>
      <c r="L14060">
        <v>400</v>
      </c>
      <c r="M14060" t="s">
        <v>30915</v>
      </c>
      <c r="N14060" t="s">
        <v>30</v>
      </c>
      <c r="O14060" t="s">
        <v>31</v>
      </c>
      <c r="P14060" t="str">
        <f>"15220"</f>
        <v>15220</v>
      </c>
    </row>
    <row r="14061" spans="1:16" x14ac:dyDescent="0.25">
      <c r="A14061" t="str">
        <f>"1200019H00083    00"</f>
        <v>1200019H00083    00</v>
      </c>
      <c r="B14061" t="s">
        <v>30916</v>
      </c>
      <c r="C14061" t="s">
        <v>30917</v>
      </c>
      <c r="D14061" t="s">
        <v>20</v>
      </c>
      <c r="E14061" t="s">
        <v>39</v>
      </c>
      <c r="F14061">
        <v>0</v>
      </c>
      <c r="G14061">
        <v>0</v>
      </c>
      <c r="H14061">
        <v>11</v>
      </c>
      <c r="I14061" s="3">
        <v>5262.66</v>
      </c>
      <c r="J14061" s="3">
        <v>2554.5500000000002</v>
      </c>
      <c r="L14061">
        <v>709</v>
      </c>
      <c r="M14061" t="s">
        <v>30910</v>
      </c>
      <c r="N14061" t="s">
        <v>30</v>
      </c>
      <c r="O14061" t="s">
        <v>31</v>
      </c>
      <c r="P14061" t="str">
        <f>"15220"</f>
        <v>15220</v>
      </c>
    </row>
    <row r="14062" spans="1:16" x14ac:dyDescent="0.25">
      <c r="A14062" t="str">
        <f>"1200019H00121    00"</f>
        <v>1200019H00121    00</v>
      </c>
      <c r="B14062" t="s">
        <v>30918</v>
      </c>
      <c r="C14062" t="s">
        <v>30919</v>
      </c>
      <c r="D14062" t="s">
        <v>20</v>
      </c>
      <c r="E14062" t="s">
        <v>39</v>
      </c>
      <c r="F14062">
        <v>0</v>
      </c>
      <c r="G14062">
        <v>0</v>
      </c>
      <c r="H14062">
        <v>14</v>
      </c>
      <c r="I14062" s="3">
        <v>8040.67</v>
      </c>
      <c r="J14062" s="3">
        <v>5364.51</v>
      </c>
      <c r="K14062" t="s">
        <v>30920</v>
      </c>
      <c r="L14062">
        <v>689</v>
      </c>
      <c r="M14062" t="s">
        <v>30921</v>
      </c>
      <c r="N14062" t="s">
        <v>30922</v>
      </c>
      <c r="O14062" t="s">
        <v>108</v>
      </c>
      <c r="P14062" t="str">
        <f>"76053"</f>
        <v>76053</v>
      </c>
    </row>
    <row r="14063" spans="1:16" x14ac:dyDescent="0.25">
      <c r="A14063" t="str">
        <f>"1200019H00123    00"</f>
        <v>1200019H00123    00</v>
      </c>
      <c r="B14063" t="s">
        <v>30923</v>
      </c>
      <c r="C14063" t="s">
        <v>30924</v>
      </c>
      <c r="D14063" t="s">
        <v>20</v>
      </c>
      <c r="E14063" t="s">
        <v>39</v>
      </c>
      <c r="F14063">
        <v>0</v>
      </c>
      <c r="G14063">
        <v>0</v>
      </c>
      <c r="H14063">
        <v>19</v>
      </c>
      <c r="I14063" s="3">
        <v>15005.97</v>
      </c>
      <c r="J14063" s="3">
        <v>16862.060000000001</v>
      </c>
      <c r="L14063">
        <v>40</v>
      </c>
      <c r="M14063" t="s">
        <v>30925</v>
      </c>
      <c r="N14063" t="s">
        <v>30</v>
      </c>
      <c r="O14063" t="s">
        <v>31</v>
      </c>
      <c r="P14063" t="str">
        <f>"15220"</f>
        <v>15220</v>
      </c>
    </row>
    <row r="14064" spans="1:16" x14ac:dyDescent="0.25">
      <c r="A14064" t="str">
        <f>"1200019H00158    00"</f>
        <v>1200019H00158    00</v>
      </c>
      <c r="B14064" t="s">
        <v>30926</v>
      </c>
      <c r="C14064" t="s">
        <v>30927</v>
      </c>
      <c r="D14064" t="s">
        <v>20</v>
      </c>
      <c r="E14064" t="s">
        <v>39</v>
      </c>
      <c r="F14064">
        <v>0</v>
      </c>
      <c r="G14064">
        <v>0</v>
      </c>
      <c r="H14064">
        <v>5</v>
      </c>
      <c r="I14064" s="3">
        <v>4111.7700000000004</v>
      </c>
      <c r="J14064" s="3">
        <v>781.98</v>
      </c>
      <c r="L14064">
        <v>75</v>
      </c>
      <c r="M14064" t="s">
        <v>30928</v>
      </c>
      <c r="N14064" t="s">
        <v>526</v>
      </c>
      <c r="O14064" t="s">
        <v>31</v>
      </c>
      <c r="P14064" t="str">
        <f>"15301"</f>
        <v>15301</v>
      </c>
    </row>
    <row r="14065" spans="1:16" x14ac:dyDescent="0.25">
      <c r="A14065" t="str">
        <f>"1200019H00165    00"</f>
        <v>1200019H00165    00</v>
      </c>
      <c r="B14065" t="s">
        <v>30894</v>
      </c>
      <c r="C14065" t="s">
        <v>30895</v>
      </c>
      <c r="E14065" t="s">
        <v>39</v>
      </c>
      <c r="F14065">
        <v>0</v>
      </c>
      <c r="G14065">
        <v>0</v>
      </c>
      <c r="H14065">
        <v>1</v>
      </c>
      <c r="I14065" s="3">
        <v>574</v>
      </c>
      <c r="J14065" s="3">
        <v>0</v>
      </c>
      <c r="L14065">
        <v>625</v>
      </c>
      <c r="M14065" t="s">
        <v>25567</v>
      </c>
      <c r="N14065" t="s">
        <v>30</v>
      </c>
      <c r="O14065" t="s">
        <v>31</v>
      </c>
      <c r="P14065" t="str">
        <f>"15220"</f>
        <v>15220</v>
      </c>
    </row>
    <row r="14066" spans="1:16" x14ac:dyDescent="0.25">
      <c r="A14066" t="str">
        <f>"1200019H00172    00"</f>
        <v>1200019H00172    00</v>
      </c>
      <c r="B14066" t="s">
        <v>30929</v>
      </c>
      <c r="C14066" t="s">
        <v>30930</v>
      </c>
      <c r="D14066" t="s">
        <v>20</v>
      </c>
      <c r="E14066" t="s">
        <v>21</v>
      </c>
      <c r="F14066">
        <v>0</v>
      </c>
      <c r="G14066">
        <v>0</v>
      </c>
      <c r="H14066">
        <v>2</v>
      </c>
      <c r="I14066" s="3">
        <v>2556.5</v>
      </c>
      <c r="J14066" s="3">
        <v>19.600000000000001</v>
      </c>
      <c r="K14066" t="s">
        <v>30931</v>
      </c>
      <c r="L14066">
        <v>1426</v>
      </c>
      <c r="M14066" t="s">
        <v>30932</v>
      </c>
      <c r="N14066" t="s">
        <v>30</v>
      </c>
      <c r="O14066" t="s">
        <v>31</v>
      </c>
      <c r="P14066" t="str">
        <f>"15220"</f>
        <v>15220</v>
      </c>
    </row>
    <row r="14067" spans="1:16" x14ac:dyDescent="0.25">
      <c r="A14067" t="str">
        <f>"1200019H00186    00"</f>
        <v>1200019H00186    00</v>
      </c>
      <c r="B14067" t="s">
        <v>30933</v>
      </c>
      <c r="C14067" t="s">
        <v>30934</v>
      </c>
      <c r="D14067" t="s">
        <v>20</v>
      </c>
      <c r="E14067" t="s">
        <v>21</v>
      </c>
      <c r="F14067">
        <v>0</v>
      </c>
      <c r="G14067">
        <v>0</v>
      </c>
      <c r="H14067">
        <v>10</v>
      </c>
      <c r="I14067" s="3">
        <v>4383.38</v>
      </c>
      <c r="J14067" s="3">
        <v>1876.87</v>
      </c>
      <c r="M14067" t="s">
        <v>30935</v>
      </c>
      <c r="N14067" t="s">
        <v>30936</v>
      </c>
      <c r="O14067" t="s">
        <v>3263</v>
      </c>
      <c r="P14067" t="str">
        <f>"97496"</f>
        <v>97496</v>
      </c>
    </row>
    <row r="14068" spans="1:16" x14ac:dyDescent="0.25">
      <c r="A14068" t="str">
        <f>"1200019H00197    00"</f>
        <v>1200019H00197    00</v>
      </c>
      <c r="B14068" t="s">
        <v>9290</v>
      </c>
      <c r="C14068" t="s">
        <v>30937</v>
      </c>
      <c r="D14068" t="s">
        <v>20</v>
      </c>
      <c r="E14068" t="s">
        <v>21</v>
      </c>
      <c r="F14068">
        <v>0</v>
      </c>
      <c r="G14068">
        <v>0</v>
      </c>
      <c r="H14068">
        <v>2</v>
      </c>
      <c r="I14068" s="3">
        <v>9743.48</v>
      </c>
      <c r="J14068" s="3">
        <v>0</v>
      </c>
      <c r="K14068" t="s">
        <v>12658</v>
      </c>
      <c r="L14068">
        <v>414</v>
      </c>
      <c r="M14068" t="s">
        <v>9292</v>
      </c>
      <c r="N14068" t="s">
        <v>30</v>
      </c>
      <c r="O14068" t="s">
        <v>31</v>
      </c>
      <c r="P14068" t="str">
        <f>"15219"</f>
        <v>15219</v>
      </c>
    </row>
    <row r="14069" spans="1:16" x14ac:dyDescent="0.25">
      <c r="A14069" t="str">
        <f>"1200019H00206    00"</f>
        <v>1200019H00206    00</v>
      </c>
      <c r="B14069" t="s">
        <v>9290</v>
      </c>
      <c r="C14069" t="s">
        <v>30938</v>
      </c>
      <c r="D14069" t="s">
        <v>20</v>
      </c>
      <c r="E14069" t="s">
        <v>21</v>
      </c>
      <c r="F14069">
        <v>0</v>
      </c>
      <c r="G14069">
        <v>0</v>
      </c>
      <c r="H14069">
        <v>2</v>
      </c>
      <c r="I14069" s="3">
        <v>72.44</v>
      </c>
      <c r="J14069" s="3">
        <v>0</v>
      </c>
      <c r="K14069" t="s">
        <v>12658</v>
      </c>
      <c r="L14069">
        <v>414</v>
      </c>
      <c r="M14069" t="s">
        <v>9292</v>
      </c>
      <c r="N14069" t="s">
        <v>30</v>
      </c>
      <c r="O14069" t="s">
        <v>31</v>
      </c>
      <c r="P14069" t="str">
        <f>"15219"</f>
        <v>15219</v>
      </c>
    </row>
    <row r="14070" spans="1:16" x14ac:dyDescent="0.25">
      <c r="A14070" t="str">
        <f>"1200019H00207    00"</f>
        <v>1200019H00207    00</v>
      </c>
      <c r="B14070" t="s">
        <v>9290</v>
      </c>
      <c r="C14070" t="s">
        <v>30938</v>
      </c>
      <c r="D14070" t="s">
        <v>20</v>
      </c>
      <c r="E14070" t="s">
        <v>21</v>
      </c>
      <c r="F14070">
        <v>0</v>
      </c>
      <c r="G14070">
        <v>0</v>
      </c>
      <c r="H14070">
        <v>2</v>
      </c>
      <c r="I14070" s="3">
        <v>72.44</v>
      </c>
      <c r="J14070" s="3">
        <v>0</v>
      </c>
      <c r="K14070" t="s">
        <v>12658</v>
      </c>
      <c r="L14070">
        <v>414</v>
      </c>
      <c r="M14070" t="s">
        <v>9292</v>
      </c>
      <c r="N14070" t="s">
        <v>30</v>
      </c>
      <c r="O14070" t="s">
        <v>31</v>
      </c>
      <c r="P14070" t="str">
        <f>"15219"</f>
        <v>15219</v>
      </c>
    </row>
    <row r="14071" spans="1:16" x14ac:dyDescent="0.25">
      <c r="A14071" t="str">
        <f>"1200019H00209    00"</f>
        <v>1200019H00209    00</v>
      </c>
      <c r="B14071" t="s">
        <v>30939</v>
      </c>
      <c r="C14071" t="s">
        <v>30938</v>
      </c>
      <c r="E14071" t="s">
        <v>39</v>
      </c>
      <c r="F14071">
        <v>0</v>
      </c>
      <c r="G14071">
        <v>0</v>
      </c>
      <c r="H14071">
        <v>1</v>
      </c>
      <c r="I14071" s="3">
        <v>108.37</v>
      </c>
      <c r="J14071" s="3">
        <v>0</v>
      </c>
      <c r="L14071">
        <v>1226</v>
      </c>
      <c r="M14071" t="s">
        <v>2685</v>
      </c>
      <c r="N14071" t="s">
        <v>30</v>
      </c>
      <c r="O14071" t="s">
        <v>31</v>
      </c>
      <c r="P14071" t="str">
        <f>"15221"</f>
        <v>15221</v>
      </c>
    </row>
    <row r="14072" spans="1:16" x14ac:dyDescent="0.25">
      <c r="A14072" t="str">
        <f>"1200019H00234    00"</f>
        <v>1200019H00234    00</v>
      </c>
      <c r="B14072" t="s">
        <v>30933</v>
      </c>
      <c r="C14072" t="s">
        <v>30940</v>
      </c>
      <c r="D14072" t="s">
        <v>20</v>
      </c>
      <c r="E14072" t="s">
        <v>39</v>
      </c>
      <c r="F14072">
        <v>0</v>
      </c>
      <c r="G14072">
        <v>0</v>
      </c>
      <c r="H14072">
        <v>10</v>
      </c>
      <c r="I14072" s="3">
        <v>5493.08</v>
      </c>
      <c r="J14072" s="3">
        <v>2351.98</v>
      </c>
      <c r="M14072" t="s">
        <v>30935</v>
      </c>
      <c r="N14072" t="s">
        <v>30936</v>
      </c>
      <c r="O14072" t="s">
        <v>3263</v>
      </c>
      <c r="P14072" t="str">
        <f>"97496"</f>
        <v>97496</v>
      </c>
    </row>
    <row r="14073" spans="1:16" x14ac:dyDescent="0.25">
      <c r="A14073" t="str">
        <f>"1200019K00015    00"</f>
        <v>1200019K00015    00</v>
      </c>
      <c r="B14073" t="s">
        <v>30941</v>
      </c>
      <c r="C14073" t="s">
        <v>30924</v>
      </c>
      <c r="D14073" t="s">
        <v>20</v>
      </c>
      <c r="E14073" t="s">
        <v>39</v>
      </c>
      <c r="F14073">
        <v>0</v>
      </c>
      <c r="G14073">
        <v>0</v>
      </c>
      <c r="H14073">
        <v>18</v>
      </c>
      <c r="I14073" s="3">
        <v>9797.07</v>
      </c>
      <c r="J14073" s="3">
        <v>10668.6</v>
      </c>
      <c r="L14073">
        <v>858</v>
      </c>
      <c r="M14073" t="s">
        <v>30942</v>
      </c>
      <c r="N14073" t="s">
        <v>903</v>
      </c>
      <c r="O14073" t="s">
        <v>31</v>
      </c>
      <c r="P14073" t="str">
        <f>"15136"</f>
        <v>15136</v>
      </c>
    </row>
    <row r="14074" spans="1:16" x14ac:dyDescent="0.25">
      <c r="A14074" t="str">
        <f>"1200019K00018    00"</f>
        <v>1200019K00018    00</v>
      </c>
      <c r="B14074" t="s">
        <v>30943</v>
      </c>
      <c r="C14074" t="s">
        <v>30924</v>
      </c>
      <c r="D14074" t="s">
        <v>20</v>
      </c>
      <c r="E14074" t="s">
        <v>39</v>
      </c>
      <c r="F14074">
        <v>0</v>
      </c>
      <c r="G14074">
        <v>0</v>
      </c>
      <c r="H14074">
        <v>18</v>
      </c>
      <c r="I14074" s="3">
        <v>1012.92</v>
      </c>
      <c r="J14074" s="3">
        <v>731.74</v>
      </c>
      <c r="L14074">
        <v>858</v>
      </c>
      <c r="M14074" t="s">
        <v>30942</v>
      </c>
      <c r="N14074" t="s">
        <v>903</v>
      </c>
      <c r="O14074" t="s">
        <v>31</v>
      </c>
      <c r="P14074" t="str">
        <f>"15136"</f>
        <v>15136</v>
      </c>
    </row>
    <row r="14075" spans="1:16" x14ac:dyDescent="0.25">
      <c r="A14075" t="str">
        <f>"1200019K00019    00"</f>
        <v>1200019K00019    00</v>
      </c>
      <c r="B14075" t="s">
        <v>30941</v>
      </c>
      <c r="C14075" t="s">
        <v>30924</v>
      </c>
      <c r="D14075" t="s">
        <v>20</v>
      </c>
      <c r="E14075" t="s">
        <v>39</v>
      </c>
      <c r="F14075">
        <v>0</v>
      </c>
      <c r="G14075">
        <v>0</v>
      </c>
      <c r="H14075">
        <v>18</v>
      </c>
      <c r="I14075" s="3">
        <v>1389.42</v>
      </c>
      <c r="J14075" s="3">
        <v>967.14</v>
      </c>
      <c r="L14075">
        <v>858</v>
      </c>
      <c r="M14075" t="s">
        <v>30942</v>
      </c>
      <c r="N14075" t="s">
        <v>903</v>
      </c>
      <c r="O14075" t="s">
        <v>31</v>
      </c>
      <c r="P14075" t="str">
        <f>"15136"</f>
        <v>15136</v>
      </c>
    </row>
    <row r="14076" spans="1:16" x14ac:dyDescent="0.25">
      <c r="A14076" t="str">
        <f>"1200019K00032    00"</f>
        <v>1200019K00032    00</v>
      </c>
      <c r="B14076" t="s">
        <v>30944</v>
      </c>
      <c r="C14076" t="s">
        <v>30945</v>
      </c>
      <c r="D14076" t="s">
        <v>20</v>
      </c>
      <c r="E14076" t="s">
        <v>39</v>
      </c>
      <c r="F14076">
        <v>0</v>
      </c>
      <c r="G14076">
        <v>0</v>
      </c>
      <c r="H14076">
        <v>2</v>
      </c>
      <c r="I14076" s="3">
        <v>2111.84</v>
      </c>
      <c r="J14076" s="3">
        <v>0</v>
      </c>
      <c r="L14076">
        <v>1321</v>
      </c>
      <c r="M14076" t="s">
        <v>30946</v>
      </c>
      <c r="N14076" t="s">
        <v>30</v>
      </c>
      <c r="O14076" t="s">
        <v>31</v>
      </c>
      <c r="P14076" t="str">
        <f>"15220"</f>
        <v>15220</v>
      </c>
    </row>
    <row r="14077" spans="1:16" x14ac:dyDescent="0.25">
      <c r="A14077" t="str">
        <f>"1200019K00038A   00"</f>
        <v>1200019K00038A   00</v>
      </c>
      <c r="B14077" t="s">
        <v>30947</v>
      </c>
      <c r="C14077" t="s">
        <v>30948</v>
      </c>
      <c r="D14077" t="s">
        <v>20</v>
      </c>
      <c r="E14077" t="s">
        <v>39</v>
      </c>
      <c r="F14077">
        <v>0</v>
      </c>
      <c r="G14077">
        <v>0</v>
      </c>
      <c r="H14077">
        <v>1</v>
      </c>
      <c r="I14077" s="3">
        <v>34.369999999999997</v>
      </c>
      <c r="J14077" s="3">
        <v>0</v>
      </c>
      <c r="L14077">
        <v>635</v>
      </c>
      <c r="M14077" t="s">
        <v>30949</v>
      </c>
      <c r="N14077" t="s">
        <v>23327</v>
      </c>
      <c r="O14077" t="s">
        <v>31</v>
      </c>
      <c r="P14077" t="str">
        <f>"15043"</f>
        <v>15043</v>
      </c>
    </row>
    <row r="14078" spans="1:16" x14ac:dyDescent="0.25">
      <c r="A14078" t="str">
        <f>"1200019L00024    00"</f>
        <v>1200019L00024    00</v>
      </c>
      <c r="B14078" t="s">
        <v>30950</v>
      </c>
      <c r="C14078" t="s">
        <v>30951</v>
      </c>
      <c r="E14078" t="s">
        <v>39</v>
      </c>
      <c r="F14078">
        <v>0</v>
      </c>
      <c r="G14078">
        <v>0</v>
      </c>
      <c r="H14078">
        <v>1</v>
      </c>
      <c r="I14078" s="3">
        <v>124.65</v>
      </c>
      <c r="J14078" s="3">
        <v>37.39</v>
      </c>
      <c r="L14078">
        <v>176</v>
      </c>
      <c r="M14078" t="s">
        <v>30952</v>
      </c>
      <c r="N14078" t="s">
        <v>526</v>
      </c>
      <c r="O14078" t="s">
        <v>31</v>
      </c>
      <c r="P14078" t="str">
        <f>"15301"</f>
        <v>15301</v>
      </c>
    </row>
    <row r="14079" spans="1:16" x14ac:dyDescent="0.25">
      <c r="A14079" t="str">
        <f>"1200019L00043    00"</f>
        <v>1200019L00043    00</v>
      </c>
      <c r="B14079" t="s">
        <v>30953</v>
      </c>
      <c r="C14079" t="s">
        <v>30954</v>
      </c>
      <c r="D14079" t="s">
        <v>20</v>
      </c>
      <c r="E14079" t="s">
        <v>39</v>
      </c>
      <c r="F14079">
        <v>0</v>
      </c>
      <c r="G14079">
        <v>0</v>
      </c>
      <c r="H14079">
        <v>4</v>
      </c>
      <c r="I14079" s="3">
        <v>2347.77</v>
      </c>
      <c r="J14079" s="3">
        <v>210.9</v>
      </c>
      <c r="L14079">
        <v>623</v>
      </c>
      <c r="M14079" t="s">
        <v>30955</v>
      </c>
      <c r="N14079" t="s">
        <v>30</v>
      </c>
      <c r="O14079" t="s">
        <v>31</v>
      </c>
      <c r="P14079" t="str">
        <f>"15220"</f>
        <v>15220</v>
      </c>
    </row>
    <row r="14080" spans="1:16" x14ac:dyDescent="0.25">
      <c r="A14080" t="str">
        <f>"1200019L00090    00"</f>
        <v>1200019L00090    00</v>
      </c>
      <c r="B14080" t="s">
        <v>30760</v>
      </c>
      <c r="C14080" t="s">
        <v>30956</v>
      </c>
      <c r="E14080" t="s">
        <v>39</v>
      </c>
      <c r="F14080">
        <v>0</v>
      </c>
      <c r="G14080">
        <v>0</v>
      </c>
      <c r="H14080">
        <v>1</v>
      </c>
      <c r="I14080" s="3">
        <v>438.38</v>
      </c>
      <c r="J14080" s="3">
        <v>0</v>
      </c>
      <c r="K14080" t="s">
        <v>30957</v>
      </c>
      <c r="L14080">
        <v>25</v>
      </c>
      <c r="M14080" t="s">
        <v>1826</v>
      </c>
      <c r="N14080" t="s">
        <v>149</v>
      </c>
      <c r="O14080" t="s">
        <v>31</v>
      </c>
      <c r="P14080" t="str">
        <f>"15106"</f>
        <v>15106</v>
      </c>
    </row>
    <row r="14081" spans="1:16" x14ac:dyDescent="0.25">
      <c r="A14081" t="str">
        <f>"1200019L00096    00"</f>
        <v>1200019L00096    00</v>
      </c>
      <c r="B14081" t="s">
        <v>30958</v>
      </c>
      <c r="C14081" t="s">
        <v>30959</v>
      </c>
      <c r="D14081" t="s">
        <v>20</v>
      </c>
      <c r="E14081" t="s">
        <v>39</v>
      </c>
      <c r="F14081">
        <v>0</v>
      </c>
      <c r="G14081">
        <v>0</v>
      </c>
      <c r="H14081">
        <v>2</v>
      </c>
      <c r="I14081" s="3">
        <v>2378.7199999999998</v>
      </c>
      <c r="J14081" s="3">
        <v>237.86</v>
      </c>
      <c r="L14081">
        <v>600</v>
      </c>
      <c r="M14081" t="s">
        <v>30925</v>
      </c>
      <c r="N14081" t="s">
        <v>30</v>
      </c>
      <c r="O14081" t="s">
        <v>31</v>
      </c>
      <c r="P14081" t="str">
        <f>"15220"</f>
        <v>15220</v>
      </c>
    </row>
    <row r="14082" spans="1:16" x14ac:dyDescent="0.25">
      <c r="A14082" t="str">
        <f>"1200019L00098    00"</f>
        <v>1200019L00098    00</v>
      </c>
      <c r="B14082" t="s">
        <v>30960</v>
      </c>
      <c r="C14082" t="s">
        <v>30961</v>
      </c>
      <c r="D14082" t="s">
        <v>20</v>
      </c>
      <c r="E14082" t="s">
        <v>39</v>
      </c>
      <c r="F14082">
        <v>0</v>
      </c>
      <c r="G14082">
        <v>0</v>
      </c>
      <c r="H14082">
        <v>4</v>
      </c>
      <c r="I14082" s="3">
        <v>2128.4</v>
      </c>
      <c r="J14082" s="3">
        <v>25.96</v>
      </c>
      <c r="L14082">
        <v>200</v>
      </c>
      <c r="M14082" t="s">
        <v>30962</v>
      </c>
      <c r="N14082" t="s">
        <v>30</v>
      </c>
      <c r="O14082" t="s">
        <v>31</v>
      </c>
      <c r="P14082" t="str">
        <f>"15220"</f>
        <v>15220</v>
      </c>
    </row>
    <row r="14083" spans="1:16" x14ac:dyDescent="0.25">
      <c r="A14083" t="str">
        <f>"1200019M00001    00"</f>
        <v>1200019M00001    00</v>
      </c>
      <c r="B14083" t="s">
        <v>30963</v>
      </c>
      <c r="C14083" t="s">
        <v>30846</v>
      </c>
      <c r="D14083" t="s">
        <v>20</v>
      </c>
      <c r="E14083" t="s">
        <v>39</v>
      </c>
      <c r="F14083">
        <v>0</v>
      </c>
      <c r="G14083">
        <v>0</v>
      </c>
      <c r="H14083">
        <v>9</v>
      </c>
      <c r="I14083" s="3">
        <v>99.8</v>
      </c>
      <c r="J14083" s="3">
        <v>38.08</v>
      </c>
      <c r="L14083">
        <v>828</v>
      </c>
      <c r="M14083" t="s">
        <v>30910</v>
      </c>
      <c r="N14083" t="s">
        <v>30</v>
      </c>
      <c r="O14083" t="s">
        <v>31</v>
      </c>
      <c r="P14083" t="str">
        <f>"15220"</f>
        <v>15220</v>
      </c>
    </row>
    <row r="14084" spans="1:16" x14ac:dyDescent="0.25">
      <c r="A14084" t="str">
        <f>"1200019M00002    00"</f>
        <v>1200019M00002    00</v>
      </c>
      <c r="B14084" t="s">
        <v>30963</v>
      </c>
      <c r="C14084" t="s">
        <v>30964</v>
      </c>
      <c r="D14084" t="s">
        <v>20</v>
      </c>
      <c r="E14084" t="s">
        <v>39</v>
      </c>
      <c r="F14084">
        <v>0</v>
      </c>
      <c r="G14084">
        <v>0</v>
      </c>
      <c r="H14084">
        <v>13</v>
      </c>
      <c r="I14084" s="3">
        <v>12100.78</v>
      </c>
      <c r="J14084" s="3">
        <v>6955.31</v>
      </c>
      <c r="L14084">
        <v>828</v>
      </c>
      <c r="M14084" t="s">
        <v>30910</v>
      </c>
      <c r="N14084" t="s">
        <v>30</v>
      </c>
      <c r="O14084" t="s">
        <v>31</v>
      </c>
      <c r="P14084" t="str">
        <f>"15220"</f>
        <v>15220</v>
      </c>
    </row>
    <row r="14085" spans="1:16" x14ac:dyDescent="0.25">
      <c r="A14085" t="str">
        <f>"1200019M00014    00"</f>
        <v>1200019M00014    00</v>
      </c>
      <c r="B14085" t="s">
        <v>25506</v>
      </c>
      <c r="C14085" t="s">
        <v>30965</v>
      </c>
      <c r="D14085" t="s">
        <v>20</v>
      </c>
      <c r="E14085" t="s">
        <v>39</v>
      </c>
      <c r="F14085">
        <v>0</v>
      </c>
      <c r="G14085">
        <v>0</v>
      </c>
      <c r="H14085">
        <v>1</v>
      </c>
      <c r="I14085" s="3">
        <v>581.34</v>
      </c>
      <c r="J14085" s="3">
        <v>0</v>
      </c>
      <c r="K14085" t="s">
        <v>25508</v>
      </c>
      <c r="L14085">
        <v>3325</v>
      </c>
      <c r="M14085" t="s">
        <v>9782</v>
      </c>
      <c r="N14085" t="s">
        <v>30</v>
      </c>
      <c r="O14085" t="s">
        <v>31</v>
      </c>
      <c r="P14085" t="str">
        <f>"15227"</f>
        <v>15227</v>
      </c>
    </row>
    <row r="14086" spans="1:16" x14ac:dyDescent="0.25">
      <c r="A14086" t="str">
        <f>"1200019M00030    00"</f>
        <v>1200019M00030    00</v>
      </c>
      <c r="B14086" t="s">
        <v>30966</v>
      </c>
      <c r="C14086" t="s">
        <v>30967</v>
      </c>
      <c r="D14086" t="s">
        <v>20</v>
      </c>
      <c r="E14086" t="s">
        <v>39</v>
      </c>
      <c r="F14086">
        <v>0</v>
      </c>
      <c r="G14086">
        <v>0</v>
      </c>
      <c r="H14086">
        <v>2</v>
      </c>
      <c r="I14086" s="3">
        <v>911.36</v>
      </c>
      <c r="J14086" s="3">
        <v>0</v>
      </c>
      <c r="L14086">
        <v>510</v>
      </c>
      <c r="M14086" t="s">
        <v>30968</v>
      </c>
      <c r="N14086" t="s">
        <v>1474</v>
      </c>
      <c r="O14086" t="s">
        <v>31</v>
      </c>
      <c r="P14086" t="str">
        <f>"15017"</f>
        <v>15017</v>
      </c>
    </row>
    <row r="14087" spans="1:16" x14ac:dyDescent="0.25">
      <c r="A14087" t="str">
        <f>"1200019M00035    00"</f>
        <v>1200019M00035    00</v>
      </c>
      <c r="B14087" t="s">
        <v>30969</v>
      </c>
      <c r="C14087" t="s">
        <v>30970</v>
      </c>
      <c r="D14087" t="s">
        <v>20</v>
      </c>
      <c r="E14087" t="s">
        <v>39</v>
      </c>
      <c r="F14087">
        <v>0</v>
      </c>
      <c r="G14087">
        <v>0</v>
      </c>
      <c r="H14087">
        <v>4</v>
      </c>
      <c r="I14087" s="3">
        <v>529.07000000000005</v>
      </c>
      <c r="J14087" s="3">
        <v>43.59</v>
      </c>
      <c r="L14087">
        <v>133</v>
      </c>
      <c r="M14087" t="s">
        <v>30971</v>
      </c>
      <c r="N14087" t="s">
        <v>30</v>
      </c>
      <c r="O14087" t="s">
        <v>31</v>
      </c>
      <c r="P14087" t="str">
        <f>"15220"</f>
        <v>15220</v>
      </c>
    </row>
    <row r="14088" spans="1:16" x14ac:dyDescent="0.25">
      <c r="A14088" t="str">
        <f>"1200019M00077    00"</f>
        <v>1200019M00077    00</v>
      </c>
      <c r="B14088" t="s">
        <v>30972</v>
      </c>
      <c r="C14088" t="s">
        <v>30973</v>
      </c>
      <c r="E14088" t="s">
        <v>39</v>
      </c>
      <c r="F14088">
        <v>0</v>
      </c>
      <c r="G14088">
        <v>0</v>
      </c>
      <c r="H14088">
        <v>1</v>
      </c>
      <c r="I14088" s="3">
        <v>519.71</v>
      </c>
      <c r="J14088" s="3">
        <v>103.93</v>
      </c>
      <c r="K14088" t="s">
        <v>30974</v>
      </c>
      <c r="L14088">
        <v>134</v>
      </c>
      <c r="M14088" t="s">
        <v>2066</v>
      </c>
      <c r="N14088" t="s">
        <v>30</v>
      </c>
      <c r="O14088" t="s">
        <v>31</v>
      </c>
      <c r="P14088" t="str">
        <f>"15220"</f>
        <v>15220</v>
      </c>
    </row>
    <row r="14089" spans="1:16" x14ac:dyDescent="0.25">
      <c r="A14089" t="str">
        <f>"1200019M00117    00"</f>
        <v>1200019M00117    00</v>
      </c>
      <c r="B14089" t="s">
        <v>30975</v>
      </c>
      <c r="C14089" t="s">
        <v>30976</v>
      </c>
      <c r="D14089" t="s">
        <v>20</v>
      </c>
      <c r="E14089" t="s">
        <v>21</v>
      </c>
      <c r="F14089">
        <v>0</v>
      </c>
      <c r="G14089">
        <v>0</v>
      </c>
      <c r="H14089">
        <v>1</v>
      </c>
      <c r="I14089" s="3">
        <v>3388.87</v>
      </c>
      <c r="J14089" s="3">
        <v>0</v>
      </c>
      <c r="K14089" t="s">
        <v>30977</v>
      </c>
      <c r="L14089">
        <v>1</v>
      </c>
      <c r="M14089" t="s">
        <v>30978</v>
      </c>
      <c r="N14089" t="s">
        <v>30979</v>
      </c>
      <c r="O14089" t="s">
        <v>25</v>
      </c>
      <c r="P14089" t="str">
        <f>"44308"</f>
        <v>44308</v>
      </c>
    </row>
    <row r="14090" spans="1:16" x14ac:dyDescent="0.25">
      <c r="A14090" t="str">
        <f>"1200019M00126    00"</f>
        <v>1200019M00126    00</v>
      </c>
      <c r="B14090" t="s">
        <v>30980</v>
      </c>
      <c r="C14090" t="s">
        <v>30981</v>
      </c>
      <c r="D14090" t="s">
        <v>20</v>
      </c>
      <c r="E14090" t="s">
        <v>39</v>
      </c>
      <c r="F14090">
        <v>0</v>
      </c>
      <c r="G14090">
        <v>0</v>
      </c>
      <c r="H14090">
        <v>1</v>
      </c>
      <c r="I14090" s="3">
        <v>33.99</v>
      </c>
      <c r="J14090" s="3">
        <v>0.56999999999999995</v>
      </c>
      <c r="K14090" t="s">
        <v>30982</v>
      </c>
      <c r="L14090">
        <v>2350</v>
      </c>
      <c r="M14090" t="s">
        <v>30983</v>
      </c>
      <c r="N14090" t="s">
        <v>30984</v>
      </c>
      <c r="O14090" t="s">
        <v>495</v>
      </c>
      <c r="P14090" t="str">
        <f>"93631"</f>
        <v>93631</v>
      </c>
    </row>
    <row r="14091" spans="1:16" x14ac:dyDescent="0.25">
      <c r="A14091" t="str">
        <f>"1200019N00232    00"</f>
        <v>1200019N00232    00</v>
      </c>
      <c r="B14091" t="s">
        <v>23499</v>
      </c>
      <c r="C14091" t="s">
        <v>30985</v>
      </c>
      <c r="D14091" t="s">
        <v>20</v>
      </c>
      <c r="E14091" t="s">
        <v>39</v>
      </c>
      <c r="F14091">
        <v>0</v>
      </c>
      <c r="G14091">
        <v>0</v>
      </c>
      <c r="H14091">
        <v>2</v>
      </c>
      <c r="I14091" s="3">
        <v>1833.6</v>
      </c>
      <c r="J14091" s="3">
        <v>0</v>
      </c>
      <c r="K14091" t="s">
        <v>23501</v>
      </c>
      <c r="M14091" t="s">
        <v>27842</v>
      </c>
      <c r="N14091" t="s">
        <v>30</v>
      </c>
      <c r="O14091" t="s">
        <v>31</v>
      </c>
      <c r="P14091" t="str">
        <f>"15211"</f>
        <v>15211</v>
      </c>
    </row>
    <row r="14092" spans="1:16" x14ac:dyDescent="0.25">
      <c r="A14092" t="str">
        <f>"1200019N00263    00"</f>
        <v>1200019N00263    00</v>
      </c>
      <c r="B14092" t="s">
        <v>24076</v>
      </c>
      <c r="C14092" t="s">
        <v>30986</v>
      </c>
      <c r="D14092" t="s">
        <v>20</v>
      </c>
      <c r="E14092" t="s">
        <v>39</v>
      </c>
      <c r="F14092">
        <v>0</v>
      </c>
      <c r="G14092">
        <v>0</v>
      </c>
      <c r="H14092">
        <v>1</v>
      </c>
      <c r="I14092" s="3">
        <v>1957.47</v>
      </c>
      <c r="J14092" s="3">
        <v>0</v>
      </c>
      <c r="L14092">
        <v>2351</v>
      </c>
      <c r="M14092" t="s">
        <v>9782</v>
      </c>
      <c r="N14092" t="s">
        <v>30</v>
      </c>
      <c r="O14092" t="s">
        <v>31</v>
      </c>
      <c r="P14092" t="str">
        <f>"15210"</f>
        <v>15210</v>
      </c>
    </row>
    <row r="14093" spans="1:16" x14ac:dyDescent="0.25">
      <c r="A14093" t="str">
        <f>"1200019N00273    00"</f>
        <v>1200019N00273    00</v>
      </c>
      <c r="B14093" t="s">
        <v>30987</v>
      </c>
      <c r="C14093" t="s">
        <v>30988</v>
      </c>
      <c r="D14093" t="s">
        <v>20</v>
      </c>
      <c r="E14093" t="s">
        <v>39</v>
      </c>
      <c r="F14093">
        <v>0</v>
      </c>
      <c r="G14093">
        <v>0</v>
      </c>
      <c r="H14093">
        <v>6</v>
      </c>
      <c r="I14093" s="3">
        <v>10066.58</v>
      </c>
      <c r="J14093" s="3">
        <v>2257.7199999999998</v>
      </c>
      <c r="K14093" t="s">
        <v>417</v>
      </c>
      <c r="L14093">
        <v>3001</v>
      </c>
      <c r="M14093" t="s">
        <v>330</v>
      </c>
      <c r="N14093" t="s">
        <v>331</v>
      </c>
      <c r="O14093" t="s">
        <v>108</v>
      </c>
      <c r="P14093" t="str">
        <f>"75063"</f>
        <v>75063</v>
      </c>
    </row>
    <row r="14094" spans="1:16" x14ac:dyDescent="0.25">
      <c r="A14094" t="str">
        <f>"1200019P00044    00"</f>
        <v>1200019P00044    00</v>
      </c>
      <c r="B14094" t="s">
        <v>30989</v>
      </c>
      <c r="C14094" t="s">
        <v>30990</v>
      </c>
      <c r="D14094" t="s">
        <v>20</v>
      </c>
      <c r="E14094" t="s">
        <v>39</v>
      </c>
      <c r="F14094">
        <v>0</v>
      </c>
      <c r="G14094">
        <v>0</v>
      </c>
      <c r="H14094">
        <v>1</v>
      </c>
      <c r="I14094" s="3">
        <v>106.74</v>
      </c>
      <c r="J14094" s="3">
        <v>0</v>
      </c>
      <c r="L14094">
        <v>1809</v>
      </c>
      <c r="M14094" t="s">
        <v>30991</v>
      </c>
      <c r="N14094" t="s">
        <v>30</v>
      </c>
      <c r="O14094" t="s">
        <v>31</v>
      </c>
      <c r="P14094" t="str">
        <f t="shared" ref="P14094:P14101" si="179">"15220"</f>
        <v>15220</v>
      </c>
    </row>
    <row r="14095" spans="1:16" x14ac:dyDescent="0.25">
      <c r="A14095" t="str">
        <f>"1200019P00060    00"</f>
        <v>1200019P00060    00</v>
      </c>
      <c r="B14095" t="s">
        <v>30992</v>
      </c>
      <c r="C14095" t="s">
        <v>30993</v>
      </c>
      <c r="E14095" t="s">
        <v>39</v>
      </c>
      <c r="F14095">
        <v>0</v>
      </c>
      <c r="G14095">
        <v>0</v>
      </c>
      <c r="H14095">
        <v>1</v>
      </c>
      <c r="I14095" s="3">
        <v>669.9</v>
      </c>
      <c r="J14095" s="3">
        <v>27.91</v>
      </c>
      <c r="L14095">
        <v>628</v>
      </c>
      <c r="M14095" t="s">
        <v>30994</v>
      </c>
      <c r="N14095" t="s">
        <v>30</v>
      </c>
      <c r="O14095" t="s">
        <v>31</v>
      </c>
      <c r="P14095" t="str">
        <f t="shared" si="179"/>
        <v>15220</v>
      </c>
    </row>
    <row r="14096" spans="1:16" x14ac:dyDescent="0.25">
      <c r="A14096" t="str">
        <f>"1200019P00110    00"</f>
        <v>1200019P00110    00</v>
      </c>
      <c r="B14096" t="s">
        <v>30995</v>
      </c>
      <c r="C14096" t="s">
        <v>30996</v>
      </c>
      <c r="D14096" t="s">
        <v>20</v>
      </c>
      <c r="E14096" t="s">
        <v>39</v>
      </c>
      <c r="F14096">
        <v>0</v>
      </c>
      <c r="G14096">
        <v>0</v>
      </c>
      <c r="H14096">
        <v>11</v>
      </c>
      <c r="I14096" s="3">
        <v>3225.85</v>
      </c>
      <c r="J14096" s="3">
        <v>1422.82</v>
      </c>
      <c r="L14096">
        <v>635</v>
      </c>
      <c r="M14096" t="s">
        <v>30994</v>
      </c>
      <c r="N14096" t="s">
        <v>30</v>
      </c>
      <c r="O14096" t="s">
        <v>31</v>
      </c>
      <c r="P14096" t="str">
        <f t="shared" si="179"/>
        <v>15220</v>
      </c>
    </row>
    <row r="14097" spans="1:16" x14ac:dyDescent="0.25">
      <c r="A14097" t="str">
        <f>"1200019P00124    00"</f>
        <v>1200019P00124    00</v>
      </c>
      <c r="B14097" t="s">
        <v>30997</v>
      </c>
      <c r="C14097" t="s">
        <v>30996</v>
      </c>
      <c r="D14097" t="s">
        <v>20</v>
      </c>
      <c r="E14097" t="s">
        <v>39</v>
      </c>
      <c r="F14097">
        <v>0</v>
      </c>
      <c r="G14097">
        <v>0</v>
      </c>
      <c r="H14097">
        <v>14</v>
      </c>
      <c r="I14097" s="3">
        <v>4506.6000000000004</v>
      </c>
      <c r="J14097" s="3">
        <v>2829.42</v>
      </c>
      <c r="L14097">
        <v>366</v>
      </c>
      <c r="M14097" t="s">
        <v>30520</v>
      </c>
      <c r="N14097" t="s">
        <v>30</v>
      </c>
      <c r="O14097" t="s">
        <v>31</v>
      </c>
      <c r="P14097" t="str">
        <f t="shared" si="179"/>
        <v>15220</v>
      </c>
    </row>
    <row r="14098" spans="1:16" x14ac:dyDescent="0.25">
      <c r="A14098" t="str">
        <f>"1200019P00146    00"</f>
        <v>1200019P00146    00</v>
      </c>
      <c r="B14098" t="s">
        <v>30998</v>
      </c>
      <c r="C14098" t="s">
        <v>30999</v>
      </c>
      <c r="D14098" t="s">
        <v>20</v>
      </c>
      <c r="E14098" t="s">
        <v>39</v>
      </c>
      <c r="F14098">
        <v>0</v>
      </c>
      <c r="G14098">
        <v>0</v>
      </c>
      <c r="H14098">
        <v>1</v>
      </c>
      <c r="I14098" s="3">
        <v>381.22</v>
      </c>
      <c r="J14098" s="3">
        <v>0</v>
      </c>
      <c r="L14098">
        <v>1018</v>
      </c>
      <c r="M14098" t="s">
        <v>4493</v>
      </c>
      <c r="N14098" t="s">
        <v>30</v>
      </c>
      <c r="O14098" t="s">
        <v>31</v>
      </c>
      <c r="P14098" t="str">
        <f t="shared" si="179"/>
        <v>15220</v>
      </c>
    </row>
    <row r="14099" spans="1:16" x14ac:dyDescent="0.25">
      <c r="A14099" t="str">
        <f>"1200019P00147    00"</f>
        <v>1200019P00147    00</v>
      </c>
      <c r="B14099" t="s">
        <v>31000</v>
      </c>
      <c r="C14099" t="s">
        <v>31001</v>
      </c>
      <c r="E14099" t="s">
        <v>39</v>
      </c>
      <c r="F14099">
        <v>0</v>
      </c>
      <c r="G14099">
        <v>0</v>
      </c>
      <c r="H14099">
        <v>1</v>
      </c>
      <c r="I14099" s="3">
        <v>32.93</v>
      </c>
      <c r="J14099" s="3">
        <v>0</v>
      </c>
      <c r="L14099">
        <v>1012</v>
      </c>
      <c r="M14099" t="s">
        <v>4493</v>
      </c>
      <c r="N14099" t="s">
        <v>30</v>
      </c>
      <c r="O14099" t="s">
        <v>31</v>
      </c>
      <c r="P14099" t="str">
        <f t="shared" si="179"/>
        <v>15220</v>
      </c>
    </row>
    <row r="14100" spans="1:16" x14ac:dyDescent="0.25">
      <c r="A14100" t="str">
        <f>"1200019P00210    00"</f>
        <v>1200019P00210    00</v>
      </c>
      <c r="B14100" t="s">
        <v>31002</v>
      </c>
      <c r="C14100" t="s">
        <v>31003</v>
      </c>
      <c r="D14100" t="s">
        <v>20</v>
      </c>
      <c r="E14100" t="s">
        <v>39</v>
      </c>
      <c r="F14100">
        <v>0</v>
      </c>
      <c r="G14100">
        <v>0</v>
      </c>
      <c r="H14100">
        <v>1</v>
      </c>
      <c r="I14100" s="3">
        <v>1079.33</v>
      </c>
      <c r="J14100" s="3">
        <v>0</v>
      </c>
      <c r="L14100">
        <v>1015</v>
      </c>
      <c r="M14100" t="s">
        <v>30515</v>
      </c>
      <c r="N14100" t="s">
        <v>30</v>
      </c>
      <c r="O14100" t="s">
        <v>31</v>
      </c>
      <c r="P14100" t="str">
        <f t="shared" si="179"/>
        <v>15220</v>
      </c>
    </row>
    <row r="14101" spans="1:16" x14ac:dyDescent="0.25">
      <c r="A14101" t="str">
        <f>"1200019P00224    00"</f>
        <v>1200019P00224    00</v>
      </c>
      <c r="B14101" t="s">
        <v>31004</v>
      </c>
      <c r="C14101" t="s">
        <v>31005</v>
      </c>
      <c r="D14101" t="s">
        <v>20</v>
      </c>
      <c r="E14101" t="s">
        <v>39</v>
      </c>
      <c r="F14101">
        <v>0</v>
      </c>
      <c r="G14101">
        <v>0</v>
      </c>
      <c r="H14101">
        <v>2</v>
      </c>
      <c r="I14101" s="3">
        <v>316.3</v>
      </c>
      <c r="J14101" s="3">
        <v>106.7</v>
      </c>
      <c r="L14101">
        <v>501</v>
      </c>
      <c r="M14101" t="s">
        <v>31006</v>
      </c>
      <c r="N14101" t="s">
        <v>30</v>
      </c>
      <c r="O14101" t="s">
        <v>31</v>
      </c>
      <c r="P14101" t="str">
        <f t="shared" si="179"/>
        <v>15220</v>
      </c>
    </row>
    <row r="14102" spans="1:16" x14ac:dyDescent="0.25">
      <c r="A14102" t="str">
        <f>"1200019R00069    00"</f>
        <v>1200019R00069    00</v>
      </c>
      <c r="B14102" t="s">
        <v>31007</v>
      </c>
      <c r="C14102" t="s">
        <v>31008</v>
      </c>
      <c r="D14102" t="s">
        <v>20</v>
      </c>
      <c r="E14102" t="s">
        <v>39</v>
      </c>
      <c r="F14102">
        <v>0</v>
      </c>
      <c r="G14102">
        <v>0</v>
      </c>
      <c r="H14102">
        <v>2</v>
      </c>
      <c r="I14102" s="3">
        <v>953.04</v>
      </c>
      <c r="J14102" s="3">
        <v>95.3</v>
      </c>
      <c r="K14102" t="s">
        <v>31009</v>
      </c>
      <c r="L14102">
        <v>1735</v>
      </c>
      <c r="M14102" t="s">
        <v>1484</v>
      </c>
      <c r="N14102" t="s">
        <v>30</v>
      </c>
      <c r="O14102" t="s">
        <v>31</v>
      </c>
      <c r="P14102" t="str">
        <f>"15203"</f>
        <v>15203</v>
      </c>
    </row>
    <row r="14103" spans="1:16" x14ac:dyDescent="0.25">
      <c r="A14103" t="str">
        <f>"1200019R00071    00"</f>
        <v>1200019R00071    00</v>
      </c>
      <c r="B14103" t="s">
        <v>31010</v>
      </c>
      <c r="C14103" t="s">
        <v>31011</v>
      </c>
      <c r="D14103" t="s">
        <v>20</v>
      </c>
      <c r="E14103" t="s">
        <v>39</v>
      </c>
      <c r="F14103">
        <v>0</v>
      </c>
      <c r="G14103">
        <v>0</v>
      </c>
      <c r="H14103">
        <v>19</v>
      </c>
      <c r="I14103" s="3">
        <v>6749.68</v>
      </c>
      <c r="J14103" s="3">
        <v>6866.56</v>
      </c>
      <c r="L14103">
        <v>200</v>
      </c>
      <c r="M14103" t="s">
        <v>31012</v>
      </c>
      <c r="N14103" t="s">
        <v>30</v>
      </c>
      <c r="O14103" t="s">
        <v>31</v>
      </c>
      <c r="P14103" t="str">
        <f>"15220"</f>
        <v>15220</v>
      </c>
    </row>
    <row r="14104" spans="1:16" x14ac:dyDescent="0.25">
      <c r="A14104" t="str">
        <f>"1200019R00104    00"</f>
        <v>1200019R00104    00</v>
      </c>
      <c r="B14104" t="s">
        <v>31013</v>
      </c>
      <c r="C14104" t="s">
        <v>31014</v>
      </c>
      <c r="E14104" t="s">
        <v>39</v>
      </c>
      <c r="F14104">
        <v>0</v>
      </c>
      <c r="G14104">
        <v>0</v>
      </c>
      <c r="H14104">
        <v>10</v>
      </c>
      <c r="I14104" s="3">
        <v>8163.72</v>
      </c>
      <c r="J14104" s="3">
        <v>9466.41</v>
      </c>
      <c r="L14104">
        <v>210</v>
      </c>
      <c r="M14104" t="s">
        <v>31015</v>
      </c>
      <c r="N14104" t="s">
        <v>30</v>
      </c>
      <c r="O14104" t="s">
        <v>31</v>
      </c>
      <c r="P14104" t="str">
        <f>"15205"</f>
        <v>15205</v>
      </c>
    </row>
    <row r="14105" spans="1:16" x14ac:dyDescent="0.25">
      <c r="A14105" t="str">
        <f>"1200019R00110    00"</f>
        <v>1200019R00110    00</v>
      </c>
      <c r="B14105" t="s">
        <v>31016</v>
      </c>
      <c r="C14105" t="s">
        <v>31011</v>
      </c>
      <c r="D14105" t="s">
        <v>20</v>
      </c>
      <c r="E14105" t="s">
        <v>39</v>
      </c>
      <c r="F14105">
        <v>0</v>
      </c>
      <c r="G14105">
        <v>0</v>
      </c>
      <c r="H14105">
        <v>11</v>
      </c>
      <c r="I14105" s="3">
        <v>4862.3999999999996</v>
      </c>
      <c r="J14105" s="3">
        <v>2320.67</v>
      </c>
      <c r="P14105" t="str">
        <f>""</f>
        <v/>
      </c>
    </row>
    <row r="14106" spans="1:16" x14ac:dyDescent="0.25">
      <c r="A14106" t="str">
        <f>"1200019R00111    00"</f>
        <v>1200019R00111    00</v>
      </c>
      <c r="B14106" t="s">
        <v>31017</v>
      </c>
      <c r="C14106" t="s">
        <v>31011</v>
      </c>
      <c r="D14106" t="s">
        <v>20</v>
      </c>
      <c r="E14106" t="s">
        <v>39</v>
      </c>
      <c r="F14106">
        <v>0</v>
      </c>
      <c r="G14106">
        <v>0</v>
      </c>
      <c r="H14106">
        <v>19</v>
      </c>
      <c r="I14106" s="3">
        <v>10396.780000000001</v>
      </c>
      <c r="J14106" s="3">
        <v>8920.39</v>
      </c>
      <c r="L14106">
        <v>211</v>
      </c>
      <c r="M14106" t="s">
        <v>31012</v>
      </c>
      <c r="N14106" t="s">
        <v>30</v>
      </c>
      <c r="O14106" t="s">
        <v>31</v>
      </c>
      <c r="P14106" t="str">
        <f>"15220"</f>
        <v>15220</v>
      </c>
    </row>
    <row r="14107" spans="1:16" x14ac:dyDescent="0.25">
      <c r="A14107" t="str">
        <f>"1200019S00008    00"</f>
        <v>1200019S00008    00</v>
      </c>
      <c r="B14107" t="s">
        <v>31018</v>
      </c>
      <c r="C14107" t="s">
        <v>31019</v>
      </c>
      <c r="D14107" t="s">
        <v>20</v>
      </c>
      <c r="E14107" t="s">
        <v>39</v>
      </c>
      <c r="F14107">
        <v>0</v>
      </c>
      <c r="G14107">
        <v>0</v>
      </c>
      <c r="H14107">
        <v>1</v>
      </c>
      <c r="I14107" s="3">
        <v>301.16000000000003</v>
      </c>
      <c r="J14107" s="3">
        <v>0</v>
      </c>
      <c r="L14107">
        <v>318</v>
      </c>
      <c r="M14107" t="s">
        <v>30520</v>
      </c>
      <c r="N14107" t="s">
        <v>30</v>
      </c>
      <c r="O14107" t="s">
        <v>31</v>
      </c>
      <c r="P14107" t="str">
        <f>"15220"</f>
        <v>15220</v>
      </c>
    </row>
    <row r="14108" spans="1:16" x14ac:dyDescent="0.25">
      <c r="A14108" t="str">
        <f>"1200019S00010    00"</f>
        <v>1200019S00010    00</v>
      </c>
      <c r="B14108" t="s">
        <v>31020</v>
      </c>
      <c r="C14108" t="s">
        <v>31021</v>
      </c>
      <c r="D14108" t="s">
        <v>20</v>
      </c>
      <c r="E14108" t="s">
        <v>39</v>
      </c>
      <c r="F14108">
        <v>0</v>
      </c>
      <c r="G14108">
        <v>0</v>
      </c>
      <c r="H14108">
        <v>1</v>
      </c>
      <c r="I14108" s="3">
        <v>811.98</v>
      </c>
      <c r="J14108" s="3">
        <v>0</v>
      </c>
      <c r="L14108">
        <v>318</v>
      </c>
      <c r="M14108" t="s">
        <v>30520</v>
      </c>
      <c r="N14108" t="s">
        <v>30</v>
      </c>
      <c r="O14108" t="s">
        <v>31</v>
      </c>
      <c r="P14108" t="str">
        <f>"15220"</f>
        <v>15220</v>
      </c>
    </row>
    <row r="14109" spans="1:16" x14ac:dyDescent="0.25">
      <c r="A14109" t="str">
        <f>"1200019S00148    00"</f>
        <v>1200019S00148    00</v>
      </c>
      <c r="B14109" t="s">
        <v>31022</v>
      </c>
      <c r="C14109" t="s">
        <v>31023</v>
      </c>
      <c r="E14109" t="s">
        <v>21</v>
      </c>
      <c r="F14109">
        <v>0</v>
      </c>
      <c r="G14109">
        <v>0</v>
      </c>
      <c r="H14109">
        <v>1</v>
      </c>
      <c r="I14109" s="3">
        <v>2759.89</v>
      </c>
      <c r="J14109" s="3">
        <v>275.97000000000003</v>
      </c>
      <c r="K14109" t="s">
        <v>31024</v>
      </c>
      <c r="L14109">
        <v>1825</v>
      </c>
      <c r="M14109" t="s">
        <v>31025</v>
      </c>
      <c r="N14109" t="s">
        <v>31026</v>
      </c>
      <c r="O14109" t="s">
        <v>3263</v>
      </c>
      <c r="P14109" t="str">
        <f>"97526"</f>
        <v>97526</v>
      </c>
    </row>
    <row r="14110" spans="1:16" x14ac:dyDescent="0.25">
      <c r="A14110" t="str">
        <f>"1200019S00207    00"</f>
        <v>1200019S00207    00</v>
      </c>
      <c r="B14110" t="s">
        <v>31027</v>
      </c>
      <c r="C14110" t="s">
        <v>31028</v>
      </c>
      <c r="E14110" t="s">
        <v>290</v>
      </c>
      <c r="F14110">
        <v>0</v>
      </c>
      <c r="G14110">
        <v>0</v>
      </c>
      <c r="H14110">
        <v>1</v>
      </c>
      <c r="I14110" s="3">
        <v>3528.02</v>
      </c>
      <c r="J14110" s="3">
        <v>352.79</v>
      </c>
      <c r="L14110">
        <v>1825</v>
      </c>
      <c r="M14110" t="s">
        <v>31025</v>
      </c>
      <c r="N14110" t="s">
        <v>31026</v>
      </c>
      <c r="O14110" t="s">
        <v>3263</v>
      </c>
      <c r="P14110" t="str">
        <f>"97526"</f>
        <v>97526</v>
      </c>
    </row>
    <row r="14111" spans="1:16" x14ac:dyDescent="0.25">
      <c r="A14111" t="str">
        <f>"1200020A00038    00"</f>
        <v>1200020A00038    00</v>
      </c>
      <c r="B14111" t="s">
        <v>31029</v>
      </c>
      <c r="C14111" t="s">
        <v>31030</v>
      </c>
      <c r="D14111" t="s">
        <v>20</v>
      </c>
      <c r="E14111" t="s">
        <v>39</v>
      </c>
      <c r="F14111">
        <v>0</v>
      </c>
      <c r="G14111">
        <v>0</v>
      </c>
      <c r="H14111">
        <v>3</v>
      </c>
      <c r="I14111" s="3">
        <v>22.86</v>
      </c>
      <c r="J14111" s="3">
        <v>1.52</v>
      </c>
      <c r="L14111">
        <v>1050</v>
      </c>
      <c r="M14111" t="s">
        <v>31031</v>
      </c>
      <c r="N14111" t="s">
        <v>30</v>
      </c>
      <c r="O14111" t="s">
        <v>31</v>
      </c>
      <c r="P14111" t="str">
        <f>"15205"</f>
        <v>15205</v>
      </c>
    </row>
    <row r="14112" spans="1:16" x14ac:dyDescent="0.25">
      <c r="A14112" t="str">
        <f>"1200020A00039    00"</f>
        <v>1200020A00039    00</v>
      </c>
      <c r="B14112" t="s">
        <v>31029</v>
      </c>
      <c r="C14112" t="s">
        <v>31030</v>
      </c>
      <c r="D14112" t="s">
        <v>20</v>
      </c>
      <c r="E14112" t="s">
        <v>39</v>
      </c>
      <c r="F14112">
        <v>0</v>
      </c>
      <c r="G14112">
        <v>0</v>
      </c>
      <c r="H14112">
        <v>3</v>
      </c>
      <c r="I14112" s="3">
        <v>28.62</v>
      </c>
      <c r="J14112" s="3">
        <v>1.92</v>
      </c>
      <c r="L14112">
        <v>1050</v>
      </c>
      <c r="M14112" t="s">
        <v>31031</v>
      </c>
      <c r="N14112" t="s">
        <v>30</v>
      </c>
      <c r="O14112" t="s">
        <v>31</v>
      </c>
      <c r="P14112" t="str">
        <f>"15205"</f>
        <v>15205</v>
      </c>
    </row>
    <row r="14113" spans="1:16" x14ac:dyDescent="0.25">
      <c r="A14113" t="str">
        <f>"1200020A00040    00"</f>
        <v>1200020A00040    00</v>
      </c>
      <c r="B14113" t="s">
        <v>31029</v>
      </c>
      <c r="C14113" t="s">
        <v>31030</v>
      </c>
      <c r="D14113" t="s">
        <v>20</v>
      </c>
      <c r="E14113" t="s">
        <v>39</v>
      </c>
      <c r="F14113">
        <v>0</v>
      </c>
      <c r="G14113">
        <v>0</v>
      </c>
      <c r="H14113">
        <v>3</v>
      </c>
      <c r="I14113" s="3">
        <v>28.62</v>
      </c>
      <c r="J14113" s="3">
        <v>1.92</v>
      </c>
      <c r="L14113">
        <v>1050</v>
      </c>
      <c r="M14113" t="s">
        <v>31031</v>
      </c>
      <c r="N14113" t="s">
        <v>30</v>
      </c>
      <c r="O14113" t="s">
        <v>31</v>
      </c>
      <c r="P14113" t="str">
        <f>"15205"</f>
        <v>15205</v>
      </c>
    </row>
    <row r="14114" spans="1:16" x14ac:dyDescent="0.25">
      <c r="A14114" t="str">
        <f>"1200020A00106    00"</f>
        <v>1200020A00106    00</v>
      </c>
      <c r="B14114" t="s">
        <v>1997</v>
      </c>
      <c r="C14114" t="s">
        <v>31032</v>
      </c>
      <c r="E14114" t="s">
        <v>21</v>
      </c>
      <c r="F14114">
        <v>0</v>
      </c>
      <c r="G14114">
        <v>0</v>
      </c>
      <c r="H14114">
        <v>10</v>
      </c>
      <c r="I14114" s="3">
        <v>13088.98</v>
      </c>
      <c r="J14114" s="3">
        <v>15809.22</v>
      </c>
      <c r="K14114" t="s">
        <v>2361</v>
      </c>
      <c r="L14114">
        <v>412</v>
      </c>
      <c r="M14114" t="s">
        <v>221</v>
      </c>
      <c r="N14114" t="s">
        <v>30</v>
      </c>
      <c r="O14114" t="s">
        <v>31</v>
      </c>
      <c r="P14114" t="str">
        <f>"15219"</f>
        <v>15219</v>
      </c>
    </row>
    <row r="14115" spans="1:16" x14ac:dyDescent="0.25">
      <c r="A14115" t="str">
        <f>"1200020B00047    00"</f>
        <v>1200020B00047    00</v>
      </c>
      <c r="B14115" t="s">
        <v>31033</v>
      </c>
      <c r="C14115" t="s">
        <v>31034</v>
      </c>
      <c r="D14115" t="s">
        <v>20</v>
      </c>
      <c r="E14115" t="s">
        <v>39</v>
      </c>
      <c r="F14115">
        <v>0</v>
      </c>
      <c r="G14115">
        <v>0</v>
      </c>
      <c r="H14115">
        <v>4</v>
      </c>
      <c r="I14115" s="3">
        <v>67.099999999999994</v>
      </c>
      <c r="J14115" s="3">
        <v>16.399999999999999</v>
      </c>
      <c r="L14115">
        <v>75</v>
      </c>
      <c r="M14115" t="s">
        <v>31035</v>
      </c>
      <c r="N14115" t="s">
        <v>30</v>
      </c>
      <c r="O14115" t="s">
        <v>31</v>
      </c>
      <c r="P14115" t="str">
        <f>"15236"</f>
        <v>15236</v>
      </c>
    </row>
    <row r="14116" spans="1:16" x14ac:dyDescent="0.25">
      <c r="A14116" t="str">
        <f>"1200020B00049    00"</f>
        <v>1200020B00049    00</v>
      </c>
      <c r="B14116" t="s">
        <v>31036</v>
      </c>
      <c r="C14116" t="s">
        <v>31037</v>
      </c>
      <c r="E14116" t="s">
        <v>39</v>
      </c>
      <c r="F14116">
        <v>0</v>
      </c>
      <c r="G14116">
        <v>0</v>
      </c>
      <c r="H14116">
        <v>1</v>
      </c>
      <c r="I14116" s="3">
        <v>164.27</v>
      </c>
      <c r="J14116" s="3">
        <v>0</v>
      </c>
      <c r="K14116" t="s">
        <v>31038</v>
      </c>
      <c r="L14116">
        <v>251</v>
      </c>
      <c r="M14116" t="s">
        <v>31039</v>
      </c>
      <c r="N14116" t="s">
        <v>30</v>
      </c>
      <c r="O14116" t="s">
        <v>31</v>
      </c>
      <c r="P14116" t="str">
        <f>"15220"</f>
        <v>15220</v>
      </c>
    </row>
    <row r="14117" spans="1:16" x14ac:dyDescent="0.25">
      <c r="A14117" t="str">
        <f>"1200020C00008    00"</f>
        <v>1200020C00008    00</v>
      </c>
      <c r="B14117" t="s">
        <v>31040</v>
      </c>
      <c r="C14117" t="s">
        <v>31041</v>
      </c>
      <c r="D14117" t="s">
        <v>20</v>
      </c>
      <c r="E14117" t="s">
        <v>39</v>
      </c>
      <c r="F14117">
        <v>0</v>
      </c>
      <c r="G14117">
        <v>0</v>
      </c>
      <c r="H14117">
        <v>1</v>
      </c>
      <c r="I14117" s="3">
        <v>221.41</v>
      </c>
      <c r="J14117" s="3">
        <v>0</v>
      </c>
      <c r="L14117">
        <v>1411</v>
      </c>
      <c r="M14117" t="s">
        <v>31042</v>
      </c>
      <c r="N14117" t="s">
        <v>30</v>
      </c>
      <c r="O14117" t="s">
        <v>31</v>
      </c>
      <c r="P14117" t="str">
        <f>"15220"</f>
        <v>15220</v>
      </c>
    </row>
    <row r="14118" spans="1:16" x14ac:dyDescent="0.25">
      <c r="A14118" t="str">
        <f>"1200020C00017    00"</f>
        <v>1200020C00017    00</v>
      </c>
      <c r="B14118" t="s">
        <v>31043</v>
      </c>
      <c r="C14118" t="s">
        <v>31044</v>
      </c>
      <c r="D14118" t="s">
        <v>20</v>
      </c>
      <c r="E14118" t="s">
        <v>39</v>
      </c>
      <c r="F14118">
        <v>0</v>
      </c>
      <c r="G14118">
        <v>0</v>
      </c>
      <c r="H14118">
        <v>2</v>
      </c>
      <c r="I14118" s="3">
        <v>47.39</v>
      </c>
      <c r="J14118" s="3">
        <v>0</v>
      </c>
      <c r="L14118">
        <v>1032</v>
      </c>
      <c r="M14118" t="s">
        <v>31045</v>
      </c>
      <c r="N14118" t="s">
        <v>30</v>
      </c>
      <c r="O14118" t="s">
        <v>31</v>
      </c>
      <c r="P14118" t="str">
        <f>"15220"</f>
        <v>15220</v>
      </c>
    </row>
    <row r="14119" spans="1:16" x14ac:dyDescent="0.25">
      <c r="A14119" t="str">
        <f>"1200020F00054    00"</f>
        <v>1200020F00054    00</v>
      </c>
      <c r="B14119" t="s">
        <v>31046</v>
      </c>
      <c r="C14119" t="s">
        <v>31047</v>
      </c>
      <c r="D14119" t="s">
        <v>20</v>
      </c>
      <c r="E14119" t="s">
        <v>39</v>
      </c>
      <c r="F14119">
        <v>0</v>
      </c>
      <c r="G14119">
        <v>0</v>
      </c>
      <c r="H14119">
        <v>2</v>
      </c>
      <c r="I14119" s="3">
        <v>1353.28</v>
      </c>
      <c r="J14119" s="3">
        <v>0</v>
      </c>
      <c r="K14119" t="s">
        <v>31048</v>
      </c>
      <c r="L14119">
        <v>1301</v>
      </c>
      <c r="M14119" t="s">
        <v>31049</v>
      </c>
      <c r="N14119" t="s">
        <v>30</v>
      </c>
      <c r="O14119" t="s">
        <v>31</v>
      </c>
      <c r="P14119" t="str">
        <f>"15220"</f>
        <v>15220</v>
      </c>
    </row>
    <row r="14120" spans="1:16" x14ac:dyDescent="0.25">
      <c r="A14120" t="str">
        <f>"1200020F00061    00"</f>
        <v>1200020F00061    00</v>
      </c>
      <c r="B14120" t="s">
        <v>31050</v>
      </c>
      <c r="C14120" t="s">
        <v>31051</v>
      </c>
      <c r="D14120" t="s">
        <v>20</v>
      </c>
      <c r="E14120" t="s">
        <v>39</v>
      </c>
      <c r="F14120">
        <v>0</v>
      </c>
      <c r="G14120">
        <v>0</v>
      </c>
      <c r="H14120">
        <v>2</v>
      </c>
      <c r="I14120" s="3">
        <v>870.14</v>
      </c>
      <c r="J14120" s="3">
        <v>0</v>
      </c>
      <c r="K14120" t="s">
        <v>417</v>
      </c>
      <c r="L14120">
        <v>3001</v>
      </c>
      <c r="M14120" t="s">
        <v>330</v>
      </c>
      <c r="N14120" t="s">
        <v>331</v>
      </c>
      <c r="O14120" t="s">
        <v>108</v>
      </c>
      <c r="P14120" t="str">
        <f>"75063"</f>
        <v>75063</v>
      </c>
    </row>
    <row r="14121" spans="1:16" x14ac:dyDescent="0.25">
      <c r="A14121" t="str">
        <f>"1200020F00063    00"</f>
        <v>1200020F00063    00</v>
      </c>
      <c r="B14121" t="s">
        <v>31052</v>
      </c>
      <c r="C14121" t="s">
        <v>31053</v>
      </c>
      <c r="D14121" t="s">
        <v>20</v>
      </c>
      <c r="E14121" t="s">
        <v>39</v>
      </c>
      <c r="F14121">
        <v>0</v>
      </c>
      <c r="G14121">
        <v>0</v>
      </c>
      <c r="H14121">
        <v>8</v>
      </c>
      <c r="I14121" s="3">
        <v>2110.8200000000002</v>
      </c>
      <c r="J14121" s="3">
        <v>690.7</v>
      </c>
      <c r="K14121" t="s">
        <v>31054</v>
      </c>
      <c r="L14121">
        <v>1255</v>
      </c>
      <c r="M14121" t="s">
        <v>31055</v>
      </c>
      <c r="N14121" t="s">
        <v>30</v>
      </c>
      <c r="O14121" t="s">
        <v>31</v>
      </c>
      <c r="P14121" t="str">
        <f>"15204"</f>
        <v>15204</v>
      </c>
    </row>
    <row r="14122" spans="1:16" x14ac:dyDescent="0.25">
      <c r="A14122" t="str">
        <f>"1200020F00066    00"</f>
        <v>1200020F00066    00</v>
      </c>
      <c r="B14122" t="s">
        <v>31056</v>
      </c>
      <c r="C14122" t="s">
        <v>31057</v>
      </c>
      <c r="E14122" t="s">
        <v>39</v>
      </c>
      <c r="F14122">
        <v>0</v>
      </c>
      <c r="G14122">
        <v>0</v>
      </c>
      <c r="H14122">
        <v>13</v>
      </c>
      <c r="I14122" s="3">
        <v>8202.83</v>
      </c>
      <c r="J14122" s="3">
        <v>11171.28</v>
      </c>
      <c r="L14122">
        <v>1317</v>
      </c>
      <c r="M14122" t="s">
        <v>31049</v>
      </c>
      <c r="N14122" t="s">
        <v>30</v>
      </c>
      <c r="O14122" t="s">
        <v>31</v>
      </c>
      <c r="P14122" t="str">
        <f>"15220"</f>
        <v>15220</v>
      </c>
    </row>
    <row r="14123" spans="1:16" x14ac:dyDescent="0.25">
      <c r="A14123" t="str">
        <f>"1200020F00089    00"</f>
        <v>1200020F00089    00</v>
      </c>
      <c r="B14123" t="s">
        <v>23499</v>
      </c>
      <c r="C14123" t="s">
        <v>31058</v>
      </c>
      <c r="D14123" t="s">
        <v>20</v>
      </c>
      <c r="E14123" t="s">
        <v>39</v>
      </c>
      <c r="F14123">
        <v>0</v>
      </c>
      <c r="G14123">
        <v>0</v>
      </c>
      <c r="H14123">
        <v>3</v>
      </c>
      <c r="I14123" s="3">
        <v>2916.24</v>
      </c>
      <c r="J14123" s="3">
        <v>194.41</v>
      </c>
      <c r="K14123" t="s">
        <v>23501</v>
      </c>
      <c r="L14123">
        <v>825</v>
      </c>
      <c r="M14123" t="s">
        <v>11611</v>
      </c>
      <c r="N14123" t="s">
        <v>30</v>
      </c>
      <c r="O14123" t="s">
        <v>31</v>
      </c>
      <c r="P14123" t="str">
        <f>"15211"</f>
        <v>15211</v>
      </c>
    </row>
    <row r="14124" spans="1:16" x14ac:dyDescent="0.25">
      <c r="A14124" t="str">
        <f>"1200020F00090    00"</f>
        <v>1200020F00090    00</v>
      </c>
      <c r="B14124" t="s">
        <v>23499</v>
      </c>
      <c r="C14124" t="s">
        <v>31059</v>
      </c>
      <c r="D14124" t="s">
        <v>20</v>
      </c>
      <c r="E14124" t="s">
        <v>39</v>
      </c>
      <c r="F14124">
        <v>0</v>
      </c>
      <c r="G14124">
        <v>0</v>
      </c>
      <c r="H14124">
        <v>2</v>
      </c>
      <c r="I14124" s="3">
        <v>1734.48</v>
      </c>
      <c r="J14124" s="3">
        <v>0</v>
      </c>
      <c r="K14124" t="s">
        <v>23501</v>
      </c>
      <c r="L14124">
        <v>825</v>
      </c>
      <c r="M14124" t="s">
        <v>11611</v>
      </c>
      <c r="N14124" t="s">
        <v>30</v>
      </c>
      <c r="O14124" t="s">
        <v>31</v>
      </c>
      <c r="P14124" t="str">
        <f>"15211"</f>
        <v>15211</v>
      </c>
    </row>
    <row r="14125" spans="1:16" x14ac:dyDescent="0.25">
      <c r="A14125" t="str">
        <f>"1200020F00094    00"</f>
        <v>1200020F00094    00</v>
      </c>
      <c r="B14125" t="s">
        <v>31060</v>
      </c>
      <c r="C14125" t="s">
        <v>31061</v>
      </c>
      <c r="D14125" t="s">
        <v>20</v>
      </c>
      <c r="E14125" t="s">
        <v>39</v>
      </c>
      <c r="F14125">
        <v>0</v>
      </c>
      <c r="G14125">
        <v>0</v>
      </c>
      <c r="H14125">
        <v>14</v>
      </c>
      <c r="I14125" s="3">
        <v>9351.19</v>
      </c>
      <c r="J14125" s="3">
        <v>6155.11</v>
      </c>
      <c r="L14125">
        <v>2823</v>
      </c>
      <c r="M14125" t="s">
        <v>29877</v>
      </c>
      <c r="N14125" t="s">
        <v>30</v>
      </c>
      <c r="O14125" t="s">
        <v>31</v>
      </c>
      <c r="P14125" t="str">
        <f>"15226"</f>
        <v>15226</v>
      </c>
    </row>
    <row r="14126" spans="1:16" x14ac:dyDescent="0.25">
      <c r="A14126" t="str">
        <f>"1200020F00122    00"</f>
        <v>1200020F00122    00</v>
      </c>
      <c r="B14126" t="s">
        <v>31060</v>
      </c>
      <c r="C14126" t="s">
        <v>31062</v>
      </c>
      <c r="D14126" t="s">
        <v>20</v>
      </c>
      <c r="E14126" t="s">
        <v>39</v>
      </c>
      <c r="F14126">
        <v>0</v>
      </c>
      <c r="G14126">
        <v>0</v>
      </c>
      <c r="H14126">
        <v>16</v>
      </c>
      <c r="I14126" s="3">
        <v>26847.17</v>
      </c>
      <c r="J14126" s="3">
        <v>19006.71</v>
      </c>
      <c r="L14126">
        <v>2823</v>
      </c>
      <c r="M14126" t="s">
        <v>31063</v>
      </c>
      <c r="N14126" t="s">
        <v>30</v>
      </c>
      <c r="O14126" t="s">
        <v>31</v>
      </c>
      <c r="P14126" t="str">
        <f>"15226"</f>
        <v>15226</v>
      </c>
    </row>
    <row r="14127" spans="1:16" x14ac:dyDescent="0.25">
      <c r="A14127" t="str">
        <f>"1200020F00124    00"</f>
        <v>1200020F00124    00</v>
      </c>
      <c r="B14127" t="s">
        <v>31064</v>
      </c>
      <c r="C14127" t="s">
        <v>31065</v>
      </c>
      <c r="D14127" t="s">
        <v>20</v>
      </c>
      <c r="E14127" t="s">
        <v>39</v>
      </c>
      <c r="F14127">
        <v>0</v>
      </c>
      <c r="G14127">
        <v>0</v>
      </c>
      <c r="H14127">
        <v>1</v>
      </c>
      <c r="I14127" s="3">
        <v>1464.28</v>
      </c>
      <c r="J14127" s="3">
        <v>0</v>
      </c>
      <c r="L14127">
        <v>1324</v>
      </c>
      <c r="M14127" t="s">
        <v>31066</v>
      </c>
      <c r="N14127" t="s">
        <v>30</v>
      </c>
      <c r="O14127" t="s">
        <v>31</v>
      </c>
      <c r="P14127" t="str">
        <f>"15220"</f>
        <v>15220</v>
      </c>
    </row>
    <row r="14128" spans="1:16" x14ac:dyDescent="0.25">
      <c r="A14128" t="str">
        <f>"1200020F00173    00"</f>
        <v>1200020F00173    00</v>
      </c>
      <c r="B14128" t="s">
        <v>31067</v>
      </c>
      <c r="C14128" t="s">
        <v>31068</v>
      </c>
      <c r="D14128" t="s">
        <v>20</v>
      </c>
      <c r="E14128" t="s">
        <v>39</v>
      </c>
      <c r="F14128">
        <v>0</v>
      </c>
      <c r="G14128">
        <v>0</v>
      </c>
      <c r="H14128">
        <v>7</v>
      </c>
      <c r="I14128" s="3">
        <v>455.06</v>
      </c>
      <c r="J14128" s="3">
        <v>127.43</v>
      </c>
      <c r="L14128">
        <v>42</v>
      </c>
      <c r="M14128" t="s">
        <v>31069</v>
      </c>
      <c r="N14128" t="s">
        <v>30</v>
      </c>
      <c r="O14128" t="s">
        <v>31</v>
      </c>
      <c r="P14128" t="str">
        <f>"15220"</f>
        <v>15220</v>
      </c>
    </row>
    <row r="14129" spans="1:16" x14ac:dyDescent="0.25">
      <c r="A14129" t="str">
        <f>"1200020F00174    00"</f>
        <v>1200020F00174    00</v>
      </c>
      <c r="B14129" t="s">
        <v>31067</v>
      </c>
      <c r="C14129" t="s">
        <v>31068</v>
      </c>
      <c r="D14129" t="s">
        <v>20</v>
      </c>
      <c r="E14129" t="s">
        <v>39</v>
      </c>
      <c r="F14129">
        <v>0</v>
      </c>
      <c r="G14129">
        <v>0</v>
      </c>
      <c r="H14129">
        <v>7</v>
      </c>
      <c r="I14129" s="3">
        <v>1944.49</v>
      </c>
      <c r="J14129" s="3">
        <v>537.71</v>
      </c>
      <c r="L14129">
        <v>42</v>
      </c>
      <c r="M14129" t="s">
        <v>31069</v>
      </c>
      <c r="N14129" t="s">
        <v>30</v>
      </c>
      <c r="O14129" t="s">
        <v>31</v>
      </c>
      <c r="P14129" t="str">
        <f>"15220"</f>
        <v>15220</v>
      </c>
    </row>
    <row r="14130" spans="1:16" x14ac:dyDescent="0.25">
      <c r="A14130" t="str">
        <f>"1200020F00180    00"</f>
        <v>1200020F00180    00</v>
      </c>
      <c r="B14130" t="s">
        <v>31070</v>
      </c>
      <c r="C14130" t="s">
        <v>31068</v>
      </c>
      <c r="D14130" t="s">
        <v>20</v>
      </c>
      <c r="E14130" t="s">
        <v>39</v>
      </c>
      <c r="F14130">
        <v>0</v>
      </c>
      <c r="G14130">
        <v>0</v>
      </c>
      <c r="H14130">
        <v>19</v>
      </c>
      <c r="I14130" s="3">
        <v>4758.5</v>
      </c>
      <c r="J14130" s="3">
        <v>3856.58</v>
      </c>
      <c r="L14130">
        <v>327</v>
      </c>
      <c r="M14130" t="s">
        <v>31071</v>
      </c>
      <c r="N14130" t="s">
        <v>31072</v>
      </c>
      <c r="O14130" t="s">
        <v>25</v>
      </c>
      <c r="P14130" t="str">
        <f>"43952"</f>
        <v>43952</v>
      </c>
    </row>
    <row r="14131" spans="1:16" x14ac:dyDescent="0.25">
      <c r="A14131" t="str">
        <f>"1200020F00186    00"</f>
        <v>1200020F00186    00</v>
      </c>
      <c r="B14131" t="s">
        <v>31073</v>
      </c>
      <c r="C14131" t="s">
        <v>31074</v>
      </c>
      <c r="D14131" t="s">
        <v>20</v>
      </c>
      <c r="E14131" t="s">
        <v>39</v>
      </c>
      <c r="F14131">
        <v>0</v>
      </c>
      <c r="G14131">
        <v>0</v>
      </c>
      <c r="H14131">
        <v>6</v>
      </c>
      <c r="I14131" s="3">
        <v>3344.66</v>
      </c>
      <c r="J14131" s="3">
        <v>719.47</v>
      </c>
      <c r="L14131">
        <v>1340</v>
      </c>
      <c r="M14131" t="s">
        <v>31069</v>
      </c>
      <c r="N14131" t="s">
        <v>30</v>
      </c>
      <c r="O14131" t="s">
        <v>31</v>
      </c>
      <c r="P14131" t="str">
        <f>"15220"</f>
        <v>15220</v>
      </c>
    </row>
    <row r="14132" spans="1:16" x14ac:dyDescent="0.25">
      <c r="A14132" t="str">
        <f>"1200020F00255    00"</f>
        <v>1200020F00255    00</v>
      </c>
      <c r="B14132" t="s">
        <v>31075</v>
      </c>
      <c r="C14132" t="s">
        <v>31076</v>
      </c>
      <c r="E14132" t="s">
        <v>39</v>
      </c>
      <c r="F14132">
        <v>0</v>
      </c>
      <c r="G14132">
        <v>0</v>
      </c>
      <c r="H14132">
        <v>1</v>
      </c>
      <c r="I14132" s="3">
        <v>303.06</v>
      </c>
      <c r="J14132" s="3">
        <v>0</v>
      </c>
      <c r="L14132">
        <v>1328</v>
      </c>
      <c r="M14132" t="s">
        <v>16891</v>
      </c>
      <c r="N14132" t="s">
        <v>30</v>
      </c>
      <c r="O14132" t="s">
        <v>31</v>
      </c>
      <c r="P14132" t="str">
        <f>"15220"</f>
        <v>15220</v>
      </c>
    </row>
    <row r="14133" spans="1:16" x14ac:dyDescent="0.25">
      <c r="A14133" t="str">
        <f>"1200020F00259    00"</f>
        <v>1200020F00259    00</v>
      </c>
      <c r="B14133" t="s">
        <v>31077</v>
      </c>
      <c r="C14133" t="s">
        <v>31078</v>
      </c>
      <c r="E14133" t="s">
        <v>39</v>
      </c>
      <c r="F14133">
        <v>0</v>
      </c>
      <c r="G14133">
        <v>0</v>
      </c>
      <c r="H14133">
        <v>4</v>
      </c>
      <c r="I14133" s="3">
        <v>2071.3000000000002</v>
      </c>
      <c r="J14133" s="3">
        <v>2545.73</v>
      </c>
      <c r="L14133">
        <v>1320</v>
      </c>
      <c r="M14133" t="s">
        <v>16891</v>
      </c>
      <c r="N14133" t="s">
        <v>30</v>
      </c>
      <c r="O14133" t="s">
        <v>31</v>
      </c>
      <c r="P14133" t="str">
        <f>"15220"</f>
        <v>15220</v>
      </c>
    </row>
    <row r="14134" spans="1:16" x14ac:dyDescent="0.25">
      <c r="A14134" t="str">
        <f>"1200020F00262    00"</f>
        <v>1200020F00262    00</v>
      </c>
      <c r="B14134" t="s">
        <v>31079</v>
      </c>
      <c r="C14134" t="s">
        <v>31080</v>
      </c>
      <c r="D14134" t="s">
        <v>20</v>
      </c>
      <c r="E14134" t="s">
        <v>39</v>
      </c>
      <c r="F14134">
        <v>0</v>
      </c>
      <c r="G14134">
        <v>0</v>
      </c>
      <c r="H14134">
        <v>10</v>
      </c>
      <c r="I14134" s="3">
        <v>5072.25</v>
      </c>
      <c r="J14134" s="3">
        <v>1797.14</v>
      </c>
      <c r="K14134" t="s">
        <v>31081</v>
      </c>
      <c r="P14134" t="str">
        <f>""</f>
        <v/>
      </c>
    </row>
    <row r="14135" spans="1:16" x14ac:dyDescent="0.25">
      <c r="A14135" t="str">
        <f>"1200020G00005    00"</f>
        <v>1200020G00005    00</v>
      </c>
      <c r="B14135" t="s">
        <v>31082</v>
      </c>
      <c r="C14135" t="s">
        <v>31083</v>
      </c>
      <c r="D14135" t="s">
        <v>20</v>
      </c>
      <c r="E14135" t="s">
        <v>39</v>
      </c>
      <c r="F14135">
        <v>0</v>
      </c>
      <c r="G14135">
        <v>0</v>
      </c>
      <c r="H14135">
        <v>2</v>
      </c>
      <c r="I14135" s="3">
        <v>30.68</v>
      </c>
      <c r="J14135" s="3">
        <v>0</v>
      </c>
      <c r="L14135">
        <v>1032</v>
      </c>
      <c r="M14135" t="s">
        <v>31084</v>
      </c>
      <c r="N14135" t="s">
        <v>30</v>
      </c>
      <c r="O14135" t="s">
        <v>31</v>
      </c>
      <c r="P14135" t="str">
        <f>"15220"</f>
        <v>15220</v>
      </c>
    </row>
    <row r="14136" spans="1:16" x14ac:dyDescent="0.25">
      <c r="A14136" t="str">
        <f>"1200020G00010    00"</f>
        <v>1200020G00010    00</v>
      </c>
      <c r="B14136" t="s">
        <v>31085</v>
      </c>
      <c r="C14136" t="s">
        <v>31086</v>
      </c>
      <c r="D14136" t="s">
        <v>20</v>
      </c>
      <c r="E14136" t="s">
        <v>39</v>
      </c>
      <c r="F14136">
        <v>0</v>
      </c>
      <c r="G14136">
        <v>0</v>
      </c>
      <c r="H14136">
        <v>19</v>
      </c>
      <c r="I14136" s="3">
        <v>4500.4399999999996</v>
      </c>
      <c r="J14136" s="3">
        <v>3585.47</v>
      </c>
      <c r="P14136" t="str">
        <f>""</f>
        <v/>
      </c>
    </row>
    <row r="14137" spans="1:16" x14ac:dyDescent="0.25">
      <c r="A14137" t="str">
        <f>"1200020G00014    00"</f>
        <v>1200020G00014    00</v>
      </c>
      <c r="B14137" t="s">
        <v>31043</v>
      </c>
      <c r="C14137" t="s">
        <v>31086</v>
      </c>
      <c r="D14137" t="s">
        <v>20</v>
      </c>
      <c r="E14137" t="s">
        <v>39</v>
      </c>
      <c r="F14137">
        <v>0</v>
      </c>
      <c r="G14137">
        <v>0</v>
      </c>
      <c r="H14137">
        <v>2</v>
      </c>
      <c r="I14137" s="3">
        <v>117.05</v>
      </c>
      <c r="J14137" s="3">
        <v>0</v>
      </c>
      <c r="L14137">
        <v>1032</v>
      </c>
      <c r="M14137" t="s">
        <v>31084</v>
      </c>
      <c r="N14137" t="s">
        <v>30</v>
      </c>
      <c r="O14137" t="s">
        <v>31</v>
      </c>
      <c r="P14137" t="str">
        <f>"15220"</f>
        <v>15220</v>
      </c>
    </row>
    <row r="14138" spans="1:16" x14ac:dyDescent="0.25">
      <c r="A14138" t="str">
        <f>"1200020G00017    00"</f>
        <v>1200020G00017    00</v>
      </c>
      <c r="B14138" t="s">
        <v>31087</v>
      </c>
      <c r="C14138" t="s">
        <v>31086</v>
      </c>
      <c r="D14138" t="s">
        <v>20</v>
      </c>
      <c r="E14138" t="s">
        <v>39</v>
      </c>
      <c r="F14138">
        <v>0</v>
      </c>
      <c r="G14138">
        <v>0</v>
      </c>
      <c r="H14138">
        <v>14</v>
      </c>
      <c r="I14138" s="3">
        <v>2939.49</v>
      </c>
      <c r="J14138" s="3">
        <v>1598.19</v>
      </c>
      <c r="L14138">
        <v>1325</v>
      </c>
      <c r="M14138" t="s">
        <v>31088</v>
      </c>
      <c r="N14138" t="s">
        <v>30</v>
      </c>
      <c r="O14138" t="s">
        <v>31</v>
      </c>
      <c r="P14138" t="str">
        <f>"15220"</f>
        <v>15220</v>
      </c>
    </row>
    <row r="14139" spans="1:16" x14ac:dyDescent="0.25">
      <c r="A14139" t="str">
        <f>"1200020G00021    00"</f>
        <v>1200020G00021    00</v>
      </c>
      <c r="B14139" t="s">
        <v>31087</v>
      </c>
      <c r="C14139" t="s">
        <v>31086</v>
      </c>
      <c r="D14139" t="s">
        <v>20</v>
      </c>
      <c r="E14139" t="s">
        <v>39</v>
      </c>
      <c r="F14139">
        <v>0</v>
      </c>
      <c r="G14139">
        <v>0</v>
      </c>
      <c r="H14139">
        <v>19</v>
      </c>
      <c r="I14139" s="3">
        <v>2871.3</v>
      </c>
      <c r="J14139" s="3">
        <v>2908.96</v>
      </c>
      <c r="K14139" t="s">
        <v>31089</v>
      </c>
      <c r="L14139">
        <v>1325</v>
      </c>
      <c r="M14139" t="s">
        <v>31042</v>
      </c>
      <c r="N14139" t="s">
        <v>30</v>
      </c>
      <c r="O14139" t="s">
        <v>31</v>
      </c>
      <c r="P14139" t="str">
        <f>"15220"</f>
        <v>15220</v>
      </c>
    </row>
    <row r="14140" spans="1:16" x14ac:dyDescent="0.25">
      <c r="A14140" t="str">
        <f>"1200020G00036    00"</f>
        <v>1200020G00036    00</v>
      </c>
      <c r="B14140" t="s">
        <v>31090</v>
      </c>
      <c r="C14140" t="s">
        <v>31091</v>
      </c>
      <c r="D14140" t="s">
        <v>20</v>
      </c>
      <c r="E14140" t="s">
        <v>39</v>
      </c>
      <c r="F14140">
        <v>0</v>
      </c>
      <c r="G14140">
        <v>0</v>
      </c>
      <c r="H14140">
        <v>12</v>
      </c>
      <c r="I14140" s="3">
        <v>219.56</v>
      </c>
      <c r="J14140" s="3">
        <v>116.05</v>
      </c>
      <c r="M14140" t="s">
        <v>31092</v>
      </c>
      <c r="N14140" t="s">
        <v>30</v>
      </c>
      <c r="O14140" t="s">
        <v>31</v>
      </c>
      <c r="P14140" t="str">
        <f>"15210"</f>
        <v>15210</v>
      </c>
    </row>
    <row r="14141" spans="1:16" x14ac:dyDescent="0.25">
      <c r="A14141" t="str">
        <f>"1200020G00044    00"</f>
        <v>1200020G00044    00</v>
      </c>
      <c r="B14141" t="s">
        <v>31093</v>
      </c>
      <c r="C14141" t="s">
        <v>31094</v>
      </c>
      <c r="E14141" t="s">
        <v>39</v>
      </c>
      <c r="F14141">
        <v>0</v>
      </c>
      <c r="G14141">
        <v>0</v>
      </c>
      <c r="H14141">
        <v>3</v>
      </c>
      <c r="I14141" s="3">
        <v>2855.27</v>
      </c>
      <c r="J14141" s="3">
        <v>712.17</v>
      </c>
      <c r="K14141" t="s">
        <v>31095</v>
      </c>
      <c r="L14141">
        <v>1268</v>
      </c>
      <c r="M14141" t="s">
        <v>31042</v>
      </c>
      <c r="N14141" t="s">
        <v>30</v>
      </c>
      <c r="O14141" t="s">
        <v>31</v>
      </c>
      <c r="P14141" t="str">
        <f>"15220"</f>
        <v>15220</v>
      </c>
    </row>
    <row r="14142" spans="1:16" x14ac:dyDescent="0.25">
      <c r="A14142" t="str">
        <f>"1200020G00074    00"</f>
        <v>1200020G00074    00</v>
      </c>
      <c r="B14142" t="s">
        <v>31096</v>
      </c>
      <c r="C14142" t="s">
        <v>31097</v>
      </c>
      <c r="D14142" t="s">
        <v>20</v>
      </c>
      <c r="E14142" t="s">
        <v>39</v>
      </c>
      <c r="F14142">
        <v>0</v>
      </c>
      <c r="G14142">
        <v>0</v>
      </c>
      <c r="H14142">
        <v>19</v>
      </c>
      <c r="I14142" s="3">
        <v>4673.0200000000004</v>
      </c>
      <c r="J14142" s="3">
        <v>3834.15</v>
      </c>
      <c r="L14142">
        <v>1268</v>
      </c>
      <c r="M14142" t="s">
        <v>31088</v>
      </c>
      <c r="N14142" t="s">
        <v>30</v>
      </c>
      <c r="O14142" t="s">
        <v>31</v>
      </c>
      <c r="P14142" t="str">
        <f>"15220"</f>
        <v>15220</v>
      </c>
    </row>
    <row r="14143" spans="1:16" x14ac:dyDescent="0.25">
      <c r="A14143" t="str">
        <f>"1200020G00077    00"</f>
        <v>1200020G00077    00</v>
      </c>
      <c r="B14143" t="s">
        <v>31098</v>
      </c>
      <c r="C14143" t="s">
        <v>31099</v>
      </c>
      <c r="E14143" t="s">
        <v>39</v>
      </c>
      <c r="F14143">
        <v>0</v>
      </c>
      <c r="G14143">
        <v>0</v>
      </c>
      <c r="H14143">
        <v>1</v>
      </c>
      <c r="I14143" s="3">
        <v>356.71</v>
      </c>
      <c r="J14143" s="3">
        <v>0</v>
      </c>
      <c r="K14143" t="s">
        <v>31100</v>
      </c>
      <c r="L14143">
        <v>2101</v>
      </c>
      <c r="M14143" t="s">
        <v>31101</v>
      </c>
      <c r="N14143" t="s">
        <v>31102</v>
      </c>
      <c r="O14143" t="s">
        <v>495</v>
      </c>
      <c r="P14143" t="str">
        <f>"90245"</f>
        <v>90245</v>
      </c>
    </row>
    <row r="14144" spans="1:16" x14ac:dyDescent="0.25">
      <c r="A14144" t="str">
        <f>"1200020G00106    00"</f>
        <v>1200020G00106    00</v>
      </c>
      <c r="B14144" t="s">
        <v>31103</v>
      </c>
      <c r="C14144" t="s">
        <v>31091</v>
      </c>
      <c r="E14144" t="s">
        <v>39</v>
      </c>
      <c r="F14144">
        <v>0</v>
      </c>
      <c r="G14144">
        <v>0</v>
      </c>
      <c r="H14144">
        <v>1</v>
      </c>
      <c r="I14144" s="3">
        <v>268.76</v>
      </c>
      <c r="J14144" s="3">
        <v>0</v>
      </c>
      <c r="L14144">
        <v>2748</v>
      </c>
      <c r="M14144" t="s">
        <v>31104</v>
      </c>
      <c r="N14144" t="s">
        <v>30</v>
      </c>
      <c r="O14144" t="s">
        <v>31</v>
      </c>
      <c r="P14144" t="str">
        <f>"15204"</f>
        <v>15204</v>
      </c>
    </row>
    <row r="14145" spans="1:16" x14ac:dyDescent="0.25">
      <c r="A14145" t="str">
        <f>"1200020G00127    00"</f>
        <v>1200020G00127    00</v>
      </c>
      <c r="B14145" t="s">
        <v>31105</v>
      </c>
      <c r="C14145" t="s">
        <v>31091</v>
      </c>
      <c r="D14145" t="s">
        <v>20</v>
      </c>
      <c r="E14145" t="s">
        <v>39</v>
      </c>
      <c r="F14145">
        <v>0</v>
      </c>
      <c r="G14145">
        <v>0</v>
      </c>
      <c r="H14145">
        <v>2</v>
      </c>
      <c r="I14145" s="3">
        <v>564.17999999999995</v>
      </c>
      <c r="J14145" s="3">
        <v>0</v>
      </c>
      <c r="L14145">
        <v>1824</v>
      </c>
      <c r="M14145" t="s">
        <v>31106</v>
      </c>
      <c r="N14145" t="s">
        <v>30</v>
      </c>
      <c r="O14145" t="s">
        <v>31</v>
      </c>
      <c r="P14145" t="str">
        <f>"15212"</f>
        <v>15212</v>
      </c>
    </row>
    <row r="14146" spans="1:16" x14ac:dyDescent="0.25">
      <c r="A14146" t="str">
        <f>"1200020G00185    00"</f>
        <v>1200020G00185    00</v>
      </c>
      <c r="B14146" t="s">
        <v>31107</v>
      </c>
      <c r="C14146" t="s">
        <v>31108</v>
      </c>
      <c r="D14146" t="s">
        <v>20</v>
      </c>
      <c r="E14146" t="s">
        <v>39</v>
      </c>
      <c r="F14146">
        <v>0</v>
      </c>
      <c r="G14146">
        <v>0</v>
      </c>
      <c r="H14146">
        <v>18</v>
      </c>
      <c r="I14146" s="3">
        <v>4400.59</v>
      </c>
      <c r="J14146" s="3">
        <v>3644.58</v>
      </c>
      <c r="L14146">
        <v>1031</v>
      </c>
      <c r="M14146" t="s">
        <v>31109</v>
      </c>
      <c r="N14146" t="s">
        <v>30</v>
      </c>
      <c r="O14146" t="s">
        <v>31</v>
      </c>
      <c r="P14146" t="str">
        <f>"15220"</f>
        <v>15220</v>
      </c>
    </row>
    <row r="14147" spans="1:16" x14ac:dyDescent="0.25">
      <c r="A14147" t="str">
        <f>"1200020G00188    00"</f>
        <v>1200020G00188    00</v>
      </c>
      <c r="B14147" t="s">
        <v>31110</v>
      </c>
      <c r="C14147" t="s">
        <v>31111</v>
      </c>
      <c r="D14147" t="s">
        <v>20</v>
      </c>
      <c r="E14147" t="s">
        <v>39</v>
      </c>
      <c r="F14147">
        <v>0</v>
      </c>
      <c r="G14147">
        <v>0</v>
      </c>
      <c r="H14147">
        <v>15</v>
      </c>
      <c r="I14147" s="3">
        <v>14238.13</v>
      </c>
      <c r="J14147" s="3">
        <v>11384.55</v>
      </c>
      <c r="L14147">
        <v>130</v>
      </c>
      <c r="M14147" t="s">
        <v>31112</v>
      </c>
      <c r="N14147" t="s">
        <v>903</v>
      </c>
      <c r="O14147" t="s">
        <v>31</v>
      </c>
      <c r="P14147" t="str">
        <f>"15136"</f>
        <v>15136</v>
      </c>
    </row>
    <row r="14148" spans="1:16" x14ac:dyDescent="0.25">
      <c r="A14148" t="str">
        <f>"1200020G00190    00"</f>
        <v>1200020G00190    00</v>
      </c>
      <c r="B14148" t="s">
        <v>31113</v>
      </c>
      <c r="C14148" t="s">
        <v>31108</v>
      </c>
      <c r="D14148" t="s">
        <v>20</v>
      </c>
      <c r="E14148" t="s">
        <v>39</v>
      </c>
      <c r="F14148">
        <v>0</v>
      </c>
      <c r="G14148">
        <v>0</v>
      </c>
      <c r="H14148">
        <v>19</v>
      </c>
      <c r="I14148" s="3">
        <v>4656.51</v>
      </c>
      <c r="J14148" s="3">
        <v>3870.64</v>
      </c>
      <c r="P14148" t="str">
        <f>""</f>
        <v/>
      </c>
    </row>
    <row r="14149" spans="1:16" x14ac:dyDescent="0.25">
      <c r="A14149" t="str">
        <f>"1200020G00195    00"</f>
        <v>1200020G00195    00</v>
      </c>
      <c r="B14149" t="s">
        <v>31114</v>
      </c>
      <c r="C14149" t="s">
        <v>31115</v>
      </c>
      <c r="E14149" t="s">
        <v>39</v>
      </c>
      <c r="F14149">
        <v>0</v>
      </c>
      <c r="G14149">
        <v>0</v>
      </c>
      <c r="H14149">
        <v>12</v>
      </c>
      <c r="I14149" s="3">
        <v>27845.46</v>
      </c>
      <c r="J14149" s="3">
        <v>35566.04</v>
      </c>
      <c r="L14149">
        <v>7</v>
      </c>
      <c r="M14149" t="s">
        <v>31116</v>
      </c>
      <c r="N14149" t="s">
        <v>30</v>
      </c>
      <c r="O14149" t="s">
        <v>31</v>
      </c>
      <c r="P14149" t="str">
        <f>"15220"</f>
        <v>15220</v>
      </c>
    </row>
    <row r="14150" spans="1:16" x14ac:dyDescent="0.25">
      <c r="A14150" t="str">
        <f>"1200020H00020    00"</f>
        <v>1200020H00020    00</v>
      </c>
      <c r="B14150" t="s">
        <v>31117</v>
      </c>
      <c r="C14150" t="s">
        <v>31118</v>
      </c>
      <c r="E14150" t="s">
        <v>39</v>
      </c>
      <c r="F14150">
        <v>0</v>
      </c>
      <c r="G14150">
        <v>0</v>
      </c>
      <c r="H14150">
        <v>2</v>
      </c>
      <c r="I14150" s="3">
        <v>319.75</v>
      </c>
      <c r="J14150" s="3">
        <v>6.65</v>
      </c>
      <c r="L14150">
        <v>1008</v>
      </c>
      <c r="M14150" t="s">
        <v>31119</v>
      </c>
      <c r="N14150" t="s">
        <v>30</v>
      </c>
      <c r="O14150" t="s">
        <v>31</v>
      </c>
      <c r="P14150" t="str">
        <f>"15220"</f>
        <v>15220</v>
      </c>
    </row>
    <row r="14151" spans="1:16" x14ac:dyDescent="0.25">
      <c r="A14151" t="str">
        <f>"1200020J00008    00"</f>
        <v>1200020J00008    00</v>
      </c>
      <c r="B14151" t="s">
        <v>31120</v>
      </c>
      <c r="C14151" t="s">
        <v>31121</v>
      </c>
      <c r="D14151" t="s">
        <v>20</v>
      </c>
      <c r="E14151" t="s">
        <v>39</v>
      </c>
      <c r="F14151">
        <v>0</v>
      </c>
      <c r="G14151">
        <v>0</v>
      </c>
      <c r="H14151">
        <v>2</v>
      </c>
      <c r="I14151" s="3">
        <v>392.99</v>
      </c>
      <c r="J14151" s="3">
        <v>0</v>
      </c>
      <c r="K14151" t="s">
        <v>329</v>
      </c>
      <c r="L14151">
        <v>3001</v>
      </c>
      <c r="M14151" t="s">
        <v>330</v>
      </c>
      <c r="N14151" t="s">
        <v>331</v>
      </c>
      <c r="O14151" t="s">
        <v>108</v>
      </c>
      <c r="P14151" t="str">
        <f>"75063"</f>
        <v>75063</v>
      </c>
    </row>
    <row r="14152" spans="1:16" x14ac:dyDescent="0.25">
      <c r="A14152" t="str">
        <f>"1200020K00019    00"</f>
        <v>1200020K00019    00</v>
      </c>
      <c r="B14152" t="s">
        <v>31122</v>
      </c>
      <c r="C14152" t="s">
        <v>31123</v>
      </c>
      <c r="D14152" t="s">
        <v>20</v>
      </c>
      <c r="E14152" t="s">
        <v>39</v>
      </c>
      <c r="F14152">
        <v>0</v>
      </c>
      <c r="G14152">
        <v>0</v>
      </c>
      <c r="H14152">
        <v>10</v>
      </c>
      <c r="I14152" s="3">
        <v>2742.95</v>
      </c>
      <c r="J14152" s="3">
        <v>1661.71</v>
      </c>
      <c r="L14152">
        <v>2737</v>
      </c>
      <c r="M14152" t="s">
        <v>31124</v>
      </c>
      <c r="N14152" t="s">
        <v>30</v>
      </c>
      <c r="O14152" t="s">
        <v>31</v>
      </c>
      <c r="P14152" t="str">
        <f>"15227"</f>
        <v>15227</v>
      </c>
    </row>
    <row r="14153" spans="1:16" x14ac:dyDescent="0.25">
      <c r="A14153" t="str">
        <f>"1200020K00021    00"</f>
        <v>1200020K00021    00</v>
      </c>
      <c r="B14153" t="s">
        <v>31125</v>
      </c>
      <c r="C14153" t="s">
        <v>31123</v>
      </c>
      <c r="D14153" t="s">
        <v>20</v>
      </c>
      <c r="E14153" t="s">
        <v>39</v>
      </c>
      <c r="F14153">
        <v>0</v>
      </c>
      <c r="G14153">
        <v>0</v>
      </c>
      <c r="H14153">
        <v>16</v>
      </c>
      <c r="I14153" s="3">
        <v>989.31</v>
      </c>
      <c r="J14153" s="3">
        <v>593.11</v>
      </c>
      <c r="L14153">
        <v>1004</v>
      </c>
      <c r="M14153" t="s">
        <v>31126</v>
      </c>
      <c r="N14153" t="s">
        <v>30</v>
      </c>
      <c r="O14153" t="s">
        <v>31</v>
      </c>
      <c r="P14153" t="str">
        <f>"15220"</f>
        <v>15220</v>
      </c>
    </row>
    <row r="14154" spans="1:16" x14ac:dyDescent="0.25">
      <c r="A14154" t="str">
        <f>"1200020K00040    00"</f>
        <v>1200020K00040    00</v>
      </c>
      <c r="B14154" t="s">
        <v>31127</v>
      </c>
      <c r="C14154" t="s">
        <v>31121</v>
      </c>
      <c r="D14154" t="s">
        <v>20</v>
      </c>
      <c r="E14154" t="s">
        <v>39</v>
      </c>
      <c r="F14154">
        <v>0</v>
      </c>
      <c r="G14154">
        <v>0</v>
      </c>
      <c r="H14154">
        <v>19</v>
      </c>
      <c r="I14154" s="3">
        <v>4547.21</v>
      </c>
      <c r="J14154" s="3">
        <v>3632.58</v>
      </c>
      <c r="K14154" t="s">
        <v>31128</v>
      </c>
      <c r="L14154">
        <v>1247</v>
      </c>
      <c r="M14154" t="s">
        <v>16891</v>
      </c>
      <c r="N14154" t="s">
        <v>30</v>
      </c>
      <c r="O14154" t="s">
        <v>31</v>
      </c>
      <c r="P14154" t="str">
        <f>"15220"</f>
        <v>15220</v>
      </c>
    </row>
    <row r="14155" spans="1:16" x14ac:dyDescent="0.25">
      <c r="A14155" t="str">
        <f>"1200020K00041    00"</f>
        <v>1200020K00041    00</v>
      </c>
      <c r="B14155" t="s">
        <v>31120</v>
      </c>
      <c r="C14155" t="s">
        <v>31129</v>
      </c>
      <c r="E14155" t="s">
        <v>39</v>
      </c>
      <c r="F14155">
        <v>0</v>
      </c>
      <c r="G14155">
        <v>0</v>
      </c>
      <c r="H14155">
        <v>1</v>
      </c>
      <c r="I14155" s="3">
        <v>60.83</v>
      </c>
      <c r="J14155" s="3">
        <v>13.18</v>
      </c>
      <c r="K14155" t="s">
        <v>329</v>
      </c>
      <c r="L14155">
        <v>3001</v>
      </c>
      <c r="M14155" t="s">
        <v>330</v>
      </c>
      <c r="N14155" t="s">
        <v>331</v>
      </c>
      <c r="O14155" t="s">
        <v>108</v>
      </c>
      <c r="P14155" t="str">
        <f>"75063"</f>
        <v>75063</v>
      </c>
    </row>
    <row r="14156" spans="1:16" x14ac:dyDescent="0.25">
      <c r="A14156" t="str">
        <f>"1200020K00043    00"</f>
        <v>1200020K00043    00</v>
      </c>
      <c r="B14156" t="s">
        <v>31120</v>
      </c>
      <c r="C14156" t="s">
        <v>31121</v>
      </c>
      <c r="E14156" t="s">
        <v>39</v>
      </c>
      <c r="F14156">
        <v>0</v>
      </c>
      <c r="G14156">
        <v>0</v>
      </c>
      <c r="H14156">
        <v>2</v>
      </c>
      <c r="I14156" s="3">
        <v>100.22</v>
      </c>
      <c r="J14156" s="3">
        <v>23.06</v>
      </c>
      <c r="K14156" t="s">
        <v>329</v>
      </c>
      <c r="L14156">
        <v>3001</v>
      </c>
      <c r="M14156" t="s">
        <v>330</v>
      </c>
      <c r="N14156" t="s">
        <v>331</v>
      </c>
      <c r="O14156" t="s">
        <v>108</v>
      </c>
      <c r="P14156" t="str">
        <f>"75063"</f>
        <v>75063</v>
      </c>
    </row>
    <row r="14157" spans="1:16" x14ac:dyDescent="0.25">
      <c r="A14157" t="str">
        <f>"1200020K00049    00"</f>
        <v>1200020K00049    00</v>
      </c>
      <c r="B14157" t="s">
        <v>31130</v>
      </c>
      <c r="C14157" t="s">
        <v>31129</v>
      </c>
      <c r="D14157" t="s">
        <v>20</v>
      </c>
      <c r="E14157" t="s">
        <v>39</v>
      </c>
      <c r="F14157">
        <v>0</v>
      </c>
      <c r="G14157">
        <v>0</v>
      </c>
      <c r="H14157">
        <v>19</v>
      </c>
      <c r="I14157" s="3">
        <v>4232.8999999999996</v>
      </c>
      <c r="J14157" s="3">
        <v>3602.62</v>
      </c>
      <c r="K14157" t="s">
        <v>31131</v>
      </c>
      <c r="L14157">
        <v>1253</v>
      </c>
      <c r="M14157" t="s">
        <v>16891</v>
      </c>
      <c r="N14157" t="s">
        <v>30</v>
      </c>
      <c r="O14157" t="s">
        <v>31</v>
      </c>
      <c r="P14157" t="str">
        <f>"15220"</f>
        <v>15220</v>
      </c>
    </row>
    <row r="14158" spans="1:16" x14ac:dyDescent="0.25">
      <c r="A14158" t="str">
        <f>"1200020K00051    00"</f>
        <v>1200020K00051    00</v>
      </c>
      <c r="B14158" t="s">
        <v>31132</v>
      </c>
      <c r="C14158" t="s">
        <v>31129</v>
      </c>
      <c r="D14158" t="s">
        <v>20</v>
      </c>
      <c r="E14158" t="s">
        <v>39</v>
      </c>
      <c r="F14158">
        <v>0</v>
      </c>
      <c r="G14158">
        <v>0</v>
      </c>
      <c r="H14158">
        <v>19</v>
      </c>
      <c r="I14158" s="3">
        <v>2494.6799999999998</v>
      </c>
      <c r="J14158" s="3">
        <v>2893.4</v>
      </c>
      <c r="L14158">
        <v>1253</v>
      </c>
      <c r="M14158" t="s">
        <v>16891</v>
      </c>
      <c r="N14158" t="s">
        <v>30</v>
      </c>
      <c r="O14158" t="s">
        <v>31</v>
      </c>
      <c r="P14158" t="str">
        <f>"15220"</f>
        <v>15220</v>
      </c>
    </row>
    <row r="14159" spans="1:16" x14ac:dyDescent="0.25">
      <c r="A14159" t="str">
        <f>"1200020K00052    00"</f>
        <v>1200020K00052    00</v>
      </c>
      <c r="B14159" t="s">
        <v>31120</v>
      </c>
      <c r="C14159" t="s">
        <v>31133</v>
      </c>
      <c r="D14159" t="s">
        <v>20</v>
      </c>
      <c r="E14159" t="s">
        <v>39</v>
      </c>
      <c r="F14159">
        <v>0</v>
      </c>
      <c r="G14159">
        <v>0</v>
      </c>
      <c r="H14159">
        <v>2</v>
      </c>
      <c r="I14159" s="3">
        <v>395.75</v>
      </c>
      <c r="J14159" s="3">
        <v>0</v>
      </c>
      <c r="K14159" t="s">
        <v>329</v>
      </c>
      <c r="L14159">
        <v>3001</v>
      </c>
      <c r="M14159" t="s">
        <v>330</v>
      </c>
      <c r="N14159" t="s">
        <v>331</v>
      </c>
      <c r="O14159" t="s">
        <v>108</v>
      </c>
      <c r="P14159" t="str">
        <f>"75063"</f>
        <v>75063</v>
      </c>
    </row>
    <row r="14160" spans="1:16" x14ac:dyDescent="0.25">
      <c r="A14160" t="str">
        <f>"1200020K00056    00"</f>
        <v>1200020K00056    00</v>
      </c>
      <c r="B14160" t="s">
        <v>31134</v>
      </c>
      <c r="C14160" t="s">
        <v>31078</v>
      </c>
      <c r="D14160" t="s">
        <v>20</v>
      </c>
      <c r="E14160" t="s">
        <v>39</v>
      </c>
      <c r="F14160">
        <v>0</v>
      </c>
      <c r="G14160">
        <v>0</v>
      </c>
      <c r="H14160">
        <v>8</v>
      </c>
      <c r="I14160" s="3">
        <v>696.36</v>
      </c>
      <c r="J14160" s="3">
        <v>230.14</v>
      </c>
      <c r="L14160">
        <v>1247</v>
      </c>
      <c r="M14160" t="s">
        <v>16891</v>
      </c>
      <c r="N14160" t="s">
        <v>30</v>
      </c>
      <c r="O14160" t="s">
        <v>31</v>
      </c>
      <c r="P14160" t="str">
        <f>"15220"</f>
        <v>15220</v>
      </c>
    </row>
    <row r="14161" spans="1:16" x14ac:dyDescent="0.25">
      <c r="A14161" t="str">
        <f>"1200020K00107    00"</f>
        <v>1200020K00107    00</v>
      </c>
      <c r="B14161" t="s">
        <v>31135</v>
      </c>
      <c r="C14161" t="s">
        <v>31136</v>
      </c>
      <c r="D14161" t="s">
        <v>20</v>
      </c>
      <c r="E14161" t="s">
        <v>39</v>
      </c>
      <c r="F14161">
        <v>0</v>
      </c>
      <c r="G14161">
        <v>0</v>
      </c>
      <c r="H14161">
        <v>3</v>
      </c>
      <c r="I14161" s="3">
        <v>1237.0999999999999</v>
      </c>
      <c r="J14161" s="3">
        <v>72.209999999999994</v>
      </c>
      <c r="L14161">
        <v>1135</v>
      </c>
      <c r="M14161" t="s">
        <v>31084</v>
      </c>
      <c r="N14161" t="s">
        <v>30</v>
      </c>
      <c r="O14161" t="s">
        <v>31</v>
      </c>
      <c r="P14161" t="str">
        <f>"15220"</f>
        <v>15220</v>
      </c>
    </row>
    <row r="14162" spans="1:16" x14ac:dyDescent="0.25">
      <c r="A14162" t="str">
        <f>"1200020K00111    00"</f>
        <v>1200020K00111    00</v>
      </c>
      <c r="B14162" t="s">
        <v>23499</v>
      </c>
      <c r="C14162" t="s">
        <v>31137</v>
      </c>
      <c r="D14162" t="s">
        <v>20</v>
      </c>
      <c r="E14162" t="s">
        <v>39</v>
      </c>
      <c r="F14162">
        <v>0</v>
      </c>
      <c r="G14162">
        <v>0</v>
      </c>
      <c r="H14162">
        <v>2</v>
      </c>
      <c r="I14162" s="3">
        <v>1932.7</v>
      </c>
      <c r="J14162" s="3">
        <v>0</v>
      </c>
      <c r="K14162" t="s">
        <v>23501</v>
      </c>
      <c r="L14162">
        <v>825</v>
      </c>
      <c r="M14162" t="s">
        <v>11611</v>
      </c>
      <c r="N14162" t="s">
        <v>30</v>
      </c>
      <c r="O14162" t="s">
        <v>31</v>
      </c>
      <c r="P14162" t="str">
        <f>"15211"</f>
        <v>15211</v>
      </c>
    </row>
    <row r="14163" spans="1:16" x14ac:dyDescent="0.25">
      <c r="A14163" t="str">
        <f>"1200020K00136    00"</f>
        <v>1200020K00136    00</v>
      </c>
      <c r="B14163" t="s">
        <v>23499</v>
      </c>
      <c r="C14163" t="s">
        <v>31138</v>
      </c>
      <c r="E14163" t="s">
        <v>39</v>
      </c>
      <c r="F14163">
        <v>0</v>
      </c>
      <c r="G14163">
        <v>0</v>
      </c>
      <c r="H14163">
        <v>1</v>
      </c>
      <c r="I14163" s="3">
        <v>505.33</v>
      </c>
      <c r="J14163" s="3">
        <v>0</v>
      </c>
      <c r="K14163" t="s">
        <v>23501</v>
      </c>
      <c r="L14163">
        <v>825</v>
      </c>
      <c r="M14163" t="s">
        <v>11611</v>
      </c>
      <c r="N14163" t="s">
        <v>30</v>
      </c>
      <c r="O14163" t="s">
        <v>31</v>
      </c>
      <c r="P14163" t="str">
        <f>"15211"</f>
        <v>15211</v>
      </c>
    </row>
    <row r="14164" spans="1:16" x14ac:dyDescent="0.25">
      <c r="A14164" t="str">
        <f>"1200020K00142    00"</f>
        <v>1200020K00142    00</v>
      </c>
      <c r="B14164" t="s">
        <v>31139</v>
      </c>
      <c r="C14164" t="s">
        <v>31140</v>
      </c>
      <c r="D14164" t="s">
        <v>20</v>
      </c>
      <c r="E14164" t="s">
        <v>39</v>
      </c>
      <c r="F14164">
        <v>0</v>
      </c>
      <c r="G14164">
        <v>0</v>
      </c>
      <c r="H14164">
        <v>3</v>
      </c>
      <c r="I14164" s="3">
        <v>1454.86</v>
      </c>
      <c r="J14164" s="3">
        <v>137.69</v>
      </c>
      <c r="L14164">
        <v>1132</v>
      </c>
      <c r="M14164" t="s">
        <v>31084</v>
      </c>
      <c r="N14164" t="s">
        <v>30</v>
      </c>
      <c r="O14164" t="s">
        <v>31</v>
      </c>
      <c r="P14164" t="str">
        <f>"15220"</f>
        <v>15220</v>
      </c>
    </row>
    <row r="14165" spans="1:16" x14ac:dyDescent="0.25">
      <c r="A14165" t="str">
        <f>"1200020K00143    00"</f>
        <v>1200020K00143    00</v>
      </c>
      <c r="B14165" t="s">
        <v>31141</v>
      </c>
      <c r="C14165" t="s">
        <v>31142</v>
      </c>
      <c r="D14165" t="s">
        <v>20</v>
      </c>
      <c r="E14165" t="s">
        <v>39</v>
      </c>
      <c r="F14165">
        <v>0</v>
      </c>
      <c r="G14165">
        <v>0</v>
      </c>
      <c r="H14165">
        <v>2</v>
      </c>
      <c r="I14165" s="3">
        <v>1228.48</v>
      </c>
      <c r="J14165" s="3">
        <v>0</v>
      </c>
      <c r="L14165">
        <v>1128</v>
      </c>
      <c r="M14165" t="s">
        <v>31084</v>
      </c>
      <c r="N14165" t="s">
        <v>30</v>
      </c>
      <c r="O14165" t="s">
        <v>31</v>
      </c>
      <c r="P14165" t="str">
        <f>"15220"</f>
        <v>15220</v>
      </c>
    </row>
    <row r="14166" spans="1:16" x14ac:dyDescent="0.25">
      <c r="A14166" t="str">
        <f>"1200020K00195    00"</f>
        <v>1200020K00195    00</v>
      </c>
      <c r="B14166" t="s">
        <v>31143</v>
      </c>
      <c r="C14166" t="s">
        <v>31068</v>
      </c>
      <c r="D14166" t="s">
        <v>20</v>
      </c>
      <c r="E14166" t="s">
        <v>39</v>
      </c>
      <c r="F14166">
        <v>0</v>
      </c>
      <c r="G14166">
        <v>0</v>
      </c>
      <c r="H14166">
        <v>19</v>
      </c>
      <c r="I14166" s="3">
        <v>4478.5600000000004</v>
      </c>
      <c r="J14166" s="3">
        <v>3573.93</v>
      </c>
      <c r="L14166">
        <v>1035</v>
      </c>
      <c r="M14166" t="s">
        <v>31144</v>
      </c>
      <c r="N14166" t="s">
        <v>30</v>
      </c>
      <c r="O14166" t="s">
        <v>31</v>
      </c>
      <c r="P14166" t="str">
        <f>"15220"</f>
        <v>15220</v>
      </c>
    </row>
    <row r="14167" spans="1:16" x14ac:dyDescent="0.25">
      <c r="A14167" t="str">
        <f>"1200020K00208    00"</f>
        <v>1200020K00208    00</v>
      </c>
      <c r="B14167" t="s">
        <v>31145</v>
      </c>
      <c r="C14167" t="s">
        <v>31146</v>
      </c>
      <c r="E14167" t="s">
        <v>39</v>
      </c>
      <c r="F14167">
        <v>0</v>
      </c>
      <c r="G14167">
        <v>0</v>
      </c>
      <c r="H14167">
        <v>3</v>
      </c>
      <c r="I14167" s="3">
        <v>3081.33</v>
      </c>
      <c r="J14167" s="3">
        <v>3132.56</v>
      </c>
      <c r="L14167">
        <v>1123</v>
      </c>
      <c r="M14167" t="s">
        <v>31088</v>
      </c>
      <c r="N14167" t="s">
        <v>30</v>
      </c>
      <c r="O14167" t="s">
        <v>31</v>
      </c>
      <c r="P14167" t="str">
        <f>"15220"</f>
        <v>15220</v>
      </c>
    </row>
    <row r="14168" spans="1:16" x14ac:dyDescent="0.25">
      <c r="A14168" t="str">
        <f>"1200020K00241    00"</f>
        <v>1200020K00241    00</v>
      </c>
      <c r="B14168" t="s">
        <v>31147</v>
      </c>
      <c r="C14168" t="s">
        <v>31086</v>
      </c>
      <c r="D14168" t="s">
        <v>20</v>
      </c>
      <c r="E14168" t="s">
        <v>39</v>
      </c>
      <c r="F14168">
        <v>0</v>
      </c>
      <c r="G14168">
        <v>0</v>
      </c>
      <c r="H14168">
        <v>4</v>
      </c>
      <c r="I14168" s="3">
        <v>226.32</v>
      </c>
      <c r="J14168" s="3">
        <v>27.86</v>
      </c>
      <c r="L14168">
        <v>9611</v>
      </c>
      <c r="M14168" t="s">
        <v>31148</v>
      </c>
      <c r="N14168" t="s">
        <v>652</v>
      </c>
      <c r="O14168" t="s">
        <v>108</v>
      </c>
      <c r="P14168" t="str">
        <f>"77089"</f>
        <v>77089</v>
      </c>
    </row>
    <row r="14169" spans="1:16" x14ac:dyDescent="0.25">
      <c r="A14169" t="str">
        <f>"1200020L00001    00"</f>
        <v>1200020L00001    00</v>
      </c>
      <c r="B14169" t="s">
        <v>23499</v>
      </c>
      <c r="C14169" t="s">
        <v>31149</v>
      </c>
      <c r="D14169" t="s">
        <v>20</v>
      </c>
      <c r="E14169" t="s">
        <v>39</v>
      </c>
      <c r="F14169">
        <v>0</v>
      </c>
      <c r="G14169">
        <v>0</v>
      </c>
      <c r="H14169">
        <v>2</v>
      </c>
      <c r="I14169" s="3">
        <v>1448.6</v>
      </c>
      <c r="J14169" s="3">
        <v>0</v>
      </c>
      <c r="K14169" t="s">
        <v>23501</v>
      </c>
      <c r="L14169">
        <v>825</v>
      </c>
      <c r="M14169" t="s">
        <v>11611</v>
      </c>
      <c r="N14169" t="s">
        <v>30</v>
      </c>
      <c r="O14169" t="s">
        <v>31</v>
      </c>
      <c r="P14169" t="str">
        <f>"15211"</f>
        <v>15211</v>
      </c>
    </row>
    <row r="14170" spans="1:16" x14ac:dyDescent="0.25">
      <c r="A14170" t="str">
        <f>"1200020L00004    00"</f>
        <v>1200020L00004    00</v>
      </c>
      <c r="B14170" t="s">
        <v>31150</v>
      </c>
      <c r="C14170" t="s">
        <v>31151</v>
      </c>
      <c r="D14170" t="s">
        <v>20</v>
      </c>
      <c r="E14170" t="s">
        <v>39</v>
      </c>
      <c r="F14170">
        <v>0</v>
      </c>
      <c r="G14170">
        <v>0</v>
      </c>
      <c r="H14170">
        <v>6</v>
      </c>
      <c r="I14170" s="3">
        <v>2344.8200000000002</v>
      </c>
      <c r="J14170" s="3">
        <v>380.39</v>
      </c>
      <c r="L14170">
        <v>704</v>
      </c>
      <c r="M14170" t="s">
        <v>31152</v>
      </c>
      <c r="N14170" t="s">
        <v>30</v>
      </c>
      <c r="O14170" t="s">
        <v>31</v>
      </c>
      <c r="P14170" t="str">
        <f>"15220"</f>
        <v>15220</v>
      </c>
    </row>
    <row r="14171" spans="1:16" x14ac:dyDescent="0.25">
      <c r="A14171" t="str">
        <f>"1200020L00027    00"</f>
        <v>1200020L00027    00</v>
      </c>
      <c r="B14171" t="s">
        <v>31153</v>
      </c>
      <c r="C14171" t="s">
        <v>31154</v>
      </c>
      <c r="D14171" t="s">
        <v>20</v>
      </c>
      <c r="E14171" t="s">
        <v>39</v>
      </c>
      <c r="F14171">
        <v>0</v>
      </c>
      <c r="G14171">
        <v>0</v>
      </c>
      <c r="H14171">
        <v>9</v>
      </c>
      <c r="I14171" s="3">
        <v>4202.3999999999996</v>
      </c>
      <c r="J14171" s="3">
        <v>1576.72</v>
      </c>
      <c r="L14171">
        <v>1047</v>
      </c>
      <c r="M14171" t="s">
        <v>31088</v>
      </c>
      <c r="N14171" t="s">
        <v>30</v>
      </c>
      <c r="O14171" t="s">
        <v>31</v>
      </c>
      <c r="P14171" t="str">
        <f>"15220"</f>
        <v>15220</v>
      </c>
    </row>
    <row r="14172" spans="1:16" x14ac:dyDescent="0.25">
      <c r="A14172" t="str">
        <f>"1200020L00028    00"</f>
        <v>1200020L00028    00</v>
      </c>
      <c r="B14172" t="s">
        <v>31155</v>
      </c>
      <c r="C14172" t="s">
        <v>31156</v>
      </c>
      <c r="E14172" t="s">
        <v>39</v>
      </c>
      <c r="F14172">
        <v>0</v>
      </c>
      <c r="G14172">
        <v>0</v>
      </c>
      <c r="H14172">
        <v>1</v>
      </c>
      <c r="I14172" s="3">
        <v>622.91</v>
      </c>
      <c r="J14172" s="3">
        <v>124.59</v>
      </c>
      <c r="K14172" t="s">
        <v>31157</v>
      </c>
      <c r="L14172">
        <v>1200</v>
      </c>
      <c r="M14172" t="s">
        <v>31158</v>
      </c>
      <c r="N14172" t="s">
        <v>31159</v>
      </c>
      <c r="O14172" t="s">
        <v>70</v>
      </c>
      <c r="P14172" t="str">
        <f>"48170"</f>
        <v>48170</v>
      </c>
    </row>
    <row r="14173" spans="1:16" x14ac:dyDescent="0.25">
      <c r="A14173" t="str">
        <f>"1200020L00032    00"</f>
        <v>1200020L00032    00</v>
      </c>
      <c r="B14173" t="s">
        <v>31160</v>
      </c>
      <c r="C14173" t="s">
        <v>31161</v>
      </c>
      <c r="D14173" t="s">
        <v>20</v>
      </c>
      <c r="E14173" t="s">
        <v>39</v>
      </c>
      <c r="F14173">
        <v>0</v>
      </c>
      <c r="G14173">
        <v>0</v>
      </c>
      <c r="H14173">
        <v>2</v>
      </c>
      <c r="I14173" s="3">
        <v>832.48</v>
      </c>
      <c r="J14173" s="3">
        <v>82.42</v>
      </c>
      <c r="L14173">
        <v>1111</v>
      </c>
      <c r="M14173" t="s">
        <v>31088</v>
      </c>
      <c r="N14173" t="s">
        <v>30</v>
      </c>
      <c r="O14173" t="s">
        <v>31</v>
      </c>
      <c r="P14173" t="str">
        <f>"15220"</f>
        <v>15220</v>
      </c>
    </row>
    <row r="14174" spans="1:16" x14ac:dyDescent="0.25">
      <c r="A14174" t="str">
        <f>"1200020L00033    00"</f>
        <v>1200020L00033    00</v>
      </c>
      <c r="B14174" t="s">
        <v>31162</v>
      </c>
      <c r="C14174" t="s">
        <v>31163</v>
      </c>
      <c r="D14174" t="s">
        <v>20</v>
      </c>
      <c r="E14174" t="s">
        <v>39</v>
      </c>
      <c r="F14174">
        <v>0</v>
      </c>
      <c r="G14174">
        <v>0</v>
      </c>
      <c r="H14174">
        <v>8</v>
      </c>
      <c r="I14174" s="3">
        <v>4658.37</v>
      </c>
      <c r="J14174" s="3">
        <v>1581.26</v>
      </c>
      <c r="K14174" t="s">
        <v>31164</v>
      </c>
      <c r="L14174">
        <v>1115</v>
      </c>
      <c r="M14174" t="s">
        <v>31042</v>
      </c>
      <c r="N14174" t="s">
        <v>30</v>
      </c>
      <c r="O14174" t="s">
        <v>31</v>
      </c>
      <c r="P14174" t="str">
        <f>"15220"</f>
        <v>15220</v>
      </c>
    </row>
    <row r="14175" spans="1:16" x14ac:dyDescent="0.25">
      <c r="A14175" t="str">
        <f>"1200020L00034    00"</f>
        <v>1200020L00034    00</v>
      </c>
      <c r="B14175" t="s">
        <v>23499</v>
      </c>
      <c r="C14175" t="s">
        <v>31165</v>
      </c>
      <c r="D14175" t="s">
        <v>20</v>
      </c>
      <c r="E14175" t="s">
        <v>39</v>
      </c>
      <c r="F14175">
        <v>0</v>
      </c>
      <c r="G14175">
        <v>0</v>
      </c>
      <c r="H14175">
        <v>3</v>
      </c>
      <c r="I14175" s="3">
        <v>4071.27</v>
      </c>
      <c r="J14175" s="3">
        <v>271.41000000000003</v>
      </c>
      <c r="K14175" t="s">
        <v>23501</v>
      </c>
      <c r="L14175">
        <v>825</v>
      </c>
      <c r="M14175" t="s">
        <v>11611</v>
      </c>
      <c r="N14175" t="s">
        <v>30</v>
      </c>
      <c r="O14175" t="s">
        <v>31</v>
      </c>
      <c r="P14175" t="str">
        <f>"15211"</f>
        <v>15211</v>
      </c>
    </row>
    <row r="14176" spans="1:16" x14ac:dyDescent="0.25">
      <c r="A14176" t="str">
        <f>"1200020L00036    00"</f>
        <v>1200020L00036    00</v>
      </c>
      <c r="B14176" t="s">
        <v>31166</v>
      </c>
      <c r="C14176" t="s">
        <v>31167</v>
      </c>
      <c r="D14176" t="s">
        <v>20</v>
      </c>
      <c r="E14176" t="s">
        <v>39</v>
      </c>
      <c r="F14176">
        <v>0</v>
      </c>
      <c r="G14176">
        <v>0</v>
      </c>
      <c r="H14176">
        <v>1</v>
      </c>
      <c r="I14176" s="3">
        <v>552.74</v>
      </c>
      <c r="J14176" s="3">
        <v>0</v>
      </c>
      <c r="K14176" t="s">
        <v>31168</v>
      </c>
      <c r="L14176">
        <v>6837</v>
      </c>
      <c r="M14176" t="s">
        <v>31169</v>
      </c>
      <c r="N14176" t="s">
        <v>31170</v>
      </c>
      <c r="O14176" t="s">
        <v>70</v>
      </c>
      <c r="P14176" t="str">
        <f>"48126"</f>
        <v>48126</v>
      </c>
    </row>
    <row r="14177" spans="1:16" x14ac:dyDescent="0.25">
      <c r="A14177" t="str">
        <f>"1200020L00043    00"</f>
        <v>1200020L00043    00</v>
      </c>
      <c r="B14177" t="s">
        <v>31171</v>
      </c>
      <c r="C14177" t="s">
        <v>31086</v>
      </c>
      <c r="E14177" t="s">
        <v>39</v>
      </c>
      <c r="F14177">
        <v>0</v>
      </c>
      <c r="G14177">
        <v>0</v>
      </c>
      <c r="H14177">
        <v>3</v>
      </c>
      <c r="I14177" s="3">
        <v>336.49</v>
      </c>
      <c r="J14177" s="3">
        <v>6.61</v>
      </c>
      <c r="K14177" t="s">
        <v>31172</v>
      </c>
      <c r="L14177">
        <v>143</v>
      </c>
      <c r="M14177" t="s">
        <v>30062</v>
      </c>
      <c r="N14177" t="s">
        <v>1474</v>
      </c>
      <c r="O14177" t="s">
        <v>31</v>
      </c>
      <c r="P14177" t="str">
        <f>"15017"</f>
        <v>15017</v>
      </c>
    </row>
    <row r="14178" spans="1:16" x14ac:dyDescent="0.25">
      <c r="A14178" t="str">
        <f>"1200020L00045    00"</f>
        <v>1200020L00045    00</v>
      </c>
      <c r="B14178" t="s">
        <v>31171</v>
      </c>
      <c r="C14178" t="s">
        <v>31173</v>
      </c>
      <c r="E14178" t="s">
        <v>39</v>
      </c>
      <c r="F14178">
        <v>0</v>
      </c>
      <c r="G14178">
        <v>0</v>
      </c>
      <c r="H14178">
        <v>3</v>
      </c>
      <c r="I14178" s="3">
        <v>1169.96</v>
      </c>
      <c r="J14178" s="3">
        <v>0</v>
      </c>
      <c r="K14178" t="s">
        <v>31172</v>
      </c>
      <c r="L14178">
        <v>143</v>
      </c>
      <c r="M14178" t="s">
        <v>31174</v>
      </c>
      <c r="N14178" t="s">
        <v>1474</v>
      </c>
      <c r="O14178" t="s">
        <v>31</v>
      </c>
      <c r="P14178" t="str">
        <f>"15017"</f>
        <v>15017</v>
      </c>
    </row>
    <row r="14179" spans="1:16" x14ac:dyDescent="0.25">
      <c r="A14179" t="str">
        <f>"1200020L00047    00"</f>
        <v>1200020L00047    00</v>
      </c>
      <c r="B14179" t="s">
        <v>31171</v>
      </c>
      <c r="C14179" t="s">
        <v>31086</v>
      </c>
      <c r="E14179" t="s">
        <v>39</v>
      </c>
      <c r="F14179">
        <v>0</v>
      </c>
      <c r="G14179">
        <v>0</v>
      </c>
      <c r="H14179">
        <v>3</v>
      </c>
      <c r="I14179" s="3">
        <v>166.52</v>
      </c>
      <c r="J14179" s="3">
        <v>3.27</v>
      </c>
      <c r="K14179" t="s">
        <v>31172</v>
      </c>
      <c r="L14179">
        <v>143</v>
      </c>
      <c r="M14179" t="s">
        <v>30062</v>
      </c>
      <c r="N14179" t="s">
        <v>1474</v>
      </c>
      <c r="O14179" t="s">
        <v>31</v>
      </c>
      <c r="P14179" t="str">
        <f>"15017"</f>
        <v>15017</v>
      </c>
    </row>
    <row r="14180" spans="1:16" x14ac:dyDescent="0.25">
      <c r="A14180" t="str">
        <f>"1200020L00048    00"</f>
        <v>1200020L00048    00</v>
      </c>
      <c r="B14180" t="s">
        <v>31171</v>
      </c>
      <c r="C14180" t="s">
        <v>31086</v>
      </c>
      <c r="E14180" t="s">
        <v>39</v>
      </c>
      <c r="F14180">
        <v>0</v>
      </c>
      <c r="G14180">
        <v>0</v>
      </c>
      <c r="H14180">
        <v>3</v>
      </c>
      <c r="I14180" s="3">
        <v>166.52</v>
      </c>
      <c r="J14180" s="3">
        <v>3.27</v>
      </c>
      <c r="K14180" t="s">
        <v>31172</v>
      </c>
      <c r="L14180">
        <v>143</v>
      </c>
      <c r="M14180" t="s">
        <v>30062</v>
      </c>
      <c r="N14180" t="s">
        <v>1474</v>
      </c>
      <c r="O14180" t="s">
        <v>31</v>
      </c>
      <c r="P14180" t="str">
        <f>"15017"</f>
        <v>15017</v>
      </c>
    </row>
    <row r="14181" spans="1:16" x14ac:dyDescent="0.25">
      <c r="A14181" t="str">
        <f>"1200020L00049    00"</f>
        <v>1200020L00049    00</v>
      </c>
      <c r="B14181" t="s">
        <v>31171</v>
      </c>
      <c r="C14181" t="s">
        <v>31086</v>
      </c>
      <c r="E14181" t="s">
        <v>39</v>
      </c>
      <c r="F14181">
        <v>0</v>
      </c>
      <c r="G14181">
        <v>0</v>
      </c>
      <c r="H14181">
        <v>3</v>
      </c>
      <c r="I14181" s="3">
        <v>166.52</v>
      </c>
      <c r="J14181" s="3">
        <v>3.27</v>
      </c>
      <c r="K14181" t="s">
        <v>31172</v>
      </c>
      <c r="L14181">
        <v>143</v>
      </c>
      <c r="M14181" t="s">
        <v>30062</v>
      </c>
      <c r="N14181" t="s">
        <v>1474</v>
      </c>
      <c r="O14181" t="s">
        <v>31</v>
      </c>
      <c r="P14181" t="str">
        <f>"15017"</f>
        <v>15017</v>
      </c>
    </row>
    <row r="14182" spans="1:16" x14ac:dyDescent="0.25">
      <c r="A14182" t="str">
        <f>"1200020L00050    00"</f>
        <v>1200020L00050    00</v>
      </c>
      <c r="B14182" t="s">
        <v>31175</v>
      </c>
      <c r="C14182" t="s">
        <v>31086</v>
      </c>
      <c r="E14182" t="s">
        <v>39</v>
      </c>
      <c r="F14182">
        <v>0</v>
      </c>
      <c r="G14182">
        <v>0</v>
      </c>
      <c r="H14182">
        <v>3</v>
      </c>
      <c r="I14182" s="3">
        <v>336.49</v>
      </c>
      <c r="J14182" s="3">
        <v>62.78</v>
      </c>
      <c r="L14182">
        <v>1222</v>
      </c>
      <c r="M14182" t="s">
        <v>31088</v>
      </c>
      <c r="N14182" t="s">
        <v>30</v>
      </c>
      <c r="O14182" t="s">
        <v>31</v>
      </c>
      <c r="P14182" t="str">
        <f>"15220"</f>
        <v>15220</v>
      </c>
    </row>
    <row r="14183" spans="1:16" x14ac:dyDescent="0.25">
      <c r="A14183" t="str">
        <f>"1200020L00052    00"</f>
        <v>1200020L00052    00</v>
      </c>
      <c r="B14183" t="s">
        <v>31176</v>
      </c>
      <c r="C14183" t="s">
        <v>31177</v>
      </c>
      <c r="D14183" t="s">
        <v>20</v>
      </c>
      <c r="E14183" t="s">
        <v>39</v>
      </c>
      <c r="F14183">
        <v>0</v>
      </c>
      <c r="G14183">
        <v>0</v>
      </c>
      <c r="H14183">
        <v>10</v>
      </c>
      <c r="I14183" s="3">
        <v>4815.78</v>
      </c>
      <c r="J14183" s="3">
        <v>1865.09</v>
      </c>
      <c r="L14183">
        <v>380</v>
      </c>
      <c r="M14183" t="s">
        <v>31178</v>
      </c>
      <c r="N14183" t="s">
        <v>6189</v>
      </c>
      <c r="O14183" t="s">
        <v>1413</v>
      </c>
      <c r="P14183" t="str">
        <f>"27103"</f>
        <v>27103</v>
      </c>
    </row>
    <row r="14184" spans="1:16" x14ac:dyDescent="0.25">
      <c r="A14184" t="str">
        <f>"1200020L00054    00"</f>
        <v>1200020L00054    00</v>
      </c>
      <c r="B14184" t="s">
        <v>31176</v>
      </c>
      <c r="C14184" t="s">
        <v>31086</v>
      </c>
      <c r="D14184" t="s">
        <v>20</v>
      </c>
      <c r="E14184" t="s">
        <v>39</v>
      </c>
      <c r="F14184">
        <v>0</v>
      </c>
      <c r="G14184">
        <v>0</v>
      </c>
      <c r="H14184">
        <v>10</v>
      </c>
      <c r="I14184" s="3">
        <v>1294.6500000000001</v>
      </c>
      <c r="J14184" s="3">
        <v>554.33000000000004</v>
      </c>
      <c r="K14184" t="s">
        <v>31179</v>
      </c>
      <c r="L14184">
        <v>380</v>
      </c>
      <c r="M14184" t="s">
        <v>31178</v>
      </c>
      <c r="N14184" t="s">
        <v>6189</v>
      </c>
      <c r="O14184" t="s">
        <v>1413</v>
      </c>
      <c r="P14184" t="str">
        <f>"27103"</f>
        <v>27103</v>
      </c>
    </row>
    <row r="14185" spans="1:16" x14ac:dyDescent="0.25">
      <c r="A14185" t="str">
        <f>"1200020L00124    00"</f>
        <v>1200020L00124    00</v>
      </c>
      <c r="B14185" t="s">
        <v>31180</v>
      </c>
      <c r="C14185" t="s">
        <v>31181</v>
      </c>
      <c r="D14185" t="s">
        <v>20</v>
      </c>
      <c r="E14185" t="s">
        <v>39</v>
      </c>
      <c r="F14185">
        <v>0</v>
      </c>
      <c r="G14185">
        <v>0</v>
      </c>
      <c r="H14185">
        <v>3</v>
      </c>
      <c r="I14185" s="3">
        <v>579.80999999999995</v>
      </c>
      <c r="J14185" s="3">
        <v>26.57</v>
      </c>
      <c r="L14185">
        <v>1045</v>
      </c>
      <c r="M14185" t="s">
        <v>31182</v>
      </c>
      <c r="N14185" t="s">
        <v>30</v>
      </c>
      <c r="O14185" t="s">
        <v>31</v>
      </c>
      <c r="P14185" t="str">
        <f>"15220"</f>
        <v>15220</v>
      </c>
    </row>
    <row r="14186" spans="1:16" x14ac:dyDescent="0.25">
      <c r="A14186" t="str">
        <f>"1200020L00126    00"</f>
        <v>1200020L00126    00</v>
      </c>
      <c r="B14186" t="s">
        <v>31183</v>
      </c>
      <c r="C14186" t="s">
        <v>31184</v>
      </c>
      <c r="D14186" t="s">
        <v>20</v>
      </c>
      <c r="E14186" t="s">
        <v>39</v>
      </c>
      <c r="F14186">
        <v>0</v>
      </c>
      <c r="G14186">
        <v>0</v>
      </c>
      <c r="H14186">
        <v>4</v>
      </c>
      <c r="I14186" s="3">
        <v>1913.55</v>
      </c>
      <c r="J14186" s="3">
        <v>218.21</v>
      </c>
      <c r="L14186">
        <v>1041</v>
      </c>
      <c r="M14186" t="s">
        <v>31182</v>
      </c>
      <c r="N14186" t="s">
        <v>30</v>
      </c>
      <c r="O14186" t="s">
        <v>31</v>
      </c>
      <c r="P14186" t="str">
        <f>"15220"</f>
        <v>15220</v>
      </c>
    </row>
    <row r="14187" spans="1:16" x14ac:dyDescent="0.25">
      <c r="A14187" t="str">
        <f>"1200020L00135    00"</f>
        <v>1200020L00135    00</v>
      </c>
      <c r="B14187" t="s">
        <v>31185</v>
      </c>
      <c r="C14187" t="s">
        <v>31186</v>
      </c>
      <c r="D14187" t="s">
        <v>20</v>
      </c>
      <c r="E14187" t="s">
        <v>39</v>
      </c>
      <c r="F14187">
        <v>0</v>
      </c>
      <c r="G14187">
        <v>0</v>
      </c>
      <c r="H14187">
        <v>2</v>
      </c>
      <c r="I14187" s="3">
        <v>1547.66</v>
      </c>
      <c r="J14187" s="3">
        <v>0</v>
      </c>
      <c r="K14187" t="s">
        <v>31187</v>
      </c>
      <c r="L14187">
        <v>825</v>
      </c>
      <c r="M14187" t="s">
        <v>11611</v>
      </c>
      <c r="N14187" t="s">
        <v>30</v>
      </c>
      <c r="O14187" t="s">
        <v>31</v>
      </c>
      <c r="P14187" t="str">
        <f>"15211"</f>
        <v>15211</v>
      </c>
    </row>
    <row r="14188" spans="1:16" x14ac:dyDescent="0.25">
      <c r="A14188" t="str">
        <f>"1200020L00136    00"</f>
        <v>1200020L00136    00</v>
      </c>
      <c r="B14188" t="s">
        <v>23499</v>
      </c>
      <c r="C14188" t="s">
        <v>31188</v>
      </c>
      <c r="D14188" t="s">
        <v>20</v>
      </c>
      <c r="E14188" t="s">
        <v>39</v>
      </c>
      <c r="F14188">
        <v>0</v>
      </c>
      <c r="G14188">
        <v>0</v>
      </c>
      <c r="H14188">
        <v>2</v>
      </c>
      <c r="I14188" s="3">
        <v>1269.42</v>
      </c>
      <c r="J14188" s="3">
        <v>0</v>
      </c>
      <c r="L14188">
        <v>825</v>
      </c>
      <c r="M14188" t="s">
        <v>11611</v>
      </c>
      <c r="N14188" t="s">
        <v>30</v>
      </c>
      <c r="O14188" t="s">
        <v>31</v>
      </c>
      <c r="P14188" t="str">
        <f>"15211"</f>
        <v>15211</v>
      </c>
    </row>
    <row r="14189" spans="1:16" x14ac:dyDescent="0.25">
      <c r="A14189" t="str">
        <f>"1200020L00160    00"</f>
        <v>1200020L00160    00</v>
      </c>
      <c r="B14189" t="s">
        <v>31189</v>
      </c>
      <c r="C14189" t="s">
        <v>31190</v>
      </c>
      <c r="D14189" t="s">
        <v>20</v>
      </c>
      <c r="E14189" t="s">
        <v>39</v>
      </c>
      <c r="F14189">
        <v>0</v>
      </c>
      <c r="G14189">
        <v>0</v>
      </c>
      <c r="H14189">
        <v>8</v>
      </c>
      <c r="I14189" s="3">
        <v>2503.0100000000002</v>
      </c>
      <c r="J14189" s="3">
        <v>876.01</v>
      </c>
      <c r="L14189">
        <v>1029</v>
      </c>
      <c r="M14189" t="s">
        <v>31191</v>
      </c>
      <c r="N14189" t="s">
        <v>30</v>
      </c>
      <c r="O14189" t="s">
        <v>31</v>
      </c>
      <c r="P14189" t="str">
        <f>"15220"</f>
        <v>15220</v>
      </c>
    </row>
    <row r="14190" spans="1:16" x14ac:dyDescent="0.25">
      <c r="A14190" t="str">
        <f>"1200020L00166    00"</f>
        <v>1200020L00166    00</v>
      </c>
      <c r="B14190" t="s">
        <v>23499</v>
      </c>
      <c r="C14190" t="s">
        <v>31192</v>
      </c>
      <c r="D14190" t="s">
        <v>20</v>
      </c>
      <c r="E14190" t="s">
        <v>39</v>
      </c>
      <c r="F14190">
        <v>0</v>
      </c>
      <c r="G14190">
        <v>0</v>
      </c>
      <c r="H14190">
        <v>1</v>
      </c>
      <c r="I14190" s="3">
        <v>785.29</v>
      </c>
      <c r="J14190" s="3">
        <v>0</v>
      </c>
      <c r="K14190" t="s">
        <v>23501</v>
      </c>
      <c r="M14190" t="s">
        <v>27842</v>
      </c>
      <c r="N14190" t="s">
        <v>30</v>
      </c>
      <c r="O14190" t="s">
        <v>31</v>
      </c>
      <c r="P14190" t="str">
        <f>"15211"</f>
        <v>15211</v>
      </c>
    </row>
    <row r="14191" spans="1:16" x14ac:dyDescent="0.25">
      <c r="A14191" t="str">
        <f>"1200020L00167    00"</f>
        <v>1200020L00167    00</v>
      </c>
      <c r="B14191" t="s">
        <v>31193</v>
      </c>
      <c r="C14191" t="s">
        <v>31194</v>
      </c>
      <c r="D14191" t="s">
        <v>20</v>
      </c>
      <c r="E14191" t="s">
        <v>39</v>
      </c>
      <c r="F14191">
        <v>0</v>
      </c>
      <c r="G14191">
        <v>0</v>
      </c>
      <c r="H14191">
        <v>1</v>
      </c>
      <c r="I14191" s="3">
        <v>813.87</v>
      </c>
      <c r="J14191" s="3">
        <v>0</v>
      </c>
      <c r="K14191" t="s">
        <v>31195</v>
      </c>
      <c r="L14191">
        <v>401</v>
      </c>
      <c r="M14191" t="s">
        <v>31196</v>
      </c>
      <c r="N14191" t="s">
        <v>903</v>
      </c>
      <c r="O14191" t="s">
        <v>31</v>
      </c>
      <c r="P14191" t="str">
        <f>"15136"</f>
        <v>15136</v>
      </c>
    </row>
    <row r="14192" spans="1:16" x14ac:dyDescent="0.25">
      <c r="A14192" t="str">
        <f>"1200020L00190    00"</f>
        <v>1200020L00190    00</v>
      </c>
      <c r="B14192" t="s">
        <v>31197</v>
      </c>
      <c r="C14192" t="s">
        <v>31198</v>
      </c>
      <c r="D14192" t="s">
        <v>20</v>
      </c>
      <c r="E14192" t="s">
        <v>39</v>
      </c>
      <c r="F14192">
        <v>0</v>
      </c>
      <c r="G14192">
        <v>0</v>
      </c>
      <c r="H14192">
        <v>18</v>
      </c>
      <c r="I14192" s="3">
        <v>8599.86</v>
      </c>
      <c r="J14192" s="3">
        <v>6303.99</v>
      </c>
      <c r="L14192">
        <v>1038</v>
      </c>
      <c r="M14192" t="s">
        <v>31199</v>
      </c>
      <c r="N14192" t="s">
        <v>30</v>
      </c>
      <c r="O14192" t="s">
        <v>31</v>
      </c>
      <c r="P14192" t="str">
        <f>"15220"</f>
        <v>15220</v>
      </c>
    </row>
    <row r="14193" spans="1:16" x14ac:dyDescent="0.25">
      <c r="A14193" t="str">
        <f>"1200020L00194    00"</f>
        <v>1200020L00194    00</v>
      </c>
      <c r="B14193" t="s">
        <v>31200</v>
      </c>
      <c r="C14193" t="s">
        <v>31201</v>
      </c>
      <c r="E14193" t="s">
        <v>39</v>
      </c>
      <c r="F14193">
        <v>0</v>
      </c>
      <c r="G14193">
        <v>0</v>
      </c>
      <c r="H14193">
        <v>1</v>
      </c>
      <c r="I14193" s="3">
        <v>511.49</v>
      </c>
      <c r="J14193" s="3">
        <v>600.97</v>
      </c>
      <c r="K14193" t="s">
        <v>31202</v>
      </c>
      <c r="L14193">
        <v>310</v>
      </c>
      <c r="M14193" t="s">
        <v>31203</v>
      </c>
      <c r="N14193" t="s">
        <v>4150</v>
      </c>
      <c r="O14193" t="s">
        <v>31</v>
      </c>
      <c r="P14193" t="str">
        <f>"15116"</f>
        <v>15116</v>
      </c>
    </row>
    <row r="14194" spans="1:16" x14ac:dyDescent="0.25">
      <c r="A14194" t="str">
        <f>"1200020L00207    00"</f>
        <v>1200020L00207    00</v>
      </c>
      <c r="B14194" t="s">
        <v>31204</v>
      </c>
      <c r="C14194" t="s">
        <v>31205</v>
      </c>
      <c r="D14194" t="s">
        <v>20</v>
      </c>
      <c r="E14194" t="s">
        <v>39</v>
      </c>
      <c r="F14194">
        <v>0</v>
      </c>
      <c r="G14194">
        <v>0</v>
      </c>
      <c r="H14194">
        <v>19</v>
      </c>
      <c r="I14194" s="3">
        <v>10486.53</v>
      </c>
      <c r="J14194" s="3">
        <v>13026.77</v>
      </c>
      <c r="P14194" t="str">
        <f>""</f>
        <v/>
      </c>
    </row>
    <row r="14195" spans="1:16" x14ac:dyDescent="0.25">
      <c r="A14195" t="str">
        <f>"1200020L00209    00"</f>
        <v>1200020L00209    00</v>
      </c>
      <c r="B14195" t="s">
        <v>31206</v>
      </c>
      <c r="C14195" t="s">
        <v>31207</v>
      </c>
      <c r="D14195" t="s">
        <v>20</v>
      </c>
      <c r="E14195" t="s">
        <v>39</v>
      </c>
      <c r="F14195">
        <v>0</v>
      </c>
      <c r="G14195">
        <v>0</v>
      </c>
      <c r="H14195">
        <v>1</v>
      </c>
      <c r="I14195" s="3">
        <v>175.32</v>
      </c>
      <c r="J14195" s="3">
        <v>0</v>
      </c>
      <c r="K14195" t="s">
        <v>1632</v>
      </c>
      <c r="L14195">
        <v>3001</v>
      </c>
      <c r="M14195" t="s">
        <v>330</v>
      </c>
      <c r="N14195" t="s">
        <v>331</v>
      </c>
      <c r="O14195" t="s">
        <v>108</v>
      </c>
      <c r="P14195" t="str">
        <f>"75063"</f>
        <v>75063</v>
      </c>
    </row>
    <row r="14196" spans="1:16" x14ac:dyDescent="0.25">
      <c r="A14196" t="str">
        <f>"1200020L00214    00"</f>
        <v>1200020L00214    00</v>
      </c>
      <c r="B14196" t="s">
        <v>31208</v>
      </c>
      <c r="C14196" t="s">
        <v>31209</v>
      </c>
      <c r="E14196" t="s">
        <v>39</v>
      </c>
      <c r="F14196">
        <v>0</v>
      </c>
      <c r="G14196">
        <v>0</v>
      </c>
      <c r="H14196">
        <v>1</v>
      </c>
      <c r="I14196" s="3">
        <v>48.46</v>
      </c>
      <c r="J14196" s="3">
        <v>13.33</v>
      </c>
      <c r="L14196">
        <v>512</v>
      </c>
      <c r="M14196" t="s">
        <v>30693</v>
      </c>
      <c r="N14196" t="s">
        <v>30</v>
      </c>
      <c r="O14196" t="s">
        <v>31</v>
      </c>
      <c r="P14196" t="str">
        <f>"15220"</f>
        <v>15220</v>
      </c>
    </row>
    <row r="14197" spans="1:16" x14ac:dyDescent="0.25">
      <c r="A14197" t="str">
        <f>"1200020L00219    00"</f>
        <v>1200020L00219    00</v>
      </c>
      <c r="B14197" t="s">
        <v>31210</v>
      </c>
      <c r="C14197" t="s">
        <v>31211</v>
      </c>
      <c r="D14197" t="s">
        <v>20</v>
      </c>
      <c r="E14197" t="s">
        <v>39</v>
      </c>
      <c r="F14197">
        <v>0</v>
      </c>
      <c r="G14197">
        <v>0</v>
      </c>
      <c r="H14197">
        <v>1</v>
      </c>
      <c r="I14197" s="3">
        <v>106.39</v>
      </c>
      <c r="J14197" s="3">
        <v>0</v>
      </c>
      <c r="L14197">
        <v>1014</v>
      </c>
      <c r="M14197" t="s">
        <v>31109</v>
      </c>
      <c r="N14197" t="s">
        <v>30</v>
      </c>
      <c r="O14197" t="s">
        <v>31</v>
      </c>
      <c r="P14197" t="str">
        <f>"15220"</f>
        <v>15220</v>
      </c>
    </row>
    <row r="14198" spans="1:16" x14ac:dyDescent="0.25">
      <c r="A14198" t="str">
        <f>"1200020L00221    00"</f>
        <v>1200020L00221    00</v>
      </c>
      <c r="B14198" t="s">
        <v>31212</v>
      </c>
      <c r="C14198" t="s">
        <v>31213</v>
      </c>
      <c r="D14198" t="s">
        <v>20</v>
      </c>
      <c r="E14198" t="s">
        <v>39</v>
      </c>
      <c r="F14198">
        <v>0</v>
      </c>
      <c r="G14198">
        <v>0</v>
      </c>
      <c r="H14198">
        <v>6</v>
      </c>
      <c r="I14198" s="3">
        <v>1227.8699999999999</v>
      </c>
      <c r="J14198" s="3">
        <v>297.56</v>
      </c>
      <c r="K14198" t="s">
        <v>31214</v>
      </c>
      <c r="L14198">
        <v>163</v>
      </c>
      <c r="M14198" t="s">
        <v>16347</v>
      </c>
      <c r="N14198" t="s">
        <v>30</v>
      </c>
      <c r="O14198" t="s">
        <v>31</v>
      </c>
      <c r="P14198" t="str">
        <f>"15220"</f>
        <v>15220</v>
      </c>
    </row>
    <row r="14199" spans="1:16" x14ac:dyDescent="0.25">
      <c r="A14199" t="str">
        <f>"1200020L00250    00"</f>
        <v>1200020L00250    00</v>
      </c>
      <c r="B14199" t="s">
        <v>1997</v>
      </c>
      <c r="C14199" t="s">
        <v>31215</v>
      </c>
      <c r="E14199" t="s">
        <v>39</v>
      </c>
      <c r="F14199">
        <v>0</v>
      </c>
      <c r="G14199">
        <v>0</v>
      </c>
      <c r="H14199">
        <v>14</v>
      </c>
      <c r="I14199" s="3">
        <v>11444.76</v>
      </c>
      <c r="J14199" s="3">
        <v>9323.0300000000007</v>
      </c>
      <c r="K14199" t="s">
        <v>2361</v>
      </c>
      <c r="L14199">
        <v>412</v>
      </c>
      <c r="M14199" t="s">
        <v>31216</v>
      </c>
      <c r="N14199" t="s">
        <v>30</v>
      </c>
      <c r="O14199" t="s">
        <v>31</v>
      </c>
      <c r="P14199" t="str">
        <f>"15219"</f>
        <v>15219</v>
      </c>
    </row>
    <row r="14200" spans="1:16" x14ac:dyDescent="0.25">
      <c r="A14200" t="str">
        <f>"1200020L00252    00"</f>
        <v>1200020L00252    00</v>
      </c>
      <c r="B14200" t="s">
        <v>31217</v>
      </c>
      <c r="C14200" t="s">
        <v>31218</v>
      </c>
      <c r="D14200" t="s">
        <v>20</v>
      </c>
      <c r="E14200" t="s">
        <v>39</v>
      </c>
      <c r="F14200">
        <v>0</v>
      </c>
      <c r="G14200">
        <v>0</v>
      </c>
      <c r="H14200">
        <v>18</v>
      </c>
      <c r="I14200" s="3">
        <v>14956.54</v>
      </c>
      <c r="J14200" s="3">
        <v>13545.2</v>
      </c>
      <c r="L14200">
        <v>1038</v>
      </c>
      <c r="M14200" t="s">
        <v>31088</v>
      </c>
      <c r="N14200" t="s">
        <v>30</v>
      </c>
      <c r="O14200" t="s">
        <v>31</v>
      </c>
      <c r="P14200" t="str">
        <f>"15220"</f>
        <v>15220</v>
      </c>
    </row>
    <row r="14201" spans="1:16" x14ac:dyDescent="0.25">
      <c r="A14201" t="str">
        <f>"1200020L00261    00"</f>
        <v>1200020L00261    00</v>
      </c>
      <c r="B14201" t="s">
        <v>31219</v>
      </c>
      <c r="C14201" t="s">
        <v>31220</v>
      </c>
      <c r="D14201" t="s">
        <v>20</v>
      </c>
      <c r="E14201" t="s">
        <v>39</v>
      </c>
      <c r="F14201">
        <v>0</v>
      </c>
      <c r="G14201">
        <v>0</v>
      </c>
      <c r="H14201">
        <v>4</v>
      </c>
      <c r="I14201" s="3">
        <v>1701.04</v>
      </c>
      <c r="J14201" s="3">
        <v>200.95</v>
      </c>
      <c r="L14201">
        <v>344</v>
      </c>
      <c r="M14201" t="s">
        <v>9777</v>
      </c>
      <c r="N14201" t="s">
        <v>9778</v>
      </c>
      <c r="O14201" t="s">
        <v>423</v>
      </c>
      <c r="P14201" t="str">
        <f>"07302"</f>
        <v>07302</v>
      </c>
    </row>
    <row r="14202" spans="1:16" x14ac:dyDescent="0.25">
      <c r="A14202" t="str">
        <f>"1200020L00262    00"</f>
        <v>1200020L00262    00</v>
      </c>
      <c r="B14202" t="s">
        <v>31221</v>
      </c>
      <c r="C14202" t="s">
        <v>31086</v>
      </c>
      <c r="D14202" t="s">
        <v>20</v>
      </c>
      <c r="E14202" t="s">
        <v>39</v>
      </c>
      <c r="F14202">
        <v>0</v>
      </c>
      <c r="G14202">
        <v>0</v>
      </c>
      <c r="H14202">
        <v>14</v>
      </c>
      <c r="I14202" s="3">
        <v>3166.63</v>
      </c>
      <c r="J14202" s="3">
        <v>3057.66</v>
      </c>
      <c r="L14202">
        <v>3556</v>
      </c>
      <c r="M14202" t="s">
        <v>1394</v>
      </c>
      <c r="N14202" t="s">
        <v>30</v>
      </c>
      <c r="O14202" t="s">
        <v>31</v>
      </c>
      <c r="P14202" t="str">
        <f>"15204"</f>
        <v>15204</v>
      </c>
    </row>
    <row r="14203" spans="1:16" x14ac:dyDescent="0.25">
      <c r="A14203" t="str">
        <f>"1200020L00268    00"</f>
        <v>1200020L00268    00</v>
      </c>
      <c r="B14203" t="s">
        <v>1300</v>
      </c>
      <c r="C14203" t="s">
        <v>31222</v>
      </c>
      <c r="D14203" t="s">
        <v>20</v>
      </c>
      <c r="E14203" t="s">
        <v>39</v>
      </c>
      <c r="F14203">
        <v>0</v>
      </c>
      <c r="G14203">
        <v>0</v>
      </c>
      <c r="H14203">
        <v>3</v>
      </c>
      <c r="I14203" s="3">
        <v>1177.29</v>
      </c>
      <c r="J14203" s="3">
        <v>1.4</v>
      </c>
      <c r="K14203" t="s">
        <v>31223</v>
      </c>
      <c r="L14203">
        <v>2915</v>
      </c>
      <c r="M14203" t="s">
        <v>1302</v>
      </c>
      <c r="N14203" t="s">
        <v>30</v>
      </c>
      <c r="O14203" t="s">
        <v>31</v>
      </c>
      <c r="P14203" t="str">
        <f>"15213"</f>
        <v>15213</v>
      </c>
    </row>
    <row r="14204" spans="1:16" x14ac:dyDescent="0.25">
      <c r="A14204" t="str">
        <f>"1200020L00272    00"</f>
        <v>1200020L00272    00</v>
      </c>
      <c r="B14204" t="s">
        <v>31224</v>
      </c>
      <c r="C14204" t="s">
        <v>31225</v>
      </c>
      <c r="D14204" t="s">
        <v>20</v>
      </c>
      <c r="E14204" t="s">
        <v>39</v>
      </c>
      <c r="F14204">
        <v>0</v>
      </c>
      <c r="G14204">
        <v>0</v>
      </c>
      <c r="H14204">
        <v>1</v>
      </c>
      <c r="I14204" s="3">
        <v>1368.53</v>
      </c>
      <c r="J14204" s="3">
        <v>0</v>
      </c>
      <c r="K14204" t="s">
        <v>31226</v>
      </c>
      <c r="M14204" t="s">
        <v>31227</v>
      </c>
      <c r="N14204" t="s">
        <v>31228</v>
      </c>
      <c r="O14204" t="s">
        <v>1269</v>
      </c>
      <c r="P14204" t="str">
        <f>"06066"</f>
        <v>06066</v>
      </c>
    </row>
    <row r="14205" spans="1:16" x14ac:dyDescent="0.25">
      <c r="A14205" t="str">
        <f>"1200020L00275    00"</f>
        <v>1200020L00275    00</v>
      </c>
      <c r="B14205" t="s">
        <v>31229</v>
      </c>
      <c r="C14205" t="s">
        <v>31230</v>
      </c>
      <c r="D14205" t="s">
        <v>20</v>
      </c>
      <c r="E14205" t="s">
        <v>39</v>
      </c>
      <c r="F14205">
        <v>0</v>
      </c>
      <c r="G14205">
        <v>0</v>
      </c>
      <c r="H14205">
        <v>9</v>
      </c>
      <c r="I14205" s="3">
        <v>6194.62</v>
      </c>
      <c r="J14205" s="3">
        <v>2545.37</v>
      </c>
      <c r="L14205">
        <v>227</v>
      </c>
      <c r="M14205" t="s">
        <v>31231</v>
      </c>
      <c r="N14205" t="s">
        <v>903</v>
      </c>
      <c r="O14205" t="s">
        <v>31</v>
      </c>
      <c r="P14205" t="str">
        <f>"15136"</f>
        <v>15136</v>
      </c>
    </row>
    <row r="14206" spans="1:16" x14ac:dyDescent="0.25">
      <c r="A14206" t="str">
        <f>"1200020L00285    00"</f>
        <v>1200020L00285    00</v>
      </c>
      <c r="B14206" t="s">
        <v>31232</v>
      </c>
      <c r="C14206" t="s">
        <v>31233</v>
      </c>
      <c r="D14206" t="s">
        <v>20</v>
      </c>
      <c r="E14206" t="s">
        <v>39</v>
      </c>
      <c r="F14206">
        <v>0</v>
      </c>
      <c r="G14206">
        <v>0</v>
      </c>
      <c r="H14206">
        <v>2</v>
      </c>
      <c r="I14206" s="3">
        <v>1353.28</v>
      </c>
      <c r="J14206" s="3">
        <v>0</v>
      </c>
      <c r="K14206" t="s">
        <v>31234</v>
      </c>
      <c r="L14206">
        <v>1344</v>
      </c>
      <c r="M14206" t="s">
        <v>31235</v>
      </c>
      <c r="N14206" t="s">
        <v>149</v>
      </c>
      <c r="O14206" t="s">
        <v>31</v>
      </c>
      <c r="P14206" t="str">
        <f>"15106"</f>
        <v>15106</v>
      </c>
    </row>
    <row r="14207" spans="1:16" x14ac:dyDescent="0.25">
      <c r="A14207" t="str">
        <f>"1200020L00289    00"</f>
        <v>1200020L00289    00</v>
      </c>
      <c r="B14207" t="s">
        <v>31236</v>
      </c>
      <c r="C14207" t="s">
        <v>31237</v>
      </c>
      <c r="D14207" t="s">
        <v>20</v>
      </c>
      <c r="E14207" t="s">
        <v>39</v>
      </c>
      <c r="F14207">
        <v>0</v>
      </c>
      <c r="G14207">
        <v>0</v>
      </c>
      <c r="H14207">
        <v>1</v>
      </c>
      <c r="I14207" s="3">
        <v>99.15</v>
      </c>
      <c r="J14207" s="3">
        <v>27.27</v>
      </c>
      <c r="L14207">
        <v>1661</v>
      </c>
      <c r="M14207" t="s">
        <v>30769</v>
      </c>
      <c r="N14207" t="s">
        <v>4652</v>
      </c>
      <c r="O14207" t="s">
        <v>370</v>
      </c>
      <c r="P14207" t="str">
        <f>"33145"</f>
        <v>33145</v>
      </c>
    </row>
    <row r="14208" spans="1:16" x14ac:dyDescent="0.25">
      <c r="A14208" t="str">
        <f>"1200020M00056    00"</f>
        <v>1200020M00056    00</v>
      </c>
      <c r="B14208" t="s">
        <v>31238</v>
      </c>
      <c r="C14208" t="s">
        <v>31239</v>
      </c>
      <c r="D14208" t="s">
        <v>20</v>
      </c>
      <c r="E14208" t="s">
        <v>39</v>
      </c>
      <c r="F14208">
        <v>0</v>
      </c>
      <c r="G14208">
        <v>0</v>
      </c>
      <c r="H14208">
        <v>2</v>
      </c>
      <c r="I14208" s="3">
        <v>152.47999999999999</v>
      </c>
      <c r="J14208" s="3">
        <v>0</v>
      </c>
      <c r="K14208" t="s">
        <v>31240</v>
      </c>
      <c r="L14208">
        <v>1435</v>
      </c>
      <c r="M14208" t="s">
        <v>854</v>
      </c>
      <c r="N14208" t="s">
        <v>30</v>
      </c>
      <c r="O14208" t="s">
        <v>31</v>
      </c>
      <c r="P14208" t="str">
        <f>"15219"</f>
        <v>15219</v>
      </c>
    </row>
    <row r="14209" spans="1:16" x14ac:dyDescent="0.25">
      <c r="A14209" t="str">
        <f>"1200020M00058    00"</f>
        <v>1200020M00058    00</v>
      </c>
      <c r="B14209" t="s">
        <v>31238</v>
      </c>
      <c r="C14209" t="s">
        <v>31241</v>
      </c>
      <c r="D14209" t="s">
        <v>20</v>
      </c>
      <c r="E14209" t="s">
        <v>39</v>
      </c>
      <c r="F14209">
        <v>0</v>
      </c>
      <c r="G14209">
        <v>0</v>
      </c>
      <c r="H14209">
        <v>2</v>
      </c>
      <c r="I14209" s="3">
        <v>118.2</v>
      </c>
      <c r="J14209" s="3">
        <v>0</v>
      </c>
      <c r="K14209" t="s">
        <v>31240</v>
      </c>
      <c r="L14209">
        <v>1435</v>
      </c>
      <c r="M14209" t="s">
        <v>854</v>
      </c>
      <c r="N14209" t="s">
        <v>30</v>
      </c>
      <c r="O14209" t="s">
        <v>31</v>
      </c>
      <c r="P14209" t="str">
        <f>"15219"</f>
        <v>15219</v>
      </c>
    </row>
    <row r="14210" spans="1:16" x14ac:dyDescent="0.25">
      <c r="A14210" t="str">
        <f>"1200020M00059    00"</f>
        <v>1200020M00059    00</v>
      </c>
      <c r="B14210" t="s">
        <v>31238</v>
      </c>
      <c r="C14210" t="s">
        <v>31242</v>
      </c>
      <c r="E14210" t="s">
        <v>39</v>
      </c>
      <c r="F14210">
        <v>0</v>
      </c>
      <c r="G14210">
        <v>0</v>
      </c>
      <c r="H14210">
        <v>1</v>
      </c>
      <c r="I14210" s="3">
        <v>278.27999999999997</v>
      </c>
      <c r="J14210" s="3">
        <v>55.66</v>
      </c>
      <c r="K14210" t="s">
        <v>31240</v>
      </c>
      <c r="L14210">
        <v>1435</v>
      </c>
      <c r="M14210" t="s">
        <v>854</v>
      </c>
      <c r="N14210" t="s">
        <v>30</v>
      </c>
      <c r="O14210" t="s">
        <v>31</v>
      </c>
      <c r="P14210" t="str">
        <f>"15219"</f>
        <v>15219</v>
      </c>
    </row>
    <row r="14211" spans="1:16" x14ac:dyDescent="0.25">
      <c r="A14211" t="str">
        <f>"1200020M00060    00"</f>
        <v>1200020M00060    00</v>
      </c>
      <c r="B14211" t="s">
        <v>31238</v>
      </c>
      <c r="C14211" t="s">
        <v>31243</v>
      </c>
      <c r="D14211" t="s">
        <v>20</v>
      </c>
      <c r="E14211" t="s">
        <v>39</v>
      </c>
      <c r="F14211">
        <v>0</v>
      </c>
      <c r="G14211">
        <v>0</v>
      </c>
      <c r="H14211">
        <v>2</v>
      </c>
      <c r="I14211" s="3">
        <v>118.2</v>
      </c>
      <c r="J14211" s="3">
        <v>0</v>
      </c>
      <c r="K14211" t="s">
        <v>31240</v>
      </c>
      <c r="L14211">
        <v>1435</v>
      </c>
      <c r="M14211" t="s">
        <v>854</v>
      </c>
      <c r="N14211" t="s">
        <v>30</v>
      </c>
      <c r="O14211" t="s">
        <v>31</v>
      </c>
      <c r="P14211" t="str">
        <f>"15219"</f>
        <v>15219</v>
      </c>
    </row>
    <row r="14212" spans="1:16" x14ac:dyDescent="0.25">
      <c r="A14212" t="str">
        <f>"1200020M00062    00"</f>
        <v>1200020M00062    00</v>
      </c>
      <c r="B14212" t="s">
        <v>31238</v>
      </c>
      <c r="C14212" t="s">
        <v>31244</v>
      </c>
      <c r="D14212" t="s">
        <v>20</v>
      </c>
      <c r="E14212" t="s">
        <v>39</v>
      </c>
      <c r="F14212">
        <v>0</v>
      </c>
      <c r="G14212">
        <v>0</v>
      </c>
      <c r="H14212">
        <v>2</v>
      </c>
      <c r="I14212" s="3">
        <v>167.72</v>
      </c>
      <c r="J14212" s="3">
        <v>0</v>
      </c>
      <c r="K14212" t="s">
        <v>31240</v>
      </c>
      <c r="L14212">
        <v>1435</v>
      </c>
      <c r="M14212" t="s">
        <v>854</v>
      </c>
      <c r="N14212" t="s">
        <v>30</v>
      </c>
      <c r="O14212" t="s">
        <v>31</v>
      </c>
      <c r="P14212" t="str">
        <f>"15219"</f>
        <v>15219</v>
      </c>
    </row>
    <row r="14213" spans="1:16" x14ac:dyDescent="0.25">
      <c r="A14213" t="str">
        <f>"1200020M00089    00"</f>
        <v>1200020M00089    00</v>
      </c>
      <c r="B14213" t="s">
        <v>31245</v>
      </c>
      <c r="C14213" t="s">
        <v>31246</v>
      </c>
      <c r="E14213" t="s">
        <v>39</v>
      </c>
      <c r="F14213">
        <v>0</v>
      </c>
      <c r="G14213">
        <v>0</v>
      </c>
      <c r="H14213">
        <v>1</v>
      </c>
      <c r="I14213" s="3">
        <v>340.91</v>
      </c>
      <c r="J14213" s="3">
        <v>93.76</v>
      </c>
      <c r="K14213" t="s">
        <v>31247</v>
      </c>
      <c r="L14213">
        <v>700</v>
      </c>
      <c r="M14213" t="s">
        <v>31248</v>
      </c>
      <c r="N14213" t="s">
        <v>30</v>
      </c>
      <c r="O14213" t="s">
        <v>31</v>
      </c>
      <c r="P14213" t="str">
        <f>"15220"</f>
        <v>15220</v>
      </c>
    </row>
    <row r="14214" spans="1:16" x14ac:dyDescent="0.25">
      <c r="A14214" t="str">
        <f>"1200020M00094    00"</f>
        <v>1200020M00094    00</v>
      </c>
      <c r="B14214" t="s">
        <v>31249</v>
      </c>
      <c r="C14214" t="s">
        <v>31250</v>
      </c>
      <c r="D14214" t="s">
        <v>20</v>
      </c>
      <c r="E14214" t="s">
        <v>39</v>
      </c>
      <c r="F14214">
        <v>0</v>
      </c>
      <c r="G14214">
        <v>0</v>
      </c>
      <c r="H14214">
        <v>5</v>
      </c>
      <c r="I14214" s="3">
        <v>1920.02</v>
      </c>
      <c r="J14214" s="3">
        <v>251.91</v>
      </c>
      <c r="L14214">
        <v>804</v>
      </c>
      <c r="M14214" t="s">
        <v>31182</v>
      </c>
      <c r="N14214" t="s">
        <v>30</v>
      </c>
      <c r="O14214" t="s">
        <v>31</v>
      </c>
      <c r="P14214" t="str">
        <f>"15220"</f>
        <v>15220</v>
      </c>
    </row>
    <row r="14215" spans="1:16" x14ac:dyDescent="0.25">
      <c r="A14215" t="str">
        <f>"1200020M00100    00"</f>
        <v>1200020M00100    00</v>
      </c>
      <c r="B14215" t="s">
        <v>31251</v>
      </c>
      <c r="C14215" t="s">
        <v>31252</v>
      </c>
      <c r="E14215" t="s">
        <v>39</v>
      </c>
      <c r="F14215">
        <v>0</v>
      </c>
      <c r="G14215">
        <v>0</v>
      </c>
      <c r="H14215">
        <v>1</v>
      </c>
      <c r="I14215" s="3">
        <v>517.72</v>
      </c>
      <c r="J14215" s="3">
        <v>0</v>
      </c>
      <c r="L14215">
        <v>303</v>
      </c>
      <c r="M14215" t="s">
        <v>31248</v>
      </c>
      <c r="N14215" t="s">
        <v>30</v>
      </c>
      <c r="O14215" t="s">
        <v>31</v>
      </c>
      <c r="P14215" t="str">
        <f>"15220"</f>
        <v>15220</v>
      </c>
    </row>
    <row r="14216" spans="1:16" x14ac:dyDescent="0.25">
      <c r="A14216" t="str">
        <f>"1200020M00110    00"</f>
        <v>1200020M00110    00</v>
      </c>
      <c r="B14216" t="s">
        <v>31253</v>
      </c>
      <c r="C14216" t="s">
        <v>31254</v>
      </c>
      <c r="D14216" t="s">
        <v>20</v>
      </c>
      <c r="E14216" t="s">
        <v>39</v>
      </c>
      <c r="F14216">
        <v>0</v>
      </c>
      <c r="G14216">
        <v>0</v>
      </c>
      <c r="H14216">
        <v>2</v>
      </c>
      <c r="I14216" s="3">
        <v>847.92</v>
      </c>
      <c r="J14216" s="3">
        <v>3.9</v>
      </c>
      <c r="K14216" t="s">
        <v>31255</v>
      </c>
      <c r="L14216">
        <v>616</v>
      </c>
      <c r="M14216" t="s">
        <v>31256</v>
      </c>
      <c r="N14216" t="s">
        <v>30</v>
      </c>
      <c r="O14216" t="s">
        <v>31</v>
      </c>
      <c r="P14216" t="str">
        <f>"15220"</f>
        <v>15220</v>
      </c>
    </row>
    <row r="14217" spans="1:16" x14ac:dyDescent="0.25">
      <c r="A14217" t="str">
        <f>"1200020M00147    00"</f>
        <v>1200020M00147    00</v>
      </c>
      <c r="B14217" t="s">
        <v>31236</v>
      </c>
      <c r="C14217" t="s">
        <v>31257</v>
      </c>
      <c r="D14217" t="s">
        <v>20</v>
      </c>
      <c r="E14217" t="s">
        <v>39</v>
      </c>
      <c r="F14217">
        <v>0</v>
      </c>
      <c r="G14217">
        <v>0</v>
      </c>
      <c r="H14217">
        <v>1</v>
      </c>
      <c r="I14217" s="3">
        <v>50.77</v>
      </c>
      <c r="J14217" s="3">
        <v>13.96</v>
      </c>
      <c r="L14217">
        <v>1661</v>
      </c>
      <c r="M14217" t="s">
        <v>30769</v>
      </c>
      <c r="N14217" t="s">
        <v>4652</v>
      </c>
      <c r="O14217" t="s">
        <v>370</v>
      </c>
      <c r="P14217" t="str">
        <f>"33145"</f>
        <v>33145</v>
      </c>
    </row>
    <row r="14218" spans="1:16" x14ac:dyDescent="0.25">
      <c r="A14218" t="str">
        <f>"1200020M00154    00"</f>
        <v>1200020M00154    00</v>
      </c>
      <c r="B14218" t="s">
        <v>31258</v>
      </c>
      <c r="C14218" t="s">
        <v>31259</v>
      </c>
      <c r="D14218" t="s">
        <v>20</v>
      </c>
      <c r="E14218" t="s">
        <v>39</v>
      </c>
      <c r="F14218">
        <v>0</v>
      </c>
      <c r="G14218">
        <v>0</v>
      </c>
      <c r="H14218">
        <v>1</v>
      </c>
      <c r="I14218" s="3">
        <v>43.2</v>
      </c>
      <c r="J14218" s="3">
        <v>11.88</v>
      </c>
      <c r="K14218" t="s">
        <v>31260</v>
      </c>
      <c r="L14218">
        <v>1661</v>
      </c>
      <c r="M14218" t="s">
        <v>30769</v>
      </c>
      <c r="N14218" t="s">
        <v>4652</v>
      </c>
      <c r="O14218" t="s">
        <v>370</v>
      </c>
      <c r="P14218" t="str">
        <f>"33145"</f>
        <v>33145</v>
      </c>
    </row>
    <row r="14219" spans="1:16" x14ac:dyDescent="0.25">
      <c r="A14219" t="str">
        <f>"1200020M00170    00"</f>
        <v>1200020M00170    00</v>
      </c>
      <c r="B14219" t="s">
        <v>31261</v>
      </c>
      <c r="C14219" t="s">
        <v>31262</v>
      </c>
      <c r="E14219" t="s">
        <v>39</v>
      </c>
      <c r="F14219">
        <v>0</v>
      </c>
      <c r="G14219">
        <v>0</v>
      </c>
      <c r="H14219">
        <v>1</v>
      </c>
      <c r="I14219" s="3">
        <v>579.29</v>
      </c>
      <c r="J14219" s="3">
        <v>284.81</v>
      </c>
      <c r="L14219">
        <v>221</v>
      </c>
      <c r="M14219" t="s">
        <v>30693</v>
      </c>
      <c r="N14219" t="s">
        <v>30</v>
      </c>
      <c r="O14219" t="s">
        <v>31</v>
      </c>
      <c r="P14219" t="str">
        <f>"15220"</f>
        <v>15220</v>
      </c>
    </row>
    <row r="14220" spans="1:16" x14ac:dyDescent="0.25">
      <c r="A14220" t="str">
        <f>"1200020M00194    00"</f>
        <v>1200020M00194    00</v>
      </c>
      <c r="B14220" t="s">
        <v>23499</v>
      </c>
      <c r="C14220" t="s">
        <v>31263</v>
      </c>
      <c r="D14220" t="s">
        <v>20</v>
      </c>
      <c r="E14220" t="s">
        <v>39</v>
      </c>
      <c r="F14220">
        <v>0</v>
      </c>
      <c r="G14220">
        <v>0</v>
      </c>
      <c r="H14220">
        <v>2</v>
      </c>
      <c r="I14220" s="3">
        <v>1097.8599999999999</v>
      </c>
      <c r="J14220" s="3">
        <v>0</v>
      </c>
      <c r="L14220">
        <v>825</v>
      </c>
      <c r="M14220" t="s">
        <v>11611</v>
      </c>
      <c r="N14220" t="s">
        <v>30</v>
      </c>
      <c r="O14220" t="s">
        <v>31</v>
      </c>
      <c r="P14220" t="str">
        <f>"15211"</f>
        <v>15211</v>
      </c>
    </row>
    <row r="14221" spans="1:16" x14ac:dyDescent="0.25">
      <c r="A14221" t="str">
        <f>"1200020M00195    00"</f>
        <v>1200020M00195    00</v>
      </c>
      <c r="B14221" t="s">
        <v>1997</v>
      </c>
      <c r="C14221" t="s">
        <v>31264</v>
      </c>
      <c r="E14221" t="s">
        <v>39</v>
      </c>
      <c r="F14221">
        <v>0</v>
      </c>
      <c r="G14221">
        <v>0</v>
      </c>
      <c r="H14221">
        <v>17</v>
      </c>
      <c r="I14221" s="3">
        <v>18103.900000000001</v>
      </c>
      <c r="J14221" s="3">
        <v>19471.580000000002</v>
      </c>
      <c r="L14221">
        <v>412</v>
      </c>
      <c r="M14221" t="s">
        <v>221</v>
      </c>
      <c r="N14221" t="s">
        <v>30</v>
      </c>
      <c r="O14221" t="s">
        <v>31</v>
      </c>
      <c r="P14221" t="str">
        <f>"15219"</f>
        <v>15219</v>
      </c>
    </row>
    <row r="14222" spans="1:16" x14ac:dyDescent="0.25">
      <c r="A14222" t="str">
        <f>"1200020M00200    00"</f>
        <v>1200020M00200    00</v>
      </c>
      <c r="B14222" t="s">
        <v>31185</v>
      </c>
      <c r="C14222" t="s">
        <v>31265</v>
      </c>
      <c r="D14222" t="s">
        <v>20</v>
      </c>
      <c r="E14222" t="s">
        <v>39</v>
      </c>
      <c r="F14222">
        <v>0</v>
      </c>
      <c r="G14222">
        <v>0</v>
      </c>
      <c r="H14222">
        <v>2</v>
      </c>
      <c r="I14222" s="3">
        <v>838.64</v>
      </c>
      <c r="J14222" s="3">
        <v>0</v>
      </c>
      <c r="L14222">
        <v>825</v>
      </c>
      <c r="M14222" t="s">
        <v>11611</v>
      </c>
      <c r="N14222" t="s">
        <v>30</v>
      </c>
      <c r="O14222" t="s">
        <v>31</v>
      </c>
      <c r="P14222" t="str">
        <f>"15211"</f>
        <v>15211</v>
      </c>
    </row>
    <row r="14223" spans="1:16" x14ac:dyDescent="0.25">
      <c r="A14223" t="str">
        <f>"1200020M00202    00"</f>
        <v>1200020M00202    00</v>
      </c>
      <c r="B14223" t="s">
        <v>22139</v>
      </c>
      <c r="C14223" t="s">
        <v>31266</v>
      </c>
      <c r="D14223" t="s">
        <v>20</v>
      </c>
      <c r="E14223" t="s">
        <v>39</v>
      </c>
      <c r="F14223">
        <v>0</v>
      </c>
      <c r="G14223">
        <v>0</v>
      </c>
      <c r="H14223">
        <v>1</v>
      </c>
      <c r="I14223" s="3">
        <v>57.27</v>
      </c>
      <c r="J14223" s="3">
        <v>0</v>
      </c>
      <c r="K14223" t="s">
        <v>31267</v>
      </c>
      <c r="L14223">
        <v>154</v>
      </c>
      <c r="M14223" t="s">
        <v>22141</v>
      </c>
      <c r="N14223" t="s">
        <v>30</v>
      </c>
      <c r="O14223" t="s">
        <v>31</v>
      </c>
      <c r="P14223" t="str">
        <f>"15236"</f>
        <v>15236</v>
      </c>
    </row>
    <row r="14224" spans="1:16" x14ac:dyDescent="0.25">
      <c r="A14224" t="str">
        <f>"1200020M00203    00"</f>
        <v>1200020M00203    00</v>
      </c>
      <c r="B14224" t="s">
        <v>1997</v>
      </c>
      <c r="C14224" t="s">
        <v>31268</v>
      </c>
      <c r="E14224" t="s">
        <v>39</v>
      </c>
      <c r="F14224">
        <v>0</v>
      </c>
      <c r="G14224">
        <v>0</v>
      </c>
      <c r="H14224">
        <v>14</v>
      </c>
      <c r="I14224" s="3">
        <v>4554.46</v>
      </c>
      <c r="J14224" s="3">
        <v>3260.25</v>
      </c>
      <c r="K14224" t="s">
        <v>2361</v>
      </c>
      <c r="L14224">
        <v>412</v>
      </c>
      <c r="M14224" t="s">
        <v>221</v>
      </c>
      <c r="N14224" t="s">
        <v>30</v>
      </c>
      <c r="O14224" t="s">
        <v>31</v>
      </c>
      <c r="P14224" t="str">
        <f>"15219"</f>
        <v>15219</v>
      </c>
    </row>
    <row r="14225" spans="1:16" x14ac:dyDescent="0.25">
      <c r="A14225" t="str">
        <f>"1200020M00212    00"</f>
        <v>1200020M00212    00</v>
      </c>
      <c r="B14225" t="s">
        <v>31269</v>
      </c>
      <c r="C14225" t="s">
        <v>31270</v>
      </c>
      <c r="E14225" t="s">
        <v>39</v>
      </c>
      <c r="F14225">
        <v>0</v>
      </c>
      <c r="G14225">
        <v>0</v>
      </c>
      <c r="H14225">
        <v>1</v>
      </c>
      <c r="I14225" s="3">
        <v>492.47</v>
      </c>
      <c r="J14225" s="3">
        <v>295.47000000000003</v>
      </c>
      <c r="L14225">
        <v>1021</v>
      </c>
      <c r="M14225" t="s">
        <v>31182</v>
      </c>
      <c r="N14225" t="s">
        <v>30</v>
      </c>
      <c r="O14225" t="s">
        <v>31</v>
      </c>
      <c r="P14225" t="str">
        <f>"15220"</f>
        <v>15220</v>
      </c>
    </row>
    <row r="14226" spans="1:16" x14ac:dyDescent="0.25">
      <c r="A14226" t="str">
        <f>"1200020M00219    00"</f>
        <v>1200020M00219    00</v>
      </c>
      <c r="B14226" t="s">
        <v>31271</v>
      </c>
      <c r="C14226" t="s">
        <v>31272</v>
      </c>
      <c r="D14226" t="s">
        <v>20</v>
      </c>
      <c r="E14226" t="s">
        <v>39</v>
      </c>
      <c r="F14226">
        <v>0</v>
      </c>
      <c r="G14226">
        <v>0</v>
      </c>
      <c r="H14226">
        <v>1</v>
      </c>
      <c r="I14226" s="3">
        <v>320.23</v>
      </c>
      <c r="J14226" s="3">
        <v>0</v>
      </c>
      <c r="L14226">
        <v>109</v>
      </c>
      <c r="M14226" t="s">
        <v>30701</v>
      </c>
      <c r="N14226" t="s">
        <v>30</v>
      </c>
      <c r="O14226" t="s">
        <v>31</v>
      </c>
      <c r="P14226" t="str">
        <f>"15220"</f>
        <v>15220</v>
      </c>
    </row>
    <row r="14227" spans="1:16" x14ac:dyDescent="0.25">
      <c r="A14227" t="str">
        <f>"1200020M00228    00"</f>
        <v>1200020M00228    00</v>
      </c>
      <c r="B14227" t="s">
        <v>1997</v>
      </c>
      <c r="C14227" t="s">
        <v>31273</v>
      </c>
      <c r="D14227" t="s">
        <v>20</v>
      </c>
      <c r="E14227" t="s">
        <v>39</v>
      </c>
      <c r="F14227">
        <v>0</v>
      </c>
      <c r="G14227">
        <v>0</v>
      </c>
      <c r="H14227">
        <v>17</v>
      </c>
      <c r="I14227" s="3">
        <v>13779.85</v>
      </c>
      <c r="J14227" s="3">
        <v>11321.77</v>
      </c>
      <c r="K14227" t="s">
        <v>2361</v>
      </c>
      <c r="L14227">
        <v>412</v>
      </c>
      <c r="M14227" t="s">
        <v>221</v>
      </c>
      <c r="N14227" t="s">
        <v>30</v>
      </c>
      <c r="O14227" t="s">
        <v>31</v>
      </c>
      <c r="P14227" t="str">
        <f>"15219"</f>
        <v>15219</v>
      </c>
    </row>
    <row r="14228" spans="1:16" x14ac:dyDescent="0.25">
      <c r="A14228" t="str">
        <f>"1200020N00167    00"</f>
        <v>1200020N00167    00</v>
      </c>
      <c r="B14228" t="s">
        <v>31274</v>
      </c>
      <c r="C14228" t="s">
        <v>31275</v>
      </c>
      <c r="D14228" t="s">
        <v>20</v>
      </c>
      <c r="E14228" t="s">
        <v>39</v>
      </c>
      <c r="F14228">
        <v>0</v>
      </c>
      <c r="G14228">
        <v>0</v>
      </c>
      <c r="H14228">
        <v>16</v>
      </c>
      <c r="I14228" s="3">
        <v>7081.1</v>
      </c>
      <c r="J14228" s="3">
        <v>4482.45</v>
      </c>
      <c r="L14228">
        <v>1502</v>
      </c>
      <c r="M14228" t="s">
        <v>31276</v>
      </c>
      <c r="N14228" t="s">
        <v>903</v>
      </c>
      <c r="O14228" t="s">
        <v>31</v>
      </c>
      <c r="P14228" t="str">
        <f>"15136"</f>
        <v>15136</v>
      </c>
    </row>
    <row r="14229" spans="1:16" x14ac:dyDescent="0.25">
      <c r="A14229" t="str">
        <f>"1200020N00168    00"</f>
        <v>1200020N00168    00</v>
      </c>
      <c r="B14229" t="s">
        <v>31277</v>
      </c>
      <c r="C14229" t="s">
        <v>31278</v>
      </c>
      <c r="E14229" t="s">
        <v>39</v>
      </c>
      <c r="F14229">
        <v>0</v>
      </c>
      <c r="G14229">
        <v>0</v>
      </c>
      <c r="H14229">
        <v>1</v>
      </c>
      <c r="I14229" s="3">
        <v>64.58</v>
      </c>
      <c r="J14229" s="3">
        <v>0</v>
      </c>
      <c r="L14229">
        <v>206</v>
      </c>
      <c r="M14229" t="s">
        <v>31279</v>
      </c>
      <c r="N14229" t="s">
        <v>541</v>
      </c>
      <c r="O14229" t="s">
        <v>31</v>
      </c>
      <c r="P14229" t="str">
        <f>"15071"</f>
        <v>15071</v>
      </c>
    </row>
    <row r="14230" spans="1:16" x14ac:dyDescent="0.25">
      <c r="A14230" t="str">
        <f>"1200020P00025    00"</f>
        <v>1200020P00025    00</v>
      </c>
      <c r="B14230" t="s">
        <v>31280</v>
      </c>
      <c r="C14230" t="s">
        <v>31278</v>
      </c>
      <c r="D14230" t="s">
        <v>20</v>
      </c>
      <c r="E14230" t="s">
        <v>39</v>
      </c>
      <c r="F14230">
        <v>0</v>
      </c>
      <c r="G14230">
        <v>0</v>
      </c>
      <c r="H14230">
        <v>2</v>
      </c>
      <c r="I14230" s="3">
        <v>63.54</v>
      </c>
      <c r="J14230" s="3">
        <v>0</v>
      </c>
      <c r="L14230">
        <v>1135</v>
      </c>
      <c r="M14230" t="s">
        <v>31281</v>
      </c>
      <c r="N14230" t="s">
        <v>30</v>
      </c>
      <c r="O14230" t="s">
        <v>31</v>
      </c>
      <c r="P14230" t="str">
        <f t="shared" ref="P14230:P14235" si="180">"15220"</f>
        <v>15220</v>
      </c>
    </row>
    <row r="14231" spans="1:16" x14ac:dyDescent="0.25">
      <c r="A14231" t="str">
        <f>"1200020P00026    00"</f>
        <v>1200020P00026    00</v>
      </c>
      <c r="B14231" t="s">
        <v>31282</v>
      </c>
      <c r="C14231" t="s">
        <v>31283</v>
      </c>
      <c r="D14231" t="s">
        <v>20</v>
      </c>
      <c r="E14231" t="s">
        <v>39</v>
      </c>
      <c r="F14231">
        <v>0</v>
      </c>
      <c r="G14231">
        <v>0</v>
      </c>
      <c r="H14231">
        <v>11</v>
      </c>
      <c r="I14231" s="3">
        <v>8934.7099999999991</v>
      </c>
      <c r="J14231" s="3">
        <v>4264.25</v>
      </c>
      <c r="L14231">
        <v>1015</v>
      </c>
      <c r="M14231" t="s">
        <v>31284</v>
      </c>
      <c r="N14231" t="s">
        <v>30</v>
      </c>
      <c r="O14231" t="s">
        <v>31</v>
      </c>
      <c r="P14231" t="str">
        <f t="shared" si="180"/>
        <v>15220</v>
      </c>
    </row>
    <row r="14232" spans="1:16" x14ac:dyDescent="0.25">
      <c r="A14232" t="str">
        <f>"1200020P00036    00"</f>
        <v>1200020P00036    00</v>
      </c>
      <c r="B14232" t="s">
        <v>31285</v>
      </c>
      <c r="C14232" t="s">
        <v>31286</v>
      </c>
      <c r="E14232" t="s">
        <v>39</v>
      </c>
      <c r="F14232">
        <v>0</v>
      </c>
      <c r="G14232">
        <v>0</v>
      </c>
      <c r="H14232">
        <v>1</v>
      </c>
      <c r="I14232" s="3">
        <v>12.34</v>
      </c>
      <c r="J14232" s="3">
        <v>16.97</v>
      </c>
      <c r="L14232">
        <v>1006</v>
      </c>
      <c r="M14232" t="s">
        <v>31284</v>
      </c>
      <c r="N14232" t="s">
        <v>30</v>
      </c>
      <c r="O14232" t="s">
        <v>31</v>
      </c>
      <c r="P14232" t="str">
        <f t="shared" si="180"/>
        <v>15220</v>
      </c>
    </row>
    <row r="14233" spans="1:16" x14ac:dyDescent="0.25">
      <c r="A14233" t="str">
        <f>"1200020P00037    00"</f>
        <v>1200020P00037    00</v>
      </c>
      <c r="B14233" t="s">
        <v>31287</v>
      </c>
      <c r="C14233" t="s">
        <v>31288</v>
      </c>
      <c r="D14233" t="s">
        <v>20</v>
      </c>
      <c r="E14233" t="s">
        <v>39</v>
      </c>
      <c r="F14233">
        <v>0</v>
      </c>
      <c r="G14233">
        <v>0</v>
      </c>
      <c r="H14233">
        <v>7</v>
      </c>
      <c r="I14233" s="3">
        <v>3246.09</v>
      </c>
      <c r="J14233" s="3">
        <v>945.74</v>
      </c>
      <c r="L14233">
        <v>1004</v>
      </c>
      <c r="M14233" t="s">
        <v>31284</v>
      </c>
      <c r="N14233" t="s">
        <v>30</v>
      </c>
      <c r="O14233" t="s">
        <v>31</v>
      </c>
      <c r="P14233" t="str">
        <f t="shared" si="180"/>
        <v>15220</v>
      </c>
    </row>
    <row r="14234" spans="1:16" x14ac:dyDescent="0.25">
      <c r="A14234" t="str">
        <f>"1200020P00040    00"</f>
        <v>1200020P00040    00</v>
      </c>
      <c r="B14234" t="s">
        <v>31287</v>
      </c>
      <c r="C14234" t="s">
        <v>31278</v>
      </c>
      <c r="D14234" t="s">
        <v>20</v>
      </c>
      <c r="E14234" t="s">
        <v>39</v>
      </c>
      <c r="F14234">
        <v>0</v>
      </c>
      <c r="G14234">
        <v>0</v>
      </c>
      <c r="H14234">
        <v>7</v>
      </c>
      <c r="I14234" s="3">
        <v>1892.31</v>
      </c>
      <c r="J14234" s="3">
        <v>523.28</v>
      </c>
      <c r="L14234">
        <v>1004</v>
      </c>
      <c r="M14234" t="s">
        <v>31284</v>
      </c>
      <c r="N14234" t="s">
        <v>30</v>
      </c>
      <c r="O14234" t="s">
        <v>31</v>
      </c>
      <c r="P14234" t="str">
        <f t="shared" si="180"/>
        <v>15220</v>
      </c>
    </row>
    <row r="14235" spans="1:16" x14ac:dyDescent="0.25">
      <c r="A14235" t="str">
        <f>"1200020P00056    00"</f>
        <v>1200020P00056    00</v>
      </c>
      <c r="B14235" t="s">
        <v>31289</v>
      </c>
      <c r="C14235" t="s">
        <v>31290</v>
      </c>
      <c r="D14235" t="s">
        <v>20</v>
      </c>
      <c r="E14235" t="s">
        <v>39</v>
      </c>
      <c r="F14235">
        <v>0</v>
      </c>
      <c r="G14235">
        <v>0</v>
      </c>
      <c r="H14235">
        <v>4</v>
      </c>
      <c r="I14235" s="3">
        <v>709.12</v>
      </c>
      <c r="J14235" s="3">
        <v>104.48</v>
      </c>
      <c r="L14235">
        <v>951</v>
      </c>
      <c r="M14235" t="s">
        <v>31291</v>
      </c>
      <c r="N14235" t="s">
        <v>30</v>
      </c>
      <c r="O14235" t="s">
        <v>31</v>
      </c>
      <c r="P14235" t="str">
        <f t="shared" si="180"/>
        <v>15220</v>
      </c>
    </row>
    <row r="14236" spans="1:16" x14ac:dyDescent="0.25">
      <c r="A14236" t="str">
        <f>"1200020P00059    00"</f>
        <v>1200020P00059    00</v>
      </c>
      <c r="B14236" t="s">
        <v>31292</v>
      </c>
      <c r="C14236" t="s">
        <v>31293</v>
      </c>
      <c r="D14236" t="s">
        <v>20</v>
      </c>
      <c r="E14236" t="s">
        <v>39</v>
      </c>
      <c r="F14236">
        <v>0</v>
      </c>
      <c r="G14236">
        <v>0</v>
      </c>
      <c r="H14236">
        <v>18</v>
      </c>
      <c r="I14236" s="3">
        <v>15261.85</v>
      </c>
      <c r="J14236" s="3">
        <v>13295.68</v>
      </c>
      <c r="L14236">
        <v>2701</v>
      </c>
      <c r="M14236" t="s">
        <v>31294</v>
      </c>
      <c r="N14236" t="s">
        <v>31295</v>
      </c>
      <c r="O14236" t="s">
        <v>31</v>
      </c>
      <c r="P14236" t="str">
        <f>"19440"</f>
        <v>19440</v>
      </c>
    </row>
    <row r="14237" spans="1:16" x14ac:dyDescent="0.25">
      <c r="A14237" t="str">
        <f>"1200020P00065    00"</f>
        <v>1200020P00065    00</v>
      </c>
      <c r="B14237" t="s">
        <v>31296</v>
      </c>
      <c r="C14237" t="s">
        <v>31297</v>
      </c>
      <c r="D14237" t="s">
        <v>20</v>
      </c>
      <c r="E14237" t="s">
        <v>39</v>
      </c>
      <c r="F14237">
        <v>0</v>
      </c>
      <c r="G14237">
        <v>0</v>
      </c>
      <c r="H14237">
        <v>13</v>
      </c>
      <c r="I14237" s="3">
        <v>7534.42</v>
      </c>
      <c r="J14237" s="3">
        <v>4296.96</v>
      </c>
      <c r="L14237">
        <v>1018</v>
      </c>
      <c r="M14237" t="s">
        <v>24940</v>
      </c>
      <c r="N14237" t="s">
        <v>30</v>
      </c>
      <c r="O14237" t="s">
        <v>31</v>
      </c>
      <c r="P14237" t="str">
        <f>"15220"</f>
        <v>15220</v>
      </c>
    </row>
    <row r="14238" spans="1:16" x14ac:dyDescent="0.25">
      <c r="A14238" t="str">
        <f>"1200020P00084    00"</f>
        <v>1200020P00084    00</v>
      </c>
      <c r="B14238" t="s">
        <v>31298</v>
      </c>
      <c r="C14238" t="s">
        <v>31299</v>
      </c>
      <c r="D14238" t="s">
        <v>20</v>
      </c>
      <c r="E14238" t="s">
        <v>39</v>
      </c>
      <c r="F14238">
        <v>0</v>
      </c>
      <c r="G14238">
        <v>0</v>
      </c>
      <c r="H14238">
        <v>19</v>
      </c>
      <c r="I14238" s="3">
        <v>11907.63</v>
      </c>
      <c r="J14238" s="3">
        <v>16518.75</v>
      </c>
      <c r="L14238">
        <v>1017</v>
      </c>
      <c r="M14238" t="s">
        <v>30729</v>
      </c>
      <c r="N14238" t="s">
        <v>30</v>
      </c>
      <c r="O14238" t="s">
        <v>31</v>
      </c>
      <c r="P14238" t="str">
        <f>"15220"</f>
        <v>15220</v>
      </c>
    </row>
    <row r="14239" spans="1:16" x14ac:dyDescent="0.25">
      <c r="A14239" t="str">
        <f>"1200020P00160    00"</f>
        <v>1200020P00160    00</v>
      </c>
      <c r="B14239" t="s">
        <v>31300</v>
      </c>
      <c r="C14239" t="s">
        <v>31301</v>
      </c>
      <c r="D14239" t="s">
        <v>20</v>
      </c>
      <c r="E14239" t="s">
        <v>39</v>
      </c>
      <c r="F14239">
        <v>0</v>
      </c>
      <c r="G14239">
        <v>0</v>
      </c>
      <c r="H14239">
        <v>8</v>
      </c>
      <c r="I14239" s="3">
        <v>3529.75</v>
      </c>
      <c r="J14239" s="3">
        <v>1141.1300000000001</v>
      </c>
      <c r="L14239">
        <v>149</v>
      </c>
      <c r="M14239" t="s">
        <v>31302</v>
      </c>
      <c r="N14239" t="s">
        <v>149</v>
      </c>
      <c r="O14239" t="s">
        <v>31</v>
      </c>
      <c r="P14239" t="str">
        <f>"15106"</f>
        <v>15106</v>
      </c>
    </row>
    <row r="14240" spans="1:16" x14ac:dyDescent="0.25">
      <c r="A14240" t="str">
        <f>"1200020P00162    00"</f>
        <v>1200020P00162    00</v>
      </c>
      <c r="B14240" t="s">
        <v>31303</v>
      </c>
      <c r="C14240" t="s">
        <v>31304</v>
      </c>
      <c r="D14240" t="s">
        <v>20</v>
      </c>
      <c r="E14240" t="s">
        <v>39</v>
      </c>
      <c r="F14240">
        <v>0</v>
      </c>
      <c r="G14240">
        <v>0</v>
      </c>
      <c r="H14240">
        <v>17</v>
      </c>
      <c r="I14240" s="3">
        <v>8581.65</v>
      </c>
      <c r="J14240" s="3">
        <v>8849.93</v>
      </c>
      <c r="K14240" t="s">
        <v>31305</v>
      </c>
      <c r="L14240">
        <v>2440</v>
      </c>
      <c r="M14240" t="s">
        <v>31306</v>
      </c>
      <c r="N14240" t="s">
        <v>30</v>
      </c>
      <c r="O14240" t="s">
        <v>31</v>
      </c>
      <c r="P14240" t="str">
        <f>"15205"</f>
        <v>15205</v>
      </c>
    </row>
    <row r="14241" spans="1:16" x14ac:dyDescent="0.25">
      <c r="A14241" t="str">
        <f>"1200020P00172    00"</f>
        <v>1200020P00172    00</v>
      </c>
      <c r="B14241" t="s">
        <v>31307</v>
      </c>
      <c r="C14241" t="s">
        <v>31308</v>
      </c>
      <c r="D14241" t="s">
        <v>20</v>
      </c>
      <c r="E14241" t="s">
        <v>39</v>
      </c>
      <c r="F14241">
        <v>0</v>
      </c>
      <c r="G14241">
        <v>0</v>
      </c>
      <c r="H14241">
        <v>1</v>
      </c>
      <c r="I14241" s="3">
        <v>356.91</v>
      </c>
      <c r="J14241" s="3">
        <v>0</v>
      </c>
      <c r="L14241">
        <v>1104</v>
      </c>
      <c r="M14241" t="s">
        <v>30729</v>
      </c>
      <c r="N14241" t="s">
        <v>30</v>
      </c>
      <c r="O14241" t="s">
        <v>31</v>
      </c>
      <c r="P14241" t="str">
        <f>"15220"</f>
        <v>15220</v>
      </c>
    </row>
    <row r="14242" spans="1:16" x14ac:dyDescent="0.25">
      <c r="A14242" t="str">
        <f>"1200020P00173    00"</f>
        <v>1200020P00173    00</v>
      </c>
      <c r="B14242" t="s">
        <v>31309</v>
      </c>
      <c r="C14242" t="s">
        <v>31310</v>
      </c>
      <c r="D14242" t="s">
        <v>20</v>
      </c>
      <c r="E14242" t="s">
        <v>39</v>
      </c>
      <c r="F14242">
        <v>0</v>
      </c>
      <c r="G14242">
        <v>0</v>
      </c>
      <c r="H14242">
        <v>1</v>
      </c>
      <c r="I14242" s="3">
        <v>781.48</v>
      </c>
      <c r="J14242" s="3">
        <v>0</v>
      </c>
      <c r="K14242" t="s">
        <v>24736</v>
      </c>
      <c r="L14242">
        <v>901</v>
      </c>
      <c r="M14242" t="s">
        <v>1503</v>
      </c>
      <c r="N14242" t="s">
        <v>494</v>
      </c>
      <c r="O14242" t="s">
        <v>495</v>
      </c>
      <c r="P14242" t="str">
        <f>"91768"</f>
        <v>91768</v>
      </c>
    </row>
    <row r="14243" spans="1:16" x14ac:dyDescent="0.25">
      <c r="A14243" t="str">
        <f>"1200020P00180    00"</f>
        <v>1200020P00180    00</v>
      </c>
      <c r="B14243" t="s">
        <v>31311</v>
      </c>
      <c r="C14243" t="s">
        <v>31312</v>
      </c>
      <c r="D14243" t="s">
        <v>20</v>
      </c>
      <c r="E14243" t="s">
        <v>39</v>
      </c>
      <c r="F14243">
        <v>0</v>
      </c>
      <c r="G14243">
        <v>0</v>
      </c>
      <c r="H14243">
        <v>1</v>
      </c>
      <c r="I14243" s="3">
        <v>897.74</v>
      </c>
      <c r="J14243" s="3">
        <v>0</v>
      </c>
      <c r="L14243">
        <v>5358</v>
      </c>
      <c r="M14243" t="s">
        <v>31313</v>
      </c>
      <c r="N14243" t="s">
        <v>13328</v>
      </c>
      <c r="O14243" t="s">
        <v>108</v>
      </c>
      <c r="P14243" t="str">
        <f>"77493"</f>
        <v>77493</v>
      </c>
    </row>
    <row r="14244" spans="1:16" x14ac:dyDescent="0.25">
      <c r="A14244" t="str">
        <f>"1200020P00188    00"</f>
        <v>1200020P00188    00</v>
      </c>
      <c r="B14244" t="s">
        <v>31314</v>
      </c>
      <c r="C14244" t="s">
        <v>31315</v>
      </c>
      <c r="D14244" t="s">
        <v>20</v>
      </c>
      <c r="E14244" t="s">
        <v>21</v>
      </c>
      <c r="F14244">
        <v>0</v>
      </c>
      <c r="G14244">
        <v>0</v>
      </c>
      <c r="H14244">
        <v>7</v>
      </c>
      <c r="I14244" s="3">
        <v>3359.33</v>
      </c>
      <c r="J14244" s="3">
        <v>72.14</v>
      </c>
      <c r="L14244">
        <v>314</v>
      </c>
      <c r="M14244" t="s">
        <v>31316</v>
      </c>
      <c r="N14244" t="s">
        <v>30</v>
      </c>
      <c r="O14244" t="s">
        <v>31</v>
      </c>
      <c r="P14244" t="str">
        <f>"15235"</f>
        <v>15235</v>
      </c>
    </row>
    <row r="14245" spans="1:16" x14ac:dyDescent="0.25">
      <c r="A14245" t="str">
        <f>"1200020P00192    00"</f>
        <v>1200020P00192    00</v>
      </c>
      <c r="B14245" t="s">
        <v>31314</v>
      </c>
      <c r="C14245" t="s">
        <v>31317</v>
      </c>
      <c r="D14245" t="s">
        <v>20</v>
      </c>
      <c r="E14245" t="s">
        <v>21</v>
      </c>
      <c r="F14245">
        <v>0</v>
      </c>
      <c r="G14245">
        <v>0</v>
      </c>
      <c r="H14245">
        <v>6</v>
      </c>
      <c r="I14245" s="3">
        <v>2725.37</v>
      </c>
      <c r="J14245" s="3">
        <v>49.07</v>
      </c>
      <c r="L14245">
        <v>314</v>
      </c>
      <c r="M14245" t="s">
        <v>31316</v>
      </c>
      <c r="N14245" t="s">
        <v>30</v>
      </c>
      <c r="O14245" t="s">
        <v>31</v>
      </c>
      <c r="P14245" t="str">
        <f>"15235"</f>
        <v>15235</v>
      </c>
    </row>
    <row r="14246" spans="1:16" x14ac:dyDescent="0.25">
      <c r="A14246" t="str">
        <f>"1200020P00200    00"</f>
        <v>1200020P00200    00</v>
      </c>
      <c r="B14246" t="s">
        <v>31314</v>
      </c>
      <c r="C14246" t="s">
        <v>31318</v>
      </c>
      <c r="D14246" t="s">
        <v>20</v>
      </c>
      <c r="E14246" t="s">
        <v>21</v>
      </c>
      <c r="F14246">
        <v>0</v>
      </c>
      <c r="G14246">
        <v>0</v>
      </c>
      <c r="H14246">
        <v>3</v>
      </c>
      <c r="I14246" s="3">
        <v>1638.91</v>
      </c>
      <c r="J14246" s="3">
        <v>4.96</v>
      </c>
      <c r="L14246">
        <v>314</v>
      </c>
      <c r="M14246" t="s">
        <v>31316</v>
      </c>
      <c r="N14246" t="s">
        <v>30</v>
      </c>
      <c r="O14246" t="s">
        <v>31</v>
      </c>
      <c r="P14246" t="str">
        <f>"15235"</f>
        <v>15235</v>
      </c>
    </row>
    <row r="14247" spans="1:16" x14ac:dyDescent="0.25">
      <c r="A14247" t="str">
        <f>"1200020P00216    00"</f>
        <v>1200020P00216    00</v>
      </c>
      <c r="B14247" t="s">
        <v>31319</v>
      </c>
      <c r="C14247" t="s">
        <v>31320</v>
      </c>
      <c r="D14247" t="s">
        <v>20</v>
      </c>
      <c r="E14247" t="s">
        <v>39</v>
      </c>
      <c r="F14247">
        <v>0</v>
      </c>
      <c r="G14247">
        <v>0</v>
      </c>
      <c r="H14247">
        <v>8</v>
      </c>
      <c r="I14247" s="3">
        <v>6507.02</v>
      </c>
      <c r="J14247" s="3">
        <v>2447.44</v>
      </c>
      <c r="L14247">
        <v>1103</v>
      </c>
      <c r="M14247" t="s">
        <v>31126</v>
      </c>
      <c r="N14247" t="s">
        <v>30</v>
      </c>
      <c r="O14247" t="s">
        <v>31</v>
      </c>
      <c r="P14247" t="str">
        <f>"15220"</f>
        <v>15220</v>
      </c>
    </row>
    <row r="14248" spans="1:16" x14ac:dyDescent="0.25">
      <c r="A14248" t="str">
        <f>"1200020P00238    00"</f>
        <v>1200020P00238    00</v>
      </c>
      <c r="B14248" t="s">
        <v>31321</v>
      </c>
      <c r="C14248" t="s">
        <v>31322</v>
      </c>
      <c r="D14248" t="s">
        <v>20</v>
      </c>
      <c r="E14248" t="s">
        <v>39</v>
      </c>
      <c r="F14248">
        <v>0</v>
      </c>
      <c r="G14248">
        <v>0</v>
      </c>
      <c r="H14248">
        <v>4</v>
      </c>
      <c r="I14248" s="3">
        <v>1680.59</v>
      </c>
      <c r="J14248" s="3">
        <v>302.69</v>
      </c>
      <c r="L14248">
        <v>1106</v>
      </c>
      <c r="M14248" t="s">
        <v>31126</v>
      </c>
      <c r="N14248" t="s">
        <v>30</v>
      </c>
      <c r="O14248" t="s">
        <v>31</v>
      </c>
      <c r="P14248" t="str">
        <f>"15220"</f>
        <v>15220</v>
      </c>
    </row>
    <row r="14249" spans="1:16" x14ac:dyDescent="0.25">
      <c r="A14249" t="str">
        <f>"1200020P00240    00"</f>
        <v>1200020P00240    00</v>
      </c>
      <c r="B14249" t="s">
        <v>31323</v>
      </c>
      <c r="C14249" t="s">
        <v>31324</v>
      </c>
      <c r="D14249" t="s">
        <v>20</v>
      </c>
      <c r="E14249" t="s">
        <v>39</v>
      </c>
      <c r="F14249">
        <v>0</v>
      </c>
      <c r="G14249">
        <v>0</v>
      </c>
      <c r="H14249">
        <v>15</v>
      </c>
      <c r="I14249" s="3">
        <v>5610.48</v>
      </c>
      <c r="J14249" s="3">
        <v>3577.57</v>
      </c>
      <c r="L14249">
        <v>1102</v>
      </c>
      <c r="M14249" t="s">
        <v>31126</v>
      </c>
      <c r="N14249" t="s">
        <v>30</v>
      </c>
      <c r="O14249" t="s">
        <v>31</v>
      </c>
      <c r="P14249" t="str">
        <f>"15220"</f>
        <v>15220</v>
      </c>
    </row>
    <row r="14250" spans="1:16" x14ac:dyDescent="0.25">
      <c r="A14250" t="str">
        <f>"1200020P00241    00"</f>
        <v>1200020P00241    00</v>
      </c>
      <c r="B14250" t="s">
        <v>31325</v>
      </c>
      <c r="C14250" t="s">
        <v>31326</v>
      </c>
      <c r="D14250" t="s">
        <v>20</v>
      </c>
      <c r="E14250" t="s">
        <v>39</v>
      </c>
      <c r="F14250">
        <v>0</v>
      </c>
      <c r="G14250">
        <v>0</v>
      </c>
      <c r="H14250">
        <v>4</v>
      </c>
      <c r="I14250" s="3">
        <v>2255.4499999999998</v>
      </c>
      <c r="J14250" s="3">
        <v>266.42</v>
      </c>
      <c r="K14250" t="s">
        <v>31327</v>
      </c>
      <c r="L14250">
        <v>1100</v>
      </c>
      <c r="M14250" t="s">
        <v>31126</v>
      </c>
      <c r="N14250" t="s">
        <v>30</v>
      </c>
      <c r="O14250" t="s">
        <v>31</v>
      </c>
      <c r="P14250" t="str">
        <f>"15220"</f>
        <v>15220</v>
      </c>
    </row>
    <row r="14251" spans="1:16" x14ac:dyDescent="0.25">
      <c r="A14251" t="str">
        <f>"1200020P00253    00"</f>
        <v>1200020P00253    00</v>
      </c>
      <c r="B14251" t="s">
        <v>31125</v>
      </c>
      <c r="C14251" t="s">
        <v>31328</v>
      </c>
      <c r="D14251" t="s">
        <v>20</v>
      </c>
      <c r="E14251" t="s">
        <v>21</v>
      </c>
      <c r="F14251">
        <v>0</v>
      </c>
      <c r="G14251">
        <v>0</v>
      </c>
      <c r="H14251">
        <v>3</v>
      </c>
      <c r="I14251" s="3">
        <v>4248.51</v>
      </c>
      <c r="J14251" s="3">
        <v>283.23</v>
      </c>
      <c r="L14251">
        <v>311</v>
      </c>
      <c r="M14251" t="s">
        <v>8226</v>
      </c>
      <c r="N14251" t="s">
        <v>30</v>
      </c>
      <c r="O14251" t="s">
        <v>31</v>
      </c>
      <c r="P14251" t="str">
        <f>"15215"</f>
        <v>15215</v>
      </c>
    </row>
    <row r="14252" spans="1:16" x14ac:dyDescent="0.25">
      <c r="A14252" t="str">
        <f>"1200020P00258    00"</f>
        <v>1200020P00258    00</v>
      </c>
      <c r="B14252" t="s">
        <v>23499</v>
      </c>
      <c r="C14252" t="s">
        <v>31329</v>
      </c>
      <c r="D14252" t="s">
        <v>20</v>
      </c>
      <c r="E14252" t="s">
        <v>39</v>
      </c>
      <c r="F14252">
        <v>0</v>
      </c>
      <c r="G14252">
        <v>0</v>
      </c>
      <c r="H14252">
        <v>3</v>
      </c>
      <c r="I14252" s="3">
        <v>1772.58</v>
      </c>
      <c r="J14252" s="3">
        <v>118.17</v>
      </c>
      <c r="K14252" t="s">
        <v>23501</v>
      </c>
      <c r="M14252" t="s">
        <v>27842</v>
      </c>
      <c r="N14252" t="s">
        <v>30</v>
      </c>
      <c r="O14252" t="s">
        <v>31</v>
      </c>
      <c r="P14252" t="str">
        <f>"15211"</f>
        <v>15211</v>
      </c>
    </row>
    <row r="14253" spans="1:16" x14ac:dyDescent="0.25">
      <c r="A14253" t="str">
        <f>"1200020P00264    00"</f>
        <v>1200020P00264    00</v>
      </c>
      <c r="B14253" t="s">
        <v>31330</v>
      </c>
      <c r="C14253" t="s">
        <v>31331</v>
      </c>
      <c r="D14253" t="s">
        <v>20</v>
      </c>
      <c r="E14253" t="s">
        <v>39</v>
      </c>
      <c r="F14253">
        <v>0</v>
      </c>
      <c r="G14253">
        <v>0</v>
      </c>
      <c r="H14253">
        <v>2</v>
      </c>
      <c r="I14253" s="3">
        <v>1484.05</v>
      </c>
      <c r="J14253" s="3">
        <v>0</v>
      </c>
      <c r="L14253">
        <v>8200</v>
      </c>
      <c r="M14253" t="s">
        <v>31332</v>
      </c>
      <c r="N14253" t="s">
        <v>30</v>
      </c>
      <c r="O14253" t="s">
        <v>31</v>
      </c>
      <c r="P14253" t="str">
        <f>"15237"</f>
        <v>15237</v>
      </c>
    </row>
    <row r="14254" spans="1:16" x14ac:dyDescent="0.25">
      <c r="A14254" t="str">
        <f>"1200020P00277    00"</f>
        <v>1200020P00277    00</v>
      </c>
      <c r="B14254" t="s">
        <v>31333</v>
      </c>
      <c r="C14254" t="s">
        <v>31334</v>
      </c>
      <c r="D14254" t="s">
        <v>20</v>
      </c>
      <c r="E14254" t="s">
        <v>39</v>
      </c>
      <c r="F14254">
        <v>0</v>
      </c>
      <c r="G14254">
        <v>0</v>
      </c>
      <c r="H14254">
        <v>14</v>
      </c>
      <c r="I14254" s="3">
        <v>6901.56</v>
      </c>
      <c r="J14254" s="3">
        <v>5027.16</v>
      </c>
      <c r="L14254">
        <v>1121</v>
      </c>
      <c r="M14254" t="s">
        <v>16891</v>
      </c>
      <c r="N14254" t="s">
        <v>30</v>
      </c>
      <c r="O14254" t="s">
        <v>31</v>
      </c>
      <c r="P14254" t="str">
        <f>"15220"</f>
        <v>15220</v>
      </c>
    </row>
    <row r="14255" spans="1:16" x14ac:dyDescent="0.25">
      <c r="A14255" t="str">
        <f>"1200020P00281    00"</f>
        <v>1200020P00281    00</v>
      </c>
      <c r="B14255" t="s">
        <v>31335</v>
      </c>
      <c r="C14255" t="s">
        <v>31336</v>
      </c>
      <c r="D14255" t="s">
        <v>20</v>
      </c>
      <c r="E14255" t="s">
        <v>39</v>
      </c>
      <c r="F14255">
        <v>0</v>
      </c>
      <c r="G14255">
        <v>0</v>
      </c>
      <c r="H14255">
        <v>2</v>
      </c>
      <c r="I14255" s="3">
        <v>369.51</v>
      </c>
      <c r="J14255" s="3">
        <v>0</v>
      </c>
      <c r="K14255" t="s">
        <v>31337</v>
      </c>
      <c r="L14255">
        <v>1131</v>
      </c>
      <c r="M14255" t="s">
        <v>16891</v>
      </c>
      <c r="N14255" t="s">
        <v>30</v>
      </c>
      <c r="O14255" t="s">
        <v>31</v>
      </c>
      <c r="P14255" t="str">
        <f>"15220"</f>
        <v>15220</v>
      </c>
    </row>
    <row r="14256" spans="1:16" x14ac:dyDescent="0.25">
      <c r="A14256" t="str">
        <f>"1200020P00288    00"</f>
        <v>1200020P00288    00</v>
      </c>
      <c r="B14256" t="s">
        <v>31338</v>
      </c>
      <c r="C14256" t="s">
        <v>31339</v>
      </c>
      <c r="D14256" t="s">
        <v>20</v>
      </c>
      <c r="E14256" t="s">
        <v>39</v>
      </c>
      <c r="F14256">
        <v>0</v>
      </c>
      <c r="G14256">
        <v>0</v>
      </c>
      <c r="H14256">
        <v>2</v>
      </c>
      <c r="I14256" s="3">
        <v>870.14</v>
      </c>
      <c r="J14256" s="3">
        <v>0</v>
      </c>
      <c r="L14256">
        <v>1131</v>
      </c>
      <c r="M14256" t="s">
        <v>16891</v>
      </c>
      <c r="N14256" t="s">
        <v>30</v>
      </c>
      <c r="O14256" t="s">
        <v>31</v>
      </c>
      <c r="P14256" t="str">
        <f>"15220"</f>
        <v>15220</v>
      </c>
    </row>
    <row r="14257" spans="1:16" x14ac:dyDescent="0.25">
      <c r="A14257" t="str">
        <f>"1200020P00296    00"</f>
        <v>1200020P00296    00</v>
      </c>
      <c r="B14257" t="s">
        <v>31340</v>
      </c>
      <c r="C14257" t="s">
        <v>31341</v>
      </c>
      <c r="D14257" t="s">
        <v>20</v>
      </c>
      <c r="E14257" t="s">
        <v>39</v>
      </c>
      <c r="F14257">
        <v>0</v>
      </c>
      <c r="G14257">
        <v>0</v>
      </c>
      <c r="H14257">
        <v>6</v>
      </c>
      <c r="I14257" s="3">
        <v>3561.47</v>
      </c>
      <c r="J14257" s="3">
        <v>538.51</v>
      </c>
      <c r="L14257">
        <v>3915</v>
      </c>
      <c r="M14257" t="s">
        <v>17198</v>
      </c>
      <c r="N14257" t="s">
        <v>30</v>
      </c>
      <c r="O14257" t="s">
        <v>31</v>
      </c>
      <c r="P14257" t="str">
        <f>"15212"</f>
        <v>15212</v>
      </c>
    </row>
    <row r="14258" spans="1:16" x14ac:dyDescent="0.25">
      <c r="A14258" t="str">
        <f>"1200020P00304    00"</f>
        <v>1200020P00304    00</v>
      </c>
      <c r="B14258" t="s">
        <v>31342</v>
      </c>
      <c r="C14258" t="s">
        <v>31343</v>
      </c>
      <c r="D14258" t="s">
        <v>20</v>
      </c>
      <c r="E14258" t="s">
        <v>39</v>
      </c>
      <c r="F14258">
        <v>0</v>
      </c>
      <c r="G14258">
        <v>0</v>
      </c>
      <c r="H14258">
        <v>1</v>
      </c>
      <c r="I14258" s="3">
        <v>696.15</v>
      </c>
      <c r="J14258" s="3">
        <v>0</v>
      </c>
      <c r="L14258">
        <v>738</v>
      </c>
      <c r="M14258" t="s">
        <v>31344</v>
      </c>
      <c r="N14258" t="s">
        <v>30</v>
      </c>
      <c r="O14258" t="s">
        <v>31</v>
      </c>
      <c r="P14258" t="str">
        <f>"15220"</f>
        <v>15220</v>
      </c>
    </row>
    <row r="14259" spans="1:16" x14ac:dyDescent="0.25">
      <c r="A14259" t="str">
        <f>"1200020R00005    00"</f>
        <v>1200020R00005    00</v>
      </c>
      <c r="B14259" t="s">
        <v>31345</v>
      </c>
      <c r="C14259" t="s">
        <v>31346</v>
      </c>
      <c r="D14259" t="s">
        <v>20</v>
      </c>
      <c r="E14259" t="s">
        <v>39</v>
      </c>
      <c r="F14259">
        <v>0</v>
      </c>
      <c r="G14259">
        <v>0</v>
      </c>
      <c r="H14259">
        <v>1</v>
      </c>
      <c r="I14259" s="3">
        <v>1200.8</v>
      </c>
      <c r="J14259" s="3">
        <v>0</v>
      </c>
      <c r="K14259" t="s">
        <v>31347</v>
      </c>
      <c r="M14259" t="s">
        <v>31348</v>
      </c>
      <c r="N14259" t="s">
        <v>321</v>
      </c>
      <c r="O14259" t="s">
        <v>31</v>
      </c>
      <c r="P14259" t="str">
        <f>"15001"</f>
        <v>15001</v>
      </c>
    </row>
    <row r="14260" spans="1:16" x14ac:dyDescent="0.25">
      <c r="A14260" t="str">
        <f>"1200020R00007    00"</f>
        <v>1200020R00007    00</v>
      </c>
      <c r="B14260" t="s">
        <v>23499</v>
      </c>
      <c r="C14260" t="s">
        <v>31349</v>
      </c>
      <c r="D14260" t="s">
        <v>20</v>
      </c>
      <c r="E14260" t="s">
        <v>39</v>
      </c>
      <c r="F14260">
        <v>0</v>
      </c>
      <c r="G14260">
        <v>0</v>
      </c>
      <c r="H14260">
        <v>3</v>
      </c>
      <c r="I14260" s="3">
        <v>1904.13</v>
      </c>
      <c r="J14260" s="3">
        <v>126.94</v>
      </c>
      <c r="K14260" t="s">
        <v>23501</v>
      </c>
      <c r="M14260" t="s">
        <v>31350</v>
      </c>
      <c r="N14260" t="s">
        <v>30</v>
      </c>
      <c r="O14260" t="s">
        <v>31</v>
      </c>
      <c r="P14260" t="str">
        <f>"15211"</f>
        <v>15211</v>
      </c>
    </row>
    <row r="14261" spans="1:16" x14ac:dyDescent="0.25">
      <c r="A14261" t="str">
        <f>"1200020R00009    00"</f>
        <v>1200020R00009    00</v>
      </c>
      <c r="B14261" t="s">
        <v>31351</v>
      </c>
      <c r="C14261" t="s">
        <v>31352</v>
      </c>
      <c r="D14261" t="s">
        <v>20</v>
      </c>
      <c r="E14261" t="s">
        <v>39</v>
      </c>
      <c r="F14261">
        <v>0</v>
      </c>
      <c r="G14261">
        <v>0</v>
      </c>
      <c r="H14261">
        <v>10</v>
      </c>
      <c r="I14261" s="3">
        <v>7120.65</v>
      </c>
      <c r="J14261" s="3">
        <v>3048.91</v>
      </c>
      <c r="L14261">
        <v>102</v>
      </c>
      <c r="M14261" t="s">
        <v>31353</v>
      </c>
      <c r="N14261" t="s">
        <v>30</v>
      </c>
      <c r="O14261" t="s">
        <v>31</v>
      </c>
      <c r="P14261" t="str">
        <f>"15237"</f>
        <v>15237</v>
      </c>
    </row>
    <row r="14262" spans="1:16" x14ac:dyDescent="0.25">
      <c r="A14262" t="str">
        <f>"1200020R00011    00"</f>
        <v>1200020R00011    00</v>
      </c>
      <c r="B14262" t="s">
        <v>31354</v>
      </c>
      <c r="C14262" t="s">
        <v>31355</v>
      </c>
      <c r="D14262" t="s">
        <v>20</v>
      </c>
      <c r="E14262" t="s">
        <v>39</v>
      </c>
      <c r="F14262">
        <v>0</v>
      </c>
      <c r="G14262">
        <v>0</v>
      </c>
      <c r="H14262">
        <v>7</v>
      </c>
      <c r="I14262" s="3">
        <v>4502.3100000000004</v>
      </c>
      <c r="J14262" s="3">
        <v>1245.02</v>
      </c>
      <c r="L14262">
        <v>730</v>
      </c>
      <c r="M14262" t="s">
        <v>31152</v>
      </c>
      <c r="N14262" t="s">
        <v>30</v>
      </c>
      <c r="O14262" t="s">
        <v>31</v>
      </c>
      <c r="P14262" t="str">
        <f>"15220"</f>
        <v>15220</v>
      </c>
    </row>
    <row r="14263" spans="1:16" x14ac:dyDescent="0.25">
      <c r="A14263" t="str">
        <f>"1200020R00017    00"</f>
        <v>1200020R00017    00</v>
      </c>
      <c r="B14263" t="s">
        <v>1997</v>
      </c>
      <c r="C14263" t="s">
        <v>31356</v>
      </c>
      <c r="E14263" t="s">
        <v>39</v>
      </c>
      <c r="F14263">
        <v>0</v>
      </c>
      <c r="G14263">
        <v>0</v>
      </c>
      <c r="H14263">
        <v>13</v>
      </c>
      <c r="I14263" s="3">
        <v>6250.74</v>
      </c>
      <c r="J14263" s="3">
        <v>5532.9</v>
      </c>
      <c r="K14263" t="s">
        <v>2361</v>
      </c>
      <c r="L14263">
        <v>412</v>
      </c>
      <c r="M14263" t="s">
        <v>221</v>
      </c>
      <c r="N14263" t="s">
        <v>30</v>
      </c>
      <c r="O14263" t="s">
        <v>31</v>
      </c>
      <c r="P14263" t="str">
        <f>"15219"</f>
        <v>15219</v>
      </c>
    </row>
    <row r="14264" spans="1:16" x14ac:dyDescent="0.25">
      <c r="A14264" t="str">
        <f>"1200020R00020    00"</f>
        <v>1200020R00020    00</v>
      </c>
      <c r="B14264" t="s">
        <v>31357</v>
      </c>
      <c r="C14264" t="s">
        <v>31358</v>
      </c>
      <c r="D14264" t="s">
        <v>20</v>
      </c>
      <c r="E14264" t="s">
        <v>39</v>
      </c>
      <c r="F14264">
        <v>0</v>
      </c>
      <c r="G14264">
        <v>0</v>
      </c>
      <c r="H14264">
        <v>1</v>
      </c>
      <c r="I14264" s="3">
        <v>933.96</v>
      </c>
      <c r="J14264" s="3">
        <v>0</v>
      </c>
      <c r="L14264">
        <v>741</v>
      </c>
      <c r="M14264" t="s">
        <v>31152</v>
      </c>
      <c r="N14264" t="s">
        <v>30</v>
      </c>
      <c r="O14264" t="s">
        <v>31</v>
      </c>
      <c r="P14264" t="str">
        <f>"15220"</f>
        <v>15220</v>
      </c>
    </row>
    <row r="14265" spans="1:16" x14ac:dyDescent="0.25">
      <c r="A14265" t="str">
        <f>"1200020R00043    00"</f>
        <v>1200020R00043    00</v>
      </c>
      <c r="B14265" t="s">
        <v>31359</v>
      </c>
      <c r="C14265" t="s">
        <v>31360</v>
      </c>
      <c r="D14265" t="s">
        <v>20</v>
      </c>
      <c r="E14265" t="s">
        <v>39</v>
      </c>
      <c r="F14265">
        <v>0</v>
      </c>
      <c r="G14265">
        <v>0</v>
      </c>
      <c r="H14265">
        <v>1</v>
      </c>
      <c r="I14265" s="3">
        <v>395</v>
      </c>
      <c r="J14265" s="3">
        <v>0</v>
      </c>
      <c r="L14265">
        <v>610</v>
      </c>
      <c r="M14265" t="s">
        <v>30693</v>
      </c>
      <c r="N14265" t="s">
        <v>30</v>
      </c>
      <c r="O14265" t="s">
        <v>31</v>
      </c>
      <c r="P14265" t="str">
        <f>"15220"</f>
        <v>15220</v>
      </c>
    </row>
    <row r="14266" spans="1:16" x14ac:dyDescent="0.25">
      <c r="A14266" t="str">
        <f>"1200020R00046    00"</f>
        <v>1200020R00046    00</v>
      </c>
      <c r="B14266" t="s">
        <v>31359</v>
      </c>
      <c r="C14266" t="s">
        <v>31315</v>
      </c>
      <c r="D14266" t="s">
        <v>20</v>
      </c>
      <c r="E14266" t="s">
        <v>39</v>
      </c>
      <c r="F14266">
        <v>0</v>
      </c>
      <c r="G14266">
        <v>0</v>
      </c>
      <c r="H14266">
        <v>1</v>
      </c>
      <c r="I14266" s="3">
        <v>135.34</v>
      </c>
      <c r="J14266" s="3">
        <v>0</v>
      </c>
      <c r="L14266">
        <v>610</v>
      </c>
      <c r="M14266" t="s">
        <v>30693</v>
      </c>
      <c r="N14266" t="s">
        <v>30</v>
      </c>
      <c r="O14266" t="s">
        <v>31</v>
      </c>
      <c r="P14266" t="str">
        <f>"15220"</f>
        <v>15220</v>
      </c>
    </row>
    <row r="14267" spans="1:16" x14ac:dyDescent="0.25">
      <c r="A14267" t="str">
        <f>"1200020R00047    00"</f>
        <v>1200020R00047    00</v>
      </c>
      <c r="B14267" t="s">
        <v>31359</v>
      </c>
      <c r="C14267" t="s">
        <v>31315</v>
      </c>
      <c r="D14267" t="s">
        <v>20</v>
      </c>
      <c r="E14267" t="s">
        <v>39</v>
      </c>
      <c r="F14267">
        <v>0</v>
      </c>
      <c r="G14267">
        <v>0</v>
      </c>
      <c r="H14267">
        <v>1</v>
      </c>
      <c r="I14267" s="3">
        <v>47.66</v>
      </c>
      <c r="J14267" s="3">
        <v>0</v>
      </c>
      <c r="L14267">
        <v>610</v>
      </c>
      <c r="M14267" t="s">
        <v>30693</v>
      </c>
      <c r="N14267" t="s">
        <v>30</v>
      </c>
      <c r="O14267" t="s">
        <v>31</v>
      </c>
      <c r="P14267" t="str">
        <f>"15220"</f>
        <v>15220</v>
      </c>
    </row>
    <row r="14268" spans="1:16" x14ac:dyDescent="0.25">
      <c r="A14268" t="str">
        <f>"1200020R00059    00"</f>
        <v>1200020R00059    00</v>
      </c>
      <c r="B14268" t="s">
        <v>31361</v>
      </c>
      <c r="C14268" t="s">
        <v>31362</v>
      </c>
      <c r="D14268" t="s">
        <v>20</v>
      </c>
      <c r="E14268" t="s">
        <v>21</v>
      </c>
      <c r="F14268">
        <v>0</v>
      </c>
      <c r="G14268">
        <v>0</v>
      </c>
      <c r="H14268">
        <v>1</v>
      </c>
      <c r="I14268" s="3">
        <v>2000</v>
      </c>
      <c r="J14268" s="3">
        <v>0</v>
      </c>
      <c r="L14268">
        <v>718</v>
      </c>
      <c r="M14268" t="s">
        <v>30693</v>
      </c>
      <c r="N14268" t="s">
        <v>30</v>
      </c>
      <c r="O14268" t="s">
        <v>31</v>
      </c>
      <c r="P14268" t="str">
        <f>"15220"</f>
        <v>15220</v>
      </c>
    </row>
    <row r="14269" spans="1:16" x14ac:dyDescent="0.25">
      <c r="A14269" t="str">
        <f>"1200020R00062    00"</f>
        <v>1200020R00062    00</v>
      </c>
      <c r="B14269" t="s">
        <v>23499</v>
      </c>
      <c r="C14269" t="s">
        <v>31363</v>
      </c>
      <c r="D14269" t="s">
        <v>20</v>
      </c>
      <c r="E14269" t="s">
        <v>21</v>
      </c>
      <c r="F14269">
        <v>0</v>
      </c>
      <c r="G14269">
        <v>0</v>
      </c>
      <c r="H14269">
        <v>3</v>
      </c>
      <c r="I14269" s="3">
        <v>3265.02</v>
      </c>
      <c r="J14269" s="3">
        <v>217.66</v>
      </c>
      <c r="K14269" t="s">
        <v>23501</v>
      </c>
      <c r="L14269">
        <v>825</v>
      </c>
      <c r="M14269" t="s">
        <v>11611</v>
      </c>
      <c r="N14269" t="s">
        <v>30</v>
      </c>
      <c r="O14269" t="s">
        <v>31</v>
      </c>
      <c r="P14269" t="str">
        <f>"15211"</f>
        <v>15211</v>
      </c>
    </row>
    <row r="14270" spans="1:16" x14ac:dyDescent="0.25">
      <c r="A14270" t="str">
        <f>"1200020R00074    00"</f>
        <v>1200020R00074    00</v>
      </c>
      <c r="B14270" t="s">
        <v>31364</v>
      </c>
      <c r="C14270" t="s">
        <v>31365</v>
      </c>
      <c r="E14270" t="s">
        <v>39</v>
      </c>
      <c r="F14270">
        <v>0</v>
      </c>
      <c r="G14270">
        <v>0</v>
      </c>
      <c r="H14270">
        <v>3</v>
      </c>
      <c r="I14270" s="3">
        <v>2478.31</v>
      </c>
      <c r="J14270" s="3">
        <v>61.95</v>
      </c>
      <c r="K14270" t="s">
        <v>31366</v>
      </c>
      <c r="L14270">
        <v>140</v>
      </c>
      <c r="M14270" t="s">
        <v>31367</v>
      </c>
      <c r="N14270" t="s">
        <v>30</v>
      </c>
      <c r="O14270" t="s">
        <v>31</v>
      </c>
      <c r="P14270" t="str">
        <f>"15229"</f>
        <v>15229</v>
      </c>
    </row>
    <row r="14271" spans="1:16" x14ac:dyDescent="0.25">
      <c r="A14271" t="str">
        <f>"1200020R00077    00"</f>
        <v>1200020R00077    00</v>
      </c>
      <c r="B14271" t="s">
        <v>31368</v>
      </c>
      <c r="C14271" t="s">
        <v>31369</v>
      </c>
      <c r="D14271" t="s">
        <v>20</v>
      </c>
      <c r="E14271" t="s">
        <v>39</v>
      </c>
      <c r="F14271">
        <v>0</v>
      </c>
      <c r="G14271">
        <v>0</v>
      </c>
      <c r="H14271">
        <v>4</v>
      </c>
      <c r="I14271" s="3">
        <v>2296.11</v>
      </c>
      <c r="J14271" s="3">
        <v>328.93</v>
      </c>
      <c r="L14271">
        <v>1011</v>
      </c>
      <c r="M14271" t="s">
        <v>16891</v>
      </c>
      <c r="N14271" t="s">
        <v>30</v>
      </c>
      <c r="O14271" t="s">
        <v>31</v>
      </c>
      <c r="P14271" t="str">
        <f>"15220"</f>
        <v>15220</v>
      </c>
    </row>
    <row r="14272" spans="1:16" x14ac:dyDescent="0.25">
      <c r="A14272" t="str">
        <f>"1200020R00078    00"</f>
        <v>1200020R00078    00</v>
      </c>
      <c r="B14272" t="s">
        <v>30681</v>
      </c>
      <c r="C14272" t="s">
        <v>31370</v>
      </c>
      <c r="D14272" t="s">
        <v>20</v>
      </c>
      <c r="E14272" t="s">
        <v>39</v>
      </c>
      <c r="F14272">
        <v>0</v>
      </c>
      <c r="G14272">
        <v>0</v>
      </c>
      <c r="H14272">
        <v>3</v>
      </c>
      <c r="I14272" s="3">
        <v>1691.6</v>
      </c>
      <c r="J14272" s="3">
        <v>6.57</v>
      </c>
      <c r="L14272">
        <v>506</v>
      </c>
      <c r="M14272" t="s">
        <v>30683</v>
      </c>
      <c r="N14272" t="s">
        <v>30</v>
      </c>
      <c r="O14272" t="s">
        <v>31</v>
      </c>
      <c r="P14272" t="str">
        <f>"15205"</f>
        <v>15205</v>
      </c>
    </row>
    <row r="14273" spans="1:16" x14ac:dyDescent="0.25">
      <c r="A14273" t="str">
        <f>"1200020R00084    00"</f>
        <v>1200020R00084    00</v>
      </c>
      <c r="B14273" t="s">
        <v>17128</v>
      </c>
      <c r="C14273" t="s">
        <v>31371</v>
      </c>
      <c r="D14273" t="s">
        <v>20</v>
      </c>
      <c r="E14273" t="s">
        <v>21</v>
      </c>
      <c r="F14273">
        <v>0</v>
      </c>
      <c r="G14273">
        <v>0</v>
      </c>
      <c r="H14273">
        <v>2</v>
      </c>
      <c r="I14273" s="3">
        <v>819.59</v>
      </c>
      <c r="J14273" s="3">
        <v>289.64999999999998</v>
      </c>
      <c r="K14273" t="s">
        <v>31372</v>
      </c>
      <c r="L14273">
        <v>1006</v>
      </c>
      <c r="M14273" t="s">
        <v>17130</v>
      </c>
      <c r="N14273" t="s">
        <v>903</v>
      </c>
      <c r="O14273" t="s">
        <v>31</v>
      </c>
      <c r="P14273" t="str">
        <f>"15136"</f>
        <v>15136</v>
      </c>
    </row>
    <row r="14274" spans="1:16" x14ac:dyDescent="0.25">
      <c r="A14274" t="str">
        <f>"1200020R00093    00"</f>
        <v>1200020R00093    00</v>
      </c>
      <c r="B14274" t="s">
        <v>31373</v>
      </c>
      <c r="C14274" t="s">
        <v>31374</v>
      </c>
      <c r="E14274" t="s">
        <v>21</v>
      </c>
      <c r="F14274">
        <v>0</v>
      </c>
      <c r="G14274">
        <v>0</v>
      </c>
      <c r="H14274">
        <v>1</v>
      </c>
      <c r="I14274" s="3">
        <v>562.79999999999995</v>
      </c>
      <c r="J14274" s="3">
        <v>154.75</v>
      </c>
      <c r="K14274" t="s">
        <v>31375</v>
      </c>
      <c r="L14274">
        <v>239</v>
      </c>
      <c r="M14274" t="s">
        <v>31376</v>
      </c>
      <c r="N14274" t="s">
        <v>30</v>
      </c>
      <c r="O14274" t="s">
        <v>31</v>
      </c>
      <c r="P14274" t="str">
        <f>"15222"</f>
        <v>15222</v>
      </c>
    </row>
    <row r="14275" spans="1:16" x14ac:dyDescent="0.25">
      <c r="A14275" t="str">
        <f>"1200020R00097    00"</f>
        <v>1200020R00097    00</v>
      </c>
      <c r="B14275" t="s">
        <v>23499</v>
      </c>
      <c r="C14275" t="s">
        <v>31377</v>
      </c>
      <c r="D14275" t="s">
        <v>20</v>
      </c>
      <c r="E14275" t="s">
        <v>39</v>
      </c>
      <c r="F14275">
        <v>0</v>
      </c>
      <c r="G14275">
        <v>0</v>
      </c>
      <c r="H14275">
        <v>2</v>
      </c>
      <c r="I14275" s="3">
        <v>1044.54</v>
      </c>
      <c r="J14275" s="3">
        <v>0</v>
      </c>
      <c r="K14275" t="s">
        <v>23501</v>
      </c>
      <c r="L14275">
        <v>825</v>
      </c>
      <c r="M14275" t="s">
        <v>11611</v>
      </c>
      <c r="N14275" t="s">
        <v>30</v>
      </c>
      <c r="O14275" t="s">
        <v>31</v>
      </c>
      <c r="P14275" t="str">
        <f>"15211"</f>
        <v>15211</v>
      </c>
    </row>
    <row r="14276" spans="1:16" x14ac:dyDescent="0.25">
      <c r="A14276" t="str">
        <f>"1200020R00098    00"</f>
        <v>1200020R00098    00</v>
      </c>
      <c r="B14276" t="s">
        <v>23499</v>
      </c>
      <c r="C14276" t="s">
        <v>31378</v>
      </c>
      <c r="D14276" t="s">
        <v>20</v>
      </c>
      <c r="E14276" t="s">
        <v>39</v>
      </c>
      <c r="F14276">
        <v>0</v>
      </c>
      <c r="G14276">
        <v>0</v>
      </c>
      <c r="H14276">
        <v>1</v>
      </c>
      <c r="I14276" s="3">
        <v>394.55</v>
      </c>
      <c r="J14276" s="3">
        <v>0</v>
      </c>
      <c r="K14276" t="s">
        <v>23501</v>
      </c>
      <c r="M14276" t="s">
        <v>27842</v>
      </c>
      <c r="N14276" t="s">
        <v>30</v>
      </c>
      <c r="O14276" t="s">
        <v>31</v>
      </c>
      <c r="P14276" t="str">
        <f>"15211"</f>
        <v>15211</v>
      </c>
    </row>
    <row r="14277" spans="1:16" x14ac:dyDescent="0.25">
      <c r="A14277" t="str">
        <f>"1200020R00099    00"</f>
        <v>1200020R00099    00</v>
      </c>
      <c r="B14277" t="s">
        <v>23499</v>
      </c>
      <c r="C14277" t="s">
        <v>31379</v>
      </c>
      <c r="D14277" t="s">
        <v>20</v>
      </c>
      <c r="E14277" t="s">
        <v>39</v>
      </c>
      <c r="F14277">
        <v>0</v>
      </c>
      <c r="G14277">
        <v>0</v>
      </c>
      <c r="H14277">
        <v>1</v>
      </c>
      <c r="I14277" s="3">
        <v>571.82000000000005</v>
      </c>
      <c r="J14277" s="3">
        <v>0</v>
      </c>
      <c r="K14277" t="s">
        <v>23501</v>
      </c>
      <c r="M14277" t="s">
        <v>27842</v>
      </c>
      <c r="N14277" t="s">
        <v>30</v>
      </c>
      <c r="O14277" t="s">
        <v>31</v>
      </c>
      <c r="P14277" t="str">
        <f>"15211"</f>
        <v>15211</v>
      </c>
    </row>
    <row r="14278" spans="1:16" x14ac:dyDescent="0.25">
      <c r="A14278" t="str">
        <f>"1200020R00113    00"</f>
        <v>1200020R00113    00</v>
      </c>
      <c r="B14278" t="s">
        <v>31380</v>
      </c>
      <c r="C14278" t="s">
        <v>31381</v>
      </c>
      <c r="D14278" t="s">
        <v>20</v>
      </c>
      <c r="E14278" t="s">
        <v>39</v>
      </c>
      <c r="F14278">
        <v>0</v>
      </c>
      <c r="G14278">
        <v>0</v>
      </c>
      <c r="H14278">
        <v>3</v>
      </c>
      <c r="I14278" s="3">
        <v>2675.32</v>
      </c>
      <c r="J14278" s="3">
        <v>90.9</v>
      </c>
      <c r="L14278">
        <v>205</v>
      </c>
      <c r="M14278" t="s">
        <v>31382</v>
      </c>
      <c r="N14278" t="s">
        <v>30</v>
      </c>
      <c r="O14278" t="s">
        <v>31</v>
      </c>
      <c r="P14278" t="str">
        <f>"15206"</f>
        <v>15206</v>
      </c>
    </row>
    <row r="14279" spans="1:16" x14ac:dyDescent="0.25">
      <c r="A14279" t="str">
        <f>"1200020R00122    00"</f>
        <v>1200020R00122    00</v>
      </c>
      <c r="B14279" t="s">
        <v>31383</v>
      </c>
      <c r="C14279" t="s">
        <v>31078</v>
      </c>
      <c r="D14279" t="s">
        <v>20</v>
      </c>
      <c r="E14279" t="s">
        <v>39</v>
      </c>
      <c r="F14279">
        <v>0</v>
      </c>
      <c r="G14279">
        <v>0</v>
      </c>
      <c r="H14279">
        <v>9</v>
      </c>
      <c r="I14279" s="3">
        <v>1751.47</v>
      </c>
      <c r="J14279" s="3">
        <v>663.2</v>
      </c>
      <c r="L14279">
        <v>250</v>
      </c>
      <c r="M14279" t="s">
        <v>13616</v>
      </c>
      <c r="N14279" t="s">
        <v>30</v>
      </c>
      <c r="O14279" t="s">
        <v>31</v>
      </c>
      <c r="P14279" t="str">
        <f>"15236"</f>
        <v>15236</v>
      </c>
    </row>
    <row r="14280" spans="1:16" x14ac:dyDescent="0.25">
      <c r="A14280" t="str">
        <f>"1200020R00136    00"</f>
        <v>1200020R00136    00</v>
      </c>
      <c r="B14280" t="s">
        <v>31384</v>
      </c>
      <c r="C14280" t="s">
        <v>31385</v>
      </c>
      <c r="D14280" t="s">
        <v>20</v>
      </c>
      <c r="E14280" t="s">
        <v>39</v>
      </c>
      <c r="F14280">
        <v>0</v>
      </c>
      <c r="G14280">
        <v>0</v>
      </c>
      <c r="H14280">
        <v>5</v>
      </c>
      <c r="I14280" s="3">
        <v>313.35000000000002</v>
      </c>
      <c r="J14280" s="3">
        <v>70.790000000000006</v>
      </c>
      <c r="L14280">
        <v>12</v>
      </c>
      <c r="M14280" t="s">
        <v>31386</v>
      </c>
      <c r="N14280" t="s">
        <v>30</v>
      </c>
      <c r="O14280" t="s">
        <v>31</v>
      </c>
      <c r="P14280" t="str">
        <f>"15220"</f>
        <v>15220</v>
      </c>
    </row>
    <row r="14281" spans="1:16" x14ac:dyDescent="0.25">
      <c r="A14281" t="str">
        <f>"1200020R00136A   00"</f>
        <v>1200020R00136A   00</v>
      </c>
      <c r="B14281" t="s">
        <v>31387</v>
      </c>
      <c r="C14281" t="s">
        <v>31388</v>
      </c>
      <c r="D14281" t="s">
        <v>20</v>
      </c>
      <c r="E14281" t="s">
        <v>39</v>
      </c>
      <c r="F14281">
        <v>0</v>
      </c>
      <c r="G14281">
        <v>0</v>
      </c>
      <c r="H14281">
        <v>6</v>
      </c>
      <c r="I14281" s="3">
        <v>615.9</v>
      </c>
      <c r="J14281" s="3">
        <v>87.58</v>
      </c>
      <c r="L14281">
        <v>10</v>
      </c>
      <c r="M14281" t="s">
        <v>31386</v>
      </c>
      <c r="N14281" t="s">
        <v>30</v>
      </c>
      <c r="O14281" t="s">
        <v>31</v>
      </c>
      <c r="P14281" t="str">
        <f>"15220"</f>
        <v>15220</v>
      </c>
    </row>
    <row r="14282" spans="1:16" x14ac:dyDescent="0.25">
      <c r="A14282" t="str">
        <f>"1200020R00147    00"</f>
        <v>1200020R00147    00</v>
      </c>
      <c r="B14282" t="s">
        <v>31389</v>
      </c>
      <c r="C14282" t="s">
        <v>31390</v>
      </c>
      <c r="D14282" t="s">
        <v>20</v>
      </c>
      <c r="E14282" t="s">
        <v>39</v>
      </c>
      <c r="F14282">
        <v>0</v>
      </c>
      <c r="G14282">
        <v>0</v>
      </c>
      <c r="H14282">
        <v>1</v>
      </c>
      <c r="I14282" s="3">
        <v>125.1</v>
      </c>
      <c r="J14282" s="3">
        <v>0</v>
      </c>
      <c r="K14282" t="s">
        <v>31391</v>
      </c>
      <c r="L14282">
        <v>302</v>
      </c>
      <c r="M14282" t="s">
        <v>31386</v>
      </c>
      <c r="N14282" t="s">
        <v>30</v>
      </c>
      <c r="O14282" t="s">
        <v>31</v>
      </c>
      <c r="P14282" t="str">
        <f>"15220"</f>
        <v>15220</v>
      </c>
    </row>
    <row r="14283" spans="1:16" x14ac:dyDescent="0.25">
      <c r="A14283" t="str">
        <f>"1200020R00152    00"</f>
        <v>1200020R00152    00</v>
      </c>
      <c r="B14283" t="s">
        <v>31392</v>
      </c>
      <c r="C14283" t="s">
        <v>31393</v>
      </c>
      <c r="D14283" t="s">
        <v>20</v>
      </c>
      <c r="E14283" t="s">
        <v>39</v>
      </c>
      <c r="F14283">
        <v>0</v>
      </c>
      <c r="G14283">
        <v>0</v>
      </c>
      <c r="H14283">
        <v>6</v>
      </c>
      <c r="I14283" s="3">
        <v>2510.91</v>
      </c>
      <c r="J14283" s="3">
        <v>365.56</v>
      </c>
      <c r="K14283" t="s">
        <v>31394</v>
      </c>
      <c r="L14283">
        <v>13</v>
      </c>
      <c r="M14283" t="s">
        <v>31386</v>
      </c>
      <c r="N14283" t="s">
        <v>30</v>
      </c>
      <c r="O14283" t="s">
        <v>31</v>
      </c>
      <c r="P14283" t="str">
        <f>"15220"</f>
        <v>15220</v>
      </c>
    </row>
    <row r="14284" spans="1:16" x14ac:dyDescent="0.25">
      <c r="A14284" t="str">
        <f>"1200020R00157    00"</f>
        <v>1200020R00157    00</v>
      </c>
      <c r="B14284" t="s">
        <v>31395</v>
      </c>
      <c r="C14284" t="s">
        <v>31396</v>
      </c>
      <c r="D14284" t="s">
        <v>20</v>
      </c>
      <c r="E14284" t="s">
        <v>39</v>
      </c>
      <c r="F14284">
        <v>0</v>
      </c>
      <c r="G14284">
        <v>0</v>
      </c>
      <c r="H14284">
        <v>2</v>
      </c>
      <c r="I14284" s="3">
        <v>979.7</v>
      </c>
      <c r="J14284" s="3">
        <v>0</v>
      </c>
      <c r="K14284" t="s">
        <v>31397</v>
      </c>
      <c r="L14284">
        <v>901</v>
      </c>
      <c r="M14284" t="s">
        <v>739</v>
      </c>
      <c r="N14284" t="s">
        <v>30</v>
      </c>
      <c r="O14284" t="s">
        <v>31</v>
      </c>
      <c r="P14284" t="str">
        <f>"15233"</f>
        <v>15233</v>
      </c>
    </row>
    <row r="14285" spans="1:16" x14ac:dyDescent="0.25">
      <c r="A14285" t="str">
        <f>"1200020R00158    00"</f>
        <v>1200020R00158    00</v>
      </c>
      <c r="B14285" t="s">
        <v>23499</v>
      </c>
      <c r="C14285" t="s">
        <v>31398</v>
      </c>
      <c r="D14285" t="s">
        <v>20</v>
      </c>
      <c r="E14285" t="s">
        <v>39</v>
      </c>
      <c r="F14285">
        <v>0</v>
      </c>
      <c r="G14285">
        <v>0</v>
      </c>
      <c r="H14285">
        <v>2</v>
      </c>
      <c r="I14285" s="3">
        <v>1155.06</v>
      </c>
      <c r="J14285" s="3">
        <v>0</v>
      </c>
      <c r="K14285" t="s">
        <v>23501</v>
      </c>
      <c r="L14285">
        <v>825</v>
      </c>
      <c r="M14285" t="s">
        <v>11611</v>
      </c>
      <c r="N14285" t="s">
        <v>30</v>
      </c>
      <c r="O14285" t="s">
        <v>31</v>
      </c>
      <c r="P14285" t="str">
        <f>"15211"</f>
        <v>15211</v>
      </c>
    </row>
    <row r="14286" spans="1:16" x14ac:dyDescent="0.25">
      <c r="A14286" t="str">
        <f>"1200020R00163    00"</f>
        <v>1200020R00163    00</v>
      </c>
      <c r="B14286" t="s">
        <v>31399</v>
      </c>
      <c r="C14286" t="s">
        <v>31400</v>
      </c>
      <c r="D14286" t="s">
        <v>20</v>
      </c>
      <c r="E14286" t="s">
        <v>39</v>
      </c>
      <c r="F14286">
        <v>0</v>
      </c>
      <c r="G14286">
        <v>0</v>
      </c>
      <c r="H14286">
        <v>4</v>
      </c>
      <c r="I14286" s="3">
        <v>473.35</v>
      </c>
      <c r="J14286" s="3">
        <v>37.86</v>
      </c>
      <c r="L14286">
        <v>709</v>
      </c>
      <c r="M14286" t="s">
        <v>30693</v>
      </c>
      <c r="N14286" t="s">
        <v>30</v>
      </c>
      <c r="O14286" t="s">
        <v>31</v>
      </c>
      <c r="P14286" t="str">
        <f>"15220"</f>
        <v>15220</v>
      </c>
    </row>
    <row r="14287" spans="1:16" x14ac:dyDescent="0.25">
      <c r="A14287" t="str">
        <f>"1200020R00170    00"</f>
        <v>1200020R00170    00</v>
      </c>
      <c r="B14287" t="s">
        <v>31401</v>
      </c>
      <c r="C14287" t="s">
        <v>31402</v>
      </c>
      <c r="D14287" t="s">
        <v>20</v>
      </c>
      <c r="E14287" t="s">
        <v>39</v>
      </c>
      <c r="F14287">
        <v>0</v>
      </c>
      <c r="G14287">
        <v>0</v>
      </c>
      <c r="H14287">
        <v>2</v>
      </c>
      <c r="I14287" s="3">
        <v>1529.64</v>
      </c>
      <c r="J14287" s="3">
        <v>0</v>
      </c>
      <c r="L14287">
        <v>915</v>
      </c>
      <c r="M14287" t="s">
        <v>31403</v>
      </c>
      <c r="N14287" t="s">
        <v>30</v>
      </c>
      <c r="O14287" t="s">
        <v>31</v>
      </c>
      <c r="P14287" t="str">
        <f>"15220"</f>
        <v>15220</v>
      </c>
    </row>
    <row r="14288" spans="1:16" x14ac:dyDescent="0.25">
      <c r="A14288" t="str">
        <f>"1200020R00178    00"</f>
        <v>1200020R00178    00</v>
      </c>
      <c r="B14288" t="s">
        <v>23499</v>
      </c>
      <c r="C14288" t="s">
        <v>31404</v>
      </c>
      <c r="D14288" t="s">
        <v>20</v>
      </c>
      <c r="E14288" t="s">
        <v>39</v>
      </c>
      <c r="F14288">
        <v>0</v>
      </c>
      <c r="G14288">
        <v>0</v>
      </c>
      <c r="H14288">
        <v>2</v>
      </c>
      <c r="I14288" s="3">
        <v>1383.78</v>
      </c>
      <c r="J14288" s="3">
        <v>0</v>
      </c>
      <c r="K14288" t="s">
        <v>23501</v>
      </c>
      <c r="L14288">
        <v>825</v>
      </c>
      <c r="M14288" t="s">
        <v>11611</v>
      </c>
      <c r="N14288" t="s">
        <v>30</v>
      </c>
      <c r="O14288" t="s">
        <v>31</v>
      </c>
      <c r="P14288" t="str">
        <f>"15211"</f>
        <v>15211</v>
      </c>
    </row>
    <row r="14289" spans="1:16" x14ac:dyDescent="0.25">
      <c r="A14289" t="str">
        <f>"1200020R00180    00"</f>
        <v>1200020R00180    00</v>
      </c>
      <c r="B14289" t="s">
        <v>23499</v>
      </c>
      <c r="C14289" t="s">
        <v>31405</v>
      </c>
      <c r="D14289" t="s">
        <v>20</v>
      </c>
      <c r="E14289" t="s">
        <v>39</v>
      </c>
      <c r="F14289">
        <v>0</v>
      </c>
      <c r="G14289">
        <v>0</v>
      </c>
      <c r="H14289">
        <v>2</v>
      </c>
      <c r="I14289" s="3">
        <v>9.52</v>
      </c>
      <c r="J14289" s="3">
        <v>1138.69</v>
      </c>
      <c r="K14289" t="s">
        <v>23501</v>
      </c>
      <c r="M14289" t="s">
        <v>27842</v>
      </c>
      <c r="N14289" t="s">
        <v>30</v>
      </c>
      <c r="O14289" t="s">
        <v>31</v>
      </c>
      <c r="P14289" t="str">
        <f>"15211"</f>
        <v>15211</v>
      </c>
    </row>
    <row r="14290" spans="1:16" x14ac:dyDescent="0.25">
      <c r="A14290" t="str">
        <f>"1200020R00181    00"</f>
        <v>1200020R00181    00</v>
      </c>
      <c r="B14290" t="s">
        <v>23499</v>
      </c>
      <c r="C14290" t="s">
        <v>31406</v>
      </c>
      <c r="D14290" t="s">
        <v>20</v>
      </c>
      <c r="E14290" t="s">
        <v>39</v>
      </c>
      <c r="F14290">
        <v>0</v>
      </c>
      <c r="G14290">
        <v>0</v>
      </c>
      <c r="H14290">
        <v>2</v>
      </c>
      <c r="I14290" s="3">
        <v>991.16</v>
      </c>
      <c r="J14290" s="3">
        <v>0</v>
      </c>
      <c r="K14290" t="s">
        <v>23501</v>
      </c>
      <c r="L14290">
        <v>825</v>
      </c>
      <c r="M14290" t="s">
        <v>11611</v>
      </c>
      <c r="N14290" t="s">
        <v>30</v>
      </c>
      <c r="O14290" t="s">
        <v>31</v>
      </c>
      <c r="P14290" t="str">
        <f>"15211"</f>
        <v>15211</v>
      </c>
    </row>
    <row r="14291" spans="1:16" x14ac:dyDescent="0.25">
      <c r="A14291" t="str">
        <f>"1200020R00182    00"</f>
        <v>1200020R00182    00</v>
      </c>
      <c r="B14291" t="s">
        <v>31407</v>
      </c>
      <c r="C14291" t="s">
        <v>31408</v>
      </c>
      <c r="E14291" t="s">
        <v>39</v>
      </c>
      <c r="F14291">
        <v>0</v>
      </c>
      <c r="G14291">
        <v>0</v>
      </c>
      <c r="H14291">
        <v>3</v>
      </c>
      <c r="I14291" s="3">
        <v>2877.89</v>
      </c>
      <c r="J14291" s="3">
        <v>834.93</v>
      </c>
      <c r="K14291" t="s">
        <v>31409</v>
      </c>
      <c r="L14291">
        <v>616</v>
      </c>
      <c r="M14291" t="s">
        <v>31256</v>
      </c>
      <c r="N14291" t="s">
        <v>30</v>
      </c>
      <c r="O14291" t="s">
        <v>31</v>
      </c>
      <c r="P14291" t="str">
        <f>"15220"</f>
        <v>15220</v>
      </c>
    </row>
    <row r="14292" spans="1:16" x14ac:dyDescent="0.25">
      <c r="A14292" t="str">
        <f>"1200020R00191    00"</f>
        <v>1200020R00191    00</v>
      </c>
      <c r="B14292" t="s">
        <v>31410</v>
      </c>
      <c r="C14292" t="s">
        <v>31411</v>
      </c>
      <c r="D14292" t="s">
        <v>20</v>
      </c>
      <c r="E14292" t="s">
        <v>39</v>
      </c>
      <c r="F14292">
        <v>0</v>
      </c>
      <c r="G14292">
        <v>0</v>
      </c>
      <c r="H14292">
        <v>3</v>
      </c>
      <c r="I14292" s="3">
        <v>1232.46</v>
      </c>
      <c r="J14292" s="3">
        <v>45.21</v>
      </c>
      <c r="L14292">
        <v>825</v>
      </c>
      <c r="M14292" t="s">
        <v>11611</v>
      </c>
      <c r="N14292" t="s">
        <v>30</v>
      </c>
      <c r="O14292" t="s">
        <v>31</v>
      </c>
      <c r="P14292" t="str">
        <f>"15211"</f>
        <v>15211</v>
      </c>
    </row>
    <row r="14293" spans="1:16" x14ac:dyDescent="0.25">
      <c r="A14293" t="str">
        <f>"1200020R00210    00"</f>
        <v>1200020R00210    00</v>
      </c>
      <c r="B14293" t="s">
        <v>31412</v>
      </c>
      <c r="C14293" t="s">
        <v>31413</v>
      </c>
      <c r="D14293" t="s">
        <v>20</v>
      </c>
      <c r="E14293" t="s">
        <v>39</v>
      </c>
      <c r="F14293">
        <v>0</v>
      </c>
      <c r="G14293">
        <v>0</v>
      </c>
      <c r="H14293">
        <v>1</v>
      </c>
      <c r="I14293" s="3">
        <v>159.46</v>
      </c>
      <c r="J14293" s="3">
        <v>0</v>
      </c>
      <c r="L14293">
        <v>902</v>
      </c>
      <c r="M14293" t="s">
        <v>31414</v>
      </c>
      <c r="N14293" t="s">
        <v>30</v>
      </c>
      <c r="O14293" t="s">
        <v>31</v>
      </c>
      <c r="P14293" t="str">
        <f>"15220"</f>
        <v>15220</v>
      </c>
    </row>
    <row r="14294" spans="1:16" x14ac:dyDescent="0.25">
      <c r="A14294" t="str">
        <f>"1200020R00216    00"</f>
        <v>1200020R00216    00</v>
      </c>
      <c r="B14294" t="s">
        <v>31415</v>
      </c>
      <c r="C14294" t="s">
        <v>31416</v>
      </c>
      <c r="D14294" t="s">
        <v>20</v>
      </c>
      <c r="E14294" t="s">
        <v>39</v>
      </c>
      <c r="F14294">
        <v>0</v>
      </c>
      <c r="G14294">
        <v>0</v>
      </c>
      <c r="H14294">
        <v>6</v>
      </c>
      <c r="I14294" s="3">
        <v>3754.91</v>
      </c>
      <c r="J14294" s="3">
        <v>796.03</v>
      </c>
      <c r="L14294">
        <v>1554</v>
      </c>
      <c r="M14294" t="s">
        <v>30601</v>
      </c>
      <c r="N14294" t="s">
        <v>30</v>
      </c>
      <c r="O14294" t="s">
        <v>31</v>
      </c>
      <c r="P14294" t="str">
        <f>"15205"</f>
        <v>15205</v>
      </c>
    </row>
    <row r="14295" spans="1:16" x14ac:dyDescent="0.25">
      <c r="A14295" t="str">
        <f>"1200020R00234    00"</f>
        <v>1200020R00234    00</v>
      </c>
      <c r="B14295" t="s">
        <v>31417</v>
      </c>
      <c r="C14295" t="s">
        <v>31418</v>
      </c>
      <c r="D14295" t="s">
        <v>20</v>
      </c>
      <c r="E14295" t="s">
        <v>39</v>
      </c>
      <c r="F14295">
        <v>0</v>
      </c>
      <c r="G14295">
        <v>0</v>
      </c>
      <c r="H14295">
        <v>2</v>
      </c>
      <c r="I14295" s="3">
        <v>1339.18</v>
      </c>
      <c r="J14295" s="3">
        <v>0</v>
      </c>
      <c r="L14295">
        <v>210</v>
      </c>
      <c r="M14295" t="s">
        <v>31109</v>
      </c>
      <c r="N14295" t="s">
        <v>30</v>
      </c>
      <c r="O14295" t="s">
        <v>31</v>
      </c>
      <c r="P14295" t="str">
        <f>"15220"</f>
        <v>15220</v>
      </c>
    </row>
    <row r="14296" spans="1:16" x14ac:dyDescent="0.25">
      <c r="A14296" t="str">
        <f>"1200020R00236    00"</f>
        <v>1200020R00236    00</v>
      </c>
      <c r="B14296" t="s">
        <v>31419</v>
      </c>
      <c r="C14296" t="s">
        <v>31420</v>
      </c>
      <c r="D14296" t="s">
        <v>20</v>
      </c>
      <c r="E14296" t="s">
        <v>39</v>
      </c>
      <c r="F14296">
        <v>0</v>
      </c>
      <c r="G14296">
        <v>0</v>
      </c>
      <c r="H14296">
        <v>1</v>
      </c>
      <c r="I14296" s="3">
        <v>621.38</v>
      </c>
      <c r="J14296" s="3">
        <v>0</v>
      </c>
      <c r="L14296">
        <v>315</v>
      </c>
      <c r="M14296" t="s">
        <v>16896</v>
      </c>
      <c r="N14296" t="s">
        <v>826</v>
      </c>
      <c r="O14296" t="s">
        <v>31</v>
      </c>
      <c r="P14296" t="str">
        <f>"15606"</f>
        <v>15606</v>
      </c>
    </row>
    <row r="14297" spans="1:16" x14ac:dyDescent="0.25">
      <c r="A14297" t="str">
        <f>"1200020R00238    00"</f>
        <v>1200020R00238    00</v>
      </c>
      <c r="B14297" t="s">
        <v>31421</v>
      </c>
      <c r="C14297" t="s">
        <v>31422</v>
      </c>
      <c r="D14297" t="s">
        <v>20</v>
      </c>
      <c r="E14297" t="s">
        <v>39</v>
      </c>
      <c r="F14297">
        <v>0</v>
      </c>
      <c r="G14297">
        <v>0</v>
      </c>
      <c r="H14297">
        <v>15</v>
      </c>
      <c r="I14297" s="3">
        <v>197.92</v>
      </c>
      <c r="J14297" s="3">
        <v>121.24</v>
      </c>
      <c r="L14297">
        <v>400</v>
      </c>
      <c r="M14297" t="s">
        <v>31248</v>
      </c>
      <c r="N14297" t="s">
        <v>30</v>
      </c>
      <c r="O14297" t="s">
        <v>31</v>
      </c>
      <c r="P14297" t="str">
        <f>"15220"</f>
        <v>15220</v>
      </c>
    </row>
    <row r="14298" spans="1:16" x14ac:dyDescent="0.25">
      <c r="A14298" t="str">
        <f>"1200020R00255    00"</f>
        <v>1200020R00255    00</v>
      </c>
      <c r="B14298" t="s">
        <v>31423</v>
      </c>
      <c r="C14298" t="s">
        <v>31424</v>
      </c>
      <c r="D14298" t="s">
        <v>20</v>
      </c>
      <c r="E14298" t="s">
        <v>39</v>
      </c>
      <c r="F14298">
        <v>0</v>
      </c>
      <c r="G14298">
        <v>0</v>
      </c>
      <c r="H14298">
        <v>18</v>
      </c>
      <c r="I14298" s="3">
        <v>16076.93</v>
      </c>
      <c r="J14298" s="3">
        <v>15074.36</v>
      </c>
      <c r="K14298" t="s">
        <v>31425</v>
      </c>
      <c r="L14298">
        <v>146</v>
      </c>
      <c r="M14298" t="s">
        <v>31426</v>
      </c>
      <c r="N14298" t="s">
        <v>30</v>
      </c>
      <c r="O14298" t="s">
        <v>31</v>
      </c>
      <c r="P14298" t="str">
        <f>"15229"</f>
        <v>15229</v>
      </c>
    </row>
    <row r="14299" spans="1:16" x14ac:dyDescent="0.25">
      <c r="A14299" t="str">
        <f>"1200020R00258    00"</f>
        <v>1200020R00258    00</v>
      </c>
      <c r="B14299" t="s">
        <v>23499</v>
      </c>
      <c r="C14299" t="s">
        <v>31427</v>
      </c>
      <c r="D14299" t="s">
        <v>20</v>
      </c>
      <c r="E14299" t="s">
        <v>39</v>
      </c>
      <c r="F14299">
        <v>0</v>
      </c>
      <c r="G14299">
        <v>0</v>
      </c>
      <c r="H14299">
        <v>1</v>
      </c>
      <c r="I14299" s="3">
        <v>667.1</v>
      </c>
      <c r="J14299" s="3">
        <v>0</v>
      </c>
      <c r="K14299" t="s">
        <v>23501</v>
      </c>
      <c r="M14299" t="s">
        <v>27842</v>
      </c>
      <c r="N14299" t="s">
        <v>30</v>
      </c>
      <c r="O14299" t="s">
        <v>31</v>
      </c>
      <c r="P14299" t="str">
        <f>"15211"</f>
        <v>15211</v>
      </c>
    </row>
    <row r="14300" spans="1:16" x14ac:dyDescent="0.25">
      <c r="A14300" t="str">
        <f>"1200020R00270    00"</f>
        <v>1200020R00270    00</v>
      </c>
      <c r="B14300" t="s">
        <v>31345</v>
      </c>
      <c r="C14300" t="s">
        <v>31428</v>
      </c>
      <c r="D14300" t="s">
        <v>20</v>
      </c>
      <c r="E14300" t="s">
        <v>39</v>
      </c>
      <c r="F14300">
        <v>0</v>
      </c>
      <c r="G14300">
        <v>0</v>
      </c>
      <c r="H14300">
        <v>1</v>
      </c>
      <c r="I14300" s="3">
        <v>771.94</v>
      </c>
      <c r="J14300" s="3">
        <v>0</v>
      </c>
      <c r="K14300" t="s">
        <v>31347</v>
      </c>
      <c r="M14300" t="s">
        <v>31348</v>
      </c>
      <c r="N14300" t="s">
        <v>321</v>
      </c>
      <c r="O14300" t="s">
        <v>31</v>
      </c>
      <c r="P14300" t="str">
        <f>"15001"</f>
        <v>15001</v>
      </c>
    </row>
    <row r="14301" spans="1:16" x14ac:dyDescent="0.25">
      <c r="A14301" t="str">
        <f>"1200020R00290    00"</f>
        <v>1200020R00290    00</v>
      </c>
      <c r="B14301" t="s">
        <v>31429</v>
      </c>
      <c r="C14301" t="s">
        <v>31430</v>
      </c>
      <c r="D14301" t="s">
        <v>20</v>
      </c>
      <c r="E14301" t="s">
        <v>39</v>
      </c>
      <c r="F14301">
        <v>0</v>
      </c>
      <c r="G14301">
        <v>0</v>
      </c>
      <c r="H14301">
        <v>18</v>
      </c>
      <c r="I14301" s="3">
        <v>6286.91</v>
      </c>
      <c r="J14301" s="3">
        <v>6750.5</v>
      </c>
      <c r="L14301">
        <v>1109</v>
      </c>
      <c r="M14301" t="s">
        <v>31431</v>
      </c>
      <c r="N14301" t="s">
        <v>30</v>
      </c>
      <c r="O14301" t="s">
        <v>31</v>
      </c>
      <c r="P14301" t="str">
        <f>"15205"</f>
        <v>15205</v>
      </c>
    </row>
    <row r="14302" spans="1:16" x14ac:dyDescent="0.25">
      <c r="A14302" t="str">
        <f>"1200020R00291    00"</f>
        <v>1200020R00291    00</v>
      </c>
      <c r="B14302" t="s">
        <v>31429</v>
      </c>
      <c r="C14302" t="s">
        <v>31430</v>
      </c>
      <c r="D14302" t="s">
        <v>20</v>
      </c>
      <c r="E14302" t="s">
        <v>39</v>
      </c>
      <c r="F14302">
        <v>0</v>
      </c>
      <c r="G14302">
        <v>0</v>
      </c>
      <c r="H14302">
        <v>19</v>
      </c>
      <c r="I14302" s="3">
        <v>5250.06</v>
      </c>
      <c r="J14302" s="3">
        <v>5563.88</v>
      </c>
      <c r="K14302" t="s">
        <v>31432</v>
      </c>
      <c r="L14302">
        <v>2943</v>
      </c>
      <c r="M14302" t="s">
        <v>1394</v>
      </c>
      <c r="N14302" t="s">
        <v>30</v>
      </c>
      <c r="O14302" t="s">
        <v>31</v>
      </c>
      <c r="P14302" t="str">
        <f>"15204"</f>
        <v>15204</v>
      </c>
    </row>
    <row r="14303" spans="1:16" x14ac:dyDescent="0.25">
      <c r="A14303" t="str">
        <f>"1200020R00292    00"</f>
        <v>1200020R00292    00</v>
      </c>
      <c r="B14303" t="s">
        <v>31433</v>
      </c>
      <c r="C14303" t="s">
        <v>31430</v>
      </c>
      <c r="D14303" t="s">
        <v>20</v>
      </c>
      <c r="E14303" t="s">
        <v>39</v>
      </c>
      <c r="F14303">
        <v>0</v>
      </c>
      <c r="G14303">
        <v>0</v>
      </c>
      <c r="H14303">
        <v>19</v>
      </c>
      <c r="I14303" s="3">
        <v>345.61</v>
      </c>
      <c r="J14303" s="3">
        <v>317.66000000000003</v>
      </c>
      <c r="K14303" t="s">
        <v>1037</v>
      </c>
      <c r="L14303">
        <v>119</v>
      </c>
      <c r="M14303" t="s">
        <v>31434</v>
      </c>
      <c r="N14303" t="s">
        <v>30</v>
      </c>
      <c r="O14303" t="s">
        <v>31</v>
      </c>
      <c r="P14303" t="str">
        <f>"15220"</f>
        <v>15220</v>
      </c>
    </row>
    <row r="14304" spans="1:16" x14ac:dyDescent="0.25">
      <c r="A14304" t="str">
        <f>"1200020R00293    00"</f>
        <v>1200020R00293    00</v>
      </c>
      <c r="B14304" t="s">
        <v>31435</v>
      </c>
      <c r="C14304" t="s">
        <v>31436</v>
      </c>
      <c r="D14304" t="s">
        <v>20</v>
      </c>
      <c r="E14304" t="s">
        <v>39</v>
      </c>
      <c r="F14304">
        <v>0</v>
      </c>
      <c r="G14304">
        <v>0</v>
      </c>
      <c r="H14304">
        <v>18</v>
      </c>
      <c r="I14304" s="3">
        <v>5143.3599999999997</v>
      </c>
      <c r="J14304" s="3">
        <v>5732.8</v>
      </c>
      <c r="L14304">
        <v>121</v>
      </c>
      <c r="M14304" t="s">
        <v>31434</v>
      </c>
      <c r="N14304" t="s">
        <v>30</v>
      </c>
      <c r="O14304" t="s">
        <v>31</v>
      </c>
      <c r="P14304" t="str">
        <f>"15220"</f>
        <v>15220</v>
      </c>
    </row>
    <row r="14305" spans="1:16" x14ac:dyDescent="0.25">
      <c r="A14305" t="str">
        <f>"1200020R00294    00"</f>
        <v>1200020R00294    00</v>
      </c>
      <c r="B14305" t="s">
        <v>31437</v>
      </c>
      <c r="C14305" t="s">
        <v>31430</v>
      </c>
      <c r="D14305" t="s">
        <v>20</v>
      </c>
      <c r="E14305" t="s">
        <v>39</v>
      </c>
      <c r="F14305">
        <v>0</v>
      </c>
      <c r="G14305">
        <v>0</v>
      </c>
      <c r="H14305">
        <v>19</v>
      </c>
      <c r="I14305" s="3">
        <v>345.61</v>
      </c>
      <c r="J14305" s="3">
        <v>317.66000000000003</v>
      </c>
      <c r="L14305">
        <v>121</v>
      </c>
      <c r="M14305" t="s">
        <v>31434</v>
      </c>
      <c r="N14305" t="s">
        <v>30</v>
      </c>
      <c r="O14305" t="s">
        <v>31</v>
      </c>
      <c r="P14305" t="str">
        <f>"15220"</f>
        <v>15220</v>
      </c>
    </row>
    <row r="14306" spans="1:16" x14ac:dyDescent="0.25">
      <c r="A14306" t="str">
        <f>"1200020R00296    00"</f>
        <v>1200020R00296    00</v>
      </c>
      <c r="B14306" t="s">
        <v>31438</v>
      </c>
      <c r="C14306" t="s">
        <v>31430</v>
      </c>
      <c r="D14306" t="s">
        <v>20</v>
      </c>
      <c r="E14306" t="s">
        <v>39</v>
      </c>
      <c r="F14306">
        <v>0</v>
      </c>
      <c r="G14306">
        <v>0</v>
      </c>
      <c r="H14306">
        <v>18</v>
      </c>
      <c r="I14306" s="3">
        <v>8722.43</v>
      </c>
      <c r="J14306" s="3">
        <v>7191.01</v>
      </c>
      <c r="L14306">
        <v>1731</v>
      </c>
      <c r="M14306" t="s">
        <v>208</v>
      </c>
      <c r="N14306" t="s">
        <v>30</v>
      </c>
      <c r="O14306" t="s">
        <v>31</v>
      </c>
      <c r="P14306" t="str">
        <f>"15219"</f>
        <v>15219</v>
      </c>
    </row>
    <row r="14307" spans="1:16" x14ac:dyDescent="0.25">
      <c r="A14307" t="str">
        <f>"1200020R00303    00"</f>
        <v>1200020R00303    00</v>
      </c>
      <c r="B14307" t="s">
        <v>31439</v>
      </c>
      <c r="C14307" t="s">
        <v>31430</v>
      </c>
      <c r="D14307" t="s">
        <v>20</v>
      </c>
      <c r="E14307" t="s">
        <v>39</v>
      </c>
      <c r="F14307">
        <v>0</v>
      </c>
      <c r="G14307">
        <v>0</v>
      </c>
      <c r="H14307">
        <v>19</v>
      </c>
      <c r="I14307" s="3">
        <v>4313.79</v>
      </c>
      <c r="J14307" s="3">
        <v>3397.09</v>
      </c>
      <c r="K14307" t="s">
        <v>31440</v>
      </c>
      <c r="L14307">
        <v>310</v>
      </c>
      <c r="M14307" t="s">
        <v>31248</v>
      </c>
      <c r="N14307" t="s">
        <v>30</v>
      </c>
      <c r="O14307" t="s">
        <v>31</v>
      </c>
      <c r="P14307" t="str">
        <f>"15220"</f>
        <v>15220</v>
      </c>
    </row>
    <row r="14308" spans="1:16" x14ac:dyDescent="0.25">
      <c r="A14308" t="str">
        <f>"1200020R00306    00"</f>
        <v>1200020R00306    00</v>
      </c>
      <c r="B14308" t="s">
        <v>31441</v>
      </c>
      <c r="C14308" t="s">
        <v>31430</v>
      </c>
      <c r="D14308" t="s">
        <v>20</v>
      </c>
      <c r="E14308" t="s">
        <v>39</v>
      </c>
      <c r="F14308">
        <v>0</v>
      </c>
      <c r="G14308">
        <v>0</v>
      </c>
      <c r="H14308">
        <v>19</v>
      </c>
      <c r="I14308" s="3">
        <v>345.61</v>
      </c>
      <c r="J14308" s="3">
        <v>317.66000000000003</v>
      </c>
      <c r="K14308" t="s">
        <v>1037</v>
      </c>
      <c r="L14308">
        <v>125</v>
      </c>
      <c r="M14308" t="s">
        <v>31434</v>
      </c>
      <c r="N14308" t="s">
        <v>30</v>
      </c>
      <c r="O14308" t="s">
        <v>31</v>
      </c>
      <c r="P14308" t="str">
        <f>"15220"</f>
        <v>15220</v>
      </c>
    </row>
    <row r="14309" spans="1:16" x14ac:dyDescent="0.25">
      <c r="A14309" t="str">
        <f>"1200020R00307    00"</f>
        <v>1200020R00307    00</v>
      </c>
      <c r="B14309" t="s">
        <v>31442</v>
      </c>
      <c r="C14309" t="s">
        <v>31430</v>
      </c>
      <c r="D14309" t="s">
        <v>20</v>
      </c>
      <c r="E14309" t="s">
        <v>39</v>
      </c>
      <c r="F14309">
        <v>0</v>
      </c>
      <c r="G14309">
        <v>0</v>
      </c>
      <c r="H14309">
        <v>19</v>
      </c>
      <c r="I14309" s="3">
        <v>345.61</v>
      </c>
      <c r="J14309" s="3">
        <v>317.66000000000003</v>
      </c>
      <c r="K14309" t="s">
        <v>1037</v>
      </c>
      <c r="L14309">
        <v>125</v>
      </c>
      <c r="M14309" t="s">
        <v>31434</v>
      </c>
      <c r="N14309" t="s">
        <v>30</v>
      </c>
      <c r="O14309" t="s">
        <v>31</v>
      </c>
      <c r="P14309" t="str">
        <f>"15220"</f>
        <v>15220</v>
      </c>
    </row>
    <row r="14310" spans="1:16" x14ac:dyDescent="0.25">
      <c r="A14310" t="str">
        <f>"1200020R00310    00"</f>
        <v>1200020R00310    00</v>
      </c>
      <c r="B14310" t="s">
        <v>31443</v>
      </c>
      <c r="C14310" t="s">
        <v>31430</v>
      </c>
      <c r="D14310" t="s">
        <v>20</v>
      </c>
      <c r="E14310" t="s">
        <v>39</v>
      </c>
      <c r="F14310">
        <v>0</v>
      </c>
      <c r="G14310">
        <v>0</v>
      </c>
      <c r="H14310">
        <v>2</v>
      </c>
      <c r="I14310" s="3">
        <v>61</v>
      </c>
      <c r="J14310" s="3">
        <v>0</v>
      </c>
      <c r="K14310" t="s">
        <v>4397</v>
      </c>
      <c r="M14310" t="s">
        <v>7715</v>
      </c>
      <c r="N14310" t="s">
        <v>7716</v>
      </c>
      <c r="O14310" t="s">
        <v>3486</v>
      </c>
      <c r="P14310" t="str">
        <f>"60197"</f>
        <v>60197</v>
      </c>
    </row>
    <row r="14311" spans="1:16" x14ac:dyDescent="0.25">
      <c r="A14311" t="str">
        <f>"1200020R00323    00"</f>
        <v>1200020R00323    00</v>
      </c>
      <c r="B14311" t="s">
        <v>23499</v>
      </c>
      <c r="C14311" t="s">
        <v>31444</v>
      </c>
      <c r="D14311" t="s">
        <v>20</v>
      </c>
      <c r="E14311" t="s">
        <v>39</v>
      </c>
      <c r="F14311">
        <v>0</v>
      </c>
      <c r="G14311">
        <v>0</v>
      </c>
      <c r="H14311">
        <v>2</v>
      </c>
      <c r="I14311" s="3">
        <v>1845.04</v>
      </c>
      <c r="J14311" s="3">
        <v>0</v>
      </c>
      <c r="K14311" t="s">
        <v>23501</v>
      </c>
      <c r="L14311">
        <v>825</v>
      </c>
      <c r="M14311" t="s">
        <v>11611</v>
      </c>
      <c r="N14311" t="s">
        <v>30</v>
      </c>
      <c r="O14311" t="s">
        <v>31</v>
      </c>
      <c r="P14311" t="str">
        <f>"15211"</f>
        <v>15211</v>
      </c>
    </row>
    <row r="14312" spans="1:16" x14ac:dyDescent="0.25">
      <c r="A14312" t="str">
        <f>"1200020R00325    00"</f>
        <v>1200020R00325    00</v>
      </c>
      <c r="B14312" t="s">
        <v>31185</v>
      </c>
      <c r="C14312" t="s">
        <v>31445</v>
      </c>
      <c r="D14312" t="s">
        <v>20</v>
      </c>
      <c r="E14312" t="s">
        <v>39</v>
      </c>
      <c r="F14312">
        <v>0</v>
      </c>
      <c r="G14312">
        <v>0</v>
      </c>
      <c r="H14312">
        <v>2</v>
      </c>
      <c r="I14312" s="3">
        <v>1677.28</v>
      </c>
      <c r="J14312" s="3">
        <v>0</v>
      </c>
      <c r="K14312" t="s">
        <v>31187</v>
      </c>
      <c r="L14312">
        <v>825</v>
      </c>
      <c r="M14312" t="s">
        <v>11611</v>
      </c>
      <c r="N14312" t="s">
        <v>30</v>
      </c>
      <c r="O14312" t="s">
        <v>31</v>
      </c>
      <c r="P14312" t="str">
        <f>"15211"</f>
        <v>15211</v>
      </c>
    </row>
    <row r="14313" spans="1:16" x14ac:dyDescent="0.25">
      <c r="A14313" t="str">
        <f>"1200020R00327    00"</f>
        <v>1200020R00327    00</v>
      </c>
      <c r="B14313" t="s">
        <v>31185</v>
      </c>
      <c r="C14313" t="s">
        <v>31446</v>
      </c>
      <c r="D14313" t="s">
        <v>20</v>
      </c>
      <c r="E14313" t="s">
        <v>39</v>
      </c>
      <c r="F14313">
        <v>0</v>
      </c>
      <c r="G14313">
        <v>0</v>
      </c>
      <c r="H14313">
        <v>2</v>
      </c>
      <c r="I14313" s="3">
        <v>1585.84</v>
      </c>
      <c r="J14313" s="3">
        <v>0</v>
      </c>
      <c r="K14313" t="s">
        <v>31187</v>
      </c>
      <c r="L14313">
        <v>825</v>
      </c>
      <c r="M14313" t="s">
        <v>11611</v>
      </c>
      <c r="N14313" t="s">
        <v>30</v>
      </c>
      <c r="O14313" t="s">
        <v>31</v>
      </c>
      <c r="P14313" t="str">
        <f>"15211"</f>
        <v>15211</v>
      </c>
    </row>
    <row r="14314" spans="1:16" x14ac:dyDescent="0.25">
      <c r="A14314" t="str">
        <f>"1200020R00338    00"</f>
        <v>1200020R00338    00</v>
      </c>
      <c r="B14314" t="s">
        <v>31447</v>
      </c>
      <c r="C14314" t="s">
        <v>31448</v>
      </c>
      <c r="D14314" t="s">
        <v>20</v>
      </c>
      <c r="E14314" t="s">
        <v>39</v>
      </c>
      <c r="F14314">
        <v>0</v>
      </c>
      <c r="G14314">
        <v>0</v>
      </c>
      <c r="H14314">
        <v>19</v>
      </c>
      <c r="I14314" s="3">
        <v>4461.7299999999996</v>
      </c>
      <c r="J14314" s="3">
        <v>3610.22</v>
      </c>
      <c r="L14314">
        <v>2129</v>
      </c>
      <c r="M14314" t="s">
        <v>31449</v>
      </c>
      <c r="N14314" t="s">
        <v>30</v>
      </c>
      <c r="O14314" t="s">
        <v>31</v>
      </c>
      <c r="P14314" t="str">
        <f>"15217"</f>
        <v>15217</v>
      </c>
    </row>
    <row r="14315" spans="1:16" x14ac:dyDescent="0.25">
      <c r="A14315" t="str">
        <f>"1200020R00340    00"</f>
        <v>1200020R00340    00</v>
      </c>
      <c r="B14315" t="s">
        <v>31450</v>
      </c>
      <c r="C14315" t="s">
        <v>31448</v>
      </c>
      <c r="D14315" t="s">
        <v>20</v>
      </c>
      <c r="E14315" t="s">
        <v>39</v>
      </c>
      <c r="F14315">
        <v>0</v>
      </c>
      <c r="G14315">
        <v>0</v>
      </c>
      <c r="H14315">
        <v>19</v>
      </c>
      <c r="I14315" s="3">
        <v>4320.47</v>
      </c>
      <c r="J14315" s="3">
        <v>4387.57</v>
      </c>
      <c r="L14315">
        <v>439</v>
      </c>
      <c r="M14315" t="s">
        <v>31451</v>
      </c>
      <c r="N14315" t="s">
        <v>199</v>
      </c>
      <c r="O14315" t="s">
        <v>200</v>
      </c>
      <c r="P14315" t="str">
        <f>"10027"</f>
        <v>10027</v>
      </c>
    </row>
    <row r="14316" spans="1:16" x14ac:dyDescent="0.25">
      <c r="A14316" t="str">
        <f>"1200020R00341    00"</f>
        <v>1200020R00341    00</v>
      </c>
      <c r="B14316" t="s">
        <v>31452</v>
      </c>
      <c r="C14316" t="s">
        <v>31453</v>
      </c>
      <c r="D14316" t="s">
        <v>20</v>
      </c>
      <c r="E14316" t="s">
        <v>39</v>
      </c>
      <c r="F14316">
        <v>0</v>
      </c>
      <c r="G14316">
        <v>0</v>
      </c>
      <c r="H14316">
        <v>6</v>
      </c>
      <c r="I14316" s="3">
        <v>1266.4000000000001</v>
      </c>
      <c r="J14316" s="3">
        <v>292.56</v>
      </c>
      <c r="K14316" t="s">
        <v>31454</v>
      </c>
      <c r="L14316">
        <v>124</v>
      </c>
      <c r="M14316" t="s">
        <v>31455</v>
      </c>
      <c r="N14316" t="s">
        <v>30</v>
      </c>
      <c r="O14316" t="s">
        <v>31</v>
      </c>
      <c r="P14316" t="str">
        <f>"15212"</f>
        <v>15212</v>
      </c>
    </row>
    <row r="14317" spans="1:16" x14ac:dyDescent="0.25">
      <c r="A14317" t="str">
        <f>"1200020S00001    00"</f>
        <v>1200020S00001    00</v>
      </c>
      <c r="B14317" t="s">
        <v>31258</v>
      </c>
      <c r="C14317" t="s">
        <v>31205</v>
      </c>
      <c r="D14317" t="s">
        <v>20</v>
      </c>
      <c r="E14317" t="s">
        <v>39</v>
      </c>
      <c r="F14317">
        <v>0</v>
      </c>
      <c r="G14317">
        <v>0</v>
      </c>
      <c r="H14317">
        <v>1</v>
      </c>
      <c r="I14317" s="3">
        <v>30.67</v>
      </c>
      <c r="J14317" s="3">
        <v>8.43</v>
      </c>
      <c r="K14317" t="s">
        <v>31260</v>
      </c>
      <c r="L14317">
        <v>1661</v>
      </c>
      <c r="M14317" t="s">
        <v>30769</v>
      </c>
      <c r="N14317" t="s">
        <v>4652</v>
      </c>
      <c r="O14317" t="s">
        <v>370</v>
      </c>
      <c r="P14317" t="str">
        <f>"33145"</f>
        <v>33145</v>
      </c>
    </row>
    <row r="14318" spans="1:16" x14ac:dyDescent="0.25">
      <c r="A14318" t="str">
        <f>"1200020S00013    00"</f>
        <v>1200020S00013    00</v>
      </c>
      <c r="B14318" t="s">
        <v>31185</v>
      </c>
      <c r="C14318" t="s">
        <v>31456</v>
      </c>
      <c r="D14318" t="s">
        <v>20</v>
      </c>
      <c r="E14318" t="s">
        <v>39</v>
      </c>
      <c r="F14318">
        <v>0</v>
      </c>
      <c r="G14318">
        <v>0</v>
      </c>
      <c r="H14318">
        <v>2</v>
      </c>
      <c r="I14318" s="3">
        <v>1582</v>
      </c>
      <c r="J14318" s="3">
        <v>0</v>
      </c>
      <c r="L14318">
        <v>825</v>
      </c>
      <c r="M14318" t="s">
        <v>11611</v>
      </c>
      <c r="N14318" t="s">
        <v>30</v>
      </c>
      <c r="O14318" t="s">
        <v>31</v>
      </c>
      <c r="P14318" t="str">
        <f>"15211"</f>
        <v>15211</v>
      </c>
    </row>
    <row r="14319" spans="1:16" x14ac:dyDescent="0.25">
      <c r="A14319" t="str">
        <f>"1200020S00019    00"</f>
        <v>1200020S00019    00</v>
      </c>
      <c r="B14319" t="s">
        <v>23499</v>
      </c>
      <c r="C14319" t="s">
        <v>31457</v>
      </c>
      <c r="D14319" t="s">
        <v>20</v>
      </c>
      <c r="E14319" t="s">
        <v>39</v>
      </c>
      <c r="F14319">
        <v>0</v>
      </c>
      <c r="G14319">
        <v>0</v>
      </c>
      <c r="H14319">
        <v>2</v>
      </c>
      <c r="I14319" s="3">
        <v>2287.2399999999998</v>
      </c>
      <c r="J14319" s="3">
        <v>0</v>
      </c>
      <c r="K14319" t="s">
        <v>23501</v>
      </c>
      <c r="L14319">
        <v>825</v>
      </c>
      <c r="M14319" t="s">
        <v>11611</v>
      </c>
      <c r="N14319" t="s">
        <v>30</v>
      </c>
      <c r="O14319" t="s">
        <v>31</v>
      </c>
      <c r="P14319" t="str">
        <f>"15211"</f>
        <v>15211</v>
      </c>
    </row>
    <row r="14320" spans="1:16" x14ac:dyDescent="0.25">
      <c r="A14320" t="str">
        <f>"1200020S00026    00"</f>
        <v>1200020S00026    00</v>
      </c>
      <c r="B14320" t="s">
        <v>31458</v>
      </c>
      <c r="C14320" t="s">
        <v>31459</v>
      </c>
      <c r="D14320" t="s">
        <v>20</v>
      </c>
      <c r="E14320" t="s">
        <v>39</v>
      </c>
      <c r="F14320">
        <v>0</v>
      </c>
      <c r="G14320">
        <v>0</v>
      </c>
      <c r="H14320">
        <v>4</v>
      </c>
      <c r="I14320" s="3">
        <v>2884</v>
      </c>
      <c r="J14320" s="3">
        <v>198.1</v>
      </c>
      <c r="L14320">
        <v>508</v>
      </c>
      <c r="M14320" t="s">
        <v>31248</v>
      </c>
      <c r="N14320" t="s">
        <v>30</v>
      </c>
      <c r="O14320" t="s">
        <v>31</v>
      </c>
      <c r="P14320" t="str">
        <f>"15220"</f>
        <v>15220</v>
      </c>
    </row>
    <row r="14321" spans="1:16" x14ac:dyDescent="0.25">
      <c r="A14321" t="str">
        <f>"1200020S00045    00"</f>
        <v>1200020S00045    00</v>
      </c>
      <c r="B14321" t="s">
        <v>31261</v>
      </c>
      <c r="C14321" t="s">
        <v>31460</v>
      </c>
      <c r="E14321" t="s">
        <v>39</v>
      </c>
      <c r="F14321">
        <v>0</v>
      </c>
      <c r="G14321">
        <v>0</v>
      </c>
      <c r="H14321">
        <v>1</v>
      </c>
      <c r="I14321" s="3">
        <v>962.54</v>
      </c>
      <c r="J14321" s="3">
        <v>0</v>
      </c>
      <c r="L14321">
        <v>109</v>
      </c>
      <c r="M14321" t="s">
        <v>31191</v>
      </c>
      <c r="N14321" t="s">
        <v>30</v>
      </c>
      <c r="O14321" t="s">
        <v>31</v>
      </c>
      <c r="P14321" t="str">
        <f>"15220"</f>
        <v>15220</v>
      </c>
    </row>
    <row r="14322" spans="1:16" x14ac:dyDescent="0.25">
      <c r="A14322" t="str">
        <f>"1200020S00058    00"</f>
        <v>1200020S00058    00</v>
      </c>
      <c r="B14322" t="s">
        <v>23499</v>
      </c>
      <c r="C14322" t="s">
        <v>31461</v>
      </c>
      <c r="D14322" t="s">
        <v>20</v>
      </c>
      <c r="E14322" t="s">
        <v>39</v>
      </c>
      <c r="F14322">
        <v>0</v>
      </c>
      <c r="G14322">
        <v>0</v>
      </c>
      <c r="H14322">
        <v>1</v>
      </c>
      <c r="I14322" s="3">
        <v>1202.7</v>
      </c>
      <c r="J14322" s="3">
        <v>0</v>
      </c>
      <c r="K14322" t="s">
        <v>23501</v>
      </c>
      <c r="M14322" t="s">
        <v>27842</v>
      </c>
      <c r="N14322" t="s">
        <v>30</v>
      </c>
      <c r="O14322" t="s">
        <v>31</v>
      </c>
      <c r="P14322" t="str">
        <f>"15211"</f>
        <v>15211</v>
      </c>
    </row>
    <row r="14323" spans="1:16" x14ac:dyDescent="0.25">
      <c r="A14323" t="str">
        <f>"1200020S00063    00"</f>
        <v>1200020S00063    00</v>
      </c>
      <c r="B14323" t="s">
        <v>11004</v>
      </c>
      <c r="C14323" t="s">
        <v>31462</v>
      </c>
      <c r="D14323" t="s">
        <v>20</v>
      </c>
      <c r="E14323" t="s">
        <v>39</v>
      </c>
      <c r="F14323">
        <v>0</v>
      </c>
      <c r="G14323">
        <v>0</v>
      </c>
      <c r="H14323">
        <v>3</v>
      </c>
      <c r="I14323" s="3">
        <v>5758.05</v>
      </c>
      <c r="J14323" s="3">
        <v>383.86</v>
      </c>
      <c r="K14323" t="s">
        <v>11006</v>
      </c>
      <c r="L14323">
        <v>405</v>
      </c>
      <c r="M14323" t="s">
        <v>11007</v>
      </c>
      <c r="N14323" t="s">
        <v>11008</v>
      </c>
      <c r="O14323" t="s">
        <v>370</v>
      </c>
      <c r="P14323" t="str">
        <f>"32092"</f>
        <v>32092</v>
      </c>
    </row>
    <row r="14324" spans="1:16" x14ac:dyDescent="0.25">
      <c r="A14324" t="str">
        <f>"1200020S00068    00"</f>
        <v>1200020S00068    00</v>
      </c>
      <c r="B14324" t="s">
        <v>31463</v>
      </c>
      <c r="C14324" t="s">
        <v>31464</v>
      </c>
      <c r="D14324" t="s">
        <v>20</v>
      </c>
      <c r="E14324" t="s">
        <v>39</v>
      </c>
      <c r="F14324">
        <v>0</v>
      </c>
      <c r="G14324">
        <v>0</v>
      </c>
      <c r="H14324">
        <v>1</v>
      </c>
      <c r="I14324" s="3">
        <v>484.6</v>
      </c>
      <c r="J14324" s="3">
        <v>0</v>
      </c>
      <c r="L14324">
        <v>148</v>
      </c>
      <c r="M14324" t="s">
        <v>15764</v>
      </c>
      <c r="N14324" t="s">
        <v>30</v>
      </c>
      <c r="O14324" t="s">
        <v>31</v>
      </c>
      <c r="P14324" t="str">
        <f t="shared" ref="P14324:P14329" si="181">"15220"</f>
        <v>15220</v>
      </c>
    </row>
    <row r="14325" spans="1:16" x14ac:dyDescent="0.25">
      <c r="A14325" t="str">
        <f>"1200020S00070    00"</f>
        <v>1200020S00070    00</v>
      </c>
      <c r="B14325" t="s">
        <v>31465</v>
      </c>
      <c r="C14325" t="s">
        <v>31448</v>
      </c>
      <c r="D14325" t="s">
        <v>20</v>
      </c>
      <c r="E14325" t="s">
        <v>39</v>
      </c>
      <c r="F14325">
        <v>0</v>
      </c>
      <c r="G14325">
        <v>0</v>
      </c>
      <c r="H14325">
        <v>7</v>
      </c>
      <c r="I14325" s="3">
        <v>6197.96</v>
      </c>
      <c r="J14325" s="3">
        <v>9183.6200000000008</v>
      </c>
      <c r="K14325" t="s">
        <v>31466</v>
      </c>
      <c r="L14325">
        <v>148</v>
      </c>
      <c r="M14325" t="s">
        <v>15764</v>
      </c>
      <c r="N14325" t="s">
        <v>30</v>
      </c>
      <c r="O14325" t="s">
        <v>31</v>
      </c>
      <c r="P14325" t="str">
        <f t="shared" si="181"/>
        <v>15220</v>
      </c>
    </row>
    <row r="14326" spans="1:16" x14ac:dyDescent="0.25">
      <c r="A14326" t="str">
        <f>"1200020S00094    00"</f>
        <v>1200020S00094    00</v>
      </c>
      <c r="B14326" t="s">
        <v>31467</v>
      </c>
      <c r="C14326" t="s">
        <v>31468</v>
      </c>
      <c r="D14326" t="s">
        <v>20</v>
      </c>
      <c r="E14326" t="s">
        <v>39</v>
      </c>
      <c r="F14326">
        <v>0</v>
      </c>
      <c r="G14326">
        <v>0</v>
      </c>
      <c r="H14326">
        <v>4</v>
      </c>
      <c r="I14326" s="3">
        <v>402.53</v>
      </c>
      <c r="J14326" s="3">
        <v>47.56</v>
      </c>
      <c r="L14326">
        <v>205</v>
      </c>
      <c r="M14326" t="s">
        <v>26704</v>
      </c>
      <c r="N14326" t="s">
        <v>30</v>
      </c>
      <c r="O14326" t="s">
        <v>31</v>
      </c>
      <c r="P14326" t="str">
        <f t="shared" si="181"/>
        <v>15220</v>
      </c>
    </row>
    <row r="14327" spans="1:16" x14ac:dyDescent="0.25">
      <c r="A14327" t="str">
        <f>"1200020S00097    00"</f>
        <v>1200020S00097    00</v>
      </c>
      <c r="B14327" t="s">
        <v>31469</v>
      </c>
      <c r="C14327" t="s">
        <v>30766</v>
      </c>
      <c r="D14327" t="s">
        <v>20</v>
      </c>
      <c r="E14327" t="s">
        <v>39</v>
      </c>
      <c r="F14327">
        <v>0</v>
      </c>
      <c r="G14327">
        <v>0</v>
      </c>
      <c r="H14327">
        <v>19</v>
      </c>
      <c r="I14327" s="3">
        <v>4250</v>
      </c>
      <c r="J14327" s="3">
        <v>3363.41</v>
      </c>
      <c r="L14327">
        <v>305</v>
      </c>
      <c r="M14327" t="s">
        <v>31248</v>
      </c>
      <c r="N14327" t="s">
        <v>30</v>
      </c>
      <c r="O14327" t="s">
        <v>31</v>
      </c>
      <c r="P14327" t="str">
        <f t="shared" si="181"/>
        <v>15220</v>
      </c>
    </row>
    <row r="14328" spans="1:16" x14ac:dyDescent="0.25">
      <c r="A14328" t="str">
        <f>"1200020S00100    00"</f>
        <v>1200020S00100    00</v>
      </c>
      <c r="B14328" t="s">
        <v>31467</v>
      </c>
      <c r="C14328" t="s">
        <v>31470</v>
      </c>
      <c r="D14328" t="s">
        <v>20</v>
      </c>
      <c r="E14328" t="s">
        <v>39</v>
      </c>
      <c r="F14328">
        <v>0</v>
      </c>
      <c r="G14328">
        <v>0</v>
      </c>
      <c r="H14328">
        <v>4</v>
      </c>
      <c r="I14328" s="3">
        <v>2020.1</v>
      </c>
      <c r="J14328" s="3">
        <v>238.63</v>
      </c>
      <c r="L14328">
        <v>205</v>
      </c>
      <c r="M14328" t="s">
        <v>26704</v>
      </c>
      <c r="N14328" t="s">
        <v>30</v>
      </c>
      <c r="O14328" t="s">
        <v>31</v>
      </c>
      <c r="P14328" t="str">
        <f t="shared" si="181"/>
        <v>15220</v>
      </c>
    </row>
    <row r="14329" spans="1:16" x14ac:dyDescent="0.25">
      <c r="A14329" t="str">
        <f>"1200020S00102    00"</f>
        <v>1200020S00102    00</v>
      </c>
      <c r="B14329" t="s">
        <v>31469</v>
      </c>
      <c r="C14329" t="s">
        <v>31471</v>
      </c>
      <c r="E14329" t="s">
        <v>39</v>
      </c>
      <c r="F14329">
        <v>0</v>
      </c>
      <c r="G14329">
        <v>0</v>
      </c>
      <c r="H14329">
        <v>3</v>
      </c>
      <c r="I14329" s="3">
        <v>752.8</v>
      </c>
      <c r="J14329" s="3">
        <v>6.27</v>
      </c>
      <c r="L14329">
        <v>303</v>
      </c>
      <c r="M14329" t="s">
        <v>26704</v>
      </c>
      <c r="N14329" t="s">
        <v>30</v>
      </c>
      <c r="O14329" t="s">
        <v>31</v>
      </c>
      <c r="P14329" t="str">
        <f t="shared" si="181"/>
        <v>15220</v>
      </c>
    </row>
    <row r="14330" spans="1:16" x14ac:dyDescent="0.25">
      <c r="A14330" t="str">
        <f>"1200020S00110    00"</f>
        <v>1200020S00110    00</v>
      </c>
      <c r="B14330" t="s">
        <v>31472</v>
      </c>
      <c r="C14330" t="s">
        <v>31473</v>
      </c>
      <c r="D14330" t="s">
        <v>20</v>
      </c>
      <c r="E14330" t="s">
        <v>39</v>
      </c>
      <c r="F14330">
        <v>0</v>
      </c>
      <c r="G14330">
        <v>0</v>
      </c>
      <c r="H14330">
        <v>14</v>
      </c>
      <c r="I14330" s="3">
        <v>9622.5</v>
      </c>
      <c r="J14330" s="3">
        <v>5854.29</v>
      </c>
      <c r="L14330">
        <v>763</v>
      </c>
      <c r="M14330" t="s">
        <v>31474</v>
      </c>
      <c r="N14330" t="s">
        <v>31475</v>
      </c>
      <c r="O14330" t="s">
        <v>31</v>
      </c>
      <c r="P14330" t="str">
        <f>"15010"</f>
        <v>15010</v>
      </c>
    </row>
    <row r="14331" spans="1:16" x14ac:dyDescent="0.25">
      <c r="A14331" t="str">
        <f>"1200020S00121    00"</f>
        <v>1200020S00121    00</v>
      </c>
      <c r="B14331" t="s">
        <v>31476</v>
      </c>
      <c r="C14331" t="s">
        <v>30766</v>
      </c>
      <c r="D14331" t="s">
        <v>20</v>
      </c>
      <c r="E14331" t="s">
        <v>39</v>
      </c>
      <c r="F14331">
        <v>0</v>
      </c>
      <c r="G14331">
        <v>0</v>
      </c>
      <c r="H14331">
        <v>2</v>
      </c>
      <c r="I14331" s="3">
        <v>61</v>
      </c>
      <c r="J14331" s="3">
        <v>0</v>
      </c>
      <c r="L14331">
        <v>148</v>
      </c>
      <c r="M14331" t="s">
        <v>26704</v>
      </c>
      <c r="N14331" t="s">
        <v>30</v>
      </c>
      <c r="O14331" t="s">
        <v>31</v>
      </c>
      <c r="P14331" t="str">
        <f>"15220"</f>
        <v>15220</v>
      </c>
    </row>
    <row r="14332" spans="1:16" x14ac:dyDescent="0.25">
      <c r="A14332" t="str">
        <f>"1200020S00123    00"</f>
        <v>1200020S00123    00</v>
      </c>
      <c r="B14332" t="s">
        <v>31476</v>
      </c>
      <c r="C14332" t="s">
        <v>31477</v>
      </c>
      <c r="D14332" t="s">
        <v>20</v>
      </c>
      <c r="E14332" t="s">
        <v>39</v>
      </c>
      <c r="F14332">
        <v>0</v>
      </c>
      <c r="G14332">
        <v>0</v>
      </c>
      <c r="H14332">
        <v>2</v>
      </c>
      <c r="I14332" s="3">
        <v>1163.6400000000001</v>
      </c>
      <c r="J14332" s="3">
        <v>0</v>
      </c>
      <c r="L14332">
        <v>148</v>
      </c>
      <c r="M14332" t="s">
        <v>26704</v>
      </c>
      <c r="N14332" t="s">
        <v>30</v>
      </c>
      <c r="O14332" t="s">
        <v>31</v>
      </c>
      <c r="P14332" t="str">
        <f>"15220"</f>
        <v>15220</v>
      </c>
    </row>
    <row r="14333" spans="1:16" x14ac:dyDescent="0.25">
      <c r="A14333" t="str">
        <f>"1200020S00126    00"</f>
        <v>1200020S00126    00</v>
      </c>
      <c r="B14333" t="s">
        <v>31478</v>
      </c>
      <c r="C14333" t="s">
        <v>30766</v>
      </c>
      <c r="D14333" t="s">
        <v>20</v>
      </c>
      <c r="E14333" t="s">
        <v>39</v>
      </c>
      <c r="F14333">
        <v>0</v>
      </c>
      <c r="G14333">
        <v>0</v>
      </c>
      <c r="H14333">
        <v>19</v>
      </c>
      <c r="I14333" s="3">
        <v>1710.32</v>
      </c>
      <c r="J14333" s="3">
        <v>2163.86</v>
      </c>
      <c r="K14333" t="s">
        <v>1008</v>
      </c>
      <c r="P14333" t="str">
        <f>""</f>
        <v/>
      </c>
    </row>
    <row r="14334" spans="1:16" x14ac:dyDescent="0.25">
      <c r="A14334" t="str">
        <f>"1200020S00128    00"</f>
        <v>1200020S00128    00</v>
      </c>
      <c r="B14334" t="s">
        <v>31467</v>
      </c>
      <c r="C14334" t="s">
        <v>30766</v>
      </c>
      <c r="D14334" t="s">
        <v>20</v>
      </c>
      <c r="E14334" t="s">
        <v>39</v>
      </c>
      <c r="F14334">
        <v>0</v>
      </c>
      <c r="G14334">
        <v>0</v>
      </c>
      <c r="H14334">
        <v>4</v>
      </c>
      <c r="I14334" s="3">
        <v>158.47999999999999</v>
      </c>
      <c r="J14334" s="3">
        <v>19.53</v>
      </c>
      <c r="L14334">
        <v>205</v>
      </c>
      <c r="M14334" t="s">
        <v>26704</v>
      </c>
      <c r="N14334" t="s">
        <v>30</v>
      </c>
      <c r="O14334" t="s">
        <v>31</v>
      </c>
      <c r="P14334" t="str">
        <f>"15220"</f>
        <v>15220</v>
      </c>
    </row>
    <row r="14335" spans="1:16" x14ac:dyDescent="0.25">
      <c r="A14335" t="str">
        <f>"1200020S00129    00"</f>
        <v>1200020S00129    00</v>
      </c>
      <c r="B14335" t="s">
        <v>31479</v>
      </c>
      <c r="C14335" t="s">
        <v>30771</v>
      </c>
      <c r="D14335" t="s">
        <v>20</v>
      </c>
      <c r="E14335" t="s">
        <v>39</v>
      </c>
      <c r="F14335">
        <v>0</v>
      </c>
      <c r="G14335">
        <v>0</v>
      </c>
      <c r="H14335">
        <v>10</v>
      </c>
      <c r="I14335" s="3">
        <v>166.06</v>
      </c>
      <c r="J14335" s="3">
        <v>71.17</v>
      </c>
      <c r="L14335">
        <v>508</v>
      </c>
      <c r="M14335" t="s">
        <v>31480</v>
      </c>
      <c r="N14335" t="s">
        <v>30</v>
      </c>
      <c r="O14335" t="s">
        <v>31</v>
      </c>
      <c r="P14335" t="str">
        <f>"15205"</f>
        <v>15205</v>
      </c>
    </row>
    <row r="14336" spans="1:16" x14ac:dyDescent="0.25">
      <c r="A14336" t="str">
        <f>"1200020S00217    00"</f>
        <v>1200020S00217    00</v>
      </c>
      <c r="B14336" t="s">
        <v>31481</v>
      </c>
      <c r="C14336" t="s">
        <v>31482</v>
      </c>
      <c r="D14336" t="s">
        <v>20</v>
      </c>
      <c r="E14336" t="s">
        <v>39</v>
      </c>
      <c r="F14336">
        <v>0</v>
      </c>
      <c r="G14336">
        <v>0</v>
      </c>
      <c r="H14336">
        <v>19</v>
      </c>
      <c r="I14336" s="3">
        <v>345.61</v>
      </c>
      <c r="J14336" s="3">
        <v>317.66000000000003</v>
      </c>
      <c r="L14336">
        <v>275</v>
      </c>
      <c r="M14336" t="s">
        <v>31483</v>
      </c>
      <c r="N14336" t="s">
        <v>30</v>
      </c>
      <c r="O14336" t="s">
        <v>31</v>
      </c>
      <c r="P14336" t="str">
        <f>"15220"</f>
        <v>15220</v>
      </c>
    </row>
    <row r="14337" spans="1:16" x14ac:dyDescent="0.25">
      <c r="A14337" t="str">
        <f>"1200021A00009    00"</f>
        <v>1200021A00009    00</v>
      </c>
      <c r="B14337" t="s">
        <v>31484</v>
      </c>
      <c r="C14337" t="s">
        <v>31485</v>
      </c>
      <c r="E14337" t="s">
        <v>290</v>
      </c>
      <c r="F14337">
        <v>0</v>
      </c>
      <c r="G14337">
        <v>0</v>
      </c>
      <c r="H14337">
        <v>7</v>
      </c>
      <c r="I14337" s="3">
        <v>19451.689999999999</v>
      </c>
      <c r="J14337" s="3">
        <v>21453.439999999999</v>
      </c>
      <c r="K14337" t="s">
        <v>31486</v>
      </c>
      <c r="L14337">
        <v>3019</v>
      </c>
      <c r="M14337" t="s">
        <v>27985</v>
      </c>
      <c r="N14337" t="s">
        <v>30</v>
      </c>
      <c r="O14337" t="s">
        <v>31</v>
      </c>
      <c r="P14337" t="str">
        <f t="shared" ref="P14337:P14349" si="182">"15204"</f>
        <v>15204</v>
      </c>
    </row>
    <row r="14338" spans="1:16" x14ac:dyDescent="0.25">
      <c r="A14338" t="str">
        <f>"1200021A00012    00"</f>
        <v>1200021A00012    00</v>
      </c>
      <c r="B14338" t="s">
        <v>31484</v>
      </c>
      <c r="C14338" t="s">
        <v>31487</v>
      </c>
      <c r="E14338" t="s">
        <v>21</v>
      </c>
      <c r="F14338">
        <v>0</v>
      </c>
      <c r="G14338">
        <v>0</v>
      </c>
      <c r="H14338">
        <v>7</v>
      </c>
      <c r="I14338" s="3">
        <v>1182.68</v>
      </c>
      <c r="J14338" s="3">
        <v>1323.97</v>
      </c>
      <c r="K14338" t="s">
        <v>31486</v>
      </c>
      <c r="L14338">
        <v>3019</v>
      </c>
      <c r="M14338" t="s">
        <v>27985</v>
      </c>
      <c r="N14338" t="s">
        <v>30</v>
      </c>
      <c r="O14338" t="s">
        <v>31</v>
      </c>
      <c r="P14338" t="str">
        <f t="shared" si="182"/>
        <v>15204</v>
      </c>
    </row>
    <row r="14339" spans="1:16" x14ac:dyDescent="0.25">
      <c r="A14339" t="str">
        <f>"1200021A00013    00"</f>
        <v>1200021A00013    00</v>
      </c>
      <c r="B14339" t="s">
        <v>31484</v>
      </c>
      <c r="C14339" t="s">
        <v>31487</v>
      </c>
      <c r="E14339" t="s">
        <v>21</v>
      </c>
      <c r="F14339">
        <v>0</v>
      </c>
      <c r="G14339">
        <v>0</v>
      </c>
      <c r="H14339">
        <v>7</v>
      </c>
      <c r="I14339" s="3">
        <v>1182.68</v>
      </c>
      <c r="J14339" s="3">
        <v>1323.97</v>
      </c>
      <c r="K14339" t="s">
        <v>31486</v>
      </c>
      <c r="L14339">
        <v>3019</v>
      </c>
      <c r="M14339" t="s">
        <v>27985</v>
      </c>
      <c r="N14339" t="s">
        <v>30</v>
      </c>
      <c r="O14339" t="s">
        <v>31</v>
      </c>
      <c r="P14339" t="str">
        <f t="shared" si="182"/>
        <v>15204</v>
      </c>
    </row>
    <row r="14340" spans="1:16" x14ac:dyDescent="0.25">
      <c r="A14340" t="str">
        <f>"1200021A00014    00"</f>
        <v>1200021A00014    00</v>
      </c>
      <c r="B14340" t="s">
        <v>31484</v>
      </c>
      <c r="C14340" t="s">
        <v>31488</v>
      </c>
      <c r="E14340" t="s">
        <v>21</v>
      </c>
      <c r="F14340">
        <v>0</v>
      </c>
      <c r="G14340">
        <v>0</v>
      </c>
      <c r="H14340">
        <v>6</v>
      </c>
      <c r="I14340" s="3">
        <v>30263.87</v>
      </c>
      <c r="J14340" s="3">
        <v>31237.63</v>
      </c>
      <c r="K14340" t="s">
        <v>31486</v>
      </c>
      <c r="L14340">
        <v>3019</v>
      </c>
      <c r="M14340" t="s">
        <v>27985</v>
      </c>
      <c r="N14340" t="s">
        <v>30</v>
      </c>
      <c r="O14340" t="s">
        <v>31</v>
      </c>
      <c r="P14340" t="str">
        <f t="shared" si="182"/>
        <v>15204</v>
      </c>
    </row>
    <row r="14341" spans="1:16" x14ac:dyDescent="0.25">
      <c r="A14341" t="str">
        <f>"1200021A00021    00"</f>
        <v>1200021A00021    00</v>
      </c>
      <c r="B14341" t="s">
        <v>31484</v>
      </c>
      <c r="C14341" t="s">
        <v>31489</v>
      </c>
      <c r="E14341" t="s">
        <v>21</v>
      </c>
      <c r="F14341">
        <v>0</v>
      </c>
      <c r="G14341">
        <v>0</v>
      </c>
      <c r="H14341">
        <v>8</v>
      </c>
      <c r="I14341" s="3">
        <v>443.55</v>
      </c>
      <c r="J14341" s="3">
        <v>550.88</v>
      </c>
      <c r="K14341" t="s">
        <v>31486</v>
      </c>
      <c r="L14341">
        <v>3019</v>
      </c>
      <c r="M14341" t="s">
        <v>27985</v>
      </c>
      <c r="N14341" t="s">
        <v>30</v>
      </c>
      <c r="O14341" t="s">
        <v>31</v>
      </c>
      <c r="P14341" t="str">
        <f t="shared" si="182"/>
        <v>15204</v>
      </c>
    </row>
    <row r="14342" spans="1:16" x14ac:dyDescent="0.25">
      <c r="A14342" t="str">
        <f>"1200021A00023    00"</f>
        <v>1200021A00023    00</v>
      </c>
      <c r="B14342" t="s">
        <v>31484</v>
      </c>
      <c r="C14342" t="s">
        <v>31489</v>
      </c>
      <c r="E14342" t="s">
        <v>21</v>
      </c>
      <c r="F14342">
        <v>0</v>
      </c>
      <c r="G14342">
        <v>0</v>
      </c>
      <c r="H14342">
        <v>8</v>
      </c>
      <c r="I14342" s="3">
        <v>2352.31</v>
      </c>
      <c r="J14342" s="3">
        <v>2516.0500000000002</v>
      </c>
      <c r="K14342" t="s">
        <v>31486</v>
      </c>
      <c r="L14342">
        <v>3019</v>
      </c>
      <c r="M14342" t="s">
        <v>27985</v>
      </c>
      <c r="N14342" t="s">
        <v>30</v>
      </c>
      <c r="O14342" t="s">
        <v>31</v>
      </c>
      <c r="P14342" t="str">
        <f t="shared" si="182"/>
        <v>15204</v>
      </c>
    </row>
    <row r="14343" spans="1:16" x14ac:dyDescent="0.25">
      <c r="A14343" t="str">
        <f>"1200021A00025    00"</f>
        <v>1200021A00025    00</v>
      </c>
      <c r="B14343" t="s">
        <v>31484</v>
      </c>
      <c r="C14343" t="s">
        <v>31489</v>
      </c>
      <c r="E14343" t="s">
        <v>21</v>
      </c>
      <c r="F14343">
        <v>0</v>
      </c>
      <c r="G14343">
        <v>0</v>
      </c>
      <c r="H14343">
        <v>8</v>
      </c>
      <c r="I14343" s="3">
        <v>362.42</v>
      </c>
      <c r="J14343" s="3">
        <v>452.34</v>
      </c>
      <c r="K14343" t="s">
        <v>31486</v>
      </c>
      <c r="L14343">
        <v>3019</v>
      </c>
      <c r="M14343" t="s">
        <v>27985</v>
      </c>
      <c r="N14343" t="s">
        <v>30</v>
      </c>
      <c r="O14343" t="s">
        <v>31</v>
      </c>
      <c r="P14343" t="str">
        <f t="shared" si="182"/>
        <v>15204</v>
      </c>
    </row>
    <row r="14344" spans="1:16" x14ac:dyDescent="0.25">
      <c r="A14344" t="str">
        <f>"1200021A00026    00"</f>
        <v>1200021A00026    00</v>
      </c>
      <c r="B14344" t="s">
        <v>31484</v>
      </c>
      <c r="C14344" t="s">
        <v>31489</v>
      </c>
      <c r="E14344" t="s">
        <v>21</v>
      </c>
      <c r="F14344">
        <v>0</v>
      </c>
      <c r="G14344">
        <v>0</v>
      </c>
      <c r="H14344">
        <v>8</v>
      </c>
      <c r="I14344" s="3">
        <v>392.09</v>
      </c>
      <c r="J14344" s="3">
        <v>490.17</v>
      </c>
      <c r="K14344" t="s">
        <v>31486</v>
      </c>
      <c r="L14344">
        <v>3019</v>
      </c>
      <c r="M14344" t="s">
        <v>27985</v>
      </c>
      <c r="N14344" t="s">
        <v>30</v>
      </c>
      <c r="O14344" t="s">
        <v>31</v>
      </c>
      <c r="P14344" t="str">
        <f t="shared" si="182"/>
        <v>15204</v>
      </c>
    </row>
    <row r="14345" spans="1:16" x14ac:dyDescent="0.25">
      <c r="A14345" t="str">
        <f>"1200021A00027    00"</f>
        <v>1200021A00027    00</v>
      </c>
      <c r="B14345" t="s">
        <v>31484</v>
      </c>
      <c r="C14345" t="s">
        <v>31489</v>
      </c>
      <c r="E14345" t="s">
        <v>21</v>
      </c>
      <c r="F14345">
        <v>0</v>
      </c>
      <c r="G14345">
        <v>0</v>
      </c>
      <c r="H14345">
        <v>8</v>
      </c>
      <c r="I14345" s="3">
        <v>362.42</v>
      </c>
      <c r="J14345" s="3">
        <v>452.34</v>
      </c>
      <c r="K14345" t="s">
        <v>31486</v>
      </c>
      <c r="L14345">
        <v>3019</v>
      </c>
      <c r="M14345" t="s">
        <v>27985</v>
      </c>
      <c r="N14345" t="s">
        <v>30</v>
      </c>
      <c r="O14345" t="s">
        <v>31</v>
      </c>
      <c r="P14345" t="str">
        <f t="shared" si="182"/>
        <v>15204</v>
      </c>
    </row>
    <row r="14346" spans="1:16" x14ac:dyDescent="0.25">
      <c r="A14346" t="str">
        <f>"1200021E00001    00"</f>
        <v>1200021E00001    00</v>
      </c>
      <c r="B14346" t="s">
        <v>31490</v>
      </c>
      <c r="C14346" t="s">
        <v>31489</v>
      </c>
      <c r="D14346" t="s">
        <v>20</v>
      </c>
      <c r="E14346" t="s">
        <v>21</v>
      </c>
      <c r="F14346">
        <v>0</v>
      </c>
      <c r="G14346">
        <v>0</v>
      </c>
      <c r="H14346">
        <v>7</v>
      </c>
      <c r="I14346" s="3">
        <v>938.38</v>
      </c>
      <c r="J14346" s="3">
        <v>15.69</v>
      </c>
      <c r="K14346" t="s">
        <v>31491</v>
      </c>
      <c r="L14346">
        <v>117</v>
      </c>
      <c r="M14346" t="s">
        <v>31492</v>
      </c>
      <c r="N14346" t="s">
        <v>30</v>
      </c>
      <c r="O14346" t="s">
        <v>31</v>
      </c>
      <c r="P14346" t="str">
        <f t="shared" si="182"/>
        <v>15204</v>
      </c>
    </row>
    <row r="14347" spans="1:16" x14ac:dyDescent="0.25">
      <c r="A14347" t="str">
        <f>"1200021E00002    00"</f>
        <v>1200021E00002    00</v>
      </c>
      <c r="B14347" t="s">
        <v>31490</v>
      </c>
      <c r="C14347" t="s">
        <v>31489</v>
      </c>
      <c r="E14347" t="s">
        <v>21</v>
      </c>
      <c r="F14347">
        <v>0</v>
      </c>
      <c r="G14347">
        <v>0</v>
      </c>
      <c r="H14347">
        <v>7</v>
      </c>
      <c r="I14347" s="3">
        <v>1834.17</v>
      </c>
      <c r="J14347" s="3">
        <v>1907.71</v>
      </c>
      <c r="K14347" t="s">
        <v>31491</v>
      </c>
      <c r="L14347">
        <v>117</v>
      </c>
      <c r="M14347" t="s">
        <v>31492</v>
      </c>
      <c r="N14347" t="s">
        <v>30</v>
      </c>
      <c r="O14347" t="s">
        <v>31</v>
      </c>
      <c r="P14347" t="str">
        <f t="shared" si="182"/>
        <v>15204</v>
      </c>
    </row>
    <row r="14348" spans="1:16" x14ac:dyDescent="0.25">
      <c r="A14348" t="str">
        <f>"1200021E00003    00"</f>
        <v>1200021E00003    00</v>
      </c>
      <c r="B14348" t="s">
        <v>31490</v>
      </c>
      <c r="C14348" t="s">
        <v>31489</v>
      </c>
      <c r="E14348" t="s">
        <v>21</v>
      </c>
      <c r="F14348">
        <v>0</v>
      </c>
      <c r="G14348">
        <v>0</v>
      </c>
      <c r="H14348">
        <v>7</v>
      </c>
      <c r="I14348" s="3">
        <v>1804.79</v>
      </c>
      <c r="J14348" s="3">
        <v>1872.64</v>
      </c>
      <c r="K14348" t="s">
        <v>31491</v>
      </c>
      <c r="L14348">
        <v>117</v>
      </c>
      <c r="M14348" t="s">
        <v>31492</v>
      </c>
      <c r="N14348" t="s">
        <v>30</v>
      </c>
      <c r="O14348" t="s">
        <v>31</v>
      </c>
      <c r="P14348" t="str">
        <f t="shared" si="182"/>
        <v>15204</v>
      </c>
    </row>
    <row r="14349" spans="1:16" x14ac:dyDescent="0.25">
      <c r="A14349" t="str">
        <f>"1200021E00004    00"</f>
        <v>1200021E00004    00</v>
      </c>
      <c r="B14349" t="s">
        <v>31490</v>
      </c>
      <c r="C14349" t="s">
        <v>31489</v>
      </c>
      <c r="E14349" t="s">
        <v>21</v>
      </c>
      <c r="F14349">
        <v>0</v>
      </c>
      <c r="G14349">
        <v>0</v>
      </c>
      <c r="H14349">
        <v>7</v>
      </c>
      <c r="I14349" s="3">
        <v>1841.58</v>
      </c>
      <c r="J14349" s="3">
        <v>1917.16</v>
      </c>
      <c r="K14349" t="s">
        <v>31491</v>
      </c>
      <c r="L14349">
        <v>117</v>
      </c>
      <c r="M14349" t="s">
        <v>31492</v>
      </c>
      <c r="N14349" t="s">
        <v>30</v>
      </c>
      <c r="O14349" t="s">
        <v>31</v>
      </c>
      <c r="P14349" t="str">
        <f t="shared" si="182"/>
        <v>15204</v>
      </c>
    </row>
    <row r="14350" spans="1:16" x14ac:dyDescent="0.25">
      <c r="A14350" t="str">
        <f>"1200021E00008    00"</f>
        <v>1200021E00008    00</v>
      </c>
      <c r="B14350" t="s">
        <v>31493</v>
      </c>
      <c r="C14350" t="s">
        <v>31494</v>
      </c>
      <c r="E14350" t="s">
        <v>39</v>
      </c>
      <c r="F14350">
        <v>0</v>
      </c>
      <c r="G14350">
        <v>0</v>
      </c>
      <c r="H14350">
        <v>3</v>
      </c>
      <c r="I14350" s="3">
        <v>2255.4</v>
      </c>
      <c r="J14350" s="3">
        <v>703.11</v>
      </c>
      <c r="K14350" t="s">
        <v>403</v>
      </c>
      <c r="L14350">
        <v>3001</v>
      </c>
      <c r="M14350" t="s">
        <v>404</v>
      </c>
      <c r="N14350" t="s">
        <v>331</v>
      </c>
      <c r="O14350" t="s">
        <v>108</v>
      </c>
      <c r="P14350" t="str">
        <f>"75063"</f>
        <v>75063</v>
      </c>
    </row>
    <row r="14351" spans="1:16" x14ac:dyDescent="0.25">
      <c r="A14351" t="str">
        <f>"1200021E00055    00"</f>
        <v>1200021E00055    00</v>
      </c>
      <c r="B14351" t="s">
        <v>31495</v>
      </c>
      <c r="C14351" t="s">
        <v>27986</v>
      </c>
      <c r="E14351" t="s">
        <v>21</v>
      </c>
      <c r="F14351">
        <v>0</v>
      </c>
      <c r="G14351">
        <v>0</v>
      </c>
      <c r="H14351">
        <v>6</v>
      </c>
      <c r="I14351" s="3">
        <v>2928.65</v>
      </c>
      <c r="J14351" s="3">
        <v>4303.8</v>
      </c>
      <c r="L14351">
        <v>160</v>
      </c>
      <c r="M14351" t="s">
        <v>8296</v>
      </c>
      <c r="N14351" t="s">
        <v>30</v>
      </c>
      <c r="O14351" t="s">
        <v>31</v>
      </c>
      <c r="P14351" t="str">
        <f>"15211"</f>
        <v>15211</v>
      </c>
    </row>
    <row r="14352" spans="1:16" x14ac:dyDescent="0.25">
      <c r="A14352" t="str">
        <f>"1200021E00057    00"</f>
        <v>1200021E00057    00</v>
      </c>
      <c r="B14352" t="s">
        <v>31496</v>
      </c>
      <c r="C14352" t="s">
        <v>27986</v>
      </c>
      <c r="D14352" t="s">
        <v>20</v>
      </c>
      <c r="E14352" t="s">
        <v>39</v>
      </c>
      <c r="F14352">
        <v>0</v>
      </c>
      <c r="G14352">
        <v>0</v>
      </c>
      <c r="H14352">
        <v>3</v>
      </c>
      <c r="I14352" s="3">
        <v>1738.26</v>
      </c>
      <c r="J14352" s="3">
        <v>115.88</v>
      </c>
      <c r="K14352" t="s">
        <v>31497</v>
      </c>
      <c r="L14352">
        <v>159</v>
      </c>
      <c r="M14352" t="s">
        <v>31498</v>
      </c>
      <c r="N14352" t="s">
        <v>30</v>
      </c>
      <c r="O14352" t="s">
        <v>31</v>
      </c>
      <c r="P14352" t="str">
        <f>"15237"</f>
        <v>15237</v>
      </c>
    </row>
    <row r="14353" spans="1:16" x14ac:dyDescent="0.25">
      <c r="A14353" t="str">
        <f>"1200021E00066    00"</f>
        <v>1200021E00066    00</v>
      </c>
      <c r="B14353" t="s">
        <v>31499</v>
      </c>
      <c r="C14353" t="s">
        <v>31500</v>
      </c>
      <c r="D14353" t="s">
        <v>20</v>
      </c>
      <c r="E14353" t="s">
        <v>39</v>
      </c>
      <c r="F14353">
        <v>0</v>
      </c>
      <c r="G14353">
        <v>0</v>
      </c>
      <c r="H14353">
        <v>17</v>
      </c>
      <c r="I14353" s="3">
        <v>13465.97</v>
      </c>
      <c r="J14353" s="3">
        <v>10708.85</v>
      </c>
      <c r="K14353" t="s">
        <v>31501</v>
      </c>
      <c r="L14353">
        <v>3350</v>
      </c>
      <c r="M14353" t="s">
        <v>31502</v>
      </c>
      <c r="N14353" t="s">
        <v>11731</v>
      </c>
      <c r="O14353" t="s">
        <v>370</v>
      </c>
      <c r="P14353" t="str">
        <f>"33311"</f>
        <v>33311</v>
      </c>
    </row>
    <row r="14354" spans="1:16" x14ac:dyDescent="0.25">
      <c r="A14354" t="str">
        <f>"1200021E00073    00"</f>
        <v>1200021E00073    00</v>
      </c>
      <c r="B14354" t="s">
        <v>31503</v>
      </c>
      <c r="C14354" t="s">
        <v>27986</v>
      </c>
      <c r="D14354" t="s">
        <v>20</v>
      </c>
      <c r="E14354" t="s">
        <v>39</v>
      </c>
      <c r="F14354">
        <v>0</v>
      </c>
      <c r="G14354">
        <v>0</v>
      </c>
      <c r="H14354">
        <v>19</v>
      </c>
      <c r="I14354" s="3">
        <v>7899.69</v>
      </c>
      <c r="J14354" s="3">
        <v>7636.59</v>
      </c>
      <c r="P14354" t="str">
        <f>""</f>
        <v/>
      </c>
    </row>
    <row r="14355" spans="1:16" x14ac:dyDescent="0.25">
      <c r="A14355" t="str">
        <f>"1200021E00074    00"</f>
        <v>1200021E00074    00</v>
      </c>
      <c r="B14355" t="s">
        <v>31504</v>
      </c>
      <c r="C14355" t="s">
        <v>31505</v>
      </c>
      <c r="D14355" t="s">
        <v>20</v>
      </c>
      <c r="E14355" t="s">
        <v>39</v>
      </c>
      <c r="F14355">
        <v>0</v>
      </c>
      <c r="G14355">
        <v>0</v>
      </c>
      <c r="H14355">
        <v>2</v>
      </c>
      <c r="I14355" s="3">
        <v>1932.7</v>
      </c>
      <c r="J14355" s="3">
        <v>0</v>
      </c>
      <c r="L14355">
        <v>2822</v>
      </c>
      <c r="M14355" t="s">
        <v>31506</v>
      </c>
      <c r="N14355" t="s">
        <v>28994</v>
      </c>
      <c r="O14355" t="s">
        <v>1321</v>
      </c>
      <c r="P14355" t="str">
        <f>"89014"</f>
        <v>89014</v>
      </c>
    </row>
    <row r="14356" spans="1:16" x14ac:dyDescent="0.25">
      <c r="A14356" t="str">
        <f>"1200021E00076    00"</f>
        <v>1200021E00076    00</v>
      </c>
      <c r="B14356" t="s">
        <v>31507</v>
      </c>
      <c r="C14356" t="s">
        <v>27986</v>
      </c>
      <c r="D14356" t="s">
        <v>20</v>
      </c>
      <c r="E14356" t="s">
        <v>39</v>
      </c>
      <c r="F14356">
        <v>0</v>
      </c>
      <c r="G14356">
        <v>0</v>
      </c>
      <c r="H14356">
        <v>19</v>
      </c>
      <c r="I14356" s="3">
        <v>446.89</v>
      </c>
      <c r="J14356" s="3">
        <v>483.75</v>
      </c>
      <c r="K14356" t="s">
        <v>1008</v>
      </c>
      <c r="P14356" t="str">
        <f>""</f>
        <v/>
      </c>
    </row>
    <row r="14357" spans="1:16" x14ac:dyDescent="0.25">
      <c r="A14357" t="str">
        <f>"1200021E00077    00"</f>
        <v>1200021E00077    00</v>
      </c>
      <c r="B14357" t="s">
        <v>31508</v>
      </c>
      <c r="C14357" t="s">
        <v>31509</v>
      </c>
      <c r="E14357" t="s">
        <v>39</v>
      </c>
      <c r="F14357">
        <v>0</v>
      </c>
      <c r="G14357">
        <v>0</v>
      </c>
      <c r="H14357">
        <v>9</v>
      </c>
      <c r="I14357" s="3">
        <v>9920.2199999999993</v>
      </c>
      <c r="J14357" s="3">
        <v>13740.55</v>
      </c>
      <c r="L14357">
        <v>2733</v>
      </c>
      <c r="M14357" t="s">
        <v>27985</v>
      </c>
      <c r="N14357" t="s">
        <v>30</v>
      </c>
      <c r="O14357" t="s">
        <v>31</v>
      </c>
      <c r="P14357" t="str">
        <f>"15204"</f>
        <v>15204</v>
      </c>
    </row>
    <row r="14358" spans="1:16" x14ac:dyDescent="0.25">
      <c r="A14358" t="str">
        <f>"1200021E00078    00"</f>
        <v>1200021E00078    00</v>
      </c>
      <c r="B14358" t="s">
        <v>31510</v>
      </c>
      <c r="C14358" t="s">
        <v>27986</v>
      </c>
      <c r="D14358" t="s">
        <v>20</v>
      </c>
      <c r="E14358" t="s">
        <v>39</v>
      </c>
      <c r="F14358">
        <v>0</v>
      </c>
      <c r="G14358">
        <v>0</v>
      </c>
      <c r="H14358">
        <v>19</v>
      </c>
      <c r="I14358" s="3">
        <v>688.1</v>
      </c>
      <c r="J14358" s="3">
        <v>791.1</v>
      </c>
      <c r="K14358" t="s">
        <v>1008</v>
      </c>
      <c r="P14358" t="str">
        <f>""</f>
        <v/>
      </c>
    </row>
    <row r="14359" spans="1:16" x14ac:dyDescent="0.25">
      <c r="A14359" t="str">
        <f>"1200021E00088    00"</f>
        <v>1200021E00088    00</v>
      </c>
      <c r="B14359" t="s">
        <v>31511</v>
      </c>
      <c r="C14359" t="s">
        <v>31512</v>
      </c>
      <c r="D14359" t="s">
        <v>20</v>
      </c>
      <c r="E14359" t="s">
        <v>39</v>
      </c>
      <c r="F14359">
        <v>0</v>
      </c>
      <c r="G14359">
        <v>0</v>
      </c>
      <c r="H14359">
        <v>11</v>
      </c>
      <c r="I14359" s="3">
        <v>4680.1099999999997</v>
      </c>
      <c r="J14359" s="3">
        <v>2233.67</v>
      </c>
      <c r="L14359">
        <v>825</v>
      </c>
      <c r="M14359" t="s">
        <v>31513</v>
      </c>
      <c r="N14359" t="s">
        <v>30</v>
      </c>
      <c r="O14359" t="s">
        <v>31</v>
      </c>
      <c r="P14359" t="str">
        <f>"15202"</f>
        <v>15202</v>
      </c>
    </row>
    <row r="14360" spans="1:16" x14ac:dyDescent="0.25">
      <c r="A14360" t="str">
        <f>"1200021E00091    00"</f>
        <v>1200021E00091    00</v>
      </c>
      <c r="B14360" t="s">
        <v>31514</v>
      </c>
      <c r="C14360" t="s">
        <v>31515</v>
      </c>
      <c r="D14360" t="s">
        <v>20</v>
      </c>
      <c r="E14360" t="s">
        <v>39</v>
      </c>
      <c r="F14360">
        <v>0</v>
      </c>
      <c r="G14360">
        <v>0</v>
      </c>
      <c r="H14360">
        <v>19</v>
      </c>
      <c r="I14360" s="3">
        <v>5680.85</v>
      </c>
      <c r="J14360" s="3">
        <v>6109.17</v>
      </c>
      <c r="P14360" t="str">
        <f>""</f>
        <v/>
      </c>
    </row>
    <row r="14361" spans="1:16" x14ac:dyDescent="0.25">
      <c r="A14361" t="str">
        <f>"1200021E00092    00"</f>
        <v>1200021E00092    00</v>
      </c>
      <c r="B14361" t="s">
        <v>31516</v>
      </c>
      <c r="C14361" t="s">
        <v>31515</v>
      </c>
      <c r="D14361" t="s">
        <v>20</v>
      </c>
      <c r="E14361" t="s">
        <v>39</v>
      </c>
      <c r="F14361">
        <v>0</v>
      </c>
      <c r="G14361">
        <v>0</v>
      </c>
      <c r="H14361">
        <v>2</v>
      </c>
      <c r="I14361" s="3">
        <v>34.32</v>
      </c>
      <c r="J14361" s="3">
        <v>0</v>
      </c>
      <c r="L14361">
        <v>131</v>
      </c>
      <c r="M14361" t="s">
        <v>31071</v>
      </c>
      <c r="N14361" t="s">
        <v>8181</v>
      </c>
      <c r="O14361" t="s">
        <v>31</v>
      </c>
      <c r="P14361" t="str">
        <f>"15110"</f>
        <v>15110</v>
      </c>
    </row>
    <row r="14362" spans="1:16" x14ac:dyDescent="0.25">
      <c r="A14362" t="str">
        <f>"1200021J00002    00"</f>
        <v>1200021J00002    00</v>
      </c>
      <c r="B14362" t="s">
        <v>31517</v>
      </c>
      <c r="C14362" t="s">
        <v>31518</v>
      </c>
      <c r="D14362" t="s">
        <v>20</v>
      </c>
      <c r="E14362" t="s">
        <v>39</v>
      </c>
      <c r="F14362">
        <v>0</v>
      </c>
      <c r="G14362">
        <v>0</v>
      </c>
      <c r="H14362">
        <v>18</v>
      </c>
      <c r="I14362" s="3">
        <v>17516.23</v>
      </c>
      <c r="J14362" s="3">
        <v>15237.4</v>
      </c>
      <c r="L14362">
        <v>400</v>
      </c>
      <c r="M14362" t="s">
        <v>31519</v>
      </c>
      <c r="N14362" t="s">
        <v>321</v>
      </c>
      <c r="O14362" t="s">
        <v>31</v>
      </c>
      <c r="P14362" t="str">
        <f>"15001"</f>
        <v>15001</v>
      </c>
    </row>
    <row r="14363" spans="1:16" x14ac:dyDescent="0.25">
      <c r="A14363" t="str">
        <f>"1200021J00007    00"</f>
        <v>1200021J00007    00</v>
      </c>
      <c r="B14363" t="s">
        <v>26793</v>
      </c>
      <c r="C14363" t="s">
        <v>31520</v>
      </c>
      <c r="E14363" t="s">
        <v>39</v>
      </c>
      <c r="F14363">
        <v>0</v>
      </c>
      <c r="G14363">
        <v>0</v>
      </c>
      <c r="H14363">
        <v>2</v>
      </c>
      <c r="I14363" s="3">
        <v>52.24</v>
      </c>
      <c r="J14363" s="3">
        <v>13</v>
      </c>
      <c r="K14363" t="s">
        <v>26795</v>
      </c>
      <c r="M14363" t="s">
        <v>26796</v>
      </c>
      <c r="N14363" t="s">
        <v>31521</v>
      </c>
      <c r="O14363" t="s">
        <v>31</v>
      </c>
      <c r="P14363" t="str">
        <f>"19006"</f>
        <v>19006</v>
      </c>
    </row>
    <row r="14364" spans="1:16" x14ac:dyDescent="0.25">
      <c r="A14364" t="str">
        <f>"1200021J00014    00"</f>
        <v>1200021J00014    00</v>
      </c>
      <c r="B14364" t="s">
        <v>31522</v>
      </c>
      <c r="C14364" t="s">
        <v>31523</v>
      </c>
      <c r="E14364" t="s">
        <v>39</v>
      </c>
      <c r="F14364">
        <v>0</v>
      </c>
      <c r="G14364">
        <v>0</v>
      </c>
      <c r="H14364">
        <v>1</v>
      </c>
      <c r="I14364" s="3">
        <v>874.86</v>
      </c>
      <c r="J14364" s="3">
        <v>0</v>
      </c>
      <c r="L14364">
        <v>2748</v>
      </c>
      <c r="M14364" t="s">
        <v>31104</v>
      </c>
      <c r="N14364" t="s">
        <v>30</v>
      </c>
      <c r="O14364" t="s">
        <v>31</v>
      </c>
      <c r="P14364" t="str">
        <f>"15204"</f>
        <v>15204</v>
      </c>
    </row>
    <row r="14365" spans="1:16" x14ac:dyDescent="0.25">
      <c r="A14365" t="str">
        <f>"1200021J00019    00"</f>
        <v>1200021J00019    00</v>
      </c>
      <c r="B14365" t="s">
        <v>31524</v>
      </c>
      <c r="C14365" t="s">
        <v>31525</v>
      </c>
      <c r="D14365" t="s">
        <v>20</v>
      </c>
      <c r="E14365" t="s">
        <v>39</v>
      </c>
      <c r="F14365">
        <v>0</v>
      </c>
      <c r="G14365">
        <v>0</v>
      </c>
      <c r="H14365">
        <v>8</v>
      </c>
      <c r="I14365" s="3">
        <v>8012.28</v>
      </c>
      <c r="J14365" s="3">
        <v>2621.76</v>
      </c>
      <c r="L14365">
        <v>2754</v>
      </c>
      <c r="M14365" t="s">
        <v>31104</v>
      </c>
      <c r="N14365" t="s">
        <v>30</v>
      </c>
      <c r="O14365" t="s">
        <v>31</v>
      </c>
      <c r="P14365" t="str">
        <f>"15204"</f>
        <v>15204</v>
      </c>
    </row>
    <row r="14366" spans="1:16" x14ac:dyDescent="0.25">
      <c r="A14366" t="str">
        <f>"1200021J00020    00"</f>
        <v>1200021J00020    00</v>
      </c>
      <c r="B14366" t="s">
        <v>31526</v>
      </c>
      <c r="C14366" t="s">
        <v>31527</v>
      </c>
      <c r="D14366" t="s">
        <v>20</v>
      </c>
      <c r="E14366" t="s">
        <v>39</v>
      </c>
      <c r="F14366">
        <v>0</v>
      </c>
      <c r="G14366">
        <v>0</v>
      </c>
      <c r="H14366">
        <v>14</v>
      </c>
      <c r="I14366" s="3">
        <v>10728.62</v>
      </c>
      <c r="J14366" s="3">
        <v>6649.26</v>
      </c>
      <c r="L14366">
        <v>2436</v>
      </c>
      <c r="M14366" t="s">
        <v>31528</v>
      </c>
      <c r="N14366" t="s">
        <v>30</v>
      </c>
      <c r="O14366" t="s">
        <v>31</v>
      </c>
      <c r="P14366" t="str">
        <f>"15210"</f>
        <v>15210</v>
      </c>
    </row>
    <row r="14367" spans="1:16" x14ac:dyDescent="0.25">
      <c r="A14367" t="str">
        <f>"1200021J00030    00"</f>
        <v>1200021J00030    00</v>
      </c>
      <c r="B14367" t="s">
        <v>31529</v>
      </c>
      <c r="C14367" t="s">
        <v>31530</v>
      </c>
      <c r="D14367" t="s">
        <v>20</v>
      </c>
      <c r="E14367" t="s">
        <v>39</v>
      </c>
      <c r="F14367">
        <v>0</v>
      </c>
      <c r="G14367">
        <v>0</v>
      </c>
      <c r="H14367">
        <v>8</v>
      </c>
      <c r="I14367" s="3">
        <v>3942.48</v>
      </c>
      <c r="J14367" s="3">
        <v>1290.6500000000001</v>
      </c>
      <c r="K14367" t="s">
        <v>31531</v>
      </c>
      <c r="L14367">
        <v>69</v>
      </c>
      <c r="M14367" t="s">
        <v>31532</v>
      </c>
      <c r="N14367" t="s">
        <v>22088</v>
      </c>
      <c r="O14367" t="s">
        <v>31</v>
      </c>
      <c r="P14367" t="str">
        <f>"15126"</f>
        <v>15126</v>
      </c>
    </row>
    <row r="14368" spans="1:16" x14ac:dyDescent="0.25">
      <c r="A14368" t="str">
        <f>"1200021J00032    00"</f>
        <v>1200021J00032    00</v>
      </c>
      <c r="B14368" t="s">
        <v>31533</v>
      </c>
      <c r="C14368" t="s">
        <v>31534</v>
      </c>
      <c r="D14368" t="s">
        <v>20</v>
      </c>
      <c r="E14368" t="s">
        <v>39</v>
      </c>
      <c r="F14368">
        <v>0</v>
      </c>
      <c r="G14368">
        <v>0</v>
      </c>
      <c r="H14368">
        <v>12</v>
      </c>
      <c r="I14368" s="3">
        <v>1677.42</v>
      </c>
      <c r="J14368" s="3">
        <v>1559.42</v>
      </c>
      <c r="L14368">
        <v>2345</v>
      </c>
      <c r="M14368" t="s">
        <v>3528</v>
      </c>
      <c r="N14368" t="s">
        <v>1210</v>
      </c>
      <c r="O14368" t="s">
        <v>495</v>
      </c>
      <c r="P14368" t="str">
        <f>"94121"</f>
        <v>94121</v>
      </c>
    </row>
    <row r="14369" spans="1:16" x14ac:dyDescent="0.25">
      <c r="A14369" t="str">
        <f>"1200021J00034    00"</f>
        <v>1200021J00034    00</v>
      </c>
      <c r="B14369" t="s">
        <v>31535</v>
      </c>
      <c r="C14369" t="s">
        <v>31536</v>
      </c>
      <c r="D14369" t="s">
        <v>20</v>
      </c>
      <c r="E14369" t="s">
        <v>39</v>
      </c>
      <c r="F14369">
        <v>0</v>
      </c>
      <c r="G14369">
        <v>0</v>
      </c>
      <c r="H14369">
        <v>5</v>
      </c>
      <c r="I14369" s="3">
        <v>1274.8699999999999</v>
      </c>
      <c r="J14369" s="3">
        <v>250.22</v>
      </c>
      <c r="L14369">
        <v>1420</v>
      </c>
      <c r="M14369" t="s">
        <v>2505</v>
      </c>
      <c r="N14369" t="s">
        <v>30</v>
      </c>
      <c r="O14369" t="s">
        <v>31</v>
      </c>
      <c r="P14369" t="str">
        <f>"15204"</f>
        <v>15204</v>
      </c>
    </row>
    <row r="14370" spans="1:16" x14ac:dyDescent="0.25">
      <c r="A14370" t="str">
        <f>"1200021J00038    00"</f>
        <v>1200021J00038    00</v>
      </c>
      <c r="B14370" t="s">
        <v>13217</v>
      </c>
      <c r="C14370" t="s">
        <v>31537</v>
      </c>
      <c r="D14370" t="s">
        <v>20</v>
      </c>
      <c r="E14370" t="s">
        <v>39</v>
      </c>
      <c r="F14370">
        <v>0</v>
      </c>
      <c r="G14370">
        <v>0</v>
      </c>
      <c r="H14370">
        <v>19</v>
      </c>
      <c r="I14370" s="3">
        <v>1144.31</v>
      </c>
      <c r="J14370" s="3">
        <v>973.4</v>
      </c>
      <c r="L14370">
        <v>655</v>
      </c>
      <c r="M14370" t="s">
        <v>13218</v>
      </c>
      <c r="N14370" t="s">
        <v>6718</v>
      </c>
      <c r="O14370" t="s">
        <v>108</v>
      </c>
      <c r="P14370" t="str">
        <f>"77477"</f>
        <v>77477</v>
      </c>
    </row>
    <row r="14371" spans="1:16" x14ac:dyDescent="0.25">
      <c r="A14371" t="str">
        <f>"1200021J00040    00"</f>
        <v>1200021J00040    00</v>
      </c>
      <c r="B14371" t="s">
        <v>13217</v>
      </c>
      <c r="C14371" t="s">
        <v>31537</v>
      </c>
      <c r="D14371" t="s">
        <v>20</v>
      </c>
      <c r="E14371" t="s">
        <v>39</v>
      </c>
      <c r="F14371">
        <v>0</v>
      </c>
      <c r="G14371">
        <v>0</v>
      </c>
      <c r="H14371">
        <v>19</v>
      </c>
      <c r="I14371" s="3">
        <v>7720.83</v>
      </c>
      <c r="J14371" s="3">
        <v>8735.76</v>
      </c>
      <c r="K14371" t="s">
        <v>31538</v>
      </c>
      <c r="L14371">
        <v>655</v>
      </c>
      <c r="M14371" t="s">
        <v>13218</v>
      </c>
      <c r="N14371" t="s">
        <v>6718</v>
      </c>
      <c r="O14371" t="s">
        <v>108</v>
      </c>
      <c r="P14371" t="str">
        <f>"77477"</f>
        <v>77477</v>
      </c>
    </row>
    <row r="14372" spans="1:16" x14ac:dyDescent="0.25">
      <c r="A14372" t="str">
        <f>"1200021J00048    00"</f>
        <v>1200021J00048    00</v>
      </c>
      <c r="B14372" t="s">
        <v>31539</v>
      </c>
      <c r="C14372" t="s">
        <v>31540</v>
      </c>
      <c r="D14372" t="s">
        <v>20</v>
      </c>
      <c r="E14372" t="s">
        <v>39</v>
      </c>
      <c r="F14372">
        <v>0</v>
      </c>
      <c r="G14372">
        <v>0</v>
      </c>
      <c r="H14372">
        <v>3</v>
      </c>
      <c r="I14372" s="3">
        <v>2064.2399999999998</v>
      </c>
      <c r="J14372" s="3">
        <v>137.61000000000001</v>
      </c>
      <c r="L14372">
        <v>148</v>
      </c>
      <c r="M14372" t="s">
        <v>31541</v>
      </c>
      <c r="N14372" t="s">
        <v>30</v>
      </c>
      <c r="O14372" t="s">
        <v>31</v>
      </c>
      <c r="P14372" t="str">
        <f>"15237"</f>
        <v>15237</v>
      </c>
    </row>
    <row r="14373" spans="1:16" x14ac:dyDescent="0.25">
      <c r="A14373" t="str">
        <f>"1200021J00051    00"</f>
        <v>1200021J00051    00</v>
      </c>
      <c r="B14373" t="s">
        <v>31542</v>
      </c>
      <c r="C14373" t="s">
        <v>31543</v>
      </c>
      <c r="D14373" t="s">
        <v>20</v>
      </c>
      <c r="E14373" t="s">
        <v>39</v>
      </c>
      <c r="F14373">
        <v>0</v>
      </c>
      <c r="G14373">
        <v>0</v>
      </c>
      <c r="H14373">
        <v>9</v>
      </c>
      <c r="I14373" s="3">
        <v>7196.1</v>
      </c>
      <c r="J14373" s="3">
        <v>3205.65</v>
      </c>
      <c r="M14373" t="s">
        <v>21983</v>
      </c>
      <c r="N14373" t="s">
        <v>30</v>
      </c>
      <c r="O14373" t="s">
        <v>31</v>
      </c>
      <c r="P14373" t="str">
        <f>"15209"</f>
        <v>15209</v>
      </c>
    </row>
    <row r="14374" spans="1:16" x14ac:dyDescent="0.25">
      <c r="A14374" t="str">
        <f>"1200021J00052    00"</f>
        <v>1200021J00052    00</v>
      </c>
      <c r="B14374" t="s">
        <v>31544</v>
      </c>
      <c r="C14374" t="s">
        <v>31545</v>
      </c>
      <c r="E14374" t="s">
        <v>39</v>
      </c>
      <c r="F14374">
        <v>0</v>
      </c>
      <c r="G14374">
        <v>0</v>
      </c>
      <c r="H14374">
        <v>3</v>
      </c>
      <c r="I14374" s="3">
        <v>1478.23</v>
      </c>
      <c r="J14374" s="3">
        <v>220.61</v>
      </c>
      <c r="L14374">
        <v>2713</v>
      </c>
      <c r="M14374" t="s">
        <v>31546</v>
      </c>
      <c r="N14374" t="s">
        <v>30</v>
      </c>
      <c r="O14374" t="s">
        <v>31</v>
      </c>
      <c r="P14374" t="str">
        <f>"15204"</f>
        <v>15204</v>
      </c>
    </row>
    <row r="14375" spans="1:16" x14ac:dyDescent="0.25">
      <c r="A14375" t="str">
        <f>"1200021J00065    00"</f>
        <v>1200021J00065    00</v>
      </c>
      <c r="B14375" t="s">
        <v>31547</v>
      </c>
      <c r="C14375" t="s">
        <v>31548</v>
      </c>
      <c r="D14375" t="s">
        <v>20</v>
      </c>
      <c r="E14375" t="s">
        <v>39</v>
      </c>
      <c r="F14375">
        <v>0</v>
      </c>
      <c r="G14375">
        <v>0</v>
      </c>
      <c r="H14375">
        <v>2</v>
      </c>
      <c r="I14375" s="3">
        <v>1063.56</v>
      </c>
      <c r="J14375" s="3">
        <v>0</v>
      </c>
      <c r="M14375" t="s">
        <v>31549</v>
      </c>
      <c r="N14375" t="s">
        <v>31550</v>
      </c>
      <c r="O14375" t="s">
        <v>31</v>
      </c>
      <c r="P14375" t="str">
        <f>"15136"</f>
        <v>15136</v>
      </c>
    </row>
    <row r="14376" spans="1:16" x14ac:dyDescent="0.25">
      <c r="A14376" t="str">
        <f>"1200021J00066    00"</f>
        <v>1200021J00066    00</v>
      </c>
      <c r="B14376" t="s">
        <v>31551</v>
      </c>
      <c r="C14376" t="s">
        <v>31537</v>
      </c>
      <c r="D14376" t="s">
        <v>20</v>
      </c>
      <c r="E14376" t="s">
        <v>39</v>
      </c>
      <c r="F14376">
        <v>0</v>
      </c>
      <c r="G14376">
        <v>0</v>
      </c>
      <c r="H14376">
        <v>13</v>
      </c>
      <c r="I14376" s="3">
        <v>554.12</v>
      </c>
      <c r="J14376" s="3">
        <v>493.93</v>
      </c>
      <c r="L14376">
        <v>3242</v>
      </c>
      <c r="M14376" t="s">
        <v>31552</v>
      </c>
      <c r="N14376" t="s">
        <v>30</v>
      </c>
      <c r="O14376" t="s">
        <v>31</v>
      </c>
      <c r="P14376" t="str">
        <f>"15212"</f>
        <v>15212</v>
      </c>
    </row>
    <row r="14377" spans="1:16" x14ac:dyDescent="0.25">
      <c r="A14377" t="str">
        <f>"1200021J00068    00"</f>
        <v>1200021J00068    00</v>
      </c>
      <c r="B14377" t="s">
        <v>31553</v>
      </c>
      <c r="C14377" t="s">
        <v>31537</v>
      </c>
      <c r="D14377" t="s">
        <v>20</v>
      </c>
      <c r="E14377" t="s">
        <v>39</v>
      </c>
      <c r="F14377">
        <v>0</v>
      </c>
      <c r="G14377">
        <v>0</v>
      </c>
      <c r="H14377">
        <v>19</v>
      </c>
      <c r="I14377" s="3">
        <v>9264.31</v>
      </c>
      <c r="J14377" s="3">
        <v>13052.35</v>
      </c>
      <c r="K14377" t="s">
        <v>31554</v>
      </c>
      <c r="L14377">
        <v>2905</v>
      </c>
      <c r="M14377" t="s">
        <v>31555</v>
      </c>
      <c r="N14377" t="s">
        <v>30</v>
      </c>
      <c r="O14377" t="s">
        <v>31</v>
      </c>
      <c r="P14377" t="str">
        <f>"15204"</f>
        <v>15204</v>
      </c>
    </row>
    <row r="14378" spans="1:16" x14ac:dyDescent="0.25">
      <c r="A14378" t="str">
        <f>"1200021J00069    00"</f>
        <v>1200021J00069    00</v>
      </c>
      <c r="B14378" t="s">
        <v>31556</v>
      </c>
      <c r="C14378" t="s">
        <v>31537</v>
      </c>
      <c r="D14378" t="s">
        <v>20</v>
      </c>
      <c r="E14378" t="s">
        <v>39</v>
      </c>
      <c r="F14378">
        <v>0</v>
      </c>
      <c r="G14378">
        <v>0</v>
      </c>
      <c r="H14378">
        <v>19</v>
      </c>
      <c r="I14378" s="3">
        <v>666.21</v>
      </c>
      <c r="J14378" s="3">
        <v>779.55</v>
      </c>
      <c r="K14378" t="s">
        <v>1008</v>
      </c>
      <c r="P14378" t="str">
        <f>""</f>
        <v/>
      </c>
    </row>
    <row r="14379" spans="1:16" x14ac:dyDescent="0.25">
      <c r="A14379" t="str">
        <f>"1200021J00072    00"</f>
        <v>1200021J00072    00</v>
      </c>
      <c r="B14379" t="s">
        <v>31557</v>
      </c>
      <c r="C14379" t="s">
        <v>31558</v>
      </c>
      <c r="D14379" t="s">
        <v>20</v>
      </c>
      <c r="E14379" t="s">
        <v>39</v>
      </c>
      <c r="F14379">
        <v>0</v>
      </c>
      <c r="G14379">
        <v>0</v>
      </c>
      <c r="H14379">
        <v>19</v>
      </c>
      <c r="I14379" s="3">
        <v>13757.06</v>
      </c>
      <c r="J14379" s="3">
        <v>13918.43</v>
      </c>
      <c r="L14379">
        <v>4328</v>
      </c>
      <c r="M14379" t="s">
        <v>31559</v>
      </c>
      <c r="N14379" t="s">
        <v>2943</v>
      </c>
      <c r="O14379" t="s">
        <v>31</v>
      </c>
      <c r="P14379" t="str">
        <f>"15025"</f>
        <v>15025</v>
      </c>
    </row>
    <row r="14380" spans="1:16" x14ac:dyDescent="0.25">
      <c r="A14380" t="str">
        <f>"1200021J00073    00"</f>
        <v>1200021J00073    00</v>
      </c>
      <c r="B14380" t="s">
        <v>31560</v>
      </c>
      <c r="C14380" t="s">
        <v>31537</v>
      </c>
      <c r="D14380" t="s">
        <v>20</v>
      </c>
      <c r="E14380" t="s">
        <v>39</v>
      </c>
      <c r="F14380">
        <v>0</v>
      </c>
      <c r="G14380">
        <v>0</v>
      </c>
      <c r="H14380">
        <v>18</v>
      </c>
      <c r="I14380" s="3">
        <v>5111.92</v>
      </c>
      <c r="J14380" s="3">
        <v>7205.23</v>
      </c>
      <c r="M14380" t="s">
        <v>31561</v>
      </c>
      <c r="N14380" t="s">
        <v>31562</v>
      </c>
      <c r="O14380" t="s">
        <v>3263</v>
      </c>
      <c r="P14380" t="str">
        <f>"97030"</f>
        <v>97030</v>
      </c>
    </row>
    <row r="14381" spans="1:16" x14ac:dyDescent="0.25">
      <c r="A14381" t="str">
        <f>"1200021J00080    00"</f>
        <v>1200021J00080    00</v>
      </c>
      <c r="B14381" t="s">
        <v>31563</v>
      </c>
      <c r="C14381" t="s">
        <v>31537</v>
      </c>
      <c r="D14381" t="s">
        <v>20</v>
      </c>
      <c r="E14381" t="s">
        <v>39</v>
      </c>
      <c r="F14381">
        <v>0</v>
      </c>
      <c r="G14381">
        <v>0</v>
      </c>
      <c r="H14381">
        <v>19</v>
      </c>
      <c r="I14381" s="3">
        <v>1187.72</v>
      </c>
      <c r="J14381" s="3">
        <v>1010.28</v>
      </c>
      <c r="L14381">
        <v>324</v>
      </c>
      <c r="M14381" t="s">
        <v>31564</v>
      </c>
      <c r="N14381" t="s">
        <v>30</v>
      </c>
      <c r="O14381" t="s">
        <v>31</v>
      </c>
      <c r="P14381" t="str">
        <f t="shared" ref="P14381:P14388" si="183">"15204"</f>
        <v>15204</v>
      </c>
    </row>
    <row r="14382" spans="1:16" x14ac:dyDescent="0.25">
      <c r="A14382" t="str">
        <f>"1200021J00081    00"</f>
        <v>1200021J00081    00</v>
      </c>
      <c r="B14382" t="s">
        <v>31563</v>
      </c>
      <c r="C14382" t="s">
        <v>31537</v>
      </c>
      <c r="D14382" t="s">
        <v>20</v>
      </c>
      <c r="E14382" t="s">
        <v>39</v>
      </c>
      <c r="F14382">
        <v>0</v>
      </c>
      <c r="G14382">
        <v>0</v>
      </c>
      <c r="H14382">
        <v>19</v>
      </c>
      <c r="I14382" s="3">
        <v>1165.6500000000001</v>
      </c>
      <c r="J14382" s="3">
        <v>998.63</v>
      </c>
      <c r="L14382">
        <v>324</v>
      </c>
      <c r="M14382" t="s">
        <v>31564</v>
      </c>
      <c r="N14382" t="s">
        <v>30</v>
      </c>
      <c r="O14382" t="s">
        <v>31</v>
      </c>
      <c r="P14382" t="str">
        <f t="shared" si="183"/>
        <v>15204</v>
      </c>
    </row>
    <row r="14383" spans="1:16" x14ac:dyDescent="0.25">
      <c r="A14383" t="str">
        <f>"1200021J00083    00"</f>
        <v>1200021J00083    00</v>
      </c>
      <c r="B14383" t="s">
        <v>31565</v>
      </c>
      <c r="C14383" t="s">
        <v>31566</v>
      </c>
      <c r="D14383" t="s">
        <v>20</v>
      </c>
      <c r="E14383" t="s">
        <v>39</v>
      </c>
      <c r="F14383">
        <v>0</v>
      </c>
      <c r="G14383">
        <v>0</v>
      </c>
      <c r="H14383">
        <v>13</v>
      </c>
      <c r="I14383" s="3">
        <v>4467.37</v>
      </c>
      <c r="J14383" s="3">
        <v>1741.36</v>
      </c>
      <c r="L14383">
        <v>2904</v>
      </c>
      <c r="M14383" t="s">
        <v>31546</v>
      </c>
      <c r="N14383" t="s">
        <v>30</v>
      </c>
      <c r="O14383" t="s">
        <v>31</v>
      </c>
      <c r="P14383" t="str">
        <f t="shared" si="183"/>
        <v>15204</v>
      </c>
    </row>
    <row r="14384" spans="1:16" x14ac:dyDescent="0.25">
      <c r="A14384" t="str">
        <f>"1200021J00097    00"</f>
        <v>1200021J00097    00</v>
      </c>
      <c r="B14384" t="s">
        <v>31567</v>
      </c>
      <c r="C14384" t="s">
        <v>31568</v>
      </c>
      <c r="D14384" t="s">
        <v>20</v>
      </c>
      <c r="E14384" t="s">
        <v>39</v>
      </c>
      <c r="F14384">
        <v>0</v>
      </c>
      <c r="G14384">
        <v>0</v>
      </c>
      <c r="H14384">
        <v>4</v>
      </c>
      <c r="I14384" s="3">
        <v>1382.19</v>
      </c>
      <c r="J14384" s="3">
        <v>181.12</v>
      </c>
      <c r="K14384" t="s">
        <v>31569</v>
      </c>
      <c r="L14384">
        <v>2910</v>
      </c>
      <c r="M14384" t="s">
        <v>31570</v>
      </c>
      <c r="N14384" t="s">
        <v>30</v>
      </c>
      <c r="O14384" t="s">
        <v>31</v>
      </c>
      <c r="P14384" t="str">
        <f t="shared" si="183"/>
        <v>15204</v>
      </c>
    </row>
    <row r="14385" spans="1:16" x14ac:dyDescent="0.25">
      <c r="A14385" t="str">
        <f>"1200021J00126    00"</f>
        <v>1200021J00126    00</v>
      </c>
      <c r="B14385" t="s">
        <v>31571</v>
      </c>
      <c r="C14385" t="s">
        <v>31572</v>
      </c>
      <c r="D14385" t="s">
        <v>20</v>
      </c>
      <c r="E14385" t="s">
        <v>39</v>
      </c>
      <c r="F14385">
        <v>0</v>
      </c>
      <c r="G14385">
        <v>0</v>
      </c>
      <c r="H14385">
        <v>17</v>
      </c>
      <c r="I14385" s="3">
        <v>1003.4</v>
      </c>
      <c r="J14385" s="3">
        <v>726.83</v>
      </c>
      <c r="L14385">
        <v>2701</v>
      </c>
      <c r="M14385" t="s">
        <v>31570</v>
      </c>
      <c r="N14385" t="s">
        <v>30</v>
      </c>
      <c r="O14385" t="s">
        <v>31</v>
      </c>
      <c r="P14385" t="str">
        <f t="shared" si="183"/>
        <v>15204</v>
      </c>
    </row>
    <row r="14386" spans="1:16" x14ac:dyDescent="0.25">
      <c r="A14386" t="str">
        <f>"1200021J00127    00"</f>
        <v>1200021J00127    00</v>
      </c>
      <c r="B14386" t="s">
        <v>31571</v>
      </c>
      <c r="C14386" t="s">
        <v>31572</v>
      </c>
      <c r="D14386" t="s">
        <v>20</v>
      </c>
      <c r="E14386" t="s">
        <v>39</v>
      </c>
      <c r="F14386">
        <v>0</v>
      </c>
      <c r="G14386">
        <v>0</v>
      </c>
      <c r="H14386">
        <v>17</v>
      </c>
      <c r="I14386" s="3">
        <v>1003.4</v>
      </c>
      <c r="J14386" s="3">
        <v>726.83</v>
      </c>
      <c r="L14386">
        <v>2701</v>
      </c>
      <c r="M14386" t="s">
        <v>31570</v>
      </c>
      <c r="N14386" t="s">
        <v>30</v>
      </c>
      <c r="O14386" t="s">
        <v>31</v>
      </c>
      <c r="P14386" t="str">
        <f t="shared" si="183"/>
        <v>15204</v>
      </c>
    </row>
    <row r="14387" spans="1:16" x14ac:dyDescent="0.25">
      <c r="A14387" t="str">
        <f>"1200021J00128    00"</f>
        <v>1200021J00128    00</v>
      </c>
      <c r="B14387" t="s">
        <v>31571</v>
      </c>
      <c r="C14387" t="s">
        <v>31572</v>
      </c>
      <c r="D14387" t="s">
        <v>20</v>
      </c>
      <c r="E14387" t="s">
        <v>39</v>
      </c>
      <c r="F14387">
        <v>0</v>
      </c>
      <c r="G14387">
        <v>0</v>
      </c>
      <c r="H14387">
        <v>17</v>
      </c>
      <c r="I14387" s="3">
        <v>1003.4</v>
      </c>
      <c r="J14387" s="3">
        <v>726.83</v>
      </c>
      <c r="L14387">
        <v>2701</v>
      </c>
      <c r="M14387" t="s">
        <v>31570</v>
      </c>
      <c r="N14387" t="s">
        <v>30</v>
      </c>
      <c r="O14387" t="s">
        <v>31</v>
      </c>
      <c r="P14387" t="str">
        <f t="shared" si="183"/>
        <v>15204</v>
      </c>
    </row>
    <row r="14388" spans="1:16" x14ac:dyDescent="0.25">
      <c r="A14388" t="str">
        <f>"1200021J00129    00"</f>
        <v>1200021J00129    00</v>
      </c>
      <c r="B14388" t="s">
        <v>31573</v>
      </c>
      <c r="C14388" t="s">
        <v>31572</v>
      </c>
      <c r="D14388" t="s">
        <v>20</v>
      </c>
      <c r="E14388" t="s">
        <v>39</v>
      </c>
      <c r="F14388">
        <v>0</v>
      </c>
      <c r="G14388">
        <v>0</v>
      </c>
      <c r="H14388">
        <v>16</v>
      </c>
      <c r="I14388" s="3">
        <v>385.55</v>
      </c>
      <c r="J14388" s="3">
        <v>352.25</v>
      </c>
      <c r="L14388">
        <v>2701</v>
      </c>
      <c r="M14388" t="s">
        <v>31570</v>
      </c>
      <c r="N14388" t="s">
        <v>30</v>
      </c>
      <c r="O14388" t="s">
        <v>31</v>
      </c>
      <c r="P14388" t="str">
        <f t="shared" si="183"/>
        <v>15204</v>
      </c>
    </row>
    <row r="14389" spans="1:16" x14ac:dyDescent="0.25">
      <c r="A14389" t="str">
        <f>"1200021J00135    00"</f>
        <v>1200021J00135    00</v>
      </c>
      <c r="B14389" t="s">
        <v>31574</v>
      </c>
      <c r="C14389" t="s">
        <v>31572</v>
      </c>
      <c r="D14389" t="s">
        <v>20</v>
      </c>
      <c r="E14389" t="s">
        <v>39</v>
      </c>
      <c r="F14389">
        <v>0</v>
      </c>
      <c r="G14389">
        <v>0</v>
      </c>
      <c r="H14389">
        <v>19</v>
      </c>
      <c r="I14389" s="3">
        <v>550.92999999999995</v>
      </c>
      <c r="J14389" s="3">
        <v>673.63</v>
      </c>
      <c r="K14389" t="s">
        <v>1037</v>
      </c>
      <c r="M14389" t="s">
        <v>31575</v>
      </c>
      <c r="N14389" t="s">
        <v>19978</v>
      </c>
      <c r="O14389" t="s">
        <v>31</v>
      </c>
      <c r="P14389" t="str">
        <f>"16629"</f>
        <v>16629</v>
      </c>
    </row>
    <row r="14390" spans="1:16" x14ac:dyDescent="0.25">
      <c r="A14390" t="str">
        <f>"1200021J00158    00"</f>
        <v>1200021J00158    00</v>
      </c>
      <c r="B14390" t="s">
        <v>31576</v>
      </c>
      <c r="C14390" t="s">
        <v>31572</v>
      </c>
      <c r="D14390" t="s">
        <v>20</v>
      </c>
      <c r="E14390" t="s">
        <v>39</v>
      </c>
      <c r="F14390">
        <v>0</v>
      </c>
      <c r="G14390">
        <v>0</v>
      </c>
      <c r="H14390">
        <v>8</v>
      </c>
      <c r="I14390" s="3">
        <v>2625.1</v>
      </c>
      <c r="J14390" s="3">
        <v>949.78</v>
      </c>
      <c r="K14390" t="s">
        <v>31577</v>
      </c>
      <c r="L14390">
        <v>25</v>
      </c>
      <c r="M14390" t="s">
        <v>31578</v>
      </c>
      <c r="N14390" t="s">
        <v>30</v>
      </c>
      <c r="O14390" t="s">
        <v>31</v>
      </c>
      <c r="P14390" t="str">
        <f>"15205"</f>
        <v>15205</v>
      </c>
    </row>
    <row r="14391" spans="1:16" x14ac:dyDescent="0.25">
      <c r="A14391" t="str">
        <f>"1200021J00163    00"</f>
        <v>1200021J00163    00</v>
      </c>
      <c r="B14391" t="s">
        <v>31579</v>
      </c>
      <c r="C14391" t="s">
        <v>31580</v>
      </c>
      <c r="D14391" t="s">
        <v>20</v>
      </c>
      <c r="E14391" t="s">
        <v>39</v>
      </c>
      <c r="F14391">
        <v>0</v>
      </c>
      <c r="G14391">
        <v>0</v>
      </c>
      <c r="H14391">
        <v>4</v>
      </c>
      <c r="I14391" s="3">
        <v>4427.3500000000004</v>
      </c>
      <c r="J14391" s="3">
        <v>523.01</v>
      </c>
      <c r="L14391">
        <v>2714</v>
      </c>
      <c r="M14391" t="s">
        <v>31570</v>
      </c>
      <c r="N14391" t="s">
        <v>30</v>
      </c>
      <c r="O14391" t="s">
        <v>31</v>
      </c>
      <c r="P14391" t="str">
        <f>"15204"</f>
        <v>15204</v>
      </c>
    </row>
    <row r="14392" spans="1:16" x14ac:dyDescent="0.25">
      <c r="A14392" t="str">
        <f>"1200021J00164    00"</f>
        <v>1200021J00164    00</v>
      </c>
      <c r="B14392" t="s">
        <v>31579</v>
      </c>
      <c r="C14392" t="s">
        <v>31572</v>
      </c>
      <c r="D14392" t="s">
        <v>20</v>
      </c>
      <c r="E14392" t="s">
        <v>39</v>
      </c>
      <c r="F14392">
        <v>0</v>
      </c>
      <c r="G14392">
        <v>0</v>
      </c>
      <c r="H14392">
        <v>9</v>
      </c>
      <c r="I14392" s="3">
        <v>782.29</v>
      </c>
      <c r="J14392" s="3">
        <v>337.35</v>
      </c>
      <c r="L14392">
        <v>2714</v>
      </c>
      <c r="M14392" t="s">
        <v>31570</v>
      </c>
      <c r="N14392" t="s">
        <v>30</v>
      </c>
      <c r="O14392" t="s">
        <v>31</v>
      </c>
      <c r="P14392" t="str">
        <f>"15204"</f>
        <v>15204</v>
      </c>
    </row>
    <row r="14393" spans="1:16" x14ac:dyDescent="0.25">
      <c r="A14393" t="str">
        <f>"1200021J00165    00"</f>
        <v>1200021J00165    00</v>
      </c>
      <c r="B14393" t="s">
        <v>31579</v>
      </c>
      <c r="C14393" t="s">
        <v>31572</v>
      </c>
      <c r="D14393" t="s">
        <v>20</v>
      </c>
      <c r="E14393" t="s">
        <v>39</v>
      </c>
      <c r="F14393">
        <v>0</v>
      </c>
      <c r="G14393">
        <v>0</v>
      </c>
      <c r="H14393">
        <v>14</v>
      </c>
      <c r="I14393" s="3">
        <v>1074.26</v>
      </c>
      <c r="J14393" s="3">
        <v>682.27</v>
      </c>
      <c r="L14393">
        <v>2714</v>
      </c>
      <c r="M14393" t="s">
        <v>31570</v>
      </c>
      <c r="N14393" t="s">
        <v>30</v>
      </c>
      <c r="O14393" t="s">
        <v>31</v>
      </c>
      <c r="P14393" t="str">
        <f>"15204"</f>
        <v>15204</v>
      </c>
    </row>
    <row r="14394" spans="1:16" x14ac:dyDescent="0.25">
      <c r="A14394" t="str">
        <f>"1200021J00178    00"</f>
        <v>1200021J00178    00</v>
      </c>
      <c r="B14394" t="s">
        <v>31581</v>
      </c>
      <c r="C14394" t="s">
        <v>31582</v>
      </c>
      <c r="D14394" t="s">
        <v>20</v>
      </c>
      <c r="E14394" t="s">
        <v>39</v>
      </c>
      <c r="F14394">
        <v>0</v>
      </c>
      <c r="G14394">
        <v>0</v>
      </c>
      <c r="H14394">
        <v>3</v>
      </c>
      <c r="I14394" s="3">
        <v>457.44</v>
      </c>
      <c r="J14394" s="3">
        <v>30.5</v>
      </c>
      <c r="K14394" t="s">
        <v>31583</v>
      </c>
      <c r="L14394">
        <v>2750</v>
      </c>
      <c r="M14394" t="s">
        <v>31570</v>
      </c>
      <c r="N14394" t="s">
        <v>30</v>
      </c>
      <c r="O14394" t="s">
        <v>31</v>
      </c>
      <c r="P14394" t="str">
        <f>"15204"</f>
        <v>15204</v>
      </c>
    </row>
    <row r="14395" spans="1:16" x14ac:dyDescent="0.25">
      <c r="A14395" t="str">
        <f>"1200021J00179    00"</f>
        <v>1200021J00179    00</v>
      </c>
      <c r="B14395" t="s">
        <v>24823</v>
      </c>
      <c r="C14395" t="s">
        <v>31584</v>
      </c>
      <c r="D14395" t="s">
        <v>20</v>
      </c>
      <c r="E14395" t="s">
        <v>39</v>
      </c>
      <c r="F14395">
        <v>0</v>
      </c>
      <c r="G14395">
        <v>0</v>
      </c>
      <c r="H14395">
        <v>2</v>
      </c>
      <c r="I14395" s="3">
        <v>190.6</v>
      </c>
      <c r="J14395" s="3">
        <v>0</v>
      </c>
      <c r="K14395" t="s">
        <v>24825</v>
      </c>
      <c r="M14395" t="s">
        <v>24826</v>
      </c>
      <c r="N14395" t="s">
        <v>24827</v>
      </c>
      <c r="O14395" t="s">
        <v>25</v>
      </c>
      <c r="P14395" t="str">
        <f>"44663"</f>
        <v>44663</v>
      </c>
    </row>
    <row r="14396" spans="1:16" x14ac:dyDescent="0.25">
      <c r="A14396" t="str">
        <f>"1200021J00185    00"</f>
        <v>1200021J00185    00</v>
      </c>
      <c r="B14396" t="s">
        <v>31585</v>
      </c>
      <c r="C14396" t="s">
        <v>31586</v>
      </c>
      <c r="D14396" t="s">
        <v>20</v>
      </c>
      <c r="E14396" t="s">
        <v>39</v>
      </c>
      <c r="F14396">
        <v>0</v>
      </c>
      <c r="G14396">
        <v>0</v>
      </c>
      <c r="H14396">
        <v>3</v>
      </c>
      <c r="I14396" s="3">
        <v>101.1</v>
      </c>
      <c r="J14396" s="3">
        <v>10.9</v>
      </c>
      <c r="L14396">
        <v>2910</v>
      </c>
      <c r="M14396" t="s">
        <v>31570</v>
      </c>
      <c r="N14396" t="s">
        <v>30</v>
      </c>
      <c r="O14396" t="s">
        <v>31</v>
      </c>
      <c r="P14396" t="str">
        <f>"15204"</f>
        <v>15204</v>
      </c>
    </row>
    <row r="14397" spans="1:16" x14ac:dyDescent="0.25">
      <c r="A14397" t="str">
        <f>"1200021J00189    00"</f>
        <v>1200021J00189    00</v>
      </c>
      <c r="B14397" t="s">
        <v>31587</v>
      </c>
      <c r="C14397" t="s">
        <v>31588</v>
      </c>
      <c r="E14397" t="s">
        <v>39</v>
      </c>
      <c r="F14397">
        <v>0</v>
      </c>
      <c r="G14397">
        <v>0</v>
      </c>
      <c r="H14397">
        <v>1</v>
      </c>
      <c r="I14397" s="3">
        <v>20.25</v>
      </c>
      <c r="J14397" s="3">
        <v>0</v>
      </c>
      <c r="K14397" t="s">
        <v>31569</v>
      </c>
      <c r="L14397">
        <v>2910</v>
      </c>
      <c r="M14397" t="s">
        <v>31570</v>
      </c>
      <c r="N14397" t="s">
        <v>30</v>
      </c>
      <c r="O14397" t="s">
        <v>31</v>
      </c>
      <c r="P14397" t="str">
        <f>"15204"</f>
        <v>15204</v>
      </c>
    </row>
    <row r="14398" spans="1:16" x14ac:dyDescent="0.25">
      <c r="A14398" t="str">
        <f>"1200021J00230    00"</f>
        <v>1200021J00230    00</v>
      </c>
      <c r="B14398" t="s">
        <v>31589</v>
      </c>
      <c r="C14398" t="s">
        <v>31590</v>
      </c>
      <c r="D14398" t="s">
        <v>20</v>
      </c>
      <c r="E14398" t="s">
        <v>39</v>
      </c>
      <c r="F14398">
        <v>0</v>
      </c>
      <c r="G14398">
        <v>0</v>
      </c>
      <c r="H14398">
        <v>5</v>
      </c>
      <c r="I14398" s="3">
        <v>1431.83</v>
      </c>
      <c r="J14398" s="3">
        <v>247.36</v>
      </c>
      <c r="L14398">
        <v>3821</v>
      </c>
      <c r="M14398" t="s">
        <v>16891</v>
      </c>
      <c r="N14398" t="s">
        <v>30</v>
      </c>
      <c r="O14398" t="s">
        <v>31</v>
      </c>
      <c r="P14398" t="str">
        <f>"15204"</f>
        <v>15204</v>
      </c>
    </row>
    <row r="14399" spans="1:16" x14ac:dyDescent="0.25">
      <c r="A14399" t="str">
        <f>"1200021K00022    00"</f>
        <v>1200021K00022    00</v>
      </c>
      <c r="B14399" t="s">
        <v>31591</v>
      </c>
      <c r="C14399" t="s">
        <v>31592</v>
      </c>
      <c r="D14399" t="s">
        <v>20</v>
      </c>
      <c r="E14399" t="s">
        <v>39</v>
      </c>
      <c r="F14399">
        <v>0</v>
      </c>
      <c r="G14399">
        <v>0</v>
      </c>
      <c r="H14399">
        <v>12</v>
      </c>
      <c r="I14399" s="3">
        <v>11465.24</v>
      </c>
      <c r="J14399" s="3">
        <v>6030.82</v>
      </c>
      <c r="K14399" t="s">
        <v>31593</v>
      </c>
      <c r="L14399">
        <v>307</v>
      </c>
      <c r="M14399" t="s">
        <v>30717</v>
      </c>
      <c r="N14399" t="s">
        <v>4150</v>
      </c>
      <c r="O14399" t="s">
        <v>31</v>
      </c>
      <c r="P14399" t="str">
        <f>"15116"</f>
        <v>15116</v>
      </c>
    </row>
    <row r="14400" spans="1:16" x14ac:dyDescent="0.25">
      <c r="A14400" t="str">
        <f>"1200021K00060    02"</f>
        <v>1200021K00060    02</v>
      </c>
      <c r="B14400" t="s">
        <v>687</v>
      </c>
      <c r="C14400" t="s">
        <v>31594</v>
      </c>
      <c r="E14400" t="s">
        <v>513</v>
      </c>
      <c r="F14400">
        <v>0</v>
      </c>
      <c r="G14400">
        <v>0</v>
      </c>
      <c r="H14400">
        <v>1</v>
      </c>
      <c r="I14400" s="3">
        <v>588.4</v>
      </c>
      <c r="J14400" s="3">
        <v>1048.97</v>
      </c>
      <c r="K14400" t="s">
        <v>603</v>
      </c>
      <c r="L14400">
        <v>650</v>
      </c>
      <c r="M14400" t="s">
        <v>604</v>
      </c>
      <c r="N14400" t="s">
        <v>605</v>
      </c>
      <c r="O14400" t="s">
        <v>606</v>
      </c>
      <c r="P14400" t="str">
        <f>"30308"</f>
        <v>30308</v>
      </c>
    </row>
    <row r="14401" spans="1:16" x14ac:dyDescent="0.25">
      <c r="A14401" t="str">
        <f>"1200021K00067    00"</f>
        <v>1200021K00067    00</v>
      </c>
      <c r="B14401" t="s">
        <v>31595</v>
      </c>
      <c r="C14401" t="s">
        <v>4502</v>
      </c>
      <c r="E14401" t="s">
        <v>513</v>
      </c>
      <c r="F14401">
        <v>0</v>
      </c>
      <c r="G14401">
        <v>0</v>
      </c>
      <c r="H14401">
        <v>2</v>
      </c>
      <c r="I14401" s="3">
        <v>5848.74</v>
      </c>
      <c r="J14401" s="3">
        <v>7724.9</v>
      </c>
      <c r="K14401" t="s">
        <v>603</v>
      </c>
      <c r="L14401">
        <v>650</v>
      </c>
      <c r="M14401" t="s">
        <v>604</v>
      </c>
      <c r="N14401" t="s">
        <v>605</v>
      </c>
      <c r="O14401" t="s">
        <v>606</v>
      </c>
      <c r="P14401" t="str">
        <f>"30308"</f>
        <v>30308</v>
      </c>
    </row>
    <row r="14402" spans="1:16" x14ac:dyDescent="0.25">
      <c r="A14402" t="str">
        <f>"1200021K00096    00"</f>
        <v>1200021K00096    00</v>
      </c>
      <c r="B14402" t="s">
        <v>31596</v>
      </c>
      <c r="C14402" t="s">
        <v>31597</v>
      </c>
      <c r="E14402" t="s">
        <v>39</v>
      </c>
      <c r="F14402">
        <v>0</v>
      </c>
      <c r="G14402">
        <v>0</v>
      </c>
      <c r="H14402">
        <v>5</v>
      </c>
      <c r="I14402" s="3">
        <v>4743.93</v>
      </c>
      <c r="J14402" s="3">
        <v>93.72</v>
      </c>
      <c r="L14402">
        <v>2610</v>
      </c>
      <c r="M14402" t="s">
        <v>31570</v>
      </c>
      <c r="N14402" t="s">
        <v>30</v>
      </c>
      <c r="O14402" t="s">
        <v>31</v>
      </c>
      <c r="P14402" t="str">
        <f>"15204"</f>
        <v>15204</v>
      </c>
    </row>
    <row r="14403" spans="1:16" x14ac:dyDescent="0.25">
      <c r="A14403" t="str">
        <f>"1200021N00026    00"</f>
        <v>1200021N00026    00</v>
      </c>
      <c r="B14403" t="s">
        <v>31598</v>
      </c>
      <c r="C14403" t="s">
        <v>31030</v>
      </c>
      <c r="E14403" t="s">
        <v>39</v>
      </c>
      <c r="F14403">
        <v>0</v>
      </c>
      <c r="G14403">
        <v>0</v>
      </c>
      <c r="H14403">
        <v>3</v>
      </c>
      <c r="I14403" s="3">
        <v>446.22</v>
      </c>
      <c r="J14403" s="3">
        <v>313.74</v>
      </c>
      <c r="L14403">
        <v>2654</v>
      </c>
      <c r="M14403" t="s">
        <v>31599</v>
      </c>
      <c r="N14403" t="s">
        <v>30</v>
      </c>
      <c r="O14403" t="s">
        <v>31</v>
      </c>
      <c r="P14403" t="str">
        <f>"15204"</f>
        <v>15204</v>
      </c>
    </row>
    <row r="14404" spans="1:16" x14ac:dyDescent="0.25">
      <c r="A14404" t="str">
        <f>"1200021N00027    00"</f>
        <v>1200021N00027    00</v>
      </c>
      <c r="B14404" t="s">
        <v>31600</v>
      </c>
      <c r="C14404" t="s">
        <v>31601</v>
      </c>
      <c r="D14404" t="s">
        <v>20</v>
      </c>
      <c r="E14404" t="s">
        <v>39</v>
      </c>
      <c r="F14404">
        <v>0</v>
      </c>
      <c r="G14404">
        <v>0</v>
      </c>
      <c r="H14404">
        <v>8</v>
      </c>
      <c r="I14404" s="3">
        <v>5792.74</v>
      </c>
      <c r="J14404" s="3">
        <v>1890.51</v>
      </c>
      <c r="L14404">
        <v>2658</v>
      </c>
      <c r="M14404" t="s">
        <v>31602</v>
      </c>
      <c r="N14404" t="s">
        <v>30</v>
      </c>
      <c r="O14404" t="s">
        <v>31</v>
      </c>
      <c r="P14404" t="str">
        <f>"15204"</f>
        <v>15204</v>
      </c>
    </row>
    <row r="14405" spans="1:16" x14ac:dyDescent="0.25">
      <c r="A14405" t="str">
        <f>"1200021N00036    00"</f>
        <v>1200021N00036    00</v>
      </c>
      <c r="B14405" t="s">
        <v>31603</v>
      </c>
      <c r="C14405" t="s">
        <v>31604</v>
      </c>
      <c r="D14405" t="s">
        <v>20</v>
      </c>
      <c r="E14405" t="s">
        <v>39</v>
      </c>
      <c r="F14405">
        <v>0</v>
      </c>
      <c r="G14405">
        <v>0</v>
      </c>
      <c r="H14405">
        <v>2</v>
      </c>
      <c r="I14405" s="3">
        <v>2535</v>
      </c>
      <c r="J14405" s="3">
        <v>0</v>
      </c>
      <c r="K14405" t="s">
        <v>8393</v>
      </c>
      <c r="M14405" t="s">
        <v>8394</v>
      </c>
      <c r="N14405" t="s">
        <v>8395</v>
      </c>
      <c r="O14405" t="s">
        <v>1616</v>
      </c>
      <c r="P14405" t="str">
        <f>"57709"</f>
        <v>57709</v>
      </c>
    </row>
    <row r="14406" spans="1:16" x14ac:dyDescent="0.25">
      <c r="A14406" t="str">
        <f>"1200021N00042    00"</f>
        <v>1200021N00042    00</v>
      </c>
      <c r="B14406" t="s">
        <v>31605</v>
      </c>
      <c r="C14406" t="s">
        <v>31606</v>
      </c>
      <c r="D14406" t="s">
        <v>20</v>
      </c>
      <c r="E14406" t="s">
        <v>39</v>
      </c>
      <c r="F14406">
        <v>0</v>
      </c>
      <c r="G14406">
        <v>0</v>
      </c>
      <c r="H14406">
        <v>2</v>
      </c>
      <c r="I14406" s="3">
        <v>34.32</v>
      </c>
      <c r="J14406" s="3">
        <v>0</v>
      </c>
      <c r="K14406" t="s">
        <v>31607</v>
      </c>
      <c r="L14406">
        <v>2723</v>
      </c>
      <c r="M14406" t="s">
        <v>31608</v>
      </c>
      <c r="N14406" t="s">
        <v>30</v>
      </c>
      <c r="O14406" t="s">
        <v>31</v>
      </c>
      <c r="P14406" t="str">
        <f>"15203"</f>
        <v>15203</v>
      </c>
    </row>
    <row r="14407" spans="1:16" x14ac:dyDescent="0.25">
      <c r="A14407" t="str">
        <f>"1200021N00045    00"</f>
        <v>1200021N00045    00</v>
      </c>
      <c r="B14407" t="s">
        <v>31609</v>
      </c>
      <c r="C14407" t="s">
        <v>31610</v>
      </c>
      <c r="D14407" t="s">
        <v>20</v>
      </c>
      <c r="E14407" t="s">
        <v>39</v>
      </c>
      <c r="F14407">
        <v>0</v>
      </c>
      <c r="G14407">
        <v>0</v>
      </c>
      <c r="H14407">
        <v>2</v>
      </c>
      <c r="I14407" s="3">
        <v>1067.3599999999999</v>
      </c>
      <c r="J14407" s="3">
        <v>0</v>
      </c>
      <c r="K14407" t="s">
        <v>31611</v>
      </c>
      <c r="L14407">
        <v>2009</v>
      </c>
      <c r="M14407" t="s">
        <v>31612</v>
      </c>
      <c r="N14407" t="s">
        <v>2008</v>
      </c>
      <c r="O14407" t="s">
        <v>31</v>
      </c>
      <c r="P14407" t="str">
        <f>"16066"</f>
        <v>16066</v>
      </c>
    </row>
    <row r="14408" spans="1:16" x14ac:dyDescent="0.25">
      <c r="A14408" t="str">
        <f>"1200021N00048    00"</f>
        <v>1200021N00048    00</v>
      </c>
      <c r="B14408" t="s">
        <v>31613</v>
      </c>
      <c r="C14408" t="s">
        <v>31614</v>
      </c>
      <c r="D14408" t="s">
        <v>20</v>
      </c>
      <c r="E14408" t="s">
        <v>39</v>
      </c>
      <c r="F14408">
        <v>0</v>
      </c>
      <c r="G14408">
        <v>0</v>
      </c>
      <c r="H14408">
        <v>18</v>
      </c>
      <c r="I14408" s="3">
        <v>11724.52</v>
      </c>
      <c r="J14408" s="3">
        <v>11516.5</v>
      </c>
      <c r="L14408">
        <v>2705</v>
      </c>
      <c r="M14408" t="s">
        <v>31608</v>
      </c>
      <c r="N14408" t="s">
        <v>30</v>
      </c>
      <c r="O14408" t="s">
        <v>31</v>
      </c>
      <c r="P14408" t="str">
        <f>"15204"</f>
        <v>15204</v>
      </c>
    </row>
    <row r="14409" spans="1:16" x14ac:dyDescent="0.25">
      <c r="A14409" t="str">
        <f>"1200021N00049    00"</f>
        <v>1200021N00049    00</v>
      </c>
      <c r="B14409" t="s">
        <v>31613</v>
      </c>
      <c r="C14409" t="s">
        <v>31614</v>
      </c>
      <c r="D14409" t="s">
        <v>20</v>
      </c>
      <c r="E14409" t="s">
        <v>39</v>
      </c>
      <c r="F14409">
        <v>0</v>
      </c>
      <c r="G14409">
        <v>0</v>
      </c>
      <c r="H14409">
        <v>17</v>
      </c>
      <c r="I14409" s="3">
        <v>2904.05</v>
      </c>
      <c r="J14409" s="3">
        <v>2902.61</v>
      </c>
      <c r="L14409">
        <v>23475</v>
      </c>
      <c r="M14409" t="s">
        <v>31615</v>
      </c>
      <c r="N14409" t="s">
        <v>31616</v>
      </c>
      <c r="O14409" t="s">
        <v>495</v>
      </c>
      <c r="P14409" t="str">
        <f>"92308"</f>
        <v>92308</v>
      </c>
    </row>
    <row r="14410" spans="1:16" x14ac:dyDescent="0.25">
      <c r="A14410" t="str">
        <f>"1200021N00054    00"</f>
        <v>1200021N00054    00</v>
      </c>
      <c r="B14410" t="s">
        <v>31617</v>
      </c>
      <c r="C14410" t="s">
        <v>31618</v>
      </c>
      <c r="D14410" t="s">
        <v>20</v>
      </c>
      <c r="E14410" t="s">
        <v>39</v>
      </c>
      <c r="F14410">
        <v>0</v>
      </c>
      <c r="G14410">
        <v>0</v>
      </c>
      <c r="H14410">
        <v>19</v>
      </c>
      <c r="I14410" s="3">
        <v>4887.88</v>
      </c>
      <c r="J14410" s="3">
        <v>4236.46</v>
      </c>
      <c r="L14410">
        <v>918</v>
      </c>
      <c r="M14410" t="s">
        <v>31619</v>
      </c>
      <c r="N14410" t="s">
        <v>31620</v>
      </c>
      <c r="O14410" t="s">
        <v>31</v>
      </c>
      <c r="P14410" t="str">
        <f>"15337"</f>
        <v>15337</v>
      </c>
    </row>
    <row r="14411" spans="1:16" x14ac:dyDescent="0.25">
      <c r="A14411" t="str">
        <f>"1200021N00055    00"</f>
        <v>1200021N00055    00</v>
      </c>
      <c r="B14411" t="s">
        <v>31617</v>
      </c>
      <c r="C14411" t="s">
        <v>31618</v>
      </c>
      <c r="D14411" t="s">
        <v>20</v>
      </c>
      <c r="E14411" t="s">
        <v>39</v>
      </c>
      <c r="F14411">
        <v>0</v>
      </c>
      <c r="G14411">
        <v>0</v>
      </c>
      <c r="H14411">
        <v>19</v>
      </c>
      <c r="I14411" s="3">
        <v>8750.16</v>
      </c>
      <c r="J14411" s="3">
        <v>8963.9599999999991</v>
      </c>
      <c r="K14411" t="s">
        <v>31621</v>
      </c>
      <c r="L14411">
        <v>918</v>
      </c>
      <c r="M14411" t="s">
        <v>31622</v>
      </c>
      <c r="N14411" t="s">
        <v>31620</v>
      </c>
      <c r="O14411" t="s">
        <v>31</v>
      </c>
      <c r="P14411" t="str">
        <f>"15337"</f>
        <v>15337</v>
      </c>
    </row>
    <row r="14412" spans="1:16" x14ac:dyDescent="0.25">
      <c r="A14412" t="str">
        <f>"1200021N00061    00"</f>
        <v>1200021N00061    00</v>
      </c>
      <c r="B14412" t="s">
        <v>31623</v>
      </c>
      <c r="C14412" t="s">
        <v>31606</v>
      </c>
      <c r="D14412" t="s">
        <v>20</v>
      </c>
      <c r="E14412" t="s">
        <v>39</v>
      </c>
      <c r="F14412">
        <v>0</v>
      </c>
      <c r="G14412">
        <v>0</v>
      </c>
      <c r="H14412">
        <v>12</v>
      </c>
      <c r="I14412" s="3">
        <v>3102.96</v>
      </c>
      <c r="J14412" s="3">
        <v>1632.2</v>
      </c>
      <c r="L14412">
        <v>2651</v>
      </c>
      <c r="M14412" t="s">
        <v>31608</v>
      </c>
      <c r="N14412" t="s">
        <v>30</v>
      </c>
      <c r="O14412" t="s">
        <v>31</v>
      </c>
      <c r="P14412" t="str">
        <f>"15204"</f>
        <v>15204</v>
      </c>
    </row>
    <row r="14413" spans="1:16" x14ac:dyDescent="0.25">
      <c r="A14413" t="str">
        <f>"1200021N00063    00"</f>
        <v>1200021N00063    00</v>
      </c>
      <c r="B14413" t="s">
        <v>31624</v>
      </c>
      <c r="C14413" t="s">
        <v>31606</v>
      </c>
      <c r="D14413" t="s">
        <v>20</v>
      </c>
      <c r="E14413" t="s">
        <v>39</v>
      </c>
      <c r="F14413">
        <v>0</v>
      </c>
      <c r="G14413">
        <v>0</v>
      </c>
      <c r="H14413">
        <v>15</v>
      </c>
      <c r="I14413" s="3">
        <v>3273.69</v>
      </c>
      <c r="J14413" s="3">
        <v>2481.19</v>
      </c>
      <c r="L14413">
        <v>818</v>
      </c>
      <c r="M14413" t="s">
        <v>31625</v>
      </c>
      <c r="N14413" t="s">
        <v>2008</v>
      </c>
      <c r="O14413" t="s">
        <v>31</v>
      </c>
      <c r="P14413" t="str">
        <f>"16066"</f>
        <v>16066</v>
      </c>
    </row>
    <row r="14414" spans="1:16" x14ac:dyDescent="0.25">
      <c r="A14414" t="str">
        <f>"1200021N00064    00"</f>
        <v>1200021N00064    00</v>
      </c>
      <c r="B14414" t="s">
        <v>31626</v>
      </c>
      <c r="C14414" t="s">
        <v>31606</v>
      </c>
      <c r="D14414" t="s">
        <v>20</v>
      </c>
      <c r="E14414" t="s">
        <v>39</v>
      </c>
      <c r="F14414">
        <v>0</v>
      </c>
      <c r="G14414">
        <v>0</v>
      </c>
      <c r="H14414">
        <v>15</v>
      </c>
      <c r="I14414" s="3">
        <v>1614.58</v>
      </c>
      <c r="J14414" s="3">
        <v>904.82</v>
      </c>
      <c r="L14414">
        <v>818</v>
      </c>
      <c r="M14414" t="s">
        <v>31625</v>
      </c>
      <c r="N14414" t="s">
        <v>2008</v>
      </c>
      <c r="O14414" t="s">
        <v>31</v>
      </c>
      <c r="P14414" t="str">
        <f>"16066"</f>
        <v>16066</v>
      </c>
    </row>
    <row r="14415" spans="1:16" x14ac:dyDescent="0.25">
      <c r="A14415" t="str">
        <f>"1200021N00122    00"</f>
        <v>1200021N00122    00</v>
      </c>
      <c r="B14415" t="s">
        <v>31627</v>
      </c>
      <c r="C14415" t="s">
        <v>31628</v>
      </c>
      <c r="D14415" t="s">
        <v>20</v>
      </c>
      <c r="E14415" t="s">
        <v>39</v>
      </c>
      <c r="F14415">
        <v>0</v>
      </c>
      <c r="G14415">
        <v>0</v>
      </c>
      <c r="H14415">
        <v>3</v>
      </c>
      <c r="I14415" s="3">
        <v>1379.4</v>
      </c>
      <c r="J14415" s="3">
        <v>140.84</v>
      </c>
      <c r="K14415" t="s">
        <v>31629</v>
      </c>
      <c r="L14415">
        <v>2598</v>
      </c>
      <c r="M14415" t="s">
        <v>31608</v>
      </c>
      <c r="N14415" t="s">
        <v>30</v>
      </c>
      <c r="O14415" t="s">
        <v>31</v>
      </c>
      <c r="P14415" t="str">
        <f>"15204"</f>
        <v>15204</v>
      </c>
    </row>
    <row r="14416" spans="1:16" x14ac:dyDescent="0.25">
      <c r="A14416" t="str">
        <f>"1200021N00127    00"</f>
        <v>1200021N00127    00</v>
      </c>
      <c r="B14416" t="s">
        <v>31630</v>
      </c>
      <c r="C14416" t="s">
        <v>31606</v>
      </c>
      <c r="D14416" t="s">
        <v>20</v>
      </c>
      <c r="E14416" t="s">
        <v>39</v>
      </c>
      <c r="F14416">
        <v>0</v>
      </c>
      <c r="G14416">
        <v>0</v>
      </c>
      <c r="H14416">
        <v>19</v>
      </c>
      <c r="I14416" s="3">
        <v>597.66999999999996</v>
      </c>
      <c r="J14416" s="3">
        <v>720.87</v>
      </c>
      <c r="K14416" t="s">
        <v>1037</v>
      </c>
      <c r="L14416">
        <v>218</v>
      </c>
      <c r="M14416" t="s">
        <v>31631</v>
      </c>
      <c r="N14416" t="s">
        <v>1766</v>
      </c>
      <c r="O14416" t="s">
        <v>31</v>
      </c>
      <c r="P14416" t="str">
        <f>"15367"</f>
        <v>15367</v>
      </c>
    </row>
    <row r="14417" spans="1:16" x14ac:dyDescent="0.25">
      <c r="A14417" t="str">
        <f>"1200021N00133    00"</f>
        <v>1200021N00133    00</v>
      </c>
      <c r="B14417" t="s">
        <v>31632</v>
      </c>
      <c r="C14417" t="s">
        <v>31633</v>
      </c>
      <c r="E14417" t="s">
        <v>39</v>
      </c>
      <c r="F14417">
        <v>0</v>
      </c>
      <c r="G14417">
        <v>0</v>
      </c>
      <c r="H14417">
        <v>3</v>
      </c>
      <c r="I14417" s="3">
        <v>203.99</v>
      </c>
      <c r="J14417" s="3">
        <v>1.7</v>
      </c>
      <c r="L14417">
        <v>2622</v>
      </c>
      <c r="M14417" t="s">
        <v>31608</v>
      </c>
      <c r="N14417" t="s">
        <v>30</v>
      </c>
      <c r="O14417" t="s">
        <v>31</v>
      </c>
      <c r="P14417" t="str">
        <f>"15204"</f>
        <v>15204</v>
      </c>
    </row>
    <row r="14418" spans="1:16" x14ac:dyDescent="0.25">
      <c r="A14418" t="str">
        <f>"1200021N00140    00"</f>
        <v>1200021N00140    00</v>
      </c>
      <c r="B14418" t="s">
        <v>31634</v>
      </c>
      <c r="C14418" t="s">
        <v>31606</v>
      </c>
      <c r="D14418" t="s">
        <v>20</v>
      </c>
      <c r="E14418" t="s">
        <v>39</v>
      </c>
      <c r="F14418">
        <v>0</v>
      </c>
      <c r="G14418">
        <v>0</v>
      </c>
      <c r="H14418">
        <v>19</v>
      </c>
      <c r="I14418" s="3">
        <v>619.55999999999995</v>
      </c>
      <c r="J14418" s="3">
        <v>732.44</v>
      </c>
      <c r="L14418">
        <v>818</v>
      </c>
      <c r="M14418" t="s">
        <v>31625</v>
      </c>
      <c r="N14418" t="s">
        <v>2008</v>
      </c>
      <c r="O14418" t="s">
        <v>31</v>
      </c>
      <c r="P14418" t="str">
        <f>"16066"</f>
        <v>16066</v>
      </c>
    </row>
    <row r="14419" spans="1:16" x14ac:dyDescent="0.25">
      <c r="A14419" t="str">
        <f>"1200021N00156    00"</f>
        <v>1200021N00156    00</v>
      </c>
      <c r="B14419" t="s">
        <v>31635</v>
      </c>
      <c r="C14419" t="s">
        <v>31606</v>
      </c>
      <c r="D14419" t="s">
        <v>20</v>
      </c>
      <c r="E14419" t="s">
        <v>39</v>
      </c>
      <c r="F14419">
        <v>0</v>
      </c>
      <c r="G14419">
        <v>0</v>
      </c>
      <c r="H14419">
        <v>17</v>
      </c>
      <c r="I14419" s="3">
        <v>7938.4</v>
      </c>
      <c r="J14419" s="3">
        <v>7832.23</v>
      </c>
      <c r="M14419" t="s">
        <v>31636</v>
      </c>
      <c r="N14419" t="s">
        <v>30</v>
      </c>
      <c r="O14419" t="s">
        <v>31</v>
      </c>
      <c r="P14419" t="str">
        <f>"15212"</f>
        <v>15212</v>
      </c>
    </row>
    <row r="14420" spans="1:16" x14ac:dyDescent="0.25">
      <c r="A14420" t="str">
        <f>"1200021N00162    00"</f>
        <v>1200021N00162    00</v>
      </c>
      <c r="B14420" t="s">
        <v>31637</v>
      </c>
      <c r="C14420" t="s">
        <v>31638</v>
      </c>
      <c r="D14420" t="s">
        <v>20</v>
      </c>
      <c r="E14420" t="s">
        <v>39</v>
      </c>
      <c r="F14420">
        <v>0</v>
      </c>
      <c r="G14420">
        <v>0</v>
      </c>
      <c r="H14420">
        <v>16</v>
      </c>
      <c r="I14420" s="3">
        <v>8573.91</v>
      </c>
      <c r="J14420" s="3">
        <v>6307</v>
      </c>
      <c r="L14420">
        <v>2637</v>
      </c>
      <c r="M14420" t="s">
        <v>31639</v>
      </c>
      <c r="N14420" t="s">
        <v>28762</v>
      </c>
      <c r="O14420" t="s">
        <v>370</v>
      </c>
      <c r="P14420" t="str">
        <f>"33062"</f>
        <v>33062</v>
      </c>
    </row>
    <row r="14421" spans="1:16" x14ac:dyDescent="0.25">
      <c r="A14421" t="str">
        <f>"1200021N00163    00"</f>
        <v>1200021N00163    00</v>
      </c>
      <c r="B14421" t="s">
        <v>31640</v>
      </c>
      <c r="C14421" t="s">
        <v>31641</v>
      </c>
      <c r="D14421" t="s">
        <v>20</v>
      </c>
      <c r="E14421" t="s">
        <v>39</v>
      </c>
      <c r="F14421">
        <v>0</v>
      </c>
      <c r="G14421">
        <v>0</v>
      </c>
      <c r="H14421">
        <v>19</v>
      </c>
      <c r="I14421" s="3">
        <v>10545.96</v>
      </c>
      <c r="J14421" s="3">
        <v>9589.2000000000007</v>
      </c>
      <c r="K14421" t="s">
        <v>31642</v>
      </c>
      <c r="L14421">
        <v>403</v>
      </c>
      <c r="M14421" t="s">
        <v>31643</v>
      </c>
      <c r="N14421" t="s">
        <v>149</v>
      </c>
      <c r="O14421" t="s">
        <v>31</v>
      </c>
      <c r="P14421" t="str">
        <f>"15106"</f>
        <v>15106</v>
      </c>
    </row>
    <row r="14422" spans="1:16" x14ac:dyDescent="0.25">
      <c r="A14422" t="str">
        <f>"1200021N00169    00"</f>
        <v>1200021N00169    00</v>
      </c>
      <c r="B14422" t="s">
        <v>31644</v>
      </c>
      <c r="C14422" t="s">
        <v>31606</v>
      </c>
      <c r="D14422" t="s">
        <v>20</v>
      </c>
      <c r="E14422" t="s">
        <v>39</v>
      </c>
      <c r="F14422">
        <v>0</v>
      </c>
      <c r="G14422">
        <v>0</v>
      </c>
      <c r="H14422">
        <v>17</v>
      </c>
      <c r="I14422" s="3">
        <v>7166.21</v>
      </c>
      <c r="J14422" s="3">
        <v>8101.28</v>
      </c>
      <c r="L14422">
        <v>2744</v>
      </c>
      <c r="M14422" t="s">
        <v>31608</v>
      </c>
      <c r="N14422" t="s">
        <v>30</v>
      </c>
      <c r="O14422" t="s">
        <v>31</v>
      </c>
      <c r="P14422" t="str">
        <f>"15204"</f>
        <v>15204</v>
      </c>
    </row>
    <row r="14423" spans="1:16" x14ac:dyDescent="0.25">
      <c r="A14423" t="str">
        <f>"1200021N00171    00"</f>
        <v>1200021N00171    00</v>
      </c>
      <c r="B14423" t="s">
        <v>31645</v>
      </c>
      <c r="C14423" t="s">
        <v>31646</v>
      </c>
      <c r="E14423" t="s">
        <v>39</v>
      </c>
      <c r="F14423">
        <v>0</v>
      </c>
      <c r="G14423">
        <v>0</v>
      </c>
      <c r="H14423">
        <v>6</v>
      </c>
      <c r="I14423" s="3">
        <v>4112.21</v>
      </c>
      <c r="J14423" s="3">
        <v>1331.64</v>
      </c>
      <c r="L14423">
        <v>2737</v>
      </c>
      <c r="M14423" t="s">
        <v>31104</v>
      </c>
      <c r="N14423" t="s">
        <v>30</v>
      </c>
      <c r="O14423" t="s">
        <v>31</v>
      </c>
      <c r="P14423" t="str">
        <f>"15204"</f>
        <v>15204</v>
      </c>
    </row>
    <row r="14424" spans="1:16" x14ac:dyDescent="0.25">
      <c r="A14424" t="str">
        <f>"1200021N00173    00"</f>
        <v>1200021N00173    00</v>
      </c>
      <c r="B14424" t="s">
        <v>14698</v>
      </c>
      <c r="C14424" t="s">
        <v>31647</v>
      </c>
      <c r="D14424" t="s">
        <v>20</v>
      </c>
      <c r="E14424" t="s">
        <v>39</v>
      </c>
      <c r="F14424">
        <v>0</v>
      </c>
      <c r="G14424">
        <v>0</v>
      </c>
      <c r="H14424">
        <v>15</v>
      </c>
      <c r="I14424" s="3">
        <v>11476.04</v>
      </c>
      <c r="J14424" s="3">
        <v>8145.39</v>
      </c>
      <c r="M14424" t="s">
        <v>31648</v>
      </c>
      <c r="P14424" t="str">
        <f>""</f>
        <v/>
      </c>
    </row>
    <row r="14425" spans="1:16" x14ac:dyDescent="0.25">
      <c r="A14425" t="str">
        <f>"1200021N00178    00"</f>
        <v>1200021N00178    00</v>
      </c>
      <c r="B14425" t="s">
        <v>31649</v>
      </c>
      <c r="C14425" t="s">
        <v>31650</v>
      </c>
      <c r="D14425" t="s">
        <v>20</v>
      </c>
      <c r="E14425" t="s">
        <v>39</v>
      </c>
      <c r="F14425">
        <v>0</v>
      </c>
      <c r="G14425">
        <v>0</v>
      </c>
      <c r="H14425">
        <v>1</v>
      </c>
      <c r="I14425" s="3">
        <v>115.42</v>
      </c>
      <c r="J14425" s="3">
        <v>0</v>
      </c>
      <c r="L14425">
        <v>2723</v>
      </c>
      <c r="M14425" t="s">
        <v>31104</v>
      </c>
      <c r="N14425" t="s">
        <v>30</v>
      </c>
      <c r="O14425" t="s">
        <v>31</v>
      </c>
      <c r="P14425" t="str">
        <f>"15204"</f>
        <v>15204</v>
      </c>
    </row>
    <row r="14426" spans="1:16" x14ac:dyDescent="0.25">
      <c r="A14426" t="str">
        <f>"1200021N00188    00"</f>
        <v>1200021N00188    00</v>
      </c>
      <c r="B14426" t="s">
        <v>31651</v>
      </c>
      <c r="C14426" t="s">
        <v>31652</v>
      </c>
      <c r="D14426" t="s">
        <v>20</v>
      </c>
      <c r="E14426" t="s">
        <v>39</v>
      </c>
      <c r="F14426">
        <v>0</v>
      </c>
      <c r="G14426">
        <v>0</v>
      </c>
      <c r="H14426">
        <v>14</v>
      </c>
      <c r="I14426" s="3">
        <v>3511.8</v>
      </c>
      <c r="J14426" s="3">
        <v>2196.44</v>
      </c>
      <c r="L14426">
        <v>8002</v>
      </c>
      <c r="M14426" t="s">
        <v>26774</v>
      </c>
      <c r="N14426" t="s">
        <v>1474</v>
      </c>
      <c r="O14426" t="s">
        <v>31</v>
      </c>
      <c r="P14426" t="str">
        <f>"15017"</f>
        <v>15017</v>
      </c>
    </row>
    <row r="14427" spans="1:16" x14ac:dyDescent="0.25">
      <c r="A14427" t="str">
        <f>"1200021N00215    00"</f>
        <v>1200021N00215    00</v>
      </c>
      <c r="B14427" t="s">
        <v>31626</v>
      </c>
      <c r="C14427" t="s">
        <v>31520</v>
      </c>
      <c r="E14427" t="s">
        <v>39</v>
      </c>
      <c r="F14427">
        <v>0</v>
      </c>
      <c r="G14427">
        <v>0</v>
      </c>
      <c r="H14427">
        <v>6</v>
      </c>
      <c r="I14427" s="3">
        <v>312.39</v>
      </c>
      <c r="J14427" s="3">
        <v>252.1</v>
      </c>
      <c r="L14427">
        <v>818</v>
      </c>
      <c r="M14427" t="s">
        <v>31625</v>
      </c>
      <c r="N14427" t="s">
        <v>2008</v>
      </c>
      <c r="O14427" t="s">
        <v>31</v>
      </c>
      <c r="P14427" t="str">
        <f>"16066"</f>
        <v>16066</v>
      </c>
    </row>
    <row r="14428" spans="1:16" x14ac:dyDescent="0.25">
      <c r="A14428" t="str">
        <f>"1200021N00219    00"</f>
        <v>1200021N00219    00</v>
      </c>
      <c r="B14428" t="s">
        <v>31653</v>
      </c>
      <c r="C14428" t="s">
        <v>31654</v>
      </c>
      <c r="D14428" t="s">
        <v>20</v>
      </c>
      <c r="E14428" t="s">
        <v>39</v>
      </c>
      <c r="F14428">
        <v>0</v>
      </c>
      <c r="G14428">
        <v>0</v>
      </c>
      <c r="H14428">
        <v>14</v>
      </c>
      <c r="I14428" s="3">
        <v>5949.56</v>
      </c>
      <c r="J14428" s="3">
        <v>4341.3900000000003</v>
      </c>
      <c r="L14428">
        <v>2617</v>
      </c>
      <c r="M14428" t="s">
        <v>31104</v>
      </c>
      <c r="N14428" t="s">
        <v>30</v>
      </c>
      <c r="O14428" t="s">
        <v>31</v>
      </c>
      <c r="P14428" t="str">
        <f>"15204"</f>
        <v>15204</v>
      </c>
    </row>
    <row r="14429" spans="1:16" x14ac:dyDescent="0.25">
      <c r="A14429" t="str">
        <f>"1200021N00245    00"</f>
        <v>1200021N00245    00</v>
      </c>
      <c r="B14429" t="s">
        <v>31655</v>
      </c>
      <c r="C14429" t="s">
        <v>31656</v>
      </c>
      <c r="D14429" t="s">
        <v>20</v>
      </c>
      <c r="E14429" t="s">
        <v>39</v>
      </c>
      <c r="F14429">
        <v>0</v>
      </c>
      <c r="G14429">
        <v>0</v>
      </c>
      <c r="H14429">
        <v>11</v>
      </c>
      <c r="I14429" s="3">
        <v>5543.62</v>
      </c>
      <c r="J14429" s="3">
        <v>3030.59</v>
      </c>
      <c r="L14429">
        <v>2656</v>
      </c>
      <c r="M14429" t="s">
        <v>31104</v>
      </c>
      <c r="N14429" t="s">
        <v>30</v>
      </c>
      <c r="O14429" t="s">
        <v>31</v>
      </c>
      <c r="P14429" t="str">
        <f>"15204"</f>
        <v>15204</v>
      </c>
    </row>
    <row r="14430" spans="1:16" x14ac:dyDescent="0.25">
      <c r="A14430" t="str">
        <f>"1200021N00260    00"</f>
        <v>1200021N00260    00</v>
      </c>
      <c r="B14430" t="s">
        <v>31657</v>
      </c>
      <c r="C14430" t="s">
        <v>31658</v>
      </c>
      <c r="D14430" t="s">
        <v>20</v>
      </c>
      <c r="E14430" t="s">
        <v>39</v>
      </c>
      <c r="F14430">
        <v>0</v>
      </c>
      <c r="G14430">
        <v>0</v>
      </c>
      <c r="H14430">
        <v>1</v>
      </c>
      <c r="I14430" s="3">
        <v>610.4</v>
      </c>
      <c r="J14430" s="3">
        <v>0</v>
      </c>
      <c r="K14430" t="s">
        <v>10868</v>
      </c>
      <c r="L14430">
        <v>4425</v>
      </c>
      <c r="M14430" t="s">
        <v>10869</v>
      </c>
      <c r="N14430" t="s">
        <v>4652</v>
      </c>
      <c r="O14430" t="s">
        <v>370</v>
      </c>
      <c r="P14430" t="str">
        <f>"33146"</f>
        <v>33146</v>
      </c>
    </row>
    <row r="14431" spans="1:16" x14ac:dyDescent="0.25">
      <c r="A14431" t="str">
        <f>"1200021N00275    00"</f>
        <v>1200021N00275    00</v>
      </c>
      <c r="B14431" t="s">
        <v>31659</v>
      </c>
      <c r="C14431" t="s">
        <v>31537</v>
      </c>
      <c r="D14431" t="s">
        <v>20</v>
      </c>
      <c r="E14431" t="s">
        <v>39</v>
      </c>
      <c r="F14431">
        <v>0</v>
      </c>
      <c r="G14431">
        <v>0</v>
      </c>
      <c r="H14431">
        <v>19</v>
      </c>
      <c r="I14431" s="3">
        <v>2779.26</v>
      </c>
      <c r="J14431" s="3">
        <v>1890.49</v>
      </c>
      <c r="K14431" t="s">
        <v>1008</v>
      </c>
      <c r="P14431" t="str">
        <f>""</f>
        <v/>
      </c>
    </row>
    <row r="14432" spans="1:16" x14ac:dyDescent="0.25">
      <c r="A14432" t="str">
        <f>"1200021N00289    00"</f>
        <v>1200021N00289    00</v>
      </c>
      <c r="B14432" t="s">
        <v>31660</v>
      </c>
      <c r="C14432" t="s">
        <v>31537</v>
      </c>
      <c r="D14432" t="s">
        <v>20</v>
      </c>
      <c r="E14432" t="s">
        <v>39</v>
      </c>
      <c r="F14432">
        <v>0</v>
      </c>
      <c r="G14432">
        <v>0</v>
      </c>
      <c r="H14432">
        <v>19</v>
      </c>
      <c r="I14432" s="3">
        <v>5808.95</v>
      </c>
      <c r="J14432" s="3">
        <v>5829.8</v>
      </c>
      <c r="L14432">
        <v>555</v>
      </c>
      <c r="M14432" t="s">
        <v>31661</v>
      </c>
      <c r="N14432" t="s">
        <v>30</v>
      </c>
      <c r="O14432" t="s">
        <v>31</v>
      </c>
      <c r="P14432" t="str">
        <f>"15232"</f>
        <v>15232</v>
      </c>
    </row>
    <row r="14433" spans="1:16" x14ac:dyDescent="0.25">
      <c r="A14433" t="str">
        <f>"1200021N00321    00"</f>
        <v>1200021N00321    00</v>
      </c>
      <c r="B14433" t="s">
        <v>31662</v>
      </c>
      <c r="C14433" t="s">
        <v>31663</v>
      </c>
      <c r="E14433" t="s">
        <v>39</v>
      </c>
      <c r="F14433">
        <v>0</v>
      </c>
      <c r="G14433">
        <v>0</v>
      </c>
      <c r="H14433">
        <v>1</v>
      </c>
      <c r="I14433" s="3">
        <v>228.69</v>
      </c>
      <c r="J14433" s="3">
        <v>112.43</v>
      </c>
      <c r="K14433" t="s">
        <v>22826</v>
      </c>
      <c r="L14433">
        <v>1400</v>
      </c>
      <c r="M14433" t="s">
        <v>22827</v>
      </c>
      <c r="N14433" t="s">
        <v>3681</v>
      </c>
      <c r="O14433" t="s">
        <v>4784</v>
      </c>
      <c r="P14433" t="str">
        <f>"65203"</f>
        <v>65203</v>
      </c>
    </row>
    <row r="14434" spans="1:16" x14ac:dyDescent="0.25">
      <c r="A14434" t="str">
        <f>"1200021N00330    00"</f>
        <v>1200021N00330    00</v>
      </c>
      <c r="B14434" t="s">
        <v>31664</v>
      </c>
      <c r="C14434" t="s">
        <v>31665</v>
      </c>
      <c r="E14434" t="s">
        <v>39</v>
      </c>
      <c r="F14434">
        <v>0</v>
      </c>
      <c r="G14434">
        <v>0</v>
      </c>
      <c r="H14434">
        <v>6</v>
      </c>
      <c r="I14434" s="3">
        <v>202.59</v>
      </c>
      <c r="J14434" s="3">
        <v>260.33</v>
      </c>
      <c r="L14434">
        <v>3328</v>
      </c>
      <c r="M14434" t="s">
        <v>31666</v>
      </c>
      <c r="N14434" t="s">
        <v>30</v>
      </c>
      <c r="O14434" t="s">
        <v>31</v>
      </c>
      <c r="P14434" t="str">
        <f t="shared" ref="P14434:P14440" si="184">"15204"</f>
        <v>15204</v>
      </c>
    </row>
    <row r="14435" spans="1:16" x14ac:dyDescent="0.25">
      <c r="A14435" t="str">
        <f>"1200021N00331    00"</f>
        <v>1200021N00331    00</v>
      </c>
      <c r="B14435" t="s">
        <v>31664</v>
      </c>
      <c r="C14435" t="s">
        <v>31665</v>
      </c>
      <c r="E14435" t="s">
        <v>39</v>
      </c>
      <c r="F14435">
        <v>0</v>
      </c>
      <c r="G14435">
        <v>0</v>
      </c>
      <c r="H14435">
        <v>6</v>
      </c>
      <c r="I14435" s="3">
        <v>202.59</v>
      </c>
      <c r="J14435" s="3">
        <v>260.33</v>
      </c>
      <c r="L14435">
        <v>3328</v>
      </c>
      <c r="M14435" t="s">
        <v>31666</v>
      </c>
      <c r="N14435" t="s">
        <v>30</v>
      </c>
      <c r="O14435" t="s">
        <v>31</v>
      </c>
      <c r="P14435" t="str">
        <f t="shared" si="184"/>
        <v>15204</v>
      </c>
    </row>
    <row r="14436" spans="1:16" x14ac:dyDescent="0.25">
      <c r="A14436" t="str">
        <f>"1200021N00332    00"</f>
        <v>1200021N00332    00</v>
      </c>
      <c r="B14436" t="s">
        <v>31667</v>
      </c>
      <c r="C14436" t="s">
        <v>31665</v>
      </c>
      <c r="D14436" t="s">
        <v>20</v>
      </c>
      <c r="E14436" t="s">
        <v>39</v>
      </c>
      <c r="F14436">
        <v>0</v>
      </c>
      <c r="G14436">
        <v>0</v>
      </c>
      <c r="H14436">
        <v>2</v>
      </c>
      <c r="I14436" s="3">
        <v>508.02</v>
      </c>
      <c r="J14436" s="3">
        <v>0</v>
      </c>
      <c r="L14436">
        <v>2643</v>
      </c>
      <c r="M14436" t="s">
        <v>31570</v>
      </c>
      <c r="N14436" t="s">
        <v>30</v>
      </c>
      <c r="O14436" t="s">
        <v>31</v>
      </c>
      <c r="P14436" t="str">
        <f t="shared" si="184"/>
        <v>15204</v>
      </c>
    </row>
    <row r="14437" spans="1:16" x14ac:dyDescent="0.25">
      <c r="A14437" t="str">
        <f>"1200021N00354    00"</f>
        <v>1200021N00354    00</v>
      </c>
      <c r="B14437" t="s">
        <v>31668</v>
      </c>
      <c r="C14437" t="s">
        <v>31669</v>
      </c>
      <c r="D14437" t="s">
        <v>20</v>
      </c>
      <c r="E14437" t="s">
        <v>39</v>
      </c>
      <c r="F14437">
        <v>0</v>
      </c>
      <c r="G14437">
        <v>0</v>
      </c>
      <c r="H14437">
        <v>1</v>
      </c>
      <c r="I14437" s="3">
        <v>602.77</v>
      </c>
      <c r="J14437" s="3">
        <v>0</v>
      </c>
      <c r="L14437">
        <v>2614</v>
      </c>
      <c r="M14437" t="s">
        <v>31570</v>
      </c>
      <c r="N14437" t="s">
        <v>30</v>
      </c>
      <c r="O14437" t="s">
        <v>31</v>
      </c>
      <c r="P14437" t="str">
        <f t="shared" si="184"/>
        <v>15204</v>
      </c>
    </row>
    <row r="14438" spans="1:16" x14ac:dyDescent="0.25">
      <c r="A14438" t="str">
        <f>"1200021N00355    00"</f>
        <v>1200021N00355    00</v>
      </c>
      <c r="B14438" t="s">
        <v>31668</v>
      </c>
      <c r="C14438" t="s">
        <v>31669</v>
      </c>
      <c r="D14438" t="s">
        <v>20</v>
      </c>
      <c r="E14438" t="s">
        <v>39</v>
      </c>
      <c r="F14438">
        <v>0</v>
      </c>
      <c r="G14438">
        <v>0</v>
      </c>
      <c r="H14438">
        <v>1</v>
      </c>
      <c r="I14438" s="3">
        <v>66.72</v>
      </c>
      <c r="J14438" s="3">
        <v>0</v>
      </c>
      <c r="L14438">
        <v>2614</v>
      </c>
      <c r="M14438" t="s">
        <v>31570</v>
      </c>
      <c r="N14438" t="s">
        <v>30</v>
      </c>
      <c r="O14438" t="s">
        <v>31</v>
      </c>
      <c r="P14438" t="str">
        <f t="shared" si="184"/>
        <v>15204</v>
      </c>
    </row>
    <row r="14439" spans="1:16" x14ac:dyDescent="0.25">
      <c r="A14439" t="str">
        <f>"1200021N00358    00"</f>
        <v>1200021N00358    00</v>
      </c>
      <c r="B14439" t="s">
        <v>31589</v>
      </c>
      <c r="C14439" t="s">
        <v>31670</v>
      </c>
      <c r="D14439" t="s">
        <v>20</v>
      </c>
      <c r="E14439" t="s">
        <v>39</v>
      </c>
      <c r="F14439">
        <v>0</v>
      </c>
      <c r="G14439">
        <v>0</v>
      </c>
      <c r="H14439">
        <v>6</v>
      </c>
      <c r="I14439" s="3">
        <v>2529.5</v>
      </c>
      <c r="J14439" s="3">
        <v>546.70000000000005</v>
      </c>
      <c r="L14439">
        <v>3821</v>
      </c>
      <c r="M14439" t="s">
        <v>16891</v>
      </c>
      <c r="N14439" t="s">
        <v>30</v>
      </c>
      <c r="O14439" t="s">
        <v>31</v>
      </c>
      <c r="P14439" t="str">
        <f t="shared" si="184"/>
        <v>15204</v>
      </c>
    </row>
    <row r="14440" spans="1:16" x14ac:dyDescent="0.25">
      <c r="A14440" t="str">
        <f>"1200021N00359    00"</f>
        <v>1200021N00359    00</v>
      </c>
      <c r="B14440" t="s">
        <v>31589</v>
      </c>
      <c r="C14440" t="s">
        <v>31670</v>
      </c>
      <c r="D14440" t="s">
        <v>20</v>
      </c>
      <c r="E14440" t="s">
        <v>39</v>
      </c>
      <c r="F14440">
        <v>0</v>
      </c>
      <c r="G14440">
        <v>0</v>
      </c>
      <c r="H14440">
        <v>6</v>
      </c>
      <c r="I14440" s="3">
        <v>100.7</v>
      </c>
      <c r="J14440" s="3">
        <v>22.97</v>
      </c>
      <c r="L14440">
        <v>3821</v>
      </c>
      <c r="M14440" t="s">
        <v>16891</v>
      </c>
      <c r="N14440" t="s">
        <v>30</v>
      </c>
      <c r="O14440" t="s">
        <v>31</v>
      </c>
      <c r="P14440" t="str">
        <f t="shared" si="184"/>
        <v>15204</v>
      </c>
    </row>
    <row r="14441" spans="1:16" x14ac:dyDescent="0.25">
      <c r="A14441" t="str">
        <f>"1200021P00057    00"</f>
        <v>1200021P00057    00</v>
      </c>
      <c r="B14441" t="s">
        <v>31671</v>
      </c>
      <c r="C14441" t="s">
        <v>31672</v>
      </c>
      <c r="D14441" t="s">
        <v>20</v>
      </c>
      <c r="E14441" t="s">
        <v>39</v>
      </c>
      <c r="F14441">
        <v>0</v>
      </c>
      <c r="G14441">
        <v>0</v>
      </c>
      <c r="H14441">
        <v>17</v>
      </c>
      <c r="I14441" s="3">
        <v>443.13</v>
      </c>
      <c r="J14441" s="3">
        <v>572.79999999999995</v>
      </c>
      <c r="K14441" t="s">
        <v>1008</v>
      </c>
      <c r="P14441" t="str">
        <f>""</f>
        <v/>
      </c>
    </row>
    <row r="14442" spans="1:16" x14ac:dyDescent="0.25">
      <c r="A14442" t="str">
        <f>"1200021P00074    00"</f>
        <v>1200021P00074    00</v>
      </c>
      <c r="B14442" t="s">
        <v>31673</v>
      </c>
      <c r="C14442" t="s">
        <v>31674</v>
      </c>
      <c r="D14442" t="s">
        <v>20</v>
      </c>
      <c r="E14442" t="s">
        <v>39</v>
      </c>
      <c r="F14442">
        <v>0</v>
      </c>
      <c r="G14442">
        <v>0</v>
      </c>
      <c r="H14442">
        <v>12</v>
      </c>
      <c r="I14442" s="3">
        <v>7828.72</v>
      </c>
      <c r="J14442" s="3">
        <v>3614.38</v>
      </c>
      <c r="L14442">
        <v>2500</v>
      </c>
      <c r="M14442" t="s">
        <v>31570</v>
      </c>
      <c r="N14442" t="s">
        <v>30</v>
      </c>
      <c r="O14442" t="s">
        <v>31</v>
      </c>
      <c r="P14442" t="str">
        <f>"15204"</f>
        <v>15204</v>
      </c>
    </row>
    <row r="14443" spans="1:16" x14ac:dyDescent="0.25">
      <c r="A14443" t="str">
        <f>"1200021P00119    00"</f>
        <v>1200021P00119    00</v>
      </c>
      <c r="B14443" t="s">
        <v>31675</v>
      </c>
      <c r="C14443" t="s">
        <v>31676</v>
      </c>
      <c r="D14443" t="s">
        <v>20</v>
      </c>
      <c r="E14443" t="s">
        <v>39</v>
      </c>
      <c r="F14443">
        <v>0</v>
      </c>
      <c r="G14443">
        <v>0</v>
      </c>
      <c r="H14443">
        <v>1</v>
      </c>
      <c r="I14443" s="3">
        <v>274.45999999999998</v>
      </c>
      <c r="J14443" s="3">
        <v>0</v>
      </c>
      <c r="K14443" t="s">
        <v>31677</v>
      </c>
      <c r="L14443">
        <v>2500</v>
      </c>
      <c r="M14443" t="s">
        <v>31678</v>
      </c>
      <c r="N14443" t="s">
        <v>30</v>
      </c>
      <c r="O14443" t="s">
        <v>31</v>
      </c>
      <c r="P14443" t="str">
        <f>"15204"</f>
        <v>15204</v>
      </c>
    </row>
    <row r="14444" spans="1:16" x14ac:dyDescent="0.25">
      <c r="A14444" t="str">
        <f>"1200021P00148    00"</f>
        <v>1200021P00148    00</v>
      </c>
      <c r="B14444" t="s">
        <v>31679</v>
      </c>
      <c r="C14444" t="s">
        <v>31680</v>
      </c>
      <c r="D14444" t="s">
        <v>20</v>
      </c>
      <c r="E14444" t="s">
        <v>39</v>
      </c>
      <c r="F14444">
        <v>0</v>
      </c>
      <c r="G14444">
        <v>0</v>
      </c>
      <c r="H14444">
        <v>19</v>
      </c>
      <c r="I14444" s="3">
        <v>8158.2</v>
      </c>
      <c r="J14444" s="3">
        <v>9002.49</v>
      </c>
      <c r="L14444">
        <v>109</v>
      </c>
      <c r="M14444" t="s">
        <v>31681</v>
      </c>
      <c r="N14444" t="s">
        <v>30</v>
      </c>
      <c r="O14444" t="s">
        <v>31</v>
      </c>
      <c r="P14444" t="str">
        <f>"15204"</f>
        <v>15204</v>
      </c>
    </row>
    <row r="14445" spans="1:16" x14ac:dyDescent="0.25">
      <c r="A14445" t="str">
        <f>"1200021P00188    00"</f>
        <v>1200021P00188    00</v>
      </c>
      <c r="B14445" t="s">
        <v>31682</v>
      </c>
      <c r="C14445" t="s">
        <v>31683</v>
      </c>
      <c r="D14445" t="s">
        <v>20</v>
      </c>
      <c r="E14445" t="s">
        <v>39</v>
      </c>
      <c r="F14445">
        <v>0</v>
      </c>
      <c r="G14445">
        <v>0</v>
      </c>
      <c r="H14445">
        <v>17</v>
      </c>
      <c r="I14445" s="3">
        <v>443.13</v>
      </c>
      <c r="J14445" s="3">
        <v>572.79999999999995</v>
      </c>
      <c r="K14445" t="s">
        <v>1008</v>
      </c>
      <c r="P14445" t="str">
        <f>""</f>
        <v/>
      </c>
    </row>
    <row r="14446" spans="1:16" x14ac:dyDescent="0.25">
      <c r="A14446" t="str">
        <f>"1200021P00216    00"</f>
        <v>1200021P00216    00</v>
      </c>
      <c r="B14446" t="s">
        <v>31684</v>
      </c>
      <c r="C14446" t="s">
        <v>31030</v>
      </c>
      <c r="D14446" t="s">
        <v>20</v>
      </c>
      <c r="E14446" t="s">
        <v>39</v>
      </c>
      <c r="F14446">
        <v>0</v>
      </c>
      <c r="G14446">
        <v>0</v>
      </c>
      <c r="H14446">
        <v>18</v>
      </c>
      <c r="I14446" s="3">
        <v>4226.5200000000004</v>
      </c>
      <c r="J14446" s="3">
        <v>3736.56</v>
      </c>
      <c r="L14446">
        <v>13302</v>
      </c>
      <c r="M14446" t="s">
        <v>31685</v>
      </c>
      <c r="N14446" t="s">
        <v>31686</v>
      </c>
      <c r="O14446" t="s">
        <v>1184</v>
      </c>
      <c r="P14446" t="str">
        <f>"20744"</f>
        <v>20744</v>
      </c>
    </row>
    <row r="14447" spans="1:16" x14ac:dyDescent="0.25">
      <c r="A14447" t="str">
        <f>"1200021P00240    00"</f>
        <v>1200021P00240    00</v>
      </c>
      <c r="B14447" t="s">
        <v>31687</v>
      </c>
      <c r="C14447" t="s">
        <v>31688</v>
      </c>
      <c r="D14447" t="s">
        <v>20</v>
      </c>
      <c r="E14447" t="s">
        <v>39</v>
      </c>
      <c r="F14447">
        <v>0</v>
      </c>
      <c r="G14447">
        <v>0</v>
      </c>
      <c r="H14447">
        <v>4</v>
      </c>
      <c r="I14447" s="3">
        <v>1487.34</v>
      </c>
      <c r="J14447" s="3">
        <v>192.78</v>
      </c>
      <c r="K14447" t="s">
        <v>31689</v>
      </c>
      <c r="L14447">
        <v>2411</v>
      </c>
      <c r="M14447" t="s">
        <v>31690</v>
      </c>
      <c r="N14447" t="s">
        <v>30</v>
      </c>
      <c r="O14447" t="s">
        <v>31</v>
      </c>
      <c r="P14447" t="str">
        <f>"15204"</f>
        <v>15204</v>
      </c>
    </row>
    <row r="14448" spans="1:16" x14ac:dyDescent="0.25">
      <c r="A14448" t="str">
        <f>"1200021P00254    00"</f>
        <v>1200021P00254    00</v>
      </c>
      <c r="B14448" t="s">
        <v>31691</v>
      </c>
      <c r="C14448" t="s">
        <v>31030</v>
      </c>
      <c r="D14448" t="s">
        <v>20</v>
      </c>
      <c r="E14448" t="s">
        <v>39</v>
      </c>
      <c r="F14448">
        <v>0</v>
      </c>
      <c r="G14448">
        <v>0</v>
      </c>
      <c r="H14448">
        <v>19</v>
      </c>
      <c r="I14448" s="3">
        <v>641.57000000000005</v>
      </c>
      <c r="J14448" s="3">
        <v>744.08</v>
      </c>
      <c r="K14448" t="s">
        <v>3450</v>
      </c>
      <c r="M14448" t="s">
        <v>31692</v>
      </c>
      <c r="N14448" t="s">
        <v>22225</v>
      </c>
      <c r="O14448" t="s">
        <v>31</v>
      </c>
      <c r="P14448" t="str">
        <f>"15332"</f>
        <v>15332</v>
      </c>
    </row>
    <row r="14449" spans="1:16" x14ac:dyDescent="0.25">
      <c r="A14449" t="str">
        <f>"1200021P00257    00"</f>
        <v>1200021P00257    00</v>
      </c>
      <c r="B14449" t="s">
        <v>31693</v>
      </c>
      <c r="C14449" t="s">
        <v>31030</v>
      </c>
      <c r="D14449" t="s">
        <v>20</v>
      </c>
      <c r="E14449" t="s">
        <v>39</v>
      </c>
      <c r="F14449">
        <v>0</v>
      </c>
      <c r="G14449">
        <v>0</v>
      </c>
      <c r="H14449">
        <v>19</v>
      </c>
      <c r="I14449" s="3">
        <v>9483.4699999999993</v>
      </c>
      <c r="J14449" s="3">
        <v>7785.73</v>
      </c>
      <c r="L14449">
        <v>95</v>
      </c>
      <c r="M14449" t="s">
        <v>31694</v>
      </c>
      <c r="N14449" t="s">
        <v>30</v>
      </c>
      <c r="O14449" t="s">
        <v>31</v>
      </c>
      <c r="P14449" t="str">
        <f>"15205"</f>
        <v>15205</v>
      </c>
    </row>
    <row r="14450" spans="1:16" x14ac:dyDescent="0.25">
      <c r="A14450" t="str">
        <f>"1200021P00259    00"</f>
        <v>1200021P00259    00</v>
      </c>
      <c r="B14450" t="s">
        <v>31695</v>
      </c>
      <c r="C14450" t="s">
        <v>31030</v>
      </c>
      <c r="E14450" t="s">
        <v>39</v>
      </c>
      <c r="F14450">
        <v>0</v>
      </c>
      <c r="G14450">
        <v>0</v>
      </c>
      <c r="H14450">
        <v>17</v>
      </c>
      <c r="I14450" s="3">
        <v>8106.95</v>
      </c>
      <c r="J14450" s="3">
        <v>7540.75</v>
      </c>
      <c r="L14450">
        <v>430</v>
      </c>
      <c r="M14450" t="s">
        <v>31696</v>
      </c>
      <c r="N14450" t="s">
        <v>31697</v>
      </c>
      <c r="O14450" t="s">
        <v>25</v>
      </c>
      <c r="P14450" t="str">
        <f>"43935"</f>
        <v>43935</v>
      </c>
    </row>
    <row r="14451" spans="1:16" x14ac:dyDescent="0.25">
      <c r="A14451" t="str">
        <f>"1200021P00266    00"</f>
        <v>1200021P00266    00</v>
      </c>
      <c r="B14451" t="s">
        <v>31698</v>
      </c>
      <c r="C14451" t="s">
        <v>27986</v>
      </c>
      <c r="D14451" t="s">
        <v>20</v>
      </c>
      <c r="E14451" t="s">
        <v>39</v>
      </c>
      <c r="F14451">
        <v>0</v>
      </c>
      <c r="G14451">
        <v>0</v>
      </c>
      <c r="H14451">
        <v>19</v>
      </c>
      <c r="I14451" s="3">
        <v>734.81</v>
      </c>
      <c r="J14451" s="3">
        <v>838.29</v>
      </c>
      <c r="L14451">
        <v>1406</v>
      </c>
      <c r="M14451" t="s">
        <v>28159</v>
      </c>
      <c r="N14451" t="s">
        <v>30</v>
      </c>
      <c r="O14451" t="s">
        <v>31</v>
      </c>
      <c r="P14451" t="str">
        <f>"15233"</f>
        <v>15233</v>
      </c>
    </row>
    <row r="14452" spans="1:16" x14ac:dyDescent="0.25">
      <c r="A14452" t="str">
        <f>"1200021R00001    00"</f>
        <v>1200021R00001    00</v>
      </c>
      <c r="B14452" t="s">
        <v>31699</v>
      </c>
      <c r="C14452" t="s">
        <v>31030</v>
      </c>
      <c r="D14452" t="s">
        <v>20</v>
      </c>
      <c r="E14452" t="s">
        <v>39</v>
      </c>
      <c r="F14452">
        <v>0</v>
      </c>
      <c r="G14452">
        <v>0</v>
      </c>
      <c r="H14452">
        <v>18</v>
      </c>
      <c r="I14452" s="3">
        <v>5621.29</v>
      </c>
      <c r="J14452" s="3">
        <v>3831.32</v>
      </c>
      <c r="L14452">
        <v>7143</v>
      </c>
      <c r="M14452" t="s">
        <v>31700</v>
      </c>
      <c r="N14452" t="s">
        <v>31701</v>
      </c>
      <c r="O14452" t="s">
        <v>370</v>
      </c>
      <c r="P14452" t="str">
        <f>"34605"</f>
        <v>34605</v>
      </c>
    </row>
    <row r="14453" spans="1:16" x14ac:dyDescent="0.25">
      <c r="A14453" t="str">
        <f>"1200021R00004    00"</f>
        <v>1200021R00004    00</v>
      </c>
      <c r="B14453" t="s">
        <v>31702</v>
      </c>
      <c r="C14453" t="s">
        <v>31030</v>
      </c>
      <c r="D14453" t="s">
        <v>20</v>
      </c>
      <c r="E14453" t="s">
        <v>39</v>
      </c>
      <c r="F14453">
        <v>0</v>
      </c>
      <c r="G14453">
        <v>0</v>
      </c>
      <c r="H14453">
        <v>19</v>
      </c>
      <c r="I14453" s="3">
        <v>619.55999999999995</v>
      </c>
      <c r="J14453" s="3">
        <v>732.44</v>
      </c>
      <c r="K14453" t="s">
        <v>31703</v>
      </c>
      <c r="L14453">
        <v>2323</v>
      </c>
      <c r="M14453" t="s">
        <v>31704</v>
      </c>
      <c r="N14453" t="s">
        <v>30</v>
      </c>
      <c r="O14453" t="s">
        <v>31</v>
      </c>
      <c r="P14453" t="str">
        <f>"15204"</f>
        <v>15204</v>
      </c>
    </row>
    <row r="14454" spans="1:16" x14ac:dyDescent="0.25">
      <c r="A14454" t="str">
        <f>"1200021R00020    00"</f>
        <v>1200021R00020    00</v>
      </c>
      <c r="B14454" t="s">
        <v>31705</v>
      </c>
      <c r="C14454" t="s">
        <v>31030</v>
      </c>
      <c r="D14454" t="s">
        <v>20</v>
      </c>
      <c r="E14454" t="s">
        <v>39</v>
      </c>
      <c r="F14454">
        <v>0</v>
      </c>
      <c r="G14454">
        <v>0</v>
      </c>
      <c r="H14454">
        <v>19</v>
      </c>
      <c r="I14454" s="3">
        <v>6956.43</v>
      </c>
      <c r="J14454" s="3">
        <v>6035.03</v>
      </c>
      <c r="L14454">
        <v>2334</v>
      </c>
      <c r="M14454" t="s">
        <v>2669</v>
      </c>
      <c r="N14454" t="s">
        <v>30</v>
      </c>
      <c r="O14454" t="s">
        <v>31</v>
      </c>
      <c r="P14454" t="str">
        <f>"15204"</f>
        <v>15204</v>
      </c>
    </row>
    <row r="14455" spans="1:16" x14ac:dyDescent="0.25">
      <c r="A14455" t="str">
        <f>"1200021R00022    00"</f>
        <v>1200021R00022    00</v>
      </c>
      <c r="B14455" t="s">
        <v>31706</v>
      </c>
      <c r="C14455" t="s">
        <v>31030</v>
      </c>
      <c r="D14455" t="s">
        <v>20</v>
      </c>
      <c r="E14455" t="s">
        <v>39</v>
      </c>
      <c r="F14455">
        <v>0</v>
      </c>
      <c r="G14455">
        <v>0</v>
      </c>
      <c r="H14455">
        <v>19</v>
      </c>
      <c r="I14455" s="3">
        <v>8045.51</v>
      </c>
      <c r="J14455" s="3">
        <v>7536.48</v>
      </c>
      <c r="K14455" t="s">
        <v>31707</v>
      </c>
      <c r="L14455">
        <v>2338</v>
      </c>
      <c r="M14455" t="s">
        <v>2669</v>
      </c>
      <c r="N14455" t="s">
        <v>30</v>
      </c>
      <c r="O14455" t="s">
        <v>31</v>
      </c>
      <c r="P14455" t="str">
        <f>"15204"</f>
        <v>15204</v>
      </c>
    </row>
    <row r="14456" spans="1:16" x14ac:dyDescent="0.25">
      <c r="A14456" t="str">
        <f>"1200035A00251    00"</f>
        <v>1200035A00251    00</v>
      </c>
      <c r="B14456" t="s">
        <v>31708</v>
      </c>
      <c r="C14456" t="s">
        <v>30498</v>
      </c>
      <c r="D14456" t="s">
        <v>20</v>
      </c>
      <c r="E14456" t="s">
        <v>39</v>
      </c>
      <c r="F14456">
        <v>0</v>
      </c>
      <c r="G14456">
        <v>0</v>
      </c>
      <c r="H14456">
        <v>13</v>
      </c>
      <c r="I14456" s="3">
        <v>6833.67</v>
      </c>
      <c r="J14456" s="3">
        <v>3718.05</v>
      </c>
      <c r="K14456" t="s">
        <v>31709</v>
      </c>
      <c r="L14456">
        <v>4573</v>
      </c>
      <c r="M14456" t="s">
        <v>31710</v>
      </c>
      <c r="N14456" t="s">
        <v>31711</v>
      </c>
      <c r="O14456" t="s">
        <v>273</v>
      </c>
      <c r="P14456" t="str">
        <f>"29576"</f>
        <v>29576</v>
      </c>
    </row>
    <row r="14457" spans="1:16" x14ac:dyDescent="0.25">
      <c r="A14457" t="str">
        <f>"1200035A00254    00"</f>
        <v>1200035A00254    00</v>
      </c>
      <c r="B14457" t="s">
        <v>31708</v>
      </c>
      <c r="C14457" t="s">
        <v>30498</v>
      </c>
      <c r="D14457" t="s">
        <v>20</v>
      </c>
      <c r="E14457" t="s">
        <v>39</v>
      </c>
      <c r="F14457">
        <v>0</v>
      </c>
      <c r="G14457">
        <v>0</v>
      </c>
      <c r="H14457">
        <v>13</v>
      </c>
      <c r="I14457" s="3">
        <v>6806.85</v>
      </c>
      <c r="J14457" s="3">
        <v>3700.71</v>
      </c>
      <c r="K14457" t="s">
        <v>31712</v>
      </c>
      <c r="L14457">
        <v>4573</v>
      </c>
      <c r="M14457" t="s">
        <v>31710</v>
      </c>
      <c r="N14457" t="s">
        <v>31711</v>
      </c>
      <c r="O14457" t="s">
        <v>273</v>
      </c>
      <c r="P14457" t="str">
        <f>"29576"</f>
        <v>29576</v>
      </c>
    </row>
    <row r="14458" spans="1:16" x14ac:dyDescent="0.25">
      <c r="A14458" t="str">
        <f>"1200035A00257    00"</f>
        <v>1200035A00257    00</v>
      </c>
      <c r="B14458" t="s">
        <v>31713</v>
      </c>
      <c r="C14458" t="s">
        <v>30498</v>
      </c>
      <c r="D14458" t="s">
        <v>20</v>
      </c>
      <c r="E14458" t="s">
        <v>21</v>
      </c>
      <c r="F14458">
        <v>0</v>
      </c>
      <c r="G14458">
        <v>0</v>
      </c>
      <c r="H14458">
        <v>19</v>
      </c>
      <c r="I14458" s="3">
        <v>4202.26</v>
      </c>
      <c r="J14458" s="3">
        <v>5549.99</v>
      </c>
      <c r="L14458">
        <v>511</v>
      </c>
      <c r="M14458" t="s">
        <v>22108</v>
      </c>
      <c r="N14458" t="s">
        <v>30</v>
      </c>
      <c r="O14458" t="s">
        <v>31</v>
      </c>
      <c r="P14458" t="str">
        <f>"15202"</f>
        <v>15202</v>
      </c>
    </row>
    <row r="14459" spans="1:16" x14ac:dyDescent="0.25">
      <c r="A14459" t="str">
        <f>"1200035A00260    00"</f>
        <v>1200035A00260    00</v>
      </c>
      <c r="B14459" t="s">
        <v>31714</v>
      </c>
      <c r="C14459" t="s">
        <v>30498</v>
      </c>
      <c r="D14459" t="s">
        <v>20</v>
      </c>
      <c r="E14459" t="s">
        <v>21</v>
      </c>
      <c r="F14459">
        <v>0</v>
      </c>
      <c r="G14459">
        <v>0</v>
      </c>
      <c r="H14459">
        <v>13</v>
      </c>
      <c r="I14459" s="3">
        <v>1019.29</v>
      </c>
      <c r="J14459" s="3">
        <v>800.27</v>
      </c>
      <c r="K14459" t="s">
        <v>31715</v>
      </c>
      <c r="L14459">
        <v>1452</v>
      </c>
      <c r="M14459" t="s">
        <v>28859</v>
      </c>
      <c r="N14459" t="s">
        <v>30</v>
      </c>
      <c r="O14459" t="s">
        <v>31</v>
      </c>
      <c r="P14459" t="str">
        <f>"15216"</f>
        <v>15216</v>
      </c>
    </row>
    <row r="14460" spans="1:16" x14ac:dyDescent="0.25">
      <c r="A14460" t="str">
        <f>"1200035A00263    00"</f>
        <v>1200035A00263    00</v>
      </c>
      <c r="B14460" t="s">
        <v>31716</v>
      </c>
      <c r="C14460" t="s">
        <v>30498</v>
      </c>
      <c r="D14460" t="s">
        <v>20</v>
      </c>
      <c r="E14460" t="s">
        <v>21</v>
      </c>
      <c r="F14460">
        <v>0</v>
      </c>
      <c r="G14460">
        <v>0</v>
      </c>
      <c r="H14460">
        <v>19</v>
      </c>
      <c r="I14460" s="3">
        <v>6253.94</v>
      </c>
      <c r="J14460" s="3">
        <v>8209.83</v>
      </c>
      <c r="P14460" t="str">
        <f>""</f>
        <v/>
      </c>
    </row>
    <row r="14461" spans="1:16" x14ac:dyDescent="0.25">
      <c r="A14461" t="str">
        <f>"1200035A00267    00"</f>
        <v>1200035A00267    00</v>
      </c>
      <c r="B14461" t="s">
        <v>31717</v>
      </c>
      <c r="C14461" t="s">
        <v>30498</v>
      </c>
      <c r="D14461" t="s">
        <v>20</v>
      </c>
      <c r="E14461" t="s">
        <v>21</v>
      </c>
      <c r="F14461">
        <v>0</v>
      </c>
      <c r="G14461">
        <v>0</v>
      </c>
      <c r="H14461">
        <v>19</v>
      </c>
      <c r="I14461" s="3">
        <v>5261.92</v>
      </c>
      <c r="J14461" s="3">
        <v>6920.62</v>
      </c>
      <c r="K14461" t="s">
        <v>1008</v>
      </c>
      <c r="P14461" t="str">
        <f>""</f>
        <v/>
      </c>
    </row>
    <row r="14462" spans="1:16" x14ac:dyDescent="0.25">
      <c r="A14462" t="str">
        <f>"1200035E00325    00"</f>
        <v>1200035E00325    00</v>
      </c>
      <c r="B14462" t="s">
        <v>31718</v>
      </c>
      <c r="C14462" t="s">
        <v>31719</v>
      </c>
      <c r="E14462" t="s">
        <v>21</v>
      </c>
      <c r="F14462">
        <v>0</v>
      </c>
      <c r="G14462">
        <v>0</v>
      </c>
      <c r="H14462">
        <v>2</v>
      </c>
      <c r="I14462" s="3">
        <v>6531.95</v>
      </c>
      <c r="J14462" s="3">
        <v>2911.13</v>
      </c>
      <c r="L14462">
        <v>1540</v>
      </c>
      <c r="M14462" t="s">
        <v>31720</v>
      </c>
      <c r="N14462" t="s">
        <v>30</v>
      </c>
      <c r="O14462" t="s">
        <v>31</v>
      </c>
      <c r="P14462" t="str">
        <f>"15216"</f>
        <v>15216</v>
      </c>
    </row>
    <row r="14463" spans="1:16" x14ac:dyDescent="0.25">
      <c r="A14463" t="str">
        <f>"1200035J00034    00"</f>
        <v>1200035J00034    00</v>
      </c>
      <c r="B14463" t="s">
        <v>31721</v>
      </c>
      <c r="C14463" t="s">
        <v>31722</v>
      </c>
      <c r="E14463" t="s">
        <v>39</v>
      </c>
      <c r="F14463">
        <v>0</v>
      </c>
      <c r="G14463">
        <v>0</v>
      </c>
      <c r="H14463">
        <v>1</v>
      </c>
      <c r="I14463" s="3">
        <v>104.84</v>
      </c>
      <c r="J14463" s="3">
        <v>0</v>
      </c>
      <c r="L14463">
        <v>814</v>
      </c>
      <c r="M14463" t="s">
        <v>31723</v>
      </c>
      <c r="N14463" t="s">
        <v>30</v>
      </c>
      <c r="O14463" t="s">
        <v>31</v>
      </c>
      <c r="P14463" t="str">
        <f>"15216"</f>
        <v>15216</v>
      </c>
    </row>
    <row r="14464" spans="1:16" x14ac:dyDescent="0.25">
      <c r="A14464" t="str">
        <f>"1200035J00041    00"</f>
        <v>1200035J00041    00</v>
      </c>
      <c r="B14464" t="s">
        <v>31724</v>
      </c>
      <c r="C14464" t="s">
        <v>31725</v>
      </c>
      <c r="D14464" t="s">
        <v>20</v>
      </c>
      <c r="E14464" t="s">
        <v>39</v>
      </c>
      <c r="F14464">
        <v>0</v>
      </c>
      <c r="G14464">
        <v>0</v>
      </c>
      <c r="H14464">
        <v>4</v>
      </c>
      <c r="I14464" s="3">
        <v>37.76</v>
      </c>
      <c r="J14464" s="3">
        <v>4.66</v>
      </c>
      <c r="K14464" t="s">
        <v>31726</v>
      </c>
      <c r="L14464">
        <v>2215</v>
      </c>
      <c r="M14464" t="s">
        <v>1665</v>
      </c>
      <c r="N14464" t="s">
        <v>30</v>
      </c>
      <c r="O14464" t="s">
        <v>31</v>
      </c>
      <c r="P14464" t="str">
        <f>"15234"</f>
        <v>15234</v>
      </c>
    </row>
    <row r="14465" spans="1:16" x14ac:dyDescent="0.25">
      <c r="A14465" t="str">
        <f>"1200035J00043    00"</f>
        <v>1200035J00043    00</v>
      </c>
      <c r="B14465" t="s">
        <v>31724</v>
      </c>
      <c r="C14465" t="s">
        <v>31725</v>
      </c>
      <c r="D14465" t="s">
        <v>20</v>
      </c>
      <c r="E14465" t="s">
        <v>39</v>
      </c>
      <c r="F14465">
        <v>0</v>
      </c>
      <c r="G14465">
        <v>0</v>
      </c>
      <c r="H14465">
        <v>5</v>
      </c>
      <c r="I14465" s="3">
        <v>552.86</v>
      </c>
      <c r="J14465" s="3">
        <v>97.9</v>
      </c>
      <c r="L14465">
        <v>738</v>
      </c>
      <c r="M14465" t="s">
        <v>29570</v>
      </c>
      <c r="N14465" t="s">
        <v>30</v>
      </c>
      <c r="O14465" t="s">
        <v>31</v>
      </c>
      <c r="P14465" t="str">
        <f>"15216"</f>
        <v>15216</v>
      </c>
    </row>
    <row r="14466" spans="1:16" x14ac:dyDescent="0.25">
      <c r="A14466" t="str">
        <f>"1200035J00045    00"</f>
        <v>1200035J00045    00</v>
      </c>
      <c r="B14466" t="s">
        <v>31724</v>
      </c>
      <c r="C14466" t="s">
        <v>31725</v>
      </c>
      <c r="E14466" t="s">
        <v>39</v>
      </c>
      <c r="F14466">
        <v>0</v>
      </c>
      <c r="G14466">
        <v>0</v>
      </c>
      <c r="H14466">
        <v>2</v>
      </c>
      <c r="I14466" s="3">
        <v>989</v>
      </c>
      <c r="J14466" s="3">
        <v>246.18</v>
      </c>
      <c r="L14466">
        <v>814</v>
      </c>
      <c r="M14466" t="s">
        <v>31727</v>
      </c>
      <c r="N14466" t="s">
        <v>30</v>
      </c>
      <c r="O14466" t="s">
        <v>31</v>
      </c>
      <c r="P14466" t="str">
        <f>"15216"</f>
        <v>15216</v>
      </c>
    </row>
    <row r="14467" spans="1:16" x14ac:dyDescent="0.25">
      <c r="A14467" t="str">
        <f>"1200035J00076    00"</f>
        <v>1200035J00076    00</v>
      </c>
      <c r="B14467" t="s">
        <v>31728</v>
      </c>
      <c r="C14467" t="s">
        <v>31729</v>
      </c>
      <c r="D14467" t="s">
        <v>20</v>
      </c>
      <c r="E14467" t="s">
        <v>21</v>
      </c>
      <c r="F14467">
        <v>0</v>
      </c>
      <c r="G14467">
        <v>0</v>
      </c>
      <c r="H14467">
        <v>1</v>
      </c>
      <c r="I14467" s="3">
        <v>9002.0499999999993</v>
      </c>
      <c r="J14467" s="3">
        <v>0</v>
      </c>
      <c r="K14467" t="s">
        <v>2001</v>
      </c>
      <c r="L14467">
        <v>290</v>
      </c>
      <c r="M14467" t="s">
        <v>2002</v>
      </c>
      <c r="N14467" t="s">
        <v>30</v>
      </c>
      <c r="O14467" t="s">
        <v>31</v>
      </c>
      <c r="P14467" t="str">
        <f>"15205"</f>
        <v>15205</v>
      </c>
    </row>
    <row r="14468" spans="1:16" x14ac:dyDescent="0.25">
      <c r="A14468" t="str">
        <f>"1200035J00116    00"</f>
        <v>1200035J00116    00</v>
      </c>
      <c r="B14468" t="s">
        <v>31730</v>
      </c>
      <c r="C14468" t="s">
        <v>31731</v>
      </c>
      <c r="D14468" t="s">
        <v>20</v>
      </c>
      <c r="E14468" t="s">
        <v>39</v>
      </c>
      <c r="F14468">
        <v>0</v>
      </c>
      <c r="G14468">
        <v>0</v>
      </c>
      <c r="H14468">
        <v>1</v>
      </c>
      <c r="I14468" s="3">
        <v>341.66</v>
      </c>
      <c r="J14468" s="3">
        <v>0</v>
      </c>
      <c r="K14468" t="s">
        <v>31732</v>
      </c>
      <c r="L14468">
        <v>845</v>
      </c>
      <c r="M14468" t="s">
        <v>29223</v>
      </c>
      <c r="N14468" t="s">
        <v>30</v>
      </c>
      <c r="O14468" t="s">
        <v>31</v>
      </c>
      <c r="P14468" t="str">
        <f>"15216"</f>
        <v>15216</v>
      </c>
    </row>
    <row r="14469" spans="1:16" x14ac:dyDescent="0.25">
      <c r="A14469" t="str">
        <f>"1200035J00118    00"</f>
        <v>1200035J00118    00</v>
      </c>
      <c r="B14469" t="s">
        <v>31733</v>
      </c>
      <c r="C14469" t="s">
        <v>29214</v>
      </c>
      <c r="D14469" t="s">
        <v>20</v>
      </c>
      <c r="E14469" t="s">
        <v>39</v>
      </c>
      <c r="F14469">
        <v>0</v>
      </c>
      <c r="G14469">
        <v>0</v>
      </c>
      <c r="H14469">
        <v>19</v>
      </c>
      <c r="I14469" s="3">
        <v>3749.19</v>
      </c>
      <c r="J14469" s="3">
        <v>4897.6000000000004</v>
      </c>
      <c r="L14469">
        <v>2898</v>
      </c>
      <c r="M14469" t="s">
        <v>28859</v>
      </c>
      <c r="N14469" t="s">
        <v>30</v>
      </c>
      <c r="O14469" t="s">
        <v>31</v>
      </c>
      <c r="P14469" t="str">
        <f>"15216"</f>
        <v>15216</v>
      </c>
    </row>
    <row r="14470" spans="1:16" x14ac:dyDescent="0.25">
      <c r="A14470" t="str">
        <f>"1200035J00153    00"</f>
        <v>1200035J00153    00</v>
      </c>
      <c r="B14470" t="s">
        <v>31734</v>
      </c>
      <c r="C14470" t="s">
        <v>31735</v>
      </c>
      <c r="D14470" t="s">
        <v>20</v>
      </c>
      <c r="E14470" t="s">
        <v>39</v>
      </c>
      <c r="F14470">
        <v>0</v>
      </c>
      <c r="G14470">
        <v>0</v>
      </c>
      <c r="H14470">
        <v>19</v>
      </c>
      <c r="I14470" s="3">
        <v>9116.7199999999993</v>
      </c>
      <c r="J14470" s="3">
        <v>9713.35</v>
      </c>
      <c r="P14470" t="str">
        <f>""</f>
        <v/>
      </c>
    </row>
    <row r="14471" spans="1:16" x14ac:dyDescent="0.25">
      <c r="A14471" t="str">
        <f>"1200035J00166    00"</f>
        <v>1200035J00166    00</v>
      </c>
      <c r="B14471" t="s">
        <v>31734</v>
      </c>
      <c r="C14471" t="s">
        <v>31735</v>
      </c>
      <c r="D14471" t="s">
        <v>20</v>
      </c>
      <c r="E14471" t="s">
        <v>39</v>
      </c>
      <c r="F14471">
        <v>0</v>
      </c>
      <c r="G14471">
        <v>0</v>
      </c>
      <c r="H14471">
        <v>19</v>
      </c>
      <c r="I14471" s="3">
        <v>9003.99</v>
      </c>
      <c r="J14471" s="3">
        <v>9631.5</v>
      </c>
      <c r="P14471" t="str">
        <f>""</f>
        <v/>
      </c>
    </row>
    <row r="14472" spans="1:16" x14ac:dyDescent="0.25">
      <c r="A14472" t="str">
        <f>"1200035J00300    00"</f>
        <v>1200035J00300    00</v>
      </c>
      <c r="B14472" t="s">
        <v>31721</v>
      </c>
      <c r="C14472" t="s">
        <v>31736</v>
      </c>
      <c r="D14472" t="s">
        <v>57</v>
      </c>
      <c r="E14472" t="s">
        <v>39</v>
      </c>
      <c r="F14472">
        <v>0</v>
      </c>
      <c r="G14472">
        <v>0</v>
      </c>
      <c r="H14472">
        <v>1</v>
      </c>
      <c r="I14472" s="3">
        <v>1524.82</v>
      </c>
      <c r="J14472" s="3">
        <v>0</v>
      </c>
      <c r="L14472">
        <v>814</v>
      </c>
      <c r="M14472" t="s">
        <v>31723</v>
      </c>
      <c r="N14472" t="s">
        <v>30</v>
      </c>
      <c r="O14472" t="s">
        <v>31</v>
      </c>
      <c r="P14472" t="str">
        <f>"15216"</f>
        <v>15216</v>
      </c>
    </row>
    <row r="14473" spans="1:16" x14ac:dyDescent="0.25">
      <c r="A14473" t="str">
        <f>"1200035J00302    00"</f>
        <v>1200035J00302    00</v>
      </c>
      <c r="B14473" t="s">
        <v>31721</v>
      </c>
      <c r="C14473" t="s">
        <v>31722</v>
      </c>
      <c r="E14473" t="s">
        <v>39</v>
      </c>
      <c r="F14473">
        <v>0</v>
      </c>
      <c r="G14473">
        <v>0</v>
      </c>
      <c r="H14473">
        <v>3</v>
      </c>
      <c r="I14473" s="3">
        <v>611.78</v>
      </c>
      <c r="J14473" s="3">
        <v>60.4</v>
      </c>
      <c r="L14473">
        <v>814</v>
      </c>
      <c r="M14473" t="s">
        <v>31723</v>
      </c>
      <c r="N14473" t="s">
        <v>30</v>
      </c>
      <c r="O14473" t="s">
        <v>31</v>
      </c>
      <c r="P14473" t="str">
        <f>"15216"</f>
        <v>15216</v>
      </c>
    </row>
    <row r="14474" spans="1:16" x14ac:dyDescent="0.25">
      <c r="A14474" t="str">
        <f>"1200035N00022    00"</f>
        <v>1200035N00022    00</v>
      </c>
      <c r="B14474" t="s">
        <v>31737</v>
      </c>
      <c r="C14474" t="s">
        <v>31738</v>
      </c>
      <c r="D14474" t="s">
        <v>20</v>
      </c>
      <c r="E14474" t="s">
        <v>39</v>
      </c>
      <c r="F14474">
        <v>0</v>
      </c>
      <c r="G14474">
        <v>0</v>
      </c>
      <c r="H14474">
        <v>2</v>
      </c>
      <c r="I14474" s="3">
        <v>1427.41</v>
      </c>
      <c r="J14474" s="3">
        <v>0</v>
      </c>
      <c r="L14474">
        <v>2218</v>
      </c>
      <c r="M14474" t="s">
        <v>15854</v>
      </c>
      <c r="N14474" t="s">
        <v>30</v>
      </c>
      <c r="O14474" t="s">
        <v>31</v>
      </c>
      <c r="P14474" t="str">
        <f>"15216"</f>
        <v>15216</v>
      </c>
    </row>
    <row r="14475" spans="1:16" x14ac:dyDescent="0.25">
      <c r="A14475" t="str">
        <f>"1200035N00029    00"</f>
        <v>1200035N00029    00</v>
      </c>
      <c r="B14475" t="s">
        <v>31739</v>
      </c>
      <c r="C14475" t="s">
        <v>31722</v>
      </c>
      <c r="D14475" t="s">
        <v>20</v>
      </c>
      <c r="E14475" t="s">
        <v>39</v>
      </c>
      <c r="F14475">
        <v>0</v>
      </c>
      <c r="G14475">
        <v>0</v>
      </c>
      <c r="H14475">
        <v>19</v>
      </c>
      <c r="I14475" s="3">
        <v>8777.0499999999993</v>
      </c>
      <c r="J14475" s="3">
        <v>9827.86</v>
      </c>
      <c r="M14475" t="s">
        <v>31740</v>
      </c>
      <c r="N14475" t="s">
        <v>30</v>
      </c>
      <c r="O14475" t="s">
        <v>31</v>
      </c>
      <c r="P14475" t="str">
        <f>"15216"</f>
        <v>15216</v>
      </c>
    </row>
    <row r="14476" spans="1:16" x14ac:dyDescent="0.25">
      <c r="A14476" t="str">
        <f>"1200035N00030    00"</f>
        <v>1200035N00030    00</v>
      </c>
      <c r="B14476" t="s">
        <v>31741</v>
      </c>
      <c r="C14476" t="s">
        <v>31742</v>
      </c>
      <c r="D14476" t="s">
        <v>20</v>
      </c>
      <c r="E14476" t="s">
        <v>39</v>
      </c>
      <c r="F14476">
        <v>0</v>
      </c>
      <c r="G14476">
        <v>0</v>
      </c>
      <c r="H14476">
        <v>4</v>
      </c>
      <c r="I14476" s="3">
        <v>448.07</v>
      </c>
      <c r="J14476" s="3">
        <v>52.94</v>
      </c>
      <c r="L14476">
        <v>2215</v>
      </c>
      <c r="M14476" t="s">
        <v>1665</v>
      </c>
      <c r="N14476" t="s">
        <v>30</v>
      </c>
      <c r="O14476" t="s">
        <v>31</v>
      </c>
      <c r="P14476" t="str">
        <f>"15234"</f>
        <v>15234</v>
      </c>
    </row>
    <row r="14477" spans="1:16" x14ac:dyDescent="0.25">
      <c r="A14477" t="str">
        <f>"1200035N00031    00"</f>
        <v>1200035N00031    00</v>
      </c>
      <c r="B14477" t="s">
        <v>31743</v>
      </c>
      <c r="C14477" t="s">
        <v>31742</v>
      </c>
      <c r="D14477" t="s">
        <v>20</v>
      </c>
      <c r="E14477" t="s">
        <v>39</v>
      </c>
      <c r="F14477">
        <v>0</v>
      </c>
      <c r="G14477">
        <v>0</v>
      </c>
      <c r="H14477">
        <v>1</v>
      </c>
      <c r="I14477" s="3">
        <v>385.01</v>
      </c>
      <c r="J14477" s="3">
        <v>77</v>
      </c>
      <c r="K14477" t="s">
        <v>29687</v>
      </c>
      <c r="L14477">
        <v>1812</v>
      </c>
      <c r="M14477" t="s">
        <v>1484</v>
      </c>
      <c r="N14477" t="s">
        <v>30</v>
      </c>
      <c r="O14477" t="s">
        <v>31</v>
      </c>
      <c r="P14477" t="str">
        <f>"15203"</f>
        <v>15203</v>
      </c>
    </row>
    <row r="14478" spans="1:16" x14ac:dyDescent="0.25">
      <c r="A14478" t="str">
        <f>"1200035N00125    00"</f>
        <v>1200035N00125    00</v>
      </c>
      <c r="B14478" t="s">
        <v>31744</v>
      </c>
      <c r="C14478" t="s">
        <v>31745</v>
      </c>
      <c r="D14478" t="s">
        <v>20</v>
      </c>
      <c r="E14478" t="s">
        <v>39</v>
      </c>
      <c r="F14478">
        <v>0</v>
      </c>
      <c r="G14478">
        <v>0</v>
      </c>
      <c r="H14478">
        <v>1</v>
      </c>
      <c r="I14478" s="3">
        <v>308.77</v>
      </c>
      <c r="J14478" s="3">
        <v>0</v>
      </c>
      <c r="K14478" t="s">
        <v>31746</v>
      </c>
      <c r="L14478">
        <v>166</v>
      </c>
      <c r="M14478" t="s">
        <v>26107</v>
      </c>
      <c r="N14478" t="s">
        <v>20793</v>
      </c>
      <c r="O14478" t="s">
        <v>31</v>
      </c>
      <c r="P14478" t="str">
        <f>"16353"</f>
        <v>16353</v>
      </c>
    </row>
    <row r="14479" spans="1:16" x14ac:dyDescent="0.25">
      <c r="A14479" t="str">
        <f>"1200035N00212    00"</f>
        <v>1200035N00212    00</v>
      </c>
      <c r="B14479" t="s">
        <v>31747</v>
      </c>
      <c r="C14479" t="s">
        <v>31748</v>
      </c>
      <c r="D14479" t="s">
        <v>20</v>
      </c>
      <c r="E14479" t="s">
        <v>39</v>
      </c>
      <c r="F14479">
        <v>0</v>
      </c>
      <c r="G14479">
        <v>0</v>
      </c>
      <c r="H14479">
        <v>2</v>
      </c>
      <c r="I14479" s="3">
        <v>1970.82</v>
      </c>
      <c r="J14479" s="3">
        <v>0</v>
      </c>
      <c r="L14479">
        <v>8615</v>
      </c>
      <c r="M14479" t="s">
        <v>31749</v>
      </c>
      <c r="N14479" t="s">
        <v>31750</v>
      </c>
      <c r="O14479" t="s">
        <v>495</v>
      </c>
      <c r="P14479" t="str">
        <f>"92037"</f>
        <v>92037</v>
      </c>
    </row>
    <row r="14480" spans="1:16" x14ac:dyDescent="0.25">
      <c r="A14480" t="str">
        <f>"1200035N00214    00"</f>
        <v>1200035N00214    00</v>
      </c>
      <c r="B14480" t="s">
        <v>31751</v>
      </c>
      <c r="C14480" t="s">
        <v>31752</v>
      </c>
      <c r="D14480" t="s">
        <v>20</v>
      </c>
      <c r="E14480" t="s">
        <v>39</v>
      </c>
      <c r="F14480">
        <v>0</v>
      </c>
      <c r="G14480">
        <v>0</v>
      </c>
      <c r="H14480">
        <v>1</v>
      </c>
      <c r="I14480" s="3">
        <v>867.24</v>
      </c>
      <c r="J14480" s="3">
        <v>0</v>
      </c>
      <c r="K14480" t="s">
        <v>31753</v>
      </c>
      <c r="L14480">
        <v>2219</v>
      </c>
      <c r="M14480" t="s">
        <v>15854</v>
      </c>
      <c r="N14480" t="s">
        <v>30</v>
      </c>
      <c r="O14480" t="s">
        <v>31</v>
      </c>
      <c r="P14480" t="str">
        <f>"15216"</f>
        <v>15216</v>
      </c>
    </row>
    <row r="14481" spans="1:16" x14ac:dyDescent="0.25">
      <c r="A14481" t="str">
        <f>"1200035N00223    00"</f>
        <v>1200035N00223    00</v>
      </c>
      <c r="B14481" t="s">
        <v>31751</v>
      </c>
      <c r="C14481" t="s">
        <v>31754</v>
      </c>
      <c r="D14481" t="s">
        <v>20</v>
      </c>
      <c r="E14481" t="s">
        <v>39</v>
      </c>
      <c r="F14481">
        <v>0</v>
      </c>
      <c r="G14481">
        <v>0</v>
      </c>
      <c r="H14481">
        <v>1</v>
      </c>
      <c r="I14481" s="3">
        <v>123.9</v>
      </c>
      <c r="J14481" s="3">
        <v>0</v>
      </c>
      <c r="K14481" t="s">
        <v>31753</v>
      </c>
      <c r="L14481">
        <v>2219</v>
      </c>
      <c r="M14481" t="s">
        <v>15854</v>
      </c>
      <c r="N14481" t="s">
        <v>30</v>
      </c>
      <c r="O14481" t="s">
        <v>31</v>
      </c>
      <c r="P14481" t="str">
        <f>"15216"</f>
        <v>15216</v>
      </c>
    </row>
    <row r="14482" spans="1:16" x14ac:dyDescent="0.25">
      <c r="A14482" t="str">
        <f>"1200035N00237    00"</f>
        <v>1200035N00237    00</v>
      </c>
      <c r="B14482" t="s">
        <v>31755</v>
      </c>
      <c r="C14482" t="s">
        <v>31754</v>
      </c>
      <c r="D14482" t="s">
        <v>20</v>
      </c>
      <c r="E14482" t="s">
        <v>39</v>
      </c>
      <c r="F14482">
        <v>0</v>
      </c>
      <c r="G14482">
        <v>0</v>
      </c>
      <c r="H14482">
        <v>19</v>
      </c>
      <c r="I14482" s="3">
        <v>9027.1200000000008</v>
      </c>
      <c r="J14482" s="3">
        <v>10027.09</v>
      </c>
      <c r="L14482">
        <v>102</v>
      </c>
      <c r="M14482" t="s">
        <v>23780</v>
      </c>
      <c r="N14482" t="s">
        <v>30</v>
      </c>
      <c r="O14482" t="s">
        <v>31</v>
      </c>
      <c r="P14482" t="str">
        <f>"15210"</f>
        <v>15210</v>
      </c>
    </row>
    <row r="14483" spans="1:16" x14ac:dyDescent="0.25">
      <c r="A14483" t="str">
        <f>"1200036B00085    00"</f>
        <v>1200036B00085    00</v>
      </c>
      <c r="B14483" t="s">
        <v>31756</v>
      </c>
      <c r="C14483" t="s">
        <v>31757</v>
      </c>
      <c r="E14483" t="s">
        <v>39</v>
      </c>
      <c r="F14483">
        <v>0</v>
      </c>
      <c r="G14483">
        <v>0</v>
      </c>
      <c r="H14483">
        <v>2</v>
      </c>
      <c r="I14483" s="3">
        <v>183.7</v>
      </c>
      <c r="J14483" s="3">
        <v>35.57</v>
      </c>
      <c r="L14483">
        <v>1371</v>
      </c>
      <c r="M14483" t="s">
        <v>27048</v>
      </c>
      <c r="N14483" t="s">
        <v>30</v>
      </c>
      <c r="O14483" t="s">
        <v>31</v>
      </c>
      <c r="P14483" t="str">
        <f>"15220"</f>
        <v>15220</v>
      </c>
    </row>
    <row r="14484" spans="1:16" x14ac:dyDescent="0.25">
      <c r="A14484" t="str">
        <f>"1200036B00089    00"</f>
        <v>1200036B00089    00</v>
      </c>
      <c r="B14484" t="s">
        <v>31758</v>
      </c>
      <c r="C14484" t="s">
        <v>31759</v>
      </c>
      <c r="E14484" t="s">
        <v>39</v>
      </c>
      <c r="F14484">
        <v>0</v>
      </c>
      <c r="G14484">
        <v>0</v>
      </c>
      <c r="H14484">
        <v>1</v>
      </c>
      <c r="I14484" s="3">
        <v>30.5</v>
      </c>
      <c r="J14484" s="3">
        <v>0</v>
      </c>
      <c r="L14484">
        <v>1323</v>
      </c>
      <c r="M14484" t="s">
        <v>27048</v>
      </c>
      <c r="N14484" t="s">
        <v>30</v>
      </c>
      <c r="O14484" t="s">
        <v>31</v>
      </c>
      <c r="P14484" t="str">
        <f>"15220"</f>
        <v>15220</v>
      </c>
    </row>
    <row r="14485" spans="1:16" x14ac:dyDescent="0.25">
      <c r="A14485" t="str">
        <f>"1200036B00146    00"</f>
        <v>1200036B00146    00</v>
      </c>
      <c r="B14485" t="s">
        <v>31760</v>
      </c>
      <c r="C14485" t="s">
        <v>31761</v>
      </c>
      <c r="D14485" t="s">
        <v>20</v>
      </c>
      <c r="E14485" t="s">
        <v>39</v>
      </c>
      <c r="F14485">
        <v>0</v>
      </c>
      <c r="G14485">
        <v>0</v>
      </c>
      <c r="H14485">
        <v>2</v>
      </c>
      <c r="I14485" s="3">
        <v>56.13</v>
      </c>
      <c r="J14485" s="3">
        <v>0</v>
      </c>
      <c r="L14485">
        <v>2525</v>
      </c>
      <c r="M14485" t="s">
        <v>31762</v>
      </c>
      <c r="N14485" t="s">
        <v>30</v>
      </c>
      <c r="O14485" t="s">
        <v>31</v>
      </c>
      <c r="P14485" t="str">
        <f>"15220"</f>
        <v>15220</v>
      </c>
    </row>
    <row r="14486" spans="1:16" x14ac:dyDescent="0.25">
      <c r="A14486" t="str">
        <f>"1200036B00152    00"</f>
        <v>1200036B00152    00</v>
      </c>
      <c r="B14486" t="s">
        <v>31763</v>
      </c>
      <c r="C14486" t="s">
        <v>31764</v>
      </c>
      <c r="D14486" t="s">
        <v>20</v>
      </c>
      <c r="E14486" t="s">
        <v>39</v>
      </c>
      <c r="F14486">
        <v>0</v>
      </c>
      <c r="G14486">
        <v>0</v>
      </c>
      <c r="H14486">
        <v>1</v>
      </c>
      <c r="I14486" s="3">
        <v>2079.9299999999998</v>
      </c>
      <c r="J14486" s="3">
        <v>0</v>
      </c>
      <c r="K14486" t="s">
        <v>31765</v>
      </c>
      <c r="L14486">
        <v>267</v>
      </c>
      <c r="M14486" t="s">
        <v>31766</v>
      </c>
      <c r="N14486" t="s">
        <v>31767</v>
      </c>
      <c r="O14486" t="s">
        <v>370</v>
      </c>
      <c r="P14486" t="str">
        <f>"34449"</f>
        <v>34449</v>
      </c>
    </row>
    <row r="14487" spans="1:16" x14ac:dyDescent="0.25">
      <c r="A14487" t="str">
        <f>"1200036C00026    01"</f>
        <v>1200036C00026    01</v>
      </c>
      <c r="B14487" t="s">
        <v>31768</v>
      </c>
      <c r="C14487" t="s">
        <v>31769</v>
      </c>
      <c r="D14487" t="s">
        <v>20</v>
      </c>
      <c r="E14487" t="s">
        <v>39</v>
      </c>
      <c r="F14487">
        <v>0</v>
      </c>
      <c r="G14487">
        <v>0</v>
      </c>
      <c r="H14487">
        <v>1</v>
      </c>
      <c r="I14487" s="3">
        <v>1295.69</v>
      </c>
      <c r="J14487" s="3">
        <v>0</v>
      </c>
      <c r="K14487" t="s">
        <v>31770</v>
      </c>
      <c r="L14487">
        <v>234</v>
      </c>
      <c r="M14487" t="s">
        <v>31771</v>
      </c>
      <c r="N14487" t="s">
        <v>3611</v>
      </c>
      <c r="O14487" t="s">
        <v>370</v>
      </c>
      <c r="P14487" t="str">
        <f>"32459"</f>
        <v>32459</v>
      </c>
    </row>
    <row r="14488" spans="1:16" x14ac:dyDescent="0.25">
      <c r="A14488" t="str">
        <f>"1200036C00064    00"</f>
        <v>1200036C00064    00</v>
      </c>
      <c r="B14488" t="s">
        <v>31772</v>
      </c>
      <c r="C14488" t="s">
        <v>31773</v>
      </c>
      <c r="E14488" t="s">
        <v>39</v>
      </c>
      <c r="F14488">
        <v>0</v>
      </c>
      <c r="G14488">
        <v>0</v>
      </c>
      <c r="H14488">
        <v>1</v>
      </c>
      <c r="I14488" s="3">
        <v>716.26</v>
      </c>
      <c r="J14488" s="3">
        <v>0</v>
      </c>
      <c r="K14488" t="s">
        <v>31774</v>
      </c>
      <c r="L14488">
        <v>125</v>
      </c>
      <c r="M14488" t="s">
        <v>31775</v>
      </c>
      <c r="N14488" t="s">
        <v>30</v>
      </c>
      <c r="O14488" t="s">
        <v>31</v>
      </c>
      <c r="P14488" t="str">
        <f>"15220"</f>
        <v>15220</v>
      </c>
    </row>
    <row r="14489" spans="1:16" x14ac:dyDescent="0.25">
      <c r="A14489" t="str">
        <f>"1200036C00086    00"</f>
        <v>1200036C00086    00</v>
      </c>
      <c r="B14489" t="s">
        <v>31776</v>
      </c>
      <c r="C14489" t="s">
        <v>31777</v>
      </c>
      <c r="E14489" t="s">
        <v>39</v>
      </c>
      <c r="F14489">
        <v>0</v>
      </c>
      <c r="G14489">
        <v>0</v>
      </c>
      <c r="H14489">
        <v>1</v>
      </c>
      <c r="I14489" s="3">
        <v>1343.69</v>
      </c>
      <c r="J14489" s="3">
        <v>246.34</v>
      </c>
      <c r="K14489" t="s">
        <v>31778</v>
      </c>
      <c r="L14489">
        <v>1240</v>
      </c>
      <c r="M14489" t="s">
        <v>25074</v>
      </c>
      <c r="N14489" t="s">
        <v>30</v>
      </c>
      <c r="O14489" t="s">
        <v>31</v>
      </c>
      <c r="P14489" t="str">
        <f>"15220"</f>
        <v>15220</v>
      </c>
    </row>
    <row r="14490" spans="1:16" x14ac:dyDescent="0.25">
      <c r="A14490" t="str">
        <f>"1200036D00189    00"</f>
        <v>1200036D00189    00</v>
      </c>
      <c r="B14490" t="s">
        <v>31779</v>
      </c>
      <c r="C14490" t="s">
        <v>31780</v>
      </c>
      <c r="E14490" t="s">
        <v>39</v>
      </c>
      <c r="F14490">
        <v>0</v>
      </c>
      <c r="G14490">
        <v>0</v>
      </c>
      <c r="H14490">
        <v>1</v>
      </c>
      <c r="I14490" s="3">
        <v>1783.87</v>
      </c>
      <c r="J14490" s="3">
        <v>0</v>
      </c>
      <c r="K14490" t="s">
        <v>31781</v>
      </c>
      <c r="L14490">
        <v>119</v>
      </c>
      <c r="M14490" t="s">
        <v>10928</v>
      </c>
      <c r="N14490" t="s">
        <v>30</v>
      </c>
      <c r="O14490" t="s">
        <v>31</v>
      </c>
      <c r="P14490" t="str">
        <f>"15238"</f>
        <v>15238</v>
      </c>
    </row>
    <row r="14491" spans="1:16" x14ac:dyDescent="0.25">
      <c r="A14491" t="str">
        <f>"1200036E00020    00"</f>
        <v>1200036E00020    00</v>
      </c>
      <c r="B14491" t="s">
        <v>31782</v>
      </c>
      <c r="C14491" t="s">
        <v>31783</v>
      </c>
      <c r="D14491" t="s">
        <v>20</v>
      </c>
      <c r="E14491" t="s">
        <v>39</v>
      </c>
      <c r="F14491">
        <v>0</v>
      </c>
      <c r="G14491">
        <v>0</v>
      </c>
      <c r="H14491">
        <v>1</v>
      </c>
      <c r="I14491" s="3">
        <v>2331.5</v>
      </c>
      <c r="J14491" s="3">
        <v>0</v>
      </c>
      <c r="L14491">
        <v>2578</v>
      </c>
      <c r="M14491" t="s">
        <v>31784</v>
      </c>
      <c r="N14491" t="s">
        <v>30</v>
      </c>
      <c r="O14491" t="s">
        <v>31</v>
      </c>
      <c r="P14491" t="str">
        <f>"15220"</f>
        <v>15220</v>
      </c>
    </row>
    <row r="14492" spans="1:16" x14ac:dyDescent="0.25">
      <c r="A14492" t="str">
        <f>"1200036F00023    00"</f>
        <v>1200036F00023    00</v>
      </c>
      <c r="B14492" t="s">
        <v>31785</v>
      </c>
      <c r="C14492" t="s">
        <v>31786</v>
      </c>
      <c r="E14492" t="s">
        <v>39</v>
      </c>
      <c r="F14492">
        <v>0</v>
      </c>
      <c r="G14492">
        <v>0</v>
      </c>
      <c r="H14492">
        <v>1</v>
      </c>
      <c r="I14492" s="3">
        <v>52.44</v>
      </c>
      <c r="J14492" s="3">
        <v>61.61</v>
      </c>
      <c r="K14492" t="s">
        <v>759</v>
      </c>
      <c r="L14492">
        <v>3001</v>
      </c>
      <c r="M14492" t="s">
        <v>404</v>
      </c>
      <c r="N14492" t="s">
        <v>331</v>
      </c>
      <c r="O14492" t="s">
        <v>108</v>
      </c>
      <c r="P14492" t="str">
        <f>"75063"</f>
        <v>75063</v>
      </c>
    </row>
    <row r="14493" spans="1:16" x14ac:dyDescent="0.25">
      <c r="A14493" t="str">
        <f>"1200036F00039    00"</f>
        <v>1200036F00039    00</v>
      </c>
      <c r="B14493" t="s">
        <v>31787</v>
      </c>
      <c r="C14493" t="s">
        <v>31788</v>
      </c>
      <c r="D14493" t="s">
        <v>20</v>
      </c>
      <c r="E14493" t="s">
        <v>39</v>
      </c>
      <c r="F14493">
        <v>0</v>
      </c>
      <c r="G14493">
        <v>0</v>
      </c>
      <c r="H14493">
        <v>1</v>
      </c>
      <c r="I14493" s="3">
        <v>2249.5500000000002</v>
      </c>
      <c r="J14493" s="3">
        <v>0</v>
      </c>
      <c r="L14493">
        <v>101</v>
      </c>
      <c r="M14493" t="s">
        <v>31784</v>
      </c>
      <c r="N14493" t="s">
        <v>30</v>
      </c>
      <c r="O14493" t="s">
        <v>31</v>
      </c>
      <c r="P14493" t="str">
        <f>"15220"</f>
        <v>15220</v>
      </c>
    </row>
    <row r="14494" spans="1:16" x14ac:dyDescent="0.25">
      <c r="A14494" t="str">
        <f>"1200036F00131    00"</f>
        <v>1200036F00131    00</v>
      </c>
      <c r="B14494" t="s">
        <v>31782</v>
      </c>
      <c r="C14494" t="s">
        <v>31789</v>
      </c>
      <c r="D14494" t="s">
        <v>20</v>
      </c>
      <c r="E14494" t="s">
        <v>39</v>
      </c>
      <c r="F14494">
        <v>0</v>
      </c>
      <c r="G14494">
        <v>0</v>
      </c>
      <c r="H14494">
        <v>1</v>
      </c>
      <c r="I14494" s="3">
        <v>289.70999999999998</v>
      </c>
      <c r="J14494" s="3">
        <v>0</v>
      </c>
      <c r="L14494">
        <v>2578</v>
      </c>
      <c r="M14494" t="s">
        <v>31784</v>
      </c>
      <c r="N14494" t="s">
        <v>30</v>
      </c>
      <c r="O14494" t="s">
        <v>31</v>
      </c>
      <c r="P14494" t="str">
        <f>"15220"</f>
        <v>15220</v>
      </c>
    </row>
    <row r="14495" spans="1:16" x14ac:dyDescent="0.25">
      <c r="A14495" t="str">
        <f>"1200036F00134    00"</f>
        <v>1200036F00134    00</v>
      </c>
      <c r="B14495" t="s">
        <v>31787</v>
      </c>
      <c r="C14495" t="s">
        <v>31789</v>
      </c>
      <c r="D14495" t="s">
        <v>20</v>
      </c>
      <c r="E14495" t="s">
        <v>39</v>
      </c>
      <c r="F14495">
        <v>0</v>
      </c>
      <c r="G14495">
        <v>0</v>
      </c>
      <c r="H14495">
        <v>1</v>
      </c>
      <c r="I14495" s="3">
        <v>573.72</v>
      </c>
      <c r="J14495" s="3">
        <v>0</v>
      </c>
      <c r="L14495">
        <v>101</v>
      </c>
      <c r="M14495" t="s">
        <v>31784</v>
      </c>
      <c r="N14495" t="s">
        <v>30</v>
      </c>
      <c r="O14495" t="s">
        <v>31</v>
      </c>
      <c r="P14495" t="str">
        <f>"15220"</f>
        <v>15220</v>
      </c>
    </row>
    <row r="14496" spans="1:16" x14ac:dyDescent="0.25">
      <c r="A14496" t="str">
        <f>"1200036F00138    00"</f>
        <v>1200036F00138    00</v>
      </c>
      <c r="B14496" t="s">
        <v>31790</v>
      </c>
      <c r="C14496" t="s">
        <v>31789</v>
      </c>
      <c r="D14496" t="s">
        <v>20</v>
      </c>
      <c r="E14496" t="s">
        <v>39</v>
      </c>
      <c r="F14496">
        <v>0</v>
      </c>
      <c r="G14496">
        <v>0</v>
      </c>
      <c r="H14496">
        <v>2</v>
      </c>
      <c r="I14496" s="3">
        <v>420.86</v>
      </c>
      <c r="J14496" s="3">
        <v>0</v>
      </c>
      <c r="K14496" t="s">
        <v>1135</v>
      </c>
      <c r="L14496">
        <v>3001</v>
      </c>
      <c r="M14496" t="s">
        <v>330</v>
      </c>
      <c r="N14496" t="s">
        <v>331</v>
      </c>
      <c r="O14496" t="s">
        <v>108</v>
      </c>
      <c r="P14496" t="str">
        <f>"75063"</f>
        <v>75063</v>
      </c>
    </row>
    <row r="14497" spans="1:16" x14ac:dyDescent="0.25">
      <c r="A14497" t="str">
        <f>"1200036F00212    00"</f>
        <v>1200036F00212    00</v>
      </c>
      <c r="B14497" t="s">
        <v>31791</v>
      </c>
      <c r="C14497" t="s">
        <v>31792</v>
      </c>
      <c r="D14497" t="s">
        <v>20</v>
      </c>
      <c r="E14497" t="s">
        <v>39</v>
      </c>
      <c r="F14497">
        <v>0</v>
      </c>
      <c r="G14497">
        <v>0</v>
      </c>
      <c r="H14497">
        <v>4</v>
      </c>
      <c r="I14497" s="3">
        <v>6054.21</v>
      </c>
      <c r="J14497" s="3">
        <v>687.58</v>
      </c>
      <c r="L14497">
        <v>2675</v>
      </c>
      <c r="M14497" t="s">
        <v>31762</v>
      </c>
      <c r="N14497" t="s">
        <v>30</v>
      </c>
      <c r="O14497" t="s">
        <v>31</v>
      </c>
      <c r="P14497" t="str">
        <f>"15220"</f>
        <v>15220</v>
      </c>
    </row>
    <row r="14498" spans="1:16" x14ac:dyDescent="0.25">
      <c r="A14498" t="str">
        <f>"1200036G00110    00"</f>
        <v>1200036G00110    00</v>
      </c>
      <c r="B14498" t="s">
        <v>31793</v>
      </c>
      <c r="C14498" t="s">
        <v>31794</v>
      </c>
      <c r="D14498" t="s">
        <v>20</v>
      </c>
      <c r="E14498" t="s">
        <v>39</v>
      </c>
      <c r="F14498">
        <v>0</v>
      </c>
      <c r="G14498">
        <v>0</v>
      </c>
      <c r="H14498">
        <v>1</v>
      </c>
      <c r="I14498" s="3">
        <v>1376.6</v>
      </c>
      <c r="J14498" s="3">
        <v>0</v>
      </c>
      <c r="K14498" t="s">
        <v>6483</v>
      </c>
      <c r="L14498">
        <v>3001</v>
      </c>
      <c r="M14498" t="s">
        <v>330</v>
      </c>
      <c r="N14498" t="s">
        <v>331</v>
      </c>
      <c r="O14498" t="s">
        <v>108</v>
      </c>
      <c r="P14498" t="str">
        <f>"75063"</f>
        <v>75063</v>
      </c>
    </row>
    <row r="14499" spans="1:16" x14ac:dyDescent="0.25">
      <c r="A14499" t="str">
        <f>"1200036G00148    00"</f>
        <v>1200036G00148    00</v>
      </c>
      <c r="B14499" t="s">
        <v>31795</v>
      </c>
      <c r="C14499" t="s">
        <v>31796</v>
      </c>
      <c r="D14499" t="s">
        <v>20</v>
      </c>
      <c r="E14499" t="s">
        <v>39</v>
      </c>
      <c r="F14499">
        <v>0</v>
      </c>
      <c r="G14499">
        <v>0</v>
      </c>
      <c r="H14499">
        <v>1</v>
      </c>
      <c r="I14499" s="3">
        <v>1765.43</v>
      </c>
      <c r="J14499" s="3">
        <v>0</v>
      </c>
      <c r="L14499">
        <v>928</v>
      </c>
      <c r="M14499" t="s">
        <v>25074</v>
      </c>
      <c r="N14499" t="s">
        <v>30</v>
      </c>
      <c r="O14499" t="s">
        <v>31</v>
      </c>
      <c r="P14499" t="str">
        <f>"15220"</f>
        <v>15220</v>
      </c>
    </row>
    <row r="14500" spans="1:16" x14ac:dyDescent="0.25">
      <c r="A14500" t="str">
        <f>"1200036H00043    00"</f>
        <v>1200036H00043    00</v>
      </c>
      <c r="B14500" t="s">
        <v>31797</v>
      </c>
      <c r="C14500" t="s">
        <v>31798</v>
      </c>
      <c r="D14500" t="s">
        <v>20</v>
      </c>
      <c r="E14500" t="s">
        <v>39</v>
      </c>
      <c r="F14500">
        <v>0</v>
      </c>
      <c r="G14500">
        <v>0</v>
      </c>
      <c r="H14500">
        <v>19</v>
      </c>
      <c r="I14500" s="3">
        <v>6966.4</v>
      </c>
      <c r="J14500" s="3">
        <v>3957.68</v>
      </c>
      <c r="L14500">
        <v>113</v>
      </c>
      <c r="M14500" t="s">
        <v>31799</v>
      </c>
      <c r="N14500" t="s">
        <v>30</v>
      </c>
      <c r="O14500" t="s">
        <v>31</v>
      </c>
      <c r="P14500" t="str">
        <f>"15236"</f>
        <v>15236</v>
      </c>
    </row>
    <row r="14501" spans="1:16" x14ac:dyDescent="0.25">
      <c r="A14501" t="str">
        <f>"1200036H00076    00"</f>
        <v>1200036H00076    00</v>
      </c>
      <c r="B14501" t="s">
        <v>31800</v>
      </c>
      <c r="C14501" t="s">
        <v>31801</v>
      </c>
      <c r="D14501" t="s">
        <v>20</v>
      </c>
      <c r="E14501" t="s">
        <v>39</v>
      </c>
      <c r="F14501">
        <v>0</v>
      </c>
      <c r="G14501">
        <v>0</v>
      </c>
      <c r="H14501">
        <v>3</v>
      </c>
      <c r="I14501" s="3">
        <v>1156.31</v>
      </c>
      <c r="J14501" s="3">
        <v>22.08</v>
      </c>
      <c r="L14501">
        <v>1015</v>
      </c>
      <c r="M14501" t="s">
        <v>27333</v>
      </c>
      <c r="N14501" t="s">
        <v>30</v>
      </c>
      <c r="O14501" t="s">
        <v>31</v>
      </c>
      <c r="P14501" t="str">
        <f t="shared" ref="P14501:P14506" si="185">"15216"</f>
        <v>15216</v>
      </c>
    </row>
    <row r="14502" spans="1:16" x14ac:dyDescent="0.25">
      <c r="A14502" t="str">
        <f>"1200036H00134    00"</f>
        <v>1200036H00134    00</v>
      </c>
      <c r="B14502" t="s">
        <v>31802</v>
      </c>
      <c r="C14502" t="s">
        <v>31803</v>
      </c>
      <c r="E14502" t="s">
        <v>21</v>
      </c>
      <c r="F14502">
        <v>0</v>
      </c>
      <c r="G14502">
        <v>0</v>
      </c>
      <c r="H14502">
        <v>1</v>
      </c>
      <c r="I14502" s="3">
        <v>3913.03</v>
      </c>
      <c r="J14502" s="3">
        <v>391.28</v>
      </c>
      <c r="K14502" t="s">
        <v>31804</v>
      </c>
      <c r="L14502">
        <v>1201</v>
      </c>
      <c r="M14502" t="s">
        <v>27333</v>
      </c>
      <c r="N14502" t="s">
        <v>30</v>
      </c>
      <c r="O14502" t="s">
        <v>31</v>
      </c>
      <c r="P14502" t="str">
        <f t="shared" si="185"/>
        <v>15216</v>
      </c>
    </row>
    <row r="14503" spans="1:16" x14ac:dyDescent="0.25">
      <c r="A14503" t="str">
        <f>"1200036H00138    00"</f>
        <v>1200036H00138    00</v>
      </c>
      <c r="B14503" t="s">
        <v>31802</v>
      </c>
      <c r="C14503" t="s">
        <v>31803</v>
      </c>
      <c r="E14503" t="s">
        <v>21</v>
      </c>
      <c r="F14503">
        <v>0</v>
      </c>
      <c r="G14503">
        <v>0</v>
      </c>
      <c r="H14503">
        <v>1</v>
      </c>
      <c r="I14503" s="3">
        <v>270.64999999999998</v>
      </c>
      <c r="J14503" s="3">
        <v>27.05</v>
      </c>
      <c r="K14503" t="s">
        <v>31804</v>
      </c>
      <c r="L14503">
        <v>1201</v>
      </c>
      <c r="M14503" t="s">
        <v>27333</v>
      </c>
      <c r="N14503" t="s">
        <v>30</v>
      </c>
      <c r="O14503" t="s">
        <v>31</v>
      </c>
      <c r="P14503" t="str">
        <f t="shared" si="185"/>
        <v>15216</v>
      </c>
    </row>
    <row r="14504" spans="1:16" x14ac:dyDescent="0.25">
      <c r="A14504" t="str">
        <f>"1200036H00142    00"</f>
        <v>1200036H00142    00</v>
      </c>
      <c r="B14504" t="s">
        <v>31805</v>
      </c>
      <c r="C14504" t="s">
        <v>31806</v>
      </c>
      <c r="D14504" t="s">
        <v>20</v>
      </c>
      <c r="E14504" t="s">
        <v>39</v>
      </c>
      <c r="F14504">
        <v>0</v>
      </c>
      <c r="G14504">
        <v>0</v>
      </c>
      <c r="H14504">
        <v>17</v>
      </c>
      <c r="I14504" s="3">
        <v>18395.66</v>
      </c>
      <c r="J14504" s="3">
        <v>14796.11</v>
      </c>
      <c r="L14504">
        <v>1137</v>
      </c>
      <c r="M14504" t="s">
        <v>27333</v>
      </c>
      <c r="N14504" t="s">
        <v>30</v>
      </c>
      <c r="O14504" t="s">
        <v>31</v>
      </c>
      <c r="P14504" t="str">
        <f t="shared" si="185"/>
        <v>15216</v>
      </c>
    </row>
    <row r="14505" spans="1:16" x14ac:dyDescent="0.25">
      <c r="A14505" t="str">
        <f>"1200036H00143    00"</f>
        <v>1200036H00143    00</v>
      </c>
      <c r="B14505" t="s">
        <v>31807</v>
      </c>
      <c r="C14505" t="s">
        <v>31808</v>
      </c>
      <c r="D14505" t="s">
        <v>20</v>
      </c>
      <c r="E14505" t="s">
        <v>39</v>
      </c>
      <c r="F14505">
        <v>0</v>
      </c>
      <c r="G14505">
        <v>0</v>
      </c>
      <c r="H14505">
        <v>19</v>
      </c>
      <c r="I14505" s="3">
        <v>13767.09</v>
      </c>
      <c r="J14505" s="3">
        <v>12541.92</v>
      </c>
      <c r="L14505">
        <v>1139</v>
      </c>
      <c r="M14505" t="s">
        <v>27333</v>
      </c>
      <c r="N14505" t="s">
        <v>30</v>
      </c>
      <c r="O14505" t="s">
        <v>31</v>
      </c>
      <c r="P14505" t="str">
        <f t="shared" si="185"/>
        <v>15216</v>
      </c>
    </row>
    <row r="14506" spans="1:16" x14ac:dyDescent="0.25">
      <c r="A14506" t="str">
        <f>"1200036H00144    00"</f>
        <v>1200036H00144    00</v>
      </c>
      <c r="B14506" t="s">
        <v>31805</v>
      </c>
      <c r="C14506" t="s">
        <v>31798</v>
      </c>
      <c r="D14506" t="s">
        <v>20</v>
      </c>
      <c r="E14506" t="s">
        <v>39</v>
      </c>
      <c r="F14506">
        <v>0</v>
      </c>
      <c r="G14506">
        <v>0</v>
      </c>
      <c r="H14506">
        <v>14</v>
      </c>
      <c r="I14506" s="3">
        <v>6695.24</v>
      </c>
      <c r="J14506" s="3">
        <v>3556.72</v>
      </c>
      <c r="L14506">
        <v>1137</v>
      </c>
      <c r="M14506" t="s">
        <v>27333</v>
      </c>
      <c r="N14506" t="s">
        <v>30</v>
      </c>
      <c r="O14506" t="s">
        <v>31</v>
      </c>
      <c r="P14506" t="str">
        <f t="shared" si="185"/>
        <v>15216</v>
      </c>
    </row>
    <row r="14507" spans="1:16" x14ac:dyDescent="0.25">
      <c r="A14507" t="str">
        <f>"1200036J00032    00"</f>
        <v>1200036J00032    00</v>
      </c>
      <c r="B14507" t="s">
        <v>31809</v>
      </c>
      <c r="C14507" t="s">
        <v>31810</v>
      </c>
      <c r="D14507" t="s">
        <v>20</v>
      </c>
      <c r="E14507" t="s">
        <v>39</v>
      </c>
      <c r="F14507">
        <v>0</v>
      </c>
      <c r="G14507">
        <v>0</v>
      </c>
      <c r="H14507">
        <v>1</v>
      </c>
      <c r="I14507" s="3">
        <v>1296.43</v>
      </c>
      <c r="J14507" s="3">
        <v>0</v>
      </c>
      <c r="L14507">
        <v>2575</v>
      </c>
      <c r="M14507" t="s">
        <v>23170</v>
      </c>
      <c r="N14507" t="s">
        <v>30</v>
      </c>
      <c r="O14507" t="s">
        <v>31</v>
      </c>
      <c r="P14507" t="str">
        <f>"15220"</f>
        <v>15220</v>
      </c>
    </row>
    <row r="14508" spans="1:16" x14ac:dyDescent="0.25">
      <c r="A14508" t="str">
        <f>"1200036J00092    00"</f>
        <v>1200036J00092    00</v>
      </c>
      <c r="B14508" t="s">
        <v>31811</v>
      </c>
      <c r="C14508" t="s">
        <v>31812</v>
      </c>
      <c r="E14508" t="s">
        <v>39</v>
      </c>
      <c r="F14508">
        <v>0</v>
      </c>
      <c r="G14508">
        <v>0</v>
      </c>
      <c r="H14508">
        <v>1</v>
      </c>
      <c r="I14508" s="3">
        <v>2796.62</v>
      </c>
      <c r="J14508" s="3">
        <v>0</v>
      </c>
      <c r="K14508" t="s">
        <v>3621</v>
      </c>
      <c r="L14508">
        <v>211</v>
      </c>
      <c r="M14508" t="s">
        <v>31813</v>
      </c>
      <c r="N14508" t="s">
        <v>3623</v>
      </c>
      <c r="O14508" t="s">
        <v>31</v>
      </c>
      <c r="P14508" t="str">
        <f>"17101"</f>
        <v>17101</v>
      </c>
    </row>
    <row r="14509" spans="1:16" x14ac:dyDescent="0.25">
      <c r="A14509" t="str">
        <f>"1200036J00310    00"</f>
        <v>1200036J00310    00</v>
      </c>
      <c r="B14509" t="s">
        <v>31814</v>
      </c>
      <c r="C14509" t="s">
        <v>31815</v>
      </c>
      <c r="D14509" t="s">
        <v>57</v>
      </c>
      <c r="E14509" t="s">
        <v>39</v>
      </c>
      <c r="F14509">
        <v>0</v>
      </c>
      <c r="G14509">
        <v>0</v>
      </c>
      <c r="H14509">
        <v>1</v>
      </c>
      <c r="I14509" s="3">
        <v>919.33</v>
      </c>
      <c r="J14509" s="3">
        <v>0</v>
      </c>
      <c r="L14509">
        <v>2456</v>
      </c>
      <c r="M14509" t="s">
        <v>31816</v>
      </c>
      <c r="N14509" t="s">
        <v>30</v>
      </c>
      <c r="O14509" t="s">
        <v>31</v>
      </c>
      <c r="P14509" t="str">
        <f>"15220"</f>
        <v>15220</v>
      </c>
    </row>
    <row r="14510" spans="1:16" x14ac:dyDescent="0.25">
      <c r="A14510" t="str">
        <f>"1200036J00320    00"</f>
        <v>1200036J00320    00</v>
      </c>
      <c r="B14510" t="s">
        <v>31817</v>
      </c>
      <c r="C14510" t="s">
        <v>31818</v>
      </c>
      <c r="D14510" t="s">
        <v>20</v>
      </c>
      <c r="E14510" t="s">
        <v>39</v>
      </c>
      <c r="F14510">
        <v>0</v>
      </c>
      <c r="G14510">
        <v>0</v>
      </c>
      <c r="H14510">
        <v>5</v>
      </c>
      <c r="I14510" s="3">
        <v>5574.19</v>
      </c>
      <c r="J14510" s="3">
        <v>1326.2</v>
      </c>
      <c r="K14510" t="s">
        <v>31819</v>
      </c>
      <c r="L14510">
        <v>2498</v>
      </c>
      <c r="M14510" t="s">
        <v>28643</v>
      </c>
      <c r="N14510" t="s">
        <v>30</v>
      </c>
      <c r="O14510" t="s">
        <v>31</v>
      </c>
      <c r="P14510" t="str">
        <f>"15220"</f>
        <v>15220</v>
      </c>
    </row>
    <row r="14511" spans="1:16" x14ac:dyDescent="0.25">
      <c r="A14511" t="str">
        <f>"1200036K00098    00"</f>
        <v>1200036K00098    00</v>
      </c>
      <c r="B14511" t="s">
        <v>31820</v>
      </c>
      <c r="C14511" t="s">
        <v>31821</v>
      </c>
      <c r="D14511" t="s">
        <v>20</v>
      </c>
      <c r="E14511" t="s">
        <v>39</v>
      </c>
      <c r="F14511">
        <v>0</v>
      </c>
      <c r="G14511">
        <v>0</v>
      </c>
      <c r="H14511">
        <v>1</v>
      </c>
      <c r="I14511" s="3">
        <v>1824.5</v>
      </c>
      <c r="J14511" s="3">
        <v>0</v>
      </c>
      <c r="K14511" t="s">
        <v>391</v>
      </c>
      <c r="L14511">
        <v>1</v>
      </c>
      <c r="M14511" t="s">
        <v>392</v>
      </c>
      <c r="N14511" t="s">
        <v>393</v>
      </c>
      <c r="O14511" t="s">
        <v>394</v>
      </c>
      <c r="P14511" t="str">
        <f>"50328"</f>
        <v>50328</v>
      </c>
    </row>
    <row r="14512" spans="1:16" x14ac:dyDescent="0.25">
      <c r="A14512" t="str">
        <f>"1200036K00266    00"</f>
        <v>1200036K00266    00</v>
      </c>
      <c r="B14512" t="s">
        <v>31822</v>
      </c>
      <c r="C14512" t="s">
        <v>31823</v>
      </c>
      <c r="D14512" t="s">
        <v>20</v>
      </c>
      <c r="E14512" t="s">
        <v>39</v>
      </c>
      <c r="F14512">
        <v>0</v>
      </c>
      <c r="G14512">
        <v>0</v>
      </c>
      <c r="H14512">
        <v>2</v>
      </c>
      <c r="I14512" s="3">
        <v>2223.12</v>
      </c>
      <c r="J14512" s="3">
        <v>0</v>
      </c>
      <c r="L14512">
        <v>2381</v>
      </c>
      <c r="M14512" t="s">
        <v>31824</v>
      </c>
      <c r="N14512" t="s">
        <v>30</v>
      </c>
      <c r="O14512" t="s">
        <v>31</v>
      </c>
      <c r="P14512" t="str">
        <f>"15216"</f>
        <v>15216</v>
      </c>
    </row>
    <row r="14513" spans="1:16" x14ac:dyDescent="0.25">
      <c r="A14513" t="str">
        <f>"1200036L00014    00"</f>
        <v>1200036L00014    00</v>
      </c>
      <c r="B14513" t="s">
        <v>31825</v>
      </c>
      <c r="C14513" t="s">
        <v>31826</v>
      </c>
      <c r="D14513" t="s">
        <v>20</v>
      </c>
      <c r="E14513" t="s">
        <v>39</v>
      </c>
      <c r="F14513">
        <v>0</v>
      </c>
      <c r="G14513">
        <v>0</v>
      </c>
      <c r="H14513">
        <v>1</v>
      </c>
      <c r="I14513" s="3">
        <v>2081.35</v>
      </c>
      <c r="J14513" s="3">
        <v>0</v>
      </c>
      <c r="K14513" t="s">
        <v>22509</v>
      </c>
      <c r="L14513">
        <v>3001</v>
      </c>
      <c r="M14513" t="s">
        <v>330</v>
      </c>
      <c r="N14513" t="s">
        <v>331</v>
      </c>
      <c r="O14513" t="s">
        <v>108</v>
      </c>
      <c r="P14513" t="str">
        <f>"75063"</f>
        <v>75063</v>
      </c>
    </row>
    <row r="14514" spans="1:16" x14ac:dyDescent="0.25">
      <c r="A14514" t="str">
        <f>"1200036L00080    00"</f>
        <v>1200036L00080    00</v>
      </c>
      <c r="B14514" t="s">
        <v>31827</v>
      </c>
      <c r="C14514" t="s">
        <v>31759</v>
      </c>
      <c r="D14514" t="s">
        <v>20</v>
      </c>
      <c r="E14514" t="s">
        <v>39</v>
      </c>
      <c r="F14514">
        <v>0</v>
      </c>
      <c r="G14514">
        <v>0</v>
      </c>
      <c r="H14514">
        <v>16</v>
      </c>
      <c r="I14514" s="3">
        <v>10464.16</v>
      </c>
      <c r="J14514" s="3">
        <v>8286.75</v>
      </c>
      <c r="K14514" t="s">
        <v>31828</v>
      </c>
      <c r="L14514">
        <v>423</v>
      </c>
      <c r="M14514" t="s">
        <v>29273</v>
      </c>
      <c r="N14514" t="s">
        <v>30</v>
      </c>
      <c r="O14514" t="s">
        <v>31</v>
      </c>
      <c r="P14514" t="str">
        <f>"15226"</f>
        <v>15226</v>
      </c>
    </row>
    <row r="14515" spans="1:16" x14ac:dyDescent="0.25">
      <c r="A14515" t="str">
        <f>"1200036M00052    00"</f>
        <v>1200036M00052    00</v>
      </c>
      <c r="B14515" t="s">
        <v>31829</v>
      </c>
      <c r="C14515" t="s">
        <v>31830</v>
      </c>
      <c r="E14515" t="s">
        <v>39</v>
      </c>
      <c r="F14515">
        <v>0</v>
      </c>
      <c r="G14515">
        <v>0</v>
      </c>
      <c r="H14515">
        <v>5</v>
      </c>
      <c r="I14515" s="3">
        <v>848.75</v>
      </c>
      <c r="J14515" s="3">
        <v>849.08</v>
      </c>
      <c r="L14515">
        <v>3</v>
      </c>
      <c r="M14515" t="s">
        <v>31831</v>
      </c>
      <c r="N14515" t="s">
        <v>30</v>
      </c>
      <c r="O14515" t="s">
        <v>31</v>
      </c>
      <c r="P14515" t="str">
        <f>"15216"</f>
        <v>15216</v>
      </c>
    </row>
    <row r="14516" spans="1:16" x14ac:dyDescent="0.25">
      <c r="A14516" t="str">
        <f>"1200036M00054    00"</f>
        <v>1200036M00054    00</v>
      </c>
      <c r="B14516" t="s">
        <v>31829</v>
      </c>
      <c r="C14516" t="s">
        <v>31832</v>
      </c>
      <c r="E14516" t="s">
        <v>39</v>
      </c>
      <c r="F14516">
        <v>0</v>
      </c>
      <c r="G14516">
        <v>0</v>
      </c>
      <c r="H14516">
        <v>5</v>
      </c>
      <c r="I14516" s="3">
        <v>5313.65</v>
      </c>
      <c r="J14516" s="3">
        <v>5390.07</v>
      </c>
      <c r="L14516">
        <v>3</v>
      </c>
      <c r="M14516" t="s">
        <v>31831</v>
      </c>
      <c r="N14516" t="s">
        <v>30</v>
      </c>
      <c r="O14516" t="s">
        <v>31</v>
      </c>
      <c r="P14516" t="str">
        <f>"15216"</f>
        <v>15216</v>
      </c>
    </row>
    <row r="14517" spans="1:16" x14ac:dyDescent="0.25">
      <c r="A14517" t="str">
        <f>"1200036M00056    00"</f>
        <v>1200036M00056    00</v>
      </c>
      <c r="B14517" t="s">
        <v>31829</v>
      </c>
      <c r="C14517" t="s">
        <v>31830</v>
      </c>
      <c r="E14517" t="s">
        <v>39</v>
      </c>
      <c r="F14517">
        <v>0</v>
      </c>
      <c r="G14517">
        <v>0</v>
      </c>
      <c r="H14517">
        <v>4</v>
      </c>
      <c r="I14517" s="3">
        <v>684.62</v>
      </c>
      <c r="J14517" s="3">
        <v>625.54999999999995</v>
      </c>
      <c r="L14517">
        <v>3</v>
      </c>
      <c r="M14517" t="s">
        <v>31831</v>
      </c>
      <c r="N14517" t="s">
        <v>30</v>
      </c>
      <c r="O14517" t="s">
        <v>31</v>
      </c>
      <c r="P14517" t="str">
        <f>"15216"</f>
        <v>15216</v>
      </c>
    </row>
    <row r="14518" spans="1:16" x14ac:dyDescent="0.25">
      <c r="A14518" t="str">
        <f>"1200036M00100    00"</f>
        <v>1200036M00100    00</v>
      </c>
      <c r="B14518" t="s">
        <v>31833</v>
      </c>
      <c r="C14518" t="s">
        <v>31834</v>
      </c>
      <c r="D14518" t="s">
        <v>20</v>
      </c>
      <c r="E14518" t="s">
        <v>39</v>
      </c>
      <c r="F14518">
        <v>0</v>
      </c>
      <c r="G14518">
        <v>0</v>
      </c>
      <c r="H14518">
        <v>1</v>
      </c>
      <c r="I14518" s="3">
        <v>291.63</v>
      </c>
      <c r="J14518" s="3">
        <v>0</v>
      </c>
      <c r="K14518" t="s">
        <v>31835</v>
      </c>
      <c r="L14518">
        <v>3</v>
      </c>
      <c r="M14518" t="s">
        <v>31836</v>
      </c>
      <c r="N14518" t="s">
        <v>914</v>
      </c>
      <c r="O14518" t="s">
        <v>200</v>
      </c>
      <c r="P14518" t="str">
        <f>"10952"</f>
        <v>10952</v>
      </c>
    </row>
    <row r="14519" spans="1:16" x14ac:dyDescent="0.25">
      <c r="A14519" t="str">
        <f>"1200036M00106    00"</f>
        <v>1200036M00106    00</v>
      </c>
      <c r="B14519" t="s">
        <v>31833</v>
      </c>
      <c r="C14519" t="s">
        <v>31834</v>
      </c>
      <c r="D14519" t="s">
        <v>20</v>
      </c>
      <c r="E14519" t="s">
        <v>39</v>
      </c>
      <c r="F14519">
        <v>0</v>
      </c>
      <c r="G14519">
        <v>0</v>
      </c>
      <c r="H14519">
        <v>1</v>
      </c>
      <c r="I14519" s="3">
        <v>1027.81</v>
      </c>
      <c r="J14519" s="3">
        <v>0</v>
      </c>
      <c r="K14519" t="s">
        <v>31837</v>
      </c>
      <c r="L14519">
        <v>3</v>
      </c>
      <c r="M14519" t="s">
        <v>31836</v>
      </c>
      <c r="N14519" t="s">
        <v>914</v>
      </c>
      <c r="O14519" t="s">
        <v>200</v>
      </c>
      <c r="P14519" t="str">
        <f>"10952"</f>
        <v>10952</v>
      </c>
    </row>
    <row r="14520" spans="1:16" x14ac:dyDescent="0.25">
      <c r="A14520" t="str">
        <f>"1200036M00116    00"</f>
        <v>1200036M00116    00</v>
      </c>
      <c r="B14520" t="s">
        <v>31838</v>
      </c>
      <c r="C14520" t="s">
        <v>31839</v>
      </c>
      <c r="D14520" t="s">
        <v>20</v>
      </c>
      <c r="E14520" t="s">
        <v>39</v>
      </c>
      <c r="F14520">
        <v>0</v>
      </c>
      <c r="G14520">
        <v>0</v>
      </c>
      <c r="H14520">
        <v>5</v>
      </c>
      <c r="I14520" s="3">
        <v>4571.75</v>
      </c>
      <c r="J14520" s="3">
        <v>1312.96</v>
      </c>
      <c r="L14520">
        <v>1767</v>
      </c>
      <c r="M14520" t="s">
        <v>31831</v>
      </c>
      <c r="N14520" t="s">
        <v>30</v>
      </c>
      <c r="O14520" t="s">
        <v>31</v>
      </c>
      <c r="P14520" t="str">
        <f>"15216"</f>
        <v>15216</v>
      </c>
    </row>
    <row r="14521" spans="1:16" x14ac:dyDescent="0.25">
      <c r="A14521" t="str">
        <f>"1200036M00140    00"</f>
        <v>1200036M00140    00</v>
      </c>
      <c r="B14521" t="s">
        <v>31840</v>
      </c>
      <c r="C14521" t="s">
        <v>31841</v>
      </c>
      <c r="D14521" t="s">
        <v>20</v>
      </c>
      <c r="E14521" t="s">
        <v>39</v>
      </c>
      <c r="F14521">
        <v>0</v>
      </c>
      <c r="G14521">
        <v>0</v>
      </c>
      <c r="H14521">
        <v>6</v>
      </c>
      <c r="I14521" s="3">
        <v>6370.29</v>
      </c>
      <c r="J14521" s="3">
        <v>1428.72</v>
      </c>
      <c r="L14521">
        <v>32</v>
      </c>
      <c r="M14521" t="s">
        <v>31831</v>
      </c>
      <c r="N14521" t="s">
        <v>30</v>
      </c>
      <c r="O14521" t="s">
        <v>31</v>
      </c>
      <c r="P14521" t="str">
        <f>"15216"</f>
        <v>15216</v>
      </c>
    </row>
    <row r="14522" spans="1:16" x14ac:dyDescent="0.25">
      <c r="A14522" t="str">
        <f>"1200036M00159    00"</f>
        <v>1200036M00159    00</v>
      </c>
      <c r="B14522" t="s">
        <v>31842</v>
      </c>
      <c r="C14522" t="s">
        <v>31843</v>
      </c>
      <c r="E14522" t="s">
        <v>39</v>
      </c>
      <c r="F14522">
        <v>0</v>
      </c>
      <c r="G14522">
        <v>0</v>
      </c>
      <c r="H14522">
        <v>1</v>
      </c>
      <c r="I14522" s="3">
        <v>845.46</v>
      </c>
      <c r="J14522" s="3">
        <v>415.66</v>
      </c>
      <c r="L14522">
        <v>1859</v>
      </c>
      <c r="M14522" t="s">
        <v>31831</v>
      </c>
      <c r="N14522" t="s">
        <v>30</v>
      </c>
      <c r="O14522" t="s">
        <v>31</v>
      </c>
      <c r="P14522" t="str">
        <f>"15216"</f>
        <v>15216</v>
      </c>
    </row>
    <row r="14523" spans="1:16" x14ac:dyDescent="0.25">
      <c r="A14523" t="str">
        <f>"1200036M00199    00"</f>
        <v>1200036M00199    00</v>
      </c>
      <c r="B14523" t="s">
        <v>31844</v>
      </c>
      <c r="C14523" t="s">
        <v>30498</v>
      </c>
      <c r="D14523" t="s">
        <v>20</v>
      </c>
      <c r="E14523" t="s">
        <v>39</v>
      </c>
      <c r="F14523">
        <v>0</v>
      </c>
      <c r="G14523">
        <v>0</v>
      </c>
      <c r="H14523">
        <v>18</v>
      </c>
      <c r="I14523" s="3">
        <v>9201.81</v>
      </c>
      <c r="J14523" s="3">
        <v>7217.46</v>
      </c>
      <c r="L14523">
        <v>423</v>
      </c>
      <c r="M14523" t="s">
        <v>29273</v>
      </c>
      <c r="N14523" t="s">
        <v>30</v>
      </c>
      <c r="O14523" t="s">
        <v>31</v>
      </c>
      <c r="P14523" t="str">
        <f>"15226"</f>
        <v>15226</v>
      </c>
    </row>
    <row r="14524" spans="1:16" x14ac:dyDescent="0.25">
      <c r="A14524" t="str">
        <f>"1200036M00201    00"</f>
        <v>1200036M00201    00</v>
      </c>
      <c r="B14524" t="s">
        <v>31844</v>
      </c>
      <c r="C14524" t="s">
        <v>30498</v>
      </c>
      <c r="D14524" t="s">
        <v>20</v>
      </c>
      <c r="E14524" t="s">
        <v>39</v>
      </c>
      <c r="F14524">
        <v>0</v>
      </c>
      <c r="G14524">
        <v>0</v>
      </c>
      <c r="H14524">
        <v>11</v>
      </c>
      <c r="I14524" s="3">
        <v>1053.51</v>
      </c>
      <c r="J14524" s="3">
        <v>502.8</v>
      </c>
      <c r="L14524">
        <v>423</v>
      </c>
      <c r="M14524" t="s">
        <v>29273</v>
      </c>
      <c r="N14524" t="s">
        <v>30</v>
      </c>
      <c r="O14524" t="s">
        <v>31</v>
      </c>
      <c r="P14524" t="str">
        <f>"15226"</f>
        <v>15226</v>
      </c>
    </row>
    <row r="14525" spans="1:16" x14ac:dyDescent="0.25">
      <c r="A14525" t="str">
        <f>"1200036N00133    00"</f>
        <v>1200036N00133    00</v>
      </c>
      <c r="B14525" t="s">
        <v>31845</v>
      </c>
      <c r="C14525" t="s">
        <v>31846</v>
      </c>
      <c r="D14525" t="s">
        <v>20</v>
      </c>
      <c r="E14525" t="s">
        <v>39</v>
      </c>
      <c r="F14525">
        <v>0</v>
      </c>
      <c r="G14525">
        <v>0</v>
      </c>
      <c r="H14525">
        <v>4</v>
      </c>
      <c r="I14525" s="3">
        <v>8028.93</v>
      </c>
      <c r="J14525" s="3">
        <v>969.2</v>
      </c>
      <c r="K14525" t="s">
        <v>31847</v>
      </c>
      <c r="L14525">
        <v>1915</v>
      </c>
      <c r="M14525" t="s">
        <v>31848</v>
      </c>
      <c r="N14525" t="s">
        <v>30</v>
      </c>
      <c r="O14525" t="s">
        <v>31</v>
      </c>
      <c r="P14525" t="str">
        <f>"15214"</f>
        <v>15214</v>
      </c>
    </row>
    <row r="14526" spans="1:16" x14ac:dyDescent="0.25">
      <c r="A14526" t="str">
        <f>"1200036N00265    00"</f>
        <v>1200036N00265    00</v>
      </c>
      <c r="B14526" t="s">
        <v>31849</v>
      </c>
      <c r="C14526" t="s">
        <v>31850</v>
      </c>
      <c r="E14526" t="s">
        <v>39</v>
      </c>
      <c r="F14526">
        <v>0</v>
      </c>
      <c r="G14526">
        <v>0</v>
      </c>
      <c r="H14526">
        <v>1</v>
      </c>
      <c r="I14526" s="3">
        <v>733.24</v>
      </c>
      <c r="J14526" s="3">
        <v>0</v>
      </c>
      <c r="L14526">
        <v>2561</v>
      </c>
      <c r="M14526" t="s">
        <v>23170</v>
      </c>
      <c r="N14526" t="s">
        <v>30</v>
      </c>
      <c r="O14526" t="s">
        <v>31</v>
      </c>
      <c r="P14526" t="str">
        <f>"15220"</f>
        <v>15220</v>
      </c>
    </row>
    <row r="14527" spans="1:16" x14ac:dyDescent="0.25">
      <c r="A14527" t="str">
        <f>"1200036P00074    00"</f>
        <v>1200036P00074    00</v>
      </c>
      <c r="B14527" t="s">
        <v>31851</v>
      </c>
      <c r="C14527" t="s">
        <v>31852</v>
      </c>
      <c r="E14527" t="s">
        <v>39</v>
      </c>
      <c r="F14527">
        <v>0</v>
      </c>
      <c r="G14527">
        <v>0</v>
      </c>
      <c r="H14527">
        <v>1</v>
      </c>
      <c r="I14527" s="3">
        <v>36.22</v>
      </c>
      <c r="J14527" s="3">
        <v>0</v>
      </c>
      <c r="L14527">
        <v>2244</v>
      </c>
      <c r="M14527" t="s">
        <v>31824</v>
      </c>
      <c r="N14527" t="s">
        <v>30</v>
      </c>
      <c r="O14527" t="s">
        <v>31</v>
      </c>
      <c r="P14527" t="str">
        <f>"15216"</f>
        <v>15216</v>
      </c>
    </row>
    <row r="14528" spans="1:16" x14ac:dyDescent="0.25">
      <c r="A14528" t="str">
        <f>"1200036P00085    00"</f>
        <v>1200036P00085    00</v>
      </c>
      <c r="B14528" t="s">
        <v>31853</v>
      </c>
      <c r="C14528" t="s">
        <v>31854</v>
      </c>
      <c r="D14528" t="s">
        <v>20</v>
      </c>
      <c r="E14528" t="s">
        <v>39</v>
      </c>
      <c r="F14528">
        <v>0</v>
      </c>
      <c r="G14528">
        <v>0</v>
      </c>
      <c r="H14528">
        <v>3</v>
      </c>
      <c r="I14528" s="3">
        <v>120.12</v>
      </c>
      <c r="J14528" s="3">
        <v>8.02</v>
      </c>
      <c r="L14528">
        <v>2262</v>
      </c>
      <c r="M14528" t="s">
        <v>31824</v>
      </c>
      <c r="N14528" t="s">
        <v>30</v>
      </c>
      <c r="O14528" t="s">
        <v>31</v>
      </c>
      <c r="P14528" t="str">
        <f>"15216"</f>
        <v>15216</v>
      </c>
    </row>
    <row r="14529" spans="1:16" x14ac:dyDescent="0.25">
      <c r="A14529" t="str">
        <f>"1200036P00095    00"</f>
        <v>1200036P00095    00</v>
      </c>
      <c r="B14529" t="s">
        <v>31855</v>
      </c>
      <c r="C14529" t="s">
        <v>31856</v>
      </c>
      <c r="E14529" t="s">
        <v>39</v>
      </c>
      <c r="F14529">
        <v>0</v>
      </c>
      <c r="G14529">
        <v>0</v>
      </c>
      <c r="H14529">
        <v>1</v>
      </c>
      <c r="I14529" s="3">
        <v>192.3</v>
      </c>
      <c r="J14529" s="3">
        <v>38.450000000000003</v>
      </c>
      <c r="K14529" t="s">
        <v>31857</v>
      </c>
      <c r="L14529">
        <v>24</v>
      </c>
      <c r="M14529" t="s">
        <v>31858</v>
      </c>
      <c r="N14529" t="s">
        <v>31859</v>
      </c>
      <c r="O14529" t="s">
        <v>5057</v>
      </c>
      <c r="P14529" t="str">
        <f>"04106"</f>
        <v>04106</v>
      </c>
    </row>
    <row r="14530" spans="1:16" x14ac:dyDescent="0.25">
      <c r="A14530" t="str">
        <f>"1200036P00250    00"</f>
        <v>1200036P00250    00</v>
      </c>
      <c r="B14530" t="s">
        <v>31860</v>
      </c>
      <c r="C14530" t="s">
        <v>31861</v>
      </c>
      <c r="E14530" t="s">
        <v>39</v>
      </c>
      <c r="F14530">
        <v>0</v>
      </c>
      <c r="G14530">
        <v>0</v>
      </c>
      <c r="H14530">
        <v>1</v>
      </c>
      <c r="I14530" s="3">
        <v>1020.43</v>
      </c>
      <c r="J14530" s="3">
        <v>0</v>
      </c>
      <c r="L14530">
        <v>2321</v>
      </c>
      <c r="M14530" t="s">
        <v>31824</v>
      </c>
      <c r="N14530" t="s">
        <v>30</v>
      </c>
      <c r="O14530" t="s">
        <v>31</v>
      </c>
      <c r="P14530" t="str">
        <f>"15216"</f>
        <v>15216</v>
      </c>
    </row>
    <row r="14531" spans="1:16" x14ac:dyDescent="0.25">
      <c r="A14531" t="str">
        <f>"1200036P00324    00"</f>
        <v>1200036P00324    00</v>
      </c>
      <c r="B14531" t="s">
        <v>31862</v>
      </c>
      <c r="C14531" t="s">
        <v>31863</v>
      </c>
      <c r="D14531" t="s">
        <v>20</v>
      </c>
      <c r="E14531" t="s">
        <v>39</v>
      </c>
      <c r="F14531">
        <v>0</v>
      </c>
      <c r="G14531">
        <v>0</v>
      </c>
      <c r="H14531">
        <v>4</v>
      </c>
      <c r="I14531" s="3">
        <v>6693.58</v>
      </c>
      <c r="J14531" s="3">
        <v>761.45</v>
      </c>
      <c r="L14531">
        <v>140</v>
      </c>
      <c r="M14531" t="s">
        <v>28530</v>
      </c>
      <c r="N14531" t="s">
        <v>30</v>
      </c>
      <c r="O14531" t="s">
        <v>31</v>
      </c>
      <c r="P14531" t="str">
        <f>"15220"</f>
        <v>15220</v>
      </c>
    </row>
    <row r="14532" spans="1:16" x14ac:dyDescent="0.25">
      <c r="A14532" t="str">
        <f>"1200036P00384    00"</f>
        <v>1200036P00384    00</v>
      </c>
      <c r="B14532" t="s">
        <v>31864</v>
      </c>
      <c r="C14532" t="s">
        <v>31865</v>
      </c>
      <c r="E14532" t="s">
        <v>39</v>
      </c>
      <c r="F14532">
        <v>0</v>
      </c>
      <c r="G14532">
        <v>0</v>
      </c>
      <c r="H14532">
        <v>1</v>
      </c>
      <c r="I14532" s="3">
        <v>1900.3</v>
      </c>
      <c r="J14532" s="3">
        <v>0</v>
      </c>
      <c r="K14532" t="s">
        <v>22826</v>
      </c>
      <c r="L14532">
        <v>1400</v>
      </c>
      <c r="M14532" t="s">
        <v>22827</v>
      </c>
      <c r="N14532" t="s">
        <v>3681</v>
      </c>
      <c r="O14532" t="s">
        <v>4784</v>
      </c>
      <c r="P14532" t="str">
        <f>"65203"</f>
        <v>65203</v>
      </c>
    </row>
    <row r="14533" spans="1:16" x14ac:dyDescent="0.25">
      <c r="A14533" t="str">
        <f>"1200036R00015    00"</f>
        <v>1200036R00015    00</v>
      </c>
      <c r="B14533" t="s">
        <v>31866</v>
      </c>
      <c r="C14533" t="s">
        <v>31867</v>
      </c>
      <c r="E14533" t="s">
        <v>39</v>
      </c>
      <c r="F14533">
        <v>0</v>
      </c>
      <c r="G14533">
        <v>0</v>
      </c>
      <c r="H14533">
        <v>1</v>
      </c>
      <c r="I14533" s="3">
        <v>252.4</v>
      </c>
      <c r="J14533" s="3">
        <v>250.29</v>
      </c>
      <c r="L14533">
        <v>2639</v>
      </c>
      <c r="M14533" t="s">
        <v>28545</v>
      </c>
      <c r="N14533" t="s">
        <v>30</v>
      </c>
      <c r="O14533" t="s">
        <v>31</v>
      </c>
      <c r="P14533" t="str">
        <f>"15216"</f>
        <v>15216</v>
      </c>
    </row>
    <row r="14534" spans="1:16" x14ac:dyDescent="0.25">
      <c r="A14534" t="str">
        <f>"1200036R00136    00"</f>
        <v>1200036R00136    00</v>
      </c>
      <c r="B14534" t="s">
        <v>31868</v>
      </c>
      <c r="C14534" t="s">
        <v>31869</v>
      </c>
      <c r="D14534" t="s">
        <v>20</v>
      </c>
      <c r="E14534" t="s">
        <v>39</v>
      </c>
      <c r="F14534">
        <v>0</v>
      </c>
      <c r="G14534">
        <v>0</v>
      </c>
      <c r="H14534">
        <v>19</v>
      </c>
      <c r="I14534" s="3">
        <v>6496.51</v>
      </c>
      <c r="J14534" s="3">
        <v>5504.61</v>
      </c>
      <c r="L14534">
        <v>2703</v>
      </c>
      <c r="M14534" t="s">
        <v>28859</v>
      </c>
      <c r="N14534" t="s">
        <v>30</v>
      </c>
      <c r="O14534" t="s">
        <v>31</v>
      </c>
      <c r="P14534" t="str">
        <f>"15216"</f>
        <v>15216</v>
      </c>
    </row>
    <row r="14535" spans="1:16" x14ac:dyDescent="0.25">
      <c r="A14535" t="str">
        <f>"1200036R00188    00"</f>
        <v>1200036R00188    00</v>
      </c>
      <c r="B14535" t="s">
        <v>31870</v>
      </c>
      <c r="C14535" t="s">
        <v>31871</v>
      </c>
      <c r="D14535" t="s">
        <v>20</v>
      </c>
      <c r="E14535" t="s">
        <v>21</v>
      </c>
      <c r="F14535">
        <v>0</v>
      </c>
      <c r="G14535">
        <v>0</v>
      </c>
      <c r="H14535">
        <v>1</v>
      </c>
      <c r="I14535" s="3">
        <v>1919.35</v>
      </c>
      <c r="J14535" s="3">
        <v>0</v>
      </c>
      <c r="L14535">
        <v>850</v>
      </c>
      <c r="M14535" t="s">
        <v>31872</v>
      </c>
      <c r="N14535" t="s">
        <v>1067</v>
      </c>
      <c r="O14535" t="s">
        <v>31</v>
      </c>
      <c r="P14535" t="str">
        <f>"15143"</f>
        <v>15143</v>
      </c>
    </row>
    <row r="14536" spans="1:16" x14ac:dyDescent="0.25">
      <c r="A14536" t="str">
        <f>"1200036R00284    00"</f>
        <v>1200036R00284    00</v>
      </c>
      <c r="B14536" t="s">
        <v>31873</v>
      </c>
      <c r="C14536" t="s">
        <v>31874</v>
      </c>
      <c r="E14536" t="s">
        <v>39</v>
      </c>
      <c r="F14536">
        <v>0</v>
      </c>
      <c r="G14536">
        <v>0</v>
      </c>
      <c r="H14536">
        <v>1</v>
      </c>
      <c r="I14536" s="3">
        <v>435.23</v>
      </c>
      <c r="J14536" s="3">
        <v>97.92</v>
      </c>
      <c r="K14536" t="s">
        <v>31875</v>
      </c>
      <c r="L14536">
        <v>1500</v>
      </c>
      <c r="M14536" t="s">
        <v>31876</v>
      </c>
      <c r="N14536" t="s">
        <v>30</v>
      </c>
      <c r="O14536" t="s">
        <v>31</v>
      </c>
      <c r="P14536" t="str">
        <f>"15243"</f>
        <v>15243</v>
      </c>
    </row>
    <row r="14537" spans="1:16" x14ac:dyDescent="0.25">
      <c r="A14537" t="str">
        <f>"1200036S00060    00"</f>
        <v>1200036S00060    00</v>
      </c>
      <c r="B14537" t="s">
        <v>28543</v>
      </c>
      <c r="C14537" t="s">
        <v>31877</v>
      </c>
      <c r="D14537" t="s">
        <v>20</v>
      </c>
      <c r="E14537" t="s">
        <v>39</v>
      </c>
      <c r="F14537">
        <v>0</v>
      </c>
      <c r="G14537">
        <v>0</v>
      </c>
      <c r="H14537">
        <v>1</v>
      </c>
      <c r="I14537" s="3">
        <v>1902.66</v>
      </c>
      <c r="J14537" s="3">
        <v>0</v>
      </c>
      <c r="L14537">
        <v>2639</v>
      </c>
      <c r="M14537" t="s">
        <v>28545</v>
      </c>
      <c r="N14537" t="s">
        <v>30</v>
      </c>
      <c r="O14537" t="s">
        <v>31</v>
      </c>
      <c r="P14537" t="str">
        <f>"15216"</f>
        <v>15216</v>
      </c>
    </row>
    <row r="14538" spans="1:16" x14ac:dyDescent="0.25">
      <c r="A14538" t="str">
        <f>"1200036S00088    00"</f>
        <v>1200036S00088    00</v>
      </c>
      <c r="B14538" t="s">
        <v>31878</v>
      </c>
      <c r="C14538" t="s">
        <v>31879</v>
      </c>
      <c r="D14538" t="s">
        <v>20</v>
      </c>
      <c r="E14538" t="s">
        <v>39</v>
      </c>
      <c r="F14538">
        <v>0</v>
      </c>
      <c r="G14538">
        <v>0</v>
      </c>
      <c r="H14538">
        <v>2</v>
      </c>
      <c r="I14538" s="3">
        <v>1038.1300000000001</v>
      </c>
      <c r="J14538" s="3">
        <v>0</v>
      </c>
      <c r="L14538">
        <v>2535</v>
      </c>
      <c r="M14538" t="s">
        <v>28913</v>
      </c>
      <c r="N14538" t="s">
        <v>30</v>
      </c>
      <c r="O14538" t="s">
        <v>31</v>
      </c>
      <c r="P14538" t="str">
        <f>"15216"</f>
        <v>15216</v>
      </c>
    </row>
    <row r="14539" spans="1:16" x14ac:dyDescent="0.25">
      <c r="A14539" t="str">
        <f>"1200036S00091    00"</f>
        <v>1200036S00091    00</v>
      </c>
      <c r="B14539" t="s">
        <v>31880</v>
      </c>
      <c r="C14539" t="s">
        <v>31881</v>
      </c>
      <c r="D14539" t="s">
        <v>20</v>
      </c>
      <c r="E14539" t="s">
        <v>39</v>
      </c>
      <c r="F14539">
        <v>0</v>
      </c>
      <c r="G14539">
        <v>0</v>
      </c>
      <c r="H14539">
        <v>17</v>
      </c>
      <c r="I14539" s="3">
        <v>17569.68</v>
      </c>
      <c r="J14539" s="3">
        <v>15670.16</v>
      </c>
      <c r="L14539">
        <v>2529</v>
      </c>
      <c r="M14539" t="s">
        <v>28913</v>
      </c>
      <c r="N14539" t="s">
        <v>30</v>
      </c>
      <c r="O14539" t="s">
        <v>31</v>
      </c>
      <c r="P14539" t="str">
        <f>"15216"</f>
        <v>15216</v>
      </c>
    </row>
    <row r="14540" spans="1:16" x14ac:dyDescent="0.25">
      <c r="A14540" t="str">
        <f>"1200036S00115    00"</f>
        <v>1200036S00115    00</v>
      </c>
      <c r="B14540" t="s">
        <v>31882</v>
      </c>
      <c r="C14540" t="s">
        <v>31883</v>
      </c>
      <c r="D14540" t="s">
        <v>20</v>
      </c>
      <c r="E14540" t="s">
        <v>39</v>
      </c>
      <c r="F14540">
        <v>0</v>
      </c>
      <c r="G14540">
        <v>0</v>
      </c>
      <c r="H14540">
        <v>16</v>
      </c>
      <c r="I14540" s="3">
        <v>11455.01</v>
      </c>
      <c r="J14540" s="3">
        <v>8517.9500000000007</v>
      </c>
      <c r="K14540" t="s">
        <v>31884</v>
      </c>
      <c r="L14540">
        <v>2639</v>
      </c>
      <c r="M14540" t="s">
        <v>28545</v>
      </c>
      <c r="N14540" t="s">
        <v>30</v>
      </c>
      <c r="O14540" t="s">
        <v>31</v>
      </c>
      <c r="P14540" t="str">
        <f>"15216"</f>
        <v>15216</v>
      </c>
    </row>
    <row r="14541" spans="1:16" x14ac:dyDescent="0.25">
      <c r="A14541" t="str">
        <f>"1200036S00170    00"</f>
        <v>1200036S00170    00</v>
      </c>
      <c r="B14541" t="s">
        <v>29094</v>
      </c>
      <c r="C14541" t="s">
        <v>31885</v>
      </c>
      <c r="D14541" t="s">
        <v>20</v>
      </c>
      <c r="E14541" t="s">
        <v>39</v>
      </c>
      <c r="F14541">
        <v>0</v>
      </c>
      <c r="G14541">
        <v>0</v>
      </c>
      <c r="H14541">
        <v>5</v>
      </c>
      <c r="I14541" s="3">
        <v>3964.27</v>
      </c>
      <c r="J14541" s="3">
        <v>830.9</v>
      </c>
      <c r="L14541">
        <v>2535</v>
      </c>
      <c r="M14541" t="s">
        <v>28913</v>
      </c>
      <c r="N14541" t="s">
        <v>30</v>
      </c>
      <c r="O14541" t="s">
        <v>31</v>
      </c>
      <c r="P14541" t="str">
        <f>"15216"</f>
        <v>15216</v>
      </c>
    </row>
    <row r="14542" spans="1:16" x14ac:dyDescent="0.25">
      <c r="A14542" t="str">
        <f>"1200036S00176    00"</f>
        <v>1200036S00176    00</v>
      </c>
      <c r="B14542" t="s">
        <v>31886</v>
      </c>
      <c r="C14542" t="s">
        <v>31887</v>
      </c>
      <c r="D14542" t="s">
        <v>20</v>
      </c>
      <c r="E14542" t="s">
        <v>39</v>
      </c>
      <c r="F14542">
        <v>0</v>
      </c>
      <c r="G14542">
        <v>0</v>
      </c>
      <c r="H14542">
        <v>2</v>
      </c>
      <c r="I14542" s="3">
        <v>2722.78</v>
      </c>
      <c r="J14542" s="3">
        <v>0</v>
      </c>
      <c r="K14542" t="s">
        <v>417</v>
      </c>
      <c r="L14542">
        <v>3001</v>
      </c>
      <c r="M14542" t="s">
        <v>330</v>
      </c>
      <c r="N14542" t="s">
        <v>331</v>
      </c>
      <c r="O14542" t="s">
        <v>108</v>
      </c>
      <c r="P14542" t="str">
        <f>"75063"</f>
        <v>75063</v>
      </c>
    </row>
    <row r="14543" spans="1:16" x14ac:dyDescent="0.25">
      <c r="A14543" t="str">
        <f>"1200036S00250    00"</f>
        <v>1200036S00250    00</v>
      </c>
      <c r="B14543" t="s">
        <v>8294</v>
      </c>
      <c r="C14543" t="s">
        <v>31888</v>
      </c>
      <c r="D14543" t="s">
        <v>20</v>
      </c>
      <c r="E14543" t="s">
        <v>39</v>
      </c>
      <c r="F14543">
        <v>0</v>
      </c>
      <c r="G14543">
        <v>0</v>
      </c>
      <c r="H14543">
        <v>3</v>
      </c>
      <c r="I14543" s="3">
        <v>2311.58</v>
      </c>
      <c r="J14543" s="3">
        <v>137.25</v>
      </c>
      <c r="L14543">
        <v>303</v>
      </c>
      <c r="M14543" t="s">
        <v>8296</v>
      </c>
      <c r="N14543" t="s">
        <v>30</v>
      </c>
      <c r="O14543" t="s">
        <v>31</v>
      </c>
      <c r="P14543" t="str">
        <f>"15211"</f>
        <v>15211</v>
      </c>
    </row>
    <row r="14544" spans="1:16" x14ac:dyDescent="0.25">
      <c r="A14544" t="str">
        <f>"1200036S00282    00"</f>
        <v>1200036S00282    00</v>
      </c>
      <c r="B14544" t="s">
        <v>31889</v>
      </c>
      <c r="C14544" t="s">
        <v>29568</v>
      </c>
      <c r="D14544" t="s">
        <v>20</v>
      </c>
      <c r="E14544" t="s">
        <v>39</v>
      </c>
      <c r="F14544">
        <v>0</v>
      </c>
      <c r="G14544">
        <v>0</v>
      </c>
      <c r="H14544">
        <v>19</v>
      </c>
      <c r="I14544" s="3">
        <v>7871.88</v>
      </c>
      <c r="J14544" s="3">
        <v>8765.24</v>
      </c>
      <c r="L14544">
        <v>740</v>
      </c>
      <c r="M14544" t="s">
        <v>29570</v>
      </c>
      <c r="N14544" t="s">
        <v>30</v>
      </c>
      <c r="O14544" t="s">
        <v>31</v>
      </c>
      <c r="P14544" t="str">
        <f>"15216"</f>
        <v>15216</v>
      </c>
    </row>
    <row r="14545" spans="1:16" x14ac:dyDescent="0.25">
      <c r="A14545" t="str">
        <f>"1200036S00299    00"</f>
        <v>1200036S00299    00</v>
      </c>
      <c r="B14545" t="s">
        <v>31890</v>
      </c>
      <c r="C14545" t="s">
        <v>29568</v>
      </c>
      <c r="E14545" t="s">
        <v>39</v>
      </c>
      <c r="F14545">
        <v>0</v>
      </c>
      <c r="G14545">
        <v>0</v>
      </c>
      <c r="H14545">
        <v>10</v>
      </c>
      <c r="I14545" s="3">
        <v>3445.54</v>
      </c>
      <c r="J14545" s="3">
        <v>3055.57</v>
      </c>
      <c r="L14545">
        <v>736</v>
      </c>
      <c r="M14545" t="s">
        <v>29570</v>
      </c>
      <c r="N14545" t="s">
        <v>30</v>
      </c>
      <c r="O14545" t="s">
        <v>31</v>
      </c>
      <c r="P14545" t="str">
        <f>"15216"</f>
        <v>15216</v>
      </c>
    </row>
    <row r="14546" spans="1:16" x14ac:dyDescent="0.25">
      <c r="A14546" t="str">
        <f>"1200036S00302    00"</f>
        <v>1200036S00302    00</v>
      </c>
      <c r="B14546" t="s">
        <v>31890</v>
      </c>
      <c r="C14546" t="s">
        <v>31891</v>
      </c>
      <c r="E14546" t="s">
        <v>39</v>
      </c>
      <c r="F14546">
        <v>0</v>
      </c>
      <c r="G14546">
        <v>0</v>
      </c>
      <c r="H14546">
        <v>3</v>
      </c>
      <c r="I14546" s="3">
        <v>4664.3100000000004</v>
      </c>
      <c r="J14546" s="3">
        <v>1669.24</v>
      </c>
      <c r="L14546">
        <v>736</v>
      </c>
      <c r="M14546" t="s">
        <v>29570</v>
      </c>
      <c r="N14546" t="s">
        <v>30</v>
      </c>
      <c r="O14546" t="s">
        <v>31</v>
      </c>
      <c r="P14546" t="str">
        <f>"15216"</f>
        <v>15216</v>
      </c>
    </row>
    <row r="14547" spans="1:16" x14ac:dyDescent="0.25">
      <c r="A14547" t="str">
        <f>"1200036S00303    00"</f>
        <v>1200036S00303    00</v>
      </c>
      <c r="B14547" t="s">
        <v>31892</v>
      </c>
      <c r="C14547" t="s">
        <v>31893</v>
      </c>
      <c r="E14547" t="s">
        <v>39</v>
      </c>
      <c r="F14547">
        <v>0</v>
      </c>
      <c r="G14547">
        <v>0</v>
      </c>
      <c r="H14547">
        <v>1</v>
      </c>
      <c r="I14547" s="3">
        <v>261.02</v>
      </c>
      <c r="J14547" s="3">
        <v>52.2</v>
      </c>
      <c r="K14547" t="s">
        <v>881</v>
      </c>
      <c r="L14547">
        <v>3001</v>
      </c>
      <c r="M14547" t="s">
        <v>330</v>
      </c>
      <c r="N14547" t="s">
        <v>331</v>
      </c>
      <c r="O14547" t="s">
        <v>108</v>
      </c>
      <c r="P14547" t="str">
        <f>"75063"</f>
        <v>75063</v>
      </c>
    </row>
    <row r="14548" spans="1:16" x14ac:dyDescent="0.25">
      <c r="A14548" t="str">
        <f>"1200041A00008    00"</f>
        <v>1200041A00008    00</v>
      </c>
      <c r="B14548" t="s">
        <v>31894</v>
      </c>
      <c r="C14548" t="s">
        <v>31895</v>
      </c>
      <c r="D14548" t="s">
        <v>20</v>
      </c>
      <c r="E14548" t="s">
        <v>39</v>
      </c>
      <c r="F14548">
        <v>0</v>
      </c>
      <c r="G14548">
        <v>0</v>
      </c>
      <c r="H14548">
        <v>2</v>
      </c>
      <c r="I14548" s="3">
        <v>2134.7600000000002</v>
      </c>
      <c r="J14548" s="3">
        <v>0</v>
      </c>
      <c r="L14548">
        <v>421</v>
      </c>
      <c r="M14548" t="s">
        <v>31896</v>
      </c>
      <c r="N14548" t="s">
        <v>30</v>
      </c>
      <c r="O14548" t="s">
        <v>31</v>
      </c>
      <c r="P14548" t="str">
        <f>"15236"</f>
        <v>15236</v>
      </c>
    </row>
    <row r="14549" spans="1:16" x14ac:dyDescent="0.25">
      <c r="A14549" t="str">
        <f>"1200041A00023    00"</f>
        <v>1200041A00023    00</v>
      </c>
      <c r="B14549" t="s">
        <v>31897</v>
      </c>
      <c r="C14549" t="s">
        <v>31898</v>
      </c>
      <c r="D14549" t="s">
        <v>20</v>
      </c>
      <c r="E14549" t="s">
        <v>39</v>
      </c>
      <c r="F14549">
        <v>0</v>
      </c>
      <c r="G14549">
        <v>0</v>
      </c>
      <c r="H14549">
        <v>5</v>
      </c>
      <c r="I14549" s="3">
        <v>4333.3</v>
      </c>
      <c r="J14549" s="3">
        <v>748.64</v>
      </c>
      <c r="L14549">
        <v>1321</v>
      </c>
      <c r="M14549" t="s">
        <v>31899</v>
      </c>
      <c r="N14549" t="s">
        <v>30</v>
      </c>
      <c r="O14549" t="s">
        <v>31</v>
      </c>
      <c r="P14549" t="str">
        <f>"15204"</f>
        <v>15204</v>
      </c>
    </row>
    <row r="14550" spans="1:16" x14ac:dyDescent="0.25">
      <c r="A14550" t="str">
        <f>"1200041A00029    00"</f>
        <v>1200041A00029    00</v>
      </c>
      <c r="B14550" t="s">
        <v>31900</v>
      </c>
      <c r="C14550" t="s">
        <v>31901</v>
      </c>
      <c r="D14550" t="s">
        <v>20</v>
      </c>
      <c r="E14550" t="s">
        <v>39</v>
      </c>
      <c r="F14550">
        <v>0</v>
      </c>
      <c r="G14550">
        <v>0</v>
      </c>
      <c r="H14550">
        <v>1</v>
      </c>
      <c r="I14550" s="3">
        <v>475.05</v>
      </c>
      <c r="J14550" s="3">
        <v>0</v>
      </c>
      <c r="L14550">
        <v>1342</v>
      </c>
      <c r="M14550" t="s">
        <v>31899</v>
      </c>
      <c r="N14550" t="s">
        <v>30</v>
      </c>
      <c r="O14550" t="s">
        <v>31</v>
      </c>
      <c r="P14550" t="str">
        <f>"15204"</f>
        <v>15204</v>
      </c>
    </row>
    <row r="14551" spans="1:16" x14ac:dyDescent="0.25">
      <c r="A14551" t="str">
        <f>"1200041A00045    00"</f>
        <v>1200041A00045    00</v>
      </c>
      <c r="B14551" t="s">
        <v>31902</v>
      </c>
      <c r="C14551" t="s">
        <v>31903</v>
      </c>
      <c r="D14551" t="s">
        <v>20</v>
      </c>
      <c r="E14551" t="s">
        <v>39</v>
      </c>
      <c r="F14551">
        <v>0</v>
      </c>
      <c r="G14551">
        <v>0</v>
      </c>
      <c r="H14551">
        <v>5</v>
      </c>
      <c r="I14551" s="3">
        <v>2746.84</v>
      </c>
      <c r="J14551" s="3">
        <v>504.57</v>
      </c>
      <c r="L14551">
        <v>1321</v>
      </c>
      <c r="M14551" t="s">
        <v>31899</v>
      </c>
      <c r="N14551" t="s">
        <v>30</v>
      </c>
      <c r="O14551" t="s">
        <v>31</v>
      </c>
      <c r="P14551" t="str">
        <f>"15204"</f>
        <v>15204</v>
      </c>
    </row>
    <row r="14552" spans="1:16" x14ac:dyDescent="0.25">
      <c r="A14552" t="str">
        <f>"1200041A00059    00"</f>
        <v>1200041A00059    00</v>
      </c>
      <c r="B14552" t="s">
        <v>31904</v>
      </c>
      <c r="C14552" t="s">
        <v>31905</v>
      </c>
      <c r="D14552" t="s">
        <v>20</v>
      </c>
      <c r="E14552" t="s">
        <v>39</v>
      </c>
      <c r="F14552">
        <v>0</v>
      </c>
      <c r="G14552">
        <v>0</v>
      </c>
      <c r="H14552">
        <v>6</v>
      </c>
      <c r="I14552" s="3">
        <v>5899.45</v>
      </c>
      <c r="J14552" s="3">
        <v>1136.8499999999999</v>
      </c>
      <c r="L14552">
        <v>106</v>
      </c>
      <c r="M14552" t="s">
        <v>31906</v>
      </c>
      <c r="N14552" t="s">
        <v>30</v>
      </c>
      <c r="O14552" t="s">
        <v>31</v>
      </c>
      <c r="P14552" t="str">
        <f>"15205"</f>
        <v>15205</v>
      </c>
    </row>
    <row r="14553" spans="1:16" x14ac:dyDescent="0.25">
      <c r="A14553" t="str">
        <f>"1200041A00079    00"</f>
        <v>1200041A00079    00</v>
      </c>
      <c r="B14553" t="s">
        <v>31907</v>
      </c>
      <c r="C14553" t="s">
        <v>31908</v>
      </c>
      <c r="D14553" t="s">
        <v>20</v>
      </c>
      <c r="E14553" t="s">
        <v>39</v>
      </c>
      <c r="F14553">
        <v>0</v>
      </c>
      <c r="G14553">
        <v>0</v>
      </c>
      <c r="H14553">
        <v>19</v>
      </c>
      <c r="I14553" s="3">
        <v>3818</v>
      </c>
      <c r="J14553" s="3">
        <v>3351.78</v>
      </c>
      <c r="L14553">
        <v>3119</v>
      </c>
      <c r="M14553" t="s">
        <v>31909</v>
      </c>
      <c r="N14553" t="s">
        <v>30</v>
      </c>
      <c r="O14553" t="s">
        <v>31</v>
      </c>
      <c r="P14553" t="str">
        <f>"15204"</f>
        <v>15204</v>
      </c>
    </row>
    <row r="14554" spans="1:16" x14ac:dyDescent="0.25">
      <c r="A14554" t="str">
        <f>"1200041A00082    00"</f>
        <v>1200041A00082    00</v>
      </c>
      <c r="B14554" t="s">
        <v>31910</v>
      </c>
      <c r="C14554" t="s">
        <v>31908</v>
      </c>
      <c r="D14554" t="s">
        <v>20</v>
      </c>
      <c r="E14554" t="s">
        <v>39</v>
      </c>
      <c r="F14554">
        <v>0</v>
      </c>
      <c r="G14554">
        <v>0</v>
      </c>
      <c r="H14554">
        <v>19</v>
      </c>
      <c r="I14554" s="3">
        <v>3349.55</v>
      </c>
      <c r="J14554" s="3">
        <v>1987.53</v>
      </c>
      <c r="L14554">
        <v>3121</v>
      </c>
      <c r="M14554" t="s">
        <v>31909</v>
      </c>
      <c r="N14554" t="s">
        <v>30</v>
      </c>
      <c r="O14554" t="s">
        <v>31</v>
      </c>
      <c r="P14554" t="str">
        <f>"15204"</f>
        <v>15204</v>
      </c>
    </row>
    <row r="14555" spans="1:16" x14ac:dyDescent="0.25">
      <c r="A14555" t="str">
        <f>"1200041A00085    00"</f>
        <v>1200041A00085    00</v>
      </c>
      <c r="B14555" t="s">
        <v>31910</v>
      </c>
      <c r="C14555" t="s">
        <v>31908</v>
      </c>
      <c r="D14555" t="s">
        <v>20</v>
      </c>
      <c r="E14555" t="s">
        <v>39</v>
      </c>
      <c r="F14555">
        <v>0</v>
      </c>
      <c r="G14555">
        <v>0</v>
      </c>
      <c r="H14555">
        <v>19</v>
      </c>
      <c r="I14555" s="3">
        <v>2470.5300000000002</v>
      </c>
      <c r="J14555" s="3">
        <v>2472.5300000000002</v>
      </c>
      <c r="L14555">
        <v>3121</v>
      </c>
      <c r="M14555" t="s">
        <v>31909</v>
      </c>
      <c r="N14555" t="s">
        <v>30</v>
      </c>
      <c r="O14555" t="s">
        <v>31</v>
      </c>
      <c r="P14555" t="str">
        <f>"15204"</f>
        <v>15204</v>
      </c>
    </row>
    <row r="14556" spans="1:16" x14ac:dyDescent="0.25">
      <c r="A14556" t="str">
        <f>"1200041A00087    00"</f>
        <v>1200041A00087    00</v>
      </c>
      <c r="B14556" t="s">
        <v>31910</v>
      </c>
      <c r="C14556" t="s">
        <v>31908</v>
      </c>
      <c r="D14556" t="s">
        <v>20</v>
      </c>
      <c r="E14556" t="s">
        <v>39</v>
      </c>
      <c r="F14556">
        <v>0</v>
      </c>
      <c r="G14556">
        <v>0</v>
      </c>
      <c r="H14556">
        <v>19</v>
      </c>
      <c r="I14556" s="3">
        <v>2781.44</v>
      </c>
      <c r="J14556" s="3">
        <v>2658.74</v>
      </c>
      <c r="K14556" t="s">
        <v>1008</v>
      </c>
      <c r="P14556" t="str">
        <f>""</f>
        <v/>
      </c>
    </row>
    <row r="14557" spans="1:16" x14ac:dyDescent="0.25">
      <c r="A14557" t="str">
        <f>"1200041A00093    00"</f>
        <v>1200041A00093    00</v>
      </c>
      <c r="B14557" t="s">
        <v>31911</v>
      </c>
      <c r="C14557" t="s">
        <v>31912</v>
      </c>
      <c r="D14557" t="s">
        <v>20</v>
      </c>
      <c r="E14557" t="s">
        <v>39</v>
      </c>
      <c r="F14557">
        <v>0</v>
      </c>
      <c r="G14557">
        <v>0</v>
      </c>
      <c r="H14557">
        <v>2</v>
      </c>
      <c r="I14557" s="3">
        <v>899.52</v>
      </c>
      <c r="J14557" s="3">
        <v>0</v>
      </c>
      <c r="K14557" t="s">
        <v>31913</v>
      </c>
      <c r="L14557">
        <v>1417</v>
      </c>
      <c r="M14557" t="s">
        <v>31914</v>
      </c>
      <c r="N14557" t="s">
        <v>30</v>
      </c>
      <c r="O14557" t="s">
        <v>31</v>
      </c>
      <c r="P14557" t="str">
        <f>"15204"</f>
        <v>15204</v>
      </c>
    </row>
    <row r="14558" spans="1:16" x14ac:dyDescent="0.25">
      <c r="A14558" t="str">
        <f>"1200041A00097    00"</f>
        <v>1200041A00097    00</v>
      </c>
      <c r="B14558" t="s">
        <v>31915</v>
      </c>
      <c r="C14558" t="s">
        <v>31916</v>
      </c>
      <c r="D14558" t="s">
        <v>20</v>
      </c>
      <c r="E14558" t="s">
        <v>39</v>
      </c>
      <c r="F14558">
        <v>0</v>
      </c>
      <c r="G14558">
        <v>0</v>
      </c>
      <c r="H14558">
        <v>19</v>
      </c>
      <c r="I14558" s="3">
        <v>7995.52</v>
      </c>
      <c r="J14558" s="3">
        <v>8759.68</v>
      </c>
      <c r="K14558" t="s">
        <v>31917</v>
      </c>
      <c r="L14558">
        <v>1210</v>
      </c>
      <c r="M14558" t="s">
        <v>31918</v>
      </c>
      <c r="N14558" t="s">
        <v>24071</v>
      </c>
      <c r="O14558" t="s">
        <v>31</v>
      </c>
      <c r="P14558" t="str">
        <f>"15042"</f>
        <v>15042</v>
      </c>
    </row>
    <row r="14559" spans="1:16" x14ac:dyDescent="0.25">
      <c r="A14559" t="str">
        <f>"1200041A00106    00"</f>
        <v>1200041A00106    00</v>
      </c>
      <c r="B14559" t="s">
        <v>31919</v>
      </c>
      <c r="C14559" t="s">
        <v>31920</v>
      </c>
      <c r="D14559" t="s">
        <v>20</v>
      </c>
      <c r="E14559" t="s">
        <v>39</v>
      </c>
      <c r="F14559">
        <v>0</v>
      </c>
      <c r="G14559">
        <v>0</v>
      </c>
      <c r="H14559">
        <v>3</v>
      </c>
      <c r="I14559" s="3">
        <v>1959.11</v>
      </c>
      <c r="J14559" s="3">
        <v>454.62</v>
      </c>
      <c r="L14559">
        <v>3112</v>
      </c>
      <c r="M14559" t="s">
        <v>31921</v>
      </c>
      <c r="N14559" t="s">
        <v>30</v>
      </c>
      <c r="O14559" t="s">
        <v>31</v>
      </c>
      <c r="P14559" t="str">
        <f>"15204"</f>
        <v>15204</v>
      </c>
    </row>
    <row r="14560" spans="1:16" x14ac:dyDescent="0.25">
      <c r="A14560" t="str">
        <f>"1200041A00123    00"</f>
        <v>1200041A00123    00</v>
      </c>
      <c r="B14560" t="s">
        <v>31922</v>
      </c>
      <c r="C14560" t="s">
        <v>31923</v>
      </c>
      <c r="D14560" t="s">
        <v>20</v>
      </c>
      <c r="E14560" t="s">
        <v>39</v>
      </c>
      <c r="F14560">
        <v>0</v>
      </c>
      <c r="G14560">
        <v>0</v>
      </c>
      <c r="H14560">
        <v>8</v>
      </c>
      <c r="I14560" s="3">
        <v>3012.63</v>
      </c>
      <c r="J14560" s="3">
        <v>1319.81</v>
      </c>
      <c r="K14560" t="s">
        <v>31924</v>
      </c>
      <c r="L14560">
        <v>3125</v>
      </c>
      <c r="M14560" t="s">
        <v>31921</v>
      </c>
      <c r="N14560" t="s">
        <v>30</v>
      </c>
      <c r="O14560" t="s">
        <v>31</v>
      </c>
      <c r="P14560" t="str">
        <f>"15204"</f>
        <v>15204</v>
      </c>
    </row>
    <row r="14561" spans="1:16" x14ac:dyDescent="0.25">
      <c r="A14561" t="str">
        <f>"1200041A00174    00"</f>
        <v>1200041A00174    00</v>
      </c>
      <c r="B14561" t="s">
        <v>31925</v>
      </c>
      <c r="C14561" t="s">
        <v>31926</v>
      </c>
      <c r="D14561" t="s">
        <v>20</v>
      </c>
      <c r="E14561" t="s">
        <v>39</v>
      </c>
      <c r="F14561">
        <v>0</v>
      </c>
      <c r="G14561">
        <v>0</v>
      </c>
      <c r="H14561">
        <v>4</v>
      </c>
      <c r="I14561" s="3">
        <v>3592.01</v>
      </c>
      <c r="J14561" s="3">
        <v>424.31</v>
      </c>
      <c r="L14561">
        <v>1403</v>
      </c>
      <c r="M14561" t="s">
        <v>31927</v>
      </c>
      <c r="N14561" t="s">
        <v>30</v>
      </c>
      <c r="O14561" t="s">
        <v>31</v>
      </c>
      <c r="P14561" t="str">
        <f>"15204"</f>
        <v>15204</v>
      </c>
    </row>
    <row r="14562" spans="1:16" x14ac:dyDescent="0.25">
      <c r="A14562" t="str">
        <f>"1200041A00180    00"</f>
        <v>1200041A00180    00</v>
      </c>
      <c r="B14562" t="s">
        <v>31928</v>
      </c>
      <c r="C14562" t="s">
        <v>31929</v>
      </c>
      <c r="E14562" t="s">
        <v>39</v>
      </c>
      <c r="F14562">
        <v>0</v>
      </c>
      <c r="G14562">
        <v>0</v>
      </c>
      <c r="H14562">
        <v>1</v>
      </c>
      <c r="I14562" s="3">
        <v>73.13</v>
      </c>
      <c r="J14562" s="3">
        <v>0</v>
      </c>
      <c r="K14562" t="s">
        <v>408</v>
      </c>
      <c r="M14562" t="s">
        <v>409</v>
      </c>
      <c r="N14562" t="s">
        <v>410</v>
      </c>
      <c r="O14562" t="s">
        <v>31</v>
      </c>
      <c r="P14562" t="str">
        <f>"15701"</f>
        <v>15701</v>
      </c>
    </row>
    <row r="14563" spans="1:16" x14ac:dyDescent="0.25">
      <c r="A14563" t="str">
        <f>"1200041A00181    00"</f>
        <v>1200041A00181    00</v>
      </c>
      <c r="B14563" t="s">
        <v>31930</v>
      </c>
      <c r="C14563" t="s">
        <v>31931</v>
      </c>
      <c r="D14563" t="s">
        <v>20</v>
      </c>
      <c r="E14563" t="s">
        <v>39</v>
      </c>
      <c r="F14563">
        <v>0</v>
      </c>
      <c r="G14563">
        <v>0</v>
      </c>
      <c r="H14563">
        <v>10</v>
      </c>
      <c r="I14563" s="3">
        <v>4743.09</v>
      </c>
      <c r="J14563" s="3">
        <v>1975.33</v>
      </c>
      <c r="K14563" t="s">
        <v>31932</v>
      </c>
      <c r="L14563">
        <v>1327</v>
      </c>
      <c r="M14563" t="s">
        <v>31927</v>
      </c>
      <c r="N14563" t="s">
        <v>30</v>
      </c>
      <c r="O14563" t="s">
        <v>31</v>
      </c>
      <c r="P14563" t="str">
        <f t="shared" ref="P14563:P14571" si="186">"15204"</f>
        <v>15204</v>
      </c>
    </row>
    <row r="14564" spans="1:16" x14ac:dyDescent="0.25">
      <c r="A14564" t="str">
        <f>"1200041A00226    00"</f>
        <v>1200041A00226    00</v>
      </c>
      <c r="B14564" t="s">
        <v>31933</v>
      </c>
      <c r="C14564" t="s">
        <v>31934</v>
      </c>
      <c r="D14564" t="s">
        <v>20</v>
      </c>
      <c r="E14564" t="s">
        <v>39</v>
      </c>
      <c r="F14564">
        <v>0</v>
      </c>
      <c r="G14564">
        <v>0</v>
      </c>
      <c r="H14564">
        <v>4</v>
      </c>
      <c r="I14564" s="3">
        <v>5002.9799999999996</v>
      </c>
      <c r="J14564" s="3">
        <v>103.19</v>
      </c>
      <c r="L14564">
        <v>3061</v>
      </c>
      <c r="M14564" t="s">
        <v>31909</v>
      </c>
      <c r="N14564" t="s">
        <v>30</v>
      </c>
      <c r="O14564" t="s">
        <v>31</v>
      </c>
      <c r="P14564" t="str">
        <f t="shared" si="186"/>
        <v>15204</v>
      </c>
    </row>
    <row r="14565" spans="1:16" x14ac:dyDescent="0.25">
      <c r="A14565" t="str">
        <f>"1200041A00228    00"</f>
        <v>1200041A00228    00</v>
      </c>
      <c r="B14565" t="s">
        <v>31935</v>
      </c>
      <c r="C14565" t="s">
        <v>31936</v>
      </c>
      <c r="D14565" t="s">
        <v>20</v>
      </c>
      <c r="E14565" t="s">
        <v>39</v>
      </c>
      <c r="F14565">
        <v>0</v>
      </c>
      <c r="G14565">
        <v>0</v>
      </c>
      <c r="H14565">
        <v>1</v>
      </c>
      <c r="I14565" s="3">
        <v>390.71</v>
      </c>
      <c r="J14565" s="3">
        <v>0</v>
      </c>
      <c r="L14565">
        <v>3055</v>
      </c>
      <c r="M14565" t="s">
        <v>31909</v>
      </c>
      <c r="N14565" t="s">
        <v>30</v>
      </c>
      <c r="O14565" t="s">
        <v>31</v>
      </c>
      <c r="P14565" t="str">
        <f t="shared" si="186"/>
        <v>15204</v>
      </c>
    </row>
    <row r="14566" spans="1:16" x14ac:dyDescent="0.25">
      <c r="A14566" t="str">
        <f>"1200041A00236    00"</f>
        <v>1200041A00236    00</v>
      </c>
      <c r="B14566" t="s">
        <v>31937</v>
      </c>
      <c r="C14566" t="s">
        <v>31938</v>
      </c>
      <c r="D14566" t="s">
        <v>20</v>
      </c>
      <c r="E14566" t="s">
        <v>39</v>
      </c>
      <c r="F14566">
        <v>0</v>
      </c>
      <c r="G14566">
        <v>0</v>
      </c>
      <c r="H14566">
        <v>2</v>
      </c>
      <c r="I14566" s="3">
        <v>1254.55</v>
      </c>
      <c r="J14566" s="3">
        <v>0.65</v>
      </c>
      <c r="L14566">
        <v>3035</v>
      </c>
      <c r="M14566" t="s">
        <v>31909</v>
      </c>
      <c r="N14566" t="s">
        <v>30</v>
      </c>
      <c r="O14566" t="s">
        <v>31</v>
      </c>
      <c r="P14566" t="str">
        <f t="shared" si="186"/>
        <v>15204</v>
      </c>
    </row>
    <row r="14567" spans="1:16" x14ac:dyDescent="0.25">
      <c r="A14567" t="str">
        <f>"1200041A00260    00"</f>
        <v>1200041A00260    00</v>
      </c>
      <c r="B14567" t="s">
        <v>31939</v>
      </c>
      <c r="C14567" t="s">
        <v>31940</v>
      </c>
      <c r="D14567" t="s">
        <v>20</v>
      </c>
      <c r="E14567" t="s">
        <v>39</v>
      </c>
      <c r="F14567">
        <v>0</v>
      </c>
      <c r="G14567">
        <v>0</v>
      </c>
      <c r="H14567">
        <v>2</v>
      </c>
      <c r="I14567" s="3">
        <v>1640.48</v>
      </c>
      <c r="J14567" s="3">
        <v>93.21</v>
      </c>
      <c r="L14567">
        <v>3016</v>
      </c>
      <c r="M14567" t="s">
        <v>31909</v>
      </c>
      <c r="N14567" t="s">
        <v>30</v>
      </c>
      <c r="O14567" t="s">
        <v>31</v>
      </c>
      <c r="P14567" t="str">
        <f t="shared" si="186"/>
        <v>15204</v>
      </c>
    </row>
    <row r="14568" spans="1:16" x14ac:dyDescent="0.25">
      <c r="A14568" t="str">
        <f>"1200041A00298    00"</f>
        <v>1200041A00298    00</v>
      </c>
      <c r="B14568" t="s">
        <v>31941</v>
      </c>
      <c r="C14568" t="s">
        <v>31942</v>
      </c>
      <c r="D14568" t="s">
        <v>20</v>
      </c>
      <c r="E14568" t="s">
        <v>39</v>
      </c>
      <c r="F14568">
        <v>0</v>
      </c>
      <c r="G14568">
        <v>0</v>
      </c>
      <c r="H14568">
        <v>5</v>
      </c>
      <c r="I14568" s="3">
        <v>5910.15</v>
      </c>
      <c r="J14568" s="3">
        <v>987.55</v>
      </c>
      <c r="L14568">
        <v>1327</v>
      </c>
      <c r="M14568" t="s">
        <v>31943</v>
      </c>
      <c r="N14568" t="s">
        <v>30</v>
      </c>
      <c r="O14568" t="s">
        <v>31</v>
      </c>
      <c r="P14568" t="str">
        <f t="shared" si="186"/>
        <v>15204</v>
      </c>
    </row>
    <row r="14569" spans="1:16" x14ac:dyDescent="0.25">
      <c r="A14569" t="str">
        <f>"1200041A00302    00"</f>
        <v>1200041A00302    00</v>
      </c>
      <c r="B14569" t="s">
        <v>31944</v>
      </c>
      <c r="C14569" t="s">
        <v>31945</v>
      </c>
      <c r="D14569" t="s">
        <v>20</v>
      </c>
      <c r="E14569" t="s">
        <v>39</v>
      </c>
      <c r="F14569">
        <v>0</v>
      </c>
      <c r="G14569">
        <v>0</v>
      </c>
      <c r="H14569">
        <v>1</v>
      </c>
      <c r="I14569" s="3">
        <v>547.59</v>
      </c>
      <c r="J14569" s="3">
        <v>0</v>
      </c>
      <c r="L14569">
        <v>1317</v>
      </c>
      <c r="M14569" t="s">
        <v>31943</v>
      </c>
      <c r="N14569" t="s">
        <v>30</v>
      </c>
      <c r="O14569" t="s">
        <v>31</v>
      </c>
      <c r="P14569" t="str">
        <f t="shared" si="186"/>
        <v>15204</v>
      </c>
    </row>
    <row r="14570" spans="1:16" x14ac:dyDescent="0.25">
      <c r="A14570" t="str">
        <f>"1200041A00324    00"</f>
        <v>1200041A00324    00</v>
      </c>
      <c r="B14570" t="s">
        <v>31946</v>
      </c>
      <c r="C14570" t="s">
        <v>31947</v>
      </c>
      <c r="D14570" t="s">
        <v>20</v>
      </c>
      <c r="E14570" t="s">
        <v>39</v>
      </c>
      <c r="F14570">
        <v>0</v>
      </c>
      <c r="G14570">
        <v>0</v>
      </c>
      <c r="H14570">
        <v>6</v>
      </c>
      <c r="I14570" s="3">
        <v>3348.74</v>
      </c>
      <c r="J14570" s="3">
        <v>1654.17</v>
      </c>
      <c r="L14570">
        <v>1229</v>
      </c>
      <c r="M14570" t="s">
        <v>31948</v>
      </c>
      <c r="N14570" t="s">
        <v>30</v>
      </c>
      <c r="O14570" t="s">
        <v>31</v>
      </c>
      <c r="P14570" t="str">
        <f t="shared" si="186"/>
        <v>15204</v>
      </c>
    </row>
    <row r="14571" spans="1:16" x14ac:dyDescent="0.25">
      <c r="A14571" t="str">
        <f>"1200041A00325    00"</f>
        <v>1200041A00325    00</v>
      </c>
      <c r="B14571" t="s">
        <v>31949</v>
      </c>
      <c r="C14571" t="s">
        <v>31950</v>
      </c>
      <c r="E14571" t="s">
        <v>39</v>
      </c>
      <c r="F14571">
        <v>0</v>
      </c>
      <c r="G14571">
        <v>0</v>
      </c>
      <c r="H14571">
        <v>2</v>
      </c>
      <c r="I14571" s="3">
        <v>67.44</v>
      </c>
      <c r="J14571" s="3">
        <v>0.14000000000000001</v>
      </c>
      <c r="L14571">
        <v>1231</v>
      </c>
      <c r="M14571" t="s">
        <v>31948</v>
      </c>
      <c r="N14571" t="s">
        <v>30</v>
      </c>
      <c r="O14571" t="s">
        <v>31</v>
      </c>
      <c r="P14571" t="str">
        <f t="shared" si="186"/>
        <v>15204</v>
      </c>
    </row>
    <row r="14572" spans="1:16" x14ac:dyDescent="0.25">
      <c r="A14572" t="str">
        <f>"1200041B00060    00"</f>
        <v>1200041B00060    00</v>
      </c>
      <c r="B14572" t="s">
        <v>31951</v>
      </c>
      <c r="C14572" t="s">
        <v>31952</v>
      </c>
      <c r="D14572" t="s">
        <v>57</v>
      </c>
      <c r="E14572" t="s">
        <v>39</v>
      </c>
      <c r="F14572">
        <v>0</v>
      </c>
      <c r="G14572">
        <v>0</v>
      </c>
      <c r="H14572">
        <v>1</v>
      </c>
      <c r="I14572" s="3">
        <v>411.13</v>
      </c>
      <c r="J14572" s="3">
        <v>0</v>
      </c>
      <c r="K14572" t="s">
        <v>270</v>
      </c>
      <c r="M14572" t="s">
        <v>271</v>
      </c>
      <c r="N14572" t="s">
        <v>272</v>
      </c>
      <c r="O14572" t="s">
        <v>273</v>
      </c>
      <c r="P14572" t="str">
        <f>"29603"</f>
        <v>29603</v>
      </c>
    </row>
    <row r="14573" spans="1:16" x14ac:dyDescent="0.25">
      <c r="A14573" t="str">
        <f>"1200041B00074    00"</f>
        <v>1200041B00074    00</v>
      </c>
      <c r="B14573" t="s">
        <v>31953</v>
      </c>
      <c r="C14573" t="s">
        <v>31954</v>
      </c>
      <c r="D14573" t="s">
        <v>20</v>
      </c>
      <c r="E14573" t="s">
        <v>39</v>
      </c>
      <c r="F14573">
        <v>0</v>
      </c>
      <c r="G14573">
        <v>0</v>
      </c>
      <c r="H14573">
        <v>12</v>
      </c>
      <c r="I14573" s="3">
        <v>3121.32</v>
      </c>
      <c r="J14573" s="3">
        <v>1830.23</v>
      </c>
      <c r="K14573" t="s">
        <v>31955</v>
      </c>
      <c r="L14573">
        <v>1029</v>
      </c>
      <c r="M14573" t="s">
        <v>31927</v>
      </c>
      <c r="N14573" t="s">
        <v>30</v>
      </c>
      <c r="O14573" t="s">
        <v>31</v>
      </c>
      <c r="P14573" t="str">
        <f t="shared" ref="P14573:P14578" si="187">"15204"</f>
        <v>15204</v>
      </c>
    </row>
    <row r="14574" spans="1:16" x14ac:dyDescent="0.25">
      <c r="A14574" t="str">
        <f>"1200041B00075    00"</f>
        <v>1200041B00075    00</v>
      </c>
      <c r="B14574" t="s">
        <v>31956</v>
      </c>
      <c r="C14574" t="s">
        <v>31957</v>
      </c>
      <c r="D14574" t="s">
        <v>20</v>
      </c>
      <c r="E14574" t="s">
        <v>39</v>
      </c>
      <c r="F14574">
        <v>0</v>
      </c>
      <c r="G14574">
        <v>0</v>
      </c>
      <c r="H14574">
        <v>3</v>
      </c>
      <c r="I14574" s="3">
        <v>3133.47</v>
      </c>
      <c r="J14574" s="3">
        <v>8.6999999999999993</v>
      </c>
      <c r="L14574">
        <v>1031</v>
      </c>
      <c r="M14574" t="s">
        <v>31927</v>
      </c>
      <c r="N14574" t="s">
        <v>30</v>
      </c>
      <c r="O14574" t="s">
        <v>31</v>
      </c>
      <c r="P14574" t="str">
        <f t="shared" si="187"/>
        <v>15204</v>
      </c>
    </row>
    <row r="14575" spans="1:16" x14ac:dyDescent="0.25">
      <c r="A14575" t="str">
        <f>"1200041B00105    00"</f>
        <v>1200041B00105    00</v>
      </c>
      <c r="B14575" t="s">
        <v>31958</v>
      </c>
      <c r="C14575" t="s">
        <v>31959</v>
      </c>
      <c r="D14575" t="s">
        <v>20</v>
      </c>
      <c r="E14575" t="s">
        <v>39</v>
      </c>
      <c r="F14575">
        <v>0</v>
      </c>
      <c r="G14575">
        <v>0</v>
      </c>
      <c r="H14575">
        <v>2</v>
      </c>
      <c r="I14575" s="3">
        <v>851.06</v>
      </c>
      <c r="J14575" s="3">
        <v>0</v>
      </c>
      <c r="L14575">
        <v>1303</v>
      </c>
      <c r="M14575" t="s">
        <v>31927</v>
      </c>
      <c r="N14575" t="s">
        <v>30</v>
      </c>
      <c r="O14575" t="s">
        <v>31</v>
      </c>
      <c r="P14575" t="str">
        <f t="shared" si="187"/>
        <v>15204</v>
      </c>
    </row>
    <row r="14576" spans="1:16" x14ac:dyDescent="0.25">
      <c r="A14576" t="str">
        <f>"1200041B00130    00"</f>
        <v>1200041B00130    00</v>
      </c>
      <c r="B14576" t="s">
        <v>31960</v>
      </c>
      <c r="C14576" t="s">
        <v>31961</v>
      </c>
      <c r="E14576" t="s">
        <v>39</v>
      </c>
      <c r="F14576">
        <v>0</v>
      </c>
      <c r="G14576">
        <v>0</v>
      </c>
      <c r="H14576">
        <v>1</v>
      </c>
      <c r="I14576" s="3">
        <v>424.65</v>
      </c>
      <c r="J14576" s="3">
        <v>208.78</v>
      </c>
      <c r="L14576">
        <v>3122</v>
      </c>
      <c r="M14576" t="s">
        <v>16891</v>
      </c>
      <c r="N14576" t="s">
        <v>30</v>
      </c>
      <c r="O14576" t="s">
        <v>31</v>
      </c>
      <c r="P14576" t="str">
        <f t="shared" si="187"/>
        <v>15204</v>
      </c>
    </row>
    <row r="14577" spans="1:16" x14ac:dyDescent="0.25">
      <c r="A14577" t="str">
        <f>"1200041B00134    00"</f>
        <v>1200041B00134    00</v>
      </c>
      <c r="B14577" t="s">
        <v>31962</v>
      </c>
      <c r="C14577" t="s">
        <v>31963</v>
      </c>
      <c r="D14577" t="s">
        <v>20</v>
      </c>
      <c r="E14577" t="s">
        <v>39</v>
      </c>
      <c r="F14577">
        <v>0</v>
      </c>
      <c r="G14577">
        <v>0</v>
      </c>
      <c r="H14577">
        <v>9</v>
      </c>
      <c r="I14577" s="3">
        <v>6438.5</v>
      </c>
      <c r="J14577" s="3">
        <v>2437.96</v>
      </c>
      <c r="L14577">
        <v>1216</v>
      </c>
      <c r="M14577" t="s">
        <v>2505</v>
      </c>
      <c r="N14577" t="s">
        <v>30</v>
      </c>
      <c r="O14577" t="s">
        <v>31</v>
      </c>
      <c r="P14577" t="str">
        <f t="shared" si="187"/>
        <v>15204</v>
      </c>
    </row>
    <row r="14578" spans="1:16" x14ac:dyDescent="0.25">
      <c r="A14578" t="str">
        <f>"1200041B00149    00"</f>
        <v>1200041B00149    00</v>
      </c>
      <c r="B14578" t="s">
        <v>31964</v>
      </c>
      <c r="C14578" t="s">
        <v>31965</v>
      </c>
      <c r="D14578" t="s">
        <v>20</v>
      </c>
      <c r="E14578" t="s">
        <v>39</v>
      </c>
      <c r="F14578">
        <v>0</v>
      </c>
      <c r="G14578">
        <v>0</v>
      </c>
      <c r="H14578">
        <v>19</v>
      </c>
      <c r="I14578" s="3">
        <v>13026.49</v>
      </c>
      <c r="J14578" s="3">
        <v>15855.64</v>
      </c>
      <c r="L14578">
        <v>1110</v>
      </c>
      <c r="M14578" t="s">
        <v>2505</v>
      </c>
      <c r="N14578" t="s">
        <v>30</v>
      </c>
      <c r="O14578" t="s">
        <v>31</v>
      </c>
      <c r="P14578" t="str">
        <f t="shared" si="187"/>
        <v>15204</v>
      </c>
    </row>
    <row r="14579" spans="1:16" x14ac:dyDescent="0.25">
      <c r="A14579" t="str">
        <f>"1200041B00151    00"</f>
        <v>1200041B00151    00</v>
      </c>
      <c r="B14579" t="s">
        <v>31966</v>
      </c>
      <c r="C14579" t="s">
        <v>31967</v>
      </c>
      <c r="D14579" t="s">
        <v>20</v>
      </c>
      <c r="E14579" t="s">
        <v>39</v>
      </c>
      <c r="F14579">
        <v>0</v>
      </c>
      <c r="G14579">
        <v>0</v>
      </c>
      <c r="H14579">
        <v>2</v>
      </c>
      <c r="I14579" s="3">
        <v>808.18</v>
      </c>
      <c r="J14579" s="3">
        <v>0</v>
      </c>
      <c r="K14579" t="s">
        <v>31968</v>
      </c>
      <c r="L14579">
        <v>2000</v>
      </c>
      <c r="M14579" t="s">
        <v>31969</v>
      </c>
      <c r="N14579" t="s">
        <v>826</v>
      </c>
      <c r="O14579" t="s">
        <v>31</v>
      </c>
      <c r="P14579" t="str">
        <f>"15601"</f>
        <v>15601</v>
      </c>
    </row>
    <row r="14580" spans="1:16" x14ac:dyDescent="0.25">
      <c r="A14580" t="str">
        <f>"1200041B00226    00"</f>
        <v>1200041B00226    00</v>
      </c>
      <c r="B14580" t="s">
        <v>31970</v>
      </c>
      <c r="C14580" t="s">
        <v>31965</v>
      </c>
      <c r="D14580" t="s">
        <v>20</v>
      </c>
      <c r="E14580" t="s">
        <v>39</v>
      </c>
      <c r="F14580">
        <v>0</v>
      </c>
      <c r="G14580">
        <v>0</v>
      </c>
      <c r="H14580">
        <v>1</v>
      </c>
      <c r="I14580" s="3">
        <v>159</v>
      </c>
      <c r="J14580" s="3">
        <v>0</v>
      </c>
      <c r="L14580">
        <v>542</v>
      </c>
      <c r="M14580" t="s">
        <v>31971</v>
      </c>
      <c r="N14580" t="s">
        <v>30</v>
      </c>
      <c r="O14580" t="s">
        <v>31</v>
      </c>
      <c r="P14580" t="str">
        <f>"15204"</f>
        <v>15204</v>
      </c>
    </row>
    <row r="14581" spans="1:16" x14ac:dyDescent="0.25">
      <c r="A14581" t="str">
        <f>"1200041C00090    00"</f>
        <v>1200041C00090    00</v>
      </c>
      <c r="B14581" t="s">
        <v>31972</v>
      </c>
      <c r="C14581" t="s">
        <v>31973</v>
      </c>
      <c r="E14581" t="s">
        <v>21</v>
      </c>
      <c r="F14581">
        <v>0</v>
      </c>
      <c r="G14581">
        <v>0</v>
      </c>
      <c r="H14581">
        <v>2</v>
      </c>
      <c r="I14581" s="3">
        <v>3179.2</v>
      </c>
      <c r="J14581" s="3">
        <v>317.89999999999998</v>
      </c>
      <c r="L14581">
        <v>2806</v>
      </c>
      <c r="M14581" t="s">
        <v>31974</v>
      </c>
      <c r="N14581" t="s">
        <v>30</v>
      </c>
      <c r="O14581" t="s">
        <v>31</v>
      </c>
      <c r="P14581" t="str">
        <f>"15204"</f>
        <v>15204</v>
      </c>
    </row>
    <row r="14582" spans="1:16" x14ac:dyDescent="0.25">
      <c r="A14582" t="str">
        <f>"1200041C00091    00"</f>
        <v>1200041C00091    00</v>
      </c>
      <c r="B14582" t="s">
        <v>31975</v>
      </c>
      <c r="C14582" t="s">
        <v>31976</v>
      </c>
      <c r="E14582" t="s">
        <v>21</v>
      </c>
      <c r="F14582">
        <v>0</v>
      </c>
      <c r="G14582">
        <v>0</v>
      </c>
      <c r="H14582">
        <v>1</v>
      </c>
      <c r="I14582" s="3">
        <v>762.56</v>
      </c>
      <c r="J14582" s="3">
        <v>152.5</v>
      </c>
      <c r="L14582">
        <v>2806</v>
      </c>
      <c r="M14582" t="s">
        <v>31974</v>
      </c>
      <c r="N14582" t="s">
        <v>30</v>
      </c>
      <c r="O14582" t="s">
        <v>31</v>
      </c>
      <c r="P14582" t="str">
        <f>"15204"</f>
        <v>15204</v>
      </c>
    </row>
    <row r="14583" spans="1:16" x14ac:dyDescent="0.25">
      <c r="A14583" t="str">
        <f>"1200041C00092    00"</f>
        <v>1200041C00092    00</v>
      </c>
      <c r="B14583" t="s">
        <v>31977</v>
      </c>
      <c r="C14583" t="s">
        <v>31978</v>
      </c>
      <c r="D14583" t="s">
        <v>20</v>
      </c>
      <c r="E14583" t="s">
        <v>39</v>
      </c>
      <c r="F14583">
        <v>0</v>
      </c>
      <c r="G14583">
        <v>0</v>
      </c>
      <c r="H14583">
        <v>19</v>
      </c>
      <c r="I14583" s="3">
        <v>20766.689999999999</v>
      </c>
      <c r="J14583" s="3">
        <v>28220.720000000001</v>
      </c>
      <c r="N14583" t="s">
        <v>31979</v>
      </c>
      <c r="P14583" t="str">
        <f>""</f>
        <v/>
      </c>
    </row>
    <row r="14584" spans="1:16" x14ac:dyDescent="0.25">
      <c r="A14584" t="str">
        <f>"1200041C00216    00"</f>
        <v>1200041C00216    00</v>
      </c>
      <c r="B14584" t="s">
        <v>31980</v>
      </c>
      <c r="C14584" t="s">
        <v>31981</v>
      </c>
      <c r="D14584" t="s">
        <v>20</v>
      </c>
      <c r="E14584" t="s">
        <v>39</v>
      </c>
      <c r="F14584">
        <v>0</v>
      </c>
      <c r="G14584">
        <v>0</v>
      </c>
      <c r="H14584">
        <v>1</v>
      </c>
      <c r="I14584" s="3">
        <v>1728.33</v>
      </c>
      <c r="J14584" s="3">
        <v>0</v>
      </c>
      <c r="L14584">
        <v>2833</v>
      </c>
      <c r="M14584" t="s">
        <v>31982</v>
      </c>
      <c r="N14584" t="s">
        <v>30</v>
      </c>
      <c r="O14584" t="s">
        <v>31</v>
      </c>
      <c r="P14584" t="str">
        <f>"15204"</f>
        <v>15204</v>
      </c>
    </row>
    <row r="14585" spans="1:16" x14ac:dyDescent="0.25">
      <c r="A14585" t="str">
        <f>"1200041C00218    00"</f>
        <v>1200041C00218    00</v>
      </c>
      <c r="B14585" t="s">
        <v>31980</v>
      </c>
      <c r="C14585" t="s">
        <v>31983</v>
      </c>
      <c r="D14585" t="s">
        <v>20</v>
      </c>
      <c r="E14585" t="s">
        <v>39</v>
      </c>
      <c r="F14585">
        <v>0</v>
      </c>
      <c r="G14585">
        <v>0</v>
      </c>
      <c r="H14585">
        <v>1</v>
      </c>
      <c r="I14585" s="3">
        <v>76.239999999999995</v>
      </c>
      <c r="J14585" s="3">
        <v>0</v>
      </c>
      <c r="L14585">
        <v>2833</v>
      </c>
      <c r="M14585" t="s">
        <v>31982</v>
      </c>
      <c r="N14585" t="s">
        <v>30</v>
      </c>
      <c r="O14585" t="s">
        <v>31</v>
      </c>
      <c r="P14585" t="str">
        <f>"15204"</f>
        <v>15204</v>
      </c>
    </row>
    <row r="14586" spans="1:16" x14ac:dyDescent="0.25">
      <c r="A14586" t="str">
        <f>"1200041C00227    00"</f>
        <v>1200041C00227    00</v>
      </c>
      <c r="B14586" t="s">
        <v>31984</v>
      </c>
      <c r="C14586" t="s">
        <v>31983</v>
      </c>
      <c r="D14586" t="s">
        <v>20</v>
      </c>
      <c r="E14586" t="s">
        <v>39</v>
      </c>
      <c r="F14586">
        <v>0</v>
      </c>
      <c r="G14586">
        <v>0</v>
      </c>
      <c r="H14586">
        <v>2</v>
      </c>
      <c r="I14586" s="3">
        <v>41.82</v>
      </c>
      <c r="J14586" s="3">
        <v>0</v>
      </c>
      <c r="K14586" t="s">
        <v>4424</v>
      </c>
      <c r="L14586">
        <v>3001</v>
      </c>
      <c r="M14586" t="s">
        <v>330</v>
      </c>
      <c r="N14586" t="s">
        <v>331</v>
      </c>
      <c r="O14586" t="s">
        <v>108</v>
      </c>
      <c r="P14586" t="str">
        <f>"75063"</f>
        <v>75063</v>
      </c>
    </row>
    <row r="14587" spans="1:16" x14ac:dyDescent="0.25">
      <c r="A14587" t="str">
        <f>"1200041C00232    00"</f>
        <v>1200041C00232    00</v>
      </c>
      <c r="B14587" t="s">
        <v>31985</v>
      </c>
      <c r="C14587" t="s">
        <v>31986</v>
      </c>
      <c r="D14587" t="s">
        <v>20</v>
      </c>
      <c r="E14587" t="s">
        <v>39</v>
      </c>
      <c r="F14587">
        <v>0</v>
      </c>
      <c r="G14587">
        <v>0</v>
      </c>
      <c r="H14587">
        <v>1</v>
      </c>
      <c r="I14587" s="3">
        <v>362.61</v>
      </c>
      <c r="J14587" s="3">
        <v>0</v>
      </c>
      <c r="K14587" t="s">
        <v>31987</v>
      </c>
      <c r="L14587">
        <v>3219</v>
      </c>
      <c r="M14587" t="s">
        <v>31921</v>
      </c>
      <c r="N14587" t="s">
        <v>30</v>
      </c>
      <c r="O14587" t="s">
        <v>31</v>
      </c>
      <c r="P14587" t="str">
        <f>"15204"</f>
        <v>15204</v>
      </c>
    </row>
    <row r="14588" spans="1:16" x14ac:dyDescent="0.25">
      <c r="A14588" t="str">
        <f>"1200041C00233    00"</f>
        <v>1200041C00233    00</v>
      </c>
      <c r="B14588" t="s">
        <v>31988</v>
      </c>
      <c r="C14588" t="s">
        <v>31983</v>
      </c>
      <c r="D14588" t="s">
        <v>20</v>
      </c>
      <c r="E14588" t="s">
        <v>39</v>
      </c>
      <c r="F14588">
        <v>0</v>
      </c>
      <c r="G14588">
        <v>0</v>
      </c>
      <c r="H14588">
        <v>18</v>
      </c>
      <c r="I14588" s="3">
        <v>479.49</v>
      </c>
      <c r="J14588" s="3">
        <v>502.53</v>
      </c>
      <c r="L14588">
        <v>2822</v>
      </c>
      <c r="M14588" t="s">
        <v>31982</v>
      </c>
      <c r="N14588" t="s">
        <v>30</v>
      </c>
      <c r="O14588" t="s">
        <v>31</v>
      </c>
      <c r="P14588" t="str">
        <f>"15204"</f>
        <v>15204</v>
      </c>
    </row>
    <row r="14589" spans="1:16" x14ac:dyDescent="0.25">
      <c r="A14589" t="str">
        <f>"1200041C00243    00"</f>
        <v>1200041C00243    00</v>
      </c>
      <c r="B14589" t="s">
        <v>31989</v>
      </c>
      <c r="C14589" t="s">
        <v>31990</v>
      </c>
      <c r="D14589" t="s">
        <v>20</v>
      </c>
      <c r="E14589" t="s">
        <v>39</v>
      </c>
      <c r="F14589">
        <v>0</v>
      </c>
      <c r="G14589">
        <v>0</v>
      </c>
      <c r="H14589">
        <v>10</v>
      </c>
      <c r="I14589" s="3">
        <v>7601.54</v>
      </c>
      <c r="J14589" s="3">
        <v>3254.8</v>
      </c>
      <c r="K14589" t="s">
        <v>31991</v>
      </c>
      <c r="L14589">
        <v>907</v>
      </c>
      <c r="M14589" t="s">
        <v>21221</v>
      </c>
      <c r="N14589" t="s">
        <v>30</v>
      </c>
      <c r="O14589" t="s">
        <v>31</v>
      </c>
      <c r="P14589" t="str">
        <f>"15204"</f>
        <v>15204</v>
      </c>
    </row>
    <row r="14590" spans="1:16" x14ac:dyDescent="0.25">
      <c r="A14590" t="str">
        <f>"1200041C00244    00"</f>
        <v>1200041C00244    00</v>
      </c>
      <c r="B14590" t="s">
        <v>31989</v>
      </c>
      <c r="C14590" t="s">
        <v>29568</v>
      </c>
      <c r="D14590" t="s">
        <v>20</v>
      </c>
      <c r="E14590" t="s">
        <v>39</v>
      </c>
      <c r="F14590">
        <v>0</v>
      </c>
      <c r="G14590">
        <v>0</v>
      </c>
      <c r="H14590">
        <v>10</v>
      </c>
      <c r="I14590" s="3">
        <v>2977.79</v>
      </c>
      <c r="J14590" s="3">
        <v>1275.02</v>
      </c>
      <c r="K14590" t="s">
        <v>31991</v>
      </c>
      <c r="L14590">
        <v>907</v>
      </c>
      <c r="M14590" t="s">
        <v>21221</v>
      </c>
      <c r="N14590" t="s">
        <v>30</v>
      </c>
      <c r="O14590" t="s">
        <v>31</v>
      </c>
      <c r="P14590" t="str">
        <f>"15204"</f>
        <v>15204</v>
      </c>
    </row>
    <row r="14591" spans="1:16" x14ac:dyDescent="0.25">
      <c r="A14591" t="str">
        <f>"1200041C00251    00"</f>
        <v>1200041C00251    00</v>
      </c>
      <c r="B14591" t="s">
        <v>31989</v>
      </c>
      <c r="C14591" t="s">
        <v>31978</v>
      </c>
      <c r="D14591" t="s">
        <v>20</v>
      </c>
      <c r="E14591" t="s">
        <v>39</v>
      </c>
      <c r="F14591">
        <v>0</v>
      </c>
      <c r="G14591">
        <v>0</v>
      </c>
      <c r="H14591">
        <v>10</v>
      </c>
      <c r="I14591" s="3">
        <v>3327.47</v>
      </c>
      <c r="J14591" s="3">
        <v>1449.26</v>
      </c>
      <c r="K14591" t="s">
        <v>31991</v>
      </c>
      <c r="L14591">
        <v>907</v>
      </c>
      <c r="M14591" t="s">
        <v>21221</v>
      </c>
      <c r="N14591" t="s">
        <v>30</v>
      </c>
      <c r="O14591" t="s">
        <v>31</v>
      </c>
      <c r="P14591" t="str">
        <f>"15204"</f>
        <v>15204</v>
      </c>
    </row>
    <row r="14592" spans="1:16" x14ac:dyDescent="0.25">
      <c r="A14592" t="str">
        <f>"1200041C00271    00"</f>
        <v>1200041C00271    00</v>
      </c>
      <c r="B14592" t="s">
        <v>31992</v>
      </c>
      <c r="C14592" t="s">
        <v>31993</v>
      </c>
      <c r="E14592" t="s">
        <v>39</v>
      </c>
      <c r="F14592">
        <v>0</v>
      </c>
      <c r="G14592">
        <v>0</v>
      </c>
      <c r="H14592">
        <v>1</v>
      </c>
      <c r="I14592" s="3">
        <v>790.67</v>
      </c>
      <c r="J14592" s="3">
        <v>177.9</v>
      </c>
      <c r="L14592">
        <v>58</v>
      </c>
      <c r="M14592" t="s">
        <v>31994</v>
      </c>
      <c r="N14592" t="s">
        <v>30</v>
      </c>
      <c r="O14592" t="s">
        <v>31</v>
      </c>
      <c r="P14592" t="str">
        <f>"15205"</f>
        <v>15205</v>
      </c>
    </row>
    <row r="14593" spans="1:16" x14ac:dyDescent="0.25">
      <c r="A14593" t="str">
        <f>"1200041C00282    00"</f>
        <v>1200041C00282    00</v>
      </c>
      <c r="B14593" t="s">
        <v>31995</v>
      </c>
      <c r="C14593" t="s">
        <v>31996</v>
      </c>
      <c r="D14593" t="s">
        <v>20</v>
      </c>
      <c r="E14593" t="s">
        <v>39</v>
      </c>
      <c r="F14593">
        <v>0</v>
      </c>
      <c r="G14593">
        <v>0</v>
      </c>
      <c r="H14593">
        <v>17</v>
      </c>
      <c r="I14593" s="3">
        <v>12505.42</v>
      </c>
      <c r="J14593" s="3">
        <v>9778.57</v>
      </c>
      <c r="L14593">
        <v>2803</v>
      </c>
      <c r="M14593" t="s">
        <v>31997</v>
      </c>
      <c r="N14593" t="s">
        <v>30</v>
      </c>
      <c r="O14593" t="s">
        <v>31</v>
      </c>
      <c r="P14593" t="str">
        <f>"15204"</f>
        <v>15204</v>
      </c>
    </row>
    <row r="14594" spans="1:16" x14ac:dyDescent="0.25">
      <c r="A14594" t="str">
        <f>"1200041C00284    00"</f>
        <v>1200041C00284    00</v>
      </c>
      <c r="B14594" t="s">
        <v>31998</v>
      </c>
      <c r="C14594" t="s">
        <v>31999</v>
      </c>
      <c r="D14594" t="s">
        <v>20</v>
      </c>
      <c r="E14594" t="s">
        <v>39</v>
      </c>
      <c r="F14594">
        <v>0</v>
      </c>
      <c r="G14594">
        <v>0</v>
      </c>
      <c r="H14594">
        <v>1</v>
      </c>
      <c r="I14594" s="3">
        <v>686.18</v>
      </c>
      <c r="J14594" s="3">
        <v>0</v>
      </c>
      <c r="K14594" t="s">
        <v>32000</v>
      </c>
      <c r="L14594">
        <v>126</v>
      </c>
      <c r="M14594" t="s">
        <v>32001</v>
      </c>
      <c r="N14594" t="s">
        <v>30</v>
      </c>
      <c r="O14594" t="s">
        <v>31</v>
      </c>
      <c r="P14594" t="str">
        <f>"15237"</f>
        <v>15237</v>
      </c>
    </row>
    <row r="14595" spans="1:16" x14ac:dyDescent="0.25">
      <c r="A14595" t="str">
        <f>"1200041C00290    00"</f>
        <v>1200041C00290    00</v>
      </c>
      <c r="B14595" t="s">
        <v>32002</v>
      </c>
      <c r="C14595" t="s">
        <v>32003</v>
      </c>
      <c r="D14595" t="s">
        <v>20</v>
      </c>
      <c r="E14595" t="s">
        <v>39</v>
      </c>
      <c r="F14595">
        <v>0</v>
      </c>
      <c r="G14595">
        <v>0</v>
      </c>
      <c r="H14595">
        <v>8</v>
      </c>
      <c r="I14595" s="3">
        <v>6034.06</v>
      </c>
      <c r="J14595" s="3">
        <v>1663.71</v>
      </c>
      <c r="L14595">
        <v>312</v>
      </c>
      <c r="M14595" t="s">
        <v>32004</v>
      </c>
      <c r="N14595" t="s">
        <v>32005</v>
      </c>
      <c r="O14595" t="s">
        <v>31</v>
      </c>
      <c r="P14595" t="str">
        <f>"15025"</f>
        <v>15025</v>
      </c>
    </row>
    <row r="14596" spans="1:16" x14ac:dyDescent="0.25">
      <c r="A14596" t="str">
        <f>"1200041C00306    00"</f>
        <v>1200041C00306    00</v>
      </c>
      <c r="B14596" t="s">
        <v>32006</v>
      </c>
      <c r="C14596" t="s">
        <v>32007</v>
      </c>
      <c r="E14596" t="s">
        <v>39</v>
      </c>
      <c r="F14596">
        <v>0</v>
      </c>
      <c r="G14596">
        <v>0</v>
      </c>
      <c r="H14596">
        <v>2</v>
      </c>
      <c r="I14596" s="3">
        <v>97.19</v>
      </c>
      <c r="J14596" s="3">
        <v>43.05</v>
      </c>
      <c r="L14596">
        <v>764</v>
      </c>
      <c r="M14596" t="s">
        <v>24163</v>
      </c>
      <c r="N14596" t="s">
        <v>30</v>
      </c>
      <c r="O14596" t="s">
        <v>31</v>
      </c>
      <c r="P14596" t="str">
        <f>"15204"</f>
        <v>15204</v>
      </c>
    </row>
    <row r="14597" spans="1:16" x14ac:dyDescent="0.25">
      <c r="A14597" t="str">
        <f>"1200041C00308    00"</f>
        <v>1200041C00308    00</v>
      </c>
      <c r="B14597" t="s">
        <v>32008</v>
      </c>
      <c r="C14597" t="s">
        <v>32009</v>
      </c>
      <c r="D14597" t="s">
        <v>20</v>
      </c>
      <c r="E14597" t="s">
        <v>39</v>
      </c>
      <c r="F14597">
        <v>0</v>
      </c>
      <c r="G14597">
        <v>0</v>
      </c>
      <c r="H14597">
        <v>2</v>
      </c>
      <c r="I14597" s="3">
        <v>1278.06</v>
      </c>
      <c r="J14597" s="3">
        <v>0</v>
      </c>
      <c r="L14597">
        <v>1053</v>
      </c>
      <c r="M14597" t="s">
        <v>32010</v>
      </c>
      <c r="N14597" t="s">
        <v>32011</v>
      </c>
      <c r="O14597" t="s">
        <v>31</v>
      </c>
      <c r="P14597" t="str">
        <f>"15019"</f>
        <v>15019</v>
      </c>
    </row>
    <row r="14598" spans="1:16" x14ac:dyDescent="0.25">
      <c r="A14598" t="str">
        <f>"1200041C00313    00"</f>
        <v>1200041C00313    00</v>
      </c>
      <c r="B14598" t="s">
        <v>32012</v>
      </c>
      <c r="C14598" t="s">
        <v>32013</v>
      </c>
      <c r="D14598" t="s">
        <v>20</v>
      </c>
      <c r="E14598" t="s">
        <v>39</v>
      </c>
      <c r="F14598">
        <v>0</v>
      </c>
      <c r="G14598">
        <v>0</v>
      </c>
      <c r="H14598">
        <v>6</v>
      </c>
      <c r="I14598" s="3">
        <v>877.76</v>
      </c>
      <c r="J14598" s="3">
        <v>336.1</v>
      </c>
      <c r="K14598" t="s">
        <v>32014</v>
      </c>
      <c r="L14598">
        <v>1078</v>
      </c>
      <c r="M14598" t="s">
        <v>32015</v>
      </c>
      <c r="N14598" t="s">
        <v>30</v>
      </c>
      <c r="O14598" t="s">
        <v>31</v>
      </c>
      <c r="P14598" t="str">
        <f>"15243"</f>
        <v>15243</v>
      </c>
    </row>
    <row r="14599" spans="1:16" x14ac:dyDescent="0.25">
      <c r="A14599" t="str">
        <f>"1200041C00316    00"</f>
        <v>1200041C00316    00</v>
      </c>
      <c r="B14599" t="s">
        <v>32012</v>
      </c>
      <c r="C14599" t="s">
        <v>32013</v>
      </c>
      <c r="D14599" t="s">
        <v>20</v>
      </c>
      <c r="E14599" t="s">
        <v>39</v>
      </c>
      <c r="F14599">
        <v>0</v>
      </c>
      <c r="G14599">
        <v>0</v>
      </c>
      <c r="H14599">
        <v>2</v>
      </c>
      <c r="I14599" s="3">
        <v>304.95999999999998</v>
      </c>
      <c r="J14599" s="3">
        <v>0</v>
      </c>
      <c r="K14599" t="s">
        <v>32014</v>
      </c>
      <c r="L14599">
        <v>1078</v>
      </c>
      <c r="M14599" t="s">
        <v>32015</v>
      </c>
      <c r="N14599" t="s">
        <v>30</v>
      </c>
      <c r="O14599" t="s">
        <v>31</v>
      </c>
      <c r="P14599" t="str">
        <f>"15243"</f>
        <v>15243</v>
      </c>
    </row>
    <row r="14600" spans="1:16" x14ac:dyDescent="0.25">
      <c r="A14600" t="str">
        <f>"1200041C00317    00"</f>
        <v>1200041C00317    00</v>
      </c>
      <c r="B14600" t="s">
        <v>32012</v>
      </c>
      <c r="C14600" t="s">
        <v>32016</v>
      </c>
      <c r="D14600" t="s">
        <v>20</v>
      </c>
      <c r="E14600" t="s">
        <v>39</v>
      </c>
      <c r="F14600">
        <v>0</v>
      </c>
      <c r="G14600">
        <v>0</v>
      </c>
      <c r="H14600">
        <v>4</v>
      </c>
      <c r="I14600" s="3">
        <v>2851.08</v>
      </c>
      <c r="J14600" s="3">
        <v>516.58000000000004</v>
      </c>
      <c r="K14600" t="s">
        <v>32014</v>
      </c>
      <c r="L14600">
        <v>1078</v>
      </c>
      <c r="M14600" t="s">
        <v>32015</v>
      </c>
      <c r="N14600" t="s">
        <v>30</v>
      </c>
      <c r="O14600" t="s">
        <v>31</v>
      </c>
      <c r="P14600" t="str">
        <f>"15243"</f>
        <v>15243</v>
      </c>
    </row>
    <row r="14601" spans="1:16" x14ac:dyDescent="0.25">
      <c r="A14601" t="str">
        <f>"1200041C00318    00"</f>
        <v>1200041C00318    00</v>
      </c>
      <c r="B14601" t="s">
        <v>32012</v>
      </c>
      <c r="C14601" t="s">
        <v>32013</v>
      </c>
      <c r="D14601" t="s">
        <v>20</v>
      </c>
      <c r="E14601" t="s">
        <v>39</v>
      </c>
      <c r="F14601">
        <v>0</v>
      </c>
      <c r="G14601">
        <v>0</v>
      </c>
      <c r="H14601">
        <v>2</v>
      </c>
      <c r="I14601" s="3">
        <v>304.95999999999998</v>
      </c>
      <c r="J14601" s="3">
        <v>0</v>
      </c>
      <c r="K14601" t="s">
        <v>32014</v>
      </c>
      <c r="L14601">
        <v>1078</v>
      </c>
      <c r="M14601" t="s">
        <v>32015</v>
      </c>
      <c r="N14601" t="s">
        <v>30</v>
      </c>
      <c r="O14601" t="s">
        <v>31</v>
      </c>
      <c r="P14601" t="str">
        <f>"15243"</f>
        <v>15243</v>
      </c>
    </row>
    <row r="14602" spans="1:16" x14ac:dyDescent="0.25">
      <c r="A14602" t="str">
        <f>"1200041D00038    00"</f>
        <v>1200041D00038    00</v>
      </c>
      <c r="B14602" t="s">
        <v>32017</v>
      </c>
      <c r="C14602" t="s">
        <v>32018</v>
      </c>
      <c r="D14602" t="s">
        <v>20</v>
      </c>
      <c r="E14602" t="s">
        <v>39</v>
      </c>
      <c r="F14602">
        <v>0</v>
      </c>
      <c r="G14602">
        <v>0</v>
      </c>
      <c r="H14602">
        <v>15</v>
      </c>
      <c r="I14602" s="3">
        <v>11858.31</v>
      </c>
      <c r="J14602" s="3">
        <v>8171.72</v>
      </c>
      <c r="L14602">
        <v>725</v>
      </c>
      <c r="M14602" t="s">
        <v>32019</v>
      </c>
      <c r="N14602" t="s">
        <v>30</v>
      </c>
      <c r="O14602" t="s">
        <v>31</v>
      </c>
      <c r="P14602" t="str">
        <f>"15204"</f>
        <v>15204</v>
      </c>
    </row>
    <row r="14603" spans="1:16" x14ac:dyDescent="0.25">
      <c r="A14603" t="str">
        <f>"1200041D00045    00"</f>
        <v>1200041D00045    00</v>
      </c>
      <c r="B14603" t="s">
        <v>32020</v>
      </c>
      <c r="C14603" t="s">
        <v>32021</v>
      </c>
      <c r="E14603" t="s">
        <v>39</v>
      </c>
      <c r="F14603">
        <v>0</v>
      </c>
      <c r="G14603">
        <v>0</v>
      </c>
      <c r="H14603">
        <v>1</v>
      </c>
      <c r="I14603" s="3">
        <v>260.41000000000003</v>
      </c>
      <c r="J14603" s="3">
        <v>375.35</v>
      </c>
      <c r="K14603" t="s">
        <v>32022</v>
      </c>
      <c r="L14603">
        <v>745</v>
      </c>
      <c r="M14603" t="s">
        <v>32019</v>
      </c>
      <c r="N14603" t="s">
        <v>30</v>
      </c>
      <c r="O14603" t="s">
        <v>31</v>
      </c>
      <c r="P14603" t="str">
        <f>"15204"</f>
        <v>15204</v>
      </c>
    </row>
    <row r="14604" spans="1:16" x14ac:dyDescent="0.25">
      <c r="A14604" t="str">
        <f>"1200041D00054    00"</f>
        <v>1200041D00054    00</v>
      </c>
      <c r="B14604" t="s">
        <v>32023</v>
      </c>
      <c r="C14604" t="s">
        <v>32024</v>
      </c>
      <c r="D14604" t="s">
        <v>20</v>
      </c>
      <c r="E14604" t="s">
        <v>39</v>
      </c>
      <c r="F14604">
        <v>0</v>
      </c>
      <c r="G14604">
        <v>0</v>
      </c>
      <c r="H14604">
        <v>1</v>
      </c>
      <c r="I14604" s="3">
        <v>1198.8800000000001</v>
      </c>
      <c r="J14604" s="3">
        <v>0</v>
      </c>
      <c r="L14604">
        <v>758</v>
      </c>
      <c r="M14604" t="s">
        <v>25444</v>
      </c>
      <c r="N14604" t="s">
        <v>30</v>
      </c>
      <c r="O14604" t="s">
        <v>31</v>
      </c>
      <c r="P14604" t="str">
        <f>"15204"</f>
        <v>15204</v>
      </c>
    </row>
    <row r="14605" spans="1:16" x14ac:dyDescent="0.25">
      <c r="A14605" t="str">
        <f>"1200041D00055    00"</f>
        <v>1200041D00055    00</v>
      </c>
      <c r="B14605" t="s">
        <v>32025</v>
      </c>
      <c r="C14605" t="s">
        <v>32026</v>
      </c>
      <c r="D14605" t="s">
        <v>20</v>
      </c>
      <c r="E14605" t="s">
        <v>39</v>
      </c>
      <c r="F14605">
        <v>0</v>
      </c>
      <c r="G14605">
        <v>0</v>
      </c>
      <c r="H14605">
        <v>7</v>
      </c>
      <c r="I14605" s="3">
        <v>6940.56</v>
      </c>
      <c r="J14605" s="3">
        <v>80.67</v>
      </c>
      <c r="L14605">
        <v>1153</v>
      </c>
      <c r="M14605" t="s">
        <v>32027</v>
      </c>
      <c r="N14605" t="s">
        <v>903</v>
      </c>
      <c r="O14605" t="s">
        <v>31</v>
      </c>
      <c r="P14605" t="str">
        <f>"15136"</f>
        <v>15136</v>
      </c>
    </row>
    <row r="14606" spans="1:16" x14ac:dyDescent="0.25">
      <c r="A14606" t="str">
        <f>"1200041D00058    00"</f>
        <v>1200041D00058    00</v>
      </c>
      <c r="B14606" t="s">
        <v>32028</v>
      </c>
      <c r="C14606" t="s">
        <v>32029</v>
      </c>
      <c r="D14606" t="s">
        <v>20</v>
      </c>
      <c r="E14606" t="s">
        <v>39</v>
      </c>
      <c r="F14606">
        <v>0</v>
      </c>
      <c r="G14606">
        <v>0</v>
      </c>
      <c r="H14606">
        <v>2</v>
      </c>
      <c r="I14606" s="3">
        <v>236.5</v>
      </c>
      <c r="J14606" s="3">
        <v>3.3</v>
      </c>
      <c r="L14606">
        <v>427</v>
      </c>
      <c r="M14606" t="s">
        <v>32030</v>
      </c>
      <c r="N14606" t="s">
        <v>30</v>
      </c>
      <c r="O14606" t="s">
        <v>31</v>
      </c>
      <c r="P14606" t="str">
        <f>"15205"</f>
        <v>15205</v>
      </c>
    </row>
    <row r="14607" spans="1:16" x14ac:dyDescent="0.25">
      <c r="A14607" t="str">
        <f>"1200041D00060    00"</f>
        <v>1200041D00060    00</v>
      </c>
      <c r="B14607" t="s">
        <v>32031</v>
      </c>
      <c r="C14607" t="s">
        <v>32032</v>
      </c>
      <c r="D14607" t="s">
        <v>20</v>
      </c>
      <c r="E14607" t="s">
        <v>39</v>
      </c>
      <c r="F14607">
        <v>0</v>
      </c>
      <c r="G14607">
        <v>0</v>
      </c>
      <c r="H14607">
        <v>3</v>
      </c>
      <c r="I14607" s="3">
        <v>2836.2</v>
      </c>
      <c r="J14607" s="3">
        <v>189.07</v>
      </c>
      <c r="M14607" t="s">
        <v>32033</v>
      </c>
      <c r="N14607" t="s">
        <v>30</v>
      </c>
      <c r="O14607" t="s">
        <v>31</v>
      </c>
      <c r="P14607" t="str">
        <f>"15205"</f>
        <v>15205</v>
      </c>
    </row>
    <row r="14608" spans="1:16" x14ac:dyDescent="0.25">
      <c r="A14608" t="str">
        <f>"1200041D00077    00"</f>
        <v>1200041D00077    00</v>
      </c>
      <c r="B14608" t="s">
        <v>32034</v>
      </c>
      <c r="C14608" t="s">
        <v>32035</v>
      </c>
      <c r="D14608" t="s">
        <v>20</v>
      </c>
      <c r="E14608" t="s">
        <v>21</v>
      </c>
      <c r="F14608">
        <v>0</v>
      </c>
      <c r="G14608">
        <v>0</v>
      </c>
      <c r="H14608">
        <v>2</v>
      </c>
      <c r="I14608" s="3">
        <v>4330.4399999999996</v>
      </c>
      <c r="J14608" s="3">
        <v>0</v>
      </c>
      <c r="K14608" t="s">
        <v>32036</v>
      </c>
      <c r="L14608">
        <v>48</v>
      </c>
      <c r="M14608" t="s">
        <v>32037</v>
      </c>
      <c r="N14608" t="s">
        <v>30</v>
      </c>
      <c r="O14608" t="s">
        <v>31</v>
      </c>
      <c r="P14608" t="str">
        <f>"15204"</f>
        <v>15204</v>
      </c>
    </row>
    <row r="14609" spans="1:16" x14ac:dyDescent="0.25">
      <c r="A14609" t="str">
        <f>"1200041D00163    00"</f>
        <v>1200041D00163    00</v>
      </c>
      <c r="B14609" t="s">
        <v>32038</v>
      </c>
      <c r="C14609" t="s">
        <v>32039</v>
      </c>
      <c r="D14609" t="s">
        <v>20</v>
      </c>
      <c r="E14609" t="s">
        <v>39</v>
      </c>
      <c r="F14609">
        <v>0</v>
      </c>
      <c r="G14609">
        <v>0</v>
      </c>
      <c r="H14609">
        <v>8</v>
      </c>
      <c r="I14609" s="3">
        <v>2437.84</v>
      </c>
      <c r="J14609" s="3">
        <v>797.7</v>
      </c>
      <c r="M14609" t="s">
        <v>32040</v>
      </c>
      <c r="N14609" t="s">
        <v>32041</v>
      </c>
      <c r="O14609" t="s">
        <v>31</v>
      </c>
      <c r="P14609" t="str">
        <f>"15064"</f>
        <v>15064</v>
      </c>
    </row>
    <row r="14610" spans="1:16" x14ac:dyDescent="0.25">
      <c r="A14610" t="str">
        <f>"1200041E00033    00"</f>
        <v>1200041E00033    00</v>
      </c>
      <c r="B14610" t="s">
        <v>32042</v>
      </c>
      <c r="C14610" t="s">
        <v>32043</v>
      </c>
      <c r="E14610" t="s">
        <v>39</v>
      </c>
      <c r="F14610">
        <v>0</v>
      </c>
      <c r="G14610">
        <v>0</v>
      </c>
      <c r="H14610">
        <v>2</v>
      </c>
      <c r="I14610" s="3">
        <v>1162.3599999999999</v>
      </c>
      <c r="J14610" s="3">
        <v>4.84</v>
      </c>
      <c r="L14610">
        <v>1053</v>
      </c>
      <c r="M14610" t="s">
        <v>32010</v>
      </c>
      <c r="N14610" t="s">
        <v>32011</v>
      </c>
      <c r="O14610" t="s">
        <v>31</v>
      </c>
      <c r="P14610" t="str">
        <f>"15019"</f>
        <v>15019</v>
      </c>
    </row>
    <row r="14611" spans="1:16" x14ac:dyDescent="0.25">
      <c r="A14611" t="str">
        <f>"1200041E00042    00"</f>
        <v>1200041E00042    00</v>
      </c>
      <c r="B14611" t="s">
        <v>32044</v>
      </c>
      <c r="C14611" t="s">
        <v>32045</v>
      </c>
      <c r="E14611" t="s">
        <v>39</v>
      </c>
      <c r="F14611">
        <v>0</v>
      </c>
      <c r="G14611">
        <v>0</v>
      </c>
      <c r="H14611">
        <v>15</v>
      </c>
      <c r="I14611" s="3">
        <v>10870.77</v>
      </c>
      <c r="J14611" s="3">
        <v>11081.21</v>
      </c>
      <c r="L14611">
        <v>1507</v>
      </c>
      <c r="M14611" t="s">
        <v>31927</v>
      </c>
      <c r="N14611" t="s">
        <v>30</v>
      </c>
      <c r="O14611" t="s">
        <v>31</v>
      </c>
      <c r="P14611" t="str">
        <f>"15204"</f>
        <v>15204</v>
      </c>
    </row>
    <row r="14612" spans="1:16" x14ac:dyDescent="0.25">
      <c r="A14612" t="str">
        <f>"1200041E00048    00"</f>
        <v>1200041E00048    00</v>
      </c>
      <c r="B14612" t="s">
        <v>32046</v>
      </c>
      <c r="C14612" t="s">
        <v>32047</v>
      </c>
      <c r="D14612" t="s">
        <v>20</v>
      </c>
      <c r="E14612" t="s">
        <v>39</v>
      </c>
      <c r="F14612">
        <v>0</v>
      </c>
      <c r="G14612">
        <v>0</v>
      </c>
      <c r="H14612">
        <v>2</v>
      </c>
      <c r="I14612" s="3">
        <v>979.14</v>
      </c>
      <c r="J14612" s="3">
        <v>0</v>
      </c>
      <c r="K14612" t="s">
        <v>32048</v>
      </c>
      <c r="L14612">
        <v>1529</v>
      </c>
      <c r="M14612" t="s">
        <v>31927</v>
      </c>
      <c r="N14612" t="s">
        <v>30</v>
      </c>
      <c r="O14612" t="s">
        <v>31</v>
      </c>
      <c r="P14612" t="str">
        <f>"15204"</f>
        <v>15204</v>
      </c>
    </row>
    <row r="14613" spans="1:16" x14ac:dyDescent="0.25">
      <c r="A14613" t="str">
        <f>"1200041E00064    00"</f>
        <v>1200041E00064    00</v>
      </c>
      <c r="B14613" t="s">
        <v>32049</v>
      </c>
      <c r="C14613" t="s">
        <v>32050</v>
      </c>
      <c r="D14613" t="s">
        <v>20</v>
      </c>
      <c r="E14613" t="s">
        <v>39</v>
      </c>
      <c r="F14613">
        <v>0</v>
      </c>
      <c r="G14613">
        <v>0</v>
      </c>
      <c r="H14613">
        <v>3</v>
      </c>
      <c r="I14613" s="3">
        <v>4843.17</v>
      </c>
      <c r="J14613" s="3">
        <v>322.87</v>
      </c>
      <c r="K14613" t="s">
        <v>32051</v>
      </c>
      <c r="L14613">
        <v>1420</v>
      </c>
      <c r="M14613" t="s">
        <v>2505</v>
      </c>
      <c r="N14613" t="s">
        <v>30</v>
      </c>
      <c r="O14613" t="s">
        <v>31</v>
      </c>
      <c r="P14613" t="str">
        <f>"15204"</f>
        <v>15204</v>
      </c>
    </row>
    <row r="14614" spans="1:16" x14ac:dyDescent="0.25">
      <c r="A14614" t="str">
        <f>"1200041E00113    00"</f>
        <v>1200041E00113    00</v>
      </c>
      <c r="B14614" t="s">
        <v>32052</v>
      </c>
      <c r="C14614" t="s">
        <v>32053</v>
      </c>
      <c r="D14614" t="s">
        <v>20</v>
      </c>
      <c r="E14614" t="s">
        <v>39</v>
      </c>
      <c r="F14614">
        <v>0</v>
      </c>
      <c r="G14614">
        <v>0</v>
      </c>
      <c r="H14614">
        <v>6</v>
      </c>
      <c r="I14614" s="3">
        <v>3195.18</v>
      </c>
      <c r="J14614" s="3">
        <v>756.61</v>
      </c>
      <c r="K14614" t="s">
        <v>32054</v>
      </c>
      <c r="L14614">
        <v>100</v>
      </c>
      <c r="M14614" t="s">
        <v>32055</v>
      </c>
      <c r="N14614" t="s">
        <v>541</v>
      </c>
      <c r="O14614" t="s">
        <v>31</v>
      </c>
      <c r="P14614" t="str">
        <f>"15071"</f>
        <v>15071</v>
      </c>
    </row>
    <row r="14615" spans="1:16" x14ac:dyDescent="0.25">
      <c r="A14615" t="str">
        <f>"1200041F00015    00"</f>
        <v>1200041F00015    00</v>
      </c>
      <c r="B14615" t="s">
        <v>32056</v>
      </c>
      <c r="C14615" t="s">
        <v>32057</v>
      </c>
      <c r="D14615" t="s">
        <v>20</v>
      </c>
      <c r="E14615" t="s">
        <v>39</v>
      </c>
      <c r="F14615">
        <v>0</v>
      </c>
      <c r="G14615">
        <v>0</v>
      </c>
      <c r="H14615">
        <v>1</v>
      </c>
      <c r="I14615" s="3">
        <v>1984.15</v>
      </c>
      <c r="J14615" s="3">
        <v>0</v>
      </c>
      <c r="K14615" t="s">
        <v>32058</v>
      </c>
      <c r="L14615">
        <v>1402</v>
      </c>
      <c r="M14615" t="s">
        <v>21221</v>
      </c>
      <c r="N14615" t="s">
        <v>30</v>
      </c>
      <c r="O14615" t="s">
        <v>31</v>
      </c>
      <c r="P14615" t="str">
        <f>"15204"</f>
        <v>15204</v>
      </c>
    </row>
    <row r="14616" spans="1:16" x14ac:dyDescent="0.25">
      <c r="A14616" t="str">
        <f>"1200041G00215    00"</f>
        <v>1200041G00215    00</v>
      </c>
      <c r="B14616" t="s">
        <v>32008</v>
      </c>
      <c r="C14616" t="s">
        <v>31983</v>
      </c>
      <c r="D14616" t="s">
        <v>20</v>
      </c>
      <c r="E14616" t="s">
        <v>39</v>
      </c>
      <c r="F14616">
        <v>0</v>
      </c>
      <c r="G14616">
        <v>0</v>
      </c>
      <c r="H14616">
        <v>2</v>
      </c>
      <c r="I14616" s="3">
        <v>152.47999999999999</v>
      </c>
      <c r="J14616" s="3">
        <v>0</v>
      </c>
      <c r="L14616">
        <v>1053</v>
      </c>
      <c r="M14616" t="s">
        <v>32010</v>
      </c>
      <c r="N14616" t="s">
        <v>32011</v>
      </c>
      <c r="O14616" t="s">
        <v>31</v>
      </c>
      <c r="P14616" t="str">
        <f>"15019"</f>
        <v>15019</v>
      </c>
    </row>
    <row r="14617" spans="1:16" x14ac:dyDescent="0.25">
      <c r="A14617" t="str">
        <f>"1200041G00225    00"</f>
        <v>1200041G00225    00</v>
      </c>
      <c r="B14617" t="s">
        <v>32008</v>
      </c>
      <c r="C14617" t="s">
        <v>32013</v>
      </c>
      <c r="D14617" t="s">
        <v>20</v>
      </c>
      <c r="E14617" t="s">
        <v>39</v>
      </c>
      <c r="F14617">
        <v>0</v>
      </c>
      <c r="G14617">
        <v>0</v>
      </c>
      <c r="H14617">
        <v>2</v>
      </c>
      <c r="I14617" s="3">
        <v>316.42</v>
      </c>
      <c r="J14617" s="3">
        <v>0</v>
      </c>
      <c r="L14617">
        <v>1053</v>
      </c>
      <c r="M14617" t="s">
        <v>32010</v>
      </c>
      <c r="N14617" t="s">
        <v>32011</v>
      </c>
      <c r="O14617" t="s">
        <v>31</v>
      </c>
      <c r="P14617" t="str">
        <f>"15019"</f>
        <v>15019</v>
      </c>
    </row>
    <row r="14618" spans="1:16" x14ac:dyDescent="0.25">
      <c r="A14618" t="str">
        <f>"1200041H00195    00"</f>
        <v>1200041H00195    00</v>
      </c>
      <c r="B14618" t="s">
        <v>32059</v>
      </c>
      <c r="C14618" t="s">
        <v>32060</v>
      </c>
      <c r="D14618" t="s">
        <v>20</v>
      </c>
      <c r="E14618" t="s">
        <v>39</v>
      </c>
      <c r="F14618">
        <v>0</v>
      </c>
      <c r="G14618">
        <v>0</v>
      </c>
      <c r="H14618">
        <v>14</v>
      </c>
      <c r="I14618" s="3">
        <v>8119.53</v>
      </c>
      <c r="J14618" s="3">
        <v>5322.15</v>
      </c>
      <c r="L14618">
        <v>3124</v>
      </c>
      <c r="M14618" t="s">
        <v>26516</v>
      </c>
      <c r="N14618" t="s">
        <v>30</v>
      </c>
      <c r="O14618" t="s">
        <v>31</v>
      </c>
      <c r="P14618" t="str">
        <f>"15204"</f>
        <v>15204</v>
      </c>
    </row>
    <row r="14619" spans="1:16" x14ac:dyDescent="0.25">
      <c r="A14619" t="str">
        <f>"1200041H00196    00"</f>
        <v>1200041H00196    00</v>
      </c>
      <c r="B14619" t="s">
        <v>32061</v>
      </c>
      <c r="C14619" t="s">
        <v>32062</v>
      </c>
      <c r="D14619" t="s">
        <v>20</v>
      </c>
      <c r="E14619" t="s">
        <v>39</v>
      </c>
      <c r="F14619">
        <v>0</v>
      </c>
      <c r="G14619">
        <v>0</v>
      </c>
      <c r="H14619">
        <v>17</v>
      </c>
      <c r="I14619" s="3">
        <v>11666.66</v>
      </c>
      <c r="J14619" s="3">
        <v>9215.16</v>
      </c>
      <c r="L14619">
        <v>1609</v>
      </c>
      <c r="M14619" t="s">
        <v>32063</v>
      </c>
      <c r="N14619" t="s">
        <v>9669</v>
      </c>
      <c r="O14619" t="s">
        <v>31</v>
      </c>
      <c r="P14619" t="str">
        <f>"16102"</f>
        <v>16102</v>
      </c>
    </row>
    <row r="14620" spans="1:16" x14ac:dyDescent="0.25">
      <c r="A14620" t="str">
        <f>"1200041H00198    00"</f>
        <v>1200041H00198    00</v>
      </c>
      <c r="B14620" t="s">
        <v>32064</v>
      </c>
      <c r="C14620" t="s">
        <v>32065</v>
      </c>
      <c r="D14620" t="s">
        <v>20</v>
      </c>
      <c r="E14620" t="s">
        <v>39</v>
      </c>
      <c r="F14620">
        <v>0</v>
      </c>
      <c r="G14620">
        <v>0</v>
      </c>
      <c r="H14620">
        <v>17</v>
      </c>
      <c r="I14620" s="3">
        <v>8411.07</v>
      </c>
      <c r="J14620" s="3">
        <v>6128</v>
      </c>
      <c r="L14620">
        <v>885</v>
      </c>
      <c r="M14620" t="s">
        <v>21716</v>
      </c>
      <c r="N14620" t="s">
        <v>32066</v>
      </c>
      <c r="O14620" t="s">
        <v>31</v>
      </c>
      <c r="P14620" t="str">
        <f>"16201"</f>
        <v>16201</v>
      </c>
    </row>
    <row r="14621" spans="1:16" x14ac:dyDescent="0.25">
      <c r="A14621" t="str">
        <f>"1200041H00199    00"</f>
        <v>1200041H00199    00</v>
      </c>
      <c r="B14621" t="s">
        <v>32067</v>
      </c>
      <c r="C14621" t="s">
        <v>32068</v>
      </c>
      <c r="D14621" t="s">
        <v>20</v>
      </c>
      <c r="E14621" t="s">
        <v>39</v>
      </c>
      <c r="F14621">
        <v>0</v>
      </c>
      <c r="G14621">
        <v>0</v>
      </c>
      <c r="H14621">
        <v>15</v>
      </c>
      <c r="I14621" s="3">
        <v>7428.5</v>
      </c>
      <c r="J14621" s="3">
        <v>5251.78</v>
      </c>
      <c r="L14621">
        <v>809</v>
      </c>
      <c r="M14621" t="s">
        <v>32069</v>
      </c>
      <c r="N14621" t="s">
        <v>30</v>
      </c>
      <c r="O14621" t="s">
        <v>31</v>
      </c>
      <c r="P14621" t="str">
        <f>"15204"</f>
        <v>15204</v>
      </c>
    </row>
    <row r="14622" spans="1:16" x14ac:dyDescent="0.25">
      <c r="A14622" t="str">
        <f>"1200041H00200    00"</f>
        <v>1200041H00200    00</v>
      </c>
      <c r="B14622" t="s">
        <v>32070</v>
      </c>
      <c r="C14622" t="s">
        <v>32071</v>
      </c>
      <c r="D14622" t="s">
        <v>20</v>
      </c>
      <c r="E14622" t="s">
        <v>39</v>
      </c>
      <c r="F14622">
        <v>0</v>
      </c>
      <c r="G14622">
        <v>0</v>
      </c>
      <c r="H14622">
        <v>18</v>
      </c>
      <c r="I14622" s="3">
        <v>8090.82</v>
      </c>
      <c r="J14622" s="3">
        <v>10500.44</v>
      </c>
      <c r="L14622">
        <v>2537</v>
      </c>
      <c r="M14622" t="s">
        <v>5665</v>
      </c>
      <c r="N14622" t="s">
        <v>30</v>
      </c>
      <c r="O14622" t="s">
        <v>31</v>
      </c>
      <c r="P14622" t="str">
        <f>"15218"</f>
        <v>15218</v>
      </c>
    </row>
    <row r="14623" spans="1:16" x14ac:dyDescent="0.25">
      <c r="A14623" t="str">
        <f>"1200041H00202    00"</f>
        <v>1200041H00202    00</v>
      </c>
      <c r="B14623" t="s">
        <v>32072</v>
      </c>
      <c r="C14623" t="s">
        <v>32073</v>
      </c>
      <c r="E14623" t="s">
        <v>39</v>
      </c>
      <c r="F14623">
        <v>0</v>
      </c>
      <c r="G14623">
        <v>0</v>
      </c>
      <c r="H14623">
        <v>1</v>
      </c>
      <c r="I14623" s="3">
        <v>223.82</v>
      </c>
      <c r="J14623" s="3">
        <v>0</v>
      </c>
      <c r="K14623" t="s">
        <v>32074</v>
      </c>
      <c r="L14623">
        <v>1800</v>
      </c>
      <c r="M14623" t="s">
        <v>32075</v>
      </c>
      <c r="N14623" t="s">
        <v>30</v>
      </c>
      <c r="O14623" t="s">
        <v>31</v>
      </c>
      <c r="P14623" t="str">
        <f>"15217"</f>
        <v>15217</v>
      </c>
    </row>
    <row r="14624" spans="1:16" x14ac:dyDescent="0.25">
      <c r="A14624" t="str">
        <f>"1200042C00010    00"</f>
        <v>1200042C00010    00</v>
      </c>
      <c r="B14624" t="s">
        <v>32076</v>
      </c>
      <c r="C14624" t="s">
        <v>32077</v>
      </c>
      <c r="D14624" t="s">
        <v>20</v>
      </c>
      <c r="E14624" t="s">
        <v>39</v>
      </c>
      <c r="F14624">
        <v>0</v>
      </c>
      <c r="G14624">
        <v>0</v>
      </c>
      <c r="H14624">
        <v>2</v>
      </c>
      <c r="I14624" s="3">
        <v>1250.3399999999999</v>
      </c>
      <c r="J14624" s="3">
        <v>0</v>
      </c>
      <c r="K14624" t="s">
        <v>32078</v>
      </c>
      <c r="L14624">
        <v>4708</v>
      </c>
      <c r="M14624" t="s">
        <v>7908</v>
      </c>
      <c r="N14624" t="s">
        <v>30</v>
      </c>
      <c r="O14624" t="s">
        <v>31</v>
      </c>
      <c r="P14624" t="str">
        <f>"15224"</f>
        <v>15224</v>
      </c>
    </row>
    <row r="14625" spans="1:16" x14ac:dyDescent="0.25">
      <c r="A14625" t="str">
        <f>"1200042C00021    00"</f>
        <v>1200042C00021    00</v>
      </c>
      <c r="B14625" t="s">
        <v>32079</v>
      </c>
      <c r="C14625" t="s">
        <v>32080</v>
      </c>
      <c r="D14625" t="s">
        <v>20</v>
      </c>
      <c r="E14625" t="s">
        <v>39</v>
      </c>
      <c r="F14625">
        <v>0</v>
      </c>
      <c r="G14625">
        <v>0</v>
      </c>
      <c r="H14625">
        <v>16</v>
      </c>
      <c r="I14625" s="3">
        <v>11472.8</v>
      </c>
      <c r="J14625" s="3">
        <v>9063.09</v>
      </c>
      <c r="L14625">
        <v>455</v>
      </c>
      <c r="M14625" t="s">
        <v>32081</v>
      </c>
      <c r="N14625" t="s">
        <v>30</v>
      </c>
      <c r="O14625" t="s">
        <v>31</v>
      </c>
      <c r="P14625" t="str">
        <f>"15204"</f>
        <v>15204</v>
      </c>
    </row>
    <row r="14626" spans="1:16" x14ac:dyDescent="0.25">
      <c r="A14626" t="str">
        <f>"1200042C00047    00"</f>
        <v>1200042C00047    00</v>
      </c>
      <c r="B14626" t="s">
        <v>32082</v>
      </c>
      <c r="C14626" t="s">
        <v>32083</v>
      </c>
      <c r="D14626" t="s">
        <v>20</v>
      </c>
      <c r="E14626" t="s">
        <v>39</v>
      </c>
      <c r="F14626">
        <v>0</v>
      </c>
      <c r="G14626">
        <v>0</v>
      </c>
      <c r="H14626">
        <v>11</v>
      </c>
      <c r="I14626" s="3">
        <v>3625.53</v>
      </c>
      <c r="J14626" s="3">
        <v>1817.52</v>
      </c>
      <c r="L14626">
        <v>3252</v>
      </c>
      <c r="M14626" t="s">
        <v>31104</v>
      </c>
      <c r="N14626" t="s">
        <v>30</v>
      </c>
      <c r="O14626" t="s">
        <v>31</v>
      </c>
      <c r="P14626" t="str">
        <f>"15204"</f>
        <v>15204</v>
      </c>
    </row>
    <row r="14627" spans="1:16" x14ac:dyDescent="0.25">
      <c r="A14627" t="str">
        <f>"1200042C00074    00"</f>
        <v>1200042C00074    00</v>
      </c>
      <c r="B14627" t="s">
        <v>32084</v>
      </c>
      <c r="C14627" t="s">
        <v>32085</v>
      </c>
      <c r="D14627" t="s">
        <v>20</v>
      </c>
      <c r="E14627" t="s">
        <v>39</v>
      </c>
      <c r="F14627">
        <v>0</v>
      </c>
      <c r="G14627">
        <v>0</v>
      </c>
      <c r="H14627">
        <v>19</v>
      </c>
      <c r="I14627" s="3">
        <v>5205.16</v>
      </c>
      <c r="J14627" s="3">
        <v>5873.85</v>
      </c>
      <c r="L14627">
        <v>337</v>
      </c>
      <c r="M14627" t="s">
        <v>32081</v>
      </c>
      <c r="N14627" t="s">
        <v>30</v>
      </c>
      <c r="O14627" t="s">
        <v>31</v>
      </c>
      <c r="P14627" t="str">
        <f>"15204"</f>
        <v>15204</v>
      </c>
    </row>
    <row r="14628" spans="1:16" x14ac:dyDescent="0.25">
      <c r="A14628" t="str">
        <f>"1200042C00075    00"</f>
        <v>1200042C00075    00</v>
      </c>
      <c r="B14628" t="s">
        <v>32086</v>
      </c>
      <c r="C14628" t="s">
        <v>32087</v>
      </c>
      <c r="D14628" t="s">
        <v>20</v>
      </c>
      <c r="E14628" t="s">
        <v>39</v>
      </c>
      <c r="F14628">
        <v>0</v>
      </c>
      <c r="G14628">
        <v>0</v>
      </c>
      <c r="H14628">
        <v>2</v>
      </c>
      <c r="I14628" s="3">
        <v>816.59</v>
      </c>
      <c r="J14628" s="3">
        <v>0</v>
      </c>
      <c r="L14628">
        <v>335</v>
      </c>
      <c r="M14628" t="s">
        <v>32081</v>
      </c>
      <c r="N14628" t="s">
        <v>30</v>
      </c>
      <c r="O14628" t="s">
        <v>31</v>
      </c>
      <c r="P14628" t="str">
        <f>"15204"</f>
        <v>15204</v>
      </c>
    </row>
    <row r="14629" spans="1:16" x14ac:dyDescent="0.25">
      <c r="A14629" t="str">
        <f>"1200042C00076    00"</f>
        <v>1200042C00076    00</v>
      </c>
      <c r="B14629" t="s">
        <v>32088</v>
      </c>
      <c r="C14629" t="s">
        <v>32085</v>
      </c>
      <c r="D14629" t="s">
        <v>20</v>
      </c>
      <c r="E14629" t="s">
        <v>39</v>
      </c>
      <c r="F14629">
        <v>0</v>
      </c>
      <c r="G14629">
        <v>0</v>
      </c>
      <c r="H14629">
        <v>19</v>
      </c>
      <c r="I14629" s="3">
        <v>14459.28</v>
      </c>
      <c r="J14629" s="3">
        <v>16674.68</v>
      </c>
      <c r="L14629">
        <v>12</v>
      </c>
      <c r="M14629" t="s">
        <v>32089</v>
      </c>
      <c r="N14629" t="s">
        <v>625</v>
      </c>
      <c r="O14629" t="s">
        <v>31</v>
      </c>
      <c r="P14629" t="str">
        <f>"15108"</f>
        <v>15108</v>
      </c>
    </row>
    <row r="14630" spans="1:16" x14ac:dyDescent="0.25">
      <c r="A14630" t="str">
        <f>"1200042C00077    00"</f>
        <v>1200042C00077    00</v>
      </c>
      <c r="B14630" t="s">
        <v>32090</v>
      </c>
      <c r="C14630" t="s">
        <v>32091</v>
      </c>
      <c r="D14630" t="s">
        <v>20</v>
      </c>
      <c r="E14630" t="s">
        <v>39</v>
      </c>
      <c r="F14630">
        <v>0</v>
      </c>
      <c r="G14630">
        <v>0</v>
      </c>
      <c r="H14630">
        <v>4</v>
      </c>
      <c r="I14630" s="3">
        <v>2230.2600000000002</v>
      </c>
      <c r="J14630" s="3">
        <v>250.5</v>
      </c>
      <c r="L14630">
        <v>331</v>
      </c>
      <c r="M14630" t="s">
        <v>32081</v>
      </c>
      <c r="N14630" t="s">
        <v>30</v>
      </c>
      <c r="O14630" t="s">
        <v>31</v>
      </c>
      <c r="P14630" t="str">
        <f>"15204"</f>
        <v>15204</v>
      </c>
    </row>
    <row r="14631" spans="1:16" x14ac:dyDescent="0.25">
      <c r="A14631" t="str">
        <f>"1200042C00082    00"</f>
        <v>1200042C00082    00</v>
      </c>
      <c r="B14631" t="s">
        <v>32092</v>
      </c>
      <c r="C14631" t="s">
        <v>32093</v>
      </c>
      <c r="D14631" t="s">
        <v>20</v>
      </c>
      <c r="E14631" t="s">
        <v>39</v>
      </c>
      <c r="F14631">
        <v>0</v>
      </c>
      <c r="G14631">
        <v>0</v>
      </c>
      <c r="H14631">
        <v>3</v>
      </c>
      <c r="I14631" s="3">
        <v>1300.46</v>
      </c>
      <c r="J14631" s="3">
        <v>44.89</v>
      </c>
      <c r="L14631">
        <v>3328</v>
      </c>
      <c r="M14631" t="s">
        <v>31666</v>
      </c>
      <c r="N14631" t="s">
        <v>30</v>
      </c>
      <c r="O14631" t="s">
        <v>31</v>
      </c>
      <c r="P14631" t="str">
        <f>"15204"</f>
        <v>15204</v>
      </c>
    </row>
    <row r="14632" spans="1:16" x14ac:dyDescent="0.25">
      <c r="A14632" t="str">
        <f>"1200042C00085    00"</f>
        <v>1200042C00085    00</v>
      </c>
      <c r="B14632" t="s">
        <v>32094</v>
      </c>
      <c r="C14632" t="s">
        <v>32095</v>
      </c>
      <c r="D14632" t="s">
        <v>20</v>
      </c>
      <c r="E14632" t="s">
        <v>39</v>
      </c>
      <c r="F14632">
        <v>0</v>
      </c>
      <c r="G14632">
        <v>0</v>
      </c>
      <c r="H14632">
        <v>14</v>
      </c>
      <c r="I14632" s="3">
        <v>7678.47</v>
      </c>
      <c r="J14632" s="3">
        <v>4265.57</v>
      </c>
      <c r="L14632">
        <v>226</v>
      </c>
      <c r="M14632" t="s">
        <v>31666</v>
      </c>
      <c r="N14632" t="s">
        <v>30</v>
      </c>
      <c r="O14632" t="s">
        <v>31</v>
      </c>
      <c r="P14632" t="str">
        <f>"15204"</f>
        <v>15204</v>
      </c>
    </row>
    <row r="14633" spans="1:16" x14ac:dyDescent="0.25">
      <c r="A14633" t="str">
        <f>"1200042C00086    00"</f>
        <v>1200042C00086    00</v>
      </c>
      <c r="B14633" t="s">
        <v>32096</v>
      </c>
      <c r="C14633" t="s">
        <v>32097</v>
      </c>
      <c r="E14633" t="s">
        <v>39</v>
      </c>
      <c r="F14633">
        <v>0</v>
      </c>
      <c r="G14633">
        <v>0</v>
      </c>
      <c r="H14633">
        <v>3</v>
      </c>
      <c r="I14633" s="3">
        <v>1008.55</v>
      </c>
      <c r="J14633" s="3">
        <v>876.58</v>
      </c>
      <c r="K14633" t="s">
        <v>32098</v>
      </c>
      <c r="L14633">
        <v>2231</v>
      </c>
      <c r="M14633" t="s">
        <v>32099</v>
      </c>
      <c r="N14633" t="s">
        <v>17179</v>
      </c>
      <c r="O14633" t="s">
        <v>1184</v>
      </c>
      <c r="P14633" t="str">
        <f>"20748"</f>
        <v>20748</v>
      </c>
    </row>
    <row r="14634" spans="1:16" x14ac:dyDescent="0.25">
      <c r="A14634" t="str">
        <f>"1200042C00087    00"</f>
        <v>1200042C00087    00</v>
      </c>
      <c r="B14634" t="s">
        <v>32100</v>
      </c>
      <c r="C14634" t="s">
        <v>32101</v>
      </c>
      <c r="D14634" t="s">
        <v>20</v>
      </c>
      <c r="E14634" t="s">
        <v>39</v>
      </c>
      <c r="F14634">
        <v>0</v>
      </c>
      <c r="G14634">
        <v>0</v>
      </c>
      <c r="H14634">
        <v>6</v>
      </c>
      <c r="I14634" s="3">
        <v>1365.55</v>
      </c>
      <c r="J14634" s="3">
        <v>335.31</v>
      </c>
      <c r="L14634">
        <v>228</v>
      </c>
      <c r="M14634" t="s">
        <v>31666</v>
      </c>
      <c r="N14634" t="s">
        <v>30</v>
      </c>
      <c r="O14634" t="s">
        <v>31</v>
      </c>
      <c r="P14634" t="str">
        <f>"15204"</f>
        <v>15204</v>
      </c>
    </row>
    <row r="14635" spans="1:16" x14ac:dyDescent="0.25">
      <c r="A14635" t="str">
        <f>"1200042C00089    00"</f>
        <v>1200042C00089    00</v>
      </c>
      <c r="B14635" t="s">
        <v>32102</v>
      </c>
      <c r="C14635" t="s">
        <v>32103</v>
      </c>
      <c r="E14635" t="s">
        <v>39</v>
      </c>
      <c r="F14635">
        <v>0</v>
      </c>
      <c r="G14635">
        <v>0</v>
      </c>
      <c r="H14635">
        <v>3</v>
      </c>
      <c r="I14635" s="3">
        <v>936.19</v>
      </c>
      <c r="J14635" s="3">
        <v>23.4</v>
      </c>
      <c r="L14635">
        <v>28</v>
      </c>
      <c r="M14635" t="s">
        <v>32104</v>
      </c>
      <c r="N14635" t="s">
        <v>32105</v>
      </c>
      <c r="O14635" t="s">
        <v>200</v>
      </c>
      <c r="P14635" t="str">
        <f>"11746"</f>
        <v>11746</v>
      </c>
    </row>
    <row r="14636" spans="1:16" x14ac:dyDescent="0.25">
      <c r="A14636" t="str">
        <f>"1200042C00090    00"</f>
        <v>1200042C00090    00</v>
      </c>
      <c r="B14636" t="s">
        <v>32106</v>
      </c>
      <c r="C14636" t="s">
        <v>32107</v>
      </c>
      <c r="D14636" t="s">
        <v>20</v>
      </c>
      <c r="E14636" t="s">
        <v>39</v>
      </c>
      <c r="F14636">
        <v>0</v>
      </c>
      <c r="G14636">
        <v>0</v>
      </c>
      <c r="H14636">
        <v>19</v>
      </c>
      <c r="I14636" s="3">
        <v>19935.75</v>
      </c>
      <c r="J14636" s="3">
        <v>19553.310000000001</v>
      </c>
      <c r="L14636">
        <v>3323</v>
      </c>
      <c r="M14636" t="s">
        <v>31666</v>
      </c>
      <c r="N14636" t="s">
        <v>30</v>
      </c>
      <c r="O14636" t="s">
        <v>31</v>
      </c>
      <c r="P14636" t="str">
        <f>"15204"</f>
        <v>15204</v>
      </c>
    </row>
    <row r="14637" spans="1:16" x14ac:dyDescent="0.25">
      <c r="A14637" t="str">
        <f>"1200042C00091    00"</f>
        <v>1200042C00091    00</v>
      </c>
      <c r="B14637" t="s">
        <v>32108</v>
      </c>
      <c r="C14637" t="s">
        <v>32109</v>
      </c>
      <c r="D14637" t="s">
        <v>20</v>
      </c>
      <c r="E14637" t="s">
        <v>39</v>
      </c>
      <c r="F14637">
        <v>0</v>
      </c>
      <c r="G14637">
        <v>0</v>
      </c>
      <c r="H14637">
        <v>11</v>
      </c>
      <c r="I14637" s="3">
        <v>1310.1400000000001</v>
      </c>
      <c r="J14637" s="3">
        <v>701.3</v>
      </c>
      <c r="L14637">
        <v>3321</v>
      </c>
      <c r="M14637" t="s">
        <v>31666</v>
      </c>
      <c r="N14637" t="s">
        <v>30</v>
      </c>
      <c r="O14637" t="s">
        <v>31</v>
      </c>
      <c r="P14637" t="str">
        <f>"15204"</f>
        <v>15204</v>
      </c>
    </row>
    <row r="14638" spans="1:16" x14ac:dyDescent="0.25">
      <c r="A14638" t="str">
        <f>"1200042C00093    00"</f>
        <v>1200042C00093    00</v>
      </c>
      <c r="B14638" t="s">
        <v>32110</v>
      </c>
      <c r="C14638" t="s">
        <v>32111</v>
      </c>
      <c r="D14638" t="s">
        <v>20</v>
      </c>
      <c r="E14638" t="s">
        <v>39</v>
      </c>
      <c r="F14638">
        <v>0</v>
      </c>
      <c r="G14638">
        <v>0</v>
      </c>
      <c r="H14638">
        <v>19</v>
      </c>
      <c r="I14638" s="3">
        <v>14350.43</v>
      </c>
      <c r="J14638" s="3">
        <v>11522.24</v>
      </c>
      <c r="L14638">
        <v>100</v>
      </c>
      <c r="M14638" t="s">
        <v>32112</v>
      </c>
      <c r="N14638" t="s">
        <v>30</v>
      </c>
      <c r="O14638" t="s">
        <v>31</v>
      </c>
      <c r="P14638" t="str">
        <f>"15223"</f>
        <v>15223</v>
      </c>
    </row>
    <row r="14639" spans="1:16" x14ac:dyDescent="0.25">
      <c r="A14639" t="str">
        <f>"1200042C00095    00"</f>
        <v>1200042C00095    00</v>
      </c>
      <c r="B14639" t="s">
        <v>32113</v>
      </c>
      <c r="C14639" t="s">
        <v>32114</v>
      </c>
      <c r="D14639" t="s">
        <v>20</v>
      </c>
      <c r="E14639" t="s">
        <v>39</v>
      </c>
      <c r="F14639">
        <v>0</v>
      </c>
      <c r="G14639">
        <v>0</v>
      </c>
      <c r="H14639">
        <v>7</v>
      </c>
      <c r="I14639" s="3">
        <v>5294.87</v>
      </c>
      <c r="J14639" s="3">
        <v>1512.28</v>
      </c>
      <c r="L14639">
        <v>429</v>
      </c>
      <c r="M14639" t="s">
        <v>32115</v>
      </c>
      <c r="N14639" t="s">
        <v>285</v>
      </c>
      <c r="O14639" t="s">
        <v>31</v>
      </c>
      <c r="P14639" t="str">
        <f>"15120"</f>
        <v>15120</v>
      </c>
    </row>
    <row r="14640" spans="1:16" x14ac:dyDescent="0.25">
      <c r="A14640" t="str">
        <f>"1200042C00100    00"</f>
        <v>1200042C00100    00</v>
      </c>
      <c r="B14640" t="s">
        <v>32116</v>
      </c>
      <c r="C14640" t="s">
        <v>32117</v>
      </c>
      <c r="D14640" t="s">
        <v>20</v>
      </c>
      <c r="E14640" t="s">
        <v>39</v>
      </c>
      <c r="F14640">
        <v>0</v>
      </c>
      <c r="G14640">
        <v>0</v>
      </c>
      <c r="H14640">
        <v>3</v>
      </c>
      <c r="I14640" s="3">
        <v>1557.42</v>
      </c>
      <c r="J14640" s="3">
        <v>676.72</v>
      </c>
      <c r="L14640">
        <v>312</v>
      </c>
      <c r="M14640" t="s">
        <v>31666</v>
      </c>
      <c r="N14640" t="s">
        <v>30</v>
      </c>
      <c r="O14640" t="s">
        <v>31</v>
      </c>
      <c r="P14640" t="str">
        <f>"15204"</f>
        <v>15204</v>
      </c>
    </row>
    <row r="14641" spans="1:16" x14ac:dyDescent="0.25">
      <c r="A14641" t="str">
        <f>"1200042C00101    00"</f>
        <v>1200042C00101    00</v>
      </c>
      <c r="B14641" t="s">
        <v>32118</v>
      </c>
      <c r="C14641" t="s">
        <v>32119</v>
      </c>
      <c r="D14641" t="s">
        <v>20</v>
      </c>
      <c r="E14641" t="s">
        <v>39</v>
      </c>
      <c r="F14641">
        <v>0</v>
      </c>
      <c r="G14641">
        <v>0</v>
      </c>
      <c r="H14641">
        <v>13</v>
      </c>
      <c r="I14641" s="3">
        <v>12065.94</v>
      </c>
      <c r="J14641" s="3">
        <v>15261</v>
      </c>
      <c r="L14641">
        <v>314</v>
      </c>
      <c r="M14641" t="s">
        <v>31666</v>
      </c>
      <c r="N14641" t="s">
        <v>30</v>
      </c>
      <c r="O14641" t="s">
        <v>31</v>
      </c>
      <c r="P14641" t="str">
        <f>"15204"</f>
        <v>15204</v>
      </c>
    </row>
    <row r="14642" spans="1:16" x14ac:dyDescent="0.25">
      <c r="A14642" t="str">
        <f>"1200042C00112    00"</f>
        <v>1200042C00112    00</v>
      </c>
      <c r="B14642" t="s">
        <v>32120</v>
      </c>
      <c r="C14642" t="s">
        <v>32121</v>
      </c>
      <c r="D14642" t="s">
        <v>20</v>
      </c>
      <c r="E14642" t="s">
        <v>39</v>
      </c>
      <c r="F14642">
        <v>0</v>
      </c>
      <c r="G14642">
        <v>0</v>
      </c>
      <c r="H14642">
        <v>2</v>
      </c>
      <c r="I14642" s="3">
        <v>17.98</v>
      </c>
      <c r="J14642" s="3">
        <v>0</v>
      </c>
      <c r="L14642">
        <v>307</v>
      </c>
      <c r="M14642" t="s">
        <v>32122</v>
      </c>
      <c r="N14642" t="s">
        <v>30</v>
      </c>
      <c r="O14642" t="s">
        <v>31</v>
      </c>
      <c r="P14642" t="str">
        <f>"15204"</f>
        <v>15204</v>
      </c>
    </row>
    <row r="14643" spans="1:16" x14ac:dyDescent="0.25">
      <c r="A14643" t="str">
        <f>"1200042C00129    00"</f>
        <v>1200042C00129    00</v>
      </c>
      <c r="B14643" t="s">
        <v>32123</v>
      </c>
      <c r="C14643" t="s">
        <v>32124</v>
      </c>
      <c r="E14643" t="s">
        <v>39</v>
      </c>
      <c r="F14643">
        <v>0</v>
      </c>
      <c r="G14643">
        <v>0</v>
      </c>
      <c r="H14643">
        <v>1</v>
      </c>
      <c r="I14643" s="3">
        <v>362.14</v>
      </c>
      <c r="J14643" s="3">
        <v>0</v>
      </c>
      <c r="L14643">
        <v>1832</v>
      </c>
      <c r="M14643" t="s">
        <v>32125</v>
      </c>
      <c r="N14643" t="s">
        <v>30</v>
      </c>
      <c r="O14643" t="s">
        <v>31</v>
      </c>
      <c r="P14643" t="str">
        <f>"15212"</f>
        <v>15212</v>
      </c>
    </row>
    <row r="14644" spans="1:16" x14ac:dyDescent="0.25">
      <c r="A14644" t="str">
        <f>"1200042C00130    00"</f>
        <v>1200042C00130    00</v>
      </c>
      <c r="B14644" t="s">
        <v>32126</v>
      </c>
      <c r="C14644" t="s">
        <v>32127</v>
      </c>
      <c r="E14644" t="s">
        <v>39</v>
      </c>
      <c r="F14644">
        <v>0</v>
      </c>
      <c r="G14644">
        <v>0</v>
      </c>
      <c r="H14644">
        <v>1</v>
      </c>
      <c r="I14644" s="3">
        <v>225.51</v>
      </c>
      <c r="J14644" s="3">
        <v>0</v>
      </c>
      <c r="L14644">
        <v>227</v>
      </c>
      <c r="M14644" t="s">
        <v>32128</v>
      </c>
      <c r="N14644" t="s">
        <v>30</v>
      </c>
      <c r="O14644" t="s">
        <v>31</v>
      </c>
      <c r="P14644" t="str">
        <f t="shared" ref="P14644:P14650" si="188">"15204"</f>
        <v>15204</v>
      </c>
    </row>
    <row r="14645" spans="1:16" x14ac:dyDescent="0.25">
      <c r="A14645" t="str">
        <f>"1200042C00131    00"</f>
        <v>1200042C00131    00</v>
      </c>
      <c r="B14645" t="s">
        <v>32129</v>
      </c>
      <c r="C14645" t="s">
        <v>32130</v>
      </c>
      <c r="D14645" t="s">
        <v>20</v>
      </c>
      <c r="E14645" t="s">
        <v>39</v>
      </c>
      <c r="F14645">
        <v>0</v>
      </c>
      <c r="G14645">
        <v>0</v>
      </c>
      <c r="H14645">
        <v>1</v>
      </c>
      <c r="I14645" s="3">
        <v>307.33</v>
      </c>
      <c r="J14645" s="3">
        <v>0</v>
      </c>
      <c r="K14645" t="s">
        <v>32131</v>
      </c>
      <c r="L14645">
        <v>229</v>
      </c>
      <c r="M14645" t="s">
        <v>32128</v>
      </c>
      <c r="N14645" t="s">
        <v>30</v>
      </c>
      <c r="O14645" t="s">
        <v>31</v>
      </c>
      <c r="P14645" t="str">
        <f t="shared" si="188"/>
        <v>15204</v>
      </c>
    </row>
    <row r="14646" spans="1:16" x14ac:dyDescent="0.25">
      <c r="A14646" t="str">
        <f>"1200042C00133    00"</f>
        <v>1200042C00133    00</v>
      </c>
      <c r="B14646" t="s">
        <v>32132</v>
      </c>
      <c r="C14646" t="s">
        <v>32133</v>
      </c>
      <c r="D14646" t="s">
        <v>20</v>
      </c>
      <c r="E14646" t="s">
        <v>39</v>
      </c>
      <c r="F14646">
        <v>0</v>
      </c>
      <c r="G14646">
        <v>0</v>
      </c>
      <c r="H14646">
        <v>18</v>
      </c>
      <c r="I14646" s="3">
        <v>6612.66</v>
      </c>
      <c r="J14646" s="3">
        <v>4708.46</v>
      </c>
      <c r="L14646">
        <v>320</v>
      </c>
      <c r="M14646" t="s">
        <v>32122</v>
      </c>
      <c r="N14646" t="s">
        <v>30</v>
      </c>
      <c r="O14646" t="s">
        <v>31</v>
      </c>
      <c r="P14646" t="str">
        <f t="shared" si="188"/>
        <v>15204</v>
      </c>
    </row>
    <row r="14647" spans="1:16" x14ac:dyDescent="0.25">
      <c r="A14647" t="str">
        <f>"1200042C00137    00"</f>
        <v>1200042C00137    00</v>
      </c>
      <c r="B14647" t="s">
        <v>32134</v>
      </c>
      <c r="C14647" t="s">
        <v>32133</v>
      </c>
      <c r="D14647" t="s">
        <v>20</v>
      </c>
      <c r="E14647" t="s">
        <v>39</v>
      </c>
      <c r="F14647">
        <v>0</v>
      </c>
      <c r="G14647">
        <v>0</v>
      </c>
      <c r="H14647">
        <v>19</v>
      </c>
      <c r="I14647" s="3">
        <v>8240.52</v>
      </c>
      <c r="J14647" s="3">
        <v>7041.67</v>
      </c>
      <c r="L14647">
        <v>315</v>
      </c>
      <c r="M14647" t="s">
        <v>32122</v>
      </c>
      <c r="N14647" t="s">
        <v>30</v>
      </c>
      <c r="O14647" t="s">
        <v>31</v>
      </c>
      <c r="P14647" t="str">
        <f t="shared" si="188"/>
        <v>15204</v>
      </c>
    </row>
    <row r="14648" spans="1:16" x14ac:dyDescent="0.25">
      <c r="A14648" t="str">
        <f>"1200042C00141    00"</f>
        <v>1200042C00141    00</v>
      </c>
      <c r="B14648" t="s">
        <v>32135</v>
      </c>
      <c r="C14648" t="s">
        <v>32136</v>
      </c>
      <c r="D14648" t="s">
        <v>20</v>
      </c>
      <c r="E14648" t="s">
        <v>39</v>
      </c>
      <c r="F14648">
        <v>0</v>
      </c>
      <c r="G14648">
        <v>0</v>
      </c>
      <c r="H14648">
        <v>2</v>
      </c>
      <c r="I14648" s="3">
        <v>1600.33</v>
      </c>
      <c r="J14648" s="3">
        <v>0</v>
      </c>
      <c r="K14648" t="s">
        <v>32137</v>
      </c>
      <c r="L14648">
        <v>2905</v>
      </c>
      <c r="M14648" t="s">
        <v>31104</v>
      </c>
      <c r="N14648" t="s">
        <v>30</v>
      </c>
      <c r="O14648" t="s">
        <v>31</v>
      </c>
      <c r="P14648" t="str">
        <f t="shared" si="188"/>
        <v>15204</v>
      </c>
    </row>
    <row r="14649" spans="1:16" x14ac:dyDescent="0.25">
      <c r="A14649" t="str">
        <f>"1200042C00142    00"</f>
        <v>1200042C00142    00</v>
      </c>
      <c r="B14649" t="s">
        <v>32138</v>
      </c>
      <c r="C14649" t="s">
        <v>32133</v>
      </c>
      <c r="D14649" t="s">
        <v>20</v>
      </c>
      <c r="E14649" t="s">
        <v>39</v>
      </c>
      <c r="F14649">
        <v>0</v>
      </c>
      <c r="G14649">
        <v>0</v>
      </c>
      <c r="H14649">
        <v>19</v>
      </c>
      <c r="I14649" s="3">
        <v>5596.04</v>
      </c>
      <c r="J14649" s="3">
        <v>3372.14</v>
      </c>
      <c r="L14649">
        <v>315</v>
      </c>
      <c r="M14649" t="s">
        <v>32122</v>
      </c>
      <c r="N14649" t="s">
        <v>30</v>
      </c>
      <c r="O14649" t="s">
        <v>31</v>
      </c>
      <c r="P14649" t="str">
        <f t="shared" si="188"/>
        <v>15204</v>
      </c>
    </row>
    <row r="14650" spans="1:16" x14ac:dyDescent="0.25">
      <c r="A14650" t="str">
        <f>"1200042C00144    00"</f>
        <v>1200042C00144    00</v>
      </c>
      <c r="B14650" t="s">
        <v>32139</v>
      </c>
      <c r="C14650" t="s">
        <v>32140</v>
      </c>
      <c r="D14650" t="s">
        <v>20</v>
      </c>
      <c r="E14650" t="s">
        <v>39</v>
      </c>
      <c r="F14650">
        <v>0</v>
      </c>
      <c r="G14650">
        <v>0</v>
      </c>
      <c r="H14650">
        <v>6</v>
      </c>
      <c r="I14650" s="3">
        <v>8100.51</v>
      </c>
      <c r="J14650" s="3">
        <v>1816.76</v>
      </c>
      <c r="L14650">
        <v>3324</v>
      </c>
      <c r="M14650" t="s">
        <v>32128</v>
      </c>
      <c r="N14650" t="s">
        <v>30</v>
      </c>
      <c r="O14650" t="s">
        <v>31</v>
      </c>
      <c r="P14650" t="str">
        <f t="shared" si="188"/>
        <v>15204</v>
      </c>
    </row>
    <row r="14651" spans="1:16" x14ac:dyDescent="0.25">
      <c r="A14651" t="str">
        <f>"1200042C00150    00"</f>
        <v>1200042C00150    00</v>
      </c>
      <c r="B14651" t="s">
        <v>32141</v>
      </c>
      <c r="C14651" t="s">
        <v>32142</v>
      </c>
      <c r="D14651" t="s">
        <v>20</v>
      </c>
      <c r="E14651" t="s">
        <v>39</v>
      </c>
      <c r="F14651">
        <v>0</v>
      </c>
      <c r="G14651">
        <v>0</v>
      </c>
      <c r="H14651">
        <v>17</v>
      </c>
      <c r="I14651" s="3">
        <v>4640.8999999999996</v>
      </c>
      <c r="J14651" s="3">
        <v>6134.8</v>
      </c>
      <c r="L14651">
        <v>2195</v>
      </c>
      <c r="M14651" t="s">
        <v>32143</v>
      </c>
      <c r="N14651" t="s">
        <v>32144</v>
      </c>
      <c r="O14651" t="s">
        <v>31</v>
      </c>
      <c r="P14651" t="str">
        <f>"16025"</f>
        <v>16025</v>
      </c>
    </row>
    <row r="14652" spans="1:16" x14ac:dyDescent="0.25">
      <c r="A14652" t="str">
        <f>"1200042C00151    00"</f>
        <v>1200042C00151    00</v>
      </c>
      <c r="B14652" t="s">
        <v>32145</v>
      </c>
      <c r="C14652" t="s">
        <v>32142</v>
      </c>
      <c r="D14652" t="s">
        <v>20</v>
      </c>
      <c r="E14652" t="s">
        <v>39</v>
      </c>
      <c r="F14652">
        <v>0</v>
      </c>
      <c r="G14652">
        <v>0</v>
      </c>
      <c r="H14652">
        <v>10</v>
      </c>
      <c r="I14652" s="3">
        <v>1284.23</v>
      </c>
      <c r="J14652" s="3">
        <v>1242.78</v>
      </c>
      <c r="L14652">
        <v>432</v>
      </c>
      <c r="M14652" t="s">
        <v>18858</v>
      </c>
      <c r="N14652" t="s">
        <v>903</v>
      </c>
      <c r="O14652" t="s">
        <v>31</v>
      </c>
      <c r="P14652" t="str">
        <f>"15136"</f>
        <v>15136</v>
      </c>
    </row>
    <row r="14653" spans="1:16" x14ac:dyDescent="0.25">
      <c r="A14653" t="str">
        <f>"1200042C00163    00"</f>
        <v>1200042C00163    00</v>
      </c>
      <c r="B14653" t="s">
        <v>32146</v>
      </c>
      <c r="C14653" t="s">
        <v>32142</v>
      </c>
      <c r="D14653" t="s">
        <v>20</v>
      </c>
      <c r="E14653" t="s">
        <v>39</v>
      </c>
      <c r="F14653">
        <v>0</v>
      </c>
      <c r="G14653">
        <v>0</v>
      </c>
      <c r="H14653">
        <v>19</v>
      </c>
      <c r="I14653" s="3">
        <v>688.1</v>
      </c>
      <c r="J14653" s="3">
        <v>791.1</v>
      </c>
      <c r="K14653" t="s">
        <v>32147</v>
      </c>
      <c r="L14653">
        <v>3313</v>
      </c>
      <c r="M14653" t="s">
        <v>32148</v>
      </c>
      <c r="N14653" t="s">
        <v>30</v>
      </c>
      <c r="O14653" t="s">
        <v>31</v>
      </c>
      <c r="P14653" t="str">
        <f>"15204"</f>
        <v>15204</v>
      </c>
    </row>
    <row r="14654" spans="1:16" x14ac:dyDescent="0.25">
      <c r="A14654" t="str">
        <f>"1200042C00164    00"</f>
        <v>1200042C00164    00</v>
      </c>
      <c r="B14654" t="s">
        <v>32149</v>
      </c>
      <c r="C14654" t="s">
        <v>32142</v>
      </c>
      <c r="D14654" t="s">
        <v>20</v>
      </c>
      <c r="E14654" t="s">
        <v>39</v>
      </c>
      <c r="F14654">
        <v>0</v>
      </c>
      <c r="G14654">
        <v>0</v>
      </c>
      <c r="H14654">
        <v>19</v>
      </c>
      <c r="I14654" s="3">
        <v>9806.18</v>
      </c>
      <c r="J14654" s="3">
        <v>13698.44</v>
      </c>
      <c r="L14654">
        <v>3315</v>
      </c>
      <c r="M14654" t="s">
        <v>32128</v>
      </c>
      <c r="N14654" t="s">
        <v>30</v>
      </c>
      <c r="O14654" t="s">
        <v>31</v>
      </c>
      <c r="P14654" t="str">
        <f>"15204"</f>
        <v>15204</v>
      </c>
    </row>
    <row r="14655" spans="1:16" x14ac:dyDescent="0.25">
      <c r="A14655" t="str">
        <f>"1200042C00170    00"</f>
        <v>1200042C00170    00</v>
      </c>
      <c r="B14655" t="s">
        <v>32150</v>
      </c>
      <c r="C14655" t="s">
        <v>32133</v>
      </c>
      <c r="D14655" t="s">
        <v>20</v>
      </c>
      <c r="E14655" t="s">
        <v>39</v>
      </c>
      <c r="F14655">
        <v>0</v>
      </c>
      <c r="G14655">
        <v>0</v>
      </c>
      <c r="H14655">
        <v>10</v>
      </c>
      <c r="I14655" s="3">
        <v>202.99</v>
      </c>
      <c r="J14655" s="3">
        <v>87.48</v>
      </c>
      <c r="L14655">
        <v>1051</v>
      </c>
      <c r="M14655" t="s">
        <v>30515</v>
      </c>
      <c r="N14655" t="s">
        <v>30</v>
      </c>
      <c r="O14655" t="s">
        <v>31</v>
      </c>
      <c r="P14655" t="str">
        <f>"15220"</f>
        <v>15220</v>
      </c>
    </row>
    <row r="14656" spans="1:16" x14ac:dyDescent="0.25">
      <c r="A14656" t="str">
        <f>"1200042C00174    00"</f>
        <v>1200042C00174    00</v>
      </c>
      <c r="B14656" t="s">
        <v>32151</v>
      </c>
      <c r="C14656" t="s">
        <v>32133</v>
      </c>
      <c r="D14656" t="s">
        <v>20</v>
      </c>
      <c r="E14656" t="s">
        <v>39</v>
      </c>
      <c r="F14656">
        <v>0</v>
      </c>
      <c r="G14656">
        <v>0</v>
      </c>
      <c r="H14656">
        <v>19</v>
      </c>
      <c r="I14656" s="3">
        <v>9730.94</v>
      </c>
      <c r="J14656" s="3">
        <v>7960.98</v>
      </c>
      <c r="P14656" t="str">
        <f>""</f>
        <v/>
      </c>
    </row>
    <row r="14657" spans="1:16" x14ac:dyDescent="0.25">
      <c r="A14657" t="str">
        <f>"1200042C00176    00"</f>
        <v>1200042C00176    00</v>
      </c>
      <c r="B14657" t="s">
        <v>17622</v>
      </c>
      <c r="C14657" t="s">
        <v>32152</v>
      </c>
      <c r="D14657" t="s">
        <v>20</v>
      </c>
      <c r="E14657" t="s">
        <v>39</v>
      </c>
      <c r="F14657">
        <v>0</v>
      </c>
      <c r="G14657">
        <v>0</v>
      </c>
      <c r="H14657">
        <v>3</v>
      </c>
      <c r="I14657" s="3">
        <v>2288.77</v>
      </c>
      <c r="J14657" s="3">
        <v>94.09</v>
      </c>
      <c r="K14657" t="s">
        <v>17624</v>
      </c>
      <c r="L14657">
        <v>521</v>
      </c>
      <c r="M14657" t="s">
        <v>17625</v>
      </c>
      <c r="N14657" t="s">
        <v>30</v>
      </c>
      <c r="O14657" t="s">
        <v>31</v>
      </c>
      <c r="P14657" t="str">
        <f>"15205"</f>
        <v>15205</v>
      </c>
    </row>
    <row r="14658" spans="1:16" x14ac:dyDescent="0.25">
      <c r="A14658" t="str">
        <f>"1200042C00177    00"</f>
        <v>1200042C00177    00</v>
      </c>
      <c r="B14658" t="s">
        <v>32153</v>
      </c>
      <c r="C14658" t="s">
        <v>32133</v>
      </c>
      <c r="D14658" t="s">
        <v>20</v>
      </c>
      <c r="E14658" t="s">
        <v>39</v>
      </c>
      <c r="F14658">
        <v>0</v>
      </c>
      <c r="G14658">
        <v>0</v>
      </c>
      <c r="H14658">
        <v>18</v>
      </c>
      <c r="I14658" s="3">
        <v>5549.07</v>
      </c>
      <c r="J14658" s="3">
        <v>3308.34</v>
      </c>
      <c r="K14658" t="s">
        <v>32154</v>
      </c>
      <c r="L14658">
        <v>3341</v>
      </c>
      <c r="M14658" t="s">
        <v>31666</v>
      </c>
      <c r="N14658" t="s">
        <v>30</v>
      </c>
      <c r="O14658" t="s">
        <v>31</v>
      </c>
      <c r="P14658" t="str">
        <f>"15204"</f>
        <v>15204</v>
      </c>
    </row>
    <row r="14659" spans="1:16" x14ac:dyDescent="0.25">
      <c r="A14659" t="str">
        <f>"1200042C00185    00"</f>
        <v>1200042C00185    00</v>
      </c>
      <c r="B14659" t="s">
        <v>32155</v>
      </c>
      <c r="C14659" t="s">
        <v>32156</v>
      </c>
      <c r="D14659" t="s">
        <v>20</v>
      </c>
      <c r="E14659" t="s">
        <v>39</v>
      </c>
      <c r="F14659">
        <v>0</v>
      </c>
      <c r="G14659">
        <v>0</v>
      </c>
      <c r="H14659">
        <v>14</v>
      </c>
      <c r="I14659" s="3">
        <v>11020.11</v>
      </c>
      <c r="J14659" s="3">
        <v>7308.88</v>
      </c>
      <c r="L14659">
        <v>812</v>
      </c>
      <c r="M14659" t="s">
        <v>19666</v>
      </c>
      <c r="N14659" t="s">
        <v>30</v>
      </c>
      <c r="O14659" t="s">
        <v>31</v>
      </c>
      <c r="P14659" t="str">
        <f>"15217"</f>
        <v>15217</v>
      </c>
    </row>
    <row r="14660" spans="1:16" x14ac:dyDescent="0.25">
      <c r="A14660" t="str">
        <f>"1200042C00203    00"</f>
        <v>1200042C00203    00</v>
      </c>
      <c r="B14660" t="s">
        <v>32157</v>
      </c>
      <c r="C14660" t="s">
        <v>32133</v>
      </c>
      <c r="D14660" t="s">
        <v>20</v>
      </c>
      <c r="E14660" t="s">
        <v>39</v>
      </c>
      <c r="F14660">
        <v>0</v>
      </c>
      <c r="G14660">
        <v>0</v>
      </c>
      <c r="H14660">
        <v>19</v>
      </c>
      <c r="I14660" s="3">
        <v>7411.64</v>
      </c>
      <c r="J14660" s="3">
        <v>6670.43</v>
      </c>
      <c r="L14660">
        <v>408</v>
      </c>
      <c r="M14660" t="s">
        <v>32122</v>
      </c>
      <c r="N14660" t="s">
        <v>30</v>
      </c>
      <c r="O14660" t="s">
        <v>31</v>
      </c>
      <c r="P14660" t="str">
        <f>"15204"</f>
        <v>15204</v>
      </c>
    </row>
    <row r="14661" spans="1:16" x14ac:dyDescent="0.25">
      <c r="A14661" t="str">
        <f>"1200042C00208    00"</f>
        <v>1200042C00208    00</v>
      </c>
      <c r="B14661" t="s">
        <v>32158</v>
      </c>
      <c r="C14661" t="s">
        <v>32159</v>
      </c>
      <c r="D14661" t="s">
        <v>20</v>
      </c>
      <c r="E14661" t="s">
        <v>39</v>
      </c>
      <c r="F14661">
        <v>0</v>
      </c>
      <c r="G14661">
        <v>0</v>
      </c>
      <c r="H14661">
        <v>8</v>
      </c>
      <c r="I14661" s="3">
        <v>5597.86</v>
      </c>
      <c r="J14661" s="3">
        <v>1639.44</v>
      </c>
      <c r="K14661" t="s">
        <v>32160</v>
      </c>
      <c r="L14661">
        <v>831</v>
      </c>
      <c r="M14661" t="s">
        <v>3522</v>
      </c>
      <c r="N14661" t="s">
        <v>903</v>
      </c>
      <c r="O14661" t="s">
        <v>31</v>
      </c>
      <c r="P14661" t="str">
        <f>"15136"</f>
        <v>15136</v>
      </c>
    </row>
    <row r="14662" spans="1:16" x14ac:dyDescent="0.25">
      <c r="A14662" t="str">
        <f>"1200042D00009    00"</f>
        <v>1200042D00009    00</v>
      </c>
      <c r="B14662" t="s">
        <v>32161</v>
      </c>
      <c r="C14662" t="s">
        <v>32133</v>
      </c>
      <c r="D14662" t="s">
        <v>20</v>
      </c>
      <c r="E14662" t="s">
        <v>21</v>
      </c>
      <c r="F14662">
        <v>0</v>
      </c>
      <c r="G14662">
        <v>0</v>
      </c>
      <c r="H14662">
        <v>19</v>
      </c>
      <c r="I14662" s="3">
        <v>13628.58</v>
      </c>
      <c r="J14662" s="3">
        <v>15378.58</v>
      </c>
      <c r="K14662" t="s">
        <v>32162</v>
      </c>
      <c r="L14662">
        <v>221</v>
      </c>
      <c r="M14662" t="s">
        <v>32122</v>
      </c>
      <c r="N14662" t="s">
        <v>30</v>
      </c>
      <c r="O14662" t="s">
        <v>31</v>
      </c>
      <c r="P14662" t="str">
        <f>"15204"</f>
        <v>15204</v>
      </c>
    </row>
    <row r="14663" spans="1:16" x14ac:dyDescent="0.25">
      <c r="A14663" t="str">
        <f>"1200042D00010    00"</f>
        <v>1200042D00010    00</v>
      </c>
      <c r="B14663" t="s">
        <v>32163</v>
      </c>
      <c r="C14663" t="s">
        <v>32164</v>
      </c>
      <c r="D14663" t="s">
        <v>33</v>
      </c>
      <c r="E14663" t="s">
        <v>39</v>
      </c>
      <c r="F14663">
        <v>0</v>
      </c>
      <c r="G14663">
        <v>0</v>
      </c>
      <c r="H14663">
        <v>7</v>
      </c>
      <c r="I14663" s="3">
        <v>545.41999999999996</v>
      </c>
      <c r="J14663" s="3">
        <v>92.05</v>
      </c>
      <c r="K14663" t="s">
        <v>32165</v>
      </c>
      <c r="L14663">
        <v>307</v>
      </c>
      <c r="M14663" t="s">
        <v>31666</v>
      </c>
      <c r="N14663" t="s">
        <v>30</v>
      </c>
      <c r="O14663" t="s">
        <v>31</v>
      </c>
      <c r="P14663" t="str">
        <f>"15204"</f>
        <v>15204</v>
      </c>
    </row>
    <row r="14664" spans="1:16" x14ac:dyDescent="0.25">
      <c r="A14664" t="str">
        <f>"1200042D00014    00"</f>
        <v>1200042D00014    00</v>
      </c>
      <c r="B14664" t="s">
        <v>32166</v>
      </c>
      <c r="C14664" t="s">
        <v>32167</v>
      </c>
      <c r="E14664" t="s">
        <v>39</v>
      </c>
      <c r="F14664">
        <v>0</v>
      </c>
      <c r="G14664">
        <v>0</v>
      </c>
      <c r="H14664">
        <v>1</v>
      </c>
      <c r="I14664" s="3">
        <v>221.14</v>
      </c>
      <c r="J14664" s="3">
        <v>0</v>
      </c>
      <c r="L14664">
        <v>446</v>
      </c>
      <c r="M14664" t="s">
        <v>32168</v>
      </c>
      <c r="N14664" t="s">
        <v>30</v>
      </c>
      <c r="O14664" t="s">
        <v>31</v>
      </c>
      <c r="P14664" t="str">
        <f>"15234"</f>
        <v>15234</v>
      </c>
    </row>
    <row r="14665" spans="1:16" x14ac:dyDescent="0.25">
      <c r="A14665" t="str">
        <f>"1200042D00037    00"</f>
        <v>1200042D00037    00</v>
      </c>
      <c r="B14665" t="s">
        <v>32169</v>
      </c>
      <c r="C14665" t="s">
        <v>32170</v>
      </c>
      <c r="E14665" t="s">
        <v>39</v>
      </c>
      <c r="F14665">
        <v>0</v>
      </c>
      <c r="G14665">
        <v>0</v>
      </c>
      <c r="H14665">
        <v>7</v>
      </c>
      <c r="I14665" s="3">
        <v>2626.68</v>
      </c>
      <c r="J14665" s="3">
        <v>3174.91</v>
      </c>
      <c r="L14665">
        <v>3538</v>
      </c>
      <c r="M14665" t="s">
        <v>16891</v>
      </c>
      <c r="N14665" t="s">
        <v>30</v>
      </c>
      <c r="O14665" t="s">
        <v>31</v>
      </c>
      <c r="P14665" t="str">
        <f>"15204"</f>
        <v>15204</v>
      </c>
    </row>
    <row r="14666" spans="1:16" x14ac:dyDescent="0.25">
      <c r="A14666" t="str">
        <f>"1200042D00038    00"</f>
        <v>1200042D00038    00</v>
      </c>
      <c r="B14666" t="s">
        <v>32171</v>
      </c>
      <c r="C14666" t="s">
        <v>32170</v>
      </c>
      <c r="D14666" t="s">
        <v>20</v>
      </c>
      <c r="E14666" t="s">
        <v>39</v>
      </c>
      <c r="F14666">
        <v>0</v>
      </c>
      <c r="G14666">
        <v>0</v>
      </c>
      <c r="H14666">
        <v>17</v>
      </c>
      <c r="I14666" s="3">
        <v>5516.29</v>
      </c>
      <c r="J14666" s="3">
        <v>3098.64</v>
      </c>
      <c r="L14666">
        <v>5149</v>
      </c>
      <c r="M14666" t="s">
        <v>8223</v>
      </c>
      <c r="N14666" t="s">
        <v>30</v>
      </c>
      <c r="O14666" t="s">
        <v>31</v>
      </c>
      <c r="P14666" t="str">
        <f>"15205"</f>
        <v>15205</v>
      </c>
    </row>
    <row r="14667" spans="1:16" x14ac:dyDescent="0.25">
      <c r="A14667" t="str">
        <f>"1200042D00039    00"</f>
        <v>1200042D00039    00</v>
      </c>
      <c r="B14667" t="s">
        <v>32172</v>
      </c>
      <c r="C14667" t="s">
        <v>32170</v>
      </c>
      <c r="D14667" t="s">
        <v>20</v>
      </c>
      <c r="E14667" t="s">
        <v>39</v>
      </c>
      <c r="F14667">
        <v>0</v>
      </c>
      <c r="G14667">
        <v>0</v>
      </c>
      <c r="H14667">
        <v>19</v>
      </c>
      <c r="I14667" s="3">
        <v>31149.37</v>
      </c>
      <c r="J14667" s="3">
        <v>42338.33</v>
      </c>
      <c r="L14667">
        <v>310</v>
      </c>
      <c r="M14667" t="s">
        <v>32173</v>
      </c>
      <c r="N14667" t="s">
        <v>30</v>
      </c>
      <c r="O14667" t="s">
        <v>31</v>
      </c>
      <c r="P14667" t="str">
        <f>"15204"</f>
        <v>15204</v>
      </c>
    </row>
    <row r="14668" spans="1:16" x14ac:dyDescent="0.25">
      <c r="A14668" t="str">
        <f>"1200042D00042    00"</f>
        <v>1200042D00042    00</v>
      </c>
      <c r="B14668" t="s">
        <v>32174</v>
      </c>
      <c r="C14668" t="s">
        <v>32170</v>
      </c>
      <c r="D14668" t="s">
        <v>20</v>
      </c>
      <c r="E14668" t="s">
        <v>39</v>
      </c>
      <c r="F14668">
        <v>0</v>
      </c>
      <c r="G14668">
        <v>0</v>
      </c>
      <c r="H14668">
        <v>18</v>
      </c>
      <c r="I14668" s="3">
        <v>5271.79</v>
      </c>
      <c r="J14668" s="3">
        <v>6769.41</v>
      </c>
      <c r="L14668">
        <v>304</v>
      </c>
      <c r="M14668" t="s">
        <v>32173</v>
      </c>
      <c r="N14668" t="s">
        <v>30</v>
      </c>
      <c r="O14668" t="s">
        <v>31</v>
      </c>
      <c r="P14668" t="str">
        <f>"15204"</f>
        <v>15204</v>
      </c>
    </row>
    <row r="14669" spans="1:16" x14ac:dyDescent="0.25">
      <c r="A14669" t="str">
        <f>"1200042D00044    00"</f>
        <v>1200042D00044    00</v>
      </c>
      <c r="B14669" t="s">
        <v>32175</v>
      </c>
      <c r="C14669" t="s">
        <v>32176</v>
      </c>
      <c r="D14669" t="s">
        <v>20</v>
      </c>
      <c r="E14669" t="s">
        <v>21</v>
      </c>
      <c r="F14669">
        <v>0</v>
      </c>
      <c r="G14669">
        <v>0</v>
      </c>
      <c r="H14669">
        <v>3</v>
      </c>
      <c r="I14669" s="3">
        <v>1595.34</v>
      </c>
      <c r="J14669" s="3">
        <v>106.35</v>
      </c>
      <c r="K14669" t="s">
        <v>32177</v>
      </c>
      <c r="L14669">
        <v>3321</v>
      </c>
      <c r="M14669" t="s">
        <v>32173</v>
      </c>
      <c r="N14669" t="s">
        <v>30</v>
      </c>
      <c r="O14669" t="s">
        <v>31</v>
      </c>
      <c r="P14669" t="str">
        <f>"15204"</f>
        <v>15204</v>
      </c>
    </row>
    <row r="14670" spans="1:16" x14ac:dyDescent="0.25">
      <c r="A14670" t="str">
        <f>"1200042D00046    00"</f>
        <v>1200042D00046    00</v>
      </c>
      <c r="B14670" t="s">
        <v>32178</v>
      </c>
      <c r="C14670" t="s">
        <v>32170</v>
      </c>
      <c r="D14670" t="s">
        <v>20</v>
      </c>
      <c r="E14670" t="s">
        <v>39</v>
      </c>
      <c r="F14670">
        <v>0</v>
      </c>
      <c r="G14670">
        <v>0</v>
      </c>
      <c r="H14670">
        <v>19</v>
      </c>
      <c r="I14670" s="3">
        <v>5555.37</v>
      </c>
      <c r="J14670" s="3">
        <v>3192.83</v>
      </c>
      <c r="K14670" t="s">
        <v>1037</v>
      </c>
      <c r="L14670">
        <v>301</v>
      </c>
      <c r="M14670" t="s">
        <v>32173</v>
      </c>
      <c r="N14670" t="s">
        <v>30</v>
      </c>
      <c r="O14670" t="s">
        <v>31</v>
      </c>
      <c r="P14670" t="str">
        <f>"15204"</f>
        <v>15204</v>
      </c>
    </row>
    <row r="14671" spans="1:16" x14ac:dyDescent="0.25">
      <c r="A14671" t="str">
        <f>"1200042D00048    00"</f>
        <v>1200042D00048    00</v>
      </c>
      <c r="B14671" t="s">
        <v>32179</v>
      </c>
      <c r="C14671" t="s">
        <v>32180</v>
      </c>
      <c r="D14671" t="s">
        <v>20</v>
      </c>
      <c r="E14671" t="s">
        <v>39</v>
      </c>
      <c r="F14671">
        <v>0</v>
      </c>
      <c r="G14671">
        <v>0</v>
      </c>
      <c r="H14671">
        <v>2</v>
      </c>
      <c r="I14671" s="3">
        <v>1738.28</v>
      </c>
      <c r="J14671" s="3">
        <v>0</v>
      </c>
      <c r="K14671" t="s">
        <v>32181</v>
      </c>
      <c r="L14671">
        <v>115</v>
      </c>
      <c r="M14671" t="s">
        <v>32182</v>
      </c>
      <c r="N14671" t="s">
        <v>30</v>
      </c>
      <c r="O14671" t="s">
        <v>31</v>
      </c>
      <c r="P14671" t="str">
        <f>"15204"</f>
        <v>15204</v>
      </c>
    </row>
    <row r="14672" spans="1:16" x14ac:dyDescent="0.25">
      <c r="A14672" t="str">
        <f>"1200042D00052    00"</f>
        <v>1200042D00052    00</v>
      </c>
      <c r="B14672" t="s">
        <v>32183</v>
      </c>
      <c r="C14672" t="s">
        <v>32184</v>
      </c>
      <c r="D14672" t="s">
        <v>20</v>
      </c>
      <c r="E14672" t="s">
        <v>39</v>
      </c>
      <c r="F14672">
        <v>0</v>
      </c>
      <c r="G14672">
        <v>0</v>
      </c>
      <c r="H14672">
        <v>11</v>
      </c>
      <c r="I14672" s="3">
        <v>8509.2000000000007</v>
      </c>
      <c r="J14672" s="3">
        <v>4061.13</v>
      </c>
      <c r="L14672">
        <v>606</v>
      </c>
      <c r="M14672" t="s">
        <v>16891</v>
      </c>
      <c r="N14672" t="s">
        <v>903</v>
      </c>
      <c r="O14672" t="s">
        <v>31</v>
      </c>
      <c r="P14672" t="str">
        <f>"15136"</f>
        <v>15136</v>
      </c>
    </row>
    <row r="14673" spans="1:16" x14ac:dyDescent="0.25">
      <c r="A14673" t="str">
        <f>"1200042D00053    00"</f>
        <v>1200042D00053    00</v>
      </c>
      <c r="B14673" t="s">
        <v>32185</v>
      </c>
      <c r="C14673" t="s">
        <v>32170</v>
      </c>
      <c r="D14673" t="s">
        <v>20</v>
      </c>
      <c r="E14673" t="s">
        <v>39</v>
      </c>
      <c r="F14673">
        <v>0</v>
      </c>
      <c r="G14673">
        <v>0</v>
      </c>
      <c r="H14673">
        <v>3</v>
      </c>
      <c r="I14673" s="3">
        <v>1372.32</v>
      </c>
      <c r="J14673" s="3">
        <v>91.49</v>
      </c>
      <c r="L14673">
        <v>4037</v>
      </c>
      <c r="M14673" t="s">
        <v>32186</v>
      </c>
      <c r="N14673" t="s">
        <v>30</v>
      </c>
      <c r="O14673" t="s">
        <v>31</v>
      </c>
      <c r="P14673" t="str">
        <f>"15214"</f>
        <v>15214</v>
      </c>
    </row>
    <row r="14674" spans="1:16" x14ac:dyDescent="0.25">
      <c r="A14674" t="str">
        <f>"1200042D00079000200"</f>
        <v>1200042D00079000200</v>
      </c>
      <c r="B14674" t="s">
        <v>32187</v>
      </c>
      <c r="C14674" t="s">
        <v>32188</v>
      </c>
      <c r="D14674" t="s">
        <v>20</v>
      </c>
      <c r="E14674" t="s">
        <v>39</v>
      </c>
      <c r="F14674">
        <v>0</v>
      </c>
      <c r="G14674">
        <v>0</v>
      </c>
      <c r="H14674">
        <v>12</v>
      </c>
      <c r="I14674" s="3">
        <v>7837.69</v>
      </c>
      <c r="J14674" s="3">
        <v>3704.62</v>
      </c>
      <c r="K14674" t="s">
        <v>32189</v>
      </c>
      <c r="L14674">
        <v>7</v>
      </c>
      <c r="M14674" t="s">
        <v>32190</v>
      </c>
      <c r="N14674" t="s">
        <v>32191</v>
      </c>
      <c r="O14674" t="s">
        <v>25</v>
      </c>
      <c r="P14674" t="str">
        <f>"45056"</f>
        <v>45056</v>
      </c>
    </row>
    <row r="14675" spans="1:16" x14ac:dyDescent="0.25">
      <c r="A14675" t="str">
        <f>"1200042D00080    00"</f>
        <v>1200042D00080    00</v>
      </c>
      <c r="B14675" t="s">
        <v>32192</v>
      </c>
      <c r="C14675" t="s">
        <v>32193</v>
      </c>
      <c r="D14675" t="s">
        <v>20</v>
      </c>
      <c r="E14675" t="s">
        <v>39</v>
      </c>
      <c r="F14675">
        <v>0</v>
      </c>
      <c r="G14675">
        <v>0</v>
      </c>
      <c r="H14675">
        <v>1</v>
      </c>
      <c r="I14675" s="3">
        <v>491.75</v>
      </c>
      <c r="J14675" s="3">
        <v>0</v>
      </c>
      <c r="K14675" t="s">
        <v>32194</v>
      </c>
      <c r="L14675">
        <v>167</v>
      </c>
      <c r="M14675" t="s">
        <v>32195</v>
      </c>
      <c r="N14675" t="s">
        <v>30</v>
      </c>
      <c r="O14675" t="s">
        <v>31</v>
      </c>
      <c r="P14675" t="str">
        <f>"15228"</f>
        <v>15228</v>
      </c>
    </row>
    <row r="14676" spans="1:16" x14ac:dyDescent="0.25">
      <c r="A14676" t="str">
        <f>"1200042D00082    00"</f>
        <v>1200042D00082    00</v>
      </c>
      <c r="B14676" t="s">
        <v>32192</v>
      </c>
      <c r="C14676" t="s">
        <v>32193</v>
      </c>
      <c r="D14676" t="s">
        <v>20</v>
      </c>
      <c r="E14676" t="s">
        <v>39</v>
      </c>
      <c r="F14676">
        <v>0</v>
      </c>
      <c r="G14676">
        <v>0</v>
      </c>
      <c r="H14676">
        <v>1</v>
      </c>
      <c r="I14676" s="3">
        <v>1193.1500000000001</v>
      </c>
      <c r="J14676" s="3">
        <v>0</v>
      </c>
      <c r="K14676" t="s">
        <v>32196</v>
      </c>
      <c r="L14676">
        <v>901</v>
      </c>
      <c r="M14676" t="s">
        <v>1503</v>
      </c>
      <c r="N14676" t="s">
        <v>494</v>
      </c>
      <c r="O14676" t="s">
        <v>495</v>
      </c>
      <c r="P14676" t="str">
        <f>"91768"</f>
        <v>91768</v>
      </c>
    </row>
    <row r="14677" spans="1:16" x14ac:dyDescent="0.25">
      <c r="A14677" t="str">
        <f>"1200042D00157    00"</f>
        <v>1200042D00157    00</v>
      </c>
      <c r="B14677" t="s">
        <v>32197</v>
      </c>
      <c r="C14677" t="s">
        <v>32198</v>
      </c>
      <c r="D14677" t="s">
        <v>20</v>
      </c>
      <c r="E14677" t="s">
        <v>39</v>
      </c>
      <c r="F14677">
        <v>0</v>
      </c>
      <c r="G14677">
        <v>0</v>
      </c>
      <c r="H14677">
        <v>17</v>
      </c>
      <c r="I14677" s="3">
        <v>252.34</v>
      </c>
      <c r="J14677" s="3">
        <v>314.31</v>
      </c>
      <c r="K14677" t="s">
        <v>1037</v>
      </c>
      <c r="L14677">
        <v>432</v>
      </c>
      <c r="M14677" t="s">
        <v>32199</v>
      </c>
      <c r="N14677" t="s">
        <v>903</v>
      </c>
      <c r="O14677" t="s">
        <v>31</v>
      </c>
      <c r="P14677" t="str">
        <f>"15136"</f>
        <v>15136</v>
      </c>
    </row>
    <row r="14678" spans="1:16" x14ac:dyDescent="0.25">
      <c r="A14678" t="str">
        <f>"1200042D00180    00"</f>
        <v>1200042D00180    00</v>
      </c>
      <c r="B14678" t="s">
        <v>32200</v>
      </c>
      <c r="C14678" t="s">
        <v>32201</v>
      </c>
      <c r="D14678" t="s">
        <v>20</v>
      </c>
      <c r="E14678" t="s">
        <v>39</v>
      </c>
      <c r="F14678">
        <v>0</v>
      </c>
      <c r="G14678">
        <v>0</v>
      </c>
      <c r="H14678">
        <v>3</v>
      </c>
      <c r="I14678" s="3">
        <v>1886.68</v>
      </c>
      <c r="J14678" s="3">
        <v>27.87</v>
      </c>
      <c r="L14678">
        <v>112</v>
      </c>
      <c r="M14678" t="s">
        <v>31492</v>
      </c>
      <c r="N14678" t="s">
        <v>30</v>
      </c>
      <c r="O14678" t="s">
        <v>31</v>
      </c>
      <c r="P14678" t="str">
        <f>"15204"</f>
        <v>15204</v>
      </c>
    </row>
    <row r="14679" spans="1:16" x14ac:dyDescent="0.25">
      <c r="A14679" t="str">
        <f>"1200042D00181    00"</f>
        <v>1200042D00181    00</v>
      </c>
      <c r="B14679" t="s">
        <v>32202</v>
      </c>
      <c r="C14679" t="s">
        <v>32203</v>
      </c>
      <c r="D14679" t="s">
        <v>20</v>
      </c>
      <c r="E14679" t="s">
        <v>39</v>
      </c>
      <c r="F14679">
        <v>0</v>
      </c>
      <c r="G14679">
        <v>0</v>
      </c>
      <c r="H14679">
        <v>5</v>
      </c>
      <c r="I14679" s="3">
        <v>3436.24</v>
      </c>
      <c r="J14679" s="3">
        <v>65.09</v>
      </c>
      <c r="L14679">
        <v>112</v>
      </c>
      <c r="M14679" t="s">
        <v>31492</v>
      </c>
      <c r="N14679" t="s">
        <v>30</v>
      </c>
      <c r="O14679" t="s">
        <v>31</v>
      </c>
      <c r="P14679" t="str">
        <f>"15204"</f>
        <v>15204</v>
      </c>
    </row>
    <row r="14680" spans="1:16" x14ac:dyDescent="0.25">
      <c r="A14680" t="str">
        <f>"1200042D00182    00"</f>
        <v>1200042D00182    00</v>
      </c>
      <c r="B14680" t="s">
        <v>32179</v>
      </c>
      <c r="C14680" t="s">
        <v>32204</v>
      </c>
      <c r="D14680" t="s">
        <v>20</v>
      </c>
      <c r="E14680" t="s">
        <v>39</v>
      </c>
      <c r="F14680">
        <v>0</v>
      </c>
      <c r="G14680">
        <v>0</v>
      </c>
      <c r="H14680">
        <v>4</v>
      </c>
      <c r="I14680" s="3">
        <v>3353.72</v>
      </c>
      <c r="J14680" s="3">
        <v>208.09</v>
      </c>
      <c r="L14680">
        <v>115</v>
      </c>
      <c r="M14680" t="s">
        <v>32182</v>
      </c>
      <c r="N14680" t="s">
        <v>30</v>
      </c>
      <c r="O14680" t="s">
        <v>31</v>
      </c>
      <c r="P14680" t="str">
        <f>"15204"</f>
        <v>15204</v>
      </c>
    </row>
    <row r="14681" spans="1:16" x14ac:dyDescent="0.25">
      <c r="A14681" t="str">
        <f>"1200042D00184    00"</f>
        <v>1200042D00184    00</v>
      </c>
      <c r="B14681" t="s">
        <v>32205</v>
      </c>
      <c r="C14681" t="s">
        <v>31489</v>
      </c>
      <c r="D14681" t="s">
        <v>20</v>
      </c>
      <c r="E14681" t="s">
        <v>21</v>
      </c>
      <c r="F14681">
        <v>0</v>
      </c>
      <c r="G14681">
        <v>0</v>
      </c>
      <c r="H14681">
        <v>9</v>
      </c>
      <c r="I14681" s="3">
        <v>399.78</v>
      </c>
      <c r="J14681" s="3">
        <v>480.7</v>
      </c>
      <c r="K14681" t="s">
        <v>32206</v>
      </c>
      <c r="L14681">
        <v>118</v>
      </c>
      <c r="M14681" t="s">
        <v>32207</v>
      </c>
      <c r="N14681" t="s">
        <v>1353</v>
      </c>
      <c r="O14681" t="s">
        <v>31</v>
      </c>
      <c r="P14681" t="str">
        <f>"15085"</f>
        <v>15085</v>
      </c>
    </row>
    <row r="14682" spans="1:16" x14ac:dyDescent="0.25">
      <c r="A14682" t="str">
        <f>"1200042D00185    00"</f>
        <v>1200042D00185    00</v>
      </c>
      <c r="B14682" t="s">
        <v>32205</v>
      </c>
      <c r="C14682" t="s">
        <v>32208</v>
      </c>
      <c r="E14682" t="s">
        <v>21</v>
      </c>
      <c r="F14682">
        <v>0</v>
      </c>
      <c r="G14682">
        <v>0</v>
      </c>
      <c r="H14682">
        <v>7</v>
      </c>
      <c r="I14682" s="3">
        <v>213.96</v>
      </c>
      <c r="J14682" s="3">
        <v>263.22000000000003</v>
      </c>
      <c r="K14682" t="s">
        <v>32206</v>
      </c>
      <c r="L14682">
        <v>118</v>
      </c>
      <c r="M14682" t="s">
        <v>32207</v>
      </c>
      <c r="N14682" t="s">
        <v>30</v>
      </c>
      <c r="O14682" t="s">
        <v>31</v>
      </c>
      <c r="P14682" t="str">
        <f>"15204"</f>
        <v>15204</v>
      </c>
    </row>
    <row r="14683" spans="1:16" x14ac:dyDescent="0.25">
      <c r="A14683" t="str">
        <f>"1200042D00185A   00"</f>
        <v>1200042D00185A   00</v>
      </c>
      <c r="B14683" t="s">
        <v>32205</v>
      </c>
      <c r="C14683" t="s">
        <v>32208</v>
      </c>
      <c r="E14683" t="s">
        <v>21</v>
      </c>
      <c r="F14683">
        <v>0</v>
      </c>
      <c r="G14683">
        <v>0</v>
      </c>
      <c r="H14683">
        <v>7</v>
      </c>
      <c r="I14683" s="3">
        <v>140.34</v>
      </c>
      <c r="J14683" s="3">
        <v>174.15</v>
      </c>
      <c r="K14683" t="s">
        <v>32206</v>
      </c>
      <c r="L14683">
        <v>118</v>
      </c>
      <c r="M14683" t="s">
        <v>32207</v>
      </c>
      <c r="N14683" t="s">
        <v>30</v>
      </c>
      <c r="O14683" t="s">
        <v>31</v>
      </c>
      <c r="P14683" t="str">
        <f>"15204"</f>
        <v>15204</v>
      </c>
    </row>
    <row r="14684" spans="1:16" x14ac:dyDescent="0.25">
      <c r="A14684" t="str">
        <f>"1200042D00188    02"</f>
        <v>1200042D00188    02</v>
      </c>
      <c r="B14684" t="s">
        <v>4501</v>
      </c>
      <c r="C14684" t="s">
        <v>32209</v>
      </c>
      <c r="E14684" t="s">
        <v>39</v>
      </c>
      <c r="F14684">
        <v>0</v>
      </c>
      <c r="G14684">
        <v>0</v>
      </c>
      <c r="H14684">
        <v>5</v>
      </c>
      <c r="I14684" s="3">
        <v>2484.35</v>
      </c>
      <c r="J14684" s="3">
        <v>3440.68</v>
      </c>
      <c r="K14684" t="s">
        <v>603</v>
      </c>
      <c r="L14684">
        <v>650</v>
      </c>
      <c r="M14684" t="s">
        <v>604</v>
      </c>
      <c r="N14684" t="s">
        <v>605</v>
      </c>
      <c r="O14684" t="s">
        <v>606</v>
      </c>
      <c r="P14684" t="str">
        <f>"30308"</f>
        <v>30308</v>
      </c>
    </row>
    <row r="14685" spans="1:16" x14ac:dyDescent="0.25">
      <c r="A14685" t="str">
        <f>"1200042D00190    00"</f>
        <v>1200042D00190    00</v>
      </c>
      <c r="B14685" t="s">
        <v>32210</v>
      </c>
      <c r="C14685" t="s">
        <v>32211</v>
      </c>
      <c r="D14685" t="s">
        <v>20</v>
      </c>
      <c r="E14685" t="s">
        <v>39</v>
      </c>
      <c r="F14685">
        <v>0</v>
      </c>
      <c r="G14685">
        <v>0</v>
      </c>
      <c r="H14685">
        <v>14</v>
      </c>
      <c r="I14685" s="3">
        <v>5603.48</v>
      </c>
      <c r="J14685" s="3">
        <v>3619.1</v>
      </c>
      <c r="L14685">
        <v>125</v>
      </c>
      <c r="M14685" t="s">
        <v>32212</v>
      </c>
      <c r="N14685" t="s">
        <v>30</v>
      </c>
      <c r="O14685" t="s">
        <v>31</v>
      </c>
      <c r="P14685" t="str">
        <f>"15204"</f>
        <v>15204</v>
      </c>
    </row>
    <row r="14686" spans="1:16" x14ac:dyDescent="0.25">
      <c r="A14686" t="str">
        <f>"1200042D00195    00"</f>
        <v>1200042D00195    00</v>
      </c>
      <c r="B14686" t="s">
        <v>32213</v>
      </c>
      <c r="C14686" t="s">
        <v>32214</v>
      </c>
      <c r="D14686" t="s">
        <v>20</v>
      </c>
      <c r="E14686" t="s">
        <v>39</v>
      </c>
      <c r="F14686">
        <v>0</v>
      </c>
      <c r="G14686">
        <v>0</v>
      </c>
      <c r="H14686">
        <v>11</v>
      </c>
      <c r="I14686" s="3">
        <v>7070.85</v>
      </c>
      <c r="J14686" s="3">
        <v>3374.66</v>
      </c>
      <c r="L14686">
        <v>928</v>
      </c>
      <c r="M14686" t="s">
        <v>32215</v>
      </c>
      <c r="N14686" t="s">
        <v>30</v>
      </c>
      <c r="O14686" t="s">
        <v>31</v>
      </c>
      <c r="P14686" t="str">
        <f>"15202"</f>
        <v>15202</v>
      </c>
    </row>
    <row r="14687" spans="1:16" x14ac:dyDescent="0.25">
      <c r="A14687" t="str">
        <f>"1200042D00195A   00"</f>
        <v>1200042D00195A   00</v>
      </c>
      <c r="B14687" t="s">
        <v>32216</v>
      </c>
      <c r="C14687" t="s">
        <v>32209</v>
      </c>
      <c r="D14687" t="s">
        <v>20</v>
      </c>
      <c r="E14687" t="s">
        <v>39</v>
      </c>
      <c r="F14687">
        <v>0</v>
      </c>
      <c r="G14687">
        <v>0</v>
      </c>
      <c r="H14687">
        <v>16</v>
      </c>
      <c r="I14687" s="3">
        <v>307.83999999999997</v>
      </c>
      <c r="J14687" s="3">
        <v>288.48</v>
      </c>
      <c r="L14687">
        <v>1382</v>
      </c>
      <c r="M14687" t="s">
        <v>13967</v>
      </c>
      <c r="N14687" t="s">
        <v>30</v>
      </c>
      <c r="O14687" t="s">
        <v>31</v>
      </c>
      <c r="P14687" t="str">
        <f>"15243"</f>
        <v>15243</v>
      </c>
    </row>
    <row r="14688" spans="1:16" x14ac:dyDescent="0.25">
      <c r="A14688" t="str">
        <f>"1200042D00202    00"</f>
        <v>1200042D00202    00</v>
      </c>
      <c r="B14688" t="s">
        <v>32217</v>
      </c>
      <c r="C14688" t="s">
        <v>32209</v>
      </c>
      <c r="D14688" t="s">
        <v>20</v>
      </c>
      <c r="E14688" t="s">
        <v>39</v>
      </c>
      <c r="F14688">
        <v>0</v>
      </c>
      <c r="G14688">
        <v>0</v>
      </c>
      <c r="H14688">
        <v>17</v>
      </c>
      <c r="I14688" s="3">
        <v>3093.64</v>
      </c>
      <c r="J14688" s="3">
        <v>3724.09</v>
      </c>
      <c r="L14688">
        <v>5856</v>
      </c>
      <c r="M14688" t="s">
        <v>32218</v>
      </c>
      <c r="N14688" t="s">
        <v>9653</v>
      </c>
      <c r="O14688" t="s">
        <v>31</v>
      </c>
      <c r="P14688" t="str">
        <f>"15632"</f>
        <v>15632</v>
      </c>
    </row>
    <row r="14689" spans="1:16" x14ac:dyDescent="0.25">
      <c r="A14689" t="str">
        <f>"1200042D00203    00"</f>
        <v>1200042D00203    00</v>
      </c>
      <c r="B14689" t="s">
        <v>32217</v>
      </c>
      <c r="C14689" t="s">
        <v>32209</v>
      </c>
      <c r="D14689" t="s">
        <v>20</v>
      </c>
      <c r="E14689" t="s">
        <v>39</v>
      </c>
      <c r="F14689">
        <v>0</v>
      </c>
      <c r="G14689">
        <v>0</v>
      </c>
      <c r="H14689">
        <v>17</v>
      </c>
      <c r="I14689" s="3">
        <v>698.42</v>
      </c>
      <c r="J14689" s="3">
        <v>697.94</v>
      </c>
      <c r="L14689">
        <v>5856</v>
      </c>
      <c r="M14689" t="s">
        <v>32218</v>
      </c>
      <c r="N14689" t="s">
        <v>9653</v>
      </c>
      <c r="O14689" t="s">
        <v>31</v>
      </c>
      <c r="P14689" t="str">
        <f>"15632"</f>
        <v>15632</v>
      </c>
    </row>
    <row r="14690" spans="1:16" x14ac:dyDescent="0.25">
      <c r="A14690" t="str">
        <f>"1200042D00204    00"</f>
        <v>1200042D00204    00</v>
      </c>
      <c r="B14690" t="s">
        <v>32217</v>
      </c>
      <c r="C14690" t="s">
        <v>32209</v>
      </c>
      <c r="D14690" t="s">
        <v>20</v>
      </c>
      <c r="E14690" t="s">
        <v>39</v>
      </c>
      <c r="F14690">
        <v>0</v>
      </c>
      <c r="G14690">
        <v>0</v>
      </c>
      <c r="H14690">
        <v>18</v>
      </c>
      <c r="I14690" s="3">
        <v>576.70000000000005</v>
      </c>
      <c r="J14690" s="3">
        <v>607.66999999999996</v>
      </c>
      <c r="L14690">
        <v>5856</v>
      </c>
      <c r="M14690" t="s">
        <v>32218</v>
      </c>
      <c r="N14690" t="s">
        <v>9653</v>
      </c>
      <c r="O14690" t="s">
        <v>31</v>
      </c>
      <c r="P14690" t="str">
        <f>"15632"</f>
        <v>15632</v>
      </c>
    </row>
    <row r="14691" spans="1:16" x14ac:dyDescent="0.25">
      <c r="A14691" t="str">
        <f>"1200042D00205    00"</f>
        <v>1200042D00205    00</v>
      </c>
      <c r="B14691" t="s">
        <v>32219</v>
      </c>
      <c r="C14691" t="s">
        <v>32220</v>
      </c>
      <c r="D14691" t="s">
        <v>20</v>
      </c>
      <c r="E14691" t="s">
        <v>39</v>
      </c>
      <c r="F14691">
        <v>0</v>
      </c>
      <c r="G14691">
        <v>0</v>
      </c>
      <c r="H14691">
        <v>19</v>
      </c>
      <c r="I14691" s="3">
        <v>26798.13</v>
      </c>
      <c r="J14691" s="3">
        <v>26774.31</v>
      </c>
      <c r="L14691">
        <v>1527</v>
      </c>
      <c r="M14691" t="s">
        <v>32221</v>
      </c>
      <c r="N14691" t="s">
        <v>30</v>
      </c>
      <c r="O14691" t="s">
        <v>31</v>
      </c>
      <c r="P14691" t="str">
        <f>"15204"</f>
        <v>15204</v>
      </c>
    </row>
    <row r="14692" spans="1:16" x14ac:dyDescent="0.25">
      <c r="A14692" t="str">
        <f>"1200042D00206    00"</f>
        <v>1200042D00206    00</v>
      </c>
      <c r="B14692" t="s">
        <v>32217</v>
      </c>
      <c r="C14692" t="s">
        <v>32209</v>
      </c>
      <c r="D14692" t="s">
        <v>20</v>
      </c>
      <c r="E14692" t="s">
        <v>39</v>
      </c>
      <c r="F14692">
        <v>0</v>
      </c>
      <c r="G14692">
        <v>0</v>
      </c>
      <c r="H14692">
        <v>18</v>
      </c>
      <c r="I14692" s="3">
        <v>1092.3399999999999</v>
      </c>
      <c r="J14692" s="3">
        <v>1083.82</v>
      </c>
      <c r="L14692">
        <v>5856</v>
      </c>
      <c r="M14692" t="s">
        <v>32218</v>
      </c>
      <c r="N14692" t="s">
        <v>9653</v>
      </c>
      <c r="O14692" t="s">
        <v>31</v>
      </c>
      <c r="P14692" t="str">
        <f>"15632"</f>
        <v>15632</v>
      </c>
    </row>
    <row r="14693" spans="1:16" x14ac:dyDescent="0.25">
      <c r="A14693" t="str">
        <f>"1200042D00207    00"</f>
        <v>1200042D00207    00</v>
      </c>
      <c r="B14693" t="s">
        <v>32217</v>
      </c>
      <c r="C14693" t="s">
        <v>32209</v>
      </c>
      <c r="D14693" t="s">
        <v>20</v>
      </c>
      <c r="E14693" t="s">
        <v>39</v>
      </c>
      <c r="F14693">
        <v>0</v>
      </c>
      <c r="G14693">
        <v>0</v>
      </c>
      <c r="H14693">
        <v>18</v>
      </c>
      <c r="I14693" s="3">
        <v>1092.3399999999999</v>
      </c>
      <c r="J14693" s="3">
        <v>1083.82</v>
      </c>
      <c r="L14693">
        <v>5856</v>
      </c>
      <c r="M14693" t="s">
        <v>32218</v>
      </c>
      <c r="N14693" t="s">
        <v>9653</v>
      </c>
      <c r="O14693" t="s">
        <v>31</v>
      </c>
      <c r="P14693" t="str">
        <f>"15632"</f>
        <v>15632</v>
      </c>
    </row>
    <row r="14694" spans="1:16" x14ac:dyDescent="0.25">
      <c r="A14694" t="str">
        <f>"1200042D00213    00"</f>
        <v>1200042D00213    00</v>
      </c>
      <c r="B14694" t="s">
        <v>32222</v>
      </c>
      <c r="C14694" t="s">
        <v>32223</v>
      </c>
      <c r="D14694" t="s">
        <v>20</v>
      </c>
      <c r="E14694" t="s">
        <v>39</v>
      </c>
      <c r="F14694">
        <v>0</v>
      </c>
      <c r="G14694">
        <v>0</v>
      </c>
      <c r="H14694">
        <v>2</v>
      </c>
      <c r="I14694" s="3">
        <v>652.88</v>
      </c>
      <c r="J14694" s="3">
        <v>0</v>
      </c>
      <c r="L14694">
        <v>115</v>
      </c>
      <c r="M14694" t="s">
        <v>32182</v>
      </c>
      <c r="N14694" t="s">
        <v>30</v>
      </c>
      <c r="O14694" t="s">
        <v>31</v>
      </c>
      <c r="P14694" t="str">
        <f>"15204"</f>
        <v>15204</v>
      </c>
    </row>
    <row r="14695" spans="1:16" x14ac:dyDescent="0.25">
      <c r="A14695" t="str">
        <f>"1200042D00214    00"</f>
        <v>1200042D00214    00</v>
      </c>
      <c r="B14695" t="s">
        <v>32224</v>
      </c>
      <c r="C14695" t="s">
        <v>32225</v>
      </c>
      <c r="D14695" t="s">
        <v>20</v>
      </c>
      <c r="E14695" t="s">
        <v>39</v>
      </c>
      <c r="F14695">
        <v>0</v>
      </c>
      <c r="G14695">
        <v>0</v>
      </c>
      <c r="H14695">
        <v>5</v>
      </c>
      <c r="I14695" s="3">
        <v>1943.96</v>
      </c>
      <c r="J14695" s="3">
        <v>367.81</v>
      </c>
      <c r="L14695">
        <v>111</v>
      </c>
      <c r="M14695" t="s">
        <v>32182</v>
      </c>
      <c r="N14695" t="s">
        <v>30</v>
      </c>
      <c r="O14695" t="s">
        <v>31</v>
      </c>
      <c r="P14695" t="str">
        <f>"15204"</f>
        <v>15204</v>
      </c>
    </row>
    <row r="14696" spans="1:16" x14ac:dyDescent="0.25">
      <c r="A14696" t="str">
        <f>"1200042D00218    00"</f>
        <v>1200042D00218    00</v>
      </c>
      <c r="B14696" t="s">
        <v>32226</v>
      </c>
      <c r="C14696" t="s">
        <v>32227</v>
      </c>
      <c r="D14696" t="s">
        <v>20</v>
      </c>
      <c r="E14696" t="s">
        <v>39</v>
      </c>
      <c r="F14696">
        <v>0</v>
      </c>
      <c r="G14696">
        <v>0</v>
      </c>
      <c r="H14696">
        <v>19</v>
      </c>
      <c r="I14696" s="3">
        <v>4825.57</v>
      </c>
      <c r="J14696" s="3">
        <v>2970.58</v>
      </c>
      <c r="L14696">
        <v>116</v>
      </c>
      <c r="M14696" t="s">
        <v>32182</v>
      </c>
      <c r="N14696" t="s">
        <v>30</v>
      </c>
      <c r="O14696" t="s">
        <v>31</v>
      </c>
      <c r="P14696" t="str">
        <f>"15204"</f>
        <v>15204</v>
      </c>
    </row>
    <row r="14697" spans="1:16" x14ac:dyDescent="0.25">
      <c r="A14697" t="str">
        <f>"1200042D00219    00"</f>
        <v>1200042D00219    00</v>
      </c>
      <c r="B14697" t="s">
        <v>32228</v>
      </c>
      <c r="C14697" t="s">
        <v>32227</v>
      </c>
      <c r="D14697" t="s">
        <v>20</v>
      </c>
      <c r="E14697" t="s">
        <v>39</v>
      </c>
      <c r="F14697">
        <v>0</v>
      </c>
      <c r="G14697">
        <v>0</v>
      </c>
      <c r="H14697">
        <v>19</v>
      </c>
      <c r="I14697" s="3">
        <v>7519.06</v>
      </c>
      <c r="J14697" s="3">
        <v>7056.93</v>
      </c>
      <c r="P14697" t="str">
        <f>""</f>
        <v/>
      </c>
    </row>
    <row r="14698" spans="1:16" x14ac:dyDescent="0.25">
      <c r="A14698" t="str">
        <f>"1200042D00225    00"</f>
        <v>1200042D00225    00</v>
      </c>
      <c r="B14698" t="s">
        <v>32229</v>
      </c>
      <c r="C14698" t="s">
        <v>32230</v>
      </c>
      <c r="D14698" t="s">
        <v>20</v>
      </c>
      <c r="E14698" t="s">
        <v>39</v>
      </c>
      <c r="F14698">
        <v>0</v>
      </c>
      <c r="G14698">
        <v>0</v>
      </c>
      <c r="H14698">
        <v>14</v>
      </c>
      <c r="I14698" s="3">
        <v>1629.42</v>
      </c>
      <c r="J14698" s="3">
        <v>920.03</v>
      </c>
      <c r="L14698">
        <v>102</v>
      </c>
      <c r="M14698" t="s">
        <v>24848</v>
      </c>
      <c r="N14698" t="s">
        <v>30</v>
      </c>
      <c r="O14698" t="s">
        <v>31</v>
      </c>
      <c r="P14698" t="str">
        <f>"15212"</f>
        <v>15212</v>
      </c>
    </row>
    <row r="14699" spans="1:16" x14ac:dyDescent="0.25">
      <c r="A14699" t="str">
        <f>"1200042D00226    00"</f>
        <v>1200042D00226    00</v>
      </c>
      <c r="B14699" t="s">
        <v>32229</v>
      </c>
      <c r="C14699" t="s">
        <v>32230</v>
      </c>
      <c r="D14699" t="s">
        <v>20</v>
      </c>
      <c r="E14699" t="s">
        <v>39</v>
      </c>
      <c r="F14699">
        <v>0</v>
      </c>
      <c r="G14699">
        <v>0</v>
      </c>
      <c r="H14699">
        <v>13</v>
      </c>
      <c r="I14699" s="3">
        <v>1355.09</v>
      </c>
      <c r="J14699" s="3">
        <v>1473.43</v>
      </c>
      <c r="L14699">
        <v>102</v>
      </c>
      <c r="M14699" t="s">
        <v>24848</v>
      </c>
      <c r="N14699" t="s">
        <v>30</v>
      </c>
      <c r="O14699" t="s">
        <v>31</v>
      </c>
      <c r="P14699" t="str">
        <f>"15212"</f>
        <v>15212</v>
      </c>
    </row>
    <row r="14700" spans="1:16" x14ac:dyDescent="0.25">
      <c r="A14700" t="str">
        <f>"1200042D00232    00"</f>
        <v>1200042D00232    00</v>
      </c>
      <c r="B14700" t="s">
        <v>32231</v>
      </c>
      <c r="C14700" t="s">
        <v>32232</v>
      </c>
      <c r="D14700" t="s">
        <v>20</v>
      </c>
      <c r="E14700" t="s">
        <v>39</v>
      </c>
      <c r="F14700">
        <v>0</v>
      </c>
      <c r="G14700">
        <v>0</v>
      </c>
      <c r="H14700">
        <v>1</v>
      </c>
      <c r="I14700" s="3">
        <v>285.89999999999998</v>
      </c>
      <c r="J14700" s="3">
        <v>0</v>
      </c>
      <c r="L14700">
        <v>1815</v>
      </c>
      <c r="M14700" t="s">
        <v>25959</v>
      </c>
      <c r="N14700" t="s">
        <v>7608</v>
      </c>
      <c r="O14700" t="s">
        <v>31</v>
      </c>
      <c r="P14700" t="str">
        <f>"15068"</f>
        <v>15068</v>
      </c>
    </row>
    <row r="14701" spans="1:16" x14ac:dyDescent="0.25">
      <c r="A14701" t="str">
        <f>"1200042D00235    00"</f>
        <v>1200042D00235    00</v>
      </c>
      <c r="B14701" t="s">
        <v>32233</v>
      </c>
      <c r="C14701" t="s">
        <v>32230</v>
      </c>
      <c r="D14701" t="s">
        <v>20</v>
      </c>
      <c r="E14701" t="s">
        <v>39</v>
      </c>
      <c r="F14701">
        <v>0</v>
      </c>
      <c r="G14701">
        <v>0</v>
      </c>
      <c r="H14701">
        <v>19</v>
      </c>
      <c r="I14701" s="3">
        <v>3053.25</v>
      </c>
      <c r="J14701" s="3">
        <v>3587.11</v>
      </c>
      <c r="L14701">
        <v>400</v>
      </c>
      <c r="M14701" t="s">
        <v>32234</v>
      </c>
      <c r="N14701" t="s">
        <v>30</v>
      </c>
      <c r="O14701" t="s">
        <v>31</v>
      </c>
      <c r="P14701" t="str">
        <f>"15204"</f>
        <v>15204</v>
      </c>
    </row>
    <row r="14702" spans="1:16" x14ac:dyDescent="0.25">
      <c r="A14702" t="str">
        <f>"1200042D00240    00"</f>
        <v>1200042D00240    00</v>
      </c>
      <c r="B14702" t="s">
        <v>32229</v>
      </c>
      <c r="C14702" t="s">
        <v>32208</v>
      </c>
      <c r="D14702" t="s">
        <v>20</v>
      </c>
      <c r="E14702" t="s">
        <v>39</v>
      </c>
      <c r="F14702">
        <v>0</v>
      </c>
      <c r="G14702">
        <v>0</v>
      </c>
      <c r="H14702">
        <v>13</v>
      </c>
      <c r="I14702" s="3">
        <v>1386.98</v>
      </c>
      <c r="J14702" s="3">
        <v>758.79</v>
      </c>
      <c r="L14702">
        <v>102</v>
      </c>
      <c r="M14702" t="s">
        <v>24848</v>
      </c>
      <c r="N14702" t="s">
        <v>30</v>
      </c>
      <c r="O14702" t="s">
        <v>31</v>
      </c>
      <c r="P14702" t="str">
        <f>"15212"</f>
        <v>15212</v>
      </c>
    </row>
    <row r="14703" spans="1:16" x14ac:dyDescent="0.25">
      <c r="A14703" t="str">
        <f>"1200042D00247    00"</f>
        <v>1200042D00247    00</v>
      </c>
      <c r="B14703" t="s">
        <v>32231</v>
      </c>
      <c r="C14703" t="s">
        <v>32235</v>
      </c>
      <c r="D14703" t="s">
        <v>20</v>
      </c>
      <c r="E14703" t="s">
        <v>39</v>
      </c>
      <c r="F14703">
        <v>0</v>
      </c>
      <c r="G14703">
        <v>0</v>
      </c>
      <c r="H14703">
        <v>1</v>
      </c>
      <c r="I14703" s="3">
        <v>285.89999999999998</v>
      </c>
      <c r="J14703" s="3">
        <v>0</v>
      </c>
      <c r="L14703">
        <v>1815</v>
      </c>
      <c r="M14703" t="s">
        <v>25959</v>
      </c>
      <c r="N14703" t="s">
        <v>7608</v>
      </c>
      <c r="O14703" t="s">
        <v>31</v>
      </c>
      <c r="P14703" t="str">
        <f>"15068"</f>
        <v>15068</v>
      </c>
    </row>
    <row r="14704" spans="1:16" x14ac:dyDescent="0.25">
      <c r="A14704" t="str">
        <f>"1200042D00250    00"</f>
        <v>1200042D00250    00</v>
      </c>
      <c r="B14704" t="s">
        <v>32236</v>
      </c>
      <c r="C14704" t="s">
        <v>32237</v>
      </c>
      <c r="D14704" t="s">
        <v>20</v>
      </c>
      <c r="E14704" t="s">
        <v>39</v>
      </c>
      <c r="F14704">
        <v>0</v>
      </c>
      <c r="G14704">
        <v>0</v>
      </c>
      <c r="H14704">
        <v>19</v>
      </c>
      <c r="I14704" s="3">
        <v>666.21</v>
      </c>
      <c r="J14704" s="3">
        <v>779.55</v>
      </c>
      <c r="K14704" t="s">
        <v>1008</v>
      </c>
      <c r="P14704" t="str">
        <f>""</f>
        <v/>
      </c>
    </row>
    <row r="14705" spans="1:16" x14ac:dyDescent="0.25">
      <c r="A14705" t="str">
        <f>"1200042D00257    00"</f>
        <v>1200042D00257    00</v>
      </c>
      <c r="B14705" t="s">
        <v>32238</v>
      </c>
      <c r="C14705" t="s">
        <v>32237</v>
      </c>
      <c r="D14705" t="s">
        <v>20</v>
      </c>
      <c r="E14705" t="s">
        <v>39</v>
      </c>
      <c r="F14705">
        <v>0</v>
      </c>
      <c r="G14705">
        <v>0</v>
      </c>
      <c r="H14705">
        <v>17</v>
      </c>
      <c r="I14705" s="3">
        <v>9939.5499999999993</v>
      </c>
      <c r="J14705" s="3">
        <v>11937.95</v>
      </c>
      <c r="K14705" t="s">
        <v>32239</v>
      </c>
      <c r="L14705">
        <v>215</v>
      </c>
      <c r="M14705" t="s">
        <v>32240</v>
      </c>
      <c r="N14705" t="s">
        <v>30</v>
      </c>
      <c r="O14705" t="s">
        <v>31</v>
      </c>
      <c r="P14705" t="str">
        <f t="shared" ref="P14705:P14712" si="189">"15204"</f>
        <v>15204</v>
      </c>
    </row>
    <row r="14706" spans="1:16" x14ac:dyDescent="0.25">
      <c r="A14706" t="str">
        <f>"1200042D00258    00"</f>
        <v>1200042D00258    00</v>
      </c>
      <c r="B14706" t="s">
        <v>32241</v>
      </c>
      <c r="C14706" t="s">
        <v>32242</v>
      </c>
      <c r="D14706" t="s">
        <v>20</v>
      </c>
      <c r="E14706" t="s">
        <v>39</v>
      </c>
      <c r="F14706">
        <v>0</v>
      </c>
      <c r="G14706">
        <v>0</v>
      </c>
      <c r="H14706">
        <v>1</v>
      </c>
      <c r="I14706" s="3">
        <v>253.96</v>
      </c>
      <c r="J14706" s="3">
        <v>0</v>
      </c>
      <c r="L14706">
        <v>218</v>
      </c>
      <c r="M14706" t="s">
        <v>32240</v>
      </c>
      <c r="N14706" t="s">
        <v>30</v>
      </c>
      <c r="O14706" t="s">
        <v>31</v>
      </c>
      <c r="P14706" t="str">
        <f t="shared" si="189"/>
        <v>15204</v>
      </c>
    </row>
    <row r="14707" spans="1:16" x14ac:dyDescent="0.25">
      <c r="A14707" t="str">
        <f>"1200042D00322    00"</f>
        <v>1200042D00322    00</v>
      </c>
      <c r="B14707" t="s">
        <v>32243</v>
      </c>
      <c r="C14707" t="s">
        <v>32244</v>
      </c>
      <c r="D14707" t="s">
        <v>20</v>
      </c>
      <c r="E14707" t="s">
        <v>39</v>
      </c>
      <c r="F14707">
        <v>0</v>
      </c>
      <c r="G14707">
        <v>0</v>
      </c>
      <c r="H14707">
        <v>19</v>
      </c>
      <c r="I14707" s="3">
        <v>12426.32</v>
      </c>
      <c r="J14707" s="3">
        <v>15136.12</v>
      </c>
      <c r="L14707">
        <v>2821</v>
      </c>
      <c r="M14707" t="s">
        <v>26516</v>
      </c>
      <c r="N14707" t="s">
        <v>30</v>
      </c>
      <c r="O14707" t="s">
        <v>31</v>
      </c>
      <c r="P14707" t="str">
        <f t="shared" si="189"/>
        <v>15204</v>
      </c>
    </row>
    <row r="14708" spans="1:16" x14ac:dyDescent="0.25">
      <c r="A14708" t="str">
        <f>"1200042E00019    00"</f>
        <v>1200042E00019    00</v>
      </c>
      <c r="B14708" t="s">
        <v>32245</v>
      </c>
      <c r="C14708" t="s">
        <v>32246</v>
      </c>
      <c r="D14708" t="s">
        <v>20</v>
      </c>
      <c r="E14708" t="s">
        <v>39</v>
      </c>
      <c r="F14708">
        <v>0</v>
      </c>
      <c r="G14708">
        <v>0</v>
      </c>
      <c r="H14708">
        <v>3</v>
      </c>
      <c r="I14708" s="3">
        <v>2676.26</v>
      </c>
      <c r="J14708" s="3">
        <v>130.61000000000001</v>
      </c>
      <c r="L14708">
        <v>3525</v>
      </c>
      <c r="M14708" t="s">
        <v>32247</v>
      </c>
      <c r="N14708" t="s">
        <v>30</v>
      </c>
      <c r="O14708" t="s">
        <v>31</v>
      </c>
      <c r="P14708" t="str">
        <f t="shared" si="189"/>
        <v>15204</v>
      </c>
    </row>
    <row r="14709" spans="1:16" x14ac:dyDescent="0.25">
      <c r="A14709" t="str">
        <f>"1200042E00039    00"</f>
        <v>1200042E00039    00</v>
      </c>
      <c r="B14709" t="s">
        <v>32248</v>
      </c>
      <c r="C14709" t="s">
        <v>32249</v>
      </c>
      <c r="D14709" t="s">
        <v>20</v>
      </c>
      <c r="E14709" t="s">
        <v>39</v>
      </c>
      <c r="F14709">
        <v>0</v>
      </c>
      <c r="G14709">
        <v>0</v>
      </c>
      <c r="H14709">
        <v>1</v>
      </c>
      <c r="I14709" s="3">
        <v>711.4</v>
      </c>
      <c r="J14709" s="3">
        <v>0</v>
      </c>
      <c r="L14709">
        <v>1016</v>
      </c>
      <c r="M14709" t="s">
        <v>2580</v>
      </c>
      <c r="N14709" t="s">
        <v>30</v>
      </c>
      <c r="O14709" t="s">
        <v>31</v>
      </c>
      <c r="P14709" t="str">
        <f t="shared" si="189"/>
        <v>15204</v>
      </c>
    </row>
    <row r="14710" spans="1:16" x14ac:dyDescent="0.25">
      <c r="A14710" t="str">
        <f>"1200042E00054    00"</f>
        <v>1200042E00054    00</v>
      </c>
      <c r="B14710" t="s">
        <v>32250</v>
      </c>
      <c r="C14710" t="s">
        <v>32251</v>
      </c>
      <c r="D14710" t="s">
        <v>20</v>
      </c>
      <c r="E14710" t="s">
        <v>39</v>
      </c>
      <c r="F14710">
        <v>0</v>
      </c>
      <c r="G14710">
        <v>0</v>
      </c>
      <c r="H14710">
        <v>2</v>
      </c>
      <c r="I14710" s="3">
        <v>1601.08</v>
      </c>
      <c r="J14710" s="3">
        <v>0</v>
      </c>
      <c r="K14710" t="s">
        <v>32252</v>
      </c>
      <c r="L14710">
        <v>1115</v>
      </c>
      <c r="M14710" t="s">
        <v>2580</v>
      </c>
      <c r="N14710" t="s">
        <v>30</v>
      </c>
      <c r="O14710" t="s">
        <v>31</v>
      </c>
      <c r="P14710" t="str">
        <f t="shared" si="189"/>
        <v>15204</v>
      </c>
    </row>
    <row r="14711" spans="1:16" x14ac:dyDescent="0.25">
      <c r="A14711" t="str">
        <f>"1200042E00055    00"</f>
        <v>1200042E00055    00</v>
      </c>
      <c r="B14711" t="s">
        <v>32253</v>
      </c>
      <c r="C14711" t="s">
        <v>32254</v>
      </c>
      <c r="D14711" t="s">
        <v>20</v>
      </c>
      <c r="E14711" t="s">
        <v>39</v>
      </c>
      <c r="F14711">
        <v>0</v>
      </c>
      <c r="G14711">
        <v>0</v>
      </c>
      <c r="H14711">
        <v>2</v>
      </c>
      <c r="I14711" s="3">
        <v>591.84</v>
      </c>
      <c r="J14711" s="3">
        <v>0</v>
      </c>
      <c r="L14711">
        <v>1109</v>
      </c>
      <c r="M14711" t="s">
        <v>2580</v>
      </c>
      <c r="N14711" t="s">
        <v>30</v>
      </c>
      <c r="O14711" t="s">
        <v>31</v>
      </c>
      <c r="P14711" t="str">
        <f t="shared" si="189"/>
        <v>15204</v>
      </c>
    </row>
    <row r="14712" spans="1:16" x14ac:dyDescent="0.25">
      <c r="A14712" t="str">
        <f>"1200042E00065    00"</f>
        <v>1200042E00065    00</v>
      </c>
      <c r="B14712" t="s">
        <v>32255</v>
      </c>
      <c r="C14712" t="s">
        <v>32256</v>
      </c>
      <c r="D14712" t="s">
        <v>20</v>
      </c>
      <c r="E14712" t="s">
        <v>39</v>
      </c>
      <c r="F14712">
        <v>0</v>
      </c>
      <c r="G14712">
        <v>0</v>
      </c>
      <c r="H14712">
        <v>13</v>
      </c>
      <c r="I14712" s="3">
        <v>10807.11</v>
      </c>
      <c r="J14712" s="3">
        <v>6514.31</v>
      </c>
      <c r="L14712">
        <v>1123</v>
      </c>
      <c r="M14712" t="s">
        <v>2580</v>
      </c>
      <c r="N14712" t="s">
        <v>30</v>
      </c>
      <c r="O14712" t="s">
        <v>31</v>
      </c>
      <c r="P14712" t="str">
        <f t="shared" si="189"/>
        <v>15204</v>
      </c>
    </row>
    <row r="14713" spans="1:16" x14ac:dyDescent="0.25">
      <c r="A14713" t="str">
        <f>"1200042E00069    00"</f>
        <v>1200042E00069    00</v>
      </c>
      <c r="B14713" t="s">
        <v>32257</v>
      </c>
      <c r="C14713" t="s">
        <v>32258</v>
      </c>
      <c r="D14713" t="s">
        <v>20</v>
      </c>
      <c r="E14713" t="s">
        <v>39</v>
      </c>
      <c r="F14713">
        <v>0</v>
      </c>
      <c r="G14713">
        <v>0</v>
      </c>
      <c r="H14713">
        <v>2</v>
      </c>
      <c r="I14713" s="3">
        <v>1833.6</v>
      </c>
      <c r="J14713" s="3">
        <v>0</v>
      </c>
      <c r="K14713" t="s">
        <v>32259</v>
      </c>
      <c r="L14713">
        <v>1053</v>
      </c>
      <c r="M14713" t="s">
        <v>32010</v>
      </c>
      <c r="N14713" t="s">
        <v>32011</v>
      </c>
      <c r="O14713" t="s">
        <v>31</v>
      </c>
      <c r="P14713" t="str">
        <f>"15019"</f>
        <v>15019</v>
      </c>
    </row>
    <row r="14714" spans="1:16" x14ac:dyDescent="0.25">
      <c r="A14714" t="str">
        <f>"1200042E00080    00"</f>
        <v>1200042E00080    00</v>
      </c>
      <c r="B14714" t="s">
        <v>32260</v>
      </c>
      <c r="C14714" t="s">
        <v>32261</v>
      </c>
      <c r="D14714" t="s">
        <v>20</v>
      </c>
      <c r="E14714" t="s">
        <v>39</v>
      </c>
      <c r="F14714">
        <v>0</v>
      </c>
      <c r="G14714">
        <v>0</v>
      </c>
      <c r="H14714">
        <v>2</v>
      </c>
      <c r="I14714" s="3">
        <v>2027.98</v>
      </c>
      <c r="J14714" s="3">
        <v>0</v>
      </c>
      <c r="K14714" t="s">
        <v>12712</v>
      </c>
      <c r="L14714">
        <v>100</v>
      </c>
      <c r="M14714" t="s">
        <v>12713</v>
      </c>
      <c r="N14714" t="s">
        <v>509</v>
      </c>
      <c r="O14714" t="s">
        <v>31</v>
      </c>
      <c r="P14714" t="str">
        <f>"19107"</f>
        <v>19107</v>
      </c>
    </row>
    <row r="14715" spans="1:16" x14ac:dyDescent="0.25">
      <c r="A14715" t="str">
        <f>"1200042E00082    00"</f>
        <v>1200042E00082    00</v>
      </c>
      <c r="B14715" t="s">
        <v>32262</v>
      </c>
      <c r="C14715" t="s">
        <v>32263</v>
      </c>
      <c r="D14715" t="s">
        <v>20</v>
      </c>
      <c r="E14715" t="s">
        <v>39</v>
      </c>
      <c r="F14715">
        <v>0</v>
      </c>
      <c r="G14715">
        <v>0</v>
      </c>
      <c r="H14715">
        <v>7</v>
      </c>
      <c r="I14715" s="3">
        <v>2501.09</v>
      </c>
      <c r="J14715" s="3">
        <v>678.42</v>
      </c>
      <c r="K14715" t="s">
        <v>32264</v>
      </c>
      <c r="L14715">
        <v>1006</v>
      </c>
      <c r="M14715" t="s">
        <v>32265</v>
      </c>
      <c r="N14715" t="s">
        <v>30</v>
      </c>
      <c r="O14715" t="s">
        <v>31</v>
      </c>
      <c r="P14715" t="str">
        <f>"15204"</f>
        <v>15204</v>
      </c>
    </row>
    <row r="14716" spans="1:16" x14ac:dyDescent="0.25">
      <c r="A14716" t="str">
        <f>"1200042E00106    00"</f>
        <v>1200042E00106    00</v>
      </c>
      <c r="B14716" t="s">
        <v>32266</v>
      </c>
      <c r="C14716" t="s">
        <v>32267</v>
      </c>
      <c r="D14716" t="s">
        <v>20</v>
      </c>
      <c r="E14716" t="s">
        <v>39</v>
      </c>
      <c r="F14716">
        <v>0</v>
      </c>
      <c r="G14716">
        <v>0</v>
      </c>
      <c r="H14716">
        <v>14</v>
      </c>
      <c r="I14716" s="3">
        <v>17453.18</v>
      </c>
      <c r="J14716" s="3">
        <v>11227.86</v>
      </c>
      <c r="L14716">
        <v>1013</v>
      </c>
      <c r="M14716" t="s">
        <v>32265</v>
      </c>
      <c r="N14716" t="s">
        <v>30</v>
      </c>
      <c r="O14716" t="s">
        <v>31</v>
      </c>
      <c r="P14716" t="str">
        <f>"15204"</f>
        <v>15204</v>
      </c>
    </row>
    <row r="14717" spans="1:16" x14ac:dyDescent="0.25">
      <c r="A14717" t="str">
        <f>"1200042E00114    00"</f>
        <v>1200042E00114    00</v>
      </c>
      <c r="B14717" t="s">
        <v>32268</v>
      </c>
      <c r="C14717" t="s">
        <v>32269</v>
      </c>
      <c r="D14717" t="s">
        <v>20</v>
      </c>
      <c r="E14717" t="s">
        <v>39</v>
      </c>
      <c r="F14717">
        <v>0</v>
      </c>
      <c r="G14717">
        <v>0</v>
      </c>
      <c r="H14717">
        <v>4</v>
      </c>
      <c r="I14717" s="3">
        <v>1174.2</v>
      </c>
      <c r="J14717" s="3">
        <v>202.22</v>
      </c>
      <c r="L14717">
        <v>1006</v>
      </c>
      <c r="M14717" t="s">
        <v>32270</v>
      </c>
      <c r="N14717" t="s">
        <v>30</v>
      </c>
      <c r="O14717" t="s">
        <v>31</v>
      </c>
      <c r="P14717" t="str">
        <f>"15204"</f>
        <v>15204</v>
      </c>
    </row>
    <row r="14718" spans="1:16" x14ac:dyDescent="0.25">
      <c r="A14718" t="str">
        <f>"1200042E00197    00"</f>
        <v>1200042E00197    00</v>
      </c>
      <c r="B14718" t="s">
        <v>32271</v>
      </c>
      <c r="C14718" t="s">
        <v>32272</v>
      </c>
      <c r="D14718" t="s">
        <v>20</v>
      </c>
      <c r="E14718" t="s">
        <v>39</v>
      </c>
      <c r="F14718">
        <v>0</v>
      </c>
      <c r="G14718">
        <v>0</v>
      </c>
      <c r="H14718">
        <v>1</v>
      </c>
      <c r="I14718" s="3">
        <v>792.89</v>
      </c>
      <c r="J14718" s="3">
        <v>0</v>
      </c>
      <c r="L14718">
        <v>3343</v>
      </c>
      <c r="M14718" t="s">
        <v>32273</v>
      </c>
      <c r="N14718" t="s">
        <v>30</v>
      </c>
      <c r="O14718" t="s">
        <v>31</v>
      </c>
      <c r="P14718" t="str">
        <f>"15204"</f>
        <v>15204</v>
      </c>
    </row>
    <row r="14719" spans="1:16" x14ac:dyDescent="0.25">
      <c r="A14719" t="str">
        <f>"1200042G00026    00"</f>
        <v>1200042G00026    00</v>
      </c>
      <c r="B14719" t="s">
        <v>32274</v>
      </c>
      <c r="C14719" t="s">
        <v>32275</v>
      </c>
      <c r="E14719" t="s">
        <v>39</v>
      </c>
      <c r="F14719">
        <v>0</v>
      </c>
      <c r="G14719">
        <v>0</v>
      </c>
      <c r="H14719">
        <v>2</v>
      </c>
      <c r="I14719" s="3">
        <v>378.99</v>
      </c>
      <c r="J14719" s="3">
        <v>3.14</v>
      </c>
      <c r="K14719" t="s">
        <v>1435</v>
      </c>
      <c r="M14719" t="s">
        <v>271</v>
      </c>
      <c r="N14719" t="s">
        <v>272</v>
      </c>
      <c r="O14719" t="s">
        <v>273</v>
      </c>
      <c r="P14719" t="str">
        <f>"29603"</f>
        <v>29603</v>
      </c>
    </row>
    <row r="14720" spans="1:16" x14ac:dyDescent="0.25">
      <c r="A14720" t="str">
        <f>"1200042G00028    00"</f>
        <v>1200042G00028    00</v>
      </c>
      <c r="B14720" t="s">
        <v>32276</v>
      </c>
      <c r="C14720" t="s">
        <v>32277</v>
      </c>
      <c r="D14720" t="s">
        <v>20</v>
      </c>
      <c r="E14720" t="s">
        <v>39</v>
      </c>
      <c r="F14720">
        <v>0</v>
      </c>
      <c r="G14720">
        <v>0</v>
      </c>
      <c r="H14720">
        <v>11</v>
      </c>
      <c r="I14720" s="3">
        <v>8967.6</v>
      </c>
      <c r="J14720" s="3">
        <v>3856.38</v>
      </c>
      <c r="L14720">
        <v>3065</v>
      </c>
      <c r="M14720" t="s">
        <v>2669</v>
      </c>
      <c r="N14720" t="s">
        <v>30</v>
      </c>
      <c r="O14720" t="s">
        <v>31</v>
      </c>
      <c r="P14720" t="str">
        <f>"15204"</f>
        <v>15204</v>
      </c>
    </row>
    <row r="14721" spans="1:16" x14ac:dyDescent="0.25">
      <c r="A14721" t="str">
        <f>"1200042G00031    00"</f>
        <v>1200042G00031    00</v>
      </c>
      <c r="B14721" t="s">
        <v>32278</v>
      </c>
      <c r="C14721" t="s">
        <v>32279</v>
      </c>
      <c r="D14721" t="s">
        <v>20</v>
      </c>
      <c r="E14721" t="s">
        <v>39</v>
      </c>
      <c r="F14721">
        <v>0</v>
      </c>
      <c r="G14721">
        <v>0</v>
      </c>
      <c r="H14721">
        <v>1</v>
      </c>
      <c r="I14721" s="3">
        <v>1183.6400000000001</v>
      </c>
      <c r="J14721" s="3">
        <v>0</v>
      </c>
      <c r="L14721">
        <v>10557</v>
      </c>
      <c r="M14721" t="s">
        <v>1305</v>
      </c>
      <c r="N14721" t="s">
        <v>139</v>
      </c>
      <c r="O14721" t="s">
        <v>31</v>
      </c>
      <c r="P14721" t="str">
        <f>"15090"</f>
        <v>15090</v>
      </c>
    </row>
    <row r="14722" spans="1:16" x14ac:dyDescent="0.25">
      <c r="A14722" t="str">
        <f>"1200042G00033    00"</f>
        <v>1200042G00033    00</v>
      </c>
      <c r="B14722" t="s">
        <v>32280</v>
      </c>
      <c r="C14722" t="s">
        <v>32281</v>
      </c>
      <c r="D14722" t="s">
        <v>20</v>
      </c>
      <c r="E14722" t="s">
        <v>39</v>
      </c>
      <c r="F14722">
        <v>0</v>
      </c>
      <c r="G14722">
        <v>0</v>
      </c>
      <c r="H14722">
        <v>2</v>
      </c>
      <c r="I14722" s="3">
        <v>449.9</v>
      </c>
      <c r="J14722" s="3">
        <v>3.45</v>
      </c>
      <c r="K14722" t="s">
        <v>32282</v>
      </c>
      <c r="L14722">
        <v>3051</v>
      </c>
      <c r="M14722" t="s">
        <v>2669</v>
      </c>
      <c r="N14722" t="s">
        <v>30</v>
      </c>
      <c r="O14722" t="s">
        <v>31</v>
      </c>
      <c r="P14722" t="str">
        <f>"15204"</f>
        <v>15204</v>
      </c>
    </row>
    <row r="14723" spans="1:16" x14ac:dyDescent="0.25">
      <c r="A14723" t="str">
        <f>"1200042G00034    00"</f>
        <v>1200042G00034    00</v>
      </c>
      <c r="B14723" t="s">
        <v>32283</v>
      </c>
      <c r="C14723" t="s">
        <v>32284</v>
      </c>
      <c r="D14723" t="s">
        <v>20</v>
      </c>
      <c r="E14723" t="s">
        <v>39</v>
      </c>
      <c r="F14723">
        <v>0</v>
      </c>
      <c r="G14723">
        <v>0</v>
      </c>
      <c r="H14723">
        <v>1</v>
      </c>
      <c r="I14723" s="3">
        <v>640.89</v>
      </c>
      <c r="J14723" s="3">
        <v>0</v>
      </c>
      <c r="K14723" t="s">
        <v>32285</v>
      </c>
      <c r="L14723">
        <v>3049</v>
      </c>
      <c r="M14723" t="s">
        <v>31690</v>
      </c>
      <c r="N14723" t="s">
        <v>30</v>
      </c>
      <c r="O14723" t="s">
        <v>31</v>
      </c>
      <c r="P14723" t="str">
        <f>"15204"</f>
        <v>15204</v>
      </c>
    </row>
    <row r="14724" spans="1:16" x14ac:dyDescent="0.25">
      <c r="A14724" t="str">
        <f>"1200042G00035    00"</f>
        <v>1200042G00035    00</v>
      </c>
      <c r="B14724" t="s">
        <v>4450</v>
      </c>
      <c r="C14724" t="s">
        <v>32286</v>
      </c>
      <c r="D14724" t="s">
        <v>20</v>
      </c>
      <c r="E14724" t="s">
        <v>39</v>
      </c>
      <c r="F14724">
        <v>0</v>
      </c>
      <c r="G14724">
        <v>0</v>
      </c>
      <c r="H14724">
        <v>2</v>
      </c>
      <c r="I14724" s="3">
        <v>571.84</v>
      </c>
      <c r="J14724" s="3">
        <v>0</v>
      </c>
      <c r="L14724">
        <v>7901</v>
      </c>
      <c r="M14724" t="s">
        <v>4452</v>
      </c>
      <c r="N14724" t="s">
        <v>30</v>
      </c>
      <c r="O14724" t="s">
        <v>31</v>
      </c>
      <c r="P14724" t="str">
        <f>"15221"</f>
        <v>15221</v>
      </c>
    </row>
    <row r="14725" spans="1:16" x14ac:dyDescent="0.25">
      <c r="A14725" t="str">
        <f>"1200042G00036    00"</f>
        <v>1200042G00036    00</v>
      </c>
      <c r="B14725" t="s">
        <v>32278</v>
      </c>
      <c r="C14725" t="s">
        <v>32287</v>
      </c>
      <c r="D14725" t="s">
        <v>20</v>
      </c>
      <c r="E14725" t="s">
        <v>39</v>
      </c>
      <c r="F14725">
        <v>0</v>
      </c>
      <c r="G14725">
        <v>0</v>
      </c>
      <c r="H14725">
        <v>1</v>
      </c>
      <c r="I14725" s="3">
        <v>743.36</v>
      </c>
      <c r="J14725" s="3">
        <v>0</v>
      </c>
      <c r="K14725" t="s">
        <v>32288</v>
      </c>
      <c r="L14725">
        <v>10557</v>
      </c>
      <c r="M14725" t="s">
        <v>1305</v>
      </c>
      <c r="N14725" t="s">
        <v>139</v>
      </c>
      <c r="O14725" t="s">
        <v>31</v>
      </c>
      <c r="P14725" t="str">
        <f>"15090"</f>
        <v>15090</v>
      </c>
    </row>
    <row r="14726" spans="1:16" x14ac:dyDescent="0.25">
      <c r="A14726" t="str">
        <f>"1200042G00065    00"</f>
        <v>1200042G00065    00</v>
      </c>
      <c r="B14726" t="s">
        <v>32289</v>
      </c>
      <c r="C14726" t="s">
        <v>31520</v>
      </c>
      <c r="D14726" t="s">
        <v>20</v>
      </c>
      <c r="E14726" t="s">
        <v>39</v>
      </c>
      <c r="F14726">
        <v>0</v>
      </c>
      <c r="G14726">
        <v>0</v>
      </c>
      <c r="H14726">
        <v>12</v>
      </c>
      <c r="I14726" s="3">
        <v>3168.84</v>
      </c>
      <c r="J14726" s="3">
        <v>1666.85</v>
      </c>
      <c r="L14726">
        <v>11112</v>
      </c>
      <c r="M14726" t="s">
        <v>32290</v>
      </c>
      <c r="N14726" t="s">
        <v>32291</v>
      </c>
      <c r="O14726" t="s">
        <v>31</v>
      </c>
      <c r="P14726" t="str">
        <f>"16347"</f>
        <v>16347</v>
      </c>
    </row>
    <row r="14727" spans="1:16" x14ac:dyDescent="0.25">
      <c r="A14727" t="str">
        <f>"1200042G00067    00"</f>
        <v>1200042G00067    00</v>
      </c>
      <c r="B14727" t="s">
        <v>32082</v>
      </c>
      <c r="C14727" t="s">
        <v>32083</v>
      </c>
      <c r="D14727" t="s">
        <v>20</v>
      </c>
      <c r="E14727" t="s">
        <v>39</v>
      </c>
      <c r="F14727">
        <v>0</v>
      </c>
      <c r="G14727">
        <v>0</v>
      </c>
      <c r="H14727">
        <v>11</v>
      </c>
      <c r="I14727" s="3">
        <v>444.77</v>
      </c>
      <c r="J14727" s="3">
        <v>213.49</v>
      </c>
      <c r="L14727">
        <v>3252</v>
      </c>
      <c r="M14727" t="s">
        <v>31104</v>
      </c>
      <c r="N14727" t="s">
        <v>30</v>
      </c>
      <c r="O14727" t="s">
        <v>31</v>
      </c>
      <c r="P14727" t="str">
        <f>"15204"</f>
        <v>15204</v>
      </c>
    </row>
    <row r="14728" spans="1:16" x14ac:dyDescent="0.25">
      <c r="A14728" t="str">
        <f>"1200042G00068    00"</f>
        <v>1200042G00068    00</v>
      </c>
      <c r="B14728" t="s">
        <v>32289</v>
      </c>
      <c r="C14728" t="s">
        <v>31520</v>
      </c>
      <c r="D14728" t="s">
        <v>20</v>
      </c>
      <c r="E14728" t="s">
        <v>39</v>
      </c>
      <c r="F14728">
        <v>0</v>
      </c>
      <c r="G14728">
        <v>0</v>
      </c>
      <c r="H14728">
        <v>13</v>
      </c>
      <c r="I14728" s="3">
        <v>1147.1400000000001</v>
      </c>
      <c r="J14728" s="3">
        <v>619.65</v>
      </c>
      <c r="L14728">
        <v>11112</v>
      </c>
      <c r="M14728" t="s">
        <v>32290</v>
      </c>
      <c r="N14728" t="s">
        <v>32291</v>
      </c>
      <c r="O14728" t="s">
        <v>31</v>
      </c>
      <c r="P14728" t="str">
        <f>"16347"</f>
        <v>16347</v>
      </c>
    </row>
    <row r="14729" spans="1:16" x14ac:dyDescent="0.25">
      <c r="A14729" t="str">
        <f>"1200042G00069    00"</f>
        <v>1200042G00069    00</v>
      </c>
      <c r="B14729" t="s">
        <v>32289</v>
      </c>
      <c r="C14729" t="s">
        <v>31520</v>
      </c>
      <c r="D14729" t="s">
        <v>20</v>
      </c>
      <c r="E14729" t="s">
        <v>39</v>
      </c>
      <c r="F14729">
        <v>0</v>
      </c>
      <c r="G14729">
        <v>0</v>
      </c>
      <c r="H14729">
        <v>12</v>
      </c>
      <c r="I14729" s="3">
        <v>2568.1</v>
      </c>
      <c r="J14729" s="3">
        <v>1547.46</v>
      </c>
      <c r="L14729">
        <v>11112</v>
      </c>
      <c r="M14729" t="s">
        <v>32290</v>
      </c>
      <c r="N14729" t="s">
        <v>32291</v>
      </c>
      <c r="O14729" t="s">
        <v>31</v>
      </c>
      <c r="P14729" t="str">
        <f>"16347"</f>
        <v>16347</v>
      </c>
    </row>
    <row r="14730" spans="1:16" x14ac:dyDescent="0.25">
      <c r="A14730" t="str">
        <f>"1200042G00070    00"</f>
        <v>1200042G00070    00</v>
      </c>
      <c r="B14730" t="s">
        <v>32292</v>
      </c>
      <c r="C14730" t="s">
        <v>31520</v>
      </c>
      <c r="D14730" t="s">
        <v>20</v>
      </c>
      <c r="E14730" t="s">
        <v>39</v>
      </c>
      <c r="F14730">
        <v>0</v>
      </c>
      <c r="G14730">
        <v>0</v>
      </c>
      <c r="H14730">
        <v>13</v>
      </c>
      <c r="I14730" s="3">
        <v>156.47999999999999</v>
      </c>
      <c r="J14730" s="3">
        <v>98.89</v>
      </c>
      <c r="L14730">
        <v>11112</v>
      </c>
      <c r="M14730" t="s">
        <v>32293</v>
      </c>
      <c r="N14730" t="s">
        <v>32291</v>
      </c>
      <c r="O14730" t="s">
        <v>31</v>
      </c>
      <c r="P14730" t="str">
        <f>"16347"</f>
        <v>16347</v>
      </c>
    </row>
    <row r="14731" spans="1:16" x14ac:dyDescent="0.25">
      <c r="A14731" t="str">
        <f>"1200042G00071    00"</f>
        <v>1200042G00071    00</v>
      </c>
      <c r="B14731" t="s">
        <v>32294</v>
      </c>
      <c r="C14731" t="s">
        <v>32295</v>
      </c>
      <c r="D14731" t="s">
        <v>20</v>
      </c>
      <c r="E14731" t="s">
        <v>39</v>
      </c>
      <c r="F14731">
        <v>0</v>
      </c>
      <c r="G14731">
        <v>0</v>
      </c>
      <c r="H14731">
        <v>11</v>
      </c>
      <c r="I14731" s="3">
        <v>7455.64</v>
      </c>
      <c r="J14731" s="3">
        <v>545.29999999999995</v>
      </c>
      <c r="L14731">
        <v>622</v>
      </c>
      <c r="M14731" t="s">
        <v>21575</v>
      </c>
      <c r="N14731" t="s">
        <v>30</v>
      </c>
      <c r="O14731" t="s">
        <v>31</v>
      </c>
      <c r="P14731" t="str">
        <f>"15219"</f>
        <v>15219</v>
      </c>
    </row>
    <row r="14732" spans="1:16" x14ac:dyDescent="0.25">
      <c r="A14732" t="str">
        <f>"1200042G00074    00"</f>
        <v>1200042G00074    00</v>
      </c>
      <c r="B14732" t="s">
        <v>32296</v>
      </c>
      <c r="C14732" t="s">
        <v>32297</v>
      </c>
      <c r="D14732" t="s">
        <v>20</v>
      </c>
      <c r="E14732" t="s">
        <v>39</v>
      </c>
      <c r="F14732">
        <v>0</v>
      </c>
      <c r="G14732">
        <v>0</v>
      </c>
      <c r="H14732">
        <v>13</v>
      </c>
      <c r="I14732" s="3">
        <v>5161.47</v>
      </c>
      <c r="J14732" s="3">
        <v>2940.89</v>
      </c>
      <c r="K14732" t="s">
        <v>32298</v>
      </c>
      <c r="L14732">
        <v>224</v>
      </c>
      <c r="M14732" t="s">
        <v>32299</v>
      </c>
      <c r="N14732" t="s">
        <v>8181</v>
      </c>
      <c r="O14732" t="s">
        <v>31</v>
      </c>
      <c r="P14732" t="str">
        <f>"15110"</f>
        <v>15110</v>
      </c>
    </row>
    <row r="14733" spans="1:16" x14ac:dyDescent="0.25">
      <c r="A14733" t="str">
        <f>"1200042G00087    00"</f>
        <v>1200042G00087    00</v>
      </c>
      <c r="B14733" t="s">
        <v>32300</v>
      </c>
      <c r="C14733" t="s">
        <v>31520</v>
      </c>
      <c r="D14733" t="s">
        <v>20</v>
      </c>
      <c r="E14733" t="s">
        <v>39</v>
      </c>
      <c r="F14733">
        <v>0</v>
      </c>
      <c r="G14733">
        <v>0</v>
      </c>
      <c r="H14733">
        <v>19</v>
      </c>
      <c r="I14733" s="3">
        <v>5280.1</v>
      </c>
      <c r="J14733" s="3">
        <v>5010.72</v>
      </c>
      <c r="P14733" t="str">
        <f>""</f>
        <v/>
      </c>
    </row>
    <row r="14734" spans="1:16" x14ac:dyDescent="0.25">
      <c r="A14734" t="str">
        <f>"1200042G00088    00"</f>
        <v>1200042G00088    00</v>
      </c>
      <c r="B14734" t="s">
        <v>32301</v>
      </c>
      <c r="C14734" t="s">
        <v>31520</v>
      </c>
      <c r="D14734" t="s">
        <v>20</v>
      </c>
      <c r="E14734" t="s">
        <v>39</v>
      </c>
      <c r="F14734">
        <v>0</v>
      </c>
      <c r="G14734">
        <v>0</v>
      </c>
      <c r="H14734">
        <v>14</v>
      </c>
      <c r="I14734" s="3">
        <v>5760.52</v>
      </c>
      <c r="J14734" s="3">
        <v>3877.28</v>
      </c>
      <c r="L14734">
        <v>964</v>
      </c>
      <c r="M14734" t="s">
        <v>1887</v>
      </c>
      <c r="N14734" t="s">
        <v>30</v>
      </c>
      <c r="O14734" t="s">
        <v>31</v>
      </c>
      <c r="P14734" t="str">
        <f>"15217"</f>
        <v>15217</v>
      </c>
    </row>
    <row r="14735" spans="1:16" x14ac:dyDescent="0.25">
      <c r="A14735" t="str">
        <f>"1200042G00089    00"</f>
        <v>1200042G00089    00</v>
      </c>
      <c r="B14735" t="s">
        <v>32301</v>
      </c>
      <c r="C14735" t="s">
        <v>31520</v>
      </c>
      <c r="D14735" t="s">
        <v>20</v>
      </c>
      <c r="E14735" t="s">
        <v>39</v>
      </c>
      <c r="F14735">
        <v>0</v>
      </c>
      <c r="G14735">
        <v>0</v>
      </c>
      <c r="H14735">
        <v>14</v>
      </c>
      <c r="I14735" s="3">
        <v>3427.28</v>
      </c>
      <c r="J14735" s="3">
        <v>1907.68</v>
      </c>
      <c r="L14735">
        <v>964</v>
      </c>
      <c r="M14735" t="s">
        <v>1887</v>
      </c>
      <c r="N14735" t="s">
        <v>30</v>
      </c>
      <c r="O14735" t="s">
        <v>31</v>
      </c>
      <c r="P14735" t="str">
        <f>"15217"</f>
        <v>15217</v>
      </c>
    </row>
    <row r="14736" spans="1:16" x14ac:dyDescent="0.25">
      <c r="A14736" t="str">
        <f>"1200042G00109    00"</f>
        <v>1200042G00109    00</v>
      </c>
      <c r="B14736" t="s">
        <v>32302</v>
      </c>
      <c r="C14736" t="s">
        <v>32303</v>
      </c>
      <c r="D14736" t="s">
        <v>20</v>
      </c>
      <c r="E14736" t="s">
        <v>39</v>
      </c>
      <c r="F14736">
        <v>0</v>
      </c>
      <c r="G14736">
        <v>0</v>
      </c>
      <c r="H14736">
        <v>19</v>
      </c>
      <c r="I14736" s="3">
        <v>7278.1</v>
      </c>
      <c r="J14736" s="3">
        <v>7713.32</v>
      </c>
      <c r="K14736" t="s">
        <v>32304</v>
      </c>
      <c r="L14736">
        <v>2327</v>
      </c>
      <c r="M14736" t="s">
        <v>32305</v>
      </c>
      <c r="N14736" t="s">
        <v>4150</v>
      </c>
      <c r="O14736" t="s">
        <v>31</v>
      </c>
      <c r="P14736" t="str">
        <f>"15116"</f>
        <v>15116</v>
      </c>
    </row>
    <row r="14737" spans="1:16" x14ac:dyDescent="0.25">
      <c r="A14737" t="str">
        <f>"1200042G00117    00"</f>
        <v>1200042G00117    00</v>
      </c>
      <c r="B14737" t="s">
        <v>32306</v>
      </c>
      <c r="C14737" t="s">
        <v>32307</v>
      </c>
      <c r="D14737" t="s">
        <v>20</v>
      </c>
      <c r="E14737" t="s">
        <v>39</v>
      </c>
      <c r="F14737">
        <v>0</v>
      </c>
      <c r="G14737">
        <v>0</v>
      </c>
      <c r="H14737">
        <v>19</v>
      </c>
      <c r="I14737" s="3">
        <v>10061.549999999999</v>
      </c>
      <c r="J14737" s="3">
        <v>8330.17</v>
      </c>
      <c r="K14737" t="s">
        <v>32308</v>
      </c>
      <c r="L14737">
        <v>419</v>
      </c>
      <c r="M14737" t="s">
        <v>858</v>
      </c>
      <c r="N14737" t="s">
        <v>903</v>
      </c>
      <c r="O14737" t="s">
        <v>31</v>
      </c>
      <c r="P14737" t="str">
        <f>"15136"</f>
        <v>15136</v>
      </c>
    </row>
    <row r="14738" spans="1:16" x14ac:dyDescent="0.25">
      <c r="A14738" t="str">
        <f>"1200042G00124    00"</f>
        <v>1200042G00124    00</v>
      </c>
      <c r="B14738" t="s">
        <v>32309</v>
      </c>
      <c r="C14738" t="s">
        <v>32310</v>
      </c>
      <c r="D14738" t="s">
        <v>20</v>
      </c>
      <c r="E14738" t="s">
        <v>39</v>
      </c>
      <c r="F14738">
        <v>0</v>
      </c>
      <c r="G14738">
        <v>0</v>
      </c>
      <c r="H14738">
        <v>17</v>
      </c>
      <c r="I14738" s="3">
        <v>9460.19</v>
      </c>
      <c r="J14738" s="3">
        <v>6562.59</v>
      </c>
      <c r="K14738" t="s">
        <v>32311</v>
      </c>
      <c r="L14738">
        <v>9903</v>
      </c>
      <c r="M14738" t="s">
        <v>32312</v>
      </c>
      <c r="N14738" t="s">
        <v>134</v>
      </c>
      <c r="O14738" t="s">
        <v>31</v>
      </c>
      <c r="P14738" t="str">
        <f>"15037"</f>
        <v>15037</v>
      </c>
    </row>
    <row r="14739" spans="1:16" x14ac:dyDescent="0.25">
      <c r="A14739" t="str">
        <f>"1200042G00130    00"</f>
        <v>1200042G00130    00</v>
      </c>
      <c r="B14739" t="s">
        <v>32313</v>
      </c>
      <c r="C14739" t="s">
        <v>32314</v>
      </c>
      <c r="D14739" t="s">
        <v>20</v>
      </c>
      <c r="E14739" t="s">
        <v>39</v>
      </c>
      <c r="F14739">
        <v>0</v>
      </c>
      <c r="G14739">
        <v>0</v>
      </c>
      <c r="H14739">
        <v>3</v>
      </c>
      <c r="I14739" s="3">
        <v>855</v>
      </c>
      <c r="J14739" s="3">
        <v>28.98</v>
      </c>
      <c r="L14739">
        <v>3330</v>
      </c>
      <c r="M14739" t="s">
        <v>31690</v>
      </c>
      <c r="N14739" t="s">
        <v>30</v>
      </c>
      <c r="O14739" t="s">
        <v>31</v>
      </c>
      <c r="P14739" t="str">
        <f>"15204"</f>
        <v>15204</v>
      </c>
    </row>
    <row r="14740" spans="1:16" x14ac:dyDescent="0.25">
      <c r="A14740" t="str">
        <f>"1200042G00139    00"</f>
        <v>1200042G00139    00</v>
      </c>
      <c r="B14740" t="s">
        <v>32315</v>
      </c>
      <c r="C14740" t="s">
        <v>32303</v>
      </c>
      <c r="E14740" t="s">
        <v>39</v>
      </c>
      <c r="F14740">
        <v>0</v>
      </c>
      <c r="G14740">
        <v>0</v>
      </c>
      <c r="H14740">
        <v>12</v>
      </c>
      <c r="I14740" s="3">
        <v>8639.08</v>
      </c>
      <c r="J14740" s="3">
        <v>11160.31</v>
      </c>
      <c r="L14740">
        <v>125</v>
      </c>
      <c r="M14740" t="s">
        <v>32316</v>
      </c>
      <c r="N14740" t="s">
        <v>546</v>
      </c>
      <c r="O14740" t="s">
        <v>31</v>
      </c>
      <c r="P14740" t="str">
        <f>"15044"</f>
        <v>15044</v>
      </c>
    </row>
    <row r="14741" spans="1:16" x14ac:dyDescent="0.25">
      <c r="A14741" t="str">
        <f>"1200042G00142    00"</f>
        <v>1200042G00142    00</v>
      </c>
      <c r="B14741" t="s">
        <v>32317</v>
      </c>
      <c r="C14741" t="s">
        <v>32318</v>
      </c>
      <c r="D14741" t="s">
        <v>20</v>
      </c>
      <c r="E14741" t="s">
        <v>39</v>
      </c>
      <c r="F14741">
        <v>0</v>
      </c>
      <c r="G14741">
        <v>0</v>
      </c>
      <c r="H14741">
        <v>3</v>
      </c>
      <c r="I14741" s="3">
        <v>838.07</v>
      </c>
      <c r="J14741" s="3">
        <v>3.25</v>
      </c>
      <c r="L14741">
        <v>506</v>
      </c>
      <c r="M14741" t="s">
        <v>30683</v>
      </c>
      <c r="N14741" t="s">
        <v>30</v>
      </c>
      <c r="O14741" t="s">
        <v>31</v>
      </c>
      <c r="P14741" t="str">
        <f>"15205"</f>
        <v>15205</v>
      </c>
    </row>
    <row r="14742" spans="1:16" x14ac:dyDescent="0.25">
      <c r="A14742" t="str">
        <f>"1200042G00168    00"</f>
        <v>1200042G00168    00</v>
      </c>
      <c r="B14742" t="s">
        <v>32319</v>
      </c>
      <c r="C14742" t="s">
        <v>32320</v>
      </c>
      <c r="D14742" t="s">
        <v>20</v>
      </c>
      <c r="E14742" t="s">
        <v>39</v>
      </c>
      <c r="F14742">
        <v>0</v>
      </c>
      <c r="G14742">
        <v>0</v>
      </c>
      <c r="H14742">
        <v>12</v>
      </c>
      <c r="I14742" s="3">
        <v>2106.81</v>
      </c>
      <c r="J14742" s="3">
        <v>1270.27</v>
      </c>
      <c r="L14742">
        <v>3218</v>
      </c>
      <c r="M14742" t="s">
        <v>31602</v>
      </c>
      <c r="N14742" t="s">
        <v>30</v>
      </c>
      <c r="O14742" t="s">
        <v>31</v>
      </c>
      <c r="P14742" t="str">
        <f>"15204"</f>
        <v>15204</v>
      </c>
    </row>
    <row r="14743" spans="1:16" x14ac:dyDescent="0.25">
      <c r="A14743" t="str">
        <f>"1200042G00170    00"</f>
        <v>1200042G00170    00</v>
      </c>
      <c r="B14743" t="s">
        <v>32319</v>
      </c>
      <c r="C14743" t="s">
        <v>32320</v>
      </c>
      <c r="D14743" t="s">
        <v>20</v>
      </c>
      <c r="E14743" t="s">
        <v>39</v>
      </c>
      <c r="F14743">
        <v>0</v>
      </c>
      <c r="G14743">
        <v>0</v>
      </c>
      <c r="H14743">
        <v>9</v>
      </c>
      <c r="I14743" s="3">
        <v>3878.8</v>
      </c>
      <c r="J14743" s="3">
        <v>2566.71</v>
      </c>
      <c r="L14743">
        <v>14532</v>
      </c>
      <c r="M14743" t="s">
        <v>32321</v>
      </c>
      <c r="N14743" t="s">
        <v>13177</v>
      </c>
      <c r="O14743" t="s">
        <v>200</v>
      </c>
      <c r="P14743" t="str">
        <f>"11436"</f>
        <v>11436</v>
      </c>
    </row>
    <row r="14744" spans="1:16" x14ac:dyDescent="0.25">
      <c r="A14744" t="str">
        <f>"1200042G00174    00"</f>
        <v>1200042G00174    00</v>
      </c>
      <c r="B14744" t="s">
        <v>32322</v>
      </c>
      <c r="C14744" t="s">
        <v>32323</v>
      </c>
      <c r="D14744" t="s">
        <v>20</v>
      </c>
      <c r="E14744" t="s">
        <v>39</v>
      </c>
      <c r="F14744">
        <v>0</v>
      </c>
      <c r="G14744">
        <v>0</v>
      </c>
      <c r="H14744">
        <v>2</v>
      </c>
      <c r="I14744" s="3">
        <v>663.36</v>
      </c>
      <c r="J14744" s="3">
        <v>0</v>
      </c>
      <c r="L14744">
        <v>3208</v>
      </c>
      <c r="M14744" t="s">
        <v>31602</v>
      </c>
      <c r="N14744" t="s">
        <v>30</v>
      </c>
      <c r="O14744" t="s">
        <v>31</v>
      </c>
      <c r="P14744" t="str">
        <f>"15204"</f>
        <v>15204</v>
      </c>
    </row>
    <row r="14745" spans="1:16" x14ac:dyDescent="0.25">
      <c r="A14745" t="str">
        <f>"1200042G00215    00"</f>
        <v>1200042G00215    00</v>
      </c>
      <c r="B14745" t="s">
        <v>3008</v>
      </c>
      <c r="C14745" t="s">
        <v>32324</v>
      </c>
      <c r="D14745" t="s">
        <v>20</v>
      </c>
      <c r="E14745" t="s">
        <v>39</v>
      </c>
      <c r="F14745">
        <v>0</v>
      </c>
      <c r="G14745">
        <v>0</v>
      </c>
      <c r="H14745">
        <v>2</v>
      </c>
      <c r="I14745" s="3">
        <v>634.94000000000005</v>
      </c>
      <c r="J14745" s="3">
        <v>0</v>
      </c>
      <c r="M14745" t="s">
        <v>2628</v>
      </c>
      <c r="N14745" t="s">
        <v>30</v>
      </c>
      <c r="O14745" t="s">
        <v>31</v>
      </c>
      <c r="P14745" t="str">
        <f>"15213"</f>
        <v>15213</v>
      </c>
    </row>
    <row r="14746" spans="1:16" x14ac:dyDescent="0.25">
      <c r="A14746" t="str">
        <f>"1200042G00222    00"</f>
        <v>1200042G00222    00</v>
      </c>
      <c r="B14746" t="s">
        <v>32325</v>
      </c>
      <c r="C14746" t="s">
        <v>32326</v>
      </c>
      <c r="D14746" t="s">
        <v>20</v>
      </c>
      <c r="E14746" t="s">
        <v>39</v>
      </c>
      <c r="F14746">
        <v>0</v>
      </c>
      <c r="G14746">
        <v>0</v>
      </c>
      <c r="H14746">
        <v>2</v>
      </c>
      <c r="I14746" s="3">
        <v>533.67999999999995</v>
      </c>
      <c r="J14746" s="3">
        <v>0</v>
      </c>
      <c r="K14746" t="s">
        <v>32327</v>
      </c>
      <c r="L14746">
        <v>512</v>
      </c>
      <c r="M14746" t="s">
        <v>32328</v>
      </c>
      <c r="N14746" t="s">
        <v>30</v>
      </c>
      <c r="O14746" t="s">
        <v>31</v>
      </c>
      <c r="P14746" t="str">
        <f>"15204"</f>
        <v>15204</v>
      </c>
    </row>
    <row r="14747" spans="1:16" x14ac:dyDescent="0.25">
      <c r="A14747" t="str">
        <f>"1200042G00225    00"</f>
        <v>1200042G00225    00</v>
      </c>
      <c r="B14747" t="s">
        <v>32329</v>
      </c>
      <c r="C14747" t="s">
        <v>32330</v>
      </c>
      <c r="D14747" t="s">
        <v>20</v>
      </c>
      <c r="E14747" t="s">
        <v>39</v>
      </c>
      <c r="F14747">
        <v>0</v>
      </c>
      <c r="G14747">
        <v>0</v>
      </c>
      <c r="H14747">
        <v>8</v>
      </c>
      <c r="I14747" s="3">
        <v>1414.56</v>
      </c>
      <c r="J14747" s="3">
        <v>728.74</v>
      </c>
      <c r="L14747">
        <v>3220</v>
      </c>
      <c r="M14747" t="s">
        <v>32331</v>
      </c>
      <c r="N14747" t="s">
        <v>30</v>
      </c>
      <c r="O14747" t="s">
        <v>31</v>
      </c>
      <c r="P14747" t="str">
        <f>"15204"</f>
        <v>15204</v>
      </c>
    </row>
    <row r="14748" spans="1:16" x14ac:dyDescent="0.25">
      <c r="A14748" t="str">
        <f>"1200042G00226    00"</f>
        <v>1200042G00226    00</v>
      </c>
      <c r="B14748" t="s">
        <v>32332</v>
      </c>
      <c r="C14748" t="s">
        <v>32333</v>
      </c>
      <c r="D14748" t="s">
        <v>20</v>
      </c>
      <c r="E14748" t="s">
        <v>39</v>
      </c>
      <c r="F14748">
        <v>0</v>
      </c>
      <c r="G14748">
        <v>0</v>
      </c>
      <c r="H14748">
        <v>19</v>
      </c>
      <c r="I14748" s="3">
        <v>10218.84</v>
      </c>
      <c r="J14748" s="3">
        <v>12883.42</v>
      </c>
      <c r="L14748">
        <v>2000</v>
      </c>
      <c r="M14748" t="s">
        <v>32334</v>
      </c>
      <c r="N14748" t="s">
        <v>526</v>
      </c>
      <c r="O14748" t="s">
        <v>31</v>
      </c>
      <c r="P14748" t="str">
        <f>"15301"</f>
        <v>15301</v>
      </c>
    </row>
    <row r="14749" spans="1:16" x14ac:dyDescent="0.25">
      <c r="A14749" t="str">
        <f>"1200042G00227    00"</f>
        <v>1200042G00227    00</v>
      </c>
      <c r="B14749" t="s">
        <v>32335</v>
      </c>
      <c r="C14749" t="s">
        <v>32333</v>
      </c>
      <c r="D14749" t="s">
        <v>20</v>
      </c>
      <c r="E14749" t="s">
        <v>39</v>
      </c>
      <c r="F14749">
        <v>0</v>
      </c>
      <c r="G14749">
        <v>0</v>
      </c>
      <c r="H14749">
        <v>16</v>
      </c>
      <c r="I14749" s="3">
        <v>11222.44</v>
      </c>
      <c r="J14749" s="3">
        <v>14970.08</v>
      </c>
      <c r="K14749" t="s">
        <v>1008</v>
      </c>
      <c r="P14749" t="str">
        <f>""</f>
        <v/>
      </c>
    </row>
    <row r="14750" spans="1:16" x14ac:dyDescent="0.25">
      <c r="A14750" t="str">
        <f>"1200042G00236    00"</f>
        <v>1200042G00236    00</v>
      </c>
      <c r="B14750" t="s">
        <v>32336</v>
      </c>
      <c r="C14750" t="s">
        <v>32337</v>
      </c>
      <c r="E14750" t="s">
        <v>39</v>
      </c>
      <c r="F14750">
        <v>0</v>
      </c>
      <c r="G14750">
        <v>0</v>
      </c>
      <c r="H14750">
        <v>1</v>
      </c>
      <c r="I14750" s="3">
        <v>1123.49</v>
      </c>
      <c r="J14750" s="3">
        <v>552.36</v>
      </c>
      <c r="M14750" t="s">
        <v>30544</v>
      </c>
      <c r="N14750" t="s">
        <v>903</v>
      </c>
      <c r="O14750" t="s">
        <v>31</v>
      </c>
      <c r="P14750" t="str">
        <f>"15136"</f>
        <v>15136</v>
      </c>
    </row>
    <row r="14751" spans="1:16" x14ac:dyDescent="0.25">
      <c r="A14751" t="str">
        <f>"1200042G00262    00"</f>
        <v>1200042G00262    00</v>
      </c>
      <c r="B14751" t="s">
        <v>32338</v>
      </c>
      <c r="C14751" t="s">
        <v>32339</v>
      </c>
      <c r="D14751" t="s">
        <v>20</v>
      </c>
      <c r="E14751" t="s">
        <v>39</v>
      </c>
      <c r="F14751">
        <v>0</v>
      </c>
      <c r="G14751">
        <v>0</v>
      </c>
      <c r="H14751">
        <v>6</v>
      </c>
      <c r="I14751" s="3">
        <v>134.21</v>
      </c>
      <c r="J14751" s="3">
        <v>30.62</v>
      </c>
      <c r="L14751">
        <v>3311</v>
      </c>
      <c r="M14751" t="s">
        <v>31602</v>
      </c>
      <c r="N14751" t="s">
        <v>30</v>
      </c>
      <c r="O14751" t="s">
        <v>31</v>
      </c>
      <c r="P14751" t="str">
        <f>"15204"</f>
        <v>15204</v>
      </c>
    </row>
    <row r="14752" spans="1:16" x14ac:dyDescent="0.25">
      <c r="A14752" t="str">
        <f>"1200042G00263    00"</f>
        <v>1200042G00263    00</v>
      </c>
      <c r="B14752" t="s">
        <v>32338</v>
      </c>
      <c r="C14752" t="s">
        <v>32339</v>
      </c>
      <c r="D14752" t="s">
        <v>20</v>
      </c>
      <c r="E14752" t="s">
        <v>39</v>
      </c>
      <c r="F14752">
        <v>0</v>
      </c>
      <c r="G14752">
        <v>0</v>
      </c>
      <c r="H14752">
        <v>7</v>
      </c>
      <c r="I14752" s="3">
        <v>5716.19</v>
      </c>
      <c r="J14752" s="3">
        <v>1386.64</v>
      </c>
      <c r="L14752">
        <v>3311</v>
      </c>
      <c r="M14752" t="s">
        <v>31602</v>
      </c>
      <c r="N14752" t="s">
        <v>30</v>
      </c>
      <c r="O14752" t="s">
        <v>31</v>
      </c>
      <c r="P14752" t="str">
        <f>"15204"</f>
        <v>15204</v>
      </c>
    </row>
    <row r="14753" spans="1:16" x14ac:dyDescent="0.25">
      <c r="A14753" t="str">
        <f>"1200042G00268    00"</f>
        <v>1200042G00268    00</v>
      </c>
      <c r="B14753" t="s">
        <v>32340</v>
      </c>
      <c r="C14753" t="s">
        <v>31030</v>
      </c>
      <c r="E14753" t="s">
        <v>39</v>
      </c>
      <c r="F14753">
        <v>0</v>
      </c>
      <c r="G14753">
        <v>0</v>
      </c>
      <c r="H14753">
        <v>10</v>
      </c>
      <c r="I14753" s="3">
        <v>6533.76</v>
      </c>
      <c r="J14753" s="3">
        <v>3832.58</v>
      </c>
      <c r="L14753">
        <v>3321</v>
      </c>
      <c r="M14753" t="s">
        <v>31602</v>
      </c>
      <c r="N14753" t="s">
        <v>30</v>
      </c>
      <c r="O14753" t="s">
        <v>31</v>
      </c>
      <c r="P14753" t="str">
        <f>"15204"</f>
        <v>15204</v>
      </c>
    </row>
    <row r="14754" spans="1:16" x14ac:dyDescent="0.25">
      <c r="A14754" t="str">
        <f>"1200042G00270    00"</f>
        <v>1200042G00270    00</v>
      </c>
      <c r="B14754" t="s">
        <v>32341</v>
      </c>
      <c r="C14754" t="s">
        <v>32342</v>
      </c>
      <c r="E14754" t="s">
        <v>39</v>
      </c>
      <c r="F14754">
        <v>0</v>
      </c>
      <c r="G14754">
        <v>0</v>
      </c>
      <c r="H14754">
        <v>1</v>
      </c>
      <c r="I14754" s="3">
        <v>15.15</v>
      </c>
      <c r="J14754" s="3">
        <v>7.45</v>
      </c>
      <c r="K14754" t="s">
        <v>32343</v>
      </c>
      <c r="M14754" t="s">
        <v>30544</v>
      </c>
      <c r="N14754" t="s">
        <v>903</v>
      </c>
      <c r="O14754" t="s">
        <v>31</v>
      </c>
      <c r="P14754" t="str">
        <f>"15136"</f>
        <v>15136</v>
      </c>
    </row>
    <row r="14755" spans="1:16" x14ac:dyDescent="0.25">
      <c r="A14755" t="str">
        <f>"1200042G00270000200"</f>
        <v>1200042G00270000200</v>
      </c>
      <c r="B14755" t="s">
        <v>32344</v>
      </c>
      <c r="C14755" t="s">
        <v>32345</v>
      </c>
      <c r="D14755" t="s">
        <v>20</v>
      </c>
      <c r="E14755" t="s">
        <v>39</v>
      </c>
      <c r="F14755">
        <v>0</v>
      </c>
      <c r="G14755">
        <v>0</v>
      </c>
      <c r="H14755">
        <v>2</v>
      </c>
      <c r="I14755" s="3">
        <v>2058.52</v>
      </c>
      <c r="J14755" s="3">
        <v>0</v>
      </c>
      <c r="L14755">
        <v>105</v>
      </c>
      <c r="M14755" t="s">
        <v>32346</v>
      </c>
      <c r="N14755" t="s">
        <v>139</v>
      </c>
      <c r="O14755" t="s">
        <v>31</v>
      </c>
      <c r="P14755" t="str">
        <f>"15090"</f>
        <v>15090</v>
      </c>
    </row>
    <row r="14756" spans="1:16" x14ac:dyDescent="0.25">
      <c r="A14756" t="str">
        <f>"1200042G00272    00"</f>
        <v>1200042G00272    00</v>
      </c>
      <c r="B14756" t="s">
        <v>32347</v>
      </c>
      <c r="C14756" t="s">
        <v>32348</v>
      </c>
      <c r="D14756" t="s">
        <v>20</v>
      </c>
      <c r="E14756" t="s">
        <v>39</v>
      </c>
      <c r="F14756">
        <v>0</v>
      </c>
      <c r="G14756">
        <v>0</v>
      </c>
      <c r="H14756">
        <v>3</v>
      </c>
      <c r="I14756" s="3">
        <v>1155.03</v>
      </c>
      <c r="J14756" s="3">
        <v>77</v>
      </c>
      <c r="K14756" t="s">
        <v>32349</v>
      </c>
      <c r="L14756">
        <v>3307</v>
      </c>
      <c r="M14756" t="s">
        <v>32331</v>
      </c>
      <c r="N14756" t="s">
        <v>30</v>
      </c>
      <c r="O14756" t="s">
        <v>31</v>
      </c>
      <c r="P14756" t="str">
        <f>"15204"</f>
        <v>15204</v>
      </c>
    </row>
    <row r="14757" spans="1:16" x14ac:dyDescent="0.25">
      <c r="A14757" t="str">
        <f>"1200042G00274    00"</f>
        <v>1200042G00274    00</v>
      </c>
      <c r="B14757" t="s">
        <v>32350</v>
      </c>
      <c r="C14757" t="s">
        <v>32351</v>
      </c>
      <c r="D14757" t="s">
        <v>20</v>
      </c>
      <c r="E14757" t="s">
        <v>39</v>
      </c>
      <c r="F14757">
        <v>0</v>
      </c>
      <c r="G14757">
        <v>0</v>
      </c>
      <c r="H14757">
        <v>6</v>
      </c>
      <c r="I14757" s="3">
        <v>326.76</v>
      </c>
      <c r="J14757" s="3">
        <v>73.06</v>
      </c>
      <c r="L14757">
        <v>1215</v>
      </c>
      <c r="M14757" t="s">
        <v>32352</v>
      </c>
      <c r="N14757" t="s">
        <v>30</v>
      </c>
      <c r="O14757" t="s">
        <v>31</v>
      </c>
      <c r="P14757" t="str">
        <f>"15205"</f>
        <v>15205</v>
      </c>
    </row>
    <row r="14758" spans="1:16" x14ac:dyDescent="0.25">
      <c r="A14758" t="str">
        <f>"1200042G00275    00"</f>
        <v>1200042G00275    00</v>
      </c>
      <c r="B14758" t="s">
        <v>32353</v>
      </c>
      <c r="C14758" t="s">
        <v>32354</v>
      </c>
      <c r="D14758" t="s">
        <v>20</v>
      </c>
      <c r="E14758" t="s">
        <v>39</v>
      </c>
      <c r="F14758">
        <v>0</v>
      </c>
      <c r="G14758">
        <v>0</v>
      </c>
      <c r="H14758">
        <v>19</v>
      </c>
      <c r="I14758" s="3">
        <v>8734.64</v>
      </c>
      <c r="J14758" s="3">
        <v>10175.36</v>
      </c>
      <c r="L14758">
        <v>3259</v>
      </c>
      <c r="M14758" t="s">
        <v>32331</v>
      </c>
      <c r="N14758" t="s">
        <v>30</v>
      </c>
      <c r="O14758" t="s">
        <v>31</v>
      </c>
      <c r="P14758" t="str">
        <f>"15204"</f>
        <v>15204</v>
      </c>
    </row>
    <row r="14759" spans="1:16" x14ac:dyDescent="0.25">
      <c r="A14759" t="str">
        <f>"1200042G00292    00"</f>
        <v>1200042G00292    00</v>
      </c>
      <c r="B14759" t="s">
        <v>32355</v>
      </c>
      <c r="C14759" t="s">
        <v>32356</v>
      </c>
      <c r="D14759" t="s">
        <v>20</v>
      </c>
      <c r="E14759" t="s">
        <v>39</v>
      </c>
      <c r="F14759">
        <v>0</v>
      </c>
      <c r="G14759">
        <v>0</v>
      </c>
      <c r="H14759">
        <v>2</v>
      </c>
      <c r="I14759" s="3">
        <v>541.29999999999995</v>
      </c>
      <c r="J14759" s="3">
        <v>0</v>
      </c>
      <c r="K14759" t="s">
        <v>32357</v>
      </c>
      <c r="L14759">
        <v>558</v>
      </c>
      <c r="M14759" t="s">
        <v>32358</v>
      </c>
      <c r="N14759" t="s">
        <v>30</v>
      </c>
      <c r="O14759" t="s">
        <v>31</v>
      </c>
      <c r="P14759" t="str">
        <f>"15204"</f>
        <v>15204</v>
      </c>
    </row>
    <row r="14760" spans="1:16" x14ac:dyDescent="0.25">
      <c r="A14760" t="str">
        <f>"1200042G00293    00"</f>
        <v>1200042G00293    00</v>
      </c>
      <c r="B14760" t="s">
        <v>32355</v>
      </c>
      <c r="C14760" t="s">
        <v>32359</v>
      </c>
      <c r="D14760" t="s">
        <v>20</v>
      </c>
      <c r="E14760" t="s">
        <v>39</v>
      </c>
      <c r="F14760">
        <v>0</v>
      </c>
      <c r="G14760">
        <v>0</v>
      </c>
      <c r="H14760">
        <v>1</v>
      </c>
      <c r="I14760" s="3">
        <v>337.37</v>
      </c>
      <c r="J14760" s="3">
        <v>0</v>
      </c>
      <c r="K14760" t="s">
        <v>32357</v>
      </c>
      <c r="L14760">
        <v>558</v>
      </c>
      <c r="M14760" t="s">
        <v>32358</v>
      </c>
      <c r="N14760" t="s">
        <v>30</v>
      </c>
      <c r="O14760" t="s">
        <v>31</v>
      </c>
      <c r="P14760" t="str">
        <f>"15204"</f>
        <v>15204</v>
      </c>
    </row>
    <row r="14761" spans="1:16" x14ac:dyDescent="0.25">
      <c r="A14761" t="str">
        <f>"1200042G00295    00"</f>
        <v>1200042G00295    00</v>
      </c>
      <c r="B14761" t="s">
        <v>32360</v>
      </c>
      <c r="C14761" t="s">
        <v>32361</v>
      </c>
      <c r="D14761" t="s">
        <v>20</v>
      </c>
      <c r="E14761" t="s">
        <v>39</v>
      </c>
      <c r="F14761">
        <v>0</v>
      </c>
      <c r="G14761">
        <v>0</v>
      </c>
      <c r="H14761">
        <v>2</v>
      </c>
      <c r="I14761" s="3">
        <v>892.04</v>
      </c>
      <c r="J14761" s="3">
        <v>0</v>
      </c>
      <c r="M14761" t="s">
        <v>32362</v>
      </c>
      <c r="N14761" t="s">
        <v>5232</v>
      </c>
      <c r="O14761" t="s">
        <v>3486</v>
      </c>
      <c r="P14761" t="str">
        <f>"60680"</f>
        <v>60680</v>
      </c>
    </row>
    <row r="14762" spans="1:16" x14ac:dyDescent="0.25">
      <c r="A14762" t="str">
        <f>"1200042G00296    00"</f>
        <v>1200042G00296    00</v>
      </c>
      <c r="B14762" t="s">
        <v>32363</v>
      </c>
      <c r="C14762" t="s">
        <v>32364</v>
      </c>
      <c r="D14762" t="s">
        <v>20</v>
      </c>
      <c r="E14762" t="s">
        <v>39</v>
      </c>
      <c r="F14762">
        <v>0</v>
      </c>
      <c r="G14762">
        <v>0</v>
      </c>
      <c r="H14762">
        <v>3</v>
      </c>
      <c r="I14762" s="3">
        <v>105.75</v>
      </c>
      <c r="J14762" s="3">
        <v>7.05</v>
      </c>
      <c r="L14762">
        <v>3242</v>
      </c>
      <c r="M14762" t="s">
        <v>32365</v>
      </c>
      <c r="N14762" t="s">
        <v>30</v>
      </c>
      <c r="O14762" t="s">
        <v>31</v>
      </c>
      <c r="P14762" t="str">
        <f>"15204"</f>
        <v>15204</v>
      </c>
    </row>
    <row r="14763" spans="1:16" x14ac:dyDescent="0.25">
      <c r="A14763" t="str">
        <f>"1200042G00311    00"</f>
        <v>1200042G00311    00</v>
      </c>
      <c r="B14763" t="s">
        <v>32366</v>
      </c>
      <c r="C14763" t="s">
        <v>32367</v>
      </c>
      <c r="D14763" t="s">
        <v>20</v>
      </c>
      <c r="E14763" t="s">
        <v>39</v>
      </c>
      <c r="F14763">
        <v>0</v>
      </c>
      <c r="G14763">
        <v>0</v>
      </c>
      <c r="H14763">
        <v>19</v>
      </c>
      <c r="I14763" s="3">
        <v>4889.49</v>
      </c>
      <c r="J14763" s="3">
        <v>5095.8900000000003</v>
      </c>
      <c r="K14763" t="s">
        <v>32368</v>
      </c>
      <c r="L14763">
        <v>4001</v>
      </c>
      <c r="M14763" t="s">
        <v>32369</v>
      </c>
      <c r="N14763" t="s">
        <v>6987</v>
      </c>
      <c r="O14763" t="s">
        <v>370</v>
      </c>
      <c r="P14763" t="str">
        <f>"34233"</f>
        <v>34233</v>
      </c>
    </row>
    <row r="14764" spans="1:16" x14ac:dyDescent="0.25">
      <c r="A14764" t="str">
        <f>"1200042G00332    00"</f>
        <v>1200042G00332    00</v>
      </c>
      <c r="B14764" t="s">
        <v>32370</v>
      </c>
      <c r="C14764" t="s">
        <v>32326</v>
      </c>
      <c r="D14764" t="s">
        <v>20</v>
      </c>
      <c r="E14764" t="s">
        <v>39</v>
      </c>
      <c r="F14764">
        <v>0</v>
      </c>
      <c r="G14764">
        <v>0</v>
      </c>
      <c r="H14764">
        <v>2</v>
      </c>
      <c r="I14764" s="3">
        <v>232.56</v>
      </c>
      <c r="J14764" s="3">
        <v>23.26</v>
      </c>
      <c r="L14764">
        <v>3221</v>
      </c>
      <c r="M14764" t="s">
        <v>32371</v>
      </c>
      <c r="N14764" t="s">
        <v>30</v>
      </c>
      <c r="O14764" t="s">
        <v>31</v>
      </c>
      <c r="P14764" t="str">
        <f>"15204"</f>
        <v>15204</v>
      </c>
    </row>
    <row r="14765" spans="1:16" x14ac:dyDescent="0.25">
      <c r="A14765" t="str">
        <f>"1200042G00343    00"</f>
        <v>1200042G00343    00</v>
      </c>
      <c r="B14765" t="s">
        <v>32370</v>
      </c>
      <c r="C14765" t="s">
        <v>32372</v>
      </c>
      <c r="D14765" t="s">
        <v>20</v>
      </c>
      <c r="E14765" t="s">
        <v>39</v>
      </c>
      <c r="F14765">
        <v>0</v>
      </c>
      <c r="G14765">
        <v>0</v>
      </c>
      <c r="H14765">
        <v>1</v>
      </c>
      <c r="I14765" s="3">
        <v>1095.96</v>
      </c>
      <c r="J14765" s="3">
        <v>0</v>
      </c>
      <c r="L14765">
        <v>3221</v>
      </c>
      <c r="M14765" t="s">
        <v>32371</v>
      </c>
      <c r="N14765" t="s">
        <v>30</v>
      </c>
      <c r="O14765" t="s">
        <v>31</v>
      </c>
      <c r="P14765" t="str">
        <f>"15204"</f>
        <v>15204</v>
      </c>
    </row>
    <row r="14766" spans="1:16" x14ac:dyDescent="0.25">
      <c r="A14766" t="str">
        <f>"1200042G00348    00"</f>
        <v>1200042G00348    00</v>
      </c>
      <c r="B14766" t="s">
        <v>32373</v>
      </c>
      <c r="C14766" t="s">
        <v>32374</v>
      </c>
      <c r="D14766" t="s">
        <v>20</v>
      </c>
      <c r="E14766" t="s">
        <v>39</v>
      </c>
      <c r="F14766">
        <v>0</v>
      </c>
      <c r="G14766">
        <v>0</v>
      </c>
      <c r="H14766">
        <v>11</v>
      </c>
      <c r="I14766" s="3">
        <v>6199.74</v>
      </c>
      <c r="J14766" s="3">
        <v>2958.92</v>
      </c>
      <c r="K14766" t="s">
        <v>32375</v>
      </c>
      <c r="L14766">
        <v>953</v>
      </c>
      <c r="M14766" t="s">
        <v>32376</v>
      </c>
      <c r="N14766" t="s">
        <v>30</v>
      </c>
      <c r="O14766" t="s">
        <v>31</v>
      </c>
      <c r="P14766" t="str">
        <f>"15235"</f>
        <v>15235</v>
      </c>
    </row>
    <row r="14767" spans="1:16" x14ac:dyDescent="0.25">
      <c r="A14767" t="str">
        <f>"1200042H00012    00"</f>
        <v>1200042H00012    00</v>
      </c>
      <c r="B14767" t="s">
        <v>32377</v>
      </c>
      <c r="C14767" t="s">
        <v>32378</v>
      </c>
      <c r="E14767" t="s">
        <v>39</v>
      </c>
      <c r="F14767">
        <v>0</v>
      </c>
      <c r="G14767">
        <v>0</v>
      </c>
      <c r="H14767">
        <v>1</v>
      </c>
      <c r="I14767" s="3">
        <v>233.47</v>
      </c>
      <c r="J14767" s="3">
        <v>0</v>
      </c>
      <c r="L14767">
        <v>3042</v>
      </c>
      <c r="M14767" t="s">
        <v>31690</v>
      </c>
      <c r="N14767" t="s">
        <v>30</v>
      </c>
      <c r="O14767" t="s">
        <v>31</v>
      </c>
      <c r="P14767" t="str">
        <f>"15204"</f>
        <v>15204</v>
      </c>
    </row>
    <row r="14768" spans="1:16" x14ac:dyDescent="0.25">
      <c r="A14768" t="str">
        <f>"1200042H00014    00"</f>
        <v>1200042H00014    00</v>
      </c>
      <c r="B14768" t="s">
        <v>32379</v>
      </c>
      <c r="C14768" t="s">
        <v>32380</v>
      </c>
      <c r="D14768" t="s">
        <v>20</v>
      </c>
      <c r="E14768" t="s">
        <v>39</v>
      </c>
      <c r="F14768">
        <v>0</v>
      </c>
      <c r="G14768">
        <v>0</v>
      </c>
      <c r="H14768">
        <v>5</v>
      </c>
      <c r="I14768" s="3">
        <v>2295.6999999999998</v>
      </c>
      <c r="J14768" s="3">
        <v>406.54</v>
      </c>
      <c r="L14768">
        <v>1735</v>
      </c>
      <c r="M14768" t="s">
        <v>32381</v>
      </c>
      <c r="N14768" t="s">
        <v>30</v>
      </c>
      <c r="O14768" t="s">
        <v>31</v>
      </c>
      <c r="P14768" t="str">
        <f>"15203"</f>
        <v>15203</v>
      </c>
    </row>
    <row r="14769" spans="1:16" x14ac:dyDescent="0.25">
      <c r="A14769" t="str">
        <f>"1200042H00015    00"</f>
        <v>1200042H00015    00</v>
      </c>
      <c r="B14769" t="s">
        <v>32382</v>
      </c>
      <c r="C14769" t="s">
        <v>32383</v>
      </c>
      <c r="E14769" t="s">
        <v>39</v>
      </c>
      <c r="F14769">
        <v>0</v>
      </c>
      <c r="G14769">
        <v>0</v>
      </c>
      <c r="H14769">
        <v>4</v>
      </c>
      <c r="I14769" s="3">
        <v>2134.08</v>
      </c>
      <c r="J14769" s="3">
        <v>462.21</v>
      </c>
      <c r="L14769">
        <v>1801</v>
      </c>
      <c r="M14769" t="s">
        <v>32384</v>
      </c>
      <c r="N14769" t="s">
        <v>30</v>
      </c>
      <c r="O14769" t="s">
        <v>31</v>
      </c>
      <c r="P14769" t="str">
        <f>"15243"</f>
        <v>15243</v>
      </c>
    </row>
    <row r="14770" spans="1:16" x14ac:dyDescent="0.25">
      <c r="A14770" t="str">
        <f>"1200042H00025    00"</f>
        <v>1200042H00025    00</v>
      </c>
      <c r="B14770" t="s">
        <v>32385</v>
      </c>
      <c r="C14770" t="s">
        <v>32386</v>
      </c>
      <c r="D14770" t="s">
        <v>20</v>
      </c>
      <c r="E14770" t="s">
        <v>39</v>
      </c>
      <c r="F14770">
        <v>0</v>
      </c>
      <c r="G14770">
        <v>0</v>
      </c>
      <c r="H14770">
        <v>2</v>
      </c>
      <c r="I14770" s="3">
        <v>742.06</v>
      </c>
      <c r="J14770" s="3">
        <v>0</v>
      </c>
      <c r="L14770">
        <v>3041</v>
      </c>
      <c r="M14770" t="s">
        <v>31608</v>
      </c>
      <c r="N14770" t="s">
        <v>30</v>
      </c>
      <c r="O14770" t="s">
        <v>31</v>
      </c>
      <c r="P14770" t="str">
        <f>"15204"</f>
        <v>15204</v>
      </c>
    </row>
    <row r="14771" spans="1:16" x14ac:dyDescent="0.25">
      <c r="A14771" t="str">
        <f>"1200042H00026    00"</f>
        <v>1200042H00026    00</v>
      </c>
      <c r="B14771" t="s">
        <v>32387</v>
      </c>
      <c r="C14771" t="s">
        <v>32388</v>
      </c>
      <c r="D14771" t="s">
        <v>20</v>
      </c>
      <c r="E14771" t="s">
        <v>39</v>
      </c>
      <c r="F14771">
        <v>0</v>
      </c>
      <c r="G14771">
        <v>0</v>
      </c>
      <c r="H14771">
        <v>5</v>
      </c>
      <c r="I14771" s="3">
        <v>2882.64</v>
      </c>
      <c r="J14771" s="3">
        <v>498.02</v>
      </c>
      <c r="K14771" t="s">
        <v>32389</v>
      </c>
      <c r="L14771">
        <v>3030</v>
      </c>
      <c r="M14771" t="s">
        <v>21885</v>
      </c>
      <c r="N14771" t="s">
        <v>6603</v>
      </c>
      <c r="O14771" t="s">
        <v>31</v>
      </c>
      <c r="P14771" t="str">
        <f>"15122"</f>
        <v>15122</v>
      </c>
    </row>
    <row r="14772" spans="1:16" x14ac:dyDescent="0.25">
      <c r="A14772" t="str">
        <f>"1200042H00037    00"</f>
        <v>1200042H00037    00</v>
      </c>
      <c r="B14772" t="s">
        <v>32390</v>
      </c>
      <c r="C14772" t="s">
        <v>31606</v>
      </c>
      <c r="D14772" t="s">
        <v>20</v>
      </c>
      <c r="E14772" t="s">
        <v>39</v>
      </c>
      <c r="F14772">
        <v>0</v>
      </c>
      <c r="G14772">
        <v>0</v>
      </c>
      <c r="H14772">
        <v>19</v>
      </c>
      <c r="I14772" s="3">
        <v>4877.92</v>
      </c>
      <c r="J14772" s="3">
        <v>4479.05</v>
      </c>
      <c r="L14772">
        <v>129</v>
      </c>
      <c r="M14772" t="s">
        <v>32391</v>
      </c>
      <c r="N14772" t="s">
        <v>30</v>
      </c>
      <c r="O14772" t="s">
        <v>31</v>
      </c>
      <c r="P14772" t="str">
        <f>"15205"</f>
        <v>15205</v>
      </c>
    </row>
    <row r="14773" spans="1:16" x14ac:dyDescent="0.25">
      <c r="A14773" t="str">
        <f>"1200042H00042    00"</f>
        <v>1200042H00042    00</v>
      </c>
      <c r="B14773" t="s">
        <v>32392</v>
      </c>
      <c r="C14773" t="s">
        <v>31606</v>
      </c>
      <c r="D14773" t="s">
        <v>20</v>
      </c>
      <c r="E14773" t="s">
        <v>39</v>
      </c>
      <c r="F14773">
        <v>0</v>
      </c>
      <c r="G14773">
        <v>0</v>
      </c>
      <c r="H14773">
        <v>14</v>
      </c>
      <c r="I14773" s="3">
        <v>1669.22</v>
      </c>
      <c r="J14773" s="3">
        <v>1140.32</v>
      </c>
      <c r="L14773">
        <v>550</v>
      </c>
      <c r="M14773" t="s">
        <v>32393</v>
      </c>
      <c r="N14773" t="s">
        <v>5017</v>
      </c>
      <c r="O14773" t="s">
        <v>495</v>
      </c>
      <c r="P14773" t="str">
        <f>"94526"</f>
        <v>94526</v>
      </c>
    </row>
    <row r="14774" spans="1:16" x14ac:dyDescent="0.25">
      <c r="A14774" t="str">
        <f>"1200042H00043    00"</f>
        <v>1200042H00043    00</v>
      </c>
      <c r="B14774" t="s">
        <v>32392</v>
      </c>
      <c r="C14774" t="s">
        <v>32394</v>
      </c>
      <c r="D14774" t="s">
        <v>20</v>
      </c>
      <c r="E14774" t="s">
        <v>39</v>
      </c>
      <c r="F14774">
        <v>0</v>
      </c>
      <c r="G14774">
        <v>0</v>
      </c>
      <c r="H14774">
        <v>14</v>
      </c>
      <c r="I14774" s="3">
        <v>862.49</v>
      </c>
      <c r="J14774" s="3">
        <v>522.14</v>
      </c>
      <c r="L14774">
        <v>4125</v>
      </c>
      <c r="M14774" t="s">
        <v>32395</v>
      </c>
      <c r="N14774" t="s">
        <v>5017</v>
      </c>
      <c r="O14774" t="s">
        <v>495</v>
      </c>
      <c r="P14774" t="str">
        <f>"94506"</f>
        <v>94506</v>
      </c>
    </row>
    <row r="14775" spans="1:16" x14ac:dyDescent="0.25">
      <c r="A14775" t="str">
        <f>"1200042H00044    00"</f>
        <v>1200042H00044    00</v>
      </c>
      <c r="B14775" t="s">
        <v>32392</v>
      </c>
      <c r="C14775" t="s">
        <v>32394</v>
      </c>
      <c r="D14775" t="s">
        <v>20</v>
      </c>
      <c r="E14775" t="s">
        <v>39</v>
      </c>
      <c r="F14775">
        <v>0</v>
      </c>
      <c r="G14775">
        <v>0</v>
      </c>
      <c r="H14775">
        <v>18</v>
      </c>
      <c r="I14775" s="3">
        <v>15942.77</v>
      </c>
      <c r="J14775" s="3">
        <v>15569.14</v>
      </c>
      <c r="L14775">
        <v>4125</v>
      </c>
      <c r="M14775" t="s">
        <v>32396</v>
      </c>
      <c r="N14775" t="s">
        <v>5017</v>
      </c>
      <c r="O14775" t="s">
        <v>495</v>
      </c>
      <c r="P14775" t="str">
        <f>"94506"</f>
        <v>94506</v>
      </c>
    </row>
    <row r="14776" spans="1:16" x14ac:dyDescent="0.25">
      <c r="A14776" t="str">
        <f>"1200042H00050    00"</f>
        <v>1200042H00050    00</v>
      </c>
      <c r="B14776" t="s">
        <v>32397</v>
      </c>
      <c r="C14776" t="s">
        <v>32398</v>
      </c>
      <c r="D14776" t="s">
        <v>20</v>
      </c>
      <c r="E14776" t="s">
        <v>39</v>
      </c>
      <c r="F14776">
        <v>0</v>
      </c>
      <c r="G14776">
        <v>0</v>
      </c>
      <c r="H14776">
        <v>14</v>
      </c>
      <c r="I14776" s="3">
        <v>7018.09</v>
      </c>
      <c r="J14776" s="3">
        <v>4077.88</v>
      </c>
      <c r="L14776">
        <v>3050</v>
      </c>
      <c r="M14776" t="s">
        <v>31608</v>
      </c>
      <c r="N14776" t="s">
        <v>30</v>
      </c>
      <c r="O14776" t="s">
        <v>31</v>
      </c>
      <c r="P14776" t="str">
        <f>"15204"</f>
        <v>15204</v>
      </c>
    </row>
    <row r="14777" spans="1:16" x14ac:dyDescent="0.25">
      <c r="A14777" t="str">
        <f>"1200042H00053    00"</f>
        <v>1200042H00053    00</v>
      </c>
      <c r="B14777" t="s">
        <v>32399</v>
      </c>
      <c r="C14777" t="s">
        <v>32400</v>
      </c>
      <c r="D14777" t="s">
        <v>20</v>
      </c>
      <c r="E14777" t="s">
        <v>39</v>
      </c>
      <c r="F14777">
        <v>0</v>
      </c>
      <c r="G14777">
        <v>0</v>
      </c>
      <c r="H14777">
        <v>3</v>
      </c>
      <c r="I14777" s="3">
        <v>2481.66</v>
      </c>
      <c r="J14777" s="3">
        <v>165.44</v>
      </c>
      <c r="K14777" t="s">
        <v>32401</v>
      </c>
      <c r="L14777">
        <v>3044</v>
      </c>
      <c r="M14777" t="s">
        <v>31608</v>
      </c>
      <c r="N14777" t="s">
        <v>30</v>
      </c>
      <c r="O14777" t="s">
        <v>31</v>
      </c>
      <c r="P14777" t="str">
        <f>"15204"</f>
        <v>15204</v>
      </c>
    </row>
    <row r="14778" spans="1:16" x14ac:dyDescent="0.25">
      <c r="A14778" t="str">
        <f>"1200042H00054    00"</f>
        <v>1200042H00054    00</v>
      </c>
      <c r="B14778" t="s">
        <v>32399</v>
      </c>
      <c r="C14778" t="s">
        <v>31606</v>
      </c>
      <c r="D14778" t="s">
        <v>20</v>
      </c>
      <c r="E14778" t="s">
        <v>39</v>
      </c>
      <c r="F14778">
        <v>0</v>
      </c>
      <c r="G14778">
        <v>0</v>
      </c>
      <c r="H14778">
        <v>2</v>
      </c>
      <c r="I14778" s="3">
        <v>133.44</v>
      </c>
      <c r="J14778" s="3">
        <v>0</v>
      </c>
      <c r="K14778" t="s">
        <v>32401</v>
      </c>
      <c r="L14778">
        <v>3044</v>
      </c>
      <c r="M14778" t="s">
        <v>31608</v>
      </c>
      <c r="N14778" t="s">
        <v>30</v>
      </c>
      <c r="O14778" t="s">
        <v>31</v>
      </c>
      <c r="P14778" t="str">
        <f>"15204"</f>
        <v>15204</v>
      </c>
    </row>
    <row r="14779" spans="1:16" x14ac:dyDescent="0.25">
      <c r="A14779" t="str">
        <f>"1200042H00055    00"</f>
        <v>1200042H00055    00</v>
      </c>
      <c r="B14779" t="s">
        <v>32402</v>
      </c>
      <c r="C14779" t="s">
        <v>32403</v>
      </c>
      <c r="D14779" t="s">
        <v>20</v>
      </c>
      <c r="E14779" t="s">
        <v>39</v>
      </c>
      <c r="F14779">
        <v>0</v>
      </c>
      <c r="G14779">
        <v>0</v>
      </c>
      <c r="H14779">
        <v>2</v>
      </c>
      <c r="I14779" s="3">
        <v>743.64</v>
      </c>
      <c r="J14779" s="3">
        <v>114.36</v>
      </c>
      <c r="L14779">
        <v>3040</v>
      </c>
      <c r="M14779" t="s">
        <v>31608</v>
      </c>
      <c r="N14779" t="s">
        <v>30</v>
      </c>
      <c r="O14779" t="s">
        <v>31</v>
      </c>
      <c r="P14779" t="str">
        <f>"15204"</f>
        <v>15204</v>
      </c>
    </row>
    <row r="14780" spans="1:16" x14ac:dyDescent="0.25">
      <c r="A14780" t="str">
        <f>"1200042H00056    00"</f>
        <v>1200042H00056    00</v>
      </c>
      <c r="B14780" t="s">
        <v>32404</v>
      </c>
      <c r="C14780" t="s">
        <v>32405</v>
      </c>
      <c r="D14780" t="s">
        <v>20</v>
      </c>
      <c r="E14780" t="s">
        <v>39</v>
      </c>
      <c r="F14780">
        <v>0</v>
      </c>
      <c r="G14780">
        <v>0</v>
      </c>
      <c r="H14780">
        <v>1</v>
      </c>
      <c r="I14780" s="3">
        <v>991.14</v>
      </c>
      <c r="J14780" s="3">
        <v>0</v>
      </c>
      <c r="M14780" t="s">
        <v>32406</v>
      </c>
      <c r="N14780" t="s">
        <v>30</v>
      </c>
      <c r="O14780" t="s">
        <v>31</v>
      </c>
      <c r="P14780" t="str">
        <f>"15202"</f>
        <v>15202</v>
      </c>
    </row>
    <row r="14781" spans="1:16" x14ac:dyDescent="0.25">
      <c r="A14781" t="str">
        <f>"1200042H00057    00"</f>
        <v>1200042H00057    00</v>
      </c>
      <c r="B14781" t="s">
        <v>32407</v>
      </c>
      <c r="C14781" t="s">
        <v>32408</v>
      </c>
      <c r="D14781" t="s">
        <v>20</v>
      </c>
      <c r="E14781" t="s">
        <v>39</v>
      </c>
      <c r="F14781">
        <v>0</v>
      </c>
      <c r="G14781">
        <v>0</v>
      </c>
      <c r="H14781">
        <v>1</v>
      </c>
      <c r="I14781" s="3">
        <v>176.13</v>
      </c>
      <c r="J14781" s="3">
        <v>0</v>
      </c>
      <c r="K14781" t="s">
        <v>32409</v>
      </c>
      <c r="L14781">
        <v>2940</v>
      </c>
      <c r="M14781" t="s">
        <v>31608</v>
      </c>
      <c r="N14781" t="s">
        <v>30</v>
      </c>
      <c r="O14781" t="s">
        <v>31</v>
      </c>
      <c r="P14781" t="str">
        <f>"15204"</f>
        <v>15204</v>
      </c>
    </row>
    <row r="14782" spans="1:16" x14ac:dyDescent="0.25">
      <c r="A14782" t="str">
        <f>"1200042H00061    00"</f>
        <v>1200042H00061    00</v>
      </c>
      <c r="B14782" t="s">
        <v>32387</v>
      </c>
      <c r="C14782" t="s">
        <v>32410</v>
      </c>
      <c r="D14782" t="s">
        <v>20</v>
      </c>
      <c r="E14782" t="s">
        <v>39</v>
      </c>
      <c r="F14782">
        <v>0</v>
      </c>
      <c r="G14782">
        <v>0</v>
      </c>
      <c r="H14782">
        <v>5</v>
      </c>
      <c r="I14782" s="3">
        <v>4691.2700000000004</v>
      </c>
      <c r="J14782" s="3">
        <v>810.48</v>
      </c>
      <c r="K14782" t="s">
        <v>32411</v>
      </c>
      <c r="L14782">
        <v>1527</v>
      </c>
      <c r="M14782" t="s">
        <v>32412</v>
      </c>
      <c r="N14782" t="s">
        <v>30</v>
      </c>
      <c r="O14782" t="s">
        <v>31</v>
      </c>
      <c r="P14782" t="str">
        <f>"15212"</f>
        <v>15212</v>
      </c>
    </row>
    <row r="14783" spans="1:16" x14ac:dyDescent="0.25">
      <c r="A14783" t="str">
        <f>"1200042H00065    00"</f>
        <v>1200042H00065    00</v>
      </c>
      <c r="B14783" t="s">
        <v>32413</v>
      </c>
      <c r="C14783" t="s">
        <v>31606</v>
      </c>
      <c r="D14783" t="s">
        <v>20</v>
      </c>
      <c r="E14783" t="s">
        <v>39</v>
      </c>
      <c r="F14783">
        <v>0</v>
      </c>
      <c r="G14783">
        <v>0</v>
      </c>
      <c r="H14783">
        <v>18</v>
      </c>
      <c r="I14783" s="3">
        <v>4434.96</v>
      </c>
      <c r="J14783" s="3">
        <v>4458.32</v>
      </c>
      <c r="L14783">
        <v>2771</v>
      </c>
      <c r="M14783" t="s">
        <v>26516</v>
      </c>
      <c r="N14783" t="s">
        <v>30</v>
      </c>
      <c r="O14783" t="s">
        <v>31</v>
      </c>
      <c r="P14783" t="str">
        <f>"15204"</f>
        <v>15204</v>
      </c>
    </row>
    <row r="14784" spans="1:16" x14ac:dyDescent="0.25">
      <c r="A14784" t="str">
        <f>"1200042H00090    00"</f>
        <v>1200042H00090    00</v>
      </c>
      <c r="B14784" t="s">
        <v>32414</v>
      </c>
      <c r="C14784" t="s">
        <v>32415</v>
      </c>
      <c r="D14784" t="s">
        <v>20</v>
      </c>
      <c r="E14784" t="s">
        <v>39</v>
      </c>
      <c r="F14784">
        <v>0</v>
      </c>
      <c r="G14784">
        <v>0</v>
      </c>
      <c r="H14784">
        <v>2</v>
      </c>
      <c r="I14784" s="3">
        <v>576.04</v>
      </c>
      <c r="J14784" s="3">
        <v>35.229999999999997</v>
      </c>
      <c r="K14784" t="s">
        <v>32416</v>
      </c>
      <c r="L14784">
        <v>706</v>
      </c>
      <c r="M14784" t="s">
        <v>32417</v>
      </c>
      <c r="N14784" t="s">
        <v>12873</v>
      </c>
      <c r="O14784" t="s">
        <v>370</v>
      </c>
      <c r="P14784" t="str">
        <f>"32805"</f>
        <v>32805</v>
      </c>
    </row>
    <row r="14785" spans="1:16" x14ac:dyDescent="0.25">
      <c r="A14785" t="str">
        <f>"1200042H00093    00"</f>
        <v>1200042H00093    00</v>
      </c>
      <c r="B14785" t="s">
        <v>32418</v>
      </c>
      <c r="C14785" t="s">
        <v>32419</v>
      </c>
      <c r="D14785" t="s">
        <v>20</v>
      </c>
      <c r="E14785" t="s">
        <v>39</v>
      </c>
      <c r="F14785">
        <v>0</v>
      </c>
      <c r="G14785">
        <v>0</v>
      </c>
      <c r="H14785">
        <v>19</v>
      </c>
      <c r="I14785" s="3">
        <v>13385.06</v>
      </c>
      <c r="J14785" s="3">
        <v>13936.3</v>
      </c>
      <c r="L14785">
        <v>160</v>
      </c>
      <c r="M14785" t="s">
        <v>15347</v>
      </c>
      <c r="N14785" t="s">
        <v>903</v>
      </c>
      <c r="O14785" t="s">
        <v>31</v>
      </c>
      <c r="P14785" t="str">
        <f>"15136"</f>
        <v>15136</v>
      </c>
    </row>
    <row r="14786" spans="1:16" x14ac:dyDescent="0.25">
      <c r="A14786" t="str">
        <f>"1200042H00094    00"</f>
        <v>1200042H00094    00</v>
      </c>
      <c r="B14786" t="s">
        <v>32420</v>
      </c>
      <c r="C14786" t="s">
        <v>32421</v>
      </c>
      <c r="D14786" t="s">
        <v>20</v>
      </c>
      <c r="E14786" t="s">
        <v>39</v>
      </c>
      <c r="F14786">
        <v>0</v>
      </c>
      <c r="G14786">
        <v>0</v>
      </c>
      <c r="H14786">
        <v>16</v>
      </c>
      <c r="I14786" s="3">
        <v>10748.49</v>
      </c>
      <c r="J14786" s="3">
        <v>8669.7900000000009</v>
      </c>
      <c r="L14786">
        <v>613</v>
      </c>
      <c r="M14786" t="s">
        <v>32422</v>
      </c>
      <c r="N14786" t="s">
        <v>7090</v>
      </c>
      <c r="O14786" t="s">
        <v>495</v>
      </c>
      <c r="P14786" t="str">
        <f>"92805"</f>
        <v>92805</v>
      </c>
    </row>
    <row r="14787" spans="1:16" x14ac:dyDescent="0.25">
      <c r="A14787" t="str">
        <f>"1200042H00097    00"</f>
        <v>1200042H00097    00</v>
      </c>
      <c r="B14787" t="s">
        <v>32423</v>
      </c>
      <c r="C14787" t="s">
        <v>31520</v>
      </c>
      <c r="D14787" t="s">
        <v>20</v>
      </c>
      <c r="E14787" t="s">
        <v>39</v>
      </c>
      <c r="F14787">
        <v>0</v>
      </c>
      <c r="G14787">
        <v>0</v>
      </c>
      <c r="H14787">
        <v>18</v>
      </c>
      <c r="I14787" s="3">
        <v>4291.5</v>
      </c>
      <c r="J14787" s="3">
        <v>3832.1</v>
      </c>
      <c r="K14787" t="s">
        <v>32424</v>
      </c>
      <c r="L14787">
        <v>4889</v>
      </c>
      <c r="M14787" t="s">
        <v>32425</v>
      </c>
      <c r="N14787" t="s">
        <v>79</v>
      </c>
      <c r="O14787" t="s">
        <v>31</v>
      </c>
      <c r="P14787" t="str">
        <f>"15668"</f>
        <v>15668</v>
      </c>
    </row>
    <row r="14788" spans="1:16" x14ac:dyDescent="0.25">
      <c r="A14788" t="str">
        <f>"1200042H00098    00"</f>
        <v>1200042H00098    00</v>
      </c>
      <c r="B14788" t="s">
        <v>32423</v>
      </c>
      <c r="C14788" t="s">
        <v>31520</v>
      </c>
      <c r="D14788" t="s">
        <v>20</v>
      </c>
      <c r="E14788" t="s">
        <v>39</v>
      </c>
      <c r="F14788">
        <v>0</v>
      </c>
      <c r="G14788">
        <v>0</v>
      </c>
      <c r="H14788">
        <v>19</v>
      </c>
      <c r="I14788" s="3">
        <v>3553.01</v>
      </c>
      <c r="J14788" s="3">
        <v>3731.26</v>
      </c>
      <c r="K14788" t="s">
        <v>32424</v>
      </c>
      <c r="L14788">
        <v>4889</v>
      </c>
      <c r="M14788" t="s">
        <v>32425</v>
      </c>
      <c r="N14788" t="s">
        <v>79</v>
      </c>
      <c r="O14788" t="s">
        <v>31</v>
      </c>
      <c r="P14788" t="str">
        <f>"15668"</f>
        <v>15668</v>
      </c>
    </row>
    <row r="14789" spans="1:16" x14ac:dyDescent="0.25">
      <c r="A14789" t="str">
        <f>"1200042H00105    00"</f>
        <v>1200042H00105    00</v>
      </c>
      <c r="B14789" t="s">
        <v>31277</v>
      </c>
      <c r="C14789" t="s">
        <v>31520</v>
      </c>
      <c r="E14789" t="s">
        <v>39</v>
      </c>
      <c r="F14789">
        <v>0</v>
      </c>
      <c r="G14789">
        <v>0</v>
      </c>
      <c r="H14789">
        <v>1</v>
      </c>
      <c r="I14789" s="3">
        <v>59.1</v>
      </c>
      <c r="J14789" s="3">
        <v>0</v>
      </c>
      <c r="L14789">
        <v>206</v>
      </c>
      <c r="M14789" t="s">
        <v>31279</v>
      </c>
      <c r="N14789" t="s">
        <v>541</v>
      </c>
      <c r="O14789" t="s">
        <v>31</v>
      </c>
      <c r="P14789" t="str">
        <f>"15071"</f>
        <v>15071</v>
      </c>
    </row>
    <row r="14790" spans="1:16" x14ac:dyDescent="0.25">
      <c r="A14790" t="str">
        <f>"1200042H00120    00"</f>
        <v>1200042H00120    00</v>
      </c>
      <c r="B14790" t="s">
        <v>32426</v>
      </c>
      <c r="C14790" t="s">
        <v>32427</v>
      </c>
      <c r="D14790" t="s">
        <v>20</v>
      </c>
      <c r="E14790" t="s">
        <v>39</v>
      </c>
      <c r="F14790">
        <v>0</v>
      </c>
      <c r="G14790">
        <v>0</v>
      </c>
      <c r="H14790">
        <v>2</v>
      </c>
      <c r="I14790" s="3">
        <v>1296.08</v>
      </c>
      <c r="J14790" s="3">
        <v>0</v>
      </c>
      <c r="K14790" t="s">
        <v>25824</v>
      </c>
      <c r="L14790">
        <v>201</v>
      </c>
      <c r="M14790" t="s">
        <v>25820</v>
      </c>
      <c r="N14790" t="s">
        <v>30</v>
      </c>
      <c r="O14790" t="s">
        <v>31</v>
      </c>
      <c r="P14790" t="str">
        <f>"15220"</f>
        <v>15220</v>
      </c>
    </row>
    <row r="14791" spans="1:16" x14ac:dyDescent="0.25">
      <c r="A14791" t="str">
        <f>"1200042H00122    00"</f>
        <v>1200042H00122    00</v>
      </c>
      <c r="B14791" t="s">
        <v>32426</v>
      </c>
      <c r="C14791" t="s">
        <v>31520</v>
      </c>
      <c r="D14791" t="s">
        <v>20</v>
      </c>
      <c r="E14791" t="s">
        <v>39</v>
      </c>
      <c r="F14791">
        <v>0</v>
      </c>
      <c r="G14791">
        <v>0</v>
      </c>
      <c r="H14791">
        <v>2</v>
      </c>
      <c r="I14791" s="3">
        <v>110.56</v>
      </c>
      <c r="J14791" s="3">
        <v>0</v>
      </c>
      <c r="K14791" t="s">
        <v>25824</v>
      </c>
      <c r="L14791">
        <v>201</v>
      </c>
      <c r="M14791" t="s">
        <v>25820</v>
      </c>
      <c r="N14791" t="s">
        <v>30</v>
      </c>
      <c r="O14791" t="s">
        <v>31</v>
      </c>
      <c r="P14791" t="str">
        <f>"15220"</f>
        <v>15220</v>
      </c>
    </row>
    <row r="14792" spans="1:16" x14ac:dyDescent="0.25">
      <c r="A14792" t="str">
        <f>"1200042H00130    00"</f>
        <v>1200042H00130    00</v>
      </c>
      <c r="B14792" t="s">
        <v>32428</v>
      </c>
      <c r="C14792" t="s">
        <v>32429</v>
      </c>
      <c r="D14792" t="s">
        <v>33</v>
      </c>
      <c r="E14792" t="s">
        <v>39</v>
      </c>
      <c r="F14792">
        <v>0</v>
      </c>
      <c r="G14792">
        <v>0</v>
      </c>
      <c r="H14792">
        <v>3</v>
      </c>
      <c r="I14792" s="3">
        <v>853.58</v>
      </c>
      <c r="J14792" s="3">
        <v>5.3</v>
      </c>
      <c r="K14792" t="s">
        <v>32430</v>
      </c>
      <c r="L14792">
        <v>135</v>
      </c>
      <c r="M14792" t="s">
        <v>32431</v>
      </c>
      <c r="N14792" t="s">
        <v>30</v>
      </c>
      <c r="O14792" t="s">
        <v>31</v>
      </c>
      <c r="P14792" t="str">
        <f>"15228"</f>
        <v>15228</v>
      </c>
    </row>
    <row r="14793" spans="1:16" x14ac:dyDescent="0.25">
      <c r="A14793" t="str">
        <f>"1200042H00131    00"</f>
        <v>1200042H00131    00</v>
      </c>
      <c r="B14793" t="s">
        <v>32428</v>
      </c>
      <c r="C14793" t="s">
        <v>31520</v>
      </c>
      <c r="D14793" t="s">
        <v>33</v>
      </c>
      <c r="E14793" t="s">
        <v>39</v>
      </c>
      <c r="F14793">
        <v>0</v>
      </c>
      <c r="G14793">
        <v>0</v>
      </c>
      <c r="H14793">
        <v>3</v>
      </c>
      <c r="I14793" s="3">
        <v>86.16</v>
      </c>
      <c r="J14793" s="3">
        <v>0.57999999999999996</v>
      </c>
      <c r="K14793" t="s">
        <v>32430</v>
      </c>
      <c r="L14793">
        <v>135</v>
      </c>
      <c r="M14793" t="s">
        <v>32431</v>
      </c>
      <c r="N14793" t="s">
        <v>30</v>
      </c>
      <c r="O14793" t="s">
        <v>31</v>
      </c>
      <c r="P14793" t="str">
        <f>"15228"</f>
        <v>15228</v>
      </c>
    </row>
    <row r="14794" spans="1:16" x14ac:dyDescent="0.25">
      <c r="A14794" t="str">
        <f>"1200042H00132    00"</f>
        <v>1200042H00132    00</v>
      </c>
      <c r="B14794" t="s">
        <v>32428</v>
      </c>
      <c r="C14794" t="s">
        <v>31520</v>
      </c>
      <c r="D14794" t="s">
        <v>33</v>
      </c>
      <c r="E14794" t="s">
        <v>39</v>
      </c>
      <c r="F14794">
        <v>0</v>
      </c>
      <c r="G14794">
        <v>0</v>
      </c>
      <c r="H14794">
        <v>2</v>
      </c>
      <c r="I14794" s="3">
        <v>69.66</v>
      </c>
      <c r="J14794" s="3">
        <v>0.57999999999999996</v>
      </c>
      <c r="K14794" t="s">
        <v>32430</v>
      </c>
      <c r="L14794">
        <v>135</v>
      </c>
      <c r="M14794" t="s">
        <v>32431</v>
      </c>
      <c r="N14794" t="s">
        <v>30</v>
      </c>
      <c r="O14794" t="s">
        <v>31</v>
      </c>
      <c r="P14794" t="str">
        <f>"15228"</f>
        <v>15228</v>
      </c>
    </row>
    <row r="14795" spans="1:16" x14ac:dyDescent="0.25">
      <c r="A14795" t="str">
        <f>"1200042H00136    00"</f>
        <v>1200042H00136    00</v>
      </c>
      <c r="B14795" t="s">
        <v>32432</v>
      </c>
      <c r="C14795" t="s">
        <v>32433</v>
      </c>
      <c r="D14795" t="s">
        <v>20</v>
      </c>
      <c r="E14795" t="s">
        <v>39</v>
      </c>
      <c r="F14795">
        <v>0</v>
      </c>
      <c r="G14795">
        <v>0</v>
      </c>
      <c r="H14795">
        <v>5</v>
      </c>
      <c r="I14795" s="3">
        <v>4531.09</v>
      </c>
      <c r="J14795" s="3">
        <v>782.8</v>
      </c>
      <c r="L14795">
        <v>85</v>
      </c>
      <c r="M14795" t="s">
        <v>32434</v>
      </c>
      <c r="N14795" t="s">
        <v>903</v>
      </c>
      <c r="O14795" t="s">
        <v>31</v>
      </c>
      <c r="P14795" t="str">
        <f>"15136"</f>
        <v>15136</v>
      </c>
    </row>
    <row r="14796" spans="1:16" x14ac:dyDescent="0.25">
      <c r="A14796" t="str">
        <f>"1200042H00138    00"</f>
        <v>1200042H00138    00</v>
      </c>
      <c r="B14796" t="s">
        <v>1402</v>
      </c>
      <c r="C14796" t="s">
        <v>32435</v>
      </c>
      <c r="D14796" t="s">
        <v>20</v>
      </c>
      <c r="E14796" t="s">
        <v>39</v>
      </c>
      <c r="F14796">
        <v>0</v>
      </c>
      <c r="G14796">
        <v>0</v>
      </c>
      <c r="H14796">
        <v>14</v>
      </c>
      <c r="I14796" s="3">
        <v>5496.98</v>
      </c>
      <c r="J14796" s="3">
        <v>3216.81</v>
      </c>
      <c r="L14796">
        <v>28</v>
      </c>
      <c r="M14796" t="s">
        <v>1404</v>
      </c>
      <c r="N14796" t="s">
        <v>30</v>
      </c>
      <c r="O14796" t="s">
        <v>31</v>
      </c>
      <c r="P14796" t="str">
        <f>"15213"</f>
        <v>15213</v>
      </c>
    </row>
    <row r="14797" spans="1:16" x14ac:dyDescent="0.25">
      <c r="A14797" t="str">
        <f>"1200042H00143    00"</f>
        <v>1200042H00143    00</v>
      </c>
      <c r="B14797" t="s">
        <v>32294</v>
      </c>
      <c r="C14797" t="s">
        <v>32436</v>
      </c>
      <c r="D14797" t="s">
        <v>20</v>
      </c>
      <c r="E14797" t="s">
        <v>39</v>
      </c>
      <c r="F14797">
        <v>0</v>
      </c>
      <c r="G14797">
        <v>0</v>
      </c>
      <c r="H14797">
        <v>12</v>
      </c>
      <c r="I14797" s="3">
        <v>13357.72</v>
      </c>
      <c r="J14797" s="3">
        <v>4073.79</v>
      </c>
      <c r="L14797">
        <v>328</v>
      </c>
      <c r="M14797" t="s">
        <v>32437</v>
      </c>
      <c r="N14797" t="s">
        <v>30</v>
      </c>
      <c r="O14797" t="s">
        <v>31</v>
      </c>
      <c r="P14797" t="str">
        <f>"15235"</f>
        <v>15235</v>
      </c>
    </row>
    <row r="14798" spans="1:16" x14ac:dyDescent="0.25">
      <c r="A14798" t="str">
        <f>"1200042H00152    00"</f>
        <v>1200042H00152    00</v>
      </c>
      <c r="B14798" t="s">
        <v>32438</v>
      </c>
      <c r="C14798" t="s">
        <v>31537</v>
      </c>
      <c r="D14798" t="s">
        <v>20</v>
      </c>
      <c r="E14798" t="s">
        <v>39</v>
      </c>
      <c r="F14798">
        <v>0</v>
      </c>
      <c r="G14798">
        <v>0</v>
      </c>
      <c r="H14798">
        <v>19</v>
      </c>
      <c r="I14798" s="3">
        <v>6454.63</v>
      </c>
      <c r="J14798" s="3">
        <v>6417.49</v>
      </c>
      <c r="L14798">
        <v>3020</v>
      </c>
      <c r="M14798" t="s">
        <v>31104</v>
      </c>
      <c r="N14798" t="s">
        <v>30</v>
      </c>
      <c r="O14798" t="s">
        <v>31</v>
      </c>
      <c r="P14798" t="str">
        <f>"15204"</f>
        <v>15204</v>
      </c>
    </row>
    <row r="14799" spans="1:16" x14ac:dyDescent="0.25">
      <c r="A14799" t="str">
        <f>"1200042H00158    00"</f>
        <v>1200042H00158    00</v>
      </c>
      <c r="B14799" t="s">
        <v>32438</v>
      </c>
      <c r="C14799" t="s">
        <v>31537</v>
      </c>
      <c r="D14799" t="s">
        <v>20</v>
      </c>
      <c r="E14799" t="s">
        <v>39</v>
      </c>
      <c r="F14799">
        <v>0</v>
      </c>
      <c r="G14799">
        <v>0</v>
      </c>
      <c r="H14799">
        <v>19</v>
      </c>
      <c r="I14799" s="3">
        <v>5718.25</v>
      </c>
      <c r="J14799" s="3">
        <v>5759.51</v>
      </c>
      <c r="L14799">
        <v>3020</v>
      </c>
      <c r="M14799" t="s">
        <v>31104</v>
      </c>
      <c r="N14799" t="s">
        <v>30</v>
      </c>
      <c r="O14799" t="s">
        <v>31</v>
      </c>
      <c r="P14799" t="str">
        <f>"15204"</f>
        <v>15204</v>
      </c>
    </row>
    <row r="14800" spans="1:16" x14ac:dyDescent="0.25">
      <c r="A14800" t="str">
        <f>"1200042H00167    00"</f>
        <v>1200042H00167    00</v>
      </c>
      <c r="B14800" t="s">
        <v>32439</v>
      </c>
      <c r="C14800" t="s">
        <v>32440</v>
      </c>
      <c r="D14800" t="s">
        <v>20</v>
      </c>
      <c r="E14800" t="s">
        <v>39</v>
      </c>
      <c r="F14800">
        <v>0</v>
      </c>
      <c r="G14800">
        <v>0</v>
      </c>
      <c r="H14800">
        <v>4</v>
      </c>
      <c r="I14800" s="3">
        <v>1267.8599999999999</v>
      </c>
      <c r="J14800" s="3">
        <v>84.36</v>
      </c>
      <c r="L14800">
        <v>3022</v>
      </c>
      <c r="M14800" t="s">
        <v>32441</v>
      </c>
      <c r="N14800" t="s">
        <v>1004</v>
      </c>
      <c r="O14800" t="s">
        <v>1005</v>
      </c>
      <c r="P14800" t="str">
        <f>"85042"</f>
        <v>85042</v>
      </c>
    </row>
    <row r="14801" spans="1:16" x14ac:dyDescent="0.25">
      <c r="A14801" t="str">
        <f>"1200042H00179    00"</f>
        <v>1200042H00179    00</v>
      </c>
      <c r="B14801" t="s">
        <v>31345</v>
      </c>
      <c r="C14801" t="s">
        <v>32442</v>
      </c>
      <c r="D14801" t="s">
        <v>20</v>
      </c>
      <c r="E14801" t="s">
        <v>39</v>
      </c>
      <c r="F14801">
        <v>0</v>
      </c>
      <c r="G14801">
        <v>0</v>
      </c>
      <c r="H14801">
        <v>1</v>
      </c>
      <c r="I14801" s="3">
        <v>739.55</v>
      </c>
      <c r="J14801" s="3">
        <v>0</v>
      </c>
      <c r="K14801" t="s">
        <v>31347</v>
      </c>
      <c r="M14801" t="s">
        <v>31348</v>
      </c>
      <c r="N14801" t="s">
        <v>321</v>
      </c>
      <c r="O14801" t="s">
        <v>31</v>
      </c>
      <c r="P14801" t="str">
        <f>"15001"</f>
        <v>15001</v>
      </c>
    </row>
    <row r="14802" spans="1:16" x14ac:dyDescent="0.25">
      <c r="A14802" t="str">
        <f>"1200042H00203    00"</f>
        <v>1200042H00203    00</v>
      </c>
      <c r="B14802" t="s">
        <v>32443</v>
      </c>
      <c r="C14802" t="s">
        <v>32444</v>
      </c>
      <c r="D14802" t="s">
        <v>20</v>
      </c>
      <c r="E14802" t="s">
        <v>39</v>
      </c>
      <c r="F14802">
        <v>0</v>
      </c>
      <c r="G14802">
        <v>0</v>
      </c>
      <c r="H14802">
        <v>6</v>
      </c>
      <c r="I14802" s="3">
        <v>5044.55</v>
      </c>
      <c r="J14802" s="3">
        <v>1131.3900000000001</v>
      </c>
      <c r="L14802">
        <v>850</v>
      </c>
      <c r="M14802" t="s">
        <v>29410</v>
      </c>
      <c r="N14802" t="s">
        <v>30</v>
      </c>
      <c r="O14802" t="s">
        <v>31</v>
      </c>
      <c r="P14802" t="str">
        <f>"15236"</f>
        <v>15236</v>
      </c>
    </row>
    <row r="14803" spans="1:16" x14ac:dyDescent="0.25">
      <c r="A14803" t="str">
        <f>"1200042H00206    00"</f>
        <v>1200042H00206    00</v>
      </c>
      <c r="B14803" t="s">
        <v>32443</v>
      </c>
      <c r="C14803" t="s">
        <v>31537</v>
      </c>
      <c r="D14803" t="s">
        <v>20</v>
      </c>
      <c r="E14803" t="s">
        <v>39</v>
      </c>
      <c r="F14803">
        <v>0</v>
      </c>
      <c r="G14803">
        <v>0</v>
      </c>
      <c r="H14803">
        <v>6</v>
      </c>
      <c r="I14803" s="3">
        <v>391.53</v>
      </c>
      <c r="J14803" s="3">
        <v>89.31</v>
      </c>
      <c r="L14803">
        <v>850</v>
      </c>
      <c r="M14803" t="s">
        <v>29410</v>
      </c>
      <c r="N14803" t="s">
        <v>30</v>
      </c>
      <c r="O14803" t="s">
        <v>31</v>
      </c>
      <c r="P14803" t="str">
        <f>"15236"</f>
        <v>15236</v>
      </c>
    </row>
    <row r="14804" spans="1:16" x14ac:dyDescent="0.25">
      <c r="A14804" t="str">
        <f>"1200042H00209    00"</f>
        <v>1200042H00209    00</v>
      </c>
      <c r="B14804" t="s">
        <v>14974</v>
      </c>
      <c r="C14804" t="s">
        <v>32445</v>
      </c>
      <c r="E14804" t="s">
        <v>39</v>
      </c>
      <c r="F14804">
        <v>0</v>
      </c>
      <c r="G14804">
        <v>0</v>
      </c>
      <c r="H14804">
        <v>1</v>
      </c>
      <c r="I14804" s="3">
        <v>556.58000000000004</v>
      </c>
      <c r="J14804" s="3">
        <v>0</v>
      </c>
      <c r="L14804">
        <v>3206</v>
      </c>
      <c r="M14804" t="s">
        <v>31546</v>
      </c>
      <c r="N14804" t="s">
        <v>30</v>
      </c>
      <c r="O14804" t="s">
        <v>31</v>
      </c>
      <c r="P14804" t="str">
        <f>"15204"</f>
        <v>15204</v>
      </c>
    </row>
    <row r="14805" spans="1:16" x14ac:dyDescent="0.25">
      <c r="A14805" t="str">
        <f>"1200042H00216    00"</f>
        <v>1200042H00216    00</v>
      </c>
      <c r="B14805" t="s">
        <v>32446</v>
      </c>
      <c r="C14805" t="s">
        <v>32447</v>
      </c>
      <c r="D14805" t="s">
        <v>20</v>
      </c>
      <c r="E14805" t="s">
        <v>39</v>
      </c>
      <c r="F14805">
        <v>0</v>
      </c>
      <c r="G14805">
        <v>0</v>
      </c>
      <c r="H14805">
        <v>11</v>
      </c>
      <c r="I14805" s="3">
        <v>3931.57</v>
      </c>
      <c r="J14805" s="3">
        <v>1808.53</v>
      </c>
      <c r="K14805" t="s">
        <v>32448</v>
      </c>
      <c r="M14805" t="s">
        <v>32449</v>
      </c>
      <c r="N14805" t="s">
        <v>149</v>
      </c>
      <c r="O14805" t="s">
        <v>31</v>
      </c>
      <c r="P14805" t="str">
        <f>"15106"</f>
        <v>15106</v>
      </c>
    </row>
    <row r="14806" spans="1:16" x14ac:dyDescent="0.25">
      <c r="A14806" t="str">
        <f>"1200042H00220    00"</f>
        <v>1200042H00220    00</v>
      </c>
      <c r="B14806" t="s">
        <v>32450</v>
      </c>
      <c r="C14806" t="s">
        <v>32451</v>
      </c>
      <c r="D14806" t="s">
        <v>20</v>
      </c>
      <c r="E14806" t="s">
        <v>39</v>
      </c>
      <c r="F14806">
        <v>0</v>
      </c>
      <c r="G14806">
        <v>0</v>
      </c>
      <c r="H14806">
        <v>4</v>
      </c>
      <c r="I14806" s="3">
        <v>1063.1600000000001</v>
      </c>
      <c r="J14806" s="3">
        <v>125.59</v>
      </c>
      <c r="L14806">
        <v>3110</v>
      </c>
      <c r="M14806" t="s">
        <v>31546</v>
      </c>
      <c r="N14806" t="s">
        <v>30</v>
      </c>
      <c r="O14806" t="s">
        <v>31</v>
      </c>
      <c r="P14806" t="str">
        <f>"15204"</f>
        <v>15204</v>
      </c>
    </row>
    <row r="14807" spans="1:16" x14ac:dyDescent="0.25">
      <c r="A14807" t="str">
        <f>"1200042H00222    00"</f>
        <v>1200042H00222    00</v>
      </c>
      <c r="B14807" t="s">
        <v>32450</v>
      </c>
      <c r="C14807" t="s">
        <v>32451</v>
      </c>
      <c r="D14807" t="s">
        <v>20</v>
      </c>
      <c r="E14807" t="s">
        <v>39</v>
      </c>
      <c r="F14807">
        <v>0</v>
      </c>
      <c r="G14807">
        <v>0</v>
      </c>
      <c r="H14807">
        <v>3</v>
      </c>
      <c r="I14807" s="3">
        <v>3144.62</v>
      </c>
      <c r="J14807" s="3">
        <v>205.37</v>
      </c>
      <c r="K14807" t="s">
        <v>32452</v>
      </c>
      <c r="L14807">
        <v>3110</v>
      </c>
      <c r="M14807" t="s">
        <v>31546</v>
      </c>
      <c r="N14807" t="s">
        <v>30</v>
      </c>
      <c r="O14807" t="s">
        <v>31</v>
      </c>
      <c r="P14807" t="str">
        <f>"15204"</f>
        <v>15204</v>
      </c>
    </row>
    <row r="14808" spans="1:16" x14ac:dyDescent="0.25">
      <c r="A14808" t="str">
        <f>"1200042H00235    00"</f>
        <v>1200042H00235    00</v>
      </c>
      <c r="B14808" t="s">
        <v>32453</v>
      </c>
      <c r="C14808" t="s">
        <v>32454</v>
      </c>
      <c r="D14808" t="s">
        <v>20</v>
      </c>
      <c r="E14808" t="s">
        <v>39</v>
      </c>
      <c r="F14808">
        <v>0</v>
      </c>
      <c r="G14808">
        <v>0</v>
      </c>
      <c r="H14808">
        <v>11</v>
      </c>
      <c r="I14808" s="3">
        <v>7595.59</v>
      </c>
      <c r="J14808" s="3">
        <v>8602.59</v>
      </c>
      <c r="L14808">
        <v>3012</v>
      </c>
      <c r="M14808" t="s">
        <v>31546</v>
      </c>
      <c r="N14808" t="s">
        <v>30</v>
      </c>
      <c r="O14808" t="s">
        <v>31</v>
      </c>
      <c r="P14808" t="str">
        <f>"15204"</f>
        <v>15204</v>
      </c>
    </row>
    <row r="14809" spans="1:16" x14ac:dyDescent="0.25">
      <c r="A14809" t="str">
        <f>"1200042H00239    00"</f>
        <v>1200042H00239    00</v>
      </c>
      <c r="B14809" t="s">
        <v>32455</v>
      </c>
      <c r="C14809" t="s">
        <v>32456</v>
      </c>
      <c r="E14809" t="s">
        <v>39</v>
      </c>
      <c r="F14809">
        <v>0</v>
      </c>
      <c r="G14809">
        <v>0</v>
      </c>
      <c r="H14809">
        <v>1</v>
      </c>
      <c r="I14809" s="3">
        <v>193.83</v>
      </c>
      <c r="J14809" s="3">
        <v>0</v>
      </c>
      <c r="L14809">
        <v>3002</v>
      </c>
      <c r="M14809" t="s">
        <v>17924</v>
      </c>
      <c r="N14809" t="s">
        <v>30</v>
      </c>
      <c r="O14809" t="s">
        <v>31</v>
      </c>
      <c r="P14809" t="str">
        <f>"15204"</f>
        <v>15204</v>
      </c>
    </row>
    <row r="14810" spans="1:16" x14ac:dyDescent="0.25">
      <c r="A14810" t="str">
        <f>"1200042H00244    00"</f>
        <v>1200042H00244    00</v>
      </c>
      <c r="B14810" t="s">
        <v>32457</v>
      </c>
      <c r="C14810" t="s">
        <v>31537</v>
      </c>
      <c r="D14810" t="s">
        <v>20</v>
      </c>
      <c r="E14810" t="s">
        <v>39</v>
      </c>
      <c r="F14810">
        <v>0</v>
      </c>
      <c r="G14810">
        <v>0</v>
      </c>
      <c r="H14810">
        <v>15</v>
      </c>
      <c r="I14810" s="3">
        <v>5872.52</v>
      </c>
      <c r="J14810" s="3">
        <v>4211.45</v>
      </c>
      <c r="L14810">
        <v>1356</v>
      </c>
      <c r="M14810" t="s">
        <v>32458</v>
      </c>
      <c r="N14810" t="s">
        <v>1474</v>
      </c>
      <c r="O14810" t="s">
        <v>31</v>
      </c>
      <c r="P14810" t="str">
        <f>"15017"</f>
        <v>15017</v>
      </c>
    </row>
    <row r="14811" spans="1:16" x14ac:dyDescent="0.25">
      <c r="A14811" t="str">
        <f>"1200042H00245    00"</f>
        <v>1200042H00245    00</v>
      </c>
      <c r="B14811" t="s">
        <v>32459</v>
      </c>
      <c r="C14811" t="s">
        <v>32460</v>
      </c>
      <c r="D14811" t="s">
        <v>20</v>
      </c>
      <c r="E14811" t="s">
        <v>39</v>
      </c>
      <c r="F14811">
        <v>0</v>
      </c>
      <c r="G14811">
        <v>0</v>
      </c>
      <c r="H14811">
        <v>5</v>
      </c>
      <c r="I14811" s="3">
        <v>3172.15</v>
      </c>
      <c r="J14811" s="3">
        <v>0</v>
      </c>
      <c r="M14811" t="s">
        <v>32461</v>
      </c>
      <c r="N14811" t="s">
        <v>30</v>
      </c>
      <c r="O14811" t="s">
        <v>31</v>
      </c>
      <c r="P14811" t="str">
        <f>"15219"</f>
        <v>15219</v>
      </c>
    </row>
    <row r="14812" spans="1:16" x14ac:dyDescent="0.25">
      <c r="A14812" t="str">
        <f>"1200042H00264    00"</f>
        <v>1200042H00264    00</v>
      </c>
      <c r="B14812" t="s">
        <v>32462</v>
      </c>
      <c r="C14812" t="s">
        <v>32463</v>
      </c>
      <c r="D14812" t="s">
        <v>20</v>
      </c>
      <c r="E14812" t="s">
        <v>39</v>
      </c>
      <c r="F14812">
        <v>0</v>
      </c>
      <c r="G14812">
        <v>0</v>
      </c>
      <c r="H14812">
        <v>1</v>
      </c>
      <c r="I14812" s="3">
        <v>295.44</v>
      </c>
      <c r="J14812" s="3">
        <v>0</v>
      </c>
      <c r="L14812">
        <v>2340</v>
      </c>
      <c r="M14812" t="s">
        <v>174</v>
      </c>
      <c r="N14812" t="s">
        <v>30</v>
      </c>
      <c r="O14812" t="s">
        <v>31</v>
      </c>
      <c r="P14812" t="str">
        <f>"15213"</f>
        <v>15213</v>
      </c>
    </row>
    <row r="14813" spans="1:16" x14ac:dyDescent="0.25">
      <c r="A14813" t="str">
        <f>"1200042H00265    00"</f>
        <v>1200042H00265    00</v>
      </c>
      <c r="B14813" t="s">
        <v>32464</v>
      </c>
      <c r="C14813" t="s">
        <v>32465</v>
      </c>
      <c r="D14813" t="s">
        <v>20</v>
      </c>
      <c r="E14813" t="s">
        <v>39</v>
      </c>
      <c r="F14813">
        <v>0</v>
      </c>
      <c r="G14813">
        <v>0</v>
      </c>
      <c r="H14813">
        <v>2</v>
      </c>
      <c r="I14813" s="3">
        <v>387.71</v>
      </c>
      <c r="J14813" s="3">
        <v>23.31</v>
      </c>
      <c r="K14813" t="s">
        <v>32466</v>
      </c>
      <c r="L14813">
        <v>304</v>
      </c>
      <c r="M14813" t="s">
        <v>4059</v>
      </c>
      <c r="N14813" t="s">
        <v>30</v>
      </c>
      <c r="O14813" t="s">
        <v>31</v>
      </c>
      <c r="P14813" t="str">
        <f>"15204"</f>
        <v>15204</v>
      </c>
    </row>
    <row r="14814" spans="1:16" x14ac:dyDescent="0.25">
      <c r="A14814" t="str">
        <f>"1200042H00268    00"</f>
        <v>1200042H00268    00</v>
      </c>
      <c r="B14814" t="s">
        <v>32467</v>
      </c>
      <c r="C14814" t="s">
        <v>32468</v>
      </c>
      <c r="D14814" t="s">
        <v>20</v>
      </c>
      <c r="E14814" t="s">
        <v>39</v>
      </c>
      <c r="F14814">
        <v>0</v>
      </c>
      <c r="G14814">
        <v>0</v>
      </c>
      <c r="H14814">
        <v>2</v>
      </c>
      <c r="I14814" s="3">
        <v>656.66</v>
      </c>
      <c r="J14814" s="3">
        <v>0</v>
      </c>
      <c r="L14814">
        <v>300</v>
      </c>
      <c r="M14814" t="s">
        <v>4059</v>
      </c>
      <c r="N14814" t="s">
        <v>30</v>
      </c>
      <c r="O14814" t="s">
        <v>31</v>
      </c>
      <c r="P14814" t="str">
        <f>"15204"</f>
        <v>15204</v>
      </c>
    </row>
    <row r="14815" spans="1:16" x14ac:dyDescent="0.25">
      <c r="A14815" t="str">
        <f>"1200042H00269    00"</f>
        <v>1200042H00269    00</v>
      </c>
      <c r="B14815" t="s">
        <v>32469</v>
      </c>
      <c r="C14815" t="s">
        <v>32470</v>
      </c>
      <c r="D14815" t="s">
        <v>20</v>
      </c>
      <c r="E14815" t="s">
        <v>39</v>
      </c>
      <c r="F14815">
        <v>0</v>
      </c>
      <c r="G14815">
        <v>0</v>
      </c>
      <c r="H14815">
        <v>7</v>
      </c>
      <c r="I14815" s="3">
        <v>3510.54</v>
      </c>
      <c r="J14815" s="3">
        <v>970.76</v>
      </c>
      <c r="L14815">
        <v>326</v>
      </c>
      <c r="M14815" t="s">
        <v>26132</v>
      </c>
      <c r="N14815" t="s">
        <v>285</v>
      </c>
      <c r="O14815" t="s">
        <v>31</v>
      </c>
      <c r="P14815" t="str">
        <f>"15120"</f>
        <v>15120</v>
      </c>
    </row>
    <row r="14816" spans="1:16" x14ac:dyDescent="0.25">
      <c r="A14816" t="str">
        <f>"1200042H00298    00"</f>
        <v>1200042H00298    00</v>
      </c>
      <c r="B14816" t="s">
        <v>31419</v>
      </c>
      <c r="C14816" t="s">
        <v>32471</v>
      </c>
      <c r="E14816" t="s">
        <v>39</v>
      </c>
      <c r="F14816">
        <v>0</v>
      </c>
      <c r="G14816">
        <v>0</v>
      </c>
      <c r="H14816">
        <v>1</v>
      </c>
      <c r="I14816" s="3">
        <v>238.75</v>
      </c>
      <c r="J14816" s="3">
        <v>0</v>
      </c>
      <c r="K14816" t="s">
        <v>32472</v>
      </c>
      <c r="L14816">
        <v>315</v>
      </c>
      <c r="M14816" t="s">
        <v>16896</v>
      </c>
      <c r="N14816" t="s">
        <v>2008</v>
      </c>
      <c r="O14816" t="s">
        <v>31</v>
      </c>
      <c r="P14816" t="str">
        <f>"16066"</f>
        <v>16066</v>
      </c>
    </row>
    <row r="14817" spans="1:16" x14ac:dyDescent="0.25">
      <c r="A14817" t="str">
        <f>"1200042H00300    00"</f>
        <v>1200042H00300    00</v>
      </c>
      <c r="B14817" t="s">
        <v>32473</v>
      </c>
      <c r="C14817" t="s">
        <v>32474</v>
      </c>
      <c r="D14817" t="s">
        <v>20</v>
      </c>
      <c r="E14817" t="s">
        <v>39</v>
      </c>
      <c r="F14817">
        <v>0</v>
      </c>
      <c r="G14817">
        <v>0</v>
      </c>
      <c r="H14817">
        <v>10</v>
      </c>
      <c r="I14817" s="3">
        <v>7570.7</v>
      </c>
      <c r="J14817" s="3">
        <v>3076.79</v>
      </c>
      <c r="L14817">
        <v>246</v>
      </c>
      <c r="M14817" t="s">
        <v>32475</v>
      </c>
      <c r="N14817" t="s">
        <v>30</v>
      </c>
      <c r="O14817" t="s">
        <v>31</v>
      </c>
      <c r="P14817" t="str">
        <f>"15228"</f>
        <v>15228</v>
      </c>
    </row>
    <row r="14818" spans="1:16" x14ac:dyDescent="0.25">
      <c r="A14818" t="str">
        <f>"1200042H00303    00"</f>
        <v>1200042H00303    00</v>
      </c>
      <c r="B14818" t="s">
        <v>32476</v>
      </c>
      <c r="C14818" t="s">
        <v>32477</v>
      </c>
      <c r="E14818" t="s">
        <v>39</v>
      </c>
      <c r="F14818">
        <v>0</v>
      </c>
      <c r="G14818">
        <v>0</v>
      </c>
      <c r="H14818">
        <v>1</v>
      </c>
      <c r="I14818" s="3">
        <v>710.95</v>
      </c>
      <c r="J14818" s="3">
        <v>0</v>
      </c>
      <c r="L14818">
        <v>3214</v>
      </c>
      <c r="M14818" t="s">
        <v>30856</v>
      </c>
      <c r="N14818" t="s">
        <v>30</v>
      </c>
      <c r="O14818" t="s">
        <v>31</v>
      </c>
      <c r="P14818" t="str">
        <f>"15204"</f>
        <v>15204</v>
      </c>
    </row>
    <row r="14819" spans="1:16" x14ac:dyDescent="0.25">
      <c r="A14819" t="str">
        <f>"1200042H00370    00"</f>
        <v>1200042H00370    00</v>
      </c>
      <c r="B14819" t="s">
        <v>32205</v>
      </c>
      <c r="C14819" t="s">
        <v>31489</v>
      </c>
      <c r="D14819" t="s">
        <v>20</v>
      </c>
      <c r="E14819" t="s">
        <v>21</v>
      </c>
      <c r="F14819">
        <v>0</v>
      </c>
      <c r="G14819">
        <v>0</v>
      </c>
      <c r="H14819">
        <v>9</v>
      </c>
      <c r="I14819" s="3">
        <v>306.95999999999998</v>
      </c>
      <c r="J14819" s="3">
        <v>355.06</v>
      </c>
      <c r="K14819" t="s">
        <v>32206</v>
      </c>
      <c r="L14819">
        <v>118</v>
      </c>
      <c r="M14819" t="s">
        <v>32207</v>
      </c>
      <c r="N14819" t="s">
        <v>1353</v>
      </c>
      <c r="O14819" t="s">
        <v>31</v>
      </c>
      <c r="P14819" t="str">
        <f>"15085"</f>
        <v>15085</v>
      </c>
    </row>
    <row r="14820" spans="1:16" x14ac:dyDescent="0.25">
      <c r="A14820" t="str">
        <f>"1200042J00001    00"</f>
        <v>1200042J00001    00</v>
      </c>
      <c r="B14820" t="s">
        <v>32478</v>
      </c>
      <c r="C14820" t="s">
        <v>32479</v>
      </c>
      <c r="D14820" t="s">
        <v>20</v>
      </c>
      <c r="E14820" t="s">
        <v>39</v>
      </c>
      <c r="F14820">
        <v>0</v>
      </c>
      <c r="G14820">
        <v>0</v>
      </c>
      <c r="H14820">
        <v>12</v>
      </c>
      <c r="I14820" s="3">
        <v>8296.4</v>
      </c>
      <c r="J14820" s="3">
        <v>4363.95</v>
      </c>
      <c r="L14820">
        <v>2802</v>
      </c>
      <c r="M14820" t="s">
        <v>2837</v>
      </c>
      <c r="N14820" t="s">
        <v>30</v>
      </c>
      <c r="O14820" t="s">
        <v>31</v>
      </c>
      <c r="P14820" t="str">
        <f>"15226"</f>
        <v>15226</v>
      </c>
    </row>
    <row r="14821" spans="1:16" x14ac:dyDescent="0.25">
      <c r="A14821" t="str">
        <f>"1200042J00003    00"</f>
        <v>1200042J00003    00</v>
      </c>
      <c r="B14821" t="s">
        <v>32480</v>
      </c>
      <c r="C14821" t="s">
        <v>32481</v>
      </c>
      <c r="D14821" t="s">
        <v>20</v>
      </c>
      <c r="E14821" t="s">
        <v>39</v>
      </c>
      <c r="F14821">
        <v>0</v>
      </c>
      <c r="G14821">
        <v>0</v>
      </c>
      <c r="H14821">
        <v>3</v>
      </c>
      <c r="I14821" s="3">
        <v>1618.23</v>
      </c>
      <c r="J14821" s="3">
        <v>107.88</v>
      </c>
      <c r="L14821">
        <v>349</v>
      </c>
      <c r="M14821" t="s">
        <v>32482</v>
      </c>
      <c r="N14821" t="s">
        <v>30</v>
      </c>
      <c r="O14821" t="s">
        <v>31</v>
      </c>
      <c r="P14821" t="str">
        <f>"15243"</f>
        <v>15243</v>
      </c>
    </row>
    <row r="14822" spans="1:16" x14ac:dyDescent="0.25">
      <c r="A14822" t="str">
        <f>"1200042J00022    00"</f>
        <v>1200042J00022    00</v>
      </c>
      <c r="B14822" t="s">
        <v>32483</v>
      </c>
      <c r="C14822" t="s">
        <v>32484</v>
      </c>
      <c r="E14822" t="s">
        <v>39</v>
      </c>
      <c r="F14822">
        <v>0</v>
      </c>
      <c r="G14822">
        <v>0</v>
      </c>
      <c r="H14822">
        <v>1</v>
      </c>
      <c r="I14822" s="3">
        <v>378.47</v>
      </c>
      <c r="J14822" s="3">
        <v>384.77</v>
      </c>
      <c r="K14822" t="s">
        <v>391</v>
      </c>
      <c r="L14822">
        <v>1</v>
      </c>
      <c r="M14822" t="s">
        <v>392</v>
      </c>
      <c r="N14822" t="s">
        <v>393</v>
      </c>
      <c r="O14822" t="s">
        <v>394</v>
      </c>
      <c r="P14822" t="str">
        <f>"50328"</f>
        <v>50328</v>
      </c>
    </row>
    <row r="14823" spans="1:16" x14ac:dyDescent="0.25">
      <c r="A14823" t="str">
        <f>"1200042J00066    00"</f>
        <v>1200042J00066    00</v>
      </c>
      <c r="B14823" t="s">
        <v>32485</v>
      </c>
      <c r="C14823" t="s">
        <v>32486</v>
      </c>
      <c r="D14823" t="s">
        <v>20</v>
      </c>
      <c r="E14823" t="s">
        <v>39</v>
      </c>
      <c r="F14823">
        <v>0</v>
      </c>
      <c r="G14823">
        <v>0</v>
      </c>
      <c r="H14823">
        <v>2</v>
      </c>
      <c r="I14823" s="3">
        <v>1201.76</v>
      </c>
      <c r="J14823" s="3">
        <v>0</v>
      </c>
      <c r="K14823" t="s">
        <v>8122</v>
      </c>
      <c r="L14823">
        <v>999</v>
      </c>
      <c r="M14823" t="s">
        <v>8123</v>
      </c>
      <c r="N14823" t="s">
        <v>8124</v>
      </c>
      <c r="O14823" t="s">
        <v>658</v>
      </c>
      <c r="P14823" t="str">
        <f>"73118"</f>
        <v>73118</v>
      </c>
    </row>
    <row r="14824" spans="1:16" x14ac:dyDescent="0.25">
      <c r="A14824" t="str">
        <f>"1200042J00081    00"</f>
        <v>1200042J00081    00</v>
      </c>
      <c r="B14824" t="s">
        <v>32487</v>
      </c>
      <c r="C14824" t="s">
        <v>32488</v>
      </c>
      <c r="D14824" t="s">
        <v>20</v>
      </c>
      <c r="E14824" t="s">
        <v>39</v>
      </c>
      <c r="F14824">
        <v>0</v>
      </c>
      <c r="G14824">
        <v>0</v>
      </c>
      <c r="H14824">
        <v>1</v>
      </c>
      <c r="I14824" s="3">
        <v>594.67999999999995</v>
      </c>
      <c r="J14824" s="3">
        <v>0</v>
      </c>
      <c r="L14824">
        <v>1119</v>
      </c>
      <c r="M14824" t="s">
        <v>32270</v>
      </c>
      <c r="N14824" t="s">
        <v>30</v>
      </c>
      <c r="O14824" t="s">
        <v>31</v>
      </c>
      <c r="P14824" t="str">
        <f>"15204"</f>
        <v>15204</v>
      </c>
    </row>
    <row r="14825" spans="1:16" x14ac:dyDescent="0.25">
      <c r="A14825" t="str">
        <f>"1200042J00082    00"</f>
        <v>1200042J00082    00</v>
      </c>
      <c r="B14825" t="s">
        <v>32487</v>
      </c>
      <c r="C14825" t="s">
        <v>32489</v>
      </c>
      <c r="D14825" t="s">
        <v>20</v>
      </c>
      <c r="E14825" t="s">
        <v>39</v>
      </c>
      <c r="F14825">
        <v>0</v>
      </c>
      <c r="G14825">
        <v>0</v>
      </c>
      <c r="H14825">
        <v>1</v>
      </c>
      <c r="I14825" s="3">
        <v>205.28</v>
      </c>
      <c r="J14825" s="3">
        <v>0</v>
      </c>
      <c r="L14825">
        <v>1119</v>
      </c>
      <c r="M14825" t="s">
        <v>32270</v>
      </c>
      <c r="N14825" t="s">
        <v>30</v>
      </c>
      <c r="O14825" t="s">
        <v>31</v>
      </c>
      <c r="P14825" t="str">
        <f>"15204"</f>
        <v>15204</v>
      </c>
    </row>
    <row r="14826" spans="1:16" x14ac:dyDescent="0.25">
      <c r="A14826" t="str">
        <f>"1200042J00092    00"</f>
        <v>1200042J00092    00</v>
      </c>
      <c r="B14826" t="s">
        <v>32490</v>
      </c>
      <c r="C14826" t="s">
        <v>32491</v>
      </c>
      <c r="D14826" t="s">
        <v>20</v>
      </c>
      <c r="E14826" t="s">
        <v>39</v>
      </c>
      <c r="F14826">
        <v>0</v>
      </c>
      <c r="G14826">
        <v>0</v>
      </c>
      <c r="H14826">
        <v>1</v>
      </c>
      <c r="I14826" s="3">
        <v>200.14</v>
      </c>
      <c r="J14826" s="3">
        <v>0</v>
      </c>
      <c r="K14826" t="s">
        <v>881</v>
      </c>
      <c r="L14826">
        <v>3001</v>
      </c>
      <c r="M14826" t="s">
        <v>330</v>
      </c>
      <c r="N14826" t="s">
        <v>331</v>
      </c>
      <c r="O14826" t="s">
        <v>108</v>
      </c>
      <c r="P14826" t="str">
        <f>"75063"</f>
        <v>75063</v>
      </c>
    </row>
    <row r="14827" spans="1:16" x14ac:dyDescent="0.25">
      <c r="A14827" t="str">
        <f>"1200042J00116    00"</f>
        <v>1200042J00116    00</v>
      </c>
      <c r="B14827" t="s">
        <v>32492</v>
      </c>
      <c r="C14827" t="s">
        <v>32493</v>
      </c>
      <c r="D14827" t="s">
        <v>20</v>
      </c>
      <c r="E14827" t="s">
        <v>39</v>
      </c>
      <c r="F14827">
        <v>0</v>
      </c>
      <c r="G14827">
        <v>0</v>
      </c>
      <c r="H14827">
        <v>5</v>
      </c>
      <c r="I14827" s="3">
        <v>5020.84</v>
      </c>
      <c r="J14827" s="3">
        <v>696.18</v>
      </c>
      <c r="L14827">
        <v>1216</v>
      </c>
      <c r="M14827" t="s">
        <v>32494</v>
      </c>
      <c r="N14827" t="s">
        <v>30</v>
      </c>
      <c r="O14827" t="s">
        <v>31</v>
      </c>
      <c r="P14827" t="str">
        <f>"15204"</f>
        <v>15204</v>
      </c>
    </row>
    <row r="14828" spans="1:16" x14ac:dyDescent="0.25">
      <c r="A14828" t="str">
        <f>"1200042J00123    00"</f>
        <v>1200042J00123    00</v>
      </c>
      <c r="B14828" t="s">
        <v>32495</v>
      </c>
      <c r="C14828" t="s">
        <v>32496</v>
      </c>
      <c r="D14828" t="s">
        <v>20</v>
      </c>
      <c r="E14828" t="s">
        <v>39</v>
      </c>
      <c r="F14828">
        <v>0</v>
      </c>
      <c r="G14828">
        <v>0</v>
      </c>
      <c r="H14828">
        <v>5</v>
      </c>
      <c r="I14828" s="3">
        <v>4103.5</v>
      </c>
      <c r="J14828" s="3">
        <v>568.98</v>
      </c>
      <c r="K14828" t="s">
        <v>32497</v>
      </c>
      <c r="L14828">
        <v>3128</v>
      </c>
      <c r="M14828" t="s">
        <v>16891</v>
      </c>
      <c r="N14828" t="s">
        <v>30</v>
      </c>
      <c r="O14828" t="s">
        <v>31</v>
      </c>
      <c r="P14828" t="str">
        <f>"15204"</f>
        <v>15204</v>
      </c>
    </row>
    <row r="14829" spans="1:16" x14ac:dyDescent="0.25">
      <c r="A14829" t="str">
        <f>"1200042J00125    00"</f>
        <v>1200042J00125    00</v>
      </c>
      <c r="B14829" t="s">
        <v>32498</v>
      </c>
      <c r="C14829" t="s">
        <v>32499</v>
      </c>
      <c r="D14829" t="s">
        <v>20</v>
      </c>
      <c r="E14829" t="s">
        <v>39</v>
      </c>
      <c r="F14829">
        <v>0</v>
      </c>
      <c r="G14829">
        <v>0</v>
      </c>
      <c r="H14829">
        <v>8</v>
      </c>
      <c r="I14829" s="3">
        <v>2081.1</v>
      </c>
      <c r="J14829" s="3">
        <v>680.96</v>
      </c>
      <c r="L14829">
        <v>136</v>
      </c>
      <c r="M14829" t="s">
        <v>32500</v>
      </c>
      <c r="N14829" t="s">
        <v>30</v>
      </c>
      <c r="O14829" t="s">
        <v>31</v>
      </c>
      <c r="P14829" t="str">
        <f>"15205"</f>
        <v>15205</v>
      </c>
    </row>
    <row r="14830" spans="1:16" x14ac:dyDescent="0.25">
      <c r="A14830" t="str">
        <f>"1200042J00146    00"</f>
        <v>1200042J00146    00</v>
      </c>
      <c r="B14830" t="s">
        <v>32501</v>
      </c>
      <c r="C14830" t="s">
        <v>32502</v>
      </c>
      <c r="E14830" t="s">
        <v>39</v>
      </c>
      <c r="F14830">
        <v>0</v>
      </c>
      <c r="G14830">
        <v>0</v>
      </c>
      <c r="H14830">
        <v>1</v>
      </c>
      <c r="I14830" s="3">
        <v>1482.04</v>
      </c>
      <c r="J14830" s="3">
        <v>407.55</v>
      </c>
      <c r="K14830" t="s">
        <v>881</v>
      </c>
      <c r="L14830">
        <v>3001</v>
      </c>
      <c r="M14830" t="s">
        <v>330</v>
      </c>
      <c r="N14830" t="s">
        <v>331</v>
      </c>
      <c r="O14830" t="s">
        <v>108</v>
      </c>
      <c r="P14830" t="str">
        <f>"75063"</f>
        <v>75063</v>
      </c>
    </row>
    <row r="14831" spans="1:16" x14ac:dyDescent="0.25">
      <c r="A14831" t="str">
        <f>"1200042J00148    00"</f>
        <v>1200042J00148    00</v>
      </c>
      <c r="B14831" t="s">
        <v>32503</v>
      </c>
      <c r="C14831" t="s">
        <v>32504</v>
      </c>
      <c r="E14831" t="s">
        <v>21</v>
      </c>
      <c r="F14831">
        <v>0</v>
      </c>
      <c r="G14831">
        <v>0</v>
      </c>
      <c r="H14831">
        <v>5</v>
      </c>
      <c r="I14831" s="3">
        <v>3137.26</v>
      </c>
      <c r="J14831" s="3">
        <v>1467.14</v>
      </c>
      <c r="K14831" t="s">
        <v>32505</v>
      </c>
      <c r="L14831">
        <v>3333</v>
      </c>
      <c r="M14831" t="s">
        <v>32247</v>
      </c>
      <c r="N14831" t="s">
        <v>30</v>
      </c>
      <c r="O14831" t="s">
        <v>31</v>
      </c>
      <c r="P14831" t="str">
        <f>"15204"</f>
        <v>15204</v>
      </c>
    </row>
    <row r="14832" spans="1:16" x14ac:dyDescent="0.25">
      <c r="A14832" t="str">
        <f>"1200042J00187    00"</f>
        <v>1200042J00187    00</v>
      </c>
      <c r="B14832" t="s">
        <v>32506</v>
      </c>
      <c r="C14832" t="s">
        <v>32507</v>
      </c>
      <c r="D14832" t="s">
        <v>20</v>
      </c>
      <c r="E14832" t="s">
        <v>39</v>
      </c>
      <c r="F14832">
        <v>0</v>
      </c>
      <c r="G14832">
        <v>0</v>
      </c>
      <c r="H14832">
        <v>2</v>
      </c>
      <c r="I14832" s="3">
        <v>1720.2</v>
      </c>
      <c r="J14832" s="3">
        <v>0</v>
      </c>
      <c r="L14832">
        <v>3321</v>
      </c>
      <c r="M14832" t="s">
        <v>32247</v>
      </c>
      <c r="N14832" t="s">
        <v>30</v>
      </c>
      <c r="O14832" t="s">
        <v>31</v>
      </c>
      <c r="P14832" t="str">
        <f>"15204"</f>
        <v>15204</v>
      </c>
    </row>
    <row r="14833" spans="1:16" x14ac:dyDescent="0.25">
      <c r="A14833" t="str">
        <f>"1200042J00191    00"</f>
        <v>1200042J00191    00</v>
      </c>
      <c r="B14833" t="s">
        <v>32508</v>
      </c>
      <c r="C14833" t="s">
        <v>32509</v>
      </c>
      <c r="D14833" t="s">
        <v>20</v>
      </c>
      <c r="E14833" t="s">
        <v>39</v>
      </c>
      <c r="F14833">
        <v>0</v>
      </c>
      <c r="G14833">
        <v>0</v>
      </c>
      <c r="H14833">
        <v>15</v>
      </c>
      <c r="I14833" s="3">
        <v>9547.4699999999993</v>
      </c>
      <c r="J14833" s="3">
        <v>6918.33</v>
      </c>
      <c r="M14833" t="s">
        <v>32510</v>
      </c>
      <c r="N14833" t="s">
        <v>8632</v>
      </c>
      <c r="O14833" t="s">
        <v>8633</v>
      </c>
      <c r="P14833" t="str">
        <f>"66225"</f>
        <v>66225</v>
      </c>
    </row>
    <row r="14834" spans="1:16" x14ac:dyDescent="0.25">
      <c r="A14834" t="str">
        <f>"1200042J00197    00"</f>
        <v>1200042J00197    00</v>
      </c>
      <c r="B14834" t="s">
        <v>32511</v>
      </c>
      <c r="C14834" t="s">
        <v>32512</v>
      </c>
      <c r="D14834" t="s">
        <v>20</v>
      </c>
      <c r="E14834" t="s">
        <v>39</v>
      </c>
      <c r="F14834">
        <v>0</v>
      </c>
      <c r="G14834">
        <v>0</v>
      </c>
      <c r="H14834">
        <v>2</v>
      </c>
      <c r="I14834" s="3">
        <v>190.11</v>
      </c>
      <c r="J14834" s="3">
        <v>0</v>
      </c>
      <c r="L14834">
        <v>9</v>
      </c>
      <c r="M14834" t="s">
        <v>32513</v>
      </c>
      <c r="N14834" t="s">
        <v>149</v>
      </c>
      <c r="O14834" t="s">
        <v>31</v>
      </c>
      <c r="P14834" t="str">
        <f>"15106"</f>
        <v>15106</v>
      </c>
    </row>
    <row r="14835" spans="1:16" x14ac:dyDescent="0.25">
      <c r="A14835" t="str">
        <f>"1200042J00201    00"</f>
        <v>1200042J00201    00</v>
      </c>
      <c r="B14835" t="s">
        <v>32514</v>
      </c>
      <c r="C14835" t="s">
        <v>32515</v>
      </c>
      <c r="D14835" t="s">
        <v>20</v>
      </c>
      <c r="E14835" t="s">
        <v>39</v>
      </c>
      <c r="F14835">
        <v>0</v>
      </c>
      <c r="G14835">
        <v>0</v>
      </c>
      <c r="H14835">
        <v>11</v>
      </c>
      <c r="I14835" s="3">
        <v>3483.85</v>
      </c>
      <c r="J14835" s="3">
        <v>1749.92</v>
      </c>
      <c r="L14835">
        <v>430</v>
      </c>
      <c r="M14835" t="s">
        <v>32516</v>
      </c>
      <c r="N14835" t="s">
        <v>625</v>
      </c>
      <c r="O14835" t="s">
        <v>31</v>
      </c>
      <c r="P14835" t="str">
        <f>"15108"</f>
        <v>15108</v>
      </c>
    </row>
    <row r="14836" spans="1:16" x14ac:dyDescent="0.25">
      <c r="A14836" t="str">
        <f>"1200042J00205    00"</f>
        <v>1200042J00205    00</v>
      </c>
      <c r="B14836" t="s">
        <v>32517</v>
      </c>
      <c r="C14836" t="s">
        <v>32518</v>
      </c>
      <c r="D14836" t="s">
        <v>20</v>
      </c>
      <c r="E14836" t="s">
        <v>39</v>
      </c>
      <c r="F14836">
        <v>0</v>
      </c>
      <c r="G14836">
        <v>0</v>
      </c>
      <c r="H14836">
        <v>19</v>
      </c>
      <c r="I14836" s="3">
        <v>13633.84</v>
      </c>
      <c r="J14836" s="3">
        <v>13146.71</v>
      </c>
      <c r="L14836">
        <v>4650</v>
      </c>
      <c r="M14836" t="s">
        <v>32519</v>
      </c>
      <c r="N14836" t="s">
        <v>3919</v>
      </c>
      <c r="O14836" t="s">
        <v>370</v>
      </c>
      <c r="P14836" t="str">
        <f>"32217"</f>
        <v>32217</v>
      </c>
    </row>
    <row r="14837" spans="1:16" x14ac:dyDescent="0.25">
      <c r="A14837" t="str">
        <f>"1200042J00212    00"</f>
        <v>1200042J00212    00</v>
      </c>
      <c r="B14837" t="s">
        <v>32520</v>
      </c>
      <c r="C14837" t="s">
        <v>32521</v>
      </c>
      <c r="D14837" t="s">
        <v>20</v>
      </c>
      <c r="E14837" t="s">
        <v>39</v>
      </c>
      <c r="F14837">
        <v>0</v>
      </c>
      <c r="G14837">
        <v>0</v>
      </c>
      <c r="H14837">
        <v>2</v>
      </c>
      <c r="I14837" s="3">
        <v>1303.7</v>
      </c>
      <c r="J14837" s="3">
        <v>0</v>
      </c>
      <c r="L14837">
        <v>768</v>
      </c>
      <c r="M14837" t="s">
        <v>24163</v>
      </c>
      <c r="N14837" t="s">
        <v>30</v>
      </c>
      <c r="O14837" t="s">
        <v>31</v>
      </c>
      <c r="P14837" t="str">
        <f>"15204"</f>
        <v>15204</v>
      </c>
    </row>
    <row r="14838" spans="1:16" x14ac:dyDescent="0.25">
      <c r="A14838" t="str">
        <f>"1200042J00219    00"</f>
        <v>1200042J00219    00</v>
      </c>
      <c r="B14838" t="s">
        <v>32522</v>
      </c>
      <c r="C14838" t="s">
        <v>32523</v>
      </c>
      <c r="D14838" t="s">
        <v>20</v>
      </c>
      <c r="E14838" t="s">
        <v>39</v>
      </c>
      <c r="F14838">
        <v>0</v>
      </c>
      <c r="G14838">
        <v>0</v>
      </c>
      <c r="H14838">
        <v>1</v>
      </c>
      <c r="I14838" s="3">
        <v>669.02</v>
      </c>
      <c r="J14838" s="3">
        <v>0</v>
      </c>
      <c r="L14838">
        <v>1211</v>
      </c>
      <c r="M14838" t="s">
        <v>32494</v>
      </c>
      <c r="N14838" t="s">
        <v>30</v>
      </c>
      <c r="O14838" t="s">
        <v>31</v>
      </c>
      <c r="P14838" t="str">
        <f>"15204"</f>
        <v>15204</v>
      </c>
    </row>
    <row r="14839" spans="1:16" x14ac:dyDescent="0.25">
      <c r="A14839" t="str">
        <f>"1200042J00225    00"</f>
        <v>1200042J00225    00</v>
      </c>
      <c r="B14839" t="s">
        <v>32524</v>
      </c>
      <c r="C14839" t="s">
        <v>32525</v>
      </c>
      <c r="D14839" t="s">
        <v>33</v>
      </c>
      <c r="E14839" t="s">
        <v>39</v>
      </c>
      <c r="F14839">
        <v>0</v>
      </c>
      <c r="G14839">
        <v>0</v>
      </c>
      <c r="H14839">
        <v>11</v>
      </c>
      <c r="I14839" s="3">
        <v>3585.58</v>
      </c>
      <c r="J14839" s="3">
        <v>866.13</v>
      </c>
      <c r="K14839" t="s">
        <v>32526</v>
      </c>
      <c r="L14839">
        <v>225</v>
      </c>
      <c r="M14839" t="s">
        <v>32527</v>
      </c>
      <c r="N14839" t="s">
        <v>8181</v>
      </c>
      <c r="O14839" t="s">
        <v>31</v>
      </c>
      <c r="P14839" t="str">
        <f>"15110"</f>
        <v>15110</v>
      </c>
    </row>
    <row r="14840" spans="1:16" x14ac:dyDescent="0.25">
      <c r="A14840" t="str">
        <f>"1200042J00233    00"</f>
        <v>1200042J00233    00</v>
      </c>
      <c r="B14840" t="s">
        <v>32528</v>
      </c>
      <c r="C14840" t="s">
        <v>32529</v>
      </c>
      <c r="D14840" t="s">
        <v>20</v>
      </c>
      <c r="E14840" t="s">
        <v>39</v>
      </c>
      <c r="F14840">
        <v>0</v>
      </c>
      <c r="G14840">
        <v>0</v>
      </c>
      <c r="H14840">
        <v>4</v>
      </c>
      <c r="I14840" s="3">
        <v>1054.8800000000001</v>
      </c>
      <c r="J14840" s="3">
        <v>109.79</v>
      </c>
      <c r="L14840">
        <v>1212</v>
      </c>
      <c r="M14840" t="s">
        <v>32530</v>
      </c>
      <c r="N14840" t="s">
        <v>30</v>
      </c>
      <c r="O14840" t="s">
        <v>31</v>
      </c>
      <c r="P14840" t="str">
        <f>"15204"</f>
        <v>15204</v>
      </c>
    </row>
    <row r="14841" spans="1:16" x14ac:dyDescent="0.25">
      <c r="A14841" t="str">
        <f>"1200042J00243    00"</f>
        <v>1200042J00243    00</v>
      </c>
      <c r="B14841" t="s">
        <v>32531</v>
      </c>
      <c r="C14841" t="s">
        <v>32532</v>
      </c>
      <c r="D14841" t="s">
        <v>20</v>
      </c>
      <c r="E14841" t="s">
        <v>39</v>
      </c>
      <c r="F14841">
        <v>0</v>
      </c>
      <c r="G14841">
        <v>0</v>
      </c>
      <c r="H14841">
        <v>2</v>
      </c>
      <c r="I14841" s="3">
        <v>38.119999999999997</v>
      </c>
      <c r="J14841" s="3">
        <v>0</v>
      </c>
      <c r="L14841">
        <v>1114</v>
      </c>
      <c r="M14841" t="s">
        <v>32530</v>
      </c>
      <c r="N14841" t="s">
        <v>30</v>
      </c>
      <c r="O14841" t="s">
        <v>31</v>
      </c>
      <c r="P14841" t="str">
        <f>"15204"</f>
        <v>15204</v>
      </c>
    </row>
    <row r="14842" spans="1:16" x14ac:dyDescent="0.25">
      <c r="A14842" t="str">
        <f>"1200042J00265    00"</f>
        <v>1200042J00265    00</v>
      </c>
      <c r="B14842" t="s">
        <v>32533</v>
      </c>
      <c r="C14842" t="s">
        <v>32534</v>
      </c>
      <c r="D14842" t="s">
        <v>20</v>
      </c>
      <c r="E14842" t="s">
        <v>39</v>
      </c>
      <c r="F14842">
        <v>0</v>
      </c>
      <c r="G14842">
        <v>0</v>
      </c>
      <c r="H14842">
        <v>8</v>
      </c>
      <c r="I14842" s="3">
        <v>6331.03</v>
      </c>
      <c r="J14842" s="3">
        <v>2042.25</v>
      </c>
      <c r="L14842">
        <v>56</v>
      </c>
      <c r="M14842" t="s">
        <v>32535</v>
      </c>
      <c r="N14842" t="s">
        <v>30</v>
      </c>
      <c r="O14842" t="s">
        <v>31</v>
      </c>
      <c r="P14842" t="str">
        <f>"15202"</f>
        <v>15202</v>
      </c>
    </row>
    <row r="14843" spans="1:16" x14ac:dyDescent="0.25">
      <c r="A14843" t="str">
        <f>"1200042J00280    00"</f>
        <v>1200042J00280    00</v>
      </c>
      <c r="B14843" t="s">
        <v>32536</v>
      </c>
      <c r="C14843" t="s">
        <v>32537</v>
      </c>
      <c r="D14843" t="s">
        <v>20</v>
      </c>
      <c r="E14843" t="s">
        <v>39</v>
      </c>
      <c r="F14843">
        <v>0</v>
      </c>
      <c r="G14843">
        <v>0</v>
      </c>
      <c r="H14843">
        <v>1</v>
      </c>
      <c r="I14843" s="3">
        <v>2121.39</v>
      </c>
      <c r="J14843" s="3">
        <v>0</v>
      </c>
      <c r="L14843">
        <v>1027</v>
      </c>
      <c r="M14843" t="s">
        <v>32530</v>
      </c>
      <c r="N14843" t="s">
        <v>30</v>
      </c>
      <c r="O14843" t="s">
        <v>31</v>
      </c>
      <c r="P14843" t="str">
        <f>"15204"</f>
        <v>15204</v>
      </c>
    </row>
    <row r="14844" spans="1:16" x14ac:dyDescent="0.25">
      <c r="A14844" t="str">
        <f>"1200042J00287    00"</f>
        <v>1200042J00287    00</v>
      </c>
      <c r="B14844" t="s">
        <v>32538</v>
      </c>
      <c r="C14844" t="s">
        <v>32539</v>
      </c>
      <c r="D14844" t="s">
        <v>20</v>
      </c>
      <c r="E14844" t="s">
        <v>39</v>
      </c>
      <c r="F14844">
        <v>0</v>
      </c>
      <c r="G14844">
        <v>0</v>
      </c>
      <c r="H14844">
        <v>2</v>
      </c>
      <c r="I14844" s="3">
        <v>486.02</v>
      </c>
      <c r="J14844" s="3">
        <v>0</v>
      </c>
      <c r="K14844" t="s">
        <v>32540</v>
      </c>
      <c r="L14844">
        <v>1111</v>
      </c>
      <c r="M14844" t="s">
        <v>32530</v>
      </c>
      <c r="N14844" t="s">
        <v>30</v>
      </c>
      <c r="O14844" t="s">
        <v>31</v>
      </c>
      <c r="P14844" t="str">
        <f>"15204"</f>
        <v>15204</v>
      </c>
    </row>
    <row r="14845" spans="1:16" x14ac:dyDescent="0.25">
      <c r="A14845" t="str">
        <f>"1200042J00289    00"</f>
        <v>1200042J00289    00</v>
      </c>
      <c r="B14845" t="s">
        <v>32541</v>
      </c>
      <c r="C14845" t="s">
        <v>32542</v>
      </c>
      <c r="D14845" t="s">
        <v>20</v>
      </c>
      <c r="E14845" t="s">
        <v>39</v>
      </c>
      <c r="F14845">
        <v>0</v>
      </c>
      <c r="G14845">
        <v>0</v>
      </c>
      <c r="H14845">
        <v>3</v>
      </c>
      <c r="I14845" s="3">
        <v>1886.94</v>
      </c>
      <c r="J14845" s="3">
        <v>125.79</v>
      </c>
      <c r="L14845">
        <v>1418</v>
      </c>
      <c r="M14845" t="s">
        <v>32543</v>
      </c>
      <c r="N14845" t="s">
        <v>30</v>
      </c>
      <c r="O14845" t="s">
        <v>31</v>
      </c>
      <c r="P14845" t="str">
        <f>"15204"</f>
        <v>15204</v>
      </c>
    </row>
    <row r="14846" spans="1:16" x14ac:dyDescent="0.25">
      <c r="A14846" t="str">
        <f>"1200042J00290    00"</f>
        <v>1200042J00290    00</v>
      </c>
      <c r="B14846" t="s">
        <v>32544</v>
      </c>
      <c r="C14846" t="s">
        <v>32545</v>
      </c>
      <c r="E14846" t="s">
        <v>39</v>
      </c>
      <c r="F14846">
        <v>0</v>
      </c>
      <c r="G14846">
        <v>0</v>
      </c>
      <c r="H14846">
        <v>1</v>
      </c>
      <c r="I14846" s="3">
        <v>501.29</v>
      </c>
      <c r="J14846" s="3">
        <v>100.25</v>
      </c>
      <c r="K14846" t="s">
        <v>32546</v>
      </c>
      <c r="L14846">
        <v>1121</v>
      </c>
      <c r="M14846" t="s">
        <v>32530</v>
      </c>
      <c r="N14846" t="s">
        <v>30</v>
      </c>
      <c r="O14846" t="s">
        <v>31</v>
      </c>
      <c r="P14846" t="str">
        <f>"15204"</f>
        <v>15204</v>
      </c>
    </row>
    <row r="14847" spans="1:16" x14ac:dyDescent="0.25">
      <c r="A14847" t="str">
        <f>"1200042J00298    00"</f>
        <v>1200042J00298    00</v>
      </c>
      <c r="B14847" t="s">
        <v>32547</v>
      </c>
      <c r="C14847" t="s">
        <v>32548</v>
      </c>
      <c r="E14847" t="s">
        <v>39</v>
      </c>
      <c r="F14847">
        <v>0</v>
      </c>
      <c r="G14847">
        <v>0</v>
      </c>
      <c r="H14847">
        <v>3</v>
      </c>
      <c r="I14847" s="3">
        <v>1710.05</v>
      </c>
      <c r="J14847" s="3">
        <v>2441.0500000000002</v>
      </c>
      <c r="K14847" t="s">
        <v>2106</v>
      </c>
      <c r="L14847">
        <v>6053</v>
      </c>
      <c r="M14847" t="s">
        <v>2107</v>
      </c>
      <c r="N14847" t="s">
        <v>2108</v>
      </c>
      <c r="O14847" t="s">
        <v>2109</v>
      </c>
      <c r="P14847" t="str">
        <f>"84107"</f>
        <v>84107</v>
      </c>
    </row>
    <row r="14848" spans="1:16" x14ac:dyDescent="0.25">
      <c r="A14848" t="str">
        <f>"1200042J00300    00"</f>
        <v>1200042J00300    00</v>
      </c>
      <c r="B14848" t="s">
        <v>32549</v>
      </c>
      <c r="C14848" t="s">
        <v>32550</v>
      </c>
      <c r="E14848" t="s">
        <v>39</v>
      </c>
      <c r="F14848">
        <v>0</v>
      </c>
      <c r="G14848">
        <v>0</v>
      </c>
      <c r="H14848">
        <v>4</v>
      </c>
      <c r="I14848" s="3">
        <v>4641.2</v>
      </c>
      <c r="J14848" s="3">
        <v>7493.32</v>
      </c>
      <c r="L14848">
        <v>36</v>
      </c>
      <c r="M14848" t="s">
        <v>32551</v>
      </c>
      <c r="N14848" t="s">
        <v>30</v>
      </c>
      <c r="O14848" t="s">
        <v>31</v>
      </c>
      <c r="P14848" t="str">
        <f>"15205"</f>
        <v>15205</v>
      </c>
    </row>
    <row r="14849" spans="1:16" x14ac:dyDescent="0.25">
      <c r="A14849" t="str">
        <f>"1200042J00305    00"</f>
        <v>1200042J00305    00</v>
      </c>
      <c r="B14849" t="s">
        <v>32552</v>
      </c>
      <c r="C14849" t="s">
        <v>32553</v>
      </c>
      <c r="D14849" t="s">
        <v>20</v>
      </c>
      <c r="E14849" t="s">
        <v>39</v>
      </c>
      <c r="F14849">
        <v>0</v>
      </c>
      <c r="G14849">
        <v>0</v>
      </c>
      <c r="H14849">
        <v>5</v>
      </c>
      <c r="I14849" s="3">
        <v>3791.15</v>
      </c>
      <c r="J14849" s="3">
        <v>484.34</v>
      </c>
      <c r="K14849" t="s">
        <v>32554</v>
      </c>
      <c r="L14849">
        <v>1112</v>
      </c>
      <c r="M14849" t="s">
        <v>12119</v>
      </c>
      <c r="N14849" t="s">
        <v>30</v>
      </c>
      <c r="O14849" t="s">
        <v>31</v>
      </c>
      <c r="P14849" t="str">
        <f>"15204"</f>
        <v>15204</v>
      </c>
    </row>
    <row r="14850" spans="1:16" x14ac:dyDescent="0.25">
      <c r="A14850" t="str">
        <f>"1200042J00314    00"</f>
        <v>1200042J00314    00</v>
      </c>
      <c r="B14850" t="s">
        <v>32555</v>
      </c>
      <c r="C14850" t="s">
        <v>32556</v>
      </c>
      <c r="D14850" t="s">
        <v>20</v>
      </c>
      <c r="E14850" t="s">
        <v>39</v>
      </c>
      <c r="F14850">
        <v>0</v>
      </c>
      <c r="G14850">
        <v>0</v>
      </c>
      <c r="H14850">
        <v>19</v>
      </c>
      <c r="I14850" s="3">
        <v>6163.22</v>
      </c>
      <c r="J14850" s="3">
        <v>6061.78</v>
      </c>
      <c r="L14850">
        <v>623</v>
      </c>
      <c r="M14850" t="s">
        <v>16619</v>
      </c>
      <c r="N14850" t="s">
        <v>30</v>
      </c>
      <c r="O14850" t="s">
        <v>31</v>
      </c>
      <c r="P14850" t="str">
        <f>"15221"</f>
        <v>15221</v>
      </c>
    </row>
    <row r="14851" spans="1:16" x14ac:dyDescent="0.25">
      <c r="A14851" t="str">
        <f>"1200042J00320    00"</f>
        <v>1200042J00320    00</v>
      </c>
      <c r="B14851" t="s">
        <v>32557</v>
      </c>
      <c r="C14851" t="s">
        <v>32558</v>
      </c>
      <c r="D14851" t="s">
        <v>20</v>
      </c>
      <c r="E14851" t="s">
        <v>39</v>
      </c>
      <c r="F14851">
        <v>0</v>
      </c>
      <c r="G14851">
        <v>0</v>
      </c>
      <c r="H14851">
        <v>9</v>
      </c>
      <c r="I14851" s="3">
        <v>5696.85</v>
      </c>
      <c r="J14851" s="3">
        <v>1918.75</v>
      </c>
      <c r="L14851">
        <v>3225</v>
      </c>
      <c r="M14851" t="s">
        <v>32247</v>
      </c>
      <c r="N14851" t="s">
        <v>30</v>
      </c>
      <c r="O14851" t="s">
        <v>31</v>
      </c>
      <c r="P14851" t="str">
        <f>"15204"</f>
        <v>15204</v>
      </c>
    </row>
    <row r="14852" spans="1:16" x14ac:dyDescent="0.25">
      <c r="A14852" t="str">
        <f>"1200042J00324    00"</f>
        <v>1200042J00324    00</v>
      </c>
      <c r="B14852" t="s">
        <v>32559</v>
      </c>
      <c r="C14852" t="s">
        <v>32560</v>
      </c>
      <c r="D14852" t="s">
        <v>20</v>
      </c>
      <c r="E14852" t="s">
        <v>39</v>
      </c>
      <c r="F14852">
        <v>0</v>
      </c>
      <c r="G14852">
        <v>0</v>
      </c>
      <c r="H14852">
        <v>6</v>
      </c>
      <c r="I14852" s="3">
        <v>6234.34</v>
      </c>
      <c r="J14852" s="3">
        <v>1555.2</v>
      </c>
      <c r="K14852" t="s">
        <v>32561</v>
      </c>
      <c r="L14852">
        <v>815</v>
      </c>
      <c r="M14852" t="s">
        <v>7730</v>
      </c>
      <c r="N14852" t="s">
        <v>321</v>
      </c>
      <c r="O14852" t="s">
        <v>31</v>
      </c>
      <c r="P14852" t="str">
        <f>"15001"</f>
        <v>15001</v>
      </c>
    </row>
    <row r="14853" spans="1:16" x14ac:dyDescent="0.25">
      <c r="A14853" t="str">
        <f>"1200042J00328    00"</f>
        <v>1200042J00328    00</v>
      </c>
      <c r="B14853" t="s">
        <v>32562</v>
      </c>
      <c r="C14853" t="s">
        <v>32563</v>
      </c>
      <c r="D14853" t="s">
        <v>20</v>
      </c>
      <c r="E14853" t="s">
        <v>39</v>
      </c>
      <c r="F14853">
        <v>0</v>
      </c>
      <c r="G14853">
        <v>0</v>
      </c>
      <c r="H14853">
        <v>11</v>
      </c>
      <c r="I14853" s="3">
        <v>6810.28</v>
      </c>
      <c r="J14853" s="3">
        <v>3471.34</v>
      </c>
      <c r="L14853">
        <v>3218</v>
      </c>
      <c r="M14853" t="s">
        <v>32564</v>
      </c>
      <c r="N14853" t="s">
        <v>30</v>
      </c>
      <c r="O14853" t="s">
        <v>31</v>
      </c>
      <c r="P14853" t="str">
        <f>"15204"</f>
        <v>15204</v>
      </c>
    </row>
    <row r="14854" spans="1:16" x14ac:dyDescent="0.25">
      <c r="A14854" t="str">
        <f>"1200042J00330    00"</f>
        <v>1200042J00330    00</v>
      </c>
      <c r="B14854" t="s">
        <v>32565</v>
      </c>
      <c r="C14854" t="s">
        <v>32566</v>
      </c>
      <c r="D14854" t="s">
        <v>20</v>
      </c>
      <c r="E14854" t="s">
        <v>39</v>
      </c>
      <c r="F14854">
        <v>0</v>
      </c>
      <c r="G14854">
        <v>0</v>
      </c>
      <c r="H14854">
        <v>19</v>
      </c>
      <c r="I14854" s="3">
        <v>4688.2700000000004</v>
      </c>
      <c r="J14854" s="3">
        <v>4157.97</v>
      </c>
      <c r="L14854">
        <v>1012</v>
      </c>
      <c r="M14854" t="s">
        <v>32567</v>
      </c>
      <c r="N14854" t="s">
        <v>30</v>
      </c>
      <c r="O14854" t="s">
        <v>31</v>
      </c>
      <c r="P14854" t="str">
        <f>"15204"</f>
        <v>15204</v>
      </c>
    </row>
    <row r="14855" spans="1:16" x14ac:dyDescent="0.25">
      <c r="A14855" t="str">
        <f>"1200042K00010    00"</f>
        <v>1200042K00010    00</v>
      </c>
      <c r="B14855" t="s">
        <v>32568</v>
      </c>
      <c r="C14855" t="s">
        <v>32569</v>
      </c>
      <c r="D14855" t="s">
        <v>20</v>
      </c>
      <c r="E14855" t="s">
        <v>39</v>
      </c>
      <c r="F14855">
        <v>0</v>
      </c>
      <c r="G14855">
        <v>0</v>
      </c>
      <c r="H14855">
        <v>2</v>
      </c>
      <c r="I14855" s="3">
        <v>1296.08</v>
      </c>
      <c r="J14855" s="3">
        <v>0</v>
      </c>
      <c r="K14855" t="s">
        <v>32570</v>
      </c>
      <c r="L14855">
        <v>406</v>
      </c>
      <c r="M14855" t="s">
        <v>31248</v>
      </c>
      <c r="N14855" t="s">
        <v>30</v>
      </c>
      <c r="O14855" t="s">
        <v>31</v>
      </c>
      <c r="P14855" t="str">
        <f>"15220"</f>
        <v>15220</v>
      </c>
    </row>
    <row r="14856" spans="1:16" x14ac:dyDescent="0.25">
      <c r="A14856" t="str">
        <f>"1200042K00015    00"</f>
        <v>1200042K00015    00</v>
      </c>
      <c r="B14856" t="s">
        <v>32571</v>
      </c>
      <c r="C14856" t="s">
        <v>32572</v>
      </c>
      <c r="D14856" t="s">
        <v>20</v>
      </c>
      <c r="E14856" t="s">
        <v>39</v>
      </c>
      <c r="F14856">
        <v>0</v>
      </c>
      <c r="G14856">
        <v>0</v>
      </c>
      <c r="H14856">
        <v>15</v>
      </c>
      <c r="I14856" s="3">
        <v>6581.09</v>
      </c>
      <c r="J14856" s="3">
        <v>5448.53</v>
      </c>
      <c r="L14856">
        <v>14900</v>
      </c>
      <c r="M14856" t="s">
        <v>32573</v>
      </c>
      <c r="N14856" t="s">
        <v>14556</v>
      </c>
      <c r="O14856" t="s">
        <v>1184</v>
      </c>
      <c r="P14856" t="str">
        <f>"20707"</f>
        <v>20707</v>
      </c>
    </row>
    <row r="14857" spans="1:16" x14ac:dyDescent="0.25">
      <c r="A14857" t="str">
        <f>"1200042K00017    00"</f>
        <v>1200042K00017    00</v>
      </c>
      <c r="B14857" t="s">
        <v>32574</v>
      </c>
      <c r="C14857" t="s">
        <v>32575</v>
      </c>
      <c r="D14857" t="s">
        <v>20</v>
      </c>
      <c r="E14857" t="s">
        <v>39</v>
      </c>
      <c r="F14857">
        <v>0</v>
      </c>
      <c r="G14857">
        <v>0</v>
      </c>
      <c r="H14857">
        <v>4</v>
      </c>
      <c r="I14857" s="3">
        <v>5493.53</v>
      </c>
      <c r="J14857" s="3">
        <v>428.23</v>
      </c>
      <c r="L14857">
        <v>106</v>
      </c>
      <c r="M14857" t="s">
        <v>32576</v>
      </c>
      <c r="N14857" t="s">
        <v>30</v>
      </c>
      <c r="O14857" t="s">
        <v>31</v>
      </c>
      <c r="P14857" t="str">
        <f>"15205"</f>
        <v>15205</v>
      </c>
    </row>
    <row r="14858" spans="1:16" x14ac:dyDescent="0.25">
      <c r="A14858" t="str">
        <f>"1200042K00061    00"</f>
        <v>1200042K00061    00</v>
      </c>
      <c r="B14858" t="s">
        <v>32577</v>
      </c>
      <c r="C14858" t="s">
        <v>32578</v>
      </c>
      <c r="D14858" t="s">
        <v>20</v>
      </c>
      <c r="E14858" t="s">
        <v>39</v>
      </c>
      <c r="F14858">
        <v>0</v>
      </c>
      <c r="G14858">
        <v>0</v>
      </c>
      <c r="H14858">
        <v>18</v>
      </c>
      <c r="I14858" s="3">
        <v>3052.16</v>
      </c>
      <c r="J14858" s="3">
        <v>2253.62</v>
      </c>
      <c r="L14858">
        <v>200</v>
      </c>
      <c r="M14858" t="s">
        <v>32579</v>
      </c>
      <c r="N14858" t="s">
        <v>30</v>
      </c>
      <c r="O14858" t="s">
        <v>31</v>
      </c>
      <c r="P14858" t="str">
        <f>"15236"</f>
        <v>15236</v>
      </c>
    </row>
    <row r="14859" spans="1:16" x14ac:dyDescent="0.25">
      <c r="A14859" t="str">
        <f>"1200042K00064    00"</f>
        <v>1200042K00064    00</v>
      </c>
      <c r="B14859" t="s">
        <v>32580</v>
      </c>
      <c r="C14859" t="s">
        <v>32581</v>
      </c>
      <c r="D14859" t="s">
        <v>20</v>
      </c>
      <c r="E14859" t="s">
        <v>39</v>
      </c>
      <c r="F14859">
        <v>0</v>
      </c>
      <c r="G14859">
        <v>0</v>
      </c>
      <c r="H14859">
        <v>4</v>
      </c>
      <c r="I14859" s="3">
        <v>1217.04</v>
      </c>
      <c r="J14859" s="3">
        <v>164.51</v>
      </c>
      <c r="L14859">
        <v>817</v>
      </c>
      <c r="M14859" t="s">
        <v>32567</v>
      </c>
      <c r="N14859" t="s">
        <v>30</v>
      </c>
      <c r="O14859" t="s">
        <v>31</v>
      </c>
      <c r="P14859" t="str">
        <f>"15204"</f>
        <v>15204</v>
      </c>
    </row>
    <row r="14860" spans="1:16" x14ac:dyDescent="0.25">
      <c r="A14860" t="str">
        <f>"1200042K00097    00"</f>
        <v>1200042K00097    00</v>
      </c>
      <c r="B14860" t="s">
        <v>32582</v>
      </c>
      <c r="C14860" t="s">
        <v>32583</v>
      </c>
      <c r="D14860" t="s">
        <v>20</v>
      </c>
      <c r="E14860" t="s">
        <v>39</v>
      </c>
      <c r="F14860">
        <v>0</v>
      </c>
      <c r="G14860">
        <v>0</v>
      </c>
      <c r="H14860">
        <v>12</v>
      </c>
      <c r="I14860" s="3">
        <v>5294.06</v>
      </c>
      <c r="J14860" s="3">
        <v>3709.7</v>
      </c>
      <c r="K14860" t="s">
        <v>32584</v>
      </c>
      <c r="L14860">
        <v>226</v>
      </c>
      <c r="M14860" t="s">
        <v>32585</v>
      </c>
      <c r="N14860" t="s">
        <v>22225</v>
      </c>
      <c r="O14860" t="s">
        <v>31</v>
      </c>
      <c r="P14860" t="str">
        <f>"15332"</f>
        <v>15332</v>
      </c>
    </row>
    <row r="14861" spans="1:16" x14ac:dyDescent="0.25">
      <c r="A14861" t="str">
        <f>"1200042K00177    00"</f>
        <v>1200042K00177    00</v>
      </c>
      <c r="B14861" t="s">
        <v>32586</v>
      </c>
      <c r="C14861" t="s">
        <v>32587</v>
      </c>
      <c r="D14861" t="s">
        <v>20</v>
      </c>
      <c r="E14861" t="s">
        <v>39</v>
      </c>
      <c r="F14861">
        <v>0</v>
      </c>
      <c r="G14861">
        <v>0</v>
      </c>
      <c r="H14861">
        <v>2</v>
      </c>
      <c r="I14861" s="3">
        <v>2199.54</v>
      </c>
      <c r="J14861" s="3">
        <v>0</v>
      </c>
      <c r="L14861">
        <v>400</v>
      </c>
      <c r="M14861" t="s">
        <v>32588</v>
      </c>
      <c r="N14861" t="s">
        <v>30</v>
      </c>
      <c r="O14861" t="s">
        <v>31</v>
      </c>
      <c r="P14861" t="str">
        <f>"15220"</f>
        <v>15220</v>
      </c>
    </row>
    <row r="14862" spans="1:16" x14ac:dyDescent="0.25">
      <c r="A14862" t="str">
        <f>"1200042K00250    01"</f>
        <v>1200042K00250    01</v>
      </c>
      <c r="B14862" t="s">
        <v>32589</v>
      </c>
      <c r="C14862" t="s">
        <v>32590</v>
      </c>
      <c r="D14862" t="s">
        <v>20</v>
      </c>
      <c r="E14862" t="s">
        <v>21</v>
      </c>
      <c r="F14862">
        <v>0</v>
      </c>
      <c r="G14862">
        <v>0</v>
      </c>
      <c r="H14862">
        <v>6</v>
      </c>
      <c r="I14862" s="3">
        <v>8003.89</v>
      </c>
      <c r="J14862" s="3">
        <v>1795.11</v>
      </c>
      <c r="L14862">
        <v>3102</v>
      </c>
      <c r="M14862" t="s">
        <v>31971</v>
      </c>
      <c r="N14862" t="s">
        <v>30</v>
      </c>
      <c r="O14862" t="s">
        <v>31</v>
      </c>
      <c r="P14862" t="str">
        <f>"15204"</f>
        <v>15204</v>
      </c>
    </row>
    <row r="14863" spans="1:16" x14ac:dyDescent="0.25">
      <c r="A14863" t="str">
        <f>"1200042L00008    00"</f>
        <v>1200042L00008    00</v>
      </c>
      <c r="B14863" t="s">
        <v>32591</v>
      </c>
      <c r="C14863" t="s">
        <v>32592</v>
      </c>
      <c r="D14863" t="s">
        <v>20</v>
      </c>
      <c r="E14863" t="s">
        <v>39</v>
      </c>
      <c r="F14863">
        <v>0</v>
      </c>
      <c r="G14863">
        <v>0</v>
      </c>
      <c r="H14863">
        <v>11</v>
      </c>
      <c r="I14863" s="3">
        <v>5536.46</v>
      </c>
      <c r="J14863" s="3">
        <v>2473.33</v>
      </c>
      <c r="L14863">
        <v>3429</v>
      </c>
      <c r="M14863" t="s">
        <v>32593</v>
      </c>
      <c r="N14863" t="s">
        <v>30</v>
      </c>
      <c r="O14863" t="s">
        <v>31</v>
      </c>
      <c r="P14863" t="str">
        <f>"15204"</f>
        <v>15204</v>
      </c>
    </row>
    <row r="14864" spans="1:16" x14ac:dyDescent="0.25">
      <c r="A14864" t="str">
        <f>"1200042L00015    00"</f>
        <v>1200042L00015    00</v>
      </c>
      <c r="B14864" t="s">
        <v>32594</v>
      </c>
      <c r="C14864" t="s">
        <v>32595</v>
      </c>
      <c r="D14864" t="s">
        <v>20</v>
      </c>
      <c r="E14864" t="s">
        <v>39</v>
      </c>
      <c r="F14864">
        <v>0</v>
      </c>
      <c r="G14864">
        <v>0</v>
      </c>
      <c r="H14864">
        <v>1</v>
      </c>
      <c r="I14864" s="3">
        <v>747.17</v>
      </c>
      <c r="J14864" s="3">
        <v>0</v>
      </c>
      <c r="K14864" t="s">
        <v>32596</v>
      </c>
      <c r="L14864">
        <v>3034</v>
      </c>
      <c r="M14864" t="s">
        <v>15633</v>
      </c>
      <c r="N14864" t="s">
        <v>30</v>
      </c>
      <c r="O14864" t="s">
        <v>31</v>
      </c>
      <c r="P14864" t="str">
        <f>"15204"</f>
        <v>15204</v>
      </c>
    </row>
    <row r="14865" spans="1:16" x14ac:dyDescent="0.25">
      <c r="A14865" t="str">
        <f>"1200042L00016    00"</f>
        <v>1200042L00016    00</v>
      </c>
      <c r="B14865" t="s">
        <v>32597</v>
      </c>
      <c r="C14865" t="s">
        <v>32598</v>
      </c>
      <c r="D14865" t="s">
        <v>20</v>
      </c>
      <c r="E14865" t="s">
        <v>39</v>
      </c>
      <c r="F14865">
        <v>0</v>
      </c>
      <c r="G14865">
        <v>0</v>
      </c>
      <c r="H14865">
        <v>1</v>
      </c>
      <c r="I14865" s="3">
        <v>383.59</v>
      </c>
      <c r="J14865" s="3">
        <v>0</v>
      </c>
      <c r="K14865" t="s">
        <v>445</v>
      </c>
      <c r="L14865">
        <v>1</v>
      </c>
      <c r="M14865" t="s">
        <v>1163</v>
      </c>
      <c r="N14865" t="s">
        <v>1164</v>
      </c>
      <c r="O14865" t="s">
        <v>108</v>
      </c>
      <c r="P14865" t="str">
        <f>"76262"</f>
        <v>76262</v>
      </c>
    </row>
    <row r="14866" spans="1:16" x14ac:dyDescent="0.25">
      <c r="A14866" t="str">
        <f>"1200042L00032    00"</f>
        <v>1200042L00032    00</v>
      </c>
      <c r="B14866" t="s">
        <v>32599</v>
      </c>
      <c r="C14866" t="s">
        <v>32600</v>
      </c>
      <c r="D14866" t="s">
        <v>20</v>
      </c>
      <c r="E14866" t="s">
        <v>39</v>
      </c>
      <c r="F14866">
        <v>0</v>
      </c>
      <c r="G14866">
        <v>0</v>
      </c>
      <c r="H14866">
        <v>1</v>
      </c>
      <c r="I14866" s="3">
        <v>638.52</v>
      </c>
      <c r="J14866" s="3">
        <v>0</v>
      </c>
      <c r="K14866" t="s">
        <v>32601</v>
      </c>
      <c r="L14866">
        <v>1317</v>
      </c>
      <c r="M14866" t="s">
        <v>32602</v>
      </c>
      <c r="N14866" t="s">
        <v>30</v>
      </c>
      <c r="O14866" t="s">
        <v>31</v>
      </c>
      <c r="P14866" t="str">
        <f>"15234"</f>
        <v>15234</v>
      </c>
    </row>
    <row r="14867" spans="1:16" x14ac:dyDescent="0.25">
      <c r="A14867" t="str">
        <f>"1200042L00036    00"</f>
        <v>1200042L00036    00</v>
      </c>
      <c r="B14867" t="s">
        <v>32603</v>
      </c>
      <c r="C14867" t="s">
        <v>32604</v>
      </c>
      <c r="D14867" t="s">
        <v>20</v>
      </c>
      <c r="E14867" t="s">
        <v>39</v>
      </c>
      <c r="F14867">
        <v>0</v>
      </c>
      <c r="G14867">
        <v>0</v>
      </c>
      <c r="H14867">
        <v>2</v>
      </c>
      <c r="I14867" s="3">
        <v>496.98</v>
      </c>
      <c r="J14867" s="3">
        <v>0</v>
      </c>
      <c r="L14867">
        <v>3025</v>
      </c>
      <c r="M14867" t="s">
        <v>15633</v>
      </c>
      <c r="N14867" t="s">
        <v>30</v>
      </c>
      <c r="O14867" t="s">
        <v>31</v>
      </c>
      <c r="P14867" t="str">
        <f>"15204"</f>
        <v>15204</v>
      </c>
    </row>
    <row r="14868" spans="1:16" x14ac:dyDescent="0.25">
      <c r="A14868" t="str">
        <f>"1200042L00037    00"</f>
        <v>1200042L00037    00</v>
      </c>
      <c r="B14868" t="s">
        <v>32278</v>
      </c>
      <c r="C14868" t="s">
        <v>32605</v>
      </c>
      <c r="D14868" t="s">
        <v>20</v>
      </c>
      <c r="E14868" t="s">
        <v>39</v>
      </c>
      <c r="F14868">
        <v>0</v>
      </c>
      <c r="G14868">
        <v>0</v>
      </c>
      <c r="H14868">
        <v>2</v>
      </c>
      <c r="I14868" s="3">
        <v>34.32</v>
      </c>
      <c r="J14868" s="3">
        <v>0</v>
      </c>
      <c r="K14868" t="s">
        <v>32288</v>
      </c>
      <c r="L14868">
        <v>10557</v>
      </c>
      <c r="M14868" t="s">
        <v>1305</v>
      </c>
      <c r="N14868" t="s">
        <v>139</v>
      </c>
      <c r="O14868" t="s">
        <v>31</v>
      </c>
      <c r="P14868" t="str">
        <f>"15090"</f>
        <v>15090</v>
      </c>
    </row>
    <row r="14869" spans="1:16" x14ac:dyDescent="0.25">
      <c r="A14869" t="str">
        <f>"1200042L00038    00"</f>
        <v>1200042L00038    00</v>
      </c>
      <c r="B14869" t="s">
        <v>32278</v>
      </c>
      <c r="C14869" t="s">
        <v>32606</v>
      </c>
      <c r="D14869" t="s">
        <v>20</v>
      </c>
      <c r="E14869" t="s">
        <v>39</v>
      </c>
      <c r="F14869">
        <v>0</v>
      </c>
      <c r="G14869">
        <v>0</v>
      </c>
      <c r="H14869">
        <v>2</v>
      </c>
      <c r="I14869" s="3">
        <v>2230.04</v>
      </c>
      <c r="J14869" s="3">
        <v>0</v>
      </c>
      <c r="K14869" t="s">
        <v>32288</v>
      </c>
      <c r="L14869">
        <v>10557</v>
      </c>
      <c r="M14869" t="s">
        <v>1305</v>
      </c>
      <c r="N14869" t="s">
        <v>139</v>
      </c>
      <c r="O14869" t="s">
        <v>31</v>
      </c>
      <c r="P14869" t="str">
        <f>"15090"</f>
        <v>15090</v>
      </c>
    </row>
    <row r="14870" spans="1:16" x14ac:dyDescent="0.25">
      <c r="A14870" t="str">
        <f>"1200042L00041    00"</f>
        <v>1200042L00041    00</v>
      </c>
      <c r="B14870" t="s">
        <v>32607</v>
      </c>
      <c r="C14870" t="s">
        <v>32608</v>
      </c>
      <c r="D14870" t="s">
        <v>20</v>
      </c>
      <c r="E14870" t="s">
        <v>39</v>
      </c>
      <c r="F14870">
        <v>0</v>
      </c>
      <c r="G14870">
        <v>0</v>
      </c>
      <c r="H14870">
        <v>3</v>
      </c>
      <c r="I14870" s="3">
        <v>1317.23</v>
      </c>
      <c r="J14870" s="3">
        <v>54.54</v>
      </c>
      <c r="K14870" t="s">
        <v>32609</v>
      </c>
      <c r="L14870">
        <v>133</v>
      </c>
      <c r="M14870" t="s">
        <v>32610</v>
      </c>
      <c r="N14870" t="s">
        <v>30</v>
      </c>
      <c r="O14870" t="s">
        <v>31</v>
      </c>
      <c r="P14870" t="str">
        <f>"15235"</f>
        <v>15235</v>
      </c>
    </row>
    <row r="14871" spans="1:16" x14ac:dyDescent="0.25">
      <c r="A14871" t="str">
        <f>"1200042L00053    00"</f>
        <v>1200042L00053    00</v>
      </c>
      <c r="B14871" t="s">
        <v>32611</v>
      </c>
      <c r="C14871" t="s">
        <v>32612</v>
      </c>
      <c r="D14871" t="s">
        <v>20</v>
      </c>
      <c r="E14871" t="s">
        <v>39</v>
      </c>
      <c r="F14871">
        <v>0</v>
      </c>
      <c r="G14871">
        <v>0</v>
      </c>
      <c r="H14871">
        <v>12</v>
      </c>
      <c r="I14871" s="3">
        <v>9382.1299999999992</v>
      </c>
      <c r="J14871" s="3">
        <v>4826.7</v>
      </c>
      <c r="L14871">
        <v>3010</v>
      </c>
      <c r="M14871" t="s">
        <v>26516</v>
      </c>
      <c r="N14871" t="s">
        <v>30</v>
      </c>
      <c r="O14871" t="s">
        <v>31</v>
      </c>
      <c r="P14871" t="str">
        <f>"15204"</f>
        <v>15204</v>
      </c>
    </row>
    <row r="14872" spans="1:16" x14ac:dyDescent="0.25">
      <c r="A14872" t="str">
        <f>"1200042L00056    00"</f>
        <v>1200042L00056    00</v>
      </c>
      <c r="B14872" t="s">
        <v>32613</v>
      </c>
      <c r="C14872" t="s">
        <v>32614</v>
      </c>
      <c r="D14872" t="s">
        <v>20</v>
      </c>
      <c r="E14872" t="s">
        <v>39</v>
      </c>
      <c r="F14872">
        <v>0</v>
      </c>
      <c r="G14872">
        <v>0</v>
      </c>
      <c r="H14872">
        <v>3</v>
      </c>
      <c r="I14872" s="3">
        <v>1300.07</v>
      </c>
      <c r="J14872" s="3">
        <v>65.400000000000006</v>
      </c>
      <c r="L14872">
        <v>3014</v>
      </c>
      <c r="M14872" t="s">
        <v>26516</v>
      </c>
      <c r="N14872" t="s">
        <v>30</v>
      </c>
      <c r="O14872" t="s">
        <v>31</v>
      </c>
      <c r="P14872" t="str">
        <f>"15204"</f>
        <v>15204</v>
      </c>
    </row>
    <row r="14873" spans="1:16" x14ac:dyDescent="0.25">
      <c r="A14873" t="str">
        <f>"1200042L00070    00"</f>
        <v>1200042L00070    00</v>
      </c>
      <c r="B14873" t="s">
        <v>32615</v>
      </c>
      <c r="C14873" t="s">
        <v>32616</v>
      </c>
      <c r="D14873" t="s">
        <v>20</v>
      </c>
      <c r="E14873" t="s">
        <v>39</v>
      </c>
      <c r="F14873">
        <v>0</v>
      </c>
      <c r="G14873">
        <v>0</v>
      </c>
      <c r="H14873">
        <v>6</v>
      </c>
      <c r="I14873" s="3">
        <v>6104.19</v>
      </c>
      <c r="J14873" s="3">
        <v>1364.55</v>
      </c>
      <c r="L14873">
        <v>10200</v>
      </c>
      <c r="M14873" t="s">
        <v>32617</v>
      </c>
      <c r="N14873" t="s">
        <v>1183</v>
      </c>
      <c r="O14873" t="s">
        <v>1184</v>
      </c>
      <c r="P14873" t="str">
        <f>"20772"</f>
        <v>20772</v>
      </c>
    </row>
    <row r="14874" spans="1:16" x14ac:dyDescent="0.25">
      <c r="A14874" t="str">
        <f>"1200042L00077    00"</f>
        <v>1200042L00077    00</v>
      </c>
      <c r="B14874" t="s">
        <v>32618</v>
      </c>
      <c r="C14874" t="s">
        <v>32619</v>
      </c>
      <c r="D14874" t="s">
        <v>20</v>
      </c>
      <c r="E14874" t="s">
        <v>39</v>
      </c>
      <c r="F14874">
        <v>0</v>
      </c>
      <c r="G14874">
        <v>0</v>
      </c>
      <c r="H14874">
        <v>6</v>
      </c>
      <c r="I14874" s="3">
        <v>2063.9499999999998</v>
      </c>
      <c r="J14874" s="3">
        <v>420.43</v>
      </c>
      <c r="K14874" t="s">
        <v>32620</v>
      </c>
      <c r="M14874" t="s">
        <v>32621</v>
      </c>
      <c r="N14874" t="s">
        <v>30</v>
      </c>
      <c r="O14874" t="s">
        <v>31</v>
      </c>
      <c r="P14874" t="str">
        <f>"15221"</f>
        <v>15221</v>
      </c>
    </row>
    <row r="14875" spans="1:16" x14ac:dyDescent="0.25">
      <c r="A14875" t="str">
        <f>"1200042L00098    00"</f>
        <v>1200042L00098    00</v>
      </c>
      <c r="B14875" t="s">
        <v>32622</v>
      </c>
      <c r="C14875" t="s">
        <v>32623</v>
      </c>
      <c r="D14875" t="s">
        <v>20</v>
      </c>
      <c r="E14875" t="s">
        <v>39</v>
      </c>
      <c r="F14875">
        <v>0</v>
      </c>
      <c r="G14875">
        <v>0</v>
      </c>
      <c r="H14875">
        <v>1</v>
      </c>
      <c r="I14875" s="3">
        <v>737.63</v>
      </c>
      <c r="J14875" s="3">
        <v>0</v>
      </c>
      <c r="K14875" t="s">
        <v>32624</v>
      </c>
      <c r="L14875">
        <v>537</v>
      </c>
      <c r="M14875" t="s">
        <v>31971</v>
      </c>
      <c r="N14875" t="s">
        <v>30</v>
      </c>
      <c r="O14875" t="s">
        <v>31</v>
      </c>
      <c r="P14875" t="str">
        <f>"15204"</f>
        <v>15204</v>
      </c>
    </row>
    <row r="14876" spans="1:16" x14ac:dyDescent="0.25">
      <c r="A14876" t="str">
        <f>"1200042L00106    00"</f>
        <v>1200042L00106    00</v>
      </c>
      <c r="B14876" t="s">
        <v>16192</v>
      </c>
      <c r="C14876" t="s">
        <v>32625</v>
      </c>
      <c r="D14876" t="s">
        <v>20</v>
      </c>
      <c r="E14876" t="s">
        <v>21</v>
      </c>
      <c r="F14876">
        <v>0</v>
      </c>
      <c r="G14876">
        <v>0</v>
      </c>
      <c r="H14876">
        <v>1</v>
      </c>
      <c r="I14876" s="3">
        <v>1361.33</v>
      </c>
      <c r="J14876" s="3">
        <v>0</v>
      </c>
      <c r="K14876" t="s">
        <v>16194</v>
      </c>
      <c r="L14876">
        <v>7526</v>
      </c>
      <c r="M14876" t="s">
        <v>13523</v>
      </c>
      <c r="N14876" t="s">
        <v>30</v>
      </c>
      <c r="O14876" t="s">
        <v>31</v>
      </c>
      <c r="P14876" t="str">
        <f>"15208"</f>
        <v>15208</v>
      </c>
    </row>
    <row r="14877" spans="1:16" x14ac:dyDescent="0.25">
      <c r="A14877" t="str">
        <f>"1200042L00110    00"</f>
        <v>1200042L00110    00</v>
      </c>
      <c r="B14877" t="s">
        <v>32626</v>
      </c>
      <c r="C14877" t="s">
        <v>32627</v>
      </c>
      <c r="D14877" t="s">
        <v>20</v>
      </c>
      <c r="E14877" t="s">
        <v>39</v>
      </c>
      <c r="F14877">
        <v>0</v>
      </c>
      <c r="G14877">
        <v>0</v>
      </c>
      <c r="H14877">
        <v>4</v>
      </c>
      <c r="I14877" s="3">
        <v>3528.04</v>
      </c>
      <c r="J14877" s="3">
        <v>237.51</v>
      </c>
      <c r="K14877" t="s">
        <v>8393</v>
      </c>
      <c r="M14877" t="s">
        <v>8394</v>
      </c>
      <c r="N14877" t="s">
        <v>8395</v>
      </c>
      <c r="O14877" t="s">
        <v>1616</v>
      </c>
      <c r="P14877" t="str">
        <f>"57709"</f>
        <v>57709</v>
      </c>
    </row>
    <row r="14878" spans="1:16" x14ac:dyDescent="0.25">
      <c r="A14878" t="str">
        <f>"1200042L00115    00"</f>
        <v>1200042L00115    00</v>
      </c>
      <c r="B14878" t="s">
        <v>32628</v>
      </c>
      <c r="C14878" t="s">
        <v>32629</v>
      </c>
      <c r="D14878" t="s">
        <v>20</v>
      </c>
      <c r="E14878" t="s">
        <v>39</v>
      </c>
      <c r="F14878">
        <v>0</v>
      </c>
      <c r="G14878">
        <v>0</v>
      </c>
      <c r="H14878">
        <v>1</v>
      </c>
      <c r="I14878" s="3">
        <v>503.65</v>
      </c>
      <c r="J14878" s="3">
        <v>0</v>
      </c>
      <c r="L14878">
        <v>3029</v>
      </c>
      <c r="M14878" t="s">
        <v>26516</v>
      </c>
      <c r="N14878" t="s">
        <v>30</v>
      </c>
      <c r="O14878" t="s">
        <v>31</v>
      </c>
      <c r="P14878" t="str">
        <f>"15204"</f>
        <v>15204</v>
      </c>
    </row>
    <row r="14879" spans="1:16" x14ac:dyDescent="0.25">
      <c r="A14879" t="str">
        <f>"1200042L00121    00"</f>
        <v>1200042L00121    00</v>
      </c>
      <c r="B14879" t="s">
        <v>32630</v>
      </c>
      <c r="C14879" t="s">
        <v>32631</v>
      </c>
      <c r="E14879" t="s">
        <v>21</v>
      </c>
      <c r="F14879">
        <v>0</v>
      </c>
      <c r="G14879">
        <v>0</v>
      </c>
      <c r="H14879">
        <v>2</v>
      </c>
      <c r="I14879" s="3">
        <v>413.25</v>
      </c>
      <c r="J14879" s="3">
        <v>287.24</v>
      </c>
      <c r="K14879" t="s">
        <v>32632</v>
      </c>
      <c r="L14879">
        <v>3011</v>
      </c>
      <c r="M14879" t="s">
        <v>26516</v>
      </c>
      <c r="N14879" t="s">
        <v>30</v>
      </c>
      <c r="O14879" t="s">
        <v>31</v>
      </c>
      <c r="P14879" t="str">
        <f>"15204"</f>
        <v>15204</v>
      </c>
    </row>
    <row r="14880" spans="1:16" x14ac:dyDescent="0.25">
      <c r="A14880" t="str">
        <f>"1200042L00144    00"</f>
        <v>1200042L00144    00</v>
      </c>
      <c r="B14880" t="s">
        <v>32633</v>
      </c>
      <c r="C14880" t="s">
        <v>32634</v>
      </c>
      <c r="E14880" t="s">
        <v>39</v>
      </c>
      <c r="F14880">
        <v>0</v>
      </c>
      <c r="G14880">
        <v>0</v>
      </c>
      <c r="H14880">
        <v>1</v>
      </c>
      <c r="I14880" s="3">
        <v>646.65</v>
      </c>
      <c r="J14880" s="3">
        <v>0</v>
      </c>
      <c r="L14880">
        <v>3032</v>
      </c>
      <c r="M14880" t="s">
        <v>32635</v>
      </c>
      <c r="N14880" t="s">
        <v>30</v>
      </c>
      <c r="O14880" t="s">
        <v>31</v>
      </c>
      <c r="P14880" t="str">
        <f>"15204"</f>
        <v>15204</v>
      </c>
    </row>
    <row r="14881" spans="1:16" x14ac:dyDescent="0.25">
      <c r="A14881" t="str">
        <f>"1200042L00146    00"</f>
        <v>1200042L00146    00</v>
      </c>
      <c r="B14881" t="s">
        <v>32636</v>
      </c>
      <c r="C14881" t="s">
        <v>32637</v>
      </c>
      <c r="E14881" t="s">
        <v>39</v>
      </c>
      <c r="F14881">
        <v>0</v>
      </c>
      <c r="G14881">
        <v>0</v>
      </c>
      <c r="H14881">
        <v>1</v>
      </c>
      <c r="I14881" s="3">
        <v>553.27</v>
      </c>
      <c r="J14881" s="3">
        <v>0</v>
      </c>
      <c r="K14881" t="s">
        <v>32638</v>
      </c>
      <c r="L14881">
        <v>315</v>
      </c>
      <c r="M14881" t="s">
        <v>5012</v>
      </c>
      <c r="N14881" t="s">
        <v>2008</v>
      </c>
      <c r="O14881" t="s">
        <v>31</v>
      </c>
      <c r="P14881" t="str">
        <f>"16066"</f>
        <v>16066</v>
      </c>
    </row>
    <row r="14882" spans="1:16" x14ac:dyDescent="0.25">
      <c r="A14882" t="str">
        <f>"1200042L00155    00"</f>
        <v>1200042L00155    00</v>
      </c>
      <c r="B14882" t="s">
        <v>32639</v>
      </c>
      <c r="C14882" t="s">
        <v>32640</v>
      </c>
      <c r="D14882" t="s">
        <v>20</v>
      </c>
      <c r="E14882" t="s">
        <v>39</v>
      </c>
      <c r="F14882">
        <v>0</v>
      </c>
      <c r="G14882">
        <v>0</v>
      </c>
      <c r="H14882">
        <v>1</v>
      </c>
      <c r="I14882" s="3">
        <v>764.79</v>
      </c>
      <c r="J14882" s="3">
        <v>0</v>
      </c>
      <c r="L14882">
        <v>3824</v>
      </c>
      <c r="M14882" t="s">
        <v>32641</v>
      </c>
      <c r="N14882" t="s">
        <v>546</v>
      </c>
      <c r="O14882" t="s">
        <v>31</v>
      </c>
      <c r="P14882" t="str">
        <f>"15044"</f>
        <v>15044</v>
      </c>
    </row>
    <row r="14883" spans="1:16" x14ac:dyDescent="0.25">
      <c r="A14883" t="str">
        <f>"1200042L00164    00"</f>
        <v>1200042L00164    00</v>
      </c>
      <c r="B14883" t="s">
        <v>32639</v>
      </c>
      <c r="C14883" t="s">
        <v>32642</v>
      </c>
      <c r="E14883" t="s">
        <v>39</v>
      </c>
      <c r="F14883">
        <v>0</v>
      </c>
      <c r="G14883">
        <v>0</v>
      </c>
      <c r="H14883">
        <v>1</v>
      </c>
      <c r="I14883" s="3">
        <v>558.54999999999995</v>
      </c>
      <c r="J14883" s="3">
        <v>0</v>
      </c>
      <c r="L14883">
        <v>3824</v>
      </c>
      <c r="M14883" t="s">
        <v>32641</v>
      </c>
      <c r="N14883" t="s">
        <v>546</v>
      </c>
      <c r="O14883" t="s">
        <v>31</v>
      </c>
      <c r="P14883" t="str">
        <f>"15044"</f>
        <v>15044</v>
      </c>
    </row>
    <row r="14884" spans="1:16" x14ac:dyDescent="0.25">
      <c r="A14884" t="str">
        <f>"1200042L00165    00"</f>
        <v>1200042L00165    00</v>
      </c>
      <c r="B14884" t="s">
        <v>32643</v>
      </c>
      <c r="C14884" t="s">
        <v>32644</v>
      </c>
      <c r="D14884" t="s">
        <v>20</v>
      </c>
      <c r="E14884" t="s">
        <v>39</v>
      </c>
      <c r="F14884">
        <v>0</v>
      </c>
      <c r="G14884">
        <v>0</v>
      </c>
      <c r="H14884">
        <v>4</v>
      </c>
      <c r="I14884" s="3">
        <v>374.85</v>
      </c>
      <c r="J14884" s="3">
        <v>122.98</v>
      </c>
      <c r="L14884">
        <v>3128</v>
      </c>
      <c r="M14884" t="s">
        <v>32635</v>
      </c>
      <c r="N14884" t="s">
        <v>30</v>
      </c>
      <c r="O14884" t="s">
        <v>31</v>
      </c>
      <c r="P14884" t="str">
        <f>"15204"</f>
        <v>15204</v>
      </c>
    </row>
    <row r="14885" spans="1:16" x14ac:dyDescent="0.25">
      <c r="A14885" t="str">
        <f>"1200042L00166    00"</f>
        <v>1200042L00166    00</v>
      </c>
      <c r="B14885" t="s">
        <v>32645</v>
      </c>
      <c r="C14885" t="s">
        <v>32646</v>
      </c>
      <c r="D14885" t="s">
        <v>20</v>
      </c>
      <c r="E14885" t="s">
        <v>39</v>
      </c>
      <c r="F14885">
        <v>0</v>
      </c>
      <c r="G14885">
        <v>0</v>
      </c>
      <c r="H14885">
        <v>4</v>
      </c>
      <c r="I14885" s="3">
        <v>4376.1400000000003</v>
      </c>
      <c r="J14885" s="3">
        <v>431.48</v>
      </c>
      <c r="K14885" t="s">
        <v>32647</v>
      </c>
      <c r="L14885">
        <v>1435</v>
      </c>
      <c r="M14885" t="s">
        <v>13390</v>
      </c>
      <c r="N14885" t="s">
        <v>30</v>
      </c>
      <c r="O14885" t="s">
        <v>31</v>
      </c>
      <c r="P14885" t="str">
        <f>"15209"</f>
        <v>15209</v>
      </c>
    </row>
    <row r="14886" spans="1:16" x14ac:dyDescent="0.25">
      <c r="A14886" t="str">
        <f>"1200042L00167    00"</f>
        <v>1200042L00167    00</v>
      </c>
      <c r="B14886" t="s">
        <v>32648</v>
      </c>
      <c r="C14886" t="s">
        <v>32649</v>
      </c>
      <c r="D14886" t="s">
        <v>20</v>
      </c>
      <c r="E14886" t="s">
        <v>39</v>
      </c>
      <c r="F14886">
        <v>0</v>
      </c>
      <c r="G14886">
        <v>0</v>
      </c>
      <c r="H14886">
        <v>1</v>
      </c>
      <c r="I14886" s="3">
        <v>320.20999999999998</v>
      </c>
      <c r="J14886" s="3">
        <v>0</v>
      </c>
      <c r="M14886" t="s">
        <v>32650</v>
      </c>
      <c r="N14886" t="s">
        <v>30</v>
      </c>
      <c r="O14886" t="s">
        <v>31</v>
      </c>
      <c r="P14886" t="str">
        <f>"15244"</f>
        <v>15244</v>
      </c>
    </row>
    <row r="14887" spans="1:16" x14ac:dyDescent="0.25">
      <c r="A14887" t="str">
        <f>"1200042L00181    00"</f>
        <v>1200042L00181    00</v>
      </c>
      <c r="B14887" t="s">
        <v>32651</v>
      </c>
      <c r="C14887" t="s">
        <v>32652</v>
      </c>
      <c r="D14887" t="s">
        <v>20</v>
      </c>
      <c r="E14887" t="s">
        <v>39</v>
      </c>
      <c r="F14887">
        <v>0</v>
      </c>
      <c r="G14887">
        <v>0</v>
      </c>
      <c r="H14887">
        <v>2</v>
      </c>
      <c r="I14887" s="3">
        <v>1064.52</v>
      </c>
      <c r="J14887" s="3">
        <v>0</v>
      </c>
      <c r="L14887">
        <v>3137</v>
      </c>
      <c r="M14887" t="s">
        <v>32635</v>
      </c>
      <c r="N14887" t="s">
        <v>30</v>
      </c>
      <c r="O14887" t="s">
        <v>31</v>
      </c>
      <c r="P14887" t="str">
        <f>"15204"</f>
        <v>15204</v>
      </c>
    </row>
    <row r="14888" spans="1:16" x14ac:dyDescent="0.25">
      <c r="A14888" t="str">
        <f>"1200042L00184    00"</f>
        <v>1200042L00184    00</v>
      </c>
      <c r="B14888" t="s">
        <v>32636</v>
      </c>
      <c r="C14888" t="s">
        <v>32653</v>
      </c>
      <c r="E14888" t="s">
        <v>39</v>
      </c>
      <c r="F14888">
        <v>0</v>
      </c>
      <c r="G14888">
        <v>0</v>
      </c>
      <c r="H14888">
        <v>1</v>
      </c>
      <c r="I14888" s="3">
        <v>345.35</v>
      </c>
      <c r="J14888" s="3">
        <v>0</v>
      </c>
      <c r="K14888" t="s">
        <v>32638</v>
      </c>
      <c r="L14888">
        <v>315</v>
      </c>
      <c r="M14888" t="s">
        <v>5012</v>
      </c>
      <c r="N14888" t="s">
        <v>2008</v>
      </c>
      <c r="O14888" t="s">
        <v>31</v>
      </c>
      <c r="P14888" t="str">
        <f>"16066"</f>
        <v>16066</v>
      </c>
    </row>
    <row r="14889" spans="1:16" x14ac:dyDescent="0.25">
      <c r="A14889" t="str">
        <f>"1200042L00189    00"</f>
        <v>1200042L00189    00</v>
      </c>
      <c r="B14889" t="s">
        <v>32654</v>
      </c>
      <c r="C14889" t="s">
        <v>32655</v>
      </c>
      <c r="D14889" t="s">
        <v>20</v>
      </c>
      <c r="E14889" t="s">
        <v>39</v>
      </c>
      <c r="F14889">
        <v>0</v>
      </c>
      <c r="G14889">
        <v>0</v>
      </c>
      <c r="H14889">
        <v>1</v>
      </c>
      <c r="I14889" s="3">
        <v>234.9</v>
      </c>
      <c r="J14889" s="3">
        <v>0</v>
      </c>
      <c r="L14889">
        <v>3117</v>
      </c>
      <c r="M14889" t="s">
        <v>32635</v>
      </c>
      <c r="N14889" t="s">
        <v>30</v>
      </c>
      <c r="O14889" t="s">
        <v>31</v>
      </c>
      <c r="P14889" t="str">
        <f>"15204"</f>
        <v>15204</v>
      </c>
    </row>
    <row r="14890" spans="1:16" x14ac:dyDescent="0.25">
      <c r="A14890" t="str">
        <f>"1200042L00195    00"</f>
        <v>1200042L00195    00</v>
      </c>
      <c r="B14890" t="s">
        <v>32656</v>
      </c>
      <c r="C14890" t="s">
        <v>32657</v>
      </c>
      <c r="E14890" t="s">
        <v>39</v>
      </c>
      <c r="F14890">
        <v>0</v>
      </c>
      <c r="G14890">
        <v>0</v>
      </c>
      <c r="H14890">
        <v>11</v>
      </c>
      <c r="I14890" s="3">
        <v>12061.12</v>
      </c>
      <c r="J14890" s="3">
        <v>6857.47</v>
      </c>
      <c r="L14890">
        <v>3103</v>
      </c>
      <c r="M14890" t="s">
        <v>32635</v>
      </c>
      <c r="N14890" t="s">
        <v>30</v>
      </c>
      <c r="O14890" t="s">
        <v>31</v>
      </c>
      <c r="P14890" t="str">
        <f>"15204"</f>
        <v>15204</v>
      </c>
    </row>
    <row r="14891" spans="1:16" x14ac:dyDescent="0.25">
      <c r="A14891" t="str">
        <f>"1200042L00196    00"</f>
        <v>1200042L00196    00</v>
      </c>
      <c r="B14891" t="s">
        <v>32658</v>
      </c>
      <c r="C14891" t="s">
        <v>32659</v>
      </c>
      <c r="D14891" t="s">
        <v>20</v>
      </c>
      <c r="E14891" t="s">
        <v>39</v>
      </c>
      <c r="F14891">
        <v>0</v>
      </c>
      <c r="G14891">
        <v>0</v>
      </c>
      <c r="H14891">
        <v>2</v>
      </c>
      <c r="I14891" s="3">
        <v>1296.08</v>
      </c>
      <c r="J14891" s="3">
        <v>0</v>
      </c>
      <c r="K14891" t="s">
        <v>32660</v>
      </c>
      <c r="L14891">
        <v>3101</v>
      </c>
      <c r="M14891" t="s">
        <v>32635</v>
      </c>
      <c r="N14891" t="s">
        <v>30</v>
      </c>
      <c r="O14891" t="s">
        <v>31</v>
      </c>
      <c r="P14891" t="str">
        <f>"15204"</f>
        <v>15204</v>
      </c>
    </row>
    <row r="14892" spans="1:16" x14ac:dyDescent="0.25">
      <c r="A14892" t="str">
        <f>"1200042L00198    00"</f>
        <v>1200042L00198    00</v>
      </c>
      <c r="B14892" t="s">
        <v>32661</v>
      </c>
      <c r="C14892" t="s">
        <v>32662</v>
      </c>
      <c r="D14892" t="s">
        <v>20</v>
      </c>
      <c r="E14892" t="s">
        <v>39</v>
      </c>
      <c r="F14892">
        <v>0</v>
      </c>
      <c r="G14892">
        <v>0</v>
      </c>
      <c r="H14892">
        <v>4</v>
      </c>
      <c r="I14892" s="3">
        <v>4917.7700000000004</v>
      </c>
      <c r="J14892" s="3">
        <v>37.24</v>
      </c>
      <c r="L14892">
        <v>3043</v>
      </c>
      <c r="M14892" t="s">
        <v>32635</v>
      </c>
      <c r="N14892" t="s">
        <v>30</v>
      </c>
      <c r="O14892" t="s">
        <v>31</v>
      </c>
      <c r="P14892" t="str">
        <f>"15204"</f>
        <v>15204</v>
      </c>
    </row>
    <row r="14893" spans="1:16" x14ac:dyDescent="0.25">
      <c r="A14893" t="str">
        <f>"1200042L00202    00"</f>
        <v>1200042L00202    00</v>
      </c>
      <c r="B14893" t="s">
        <v>32663</v>
      </c>
      <c r="C14893" t="s">
        <v>32664</v>
      </c>
      <c r="E14893" t="s">
        <v>21</v>
      </c>
      <c r="F14893">
        <v>0</v>
      </c>
      <c r="G14893">
        <v>0</v>
      </c>
      <c r="H14893">
        <v>1</v>
      </c>
      <c r="I14893" s="3">
        <v>127.05</v>
      </c>
      <c r="J14893" s="3">
        <v>62.46</v>
      </c>
      <c r="L14893">
        <v>200</v>
      </c>
      <c r="M14893" t="s">
        <v>3378</v>
      </c>
      <c r="N14893" t="s">
        <v>30</v>
      </c>
      <c r="O14893" t="s">
        <v>31</v>
      </c>
      <c r="P14893" t="str">
        <f>"15238"</f>
        <v>15238</v>
      </c>
    </row>
    <row r="14894" spans="1:16" x14ac:dyDescent="0.25">
      <c r="A14894" t="str">
        <f>"1200042L00230    02"</f>
        <v>1200042L00230    02</v>
      </c>
      <c r="B14894" t="s">
        <v>32663</v>
      </c>
      <c r="C14894" t="s">
        <v>32665</v>
      </c>
      <c r="E14894" t="s">
        <v>21</v>
      </c>
      <c r="F14894">
        <v>0</v>
      </c>
      <c r="G14894">
        <v>0</v>
      </c>
      <c r="H14894">
        <v>1</v>
      </c>
      <c r="I14894" s="3">
        <v>1270.5</v>
      </c>
      <c r="J14894" s="3">
        <v>624.64</v>
      </c>
      <c r="L14894">
        <v>200</v>
      </c>
      <c r="M14894" t="s">
        <v>3378</v>
      </c>
      <c r="N14894" t="s">
        <v>30</v>
      </c>
      <c r="O14894" t="s">
        <v>31</v>
      </c>
      <c r="P14894" t="str">
        <f>"15238"</f>
        <v>15238</v>
      </c>
    </row>
    <row r="14895" spans="1:16" x14ac:dyDescent="0.25">
      <c r="A14895" t="str">
        <f>"1200042L00244    00"</f>
        <v>1200042L00244    00</v>
      </c>
      <c r="B14895" t="s">
        <v>32666</v>
      </c>
      <c r="C14895" t="s">
        <v>32667</v>
      </c>
      <c r="D14895" t="s">
        <v>20</v>
      </c>
      <c r="E14895" t="s">
        <v>39</v>
      </c>
      <c r="F14895">
        <v>0</v>
      </c>
      <c r="G14895">
        <v>0</v>
      </c>
      <c r="H14895">
        <v>11</v>
      </c>
      <c r="I14895" s="3">
        <v>6602.01</v>
      </c>
      <c r="J14895" s="3">
        <v>2158.25</v>
      </c>
      <c r="L14895">
        <v>3128</v>
      </c>
      <c r="M14895" t="s">
        <v>16891</v>
      </c>
      <c r="N14895" t="s">
        <v>30</v>
      </c>
      <c r="O14895" t="s">
        <v>31</v>
      </c>
      <c r="P14895" t="str">
        <f>"15204"</f>
        <v>15204</v>
      </c>
    </row>
    <row r="14896" spans="1:16" x14ac:dyDescent="0.25">
      <c r="A14896" t="str">
        <f>"1200042L00249    00"</f>
        <v>1200042L00249    00</v>
      </c>
      <c r="B14896" t="s">
        <v>32668</v>
      </c>
      <c r="C14896" t="s">
        <v>32669</v>
      </c>
      <c r="D14896" t="s">
        <v>20</v>
      </c>
      <c r="E14896" t="s">
        <v>39</v>
      </c>
      <c r="F14896">
        <v>0</v>
      </c>
      <c r="G14896">
        <v>0</v>
      </c>
      <c r="H14896">
        <v>2</v>
      </c>
      <c r="I14896" s="3">
        <v>1300.8800000000001</v>
      </c>
      <c r="J14896" s="3">
        <v>0</v>
      </c>
      <c r="L14896">
        <v>3148</v>
      </c>
      <c r="M14896" t="s">
        <v>32371</v>
      </c>
      <c r="N14896" t="s">
        <v>30</v>
      </c>
      <c r="O14896" t="s">
        <v>31</v>
      </c>
      <c r="P14896" t="str">
        <f>"15204"</f>
        <v>15204</v>
      </c>
    </row>
    <row r="14897" spans="1:16" x14ac:dyDescent="0.25">
      <c r="A14897" t="str">
        <f>"1200042L00258    00"</f>
        <v>1200042L00258    00</v>
      </c>
      <c r="B14897" t="s">
        <v>32670</v>
      </c>
      <c r="C14897" t="s">
        <v>32671</v>
      </c>
      <c r="D14897" t="s">
        <v>20</v>
      </c>
      <c r="E14897" t="s">
        <v>39</v>
      </c>
      <c r="F14897">
        <v>0</v>
      </c>
      <c r="G14897">
        <v>0</v>
      </c>
      <c r="H14897">
        <v>1</v>
      </c>
      <c r="I14897" s="3">
        <v>924.9</v>
      </c>
      <c r="J14897" s="3">
        <v>0</v>
      </c>
      <c r="L14897">
        <v>3157</v>
      </c>
      <c r="M14897" t="s">
        <v>32371</v>
      </c>
      <c r="N14897" t="s">
        <v>30</v>
      </c>
      <c r="O14897" t="s">
        <v>31</v>
      </c>
      <c r="P14897" t="str">
        <f>"15204"</f>
        <v>15204</v>
      </c>
    </row>
    <row r="14898" spans="1:16" x14ac:dyDescent="0.25">
      <c r="A14898" t="str">
        <f>"1200042L00269    00"</f>
        <v>1200042L00269    00</v>
      </c>
      <c r="B14898" t="s">
        <v>32672</v>
      </c>
      <c r="C14898" t="s">
        <v>32673</v>
      </c>
      <c r="D14898" t="s">
        <v>20</v>
      </c>
      <c r="E14898" t="s">
        <v>39</v>
      </c>
      <c r="F14898">
        <v>0</v>
      </c>
      <c r="G14898">
        <v>0</v>
      </c>
      <c r="H14898">
        <v>6</v>
      </c>
      <c r="I14898" s="3">
        <v>4120.5</v>
      </c>
      <c r="J14898" s="3">
        <v>1699.54</v>
      </c>
      <c r="L14898">
        <v>900</v>
      </c>
      <c r="M14898" t="s">
        <v>32674</v>
      </c>
      <c r="N14898" t="s">
        <v>30</v>
      </c>
      <c r="O14898" t="s">
        <v>31</v>
      </c>
      <c r="P14898" t="str">
        <f>"15212"</f>
        <v>15212</v>
      </c>
    </row>
    <row r="14899" spans="1:16" x14ac:dyDescent="0.25">
      <c r="A14899" t="str">
        <f>"1200042L00278    00"</f>
        <v>1200042L00278    00</v>
      </c>
      <c r="B14899" t="s">
        <v>32675</v>
      </c>
      <c r="C14899" t="s">
        <v>32676</v>
      </c>
      <c r="E14899" t="s">
        <v>39</v>
      </c>
      <c r="F14899">
        <v>0</v>
      </c>
      <c r="G14899">
        <v>0</v>
      </c>
      <c r="H14899">
        <v>7</v>
      </c>
      <c r="I14899" s="3">
        <v>2064.4</v>
      </c>
      <c r="J14899" s="3">
        <v>2499.89</v>
      </c>
      <c r="L14899">
        <v>3107</v>
      </c>
      <c r="M14899" t="s">
        <v>32371</v>
      </c>
      <c r="N14899" t="s">
        <v>30</v>
      </c>
      <c r="O14899" t="s">
        <v>31</v>
      </c>
      <c r="P14899" t="str">
        <f>"15204"</f>
        <v>15204</v>
      </c>
    </row>
    <row r="14900" spans="1:16" x14ac:dyDescent="0.25">
      <c r="A14900" t="str">
        <f>"1200042L00279    00"</f>
        <v>1200042L00279    00</v>
      </c>
      <c r="B14900" t="s">
        <v>32278</v>
      </c>
      <c r="C14900" t="s">
        <v>32677</v>
      </c>
      <c r="D14900" t="s">
        <v>20</v>
      </c>
      <c r="E14900" t="s">
        <v>39</v>
      </c>
      <c r="F14900">
        <v>0</v>
      </c>
      <c r="G14900">
        <v>0</v>
      </c>
      <c r="H14900">
        <v>1</v>
      </c>
      <c r="I14900" s="3">
        <v>1336.11</v>
      </c>
      <c r="J14900" s="3">
        <v>0</v>
      </c>
      <c r="L14900">
        <v>10557</v>
      </c>
      <c r="M14900" t="s">
        <v>1305</v>
      </c>
      <c r="N14900" t="s">
        <v>139</v>
      </c>
      <c r="O14900" t="s">
        <v>31</v>
      </c>
      <c r="P14900" t="str">
        <f>"15090"</f>
        <v>15090</v>
      </c>
    </row>
    <row r="14901" spans="1:16" x14ac:dyDescent="0.25">
      <c r="A14901" t="str">
        <f>"1200042L00283    00"</f>
        <v>1200042L00283    00</v>
      </c>
      <c r="B14901" t="s">
        <v>32678</v>
      </c>
      <c r="C14901" t="s">
        <v>32679</v>
      </c>
      <c r="D14901" t="s">
        <v>20</v>
      </c>
      <c r="E14901" t="s">
        <v>21</v>
      </c>
      <c r="F14901">
        <v>0</v>
      </c>
      <c r="G14901">
        <v>0</v>
      </c>
      <c r="H14901">
        <v>6</v>
      </c>
      <c r="I14901" s="3">
        <v>6493.89</v>
      </c>
      <c r="J14901" s="3">
        <v>1376.88</v>
      </c>
      <c r="L14901">
        <v>3025</v>
      </c>
      <c r="M14901" t="s">
        <v>32371</v>
      </c>
      <c r="N14901" t="s">
        <v>30</v>
      </c>
      <c r="O14901" t="s">
        <v>31</v>
      </c>
      <c r="P14901" t="str">
        <f>"15204"</f>
        <v>15204</v>
      </c>
    </row>
    <row r="14902" spans="1:16" x14ac:dyDescent="0.25">
      <c r="A14902" t="str">
        <f>"1200042L00303    00"</f>
        <v>1200042L00303    00</v>
      </c>
      <c r="B14902" t="s">
        <v>32661</v>
      </c>
      <c r="C14902" t="s">
        <v>32680</v>
      </c>
      <c r="D14902" t="s">
        <v>20</v>
      </c>
      <c r="E14902" t="s">
        <v>21</v>
      </c>
      <c r="F14902">
        <v>0</v>
      </c>
      <c r="G14902">
        <v>0</v>
      </c>
      <c r="H14902">
        <v>3</v>
      </c>
      <c r="I14902" s="3">
        <v>6821.58</v>
      </c>
      <c r="J14902" s="3">
        <v>454.76</v>
      </c>
      <c r="L14902">
        <v>109</v>
      </c>
      <c r="M14902" t="s">
        <v>32681</v>
      </c>
      <c r="N14902" t="s">
        <v>2222</v>
      </c>
      <c r="O14902" t="s">
        <v>31</v>
      </c>
      <c r="P14902" t="str">
        <f>"15015"</f>
        <v>15015</v>
      </c>
    </row>
    <row r="14903" spans="1:16" x14ac:dyDescent="0.25">
      <c r="A14903" t="str">
        <f>"1200042M00012    00"</f>
        <v>1200042M00012    00</v>
      </c>
      <c r="B14903" t="s">
        <v>32682</v>
      </c>
      <c r="C14903" t="s">
        <v>32683</v>
      </c>
      <c r="E14903" t="s">
        <v>39</v>
      </c>
      <c r="F14903">
        <v>0</v>
      </c>
      <c r="G14903">
        <v>0</v>
      </c>
      <c r="H14903">
        <v>3</v>
      </c>
      <c r="I14903" s="3">
        <v>4131.26</v>
      </c>
      <c r="J14903" s="3">
        <v>2873.01</v>
      </c>
      <c r="K14903" t="s">
        <v>32684</v>
      </c>
      <c r="M14903" t="s">
        <v>32650</v>
      </c>
      <c r="N14903" t="s">
        <v>30</v>
      </c>
      <c r="O14903" t="s">
        <v>31</v>
      </c>
      <c r="P14903" t="str">
        <f>"15224"</f>
        <v>15224</v>
      </c>
    </row>
    <row r="14904" spans="1:16" x14ac:dyDescent="0.25">
      <c r="A14904" t="str">
        <f>"1200042M00014    00"</f>
        <v>1200042M00014    00</v>
      </c>
      <c r="B14904" t="s">
        <v>32685</v>
      </c>
      <c r="C14904" t="s">
        <v>32686</v>
      </c>
      <c r="D14904" t="s">
        <v>20</v>
      </c>
      <c r="E14904" t="s">
        <v>39</v>
      </c>
      <c r="F14904">
        <v>0</v>
      </c>
      <c r="G14904">
        <v>0</v>
      </c>
      <c r="H14904">
        <v>7</v>
      </c>
      <c r="I14904" s="3">
        <v>7356.92</v>
      </c>
      <c r="J14904" s="3">
        <v>1800.08</v>
      </c>
      <c r="L14904">
        <v>2308</v>
      </c>
      <c r="M14904" t="s">
        <v>5665</v>
      </c>
      <c r="N14904" t="s">
        <v>30</v>
      </c>
      <c r="O14904" t="s">
        <v>31</v>
      </c>
      <c r="P14904" t="str">
        <f>"15218"</f>
        <v>15218</v>
      </c>
    </row>
    <row r="14905" spans="1:16" x14ac:dyDescent="0.25">
      <c r="A14905" t="str">
        <f>"1200042M00016    00"</f>
        <v>1200042M00016    00</v>
      </c>
      <c r="B14905" t="s">
        <v>32687</v>
      </c>
      <c r="C14905" t="s">
        <v>32688</v>
      </c>
      <c r="D14905" t="s">
        <v>20</v>
      </c>
      <c r="E14905" t="s">
        <v>39</v>
      </c>
      <c r="F14905">
        <v>0</v>
      </c>
      <c r="G14905">
        <v>0</v>
      </c>
      <c r="H14905">
        <v>14</v>
      </c>
      <c r="I14905" s="3">
        <v>26001.58</v>
      </c>
      <c r="J14905" s="3">
        <v>21876.400000000001</v>
      </c>
      <c r="L14905">
        <v>465</v>
      </c>
      <c r="M14905" t="s">
        <v>32689</v>
      </c>
      <c r="N14905" t="s">
        <v>30</v>
      </c>
      <c r="O14905" t="s">
        <v>31</v>
      </c>
      <c r="P14905" t="str">
        <f>"15235"</f>
        <v>15235</v>
      </c>
    </row>
    <row r="14906" spans="1:16" x14ac:dyDescent="0.25">
      <c r="A14906" t="str">
        <f>"1200042M00017    00"</f>
        <v>1200042M00017    00</v>
      </c>
      <c r="B14906" t="s">
        <v>32690</v>
      </c>
      <c r="C14906" t="s">
        <v>32691</v>
      </c>
      <c r="D14906" t="s">
        <v>20</v>
      </c>
      <c r="E14906" t="s">
        <v>39</v>
      </c>
      <c r="F14906">
        <v>0</v>
      </c>
      <c r="G14906">
        <v>0</v>
      </c>
      <c r="H14906">
        <v>1</v>
      </c>
      <c r="I14906" s="3">
        <v>737.64</v>
      </c>
      <c r="J14906" s="3">
        <v>0</v>
      </c>
      <c r="K14906" t="s">
        <v>32692</v>
      </c>
      <c r="L14906">
        <v>1433</v>
      </c>
      <c r="M14906" t="s">
        <v>9937</v>
      </c>
      <c r="N14906" t="s">
        <v>30</v>
      </c>
      <c r="O14906" t="s">
        <v>31</v>
      </c>
      <c r="P14906" t="str">
        <f>"15206"</f>
        <v>15206</v>
      </c>
    </row>
    <row r="14907" spans="1:16" x14ac:dyDescent="0.25">
      <c r="A14907" t="str">
        <f>"1200042M00017000100"</f>
        <v>1200042M00017000100</v>
      </c>
      <c r="B14907" t="s">
        <v>32690</v>
      </c>
      <c r="C14907" t="s">
        <v>32693</v>
      </c>
      <c r="D14907" t="s">
        <v>20</v>
      </c>
      <c r="E14907" t="s">
        <v>39</v>
      </c>
      <c r="F14907">
        <v>0</v>
      </c>
      <c r="G14907">
        <v>0</v>
      </c>
      <c r="H14907">
        <v>1</v>
      </c>
      <c r="I14907" s="3">
        <v>808.16</v>
      </c>
      <c r="J14907" s="3">
        <v>0</v>
      </c>
      <c r="K14907" t="s">
        <v>32692</v>
      </c>
      <c r="L14907">
        <v>1433</v>
      </c>
      <c r="M14907" t="s">
        <v>9937</v>
      </c>
      <c r="N14907" t="s">
        <v>30</v>
      </c>
      <c r="O14907" t="s">
        <v>31</v>
      </c>
      <c r="P14907" t="str">
        <f>"15206"</f>
        <v>15206</v>
      </c>
    </row>
    <row r="14908" spans="1:16" x14ac:dyDescent="0.25">
      <c r="A14908" t="str">
        <f>"1200042M00018    00"</f>
        <v>1200042M00018    00</v>
      </c>
      <c r="B14908" t="s">
        <v>32694</v>
      </c>
      <c r="C14908" t="s">
        <v>32695</v>
      </c>
      <c r="D14908" t="s">
        <v>20</v>
      </c>
      <c r="E14908" t="s">
        <v>39</v>
      </c>
      <c r="F14908">
        <v>0</v>
      </c>
      <c r="G14908">
        <v>0</v>
      </c>
      <c r="H14908">
        <v>3</v>
      </c>
      <c r="I14908" s="3">
        <v>2595.9899999999998</v>
      </c>
      <c r="J14908" s="3">
        <v>173.06</v>
      </c>
      <c r="L14908">
        <v>2933</v>
      </c>
      <c r="M14908" t="s">
        <v>32696</v>
      </c>
      <c r="N14908" t="s">
        <v>30</v>
      </c>
      <c r="O14908" t="s">
        <v>31</v>
      </c>
      <c r="P14908" t="str">
        <f>"15204"</f>
        <v>15204</v>
      </c>
    </row>
    <row r="14909" spans="1:16" x14ac:dyDescent="0.25">
      <c r="A14909" t="str">
        <f>"1200042M00021    00"</f>
        <v>1200042M00021    00</v>
      </c>
      <c r="B14909" t="s">
        <v>32697</v>
      </c>
      <c r="C14909" t="s">
        <v>32698</v>
      </c>
      <c r="D14909" t="s">
        <v>20</v>
      </c>
      <c r="E14909" t="s">
        <v>39</v>
      </c>
      <c r="F14909">
        <v>0</v>
      </c>
      <c r="G14909">
        <v>0</v>
      </c>
      <c r="H14909">
        <v>1</v>
      </c>
      <c r="I14909" s="3">
        <v>914.88</v>
      </c>
      <c r="J14909" s="3">
        <v>0</v>
      </c>
      <c r="K14909" t="s">
        <v>32699</v>
      </c>
      <c r="L14909">
        <v>331</v>
      </c>
      <c r="M14909" t="s">
        <v>32700</v>
      </c>
      <c r="N14909" t="s">
        <v>149</v>
      </c>
      <c r="O14909" t="s">
        <v>31</v>
      </c>
      <c r="P14909" t="str">
        <f>"15106"</f>
        <v>15106</v>
      </c>
    </row>
    <row r="14910" spans="1:16" x14ac:dyDescent="0.25">
      <c r="A14910" t="str">
        <f>"1200042M00028    00"</f>
        <v>1200042M00028    00</v>
      </c>
      <c r="B14910" t="s">
        <v>32701</v>
      </c>
      <c r="C14910" t="s">
        <v>32702</v>
      </c>
      <c r="D14910" t="s">
        <v>20</v>
      </c>
      <c r="E14910" t="s">
        <v>39</v>
      </c>
      <c r="F14910">
        <v>0</v>
      </c>
      <c r="G14910">
        <v>0</v>
      </c>
      <c r="H14910">
        <v>17</v>
      </c>
      <c r="I14910" s="3">
        <v>15024.26</v>
      </c>
      <c r="J14910" s="3">
        <v>13706.03</v>
      </c>
      <c r="L14910">
        <v>2916</v>
      </c>
      <c r="M14910" t="s">
        <v>15633</v>
      </c>
      <c r="N14910" t="s">
        <v>30</v>
      </c>
      <c r="O14910" t="s">
        <v>31</v>
      </c>
      <c r="P14910" t="str">
        <f>"15204"</f>
        <v>15204</v>
      </c>
    </row>
    <row r="14911" spans="1:16" x14ac:dyDescent="0.25">
      <c r="A14911" t="str">
        <f>"1200042M00031    00"</f>
        <v>1200042M00031    00</v>
      </c>
      <c r="B14911" t="s">
        <v>32703</v>
      </c>
      <c r="C14911" t="s">
        <v>32704</v>
      </c>
      <c r="D14911" t="s">
        <v>20</v>
      </c>
      <c r="E14911" t="s">
        <v>39</v>
      </c>
      <c r="F14911">
        <v>0</v>
      </c>
      <c r="G14911">
        <v>0</v>
      </c>
      <c r="H14911">
        <v>11</v>
      </c>
      <c r="I14911" s="3">
        <v>12520.8</v>
      </c>
      <c r="J14911" s="3">
        <v>5975.77</v>
      </c>
      <c r="K14911" t="s">
        <v>32705</v>
      </c>
      <c r="L14911">
        <v>431</v>
      </c>
      <c r="M14911" t="s">
        <v>32706</v>
      </c>
      <c r="N14911" t="s">
        <v>666</v>
      </c>
      <c r="O14911" t="s">
        <v>31</v>
      </c>
      <c r="P14911" t="str">
        <f>"16001"</f>
        <v>16001</v>
      </c>
    </row>
    <row r="14912" spans="1:16" x14ac:dyDescent="0.25">
      <c r="A14912" t="str">
        <f>"1200042M00042    00"</f>
        <v>1200042M00042    00</v>
      </c>
      <c r="B14912" t="s">
        <v>32707</v>
      </c>
      <c r="C14912" t="s">
        <v>32708</v>
      </c>
      <c r="D14912" t="s">
        <v>20</v>
      </c>
      <c r="E14912" t="s">
        <v>39</v>
      </c>
      <c r="F14912">
        <v>0</v>
      </c>
      <c r="G14912">
        <v>0</v>
      </c>
      <c r="H14912">
        <v>1</v>
      </c>
      <c r="I14912" s="3">
        <v>381.67</v>
      </c>
      <c r="J14912" s="3">
        <v>0</v>
      </c>
      <c r="K14912" t="s">
        <v>32709</v>
      </c>
      <c r="L14912">
        <v>3980</v>
      </c>
      <c r="M14912" t="s">
        <v>16891</v>
      </c>
      <c r="N14912" t="s">
        <v>30</v>
      </c>
      <c r="O14912" t="s">
        <v>31</v>
      </c>
      <c r="P14912" t="str">
        <f>"15204"</f>
        <v>15204</v>
      </c>
    </row>
    <row r="14913" spans="1:16" x14ac:dyDescent="0.25">
      <c r="A14913" t="str">
        <f>"1200042M00043    00"</f>
        <v>1200042M00043    00</v>
      </c>
      <c r="B14913" t="s">
        <v>31415</v>
      </c>
      <c r="C14913" t="s">
        <v>32710</v>
      </c>
      <c r="D14913" t="s">
        <v>20</v>
      </c>
      <c r="E14913" t="s">
        <v>39</v>
      </c>
      <c r="F14913">
        <v>0</v>
      </c>
      <c r="G14913">
        <v>0</v>
      </c>
      <c r="H14913">
        <v>2</v>
      </c>
      <c r="I14913" s="3">
        <v>419.36</v>
      </c>
      <c r="J14913" s="3">
        <v>0</v>
      </c>
      <c r="K14913" t="s">
        <v>32711</v>
      </c>
      <c r="L14913">
        <v>1554</v>
      </c>
      <c r="M14913" t="s">
        <v>30601</v>
      </c>
      <c r="N14913" t="s">
        <v>30</v>
      </c>
      <c r="O14913" t="s">
        <v>31</v>
      </c>
      <c r="P14913" t="str">
        <f>"15205"</f>
        <v>15205</v>
      </c>
    </row>
    <row r="14914" spans="1:16" x14ac:dyDescent="0.25">
      <c r="A14914" t="str">
        <f>"1200042M00065    00"</f>
        <v>1200042M00065    00</v>
      </c>
      <c r="B14914" t="s">
        <v>32712</v>
      </c>
      <c r="C14914" t="s">
        <v>32713</v>
      </c>
      <c r="D14914" t="s">
        <v>20</v>
      </c>
      <c r="E14914" t="s">
        <v>39</v>
      </c>
      <c r="F14914">
        <v>0</v>
      </c>
      <c r="G14914">
        <v>0</v>
      </c>
      <c r="H14914">
        <v>1</v>
      </c>
      <c r="I14914" s="3">
        <v>518.9</v>
      </c>
      <c r="J14914" s="3">
        <v>0</v>
      </c>
      <c r="L14914">
        <v>3021</v>
      </c>
      <c r="M14914" t="s">
        <v>31602</v>
      </c>
      <c r="N14914" t="s">
        <v>30</v>
      </c>
      <c r="O14914" t="s">
        <v>31</v>
      </c>
      <c r="P14914" t="str">
        <f>"15204"</f>
        <v>15204</v>
      </c>
    </row>
    <row r="14915" spans="1:16" x14ac:dyDescent="0.25">
      <c r="A14915" t="str">
        <f>"1200042M00068    00"</f>
        <v>1200042M00068    00</v>
      </c>
      <c r="B14915" t="s">
        <v>31539</v>
      </c>
      <c r="C14915" t="s">
        <v>32714</v>
      </c>
      <c r="E14915" t="s">
        <v>39</v>
      </c>
      <c r="F14915">
        <v>0</v>
      </c>
      <c r="G14915">
        <v>0</v>
      </c>
      <c r="H14915">
        <v>2</v>
      </c>
      <c r="I14915" s="3">
        <v>804.43</v>
      </c>
      <c r="J14915" s="3">
        <v>125.35</v>
      </c>
      <c r="L14915">
        <v>148</v>
      </c>
      <c r="M14915" t="s">
        <v>31541</v>
      </c>
      <c r="N14915" t="s">
        <v>30</v>
      </c>
      <c r="O14915" t="s">
        <v>31</v>
      </c>
      <c r="P14915" t="str">
        <f>"15237"</f>
        <v>15237</v>
      </c>
    </row>
    <row r="14916" spans="1:16" x14ac:dyDescent="0.25">
      <c r="A14916" t="str">
        <f>"1200042M00077    00"</f>
        <v>1200042M00077    00</v>
      </c>
      <c r="B14916" t="s">
        <v>32715</v>
      </c>
      <c r="C14916" t="s">
        <v>32716</v>
      </c>
      <c r="D14916" t="s">
        <v>20</v>
      </c>
      <c r="E14916" t="s">
        <v>39</v>
      </c>
      <c r="F14916">
        <v>0</v>
      </c>
      <c r="G14916">
        <v>0</v>
      </c>
      <c r="H14916">
        <v>4</v>
      </c>
      <c r="I14916" s="3">
        <v>67.92</v>
      </c>
      <c r="J14916" s="3">
        <v>8.3699999999999992</v>
      </c>
      <c r="K14916" t="s">
        <v>32717</v>
      </c>
      <c r="M14916" t="s">
        <v>32718</v>
      </c>
      <c r="N14916" t="s">
        <v>30</v>
      </c>
      <c r="O14916" t="s">
        <v>31</v>
      </c>
      <c r="P14916" t="str">
        <f>"15211"</f>
        <v>15211</v>
      </c>
    </row>
    <row r="14917" spans="1:16" x14ac:dyDescent="0.25">
      <c r="A14917" t="str">
        <f>"1200042M00081    00"</f>
        <v>1200042M00081    00</v>
      </c>
      <c r="B14917" t="s">
        <v>32719</v>
      </c>
      <c r="C14917" t="s">
        <v>32720</v>
      </c>
      <c r="D14917" t="s">
        <v>20</v>
      </c>
      <c r="E14917" t="s">
        <v>39</v>
      </c>
      <c r="F14917">
        <v>0</v>
      </c>
      <c r="G14917">
        <v>0</v>
      </c>
      <c r="H14917">
        <v>14</v>
      </c>
      <c r="I14917" s="3">
        <v>10311.64</v>
      </c>
      <c r="J14917" s="3">
        <v>7180.67</v>
      </c>
      <c r="L14917">
        <v>526</v>
      </c>
      <c r="M14917" t="s">
        <v>32721</v>
      </c>
      <c r="N14917" t="s">
        <v>12899</v>
      </c>
      <c r="O14917" t="s">
        <v>31</v>
      </c>
      <c r="P14917" t="str">
        <f>"15148"</f>
        <v>15148</v>
      </c>
    </row>
    <row r="14918" spans="1:16" x14ac:dyDescent="0.25">
      <c r="A14918" t="str">
        <f>"1200042M00083    00"</f>
        <v>1200042M00083    00</v>
      </c>
      <c r="B14918" t="s">
        <v>32722</v>
      </c>
      <c r="C14918" t="s">
        <v>32723</v>
      </c>
      <c r="D14918" t="s">
        <v>20</v>
      </c>
      <c r="E14918" t="s">
        <v>39</v>
      </c>
      <c r="F14918">
        <v>0</v>
      </c>
      <c r="G14918">
        <v>0</v>
      </c>
      <c r="H14918">
        <v>14</v>
      </c>
      <c r="I14918" s="3">
        <v>8304.39</v>
      </c>
      <c r="J14918" s="3">
        <v>6091.5</v>
      </c>
      <c r="L14918">
        <v>1405</v>
      </c>
      <c r="M14918" t="s">
        <v>32724</v>
      </c>
      <c r="N14918" t="s">
        <v>30</v>
      </c>
      <c r="O14918" t="s">
        <v>31</v>
      </c>
      <c r="P14918" t="str">
        <f>"15212"</f>
        <v>15212</v>
      </c>
    </row>
    <row r="14919" spans="1:16" x14ac:dyDescent="0.25">
      <c r="A14919" t="str">
        <f>"1200042M00091    00"</f>
        <v>1200042M00091    00</v>
      </c>
      <c r="B14919" t="s">
        <v>32725</v>
      </c>
      <c r="C14919" t="s">
        <v>32726</v>
      </c>
      <c r="E14919" t="s">
        <v>39</v>
      </c>
      <c r="F14919">
        <v>0</v>
      </c>
      <c r="G14919">
        <v>0</v>
      </c>
      <c r="H14919">
        <v>9</v>
      </c>
      <c r="I14919" s="3">
        <v>8705.57</v>
      </c>
      <c r="J14919" s="3">
        <v>8032.38</v>
      </c>
      <c r="K14919" t="s">
        <v>32727</v>
      </c>
      <c r="M14919" t="s">
        <v>32728</v>
      </c>
      <c r="N14919" t="s">
        <v>30</v>
      </c>
      <c r="O14919" t="s">
        <v>31</v>
      </c>
      <c r="P14919" t="str">
        <f>"15224"</f>
        <v>15224</v>
      </c>
    </row>
    <row r="14920" spans="1:16" x14ac:dyDescent="0.25">
      <c r="A14920" t="str">
        <f>"1200042M00109    00"</f>
        <v>1200042M00109    00</v>
      </c>
      <c r="B14920" t="s">
        <v>32729</v>
      </c>
      <c r="C14920" t="s">
        <v>32730</v>
      </c>
      <c r="D14920" t="s">
        <v>20</v>
      </c>
      <c r="E14920" t="s">
        <v>21</v>
      </c>
      <c r="F14920">
        <v>0</v>
      </c>
      <c r="G14920">
        <v>0</v>
      </c>
      <c r="H14920">
        <v>16</v>
      </c>
      <c r="I14920" s="3">
        <v>27134.53</v>
      </c>
      <c r="J14920" s="3">
        <v>20217.21</v>
      </c>
      <c r="L14920">
        <v>118</v>
      </c>
      <c r="M14920" t="s">
        <v>8947</v>
      </c>
      <c r="N14920" t="s">
        <v>295</v>
      </c>
      <c r="O14920" t="s">
        <v>31</v>
      </c>
      <c r="P14920" t="str">
        <f>"15146"</f>
        <v>15146</v>
      </c>
    </row>
    <row r="14921" spans="1:16" x14ac:dyDescent="0.25">
      <c r="A14921" t="str">
        <f>"1200042M00115    00"</f>
        <v>1200042M00115    00</v>
      </c>
      <c r="B14921" t="s">
        <v>32731</v>
      </c>
      <c r="C14921" t="s">
        <v>32732</v>
      </c>
      <c r="E14921" t="s">
        <v>39</v>
      </c>
      <c r="F14921">
        <v>0</v>
      </c>
      <c r="G14921">
        <v>0</v>
      </c>
      <c r="H14921">
        <v>1</v>
      </c>
      <c r="I14921" s="3">
        <v>26.65</v>
      </c>
      <c r="J14921" s="3">
        <v>38.65</v>
      </c>
      <c r="K14921" t="s">
        <v>2570</v>
      </c>
      <c r="L14921">
        <v>901</v>
      </c>
      <c r="M14921" t="s">
        <v>1503</v>
      </c>
      <c r="N14921" t="s">
        <v>494</v>
      </c>
      <c r="O14921" t="s">
        <v>495</v>
      </c>
      <c r="P14921" t="str">
        <f>"91768"</f>
        <v>91768</v>
      </c>
    </row>
    <row r="14922" spans="1:16" x14ac:dyDescent="0.25">
      <c r="A14922" t="str">
        <f>"1200042M00129    00"</f>
        <v>1200042M00129    00</v>
      </c>
      <c r="B14922" t="s">
        <v>31960</v>
      </c>
      <c r="C14922" t="s">
        <v>32733</v>
      </c>
      <c r="E14922" t="s">
        <v>21</v>
      </c>
      <c r="F14922">
        <v>0</v>
      </c>
      <c r="G14922">
        <v>0</v>
      </c>
      <c r="H14922">
        <v>2</v>
      </c>
      <c r="I14922" s="3">
        <v>858.29</v>
      </c>
      <c r="J14922" s="3">
        <v>401.12</v>
      </c>
      <c r="L14922">
        <v>3122</v>
      </c>
      <c r="M14922" t="s">
        <v>16891</v>
      </c>
      <c r="N14922" t="s">
        <v>30</v>
      </c>
      <c r="O14922" t="s">
        <v>31</v>
      </c>
      <c r="P14922" t="str">
        <f>"15204"</f>
        <v>15204</v>
      </c>
    </row>
    <row r="14923" spans="1:16" x14ac:dyDescent="0.25">
      <c r="A14923" t="str">
        <f>"1200042M00142    00"</f>
        <v>1200042M00142    00</v>
      </c>
      <c r="B14923" t="s">
        <v>32734</v>
      </c>
      <c r="C14923" t="s">
        <v>32735</v>
      </c>
      <c r="D14923" t="s">
        <v>20</v>
      </c>
      <c r="E14923" t="s">
        <v>39</v>
      </c>
      <c r="F14923">
        <v>0</v>
      </c>
      <c r="G14923">
        <v>0</v>
      </c>
      <c r="H14923">
        <v>2</v>
      </c>
      <c r="I14923" s="3">
        <v>803.54</v>
      </c>
      <c r="J14923" s="3">
        <v>0</v>
      </c>
      <c r="K14923" t="s">
        <v>2106</v>
      </c>
      <c r="L14923">
        <v>6053</v>
      </c>
      <c r="M14923" t="s">
        <v>2107</v>
      </c>
      <c r="N14923" t="s">
        <v>2108</v>
      </c>
      <c r="O14923" t="s">
        <v>2109</v>
      </c>
      <c r="P14923" t="str">
        <f>"84107"</f>
        <v>84107</v>
      </c>
    </row>
    <row r="14924" spans="1:16" x14ac:dyDescent="0.25">
      <c r="A14924" t="str">
        <f>"1200042M00146    00"</f>
        <v>1200042M00146    00</v>
      </c>
      <c r="B14924" t="s">
        <v>32736</v>
      </c>
      <c r="C14924" t="s">
        <v>32737</v>
      </c>
      <c r="D14924" t="s">
        <v>20</v>
      </c>
      <c r="E14924" t="s">
        <v>39</v>
      </c>
      <c r="F14924">
        <v>0</v>
      </c>
      <c r="G14924">
        <v>0</v>
      </c>
      <c r="H14924">
        <v>6</v>
      </c>
      <c r="I14924" s="3">
        <v>5197.9799999999996</v>
      </c>
      <c r="J14924" s="3">
        <v>973.32</v>
      </c>
      <c r="L14924">
        <v>516</v>
      </c>
      <c r="M14924" t="s">
        <v>4059</v>
      </c>
      <c r="N14924" t="s">
        <v>30</v>
      </c>
      <c r="O14924" t="s">
        <v>31</v>
      </c>
      <c r="P14924" t="str">
        <f>"15204"</f>
        <v>15204</v>
      </c>
    </row>
    <row r="14925" spans="1:16" x14ac:dyDescent="0.25">
      <c r="A14925" t="str">
        <f>"1200042M00154    00"</f>
        <v>1200042M00154    00</v>
      </c>
      <c r="B14925" t="s">
        <v>32738</v>
      </c>
      <c r="C14925" t="s">
        <v>32739</v>
      </c>
      <c r="D14925" t="s">
        <v>20</v>
      </c>
      <c r="E14925" t="s">
        <v>39</v>
      </c>
      <c r="F14925">
        <v>0</v>
      </c>
      <c r="G14925">
        <v>0</v>
      </c>
      <c r="H14925">
        <v>12</v>
      </c>
      <c r="I14925" s="3">
        <v>1669.77</v>
      </c>
      <c r="J14925" s="3">
        <v>983.02</v>
      </c>
      <c r="K14925" t="s">
        <v>32740</v>
      </c>
      <c r="L14925">
        <v>4209</v>
      </c>
      <c r="M14925" t="s">
        <v>32741</v>
      </c>
      <c r="N14925" t="s">
        <v>321</v>
      </c>
      <c r="O14925" t="s">
        <v>31</v>
      </c>
      <c r="P14925" t="str">
        <f>"15001"</f>
        <v>15001</v>
      </c>
    </row>
    <row r="14926" spans="1:16" x14ac:dyDescent="0.25">
      <c r="A14926" t="str">
        <f>"1200042M00157    00"</f>
        <v>1200042M00157    00</v>
      </c>
      <c r="B14926" t="s">
        <v>32742</v>
      </c>
      <c r="C14926" t="s">
        <v>32743</v>
      </c>
      <c r="E14926" t="s">
        <v>39</v>
      </c>
      <c r="F14926">
        <v>0</v>
      </c>
      <c r="G14926">
        <v>0</v>
      </c>
      <c r="H14926">
        <v>10</v>
      </c>
      <c r="I14926" s="3">
        <v>3508.59</v>
      </c>
      <c r="J14926" s="3">
        <v>6394.73</v>
      </c>
      <c r="K14926" t="s">
        <v>408</v>
      </c>
      <c r="M14926" t="s">
        <v>409</v>
      </c>
      <c r="N14926" t="s">
        <v>410</v>
      </c>
      <c r="O14926" t="s">
        <v>31</v>
      </c>
      <c r="P14926" t="str">
        <f>"15701"</f>
        <v>15701</v>
      </c>
    </row>
    <row r="14927" spans="1:16" x14ac:dyDescent="0.25">
      <c r="A14927" t="str">
        <f>"1200042M00165    00"</f>
        <v>1200042M00165    00</v>
      </c>
      <c r="B14927" t="s">
        <v>32744</v>
      </c>
      <c r="C14927" t="s">
        <v>32745</v>
      </c>
      <c r="D14927" t="s">
        <v>20</v>
      </c>
      <c r="E14927" t="s">
        <v>39</v>
      </c>
      <c r="F14927">
        <v>0</v>
      </c>
      <c r="G14927">
        <v>0</v>
      </c>
      <c r="H14927">
        <v>9</v>
      </c>
      <c r="I14927" s="3">
        <v>4956.33</v>
      </c>
      <c r="J14927" s="3">
        <v>1767.63</v>
      </c>
      <c r="L14927">
        <v>2953</v>
      </c>
      <c r="M14927" t="s">
        <v>31608</v>
      </c>
      <c r="N14927" t="s">
        <v>30</v>
      </c>
      <c r="O14927" t="s">
        <v>31</v>
      </c>
      <c r="P14927" t="str">
        <f>"15204"</f>
        <v>15204</v>
      </c>
    </row>
    <row r="14928" spans="1:16" x14ac:dyDescent="0.25">
      <c r="A14928" t="str">
        <f>"1200042M00166    00"</f>
        <v>1200042M00166    00</v>
      </c>
      <c r="B14928" t="s">
        <v>32746</v>
      </c>
      <c r="C14928" t="s">
        <v>32747</v>
      </c>
      <c r="D14928" t="s">
        <v>20</v>
      </c>
      <c r="E14928" t="s">
        <v>39</v>
      </c>
      <c r="F14928">
        <v>0</v>
      </c>
      <c r="G14928">
        <v>0</v>
      </c>
      <c r="H14928">
        <v>2</v>
      </c>
      <c r="I14928" s="3">
        <v>1174.1400000000001</v>
      </c>
      <c r="J14928" s="3">
        <v>0</v>
      </c>
      <c r="K14928" t="s">
        <v>32748</v>
      </c>
      <c r="L14928">
        <v>4521</v>
      </c>
      <c r="M14928" t="s">
        <v>32749</v>
      </c>
      <c r="N14928" t="s">
        <v>32750</v>
      </c>
      <c r="O14928" t="s">
        <v>370</v>
      </c>
      <c r="P14928" t="str">
        <f>"33148"</f>
        <v>33148</v>
      </c>
    </row>
    <row r="14929" spans="1:16" x14ac:dyDescent="0.25">
      <c r="A14929" t="str">
        <f>"1200042M00167    00"</f>
        <v>1200042M00167    00</v>
      </c>
      <c r="B14929" t="s">
        <v>32751</v>
      </c>
      <c r="C14929" t="s">
        <v>32752</v>
      </c>
      <c r="E14929" t="s">
        <v>39</v>
      </c>
      <c r="F14929">
        <v>0</v>
      </c>
      <c r="G14929">
        <v>0</v>
      </c>
      <c r="H14929">
        <v>1</v>
      </c>
      <c r="I14929" s="3">
        <v>336.55</v>
      </c>
      <c r="J14929" s="3">
        <v>0</v>
      </c>
      <c r="K14929" t="s">
        <v>1722</v>
      </c>
      <c r="M14929" t="s">
        <v>1723</v>
      </c>
      <c r="N14929" t="s">
        <v>410</v>
      </c>
      <c r="O14929" t="s">
        <v>31</v>
      </c>
      <c r="P14929" t="str">
        <f>"15701"</f>
        <v>15701</v>
      </c>
    </row>
    <row r="14930" spans="1:16" x14ac:dyDescent="0.25">
      <c r="A14930" t="str">
        <f>"1200042M00170    00"</f>
        <v>1200042M00170    00</v>
      </c>
      <c r="B14930" t="s">
        <v>32753</v>
      </c>
      <c r="C14930" t="s">
        <v>32754</v>
      </c>
      <c r="D14930" t="s">
        <v>20</v>
      </c>
      <c r="E14930" t="s">
        <v>39</v>
      </c>
      <c r="F14930">
        <v>0</v>
      </c>
      <c r="G14930">
        <v>0</v>
      </c>
      <c r="H14930">
        <v>16</v>
      </c>
      <c r="I14930" s="3">
        <v>4772.8500000000004</v>
      </c>
      <c r="J14930" s="3">
        <v>5002.9799999999996</v>
      </c>
      <c r="L14930">
        <v>2941</v>
      </c>
      <c r="M14930" t="s">
        <v>31608</v>
      </c>
      <c r="N14930" t="s">
        <v>30</v>
      </c>
      <c r="O14930" t="s">
        <v>31</v>
      </c>
      <c r="P14930" t="str">
        <f>"15204"</f>
        <v>15204</v>
      </c>
    </row>
    <row r="14931" spans="1:16" x14ac:dyDescent="0.25">
      <c r="A14931" t="str">
        <f>"1200042M00171    00"</f>
        <v>1200042M00171    00</v>
      </c>
      <c r="B14931" t="s">
        <v>32755</v>
      </c>
      <c r="C14931" t="s">
        <v>31606</v>
      </c>
      <c r="D14931" t="s">
        <v>20</v>
      </c>
      <c r="E14931" t="s">
        <v>39</v>
      </c>
      <c r="F14931">
        <v>0</v>
      </c>
      <c r="G14931">
        <v>0</v>
      </c>
      <c r="H14931">
        <v>17</v>
      </c>
      <c r="I14931" s="3">
        <v>3880.54</v>
      </c>
      <c r="J14931" s="3">
        <v>3148.16</v>
      </c>
      <c r="L14931">
        <v>948</v>
      </c>
      <c r="M14931" t="s">
        <v>32756</v>
      </c>
      <c r="N14931" t="s">
        <v>30</v>
      </c>
      <c r="O14931" t="s">
        <v>31</v>
      </c>
      <c r="P14931" t="str">
        <f>"15216"</f>
        <v>15216</v>
      </c>
    </row>
    <row r="14932" spans="1:16" x14ac:dyDescent="0.25">
      <c r="A14932" t="str">
        <f>"1200042M00186A   00"</f>
        <v>1200042M00186A   00</v>
      </c>
      <c r="B14932" t="s">
        <v>32757</v>
      </c>
      <c r="C14932" t="s">
        <v>32758</v>
      </c>
      <c r="D14932" t="s">
        <v>20</v>
      </c>
      <c r="E14932" t="s">
        <v>39</v>
      </c>
      <c r="F14932">
        <v>0</v>
      </c>
      <c r="G14932">
        <v>0</v>
      </c>
      <c r="H14932">
        <v>4</v>
      </c>
      <c r="I14932" s="3">
        <v>1324.75</v>
      </c>
      <c r="J14932" s="3">
        <v>5.16</v>
      </c>
      <c r="K14932" t="s">
        <v>32759</v>
      </c>
      <c r="L14932">
        <v>432</v>
      </c>
      <c r="M14932" t="s">
        <v>32760</v>
      </c>
      <c r="N14932" t="s">
        <v>30</v>
      </c>
      <c r="O14932" t="s">
        <v>31</v>
      </c>
      <c r="P14932" t="str">
        <f>"15204"</f>
        <v>15204</v>
      </c>
    </row>
    <row r="14933" spans="1:16" x14ac:dyDescent="0.25">
      <c r="A14933" t="str">
        <f>"1200042M00187A   00"</f>
        <v>1200042M00187A   00</v>
      </c>
      <c r="B14933" t="s">
        <v>32187</v>
      </c>
      <c r="C14933" t="s">
        <v>32761</v>
      </c>
      <c r="D14933" t="s">
        <v>20</v>
      </c>
      <c r="E14933" t="s">
        <v>39</v>
      </c>
      <c r="F14933">
        <v>0</v>
      </c>
      <c r="G14933">
        <v>0</v>
      </c>
      <c r="H14933">
        <v>19</v>
      </c>
      <c r="I14933" s="3">
        <v>738.04</v>
      </c>
      <c r="J14933" s="3">
        <v>648.24</v>
      </c>
      <c r="K14933" t="s">
        <v>32189</v>
      </c>
      <c r="L14933">
        <v>7</v>
      </c>
      <c r="M14933" t="s">
        <v>32190</v>
      </c>
      <c r="N14933" t="s">
        <v>32191</v>
      </c>
      <c r="O14933" t="s">
        <v>25</v>
      </c>
      <c r="P14933" t="str">
        <f>"45056"</f>
        <v>45056</v>
      </c>
    </row>
    <row r="14934" spans="1:16" x14ac:dyDescent="0.25">
      <c r="A14934" t="str">
        <f>"1200042M00189    00"</f>
        <v>1200042M00189    00</v>
      </c>
      <c r="B14934" t="s">
        <v>31415</v>
      </c>
      <c r="C14934" t="s">
        <v>32762</v>
      </c>
      <c r="D14934" t="s">
        <v>20</v>
      </c>
      <c r="E14934" t="s">
        <v>39</v>
      </c>
      <c r="F14934">
        <v>0</v>
      </c>
      <c r="G14934">
        <v>0</v>
      </c>
      <c r="H14934">
        <v>5</v>
      </c>
      <c r="I14934" s="3">
        <v>3870.67</v>
      </c>
      <c r="J14934" s="3">
        <v>827.62</v>
      </c>
      <c r="L14934">
        <v>1554</v>
      </c>
      <c r="M14934" t="s">
        <v>30601</v>
      </c>
      <c r="N14934" t="s">
        <v>30</v>
      </c>
      <c r="O14934" t="s">
        <v>31</v>
      </c>
      <c r="P14934" t="str">
        <f>"15205"</f>
        <v>15205</v>
      </c>
    </row>
    <row r="14935" spans="1:16" x14ac:dyDescent="0.25">
      <c r="A14935" t="str">
        <f>"1200042M00191    00"</f>
        <v>1200042M00191    00</v>
      </c>
      <c r="B14935" t="s">
        <v>32763</v>
      </c>
      <c r="C14935" t="s">
        <v>31606</v>
      </c>
      <c r="D14935" t="s">
        <v>20</v>
      </c>
      <c r="E14935" t="s">
        <v>39</v>
      </c>
      <c r="F14935">
        <v>0</v>
      </c>
      <c r="G14935">
        <v>0</v>
      </c>
      <c r="H14935">
        <v>10</v>
      </c>
      <c r="I14935" s="3">
        <v>5926.94</v>
      </c>
      <c r="J14935" s="3">
        <v>2745.58</v>
      </c>
      <c r="K14935" t="s">
        <v>32764</v>
      </c>
      <c r="L14935">
        <v>221</v>
      </c>
      <c r="M14935" t="s">
        <v>32765</v>
      </c>
      <c r="N14935" t="s">
        <v>903</v>
      </c>
      <c r="O14935" t="s">
        <v>31</v>
      </c>
      <c r="P14935" t="str">
        <f>"15136"</f>
        <v>15136</v>
      </c>
    </row>
    <row r="14936" spans="1:16" x14ac:dyDescent="0.25">
      <c r="A14936" t="str">
        <f>"1200042M00209    00"</f>
        <v>1200042M00209    00</v>
      </c>
      <c r="B14936" t="s">
        <v>32766</v>
      </c>
      <c r="C14936" t="s">
        <v>32767</v>
      </c>
      <c r="D14936" t="s">
        <v>20</v>
      </c>
      <c r="E14936" t="s">
        <v>39</v>
      </c>
      <c r="F14936">
        <v>0</v>
      </c>
      <c r="G14936">
        <v>0</v>
      </c>
      <c r="H14936">
        <v>2</v>
      </c>
      <c r="I14936" s="3">
        <v>2142.38</v>
      </c>
      <c r="J14936" s="3">
        <v>0</v>
      </c>
      <c r="L14936">
        <v>2910</v>
      </c>
      <c r="M14936" t="s">
        <v>31608</v>
      </c>
      <c r="N14936" t="s">
        <v>30</v>
      </c>
      <c r="O14936" t="s">
        <v>31</v>
      </c>
      <c r="P14936" t="str">
        <f>"15204"</f>
        <v>15204</v>
      </c>
    </row>
    <row r="14937" spans="1:16" x14ac:dyDescent="0.25">
      <c r="A14937" t="str">
        <f>"1200042M00210    00"</f>
        <v>1200042M00210    00</v>
      </c>
      <c r="B14937" t="s">
        <v>32768</v>
      </c>
      <c r="C14937" t="s">
        <v>32769</v>
      </c>
      <c r="D14937" t="s">
        <v>20</v>
      </c>
      <c r="E14937" t="s">
        <v>39</v>
      </c>
      <c r="F14937">
        <v>0</v>
      </c>
      <c r="G14937">
        <v>0</v>
      </c>
      <c r="H14937">
        <v>2</v>
      </c>
      <c r="I14937" s="3">
        <v>1258</v>
      </c>
      <c r="J14937" s="3">
        <v>0</v>
      </c>
      <c r="L14937">
        <v>2912</v>
      </c>
      <c r="M14937" t="s">
        <v>31608</v>
      </c>
      <c r="N14937" t="s">
        <v>30</v>
      </c>
      <c r="O14937" t="s">
        <v>31</v>
      </c>
      <c r="P14937" t="str">
        <f>"15204"</f>
        <v>15204</v>
      </c>
    </row>
    <row r="14938" spans="1:16" x14ac:dyDescent="0.25">
      <c r="A14938" t="str">
        <f>"1200042M00217    00"</f>
        <v>1200042M00217    00</v>
      </c>
      <c r="B14938" t="s">
        <v>32770</v>
      </c>
      <c r="C14938" t="s">
        <v>32771</v>
      </c>
      <c r="D14938" t="s">
        <v>20</v>
      </c>
      <c r="E14938" t="s">
        <v>39</v>
      </c>
      <c r="F14938">
        <v>0</v>
      </c>
      <c r="G14938">
        <v>0</v>
      </c>
      <c r="H14938">
        <v>19</v>
      </c>
      <c r="I14938" s="3">
        <v>20278.11</v>
      </c>
      <c r="J14938" s="3">
        <v>22032.01</v>
      </c>
      <c r="L14938">
        <v>121</v>
      </c>
      <c r="M14938" t="s">
        <v>31434</v>
      </c>
      <c r="N14938" t="s">
        <v>30</v>
      </c>
      <c r="O14938" t="s">
        <v>31</v>
      </c>
      <c r="P14938" t="str">
        <f>"15220"</f>
        <v>15220</v>
      </c>
    </row>
    <row r="14939" spans="1:16" x14ac:dyDescent="0.25">
      <c r="A14939" t="str">
        <f>"1200042M00218    00"</f>
        <v>1200042M00218    00</v>
      </c>
      <c r="B14939" t="s">
        <v>32772</v>
      </c>
      <c r="C14939" t="s">
        <v>32773</v>
      </c>
      <c r="D14939" t="s">
        <v>20</v>
      </c>
      <c r="E14939" t="s">
        <v>39</v>
      </c>
      <c r="F14939">
        <v>0</v>
      </c>
      <c r="G14939">
        <v>0</v>
      </c>
      <c r="H14939">
        <v>17</v>
      </c>
      <c r="I14939" s="3">
        <v>12383.27</v>
      </c>
      <c r="J14939" s="3">
        <v>10883.32</v>
      </c>
      <c r="K14939" t="s">
        <v>32774</v>
      </c>
      <c r="L14939">
        <v>2932</v>
      </c>
      <c r="M14939" t="s">
        <v>32775</v>
      </c>
      <c r="N14939" t="s">
        <v>30</v>
      </c>
      <c r="O14939" t="s">
        <v>31</v>
      </c>
      <c r="P14939" t="str">
        <f>"15204"</f>
        <v>15204</v>
      </c>
    </row>
    <row r="14940" spans="1:16" x14ac:dyDescent="0.25">
      <c r="A14940" t="str">
        <f>"1200042M00230    00"</f>
        <v>1200042M00230    00</v>
      </c>
      <c r="B14940" t="s">
        <v>32776</v>
      </c>
      <c r="C14940" t="s">
        <v>32777</v>
      </c>
      <c r="D14940" t="s">
        <v>20</v>
      </c>
      <c r="E14940" t="s">
        <v>39</v>
      </c>
      <c r="F14940">
        <v>0</v>
      </c>
      <c r="G14940">
        <v>0</v>
      </c>
      <c r="H14940">
        <v>4</v>
      </c>
      <c r="I14940" s="3">
        <v>979.98</v>
      </c>
      <c r="J14940" s="3">
        <v>110.27</v>
      </c>
      <c r="L14940">
        <v>2958</v>
      </c>
      <c r="M14940" t="s">
        <v>31608</v>
      </c>
      <c r="N14940" t="s">
        <v>30</v>
      </c>
      <c r="O14940" t="s">
        <v>31</v>
      </c>
      <c r="P14940" t="str">
        <f>"15204"</f>
        <v>15204</v>
      </c>
    </row>
    <row r="14941" spans="1:16" x14ac:dyDescent="0.25">
      <c r="A14941" t="str">
        <f>"1200042M00238    00"</f>
        <v>1200042M00238    00</v>
      </c>
      <c r="B14941" t="s">
        <v>32123</v>
      </c>
      <c r="C14941" t="s">
        <v>32778</v>
      </c>
      <c r="E14941" t="s">
        <v>39</v>
      </c>
      <c r="F14941">
        <v>0</v>
      </c>
      <c r="G14941">
        <v>0</v>
      </c>
      <c r="H14941">
        <v>1</v>
      </c>
      <c r="I14941" s="3">
        <v>863.43</v>
      </c>
      <c r="J14941" s="3">
        <v>0</v>
      </c>
      <c r="L14941">
        <v>1832</v>
      </c>
      <c r="M14941" t="s">
        <v>32125</v>
      </c>
      <c r="N14941" t="s">
        <v>30</v>
      </c>
      <c r="O14941" t="s">
        <v>31</v>
      </c>
      <c r="P14941" t="str">
        <f>"15212"</f>
        <v>15212</v>
      </c>
    </row>
    <row r="14942" spans="1:16" x14ac:dyDescent="0.25">
      <c r="A14942" t="str">
        <f>"1200042M00241    00"</f>
        <v>1200042M00241    00</v>
      </c>
      <c r="B14942" t="s">
        <v>32779</v>
      </c>
      <c r="C14942" t="s">
        <v>32780</v>
      </c>
      <c r="E14942" t="s">
        <v>39</v>
      </c>
      <c r="F14942">
        <v>0</v>
      </c>
      <c r="G14942">
        <v>0</v>
      </c>
      <c r="H14942">
        <v>1</v>
      </c>
      <c r="I14942" s="3">
        <v>448.37</v>
      </c>
      <c r="J14942" s="3">
        <v>123.3</v>
      </c>
      <c r="K14942" t="s">
        <v>4893</v>
      </c>
      <c r="L14942">
        <v>3001</v>
      </c>
      <c r="M14942" t="s">
        <v>330</v>
      </c>
      <c r="N14942" t="s">
        <v>331</v>
      </c>
      <c r="O14942" t="s">
        <v>108</v>
      </c>
      <c r="P14942" t="str">
        <f>"75063"</f>
        <v>75063</v>
      </c>
    </row>
    <row r="14943" spans="1:16" x14ac:dyDescent="0.25">
      <c r="A14943" t="str">
        <f>"1200042M00249    00"</f>
        <v>1200042M00249    00</v>
      </c>
      <c r="B14943" t="s">
        <v>32781</v>
      </c>
      <c r="C14943" t="s">
        <v>32782</v>
      </c>
      <c r="D14943" t="s">
        <v>20</v>
      </c>
      <c r="E14943" t="s">
        <v>39</v>
      </c>
      <c r="F14943">
        <v>0</v>
      </c>
      <c r="G14943">
        <v>0</v>
      </c>
      <c r="H14943">
        <v>7</v>
      </c>
      <c r="I14943" s="3">
        <v>4376.22</v>
      </c>
      <c r="J14943" s="3">
        <v>1237.82</v>
      </c>
      <c r="L14943">
        <v>2957</v>
      </c>
      <c r="M14943" t="s">
        <v>31104</v>
      </c>
      <c r="N14943" t="s">
        <v>30</v>
      </c>
      <c r="O14943" t="s">
        <v>31</v>
      </c>
      <c r="P14943" t="str">
        <f>"15204"</f>
        <v>15204</v>
      </c>
    </row>
    <row r="14944" spans="1:16" x14ac:dyDescent="0.25">
      <c r="A14944" t="str">
        <f>"1200042M00264    00"</f>
        <v>1200042M00264    00</v>
      </c>
      <c r="B14944" t="s">
        <v>32783</v>
      </c>
      <c r="C14944" t="s">
        <v>31520</v>
      </c>
      <c r="D14944" t="s">
        <v>20</v>
      </c>
      <c r="E14944" t="s">
        <v>39</v>
      </c>
      <c r="F14944">
        <v>0</v>
      </c>
      <c r="G14944">
        <v>0</v>
      </c>
      <c r="H14944">
        <v>19</v>
      </c>
      <c r="I14944" s="3">
        <v>14651.75</v>
      </c>
      <c r="J14944" s="3">
        <v>20304.39</v>
      </c>
      <c r="L14944">
        <v>3510</v>
      </c>
      <c r="M14944" t="s">
        <v>1394</v>
      </c>
      <c r="N14944" t="s">
        <v>30</v>
      </c>
      <c r="O14944" t="s">
        <v>31</v>
      </c>
      <c r="P14944" t="str">
        <f>"15204"</f>
        <v>15204</v>
      </c>
    </row>
    <row r="14945" spans="1:16" x14ac:dyDescent="0.25">
      <c r="A14945" t="str">
        <f>"1200042M00265    00"</f>
        <v>1200042M00265    00</v>
      </c>
      <c r="B14945" t="s">
        <v>32784</v>
      </c>
      <c r="C14945" t="s">
        <v>32785</v>
      </c>
      <c r="D14945" t="s">
        <v>20</v>
      </c>
      <c r="E14945" t="s">
        <v>39</v>
      </c>
      <c r="F14945">
        <v>0</v>
      </c>
      <c r="G14945">
        <v>0</v>
      </c>
      <c r="H14945">
        <v>2</v>
      </c>
      <c r="I14945" s="3">
        <v>954</v>
      </c>
      <c r="J14945" s="3">
        <v>0</v>
      </c>
      <c r="L14945">
        <v>2917</v>
      </c>
      <c r="M14945" t="s">
        <v>31104</v>
      </c>
      <c r="N14945" t="s">
        <v>30</v>
      </c>
      <c r="O14945" t="s">
        <v>31</v>
      </c>
      <c r="P14945" t="str">
        <f>"15204"</f>
        <v>15204</v>
      </c>
    </row>
    <row r="14946" spans="1:16" x14ac:dyDescent="0.25">
      <c r="A14946" t="str">
        <f>"1200042M00266    00"</f>
        <v>1200042M00266    00</v>
      </c>
      <c r="B14946" t="s">
        <v>32786</v>
      </c>
      <c r="C14946" t="s">
        <v>32787</v>
      </c>
      <c r="D14946" t="s">
        <v>20</v>
      </c>
      <c r="E14946" t="s">
        <v>39</v>
      </c>
      <c r="F14946">
        <v>0</v>
      </c>
      <c r="G14946">
        <v>0</v>
      </c>
      <c r="H14946">
        <v>2</v>
      </c>
      <c r="I14946" s="3">
        <v>403.5</v>
      </c>
      <c r="J14946" s="3">
        <v>0</v>
      </c>
      <c r="K14946" t="s">
        <v>1632</v>
      </c>
      <c r="L14946">
        <v>3001</v>
      </c>
      <c r="M14946" t="s">
        <v>330</v>
      </c>
      <c r="N14946" t="s">
        <v>331</v>
      </c>
      <c r="O14946" t="s">
        <v>108</v>
      </c>
      <c r="P14946" t="str">
        <f>"75063"</f>
        <v>75063</v>
      </c>
    </row>
    <row r="14947" spans="1:16" x14ac:dyDescent="0.25">
      <c r="A14947" t="str">
        <f>"1200042M00267    00"</f>
        <v>1200042M00267    00</v>
      </c>
      <c r="B14947" t="s">
        <v>32788</v>
      </c>
      <c r="C14947" t="s">
        <v>32789</v>
      </c>
      <c r="D14947" t="s">
        <v>20</v>
      </c>
      <c r="E14947" t="s">
        <v>39</v>
      </c>
      <c r="F14947">
        <v>0</v>
      </c>
      <c r="G14947">
        <v>0</v>
      </c>
      <c r="H14947">
        <v>2</v>
      </c>
      <c r="I14947" s="3">
        <v>564.22</v>
      </c>
      <c r="J14947" s="3">
        <v>0</v>
      </c>
      <c r="K14947" t="s">
        <v>32790</v>
      </c>
      <c r="L14947">
        <v>1308</v>
      </c>
      <c r="M14947" t="s">
        <v>32791</v>
      </c>
      <c r="N14947" t="s">
        <v>32792</v>
      </c>
      <c r="O14947" t="s">
        <v>108</v>
      </c>
      <c r="P14947" t="str">
        <f>"78130"</f>
        <v>78130</v>
      </c>
    </row>
    <row r="14948" spans="1:16" x14ac:dyDescent="0.25">
      <c r="A14948" t="str">
        <f>"1200042M00270    00"</f>
        <v>1200042M00270    00</v>
      </c>
      <c r="B14948" t="s">
        <v>32793</v>
      </c>
      <c r="C14948" t="s">
        <v>32794</v>
      </c>
      <c r="E14948" t="s">
        <v>39</v>
      </c>
      <c r="F14948">
        <v>0</v>
      </c>
      <c r="G14948">
        <v>0</v>
      </c>
      <c r="H14948">
        <v>1</v>
      </c>
      <c r="I14948" s="3">
        <v>334.16</v>
      </c>
      <c r="J14948" s="3">
        <v>0</v>
      </c>
      <c r="L14948">
        <v>2905</v>
      </c>
      <c r="M14948" t="s">
        <v>31104</v>
      </c>
      <c r="N14948" t="s">
        <v>30</v>
      </c>
      <c r="O14948" t="s">
        <v>31</v>
      </c>
      <c r="P14948" t="str">
        <f>"15204"</f>
        <v>15204</v>
      </c>
    </row>
    <row r="14949" spans="1:16" x14ac:dyDescent="0.25">
      <c r="A14949" t="str">
        <f>"1200042M00282    00"</f>
        <v>1200042M00282    00</v>
      </c>
      <c r="B14949" t="s">
        <v>32795</v>
      </c>
      <c r="C14949" t="s">
        <v>32796</v>
      </c>
      <c r="D14949" t="s">
        <v>20</v>
      </c>
      <c r="E14949" t="s">
        <v>39</v>
      </c>
      <c r="F14949">
        <v>0</v>
      </c>
      <c r="G14949">
        <v>0</v>
      </c>
      <c r="H14949">
        <v>2</v>
      </c>
      <c r="I14949" s="3">
        <v>1048.32</v>
      </c>
      <c r="J14949" s="3">
        <v>0</v>
      </c>
      <c r="L14949">
        <v>109</v>
      </c>
      <c r="M14949" t="s">
        <v>32797</v>
      </c>
      <c r="N14949" t="s">
        <v>2222</v>
      </c>
      <c r="O14949" t="s">
        <v>31</v>
      </c>
      <c r="P14949" t="str">
        <f>"15015"</f>
        <v>15015</v>
      </c>
    </row>
    <row r="14950" spans="1:16" x14ac:dyDescent="0.25">
      <c r="A14950" t="str">
        <f>"1200042M00286    00"</f>
        <v>1200042M00286    00</v>
      </c>
      <c r="B14950" t="s">
        <v>31960</v>
      </c>
      <c r="C14950" t="s">
        <v>32798</v>
      </c>
      <c r="E14950" t="s">
        <v>39</v>
      </c>
      <c r="F14950">
        <v>0</v>
      </c>
      <c r="G14950">
        <v>0</v>
      </c>
      <c r="H14950">
        <v>2</v>
      </c>
      <c r="I14950" s="3">
        <v>900.82</v>
      </c>
      <c r="J14950" s="3">
        <v>491.66</v>
      </c>
      <c r="L14950">
        <v>3122</v>
      </c>
      <c r="M14950" t="s">
        <v>16891</v>
      </c>
      <c r="N14950" t="s">
        <v>30</v>
      </c>
      <c r="O14950" t="s">
        <v>31</v>
      </c>
      <c r="P14950" t="str">
        <f>"15204"</f>
        <v>15204</v>
      </c>
    </row>
    <row r="14951" spans="1:16" x14ac:dyDescent="0.25">
      <c r="A14951" t="str">
        <f>"1200042M00289    00"</f>
        <v>1200042M00289    00</v>
      </c>
      <c r="B14951" t="s">
        <v>32799</v>
      </c>
      <c r="C14951" t="s">
        <v>31520</v>
      </c>
      <c r="D14951" t="s">
        <v>20</v>
      </c>
      <c r="E14951" t="s">
        <v>39</v>
      </c>
      <c r="F14951">
        <v>0</v>
      </c>
      <c r="G14951">
        <v>0</v>
      </c>
      <c r="H14951">
        <v>16</v>
      </c>
      <c r="I14951" s="3">
        <v>3369.52</v>
      </c>
      <c r="J14951" s="3">
        <v>2682.09</v>
      </c>
      <c r="L14951">
        <v>2910</v>
      </c>
      <c r="M14951" t="s">
        <v>31104</v>
      </c>
      <c r="N14951" t="s">
        <v>30</v>
      </c>
      <c r="O14951" t="s">
        <v>31</v>
      </c>
      <c r="P14951" t="str">
        <f>"15204"</f>
        <v>15204</v>
      </c>
    </row>
    <row r="14952" spans="1:16" x14ac:dyDescent="0.25">
      <c r="A14952" t="str">
        <f>"1200042M00295    00"</f>
        <v>1200042M00295    00</v>
      </c>
      <c r="B14952" t="s">
        <v>32800</v>
      </c>
      <c r="C14952" t="s">
        <v>32801</v>
      </c>
      <c r="D14952" t="s">
        <v>20</v>
      </c>
      <c r="E14952" t="s">
        <v>39</v>
      </c>
      <c r="F14952">
        <v>0</v>
      </c>
      <c r="G14952">
        <v>0</v>
      </c>
      <c r="H14952">
        <v>1</v>
      </c>
      <c r="I14952" s="3">
        <v>585.15</v>
      </c>
      <c r="J14952" s="3">
        <v>0</v>
      </c>
      <c r="K14952" t="s">
        <v>3621</v>
      </c>
      <c r="L14952">
        <v>3001</v>
      </c>
      <c r="M14952" t="s">
        <v>330</v>
      </c>
      <c r="N14952" t="s">
        <v>331</v>
      </c>
      <c r="O14952" t="s">
        <v>108</v>
      </c>
      <c r="P14952" t="str">
        <f>"75063"</f>
        <v>75063</v>
      </c>
    </row>
    <row r="14953" spans="1:16" x14ac:dyDescent="0.25">
      <c r="A14953" t="str">
        <f>"1200042M00301    00"</f>
        <v>1200042M00301    00</v>
      </c>
      <c r="B14953" t="s">
        <v>26795</v>
      </c>
      <c r="C14953" t="s">
        <v>32802</v>
      </c>
      <c r="E14953" t="s">
        <v>39</v>
      </c>
      <c r="F14953">
        <v>0</v>
      </c>
      <c r="G14953">
        <v>0</v>
      </c>
      <c r="H14953">
        <v>1</v>
      </c>
      <c r="I14953" s="3">
        <v>635.97</v>
      </c>
      <c r="J14953" s="3">
        <v>174.89</v>
      </c>
      <c r="K14953" t="s">
        <v>32803</v>
      </c>
      <c r="M14953" t="s">
        <v>26796</v>
      </c>
      <c r="N14953" t="s">
        <v>31521</v>
      </c>
      <c r="O14953" t="s">
        <v>31</v>
      </c>
      <c r="P14953" t="str">
        <f>"19006"</f>
        <v>19006</v>
      </c>
    </row>
    <row r="14954" spans="1:16" x14ac:dyDescent="0.25">
      <c r="A14954" t="str">
        <f>"1200042M00303    00"</f>
        <v>1200042M00303    00</v>
      </c>
      <c r="B14954" t="s">
        <v>32804</v>
      </c>
      <c r="C14954" t="s">
        <v>32805</v>
      </c>
      <c r="E14954" t="s">
        <v>39</v>
      </c>
      <c r="F14954">
        <v>0</v>
      </c>
      <c r="G14954">
        <v>0</v>
      </c>
      <c r="H14954">
        <v>1</v>
      </c>
      <c r="I14954" s="3">
        <v>712.86</v>
      </c>
      <c r="J14954" s="3">
        <v>0</v>
      </c>
      <c r="K14954" t="s">
        <v>408</v>
      </c>
      <c r="M14954" t="s">
        <v>409</v>
      </c>
      <c r="N14954" t="s">
        <v>410</v>
      </c>
      <c r="O14954" t="s">
        <v>31</v>
      </c>
      <c r="P14954" t="str">
        <f>"15701"</f>
        <v>15701</v>
      </c>
    </row>
    <row r="14955" spans="1:16" x14ac:dyDescent="0.25">
      <c r="A14955" t="str">
        <f>"1200042M00308    00"</f>
        <v>1200042M00308    00</v>
      </c>
      <c r="B14955" t="s">
        <v>32806</v>
      </c>
      <c r="C14955" t="s">
        <v>32807</v>
      </c>
      <c r="D14955" t="s">
        <v>20</v>
      </c>
      <c r="E14955" t="s">
        <v>39</v>
      </c>
      <c r="F14955">
        <v>0</v>
      </c>
      <c r="G14955">
        <v>0</v>
      </c>
      <c r="H14955">
        <v>4</v>
      </c>
      <c r="I14955" s="3">
        <v>1792.02</v>
      </c>
      <c r="J14955" s="3">
        <v>136.63</v>
      </c>
      <c r="L14955">
        <v>2956</v>
      </c>
      <c r="M14955" t="s">
        <v>31104</v>
      </c>
      <c r="N14955" t="s">
        <v>30</v>
      </c>
      <c r="O14955" t="s">
        <v>31</v>
      </c>
      <c r="P14955" t="str">
        <f>"15204"</f>
        <v>15204</v>
      </c>
    </row>
    <row r="14956" spans="1:16" x14ac:dyDescent="0.25">
      <c r="A14956" t="str">
        <f>"1200042M00312    00"</f>
        <v>1200042M00312    00</v>
      </c>
      <c r="B14956" t="s">
        <v>32808</v>
      </c>
      <c r="C14956" t="s">
        <v>32809</v>
      </c>
      <c r="D14956" t="s">
        <v>20</v>
      </c>
      <c r="E14956" t="s">
        <v>39</v>
      </c>
      <c r="F14956">
        <v>0</v>
      </c>
      <c r="G14956">
        <v>0</v>
      </c>
      <c r="H14956">
        <v>1</v>
      </c>
      <c r="I14956" s="3">
        <v>202.67</v>
      </c>
      <c r="J14956" s="3">
        <v>0</v>
      </c>
      <c r="M14956" t="s">
        <v>32810</v>
      </c>
      <c r="N14956" t="s">
        <v>5797</v>
      </c>
      <c r="O14956" t="s">
        <v>200</v>
      </c>
      <c r="P14956" t="str">
        <f>"11247"</f>
        <v>11247</v>
      </c>
    </row>
    <row r="14957" spans="1:16" x14ac:dyDescent="0.25">
      <c r="A14957" t="str">
        <f>"1200042M00324    00"</f>
        <v>1200042M00324    00</v>
      </c>
      <c r="B14957" t="s">
        <v>32811</v>
      </c>
      <c r="C14957" t="s">
        <v>32812</v>
      </c>
      <c r="D14957" t="s">
        <v>20</v>
      </c>
      <c r="E14957" t="s">
        <v>39</v>
      </c>
      <c r="F14957">
        <v>0</v>
      </c>
      <c r="G14957">
        <v>0</v>
      </c>
      <c r="H14957">
        <v>3</v>
      </c>
      <c r="I14957" s="3">
        <v>2039.89</v>
      </c>
      <c r="J14957" s="3">
        <v>0.09</v>
      </c>
      <c r="L14957">
        <v>102</v>
      </c>
      <c r="M14957" t="s">
        <v>32813</v>
      </c>
      <c r="N14957" t="s">
        <v>903</v>
      </c>
      <c r="O14957" t="s">
        <v>31</v>
      </c>
      <c r="P14957" t="str">
        <f>"15136"</f>
        <v>15136</v>
      </c>
    </row>
    <row r="14958" spans="1:16" x14ac:dyDescent="0.25">
      <c r="A14958" t="str">
        <f>"1200042M00326    00"</f>
        <v>1200042M00326    00</v>
      </c>
      <c r="B14958" t="s">
        <v>32814</v>
      </c>
      <c r="C14958" t="s">
        <v>31537</v>
      </c>
      <c r="D14958" t="s">
        <v>20</v>
      </c>
      <c r="E14958" t="s">
        <v>39</v>
      </c>
      <c r="F14958">
        <v>0</v>
      </c>
      <c r="G14958">
        <v>0</v>
      </c>
      <c r="H14958">
        <v>8</v>
      </c>
      <c r="I14958" s="3">
        <v>547.79999999999995</v>
      </c>
      <c r="J14958" s="3">
        <v>226.9</v>
      </c>
      <c r="L14958">
        <v>326</v>
      </c>
      <c r="M14958" t="s">
        <v>32815</v>
      </c>
      <c r="N14958" t="s">
        <v>30</v>
      </c>
      <c r="O14958" t="s">
        <v>31</v>
      </c>
      <c r="P14958" t="str">
        <f>"15204"</f>
        <v>15204</v>
      </c>
    </row>
    <row r="14959" spans="1:16" x14ac:dyDescent="0.25">
      <c r="A14959" t="str">
        <f>"1200042M00327    00"</f>
        <v>1200042M00327    00</v>
      </c>
      <c r="B14959" t="s">
        <v>32814</v>
      </c>
      <c r="C14959" t="s">
        <v>32816</v>
      </c>
      <c r="D14959" t="s">
        <v>20</v>
      </c>
      <c r="E14959" t="s">
        <v>39</v>
      </c>
      <c r="F14959">
        <v>0</v>
      </c>
      <c r="G14959">
        <v>0</v>
      </c>
      <c r="H14959">
        <v>3</v>
      </c>
      <c r="I14959" s="3">
        <v>1531.16</v>
      </c>
      <c r="J14959" s="3">
        <v>113.91</v>
      </c>
      <c r="L14959">
        <v>326</v>
      </c>
      <c r="M14959" t="s">
        <v>32817</v>
      </c>
      <c r="N14959" t="s">
        <v>30</v>
      </c>
      <c r="O14959" t="s">
        <v>31</v>
      </c>
      <c r="P14959" t="str">
        <f>"15204"</f>
        <v>15204</v>
      </c>
    </row>
    <row r="14960" spans="1:16" x14ac:dyDescent="0.25">
      <c r="A14960" t="str">
        <f>"1200042M00330    00"</f>
        <v>1200042M00330    00</v>
      </c>
      <c r="B14960" t="s">
        <v>32818</v>
      </c>
      <c r="C14960" t="s">
        <v>32819</v>
      </c>
      <c r="E14960" t="s">
        <v>39</v>
      </c>
      <c r="F14960">
        <v>0</v>
      </c>
      <c r="G14960">
        <v>0</v>
      </c>
      <c r="H14960">
        <v>1</v>
      </c>
      <c r="I14960" s="3">
        <v>246.62</v>
      </c>
      <c r="J14960" s="3">
        <v>0</v>
      </c>
      <c r="K14960" t="s">
        <v>32820</v>
      </c>
      <c r="L14960">
        <v>2928</v>
      </c>
      <c r="M14960" t="s">
        <v>31546</v>
      </c>
      <c r="N14960" t="s">
        <v>30</v>
      </c>
      <c r="O14960" t="s">
        <v>31</v>
      </c>
      <c r="P14960" t="str">
        <f>"15204"</f>
        <v>15204</v>
      </c>
    </row>
    <row r="14961" spans="1:16" x14ac:dyDescent="0.25">
      <c r="A14961" t="str">
        <f>"1200042M00333    00"</f>
        <v>1200042M00333    00</v>
      </c>
      <c r="B14961" t="s">
        <v>32821</v>
      </c>
      <c r="C14961" t="s">
        <v>32822</v>
      </c>
      <c r="D14961" t="s">
        <v>20</v>
      </c>
      <c r="E14961" t="s">
        <v>39</v>
      </c>
      <c r="F14961">
        <v>0</v>
      </c>
      <c r="G14961">
        <v>0</v>
      </c>
      <c r="H14961">
        <v>19</v>
      </c>
      <c r="I14961" s="3">
        <v>22071.16</v>
      </c>
      <c r="J14961" s="3">
        <v>23801.58</v>
      </c>
      <c r="K14961" t="s">
        <v>32823</v>
      </c>
      <c r="L14961">
        <v>416</v>
      </c>
      <c r="M14961" t="s">
        <v>32824</v>
      </c>
      <c r="N14961" t="s">
        <v>12579</v>
      </c>
      <c r="O14961" t="s">
        <v>31</v>
      </c>
      <c r="P14961" t="str">
        <f>"15112"</f>
        <v>15112</v>
      </c>
    </row>
    <row r="14962" spans="1:16" x14ac:dyDescent="0.25">
      <c r="A14962" t="str">
        <f>"1200042M00336    00"</f>
        <v>1200042M00336    00</v>
      </c>
      <c r="B14962" t="s">
        <v>32825</v>
      </c>
      <c r="C14962" t="s">
        <v>32826</v>
      </c>
      <c r="E14962" t="s">
        <v>39</v>
      </c>
      <c r="F14962">
        <v>0</v>
      </c>
      <c r="G14962">
        <v>0</v>
      </c>
      <c r="H14962">
        <v>1</v>
      </c>
      <c r="I14962" s="3">
        <v>885.47</v>
      </c>
      <c r="J14962" s="3">
        <v>243.49</v>
      </c>
      <c r="L14962">
        <v>137</v>
      </c>
      <c r="M14962" t="s">
        <v>32827</v>
      </c>
      <c r="N14962" t="s">
        <v>903</v>
      </c>
      <c r="O14962" t="s">
        <v>31</v>
      </c>
      <c r="P14962" t="str">
        <f>"15136"</f>
        <v>15136</v>
      </c>
    </row>
    <row r="14963" spans="1:16" x14ac:dyDescent="0.25">
      <c r="A14963" t="str">
        <f>"1200042N00006    00"</f>
        <v>1200042N00006    00</v>
      </c>
      <c r="B14963" t="s">
        <v>32828</v>
      </c>
      <c r="C14963" t="s">
        <v>32829</v>
      </c>
      <c r="E14963" t="s">
        <v>39</v>
      </c>
      <c r="F14963">
        <v>0</v>
      </c>
      <c r="G14963">
        <v>0</v>
      </c>
      <c r="H14963">
        <v>1</v>
      </c>
      <c r="I14963" s="3">
        <v>19.95</v>
      </c>
      <c r="J14963" s="3">
        <v>13.8</v>
      </c>
      <c r="K14963" t="s">
        <v>4397</v>
      </c>
      <c r="M14963" t="s">
        <v>7715</v>
      </c>
      <c r="N14963" t="s">
        <v>7716</v>
      </c>
      <c r="O14963" t="s">
        <v>3486</v>
      </c>
      <c r="P14963" t="str">
        <f>"60197"</f>
        <v>60197</v>
      </c>
    </row>
    <row r="14964" spans="1:16" x14ac:dyDescent="0.25">
      <c r="A14964" t="str">
        <f>"1200042N00022    00"</f>
        <v>1200042N00022    00</v>
      </c>
      <c r="B14964" t="s">
        <v>32830</v>
      </c>
      <c r="C14964" t="s">
        <v>32831</v>
      </c>
      <c r="D14964" t="s">
        <v>20</v>
      </c>
      <c r="E14964" t="s">
        <v>39</v>
      </c>
      <c r="F14964">
        <v>0</v>
      </c>
      <c r="G14964">
        <v>0</v>
      </c>
      <c r="H14964">
        <v>1</v>
      </c>
      <c r="I14964" s="3">
        <v>171.69</v>
      </c>
      <c r="J14964" s="3">
        <v>0</v>
      </c>
      <c r="L14964">
        <v>1217</v>
      </c>
      <c r="M14964" t="s">
        <v>32530</v>
      </c>
      <c r="N14964" t="s">
        <v>30</v>
      </c>
      <c r="O14964" t="s">
        <v>31</v>
      </c>
      <c r="P14964" t="str">
        <f>"15204"</f>
        <v>15204</v>
      </c>
    </row>
    <row r="14965" spans="1:16" x14ac:dyDescent="0.25">
      <c r="A14965" t="str">
        <f>"1200042N00023    00"</f>
        <v>1200042N00023    00</v>
      </c>
      <c r="B14965" t="s">
        <v>32832</v>
      </c>
      <c r="C14965" t="s">
        <v>32833</v>
      </c>
      <c r="D14965" t="s">
        <v>20</v>
      </c>
      <c r="E14965" t="s">
        <v>39</v>
      </c>
      <c r="F14965">
        <v>0</v>
      </c>
      <c r="G14965">
        <v>0</v>
      </c>
      <c r="H14965">
        <v>4</v>
      </c>
      <c r="I14965" s="3">
        <v>2187.7600000000002</v>
      </c>
      <c r="J14965" s="3">
        <v>269.39999999999998</v>
      </c>
      <c r="L14965">
        <v>1219</v>
      </c>
      <c r="M14965" t="s">
        <v>32530</v>
      </c>
      <c r="N14965" t="s">
        <v>30</v>
      </c>
      <c r="O14965" t="s">
        <v>31</v>
      </c>
      <c r="P14965" t="str">
        <f>"15204"</f>
        <v>15204</v>
      </c>
    </row>
    <row r="14966" spans="1:16" x14ac:dyDescent="0.25">
      <c r="A14966" t="str">
        <f>"1200042N00038    00"</f>
        <v>1200042N00038    00</v>
      </c>
      <c r="B14966" t="s">
        <v>32834</v>
      </c>
      <c r="C14966" t="s">
        <v>32835</v>
      </c>
      <c r="D14966" t="s">
        <v>20</v>
      </c>
      <c r="E14966" t="s">
        <v>39</v>
      </c>
      <c r="F14966">
        <v>0</v>
      </c>
      <c r="G14966">
        <v>0</v>
      </c>
      <c r="H14966">
        <v>7</v>
      </c>
      <c r="I14966" s="3">
        <v>4133.2700000000004</v>
      </c>
      <c r="J14966" s="3">
        <v>1116.02</v>
      </c>
      <c r="L14966">
        <v>1249</v>
      </c>
      <c r="M14966" t="s">
        <v>32530</v>
      </c>
      <c r="N14966" t="s">
        <v>30</v>
      </c>
      <c r="O14966" t="s">
        <v>31</v>
      </c>
      <c r="P14966" t="str">
        <f>"15204"</f>
        <v>15204</v>
      </c>
    </row>
    <row r="14967" spans="1:16" x14ac:dyDescent="0.25">
      <c r="A14967" t="str">
        <f>"1200042N00055    00"</f>
        <v>1200042N00055    00</v>
      </c>
      <c r="B14967" t="s">
        <v>32836</v>
      </c>
      <c r="C14967" t="s">
        <v>32837</v>
      </c>
      <c r="D14967" t="s">
        <v>20</v>
      </c>
      <c r="E14967" t="s">
        <v>39</v>
      </c>
      <c r="F14967">
        <v>0</v>
      </c>
      <c r="G14967">
        <v>0</v>
      </c>
      <c r="H14967">
        <v>17</v>
      </c>
      <c r="I14967" s="3">
        <v>11103.5</v>
      </c>
      <c r="J14967" s="3">
        <v>9556.82</v>
      </c>
      <c r="L14967">
        <v>1248</v>
      </c>
      <c r="M14967" t="s">
        <v>12119</v>
      </c>
      <c r="N14967" t="s">
        <v>30</v>
      </c>
      <c r="O14967" t="s">
        <v>31</v>
      </c>
      <c r="P14967" t="str">
        <f>"15204"</f>
        <v>15204</v>
      </c>
    </row>
    <row r="14968" spans="1:16" x14ac:dyDescent="0.25">
      <c r="A14968" t="str">
        <f>"1200042N00056    00"</f>
        <v>1200042N00056    00</v>
      </c>
      <c r="B14968" t="s">
        <v>32836</v>
      </c>
      <c r="C14968" t="s">
        <v>32838</v>
      </c>
      <c r="D14968" t="s">
        <v>20</v>
      </c>
      <c r="E14968" t="s">
        <v>39</v>
      </c>
      <c r="F14968">
        <v>0</v>
      </c>
      <c r="G14968">
        <v>0</v>
      </c>
      <c r="H14968">
        <v>6</v>
      </c>
      <c r="I14968" s="3">
        <v>482.76</v>
      </c>
      <c r="J14968" s="3">
        <v>139.28</v>
      </c>
      <c r="L14968">
        <v>1248</v>
      </c>
      <c r="M14968" t="s">
        <v>12119</v>
      </c>
      <c r="N14968" t="s">
        <v>30</v>
      </c>
      <c r="O14968" t="s">
        <v>31</v>
      </c>
      <c r="P14968" t="str">
        <f>"15204"</f>
        <v>15204</v>
      </c>
    </row>
    <row r="14969" spans="1:16" x14ac:dyDescent="0.25">
      <c r="A14969" t="str">
        <f>"1200042N00058    00"</f>
        <v>1200042N00058    00</v>
      </c>
      <c r="B14969" t="s">
        <v>31345</v>
      </c>
      <c r="C14969" t="s">
        <v>32839</v>
      </c>
      <c r="D14969" t="s">
        <v>20</v>
      </c>
      <c r="E14969" t="s">
        <v>39</v>
      </c>
      <c r="F14969">
        <v>0</v>
      </c>
      <c r="G14969">
        <v>0</v>
      </c>
      <c r="H14969">
        <v>1</v>
      </c>
      <c r="I14969" s="3">
        <v>1042.5999999999999</v>
      </c>
      <c r="J14969" s="3">
        <v>0</v>
      </c>
      <c r="K14969" t="s">
        <v>31347</v>
      </c>
      <c r="M14969" t="s">
        <v>32840</v>
      </c>
      <c r="N14969" t="s">
        <v>321</v>
      </c>
      <c r="O14969" t="s">
        <v>31</v>
      </c>
      <c r="P14969" t="str">
        <f>"15001"</f>
        <v>15001</v>
      </c>
    </row>
    <row r="14970" spans="1:16" x14ac:dyDescent="0.25">
      <c r="A14970" t="str">
        <f>"1200042N00059    00"</f>
        <v>1200042N00059    00</v>
      </c>
      <c r="B14970" t="s">
        <v>32841</v>
      </c>
      <c r="C14970" t="s">
        <v>32556</v>
      </c>
      <c r="D14970" t="s">
        <v>20</v>
      </c>
      <c r="E14970" t="s">
        <v>39</v>
      </c>
      <c r="F14970">
        <v>0</v>
      </c>
      <c r="G14970">
        <v>0</v>
      </c>
      <c r="H14970">
        <v>17</v>
      </c>
      <c r="I14970" s="3">
        <v>2812.27</v>
      </c>
      <c r="J14970" s="3">
        <v>1697.07</v>
      </c>
      <c r="K14970" t="s">
        <v>32842</v>
      </c>
      <c r="L14970">
        <v>1240</v>
      </c>
      <c r="M14970" t="s">
        <v>12119</v>
      </c>
      <c r="N14970" t="s">
        <v>30</v>
      </c>
      <c r="O14970" t="s">
        <v>31</v>
      </c>
      <c r="P14970" t="str">
        <f>"15204"</f>
        <v>15204</v>
      </c>
    </row>
    <row r="14971" spans="1:16" x14ac:dyDescent="0.25">
      <c r="A14971" t="str">
        <f>"1200042N00072    00"</f>
        <v>1200042N00072    00</v>
      </c>
      <c r="B14971" t="s">
        <v>32843</v>
      </c>
      <c r="C14971" t="s">
        <v>32844</v>
      </c>
      <c r="D14971" t="s">
        <v>20</v>
      </c>
      <c r="E14971" t="s">
        <v>39</v>
      </c>
      <c r="F14971">
        <v>0</v>
      </c>
      <c r="G14971">
        <v>0</v>
      </c>
      <c r="H14971">
        <v>2</v>
      </c>
      <c r="I14971" s="3">
        <v>1707.78</v>
      </c>
      <c r="J14971" s="3">
        <v>170.78</v>
      </c>
      <c r="L14971">
        <v>3229</v>
      </c>
      <c r="M14971" t="s">
        <v>32845</v>
      </c>
      <c r="N14971" t="s">
        <v>30</v>
      </c>
      <c r="O14971" t="s">
        <v>31</v>
      </c>
      <c r="P14971" t="str">
        <f>"15204"</f>
        <v>15204</v>
      </c>
    </row>
    <row r="14972" spans="1:16" x14ac:dyDescent="0.25">
      <c r="A14972" t="str">
        <f>"1200042N00087    00"</f>
        <v>1200042N00087    00</v>
      </c>
      <c r="B14972" t="s">
        <v>32846</v>
      </c>
      <c r="C14972" t="s">
        <v>32499</v>
      </c>
      <c r="D14972" t="s">
        <v>20</v>
      </c>
      <c r="E14972" t="s">
        <v>39</v>
      </c>
      <c r="F14972">
        <v>0</v>
      </c>
      <c r="G14972">
        <v>0</v>
      </c>
      <c r="H14972">
        <v>5</v>
      </c>
      <c r="I14972" s="3">
        <v>1331.24</v>
      </c>
      <c r="J14972" s="3">
        <v>329.69</v>
      </c>
      <c r="M14972" t="s">
        <v>21995</v>
      </c>
      <c r="N14972" t="s">
        <v>30</v>
      </c>
      <c r="O14972" t="s">
        <v>31</v>
      </c>
      <c r="P14972" t="str">
        <f>"15232"</f>
        <v>15232</v>
      </c>
    </row>
    <row r="14973" spans="1:16" x14ac:dyDescent="0.25">
      <c r="A14973" t="str">
        <f>"1200042N00088    00"</f>
        <v>1200042N00088    00</v>
      </c>
      <c r="B14973" t="s">
        <v>31966</v>
      </c>
      <c r="C14973" t="s">
        <v>32847</v>
      </c>
      <c r="D14973" t="s">
        <v>20</v>
      </c>
      <c r="E14973" t="s">
        <v>39</v>
      </c>
      <c r="F14973">
        <v>0</v>
      </c>
      <c r="G14973">
        <v>0</v>
      </c>
      <c r="H14973">
        <v>2</v>
      </c>
      <c r="I14973" s="3">
        <v>892</v>
      </c>
      <c r="J14973" s="3">
        <v>0</v>
      </c>
      <c r="K14973" t="s">
        <v>32848</v>
      </c>
      <c r="L14973">
        <v>2000</v>
      </c>
      <c r="M14973" t="s">
        <v>31969</v>
      </c>
      <c r="N14973" t="s">
        <v>826</v>
      </c>
      <c r="O14973" t="s">
        <v>31</v>
      </c>
      <c r="P14973" t="str">
        <f>"15601"</f>
        <v>15601</v>
      </c>
    </row>
    <row r="14974" spans="1:16" x14ac:dyDescent="0.25">
      <c r="A14974" t="str">
        <f>"1200042N00095    00"</f>
        <v>1200042N00095    00</v>
      </c>
      <c r="B14974" t="s">
        <v>32849</v>
      </c>
      <c r="C14974" t="s">
        <v>32850</v>
      </c>
      <c r="D14974" t="s">
        <v>20</v>
      </c>
      <c r="E14974" t="s">
        <v>39</v>
      </c>
      <c r="F14974">
        <v>0</v>
      </c>
      <c r="G14974">
        <v>0</v>
      </c>
      <c r="H14974">
        <v>3</v>
      </c>
      <c r="I14974" s="3">
        <v>1006.38</v>
      </c>
      <c r="J14974" s="3">
        <v>67.09</v>
      </c>
      <c r="K14974" t="s">
        <v>32851</v>
      </c>
      <c r="L14974">
        <v>1420</v>
      </c>
      <c r="M14974" t="s">
        <v>2505</v>
      </c>
      <c r="N14974" t="s">
        <v>30</v>
      </c>
      <c r="O14974" t="s">
        <v>31</v>
      </c>
      <c r="P14974" t="str">
        <f>"15204"</f>
        <v>15204</v>
      </c>
    </row>
    <row r="14975" spans="1:16" x14ac:dyDescent="0.25">
      <c r="A14975" t="str">
        <f>"1200042N00096    00"</f>
        <v>1200042N00096    00</v>
      </c>
      <c r="B14975" t="s">
        <v>32852</v>
      </c>
      <c r="C14975" t="s">
        <v>32853</v>
      </c>
      <c r="D14975" t="s">
        <v>20</v>
      </c>
      <c r="E14975" t="s">
        <v>39</v>
      </c>
      <c r="F14975">
        <v>0</v>
      </c>
      <c r="G14975">
        <v>0</v>
      </c>
      <c r="H14975">
        <v>19</v>
      </c>
      <c r="I14975" s="3">
        <v>11704.88</v>
      </c>
      <c r="J14975" s="3">
        <v>11992.77</v>
      </c>
      <c r="L14975">
        <v>1221</v>
      </c>
      <c r="M14975" t="s">
        <v>12119</v>
      </c>
      <c r="N14975" t="s">
        <v>30</v>
      </c>
      <c r="O14975" t="s">
        <v>31</v>
      </c>
      <c r="P14975" t="str">
        <f>"15204"</f>
        <v>15204</v>
      </c>
    </row>
    <row r="14976" spans="1:16" x14ac:dyDescent="0.25">
      <c r="A14976" t="str">
        <f>"1200042N00098    00"</f>
        <v>1200042N00098    00</v>
      </c>
      <c r="B14976" t="s">
        <v>32854</v>
      </c>
      <c r="C14976" t="s">
        <v>32855</v>
      </c>
      <c r="D14976" t="s">
        <v>20</v>
      </c>
      <c r="E14976" t="s">
        <v>39</v>
      </c>
      <c r="F14976">
        <v>0</v>
      </c>
      <c r="G14976">
        <v>0</v>
      </c>
      <c r="H14976">
        <v>2</v>
      </c>
      <c r="I14976" s="3">
        <v>1645.23</v>
      </c>
      <c r="J14976" s="3">
        <v>0</v>
      </c>
      <c r="L14976">
        <v>1223</v>
      </c>
      <c r="M14976" t="s">
        <v>12119</v>
      </c>
      <c r="N14976" t="s">
        <v>30</v>
      </c>
      <c r="O14976" t="s">
        <v>31</v>
      </c>
      <c r="P14976" t="str">
        <f>"15204"</f>
        <v>15204</v>
      </c>
    </row>
    <row r="14977" spans="1:16" x14ac:dyDescent="0.25">
      <c r="A14977" t="str">
        <f>"1200042N00100    00"</f>
        <v>1200042N00100    00</v>
      </c>
      <c r="B14977" t="s">
        <v>16145</v>
      </c>
      <c r="C14977" t="s">
        <v>32856</v>
      </c>
      <c r="D14977" t="s">
        <v>20</v>
      </c>
      <c r="E14977" t="s">
        <v>39</v>
      </c>
      <c r="F14977">
        <v>0</v>
      </c>
      <c r="G14977">
        <v>0</v>
      </c>
      <c r="H14977">
        <v>17</v>
      </c>
      <c r="I14977" s="3">
        <v>14872.6</v>
      </c>
      <c r="J14977" s="3">
        <v>11142.43</v>
      </c>
      <c r="L14977">
        <v>78</v>
      </c>
      <c r="M14977" t="s">
        <v>12551</v>
      </c>
      <c r="N14977" t="s">
        <v>30</v>
      </c>
      <c r="O14977" t="s">
        <v>31</v>
      </c>
      <c r="P14977" t="str">
        <f>"15235"</f>
        <v>15235</v>
      </c>
    </row>
    <row r="14978" spans="1:16" x14ac:dyDescent="0.25">
      <c r="A14978" t="str">
        <f>"1200042N00108    00"</f>
        <v>1200042N00108    00</v>
      </c>
      <c r="B14978" t="s">
        <v>32857</v>
      </c>
      <c r="C14978" t="s">
        <v>32858</v>
      </c>
      <c r="D14978" t="s">
        <v>20</v>
      </c>
      <c r="E14978" t="s">
        <v>21</v>
      </c>
      <c r="F14978">
        <v>0</v>
      </c>
      <c r="G14978">
        <v>0</v>
      </c>
      <c r="H14978">
        <v>1</v>
      </c>
      <c r="I14978" s="3">
        <v>1134.08</v>
      </c>
      <c r="J14978" s="3">
        <v>0</v>
      </c>
      <c r="L14978">
        <v>3204</v>
      </c>
      <c r="M14978" t="s">
        <v>16891</v>
      </c>
      <c r="N14978" t="s">
        <v>30</v>
      </c>
      <c r="O14978" t="s">
        <v>31</v>
      </c>
      <c r="P14978" t="str">
        <f>"15204"</f>
        <v>15204</v>
      </c>
    </row>
    <row r="14979" spans="1:16" x14ac:dyDescent="0.25">
      <c r="A14979" t="str">
        <f>"1200042N00131    00"</f>
        <v>1200042N00131    00</v>
      </c>
      <c r="B14979" t="s">
        <v>25853</v>
      </c>
      <c r="C14979" t="s">
        <v>32859</v>
      </c>
      <c r="D14979" t="s">
        <v>20</v>
      </c>
      <c r="E14979" t="s">
        <v>39</v>
      </c>
      <c r="F14979">
        <v>0</v>
      </c>
      <c r="G14979">
        <v>0</v>
      </c>
      <c r="H14979">
        <v>3</v>
      </c>
      <c r="I14979" s="3">
        <v>3144.96</v>
      </c>
      <c r="J14979" s="3">
        <v>209.66</v>
      </c>
      <c r="K14979" t="s">
        <v>25855</v>
      </c>
      <c r="L14979">
        <v>1420</v>
      </c>
      <c r="M14979" t="s">
        <v>14151</v>
      </c>
      <c r="N14979" t="s">
        <v>30</v>
      </c>
      <c r="O14979" t="s">
        <v>31</v>
      </c>
      <c r="P14979" t="str">
        <f>"15212"</f>
        <v>15212</v>
      </c>
    </row>
    <row r="14980" spans="1:16" x14ac:dyDescent="0.25">
      <c r="A14980" t="str">
        <f>"1200042N00137    00"</f>
        <v>1200042N00137    00</v>
      </c>
      <c r="B14980" t="s">
        <v>32860</v>
      </c>
      <c r="C14980" t="s">
        <v>32861</v>
      </c>
      <c r="D14980" t="s">
        <v>20</v>
      </c>
      <c r="E14980" t="s">
        <v>39</v>
      </c>
      <c r="F14980">
        <v>0</v>
      </c>
      <c r="G14980">
        <v>0</v>
      </c>
      <c r="H14980">
        <v>4</v>
      </c>
      <c r="I14980" s="3">
        <v>1817.66</v>
      </c>
      <c r="J14980" s="3">
        <v>200.85</v>
      </c>
      <c r="L14980">
        <v>1110</v>
      </c>
      <c r="M14980" t="s">
        <v>32567</v>
      </c>
      <c r="N14980" t="s">
        <v>30</v>
      </c>
      <c r="O14980" t="s">
        <v>31</v>
      </c>
      <c r="P14980" t="str">
        <f>"15204"</f>
        <v>15204</v>
      </c>
    </row>
    <row r="14981" spans="1:16" x14ac:dyDescent="0.25">
      <c r="A14981" t="str">
        <f>"1200042N00148    00"</f>
        <v>1200042N00148    00</v>
      </c>
      <c r="B14981" t="s">
        <v>32862</v>
      </c>
      <c r="C14981" t="s">
        <v>32863</v>
      </c>
      <c r="D14981" t="s">
        <v>20</v>
      </c>
      <c r="E14981" t="s">
        <v>39</v>
      </c>
      <c r="F14981">
        <v>0</v>
      </c>
      <c r="G14981">
        <v>0</v>
      </c>
      <c r="H14981">
        <v>1</v>
      </c>
      <c r="I14981" s="3">
        <v>596.59</v>
      </c>
      <c r="J14981" s="3">
        <v>0</v>
      </c>
      <c r="L14981">
        <v>6860</v>
      </c>
      <c r="M14981" t="s">
        <v>32864</v>
      </c>
      <c r="N14981" t="s">
        <v>6603</v>
      </c>
      <c r="O14981" t="s">
        <v>31</v>
      </c>
      <c r="P14981" t="str">
        <f>"15122"</f>
        <v>15122</v>
      </c>
    </row>
    <row r="14982" spans="1:16" x14ac:dyDescent="0.25">
      <c r="A14982" t="str">
        <f>"1200042N00150    00"</f>
        <v>1200042N00150    00</v>
      </c>
      <c r="B14982" t="s">
        <v>32865</v>
      </c>
      <c r="C14982" t="s">
        <v>32583</v>
      </c>
      <c r="D14982" t="s">
        <v>20</v>
      </c>
      <c r="E14982" t="s">
        <v>39</v>
      </c>
      <c r="F14982">
        <v>0</v>
      </c>
      <c r="G14982">
        <v>0</v>
      </c>
      <c r="H14982">
        <v>2</v>
      </c>
      <c r="I14982" s="3">
        <v>251.42</v>
      </c>
      <c r="J14982" s="3">
        <v>0</v>
      </c>
      <c r="K14982" t="s">
        <v>32866</v>
      </c>
      <c r="L14982">
        <v>1111</v>
      </c>
      <c r="M14982" t="s">
        <v>32567</v>
      </c>
      <c r="N14982" t="s">
        <v>30</v>
      </c>
      <c r="O14982" t="s">
        <v>31</v>
      </c>
      <c r="P14982" t="str">
        <f>"15204"</f>
        <v>15204</v>
      </c>
    </row>
    <row r="14983" spans="1:16" x14ac:dyDescent="0.25">
      <c r="A14983" t="str">
        <f>"1200042N00153    00"</f>
        <v>1200042N00153    00</v>
      </c>
      <c r="B14983" t="s">
        <v>32867</v>
      </c>
      <c r="C14983" t="s">
        <v>32868</v>
      </c>
      <c r="D14983" t="s">
        <v>20</v>
      </c>
      <c r="E14983" t="s">
        <v>39</v>
      </c>
      <c r="F14983">
        <v>0</v>
      </c>
      <c r="G14983">
        <v>0</v>
      </c>
      <c r="H14983">
        <v>17</v>
      </c>
      <c r="I14983" s="3">
        <v>10575.22</v>
      </c>
      <c r="J14983" s="3">
        <v>7635.66</v>
      </c>
      <c r="L14983">
        <v>948</v>
      </c>
      <c r="M14983" t="s">
        <v>32756</v>
      </c>
      <c r="N14983" t="s">
        <v>30</v>
      </c>
      <c r="O14983" t="s">
        <v>31</v>
      </c>
      <c r="P14983" t="str">
        <f>"15216"</f>
        <v>15216</v>
      </c>
    </row>
    <row r="14984" spans="1:16" x14ac:dyDescent="0.25">
      <c r="A14984" t="str">
        <f>"1200042N00154    00"</f>
        <v>1200042N00154    00</v>
      </c>
      <c r="B14984" t="s">
        <v>32869</v>
      </c>
      <c r="C14984" t="s">
        <v>32870</v>
      </c>
      <c r="D14984" t="s">
        <v>20</v>
      </c>
      <c r="E14984" t="s">
        <v>39</v>
      </c>
      <c r="F14984">
        <v>0</v>
      </c>
      <c r="G14984">
        <v>0</v>
      </c>
      <c r="H14984">
        <v>12</v>
      </c>
      <c r="I14984" s="3">
        <v>10124.92</v>
      </c>
      <c r="J14984" s="3">
        <v>5103</v>
      </c>
      <c r="L14984">
        <v>12204</v>
      </c>
      <c r="M14984" t="s">
        <v>32871</v>
      </c>
      <c r="N14984" t="s">
        <v>1412</v>
      </c>
      <c r="O14984" t="s">
        <v>1413</v>
      </c>
      <c r="P14984" t="str">
        <f>"28227"</f>
        <v>28227</v>
      </c>
    </row>
    <row r="14985" spans="1:16" x14ac:dyDescent="0.25">
      <c r="A14985" t="str">
        <f>"1200042N00163    00"</f>
        <v>1200042N00163    00</v>
      </c>
      <c r="B14985" t="s">
        <v>32872</v>
      </c>
      <c r="C14985" t="s">
        <v>32873</v>
      </c>
      <c r="E14985" t="s">
        <v>39</v>
      </c>
      <c r="F14985">
        <v>0</v>
      </c>
      <c r="G14985">
        <v>0</v>
      </c>
      <c r="H14985">
        <v>2</v>
      </c>
      <c r="I14985" s="3">
        <v>210.96</v>
      </c>
      <c r="J14985" s="3">
        <v>0.02</v>
      </c>
      <c r="L14985">
        <v>1209</v>
      </c>
      <c r="M14985" t="s">
        <v>32567</v>
      </c>
      <c r="N14985" t="s">
        <v>30</v>
      </c>
      <c r="O14985" t="s">
        <v>31</v>
      </c>
      <c r="P14985" t="str">
        <f>"15204"</f>
        <v>15204</v>
      </c>
    </row>
    <row r="14986" spans="1:16" x14ac:dyDescent="0.25">
      <c r="A14986" t="str">
        <f>"1200042N00166    00"</f>
        <v>1200042N00166    00</v>
      </c>
      <c r="B14986" t="s">
        <v>32874</v>
      </c>
      <c r="C14986" t="s">
        <v>32875</v>
      </c>
      <c r="D14986" t="s">
        <v>20</v>
      </c>
      <c r="E14986" t="s">
        <v>39</v>
      </c>
      <c r="F14986">
        <v>0</v>
      </c>
      <c r="G14986">
        <v>0</v>
      </c>
      <c r="H14986">
        <v>16</v>
      </c>
      <c r="I14986" s="3">
        <v>13547.8</v>
      </c>
      <c r="J14986" s="3">
        <v>9851.5</v>
      </c>
      <c r="M14986" t="s">
        <v>32876</v>
      </c>
      <c r="N14986" t="s">
        <v>30</v>
      </c>
      <c r="O14986" t="s">
        <v>31</v>
      </c>
      <c r="P14986" t="str">
        <f>"15242"</f>
        <v>15242</v>
      </c>
    </row>
    <row r="14987" spans="1:16" x14ac:dyDescent="0.25">
      <c r="A14987" t="str">
        <f>"1200042N00168    00"</f>
        <v>1200042N00168    00</v>
      </c>
      <c r="B14987" t="s">
        <v>32877</v>
      </c>
      <c r="C14987" t="s">
        <v>32878</v>
      </c>
      <c r="D14987" t="s">
        <v>20</v>
      </c>
      <c r="E14987" t="s">
        <v>39</v>
      </c>
      <c r="F14987">
        <v>0</v>
      </c>
      <c r="G14987">
        <v>0</v>
      </c>
      <c r="H14987">
        <v>2</v>
      </c>
      <c r="I14987" s="3">
        <v>1143.5999999999999</v>
      </c>
      <c r="J14987" s="3">
        <v>0</v>
      </c>
      <c r="K14987" t="s">
        <v>31187</v>
      </c>
      <c r="L14987">
        <v>825</v>
      </c>
      <c r="M14987" t="s">
        <v>11611</v>
      </c>
      <c r="N14987" t="s">
        <v>30</v>
      </c>
      <c r="O14987" t="s">
        <v>31</v>
      </c>
      <c r="P14987" t="str">
        <f>"15211"</f>
        <v>15211</v>
      </c>
    </row>
    <row r="14988" spans="1:16" x14ac:dyDescent="0.25">
      <c r="A14988" t="str">
        <f>"1200042N00176    00"</f>
        <v>1200042N00176    00</v>
      </c>
      <c r="B14988" t="s">
        <v>32879</v>
      </c>
      <c r="C14988" t="s">
        <v>32880</v>
      </c>
      <c r="D14988" t="s">
        <v>20</v>
      </c>
      <c r="E14988" t="s">
        <v>39</v>
      </c>
      <c r="F14988">
        <v>0</v>
      </c>
      <c r="G14988">
        <v>0</v>
      </c>
      <c r="H14988">
        <v>3</v>
      </c>
      <c r="I14988" s="3">
        <v>224.67</v>
      </c>
      <c r="J14988" s="3">
        <v>14.98</v>
      </c>
      <c r="K14988" t="s">
        <v>32881</v>
      </c>
      <c r="L14988">
        <v>1208</v>
      </c>
      <c r="M14988" t="s">
        <v>32882</v>
      </c>
      <c r="N14988" t="s">
        <v>30</v>
      </c>
      <c r="O14988" t="s">
        <v>31</v>
      </c>
      <c r="P14988" t="str">
        <f>"15204"</f>
        <v>15204</v>
      </c>
    </row>
    <row r="14989" spans="1:16" x14ac:dyDescent="0.25">
      <c r="A14989" t="str">
        <f>"1200042N00177    00"</f>
        <v>1200042N00177    00</v>
      </c>
      <c r="B14989" t="s">
        <v>32883</v>
      </c>
      <c r="C14989" t="s">
        <v>32884</v>
      </c>
      <c r="E14989" t="s">
        <v>39</v>
      </c>
      <c r="F14989">
        <v>0</v>
      </c>
      <c r="G14989">
        <v>0</v>
      </c>
      <c r="H14989">
        <v>15</v>
      </c>
      <c r="I14989" s="3">
        <v>7971.1</v>
      </c>
      <c r="J14989" s="3">
        <v>9962.57</v>
      </c>
      <c r="K14989" t="s">
        <v>12133</v>
      </c>
      <c r="M14989" t="s">
        <v>12134</v>
      </c>
      <c r="N14989" t="s">
        <v>30</v>
      </c>
      <c r="O14989" t="s">
        <v>31</v>
      </c>
      <c r="P14989" t="str">
        <f>"15241"</f>
        <v>15241</v>
      </c>
    </row>
    <row r="14990" spans="1:16" x14ac:dyDescent="0.25">
      <c r="A14990" t="str">
        <f>"1200042N00195    00"</f>
        <v>1200042N00195    00</v>
      </c>
      <c r="B14990" t="s">
        <v>32885</v>
      </c>
      <c r="C14990" t="s">
        <v>32886</v>
      </c>
      <c r="E14990" t="s">
        <v>39</v>
      </c>
      <c r="F14990">
        <v>0</v>
      </c>
      <c r="G14990">
        <v>0</v>
      </c>
      <c r="H14990">
        <v>1</v>
      </c>
      <c r="I14990" s="3">
        <v>705.75</v>
      </c>
      <c r="J14990" s="3">
        <v>0</v>
      </c>
      <c r="L14990">
        <v>1123</v>
      </c>
      <c r="M14990" t="s">
        <v>32882</v>
      </c>
      <c r="N14990" t="s">
        <v>30</v>
      </c>
      <c r="O14990" t="s">
        <v>31</v>
      </c>
      <c r="P14990" t="str">
        <f t="shared" ref="P14990:P14995" si="190">"15204"</f>
        <v>15204</v>
      </c>
    </row>
    <row r="14991" spans="1:16" x14ac:dyDescent="0.25">
      <c r="A14991" t="str">
        <f>"1200042N00220    00"</f>
        <v>1200042N00220    00</v>
      </c>
      <c r="B14991" t="s">
        <v>32887</v>
      </c>
      <c r="C14991" t="s">
        <v>32888</v>
      </c>
      <c r="D14991" t="s">
        <v>20</v>
      </c>
      <c r="E14991" t="s">
        <v>39</v>
      </c>
      <c r="F14991">
        <v>0</v>
      </c>
      <c r="G14991">
        <v>0</v>
      </c>
      <c r="H14991">
        <v>16</v>
      </c>
      <c r="I14991" s="3">
        <v>5122.3500000000004</v>
      </c>
      <c r="J14991" s="3">
        <v>4217.93</v>
      </c>
      <c r="L14991">
        <v>2617</v>
      </c>
      <c r="M14991" t="s">
        <v>31104</v>
      </c>
      <c r="N14991" t="s">
        <v>30</v>
      </c>
      <c r="O14991" t="s">
        <v>31</v>
      </c>
      <c r="P14991" t="str">
        <f t="shared" si="190"/>
        <v>15204</v>
      </c>
    </row>
    <row r="14992" spans="1:16" x14ac:dyDescent="0.25">
      <c r="A14992" t="str">
        <f>"1200042N00234    00"</f>
        <v>1200042N00234    00</v>
      </c>
      <c r="B14992" t="s">
        <v>32889</v>
      </c>
      <c r="C14992" t="s">
        <v>32890</v>
      </c>
      <c r="D14992" t="s">
        <v>20</v>
      </c>
      <c r="E14992" t="s">
        <v>39</v>
      </c>
      <c r="F14992">
        <v>0</v>
      </c>
      <c r="G14992">
        <v>0</v>
      </c>
      <c r="H14992">
        <v>2</v>
      </c>
      <c r="I14992" s="3">
        <v>552.88</v>
      </c>
      <c r="J14992" s="3">
        <v>0</v>
      </c>
      <c r="K14992" t="s">
        <v>32891</v>
      </c>
      <c r="L14992">
        <v>3001</v>
      </c>
      <c r="M14992" t="s">
        <v>32892</v>
      </c>
      <c r="N14992" t="s">
        <v>30</v>
      </c>
      <c r="O14992" t="s">
        <v>31</v>
      </c>
      <c r="P14992" t="str">
        <f t="shared" si="190"/>
        <v>15204</v>
      </c>
    </row>
    <row r="14993" spans="1:16" x14ac:dyDescent="0.25">
      <c r="A14993" t="str">
        <f>"1200042N00235    00"</f>
        <v>1200042N00235    00</v>
      </c>
      <c r="B14993" t="s">
        <v>32893</v>
      </c>
      <c r="C14993" t="s">
        <v>32894</v>
      </c>
      <c r="D14993" t="s">
        <v>20</v>
      </c>
      <c r="E14993" t="s">
        <v>39</v>
      </c>
      <c r="F14993">
        <v>0</v>
      </c>
      <c r="G14993">
        <v>0</v>
      </c>
      <c r="H14993">
        <v>2</v>
      </c>
      <c r="I14993" s="3">
        <v>292.52</v>
      </c>
      <c r="J14993" s="3">
        <v>0</v>
      </c>
      <c r="L14993">
        <v>1226</v>
      </c>
      <c r="M14993" t="s">
        <v>31943</v>
      </c>
      <c r="N14993" t="s">
        <v>30</v>
      </c>
      <c r="O14993" t="s">
        <v>31</v>
      </c>
      <c r="P14993" t="str">
        <f t="shared" si="190"/>
        <v>15204</v>
      </c>
    </row>
    <row r="14994" spans="1:16" x14ac:dyDescent="0.25">
      <c r="A14994" t="str">
        <f>"1200042N00251    00"</f>
        <v>1200042N00251    00</v>
      </c>
      <c r="B14994" t="s">
        <v>32895</v>
      </c>
      <c r="C14994" t="s">
        <v>32896</v>
      </c>
      <c r="D14994" t="s">
        <v>20</v>
      </c>
      <c r="E14994" t="s">
        <v>39</v>
      </c>
      <c r="F14994">
        <v>0</v>
      </c>
      <c r="G14994">
        <v>0</v>
      </c>
      <c r="H14994">
        <v>1</v>
      </c>
      <c r="I14994" s="3">
        <v>911.08</v>
      </c>
      <c r="J14994" s="3">
        <v>0</v>
      </c>
      <c r="K14994" t="s">
        <v>32897</v>
      </c>
      <c r="L14994">
        <v>3146</v>
      </c>
      <c r="M14994" t="s">
        <v>32898</v>
      </c>
      <c r="N14994" t="s">
        <v>30</v>
      </c>
      <c r="O14994" t="s">
        <v>31</v>
      </c>
      <c r="P14994" t="str">
        <f t="shared" si="190"/>
        <v>15204</v>
      </c>
    </row>
    <row r="14995" spans="1:16" x14ac:dyDescent="0.25">
      <c r="A14995" t="str">
        <f>"1200042N00253    00"</f>
        <v>1200042N00253    00</v>
      </c>
      <c r="B14995" t="s">
        <v>32899</v>
      </c>
      <c r="C14995" t="s">
        <v>32900</v>
      </c>
      <c r="D14995" t="s">
        <v>20</v>
      </c>
      <c r="E14995" t="s">
        <v>39</v>
      </c>
      <c r="F14995">
        <v>0</v>
      </c>
      <c r="G14995">
        <v>0</v>
      </c>
      <c r="H14995">
        <v>3</v>
      </c>
      <c r="I14995" s="3">
        <v>3127.77</v>
      </c>
      <c r="J14995" s="3">
        <v>208.51</v>
      </c>
      <c r="L14995">
        <v>768</v>
      </c>
      <c r="M14995" t="s">
        <v>24163</v>
      </c>
      <c r="N14995" t="s">
        <v>30</v>
      </c>
      <c r="O14995" t="s">
        <v>31</v>
      </c>
      <c r="P14995" t="str">
        <f t="shared" si="190"/>
        <v>15204</v>
      </c>
    </row>
    <row r="14996" spans="1:16" x14ac:dyDescent="0.25">
      <c r="A14996" t="str">
        <f>"1200042N00262    00"</f>
        <v>1200042N00262    00</v>
      </c>
      <c r="B14996" t="s">
        <v>32901</v>
      </c>
      <c r="C14996" t="s">
        <v>32902</v>
      </c>
      <c r="D14996" t="s">
        <v>20</v>
      </c>
      <c r="E14996" t="s">
        <v>39</v>
      </c>
      <c r="F14996">
        <v>0</v>
      </c>
      <c r="G14996">
        <v>0</v>
      </c>
      <c r="H14996">
        <v>15</v>
      </c>
      <c r="I14996" s="3">
        <v>4797.93</v>
      </c>
      <c r="J14996" s="3">
        <v>3766.21</v>
      </c>
      <c r="L14996">
        <v>500</v>
      </c>
      <c r="M14996" t="s">
        <v>32903</v>
      </c>
      <c r="N14996" t="s">
        <v>903</v>
      </c>
      <c r="O14996" t="s">
        <v>31</v>
      </c>
      <c r="P14996" t="str">
        <f>"15136"</f>
        <v>15136</v>
      </c>
    </row>
    <row r="14997" spans="1:16" x14ac:dyDescent="0.25">
      <c r="A14997" t="str">
        <f>"1200042N00274    00"</f>
        <v>1200042N00274    00</v>
      </c>
      <c r="B14997" t="s">
        <v>32904</v>
      </c>
      <c r="C14997" t="s">
        <v>32905</v>
      </c>
      <c r="D14997" t="s">
        <v>20</v>
      </c>
      <c r="E14997" t="s">
        <v>39</v>
      </c>
      <c r="F14997">
        <v>0</v>
      </c>
      <c r="G14997">
        <v>0</v>
      </c>
      <c r="H14997">
        <v>2</v>
      </c>
      <c r="I14997" s="3">
        <v>1084.1500000000001</v>
      </c>
      <c r="J14997" s="3">
        <v>0</v>
      </c>
      <c r="L14997">
        <v>213</v>
      </c>
      <c r="M14997" t="s">
        <v>26459</v>
      </c>
      <c r="N14997" t="s">
        <v>30</v>
      </c>
      <c r="O14997" t="s">
        <v>31</v>
      </c>
      <c r="P14997" t="str">
        <f>"15214"</f>
        <v>15214</v>
      </c>
    </row>
    <row r="14998" spans="1:16" x14ac:dyDescent="0.25">
      <c r="A14998" t="str">
        <f>"1200042N00277    00"</f>
        <v>1200042N00277    00</v>
      </c>
      <c r="B14998" t="s">
        <v>32906</v>
      </c>
      <c r="C14998" t="s">
        <v>32907</v>
      </c>
      <c r="D14998" t="s">
        <v>57</v>
      </c>
      <c r="E14998" t="s">
        <v>39</v>
      </c>
      <c r="F14998">
        <v>0</v>
      </c>
      <c r="G14998">
        <v>0</v>
      </c>
      <c r="H14998">
        <v>1</v>
      </c>
      <c r="I14998" s="3">
        <v>386.43</v>
      </c>
      <c r="J14998" s="3">
        <v>0</v>
      </c>
      <c r="L14998">
        <v>1238</v>
      </c>
      <c r="M14998" t="s">
        <v>31899</v>
      </c>
      <c r="N14998" t="s">
        <v>30</v>
      </c>
      <c r="O14998" t="s">
        <v>31</v>
      </c>
      <c r="P14998" t="str">
        <f>"15204"</f>
        <v>15204</v>
      </c>
    </row>
    <row r="14999" spans="1:16" x14ac:dyDescent="0.25">
      <c r="A14999" t="str">
        <f>"1200042N00311    00"</f>
        <v>1200042N00311    00</v>
      </c>
      <c r="B14999" t="s">
        <v>32908</v>
      </c>
      <c r="C14999" t="s">
        <v>31916</v>
      </c>
      <c r="D14999" t="s">
        <v>20</v>
      </c>
      <c r="E14999" t="s">
        <v>39</v>
      </c>
      <c r="F14999">
        <v>0</v>
      </c>
      <c r="G14999">
        <v>0</v>
      </c>
      <c r="H14999">
        <v>15</v>
      </c>
      <c r="I14999" s="3">
        <v>6546.13</v>
      </c>
      <c r="J14999" s="3">
        <v>5878.7</v>
      </c>
      <c r="L14999">
        <v>2010</v>
      </c>
      <c r="M14999" t="s">
        <v>32909</v>
      </c>
      <c r="N14999" t="s">
        <v>30</v>
      </c>
      <c r="O14999" t="s">
        <v>31</v>
      </c>
      <c r="P14999" t="str">
        <f>"15219"</f>
        <v>15219</v>
      </c>
    </row>
    <row r="15000" spans="1:16" x14ac:dyDescent="0.25">
      <c r="A15000" t="str">
        <f>"1200042N00313    00"</f>
        <v>1200042N00313    00</v>
      </c>
      <c r="B15000" t="s">
        <v>32910</v>
      </c>
      <c r="C15000" t="s">
        <v>32911</v>
      </c>
      <c r="D15000" t="s">
        <v>20</v>
      </c>
      <c r="E15000" t="s">
        <v>39</v>
      </c>
      <c r="F15000">
        <v>0</v>
      </c>
      <c r="G15000">
        <v>0</v>
      </c>
      <c r="H15000">
        <v>10</v>
      </c>
      <c r="I15000" s="3">
        <v>7452.66</v>
      </c>
      <c r="J15000" s="3">
        <v>3150</v>
      </c>
      <c r="K15000" t="s">
        <v>32912</v>
      </c>
      <c r="L15000">
        <v>1321</v>
      </c>
      <c r="M15000" t="s">
        <v>31914</v>
      </c>
      <c r="N15000" t="s">
        <v>30</v>
      </c>
      <c r="O15000" t="s">
        <v>31</v>
      </c>
      <c r="P15000" t="str">
        <f>"15204"</f>
        <v>15204</v>
      </c>
    </row>
    <row r="15001" spans="1:16" x14ac:dyDescent="0.25">
      <c r="A15001" t="str">
        <f>"1200042N00314    00"</f>
        <v>1200042N00314    00</v>
      </c>
      <c r="B15001" t="s">
        <v>30681</v>
      </c>
      <c r="C15001" t="s">
        <v>32913</v>
      </c>
      <c r="D15001" t="s">
        <v>20</v>
      </c>
      <c r="E15001" t="s">
        <v>39</v>
      </c>
      <c r="F15001">
        <v>0</v>
      </c>
      <c r="G15001">
        <v>0</v>
      </c>
      <c r="H15001">
        <v>3</v>
      </c>
      <c r="I15001" s="3">
        <v>1545.34</v>
      </c>
      <c r="J15001" s="3">
        <v>5.63</v>
      </c>
      <c r="L15001">
        <v>506</v>
      </c>
      <c r="M15001" t="s">
        <v>30683</v>
      </c>
      <c r="N15001" t="s">
        <v>30</v>
      </c>
      <c r="O15001" t="s">
        <v>31</v>
      </c>
      <c r="P15001" t="str">
        <f>"15205"</f>
        <v>15205</v>
      </c>
    </row>
    <row r="15002" spans="1:16" x14ac:dyDescent="0.25">
      <c r="A15002" t="str">
        <f>"1200042N00316    00"</f>
        <v>1200042N00316    00</v>
      </c>
      <c r="B15002" t="s">
        <v>30681</v>
      </c>
      <c r="C15002" t="s">
        <v>32914</v>
      </c>
      <c r="D15002" t="s">
        <v>20</v>
      </c>
      <c r="E15002" t="s">
        <v>39</v>
      </c>
      <c r="F15002">
        <v>0</v>
      </c>
      <c r="G15002">
        <v>0</v>
      </c>
      <c r="H15002">
        <v>3</v>
      </c>
      <c r="I15002" s="3">
        <v>1571.87</v>
      </c>
      <c r="J15002" s="3">
        <v>6.1</v>
      </c>
      <c r="L15002">
        <v>506</v>
      </c>
      <c r="M15002" t="s">
        <v>30683</v>
      </c>
      <c r="N15002" t="s">
        <v>30</v>
      </c>
      <c r="O15002" t="s">
        <v>31</v>
      </c>
      <c r="P15002" t="str">
        <f>"15205"</f>
        <v>15205</v>
      </c>
    </row>
    <row r="15003" spans="1:16" x14ac:dyDescent="0.25">
      <c r="A15003" t="str">
        <f>"1200042N00318    00"</f>
        <v>1200042N00318    00</v>
      </c>
      <c r="B15003" t="s">
        <v>32915</v>
      </c>
      <c r="C15003" t="s">
        <v>32916</v>
      </c>
      <c r="D15003" t="s">
        <v>20</v>
      </c>
      <c r="E15003" t="s">
        <v>39</v>
      </c>
      <c r="F15003">
        <v>0</v>
      </c>
      <c r="G15003">
        <v>0</v>
      </c>
      <c r="H15003">
        <v>8</v>
      </c>
      <c r="I15003" s="3">
        <v>732.84</v>
      </c>
      <c r="J15003" s="3">
        <v>238.94</v>
      </c>
      <c r="L15003">
        <v>1331</v>
      </c>
      <c r="M15003" t="s">
        <v>31914</v>
      </c>
      <c r="N15003" t="s">
        <v>30</v>
      </c>
      <c r="O15003" t="s">
        <v>31</v>
      </c>
      <c r="P15003" t="str">
        <f>"15204"</f>
        <v>15204</v>
      </c>
    </row>
    <row r="15004" spans="1:16" x14ac:dyDescent="0.25">
      <c r="A15004" t="str">
        <f>"1200042N00323    00"</f>
        <v>1200042N00323    00</v>
      </c>
      <c r="B15004" t="s">
        <v>32917</v>
      </c>
      <c r="C15004" t="s">
        <v>31916</v>
      </c>
      <c r="D15004" t="s">
        <v>20</v>
      </c>
      <c r="E15004" t="s">
        <v>39</v>
      </c>
      <c r="F15004">
        <v>0</v>
      </c>
      <c r="G15004">
        <v>0</v>
      </c>
      <c r="H15004">
        <v>8</v>
      </c>
      <c r="I15004" s="3">
        <v>177.77</v>
      </c>
      <c r="J15004" s="3">
        <v>58.76</v>
      </c>
      <c r="L15004">
        <v>1331</v>
      </c>
      <c r="M15004" t="s">
        <v>31914</v>
      </c>
      <c r="N15004" t="s">
        <v>30</v>
      </c>
      <c r="O15004" t="s">
        <v>31</v>
      </c>
      <c r="P15004" t="str">
        <f>"15204"</f>
        <v>15204</v>
      </c>
    </row>
    <row r="15005" spans="1:16" x14ac:dyDescent="0.25">
      <c r="A15005" t="str">
        <f>"1200042N00327    00"</f>
        <v>1200042N00327    00</v>
      </c>
      <c r="B15005" t="s">
        <v>32918</v>
      </c>
      <c r="C15005" t="s">
        <v>32919</v>
      </c>
      <c r="D15005" t="s">
        <v>20</v>
      </c>
      <c r="E15005" t="s">
        <v>39</v>
      </c>
      <c r="F15005">
        <v>0</v>
      </c>
      <c r="G15005">
        <v>0</v>
      </c>
      <c r="H15005">
        <v>2</v>
      </c>
      <c r="I15005" s="3">
        <v>1205.5999999999999</v>
      </c>
      <c r="J15005" s="3">
        <v>0</v>
      </c>
      <c r="L15005">
        <v>1328</v>
      </c>
      <c r="M15005" t="s">
        <v>31914</v>
      </c>
      <c r="N15005" t="s">
        <v>30</v>
      </c>
      <c r="O15005" t="s">
        <v>31</v>
      </c>
      <c r="P15005" t="str">
        <f>"15204"</f>
        <v>15204</v>
      </c>
    </row>
    <row r="15006" spans="1:16" x14ac:dyDescent="0.25">
      <c r="A15006" t="str">
        <f>"1200042N00333    00"</f>
        <v>1200042N00333    00</v>
      </c>
      <c r="B15006" t="s">
        <v>32920</v>
      </c>
      <c r="C15006" t="s">
        <v>32921</v>
      </c>
      <c r="D15006" t="s">
        <v>20</v>
      </c>
      <c r="E15006" t="s">
        <v>39</v>
      </c>
      <c r="F15006">
        <v>0</v>
      </c>
      <c r="G15006">
        <v>0</v>
      </c>
      <c r="H15006">
        <v>2</v>
      </c>
      <c r="I15006" s="3">
        <v>2373.54</v>
      </c>
      <c r="J15006" s="3">
        <v>0</v>
      </c>
      <c r="L15006">
        <v>1310</v>
      </c>
      <c r="M15006" t="s">
        <v>31914</v>
      </c>
      <c r="N15006" t="s">
        <v>30</v>
      </c>
      <c r="O15006" t="s">
        <v>31</v>
      </c>
      <c r="P15006" t="str">
        <f>"15204"</f>
        <v>15204</v>
      </c>
    </row>
    <row r="15007" spans="1:16" x14ac:dyDescent="0.25">
      <c r="A15007" t="str">
        <f>"1200042N00337    00"</f>
        <v>1200042N00337    00</v>
      </c>
      <c r="B15007" t="s">
        <v>32922</v>
      </c>
      <c r="C15007" t="s">
        <v>32923</v>
      </c>
      <c r="D15007" t="s">
        <v>20</v>
      </c>
      <c r="E15007" t="s">
        <v>39</v>
      </c>
      <c r="F15007">
        <v>0</v>
      </c>
      <c r="G15007">
        <v>0</v>
      </c>
      <c r="H15007">
        <v>2</v>
      </c>
      <c r="I15007" s="3">
        <v>1871.72</v>
      </c>
      <c r="J15007" s="3">
        <v>0</v>
      </c>
      <c r="L15007">
        <v>1053</v>
      </c>
      <c r="M15007" t="s">
        <v>32010</v>
      </c>
      <c r="N15007" t="s">
        <v>32011</v>
      </c>
      <c r="O15007" t="s">
        <v>31</v>
      </c>
      <c r="P15007" t="str">
        <f>"15019"</f>
        <v>15019</v>
      </c>
    </row>
    <row r="15008" spans="1:16" x14ac:dyDescent="0.25">
      <c r="A15008" t="str">
        <f>"1200042P00005    00"</f>
        <v>1200042P00005    00</v>
      </c>
      <c r="B15008" t="s">
        <v>32924</v>
      </c>
      <c r="C15008" t="s">
        <v>32925</v>
      </c>
      <c r="D15008" t="s">
        <v>20</v>
      </c>
      <c r="E15008" t="s">
        <v>39</v>
      </c>
      <c r="F15008">
        <v>0</v>
      </c>
      <c r="G15008">
        <v>0</v>
      </c>
      <c r="H15008">
        <v>1</v>
      </c>
      <c r="I15008" s="3">
        <v>556.55999999999995</v>
      </c>
      <c r="J15008" s="3">
        <v>0</v>
      </c>
      <c r="K15008" t="s">
        <v>32926</v>
      </c>
      <c r="L15008">
        <v>6307</v>
      </c>
      <c r="M15008" t="s">
        <v>32927</v>
      </c>
      <c r="N15008" t="s">
        <v>3262</v>
      </c>
      <c r="O15008" t="s">
        <v>3263</v>
      </c>
      <c r="P15008" t="str">
        <f>"97206"</f>
        <v>97206</v>
      </c>
    </row>
    <row r="15009" spans="1:16" x14ac:dyDescent="0.25">
      <c r="A15009" t="str">
        <f>"1200042P00007    00"</f>
        <v>1200042P00007    00</v>
      </c>
      <c r="B15009" t="s">
        <v>1997</v>
      </c>
      <c r="C15009" t="s">
        <v>32928</v>
      </c>
      <c r="E15009" t="s">
        <v>39</v>
      </c>
      <c r="F15009">
        <v>0</v>
      </c>
      <c r="G15009">
        <v>0</v>
      </c>
      <c r="H15009">
        <v>15</v>
      </c>
      <c r="I15009" s="3">
        <v>16133.97</v>
      </c>
      <c r="J15009" s="3">
        <v>14386.72</v>
      </c>
      <c r="K15009" t="s">
        <v>2361</v>
      </c>
      <c r="L15009">
        <v>412</v>
      </c>
      <c r="M15009" t="s">
        <v>32929</v>
      </c>
      <c r="N15009" t="s">
        <v>30</v>
      </c>
      <c r="O15009" t="s">
        <v>31</v>
      </c>
      <c r="P15009" t="str">
        <f>"15219"</f>
        <v>15219</v>
      </c>
    </row>
    <row r="15010" spans="1:16" x14ac:dyDescent="0.25">
      <c r="A15010" t="str">
        <f>"1200042P00025    00"</f>
        <v>1200042P00025    00</v>
      </c>
      <c r="B15010" t="s">
        <v>32930</v>
      </c>
      <c r="C15010" t="s">
        <v>32931</v>
      </c>
      <c r="D15010" t="s">
        <v>20</v>
      </c>
      <c r="E15010" t="s">
        <v>39</v>
      </c>
      <c r="F15010">
        <v>0</v>
      </c>
      <c r="G15010">
        <v>0</v>
      </c>
      <c r="H15010">
        <v>6</v>
      </c>
      <c r="I15010" s="3">
        <v>4511.99</v>
      </c>
      <c r="J15010" s="3">
        <v>1050.96</v>
      </c>
      <c r="L15010">
        <v>1010</v>
      </c>
      <c r="M15010" t="s">
        <v>32882</v>
      </c>
      <c r="N15010" t="s">
        <v>30</v>
      </c>
      <c r="O15010" t="s">
        <v>31</v>
      </c>
      <c r="P15010" t="str">
        <f>"15204"</f>
        <v>15204</v>
      </c>
    </row>
    <row r="15011" spans="1:16" x14ac:dyDescent="0.25">
      <c r="A15011" t="str">
        <f>"1200042P00026    00"</f>
        <v>1200042P00026    00</v>
      </c>
      <c r="B15011" t="s">
        <v>32932</v>
      </c>
      <c r="C15011" t="s">
        <v>32933</v>
      </c>
      <c r="E15011" t="s">
        <v>39</v>
      </c>
      <c r="F15011">
        <v>0</v>
      </c>
      <c r="G15011">
        <v>0</v>
      </c>
      <c r="H15011">
        <v>1</v>
      </c>
      <c r="I15011" s="3">
        <v>692.05</v>
      </c>
      <c r="J15011" s="3">
        <v>276.8</v>
      </c>
      <c r="K15011" t="s">
        <v>32934</v>
      </c>
      <c r="L15011">
        <v>1016</v>
      </c>
      <c r="M15011" t="s">
        <v>24333</v>
      </c>
      <c r="N15011" t="s">
        <v>903</v>
      </c>
      <c r="O15011" t="s">
        <v>31</v>
      </c>
      <c r="P15011" t="str">
        <f>"15136"</f>
        <v>15136</v>
      </c>
    </row>
    <row r="15012" spans="1:16" x14ac:dyDescent="0.25">
      <c r="A15012" t="str">
        <f>"1200042P00055    00"</f>
        <v>1200042P00055    00</v>
      </c>
      <c r="B15012" t="s">
        <v>32935</v>
      </c>
      <c r="C15012" t="s">
        <v>32936</v>
      </c>
      <c r="D15012" t="s">
        <v>20</v>
      </c>
      <c r="E15012" t="s">
        <v>39</v>
      </c>
      <c r="F15012">
        <v>0</v>
      </c>
      <c r="G15012">
        <v>0</v>
      </c>
      <c r="H15012">
        <v>17</v>
      </c>
      <c r="I15012" s="3">
        <v>13097.1</v>
      </c>
      <c r="J15012" s="3">
        <v>12351.02</v>
      </c>
      <c r="K15012" t="s">
        <v>32937</v>
      </c>
      <c r="M15012" t="s">
        <v>32938</v>
      </c>
      <c r="N15012" t="s">
        <v>30</v>
      </c>
      <c r="O15012" t="s">
        <v>31</v>
      </c>
      <c r="P15012" t="str">
        <f>"15234"</f>
        <v>15234</v>
      </c>
    </row>
    <row r="15013" spans="1:16" x14ac:dyDescent="0.25">
      <c r="A15013" t="str">
        <f>"1200042P00068    00"</f>
        <v>1200042P00068    00</v>
      </c>
      <c r="B15013" t="s">
        <v>32666</v>
      </c>
      <c r="C15013" t="s">
        <v>32939</v>
      </c>
      <c r="D15013" t="s">
        <v>20</v>
      </c>
      <c r="E15013" t="s">
        <v>21</v>
      </c>
      <c r="F15013">
        <v>0</v>
      </c>
      <c r="G15013">
        <v>0</v>
      </c>
      <c r="H15013">
        <v>5</v>
      </c>
      <c r="I15013" s="3">
        <v>4781.05</v>
      </c>
      <c r="J15013" s="3">
        <v>765.98</v>
      </c>
      <c r="L15013">
        <v>3128</v>
      </c>
      <c r="M15013" t="s">
        <v>16891</v>
      </c>
      <c r="N15013" t="s">
        <v>30</v>
      </c>
      <c r="O15013" t="s">
        <v>31</v>
      </c>
      <c r="P15013" t="str">
        <f t="shared" ref="P15013:P15018" si="191">"15204"</f>
        <v>15204</v>
      </c>
    </row>
    <row r="15014" spans="1:16" x14ac:dyDescent="0.25">
      <c r="A15014" t="str">
        <f>"1200042P00071    00"</f>
        <v>1200042P00071    00</v>
      </c>
      <c r="B15014" t="s">
        <v>32940</v>
      </c>
      <c r="C15014" t="s">
        <v>32941</v>
      </c>
      <c r="D15014" t="s">
        <v>20</v>
      </c>
      <c r="E15014" t="s">
        <v>21</v>
      </c>
      <c r="F15014">
        <v>0</v>
      </c>
      <c r="G15014">
        <v>0</v>
      </c>
      <c r="H15014">
        <v>1</v>
      </c>
      <c r="I15014" s="3">
        <v>968.69</v>
      </c>
      <c r="J15014" s="3">
        <v>791.46</v>
      </c>
      <c r="L15014">
        <v>3122</v>
      </c>
      <c r="M15014" t="s">
        <v>16891</v>
      </c>
      <c r="N15014" t="s">
        <v>30</v>
      </c>
      <c r="O15014" t="s">
        <v>31</v>
      </c>
      <c r="P15014" t="str">
        <f t="shared" si="191"/>
        <v>15204</v>
      </c>
    </row>
    <row r="15015" spans="1:16" x14ac:dyDescent="0.25">
      <c r="A15015" t="str">
        <f>"1200042P00076    00"</f>
        <v>1200042P00076    00</v>
      </c>
      <c r="B15015" t="s">
        <v>32942</v>
      </c>
      <c r="C15015" t="s">
        <v>32943</v>
      </c>
      <c r="D15015" t="s">
        <v>20</v>
      </c>
      <c r="E15015" t="s">
        <v>21</v>
      </c>
      <c r="F15015">
        <v>0</v>
      </c>
      <c r="G15015">
        <v>0</v>
      </c>
      <c r="H15015">
        <v>2</v>
      </c>
      <c r="I15015" s="3">
        <v>3484.22</v>
      </c>
      <c r="J15015" s="3">
        <v>0</v>
      </c>
      <c r="L15015">
        <v>3106</v>
      </c>
      <c r="M15015" t="s">
        <v>16891</v>
      </c>
      <c r="N15015" t="s">
        <v>30</v>
      </c>
      <c r="O15015" t="s">
        <v>31</v>
      </c>
      <c r="P15015" t="str">
        <f t="shared" si="191"/>
        <v>15204</v>
      </c>
    </row>
    <row r="15016" spans="1:16" x14ac:dyDescent="0.25">
      <c r="A15016" t="str">
        <f>"1200042P00085    00"</f>
        <v>1200042P00085    00</v>
      </c>
      <c r="B15016" t="s">
        <v>32944</v>
      </c>
      <c r="C15016" t="s">
        <v>32945</v>
      </c>
      <c r="D15016" t="s">
        <v>20</v>
      </c>
      <c r="E15016" t="s">
        <v>39</v>
      </c>
      <c r="F15016">
        <v>0</v>
      </c>
      <c r="G15016">
        <v>0</v>
      </c>
      <c r="H15016">
        <v>19</v>
      </c>
      <c r="I15016" s="3">
        <v>10662.76</v>
      </c>
      <c r="J15016" s="3">
        <v>9863.7900000000009</v>
      </c>
      <c r="L15016">
        <v>3104</v>
      </c>
      <c r="M15016" t="s">
        <v>32564</v>
      </c>
      <c r="N15016" t="s">
        <v>30</v>
      </c>
      <c r="O15016" t="s">
        <v>31</v>
      </c>
      <c r="P15016" t="str">
        <f t="shared" si="191"/>
        <v>15204</v>
      </c>
    </row>
    <row r="15017" spans="1:16" x14ac:dyDescent="0.25">
      <c r="A15017" t="str">
        <f>"1200042P00087    00"</f>
        <v>1200042P00087    00</v>
      </c>
      <c r="B15017" t="s">
        <v>32946</v>
      </c>
      <c r="C15017" t="s">
        <v>32947</v>
      </c>
      <c r="E15017" t="s">
        <v>39</v>
      </c>
      <c r="F15017">
        <v>0</v>
      </c>
      <c r="G15017">
        <v>0</v>
      </c>
      <c r="H15017">
        <v>2</v>
      </c>
      <c r="I15017" s="3">
        <v>890.44</v>
      </c>
      <c r="J15017" s="3">
        <v>357.77</v>
      </c>
      <c r="L15017">
        <v>3104</v>
      </c>
      <c r="M15017" t="s">
        <v>32564</v>
      </c>
      <c r="N15017" t="s">
        <v>30</v>
      </c>
      <c r="O15017" t="s">
        <v>31</v>
      </c>
      <c r="P15017" t="str">
        <f t="shared" si="191"/>
        <v>15204</v>
      </c>
    </row>
    <row r="15018" spans="1:16" x14ac:dyDescent="0.25">
      <c r="A15018" t="str">
        <f>"1200042P00116    00"</f>
        <v>1200042P00116    00</v>
      </c>
      <c r="B15018" t="s">
        <v>32948</v>
      </c>
      <c r="C15018" t="s">
        <v>32949</v>
      </c>
      <c r="D15018" t="s">
        <v>20</v>
      </c>
      <c r="E15018" t="s">
        <v>39</v>
      </c>
      <c r="F15018">
        <v>0</v>
      </c>
      <c r="G15018">
        <v>0</v>
      </c>
      <c r="H15018">
        <v>1</v>
      </c>
      <c r="I15018" s="3">
        <v>713.32</v>
      </c>
      <c r="J15018" s="3">
        <v>0</v>
      </c>
      <c r="L15018">
        <v>777</v>
      </c>
      <c r="M15018" t="s">
        <v>31971</v>
      </c>
      <c r="N15018" t="s">
        <v>30</v>
      </c>
      <c r="O15018" t="s">
        <v>31</v>
      </c>
      <c r="P15018" t="str">
        <f t="shared" si="191"/>
        <v>15204</v>
      </c>
    </row>
    <row r="15019" spans="1:16" x14ac:dyDescent="0.25">
      <c r="A15019" t="str">
        <f>"1200042P00119    00"</f>
        <v>1200042P00119    00</v>
      </c>
      <c r="B15019" t="s">
        <v>31345</v>
      </c>
      <c r="C15019" t="s">
        <v>32950</v>
      </c>
      <c r="D15019" t="s">
        <v>20</v>
      </c>
      <c r="E15019" t="s">
        <v>39</v>
      </c>
      <c r="F15019">
        <v>0</v>
      </c>
      <c r="G15019">
        <v>0</v>
      </c>
      <c r="H15019">
        <v>1</v>
      </c>
      <c r="I15019" s="3">
        <v>1248.44</v>
      </c>
      <c r="J15019" s="3">
        <v>0</v>
      </c>
      <c r="K15019" t="s">
        <v>31347</v>
      </c>
      <c r="M15019" t="s">
        <v>31348</v>
      </c>
      <c r="N15019" t="s">
        <v>321</v>
      </c>
      <c r="O15019" t="s">
        <v>31</v>
      </c>
      <c r="P15019" t="str">
        <f>"15001"</f>
        <v>15001</v>
      </c>
    </row>
    <row r="15020" spans="1:16" x14ac:dyDescent="0.25">
      <c r="A15020" t="str">
        <f>"1200042P00179    01"</f>
        <v>1200042P00179    01</v>
      </c>
      <c r="B15020" t="s">
        <v>32951</v>
      </c>
      <c r="C15020" t="s">
        <v>31078</v>
      </c>
      <c r="E15020" t="s">
        <v>21</v>
      </c>
      <c r="F15020">
        <v>0</v>
      </c>
      <c r="G15020">
        <v>0</v>
      </c>
      <c r="H15020">
        <v>1</v>
      </c>
      <c r="I15020" s="3">
        <v>439.2</v>
      </c>
      <c r="J15020" s="3">
        <v>285.47000000000003</v>
      </c>
      <c r="L15020">
        <v>4091</v>
      </c>
      <c r="M15020" t="s">
        <v>9275</v>
      </c>
      <c r="N15020" t="s">
        <v>195</v>
      </c>
      <c r="O15020" t="s">
        <v>31</v>
      </c>
      <c r="P15020" t="str">
        <f>"15101"</f>
        <v>15101</v>
      </c>
    </row>
    <row r="15021" spans="1:16" x14ac:dyDescent="0.25">
      <c r="A15021" t="str">
        <f>"1200042P00186    00"</f>
        <v>1200042P00186    00</v>
      </c>
      <c r="B15021" t="s">
        <v>15618</v>
      </c>
      <c r="C15021" t="s">
        <v>32952</v>
      </c>
      <c r="D15021" t="s">
        <v>20</v>
      </c>
      <c r="E15021" t="s">
        <v>39</v>
      </c>
      <c r="F15021">
        <v>0</v>
      </c>
      <c r="G15021">
        <v>0</v>
      </c>
      <c r="H15021">
        <v>11</v>
      </c>
      <c r="I15021" s="3">
        <v>15244.28</v>
      </c>
      <c r="J15021" s="3">
        <v>7307.36</v>
      </c>
      <c r="K15021" t="s">
        <v>15620</v>
      </c>
      <c r="L15021">
        <v>3407</v>
      </c>
      <c r="M15021" t="s">
        <v>9431</v>
      </c>
      <c r="N15021" t="s">
        <v>238</v>
      </c>
      <c r="O15021" t="s">
        <v>31</v>
      </c>
      <c r="P15021" t="str">
        <f>"15132"</f>
        <v>15132</v>
      </c>
    </row>
    <row r="15022" spans="1:16" x14ac:dyDescent="0.25">
      <c r="A15022" t="str">
        <f>"1200042P00190    00"</f>
        <v>1200042P00190    00</v>
      </c>
      <c r="B15022" t="s">
        <v>32953</v>
      </c>
      <c r="C15022" t="s">
        <v>31078</v>
      </c>
      <c r="D15022" t="s">
        <v>20</v>
      </c>
      <c r="E15022" t="s">
        <v>39</v>
      </c>
      <c r="F15022">
        <v>0</v>
      </c>
      <c r="G15022">
        <v>0</v>
      </c>
      <c r="H15022">
        <v>12</v>
      </c>
      <c r="I15022" s="3">
        <v>2681.16</v>
      </c>
      <c r="J15022" s="3">
        <v>1532.77</v>
      </c>
      <c r="K15022" t="s">
        <v>32954</v>
      </c>
      <c r="P15022" t="str">
        <f>""</f>
        <v/>
      </c>
    </row>
    <row r="15023" spans="1:16" x14ac:dyDescent="0.25">
      <c r="A15023" t="str">
        <f>"1200042P00192    00"</f>
        <v>1200042P00192    00</v>
      </c>
      <c r="B15023" t="s">
        <v>32955</v>
      </c>
      <c r="C15023" t="s">
        <v>32956</v>
      </c>
      <c r="D15023" t="s">
        <v>20</v>
      </c>
      <c r="E15023" t="s">
        <v>39</v>
      </c>
      <c r="F15023">
        <v>0</v>
      </c>
      <c r="G15023">
        <v>0</v>
      </c>
      <c r="H15023">
        <v>17</v>
      </c>
      <c r="I15023" s="3">
        <v>10783.24</v>
      </c>
      <c r="J15023" s="3">
        <v>8232.18</v>
      </c>
      <c r="L15023">
        <v>1481</v>
      </c>
      <c r="M15023" t="s">
        <v>32957</v>
      </c>
      <c r="N15023" t="s">
        <v>32958</v>
      </c>
      <c r="O15023" t="s">
        <v>495</v>
      </c>
      <c r="P15023" t="str">
        <f>"92870"</f>
        <v>92870</v>
      </c>
    </row>
    <row r="15024" spans="1:16" x14ac:dyDescent="0.25">
      <c r="A15024" t="str">
        <f>"1200042P00204    00"</f>
        <v>1200042P00204    00</v>
      </c>
      <c r="B15024" t="s">
        <v>32959</v>
      </c>
      <c r="C15024" t="s">
        <v>32960</v>
      </c>
      <c r="D15024" t="s">
        <v>20</v>
      </c>
      <c r="E15024" t="s">
        <v>39</v>
      </c>
      <c r="F15024">
        <v>0</v>
      </c>
      <c r="G15024">
        <v>0</v>
      </c>
      <c r="H15024">
        <v>1</v>
      </c>
      <c r="I15024" s="3">
        <v>534.15</v>
      </c>
      <c r="J15024" s="3">
        <v>0</v>
      </c>
      <c r="K15024" t="s">
        <v>32961</v>
      </c>
      <c r="L15024">
        <v>1040</v>
      </c>
      <c r="M15024" t="s">
        <v>32962</v>
      </c>
      <c r="N15024" t="s">
        <v>22776</v>
      </c>
      <c r="O15024" t="s">
        <v>31</v>
      </c>
      <c r="P15024" t="str">
        <f>"16041"</f>
        <v>16041</v>
      </c>
    </row>
    <row r="15025" spans="1:16" x14ac:dyDescent="0.25">
      <c r="A15025" t="str">
        <f>"1200042P00213    00"</f>
        <v>1200042P00213    00</v>
      </c>
      <c r="B15025" t="s">
        <v>32963</v>
      </c>
      <c r="C15025" t="s">
        <v>32964</v>
      </c>
      <c r="D15025" t="s">
        <v>20</v>
      </c>
      <c r="E15025" t="s">
        <v>39</v>
      </c>
      <c r="F15025">
        <v>0</v>
      </c>
      <c r="G15025">
        <v>0</v>
      </c>
      <c r="H15025">
        <v>4</v>
      </c>
      <c r="I15025" s="3">
        <v>1366.92</v>
      </c>
      <c r="J15025" s="3">
        <v>161.47</v>
      </c>
      <c r="K15025" t="s">
        <v>32965</v>
      </c>
      <c r="L15025">
        <v>2260</v>
      </c>
      <c r="M15025" t="s">
        <v>32966</v>
      </c>
      <c r="N15025" t="s">
        <v>32967</v>
      </c>
      <c r="O15025" t="s">
        <v>495</v>
      </c>
      <c r="P15025" t="str">
        <f>"92660"</f>
        <v>92660</v>
      </c>
    </row>
    <row r="15026" spans="1:16" x14ac:dyDescent="0.25">
      <c r="A15026" t="str">
        <f>"1200042P00217    00"</f>
        <v>1200042P00217    00</v>
      </c>
      <c r="B15026" t="s">
        <v>32968</v>
      </c>
      <c r="C15026" t="s">
        <v>32969</v>
      </c>
      <c r="D15026" t="s">
        <v>20</v>
      </c>
      <c r="E15026" t="s">
        <v>39</v>
      </c>
      <c r="F15026">
        <v>0</v>
      </c>
      <c r="G15026">
        <v>0</v>
      </c>
      <c r="H15026">
        <v>13</v>
      </c>
      <c r="I15026" s="3">
        <v>10052.94</v>
      </c>
      <c r="J15026" s="3">
        <v>5502.42</v>
      </c>
      <c r="L15026">
        <v>520</v>
      </c>
      <c r="M15026" t="s">
        <v>32970</v>
      </c>
      <c r="N15026" t="s">
        <v>32971</v>
      </c>
      <c r="O15026" t="s">
        <v>1413</v>
      </c>
      <c r="P15026" t="str">
        <f>"28327"</f>
        <v>28327</v>
      </c>
    </row>
    <row r="15027" spans="1:16" x14ac:dyDescent="0.25">
      <c r="A15027" t="str">
        <f>"1200042P00219    00"</f>
        <v>1200042P00219    00</v>
      </c>
      <c r="B15027" t="s">
        <v>32972</v>
      </c>
      <c r="C15027" t="s">
        <v>32973</v>
      </c>
      <c r="D15027" t="s">
        <v>20</v>
      </c>
      <c r="E15027" t="s">
        <v>39</v>
      </c>
      <c r="F15027">
        <v>0</v>
      </c>
      <c r="G15027">
        <v>0</v>
      </c>
      <c r="H15027">
        <v>5</v>
      </c>
      <c r="I15027" s="3">
        <v>1296.18</v>
      </c>
      <c r="J15027" s="3">
        <v>253.94</v>
      </c>
      <c r="L15027">
        <v>1215</v>
      </c>
      <c r="M15027" t="s">
        <v>32974</v>
      </c>
      <c r="N15027" t="s">
        <v>30</v>
      </c>
      <c r="O15027" t="s">
        <v>31</v>
      </c>
      <c r="P15027" t="str">
        <f>"15205"</f>
        <v>15205</v>
      </c>
    </row>
    <row r="15028" spans="1:16" x14ac:dyDescent="0.25">
      <c r="A15028" t="str">
        <f>"1200042P00252    00"</f>
        <v>1200042P00252    00</v>
      </c>
      <c r="B15028" t="s">
        <v>32975</v>
      </c>
      <c r="C15028" t="s">
        <v>32976</v>
      </c>
      <c r="D15028" t="s">
        <v>20</v>
      </c>
      <c r="E15028" t="s">
        <v>39</v>
      </c>
      <c r="F15028">
        <v>0</v>
      </c>
      <c r="G15028">
        <v>0</v>
      </c>
      <c r="H15028">
        <v>2</v>
      </c>
      <c r="I15028" s="3">
        <v>721</v>
      </c>
      <c r="J15028" s="3">
        <v>589.89</v>
      </c>
      <c r="L15028">
        <v>29</v>
      </c>
      <c r="M15028" t="s">
        <v>32977</v>
      </c>
      <c r="N15028" t="s">
        <v>199</v>
      </c>
      <c r="O15028" t="s">
        <v>200</v>
      </c>
      <c r="P15028" t="str">
        <f>"10023"</f>
        <v>10023</v>
      </c>
    </row>
    <row r="15029" spans="1:16" x14ac:dyDescent="0.25">
      <c r="A15029" t="str">
        <f>"1200042P00281    00"</f>
        <v>1200042P00281    00</v>
      </c>
      <c r="B15029" t="s">
        <v>32978</v>
      </c>
      <c r="C15029" t="s">
        <v>32979</v>
      </c>
      <c r="D15029" t="s">
        <v>20</v>
      </c>
      <c r="E15029" t="s">
        <v>39</v>
      </c>
      <c r="F15029">
        <v>0</v>
      </c>
      <c r="G15029">
        <v>0</v>
      </c>
      <c r="H15029">
        <v>8</v>
      </c>
      <c r="I15029" s="3">
        <v>4518.3</v>
      </c>
      <c r="J15029" s="3">
        <v>1871.33</v>
      </c>
      <c r="L15029">
        <v>1008</v>
      </c>
      <c r="M15029" t="s">
        <v>31927</v>
      </c>
      <c r="N15029" t="s">
        <v>30</v>
      </c>
      <c r="O15029" t="s">
        <v>31</v>
      </c>
      <c r="P15029" t="str">
        <f>"15204"</f>
        <v>15204</v>
      </c>
    </row>
    <row r="15030" spans="1:16" x14ac:dyDescent="0.25">
      <c r="A15030" t="str">
        <f>"1200042P00291    00"</f>
        <v>1200042P00291    00</v>
      </c>
      <c r="B15030" t="s">
        <v>13709</v>
      </c>
      <c r="C15030" t="s">
        <v>32980</v>
      </c>
      <c r="D15030" t="s">
        <v>20</v>
      </c>
      <c r="E15030" t="s">
        <v>39</v>
      </c>
      <c r="F15030">
        <v>0</v>
      </c>
      <c r="G15030">
        <v>0</v>
      </c>
      <c r="H15030">
        <v>16</v>
      </c>
      <c r="I15030" s="3">
        <v>8950.58</v>
      </c>
      <c r="J15030" s="3">
        <v>6807.52</v>
      </c>
      <c r="M15030" t="s">
        <v>13711</v>
      </c>
      <c r="N15030" t="s">
        <v>30</v>
      </c>
      <c r="O15030" t="s">
        <v>31</v>
      </c>
      <c r="P15030" t="str">
        <f>"15235"</f>
        <v>15235</v>
      </c>
    </row>
    <row r="15031" spans="1:16" x14ac:dyDescent="0.25">
      <c r="A15031" t="str">
        <f>"1200042P00293    00"</f>
        <v>1200042P00293    00</v>
      </c>
      <c r="B15031" t="s">
        <v>32981</v>
      </c>
      <c r="C15031" t="s">
        <v>32982</v>
      </c>
      <c r="D15031" t="s">
        <v>20</v>
      </c>
      <c r="E15031" t="s">
        <v>39</v>
      </c>
      <c r="F15031">
        <v>0</v>
      </c>
      <c r="G15031">
        <v>0</v>
      </c>
      <c r="H15031">
        <v>3</v>
      </c>
      <c r="I15031" s="3">
        <v>3305.07</v>
      </c>
      <c r="J15031" s="3">
        <v>220.33</v>
      </c>
      <c r="K15031" t="s">
        <v>32983</v>
      </c>
      <c r="M15031" t="s">
        <v>32984</v>
      </c>
      <c r="N15031" t="s">
        <v>1158</v>
      </c>
      <c r="O15031" t="s">
        <v>370</v>
      </c>
      <c r="P15031" t="str">
        <f>"33402"</f>
        <v>33402</v>
      </c>
    </row>
    <row r="15032" spans="1:16" x14ac:dyDescent="0.25">
      <c r="A15032" t="str">
        <f>"1200042P00300    00"</f>
        <v>1200042P00300    00</v>
      </c>
      <c r="B15032" t="s">
        <v>32985</v>
      </c>
      <c r="C15032" t="s">
        <v>32986</v>
      </c>
      <c r="D15032" t="s">
        <v>20</v>
      </c>
      <c r="E15032" t="s">
        <v>39</v>
      </c>
      <c r="F15032">
        <v>0</v>
      </c>
      <c r="G15032">
        <v>0</v>
      </c>
      <c r="H15032">
        <v>1</v>
      </c>
      <c r="I15032" s="3">
        <v>288.14999999999998</v>
      </c>
      <c r="J15032" s="3">
        <v>0</v>
      </c>
      <c r="L15032">
        <v>3040</v>
      </c>
      <c r="M15032" t="s">
        <v>32247</v>
      </c>
      <c r="N15032" t="s">
        <v>30</v>
      </c>
      <c r="O15032" t="s">
        <v>31</v>
      </c>
      <c r="P15032" t="str">
        <f>"15204"</f>
        <v>15204</v>
      </c>
    </row>
    <row r="15033" spans="1:16" x14ac:dyDescent="0.25">
      <c r="A15033" t="str">
        <f>"1200042P00302    00"</f>
        <v>1200042P00302    00</v>
      </c>
      <c r="B15033" t="s">
        <v>22139</v>
      </c>
      <c r="C15033" t="s">
        <v>32987</v>
      </c>
      <c r="D15033" t="s">
        <v>20</v>
      </c>
      <c r="E15033" t="s">
        <v>39</v>
      </c>
      <c r="F15033">
        <v>0</v>
      </c>
      <c r="G15033">
        <v>0</v>
      </c>
      <c r="H15033">
        <v>1</v>
      </c>
      <c r="I15033" s="3">
        <v>411.7</v>
      </c>
      <c r="J15033" s="3">
        <v>0</v>
      </c>
      <c r="L15033">
        <v>154</v>
      </c>
      <c r="M15033" t="s">
        <v>22141</v>
      </c>
      <c r="N15033" t="s">
        <v>30</v>
      </c>
      <c r="O15033" t="s">
        <v>31</v>
      </c>
      <c r="P15033" t="str">
        <f>"15236"</f>
        <v>15236</v>
      </c>
    </row>
    <row r="15034" spans="1:16" x14ac:dyDescent="0.25">
      <c r="A15034" t="str">
        <f>"1200042P00308    00"</f>
        <v>1200042P00308    00</v>
      </c>
      <c r="B15034" t="s">
        <v>32988</v>
      </c>
      <c r="C15034" t="s">
        <v>32989</v>
      </c>
      <c r="D15034" t="s">
        <v>20</v>
      </c>
      <c r="E15034" t="s">
        <v>39</v>
      </c>
      <c r="F15034">
        <v>0</v>
      </c>
      <c r="G15034">
        <v>0</v>
      </c>
      <c r="H15034">
        <v>10</v>
      </c>
      <c r="I15034" s="3">
        <v>13260.69</v>
      </c>
      <c r="J15034" s="3">
        <v>5036.3100000000004</v>
      </c>
      <c r="L15034">
        <v>2965</v>
      </c>
      <c r="M15034" t="s">
        <v>16891</v>
      </c>
      <c r="N15034" t="s">
        <v>30</v>
      </c>
      <c r="O15034" t="s">
        <v>31</v>
      </c>
      <c r="P15034" t="str">
        <f>"15204"</f>
        <v>15204</v>
      </c>
    </row>
    <row r="15035" spans="1:16" x14ac:dyDescent="0.25">
      <c r="A15035" t="str">
        <f>"1200042R00018    00"</f>
        <v>1200042R00018    00</v>
      </c>
      <c r="B15035" t="s">
        <v>3008</v>
      </c>
      <c r="C15035" t="s">
        <v>32990</v>
      </c>
      <c r="D15035" t="s">
        <v>20</v>
      </c>
      <c r="E15035" t="s">
        <v>39</v>
      </c>
      <c r="F15035">
        <v>0</v>
      </c>
      <c r="G15035">
        <v>0</v>
      </c>
      <c r="H15035">
        <v>3</v>
      </c>
      <c r="I15035" s="3">
        <v>1753.16</v>
      </c>
      <c r="J15035" s="3">
        <v>0.71</v>
      </c>
      <c r="M15035" t="s">
        <v>2628</v>
      </c>
      <c r="N15035" t="s">
        <v>30</v>
      </c>
      <c r="O15035" t="s">
        <v>31</v>
      </c>
      <c r="P15035" t="str">
        <f>"15213"</f>
        <v>15213</v>
      </c>
    </row>
    <row r="15036" spans="1:16" x14ac:dyDescent="0.25">
      <c r="A15036" t="str">
        <f>"1200042R00041    00"</f>
        <v>1200042R00041    00</v>
      </c>
      <c r="B15036" t="s">
        <v>32443</v>
      </c>
      <c r="C15036" t="s">
        <v>32991</v>
      </c>
      <c r="D15036" t="s">
        <v>20</v>
      </c>
      <c r="E15036" t="s">
        <v>39</v>
      </c>
      <c r="F15036">
        <v>0</v>
      </c>
      <c r="G15036">
        <v>0</v>
      </c>
      <c r="H15036">
        <v>7</v>
      </c>
      <c r="I15036" s="3">
        <v>8821.94</v>
      </c>
      <c r="J15036" s="3">
        <v>2439.5300000000002</v>
      </c>
      <c r="L15036">
        <v>850</v>
      </c>
      <c r="M15036" t="s">
        <v>29410</v>
      </c>
      <c r="N15036" t="s">
        <v>30</v>
      </c>
      <c r="O15036" t="s">
        <v>31</v>
      </c>
      <c r="P15036" t="str">
        <f>"15236"</f>
        <v>15236</v>
      </c>
    </row>
    <row r="15037" spans="1:16" x14ac:dyDescent="0.25">
      <c r="A15037" t="str">
        <f>"1200042R00131    00"</f>
        <v>1200042R00131    00</v>
      </c>
      <c r="B15037" t="s">
        <v>28688</v>
      </c>
      <c r="C15037" t="s">
        <v>32992</v>
      </c>
      <c r="D15037" t="s">
        <v>20</v>
      </c>
      <c r="E15037" t="s">
        <v>39</v>
      </c>
      <c r="F15037">
        <v>0</v>
      </c>
      <c r="G15037">
        <v>0</v>
      </c>
      <c r="H15037">
        <v>2</v>
      </c>
      <c r="I15037" s="3">
        <v>1658.24</v>
      </c>
      <c r="J15037" s="3">
        <v>0</v>
      </c>
      <c r="K15037" t="s">
        <v>28690</v>
      </c>
      <c r="L15037">
        <v>9800</v>
      </c>
      <c r="M15037" t="s">
        <v>28691</v>
      </c>
      <c r="N15037" t="s">
        <v>30</v>
      </c>
      <c r="O15037" t="s">
        <v>31</v>
      </c>
      <c r="P15037" t="str">
        <f>"15237"</f>
        <v>15237</v>
      </c>
    </row>
    <row r="15038" spans="1:16" x14ac:dyDescent="0.25">
      <c r="A15038" t="str">
        <f>"1200042R00155    00"</f>
        <v>1200042R00155    00</v>
      </c>
      <c r="B15038" t="s">
        <v>32993</v>
      </c>
      <c r="C15038" t="s">
        <v>32994</v>
      </c>
      <c r="D15038" t="s">
        <v>20</v>
      </c>
      <c r="E15038" t="s">
        <v>21</v>
      </c>
      <c r="F15038">
        <v>0</v>
      </c>
      <c r="G15038">
        <v>0</v>
      </c>
      <c r="H15038">
        <v>2</v>
      </c>
      <c r="I15038" s="3">
        <v>3091.54</v>
      </c>
      <c r="J15038" s="3">
        <v>0</v>
      </c>
      <c r="L15038">
        <v>2849</v>
      </c>
      <c r="M15038" t="s">
        <v>16891</v>
      </c>
      <c r="N15038" t="s">
        <v>30</v>
      </c>
      <c r="O15038" t="s">
        <v>31</v>
      </c>
      <c r="P15038" t="str">
        <f t="shared" ref="P15038:P15044" si="192">"15204"</f>
        <v>15204</v>
      </c>
    </row>
    <row r="15039" spans="1:16" x14ac:dyDescent="0.25">
      <c r="A15039" t="str">
        <f>"1200042R00215    00"</f>
        <v>1200042R00215    00</v>
      </c>
      <c r="B15039" t="s">
        <v>32995</v>
      </c>
      <c r="C15039" t="s">
        <v>32996</v>
      </c>
      <c r="D15039" t="s">
        <v>20</v>
      </c>
      <c r="E15039" t="s">
        <v>39</v>
      </c>
      <c r="F15039">
        <v>0</v>
      </c>
      <c r="G15039">
        <v>0</v>
      </c>
      <c r="H15039">
        <v>4</v>
      </c>
      <c r="I15039" s="3">
        <v>1089.51</v>
      </c>
      <c r="J15039" s="3">
        <v>43.75</v>
      </c>
      <c r="L15039">
        <v>901</v>
      </c>
      <c r="M15039" t="s">
        <v>31927</v>
      </c>
      <c r="N15039" t="s">
        <v>30</v>
      </c>
      <c r="O15039" t="s">
        <v>31</v>
      </c>
      <c r="P15039" t="str">
        <f t="shared" si="192"/>
        <v>15204</v>
      </c>
    </row>
    <row r="15040" spans="1:16" x14ac:dyDescent="0.25">
      <c r="A15040" t="str">
        <f>"1200042R00219    00"</f>
        <v>1200042R00219    00</v>
      </c>
      <c r="B15040" t="s">
        <v>32997</v>
      </c>
      <c r="C15040" t="s">
        <v>32998</v>
      </c>
      <c r="E15040" t="s">
        <v>39</v>
      </c>
      <c r="F15040">
        <v>0</v>
      </c>
      <c r="G15040">
        <v>0</v>
      </c>
      <c r="H15040">
        <v>4</v>
      </c>
      <c r="I15040" s="3">
        <v>351.17</v>
      </c>
      <c r="J15040" s="3">
        <v>140.62</v>
      </c>
      <c r="L15040">
        <v>913</v>
      </c>
      <c r="M15040" t="s">
        <v>31927</v>
      </c>
      <c r="N15040" t="s">
        <v>30</v>
      </c>
      <c r="O15040" t="s">
        <v>31</v>
      </c>
      <c r="P15040" t="str">
        <f t="shared" si="192"/>
        <v>15204</v>
      </c>
    </row>
    <row r="15041" spans="1:16" x14ac:dyDescent="0.25">
      <c r="A15041" t="str">
        <f>"1200042R00230    00"</f>
        <v>1200042R00230    00</v>
      </c>
      <c r="B15041" t="s">
        <v>32999</v>
      </c>
      <c r="C15041" t="s">
        <v>33000</v>
      </c>
      <c r="D15041" t="s">
        <v>20</v>
      </c>
      <c r="E15041" t="s">
        <v>39</v>
      </c>
      <c r="F15041">
        <v>0</v>
      </c>
      <c r="G15041">
        <v>0</v>
      </c>
      <c r="H15041">
        <v>16</v>
      </c>
      <c r="I15041" s="3">
        <v>9225.93</v>
      </c>
      <c r="J15041" s="3">
        <v>8156.73</v>
      </c>
      <c r="L15041">
        <v>933</v>
      </c>
      <c r="M15041" t="s">
        <v>33001</v>
      </c>
      <c r="N15041" t="s">
        <v>30</v>
      </c>
      <c r="O15041" t="s">
        <v>31</v>
      </c>
      <c r="P15041" t="str">
        <f t="shared" si="192"/>
        <v>15204</v>
      </c>
    </row>
    <row r="15042" spans="1:16" x14ac:dyDescent="0.25">
      <c r="A15042" t="str">
        <f>"1200042R00252    00"</f>
        <v>1200042R00252    00</v>
      </c>
      <c r="B15042" t="s">
        <v>33002</v>
      </c>
      <c r="C15042" t="s">
        <v>33003</v>
      </c>
      <c r="D15042" t="s">
        <v>20</v>
      </c>
      <c r="E15042" t="s">
        <v>290</v>
      </c>
      <c r="F15042">
        <v>0</v>
      </c>
      <c r="G15042">
        <v>0</v>
      </c>
      <c r="H15042">
        <v>1</v>
      </c>
      <c r="I15042" s="3">
        <v>1259.32</v>
      </c>
      <c r="J15042" s="3">
        <v>0</v>
      </c>
      <c r="K15042" t="s">
        <v>33004</v>
      </c>
      <c r="L15042">
        <v>800</v>
      </c>
      <c r="M15042" t="s">
        <v>33001</v>
      </c>
      <c r="N15042" t="s">
        <v>30</v>
      </c>
      <c r="O15042" t="s">
        <v>31</v>
      </c>
      <c r="P15042" t="str">
        <f t="shared" si="192"/>
        <v>15204</v>
      </c>
    </row>
    <row r="15043" spans="1:16" x14ac:dyDescent="0.25">
      <c r="A15043" t="str">
        <f>"1200042R00262    00"</f>
        <v>1200042R00262    00</v>
      </c>
      <c r="B15043" t="s">
        <v>33005</v>
      </c>
      <c r="C15043" t="s">
        <v>33006</v>
      </c>
      <c r="D15043" t="s">
        <v>20</v>
      </c>
      <c r="E15043" t="s">
        <v>39</v>
      </c>
      <c r="F15043">
        <v>0</v>
      </c>
      <c r="G15043">
        <v>0</v>
      </c>
      <c r="H15043">
        <v>2</v>
      </c>
      <c r="I15043" s="3">
        <v>876.01</v>
      </c>
      <c r="J15043" s="3">
        <v>0</v>
      </c>
      <c r="K15043" t="s">
        <v>33007</v>
      </c>
      <c r="L15043">
        <v>906</v>
      </c>
      <c r="M15043" t="s">
        <v>2505</v>
      </c>
      <c r="N15043" t="s">
        <v>30</v>
      </c>
      <c r="O15043" t="s">
        <v>31</v>
      </c>
      <c r="P15043" t="str">
        <f t="shared" si="192"/>
        <v>15204</v>
      </c>
    </row>
    <row r="15044" spans="1:16" x14ac:dyDescent="0.25">
      <c r="A15044" t="str">
        <f>"1200042R00269    00"</f>
        <v>1200042R00269    00</v>
      </c>
      <c r="B15044" t="s">
        <v>33008</v>
      </c>
      <c r="C15044" t="s">
        <v>33009</v>
      </c>
      <c r="E15044" t="s">
        <v>21</v>
      </c>
      <c r="F15044">
        <v>0</v>
      </c>
      <c r="G15044">
        <v>0</v>
      </c>
      <c r="H15044">
        <v>2</v>
      </c>
      <c r="I15044" s="3">
        <v>1721.98</v>
      </c>
      <c r="J15044" s="3">
        <v>1098.6500000000001</v>
      </c>
      <c r="L15044">
        <v>703</v>
      </c>
      <c r="M15044" t="s">
        <v>2505</v>
      </c>
      <c r="N15044" t="s">
        <v>30</v>
      </c>
      <c r="O15044" t="s">
        <v>31</v>
      </c>
      <c r="P15044" t="str">
        <f t="shared" si="192"/>
        <v>15204</v>
      </c>
    </row>
    <row r="15045" spans="1:16" x14ac:dyDescent="0.25">
      <c r="A15045" t="str">
        <f>"1200042R00290    00"</f>
        <v>1200042R00290    00</v>
      </c>
      <c r="B15045" t="s">
        <v>33010</v>
      </c>
      <c r="C15045" t="s">
        <v>33011</v>
      </c>
      <c r="D15045" t="s">
        <v>20</v>
      </c>
      <c r="E15045" t="s">
        <v>21</v>
      </c>
      <c r="F15045">
        <v>0</v>
      </c>
      <c r="G15045">
        <v>0</v>
      </c>
      <c r="H15045">
        <v>1</v>
      </c>
      <c r="I15045" s="3">
        <v>5336.8</v>
      </c>
      <c r="J15045" s="3">
        <v>0</v>
      </c>
      <c r="K15045" t="s">
        <v>33012</v>
      </c>
      <c r="M15045" t="s">
        <v>33013</v>
      </c>
      <c r="N15045" t="s">
        <v>30</v>
      </c>
      <c r="O15045" t="s">
        <v>31</v>
      </c>
      <c r="P15045" t="str">
        <f>"15205"</f>
        <v>15205</v>
      </c>
    </row>
    <row r="15046" spans="1:16" x14ac:dyDescent="0.25">
      <c r="A15046" t="str">
        <f>"1200042R00301    00"</f>
        <v>1200042R00301    00</v>
      </c>
      <c r="B15046" t="s">
        <v>33014</v>
      </c>
      <c r="C15046" t="s">
        <v>33015</v>
      </c>
      <c r="E15046" t="s">
        <v>21</v>
      </c>
      <c r="F15046">
        <v>0</v>
      </c>
      <c r="G15046">
        <v>0</v>
      </c>
      <c r="H15046">
        <v>1</v>
      </c>
      <c r="I15046" s="3">
        <v>799.04</v>
      </c>
      <c r="J15046" s="3">
        <v>938.83</v>
      </c>
      <c r="K15046" t="s">
        <v>33016</v>
      </c>
      <c r="L15046">
        <v>137</v>
      </c>
      <c r="M15046" t="s">
        <v>33017</v>
      </c>
      <c r="N15046" t="s">
        <v>903</v>
      </c>
      <c r="O15046" t="s">
        <v>31</v>
      </c>
      <c r="P15046" t="str">
        <f>"15136"</f>
        <v>15136</v>
      </c>
    </row>
    <row r="15047" spans="1:16" x14ac:dyDescent="0.25">
      <c r="A15047" t="str">
        <f>"1200042R00312    00"</f>
        <v>1200042R00312    00</v>
      </c>
      <c r="B15047" t="s">
        <v>33018</v>
      </c>
      <c r="C15047" t="s">
        <v>33019</v>
      </c>
      <c r="E15047" t="s">
        <v>21</v>
      </c>
      <c r="F15047">
        <v>0</v>
      </c>
      <c r="G15047">
        <v>0</v>
      </c>
      <c r="H15047">
        <v>1</v>
      </c>
      <c r="I15047" s="3">
        <v>11206.54</v>
      </c>
      <c r="J15047" s="3">
        <v>13167.15</v>
      </c>
      <c r="K15047" t="s">
        <v>33020</v>
      </c>
      <c r="L15047">
        <v>231</v>
      </c>
      <c r="M15047" t="s">
        <v>41</v>
      </c>
      <c r="N15047" t="s">
        <v>2656</v>
      </c>
      <c r="O15047" t="s">
        <v>31</v>
      </c>
      <c r="P15047" t="str">
        <f>"15901"</f>
        <v>15901</v>
      </c>
    </row>
    <row r="15048" spans="1:16" x14ac:dyDescent="0.25">
      <c r="A15048" t="str">
        <f>"1200042S00016    00"</f>
        <v>1200042S00016    00</v>
      </c>
      <c r="B15048" t="s">
        <v>33021</v>
      </c>
      <c r="C15048" t="s">
        <v>33022</v>
      </c>
      <c r="D15048" t="s">
        <v>20</v>
      </c>
      <c r="E15048" t="s">
        <v>39</v>
      </c>
      <c r="F15048">
        <v>0</v>
      </c>
      <c r="G15048">
        <v>0</v>
      </c>
      <c r="H15048">
        <v>13</v>
      </c>
      <c r="I15048" s="3">
        <v>11632.05</v>
      </c>
      <c r="J15048" s="3">
        <v>6941.04</v>
      </c>
      <c r="K15048" t="s">
        <v>33023</v>
      </c>
      <c r="L15048">
        <v>545</v>
      </c>
      <c r="M15048" t="s">
        <v>32760</v>
      </c>
      <c r="N15048" t="s">
        <v>30</v>
      </c>
      <c r="O15048" t="s">
        <v>31</v>
      </c>
      <c r="P15048" t="str">
        <f>"15204"</f>
        <v>15204</v>
      </c>
    </row>
    <row r="15049" spans="1:16" x14ac:dyDescent="0.25">
      <c r="A15049" t="str">
        <f>"1200042S00018    00"</f>
        <v>1200042S00018    00</v>
      </c>
      <c r="B15049" t="s">
        <v>33024</v>
      </c>
      <c r="C15049" t="s">
        <v>33025</v>
      </c>
      <c r="D15049" t="s">
        <v>20</v>
      </c>
      <c r="E15049" t="s">
        <v>39</v>
      </c>
      <c r="F15049">
        <v>0</v>
      </c>
      <c r="G15049">
        <v>0</v>
      </c>
      <c r="H15049">
        <v>19</v>
      </c>
      <c r="I15049" s="3">
        <v>690.85</v>
      </c>
      <c r="J15049" s="3">
        <v>815.07</v>
      </c>
      <c r="K15049" t="s">
        <v>33026</v>
      </c>
      <c r="P15049" t="str">
        <f>""</f>
        <v/>
      </c>
    </row>
    <row r="15050" spans="1:16" x14ac:dyDescent="0.25">
      <c r="A15050" t="str">
        <f>"1200042S00021    00"</f>
        <v>1200042S00021    00</v>
      </c>
      <c r="B15050" t="s">
        <v>33027</v>
      </c>
      <c r="C15050" t="s">
        <v>33025</v>
      </c>
      <c r="D15050" t="s">
        <v>20</v>
      </c>
      <c r="E15050" t="s">
        <v>39</v>
      </c>
      <c r="F15050">
        <v>0</v>
      </c>
      <c r="G15050">
        <v>0</v>
      </c>
      <c r="H15050">
        <v>7</v>
      </c>
      <c r="I15050" s="3">
        <v>500.66</v>
      </c>
      <c r="J15050" s="3">
        <v>420.23</v>
      </c>
      <c r="L15050">
        <v>2783</v>
      </c>
      <c r="M15050" t="s">
        <v>26516</v>
      </c>
      <c r="N15050" t="s">
        <v>30</v>
      </c>
      <c r="O15050" t="s">
        <v>31</v>
      </c>
      <c r="P15050" t="str">
        <f>"15204"</f>
        <v>15204</v>
      </c>
    </row>
    <row r="15051" spans="1:16" x14ac:dyDescent="0.25">
      <c r="A15051" t="str">
        <f>"1200042S00038    00"</f>
        <v>1200042S00038    00</v>
      </c>
      <c r="B15051" t="s">
        <v>33028</v>
      </c>
      <c r="C15051" t="s">
        <v>33029</v>
      </c>
      <c r="D15051" t="s">
        <v>20</v>
      </c>
      <c r="E15051" t="s">
        <v>21</v>
      </c>
      <c r="F15051">
        <v>0</v>
      </c>
      <c r="G15051">
        <v>0</v>
      </c>
      <c r="H15051">
        <v>1</v>
      </c>
      <c r="I15051" s="3">
        <v>496.05</v>
      </c>
      <c r="J15051" s="3">
        <v>0</v>
      </c>
      <c r="L15051">
        <v>542</v>
      </c>
      <c r="M15051" t="s">
        <v>31971</v>
      </c>
      <c r="N15051" t="s">
        <v>30</v>
      </c>
      <c r="O15051" t="s">
        <v>31</v>
      </c>
      <c r="P15051" t="str">
        <f>"15204"</f>
        <v>15204</v>
      </c>
    </row>
    <row r="15052" spans="1:16" x14ac:dyDescent="0.25">
      <c r="A15052" t="str">
        <f>"1200042S00040    00"</f>
        <v>1200042S00040    00</v>
      </c>
      <c r="B15052" t="s">
        <v>31970</v>
      </c>
      <c r="C15052" t="s">
        <v>33030</v>
      </c>
      <c r="D15052" t="s">
        <v>20</v>
      </c>
      <c r="E15052" t="s">
        <v>39</v>
      </c>
      <c r="F15052">
        <v>0</v>
      </c>
      <c r="G15052">
        <v>0</v>
      </c>
      <c r="H15052">
        <v>2</v>
      </c>
      <c r="I15052" s="3">
        <v>2730.18</v>
      </c>
      <c r="J15052" s="3">
        <v>2912.06</v>
      </c>
      <c r="L15052">
        <v>542</v>
      </c>
      <c r="M15052" t="s">
        <v>31971</v>
      </c>
      <c r="N15052" t="s">
        <v>30</v>
      </c>
      <c r="O15052" t="s">
        <v>31</v>
      </c>
      <c r="P15052" t="str">
        <f>"15204"</f>
        <v>15204</v>
      </c>
    </row>
    <row r="15053" spans="1:16" x14ac:dyDescent="0.25">
      <c r="A15053" t="str">
        <f>"1200042S00043    00"</f>
        <v>1200042S00043    00</v>
      </c>
      <c r="B15053" t="s">
        <v>33028</v>
      </c>
      <c r="C15053" t="s">
        <v>33031</v>
      </c>
      <c r="D15053" t="s">
        <v>20</v>
      </c>
      <c r="E15053" t="s">
        <v>21</v>
      </c>
      <c r="F15053">
        <v>0</v>
      </c>
      <c r="G15053">
        <v>0</v>
      </c>
      <c r="H15053">
        <v>1</v>
      </c>
      <c r="I15053" s="3">
        <v>332.51</v>
      </c>
      <c r="J15053" s="3">
        <v>0</v>
      </c>
      <c r="L15053">
        <v>542</v>
      </c>
      <c r="M15053" t="s">
        <v>31971</v>
      </c>
      <c r="N15053" t="s">
        <v>30</v>
      </c>
      <c r="O15053" t="s">
        <v>31</v>
      </c>
      <c r="P15053" t="str">
        <f>"15204"</f>
        <v>15204</v>
      </c>
    </row>
    <row r="15054" spans="1:16" x14ac:dyDescent="0.25">
      <c r="A15054" t="str">
        <f>"1200042S00060    00"</f>
        <v>1200042S00060    00</v>
      </c>
      <c r="B15054" t="s">
        <v>33032</v>
      </c>
      <c r="C15054" t="s">
        <v>33033</v>
      </c>
      <c r="D15054" t="s">
        <v>20</v>
      </c>
      <c r="E15054" t="s">
        <v>21</v>
      </c>
      <c r="F15054">
        <v>0</v>
      </c>
      <c r="G15054">
        <v>0</v>
      </c>
      <c r="H15054">
        <v>19</v>
      </c>
      <c r="I15054" s="3">
        <v>8632.75</v>
      </c>
      <c r="J15054" s="3">
        <v>8628.19</v>
      </c>
      <c r="L15054">
        <v>511</v>
      </c>
      <c r="M15054" t="s">
        <v>30693</v>
      </c>
      <c r="N15054" t="s">
        <v>30</v>
      </c>
      <c r="O15054" t="s">
        <v>31</v>
      </c>
      <c r="P15054" t="str">
        <f>"15220"</f>
        <v>15220</v>
      </c>
    </row>
    <row r="15055" spans="1:16" x14ac:dyDescent="0.25">
      <c r="A15055" t="str">
        <f>"1200042S00084    00"</f>
        <v>1200042S00084    00</v>
      </c>
      <c r="B15055" t="s">
        <v>33034</v>
      </c>
      <c r="C15055" t="s">
        <v>33035</v>
      </c>
      <c r="D15055" t="s">
        <v>20</v>
      </c>
      <c r="E15055" t="s">
        <v>39</v>
      </c>
      <c r="F15055">
        <v>0</v>
      </c>
      <c r="G15055">
        <v>0</v>
      </c>
      <c r="H15055">
        <v>2</v>
      </c>
      <c r="I15055" s="3">
        <v>557.4</v>
      </c>
      <c r="J15055" s="3">
        <v>0</v>
      </c>
      <c r="K15055" t="s">
        <v>33036</v>
      </c>
      <c r="L15055">
        <v>2755</v>
      </c>
      <c r="M15055" t="s">
        <v>26516</v>
      </c>
      <c r="N15055" t="s">
        <v>30</v>
      </c>
      <c r="O15055" t="s">
        <v>31</v>
      </c>
      <c r="P15055" t="str">
        <f>"15204"</f>
        <v>15204</v>
      </c>
    </row>
    <row r="15056" spans="1:16" x14ac:dyDescent="0.25">
      <c r="A15056" t="str">
        <f>"1200042S00091    00"</f>
        <v>1200042S00091    00</v>
      </c>
      <c r="B15056" t="s">
        <v>33037</v>
      </c>
      <c r="C15056" t="s">
        <v>33025</v>
      </c>
      <c r="D15056" t="s">
        <v>20</v>
      </c>
      <c r="E15056" t="s">
        <v>39</v>
      </c>
      <c r="F15056">
        <v>0</v>
      </c>
      <c r="G15056">
        <v>0</v>
      </c>
      <c r="H15056">
        <v>19</v>
      </c>
      <c r="I15056" s="3">
        <v>550.92999999999995</v>
      </c>
      <c r="J15056" s="3">
        <v>673.63</v>
      </c>
      <c r="L15056">
        <v>2737</v>
      </c>
      <c r="M15056" t="s">
        <v>26516</v>
      </c>
      <c r="N15056" t="s">
        <v>30</v>
      </c>
      <c r="O15056" t="s">
        <v>31</v>
      </c>
      <c r="P15056" t="str">
        <f>"15204"</f>
        <v>15204</v>
      </c>
    </row>
    <row r="15057" spans="1:16" x14ac:dyDescent="0.25">
      <c r="A15057" t="str">
        <f>"1200042S00092    00"</f>
        <v>1200042S00092    00</v>
      </c>
      <c r="B15057" t="s">
        <v>33038</v>
      </c>
      <c r="C15057" t="s">
        <v>33025</v>
      </c>
      <c r="D15057" t="s">
        <v>20</v>
      </c>
      <c r="E15057" t="s">
        <v>39</v>
      </c>
      <c r="F15057">
        <v>0</v>
      </c>
      <c r="G15057">
        <v>0</v>
      </c>
      <c r="H15057">
        <v>17</v>
      </c>
      <c r="I15057" s="3">
        <v>443.13</v>
      </c>
      <c r="J15057" s="3">
        <v>572.79999999999995</v>
      </c>
      <c r="L15057">
        <v>2735</v>
      </c>
      <c r="M15057" t="s">
        <v>26516</v>
      </c>
      <c r="N15057" t="s">
        <v>30</v>
      </c>
      <c r="O15057" t="s">
        <v>31</v>
      </c>
      <c r="P15057" t="str">
        <f>"15204"</f>
        <v>15204</v>
      </c>
    </row>
    <row r="15058" spans="1:16" x14ac:dyDescent="0.25">
      <c r="A15058" t="str">
        <f>"1200042S00115    00"</f>
        <v>1200042S00115    00</v>
      </c>
      <c r="B15058" t="s">
        <v>33039</v>
      </c>
      <c r="C15058" t="s">
        <v>33040</v>
      </c>
      <c r="D15058" t="s">
        <v>20</v>
      </c>
      <c r="E15058" t="s">
        <v>39</v>
      </c>
      <c r="F15058">
        <v>0</v>
      </c>
      <c r="G15058">
        <v>0</v>
      </c>
      <c r="H15058">
        <v>4</v>
      </c>
      <c r="I15058" s="3">
        <v>2072.63</v>
      </c>
      <c r="J15058" s="3">
        <v>177.09</v>
      </c>
      <c r="M15058" t="s">
        <v>33041</v>
      </c>
      <c r="N15058" t="s">
        <v>30</v>
      </c>
      <c r="O15058" t="s">
        <v>31</v>
      </c>
      <c r="P15058" t="str">
        <f>"15218"</f>
        <v>15218</v>
      </c>
    </row>
    <row r="15059" spans="1:16" x14ac:dyDescent="0.25">
      <c r="A15059" t="str">
        <f>"1200042S00116    00"</f>
        <v>1200042S00116    00</v>
      </c>
      <c r="B15059" t="s">
        <v>31535</v>
      </c>
      <c r="C15059" t="s">
        <v>33042</v>
      </c>
      <c r="D15059" t="s">
        <v>20</v>
      </c>
      <c r="E15059" t="s">
        <v>39</v>
      </c>
      <c r="F15059">
        <v>0</v>
      </c>
      <c r="G15059">
        <v>0</v>
      </c>
      <c r="H15059">
        <v>3</v>
      </c>
      <c r="I15059" s="3">
        <v>1594.1</v>
      </c>
      <c r="J15059" s="3">
        <v>118.1</v>
      </c>
      <c r="L15059">
        <v>1420</v>
      </c>
      <c r="M15059" t="s">
        <v>2505</v>
      </c>
      <c r="N15059" t="s">
        <v>30</v>
      </c>
      <c r="O15059" t="s">
        <v>31</v>
      </c>
      <c r="P15059" t="str">
        <f>"15204"</f>
        <v>15204</v>
      </c>
    </row>
    <row r="15060" spans="1:16" x14ac:dyDescent="0.25">
      <c r="A15060" t="str">
        <f>"1200042S00117    00"</f>
        <v>1200042S00117    00</v>
      </c>
      <c r="B15060" t="s">
        <v>33043</v>
      </c>
      <c r="C15060" t="s">
        <v>33025</v>
      </c>
      <c r="D15060" t="s">
        <v>20</v>
      </c>
      <c r="E15060" t="s">
        <v>39</v>
      </c>
      <c r="F15060">
        <v>0</v>
      </c>
      <c r="G15060">
        <v>0</v>
      </c>
      <c r="H15060">
        <v>7</v>
      </c>
      <c r="I15060" s="3">
        <v>2766.53</v>
      </c>
      <c r="J15060" s="3">
        <v>924.07</v>
      </c>
      <c r="L15060">
        <v>2754</v>
      </c>
      <c r="M15060" t="s">
        <v>26516</v>
      </c>
      <c r="N15060" t="s">
        <v>30</v>
      </c>
      <c r="O15060" t="s">
        <v>31</v>
      </c>
      <c r="P15060" t="str">
        <f>"15204"</f>
        <v>15204</v>
      </c>
    </row>
    <row r="15061" spans="1:16" x14ac:dyDescent="0.25">
      <c r="A15061" t="str">
        <f>"1200042S00122    00"</f>
        <v>1200042S00122    00</v>
      </c>
      <c r="B15061" t="s">
        <v>33044</v>
      </c>
      <c r="C15061" t="s">
        <v>33045</v>
      </c>
      <c r="D15061" t="s">
        <v>20</v>
      </c>
      <c r="E15061" t="s">
        <v>39</v>
      </c>
      <c r="F15061">
        <v>0</v>
      </c>
      <c r="G15061">
        <v>0</v>
      </c>
      <c r="H15061">
        <v>13</v>
      </c>
      <c r="I15061" s="3">
        <v>15817.67</v>
      </c>
      <c r="J15061" s="3">
        <v>8234.74</v>
      </c>
      <c r="K15061" t="s">
        <v>33046</v>
      </c>
      <c r="M15061" t="s">
        <v>33047</v>
      </c>
      <c r="N15061" t="s">
        <v>33048</v>
      </c>
      <c r="O15061" t="s">
        <v>31</v>
      </c>
      <c r="P15061" t="str">
        <f>"15697"</f>
        <v>15697</v>
      </c>
    </row>
    <row r="15062" spans="1:16" x14ac:dyDescent="0.25">
      <c r="A15062" t="str">
        <f>"1200042S00123    00"</f>
        <v>1200042S00123    00</v>
      </c>
      <c r="B15062" t="s">
        <v>31651</v>
      </c>
      <c r="C15062" t="s">
        <v>33049</v>
      </c>
      <c r="D15062" t="s">
        <v>20</v>
      </c>
      <c r="E15062" t="s">
        <v>39</v>
      </c>
      <c r="F15062">
        <v>0</v>
      </c>
      <c r="G15062">
        <v>0</v>
      </c>
      <c r="H15062">
        <v>1</v>
      </c>
      <c r="I15062" s="3">
        <v>771.94</v>
      </c>
      <c r="J15062" s="3">
        <v>0</v>
      </c>
      <c r="L15062">
        <v>435</v>
      </c>
      <c r="M15062" t="s">
        <v>30062</v>
      </c>
      <c r="N15062" t="s">
        <v>1928</v>
      </c>
      <c r="O15062" t="s">
        <v>31</v>
      </c>
      <c r="P15062" t="str">
        <f>"15317"</f>
        <v>15317</v>
      </c>
    </row>
    <row r="15063" spans="1:16" x14ac:dyDescent="0.25">
      <c r="A15063" t="str">
        <f>"1200042S00125    00"</f>
        <v>1200042S00125    00</v>
      </c>
      <c r="B15063" t="s">
        <v>33050</v>
      </c>
      <c r="C15063" t="s">
        <v>33051</v>
      </c>
      <c r="D15063" t="s">
        <v>20</v>
      </c>
      <c r="E15063" t="s">
        <v>39</v>
      </c>
      <c r="F15063">
        <v>0</v>
      </c>
      <c r="G15063">
        <v>0</v>
      </c>
      <c r="H15063">
        <v>10</v>
      </c>
      <c r="I15063" s="3">
        <v>4982.3599999999997</v>
      </c>
      <c r="J15063" s="3">
        <v>3268.43</v>
      </c>
      <c r="L15063">
        <v>2772</v>
      </c>
      <c r="M15063" t="s">
        <v>26516</v>
      </c>
      <c r="N15063" t="s">
        <v>30</v>
      </c>
      <c r="O15063" t="s">
        <v>31</v>
      </c>
      <c r="P15063" t="str">
        <f>"15204"</f>
        <v>15204</v>
      </c>
    </row>
    <row r="15064" spans="1:16" x14ac:dyDescent="0.25">
      <c r="A15064" t="str">
        <f>"1200042S00126    00"</f>
        <v>1200042S00126    00</v>
      </c>
      <c r="B15064" t="s">
        <v>33052</v>
      </c>
      <c r="C15064" t="s">
        <v>33025</v>
      </c>
      <c r="D15064" t="s">
        <v>20</v>
      </c>
      <c r="E15064" t="s">
        <v>39</v>
      </c>
      <c r="F15064">
        <v>0</v>
      </c>
      <c r="G15064">
        <v>0</v>
      </c>
      <c r="H15064">
        <v>19</v>
      </c>
      <c r="I15064" s="3">
        <v>17832.419999999998</v>
      </c>
      <c r="J15064" s="3">
        <v>20288.62</v>
      </c>
      <c r="L15064">
        <v>17</v>
      </c>
      <c r="M15064" t="s">
        <v>33053</v>
      </c>
      <c r="N15064" t="s">
        <v>903</v>
      </c>
      <c r="O15064" t="s">
        <v>31</v>
      </c>
      <c r="P15064" t="str">
        <f>"15136"</f>
        <v>15136</v>
      </c>
    </row>
    <row r="15065" spans="1:16" x14ac:dyDescent="0.25">
      <c r="A15065" t="str">
        <f>"1200042S00128    00"</f>
        <v>1200042S00128    00</v>
      </c>
      <c r="B15065" t="s">
        <v>33054</v>
      </c>
      <c r="C15065" t="s">
        <v>33055</v>
      </c>
      <c r="E15065" t="s">
        <v>39</v>
      </c>
      <c r="F15065">
        <v>0</v>
      </c>
      <c r="G15065">
        <v>0</v>
      </c>
      <c r="H15065">
        <v>1</v>
      </c>
      <c r="I15065" s="3">
        <v>569.9</v>
      </c>
      <c r="J15065" s="3">
        <v>0</v>
      </c>
      <c r="K15065" t="s">
        <v>33056</v>
      </c>
      <c r="L15065">
        <v>2780</v>
      </c>
      <c r="M15065" t="s">
        <v>26516</v>
      </c>
      <c r="N15065" t="s">
        <v>30</v>
      </c>
      <c r="O15065" t="s">
        <v>31</v>
      </c>
      <c r="P15065" t="str">
        <f>"15204"</f>
        <v>15204</v>
      </c>
    </row>
    <row r="15066" spans="1:16" x14ac:dyDescent="0.25">
      <c r="A15066" t="str">
        <f>"1200042S00129    00"</f>
        <v>1200042S00129    00</v>
      </c>
      <c r="B15066" t="s">
        <v>33057</v>
      </c>
      <c r="C15066" t="s">
        <v>33058</v>
      </c>
      <c r="D15066" t="s">
        <v>20</v>
      </c>
      <c r="E15066" t="s">
        <v>39</v>
      </c>
      <c r="F15066">
        <v>0</v>
      </c>
      <c r="G15066">
        <v>0</v>
      </c>
      <c r="H15066">
        <v>2</v>
      </c>
      <c r="I15066" s="3">
        <v>515.61</v>
      </c>
      <c r="J15066" s="3">
        <v>0</v>
      </c>
      <c r="L15066">
        <v>2782</v>
      </c>
      <c r="M15066" t="s">
        <v>26516</v>
      </c>
      <c r="N15066" t="s">
        <v>30</v>
      </c>
      <c r="O15066" t="s">
        <v>31</v>
      </c>
      <c r="P15066" t="str">
        <f>"15204"</f>
        <v>15204</v>
      </c>
    </row>
    <row r="15067" spans="1:16" x14ac:dyDescent="0.25">
      <c r="A15067" t="str">
        <f>"1200042S00131    00"</f>
        <v>1200042S00131    00</v>
      </c>
      <c r="B15067" t="s">
        <v>33059</v>
      </c>
      <c r="C15067" t="s">
        <v>33060</v>
      </c>
      <c r="D15067" t="s">
        <v>20</v>
      </c>
      <c r="E15067" t="s">
        <v>39</v>
      </c>
      <c r="F15067">
        <v>0</v>
      </c>
      <c r="G15067">
        <v>0</v>
      </c>
      <c r="H15067">
        <v>5</v>
      </c>
      <c r="I15067" s="3">
        <v>2272.65</v>
      </c>
      <c r="J15067" s="3">
        <v>523.42999999999995</v>
      </c>
      <c r="K15067" t="s">
        <v>33061</v>
      </c>
      <c r="L15067">
        <v>2788</v>
      </c>
      <c r="M15067" t="s">
        <v>26516</v>
      </c>
      <c r="N15067" t="s">
        <v>30</v>
      </c>
      <c r="O15067" t="s">
        <v>31</v>
      </c>
      <c r="P15067" t="str">
        <f>"15204"</f>
        <v>15204</v>
      </c>
    </row>
    <row r="15068" spans="1:16" x14ac:dyDescent="0.25">
      <c r="A15068" t="str">
        <f>"1200042S00133    00"</f>
        <v>1200042S00133    00</v>
      </c>
      <c r="B15068" t="s">
        <v>33062</v>
      </c>
      <c r="C15068" t="s">
        <v>33063</v>
      </c>
      <c r="D15068" t="s">
        <v>20</v>
      </c>
      <c r="E15068" t="s">
        <v>39</v>
      </c>
      <c r="F15068">
        <v>0</v>
      </c>
      <c r="G15068">
        <v>0</v>
      </c>
      <c r="H15068">
        <v>4</v>
      </c>
      <c r="I15068" s="3">
        <v>2401.7199999999998</v>
      </c>
      <c r="J15068" s="3">
        <v>304.45999999999998</v>
      </c>
      <c r="K15068" t="s">
        <v>33064</v>
      </c>
      <c r="L15068">
        <v>545</v>
      </c>
      <c r="M15068" t="s">
        <v>32760</v>
      </c>
      <c r="N15068" t="s">
        <v>30</v>
      </c>
      <c r="O15068" t="s">
        <v>31</v>
      </c>
      <c r="P15068" t="str">
        <f>"15204"</f>
        <v>15204</v>
      </c>
    </row>
    <row r="15069" spans="1:16" x14ac:dyDescent="0.25">
      <c r="A15069" t="str">
        <f>"1200042S00149    00"</f>
        <v>1200042S00149    00</v>
      </c>
      <c r="B15069" t="s">
        <v>33065</v>
      </c>
      <c r="C15069" t="s">
        <v>33066</v>
      </c>
      <c r="D15069" t="s">
        <v>20</v>
      </c>
      <c r="E15069" t="s">
        <v>39</v>
      </c>
      <c r="F15069">
        <v>0</v>
      </c>
      <c r="G15069">
        <v>0</v>
      </c>
      <c r="H15069">
        <v>7</v>
      </c>
      <c r="I15069" s="3">
        <v>4199.53</v>
      </c>
      <c r="J15069" s="3">
        <v>1289.04</v>
      </c>
      <c r="K15069" t="s">
        <v>33067</v>
      </c>
      <c r="L15069">
        <v>2824</v>
      </c>
      <c r="M15069" t="s">
        <v>26516</v>
      </c>
      <c r="N15069" t="s">
        <v>30</v>
      </c>
      <c r="O15069" t="s">
        <v>31</v>
      </c>
      <c r="P15069" t="str">
        <f>"15204"</f>
        <v>15204</v>
      </c>
    </row>
    <row r="15070" spans="1:16" x14ac:dyDescent="0.25">
      <c r="A15070" t="str">
        <f>"1200042S00169    00"</f>
        <v>1200042S00169    00</v>
      </c>
      <c r="B15070" t="s">
        <v>33068</v>
      </c>
      <c r="C15070" t="s">
        <v>33069</v>
      </c>
      <c r="E15070" t="s">
        <v>39</v>
      </c>
      <c r="F15070">
        <v>0</v>
      </c>
      <c r="G15070">
        <v>0</v>
      </c>
      <c r="H15070">
        <v>17</v>
      </c>
      <c r="I15070" s="3">
        <v>14184.96</v>
      </c>
      <c r="J15070" s="3">
        <v>14954.09</v>
      </c>
      <c r="K15070" t="s">
        <v>33070</v>
      </c>
      <c r="L15070">
        <v>800</v>
      </c>
      <c r="M15070" t="s">
        <v>33071</v>
      </c>
      <c r="N15070" t="s">
        <v>26823</v>
      </c>
      <c r="O15070" t="s">
        <v>495</v>
      </c>
      <c r="P15070" t="str">
        <f>"90802"</f>
        <v>90802</v>
      </c>
    </row>
    <row r="15071" spans="1:16" x14ac:dyDescent="0.25">
      <c r="A15071" t="str">
        <f>"1200042S00176    00"</f>
        <v>1200042S00176    00</v>
      </c>
      <c r="B15071" t="s">
        <v>33072</v>
      </c>
      <c r="C15071" t="s">
        <v>32605</v>
      </c>
      <c r="D15071" t="s">
        <v>20</v>
      </c>
      <c r="E15071" t="s">
        <v>39</v>
      </c>
      <c r="F15071">
        <v>0</v>
      </c>
      <c r="G15071">
        <v>0</v>
      </c>
      <c r="H15071">
        <v>15</v>
      </c>
      <c r="I15071" s="3">
        <v>7377.42</v>
      </c>
      <c r="J15071" s="3">
        <v>5569.83</v>
      </c>
      <c r="L15071">
        <v>430</v>
      </c>
      <c r="M15071" t="s">
        <v>33073</v>
      </c>
      <c r="N15071" t="s">
        <v>2656</v>
      </c>
      <c r="O15071" t="s">
        <v>31</v>
      </c>
      <c r="P15071" t="str">
        <f>"15901"</f>
        <v>15901</v>
      </c>
    </row>
    <row r="15072" spans="1:16" x14ac:dyDescent="0.25">
      <c r="A15072" t="str">
        <f>"1200042S00177    00"</f>
        <v>1200042S00177    00</v>
      </c>
      <c r="B15072" t="s">
        <v>33074</v>
      </c>
      <c r="C15072" t="s">
        <v>33075</v>
      </c>
      <c r="E15072" t="s">
        <v>39</v>
      </c>
      <c r="F15072">
        <v>0</v>
      </c>
      <c r="G15072">
        <v>0</v>
      </c>
      <c r="H15072">
        <v>1</v>
      </c>
      <c r="I15072" s="3">
        <v>378</v>
      </c>
      <c r="J15072" s="3">
        <v>0</v>
      </c>
      <c r="L15072">
        <v>2761</v>
      </c>
      <c r="M15072" t="s">
        <v>15633</v>
      </c>
      <c r="N15072" t="s">
        <v>30</v>
      </c>
      <c r="O15072" t="s">
        <v>31</v>
      </c>
      <c r="P15072" t="str">
        <f>"15204"</f>
        <v>15204</v>
      </c>
    </row>
    <row r="15073" spans="1:16" x14ac:dyDescent="0.25">
      <c r="A15073" t="str">
        <f>"1200042S00180    00"</f>
        <v>1200042S00180    00</v>
      </c>
      <c r="B15073" t="s">
        <v>33076</v>
      </c>
      <c r="C15073" t="s">
        <v>33077</v>
      </c>
      <c r="D15073" t="s">
        <v>20</v>
      </c>
      <c r="E15073" t="s">
        <v>39</v>
      </c>
      <c r="F15073">
        <v>0</v>
      </c>
      <c r="G15073">
        <v>0</v>
      </c>
      <c r="H15073">
        <v>4</v>
      </c>
      <c r="I15073" s="3">
        <v>1941.12</v>
      </c>
      <c r="J15073" s="3">
        <v>328.45</v>
      </c>
      <c r="K15073" t="s">
        <v>33078</v>
      </c>
      <c r="L15073">
        <v>2755</v>
      </c>
      <c r="M15073" t="s">
        <v>15633</v>
      </c>
      <c r="N15073" t="s">
        <v>30</v>
      </c>
      <c r="O15073" t="s">
        <v>31</v>
      </c>
      <c r="P15073" t="str">
        <f>"15204"</f>
        <v>15204</v>
      </c>
    </row>
    <row r="15074" spans="1:16" x14ac:dyDescent="0.25">
      <c r="A15074" t="str">
        <f>"1200042S00197    00"</f>
        <v>1200042S00197    00</v>
      </c>
      <c r="B15074" t="s">
        <v>33079</v>
      </c>
      <c r="C15074" t="s">
        <v>33080</v>
      </c>
      <c r="D15074" t="s">
        <v>20</v>
      </c>
      <c r="E15074" t="s">
        <v>39</v>
      </c>
      <c r="F15074">
        <v>0</v>
      </c>
      <c r="G15074">
        <v>0</v>
      </c>
      <c r="H15074">
        <v>1</v>
      </c>
      <c r="I15074" s="3">
        <v>909.17</v>
      </c>
      <c r="J15074" s="3">
        <v>0</v>
      </c>
      <c r="K15074" t="s">
        <v>25935</v>
      </c>
      <c r="M15074" t="s">
        <v>33081</v>
      </c>
      <c r="N15074" t="s">
        <v>17280</v>
      </c>
      <c r="O15074" t="s">
        <v>6668</v>
      </c>
      <c r="P15074" t="str">
        <f>"98116"</f>
        <v>98116</v>
      </c>
    </row>
    <row r="15075" spans="1:16" x14ac:dyDescent="0.25">
      <c r="A15075" t="str">
        <f>"1200042S00227    00"</f>
        <v>1200042S00227    00</v>
      </c>
      <c r="B15075" t="s">
        <v>33082</v>
      </c>
      <c r="C15075" t="s">
        <v>33083</v>
      </c>
      <c r="D15075" t="s">
        <v>20</v>
      </c>
      <c r="E15075" t="s">
        <v>39</v>
      </c>
      <c r="F15075">
        <v>0</v>
      </c>
      <c r="G15075">
        <v>0</v>
      </c>
      <c r="H15075">
        <v>2</v>
      </c>
      <c r="I15075" s="3">
        <v>1452.4</v>
      </c>
      <c r="J15075" s="3">
        <v>0</v>
      </c>
      <c r="L15075">
        <v>2010</v>
      </c>
      <c r="M15075" t="s">
        <v>33084</v>
      </c>
      <c r="N15075" t="s">
        <v>195</v>
      </c>
      <c r="O15075" t="s">
        <v>31</v>
      </c>
      <c r="P15075" t="str">
        <f>"15101"</f>
        <v>15101</v>
      </c>
    </row>
    <row r="15076" spans="1:16" x14ac:dyDescent="0.25">
      <c r="A15076" t="str">
        <f>"1200042S00234    00"</f>
        <v>1200042S00234    00</v>
      </c>
      <c r="B15076" t="s">
        <v>33085</v>
      </c>
      <c r="C15076" t="s">
        <v>33086</v>
      </c>
      <c r="D15076" t="s">
        <v>20</v>
      </c>
      <c r="E15076" t="s">
        <v>39</v>
      </c>
      <c r="F15076">
        <v>0</v>
      </c>
      <c r="G15076">
        <v>0</v>
      </c>
      <c r="H15076">
        <v>2</v>
      </c>
      <c r="I15076" s="3">
        <v>129</v>
      </c>
      <c r="J15076" s="3">
        <v>0</v>
      </c>
      <c r="L15076">
        <v>2772</v>
      </c>
      <c r="M15076" t="s">
        <v>15633</v>
      </c>
      <c r="N15076" t="s">
        <v>30</v>
      </c>
      <c r="O15076" t="s">
        <v>31</v>
      </c>
      <c r="P15076" t="str">
        <f>"15204"</f>
        <v>15204</v>
      </c>
    </row>
    <row r="15077" spans="1:16" x14ac:dyDescent="0.25">
      <c r="A15077" t="str">
        <f>"1200042S00235    00"</f>
        <v>1200042S00235    00</v>
      </c>
      <c r="B15077" t="s">
        <v>31345</v>
      </c>
      <c r="C15077" t="s">
        <v>33087</v>
      </c>
      <c r="D15077" t="s">
        <v>20</v>
      </c>
      <c r="E15077" t="s">
        <v>39</v>
      </c>
      <c r="F15077">
        <v>0</v>
      </c>
      <c r="G15077">
        <v>0</v>
      </c>
      <c r="H15077">
        <v>1</v>
      </c>
      <c r="I15077" s="3">
        <v>962.54</v>
      </c>
      <c r="J15077" s="3">
        <v>0</v>
      </c>
      <c r="K15077" t="s">
        <v>31347</v>
      </c>
      <c r="M15077" t="s">
        <v>31348</v>
      </c>
      <c r="N15077" t="s">
        <v>321</v>
      </c>
      <c r="O15077" t="s">
        <v>31</v>
      </c>
      <c r="P15077" t="str">
        <f>"15001"</f>
        <v>15001</v>
      </c>
    </row>
    <row r="15078" spans="1:16" x14ac:dyDescent="0.25">
      <c r="A15078" t="str">
        <f>"1200042S00238    00"</f>
        <v>1200042S00238    00</v>
      </c>
      <c r="B15078" t="s">
        <v>33088</v>
      </c>
      <c r="C15078" t="s">
        <v>33089</v>
      </c>
      <c r="D15078" t="s">
        <v>20</v>
      </c>
      <c r="E15078" t="s">
        <v>39</v>
      </c>
      <c r="F15078">
        <v>0</v>
      </c>
      <c r="G15078">
        <v>0</v>
      </c>
      <c r="H15078">
        <v>1</v>
      </c>
      <c r="I15078" s="3">
        <v>253.96</v>
      </c>
      <c r="J15078" s="3">
        <v>0</v>
      </c>
      <c r="L15078">
        <v>2778</v>
      </c>
      <c r="M15078" t="s">
        <v>15633</v>
      </c>
      <c r="N15078" t="s">
        <v>30</v>
      </c>
      <c r="O15078" t="s">
        <v>31</v>
      </c>
      <c r="P15078" t="str">
        <f>"15204"</f>
        <v>15204</v>
      </c>
    </row>
    <row r="15079" spans="1:16" x14ac:dyDescent="0.25">
      <c r="A15079" t="str">
        <f>"1200042S00241    00"</f>
        <v>1200042S00241    00</v>
      </c>
      <c r="B15079" t="s">
        <v>33090</v>
      </c>
      <c r="C15079" t="s">
        <v>32605</v>
      </c>
      <c r="D15079" t="s">
        <v>20</v>
      </c>
      <c r="E15079" t="s">
        <v>39</v>
      </c>
      <c r="F15079">
        <v>0</v>
      </c>
      <c r="G15079">
        <v>0</v>
      </c>
      <c r="H15079">
        <v>6</v>
      </c>
      <c r="I15079" s="3">
        <v>1325.74</v>
      </c>
      <c r="J15079" s="3">
        <v>297.33</v>
      </c>
      <c r="L15079">
        <v>2778</v>
      </c>
      <c r="M15079" t="s">
        <v>15633</v>
      </c>
      <c r="N15079" t="s">
        <v>30</v>
      </c>
      <c r="O15079" t="s">
        <v>31</v>
      </c>
      <c r="P15079" t="str">
        <f>"15204"</f>
        <v>15204</v>
      </c>
    </row>
    <row r="15080" spans="1:16" x14ac:dyDescent="0.25">
      <c r="A15080" t="str">
        <f>"1200042S00243    00"</f>
        <v>1200042S00243    00</v>
      </c>
      <c r="B15080" t="s">
        <v>33091</v>
      </c>
      <c r="C15080" t="s">
        <v>33092</v>
      </c>
      <c r="D15080" t="s">
        <v>20</v>
      </c>
      <c r="E15080" t="s">
        <v>39</v>
      </c>
      <c r="F15080">
        <v>0</v>
      </c>
      <c r="G15080">
        <v>0</v>
      </c>
      <c r="H15080">
        <v>10</v>
      </c>
      <c r="I15080" s="3">
        <v>5936.94</v>
      </c>
      <c r="J15080" s="3">
        <v>2542.08</v>
      </c>
      <c r="K15080" t="s">
        <v>33093</v>
      </c>
      <c r="L15080">
        <v>905</v>
      </c>
      <c r="M15080" t="s">
        <v>30638</v>
      </c>
      <c r="N15080" t="s">
        <v>30</v>
      </c>
      <c r="O15080" t="s">
        <v>31</v>
      </c>
      <c r="P15080" t="str">
        <f>"15220"</f>
        <v>15220</v>
      </c>
    </row>
    <row r="15081" spans="1:16" x14ac:dyDescent="0.25">
      <c r="A15081" t="str">
        <f>"1200042S00251    00"</f>
        <v>1200042S00251    00</v>
      </c>
      <c r="B15081" t="s">
        <v>33094</v>
      </c>
      <c r="C15081" t="s">
        <v>33095</v>
      </c>
      <c r="E15081" t="s">
        <v>39</v>
      </c>
      <c r="F15081">
        <v>0</v>
      </c>
      <c r="G15081">
        <v>0</v>
      </c>
      <c r="H15081">
        <v>1</v>
      </c>
      <c r="I15081" s="3">
        <v>87.3</v>
      </c>
      <c r="J15081" s="3">
        <v>90.93</v>
      </c>
      <c r="K15081" t="s">
        <v>33096</v>
      </c>
      <c r="M15081" t="s">
        <v>33097</v>
      </c>
      <c r="N15081" t="s">
        <v>30</v>
      </c>
      <c r="O15081" t="s">
        <v>31</v>
      </c>
      <c r="P15081" t="str">
        <f>"15205"</f>
        <v>15205</v>
      </c>
    </row>
    <row r="15082" spans="1:16" x14ac:dyDescent="0.25">
      <c r="A15082" t="str">
        <f>"1200042S00255    00"</f>
        <v>1200042S00255    00</v>
      </c>
      <c r="B15082" t="s">
        <v>33098</v>
      </c>
      <c r="C15082" t="s">
        <v>31030</v>
      </c>
      <c r="D15082" t="s">
        <v>20</v>
      </c>
      <c r="E15082" t="s">
        <v>39</v>
      </c>
      <c r="F15082">
        <v>0</v>
      </c>
      <c r="G15082">
        <v>0</v>
      </c>
      <c r="H15082">
        <v>2</v>
      </c>
      <c r="I15082" s="3">
        <v>34.32</v>
      </c>
      <c r="J15082" s="3">
        <v>0</v>
      </c>
      <c r="K15082" t="s">
        <v>33099</v>
      </c>
      <c r="L15082">
        <v>2195</v>
      </c>
      <c r="M15082" t="s">
        <v>33100</v>
      </c>
      <c r="N15082" t="s">
        <v>32144</v>
      </c>
      <c r="O15082" t="s">
        <v>31</v>
      </c>
      <c r="P15082" t="str">
        <f>"16025"</f>
        <v>16025</v>
      </c>
    </row>
    <row r="15083" spans="1:16" x14ac:dyDescent="0.25">
      <c r="A15083" t="str">
        <f>"1200042S00257    00"</f>
        <v>1200042S00257    00</v>
      </c>
      <c r="B15083" t="s">
        <v>33101</v>
      </c>
      <c r="C15083" t="s">
        <v>33102</v>
      </c>
      <c r="D15083" t="s">
        <v>20</v>
      </c>
      <c r="E15083" t="s">
        <v>39</v>
      </c>
      <c r="F15083">
        <v>0</v>
      </c>
      <c r="G15083">
        <v>0</v>
      </c>
      <c r="H15083">
        <v>9</v>
      </c>
      <c r="I15083" s="3">
        <v>5331.66</v>
      </c>
      <c r="J15083" s="3">
        <v>1750.15</v>
      </c>
      <c r="L15083">
        <v>3362</v>
      </c>
      <c r="M15083" t="s">
        <v>32273</v>
      </c>
      <c r="N15083" t="s">
        <v>30</v>
      </c>
      <c r="O15083" t="s">
        <v>31</v>
      </c>
      <c r="P15083" t="str">
        <f>"15204"</f>
        <v>15204</v>
      </c>
    </row>
    <row r="15084" spans="1:16" x14ac:dyDescent="0.25">
      <c r="A15084" t="str">
        <f>"1200042S00258    00"</f>
        <v>1200042S00258    00</v>
      </c>
      <c r="B15084" t="s">
        <v>33103</v>
      </c>
      <c r="C15084" t="s">
        <v>33104</v>
      </c>
      <c r="D15084" t="s">
        <v>20</v>
      </c>
      <c r="E15084" t="s">
        <v>39</v>
      </c>
      <c r="F15084">
        <v>0</v>
      </c>
      <c r="G15084">
        <v>0</v>
      </c>
      <c r="H15084">
        <v>4</v>
      </c>
      <c r="I15084" s="3">
        <v>2675.91</v>
      </c>
      <c r="J15084" s="3">
        <v>567.83000000000004</v>
      </c>
      <c r="K15084" t="s">
        <v>33105</v>
      </c>
      <c r="L15084">
        <v>1525</v>
      </c>
      <c r="M15084" t="s">
        <v>33106</v>
      </c>
      <c r="N15084" t="s">
        <v>30</v>
      </c>
      <c r="O15084" t="s">
        <v>31</v>
      </c>
      <c r="P15084" t="str">
        <f>"15205"</f>
        <v>15205</v>
      </c>
    </row>
    <row r="15085" spans="1:16" x14ac:dyDescent="0.25">
      <c r="A15085" t="str">
        <f>"1200042S00262000100"</f>
        <v>1200042S00262000100</v>
      </c>
      <c r="B15085" t="s">
        <v>33107</v>
      </c>
      <c r="C15085" t="s">
        <v>33108</v>
      </c>
      <c r="E15085" t="s">
        <v>39</v>
      </c>
      <c r="F15085">
        <v>0</v>
      </c>
      <c r="G15085">
        <v>0</v>
      </c>
      <c r="H15085">
        <v>1</v>
      </c>
      <c r="I15085" s="3">
        <v>571.79999999999995</v>
      </c>
      <c r="J15085" s="3">
        <v>47.64</v>
      </c>
      <c r="K15085" t="s">
        <v>8338</v>
      </c>
      <c r="L15085">
        <v>3202</v>
      </c>
      <c r="M15085" t="s">
        <v>23474</v>
      </c>
      <c r="N15085" t="s">
        <v>30</v>
      </c>
      <c r="O15085" t="s">
        <v>31</v>
      </c>
      <c r="P15085" t="str">
        <f>"15237"</f>
        <v>15237</v>
      </c>
    </row>
    <row r="15086" spans="1:16" x14ac:dyDescent="0.25">
      <c r="A15086" t="str">
        <f>"1200042S00262000200"</f>
        <v>1200042S00262000200</v>
      </c>
      <c r="B15086" t="s">
        <v>33109</v>
      </c>
      <c r="C15086" t="s">
        <v>33110</v>
      </c>
      <c r="D15086" t="s">
        <v>20</v>
      </c>
      <c r="E15086" t="s">
        <v>39</v>
      </c>
      <c r="F15086">
        <v>0</v>
      </c>
      <c r="G15086">
        <v>0</v>
      </c>
      <c r="H15086">
        <v>4</v>
      </c>
      <c r="I15086" s="3">
        <v>653.98</v>
      </c>
      <c r="J15086" s="3">
        <v>55.41</v>
      </c>
      <c r="L15086">
        <v>2757</v>
      </c>
      <c r="M15086" t="s">
        <v>31599</v>
      </c>
      <c r="N15086" t="s">
        <v>30</v>
      </c>
      <c r="O15086" t="s">
        <v>31</v>
      </c>
      <c r="P15086" t="str">
        <f>"15204"</f>
        <v>15204</v>
      </c>
    </row>
    <row r="15087" spans="1:16" x14ac:dyDescent="0.25">
      <c r="A15087" t="str">
        <f>"1200042S00262000400"</f>
        <v>1200042S00262000400</v>
      </c>
      <c r="B15087" t="s">
        <v>33111</v>
      </c>
      <c r="C15087" t="s">
        <v>33112</v>
      </c>
      <c r="D15087" t="s">
        <v>20</v>
      </c>
      <c r="E15087" t="s">
        <v>39</v>
      </c>
      <c r="F15087">
        <v>0</v>
      </c>
      <c r="G15087">
        <v>0</v>
      </c>
      <c r="H15087">
        <v>19</v>
      </c>
      <c r="I15087" s="3">
        <v>13384.69</v>
      </c>
      <c r="J15087" s="3">
        <v>12417.87</v>
      </c>
      <c r="L15087">
        <v>2755</v>
      </c>
      <c r="M15087" t="s">
        <v>31690</v>
      </c>
      <c r="N15087" t="s">
        <v>30</v>
      </c>
      <c r="O15087" t="s">
        <v>31</v>
      </c>
      <c r="P15087" t="str">
        <f>"15204"</f>
        <v>15204</v>
      </c>
    </row>
    <row r="15088" spans="1:16" x14ac:dyDescent="0.25">
      <c r="A15088" t="str">
        <f>"1200042S00304    00"</f>
        <v>1200042S00304    00</v>
      </c>
      <c r="B15088" t="s">
        <v>33113</v>
      </c>
      <c r="C15088" t="s">
        <v>31030</v>
      </c>
      <c r="E15088" t="s">
        <v>39</v>
      </c>
      <c r="F15088">
        <v>0</v>
      </c>
      <c r="G15088">
        <v>0</v>
      </c>
      <c r="H15088">
        <v>4</v>
      </c>
      <c r="I15088" s="3">
        <v>831.42</v>
      </c>
      <c r="J15088" s="3">
        <v>213.2</v>
      </c>
      <c r="L15088">
        <v>2752</v>
      </c>
      <c r="M15088" t="s">
        <v>31602</v>
      </c>
      <c r="N15088" t="s">
        <v>30</v>
      </c>
      <c r="O15088" t="s">
        <v>31</v>
      </c>
      <c r="P15088" t="str">
        <f>"15204"</f>
        <v>15204</v>
      </c>
    </row>
    <row r="15089" spans="1:16" x14ac:dyDescent="0.25">
      <c r="A15089" t="str">
        <f>"1200042S00313    00"</f>
        <v>1200042S00313    00</v>
      </c>
      <c r="B15089" t="s">
        <v>33114</v>
      </c>
      <c r="C15089" t="s">
        <v>33115</v>
      </c>
      <c r="D15089" t="s">
        <v>20</v>
      </c>
      <c r="E15089" t="s">
        <v>39</v>
      </c>
      <c r="F15089">
        <v>0</v>
      </c>
      <c r="G15089">
        <v>0</v>
      </c>
      <c r="H15089">
        <v>17</v>
      </c>
      <c r="I15089" s="3">
        <v>10631.3</v>
      </c>
      <c r="J15089" s="3">
        <v>9240.57</v>
      </c>
      <c r="L15089">
        <v>755</v>
      </c>
      <c r="M15089" t="s">
        <v>33116</v>
      </c>
      <c r="N15089" t="s">
        <v>33117</v>
      </c>
      <c r="O15089" t="s">
        <v>495</v>
      </c>
      <c r="P15089" t="str">
        <f>"93611"</f>
        <v>93611</v>
      </c>
    </row>
    <row r="15090" spans="1:16" x14ac:dyDescent="0.25">
      <c r="A15090" t="str">
        <f>"1200042S00319    00"</f>
        <v>1200042S00319    00</v>
      </c>
      <c r="B15090" t="s">
        <v>33118</v>
      </c>
      <c r="C15090" t="s">
        <v>33119</v>
      </c>
      <c r="D15090" t="s">
        <v>20</v>
      </c>
      <c r="E15090" t="s">
        <v>39</v>
      </c>
      <c r="F15090">
        <v>0</v>
      </c>
      <c r="G15090">
        <v>0</v>
      </c>
      <c r="H15090">
        <v>14</v>
      </c>
      <c r="I15090" s="3">
        <v>10504.52</v>
      </c>
      <c r="J15090" s="3">
        <v>6524.97</v>
      </c>
      <c r="L15090">
        <v>2767</v>
      </c>
      <c r="M15090" t="s">
        <v>31608</v>
      </c>
      <c r="N15090" t="s">
        <v>30</v>
      </c>
      <c r="O15090" t="s">
        <v>31</v>
      </c>
      <c r="P15090" t="str">
        <f>"15204"</f>
        <v>15204</v>
      </c>
    </row>
    <row r="15091" spans="1:16" x14ac:dyDescent="0.25">
      <c r="A15091" t="str">
        <f>"1200042S00320    00"</f>
        <v>1200042S00320    00</v>
      </c>
      <c r="B15091" t="s">
        <v>33120</v>
      </c>
      <c r="C15091" t="s">
        <v>33121</v>
      </c>
      <c r="E15091" t="s">
        <v>39</v>
      </c>
      <c r="F15091">
        <v>0</v>
      </c>
      <c r="G15091">
        <v>0</v>
      </c>
      <c r="H15091">
        <v>1</v>
      </c>
      <c r="I15091" s="3">
        <v>124.23</v>
      </c>
      <c r="J15091" s="3">
        <v>0</v>
      </c>
      <c r="L15091">
        <v>25</v>
      </c>
      <c r="M15091" t="s">
        <v>24327</v>
      </c>
      <c r="N15091" t="s">
        <v>30</v>
      </c>
      <c r="O15091" t="s">
        <v>31</v>
      </c>
      <c r="P15091" t="str">
        <f>"15203"</f>
        <v>15203</v>
      </c>
    </row>
    <row r="15092" spans="1:16" x14ac:dyDescent="0.25">
      <c r="A15092" t="str">
        <f>"1200042S00323    00"</f>
        <v>1200042S00323    00</v>
      </c>
      <c r="B15092" t="s">
        <v>33122</v>
      </c>
      <c r="C15092" t="s">
        <v>33123</v>
      </c>
      <c r="D15092" t="s">
        <v>20</v>
      </c>
      <c r="E15092" t="s">
        <v>39</v>
      </c>
      <c r="F15092">
        <v>0</v>
      </c>
      <c r="G15092">
        <v>0</v>
      </c>
      <c r="H15092">
        <v>10</v>
      </c>
      <c r="I15092" s="3">
        <v>2691.15</v>
      </c>
      <c r="J15092" s="3">
        <v>881.45</v>
      </c>
      <c r="K15092" t="s">
        <v>33124</v>
      </c>
      <c r="L15092">
        <v>3197</v>
      </c>
      <c r="M15092" t="s">
        <v>33125</v>
      </c>
      <c r="N15092" t="s">
        <v>30</v>
      </c>
      <c r="O15092" t="s">
        <v>31</v>
      </c>
      <c r="P15092" t="str">
        <f>"15227"</f>
        <v>15227</v>
      </c>
    </row>
    <row r="15093" spans="1:16" x14ac:dyDescent="0.25">
      <c r="A15093" t="str">
        <f>"1200042S00325    00"</f>
        <v>1200042S00325    00</v>
      </c>
      <c r="B15093" t="s">
        <v>33122</v>
      </c>
      <c r="C15093" t="s">
        <v>33123</v>
      </c>
      <c r="D15093" t="s">
        <v>20</v>
      </c>
      <c r="E15093" t="s">
        <v>39</v>
      </c>
      <c r="F15093">
        <v>0</v>
      </c>
      <c r="G15093">
        <v>0</v>
      </c>
      <c r="H15093">
        <v>10</v>
      </c>
      <c r="I15093" s="3">
        <v>2071.4299999999998</v>
      </c>
      <c r="J15093" s="3">
        <v>886.93</v>
      </c>
      <c r="K15093" t="s">
        <v>33124</v>
      </c>
      <c r="L15093">
        <v>3197</v>
      </c>
      <c r="M15093" t="s">
        <v>33125</v>
      </c>
      <c r="N15093" t="s">
        <v>30</v>
      </c>
      <c r="O15093" t="s">
        <v>31</v>
      </c>
      <c r="P15093" t="str">
        <f>"15227"</f>
        <v>15227</v>
      </c>
    </row>
    <row r="15094" spans="1:16" x14ac:dyDescent="0.25">
      <c r="A15094" t="str">
        <f>"1200042S00328    00"</f>
        <v>1200042S00328    00</v>
      </c>
      <c r="B15094" t="s">
        <v>33126</v>
      </c>
      <c r="C15094" t="s">
        <v>33127</v>
      </c>
      <c r="E15094" t="s">
        <v>39</v>
      </c>
      <c r="F15094">
        <v>0</v>
      </c>
      <c r="G15094">
        <v>0</v>
      </c>
      <c r="H15094">
        <v>1</v>
      </c>
      <c r="I15094" s="3">
        <v>634.71</v>
      </c>
      <c r="J15094" s="3">
        <v>0</v>
      </c>
      <c r="K15094" t="s">
        <v>33128</v>
      </c>
      <c r="L15094">
        <v>1684</v>
      </c>
      <c r="M15094" t="s">
        <v>33129</v>
      </c>
      <c r="N15094" t="s">
        <v>1067</v>
      </c>
      <c r="O15094" t="s">
        <v>31</v>
      </c>
      <c r="P15094" t="str">
        <f>"15143"</f>
        <v>15143</v>
      </c>
    </row>
    <row r="15095" spans="1:16" x14ac:dyDescent="0.25">
      <c r="A15095" t="str">
        <f>"1200042S00329    00"</f>
        <v>1200042S00329    00</v>
      </c>
      <c r="B15095" t="s">
        <v>33130</v>
      </c>
      <c r="C15095" t="s">
        <v>31606</v>
      </c>
      <c r="D15095" t="s">
        <v>20</v>
      </c>
      <c r="E15095" t="s">
        <v>39</v>
      </c>
      <c r="F15095">
        <v>0</v>
      </c>
      <c r="G15095">
        <v>0</v>
      </c>
      <c r="H15095">
        <v>6</v>
      </c>
      <c r="I15095" s="3">
        <v>391.53</v>
      </c>
      <c r="J15095" s="3">
        <v>89.31</v>
      </c>
      <c r="L15095">
        <v>2747</v>
      </c>
      <c r="M15095" t="s">
        <v>31608</v>
      </c>
      <c r="N15095" t="s">
        <v>30</v>
      </c>
      <c r="O15095" t="s">
        <v>31</v>
      </c>
      <c r="P15095" t="str">
        <f>"15204"</f>
        <v>15204</v>
      </c>
    </row>
    <row r="15096" spans="1:16" x14ac:dyDescent="0.25">
      <c r="A15096" t="str">
        <f>"1200042S00330    00"</f>
        <v>1200042S00330    00</v>
      </c>
      <c r="B15096" t="s">
        <v>33131</v>
      </c>
      <c r="C15096" t="s">
        <v>33132</v>
      </c>
      <c r="E15096" t="s">
        <v>39</v>
      </c>
      <c r="F15096">
        <v>0</v>
      </c>
      <c r="G15096">
        <v>0</v>
      </c>
      <c r="H15096">
        <v>4</v>
      </c>
      <c r="I15096" s="3">
        <v>1395.74</v>
      </c>
      <c r="J15096" s="3">
        <v>807.74</v>
      </c>
      <c r="L15096">
        <v>2741</v>
      </c>
      <c r="M15096" t="s">
        <v>31608</v>
      </c>
      <c r="N15096" t="s">
        <v>30</v>
      </c>
      <c r="O15096" t="s">
        <v>31</v>
      </c>
      <c r="P15096" t="str">
        <f>"15204"</f>
        <v>15204</v>
      </c>
    </row>
    <row r="15097" spans="1:16" x14ac:dyDescent="0.25">
      <c r="A15097" t="str">
        <f>"1200042S00345    00"</f>
        <v>1200042S00345    00</v>
      </c>
      <c r="B15097" t="s">
        <v>33133</v>
      </c>
      <c r="C15097" t="s">
        <v>31606</v>
      </c>
      <c r="D15097" t="s">
        <v>20</v>
      </c>
      <c r="E15097" t="s">
        <v>39</v>
      </c>
      <c r="F15097">
        <v>0</v>
      </c>
      <c r="G15097">
        <v>0</v>
      </c>
      <c r="H15097">
        <v>6</v>
      </c>
      <c r="I15097" s="3">
        <v>1382.36</v>
      </c>
      <c r="J15097" s="3">
        <v>361.59</v>
      </c>
      <c r="L15097">
        <v>1163</v>
      </c>
      <c r="M15097" t="s">
        <v>33134</v>
      </c>
      <c r="N15097" t="s">
        <v>22865</v>
      </c>
      <c r="O15097" t="s">
        <v>2097</v>
      </c>
      <c r="P15097" t="str">
        <f>"37043"</f>
        <v>37043</v>
      </c>
    </row>
    <row r="15098" spans="1:16" x14ac:dyDescent="0.25">
      <c r="A15098" t="str">
        <f>"1200043R00106    00"</f>
        <v>1200043R00106    00</v>
      </c>
      <c r="B15098" t="s">
        <v>33135</v>
      </c>
      <c r="C15098" t="s">
        <v>33136</v>
      </c>
      <c r="D15098" t="s">
        <v>20</v>
      </c>
      <c r="E15098" t="s">
        <v>39</v>
      </c>
      <c r="F15098">
        <v>0</v>
      </c>
      <c r="G15098">
        <v>0</v>
      </c>
      <c r="H15098">
        <v>2</v>
      </c>
      <c r="I15098" s="3">
        <v>34.32</v>
      </c>
      <c r="J15098" s="3">
        <v>0</v>
      </c>
      <c r="K15098" t="s">
        <v>33137</v>
      </c>
      <c r="L15098">
        <v>37</v>
      </c>
      <c r="M15098" t="s">
        <v>33138</v>
      </c>
      <c r="N15098" t="s">
        <v>625</v>
      </c>
      <c r="O15098" t="s">
        <v>31</v>
      </c>
      <c r="P15098" t="str">
        <f>"15108"</f>
        <v>15108</v>
      </c>
    </row>
    <row r="15099" spans="1:16" x14ac:dyDescent="0.25">
      <c r="A15099" t="str">
        <f>"1200043R00135    00"</f>
        <v>1200043R00135    00</v>
      </c>
      <c r="B15099" t="s">
        <v>33139</v>
      </c>
      <c r="C15099" t="s">
        <v>33140</v>
      </c>
      <c r="D15099" t="s">
        <v>20</v>
      </c>
      <c r="E15099" t="s">
        <v>39</v>
      </c>
      <c r="F15099">
        <v>0</v>
      </c>
      <c r="G15099">
        <v>0</v>
      </c>
      <c r="H15099">
        <v>2</v>
      </c>
      <c r="I15099" s="3">
        <v>664.3</v>
      </c>
      <c r="J15099" s="3">
        <v>0</v>
      </c>
      <c r="L15099">
        <v>224</v>
      </c>
      <c r="M15099" t="s">
        <v>33141</v>
      </c>
      <c r="N15099" t="s">
        <v>30</v>
      </c>
      <c r="O15099" t="s">
        <v>31</v>
      </c>
      <c r="P15099" t="str">
        <f>"15204"</f>
        <v>15204</v>
      </c>
    </row>
    <row r="15100" spans="1:16" x14ac:dyDescent="0.25">
      <c r="A15100" t="str">
        <f>"1200043R00140    00"</f>
        <v>1200043R00140    00</v>
      </c>
      <c r="B15100" t="s">
        <v>33142</v>
      </c>
      <c r="C15100" t="s">
        <v>33143</v>
      </c>
      <c r="D15100" t="s">
        <v>20</v>
      </c>
      <c r="E15100" t="s">
        <v>39</v>
      </c>
      <c r="F15100">
        <v>0</v>
      </c>
      <c r="G15100">
        <v>0</v>
      </c>
      <c r="H15100">
        <v>2</v>
      </c>
      <c r="I15100" s="3">
        <v>45.74</v>
      </c>
      <c r="J15100" s="3">
        <v>0</v>
      </c>
      <c r="L15100">
        <v>212</v>
      </c>
      <c r="M15100" t="s">
        <v>33141</v>
      </c>
      <c r="N15100" t="s">
        <v>30</v>
      </c>
      <c r="O15100" t="s">
        <v>31</v>
      </c>
      <c r="P15100" t="str">
        <f>"15204"</f>
        <v>15204</v>
      </c>
    </row>
    <row r="15101" spans="1:16" x14ac:dyDescent="0.25">
      <c r="A15101" t="str">
        <f>"1200043R00141    00"</f>
        <v>1200043R00141    00</v>
      </c>
      <c r="B15101" t="s">
        <v>33144</v>
      </c>
      <c r="C15101" t="s">
        <v>33145</v>
      </c>
      <c r="D15101" t="s">
        <v>20</v>
      </c>
      <c r="E15101" t="s">
        <v>39</v>
      </c>
      <c r="F15101">
        <v>0</v>
      </c>
      <c r="G15101">
        <v>0</v>
      </c>
      <c r="H15101">
        <v>2</v>
      </c>
      <c r="I15101" s="3">
        <v>361.94</v>
      </c>
      <c r="J15101" s="3">
        <v>0</v>
      </c>
      <c r="K15101" t="s">
        <v>33146</v>
      </c>
      <c r="L15101">
        <v>212</v>
      </c>
      <c r="M15101" t="s">
        <v>33141</v>
      </c>
      <c r="N15101" t="s">
        <v>30</v>
      </c>
      <c r="O15101" t="s">
        <v>31</v>
      </c>
      <c r="P15101" t="str">
        <f>"15204"</f>
        <v>15204</v>
      </c>
    </row>
    <row r="15102" spans="1:16" x14ac:dyDescent="0.25">
      <c r="A15102" t="str">
        <f>"1200043R00145    00"</f>
        <v>1200043R00145    00</v>
      </c>
      <c r="B15102" t="s">
        <v>33147</v>
      </c>
      <c r="C15102" t="s">
        <v>33148</v>
      </c>
      <c r="D15102" t="s">
        <v>20</v>
      </c>
      <c r="E15102" t="s">
        <v>39</v>
      </c>
      <c r="F15102">
        <v>0</v>
      </c>
      <c r="G15102">
        <v>0</v>
      </c>
      <c r="H15102">
        <v>2</v>
      </c>
      <c r="I15102" s="3">
        <v>414.85</v>
      </c>
      <c r="J15102" s="3">
        <v>68.17</v>
      </c>
      <c r="K15102" t="s">
        <v>33149</v>
      </c>
      <c r="L15102">
        <v>2097</v>
      </c>
      <c r="M15102" t="s">
        <v>33150</v>
      </c>
      <c r="N15102" t="s">
        <v>6941</v>
      </c>
      <c r="O15102" t="s">
        <v>31</v>
      </c>
      <c r="P15102" t="str">
        <f>"15003"</f>
        <v>15003</v>
      </c>
    </row>
    <row r="15103" spans="1:16" x14ac:dyDescent="0.25">
      <c r="A15103" t="str">
        <f>"1200043R00174    00"</f>
        <v>1200043R00174    00</v>
      </c>
      <c r="B15103" t="s">
        <v>33151</v>
      </c>
      <c r="C15103" t="s">
        <v>33152</v>
      </c>
      <c r="D15103" t="s">
        <v>20</v>
      </c>
      <c r="E15103" t="s">
        <v>39</v>
      </c>
      <c r="F15103">
        <v>0</v>
      </c>
      <c r="G15103">
        <v>0</v>
      </c>
      <c r="H15103">
        <v>9</v>
      </c>
      <c r="I15103" s="3">
        <v>2847.25</v>
      </c>
      <c r="J15103" s="3">
        <v>1144.3800000000001</v>
      </c>
      <c r="L15103">
        <v>116</v>
      </c>
      <c r="M15103" t="s">
        <v>31088</v>
      </c>
      <c r="N15103" t="s">
        <v>30</v>
      </c>
      <c r="O15103" t="s">
        <v>31</v>
      </c>
      <c r="P15103" t="str">
        <f>"15229"</f>
        <v>15229</v>
      </c>
    </row>
    <row r="15104" spans="1:16" x14ac:dyDescent="0.25">
      <c r="A15104" t="str">
        <f>"1200043R00178    00"</f>
        <v>1200043R00178    00</v>
      </c>
      <c r="B15104" t="s">
        <v>33153</v>
      </c>
      <c r="C15104" t="s">
        <v>33154</v>
      </c>
      <c r="D15104" t="s">
        <v>20</v>
      </c>
      <c r="E15104" t="s">
        <v>39</v>
      </c>
      <c r="F15104">
        <v>0</v>
      </c>
      <c r="G15104">
        <v>0</v>
      </c>
      <c r="H15104">
        <v>4</v>
      </c>
      <c r="I15104" s="3">
        <v>2208.0700000000002</v>
      </c>
      <c r="J15104" s="3">
        <v>285.33999999999997</v>
      </c>
      <c r="L15104">
        <v>3339</v>
      </c>
      <c r="M15104" t="s">
        <v>31666</v>
      </c>
      <c r="N15104" t="s">
        <v>30</v>
      </c>
      <c r="O15104" t="s">
        <v>31</v>
      </c>
      <c r="P15104" t="str">
        <f>"15204"</f>
        <v>15204</v>
      </c>
    </row>
    <row r="15105" spans="1:16" x14ac:dyDescent="0.25">
      <c r="A15105" t="str">
        <f>"1200043R00180    00"</f>
        <v>1200043R00180    00</v>
      </c>
      <c r="B15105" t="s">
        <v>33155</v>
      </c>
      <c r="C15105" t="s">
        <v>32167</v>
      </c>
      <c r="D15105" t="s">
        <v>20</v>
      </c>
      <c r="E15105" t="s">
        <v>39</v>
      </c>
      <c r="F15105">
        <v>0</v>
      </c>
      <c r="G15105">
        <v>0</v>
      </c>
      <c r="H15105">
        <v>3</v>
      </c>
      <c r="I15105" s="3">
        <v>67.650000000000006</v>
      </c>
      <c r="J15105" s="3">
        <v>6.57</v>
      </c>
      <c r="L15105">
        <v>733</v>
      </c>
      <c r="M15105" t="s">
        <v>33156</v>
      </c>
      <c r="N15105" t="s">
        <v>625</v>
      </c>
      <c r="O15105" t="s">
        <v>31</v>
      </c>
      <c r="P15105" t="str">
        <f>"15108"</f>
        <v>15108</v>
      </c>
    </row>
    <row r="15106" spans="1:16" x14ac:dyDescent="0.25">
      <c r="A15106" t="str">
        <f>"1200043R00182    00"</f>
        <v>1200043R00182    00</v>
      </c>
      <c r="B15106" t="s">
        <v>33155</v>
      </c>
      <c r="C15106" t="s">
        <v>32167</v>
      </c>
      <c r="D15106" t="s">
        <v>20</v>
      </c>
      <c r="E15106" t="s">
        <v>39</v>
      </c>
      <c r="F15106">
        <v>0</v>
      </c>
      <c r="G15106">
        <v>0</v>
      </c>
      <c r="H15106">
        <v>3</v>
      </c>
      <c r="I15106" s="3">
        <v>56.38</v>
      </c>
      <c r="J15106" s="3">
        <v>5.47</v>
      </c>
      <c r="L15106">
        <v>733</v>
      </c>
      <c r="M15106" t="s">
        <v>33156</v>
      </c>
      <c r="N15106" t="s">
        <v>625</v>
      </c>
      <c r="O15106" t="s">
        <v>31</v>
      </c>
      <c r="P15106" t="str">
        <f>"15108"</f>
        <v>15108</v>
      </c>
    </row>
    <row r="15107" spans="1:16" x14ac:dyDescent="0.25">
      <c r="A15107" t="str">
        <f>"1200043R00183    00"</f>
        <v>1200043R00183    00</v>
      </c>
      <c r="B15107" t="s">
        <v>33157</v>
      </c>
      <c r="C15107" t="s">
        <v>33158</v>
      </c>
      <c r="D15107" t="s">
        <v>20</v>
      </c>
      <c r="E15107" t="s">
        <v>39</v>
      </c>
      <c r="F15107">
        <v>0</v>
      </c>
      <c r="G15107">
        <v>0</v>
      </c>
      <c r="H15107">
        <v>9</v>
      </c>
      <c r="I15107" s="3">
        <v>6771.28</v>
      </c>
      <c r="J15107" s="3">
        <v>2453.15</v>
      </c>
      <c r="K15107" t="s">
        <v>33159</v>
      </c>
      <c r="L15107">
        <v>210</v>
      </c>
      <c r="M15107" t="s">
        <v>31666</v>
      </c>
      <c r="N15107" t="s">
        <v>30</v>
      </c>
      <c r="O15107" t="s">
        <v>31</v>
      </c>
      <c r="P15107" t="str">
        <f>"15204"</f>
        <v>15204</v>
      </c>
    </row>
    <row r="15108" spans="1:16" x14ac:dyDescent="0.25">
      <c r="A15108" t="str">
        <f>"1200043R00219    00"</f>
        <v>1200043R00219    00</v>
      </c>
      <c r="B15108" t="s">
        <v>33160</v>
      </c>
      <c r="C15108" t="s">
        <v>33161</v>
      </c>
      <c r="D15108" t="s">
        <v>20</v>
      </c>
      <c r="E15108" t="s">
        <v>39</v>
      </c>
      <c r="F15108">
        <v>0</v>
      </c>
      <c r="G15108">
        <v>0</v>
      </c>
      <c r="H15108">
        <v>7</v>
      </c>
      <c r="I15108" s="3">
        <v>6447.99</v>
      </c>
      <c r="J15108" s="3">
        <v>2403.8000000000002</v>
      </c>
      <c r="L15108">
        <v>211</v>
      </c>
      <c r="M15108" t="s">
        <v>32148</v>
      </c>
      <c r="N15108" t="s">
        <v>30</v>
      </c>
      <c r="O15108" t="s">
        <v>31</v>
      </c>
      <c r="P15108" t="str">
        <f>"15204"</f>
        <v>15204</v>
      </c>
    </row>
    <row r="15109" spans="1:16" x14ac:dyDescent="0.25">
      <c r="A15109" t="str">
        <f>"1200043R00220    00"</f>
        <v>1200043R00220    00</v>
      </c>
      <c r="B15109" t="s">
        <v>33162</v>
      </c>
      <c r="C15109" t="s">
        <v>33163</v>
      </c>
      <c r="D15109" t="s">
        <v>20</v>
      </c>
      <c r="E15109" t="s">
        <v>39</v>
      </c>
      <c r="F15109">
        <v>0</v>
      </c>
      <c r="G15109">
        <v>0</v>
      </c>
      <c r="H15109">
        <v>1</v>
      </c>
      <c r="I15109" s="3">
        <v>1429.5</v>
      </c>
      <c r="J15109" s="3">
        <v>0</v>
      </c>
      <c r="K15109" t="s">
        <v>33164</v>
      </c>
      <c r="L15109">
        <v>6019</v>
      </c>
      <c r="M15109" t="s">
        <v>33165</v>
      </c>
      <c r="N15109" t="s">
        <v>3623</v>
      </c>
      <c r="O15109" t="s">
        <v>31</v>
      </c>
      <c r="P15109" t="str">
        <f>"17112"</f>
        <v>17112</v>
      </c>
    </row>
    <row r="15110" spans="1:16" x14ac:dyDescent="0.25">
      <c r="A15110" t="str">
        <f>"1200043R00222    00"</f>
        <v>1200043R00222    00</v>
      </c>
      <c r="B15110" t="s">
        <v>33166</v>
      </c>
      <c r="C15110" t="s">
        <v>33167</v>
      </c>
      <c r="D15110" t="s">
        <v>20</v>
      </c>
      <c r="E15110" t="s">
        <v>39</v>
      </c>
      <c r="F15110">
        <v>0</v>
      </c>
      <c r="G15110">
        <v>0</v>
      </c>
      <c r="H15110">
        <v>3</v>
      </c>
      <c r="I15110" s="3">
        <v>1029.24</v>
      </c>
      <c r="J15110" s="3">
        <v>68.61</v>
      </c>
      <c r="L15110">
        <v>813</v>
      </c>
      <c r="M15110" t="s">
        <v>739</v>
      </c>
      <c r="N15110" t="s">
        <v>12579</v>
      </c>
      <c r="O15110" t="s">
        <v>31</v>
      </c>
      <c r="P15110" t="str">
        <f>"15112"</f>
        <v>15112</v>
      </c>
    </row>
    <row r="15111" spans="1:16" x14ac:dyDescent="0.25">
      <c r="A15111" t="str">
        <f>"1200043R00225    00"</f>
        <v>1200043R00225    00</v>
      </c>
      <c r="B15111" t="s">
        <v>33168</v>
      </c>
      <c r="C15111" t="s">
        <v>33169</v>
      </c>
      <c r="E15111" t="s">
        <v>39</v>
      </c>
      <c r="F15111">
        <v>0</v>
      </c>
      <c r="G15111">
        <v>0</v>
      </c>
      <c r="H15111">
        <v>1</v>
      </c>
      <c r="I15111" s="3">
        <v>458.13</v>
      </c>
      <c r="J15111" s="3">
        <v>0</v>
      </c>
      <c r="L15111">
        <v>5232</v>
      </c>
      <c r="M15111" t="s">
        <v>33170</v>
      </c>
      <c r="N15111" t="s">
        <v>30</v>
      </c>
      <c r="O15111" t="s">
        <v>31</v>
      </c>
      <c r="P15111" t="str">
        <f>"15232"</f>
        <v>15232</v>
      </c>
    </row>
    <row r="15112" spans="1:16" x14ac:dyDescent="0.25">
      <c r="A15112" t="str">
        <f>"1200043S00027    00"</f>
        <v>1200043S00027    00</v>
      </c>
      <c r="B15112" t="s">
        <v>33171</v>
      </c>
      <c r="C15112" t="s">
        <v>33172</v>
      </c>
      <c r="D15112" t="s">
        <v>20</v>
      </c>
      <c r="E15112" t="s">
        <v>39</v>
      </c>
      <c r="F15112">
        <v>0</v>
      </c>
      <c r="G15112">
        <v>0</v>
      </c>
      <c r="H15112">
        <v>7</v>
      </c>
      <c r="I15112" s="3">
        <v>3518.78</v>
      </c>
      <c r="J15112" s="3">
        <v>63.51</v>
      </c>
      <c r="L15112">
        <v>205</v>
      </c>
      <c r="M15112" t="s">
        <v>33141</v>
      </c>
      <c r="N15112" t="s">
        <v>30</v>
      </c>
      <c r="O15112" t="s">
        <v>31</v>
      </c>
      <c r="P15112" t="str">
        <f>"15204"</f>
        <v>15204</v>
      </c>
    </row>
    <row r="15113" spans="1:16" x14ac:dyDescent="0.25">
      <c r="A15113" t="str">
        <f>"1200043S00107    00"</f>
        <v>1200043S00107    00</v>
      </c>
      <c r="B15113" t="s">
        <v>32192</v>
      </c>
      <c r="C15113" t="s">
        <v>32193</v>
      </c>
      <c r="D15113" t="s">
        <v>20</v>
      </c>
      <c r="E15113" t="s">
        <v>39</v>
      </c>
      <c r="F15113">
        <v>0</v>
      </c>
      <c r="G15113">
        <v>0</v>
      </c>
      <c r="H15113">
        <v>1</v>
      </c>
      <c r="I15113" s="3">
        <v>177.27</v>
      </c>
      <c r="J15113" s="3">
        <v>0</v>
      </c>
      <c r="K15113" t="s">
        <v>32194</v>
      </c>
      <c r="L15113">
        <v>167</v>
      </c>
      <c r="M15113" t="s">
        <v>32195</v>
      </c>
      <c r="N15113" t="s">
        <v>30</v>
      </c>
      <c r="O15113" t="s">
        <v>31</v>
      </c>
      <c r="P15113" t="str">
        <f>"15204"</f>
        <v>15204</v>
      </c>
    </row>
    <row r="15114" spans="1:16" x14ac:dyDescent="0.25">
      <c r="A15114" t="str">
        <f>"1200043S00108    00"</f>
        <v>1200043S00108    00</v>
      </c>
      <c r="B15114" t="s">
        <v>32192</v>
      </c>
      <c r="C15114" t="s">
        <v>32193</v>
      </c>
      <c r="D15114" t="s">
        <v>20</v>
      </c>
      <c r="E15114" t="s">
        <v>39</v>
      </c>
      <c r="F15114">
        <v>0</v>
      </c>
      <c r="G15114">
        <v>0</v>
      </c>
      <c r="H15114">
        <v>1</v>
      </c>
      <c r="I15114" s="3">
        <v>177.27</v>
      </c>
      <c r="J15114" s="3">
        <v>0</v>
      </c>
      <c r="K15114" t="s">
        <v>32194</v>
      </c>
      <c r="L15114">
        <v>167</v>
      </c>
      <c r="M15114" t="s">
        <v>32195</v>
      </c>
      <c r="N15114" t="s">
        <v>30</v>
      </c>
      <c r="O15114" t="s">
        <v>31</v>
      </c>
      <c r="P15114" t="str">
        <f>"15204"</f>
        <v>15204</v>
      </c>
    </row>
    <row r="15115" spans="1:16" x14ac:dyDescent="0.25">
      <c r="A15115" t="str">
        <f>"1200063A00028    00"</f>
        <v>1200063A00028    00</v>
      </c>
      <c r="B15115" t="s">
        <v>33173</v>
      </c>
      <c r="C15115" t="s">
        <v>33174</v>
      </c>
      <c r="D15115" t="s">
        <v>20</v>
      </c>
      <c r="E15115" t="s">
        <v>39</v>
      </c>
      <c r="F15115">
        <v>0</v>
      </c>
      <c r="G15115">
        <v>0</v>
      </c>
      <c r="H15115">
        <v>2</v>
      </c>
      <c r="I15115" s="3">
        <v>730.27</v>
      </c>
      <c r="J15115" s="3">
        <v>255.49</v>
      </c>
      <c r="L15115">
        <v>2341</v>
      </c>
      <c r="M15115" t="s">
        <v>33175</v>
      </c>
      <c r="N15115" t="s">
        <v>30</v>
      </c>
      <c r="O15115" t="s">
        <v>31</v>
      </c>
      <c r="P15115" t="str">
        <f>"15220"</f>
        <v>15220</v>
      </c>
    </row>
    <row r="15116" spans="1:16" x14ac:dyDescent="0.25">
      <c r="A15116" t="str">
        <f>"1200063B00069    00"</f>
        <v>1200063B00069    00</v>
      </c>
      <c r="B15116" t="s">
        <v>33176</v>
      </c>
      <c r="C15116" t="s">
        <v>33177</v>
      </c>
      <c r="D15116" t="s">
        <v>20</v>
      </c>
      <c r="E15116" t="s">
        <v>39</v>
      </c>
      <c r="F15116">
        <v>0</v>
      </c>
      <c r="G15116">
        <v>0</v>
      </c>
      <c r="H15116">
        <v>11</v>
      </c>
      <c r="I15116" s="3">
        <v>18861.63</v>
      </c>
      <c r="J15116" s="3">
        <v>5838.24</v>
      </c>
      <c r="K15116" t="s">
        <v>33178</v>
      </c>
      <c r="L15116">
        <v>2224</v>
      </c>
      <c r="M15116" t="s">
        <v>31824</v>
      </c>
      <c r="N15116" t="s">
        <v>30</v>
      </c>
      <c r="O15116" t="s">
        <v>31</v>
      </c>
      <c r="P15116" t="str">
        <f>"15216"</f>
        <v>15216</v>
      </c>
    </row>
    <row r="15117" spans="1:16" x14ac:dyDescent="0.25">
      <c r="A15117" t="str">
        <f>"1200063B00143    00"</f>
        <v>1200063B00143    00</v>
      </c>
      <c r="B15117" t="s">
        <v>33179</v>
      </c>
      <c r="C15117" t="s">
        <v>33180</v>
      </c>
      <c r="D15117" t="s">
        <v>20</v>
      </c>
      <c r="E15117" t="s">
        <v>39</v>
      </c>
      <c r="F15117">
        <v>0</v>
      </c>
      <c r="G15117">
        <v>0</v>
      </c>
      <c r="H15117">
        <v>2</v>
      </c>
      <c r="I15117" s="3">
        <v>2220.58</v>
      </c>
      <c r="J15117" s="3">
        <v>230.93</v>
      </c>
      <c r="L15117">
        <v>2930</v>
      </c>
      <c r="M15117" t="s">
        <v>28646</v>
      </c>
      <c r="N15117" t="s">
        <v>30</v>
      </c>
      <c r="O15117" t="s">
        <v>31</v>
      </c>
      <c r="P15117" t="str">
        <f>"15216"</f>
        <v>15216</v>
      </c>
    </row>
    <row r="15118" spans="1:16" x14ac:dyDescent="0.25">
      <c r="A15118" t="str">
        <f>"1200063B00147    00"</f>
        <v>1200063B00147    00</v>
      </c>
      <c r="B15118" t="s">
        <v>33179</v>
      </c>
      <c r="C15118" t="s">
        <v>33181</v>
      </c>
      <c r="D15118" t="s">
        <v>20</v>
      </c>
      <c r="E15118" t="s">
        <v>39</v>
      </c>
      <c r="F15118">
        <v>0</v>
      </c>
      <c r="G15118">
        <v>0</v>
      </c>
      <c r="H15118">
        <v>1</v>
      </c>
      <c r="I15118" s="3">
        <v>1250.33</v>
      </c>
      <c r="J15118" s="3">
        <v>0</v>
      </c>
      <c r="L15118">
        <v>424</v>
      </c>
      <c r="M15118" t="s">
        <v>33182</v>
      </c>
      <c r="N15118" t="s">
        <v>30</v>
      </c>
      <c r="O15118" t="s">
        <v>31</v>
      </c>
      <c r="P15118" t="str">
        <f>"15243"</f>
        <v>15243</v>
      </c>
    </row>
    <row r="15119" spans="1:16" x14ac:dyDescent="0.25">
      <c r="A15119" t="str">
        <f>"1200063B00186    00"</f>
        <v>1200063B00186    00</v>
      </c>
      <c r="B15119" t="s">
        <v>33183</v>
      </c>
      <c r="C15119" t="s">
        <v>33184</v>
      </c>
      <c r="D15119" t="s">
        <v>20</v>
      </c>
      <c r="E15119" t="s">
        <v>39</v>
      </c>
      <c r="F15119">
        <v>0</v>
      </c>
      <c r="G15119">
        <v>0</v>
      </c>
      <c r="H15119">
        <v>1</v>
      </c>
      <c r="I15119" s="3">
        <v>1340.38</v>
      </c>
      <c r="J15119" s="3">
        <v>0</v>
      </c>
      <c r="K15119" t="s">
        <v>33185</v>
      </c>
      <c r="L15119">
        <v>3016</v>
      </c>
      <c r="M15119" t="s">
        <v>28646</v>
      </c>
      <c r="N15119" t="s">
        <v>30</v>
      </c>
      <c r="O15119" t="s">
        <v>31</v>
      </c>
      <c r="P15119" t="str">
        <f>"15216"</f>
        <v>15216</v>
      </c>
    </row>
    <row r="15120" spans="1:16" x14ac:dyDescent="0.25">
      <c r="A15120" t="str">
        <f>"1200063B00302    00"</f>
        <v>1200063B00302    00</v>
      </c>
      <c r="B15120" t="s">
        <v>33186</v>
      </c>
      <c r="C15120" t="s">
        <v>33187</v>
      </c>
      <c r="D15120" t="s">
        <v>20</v>
      </c>
      <c r="E15120" t="s">
        <v>39</v>
      </c>
      <c r="F15120">
        <v>0</v>
      </c>
      <c r="G15120">
        <v>0</v>
      </c>
      <c r="H15120">
        <v>1</v>
      </c>
      <c r="I15120" s="3">
        <v>1919.36</v>
      </c>
      <c r="J15120" s="3">
        <v>0</v>
      </c>
      <c r="K15120" t="s">
        <v>8393</v>
      </c>
      <c r="M15120" t="s">
        <v>8394</v>
      </c>
      <c r="N15120" t="s">
        <v>8395</v>
      </c>
      <c r="O15120" t="s">
        <v>1616</v>
      </c>
      <c r="P15120" t="str">
        <f>"57709"</f>
        <v>57709</v>
      </c>
    </row>
    <row r="15121" spans="1:16" x14ac:dyDescent="0.25">
      <c r="A15121" t="str">
        <f>"1200063B00336    00"</f>
        <v>1200063B00336    00</v>
      </c>
      <c r="B15121" t="s">
        <v>33183</v>
      </c>
      <c r="C15121" t="s">
        <v>33188</v>
      </c>
      <c r="D15121" t="s">
        <v>20</v>
      </c>
      <c r="E15121" t="s">
        <v>39</v>
      </c>
      <c r="F15121">
        <v>0</v>
      </c>
      <c r="G15121">
        <v>0</v>
      </c>
      <c r="H15121">
        <v>1</v>
      </c>
      <c r="I15121" s="3">
        <v>291.63</v>
      </c>
      <c r="J15121" s="3">
        <v>0</v>
      </c>
      <c r="M15121" t="s">
        <v>33189</v>
      </c>
      <c r="N15121" t="s">
        <v>30</v>
      </c>
      <c r="O15121" t="s">
        <v>31</v>
      </c>
      <c r="P15121" t="str">
        <f>"15234"</f>
        <v>15234</v>
      </c>
    </row>
    <row r="15122" spans="1:16" x14ac:dyDescent="0.25">
      <c r="A15122" t="str">
        <f>"1200063C00052    00"</f>
        <v>1200063C00052    00</v>
      </c>
      <c r="B15122" t="s">
        <v>33190</v>
      </c>
      <c r="C15122" t="s">
        <v>33191</v>
      </c>
      <c r="D15122" t="s">
        <v>20</v>
      </c>
      <c r="E15122" t="s">
        <v>39</v>
      </c>
      <c r="F15122">
        <v>0</v>
      </c>
      <c r="G15122">
        <v>0</v>
      </c>
      <c r="H15122">
        <v>9</v>
      </c>
      <c r="I15122" s="3">
        <v>4815.5</v>
      </c>
      <c r="J15122" s="3">
        <v>1889.67</v>
      </c>
      <c r="K15122" t="s">
        <v>33192</v>
      </c>
      <c r="L15122">
        <v>2020</v>
      </c>
      <c r="M15122" t="s">
        <v>33193</v>
      </c>
      <c r="N15122" t="s">
        <v>30</v>
      </c>
      <c r="O15122" t="s">
        <v>31</v>
      </c>
      <c r="P15122" t="str">
        <f>"15216"</f>
        <v>15216</v>
      </c>
    </row>
    <row r="15123" spans="1:16" x14ac:dyDescent="0.25">
      <c r="A15123" t="str">
        <f>"1200063D00030    00"</f>
        <v>1200063D00030    00</v>
      </c>
      <c r="B15123" t="s">
        <v>33194</v>
      </c>
      <c r="C15123" t="s">
        <v>33195</v>
      </c>
      <c r="D15123" t="s">
        <v>20</v>
      </c>
      <c r="E15123" t="s">
        <v>39</v>
      </c>
      <c r="F15123">
        <v>0</v>
      </c>
      <c r="G15123">
        <v>0</v>
      </c>
      <c r="H15123">
        <v>6</v>
      </c>
      <c r="I15123" s="3">
        <v>696.56</v>
      </c>
      <c r="J15123" s="3">
        <v>168.41</v>
      </c>
      <c r="L15123">
        <v>2602</v>
      </c>
      <c r="M15123" t="s">
        <v>29802</v>
      </c>
      <c r="N15123" t="s">
        <v>30</v>
      </c>
      <c r="O15123" t="s">
        <v>31</v>
      </c>
      <c r="P15123" t="str">
        <f>"15216"</f>
        <v>15216</v>
      </c>
    </row>
    <row r="15124" spans="1:16" x14ac:dyDescent="0.25">
      <c r="A15124" t="str">
        <f>"1200063D00045    00"</f>
        <v>1200063D00045    00</v>
      </c>
      <c r="B15124" t="s">
        <v>33196</v>
      </c>
      <c r="C15124" t="s">
        <v>30498</v>
      </c>
      <c r="E15124" t="s">
        <v>39</v>
      </c>
      <c r="F15124">
        <v>0</v>
      </c>
      <c r="G15124">
        <v>0</v>
      </c>
      <c r="H15124">
        <v>1</v>
      </c>
      <c r="I15124" s="3">
        <v>98.17</v>
      </c>
      <c r="J15124" s="3">
        <v>26.99</v>
      </c>
      <c r="L15124">
        <v>2728</v>
      </c>
      <c r="M15124" t="s">
        <v>33197</v>
      </c>
      <c r="N15124" t="s">
        <v>30</v>
      </c>
      <c r="O15124" t="s">
        <v>31</v>
      </c>
      <c r="P15124" t="str">
        <f>"15216"</f>
        <v>15216</v>
      </c>
    </row>
    <row r="15125" spans="1:16" x14ac:dyDescent="0.25">
      <c r="A15125" t="str">
        <f>"1200063D00089    00"</f>
        <v>1200063D00089    00</v>
      </c>
      <c r="B15125" t="s">
        <v>33198</v>
      </c>
      <c r="C15125" t="s">
        <v>33199</v>
      </c>
      <c r="D15125" t="s">
        <v>20</v>
      </c>
      <c r="E15125" t="s">
        <v>39</v>
      </c>
      <c r="F15125">
        <v>0</v>
      </c>
      <c r="G15125">
        <v>0</v>
      </c>
      <c r="H15125">
        <v>1</v>
      </c>
      <c r="I15125" s="3">
        <v>1968.91</v>
      </c>
      <c r="J15125" s="3">
        <v>0</v>
      </c>
      <c r="K15125" t="s">
        <v>909</v>
      </c>
      <c r="L15125">
        <v>3001</v>
      </c>
      <c r="M15125" t="s">
        <v>330</v>
      </c>
      <c r="N15125" t="s">
        <v>331</v>
      </c>
      <c r="O15125" t="s">
        <v>108</v>
      </c>
      <c r="P15125" t="str">
        <f>"75063"</f>
        <v>75063</v>
      </c>
    </row>
    <row r="15126" spans="1:16" x14ac:dyDescent="0.25">
      <c r="A15126" t="str">
        <f>"1200063D00111    00"</f>
        <v>1200063D00111    00</v>
      </c>
      <c r="B15126" t="s">
        <v>33200</v>
      </c>
      <c r="C15126" t="s">
        <v>33201</v>
      </c>
      <c r="E15126" t="s">
        <v>39</v>
      </c>
      <c r="F15126">
        <v>0</v>
      </c>
      <c r="G15126">
        <v>0</v>
      </c>
      <c r="H15126">
        <v>2</v>
      </c>
      <c r="I15126" s="3">
        <v>467.71</v>
      </c>
      <c r="J15126" s="3">
        <v>49.14</v>
      </c>
      <c r="L15126">
        <v>2234</v>
      </c>
      <c r="M15126" t="s">
        <v>29570</v>
      </c>
      <c r="N15126" t="s">
        <v>30</v>
      </c>
      <c r="O15126" t="s">
        <v>31</v>
      </c>
      <c r="P15126" t="str">
        <f>"15216"</f>
        <v>15216</v>
      </c>
    </row>
    <row r="15127" spans="1:16" x14ac:dyDescent="0.25">
      <c r="A15127" t="str">
        <f>"1200063D00240    00"</f>
        <v>1200063D00240    00</v>
      </c>
      <c r="B15127" t="s">
        <v>13531</v>
      </c>
      <c r="C15127" t="s">
        <v>33202</v>
      </c>
      <c r="E15127" t="s">
        <v>39</v>
      </c>
      <c r="F15127">
        <v>0</v>
      </c>
      <c r="G15127">
        <v>0</v>
      </c>
      <c r="H15127">
        <v>9</v>
      </c>
      <c r="I15127" s="3">
        <v>910.12</v>
      </c>
      <c r="J15127" s="3">
        <v>1129.1300000000001</v>
      </c>
      <c r="L15127">
        <v>2533</v>
      </c>
      <c r="M15127" t="s">
        <v>33203</v>
      </c>
      <c r="N15127" t="s">
        <v>30</v>
      </c>
      <c r="O15127" t="s">
        <v>31</v>
      </c>
      <c r="P15127" t="str">
        <f>"15216"</f>
        <v>15216</v>
      </c>
    </row>
    <row r="15128" spans="1:16" x14ac:dyDescent="0.25">
      <c r="A15128" t="str">
        <f>"1200063E00066    00"</f>
        <v>1200063E00066    00</v>
      </c>
      <c r="B15128" t="s">
        <v>33204</v>
      </c>
      <c r="C15128" t="s">
        <v>33205</v>
      </c>
      <c r="D15128" t="s">
        <v>20</v>
      </c>
      <c r="E15128" t="s">
        <v>39</v>
      </c>
      <c r="F15128">
        <v>0</v>
      </c>
      <c r="G15128">
        <v>0</v>
      </c>
      <c r="H15128">
        <v>2</v>
      </c>
      <c r="I15128" s="3">
        <v>2147.1799999999998</v>
      </c>
      <c r="J15128" s="3">
        <v>0</v>
      </c>
      <c r="L15128">
        <v>2234</v>
      </c>
      <c r="M15128" t="s">
        <v>23170</v>
      </c>
      <c r="N15128" t="s">
        <v>30</v>
      </c>
      <c r="O15128" t="s">
        <v>31</v>
      </c>
      <c r="P15128" t="str">
        <f>"15220"</f>
        <v>15220</v>
      </c>
    </row>
    <row r="15129" spans="1:16" x14ac:dyDescent="0.25">
      <c r="A15129" t="str">
        <f>"1200063E00148    00"</f>
        <v>1200063E00148    00</v>
      </c>
      <c r="B15129" t="s">
        <v>33206</v>
      </c>
      <c r="C15129" t="s">
        <v>33207</v>
      </c>
      <c r="D15129" t="s">
        <v>20</v>
      </c>
      <c r="E15129" t="s">
        <v>39</v>
      </c>
      <c r="F15129">
        <v>0</v>
      </c>
      <c r="G15129">
        <v>0</v>
      </c>
      <c r="H15129">
        <v>2</v>
      </c>
      <c r="I15129" s="3">
        <v>1970.92</v>
      </c>
      <c r="J15129" s="3">
        <v>815.49</v>
      </c>
      <c r="L15129">
        <v>2250</v>
      </c>
      <c r="M15129" t="s">
        <v>28614</v>
      </c>
      <c r="N15129" t="s">
        <v>30</v>
      </c>
      <c r="O15129" t="s">
        <v>31</v>
      </c>
      <c r="P15129" t="str">
        <f>"15216"</f>
        <v>15216</v>
      </c>
    </row>
    <row r="15130" spans="1:16" x14ac:dyDescent="0.25">
      <c r="A15130" t="str">
        <f>"1200063E00152    00"</f>
        <v>1200063E00152    00</v>
      </c>
      <c r="B15130" t="s">
        <v>33208</v>
      </c>
      <c r="C15130" t="s">
        <v>33209</v>
      </c>
      <c r="D15130" t="s">
        <v>20</v>
      </c>
      <c r="E15130" t="s">
        <v>39</v>
      </c>
      <c r="F15130">
        <v>0</v>
      </c>
      <c r="G15130">
        <v>0</v>
      </c>
      <c r="H15130">
        <v>5</v>
      </c>
      <c r="I15130" s="3">
        <v>3712.3</v>
      </c>
      <c r="J15130" s="3">
        <v>1143.49</v>
      </c>
      <c r="L15130">
        <v>2224</v>
      </c>
      <c r="M15130" t="s">
        <v>28614</v>
      </c>
      <c r="N15130" t="s">
        <v>30</v>
      </c>
      <c r="O15130" t="s">
        <v>31</v>
      </c>
      <c r="P15130" t="str">
        <f>"15216"</f>
        <v>15216</v>
      </c>
    </row>
    <row r="15131" spans="1:16" x14ac:dyDescent="0.25">
      <c r="A15131" t="str">
        <f>"1200063F00018    00"</f>
        <v>1200063F00018    00</v>
      </c>
      <c r="B15131" t="s">
        <v>33210</v>
      </c>
      <c r="C15131" t="s">
        <v>33211</v>
      </c>
      <c r="E15131" t="s">
        <v>39</v>
      </c>
      <c r="F15131">
        <v>0</v>
      </c>
      <c r="G15131">
        <v>0</v>
      </c>
      <c r="H15131">
        <v>1</v>
      </c>
      <c r="I15131" s="3">
        <v>1146.05</v>
      </c>
      <c r="J15131" s="3">
        <v>0</v>
      </c>
      <c r="L15131">
        <v>2215</v>
      </c>
      <c r="M15131" t="s">
        <v>33212</v>
      </c>
      <c r="N15131" t="s">
        <v>30</v>
      </c>
      <c r="O15131" t="s">
        <v>31</v>
      </c>
      <c r="P15131" t="str">
        <f>"15220"</f>
        <v>15220</v>
      </c>
    </row>
    <row r="15132" spans="1:16" x14ac:dyDescent="0.25">
      <c r="A15132" t="str">
        <f>"1200063F00033    00"</f>
        <v>1200063F00033    00</v>
      </c>
      <c r="B15132" t="s">
        <v>33213</v>
      </c>
      <c r="C15132" t="s">
        <v>33214</v>
      </c>
      <c r="D15132" t="s">
        <v>20</v>
      </c>
      <c r="E15132" t="s">
        <v>39</v>
      </c>
      <c r="F15132">
        <v>0</v>
      </c>
      <c r="G15132">
        <v>0</v>
      </c>
      <c r="H15132">
        <v>1</v>
      </c>
      <c r="I15132" s="3">
        <v>1163.1400000000001</v>
      </c>
      <c r="J15132" s="3">
        <v>0</v>
      </c>
      <c r="K15132" t="s">
        <v>9114</v>
      </c>
      <c r="M15132" t="s">
        <v>9115</v>
      </c>
      <c r="N15132" t="s">
        <v>264</v>
      </c>
      <c r="O15132" t="s">
        <v>25</v>
      </c>
      <c r="P15132" t="str">
        <f>"45263"</f>
        <v>45263</v>
      </c>
    </row>
    <row r="15133" spans="1:16" x14ac:dyDescent="0.25">
      <c r="A15133" t="str">
        <f>"1200063F00081    00"</f>
        <v>1200063F00081    00</v>
      </c>
      <c r="B15133" t="s">
        <v>33215</v>
      </c>
      <c r="C15133" t="s">
        <v>33216</v>
      </c>
      <c r="D15133" t="s">
        <v>20</v>
      </c>
      <c r="E15133" t="s">
        <v>21</v>
      </c>
      <c r="F15133">
        <v>0</v>
      </c>
      <c r="G15133">
        <v>0</v>
      </c>
      <c r="H15133">
        <v>2</v>
      </c>
      <c r="I15133" s="3">
        <v>6000.08</v>
      </c>
      <c r="J15133" s="3">
        <v>0</v>
      </c>
      <c r="L15133">
        <v>3120</v>
      </c>
      <c r="M15133" t="s">
        <v>28859</v>
      </c>
      <c r="N15133" t="s">
        <v>30</v>
      </c>
      <c r="O15133" t="s">
        <v>31</v>
      </c>
      <c r="P15133" t="str">
        <f>"15216"</f>
        <v>15216</v>
      </c>
    </row>
    <row r="15134" spans="1:16" x14ac:dyDescent="0.25">
      <c r="A15134" t="str">
        <f>"1200063F00124    00"</f>
        <v>1200063F00124    00</v>
      </c>
      <c r="B15134" t="s">
        <v>33217</v>
      </c>
      <c r="C15134" t="s">
        <v>33218</v>
      </c>
      <c r="D15134" t="s">
        <v>20</v>
      </c>
      <c r="E15134" t="s">
        <v>21</v>
      </c>
      <c r="F15134">
        <v>0</v>
      </c>
      <c r="G15134">
        <v>0</v>
      </c>
      <c r="H15134">
        <v>1</v>
      </c>
      <c r="I15134" s="3">
        <v>4574.42</v>
      </c>
      <c r="J15134" s="3">
        <v>0</v>
      </c>
      <c r="L15134">
        <v>2003</v>
      </c>
      <c r="M15134" t="s">
        <v>30529</v>
      </c>
      <c r="N15134" t="s">
        <v>625</v>
      </c>
      <c r="O15134" t="s">
        <v>31</v>
      </c>
      <c r="P15134" t="str">
        <f>"15108"</f>
        <v>15108</v>
      </c>
    </row>
    <row r="15135" spans="1:16" x14ac:dyDescent="0.25">
      <c r="A15135" t="str">
        <f>"1200063F00125    00"</f>
        <v>1200063F00125    00</v>
      </c>
      <c r="B15135" t="s">
        <v>33217</v>
      </c>
      <c r="C15135" t="s">
        <v>33219</v>
      </c>
      <c r="D15135" t="s">
        <v>20</v>
      </c>
      <c r="E15135" t="s">
        <v>21</v>
      </c>
      <c r="F15135">
        <v>0</v>
      </c>
      <c r="G15135">
        <v>0</v>
      </c>
      <c r="H15135">
        <v>1</v>
      </c>
      <c r="I15135" s="3">
        <v>4955.62</v>
      </c>
      <c r="J15135" s="3">
        <v>0</v>
      </c>
      <c r="K15135" t="s">
        <v>33220</v>
      </c>
      <c r="L15135">
        <v>2003</v>
      </c>
      <c r="M15135" t="s">
        <v>30529</v>
      </c>
      <c r="N15135" t="s">
        <v>625</v>
      </c>
      <c r="O15135" t="s">
        <v>31</v>
      </c>
      <c r="P15135" t="str">
        <f>"15108"</f>
        <v>15108</v>
      </c>
    </row>
    <row r="15136" spans="1:16" x14ac:dyDescent="0.25">
      <c r="A15136" t="str">
        <f>"1200063F00129    00"</f>
        <v>1200063F00129    00</v>
      </c>
      <c r="B15136" t="s">
        <v>33217</v>
      </c>
      <c r="C15136" t="s">
        <v>33221</v>
      </c>
      <c r="D15136" t="s">
        <v>20</v>
      </c>
      <c r="E15136" t="s">
        <v>21</v>
      </c>
      <c r="F15136">
        <v>0</v>
      </c>
      <c r="G15136">
        <v>0</v>
      </c>
      <c r="H15136">
        <v>1</v>
      </c>
      <c r="I15136" s="3">
        <v>12389</v>
      </c>
      <c r="J15136" s="3">
        <v>0</v>
      </c>
      <c r="K15136" t="s">
        <v>33220</v>
      </c>
      <c r="L15136">
        <v>2003</v>
      </c>
      <c r="M15136" t="s">
        <v>30529</v>
      </c>
      <c r="N15136" t="s">
        <v>625</v>
      </c>
      <c r="O15136" t="s">
        <v>31</v>
      </c>
      <c r="P15136" t="str">
        <f>"15108"</f>
        <v>15108</v>
      </c>
    </row>
    <row r="15137" spans="1:16" x14ac:dyDescent="0.25">
      <c r="A15137" t="str">
        <f>"1200063F00246    00"</f>
        <v>1200063F00246    00</v>
      </c>
      <c r="B15137" t="s">
        <v>33222</v>
      </c>
      <c r="C15137" t="s">
        <v>33223</v>
      </c>
      <c r="D15137" t="s">
        <v>20</v>
      </c>
      <c r="E15137" t="s">
        <v>39</v>
      </c>
      <c r="F15137">
        <v>0</v>
      </c>
      <c r="G15137">
        <v>0</v>
      </c>
      <c r="H15137">
        <v>1</v>
      </c>
      <c r="I15137" s="3">
        <v>318.31</v>
      </c>
      <c r="J15137" s="3">
        <v>0</v>
      </c>
      <c r="K15137" t="s">
        <v>7017</v>
      </c>
      <c r="L15137">
        <v>428</v>
      </c>
      <c r="M15137" t="s">
        <v>7018</v>
      </c>
      <c r="N15137" t="s">
        <v>5847</v>
      </c>
      <c r="O15137" t="s">
        <v>31</v>
      </c>
      <c r="P15137" t="str">
        <f>"15139"</f>
        <v>15139</v>
      </c>
    </row>
    <row r="15138" spans="1:16" x14ac:dyDescent="0.25">
      <c r="A15138" t="str">
        <f>"1200063G00062    00"</f>
        <v>1200063G00062    00</v>
      </c>
      <c r="B15138" t="s">
        <v>33224</v>
      </c>
      <c r="C15138" t="s">
        <v>33225</v>
      </c>
      <c r="E15138" t="s">
        <v>39</v>
      </c>
      <c r="F15138">
        <v>0</v>
      </c>
      <c r="G15138">
        <v>0</v>
      </c>
      <c r="H15138">
        <v>1</v>
      </c>
      <c r="I15138" s="3">
        <v>33.479999999999997</v>
      </c>
      <c r="J15138" s="3">
        <v>0</v>
      </c>
      <c r="K15138" t="s">
        <v>5352</v>
      </c>
      <c r="L15138">
        <v>3001</v>
      </c>
      <c r="M15138" t="s">
        <v>330</v>
      </c>
      <c r="N15138" t="s">
        <v>331</v>
      </c>
      <c r="O15138" t="s">
        <v>108</v>
      </c>
      <c r="P15138" t="str">
        <f>"75063"</f>
        <v>75063</v>
      </c>
    </row>
    <row r="15139" spans="1:16" x14ac:dyDescent="0.25">
      <c r="A15139" t="str">
        <f>"1200063G00065    00"</f>
        <v>1200063G00065    00</v>
      </c>
      <c r="B15139" t="s">
        <v>33226</v>
      </c>
      <c r="C15139" t="s">
        <v>33227</v>
      </c>
      <c r="D15139" t="s">
        <v>20</v>
      </c>
      <c r="E15139" t="s">
        <v>39</v>
      </c>
      <c r="F15139">
        <v>0</v>
      </c>
      <c r="G15139">
        <v>0</v>
      </c>
      <c r="H15139">
        <v>1</v>
      </c>
      <c r="I15139" s="3">
        <v>1095.96</v>
      </c>
      <c r="J15139" s="3">
        <v>0</v>
      </c>
      <c r="K15139" t="s">
        <v>33228</v>
      </c>
      <c r="L15139">
        <v>1787</v>
      </c>
      <c r="M15139" t="s">
        <v>31824</v>
      </c>
      <c r="N15139" t="s">
        <v>30</v>
      </c>
      <c r="O15139" t="s">
        <v>31</v>
      </c>
      <c r="P15139" t="str">
        <f>"15216"</f>
        <v>15216</v>
      </c>
    </row>
    <row r="15140" spans="1:16" x14ac:dyDescent="0.25">
      <c r="A15140" t="str">
        <f>"1200063H00079    00"</f>
        <v>1200063H00079    00</v>
      </c>
      <c r="B15140" t="s">
        <v>33229</v>
      </c>
      <c r="C15140" t="s">
        <v>33230</v>
      </c>
      <c r="D15140" t="s">
        <v>20</v>
      </c>
      <c r="E15140" t="s">
        <v>39</v>
      </c>
      <c r="F15140">
        <v>0</v>
      </c>
      <c r="G15140">
        <v>0</v>
      </c>
      <c r="H15140">
        <v>19</v>
      </c>
      <c r="I15140" s="3">
        <v>9113.24</v>
      </c>
      <c r="J15140" s="3">
        <v>9869.3799999999992</v>
      </c>
      <c r="L15140">
        <v>3300</v>
      </c>
      <c r="M15140" t="s">
        <v>33231</v>
      </c>
      <c r="N15140" t="s">
        <v>30</v>
      </c>
      <c r="O15140" t="s">
        <v>31</v>
      </c>
      <c r="P15140" t="str">
        <f>"15241"</f>
        <v>15241</v>
      </c>
    </row>
    <row r="15141" spans="1:16" x14ac:dyDescent="0.25">
      <c r="A15141" t="str">
        <f>"1200063H00094    00"</f>
        <v>1200063H00094    00</v>
      </c>
      <c r="B15141" t="s">
        <v>33232</v>
      </c>
      <c r="C15141" t="s">
        <v>33233</v>
      </c>
      <c r="D15141" t="s">
        <v>20</v>
      </c>
      <c r="E15141" t="s">
        <v>39</v>
      </c>
      <c r="F15141">
        <v>0</v>
      </c>
      <c r="G15141">
        <v>0</v>
      </c>
      <c r="H15141">
        <v>2</v>
      </c>
      <c r="I15141" s="3">
        <v>584.26</v>
      </c>
      <c r="J15141" s="3">
        <v>0</v>
      </c>
      <c r="L15141">
        <v>2610</v>
      </c>
      <c r="M15141" t="s">
        <v>33234</v>
      </c>
      <c r="N15141" t="s">
        <v>30</v>
      </c>
      <c r="O15141" t="s">
        <v>31</v>
      </c>
      <c r="P15141" t="str">
        <f>"15216"</f>
        <v>15216</v>
      </c>
    </row>
    <row r="15142" spans="1:16" x14ac:dyDescent="0.25">
      <c r="A15142" t="str">
        <f>"1200063H00096    00"</f>
        <v>1200063H00096    00</v>
      </c>
      <c r="B15142" t="s">
        <v>33235</v>
      </c>
      <c r="C15142" t="s">
        <v>33236</v>
      </c>
      <c r="E15142" t="s">
        <v>39</v>
      </c>
      <c r="F15142">
        <v>0</v>
      </c>
      <c r="G15142">
        <v>0</v>
      </c>
      <c r="H15142">
        <v>1</v>
      </c>
      <c r="I15142" s="3">
        <v>116.08</v>
      </c>
      <c r="J15142" s="3">
        <v>0</v>
      </c>
      <c r="K15142" t="s">
        <v>33237</v>
      </c>
      <c r="L15142">
        <v>120</v>
      </c>
      <c r="M15142" t="s">
        <v>33238</v>
      </c>
      <c r="N15142" t="s">
        <v>30</v>
      </c>
      <c r="O15142" t="s">
        <v>31</v>
      </c>
      <c r="P15142" t="str">
        <f>"15220"</f>
        <v>15220</v>
      </c>
    </row>
    <row r="15143" spans="1:16" x14ac:dyDescent="0.25">
      <c r="A15143" t="str">
        <f>"1200063H00191    00"</f>
        <v>1200063H00191    00</v>
      </c>
      <c r="B15143" t="s">
        <v>33194</v>
      </c>
      <c r="C15143" t="s">
        <v>33195</v>
      </c>
      <c r="D15143" t="s">
        <v>20</v>
      </c>
      <c r="E15143" t="s">
        <v>39</v>
      </c>
      <c r="F15143">
        <v>0</v>
      </c>
      <c r="G15143">
        <v>0</v>
      </c>
      <c r="H15143">
        <v>6</v>
      </c>
      <c r="I15143" s="3">
        <v>1954.87</v>
      </c>
      <c r="J15143" s="3">
        <v>472.65</v>
      </c>
      <c r="L15143">
        <v>2602</v>
      </c>
      <c r="M15143" t="s">
        <v>29802</v>
      </c>
      <c r="N15143" t="s">
        <v>30</v>
      </c>
      <c r="O15143" t="s">
        <v>31</v>
      </c>
      <c r="P15143" t="str">
        <f>"15216"</f>
        <v>15216</v>
      </c>
    </row>
    <row r="15144" spans="1:16" x14ac:dyDescent="0.25">
      <c r="A15144" t="str">
        <f>"1200070D00021    00"</f>
        <v>1200070D00021    00</v>
      </c>
      <c r="B15144" t="s">
        <v>33239</v>
      </c>
      <c r="C15144" t="s">
        <v>33240</v>
      </c>
      <c r="D15144" t="s">
        <v>20</v>
      </c>
      <c r="E15144" t="s">
        <v>39</v>
      </c>
      <c r="F15144">
        <v>0</v>
      </c>
      <c r="G15144">
        <v>0</v>
      </c>
      <c r="H15144">
        <v>2</v>
      </c>
      <c r="I15144" s="3">
        <v>1754.54</v>
      </c>
      <c r="J15144" s="3">
        <v>0</v>
      </c>
      <c r="L15144">
        <v>1459</v>
      </c>
      <c r="M15144" t="s">
        <v>33241</v>
      </c>
      <c r="N15144" t="s">
        <v>30</v>
      </c>
      <c r="O15144" t="s">
        <v>31</v>
      </c>
      <c r="P15144" t="str">
        <f>"15204"</f>
        <v>15204</v>
      </c>
    </row>
    <row r="15145" spans="1:16" x14ac:dyDescent="0.25">
      <c r="A15145" t="str">
        <f>"1200070D00089    00"</f>
        <v>1200070D00089    00</v>
      </c>
      <c r="B15145" t="s">
        <v>33242</v>
      </c>
      <c r="C15145" t="s">
        <v>33243</v>
      </c>
      <c r="E15145" t="s">
        <v>39</v>
      </c>
      <c r="F15145">
        <v>0</v>
      </c>
      <c r="G15145">
        <v>0</v>
      </c>
      <c r="H15145">
        <v>1</v>
      </c>
      <c r="I15145" s="3">
        <v>153.76</v>
      </c>
      <c r="J15145" s="3">
        <v>0</v>
      </c>
      <c r="K15145" t="s">
        <v>6483</v>
      </c>
      <c r="L15145">
        <v>3001</v>
      </c>
      <c r="M15145" t="s">
        <v>330</v>
      </c>
      <c r="N15145" t="s">
        <v>331</v>
      </c>
      <c r="O15145" t="s">
        <v>108</v>
      </c>
      <c r="P15145" t="str">
        <f>"75063"</f>
        <v>75063</v>
      </c>
    </row>
    <row r="15146" spans="1:16" x14ac:dyDescent="0.25">
      <c r="A15146" t="str">
        <f>"1200070D00091000100"</f>
        <v>1200070D00091000100</v>
      </c>
      <c r="B15146" t="s">
        <v>33244</v>
      </c>
      <c r="C15146" t="s">
        <v>33245</v>
      </c>
      <c r="D15146" t="s">
        <v>20</v>
      </c>
      <c r="E15146" t="s">
        <v>39</v>
      </c>
      <c r="F15146">
        <v>0</v>
      </c>
      <c r="G15146">
        <v>0</v>
      </c>
      <c r="H15146">
        <v>4</v>
      </c>
      <c r="I15146" s="3">
        <v>1155.2</v>
      </c>
      <c r="J15146" s="3">
        <v>122.4</v>
      </c>
      <c r="K15146" t="s">
        <v>33246</v>
      </c>
      <c r="L15146">
        <v>3266</v>
      </c>
      <c r="M15146" t="s">
        <v>31921</v>
      </c>
      <c r="N15146" t="s">
        <v>30</v>
      </c>
      <c r="O15146" t="s">
        <v>31</v>
      </c>
      <c r="P15146" t="str">
        <f>"15204"</f>
        <v>15204</v>
      </c>
    </row>
    <row r="15147" spans="1:16" x14ac:dyDescent="0.25">
      <c r="A15147" t="str">
        <f>"1200070D00102    00"</f>
        <v>1200070D00102    00</v>
      </c>
      <c r="B15147" t="s">
        <v>33247</v>
      </c>
      <c r="C15147" t="s">
        <v>33248</v>
      </c>
      <c r="D15147" t="s">
        <v>20</v>
      </c>
      <c r="E15147" t="s">
        <v>39</v>
      </c>
      <c r="F15147">
        <v>0</v>
      </c>
      <c r="G15147">
        <v>0</v>
      </c>
      <c r="H15147">
        <v>1</v>
      </c>
      <c r="I15147" s="3">
        <v>648.51</v>
      </c>
      <c r="J15147" s="3">
        <v>0</v>
      </c>
      <c r="L15147">
        <v>3244</v>
      </c>
      <c r="M15147" t="s">
        <v>31921</v>
      </c>
      <c r="N15147" t="s">
        <v>30</v>
      </c>
      <c r="O15147" t="s">
        <v>31</v>
      </c>
      <c r="P15147" t="str">
        <f>"15204"</f>
        <v>15204</v>
      </c>
    </row>
    <row r="15148" spans="1:16" x14ac:dyDescent="0.25">
      <c r="A15148" t="str">
        <f>"1200070D00105    00"</f>
        <v>1200070D00105    00</v>
      </c>
      <c r="B15148" t="s">
        <v>33249</v>
      </c>
      <c r="C15148" t="s">
        <v>33250</v>
      </c>
      <c r="D15148" t="s">
        <v>20</v>
      </c>
      <c r="E15148" t="s">
        <v>39</v>
      </c>
      <c r="F15148">
        <v>0</v>
      </c>
      <c r="G15148">
        <v>0</v>
      </c>
      <c r="H15148">
        <v>1</v>
      </c>
      <c r="I15148" s="3">
        <v>1147.43</v>
      </c>
      <c r="J15148" s="3">
        <v>0</v>
      </c>
      <c r="L15148">
        <v>3234</v>
      </c>
      <c r="M15148" t="s">
        <v>31921</v>
      </c>
      <c r="N15148" t="s">
        <v>30</v>
      </c>
      <c r="O15148" t="s">
        <v>31</v>
      </c>
      <c r="P15148" t="str">
        <f>"15204"</f>
        <v>15204</v>
      </c>
    </row>
    <row r="15149" spans="1:16" x14ac:dyDescent="0.25">
      <c r="A15149" t="str">
        <f>"1200070D00107    00"</f>
        <v>1200070D00107    00</v>
      </c>
      <c r="B15149" t="s">
        <v>33251</v>
      </c>
      <c r="C15149" t="s">
        <v>33252</v>
      </c>
      <c r="D15149" t="s">
        <v>20</v>
      </c>
      <c r="E15149" t="s">
        <v>39</v>
      </c>
      <c r="F15149">
        <v>0</v>
      </c>
      <c r="G15149">
        <v>0</v>
      </c>
      <c r="H15149">
        <v>3</v>
      </c>
      <c r="I15149" s="3">
        <v>3648.18</v>
      </c>
      <c r="J15149" s="3">
        <v>2776.56</v>
      </c>
      <c r="K15149" t="s">
        <v>33253</v>
      </c>
      <c r="L15149">
        <v>724</v>
      </c>
      <c r="M15149" t="s">
        <v>21112</v>
      </c>
      <c r="N15149" t="s">
        <v>30</v>
      </c>
      <c r="O15149" t="s">
        <v>31</v>
      </c>
      <c r="P15149" t="str">
        <f>"15217"</f>
        <v>15217</v>
      </c>
    </row>
    <row r="15150" spans="1:16" x14ac:dyDescent="0.25">
      <c r="A15150" t="str">
        <f>"1200070D00117A   00"</f>
        <v>1200070D00117A   00</v>
      </c>
      <c r="B15150" t="s">
        <v>33254</v>
      </c>
      <c r="C15150" t="s">
        <v>33255</v>
      </c>
      <c r="D15150" t="s">
        <v>20</v>
      </c>
      <c r="E15150" t="s">
        <v>39</v>
      </c>
      <c r="F15150">
        <v>0</v>
      </c>
      <c r="G15150">
        <v>0</v>
      </c>
      <c r="H15150">
        <v>18</v>
      </c>
      <c r="I15150" s="3">
        <v>11047.39</v>
      </c>
      <c r="J15150" s="3">
        <v>9977.4</v>
      </c>
      <c r="L15150">
        <v>151</v>
      </c>
      <c r="M15150" t="s">
        <v>33256</v>
      </c>
      <c r="N15150" t="s">
        <v>903</v>
      </c>
      <c r="O15150" t="s">
        <v>31</v>
      </c>
      <c r="P15150" t="str">
        <f>"15136"</f>
        <v>15136</v>
      </c>
    </row>
    <row r="15151" spans="1:16" x14ac:dyDescent="0.25">
      <c r="A15151" t="str">
        <f>"1200070D00128    00"</f>
        <v>1200070D00128    00</v>
      </c>
      <c r="B15151" t="s">
        <v>33257</v>
      </c>
      <c r="C15151" t="s">
        <v>33258</v>
      </c>
      <c r="D15151" t="s">
        <v>20</v>
      </c>
      <c r="E15151" t="s">
        <v>21</v>
      </c>
      <c r="F15151">
        <v>0</v>
      </c>
      <c r="G15151">
        <v>0</v>
      </c>
      <c r="H15151">
        <v>1</v>
      </c>
      <c r="I15151" s="3">
        <v>3011.48</v>
      </c>
      <c r="J15151" s="3">
        <v>0</v>
      </c>
      <c r="K15151" t="s">
        <v>33259</v>
      </c>
      <c r="M15151" t="s">
        <v>33013</v>
      </c>
      <c r="N15151" t="s">
        <v>30</v>
      </c>
      <c r="O15151" t="s">
        <v>31</v>
      </c>
      <c r="P15151" t="str">
        <f>"15205"</f>
        <v>15205</v>
      </c>
    </row>
    <row r="15152" spans="1:16" x14ac:dyDescent="0.25">
      <c r="A15152" t="str">
        <f>"1200070D00132    00"</f>
        <v>1200070D00132    00</v>
      </c>
      <c r="B15152" t="s">
        <v>33260</v>
      </c>
      <c r="C15152" t="s">
        <v>33261</v>
      </c>
      <c r="D15152" t="s">
        <v>20</v>
      </c>
      <c r="E15152" t="s">
        <v>39</v>
      </c>
      <c r="F15152">
        <v>0</v>
      </c>
      <c r="G15152">
        <v>0</v>
      </c>
      <c r="H15152">
        <v>1</v>
      </c>
      <c r="I15152" s="3">
        <v>278.75</v>
      </c>
      <c r="J15152" s="3">
        <v>0</v>
      </c>
      <c r="L15152">
        <v>3221</v>
      </c>
      <c r="M15152" t="s">
        <v>31921</v>
      </c>
      <c r="N15152" t="s">
        <v>30</v>
      </c>
      <c r="O15152" t="s">
        <v>31</v>
      </c>
      <c r="P15152" t="str">
        <f>"15204"</f>
        <v>15204</v>
      </c>
    </row>
    <row r="15153" spans="1:16" x14ac:dyDescent="0.25">
      <c r="A15153" t="str">
        <f>"1200070D00137    00"</f>
        <v>1200070D00137    00</v>
      </c>
      <c r="B15153" t="s">
        <v>33262</v>
      </c>
      <c r="C15153" t="s">
        <v>33263</v>
      </c>
      <c r="D15153" t="s">
        <v>20</v>
      </c>
      <c r="E15153" t="s">
        <v>39</v>
      </c>
      <c r="F15153">
        <v>0</v>
      </c>
      <c r="G15153">
        <v>0</v>
      </c>
      <c r="H15153">
        <v>2</v>
      </c>
      <c r="I15153" s="3">
        <v>568</v>
      </c>
      <c r="J15153" s="3">
        <v>0</v>
      </c>
      <c r="L15153">
        <v>2010</v>
      </c>
      <c r="M15153" t="s">
        <v>33084</v>
      </c>
      <c r="N15153" t="s">
        <v>195</v>
      </c>
      <c r="O15153" t="s">
        <v>31</v>
      </c>
      <c r="P15153" t="str">
        <f>"15101"</f>
        <v>15101</v>
      </c>
    </row>
    <row r="15154" spans="1:16" x14ac:dyDescent="0.25">
      <c r="A15154" t="str">
        <f>"1200070D00156    00"</f>
        <v>1200070D00156    00</v>
      </c>
      <c r="B15154" t="s">
        <v>33264</v>
      </c>
      <c r="C15154" t="s">
        <v>33265</v>
      </c>
      <c r="E15154" t="s">
        <v>39</v>
      </c>
      <c r="F15154">
        <v>0</v>
      </c>
      <c r="G15154">
        <v>0</v>
      </c>
      <c r="H15154">
        <v>1</v>
      </c>
      <c r="I15154" s="3">
        <v>1005.73</v>
      </c>
      <c r="J15154" s="3">
        <v>276.55</v>
      </c>
      <c r="K15154" t="s">
        <v>33266</v>
      </c>
      <c r="L15154">
        <v>2810</v>
      </c>
      <c r="M15154" t="s">
        <v>33267</v>
      </c>
      <c r="N15154" t="s">
        <v>10447</v>
      </c>
      <c r="O15154" t="s">
        <v>200</v>
      </c>
      <c r="P15154" t="str">
        <f>"10463"</f>
        <v>10463</v>
      </c>
    </row>
    <row r="15155" spans="1:16" x14ac:dyDescent="0.25">
      <c r="A15155" t="str">
        <f>"1200070D00192    00"</f>
        <v>1200070D00192    00</v>
      </c>
      <c r="B15155" t="s">
        <v>30793</v>
      </c>
      <c r="C15155" t="s">
        <v>33268</v>
      </c>
      <c r="D15155" t="s">
        <v>20</v>
      </c>
      <c r="E15155" t="s">
        <v>39</v>
      </c>
      <c r="F15155">
        <v>0</v>
      </c>
      <c r="G15155">
        <v>0</v>
      </c>
      <c r="H15155">
        <v>1</v>
      </c>
      <c r="I15155" s="3">
        <v>1002.58</v>
      </c>
      <c r="J15155" s="3">
        <v>0</v>
      </c>
      <c r="L15155">
        <v>1527</v>
      </c>
      <c r="M15155" t="s">
        <v>30795</v>
      </c>
      <c r="N15155" t="s">
        <v>30</v>
      </c>
      <c r="O15155" t="s">
        <v>31</v>
      </c>
      <c r="P15155" t="str">
        <f>"15205"</f>
        <v>15205</v>
      </c>
    </row>
    <row r="15156" spans="1:16" x14ac:dyDescent="0.25">
      <c r="A15156" t="str">
        <f>"1200071C00050    00"</f>
        <v>1200071C00050    00</v>
      </c>
      <c r="B15156" t="s">
        <v>33269</v>
      </c>
      <c r="C15156" t="s">
        <v>33270</v>
      </c>
      <c r="D15156" t="s">
        <v>20</v>
      </c>
      <c r="E15156" t="s">
        <v>39</v>
      </c>
      <c r="F15156">
        <v>0</v>
      </c>
      <c r="G15156">
        <v>0</v>
      </c>
      <c r="H15156">
        <v>3</v>
      </c>
      <c r="I15156" s="3">
        <v>4557.3</v>
      </c>
      <c r="J15156" s="3">
        <v>303.81</v>
      </c>
      <c r="L15156">
        <v>1418</v>
      </c>
      <c r="M15156" t="s">
        <v>4327</v>
      </c>
      <c r="N15156" t="s">
        <v>30</v>
      </c>
      <c r="O15156" t="s">
        <v>31</v>
      </c>
      <c r="P15156" t="str">
        <f>"15204"</f>
        <v>15204</v>
      </c>
    </row>
    <row r="15157" spans="1:16" x14ac:dyDescent="0.25">
      <c r="A15157" t="str">
        <f>"1200071C00065    00"</f>
        <v>1200071C00065    00</v>
      </c>
      <c r="B15157" t="s">
        <v>33271</v>
      </c>
      <c r="C15157" t="s">
        <v>33272</v>
      </c>
      <c r="D15157" t="s">
        <v>20</v>
      </c>
      <c r="E15157" t="s">
        <v>39</v>
      </c>
      <c r="F15157">
        <v>0</v>
      </c>
      <c r="G15157">
        <v>0</v>
      </c>
      <c r="H15157">
        <v>8</v>
      </c>
      <c r="I15157" s="3">
        <v>4582.99</v>
      </c>
      <c r="J15157" s="3">
        <v>1372.08</v>
      </c>
      <c r="L15157">
        <v>1450</v>
      </c>
      <c r="M15157" t="s">
        <v>32543</v>
      </c>
      <c r="N15157" t="s">
        <v>30</v>
      </c>
      <c r="O15157" t="s">
        <v>31</v>
      </c>
      <c r="P15157" t="str">
        <f>"15204"</f>
        <v>15204</v>
      </c>
    </row>
    <row r="15158" spans="1:16" x14ac:dyDescent="0.25">
      <c r="A15158" t="str">
        <f>"1200071C00073    00"</f>
        <v>1200071C00073    00</v>
      </c>
      <c r="B15158" t="s">
        <v>33273</v>
      </c>
      <c r="C15158" t="s">
        <v>33274</v>
      </c>
      <c r="D15158" t="s">
        <v>20</v>
      </c>
      <c r="E15158" t="s">
        <v>39</v>
      </c>
      <c r="F15158">
        <v>0</v>
      </c>
      <c r="G15158">
        <v>0</v>
      </c>
      <c r="H15158">
        <v>4</v>
      </c>
      <c r="I15158" s="3">
        <v>1104.3499999999999</v>
      </c>
      <c r="J15158" s="3">
        <v>114.22</v>
      </c>
      <c r="L15158">
        <v>3684</v>
      </c>
      <c r="M15158" t="s">
        <v>1394</v>
      </c>
      <c r="N15158" t="s">
        <v>30</v>
      </c>
      <c r="O15158" t="s">
        <v>31</v>
      </c>
      <c r="P15158" t="str">
        <f>"15204"</f>
        <v>15204</v>
      </c>
    </row>
    <row r="15159" spans="1:16" x14ac:dyDescent="0.25">
      <c r="A15159" t="str">
        <f>"1200071G00008    00"</f>
        <v>1200071G00008    00</v>
      </c>
      <c r="B15159" t="s">
        <v>33275</v>
      </c>
      <c r="C15159" t="s">
        <v>33276</v>
      </c>
      <c r="D15159" t="s">
        <v>20</v>
      </c>
      <c r="E15159" t="s">
        <v>39</v>
      </c>
      <c r="F15159">
        <v>0</v>
      </c>
      <c r="G15159">
        <v>0</v>
      </c>
      <c r="H15159">
        <v>12</v>
      </c>
      <c r="I15159" s="3">
        <v>5746.58</v>
      </c>
      <c r="J15159" s="3">
        <v>2788.88</v>
      </c>
      <c r="L15159">
        <v>1412</v>
      </c>
      <c r="M15159" t="s">
        <v>33277</v>
      </c>
      <c r="N15159" t="s">
        <v>30</v>
      </c>
      <c r="O15159" t="s">
        <v>31</v>
      </c>
      <c r="P15159" t="str">
        <f>"15204"</f>
        <v>15204</v>
      </c>
    </row>
    <row r="15160" spans="1:16" x14ac:dyDescent="0.25">
      <c r="A15160" t="str">
        <f>"1200071G00028    00"</f>
        <v>1200071G00028    00</v>
      </c>
      <c r="B15160" t="s">
        <v>33278</v>
      </c>
      <c r="C15160" t="s">
        <v>31078</v>
      </c>
      <c r="D15160" t="s">
        <v>20</v>
      </c>
      <c r="E15160" t="s">
        <v>39</v>
      </c>
      <c r="F15160">
        <v>0</v>
      </c>
      <c r="G15160">
        <v>0</v>
      </c>
      <c r="H15160">
        <v>12</v>
      </c>
      <c r="I15160" s="3">
        <v>702.58</v>
      </c>
      <c r="J15160" s="3">
        <v>371.44</v>
      </c>
      <c r="L15160">
        <v>215</v>
      </c>
      <c r="M15160" t="s">
        <v>33279</v>
      </c>
      <c r="N15160" t="s">
        <v>30</v>
      </c>
      <c r="O15160" t="s">
        <v>31</v>
      </c>
      <c r="P15160" t="str">
        <f>"15214"</f>
        <v>15214</v>
      </c>
    </row>
    <row r="15161" spans="1:16" x14ac:dyDescent="0.25">
      <c r="A15161" t="str">
        <f>"1200071G00029    00"</f>
        <v>1200071G00029    00</v>
      </c>
      <c r="B15161" t="s">
        <v>33278</v>
      </c>
      <c r="C15161" t="s">
        <v>31078</v>
      </c>
      <c r="D15161" t="s">
        <v>20</v>
      </c>
      <c r="E15161" t="s">
        <v>39</v>
      </c>
      <c r="F15161">
        <v>0</v>
      </c>
      <c r="G15161">
        <v>0</v>
      </c>
      <c r="H15161">
        <v>12</v>
      </c>
      <c r="I15161" s="3">
        <v>724.65</v>
      </c>
      <c r="J15161" s="3">
        <v>383.1</v>
      </c>
      <c r="L15161">
        <v>215</v>
      </c>
      <c r="M15161" t="s">
        <v>33279</v>
      </c>
      <c r="N15161" t="s">
        <v>30</v>
      </c>
      <c r="O15161" t="s">
        <v>31</v>
      </c>
      <c r="P15161" t="str">
        <f>"15214"</f>
        <v>15214</v>
      </c>
    </row>
    <row r="15162" spans="1:16" x14ac:dyDescent="0.25">
      <c r="A15162" t="str">
        <f>"1200071G00042    00"</f>
        <v>1200071G00042    00</v>
      </c>
      <c r="B15162" t="s">
        <v>33280</v>
      </c>
      <c r="C15162" t="s">
        <v>33281</v>
      </c>
      <c r="D15162" t="s">
        <v>20</v>
      </c>
      <c r="E15162" t="s">
        <v>39</v>
      </c>
      <c r="F15162">
        <v>0</v>
      </c>
      <c r="G15162">
        <v>0</v>
      </c>
      <c r="H15162">
        <v>14</v>
      </c>
      <c r="I15162" s="3">
        <v>22738.65</v>
      </c>
      <c r="J15162" s="3">
        <v>13129.52</v>
      </c>
      <c r="L15162">
        <v>3731</v>
      </c>
      <c r="M15162" t="s">
        <v>16891</v>
      </c>
      <c r="N15162" t="s">
        <v>30</v>
      </c>
      <c r="O15162" t="s">
        <v>31</v>
      </c>
      <c r="P15162" t="str">
        <f t="shared" ref="P15162:P15167" si="193">"15204"</f>
        <v>15204</v>
      </c>
    </row>
    <row r="15163" spans="1:16" x14ac:dyDescent="0.25">
      <c r="A15163" t="str">
        <f>"1200071G00045    00"</f>
        <v>1200071G00045    00</v>
      </c>
      <c r="B15163" t="s">
        <v>33282</v>
      </c>
      <c r="C15163" t="s">
        <v>31078</v>
      </c>
      <c r="E15163" t="s">
        <v>39</v>
      </c>
      <c r="F15163">
        <v>0</v>
      </c>
      <c r="G15163">
        <v>0</v>
      </c>
      <c r="H15163">
        <v>6</v>
      </c>
      <c r="I15163" s="3">
        <v>453.04</v>
      </c>
      <c r="J15163" s="3">
        <v>654.72</v>
      </c>
      <c r="L15163">
        <v>3735</v>
      </c>
      <c r="M15163" t="s">
        <v>16891</v>
      </c>
      <c r="N15163" t="s">
        <v>30</v>
      </c>
      <c r="O15163" t="s">
        <v>31</v>
      </c>
      <c r="P15163" t="str">
        <f t="shared" si="193"/>
        <v>15204</v>
      </c>
    </row>
    <row r="15164" spans="1:16" x14ac:dyDescent="0.25">
      <c r="A15164" t="str">
        <f>"1200071G00047    00"</f>
        <v>1200071G00047    00</v>
      </c>
      <c r="B15164" t="s">
        <v>33282</v>
      </c>
      <c r="C15164" t="s">
        <v>31078</v>
      </c>
      <c r="E15164" t="s">
        <v>39</v>
      </c>
      <c r="F15164">
        <v>0</v>
      </c>
      <c r="G15164">
        <v>0</v>
      </c>
      <c r="H15164">
        <v>5</v>
      </c>
      <c r="I15164" s="3">
        <v>364.05</v>
      </c>
      <c r="J15164" s="3">
        <v>464.62</v>
      </c>
      <c r="L15164">
        <v>3735</v>
      </c>
      <c r="M15164" t="s">
        <v>16891</v>
      </c>
      <c r="N15164" t="s">
        <v>30</v>
      </c>
      <c r="O15164" t="s">
        <v>31</v>
      </c>
      <c r="P15164" t="str">
        <f t="shared" si="193"/>
        <v>15204</v>
      </c>
    </row>
    <row r="15165" spans="1:16" x14ac:dyDescent="0.25">
      <c r="A15165" t="str">
        <f>"1200071G00056    00"</f>
        <v>1200071G00056    00</v>
      </c>
      <c r="B15165" t="s">
        <v>33283</v>
      </c>
      <c r="C15165" t="s">
        <v>33284</v>
      </c>
      <c r="D15165" t="s">
        <v>20</v>
      </c>
      <c r="E15165" t="s">
        <v>39</v>
      </c>
      <c r="F15165">
        <v>0</v>
      </c>
      <c r="G15165">
        <v>0</v>
      </c>
      <c r="H15165">
        <v>1</v>
      </c>
      <c r="I15165" s="3">
        <v>900.1</v>
      </c>
      <c r="J15165" s="3">
        <v>0</v>
      </c>
      <c r="K15165" t="s">
        <v>33285</v>
      </c>
      <c r="L15165">
        <v>3672</v>
      </c>
      <c r="M15165" t="s">
        <v>16891</v>
      </c>
      <c r="N15165" t="s">
        <v>30</v>
      </c>
      <c r="O15165" t="s">
        <v>31</v>
      </c>
      <c r="P15165" t="str">
        <f t="shared" si="193"/>
        <v>15204</v>
      </c>
    </row>
    <row r="15166" spans="1:16" x14ac:dyDescent="0.25">
      <c r="A15166" t="str">
        <f>"1200071G00174    00"</f>
        <v>1200071G00174    00</v>
      </c>
      <c r="B15166" t="s">
        <v>33286</v>
      </c>
      <c r="C15166" t="s">
        <v>33287</v>
      </c>
      <c r="D15166" t="s">
        <v>20</v>
      </c>
      <c r="E15166" t="s">
        <v>39</v>
      </c>
      <c r="F15166">
        <v>0</v>
      </c>
      <c r="G15166">
        <v>0</v>
      </c>
      <c r="H15166">
        <v>9</v>
      </c>
      <c r="I15166" s="3">
        <v>10320.93</v>
      </c>
      <c r="J15166" s="3">
        <v>3267.17</v>
      </c>
      <c r="L15166">
        <v>3671</v>
      </c>
      <c r="M15166" t="s">
        <v>27228</v>
      </c>
      <c r="N15166" t="s">
        <v>30</v>
      </c>
      <c r="O15166" t="s">
        <v>31</v>
      </c>
      <c r="P15166" t="str">
        <f t="shared" si="193"/>
        <v>15204</v>
      </c>
    </row>
    <row r="15167" spans="1:16" x14ac:dyDescent="0.25">
      <c r="A15167" t="str">
        <f>"1200071G00175    00"</f>
        <v>1200071G00175    00</v>
      </c>
      <c r="B15167" t="s">
        <v>33288</v>
      </c>
      <c r="C15167" t="s">
        <v>33289</v>
      </c>
      <c r="D15167" t="s">
        <v>20</v>
      </c>
      <c r="E15167" t="s">
        <v>39</v>
      </c>
      <c r="F15167">
        <v>0</v>
      </c>
      <c r="G15167">
        <v>0</v>
      </c>
      <c r="H15167">
        <v>5</v>
      </c>
      <c r="I15167" s="3">
        <v>5873.07</v>
      </c>
      <c r="J15167" s="3">
        <v>906.21</v>
      </c>
      <c r="L15167">
        <v>1459</v>
      </c>
      <c r="M15167" t="s">
        <v>4327</v>
      </c>
      <c r="N15167" t="s">
        <v>30</v>
      </c>
      <c r="O15167" t="s">
        <v>31</v>
      </c>
      <c r="P15167" t="str">
        <f t="shared" si="193"/>
        <v>15204</v>
      </c>
    </row>
    <row r="15168" spans="1:16" x14ac:dyDescent="0.25">
      <c r="A15168" t="str">
        <f>"1200071G00182    00"</f>
        <v>1200071G00182    00</v>
      </c>
      <c r="B15168" t="s">
        <v>33290</v>
      </c>
      <c r="C15168" t="s">
        <v>33291</v>
      </c>
      <c r="D15168" t="s">
        <v>20</v>
      </c>
      <c r="E15168" t="s">
        <v>39</v>
      </c>
      <c r="F15168">
        <v>0</v>
      </c>
      <c r="G15168">
        <v>0</v>
      </c>
      <c r="H15168">
        <v>5</v>
      </c>
      <c r="I15168" s="3">
        <v>1573.18</v>
      </c>
      <c r="J15168" s="3">
        <v>271.79000000000002</v>
      </c>
      <c r="K15168" t="s">
        <v>33292</v>
      </c>
      <c r="L15168">
        <v>5850</v>
      </c>
      <c r="M15168" t="s">
        <v>17749</v>
      </c>
      <c r="N15168" t="s">
        <v>30</v>
      </c>
      <c r="O15168" t="s">
        <v>31</v>
      </c>
      <c r="P15168" t="str">
        <f>"15232"</f>
        <v>15232</v>
      </c>
    </row>
    <row r="15169" spans="1:16" x14ac:dyDescent="0.25">
      <c r="A15169" t="str">
        <f>"1200071G00186    00"</f>
        <v>1200071G00186    00</v>
      </c>
      <c r="B15169" t="s">
        <v>33293</v>
      </c>
      <c r="C15169" t="s">
        <v>33294</v>
      </c>
      <c r="D15169" t="s">
        <v>20</v>
      </c>
      <c r="E15169" t="s">
        <v>39</v>
      </c>
      <c r="F15169">
        <v>0</v>
      </c>
      <c r="G15169">
        <v>0</v>
      </c>
      <c r="H15169">
        <v>2</v>
      </c>
      <c r="I15169" s="3">
        <v>2821.9</v>
      </c>
      <c r="J15169" s="3">
        <v>0</v>
      </c>
      <c r="K15169" t="s">
        <v>33295</v>
      </c>
      <c r="L15169">
        <v>3650</v>
      </c>
      <c r="M15169" t="s">
        <v>1394</v>
      </c>
      <c r="N15169" t="s">
        <v>30</v>
      </c>
      <c r="O15169" t="s">
        <v>31</v>
      </c>
      <c r="P15169" t="str">
        <f>"15204"</f>
        <v>15204</v>
      </c>
    </row>
    <row r="15170" spans="1:16" x14ac:dyDescent="0.25">
      <c r="A15170" t="str">
        <f>"1200071G00198    00"</f>
        <v>1200071G00198    00</v>
      </c>
      <c r="B15170" t="s">
        <v>33296</v>
      </c>
      <c r="C15170" t="s">
        <v>33297</v>
      </c>
      <c r="E15170" t="s">
        <v>39</v>
      </c>
      <c r="F15170">
        <v>0</v>
      </c>
      <c r="G15170">
        <v>0</v>
      </c>
      <c r="H15170">
        <v>2</v>
      </c>
      <c r="I15170" s="3">
        <v>877.96</v>
      </c>
      <c r="J15170" s="3">
        <v>231.39</v>
      </c>
      <c r="L15170">
        <v>3616</v>
      </c>
      <c r="M15170" t="s">
        <v>1394</v>
      </c>
      <c r="N15170" t="s">
        <v>30</v>
      </c>
      <c r="O15170" t="s">
        <v>31</v>
      </c>
      <c r="P15170" t="str">
        <f>"15204"</f>
        <v>15204</v>
      </c>
    </row>
    <row r="15171" spans="1:16" x14ac:dyDescent="0.25">
      <c r="A15171" t="str">
        <f>"1200071G00238    00"</f>
        <v>1200071G00238    00</v>
      </c>
      <c r="B15171" t="s">
        <v>33298</v>
      </c>
      <c r="C15171" t="s">
        <v>33299</v>
      </c>
      <c r="E15171" t="s">
        <v>39</v>
      </c>
      <c r="F15171">
        <v>0</v>
      </c>
      <c r="G15171">
        <v>0</v>
      </c>
      <c r="H15171">
        <v>2</v>
      </c>
      <c r="I15171" s="3">
        <v>483.45</v>
      </c>
      <c r="J15171" s="3">
        <v>20.14</v>
      </c>
      <c r="K15171" t="s">
        <v>25935</v>
      </c>
      <c r="M15171" t="s">
        <v>33300</v>
      </c>
      <c r="N15171" t="s">
        <v>30</v>
      </c>
      <c r="O15171" t="s">
        <v>31</v>
      </c>
      <c r="P15171" t="str">
        <f>"15220"</f>
        <v>15220</v>
      </c>
    </row>
    <row r="15172" spans="1:16" x14ac:dyDescent="0.25">
      <c r="A15172" t="str">
        <f>"1200071G00240    00"</f>
        <v>1200071G00240    00</v>
      </c>
      <c r="B15172" t="s">
        <v>33301</v>
      </c>
      <c r="C15172" t="s">
        <v>33302</v>
      </c>
      <c r="D15172" t="s">
        <v>20</v>
      </c>
      <c r="E15172" t="s">
        <v>39</v>
      </c>
      <c r="F15172">
        <v>0</v>
      </c>
      <c r="G15172">
        <v>0</v>
      </c>
      <c r="H15172">
        <v>1</v>
      </c>
      <c r="I15172" s="3">
        <v>732.48</v>
      </c>
      <c r="J15172" s="3">
        <v>0</v>
      </c>
      <c r="L15172">
        <v>3646</v>
      </c>
      <c r="M15172" t="s">
        <v>27228</v>
      </c>
      <c r="N15172" t="s">
        <v>30</v>
      </c>
      <c r="O15172" t="s">
        <v>31</v>
      </c>
      <c r="P15172" t="str">
        <f>"15204"</f>
        <v>15204</v>
      </c>
    </row>
    <row r="15173" spans="1:16" x14ac:dyDescent="0.25">
      <c r="A15173" t="str">
        <f>"1200071G00262    00"</f>
        <v>1200071G00262    00</v>
      </c>
      <c r="B15173" t="s">
        <v>33303</v>
      </c>
      <c r="C15173" t="s">
        <v>33304</v>
      </c>
      <c r="D15173" t="s">
        <v>20</v>
      </c>
      <c r="E15173" t="s">
        <v>39</v>
      </c>
      <c r="F15173">
        <v>0</v>
      </c>
      <c r="G15173">
        <v>0</v>
      </c>
      <c r="H15173">
        <v>9</v>
      </c>
      <c r="I15173" s="3">
        <v>13612.34</v>
      </c>
      <c r="J15173" s="3">
        <v>4018.71</v>
      </c>
      <c r="L15173">
        <v>1364</v>
      </c>
      <c r="M15173" t="s">
        <v>4327</v>
      </c>
      <c r="N15173" t="s">
        <v>30</v>
      </c>
      <c r="O15173" t="s">
        <v>31</v>
      </c>
      <c r="P15173" t="str">
        <f>"15204"</f>
        <v>15204</v>
      </c>
    </row>
    <row r="15174" spans="1:16" x14ac:dyDescent="0.25">
      <c r="A15174" t="str">
        <f>"1200071G00264    00"</f>
        <v>1200071G00264    00</v>
      </c>
      <c r="B15174" t="s">
        <v>33305</v>
      </c>
      <c r="C15174" t="s">
        <v>33306</v>
      </c>
      <c r="D15174" t="s">
        <v>20</v>
      </c>
      <c r="E15174" t="s">
        <v>39</v>
      </c>
      <c r="F15174">
        <v>0</v>
      </c>
      <c r="G15174">
        <v>0</v>
      </c>
      <c r="H15174">
        <v>1</v>
      </c>
      <c r="I15174" s="3">
        <v>1177.93</v>
      </c>
      <c r="J15174" s="3">
        <v>0</v>
      </c>
      <c r="L15174">
        <v>3105</v>
      </c>
      <c r="M15174" t="s">
        <v>32247</v>
      </c>
      <c r="N15174" t="s">
        <v>30</v>
      </c>
      <c r="O15174" t="s">
        <v>31</v>
      </c>
      <c r="P15174" t="str">
        <f>"15204"</f>
        <v>15204</v>
      </c>
    </row>
    <row r="15175" spans="1:16" x14ac:dyDescent="0.25">
      <c r="A15175" t="str">
        <f>"1200071G00268    00"</f>
        <v>1200071G00268    00</v>
      </c>
      <c r="B15175" t="s">
        <v>944</v>
      </c>
      <c r="C15175" t="s">
        <v>33307</v>
      </c>
      <c r="E15175" t="s">
        <v>39</v>
      </c>
      <c r="F15175">
        <v>0</v>
      </c>
      <c r="G15175">
        <v>0</v>
      </c>
      <c r="H15175">
        <v>1</v>
      </c>
      <c r="I15175" s="3">
        <v>1829.28</v>
      </c>
      <c r="J15175" s="3">
        <v>2835.28</v>
      </c>
      <c r="L15175">
        <v>200</v>
      </c>
      <c r="M15175" t="s">
        <v>946</v>
      </c>
      <c r="N15175" t="s">
        <v>30</v>
      </c>
      <c r="O15175" t="s">
        <v>31</v>
      </c>
      <c r="P15175" t="str">
        <f>"15219"</f>
        <v>15219</v>
      </c>
    </row>
    <row r="15176" spans="1:16" x14ac:dyDescent="0.25">
      <c r="A15176" t="str">
        <f>"1200071G00278    00"</f>
        <v>1200071G00278    00</v>
      </c>
      <c r="B15176" t="s">
        <v>33308</v>
      </c>
      <c r="C15176" t="s">
        <v>33309</v>
      </c>
      <c r="E15176" t="s">
        <v>39</v>
      </c>
      <c r="F15176">
        <v>0</v>
      </c>
      <c r="G15176">
        <v>0</v>
      </c>
      <c r="H15176">
        <v>2</v>
      </c>
      <c r="I15176" s="3">
        <v>756.9</v>
      </c>
      <c r="J15176" s="3">
        <v>86.81</v>
      </c>
      <c r="K15176" t="s">
        <v>33310</v>
      </c>
      <c r="L15176">
        <v>1410</v>
      </c>
      <c r="M15176" t="s">
        <v>4327</v>
      </c>
      <c r="N15176" t="s">
        <v>30</v>
      </c>
      <c r="O15176" t="s">
        <v>31</v>
      </c>
      <c r="P15176" t="str">
        <f>"15204"</f>
        <v>15204</v>
      </c>
    </row>
    <row r="15177" spans="1:16" x14ac:dyDescent="0.25">
      <c r="A15177" t="str">
        <f>"1200071G00288    00"</f>
        <v>1200071G00288    00</v>
      </c>
      <c r="B15177" t="s">
        <v>33311</v>
      </c>
      <c r="C15177" t="s">
        <v>33291</v>
      </c>
      <c r="D15177" t="s">
        <v>20</v>
      </c>
      <c r="E15177" t="s">
        <v>39</v>
      </c>
      <c r="F15177">
        <v>0</v>
      </c>
      <c r="G15177">
        <v>0</v>
      </c>
      <c r="H15177">
        <v>2</v>
      </c>
      <c r="I15177" s="3">
        <v>76.239999999999995</v>
      </c>
      <c r="J15177" s="3">
        <v>0</v>
      </c>
      <c r="L15177">
        <v>1390</v>
      </c>
      <c r="M15177" t="s">
        <v>32543</v>
      </c>
      <c r="N15177" t="s">
        <v>30</v>
      </c>
      <c r="O15177" t="s">
        <v>31</v>
      </c>
      <c r="P15177" t="str">
        <f>"15204"</f>
        <v>15204</v>
      </c>
    </row>
    <row r="15178" spans="1:16" x14ac:dyDescent="0.25">
      <c r="A15178" t="str">
        <f>"1200071G00292    00"</f>
        <v>1200071G00292    00</v>
      </c>
      <c r="B15178" t="s">
        <v>33312</v>
      </c>
      <c r="C15178" t="s">
        <v>33291</v>
      </c>
      <c r="D15178" t="s">
        <v>20</v>
      </c>
      <c r="E15178" t="s">
        <v>39</v>
      </c>
      <c r="F15178">
        <v>0</v>
      </c>
      <c r="G15178">
        <v>0</v>
      </c>
      <c r="H15178">
        <v>2</v>
      </c>
      <c r="I15178" s="3">
        <v>49.58</v>
      </c>
      <c r="J15178" s="3">
        <v>0</v>
      </c>
      <c r="P15178" t="str">
        <f>""</f>
        <v/>
      </c>
    </row>
    <row r="15179" spans="1:16" x14ac:dyDescent="0.25">
      <c r="A15179" t="str">
        <f>"1200071G00350    00"</f>
        <v>1200071G00350    00</v>
      </c>
      <c r="B15179" t="s">
        <v>33313</v>
      </c>
      <c r="C15179" t="s">
        <v>33314</v>
      </c>
      <c r="D15179" t="s">
        <v>20</v>
      </c>
      <c r="E15179" t="s">
        <v>39</v>
      </c>
      <c r="F15179">
        <v>0</v>
      </c>
      <c r="G15179">
        <v>0</v>
      </c>
      <c r="H15179">
        <v>14</v>
      </c>
      <c r="I15179" s="3">
        <v>11887.79</v>
      </c>
      <c r="J15179" s="3">
        <v>7627.14</v>
      </c>
      <c r="L15179">
        <v>1414</v>
      </c>
      <c r="M15179" t="s">
        <v>32543</v>
      </c>
      <c r="N15179" t="s">
        <v>30</v>
      </c>
      <c r="O15179" t="s">
        <v>31</v>
      </c>
      <c r="P15179" t="str">
        <f t="shared" ref="P15179:P15187" si="194">"15204"</f>
        <v>15204</v>
      </c>
    </row>
    <row r="15180" spans="1:16" x14ac:dyDescent="0.25">
      <c r="A15180" t="str">
        <f>"1200071G00352    00"</f>
        <v>1200071G00352    00</v>
      </c>
      <c r="B15180" t="s">
        <v>33313</v>
      </c>
      <c r="C15180" t="s">
        <v>33315</v>
      </c>
      <c r="D15180" t="s">
        <v>20</v>
      </c>
      <c r="E15180" t="s">
        <v>39</v>
      </c>
      <c r="F15180">
        <v>0</v>
      </c>
      <c r="G15180">
        <v>0</v>
      </c>
      <c r="H15180">
        <v>7</v>
      </c>
      <c r="I15180" s="3">
        <v>848.31</v>
      </c>
      <c r="J15180" s="3">
        <v>234.6</v>
      </c>
      <c r="L15180">
        <v>1414</v>
      </c>
      <c r="M15180" t="s">
        <v>32543</v>
      </c>
      <c r="N15180" t="s">
        <v>30</v>
      </c>
      <c r="O15180" t="s">
        <v>31</v>
      </c>
      <c r="P15180" t="str">
        <f t="shared" si="194"/>
        <v>15204</v>
      </c>
    </row>
    <row r="15181" spans="1:16" x14ac:dyDescent="0.25">
      <c r="A15181" t="str">
        <f>"1200071H00009    00"</f>
        <v>1200071H00009    00</v>
      </c>
      <c r="B15181" t="s">
        <v>33316</v>
      </c>
      <c r="C15181" t="s">
        <v>33317</v>
      </c>
      <c r="D15181" t="s">
        <v>20</v>
      </c>
      <c r="E15181" t="s">
        <v>39</v>
      </c>
      <c r="F15181">
        <v>0</v>
      </c>
      <c r="G15181">
        <v>0</v>
      </c>
      <c r="H15181">
        <v>2</v>
      </c>
      <c r="I15181" s="3">
        <v>176.54</v>
      </c>
      <c r="J15181" s="3">
        <v>0</v>
      </c>
      <c r="L15181">
        <v>3554</v>
      </c>
      <c r="M15181" t="s">
        <v>33318</v>
      </c>
      <c r="N15181" t="s">
        <v>30</v>
      </c>
      <c r="O15181" t="s">
        <v>31</v>
      </c>
      <c r="P15181" t="str">
        <f t="shared" si="194"/>
        <v>15204</v>
      </c>
    </row>
    <row r="15182" spans="1:16" x14ac:dyDescent="0.25">
      <c r="A15182" t="str">
        <f>"1200071H00010    00"</f>
        <v>1200071H00010    00</v>
      </c>
      <c r="B15182" t="s">
        <v>33316</v>
      </c>
      <c r="C15182" t="s">
        <v>33317</v>
      </c>
      <c r="D15182" t="s">
        <v>20</v>
      </c>
      <c r="E15182" t="s">
        <v>39</v>
      </c>
      <c r="F15182">
        <v>0</v>
      </c>
      <c r="G15182">
        <v>0</v>
      </c>
      <c r="H15182">
        <v>2</v>
      </c>
      <c r="I15182" s="3">
        <v>246.68</v>
      </c>
      <c r="J15182" s="3">
        <v>0</v>
      </c>
      <c r="L15182">
        <v>3554</v>
      </c>
      <c r="M15182" t="s">
        <v>33318</v>
      </c>
      <c r="N15182" t="s">
        <v>30</v>
      </c>
      <c r="O15182" t="s">
        <v>31</v>
      </c>
      <c r="P15182" t="str">
        <f t="shared" si="194"/>
        <v>15204</v>
      </c>
    </row>
    <row r="15183" spans="1:16" x14ac:dyDescent="0.25">
      <c r="A15183" t="str">
        <f>"1200071H00045    00"</f>
        <v>1200071H00045    00</v>
      </c>
      <c r="B15183" t="s">
        <v>33319</v>
      </c>
      <c r="C15183" t="s">
        <v>33320</v>
      </c>
      <c r="D15183" t="s">
        <v>20</v>
      </c>
      <c r="E15183" t="s">
        <v>39</v>
      </c>
      <c r="F15183">
        <v>0</v>
      </c>
      <c r="G15183">
        <v>0</v>
      </c>
      <c r="H15183">
        <v>4</v>
      </c>
      <c r="I15183" s="3">
        <v>1715.56</v>
      </c>
      <c r="J15183" s="3">
        <v>188</v>
      </c>
      <c r="L15183">
        <v>3603</v>
      </c>
      <c r="M15183" t="s">
        <v>16891</v>
      </c>
      <c r="N15183" t="s">
        <v>30</v>
      </c>
      <c r="O15183" t="s">
        <v>31</v>
      </c>
      <c r="P15183" t="str">
        <f t="shared" si="194"/>
        <v>15204</v>
      </c>
    </row>
    <row r="15184" spans="1:16" x14ac:dyDescent="0.25">
      <c r="A15184" t="str">
        <f>"1200071H00058    00"</f>
        <v>1200071H00058    00</v>
      </c>
      <c r="B15184" t="s">
        <v>33321</v>
      </c>
      <c r="C15184" t="s">
        <v>33322</v>
      </c>
      <c r="E15184" t="s">
        <v>39</v>
      </c>
      <c r="F15184">
        <v>0</v>
      </c>
      <c r="G15184">
        <v>0</v>
      </c>
      <c r="H15184">
        <v>3</v>
      </c>
      <c r="I15184" s="3">
        <v>305.26</v>
      </c>
      <c r="J15184" s="3">
        <v>138.56</v>
      </c>
      <c r="L15184">
        <v>3538</v>
      </c>
      <c r="M15184" t="s">
        <v>33323</v>
      </c>
      <c r="N15184" t="s">
        <v>30</v>
      </c>
      <c r="O15184" t="s">
        <v>31</v>
      </c>
      <c r="P15184" t="str">
        <f t="shared" si="194"/>
        <v>15204</v>
      </c>
    </row>
    <row r="15185" spans="1:16" x14ac:dyDescent="0.25">
      <c r="A15185" t="str">
        <f>"1200071H00059    00"</f>
        <v>1200071H00059    00</v>
      </c>
      <c r="B15185" t="s">
        <v>33324</v>
      </c>
      <c r="C15185" t="s">
        <v>33325</v>
      </c>
      <c r="E15185" t="s">
        <v>39</v>
      </c>
      <c r="F15185">
        <v>0</v>
      </c>
      <c r="G15185">
        <v>0</v>
      </c>
      <c r="H15185">
        <v>3</v>
      </c>
      <c r="I15185" s="3">
        <v>977.68</v>
      </c>
      <c r="J15185" s="3">
        <v>212.08</v>
      </c>
      <c r="L15185">
        <v>3538</v>
      </c>
      <c r="M15185" t="s">
        <v>33323</v>
      </c>
      <c r="N15185" t="s">
        <v>30</v>
      </c>
      <c r="O15185" t="s">
        <v>31</v>
      </c>
      <c r="P15185" t="str">
        <f t="shared" si="194"/>
        <v>15204</v>
      </c>
    </row>
    <row r="15186" spans="1:16" x14ac:dyDescent="0.25">
      <c r="A15186" t="str">
        <f>"1200071H00060    00"</f>
        <v>1200071H00060    00</v>
      </c>
      <c r="B15186" t="s">
        <v>33326</v>
      </c>
      <c r="C15186" t="s">
        <v>33327</v>
      </c>
      <c r="D15186" t="s">
        <v>20</v>
      </c>
      <c r="E15186" t="s">
        <v>39</v>
      </c>
      <c r="F15186">
        <v>0</v>
      </c>
      <c r="G15186">
        <v>0</v>
      </c>
      <c r="H15186">
        <v>8</v>
      </c>
      <c r="I15186" s="3">
        <v>4533.8900000000003</v>
      </c>
      <c r="J15186" s="3">
        <v>1483.54</v>
      </c>
      <c r="L15186">
        <v>3544</v>
      </c>
      <c r="M15186" t="s">
        <v>33323</v>
      </c>
      <c r="N15186" t="s">
        <v>30</v>
      </c>
      <c r="O15186" t="s">
        <v>31</v>
      </c>
      <c r="P15186" t="str">
        <f t="shared" si="194"/>
        <v>15204</v>
      </c>
    </row>
    <row r="15187" spans="1:16" x14ac:dyDescent="0.25">
      <c r="A15187" t="str">
        <f>"1200071H00062    00"</f>
        <v>1200071H00062    00</v>
      </c>
      <c r="B15187" t="s">
        <v>33328</v>
      </c>
      <c r="C15187" t="s">
        <v>33329</v>
      </c>
      <c r="D15187" t="s">
        <v>20</v>
      </c>
      <c r="E15187" t="s">
        <v>39</v>
      </c>
      <c r="F15187">
        <v>0</v>
      </c>
      <c r="G15187">
        <v>0</v>
      </c>
      <c r="H15187">
        <v>18</v>
      </c>
      <c r="I15187" s="3">
        <v>7601.54</v>
      </c>
      <c r="J15187" s="3">
        <v>10002.25</v>
      </c>
      <c r="L15187">
        <v>3544</v>
      </c>
      <c r="M15187" t="s">
        <v>33323</v>
      </c>
      <c r="N15187" t="s">
        <v>30</v>
      </c>
      <c r="O15187" t="s">
        <v>31</v>
      </c>
      <c r="P15187" t="str">
        <f t="shared" si="194"/>
        <v>15204</v>
      </c>
    </row>
    <row r="15188" spans="1:16" x14ac:dyDescent="0.25">
      <c r="A15188" t="str">
        <f>"1200071H00064    00"</f>
        <v>1200071H00064    00</v>
      </c>
      <c r="B15188" t="s">
        <v>33330</v>
      </c>
      <c r="C15188" t="s">
        <v>33322</v>
      </c>
      <c r="D15188" t="s">
        <v>20</v>
      </c>
      <c r="E15188" t="s">
        <v>39</v>
      </c>
      <c r="F15188">
        <v>0</v>
      </c>
      <c r="G15188">
        <v>0</v>
      </c>
      <c r="H15188">
        <v>19</v>
      </c>
      <c r="I15188" s="3">
        <v>4233.57</v>
      </c>
      <c r="J15188" s="3">
        <v>2858.55</v>
      </c>
      <c r="K15188" t="s">
        <v>1037</v>
      </c>
      <c r="L15188">
        <v>445</v>
      </c>
      <c r="M15188" t="s">
        <v>33331</v>
      </c>
      <c r="N15188" t="s">
        <v>30</v>
      </c>
      <c r="O15188" t="s">
        <v>31</v>
      </c>
      <c r="P15188" t="str">
        <f>"15213"</f>
        <v>15213</v>
      </c>
    </row>
    <row r="15189" spans="1:16" x14ac:dyDescent="0.25">
      <c r="A15189" t="str">
        <f>"1200071H00066    00"</f>
        <v>1200071H00066    00</v>
      </c>
      <c r="B15189" t="s">
        <v>33332</v>
      </c>
      <c r="C15189" t="s">
        <v>33322</v>
      </c>
      <c r="E15189" t="s">
        <v>39</v>
      </c>
      <c r="F15189">
        <v>0</v>
      </c>
      <c r="G15189">
        <v>0</v>
      </c>
      <c r="H15189">
        <v>1</v>
      </c>
      <c r="I15189" s="3">
        <v>71.37</v>
      </c>
      <c r="J15189" s="3">
        <v>0</v>
      </c>
      <c r="L15189">
        <v>3558</v>
      </c>
      <c r="M15189" t="s">
        <v>33323</v>
      </c>
      <c r="N15189" t="s">
        <v>30</v>
      </c>
      <c r="O15189" t="s">
        <v>31</v>
      </c>
      <c r="P15189" t="str">
        <f>"15204"</f>
        <v>15204</v>
      </c>
    </row>
    <row r="15190" spans="1:16" x14ac:dyDescent="0.25">
      <c r="A15190" t="str">
        <f>"1200071H00072    00"</f>
        <v>1200071H00072    00</v>
      </c>
      <c r="B15190" t="s">
        <v>33332</v>
      </c>
      <c r="C15190" t="s">
        <v>33322</v>
      </c>
      <c r="E15190" t="s">
        <v>39</v>
      </c>
      <c r="F15190">
        <v>0</v>
      </c>
      <c r="G15190">
        <v>0</v>
      </c>
      <c r="H15190">
        <v>1</v>
      </c>
      <c r="I15190" s="3">
        <v>39.65</v>
      </c>
      <c r="J15190" s="3">
        <v>0</v>
      </c>
      <c r="L15190">
        <v>3558</v>
      </c>
      <c r="M15190" t="s">
        <v>33323</v>
      </c>
      <c r="N15190" t="s">
        <v>30</v>
      </c>
      <c r="O15190" t="s">
        <v>31</v>
      </c>
      <c r="P15190" t="str">
        <f>"15204"</f>
        <v>15204</v>
      </c>
    </row>
    <row r="15191" spans="1:16" x14ac:dyDescent="0.25">
      <c r="A15191" t="str">
        <f>"1200071H00073    00"</f>
        <v>1200071H00073    00</v>
      </c>
      <c r="B15191" t="s">
        <v>33333</v>
      </c>
      <c r="C15191" t="s">
        <v>33334</v>
      </c>
      <c r="E15191" t="s">
        <v>39</v>
      </c>
      <c r="F15191">
        <v>0</v>
      </c>
      <c r="G15191">
        <v>0</v>
      </c>
      <c r="H15191">
        <v>1</v>
      </c>
      <c r="I15191" s="3">
        <v>199.11</v>
      </c>
      <c r="J15191" s="3">
        <v>0</v>
      </c>
      <c r="L15191">
        <v>3558</v>
      </c>
      <c r="M15191" t="s">
        <v>33323</v>
      </c>
      <c r="N15191" t="s">
        <v>30</v>
      </c>
      <c r="O15191" t="s">
        <v>31</v>
      </c>
      <c r="P15191" t="str">
        <f>"15204"</f>
        <v>15204</v>
      </c>
    </row>
    <row r="15192" spans="1:16" x14ac:dyDescent="0.25">
      <c r="A15192" t="str">
        <f>"1200071H00096    00"</f>
        <v>1200071H00096    00</v>
      </c>
      <c r="B15192" t="s">
        <v>33335</v>
      </c>
      <c r="C15192" t="s">
        <v>33336</v>
      </c>
      <c r="D15192" t="s">
        <v>20</v>
      </c>
      <c r="E15192" t="s">
        <v>39</v>
      </c>
      <c r="F15192">
        <v>0</v>
      </c>
      <c r="G15192">
        <v>0</v>
      </c>
      <c r="H15192">
        <v>15</v>
      </c>
      <c r="I15192" s="3">
        <v>11170.06</v>
      </c>
      <c r="J15192" s="3">
        <v>5791.37</v>
      </c>
      <c r="L15192">
        <v>1415</v>
      </c>
      <c r="M15192" t="s">
        <v>12929</v>
      </c>
      <c r="N15192" t="s">
        <v>30</v>
      </c>
      <c r="O15192" t="s">
        <v>31</v>
      </c>
      <c r="P15192" t="str">
        <f>"15221"</f>
        <v>15221</v>
      </c>
    </row>
    <row r="15193" spans="1:16" x14ac:dyDescent="0.25">
      <c r="A15193" t="str">
        <f>"1200071H00149    00"</f>
        <v>1200071H00149    00</v>
      </c>
      <c r="B15193" t="s">
        <v>33337</v>
      </c>
      <c r="C15193" t="s">
        <v>33338</v>
      </c>
      <c r="D15193" t="s">
        <v>20</v>
      </c>
      <c r="E15193" t="s">
        <v>39</v>
      </c>
      <c r="F15193">
        <v>0</v>
      </c>
      <c r="G15193">
        <v>0</v>
      </c>
      <c r="H15193">
        <v>11</v>
      </c>
      <c r="I15193" s="3">
        <v>10313.82</v>
      </c>
      <c r="J15193" s="3">
        <v>4462.0600000000004</v>
      </c>
      <c r="L15193">
        <v>1165</v>
      </c>
      <c r="M15193" t="s">
        <v>14685</v>
      </c>
      <c r="N15193" t="s">
        <v>30</v>
      </c>
      <c r="O15193" t="s">
        <v>31</v>
      </c>
      <c r="P15193" t="str">
        <f>"15204"</f>
        <v>15204</v>
      </c>
    </row>
    <row r="15194" spans="1:16" x14ac:dyDescent="0.25">
      <c r="A15194" t="str">
        <f>"1200071H00153    00"</f>
        <v>1200071H00153    00</v>
      </c>
      <c r="B15194" t="s">
        <v>33339</v>
      </c>
      <c r="C15194" t="s">
        <v>33340</v>
      </c>
      <c r="D15194" t="s">
        <v>20</v>
      </c>
      <c r="E15194" t="s">
        <v>39</v>
      </c>
      <c r="F15194">
        <v>0</v>
      </c>
      <c r="G15194">
        <v>0</v>
      </c>
      <c r="H15194">
        <v>1</v>
      </c>
      <c r="I15194" s="3">
        <v>702.13</v>
      </c>
      <c r="J15194" s="3">
        <v>0</v>
      </c>
      <c r="L15194">
        <v>1235</v>
      </c>
      <c r="M15194" t="s">
        <v>28159</v>
      </c>
      <c r="N15194" t="s">
        <v>30</v>
      </c>
      <c r="O15194" t="s">
        <v>31</v>
      </c>
      <c r="P15194" t="str">
        <f>"15233"</f>
        <v>15233</v>
      </c>
    </row>
    <row r="15195" spans="1:16" x14ac:dyDescent="0.25">
      <c r="A15195" t="str">
        <f>"1200071H00167    00"</f>
        <v>1200071H00167    00</v>
      </c>
      <c r="B15195" t="s">
        <v>33341</v>
      </c>
      <c r="C15195" t="s">
        <v>33342</v>
      </c>
      <c r="D15195" t="s">
        <v>20</v>
      </c>
      <c r="E15195" t="s">
        <v>39</v>
      </c>
      <c r="F15195">
        <v>0</v>
      </c>
      <c r="G15195">
        <v>0</v>
      </c>
      <c r="H15195">
        <v>8</v>
      </c>
      <c r="I15195" s="3">
        <v>4869.37</v>
      </c>
      <c r="J15195" s="3">
        <v>1652.53</v>
      </c>
      <c r="L15195">
        <v>1125</v>
      </c>
      <c r="M15195" t="s">
        <v>14685</v>
      </c>
      <c r="N15195" t="s">
        <v>30</v>
      </c>
      <c r="O15195" t="s">
        <v>31</v>
      </c>
      <c r="P15195" t="str">
        <f>"15204"</f>
        <v>15204</v>
      </c>
    </row>
    <row r="15196" spans="1:16" x14ac:dyDescent="0.25">
      <c r="A15196" t="str">
        <f>"1200071H00188    00"</f>
        <v>1200071H00188    00</v>
      </c>
      <c r="B15196" t="s">
        <v>33343</v>
      </c>
      <c r="C15196" t="s">
        <v>33344</v>
      </c>
      <c r="E15196" t="s">
        <v>39</v>
      </c>
      <c r="F15196">
        <v>0</v>
      </c>
      <c r="G15196">
        <v>0</v>
      </c>
      <c r="H15196">
        <v>4</v>
      </c>
      <c r="I15196" s="3">
        <v>3610.27</v>
      </c>
      <c r="J15196" s="3">
        <v>1157.67</v>
      </c>
      <c r="L15196">
        <v>1118</v>
      </c>
      <c r="M15196" t="s">
        <v>14685</v>
      </c>
      <c r="N15196" t="s">
        <v>30</v>
      </c>
      <c r="O15196" t="s">
        <v>31</v>
      </c>
      <c r="P15196" t="str">
        <f>"15204"</f>
        <v>15204</v>
      </c>
    </row>
    <row r="15197" spans="1:16" x14ac:dyDescent="0.25">
      <c r="A15197" t="str">
        <f>"1200071H00193    00"</f>
        <v>1200071H00193    00</v>
      </c>
      <c r="B15197" t="s">
        <v>33345</v>
      </c>
      <c r="C15197" t="s">
        <v>33346</v>
      </c>
      <c r="D15197" t="s">
        <v>20</v>
      </c>
      <c r="E15197" t="s">
        <v>39</v>
      </c>
      <c r="F15197">
        <v>0</v>
      </c>
      <c r="G15197">
        <v>0</v>
      </c>
      <c r="H15197">
        <v>3</v>
      </c>
      <c r="I15197" s="3">
        <v>926.33</v>
      </c>
      <c r="J15197" s="3">
        <v>7.12</v>
      </c>
      <c r="L15197">
        <v>1132</v>
      </c>
      <c r="M15197" t="s">
        <v>14685</v>
      </c>
      <c r="N15197" t="s">
        <v>30</v>
      </c>
      <c r="O15197" t="s">
        <v>31</v>
      </c>
      <c r="P15197" t="str">
        <f>"15204"</f>
        <v>15204</v>
      </c>
    </row>
    <row r="15198" spans="1:16" x14ac:dyDescent="0.25">
      <c r="A15198" t="str">
        <f>"1200071H00219    00"</f>
        <v>1200071H00219    00</v>
      </c>
      <c r="B15198" t="s">
        <v>33347</v>
      </c>
      <c r="C15198" t="s">
        <v>33348</v>
      </c>
      <c r="D15198" t="s">
        <v>20</v>
      </c>
      <c r="E15198" t="s">
        <v>39</v>
      </c>
      <c r="F15198">
        <v>0</v>
      </c>
      <c r="G15198">
        <v>0</v>
      </c>
      <c r="H15198">
        <v>2</v>
      </c>
      <c r="I15198" s="3">
        <v>706.86</v>
      </c>
      <c r="J15198" s="3">
        <v>0</v>
      </c>
      <c r="L15198">
        <v>1127</v>
      </c>
      <c r="M15198" t="s">
        <v>33349</v>
      </c>
      <c r="N15198" t="s">
        <v>30</v>
      </c>
      <c r="O15198" t="s">
        <v>31</v>
      </c>
      <c r="P15198" t="str">
        <f>"15204"</f>
        <v>15204</v>
      </c>
    </row>
    <row r="15199" spans="1:16" x14ac:dyDescent="0.25">
      <c r="A15199" t="str">
        <f>"1200071H00221    00"</f>
        <v>1200071H00221    00</v>
      </c>
      <c r="B15199" t="s">
        <v>33350</v>
      </c>
      <c r="C15199" t="s">
        <v>33351</v>
      </c>
      <c r="D15199" t="s">
        <v>20</v>
      </c>
      <c r="E15199" t="s">
        <v>39</v>
      </c>
      <c r="F15199">
        <v>0</v>
      </c>
      <c r="G15199">
        <v>0</v>
      </c>
      <c r="H15199">
        <v>7</v>
      </c>
      <c r="I15199" s="3">
        <v>5979.23</v>
      </c>
      <c r="J15199" s="3">
        <v>1908.03</v>
      </c>
      <c r="L15199">
        <v>1308</v>
      </c>
      <c r="M15199" t="s">
        <v>33352</v>
      </c>
      <c r="N15199" t="s">
        <v>625</v>
      </c>
      <c r="O15199" t="s">
        <v>31</v>
      </c>
      <c r="P15199" t="str">
        <f>"15108"</f>
        <v>15108</v>
      </c>
    </row>
    <row r="15200" spans="1:16" x14ac:dyDescent="0.25">
      <c r="A15200" t="str">
        <f>"1200071H00226    00"</f>
        <v>1200071H00226    00</v>
      </c>
      <c r="B15200" t="s">
        <v>33353</v>
      </c>
      <c r="C15200" t="s">
        <v>33354</v>
      </c>
      <c r="D15200" t="s">
        <v>20</v>
      </c>
      <c r="E15200" t="s">
        <v>39</v>
      </c>
      <c r="F15200">
        <v>0</v>
      </c>
      <c r="G15200">
        <v>0</v>
      </c>
      <c r="H15200">
        <v>9</v>
      </c>
      <c r="I15200" s="3">
        <v>2388.31</v>
      </c>
      <c r="J15200" s="3">
        <v>816.31</v>
      </c>
      <c r="L15200">
        <v>1525</v>
      </c>
      <c r="M15200" t="s">
        <v>33355</v>
      </c>
      <c r="N15200" t="s">
        <v>30</v>
      </c>
      <c r="O15200" t="s">
        <v>31</v>
      </c>
      <c r="P15200" t="str">
        <f>"15205"</f>
        <v>15205</v>
      </c>
    </row>
    <row r="15201" spans="1:16" x14ac:dyDescent="0.25">
      <c r="A15201" t="str">
        <f>"1200071H00247    00"</f>
        <v>1200071H00247    00</v>
      </c>
      <c r="B15201" t="s">
        <v>33356</v>
      </c>
      <c r="C15201" t="s">
        <v>33357</v>
      </c>
      <c r="E15201" t="s">
        <v>39</v>
      </c>
      <c r="F15201">
        <v>0</v>
      </c>
      <c r="G15201">
        <v>0</v>
      </c>
      <c r="H15201">
        <v>1</v>
      </c>
      <c r="I15201" s="3">
        <v>348.89</v>
      </c>
      <c r="J15201" s="3">
        <v>0</v>
      </c>
      <c r="L15201">
        <v>1136</v>
      </c>
      <c r="M15201" t="s">
        <v>33349</v>
      </c>
      <c r="N15201" t="s">
        <v>30</v>
      </c>
      <c r="O15201" t="s">
        <v>31</v>
      </c>
      <c r="P15201" t="str">
        <f t="shared" ref="P15201:P15206" si="195">"15204"</f>
        <v>15204</v>
      </c>
    </row>
    <row r="15202" spans="1:16" x14ac:dyDescent="0.25">
      <c r="A15202" t="str">
        <f>"1200071H00366    00"</f>
        <v>1200071H00366    00</v>
      </c>
      <c r="B15202" t="s">
        <v>33358</v>
      </c>
      <c r="C15202" t="s">
        <v>33359</v>
      </c>
      <c r="D15202" t="s">
        <v>20</v>
      </c>
      <c r="E15202" t="s">
        <v>39</v>
      </c>
      <c r="F15202">
        <v>0</v>
      </c>
      <c r="G15202">
        <v>0</v>
      </c>
      <c r="H15202">
        <v>1</v>
      </c>
      <c r="I15202" s="3">
        <v>911.54</v>
      </c>
      <c r="J15202" s="3">
        <v>0</v>
      </c>
      <c r="L15202">
        <v>3603</v>
      </c>
      <c r="M15202" t="s">
        <v>33360</v>
      </c>
      <c r="N15202" t="s">
        <v>30</v>
      </c>
      <c r="O15202" t="s">
        <v>31</v>
      </c>
      <c r="P15202" t="str">
        <f t="shared" si="195"/>
        <v>15204</v>
      </c>
    </row>
    <row r="15203" spans="1:16" x14ac:dyDescent="0.25">
      <c r="A15203" t="str">
        <f>"1200071L00186    00"</f>
        <v>1200071L00186    00</v>
      </c>
      <c r="B15203" t="s">
        <v>33361</v>
      </c>
      <c r="C15203" t="s">
        <v>33362</v>
      </c>
      <c r="D15203" t="s">
        <v>20</v>
      </c>
      <c r="E15203" t="s">
        <v>39</v>
      </c>
      <c r="F15203">
        <v>0</v>
      </c>
      <c r="G15203">
        <v>0</v>
      </c>
      <c r="H15203">
        <v>9</v>
      </c>
      <c r="I15203" s="3">
        <v>149.72</v>
      </c>
      <c r="J15203" s="3">
        <v>57.15</v>
      </c>
      <c r="L15203">
        <v>1450</v>
      </c>
      <c r="M15203" t="s">
        <v>33363</v>
      </c>
      <c r="N15203" t="s">
        <v>30</v>
      </c>
      <c r="O15203" t="s">
        <v>31</v>
      </c>
      <c r="P15203" t="str">
        <f t="shared" si="195"/>
        <v>15204</v>
      </c>
    </row>
    <row r="15204" spans="1:16" x14ac:dyDescent="0.25">
      <c r="A15204" t="str">
        <f>"1200071L00216    00"</f>
        <v>1200071L00216    00</v>
      </c>
      <c r="B15204" t="s">
        <v>33364</v>
      </c>
      <c r="C15204" t="s">
        <v>33365</v>
      </c>
      <c r="D15204" t="s">
        <v>20</v>
      </c>
      <c r="E15204" t="s">
        <v>39</v>
      </c>
      <c r="F15204">
        <v>0</v>
      </c>
      <c r="G15204">
        <v>0</v>
      </c>
      <c r="H15204">
        <v>5</v>
      </c>
      <c r="I15204" s="3">
        <v>1483.39</v>
      </c>
      <c r="J15204" s="3">
        <v>260.35000000000002</v>
      </c>
      <c r="L15204">
        <v>1445</v>
      </c>
      <c r="M15204" t="s">
        <v>33366</v>
      </c>
      <c r="N15204" t="s">
        <v>30</v>
      </c>
      <c r="O15204" t="s">
        <v>31</v>
      </c>
      <c r="P15204" t="str">
        <f t="shared" si="195"/>
        <v>15204</v>
      </c>
    </row>
    <row r="15205" spans="1:16" x14ac:dyDescent="0.25">
      <c r="A15205" t="str">
        <f>"1200071L00222    00"</f>
        <v>1200071L00222    00</v>
      </c>
      <c r="B15205" t="s">
        <v>33367</v>
      </c>
      <c r="C15205" t="s">
        <v>33368</v>
      </c>
      <c r="D15205" t="s">
        <v>20</v>
      </c>
      <c r="E15205" t="s">
        <v>39</v>
      </c>
      <c r="F15205">
        <v>0</v>
      </c>
      <c r="G15205">
        <v>0</v>
      </c>
      <c r="H15205">
        <v>2</v>
      </c>
      <c r="I15205" s="3">
        <v>152.47999999999999</v>
      </c>
      <c r="J15205" s="3">
        <v>0</v>
      </c>
      <c r="L15205">
        <v>1427</v>
      </c>
      <c r="M15205" t="s">
        <v>33369</v>
      </c>
      <c r="N15205" t="s">
        <v>30</v>
      </c>
      <c r="O15205" t="s">
        <v>31</v>
      </c>
      <c r="P15205" t="str">
        <f t="shared" si="195"/>
        <v>15204</v>
      </c>
    </row>
    <row r="15206" spans="1:16" x14ac:dyDescent="0.25">
      <c r="A15206" t="str">
        <f>"1200071L00223    00"</f>
        <v>1200071L00223    00</v>
      </c>
      <c r="B15206" t="s">
        <v>33370</v>
      </c>
      <c r="C15206" t="s">
        <v>33368</v>
      </c>
      <c r="D15206" t="s">
        <v>20</v>
      </c>
      <c r="E15206" t="s">
        <v>39</v>
      </c>
      <c r="F15206">
        <v>0</v>
      </c>
      <c r="G15206">
        <v>0</v>
      </c>
      <c r="H15206">
        <v>2</v>
      </c>
      <c r="I15206" s="3">
        <v>206.58</v>
      </c>
      <c r="J15206" s="3">
        <v>0</v>
      </c>
      <c r="L15206">
        <v>1427</v>
      </c>
      <c r="M15206" t="s">
        <v>33366</v>
      </c>
      <c r="N15206" t="s">
        <v>30</v>
      </c>
      <c r="O15206" t="s">
        <v>31</v>
      </c>
      <c r="P15206" t="str">
        <f t="shared" si="195"/>
        <v>15204</v>
      </c>
    </row>
    <row r="15207" spans="1:16" x14ac:dyDescent="0.25">
      <c r="A15207" t="str">
        <f>"1200071L00261    00"</f>
        <v>1200071L00261    00</v>
      </c>
      <c r="B15207" t="s">
        <v>33371</v>
      </c>
      <c r="C15207" t="s">
        <v>33372</v>
      </c>
      <c r="D15207" t="s">
        <v>20</v>
      </c>
      <c r="E15207" t="s">
        <v>39</v>
      </c>
      <c r="F15207">
        <v>0</v>
      </c>
      <c r="G15207">
        <v>0</v>
      </c>
      <c r="H15207">
        <v>1</v>
      </c>
      <c r="I15207" s="3">
        <v>152.47999999999999</v>
      </c>
      <c r="J15207" s="3">
        <v>0</v>
      </c>
      <c r="K15207" t="s">
        <v>33373</v>
      </c>
      <c r="L15207">
        <v>422</v>
      </c>
      <c r="M15207" t="s">
        <v>1352</v>
      </c>
      <c r="N15207" t="s">
        <v>1353</v>
      </c>
      <c r="O15207" t="s">
        <v>31</v>
      </c>
      <c r="P15207" t="str">
        <f>"15085"</f>
        <v>15085</v>
      </c>
    </row>
    <row r="15208" spans="1:16" x14ac:dyDescent="0.25">
      <c r="A15208" t="str">
        <f>"1200071L00285    00"</f>
        <v>1200071L00285    00</v>
      </c>
      <c r="B15208" t="s">
        <v>33374</v>
      </c>
      <c r="C15208" t="s">
        <v>33375</v>
      </c>
      <c r="D15208" t="s">
        <v>20</v>
      </c>
      <c r="E15208" t="s">
        <v>39</v>
      </c>
      <c r="F15208">
        <v>0</v>
      </c>
      <c r="G15208">
        <v>0</v>
      </c>
      <c r="H15208">
        <v>19</v>
      </c>
      <c r="I15208" s="3">
        <v>444.26</v>
      </c>
      <c r="J15208" s="3">
        <v>459.83</v>
      </c>
      <c r="L15208">
        <v>1437</v>
      </c>
      <c r="M15208" t="s">
        <v>33277</v>
      </c>
      <c r="N15208" t="s">
        <v>30</v>
      </c>
      <c r="O15208" t="s">
        <v>31</v>
      </c>
      <c r="P15208" t="str">
        <f>"15204"</f>
        <v>15204</v>
      </c>
    </row>
    <row r="15209" spans="1:16" x14ac:dyDescent="0.25">
      <c r="A15209" t="str">
        <f>"1200071L00318    00"</f>
        <v>1200071L00318    00</v>
      </c>
      <c r="B15209" t="s">
        <v>33376</v>
      </c>
      <c r="C15209" t="s">
        <v>33377</v>
      </c>
      <c r="D15209" t="s">
        <v>20</v>
      </c>
      <c r="E15209" t="s">
        <v>39</v>
      </c>
      <c r="F15209">
        <v>0</v>
      </c>
      <c r="G15209">
        <v>0</v>
      </c>
      <c r="H15209">
        <v>2</v>
      </c>
      <c r="I15209" s="3">
        <v>2519.7600000000002</v>
      </c>
      <c r="J15209" s="3">
        <v>0</v>
      </c>
      <c r="L15209">
        <v>1014</v>
      </c>
      <c r="M15209" t="s">
        <v>13165</v>
      </c>
      <c r="N15209" t="s">
        <v>295</v>
      </c>
      <c r="O15209" t="s">
        <v>31</v>
      </c>
      <c r="P15209" t="str">
        <f>"15146"</f>
        <v>15146</v>
      </c>
    </row>
    <row r="15210" spans="1:16" x14ac:dyDescent="0.25">
      <c r="A15210" t="str">
        <f>"1200071L00354    00"</f>
        <v>1200071L00354    00</v>
      </c>
      <c r="B15210" t="s">
        <v>33378</v>
      </c>
      <c r="C15210" t="s">
        <v>33379</v>
      </c>
      <c r="E15210" t="s">
        <v>39</v>
      </c>
      <c r="F15210">
        <v>0</v>
      </c>
      <c r="G15210">
        <v>0</v>
      </c>
      <c r="H15210">
        <v>9</v>
      </c>
      <c r="I15210" s="3">
        <v>8158.06</v>
      </c>
      <c r="J15210" s="3">
        <v>271.92</v>
      </c>
      <c r="K15210" t="s">
        <v>33380</v>
      </c>
      <c r="M15210" t="s">
        <v>25937</v>
      </c>
      <c r="N15210" t="s">
        <v>9778</v>
      </c>
      <c r="O15210" t="s">
        <v>423</v>
      </c>
      <c r="P15210" t="str">
        <f>"07303"</f>
        <v>07303</v>
      </c>
    </row>
    <row r="15211" spans="1:16" x14ac:dyDescent="0.25">
      <c r="A15211" t="str">
        <f>"1200071L00355    00"</f>
        <v>1200071L00355    00</v>
      </c>
      <c r="B15211" t="s">
        <v>33381</v>
      </c>
      <c r="C15211" t="s">
        <v>33382</v>
      </c>
      <c r="D15211" t="s">
        <v>20</v>
      </c>
      <c r="E15211" t="s">
        <v>39</v>
      </c>
      <c r="F15211">
        <v>0</v>
      </c>
      <c r="G15211">
        <v>0</v>
      </c>
      <c r="H15211">
        <v>12</v>
      </c>
      <c r="I15211" s="3">
        <v>724.65</v>
      </c>
      <c r="J15211" s="3">
        <v>383.1</v>
      </c>
      <c r="K15211" t="s">
        <v>33383</v>
      </c>
      <c r="L15211">
        <v>3564</v>
      </c>
      <c r="M15211" t="s">
        <v>1394</v>
      </c>
      <c r="N15211" t="s">
        <v>30</v>
      </c>
      <c r="O15211" t="s">
        <v>31</v>
      </c>
      <c r="P15211" t="str">
        <f>"15204"</f>
        <v>15204</v>
      </c>
    </row>
    <row r="15212" spans="1:16" x14ac:dyDescent="0.25">
      <c r="A15212" t="str">
        <f>"1200071L00359    00"</f>
        <v>1200071L00359    00</v>
      </c>
      <c r="B15212" t="s">
        <v>33384</v>
      </c>
      <c r="C15212" t="s">
        <v>33385</v>
      </c>
      <c r="E15212" t="s">
        <v>39</v>
      </c>
      <c r="F15212">
        <v>0</v>
      </c>
      <c r="G15212">
        <v>0</v>
      </c>
      <c r="H15212">
        <v>1</v>
      </c>
      <c r="I15212" s="3">
        <v>389.41</v>
      </c>
      <c r="J15212" s="3">
        <v>0</v>
      </c>
      <c r="K15212" t="s">
        <v>33386</v>
      </c>
      <c r="L15212">
        <v>3538</v>
      </c>
      <c r="M15212" t="s">
        <v>33387</v>
      </c>
      <c r="N15212" t="s">
        <v>30</v>
      </c>
      <c r="O15212" t="s">
        <v>31</v>
      </c>
      <c r="P15212" t="str">
        <f>"15204"</f>
        <v>15204</v>
      </c>
    </row>
    <row r="15213" spans="1:16" x14ac:dyDescent="0.25">
      <c r="A15213" t="str">
        <f>"1200071M00008    00"</f>
        <v>1200071M00008    00</v>
      </c>
      <c r="B15213" t="s">
        <v>33388</v>
      </c>
      <c r="C15213" t="s">
        <v>33389</v>
      </c>
      <c r="D15213" t="s">
        <v>20</v>
      </c>
      <c r="E15213" t="s">
        <v>39</v>
      </c>
      <c r="F15213">
        <v>0</v>
      </c>
      <c r="G15213">
        <v>0</v>
      </c>
      <c r="H15213">
        <v>2</v>
      </c>
      <c r="I15213" s="3">
        <v>1463.98</v>
      </c>
      <c r="J15213" s="3">
        <v>866.17</v>
      </c>
      <c r="K15213" t="s">
        <v>33390</v>
      </c>
      <c r="L15213">
        <v>3531</v>
      </c>
      <c r="M15213" t="s">
        <v>33391</v>
      </c>
      <c r="N15213" t="s">
        <v>30</v>
      </c>
      <c r="O15213" t="s">
        <v>31</v>
      </c>
      <c r="P15213" t="str">
        <f>"15204"</f>
        <v>15204</v>
      </c>
    </row>
    <row r="15214" spans="1:16" x14ac:dyDescent="0.25">
      <c r="A15214" t="str">
        <f>"1200071M00011    00"</f>
        <v>1200071M00011    00</v>
      </c>
      <c r="B15214" t="s">
        <v>33392</v>
      </c>
      <c r="C15214" t="s">
        <v>33362</v>
      </c>
      <c r="D15214" t="s">
        <v>20</v>
      </c>
      <c r="E15214" t="s">
        <v>39</v>
      </c>
      <c r="F15214">
        <v>0</v>
      </c>
      <c r="G15214">
        <v>0</v>
      </c>
      <c r="H15214">
        <v>1</v>
      </c>
      <c r="I15214" s="3">
        <v>57.18</v>
      </c>
      <c r="J15214" s="3">
        <v>0</v>
      </c>
      <c r="K15214" t="s">
        <v>9808</v>
      </c>
      <c r="L15214">
        <v>2700</v>
      </c>
      <c r="M15214" t="s">
        <v>33393</v>
      </c>
      <c r="N15214" t="s">
        <v>24</v>
      </c>
      <c r="O15214" t="s">
        <v>25</v>
      </c>
      <c r="P15214" t="str">
        <f>"43231"</f>
        <v>43231</v>
      </c>
    </row>
    <row r="15215" spans="1:16" x14ac:dyDescent="0.25">
      <c r="A15215" t="str">
        <f>"1200071M00039    00"</f>
        <v>1200071M00039    00</v>
      </c>
      <c r="B15215" t="s">
        <v>33394</v>
      </c>
      <c r="C15215" t="s">
        <v>33395</v>
      </c>
      <c r="D15215" t="s">
        <v>20</v>
      </c>
      <c r="E15215" t="s">
        <v>39</v>
      </c>
      <c r="F15215">
        <v>0</v>
      </c>
      <c r="G15215">
        <v>0</v>
      </c>
      <c r="H15215">
        <v>2</v>
      </c>
      <c r="I15215" s="3">
        <v>195.53</v>
      </c>
      <c r="J15215" s="3">
        <v>0</v>
      </c>
      <c r="L15215">
        <v>3541</v>
      </c>
      <c r="M15215" t="s">
        <v>33360</v>
      </c>
      <c r="N15215" t="s">
        <v>30</v>
      </c>
      <c r="O15215" t="s">
        <v>31</v>
      </c>
      <c r="P15215" t="str">
        <f>"15204"</f>
        <v>15204</v>
      </c>
    </row>
    <row r="15216" spans="1:16" x14ac:dyDescent="0.25">
      <c r="A15216" t="str">
        <f>"1200071M00045    00"</f>
        <v>1200071M00045    00</v>
      </c>
      <c r="B15216" t="s">
        <v>33396</v>
      </c>
      <c r="C15216" t="s">
        <v>33291</v>
      </c>
      <c r="D15216" t="s">
        <v>20</v>
      </c>
      <c r="E15216" t="s">
        <v>39</v>
      </c>
      <c r="F15216">
        <v>0</v>
      </c>
      <c r="G15216">
        <v>0</v>
      </c>
      <c r="H15216">
        <v>19</v>
      </c>
      <c r="I15216" s="3">
        <v>444.26</v>
      </c>
      <c r="J15216" s="3">
        <v>459.83</v>
      </c>
      <c r="K15216" t="s">
        <v>1037</v>
      </c>
      <c r="L15216">
        <v>3511</v>
      </c>
      <c r="M15216" t="s">
        <v>33360</v>
      </c>
      <c r="N15216" t="s">
        <v>30</v>
      </c>
      <c r="O15216" t="s">
        <v>31</v>
      </c>
      <c r="P15216" t="str">
        <f>"15204"</f>
        <v>15204</v>
      </c>
    </row>
    <row r="15217" spans="1:16" x14ac:dyDescent="0.25">
      <c r="A15217" t="str">
        <f>"1200071M00046    00"</f>
        <v>1200071M00046    00</v>
      </c>
      <c r="B15217" t="s">
        <v>33397</v>
      </c>
      <c r="C15217" t="s">
        <v>33291</v>
      </c>
      <c r="E15217" t="s">
        <v>39</v>
      </c>
      <c r="F15217">
        <v>0</v>
      </c>
      <c r="G15217">
        <v>0</v>
      </c>
      <c r="H15217">
        <v>12</v>
      </c>
      <c r="I15217" s="3">
        <v>2872.99</v>
      </c>
      <c r="J15217" s="3">
        <v>4499.79</v>
      </c>
      <c r="M15217" t="s">
        <v>33398</v>
      </c>
      <c r="N15217" t="s">
        <v>30</v>
      </c>
      <c r="O15217" t="s">
        <v>31</v>
      </c>
      <c r="P15217" t="str">
        <f>"15213"</f>
        <v>15213</v>
      </c>
    </row>
    <row r="15218" spans="1:16" x14ac:dyDescent="0.25">
      <c r="A15218" t="str">
        <f>"1200071M00050    00"</f>
        <v>1200071M00050    00</v>
      </c>
      <c r="B15218" t="s">
        <v>33399</v>
      </c>
      <c r="C15218" t="s">
        <v>33291</v>
      </c>
      <c r="D15218" t="s">
        <v>20</v>
      </c>
      <c r="E15218" t="s">
        <v>39</v>
      </c>
      <c r="F15218">
        <v>0</v>
      </c>
      <c r="G15218">
        <v>0</v>
      </c>
      <c r="H15218">
        <v>19</v>
      </c>
      <c r="I15218" s="3">
        <v>12728.16</v>
      </c>
      <c r="J15218" s="3">
        <v>17064.189999999999</v>
      </c>
      <c r="L15218">
        <v>3515</v>
      </c>
      <c r="M15218" t="s">
        <v>33360</v>
      </c>
      <c r="N15218" t="s">
        <v>30</v>
      </c>
      <c r="O15218" t="s">
        <v>31</v>
      </c>
      <c r="P15218" t="str">
        <f>"15204"</f>
        <v>15204</v>
      </c>
    </row>
    <row r="15219" spans="1:16" x14ac:dyDescent="0.25">
      <c r="A15219" t="str">
        <f>"1200071M00051    00"</f>
        <v>1200071M00051    00</v>
      </c>
      <c r="B15219" t="s">
        <v>33400</v>
      </c>
      <c r="C15219" t="s">
        <v>33291</v>
      </c>
      <c r="D15219" t="s">
        <v>20</v>
      </c>
      <c r="E15219" t="s">
        <v>39</v>
      </c>
      <c r="F15219">
        <v>0</v>
      </c>
      <c r="G15219">
        <v>0</v>
      </c>
      <c r="H15219">
        <v>15</v>
      </c>
      <c r="I15219" s="3">
        <v>1874.95</v>
      </c>
      <c r="J15219" s="3">
        <v>1069.75</v>
      </c>
      <c r="L15219">
        <v>933</v>
      </c>
      <c r="M15219" t="s">
        <v>33401</v>
      </c>
      <c r="N15219" t="s">
        <v>13003</v>
      </c>
      <c r="O15219" t="s">
        <v>2171</v>
      </c>
      <c r="P15219" t="str">
        <f>"87108"</f>
        <v>87108</v>
      </c>
    </row>
    <row r="15220" spans="1:16" x14ac:dyDescent="0.25">
      <c r="A15220" t="str">
        <f>"1200071M00053    00"</f>
        <v>1200071M00053    00</v>
      </c>
      <c r="B15220" t="s">
        <v>33400</v>
      </c>
      <c r="C15220" t="s">
        <v>33291</v>
      </c>
      <c r="D15220" t="s">
        <v>20</v>
      </c>
      <c r="E15220" t="s">
        <v>39</v>
      </c>
      <c r="F15220">
        <v>0</v>
      </c>
      <c r="G15220">
        <v>0</v>
      </c>
      <c r="H15220">
        <v>15</v>
      </c>
      <c r="I15220" s="3">
        <v>2000.77</v>
      </c>
      <c r="J15220" s="3">
        <v>1197.8599999999999</v>
      </c>
      <c r="L15220">
        <v>1408</v>
      </c>
      <c r="M15220" t="s">
        <v>33402</v>
      </c>
      <c r="N15220" t="s">
        <v>13003</v>
      </c>
      <c r="O15220" t="s">
        <v>2171</v>
      </c>
      <c r="P15220" t="str">
        <f>"87114"</f>
        <v>87114</v>
      </c>
    </row>
    <row r="15221" spans="1:16" x14ac:dyDescent="0.25">
      <c r="A15221" t="str">
        <f>"1200071M00077    00"</f>
        <v>1200071M00077    00</v>
      </c>
      <c r="B15221" t="s">
        <v>33403</v>
      </c>
      <c r="C15221" t="s">
        <v>33404</v>
      </c>
      <c r="D15221" t="s">
        <v>20</v>
      </c>
      <c r="E15221" t="s">
        <v>39</v>
      </c>
      <c r="F15221">
        <v>0</v>
      </c>
      <c r="G15221">
        <v>0</v>
      </c>
      <c r="H15221">
        <v>3</v>
      </c>
      <c r="I15221" s="3">
        <v>1058.69</v>
      </c>
      <c r="J15221" s="3">
        <v>17.32</v>
      </c>
      <c r="L15221">
        <v>1428</v>
      </c>
      <c r="M15221" t="s">
        <v>33241</v>
      </c>
      <c r="N15221" t="s">
        <v>30</v>
      </c>
      <c r="O15221" t="s">
        <v>31</v>
      </c>
      <c r="P15221" t="str">
        <f>"15204"</f>
        <v>15204</v>
      </c>
    </row>
    <row r="15222" spans="1:16" x14ac:dyDescent="0.25">
      <c r="A15222" t="str">
        <f>"1200071M00080    00"</f>
        <v>1200071M00080    00</v>
      </c>
      <c r="B15222" t="s">
        <v>33405</v>
      </c>
      <c r="C15222" t="s">
        <v>33322</v>
      </c>
      <c r="D15222" t="s">
        <v>20</v>
      </c>
      <c r="E15222" t="s">
        <v>39</v>
      </c>
      <c r="F15222">
        <v>0</v>
      </c>
      <c r="G15222">
        <v>0</v>
      </c>
      <c r="H15222">
        <v>15</v>
      </c>
      <c r="I15222" s="3">
        <v>3794.85</v>
      </c>
      <c r="J15222" s="3">
        <v>2168.3000000000002</v>
      </c>
      <c r="L15222">
        <v>49</v>
      </c>
      <c r="M15222" t="s">
        <v>33406</v>
      </c>
      <c r="N15222" t="s">
        <v>4803</v>
      </c>
      <c r="O15222" t="s">
        <v>554</v>
      </c>
      <c r="P15222" t="str">
        <f>"26003"</f>
        <v>26003</v>
      </c>
    </row>
    <row r="15223" spans="1:16" x14ac:dyDescent="0.25">
      <c r="A15223" t="str">
        <f>"1200071M00082    00"</f>
        <v>1200071M00082    00</v>
      </c>
      <c r="B15223" t="s">
        <v>33407</v>
      </c>
      <c r="C15223" t="s">
        <v>33322</v>
      </c>
      <c r="D15223" t="s">
        <v>20</v>
      </c>
      <c r="E15223" t="s">
        <v>39</v>
      </c>
      <c r="F15223">
        <v>0</v>
      </c>
      <c r="G15223">
        <v>0</v>
      </c>
      <c r="H15223">
        <v>19</v>
      </c>
      <c r="I15223" s="3">
        <v>6337.07</v>
      </c>
      <c r="J15223" s="3">
        <v>6107.61</v>
      </c>
      <c r="L15223">
        <v>3607</v>
      </c>
      <c r="M15223" t="s">
        <v>27228</v>
      </c>
      <c r="N15223" t="s">
        <v>30</v>
      </c>
      <c r="O15223" t="s">
        <v>31</v>
      </c>
      <c r="P15223" t="str">
        <f>"15204"</f>
        <v>15204</v>
      </c>
    </row>
    <row r="15224" spans="1:16" x14ac:dyDescent="0.25">
      <c r="A15224" t="str">
        <f>"1200071M00084    00"</f>
        <v>1200071M00084    00</v>
      </c>
      <c r="B15224" t="s">
        <v>33408</v>
      </c>
      <c r="C15224" t="s">
        <v>33409</v>
      </c>
      <c r="D15224" t="s">
        <v>20</v>
      </c>
      <c r="E15224" t="s">
        <v>39</v>
      </c>
      <c r="F15224">
        <v>0</v>
      </c>
      <c r="G15224">
        <v>0</v>
      </c>
      <c r="H15224">
        <v>5</v>
      </c>
      <c r="I15224" s="3">
        <v>4983.05</v>
      </c>
      <c r="J15224" s="3">
        <v>2485.09</v>
      </c>
      <c r="L15224">
        <v>3520</v>
      </c>
      <c r="M15224" t="s">
        <v>33323</v>
      </c>
      <c r="N15224" t="s">
        <v>30</v>
      </c>
      <c r="O15224" t="s">
        <v>31</v>
      </c>
      <c r="P15224" t="str">
        <f>"15204"</f>
        <v>15204</v>
      </c>
    </row>
    <row r="15225" spans="1:16" x14ac:dyDescent="0.25">
      <c r="A15225" t="str">
        <f>"1200071M00088    00"</f>
        <v>1200071M00088    00</v>
      </c>
      <c r="B15225" t="s">
        <v>33410</v>
      </c>
      <c r="C15225" t="s">
        <v>33411</v>
      </c>
      <c r="D15225" t="s">
        <v>20</v>
      </c>
      <c r="E15225" t="s">
        <v>39</v>
      </c>
      <c r="F15225">
        <v>0</v>
      </c>
      <c r="G15225">
        <v>0</v>
      </c>
      <c r="H15225">
        <v>16</v>
      </c>
      <c r="I15225" s="3">
        <v>12732.72</v>
      </c>
      <c r="J15225" s="3">
        <v>10081.75</v>
      </c>
      <c r="P15225" t="str">
        <f>""</f>
        <v/>
      </c>
    </row>
    <row r="15226" spans="1:16" x14ac:dyDescent="0.25">
      <c r="A15226" t="str">
        <f>"1200071M00089    00"</f>
        <v>1200071M00089    00</v>
      </c>
      <c r="B15226" t="s">
        <v>33412</v>
      </c>
      <c r="C15226" t="s">
        <v>33413</v>
      </c>
      <c r="D15226" t="s">
        <v>20</v>
      </c>
      <c r="E15226" t="s">
        <v>39</v>
      </c>
      <c r="F15226">
        <v>0</v>
      </c>
      <c r="G15226">
        <v>0</v>
      </c>
      <c r="H15226">
        <v>6</v>
      </c>
      <c r="I15226" s="3">
        <v>4754.53</v>
      </c>
      <c r="J15226" s="3">
        <v>861.11</v>
      </c>
      <c r="L15226">
        <v>3239</v>
      </c>
      <c r="M15226" t="s">
        <v>33414</v>
      </c>
      <c r="N15226" t="s">
        <v>30</v>
      </c>
      <c r="O15226" t="s">
        <v>31</v>
      </c>
      <c r="P15226" t="str">
        <f>"15212"</f>
        <v>15212</v>
      </c>
    </row>
    <row r="15227" spans="1:16" x14ac:dyDescent="0.25">
      <c r="A15227" t="str">
        <f>"1200071M00144    00"</f>
        <v>1200071M00144    00</v>
      </c>
      <c r="B15227" t="s">
        <v>33415</v>
      </c>
      <c r="C15227" t="s">
        <v>33362</v>
      </c>
      <c r="D15227" t="s">
        <v>20</v>
      </c>
      <c r="E15227" t="s">
        <v>39</v>
      </c>
      <c r="F15227">
        <v>0</v>
      </c>
      <c r="G15227">
        <v>0</v>
      </c>
      <c r="H15227">
        <v>19</v>
      </c>
      <c r="I15227" s="3">
        <v>5223.04</v>
      </c>
      <c r="J15227" s="3">
        <v>5662.94</v>
      </c>
      <c r="L15227">
        <v>1427</v>
      </c>
      <c r="M15227" t="s">
        <v>33363</v>
      </c>
      <c r="N15227" t="s">
        <v>30</v>
      </c>
      <c r="O15227" t="s">
        <v>31</v>
      </c>
      <c r="P15227" t="str">
        <f>"15204"</f>
        <v>15204</v>
      </c>
    </row>
    <row r="15228" spans="1:16" x14ac:dyDescent="0.25">
      <c r="A15228" t="str">
        <f>"1200071R00008    00"</f>
        <v>1200071R00008    00</v>
      </c>
      <c r="B15228" t="s">
        <v>33416</v>
      </c>
      <c r="C15228" t="s">
        <v>33417</v>
      </c>
      <c r="D15228" t="s">
        <v>20</v>
      </c>
      <c r="E15228" t="s">
        <v>39</v>
      </c>
      <c r="F15228">
        <v>0</v>
      </c>
      <c r="G15228">
        <v>0</v>
      </c>
      <c r="H15228">
        <v>2</v>
      </c>
      <c r="I15228" s="3">
        <v>898.29</v>
      </c>
      <c r="J15228" s="3">
        <v>0</v>
      </c>
      <c r="L15228">
        <v>3438</v>
      </c>
      <c r="M15228" t="s">
        <v>33418</v>
      </c>
      <c r="N15228" t="s">
        <v>30</v>
      </c>
      <c r="O15228" t="s">
        <v>31</v>
      </c>
      <c r="P15228" t="str">
        <f>"15204"</f>
        <v>15204</v>
      </c>
    </row>
    <row r="15229" spans="1:16" x14ac:dyDescent="0.25">
      <c r="A15229" t="str">
        <f>"1200071R00050    00"</f>
        <v>1200071R00050    00</v>
      </c>
      <c r="B15229" t="s">
        <v>33419</v>
      </c>
      <c r="C15229" t="s">
        <v>33420</v>
      </c>
      <c r="D15229" t="s">
        <v>20</v>
      </c>
      <c r="E15229" t="s">
        <v>39</v>
      </c>
      <c r="F15229">
        <v>0</v>
      </c>
      <c r="G15229">
        <v>0</v>
      </c>
      <c r="H15229">
        <v>2</v>
      </c>
      <c r="I15229" s="3">
        <v>4665.9399999999996</v>
      </c>
      <c r="J15229" s="3">
        <v>0</v>
      </c>
      <c r="L15229">
        <v>3406</v>
      </c>
      <c r="M15229" t="s">
        <v>1394</v>
      </c>
      <c r="N15229" t="s">
        <v>30</v>
      </c>
      <c r="O15229" t="s">
        <v>31</v>
      </c>
      <c r="P15229" t="str">
        <f>"15204"</f>
        <v>15204</v>
      </c>
    </row>
    <row r="15230" spans="1:16" x14ac:dyDescent="0.25">
      <c r="A15230" t="str">
        <f>"1200071R00222    00"</f>
        <v>1200071R00222    00</v>
      </c>
      <c r="B15230" t="s">
        <v>33416</v>
      </c>
      <c r="C15230" t="s">
        <v>33382</v>
      </c>
      <c r="D15230" t="s">
        <v>20</v>
      </c>
      <c r="E15230" t="s">
        <v>39</v>
      </c>
      <c r="F15230">
        <v>0</v>
      </c>
      <c r="G15230">
        <v>0</v>
      </c>
      <c r="H15230">
        <v>2</v>
      </c>
      <c r="I15230" s="3">
        <v>167.22</v>
      </c>
      <c r="J15230" s="3">
        <v>0</v>
      </c>
      <c r="L15230">
        <v>3438</v>
      </c>
      <c r="M15230" t="s">
        <v>33418</v>
      </c>
      <c r="N15230" t="s">
        <v>30</v>
      </c>
      <c r="O15230" t="s">
        <v>31</v>
      </c>
      <c r="P15230" t="str">
        <f>"15204"</f>
        <v>15204</v>
      </c>
    </row>
    <row r="15231" spans="1:16" x14ac:dyDescent="0.25">
      <c r="A15231" t="str">
        <f>"1200071S00032    00"</f>
        <v>1200071S00032    00</v>
      </c>
      <c r="B15231" t="s">
        <v>33421</v>
      </c>
      <c r="C15231" t="s">
        <v>33422</v>
      </c>
      <c r="D15231" t="s">
        <v>20</v>
      </c>
      <c r="E15231" t="s">
        <v>39</v>
      </c>
      <c r="F15231">
        <v>0</v>
      </c>
      <c r="G15231">
        <v>0</v>
      </c>
      <c r="H15231">
        <v>2</v>
      </c>
      <c r="I15231" s="3">
        <v>1623.96</v>
      </c>
      <c r="J15231" s="3">
        <v>0</v>
      </c>
      <c r="K15231" t="s">
        <v>33423</v>
      </c>
      <c r="L15231">
        <v>1735</v>
      </c>
      <c r="M15231" t="s">
        <v>1484</v>
      </c>
      <c r="N15231" t="s">
        <v>30</v>
      </c>
      <c r="O15231" t="s">
        <v>31</v>
      </c>
      <c r="P15231" t="str">
        <f>"15203"</f>
        <v>15203</v>
      </c>
    </row>
    <row r="15232" spans="1:16" x14ac:dyDescent="0.25">
      <c r="A15232" t="str">
        <f>"1200071S00035    00"</f>
        <v>1200071S00035    00</v>
      </c>
      <c r="B15232" t="s">
        <v>33424</v>
      </c>
      <c r="C15232" t="s">
        <v>33425</v>
      </c>
      <c r="D15232" t="s">
        <v>20</v>
      </c>
      <c r="E15232" t="s">
        <v>39</v>
      </c>
      <c r="F15232">
        <v>0</v>
      </c>
      <c r="G15232">
        <v>0</v>
      </c>
      <c r="H15232">
        <v>2</v>
      </c>
      <c r="I15232" s="3">
        <v>104.5</v>
      </c>
      <c r="J15232" s="3">
        <v>11.51</v>
      </c>
      <c r="K15232" t="s">
        <v>33426</v>
      </c>
      <c r="L15232">
        <v>236</v>
      </c>
      <c r="M15232" t="s">
        <v>16891</v>
      </c>
      <c r="N15232" t="s">
        <v>30</v>
      </c>
      <c r="O15232" t="s">
        <v>31</v>
      </c>
      <c r="P15232" t="str">
        <f>"15205"</f>
        <v>15205</v>
      </c>
    </row>
    <row r="15233" spans="1:16" x14ac:dyDescent="0.25">
      <c r="A15233" t="str">
        <f>"1200071S00045    00"</f>
        <v>1200071S00045    00</v>
      </c>
      <c r="B15233" t="s">
        <v>33427</v>
      </c>
      <c r="C15233" t="s">
        <v>33425</v>
      </c>
      <c r="D15233" t="s">
        <v>20</v>
      </c>
      <c r="E15233" t="s">
        <v>39</v>
      </c>
      <c r="F15233">
        <v>0</v>
      </c>
      <c r="G15233">
        <v>0</v>
      </c>
      <c r="H15233">
        <v>3</v>
      </c>
      <c r="I15233" s="3">
        <v>109.34</v>
      </c>
      <c r="J15233" s="3">
        <v>4.2</v>
      </c>
      <c r="L15233">
        <v>3331</v>
      </c>
      <c r="M15233" t="s">
        <v>33428</v>
      </c>
      <c r="N15233" t="s">
        <v>30</v>
      </c>
      <c r="O15233" t="s">
        <v>31</v>
      </c>
      <c r="P15233" t="str">
        <f>"15204"</f>
        <v>15204</v>
      </c>
    </row>
    <row r="15234" spans="1:16" x14ac:dyDescent="0.25">
      <c r="A15234" t="str">
        <f>"1200071S00060    00"</f>
        <v>1200071S00060    00</v>
      </c>
      <c r="B15234" t="s">
        <v>33429</v>
      </c>
      <c r="C15234" t="s">
        <v>33430</v>
      </c>
      <c r="D15234" t="s">
        <v>20</v>
      </c>
      <c r="E15234" t="s">
        <v>39</v>
      </c>
      <c r="F15234">
        <v>0</v>
      </c>
      <c r="G15234">
        <v>0</v>
      </c>
      <c r="H15234">
        <v>1</v>
      </c>
      <c r="I15234" s="3">
        <v>138.36000000000001</v>
      </c>
      <c r="J15234" s="3">
        <v>0</v>
      </c>
      <c r="L15234">
        <v>1316</v>
      </c>
      <c r="M15234" t="s">
        <v>33431</v>
      </c>
      <c r="N15234" t="s">
        <v>30</v>
      </c>
      <c r="O15234" t="s">
        <v>31</v>
      </c>
      <c r="P15234" t="str">
        <f>"15204"</f>
        <v>15204</v>
      </c>
    </row>
    <row r="15235" spans="1:16" x14ac:dyDescent="0.25">
      <c r="A15235" t="str">
        <f>"1200071S00115    00"</f>
        <v>1200071S00115    00</v>
      </c>
      <c r="B15235" t="s">
        <v>33432</v>
      </c>
      <c r="C15235" t="s">
        <v>33433</v>
      </c>
      <c r="D15235" t="s">
        <v>20</v>
      </c>
      <c r="E15235" t="s">
        <v>39</v>
      </c>
      <c r="F15235">
        <v>0</v>
      </c>
      <c r="G15235">
        <v>0</v>
      </c>
      <c r="H15235">
        <v>2</v>
      </c>
      <c r="I15235" s="3">
        <v>484.14</v>
      </c>
      <c r="J15235" s="3">
        <v>0</v>
      </c>
      <c r="K15235" t="s">
        <v>6184</v>
      </c>
      <c r="L15235">
        <v>901</v>
      </c>
      <c r="M15235" t="s">
        <v>1503</v>
      </c>
      <c r="N15235" t="s">
        <v>494</v>
      </c>
      <c r="O15235" t="s">
        <v>495</v>
      </c>
      <c r="P15235" t="str">
        <f>"91768"</f>
        <v>91768</v>
      </c>
    </row>
    <row r="15236" spans="1:16" x14ac:dyDescent="0.25">
      <c r="A15236" t="str">
        <f>"1200071S00131    00"</f>
        <v>1200071S00131    00</v>
      </c>
      <c r="B15236" t="s">
        <v>33434</v>
      </c>
      <c r="C15236" t="s">
        <v>33435</v>
      </c>
      <c r="D15236" t="s">
        <v>20</v>
      </c>
      <c r="E15236" t="s">
        <v>39</v>
      </c>
      <c r="F15236">
        <v>0</v>
      </c>
      <c r="G15236">
        <v>0</v>
      </c>
      <c r="H15236">
        <v>12</v>
      </c>
      <c r="I15236" s="3">
        <v>7742.82</v>
      </c>
      <c r="J15236" s="3">
        <v>5488.21</v>
      </c>
      <c r="L15236">
        <v>1422</v>
      </c>
      <c r="M15236" t="s">
        <v>33241</v>
      </c>
      <c r="N15236" t="s">
        <v>30</v>
      </c>
      <c r="O15236" t="s">
        <v>31</v>
      </c>
      <c r="P15236" t="str">
        <f t="shared" ref="P15236:P15241" si="196">"15204"</f>
        <v>15204</v>
      </c>
    </row>
    <row r="15237" spans="1:16" x14ac:dyDescent="0.25">
      <c r="A15237" t="str">
        <f>"1200071S00137    00"</f>
        <v>1200071S00137    00</v>
      </c>
      <c r="B15237" t="s">
        <v>33436</v>
      </c>
      <c r="C15237" t="s">
        <v>33437</v>
      </c>
      <c r="D15237" t="s">
        <v>20</v>
      </c>
      <c r="E15237" t="s">
        <v>39</v>
      </c>
      <c r="F15237">
        <v>0</v>
      </c>
      <c r="G15237">
        <v>0</v>
      </c>
      <c r="H15237">
        <v>2</v>
      </c>
      <c r="I15237" s="3">
        <v>574.14</v>
      </c>
      <c r="J15237" s="3">
        <v>0</v>
      </c>
      <c r="K15237" t="s">
        <v>33438</v>
      </c>
      <c r="L15237">
        <v>1408</v>
      </c>
      <c r="M15237" t="s">
        <v>33241</v>
      </c>
      <c r="N15237" t="s">
        <v>30</v>
      </c>
      <c r="O15237" t="s">
        <v>31</v>
      </c>
      <c r="P15237" t="str">
        <f t="shared" si="196"/>
        <v>15204</v>
      </c>
    </row>
    <row r="15238" spans="1:16" x14ac:dyDescent="0.25">
      <c r="A15238" t="str">
        <f>"1200071S00142    00"</f>
        <v>1200071S00142    00</v>
      </c>
      <c r="B15238" t="s">
        <v>33439</v>
      </c>
      <c r="C15238" t="s">
        <v>33440</v>
      </c>
      <c r="E15238" t="s">
        <v>39</v>
      </c>
      <c r="F15238">
        <v>0</v>
      </c>
      <c r="G15238">
        <v>0</v>
      </c>
      <c r="H15238">
        <v>3</v>
      </c>
      <c r="I15238" s="3">
        <v>2789.97</v>
      </c>
      <c r="J15238" s="3">
        <v>591.69000000000005</v>
      </c>
      <c r="L15238">
        <v>1404</v>
      </c>
      <c r="M15238" t="s">
        <v>33241</v>
      </c>
      <c r="N15238" t="s">
        <v>30</v>
      </c>
      <c r="O15238" t="s">
        <v>31</v>
      </c>
      <c r="P15238" t="str">
        <f t="shared" si="196"/>
        <v>15204</v>
      </c>
    </row>
    <row r="15239" spans="1:16" x14ac:dyDescent="0.25">
      <c r="A15239" t="str">
        <f>"1200071S00163    00"</f>
        <v>1200071S00163    00</v>
      </c>
      <c r="B15239" t="s">
        <v>33441</v>
      </c>
      <c r="C15239" t="s">
        <v>33442</v>
      </c>
      <c r="E15239" t="s">
        <v>39</v>
      </c>
      <c r="F15239">
        <v>0</v>
      </c>
      <c r="G15239">
        <v>0</v>
      </c>
      <c r="H15239">
        <v>2</v>
      </c>
      <c r="I15239" s="3">
        <v>534.14</v>
      </c>
      <c r="J15239" s="3">
        <v>358.84</v>
      </c>
      <c r="L15239">
        <v>3302</v>
      </c>
      <c r="M15239" t="s">
        <v>33443</v>
      </c>
      <c r="N15239" t="s">
        <v>30</v>
      </c>
      <c r="O15239" t="s">
        <v>31</v>
      </c>
      <c r="P15239" t="str">
        <f t="shared" si="196"/>
        <v>15204</v>
      </c>
    </row>
    <row r="15240" spans="1:16" x14ac:dyDescent="0.25">
      <c r="A15240" t="str">
        <f>"1200071S00190    00"</f>
        <v>1200071S00190    00</v>
      </c>
      <c r="B15240" t="s">
        <v>33444</v>
      </c>
      <c r="C15240" t="s">
        <v>33445</v>
      </c>
      <c r="D15240" t="s">
        <v>20</v>
      </c>
      <c r="E15240" t="s">
        <v>39</v>
      </c>
      <c r="F15240">
        <v>0</v>
      </c>
      <c r="G15240">
        <v>0</v>
      </c>
      <c r="H15240">
        <v>12</v>
      </c>
      <c r="I15240" s="3">
        <v>11140.48</v>
      </c>
      <c r="J15240" s="3">
        <v>5688.83</v>
      </c>
      <c r="L15240">
        <v>1427</v>
      </c>
      <c r="M15240" t="s">
        <v>33241</v>
      </c>
      <c r="N15240" t="s">
        <v>30</v>
      </c>
      <c r="O15240" t="s">
        <v>31</v>
      </c>
      <c r="P15240" t="str">
        <f t="shared" si="196"/>
        <v>15204</v>
      </c>
    </row>
    <row r="15241" spans="1:16" x14ac:dyDescent="0.25">
      <c r="A15241" t="str">
        <f>"1200071S00215    00"</f>
        <v>1200071S00215    00</v>
      </c>
      <c r="B15241" t="s">
        <v>33446</v>
      </c>
      <c r="C15241" t="s">
        <v>33447</v>
      </c>
      <c r="D15241" t="s">
        <v>20</v>
      </c>
      <c r="E15241" t="s">
        <v>39</v>
      </c>
      <c r="F15241">
        <v>0</v>
      </c>
      <c r="G15241">
        <v>0</v>
      </c>
      <c r="H15241">
        <v>2</v>
      </c>
      <c r="I15241" s="3">
        <v>3091.56</v>
      </c>
      <c r="J15241" s="3">
        <v>0</v>
      </c>
      <c r="K15241" t="s">
        <v>33448</v>
      </c>
      <c r="L15241">
        <v>1390</v>
      </c>
      <c r="M15241" t="s">
        <v>4327</v>
      </c>
      <c r="N15241" t="s">
        <v>30</v>
      </c>
      <c r="O15241" t="s">
        <v>31</v>
      </c>
      <c r="P15241" t="str">
        <f t="shared" si="196"/>
        <v>15204</v>
      </c>
    </row>
    <row r="15242" spans="1:16" x14ac:dyDescent="0.25">
      <c r="A15242" t="str">
        <f>"1200071S00223    00"</f>
        <v>1200071S00223    00</v>
      </c>
      <c r="B15242" t="s">
        <v>33449</v>
      </c>
      <c r="C15242" t="s">
        <v>33450</v>
      </c>
      <c r="E15242" t="s">
        <v>39</v>
      </c>
      <c r="F15242">
        <v>0</v>
      </c>
      <c r="G15242">
        <v>0</v>
      </c>
      <c r="H15242">
        <v>5</v>
      </c>
      <c r="I15242" s="3">
        <v>5807.32</v>
      </c>
      <c r="J15242" s="3">
        <v>6316.77</v>
      </c>
      <c r="K15242" t="s">
        <v>29349</v>
      </c>
      <c r="L15242">
        <v>4101</v>
      </c>
      <c r="M15242" t="s">
        <v>339</v>
      </c>
      <c r="N15242" t="s">
        <v>30</v>
      </c>
      <c r="O15242" t="s">
        <v>31</v>
      </c>
      <c r="P15242" t="str">
        <f>"15227"</f>
        <v>15227</v>
      </c>
    </row>
    <row r="15243" spans="1:16" x14ac:dyDescent="0.25">
      <c r="A15243" t="str">
        <f>"1200071S00237    00"</f>
        <v>1200071S00237    00</v>
      </c>
      <c r="B15243" t="s">
        <v>5095</v>
      </c>
      <c r="C15243" t="s">
        <v>33451</v>
      </c>
      <c r="D15243" t="s">
        <v>20</v>
      </c>
      <c r="E15243" t="s">
        <v>39</v>
      </c>
      <c r="F15243">
        <v>0</v>
      </c>
      <c r="G15243">
        <v>0</v>
      </c>
      <c r="H15243">
        <v>15</v>
      </c>
      <c r="I15243" s="3">
        <v>12320.24</v>
      </c>
      <c r="J15243" s="3">
        <v>9399.76</v>
      </c>
      <c r="L15243">
        <v>3771</v>
      </c>
      <c r="M15243" t="s">
        <v>5097</v>
      </c>
      <c r="N15243" t="s">
        <v>30</v>
      </c>
      <c r="O15243" t="s">
        <v>31</v>
      </c>
      <c r="P15243" t="str">
        <f>"15204"</f>
        <v>15204</v>
      </c>
    </row>
    <row r="15244" spans="1:16" x14ac:dyDescent="0.25">
      <c r="A15244" t="str">
        <f>"1200071S00239    00"</f>
        <v>1200071S00239    00</v>
      </c>
      <c r="B15244" t="s">
        <v>33452</v>
      </c>
      <c r="C15244" t="s">
        <v>33453</v>
      </c>
      <c r="E15244" t="s">
        <v>39</v>
      </c>
      <c r="F15244">
        <v>0</v>
      </c>
      <c r="G15244">
        <v>0</v>
      </c>
      <c r="H15244">
        <v>1</v>
      </c>
      <c r="I15244" s="3">
        <v>208.3</v>
      </c>
      <c r="J15244" s="3">
        <v>1.74</v>
      </c>
      <c r="L15244">
        <v>3266</v>
      </c>
      <c r="M15244" t="s">
        <v>33454</v>
      </c>
      <c r="N15244" t="s">
        <v>30</v>
      </c>
      <c r="O15244" t="s">
        <v>31</v>
      </c>
      <c r="P15244" t="str">
        <f>"15204"</f>
        <v>15204</v>
      </c>
    </row>
    <row r="15245" spans="1:16" x14ac:dyDescent="0.25">
      <c r="A15245" t="str">
        <f>"1200071S00244    00"</f>
        <v>1200071S00244    00</v>
      </c>
      <c r="B15245" t="s">
        <v>33455</v>
      </c>
      <c r="C15245" t="s">
        <v>33456</v>
      </c>
      <c r="D15245" t="s">
        <v>20</v>
      </c>
      <c r="E15245" t="s">
        <v>39</v>
      </c>
      <c r="F15245">
        <v>0</v>
      </c>
      <c r="G15245">
        <v>0</v>
      </c>
      <c r="H15245">
        <v>8</v>
      </c>
      <c r="I15245" s="3">
        <v>666.74</v>
      </c>
      <c r="J15245" s="3">
        <v>220.35</v>
      </c>
      <c r="L15245">
        <v>3331</v>
      </c>
      <c r="M15245" t="s">
        <v>33428</v>
      </c>
      <c r="N15245" t="s">
        <v>30</v>
      </c>
      <c r="O15245" t="s">
        <v>31</v>
      </c>
      <c r="P15245" t="str">
        <f>"15204"</f>
        <v>15204</v>
      </c>
    </row>
    <row r="15246" spans="1:16" x14ac:dyDescent="0.25">
      <c r="A15246" t="str">
        <f>"1200072P00152    00"</f>
        <v>1200072P00152    00</v>
      </c>
      <c r="B15246" t="s">
        <v>33457</v>
      </c>
      <c r="C15246" t="s">
        <v>33458</v>
      </c>
      <c r="D15246" t="s">
        <v>20</v>
      </c>
      <c r="E15246" t="s">
        <v>39</v>
      </c>
      <c r="F15246">
        <v>0</v>
      </c>
      <c r="G15246">
        <v>0</v>
      </c>
      <c r="H15246">
        <v>5</v>
      </c>
      <c r="I15246" s="3">
        <v>1535.52</v>
      </c>
      <c r="J15246" s="3">
        <v>265.27</v>
      </c>
      <c r="K15246" t="s">
        <v>33459</v>
      </c>
      <c r="M15246" t="s">
        <v>33460</v>
      </c>
      <c r="N15246" t="s">
        <v>30</v>
      </c>
      <c r="O15246" t="s">
        <v>31</v>
      </c>
      <c r="P15246" t="str">
        <f>"15222"</f>
        <v>15222</v>
      </c>
    </row>
    <row r="15247" spans="1:16" x14ac:dyDescent="0.25">
      <c r="A15247" t="str">
        <f>"1200072P00154    00"</f>
        <v>1200072P00154    00</v>
      </c>
      <c r="B15247" t="s">
        <v>33457</v>
      </c>
      <c r="C15247" t="s">
        <v>33458</v>
      </c>
      <c r="D15247" t="s">
        <v>20</v>
      </c>
      <c r="E15247" t="s">
        <v>39</v>
      </c>
      <c r="F15247">
        <v>0</v>
      </c>
      <c r="G15247">
        <v>0</v>
      </c>
      <c r="H15247">
        <v>5</v>
      </c>
      <c r="I15247" s="3">
        <v>518.15</v>
      </c>
      <c r="J15247" s="3">
        <v>89.53</v>
      </c>
      <c r="K15247" t="s">
        <v>33459</v>
      </c>
      <c r="M15247" t="s">
        <v>33460</v>
      </c>
      <c r="N15247" t="s">
        <v>30</v>
      </c>
      <c r="O15247" t="s">
        <v>31</v>
      </c>
      <c r="P15247" t="str">
        <f>"15222"</f>
        <v>15222</v>
      </c>
    </row>
    <row r="15248" spans="1:16" x14ac:dyDescent="0.25">
      <c r="A15248" t="str">
        <f>"1200072R00003    00"</f>
        <v>1200072R00003    00</v>
      </c>
      <c r="B15248" t="s">
        <v>33461</v>
      </c>
      <c r="C15248" t="s">
        <v>33458</v>
      </c>
      <c r="D15248" t="s">
        <v>20</v>
      </c>
      <c r="E15248" t="s">
        <v>39</v>
      </c>
      <c r="F15248">
        <v>0</v>
      </c>
      <c r="G15248">
        <v>0</v>
      </c>
      <c r="H15248">
        <v>19</v>
      </c>
      <c r="I15248" s="3">
        <v>5202.53</v>
      </c>
      <c r="J15248" s="3">
        <v>3432.81</v>
      </c>
      <c r="K15248" t="s">
        <v>1008</v>
      </c>
      <c r="P15248" t="str">
        <f>""</f>
        <v/>
      </c>
    </row>
    <row r="15249" spans="1:16" x14ac:dyDescent="0.25">
      <c r="A15249" t="str">
        <f>"1200072R00004    00"</f>
        <v>1200072R00004    00</v>
      </c>
      <c r="B15249" t="s">
        <v>33457</v>
      </c>
      <c r="C15249" t="s">
        <v>33462</v>
      </c>
      <c r="D15249" t="s">
        <v>20</v>
      </c>
      <c r="E15249" t="s">
        <v>39</v>
      </c>
      <c r="F15249">
        <v>0</v>
      </c>
      <c r="G15249">
        <v>0</v>
      </c>
      <c r="H15249">
        <v>2</v>
      </c>
      <c r="I15249" s="3">
        <v>5660.84</v>
      </c>
      <c r="J15249" s="3">
        <v>0</v>
      </c>
      <c r="K15249" t="s">
        <v>33459</v>
      </c>
      <c r="M15249" t="s">
        <v>33460</v>
      </c>
      <c r="N15249" t="s">
        <v>30</v>
      </c>
      <c r="O15249" t="s">
        <v>31</v>
      </c>
      <c r="P15249" t="str">
        <f>"15222"</f>
        <v>15222</v>
      </c>
    </row>
    <row r="15250" spans="1:16" x14ac:dyDescent="0.25">
      <c r="A15250" t="str">
        <f>"1208000T00002    00"</f>
        <v>1208000T00002    00</v>
      </c>
      <c r="B15250" t="s">
        <v>33463</v>
      </c>
      <c r="C15250" t="s">
        <v>33464</v>
      </c>
      <c r="E15250" t="s">
        <v>39</v>
      </c>
      <c r="F15250">
        <v>0</v>
      </c>
      <c r="G15250">
        <v>0</v>
      </c>
      <c r="H15250">
        <v>3</v>
      </c>
      <c r="I15250" s="3">
        <v>326.31</v>
      </c>
      <c r="J15250" s="3">
        <v>505.75</v>
      </c>
      <c r="K15250" t="s">
        <v>33465</v>
      </c>
      <c r="L15250">
        <v>1227</v>
      </c>
      <c r="M15250" t="s">
        <v>33466</v>
      </c>
      <c r="N15250" t="s">
        <v>30</v>
      </c>
      <c r="O15250" t="s">
        <v>31</v>
      </c>
      <c r="P15250" t="str">
        <f>"15212"</f>
        <v>15212</v>
      </c>
    </row>
    <row r="15251" spans="1:16" x14ac:dyDescent="0.25">
      <c r="A15251" t="str">
        <f>"1208000T00004    00"</f>
        <v>1208000T00004    00</v>
      </c>
      <c r="B15251" t="s">
        <v>33467</v>
      </c>
      <c r="C15251" t="s">
        <v>33468</v>
      </c>
      <c r="E15251" t="s">
        <v>39</v>
      </c>
      <c r="F15251">
        <v>0</v>
      </c>
      <c r="G15251">
        <v>0</v>
      </c>
      <c r="H15251">
        <v>1</v>
      </c>
      <c r="I15251" s="3">
        <v>219.74</v>
      </c>
      <c r="J15251" s="3">
        <v>395.36</v>
      </c>
      <c r="L15251">
        <v>48</v>
      </c>
      <c r="M15251" t="s">
        <v>33469</v>
      </c>
      <c r="N15251" t="s">
        <v>30</v>
      </c>
      <c r="O15251" t="s">
        <v>31</v>
      </c>
      <c r="P15251" t="str">
        <f>"15216"</f>
        <v>15216</v>
      </c>
    </row>
    <row r="15252" spans="1:16" x14ac:dyDescent="0.25">
      <c r="A15252" t="str">
        <f>"1208000T00008    00"</f>
        <v>1208000T00008    00</v>
      </c>
      <c r="B15252" t="s">
        <v>33470</v>
      </c>
      <c r="C15252" t="s">
        <v>33471</v>
      </c>
      <c r="E15252" t="s">
        <v>39</v>
      </c>
      <c r="F15252">
        <v>0</v>
      </c>
      <c r="G15252">
        <v>0</v>
      </c>
      <c r="H15252">
        <v>1</v>
      </c>
      <c r="I15252" s="3">
        <v>148.32</v>
      </c>
      <c r="J15252" s="3">
        <v>274.39</v>
      </c>
      <c r="L15252">
        <v>26</v>
      </c>
      <c r="M15252" t="s">
        <v>33469</v>
      </c>
      <c r="N15252" t="s">
        <v>30</v>
      </c>
      <c r="O15252" t="s">
        <v>31</v>
      </c>
      <c r="P15252" t="str">
        <f>"15216"</f>
        <v>15216</v>
      </c>
    </row>
    <row r="15253" spans="1:16" x14ac:dyDescent="0.25">
      <c r="A15253" t="str">
        <f>"1208000T00009    00"</f>
        <v>1208000T00009    00</v>
      </c>
      <c r="B15253" t="s">
        <v>33472</v>
      </c>
      <c r="C15253" t="s">
        <v>33473</v>
      </c>
      <c r="E15253" t="s">
        <v>39</v>
      </c>
      <c r="F15253">
        <v>0</v>
      </c>
      <c r="G15253">
        <v>0</v>
      </c>
      <c r="H15253">
        <v>1</v>
      </c>
      <c r="I15253" s="3">
        <v>30.22</v>
      </c>
      <c r="J15253" s="3">
        <v>44.32</v>
      </c>
      <c r="L15253">
        <v>150</v>
      </c>
      <c r="M15253" t="s">
        <v>33474</v>
      </c>
      <c r="N15253" t="s">
        <v>30</v>
      </c>
      <c r="O15253" t="s">
        <v>31</v>
      </c>
      <c r="P15253" t="str">
        <f>"15216"</f>
        <v>15216</v>
      </c>
    </row>
    <row r="15254" spans="1:16" x14ac:dyDescent="0.25">
      <c r="A15254" t="str">
        <f>"1208000T00011    00"</f>
        <v>1208000T00011    00</v>
      </c>
      <c r="B15254" t="s">
        <v>33475</v>
      </c>
      <c r="C15254" t="s">
        <v>33476</v>
      </c>
      <c r="E15254" t="s">
        <v>39</v>
      </c>
      <c r="F15254">
        <v>0</v>
      </c>
      <c r="G15254">
        <v>0</v>
      </c>
      <c r="H15254">
        <v>1</v>
      </c>
      <c r="I15254" s="3">
        <v>115.23</v>
      </c>
      <c r="J15254" s="3">
        <v>204.43</v>
      </c>
      <c r="L15254">
        <v>700</v>
      </c>
      <c r="M15254" t="s">
        <v>30925</v>
      </c>
      <c r="N15254" t="s">
        <v>30</v>
      </c>
      <c r="O15254" t="s">
        <v>31</v>
      </c>
      <c r="P15254" t="str">
        <f>"15220"</f>
        <v>15220</v>
      </c>
    </row>
    <row r="15255" spans="1:16" x14ac:dyDescent="0.25">
      <c r="A15255" t="str">
        <f>"1208000T00014    00"</f>
        <v>1208000T00014    00</v>
      </c>
      <c r="B15255" t="s">
        <v>33477</v>
      </c>
      <c r="C15255" t="s">
        <v>33478</v>
      </c>
      <c r="D15255" t="s">
        <v>20</v>
      </c>
      <c r="E15255" t="s">
        <v>39</v>
      </c>
      <c r="F15255">
        <v>0</v>
      </c>
      <c r="G15255">
        <v>0</v>
      </c>
      <c r="H15255">
        <v>1</v>
      </c>
      <c r="I15255" s="3">
        <v>81.97</v>
      </c>
      <c r="J15255" s="3">
        <v>0</v>
      </c>
      <c r="L15255">
        <v>1530</v>
      </c>
      <c r="M15255" t="s">
        <v>31720</v>
      </c>
      <c r="N15255" t="s">
        <v>30</v>
      </c>
      <c r="O15255" t="s">
        <v>31</v>
      </c>
      <c r="P15255" t="str">
        <f>"15216"</f>
        <v>15216</v>
      </c>
    </row>
    <row r="15256" spans="1:16" x14ac:dyDescent="0.25">
      <c r="A15256" t="str">
        <f>"1208000T00015    00"</f>
        <v>1208000T00015    00</v>
      </c>
      <c r="B15256" t="s">
        <v>33479</v>
      </c>
      <c r="C15256" t="s">
        <v>33480</v>
      </c>
      <c r="E15256" t="s">
        <v>39</v>
      </c>
      <c r="F15256">
        <v>0</v>
      </c>
      <c r="G15256">
        <v>0</v>
      </c>
      <c r="H15256">
        <v>2</v>
      </c>
      <c r="I15256" s="3">
        <v>138.27000000000001</v>
      </c>
      <c r="J15256" s="3">
        <v>143.88999999999999</v>
      </c>
      <c r="L15256">
        <v>140</v>
      </c>
      <c r="M15256" t="s">
        <v>33474</v>
      </c>
      <c r="N15256" t="s">
        <v>30</v>
      </c>
      <c r="O15256" t="s">
        <v>31</v>
      </c>
      <c r="P15256" t="str">
        <f>"15216"</f>
        <v>15216</v>
      </c>
    </row>
    <row r="15257" spans="1:16" x14ac:dyDescent="0.25">
      <c r="A15257" t="str">
        <f>"1208000T00017    00"</f>
        <v>1208000T00017    00</v>
      </c>
      <c r="B15257" t="s">
        <v>33481</v>
      </c>
      <c r="C15257" t="s">
        <v>33482</v>
      </c>
      <c r="E15257" t="s">
        <v>39</v>
      </c>
      <c r="F15257">
        <v>0</v>
      </c>
      <c r="G15257">
        <v>0</v>
      </c>
      <c r="H15257">
        <v>2</v>
      </c>
      <c r="I15257" s="3">
        <v>207.64</v>
      </c>
      <c r="J15257" s="3">
        <v>311.45</v>
      </c>
      <c r="L15257">
        <v>40</v>
      </c>
      <c r="M15257" t="s">
        <v>33469</v>
      </c>
      <c r="N15257" t="s">
        <v>30</v>
      </c>
      <c r="O15257" t="s">
        <v>31</v>
      </c>
      <c r="P15257" t="str">
        <f>"15216"</f>
        <v>15216</v>
      </c>
    </row>
    <row r="15258" spans="1:16" x14ac:dyDescent="0.25">
      <c r="A15258" t="str">
        <f>"1208000T00018    00"</f>
        <v>1208000T00018    00</v>
      </c>
      <c r="B15258" t="s">
        <v>33483</v>
      </c>
      <c r="C15258" t="s">
        <v>33484</v>
      </c>
      <c r="E15258" t="s">
        <v>39</v>
      </c>
      <c r="F15258">
        <v>0</v>
      </c>
      <c r="G15258">
        <v>0</v>
      </c>
      <c r="H15258">
        <v>1</v>
      </c>
      <c r="I15258" s="3">
        <v>55.68</v>
      </c>
      <c r="J15258" s="3">
        <v>103</v>
      </c>
      <c r="L15258">
        <v>14</v>
      </c>
      <c r="M15258" t="s">
        <v>33469</v>
      </c>
      <c r="N15258" t="s">
        <v>30</v>
      </c>
      <c r="O15258" t="s">
        <v>31</v>
      </c>
      <c r="P15258" t="str">
        <f>"15216"</f>
        <v>15216</v>
      </c>
    </row>
    <row r="15259" spans="1:16" x14ac:dyDescent="0.25">
      <c r="A15259" t="str">
        <f>"1208000T00019    00"</f>
        <v>1208000T00019    00</v>
      </c>
      <c r="B15259" t="s">
        <v>33485</v>
      </c>
      <c r="C15259" t="s">
        <v>33486</v>
      </c>
      <c r="E15259" t="s">
        <v>39</v>
      </c>
      <c r="F15259">
        <v>0</v>
      </c>
      <c r="G15259">
        <v>0</v>
      </c>
      <c r="H15259">
        <v>3</v>
      </c>
      <c r="I15259" s="3">
        <v>187.92</v>
      </c>
      <c r="J15259" s="3">
        <v>310.04000000000002</v>
      </c>
      <c r="L15259">
        <v>729</v>
      </c>
      <c r="M15259" t="s">
        <v>475</v>
      </c>
      <c r="N15259" t="s">
        <v>30</v>
      </c>
      <c r="O15259" t="s">
        <v>31</v>
      </c>
      <c r="P15259" t="str">
        <f>"15228"</f>
        <v>15228</v>
      </c>
    </row>
    <row r="15260" spans="1:16" x14ac:dyDescent="0.25">
      <c r="A15260" t="str">
        <f>"1208000T00020    00"</f>
        <v>1208000T00020    00</v>
      </c>
      <c r="B15260" t="s">
        <v>33487</v>
      </c>
      <c r="C15260" t="s">
        <v>33488</v>
      </c>
      <c r="E15260" t="s">
        <v>39</v>
      </c>
      <c r="F15260">
        <v>0</v>
      </c>
      <c r="G15260">
        <v>0</v>
      </c>
      <c r="H15260">
        <v>1</v>
      </c>
      <c r="I15260" s="3">
        <v>126.07</v>
      </c>
      <c r="J15260" s="3">
        <v>208.01</v>
      </c>
      <c r="L15260">
        <v>22</v>
      </c>
      <c r="M15260" t="s">
        <v>33469</v>
      </c>
      <c r="N15260" t="s">
        <v>30</v>
      </c>
      <c r="O15260" t="s">
        <v>31</v>
      </c>
      <c r="P15260" t="str">
        <f>"15216"</f>
        <v>15216</v>
      </c>
    </row>
    <row r="15261" spans="1:16" x14ac:dyDescent="0.25">
      <c r="A15261" t="str">
        <f>"1208000T00023    00"</f>
        <v>1208000T00023    00</v>
      </c>
      <c r="B15261" t="s">
        <v>33489</v>
      </c>
      <c r="C15261" t="s">
        <v>33490</v>
      </c>
      <c r="D15261" t="s">
        <v>20</v>
      </c>
      <c r="E15261" t="s">
        <v>39</v>
      </c>
      <c r="F15261">
        <v>0</v>
      </c>
      <c r="G15261">
        <v>0</v>
      </c>
      <c r="H15261">
        <v>16</v>
      </c>
      <c r="I15261" s="3">
        <v>1599.23</v>
      </c>
      <c r="J15261" s="3">
        <v>1145.18</v>
      </c>
      <c r="L15261">
        <v>270</v>
      </c>
      <c r="M15261" t="s">
        <v>31720</v>
      </c>
      <c r="N15261" t="s">
        <v>30</v>
      </c>
      <c r="O15261" t="s">
        <v>31</v>
      </c>
      <c r="P15261" t="str">
        <f>"15216"</f>
        <v>15216</v>
      </c>
    </row>
    <row r="15262" spans="1:16" x14ac:dyDescent="0.25">
      <c r="A15262" t="str">
        <f>"1208000T00025    00"</f>
        <v>1208000T00025    00</v>
      </c>
      <c r="B15262" t="s">
        <v>33491</v>
      </c>
      <c r="C15262" t="s">
        <v>33476</v>
      </c>
      <c r="E15262" t="s">
        <v>39</v>
      </c>
      <c r="F15262">
        <v>0</v>
      </c>
      <c r="G15262">
        <v>0</v>
      </c>
      <c r="H15262">
        <v>1</v>
      </c>
      <c r="I15262" s="3">
        <v>286.85000000000002</v>
      </c>
      <c r="J15262" s="3">
        <v>399.94</v>
      </c>
      <c r="L15262">
        <v>1606</v>
      </c>
      <c r="M15262" t="s">
        <v>1990</v>
      </c>
      <c r="N15262" t="s">
        <v>30</v>
      </c>
      <c r="O15262" t="s">
        <v>31</v>
      </c>
      <c r="P15262" t="str">
        <f>"15226"</f>
        <v>15226</v>
      </c>
    </row>
    <row r="15263" spans="1:16" x14ac:dyDescent="0.25">
      <c r="A15263" t="str">
        <f>"1208000T00026    00"</f>
        <v>1208000T00026    00</v>
      </c>
      <c r="B15263" t="s">
        <v>33492</v>
      </c>
      <c r="C15263" t="s">
        <v>33493</v>
      </c>
      <c r="E15263" t="s">
        <v>39</v>
      </c>
      <c r="F15263">
        <v>0</v>
      </c>
      <c r="G15263">
        <v>0</v>
      </c>
      <c r="H15263">
        <v>3</v>
      </c>
      <c r="I15263" s="3">
        <v>438.21</v>
      </c>
      <c r="J15263" s="3">
        <v>742.44</v>
      </c>
      <c r="L15263">
        <v>54</v>
      </c>
      <c r="M15263" t="s">
        <v>33469</v>
      </c>
      <c r="N15263" t="s">
        <v>30</v>
      </c>
      <c r="O15263" t="s">
        <v>31</v>
      </c>
      <c r="P15263" t="str">
        <f>"15216"</f>
        <v>15216</v>
      </c>
    </row>
    <row r="15264" spans="1:16" x14ac:dyDescent="0.25">
      <c r="A15264" t="str">
        <f>"1208000T00030    00"</f>
        <v>1208000T00030    00</v>
      </c>
      <c r="B15264" t="s">
        <v>33494</v>
      </c>
      <c r="C15264" t="s">
        <v>33495</v>
      </c>
      <c r="E15264" t="s">
        <v>39</v>
      </c>
      <c r="F15264">
        <v>0</v>
      </c>
      <c r="G15264">
        <v>0</v>
      </c>
      <c r="H15264">
        <v>1</v>
      </c>
      <c r="I15264" s="3">
        <v>47.8</v>
      </c>
      <c r="J15264" s="3">
        <v>67.88</v>
      </c>
      <c r="L15264">
        <v>17</v>
      </c>
      <c r="M15264" t="s">
        <v>33469</v>
      </c>
      <c r="N15264" t="s">
        <v>30</v>
      </c>
      <c r="O15264" t="s">
        <v>31</v>
      </c>
      <c r="P15264" t="str">
        <f>"15216"</f>
        <v>15216</v>
      </c>
    </row>
    <row r="15265" spans="1:16" x14ac:dyDescent="0.25">
      <c r="A15265" t="str">
        <f>"1208000T00031    00"</f>
        <v>1208000T00031    00</v>
      </c>
      <c r="B15265" t="s">
        <v>33496</v>
      </c>
      <c r="C15265" t="s">
        <v>33497</v>
      </c>
      <c r="E15265" t="s">
        <v>39</v>
      </c>
      <c r="F15265">
        <v>0</v>
      </c>
      <c r="G15265">
        <v>0</v>
      </c>
      <c r="H15265">
        <v>5</v>
      </c>
      <c r="I15265" s="3">
        <v>729.25</v>
      </c>
      <c r="J15265" s="3">
        <v>995.38</v>
      </c>
      <c r="L15265">
        <v>1143</v>
      </c>
      <c r="M15265" t="s">
        <v>33498</v>
      </c>
      <c r="N15265" t="s">
        <v>30</v>
      </c>
      <c r="O15265" t="s">
        <v>31</v>
      </c>
      <c r="P15265" t="str">
        <f>"15212"</f>
        <v>15212</v>
      </c>
    </row>
    <row r="15266" spans="1:16" x14ac:dyDescent="0.25">
      <c r="A15266" t="str">
        <f>"1208000T00042    00"</f>
        <v>1208000T00042    00</v>
      </c>
      <c r="B15266" t="s">
        <v>33499</v>
      </c>
      <c r="C15266" t="s">
        <v>33500</v>
      </c>
      <c r="E15266" t="s">
        <v>39</v>
      </c>
      <c r="F15266">
        <v>0</v>
      </c>
      <c r="G15266">
        <v>0</v>
      </c>
      <c r="H15266">
        <v>6</v>
      </c>
      <c r="I15266" s="3">
        <v>768.05</v>
      </c>
      <c r="J15266" s="3">
        <v>1020.03</v>
      </c>
      <c r="L15266">
        <v>1536</v>
      </c>
      <c r="M15266" t="s">
        <v>31720</v>
      </c>
      <c r="N15266" t="s">
        <v>30</v>
      </c>
      <c r="O15266" t="s">
        <v>31</v>
      </c>
      <c r="P15266" t="str">
        <f>"15216"</f>
        <v>15216</v>
      </c>
    </row>
    <row r="15267" spans="1:16" x14ac:dyDescent="0.25">
      <c r="A15267" t="str">
        <f>"1208000T00043    00"</f>
        <v>1208000T00043    00</v>
      </c>
      <c r="B15267" t="s">
        <v>33501</v>
      </c>
      <c r="C15267" t="s">
        <v>33502</v>
      </c>
      <c r="D15267" t="s">
        <v>20</v>
      </c>
      <c r="E15267" t="s">
        <v>39</v>
      </c>
      <c r="F15267">
        <v>0</v>
      </c>
      <c r="G15267">
        <v>0</v>
      </c>
      <c r="H15267">
        <v>2</v>
      </c>
      <c r="I15267" s="3">
        <v>160.1</v>
      </c>
      <c r="J15267" s="3">
        <v>0</v>
      </c>
      <c r="K15267" t="s">
        <v>33503</v>
      </c>
      <c r="L15267">
        <v>120</v>
      </c>
      <c r="M15267" t="s">
        <v>33474</v>
      </c>
      <c r="N15267" t="s">
        <v>30</v>
      </c>
      <c r="O15267" t="s">
        <v>31</v>
      </c>
      <c r="P15267" t="str">
        <f>"15216"</f>
        <v>15216</v>
      </c>
    </row>
    <row r="15268" spans="1:16" x14ac:dyDescent="0.25">
      <c r="A15268" t="str">
        <f>"1208000T00044    00"</f>
        <v>1208000T00044    00</v>
      </c>
      <c r="B15268" t="s">
        <v>33504</v>
      </c>
      <c r="C15268" t="s">
        <v>33505</v>
      </c>
      <c r="E15268" t="s">
        <v>39</v>
      </c>
      <c r="F15268">
        <v>0</v>
      </c>
      <c r="G15268">
        <v>0</v>
      </c>
      <c r="H15268">
        <v>6</v>
      </c>
      <c r="I15268" s="3">
        <v>563.27</v>
      </c>
      <c r="J15268" s="3">
        <v>761.58</v>
      </c>
      <c r="L15268">
        <v>1538</v>
      </c>
      <c r="M15268" t="s">
        <v>31720</v>
      </c>
      <c r="N15268" t="s">
        <v>30</v>
      </c>
      <c r="O15268" t="s">
        <v>31</v>
      </c>
      <c r="P15268" t="str">
        <f>"15216"</f>
        <v>15216</v>
      </c>
    </row>
    <row r="15269" spans="1:16" x14ac:dyDescent="0.25">
      <c r="A15269" t="str">
        <f>"1208000T00048    00"</f>
        <v>1208000T00048    00</v>
      </c>
      <c r="B15269" t="s">
        <v>33475</v>
      </c>
      <c r="C15269" t="s">
        <v>33476</v>
      </c>
      <c r="E15269" t="s">
        <v>39</v>
      </c>
      <c r="F15269">
        <v>0</v>
      </c>
      <c r="G15269">
        <v>0</v>
      </c>
      <c r="H15269">
        <v>1</v>
      </c>
      <c r="I15269" s="3">
        <v>195.32</v>
      </c>
      <c r="J15269" s="3">
        <v>349.03</v>
      </c>
      <c r="M15269" t="s">
        <v>33506</v>
      </c>
      <c r="N15269" t="s">
        <v>30</v>
      </c>
      <c r="O15269" t="s">
        <v>31</v>
      </c>
      <c r="P15269" t="str">
        <f>"15220"</f>
        <v>15220</v>
      </c>
    </row>
    <row r="15270" spans="1:16" x14ac:dyDescent="0.25">
      <c r="A15270" t="str">
        <f>"1208000T00050    00"</f>
        <v>1208000T00050    00</v>
      </c>
      <c r="B15270" t="s">
        <v>33507</v>
      </c>
      <c r="C15270" t="s">
        <v>33508</v>
      </c>
      <c r="E15270" t="s">
        <v>39</v>
      </c>
      <c r="F15270">
        <v>0</v>
      </c>
      <c r="G15270">
        <v>0</v>
      </c>
      <c r="H15270">
        <v>4</v>
      </c>
      <c r="I15270" s="3">
        <v>862.15</v>
      </c>
      <c r="J15270" s="3">
        <v>1303.78</v>
      </c>
      <c r="L15270">
        <v>33</v>
      </c>
      <c r="M15270" t="s">
        <v>33469</v>
      </c>
      <c r="N15270" t="s">
        <v>30</v>
      </c>
      <c r="O15270" t="s">
        <v>31</v>
      </c>
      <c r="P15270" t="str">
        <f t="shared" ref="P15270:P15275" si="197">"15216"</f>
        <v>15216</v>
      </c>
    </row>
    <row r="15271" spans="1:16" x14ac:dyDescent="0.25">
      <c r="A15271" t="str">
        <f>"1208000T00052    00"</f>
        <v>1208000T00052    00</v>
      </c>
      <c r="B15271" t="s">
        <v>33509</v>
      </c>
      <c r="C15271" t="s">
        <v>33510</v>
      </c>
      <c r="E15271" t="s">
        <v>39</v>
      </c>
      <c r="F15271">
        <v>0</v>
      </c>
      <c r="G15271">
        <v>0</v>
      </c>
      <c r="H15271">
        <v>3</v>
      </c>
      <c r="I15271" s="3">
        <v>225.51</v>
      </c>
      <c r="J15271" s="3">
        <v>372.07</v>
      </c>
      <c r="L15271">
        <v>44</v>
      </c>
      <c r="M15271" t="s">
        <v>33469</v>
      </c>
      <c r="N15271" t="s">
        <v>30</v>
      </c>
      <c r="O15271" t="s">
        <v>31</v>
      </c>
      <c r="P15271" t="str">
        <f t="shared" si="197"/>
        <v>15216</v>
      </c>
    </row>
    <row r="15272" spans="1:16" x14ac:dyDescent="0.25">
      <c r="A15272" t="str">
        <f>"1208000T00060    00"</f>
        <v>1208000T00060    00</v>
      </c>
      <c r="B15272" t="s">
        <v>31890</v>
      </c>
      <c r="C15272" t="s">
        <v>33511</v>
      </c>
      <c r="E15272" t="s">
        <v>39</v>
      </c>
      <c r="F15272">
        <v>0</v>
      </c>
      <c r="G15272">
        <v>0</v>
      </c>
      <c r="H15272">
        <v>2</v>
      </c>
      <c r="I15272" s="3">
        <v>158.68</v>
      </c>
      <c r="J15272" s="3">
        <v>253.88</v>
      </c>
      <c r="L15272">
        <v>28</v>
      </c>
      <c r="M15272" t="s">
        <v>33469</v>
      </c>
      <c r="N15272" t="s">
        <v>30</v>
      </c>
      <c r="O15272" t="s">
        <v>31</v>
      </c>
      <c r="P15272" t="str">
        <f t="shared" si="197"/>
        <v>15216</v>
      </c>
    </row>
    <row r="15273" spans="1:16" x14ac:dyDescent="0.25">
      <c r="A15273" t="str">
        <f>"1208000T00062    00"</f>
        <v>1208000T00062    00</v>
      </c>
      <c r="B15273" t="s">
        <v>33512</v>
      </c>
      <c r="C15273" t="s">
        <v>33513</v>
      </c>
      <c r="E15273" t="s">
        <v>39</v>
      </c>
      <c r="F15273">
        <v>0</v>
      </c>
      <c r="G15273">
        <v>0</v>
      </c>
      <c r="H15273">
        <v>1</v>
      </c>
      <c r="I15273" s="3">
        <v>57.07</v>
      </c>
      <c r="J15273" s="3">
        <v>88.47</v>
      </c>
      <c r="L15273">
        <v>1730</v>
      </c>
      <c r="M15273" t="s">
        <v>31831</v>
      </c>
      <c r="N15273" t="s">
        <v>30</v>
      </c>
      <c r="O15273" t="s">
        <v>31</v>
      </c>
      <c r="P15273" t="str">
        <f t="shared" si="197"/>
        <v>15216</v>
      </c>
    </row>
    <row r="15274" spans="1:16" x14ac:dyDescent="0.25">
      <c r="A15274" t="str">
        <f>"1208000T00063    00"</f>
        <v>1208000T00063    00</v>
      </c>
      <c r="B15274" t="s">
        <v>33514</v>
      </c>
      <c r="C15274" t="s">
        <v>33515</v>
      </c>
      <c r="E15274" t="s">
        <v>39</v>
      </c>
      <c r="F15274">
        <v>0</v>
      </c>
      <c r="G15274">
        <v>0</v>
      </c>
      <c r="H15274">
        <v>3</v>
      </c>
      <c r="I15274" s="3">
        <v>414.55</v>
      </c>
      <c r="J15274" s="3">
        <v>630.91</v>
      </c>
      <c r="L15274">
        <v>39</v>
      </c>
      <c r="M15274" t="s">
        <v>33469</v>
      </c>
      <c r="N15274" t="s">
        <v>30</v>
      </c>
      <c r="O15274" t="s">
        <v>31</v>
      </c>
      <c r="P15274" t="str">
        <f t="shared" si="197"/>
        <v>15216</v>
      </c>
    </row>
    <row r="15275" spans="1:16" x14ac:dyDescent="0.25">
      <c r="A15275" t="str">
        <f>"1208000T04355    00"</f>
        <v>1208000T04355    00</v>
      </c>
      <c r="B15275" t="s">
        <v>33516</v>
      </c>
      <c r="C15275" t="s">
        <v>33517</v>
      </c>
      <c r="E15275" t="s">
        <v>39</v>
      </c>
      <c r="F15275">
        <v>0</v>
      </c>
      <c r="G15275">
        <v>0</v>
      </c>
      <c r="H15275">
        <v>1</v>
      </c>
      <c r="I15275" s="3">
        <v>101.35</v>
      </c>
      <c r="J15275" s="3">
        <v>167.23</v>
      </c>
      <c r="L15275">
        <v>1536</v>
      </c>
      <c r="M15275" t="s">
        <v>31720</v>
      </c>
      <c r="N15275" t="s">
        <v>30</v>
      </c>
      <c r="O15275" t="s">
        <v>31</v>
      </c>
      <c r="P15275" t="str">
        <f t="shared" si="197"/>
        <v>15216</v>
      </c>
    </row>
    <row r="15276" spans="1:16" x14ac:dyDescent="0.25">
      <c r="A15276" t="str">
        <f>"1210007A00028    00"</f>
        <v>1210007A00028    00</v>
      </c>
      <c r="B15276" t="s">
        <v>33518</v>
      </c>
      <c r="C15276" t="s">
        <v>33519</v>
      </c>
      <c r="D15276" t="s">
        <v>20</v>
      </c>
      <c r="E15276" t="s">
        <v>21</v>
      </c>
      <c r="F15276">
        <v>0</v>
      </c>
      <c r="G15276">
        <v>0</v>
      </c>
      <c r="H15276">
        <v>1</v>
      </c>
      <c r="I15276" s="3">
        <v>16812.84</v>
      </c>
      <c r="J15276" s="3">
        <v>0</v>
      </c>
      <c r="L15276">
        <v>1411</v>
      </c>
      <c r="M15276" t="s">
        <v>33520</v>
      </c>
      <c r="N15276" t="s">
        <v>30</v>
      </c>
      <c r="O15276" t="s">
        <v>31</v>
      </c>
      <c r="P15276" t="str">
        <f>"15233"</f>
        <v>15233</v>
      </c>
    </row>
    <row r="15277" spans="1:16" x14ac:dyDescent="0.25">
      <c r="A15277" t="str">
        <f>"1210007B00146    00"</f>
        <v>1210007B00146    00</v>
      </c>
      <c r="B15277" t="s">
        <v>33521</v>
      </c>
      <c r="C15277" t="s">
        <v>33522</v>
      </c>
      <c r="D15277" t="s">
        <v>20</v>
      </c>
      <c r="E15277" t="s">
        <v>39</v>
      </c>
      <c r="F15277">
        <v>0</v>
      </c>
      <c r="G15277">
        <v>0</v>
      </c>
      <c r="H15277">
        <v>19</v>
      </c>
      <c r="I15277" s="3">
        <v>215.18</v>
      </c>
      <c r="J15277" s="3">
        <v>152.5</v>
      </c>
      <c r="K15277" t="s">
        <v>1008</v>
      </c>
      <c r="P15277" t="str">
        <f>""</f>
        <v/>
      </c>
    </row>
    <row r="15278" spans="1:16" x14ac:dyDescent="0.25">
      <c r="A15278" t="str">
        <f>"1210007B00153    00"</f>
        <v>1210007B00153    00</v>
      </c>
      <c r="B15278" t="s">
        <v>33523</v>
      </c>
      <c r="C15278" t="s">
        <v>33524</v>
      </c>
      <c r="E15278" t="s">
        <v>39</v>
      </c>
      <c r="F15278">
        <v>0</v>
      </c>
      <c r="G15278">
        <v>0</v>
      </c>
      <c r="H15278">
        <v>1</v>
      </c>
      <c r="I15278" s="3">
        <v>2558.38</v>
      </c>
      <c r="J15278" s="3">
        <v>0</v>
      </c>
      <c r="K15278" t="s">
        <v>33525</v>
      </c>
      <c r="L15278">
        <v>1339</v>
      </c>
      <c r="M15278" t="s">
        <v>33526</v>
      </c>
      <c r="N15278" t="s">
        <v>30</v>
      </c>
      <c r="O15278" t="s">
        <v>31</v>
      </c>
      <c r="P15278" t="str">
        <f>"15233"</f>
        <v>15233</v>
      </c>
    </row>
    <row r="15279" spans="1:16" x14ac:dyDescent="0.25">
      <c r="A15279" t="str">
        <f>"1210007B00157    00"</f>
        <v>1210007B00157    00</v>
      </c>
      <c r="B15279" t="s">
        <v>944</v>
      </c>
      <c r="C15279" t="s">
        <v>33527</v>
      </c>
      <c r="E15279" t="s">
        <v>39</v>
      </c>
      <c r="F15279">
        <v>0</v>
      </c>
      <c r="G15279">
        <v>0</v>
      </c>
      <c r="H15279">
        <v>1</v>
      </c>
      <c r="I15279" s="3">
        <v>2140.75</v>
      </c>
      <c r="J15279" s="3">
        <v>1480.63</v>
      </c>
      <c r="K15279" t="s">
        <v>33528</v>
      </c>
      <c r="L15279">
        <v>200</v>
      </c>
      <c r="M15279" t="s">
        <v>33529</v>
      </c>
      <c r="N15279" t="s">
        <v>30</v>
      </c>
      <c r="O15279" t="s">
        <v>31</v>
      </c>
      <c r="P15279" t="str">
        <f>"15219"</f>
        <v>15219</v>
      </c>
    </row>
    <row r="15280" spans="1:16" x14ac:dyDescent="0.25">
      <c r="A15280" t="str">
        <f>"1210007B00158    00"</f>
        <v>1210007B00158    00</v>
      </c>
      <c r="B15280" t="s">
        <v>944</v>
      </c>
      <c r="C15280" t="s">
        <v>33530</v>
      </c>
      <c r="E15280" t="s">
        <v>39</v>
      </c>
      <c r="F15280">
        <v>0</v>
      </c>
      <c r="G15280">
        <v>0</v>
      </c>
      <c r="H15280">
        <v>1</v>
      </c>
      <c r="I15280" s="3">
        <v>2123.4499999999998</v>
      </c>
      <c r="J15280" s="3">
        <v>1468.66</v>
      </c>
      <c r="K15280" t="s">
        <v>33528</v>
      </c>
      <c r="L15280">
        <v>200</v>
      </c>
      <c r="M15280" t="s">
        <v>33529</v>
      </c>
      <c r="N15280" t="s">
        <v>30</v>
      </c>
      <c r="O15280" t="s">
        <v>31</v>
      </c>
      <c r="P15280" t="str">
        <f>"15219"</f>
        <v>15219</v>
      </c>
    </row>
    <row r="15281" spans="1:16" x14ac:dyDescent="0.25">
      <c r="A15281" t="str">
        <f>"1210007B00201    00"</f>
        <v>1210007B00201    00</v>
      </c>
      <c r="B15281" t="s">
        <v>33531</v>
      </c>
      <c r="C15281" t="s">
        <v>33532</v>
      </c>
      <c r="E15281" t="s">
        <v>207</v>
      </c>
      <c r="F15281">
        <v>0</v>
      </c>
      <c r="G15281">
        <v>0</v>
      </c>
      <c r="H15281">
        <v>3</v>
      </c>
      <c r="I15281" s="3">
        <v>32.67</v>
      </c>
      <c r="J15281" s="3">
        <v>25.86</v>
      </c>
      <c r="L15281">
        <v>341</v>
      </c>
      <c r="M15281" t="s">
        <v>1330</v>
      </c>
      <c r="N15281" t="s">
        <v>30</v>
      </c>
      <c r="O15281" t="s">
        <v>31</v>
      </c>
      <c r="P15281" t="str">
        <f>"15213"</f>
        <v>15213</v>
      </c>
    </row>
    <row r="15282" spans="1:16" x14ac:dyDescent="0.25">
      <c r="A15282" t="str">
        <f>"1210007B00202    00"</f>
        <v>1210007B00202    00</v>
      </c>
      <c r="B15282" t="s">
        <v>33531</v>
      </c>
      <c r="C15282" t="s">
        <v>33532</v>
      </c>
      <c r="E15282" t="s">
        <v>207</v>
      </c>
      <c r="F15282">
        <v>0</v>
      </c>
      <c r="G15282">
        <v>0</v>
      </c>
      <c r="H15282">
        <v>3</v>
      </c>
      <c r="I15282" s="3">
        <v>21.78</v>
      </c>
      <c r="J15282" s="3">
        <v>17.25</v>
      </c>
      <c r="L15282">
        <v>341</v>
      </c>
      <c r="M15282" t="s">
        <v>1330</v>
      </c>
      <c r="N15282" t="s">
        <v>30</v>
      </c>
      <c r="O15282" t="s">
        <v>31</v>
      </c>
      <c r="P15282" t="str">
        <f>"15213"</f>
        <v>15213</v>
      </c>
    </row>
    <row r="15283" spans="1:16" x14ac:dyDescent="0.25">
      <c r="A15283" t="str">
        <f>"1210007B00203    00"</f>
        <v>1210007B00203    00</v>
      </c>
      <c r="B15283" t="s">
        <v>33531</v>
      </c>
      <c r="C15283" t="s">
        <v>33532</v>
      </c>
      <c r="E15283" t="s">
        <v>207</v>
      </c>
      <c r="F15283">
        <v>0</v>
      </c>
      <c r="G15283">
        <v>0</v>
      </c>
      <c r="H15283">
        <v>3</v>
      </c>
      <c r="I15283" s="3">
        <v>21.78</v>
      </c>
      <c r="J15283" s="3">
        <v>17.25</v>
      </c>
      <c r="L15283">
        <v>341</v>
      </c>
      <c r="M15283" t="s">
        <v>1330</v>
      </c>
      <c r="N15283" t="s">
        <v>30</v>
      </c>
      <c r="O15283" t="s">
        <v>31</v>
      </c>
      <c r="P15283" t="str">
        <f>"15213"</f>
        <v>15213</v>
      </c>
    </row>
    <row r="15284" spans="1:16" x14ac:dyDescent="0.25">
      <c r="A15284" t="str">
        <f>"1210007B00204    00"</f>
        <v>1210007B00204    00</v>
      </c>
      <c r="B15284" t="s">
        <v>33531</v>
      </c>
      <c r="C15284" t="s">
        <v>33532</v>
      </c>
      <c r="E15284" t="s">
        <v>207</v>
      </c>
      <c r="F15284">
        <v>0</v>
      </c>
      <c r="G15284">
        <v>0</v>
      </c>
      <c r="H15284">
        <v>3</v>
      </c>
      <c r="I15284" s="3">
        <v>38.130000000000003</v>
      </c>
      <c r="J15284" s="3">
        <v>30.18</v>
      </c>
      <c r="L15284">
        <v>341</v>
      </c>
      <c r="M15284" t="s">
        <v>1330</v>
      </c>
      <c r="N15284" t="s">
        <v>30</v>
      </c>
      <c r="O15284" t="s">
        <v>31</v>
      </c>
      <c r="P15284" t="str">
        <f>"15213"</f>
        <v>15213</v>
      </c>
    </row>
    <row r="15285" spans="1:16" x14ac:dyDescent="0.25">
      <c r="A15285" t="str">
        <f>"1210007B00207    00"</f>
        <v>1210007B00207    00</v>
      </c>
      <c r="B15285" t="s">
        <v>33533</v>
      </c>
      <c r="C15285" t="s">
        <v>33534</v>
      </c>
      <c r="E15285" t="s">
        <v>39</v>
      </c>
      <c r="F15285">
        <v>0</v>
      </c>
      <c r="G15285">
        <v>0</v>
      </c>
      <c r="H15285">
        <v>4</v>
      </c>
      <c r="I15285" s="3">
        <v>327.63</v>
      </c>
      <c r="J15285" s="3">
        <v>495.4</v>
      </c>
      <c r="L15285">
        <v>2626</v>
      </c>
      <c r="M15285" t="s">
        <v>33535</v>
      </c>
      <c r="N15285" t="s">
        <v>30</v>
      </c>
      <c r="O15285" t="s">
        <v>31</v>
      </c>
      <c r="P15285" t="str">
        <f>"15214"</f>
        <v>15214</v>
      </c>
    </row>
    <row r="15286" spans="1:16" x14ac:dyDescent="0.25">
      <c r="A15286" t="str">
        <f>"1210007B00207B   00"</f>
        <v>1210007B00207B   00</v>
      </c>
      <c r="B15286" t="s">
        <v>33536</v>
      </c>
      <c r="C15286" t="s">
        <v>33532</v>
      </c>
      <c r="E15286" t="s">
        <v>207</v>
      </c>
      <c r="F15286">
        <v>0</v>
      </c>
      <c r="G15286">
        <v>0</v>
      </c>
      <c r="H15286">
        <v>2</v>
      </c>
      <c r="I15286" s="3">
        <v>21.78</v>
      </c>
      <c r="J15286" s="3">
        <v>16.239999999999998</v>
      </c>
      <c r="K15286" t="s">
        <v>33537</v>
      </c>
      <c r="L15286">
        <v>341</v>
      </c>
      <c r="M15286" t="s">
        <v>1330</v>
      </c>
      <c r="N15286" t="s">
        <v>30</v>
      </c>
      <c r="O15286" t="s">
        <v>31</v>
      </c>
      <c r="P15286" t="str">
        <f>"15213"</f>
        <v>15213</v>
      </c>
    </row>
    <row r="15287" spans="1:16" x14ac:dyDescent="0.25">
      <c r="A15287" t="str">
        <f>"1210007B00209    00"</f>
        <v>1210007B00209    00</v>
      </c>
      <c r="B15287" t="s">
        <v>13554</v>
      </c>
      <c r="C15287" t="s">
        <v>33532</v>
      </c>
      <c r="E15287" t="s">
        <v>207</v>
      </c>
      <c r="F15287">
        <v>0</v>
      </c>
      <c r="G15287">
        <v>0</v>
      </c>
      <c r="H15287">
        <v>2</v>
      </c>
      <c r="I15287" s="3">
        <v>21.78</v>
      </c>
      <c r="J15287" s="3">
        <v>16.239999999999998</v>
      </c>
      <c r="K15287" t="s">
        <v>33538</v>
      </c>
      <c r="L15287">
        <v>341</v>
      </c>
      <c r="M15287" t="s">
        <v>33539</v>
      </c>
      <c r="N15287" t="s">
        <v>30</v>
      </c>
      <c r="O15287" t="s">
        <v>31</v>
      </c>
      <c r="P15287" t="str">
        <f>"15213"</f>
        <v>15213</v>
      </c>
    </row>
    <row r="15288" spans="1:16" x14ac:dyDescent="0.25">
      <c r="A15288" t="str">
        <f>"1210007B00213    00"</f>
        <v>1210007B00213    00</v>
      </c>
      <c r="B15288" t="s">
        <v>13554</v>
      </c>
      <c r="C15288" t="s">
        <v>33532</v>
      </c>
      <c r="E15288" t="s">
        <v>39</v>
      </c>
      <c r="F15288">
        <v>0</v>
      </c>
      <c r="G15288">
        <v>0</v>
      </c>
      <c r="H15288">
        <v>3</v>
      </c>
      <c r="I15288" s="3">
        <v>21.78</v>
      </c>
      <c r="J15288" s="3">
        <v>15.19</v>
      </c>
      <c r="K15288" t="s">
        <v>33538</v>
      </c>
      <c r="L15288">
        <v>341</v>
      </c>
      <c r="M15288" t="s">
        <v>33539</v>
      </c>
      <c r="N15288" t="s">
        <v>30</v>
      </c>
      <c r="O15288" t="s">
        <v>31</v>
      </c>
      <c r="P15288" t="str">
        <f>"15213"</f>
        <v>15213</v>
      </c>
    </row>
    <row r="15289" spans="1:16" x14ac:dyDescent="0.25">
      <c r="A15289" t="str">
        <f>"1210007B00214    00"</f>
        <v>1210007B00214    00</v>
      </c>
      <c r="B15289" t="s">
        <v>33540</v>
      </c>
      <c r="C15289" t="s">
        <v>33541</v>
      </c>
      <c r="D15289" t="s">
        <v>20</v>
      </c>
      <c r="E15289" t="s">
        <v>39</v>
      </c>
      <c r="F15289">
        <v>0</v>
      </c>
      <c r="G15289">
        <v>0</v>
      </c>
      <c r="H15289">
        <v>1</v>
      </c>
      <c r="I15289" s="3">
        <v>2846.14</v>
      </c>
      <c r="J15289" s="3">
        <v>0</v>
      </c>
      <c r="K15289" t="s">
        <v>759</v>
      </c>
      <c r="L15289">
        <v>3001</v>
      </c>
      <c r="M15289" t="s">
        <v>404</v>
      </c>
      <c r="N15289" t="s">
        <v>331</v>
      </c>
      <c r="O15289" t="s">
        <v>108</v>
      </c>
      <c r="P15289" t="str">
        <f>"75063"</f>
        <v>75063</v>
      </c>
    </row>
    <row r="15290" spans="1:16" x14ac:dyDescent="0.25">
      <c r="A15290" t="str">
        <f>"1210007B00224    00"</f>
        <v>1210007B00224    00</v>
      </c>
      <c r="B15290" t="s">
        <v>33542</v>
      </c>
      <c r="C15290" t="s">
        <v>33543</v>
      </c>
      <c r="D15290" t="s">
        <v>20</v>
      </c>
      <c r="E15290" t="s">
        <v>39</v>
      </c>
      <c r="F15290">
        <v>0</v>
      </c>
      <c r="G15290">
        <v>0</v>
      </c>
      <c r="H15290">
        <v>2</v>
      </c>
      <c r="I15290" s="3">
        <v>202.06</v>
      </c>
      <c r="J15290" s="3">
        <v>0</v>
      </c>
      <c r="L15290">
        <v>449</v>
      </c>
      <c r="M15290" t="s">
        <v>19860</v>
      </c>
      <c r="N15290" t="s">
        <v>30</v>
      </c>
      <c r="O15290" t="s">
        <v>31</v>
      </c>
      <c r="P15290" t="str">
        <f>"15202"</f>
        <v>15202</v>
      </c>
    </row>
    <row r="15291" spans="1:16" x14ac:dyDescent="0.25">
      <c r="A15291" t="str">
        <f>"1210007B00226    00"</f>
        <v>1210007B00226    00</v>
      </c>
      <c r="B15291" t="s">
        <v>33544</v>
      </c>
      <c r="C15291" t="s">
        <v>33522</v>
      </c>
      <c r="D15291" t="s">
        <v>57</v>
      </c>
      <c r="E15291" t="s">
        <v>39</v>
      </c>
      <c r="F15291">
        <v>0</v>
      </c>
      <c r="G15291">
        <v>0</v>
      </c>
      <c r="H15291">
        <v>1</v>
      </c>
      <c r="I15291" s="3">
        <v>93.39</v>
      </c>
      <c r="J15291" s="3">
        <v>0</v>
      </c>
      <c r="K15291" t="s">
        <v>33545</v>
      </c>
      <c r="L15291">
        <v>1410</v>
      </c>
      <c r="M15291" t="s">
        <v>33526</v>
      </c>
      <c r="N15291" t="s">
        <v>30</v>
      </c>
      <c r="O15291" t="s">
        <v>31</v>
      </c>
      <c r="P15291" t="str">
        <f>"15233"</f>
        <v>15233</v>
      </c>
    </row>
    <row r="15292" spans="1:16" x14ac:dyDescent="0.25">
      <c r="A15292" t="str">
        <f>"1210007B00228    00"</f>
        <v>1210007B00228    00</v>
      </c>
      <c r="B15292" t="s">
        <v>33544</v>
      </c>
      <c r="C15292" t="s">
        <v>33546</v>
      </c>
      <c r="E15292" t="s">
        <v>39</v>
      </c>
      <c r="F15292">
        <v>0</v>
      </c>
      <c r="G15292">
        <v>0</v>
      </c>
      <c r="H15292">
        <v>2</v>
      </c>
      <c r="I15292" s="3">
        <v>764.12</v>
      </c>
      <c r="J15292" s="3">
        <v>54.38</v>
      </c>
      <c r="K15292" t="s">
        <v>33545</v>
      </c>
      <c r="L15292">
        <v>1410</v>
      </c>
      <c r="M15292" t="s">
        <v>33526</v>
      </c>
      <c r="N15292" t="s">
        <v>30</v>
      </c>
      <c r="O15292" t="s">
        <v>31</v>
      </c>
      <c r="P15292" t="str">
        <f>"15233"</f>
        <v>15233</v>
      </c>
    </row>
    <row r="15293" spans="1:16" x14ac:dyDescent="0.25">
      <c r="A15293" t="str">
        <f>"1210007B00239    00"</f>
        <v>1210007B00239    00</v>
      </c>
      <c r="B15293" t="s">
        <v>33547</v>
      </c>
      <c r="C15293" t="s">
        <v>33548</v>
      </c>
      <c r="D15293" t="s">
        <v>20</v>
      </c>
      <c r="E15293" t="s">
        <v>39</v>
      </c>
      <c r="F15293">
        <v>0</v>
      </c>
      <c r="G15293">
        <v>0</v>
      </c>
      <c r="H15293">
        <v>1</v>
      </c>
      <c r="I15293" s="3">
        <v>1382.31</v>
      </c>
      <c r="J15293" s="3">
        <v>0</v>
      </c>
      <c r="K15293" t="s">
        <v>1632</v>
      </c>
      <c r="M15293" t="s">
        <v>1633</v>
      </c>
      <c r="N15293" t="s">
        <v>1634</v>
      </c>
      <c r="O15293" t="s">
        <v>25</v>
      </c>
      <c r="P15293" t="str">
        <f>"45401"</f>
        <v>45401</v>
      </c>
    </row>
    <row r="15294" spans="1:16" x14ac:dyDescent="0.25">
      <c r="A15294" t="str">
        <f>"1210007B00256    00"</f>
        <v>1210007B00256    00</v>
      </c>
      <c r="B15294" t="s">
        <v>33549</v>
      </c>
      <c r="C15294" t="s">
        <v>33550</v>
      </c>
      <c r="D15294" t="s">
        <v>20</v>
      </c>
      <c r="E15294" t="s">
        <v>39</v>
      </c>
      <c r="F15294">
        <v>0</v>
      </c>
      <c r="G15294">
        <v>0</v>
      </c>
      <c r="H15294">
        <v>1</v>
      </c>
      <c r="I15294" s="3">
        <v>2255.2600000000002</v>
      </c>
      <c r="J15294" s="3">
        <v>0</v>
      </c>
      <c r="L15294">
        <v>1309</v>
      </c>
      <c r="M15294" t="s">
        <v>4860</v>
      </c>
      <c r="N15294" t="s">
        <v>30</v>
      </c>
      <c r="O15294" t="s">
        <v>31</v>
      </c>
      <c r="P15294" t="str">
        <f>"15233"</f>
        <v>15233</v>
      </c>
    </row>
    <row r="15295" spans="1:16" x14ac:dyDescent="0.25">
      <c r="A15295" t="str">
        <f>"1210007B00257    00"</f>
        <v>1210007B00257    00</v>
      </c>
      <c r="B15295" t="s">
        <v>33551</v>
      </c>
      <c r="C15295" t="s">
        <v>33552</v>
      </c>
      <c r="D15295" t="s">
        <v>20</v>
      </c>
      <c r="E15295" t="s">
        <v>39</v>
      </c>
      <c r="F15295">
        <v>0</v>
      </c>
      <c r="G15295">
        <v>0</v>
      </c>
      <c r="H15295">
        <v>4</v>
      </c>
      <c r="I15295" s="3">
        <v>6412.4</v>
      </c>
      <c r="J15295" s="3">
        <v>944.82</v>
      </c>
      <c r="L15295">
        <v>1241</v>
      </c>
      <c r="M15295" t="s">
        <v>33526</v>
      </c>
      <c r="N15295" t="s">
        <v>30</v>
      </c>
      <c r="O15295" t="s">
        <v>31</v>
      </c>
      <c r="P15295" t="str">
        <f>"15233"</f>
        <v>15233</v>
      </c>
    </row>
    <row r="15296" spans="1:16" x14ac:dyDescent="0.25">
      <c r="A15296" t="str">
        <f>"1210007B00258    00"</f>
        <v>1210007B00258    00</v>
      </c>
      <c r="B15296" t="s">
        <v>33553</v>
      </c>
      <c r="C15296" t="s">
        <v>33554</v>
      </c>
      <c r="D15296" t="s">
        <v>20</v>
      </c>
      <c r="E15296" t="s">
        <v>39</v>
      </c>
      <c r="F15296">
        <v>0</v>
      </c>
      <c r="G15296">
        <v>0</v>
      </c>
      <c r="H15296">
        <v>1</v>
      </c>
      <c r="I15296" s="3">
        <v>2315.8000000000002</v>
      </c>
      <c r="J15296" s="3">
        <v>0</v>
      </c>
      <c r="K15296" t="s">
        <v>4424</v>
      </c>
      <c r="L15296">
        <v>3001</v>
      </c>
      <c r="M15296" t="s">
        <v>330</v>
      </c>
      <c r="N15296" t="s">
        <v>331</v>
      </c>
      <c r="O15296" t="s">
        <v>108</v>
      </c>
      <c r="P15296" t="str">
        <f>"75063"</f>
        <v>75063</v>
      </c>
    </row>
    <row r="15297" spans="1:16" x14ac:dyDescent="0.25">
      <c r="A15297" t="str">
        <f>"1210007B00273    00"</f>
        <v>1210007B00273    00</v>
      </c>
      <c r="B15297" t="s">
        <v>33555</v>
      </c>
      <c r="C15297" t="s">
        <v>33556</v>
      </c>
      <c r="D15297" t="s">
        <v>20</v>
      </c>
      <c r="E15297" t="s">
        <v>39</v>
      </c>
      <c r="F15297">
        <v>0</v>
      </c>
      <c r="G15297">
        <v>0</v>
      </c>
      <c r="H15297">
        <v>1</v>
      </c>
      <c r="I15297" s="3">
        <v>1576.72</v>
      </c>
      <c r="J15297" s="3">
        <v>0</v>
      </c>
      <c r="K15297" t="s">
        <v>19965</v>
      </c>
      <c r="L15297">
        <v>3150</v>
      </c>
      <c r="M15297" t="s">
        <v>33557</v>
      </c>
      <c r="N15297" t="s">
        <v>11223</v>
      </c>
      <c r="O15297" t="s">
        <v>606</v>
      </c>
      <c r="P15297" t="str">
        <f>"30071"</f>
        <v>30071</v>
      </c>
    </row>
    <row r="15298" spans="1:16" x14ac:dyDescent="0.25">
      <c r="A15298" t="str">
        <f>"1210007B00284    00"</f>
        <v>1210007B00284    00</v>
      </c>
      <c r="B15298" t="s">
        <v>33558</v>
      </c>
      <c r="C15298" t="s">
        <v>33559</v>
      </c>
      <c r="D15298" t="s">
        <v>20</v>
      </c>
      <c r="E15298" t="s">
        <v>39</v>
      </c>
      <c r="F15298">
        <v>0</v>
      </c>
      <c r="G15298">
        <v>0</v>
      </c>
      <c r="H15298">
        <v>1</v>
      </c>
      <c r="I15298" s="3">
        <v>1595.33</v>
      </c>
      <c r="J15298" s="3">
        <v>0</v>
      </c>
      <c r="K15298" t="s">
        <v>33560</v>
      </c>
      <c r="L15298">
        <v>800</v>
      </c>
      <c r="M15298" t="s">
        <v>33561</v>
      </c>
      <c r="N15298" t="s">
        <v>7293</v>
      </c>
      <c r="O15298" t="s">
        <v>200</v>
      </c>
      <c r="P15298" t="str">
        <f>"10573"</f>
        <v>10573</v>
      </c>
    </row>
    <row r="15299" spans="1:16" x14ac:dyDescent="0.25">
      <c r="A15299" t="str">
        <f>"1210007B00285    00"</f>
        <v>1210007B00285    00</v>
      </c>
      <c r="B15299" t="s">
        <v>33558</v>
      </c>
      <c r="C15299" t="s">
        <v>33559</v>
      </c>
      <c r="D15299" t="s">
        <v>20</v>
      </c>
      <c r="E15299" t="s">
        <v>39</v>
      </c>
      <c r="F15299">
        <v>0</v>
      </c>
      <c r="G15299">
        <v>0</v>
      </c>
      <c r="H15299">
        <v>1</v>
      </c>
      <c r="I15299" s="3">
        <v>87.68</v>
      </c>
      <c r="J15299" s="3">
        <v>0</v>
      </c>
      <c r="K15299" t="s">
        <v>33560</v>
      </c>
      <c r="L15299">
        <v>800</v>
      </c>
      <c r="M15299" t="s">
        <v>7378</v>
      </c>
      <c r="N15299" t="s">
        <v>7293</v>
      </c>
      <c r="O15299" t="s">
        <v>200</v>
      </c>
      <c r="P15299" t="str">
        <f>"10573"</f>
        <v>10573</v>
      </c>
    </row>
    <row r="15300" spans="1:16" x14ac:dyDescent="0.25">
      <c r="A15300" t="str">
        <f>"1210007B00286    00"</f>
        <v>1210007B00286    00</v>
      </c>
      <c r="B15300" t="s">
        <v>33558</v>
      </c>
      <c r="C15300" t="s">
        <v>33559</v>
      </c>
      <c r="D15300" t="s">
        <v>20</v>
      </c>
      <c r="E15300" t="s">
        <v>39</v>
      </c>
      <c r="F15300">
        <v>0</v>
      </c>
      <c r="G15300">
        <v>0</v>
      </c>
      <c r="H15300">
        <v>3</v>
      </c>
      <c r="I15300" s="3">
        <v>244.78</v>
      </c>
      <c r="J15300" s="3">
        <v>2.14</v>
      </c>
      <c r="K15300" t="s">
        <v>33560</v>
      </c>
      <c r="L15300">
        <v>800</v>
      </c>
      <c r="M15300" t="s">
        <v>7378</v>
      </c>
      <c r="N15300" t="s">
        <v>7293</v>
      </c>
      <c r="O15300" t="s">
        <v>200</v>
      </c>
      <c r="P15300" t="str">
        <f>"10573"</f>
        <v>10573</v>
      </c>
    </row>
    <row r="15301" spans="1:16" x14ac:dyDescent="0.25">
      <c r="A15301" t="str">
        <f>"1210007B00287    00"</f>
        <v>1210007B00287    00</v>
      </c>
      <c r="B15301" t="s">
        <v>33558</v>
      </c>
      <c r="C15301" t="s">
        <v>33559</v>
      </c>
      <c r="D15301" t="s">
        <v>20</v>
      </c>
      <c r="E15301" t="s">
        <v>39</v>
      </c>
      <c r="F15301">
        <v>0</v>
      </c>
      <c r="G15301">
        <v>0</v>
      </c>
      <c r="H15301">
        <v>3</v>
      </c>
      <c r="I15301" s="3">
        <v>339.08</v>
      </c>
      <c r="J15301" s="3">
        <v>1.9</v>
      </c>
      <c r="K15301" t="s">
        <v>33560</v>
      </c>
      <c r="L15301">
        <v>800</v>
      </c>
      <c r="M15301" t="s">
        <v>7378</v>
      </c>
      <c r="N15301" t="s">
        <v>7293</v>
      </c>
      <c r="O15301" t="s">
        <v>200</v>
      </c>
      <c r="P15301" t="str">
        <f>"10573"</f>
        <v>10573</v>
      </c>
    </row>
    <row r="15302" spans="1:16" x14ac:dyDescent="0.25">
      <c r="A15302" t="str">
        <f>"1210007B00292A   00"</f>
        <v>1210007B00292A   00</v>
      </c>
      <c r="B15302" t="s">
        <v>33540</v>
      </c>
      <c r="C15302" t="s">
        <v>33562</v>
      </c>
      <c r="D15302" t="s">
        <v>20</v>
      </c>
      <c r="E15302" t="s">
        <v>39</v>
      </c>
      <c r="F15302">
        <v>0</v>
      </c>
      <c r="G15302">
        <v>0</v>
      </c>
      <c r="H15302">
        <v>1</v>
      </c>
      <c r="I15302" s="3">
        <v>960.64</v>
      </c>
      <c r="J15302" s="3">
        <v>0</v>
      </c>
      <c r="L15302">
        <v>1424</v>
      </c>
      <c r="M15302" t="s">
        <v>33526</v>
      </c>
      <c r="N15302" t="s">
        <v>30</v>
      </c>
      <c r="O15302" t="s">
        <v>31</v>
      </c>
      <c r="P15302" t="str">
        <f>"15233"</f>
        <v>15233</v>
      </c>
    </row>
    <row r="15303" spans="1:16" x14ac:dyDescent="0.25">
      <c r="A15303" t="str">
        <f>"1210007B00292B   00"</f>
        <v>1210007B00292B   00</v>
      </c>
      <c r="B15303" t="s">
        <v>33540</v>
      </c>
      <c r="C15303" t="s">
        <v>33563</v>
      </c>
      <c r="D15303" t="s">
        <v>20</v>
      </c>
      <c r="E15303" t="s">
        <v>39</v>
      </c>
      <c r="F15303">
        <v>0</v>
      </c>
      <c r="G15303">
        <v>0</v>
      </c>
      <c r="H15303">
        <v>1</v>
      </c>
      <c r="I15303" s="3">
        <v>960.64</v>
      </c>
      <c r="J15303" s="3">
        <v>0</v>
      </c>
      <c r="L15303">
        <v>1424</v>
      </c>
      <c r="M15303" t="s">
        <v>33526</v>
      </c>
      <c r="N15303" t="s">
        <v>30</v>
      </c>
      <c r="O15303" t="s">
        <v>31</v>
      </c>
      <c r="P15303" t="str">
        <f>"15233"</f>
        <v>15233</v>
      </c>
    </row>
    <row r="15304" spans="1:16" x14ac:dyDescent="0.25">
      <c r="A15304" t="str">
        <f>"1210007B00297    00"</f>
        <v>1210007B00297    00</v>
      </c>
      <c r="B15304" t="s">
        <v>33564</v>
      </c>
      <c r="C15304" t="s">
        <v>33565</v>
      </c>
      <c r="D15304" t="s">
        <v>20</v>
      </c>
      <c r="E15304" t="s">
        <v>39</v>
      </c>
      <c r="F15304">
        <v>0</v>
      </c>
      <c r="G15304">
        <v>0</v>
      </c>
      <c r="H15304">
        <v>2</v>
      </c>
      <c r="I15304" s="3">
        <v>1037.3800000000001</v>
      </c>
      <c r="J15304" s="3">
        <v>56.5</v>
      </c>
      <c r="L15304">
        <v>1427</v>
      </c>
      <c r="M15304" t="s">
        <v>4860</v>
      </c>
      <c r="N15304" t="s">
        <v>30</v>
      </c>
      <c r="O15304" t="s">
        <v>31</v>
      </c>
      <c r="P15304" t="str">
        <f>"15233"</f>
        <v>15233</v>
      </c>
    </row>
    <row r="15305" spans="1:16" x14ac:dyDescent="0.25">
      <c r="A15305" t="str">
        <f>"1210007B00298    00"</f>
        <v>1210007B00298    00</v>
      </c>
      <c r="B15305" t="s">
        <v>33564</v>
      </c>
      <c r="C15305" t="s">
        <v>33565</v>
      </c>
      <c r="D15305" t="s">
        <v>20</v>
      </c>
      <c r="E15305" t="s">
        <v>39</v>
      </c>
      <c r="F15305">
        <v>0</v>
      </c>
      <c r="G15305">
        <v>0</v>
      </c>
      <c r="H15305">
        <v>1</v>
      </c>
      <c r="I15305" s="3">
        <v>116.28</v>
      </c>
      <c r="J15305" s="3">
        <v>0</v>
      </c>
      <c r="L15305">
        <v>1427</v>
      </c>
      <c r="M15305" t="s">
        <v>4860</v>
      </c>
      <c r="N15305" t="s">
        <v>30</v>
      </c>
      <c r="O15305" t="s">
        <v>31</v>
      </c>
      <c r="P15305" t="str">
        <f>"15233"</f>
        <v>15233</v>
      </c>
    </row>
    <row r="15306" spans="1:16" x14ac:dyDescent="0.25">
      <c r="A15306" t="str">
        <f>"1210007B00337    00"</f>
        <v>1210007B00337    00</v>
      </c>
      <c r="B15306" t="s">
        <v>33566</v>
      </c>
      <c r="C15306" t="s">
        <v>33567</v>
      </c>
      <c r="D15306" t="s">
        <v>20</v>
      </c>
      <c r="E15306" t="s">
        <v>39</v>
      </c>
      <c r="F15306">
        <v>0</v>
      </c>
      <c r="G15306">
        <v>0</v>
      </c>
      <c r="H15306">
        <v>1</v>
      </c>
      <c r="I15306" s="3">
        <v>3892.05</v>
      </c>
      <c r="J15306" s="3">
        <v>0</v>
      </c>
      <c r="L15306">
        <v>1420</v>
      </c>
      <c r="M15306" t="s">
        <v>11613</v>
      </c>
      <c r="N15306" t="s">
        <v>30</v>
      </c>
      <c r="O15306" t="s">
        <v>31</v>
      </c>
      <c r="P15306" t="str">
        <f>"15233"</f>
        <v>15233</v>
      </c>
    </row>
    <row r="15307" spans="1:16" x14ac:dyDescent="0.25">
      <c r="A15307" t="str">
        <f>"1210007B00341    00"</f>
        <v>1210007B00341    00</v>
      </c>
      <c r="B15307" t="s">
        <v>944</v>
      </c>
      <c r="C15307" t="s">
        <v>33568</v>
      </c>
      <c r="E15307" t="s">
        <v>39</v>
      </c>
      <c r="F15307">
        <v>0</v>
      </c>
      <c r="G15307">
        <v>0</v>
      </c>
      <c r="H15307">
        <v>1</v>
      </c>
      <c r="I15307" s="3">
        <v>2449.75</v>
      </c>
      <c r="J15307" s="3">
        <v>1694.34</v>
      </c>
      <c r="K15307" t="s">
        <v>33528</v>
      </c>
      <c r="L15307">
        <v>200</v>
      </c>
      <c r="M15307" t="s">
        <v>33529</v>
      </c>
      <c r="N15307" t="s">
        <v>30</v>
      </c>
      <c r="O15307" t="s">
        <v>31</v>
      </c>
      <c r="P15307" t="str">
        <f>"15219"</f>
        <v>15219</v>
      </c>
    </row>
    <row r="15308" spans="1:16" x14ac:dyDescent="0.25">
      <c r="A15308" t="str">
        <f>"1210007B00344    00"</f>
        <v>1210007B00344    00</v>
      </c>
      <c r="B15308" t="s">
        <v>944</v>
      </c>
      <c r="C15308" t="s">
        <v>33569</v>
      </c>
      <c r="E15308" t="s">
        <v>39</v>
      </c>
      <c r="F15308">
        <v>0</v>
      </c>
      <c r="G15308">
        <v>0</v>
      </c>
      <c r="H15308">
        <v>1</v>
      </c>
      <c r="I15308" s="3">
        <v>2429.9699999999998</v>
      </c>
      <c r="J15308" s="3">
        <v>1680.68</v>
      </c>
      <c r="K15308" t="s">
        <v>33528</v>
      </c>
      <c r="L15308">
        <v>200</v>
      </c>
      <c r="M15308" t="s">
        <v>33529</v>
      </c>
      <c r="N15308" t="s">
        <v>30</v>
      </c>
      <c r="O15308" t="s">
        <v>31</v>
      </c>
      <c r="P15308" t="str">
        <f>"15219"</f>
        <v>15219</v>
      </c>
    </row>
    <row r="15309" spans="1:16" x14ac:dyDescent="0.25">
      <c r="A15309" t="str">
        <f>"1210007B00346    00"</f>
        <v>1210007B00346    00</v>
      </c>
      <c r="B15309" t="s">
        <v>33570</v>
      </c>
      <c r="C15309" t="s">
        <v>33571</v>
      </c>
      <c r="D15309" t="s">
        <v>20</v>
      </c>
      <c r="E15309" t="s">
        <v>39</v>
      </c>
      <c r="F15309">
        <v>0</v>
      </c>
      <c r="G15309">
        <v>0</v>
      </c>
      <c r="H15309">
        <v>2</v>
      </c>
      <c r="I15309" s="3">
        <v>4740.29</v>
      </c>
      <c r="J15309" s="3">
        <v>0</v>
      </c>
      <c r="L15309">
        <v>1402</v>
      </c>
      <c r="M15309" t="s">
        <v>4860</v>
      </c>
      <c r="N15309" t="s">
        <v>30</v>
      </c>
      <c r="O15309" t="s">
        <v>31</v>
      </c>
      <c r="P15309" t="str">
        <f>"15233"</f>
        <v>15233</v>
      </c>
    </row>
    <row r="15310" spans="1:16" x14ac:dyDescent="0.25">
      <c r="A15310" t="str">
        <f>"1210007B00351    00"</f>
        <v>1210007B00351    00</v>
      </c>
      <c r="B15310" t="s">
        <v>33572</v>
      </c>
      <c r="C15310" t="s">
        <v>33573</v>
      </c>
      <c r="D15310" t="s">
        <v>20</v>
      </c>
      <c r="E15310" t="s">
        <v>39</v>
      </c>
      <c r="F15310">
        <v>0</v>
      </c>
      <c r="G15310">
        <v>0</v>
      </c>
      <c r="H15310">
        <v>2</v>
      </c>
      <c r="I15310" s="3">
        <v>8815.32</v>
      </c>
      <c r="J15310" s="3">
        <v>0</v>
      </c>
      <c r="L15310">
        <v>1309</v>
      </c>
      <c r="M15310" t="s">
        <v>33574</v>
      </c>
      <c r="N15310" t="s">
        <v>30</v>
      </c>
      <c r="O15310" t="s">
        <v>31</v>
      </c>
      <c r="P15310" t="str">
        <f>"15233"</f>
        <v>15233</v>
      </c>
    </row>
    <row r="15311" spans="1:16" x14ac:dyDescent="0.25">
      <c r="A15311" t="str">
        <f>"1210007B00357    00"</f>
        <v>1210007B00357    00</v>
      </c>
      <c r="B15311" t="s">
        <v>33575</v>
      </c>
      <c r="C15311" t="s">
        <v>33576</v>
      </c>
      <c r="E15311" t="s">
        <v>39</v>
      </c>
      <c r="F15311">
        <v>0</v>
      </c>
      <c r="G15311">
        <v>0</v>
      </c>
      <c r="H15311">
        <v>2</v>
      </c>
      <c r="I15311" s="3">
        <v>267.36</v>
      </c>
      <c r="J15311" s="3">
        <v>0</v>
      </c>
      <c r="L15311">
        <v>1322</v>
      </c>
      <c r="M15311" t="s">
        <v>4860</v>
      </c>
      <c r="N15311" t="s">
        <v>30</v>
      </c>
      <c r="O15311" t="s">
        <v>31</v>
      </c>
      <c r="P15311" t="str">
        <f>"15233"</f>
        <v>15233</v>
      </c>
    </row>
    <row r="15312" spans="1:16" x14ac:dyDescent="0.25">
      <c r="A15312" t="str">
        <f>"1210007B00379    00"</f>
        <v>1210007B00379    00</v>
      </c>
      <c r="B15312" t="s">
        <v>33577</v>
      </c>
      <c r="C15312" t="s">
        <v>33578</v>
      </c>
      <c r="E15312" t="s">
        <v>21</v>
      </c>
      <c r="F15312">
        <v>0</v>
      </c>
      <c r="G15312">
        <v>0</v>
      </c>
      <c r="H15312">
        <v>2</v>
      </c>
      <c r="I15312" s="3">
        <v>1437.08</v>
      </c>
      <c r="J15312" s="3">
        <v>1467.86</v>
      </c>
      <c r="L15312">
        <v>1407</v>
      </c>
      <c r="M15312" t="s">
        <v>33579</v>
      </c>
      <c r="N15312" t="s">
        <v>30</v>
      </c>
      <c r="O15312" t="s">
        <v>31</v>
      </c>
      <c r="P15312" t="str">
        <f>"15233"</f>
        <v>15233</v>
      </c>
    </row>
    <row r="15313" spans="1:16" x14ac:dyDescent="0.25">
      <c r="A15313" t="str">
        <f>"1210007B00390    00"</f>
        <v>1210007B00390    00</v>
      </c>
      <c r="B15313" t="s">
        <v>33580</v>
      </c>
      <c r="C15313" t="s">
        <v>33581</v>
      </c>
      <c r="D15313" t="s">
        <v>20</v>
      </c>
      <c r="E15313" t="s">
        <v>21</v>
      </c>
      <c r="F15313">
        <v>0</v>
      </c>
      <c r="G15313">
        <v>0</v>
      </c>
      <c r="H15313">
        <v>1</v>
      </c>
      <c r="I15313" s="3">
        <v>501.29</v>
      </c>
      <c r="J15313" s="3">
        <v>0</v>
      </c>
      <c r="K15313" t="s">
        <v>33582</v>
      </c>
      <c r="L15313">
        <v>2435</v>
      </c>
      <c r="M15313" t="s">
        <v>854</v>
      </c>
      <c r="N15313" t="s">
        <v>30</v>
      </c>
      <c r="O15313" t="s">
        <v>31</v>
      </c>
      <c r="P15313" t="str">
        <f>"15219"</f>
        <v>15219</v>
      </c>
    </row>
    <row r="15314" spans="1:16" x14ac:dyDescent="0.25">
      <c r="A15314" t="str">
        <f>"1210007C00009    00"</f>
        <v>1210007C00009    00</v>
      </c>
      <c r="B15314" t="s">
        <v>33583</v>
      </c>
      <c r="C15314" t="s">
        <v>33584</v>
      </c>
      <c r="E15314" t="s">
        <v>39</v>
      </c>
      <c r="F15314">
        <v>0</v>
      </c>
      <c r="G15314">
        <v>0</v>
      </c>
      <c r="H15314">
        <v>1</v>
      </c>
      <c r="I15314" s="3">
        <v>1395.45</v>
      </c>
      <c r="J15314" s="3">
        <v>279.08</v>
      </c>
      <c r="K15314" t="s">
        <v>6184</v>
      </c>
      <c r="L15314">
        <v>901</v>
      </c>
      <c r="M15314" t="s">
        <v>1503</v>
      </c>
      <c r="N15314" t="s">
        <v>494</v>
      </c>
      <c r="O15314" t="s">
        <v>495</v>
      </c>
      <c r="P15314" t="str">
        <f>"91768"</f>
        <v>91768</v>
      </c>
    </row>
    <row r="15315" spans="1:16" x14ac:dyDescent="0.25">
      <c r="A15315" t="str">
        <f>"1210007C00010    00"</f>
        <v>1210007C00010    00</v>
      </c>
      <c r="B15315" t="s">
        <v>33585</v>
      </c>
      <c r="C15315" t="s">
        <v>33586</v>
      </c>
      <c r="D15315" t="s">
        <v>20</v>
      </c>
      <c r="E15315" t="s">
        <v>39</v>
      </c>
      <c r="F15315">
        <v>0</v>
      </c>
      <c r="G15315">
        <v>0</v>
      </c>
      <c r="H15315">
        <v>2</v>
      </c>
      <c r="I15315" s="3">
        <v>5820.96</v>
      </c>
      <c r="J15315" s="3">
        <v>0</v>
      </c>
      <c r="K15315" t="s">
        <v>33587</v>
      </c>
      <c r="L15315">
        <v>1237</v>
      </c>
      <c r="M15315" t="s">
        <v>4860</v>
      </c>
      <c r="N15315" t="s">
        <v>30</v>
      </c>
      <c r="O15315" t="s">
        <v>31</v>
      </c>
      <c r="P15315" t="str">
        <f>"15233"</f>
        <v>15233</v>
      </c>
    </row>
    <row r="15316" spans="1:16" x14ac:dyDescent="0.25">
      <c r="A15316" t="str">
        <f>"1210007C00013    00"</f>
        <v>1210007C00013    00</v>
      </c>
      <c r="B15316" t="s">
        <v>33588</v>
      </c>
      <c r="C15316" t="s">
        <v>33589</v>
      </c>
      <c r="E15316" t="s">
        <v>21</v>
      </c>
      <c r="F15316">
        <v>0</v>
      </c>
      <c r="G15316">
        <v>0</v>
      </c>
      <c r="H15316">
        <v>1</v>
      </c>
      <c r="I15316" s="3">
        <v>2159.6799999999998</v>
      </c>
      <c r="J15316" s="3">
        <v>0</v>
      </c>
      <c r="K15316" t="s">
        <v>33590</v>
      </c>
      <c r="L15316">
        <v>42</v>
      </c>
      <c r="M15316" t="s">
        <v>33591</v>
      </c>
      <c r="N15316" t="s">
        <v>33592</v>
      </c>
      <c r="O15316" t="s">
        <v>200</v>
      </c>
      <c r="P15316" t="str">
        <f>"11050"</f>
        <v>11050</v>
      </c>
    </row>
    <row r="15317" spans="1:16" x14ac:dyDescent="0.25">
      <c r="A15317" t="str">
        <f>"1210007C00022    00"</f>
        <v>1210007C00022    00</v>
      </c>
      <c r="B15317" t="s">
        <v>33593</v>
      </c>
      <c r="C15317" t="s">
        <v>33594</v>
      </c>
      <c r="E15317" t="s">
        <v>39</v>
      </c>
      <c r="F15317">
        <v>0</v>
      </c>
      <c r="G15317">
        <v>0</v>
      </c>
      <c r="H15317">
        <v>1</v>
      </c>
      <c r="I15317" s="3">
        <v>647.80999999999995</v>
      </c>
      <c r="J15317" s="3">
        <v>0</v>
      </c>
      <c r="L15317">
        <v>1211</v>
      </c>
      <c r="M15317" t="s">
        <v>4860</v>
      </c>
      <c r="N15317" t="s">
        <v>30</v>
      </c>
      <c r="O15317" t="s">
        <v>31</v>
      </c>
      <c r="P15317" t="str">
        <f>"15233"</f>
        <v>15233</v>
      </c>
    </row>
    <row r="15318" spans="1:16" x14ac:dyDescent="0.25">
      <c r="A15318" t="str">
        <f>"1210007C00033    00"</f>
        <v>1210007C00033    00</v>
      </c>
      <c r="B15318" t="s">
        <v>30666</v>
      </c>
      <c r="C15318" t="s">
        <v>33595</v>
      </c>
      <c r="D15318" t="s">
        <v>57</v>
      </c>
      <c r="E15318" t="s">
        <v>21</v>
      </c>
      <c r="F15318">
        <v>0</v>
      </c>
      <c r="G15318">
        <v>0</v>
      </c>
      <c r="H15318">
        <v>1</v>
      </c>
      <c r="I15318" s="3">
        <v>1092.1500000000001</v>
      </c>
      <c r="J15318" s="3">
        <v>45.5</v>
      </c>
      <c r="K15318" t="s">
        <v>7553</v>
      </c>
      <c r="L15318">
        <v>510</v>
      </c>
      <c r="M15318" t="s">
        <v>30668</v>
      </c>
      <c r="N15318" t="s">
        <v>30</v>
      </c>
      <c r="O15318" t="s">
        <v>31</v>
      </c>
      <c r="P15318" t="str">
        <f>"15212"</f>
        <v>15212</v>
      </c>
    </row>
    <row r="15319" spans="1:16" x14ac:dyDescent="0.25">
      <c r="A15319" t="str">
        <f>"1210007C00148    00"</f>
        <v>1210007C00148    00</v>
      </c>
      <c r="B15319" t="s">
        <v>33551</v>
      </c>
      <c r="C15319" t="s">
        <v>33596</v>
      </c>
      <c r="D15319" t="s">
        <v>20</v>
      </c>
      <c r="E15319" t="s">
        <v>39</v>
      </c>
      <c r="F15319">
        <v>0</v>
      </c>
      <c r="G15319">
        <v>0</v>
      </c>
      <c r="H15319">
        <v>5</v>
      </c>
      <c r="I15319" s="3">
        <v>1083.56</v>
      </c>
      <c r="J15319" s="3">
        <v>357.81</v>
      </c>
      <c r="L15319">
        <v>1241</v>
      </c>
      <c r="M15319" t="s">
        <v>33526</v>
      </c>
      <c r="N15319" t="s">
        <v>30</v>
      </c>
      <c r="O15319" t="s">
        <v>31</v>
      </c>
      <c r="P15319" t="str">
        <f>"15233"</f>
        <v>15233</v>
      </c>
    </row>
    <row r="15320" spans="1:16" x14ac:dyDescent="0.25">
      <c r="A15320" t="str">
        <f>"1210007C00149    00"</f>
        <v>1210007C00149    00</v>
      </c>
      <c r="B15320" t="s">
        <v>33597</v>
      </c>
      <c r="C15320" t="s">
        <v>33522</v>
      </c>
      <c r="E15320" t="s">
        <v>39</v>
      </c>
      <c r="F15320">
        <v>0</v>
      </c>
      <c r="G15320">
        <v>0</v>
      </c>
      <c r="H15320">
        <v>1</v>
      </c>
      <c r="I15320" s="3">
        <v>628.98</v>
      </c>
      <c r="J15320" s="3">
        <v>0</v>
      </c>
      <c r="L15320">
        <v>1319</v>
      </c>
      <c r="M15320" t="s">
        <v>33598</v>
      </c>
      <c r="N15320" t="s">
        <v>30</v>
      </c>
      <c r="O15320" t="s">
        <v>31</v>
      </c>
      <c r="P15320" t="str">
        <f>"15233"</f>
        <v>15233</v>
      </c>
    </row>
    <row r="15321" spans="1:16" x14ac:dyDescent="0.25">
      <c r="A15321" t="str">
        <f>"1210007C00150    00"</f>
        <v>1210007C00150    00</v>
      </c>
      <c r="B15321" t="s">
        <v>33551</v>
      </c>
      <c r="C15321" t="s">
        <v>33599</v>
      </c>
      <c r="D15321" t="s">
        <v>20</v>
      </c>
      <c r="E15321" t="s">
        <v>39</v>
      </c>
      <c r="F15321">
        <v>0</v>
      </c>
      <c r="G15321">
        <v>0</v>
      </c>
      <c r="H15321">
        <v>7</v>
      </c>
      <c r="I15321" s="3">
        <v>1481.87</v>
      </c>
      <c r="J15321" s="3">
        <v>594.61</v>
      </c>
      <c r="L15321">
        <v>1241</v>
      </c>
      <c r="M15321" t="s">
        <v>33526</v>
      </c>
      <c r="N15321" t="s">
        <v>30</v>
      </c>
      <c r="O15321" t="s">
        <v>31</v>
      </c>
      <c r="P15321" t="str">
        <f>"15233"</f>
        <v>15233</v>
      </c>
    </row>
    <row r="15322" spans="1:16" x14ac:dyDescent="0.25">
      <c r="A15322" t="str">
        <f>"1210007C00238    00"</f>
        <v>1210007C00238    00</v>
      </c>
      <c r="B15322" t="s">
        <v>33600</v>
      </c>
      <c r="C15322" t="s">
        <v>33601</v>
      </c>
      <c r="E15322" t="s">
        <v>290</v>
      </c>
      <c r="F15322">
        <v>0</v>
      </c>
      <c r="G15322">
        <v>0</v>
      </c>
      <c r="H15322">
        <v>1</v>
      </c>
      <c r="I15322" s="3">
        <v>1128.3499999999999</v>
      </c>
      <c r="J15322" s="3">
        <v>28.21</v>
      </c>
      <c r="K15322" t="s">
        <v>33602</v>
      </c>
      <c r="L15322">
        <v>1016</v>
      </c>
      <c r="M15322" t="s">
        <v>33603</v>
      </c>
      <c r="N15322" t="s">
        <v>30</v>
      </c>
      <c r="O15322" t="s">
        <v>31</v>
      </c>
      <c r="P15322" t="str">
        <f>"15233"</f>
        <v>15233</v>
      </c>
    </row>
    <row r="15323" spans="1:16" x14ac:dyDescent="0.25">
      <c r="A15323" t="str">
        <f>"1210007E00030    00"</f>
        <v>1210007E00030    00</v>
      </c>
      <c r="B15323" t="s">
        <v>218</v>
      </c>
      <c r="C15323" t="s">
        <v>33604</v>
      </c>
      <c r="E15323" t="s">
        <v>21</v>
      </c>
      <c r="F15323">
        <v>0</v>
      </c>
      <c r="G15323">
        <v>0</v>
      </c>
      <c r="H15323">
        <v>1</v>
      </c>
      <c r="I15323" s="3">
        <v>10607.25</v>
      </c>
      <c r="J15323" s="3">
        <v>12463.02</v>
      </c>
      <c r="K15323" t="s">
        <v>220</v>
      </c>
      <c r="L15323">
        <v>412</v>
      </c>
      <c r="M15323" t="s">
        <v>221</v>
      </c>
      <c r="N15323" t="s">
        <v>30</v>
      </c>
      <c r="O15323" t="s">
        <v>31</v>
      </c>
      <c r="P15323" t="str">
        <f>"15219"</f>
        <v>15219</v>
      </c>
    </row>
    <row r="15324" spans="1:16" x14ac:dyDescent="0.25">
      <c r="A15324" t="str">
        <f>"1210007F00010    00"</f>
        <v>1210007F00010    00</v>
      </c>
      <c r="B15324" t="s">
        <v>218</v>
      </c>
      <c r="C15324" t="s">
        <v>33604</v>
      </c>
      <c r="E15324" t="s">
        <v>290</v>
      </c>
      <c r="F15324">
        <v>0</v>
      </c>
      <c r="G15324">
        <v>0</v>
      </c>
      <c r="H15324">
        <v>1</v>
      </c>
      <c r="I15324" s="3">
        <v>19.78</v>
      </c>
      <c r="J15324" s="3">
        <v>23.4</v>
      </c>
      <c r="K15324" t="s">
        <v>220</v>
      </c>
      <c r="L15324">
        <v>412</v>
      </c>
      <c r="M15324" t="s">
        <v>221</v>
      </c>
      <c r="N15324" t="s">
        <v>30</v>
      </c>
      <c r="O15324" t="s">
        <v>31</v>
      </c>
      <c r="P15324" t="str">
        <f>"15219"</f>
        <v>15219</v>
      </c>
    </row>
    <row r="15325" spans="1:16" x14ac:dyDescent="0.25">
      <c r="A15325" t="str">
        <f>"1210007F00020    00"</f>
        <v>1210007F00020    00</v>
      </c>
      <c r="B15325" t="s">
        <v>218</v>
      </c>
      <c r="C15325" t="s">
        <v>33605</v>
      </c>
      <c r="E15325" t="s">
        <v>290</v>
      </c>
      <c r="F15325">
        <v>0</v>
      </c>
      <c r="G15325">
        <v>0</v>
      </c>
      <c r="H15325">
        <v>1</v>
      </c>
      <c r="I15325" s="3">
        <v>175.51</v>
      </c>
      <c r="J15325" s="3">
        <v>207.67</v>
      </c>
      <c r="K15325" t="s">
        <v>220</v>
      </c>
      <c r="L15325">
        <v>412</v>
      </c>
      <c r="M15325" t="s">
        <v>221</v>
      </c>
      <c r="N15325" t="s">
        <v>30</v>
      </c>
      <c r="O15325" t="s">
        <v>31</v>
      </c>
      <c r="P15325" t="str">
        <f>"15219"</f>
        <v>15219</v>
      </c>
    </row>
    <row r="15326" spans="1:16" x14ac:dyDescent="0.25">
      <c r="A15326" t="str">
        <f>"1210007F00025    00"</f>
        <v>1210007F00025    00</v>
      </c>
      <c r="B15326" t="s">
        <v>218</v>
      </c>
      <c r="C15326" t="s">
        <v>33606</v>
      </c>
      <c r="E15326" t="s">
        <v>290</v>
      </c>
      <c r="F15326">
        <v>0</v>
      </c>
      <c r="G15326">
        <v>0</v>
      </c>
      <c r="H15326">
        <v>1</v>
      </c>
      <c r="I15326" s="3">
        <v>514.38</v>
      </c>
      <c r="J15326" s="3">
        <v>604.37</v>
      </c>
      <c r="K15326" t="s">
        <v>220</v>
      </c>
      <c r="L15326">
        <v>412</v>
      </c>
      <c r="M15326" t="s">
        <v>221</v>
      </c>
      <c r="N15326" t="s">
        <v>30</v>
      </c>
      <c r="O15326" t="s">
        <v>31</v>
      </c>
      <c r="P15326" t="str">
        <f>"15219"</f>
        <v>15219</v>
      </c>
    </row>
    <row r="15327" spans="1:16" x14ac:dyDescent="0.25">
      <c r="A15327" t="str">
        <f>"1210007F00058    00"</f>
        <v>1210007F00058    00</v>
      </c>
      <c r="B15327" t="s">
        <v>33607</v>
      </c>
      <c r="C15327" t="s">
        <v>33608</v>
      </c>
      <c r="D15327" t="s">
        <v>20</v>
      </c>
      <c r="E15327" t="s">
        <v>21</v>
      </c>
      <c r="F15327">
        <v>0</v>
      </c>
      <c r="G15327">
        <v>0</v>
      </c>
      <c r="H15327">
        <v>1</v>
      </c>
      <c r="I15327" s="3">
        <v>2708.84</v>
      </c>
      <c r="J15327" s="3">
        <v>0</v>
      </c>
      <c r="L15327">
        <v>701</v>
      </c>
      <c r="M15327" t="s">
        <v>33609</v>
      </c>
      <c r="N15327" t="s">
        <v>30</v>
      </c>
      <c r="O15327" t="s">
        <v>31</v>
      </c>
      <c r="P15327" t="str">
        <f>"15233"</f>
        <v>15233</v>
      </c>
    </row>
    <row r="15328" spans="1:16" x14ac:dyDescent="0.25">
      <c r="A15328" t="str">
        <f>"1210007F00217    00"</f>
        <v>1210007F00217    00</v>
      </c>
      <c r="B15328" t="s">
        <v>33610</v>
      </c>
      <c r="C15328" t="s">
        <v>33611</v>
      </c>
      <c r="D15328" t="s">
        <v>20</v>
      </c>
      <c r="E15328" t="s">
        <v>39</v>
      </c>
      <c r="F15328">
        <v>0</v>
      </c>
      <c r="G15328">
        <v>0</v>
      </c>
      <c r="H15328">
        <v>19</v>
      </c>
      <c r="I15328" s="3">
        <v>2451.2600000000002</v>
      </c>
      <c r="J15328" s="3">
        <v>2485.0500000000002</v>
      </c>
      <c r="L15328">
        <v>535</v>
      </c>
      <c r="M15328" t="s">
        <v>614</v>
      </c>
      <c r="N15328" t="s">
        <v>30</v>
      </c>
      <c r="O15328" t="s">
        <v>31</v>
      </c>
      <c r="P15328" t="str">
        <f>"15222"</f>
        <v>15222</v>
      </c>
    </row>
    <row r="15329" spans="1:16" x14ac:dyDescent="0.25">
      <c r="A15329" t="str">
        <f>"1210007H00087B   00"</f>
        <v>1210007H00087B   00</v>
      </c>
      <c r="B15329" t="s">
        <v>33612</v>
      </c>
      <c r="C15329" t="s">
        <v>33613</v>
      </c>
      <c r="E15329" t="s">
        <v>207</v>
      </c>
      <c r="F15329">
        <v>0</v>
      </c>
      <c r="G15329">
        <v>0</v>
      </c>
      <c r="H15329">
        <v>12</v>
      </c>
      <c r="I15329" s="3">
        <v>1999.27</v>
      </c>
      <c r="J15329" s="3">
        <v>2702.82</v>
      </c>
      <c r="K15329" t="s">
        <v>33614</v>
      </c>
      <c r="P15329" t="str">
        <f>""</f>
        <v/>
      </c>
    </row>
    <row r="15330" spans="1:16" x14ac:dyDescent="0.25">
      <c r="A15330" t="str">
        <f>"1210021D00090    00"</f>
        <v>1210021D00090    00</v>
      </c>
      <c r="B15330" t="s">
        <v>33615</v>
      </c>
      <c r="C15330" t="s">
        <v>33616</v>
      </c>
      <c r="D15330" t="s">
        <v>20</v>
      </c>
      <c r="E15330" t="s">
        <v>290</v>
      </c>
      <c r="F15330">
        <v>0</v>
      </c>
      <c r="G15330">
        <v>0</v>
      </c>
      <c r="H15330">
        <v>3</v>
      </c>
      <c r="I15330" s="3">
        <v>8134.78</v>
      </c>
      <c r="J15330" s="3">
        <v>1097.67</v>
      </c>
      <c r="K15330" t="s">
        <v>33617</v>
      </c>
      <c r="L15330">
        <v>132</v>
      </c>
      <c r="M15330" t="s">
        <v>33618</v>
      </c>
      <c r="N15330" t="s">
        <v>1067</v>
      </c>
      <c r="O15330" t="s">
        <v>31</v>
      </c>
      <c r="P15330" t="str">
        <f>"15143"</f>
        <v>15143</v>
      </c>
    </row>
    <row r="15331" spans="1:16" x14ac:dyDescent="0.25">
      <c r="A15331" t="str">
        <f>"1210022A00081    01"</f>
        <v>1210022A00081    01</v>
      </c>
      <c r="B15331" t="s">
        <v>4501</v>
      </c>
      <c r="C15331" t="s">
        <v>33619</v>
      </c>
      <c r="D15331" t="s">
        <v>20</v>
      </c>
      <c r="E15331" t="s">
        <v>21</v>
      </c>
      <c r="F15331">
        <v>0</v>
      </c>
      <c r="G15331">
        <v>0</v>
      </c>
      <c r="H15331">
        <v>1</v>
      </c>
      <c r="I15331" s="3">
        <v>55.28</v>
      </c>
      <c r="J15331" s="3">
        <v>0</v>
      </c>
      <c r="K15331" t="s">
        <v>603</v>
      </c>
      <c r="L15331">
        <v>650</v>
      </c>
      <c r="M15331" t="s">
        <v>604</v>
      </c>
      <c r="N15331" t="s">
        <v>605</v>
      </c>
      <c r="O15331" t="s">
        <v>606</v>
      </c>
      <c r="P15331" t="str">
        <f>"30308"</f>
        <v>30308</v>
      </c>
    </row>
    <row r="15332" spans="1:16" x14ac:dyDescent="0.25">
      <c r="A15332" t="str">
        <f>"1210022A00165    00"</f>
        <v>1210022A00165    00</v>
      </c>
      <c r="B15332" t="s">
        <v>33620</v>
      </c>
      <c r="C15332" t="s">
        <v>33621</v>
      </c>
      <c r="D15332" t="s">
        <v>20</v>
      </c>
      <c r="E15332" t="s">
        <v>39</v>
      </c>
      <c r="F15332">
        <v>0</v>
      </c>
      <c r="G15332">
        <v>0</v>
      </c>
      <c r="H15332">
        <v>19</v>
      </c>
      <c r="I15332" s="3">
        <v>444.26</v>
      </c>
      <c r="J15332" s="3">
        <v>459.83</v>
      </c>
      <c r="K15332" t="s">
        <v>1037</v>
      </c>
      <c r="L15332">
        <v>2206</v>
      </c>
      <c r="M15332" t="s">
        <v>33622</v>
      </c>
      <c r="N15332" t="s">
        <v>30</v>
      </c>
      <c r="O15332" t="s">
        <v>31</v>
      </c>
      <c r="P15332" t="str">
        <f t="shared" ref="P15332:P15339" si="198">"15212"</f>
        <v>15212</v>
      </c>
    </row>
    <row r="15333" spans="1:16" x14ac:dyDescent="0.25">
      <c r="A15333" t="str">
        <f>"1210022A00167    00"</f>
        <v>1210022A00167    00</v>
      </c>
      <c r="B15333" t="s">
        <v>33623</v>
      </c>
      <c r="C15333" t="s">
        <v>33621</v>
      </c>
      <c r="D15333" t="s">
        <v>20</v>
      </c>
      <c r="E15333" t="s">
        <v>39</v>
      </c>
      <c r="F15333">
        <v>0</v>
      </c>
      <c r="G15333">
        <v>0</v>
      </c>
      <c r="H15333">
        <v>17</v>
      </c>
      <c r="I15333" s="3">
        <v>111.41</v>
      </c>
      <c r="J15333" s="3">
        <v>79.849999999999994</v>
      </c>
      <c r="K15333" t="s">
        <v>1037</v>
      </c>
      <c r="L15333">
        <v>2202</v>
      </c>
      <c r="M15333" t="s">
        <v>33622</v>
      </c>
      <c r="N15333" t="s">
        <v>30</v>
      </c>
      <c r="O15333" t="s">
        <v>31</v>
      </c>
      <c r="P15333" t="str">
        <f t="shared" si="198"/>
        <v>15212</v>
      </c>
    </row>
    <row r="15334" spans="1:16" x14ac:dyDescent="0.25">
      <c r="A15334" t="str">
        <f>"1210022A00168    00"</f>
        <v>1210022A00168    00</v>
      </c>
      <c r="B15334" t="s">
        <v>33624</v>
      </c>
      <c r="C15334" t="s">
        <v>33625</v>
      </c>
      <c r="D15334" t="s">
        <v>20</v>
      </c>
      <c r="E15334" t="s">
        <v>39</v>
      </c>
      <c r="F15334">
        <v>0</v>
      </c>
      <c r="G15334">
        <v>0</v>
      </c>
      <c r="H15334">
        <v>19</v>
      </c>
      <c r="I15334" s="3">
        <v>422.25</v>
      </c>
      <c r="J15334" s="3">
        <v>448.19</v>
      </c>
      <c r="K15334" t="s">
        <v>1037</v>
      </c>
      <c r="L15334">
        <v>2200</v>
      </c>
      <c r="M15334" t="s">
        <v>33622</v>
      </c>
      <c r="N15334" t="s">
        <v>30</v>
      </c>
      <c r="O15334" t="s">
        <v>31</v>
      </c>
      <c r="P15334" t="str">
        <f t="shared" si="198"/>
        <v>15212</v>
      </c>
    </row>
    <row r="15335" spans="1:16" x14ac:dyDescent="0.25">
      <c r="A15335" t="str">
        <f>"1210022A00169    00"</f>
        <v>1210022A00169    00</v>
      </c>
      <c r="B15335" t="s">
        <v>33626</v>
      </c>
      <c r="C15335" t="s">
        <v>33625</v>
      </c>
      <c r="D15335" t="s">
        <v>20</v>
      </c>
      <c r="E15335" t="s">
        <v>39</v>
      </c>
      <c r="F15335">
        <v>0</v>
      </c>
      <c r="G15335">
        <v>0</v>
      </c>
      <c r="H15335">
        <v>19</v>
      </c>
      <c r="I15335" s="3">
        <v>257.02999999999997</v>
      </c>
      <c r="J15335" s="3">
        <v>194.1</v>
      </c>
      <c r="K15335" t="s">
        <v>1037</v>
      </c>
      <c r="L15335">
        <v>2226</v>
      </c>
      <c r="M15335" t="s">
        <v>17198</v>
      </c>
      <c r="N15335" t="s">
        <v>30</v>
      </c>
      <c r="O15335" t="s">
        <v>31</v>
      </c>
      <c r="P15335" t="str">
        <f t="shared" si="198"/>
        <v>15212</v>
      </c>
    </row>
    <row r="15336" spans="1:16" x14ac:dyDescent="0.25">
      <c r="A15336" t="str">
        <f>"1210022A00183    00"</f>
        <v>1210022A00183    00</v>
      </c>
      <c r="B15336" t="s">
        <v>33627</v>
      </c>
      <c r="C15336" t="s">
        <v>33628</v>
      </c>
      <c r="D15336" t="s">
        <v>20</v>
      </c>
      <c r="E15336" t="s">
        <v>39</v>
      </c>
      <c r="F15336">
        <v>0</v>
      </c>
      <c r="G15336">
        <v>0</v>
      </c>
      <c r="H15336">
        <v>19</v>
      </c>
      <c r="I15336" s="3">
        <v>742.1</v>
      </c>
      <c r="J15336" s="3">
        <v>431.08</v>
      </c>
      <c r="K15336" t="s">
        <v>1037</v>
      </c>
      <c r="L15336">
        <v>2228</v>
      </c>
      <c r="M15336" t="s">
        <v>33629</v>
      </c>
      <c r="N15336" t="s">
        <v>30</v>
      </c>
      <c r="O15336" t="s">
        <v>31</v>
      </c>
      <c r="P15336" t="str">
        <f t="shared" si="198"/>
        <v>15212</v>
      </c>
    </row>
    <row r="15337" spans="1:16" x14ac:dyDescent="0.25">
      <c r="A15337" t="str">
        <f>"1210022A00189    00"</f>
        <v>1210022A00189    00</v>
      </c>
      <c r="B15337" t="s">
        <v>33630</v>
      </c>
      <c r="C15337" t="s">
        <v>33628</v>
      </c>
      <c r="D15337" t="s">
        <v>20</v>
      </c>
      <c r="E15337" t="s">
        <v>39</v>
      </c>
      <c r="F15337">
        <v>0</v>
      </c>
      <c r="G15337">
        <v>0</v>
      </c>
      <c r="H15337">
        <v>19</v>
      </c>
      <c r="I15337" s="3">
        <v>444.26</v>
      </c>
      <c r="J15337" s="3">
        <v>459.83</v>
      </c>
      <c r="K15337" t="s">
        <v>1037</v>
      </c>
      <c r="L15337">
        <v>2248</v>
      </c>
      <c r="M15337" t="s">
        <v>33631</v>
      </c>
      <c r="N15337" t="s">
        <v>30</v>
      </c>
      <c r="O15337" t="s">
        <v>31</v>
      </c>
      <c r="P15337" t="str">
        <f t="shared" si="198"/>
        <v>15212</v>
      </c>
    </row>
    <row r="15338" spans="1:16" x14ac:dyDescent="0.25">
      <c r="A15338" t="str">
        <f>"1210022A00199    00"</f>
        <v>1210022A00199    00</v>
      </c>
      <c r="B15338" t="s">
        <v>33627</v>
      </c>
      <c r="C15338" t="s">
        <v>33628</v>
      </c>
      <c r="D15338" t="s">
        <v>20</v>
      </c>
      <c r="E15338" t="s">
        <v>39</v>
      </c>
      <c r="F15338">
        <v>0</v>
      </c>
      <c r="G15338">
        <v>0</v>
      </c>
      <c r="H15338">
        <v>19</v>
      </c>
      <c r="I15338" s="3">
        <v>764.17</v>
      </c>
      <c r="J15338" s="3">
        <v>442.74</v>
      </c>
      <c r="K15338" t="s">
        <v>1037</v>
      </c>
      <c r="L15338">
        <v>2228</v>
      </c>
      <c r="M15338" t="s">
        <v>33629</v>
      </c>
      <c r="N15338" t="s">
        <v>30</v>
      </c>
      <c r="O15338" t="s">
        <v>31</v>
      </c>
      <c r="P15338" t="str">
        <f t="shared" si="198"/>
        <v>15212</v>
      </c>
    </row>
    <row r="15339" spans="1:16" x14ac:dyDescent="0.25">
      <c r="A15339" t="str">
        <f>"1210022A00218    00"</f>
        <v>1210022A00218    00</v>
      </c>
      <c r="B15339" t="s">
        <v>33632</v>
      </c>
      <c r="C15339" t="s">
        <v>33633</v>
      </c>
      <c r="D15339" t="s">
        <v>20</v>
      </c>
      <c r="E15339" t="s">
        <v>39</v>
      </c>
      <c r="F15339">
        <v>0</v>
      </c>
      <c r="G15339">
        <v>0</v>
      </c>
      <c r="H15339">
        <v>19</v>
      </c>
      <c r="I15339" s="3">
        <v>3512.2</v>
      </c>
      <c r="J15339" s="3">
        <v>1960.19</v>
      </c>
      <c r="K15339" t="s">
        <v>1037</v>
      </c>
      <c r="L15339">
        <v>2218</v>
      </c>
      <c r="M15339" t="s">
        <v>33634</v>
      </c>
      <c r="N15339" t="s">
        <v>30</v>
      </c>
      <c r="O15339" t="s">
        <v>31</v>
      </c>
      <c r="P15339" t="str">
        <f t="shared" si="198"/>
        <v>15212</v>
      </c>
    </row>
    <row r="15340" spans="1:16" x14ac:dyDescent="0.25">
      <c r="A15340" t="str">
        <f>"1210022B00001    00"</f>
        <v>1210022B00001    00</v>
      </c>
      <c r="B15340" t="s">
        <v>9290</v>
      </c>
      <c r="C15340" t="s">
        <v>33635</v>
      </c>
      <c r="D15340" t="s">
        <v>20</v>
      </c>
      <c r="E15340" t="s">
        <v>207</v>
      </c>
      <c r="F15340">
        <v>0</v>
      </c>
      <c r="G15340">
        <v>0</v>
      </c>
      <c r="H15340">
        <v>8</v>
      </c>
      <c r="I15340" s="3">
        <v>6391.95</v>
      </c>
      <c r="J15340" s="3">
        <v>2091.5700000000002</v>
      </c>
      <c r="L15340">
        <v>414</v>
      </c>
      <c r="M15340" t="s">
        <v>9292</v>
      </c>
      <c r="N15340" t="s">
        <v>30</v>
      </c>
      <c r="O15340" t="s">
        <v>31</v>
      </c>
      <c r="P15340" t="str">
        <f>"15219"</f>
        <v>15219</v>
      </c>
    </row>
    <row r="15341" spans="1:16" x14ac:dyDescent="0.25">
      <c r="A15341" t="str">
        <f>"1210022B00032    00"</f>
        <v>1210022B00032    00</v>
      </c>
      <c r="B15341" t="s">
        <v>33636</v>
      </c>
      <c r="C15341" t="s">
        <v>33637</v>
      </c>
      <c r="D15341" t="s">
        <v>20</v>
      </c>
      <c r="E15341" t="s">
        <v>39</v>
      </c>
      <c r="F15341">
        <v>0</v>
      </c>
      <c r="G15341">
        <v>0</v>
      </c>
      <c r="H15341">
        <v>1</v>
      </c>
      <c r="I15341" s="3">
        <v>112.77</v>
      </c>
      <c r="J15341" s="3">
        <v>0</v>
      </c>
      <c r="L15341">
        <v>1305</v>
      </c>
      <c r="M15341" t="s">
        <v>33638</v>
      </c>
      <c r="N15341" t="s">
        <v>30</v>
      </c>
      <c r="O15341" t="s">
        <v>31</v>
      </c>
      <c r="P15341" t="str">
        <f>"15212"</f>
        <v>15212</v>
      </c>
    </row>
    <row r="15342" spans="1:16" x14ac:dyDescent="0.25">
      <c r="A15342" t="str">
        <f>"1210022B00041    00"</f>
        <v>1210022B00041    00</v>
      </c>
      <c r="B15342" t="s">
        <v>33639</v>
      </c>
      <c r="C15342" t="s">
        <v>33640</v>
      </c>
      <c r="D15342" t="s">
        <v>20</v>
      </c>
      <c r="E15342" t="s">
        <v>39</v>
      </c>
      <c r="F15342">
        <v>0</v>
      </c>
      <c r="G15342">
        <v>0</v>
      </c>
      <c r="H15342">
        <v>19</v>
      </c>
      <c r="I15342" s="3">
        <v>11154.39</v>
      </c>
      <c r="J15342" s="3">
        <v>13153.55</v>
      </c>
      <c r="L15342">
        <v>5440</v>
      </c>
      <c r="M15342" t="s">
        <v>2901</v>
      </c>
      <c r="N15342" t="s">
        <v>30</v>
      </c>
      <c r="O15342" t="s">
        <v>31</v>
      </c>
      <c r="P15342" t="str">
        <f>"15206"</f>
        <v>15206</v>
      </c>
    </row>
    <row r="15343" spans="1:16" x14ac:dyDescent="0.25">
      <c r="A15343" t="str">
        <f>"1210022B00044    00"</f>
        <v>1210022B00044    00</v>
      </c>
      <c r="B15343" t="s">
        <v>33641</v>
      </c>
      <c r="C15343" t="s">
        <v>33642</v>
      </c>
      <c r="D15343" t="s">
        <v>20</v>
      </c>
      <c r="E15343" t="s">
        <v>39</v>
      </c>
      <c r="F15343">
        <v>0</v>
      </c>
      <c r="G15343">
        <v>0</v>
      </c>
      <c r="H15343">
        <v>2</v>
      </c>
      <c r="I15343" s="3">
        <v>387.51</v>
      </c>
      <c r="J15343" s="3">
        <v>0</v>
      </c>
      <c r="K15343" t="s">
        <v>33643</v>
      </c>
      <c r="L15343">
        <v>2137</v>
      </c>
      <c r="M15343" t="s">
        <v>33644</v>
      </c>
      <c r="N15343" t="s">
        <v>625</v>
      </c>
      <c r="O15343" t="s">
        <v>31</v>
      </c>
      <c r="P15343" t="str">
        <f>"15108"</f>
        <v>15108</v>
      </c>
    </row>
    <row r="15344" spans="1:16" x14ac:dyDescent="0.25">
      <c r="A15344" t="str">
        <f>"1210022B00046    00"</f>
        <v>1210022B00046    00</v>
      </c>
      <c r="B15344" t="s">
        <v>33645</v>
      </c>
      <c r="C15344" t="s">
        <v>33646</v>
      </c>
      <c r="D15344" t="s">
        <v>20</v>
      </c>
      <c r="E15344" t="s">
        <v>39</v>
      </c>
      <c r="F15344">
        <v>0</v>
      </c>
      <c r="G15344">
        <v>0</v>
      </c>
      <c r="H15344">
        <v>16</v>
      </c>
      <c r="I15344" s="3">
        <v>11015.01</v>
      </c>
      <c r="J15344" s="3">
        <v>7822.67</v>
      </c>
      <c r="M15344" t="s">
        <v>33647</v>
      </c>
      <c r="N15344" t="s">
        <v>33648</v>
      </c>
      <c r="O15344" t="s">
        <v>31</v>
      </c>
      <c r="P15344" t="str">
        <f>"16233"</f>
        <v>16233</v>
      </c>
    </row>
    <row r="15345" spans="1:16" x14ac:dyDescent="0.25">
      <c r="A15345" t="str">
        <f>"1210022B00064    00"</f>
        <v>1210022B00064    00</v>
      </c>
      <c r="B15345" t="s">
        <v>33649</v>
      </c>
      <c r="C15345" t="s">
        <v>33650</v>
      </c>
      <c r="D15345" t="s">
        <v>20</v>
      </c>
      <c r="E15345" t="s">
        <v>39</v>
      </c>
      <c r="F15345">
        <v>0</v>
      </c>
      <c r="G15345">
        <v>0</v>
      </c>
      <c r="H15345">
        <v>19</v>
      </c>
      <c r="I15345" s="3">
        <v>16238.31</v>
      </c>
      <c r="J15345" s="3">
        <v>15195.06</v>
      </c>
      <c r="K15345" t="s">
        <v>33651</v>
      </c>
      <c r="L15345">
        <v>2847</v>
      </c>
      <c r="M15345" t="s">
        <v>33652</v>
      </c>
      <c r="N15345" t="s">
        <v>6941</v>
      </c>
      <c r="O15345" t="s">
        <v>31</v>
      </c>
      <c r="P15345" t="str">
        <f>"15003"</f>
        <v>15003</v>
      </c>
    </row>
    <row r="15346" spans="1:16" x14ac:dyDescent="0.25">
      <c r="A15346" t="str">
        <f>"1210022B00071    00"</f>
        <v>1210022B00071    00</v>
      </c>
      <c r="B15346" t="s">
        <v>33653</v>
      </c>
      <c r="C15346" t="s">
        <v>33654</v>
      </c>
      <c r="D15346" t="s">
        <v>20</v>
      </c>
      <c r="E15346" t="s">
        <v>39</v>
      </c>
      <c r="F15346">
        <v>0</v>
      </c>
      <c r="G15346">
        <v>0</v>
      </c>
      <c r="H15346">
        <v>18</v>
      </c>
      <c r="I15346" s="3">
        <v>3621.87</v>
      </c>
      <c r="J15346" s="3">
        <v>2678.9</v>
      </c>
      <c r="K15346" t="s">
        <v>33655</v>
      </c>
      <c r="L15346">
        <v>1228</v>
      </c>
      <c r="M15346" t="s">
        <v>33656</v>
      </c>
      <c r="N15346" t="s">
        <v>30</v>
      </c>
      <c r="O15346" t="s">
        <v>31</v>
      </c>
      <c r="P15346" t="str">
        <f>"15212"</f>
        <v>15212</v>
      </c>
    </row>
    <row r="15347" spans="1:16" x14ac:dyDescent="0.25">
      <c r="A15347" t="str">
        <f>"1210022B00072    00"</f>
        <v>1210022B00072    00</v>
      </c>
      <c r="B15347" t="s">
        <v>33657</v>
      </c>
      <c r="C15347" t="s">
        <v>33654</v>
      </c>
      <c r="D15347" t="s">
        <v>20</v>
      </c>
      <c r="E15347" t="s">
        <v>39</v>
      </c>
      <c r="F15347">
        <v>0</v>
      </c>
      <c r="G15347">
        <v>0</v>
      </c>
      <c r="H15347">
        <v>10</v>
      </c>
      <c r="I15347" s="3">
        <v>772.58</v>
      </c>
      <c r="J15347" s="3">
        <v>369.98</v>
      </c>
      <c r="L15347">
        <v>3540</v>
      </c>
      <c r="M15347" t="s">
        <v>33658</v>
      </c>
      <c r="N15347" t="s">
        <v>30</v>
      </c>
      <c r="O15347" t="s">
        <v>31</v>
      </c>
      <c r="P15347" t="str">
        <f>"15212"</f>
        <v>15212</v>
      </c>
    </row>
    <row r="15348" spans="1:16" x14ac:dyDescent="0.25">
      <c r="A15348" t="str">
        <f>"1210022B00073    00"</f>
        <v>1210022B00073    00</v>
      </c>
      <c r="B15348" t="s">
        <v>33657</v>
      </c>
      <c r="C15348" t="s">
        <v>33659</v>
      </c>
      <c r="D15348" t="s">
        <v>20</v>
      </c>
      <c r="E15348" t="s">
        <v>39</v>
      </c>
      <c r="F15348">
        <v>0</v>
      </c>
      <c r="G15348">
        <v>0</v>
      </c>
      <c r="H15348">
        <v>11</v>
      </c>
      <c r="I15348" s="3">
        <v>4983.93</v>
      </c>
      <c r="J15348" s="3">
        <v>2378.65</v>
      </c>
      <c r="L15348">
        <v>3540</v>
      </c>
      <c r="M15348" t="s">
        <v>33658</v>
      </c>
      <c r="N15348" t="s">
        <v>30</v>
      </c>
      <c r="O15348" t="s">
        <v>31</v>
      </c>
      <c r="P15348" t="str">
        <f>"15212"</f>
        <v>15212</v>
      </c>
    </row>
    <row r="15349" spans="1:16" x14ac:dyDescent="0.25">
      <c r="A15349" t="str">
        <f>"1210022B00074    00"</f>
        <v>1210022B00074    00</v>
      </c>
      <c r="B15349" t="s">
        <v>33660</v>
      </c>
      <c r="C15349" t="s">
        <v>33654</v>
      </c>
      <c r="D15349" t="s">
        <v>20</v>
      </c>
      <c r="E15349" t="s">
        <v>39</v>
      </c>
      <c r="F15349">
        <v>0</v>
      </c>
      <c r="G15349">
        <v>0</v>
      </c>
      <c r="H15349">
        <v>19</v>
      </c>
      <c r="I15349" s="3">
        <v>4664.7700000000004</v>
      </c>
      <c r="J15349" s="3">
        <v>4541.55</v>
      </c>
      <c r="L15349">
        <v>809</v>
      </c>
      <c r="M15349" t="s">
        <v>33661</v>
      </c>
      <c r="N15349" t="s">
        <v>199</v>
      </c>
      <c r="O15349" t="s">
        <v>200</v>
      </c>
      <c r="P15349" t="str">
        <f>"10033"</f>
        <v>10033</v>
      </c>
    </row>
    <row r="15350" spans="1:16" x14ac:dyDescent="0.25">
      <c r="A15350" t="str">
        <f>"1210022B00078    00"</f>
        <v>1210022B00078    00</v>
      </c>
      <c r="B15350" t="s">
        <v>33662</v>
      </c>
      <c r="C15350" t="s">
        <v>33654</v>
      </c>
      <c r="D15350" t="s">
        <v>20</v>
      </c>
      <c r="E15350" t="s">
        <v>39</v>
      </c>
      <c r="F15350">
        <v>0</v>
      </c>
      <c r="G15350">
        <v>0</v>
      </c>
      <c r="H15350">
        <v>19</v>
      </c>
      <c r="I15350" s="3">
        <v>3600.08</v>
      </c>
      <c r="J15350" s="3">
        <v>1971.53</v>
      </c>
      <c r="K15350" t="s">
        <v>1037</v>
      </c>
      <c r="L15350">
        <v>2344</v>
      </c>
      <c r="M15350" t="s">
        <v>17198</v>
      </c>
      <c r="N15350" t="s">
        <v>30</v>
      </c>
      <c r="O15350" t="s">
        <v>31</v>
      </c>
      <c r="P15350" t="str">
        <f>"15212"</f>
        <v>15212</v>
      </c>
    </row>
    <row r="15351" spans="1:16" x14ac:dyDescent="0.25">
      <c r="A15351" t="str">
        <f>"1210022B00089    00"</f>
        <v>1210022B00089    00</v>
      </c>
      <c r="B15351" t="s">
        <v>33663</v>
      </c>
      <c r="C15351" t="s">
        <v>33654</v>
      </c>
      <c r="E15351" t="s">
        <v>39</v>
      </c>
      <c r="F15351">
        <v>0</v>
      </c>
      <c r="G15351">
        <v>0</v>
      </c>
      <c r="H15351">
        <v>5</v>
      </c>
      <c r="I15351" s="3">
        <v>1696.65</v>
      </c>
      <c r="J15351" s="3">
        <v>2523.67</v>
      </c>
      <c r="L15351">
        <v>119</v>
      </c>
      <c r="M15351" t="s">
        <v>20847</v>
      </c>
      <c r="N15351" t="s">
        <v>30</v>
      </c>
      <c r="O15351" t="s">
        <v>31</v>
      </c>
      <c r="P15351" t="str">
        <f>"15205"</f>
        <v>15205</v>
      </c>
    </row>
    <row r="15352" spans="1:16" x14ac:dyDescent="0.25">
      <c r="A15352" t="str">
        <f>"1210022B00090    00"</f>
        <v>1210022B00090    00</v>
      </c>
      <c r="B15352" t="s">
        <v>33664</v>
      </c>
      <c r="C15352" t="s">
        <v>33654</v>
      </c>
      <c r="D15352" t="s">
        <v>20</v>
      </c>
      <c r="E15352" t="s">
        <v>39</v>
      </c>
      <c r="F15352">
        <v>0</v>
      </c>
      <c r="G15352">
        <v>0</v>
      </c>
      <c r="H15352">
        <v>19</v>
      </c>
      <c r="I15352" s="3">
        <v>4122.25</v>
      </c>
      <c r="J15352" s="3">
        <v>3368.33</v>
      </c>
      <c r="L15352">
        <v>1027</v>
      </c>
      <c r="M15352" t="s">
        <v>33665</v>
      </c>
      <c r="N15352" t="s">
        <v>30</v>
      </c>
      <c r="O15352" t="s">
        <v>31</v>
      </c>
      <c r="P15352" t="str">
        <f>"15212"</f>
        <v>15212</v>
      </c>
    </row>
    <row r="15353" spans="1:16" x14ac:dyDescent="0.25">
      <c r="A15353" t="str">
        <f>"1210022B00091    00"</f>
        <v>1210022B00091    00</v>
      </c>
      <c r="B15353" t="s">
        <v>33666</v>
      </c>
      <c r="C15353" t="s">
        <v>33654</v>
      </c>
      <c r="D15353" t="s">
        <v>20</v>
      </c>
      <c r="E15353" t="s">
        <v>39</v>
      </c>
      <c r="F15353">
        <v>0</v>
      </c>
      <c r="G15353">
        <v>0</v>
      </c>
      <c r="H15353">
        <v>15</v>
      </c>
      <c r="I15353" s="3">
        <v>3056.09</v>
      </c>
      <c r="J15353" s="3">
        <v>1758.17</v>
      </c>
      <c r="L15353">
        <v>900</v>
      </c>
      <c r="M15353" t="s">
        <v>33667</v>
      </c>
      <c r="N15353" t="s">
        <v>2534</v>
      </c>
      <c r="O15353" t="s">
        <v>1184</v>
      </c>
      <c r="P15353" t="str">
        <f>"21230"</f>
        <v>21230</v>
      </c>
    </row>
    <row r="15354" spans="1:16" x14ac:dyDescent="0.25">
      <c r="A15354" t="str">
        <f>"1210022B00093    00"</f>
        <v>1210022B00093    00</v>
      </c>
      <c r="B15354" t="s">
        <v>33668</v>
      </c>
      <c r="C15354" t="s">
        <v>33669</v>
      </c>
      <c r="E15354" t="s">
        <v>39</v>
      </c>
      <c r="F15354">
        <v>0</v>
      </c>
      <c r="G15354">
        <v>0</v>
      </c>
      <c r="H15354">
        <v>1</v>
      </c>
      <c r="I15354" s="3">
        <v>480.31</v>
      </c>
      <c r="J15354" s="3">
        <v>0</v>
      </c>
      <c r="L15354">
        <v>21</v>
      </c>
      <c r="M15354" t="s">
        <v>33670</v>
      </c>
      <c r="N15354" t="s">
        <v>30</v>
      </c>
      <c r="O15354" t="s">
        <v>31</v>
      </c>
      <c r="P15354" t="str">
        <f>"15214"</f>
        <v>15214</v>
      </c>
    </row>
    <row r="15355" spans="1:16" x14ac:dyDescent="0.25">
      <c r="A15355" t="str">
        <f>"1210022B00120    00"</f>
        <v>1210022B00120    00</v>
      </c>
      <c r="B15355" t="s">
        <v>33671</v>
      </c>
      <c r="C15355" t="s">
        <v>33654</v>
      </c>
      <c r="D15355" t="s">
        <v>20</v>
      </c>
      <c r="E15355" t="s">
        <v>39</v>
      </c>
      <c r="F15355">
        <v>0</v>
      </c>
      <c r="G15355">
        <v>0</v>
      </c>
      <c r="H15355">
        <v>19</v>
      </c>
      <c r="I15355" s="3">
        <v>422.25</v>
      </c>
      <c r="J15355" s="3">
        <v>448.19</v>
      </c>
      <c r="K15355" t="s">
        <v>1008</v>
      </c>
      <c r="P15355" t="str">
        <f>""</f>
        <v/>
      </c>
    </row>
    <row r="15356" spans="1:16" x14ac:dyDescent="0.25">
      <c r="A15356" t="str">
        <f>"1210022B00121    00"</f>
        <v>1210022B00121    00</v>
      </c>
      <c r="B15356" t="s">
        <v>33672</v>
      </c>
      <c r="C15356" t="s">
        <v>33654</v>
      </c>
      <c r="D15356" t="s">
        <v>20</v>
      </c>
      <c r="E15356" t="s">
        <v>39</v>
      </c>
      <c r="F15356">
        <v>0</v>
      </c>
      <c r="G15356">
        <v>0</v>
      </c>
      <c r="H15356">
        <v>19</v>
      </c>
      <c r="I15356" s="3">
        <v>3180.31</v>
      </c>
      <c r="J15356" s="3">
        <v>1965.24</v>
      </c>
      <c r="K15356" t="s">
        <v>1008</v>
      </c>
      <c r="P15356" t="str">
        <f>""</f>
        <v/>
      </c>
    </row>
    <row r="15357" spans="1:16" x14ac:dyDescent="0.25">
      <c r="A15357" t="str">
        <f>"1210022B00122    00"</f>
        <v>1210022B00122    00</v>
      </c>
      <c r="B15357" t="s">
        <v>33673</v>
      </c>
      <c r="C15357" t="s">
        <v>33654</v>
      </c>
      <c r="D15357" t="s">
        <v>20</v>
      </c>
      <c r="E15357" t="s">
        <v>39</v>
      </c>
      <c r="F15357">
        <v>0</v>
      </c>
      <c r="G15357">
        <v>0</v>
      </c>
      <c r="H15357">
        <v>19</v>
      </c>
      <c r="I15357" s="3">
        <v>3148.17</v>
      </c>
      <c r="J15357" s="3">
        <v>1943</v>
      </c>
      <c r="K15357" t="s">
        <v>33674</v>
      </c>
      <c r="L15357">
        <v>1323</v>
      </c>
      <c r="M15357" t="s">
        <v>33656</v>
      </c>
      <c r="N15357" t="s">
        <v>30</v>
      </c>
      <c r="O15357" t="s">
        <v>31</v>
      </c>
      <c r="P15357" t="str">
        <f>"15212"</f>
        <v>15212</v>
      </c>
    </row>
    <row r="15358" spans="1:16" x14ac:dyDescent="0.25">
      <c r="A15358" t="str">
        <f>"1210022B00123    00"</f>
        <v>1210022B00123    00</v>
      </c>
      <c r="B15358" t="s">
        <v>33675</v>
      </c>
      <c r="C15358" t="s">
        <v>33654</v>
      </c>
      <c r="D15358" t="s">
        <v>20</v>
      </c>
      <c r="E15358" t="s">
        <v>39</v>
      </c>
      <c r="F15358">
        <v>0</v>
      </c>
      <c r="G15358">
        <v>0</v>
      </c>
      <c r="H15358">
        <v>18</v>
      </c>
      <c r="I15358" s="3">
        <v>4698.13</v>
      </c>
      <c r="J15358" s="3">
        <v>4483.59</v>
      </c>
      <c r="L15358">
        <v>827</v>
      </c>
      <c r="M15358" t="s">
        <v>23798</v>
      </c>
      <c r="N15358" t="s">
        <v>903</v>
      </c>
      <c r="O15358" t="s">
        <v>31</v>
      </c>
      <c r="P15358" t="str">
        <f>"15136"</f>
        <v>15136</v>
      </c>
    </row>
    <row r="15359" spans="1:16" x14ac:dyDescent="0.25">
      <c r="A15359" t="str">
        <f>"1210022B00124    00"</f>
        <v>1210022B00124    00</v>
      </c>
      <c r="B15359" t="s">
        <v>33676</v>
      </c>
      <c r="C15359" t="s">
        <v>33654</v>
      </c>
      <c r="D15359" t="s">
        <v>20</v>
      </c>
      <c r="E15359" t="s">
        <v>39</v>
      </c>
      <c r="F15359">
        <v>0</v>
      </c>
      <c r="G15359">
        <v>0</v>
      </c>
      <c r="H15359">
        <v>19</v>
      </c>
      <c r="I15359" s="3">
        <v>5128.4399999999996</v>
      </c>
      <c r="J15359" s="3">
        <v>5211.1499999999996</v>
      </c>
      <c r="P15359" t="str">
        <f>""</f>
        <v/>
      </c>
    </row>
    <row r="15360" spans="1:16" x14ac:dyDescent="0.25">
      <c r="A15360" t="str">
        <f>"1210022B00126    00"</f>
        <v>1210022B00126    00</v>
      </c>
      <c r="B15360" t="s">
        <v>33677</v>
      </c>
      <c r="C15360" t="s">
        <v>33654</v>
      </c>
      <c r="D15360" t="s">
        <v>20</v>
      </c>
      <c r="E15360" t="s">
        <v>39</v>
      </c>
      <c r="F15360">
        <v>0</v>
      </c>
      <c r="G15360">
        <v>0</v>
      </c>
      <c r="H15360">
        <v>19</v>
      </c>
      <c r="I15360" s="3">
        <v>400.36</v>
      </c>
      <c r="J15360" s="3">
        <v>436.62</v>
      </c>
      <c r="K15360" t="s">
        <v>1008</v>
      </c>
      <c r="P15360" t="str">
        <f>""</f>
        <v/>
      </c>
    </row>
    <row r="15361" spans="1:16" x14ac:dyDescent="0.25">
      <c r="A15361" t="str">
        <f>"1210022B00127    00"</f>
        <v>1210022B00127    00</v>
      </c>
      <c r="B15361" t="s">
        <v>33678</v>
      </c>
      <c r="C15361" t="s">
        <v>33654</v>
      </c>
      <c r="D15361" t="s">
        <v>20</v>
      </c>
      <c r="E15361" t="s">
        <v>39</v>
      </c>
      <c r="F15361">
        <v>0</v>
      </c>
      <c r="G15361">
        <v>0</v>
      </c>
      <c r="H15361">
        <v>19</v>
      </c>
      <c r="I15361" s="3">
        <v>3481.55</v>
      </c>
      <c r="J15361" s="3">
        <v>2056.98</v>
      </c>
      <c r="K15361" t="s">
        <v>1037</v>
      </c>
      <c r="L15361">
        <v>1309</v>
      </c>
      <c r="M15361" t="s">
        <v>33656</v>
      </c>
      <c r="N15361" t="s">
        <v>30</v>
      </c>
      <c r="O15361" t="s">
        <v>31</v>
      </c>
      <c r="P15361" t="str">
        <f>"15212"</f>
        <v>15212</v>
      </c>
    </row>
    <row r="15362" spans="1:16" x14ac:dyDescent="0.25">
      <c r="A15362" t="str">
        <f>"1210022B00129    00"</f>
        <v>1210022B00129    00</v>
      </c>
      <c r="B15362" t="s">
        <v>33679</v>
      </c>
      <c r="C15362" t="s">
        <v>33654</v>
      </c>
      <c r="D15362" t="s">
        <v>20</v>
      </c>
      <c r="E15362" t="s">
        <v>39</v>
      </c>
      <c r="F15362">
        <v>0</v>
      </c>
      <c r="G15362">
        <v>0</v>
      </c>
      <c r="H15362">
        <v>14</v>
      </c>
      <c r="I15362" s="3">
        <v>2682.2</v>
      </c>
      <c r="J15362" s="3">
        <v>1583.75</v>
      </c>
      <c r="M15362" t="s">
        <v>33680</v>
      </c>
      <c r="N15362" t="s">
        <v>33681</v>
      </c>
      <c r="O15362" t="s">
        <v>31</v>
      </c>
      <c r="P15362" t="str">
        <f>"15363"</f>
        <v>15363</v>
      </c>
    </row>
    <row r="15363" spans="1:16" x14ac:dyDescent="0.25">
      <c r="A15363" t="str">
        <f>"1210022B00130    00"</f>
        <v>1210022B00130    00</v>
      </c>
      <c r="B15363" t="s">
        <v>33682</v>
      </c>
      <c r="C15363" t="s">
        <v>33654</v>
      </c>
      <c r="D15363" t="s">
        <v>20</v>
      </c>
      <c r="E15363" t="s">
        <v>39</v>
      </c>
      <c r="F15363">
        <v>0</v>
      </c>
      <c r="G15363">
        <v>0</v>
      </c>
      <c r="H15363">
        <v>19</v>
      </c>
      <c r="I15363" s="3">
        <v>949.17</v>
      </c>
      <c r="J15363" s="3">
        <v>726.77</v>
      </c>
      <c r="K15363" t="s">
        <v>1008</v>
      </c>
      <c r="P15363" t="str">
        <f>""</f>
        <v/>
      </c>
    </row>
    <row r="15364" spans="1:16" x14ac:dyDescent="0.25">
      <c r="A15364" t="str">
        <f>"1210022B00131    00"</f>
        <v>1210022B00131    00</v>
      </c>
      <c r="B15364" t="s">
        <v>33683</v>
      </c>
      <c r="C15364" t="s">
        <v>33654</v>
      </c>
      <c r="D15364" t="s">
        <v>20</v>
      </c>
      <c r="E15364" t="s">
        <v>39</v>
      </c>
      <c r="F15364">
        <v>0</v>
      </c>
      <c r="G15364">
        <v>0</v>
      </c>
      <c r="H15364">
        <v>19</v>
      </c>
      <c r="I15364" s="3">
        <v>5950.06</v>
      </c>
      <c r="J15364" s="3">
        <v>6529.5</v>
      </c>
      <c r="L15364">
        <v>288</v>
      </c>
      <c r="M15364" t="s">
        <v>833</v>
      </c>
      <c r="N15364" t="s">
        <v>30</v>
      </c>
      <c r="O15364" t="s">
        <v>31</v>
      </c>
      <c r="P15364" t="str">
        <f>"15219"</f>
        <v>15219</v>
      </c>
    </row>
    <row r="15365" spans="1:16" x14ac:dyDescent="0.25">
      <c r="A15365" t="str">
        <f>"1210022B00132    00"</f>
        <v>1210022B00132    00</v>
      </c>
      <c r="B15365" t="s">
        <v>33682</v>
      </c>
      <c r="C15365" t="s">
        <v>33654</v>
      </c>
      <c r="D15365" t="s">
        <v>20</v>
      </c>
      <c r="E15365" t="s">
        <v>39</v>
      </c>
      <c r="F15365">
        <v>0</v>
      </c>
      <c r="G15365">
        <v>0</v>
      </c>
      <c r="H15365">
        <v>19</v>
      </c>
      <c r="I15365" s="3">
        <v>949.17</v>
      </c>
      <c r="J15365" s="3">
        <v>726.77</v>
      </c>
      <c r="K15365" t="s">
        <v>1008</v>
      </c>
      <c r="P15365" t="str">
        <f>""</f>
        <v/>
      </c>
    </row>
    <row r="15366" spans="1:16" x14ac:dyDescent="0.25">
      <c r="A15366" t="str">
        <f>"1210022B00134    00"</f>
        <v>1210022B00134    00</v>
      </c>
      <c r="B15366" t="s">
        <v>33684</v>
      </c>
      <c r="C15366" t="s">
        <v>33654</v>
      </c>
      <c r="D15366" t="s">
        <v>20</v>
      </c>
      <c r="E15366" t="s">
        <v>39</v>
      </c>
      <c r="F15366">
        <v>0</v>
      </c>
      <c r="G15366">
        <v>0</v>
      </c>
      <c r="H15366">
        <v>19</v>
      </c>
      <c r="I15366" s="3">
        <v>8626.9599999999991</v>
      </c>
      <c r="J15366" s="3">
        <v>8804.9500000000007</v>
      </c>
      <c r="M15366" t="s">
        <v>33685</v>
      </c>
      <c r="N15366" t="s">
        <v>23025</v>
      </c>
      <c r="O15366" t="s">
        <v>370</v>
      </c>
      <c r="P15366" t="str">
        <f>"33902"</f>
        <v>33902</v>
      </c>
    </row>
    <row r="15367" spans="1:16" x14ac:dyDescent="0.25">
      <c r="A15367" t="str">
        <f>"1210022B00135    00"</f>
        <v>1210022B00135    00</v>
      </c>
      <c r="B15367" t="s">
        <v>33686</v>
      </c>
      <c r="C15367" t="s">
        <v>33654</v>
      </c>
      <c r="E15367" t="s">
        <v>39</v>
      </c>
      <c r="F15367">
        <v>0</v>
      </c>
      <c r="G15367">
        <v>0</v>
      </c>
      <c r="H15367">
        <v>1</v>
      </c>
      <c r="I15367" s="3">
        <v>304.95999999999998</v>
      </c>
      <c r="J15367" s="3">
        <v>0</v>
      </c>
      <c r="K15367" t="s">
        <v>33687</v>
      </c>
      <c r="L15367">
        <v>833</v>
      </c>
      <c r="M15367" t="s">
        <v>4174</v>
      </c>
      <c r="N15367" t="s">
        <v>30</v>
      </c>
      <c r="O15367" t="s">
        <v>31</v>
      </c>
      <c r="P15367" t="str">
        <f>"15219"</f>
        <v>15219</v>
      </c>
    </row>
    <row r="15368" spans="1:16" x14ac:dyDescent="0.25">
      <c r="A15368" t="str">
        <f>"1210022B00136    00"</f>
        <v>1210022B00136    00</v>
      </c>
      <c r="B15368" t="s">
        <v>33688</v>
      </c>
      <c r="C15368" t="s">
        <v>33654</v>
      </c>
      <c r="D15368" t="s">
        <v>20</v>
      </c>
      <c r="E15368" t="s">
        <v>39</v>
      </c>
      <c r="F15368">
        <v>0</v>
      </c>
      <c r="G15368">
        <v>0</v>
      </c>
      <c r="H15368">
        <v>19</v>
      </c>
      <c r="I15368" s="3">
        <v>3304.92</v>
      </c>
      <c r="J15368" s="3">
        <v>2542.12</v>
      </c>
      <c r="P15368" t="str">
        <f>""</f>
        <v/>
      </c>
    </row>
    <row r="15369" spans="1:16" x14ac:dyDescent="0.25">
      <c r="A15369" t="str">
        <f>"1210022B00137    00"</f>
        <v>1210022B00137    00</v>
      </c>
      <c r="B15369" t="s">
        <v>33689</v>
      </c>
      <c r="C15369" t="s">
        <v>33654</v>
      </c>
      <c r="D15369" t="s">
        <v>20</v>
      </c>
      <c r="E15369" t="s">
        <v>39</v>
      </c>
      <c r="F15369">
        <v>0</v>
      </c>
      <c r="G15369">
        <v>0</v>
      </c>
      <c r="H15369">
        <v>19</v>
      </c>
      <c r="I15369" s="3">
        <v>5320.44</v>
      </c>
      <c r="J15369" s="3">
        <v>5492.07</v>
      </c>
      <c r="L15369">
        <v>1227</v>
      </c>
      <c r="M15369" t="s">
        <v>33656</v>
      </c>
      <c r="N15369" t="s">
        <v>30</v>
      </c>
      <c r="O15369" t="s">
        <v>31</v>
      </c>
      <c r="P15369" t="str">
        <f>"15212"</f>
        <v>15212</v>
      </c>
    </row>
    <row r="15370" spans="1:16" x14ac:dyDescent="0.25">
      <c r="A15370" t="str">
        <f>"1210022B00139    00"</f>
        <v>1210022B00139    00</v>
      </c>
      <c r="B15370" t="s">
        <v>33690</v>
      </c>
      <c r="C15370" t="s">
        <v>33691</v>
      </c>
      <c r="D15370" t="s">
        <v>20</v>
      </c>
      <c r="E15370" t="s">
        <v>39</v>
      </c>
      <c r="F15370">
        <v>0</v>
      </c>
      <c r="G15370">
        <v>0</v>
      </c>
      <c r="H15370">
        <v>14</v>
      </c>
      <c r="I15370" s="3">
        <v>1654.45</v>
      </c>
      <c r="J15370" s="3">
        <v>1006.33</v>
      </c>
      <c r="L15370">
        <v>322</v>
      </c>
      <c r="M15370" t="s">
        <v>33692</v>
      </c>
      <c r="N15370" t="s">
        <v>30</v>
      </c>
      <c r="O15370" t="s">
        <v>31</v>
      </c>
      <c r="P15370" t="str">
        <f>"15212"</f>
        <v>15212</v>
      </c>
    </row>
    <row r="15371" spans="1:16" x14ac:dyDescent="0.25">
      <c r="A15371" t="str">
        <f>"1210022B00151    00"</f>
        <v>1210022B00151    00</v>
      </c>
      <c r="B15371" t="s">
        <v>33693</v>
      </c>
      <c r="C15371" t="s">
        <v>33694</v>
      </c>
      <c r="D15371" t="s">
        <v>20</v>
      </c>
      <c r="E15371" t="s">
        <v>39</v>
      </c>
      <c r="F15371">
        <v>0</v>
      </c>
      <c r="G15371">
        <v>0</v>
      </c>
      <c r="H15371">
        <v>2</v>
      </c>
      <c r="I15371" s="3">
        <v>439.36</v>
      </c>
      <c r="J15371" s="3">
        <v>0</v>
      </c>
      <c r="L15371">
        <v>1203</v>
      </c>
      <c r="M15371" t="s">
        <v>33656</v>
      </c>
      <c r="N15371" t="s">
        <v>30</v>
      </c>
      <c r="O15371" t="s">
        <v>31</v>
      </c>
      <c r="P15371" t="str">
        <f>"15212"</f>
        <v>15212</v>
      </c>
    </row>
    <row r="15372" spans="1:16" x14ac:dyDescent="0.25">
      <c r="A15372" t="str">
        <f>"1210022B00153    00"</f>
        <v>1210022B00153    00</v>
      </c>
      <c r="B15372" t="s">
        <v>33695</v>
      </c>
      <c r="C15372" t="s">
        <v>33654</v>
      </c>
      <c r="D15372" t="s">
        <v>20</v>
      </c>
      <c r="E15372" t="s">
        <v>39</v>
      </c>
      <c r="F15372">
        <v>0</v>
      </c>
      <c r="G15372">
        <v>0</v>
      </c>
      <c r="H15372">
        <v>18</v>
      </c>
      <c r="I15372" s="3">
        <v>492.76</v>
      </c>
      <c r="J15372" s="3">
        <v>510.57</v>
      </c>
      <c r="K15372" t="s">
        <v>33696</v>
      </c>
      <c r="L15372">
        <v>3281</v>
      </c>
      <c r="M15372" t="s">
        <v>33697</v>
      </c>
      <c r="N15372" t="s">
        <v>30</v>
      </c>
      <c r="O15372" t="s">
        <v>31</v>
      </c>
      <c r="P15372" t="str">
        <f>"15234"</f>
        <v>15234</v>
      </c>
    </row>
    <row r="15373" spans="1:16" x14ac:dyDescent="0.25">
      <c r="A15373" t="str">
        <f>"1210022B00168    00"</f>
        <v>1210022B00168    00</v>
      </c>
      <c r="B15373" t="s">
        <v>33698</v>
      </c>
      <c r="C15373" t="s">
        <v>33699</v>
      </c>
      <c r="D15373" t="s">
        <v>20</v>
      </c>
      <c r="E15373" t="s">
        <v>39</v>
      </c>
      <c r="F15373">
        <v>0</v>
      </c>
      <c r="G15373">
        <v>0</v>
      </c>
      <c r="H15373">
        <v>15</v>
      </c>
      <c r="I15373" s="3">
        <v>271.83</v>
      </c>
      <c r="J15373" s="3">
        <v>199.05</v>
      </c>
      <c r="L15373">
        <v>2625</v>
      </c>
      <c r="M15373" t="s">
        <v>33700</v>
      </c>
      <c r="N15373" t="s">
        <v>30</v>
      </c>
      <c r="O15373" t="s">
        <v>31</v>
      </c>
      <c r="P15373" t="str">
        <f>"15212"</f>
        <v>15212</v>
      </c>
    </row>
    <row r="15374" spans="1:16" x14ac:dyDescent="0.25">
      <c r="A15374" t="str">
        <f>"1210022B00171    00"</f>
        <v>1210022B00171    00</v>
      </c>
      <c r="B15374" t="s">
        <v>33701</v>
      </c>
      <c r="C15374" t="s">
        <v>33702</v>
      </c>
      <c r="D15374" t="s">
        <v>20</v>
      </c>
      <c r="E15374" t="s">
        <v>39</v>
      </c>
      <c r="F15374">
        <v>0</v>
      </c>
      <c r="G15374">
        <v>0</v>
      </c>
      <c r="H15374">
        <v>13</v>
      </c>
      <c r="I15374" s="3">
        <v>5893.18</v>
      </c>
      <c r="J15374" s="3">
        <v>3339.7</v>
      </c>
      <c r="L15374">
        <v>2108</v>
      </c>
      <c r="M15374" t="s">
        <v>33703</v>
      </c>
      <c r="N15374" t="s">
        <v>30</v>
      </c>
      <c r="O15374" t="s">
        <v>31</v>
      </c>
      <c r="P15374" t="str">
        <f>"15212"</f>
        <v>15212</v>
      </c>
    </row>
    <row r="15375" spans="1:16" x14ac:dyDescent="0.25">
      <c r="A15375" t="str">
        <f>"1210022B00173    00"</f>
        <v>1210022B00173    00</v>
      </c>
      <c r="B15375" t="s">
        <v>33704</v>
      </c>
      <c r="C15375" t="s">
        <v>33705</v>
      </c>
      <c r="E15375" t="s">
        <v>39</v>
      </c>
      <c r="F15375">
        <v>0</v>
      </c>
      <c r="G15375">
        <v>0</v>
      </c>
      <c r="H15375">
        <v>2</v>
      </c>
      <c r="I15375" s="3">
        <v>683.09</v>
      </c>
      <c r="J15375" s="3">
        <v>3.59</v>
      </c>
      <c r="L15375">
        <v>1939</v>
      </c>
      <c r="M15375" t="s">
        <v>33706</v>
      </c>
      <c r="N15375" t="s">
        <v>30</v>
      </c>
      <c r="O15375" t="s">
        <v>31</v>
      </c>
      <c r="P15375" t="str">
        <f>"15212"</f>
        <v>15212</v>
      </c>
    </row>
    <row r="15376" spans="1:16" x14ac:dyDescent="0.25">
      <c r="A15376" t="str">
        <f>"1210022B00179    00"</f>
        <v>1210022B00179    00</v>
      </c>
      <c r="B15376" t="s">
        <v>33707</v>
      </c>
      <c r="C15376" t="s">
        <v>33708</v>
      </c>
      <c r="D15376" t="s">
        <v>20</v>
      </c>
      <c r="E15376" t="s">
        <v>39</v>
      </c>
      <c r="F15376">
        <v>0</v>
      </c>
      <c r="G15376">
        <v>0</v>
      </c>
      <c r="H15376">
        <v>7</v>
      </c>
      <c r="I15376" s="3">
        <v>1222.0899999999999</v>
      </c>
      <c r="J15376" s="3">
        <v>353.89</v>
      </c>
      <c r="L15376">
        <v>608</v>
      </c>
      <c r="M15376" t="s">
        <v>33709</v>
      </c>
      <c r="N15376" t="s">
        <v>30</v>
      </c>
      <c r="O15376" t="s">
        <v>31</v>
      </c>
      <c r="P15376" t="str">
        <f>"15202"</f>
        <v>15202</v>
      </c>
    </row>
    <row r="15377" spans="1:16" x14ac:dyDescent="0.25">
      <c r="A15377" t="str">
        <f>"1210022B00180    00"</f>
        <v>1210022B00180    00</v>
      </c>
      <c r="B15377" t="s">
        <v>33707</v>
      </c>
      <c r="C15377" t="s">
        <v>33710</v>
      </c>
      <c r="D15377" t="s">
        <v>20</v>
      </c>
      <c r="E15377" t="s">
        <v>39</v>
      </c>
      <c r="F15377">
        <v>0</v>
      </c>
      <c r="G15377">
        <v>0</v>
      </c>
      <c r="H15377">
        <v>5</v>
      </c>
      <c r="I15377" s="3">
        <v>299.13</v>
      </c>
      <c r="J15377" s="3">
        <v>75.59</v>
      </c>
      <c r="K15377" t="s">
        <v>33711</v>
      </c>
      <c r="P15377" t="str">
        <f>""</f>
        <v/>
      </c>
    </row>
    <row r="15378" spans="1:16" x14ac:dyDescent="0.25">
      <c r="A15378" t="str">
        <f>"1210022B00194    00"</f>
        <v>1210022B00194    00</v>
      </c>
      <c r="B15378" t="s">
        <v>33712</v>
      </c>
      <c r="C15378" t="s">
        <v>33625</v>
      </c>
      <c r="D15378" t="s">
        <v>20</v>
      </c>
      <c r="E15378" t="s">
        <v>21</v>
      </c>
      <c r="F15378">
        <v>0</v>
      </c>
      <c r="G15378">
        <v>0</v>
      </c>
      <c r="H15378">
        <v>13</v>
      </c>
      <c r="I15378" s="3">
        <v>6268.52</v>
      </c>
      <c r="J15378" s="3">
        <v>4074.75</v>
      </c>
      <c r="L15378">
        <v>1723</v>
      </c>
      <c r="M15378" t="s">
        <v>12028</v>
      </c>
      <c r="N15378" t="s">
        <v>30</v>
      </c>
      <c r="O15378" t="s">
        <v>31</v>
      </c>
      <c r="P15378" t="str">
        <f>"15221"</f>
        <v>15221</v>
      </c>
    </row>
    <row r="15379" spans="1:16" x14ac:dyDescent="0.25">
      <c r="A15379" t="str">
        <f>"1210022B00195    00"</f>
        <v>1210022B00195    00</v>
      </c>
      <c r="B15379" t="s">
        <v>33713</v>
      </c>
      <c r="C15379" t="s">
        <v>33625</v>
      </c>
      <c r="D15379" t="s">
        <v>20</v>
      </c>
      <c r="E15379" t="s">
        <v>39</v>
      </c>
      <c r="F15379">
        <v>0</v>
      </c>
      <c r="G15379">
        <v>0</v>
      </c>
      <c r="H15379">
        <v>19</v>
      </c>
      <c r="I15379" s="3">
        <v>151.52000000000001</v>
      </c>
      <c r="J15379" s="3">
        <v>99.52</v>
      </c>
      <c r="L15379">
        <v>1308</v>
      </c>
      <c r="M15379" t="s">
        <v>17198</v>
      </c>
      <c r="N15379" t="s">
        <v>30</v>
      </c>
      <c r="O15379" t="s">
        <v>31</v>
      </c>
      <c r="P15379" t="str">
        <f>"15212"</f>
        <v>15212</v>
      </c>
    </row>
    <row r="15380" spans="1:16" x14ac:dyDescent="0.25">
      <c r="A15380" t="str">
        <f>"1210022B00196    00"</f>
        <v>1210022B00196    00</v>
      </c>
      <c r="B15380" t="s">
        <v>33714</v>
      </c>
      <c r="C15380" t="s">
        <v>33715</v>
      </c>
      <c r="D15380" t="s">
        <v>20</v>
      </c>
      <c r="E15380" t="s">
        <v>39</v>
      </c>
      <c r="F15380">
        <v>0</v>
      </c>
      <c r="G15380">
        <v>0</v>
      </c>
      <c r="H15380">
        <v>1</v>
      </c>
      <c r="I15380" s="3">
        <v>316.42</v>
      </c>
      <c r="J15380" s="3">
        <v>0</v>
      </c>
      <c r="L15380">
        <v>3246</v>
      </c>
      <c r="M15380" t="s">
        <v>2011</v>
      </c>
      <c r="N15380" t="s">
        <v>30</v>
      </c>
      <c r="O15380" t="s">
        <v>31</v>
      </c>
      <c r="P15380" t="str">
        <f>"15213"</f>
        <v>15213</v>
      </c>
    </row>
    <row r="15381" spans="1:16" x14ac:dyDescent="0.25">
      <c r="A15381" t="str">
        <f>"1210022B00197    00"</f>
        <v>1210022B00197    00</v>
      </c>
      <c r="B15381" t="s">
        <v>33716</v>
      </c>
      <c r="C15381" t="s">
        <v>33625</v>
      </c>
      <c r="D15381" t="s">
        <v>20</v>
      </c>
      <c r="E15381" t="s">
        <v>39</v>
      </c>
      <c r="F15381">
        <v>0</v>
      </c>
      <c r="G15381">
        <v>0</v>
      </c>
      <c r="H15381">
        <v>11</v>
      </c>
      <c r="I15381" s="3">
        <v>767.99</v>
      </c>
      <c r="J15381" s="3">
        <v>368.65</v>
      </c>
      <c r="K15381" t="s">
        <v>33717</v>
      </c>
      <c r="L15381">
        <v>1306</v>
      </c>
      <c r="M15381" t="s">
        <v>33718</v>
      </c>
      <c r="N15381" t="s">
        <v>30</v>
      </c>
      <c r="O15381" t="s">
        <v>31</v>
      </c>
      <c r="P15381" t="str">
        <f>"15212"</f>
        <v>15212</v>
      </c>
    </row>
    <row r="15382" spans="1:16" x14ac:dyDescent="0.25">
      <c r="A15382" t="str">
        <f>"1210022B00198    00"</f>
        <v>1210022B00198    00</v>
      </c>
      <c r="B15382" t="s">
        <v>33719</v>
      </c>
      <c r="C15382" t="s">
        <v>33720</v>
      </c>
      <c r="D15382" t="s">
        <v>20</v>
      </c>
      <c r="E15382" t="s">
        <v>39</v>
      </c>
      <c r="F15382">
        <v>0</v>
      </c>
      <c r="G15382">
        <v>0</v>
      </c>
      <c r="H15382">
        <v>1</v>
      </c>
      <c r="I15382" s="3">
        <v>524.16</v>
      </c>
      <c r="J15382" s="3">
        <v>0</v>
      </c>
      <c r="M15382" t="s">
        <v>33721</v>
      </c>
      <c r="N15382" t="s">
        <v>33722</v>
      </c>
      <c r="O15382" t="s">
        <v>495</v>
      </c>
      <c r="P15382" t="str">
        <f>"93067"</f>
        <v>93067</v>
      </c>
    </row>
    <row r="15383" spans="1:16" x14ac:dyDescent="0.25">
      <c r="A15383" t="str">
        <f>"1210022B00199    00"</f>
        <v>1210022B00199    00</v>
      </c>
      <c r="B15383" t="s">
        <v>33716</v>
      </c>
      <c r="C15383" t="s">
        <v>33710</v>
      </c>
      <c r="D15383" t="s">
        <v>20</v>
      </c>
      <c r="E15383" t="s">
        <v>39</v>
      </c>
      <c r="F15383">
        <v>0</v>
      </c>
      <c r="G15383">
        <v>0</v>
      </c>
      <c r="H15383">
        <v>7</v>
      </c>
      <c r="I15383" s="3">
        <v>234.01</v>
      </c>
      <c r="J15383" s="3">
        <v>65.52</v>
      </c>
      <c r="K15383" t="s">
        <v>33717</v>
      </c>
      <c r="L15383">
        <v>1306</v>
      </c>
      <c r="M15383" t="s">
        <v>33723</v>
      </c>
      <c r="N15383" t="s">
        <v>30</v>
      </c>
      <c r="O15383" t="s">
        <v>31</v>
      </c>
      <c r="P15383" t="str">
        <f>"15212"</f>
        <v>15212</v>
      </c>
    </row>
    <row r="15384" spans="1:16" x14ac:dyDescent="0.25">
      <c r="A15384" t="str">
        <f>"1210022B00200    00"</f>
        <v>1210022B00200    00</v>
      </c>
      <c r="B15384" t="s">
        <v>33724</v>
      </c>
      <c r="C15384" t="s">
        <v>33710</v>
      </c>
      <c r="D15384" t="s">
        <v>20</v>
      </c>
      <c r="E15384" t="s">
        <v>39</v>
      </c>
      <c r="F15384">
        <v>0</v>
      </c>
      <c r="G15384">
        <v>0</v>
      </c>
      <c r="H15384">
        <v>17</v>
      </c>
      <c r="I15384" s="3">
        <v>295.19</v>
      </c>
      <c r="J15384" s="3">
        <v>359.68</v>
      </c>
      <c r="L15384">
        <v>445</v>
      </c>
      <c r="M15384" t="s">
        <v>204</v>
      </c>
      <c r="N15384" t="s">
        <v>30</v>
      </c>
      <c r="O15384" t="s">
        <v>31</v>
      </c>
      <c r="P15384" t="str">
        <f>"15219"</f>
        <v>15219</v>
      </c>
    </row>
    <row r="15385" spans="1:16" x14ac:dyDescent="0.25">
      <c r="A15385" t="str">
        <f>"1210022B00204    00"</f>
        <v>1210022B00204    00</v>
      </c>
      <c r="B15385" t="s">
        <v>31655</v>
      </c>
      <c r="C15385" t="s">
        <v>33725</v>
      </c>
      <c r="D15385" t="s">
        <v>20</v>
      </c>
      <c r="E15385" t="s">
        <v>39</v>
      </c>
      <c r="F15385">
        <v>0</v>
      </c>
      <c r="G15385">
        <v>0</v>
      </c>
      <c r="H15385">
        <v>9</v>
      </c>
      <c r="I15385" s="3">
        <v>6171.74</v>
      </c>
      <c r="J15385" s="3">
        <v>2336.96</v>
      </c>
      <c r="L15385">
        <v>2656</v>
      </c>
      <c r="M15385" t="s">
        <v>31104</v>
      </c>
      <c r="N15385" t="s">
        <v>30</v>
      </c>
      <c r="O15385" t="s">
        <v>31</v>
      </c>
      <c r="P15385" t="str">
        <f>"15204"</f>
        <v>15204</v>
      </c>
    </row>
    <row r="15386" spans="1:16" x14ac:dyDescent="0.25">
      <c r="A15386" t="str">
        <f>"1210022B00209    00"</f>
        <v>1210022B00209    00</v>
      </c>
      <c r="B15386" t="s">
        <v>33726</v>
      </c>
      <c r="C15386" t="s">
        <v>33727</v>
      </c>
      <c r="E15386" t="s">
        <v>39</v>
      </c>
      <c r="F15386">
        <v>0</v>
      </c>
      <c r="G15386">
        <v>0</v>
      </c>
      <c r="H15386">
        <v>17</v>
      </c>
      <c r="I15386" s="3">
        <v>6097.6</v>
      </c>
      <c r="J15386" s="3">
        <v>6932.16</v>
      </c>
      <c r="L15386">
        <v>130</v>
      </c>
      <c r="M15386" t="s">
        <v>14476</v>
      </c>
      <c r="N15386" t="s">
        <v>30</v>
      </c>
      <c r="O15386" t="s">
        <v>31</v>
      </c>
      <c r="P15386" t="str">
        <f>"15212"</f>
        <v>15212</v>
      </c>
    </row>
    <row r="15387" spans="1:16" x14ac:dyDescent="0.25">
      <c r="A15387" t="str">
        <f>"1210022B00210    00"</f>
        <v>1210022B00210    00</v>
      </c>
      <c r="B15387" t="s">
        <v>33728</v>
      </c>
      <c r="C15387" t="s">
        <v>33727</v>
      </c>
      <c r="D15387" t="s">
        <v>20</v>
      </c>
      <c r="E15387" t="s">
        <v>39</v>
      </c>
      <c r="F15387">
        <v>0</v>
      </c>
      <c r="G15387">
        <v>0</v>
      </c>
      <c r="H15387">
        <v>19</v>
      </c>
      <c r="I15387" s="3">
        <v>3549.34</v>
      </c>
      <c r="J15387" s="3">
        <v>4761.99</v>
      </c>
      <c r="P15387" t="str">
        <f>""</f>
        <v/>
      </c>
    </row>
    <row r="15388" spans="1:16" x14ac:dyDescent="0.25">
      <c r="A15388" t="str">
        <f>"1210022B00215    00"</f>
        <v>1210022B00215    00</v>
      </c>
      <c r="B15388" t="s">
        <v>33729</v>
      </c>
      <c r="C15388" t="s">
        <v>33710</v>
      </c>
      <c r="D15388" t="s">
        <v>20</v>
      </c>
      <c r="E15388" t="s">
        <v>39</v>
      </c>
      <c r="F15388">
        <v>0</v>
      </c>
      <c r="G15388">
        <v>0</v>
      </c>
      <c r="H15388">
        <v>17</v>
      </c>
      <c r="I15388" s="3">
        <v>270.55</v>
      </c>
      <c r="J15388" s="3">
        <v>324.22000000000003</v>
      </c>
      <c r="K15388" t="s">
        <v>33730</v>
      </c>
      <c r="M15388" t="s">
        <v>33731</v>
      </c>
      <c r="N15388" t="s">
        <v>30</v>
      </c>
      <c r="O15388" t="s">
        <v>31</v>
      </c>
      <c r="P15388" t="str">
        <f>"15212"</f>
        <v>15212</v>
      </c>
    </row>
    <row r="15389" spans="1:16" x14ac:dyDescent="0.25">
      <c r="A15389" t="str">
        <f>"1210022B00217    00"</f>
        <v>1210022B00217    00</v>
      </c>
      <c r="B15389" t="s">
        <v>33732</v>
      </c>
      <c r="C15389" t="s">
        <v>33727</v>
      </c>
      <c r="D15389" t="s">
        <v>20</v>
      </c>
      <c r="E15389" t="s">
        <v>39</v>
      </c>
      <c r="F15389">
        <v>0</v>
      </c>
      <c r="G15389">
        <v>0</v>
      </c>
      <c r="H15389">
        <v>19</v>
      </c>
      <c r="I15389" s="3">
        <v>353.71</v>
      </c>
      <c r="J15389" s="3">
        <v>389.39</v>
      </c>
      <c r="L15389">
        <v>64</v>
      </c>
      <c r="M15389" t="s">
        <v>33733</v>
      </c>
      <c r="N15389" t="s">
        <v>30</v>
      </c>
      <c r="O15389" t="s">
        <v>31</v>
      </c>
      <c r="P15389" t="str">
        <f>"15203"</f>
        <v>15203</v>
      </c>
    </row>
    <row r="15390" spans="1:16" x14ac:dyDescent="0.25">
      <c r="A15390" t="str">
        <f>"1210022B00218    00"</f>
        <v>1210022B00218    00</v>
      </c>
      <c r="B15390" t="s">
        <v>33734</v>
      </c>
      <c r="C15390" t="s">
        <v>33735</v>
      </c>
      <c r="D15390" t="s">
        <v>20</v>
      </c>
      <c r="E15390" t="s">
        <v>39</v>
      </c>
      <c r="F15390">
        <v>0</v>
      </c>
      <c r="G15390">
        <v>0</v>
      </c>
      <c r="H15390">
        <v>16</v>
      </c>
      <c r="I15390" s="3">
        <v>7217.95</v>
      </c>
      <c r="J15390" s="3">
        <v>5432.73</v>
      </c>
      <c r="L15390">
        <v>1241</v>
      </c>
      <c r="M15390" t="s">
        <v>33731</v>
      </c>
      <c r="N15390" t="s">
        <v>30</v>
      </c>
      <c r="O15390" t="s">
        <v>31</v>
      </c>
      <c r="P15390" t="str">
        <f>"15212"</f>
        <v>15212</v>
      </c>
    </row>
    <row r="15391" spans="1:16" x14ac:dyDescent="0.25">
      <c r="A15391" t="str">
        <f>"1210022B00220    00"</f>
        <v>1210022B00220    00</v>
      </c>
      <c r="B15391" t="s">
        <v>33736</v>
      </c>
      <c r="C15391" t="s">
        <v>33727</v>
      </c>
      <c r="D15391" t="s">
        <v>20</v>
      </c>
      <c r="E15391" t="s">
        <v>39</v>
      </c>
      <c r="F15391">
        <v>0</v>
      </c>
      <c r="G15391">
        <v>0</v>
      </c>
      <c r="H15391">
        <v>19</v>
      </c>
      <c r="I15391" s="3">
        <v>422.25</v>
      </c>
      <c r="J15391" s="3">
        <v>448.19</v>
      </c>
      <c r="K15391" t="s">
        <v>1008</v>
      </c>
      <c r="P15391" t="str">
        <f>""</f>
        <v/>
      </c>
    </row>
    <row r="15392" spans="1:16" x14ac:dyDescent="0.25">
      <c r="A15392" t="str">
        <f>"1210022B00222    00"</f>
        <v>1210022B00222    00</v>
      </c>
      <c r="B15392" t="s">
        <v>33737</v>
      </c>
      <c r="C15392" t="s">
        <v>33727</v>
      </c>
      <c r="D15392" t="s">
        <v>20</v>
      </c>
      <c r="E15392" t="s">
        <v>39</v>
      </c>
      <c r="F15392">
        <v>0</v>
      </c>
      <c r="G15392">
        <v>0</v>
      </c>
      <c r="H15392">
        <v>19</v>
      </c>
      <c r="I15392" s="3">
        <v>422.25</v>
      </c>
      <c r="J15392" s="3">
        <v>448.19</v>
      </c>
      <c r="K15392" t="s">
        <v>33738</v>
      </c>
      <c r="L15392">
        <v>3617</v>
      </c>
      <c r="M15392" t="s">
        <v>17198</v>
      </c>
      <c r="N15392" t="s">
        <v>30</v>
      </c>
      <c r="O15392" t="s">
        <v>31</v>
      </c>
      <c r="P15392" t="str">
        <f>"15212"</f>
        <v>15212</v>
      </c>
    </row>
    <row r="15393" spans="1:16" x14ac:dyDescent="0.25">
      <c r="A15393" t="str">
        <f>"1210022B00224    00"</f>
        <v>1210022B00224    00</v>
      </c>
      <c r="B15393" t="s">
        <v>33739</v>
      </c>
      <c r="C15393" t="s">
        <v>33727</v>
      </c>
      <c r="D15393" t="s">
        <v>20</v>
      </c>
      <c r="E15393" t="s">
        <v>39</v>
      </c>
      <c r="F15393">
        <v>0</v>
      </c>
      <c r="G15393">
        <v>0</v>
      </c>
      <c r="H15393">
        <v>19</v>
      </c>
      <c r="I15393" s="3">
        <v>422.25</v>
      </c>
      <c r="J15393" s="3">
        <v>448.19</v>
      </c>
      <c r="K15393" t="s">
        <v>1008</v>
      </c>
      <c r="P15393" t="str">
        <f>""</f>
        <v/>
      </c>
    </row>
    <row r="15394" spans="1:16" x14ac:dyDescent="0.25">
      <c r="A15394" t="str">
        <f>"1210022B00267    00"</f>
        <v>1210022B00267    00</v>
      </c>
      <c r="B15394" t="s">
        <v>33740</v>
      </c>
      <c r="C15394" t="s">
        <v>33741</v>
      </c>
      <c r="D15394" t="s">
        <v>20</v>
      </c>
      <c r="E15394" t="s">
        <v>39</v>
      </c>
      <c r="F15394">
        <v>0</v>
      </c>
      <c r="G15394">
        <v>0</v>
      </c>
      <c r="H15394">
        <v>1</v>
      </c>
      <c r="I15394" s="3">
        <v>436.48</v>
      </c>
      <c r="J15394" s="3">
        <v>0</v>
      </c>
      <c r="K15394" t="s">
        <v>33742</v>
      </c>
      <c r="L15394">
        <v>1459</v>
      </c>
      <c r="M15394" t="s">
        <v>28859</v>
      </c>
      <c r="N15394" t="s">
        <v>30</v>
      </c>
      <c r="O15394" t="s">
        <v>31</v>
      </c>
      <c r="P15394" t="str">
        <f>"15216"</f>
        <v>15216</v>
      </c>
    </row>
    <row r="15395" spans="1:16" x14ac:dyDescent="0.25">
      <c r="A15395" t="str">
        <f>"1210022B00282    00"</f>
        <v>1210022B00282    00</v>
      </c>
      <c r="B15395" t="s">
        <v>33743</v>
      </c>
      <c r="C15395" t="s">
        <v>33744</v>
      </c>
      <c r="E15395" t="s">
        <v>39</v>
      </c>
      <c r="F15395">
        <v>0</v>
      </c>
      <c r="G15395">
        <v>0</v>
      </c>
      <c r="H15395">
        <v>13</v>
      </c>
      <c r="I15395" s="3">
        <v>240.39</v>
      </c>
      <c r="J15395" s="3">
        <v>320.51</v>
      </c>
      <c r="L15395">
        <v>1300</v>
      </c>
      <c r="M15395" t="s">
        <v>13961</v>
      </c>
      <c r="N15395" t="s">
        <v>30</v>
      </c>
      <c r="O15395" t="s">
        <v>31</v>
      </c>
      <c r="P15395" t="str">
        <f>"15233"</f>
        <v>15233</v>
      </c>
    </row>
    <row r="15396" spans="1:16" x14ac:dyDescent="0.25">
      <c r="A15396" t="str">
        <f>"1210022B00283    00"</f>
        <v>1210022B00283    00</v>
      </c>
      <c r="B15396" t="s">
        <v>33745</v>
      </c>
      <c r="C15396" t="s">
        <v>33746</v>
      </c>
      <c r="D15396" t="s">
        <v>20</v>
      </c>
      <c r="E15396" t="s">
        <v>39</v>
      </c>
      <c r="F15396">
        <v>0</v>
      </c>
      <c r="G15396">
        <v>0</v>
      </c>
      <c r="H15396">
        <v>1</v>
      </c>
      <c r="I15396" s="3">
        <v>1399.59</v>
      </c>
      <c r="J15396" s="3">
        <v>0</v>
      </c>
      <c r="L15396">
        <v>1300</v>
      </c>
      <c r="M15396" t="s">
        <v>13961</v>
      </c>
      <c r="N15396" t="s">
        <v>30</v>
      </c>
      <c r="O15396" t="s">
        <v>31</v>
      </c>
      <c r="P15396" t="str">
        <f>"15233"</f>
        <v>15233</v>
      </c>
    </row>
    <row r="15397" spans="1:16" x14ac:dyDescent="0.25">
      <c r="A15397" t="str">
        <f>"1210022B00285    00"</f>
        <v>1210022B00285    00</v>
      </c>
      <c r="B15397" t="s">
        <v>33743</v>
      </c>
      <c r="C15397" t="s">
        <v>33747</v>
      </c>
      <c r="E15397" t="s">
        <v>39</v>
      </c>
      <c r="F15397">
        <v>0</v>
      </c>
      <c r="G15397">
        <v>0</v>
      </c>
      <c r="H15397">
        <v>13</v>
      </c>
      <c r="I15397" s="3">
        <v>322.02</v>
      </c>
      <c r="J15397" s="3">
        <v>418.74</v>
      </c>
      <c r="L15397">
        <v>1300</v>
      </c>
      <c r="M15397" t="s">
        <v>13961</v>
      </c>
      <c r="N15397" t="s">
        <v>30</v>
      </c>
      <c r="O15397" t="s">
        <v>31</v>
      </c>
      <c r="P15397" t="str">
        <f>"15233"</f>
        <v>15233</v>
      </c>
    </row>
    <row r="15398" spans="1:16" x14ac:dyDescent="0.25">
      <c r="A15398" t="str">
        <f>"1210022B00286    00"</f>
        <v>1210022B00286    00</v>
      </c>
      <c r="B15398" t="s">
        <v>33743</v>
      </c>
      <c r="C15398" t="s">
        <v>33748</v>
      </c>
      <c r="E15398" t="s">
        <v>39</v>
      </c>
      <c r="F15398">
        <v>0</v>
      </c>
      <c r="G15398">
        <v>0</v>
      </c>
      <c r="H15398">
        <v>13</v>
      </c>
      <c r="I15398" s="3">
        <v>775.26</v>
      </c>
      <c r="J15398" s="3">
        <v>1121.56</v>
      </c>
      <c r="L15398">
        <v>1300</v>
      </c>
      <c r="M15398" t="s">
        <v>13961</v>
      </c>
      <c r="N15398" t="s">
        <v>30</v>
      </c>
      <c r="O15398" t="s">
        <v>31</v>
      </c>
      <c r="P15398" t="str">
        <f>"15233"</f>
        <v>15233</v>
      </c>
    </row>
    <row r="15399" spans="1:16" x14ac:dyDescent="0.25">
      <c r="A15399" t="str">
        <f>"1210022B00289    00"</f>
        <v>1210022B00289    00</v>
      </c>
      <c r="B15399" t="s">
        <v>33743</v>
      </c>
      <c r="C15399" t="s">
        <v>33749</v>
      </c>
      <c r="D15399" t="s">
        <v>57</v>
      </c>
      <c r="E15399" t="s">
        <v>39</v>
      </c>
      <c r="F15399">
        <v>0</v>
      </c>
      <c r="G15399">
        <v>0</v>
      </c>
      <c r="H15399">
        <v>13</v>
      </c>
      <c r="I15399" s="3">
        <v>3494.31</v>
      </c>
      <c r="J15399" s="3">
        <v>4420.6400000000003</v>
      </c>
      <c r="L15399">
        <v>1300</v>
      </c>
      <c r="M15399" t="s">
        <v>13961</v>
      </c>
      <c r="N15399" t="s">
        <v>30</v>
      </c>
      <c r="O15399" t="s">
        <v>31</v>
      </c>
      <c r="P15399" t="str">
        <f>"15233"</f>
        <v>15233</v>
      </c>
    </row>
    <row r="15400" spans="1:16" x14ac:dyDescent="0.25">
      <c r="A15400" t="str">
        <f>"1210022C00054    00"</f>
        <v>1210022C00054    00</v>
      </c>
      <c r="B15400" t="s">
        <v>33750</v>
      </c>
      <c r="C15400" t="s">
        <v>33751</v>
      </c>
      <c r="D15400" t="s">
        <v>20</v>
      </c>
      <c r="E15400" t="s">
        <v>39</v>
      </c>
      <c r="F15400">
        <v>0</v>
      </c>
      <c r="G15400">
        <v>0</v>
      </c>
      <c r="H15400">
        <v>1</v>
      </c>
      <c r="I15400" s="3">
        <v>2334.86</v>
      </c>
      <c r="J15400" s="3">
        <v>0</v>
      </c>
      <c r="K15400" t="s">
        <v>4424</v>
      </c>
      <c r="L15400">
        <v>3001</v>
      </c>
      <c r="M15400" t="s">
        <v>330</v>
      </c>
      <c r="N15400" t="s">
        <v>331</v>
      </c>
      <c r="O15400" t="s">
        <v>108</v>
      </c>
      <c r="P15400" t="str">
        <f>"75063"</f>
        <v>75063</v>
      </c>
    </row>
    <row r="15401" spans="1:16" x14ac:dyDescent="0.25">
      <c r="A15401" t="str">
        <f>"1210022C00067    00"</f>
        <v>1210022C00067    00</v>
      </c>
      <c r="B15401" t="s">
        <v>33752</v>
      </c>
      <c r="C15401" t="s">
        <v>33753</v>
      </c>
      <c r="D15401" t="s">
        <v>20</v>
      </c>
      <c r="E15401" t="s">
        <v>39</v>
      </c>
      <c r="F15401">
        <v>0</v>
      </c>
      <c r="G15401">
        <v>0</v>
      </c>
      <c r="H15401">
        <v>19</v>
      </c>
      <c r="I15401" s="3">
        <v>444.26</v>
      </c>
      <c r="J15401" s="3">
        <v>459.83</v>
      </c>
      <c r="K15401" t="s">
        <v>33754</v>
      </c>
      <c r="L15401">
        <v>1112</v>
      </c>
      <c r="M15401" t="s">
        <v>33755</v>
      </c>
      <c r="N15401" t="s">
        <v>30</v>
      </c>
      <c r="O15401" t="s">
        <v>31</v>
      </c>
      <c r="P15401" t="str">
        <f>"15212"</f>
        <v>15212</v>
      </c>
    </row>
    <row r="15402" spans="1:16" x14ac:dyDescent="0.25">
      <c r="A15402" t="str">
        <f>"1210022C00080    00"</f>
        <v>1210022C00080    00</v>
      </c>
      <c r="B15402" t="s">
        <v>16022</v>
      </c>
      <c r="C15402" t="s">
        <v>33756</v>
      </c>
      <c r="E15402" t="s">
        <v>39</v>
      </c>
      <c r="F15402">
        <v>0</v>
      </c>
      <c r="G15402">
        <v>0</v>
      </c>
      <c r="H15402">
        <v>2</v>
      </c>
      <c r="I15402" s="3">
        <v>991.16</v>
      </c>
      <c r="J15402" s="3">
        <v>99.11</v>
      </c>
      <c r="L15402">
        <v>1723</v>
      </c>
      <c r="M15402" t="s">
        <v>12028</v>
      </c>
      <c r="N15402" t="s">
        <v>30</v>
      </c>
      <c r="O15402" t="s">
        <v>31</v>
      </c>
      <c r="P15402" t="str">
        <f>"15221"</f>
        <v>15221</v>
      </c>
    </row>
    <row r="15403" spans="1:16" x14ac:dyDescent="0.25">
      <c r="A15403" t="str">
        <f>"1210022C00081    00"</f>
        <v>1210022C00081    00</v>
      </c>
      <c r="B15403" t="s">
        <v>16022</v>
      </c>
      <c r="C15403" t="s">
        <v>33757</v>
      </c>
      <c r="E15403" t="s">
        <v>39</v>
      </c>
      <c r="F15403">
        <v>0</v>
      </c>
      <c r="G15403">
        <v>0</v>
      </c>
      <c r="H15403">
        <v>2</v>
      </c>
      <c r="I15403" s="3">
        <v>34.32</v>
      </c>
      <c r="J15403" s="3">
        <v>3.44</v>
      </c>
      <c r="L15403">
        <v>1723</v>
      </c>
      <c r="M15403" t="s">
        <v>12028</v>
      </c>
      <c r="N15403" t="s">
        <v>30</v>
      </c>
      <c r="O15403" t="s">
        <v>31</v>
      </c>
      <c r="P15403" t="str">
        <f>"15221"</f>
        <v>15221</v>
      </c>
    </row>
    <row r="15404" spans="1:16" x14ac:dyDescent="0.25">
      <c r="A15404" t="str">
        <f>"1210022C00187    00"</f>
        <v>1210022C00187    00</v>
      </c>
      <c r="B15404" t="s">
        <v>14794</v>
      </c>
      <c r="C15404" t="s">
        <v>33758</v>
      </c>
      <c r="E15404" t="s">
        <v>39</v>
      </c>
      <c r="F15404">
        <v>0</v>
      </c>
      <c r="G15404">
        <v>0</v>
      </c>
      <c r="H15404">
        <v>8</v>
      </c>
      <c r="I15404" s="3">
        <v>216.45</v>
      </c>
      <c r="J15404" s="3">
        <v>303.27</v>
      </c>
      <c r="K15404" t="s">
        <v>33759</v>
      </c>
      <c r="L15404">
        <v>7643</v>
      </c>
      <c r="M15404" t="s">
        <v>9086</v>
      </c>
      <c r="N15404" t="s">
        <v>30</v>
      </c>
      <c r="O15404" t="s">
        <v>31</v>
      </c>
      <c r="P15404" t="str">
        <f>"15208"</f>
        <v>15208</v>
      </c>
    </row>
    <row r="15405" spans="1:16" x14ac:dyDescent="0.25">
      <c r="A15405" t="str">
        <f>"1210022E00241    00"</f>
        <v>1210022E00241    00</v>
      </c>
      <c r="B15405" t="s">
        <v>33760</v>
      </c>
      <c r="C15405" t="s">
        <v>33761</v>
      </c>
      <c r="D15405" t="s">
        <v>20</v>
      </c>
      <c r="E15405" t="s">
        <v>39</v>
      </c>
      <c r="F15405">
        <v>0</v>
      </c>
      <c r="G15405">
        <v>0</v>
      </c>
      <c r="H15405">
        <v>3</v>
      </c>
      <c r="I15405" s="3">
        <v>22.86</v>
      </c>
      <c r="J15405" s="3">
        <v>1.52</v>
      </c>
      <c r="L15405">
        <v>143</v>
      </c>
      <c r="M15405" t="s">
        <v>33762</v>
      </c>
      <c r="N15405" t="s">
        <v>22038</v>
      </c>
      <c r="O15405" t="s">
        <v>25</v>
      </c>
      <c r="P15405" t="str">
        <f>"44512"</f>
        <v>44512</v>
      </c>
    </row>
    <row r="15406" spans="1:16" x14ac:dyDescent="0.25">
      <c r="A15406" t="str">
        <f>"1210022E00257    00"</f>
        <v>1210022E00257    00</v>
      </c>
      <c r="B15406" t="s">
        <v>33763</v>
      </c>
      <c r="C15406" t="s">
        <v>33764</v>
      </c>
      <c r="D15406" t="s">
        <v>20</v>
      </c>
      <c r="E15406" t="s">
        <v>39</v>
      </c>
      <c r="F15406">
        <v>0</v>
      </c>
      <c r="G15406">
        <v>0</v>
      </c>
      <c r="H15406">
        <v>1</v>
      </c>
      <c r="I15406" s="3">
        <v>463.16</v>
      </c>
      <c r="J15406" s="3">
        <v>0</v>
      </c>
      <c r="K15406" t="s">
        <v>33765</v>
      </c>
      <c r="L15406">
        <v>1909</v>
      </c>
      <c r="M15406" t="s">
        <v>33766</v>
      </c>
      <c r="N15406" t="s">
        <v>30</v>
      </c>
      <c r="O15406" t="s">
        <v>31</v>
      </c>
      <c r="P15406" t="str">
        <f>"15222"</f>
        <v>15222</v>
      </c>
    </row>
    <row r="15407" spans="1:16" x14ac:dyDescent="0.25">
      <c r="A15407" t="str">
        <f>"1210022E00262    00"</f>
        <v>1210022E00262    00</v>
      </c>
      <c r="B15407" t="s">
        <v>944</v>
      </c>
      <c r="C15407" t="s">
        <v>33767</v>
      </c>
      <c r="E15407" t="s">
        <v>39</v>
      </c>
      <c r="F15407">
        <v>0</v>
      </c>
      <c r="G15407">
        <v>0</v>
      </c>
      <c r="H15407">
        <v>1</v>
      </c>
      <c r="I15407" s="3">
        <v>934.41</v>
      </c>
      <c r="J15407" s="3">
        <v>646.27</v>
      </c>
      <c r="K15407" t="s">
        <v>33528</v>
      </c>
      <c r="L15407">
        <v>200</v>
      </c>
      <c r="M15407" t="s">
        <v>33529</v>
      </c>
      <c r="N15407" t="s">
        <v>30</v>
      </c>
      <c r="O15407" t="s">
        <v>31</v>
      </c>
      <c r="P15407" t="str">
        <f>"15219"</f>
        <v>15219</v>
      </c>
    </row>
    <row r="15408" spans="1:16" x14ac:dyDescent="0.25">
      <c r="A15408" t="str">
        <f>"1210022E00263    00"</f>
        <v>1210022E00263    00</v>
      </c>
      <c r="B15408" t="s">
        <v>944</v>
      </c>
      <c r="C15408" t="s">
        <v>33768</v>
      </c>
      <c r="E15408" t="s">
        <v>39</v>
      </c>
      <c r="F15408">
        <v>0</v>
      </c>
      <c r="G15408">
        <v>0</v>
      </c>
      <c r="H15408">
        <v>1</v>
      </c>
      <c r="I15408" s="3">
        <v>875.09</v>
      </c>
      <c r="J15408" s="3">
        <v>605.24</v>
      </c>
      <c r="K15408" t="s">
        <v>33528</v>
      </c>
      <c r="L15408">
        <v>200</v>
      </c>
      <c r="M15408" t="s">
        <v>33529</v>
      </c>
      <c r="N15408" t="s">
        <v>30</v>
      </c>
      <c r="O15408" t="s">
        <v>31</v>
      </c>
      <c r="P15408" t="str">
        <f>"15219"</f>
        <v>15219</v>
      </c>
    </row>
    <row r="15409" spans="1:16" x14ac:dyDescent="0.25">
      <c r="A15409" t="str">
        <f>"1210022E00264    00"</f>
        <v>1210022E00264    00</v>
      </c>
      <c r="B15409" t="s">
        <v>944</v>
      </c>
      <c r="C15409" t="s">
        <v>33769</v>
      </c>
      <c r="E15409" t="s">
        <v>39</v>
      </c>
      <c r="F15409">
        <v>0</v>
      </c>
      <c r="G15409">
        <v>0</v>
      </c>
      <c r="H15409">
        <v>1</v>
      </c>
      <c r="I15409" s="3">
        <v>978.91</v>
      </c>
      <c r="J15409" s="3">
        <v>677.05</v>
      </c>
      <c r="K15409" t="s">
        <v>33528</v>
      </c>
      <c r="L15409">
        <v>200</v>
      </c>
      <c r="M15409" t="s">
        <v>33529</v>
      </c>
      <c r="N15409" t="s">
        <v>30</v>
      </c>
      <c r="O15409" t="s">
        <v>31</v>
      </c>
      <c r="P15409" t="str">
        <f>"15219"</f>
        <v>15219</v>
      </c>
    </row>
    <row r="15410" spans="1:16" x14ac:dyDescent="0.25">
      <c r="A15410" t="str">
        <f>"1210022E00279    00"</f>
        <v>1210022E00279    00</v>
      </c>
      <c r="B15410" t="s">
        <v>33770</v>
      </c>
      <c r="C15410" t="s">
        <v>33771</v>
      </c>
      <c r="D15410" t="s">
        <v>20</v>
      </c>
      <c r="E15410" t="s">
        <v>39</v>
      </c>
      <c r="F15410">
        <v>0</v>
      </c>
      <c r="G15410">
        <v>0</v>
      </c>
      <c r="H15410">
        <v>1</v>
      </c>
      <c r="I15410" s="3">
        <v>139.15</v>
      </c>
      <c r="J15410" s="3">
        <v>0</v>
      </c>
      <c r="K15410" t="s">
        <v>1225</v>
      </c>
      <c r="L15410">
        <v>201</v>
      </c>
      <c r="M15410" t="s">
        <v>1226</v>
      </c>
      <c r="N15410" t="s">
        <v>272</v>
      </c>
      <c r="O15410" t="s">
        <v>273</v>
      </c>
      <c r="P15410" t="str">
        <f>"29601"</f>
        <v>29601</v>
      </c>
    </row>
    <row r="15411" spans="1:16" x14ac:dyDescent="0.25">
      <c r="A15411" t="str">
        <f>"1210022E00280    00"</f>
        <v>1210022E00280    00</v>
      </c>
      <c r="B15411" t="s">
        <v>33772</v>
      </c>
      <c r="C15411" t="s">
        <v>33773</v>
      </c>
      <c r="D15411" t="s">
        <v>20</v>
      </c>
      <c r="E15411" t="s">
        <v>39</v>
      </c>
      <c r="F15411">
        <v>0</v>
      </c>
      <c r="G15411">
        <v>0</v>
      </c>
      <c r="H15411">
        <v>19</v>
      </c>
      <c r="I15411" s="3">
        <v>8350.82</v>
      </c>
      <c r="J15411" s="3">
        <v>8001.38</v>
      </c>
      <c r="L15411">
        <v>1438</v>
      </c>
      <c r="M15411" t="s">
        <v>33774</v>
      </c>
      <c r="N15411" t="s">
        <v>30</v>
      </c>
      <c r="O15411" t="s">
        <v>31</v>
      </c>
      <c r="P15411" t="str">
        <f>"15233"</f>
        <v>15233</v>
      </c>
    </row>
    <row r="15412" spans="1:16" x14ac:dyDescent="0.25">
      <c r="A15412" t="str">
        <f>"1210022E00285    00"</f>
        <v>1210022E00285    00</v>
      </c>
      <c r="B15412" t="s">
        <v>33775</v>
      </c>
      <c r="C15412" t="s">
        <v>33776</v>
      </c>
      <c r="D15412" t="s">
        <v>20</v>
      </c>
      <c r="E15412" t="s">
        <v>39</v>
      </c>
      <c r="F15412">
        <v>0</v>
      </c>
      <c r="G15412">
        <v>0</v>
      </c>
      <c r="H15412">
        <v>2</v>
      </c>
      <c r="I15412" s="3">
        <v>869.14</v>
      </c>
      <c r="J15412" s="3">
        <v>0</v>
      </c>
      <c r="K15412" t="s">
        <v>33777</v>
      </c>
      <c r="L15412">
        <v>100</v>
      </c>
      <c r="M15412" t="s">
        <v>33778</v>
      </c>
      <c r="N15412" t="s">
        <v>903</v>
      </c>
      <c r="O15412" t="s">
        <v>31</v>
      </c>
      <c r="P15412" t="str">
        <f>"15136"</f>
        <v>15136</v>
      </c>
    </row>
    <row r="15413" spans="1:16" x14ac:dyDescent="0.25">
      <c r="A15413" t="str">
        <f>"1210022E00292    00"</f>
        <v>1210022E00292    00</v>
      </c>
      <c r="B15413" t="s">
        <v>33779</v>
      </c>
      <c r="C15413" t="s">
        <v>33780</v>
      </c>
      <c r="D15413" t="s">
        <v>20</v>
      </c>
      <c r="E15413" t="s">
        <v>39</v>
      </c>
      <c r="F15413">
        <v>0</v>
      </c>
      <c r="G15413">
        <v>0</v>
      </c>
      <c r="H15413">
        <v>1</v>
      </c>
      <c r="I15413" s="3">
        <v>177.27</v>
      </c>
      <c r="J15413" s="3">
        <v>0</v>
      </c>
      <c r="K15413" t="s">
        <v>33781</v>
      </c>
      <c r="M15413" t="s">
        <v>33782</v>
      </c>
      <c r="N15413" t="s">
        <v>8991</v>
      </c>
      <c r="O15413" t="s">
        <v>31</v>
      </c>
      <c r="P15413" t="str">
        <f>"15145"</f>
        <v>15145</v>
      </c>
    </row>
    <row r="15414" spans="1:16" x14ac:dyDescent="0.25">
      <c r="A15414" t="str">
        <f>"1210022E00296    00"</f>
        <v>1210022E00296    00</v>
      </c>
      <c r="B15414" t="s">
        <v>33597</v>
      </c>
      <c r="C15414" t="s">
        <v>33783</v>
      </c>
      <c r="E15414" t="s">
        <v>21</v>
      </c>
      <c r="F15414">
        <v>0</v>
      </c>
      <c r="G15414">
        <v>0</v>
      </c>
      <c r="H15414">
        <v>1</v>
      </c>
      <c r="I15414" s="3">
        <v>550.84</v>
      </c>
      <c r="J15414" s="3">
        <v>0</v>
      </c>
      <c r="L15414">
        <v>1319</v>
      </c>
      <c r="M15414" t="s">
        <v>33598</v>
      </c>
      <c r="N15414" t="s">
        <v>30</v>
      </c>
      <c r="O15414" t="s">
        <v>31</v>
      </c>
      <c r="P15414" t="str">
        <f>"15233"</f>
        <v>15233</v>
      </c>
    </row>
    <row r="15415" spans="1:16" x14ac:dyDescent="0.25">
      <c r="A15415" t="str">
        <f>"1210022E00305    00"</f>
        <v>1210022E00305    00</v>
      </c>
      <c r="B15415" t="s">
        <v>944</v>
      </c>
      <c r="C15415" t="s">
        <v>33784</v>
      </c>
      <c r="E15415" t="s">
        <v>39</v>
      </c>
      <c r="F15415">
        <v>0</v>
      </c>
      <c r="G15415">
        <v>0</v>
      </c>
      <c r="H15415">
        <v>1</v>
      </c>
      <c r="I15415" s="3">
        <v>1799.61</v>
      </c>
      <c r="J15415" s="3">
        <v>1244.69</v>
      </c>
      <c r="K15415" t="s">
        <v>33528</v>
      </c>
      <c r="L15415">
        <v>200</v>
      </c>
      <c r="M15415" t="s">
        <v>33529</v>
      </c>
      <c r="N15415" t="s">
        <v>30</v>
      </c>
      <c r="O15415" t="s">
        <v>31</v>
      </c>
      <c r="P15415" t="str">
        <f>"15219"</f>
        <v>15219</v>
      </c>
    </row>
    <row r="15416" spans="1:16" x14ac:dyDescent="0.25">
      <c r="A15416" t="str">
        <f>"1210022E00307    00"</f>
        <v>1210022E00307    00</v>
      </c>
      <c r="B15416" t="s">
        <v>944</v>
      </c>
      <c r="C15416" t="s">
        <v>33785</v>
      </c>
      <c r="E15416" t="s">
        <v>39</v>
      </c>
      <c r="F15416">
        <v>0</v>
      </c>
      <c r="G15416">
        <v>0</v>
      </c>
      <c r="H15416">
        <v>1</v>
      </c>
      <c r="I15416" s="3">
        <v>1814.45</v>
      </c>
      <c r="J15416" s="3">
        <v>1254.94</v>
      </c>
      <c r="K15416" t="s">
        <v>33528</v>
      </c>
      <c r="L15416">
        <v>200</v>
      </c>
      <c r="M15416" t="s">
        <v>33529</v>
      </c>
      <c r="N15416" t="s">
        <v>30</v>
      </c>
      <c r="O15416" t="s">
        <v>31</v>
      </c>
      <c r="P15416" t="str">
        <f>"15219"</f>
        <v>15219</v>
      </c>
    </row>
    <row r="15417" spans="1:16" x14ac:dyDescent="0.25">
      <c r="A15417" t="str">
        <f>"1210022E00310    00"</f>
        <v>1210022E00310    00</v>
      </c>
      <c r="B15417" t="s">
        <v>33786</v>
      </c>
      <c r="C15417" t="s">
        <v>33787</v>
      </c>
      <c r="E15417" t="s">
        <v>39</v>
      </c>
      <c r="F15417">
        <v>0</v>
      </c>
      <c r="G15417">
        <v>0</v>
      </c>
      <c r="H15417">
        <v>3</v>
      </c>
      <c r="I15417" s="3">
        <v>897.58</v>
      </c>
      <c r="J15417" s="3">
        <v>0</v>
      </c>
      <c r="K15417" t="s">
        <v>33788</v>
      </c>
      <c r="L15417">
        <v>632</v>
      </c>
      <c r="M15417" t="s">
        <v>17928</v>
      </c>
      <c r="N15417" t="s">
        <v>30</v>
      </c>
      <c r="O15417" t="s">
        <v>31</v>
      </c>
      <c r="P15417" t="str">
        <f>"15207"</f>
        <v>15207</v>
      </c>
    </row>
    <row r="15418" spans="1:16" x14ac:dyDescent="0.25">
      <c r="A15418" t="str">
        <f>"1210022E00312    00"</f>
        <v>1210022E00312    00</v>
      </c>
      <c r="B15418" t="s">
        <v>33789</v>
      </c>
      <c r="C15418" t="s">
        <v>33790</v>
      </c>
      <c r="D15418" t="s">
        <v>20</v>
      </c>
      <c r="E15418" t="s">
        <v>39</v>
      </c>
      <c r="F15418">
        <v>0</v>
      </c>
      <c r="G15418">
        <v>0</v>
      </c>
      <c r="H15418">
        <v>1</v>
      </c>
      <c r="I15418" s="3">
        <v>447.92</v>
      </c>
      <c r="J15418" s="3">
        <v>0</v>
      </c>
      <c r="L15418">
        <v>1448</v>
      </c>
      <c r="M15418" t="s">
        <v>33791</v>
      </c>
      <c r="N15418" t="s">
        <v>30</v>
      </c>
      <c r="O15418" t="s">
        <v>31</v>
      </c>
      <c r="P15418" t="str">
        <f>"15233"</f>
        <v>15233</v>
      </c>
    </row>
    <row r="15419" spans="1:16" x14ac:dyDescent="0.25">
      <c r="A15419" t="str">
        <f>"1210022E00313    00"</f>
        <v>1210022E00313    00</v>
      </c>
      <c r="B15419" t="s">
        <v>33792</v>
      </c>
      <c r="C15419" t="s">
        <v>33793</v>
      </c>
      <c r="D15419" t="s">
        <v>20</v>
      </c>
      <c r="E15419" t="s">
        <v>39</v>
      </c>
      <c r="F15419">
        <v>0</v>
      </c>
      <c r="G15419">
        <v>0</v>
      </c>
      <c r="H15419">
        <v>1</v>
      </c>
      <c r="I15419" s="3">
        <v>777.65</v>
      </c>
      <c r="J15419" s="3">
        <v>0</v>
      </c>
      <c r="K15419" t="s">
        <v>4992</v>
      </c>
      <c r="L15419">
        <v>18111</v>
      </c>
      <c r="M15419" t="s">
        <v>4993</v>
      </c>
      <c r="N15419" t="s">
        <v>107</v>
      </c>
      <c r="O15419" t="s">
        <v>108</v>
      </c>
      <c r="P15419" t="str">
        <f>"75252"</f>
        <v>75252</v>
      </c>
    </row>
    <row r="15420" spans="1:16" x14ac:dyDescent="0.25">
      <c r="A15420" t="str">
        <f>"1210022E00314    00"</f>
        <v>1210022E00314    00</v>
      </c>
      <c r="B15420" t="s">
        <v>33794</v>
      </c>
      <c r="C15420" t="s">
        <v>33795</v>
      </c>
      <c r="D15420" t="s">
        <v>20</v>
      </c>
      <c r="E15420" t="s">
        <v>39</v>
      </c>
      <c r="F15420">
        <v>0</v>
      </c>
      <c r="G15420">
        <v>0</v>
      </c>
      <c r="H15420">
        <v>1</v>
      </c>
      <c r="I15420" s="3">
        <v>2399.66</v>
      </c>
      <c r="J15420" s="3">
        <v>0</v>
      </c>
      <c r="K15420" t="s">
        <v>5141</v>
      </c>
      <c r="L15420">
        <v>1</v>
      </c>
      <c r="M15420" t="s">
        <v>5142</v>
      </c>
      <c r="N15420" t="s">
        <v>5143</v>
      </c>
      <c r="O15420" t="s">
        <v>3486</v>
      </c>
      <c r="P15420" t="str">
        <f>"60047"</f>
        <v>60047</v>
      </c>
    </row>
    <row r="15421" spans="1:16" x14ac:dyDescent="0.25">
      <c r="A15421" t="str">
        <f>"1210022E00316    00"</f>
        <v>1210022E00316    00</v>
      </c>
      <c r="B15421" t="s">
        <v>33796</v>
      </c>
      <c r="C15421" t="s">
        <v>33797</v>
      </c>
      <c r="D15421" t="s">
        <v>20</v>
      </c>
      <c r="E15421" t="s">
        <v>39</v>
      </c>
      <c r="F15421">
        <v>0</v>
      </c>
      <c r="G15421">
        <v>0</v>
      </c>
      <c r="H15421">
        <v>1</v>
      </c>
      <c r="I15421" s="3">
        <v>402.17</v>
      </c>
      <c r="J15421" s="3">
        <v>0</v>
      </c>
      <c r="L15421">
        <v>1452</v>
      </c>
      <c r="M15421" t="s">
        <v>33791</v>
      </c>
      <c r="N15421" t="s">
        <v>30</v>
      </c>
      <c r="O15421" t="s">
        <v>31</v>
      </c>
      <c r="P15421" t="str">
        <f>"15233"</f>
        <v>15233</v>
      </c>
    </row>
    <row r="15422" spans="1:16" x14ac:dyDescent="0.25">
      <c r="A15422" t="str">
        <f>"1210022E00317    00"</f>
        <v>1210022E00317    00</v>
      </c>
      <c r="B15422" t="s">
        <v>33796</v>
      </c>
      <c r="C15422" t="s">
        <v>33798</v>
      </c>
      <c r="D15422" t="s">
        <v>20</v>
      </c>
      <c r="E15422" t="s">
        <v>39</v>
      </c>
      <c r="F15422">
        <v>0</v>
      </c>
      <c r="G15422">
        <v>0</v>
      </c>
      <c r="H15422">
        <v>1</v>
      </c>
      <c r="I15422" s="3">
        <v>51.1</v>
      </c>
      <c r="J15422" s="3">
        <v>0</v>
      </c>
      <c r="K15422" t="s">
        <v>33799</v>
      </c>
      <c r="L15422">
        <v>1452</v>
      </c>
      <c r="M15422" t="s">
        <v>33791</v>
      </c>
      <c r="N15422" t="s">
        <v>30</v>
      </c>
      <c r="O15422" t="s">
        <v>31</v>
      </c>
      <c r="P15422" t="str">
        <f>"15233"</f>
        <v>15233</v>
      </c>
    </row>
    <row r="15423" spans="1:16" x14ac:dyDescent="0.25">
      <c r="A15423" t="str">
        <f>"1210022E00321    00"</f>
        <v>1210022E00321    00</v>
      </c>
      <c r="B15423" t="s">
        <v>28778</v>
      </c>
      <c r="C15423" t="s">
        <v>33761</v>
      </c>
      <c r="D15423" t="s">
        <v>20</v>
      </c>
      <c r="E15423" t="s">
        <v>39</v>
      </c>
      <c r="F15423">
        <v>0</v>
      </c>
      <c r="G15423">
        <v>0</v>
      </c>
      <c r="H15423">
        <v>3</v>
      </c>
      <c r="I15423" s="3">
        <v>51.48</v>
      </c>
      <c r="J15423" s="3">
        <v>3.44</v>
      </c>
      <c r="L15423">
        <v>6</v>
      </c>
      <c r="M15423" t="s">
        <v>4839</v>
      </c>
      <c r="N15423" t="s">
        <v>30</v>
      </c>
      <c r="O15423" t="s">
        <v>31</v>
      </c>
      <c r="P15423" t="str">
        <f>"15222"</f>
        <v>15222</v>
      </c>
    </row>
    <row r="15424" spans="1:16" x14ac:dyDescent="0.25">
      <c r="A15424" t="str">
        <f>"1210022E00323A   00"</f>
        <v>1210022E00323A   00</v>
      </c>
      <c r="B15424" t="s">
        <v>33800</v>
      </c>
      <c r="C15424" t="s">
        <v>33801</v>
      </c>
      <c r="D15424" t="s">
        <v>20</v>
      </c>
      <c r="E15424" t="s">
        <v>39</v>
      </c>
      <c r="F15424">
        <v>0</v>
      </c>
      <c r="G15424">
        <v>0</v>
      </c>
      <c r="H15424">
        <v>16</v>
      </c>
      <c r="I15424" s="3">
        <v>493.44</v>
      </c>
      <c r="J15424" s="3">
        <v>667.95</v>
      </c>
      <c r="K15424" t="s">
        <v>33802</v>
      </c>
      <c r="L15424">
        <v>1440</v>
      </c>
      <c r="M15424" t="s">
        <v>33803</v>
      </c>
      <c r="N15424" t="s">
        <v>30</v>
      </c>
      <c r="O15424" t="s">
        <v>31</v>
      </c>
      <c r="P15424" t="str">
        <f>"15233"</f>
        <v>15233</v>
      </c>
    </row>
    <row r="15425" spans="1:16" x14ac:dyDescent="0.25">
      <c r="A15425" t="str">
        <f>"1210022E00327    00"</f>
        <v>1210022E00327    00</v>
      </c>
      <c r="B15425" t="s">
        <v>33804</v>
      </c>
      <c r="C15425" t="s">
        <v>33805</v>
      </c>
      <c r="E15425" t="s">
        <v>39</v>
      </c>
      <c r="F15425">
        <v>0</v>
      </c>
      <c r="G15425">
        <v>0</v>
      </c>
      <c r="H15425">
        <v>8</v>
      </c>
      <c r="I15425" s="3">
        <v>7364.99</v>
      </c>
      <c r="J15425" s="3">
        <v>7724.25</v>
      </c>
      <c r="L15425">
        <v>1440</v>
      </c>
      <c r="M15425" t="s">
        <v>33803</v>
      </c>
      <c r="N15425" t="s">
        <v>30</v>
      </c>
      <c r="O15425" t="s">
        <v>31</v>
      </c>
      <c r="P15425" t="str">
        <f>"15233"</f>
        <v>15233</v>
      </c>
    </row>
    <row r="15426" spans="1:16" x14ac:dyDescent="0.25">
      <c r="A15426" t="str">
        <f>"1210022E00337    00"</f>
        <v>1210022E00337    00</v>
      </c>
      <c r="B15426" t="s">
        <v>944</v>
      </c>
      <c r="C15426" t="s">
        <v>33806</v>
      </c>
      <c r="E15426" t="s">
        <v>39</v>
      </c>
      <c r="F15426">
        <v>0</v>
      </c>
      <c r="G15426">
        <v>0</v>
      </c>
      <c r="H15426">
        <v>1</v>
      </c>
      <c r="I15426" s="3">
        <v>1379.37</v>
      </c>
      <c r="J15426" s="3">
        <v>954.03</v>
      </c>
      <c r="K15426" t="s">
        <v>33528</v>
      </c>
      <c r="L15426">
        <v>200</v>
      </c>
      <c r="M15426" t="s">
        <v>33529</v>
      </c>
      <c r="N15426" t="s">
        <v>30</v>
      </c>
      <c r="O15426" t="s">
        <v>31</v>
      </c>
      <c r="P15426" t="str">
        <f>"15219"</f>
        <v>15219</v>
      </c>
    </row>
    <row r="15427" spans="1:16" x14ac:dyDescent="0.25">
      <c r="A15427" t="str">
        <f>"1210022E00338    00"</f>
        <v>1210022E00338    00</v>
      </c>
      <c r="B15427" t="s">
        <v>944</v>
      </c>
      <c r="C15427" t="s">
        <v>33807</v>
      </c>
      <c r="E15427" t="s">
        <v>39</v>
      </c>
      <c r="F15427">
        <v>0</v>
      </c>
      <c r="G15427">
        <v>0</v>
      </c>
      <c r="H15427">
        <v>1</v>
      </c>
      <c r="I15427" s="3">
        <v>1275.55</v>
      </c>
      <c r="J15427" s="3">
        <v>882.22</v>
      </c>
      <c r="K15427" t="s">
        <v>33528</v>
      </c>
      <c r="L15427">
        <v>200</v>
      </c>
      <c r="M15427" t="s">
        <v>33529</v>
      </c>
      <c r="N15427" t="s">
        <v>30</v>
      </c>
      <c r="O15427" t="s">
        <v>31</v>
      </c>
      <c r="P15427" t="str">
        <f>"15219"</f>
        <v>15219</v>
      </c>
    </row>
    <row r="15428" spans="1:16" x14ac:dyDescent="0.25">
      <c r="A15428" t="str">
        <f>"1210022E00342    00"</f>
        <v>1210022E00342    00</v>
      </c>
      <c r="B15428" t="s">
        <v>33808</v>
      </c>
      <c r="C15428" t="s">
        <v>33809</v>
      </c>
      <c r="E15428" t="s">
        <v>39</v>
      </c>
      <c r="F15428">
        <v>0</v>
      </c>
      <c r="G15428">
        <v>0</v>
      </c>
      <c r="H15428">
        <v>1</v>
      </c>
      <c r="I15428" s="3">
        <v>402.18</v>
      </c>
      <c r="J15428" s="3">
        <v>0</v>
      </c>
      <c r="K15428" t="s">
        <v>33810</v>
      </c>
      <c r="L15428">
        <v>1319</v>
      </c>
      <c r="M15428" t="s">
        <v>33598</v>
      </c>
      <c r="N15428" t="s">
        <v>30</v>
      </c>
      <c r="O15428" t="s">
        <v>31</v>
      </c>
      <c r="P15428" t="str">
        <f>"15233"</f>
        <v>15233</v>
      </c>
    </row>
    <row r="15429" spans="1:16" x14ac:dyDescent="0.25">
      <c r="A15429" t="str">
        <f>"1210022F00020    00"</f>
        <v>1210022F00020    00</v>
      </c>
      <c r="B15429" t="s">
        <v>33811</v>
      </c>
      <c r="C15429" t="s">
        <v>33783</v>
      </c>
      <c r="E15429" t="s">
        <v>21</v>
      </c>
      <c r="F15429">
        <v>0</v>
      </c>
      <c r="G15429">
        <v>0</v>
      </c>
      <c r="H15429">
        <v>1</v>
      </c>
      <c r="I15429" s="3">
        <v>341.18</v>
      </c>
      <c r="J15429" s="3">
        <v>0</v>
      </c>
      <c r="L15429">
        <v>1319</v>
      </c>
      <c r="M15429" t="s">
        <v>33598</v>
      </c>
      <c r="N15429" t="s">
        <v>30</v>
      </c>
      <c r="O15429" t="s">
        <v>31</v>
      </c>
      <c r="P15429" t="str">
        <f>"15233"</f>
        <v>15233</v>
      </c>
    </row>
    <row r="15430" spans="1:16" x14ac:dyDescent="0.25">
      <c r="A15430" t="str">
        <f>"1210022F00029D   00"</f>
        <v>1210022F00029D   00</v>
      </c>
      <c r="B15430" t="s">
        <v>33812</v>
      </c>
      <c r="C15430" t="s">
        <v>33813</v>
      </c>
      <c r="D15430" t="s">
        <v>5698</v>
      </c>
      <c r="E15430" t="s">
        <v>39</v>
      </c>
      <c r="F15430">
        <v>0</v>
      </c>
      <c r="G15430">
        <v>0</v>
      </c>
      <c r="H15430">
        <v>1</v>
      </c>
      <c r="I15430" s="3">
        <v>51.75</v>
      </c>
      <c r="J15430" s="3">
        <v>117.54</v>
      </c>
      <c r="L15430">
        <v>1919</v>
      </c>
      <c r="M15430" t="s">
        <v>11677</v>
      </c>
      <c r="N15430" t="s">
        <v>30</v>
      </c>
      <c r="O15430" t="s">
        <v>31</v>
      </c>
      <c r="P15430" t="str">
        <f>"15233"</f>
        <v>15233</v>
      </c>
    </row>
    <row r="15431" spans="1:16" x14ac:dyDescent="0.25">
      <c r="A15431" t="str">
        <f>"1210022F00063    00"</f>
        <v>1210022F00063    00</v>
      </c>
      <c r="B15431" t="s">
        <v>33814</v>
      </c>
      <c r="C15431" t="s">
        <v>33815</v>
      </c>
      <c r="D15431" t="s">
        <v>20</v>
      </c>
      <c r="E15431" t="s">
        <v>39</v>
      </c>
      <c r="F15431">
        <v>0</v>
      </c>
      <c r="G15431">
        <v>0</v>
      </c>
      <c r="H15431">
        <v>4</v>
      </c>
      <c r="I15431" s="3">
        <v>128.28</v>
      </c>
      <c r="J15431" s="3">
        <v>15.81</v>
      </c>
      <c r="L15431">
        <v>1320</v>
      </c>
      <c r="M15431" t="s">
        <v>33774</v>
      </c>
      <c r="N15431" t="s">
        <v>30</v>
      </c>
      <c r="O15431" t="s">
        <v>31</v>
      </c>
      <c r="P15431" t="str">
        <f>"15233"</f>
        <v>15233</v>
      </c>
    </row>
    <row r="15432" spans="1:16" x14ac:dyDescent="0.25">
      <c r="A15432" t="str">
        <f>"1210022F00063A   00"</f>
        <v>1210022F00063A   00</v>
      </c>
      <c r="B15432" t="s">
        <v>33814</v>
      </c>
      <c r="C15432" t="s">
        <v>33816</v>
      </c>
      <c r="D15432" t="s">
        <v>20</v>
      </c>
      <c r="E15432" t="s">
        <v>39</v>
      </c>
      <c r="F15432">
        <v>0</v>
      </c>
      <c r="G15432">
        <v>0</v>
      </c>
      <c r="H15432">
        <v>4</v>
      </c>
      <c r="I15432" s="3">
        <v>1533.98</v>
      </c>
      <c r="J15432" s="3">
        <v>181.21</v>
      </c>
      <c r="K15432" t="s">
        <v>33817</v>
      </c>
      <c r="L15432">
        <v>1320</v>
      </c>
      <c r="M15432" t="s">
        <v>33774</v>
      </c>
      <c r="N15432" t="s">
        <v>30</v>
      </c>
      <c r="O15432" t="s">
        <v>31</v>
      </c>
      <c r="P15432" t="str">
        <f>"15233"</f>
        <v>15233</v>
      </c>
    </row>
    <row r="15433" spans="1:16" x14ac:dyDescent="0.25">
      <c r="A15433" t="str">
        <f>"1210022F00064    00"</f>
        <v>1210022F00064    00</v>
      </c>
      <c r="B15433" t="s">
        <v>218</v>
      </c>
      <c r="C15433" t="s">
        <v>33818</v>
      </c>
      <c r="E15433" t="s">
        <v>207</v>
      </c>
      <c r="F15433">
        <v>0</v>
      </c>
      <c r="G15433">
        <v>0</v>
      </c>
      <c r="H15433">
        <v>13</v>
      </c>
      <c r="I15433" s="3">
        <v>278.05</v>
      </c>
      <c r="J15433" s="3">
        <v>298.54000000000002</v>
      </c>
      <c r="K15433" t="s">
        <v>220</v>
      </c>
      <c r="L15433">
        <v>412</v>
      </c>
      <c r="M15433" t="s">
        <v>221</v>
      </c>
      <c r="N15433" t="s">
        <v>30</v>
      </c>
      <c r="O15433" t="s">
        <v>31</v>
      </c>
      <c r="P15433" t="str">
        <f>"15219"</f>
        <v>15219</v>
      </c>
    </row>
    <row r="15434" spans="1:16" x14ac:dyDescent="0.25">
      <c r="A15434" t="str">
        <f>"1210022F000641   00"</f>
        <v>1210022F000641   00</v>
      </c>
      <c r="B15434" t="s">
        <v>33814</v>
      </c>
      <c r="C15434" t="s">
        <v>33819</v>
      </c>
      <c r="D15434" t="s">
        <v>20</v>
      </c>
      <c r="E15434" t="s">
        <v>39</v>
      </c>
      <c r="F15434">
        <v>0</v>
      </c>
      <c r="G15434">
        <v>0</v>
      </c>
      <c r="H15434">
        <v>4</v>
      </c>
      <c r="I15434" s="3">
        <v>188.64</v>
      </c>
      <c r="J15434" s="3">
        <v>23.23</v>
      </c>
      <c r="L15434">
        <v>1320</v>
      </c>
      <c r="M15434" t="s">
        <v>33774</v>
      </c>
      <c r="N15434" t="s">
        <v>30</v>
      </c>
      <c r="O15434" t="s">
        <v>31</v>
      </c>
      <c r="P15434" t="str">
        <f>"15233"</f>
        <v>15233</v>
      </c>
    </row>
    <row r="15435" spans="1:16" x14ac:dyDescent="0.25">
      <c r="A15435" t="str">
        <f>"1210022F00074    00"</f>
        <v>1210022F00074    00</v>
      </c>
      <c r="B15435" t="s">
        <v>33820</v>
      </c>
      <c r="C15435" t="s">
        <v>33819</v>
      </c>
      <c r="D15435" t="s">
        <v>20</v>
      </c>
      <c r="E15435" t="s">
        <v>39</v>
      </c>
      <c r="F15435">
        <v>0</v>
      </c>
      <c r="G15435">
        <v>0</v>
      </c>
      <c r="H15435">
        <v>2</v>
      </c>
      <c r="I15435" s="3">
        <v>57.2</v>
      </c>
      <c r="J15435" s="3">
        <v>0</v>
      </c>
      <c r="L15435">
        <v>4320</v>
      </c>
      <c r="M15435" t="s">
        <v>33821</v>
      </c>
      <c r="N15435" t="s">
        <v>509</v>
      </c>
      <c r="O15435" t="s">
        <v>31</v>
      </c>
      <c r="P15435" t="str">
        <f>"19124"</f>
        <v>19124</v>
      </c>
    </row>
    <row r="15436" spans="1:16" x14ac:dyDescent="0.25">
      <c r="A15436" t="str">
        <f>"1210022F00078    00"</f>
        <v>1210022F00078    00</v>
      </c>
      <c r="B15436" t="s">
        <v>33820</v>
      </c>
      <c r="C15436" t="s">
        <v>33819</v>
      </c>
      <c r="D15436" t="s">
        <v>20</v>
      </c>
      <c r="E15436" t="s">
        <v>39</v>
      </c>
      <c r="F15436">
        <v>0</v>
      </c>
      <c r="G15436">
        <v>0</v>
      </c>
      <c r="H15436">
        <v>2</v>
      </c>
      <c r="I15436" s="3">
        <v>64.819999999999993</v>
      </c>
      <c r="J15436" s="3">
        <v>0</v>
      </c>
      <c r="L15436">
        <v>4320</v>
      </c>
      <c r="M15436" t="s">
        <v>33821</v>
      </c>
      <c r="N15436" t="s">
        <v>509</v>
      </c>
      <c r="O15436" t="s">
        <v>31</v>
      </c>
      <c r="P15436" t="str">
        <f>"19124"</f>
        <v>19124</v>
      </c>
    </row>
    <row r="15437" spans="1:16" x14ac:dyDescent="0.25">
      <c r="A15437" t="str">
        <f>"1210022F00098    00"</f>
        <v>1210022F00098    00</v>
      </c>
      <c r="B15437" t="s">
        <v>944</v>
      </c>
      <c r="C15437" t="s">
        <v>33822</v>
      </c>
      <c r="E15437" t="s">
        <v>39</v>
      </c>
      <c r="F15437">
        <v>0</v>
      </c>
      <c r="G15437">
        <v>0</v>
      </c>
      <c r="H15437">
        <v>1</v>
      </c>
      <c r="I15437" s="3">
        <v>2521.44</v>
      </c>
      <c r="J15437" s="3">
        <v>1743.93</v>
      </c>
      <c r="K15437" t="s">
        <v>33528</v>
      </c>
      <c r="L15437">
        <v>200</v>
      </c>
      <c r="M15437" t="s">
        <v>33529</v>
      </c>
      <c r="N15437" t="s">
        <v>30</v>
      </c>
      <c r="O15437" t="s">
        <v>31</v>
      </c>
      <c r="P15437" t="str">
        <f>"15219"</f>
        <v>15219</v>
      </c>
    </row>
    <row r="15438" spans="1:16" x14ac:dyDescent="0.25">
      <c r="A15438" t="str">
        <f>"1210022F00105    00"</f>
        <v>1210022F00105    00</v>
      </c>
      <c r="B15438" t="s">
        <v>33823</v>
      </c>
      <c r="C15438" t="s">
        <v>33824</v>
      </c>
      <c r="D15438" t="s">
        <v>20</v>
      </c>
      <c r="E15438" t="s">
        <v>39</v>
      </c>
      <c r="F15438">
        <v>0</v>
      </c>
      <c r="G15438">
        <v>0</v>
      </c>
      <c r="H15438">
        <v>7</v>
      </c>
      <c r="I15438" s="3">
        <v>1913.38</v>
      </c>
      <c r="J15438" s="3">
        <v>642.6</v>
      </c>
      <c r="L15438">
        <v>1414</v>
      </c>
      <c r="M15438" t="s">
        <v>33774</v>
      </c>
      <c r="N15438" t="s">
        <v>30</v>
      </c>
      <c r="O15438" t="s">
        <v>31</v>
      </c>
      <c r="P15438" t="str">
        <f>"15233"</f>
        <v>15233</v>
      </c>
    </row>
    <row r="15439" spans="1:16" x14ac:dyDescent="0.25">
      <c r="A15439" t="str">
        <f>"1210022F00112    00"</f>
        <v>1210022F00112    00</v>
      </c>
      <c r="B15439" t="s">
        <v>33825</v>
      </c>
      <c r="C15439" t="s">
        <v>33819</v>
      </c>
      <c r="D15439" t="s">
        <v>20</v>
      </c>
      <c r="E15439" t="s">
        <v>39</v>
      </c>
      <c r="F15439">
        <v>0</v>
      </c>
      <c r="G15439">
        <v>0</v>
      </c>
      <c r="H15439">
        <v>4</v>
      </c>
      <c r="I15439" s="3">
        <v>1144.17</v>
      </c>
      <c r="J15439" s="3">
        <v>158.78</v>
      </c>
      <c r="K15439" t="s">
        <v>33826</v>
      </c>
      <c r="L15439">
        <v>1425</v>
      </c>
      <c r="M15439" t="s">
        <v>33774</v>
      </c>
      <c r="N15439" t="s">
        <v>30</v>
      </c>
      <c r="O15439" t="s">
        <v>31</v>
      </c>
      <c r="P15439" t="str">
        <f>"15233"</f>
        <v>15233</v>
      </c>
    </row>
    <row r="15440" spans="1:16" x14ac:dyDescent="0.25">
      <c r="A15440" t="str">
        <f>"1210022F00113    00"</f>
        <v>1210022F00113    00</v>
      </c>
      <c r="B15440" t="s">
        <v>33825</v>
      </c>
      <c r="C15440" t="s">
        <v>33819</v>
      </c>
      <c r="D15440" t="s">
        <v>20</v>
      </c>
      <c r="E15440" t="s">
        <v>39</v>
      </c>
      <c r="F15440">
        <v>0</v>
      </c>
      <c r="G15440">
        <v>0</v>
      </c>
      <c r="H15440">
        <v>2</v>
      </c>
      <c r="I15440" s="3">
        <v>263.04000000000002</v>
      </c>
      <c r="J15440" s="3">
        <v>26.31</v>
      </c>
      <c r="K15440" t="s">
        <v>33826</v>
      </c>
      <c r="L15440">
        <v>1425</v>
      </c>
      <c r="M15440" t="s">
        <v>33774</v>
      </c>
      <c r="N15440" t="s">
        <v>30</v>
      </c>
      <c r="O15440" t="s">
        <v>31</v>
      </c>
      <c r="P15440" t="str">
        <f>"15233"</f>
        <v>15233</v>
      </c>
    </row>
    <row r="15441" spans="1:16" x14ac:dyDescent="0.25">
      <c r="A15441" t="str">
        <f>"1210022F00141    00"</f>
        <v>1210022F00141    00</v>
      </c>
      <c r="B15441" t="s">
        <v>33827</v>
      </c>
      <c r="C15441" t="s">
        <v>33828</v>
      </c>
      <c r="D15441" t="s">
        <v>20</v>
      </c>
      <c r="E15441" t="s">
        <v>39</v>
      </c>
      <c r="F15441">
        <v>0</v>
      </c>
      <c r="G15441">
        <v>0</v>
      </c>
      <c r="H15441">
        <v>2</v>
      </c>
      <c r="I15441" s="3">
        <v>809.86</v>
      </c>
      <c r="J15441" s="3">
        <v>118.87</v>
      </c>
      <c r="L15441">
        <v>8710</v>
      </c>
      <c r="M15441" t="s">
        <v>33829</v>
      </c>
      <c r="N15441" t="s">
        <v>3951</v>
      </c>
      <c r="O15441" t="s">
        <v>370</v>
      </c>
      <c r="P15441" t="str">
        <f>"33615"</f>
        <v>33615</v>
      </c>
    </row>
    <row r="15442" spans="1:16" x14ac:dyDescent="0.25">
      <c r="A15442" t="str">
        <f>"1210022F00151    00"</f>
        <v>1210022F00151    00</v>
      </c>
      <c r="B15442" t="s">
        <v>33830</v>
      </c>
      <c r="C15442" t="s">
        <v>33831</v>
      </c>
      <c r="D15442" t="s">
        <v>20</v>
      </c>
      <c r="E15442" t="s">
        <v>39</v>
      </c>
      <c r="F15442">
        <v>0</v>
      </c>
      <c r="G15442">
        <v>0</v>
      </c>
      <c r="H15442">
        <v>1</v>
      </c>
      <c r="I15442" s="3">
        <v>51.35</v>
      </c>
      <c r="J15442" s="3">
        <v>0</v>
      </c>
      <c r="K15442" t="s">
        <v>33832</v>
      </c>
      <c r="L15442">
        <v>1309</v>
      </c>
      <c r="M15442" t="s">
        <v>33774</v>
      </c>
      <c r="N15442" t="s">
        <v>30</v>
      </c>
      <c r="O15442" t="s">
        <v>31</v>
      </c>
      <c r="P15442" t="str">
        <f>"15233"</f>
        <v>15233</v>
      </c>
    </row>
    <row r="15443" spans="1:16" x14ac:dyDescent="0.25">
      <c r="A15443" t="str">
        <f>"1210022F00156    00"</f>
        <v>1210022F00156    00</v>
      </c>
      <c r="B15443" t="s">
        <v>218</v>
      </c>
      <c r="C15443" t="s">
        <v>33833</v>
      </c>
      <c r="E15443" t="s">
        <v>39</v>
      </c>
      <c r="F15443">
        <v>0</v>
      </c>
      <c r="G15443">
        <v>0</v>
      </c>
      <c r="H15443">
        <v>1</v>
      </c>
      <c r="I15443" s="3">
        <v>359.74</v>
      </c>
      <c r="J15443" s="3">
        <v>143.88</v>
      </c>
      <c r="K15443" t="s">
        <v>220</v>
      </c>
      <c r="L15443">
        <v>412</v>
      </c>
      <c r="M15443" t="s">
        <v>221</v>
      </c>
      <c r="N15443" t="s">
        <v>30</v>
      </c>
      <c r="O15443" t="s">
        <v>31</v>
      </c>
      <c r="P15443" t="str">
        <f>"15219"</f>
        <v>15219</v>
      </c>
    </row>
    <row r="15444" spans="1:16" x14ac:dyDescent="0.25">
      <c r="A15444" t="str">
        <f>"1210022F00216    01"</f>
        <v>1210022F00216    01</v>
      </c>
      <c r="B15444" t="s">
        <v>33834</v>
      </c>
      <c r="C15444" t="s">
        <v>33835</v>
      </c>
      <c r="E15444" t="s">
        <v>21</v>
      </c>
      <c r="F15444">
        <v>0</v>
      </c>
      <c r="G15444">
        <v>0</v>
      </c>
      <c r="H15444">
        <v>4</v>
      </c>
      <c r="I15444" s="3">
        <v>117.3</v>
      </c>
      <c r="J15444" s="3">
        <v>157.36000000000001</v>
      </c>
      <c r="L15444">
        <v>3600</v>
      </c>
      <c r="M15444" t="s">
        <v>17198</v>
      </c>
      <c r="N15444" t="s">
        <v>30</v>
      </c>
      <c r="O15444" t="s">
        <v>31</v>
      </c>
      <c r="P15444" t="str">
        <f>"15212"</f>
        <v>15212</v>
      </c>
    </row>
    <row r="15445" spans="1:16" x14ac:dyDescent="0.25">
      <c r="A15445" t="str">
        <f>"1210022F00218    00"</f>
        <v>1210022F00218    00</v>
      </c>
      <c r="B15445" t="s">
        <v>33836</v>
      </c>
      <c r="C15445" t="s">
        <v>33837</v>
      </c>
      <c r="D15445" t="s">
        <v>20</v>
      </c>
      <c r="E15445" t="s">
        <v>39</v>
      </c>
      <c r="F15445">
        <v>0</v>
      </c>
      <c r="G15445">
        <v>0</v>
      </c>
      <c r="H15445">
        <v>5</v>
      </c>
      <c r="I15445" s="3">
        <v>1357.71</v>
      </c>
      <c r="J15445" s="3">
        <v>185.6</v>
      </c>
      <c r="K15445" t="s">
        <v>33838</v>
      </c>
      <c r="L15445">
        <v>1320</v>
      </c>
      <c r="M15445" t="s">
        <v>13896</v>
      </c>
      <c r="N15445" t="s">
        <v>30</v>
      </c>
      <c r="O15445" t="s">
        <v>31</v>
      </c>
      <c r="P15445" t="str">
        <f>"15212"</f>
        <v>15212</v>
      </c>
    </row>
    <row r="15446" spans="1:16" x14ac:dyDescent="0.25">
      <c r="A15446" t="str">
        <f>"1210022F00222    00"</f>
        <v>1210022F00222    00</v>
      </c>
      <c r="B15446" t="s">
        <v>33836</v>
      </c>
      <c r="C15446" t="s">
        <v>33839</v>
      </c>
      <c r="E15446" t="s">
        <v>39</v>
      </c>
      <c r="F15446">
        <v>0</v>
      </c>
      <c r="G15446">
        <v>0</v>
      </c>
      <c r="H15446">
        <v>1</v>
      </c>
      <c r="I15446" s="3">
        <v>25.56</v>
      </c>
      <c r="J15446" s="3">
        <v>10.220000000000001</v>
      </c>
      <c r="K15446" t="s">
        <v>33838</v>
      </c>
      <c r="L15446">
        <v>1320</v>
      </c>
      <c r="M15446" t="s">
        <v>13896</v>
      </c>
      <c r="N15446" t="s">
        <v>30</v>
      </c>
      <c r="O15446" t="s">
        <v>31</v>
      </c>
      <c r="P15446" t="str">
        <f>"15212"</f>
        <v>15212</v>
      </c>
    </row>
    <row r="15447" spans="1:16" x14ac:dyDescent="0.25">
      <c r="A15447" t="str">
        <f>"1210022F00223    00"</f>
        <v>1210022F00223    00</v>
      </c>
      <c r="B15447" t="s">
        <v>33836</v>
      </c>
      <c r="C15447" t="s">
        <v>33839</v>
      </c>
      <c r="E15447" t="s">
        <v>39</v>
      </c>
      <c r="F15447">
        <v>0</v>
      </c>
      <c r="G15447">
        <v>0</v>
      </c>
      <c r="H15447">
        <v>1</v>
      </c>
      <c r="I15447" s="3">
        <v>188.09</v>
      </c>
      <c r="J15447" s="3">
        <v>75.23</v>
      </c>
      <c r="K15447" t="s">
        <v>33838</v>
      </c>
      <c r="L15447">
        <v>1320</v>
      </c>
      <c r="M15447" t="s">
        <v>13896</v>
      </c>
      <c r="N15447" t="s">
        <v>30</v>
      </c>
      <c r="O15447" t="s">
        <v>31</v>
      </c>
      <c r="P15447" t="str">
        <f>"15212"</f>
        <v>15212</v>
      </c>
    </row>
    <row r="15448" spans="1:16" x14ac:dyDescent="0.25">
      <c r="A15448" t="str">
        <f>"1210022F00225    00"</f>
        <v>1210022F00225    00</v>
      </c>
      <c r="B15448" t="s">
        <v>33836</v>
      </c>
      <c r="C15448" t="s">
        <v>33840</v>
      </c>
      <c r="E15448" t="s">
        <v>39</v>
      </c>
      <c r="F15448">
        <v>0</v>
      </c>
      <c r="G15448">
        <v>0</v>
      </c>
      <c r="H15448">
        <v>1</v>
      </c>
      <c r="I15448" s="3">
        <v>294</v>
      </c>
      <c r="J15448" s="3">
        <v>117.6</v>
      </c>
      <c r="K15448" t="s">
        <v>33838</v>
      </c>
      <c r="L15448">
        <v>1320</v>
      </c>
      <c r="M15448" t="s">
        <v>13896</v>
      </c>
      <c r="N15448" t="s">
        <v>30</v>
      </c>
      <c r="O15448" t="s">
        <v>31</v>
      </c>
      <c r="P15448" t="str">
        <f>"15212"</f>
        <v>15212</v>
      </c>
    </row>
    <row r="15449" spans="1:16" x14ac:dyDescent="0.25">
      <c r="A15449" t="str">
        <f>"1210022F00234    00"</f>
        <v>1210022F00234    00</v>
      </c>
      <c r="B15449" t="s">
        <v>33841</v>
      </c>
      <c r="C15449" t="s">
        <v>33842</v>
      </c>
      <c r="E15449" t="s">
        <v>39</v>
      </c>
      <c r="F15449">
        <v>0</v>
      </c>
      <c r="G15449">
        <v>0</v>
      </c>
      <c r="H15449">
        <v>1</v>
      </c>
      <c r="I15449" s="3">
        <v>37</v>
      </c>
      <c r="J15449" s="3">
        <v>0</v>
      </c>
      <c r="L15449">
        <v>1318</v>
      </c>
      <c r="M15449" t="s">
        <v>12774</v>
      </c>
      <c r="N15449" t="s">
        <v>30</v>
      </c>
      <c r="O15449" t="s">
        <v>31</v>
      </c>
      <c r="P15449" t="str">
        <f>"15233"</f>
        <v>15233</v>
      </c>
    </row>
    <row r="15450" spans="1:16" x14ac:dyDescent="0.25">
      <c r="A15450" t="str">
        <f>"1210022F00235    00"</f>
        <v>1210022F00235    00</v>
      </c>
      <c r="B15450" t="s">
        <v>33843</v>
      </c>
      <c r="C15450" t="s">
        <v>33844</v>
      </c>
      <c r="D15450" t="s">
        <v>20</v>
      </c>
      <c r="E15450" t="s">
        <v>39</v>
      </c>
      <c r="F15450">
        <v>0</v>
      </c>
      <c r="G15450">
        <v>0</v>
      </c>
      <c r="H15450">
        <v>6</v>
      </c>
      <c r="I15450" s="3">
        <v>5814.39</v>
      </c>
      <c r="J15450" s="3">
        <v>48.99</v>
      </c>
      <c r="L15450">
        <v>310</v>
      </c>
      <c r="M15450" t="s">
        <v>33845</v>
      </c>
      <c r="N15450" t="s">
        <v>30</v>
      </c>
      <c r="O15450" t="s">
        <v>31</v>
      </c>
      <c r="P15450" t="str">
        <f>"15229"</f>
        <v>15229</v>
      </c>
    </row>
    <row r="15451" spans="1:16" x14ac:dyDescent="0.25">
      <c r="A15451" t="str">
        <f>"1210022F00237    00"</f>
        <v>1210022F00237    00</v>
      </c>
      <c r="B15451" t="s">
        <v>33846</v>
      </c>
      <c r="C15451" t="s">
        <v>33847</v>
      </c>
      <c r="E15451" t="s">
        <v>39</v>
      </c>
      <c r="F15451">
        <v>0</v>
      </c>
      <c r="G15451">
        <v>0</v>
      </c>
      <c r="H15451">
        <v>1</v>
      </c>
      <c r="I15451" s="3">
        <v>1267.67</v>
      </c>
      <c r="J15451" s="3">
        <v>285.20999999999998</v>
      </c>
      <c r="K15451" t="s">
        <v>728</v>
      </c>
      <c r="L15451">
        <v>3001</v>
      </c>
      <c r="M15451" t="s">
        <v>330</v>
      </c>
      <c r="N15451" t="s">
        <v>331</v>
      </c>
      <c r="O15451" t="s">
        <v>108</v>
      </c>
      <c r="P15451" t="str">
        <f>"75063"</f>
        <v>75063</v>
      </c>
    </row>
    <row r="15452" spans="1:16" x14ac:dyDescent="0.25">
      <c r="A15452" t="str">
        <f>"1210022F00237A   00"</f>
        <v>1210022F00237A   00</v>
      </c>
      <c r="B15452" t="s">
        <v>33848</v>
      </c>
      <c r="C15452" t="s">
        <v>33849</v>
      </c>
      <c r="E15452" t="s">
        <v>207</v>
      </c>
      <c r="F15452">
        <v>0</v>
      </c>
      <c r="G15452">
        <v>0</v>
      </c>
      <c r="H15452">
        <v>6</v>
      </c>
      <c r="I15452" s="3">
        <v>398.45</v>
      </c>
      <c r="J15452" s="3">
        <v>114.93</v>
      </c>
      <c r="L15452">
        <v>1322</v>
      </c>
      <c r="M15452" t="s">
        <v>12774</v>
      </c>
      <c r="N15452" t="s">
        <v>30</v>
      </c>
      <c r="O15452" t="s">
        <v>31</v>
      </c>
      <c r="P15452" t="str">
        <f>"15233"</f>
        <v>15233</v>
      </c>
    </row>
    <row r="15453" spans="1:16" x14ac:dyDescent="0.25">
      <c r="A15453" t="str">
        <f>"1210022F00238    00"</f>
        <v>1210022F00238    00</v>
      </c>
      <c r="B15453" t="s">
        <v>33850</v>
      </c>
      <c r="C15453" t="s">
        <v>33851</v>
      </c>
      <c r="E15453" t="s">
        <v>39</v>
      </c>
      <c r="F15453">
        <v>0</v>
      </c>
      <c r="G15453">
        <v>0</v>
      </c>
      <c r="H15453">
        <v>1</v>
      </c>
      <c r="I15453" s="3">
        <v>1361.2</v>
      </c>
      <c r="J15453" s="3">
        <v>1349.8</v>
      </c>
      <c r="L15453">
        <v>770</v>
      </c>
      <c r="M15453" t="s">
        <v>33852</v>
      </c>
      <c r="N15453" t="s">
        <v>33853</v>
      </c>
      <c r="O15453" t="s">
        <v>25</v>
      </c>
      <c r="P15453" t="str">
        <f>"45140"</f>
        <v>45140</v>
      </c>
    </row>
    <row r="15454" spans="1:16" x14ac:dyDescent="0.25">
      <c r="A15454" t="str">
        <f>"1210022F00252    00"</f>
        <v>1210022F00252    00</v>
      </c>
      <c r="B15454" t="s">
        <v>33854</v>
      </c>
      <c r="C15454" t="s">
        <v>33855</v>
      </c>
      <c r="D15454" t="s">
        <v>20</v>
      </c>
      <c r="E15454" t="s">
        <v>39</v>
      </c>
      <c r="F15454">
        <v>0</v>
      </c>
      <c r="G15454">
        <v>0</v>
      </c>
      <c r="H15454">
        <v>3</v>
      </c>
      <c r="I15454" s="3">
        <v>591.07000000000005</v>
      </c>
      <c r="J15454" s="3">
        <v>8.35</v>
      </c>
      <c r="K15454" t="s">
        <v>33856</v>
      </c>
      <c r="L15454">
        <v>1329</v>
      </c>
      <c r="M15454" t="s">
        <v>12774</v>
      </c>
      <c r="N15454" t="s">
        <v>30</v>
      </c>
      <c r="O15454" t="s">
        <v>31</v>
      </c>
      <c r="P15454" t="str">
        <f>"15233"</f>
        <v>15233</v>
      </c>
    </row>
    <row r="15455" spans="1:16" x14ac:dyDescent="0.25">
      <c r="A15455" t="str">
        <f>"1210022F00263    00"</f>
        <v>1210022F00263    00</v>
      </c>
      <c r="B15455" t="s">
        <v>33857</v>
      </c>
      <c r="C15455" t="s">
        <v>33858</v>
      </c>
      <c r="E15455" t="s">
        <v>39</v>
      </c>
      <c r="F15455">
        <v>0</v>
      </c>
      <c r="G15455">
        <v>0</v>
      </c>
      <c r="H15455">
        <v>2</v>
      </c>
      <c r="I15455" s="3">
        <v>5740.9</v>
      </c>
      <c r="J15455" s="3">
        <v>143.46</v>
      </c>
      <c r="K15455" t="s">
        <v>1632</v>
      </c>
      <c r="M15455" t="s">
        <v>1633</v>
      </c>
      <c r="N15455" t="s">
        <v>1634</v>
      </c>
      <c r="O15455" t="s">
        <v>25</v>
      </c>
      <c r="P15455" t="str">
        <f>"45401"</f>
        <v>45401</v>
      </c>
    </row>
    <row r="15456" spans="1:16" x14ac:dyDescent="0.25">
      <c r="A15456" t="str">
        <f>"1210022F00271    00"</f>
        <v>1210022F00271    00</v>
      </c>
      <c r="B15456" t="s">
        <v>33859</v>
      </c>
      <c r="C15456" t="s">
        <v>33860</v>
      </c>
      <c r="E15456" t="s">
        <v>39</v>
      </c>
      <c r="F15456">
        <v>0</v>
      </c>
      <c r="G15456">
        <v>0</v>
      </c>
      <c r="H15456">
        <v>3</v>
      </c>
      <c r="I15456" s="3">
        <v>861.22</v>
      </c>
      <c r="J15456" s="3">
        <v>328.73</v>
      </c>
      <c r="L15456">
        <v>1331</v>
      </c>
      <c r="M15456" t="s">
        <v>12774</v>
      </c>
      <c r="N15456" t="s">
        <v>30</v>
      </c>
      <c r="O15456" t="s">
        <v>31</v>
      </c>
      <c r="P15456" t="str">
        <f>"15233"</f>
        <v>15233</v>
      </c>
    </row>
    <row r="15457" spans="1:16" x14ac:dyDescent="0.25">
      <c r="A15457" t="str">
        <f>"1210022F00285    00"</f>
        <v>1210022F00285    00</v>
      </c>
      <c r="B15457" t="s">
        <v>33861</v>
      </c>
      <c r="C15457" t="s">
        <v>33839</v>
      </c>
      <c r="E15457" t="s">
        <v>21</v>
      </c>
      <c r="F15457">
        <v>0</v>
      </c>
      <c r="G15457">
        <v>0</v>
      </c>
      <c r="H15457">
        <v>1</v>
      </c>
      <c r="I15457" s="3">
        <v>335.46</v>
      </c>
      <c r="J15457" s="3">
        <v>0</v>
      </c>
      <c r="L15457">
        <v>1319</v>
      </c>
      <c r="M15457" t="s">
        <v>33598</v>
      </c>
      <c r="N15457" t="s">
        <v>30</v>
      </c>
      <c r="O15457" t="s">
        <v>31</v>
      </c>
      <c r="P15457" t="str">
        <f>"15233"</f>
        <v>15233</v>
      </c>
    </row>
    <row r="15458" spans="1:16" x14ac:dyDescent="0.25">
      <c r="A15458" t="str">
        <f>"1210022F00292    00"</f>
        <v>1210022F00292    00</v>
      </c>
      <c r="B15458" t="s">
        <v>33597</v>
      </c>
      <c r="C15458" t="s">
        <v>33862</v>
      </c>
      <c r="E15458" t="s">
        <v>39</v>
      </c>
      <c r="F15458">
        <v>0</v>
      </c>
      <c r="G15458">
        <v>0</v>
      </c>
      <c r="H15458">
        <v>2</v>
      </c>
      <c r="I15458" s="3">
        <v>310.91000000000003</v>
      </c>
      <c r="J15458" s="3">
        <v>1.61</v>
      </c>
      <c r="K15458" t="s">
        <v>33810</v>
      </c>
      <c r="L15458">
        <v>1319</v>
      </c>
      <c r="M15458" t="s">
        <v>33598</v>
      </c>
      <c r="N15458" t="s">
        <v>30</v>
      </c>
      <c r="O15458" t="s">
        <v>31</v>
      </c>
      <c r="P15458" t="str">
        <f>"15233"</f>
        <v>15233</v>
      </c>
    </row>
    <row r="15459" spans="1:16" x14ac:dyDescent="0.25">
      <c r="A15459" t="str">
        <f>"1210022F00294    00"</f>
        <v>1210022F00294    00</v>
      </c>
      <c r="B15459" t="s">
        <v>33597</v>
      </c>
      <c r="C15459" t="s">
        <v>33863</v>
      </c>
      <c r="E15459" t="s">
        <v>39</v>
      </c>
      <c r="F15459">
        <v>0</v>
      </c>
      <c r="G15459">
        <v>0</v>
      </c>
      <c r="H15459">
        <v>1</v>
      </c>
      <c r="I15459" s="3">
        <v>306.88</v>
      </c>
      <c r="J15459" s="3">
        <v>0</v>
      </c>
      <c r="K15459" t="s">
        <v>33810</v>
      </c>
      <c r="L15459">
        <v>1319</v>
      </c>
      <c r="M15459" t="s">
        <v>33598</v>
      </c>
      <c r="N15459" t="s">
        <v>30</v>
      </c>
      <c r="O15459" t="s">
        <v>31</v>
      </c>
      <c r="P15459" t="str">
        <f>"15233"</f>
        <v>15233</v>
      </c>
    </row>
    <row r="15460" spans="1:16" x14ac:dyDescent="0.25">
      <c r="A15460" t="str">
        <f>"1210022F00298    00"</f>
        <v>1210022F00298    00</v>
      </c>
      <c r="B15460" t="s">
        <v>33597</v>
      </c>
      <c r="C15460" t="s">
        <v>33864</v>
      </c>
      <c r="E15460" t="s">
        <v>39</v>
      </c>
      <c r="F15460">
        <v>0</v>
      </c>
      <c r="G15460">
        <v>0</v>
      </c>
      <c r="H15460">
        <v>1</v>
      </c>
      <c r="I15460" s="3">
        <v>304.95999999999998</v>
      </c>
      <c r="J15460" s="3">
        <v>0</v>
      </c>
      <c r="K15460" t="s">
        <v>33810</v>
      </c>
      <c r="L15460">
        <v>1319</v>
      </c>
      <c r="M15460" t="s">
        <v>33598</v>
      </c>
      <c r="N15460" t="s">
        <v>30</v>
      </c>
      <c r="O15460" t="s">
        <v>31</v>
      </c>
      <c r="P15460" t="str">
        <f>"15233"</f>
        <v>15233</v>
      </c>
    </row>
    <row r="15461" spans="1:16" x14ac:dyDescent="0.25">
      <c r="A15461" t="str">
        <f>"1210022G00090    00"</f>
        <v>1210022G00090    00</v>
      </c>
      <c r="B15461" t="s">
        <v>33865</v>
      </c>
      <c r="C15461" t="s">
        <v>33866</v>
      </c>
      <c r="E15461" t="s">
        <v>39</v>
      </c>
      <c r="F15461">
        <v>0</v>
      </c>
      <c r="G15461">
        <v>0</v>
      </c>
      <c r="H15461">
        <v>2</v>
      </c>
      <c r="I15461" s="3">
        <v>655.68</v>
      </c>
      <c r="J15461" s="3">
        <v>65.569999999999993</v>
      </c>
      <c r="L15461">
        <v>1723</v>
      </c>
      <c r="M15461" t="s">
        <v>12028</v>
      </c>
      <c r="N15461" t="s">
        <v>30</v>
      </c>
      <c r="O15461" t="s">
        <v>31</v>
      </c>
      <c r="P15461" t="str">
        <f>"15221"</f>
        <v>15221</v>
      </c>
    </row>
    <row r="15462" spans="1:16" x14ac:dyDescent="0.25">
      <c r="A15462" t="str">
        <f>"1210022G00111    00"</f>
        <v>1210022G00111    00</v>
      </c>
      <c r="B15462" t="s">
        <v>33867</v>
      </c>
      <c r="C15462" t="s">
        <v>33868</v>
      </c>
      <c r="D15462" t="s">
        <v>20</v>
      </c>
      <c r="E15462" t="s">
        <v>39</v>
      </c>
      <c r="F15462">
        <v>0</v>
      </c>
      <c r="G15462">
        <v>0</v>
      </c>
      <c r="H15462">
        <v>1</v>
      </c>
      <c r="I15462" s="3">
        <v>20.98</v>
      </c>
      <c r="J15462" s="3">
        <v>0</v>
      </c>
      <c r="K15462" t="s">
        <v>33869</v>
      </c>
      <c r="L15462">
        <v>1300</v>
      </c>
      <c r="M15462" t="s">
        <v>13961</v>
      </c>
      <c r="N15462" t="s">
        <v>30</v>
      </c>
      <c r="O15462" t="s">
        <v>31</v>
      </c>
      <c r="P15462" t="str">
        <f t="shared" ref="P15462:P15473" si="199">"15233"</f>
        <v>15233</v>
      </c>
    </row>
    <row r="15463" spans="1:16" x14ac:dyDescent="0.25">
      <c r="A15463" t="str">
        <f>"1210022G00220    00"</f>
        <v>1210022G00220    00</v>
      </c>
      <c r="B15463" t="s">
        <v>33870</v>
      </c>
      <c r="C15463" t="s">
        <v>33839</v>
      </c>
      <c r="E15463" t="s">
        <v>39</v>
      </c>
      <c r="F15463">
        <v>0</v>
      </c>
      <c r="G15463">
        <v>0</v>
      </c>
      <c r="H15463">
        <v>1</v>
      </c>
      <c r="I15463" s="3">
        <v>381.2</v>
      </c>
      <c r="J15463" s="3">
        <v>0</v>
      </c>
      <c r="K15463" t="s">
        <v>33871</v>
      </c>
      <c r="L15463">
        <v>1319</v>
      </c>
      <c r="M15463" t="s">
        <v>33872</v>
      </c>
      <c r="N15463" t="s">
        <v>30</v>
      </c>
      <c r="O15463" t="s">
        <v>31</v>
      </c>
      <c r="P15463" t="str">
        <f t="shared" si="199"/>
        <v>15233</v>
      </c>
    </row>
    <row r="15464" spans="1:16" x14ac:dyDescent="0.25">
      <c r="A15464" t="str">
        <f>"1210022G00231    00"</f>
        <v>1210022G00231    00</v>
      </c>
      <c r="B15464" t="s">
        <v>33597</v>
      </c>
      <c r="C15464" t="s">
        <v>33873</v>
      </c>
      <c r="E15464" t="s">
        <v>39</v>
      </c>
      <c r="F15464">
        <v>0</v>
      </c>
      <c r="G15464">
        <v>0</v>
      </c>
      <c r="H15464">
        <v>1</v>
      </c>
      <c r="I15464" s="3">
        <v>268.76</v>
      </c>
      <c r="J15464" s="3">
        <v>0</v>
      </c>
      <c r="K15464" t="s">
        <v>33810</v>
      </c>
      <c r="L15464">
        <v>1319</v>
      </c>
      <c r="M15464" t="s">
        <v>33598</v>
      </c>
      <c r="N15464" t="s">
        <v>30</v>
      </c>
      <c r="O15464" t="s">
        <v>31</v>
      </c>
      <c r="P15464" t="str">
        <f t="shared" si="199"/>
        <v>15233</v>
      </c>
    </row>
    <row r="15465" spans="1:16" x14ac:dyDescent="0.25">
      <c r="A15465" t="str">
        <f>"1210022G00232    00"</f>
        <v>1210022G00232    00</v>
      </c>
      <c r="B15465" t="s">
        <v>33597</v>
      </c>
      <c r="C15465" t="s">
        <v>33874</v>
      </c>
      <c r="E15465" t="s">
        <v>39</v>
      </c>
      <c r="F15465">
        <v>0</v>
      </c>
      <c r="G15465">
        <v>0</v>
      </c>
      <c r="H15465">
        <v>1</v>
      </c>
      <c r="I15465" s="3">
        <v>268.76</v>
      </c>
      <c r="J15465" s="3">
        <v>0</v>
      </c>
      <c r="K15465" t="s">
        <v>33810</v>
      </c>
      <c r="L15465">
        <v>1319</v>
      </c>
      <c r="M15465" t="s">
        <v>33598</v>
      </c>
      <c r="N15465" t="s">
        <v>30</v>
      </c>
      <c r="O15465" t="s">
        <v>31</v>
      </c>
      <c r="P15465" t="str">
        <f t="shared" si="199"/>
        <v>15233</v>
      </c>
    </row>
    <row r="15466" spans="1:16" x14ac:dyDescent="0.25">
      <c r="A15466" t="str">
        <f>"1210022G00250    00"</f>
        <v>1210022G00250    00</v>
      </c>
      <c r="B15466" t="s">
        <v>33870</v>
      </c>
      <c r="C15466" t="s">
        <v>33875</v>
      </c>
      <c r="E15466" t="s">
        <v>39</v>
      </c>
      <c r="F15466">
        <v>0</v>
      </c>
      <c r="G15466">
        <v>0</v>
      </c>
      <c r="H15466">
        <v>1</v>
      </c>
      <c r="I15466" s="3">
        <v>383.12</v>
      </c>
      <c r="J15466" s="3">
        <v>0</v>
      </c>
      <c r="K15466" t="s">
        <v>33871</v>
      </c>
      <c r="L15466">
        <v>1319</v>
      </c>
      <c r="M15466" t="s">
        <v>33872</v>
      </c>
      <c r="N15466" t="s">
        <v>30</v>
      </c>
      <c r="O15466" t="s">
        <v>31</v>
      </c>
      <c r="P15466" t="str">
        <f t="shared" si="199"/>
        <v>15233</v>
      </c>
    </row>
    <row r="15467" spans="1:16" x14ac:dyDescent="0.25">
      <c r="A15467" t="str">
        <f>"1210022J00304    00"</f>
        <v>1210022J00304    00</v>
      </c>
      <c r="B15467" t="s">
        <v>33861</v>
      </c>
      <c r="C15467" t="s">
        <v>33839</v>
      </c>
      <c r="E15467" t="s">
        <v>39</v>
      </c>
      <c r="F15467">
        <v>0</v>
      </c>
      <c r="G15467">
        <v>0</v>
      </c>
      <c r="H15467">
        <v>1</v>
      </c>
      <c r="I15467" s="3">
        <v>47.66</v>
      </c>
      <c r="J15467" s="3">
        <v>0</v>
      </c>
      <c r="L15467">
        <v>1319</v>
      </c>
      <c r="M15467" t="s">
        <v>33598</v>
      </c>
      <c r="N15467" t="s">
        <v>30</v>
      </c>
      <c r="O15467" t="s">
        <v>31</v>
      </c>
      <c r="P15467" t="str">
        <f t="shared" si="199"/>
        <v>15233</v>
      </c>
    </row>
    <row r="15468" spans="1:16" x14ac:dyDescent="0.25">
      <c r="A15468" t="str">
        <f>"1210022J00305    00"</f>
        <v>1210022J00305    00</v>
      </c>
      <c r="B15468" t="s">
        <v>33861</v>
      </c>
      <c r="C15468" t="s">
        <v>33839</v>
      </c>
      <c r="E15468" t="s">
        <v>39</v>
      </c>
      <c r="F15468">
        <v>0</v>
      </c>
      <c r="G15468">
        <v>0</v>
      </c>
      <c r="H15468">
        <v>1</v>
      </c>
      <c r="I15468" s="3">
        <v>41.93</v>
      </c>
      <c r="J15468" s="3">
        <v>0</v>
      </c>
      <c r="L15468">
        <v>1319</v>
      </c>
      <c r="M15468" t="s">
        <v>33598</v>
      </c>
      <c r="N15468" t="s">
        <v>30</v>
      </c>
      <c r="O15468" t="s">
        <v>31</v>
      </c>
      <c r="P15468" t="str">
        <f t="shared" si="199"/>
        <v>15233</v>
      </c>
    </row>
    <row r="15469" spans="1:16" x14ac:dyDescent="0.25">
      <c r="A15469" t="str">
        <f>"1210022J00311    00"</f>
        <v>1210022J00311    00</v>
      </c>
      <c r="B15469" t="s">
        <v>33876</v>
      </c>
      <c r="C15469" t="s">
        <v>33877</v>
      </c>
      <c r="E15469" t="s">
        <v>21</v>
      </c>
      <c r="F15469">
        <v>0</v>
      </c>
      <c r="G15469">
        <v>0</v>
      </c>
      <c r="H15469">
        <v>1</v>
      </c>
      <c r="I15469" s="3">
        <v>411.7</v>
      </c>
      <c r="J15469" s="3">
        <v>0</v>
      </c>
      <c r="L15469">
        <v>1434</v>
      </c>
      <c r="M15469" t="s">
        <v>33878</v>
      </c>
      <c r="N15469" t="s">
        <v>30</v>
      </c>
      <c r="O15469" t="s">
        <v>31</v>
      </c>
      <c r="P15469" t="str">
        <f t="shared" si="199"/>
        <v>15233</v>
      </c>
    </row>
    <row r="15470" spans="1:16" x14ac:dyDescent="0.25">
      <c r="A15470" t="str">
        <f>"1210022J00314    00"</f>
        <v>1210022J00314    00</v>
      </c>
      <c r="B15470" t="s">
        <v>33876</v>
      </c>
      <c r="C15470" t="s">
        <v>33877</v>
      </c>
      <c r="E15470" t="s">
        <v>21</v>
      </c>
      <c r="F15470">
        <v>0</v>
      </c>
      <c r="G15470">
        <v>0</v>
      </c>
      <c r="H15470">
        <v>1</v>
      </c>
      <c r="I15470" s="3">
        <v>102.95</v>
      </c>
      <c r="J15470" s="3">
        <v>0</v>
      </c>
      <c r="L15470">
        <v>1434</v>
      </c>
      <c r="M15470" t="s">
        <v>33878</v>
      </c>
      <c r="N15470" t="s">
        <v>30</v>
      </c>
      <c r="O15470" t="s">
        <v>31</v>
      </c>
      <c r="P15470" t="str">
        <f t="shared" si="199"/>
        <v>15233</v>
      </c>
    </row>
    <row r="15471" spans="1:16" x14ac:dyDescent="0.25">
      <c r="A15471" t="str">
        <f>"1210022J00315    00"</f>
        <v>1210022J00315    00</v>
      </c>
      <c r="B15471" t="s">
        <v>33876</v>
      </c>
      <c r="C15471" t="s">
        <v>33877</v>
      </c>
      <c r="E15471" t="s">
        <v>21</v>
      </c>
      <c r="F15471">
        <v>0</v>
      </c>
      <c r="G15471">
        <v>0</v>
      </c>
      <c r="H15471">
        <v>1</v>
      </c>
      <c r="I15471" s="3">
        <v>64.83</v>
      </c>
      <c r="J15471" s="3">
        <v>0</v>
      </c>
      <c r="L15471">
        <v>1434</v>
      </c>
      <c r="M15471" t="s">
        <v>33878</v>
      </c>
      <c r="N15471" t="s">
        <v>30</v>
      </c>
      <c r="O15471" t="s">
        <v>31</v>
      </c>
      <c r="P15471" t="str">
        <f t="shared" si="199"/>
        <v>15233</v>
      </c>
    </row>
    <row r="15472" spans="1:16" x14ac:dyDescent="0.25">
      <c r="A15472" t="str">
        <f>"1210022J00316    00"</f>
        <v>1210022J00316    00</v>
      </c>
      <c r="B15472" t="s">
        <v>33876</v>
      </c>
      <c r="C15472" t="s">
        <v>33877</v>
      </c>
      <c r="E15472" t="s">
        <v>21</v>
      </c>
      <c r="F15472">
        <v>0</v>
      </c>
      <c r="G15472">
        <v>0</v>
      </c>
      <c r="H15472">
        <v>1</v>
      </c>
      <c r="I15472" s="3">
        <v>93.4</v>
      </c>
      <c r="J15472" s="3">
        <v>0</v>
      </c>
      <c r="L15472">
        <v>1434</v>
      </c>
      <c r="M15472" t="s">
        <v>33878</v>
      </c>
      <c r="N15472" t="s">
        <v>30</v>
      </c>
      <c r="O15472" t="s">
        <v>31</v>
      </c>
      <c r="P15472" t="str">
        <f t="shared" si="199"/>
        <v>15233</v>
      </c>
    </row>
    <row r="15473" spans="1:16" x14ac:dyDescent="0.25">
      <c r="A15473" t="str">
        <f>"1210022J00329    00"</f>
        <v>1210022J00329    00</v>
      </c>
      <c r="B15473" t="s">
        <v>33879</v>
      </c>
      <c r="C15473" t="s">
        <v>33880</v>
      </c>
      <c r="D15473" t="s">
        <v>20</v>
      </c>
      <c r="E15473" t="s">
        <v>39</v>
      </c>
      <c r="F15473">
        <v>0</v>
      </c>
      <c r="G15473">
        <v>0</v>
      </c>
      <c r="H15473">
        <v>4</v>
      </c>
      <c r="I15473" s="3">
        <v>2787.03</v>
      </c>
      <c r="J15473" s="3">
        <v>329.23</v>
      </c>
      <c r="M15473" t="s">
        <v>33881</v>
      </c>
      <c r="N15473" t="s">
        <v>30</v>
      </c>
      <c r="O15473" t="s">
        <v>31</v>
      </c>
      <c r="P15473" t="str">
        <f t="shared" si="199"/>
        <v>15233</v>
      </c>
    </row>
    <row r="15474" spans="1:16" x14ac:dyDescent="0.25">
      <c r="A15474" t="str">
        <f>"1210022K00004    00"</f>
        <v>1210022K00004    00</v>
      </c>
      <c r="B15474" t="s">
        <v>33882</v>
      </c>
      <c r="C15474" t="s">
        <v>33883</v>
      </c>
      <c r="D15474" t="s">
        <v>20</v>
      </c>
      <c r="E15474" t="s">
        <v>39</v>
      </c>
      <c r="F15474">
        <v>0</v>
      </c>
      <c r="G15474">
        <v>0</v>
      </c>
      <c r="H15474">
        <v>1</v>
      </c>
      <c r="I15474" s="3">
        <v>205.28</v>
      </c>
      <c r="J15474" s="3">
        <v>0</v>
      </c>
      <c r="L15474">
        <v>5504</v>
      </c>
      <c r="M15474" t="s">
        <v>33884</v>
      </c>
      <c r="N15474" t="s">
        <v>9653</v>
      </c>
      <c r="O15474" t="s">
        <v>31</v>
      </c>
      <c r="P15474" t="str">
        <f>"15632"</f>
        <v>15632</v>
      </c>
    </row>
    <row r="15475" spans="1:16" x14ac:dyDescent="0.25">
      <c r="A15475" t="str">
        <f>"1210022K00009    00"</f>
        <v>1210022K00009    00</v>
      </c>
      <c r="B15475" t="s">
        <v>33885</v>
      </c>
      <c r="C15475" t="s">
        <v>33886</v>
      </c>
      <c r="D15475" t="s">
        <v>57</v>
      </c>
      <c r="E15475" t="s">
        <v>39</v>
      </c>
      <c r="F15475">
        <v>0</v>
      </c>
      <c r="G15475">
        <v>0</v>
      </c>
      <c r="H15475">
        <v>1</v>
      </c>
      <c r="I15475" s="3">
        <v>487.94</v>
      </c>
      <c r="J15475" s="3">
        <v>0</v>
      </c>
      <c r="L15475">
        <v>516</v>
      </c>
      <c r="M15475" t="s">
        <v>33887</v>
      </c>
      <c r="N15475" t="s">
        <v>30</v>
      </c>
      <c r="O15475" t="s">
        <v>31</v>
      </c>
      <c r="P15475" t="str">
        <f>"15221"</f>
        <v>15221</v>
      </c>
    </row>
    <row r="15476" spans="1:16" x14ac:dyDescent="0.25">
      <c r="A15476" t="str">
        <f>"1210022K00010    00"</f>
        <v>1210022K00010    00</v>
      </c>
      <c r="B15476" t="s">
        <v>33888</v>
      </c>
      <c r="C15476" t="s">
        <v>33889</v>
      </c>
      <c r="D15476" t="s">
        <v>20</v>
      </c>
      <c r="E15476" t="s">
        <v>39</v>
      </c>
      <c r="F15476">
        <v>0</v>
      </c>
      <c r="G15476">
        <v>0</v>
      </c>
      <c r="H15476">
        <v>1</v>
      </c>
      <c r="I15476" s="3">
        <v>617.54999999999995</v>
      </c>
      <c r="J15476" s="3">
        <v>0</v>
      </c>
      <c r="M15476" t="s">
        <v>25695</v>
      </c>
      <c r="N15476" t="s">
        <v>30</v>
      </c>
      <c r="O15476" t="s">
        <v>31</v>
      </c>
      <c r="P15476" t="str">
        <f>"15210"</f>
        <v>15210</v>
      </c>
    </row>
    <row r="15477" spans="1:16" x14ac:dyDescent="0.25">
      <c r="A15477" t="str">
        <f>"1210022K00011    00"</f>
        <v>1210022K00011    00</v>
      </c>
      <c r="B15477" t="s">
        <v>30829</v>
      </c>
      <c r="C15477" t="s">
        <v>33890</v>
      </c>
      <c r="D15477" t="s">
        <v>20</v>
      </c>
      <c r="E15477" t="s">
        <v>39</v>
      </c>
      <c r="F15477">
        <v>0</v>
      </c>
      <c r="G15477">
        <v>0</v>
      </c>
      <c r="H15477">
        <v>4</v>
      </c>
      <c r="I15477" s="3">
        <v>2589.61</v>
      </c>
      <c r="J15477" s="3">
        <v>305.91000000000003</v>
      </c>
      <c r="L15477">
        <v>408</v>
      </c>
      <c r="M15477" t="s">
        <v>25567</v>
      </c>
      <c r="N15477" t="s">
        <v>30</v>
      </c>
      <c r="O15477" t="s">
        <v>31</v>
      </c>
      <c r="P15477" t="str">
        <f>"15220"</f>
        <v>15220</v>
      </c>
    </row>
    <row r="15478" spans="1:16" x14ac:dyDescent="0.25">
      <c r="A15478" t="str">
        <f>"1210022K00019    00"</f>
        <v>1210022K00019    00</v>
      </c>
      <c r="B15478" t="s">
        <v>33891</v>
      </c>
      <c r="C15478" t="s">
        <v>33892</v>
      </c>
      <c r="D15478" t="s">
        <v>20</v>
      </c>
      <c r="E15478" t="s">
        <v>21</v>
      </c>
      <c r="F15478">
        <v>0</v>
      </c>
      <c r="G15478">
        <v>0</v>
      </c>
      <c r="H15478">
        <v>1</v>
      </c>
      <c r="I15478" s="3">
        <v>306.88</v>
      </c>
      <c r="J15478" s="3">
        <v>0</v>
      </c>
      <c r="L15478">
        <v>1716</v>
      </c>
      <c r="M15478" t="s">
        <v>11677</v>
      </c>
      <c r="N15478" t="s">
        <v>30</v>
      </c>
      <c r="O15478" t="s">
        <v>31</v>
      </c>
      <c r="P15478" t="str">
        <f>"15233"</f>
        <v>15233</v>
      </c>
    </row>
    <row r="15479" spans="1:16" x14ac:dyDescent="0.25">
      <c r="A15479" t="str">
        <f>"1210022K00020    00"</f>
        <v>1210022K00020    00</v>
      </c>
      <c r="B15479" t="s">
        <v>33893</v>
      </c>
      <c r="C15479" t="s">
        <v>33892</v>
      </c>
      <c r="D15479" t="s">
        <v>20</v>
      </c>
      <c r="E15479" t="s">
        <v>39</v>
      </c>
      <c r="F15479">
        <v>0</v>
      </c>
      <c r="G15479">
        <v>0</v>
      </c>
      <c r="H15479">
        <v>2</v>
      </c>
      <c r="I15479" s="3">
        <v>741.74</v>
      </c>
      <c r="J15479" s="3">
        <v>0</v>
      </c>
      <c r="L15479">
        <v>1716</v>
      </c>
      <c r="M15479" t="s">
        <v>11677</v>
      </c>
      <c r="N15479" t="s">
        <v>30</v>
      </c>
      <c r="O15479" t="s">
        <v>31</v>
      </c>
      <c r="P15479" t="str">
        <f>"15233"</f>
        <v>15233</v>
      </c>
    </row>
    <row r="15480" spans="1:16" x14ac:dyDescent="0.25">
      <c r="A15480" t="str">
        <f>"1210022K00020A   00"</f>
        <v>1210022K00020A   00</v>
      </c>
      <c r="B15480" t="s">
        <v>33893</v>
      </c>
      <c r="C15480" t="s">
        <v>33611</v>
      </c>
      <c r="D15480" t="s">
        <v>20</v>
      </c>
      <c r="E15480" t="s">
        <v>39</v>
      </c>
      <c r="F15480">
        <v>0</v>
      </c>
      <c r="G15480">
        <v>0</v>
      </c>
      <c r="H15480">
        <v>1</v>
      </c>
      <c r="I15480" s="3">
        <v>19.059999999999999</v>
      </c>
      <c r="J15480" s="3">
        <v>0</v>
      </c>
      <c r="L15480">
        <v>1716</v>
      </c>
      <c r="M15480" t="s">
        <v>11677</v>
      </c>
      <c r="N15480" t="s">
        <v>30</v>
      </c>
      <c r="O15480" t="s">
        <v>31</v>
      </c>
      <c r="P15480" t="str">
        <f>"15233"</f>
        <v>15233</v>
      </c>
    </row>
    <row r="15481" spans="1:16" x14ac:dyDescent="0.25">
      <c r="A15481" t="str">
        <f>"1210022K00021    00"</f>
        <v>1210022K00021    00</v>
      </c>
      <c r="B15481" t="s">
        <v>33893</v>
      </c>
      <c r="C15481" t="s">
        <v>33611</v>
      </c>
      <c r="D15481" t="s">
        <v>20</v>
      </c>
      <c r="E15481" t="s">
        <v>39</v>
      </c>
      <c r="F15481">
        <v>0</v>
      </c>
      <c r="G15481">
        <v>0</v>
      </c>
      <c r="H15481">
        <v>1</v>
      </c>
      <c r="I15481" s="3">
        <v>97.22</v>
      </c>
      <c r="J15481" s="3">
        <v>0</v>
      </c>
      <c r="L15481">
        <v>1716</v>
      </c>
      <c r="M15481" t="s">
        <v>11677</v>
      </c>
      <c r="N15481" t="s">
        <v>30</v>
      </c>
      <c r="O15481" t="s">
        <v>31</v>
      </c>
      <c r="P15481" t="str">
        <f>"15233"</f>
        <v>15233</v>
      </c>
    </row>
    <row r="15482" spans="1:16" x14ac:dyDescent="0.25">
      <c r="A15482" t="str">
        <f>"1210022K00034    00"</f>
        <v>1210022K00034    00</v>
      </c>
      <c r="B15482" t="s">
        <v>33894</v>
      </c>
      <c r="C15482" t="s">
        <v>33895</v>
      </c>
      <c r="E15482" t="s">
        <v>39</v>
      </c>
      <c r="F15482">
        <v>0</v>
      </c>
      <c r="G15482">
        <v>0</v>
      </c>
      <c r="H15482">
        <v>3</v>
      </c>
      <c r="I15482" s="3">
        <v>433.86</v>
      </c>
      <c r="J15482" s="3">
        <v>405.77</v>
      </c>
      <c r="K15482" t="s">
        <v>408</v>
      </c>
      <c r="M15482" t="s">
        <v>409</v>
      </c>
      <c r="N15482" t="s">
        <v>410</v>
      </c>
      <c r="O15482" t="s">
        <v>31</v>
      </c>
      <c r="P15482" t="str">
        <f>"15701"</f>
        <v>15701</v>
      </c>
    </row>
    <row r="15483" spans="1:16" x14ac:dyDescent="0.25">
      <c r="A15483" t="str">
        <f>"1210022K00052    00"</f>
        <v>1210022K00052    00</v>
      </c>
      <c r="B15483" t="s">
        <v>33896</v>
      </c>
      <c r="C15483" t="s">
        <v>33897</v>
      </c>
      <c r="D15483" t="s">
        <v>20</v>
      </c>
      <c r="E15483" t="s">
        <v>39</v>
      </c>
      <c r="F15483">
        <v>0</v>
      </c>
      <c r="G15483">
        <v>0</v>
      </c>
      <c r="H15483">
        <v>4</v>
      </c>
      <c r="I15483" s="3">
        <v>1487.78</v>
      </c>
      <c r="J15483" s="3">
        <v>322.24</v>
      </c>
      <c r="K15483" t="s">
        <v>33898</v>
      </c>
      <c r="L15483">
        <v>1400</v>
      </c>
      <c r="M15483" t="s">
        <v>28159</v>
      </c>
      <c r="N15483" t="s">
        <v>30</v>
      </c>
      <c r="O15483" t="s">
        <v>31</v>
      </c>
      <c r="P15483" t="str">
        <f>"15233"</f>
        <v>15233</v>
      </c>
    </row>
    <row r="15484" spans="1:16" x14ac:dyDescent="0.25">
      <c r="A15484" t="str">
        <f>"1210022K00054    00"</f>
        <v>1210022K00054    00</v>
      </c>
      <c r="B15484" t="s">
        <v>33899</v>
      </c>
      <c r="C15484" t="s">
        <v>33900</v>
      </c>
      <c r="D15484" t="s">
        <v>20</v>
      </c>
      <c r="E15484" t="s">
        <v>39</v>
      </c>
      <c r="F15484">
        <v>0</v>
      </c>
      <c r="G15484">
        <v>0</v>
      </c>
      <c r="H15484">
        <v>6</v>
      </c>
      <c r="I15484" s="3">
        <v>1820.06</v>
      </c>
      <c r="J15484" s="3">
        <v>408.2</v>
      </c>
      <c r="L15484">
        <v>600</v>
      </c>
      <c r="M15484" t="s">
        <v>33901</v>
      </c>
      <c r="N15484" t="s">
        <v>30</v>
      </c>
      <c r="O15484" t="s">
        <v>31</v>
      </c>
      <c r="P15484" t="str">
        <f>"15222"</f>
        <v>15222</v>
      </c>
    </row>
    <row r="15485" spans="1:16" x14ac:dyDescent="0.25">
      <c r="A15485" t="str">
        <f>"1210022K00060    00"</f>
        <v>1210022K00060    00</v>
      </c>
      <c r="B15485" t="s">
        <v>33597</v>
      </c>
      <c r="C15485" t="s">
        <v>33902</v>
      </c>
      <c r="E15485" t="s">
        <v>39</v>
      </c>
      <c r="F15485">
        <v>0</v>
      </c>
      <c r="G15485">
        <v>0</v>
      </c>
      <c r="H15485">
        <v>1</v>
      </c>
      <c r="I15485" s="3">
        <v>257.32</v>
      </c>
      <c r="J15485" s="3">
        <v>0</v>
      </c>
      <c r="K15485" t="s">
        <v>33810</v>
      </c>
      <c r="L15485">
        <v>1319</v>
      </c>
      <c r="M15485" t="s">
        <v>33598</v>
      </c>
      <c r="N15485" t="s">
        <v>30</v>
      </c>
      <c r="O15485" t="s">
        <v>31</v>
      </c>
      <c r="P15485" t="str">
        <f t="shared" ref="P15485:P15494" si="200">"15233"</f>
        <v>15233</v>
      </c>
    </row>
    <row r="15486" spans="1:16" x14ac:dyDescent="0.25">
      <c r="A15486" t="str">
        <f>"1210022K00062    00"</f>
        <v>1210022K00062    00</v>
      </c>
      <c r="B15486" t="s">
        <v>33597</v>
      </c>
      <c r="C15486" t="s">
        <v>33903</v>
      </c>
      <c r="E15486" t="s">
        <v>39</v>
      </c>
      <c r="F15486">
        <v>0</v>
      </c>
      <c r="G15486">
        <v>0</v>
      </c>
      <c r="H15486">
        <v>1</v>
      </c>
      <c r="I15486" s="3">
        <v>257.32</v>
      </c>
      <c r="J15486" s="3">
        <v>0</v>
      </c>
      <c r="K15486" t="s">
        <v>33810</v>
      </c>
      <c r="L15486">
        <v>1319</v>
      </c>
      <c r="M15486" t="s">
        <v>33598</v>
      </c>
      <c r="N15486" t="s">
        <v>30</v>
      </c>
      <c r="O15486" t="s">
        <v>31</v>
      </c>
      <c r="P15486" t="str">
        <f t="shared" si="200"/>
        <v>15233</v>
      </c>
    </row>
    <row r="15487" spans="1:16" x14ac:dyDescent="0.25">
      <c r="A15487" t="str">
        <f>"1210022K00101    00"</f>
        <v>1210022K00101    00</v>
      </c>
      <c r="B15487" t="s">
        <v>33861</v>
      </c>
      <c r="C15487" t="s">
        <v>33904</v>
      </c>
      <c r="D15487" t="s">
        <v>20</v>
      </c>
      <c r="E15487" t="s">
        <v>39</v>
      </c>
      <c r="F15487">
        <v>0</v>
      </c>
      <c r="G15487">
        <v>0</v>
      </c>
      <c r="H15487">
        <v>3</v>
      </c>
      <c r="I15487" s="3">
        <v>960.64</v>
      </c>
      <c r="J15487" s="3">
        <v>47.18</v>
      </c>
      <c r="L15487">
        <v>1319</v>
      </c>
      <c r="M15487" t="s">
        <v>33598</v>
      </c>
      <c r="N15487" t="s">
        <v>30</v>
      </c>
      <c r="O15487" t="s">
        <v>31</v>
      </c>
      <c r="P15487" t="str">
        <f t="shared" si="200"/>
        <v>15233</v>
      </c>
    </row>
    <row r="15488" spans="1:16" x14ac:dyDescent="0.25">
      <c r="A15488" t="str">
        <f>"1210022K00102    00"</f>
        <v>1210022K00102    00</v>
      </c>
      <c r="B15488" t="s">
        <v>33861</v>
      </c>
      <c r="C15488" t="s">
        <v>33905</v>
      </c>
      <c r="D15488" t="s">
        <v>20</v>
      </c>
      <c r="E15488" t="s">
        <v>39</v>
      </c>
      <c r="F15488">
        <v>0</v>
      </c>
      <c r="G15488">
        <v>0</v>
      </c>
      <c r="H15488">
        <v>2</v>
      </c>
      <c r="I15488" s="3">
        <v>979.7</v>
      </c>
      <c r="J15488" s="3">
        <v>0</v>
      </c>
      <c r="L15488">
        <v>1319</v>
      </c>
      <c r="M15488" t="s">
        <v>33598</v>
      </c>
      <c r="N15488" t="s">
        <v>30</v>
      </c>
      <c r="O15488" t="s">
        <v>31</v>
      </c>
      <c r="P15488" t="str">
        <f t="shared" si="200"/>
        <v>15233</v>
      </c>
    </row>
    <row r="15489" spans="1:16" x14ac:dyDescent="0.25">
      <c r="A15489" t="str">
        <f>"1210022K00103    00"</f>
        <v>1210022K00103    00</v>
      </c>
      <c r="B15489" t="s">
        <v>33861</v>
      </c>
      <c r="C15489" t="s">
        <v>33906</v>
      </c>
      <c r="D15489" t="s">
        <v>20</v>
      </c>
      <c r="E15489" t="s">
        <v>39</v>
      </c>
      <c r="F15489">
        <v>0</v>
      </c>
      <c r="G15489">
        <v>0</v>
      </c>
      <c r="H15489">
        <v>2</v>
      </c>
      <c r="I15489" s="3">
        <v>789.1</v>
      </c>
      <c r="J15489" s="3">
        <v>0</v>
      </c>
      <c r="L15489">
        <v>1319</v>
      </c>
      <c r="M15489" t="s">
        <v>33598</v>
      </c>
      <c r="N15489" t="s">
        <v>30</v>
      </c>
      <c r="O15489" t="s">
        <v>31</v>
      </c>
      <c r="P15489" t="str">
        <f t="shared" si="200"/>
        <v>15233</v>
      </c>
    </row>
    <row r="15490" spans="1:16" x14ac:dyDescent="0.25">
      <c r="A15490" t="str">
        <f>"1210022K00106    00"</f>
        <v>1210022K00106    00</v>
      </c>
      <c r="B15490" t="s">
        <v>33861</v>
      </c>
      <c r="C15490" t="s">
        <v>33905</v>
      </c>
      <c r="D15490" t="s">
        <v>20</v>
      </c>
      <c r="E15490" t="s">
        <v>39</v>
      </c>
      <c r="F15490">
        <v>0</v>
      </c>
      <c r="G15490">
        <v>0</v>
      </c>
      <c r="H15490">
        <v>2</v>
      </c>
      <c r="I15490" s="3">
        <v>61</v>
      </c>
      <c r="J15490" s="3">
        <v>0</v>
      </c>
      <c r="L15490">
        <v>1319</v>
      </c>
      <c r="M15490" t="s">
        <v>33598</v>
      </c>
      <c r="N15490" t="s">
        <v>30</v>
      </c>
      <c r="O15490" t="s">
        <v>31</v>
      </c>
      <c r="P15490" t="str">
        <f t="shared" si="200"/>
        <v>15233</v>
      </c>
    </row>
    <row r="15491" spans="1:16" x14ac:dyDescent="0.25">
      <c r="A15491" t="str">
        <f>"1210022K00106A   00"</f>
        <v>1210022K00106A   00</v>
      </c>
      <c r="B15491" t="s">
        <v>33907</v>
      </c>
      <c r="C15491" t="s">
        <v>33906</v>
      </c>
      <c r="D15491" t="s">
        <v>20</v>
      </c>
      <c r="E15491" t="s">
        <v>39</v>
      </c>
      <c r="F15491">
        <v>0</v>
      </c>
      <c r="G15491">
        <v>0</v>
      </c>
      <c r="H15491">
        <v>2</v>
      </c>
      <c r="I15491" s="3">
        <v>53.36</v>
      </c>
      <c r="J15491" s="3">
        <v>0</v>
      </c>
      <c r="L15491">
        <v>1319</v>
      </c>
      <c r="M15491" t="s">
        <v>33598</v>
      </c>
      <c r="N15491" t="s">
        <v>30</v>
      </c>
      <c r="O15491" t="s">
        <v>31</v>
      </c>
      <c r="P15491" t="str">
        <f t="shared" si="200"/>
        <v>15233</v>
      </c>
    </row>
    <row r="15492" spans="1:16" x14ac:dyDescent="0.25">
      <c r="A15492" t="str">
        <f>"1210022K00110    00"</f>
        <v>1210022K00110    00</v>
      </c>
      <c r="B15492" t="s">
        <v>33908</v>
      </c>
      <c r="C15492" t="s">
        <v>33875</v>
      </c>
      <c r="E15492" t="s">
        <v>39</v>
      </c>
      <c r="F15492">
        <v>0</v>
      </c>
      <c r="G15492">
        <v>0</v>
      </c>
      <c r="H15492">
        <v>1</v>
      </c>
      <c r="I15492" s="3">
        <v>62.91</v>
      </c>
      <c r="J15492" s="3">
        <v>0</v>
      </c>
      <c r="K15492" t="s">
        <v>33909</v>
      </c>
      <c r="L15492">
        <v>1408</v>
      </c>
      <c r="M15492" t="s">
        <v>33878</v>
      </c>
      <c r="N15492" t="s">
        <v>30</v>
      </c>
      <c r="O15492" t="s">
        <v>31</v>
      </c>
      <c r="P15492" t="str">
        <f t="shared" si="200"/>
        <v>15233</v>
      </c>
    </row>
    <row r="15493" spans="1:16" x14ac:dyDescent="0.25">
      <c r="A15493" t="str">
        <f>"1210022K00113    00"</f>
        <v>1210022K00113    00</v>
      </c>
      <c r="B15493" t="s">
        <v>33908</v>
      </c>
      <c r="C15493" t="s">
        <v>33910</v>
      </c>
      <c r="E15493" t="s">
        <v>21</v>
      </c>
      <c r="F15493">
        <v>0</v>
      </c>
      <c r="G15493">
        <v>0</v>
      </c>
      <c r="H15493">
        <v>1</v>
      </c>
      <c r="I15493" s="3">
        <v>34.31</v>
      </c>
      <c r="J15493" s="3">
        <v>0</v>
      </c>
      <c r="K15493" t="s">
        <v>33909</v>
      </c>
      <c r="L15493">
        <v>1408</v>
      </c>
      <c r="M15493" t="s">
        <v>33878</v>
      </c>
      <c r="N15493" t="s">
        <v>30</v>
      </c>
      <c r="O15493" t="s">
        <v>31</v>
      </c>
      <c r="P15493" t="str">
        <f t="shared" si="200"/>
        <v>15233</v>
      </c>
    </row>
    <row r="15494" spans="1:16" x14ac:dyDescent="0.25">
      <c r="A15494" t="str">
        <f>"1210022K00119    01"</f>
        <v>1210022K00119    01</v>
      </c>
      <c r="B15494" t="s">
        <v>33876</v>
      </c>
      <c r="C15494" t="s">
        <v>33911</v>
      </c>
      <c r="D15494" t="s">
        <v>20</v>
      </c>
      <c r="E15494" t="s">
        <v>21</v>
      </c>
      <c r="F15494">
        <v>0</v>
      </c>
      <c r="G15494">
        <v>0</v>
      </c>
      <c r="H15494">
        <v>2</v>
      </c>
      <c r="I15494" s="3">
        <v>14245.11</v>
      </c>
      <c r="J15494" s="3">
        <v>0</v>
      </c>
      <c r="L15494">
        <v>1434</v>
      </c>
      <c r="M15494" t="s">
        <v>33878</v>
      </c>
      <c r="N15494" t="s">
        <v>30</v>
      </c>
      <c r="O15494" t="s">
        <v>31</v>
      </c>
      <c r="P15494" t="str">
        <f t="shared" si="200"/>
        <v>15233</v>
      </c>
    </row>
    <row r="15495" spans="1:16" x14ac:dyDescent="0.25">
      <c r="A15495" t="str">
        <f>"1210022K00129    00"</f>
        <v>1210022K00129    00</v>
      </c>
      <c r="B15495" t="s">
        <v>33912</v>
      </c>
      <c r="C15495" t="s">
        <v>33913</v>
      </c>
      <c r="E15495" t="s">
        <v>39</v>
      </c>
      <c r="F15495">
        <v>0</v>
      </c>
      <c r="G15495">
        <v>0</v>
      </c>
      <c r="H15495">
        <v>2</v>
      </c>
      <c r="I15495" s="3">
        <v>4517.24</v>
      </c>
      <c r="J15495" s="3">
        <v>56.46</v>
      </c>
      <c r="K15495" t="s">
        <v>484</v>
      </c>
      <c r="L15495">
        <v>3001</v>
      </c>
      <c r="M15495" t="s">
        <v>330</v>
      </c>
      <c r="N15495" t="s">
        <v>331</v>
      </c>
      <c r="O15495" t="s">
        <v>108</v>
      </c>
      <c r="P15495" t="str">
        <f>"75063"</f>
        <v>75063</v>
      </c>
    </row>
    <row r="15496" spans="1:16" x14ac:dyDescent="0.25">
      <c r="A15496" t="str">
        <f>"1210022K00133    00"</f>
        <v>1210022K00133    00</v>
      </c>
      <c r="B15496" t="s">
        <v>33914</v>
      </c>
      <c r="C15496" t="s">
        <v>33915</v>
      </c>
      <c r="E15496" t="s">
        <v>39</v>
      </c>
      <c r="F15496">
        <v>0</v>
      </c>
      <c r="G15496">
        <v>0</v>
      </c>
      <c r="H15496">
        <v>2</v>
      </c>
      <c r="I15496" s="3">
        <v>502.09</v>
      </c>
      <c r="J15496" s="3">
        <v>522.85</v>
      </c>
      <c r="K15496" t="s">
        <v>762</v>
      </c>
      <c r="L15496">
        <v>6850</v>
      </c>
      <c r="M15496" t="s">
        <v>763</v>
      </c>
      <c r="N15496" t="s">
        <v>764</v>
      </c>
      <c r="O15496" t="s">
        <v>25</v>
      </c>
      <c r="P15496" t="str">
        <f>"44141"</f>
        <v>44141</v>
      </c>
    </row>
    <row r="15497" spans="1:16" x14ac:dyDescent="0.25">
      <c r="A15497" t="str">
        <f>"1210022K00133A   00"</f>
        <v>1210022K00133A   00</v>
      </c>
      <c r="B15497" t="s">
        <v>33916</v>
      </c>
      <c r="C15497" t="s">
        <v>33917</v>
      </c>
      <c r="E15497" t="s">
        <v>39</v>
      </c>
      <c r="F15497">
        <v>0</v>
      </c>
      <c r="G15497">
        <v>0</v>
      </c>
      <c r="H15497">
        <v>2</v>
      </c>
      <c r="I15497" s="3">
        <v>498.56</v>
      </c>
      <c r="J15497" s="3">
        <v>519.19000000000005</v>
      </c>
      <c r="K15497" t="s">
        <v>16191</v>
      </c>
      <c r="L15497">
        <v>88</v>
      </c>
      <c r="M15497" t="s">
        <v>7693</v>
      </c>
      <c r="N15497" t="s">
        <v>7694</v>
      </c>
      <c r="O15497" t="s">
        <v>7695</v>
      </c>
      <c r="P15497" t="str">
        <f>"40601"</f>
        <v>40601</v>
      </c>
    </row>
    <row r="15498" spans="1:16" x14ac:dyDescent="0.25">
      <c r="A15498" t="str">
        <f>"1210022K00134A   00"</f>
        <v>1210022K00134A   00</v>
      </c>
      <c r="B15498" t="s">
        <v>33918</v>
      </c>
      <c r="C15498" t="s">
        <v>33919</v>
      </c>
      <c r="E15498" t="s">
        <v>39</v>
      </c>
      <c r="F15498">
        <v>0</v>
      </c>
      <c r="G15498">
        <v>0</v>
      </c>
      <c r="H15498">
        <v>4</v>
      </c>
      <c r="I15498" s="3">
        <v>94.15</v>
      </c>
      <c r="J15498" s="3">
        <v>91.6</v>
      </c>
      <c r="L15498">
        <v>1319</v>
      </c>
      <c r="M15498" t="s">
        <v>33598</v>
      </c>
      <c r="N15498" t="s">
        <v>30</v>
      </c>
      <c r="O15498" t="s">
        <v>31</v>
      </c>
      <c r="P15498" t="str">
        <f>"15233"</f>
        <v>15233</v>
      </c>
    </row>
    <row r="15499" spans="1:16" x14ac:dyDescent="0.25">
      <c r="A15499" t="str">
        <f>"1210022K00138    00"</f>
        <v>1210022K00138    00</v>
      </c>
      <c r="B15499" t="s">
        <v>33920</v>
      </c>
      <c r="C15499" t="s">
        <v>33875</v>
      </c>
      <c r="D15499" t="s">
        <v>20</v>
      </c>
      <c r="E15499" t="s">
        <v>39</v>
      </c>
      <c r="F15499">
        <v>0</v>
      </c>
      <c r="G15499">
        <v>0</v>
      </c>
      <c r="H15499">
        <v>7</v>
      </c>
      <c r="I15499" s="3">
        <v>130</v>
      </c>
      <c r="J15499" s="3">
        <v>36.39</v>
      </c>
      <c r="L15499">
        <v>298</v>
      </c>
      <c r="M15499" t="s">
        <v>33921</v>
      </c>
      <c r="N15499" t="s">
        <v>820</v>
      </c>
      <c r="O15499" t="s">
        <v>31</v>
      </c>
      <c r="P15499" t="str">
        <f>"15314"</f>
        <v>15314</v>
      </c>
    </row>
    <row r="15500" spans="1:16" x14ac:dyDescent="0.25">
      <c r="A15500" t="str">
        <f>"1210022K00147    00"</f>
        <v>1210022K00147    00</v>
      </c>
      <c r="B15500" t="s">
        <v>33922</v>
      </c>
      <c r="C15500" t="s">
        <v>33919</v>
      </c>
      <c r="D15500" t="s">
        <v>20</v>
      </c>
      <c r="E15500" t="s">
        <v>39</v>
      </c>
      <c r="F15500">
        <v>0</v>
      </c>
      <c r="G15500">
        <v>0</v>
      </c>
      <c r="H15500">
        <v>3</v>
      </c>
      <c r="I15500" s="3">
        <v>24.24</v>
      </c>
      <c r="J15500" s="3">
        <v>0.41</v>
      </c>
      <c r="L15500">
        <v>1615</v>
      </c>
      <c r="M15500" t="s">
        <v>11677</v>
      </c>
      <c r="N15500" t="s">
        <v>30</v>
      </c>
      <c r="O15500" t="s">
        <v>31</v>
      </c>
      <c r="P15500" t="str">
        <f>"15233"</f>
        <v>15233</v>
      </c>
    </row>
    <row r="15501" spans="1:16" x14ac:dyDescent="0.25">
      <c r="A15501" t="str">
        <f>"1210022K00148    00"</f>
        <v>1210022K00148    00</v>
      </c>
      <c r="B15501" t="s">
        <v>33922</v>
      </c>
      <c r="C15501" t="s">
        <v>33923</v>
      </c>
      <c r="E15501" t="s">
        <v>39</v>
      </c>
      <c r="F15501">
        <v>0</v>
      </c>
      <c r="G15501">
        <v>0</v>
      </c>
      <c r="H15501">
        <v>1</v>
      </c>
      <c r="I15501" s="3">
        <v>97.92</v>
      </c>
      <c r="J15501" s="3">
        <v>19.579999999999998</v>
      </c>
      <c r="K15501" t="s">
        <v>33924</v>
      </c>
      <c r="L15501">
        <v>1615</v>
      </c>
      <c r="M15501" t="s">
        <v>11677</v>
      </c>
      <c r="N15501" t="s">
        <v>30</v>
      </c>
      <c r="O15501" t="s">
        <v>31</v>
      </c>
      <c r="P15501" t="str">
        <f>"15233"</f>
        <v>15233</v>
      </c>
    </row>
    <row r="15502" spans="1:16" x14ac:dyDescent="0.25">
      <c r="A15502" t="str">
        <f>"1210022K00149    00"</f>
        <v>1210022K00149    00</v>
      </c>
      <c r="B15502" t="s">
        <v>33925</v>
      </c>
      <c r="C15502" t="s">
        <v>33926</v>
      </c>
      <c r="E15502" t="s">
        <v>39</v>
      </c>
      <c r="F15502">
        <v>0</v>
      </c>
      <c r="G15502">
        <v>0</v>
      </c>
      <c r="H15502">
        <v>2</v>
      </c>
      <c r="I15502" s="3">
        <v>1907.99</v>
      </c>
      <c r="J15502" s="3">
        <v>79.5</v>
      </c>
      <c r="K15502" t="s">
        <v>4460</v>
      </c>
      <c r="L15502">
        <v>901</v>
      </c>
      <c r="M15502" t="s">
        <v>1503</v>
      </c>
      <c r="N15502" t="s">
        <v>494</v>
      </c>
      <c r="O15502" t="s">
        <v>495</v>
      </c>
      <c r="P15502" t="str">
        <f>"91768"</f>
        <v>91768</v>
      </c>
    </row>
    <row r="15503" spans="1:16" x14ac:dyDescent="0.25">
      <c r="A15503" t="str">
        <f>"1210022K00271    00"</f>
        <v>1210022K00271    00</v>
      </c>
      <c r="B15503" t="s">
        <v>33927</v>
      </c>
      <c r="C15503" t="s">
        <v>33928</v>
      </c>
      <c r="D15503" t="s">
        <v>20</v>
      </c>
      <c r="E15503" t="s">
        <v>39</v>
      </c>
      <c r="F15503">
        <v>0</v>
      </c>
      <c r="G15503">
        <v>0</v>
      </c>
      <c r="H15503">
        <v>7</v>
      </c>
      <c r="I15503" s="3">
        <v>6896.18</v>
      </c>
      <c r="J15503" s="3">
        <v>1676.58</v>
      </c>
      <c r="L15503">
        <v>7790</v>
      </c>
      <c r="M15503" t="s">
        <v>33929</v>
      </c>
      <c r="N15503" t="s">
        <v>33930</v>
      </c>
      <c r="O15503" t="s">
        <v>25</v>
      </c>
      <c r="P15503" t="str">
        <f>"44236"</f>
        <v>44236</v>
      </c>
    </row>
    <row r="15504" spans="1:16" x14ac:dyDescent="0.25">
      <c r="A15504" t="str">
        <f>"1210022K00272    00"</f>
        <v>1210022K00272    00</v>
      </c>
      <c r="B15504" t="s">
        <v>33927</v>
      </c>
      <c r="C15504" t="s">
        <v>33611</v>
      </c>
      <c r="D15504" t="s">
        <v>20</v>
      </c>
      <c r="E15504" t="s">
        <v>39</v>
      </c>
      <c r="F15504">
        <v>0</v>
      </c>
      <c r="G15504">
        <v>0</v>
      </c>
      <c r="H15504">
        <v>4</v>
      </c>
      <c r="I15504" s="3">
        <v>215.06</v>
      </c>
      <c r="J15504" s="3">
        <v>26.01</v>
      </c>
      <c r="L15504">
        <v>7790</v>
      </c>
      <c r="M15504" t="s">
        <v>33929</v>
      </c>
      <c r="N15504" t="s">
        <v>33930</v>
      </c>
      <c r="O15504" t="s">
        <v>25</v>
      </c>
      <c r="P15504" t="str">
        <f>"44236"</f>
        <v>44236</v>
      </c>
    </row>
    <row r="15505" spans="1:16" x14ac:dyDescent="0.25">
      <c r="A15505" t="str">
        <f>"1210022K00273    00"</f>
        <v>1210022K00273    00</v>
      </c>
      <c r="B15505" t="s">
        <v>33927</v>
      </c>
      <c r="C15505" t="s">
        <v>33611</v>
      </c>
      <c r="D15505" t="s">
        <v>20</v>
      </c>
      <c r="E15505" t="s">
        <v>39</v>
      </c>
      <c r="F15505">
        <v>0</v>
      </c>
      <c r="G15505">
        <v>0</v>
      </c>
      <c r="H15505">
        <v>4</v>
      </c>
      <c r="I15505" s="3">
        <v>282.8</v>
      </c>
      <c r="J15505" s="3">
        <v>36.24</v>
      </c>
      <c r="L15505">
        <v>7790</v>
      </c>
      <c r="M15505" t="s">
        <v>33929</v>
      </c>
      <c r="N15505" t="s">
        <v>33930</v>
      </c>
      <c r="O15505" t="s">
        <v>25</v>
      </c>
      <c r="P15505" t="str">
        <f>"44236"</f>
        <v>44236</v>
      </c>
    </row>
    <row r="15506" spans="1:16" x14ac:dyDescent="0.25">
      <c r="A15506" t="str">
        <f>"1210022K00275A   00"</f>
        <v>1210022K00275A   00</v>
      </c>
      <c r="B15506" t="s">
        <v>33931</v>
      </c>
      <c r="C15506" t="s">
        <v>33919</v>
      </c>
      <c r="D15506" t="s">
        <v>57</v>
      </c>
      <c r="E15506" t="s">
        <v>39</v>
      </c>
      <c r="F15506">
        <v>0</v>
      </c>
      <c r="G15506">
        <v>0</v>
      </c>
      <c r="H15506">
        <v>1</v>
      </c>
      <c r="I15506" s="3">
        <v>19.38</v>
      </c>
      <c r="J15506" s="3">
        <v>0</v>
      </c>
      <c r="K15506" t="s">
        <v>557</v>
      </c>
      <c r="L15506">
        <v>3001</v>
      </c>
      <c r="M15506" t="s">
        <v>330</v>
      </c>
      <c r="N15506" t="s">
        <v>331</v>
      </c>
      <c r="O15506" t="s">
        <v>108</v>
      </c>
      <c r="P15506" t="str">
        <f>"75063"</f>
        <v>75063</v>
      </c>
    </row>
    <row r="15507" spans="1:16" x14ac:dyDescent="0.25">
      <c r="A15507" t="str">
        <f>"1210022K00277    00"</f>
        <v>1210022K00277    00</v>
      </c>
      <c r="B15507" t="s">
        <v>33932</v>
      </c>
      <c r="C15507" t="s">
        <v>33933</v>
      </c>
      <c r="D15507" t="s">
        <v>20</v>
      </c>
      <c r="E15507" t="s">
        <v>21</v>
      </c>
      <c r="F15507">
        <v>0</v>
      </c>
      <c r="G15507">
        <v>0</v>
      </c>
      <c r="H15507">
        <v>1</v>
      </c>
      <c r="I15507" s="3">
        <v>2092.79</v>
      </c>
      <c r="J15507" s="3">
        <v>0</v>
      </c>
      <c r="L15507">
        <v>300</v>
      </c>
      <c r="M15507" t="s">
        <v>33934</v>
      </c>
      <c r="N15507" t="s">
        <v>903</v>
      </c>
      <c r="O15507" t="s">
        <v>31</v>
      </c>
      <c r="P15507" t="str">
        <f>"15136"</f>
        <v>15136</v>
      </c>
    </row>
    <row r="15508" spans="1:16" x14ac:dyDescent="0.25">
      <c r="A15508" t="str">
        <f>"1210022K00278    00"</f>
        <v>1210022K00278    00</v>
      </c>
      <c r="B15508" t="s">
        <v>33935</v>
      </c>
      <c r="C15508" t="s">
        <v>33936</v>
      </c>
      <c r="D15508" t="s">
        <v>20</v>
      </c>
      <c r="E15508" t="s">
        <v>39</v>
      </c>
      <c r="F15508">
        <v>0</v>
      </c>
      <c r="G15508">
        <v>0</v>
      </c>
      <c r="H15508">
        <v>19</v>
      </c>
      <c r="I15508" s="3">
        <v>9659.75</v>
      </c>
      <c r="J15508" s="3">
        <v>9941.5300000000007</v>
      </c>
      <c r="K15508" t="s">
        <v>33937</v>
      </c>
      <c r="L15508">
        <v>322</v>
      </c>
      <c r="M15508" t="s">
        <v>32700</v>
      </c>
      <c r="N15508" t="s">
        <v>149</v>
      </c>
      <c r="O15508" t="s">
        <v>31</v>
      </c>
      <c r="P15508" t="str">
        <f>"15106"</f>
        <v>15106</v>
      </c>
    </row>
    <row r="15509" spans="1:16" x14ac:dyDescent="0.25">
      <c r="A15509" t="str">
        <f>"1210022K00282    00"</f>
        <v>1210022K00282    00</v>
      </c>
      <c r="B15509" t="s">
        <v>33938</v>
      </c>
      <c r="C15509" t="s">
        <v>33939</v>
      </c>
      <c r="E15509" t="s">
        <v>39</v>
      </c>
      <c r="F15509">
        <v>0</v>
      </c>
      <c r="G15509">
        <v>0</v>
      </c>
      <c r="H15509">
        <v>3</v>
      </c>
      <c r="I15509" s="3">
        <v>1444.18</v>
      </c>
      <c r="J15509" s="3">
        <v>192.77</v>
      </c>
      <c r="L15509">
        <v>1418</v>
      </c>
      <c r="M15509" t="s">
        <v>33574</v>
      </c>
      <c r="N15509" t="s">
        <v>30</v>
      </c>
      <c r="O15509" t="s">
        <v>31</v>
      </c>
      <c r="P15509" t="str">
        <f>"15233"</f>
        <v>15233</v>
      </c>
    </row>
    <row r="15510" spans="1:16" x14ac:dyDescent="0.25">
      <c r="A15510" t="str">
        <f>"1210022K00283    00"</f>
        <v>1210022K00283    00</v>
      </c>
      <c r="B15510" t="s">
        <v>33940</v>
      </c>
      <c r="C15510" t="s">
        <v>33941</v>
      </c>
      <c r="E15510" t="s">
        <v>39</v>
      </c>
      <c r="F15510">
        <v>0</v>
      </c>
      <c r="G15510">
        <v>0</v>
      </c>
      <c r="H15510">
        <v>1</v>
      </c>
      <c r="I15510" s="3">
        <v>1266.9100000000001</v>
      </c>
      <c r="J15510" s="3">
        <v>0</v>
      </c>
      <c r="L15510">
        <v>461</v>
      </c>
      <c r="M15510" t="s">
        <v>3457</v>
      </c>
      <c r="N15510" t="s">
        <v>30</v>
      </c>
      <c r="O15510" t="s">
        <v>31</v>
      </c>
      <c r="P15510" t="str">
        <f>"15213"</f>
        <v>15213</v>
      </c>
    </row>
    <row r="15511" spans="1:16" x14ac:dyDescent="0.25">
      <c r="A15511" t="str">
        <f>"1210022K00296    00"</f>
        <v>1210022K00296    00</v>
      </c>
      <c r="B15511" t="s">
        <v>33942</v>
      </c>
      <c r="C15511" t="s">
        <v>33943</v>
      </c>
      <c r="E15511" t="s">
        <v>39</v>
      </c>
      <c r="F15511">
        <v>0</v>
      </c>
      <c r="G15511">
        <v>0</v>
      </c>
      <c r="H15511">
        <v>1</v>
      </c>
      <c r="I15511" s="3">
        <v>80.349999999999994</v>
      </c>
      <c r="J15511" s="3">
        <v>0</v>
      </c>
      <c r="K15511" t="s">
        <v>33944</v>
      </c>
      <c r="L15511">
        <v>6287</v>
      </c>
      <c r="M15511" t="s">
        <v>33945</v>
      </c>
      <c r="N15511" t="s">
        <v>33946</v>
      </c>
      <c r="O15511" t="s">
        <v>606</v>
      </c>
      <c r="P15511" t="str">
        <f>"30084"</f>
        <v>30084</v>
      </c>
    </row>
    <row r="15512" spans="1:16" x14ac:dyDescent="0.25">
      <c r="A15512" t="str">
        <f>"1210022K00299    00"</f>
        <v>1210022K00299    00</v>
      </c>
      <c r="B15512" t="s">
        <v>33947</v>
      </c>
      <c r="C15512" t="s">
        <v>33948</v>
      </c>
      <c r="D15512" t="s">
        <v>20</v>
      </c>
      <c r="E15512" t="s">
        <v>39</v>
      </c>
      <c r="F15512">
        <v>0</v>
      </c>
      <c r="G15512">
        <v>0</v>
      </c>
      <c r="H15512">
        <v>1</v>
      </c>
      <c r="I15512" s="3">
        <v>286.20999999999998</v>
      </c>
      <c r="J15512" s="3">
        <v>0</v>
      </c>
      <c r="L15512">
        <v>1444</v>
      </c>
      <c r="M15512" t="s">
        <v>33574</v>
      </c>
      <c r="N15512" t="s">
        <v>30</v>
      </c>
      <c r="O15512" t="s">
        <v>31</v>
      </c>
      <c r="P15512" t="str">
        <f>"15233"</f>
        <v>15233</v>
      </c>
    </row>
    <row r="15513" spans="1:16" x14ac:dyDescent="0.25">
      <c r="A15513" t="str">
        <f>"1210022K00324    00"</f>
        <v>1210022K00324    00</v>
      </c>
      <c r="B15513" t="s">
        <v>944</v>
      </c>
      <c r="C15513" t="s">
        <v>33949</v>
      </c>
      <c r="E15513" t="s">
        <v>39</v>
      </c>
      <c r="F15513">
        <v>0</v>
      </c>
      <c r="G15513">
        <v>0</v>
      </c>
      <c r="H15513">
        <v>1</v>
      </c>
      <c r="I15513" s="3">
        <v>2813.13</v>
      </c>
      <c r="J15513" s="3">
        <v>1945.67</v>
      </c>
      <c r="K15513" t="s">
        <v>33528</v>
      </c>
      <c r="L15513">
        <v>200</v>
      </c>
      <c r="M15513" t="s">
        <v>33529</v>
      </c>
      <c r="N15513" t="s">
        <v>30</v>
      </c>
      <c r="O15513" t="s">
        <v>31</v>
      </c>
      <c r="P15513" t="str">
        <f t="shared" ref="P15513:P15518" si="201">"15219"</f>
        <v>15219</v>
      </c>
    </row>
    <row r="15514" spans="1:16" x14ac:dyDescent="0.25">
      <c r="A15514" t="str">
        <f>"1210022K00325    00"</f>
        <v>1210022K00325    00</v>
      </c>
      <c r="B15514" t="s">
        <v>944</v>
      </c>
      <c r="C15514" t="s">
        <v>33950</v>
      </c>
      <c r="E15514" t="s">
        <v>39</v>
      </c>
      <c r="F15514">
        <v>0</v>
      </c>
      <c r="G15514">
        <v>0</v>
      </c>
      <c r="H15514">
        <v>1</v>
      </c>
      <c r="I15514" s="3">
        <v>2771.11</v>
      </c>
      <c r="J15514" s="3">
        <v>1916.6</v>
      </c>
      <c r="K15514" t="s">
        <v>33528</v>
      </c>
      <c r="L15514">
        <v>200</v>
      </c>
      <c r="M15514" t="s">
        <v>33529</v>
      </c>
      <c r="N15514" t="s">
        <v>30</v>
      </c>
      <c r="O15514" t="s">
        <v>31</v>
      </c>
      <c r="P15514" t="str">
        <f t="shared" si="201"/>
        <v>15219</v>
      </c>
    </row>
    <row r="15515" spans="1:16" x14ac:dyDescent="0.25">
      <c r="A15515" t="str">
        <f>"1210022K00326    00"</f>
        <v>1210022K00326    00</v>
      </c>
      <c r="B15515" t="s">
        <v>944</v>
      </c>
      <c r="C15515" t="s">
        <v>33951</v>
      </c>
      <c r="E15515" t="s">
        <v>39</v>
      </c>
      <c r="F15515">
        <v>0</v>
      </c>
      <c r="G15515">
        <v>0</v>
      </c>
      <c r="H15515">
        <v>1</v>
      </c>
      <c r="I15515" s="3">
        <v>2771.11</v>
      </c>
      <c r="J15515" s="3">
        <v>1916.6</v>
      </c>
      <c r="K15515" t="s">
        <v>33528</v>
      </c>
      <c r="L15515">
        <v>200</v>
      </c>
      <c r="M15515" t="s">
        <v>33529</v>
      </c>
      <c r="N15515" t="s">
        <v>30</v>
      </c>
      <c r="O15515" t="s">
        <v>31</v>
      </c>
      <c r="P15515" t="str">
        <f t="shared" si="201"/>
        <v>15219</v>
      </c>
    </row>
    <row r="15516" spans="1:16" x14ac:dyDescent="0.25">
      <c r="A15516" t="str">
        <f>"1210022K00327    00"</f>
        <v>1210022K00327    00</v>
      </c>
      <c r="B15516" t="s">
        <v>944</v>
      </c>
      <c r="C15516" t="s">
        <v>33952</v>
      </c>
      <c r="E15516" t="s">
        <v>39</v>
      </c>
      <c r="F15516">
        <v>0</v>
      </c>
      <c r="G15516">
        <v>0</v>
      </c>
      <c r="H15516">
        <v>1</v>
      </c>
      <c r="I15516" s="3">
        <v>2773.58</v>
      </c>
      <c r="J15516" s="3">
        <v>1918.31</v>
      </c>
      <c r="K15516" t="s">
        <v>33528</v>
      </c>
      <c r="L15516">
        <v>200</v>
      </c>
      <c r="M15516" t="s">
        <v>33529</v>
      </c>
      <c r="N15516" t="s">
        <v>30</v>
      </c>
      <c r="O15516" t="s">
        <v>31</v>
      </c>
      <c r="P15516" t="str">
        <f t="shared" si="201"/>
        <v>15219</v>
      </c>
    </row>
    <row r="15517" spans="1:16" x14ac:dyDescent="0.25">
      <c r="A15517" t="str">
        <f>"1210022K00328    00"</f>
        <v>1210022K00328    00</v>
      </c>
      <c r="B15517" t="s">
        <v>944</v>
      </c>
      <c r="C15517" t="s">
        <v>33953</v>
      </c>
      <c r="E15517" t="s">
        <v>39</v>
      </c>
      <c r="F15517">
        <v>0</v>
      </c>
      <c r="G15517">
        <v>0</v>
      </c>
      <c r="H15517">
        <v>1</v>
      </c>
      <c r="I15517" s="3">
        <v>2776.06</v>
      </c>
      <c r="J15517" s="3">
        <v>1920.03</v>
      </c>
      <c r="L15517">
        <v>200</v>
      </c>
      <c r="M15517" t="s">
        <v>946</v>
      </c>
      <c r="N15517" t="s">
        <v>30</v>
      </c>
      <c r="O15517" t="s">
        <v>31</v>
      </c>
      <c r="P15517" t="str">
        <f t="shared" si="201"/>
        <v>15219</v>
      </c>
    </row>
    <row r="15518" spans="1:16" x14ac:dyDescent="0.25">
      <c r="A15518" t="str">
        <f>"1210022K00329    00"</f>
        <v>1210022K00329    00</v>
      </c>
      <c r="B15518" t="s">
        <v>944</v>
      </c>
      <c r="C15518" t="s">
        <v>33954</v>
      </c>
      <c r="E15518" t="s">
        <v>39</v>
      </c>
      <c r="F15518">
        <v>0</v>
      </c>
      <c r="G15518">
        <v>0</v>
      </c>
      <c r="H15518">
        <v>1</v>
      </c>
      <c r="I15518" s="3">
        <v>2776.06</v>
      </c>
      <c r="J15518" s="3">
        <v>1920.03</v>
      </c>
      <c r="L15518">
        <v>200</v>
      </c>
      <c r="M15518" t="s">
        <v>946</v>
      </c>
      <c r="N15518" t="s">
        <v>30</v>
      </c>
      <c r="O15518" t="s">
        <v>31</v>
      </c>
      <c r="P15518" t="str">
        <f t="shared" si="201"/>
        <v>15219</v>
      </c>
    </row>
    <row r="15519" spans="1:16" x14ac:dyDescent="0.25">
      <c r="A15519" t="str">
        <f>"1210022K00341    00"</f>
        <v>1210022K00341    00</v>
      </c>
      <c r="B15519" t="s">
        <v>33572</v>
      </c>
      <c r="C15519" t="s">
        <v>33955</v>
      </c>
      <c r="D15519" t="s">
        <v>20</v>
      </c>
      <c r="E15519" t="s">
        <v>39</v>
      </c>
      <c r="F15519">
        <v>0</v>
      </c>
      <c r="G15519">
        <v>0</v>
      </c>
      <c r="H15519">
        <v>2</v>
      </c>
      <c r="I15519" s="3">
        <v>1448.56</v>
      </c>
      <c r="J15519" s="3">
        <v>0</v>
      </c>
      <c r="L15519">
        <v>1309</v>
      </c>
      <c r="M15519" t="s">
        <v>33574</v>
      </c>
      <c r="N15519" t="s">
        <v>30</v>
      </c>
      <c r="O15519" t="s">
        <v>31</v>
      </c>
      <c r="P15519" t="str">
        <f>"15233"</f>
        <v>15233</v>
      </c>
    </row>
    <row r="15520" spans="1:16" x14ac:dyDescent="0.25">
      <c r="A15520" t="str">
        <f>"1210022K00342    00"</f>
        <v>1210022K00342    00</v>
      </c>
      <c r="B15520" t="s">
        <v>33808</v>
      </c>
      <c r="C15520" t="s">
        <v>33956</v>
      </c>
      <c r="E15520" t="s">
        <v>39</v>
      </c>
      <c r="F15520">
        <v>0</v>
      </c>
      <c r="G15520">
        <v>0</v>
      </c>
      <c r="H15520">
        <v>1</v>
      </c>
      <c r="I15520" s="3">
        <v>270.68</v>
      </c>
      <c r="J15520" s="3">
        <v>0</v>
      </c>
      <c r="K15520" t="s">
        <v>33810</v>
      </c>
      <c r="L15520">
        <v>1319</v>
      </c>
      <c r="M15520" t="s">
        <v>33598</v>
      </c>
      <c r="N15520" t="s">
        <v>30</v>
      </c>
      <c r="O15520" t="s">
        <v>31</v>
      </c>
      <c r="P15520" t="str">
        <f>"15233"</f>
        <v>15233</v>
      </c>
    </row>
    <row r="15521" spans="1:16" x14ac:dyDescent="0.25">
      <c r="A15521" t="str">
        <f>"1210022K00346    00"</f>
        <v>1210022K00346    00</v>
      </c>
      <c r="B15521" t="s">
        <v>21146</v>
      </c>
      <c r="C15521" t="s">
        <v>33957</v>
      </c>
      <c r="D15521" t="s">
        <v>20</v>
      </c>
      <c r="E15521" t="s">
        <v>39</v>
      </c>
      <c r="F15521">
        <v>0</v>
      </c>
      <c r="G15521">
        <v>0</v>
      </c>
      <c r="H15521">
        <v>3</v>
      </c>
      <c r="I15521" s="3">
        <v>4590.24</v>
      </c>
      <c r="J15521" s="3">
        <v>416.32</v>
      </c>
      <c r="L15521">
        <v>920</v>
      </c>
      <c r="M15521" t="s">
        <v>33958</v>
      </c>
      <c r="N15521" t="s">
        <v>33959</v>
      </c>
      <c r="O15521" t="s">
        <v>31</v>
      </c>
      <c r="P15521" t="str">
        <f>"17339"</f>
        <v>17339</v>
      </c>
    </row>
    <row r="15522" spans="1:16" x14ac:dyDescent="0.25">
      <c r="A15522" t="str">
        <f>"1210022K00361    00"</f>
        <v>1210022K00361    00</v>
      </c>
      <c r="B15522" t="s">
        <v>33960</v>
      </c>
      <c r="C15522" t="s">
        <v>33961</v>
      </c>
      <c r="D15522" t="s">
        <v>20</v>
      </c>
      <c r="E15522" t="s">
        <v>39</v>
      </c>
      <c r="F15522">
        <v>0</v>
      </c>
      <c r="G15522">
        <v>0</v>
      </c>
      <c r="H15522">
        <v>19</v>
      </c>
      <c r="I15522" s="3">
        <v>8560.08</v>
      </c>
      <c r="J15522" s="3">
        <v>7792.85</v>
      </c>
      <c r="L15522">
        <v>1330</v>
      </c>
      <c r="M15522" t="s">
        <v>28159</v>
      </c>
      <c r="N15522" t="s">
        <v>30</v>
      </c>
      <c r="O15522" t="s">
        <v>31</v>
      </c>
      <c r="P15522" t="str">
        <f>"15233"</f>
        <v>15233</v>
      </c>
    </row>
    <row r="15523" spans="1:16" x14ac:dyDescent="0.25">
      <c r="A15523" t="str">
        <f>"1210022K00362A   00"</f>
        <v>1210022K00362A   00</v>
      </c>
      <c r="B15523" t="s">
        <v>33962</v>
      </c>
      <c r="C15523" t="s">
        <v>33963</v>
      </c>
      <c r="D15523" t="s">
        <v>57</v>
      </c>
      <c r="E15523" t="s">
        <v>39</v>
      </c>
      <c r="F15523">
        <v>0</v>
      </c>
      <c r="G15523">
        <v>0</v>
      </c>
      <c r="H15523">
        <v>1</v>
      </c>
      <c r="I15523" s="3">
        <v>68</v>
      </c>
      <c r="J15523" s="3">
        <v>15.3</v>
      </c>
      <c r="K15523" t="s">
        <v>1632</v>
      </c>
      <c r="L15523">
        <v>3001</v>
      </c>
      <c r="M15523" t="s">
        <v>330</v>
      </c>
      <c r="N15523" t="s">
        <v>331</v>
      </c>
      <c r="O15523" t="s">
        <v>108</v>
      </c>
      <c r="P15523" t="str">
        <f>"75063"</f>
        <v>75063</v>
      </c>
    </row>
    <row r="15524" spans="1:16" x14ac:dyDescent="0.25">
      <c r="A15524" t="str">
        <f>"1210022K00367    01"</f>
        <v>1210022K00367    01</v>
      </c>
      <c r="B15524" t="s">
        <v>33964</v>
      </c>
      <c r="C15524" t="s">
        <v>33965</v>
      </c>
      <c r="D15524" t="s">
        <v>20</v>
      </c>
      <c r="E15524" t="s">
        <v>21</v>
      </c>
      <c r="F15524">
        <v>0</v>
      </c>
      <c r="G15524">
        <v>0</v>
      </c>
      <c r="H15524">
        <v>1</v>
      </c>
      <c r="I15524" s="3">
        <v>5767.55</v>
      </c>
      <c r="J15524" s="3">
        <v>0</v>
      </c>
      <c r="K15524" t="s">
        <v>33966</v>
      </c>
      <c r="L15524">
        <v>1214</v>
      </c>
      <c r="M15524" t="s">
        <v>17425</v>
      </c>
      <c r="N15524" t="s">
        <v>30</v>
      </c>
      <c r="O15524" t="s">
        <v>31</v>
      </c>
      <c r="P15524" t="str">
        <f>"15233"</f>
        <v>15233</v>
      </c>
    </row>
    <row r="15525" spans="1:16" x14ac:dyDescent="0.25">
      <c r="A15525" t="str">
        <f>"1210022K00368    00"</f>
        <v>1210022K00368    00</v>
      </c>
      <c r="B15525" t="s">
        <v>33964</v>
      </c>
      <c r="C15525" t="s">
        <v>33967</v>
      </c>
      <c r="D15525" t="s">
        <v>20</v>
      </c>
      <c r="E15525" t="s">
        <v>21</v>
      </c>
      <c r="F15525">
        <v>0</v>
      </c>
      <c r="G15525">
        <v>0</v>
      </c>
      <c r="H15525">
        <v>1</v>
      </c>
      <c r="I15525" s="3">
        <v>18835.09</v>
      </c>
      <c r="J15525" s="3">
        <v>0</v>
      </c>
      <c r="K15525" t="s">
        <v>33966</v>
      </c>
      <c r="L15525">
        <v>124</v>
      </c>
      <c r="M15525" t="s">
        <v>17425</v>
      </c>
      <c r="N15525" t="s">
        <v>30</v>
      </c>
      <c r="O15525" t="s">
        <v>31</v>
      </c>
      <c r="P15525" t="str">
        <f>"15233"</f>
        <v>15233</v>
      </c>
    </row>
    <row r="15526" spans="1:16" x14ac:dyDescent="0.25">
      <c r="A15526" t="str">
        <f>"1210022K00370    00"</f>
        <v>1210022K00370    00</v>
      </c>
      <c r="B15526" t="s">
        <v>33968</v>
      </c>
      <c r="C15526" t="s">
        <v>33969</v>
      </c>
      <c r="E15526" t="s">
        <v>39</v>
      </c>
      <c r="F15526">
        <v>0</v>
      </c>
      <c r="G15526">
        <v>0</v>
      </c>
      <c r="H15526">
        <v>1</v>
      </c>
      <c r="I15526" s="3">
        <v>20.100000000000001</v>
      </c>
      <c r="J15526" s="3">
        <v>6.02</v>
      </c>
      <c r="K15526" t="s">
        <v>7350</v>
      </c>
      <c r="L15526">
        <v>3001</v>
      </c>
      <c r="M15526" t="s">
        <v>330</v>
      </c>
      <c r="N15526" t="s">
        <v>331</v>
      </c>
      <c r="O15526" t="s">
        <v>108</v>
      </c>
      <c r="P15526" t="str">
        <f>"75063"</f>
        <v>75063</v>
      </c>
    </row>
    <row r="15527" spans="1:16" x14ac:dyDescent="0.25">
      <c r="A15527" t="str">
        <f>"1210022K00371    00"</f>
        <v>1210022K00371    00</v>
      </c>
      <c r="B15527" t="s">
        <v>33970</v>
      </c>
      <c r="C15527" t="s">
        <v>33971</v>
      </c>
      <c r="D15527" t="s">
        <v>20</v>
      </c>
      <c r="E15527" t="s">
        <v>39</v>
      </c>
      <c r="F15527">
        <v>0</v>
      </c>
      <c r="G15527">
        <v>0</v>
      </c>
      <c r="H15527">
        <v>2</v>
      </c>
      <c r="I15527" s="3">
        <v>1954.26</v>
      </c>
      <c r="J15527" s="3">
        <v>0</v>
      </c>
      <c r="K15527" t="s">
        <v>33972</v>
      </c>
      <c r="M15527" t="s">
        <v>33973</v>
      </c>
      <c r="N15527" t="s">
        <v>30</v>
      </c>
      <c r="O15527" t="s">
        <v>31</v>
      </c>
      <c r="P15527" t="str">
        <f>"15233"</f>
        <v>15233</v>
      </c>
    </row>
    <row r="15528" spans="1:16" x14ac:dyDescent="0.25">
      <c r="A15528" t="str">
        <f>"1210022K00372    00"</f>
        <v>1210022K00372    00</v>
      </c>
      <c r="B15528" t="s">
        <v>33970</v>
      </c>
      <c r="C15528" t="s">
        <v>33974</v>
      </c>
      <c r="D15528" t="s">
        <v>20</v>
      </c>
      <c r="E15528" t="s">
        <v>39</v>
      </c>
      <c r="F15528">
        <v>0</v>
      </c>
      <c r="G15528">
        <v>0</v>
      </c>
      <c r="H15528">
        <v>2</v>
      </c>
      <c r="I15528" s="3">
        <v>1954.23</v>
      </c>
      <c r="J15528" s="3">
        <v>0</v>
      </c>
      <c r="K15528" t="s">
        <v>33972</v>
      </c>
      <c r="M15528" t="s">
        <v>33973</v>
      </c>
      <c r="N15528" t="s">
        <v>30</v>
      </c>
      <c r="O15528" t="s">
        <v>31</v>
      </c>
      <c r="P15528" t="str">
        <f>"15233"</f>
        <v>15233</v>
      </c>
    </row>
    <row r="15529" spans="1:16" x14ac:dyDescent="0.25">
      <c r="A15529" t="str">
        <f>"1210022K00390A   00"</f>
        <v>1210022K00390A   00</v>
      </c>
      <c r="B15529" t="s">
        <v>33975</v>
      </c>
      <c r="C15529" t="s">
        <v>33976</v>
      </c>
      <c r="D15529" t="s">
        <v>20</v>
      </c>
      <c r="E15529" t="s">
        <v>39</v>
      </c>
      <c r="F15529">
        <v>0</v>
      </c>
      <c r="G15529">
        <v>0</v>
      </c>
      <c r="H15529">
        <v>16</v>
      </c>
      <c r="I15529" s="3">
        <v>468.75</v>
      </c>
      <c r="J15529" s="3">
        <v>630.24</v>
      </c>
      <c r="K15529" t="s">
        <v>33977</v>
      </c>
      <c r="L15529">
        <v>304</v>
      </c>
      <c r="M15529" t="s">
        <v>12198</v>
      </c>
      <c r="N15529" t="s">
        <v>30</v>
      </c>
      <c r="O15529" t="s">
        <v>31</v>
      </c>
      <c r="P15529" t="str">
        <f>"15210"</f>
        <v>15210</v>
      </c>
    </row>
    <row r="15530" spans="1:16" x14ac:dyDescent="0.25">
      <c r="A15530" t="str">
        <f>"1210022K00391    00"</f>
        <v>1210022K00391    00</v>
      </c>
      <c r="B15530" t="s">
        <v>33978</v>
      </c>
      <c r="C15530" t="s">
        <v>33611</v>
      </c>
      <c r="D15530" t="s">
        <v>20</v>
      </c>
      <c r="E15530" t="s">
        <v>39</v>
      </c>
      <c r="F15530">
        <v>0</v>
      </c>
      <c r="G15530">
        <v>0</v>
      </c>
      <c r="H15530">
        <v>19</v>
      </c>
      <c r="I15530" s="3">
        <v>1525.64</v>
      </c>
      <c r="J15530" s="3">
        <v>1825.08</v>
      </c>
      <c r="K15530" t="s">
        <v>1008</v>
      </c>
      <c r="P15530" t="str">
        <f>""</f>
        <v/>
      </c>
    </row>
    <row r="15531" spans="1:16" x14ac:dyDescent="0.25">
      <c r="A15531" t="str">
        <f>"1210022K00394    00"</f>
        <v>1210022K00394    00</v>
      </c>
      <c r="B15531" t="s">
        <v>33979</v>
      </c>
      <c r="C15531" t="s">
        <v>33963</v>
      </c>
      <c r="D15531" t="s">
        <v>20</v>
      </c>
      <c r="E15531" t="s">
        <v>39</v>
      </c>
      <c r="F15531">
        <v>0</v>
      </c>
      <c r="G15531">
        <v>0</v>
      </c>
      <c r="H15531">
        <v>19</v>
      </c>
      <c r="I15531" s="3">
        <v>1851.45</v>
      </c>
      <c r="J15531" s="3">
        <v>2566.1799999999998</v>
      </c>
      <c r="L15531">
        <v>1412</v>
      </c>
      <c r="M15531" t="s">
        <v>17425</v>
      </c>
      <c r="N15531" t="s">
        <v>30</v>
      </c>
      <c r="O15531" t="s">
        <v>31</v>
      </c>
      <c r="P15531" t="str">
        <f>"15233"</f>
        <v>15233</v>
      </c>
    </row>
    <row r="15532" spans="1:16" x14ac:dyDescent="0.25">
      <c r="A15532" t="str">
        <f>"1210022K00398    00"</f>
        <v>1210022K00398    00</v>
      </c>
      <c r="B15532" t="s">
        <v>33980</v>
      </c>
      <c r="C15532" t="s">
        <v>33981</v>
      </c>
      <c r="E15532" t="s">
        <v>39</v>
      </c>
      <c r="F15532">
        <v>0</v>
      </c>
      <c r="G15532">
        <v>0</v>
      </c>
      <c r="H15532">
        <v>1</v>
      </c>
      <c r="I15532" s="3">
        <v>52.86</v>
      </c>
      <c r="J15532" s="3">
        <v>0</v>
      </c>
      <c r="M15532" t="s">
        <v>33982</v>
      </c>
      <c r="N15532" t="s">
        <v>30</v>
      </c>
      <c r="O15532" t="s">
        <v>31</v>
      </c>
      <c r="P15532" t="str">
        <f>"15233"</f>
        <v>15233</v>
      </c>
    </row>
    <row r="15533" spans="1:16" x14ac:dyDescent="0.25">
      <c r="A15533" t="str">
        <f>"1210022L00015    00"</f>
        <v>1210022L00015    00</v>
      </c>
      <c r="B15533" t="s">
        <v>944</v>
      </c>
      <c r="C15533" t="s">
        <v>33983</v>
      </c>
      <c r="E15533" t="s">
        <v>39</v>
      </c>
      <c r="F15533">
        <v>0</v>
      </c>
      <c r="G15533">
        <v>0</v>
      </c>
      <c r="H15533">
        <v>1</v>
      </c>
      <c r="I15533" s="3">
        <v>2373.12</v>
      </c>
      <c r="J15533" s="3">
        <v>1641.35</v>
      </c>
      <c r="K15533" t="s">
        <v>33528</v>
      </c>
      <c r="L15533">
        <v>200</v>
      </c>
      <c r="M15533" t="s">
        <v>33529</v>
      </c>
      <c r="N15533" t="s">
        <v>30</v>
      </c>
      <c r="O15533" t="s">
        <v>31</v>
      </c>
      <c r="P15533" t="str">
        <f>"15219"</f>
        <v>15219</v>
      </c>
    </row>
    <row r="15534" spans="1:16" x14ac:dyDescent="0.25">
      <c r="A15534" t="str">
        <f>"1210022L00018    00"</f>
        <v>1210022L00018    00</v>
      </c>
      <c r="B15534" t="s">
        <v>944</v>
      </c>
      <c r="C15534" t="s">
        <v>33984</v>
      </c>
      <c r="E15534" t="s">
        <v>39</v>
      </c>
      <c r="F15534">
        <v>0</v>
      </c>
      <c r="G15534">
        <v>0</v>
      </c>
      <c r="H15534">
        <v>1</v>
      </c>
      <c r="I15534" s="3">
        <v>2373.12</v>
      </c>
      <c r="J15534" s="3">
        <v>1641.35</v>
      </c>
      <c r="K15534" t="s">
        <v>33528</v>
      </c>
      <c r="L15534">
        <v>200</v>
      </c>
      <c r="M15534" t="s">
        <v>33529</v>
      </c>
      <c r="N15534" t="s">
        <v>30</v>
      </c>
      <c r="O15534" t="s">
        <v>31</v>
      </c>
      <c r="P15534" t="str">
        <f>"15219"</f>
        <v>15219</v>
      </c>
    </row>
    <row r="15535" spans="1:16" x14ac:dyDescent="0.25">
      <c r="A15535" t="str">
        <f>"1210022L00030    00"</f>
        <v>1210022L00030    00</v>
      </c>
      <c r="B15535" t="s">
        <v>33985</v>
      </c>
      <c r="C15535" t="s">
        <v>33986</v>
      </c>
      <c r="D15535" t="s">
        <v>20</v>
      </c>
      <c r="E15535" t="s">
        <v>39</v>
      </c>
      <c r="F15535">
        <v>0</v>
      </c>
      <c r="G15535">
        <v>0</v>
      </c>
      <c r="H15535">
        <v>1</v>
      </c>
      <c r="I15535" s="3">
        <v>2234.3000000000002</v>
      </c>
      <c r="J15535" s="3">
        <v>0</v>
      </c>
      <c r="K15535" t="s">
        <v>33987</v>
      </c>
      <c r="L15535">
        <v>1617</v>
      </c>
      <c r="M15535" t="s">
        <v>33706</v>
      </c>
      <c r="N15535" t="s">
        <v>30</v>
      </c>
      <c r="O15535" t="s">
        <v>31</v>
      </c>
      <c r="P15535" t="str">
        <f>"15233"</f>
        <v>15233</v>
      </c>
    </row>
    <row r="15536" spans="1:16" x14ac:dyDescent="0.25">
      <c r="A15536" t="str">
        <f>"1210022L00034    00"</f>
        <v>1210022L00034    00</v>
      </c>
      <c r="B15536" t="s">
        <v>33988</v>
      </c>
      <c r="C15536" t="s">
        <v>33989</v>
      </c>
      <c r="D15536" t="s">
        <v>20</v>
      </c>
      <c r="E15536" t="s">
        <v>39</v>
      </c>
      <c r="F15536">
        <v>0</v>
      </c>
      <c r="G15536">
        <v>0</v>
      </c>
      <c r="H15536">
        <v>3</v>
      </c>
      <c r="I15536" s="3">
        <v>1825.28</v>
      </c>
      <c r="J15536" s="3">
        <v>5.77</v>
      </c>
      <c r="K15536" t="s">
        <v>33990</v>
      </c>
      <c r="L15536">
        <v>1625</v>
      </c>
      <c r="M15536" t="s">
        <v>33598</v>
      </c>
      <c r="N15536" t="s">
        <v>30</v>
      </c>
      <c r="O15536" t="s">
        <v>31</v>
      </c>
      <c r="P15536" t="str">
        <f>"15233"</f>
        <v>15233</v>
      </c>
    </row>
    <row r="15537" spans="1:16" x14ac:dyDescent="0.25">
      <c r="A15537" t="str">
        <f>"1210022L00036    00"</f>
        <v>1210022L00036    00</v>
      </c>
      <c r="B15537" t="s">
        <v>33991</v>
      </c>
      <c r="C15537" t="s">
        <v>33992</v>
      </c>
      <c r="D15537" t="s">
        <v>57</v>
      </c>
      <c r="E15537" t="s">
        <v>39</v>
      </c>
      <c r="F15537">
        <v>0</v>
      </c>
      <c r="G15537">
        <v>0</v>
      </c>
      <c r="H15537">
        <v>1</v>
      </c>
      <c r="I15537" s="3">
        <v>303.77</v>
      </c>
      <c r="J15537" s="3">
        <v>0</v>
      </c>
      <c r="K15537" t="s">
        <v>33993</v>
      </c>
      <c r="M15537" t="s">
        <v>33994</v>
      </c>
      <c r="N15537" t="s">
        <v>30</v>
      </c>
      <c r="O15537" t="s">
        <v>31</v>
      </c>
      <c r="P15537" t="str">
        <f>"15233"</f>
        <v>15233</v>
      </c>
    </row>
    <row r="15538" spans="1:16" x14ac:dyDescent="0.25">
      <c r="A15538" t="str">
        <f>"1210022L00097    00"</f>
        <v>1210022L00097    00</v>
      </c>
      <c r="B15538" t="s">
        <v>33995</v>
      </c>
      <c r="C15538" t="s">
        <v>33996</v>
      </c>
      <c r="D15538" t="s">
        <v>20</v>
      </c>
      <c r="E15538" t="s">
        <v>39</v>
      </c>
      <c r="F15538">
        <v>0</v>
      </c>
      <c r="G15538">
        <v>0</v>
      </c>
      <c r="H15538">
        <v>8</v>
      </c>
      <c r="I15538" s="3">
        <v>4697.4399999999996</v>
      </c>
      <c r="J15538" s="3">
        <v>1537.08</v>
      </c>
      <c r="L15538">
        <v>746</v>
      </c>
      <c r="M15538" t="s">
        <v>11674</v>
      </c>
      <c r="N15538" t="s">
        <v>33997</v>
      </c>
      <c r="O15538" t="s">
        <v>31</v>
      </c>
      <c r="P15538" t="str">
        <f>"19050"</f>
        <v>19050</v>
      </c>
    </row>
    <row r="15539" spans="1:16" x14ac:dyDescent="0.25">
      <c r="A15539" t="str">
        <f>"1210022L00099    00"</f>
        <v>1210022L00099    00</v>
      </c>
      <c r="B15539" t="s">
        <v>33998</v>
      </c>
      <c r="C15539" t="s">
        <v>33919</v>
      </c>
      <c r="D15539" t="s">
        <v>20</v>
      </c>
      <c r="E15539" t="s">
        <v>39</v>
      </c>
      <c r="F15539">
        <v>0</v>
      </c>
      <c r="G15539">
        <v>0</v>
      </c>
      <c r="H15539">
        <v>17</v>
      </c>
      <c r="I15539" s="3">
        <v>560.19000000000005</v>
      </c>
      <c r="J15539" s="3">
        <v>725.02</v>
      </c>
      <c r="K15539" t="s">
        <v>1037</v>
      </c>
      <c r="L15539">
        <v>1212</v>
      </c>
      <c r="M15539" t="s">
        <v>33574</v>
      </c>
      <c r="N15539" t="s">
        <v>30</v>
      </c>
      <c r="O15539" t="s">
        <v>31</v>
      </c>
      <c r="P15539" t="str">
        <f>"15233"</f>
        <v>15233</v>
      </c>
    </row>
    <row r="15540" spans="1:16" x14ac:dyDescent="0.25">
      <c r="A15540" t="str">
        <f>"1210022L00104    00"</f>
        <v>1210022L00104    00</v>
      </c>
      <c r="B15540" t="s">
        <v>33999</v>
      </c>
      <c r="C15540" t="s">
        <v>34000</v>
      </c>
      <c r="D15540" t="s">
        <v>20</v>
      </c>
      <c r="E15540" t="s">
        <v>39</v>
      </c>
      <c r="F15540">
        <v>0</v>
      </c>
      <c r="G15540">
        <v>0</v>
      </c>
      <c r="H15540">
        <v>9</v>
      </c>
      <c r="I15540" s="3">
        <v>5197.34</v>
      </c>
      <c r="J15540" s="3">
        <v>172.82</v>
      </c>
      <c r="K15540" t="s">
        <v>34001</v>
      </c>
      <c r="L15540">
        <v>1220</v>
      </c>
      <c r="M15540" t="s">
        <v>32824</v>
      </c>
      <c r="N15540" t="s">
        <v>30</v>
      </c>
      <c r="O15540" t="s">
        <v>31</v>
      </c>
      <c r="P15540" t="str">
        <f>"15233"</f>
        <v>15233</v>
      </c>
    </row>
    <row r="15541" spans="1:16" x14ac:dyDescent="0.25">
      <c r="A15541" t="str">
        <f>"1210022L00105    00"</f>
        <v>1210022L00105    00</v>
      </c>
      <c r="B15541" t="s">
        <v>34002</v>
      </c>
      <c r="C15541" t="s">
        <v>34003</v>
      </c>
      <c r="D15541" t="s">
        <v>5698</v>
      </c>
      <c r="E15541" t="s">
        <v>39</v>
      </c>
      <c r="F15541">
        <v>0</v>
      </c>
      <c r="G15541">
        <v>0</v>
      </c>
      <c r="H15541">
        <v>2</v>
      </c>
      <c r="I15541" s="3">
        <v>1502.22</v>
      </c>
      <c r="J15541" s="3">
        <v>0</v>
      </c>
      <c r="K15541" t="s">
        <v>34004</v>
      </c>
      <c r="L15541">
        <v>201</v>
      </c>
      <c r="M15541" t="s">
        <v>1226</v>
      </c>
      <c r="N15541" t="s">
        <v>272</v>
      </c>
      <c r="O15541" t="s">
        <v>273</v>
      </c>
      <c r="P15541" t="str">
        <f>"29601"</f>
        <v>29601</v>
      </c>
    </row>
    <row r="15542" spans="1:16" x14ac:dyDescent="0.25">
      <c r="A15542" t="str">
        <f>"1210022L00126    00"</f>
        <v>1210022L00126    00</v>
      </c>
      <c r="B15542" t="s">
        <v>33964</v>
      </c>
      <c r="C15542" t="s">
        <v>34005</v>
      </c>
      <c r="D15542" t="s">
        <v>20</v>
      </c>
      <c r="E15542" t="s">
        <v>207</v>
      </c>
      <c r="F15542">
        <v>0</v>
      </c>
      <c r="G15542">
        <v>0</v>
      </c>
      <c r="H15542">
        <v>5</v>
      </c>
      <c r="I15542" s="3">
        <v>328</v>
      </c>
      <c r="J15542" s="3">
        <v>58.08</v>
      </c>
      <c r="K15542" t="s">
        <v>33966</v>
      </c>
      <c r="L15542">
        <v>1214</v>
      </c>
      <c r="M15542" t="s">
        <v>17425</v>
      </c>
      <c r="N15542" t="s">
        <v>30</v>
      </c>
      <c r="O15542" t="s">
        <v>31</v>
      </c>
      <c r="P15542" t="str">
        <f>"15233"</f>
        <v>15233</v>
      </c>
    </row>
    <row r="15543" spans="1:16" x14ac:dyDescent="0.25">
      <c r="A15543" t="str">
        <f>"1210022L00131    00"</f>
        <v>1210022L00131    00</v>
      </c>
      <c r="B15543" t="s">
        <v>33964</v>
      </c>
      <c r="C15543" t="s">
        <v>34005</v>
      </c>
      <c r="D15543" t="s">
        <v>20</v>
      </c>
      <c r="E15543" t="s">
        <v>39</v>
      </c>
      <c r="F15543">
        <v>0</v>
      </c>
      <c r="G15543">
        <v>0</v>
      </c>
      <c r="H15543">
        <v>4</v>
      </c>
      <c r="I15543" s="3">
        <v>90.52</v>
      </c>
      <c r="J15543" s="3">
        <v>11.14</v>
      </c>
      <c r="K15543" t="s">
        <v>33966</v>
      </c>
      <c r="L15543">
        <v>1214</v>
      </c>
      <c r="M15543" t="s">
        <v>17425</v>
      </c>
      <c r="N15543" t="s">
        <v>30</v>
      </c>
      <c r="O15543" t="s">
        <v>31</v>
      </c>
      <c r="P15543" t="str">
        <f>"15233"</f>
        <v>15233</v>
      </c>
    </row>
    <row r="15544" spans="1:16" x14ac:dyDescent="0.25">
      <c r="A15544" t="str">
        <f>"1210022L00134    00"</f>
        <v>1210022L00134    00</v>
      </c>
      <c r="B15544" t="s">
        <v>34006</v>
      </c>
      <c r="C15544" t="s">
        <v>34007</v>
      </c>
      <c r="D15544" t="s">
        <v>20</v>
      </c>
      <c r="E15544" t="s">
        <v>39</v>
      </c>
      <c r="F15544">
        <v>0</v>
      </c>
      <c r="G15544">
        <v>0</v>
      </c>
      <c r="H15544">
        <v>7</v>
      </c>
      <c r="I15544" s="3">
        <v>127.05</v>
      </c>
      <c r="J15544" s="3">
        <v>65.89</v>
      </c>
      <c r="L15544">
        <v>1213</v>
      </c>
      <c r="M15544" t="s">
        <v>33574</v>
      </c>
      <c r="N15544" t="s">
        <v>30</v>
      </c>
      <c r="O15544" t="s">
        <v>31</v>
      </c>
      <c r="P15544" t="str">
        <f>"15233"</f>
        <v>15233</v>
      </c>
    </row>
    <row r="15545" spans="1:16" x14ac:dyDescent="0.25">
      <c r="A15545" t="str">
        <f>"1210022L00139    00"</f>
        <v>1210022L00139    00</v>
      </c>
      <c r="B15545" t="s">
        <v>34008</v>
      </c>
      <c r="C15545" t="s">
        <v>34009</v>
      </c>
      <c r="D15545" t="s">
        <v>20</v>
      </c>
      <c r="E15545" t="s">
        <v>39</v>
      </c>
      <c r="F15545">
        <v>0</v>
      </c>
      <c r="G15545">
        <v>0</v>
      </c>
      <c r="H15545">
        <v>2</v>
      </c>
      <c r="I15545" s="3">
        <v>944.8</v>
      </c>
      <c r="J15545" s="3">
        <v>0</v>
      </c>
      <c r="K15545" t="s">
        <v>34010</v>
      </c>
      <c r="L15545">
        <v>145</v>
      </c>
      <c r="M15545" t="s">
        <v>34011</v>
      </c>
      <c r="N15545" t="s">
        <v>30</v>
      </c>
      <c r="O15545" t="s">
        <v>31</v>
      </c>
      <c r="P15545" t="str">
        <f>"15214"</f>
        <v>15214</v>
      </c>
    </row>
    <row r="15546" spans="1:16" x14ac:dyDescent="0.25">
      <c r="A15546" t="str">
        <f>"1210022L00146    00"</f>
        <v>1210022L00146    00</v>
      </c>
      <c r="B15546" t="s">
        <v>33964</v>
      </c>
      <c r="C15546" t="s">
        <v>33757</v>
      </c>
      <c r="E15546" t="s">
        <v>39</v>
      </c>
      <c r="F15546">
        <v>0</v>
      </c>
      <c r="G15546">
        <v>0</v>
      </c>
      <c r="H15546">
        <v>2</v>
      </c>
      <c r="I15546" s="3">
        <v>527.79999999999995</v>
      </c>
      <c r="J15546" s="3">
        <v>256.77</v>
      </c>
      <c r="K15546" t="s">
        <v>33966</v>
      </c>
      <c r="L15546">
        <v>1214</v>
      </c>
      <c r="M15546" t="s">
        <v>17425</v>
      </c>
      <c r="N15546" t="s">
        <v>30</v>
      </c>
      <c r="O15546" t="s">
        <v>31</v>
      </c>
      <c r="P15546" t="str">
        <f>"15233"</f>
        <v>15233</v>
      </c>
    </row>
    <row r="15547" spans="1:16" x14ac:dyDescent="0.25">
      <c r="A15547" t="str">
        <f>"1210022L00182    00"</f>
        <v>1210022L00182    00</v>
      </c>
      <c r="B15547" t="s">
        <v>33940</v>
      </c>
      <c r="C15547" t="s">
        <v>34012</v>
      </c>
      <c r="E15547" t="s">
        <v>39</v>
      </c>
      <c r="F15547">
        <v>0</v>
      </c>
      <c r="G15547">
        <v>0</v>
      </c>
      <c r="H15547">
        <v>1</v>
      </c>
      <c r="I15547" s="3">
        <v>1488.3</v>
      </c>
      <c r="J15547" s="3">
        <v>0</v>
      </c>
      <c r="L15547">
        <v>461</v>
      </c>
      <c r="M15547" t="s">
        <v>3457</v>
      </c>
      <c r="N15547" t="s">
        <v>30</v>
      </c>
      <c r="O15547" t="s">
        <v>31</v>
      </c>
      <c r="P15547" t="str">
        <f>"15213"</f>
        <v>15213</v>
      </c>
    </row>
    <row r="15548" spans="1:16" x14ac:dyDescent="0.25">
      <c r="A15548" t="str">
        <f>"1210022L00183    00"</f>
        <v>1210022L00183    00</v>
      </c>
      <c r="B15548" t="s">
        <v>33940</v>
      </c>
      <c r="C15548" t="s">
        <v>34013</v>
      </c>
      <c r="E15548" t="s">
        <v>39</v>
      </c>
      <c r="F15548">
        <v>0</v>
      </c>
      <c r="G15548">
        <v>0</v>
      </c>
      <c r="H15548">
        <v>1</v>
      </c>
      <c r="I15548" s="3">
        <v>894.83</v>
      </c>
      <c r="J15548" s="3">
        <v>0</v>
      </c>
      <c r="L15548">
        <v>461</v>
      </c>
      <c r="M15548" t="s">
        <v>3457</v>
      </c>
      <c r="N15548" t="s">
        <v>30</v>
      </c>
      <c r="O15548" t="s">
        <v>31</v>
      </c>
      <c r="P15548" t="str">
        <f>"15213"</f>
        <v>15213</v>
      </c>
    </row>
    <row r="15549" spans="1:16" x14ac:dyDescent="0.25">
      <c r="A15549" t="str">
        <f>"1210022L00184A   00"</f>
        <v>1210022L00184A   00</v>
      </c>
      <c r="B15549" t="s">
        <v>34014</v>
      </c>
      <c r="C15549" t="s">
        <v>34015</v>
      </c>
      <c r="E15549" t="s">
        <v>39</v>
      </c>
      <c r="F15549">
        <v>0</v>
      </c>
      <c r="G15549">
        <v>0</v>
      </c>
      <c r="H15549">
        <v>10</v>
      </c>
      <c r="I15549" s="3">
        <v>460.61</v>
      </c>
      <c r="J15549" s="3">
        <v>646.47</v>
      </c>
      <c r="K15549" t="s">
        <v>34016</v>
      </c>
      <c r="L15549">
        <v>5003</v>
      </c>
      <c r="M15549" t="s">
        <v>34017</v>
      </c>
      <c r="N15549" t="s">
        <v>34018</v>
      </c>
      <c r="O15549" t="s">
        <v>370</v>
      </c>
      <c r="P15549" t="str">
        <f>"34786"</f>
        <v>34786</v>
      </c>
    </row>
    <row r="15550" spans="1:16" x14ac:dyDescent="0.25">
      <c r="A15550" t="str">
        <f>"1210022L00208    00"</f>
        <v>1210022L00208    00</v>
      </c>
      <c r="B15550" t="s">
        <v>34019</v>
      </c>
      <c r="C15550" t="s">
        <v>33963</v>
      </c>
      <c r="D15550" t="s">
        <v>20</v>
      </c>
      <c r="E15550" t="s">
        <v>39</v>
      </c>
      <c r="F15550">
        <v>0</v>
      </c>
      <c r="G15550">
        <v>0</v>
      </c>
      <c r="H15550">
        <v>11</v>
      </c>
      <c r="I15550" s="3">
        <v>120.21</v>
      </c>
      <c r="J15550" s="3">
        <v>95.51</v>
      </c>
      <c r="L15550">
        <v>220</v>
      </c>
      <c r="M15550" t="s">
        <v>34020</v>
      </c>
      <c r="N15550" t="s">
        <v>625</v>
      </c>
      <c r="O15550" t="s">
        <v>31</v>
      </c>
      <c r="P15550" t="str">
        <f>"15108"</f>
        <v>15108</v>
      </c>
    </row>
    <row r="15551" spans="1:16" x14ac:dyDescent="0.25">
      <c r="A15551" t="str">
        <f>"1210022L00209    00"</f>
        <v>1210022L00209    00</v>
      </c>
      <c r="B15551" t="s">
        <v>34021</v>
      </c>
      <c r="C15551" t="s">
        <v>34022</v>
      </c>
      <c r="D15551" t="s">
        <v>20</v>
      </c>
      <c r="E15551" t="s">
        <v>39</v>
      </c>
      <c r="F15551">
        <v>0</v>
      </c>
      <c r="G15551">
        <v>0</v>
      </c>
      <c r="H15551">
        <v>1</v>
      </c>
      <c r="I15551" s="3">
        <v>1450.48</v>
      </c>
      <c r="J15551" s="3">
        <v>0</v>
      </c>
      <c r="K15551" t="s">
        <v>34023</v>
      </c>
      <c r="L15551">
        <v>1321</v>
      </c>
      <c r="M15551" t="s">
        <v>17425</v>
      </c>
      <c r="N15551" t="s">
        <v>30</v>
      </c>
      <c r="O15551" t="s">
        <v>31</v>
      </c>
      <c r="P15551" t="str">
        <f t="shared" ref="P15551:P15556" si="202">"15233"</f>
        <v>15233</v>
      </c>
    </row>
    <row r="15552" spans="1:16" x14ac:dyDescent="0.25">
      <c r="A15552" t="str">
        <f>"1210022L00219    00"</f>
        <v>1210022L00219    00</v>
      </c>
      <c r="B15552" t="s">
        <v>34024</v>
      </c>
      <c r="C15552" t="s">
        <v>34025</v>
      </c>
      <c r="D15552" t="s">
        <v>20</v>
      </c>
      <c r="E15552" t="s">
        <v>39</v>
      </c>
      <c r="F15552">
        <v>0</v>
      </c>
      <c r="G15552">
        <v>0</v>
      </c>
      <c r="H15552">
        <v>1</v>
      </c>
      <c r="I15552" s="3">
        <v>2026.56</v>
      </c>
      <c r="J15552" s="3">
        <v>0</v>
      </c>
      <c r="L15552">
        <v>1110</v>
      </c>
      <c r="M15552" t="s">
        <v>17425</v>
      </c>
      <c r="N15552" t="s">
        <v>30</v>
      </c>
      <c r="O15552" t="s">
        <v>31</v>
      </c>
      <c r="P15552" t="str">
        <f t="shared" si="202"/>
        <v>15233</v>
      </c>
    </row>
    <row r="15553" spans="1:16" x14ac:dyDescent="0.25">
      <c r="A15553" t="str">
        <f>"1210022L00225    00"</f>
        <v>1210022L00225    00</v>
      </c>
      <c r="B15553" t="s">
        <v>33597</v>
      </c>
      <c r="C15553" t="s">
        <v>33963</v>
      </c>
      <c r="E15553" t="s">
        <v>39</v>
      </c>
      <c r="F15553">
        <v>0</v>
      </c>
      <c r="G15553">
        <v>0</v>
      </c>
      <c r="H15553">
        <v>1</v>
      </c>
      <c r="I15553" s="3">
        <v>22.87</v>
      </c>
      <c r="J15553" s="3">
        <v>0</v>
      </c>
      <c r="K15553" t="s">
        <v>33810</v>
      </c>
      <c r="L15553">
        <v>1319</v>
      </c>
      <c r="M15553" t="s">
        <v>33598</v>
      </c>
      <c r="N15553" t="s">
        <v>30</v>
      </c>
      <c r="O15553" t="s">
        <v>31</v>
      </c>
      <c r="P15553" t="str">
        <f t="shared" si="202"/>
        <v>15233</v>
      </c>
    </row>
    <row r="15554" spans="1:16" x14ac:dyDescent="0.25">
      <c r="A15554" t="str">
        <f>"1210022L00241    00"</f>
        <v>1210022L00241    00</v>
      </c>
      <c r="B15554" t="s">
        <v>34026</v>
      </c>
      <c r="C15554" t="s">
        <v>34015</v>
      </c>
      <c r="E15554" t="s">
        <v>39</v>
      </c>
      <c r="F15554">
        <v>0</v>
      </c>
      <c r="G15554">
        <v>0</v>
      </c>
      <c r="H15554">
        <v>2</v>
      </c>
      <c r="I15554" s="3">
        <v>36.299999999999997</v>
      </c>
      <c r="J15554" s="3">
        <v>28.58</v>
      </c>
      <c r="L15554">
        <v>1212</v>
      </c>
      <c r="M15554" t="s">
        <v>17425</v>
      </c>
      <c r="N15554" t="s">
        <v>30</v>
      </c>
      <c r="O15554" t="s">
        <v>31</v>
      </c>
      <c r="P15554" t="str">
        <f t="shared" si="202"/>
        <v>15233</v>
      </c>
    </row>
    <row r="15555" spans="1:16" x14ac:dyDescent="0.25">
      <c r="A15555" t="str">
        <f>"1210022L00244    00"</f>
        <v>1210022L00244    00</v>
      </c>
      <c r="B15555" t="s">
        <v>34027</v>
      </c>
      <c r="C15555" t="s">
        <v>34028</v>
      </c>
      <c r="E15555" t="s">
        <v>39</v>
      </c>
      <c r="F15555">
        <v>0</v>
      </c>
      <c r="G15555">
        <v>0</v>
      </c>
      <c r="H15555">
        <v>5</v>
      </c>
      <c r="I15555" s="3">
        <v>6257.01</v>
      </c>
      <c r="J15555" s="3">
        <v>3444.23</v>
      </c>
      <c r="L15555">
        <v>1210</v>
      </c>
      <c r="M15555" t="s">
        <v>17425</v>
      </c>
      <c r="N15555" t="s">
        <v>30</v>
      </c>
      <c r="O15555" t="s">
        <v>31</v>
      </c>
      <c r="P15555" t="str">
        <f t="shared" si="202"/>
        <v>15233</v>
      </c>
    </row>
    <row r="15556" spans="1:16" x14ac:dyDescent="0.25">
      <c r="A15556" t="str">
        <f>"1210022L00277    00"</f>
        <v>1210022L00277    00</v>
      </c>
      <c r="B15556" t="s">
        <v>944</v>
      </c>
      <c r="C15556" t="s">
        <v>34029</v>
      </c>
      <c r="E15556" t="s">
        <v>21</v>
      </c>
      <c r="F15556">
        <v>0</v>
      </c>
      <c r="G15556">
        <v>0</v>
      </c>
      <c r="H15556">
        <v>1</v>
      </c>
      <c r="I15556" s="3">
        <v>3658.56</v>
      </c>
      <c r="J15556" s="3">
        <v>2530.41</v>
      </c>
      <c r="L15556">
        <v>1205</v>
      </c>
      <c r="M15556" t="s">
        <v>17425</v>
      </c>
      <c r="N15556" t="s">
        <v>30</v>
      </c>
      <c r="O15556" t="s">
        <v>31</v>
      </c>
      <c r="P15556" t="str">
        <f t="shared" si="202"/>
        <v>15233</v>
      </c>
    </row>
    <row r="15557" spans="1:16" x14ac:dyDescent="0.25">
      <c r="A15557" t="str">
        <f>"1210022L00282    00"</f>
        <v>1210022L00282    00</v>
      </c>
      <c r="B15557" t="s">
        <v>34030</v>
      </c>
      <c r="C15557" t="s">
        <v>33757</v>
      </c>
      <c r="E15557" t="s">
        <v>39</v>
      </c>
      <c r="F15557">
        <v>0</v>
      </c>
      <c r="G15557">
        <v>0</v>
      </c>
      <c r="H15557">
        <v>1</v>
      </c>
      <c r="I15557" s="3">
        <v>51.1</v>
      </c>
      <c r="J15557" s="3">
        <v>0</v>
      </c>
      <c r="L15557">
        <v>2885</v>
      </c>
      <c r="M15557" t="s">
        <v>34031</v>
      </c>
      <c r="N15557" t="s">
        <v>34032</v>
      </c>
      <c r="O15557" t="s">
        <v>70</v>
      </c>
      <c r="P15557" t="str">
        <f>"49418"</f>
        <v>49418</v>
      </c>
    </row>
    <row r="15558" spans="1:16" x14ac:dyDescent="0.25">
      <c r="A15558" t="str">
        <f>"1210022L00282A   00"</f>
        <v>1210022L00282A   00</v>
      </c>
      <c r="B15558" t="s">
        <v>34033</v>
      </c>
      <c r="C15558" t="s">
        <v>34034</v>
      </c>
      <c r="E15558" t="s">
        <v>39</v>
      </c>
      <c r="F15558">
        <v>0</v>
      </c>
      <c r="G15558">
        <v>0</v>
      </c>
      <c r="H15558">
        <v>1</v>
      </c>
      <c r="I15558" s="3">
        <v>820.22</v>
      </c>
      <c r="J15558" s="3">
        <v>0</v>
      </c>
      <c r="L15558">
        <v>2885</v>
      </c>
      <c r="M15558" t="s">
        <v>34035</v>
      </c>
      <c r="N15558" t="s">
        <v>34032</v>
      </c>
      <c r="O15558" t="s">
        <v>70</v>
      </c>
      <c r="P15558" t="str">
        <f>"49418"</f>
        <v>49418</v>
      </c>
    </row>
    <row r="15559" spans="1:16" x14ac:dyDescent="0.25">
      <c r="A15559" t="str">
        <f>"1210022L00289    00"</f>
        <v>1210022L00289    00</v>
      </c>
      <c r="B15559" t="s">
        <v>34036</v>
      </c>
      <c r="C15559" t="s">
        <v>34037</v>
      </c>
      <c r="E15559" t="s">
        <v>39</v>
      </c>
      <c r="F15559">
        <v>0</v>
      </c>
      <c r="G15559">
        <v>0</v>
      </c>
      <c r="H15559">
        <v>8</v>
      </c>
      <c r="I15559" s="3">
        <v>6528.69</v>
      </c>
      <c r="J15559" s="3">
        <v>4837.32</v>
      </c>
      <c r="K15559" t="s">
        <v>1030</v>
      </c>
      <c r="M15559" t="s">
        <v>1031</v>
      </c>
      <c r="N15559" t="s">
        <v>1032</v>
      </c>
      <c r="O15559" t="s">
        <v>25</v>
      </c>
      <c r="P15559" t="str">
        <f>"44711"</f>
        <v>44711</v>
      </c>
    </row>
    <row r="15560" spans="1:16" x14ac:dyDescent="0.25">
      <c r="A15560" t="str">
        <f>"1210022L00298    00"</f>
        <v>1210022L00298    00</v>
      </c>
      <c r="B15560" t="s">
        <v>34038</v>
      </c>
      <c r="C15560" t="s">
        <v>34039</v>
      </c>
      <c r="D15560" t="s">
        <v>20</v>
      </c>
      <c r="E15560" t="s">
        <v>39</v>
      </c>
      <c r="F15560">
        <v>0</v>
      </c>
      <c r="G15560">
        <v>0</v>
      </c>
      <c r="H15560">
        <v>3</v>
      </c>
      <c r="I15560" s="3">
        <v>5478.1</v>
      </c>
      <c r="J15560" s="3">
        <v>30.88</v>
      </c>
      <c r="K15560" t="s">
        <v>5141</v>
      </c>
      <c r="L15560">
        <v>1</v>
      </c>
      <c r="M15560" t="s">
        <v>5142</v>
      </c>
      <c r="N15560" t="s">
        <v>5143</v>
      </c>
      <c r="O15560" t="s">
        <v>3486</v>
      </c>
      <c r="P15560" t="str">
        <f>"60047"</f>
        <v>60047</v>
      </c>
    </row>
    <row r="15561" spans="1:16" x14ac:dyDescent="0.25">
      <c r="A15561" t="str">
        <f>"1210022L00298B   00"</f>
        <v>1210022L00298B   00</v>
      </c>
      <c r="B15561" t="s">
        <v>33918</v>
      </c>
      <c r="C15561" t="s">
        <v>34040</v>
      </c>
      <c r="E15561" t="s">
        <v>39</v>
      </c>
      <c r="F15561">
        <v>0</v>
      </c>
      <c r="G15561">
        <v>0</v>
      </c>
      <c r="H15561">
        <v>3</v>
      </c>
      <c r="I15561" s="3">
        <v>130</v>
      </c>
      <c r="J15561" s="3">
        <v>87.73</v>
      </c>
      <c r="L15561">
        <v>1319</v>
      </c>
      <c r="M15561" t="s">
        <v>33598</v>
      </c>
      <c r="N15561" t="s">
        <v>30</v>
      </c>
      <c r="O15561" t="s">
        <v>31</v>
      </c>
      <c r="P15561" t="str">
        <f t="shared" ref="P15561:P15566" si="203">"15233"</f>
        <v>15233</v>
      </c>
    </row>
    <row r="15562" spans="1:16" x14ac:dyDescent="0.25">
      <c r="A15562" t="str">
        <f>"1210022L00299A   00"</f>
        <v>1210022L00299A   00</v>
      </c>
      <c r="B15562" t="s">
        <v>34041</v>
      </c>
      <c r="C15562" t="s">
        <v>34040</v>
      </c>
      <c r="D15562" t="s">
        <v>20</v>
      </c>
      <c r="E15562" t="s">
        <v>39</v>
      </c>
      <c r="F15562">
        <v>0</v>
      </c>
      <c r="G15562">
        <v>0</v>
      </c>
      <c r="H15562">
        <v>17</v>
      </c>
      <c r="I15562" s="3">
        <v>1703.38</v>
      </c>
      <c r="J15562" s="3">
        <v>1212.78</v>
      </c>
      <c r="L15562">
        <v>1102</v>
      </c>
      <c r="M15562" t="s">
        <v>34042</v>
      </c>
      <c r="N15562" t="s">
        <v>30</v>
      </c>
      <c r="O15562" t="s">
        <v>31</v>
      </c>
      <c r="P15562" t="str">
        <f t="shared" si="203"/>
        <v>15233</v>
      </c>
    </row>
    <row r="15563" spans="1:16" x14ac:dyDescent="0.25">
      <c r="A15563" t="str">
        <f>"1210022L00301    00"</f>
        <v>1210022L00301    00</v>
      </c>
      <c r="B15563" t="s">
        <v>34043</v>
      </c>
      <c r="C15563" t="s">
        <v>34044</v>
      </c>
      <c r="D15563" t="s">
        <v>20</v>
      </c>
      <c r="E15563" t="s">
        <v>39</v>
      </c>
      <c r="F15563">
        <v>0</v>
      </c>
      <c r="G15563">
        <v>0</v>
      </c>
      <c r="H15563">
        <v>3</v>
      </c>
      <c r="I15563" s="3">
        <v>830.92</v>
      </c>
      <c r="J15563" s="3">
        <v>49.03</v>
      </c>
      <c r="L15563">
        <v>1101</v>
      </c>
      <c r="M15563" t="s">
        <v>17425</v>
      </c>
      <c r="N15563" t="s">
        <v>30</v>
      </c>
      <c r="O15563" t="s">
        <v>31</v>
      </c>
      <c r="P15563" t="str">
        <f t="shared" si="203"/>
        <v>15233</v>
      </c>
    </row>
    <row r="15564" spans="1:16" x14ac:dyDescent="0.25">
      <c r="A15564" t="str">
        <f>"1210022L00302    00"</f>
        <v>1210022L00302    00</v>
      </c>
      <c r="B15564" t="s">
        <v>34045</v>
      </c>
      <c r="C15564" t="s">
        <v>34046</v>
      </c>
      <c r="D15564" t="s">
        <v>20</v>
      </c>
      <c r="E15564" t="s">
        <v>39</v>
      </c>
      <c r="F15564">
        <v>0</v>
      </c>
      <c r="G15564">
        <v>0</v>
      </c>
      <c r="H15564">
        <v>18</v>
      </c>
      <c r="I15564" s="3">
        <v>420.71</v>
      </c>
      <c r="J15564" s="3">
        <v>495.91</v>
      </c>
      <c r="L15564">
        <v>1101</v>
      </c>
      <c r="M15564" t="s">
        <v>17425</v>
      </c>
      <c r="N15564" t="s">
        <v>30</v>
      </c>
      <c r="O15564" t="s">
        <v>31</v>
      </c>
      <c r="P15564" t="str">
        <f t="shared" si="203"/>
        <v>15233</v>
      </c>
    </row>
    <row r="15565" spans="1:16" x14ac:dyDescent="0.25">
      <c r="A15565" t="str">
        <f>"1210022L00352000100"</f>
        <v>1210022L00352000100</v>
      </c>
      <c r="B15565" t="s">
        <v>34047</v>
      </c>
      <c r="C15565" t="s">
        <v>34048</v>
      </c>
      <c r="D15565" t="s">
        <v>20</v>
      </c>
      <c r="E15565" t="s">
        <v>39</v>
      </c>
      <c r="F15565">
        <v>0</v>
      </c>
      <c r="G15565">
        <v>0</v>
      </c>
      <c r="H15565">
        <v>9</v>
      </c>
      <c r="I15565" s="3">
        <v>14750.58</v>
      </c>
      <c r="J15565" s="3">
        <v>5227.07</v>
      </c>
      <c r="L15565">
        <v>1020</v>
      </c>
      <c r="M15565" t="s">
        <v>28159</v>
      </c>
      <c r="N15565" t="s">
        <v>30</v>
      </c>
      <c r="O15565" t="s">
        <v>31</v>
      </c>
      <c r="P15565" t="str">
        <f t="shared" si="203"/>
        <v>15233</v>
      </c>
    </row>
    <row r="15566" spans="1:16" x14ac:dyDescent="0.25">
      <c r="A15566" t="str">
        <f>"1210022L00353    00"</f>
        <v>1210022L00353    00</v>
      </c>
      <c r="B15566" t="s">
        <v>34049</v>
      </c>
      <c r="C15566" t="s">
        <v>34050</v>
      </c>
      <c r="D15566" t="s">
        <v>20</v>
      </c>
      <c r="E15566" t="s">
        <v>39</v>
      </c>
      <c r="F15566">
        <v>0</v>
      </c>
      <c r="G15566">
        <v>0</v>
      </c>
      <c r="H15566">
        <v>6</v>
      </c>
      <c r="I15566" s="3">
        <v>11496.56</v>
      </c>
      <c r="J15566" s="3">
        <v>2576.6799999999998</v>
      </c>
      <c r="L15566">
        <v>1022</v>
      </c>
      <c r="M15566" t="s">
        <v>28159</v>
      </c>
      <c r="N15566" t="s">
        <v>30</v>
      </c>
      <c r="O15566" t="s">
        <v>31</v>
      </c>
      <c r="P15566" t="str">
        <f t="shared" si="203"/>
        <v>15233</v>
      </c>
    </row>
    <row r="15567" spans="1:16" x14ac:dyDescent="0.25">
      <c r="A15567" t="str">
        <f>"1210022L00355    00"</f>
        <v>1210022L00355    00</v>
      </c>
      <c r="B15567" t="s">
        <v>34051</v>
      </c>
      <c r="C15567" t="s">
        <v>34052</v>
      </c>
      <c r="D15567" t="s">
        <v>20</v>
      </c>
      <c r="E15567" t="s">
        <v>39</v>
      </c>
      <c r="F15567">
        <v>0</v>
      </c>
      <c r="G15567">
        <v>0</v>
      </c>
      <c r="H15567">
        <v>2</v>
      </c>
      <c r="I15567" s="3">
        <v>3506.08</v>
      </c>
      <c r="J15567" s="3">
        <v>0</v>
      </c>
      <c r="K15567" t="s">
        <v>34053</v>
      </c>
      <c r="L15567">
        <v>6100</v>
      </c>
      <c r="M15567" t="s">
        <v>9949</v>
      </c>
      <c r="N15567" t="s">
        <v>34054</v>
      </c>
      <c r="O15567" t="s">
        <v>2097</v>
      </c>
      <c r="P15567" t="str">
        <f>"37063"</f>
        <v>37063</v>
      </c>
    </row>
    <row r="15568" spans="1:16" x14ac:dyDescent="0.25">
      <c r="A15568" t="str">
        <f>"1210022P00016    00"</f>
        <v>1210022P00016    00</v>
      </c>
      <c r="B15568" t="s">
        <v>34055</v>
      </c>
      <c r="C15568" t="s">
        <v>33963</v>
      </c>
      <c r="D15568" t="s">
        <v>20</v>
      </c>
      <c r="E15568" t="s">
        <v>39</v>
      </c>
      <c r="F15568">
        <v>0</v>
      </c>
      <c r="G15568">
        <v>0</v>
      </c>
      <c r="H15568">
        <v>2</v>
      </c>
      <c r="I15568" s="3">
        <v>448.46</v>
      </c>
      <c r="J15568" s="3">
        <v>0</v>
      </c>
      <c r="K15568" t="s">
        <v>1030</v>
      </c>
      <c r="M15568" t="s">
        <v>1031</v>
      </c>
      <c r="N15568" t="s">
        <v>1032</v>
      </c>
      <c r="O15568" t="s">
        <v>25</v>
      </c>
      <c r="P15568" t="str">
        <f>"44711"</f>
        <v>44711</v>
      </c>
    </row>
    <row r="15569" spans="1:16" x14ac:dyDescent="0.25">
      <c r="A15569" t="str">
        <f>"1210022P00017    00"</f>
        <v>1210022P00017    00</v>
      </c>
      <c r="B15569" t="s">
        <v>34055</v>
      </c>
      <c r="C15569" t="s">
        <v>34056</v>
      </c>
      <c r="D15569" t="s">
        <v>20</v>
      </c>
      <c r="E15569" t="s">
        <v>39</v>
      </c>
      <c r="F15569">
        <v>0</v>
      </c>
      <c r="G15569">
        <v>0</v>
      </c>
      <c r="H15569">
        <v>2</v>
      </c>
      <c r="I15569" s="3">
        <v>2115.5</v>
      </c>
      <c r="J15569" s="3">
        <v>0</v>
      </c>
      <c r="L15569">
        <v>1416</v>
      </c>
      <c r="M15569" t="s">
        <v>17425</v>
      </c>
      <c r="N15569" t="s">
        <v>30</v>
      </c>
      <c r="O15569" t="s">
        <v>31</v>
      </c>
      <c r="P15569" t="str">
        <f>"15233"</f>
        <v>15233</v>
      </c>
    </row>
    <row r="15570" spans="1:16" x14ac:dyDescent="0.25">
      <c r="A15570" t="str">
        <f>"1210022P00019    00"</f>
        <v>1210022P00019    00</v>
      </c>
      <c r="B15570" t="s">
        <v>34057</v>
      </c>
      <c r="C15570" t="s">
        <v>34058</v>
      </c>
      <c r="D15570" t="s">
        <v>20</v>
      </c>
      <c r="E15570" t="s">
        <v>39</v>
      </c>
      <c r="F15570">
        <v>0</v>
      </c>
      <c r="G15570">
        <v>0</v>
      </c>
      <c r="H15570">
        <v>2</v>
      </c>
      <c r="I15570" s="3">
        <v>2509.04</v>
      </c>
      <c r="J15570" s="3">
        <v>0</v>
      </c>
      <c r="L15570">
        <v>500</v>
      </c>
      <c r="M15570" t="s">
        <v>34059</v>
      </c>
      <c r="N15570" t="s">
        <v>903</v>
      </c>
      <c r="O15570" t="s">
        <v>31</v>
      </c>
      <c r="P15570" t="str">
        <f>"15136"</f>
        <v>15136</v>
      </c>
    </row>
    <row r="15571" spans="1:16" x14ac:dyDescent="0.25">
      <c r="A15571" t="str">
        <f>"1210022P00020    00"</f>
        <v>1210022P00020    00</v>
      </c>
      <c r="B15571" t="s">
        <v>34060</v>
      </c>
      <c r="C15571" t="s">
        <v>33963</v>
      </c>
      <c r="D15571" t="s">
        <v>20</v>
      </c>
      <c r="E15571" t="s">
        <v>39</v>
      </c>
      <c r="F15571">
        <v>0</v>
      </c>
      <c r="G15571">
        <v>0</v>
      </c>
      <c r="H15571">
        <v>19</v>
      </c>
      <c r="I15571" s="3">
        <v>4083.38</v>
      </c>
      <c r="J15571" s="3">
        <v>2465.08</v>
      </c>
      <c r="L15571">
        <v>1404</v>
      </c>
      <c r="M15571" t="s">
        <v>17425</v>
      </c>
      <c r="N15571" t="s">
        <v>30</v>
      </c>
      <c r="O15571" t="s">
        <v>31</v>
      </c>
      <c r="P15571" t="str">
        <f t="shared" ref="P15571:P15576" si="204">"15233"</f>
        <v>15233</v>
      </c>
    </row>
    <row r="15572" spans="1:16" x14ac:dyDescent="0.25">
      <c r="A15572" t="str">
        <f>"1210022P00030    00"</f>
        <v>1210022P00030    00</v>
      </c>
      <c r="B15572" t="s">
        <v>34061</v>
      </c>
      <c r="C15572" t="s">
        <v>33963</v>
      </c>
      <c r="D15572" t="s">
        <v>20</v>
      </c>
      <c r="E15572" t="s">
        <v>39</v>
      </c>
      <c r="F15572">
        <v>0</v>
      </c>
      <c r="G15572">
        <v>0</v>
      </c>
      <c r="H15572">
        <v>7</v>
      </c>
      <c r="I15572" s="3">
        <v>637.04</v>
      </c>
      <c r="J15572" s="3">
        <v>178.42</v>
      </c>
      <c r="L15572">
        <v>1243</v>
      </c>
      <c r="M15572" t="s">
        <v>17425</v>
      </c>
      <c r="N15572" t="s">
        <v>30</v>
      </c>
      <c r="O15572" t="s">
        <v>31</v>
      </c>
      <c r="P15572" t="str">
        <f t="shared" si="204"/>
        <v>15233</v>
      </c>
    </row>
    <row r="15573" spans="1:16" x14ac:dyDescent="0.25">
      <c r="A15573" t="str">
        <f>"1210022P00034    00"</f>
        <v>1210022P00034    00</v>
      </c>
      <c r="B15573" t="s">
        <v>34062</v>
      </c>
      <c r="C15573" t="s">
        <v>34063</v>
      </c>
      <c r="D15573" t="s">
        <v>20</v>
      </c>
      <c r="E15573" t="s">
        <v>39</v>
      </c>
      <c r="F15573">
        <v>0</v>
      </c>
      <c r="G15573">
        <v>0</v>
      </c>
      <c r="H15573">
        <v>9</v>
      </c>
      <c r="I15573" s="3">
        <v>14637.92</v>
      </c>
      <c r="J15573" s="3">
        <v>5719.81</v>
      </c>
      <c r="K15573" t="s">
        <v>34064</v>
      </c>
      <c r="L15573">
        <v>1253</v>
      </c>
      <c r="M15573" t="s">
        <v>17425</v>
      </c>
      <c r="N15573" t="s">
        <v>30</v>
      </c>
      <c r="O15573" t="s">
        <v>31</v>
      </c>
      <c r="P15573" t="str">
        <f t="shared" si="204"/>
        <v>15233</v>
      </c>
    </row>
    <row r="15574" spans="1:16" x14ac:dyDescent="0.25">
      <c r="A15574" t="str">
        <f>"1210022P00046    00"</f>
        <v>1210022P00046    00</v>
      </c>
      <c r="B15574" t="s">
        <v>34065</v>
      </c>
      <c r="C15574" t="s">
        <v>34066</v>
      </c>
      <c r="E15574" t="s">
        <v>39</v>
      </c>
      <c r="F15574">
        <v>0</v>
      </c>
      <c r="G15574">
        <v>0</v>
      </c>
      <c r="H15574">
        <v>1</v>
      </c>
      <c r="I15574" s="3">
        <v>509.89</v>
      </c>
      <c r="J15574" s="3">
        <v>101.98</v>
      </c>
      <c r="L15574">
        <v>1307</v>
      </c>
      <c r="M15574" t="s">
        <v>17425</v>
      </c>
      <c r="N15574" t="s">
        <v>30</v>
      </c>
      <c r="O15574" t="s">
        <v>31</v>
      </c>
      <c r="P15574" t="str">
        <f t="shared" si="204"/>
        <v>15233</v>
      </c>
    </row>
    <row r="15575" spans="1:16" x14ac:dyDescent="0.25">
      <c r="A15575" t="str">
        <f>"1210022P00056    00"</f>
        <v>1210022P00056    00</v>
      </c>
      <c r="B15575" t="s">
        <v>34067</v>
      </c>
      <c r="C15575" t="s">
        <v>34068</v>
      </c>
      <c r="D15575" t="s">
        <v>7100</v>
      </c>
      <c r="E15575" t="s">
        <v>39</v>
      </c>
      <c r="F15575">
        <v>0</v>
      </c>
      <c r="G15575">
        <v>0</v>
      </c>
      <c r="H15575">
        <v>1</v>
      </c>
      <c r="I15575" s="3">
        <v>1646.65</v>
      </c>
      <c r="J15575" s="3">
        <v>0</v>
      </c>
      <c r="L15575">
        <v>1323</v>
      </c>
      <c r="M15575" t="s">
        <v>17425</v>
      </c>
      <c r="N15575" t="s">
        <v>30</v>
      </c>
      <c r="O15575" t="s">
        <v>31</v>
      </c>
      <c r="P15575" t="str">
        <f t="shared" si="204"/>
        <v>15233</v>
      </c>
    </row>
    <row r="15576" spans="1:16" x14ac:dyDescent="0.25">
      <c r="A15576" t="str">
        <f>"1210022P00064    00"</f>
        <v>1210022P00064    00</v>
      </c>
      <c r="B15576" t="s">
        <v>34069</v>
      </c>
      <c r="C15576" t="s">
        <v>34070</v>
      </c>
      <c r="D15576" t="s">
        <v>20</v>
      </c>
      <c r="E15576" t="s">
        <v>39</v>
      </c>
      <c r="F15576">
        <v>0</v>
      </c>
      <c r="G15576">
        <v>0</v>
      </c>
      <c r="H15576">
        <v>1</v>
      </c>
      <c r="I15576" s="3">
        <v>1000</v>
      </c>
      <c r="J15576" s="3">
        <v>0</v>
      </c>
      <c r="K15576" t="s">
        <v>34071</v>
      </c>
      <c r="L15576">
        <v>1403</v>
      </c>
      <c r="M15576" t="s">
        <v>17425</v>
      </c>
      <c r="N15576" t="s">
        <v>30</v>
      </c>
      <c r="O15576" t="s">
        <v>31</v>
      </c>
      <c r="P15576" t="str">
        <f t="shared" si="204"/>
        <v>15233</v>
      </c>
    </row>
    <row r="15577" spans="1:16" x14ac:dyDescent="0.25">
      <c r="A15577" t="str">
        <f>"1210022P00083    00"</f>
        <v>1210022P00083    00</v>
      </c>
      <c r="B15577" t="s">
        <v>34072</v>
      </c>
      <c r="C15577" t="s">
        <v>34073</v>
      </c>
      <c r="D15577" t="s">
        <v>20</v>
      </c>
      <c r="E15577" t="s">
        <v>39</v>
      </c>
      <c r="F15577">
        <v>0</v>
      </c>
      <c r="G15577">
        <v>0</v>
      </c>
      <c r="H15577">
        <v>1</v>
      </c>
      <c r="I15577" s="3">
        <v>1673.47</v>
      </c>
      <c r="J15577" s="3">
        <v>0</v>
      </c>
      <c r="K15577" t="s">
        <v>710</v>
      </c>
      <c r="L15577">
        <v>4140</v>
      </c>
      <c r="M15577" t="s">
        <v>711</v>
      </c>
      <c r="N15577" t="s">
        <v>712</v>
      </c>
      <c r="O15577" t="s">
        <v>31</v>
      </c>
      <c r="P15577" t="str">
        <f>"16148"</f>
        <v>16148</v>
      </c>
    </row>
    <row r="15578" spans="1:16" x14ac:dyDescent="0.25">
      <c r="A15578" t="str">
        <f>"1210022P00086    00"</f>
        <v>1210022P00086    00</v>
      </c>
      <c r="B15578" t="s">
        <v>34074</v>
      </c>
      <c r="C15578" t="s">
        <v>33761</v>
      </c>
      <c r="D15578" t="s">
        <v>20</v>
      </c>
      <c r="E15578" t="s">
        <v>39</v>
      </c>
      <c r="F15578">
        <v>0</v>
      </c>
      <c r="G15578">
        <v>0</v>
      </c>
      <c r="H15578">
        <v>17</v>
      </c>
      <c r="I15578" s="3">
        <v>492.41</v>
      </c>
      <c r="J15578" s="3">
        <v>643.91999999999996</v>
      </c>
      <c r="K15578" t="s">
        <v>3450</v>
      </c>
      <c r="M15578" t="s">
        <v>34075</v>
      </c>
      <c r="N15578" t="s">
        <v>30</v>
      </c>
      <c r="O15578" t="s">
        <v>31</v>
      </c>
      <c r="P15578" t="str">
        <f>"15233"</f>
        <v>15233</v>
      </c>
    </row>
    <row r="15579" spans="1:16" x14ac:dyDescent="0.25">
      <c r="A15579" t="str">
        <f>"1210022P00107    00"</f>
        <v>1210022P00107    00</v>
      </c>
      <c r="B15579" t="s">
        <v>34076</v>
      </c>
      <c r="C15579" t="s">
        <v>34077</v>
      </c>
      <c r="D15579" t="s">
        <v>20</v>
      </c>
      <c r="E15579" t="s">
        <v>39</v>
      </c>
      <c r="F15579">
        <v>0</v>
      </c>
      <c r="G15579">
        <v>0</v>
      </c>
      <c r="H15579">
        <v>17</v>
      </c>
      <c r="I15579" s="3">
        <v>1817.78</v>
      </c>
      <c r="J15579" s="3">
        <v>2537.08</v>
      </c>
      <c r="M15579" t="s">
        <v>30136</v>
      </c>
      <c r="N15579" t="s">
        <v>30</v>
      </c>
      <c r="O15579" t="s">
        <v>31</v>
      </c>
      <c r="P15579" t="str">
        <f>"15212"</f>
        <v>15212</v>
      </c>
    </row>
    <row r="15580" spans="1:16" x14ac:dyDescent="0.25">
      <c r="A15580" t="str">
        <f>"1210022P00118    00"</f>
        <v>1210022P00118    00</v>
      </c>
      <c r="B15580" t="s">
        <v>34078</v>
      </c>
      <c r="C15580" t="s">
        <v>34079</v>
      </c>
      <c r="E15580" t="s">
        <v>39</v>
      </c>
      <c r="F15580">
        <v>0</v>
      </c>
      <c r="G15580">
        <v>0</v>
      </c>
      <c r="H15580">
        <v>2</v>
      </c>
      <c r="I15580" s="3">
        <v>4765</v>
      </c>
      <c r="J15580" s="3">
        <v>238.24</v>
      </c>
      <c r="K15580" t="s">
        <v>557</v>
      </c>
      <c r="L15580">
        <v>3001</v>
      </c>
      <c r="M15580" t="s">
        <v>330</v>
      </c>
      <c r="N15580" t="s">
        <v>331</v>
      </c>
      <c r="O15580" t="s">
        <v>108</v>
      </c>
      <c r="P15580" t="str">
        <f>"75063"</f>
        <v>75063</v>
      </c>
    </row>
    <row r="15581" spans="1:16" x14ac:dyDescent="0.25">
      <c r="A15581" t="str">
        <f>"1210022P00124    00"</f>
        <v>1210022P00124    00</v>
      </c>
      <c r="B15581" t="s">
        <v>34080</v>
      </c>
      <c r="C15581" t="s">
        <v>34081</v>
      </c>
      <c r="D15581" t="s">
        <v>20</v>
      </c>
      <c r="E15581" t="s">
        <v>39</v>
      </c>
      <c r="F15581">
        <v>0</v>
      </c>
      <c r="G15581">
        <v>0</v>
      </c>
      <c r="H15581">
        <v>4</v>
      </c>
      <c r="I15581" s="3">
        <v>27924.95</v>
      </c>
      <c r="J15581" s="3">
        <v>3180</v>
      </c>
      <c r="K15581" t="s">
        <v>34082</v>
      </c>
      <c r="L15581">
        <v>43</v>
      </c>
      <c r="M15581" t="s">
        <v>34083</v>
      </c>
      <c r="N15581" t="s">
        <v>1210</v>
      </c>
      <c r="O15581" t="s">
        <v>495</v>
      </c>
      <c r="P15581" t="str">
        <f>"94103"</f>
        <v>94103</v>
      </c>
    </row>
    <row r="15582" spans="1:16" x14ac:dyDescent="0.25">
      <c r="A15582" t="str">
        <f>"1210022P00147    00"</f>
        <v>1210022P00147    00</v>
      </c>
      <c r="B15582" t="s">
        <v>34084</v>
      </c>
      <c r="C15582" t="s">
        <v>34085</v>
      </c>
      <c r="E15582" t="s">
        <v>39</v>
      </c>
      <c r="F15582">
        <v>0</v>
      </c>
      <c r="G15582">
        <v>0</v>
      </c>
      <c r="H15582">
        <v>2</v>
      </c>
      <c r="I15582" s="3">
        <v>4510.8</v>
      </c>
      <c r="J15582" s="3">
        <v>3366.47</v>
      </c>
      <c r="K15582" t="s">
        <v>34086</v>
      </c>
      <c r="L15582">
        <v>7313</v>
      </c>
      <c r="M15582" t="s">
        <v>34087</v>
      </c>
      <c r="N15582" t="s">
        <v>34088</v>
      </c>
      <c r="O15582" t="s">
        <v>606</v>
      </c>
      <c r="P15582" t="str">
        <f>"30213"</f>
        <v>30213</v>
      </c>
    </row>
    <row r="15583" spans="1:16" x14ac:dyDescent="0.25">
      <c r="A15583" t="str">
        <f>"1210022P00150    00"</f>
        <v>1210022P00150    00</v>
      </c>
      <c r="B15583" t="s">
        <v>944</v>
      </c>
      <c r="C15583" t="s">
        <v>34089</v>
      </c>
      <c r="E15583" t="s">
        <v>39</v>
      </c>
      <c r="F15583">
        <v>0</v>
      </c>
      <c r="G15583">
        <v>0</v>
      </c>
      <c r="H15583">
        <v>1</v>
      </c>
      <c r="I15583" s="3">
        <v>186.72</v>
      </c>
      <c r="J15583" s="3">
        <v>277.02</v>
      </c>
      <c r="L15583">
        <v>200</v>
      </c>
      <c r="M15583" t="s">
        <v>946</v>
      </c>
      <c r="N15583" t="s">
        <v>30</v>
      </c>
      <c r="O15583" t="s">
        <v>31</v>
      </c>
      <c r="P15583" t="str">
        <f>"15219"</f>
        <v>15219</v>
      </c>
    </row>
    <row r="15584" spans="1:16" x14ac:dyDescent="0.25">
      <c r="A15584" t="str">
        <f>"1210022P00151    00"</f>
        <v>1210022P00151    00</v>
      </c>
      <c r="B15584" t="s">
        <v>944</v>
      </c>
      <c r="C15584" t="s">
        <v>34090</v>
      </c>
      <c r="E15584" t="s">
        <v>39</v>
      </c>
      <c r="F15584">
        <v>0</v>
      </c>
      <c r="G15584">
        <v>0</v>
      </c>
      <c r="H15584">
        <v>1</v>
      </c>
      <c r="I15584" s="3">
        <v>186.72</v>
      </c>
      <c r="J15584" s="3">
        <v>277.02</v>
      </c>
      <c r="L15584">
        <v>200</v>
      </c>
      <c r="M15584" t="s">
        <v>946</v>
      </c>
      <c r="N15584" t="s">
        <v>30</v>
      </c>
      <c r="O15584" t="s">
        <v>31</v>
      </c>
      <c r="P15584" t="str">
        <f>"15219"</f>
        <v>15219</v>
      </c>
    </row>
    <row r="15585" spans="1:16" x14ac:dyDescent="0.25">
      <c r="A15585" t="str">
        <f>"1210022P00152    00"</f>
        <v>1210022P00152    00</v>
      </c>
      <c r="B15585" t="s">
        <v>944</v>
      </c>
      <c r="C15585" t="s">
        <v>34091</v>
      </c>
      <c r="E15585" t="s">
        <v>39</v>
      </c>
      <c r="F15585">
        <v>0</v>
      </c>
      <c r="G15585">
        <v>0</v>
      </c>
      <c r="H15585">
        <v>1</v>
      </c>
      <c r="I15585" s="3">
        <v>2496.7199999999998</v>
      </c>
      <c r="J15585" s="3">
        <v>1726.83</v>
      </c>
      <c r="K15585" t="s">
        <v>33528</v>
      </c>
      <c r="L15585">
        <v>200</v>
      </c>
      <c r="M15585" t="s">
        <v>33529</v>
      </c>
      <c r="N15585" t="s">
        <v>30</v>
      </c>
      <c r="O15585" t="s">
        <v>31</v>
      </c>
      <c r="P15585" t="str">
        <f>"15219"</f>
        <v>15219</v>
      </c>
    </row>
    <row r="15586" spans="1:16" x14ac:dyDescent="0.25">
      <c r="A15586" t="str">
        <f>"1210022P00154    00"</f>
        <v>1210022P00154    00</v>
      </c>
      <c r="B15586" t="s">
        <v>944</v>
      </c>
      <c r="C15586" t="s">
        <v>34092</v>
      </c>
      <c r="E15586" t="s">
        <v>39</v>
      </c>
      <c r="F15586">
        <v>0</v>
      </c>
      <c r="G15586">
        <v>0</v>
      </c>
      <c r="H15586">
        <v>1</v>
      </c>
      <c r="I15586" s="3">
        <v>2402.81</v>
      </c>
      <c r="J15586" s="3">
        <v>1761.86</v>
      </c>
      <c r="K15586" t="s">
        <v>33528</v>
      </c>
      <c r="L15586">
        <v>200</v>
      </c>
      <c r="M15586" t="s">
        <v>33529</v>
      </c>
      <c r="N15586" t="s">
        <v>30</v>
      </c>
      <c r="O15586" t="s">
        <v>31</v>
      </c>
      <c r="P15586" t="str">
        <f>"15219"</f>
        <v>15219</v>
      </c>
    </row>
    <row r="15587" spans="1:16" x14ac:dyDescent="0.25">
      <c r="A15587" t="str">
        <f>"1210022P00156    00"</f>
        <v>1210022P00156    00</v>
      </c>
      <c r="B15587" t="s">
        <v>34093</v>
      </c>
      <c r="C15587" t="s">
        <v>34094</v>
      </c>
      <c r="D15587" t="s">
        <v>20</v>
      </c>
      <c r="E15587" t="s">
        <v>39</v>
      </c>
      <c r="F15587">
        <v>0</v>
      </c>
      <c r="G15587">
        <v>0</v>
      </c>
      <c r="H15587">
        <v>1</v>
      </c>
      <c r="I15587" s="3">
        <v>334.83</v>
      </c>
      <c r="J15587" s="3">
        <v>0</v>
      </c>
      <c r="K15587" t="s">
        <v>34095</v>
      </c>
      <c r="L15587">
        <v>7740</v>
      </c>
      <c r="M15587" t="s">
        <v>34096</v>
      </c>
      <c r="N15587" t="s">
        <v>34097</v>
      </c>
      <c r="O15587" t="s">
        <v>31</v>
      </c>
      <c r="P15587" t="str">
        <f>"17036"</f>
        <v>17036</v>
      </c>
    </row>
    <row r="15588" spans="1:16" x14ac:dyDescent="0.25">
      <c r="A15588" t="str">
        <f>"1210022P00157    00"</f>
        <v>1210022P00157    00</v>
      </c>
      <c r="B15588" t="s">
        <v>34098</v>
      </c>
      <c r="C15588" t="s">
        <v>34099</v>
      </c>
      <c r="E15588" t="s">
        <v>39</v>
      </c>
      <c r="F15588">
        <v>0</v>
      </c>
      <c r="G15588">
        <v>0</v>
      </c>
      <c r="H15588">
        <v>2</v>
      </c>
      <c r="I15588" s="3">
        <v>1275.28</v>
      </c>
      <c r="J15588" s="3">
        <v>136.38999999999999</v>
      </c>
      <c r="K15588" t="s">
        <v>710</v>
      </c>
      <c r="L15588">
        <v>4140</v>
      </c>
      <c r="M15588" t="s">
        <v>711</v>
      </c>
      <c r="N15588" t="s">
        <v>712</v>
      </c>
      <c r="O15588" t="s">
        <v>31</v>
      </c>
      <c r="P15588" t="str">
        <f>"16148"</f>
        <v>16148</v>
      </c>
    </row>
    <row r="15589" spans="1:16" x14ac:dyDescent="0.25">
      <c r="A15589" t="str">
        <f>"1210022P00157B   00"</f>
        <v>1210022P00157B   00</v>
      </c>
      <c r="B15589" t="s">
        <v>34100</v>
      </c>
      <c r="C15589" t="s">
        <v>34101</v>
      </c>
      <c r="D15589" t="s">
        <v>20</v>
      </c>
      <c r="E15589" t="s">
        <v>39</v>
      </c>
      <c r="F15589">
        <v>0</v>
      </c>
      <c r="G15589">
        <v>0</v>
      </c>
      <c r="H15589">
        <v>6</v>
      </c>
      <c r="I15589" s="3">
        <v>3026.92</v>
      </c>
      <c r="J15589" s="3">
        <v>868.49</v>
      </c>
      <c r="L15589">
        <v>1311</v>
      </c>
      <c r="M15589" t="s">
        <v>28159</v>
      </c>
      <c r="N15589" t="s">
        <v>30</v>
      </c>
      <c r="O15589" t="s">
        <v>31</v>
      </c>
      <c r="P15589" t="str">
        <f>"15233"</f>
        <v>15233</v>
      </c>
    </row>
    <row r="15590" spans="1:16" x14ac:dyDescent="0.25">
      <c r="A15590" t="str">
        <f>"1210022P00159    00"</f>
        <v>1210022P00159    00</v>
      </c>
      <c r="B15590" t="s">
        <v>944</v>
      </c>
      <c r="C15590" t="s">
        <v>34089</v>
      </c>
      <c r="E15590" t="s">
        <v>39</v>
      </c>
      <c r="F15590">
        <v>0</v>
      </c>
      <c r="G15590">
        <v>0</v>
      </c>
      <c r="H15590">
        <v>1</v>
      </c>
      <c r="I15590" s="3">
        <v>196.54</v>
      </c>
      <c r="J15590" s="3">
        <v>291.60000000000002</v>
      </c>
      <c r="L15590">
        <v>200</v>
      </c>
      <c r="M15590" t="s">
        <v>946</v>
      </c>
      <c r="N15590" t="s">
        <v>30</v>
      </c>
      <c r="O15590" t="s">
        <v>31</v>
      </c>
      <c r="P15590" t="str">
        <f>"15219"</f>
        <v>15219</v>
      </c>
    </row>
    <row r="15591" spans="1:16" x14ac:dyDescent="0.25">
      <c r="A15591" t="str">
        <f>"1210022P00162    00"</f>
        <v>1210022P00162    00</v>
      </c>
      <c r="B15591" t="s">
        <v>34102</v>
      </c>
      <c r="C15591" t="s">
        <v>34103</v>
      </c>
      <c r="E15591" t="s">
        <v>39</v>
      </c>
      <c r="F15591">
        <v>0</v>
      </c>
      <c r="G15591">
        <v>0</v>
      </c>
      <c r="H15591">
        <v>8</v>
      </c>
      <c r="I15591" s="3">
        <v>37190.75</v>
      </c>
      <c r="J15591" s="3">
        <v>44732.42</v>
      </c>
      <c r="L15591">
        <v>200</v>
      </c>
      <c r="M15591" t="s">
        <v>946</v>
      </c>
      <c r="N15591" t="s">
        <v>30</v>
      </c>
      <c r="O15591" t="s">
        <v>31</v>
      </c>
      <c r="P15591" t="str">
        <f>"15219"</f>
        <v>15219</v>
      </c>
    </row>
    <row r="15592" spans="1:16" x14ac:dyDescent="0.25">
      <c r="A15592" t="str">
        <f>"1210022P00163    00"</f>
        <v>1210022P00163    00</v>
      </c>
      <c r="B15592" t="s">
        <v>944</v>
      </c>
      <c r="C15592" t="s">
        <v>34104</v>
      </c>
      <c r="E15592" t="s">
        <v>39</v>
      </c>
      <c r="F15592">
        <v>0</v>
      </c>
      <c r="G15592">
        <v>0</v>
      </c>
      <c r="H15592">
        <v>1</v>
      </c>
      <c r="I15592" s="3">
        <v>58.96</v>
      </c>
      <c r="J15592" s="3">
        <v>87.48</v>
      </c>
      <c r="L15592">
        <v>200</v>
      </c>
      <c r="M15592" t="s">
        <v>946</v>
      </c>
      <c r="N15592" t="s">
        <v>30</v>
      </c>
      <c r="O15592" t="s">
        <v>31</v>
      </c>
      <c r="P15592" t="str">
        <f>"15219"</f>
        <v>15219</v>
      </c>
    </row>
    <row r="15593" spans="1:16" x14ac:dyDescent="0.25">
      <c r="A15593" t="str">
        <f>"1210022P00167    00"</f>
        <v>1210022P00167    00</v>
      </c>
      <c r="B15593" t="s">
        <v>34105</v>
      </c>
      <c r="C15593" t="s">
        <v>34106</v>
      </c>
      <c r="D15593" t="s">
        <v>20</v>
      </c>
      <c r="E15593" t="s">
        <v>21</v>
      </c>
      <c r="F15593">
        <v>0</v>
      </c>
      <c r="G15593">
        <v>0</v>
      </c>
      <c r="H15593">
        <v>2</v>
      </c>
      <c r="I15593" s="3">
        <v>762.4</v>
      </c>
      <c r="J15593" s="3">
        <v>0</v>
      </c>
      <c r="L15593">
        <v>461</v>
      </c>
      <c r="M15593" t="s">
        <v>3457</v>
      </c>
      <c r="N15593" t="s">
        <v>30</v>
      </c>
      <c r="O15593" t="s">
        <v>31</v>
      </c>
      <c r="P15593" t="str">
        <f>"15213"</f>
        <v>15213</v>
      </c>
    </row>
    <row r="15594" spans="1:16" x14ac:dyDescent="0.25">
      <c r="A15594" t="str">
        <f>"1210022P00168    00"</f>
        <v>1210022P00168    00</v>
      </c>
      <c r="B15594" t="s">
        <v>34105</v>
      </c>
      <c r="C15594" t="s">
        <v>34107</v>
      </c>
      <c r="D15594" t="s">
        <v>20</v>
      </c>
      <c r="E15594" t="s">
        <v>21</v>
      </c>
      <c r="F15594">
        <v>0</v>
      </c>
      <c r="G15594">
        <v>0</v>
      </c>
      <c r="H15594">
        <v>2</v>
      </c>
      <c r="I15594" s="3">
        <v>777.64</v>
      </c>
      <c r="J15594" s="3">
        <v>0</v>
      </c>
      <c r="L15594">
        <v>461</v>
      </c>
      <c r="M15594" t="s">
        <v>3457</v>
      </c>
      <c r="N15594" t="s">
        <v>30</v>
      </c>
      <c r="O15594" t="s">
        <v>31</v>
      </c>
      <c r="P15594" t="str">
        <f>"15213"</f>
        <v>15213</v>
      </c>
    </row>
    <row r="15595" spans="1:16" x14ac:dyDescent="0.25">
      <c r="A15595" t="str">
        <f>"1210022P00169    00"</f>
        <v>1210022P00169    00</v>
      </c>
      <c r="B15595" t="s">
        <v>34105</v>
      </c>
      <c r="C15595" t="s">
        <v>34107</v>
      </c>
      <c r="D15595" t="s">
        <v>20</v>
      </c>
      <c r="E15595" t="s">
        <v>21</v>
      </c>
      <c r="F15595">
        <v>0</v>
      </c>
      <c r="G15595">
        <v>0</v>
      </c>
      <c r="H15595">
        <v>2</v>
      </c>
      <c r="I15595" s="3">
        <v>747.16</v>
      </c>
      <c r="J15595" s="3">
        <v>0</v>
      </c>
      <c r="L15595">
        <v>461</v>
      </c>
      <c r="M15595" t="s">
        <v>3457</v>
      </c>
      <c r="N15595" t="s">
        <v>30</v>
      </c>
      <c r="O15595" t="s">
        <v>31</v>
      </c>
      <c r="P15595" t="str">
        <f>"15213"</f>
        <v>15213</v>
      </c>
    </row>
    <row r="15596" spans="1:16" x14ac:dyDescent="0.25">
      <c r="A15596" t="str">
        <f>"1210022P00172    00"</f>
        <v>1210022P00172    00</v>
      </c>
      <c r="B15596" t="s">
        <v>34105</v>
      </c>
      <c r="C15596" t="s">
        <v>34107</v>
      </c>
      <c r="D15596" t="s">
        <v>20</v>
      </c>
      <c r="E15596" t="s">
        <v>21</v>
      </c>
      <c r="F15596">
        <v>0</v>
      </c>
      <c r="G15596">
        <v>0</v>
      </c>
      <c r="H15596">
        <v>3</v>
      </c>
      <c r="I15596" s="3">
        <v>12725.11</v>
      </c>
      <c r="J15596" s="3">
        <v>7515.49</v>
      </c>
      <c r="L15596">
        <v>461</v>
      </c>
      <c r="M15596" t="s">
        <v>3457</v>
      </c>
      <c r="N15596" t="s">
        <v>30</v>
      </c>
      <c r="O15596" t="s">
        <v>31</v>
      </c>
      <c r="P15596" t="str">
        <f>"15213"</f>
        <v>15213</v>
      </c>
    </row>
    <row r="15597" spans="1:16" x14ac:dyDescent="0.25">
      <c r="A15597" t="str">
        <f>"1210022P00181    00"</f>
        <v>1210022P00181    00</v>
      </c>
      <c r="B15597" t="s">
        <v>34108</v>
      </c>
      <c r="C15597" t="s">
        <v>34109</v>
      </c>
      <c r="D15597" t="s">
        <v>20</v>
      </c>
      <c r="E15597" t="s">
        <v>39</v>
      </c>
      <c r="F15597">
        <v>0</v>
      </c>
      <c r="G15597">
        <v>0</v>
      </c>
      <c r="H15597">
        <v>3</v>
      </c>
      <c r="I15597" s="3">
        <v>7414.79</v>
      </c>
      <c r="J15597" s="3">
        <v>408.54</v>
      </c>
      <c r="L15597">
        <v>1415</v>
      </c>
      <c r="M15597" t="s">
        <v>28159</v>
      </c>
      <c r="N15597" t="s">
        <v>30</v>
      </c>
      <c r="O15597" t="s">
        <v>31</v>
      </c>
      <c r="P15597" t="str">
        <f>"15233"</f>
        <v>15233</v>
      </c>
    </row>
    <row r="15598" spans="1:16" x14ac:dyDescent="0.25">
      <c r="A15598" t="str">
        <f>"1210022P00189    00"</f>
        <v>1210022P00189    00</v>
      </c>
      <c r="B15598" t="s">
        <v>34110</v>
      </c>
      <c r="C15598" t="s">
        <v>34111</v>
      </c>
      <c r="D15598" t="s">
        <v>20</v>
      </c>
      <c r="E15598" t="s">
        <v>39</v>
      </c>
      <c r="F15598">
        <v>0</v>
      </c>
      <c r="G15598">
        <v>0</v>
      </c>
      <c r="H15598">
        <v>1</v>
      </c>
      <c r="I15598" s="3">
        <v>1437.15</v>
      </c>
      <c r="J15598" s="3">
        <v>0</v>
      </c>
      <c r="L15598">
        <v>1207</v>
      </c>
      <c r="M15598" t="s">
        <v>3938</v>
      </c>
      <c r="N15598" t="s">
        <v>30</v>
      </c>
      <c r="O15598" t="s">
        <v>31</v>
      </c>
      <c r="P15598" t="str">
        <f>"15212"</f>
        <v>15212</v>
      </c>
    </row>
    <row r="15599" spans="1:16" x14ac:dyDescent="0.25">
      <c r="A15599" t="str">
        <f>"1210022P00198    00"</f>
        <v>1210022P00198    00</v>
      </c>
      <c r="B15599" t="s">
        <v>34112</v>
      </c>
      <c r="C15599" t="s">
        <v>34089</v>
      </c>
      <c r="E15599" t="s">
        <v>39</v>
      </c>
      <c r="F15599">
        <v>0</v>
      </c>
      <c r="G15599">
        <v>0</v>
      </c>
      <c r="H15599">
        <v>1</v>
      </c>
      <c r="I15599" s="3">
        <v>42.29</v>
      </c>
      <c r="J15599" s="3">
        <v>0</v>
      </c>
      <c r="L15599">
        <v>1431</v>
      </c>
      <c r="M15599" t="s">
        <v>28159</v>
      </c>
      <c r="N15599" t="s">
        <v>30</v>
      </c>
      <c r="O15599" t="s">
        <v>31</v>
      </c>
      <c r="P15599" t="str">
        <f>"15233"</f>
        <v>15233</v>
      </c>
    </row>
    <row r="15600" spans="1:16" x14ac:dyDescent="0.25">
      <c r="A15600" t="str">
        <f>"1210022P00237    00"</f>
        <v>1210022P00237    00</v>
      </c>
      <c r="B15600" t="s">
        <v>33970</v>
      </c>
      <c r="C15600" t="s">
        <v>34113</v>
      </c>
      <c r="D15600" t="s">
        <v>20</v>
      </c>
      <c r="E15600" t="s">
        <v>39</v>
      </c>
      <c r="F15600">
        <v>0</v>
      </c>
      <c r="G15600">
        <v>0</v>
      </c>
      <c r="H15600">
        <v>2</v>
      </c>
      <c r="I15600" s="3">
        <v>1206.8399999999999</v>
      </c>
      <c r="J15600" s="3">
        <v>0</v>
      </c>
      <c r="K15600" t="s">
        <v>33972</v>
      </c>
      <c r="M15600" t="s">
        <v>34114</v>
      </c>
      <c r="N15600" t="s">
        <v>30</v>
      </c>
      <c r="O15600" t="s">
        <v>31</v>
      </c>
      <c r="P15600" t="str">
        <f>"15233"</f>
        <v>15233</v>
      </c>
    </row>
    <row r="15601" spans="1:16" x14ac:dyDescent="0.25">
      <c r="A15601" t="str">
        <f>"1210022P00237A   00"</f>
        <v>1210022P00237A   00</v>
      </c>
      <c r="B15601" t="s">
        <v>34115</v>
      </c>
      <c r="C15601" t="s">
        <v>34116</v>
      </c>
      <c r="E15601" t="s">
        <v>39</v>
      </c>
      <c r="F15601">
        <v>0</v>
      </c>
      <c r="G15601">
        <v>0</v>
      </c>
      <c r="H15601">
        <v>1</v>
      </c>
      <c r="I15601" s="3">
        <v>510.02</v>
      </c>
      <c r="J15601" s="3">
        <v>408</v>
      </c>
      <c r="L15601">
        <v>1426</v>
      </c>
      <c r="M15601" t="s">
        <v>33579</v>
      </c>
      <c r="N15601" t="s">
        <v>30</v>
      </c>
      <c r="O15601" t="s">
        <v>31</v>
      </c>
      <c r="P15601" t="str">
        <f>"15233"</f>
        <v>15233</v>
      </c>
    </row>
    <row r="15602" spans="1:16" x14ac:dyDescent="0.25">
      <c r="A15602" t="str">
        <f>"1210022P00240    00"</f>
        <v>1210022P00240    00</v>
      </c>
      <c r="B15602" t="s">
        <v>34117</v>
      </c>
      <c r="C15602" t="s">
        <v>34089</v>
      </c>
      <c r="D15602" t="s">
        <v>20</v>
      </c>
      <c r="E15602" t="s">
        <v>39</v>
      </c>
      <c r="F15602">
        <v>0</v>
      </c>
      <c r="G15602">
        <v>0</v>
      </c>
      <c r="H15602">
        <v>6</v>
      </c>
      <c r="I15602" s="3">
        <v>28.32</v>
      </c>
      <c r="J15602" s="3">
        <v>7.44</v>
      </c>
      <c r="K15602" t="s">
        <v>34118</v>
      </c>
      <c r="L15602">
        <v>7113</v>
      </c>
      <c r="M15602" t="s">
        <v>34119</v>
      </c>
      <c r="N15602" t="s">
        <v>1827</v>
      </c>
      <c r="O15602" t="s">
        <v>692</v>
      </c>
      <c r="P15602" t="str">
        <f>"23228"</f>
        <v>23228</v>
      </c>
    </row>
    <row r="15603" spans="1:16" x14ac:dyDescent="0.25">
      <c r="A15603" t="str">
        <f>"1210022P00240A   00"</f>
        <v>1210022P00240A   00</v>
      </c>
      <c r="B15603" t="s">
        <v>34120</v>
      </c>
      <c r="C15603" t="s">
        <v>34089</v>
      </c>
      <c r="D15603" t="s">
        <v>20</v>
      </c>
      <c r="E15603" t="s">
        <v>39</v>
      </c>
      <c r="F15603">
        <v>0</v>
      </c>
      <c r="G15603">
        <v>0</v>
      </c>
      <c r="H15603">
        <v>7</v>
      </c>
      <c r="I15603" s="3">
        <v>51.12</v>
      </c>
      <c r="J15603" s="3">
        <v>18.66</v>
      </c>
      <c r="K15603" t="s">
        <v>34121</v>
      </c>
      <c r="L15603">
        <v>7113</v>
      </c>
      <c r="M15603" t="s">
        <v>34119</v>
      </c>
      <c r="N15603" t="s">
        <v>1827</v>
      </c>
      <c r="O15603" t="s">
        <v>692</v>
      </c>
      <c r="P15603" t="str">
        <f>"23228"</f>
        <v>23228</v>
      </c>
    </row>
    <row r="15604" spans="1:16" x14ac:dyDescent="0.25">
      <c r="A15604" t="str">
        <f>"1210022P00254    00"</f>
        <v>1210022P00254    00</v>
      </c>
      <c r="B15604" t="s">
        <v>34122</v>
      </c>
      <c r="C15604" t="s">
        <v>34123</v>
      </c>
      <c r="D15604" t="s">
        <v>20</v>
      </c>
      <c r="E15604" t="s">
        <v>39</v>
      </c>
      <c r="F15604">
        <v>0</v>
      </c>
      <c r="G15604">
        <v>0</v>
      </c>
      <c r="H15604">
        <v>5</v>
      </c>
      <c r="I15604" s="3">
        <v>6719.87</v>
      </c>
      <c r="J15604" s="3">
        <v>1199.18</v>
      </c>
      <c r="L15604">
        <v>1412</v>
      </c>
      <c r="M15604" t="s">
        <v>33579</v>
      </c>
      <c r="N15604" t="s">
        <v>30</v>
      </c>
      <c r="O15604" t="s">
        <v>31</v>
      </c>
      <c r="P15604" t="str">
        <f>"15233"</f>
        <v>15233</v>
      </c>
    </row>
    <row r="15605" spans="1:16" x14ac:dyDescent="0.25">
      <c r="A15605" t="str">
        <f>"1210022P00256    00"</f>
        <v>1210022P00256    00</v>
      </c>
      <c r="B15605" t="s">
        <v>34124</v>
      </c>
      <c r="C15605" t="s">
        <v>34089</v>
      </c>
      <c r="D15605" t="s">
        <v>20</v>
      </c>
      <c r="E15605" t="s">
        <v>39</v>
      </c>
      <c r="F15605">
        <v>0</v>
      </c>
      <c r="G15605">
        <v>0</v>
      </c>
      <c r="H15605">
        <v>4</v>
      </c>
      <c r="I15605" s="3">
        <v>85.19</v>
      </c>
      <c r="J15605" s="3">
        <v>43.13</v>
      </c>
      <c r="L15605">
        <v>1412</v>
      </c>
      <c r="M15605" t="s">
        <v>33579</v>
      </c>
      <c r="N15605" t="s">
        <v>30</v>
      </c>
      <c r="O15605" t="s">
        <v>31</v>
      </c>
      <c r="P15605" t="str">
        <f>"15233"</f>
        <v>15233</v>
      </c>
    </row>
    <row r="15606" spans="1:16" x14ac:dyDescent="0.25">
      <c r="A15606" t="str">
        <f>"1210022P00257    00"</f>
        <v>1210022P00257    00</v>
      </c>
      <c r="B15606" t="s">
        <v>34124</v>
      </c>
      <c r="C15606" t="s">
        <v>34089</v>
      </c>
      <c r="D15606" t="s">
        <v>20</v>
      </c>
      <c r="E15606" t="s">
        <v>39</v>
      </c>
      <c r="F15606">
        <v>0</v>
      </c>
      <c r="G15606">
        <v>0</v>
      </c>
      <c r="H15606">
        <v>3</v>
      </c>
      <c r="I15606" s="3">
        <v>51.48</v>
      </c>
      <c r="J15606" s="3">
        <v>3.44</v>
      </c>
      <c r="L15606">
        <v>1412</v>
      </c>
      <c r="M15606" t="s">
        <v>33579</v>
      </c>
      <c r="N15606" t="s">
        <v>30</v>
      </c>
      <c r="O15606" t="s">
        <v>31</v>
      </c>
      <c r="P15606" t="str">
        <f>"15233"</f>
        <v>15233</v>
      </c>
    </row>
    <row r="15607" spans="1:16" x14ac:dyDescent="0.25">
      <c r="A15607" t="str">
        <f>"1210022P00276    00"</f>
        <v>1210022P00276    00</v>
      </c>
      <c r="B15607" t="s">
        <v>34125</v>
      </c>
      <c r="C15607" t="s">
        <v>34126</v>
      </c>
      <c r="D15607" t="s">
        <v>20</v>
      </c>
      <c r="E15607" t="s">
        <v>39</v>
      </c>
      <c r="F15607">
        <v>0</v>
      </c>
      <c r="G15607">
        <v>0</v>
      </c>
      <c r="H15607">
        <v>8</v>
      </c>
      <c r="I15607" s="3">
        <v>5585.3</v>
      </c>
      <c r="J15607" s="3">
        <v>1247.3499999999999</v>
      </c>
      <c r="L15607">
        <v>1332</v>
      </c>
      <c r="M15607" t="s">
        <v>33579</v>
      </c>
      <c r="N15607" t="s">
        <v>30</v>
      </c>
      <c r="O15607" t="s">
        <v>31</v>
      </c>
      <c r="P15607" t="str">
        <f>"15233"</f>
        <v>15233</v>
      </c>
    </row>
    <row r="15608" spans="1:16" x14ac:dyDescent="0.25">
      <c r="A15608" t="str">
        <f>"1210022P00279A   00"</f>
        <v>1210022P00279A   00</v>
      </c>
      <c r="B15608" t="s">
        <v>34127</v>
      </c>
      <c r="C15608" t="s">
        <v>34089</v>
      </c>
      <c r="D15608" t="s">
        <v>20</v>
      </c>
      <c r="E15608" t="s">
        <v>39</v>
      </c>
      <c r="F15608">
        <v>0</v>
      </c>
      <c r="G15608">
        <v>0</v>
      </c>
      <c r="H15608">
        <v>17</v>
      </c>
      <c r="I15608" s="3">
        <v>498.93</v>
      </c>
      <c r="J15608" s="3">
        <v>669.6</v>
      </c>
      <c r="L15608">
        <v>1422</v>
      </c>
      <c r="M15608" t="s">
        <v>4327</v>
      </c>
      <c r="N15608" t="s">
        <v>30</v>
      </c>
      <c r="O15608" t="s">
        <v>31</v>
      </c>
      <c r="P15608" t="str">
        <f>"15204"</f>
        <v>15204</v>
      </c>
    </row>
    <row r="15609" spans="1:16" x14ac:dyDescent="0.25">
      <c r="A15609" t="str">
        <f>"1210022P00280    00"</f>
        <v>1210022P00280    00</v>
      </c>
      <c r="B15609" t="s">
        <v>34128</v>
      </c>
      <c r="C15609" t="s">
        <v>34089</v>
      </c>
      <c r="D15609" t="s">
        <v>20</v>
      </c>
      <c r="E15609" t="s">
        <v>39</v>
      </c>
      <c r="F15609">
        <v>0</v>
      </c>
      <c r="G15609">
        <v>0</v>
      </c>
      <c r="H15609">
        <v>17</v>
      </c>
      <c r="I15609" s="3">
        <v>560.19000000000005</v>
      </c>
      <c r="J15609" s="3">
        <v>725.02</v>
      </c>
      <c r="K15609" t="s">
        <v>1037</v>
      </c>
      <c r="L15609">
        <v>1331</v>
      </c>
      <c r="M15609" t="s">
        <v>34129</v>
      </c>
      <c r="N15609" t="s">
        <v>30</v>
      </c>
      <c r="O15609" t="s">
        <v>31</v>
      </c>
      <c r="P15609" t="str">
        <f>"15233"</f>
        <v>15233</v>
      </c>
    </row>
    <row r="15610" spans="1:16" x14ac:dyDescent="0.25">
      <c r="A15610" t="str">
        <f>"1210022P00287    00"</f>
        <v>1210022P00287    00</v>
      </c>
      <c r="B15610" t="s">
        <v>34130</v>
      </c>
      <c r="C15610" t="s">
        <v>34131</v>
      </c>
      <c r="D15610" t="s">
        <v>20</v>
      </c>
      <c r="E15610" t="s">
        <v>39</v>
      </c>
      <c r="F15610">
        <v>0</v>
      </c>
      <c r="G15610">
        <v>0</v>
      </c>
      <c r="H15610">
        <v>1</v>
      </c>
      <c r="I15610" s="3">
        <v>370.2</v>
      </c>
      <c r="J15610" s="3">
        <v>0</v>
      </c>
      <c r="L15610">
        <v>1312</v>
      </c>
      <c r="M15610" t="s">
        <v>33579</v>
      </c>
      <c r="N15610" t="s">
        <v>30</v>
      </c>
      <c r="O15610" t="s">
        <v>31</v>
      </c>
      <c r="P15610" t="str">
        <f>"15233"</f>
        <v>15233</v>
      </c>
    </row>
    <row r="15611" spans="1:16" x14ac:dyDescent="0.25">
      <c r="A15611" t="str">
        <f>"1210022P00313    00"</f>
        <v>1210022P00313    00</v>
      </c>
      <c r="B15611" t="s">
        <v>34132</v>
      </c>
      <c r="C15611" t="s">
        <v>34133</v>
      </c>
      <c r="E15611" t="s">
        <v>39</v>
      </c>
      <c r="F15611">
        <v>0</v>
      </c>
      <c r="G15611">
        <v>0</v>
      </c>
      <c r="H15611">
        <v>2</v>
      </c>
      <c r="I15611" s="3">
        <v>833.66</v>
      </c>
      <c r="J15611" s="3">
        <v>152.12</v>
      </c>
      <c r="K15611" t="s">
        <v>34134</v>
      </c>
      <c r="L15611">
        <v>2340</v>
      </c>
      <c r="M15611" t="s">
        <v>34135</v>
      </c>
      <c r="N15611" t="s">
        <v>199</v>
      </c>
      <c r="O15611" t="s">
        <v>200</v>
      </c>
      <c r="P15611" t="str">
        <f>"10030"</f>
        <v>10030</v>
      </c>
    </row>
    <row r="15612" spans="1:16" x14ac:dyDescent="0.25">
      <c r="A15612" t="str">
        <f>"1210022P00316    00"</f>
        <v>1210022P00316    00</v>
      </c>
      <c r="B15612" t="s">
        <v>34136</v>
      </c>
      <c r="C15612" t="s">
        <v>34137</v>
      </c>
      <c r="D15612" t="s">
        <v>20</v>
      </c>
      <c r="E15612" t="s">
        <v>39</v>
      </c>
      <c r="F15612">
        <v>0</v>
      </c>
      <c r="G15612">
        <v>0</v>
      </c>
      <c r="H15612">
        <v>2</v>
      </c>
      <c r="I15612" s="3">
        <v>1736.3</v>
      </c>
      <c r="J15612" s="3">
        <v>0</v>
      </c>
      <c r="L15612">
        <v>1331</v>
      </c>
      <c r="M15612" t="s">
        <v>33579</v>
      </c>
      <c r="N15612" t="s">
        <v>30</v>
      </c>
      <c r="O15612" t="s">
        <v>31</v>
      </c>
      <c r="P15612" t="str">
        <f>"15233"</f>
        <v>15233</v>
      </c>
    </row>
    <row r="15613" spans="1:16" x14ac:dyDescent="0.25">
      <c r="A15613" t="str">
        <f>"1210022P00317    00"</f>
        <v>1210022P00317    00</v>
      </c>
      <c r="B15613" t="s">
        <v>34136</v>
      </c>
      <c r="C15613" t="s">
        <v>34138</v>
      </c>
      <c r="D15613" t="s">
        <v>20</v>
      </c>
      <c r="E15613" t="s">
        <v>39</v>
      </c>
      <c r="F15613">
        <v>0</v>
      </c>
      <c r="G15613">
        <v>0</v>
      </c>
      <c r="H15613">
        <v>3</v>
      </c>
      <c r="I15613" s="3">
        <v>2522.85</v>
      </c>
      <c r="J15613" s="3">
        <v>147.08000000000001</v>
      </c>
      <c r="L15613">
        <v>1331</v>
      </c>
      <c r="M15613" t="s">
        <v>33579</v>
      </c>
      <c r="N15613" t="s">
        <v>30</v>
      </c>
      <c r="O15613" t="s">
        <v>31</v>
      </c>
      <c r="P15613" t="str">
        <f>"15233"</f>
        <v>15233</v>
      </c>
    </row>
    <row r="15614" spans="1:16" x14ac:dyDescent="0.25">
      <c r="A15614" t="str">
        <f>"1210022P00321    00"</f>
        <v>1210022P00321    00</v>
      </c>
      <c r="B15614" t="s">
        <v>34139</v>
      </c>
      <c r="C15614" t="s">
        <v>34140</v>
      </c>
      <c r="D15614" t="s">
        <v>20</v>
      </c>
      <c r="E15614" t="s">
        <v>39</v>
      </c>
      <c r="F15614">
        <v>0</v>
      </c>
      <c r="G15614">
        <v>0</v>
      </c>
      <c r="H15614">
        <v>1</v>
      </c>
      <c r="I15614" s="3">
        <v>2149.9699999999998</v>
      </c>
      <c r="J15614" s="3">
        <v>0</v>
      </c>
      <c r="K15614" t="s">
        <v>400</v>
      </c>
      <c r="L15614">
        <v>3001</v>
      </c>
      <c r="M15614" t="s">
        <v>330</v>
      </c>
      <c r="N15614" t="s">
        <v>331</v>
      </c>
      <c r="O15614" t="s">
        <v>108</v>
      </c>
      <c r="P15614" t="str">
        <f>"75063"</f>
        <v>75063</v>
      </c>
    </row>
    <row r="15615" spans="1:16" x14ac:dyDescent="0.25">
      <c r="A15615" t="str">
        <f>"1210022R00001    00"</f>
        <v>1210022R00001    00</v>
      </c>
      <c r="B15615" t="s">
        <v>34141</v>
      </c>
      <c r="C15615" t="s">
        <v>34142</v>
      </c>
      <c r="D15615" t="s">
        <v>20</v>
      </c>
      <c r="E15615" t="s">
        <v>39</v>
      </c>
      <c r="F15615">
        <v>0</v>
      </c>
      <c r="G15615">
        <v>0</v>
      </c>
      <c r="H15615">
        <v>5</v>
      </c>
      <c r="I15615" s="3">
        <v>10909.63</v>
      </c>
      <c r="J15615" s="3">
        <v>2093.7800000000002</v>
      </c>
      <c r="L15615">
        <v>1241</v>
      </c>
      <c r="M15615" t="s">
        <v>17425</v>
      </c>
      <c r="N15615" t="s">
        <v>30</v>
      </c>
      <c r="O15615" t="s">
        <v>31</v>
      </c>
      <c r="P15615" t="str">
        <f>"15233"</f>
        <v>15233</v>
      </c>
    </row>
    <row r="15616" spans="1:16" x14ac:dyDescent="0.25">
      <c r="A15616" t="str">
        <f>"1210022R00008    00"</f>
        <v>1210022R00008    00</v>
      </c>
      <c r="B15616" t="s">
        <v>34143</v>
      </c>
      <c r="C15616" t="s">
        <v>34040</v>
      </c>
      <c r="D15616" t="s">
        <v>20</v>
      </c>
      <c r="E15616" t="s">
        <v>39</v>
      </c>
      <c r="F15616">
        <v>0</v>
      </c>
      <c r="G15616">
        <v>0</v>
      </c>
      <c r="H15616">
        <v>3</v>
      </c>
      <c r="I15616" s="3">
        <v>154.41</v>
      </c>
      <c r="J15616" s="3">
        <v>10.3</v>
      </c>
      <c r="L15616">
        <v>1411</v>
      </c>
      <c r="M15616" t="s">
        <v>33579</v>
      </c>
      <c r="N15616" t="s">
        <v>30</v>
      </c>
      <c r="O15616" t="s">
        <v>31</v>
      </c>
      <c r="P15616" t="str">
        <f>"15233"</f>
        <v>15233</v>
      </c>
    </row>
    <row r="15617" spans="1:16" x14ac:dyDescent="0.25">
      <c r="A15617" t="str">
        <f>"1210022R00008B   00"</f>
        <v>1210022R00008B   00</v>
      </c>
      <c r="B15617" t="s">
        <v>34144</v>
      </c>
      <c r="C15617" t="s">
        <v>34040</v>
      </c>
      <c r="D15617" t="s">
        <v>20</v>
      </c>
      <c r="E15617" t="s">
        <v>39</v>
      </c>
      <c r="F15617">
        <v>0</v>
      </c>
      <c r="G15617">
        <v>0</v>
      </c>
      <c r="H15617">
        <v>3</v>
      </c>
      <c r="I15617" s="3">
        <v>154.41</v>
      </c>
      <c r="J15617" s="3">
        <v>10.3</v>
      </c>
      <c r="K15617" t="s">
        <v>34145</v>
      </c>
      <c r="L15617">
        <v>1411</v>
      </c>
      <c r="M15617" t="s">
        <v>33579</v>
      </c>
      <c r="N15617" t="s">
        <v>30</v>
      </c>
      <c r="O15617" t="s">
        <v>31</v>
      </c>
      <c r="P15617" t="str">
        <f>"15233"</f>
        <v>15233</v>
      </c>
    </row>
    <row r="15618" spans="1:16" x14ac:dyDescent="0.25">
      <c r="A15618" t="str">
        <f>"1210022R00043    00"</f>
        <v>1210022R00043    00</v>
      </c>
      <c r="B15618" t="s">
        <v>34146</v>
      </c>
      <c r="C15618" t="s">
        <v>34147</v>
      </c>
      <c r="D15618" t="s">
        <v>20</v>
      </c>
      <c r="E15618" t="s">
        <v>39</v>
      </c>
      <c r="F15618">
        <v>0</v>
      </c>
      <c r="G15618">
        <v>0</v>
      </c>
      <c r="H15618">
        <v>2</v>
      </c>
      <c r="I15618" s="3">
        <v>2802.84</v>
      </c>
      <c r="J15618" s="3">
        <v>0</v>
      </c>
      <c r="L15618">
        <v>1200</v>
      </c>
      <c r="M15618" t="s">
        <v>28159</v>
      </c>
      <c r="N15618" t="s">
        <v>30</v>
      </c>
      <c r="O15618" t="s">
        <v>31</v>
      </c>
      <c r="P15618" t="str">
        <f>"15233"</f>
        <v>15233</v>
      </c>
    </row>
    <row r="15619" spans="1:16" x14ac:dyDescent="0.25">
      <c r="A15619" t="str">
        <f>"1210022R00045    00"</f>
        <v>1210022R00045    00</v>
      </c>
      <c r="B15619" t="s">
        <v>34148</v>
      </c>
      <c r="C15619" t="s">
        <v>34149</v>
      </c>
      <c r="D15619" t="s">
        <v>20</v>
      </c>
      <c r="E15619" t="s">
        <v>39</v>
      </c>
      <c r="F15619">
        <v>0</v>
      </c>
      <c r="G15619">
        <v>0</v>
      </c>
      <c r="H15619">
        <v>3</v>
      </c>
      <c r="I15619" s="3">
        <v>6853.23</v>
      </c>
      <c r="J15619" s="3">
        <v>416.87</v>
      </c>
      <c r="K15619" t="s">
        <v>710</v>
      </c>
      <c r="L15619">
        <v>4140</v>
      </c>
      <c r="M15619" t="s">
        <v>711</v>
      </c>
      <c r="N15619" t="s">
        <v>712</v>
      </c>
      <c r="O15619" t="s">
        <v>31</v>
      </c>
      <c r="P15619" t="str">
        <f>"16148"</f>
        <v>16148</v>
      </c>
    </row>
    <row r="15620" spans="1:16" x14ac:dyDescent="0.25">
      <c r="A15620" t="str">
        <f>"1210022R00049    00"</f>
        <v>1210022R00049    00</v>
      </c>
      <c r="B15620" t="s">
        <v>34150</v>
      </c>
      <c r="C15620" t="s">
        <v>34151</v>
      </c>
      <c r="E15620" t="s">
        <v>39</v>
      </c>
      <c r="F15620">
        <v>0</v>
      </c>
      <c r="G15620">
        <v>0</v>
      </c>
      <c r="H15620">
        <v>1</v>
      </c>
      <c r="I15620" s="3">
        <v>616.70000000000005</v>
      </c>
      <c r="J15620" s="3">
        <v>0</v>
      </c>
      <c r="L15620">
        <v>1208</v>
      </c>
      <c r="M15620" t="s">
        <v>28159</v>
      </c>
      <c r="N15620" t="s">
        <v>30</v>
      </c>
      <c r="O15620" t="s">
        <v>31</v>
      </c>
      <c r="P15620" t="str">
        <f>"15233"</f>
        <v>15233</v>
      </c>
    </row>
    <row r="15621" spans="1:16" x14ac:dyDescent="0.25">
      <c r="A15621" t="str">
        <f>"1210022R00053    00"</f>
        <v>1210022R00053    00</v>
      </c>
      <c r="B15621" t="s">
        <v>34152</v>
      </c>
      <c r="C15621" t="s">
        <v>34153</v>
      </c>
      <c r="D15621" t="s">
        <v>20</v>
      </c>
      <c r="E15621" t="s">
        <v>39</v>
      </c>
      <c r="F15621">
        <v>0</v>
      </c>
      <c r="G15621">
        <v>0</v>
      </c>
      <c r="H15621">
        <v>1</v>
      </c>
      <c r="I15621" s="3">
        <v>539.33000000000004</v>
      </c>
      <c r="J15621" s="3">
        <v>0</v>
      </c>
      <c r="L15621">
        <v>1212</v>
      </c>
      <c r="M15621" t="s">
        <v>28159</v>
      </c>
      <c r="N15621" t="s">
        <v>30</v>
      </c>
      <c r="O15621" t="s">
        <v>31</v>
      </c>
      <c r="P15621" t="str">
        <f>"15233"</f>
        <v>15233</v>
      </c>
    </row>
    <row r="15622" spans="1:16" x14ac:dyDescent="0.25">
      <c r="A15622" t="str">
        <f>"1210022R00067    00"</f>
        <v>1210022R00067    00</v>
      </c>
      <c r="B15622" t="s">
        <v>944</v>
      </c>
      <c r="C15622" t="s">
        <v>34154</v>
      </c>
      <c r="E15622" t="s">
        <v>39</v>
      </c>
      <c r="F15622">
        <v>0</v>
      </c>
      <c r="G15622">
        <v>0</v>
      </c>
      <c r="H15622">
        <v>1</v>
      </c>
      <c r="I15622" s="3">
        <v>2642.56</v>
      </c>
      <c r="J15622" s="3">
        <v>1827.69</v>
      </c>
      <c r="K15622" t="s">
        <v>33528</v>
      </c>
      <c r="L15622">
        <v>200</v>
      </c>
      <c r="M15622" t="s">
        <v>33529</v>
      </c>
      <c r="N15622" t="s">
        <v>30</v>
      </c>
      <c r="O15622" t="s">
        <v>31</v>
      </c>
      <c r="P15622" t="str">
        <f>"15219"</f>
        <v>15219</v>
      </c>
    </row>
    <row r="15623" spans="1:16" x14ac:dyDescent="0.25">
      <c r="A15623" t="str">
        <f>"1210022R00068    00"</f>
        <v>1210022R00068    00</v>
      </c>
      <c r="B15623" t="s">
        <v>944</v>
      </c>
      <c r="C15623" t="s">
        <v>34155</v>
      </c>
      <c r="E15623" t="s">
        <v>39</v>
      </c>
      <c r="F15623">
        <v>0</v>
      </c>
      <c r="G15623">
        <v>0</v>
      </c>
      <c r="H15623">
        <v>1</v>
      </c>
      <c r="I15623" s="3">
        <v>2296.48</v>
      </c>
      <c r="J15623" s="3">
        <v>1588.32</v>
      </c>
      <c r="K15623" t="s">
        <v>33528</v>
      </c>
      <c r="L15623">
        <v>200</v>
      </c>
      <c r="M15623" t="s">
        <v>33529</v>
      </c>
      <c r="N15623" t="s">
        <v>30</v>
      </c>
      <c r="O15623" t="s">
        <v>31</v>
      </c>
      <c r="P15623" t="str">
        <f>"15219"</f>
        <v>15219</v>
      </c>
    </row>
    <row r="15624" spans="1:16" x14ac:dyDescent="0.25">
      <c r="A15624" t="str">
        <f>"1210022R00074    00"</f>
        <v>1210022R00074    00</v>
      </c>
      <c r="B15624" t="s">
        <v>944</v>
      </c>
      <c r="C15624" t="s">
        <v>34156</v>
      </c>
      <c r="E15624" t="s">
        <v>39</v>
      </c>
      <c r="F15624">
        <v>0</v>
      </c>
      <c r="G15624">
        <v>0</v>
      </c>
      <c r="H15624">
        <v>1</v>
      </c>
      <c r="I15624" s="3">
        <v>2301.4299999999998</v>
      </c>
      <c r="J15624" s="3">
        <v>1591.75</v>
      </c>
      <c r="K15624" t="s">
        <v>33528</v>
      </c>
      <c r="L15624">
        <v>200</v>
      </c>
      <c r="M15624" t="s">
        <v>33529</v>
      </c>
      <c r="N15624" t="s">
        <v>30</v>
      </c>
      <c r="O15624" t="s">
        <v>31</v>
      </c>
      <c r="P15624" t="str">
        <f>"15219"</f>
        <v>15219</v>
      </c>
    </row>
    <row r="15625" spans="1:16" x14ac:dyDescent="0.25">
      <c r="A15625" t="str">
        <f>"1210022R00075    00"</f>
        <v>1210022R00075    00</v>
      </c>
      <c r="B15625" t="s">
        <v>944</v>
      </c>
      <c r="C15625" t="s">
        <v>34157</v>
      </c>
      <c r="E15625" t="s">
        <v>39</v>
      </c>
      <c r="F15625">
        <v>0</v>
      </c>
      <c r="G15625">
        <v>0</v>
      </c>
      <c r="H15625">
        <v>1</v>
      </c>
      <c r="I15625" s="3">
        <v>2298.96</v>
      </c>
      <c r="J15625" s="3">
        <v>1590.05</v>
      </c>
      <c r="K15625" t="s">
        <v>33528</v>
      </c>
      <c r="L15625">
        <v>200</v>
      </c>
      <c r="M15625" t="s">
        <v>33529</v>
      </c>
      <c r="N15625" t="s">
        <v>30</v>
      </c>
      <c r="O15625" t="s">
        <v>31</v>
      </c>
      <c r="P15625" t="str">
        <f>"15219"</f>
        <v>15219</v>
      </c>
    </row>
    <row r="15626" spans="1:16" x14ac:dyDescent="0.25">
      <c r="A15626" t="str">
        <f>"1210022R00089    00"</f>
        <v>1210022R00089    00</v>
      </c>
      <c r="B15626" t="s">
        <v>13029</v>
      </c>
      <c r="C15626" t="s">
        <v>34158</v>
      </c>
      <c r="D15626" t="s">
        <v>20</v>
      </c>
      <c r="E15626" t="s">
        <v>39</v>
      </c>
      <c r="F15626">
        <v>0</v>
      </c>
      <c r="G15626">
        <v>0</v>
      </c>
      <c r="H15626">
        <v>2</v>
      </c>
      <c r="I15626" s="3">
        <v>4391.46</v>
      </c>
      <c r="J15626" s="3">
        <v>0</v>
      </c>
      <c r="L15626">
        <v>9608</v>
      </c>
      <c r="M15626" t="s">
        <v>9086</v>
      </c>
      <c r="N15626" t="s">
        <v>30</v>
      </c>
      <c r="O15626" t="s">
        <v>31</v>
      </c>
      <c r="P15626" t="str">
        <f>"15235"</f>
        <v>15235</v>
      </c>
    </row>
    <row r="15627" spans="1:16" x14ac:dyDescent="0.25">
      <c r="A15627" t="str">
        <f>"1210022R00090    00"</f>
        <v>1210022R00090    00</v>
      </c>
      <c r="B15627" t="s">
        <v>34159</v>
      </c>
      <c r="C15627" t="s">
        <v>34160</v>
      </c>
      <c r="D15627" t="s">
        <v>20</v>
      </c>
      <c r="E15627" t="s">
        <v>39</v>
      </c>
      <c r="F15627">
        <v>0</v>
      </c>
      <c r="G15627">
        <v>0</v>
      </c>
      <c r="H15627">
        <v>1</v>
      </c>
      <c r="I15627" s="3">
        <v>311.95</v>
      </c>
      <c r="J15627" s="3">
        <v>0</v>
      </c>
      <c r="K15627" t="s">
        <v>34161</v>
      </c>
      <c r="L15627">
        <v>1137</v>
      </c>
      <c r="M15627" t="s">
        <v>28159</v>
      </c>
      <c r="N15627" t="s">
        <v>30</v>
      </c>
      <c r="O15627" t="s">
        <v>31</v>
      </c>
      <c r="P15627" t="str">
        <f t="shared" ref="P15627:P15632" si="205">"15233"</f>
        <v>15233</v>
      </c>
    </row>
    <row r="15628" spans="1:16" x14ac:dyDescent="0.25">
      <c r="A15628" t="str">
        <f>"1210022R00097    00"</f>
        <v>1210022R00097    00</v>
      </c>
      <c r="B15628" t="s">
        <v>34162</v>
      </c>
      <c r="C15628" t="s">
        <v>34163</v>
      </c>
      <c r="D15628" t="s">
        <v>20</v>
      </c>
      <c r="E15628" t="s">
        <v>39</v>
      </c>
      <c r="F15628">
        <v>0</v>
      </c>
      <c r="G15628">
        <v>0</v>
      </c>
      <c r="H15628">
        <v>2</v>
      </c>
      <c r="I15628" s="3">
        <v>3688.26</v>
      </c>
      <c r="J15628" s="3">
        <v>0</v>
      </c>
      <c r="L15628">
        <v>1203</v>
      </c>
      <c r="M15628" t="s">
        <v>28159</v>
      </c>
      <c r="N15628" t="s">
        <v>30</v>
      </c>
      <c r="O15628" t="s">
        <v>31</v>
      </c>
      <c r="P15628" t="str">
        <f t="shared" si="205"/>
        <v>15233</v>
      </c>
    </row>
    <row r="15629" spans="1:16" x14ac:dyDescent="0.25">
      <c r="A15629" t="str">
        <f>"1210022R00098000100"</f>
        <v>1210022R00098000100</v>
      </c>
      <c r="B15629" t="s">
        <v>34164</v>
      </c>
      <c r="C15629" t="s">
        <v>34165</v>
      </c>
      <c r="D15629" t="s">
        <v>20</v>
      </c>
      <c r="E15629" t="s">
        <v>39</v>
      </c>
      <c r="F15629">
        <v>0</v>
      </c>
      <c r="G15629">
        <v>0</v>
      </c>
      <c r="H15629">
        <v>1</v>
      </c>
      <c r="I15629" s="3">
        <v>476.5</v>
      </c>
      <c r="J15629" s="3">
        <v>0</v>
      </c>
      <c r="L15629">
        <v>1215</v>
      </c>
      <c r="M15629" t="s">
        <v>28159</v>
      </c>
      <c r="N15629" t="s">
        <v>30</v>
      </c>
      <c r="O15629" t="s">
        <v>31</v>
      </c>
      <c r="P15629" t="str">
        <f t="shared" si="205"/>
        <v>15233</v>
      </c>
    </row>
    <row r="15630" spans="1:16" x14ac:dyDescent="0.25">
      <c r="A15630" t="str">
        <f>"1210022R00111    00"</f>
        <v>1210022R00111    00</v>
      </c>
      <c r="B15630" t="s">
        <v>34166</v>
      </c>
      <c r="C15630" t="s">
        <v>34167</v>
      </c>
      <c r="D15630" t="s">
        <v>20</v>
      </c>
      <c r="E15630" t="s">
        <v>39</v>
      </c>
      <c r="F15630">
        <v>0</v>
      </c>
      <c r="G15630">
        <v>0</v>
      </c>
      <c r="H15630">
        <v>1</v>
      </c>
      <c r="I15630" s="3">
        <v>692.36</v>
      </c>
      <c r="J15630" s="3">
        <v>0</v>
      </c>
      <c r="L15630">
        <v>1231</v>
      </c>
      <c r="M15630" t="s">
        <v>28159</v>
      </c>
      <c r="N15630" t="s">
        <v>30</v>
      </c>
      <c r="O15630" t="s">
        <v>31</v>
      </c>
      <c r="P15630" t="str">
        <f t="shared" si="205"/>
        <v>15233</v>
      </c>
    </row>
    <row r="15631" spans="1:16" x14ac:dyDescent="0.25">
      <c r="A15631" t="str">
        <f>"1210022R00112    00"</f>
        <v>1210022R00112    00</v>
      </c>
      <c r="B15631" t="s">
        <v>34168</v>
      </c>
      <c r="C15631" t="s">
        <v>34169</v>
      </c>
      <c r="D15631" t="s">
        <v>20</v>
      </c>
      <c r="E15631" t="s">
        <v>39</v>
      </c>
      <c r="F15631">
        <v>0</v>
      </c>
      <c r="G15631">
        <v>0</v>
      </c>
      <c r="H15631">
        <v>1</v>
      </c>
      <c r="I15631" s="3">
        <v>527.22</v>
      </c>
      <c r="J15631" s="3">
        <v>0</v>
      </c>
      <c r="L15631">
        <v>1235</v>
      </c>
      <c r="M15631" t="s">
        <v>28159</v>
      </c>
      <c r="N15631" t="s">
        <v>30</v>
      </c>
      <c r="O15631" t="s">
        <v>31</v>
      </c>
      <c r="P15631" t="str">
        <f t="shared" si="205"/>
        <v>15233</v>
      </c>
    </row>
    <row r="15632" spans="1:16" x14ac:dyDescent="0.25">
      <c r="A15632" t="str">
        <f>"1210022R00126    00"</f>
        <v>1210022R00126    00</v>
      </c>
      <c r="B15632" t="s">
        <v>34170</v>
      </c>
      <c r="C15632" t="s">
        <v>34171</v>
      </c>
      <c r="E15632" t="s">
        <v>39</v>
      </c>
      <c r="F15632">
        <v>0</v>
      </c>
      <c r="G15632">
        <v>0</v>
      </c>
      <c r="H15632">
        <v>3</v>
      </c>
      <c r="I15632" s="3">
        <v>4465.6099999999997</v>
      </c>
      <c r="J15632" s="3">
        <v>669.32</v>
      </c>
      <c r="K15632" t="s">
        <v>34172</v>
      </c>
      <c r="L15632">
        <v>1238</v>
      </c>
      <c r="M15632" t="s">
        <v>33579</v>
      </c>
      <c r="N15632" t="s">
        <v>30</v>
      </c>
      <c r="O15632" t="s">
        <v>31</v>
      </c>
      <c r="P15632" t="str">
        <f t="shared" si="205"/>
        <v>15233</v>
      </c>
    </row>
    <row r="15633" spans="1:16" x14ac:dyDescent="0.25">
      <c r="A15633" t="str">
        <f>"1210022R00155    00"</f>
        <v>1210022R00155    00</v>
      </c>
      <c r="B15633" t="s">
        <v>34173</v>
      </c>
      <c r="C15633" t="s">
        <v>34174</v>
      </c>
      <c r="D15633" t="s">
        <v>20</v>
      </c>
      <c r="E15633" t="s">
        <v>39</v>
      </c>
      <c r="F15633">
        <v>0</v>
      </c>
      <c r="G15633">
        <v>0</v>
      </c>
      <c r="H15633">
        <v>1</v>
      </c>
      <c r="I15633" s="3">
        <v>22.87</v>
      </c>
      <c r="J15633" s="3">
        <v>0</v>
      </c>
      <c r="M15633" t="s">
        <v>34175</v>
      </c>
      <c r="N15633" t="s">
        <v>30</v>
      </c>
      <c r="O15633" t="s">
        <v>31</v>
      </c>
      <c r="P15633" t="str">
        <f>"15212"</f>
        <v>15212</v>
      </c>
    </row>
    <row r="15634" spans="1:16" x14ac:dyDescent="0.25">
      <c r="A15634" t="str">
        <f>"1210022R00158    00"</f>
        <v>1210022R00158    00</v>
      </c>
      <c r="B15634" t="s">
        <v>34176</v>
      </c>
      <c r="C15634" t="s">
        <v>34174</v>
      </c>
      <c r="D15634" t="s">
        <v>20</v>
      </c>
      <c r="E15634" t="s">
        <v>39</v>
      </c>
      <c r="F15634">
        <v>0</v>
      </c>
      <c r="G15634">
        <v>0</v>
      </c>
      <c r="H15634">
        <v>4</v>
      </c>
      <c r="I15634" s="3">
        <v>45.77</v>
      </c>
      <c r="J15634" s="3">
        <v>0.03</v>
      </c>
      <c r="M15634" t="s">
        <v>34175</v>
      </c>
      <c r="N15634" t="s">
        <v>30</v>
      </c>
      <c r="O15634" t="s">
        <v>31</v>
      </c>
      <c r="P15634" t="str">
        <f>"15212"</f>
        <v>15212</v>
      </c>
    </row>
    <row r="15635" spans="1:16" x14ac:dyDescent="0.25">
      <c r="A15635" t="str">
        <f>"1210022R00159    00"</f>
        <v>1210022R00159    00</v>
      </c>
      <c r="B15635" t="s">
        <v>34177</v>
      </c>
      <c r="C15635" t="s">
        <v>34178</v>
      </c>
      <c r="E15635" t="s">
        <v>39</v>
      </c>
      <c r="F15635">
        <v>0</v>
      </c>
      <c r="G15635">
        <v>0</v>
      </c>
      <c r="H15635">
        <v>1</v>
      </c>
      <c r="I15635" s="3">
        <v>5764.69</v>
      </c>
      <c r="J15635" s="3">
        <v>1825.41</v>
      </c>
      <c r="K15635" t="s">
        <v>34179</v>
      </c>
      <c r="L15635">
        <v>901</v>
      </c>
      <c r="M15635" t="s">
        <v>34180</v>
      </c>
      <c r="N15635" t="s">
        <v>30</v>
      </c>
      <c r="O15635" t="s">
        <v>31</v>
      </c>
      <c r="P15635" t="str">
        <f>"15233"</f>
        <v>15233</v>
      </c>
    </row>
    <row r="15636" spans="1:16" x14ac:dyDescent="0.25">
      <c r="A15636" t="str">
        <f>"1210022R00165    00"</f>
        <v>1210022R00165    00</v>
      </c>
      <c r="B15636" t="s">
        <v>34181</v>
      </c>
      <c r="C15636" t="s">
        <v>34182</v>
      </c>
      <c r="D15636" t="s">
        <v>20</v>
      </c>
      <c r="E15636" t="s">
        <v>39</v>
      </c>
      <c r="F15636">
        <v>0</v>
      </c>
      <c r="G15636">
        <v>0</v>
      </c>
      <c r="H15636">
        <v>1</v>
      </c>
      <c r="I15636" s="3">
        <v>1000</v>
      </c>
      <c r="J15636" s="3">
        <v>0</v>
      </c>
      <c r="L15636">
        <v>322</v>
      </c>
      <c r="M15636" t="s">
        <v>34183</v>
      </c>
      <c r="N15636" t="s">
        <v>30</v>
      </c>
      <c r="O15636" t="s">
        <v>31</v>
      </c>
      <c r="P15636" t="str">
        <f>"15212"</f>
        <v>15212</v>
      </c>
    </row>
    <row r="15637" spans="1:16" x14ac:dyDescent="0.25">
      <c r="A15637" t="str">
        <f>"1210022R00198    00"</f>
        <v>1210022R00198    00</v>
      </c>
      <c r="B15637" t="s">
        <v>944</v>
      </c>
      <c r="C15637" t="s">
        <v>34184</v>
      </c>
      <c r="E15637" t="s">
        <v>39</v>
      </c>
      <c r="F15637">
        <v>0</v>
      </c>
      <c r="G15637">
        <v>0</v>
      </c>
      <c r="H15637">
        <v>1</v>
      </c>
      <c r="I15637" s="3">
        <v>2370.64</v>
      </c>
      <c r="J15637" s="3">
        <v>1639.63</v>
      </c>
      <c r="K15637" t="s">
        <v>33528</v>
      </c>
      <c r="L15637">
        <v>200</v>
      </c>
      <c r="M15637" t="s">
        <v>33529</v>
      </c>
      <c r="N15637" t="s">
        <v>30</v>
      </c>
      <c r="O15637" t="s">
        <v>31</v>
      </c>
      <c r="P15637" t="str">
        <f>"15219"</f>
        <v>15219</v>
      </c>
    </row>
    <row r="15638" spans="1:16" x14ac:dyDescent="0.25">
      <c r="A15638" t="str">
        <f>"1210022R00199    00"</f>
        <v>1210022R00199    00</v>
      </c>
      <c r="B15638" t="s">
        <v>944</v>
      </c>
      <c r="C15638" t="s">
        <v>34185</v>
      </c>
      <c r="E15638" t="s">
        <v>39</v>
      </c>
      <c r="F15638">
        <v>0</v>
      </c>
      <c r="G15638">
        <v>0</v>
      </c>
      <c r="H15638">
        <v>1</v>
      </c>
      <c r="I15638" s="3">
        <v>2889.76</v>
      </c>
      <c r="J15638" s="3">
        <v>1998.66</v>
      </c>
      <c r="K15638" t="s">
        <v>33528</v>
      </c>
      <c r="L15638">
        <v>200</v>
      </c>
      <c r="M15638" t="s">
        <v>33529</v>
      </c>
      <c r="N15638" t="s">
        <v>30</v>
      </c>
      <c r="O15638" t="s">
        <v>31</v>
      </c>
      <c r="P15638" t="str">
        <f>"15219"</f>
        <v>15219</v>
      </c>
    </row>
    <row r="15639" spans="1:16" x14ac:dyDescent="0.25">
      <c r="A15639" t="str">
        <f>"1210022R00209    00"</f>
        <v>1210022R00209    00</v>
      </c>
      <c r="B15639" t="s">
        <v>34186</v>
      </c>
      <c r="C15639" t="s">
        <v>34187</v>
      </c>
      <c r="D15639" t="s">
        <v>57</v>
      </c>
      <c r="E15639" t="s">
        <v>39</v>
      </c>
      <c r="F15639">
        <v>0</v>
      </c>
      <c r="G15639">
        <v>0</v>
      </c>
      <c r="H15639">
        <v>1</v>
      </c>
      <c r="I15639" s="3">
        <v>4014.04</v>
      </c>
      <c r="J15639" s="3">
        <v>100.34</v>
      </c>
      <c r="K15639" t="s">
        <v>34188</v>
      </c>
      <c r="L15639">
        <v>4607</v>
      </c>
      <c r="M15639" t="s">
        <v>34189</v>
      </c>
      <c r="N15639" t="s">
        <v>79</v>
      </c>
      <c r="O15639" t="s">
        <v>31</v>
      </c>
      <c r="P15639" t="str">
        <f>"15668"</f>
        <v>15668</v>
      </c>
    </row>
    <row r="15640" spans="1:16" x14ac:dyDescent="0.25">
      <c r="A15640" t="str">
        <f>"1210022R00214    00"</f>
        <v>1210022R00214    00</v>
      </c>
      <c r="B15640" t="s">
        <v>944</v>
      </c>
      <c r="C15640" t="s">
        <v>34190</v>
      </c>
      <c r="E15640" t="s">
        <v>39</v>
      </c>
      <c r="F15640">
        <v>0</v>
      </c>
      <c r="G15640">
        <v>0</v>
      </c>
      <c r="H15640">
        <v>1</v>
      </c>
      <c r="I15640" s="3">
        <v>2133.33</v>
      </c>
      <c r="J15640" s="3">
        <v>1475.5</v>
      </c>
      <c r="K15640" t="s">
        <v>33528</v>
      </c>
      <c r="L15640">
        <v>200</v>
      </c>
      <c r="M15640" t="s">
        <v>33529</v>
      </c>
      <c r="N15640" t="s">
        <v>30</v>
      </c>
      <c r="O15640" t="s">
        <v>31</v>
      </c>
      <c r="P15640" t="str">
        <f>"15219"</f>
        <v>15219</v>
      </c>
    </row>
    <row r="15641" spans="1:16" x14ac:dyDescent="0.25">
      <c r="A15641" t="str">
        <f>"1210022R00215    00"</f>
        <v>1210022R00215    00</v>
      </c>
      <c r="B15641" t="s">
        <v>944</v>
      </c>
      <c r="C15641" t="s">
        <v>34191</v>
      </c>
      <c r="E15641" t="s">
        <v>39</v>
      </c>
      <c r="F15641">
        <v>0</v>
      </c>
      <c r="G15641">
        <v>0</v>
      </c>
      <c r="H15641">
        <v>1</v>
      </c>
      <c r="I15641" s="3">
        <v>2192.66</v>
      </c>
      <c r="J15641" s="3">
        <v>1516.53</v>
      </c>
      <c r="K15641" t="s">
        <v>33528</v>
      </c>
      <c r="L15641">
        <v>200</v>
      </c>
      <c r="M15641" t="s">
        <v>33529</v>
      </c>
      <c r="N15641" t="s">
        <v>30</v>
      </c>
      <c r="O15641" t="s">
        <v>31</v>
      </c>
      <c r="P15641" t="str">
        <f>"15219"</f>
        <v>15219</v>
      </c>
    </row>
    <row r="15642" spans="1:16" x14ac:dyDescent="0.25">
      <c r="A15642" t="str">
        <f>"1210022R00216    00"</f>
        <v>1210022R00216    00</v>
      </c>
      <c r="B15642" t="s">
        <v>34192</v>
      </c>
      <c r="C15642" t="s">
        <v>34193</v>
      </c>
      <c r="E15642" t="s">
        <v>39</v>
      </c>
      <c r="F15642">
        <v>0</v>
      </c>
      <c r="G15642">
        <v>0</v>
      </c>
      <c r="H15642">
        <v>1</v>
      </c>
      <c r="I15642" s="3">
        <v>3949.23</v>
      </c>
      <c r="J15642" s="3">
        <v>197.46</v>
      </c>
      <c r="L15642">
        <v>1135</v>
      </c>
      <c r="M15642" t="s">
        <v>33579</v>
      </c>
      <c r="N15642" t="s">
        <v>30</v>
      </c>
      <c r="O15642" t="s">
        <v>31</v>
      </c>
      <c r="P15642" t="str">
        <f>"15233"</f>
        <v>15233</v>
      </c>
    </row>
    <row r="15643" spans="1:16" x14ac:dyDescent="0.25">
      <c r="A15643" t="str">
        <f>"1210022R00251    00"</f>
        <v>1210022R00251    00</v>
      </c>
      <c r="B15643" t="s">
        <v>944</v>
      </c>
      <c r="C15643" t="s">
        <v>34194</v>
      </c>
      <c r="E15643" t="s">
        <v>39</v>
      </c>
      <c r="F15643">
        <v>0</v>
      </c>
      <c r="G15643">
        <v>0</v>
      </c>
      <c r="H15643">
        <v>1</v>
      </c>
      <c r="I15643" s="3">
        <v>2793.36</v>
      </c>
      <c r="J15643" s="3">
        <v>1932</v>
      </c>
      <c r="K15643" t="s">
        <v>33528</v>
      </c>
      <c r="L15643">
        <v>200</v>
      </c>
      <c r="M15643" t="s">
        <v>33529</v>
      </c>
      <c r="N15643" t="s">
        <v>30</v>
      </c>
      <c r="O15643" t="s">
        <v>31</v>
      </c>
      <c r="P15643" t="str">
        <f>"15219"</f>
        <v>15219</v>
      </c>
    </row>
    <row r="15644" spans="1:16" x14ac:dyDescent="0.25">
      <c r="A15644" t="str">
        <f>"1210022R00253    00"</f>
        <v>1210022R00253    00</v>
      </c>
      <c r="B15644" t="s">
        <v>34195</v>
      </c>
      <c r="C15644" t="s">
        <v>34196</v>
      </c>
      <c r="D15644" t="s">
        <v>20</v>
      </c>
      <c r="E15644" t="s">
        <v>39</v>
      </c>
      <c r="F15644">
        <v>0</v>
      </c>
      <c r="G15644">
        <v>0</v>
      </c>
      <c r="H15644">
        <v>2</v>
      </c>
      <c r="I15644" s="3">
        <v>1238.3</v>
      </c>
      <c r="J15644" s="3">
        <v>0</v>
      </c>
      <c r="K15644" t="s">
        <v>34197</v>
      </c>
      <c r="L15644">
        <v>1238</v>
      </c>
      <c r="M15644" t="s">
        <v>4860</v>
      </c>
      <c r="N15644" t="s">
        <v>30</v>
      </c>
      <c r="O15644" t="s">
        <v>31</v>
      </c>
      <c r="P15644" t="str">
        <f>"15233"</f>
        <v>15233</v>
      </c>
    </row>
    <row r="15645" spans="1:16" x14ac:dyDescent="0.25">
      <c r="A15645" t="str">
        <f>"1210022R00285    00"</f>
        <v>1210022R00285    00</v>
      </c>
      <c r="B15645" t="s">
        <v>944</v>
      </c>
      <c r="C15645" t="s">
        <v>34198</v>
      </c>
      <c r="E15645" t="s">
        <v>39</v>
      </c>
      <c r="F15645">
        <v>0</v>
      </c>
      <c r="G15645">
        <v>0</v>
      </c>
      <c r="H15645">
        <v>1</v>
      </c>
      <c r="I15645" s="3">
        <v>2897.18</v>
      </c>
      <c r="J15645" s="3">
        <v>2003.8</v>
      </c>
      <c r="K15645" t="s">
        <v>33528</v>
      </c>
      <c r="L15645">
        <v>200</v>
      </c>
      <c r="M15645" t="s">
        <v>33529</v>
      </c>
      <c r="N15645" t="s">
        <v>30</v>
      </c>
      <c r="O15645" t="s">
        <v>31</v>
      </c>
      <c r="P15645" t="str">
        <f>"15219"</f>
        <v>15219</v>
      </c>
    </row>
    <row r="15646" spans="1:16" x14ac:dyDescent="0.25">
      <c r="A15646" t="str">
        <f>"1210022R00286    00"</f>
        <v>1210022R00286    00</v>
      </c>
      <c r="B15646" t="s">
        <v>944</v>
      </c>
      <c r="C15646" t="s">
        <v>34199</v>
      </c>
      <c r="E15646" t="s">
        <v>39</v>
      </c>
      <c r="F15646">
        <v>0</v>
      </c>
      <c r="G15646">
        <v>0</v>
      </c>
      <c r="H15646">
        <v>1</v>
      </c>
      <c r="I15646" s="3">
        <v>2899.65</v>
      </c>
      <c r="J15646" s="3">
        <v>2005.51</v>
      </c>
      <c r="K15646" t="s">
        <v>33528</v>
      </c>
      <c r="L15646">
        <v>200</v>
      </c>
      <c r="M15646" t="s">
        <v>33529</v>
      </c>
      <c r="N15646" t="s">
        <v>30</v>
      </c>
      <c r="O15646" t="s">
        <v>31</v>
      </c>
      <c r="P15646" t="str">
        <f>"15219"</f>
        <v>15219</v>
      </c>
    </row>
    <row r="15647" spans="1:16" x14ac:dyDescent="0.25">
      <c r="A15647" t="str">
        <f>"1210022R00287    00"</f>
        <v>1210022R00287    00</v>
      </c>
      <c r="B15647" t="s">
        <v>944</v>
      </c>
      <c r="C15647" t="s">
        <v>34200</v>
      </c>
      <c r="E15647" t="s">
        <v>39</v>
      </c>
      <c r="F15647">
        <v>0</v>
      </c>
      <c r="G15647">
        <v>0</v>
      </c>
      <c r="H15647">
        <v>1</v>
      </c>
      <c r="I15647" s="3">
        <v>2907.07</v>
      </c>
      <c r="J15647" s="3">
        <v>2010.64</v>
      </c>
      <c r="K15647" t="s">
        <v>33528</v>
      </c>
      <c r="L15647">
        <v>200</v>
      </c>
      <c r="M15647" t="s">
        <v>33529</v>
      </c>
      <c r="N15647" t="s">
        <v>30</v>
      </c>
      <c r="O15647" t="s">
        <v>31</v>
      </c>
      <c r="P15647" t="str">
        <f>"15219"</f>
        <v>15219</v>
      </c>
    </row>
    <row r="15648" spans="1:16" x14ac:dyDescent="0.25">
      <c r="A15648" t="str">
        <f>"1210022S00025    00"</f>
        <v>1210022S00025    00</v>
      </c>
      <c r="B15648" t="s">
        <v>34201</v>
      </c>
      <c r="C15648" t="s">
        <v>34202</v>
      </c>
      <c r="D15648" t="s">
        <v>20</v>
      </c>
      <c r="E15648" t="s">
        <v>39</v>
      </c>
      <c r="F15648">
        <v>0</v>
      </c>
      <c r="G15648">
        <v>0</v>
      </c>
      <c r="H15648">
        <v>1</v>
      </c>
      <c r="I15648" s="3">
        <v>1955.55</v>
      </c>
      <c r="J15648" s="3">
        <v>0</v>
      </c>
      <c r="L15648">
        <v>301</v>
      </c>
      <c r="M15648" t="s">
        <v>34203</v>
      </c>
      <c r="N15648" t="s">
        <v>34204</v>
      </c>
      <c r="O15648" t="s">
        <v>200</v>
      </c>
      <c r="P15648" t="str">
        <f>"11557"</f>
        <v>11557</v>
      </c>
    </row>
    <row r="15649" spans="1:16" x14ac:dyDescent="0.25">
      <c r="A15649" t="str">
        <f>"1210022S00026    00"</f>
        <v>1210022S00026    00</v>
      </c>
      <c r="B15649" t="s">
        <v>34205</v>
      </c>
      <c r="C15649" t="s">
        <v>34206</v>
      </c>
      <c r="D15649" t="s">
        <v>20</v>
      </c>
      <c r="E15649" t="s">
        <v>39</v>
      </c>
      <c r="F15649">
        <v>0</v>
      </c>
      <c r="G15649">
        <v>0</v>
      </c>
      <c r="H15649">
        <v>4</v>
      </c>
      <c r="I15649" s="3">
        <v>2554.41</v>
      </c>
      <c r="J15649" s="3">
        <v>91.56</v>
      </c>
      <c r="L15649">
        <v>1007</v>
      </c>
      <c r="M15649" t="s">
        <v>33579</v>
      </c>
      <c r="N15649" t="s">
        <v>30</v>
      </c>
      <c r="O15649" t="s">
        <v>31</v>
      </c>
      <c r="P15649" t="str">
        <f>"15233"</f>
        <v>15233</v>
      </c>
    </row>
    <row r="15650" spans="1:16" x14ac:dyDescent="0.25">
      <c r="A15650" t="str">
        <f>"1210022S00027    00"</f>
        <v>1210022S00027    00</v>
      </c>
      <c r="B15650" t="s">
        <v>34207</v>
      </c>
      <c r="C15650" t="s">
        <v>34208</v>
      </c>
      <c r="D15650" t="s">
        <v>20</v>
      </c>
      <c r="E15650" t="s">
        <v>39</v>
      </c>
      <c r="F15650">
        <v>0</v>
      </c>
      <c r="G15650">
        <v>0</v>
      </c>
      <c r="H15650">
        <v>3</v>
      </c>
      <c r="I15650" s="3">
        <v>701.43</v>
      </c>
      <c r="J15650" s="3">
        <v>93.58</v>
      </c>
      <c r="L15650">
        <v>1009</v>
      </c>
      <c r="M15650" t="s">
        <v>33579</v>
      </c>
      <c r="N15650" t="s">
        <v>30</v>
      </c>
      <c r="O15650" t="s">
        <v>31</v>
      </c>
      <c r="P15650" t="str">
        <f>"15233"</f>
        <v>15233</v>
      </c>
    </row>
    <row r="15651" spans="1:16" x14ac:dyDescent="0.25">
      <c r="A15651" t="str">
        <f>"1210022S00028    00"</f>
        <v>1210022S00028    00</v>
      </c>
      <c r="B15651" t="s">
        <v>34209</v>
      </c>
      <c r="C15651" t="s">
        <v>34174</v>
      </c>
      <c r="D15651" t="s">
        <v>20</v>
      </c>
      <c r="E15651" t="s">
        <v>39</v>
      </c>
      <c r="F15651">
        <v>0</v>
      </c>
      <c r="G15651">
        <v>0</v>
      </c>
      <c r="H15651">
        <v>18</v>
      </c>
      <c r="I15651" s="3">
        <v>7099.83</v>
      </c>
      <c r="J15651" s="3">
        <v>4994.2</v>
      </c>
      <c r="L15651">
        <v>1013</v>
      </c>
      <c r="M15651" t="s">
        <v>33579</v>
      </c>
      <c r="N15651" t="s">
        <v>30</v>
      </c>
      <c r="O15651" t="s">
        <v>31</v>
      </c>
      <c r="P15651" t="str">
        <f>"15233"</f>
        <v>15233</v>
      </c>
    </row>
    <row r="15652" spans="1:16" x14ac:dyDescent="0.25">
      <c r="A15652" t="str">
        <f>"1210022S00044000400"</f>
        <v>1210022S00044000400</v>
      </c>
      <c r="B15652" t="s">
        <v>34210</v>
      </c>
      <c r="C15652" t="s">
        <v>34211</v>
      </c>
      <c r="D15652" t="s">
        <v>20</v>
      </c>
      <c r="E15652" t="s">
        <v>39</v>
      </c>
      <c r="F15652">
        <v>0</v>
      </c>
      <c r="G15652">
        <v>0</v>
      </c>
      <c r="H15652">
        <v>2</v>
      </c>
      <c r="I15652" s="3">
        <v>72.44</v>
      </c>
      <c r="J15652" s="3">
        <v>0</v>
      </c>
      <c r="L15652">
        <v>1025</v>
      </c>
      <c r="M15652" t="s">
        <v>33598</v>
      </c>
      <c r="N15652" t="s">
        <v>30</v>
      </c>
      <c r="O15652" t="s">
        <v>31</v>
      </c>
      <c r="P15652" t="str">
        <f>"15233"</f>
        <v>15233</v>
      </c>
    </row>
    <row r="15653" spans="1:16" x14ac:dyDescent="0.25">
      <c r="A15653" t="str">
        <f>"1210045P00015    00"</f>
        <v>1210045P00015    00</v>
      </c>
      <c r="B15653" t="s">
        <v>34212</v>
      </c>
      <c r="C15653" t="s">
        <v>34213</v>
      </c>
      <c r="D15653" t="s">
        <v>20</v>
      </c>
      <c r="E15653" t="s">
        <v>39</v>
      </c>
      <c r="F15653">
        <v>0</v>
      </c>
      <c r="G15653">
        <v>0</v>
      </c>
      <c r="H15653">
        <v>1</v>
      </c>
      <c r="I15653" s="3">
        <v>224.47</v>
      </c>
      <c r="J15653" s="3">
        <v>0</v>
      </c>
      <c r="L15653">
        <v>4401</v>
      </c>
      <c r="M15653" t="s">
        <v>6940</v>
      </c>
      <c r="N15653" t="s">
        <v>30</v>
      </c>
      <c r="O15653" t="s">
        <v>31</v>
      </c>
      <c r="P15653" t="str">
        <f>"15202"</f>
        <v>15202</v>
      </c>
    </row>
    <row r="15654" spans="1:16" x14ac:dyDescent="0.25">
      <c r="A15654" t="str">
        <f>"1210045P00017    00"</f>
        <v>1210045P00017    00</v>
      </c>
      <c r="B15654" t="s">
        <v>34214</v>
      </c>
      <c r="C15654" t="s">
        <v>33640</v>
      </c>
      <c r="D15654" t="s">
        <v>20</v>
      </c>
      <c r="E15654" t="s">
        <v>39</v>
      </c>
      <c r="F15654">
        <v>0</v>
      </c>
      <c r="G15654">
        <v>0</v>
      </c>
      <c r="H15654">
        <v>19</v>
      </c>
      <c r="I15654" s="3">
        <v>4404.2700000000004</v>
      </c>
      <c r="J15654" s="3">
        <v>2975.07</v>
      </c>
      <c r="P15654" t="str">
        <f>""</f>
        <v/>
      </c>
    </row>
    <row r="15655" spans="1:16" x14ac:dyDescent="0.25">
      <c r="A15655" t="str">
        <f>"1210045P00026    00"</f>
        <v>1210045P00026    00</v>
      </c>
      <c r="B15655" t="s">
        <v>34215</v>
      </c>
      <c r="C15655" t="s">
        <v>34216</v>
      </c>
      <c r="D15655" t="s">
        <v>20</v>
      </c>
      <c r="E15655" t="s">
        <v>39</v>
      </c>
      <c r="F15655">
        <v>0</v>
      </c>
      <c r="G15655">
        <v>0</v>
      </c>
      <c r="H15655">
        <v>1</v>
      </c>
      <c r="I15655" s="3">
        <v>69.3</v>
      </c>
      <c r="J15655" s="3">
        <v>0</v>
      </c>
      <c r="L15655">
        <v>1214</v>
      </c>
      <c r="M15655" t="s">
        <v>34217</v>
      </c>
      <c r="N15655" t="s">
        <v>30</v>
      </c>
      <c r="O15655" t="s">
        <v>31</v>
      </c>
      <c r="P15655" t="str">
        <f>"15212"</f>
        <v>15212</v>
      </c>
    </row>
    <row r="15656" spans="1:16" x14ac:dyDescent="0.25">
      <c r="A15656" t="str">
        <f>"1210045P00062    00"</f>
        <v>1210045P00062    00</v>
      </c>
      <c r="B15656" t="s">
        <v>34218</v>
      </c>
      <c r="C15656" t="s">
        <v>34219</v>
      </c>
      <c r="E15656" t="s">
        <v>39</v>
      </c>
      <c r="F15656">
        <v>0</v>
      </c>
      <c r="G15656">
        <v>0</v>
      </c>
      <c r="H15656">
        <v>6</v>
      </c>
      <c r="I15656" s="3">
        <v>572.09</v>
      </c>
      <c r="J15656" s="3">
        <v>688.35</v>
      </c>
      <c r="L15656">
        <v>1202</v>
      </c>
      <c r="M15656" t="s">
        <v>33638</v>
      </c>
      <c r="N15656" t="s">
        <v>30</v>
      </c>
      <c r="O15656" t="s">
        <v>31</v>
      </c>
      <c r="P15656" t="str">
        <f>"15212"</f>
        <v>15212</v>
      </c>
    </row>
    <row r="15657" spans="1:16" x14ac:dyDescent="0.25">
      <c r="A15657" t="str">
        <f>"1210045P00075    00"</f>
        <v>1210045P00075    00</v>
      </c>
      <c r="B15657" t="s">
        <v>34220</v>
      </c>
      <c r="C15657" t="s">
        <v>34221</v>
      </c>
      <c r="D15657" t="s">
        <v>20</v>
      </c>
      <c r="E15657" t="s">
        <v>39</v>
      </c>
      <c r="F15657">
        <v>0</v>
      </c>
      <c r="G15657">
        <v>0</v>
      </c>
      <c r="H15657">
        <v>2</v>
      </c>
      <c r="I15657" s="3">
        <v>705.32</v>
      </c>
      <c r="J15657" s="3">
        <v>72.430000000000007</v>
      </c>
      <c r="L15657">
        <v>1121</v>
      </c>
      <c r="M15657" t="s">
        <v>3467</v>
      </c>
      <c r="N15657" t="s">
        <v>30</v>
      </c>
      <c r="O15657" t="s">
        <v>31</v>
      </c>
      <c r="P15657" t="str">
        <f>"15212"</f>
        <v>15212</v>
      </c>
    </row>
    <row r="15658" spans="1:16" x14ac:dyDescent="0.25">
      <c r="A15658" t="str">
        <f>"1210045P00091    00"</f>
        <v>1210045P00091    00</v>
      </c>
      <c r="B15658" t="s">
        <v>34222</v>
      </c>
      <c r="C15658" t="s">
        <v>34223</v>
      </c>
      <c r="D15658" t="s">
        <v>20</v>
      </c>
      <c r="E15658" t="s">
        <v>39</v>
      </c>
      <c r="F15658">
        <v>0</v>
      </c>
      <c r="G15658">
        <v>0</v>
      </c>
      <c r="H15658">
        <v>16</v>
      </c>
      <c r="I15658" s="3">
        <v>12327.07</v>
      </c>
      <c r="J15658" s="3">
        <v>9607.0400000000009</v>
      </c>
      <c r="K15658" t="s">
        <v>34224</v>
      </c>
      <c r="L15658">
        <v>133</v>
      </c>
      <c r="M15658" t="s">
        <v>34225</v>
      </c>
      <c r="N15658" t="s">
        <v>826</v>
      </c>
      <c r="O15658" t="s">
        <v>31</v>
      </c>
      <c r="P15658" t="str">
        <f>"15601"</f>
        <v>15601</v>
      </c>
    </row>
    <row r="15659" spans="1:16" x14ac:dyDescent="0.25">
      <c r="A15659" t="str">
        <f>"1210045P00092    00"</f>
        <v>1210045P00092    00</v>
      </c>
      <c r="B15659" t="s">
        <v>34226</v>
      </c>
      <c r="C15659" t="s">
        <v>34227</v>
      </c>
      <c r="D15659" t="s">
        <v>20</v>
      </c>
      <c r="E15659" t="s">
        <v>39</v>
      </c>
      <c r="F15659">
        <v>0</v>
      </c>
      <c r="G15659">
        <v>0</v>
      </c>
      <c r="H15659">
        <v>9</v>
      </c>
      <c r="I15659" s="3">
        <v>907.76</v>
      </c>
      <c r="J15659" s="3">
        <v>321.91000000000003</v>
      </c>
      <c r="K15659" t="s">
        <v>34228</v>
      </c>
      <c r="L15659">
        <v>1225</v>
      </c>
      <c r="M15659" t="s">
        <v>3467</v>
      </c>
      <c r="N15659" t="s">
        <v>30</v>
      </c>
      <c r="O15659" t="s">
        <v>31</v>
      </c>
      <c r="P15659" t="str">
        <f>"15212"</f>
        <v>15212</v>
      </c>
    </row>
    <row r="15660" spans="1:16" x14ac:dyDescent="0.25">
      <c r="A15660" t="str">
        <f>"1210045P00098    00"</f>
        <v>1210045P00098    00</v>
      </c>
      <c r="B15660" t="s">
        <v>34229</v>
      </c>
      <c r="C15660" t="s">
        <v>34230</v>
      </c>
      <c r="D15660" t="s">
        <v>20</v>
      </c>
      <c r="E15660" t="s">
        <v>39</v>
      </c>
      <c r="F15660">
        <v>0</v>
      </c>
      <c r="G15660">
        <v>0</v>
      </c>
      <c r="H15660">
        <v>1</v>
      </c>
      <c r="I15660" s="3">
        <v>972.08</v>
      </c>
      <c r="J15660" s="3">
        <v>178.21</v>
      </c>
      <c r="K15660" t="s">
        <v>34231</v>
      </c>
      <c r="L15660">
        <v>1485</v>
      </c>
      <c r="M15660" t="s">
        <v>8716</v>
      </c>
      <c r="N15660" t="s">
        <v>195</v>
      </c>
      <c r="O15660" t="s">
        <v>31</v>
      </c>
      <c r="P15660" t="str">
        <f>"15101"</f>
        <v>15101</v>
      </c>
    </row>
    <row r="15661" spans="1:16" x14ac:dyDescent="0.25">
      <c r="A15661" t="str">
        <f>"1210045R00017    00"</f>
        <v>1210045R00017    00</v>
      </c>
      <c r="B15661" t="s">
        <v>34232</v>
      </c>
      <c r="C15661" t="s">
        <v>33640</v>
      </c>
      <c r="D15661" t="s">
        <v>20</v>
      </c>
      <c r="E15661" t="s">
        <v>39</v>
      </c>
      <c r="F15661">
        <v>0</v>
      </c>
      <c r="G15661">
        <v>0</v>
      </c>
      <c r="H15661">
        <v>16</v>
      </c>
      <c r="I15661" s="3">
        <v>313.68</v>
      </c>
      <c r="J15661" s="3">
        <v>371.98</v>
      </c>
      <c r="L15661">
        <v>153</v>
      </c>
      <c r="M15661" t="s">
        <v>34233</v>
      </c>
      <c r="N15661" t="s">
        <v>2656</v>
      </c>
      <c r="O15661" t="s">
        <v>31</v>
      </c>
      <c r="P15661" t="str">
        <f>"15909"</f>
        <v>15909</v>
      </c>
    </row>
    <row r="15662" spans="1:16" x14ac:dyDescent="0.25">
      <c r="A15662" t="str">
        <f>"1210045R00018    00"</f>
        <v>1210045R00018    00</v>
      </c>
      <c r="B15662" t="s">
        <v>34234</v>
      </c>
      <c r="C15662" t="s">
        <v>34235</v>
      </c>
      <c r="D15662" t="s">
        <v>20</v>
      </c>
      <c r="E15662" t="s">
        <v>39</v>
      </c>
      <c r="F15662">
        <v>0</v>
      </c>
      <c r="G15662">
        <v>0</v>
      </c>
      <c r="H15662">
        <v>19</v>
      </c>
      <c r="I15662" s="3">
        <v>11416.61</v>
      </c>
      <c r="J15662" s="3">
        <v>9368.24</v>
      </c>
      <c r="P15662" t="str">
        <f>""</f>
        <v/>
      </c>
    </row>
    <row r="15663" spans="1:16" x14ac:dyDescent="0.25">
      <c r="A15663" t="str">
        <f>"1210045R00024    00"</f>
        <v>1210045R00024    00</v>
      </c>
      <c r="B15663" t="s">
        <v>34236</v>
      </c>
      <c r="C15663" t="s">
        <v>34237</v>
      </c>
      <c r="D15663" t="s">
        <v>20</v>
      </c>
      <c r="E15663" t="s">
        <v>39</v>
      </c>
      <c r="F15663">
        <v>0</v>
      </c>
      <c r="G15663">
        <v>0</v>
      </c>
      <c r="H15663">
        <v>16</v>
      </c>
      <c r="I15663" s="3">
        <v>7078.92</v>
      </c>
      <c r="J15663" s="3">
        <v>5653.76</v>
      </c>
      <c r="K15663" t="s">
        <v>34238</v>
      </c>
      <c r="L15663">
        <v>1114</v>
      </c>
      <c r="M15663" t="s">
        <v>33638</v>
      </c>
      <c r="N15663" t="s">
        <v>30</v>
      </c>
      <c r="O15663" t="s">
        <v>31</v>
      </c>
      <c r="P15663" t="str">
        <f>"15212"</f>
        <v>15212</v>
      </c>
    </row>
    <row r="15664" spans="1:16" x14ac:dyDescent="0.25">
      <c r="A15664" t="str">
        <f>"1210045R00031    00"</f>
        <v>1210045R00031    00</v>
      </c>
      <c r="B15664" t="s">
        <v>34239</v>
      </c>
      <c r="C15664" t="s">
        <v>34240</v>
      </c>
      <c r="D15664" t="s">
        <v>20</v>
      </c>
      <c r="E15664" t="s">
        <v>39</v>
      </c>
      <c r="F15664">
        <v>0</v>
      </c>
      <c r="G15664">
        <v>0</v>
      </c>
      <c r="H15664">
        <v>1</v>
      </c>
      <c r="I15664" s="3">
        <v>2205.6999999999998</v>
      </c>
      <c r="J15664" s="3">
        <v>0</v>
      </c>
      <c r="K15664" t="s">
        <v>400</v>
      </c>
      <c r="L15664">
        <v>3001</v>
      </c>
      <c r="M15664" t="s">
        <v>330</v>
      </c>
      <c r="N15664" t="s">
        <v>331</v>
      </c>
      <c r="O15664" t="s">
        <v>108</v>
      </c>
      <c r="P15664" t="str">
        <f>"75063"</f>
        <v>75063</v>
      </c>
    </row>
    <row r="15665" spans="1:16" x14ac:dyDescent="0.25">
      <c r="A15665" t="str">
        <f>"1210045R00032    00"</f>
        <v>1210045R00032    00</v>
      </c>
      <c r="B15665" t="s">
        <v>34241</v>
      </c>
      <c r="C15665" t="s">
        <v>34242</v>
      </c>
      <c r="D15665" t="s">
        <v>20</v>
      </c>
      <c r="E15665" t="s">
        <v>39</v>
      </c>
      <c r="F15665">
        <v>0</v>
      </c>
      <c r="G15665">
        <v>0</v>
      </c>
      <c r="H15665">
        <v>1</v>
      </c>
      <c r="I15665" s="3">
        <v>2188.09</v>
      </c>
      <c r="J15665" s="3">
        <v>0</v>
      </c>
      <c r="K15665" t="s">
        <v>725</v>
      </c>
      <c r="L15665">
        <v>1301</v>
      </c>
      <c r="M15665" t="s">
        <v>722</v>
      </c>
      <c r="N15665" t="s">
        <v>30</v>
      </c>
      <c r="O15665" t="s">
        <v>31</v>
      </c>
      <c r="P15665" t="str">
        <f>"15211"</f>
        <v>15211</v>
      </c>
    </row>
    <row r="15666" spans="1:16" x14ac:dyDescent="0.25">
      <c r="A15666" t="str">
        <f>"1210045R00037    00"</f>
        <v>1210045R00037    00</v>
      </c>
      <c r="B15666" t="s">
        <v>34243</v>
      </c>
      <c r="C15666" t="s">
        <v>34244</v>
      </c>
      <c r="E15666" t="s">
        <v>39</v>
      </c>
      <c r="F15666">
        <v>0</v>
      </c>
      <c r="G15666">
        <v>0</v>
      </c>
      <c r="H15666">
        <v>1</v>
      </c>
      <c r="I15666" s="3">
        <v>1020.42</v>
      </c>
      <c r="J15666" s="3">
        <v>0</v>
      </c>
      <c r="L15666">
        <v>1105</v>
      </c>
      <c r="M15666" t="s">
        <v>3467</v>
      </c>
      <c r="N15666" t="s">
        <v>30</v>
      </c>
      <c r="O15666" t="s">
        <v>31</v>
      </c>
      <c r="P15666" t="str">
        <f>"15212"</f>
        <v>15212</v>
      </c>
    </row>
    <row r="15667" spans="1:16" x14ac:dyDescent="0.25">
      <c r="A15667" t="str">
        <f>"1220007D00029    00"</f>
        <v>1220007D00029    00</v>
      </c>
      <c r="B15667" t="s">
        <v>34245</v>
      </c>
      <c r="C15667" t="s">
        <v>34246</v>
      </c>
      <c r="E15667" t="s">
        <v>39</v>
      </c>
      <c r="F15667">
        <v>0</v>
      </c>
      <c r="G15667">
        <v>0</v>
      </c>
      <c r="H15667">
        <v>1</v>
      </c>
      <c r="I15667" s="3">
        <v>1090.9100000000001</v>
      </c>
      <c r="J15667" s="3">
        <v>218.17</v>
      </c>
      <c r="L15667">
        <v>851</v>
      </c>
      <c r="M15667" t="s">
        <v>34247</v>
      </c>
      <c r="N15667" t="s">
        <v>30</v>
      </c>
      <c r="O15667" t="s">
        <v>31</v>
      </c>
      <c r="P15667" t="str">
        <f>"15233"</f>
        <v>15233</v>
      </c>
    </row>
    <row r="15668" spans="1:16" x14ac:dyDescent="0.25">
      <c r="A15668" t="str">
        <f>"1220007D00042    00"</f>
        <v>1220007D00042    00</v>
      </c>
      <c r="B15668" t="s">
        <v>34248</v>
      </c>
      <c r="C15668" t="s">
        <v>34249</v>
      </c>
      <c r="E15668" t="s">
        <v>39</v>
      </c>
      <c r="F15668">
        <v>0</v>
      </c>
      <c r="G15668">
        <v>0</v>
      </c>
      <c r="H15668">
        <v>2</v>
      </c>
      <c r="I15668" s="3">
        <v>2952</v>
      </c>
      <c r="J15668" s="3">
        <v>12.29</v>
      </c>
      <c r="K15668" t="s">
        <v>1502</v>
      </c>
      <c r="L15668">
        <v>901</v>
      </c>
      <c r="M15668" t="s">
        <v>1503</v>
      </c>
      <c r="N15668" t="s">
        <v>494</v>
      </c>
      <c r="O15668" t="s">
        <v>495</v>
      </c>
      <c r="P15668" t="str">
        <f>"91768"</f>
        <v>91768</v>
      </c>
    </row>
    <row r="15669" spans="1:16" x14ac:dyDescent="0.25">
      <c r="A15669" t="str">
        <f>"1220007D00047    00"</f>
        <v>1220007D00047    00</v>
      </c>
      <c r="B15669" t="s">
        <v>34250</v>
      </c>
      <c r="C15669" t="s">
        <v>34251</v>
      </c>
      <c r="E15669" t="s">
        <v>39</v>
      </c>
      <c r="F15669">
        <v>0</v>
      </c>
      <c r="G15669">
        <v>0</v>
      </c>
      <c r="H15669">
        <v>1</v>
      </c>
      <c r="I15669" s="3">
        <v>124.5</v>
      </c>
      <c r="J15669" s="3">
        <v>34.24</v>
      </c>
      <c r="K15669" t="s">
        <v>34252</v>
      </c>
      <c r="L15669">
        <v>913</v>
      </c>
      <c r="M15669" t="s">
        <v>34247</v>
      </c>
      <c r="N15669" t="s">
        <v>30</v>
      </c>
      <c r="O15669" t="s">
        <v>31</v>
      </c>
      <c r="P15669" t="str">
        <f>"15233"</f>
        <v>15233</v>
      </c>
    </row>
    <row r="15670" spans="1:16" x14ac:dyDescent="0.25">
      <c r="A15670" t="str">
        <f>"1220007D00058    00"</f>
        <v>1220007D00058    00</v>
      </c>
      <c r="B15670" t="s">
        <v>34253</v>
      </c>
      <c r="C15670" t="s">
        <v>34254</v>
      </c>
      <c r="D15670" t="s">
        <v>57</v>
      </c>
      <c r="E15670" t="s">
        <v>39</v>
      </c>
      <c r="F15670">
        <v>0</v>
      </c>
      <c r="G15670">
        <v>0</v>
      </c>
      <c r="H15670">
        <v>1</v>
      </c>
      <c r="I15670" s="3">
        <v>4181.76</v>
      </c>
      <c r="J15670" s="3">
        <v>1986.27</v>
      </c>
      <c r="L15670">
        <v>933</v>
      </c>
      <c r="M15670" t="s">
        <v>34247</v>
      </c>
      <c r="N15670" t="s">
        <v>30</v>
      </c>
      <c r="O15670" t="s">
        <v>31</v>
      </c>
      <c r="P15670" t="str">
        <f>"15233"</f>
        <v>15233</v>
      </c>
    </row>
    <row r="15671" spans="1:16" x14ac:dyDescent="0.25">
      <c r="A15671" t="str">
        <f>"1220007D00130    01"</f>
        <v>1220007D00130    01</v>
      </c>
      <c r="B15671" t="s">
        <v>34255</v>
      </c>
      <c r="C15671" t="s">
        <v>34256</v>
      </c>
      <c r="D15671" t="s">
        <v>20</v>
      </c>
      <c r="E15671" t="s">
        <v>21</v>
      </c>
      <c r="F15671">
        <v>0</v>
      </c>
      <c r="G15671">
        <v>0</v>
      </c>
      <c r="H15671">
        <v>3</v>
      </c>
      <c r="I15671" s="3">
        <v>4746.0200000000004</v>
      </c>
      <c r="J15671" s="3">
        <v>432.76</v>
      </c>
      <c r="L15671">
        <v>940</v>
      </c>
      <c r="M15671" t="s">
        <v>739</v>
      </c>
      <c r="N15671" t="s">
        <v>30</v>
      </c>
      <c r="O15671" t="s">
        <v>31</v>
      </c>
      <c r="P15671" t="str">
        <f>"15233"</f>
        <v>15233</v>
      </c>
    </row>
    <row r="15672" spans="1:16" x14ac:dyDescent="0.25">
      <c r="A15672" t="str">
        <f>"1220007D00132    00"</f>
        <v>1220007D00132    00</v>
      </c>
      <c r="B15672" t="s">
        <v>34257</v>
      </c>
      <c r="C15672" t="s">
        <v>34258</v>
      </c>
      <c r="D15672" t="s">
        <v>20</v>
      </c>
      <c r="E15672" t="s">
        <v>21</v>
      </c>
      <c r="F15672">
        <v>0</v>
      </c>
      <c r="G15672">
        <v>0</v>
      </c>
      <c r="H15672">
        <v>1</v>
      </c>
      <c r="I15672" s="3">
        <v>4896.5200000000004</v>
      </c>
      <c r="J15672" s="3">
        <v>0</v>
      </c>
      <c r="K15672" t="s">
        <v>34259</v>
      </c>
      <c r="L15672">
        <v>990</v>
      </c>
      <c r="M15672" t="s">
        <v>34260</v>
      </c>
      <c r="N15672" t="s">
        <v>509</v>
      </c>
      <c r="O15672" t="s">
        <v>31</v>
      </c>
      <c r="P15672" t="str">
        <f>"19123"</f>
        <v>19123</v>
      </c>
    </row>
    <row r="15673" spans="1:16" x14ac:dyDescent="0.25">
      <c r="A15673" t="str">
        <f>"1220007D00167    00"</f>
        <v>1220007D00167    00</v>
      </c>
      <c r="B15673" t="s">
        <v>34261</v>
      </c>
      <c r="C15673" t="s">
        <v>34262</v>
      </c>
      <c r="D15673" t="s">
        <v>20</v>
      </c>
      <c r="E15673" t="s">
        <v>21</v>
      </c>
      <c r="F15673">
        <v>0</v>
      </c>
      <c r="G15673">
        <v>0</v>
      </c>
      <c r="H15673">
        <v>2</v>
      </c>
      <c r="I15673" s="3">
        <v>3998.8</v>
      </c>
      <c r="J15673" s="3">
        <v>0</v>
      </c>
      <c r="L15673">
        <v>6</v>
      </c>
      <c r="M15673" t="s">
        <v>34263</v>
      </c>
      <c r="N15673" t="s">
        <v>295</v>
      </c>
      <c r="O15673" t="s">
        <v>31</v>
      </c>
      <c r="P15673" t="str">
        <f>"15146"</f>
        <v>15146</v>
      </c>
    </row>
    <row r="15674" spans="1:16" x14ac:dyDescent="0.25">
      <c r="A15674" t="str">
        <f>"1220007D00169    00"</f>
        <v>1220007D00169    00</v>
      </c>
      <c r="B15674" t="s">
        <v>34264</v>
      </c>
      <c r="C15674" t="s">
        <v>34265</v>
      </c>
      <c r="D15674" t="s">
        <v>20</v>
      </c>
      <c r="E15674" t="s">
        <v>21</v>
      </c>
      <c r="F15674">
        <v>0</v>
      </c>
      <c r="G15674">
        <v>0</v>
      </c>
      <c r="H15674">
        <v>4</v>
      </c>
      <c r="I15674" s="3">
        <v>9611.08</v>
      </c>
      <c r="J15674" s="3">
        <v>1183.49</v>
      </c>
      <c r="L15674">
        <v>911</v>
      </c>
      <c r="M15674" t="s">
        <v>739</v>
      </c>
      <c r="N15674" t="s">
        <v>30</v>
      </c>
      <c r="O15674" t="s">
        <v>31</v>
      </c>
      <c r="P15674" t="str">
        <f>"15233"</f>
        <v>15233</v>
      </c>
    </row>
    <row r="15675" spans="1:16" x14ac:dyDescent="0.25">
      <c r="A15675" t="str">
        <f>"1220007D00177    00"</f>
        <v>1220007D00177    00</v>
      </c>
      <c r="B15675" t="s">
        <v>34266</v>
      </c>
      <c r="C15675" t="s">
        <v>34267</v>
      </c>
      <c r="D15675" t="s">
        <v>20</v>
      </c>
      <c r="E15675" t="s">
        <v>21</v>
      </c>
      <c r="F15675">
        <v>0</v>
      </c>
      <c r="G15675">
        <v>0</v>
      </c>
      <c r="H15675">
        <v>1</v>
      </c>
      <c r="I15675" s="3">
        <v>72.709999999999994</v>
      </c>
      <c r="J15675" s="3">
        <v>0</v>
      </c>
      <c r="L15675">
        <v>7619</v>
      </c>
      <c r="M15675" t="s">
        <v>585</v>
      </c>
      <c r="N15675" t="s">
        <v>30</v>
      </c>
      <c r="O15675" t="s">
        <v>31</v>
      </c>
      <c r="P15675" t="str">
        <f>"15208"</f>
        <v>15208</v>
      </c>
    </row>
    <row r="15676" spans="1:16" x14ac:dyDescent="0.25">
      <c r="A15676" t="str">
        <f>"1220007D00178    00"</f>
        <v>1220007D00178    00</v>
      </c>
      <c r="B15676" t="s">
        <v>34268</v>
      </c>
      <c r="C15676" t="s">
        <v>34269</v>
      </c>
      <c r="E15676" t="s">
        <v>39</v>
      </c>
      <c r="F15676">
        <v>0</v>
      </c>
      <c r="G15676">
        <v>0</v>
      </c>
      <c r="H15676">
        <v>1</v>
      </c>
      <c r="I15676" s="3">
        <v>4101.71</v>
      </c>
      <c r="J15676" s="3">
        <v>0</v>
      </c>
      <c r="L15676">
        <v>7528</v>
      </c>
      <c r="M15676" t="s">
        <v>34270</v>
      </c>
      <c r="N15676" t="s">
        <v>34271</v>
      </c>
      <c r="O15676" t="s">
        <v>4784</v>
      </c>
      <c r="P15676" t="str">
        <f>"63130"</f>
        <v>63130</v>
      </c>
    </row>
    <row r="15677" spans="1:16" x14ac:dyDescent="0.25">
      <c r="A15677" t="str">
        <f>"1220008A00018    00"</f>
        <v>1220008A00018    00</v>
      </c>
      <c r="B15677" t="s">
        <v>34272</v>
      </c>
      <c r="C15677" t="s">
        <v>34273</v>
      </c>
      <c r="D15677" t="s">
        <v>20</v>
      </c>
      <c r="E15677" t="s">
        <v>21</v>
      </c>
      <c r="F15677">
        <v>0</v>
      </c>
      <c r="G15677">
        <v>0</v>
      </c>
      <c r="H15677">
        <v>2</v>
      </c>
      <c r="I15677" s="3">
        <v>3941.64</v>
      </c>
      <c r="J15677" s="3">
        <v>0</v>
      </c>
      <c r="L15677">
        <v>812</v>
      </c>
      <c r="M15677" t="s">
        <v>739</v>
      </c>
      <c r="N15677" t="s">
        <v>30</v>
      </c>
      <c r="O15677" t="s">
        <v>31</v>
      </c>
      <c r="P15677" t="str">
        <f>"15233"</f>
        <v>15233</v>
      </c>
    </row>
    <row r="15678" spans="1:16" x14ac:dyDescent="0.25">
      <c r="A15678" t="str">
        <f>"1220008A00027    00"</f>
        <v>1220008A00027    00</v>
      </c>
      <c r="B15678" t="s">
        <v>34274</v>
      </c>
      <c r="C15678" t="s">
        <v>34275</v>
      </c>
      <c r="D15678" t="s">
        <v>20</v>
      </c>
      <c r="E15678" t="s">
        <v>21</v>
      </c>
      <c r="F15678">
        <v>0</v>
      </c>
      <c r="G15678">
        <v>0</v>
      </c>
      <c r="H15678">
        <v>3</v>
      </c>
      <c r="I15678" s="3">
        <v>12112.69</v>
      </c>
      <c r="J15678" s="3">
        <v>45.6</v>
      </c>
      <c r="K15678" t="s">
        <v>34276</v>
      </c>
      <c r="L15678">
        <v>830</v>
      </c>
      <c r="M15678" t="s">
        <v>739</v>
      </c>
      <c r="N15678" t="s">
        <v>30</v>
      </c>
      <c r="O15678" t="s">
        <v>31</v>
      </c>
      <c r="P15678" t="str">
        <f>"15233"</f>
        <v>15233</v>
      </c>
    </row>
    <row r="15679" spans="1:16" x14ac:dyDescent="0.25">
      <c r="A15679" t="str">
        <f>"1220008A00028B   00"</f>
        <v>1220008A00028B   00</v>
      </c>
      <c r="B15679" t="s">
        <v>34277</v>
      </c>
      <c r="C15679" t="s">
        <v>34278</v>
      </c>
      <c r="E15679" t="s">
        <v>39</v>
      </c>
      <c r="F15679">
        <v>0</v>
      </c>
      <c r="G15679">
        <v>0</v>
      </c>
      <c r="H15679">
        <v>2</v>
      </c>
      <c r="I15679" s="3">
        <v>1519.56</v>
      </c>
      <c r="J15679" s="3">
        <v>443.7</v>
      </c>
      <c r="K15679" t="s">
        <v>34279</v>
      </c>
      <c r="L15679">
        <v>833</v>
      </c>
      <c r="M15679" t="s">
        <v>34280</v>
      </c>
      <c r="N15679" t="s">
        <v>30</v>
      </c>
      <c r="O15679" t="s">
        <v>31</v>
      </c>
      <c r="P15679" t="str">
        <f>"15233"</f>
        <v>15233</v>
      </c>
    </row>
    <row r="15680" spans="1:16" x14ac:dyDescent="0.25">
      <c r="A15680" t="str">
        <f>"1220008A00096    00"</f>
        <v>1220008A00096    00</v>
      </c>
      <c r="B15680" t="s">
        <v>34281</v>
      </c>
      <c r="C15680" t="s">
        <v>34282</v>
      </c>
      <c r="D15680" t="s">
        <v>20</v>
      </c>
      <c r="E15680" t="s">
        <v>39</v>
      </c>
      <c r="F15680">
        <v>0</v>
      </c>
      <c r="G15680">
        <v>0</v>
      </c>
      <c r="H15680">
        <v>1</v>
      </c>
      <c r="I15680" s="3">
        <v>3062.95</v>
      </c>
      <c r="J15680" s="3">
        <v>0</v>
      </c>
      <c r="K15680" t="s">
        <v>881</v>
      </c>
      <c r="L15680">
        <v>3001</v>
      </c>
      <c r="M15680" t="s">
        <v>330</v>
      </c>
      <c r="N15680" t="s">
        <v>331</v>
      </c>
      <c r="O15680" t="s">
        <v>108</v>
      </c>
      <c r="P15680" t="str">
        <f>"75063"</f>
        <v>75063</v>
      </c>
    </row>
    <row r="15681" spans="1:16" x14ac:dyDescent="0.25">
      <c r="A15681" t="str">
        <f>"1220008A00112    00"</f>
        <v>1220008A00112    00</v>
      </c>
      <c r="B15681" t="s">
        <v>34283</v>
      </c>
      <c r="C15681" t="s">
        <v>34284</v>
      </c>
      <c r="D15681" t="s">
        <v>20</v>
      </c>
      <c r="E15681" t="s">
        <v>39</v>
      </c>
      <c r="F15681">
        <v>0</v>
      </c>
      <c r="G15681">
        <v>0</v>
      </c>
      <c r="H15681">
        <v>1</v>
      </c>
      <c r="I15681" s="3">
        <v>3350.76</v>
      </c>
      <c r="J15681" s="3">
        <v>0</v>
      </c>
      <c r="L15681">
        <v>812</v>
      </c>
      <c r="M15681" t="s">
        <v>34285</v>
      </c>
      <c r="N15681" t="s">
        <v>30</v>
      </c>
      <c r="O15681" t="s">
        <v>31</v>
      </c>
      <c r="P15681" t="str">
        <f>"15233"</f>
        <v>15233</v>
      </c>
    </row>
    <row r="15682" spans="1:16" x14ac:dyDescent="0.25">
      <c r="A15682" t="str">
        <f>"1220008A00127    00"</f>
        <v>1220008A00127    00</v>
      </c>
      <c r="B15682" t="s">
        <v>34286</v>
      </c>
      <c r="C15682" t="s">
        <v>34287</v>
      </c>
      <c r="E15682" t="s">
        <v>39</v>
      </c>
      <c r="F15682">
        <v>0</v>
      </c>
      <c r="G15682">
        <v>0</v>
      </c>
      <c r="H15682">
        <v>1</v>
      </c>
      <c r="I15682" s="3">
        <v>5402.88</v>
      </c>
      <c r="J15682" s="3">
        <v>360.18</v>
      </c>
      <c r="L15682">
        <v>901</v>
      </c>
      <c r="M15682" t="s">
        <v>34180</v>
      </c>
      <c r="N15682" t="s">
        <v>30</v>
      </c>
      <c r="O15682" t="s">
        <v>31</v>
      </c>
      <c r="P15682" t="str">
        <f>"15233"</f>
        <v>15233</v>
      </c>
    </row>
    <row r="15683" spans="1:16" x14ac:dyDescent="0.25">
      <c r="A15683" t="str">
        <f>"1220008B00001    00"</f>
        <v>1220008B00001    00</v>
      </c>
      <c r="B15683" t="s">
        <v>34288</v>
      </c>
      <c r="C15683" t="s">
        <v>34289</v>
      </c>
      <c r="D15683" t="s">
        <v>20</v>
      </c>
      <c r="E15683" t="s">
        <v>21</v>
      </c>
      <c r="F15683">
        <v>0</v>
      </c>
      <c r="G15683">
        <v>0</v>
      </c>
      <c r="H15683">
        <v>1</v>
      </c>
      <c r="I15683" s="3">
        <v>50.72</v>
      </c>
      <c r="J15683" s="3">
        <v>20.3</v>
      </c>
      <c r="K15683" t="s">
        <v>34290</v>
      </c>
      <c r="L15683">
        <v>1800</v>
      </c>
      <c r="M15683" t="s">
        <v>34291</v>
      </c>
      <c r="N15683" t="s">
        <v>30</v>
      </c>
      <c r="O15683" t="s">
        <v>31</v>
      </c>
      <c r="P15683" t="str">
        <f>"15233"</f>
        <v>15233</v>
      </c>
    </row>
    <row r="15684" spans="1:16" x14ac:dyDescent="0.25">
      <c r="A15684" t="str">
        <f>"1220008C00155000400"</f>
        <v>1220008C00155000400</v>
      </c>
      <c r="B15684" t="s">
        <v>34292</v>
      </c>
      <c r="C15684" t="s">
        <v>34293</v>
      </c>
      <c r="D15684" t="s">
        <v>20</v>
      </c>
      <c r="E15684" t="s">
        <v>21</v>
      </c>
      <c r="F15684">
        <v>0</v>
      </c>
      <c r="G15684">
        <v>0</v>
      </c>
      <c r="H15684">
        <v>1</v>
      </c>
      <c r="I15684" s="3">
        <v>205607.84</v>
      </c>
      <c r="J15684" s="3">
        <v>0</v>
      </c>
      <c r="K15684" t="s">
        <v>22514</v>
      </c>
      <c r="L15684">
        <v>100</v>
      </c>
      <c r="M15684" t="s">
        <v>22515</v>
      </c>
      <c r="N15684" t="s">
        <v>30</v>
      </c>
      <c r="O15684" t="s">
        <v>31</v>
      </c>
      <c r="P15684" t="str">
        <f>"15212"</f>
        <v>15212</v>
      </c>
    </row>
    <row r="15685" spans="1:16" x14ac:dyDescent="0.25">
      <c r="A15685" t="str">
        <f>"1220008D00050    00"</f>
        <v>1220008D00050    00</v>
      </c>
      <c r="B15685" t="s">
        <v>34294</v>
      </c>
      <c r="C15685" t="s">
        <v>34295</v>
      </c>
      <c r="E15685" t="s">
        <v>207</v>
      </c>
      <c r="F15685">
        <v>0</v>
      </c>
      <c r="G15685">
        <v>0</v>
      </c>
      <c r="H15685">
        <v>2</v>
      </c>
      <c r="I15685" s="3">
        <v>105401.8</v>
      </c>
      <c r="J15685" s="3">
        <v>4391.5600000000004</v>
      </c>
      <c r="K15685" t="s">
        <v>34296</v>
      </c>
      <c r="L15685">
        <v>17782</v>
      </c>
      <c r="M15685" t="s">
        <v>34297</v>
      </c>
      <c r="N15685" t="s">
        <v>16695</v>
      </c>
      <c r="O15685" t="s">
        <v>495</v>
      </c>
      <c r="P15685" t="str">
        <f>"92614"</f>
        <v>92614</v>
      </c>
    </row>
    <row r="15686" spans="1:16" x14ac:dyDescent="0.25">
      <c r="A15686" t="str">
        <f>"1220008G00137    00"</f>
        <v>1220008G00137    00</v>
      </c>
      <c r="B15686" t="s">
        <v>34298</v>
      </c>
      <c r="C15686" t="s">
        <v>34299</v>
      </c>
      <c r="E15686" t="s">
        <v>21</v>
      </c>
      <c r="F15686">
        <v>0</v>
      </c>
      <c r="G15686">
        <v>0</v>
      </c>
      <c r="H15686">
        <v>1</v>
      </c>
      <c r="I15686" s="3">
        <v>1276.3699999999999</v>
      </c>
      <c r="J15686" s="3">
        <v>0</v>
      </c>
      <c r="K15686" t="s">
        <v>34300</v>
      </c>
      <c r="L15686">
        <v>8250</v>
      </c>
      <c r="M15686" t="s">
        <v>34301</v>
      </c>
      <c r="N15686" t="s">
        <v>5232</v>
      </c>
      <c r="O15686" t="s">
        <v>3486</v>
      </c>
      <c r="P15686" t="str">
        <f>"60634"</f>
        <v>60634</v>
      </c>
    </row>
    <row r="15687" spans="1:16" x14ac:dyDescent="0.25">
      <c r="A15687" t="str">
        <f>"1220008G00138    00"</f>
        <v>1220008G00138    00</v>
      </c>
      <c r="B15687" t="s">
        <v>34298</v>
      </c>
      <c r="C15687" t="s">
        <v>34302</v>
      </c>
      <c r="E15687" t="s">
        <v>21</v>
      </c>
      <c r="F15687">
        <v>0</v>
      </c>
      <c r="G15687">
        <v>0</v>
      </c>
      <c r="H15687">
        <v>1</v>
      </c>
      <c r="I15687" s="3">
        <v>1276.3699999999999</v>
      </c>
      <c r="J15687" s="3">
        <v>10.64</v>
      </c>
      <c r="K15687" t="s">
        <v>34300</v>
      </c>
      <c r="L15687">
        <v>8250</v>
      </c>
      <c r="M15687" t="s">
        <v>34301</v>
      </c>
      <c r="N15687" t="s">
        <v>5232</v>
      </c>
      <c r="O15687" t="s">
        <v>3486</v>
      </c>
      <c r="P15687" t="str">
        <f>"60634"</f>
        <v>60634</v>
      </c>
    </row>
    <row r="15688" spans="1:16" x14ac:dyDescent="0.25">
      <c r="A15688" t="str">
        <f>"1220008G00205    00"</f>
        <v>1220008G00205    00</v>
      </c>
      <c r="B15688" t="s">
        <v>4503</v>
      </c>
      <c r="C15688" t="s">
        <v>34303</v>
      </c>
      <c r="E15688" t="s">
        <v>513</v>
      </c>
      <c r="F15688">
        <v>0</v>
      </c>
      <c r="G15688">
        <v>0</v>
      </c>
      <c r="H15688">
        <v>3</v>
      </c>
      <c r="I15688" s="3">
        <v>121.24</v>
      </c>
      <c r="J15688" s="3">
        <v>131.16999999999999</v>
      </c>
      <c r="L15688">
        <v>110</v>
      </c>
      <c r="M15688" t="s">
        <v>4504</v>
      </c>
      <c r="N15688" t="s">
        <v>4505</v>
      </c>
      <c r="O15688" t="s">
        <v>692</v>
      </c>
      <c r="P15688" t="str">
        <f>"24042"</f>
        <v>24042</v>
      </c>
    </row>
    <row r="15689" spans="1:16" x14ac:dyDescent="0.25">
      <c r="A15689" t="str">
        <f>"1220008H00044A   00"</f>
        <v>1220008H00044A   00</v>
      </c>
      <c r="B15689" t="s">
        <v>34304</v>
      </c>
      <c r="C15689" t="s">
        <v>34303</v>
      </c>
      <c r="D15689" t="s">
        <v>20</v>
      </c>
      <c r="E15689" t="s">
        <v>21</v>
      </c>
      <c r="F15689">
        <v>0</v>
      </c>
      <c r="G15689">
        <v>0</v>
      </c>
      <c r="H15689">
        <v>17</v>
      </c>
      <c r="I15689" s="3">
        <v>880.7</v>
      </c>
      <c r="J15689" s="3">
        <v>1186.8599999999999</v>
      </c>
      <c r="K15689" t="s">
        <v>1008</v>
      </c>
      <c r="P15689" t="str">
        <f>""</f>
        <v/>
      </c>
    </row>
    <row r="15690" spans="1:16" x14ac:dyDescent="0.25">
      <c r="A15690" t="str">
        <f>"1220008K00018    00"</f>
        <v>1220008K00018    00</v>
      </c>
      <c r="B15690" t="s">
        <v>34305</v>
      </c>
      <c r="C15690" t="s">
        <v>34306</v>
      </c>
      <c r="E15690" t="s">
        <v>21</v>
      </c>
      <c r="F15690">
        <v>0</v>
      </c>
      <c r="G15690">
        <v>0</v>
      </c>
      <c r="H15690">
        <v>2</v>
      </c>
      <c r="I15690" s="3">
        <v>25654.76</v>
      </c>
      <c r="J15690" s="3">
        <v>257.17</v>
      </c>
      <c r="K15690" t="s">
        <v>34307</v>
      </c>
      <c r="L15690">
        <v>1000</v>
      </c>
      <c r="M15690" t="s">
        <v>34308</v>
      </c>
      <c r="N15690" t="s">
        <v>3391</v>
      </c>
      <c r="O15690" t="s">
        <v>3392</v>
      </c>
      <c r="P15690" t="str">
        <f>"19801"</f>
        <v>19801</v>
      </c>
    </row>
    <row r="15691" spans="1:16" x14ac:dyDescent="0.25">
      <c r="A15691" t="str">
        <f>"1220022S00067    00"</f>
        <v>1220022S00067    00</v>
      </c>
      <c r="B15691" t="s">
        <v>34309</v>
      </c>
      <c r="C15691" t="s">
        <v>34310</v>
      </c>
      <c r="D15691" t="s">
        <v>20</v>
      </c>
      <c r="E15691" t="s">
        <v>39</v>
      </c>
      <c r="F15691">
        <v>0</v>
      </c>
      <c r="G15691">
        <v>0</v>
      </c>
      <c r="H15691">
        <v>2</v>
      </c>
      <c r="I15691" s="3">
        <v>9996.06</v>
      </c>
      <c r="J15691" s="3">
        <v>0</v>
      </c>
      <c r="L15691">
        <v>922</v>
      </c>
      <c r="M15691" t="s">
        <v>34247</v>
      </c>
      <c r="N15691" t="s">
        <v>30</v>
      </c>
      <c r="O15691" t="s">
        <v>31</v>
      </c>
      <c r="P15691" t="str">
        <f>"15233"</f>
        <v>15233</v>
      </c>
    </row>
    <row r="15692" spans="1:16" x14ac:dyDescent="0.25">
      <c r="A15692" t="str">
        <f>"1220022S00071    00"</f>
        <v>1220022S00071    00</v>
      </c>
      <c r="B15692" t="s">
        <v>34311</v>
      </c>
      <c r="C15692" t="s">
        <v>34312</v>
      </c>
      <c r="E15692" t="s">
        <v>39</v>
      </c>
      <c r="F15692">
        <v>0</v>
      </c>
      <c r="G15692">
        <v>0</v>
      </c>
      <c r="H15692">
        <v>2</v>
      </c>
      <c r="I15692" s="3">
        <v>6537.6</v>
      </c>
      <c r="J15692" s="3">
        <v>81.72</v>
      </c>
      <c r="K15692" t="s">
        <v>4989</v>
      </c>
      <c r="L15692">
        <v>3001</v>
      </c>
      <c r="M15692" t="s">
        <v>330</v>
      </c>
      <c r="N15692" t="s">
        <v>331</v>
      </c>
      <c r="O15692" t="s">
        <v>108</v>
      </c>
      <c r="P15692" t="str">
        <f>"75063"</f>
        <v>75063</v>
      </c>
    </row>
    <row r="15693" spans="1:16" x14ac:dyDescent="0.25">
      <c r="A15693" t="str">
        <f>"1220022S00094    00"</f>
        <v>1220022S00094    00</v>
      </c>
      <c r="B15693" t="s">
        <v>34313</v>
      </c>
      <c r="C15693" t="s">
        <v>34314</v>
      </c>
      <c r="D15693" t="s">
        <v>20</v>
      </c>
      <c r="E15693" t="s">
        <v>21</v>
      </c>
      <c r="F15693">
        <v>0</v>
      </c>
      <c r="G15693">
        <v>0</v>
      </c>
      <c r="H15693">
        <v>4</v>
      </c>
      <c r="I15693" s="3">
        <v>13152.88</v>
      </c>
      <c r="J15693" s="3">
        <v>1553.72</v>
      </c>
      <c r="L15693">
        <v>954</v>
      </c>
      <c r="M15693" t="s">
        <v>475</v>
      </c>
      <c r="N15693" t="s">
        <v>30</v>
      </c>
      <c r="O15693" t="s">
        <v>31</v>
      </c>
      <c r="P15693" t="str">
        <f>"15228"</f>
        <v>15228</v>
      </c>
    </row>
    <row r="15694" spans="1:16" x14ac:dyDescent="0.25">
      <c r="A15694" t="str">
        <f>"1220022S00143    00"</f>
        <v>1220022S00143    00</v>
      </c>
      <c r="B15694" t="s">
        <v>34315</v>
      </c>
      <c r="C15694" t="s">
        <v>34316</v>
      </c>
      <c r="D15694" t="s">
        <v>20</v>
      </c>
      <c r="E15694" t="s">
        <v>39</v>
      </c>
      <c r="F15694">
        <v>0</v>
      </c>
      <c r="G15694">
        <v>0</v>
      </c>
      <c r="H15694">
        <v>1</v>
      </c>
      <c r="I15694" s="3">
        <v>2137.09</v>
      </c>
      <c r="J15694" s="3">
        <v>0</v>
      </c>
      <c r="K15694" t="s">
        <v>34317</v>
      </c>
      <c r="L15694">
        <v>2160</v>
      </c>
      <c r="M15694" t="s">
        <v>19127</v>
      </c>
      <c r="N15694" t="s">
        <v>212</v>
      </c>
      <c r="O15694" t="s">
        <v>25</v>
      </c>
      <c r="P15694" t="str">
        <f>"44114"</f>
        <v>44114</v>
      </c>
    </row>
    <row r="15695" spans="1:16" x14ac:dyDescent="0.25">
      <c r="A15695" t="str">
        <f>"1220022S00145    00"</f>
        <v>1220022S00145    00</v>
      </c>
      <c r="B15695" t="s">
        <v>34318</v>
      </c>
      <c r="C15695" t="s">
        <v>34319</v>
      </c>
      <c r="D15695" t="s">
        <v>57</v>
      </c>
      <c r="E15695" t="s">
        <v>39</v>
      </c>
      <c r="F15695">
        <v>0</v>
      </c>
      <c r="G15695">
        <v>0</v>
      </c>
      <c r="H15695">
        <v>1</v>
      </c>
      <c r="I15695" s="3">
        <v>1215.22</v>
      </c>
      <c r="J15695" s="3">
        <v>1235.43</v>
      </c>
      <c r="K15695" t="s">
        <v>710</v>
      </c>
      <c r="L15695">
        <v>4140</v>
      </c>
      <c r="M15695" t="s">
        <v>711</v>
      </c>
      <c r="N15695" t="s">
        <v>712</v>
      </c>
      <c r="O15695" t="s">
        <v>31</v>
      </c>
      <c r="P15695" t="str">
        <f>"16148"</f>
        <v>16148</v>
      </c>
    </row>
    <row r="15696" spans="1:16" x14ac:dyDescent="0.25">
      <c r="A15696" t="str">
        <f>"1220022S00146    00"</f>
        <v>1220022S00146    00</v>
      </c>
      <c r="B15696" t="s">
        <v>34320</v>
      </c>
      <c r="C15696" t="s">
        <v>34321</v>
      </c>
      <c r="D15696" t="s">
        <v>20</v>
      </c>
      <c r="E15696" t="s">
        <v>39</v>
      </c>
      <c r="F15696">
        <v>0</v>
      </c>
      <c r="G15696">
        <v>0</v>
      </c>
      <c r="H15696">
        <v>3</v>
      </c>
      <c r="I15696" s="3">
        <v>14095</v>
      </c>
      <c r="J15696" s="3">
        <v>2322.41</v>
      </c>
      <c r="K15696" t="s">
        <v>34322</v>
      </c>
      <c r="L15696">
        <v>932</v>
      </c>
      <c r="M15696" t="s">
        <v>4860</v>
      </c>
      <c r="N15696" t="s">
        <v>30</v>
      </c>
      <c r="O15696" t="s">
        <v>31</v>
      </c>
      <c r="P15696" t="str">
        <f>"15233"</f>
        <v>15233</v>
      </c>
    </row>
    <row r="15697" spans="1:16" x14ac:dyDescent="0.25">
      <c r="A15697" t="str">
        <f>"1220022S00147    00"</f>
        <v>1220022S00147    00</v>
      </c>
      <c r="B15697" t="s">
        <v>34323</v>
      </c>
      <c r="C15697" t="s">
        <v>34324</v>
      </c>
      <c r="E15697" t="s">
        <v>39</v>
      </c>
      <c r="F15697">
        <v>0</v>
      </c>
      <c r="G15697">
        <v>0</v>
      </c>
      <c r="H15697">
        <v>1</v>
      </c>
      <c r="I15697" s="3">
        <v>67.349999999999994</v>
      </c>
      <c r="J15697" s="3">
        <v>21.32</v>
      </c>
      <c r="L15697">
        <v>930</v>
      </c>
      <c r="M15697" t="s">
        <v>4860</v>
      </c>
      <c r="N15697" t="s">
        <v>30</v>
      </c>
      <c r="O15697" t="s">
        <v>31</v>
      </c>
      <c r="P15697" t="str">
        <f>"15233"</f>
        <v>15233</v>
      </c>
    </row>
    <row r="15698" spans="1:16" x14ac:dyDescent="0.25">
      <c r="A15698" t="str">
        <f>"1220022S00161    00"</f>
        <v>1220022S00161    00</v>
      </c>
      <c r="B15698" t="s">
        <v>34325</v>
      </c>
      <c r="C15698" t="s">
        <v>34326</v>
      </c>
      <c r="D15698" t="s">
        <v>20</v>
      </c>
      <c r="E15698" t="s">
        <v>290</v>
      </c>
      <c r="F15698">
        <v>0</v>
      </c>
      <c r="G15698">
        <v>0</v>
      </c>
      <c r="H15698">
        <v>3</v>
      </c>
      <c r="I15698" s="3">
        <v>857.7</v>
      </c>
      <c r="J15698" s="3">
        <v>0</v>
      </c>
      <c r="L15698">
        <v>920</v>
      </c>
      <c r="M15698" t="s">
        <v>33603</v>
      </c>
      <c r="N15698" t="s">
        <v>30</v>
      </c>
      <c r="O15698" t="s">
        <v>31</v>
      </c>
      <c r="P15698" t="str">
        <f>"15233"</f>
        <v>15233</v>
      </c>
    </row>
    <row r="15699" spans="1:16" x14ac:dyDescent="0.25">
      <c r="A15699" t="str">
        <f>"1220022S00162    00"</f>
        <v>1220022S00162    00</v>
      </c>
      <c r="B15699" t="s">
        <v>34325</v>
      </c>
      <c r="C15699" t="s">
        <v>34326</v>
      </c>
      <c r="D15699" t="s">
        <v>20</v>
      </c>
      <c r="E15699" t="s">
        <v>290</v>
      </c>
      <c r="F15699">
        <v>0</v>
      </c>
      <c r="G15699">
        <v>0</v>
      </c>
      <c r="H15699">
        <v>3</v>
      </c>
      <c r="I15699" s="3">
        <v>857.7</v>
      </c>
      <c r="J15699" s="3">
        <v>0</v>
      </c>
      <c r="L15699">
        <v>920</v>
      </c>
      <c r="M15699" t="s">
        <v>33603</v>
      </c>
      <c r="N15699" t="s">
        <v>30</v>
      </c>
      <c r="O15699" t="s">
        <v>31</v>
      </c>
      <c r="P15699" t="str">
        <f>"15233"</f>
        <v>15233</v>
      </c>
    </row>
    <row r="15700" spans="1:16" x14ac:dyDescent="0.25">
      <c r="A15700" t="str">
        <f>"1220022S00187    00"</f>
        <v>1220022S00187    00</v>
      </c>
      <c r="B15700" t="s">
        <v>34325</v>
      </c>
      <c r="C15700" t="s">
        <v>34327</v>
      </c>
      <c r="D15700" t="s">
        <v>20</v>
      </c>
      <c r="E15700" t="s">
        <v>290</v>
      </c>
      <c r="F15700">
        <v>0</v>
      </c>
      <c r="G15700">
        <v>0</v>
      </c>
      <c r="H15700">
        <v>3</v>
      </c>
      <c r="I15700" s="3">
        <v>4860.3</v>
      </c>
      <c r="J15700" s="3">
        <v>0</v>
      </c>
      <c r="L15700">
        <v>920</v>
      </c>
      <c r="M15700" t="s">
        <v>33603</v>
      </c>
      <c r="N15700" t="s">
        <v>30</v>
      </c>
      <c r="O15700" t="s">
        <v>31</v>
      </c>
      <c r="P15700" t="str">
        <f>"15233"</f>
        <v>15233</v>
      </c>
    </row>
    <row r="15701" spans="1:16" x14ac:dyDescent="0.25">
      <c r="A15701" t="str">
        <f>"1220022S00196    00"</f>
        <v>1220022S00196    00</v>
      </c>
      <c r="B15701" t="s">
        <v>34328</v>
      </c>
      <c r="C15701" t="s">
        <v>34329</v>
      </c>
      <c r="D15701" t="s">
        <v>20</v>
      </c>
      <c r="E15701" t="s">
        <v>290</v>
      </c>
      <c r="F15701">
        <v>0</v>
      </c>
      <c r="G15701">
        <v>0</v>
      </c>
      <c r="H15701">
        <v>1</v>
      </c>
      <c r="I15701" s="3">
        <v>2626.48</v>
      </c>
      <c r="J15701" s="3">
        <v>0</v>
      </c>
      <c r="L15701">
        <v>1116</v>
      </c>
      <c r="M15701" t="s">
        <v>7241</v>
      </c>
      <c r="N15701" t="s">
        <v>30</v>
      </c>
      <c r="O15701" t="s">
        <v>31</v>
      </c>
      <c r="P15701" t="str">
        <f>"15206"</f>
        <v>15206</v>
      </c>
    </row>
    <row r="15702" spans="1:16" x14ac:dyDescent="0.25">
      <c r="A15702" t="str">
        <f>"1220022S00208    00"</f>
        <v>1220022S00208    00</v>
      </c>
      <c r="B15702" t="s">
        <v>34330</v>
      </c>
      <c r="C15702" t="s">
        <v>34331</v>
      </c>
      <c r="E15702" t="s">
        <v>21</v>
      </c>
      <c r="F15702">
        <v>0</v>
      </c>
      <c r="G15702">
        <v>0</v>
      </c>
      <c r="H15702">
        <v>1</v>
      </c>
      <c r="I15702" s="3">
        <v>3131.05</v>
      </c>
      <c r="J15702" s="3">
        <v>861.01</v>
      </c>
      <c r="L15702">
        <v>1200</v>
      </c>
      <c r="M15702" t="s">
        <v>34285</v>
      </c>
      <c r="N15702" t="s">
        <v>30</v>
      </c>
      <c r="O15702" t="s">
        <v>31</v>
      </c>
      <c r="P15702" t="str">
        <f>"15233"</f>
        <v>15233</v>
      </c>
    </row>
    <row r="15703" spans="1:16" x14ac:dyDescent="0.25">
      <c r="A15703" t="str">
        <f>"1220022S00234    00"</f>
        <v>1220022S00234    00</v>
      </c>
      <c r="B15703" t="s">
        <v>34332</v>
      </c>
      <c r="C15703" t="s">
        <v>34333</v>
      </c>
      <c r="D15703" t="s">
        <v>20</v>
      </c>
      <c r="E15703" t="s">
        <v>290</v>
      </c>
      <c r="F15703">
        <v>0</v>
      </c>
      <c r="G15703">
        <v>0</v>
      </c>
      <c r="H15703">
        <v>2</v>
      </c>
      <c r="I15703" s="3">
        <v>4631.6000000000004</v>
      </c>
      <c r="J15703" s="3">
        <v>0</v>
      </c>
      <c r="L15703">
        <v>912</v>
      </c>
      <c r="M15703" t="s">
        <v>34334</v>
      </c>
      <c r="N15703" t="s">
        <v>30</v>
      </c>
      <c r="O15703" t="s">
        <v>31</v>
      </c>
      <c r="P15703" t="str">
        <f>"15233"</f>
        <v>15233</v>
      </c>
    </row>
    <row r="15704" spans="1:16" x14ac:dyDescent="0.25">
      <c r="A15704" t="str">
        <f>"1220023J00191    00"</f>
        <v>1220023J00191    00</v>
      </c>
      <c r="B15704" t="s">
        <v>34335</v>
      </c>
      <c r="C15704" t="s">
        <v>34336</v>
      </c>
      <c r="D15704" t="s">
        <v>20</v>
      </c>
      <c r="E15704" t="s">
        <v>39</v>
      </c>
      <c r="F15704">
        <v>0</v>
      </c>
      <c r="G15704">
        <v>0</v>
      </c>
      <c r="H15704">
        <v>3</v>
      </c>
      <c r="I15704" s="3">
        <v>3172.67</v>
      </c>
      <c r="J15704" s="3">
        <v>205.43</v>
      </c>
      <c r="L15704">
        <v>704</v>
      </c>
      <c r="M15704" t="s">
        <v>15987</v>
      </c>
      <c r="N15704" t="s">
        <v>30</v>
      </c>
      <c r="O15704" t="s">
        <v>31</v>
      </c>
      <c r="P15704" t="str">
        <f>"15212"</f>
        <v>15212</v>
      </c>
    </row>
    <row r="15705" spans="1:16" x14ac:dyDescent="0.25">
      <c r="A15705" t="str">
        <f>"1220023J00211    00"</f>
        <v>1220023J00211    00</v>
      </c>
      <c r="B15705" t="s">
        <v>34337</v>
      </c>
      <c r="C15705" t="s">
        <v>34338</v>
      </c>
      <c r="E15705" t="s">
        <v>39</v>
      </c>
      <c r="F15705">
        <v>0</v>
      </c>
      <c r="G15705">
        <v>0</v>
      </c>
      <c r="H15705">
        <v>1</v>
      </c>
      <c r="I15705" s="3">
        <v>4846.21</v>
      </c>
      <c r="J15705" s="3">
        <v>1534.58</v>
      </c>
      <c r="K15705" t="s">
        <v>34339</v>
      </c>
      <c r="L15705">
        <v>8320</v>
      </c>
      <c r="M15705" t="s">
        <v>34340</v>
      </c>
      <c r="N15705" t="s">
        <v>22823</v>
      </c>
      <c r="O15705" t="s">
        <v>4784</v>
      </c>
      <c r="P15705" t="str">
        <f>"64114"</f>
        <v>64114</v>
      </c>
    </row>
    <row r="15706" spans="1:16" x14ac:dyDescent="0.25">
      <c r="A15706" t="str">
        <f>"1220023J00220    00"</f>
        <v>1220023J00220    00</v>
      </c>
      <c r="B15706" t="s">
        <v>34341</v>
      </c>
      <c r="C15706" t="s">
        <v>34342</v>
      </c>
      <c r="E15706" t="s">
        <v>39</v>
      </c>
      <c r="F15706">
        <v>0</v>
      </c>
      <c r="G15706">
        <v>0</v>
      </c>
      <c r="H15706">
        <v>2</v>
      </c>
      <c r="I15706" s="3">
        <v>2728.48</v>
      </c>
      <c r="J15706" s="3">
        <v>186.58</v>
      </c>
      <c r="K15706" t="s">
        <v>881</v>
      </c>
      <c r="L15706">
        <v>3001</v>
      </c>
      <c r="M15706" t="s">
        <v>330</v>
      </c>
      <c r="N15706" t="s">
        <v>331</v>
      </c>
      <c r="O15706" t="s">
        <v>108</v>
      </c>
      <c r="P15706" t="str">
        <f>"75063"</f>
        <v>75063</v>
      </c>
    </row>
    <row r="15707" spans="1:16" x14ac:dyDescent="0.25">
      <c r="A15707" t="str">
        <f>"1220023J00226    00"</f>
        <v>1220023J00226    00</v>
      </c>
      <c r="B15707" t="s">
        <v>34343</v>
      </c>
      <c r="C15707" t="s">
        <v>34344</v>
      </c>
      <c r="D15707" t="s">
        <v>20</v>
      </c>
      <c r="E15707" t="s">
        <v>39</v>
      </c>
      <c r="F15707">
        <v>0</v>
      </c>
      <c r="G15707">
        <v>0</v>
      </c>
      <c r="H15707">
        <v>1</v>
      </c>
      <c r="I15707" s="3">
        <v>2632.2</v>
      </c>
      <c r="J15707" s="3">
        <v>0</v>
      </c>
      <c r="L15707">
        <v>420</v>
      </c>
      <c r="M15707" t="s">
        <v>15987</v>
      </c>
      <c r="N15707" t="s">
        <v>30</v>
      </c>
      <c r="O15707" t="s">
        <v>31</v>
      </c>
      <c r="P15707" t="str">
        <f>"15212"</f>
        <v>15212</v>
      </c>
    </row>
    <row r="15708" spans="1:16" x14ac:dyDescent="0.25">
      <c r="A15708" t="str">
        <f>"1220023J00232    00"</f>
        <v>1220023J00232    00</v>
      </c>
      <c r="B15708" t="s">
        <v>34345</v>
      </c>
      <c r="C15708" t="s">
        <v>34346</v>
      </c>
      <c r="D15708" t="s">
        <v>20</v>
      </c>
      <c r="E15708" t="s">
        <v>39</v>
      </c>
      <c r="F15708">
        <v>0</v>
      </c>
      <c r="G15708">
        <v>0</v>
      </c>
      <c r="H15708">
        <v>2</v>
      </c>
      <c r="I15708" s="3">
        <v>7636.38</v>
      </c>
      <c r="J15708" s="3">
        <v>0</v>
      </c>
      <c r="K15708" t="s">
        <v>34347</v>
      </c>
      <c r="L15708">
        <v>1220</v>
      </c>
      <c r="M15708" t="s">
        <v>34348</v>
      </c>
      <c r="N15708" t="s">
        <v>30</v>
      </c>
      <c r="O15708" t="s">
        <v>31</v>
      </c>
      <c r="P15708" t="str">
        <f>"15212"</f>
        <v>15212</v>
      </c>
    </row>
    <row r="15709" spans="1:16" x14ac:dyDescent="0.25">
      <c r="A15709" t="str">
        <f>"1220023J00239    00"</f>
        <v>1220023J00239    00</v>
      </c>
      <c r="B15709" t="s">
        <v>34349</v>
      </c>
      <c r="C15709" t="s">
        <v>34350</v>
      </c>
      <c r="E15709" t="s">
        <v>39</v>
      </c>
      <c r="F15709">
        <v>0</v>
      </c>
      <c r="G15709">
        <v>0</v>
      </c>
      <c r="H15709">
        <v>2</v>
      </c>
      <c r="I15709" s="3">
        <v>7021.7</v>
      </c>
      <c r="J15709" s="3">
        <v>117.02</v>
      </c>
      <c r="K15709" t="s">
        <v>2302</v>
      </c>
      <c r="L15709">
        <v>3001</v>
      </c>
      <c r="M15709" t="s">
        <v>330</v>
      </c>
      <c r="N15709" t="s">
        <v>331</v>
      </c>
      <c r="O15709" t="s">
        <v>108</v>
      </c>
      <c r="P15709" t="str">
        <f>"75063"</f>
        <v>75063</v>
      </c>
    </row>
    <row r="15710" spans="1:16" x14ac:dyDescent="0.25">
      <c r="A15710" t="str">
        <f>"1220023J00252A   00"</f>
        <v>1220023J00252A   00</v>
      </c>
      <c r="B15710" t="s">
        <v>34351</v>
      </c>
      <c r="C15710" t="s">
        <v>34352</v>
      </c>
      <c r="D15710" t="s">
        <v>20</v>
      </c>
      <c r="E15710" t="s">
        <v>39</v>
      </c>
      <c r="F15710">
        <v>0</v>
      </c>
      <c r="G15710">
        <v>0</v>
      </c>
      <c r="H15710">
        <v>2</v>
      </c>
      <c r="I15710" s="3">
        <v>4077.38</v>
      </c>
      <c r="J15710" s="3">
        <v>0</v>
      </c>
      <c r="K15710" t="s">
        <v>34353</v>
      </c>
      <c r="L15710">
        <v>121</v>
      </c>
      <c r="M15710" t="s">
        <v>34354</v>
      </c>
      <c r="N15710" t="s">
        <v>1928</v>
      </c>
      <c r="O15710" t="s">
        <v>31</v>
      </c>
      <c r="P15710" t="str">
        <f>"15317"</f>
        <v>15317</v>
      </c>
    </row>
    <row r="15711" spans="1:16" x14ac:dyDescent="0.25">
      <c r="A15711" t="str">
        <f>"1220023J00252D   00"</f>
        <v>1220023J00252D   00</v>
      </c>
      <c r="B15711" t="s">
        <v>34355</v>
      </c>
      <c r="C15711" t="s">
        <v>34356</v>
      </c>
      <c r="E15711" t="s">
        <v>39</v>
      </c>
      <c r="F15711">
        <v>0</v>
      </c>
      <c r="G15711">
        <v>0</v>
      </c>
      <c r="H15711">
        <v>1</v>
      </c>
      <c r="I15711" s="3">
        <v>379.15</v>
      </c>
      <c r="J15711" s="3">
        <v>85.31</v>
      </c>
      <c r="K15711" t="s">
        <v>23058</v>
      </c>
      <c r="L15711">
        <v>901</v>
      </c>
      <c r="M15711" t="s">
        <v>1503</v>
      </c>
      <c r="N15711" t="s">
        <v>494</v>
      </c>
      <c r="O15711" t="s">
        <v>495</v>
      </c>
      <c r="P15711" t="str">
        <f>"91768"</f>
        <v>91768</v>
      </c>
    </row>
    <row r="15712" spans="1:16" x14ac:dyDescent="0.25">
      <c r="A15712" t="str">
        <f>"1220023J00255    00"</f>
        <v>1220023J00255    00</v>
      </c>
      <c r="B15712" t="s">
        <v>34357</v>
      </c>
      <c r="C15712" t="s">
        <v>34358</v>
      </c>
      <c r="E15712" t="s">
        <v>39</v>
      </c>
      <c r="F15712">
        <v>0</v>
      </c>
      <c r="G15712">
        <v>0</v>
      </c>
      <c r="H15712">
        <v>2</v>
      </c>
      <c r="I15712" s="3">
        <v>4402.88</v>
      </c>
      <c r="J15712" s="3">
        <v>55.03</v>
      </c>
      <c r="K15712" t="s">
        <v>34359</v>
      </c>
      <c r="L15712">
        <v>1242</v>
      </c>
      <c r="M15712" t="s">
        <v>34348</v>
      </c>
      <c r="N15712" t="s">
        <v>30</v>
      </c>
      <c r="O15712" t="s">
        <v>31</v>
      </c>
      <c r="P15712" t="str">
        <f>"15212"</f>
        <v>15212</v>
      </c>
    </row>
    <row r="15713" spans="1:16" x14ac:dyDescent="0.25">
      <c r="A15713" t="str">
        <f>"1220023J00266    00"</f>
        <v>1220023J00266    00</v>
      </c>
      <c r="B15713" t="s">
        <v>34360</v>
      </c>
      <c r="C15713" t="s">
        <v>34361</v>
      </c>
      <c r="D15713" t="s">
        <v>20</v>
      </c>
      <c r="E15713" t="s">
        <v>39</v>
      </c>
      <c r="F15713">
        <v>0</v>
      </c>
      <c r="G15713">
        <v>0</v>
      </c>
      <c r="H15713">
        <v>2</v>
      </c>
      <c r="I15713" s="3">
        <v>720.85</v>
      </c>
      <c r="J15713" s="3">
        <v>0</v>
      </c>
      <c r="L15713">
        <v>29</v>
      </c>
      <c r="M15713" t="s">
        <v>34362</v>
      </c>
      <c r="N15713" t="s">
        <v>149</v>
      </c>
      <c r="O15713" t="s">
        <v>31</v>
      </c>
      <c r="P15713" t="str">
        <f>"15106"</f>
        <v>15106</v>
      </c>
    </row>
    <row r="15714" spans="1:16" x14ac:dyDescent="0.25">
      <c r="A15714" t="str">
        <f>"1220023J00285    00"</f>
        <v>1220023J00285    00</v>
      </c>
      <c r="B15714" t="s">
        <v>34363</v>
      </c>
      <c r="C15714" t="s">
        <v>34364</v>
      </c>
      <c r="E15714" t="s">
        <v>39</v>
      </c>
      <c r="F15714">
        <v>0</v>
      </c>
      <c r="G15714">
        <v>0</v>
      </c>
      <c r="H15714">
        <v>1</v>
      </c>
      <c r="I15714" s="3">
        <v>2201.44</v>
      </c>
      <c r="J15714" s="3">
        <v>55.03</v>
      </c>
      <c r="K15714" t="s">
        <v>403</v>
      </c>
      <c r="L15714">
        <v>3001</v>
      </c>
      <c r="M15714" t="s">
        <v>404</v>
      </c>
      <c r="N15714" t="s">
        <v>331</v>
      </c>
      <c r="O15714" t="s">
        <v>108</v>
      </c>
      <c r="P15714" t="str">
        <f>"75063"</f>
        <v>75063</v>
      </c>
    </row>
    <row r="15715" spans="1:16" x14ac:dyDescent="0.25">
      <c r="A15715" t="str">
        <f>"1220023J00286    00"</f>
        <v>1220023J00286    00</v>
      </c>
      <c r="B15715" t="s">
        <v>34365</v>
      </c>
      <c r="C15715" t="s">
        <v>34366</v>
      </c>
      <c r="D15715" t="s">
        <v>20</v>
      </c>
      <c r="E15715" t="s">
        <v>39</v>
      </c>
      <c r="F15715">
        <v>0</v>
      </c>
      <c r="G15715">
        <v>0</v>
      </c>
      <c r="H15715">
        <v>3</v>
      </c>
      <c r="I15715" s="3">
        <v>8410.02</v>
      </c>
      <c r="J15715" s="3">
        <v>9.83</v>
      </c>
      <c r="K15715" t="s">
        <v>34367</v>
      </c>
      <c r="L15715">
        <v>1231</v>
      </c>
      <c r="M15715" t="s">
        <v>34348</v>
      </c>
      <c r="N15715" t="s">
        <v>30</v>
      </c>
      <c r="O15715" t="s">
        <v>31</v>
      </c>
      <c r="P15715" t="str">
        <f>"15212"</f>
        <v>15212</v>
      </c>
    </row>
    <row r="15716" spans="1:16" x14ac:dyDescent="0.25">
      <c r="A15716" t="str">
        <f>"1220023J00294000200"</f>
        <v>1220023J00294000200</v>
      </c>
      <c r="B15716" t="s">
        <v>34368</v>
      </c>
      <c r="C15716" t="s">
        <v>34369</v>
      </c>
      <c r="D15716" t="s">
        <v>20</v>
      </c>
      <c r="E15716" t="s">
        <v>39</v>
      </c>
      <c r="F15716">
        <v>0</v>
      </c>
      <c r="G15716">
        <v>0</v>
      </c>
      <c r="H15716">
        <v>4</v>
      </c>
      <c r="I15716" s="3">
        <v>4056.9</v>
      </c>
      <c r="J15716" s="3">
        <v>876.83</v>
      </c>
      <c r="K15716" t="s">
        <v>4992</v>
      </c>
      <c r="L15716">
        <v>18111</v>
      </c>
      <c r="M15716" t="s">
        <v>4993</v>
      </c>
      <c r="N15716" t="s">
        <v>107</v>
      </c>
      <c r="O15716" t="s">
        <v>108</v>
      </c>
      <c r="P15716" t="str">
        <f>"75252"</f>
        <v>75252</v>
      </c>
    </row>
    <row r="15717" spans="1:16" x14ac:dyDescent="0.25">
      <c r="A15717" t="str">
        <f>"1220023J00297    00"</f>
        <v>1220023J00297    00</v>
      </c>
      <c r="B15717" t="s">
        <v>34370</v>
      </c>
      <c r="C15717" t="s">
        <v>34371</v>
      </c>
      <c r="D15717" t="s">
        <v>20</v>
      </c>
      <c r="E15717" t="s">
        <v>39</v>
      </c>
      <c r="F15717">
        <v>0</v>
      </c>
      <c r="G15717">
        <v>0</v>
      </c>
      <c r="H15717">
        <v>3</v>
      </c>
      <c r="I15717" s="3">
        <v>4115.07</v>
      </c>
      <c r="J15717" s="3">
        <v>91.12</v>
      </c>
      <c r="K15717" t="s">
        <v>34372</v>
      </c>
      <c r="L15717">
        <v>3645</v>
      </c>
      <c r="M15717" t="s">
        <v>34373</v>
      </c>
      <c r="N15717" t="s">
        <v>34374</v>
      </c>
      <c r="O15717" t="s">
        <v>8605</v>
      </c>
      <c r="P15717" t="str">
        <f>"53402"</f>
        <v>53402</v>
      </c>
    </row>
    <row r="15718" spans="1:16" x14ac:dyDescent="0.25">
      <c r="A15718" t="str">
        <f>"1220023J00298    00"</f>
        <v>1220023J00298    00</v>
      </c>
      <c r="B15718" t="s">
        <v>34375</v>
      </c>
      <c r="C15718" t="s">
        <v>34376</v>
      </c>
      <c r="E15718" t="s">
        <v>39</v>
      </c>
      <c r="F15718">
        <v>0</v>
      </c>
      <c r="G15718">
        <v>0</v>
      </c>
      <c r="H15718">
        <v>2</v>
      </c>
      <c r="I15718" s="3">
        <v>1154.7</v>
      </c>
      <c r="J15718" s="3">
        <v>72.900000000000006</v>
      </c>
      <c r="K15718" t="s">
        <v>1135</v>
      </c>
      <c r="L15718">
        <v>3001</v>
      </c>
      <c r="M15718" t="s">
        <v>330</v>
      </c>
      <c r="N15718" t="s">
        <v>331</v>
      </c>
      <c r="O15718" t="s">
        <v>108</v>
      </c>
      <c r="P15718" t="str">
        <f>"75063"</f>
        <v>75063</v>
      </c>
    </row>
    <row r="15719" spans="1:16" x14ac:dyDescent="0.25">
      <c r="A15719" t="str">
        <f>"1220023J00306    00"</f>
        <v>1220023J00306    00</v>
      </c>
      <c r="B15719" t="s">
        <v>34377</v>
      </c>
      <c r="C15719" t="s">
        <v>34378</v>
      </c>
      <c r="E15719" t="s">
        <v>39</v>
      </c>
      <c r="F15719">
        <v>0</v>
      </c>
      <c r="G15719">
        <v>0</v>
      </c>
      <c r="H15719">
        <v>1</v>
      </c>
      <c r="I15719" s="3">
        <v>35</v>
      </c>
      <c r="J15719" s="3">
        <v>9.6199999999999992</v>
      </c>
      <c r="L15719">
        <v>1231</v>
      </c>
      <c r="M15719" t="s">
        <v>34379</v>
      </c>
      <c r="N15719" t="s">
        <v>30</v>
      </c>
      <c r="O15719" t="s">
        <v>31</v>
      </c>
      <c r="P15719" t="str">
        <f>"15212"</f>
        <v>15212</v>
      </c>
    </row>
    <row r="15720" spans="1:16" x14ac:dyDescent="0.25">
      <c r="A15720" t="str">
        <f>"1220023J00316    00"</f>
        <v>1220023J00316    00</v>
      </c>
      <c r="B15720" t="s">
        <v>34380</v>
      </c>
      <c r="C15720" t="s">
        <v>34381</v>
      </c>
      <c r="E15720" t="s">
        <v>39</v>
      </c>
      <c r="F15720">
        <v>0</v>
      </c>
      <c r="G15720">
        <v>0</v>
      </c>
      <c r="H15720">
        <v>1</v>
      </c>
      <c r="I15720" s="3">
        <v>851.99</v>
      </c>
      <c r="J15720" s="3">
        <v>0</v>
      </c>
      <c r="K15720" t="s">
        <v>34382</v>
      </c>
      <c r="L15720">
        <v>1219</v>
      </c>
      <c r="M15720" t="s">
        <v>3938</v>
      </c>
      <c r="N15720" t="s">
        <v>30</v>
      </c>
      <c r="O15720" t="s">
        <v>31</v>
      </c>
      <c r="P15720" t="str">
        <f>"15212"</f>
        <v>15212</v>
      </c>
    </row>
    <row r="15721" spans="1:16" x14ac:dyDescent="0.25">
      <c r="A15721" t="str">
        <f>"1220023J00328    00"</f>
        <v>1220023J00328    00</v>
      </c>
      <c r="B15721" t="s">
        <v>34383</v>
      </c>
      <c r="C15721" t="s">
        <v>34384</v>
      </c>
      <c r="D15721" t="s">
        <v>57</v>
      </c>
      <c r="E15721" t="s">
        <v>39</v>
      </c>
      <c r="F15721">
        <v>0</v>
      </c>
      <c r="G15721">
        <v>0</v>
      </c>
      <c r="H15721">
        <v>1</v>
      </c>
      <c r="I15721" s="3">
        <v>3692.15</v>
      </c>
      <c r="J15721" s="3">
        <v>1025.33</v>
      </c>
      <c r="K15721" t="s">
        <v>5432</v>
      </c>
      <c r="L15721">
        <v>3001</v>
      </c>
      <c r="M15721" t="s">
        <v>330</v>
      </c>
      <c r="N15721" t="s">
        <v>331</v>
      </c>
      <c r="O15721" t="s">
        <v>108</v>
      </c>
      <c r="P15721" t="str">
        <f>"75063"</f>
        <v>75063</v>
      </c>
    </row>
    <row r="15722" spans="1:16" x14ac:dyDescent="0.25">
      <c r="A15722" t="str">
        <f>"1220023K00066    00"</f>
        <v>1220023K00066    00</v>
      </c>
      <c r="B15722" t="s">
        <v>34385</v>
      </c>
      <c r="C15722" t="s">
        <v>34386</v>
      </c>
      <c r="E15722" t="s">
        <v>39</v>
      </c>
      <c r="F15722">
        <v>0</v>
      </c>
      <c r="G15722">
        <v>0</v>
      </c>
      <c r="H15722">
        <v>2</v>
      </c>
      <c r="I15722" s="3">
        <v>5188.16</v>
      </c>
      <c r="J15722" s="3">
        <v>259.39</v>
      </c>
      <c r="K15722" t="s">
        <v>391</v>
      </c>
      <c r="L15722">
        <v>1</v>
      </c>
      <c r="M15722" t="s">
        <v>392</v>
      </c>
      <c r="N15722" t="s">
        <v>393</v>
      </c>
      <c r="O15722" t="s">
        <v>394</v>
      </c>
      <c r="P15722" t="str">
        <f>"50328"</f>
        <v>50328</v>
      </c>
    </row>
    <row r="15723" spans="1:16" x14ac:dyDescent="0.25">
      <c r="A15723" t="str">
        <f>"1220023K00110    00"</f>
        <v>1220023K00110    00</v>
      </c>
      <c r="B15723" t="s">
        <v>34387</v>
      </c>
      <c r="C15723" t="s">
        <v>34388</v>
      </c>
      <c r="D15723" t="s">
        <v>20</v>
      </c>
      <c r="E15723" t="s">
        <v>39</v>
      </c>
      <c r="F15723">
        <v>0</v>
      </c>
      <c r="G15723">
        <v>0</v>
      </c>
      <c r="H15723">
        <v>3</v>
      </c>
      <c r="I15723" s="3">
        <v>9469.02</v>
      </c>
      <c r="J15723" s="3">
        <v>78.900000000000006</v>
      </c>
      <c r="K15723" t="s">
        <v>391</v>
      </c>
      <c r="L15723">
        <v>1</v>
      </c>
      <c r="M15723" t="s">
        <v>392</v>
      </c>
      <c r="N15723" t="s">
        <v>393</v>
      </c>
      <c r="O15723" t="s">
        <v>394</v>
      </c>
      <c r="P15723" t="str">
        <f>"50328"</f>
        <v>50328</v>
      </c>
    </row>
    <row r="15724" spans="1:16" x14ac:dyDescent="0.25">
      <c r="A15724" t="str">
        <f>"1220023K00135    00"</f>
        <v>1220023K00135    00</v>
      </c>
      <c r="B15724" t="s">
        <v>34389</v>
      </c>
      <c r="C15724" t="s">
        <v>34390</v>
      </c>
      <c r="E15724" t="s">
        <v>39</v>
      </c>
      <c r="F15724">
        <v>0</v>
      </c>
      <c r="G15724">
        <v>0</v>
      </c>
      <c r="H15724">
        <v>1</v>
      </c>
      <c r="I15724" s="3">
        <v>610.47</v>
      </c>
      <c r="J15724" s="3">
        <v>851.14</v>
      </c>
      <c r="K15724" t="s">
        <v>5352</v>
      </c>
      <c r="L15724">
        <v>3001</v>
      </c>
      <c r="M15724" t="s">
        <v>330</v>
      </c>
      <c r="N15724" t="s">
        <v>331</v>
      </c>
      <c r="O15724" t="s">
        <v>108</v>
      </c>
      <c r="P15724" t="str">
        <f>"75063"</f>
        <v>75063</v>
      </c>
    </row>
    <row r="15725" spans="1:16" x14ac:dyDescent="0.25">
      <c r="A15725" t="str">
        <f>"1220023K00146    00"</f>
        <v>1220023K00146    00</v>
      </c>
      <c r="B15725" t="s">
        <v>34391</v>
      </c>
      <c r="C15725" t="s">
        <v>34392</v>
      </c>
      <c r="E15725" t="s">
        <v>39</v>
      </c>
      <c r="F15725">
        <v>0</v>
      </c>
      <c r="G15725">
        <v>0</v>
      </c>
      <c r="H15725">
        <v>2</v>
      </c>
      <c r="I15725" s="3">
        <v>2283.4</v>
      </c>
      <c r="J15725" s="3">
        <v>28.54</v>
      </c>
      <c r="K15725" t="s">
        <v>34393</v>
      </c>
      <c r="L15725">
        <v>1220</v>
      </c>
      <c r="M15725" t="s">
        <v>34394</v>
      </c>
      <c r="N15725" t="s">
        <v>30</v>
      </c>
      <c r="O15725" t="s">
        <v>31</v>
      </c>
      <c r="P15725" t="str">
        <f>"15212"</f>
        <v>15212</v>
      </c>
    </row>
    <row r="15726" spans="1:16" x14ac:dyDescent="0.25">
      <c r="A15726" t="str">
        <f>"1220023K00159    00"</f>
        <v>1220023K00159    00</v>
      </c>
      <c r="B15726" t="s">
        <v>34395</v>
      </c>
      <c r="C15726" t="s">
        <v>34396</v>
      </c>
      <c r="D15726" t="s">
        <v>20</v>
      </c>
      <c r="E15726" t="s">
        <v>21</v>
      </c>
      <c r="F15726">
        <v>0</v>
      </c>
      <c r="G15726">
        <v>0</v>
      </c>
      <c r="H15726">
        <v>2</v>
      </c>
      <c r="I15726" s="3">
        <v>213.52</v>
      </c>
      <c r="J15726" s="3">
        <v>21.35</v>
      </c>
      <c r="L15726">
        <v>302</v>
      </c>
      <c r="M15726" t="s">
        <v>4860</v>
      </c>
      <c r="N15726" t="s">
        <v>30</v>
      </c>
      <c r="O15726" t="s">
        <v>31</v>
      </c>
      <c r="P15726" t="str">
        <f>"15212"</f>
        <v>15212</v>
      </c>
    </row>
    <row r="15727" spans="1:16" x14ac:dyDescent="0.25">
      <c r="A15727" t="str">
        <f>"1220023K00160    00"</f>
        <v>1220023K00160    00</v>
      </c>
      <c r="B15727" t="s">
        <v>34395</v>
      </c>
      <c r="C15727" t="s">
        <v>34396</v>
      </c>
      <c r="D15727" t="s">
        <v>20</v>
      </c>
      <c r="E15727" t="s">
        <v>21</v>
      </c>
      <c r="F15727">
        <v>0</v>
      </c>
      <c r="G15727">
        <v>0</v>
      </c>
      <c r="H15727">
        <v>2</v>
      </c>
      <c r="I15727" s="3">
        <v>213.52</v>
      </c>
      <c r="J15727" s="3">
        <v>21.35</v>
      </c>
      <c r="L15727">
        <v>302</v>
      </c>
      <c r="M15727" t="s">
        <v>4860</v>
      </c>
      <c r="N15727" t="s">
        <v>30</v>
      </c>
      <c r="O15727" t="s">
        <v>31</v>
      </c>
      <c r="P15727" t="str">
        <f>"15212"</f>
        <v>15212</v>
      </c>
    </row>
    <row r="15728" spans="1:16" x14ac:dyDescent="0.25">
      <c r="A15728" t="str">
        <f>"1220023K00161    00"</f>
        <v>1220023K00161    00</v>
      </c>
      <c r="B15728" t="s">
        <v>34395</v>
      </c>
      <c r="C15728" t="s">
        <v>34396</v>
      </c>
      <c r="D15728" t="s">
        <v>20</v>
      </c>
      <c r="E15728" t="s">
        <v>21</v>
      </c>
      <c r="F15728">
        <v>0</v>
      </c>
      <c r="G15728">
        <v>0</v>
      </c>
      <c r="H15728">
        <v>2</v>
      </c>
      <c r="I15728" s="3">
        <v>213.48</v>
      </c>
      <c r="J15728" s="3">
        <v>21.35</v>
      </c>
      <c r="L15728">
        <v>302</v>
      </c>
      <c r="M15728" t="s">
        <v>4860</v>
      </c>
      <c r="N15728" t="s">
        <v>30</v>
      </c>
      <c r="O15728" t="s">
        <v>31</v>
      </c>
      <c r="P15728" t="str">
        <f>"15212"</f>
        <v>15212</v>
      </c>
    </row>
    <row r="15729" spans="1:16" x14ac:dyDescent="0.25">
      <c r="A15729" t="str">
        <f>"1220023K00163    00"</f>
        <v>1220023K00163    00</v>
      </c>
      <c r="B15729" t="s">
        <v>34395</v>
      </c>
      <c r="C15729" t="s">
        <v>34396</v>
      </c>
      <c r="D15729" t="s">
        <v>20</v>
      </c>
      <c r="E15729" t="s">
        <v>21</v>
      </c>
      <c r="F15729">
        <v>0</v>
      </c>
      <c r="G15729">
        <v>0</v>
      </c>
      <c r="H15729">
        <v>3</v>
      </c>
      <c r="I15729" s="3">
        <v>451.74</v>
      </c>
      <c r="J15729" s="3">
        <v>30.12</v>
      </c>
      <c r="L15729">
        <v>302</v>
      </c>
      <c r="M15729" t="s">
        <v>4860</v>
      </c>
      <c r="N15729" t="s">
        <v>30</v>
      </c>
      <c r="O15729" t="s">
        <v>31</v>
      </c>
      <c r="P15729" t="str">
        <f>"15212"</f>
        <v>15212</v>
      </c>
    </row>
    <row r="15730" spans="1:16" x14ac:dyDescent="0.25">
      <c r="A15730" t="str">
        <f>"1220023K00176    00"</f>
        <v>1220023K00176    00</v>
      </c>
      <c r="B15730" t="s">
        <v>7005</v>
      </c>
      <c r="C15730" t="s">
        <v>34397</v>
      </c>
      <c r="D15730" t="s">
        <v>20</v>
      </c>
      <c r="E15730" t="s">
        <v>39</v>
      </c>
      <c r="F15730">
        <v>0</v>
      </c>
      <c r="G15730">
        <v>0</v>
      </c>
      <c r="H15730">
        <v>1</v>
      </c>
      <c r="I15730" s="3">
        <v>3558.51</v>
      </c>
      <c r="J15730" s="3">
        <v>0</v>
      </c>
      <c r="K15730" t="s">
        <v>7007</v>
      </c>
      <c r="L15730">
        <v>5704</v>
      </c>
      <c r="M15730" t="s">
        <v>7008</v>
      </c>
      <c r="N15730" t="s">
        <v>30</v>
      </c>
      <c r="O15730" t="s">
        <v>31</v>
      </c>
      <c r="P15730" t="str">
        <f>"15217"</f>
        <v>15217</v>
      </c>
    </row>
    <row r="15731" spans="1:16" x14ac:dyDescent="0.25">
      <c r="A15731" t="str">
        <f>"1220023K00183    00"</f>
        <v>1220023K00183    00</v>
      </c>
      <c r="B15731" t="s">
        <v>34398</v>
      </c>
      <c r="C15731" t="s">
        <v>34399</v>
      </c>
      <c r="E15731" t="s">
        <v>39</v>
      </c>
      <c r="F15731">
        <v>0</v>
      </c>
      <c r="G15731">
        <v>0</v>
      </c>
      <c r="H15731">
        <v>1</v>
      </c>
      <c r="I15731" s="3">
        <v>462.24</v>
      </c>
      <c r="J15731" s="3">
        <v>19.260000000000002</v>
      </c>
      <c r="K15731" t="s">
        <v>5432</v>
      </c>
      <c r="L15731">
        <v>3001</v>
      </c>
      <c r="M15731" t="s">
        <v>330</v>
      </c>
      <c r="N15731" t="s">
        <v>331</v>
      </c>
      <c r="O15731" t="s">
        <v>108</v>
      </c>
      <c r="P15731" t="str">
        <f>"75063"</f>
        <v>75063</v>
      </c>
    </row>
    <row r="15732" spans="1:16" x14ac:dyDescent="0.25">
      <c r="A15732" t="str">
        <f>"1220023K00218A   00"</f>
        <v>1220023K00218A   00</v>
      </c>
      <c r="B15732" t="s">
        <v>34400</v>
      </c>
      <c r="C15732" t="s">
        <v>34401</v>
      </c>
      <c r="D15732" t="s">
        <v>20</v>
      </c>
      <c r="E15732" t="s">
        <v>39</v>
      </c>
      <c r="F15732">
        <v>0</v>
      </c>
      <c r="G15732">
        <v>0</v>
      </c>
      <c r="H15732">
        <v>2</v>
      </c>
      <c r="I15732" s="3">
        <v>1788.51</v>
      </c>
      <c r="J15732" s="3">
        <v>14.91</v>
      </c>
      <c r="K15732" t="s">
        <v>34402</v>
      </c>
      <c r="L15732">
        <v>1302</v>
      </c>
      <c r="M15732" t="s">
        <v>34403</v>
      </c>
      <c r="N15732" t="s">
        <v>30</v>
      </c>
      <c r="O15732" t="s">
        <v>31</v>
      </c>
      <c r="P15732" t="str">
        <f>"15212"</f>
        <v>15212</v>
      </c>
    </row>
    <row r="15733" spans="1:16" x14ac:dyDescent="0.25">
      <c r="A15733" t="str">
        <f>"1220023K00230    00"</f>
        <v>1220023K00230    00</v>
      </c>
      <c r="B15733" t="s">
        <v>34404</v>
      </c>
      <c r="C15733" t="s">
        <v>34405</v>
      </c>
      <c r="E15733" t="s">
        <v>39</v>
      </c>
      <c r="F15733">
        <v>0</v>
      </c>
      <c r="G15733">
        <v>0</v>
      </c>
      <c r="H15733">
        <v>2</v>
      </c>
      <c r="I15733" s="3">
        <v>5666.83</v>
      </c>
      <c r="J15733" s="3">
        <v>63.61</v>
      </c>
      <c r="K15733" t="s">
        <v>34406</v>
      </c>
      <c r="L15733">
        <v>1223</v>
      </c>
      <c r="M15733" t="s">
        <v>32724</v>
      </c>
      <c r="N15733" t="s">
        <v>30</v>
      </c>
      <c r="O15733" t="s">
        <v>31</v>
      </c>
      <c r="P15733" t="str">
        <f>"15212"</f>
        <v>15212</v>
      </c>
    </row>
    <row r="15734" spans="1:16" x14ac:dyDescent="0.25">
      <c r="A15734" t="str">
        <f>"1220023K00233    00"</f>
        <v>1220023K00233    00</v>
      </c>
      <c r="B15734" t="s">
        <v>34404</v>
      </c>
      <c r="C15734" t="s">
        <v>34407</v>
      </c>
      <c r="D15734" t="s">
        <v>20</v>
      </c>
      <c r="E15734" t="s">
        <v>39</v>
      </c>
      <c r="F15734">
        <v>0</v>
      </c>
      <c r="G15734">
        <v>0</v>
      </c>
      <c r="H15734">
        <v>3</v>
      </c>
      <c r="I15734" s="3">
        <v>28.19</v>
      </c>
      <c r="J15734" s="3">
        <v>0.28000000000000003</v>
      </c>
      <c r="K15734" t="s">
        <v>34406</v>
      </c>
      <c r="L15734">
        <v>1223</v>
      </c>
      <c r="M15734" t="s">
        <v>32724</v>
      </c>
      <c r="N15734" t="s">
        <v>30</v>
      </c>
      <c r="O15734" t="s">
        <v>31</v>
      </c>
      <c r="P15734" t="str">
        <f>"15212"</f>
        <v>15212</v>
      </c>
    </row>
    <row r="15735" spans="1:16" x14ac:dyDescent="0.25">
      <c r="A15735" t="str">
        <f>"1220023K00235    00"</f>
        <v>1220023K00235    00</v>
      </c>
      <c r="B15735" t="s">
        <v>34408</v>
      </c>
      <c r="C15735" t="s">
        <v>34409</v>
      </c>
      <c r="D15735" t="s">
        <v>20</v>
      </c>
      <c r="E15735" t="s">
        <v>39</v>
      </c>
      <c r="F15735">
        <v>0</v>
      </c>
      <c r="G15735">
        <v>0</v>
      </c>
      <c r="H15735">
        <v>3</v>
      </c>
      <c r="I15735" s="3">
        <v>5672.25</v>
      </c>
      <c r="J15735" s="3">
        <v>47.27</v>
      </c>
      <c r="K15735" t="s">
        <v>34410</v>
      </c>
      <c r="L15735">
        <v>508</v>
      </c>
      <c r="M15735" t="s">
        <v>34411</v>
      </c>
      <c r="N15735" t="s">
        <v>30</v>
      </c>
      <c r="O15735" t="s">
        <v>31</v>
      </c>
      <c r="P15735" t="str">
        <f>"15212"</f>
        <v>15212</v>
      </c>
    </row>
    <row r="15736" spans="1:16" x14ac:dyDescent="0.25">
      <c r="A15736" t="str">
        <f>"1220023K00236A   00"</f>
        <v>1220023K00236A   00</v>
      </c>
      <c r="B15736" t="s">
        <v>34412</v>
      </c>
      <c r="C15736" t="s">
        <v>34413</v>
      </c>
      <c r="E15736" t="s">
        <v>39</v>
      </c>
      <c r="F15736">
        <v>0</v>
      </c>
      <c r="G15736">
        <v>0</v>
      </c>
      <c r="H15736">
        <v>2</v>
      </c>
      <c r="I15736" s="3">
        <v>839.04</v>
      </c>
      <c r="J15736" s="3">
        <v>0</v>
      </c>
      <c r="K15736" t="s">
        <v>6184</v>
      </c>
      <c r="L15736">
        <v>901</v>
      </c>
      <c r="M15736" t="s">
        <v>1503</v>
      </c>
      <c r="N15736" t="s">
        <v>494</v>
      </c>
      <c r="O15736" t="s">
        <v>495</v>
      </c>
      <c r="P15736" t="str">
        <f>"91768"</f>
        <v>91768</v>
      </c>
    </row>
    <row r="15737" spans="1:16" x14ac:dyDescent="0.25">
      <c r="A15737" t="str">
        <f>"1220023K00237    00"</f>
        <v>1220023K00237    00</v>
      </c>
      <c r="B15737" t="s">
        <v>34414</v>
      </c>
      <c r="C15737" t="s">
        <v>34415</v>
      </c>
      <c r="E15737" t="s">
        <v>39</v>
      </c>
      <c r="F15737">
        <v>0</v>
      </c>
      <c r="G15737">
        <v>0</v>
      </c>
      <c r="H15737">
        <v>1</v>
      </c>
      <c r="I15737" s="3">
        <v>991.12</v>
      </c>
      <c r="J15737" s="3">
        <v>0</v>
      </c>
      <c r="L15737">
        <v>132</v>
      </c>
      <c r="M15737" t="s">
        <v>34416</v>
      </c>
      <c r="N15737" t="s">
        <v>21361</v>
      </c>
      <c r="O15737" t="s">
        <v>440</v>
      </c>
      <c r="P15737" t="str">
        <f>"02111"</f>
        <v>02111</v>
      </c>
    </row>
    <row r="15738" spans="1:16" x14ac:dyDescent="0.25">
      <c r="A15738" t="str">
        <f>"1220023K00238    00"</f>
        <v>1220023K00238    00</v>
      </c>
      <c r="B15738" t="s">
        <v>34417</v>
      </c>
      <c r="C15738" t="s">
        <v>34418</v>
      </c>
      <c r="D15738" t="s">
        <v>20</v>
      </c>
      <c r="E15738" t="s">
        <v>39</v>
      </c>
      <c r="F15738">
        <v>0</v>
      </c>
      <c r="G15738">
        <v>0</v>
      </c>
      <c r="H15738">
        <v>1</v>
      </c>
      <c r="I15738" s="3">
        <v>521.52</v>
      </c>
      <c r="J15738" s="3">
        <v>17.38</v>
      </c>
      <c r="K15738" t="s">
        <v>34419</v>
      </c>
      <c r="L15738">
        <v>3001</v>
      </c>
      <c r="M15738" t="s">
        <v>330</v>
      </c>
      <c r="N15738" t="s">
        <v>331</v>
      </c>
      <c r="O15738" t="s">
        <v>108</v>
      </c>
      <c r="P15738" t="str">
        <f>"75063"</f>
        <v>75063</v>
      </c>
    </row>
    <row r="15739" spans="1:16" x14ac:dyDescent="0.25">
      <c r="A15739" t="str">
        <f>"1220023K00241A   00"</f>
        <v>1220023K00241A   00</v>
      </c>
      <c r="B15739" t="s">
        <v>34420</v>
      </c>
      <c r="C15739" t="s">
        <v>34421</v>
      </c>
      <c r="D15739" t="s">
        <v>20</v>
      </c>
      <c r="E15739" t="s">
        <v>39</v>
      </c>
      <c r="F15739">
        <v>0</v>
      </c>
      <c r="G15739">
        <v>0</v>
      </c>
      <c r="H15739">
        <v>2</v>
      </c>
      <c r="I15739" s="3">
        <v>2262.61</v>
      </c>
      <c r="J15739" s="3">
        <v>0</v>
      </c>
      <c r="L15739">
        <v>1210</v>
      </c>
      <c r="M15739" t="s">
        <v>34403</v>
      </c>
      <c r="N15739" t="s">
        <v>30</v>
      </c>
      <c r="O15739" t="s">
        <v>31</v>
      </c>
      <c r="P15739" t="str">
        <f>"15212"</f>
        <v>15212</v>
      </c>
    </row>
    <row r="15740" spans="1:16" x14ac:dyDescent="0.25">
      <c r="A15740" t="str">
        <f>"1220023K00250    00"</f>
        <v>1220023K00250    00</v>
      </c>
      <c r="B15740" t="s">
        <v>34422</v>
      </c>
      <c r="C15740" t="s">
        <v>34423</v>
      </c>
      <c r="E15740" t="s">
        <v>39</v>
      </c>
      <c r="F15740">
        <v>0</v>
      </c>
      <c r="G15740">
        <v>0</v>
      </c>
      <c r="H15740">
        <v>1</v>
      </c>
      <c r="I15740" s="3">
        <v>25.47</v>
      </c>
      <c r="J15740" s="3">
        <v>0</v>
      </c>
      <c r="K15740" t="s">
        <v>1632</v>
      </c>
      <c r="L15740">
        <v>3001</v>
      </c>
      <c r="M15740" t="s">
        <v>330</v>
      </c>
      <c r="N15740" t="s">
        <v>331</v>
      </c>
      <c r="O15740" t="s">
        <v>108</v>
      </c>
      <c r="P15740" t="str">
        <f>"75063"</f>
        <v>75063</v>
      </c>
    </row>
    <row r="15741" spans="1:16" x14ac:dyDescent="0.25">
      <c r="A15741" t="str">
        <f>"1220023K00258    00"</f>
        <v>1220023K00258    00</v>
      </c>
      <c r="B15741" t="s">
        <v>34424</v>
      </c>
      <c r="C15741" t="s">
        <v>34425</v>
      </c>
      <c r="D15741" t="s">
        <v>20</v>
      </c>
      <c r="E15741" t="s">
        <v>39</v>
      </c>
      <c r="F15741">
        <v>0</v>
      </c>
      <c r="G15741">
        <v>0</v>
      </c>
      <c r="H15741">
        <v>2</v>
      </c>
      <c r="I15741" s="3">
        <v>101.02</v>
      </c>
      <c r="J15741" s="3">
        <v>0</v>
      </c>
      <c r="L15741">
        <v>204</v>
      </c>
      <c r="M15741" t="s">
        <v>4860</v>
      </c>
      <c r="N15741" t="s">
        <v>30</v>
      </c>
      <c r="O15741" t="s">
        <v>31</v>
      </c>
      <c r="P15741" t="str">
        <f>"15212"</f>
        <v>15212</v>
      </c>
    </row>
    <row r="15742" spans="1:16" x14ac:dyDescent="0.25">
      <c r="A15742" t="str">
        <f>"1220023K00268    00"</f>
        <v>1220023K00268    00</v>
      </c>
      <c r="B15742" t="s">
        <v>34424</v>
      </c>
      <c r="C15742" t="s">
        <v>34426</v>
      </c>
      <c r="D15742" t="s">
        <v>20</v>
      </c>
      <c r="E15742" t="s">
        <v>39</v>
      </c>
      <c r="F15742">
        <v>0</v>
      </c>
      <c r="G15742">
        <v>0</v>
      </c>
      <c r="H15742">
        <v>3</v>
      </c>
      <c r="I15742" s="3">
        <v>14328.7</v>
      </c>
      <c r="J15742" s="3">
        <v>1199.81</v>
      </c>
      <c r="L15742">
        <v>204</v>
      </c>
      <c r="M15742" t="s">
        <v>4860</v>
      </c>
      <c r="N15742" t="s">
        <v>30</v>
      </c>
      <c r="O15742" t="s">
        <v>31</v>
      </c>
      <c r="P15742" t="str">
        <f>"15212"</f>
        <v>15212</v>
      </c>
    </row>
    <row r="15743" spans="1:16" x14ac:dyDescent="0.25">
      <c r="A15743" t="str">
        <f>"1220023K00269    00"</f>
        <v>1220023K00269    00</v>
      </c>
      <c r="B15743" t="s">
        <v>34427</v>
      </c>
      <c r="C15743" t="s">
        <v>34428</v>
      </c>
      <c r="D15743" t="s">
        <v>57</v>
      </c>
      <c r="E15743" t="s">
        <v>39</v>
      </c>
      <c r="F15743">
        <v>0</v>
      </c>
      <c r="G15743">
        <v>0</v>
      </c>
      <c r="H15743">
        <v>1</v>
      </c>
      <c r="I15743" s="3">
        <v>41.43</v>
      </c>
      <c r="J15743" s="3">
        <v>8.9700000000000006</v>
      </c>
      <c r="L15743">
        <v>202</v>
      </c>
      <c r="M15743" t="s">
        <v>4860</v>
      </c>
      <c r="N15743" t="s">
        <v>30</v>
      </c>
      <c r="O15743" t="s">
        <v>31</v>
      </c>
      <c r="P15743" t="str">
        <f>"15212"</f>
        <v>15212</v>
      </c>
    </row>
    <row r="15744" spans="1:16" x14ac:dyDescent="0.25">
      <c r="A15744" t="str">
        <f>"1220023K00273    00"</f>
        <v>1220023K00273    00</v>
      </c>
      <c r="B15744" t="s">
        <v>34429</v>
      </c>
      <c r="C15744" t="s">
        <v>34430</v>
      </c>
      <c r="D15744" t="s">
        <v>20</v>
      </c>
      <c r="E15744" t="s">
        <v>39</v>
      </c>
      <c r="F15744">
        <v>0</v>
      </c>
      <c r="G15744">
        <v>0</v>
      </c>
      <c r="H15744">
        <v>17</v>
      </c>
      <c r="I15744" s="3">
        <v>2033.98</v>
      </c>
      <c r="J15744" s="3">
        <v>2897.88</v>
      </c>
      <c r="P15744" t="str">
        <f>""</f>
        <v/>
      </c>
    </row>
    <row r="15745" spans="1:16" x14ac:dyDescent="0.25">
      <c r="A15745" t="str">
        <f>"1220023K00277    00"</f>
        <v>1220023K00277    00</v>
      </c>
      <c r="B15745" t="s">
        <v>34431</v>
      </c>
      <c r="C15745" t="s">
        <v>34432</v>
      </c>
      <c r="D15745" t="s">
        <v>20</v>
      </c>
      <c r="E15745" t="s">
        <v>39</v>
      </c>
      <c r="F15745">
        <v>0</v>
      </c>
      <c r="G15745">
        <v>0</v>
      </c>
      <c r="H15745">
        <v>2</v>
      </c>
      <c r="I15745" s="3">
        <v>7331.46</v>
      </c>
      <c r="J15745" s="3">
        <v>0</v>
      </c>
      <c r="L15745">
        <v>1115</v>
      </c>
      <c r="M15745" t="s">
        <v>144</v>
      </c>
      <c r="N15745" t="s">
        <v>30</v>
      </c>
      <c r="O15745" t="s">
        <v>31</v>
      </c>
      <c r="P15745" t="str">
        <f>"15212"</f>
        <v>15212</v>
      </c>
    </row>
    <row r="15746" spans="1:16" x14ac:dyDescent="0.25">
      <c r="A15746" t="str">
        <f>"1220023K00283    00"</f>
        <v>1220023K00283    00</v>
      </c>
      <c r="B15746" t="s">
        <v>34433</v>
      </c>
      <c r="C15746" t="s">
        <v>34434</v>
      </c>
      <c r="E15746" t="s">
        <v>39</v>
      </c>
      <c r="F15746">
        <v>0</v>
      </c>
      <c r="G15746">
        <v>0</v>
      </c>
      <c r="H15746">
        <v>2</v>
      </c>
      <c r="I15746" s="3">
        <v>947.35</v>
      </c>
      <c r="J15746" s="3">
        <v>117.85</v>
      </c>
      <c r="L15746">
        <v>1211</v>
      </c>
      <c r="M15746" t="s">
        <v>34435</v>
      </c>
      <c r="N15746" t="s">
        <v>30</v>
      </c>
      <c r="O15746" t="s">
        <v>31</v>
      </c>
      <c r="P15746" t="str">
        <f>"15212"</f>
        <v>15212</v>
      </c>
    </row>
    <row r="15747" spans="1:16" x14ac:dyDescent="0.25">
      <c r="A15747" t="str">
        <f>"1220023K00302    00"</f>
        <v>1220023K00302    00</v>
      </c>
      <c r="B15747" t="s">
        <v>34436</v>
      </c>
      <c r="C15747" t="s">
        <v>34437</v>
      </c>
      <c r="D15747" t="s">
        <v>20</v>
      </c>
      <c r="E15747" t="s">
        <v>39</v>
      </c>
      <c r="F15747">
        <v>0</v>
      </c>
      <c r="G15747">
        <v>0</v>
      </c>
      <c r="H15747">
        <v>1</v>
      </c>
      <c r="I15747" s="3">
        <v>5901.45</v>
      </c>
      <c r="J15747" s="3">
        <v>0</v>
      </c>
      <c r="L15747">
        <v>1315</v>
      </c>
      <c r="M15747" t="s">
        <v>144</v>
      </c>
      <c r="N15747" t="s">
        <v>30</v>
      </c>
      <c r="O15747" t="s">
        <v>31</v>
      </c>
      <c r="P15747" t="str">
        <f>"15212"</f>
        <v>15212</v>
      </c>
    </row>
    <row r="15748" spans="1:16" x14ac:dyDescent="0.25">
      <c r="A15748" t="str">
        <f>"1220023K00324    00"</f>
        <v>1220023K00324    00</v>
      </c>
      <c r="B15748" t="s">
        <v>34438</v>
      </c>
      <c r="C15748" t="s">
        <v>34439</v>
      </c>
      <c r="E15748" t="s">
        <v>39</v>
      </c>
      <c r="F15748">
        <v>0</v>
      </c>
      <c r="G15748">
        <v>0</v>
      </c>
      <c r="H15748">
        <v>1</v>
      </c>
      <c r="I15748" s="3">
        <v>750.5</v>
      </c>
      <c r="J15748" s="3">
        <v>300.18</v>
      </c>
      <c r="K15748" t="s">
        <v>5861</v>
      </c>
      <c r="L15748">
        <v>3001</v>
      </c>
      <c r="M15748" t="s">
        <v>404</v>
      </c>
      <c r="N15748" t="s">
        <v>331</v>
      </c>
      <c r="O15748" t="s">
        <v>108</v>
      </c>
      <c r="P15748" t="str">
        <f>"75063"</f>
        <v>75063</v>
      </c>
    </row>
    <row r="15749" spans="1:16" x14ac:dyDescent="0.25">
      <c r="A15749" t="str">
        <f>"1220023K00331    00"</f>
        <v>1220023K00331    00</v>
      </c>
      <c r="B15749" t="s">
        <v>34440</v>
      </c>
      <c r="C15749" t="s">
        <v>34441</v>
      </c>
      <c r="D15749" t="s">
        <v>20</v>
      </c>
      <c r="E15749" t="s">
        <v>39</v>
      </c>
      <c r="F15749">
        <v>0</v>
      </c>
      <c r="G15749">
        <v>0</v>
      </c>
      <c r="H15749">
        <v>1</v>
      </c>
      <c r="I15749" s="3">
        <v>1200.78</v>
      </c>
      <c r="J15749" s="3">
        <v>0</v>
      </c>
      <c r="L15749">
        <v>375</v>
      </c>
      <c r="M15749" t="s">
        <v>34442</v>
      </c>
      <c r="N15749" t="s">
        <v>34443</v>
      </c>
      <c r="O15749" t="s">
        <v>423</v>
      </c>
      <c r="P15749" t="str">
        <f>"07632"</f>
        <v>07632</v>
      </c>
    </row>
    <row r="15750" spans="1:16" x14ac:dyDescent="0.25">
      <c r="A15750" t="str">
        <f>"1220023K00334    00"</f>
        <v>1220023K00334    00</v>
      </c>
      <c r="B15750" t="s">
        <v>34444</v>
      </c>
      <c r="C15750" t="s">
        <v>34445</v>
      </c>
      <c r="D15750" t="s">
        <v>20</v>
      </c>
      <c r="E15750" t="s">
        <v>39</v>
      </c>
      <c r="F15750">
        <v>0</v>
      </c>
      <c r="G15750">
        <v>0</v>
      </c>
      <c r="H15750">
        <v>1</v>
      </c>
      <c r="I15750" s="3">
        <v>2052.77</v>
      </c>
      <c r="J15750" s="3">
        <v>0</v>
      </c>
      <c r="K15750" t="s">
        <v>756</v>
      </c>
      <c r="L15750">
        <v>3001</v>
      </c>
      <c r="M15750" t="s">
        <v>330</v>
      </c>
      <c r="N15750" t="s">
        <v>331</v>
      </c>
      <c r="O15750" t="s">
        <v>108</v>
      </c>
      <c r="P15750" t="str">
        <f>"75063"</f>
        <v>75063</v>
      </c>
    </row>
    <row r="15751" spans="1:16" x14ac:dyDescent="0.25">
      <c r="A15751" t="str">
        <f>"1220023K00335    00"</f>
        <v>1220023K00335    00</v>
      </c>
      <c r="B15751" t="s">
        <v>34446</v>
      </c>
      <c r="C15751" t="s">
        <v>34447</v>
      </c>
      <c r="D15751" t="s">
        <v>20</v>
      </c>
      <c r="E15751" t="s">
        <v>39</v>
      </c>
      <c r="F15751">
        <v>0</v>
      </c>
      <c r="G15751">
        <v>0</v>
      </c>
      <c r="H15751">
        <v>1</v>
      </c>
      <c r="I15751" s="3">
        <v>152.47999999999999</v>
      </c>
      <c r="J15751" s="3">
        <v>0</v>
      </c>
      <c r="K15751" t="s">
        <v>34448</v>
      </c>
      <c r="L15751">
        <v>115</v>
      </c>
      <c r="M15751" t="s">
        <v>34449</v>
      </c>
      <c r="N15751" t="s">
        <v>1928</v>
      </c>
      <c r="O15751" t="s">
        <v>31</v>
      </c>
      <c r="P15751" t="str">
        <f>"15317"</f>
        <v>15317</v>
      </c>
    </row>
    <row r="15752" spans="1:16" x14ac:dyDescent="0.25">
      <c r="A15752" t="str">
        <f>"1220023K00347    00"</f>
        <v>1220023K00347    00</v>
      </c>
      <c r="B15752" t="s">
        <v>34450</v>
      </c>
      <c r="C15752" t="s">
        <v>34451</v>
      </c>
      <c r="D15752" t="s">
        <v>20</v>
      </c>
      <c r="E15752" t="s">
        <v>39</v>
      </c>
      <c r="F15752">
        <v>0</v>
      </c>
      <c r="G15752">
        <v>0</v>
      </c>
      <c r="H15752">
        <v>2</v>
      </c>
      <c r="I15752" s="3">
        <v>7018.88</v>
      </c>
      <c r="J15752" s="3">
        <v>0</v>
      </c>
      <c r="K15752" t="s">
        <v>5432</v>
      </c>
      <c r="L15752">
        <v>3001</v>
      </c>
      <c r="M15752" t="s">
        <v>330</v>
      </c>
      <c r="N15752" t="s">
        <v>331</v>
      </c>
      <c r="O15752" t="s">
        <v>108</v>
      </c>
      <c r="P15752" t="str">
        <f>"75063"</f>
        <v>75063</v>
      </c>
    </row>
    <row r="15753" spans="1:16" x14ac:dyDescent="0.25">
      <c r="A15753" t="str">
        <f>"1220023K00348    00"</f>
        <v>1220023K00348    00</v>
      </c>
      <c r="B15753" t="s">
        <v>34450</v>
      </c>
      <c r="C15753" t="s">
        <v>34451</v>
      </c>
      <c r="D15753" t="s">
        <v>20</v>
      </c>
      <c r="E15753" t="s">
        <v>39</v>
      </c>
      <c r="F15753">
        <v>0</v>
      </c>
      <c r="G15753">
        <v>0</v>
      </c>
      <c r="H15753">
        <v>2</v>
      </c>
      <c r="I15753" s="3">
        <v>30.68</v>
      </c>
      <c r="J15753" s="3">
        <v>0</v>
      </c>
      <c r="K15753" t="s">
        <v>5432</v>
      </c>
      <c r="L15753">
        <v>3001</v>
      </c>
      <c r="M15753" t="s">
        <v>34452</v>
      </c>
      <c r="N15753" t="s">
        <v>331</v>
      </c>
      <c r="O15753" t="s">
        <v>108</v>
      </c>
      <c r="P15753" t="str">
        <f>"75063"</f>
        <v>75063</v>
      </c>
    </row>
    <row r="15754" spans="1:16" x14ac:dyDescent="0.25">
      <c r="A15754" t="str">
        <f>"1220023K00360A1  00"</f>
        <v>1220023K00360A1  00</v>
      </c>
      <c r="B15754" t="s">
        <v>7141</v>
      </c>
      <c r="C15754" t="s">
        <v>34453</v>
      </c>
      <c r="E15754" t="s">
        <v>39</v>
      </c>
      <c r="F15754">
        <v>0</v>
      </c>
      <c r="G15754">
        <v>0</v>
      </c>
      <c r="H15754">
        <v>1</v>
      </c>
      <c r="I15754" s="3">
        <v>972.06</v>
      </c>
      <c r="J15754" s="3">
        <v>0</v>
      </c>
      <c r="K15754" t="s">
        <v>2962</v>
      </c>
      <c r="L15754">
        <v>412</v>
      </c>
      <c r="M15754" t="s">
        <v>34454</v>
      </c>
      <c r="N15754" t="s">
        <v>30</v>
      </c>
      <c r="O15754" t="s">
        <v>31</v>
      </c>
      <c r="P15754" t="str">
        <f t="shared" ref="P15754:P15759" si="206">"15219"</f>
        <v>15219</v>
      </c>
    </row>
    <row r="15755" spans="1:16" x14ac:dyDescent="0.25">
      <c r="A15755" t="str">
        <f>"1220023K00360A2  00"</f>
        <v>1220023K00360A2  00</v>
      </c>
      <c r="B15755" t="s">
        <v>7141</v>
      </c>
      <c r="C15755" t="s">
        <v>34455</v>
      </c>
      <c r="E15755" t="s">
        <v>39</v>
      </c>
      <c r="F15755">
        <v>0</v>
      </c>
      <c r="G15755">
        <v>0</v>
      </c>
      <c r="H15755">
        <v>1</v>
      </c>
      <c r="I15755" s="3">
        <v>972.06</v>
      </c>
      <c r="J15755" s="3">
        <v>0</v>
      </c>
      <c r="K15755" t="s">
        <v>2962</v>
      </c>
      <c r="L15755">
        <v>412</v>
      </c>
      <c r="M15755" t="s">
        <v>20436</v>
      </c>
      <c r="N15755" t="s">
        <v>30</v>
      </c>
      <c r="O15755" t="s">
        <v>31</v>
      </c>
      <c r="P15755" t="str">
        <f t="shared" si="206"/>
        <v>15219</v>
      </c>
    </row>
    <row r="15756" spans="1:16" x14ac:dyDescent="0.25">
      <c r="A15756" t="str">
        <f>"1220023K00360A3  00"</f>
        <v>1220023K00360A3  00</v>
      </c>
      <c r="B15756" t="s">
        <v>7141</v>
      </c>
      <c r="C15756" t="s">
        <v>34456</v>
      </c>
      <c r="E15756" t="s">
        <v>39</v>
      </c>
      <c r="F15756">
        <v>0</v>
      </c>
      <c r="G15756">
        <v>0</v>
      </c>
      <c r="H15756">
        <v>1</v>
      </c>
      <c r="I15756" s="3">
        <v>972.06</v>
      </c>
      <c r="J15756" s="3">
        <v>0</v>
      </c>
      <c r="K15756" t="s">
        <v>2962</v>
      </c>
      <c r="L15756">
        <v>412</v>
      </c>
      <c r="M15756" t="s">
        <v>20436</v>
      </c>
      <c r="N15756" t="s">
        <v>30</v>
      </c>
      <c r="O15756" t="s">
        <v>31</v>
      </c>
      <c r="P15756" t="str">
        <f t="shared" si="206"/>
        <v>15219</v>
      </c>
    </row>
    <row r="15757" spans="1:16" x14ac:dyDescent="0.25">
      <c r="A15757" t="str">
        <f>"1220023K00363B1  00"</f>
        <v>1220023K00363B1  00</v>
      </c>
      <c r="B15757" t="s">
        <v>7141</v>
      </c>
      <c r="C15757" t="s">
        <v>34457</v>
      </c>
      <c r="E15757" t="s">
        <v>39</v>
      </c>
      <c r="F15757">
        <v>0</v>
      </c>
      <c r="G15757">
        <v>0</v>
      </c>
      <c r="H15757">
        <v>1</v>
      </c>
      <c r="I15757" s="3">
        <v>972.06</v>
      </c>
      <c r="J15757" s="3">
        <v>0</v>
      </c>
      <c r="K15757" t="s">
        <v>2962</v>
      </c>
      <c r="L15757">
        <v>412</v>
      </c>
      <c r="M15757" t="s">
        <v>20436</v>
      </c>
      <c r="N15757" t="s">
        <v>30</v>
      </c>
      <c r="O15757" t="s">
        <v>31</v>
      </c>
      <c r="P15757" t="str">
        <f t="shared" si="206"/>
        <v>15219</v>
      </c>
    </row>
    <row r="15758" spans="1:16" x14ac:dyDescent="0.25">
      <c r="A15758" t="str">
        <f>"1220023K00363B2  00"</f>
        <v>1220023K00363B2  00</v>
      </c>
      <c r="B15758" t="s">
        <v>7141</v>
      </c>
      <c r="C15758" t="s">
        <v>34457</v>
      </c>
      <c r="E15758" t="s">
        <v>39</v>
      </c>
      <c r="F15758">
        <v>0</v>
      </c>
      <c r="G15758">
        <v>0</v>
      </c>
      <c r="H15758">
        <v>1</v>
      </c>
      <c r="I15758" s="3">
        <v>972.06</v>
      </c>
      <c r="J15758" s="3">
        <v>0</v>
      </c>
      <c r="K15758" t="s">
        <v>2962</v>
      </c>
      <c r="L15758">
        <v>412</v>
      </c>
      <c r="M15758" t="s">
        <v>34458</v>
      </c>
      <c r="N15758" t="s">
        <v>30</v>
      </c>
      <c r="O15758" t="s">
        <v>31</v>
      </c>
      <c r="P15758" t="str">
        <f t="shared" si="206"/>
        <v>15219</v>
      </c>
    </row>
    <row r="15759" spans="1:16" x14ac:dyDescent="0.25">
      <c r="A15759" t="str">
        <f>"1220023K00363B3  00"</f>
        <v>1220023K00363B3  00</v>
      </c>
      <c r="B15759" t="s">
        <v>7141</v>
      </c>
      <c r="C15759" t="s">
        <v>34459</v>
      </c>
      <c r="E15759" t="s">
        <v>39</v>
      </c>
      <c r="F15759">
        <v>0</v>
      </c>
      <c r="G15759">
        <v>0</v>
      </c>
      <c r="H15759">
        <v>1</v>
      </c>
      <c r="I15759" s="3">
        <v>972.06</v>
      </c>
      <c r="J15759" s="3">
        <v>0</v>
      </c>
      <c r="K15759" t="s">
        <v>2962</v>
      </c>
      <c r="L15759">
        <v>412</v>
      </c>
      <c r="M15759" t="s">
        <v>20436</v>
      </c>
      <c r="N15759" t="s">
        <v>30</v>
      </c>
      <c r="O15759" t="s">
        <v>31</v>
      </c>
      <c r="P15759" t="str">
        <f t="shared" si="206"/>
        <v>15219</v>
      </c>
    </row>
    <row r="15760" spans="1:16" x14ac:dyDescent="0.25">
      <c r="A15760" t="str">
        <f>"1220023K00377    00"</f>
        <v>1220023K00377    00</v>
      </c>
      <c r="B15760" t="s">
        <v>34460</v>
      </c>
      <c r="C15760" t="s">
        <v>34461</v>
      </c>
      <c r="E15760" t="s">
        <v>39</v>
      </c>
      <c r="F15760">
        <v>0</v>
      </c>
      <c r="G15760">
        <v>0</v>
      </c>
      <c r="H15760">
        <v>1</v>
      </c>
      <c r="I15760" s="3">
        <v>487.94</v>
      </c>
      <c r="J15760" s="3">
        <v>8.1300000000000008</v>
      </c>
      <c r="K15760" t="s">
        <v>391</v>
      </c>
      <c r="L15760">
        <v>1</v>
      </c>
      <c r="M15760" t="s">
        <v>392</v>
      </c>
      <c r="N15760" t="s">
        <v>393</v>
      </c>
      <c r="O15760" t="s">
        <v>394</v>
      </c>
      <c r="P15760" t="str">
        <f>"50328"</f>
        <v>50328</v>
      </c>
    </row>
    <row r="15761" spans="1:16" x14ac:dyDescent="0.25">
      <c r="A15761" t="str">
        <f>"1220023K00377000100"</f>
        <v>1220023K00377000100</v>
      </c>
      <c r="B15761" t="s">
        <v>34462</v>
      </c>
      <c r="C15761" t="s">
        <v>34463</v>
      </c>
      <c r="E15761" t="s">
        <v>39</v>
      </c>
      <c r="F15761">
        <v>0</v>
      </c>
      <c r="G15761">
        <v>0</v>
      </c>
      <c r="H15761">
        <v>2</v>
      </c>
      <c r="I15761" s="3">
        <v>2405.1999999999998</v>
      </c>
      <c r="J15761" s="3">
        <v>164.48</v>
      </c>
      <c r="K15761" t="s">
        <v>34464</v>
      </c>
      <c r="L15761">
        <v>2750</v>
      </c>
      <c r="M15761" t="s">
        <v>34465</v>
      </c>
      <c r="N15761" t="s">
        <v>22907</v>
      </c>
      <c r="O15761" t="s">
        <v>2109</v>
      </c>
      <c r="P15761" t="str">
        <f>"84121"</f>
        <v>84121</v>
      </c>
    </row>
    <row r="15762" spans="1:16" x14ac:dyDescent="0.25">
      <c r="A15762" t="str">
        <f>"1220023L00020    00"</f>
        <v>1220023L00020    00</v>
      </c>
      <c r="B15762" t="s">
        <v>34466</v>
      </c>
      <c r="C15762" t="s">
        <v>34467</v>
      </c>
      <c r="D15762" t="s">
        <v>20</v>
      </c>
      <c r="E15762" t="s">
        <v>21</v>
      </c>
      <c r="F15762">
        <v>0</v>
      </c>
      <c r="G15762">
        <v>0</v>
      </c>
      <c r="H15762">
        <v>2</v>
      </c>
      <c r="I15762" s="3">
        <v>173097.21</v>
      </c>
      <c r="J15762" s="3">
        <v>0</v>
      </c>
      <c r="K15762" t="s">
        <v>34468</v>
      </c>
      <c r="L15762">
        <v>730</v>
      </c>
      <c r="M15762" t="s">
        <v>34469</v>
      </c>
      <c r="N15762" t="s">
        <v>199</v>
      </c>
      <c r="O15762" t="s">
        <v>200</v>
      </c>
      <c r="P15762" t="str">
        <f>"10017"</f>
        <v>10017</v>
      </c>
    </row>
    <row r="15763" spans="1:16" x14ac:dyDescent="0.25">
      <c r="A15763" t="str">
        <f>"1220023L00060    00"</f>
        <v>1220023L00060    00</v>
      </c>
      <c r="B15763" t="s">
        <v>34466</v>
      </c>
      <c r="C15763" t="s">
        <v>34470</v>
      </c>
      <c r="D15763" t="s">
        <v>20</v>
      </c>
      <c r="E15763" t="s">
        <v>21</v>
      </c>
      <c r="F15763">
        <v>0</v>
      </c>
      <c r="G15763">
        <v>0</v>
      </c>
      <c r="H15763">
        <v>2</v>
      </c>
      <c r="I15763" s="3">
        <v>39627.65</v>
      </c>
      <c r="J15763" s="3">
        <v>0</v>
      </c>
      <c r="K15763" t="s">
        <v>34468</v>
      </c>
      <c r="L15763">
        <v>730</v>
      </c>
      <c r="M15763" t="s">
        <v>34469</v>
      </c>
      <c r="N15763" t="s">
        <v>199</v>
      </c>
      <c r="O15763" t="s">
        <v>200</v>
      </c>
      <c r="P15763" t="str">
        <f>"10017"</f>
        <v>10017</v>
      </c>
    </row>
    <row r="15764" spans="1:16" x14ac:dyDescent="0.25">
      <c r="A15764" t="str">
        <f>"1220023L00104    00"</f>
        <v>1220023L00104    00</v>
      </c>
      <c r="B15764" t="s">
        <v>34471</v>
      </c>
      <c r="C15764" t="s">
        <v>34472</v>
      </c>
      <c r="E15764" t="s">
        <v>21</v>
      </c>
      <c r="F15764">
        <v>0</v>
      </c>
      <c r="G15764">
        <v>0</v>
      </c>
      <c r="H15764">
        <v>2</v>
      </c>
      <c r="I15764" s="3">
        <v>2326.39</v>
      </c>
      <c r="J15764" s="3">
        <v>165.26</v>
      </c>
      <c r="K15764" t="s">
        <v>4801</v>
      </c>
      <c r="L15764">
        <v>1</v>
      </c>
      <c r="M15764" t="s">
        <v>4802</v>
      </c>
      <c r="N15764" t="s">
        <v>4803</v>
      </c>
      <c r="O15764" t="s">
        <v>554</v>
      </c>
      <c r="P15764" t="str">
        <f>"26003"</f>
        <v>26003</v>
      </c>
    </row>
    <row r="15765" spans="1:16" x14ac:dyDescent="0.25">
      <c r="A15765" t="str">
        <f>"1220023L00108    00"</f>
        <v>1220023L00108    00</v>
      </c>
      <c r="B15765" t="s">
        <v>34473</v>
      </c>
      <c r="C15765" t="s">
        <v>34474</v>
      </c>
      <c r="D15765" t="s">
        <v>20</v>
      </c>
      <c r="E15765" t="s">
        <v>21</v>
      </c>
      <c r="F15765">
        <v>0</v>
      </c>
      <c r="G15765">
        <v>0</v>
      </c>
      <c r="H15765">
        <v>3</v>
      </c>
      <c r="I15765" s="3">
        <v>7714.33</v>
      </c>
      <c r="J15765" s="3">
        <v>172.93</v>
      </c>
      <c r="L15765">
        <v>1200</v>
      </c>
      <c r="M15765" t="s">
        <v>32412</v>
      </c>
      <c r="N15765" t="s">
        <v>30</v>
      </c>
      <c r="O15765" t="s">
        <v>31</v>
      </c>
      <c r="P15765" t="str">
        <f>"15212"</f>
        <v>15212</v>
      </c>
    </row>
    <row r="15766" spans="1:16" x14ac:dyDescent="0.25">
      <c r="A15766" t="str">
        <f>"1220023L00127    00"</f>
        <v>1220023L00127    00</v>
      </c>
      <c r="B15766" t="s">
        <v>34475</v>
      </c>
      <c r="C15766" t="s">
        <v>34476</v>
      </c>
      <c r="D15766" t="s">
        <v>20</v>
      </c>
      <c r="E15766" t="s">
        <v>21</v>
      </c>
      <c r="F15766">
        <v>0</v>
      </c>
      <c r="G15766">
        <v>0</v>
      </c>
      <c r="H15766">
        <v>3</v>
      </c>
      <c r="I15766" s="3">
        <v>618.47</v>
      </c>
      <c r="J15766" s="3">
        <v>0.3</v>
      </c>
      <c r="K15766" t="s">
        <v>34179</v>
      </c>
      <c r="L15766">
        <v>901</v>
      </c>
      <c r="M15766" t="s">
        <v>34180</v>
      </c>
      <c r="N15766" t="s">
        <v>30</v>
      </c>
      <c r="O15766" t="s">
        <v>31</v>
      </c>
      <c r="P15766" t="str">
        <f>"15233"</f>
        <v>15233</v>
      </c>
    </row>
    <row r="15767" spans="1:16" x14ac:dyDescent="0.25">
      <c r="A15767" t="str">
        <f>"1220023L00128    00"</f>
        <v>1220023L00128    00</v>
      </c>
      <c r="B15767" t="s">
        <v>34475</v>
      </c>
      <c r="C15767" t="s">
        <v>34477</v>
      </c>
      <c r="E15767" t="s">
        <v>39</v>
      </c>
      <c r="F15767">
        <v>0</v>
      </c>
      <c r="G15767">
        <v>0</v>
      </c>
      <c r="H15767">
        <v>2</v>
      </c>
      <c r="I15767" s="3">
        <v>1955.58</v>
      </c>
      <c r="J15767" s="3">
        <v>81.489999999999995</v>
      </c>
      <c r="K15767" t="s">
        <v>34179</v>
      </c>
      <c r="L15767">
        <v>901</v>
      </c>
      <c r="M15767" t="s">
        <v>34180</v>
      </c>
      <c r="N15767" t="s">
        <v>30</v>
      </c>
      <c r="O15767" t="s">
        <v>31</v>
      </c>
      <c r="P15767" t="str">
        <f>"15233"</f>
        <v>15233</v>
      </c>
    </row>
    <row r="15768" spans="1:16" x14ac:dyDescent="0.25">
      <c r="A15768" t="str">
        <f>"1220023L00144    00"</f>
        <v>1220023L00144    00</v>
      </c>
      <c r="B15768" t="s">
        <v>34478</v>
      </c>
      <c r="C15768" t="s">
        <v>34479</v>
      </c>
      <c r="D15768" t="s">
        <v>20</v>
      </c>
      <c r="E15768" t="s">
        <v>39</v>
      </c>
      <c r="F15768">
        <v>0</v>
      </c>
      <c r="G15768">
        <v>0</v>
      </c>
      <c r="H15768">
        <v>7</v>
      </c>
      <c r="I15768" s="3">
        <v>10683.99</v>
      </c>
      <c r="J15768" s="3">
        <v>5306.61</v>
      </c>
      <c r="L15768">
        <v>1315</v>
      </c>
      <c r="M15768" t="s">
        <v>13896</v>
      </c>
      <c r="N15768" t="s">
        <v>30</v>
      </c>
      <c r="O15768" t="s">
        <v>31</v>
      </c>
      <c r="P15768" t="str">
        <f>"15212"</f>
        <v>15212</v>
      </c>
    </row>
    <row r="15769" spans="1:16" x14ac:dyDescent="0.25">
      <c r="A15769" t="str">
        <f>"1220023L00153    00"</f>
        <v>1220023L00153    00</v>
      </c>
      <c r="B15769" t="s">
        <v>34480</v>
      </c>
      <c r="C15769" t="s">
        <v>34481</v>
      </c>
      <c r="E15769" t="s">
        <v>39</v>
      </c>
      <c r="F15769">
        <v>0</v>
      </c>
      <c r="G15769">
        <v>0</v>
      </c>
      <c r="H15769">
        <v>1</v>
      </c>
      <c r="I15769" s="3">
        <v>768.03</v>
      </c>
      <c r="J15769" s="3">
        <v>396.8</v>
      </c>
      <c r="K15769" t="s">
        <v>7032</v>
      </c>
      <c r="L15769">
        <v>2100</v>
      </c>
      <c r="M15769" t="s">
        <v>5401</v>
      </c>
      <c r="N15769" t="s">
        <v>5402</v>
      </c>
      <c r="O15769" t="s">
        <v>370</v>
      </c>
      <c r="P15769" t="str">
        <f>"34683"</f>
        <v>34683</v>
      </c>
    </row>
    <row r="15770" spans="1:16" x14ac:dyDescent="0.25">
      <c r="A15770" t="str">
        <f>"1220023L00155    00"</f>
        <v>1220023L00155    00</v>
      </c>
      <c r="B15770" t="s">
        <v>34482</v>
      </c>
      <c r="C15770" t="s">
        <v>34483</v>
      </c>
      <c r="D15770" t="s">
        <v>20</v>
      </c>
      <c r="E15770" t="s">
        <v>39</v>
      </c>
      <c r="F15770">
        <v>0</v>
      </c>
      <c r="G15770">
        <v>0</v>
      </c>
      <c r="H15770">
        <v>2</v>
      </c>
      <c r="I15770" s="3">
        <v>4951.82</v>
      </c>
      <c r="J15770" s="3">
        <v>0</v>
      </c>
      <c r="K15770" t="s">
        <v>34484</v>
      </c>
      <c r="L15770">
        <v>40</v>
      </c>
      <c r="M15770" t="s">
        <v>34485</v>
      </c>
      <c r="N15770" t="s">
        <v>20997</v>
      </c>
      <c r="O15770" t="s">
        <v>200</v>
      </c>
      <c r="P15770" t="str">
        <f>"10801"</f>
        <v>10801</v>
      </c>
    </row>
    <row r="15771" spans="1:16" x14ac:dyDescent="0.25">
      <c r="A15771" t="str">
        <f>"1220023L00156    00"</f>
        <v>1220023L00156    00</v>
      </c>
      <c r="B15771" t="s">
        <v>34486</v>
      </c>
      <c r="C15771" t="s">
        <v>34487</v>
      </c>
      <c r="E15771" t="s">
        <v>39</v>
      </c>
      <c r="F15771">
        <v>0</v>
      </c>
      <c r="G15771">
        <v>0</v>
      </c>
      <c r="H15771">
        <v>2</v>
      </c>
      <c r="I15771" s="3">
        <v>8153.88</v>
      </c>
      <c r="J15771" s="3">
        <v>407.68</v>
      </c>
      <c r="K15771" t="s">
        <v>881</v>
      </c>
      <c r="L15771">
        <v>3001</v>
      </c>
      <c r="M15771" t="s">
        <v>330</v>
      </c>
      <c r="N15771" t="s">
        <v>331</v>
      </c>
      <c r="O15771" t="s">
        <v>108</v>
      </c>
      <c r="P15771" t="str">
        <f>"75063"</f>
        <v>75063</v>
      </c>
    </row>
    <row r="15772" spans="1:16" x14ac:dyDescent="0.25">
      <c r="A15772" t="str">
        <f>"1220023L00161    00"</f>
        <v>1220023L00161    00</v>
      </c>
      <c r="B15772" t="s">
        <v>34488</v>
      </c>
      <c r="C15772" t="s">
        <v>34489</v>
      </c>
      <c r="E15772" t="s">
        <v>39</v>
      </c>
      <c r="F15772">
        <v>0</v>
      </c>
      <c r="G15772">
        <v>0</v>
      </c>
      <c r="H15772">
        <v>1</v>
      </c>
      <c r="I15772" s="3">
        <v>792.9</v>
      </c>
      <c r="J15772" s="3">
        <v>0</v>
      </c>
      <c r="K15772" t="s">
        <v>563</v>
      </c>
      <c r="L15772">
        <v>3001</v>
      </c>
      <c r="M15772" t="s">
        <v>330</v>
      </c>
      <c r="N15772" t="s">
        <v>331</v>
      </c>
      <c r="O15772" t="s">
        <v>108</v>
      </c>
      <c r="P15772" t="str">
        <f>"75063"</f>
        <v>75063</v>
      </c>
    </row>
    <row r="15773" spans="1:16" x14ac:dyDescent="0.25">
      <c r="A15773" t="str">
        <f>"1220023L00179    00"</f>
        <v>1220023L00179    00</v>
      </c>
      <c r="B15773" t="s">
        <v>34490</v>
      </c>
      <c r="C15773" t="s">
        <v>34491</v>
      </c>
      <c r="E15773" t="s">
        <v>39</v>
      </c>
      <c r="F15773">
        <v>0</v>
      </c>
      <c r="G15773">
        <v>0</v>
      </c>
      <c r="H15773">
        <v>1</v>
      </c>
      <c r="I15773" s="3">
        <v>377.39</v>
      </c>
      <c r="J15773" s="3">
        <v>75.48</v>
      </c>
      <c r="K15773" t="s">
        <v>5861</v>
      </c>
      <c r="L15773">
        <v>3001</v>
      </c>
      <c r="M15773" t="s">
        <v>404</v>
      </c>
      <c r="N15773" t="s">
        <v>331</v>
      </c>
      <c r="O15773" t="s">
        <v>108</v>
      </c>
      <c r="P15773" t="str">
        <f>"75063"</f>
        <v>75063</v>
      </c>
    </row>
    <row r="15774" spans="1:16" x14ac:dyDescent="0.25">
      <c r="A15774" t="str">
        <f>"1220023L00184    00"</f>
        <v>1220023L00184    00</v>
      </c>
      <c r="B15774" t="s">
        <v>34492</v>
      </c>
      <c r="C15774" t="s">
        <v>34493</v>
      </c>
      <c r="E15774" t="s">
        <v>39</v>
      </c>
      <c r="F15774">
        <v>0</v>
      </c>
      <c r="G15774">
        <v>0</v>
      </c>
      <c r="H15774">
        <v>1</v>
      </c>
      <c r="I15774" s="3">
        <v>3270.72</v>
      </c>
      <c r="J15774" s="3">
        <v>654.12</v>
      </c>
      <c r="K15774" t="s">
        <v>34494</v>
      </c>
      <c r="L15774">
        <v>1220</v>
      </c>
      <c r="M15774" t="s">
        <v>13896</v>
      </c>
      <c r="N15774" t="s">
        <v>30</v>
      </c>
      <c r="O15774" t="s">
        <v>31</v>
      </c>
      <c r="P15774" t="str">
        <f>"15212"</f>
        <v>15212</v>
      </c>
    </row>
    <row r="15775" spans="1:16" x14ac:dyDescent="0.25">
      <c r="A15775" t="str">
        <f>"1220023L00184000100"</f>
        <v>1220023L00184000100</v>
      </c>
      <c r="B15775" t="s">
        <v>34495</v>
      </c>
      <c r="C15775" t="s">
        <v>34496</v>
      </c>
      <c r="D15775" t="s">
        <v>20</v>
      </c>
      <c r="E15775" t="s">
        <v>39</v>
      </c>
      <c r="F15775">
        <v>0</v>
      </c>
      <c r="G15775">
        <v>0</v>
      </c>
      <c r="H15775">
        <v>2</v>
      </c>
      <c r="I15775" s="3">
        <v>4650.66</v>
      </c>
      <c r="J15775" s="3">
        <v>0</v>
      </c>
      <c r="K15775" t="s">
        <v>34497</v>
      </c>
      <c r="M15775" t="s">
        <v>34498</v>
      </c>
      <c r="N15775" t="s">
        <v>2008</v>
      </c>
      <c r="O15775" t="s">
        <v>31</v>
      </c>
      <c r="P15775" t="str">
        <f>"16066"</f>
        <v>16066</v>
      </c>
    </row>
    <row r="15776" spans="1:16" x14ac:dyDescent="0.25">
      <c r="A15776" t="str">
        <f>"1220023L00187    00"</f>
        <v>1220023L00187    00</v>
      </c>
      <c r="B15776" t="s">
        <v>34499</v>
      </c>
      <c r="C15776" t="s">
        <v>34500</v>
      </c>
      <c r="D15776" t="s">
        <v>20</v>
      </c>
      <c r="E15776" t="s">
        <v>39</v>
      </c>
      <c r="F15776">
        <v>0</v>
      </c>
      <c r="G15776">
        <v>0</v>
      </c>
      <c r="H15776">
        <v>3</v>
      </c>
      <c r="I15776" s="3">
        <v>640.01</v>
      </c>
      <c r="J15776" s="3">
        <v>91.94</v>
      </c>
      <c r="L15776">
        <v>5530</v>
      </c>
      <c r="M15776" t="s">
        <v>34501</v>
      </c>
      <c r="N15776" t="s">
        <v>30</v>
      </c>
      <c r="O15776" t="s">
        <v>31</v>
      </c>
      <c r="P15776" t="str">
        <f>"15206"</f>
        <v>15206</v>
      </c>
    </row>
    <row r="15777" spans="1:16" x14ac:dyDescent="0.25">
      <c r="A15777" t="str">
        <f>"1220023L00199    00"</f>
        <v>1220023L00199    00</v>
      </c>
      <c r="B15777" t="s">
        <v>33836</v>
      </c>
      <c r="C15777" t="s">
        <v>34502</v>
      </c>
      <c r="D15777" t="s">
        <v>20</v>
      </c>
      <c r="E15777" t="s">
        <v>39</v>
      </c>
      <c r="F15777">
        <v>0</v>
      </c>
      <c r="G15777">
        <v>0</v>
      </c>
      <c r="H15777">
        <v>3</v>
      </c>
      <c r="I15777" s="3">
        <v>5432.1</v>
      </c>
      <c r="J15777" s="3">
        <v>362.12</v>
      </c>
      <c r="K15777" t="s">
        <v>33838</v>
      </c>
      <c r="L15777">
        <v>1320</v>
      </c>
      <c r="M15777" t="s">
        <v>13896</v>
      </c>
      <c r="N15777" t="s">
        <v>30</v>
      </c>
      <c r="O15777" t="s">
        <v>31</v>
      </c>
      <c r="P15777" t="str">
        <f>"15212"</f>
        <v>15212</v>
      </c>
    </row>
    <row r="15778" spans="1:16" x14ac:dyDescent="0.25">
      <c r="A15778" t="str">
        <f>"1220023L00204    00"</f>
        <v>1220023L00204    00</v>
      </c>
      <c r="B15778" t="s">
        <v>34503</v>
      </c>
      <c r="C15778" t="s">
        <v>34504</v>
      </c>
      <c r="D15778" t="s">
        <v>57</v>
      </c>
      <c r="E15778" t="s">
        <v>39</v>
      </c>
      <c r="F15778">
        <v>0</v>
      </c>
      <c r="G15778">
        <v>0</v>
      </c>
      <c r="H15778">
        <v>1</v>
      </c>
      <c r="I15778" s="3">
        <v>1486.68</v>
      </c>
      <c r="J15778" s="3">
        <v>37.17</v>
      </c>
      <c r="K15778" t="s">
        <v>34505</v>
      </c>
      <c r="L15778">
        <v>115</v>
      </c>
      <c r="M15778" t="s">
        <v>34506</v>
      </c>
      <c r="N15778" t="s">
        <v>30</v>
      </c>
      <c r="O15778" t="s">
        <v>31</v>
      </c>
      <c r="P15778" t="str">
        <f>"15212"</f>
        <v>15212</v>
      </c>
    </row>
    <row r="15779" spans="1:16" x14ac:dyDescent="0.25">
      <c r="A15779" t="str">
        <f>"1220023L00233    00"</f>
        <v>1220023L00233    00</v>
      </c>
      <c r="B15779" t="s">
        <v>34507</v>
      </c>
      <c r="C15779" t="s">
        <v>34508</v>
      </c>
      <c r="D15779" t="s">
        <v>20</v>
      </c>
      <c r="E15779" t="s">
        <v>39</v>
      </c>
      <c r="F15779">
        <v>0</v>
      </c>
      <c r="G15779">
        <v>0</v>
      </c>
      <c r="H15779">
        <v>1</v>
      </c>
      <c r="I15779" s="3">
        <v>1250.33</v>
      </c>
      <c r="J15779" s="3">
        <v>0</v>
      </c>
      <c r="K15779" t="s">
        <v>34509</v>
      </c>
      <c r="L15779">
        <v>529</v>
      </c>
      <c r="M15779" t="s">
        <v>34510</v>
      </c>
      <c r="N15779" t="s">
        <v>295</v>
      </c>
      <c r="O15779" t="s">
        <v>31</v>
      </c>
      <c r="P15779" t="str">
        <f>"15146"</f>
        <v>15146</v>
      </c>
    </row>
    <row r="15780" spans="1:16" x14ac:dyDescent="0.25">
      <c r="A15780" t="str">
        <f>"1220023L00237    00"</f>
        <v>1220023L00237    00</v>
      </c>
      <c r="B15780" t="s">
        <v>34511</v>
      </c>
      <c r="C15780" t="s">
        <v>34512</v>
      </c>
      <c r="D15780" t="s">
        <v>20</v>
      </c>
      <c r="E15780" t="s">
        <v>39</v>
      </c>
      <c r="F15780">
        <v>0</v>
      </c>
      <c r="G15780">
        <v>0</v>
      </c>
      <c r="H15780">
        <v>2</v>
      </c>
      <c r="I15780" s="3">
        <v>1334.2</v>
      </c>
      <c r="J15780" s="3">
        <v>0</v>
      </c>
      <c r="L15780">
        <v>413</v>
      </c>
      <c r="M15780" t="s">
        <v>1481</v>
      </c>
      <c r="N15780" t="s">
        <v>30</v>
      </c>
      <c r="O15780" t="s">
        <v>31</v>
      </c>
      <c r="P15780" t="str">
        <f>"15213"</f>
        <v>15213</v>
      </c>
    </row>
    <row r="15781" spans="1:16" x14ac:dyDescent="0.25">
      <c r="A15781" t="str">
        <f>"1220023L00238    00"</f>
        <v>1220023L00238    00</v>
      </c>
      <c r="B15781" t="s">
        <v>34511</v>
      </c>
      <c r="C15781" t="s">
        <v>34513</v>
      </c>
      <c r="D15781" t="s">
        <v>20</v>
      </c>
      <c r="E15781" t="s">
        <v>39</v>
      </c>
      <c r="F15781">
        <v>0</v>
      </c>
      <c r="G15781">
        <v>0</v>
      </c>
      <c r="H15781">
        <v>2</v>
      </c>
      <c r="I15781" s="3">
        <v>2287.1999999999998</v>
      </c>
      <c r="J15781" s="3">
        <v>0</v>
      </c>
      <c r="K15781" t="s">
        <v>34514</v>
      </c>
      <c r="L15781">
        <v>413</v>
      </c>
      <c r="M15781" t="s">
        <v>1481</v>
      </c>
      <c r="N15781" t="s">
        <v>30</v>
      </c>
      <c r="O15781" t="s">
        <v>31</v>
      </c>
      <c r="P15781" t="str">
        <f>"15213"</f>
        <v>15213</v>
      </c>
    </row>
    <row r="15782" spans="1:16" x14ac:dyDescent="0.25">
      <c r="A15782" t="str">
        <f>"1220023L00251    00"</f>
        <v>1220023L00251    00</v>
      </c>
      <c r="B15782" t="s">
        <v>34515</v>
      </c>
      <c r="C15782" t="s">
        <v>34516</v>
      </c>
      <c r="E15782" t="s">
        <v>39</v>
      </c>
      <c r="F15782">
        <v>0</v>
      </c>
      <c r="G15782">
        <v>0</v>
      </c>
      <c r="H15782">
        <v>1</v>
      </c>
      <c r="I15782" s="3">
        <v>1273.48</v>
      </c>
      <c r="J15782" s="3">
        <v>1506.87</v>
      </c>
      <c r="K15782" t="s">
        <v>34517</v>
      </c>
      <c r="L15782">
        <v>3224</v>
      </c>
      <c r="M15782" t="s">
        <v>34518</v>
      </c>
      <c r="N15782" t="s">
        <v>30</v>
      </c>
      <c r="O15782" t="s">
        <v>31</v>
      </c>
      <c r="P15782" t="str">
        <f>"15214"</f>
        <v>15214</v>
      </c>
    </row>
    <row r="15783" spans="1:16" x14ac:dyDescent="0.25">
      <c r="A15783" t="str">
        <f>"1220023N00035    00"</f>
        <v>1220023N00035    00</v>
      </c>
      <c r="B15783" t="s">
        <v>34519</v>
      </c>
      <c r="C15783" t="s">
        <v>34520</v>
      </c>
      <c r="D15783" t="s">
        <v>20</v>
      </c>
      <c r="E15783" t="s">
        <v>39</v>
      </c>
      <c r="F15783">
        <v>0</v>
      </c>
      <c r="G15783">
        <v>0</v>
      </c>
      <c r="H15783">
        <v>1</v>
      </c>
      <c r="I15783" s="3">
        <v>4382.3599999999997</v>
      </c>
      <c r="J15783" s="3">
        <v>0</v>
      </c>
      <c r="L15783">
        <v>1207</v>
      </c>
      <c r="M15783" t="s">
        <v>3938</v>
      </c>
      <c r="N15783" t="s">
        <v>30</v>
      </c>
      <c r="O15783" t="s">
        <v>31</v>
      </c>
      <c r="P15783" t="str">
        <f>"15212"</f>
        <v>15212</v>
      </c>
    </row>
    <row r="15784" spans="1:16" x14ac:dyDescent="0.25">
      <c r="A15784" t="str">
        <f>"1220023N00043    00"</f>
        <v>1220023N00043    00</v>
      </c>
      <c r="B15784" t="s">
        <v>34521</v>
      </c>
      <c r="C15784" t="s">
        <v>34522</v>
      </c>
      <c r="E15784" t="s">
        <v>21</v>
      </c>
      <c r="F15784">
        <v>0</v>
      </c>
      <c r="G15784">
        <v>0</v>
      </c>
      <c r="H15784">
        <v>1</v>
      </c>
      <c r="I15784" s="3">
        <v>345.23</v>
      </c>
      <c r="J15784" s="3">
        <v>274.51</v>
      </c>
      <c r="L15784">
        <v>616</v>
      </c>
      <c r="M15784" t="s">
        <v>4860</v>
      </c>
      <c r="N15784" t="s">
        <v>30</v>
      </c>
      <c r="O15784" t="s">
        <v>31</v>
      </c>
      <c r="P15784" t="str">
        <f>"15212"</f>
        <v>15212</v>
      </c>
    </row>
    <row r="15785" spans="1:16" x14ac:dyDescent="0.25">
      <c r="A15785" t="str">
        <f>"1220023N00044    00"</f>
        <v>1220023N00044    00</v>
      </c>
      <c r="B15785" t="s">
        <v>34521</v>
      </c>
      <c r="C15785" t="s">
        <v>34522</v>
      </c>
      <c r="E15785" t="s">
        <v>21</v>
      </c>
      <c r="F15785">
        <v>0</v>
      </c>
      <c r="G15785">
        <v>0</v>
      </c>
      <c r="H15785">
        <v>1</v>
      </c>
      <c r="I15785" s="3">
        <v>172.62</v>
      </c>
      <c r="J15785" s="3">
        <v>137.27000000000001</v>
      </c>
      <c r="L15785">
        <v>616</v>
      </c>
      <c r="M15785" t="s">
        <v>4860</v>
      </c>
      <c r="N15785" t="s">
        <v>30</v>
      </c>
      <c r="O15785" t="s">
        <v>31</v>
      </c>
      <c r="P15785" t="str">
        <f>"15212"</f>
        <v>15212</v>
      </c>
    </row>
    <row r="15786" spans="1:16" x14ac:dyDescent="0.25">
      <c r="A15786" t="str">
        <f>"1220023N00045    00"</f>
        <v>1220023N00045    00</v>
      </c>
      <c r="B15786" t="s">
        <v>34521</v>
      </c>
      <c r="C15786" t="s">
        <v>34522</v>
      </c>
      <c r="E15786" t="s">
        <v>21</v>
      </c>
      <c r="F15786">
        <v>0</v>
      </c>
      <c r="G15786">
        <v>0</v>
      </c>
      <c r="H15786">
        <v>1</v>
      </c>
      <c r="I15786" s="3">
        <v>172.62</v>
      </c>
      <c r="J15786" s="3">
        <v>137.27000000000001</v>
      </c>
      <c r="L15786">
        <v>616</v>
      </c>
      <c r="M15786" t="s">
        <v>4860</v>
      </c>
      <c r="N15786" t="s">
        <v>30</v>
      </c>
      <c r="O15786" t="s">
        <v>31</v>
      </c>
      <c r="P15786" t="str">
        <f>"15212"</f>
        <v>15212</v>
      </c>
    </row>
    <row r="15787" spans="1:16" x14ac:dyDescent="0.25">
      <c r="A15787" t="str">
        <f>"1220023N00050    00"</f>
        <v>1220023N00050    00</v>
      </c>
      <c r="B15787" t="s">
        <v>34523</v>
      </c>
      <c r="C15787" t="s">
        <v>34524</v>
      </c>
      <c r="D15787" t="s">
        <v>20</v>
      </c>
      <c r="E15787" t="s">
        <v>39</v>
      </c>
      <c r="F15787">
        <v>0</v>
      </c>
      <c r="G15787">
        <v>0</v>
      </c>
      <c r="H15787">
        <v>1</v>
      </c>
      <c r="I15787" s="3">
        <v>53.89</v>
      </c>
      <c r="J15787" s="3">
        <v>0</v>
      </c>
      <c r="L15787">
        <v>1207</v>
      </c>
      <c r="M15787" t="s">
        <v>34348</v>
      </c>
      <c r="N15787" t="s">
        <v>30</v>
      </c>
      <c r="O15787" t="s">
        <v>31</v>
      </c>
      <c r="P15787" t="str">
        <f>"15212"</f>
        <v>15212</v>
      </c>
    </row>
    <row r="15788" spans="1:16" x14ac:dyDescent="0.25">
      <c r="A15788" t="str">
        <f>"1220023N00152000300"</f>
        <v>1220023N00152000300</v>
      </c>
      <c r="B15788" t="s">
        <v>34525</v>
      </c>
      <c r="C15788" t="s">
        <v>34526</v>
      </c>
      <c r="E15788" t="s">
        <v>39</v>
      </c>
      <c r="F15788">
        <v>0</v>
      </c>
      <c r="G15788">
        <v>0</v>
      </c>
      <c r="H15788">
        <v>2</v>
      </c>
      <c r="I15788" s="3">
        <v>4155.08</v>
      </c>
      <c r="J15788" s="3">
        <v>51.93</v>
      </c>
      <c r="K15788" t="s">
        <v>400</v>
      </c>
      <c r="L15788">
        <v>3001</v>
      </c>
      <c r="M15788" t="s">
        <v>330</v>
      </c>
      <c r="N15788" t="s">
        <v>331</v>
      </c>
      <c r="O15788" t="s">
        <v>108</v>
      </c>
      <c r="P15788" t="str">
        <f>"75063"</f>
        <v>75063</v>
      </c>
    </row>
    <row r="15789" spans="1:16" x14ac:dyDescent="0.25">
      <c r="A15789" t="str">
        <f>"1220023N00177080600"</f>
        <v>1220023N00177080600</v>
      </c>
      <c r="B15789" t="s">
        <v>34527</v>
      </c>
      <c r="C15789" t="s">
        <v>34528</v>
      </c>
      <c r="E15789" t="s">
        <v>39</v>
      </c>
      <c r="F15789">
        <v>0</v>
      </c>
      <c r="G15789">
        <v>0</v>
      </c>
      <c r="H15789">
        <v>2</v>
      </c>
      <c r="I15789" s="3">
        <v>1822.14</v>
      </c>
      <c r="J15789" s="3">
        <v>28.72</v>
      </c>
      <c r="K15789" t="s">
        <v>34529</v>
      </c>
      <c r="L15789">
        <v>806</v>
      </c>
      <c r="M15789" t="s">
        <v>34247</v>
      </c>
      <c r="N15789" t="s">
        <v>30</v>
      </c>
      <c r="O15789" t="s">
        <v>31</v>
      </c>
      <c r="P15789" t="str">
        <f>"15233"</f>
        <v>15233</v>
      </c>
    </row>
    <row r="15790" spans="1:16" x14ac:dyDescent="0.25">
      <c r="A15790" t="str">
        <f>"1220023N00177081000"</f>
        <v>1220023N00177081000</v>
      </c>
      <c r="B15790" t="s">
        <v>34530</v>
      </c>
      <c r="C15790" t="s">
        <v>34531</v>
      </c>
      <c r="E15790" t="s">
        <v>39</v>
      </c>
      <c r="F15790">
        <v>0</v>
      </c>
      <c r="G15790">
        <v>0</v>
      </c>
      <c r="H15790">
        <v>1</v>
      </c>
      <c r="I15790" s="3">
        <v>2551.69</v>
      </c>
      <c r="J15790" s="3">
        <v>21.26</v>
      </c>
      <c r="L15790">
        <v>111</v>
      </c>
      <c r="M15790" t="s">
        <v>34532</v>
      </c>
      <c r="N15790" t="s">
        <v>199</v>
      </c>
      <c r="O15790" t="s">
        <v>200</v>
      </c>
      <c r="P15790" t="str">
        <f>"10120"</f>
        <v>10120</v>
      </c>
    </row>
    <row r="15791" spans="1:16" x14ac:dyDescent="0.25">
      <c r="A15791" t="str">
        <f>"1220023N00177081200"</f>
        <v>1220023N00177081200</v>
      </c>
      <c r="B15791" t="s">
        <v>34533</v>
      </c>
      <c r="C15791" t="s">
        <v>34534</v>
      </c>
      <c r="E15791" t="s">
        <v>39</v>
      </c>
      <c r="F15791">
        <v>0</v>
      </c>
      <c r="G15791">
        <v>0</v>
      </c>
      <c r="H15791">
        <v>2</v>
      </c>
      <c r="I15791" s="3">
        <v>7818.44</v>
      </c>
      <c r="J15791" s="3">
        <v>260.61</v>
      </c>
      <c r="K15791" t="s">
        <v>408</v>
      </c>
      <c r="M15791" t="s">
        <v>409</v>
      </c>
      <c r="N15791" t="s">
        <v>410</v>
      </c>
      <c r="O15791" t="s">
        <v>31</v>
      </c>
      <c r="P15791" t="str">
        <f>"15701"</f>
        <v>15701</v>
      </c>
    </row>
    <row r="15792" spans="1:16" x14ac:dyDescent="0.25">
      <c r="A15792" t="str">
        <f>"1220023P00014    00"</f>
        <v>1220023P00014    00</v>
      </c>
      <c r="B15792" t="s">
        <v>34535</v>
      </c>
      <c r="C15792" t="s">
        <v>34536</v>
      </c>
      <c r="E15792" t="s">
        <v>39</v>
      </c>
      <c r="F15792">
        <v>0</v>
      </c>
      <c r="G15792">
        <v>0</v>
      </c>
      <c r="H15792">
        <v>2</v>
      </c>
      <c r="I15792" s="3">
        <v>4816.53</v>
      </c>
      <c r="J15792" s="3">
        <v>894.12</v>
      </c>
      <c r="L15792">
        <v>414</v>
      </c>
      <c r="M15792" t="s">
        <v>4860</v>
      </c>
      <c r="N15792" t="s">
        <v>30</v>
      </c>
      <c r="O15792" t="s">
        <v>31</v>
      </c>
      <c r="P15792" t="str">
        <f>"15212"</f>
        <v>15212</v>
      </c>
    </row>
    <row r="15793" spans="1:16" x14ac:dyDescent="0.25">
      <c r="A15793" t="str">
        <f>"1220023P00028    00"</f>
        <v>1220023P00028    00</v>
      </c>
      <c r="B15793" t="s">
        <v>34537</v>
      </c>
      <c r="C15793" t="s">
        <v>34538</v>
      </c>
      <c r="D15793" t="s">
        <v>20</v>
      </c>
      <c r="E15793" t="s">
        <v>39</v>
      </c>
      <c r="F15793">
        <v>0</v>
      </c>
      <c r="G15793">
        <v>0</v>
      </c>
      <c r="H15793">
        <v>2</v>
      </c>
      <c r="I15793" s="3">
        <v>6705.31</v>
      </c>
      <c r="J15793" s="3">
        <v>0</v>
      </c>
      <c r="L15793">
        <v>911</v>
      </c>
      <c r="M15793" t="s">
        <v>34539</v>
      </c>
      <c r="N15793" t="s">
        <v>30</v>
      </c>
      <c r="O15793" t="s">
        <v>31</v>
      </c>
      <c r="P15793" t="str">
        <f>"15212"</f>
        <v>15212</v>
      </c>
    </row>
    <row r="15794" spans="1:16" x14ac:dyDescent="0.25">
      <c r="A15794" t="str">
        <f>"1220023P00038318800"</f>
        <v>1220023P00038318800</v>
      </c>
      <c r="B15794" t="s">
        <v>34540</v>
      </c>
      <c r="C15794" t="s">
        <v>34541</v>
      </c>
      <c r="E15794" t="s">
        <v>39</v>
      </c>
      <c r="F15794">
        <v>0</v>
      </c>
      <c r="G15794">
        <v>0</v>
      </c>
      <c r="H15794">
        <v>1</v>
      </c>
      <c r="I15794" s="3">
        <v>390</v>
      </c>
      <c r="J15794" s="3">
        <v>0</v>
      </c>
      <c r="L15794">
        <v>318</v>
      </c>
      <c r="M15794" t="s">
        <v>4860</v>
      </c>
      <c r="N15794" t="s">
        <v>30</v>
      </c>
      <c r="O15794" t="s">
        <v>31</v>
      </c>
      <c r="P15794" t="str">
        <f>"15212"</f>
        <v>15212</v>
      </c>
    </row>
    <row r="15795" spans="1:16" x14ac:dyDescent="0.25">
      <c r="A15795" t="str">
        <f>"1220023P00048    00"</f>
        <v>1220023P00048    00</v>
      </c>
      <c r="B15795" t="s">
        <v>34395</v>
      </c>
      <c r="C15795" t="s">
        <v>34396</v>
      </c>
      <c r="D15795" t="s">
        <v>20</v>
      </c>
      <c r="E15795" t="s">
        <v>21</v>
      </c>
      <c r="F15795">
        <v>0</v>
      </c>
      <c r="G15795">
        <v>0</v>
      </c>
      <c r="H15795">
        <v>2</v>
      </c>
      <c r="I15795" s="3">
        <v>171.56</v>
      </c>
      <c r="J15795" s="3">
        <v>17.16</v>
      </c>
      <c r="L15795">
        <v>302</v>
      </c>
      <c r="M15795" t="s">
        <v>4860</v>
      </c>
      <c r="N15795" t="s">
        <v>30</v>
      </c>
      <c r="O15795" t="s">
        <v>31</v>
      </c>
      <c r="P15795" t="str">
        <f>"15212"</f>
        <v>15212</v>
      </c>
    </row>
    <row r="15796" spans="1:16" x14ac:dyDescent="0.25">
      <c r="A15796" t="str">
        <f>"1220023P00049    00"</f>
        <v>1220023P00049    00</v>
      </c>
      <c r="B15796" t="s">
        <v>34395</v>
      </c>
      <c r="C15796" t="s">
        <v>34396</v>
      </c>
      <c r="D15796" t="s">
        <v>20</v>
      </c>
      <c r="E15796" t="s">
        <v>21</v>
      </c>
      <c r="F15796">
        <v>0</v>
      </c>
      <c r="G15796">
        <v>0</v>
      </c>
      <c r="H15796">
        <v>2</v>
      </c>
      <c r="I15796" s="3">
        <v>171.56</v>
      </c>
      <c r="J15796" s="3">
        <v>17.16</v>
      </c>
      <c r="L15796">
        <v>302</v>
      </c>
      <c r="M15796" t="s">
        <v>4860</v>
      </c>
      <c r="N15796" t="s">
        <v>30</v>
      </c>
      <c r="O15796" t="s">
        <v>31</v>
      </c>
      <c r="P15796" t="str">
        <f>"15212"</f>
        <v>15212</v>
      </c>
    </row>
    <row r="15797" spans="1:16" x14ac:dyDescent="0.25">
      <c r="A15797" t="str">
        <f>"1230008D00098    00"</f>
        <v>1230008D00098    00</v>
      </c>
      <c r="B15797" t="s">
        <v>1599</v>
      </c>
      <c r="C15797" t="s">
        <v>34542</v>
      </c>
      <c r="E15797" t="s">
        <v>21</v>
      </c>
      <c r="F15797">
        <v>0</v>
      </c>
      <c r="G15797">
        <v>0</v>
      </c>
      <c r="H15797">
        <v>2</v>
      </c>
      <c r="I15797" s="3">
        <v>269.16000000000003</v>
      </c>
      <c r="J15797" s="3">
        <v>1.1499999999999999</v>
      </c>
      <c r="K15797" t="s">
        <v>1601</v>
      </c>
      <c r="L15797">
        <v>2424</v>
      </c>
      <c r="M15797" t="s">
        <v>30949</v>
      </c>
      <c r="N15797" t="s">
        <v>5025</v>
      </c>
      <c r="O15797" t="s">
        <v>108</v>
      </c>
      <c r="P15797" t="str">
        <f>"75087"</f>
        <v>75087</v>
      </c>
    </row>
    <row r="15798" spans="1:16" x14ac:dyDescent="0.25">
      <c r="A15798" t="str">
        <f>"1230008D00147    00"</f>
        <v>1230008D00147    00</v>
      </c>
      <c r="B15798" t="s">
        <v>34543</v>
      </c>
      <c r="C15798" t="s">
        <v>34544</v>
      </c>
      <c r="D15798" t="s">
        <v>20</v>
      </c>
      <c r="E15798" t="s">
        <v>21</v>
      </c>
      <c r="F15798">
        <v>0</v>
      </c>
      <c r="G15798">
        <v>0</v>
      </c>
      <c r="H15798">
        <v>2</v>
      </c>
      <c r="I15798" s="3">
        <v>14348.36</v>
      </c>
      <c r="J15798" s="3">
        <v>0</v>
      </c>
      <c r="L15798">
        <v>408</v>
      </c>
      <c r="M15798" t="s">
        <v>16085</v>
      </c>
      <c r="N15798" t="s">
        <v>30</v>
      </c>
      <c r="O15798" t="s">
        <v>31</v>
      </c>
      <c r="P15798" t="str">
        <f>"15212"</f>
        <v>15212</v>
      </c>
    </row>
    <row r="15799" spans="1:16" x14ac:dyDescent="0.25">
      <c r="A15799" t="str">
        <f>"1230008D00161    00"</f>
        <v>1230008D00161    00</v>
      </c>
      <c r="B15799" t="s">
        <v>34545</v>
      </c>
      <c r="C15799" t="s">
        <v>34546</v>
      </c>
      <c r="E15799" t="s">
        <v>39</v>
      </c>
      <c r="F15799">
        <v>0</v>
      </c>
      <c r="G15799">
        <v>0</v>
      </c>
      <c r="H15799">
        <v>2</v>
      </c>
      <c r="I15799" s="3">
        <v>5081.42</v>
      </c>
      <c r="J15799" s="3">
        <v>63.52</v>
      </c>
      <c r="K15799" t="s">
        <v>34547</v>
      </c>
      <c r="L15799">
        <v>2100</v>
      </c>
      <c r="M15799" t="s">
        <v>2035</v>
      </c>
      <c r="N15799" t="s">
        <v>2033</v>
      </c>
      <c r="O15799" t="s">
        <v>495</v>
      </c>
      <c r="P15799" t="str">
        <f>"94608"</f>
        <v>94608</v>
      </c>
    </row>
    <row r="15800" spans="1:16" x14ac:dyDescent="0.25">
      <c r="A15800" t="str">
        <f>"1230008D00176    00"</f>
        <v>1230008D00176    00</v>
      </c>
      <c r="B15800" t="s">
        <v>34548</v>
      </c>
      <c r="C15800" t="s">
        <v>34549</v>
      </c>
      <c r="E15800" t="s">
        <v>39</v>
      </c>
      <c r="F15800">
        <v>0</v>
      </c>
      <c r="G15800">
        <v>0</v>
      </c>
      <c r="H15800">
        <v>1</v>
      </c>
      <c r="I15800" s="3">
        <v>1983.11</v>
      </c>
      <c r="J15800" s="3">
        <v>545.33000000000004</v>
      </c>
      <c r="K15800" t="s">
        <v>2302</v>
      </c>
      <c r="L15800">
        <v>3001</v>
      </c>
      <c r="M15800" t="s">
        <v>330</v>
      </c>
      <c r="N15800" t="s">
        <v>331</v>
      </c>
      <c r="O15800" t="s">
        <v>108</v>
      </c>
      <c r="P15800" t="str">
        <f>"75063"</f>
        <v>75063</v>
      </c>
    </row>
    <row r="15801" spans="1:16" x14ac:dyDescent="0.25">
      <c r="A15801" t="str">
        <f>"1230008D00180000500"</f>
        <v>1230008D00180000500</v>
      </c>
      <c r="B15801" t="s">
        <v>34550</v>
      </c>
      <c r="C15801" t="s">
        <v>34551</v>
      </c>
      <c r="D15801" t="s">
        <v>20</v>
      </c>
      <c r="E15801" t="s">
        <v>39</v>
      </c>
      <c r="F15801">
        <v>0</v>
      </c>
      <c r="G15801">
        <v>0</v>
      </c>
      <c r="H15801">
        <v>1</v>
      </c>
      <c r="I15801" s="3">
        <v>2112.3200000000002</v>
      </c>
      <c r="J15801" s="3">
        <v>0</v>
      </c>
      <c r="K15801" t="s">
        <v>34552</v>
      </c>
      <c r="L15801">
        <v>410</v>
      </c>
      <c r="M15801" t="s">
        <v>30668</v>
      </c>
      <c r="N15801" t="s">
        <v>30</v>
      </c>
      <c r="O15801" t="s">
        <v>31</v>
      </c>
      <c r="P15801" t="str">
        <f>"15212"</f>
        <v>15212</v>
      </c>
    </row>
    <row r="15802" spans="1:16" x14ac:dyDescent="0.25">
      <c r="A15802" t="str">
        <f>"1230008D00180001700"</f>
        <v>1230008D00180001700</v>
      </c>
      <c r="B15802" t="s">
        <v>34553</v>
      </c>
      <c r="C15802" t="s">
        <v>34554</v>
      </c>
      <c r="D15802" t="s">
        <v>20</v>
      </c>
      <c r="E15802" t="s">
        <v>39</v>
      </c>
      <c r="F15802">
        <v>0</v>
      </c>
      <c r="G15802">
        <v>0</v>
      </c>
      <c r="H15802">
        <v>1</v>
      </c>
      <c r="I15802" s="3">
        <v>2430.16</v>
      </c>
      <c r="J15802" s="3">
        <v>0</v>
      </c>
      <c r="K15802" t="s">
        <v>34555</v>
      </c>
      <c r="L15802">
        <v>709</v>
      </c>
      <c r="M15802" t="s">
        <v>34556</v>
      </c>
      <c r="N15802" t="s">
        <v>546</v>
      </c>
      <c r="O15802" t="s">
        <v>31</v>
      </c>
      <c r="P15802" t="str">
        <f>"15044"</f>
        <v>15044</v>
      </c>
    </row>
    <row r="15803" spans="1:16" x14ac:dyDescent="0.25">
      <c r="A15803" t="str">
        <f>"1230009A00003    00"</f>
        <v>1230009A00003    00</v>
      </c>
      <c r="B15803" t="s">
        <v>34557</v>
      </c>
      <c r="C15803" t="s">
        <v>34558</v>
      </c>
      <c r="D15803" t="s">
        <v>20</v>
      </c>
      <c r="E15803" t="s">
        <v>39</v>
      </c>
      <c r="F15803">
        <v>0</v>
      </c>
      <c r="G15803">
        <v>0</v>
      </c>
      <c r="H15803">
        <v>2</v>
      </c>
      <c r="I15803" s="3">
        <v>2474</v>
      </c>
      <c r="J15803" s="3">
        <v>0</v>
      </c>
      <c r="K15803" t="s">
        <v>7185</v>
      </c>
      <c r="L15803">
        <v>1</v>
      </c>
      <c r="M15803" t="s">
        <v>7186</v>
      </c>
      <c r="N15803" t="s">
        <v>4803</v>
      </c>
      <c r="O15803" t="s">
        <v>554</v>
      </c>
      <c r="P15803" t="str">
        <f>"26003"</f>
        <v>26003</v>
      </c>
    </row>
    <row r="15804" spans="1:16" x14ac:dyDescent="0.25">
      <c r="A15804" t="str">
        <f>"1230009A00008    00"</f>
        <v>1230009A00008    00</v>
      </c>
      <c r="B15804" t="s">
        <v>34559</v>
      </c>
      <c r="C15804" t="s">
        <v>34560</v>
      </c>
      <c r="E15804" t="s">
        <v>39</v>
      </c>
      <c r="F15804">
        <v>0</v>
      </c>
      <c r="G15804">
        <v>0</v>
      </c>
      <c r="H15804">
        <v>1</v>
      </c>
      <c r="I15804" s="3">
        <v>820</v>
      </c>
      <c r="J15804" s="3">
        <v>0</v>
      </c>
      <c r="K15804" t="s">
        <v>34561</v>
      </c>
      <c r="L15804">
        <v>1244</v>
      </c>
      <c r="M15804" t="s">
        <v>34562</v>
      </c>
      <c r="N15804" t="s">
        <v>30</v>
      </c>
      <c r="O15804" t="s">
        <v>31</v>
      </c>
      <c r="P15804" t="str">
        <f>"15212"</f>
        <v>15212</v>
      </c>
    </row>
    <row r="15805" spans="1:16" x14ac:dyDescent="0.25">
      <c r="A15805" t="str">
        <f>"1230009A00030    00"</f>
        <v>1230009A00030    00</v>
      </c>
      <c r="B15805" t="s">
        <v>34563</v>
      </c>
      <c r="C15805" t="s">
        <v>34564</v>
      </c>
      <c r="E15805" t="s">
        <v>39</v>
      </c>
      <c r="F15805">
        <v>0</v>
      </c>
      <c r="G15805">
        <v>0</v>
      </c>
      <c r="H15805">
        <v>1</v>
      </c>
      <c r="I15805" s="3">
        <v>1623.95</v>
      </c>
      <c r="J15805" s="3">
        <v>419.5</v>
      </c>
      <c r="K15805" t="s">
        <v>426</v>
      </c>
      <c r="L15805">
        <v>2570</v>
      </c>
      <c r="M15805" t="s">
        <v>427</v>
      </c>
      <c r="N15805" t="s">
        <v>30</v>
      </c>
      <c r="O15805" t="s">
        <v>31</v>
      </c>
      <c r="P15805" t="str">
        <f>"15241"</f>
        <v>15241</v>
      </c>
    </row>
    <row r="15806" spans="1:16" x14ac:dyDescent="0.25">
      <c r="A15806" t="str">
        <f>"1230009A00038    00"</f>
        <v>1230009A00038    00</v>
      </c>
      <c r="B15806" t="s">
        <v>34565</v>
      </c>
      <c r="C15806" t="s">
        <v>34566</v>
      </c>
      <c r="D15806" t="s">
        <v>20</v>
      </c>
      <c r="E15806" t="s">
        <v>39</v>
      </c>
      <c r="F15806">
        <v>0</v>
      </c>
      <c r="G15806">
        <v>0</v>
      </c>
      <c r="H15806">
        <v>1</v>
      </c>
      <c r="I15806" s="3">
        <v>1924.14</v>
      </c>
      <c r="J15806" s="3">
        <v>0</v>
      </c>
      <c r="L15806">
        <v>602</v>
      </c>
      <c r="M15806" t="s">
        <v>34567</v>
      </c>
      <c r="N15806" t="s">
        <v>30</v>
      </c>
      <c r="O15806" t="s">
        <v>31</v>
      </c>
      <c r="P15806" t="str">
        <f>"15212"</f>
        <v>15212</v>
      </c>
    </row>
    <row r="15807" spans="1:16" x14ac:dyDescent="0.25">
      <c r="A15807" t="str">
        <f>"1230009A00077    00"</f>
        <v>1230009A00077    00</v>
      </c>
      <c r="B15807" t="s">
        <v>34568</v>
      </c>
      <c r="C15807" t="s">
        <v>34569</v>
      </c>
      <c r="D15807" t="s">
        <v>20</v>
      </c>
      <c r="E15807" t="s">
        <v>21</v>
      </c>
      <c r="F15807">
        <v>0</v>
      </c>
      <c r="G15807">
        <v>0</v>
      </c>
      <c r="H15807">
        <v>19</v>
      </c>
      <c r="I15807" s="3">
        <v>254.78</v>
      </c>
      <c r="J15807" s="3">
        <v>212.33</v>
      </c>
      <c r="K15807" t="s">
        <v>1037</v>
      </c>
      <c r="L15807">
        <v>415</v>
      </c>
      <c r="M15807" t="s">
        <v>34570</v>
      </c>
      <c r="N15807" t="s">
        <v>30</v>
      </c>
      <c r="O15807" t="s">
        <v>31</v>
      </c>
      <c r="P15807" t="str">
        <f>"15237"</f>
        <v>15237</v>
      </c>
    </row>
    <row r="15808" spans="1:16" x14ac:dyDescent="0.25">
      <c r="A15808" t="str">
        <f>"1230009A00162    01"</f>
        <v>1230009A00162    01</v>
      </c>
      <c r="B15808" t="s">
        <v>34571</v>
      </c>
      <c r="C15808" t="s">
        <v>34569</v>
      </c>
      <c r="E15808" t="s">
        <v>21</v>
      </c>
      <c r="F15808">
        <v>0</v>
      </c>
      <c r="G15808">
        <v>0</v>
      </c>
      <c r="H15808">
        <v>1</v>
      </c>
      <c r="I15808" s="3">
        <v>567.42999999999995</v>
      </c>
      <c r="J15808" s="3">
        <v>340.45</v>
      </c>
      <c r="K15808" t="s">
        <v>1162</v>
      </c>
      <c r="M15808" t="s">
        <v>34572</v>
      </c>
      <c r="N15808" t="s">
        <v>1129</v>
      </c>
      <c r="O15808" t="s">
        <v>108</v>
      </c>
      <c r="P15808" t="str">
        <f>"76161"</f>
        <v>76161</v>
      </c>
    </row>
    <row r="15809" spans="1:16" x14ac:dyDescent="0.25">
      <c r="A15809" t="str">
        <f>"1230009A00177    00"</f>
        <v>1230009A00177    00</v>
      </c>
      <c r="B15809" t="s">
        <v>34573</v>
      </c>
      <c r="C15809" t="s">
        <v>34303</v>
      </c>
      <c r="E15809" t="s">
        <v>21</v>
      </c>
      <c r="F15809">
        <v>0</v>
      </c>
      <c r="G15809">
        <v>0</v>
      </c>
      <c r="H15809">
        <v>3</v>
      </c>
      <c r="I15809" s="3">
        <v>814.14</v>
      </c>
      <c r="J15809" s="3">
        <v>13.56</v>
      </c>
      <c r="L15809">
        <v>647</v>
      </c>
      <c r="M15809" t="s">
        <v>23643</v>
      </c>
      <c r="N15809" t="s">
        <v>541</v>
      </c>
      <c r="O15809" t="s">
        <v>31</v>
      </c>
      <c r="P15809" t="str">
        <f>"15071"</f>
        <v>15071</v>
      </c>
    </row>
    <row r="15810" spans="1:16" x14ac:dyDescent="0.25">
      <c r="A15810" t="str">
        <f>"1230009A00197    00"</f>
        <v>1230009A00197    00</v>
      </c>
      <c r="B15810" t="s">
        <v>34574</v>
      </c>
      <c r="C15810" t="s">
        <v>34575</v>
      </c>
      <c r="D15810" t="s">
        <v>20</v>
      </c>
      <c r="E15810" t="s">
        <v>21</v>
      </c>
      <c r="F15810">
        <v>0</v>
      </c>
      <c r="G15810">
        <v>0</v>
      </c>
      <c r="H15810">
        <v>19</v>
      </c>
      <c r="I15810" s="3">
        <v>3625.49</v>
      </c>
      <c r="J15810" s="3">
        <v>3170.36</v>
      </c>
      <c r="L15810">
        <v>233</v>
      </c>
      <c r="M15810" t="s">
        <v>32218</v>
      </c>
      <c r="N15810" t="s">
        <v>30</v>
      </c>
      <c r="O15810" t="s">
        <v>31</v>
      </c>
      <c r="P15810" t="str">
        <f>"15212"</f>
        <v>15212</v>
      </c>
    </row>
    <row r="15811" spans="1:16" x14ac:dyDescent="0.25">
      <c r="A15811" t="str">
        <f>"1230009A00199    00"</f>
        <v>1230009A00199    00</v>
      </c>
      <c r="B15811" t="s">
        <v>34576</v>
      </c>
      <c r="C15811" t="s">
        <v>34575</v>
      </c>
      <c r="D15811" t="s">
        <v>20</v>
      </c>
      <c r="E15811" t="s">
        <v>21</v>
      </c>
      <c r="F15811">
        <v>0</v>
      </c>
      <c r="G15811">
        <v>0</v>
      </c>
      <c r="H15811">
        <v>19</v>
      </c>
      <c r="I15811" s="3">
        <v>956.76</v>
      </c>
      <c r="J15811" s="3">
        <v>1158.0899999999999</v>
      </c>
      <c r="L15811">
        <v>237</v>
      </c>
      <c r="M15811" t="s">
        <v>32218</v>
      </c>
      <c r="N15811" t="s">
        <v>30</v>
      </c>
      <c r="O15811" t="s">
        <v>31</v>
      </c>
      <c r="P15811" t="str">
        <f>"15212"</f>
        <v>15212</v>
      </c>
    </row>
    <row r="15812" spans="1:16" x14ac:dyDescent="0.25">
      <c r="A15812" t="str">
        <f>"1230009A00200    00"</f>
        <v>1230009A00200    00</v>
      </c>
      <c r="B15812" t="s">
        <v>34577</v>
      </c>
      <c r="C15812" t="s">
        <v>34575</v>
      </c>
      <c r="D15812" t="s">
        <v>20</v>
      </c>
      <c r="E15812" t="s">
        <v>21</v>
      </c>
      <c r="F15812">
        <v>0</v>
      </c>
      <c r="G15812">
        <v>0</v>
      </c>
      <c r="H15812">
        <v>19</v>
      </c>
      <c r="I15812" s="3">
        <v>956.76</v>
      </c>
      <c r="J15812" s="3">
        <v>1158.0899999999999</v>
      </c>
      <c r="L15812">
        <v>239</v>
      </c>
      <c r="M15812" t="s">
        <v>16709</v>
      </c>
      <c r="N15812" t="s">
        <v>30</v>
      </c>
      <c r="O15812" t="s">
        <v>31</v>
      </c>
      <c r="P15812" t="str">
        <f>"15212"</f>
        <v>15212</v>
      </c>
    </row>
    <row r="15813" spans="1:16" x14ac:dyDescent="0.25">
      <c r="A15813" t="str">
        <f>"1230009A00201    00"</f>
        <v>1230009A00201    00</v>
      </c>
      <c r="B15813" t="s">
        <v>34578</v>
      </c>
      <c r="C15813" t="s">
        <v>34575</v>
      </c>
      <c r="D15813" t="s">
        <v>20</v>
      </c>
      <c r="E15813" t="s">
        <v>21</v>
      </c>
      <c r="F15813">
        <v>0</v>
      </c>
      <c r="G15813">
        <v>0</v>
      </c>
      <c r="H15813">
        <v>19</v>
      </c>
      <c r="I15813" s="3">
        <v>814.15</v>
      </c>
      <c r="J15813" s="3">
        <v>992.72</v>
      </c>
      <c r="L15813">
        <v>238</v>
      </c>
      <c r="M15813" t="s">
        <v>34579</v>
      </c>
      <c r="N15813" t="s">
        <v>30</v>
      </c>
      <c r="O15813" t="s">
        <v>31</v>
      </c>
      <c r="P15813" t="str">
        <f>"15212"</f>
        <v>15212</v>
      </c>
    </row>
    <row r="15814" spans="1:16" x14ac:dyDescent="0.25">
      <c r="A15814" t="str">
        <f>"1230009A00204    00"</f>
        <v>1230009A00204    00</v>
      </c>
      <c r="B15814" t="s">
        <v>34580</v>
      </c>
      <c r="C15814" t="s">
        <v>34581</v>
      </c>
      <c r="D15814" t="s">
        <v>20</v>
      </c>
      <c r="E15814" t="s">
        <v>21</v>
      </c>
      <c r="F15814">
        <v>0</v>
      </c>
      <c r="G15814">
        <v>0</v>
      </c>
      <c r="H15814">
        <v>19</v>
      </c>
      <c r="I15814" s="3">
        <v>1411.69</v>
      </c>
      <c r="J15814" s="3">
        <v>1713.62</v>
      </c>
      <c r="L15814">
        <v>229</v>
      </c>
      <c r="M15814" t="s">
        <v>34579</v>
      </c>
      <c r="N15814" t="s">
        <v>30</v>
      </c>
      <c r="O15814" t="s">
        <v>31</v>
      </c>
      <c r="P15814" t="str">
        <f>"15212"</f>
        <v>15212</v>
      </c>
    </row>
    <row r="15815" spans="1:16" x14ac:dyDescent="0.25">
      <c r="A15815" t="str">
        <f>"1230009B00007    00"</f>
        <v>1230009B00007    00</v>
      </c>
      <c r="B15815" t="s">
        <v>34582</v>
      </c>
      <c r="C15815" t="s">
        <v>34583</v>
      </c>
      <c r="D15815" t="s">
        <v>20</v>
      </c>
      <c r="E15815" t="s">
        <v>21</v>
      </c>
      <c r="F15815">
        <v>0</v>
      </c>
      <c r="G15815">
        <v>0</v>
      </c>
      <c r="H15815">
        <v>1</v>
      </c>
      <c r="I15815" s="3">
        <v>40.04</v>
      </c>
      <c r="J15815" s="3">
        <v>0</v>
      </c>
      <c r="K15815" t="s">
        <v>34584</v>
      </c>
      <c r="L15815">
        <v>3300</v>
      </c>
      <c r="M15815" t="s">
        <v>34585</v>
      </c>
      <c r="N15815" t="s">
        <v>30</v>
      </c>
      <c r="O15815" t="s">
        <v>31</v>
      </c>
      <c r="P15815" t="str">
        <f>"15233"</f>
        <v>15233</v>
      </c>
    </row>
    <row r="15816" spans="1:16" x14ac:dyDescent="0.25">
      <c r="A15816" t="str">
        <f>"1230009B00019    00"</f>
        <v>1230009B00019    00</v>
      </c>
      <c r="B15816" t="s">
        <v>34582</v>
      </c>
      <c r="C15816" t="s">
        <v>34583</v>
      </c>
      <c r="D15816" t="s">
        <v>20</v>
      </c>
      <c r="E15816" t="s">
        <v>21</v>
      </c>
      <c r="F15816">
        <v>0</v>
      </c>
      <c r="G15816">
        <v>0</v>
      </c>
      <c r="H15816">
        <v>1</v>
      </c>
      <c r="I15816" s="3">
        <v>20.98</v>
      </c>
      <c r="J15816" s="3">
        <v>0</v>
      </c>
      <c r="K15816" t="s">
        <v>34584</v>
      </c>
      <c r="L15816">
        <v>3300</v>
      </c>
      <c r="M15816" t="s">
        <v>34585</v>
      </c>
      <c r="N15816" t="s">
        <v>30</v>
      </c>
      <c r="O15816" t="s">
        <v>31</v>
      </c>
      <c r="P15816" t="str">
        <f>"15233"</f>
        <v>15233</v>
      </c>
    </row>
    <row r="15817" spans="1:16" x14ac:dyDescent="0.25">
      <c r="A15817" t="str">
        <f>"1230009B00055    00"</f>
        <v>1230009B00055    00</v>
      </c>
      <c r="B15817" t="s">
        <v>34582</v>
      </c>
      <c r="C15817" t="s">
        <v>34586</v>
      </c>
      <c r="D15817" t="s">
        <v>20</v>
      </c>
      <c r="E15817" t="s">
        <v>21</v>
      </c>
      <c r="F15817">
        <v>0</v>
      </c>
      <c r="G15817">
        <v>0</v>
      </c>
      <c r="H15817">
        <v>1</v>
      </c>
      <c r="I15817" s="3">
        <v>19.059999999999999</v>
      </c>
      <c r="J15817" s="3">
        <v>0</v>
      </c>
      <c r="K15817" t="s">
        <v>34584</v>
      </c>
      <c r="L15817">
        <v>3300</v>
      </c>
      <c r="M15817" t="s">
        <v>34585</v>
      </c>
      <c r="N15817" t="s">
        <v>30</v>
      </c>
      <c r="O15817" t="s">
        <v>31</v>
      </c>
      <c r="P15817" t="str">
        <f>"15233"</f>
        <v>15233</v>
      </c>
    </row>
    <row r="15818" spans="1:16" x14ac:dyDescent="0.25">
      <c r="A15818" t="str">
        <f>"1230009B00057    00"</f>
        <v>1230009B00057    00</v>
      </c>
      <c r="B15818" t="s">
        <v>34582</v>
      </c>
      <c r="C15818" t="s">
        <v>34586</v>
      </c>
      <c r="D15818" t="s">
        <v>20</v>
      </c>
      <c r="E15818" t="s">
        <v>21</v>
      </c>
      <c r="F15818">
        <v>0</v>
      </c>
      <c r="G15818">
        <v>0</v>
      </c>
      <c r="H15818">
        <v>1</v>
      </c>
      <c r="I15818" s="3">
        <v>781.46</v>
      </c>
      <c r="J15818" s="3">
        <v>0</v>
      </c>
      <c r="K15818" t="s">
        <v>34584</v>
      </c>
      <c r="L15818">
        <v>3300</v>
      </c>
      <c r="M15818" t="s">
        <v>34585</v>
      </c>
      <c r="N15818" t="s">
        <v>30</v>
      </c>
      <c r="O15818" t="s">
        <v>31</v>
      </c>
      <c r="P15818" t="str">
        <f>"15233"</f>
        <v>15233</v>
      </c>
    </row>
    <row r="15819" spans="1:16" x14ac:dyDescent="0.25">
      <c r="A15819" t="str">
        <f>"1230009B00170    00"</f>
        <v>1230009B00170    00</v>
      </c>
      <c r="B15819" t="s">
        <v>836</v>
      </c>
      <c r="C15819" t="s">
        <v>34587</v>
      </c>
      <c r="D15819" t="s">
        <v>20</v>
      </c>
      <c r="E15819" t="s">
        <v>21</v>
      </c>
      <c r="F15819">
        <v>0</v>
      </c>
      <c r="G15819">
        <v>0</v>
      </c>
      <c r="H15819">
        <v>1</v>
      </c>
      <c r="I15819" s="3">
        <v>18.73</v>
      </c>
      <c r="J15819" s="3">
        <v>0</v>
      </c>
      <c r="K15819" t="s">
        <v>34588</v>
      </c>
      <c r="L15819">
        <v>1251</v>
      </c>
      <c r="M15819" t="s">
        <v>34589</v>
      </c>
      <c r="N15819" t="s">
        <v>30</v>
      </c>
      <c r="O15819" t="s">
        <v>31</v>
      </c>
      <c r="P15819" t="str">
        <f>"15222"</f>
        <v>15222</v>
      </c>
    </row>
    <row r="15820" spans="1:16" x14ac:dyDescent="0.25">
      <c r="A15820" t="str">
        <f>"1230009B00211    00"</f>
        <v>1230009B00211    00</v>
      </c>
      <c r="B15820" t="s">
        <v>34590</v>
      </c>
      <c r="C15820" t="s">
        <v>34591</v>
      </c>
      <c r="E15820" t="s">
        <v>21</v>
      </c>
      <c r="F15820">
        <v>0</v>
      </c>
      <c r="G15820">
        <v>0</v>
      </c>
      <c r="H15820">
        <v>1</v>
      </c>
      <c r="I15820" s="3">
        <v>2163</v>
      </c>
      <c r="J15820" s="3">
        <v>2901.91</v>
      </c>
      <c r="K15820" t="s">
        <v>34592</v>
      </c>
      <c r="L15820">
        <v>223</v>
      </c>
      <c r="M15820" t="s">
        <v>34593</v>
      </c>
      <c r="N15820" t="s">
        <v>30</v>
      </c>
      <c r="O15820" t="s">
        <v>31</v>
      </c>
      <c r="P15820" t="str">
        <f>"15222"</f>
        <v>15222</v>
      </c>
    </row>
    <row r="15821" spans="1:16" x14ac:dyDescent="0.25">
      <c r="A15821" t="str">
        <f>"1230009E00154    00"</f>
        <v>1230009E00154    00</v>
      </c>
      <c r="B15821" t="s">
        <v>34594</v>
      </c>
      <c r="C15821" t="s">
        <v>34595</v>
      </c>
      <c r="E15821" t="s">
        <v>21</v>
      </c>
      <c r="F15821">
        <v>0</v>
      </c>
      <c r="G15821">
        <v>0</v>
      </c>
      <c r="H15821">
        <v>1</v>
      </c>
      <c r="I15821" s="3">
        <v>242.68</v>
      </c>
      <c r="J15821" s="3">
        <v>0</v>
      </c>
      <c r="L15821">
        <v>700</v>
      </c>
      <c r="M15821" t="s">
        <v>34596</v>
      </c>
      <c r="N15821" t="s">
        <v>30</v>
      </c>
      <c r="O15821" t="s">
        <v>31</v>
      </c>
      <c r="P15821" t="str">
        <f>"15212"</f>
        <v>15212</v>
      </c>
    </row>
    <row r="15822" spans="1:16" x14ac:dyDescent="0.25">
      <c r="A15822" t="str">
        <f>"1230023H00144    00"</f>
        <v>1230023H00144    00</v>
      </c>
      <c r="B15822" t="s">
        <v>34597</v>
      </c>
      <c r="C15822" t="s">
        <v>34598</v>
      </c>
      <c r="D15822" t="s">
        <v>57</v>
      </c>
      <c r="E15822" t="s">
        <v>39</v>
      </c>
      <c r="F15822">
        <v>0</v>
      </c>
      <c r="G15822">
        <v>0</v>
      </c>
      <c r="H15822">
        <v>1</v>
      </c>
      <c r="I15822" s="3">
        <v>378.47</v>
      </c>
      <c r="J15822" s="3">
        <v>384.77</v>
      </c>
      <c r="K15822" t="s">
        <v>1632</v>
      </c>
      <c r="L15822">
        <v>3001</v>
      </c>
      <c r="M15822" t="s">
        <v>330</v>
      </c>
      <c r="N15822" t="s">
        <v>331</v>
      </c>
      <c r="O15822" t="s">
        <v>108</v>
      </c>
      <c r="P15822" t="str">
        <f>"75063"</f>
        <v>75063</v>
      </c>
    </row>
    <row r="15823" spans="1:16" x14ac:dyDescent="0.25">
      <c r="A15823" t="str">
        <f>"1230023H00156    00"</f>
        <v>1230023H00156    00</v>
      </c>
      <c r="B15823" t="s">
        <v>34599</v>
      </c>
      <c r="C15823" t="s">
        <v>34600</v>
      </c>
      <c r="D15823" t="s">
        <v>20</v>
      </c>
      <c r="E15823" t="s">
        <v>39</v>
      </c>
      <c r="F15823">
        <v>0</v>
      </c>
      <c r="G15823">
        <v>0</v>
      </c>
      <c r="H15823">
        <v>2</v>
      </c>
      <c r="I15823" s="3">
        <v>3054.44</v>
      </c>
      <c r="J15823" s="3">
        <v>0</v>
      </c>
      <c r="L15823">
        <v>512</v>
      </c>
      <c r="M15823" t="s">
        <v>34601</v>
      </c>
      <c r="N15823" t="s">
        <v>30</v>
      </c>
      <c r="O15823" t="s">
        <v>31</v>
      </c>
      <c r="P15823" t="str">
        <f>"15212"</f>
        <v>15212</v>
      </c>
    </row>
    <row r="15824" spans="1:16" x14ac:dyDescent="0.25">
      <c r="A15824" t="str">
        <f>"1230023H00158    00"</f>
        <v>1230023H00158    00</v>
      </c>
      <c r="B15824" t="s">
        <v>4774</v>
      </c>
      <c r="C15824" t="s">
        <v>34602</v>
      </c>
      <c r="D15824" t="s">
        <v>20</v>
      </c>
      <c r="E15824" t="s">
        <v>39</v>
      </c>
      <c r="F15824">
        <v>0</v>
      </c>
      <c r="G15824">
        <v>0</v>
      </c>
      <c r="H15824">
        <v>3</v>
      </c>
      <c r="I15824" s="3">
        <v>3499.47</v>
      </c>
      <c r="J15824" s="3">
        <v>233.29</v>
      </c>
      <c r="M15824" t="s">
        <v>34603</v>
      </c>
      <c r="N15824" t="s">
        <v>30</v>
      </c>
      <c r="O15824" t="s">
        <v>31</v>
      </c>
      <c r="P15824" t="str">
        <f>"15237"</f>
        <v>15237</v>
      </c>
    </row>
    <row r="15825" spans="1:16" x14ac:dyDescent="0.25">
      <c r="A15825" t="str">
        <f>"1230023H00160    00"</f>
        <v>1230023H00160    00</v>
      </c>
      <c r="B15825" t="s">
        <v>34604</v>
      </c>
      <c r="C15825" t="s">
        <v>34605</v>
      </c>
      <c r="D15825" t="s">
        <v>20</v>
      </c>
      <c r="E15825" t="s">
        <v>39</v>
      </c>
      <c r="F15825">
        <v>0</v>
      </c>
      <c r="G15825">
        <v>0</v>
      </c>
      <c r="H15825">
        <v>2</v>
      </c>
      <c r="I15825" s="3">
        <v>1497.53</v>
      </c>
      <c r="J15825" s="3">
        <v>0</v>
      </c>
      <c r="L15825">
        <v>507</v>
      </c>
      <c r="M15825" t="s">
        <v>34606</v>
      </c>
      <c r="N15825" t="s">
        <v>30</v>
      </c>
      <c r="O15825" t="s">
        <v>31</v>
      </c>
      <c r="P15825" t="str">
        <f>"15212"</f>
        <v>15212</v>
      </c>
    </row>
    <row r="15826" spans="1:16" x14ac:dyDescent="0.25">
      <c r="A15826" t="str">
        <f>"1230023H00162    00"</f>
        <v>1230023H00162    00</v>
      </c>
      <c r="B15826" t="s">
        <v>34607</v>
      </c>
      <c r="C15826" t="s">
        <v>34608</v>
      </c>
      <c r="D15826" t="s">
        <v>20</v>
      </c>
      <c r="E15826" t="s">
        <v>39</v>
      </c>
      <c r="F15826">
        <v>0</v>
      </c>
      <c r="G15826">
        <v>0</v>
      </c>
      <c r="H15826">
        <v>1</v>
      </c>
      <c r="I15826" s="3">
        <v>165.41</v>
      </c>
      <c r="J15826" s="3">
        <v>0</v>
      </c>
      <c r="L15826">
        <v>1304</v>
      </c>
      <c r="M15826" t="s">
        <v>2678</v>
      </c>
      <c r="N15826" t="s">
        <v>30</v>
      </c>
      <c r="O15826" t="s">
        <v>31</v>
      </c>
      <c r="P15826" t="str">
        <f>"15212"</f>
        <v>15212</v>
      </c>
    </row>
    <row r="15827" spans="1:16" x14ac:dyDescent="0.25">
      <c r="A15827" t="str">
        <f>"1230023H00188    00"</f>
        <v>1230023H00188    00</v>
      </c>
      <c r="B15827" t="s">
        <v>34609</v>
      </c>
      <c r="C15827" t="s">
        <v>34610</v>
      </c>
      <c r="E15827" t="s">
        <v>39</v>
      </c>
      <c r="F15827">
        <v>0</v>
      </c>
      <c r="G15827">
        <v>0</v>
      </c>
      <c r="H15827">
        <v>1</v>
      </c>
      <c r="I15827" s="3">
        <v>1404.73</v>
      </c>
      <c r="J15827" s="3">
        <v>280.94</v>
      </c>
      <c r="K15827" t="s">
        <v>34611</v>
      </c>
      <c r="L15827">
        <v>1050</v>
      </c>
      <c r="M15827" t="s">
        <v>3522</v>
      </c>
      <c r="N15827" t="s">
        <v>3827</v>
      </c>
      <c r="O15827" t="s">
        <v>70</v>
      </c>
      <c r="P15827" t="str">
        <f>"48226"</f>
        <v>48226</v>
      </c>
    </row>
    <row r="15828" spans="1:16" x14ac:dyDescent="0.25">
      <c r="A15828" t="str">
        <f>"1230023H00190    00"</f>
        <v>1230023H00190    00</v>
      </c>
      <c r="B15828" t="s">
        <v>34612</v>
      </c>
      <c r="C15828" t="s">
        <v>34613</v>
      </c>
      <c r="E15828" t="s">
        <v>39</v>
      </c>
      <c r="F15828">
        <v>0</v>
      </c>
      <c r="G15828">
        <v>0</v>
      </c>
      <c r="H15828">
        <v>1</v>
      </c>
      <c r="I15828" s="3">
        <v>47.57</v>
      </c>
      <c r="J15828" s="3">
        <v>0</v>
      </c>
      <c r="L15828">
        <v>1340</v>
      </c>
      <c r="M15828" t="s">
        <v>2678</v>
      </c>
      <c r="N15828" t="s">
        <v>30</v>
      </c>
      <c r="O15828" t="s">
        <v>31</v>
      </c>
      <c r="P15828" t="str">
        <f t="shared" ref="P15828:P15833" si="207">"15212"</f>
        <v>15212</v>
      </c>
    </row>
    <row r="15829" spans="1:16" x14ac:dyDescent="0.25">
      <c r="A15829" t="str">
        <f>"1230023H00193    00"</f>
        <v>1230023H00193    00</v>
      </c>
      <c r="B15829" t="s">
        <v>34614</v>
      </c>
      <c r="C15829" t="s">
        <v>34615</v>
      </c>
      <c r="D15829" t="s">
        <v>20</v>
      </c>
      <c r="E15829" t="s">
        <v>39</v>
      </c>
      <c r="F15829">
        <v>0</v>
      </c>
      <c r="G15829">
        <v>0</v>
      </c>
      <c r="H15829">
        <v>3</v>
      </c>
      <c r="I15829" s="3">
        <v>114.36</v>
      </c>
      <c r="J15829" s="3">
        <v>7.62</v>
      </c>
      <c r="M15829" t="s">
        <v>4345</v>
      </c>
      <c r="N15829" t="s">
        <v>30</v>
      </c>
      <c r="O15829" t="s">
        <v>31</v>
      </c>
      <c r="P15829" t="str">
        <f t="shared" si="207"/>
        <v>15212</v>
      </c>
    </row>
    <row r="15830" spans="1:16" x14ac:dyDescent="0.25">
      <c r="A15830" t="str">
        <f>"1230023H00194    00"</f>
        <v>1230023H00194    00</v>
      </c>
      <c r="B15830" t="s">
        <v>34614</v>
      </c>
      <c r="C15830" t="s">
        <v>34615</v>
      </c>
      <c r="D15830" t="s">
        <v>20</v>
      </c>
      <c r="E15830" t="s">
        <v>39</v>
      </c>
      <c r="F15830">
        <v>0</v>
      </c>
      <c r="G15830">
        <v>0</v>
      </c>
      <c r="H15830">
        <v>3</v>
      </c>
      <c r="I15830" s="3">
        <v>114.36</v>
      </c>
      <c r="J15830" s="3">
        <v>7.62</v>
      </c>
      <c r="M15830" t="s">
        <v>4345</v>
      </c>
      <c r="N15830" t="s">
        <v>30</v>
      </c>
      <c r="O15830" t="s">
        <v>31</v>
      </c>
      <c r="P15830" t="str">
        <f t="shared" si="207"/>
        <v>15212</v>
      </c>
    </row>
    <row r="15831" spans="1:16" x14ac:dyDescent="0.25">
      <c r="A15831" t="str">
        <f>"1230023H00195    00"</f>
        <v>1230023H00195    00</v>
      </c>
      <c r="B15831" t="s">
        <v>34614</v>
      </c>
      <c r="C15831" t="s">
        <v>34615</v>
      </c>
      <c r="D15831" t="s">
        <v>20</v>
      </c>
      <c r="E15831" t="s">
        <v>39</v>
      </c>
      <c r="F15831">
        <v>0</v>
      </c>
      <c r="G15831">
        <v>0</v>
      </c>
      <c r="H15831">
        <v>3</v>
      </c>
      <c r="I15831" s="3">
        <v>114.36</v>
      </c>
      <c r="J15831" s="3">
        <v>7.62</v>
      </c>
      <c r="M15831" t="s">
        <v>34616</v>
      </c>
      <c r="N15831" t="s">
        <v>30</v>
      </c>
      <c r="O15831" t="s">
        <v>31</v>
      </c>
      <c r="P15831" t="str">
        <f t="shared" si="207"/>
        <v>15212</v>
      </c>
    </row>
    <row r="15832" spans="1:16" x14ac:dyDescent="0.25">
      <c r="A15832" t="str">
        <f>"1230023H00196    00"</f>
        <v>1230023H00196    00</v>
      </c>
      <c r="B15832" t="s">
        <v>34614</v>
      </c>
      <c r="C15832" t="s">
        <v>34615</v>
      </c>
      <c r="D15832" t="s">
        <v>20</v>
      </c>
      <c r="E15832" t="s">
        <v>39</v>
      </c>
      <c r="F15832">
        <v>0</v>
      </c>
      <c r="G15832">
        <v>0</v>
      </c>
      <c r="H15832">
        <v>3</v>
      </c>
      <c r="I15832" s="3">
        <v>114.36</v>
      </c>
      <c r="J15832" s="3">
        <v>7.62</v>
      </c>
      <c r="M15832" t="s">
        <v>4345</v>
      </c>
      <c r="N15832" t="s">
        <v>30</v>
      </c>
      <c r="O15832" t="s">
        <v>31</v>
      </c>
      <c r="P15832" t="str">
        <f t="shared" si="207"/>
        <v>15212</v>
      </c>
    </row>
    <row r="15833" spans="1:16" x14ac:dyDescent="0.25">
      <c r="A15833" t="str">
        <f>"1230023H00197    00"</f>
        <v>1230023H00197    00</v>
      </c>
      <c r="B15833" t="s">
        <v>34614</v>
      </c>
      <c r="C15833" t="s">
        <v>34615</v>
      </c>
      <c r="D15833" t="s">
        <v>20</v>
      </c>
      <c r="E15833" t="s">
        <v>39</v>
      </c>
      <c r="F15833">
        <v>0</v>
      </c>
      <c r="G15833">
        <v>0</v>
      </c>
      <c r="H15833">
        <v>3</v>
      </c>
      <c r="I15833" s="3">
        <v>114.36</v>
      </c>
      <c r="J15833" s="3">
        <v>7.62</v>
      </c>
      <c r="M15833" t="s">
        <v>4345</v>
      </c>
      <c r="N15833" t="s">
        <v>30</v>
      </c>
      <c r="O15833" t="s">
        <v>31</v>
      </c>
      <c r="P15833" t="str">
        <f t="shared" si="207"/>
        <v>15212</v>
      </c>
    </row>
    <row r="15834" spans="1:16" x14ac:dyDescent="0.25">
      <c r="A15834" t="str">
        <f>"1230023H00198    00"</f>
        <v>1230023H00198    00</v>
      </c>
      <c r="B15834" t="s">
        <v>34617</v>
      </c>
      <c r="C15834" t="s">
        <v>34615</v>
      </c>
      <c r="D15834" t="s">
        <v>20</v>
      </c>
      <c r="E15834" t="s">
        <v>39</v>
      </c>
      <c r="F15834">
        <v>0</v>
      </c>
      <c r="G15834">
        <v>0</v>
      </c>
      <c r="H15834">
        <v>5</v>
      </c>
      <c r="I15834" s="3">
        <v>318.56</v>
      </c>
      <c r="J15834" s="3">
        <v>56.41</v>
      </c>
      <c r="K15834" t="s">
        <v>34618</v>
      </c>
      <c r="L15834">
        <v>2416</v>
      </c>
      <c r="M15834" t="s">
        <v>34619</v>
      </c>
      <c r="N15834" t="s">
        <v>30</v>
      </c>
      <c r="O15834" t="s">
        <v>31</v>
      </c>
      <c r="P15834" t="str">
        <f>"15241"</f>
        <v>15241</v>
      </c>
    </row>
    <row r="15835" spans="1:16" x14ac:dyDescent="0.25">
      <c r="A15835" t="str">
        <f>"1230023H00204    00"</f>
        <v>1230023H00204    00</v>
      </c>
      <c r="B15835" t="s">
        <v>34620</v>
      </c>
      <c r="C15835" t="s">
        <v>34615</v>
      </c>
      <c r="D15835" t="s">
        <v>20</v>
      </c>
      <c r="E15835" t="s">
        <v>39</v>
      </c>
      <c r="F15835">
        <v>0</v>
      </c>
      <c r="G15835">
        <v>0</v>
      </c>
      <c r="H15835">
        <v>5</v>
      </c>
      <c r="I15835" s="3">
        <v>84.36</v>
      </c>
      <c r="J15835" s="3">
        <v>14.94</v>
      </c>
      <c r="L15835">
        <v>2159</v>
      </c>
      <c r="M15835" t="s">
        <v>34621</v>
      </c>
      <c r="N15835" t="s">
        <v>625</v>
      </c>
      <c r="O15835" t="s">
        <v>31</v>
      </c>
      <c r="P15835" t="str">
        <f>"15108"</f>
        <v>15108</v>
      </c>
    </row>
    <row r="15836" spans="1:16" x14ac:dyDescent="0.25">
      <c r="A15836" t="str">
        <f>"1230023J00327    00"</f>
        <v>1230023J00327    00</v>
      </c>
      <c r="B15836" t="s">
        <v>34622</v>
      </c>
      <c r="C15836" t="s">
        <v>34623</v>
      </c>
      <c r="D15836" t="s">
        <v>20</v>
      </c>
      <c r="E15836" t="s">
        <v>39</v>
      </c>
      <c r="F15836">
        <v>0</v>
      </c>
      <c r="G15836">
        <v>0</v>
      </c>
      <c r="H15836">
        <v>1</v>
      </c>
      <c r="I15836" s="3">
        <v>38.119999999999997</v>
      </c>
      <c r="J15836" s="3">
        <v>0</v>
      </c>
      <c r="L15836">
        <v>1308</v>
      </c>
      <c r="M15836" t="s">
        <v>33466</v>
      </c>
      <c r="N15836" t="s">
        <v>30</v>
      </c>
      <c r="O15836" t="s">
        <v>31</v>
      </c>
      <c r="P15836" t="str">
        <f>"15212"</f>
        <v>15212</v>
      </c>
    </row>
    <row r="15837" spans="1:16" x14ac:dyDescent="0.25">
      <c r="A15837" t="str">
        <f>"1230023M00085    00"</f>
        <v>1230023M00085    00</v>
      </c>
      <c r="B15837" t="s">
        <v>34624</v>
      </c>
      <c r="C15837" t="s">
        <v>34625</v>
      </c>
      <c r="D15837" t="s">
        <v>20</v>
      </c>
      <c r="E15837" t="s">
        <v>39</v>
      </c>
      <c r="F15837">
        <v>0</v>
      </c>
      <c r="G15837">
        <v>0</v>
      </c>
      <c r="H15837">
        <v>2</v>
      </c>
      <c r="I15837" s="3">
        <v>9850.24</v>
      </c>
      <c r="J15837" s="3">
        <v>0</v>
      </c>
      <c r="L15837">
        <v>413</v>
      </c>
      <c r="M15837" t="s">
        <v>1481</v>
      </c>
      <c r="N15837" t="s">
        <v>30</v>
      </c>
      <c r="O15837" t="s">
        <v>31</v>
      </c>
      <c r="P15837" t="str">
        <f>"15213"</f>
        <v>15213</v>
      </c>
    </row>
    <row r="15838" spans="1:16" x14ac:dyDescent="0.25">
      <c r="A15838" t="str">
        <f>"1230023M00087    00"</f>
        <v>1230023M00087    00</v>
      </c>
      <c r="B15838" t="s">
        <v>34511</v>
      </c>
      <c r="C15838" t="s">
        <v>34626</v>
      </c>
      <c r="D15838" t="s">
        <v>20</v>
      </c>
      <c r="E15838" t="s">
        <v>21</v>
      </c>
      <c r="F15838">
        <v>0</v>
      </c>
      <c r="G15838">
        <v>0</v>
      </c>
      <c r="H15838">
        <v>2</v>
      </c>
      <c r="I15838" s="3">
        <v>1334.24</v>
      </c>
      <c r="J15838" s="3">
        <v>0</v>
      </c>
      <c r="L15838">
        <v>413</v>
      </c>
      <c r="M15838" t="s">
        <v>1481</v>
      </c>
      <c r="N15838" t="s">
        <v>30</v>
      </c>
      <c r="O15838" t="s">
        <v>31</v>
      </c>
      <c r="P15838" t="str">
        <f>"15213"</f>
        <v>15213</v>
      </c>
    </row>
    <row r="15839" spans="1:16" x14ac:dyDescent="0.25">
      <c r="A15839" t="str">
        <f>"1230023M00101    00"</f>
        <v>1230023M00101    00</v>
      </c>
      <c r="B15839" t="s">
        <v>34627</v>
      </c>
      <c r="C15839" t="s">
        <v>34628</v>
      </c>
      <c r="E15839" t="s">
        <v>39</v>
      </c>
      <c r="F15839">
        <v>0</v>
      </c>
      <c r="G15839">
        <v>0</v>
      </c>
      <c r="H15839">
        <v>2</v>
      </c>
      <c r="I15839" s="3">
        <v>2191.92</v>
      </c>
      <c r="J15839" s="3">
        <v>109.59</v>
      </c>
      <c r="K15839" t="s">
        <v>5861</v>
      </c>
      <c r="L15839">
        <v>3001</v>
      </c>
      <c r="M15839" t="s">
        <v>404</v>
      </c>
      <c r="N15839" t="s">
        <v>331</v>
      </c>
      <c r="O15839" t="s">
        <v>108</v>
      </c>
      <c r="P15839" t="str">
        <f>"75063"</f>
        <v>75063</v>
      </c>
    </row>
    <row r="15840" spans="1:16" x14ac:dyDescent="0.25">
      <c r="A15840" t="str">
        <f>"1230023M00109    00"</f>
        <v>1230023M00109    00</v>
      </c>
      <c r="B15840" t="s">
        <v>34629</v>
      </c>
      <c r="C15840" t="s">
        <v>34630</v>
      </c>
      <c r="E15840" t="s">
        <v>39</v>
      </c>
      <c r="F15840">
        <v>0</v>
      </c>
      <c r="G15840">
        <v>0</v>
      </c>
      <c r="H15840">
        <v>1</v>
      </c>
      <c r="I15840" s="3">
        <v>681.02</v>
      </c>
      <c r="J15840" s="3">
        <v>0</v>
      </c>
      <c r="L15840">
        <v>518</v>
      </c>
      <c r="M15840" t="s">
        <v>34631</v>
      </c>
      <c r="N15840" t="s">
        <v>30</v>
      </c>
      <c r="O15840" t="s">
        <v>31</v>
      </c>
      <c r="P15840" t="str">
        <f>"15212"</f>
        <v>15212</v>
      </c>
    </row>
    <row r="15841" spans="1:16" x14ac:dyDescent="0.25">
      <c r="A15841" t="str">
        <f>"1230023M00113    00"</f>
        <v>1230023M00113    00</v>
      </c>
      <c r="B15841" t="s">
        <v>34632</v>
      </c>
      <c r="C15841" t="s">
        <v>34633</v>
      </c>
      <c r="D15841" t="s">
        <v>20</v>
      </c>
      <c r="E15841" t="s">
        <v>39</v>
      </c>
      <c r="F15841">
        <v>0</v>
      </c>
      <c r="G15841">
        <v>0</v>
      </c>
      <c r="H15841">
        <v>3</v>
      </c>
      <c r="I15841" s="3">
        <v>6792.99</v>
      </c>
      <c r="J15841" s="3">
        <v>150.94999999999999</v>
      </c>
      <c r="K15841" t="s">
        <v>34634</v>
      </c>
      <c r="L15841">
        <v>6340</v>
      </c>
      <c r="M15841" t="s">
        <v>34635</v>
      </c>
      <c r="N15841" t="s">
        <v>16758</v>
      </c>
      <c r="O15841" t="s">
        <v>1005</v>
      </c>
      <c r="P15841" t="str">
        <f>"85718"</f>
        <v>85718</v>
      </c>
    </row>
    <row r="15842" spans="1:16" x14ac:dyDescent="0.25">
      <c r="A15842" t="str">
        <f>"1230023M00118    00"</f>
        <v>1230023M00118    00</v>
      </c>
      <c r="B15842" t="s">
        <v>8294</v>
      </c>
      <c r="C15842" t="s">
        <v>34636</v>
      </c>
      <c r="E15842" t="s">
        <v>21</v>
      </c>
      <c r="F15842">
        <v>0</v>
      </c>
      <c r="G15842">
        <v>0</v>
      </c>
      <c r="H15842">
        <v>1</v>
      </c>
      <c r="I15842" s="3">
        <v>880.57</v>
      </c>
      <c r="J15842" s="3">
        <v>0</v>
      </c>
      <c r="K15842" t="s">
        <v>34637</v>
      </c>
      <c r="L15842">
        <v>303</v>
      </c>
      <c r="M15842" t="s">
        <v>8296</v>
      </c>
      <c r="N15842" t="s">
        <v>30</v>
      </c>
      <c r="O15842" t="s">
        <v>31</v>
      </c>
      <c r="P15842" t="str">
        <f>"15211"</f>
        <v>15211</v>
      </c>
    </row>
    <row r="15843" spans="1:16" x14ac:dyDescent="0.25">
      <c r="A15843" t="str">
        <f>"1230023M001181   00"</f>
        <v>1230023M001181   00</v>
      </c>
      <c r="B15843" t="s">
        <v>8294</v>
      </c>
      <c r="C15843" t="s">
        <v>34638</v>
      </c>
      <c r="E15843" t="s">
        <v>21</v>
      </c>
      <c r="F15843">
        <v>0</v>
      </c>
      <c r="G15843">
        <v>0</v>
      </c>
      <c r="H15843">
        <v>1</v>
      </c>
      <c r="I15843" s="3">
        <v>6274.18</v>
      </c>
      <c r="J15843" s="3">
        <v>0</v>
      </c>
      <c r="K15843" t="s">
        <v>34637</v>
      </c>
      <c r="L15843">
        <v>303</v>
      </c>
      <c r="M15843" t="s">
        <v>8296</v>
      </c>
      <c r="N15843" t="s">
        <v>30</v>
      </c>
      <c r="O15843" t="s">
        <v>31</v>
      </c>
      <c r="P15843" t="str">
        <f>"15211"</f>
        <v>15211</v>
      </c>
    </row>
    <row r="15844" spans="1:16" x14ac:dyDescent="0.25">
      <c r="A15844" t="str">
        <f>"1230023M00131A   00"</f>
        <v>1230023M00131A   00</v>
      </c>
      <c r="B15844" t="s">
        <v>34639</v>
      </c>
      <c r="C15844" t="s">
        <v>34640</v>
      </c>
      <c r="D15844" t="s">
        <v>20</v>
      </c>
      <c r="E15844" t="s">
        <v>39</v>
      </c>
      <c r="F15844">
        <v>0</v>
      </c>
      <c r="G15844">
        <v>0</v>
      </c>
      <c r="H15844">
        <v>2</v>
      </c>
      <c r="I15844" s="3">
        <v>4080.21</v>
      </c>
      <c r="J15844" s="3">
        <v>0</v>
      </c>
      <c r="K15844" t="s">
        <v>34641</v>
      </c>
      <c r="L15844">
        <v>94</v>
      </c>
      <c r="M15844" t="s">
        <v>7116</v>
      </c>
      <c r="N15844" t="s">
        <v>30</v>
      </c>
      <c r="O15844" t="s">
        <v>31</v>
      </c>
      <c r="P15844" t="str">
        <f>"15211"</f>
        <v>15211</v>
      </c>
    </row>
    <row r="15845" spans="1:16" x14ac:dyDescent="0.25">
      <c r="A15845" t="str">
        <f>"1230023M00132    00"</f>
        <v>1230023M00132    00</v>
      </c>
      <c r="B15845" t="s">
        <v>34642</v>
      </c>
      <c r="C15845" t="s">
        <v>34643</v>
      </c>
      <c r="D15845" t="s">
        <v>20</v>
      </c>
      <c r="E15845" t="s">
        <v>39</v>
      </c>
      <c r="F15845">
        <v>0</v>
      </c>
      <c r="G15845">
        <v>0</v>
      </c>
      <c r="H15845">
        <v>1</v>
      </c>
      <c r="I15845" s="3">
        <v>1075.01</v>
      </c>
      <c r="J15845" s="3">
        <v>0</v>
      </c>
      <c r="L15845">
        <v>101</v>
      </c>
      <c r="M15845" t="s">
        <v>34644</v>
      </c>
      <c r="N15845" t="s">
        <v>30</v>
      </c>
      <c r="O15845" t="s">
        <v>31</v>
      </c>
      <c r="P15845" t="str">
        <f>"15237"</f>
        <v>15237</v>
      </c>
    </row>
    <row r="15846" spans="1:16" x14ac:dyDescent="0.25">
      <c r="A15846" t="str">
        <f>"1230023M00136    00"</f>
        <v>1230023M00136    00</v>
      </c>
      <c r="B15846" t="s">
        <v>34645</v>
      </c>
      <c r="C15846" t="s">
        <v>34646</v>
      </c>
      <c r="D15846" t="s">
        <v>20</v>
      </c>
      <c r="E15846" t="s">
        <v>39</v>
      </c>
      <c r="F15846">
        <v>0</v>
      </c>
      <c r="G15846">
        <v>0</v>
      </c>
      <c r="H15846">
        <v>8</v>
      </c>
      <c r="I15846" s="3">
        <v>6501.61</v>
      </c>
      <c r="J15846" s="3">
        <v>2184.38</v>
      </c>
      <c r="L15846">
        <v>1210</v>
      </c>
      <c r="M15846" t="s">
        <v>10703</v>
      </c>
      <c r="N15846" t="s">
        <v>30</v>
      </c>
      <c r="O15846" t="s">
        <v>31</v>
      </c>
      <c r="P15846" t="str">
        <f>"15212"</f>
        <v>15212</v>
      </c>
    </row>
    <row r="15847" spans="1:16" x14ac:dyDescent="0.25">
      <c r="A15847" t="str">
        <f>"1230023M00222    00"</f>
        <v>1230023M00222    00</v>
      </c>
      <c r="B15847" t="s">
        <v>34647</v>
      </c>
      <c r="C15847" t="s">
        <v>34648</v>
      </c>
      <c r="D15847" t="s">
        <v>57</v>
      </c>
      <c r="E15847" t="s">
        <v>39</v>
      </c>
      <c r="F15847">
        <v>0</v>
      </c>
      <c r="G15847">
        <v>0</v>
      </c>
      <c r="H15847">
        <v>1</v>
      </c>
      <c r="I15847" s="3">
        <v>1225.24</v>
      </c>
      <c r="J15847" s="3">
        <v>0</v>
      </c>
      <c r="L15847">
        <v>226</v>
      </c>
      <c r="M15847" t="s">
        <v>184</v>
      </c>
      <c r="N15847" t="s">
        <v>30</v>
      </c>
      <c r="O15847" t="s">
        <v>31</v>
      </c>
      <c r="P15847" t="str">
        <f>"15241"</f>
        <v>15241</v>
      </c>
    </row>
    <row r="15848" spans="1:16" x14ac:dyDescent="0.25">
      <c r="A15848" t="str">
        <f>"1230023M00224    00"</f>
        <v>1230023M00224    00</v>
      </c>
      <c r="B15848" t="s">
        <v>34649</v>
      </c>
      <c r="C15848" t="s">
        <v>34650</v>
      </c>
      <c r="E15848" t="s">
        <v>39</v>
      </c>
      <c r="F15848">
        <v>0</v>
      </c>
      <c r="G15848">
        <v>0</v>
      </c>
      <c r="H15848">
        <v>1</v>
      </c>
      <c r="I15848" s="3">
        <v>2806.5</v>
      </c>
      <c r="J15848" s="3">
        <v>771.76</v>
      </c>
      <c r="K15848" t="s">
        <v>5861</v>
      </c>
      <c r="L15848">
        <v>3001</v>
      </c>
      <c r="M15848" t="s">
        <v>330</v>
      </c>
      <c r="N15848" t="s">
        <v>331</v>
      </c>
      <c r="O15848" t="s">
        <v>108</v>
      </c>
      <c r="P15848" t="str">
        <f>"75063"</f>
        <v>75063</v>
      </c>
    </row>
    <row r="15849" spans="1:16" x14ac:dyDescent="0.25">
      <c r="A15849" t="str">
        <f>"1230023M00243    00"</f>
        <v>1230023M00243    00</v>
      </c>
      <c r="B15849" t="s">
        <v>34651</v>
      </c>
      <c r="C15849" t="s">
        <v>34652</v>
      </c>
      <c r="D15849" t="s">
        <v>20</v>
      </c>
      <c r="E15849" t="s">
        <v>39</v>
      </c>
      <c r="F15849">
        <v>0</v>
      </c>
      <c r="G15849">
        <v>0</v>
      </c>
      <c r="H15849">
        <v>1</v>
      </c>
      <c r="I15849" s="3">
        <v>714.76</v>
      </c>
      <c r="J15849" s="3">
        <v>0</v>
      </c>
      <c r="K15849" t="s">
        <v>34653</v>
      </c>
      <c r="L15849">
        <v>1101</v>
      </c>
      <c r="M15849" t="s">
        <v>34654</v>
      </c>
      <c r="N15849" t="s">
        <v>34655</v>
      </c>
      <c r="O15849" t="s">
        <v>180</v>
      </c>
      <c r="P15849" t="str">
        <f>"80503"</f>
        <v>80503</v>
      </c>
    </row>
    <row r="15850" spans="1:16" x14ac:dyDescent="0.25">
      <c r="A15850" t="str">
        <f>"1230023M00244    00"</f>
        <v>1230023M00244    00</v>
      </c>
      <c r="B15850" t="s">
        <v>34656</v>
      </c>
      <c r="C15850" t="s">
        <v>34657</v>
      </c>
      <c r="D15850" t="s">
        <v>20</v>
      </c>
      <c r="E15850" t="s">
        <v>39</v>
      </c>
      <c r="F15850">
        <v>0</v>
      </c>
      <c r="G15850">
        <v>0</v>
      </c>
      <c r="H15850">
        <v>3</v>
      </c>
      <c r="I15850" s="3">
        <v>9640.6200000000008</v>
      </c>
      <c r="J15850" s="3">
        <v>642.67999999999995</v>
      </c>
      <c r="K15850" t="s">
        <v>34658</v>
      </c>
      <c r="L15850">
        <v>911</v>
      </c>
      <c r="M15850" t="s">
        <v>2678</v>
      </c>
      <c r="N15850" t="s">
        <v>30</v>
      </c>
      <c r="O15850" t="s">
        <v>31</v>
      </c>
      <c r="P15850" t="str">
        <f>"15212"</f>
        <v>15212</v>
      </c>
    </row>
    <row r="15851" spans="1:16" x14ac:dyDescent="0.25">
      <c r="A15851" t="str">
        <f>"1230023M00245    00"</f>
        <v>1230023M00245    00</v>
      </c>
      <c r="B15851" t="s">
        <v>34659</v>
      </c>
      <c r="C15851" t="s">
        <v>34660</v>
      </c>
      <c r="E15851" t="s">
        <v>39</v>
      </c>
      <c r="F15851">
        <v>0</v>
      </c>
      <c r="G15851">
        <v>0</v>
      </c>
      <c r="H15851">
        <v>1</v>
      </c>
      <c r="I15851" s="3">
        <v>646.65</v>
      </c>
      <c r="J15851" s="3">
        <v>0</v>
      </c>
      <c r="L15851">
        <v>1842</v>
      </c>
      <c r="M15851" t="s">
        <v>32125</v>
      </c>
      <c r="N15851" t="s">
        <v>30</v>
      </c>
      <c r="O15851" t="s">
        <v>31</v>
      </c>
      <c r="P15851" t="str">
        <f>"15212"</f>
        <v>15212</v>
      </c>
    </row>
    <row r="15852" spans="1:16" x14ac:dyDescent="0.25">
      <c r="A15852" t="str">
        <f>"1230023M00248    00"</f>
        <v>1230023M00248    00</v>
      </c>
      <c r="B15852" t="s">
        <v>34661</v>
      </c>
      <c r="C15852" t="s">
        <v>34662</v>
      </c>
      <c r="D15852" t="s">
        <v>20</v>
      </c>
      <c r="E15852" t="s">
        <v>21</v>
      </c>
      <c r="F15852">
        <v>0</v>
      </c>
      <c r="G15852">
        <v>0</v>
      </c>
      <c r="H15852">
        <v>1</v>
      </c>
      <c r="I15852" s="3">
        <v>1742.09</v>
      </c>
      <c r="J15852" s="3">
        <v>0</v>
      </c>
      <c r="K15852" t="s">
        <v>34663</v>
      </c>
      <c r="L15852">
        <v>900</v>
      </c>
      <c r="M15852" t="s">
        <v>10703</v>
      </c>
      <c r="N15852" t="s">
        <v>30</v>
      </c>
      <c r="O15852" t="s">
        <v>31</v>
      </c>
      <c r="P15852" t="str">
        <f>"15212"</f>
        <v>15212</v>
      </c>
    </row>
    <row r="15853" spans="1:16" x14ac:dyDescent="0.25">
      <c r="A15853" t="str">
        <f>"1230023M00249    00"</f>
        <v>1230023M00249    00</v>
      </c>
      <c r="B15853" t="s">
        <v>34661</v>
      </c>
      <c r="C15853" t="s">
        <v>34664</v>
      </c>
      <c r="D15853" t="s">
        <v>20</v>
      </c>
      <c r="E15853" t="s">
        <v>39</v>
      </c>
      <c r="F15853">
        <v>0</v>
      </c>
      <c r="G15853">
        <v>0</v>
      </c>
      <c r="H15853">
        <v>1</v>
      </c>
      <c r="I15853" s="3">
        <v>1116.93</v>
      </c>
      <c r="J15853" s="3">
        <v>0</v>
      </c>
      <c r="K15853" t="s">
        <v>34663</v>
      </c>
      <c r="L15853">
        <v>900</v>
      </c>
      <c r="M15853" t="s">
        <v>10703</v>
      </c>
      <c r="N15853" t="s">
        <v>30</v>
      </c>
      <c r="O15853" t="s">
        <v>31</v>
      </c>
      <c r="P15853" t="str">
        <f>"15212"</f>
        <v>15212</v>
      </c>
    </row>
    <row r="15854" spans="1:16" x14ac:dyDescent="0.25">
      <c r="A15854" t="str">
        <f>"1230023M00254    00"</f>
        <v>1230023M00254    00</v>
      </c>
      <c r="B15854" t="s">
        <v>34665</v>
      </c>
      <c r="C15854" t="s">
        <v>34666</v>
      </c>
      <c r="E15854" t="s">
        <v>39</v>
      </c>
      <c r="F15854">
        <v>0</v>
      </c>
      <c r="G15854">
        <v>0</v>
      </c>
      <c r="H15854">
        <v>2</v>
      </c>
      <c r="I15854" s="3">
        <v>2318.7800000000002</v>
      </c>
      <c r="J15854" s="3">
        <v>158.58000000000001</v>
      </c>
      <c r="K15854" t="s">
        <v>400</v>
      </c>
      <c r="L15854">
        <v>3001</v>
      </c>
      <c r="M15854" t="s">
        <v>330</v>
      </c>
      <c r="N15854" t="s">
        <v>331</v>
      </c>
      <c r="O15854" t="s">
        <v>108</v>
      </c>
      <c r="P15854" t="str">
        <f>"75063"</f>
        <v>75063</v>
      </c>
    </row>
    <row r="15855" spans="1:16" x14ac:dyDescent="0.25">
      <c r="A15855" t="str">
        <f>"1230023M00256    00"</f>
        <v>1230023M00256    00</v>
      </c>
      <c r="B15855" t="s">
        <v>34656</v>
      </c>
      <c r="C15855" t="s">
        <v>34667</v>
      </c>
      <c r="D15855" t="s">
        <v>20</v>
      </c>
      <c r="E15855" t="s">
        <v>39</v>
      </c>
      <c r="F15855">
        <v>0</v>
      </c>
      <c r="G15855">
        <v>0</v>
      </c>
      <c r="H15855">
        <v>3</v>
      </c>
      <c r="I15855" s="3">
        <v>13486.92</v>
      </c>
      <c r="J15855" s="3">
        <v>975.07</v>
      </c>
      <c r="K15855" t="s">
        <v>34658</v>
      </c>
      <c r="L15855">
        <v>911</v>
      </c>
      <c r="M15855" t="s">
        <v>2678</v>
      </c>
      <c r="N15855" t="s">
        <v>30</v>
      </c>
      <c r="O15855" t="s">
        <v>31</v>
      </c>
      <c r="P15855" t="str">
        <f>"15212"</f>
        <v>15212</v>
      </c>
    </row>
    <row r="15856" spans="1:16" x14ac:dyDescent="0.25">
      <c r="A15856" t="str">
        <f>"1230023M00263    00"</f>
        <v>1230023M00263    00</v>
      </c>
      <c r="B15856" t="s">
        <v>34668</v>
      </c>
      <c r="C15856" t="s">
        <v>34669</v>
      </c>
      <c r="E15856" t="s">
        <v>39</v>
      </c>
      <c r="F15856">
        <v>0</v>
      </c>
      <c r="G15856">
        <v>0</v>
      </c>
      <c r="H15856">
        <v>3</v>
      </c>
      <c r="I15856" s="3">
        <v>1114.5999999999999</v>
      </c>
      <c r="J15856" s="3">
        <v>89.6</v>
      </c>
      <c r="K15856" t="s">
        <v>10376</v>
      </c>
      <c r="M15856" t="s">
        <v>9730</v>
      </c>
      <c r="N15856" t="s">
        <v>9731</v>
      </c>
      <c r="O15856" t="s">
        <v>108</v>
      </c>
      <c r="P15856" t="str">
        <f>"75019"</f>
        <v>75019</v>
      </c>
    </row>
    <row r="15857" spans="1:16" x14ac:dyDescent="0.25">
      <c r="A15857" t="str">
        <f>"1230023M00277    00"</f>
        <v>1230023M00277    00</v>
      </c>
      <c r="B15857" t="s">
        <v>34663</v>
      </c>
      <c r="C15857" t="s">
        <v>34670</v>
      </c>
      <c r="D15857" t="s">
        <v>20</v>
      </c>
      <c r="E15857" t="s">
        <v>39</v>
      </c>
      <c r="F15857">
        <v>0</v>
      </c>
      <c r="G15857">
        <v>0</v>
      </c>
      <c r="H15857">
        <v>1</v>
      </c>
      <c r="I15857" s="3">
        <v>743.34</v>
      </c>
      <c r="J15857" s="3">
        <v>0</v>
      </c>
      <c r="L15857">
        <v>900</v>
      </c>
      <c r="M15857" t="s">
        <v>10703</v>
      </c>
      <c r="N15857" t="s">
        <v>30</v>
      </c>
      <c r="O15857" t="s">
        <v>31</v>
      </c>
      <c r="P15857" t="str">
        <f>"15212"</f>
        <v>15212</v>
      </c>
    </row>
    <row r="15858" spans="1:16" x14ac:dyDescent="0.25">
      <c r="A15858" t="str">
        <f>"1230023M00278    00"</f>
        <v>1230023M00278    00</v>
      </c>
      <c r="B15858" t="s">
        <v>34663</v>
      </c>
      <c r="C15858" t="s">
        <v>34671</v>
      </c>
      <c r="D15858" t="s">
        <v>20</v>
      </c>
      <c r="E15858" t="s">
        <v>39</v>
      </c>
      <c r="F15858">
        <v>0</v>
      </c>
      <c r="G15858">
        <v>0</v>
      </c>
      <c r="H15858">
        <v>1</v>
      </c>
      <c r="I15858" s="3">
        <v>743.34</v>
      </c>
      <c r="J15858" s="3">
        <v>0</v>
      </c>
      <c r="L15858">
        <v>900</v>
      </c>
      <c r="M15858" t="s">
        <v>10703</v>
      </c>
      <c r="N15858" t="s">
        <v>30</v>
      </c>
      <c r="O15858" t="s">
        <v>31</v>
      </c>
      <c r="P15858" t="str">
        <f>"15212"</f>
        <v>15212</v>
      </c>
    </row>
    <row r="15859" spans="1:16" x14ac:dyDescent="0.25">
      <c r="A15859" t="str">
        <f>"1230023M00291    00"</f>
        <v>1230023M00291    00</v>
      </c>
      <c r="B15859" t="s">
        <v>34537</v>
      </c>
      <c r="C15859" t="s">
        <v>34672</v>
      </c>
      <c r="D15859" t="s">
        <v>20</v>
      </c>
      <c r="E15859" t="s">
        <v>39</v>
      </c>
      <c r="F15859">
        <v>0</v>
      </c>
      <c r="G15859">
        <v>0</v>
      </c>
      <c r="H15859">
        <v>2</v>
      </c>
      <c r="I15859" s="3">
        <v>3358.4</v>
      </c>
      <c r="J15859" s="3">
        <v>0</v>
      </c>
      <c r="K15859" t="s">
        <v>34673</v>
      </c>
      <c r="L15859">
        <v>911</v>
      </c>
      <c r="M15859" t="s">
        <v>2678</v>
      </c>
      <c r="N15859" t="s">
        <v>30</v>
      </c>
      <c r="O15859" t="s">
        <v>31</v>
      </c>
      <c r="P15859" t="str">
        <f>"15212"</f>
        <v>15212</v>
      </c>
    </row>
    <row r="15860" spans="1:16" x14ac:dyDescent="0.25">
      <c r="A15860" t="str">
        <f>"1230023M00293    00"</f>
        <v>1230023M00293    00</v>
      </c>
      <c r="B15860" t="s">
        <v>34674</v>
      </c>
      <c r="C15860" t="s">
        <v>34675</v>
      </c>
      <c r="D15860" t="s">
        <v>20</v>
      </c>
      <c r="E15860" t="s">
        <v>21</v>
      </c>
      <c r="F15860">
        <v>0</v>
      </c>
      <c r="G15860">
        <v>0</v>
      </c>
      <c r="H15860">
        <v>2</v>
      </c>
      <c r="I15860" s="3">
        <v>1214.97</v>
      </c>
      <c r="J15860" s="3">
        <v>139.99</v>
      </c>
      <c r="K15860" t="s">
        <v>34676</v>
      </c>
      <c r="L15860">
        <v>2103</v>
      </c>
      <c r="M15860" t="s">
        <v>34677</v>
      </c>
      <c r="N15860" t="s">
        <v>546</v>
      </c>
      <c r="O15860" t="s">
        <v>31</v>
      </c>
      <c r="P15860" t="str">
        <f>"15044"</f>
        <v>15044</v>
      </c>
    </row>
    <row r="15861" spans="1:16" x14ac:dyDescent="0.25">
      <c r="A15861" t="str">
        <f>"1230023M00312    00"</f>
        <v>1230023M00312    00</v>
      </c>
      <c r="B15861" t="s">
        <v>34678</v>
      </c>
      <c r="C15861" t="s">
        <v>34679</v>
      </c>
      <c r="E15861" t="s">
        <v>21</v>
      </c>
      <c r="F15861">
        <v>0</v>
      </c>
      <c r="G15861">
        <v>0</v>
      </c>
      <c r="H15861">
        <v>1</v>
      </c>
      <c r="I15861" s="3">
        <v>1040.17</v>
      </c>
      <c r="J15861" s="3">
        <v>0</v>
      </c>
      <c r="K15861" t="s">
        <v>34680</v>
      </c>
      <c r="L15861">
        <v>414</v>
      </c>
      <c r="M15861" t="s">
        <v>4860</v>
      </c>
      <c r="N15861" t="s">
        <v>30</v>
      </c>
      <c r="O15861" t="s">
        <v>31</v>
      </c>
      <c r="P15861" t="str">
        <f>"15212"</f>
        <v>15212</v>
      </c>
    </row>
    <row r="15862" spans="1:16" x14ac:dyDescent="0.25">
      <c r="A15862" t="str">
        <f>"1230023S00069    00"</f>
        <v>1230023S00069    00</v>
      </c>
      <c r="B15862" t="s">
        <v>34681</v>
      </c>
      <c r="C15862" t="s">
        <v>34682</v>
      </c>
      <c r="E15862" t="s">
        <v>39</v>
      </c>
      <c r="F15862">
        <v>0</v>
      </c>
      <c r="G15862">
        <v>0</v>
      </c>
      <c r="H15862">
        <v>2</v>
      </c>
      <c r="I15862" s="3">
        <v>3876.82</v>
      </c>
      <c r="J15862" s="3">
        <v>129.22</v>
      </c>
      <c r="K15862" t="s">
        <v>1135</v>
      </c>
      <c r="L15862">
        <v>3001</v>
      </c>
      <c r="M15862" t="s">
        <v>330</v>
      </c>
      <c r="N15862" t="s">
        <v>331</v>
      </c>
      <c r="O15862" t="s">
        <v>108</v>
      </c>
      <c r="P15862" t="str">
        <f>"75063"</f>
        <v>75063</v>
      </c>
    </row>
    <row r="15863" spans="1:16" x14ac:dyDescent="0.25">
      <c r="A15863" t="str">
        <f>"1230023S00078    00"</f>
        <v>1230023S00078    00</v>
      </c>
      <c r="B15863" t="s">
        <v>34683</v>
      </c>
      <c r="C15863" t="s">
        <v>34684</v>
      </c>
      <c r="E15863" t="s">
        <v>39</v>
      </c>
      <c r="F15863">
        <v>0</v>
      </c>
      <c r="G15863">
        <v>0</v>
      </c>
      <c r="H15863">
        <v>1</v>
      </c>
      <c r="I15863" s="3">
        <v>112.46</v>
      </c>
      <c r="J15863" s="3">
        <v>22.5</v>
      </c>
      <c r="L15863">
        <v>2770</v>
      </c>
      <c r="M15863" t="s">
        <v>34685</v>
      </c>
      <c r="N15863" t="s">
        <v>7330</v>
      </c>
      <c r="O15863" t="s">
        <v>180</v>
      </c>
      <c r="P15863" t="str">
        <f>"80236"</f>
        <v>80236</v>
      </c>
    </row>
    <row r="15864" spans="1:16" x14ac:dyDescent="0.25">
      <c r="A15864" t="str">
        <f>"1230023S00081    00"</f>
        <v>1230023S00081    00</v>
      </c>
      <c r="B15864" t="s">
        <v>34686</v>
      </c>
      <c r="C15864" t="s">
        <v>34687</v>
      </c>
      <c r="D15864" t="s">
        <v>20</v>
      </c>
      <c r="E15864" t="s">
        <v>39</v>
      </c>
      <c r="F15864">
        <v>0</v>
      </c>
      <c r="G15864">
        <v>0</v>
      </c>
      <c r="H15864">
        <v>3</v>
      </c>
      <c r="I15864" s="3">
        <v>10726.66</v>
      </c>
      <c r="J15864" s="3">
        <v>68.42</v>
      </c>
      <c r="K15864" t="s">
        <v>30147</v>
      </c>
      <c r="L15864">
        <v>1000</v>
      </c>
      <c r="M15864" t="s">
        <v>5910</v>
      </c>
      <c r="N15864" t="s">
        <v>30148</v>
      </c>
      <c r="O15864" t="s">
        <v>4784</v>
      </c>
      <c r="P15864" t="str">
        <f>"63368"</f>
        <v>63368</v>
      </c>
    </row>
    <row r="15865" spans="1:16" x14ac:dyDescent="0.25">
      <c r="A15865" t="str">
        <f>"1230023S00116    00"</f>
        <v>1230023S00116    00</v>
      </c>
      <c r="B15865" t="s">
        <v>34678</v>
      </c>
      <c r="C15865" t="s">
        <v>34688</v>
      </c>
      <c r="E15865" t="s">
        <v>21</v>
      </c>
      <c r="F15865">
        <v>0</v>
      </c>
      <c r="G15865">
        <v>0</v>
      </c>
      <c r="H15865">
        <v>1</v>
      </c>
      <c r="I15865" s="3">
        <v>2565.58</v>
      </c>
      <c r="J15865" s="3">
        <v>0</v>
      </c>
      <c r="K15865" t="s">
        <v>34680</v>
      </c>
      <c r="L15865">
        <v>414</v>
      </c>
      <c r="M15865" t="s">
        <v>4860</v>
      </c>
      <c r="N15865" t="s">
        <v>30</v>
      </c>
      <c r="O15865" t="s">
        <v>31</v>
      </c>
      <c r="P15865" t="str">
        <f>"15212"</f>
        <v>15212</v>
      </c>
    </row>
    <row r="15866" spans="1:16" x14ac:dyDescent="0.25">
      <c r="A15866" t="str">
        <f>"1230023S00127    00"</f>
        <v>1230023S00127    00</v>
      </c>
      <c r="B15866" t="s">
        <v>34689</v>
      </c>
      <c r="C15866" t="s">
        <v>34690</v>
      </c>
      <c r="E15866" t="s">
        <v>21</v>
      </c>
      <c r="F15866">
        <v>0</v>
      </c>
      <c r="G15866">
        <v>0</v>
      </c>
      <c r="H15866">
        <v>1</v>
      </c>
      <c r="I15866" s="3">
        <v>2515.2600000000002</v>
      </c>
      <c r="J15866" s="3">
        <v>0</v>
      </c>
      <c r="K15866" t="s">
        <v>34691</v>
      </c>
      <c r="L15866">
        <v>687</v>
      </c>
      <c r="M15866" t="s">
        <v>4763</v>
      </c>
      <c r="N15866" t="s">
        <v>4318</v>
      </c>
      <c r="O15866" t="s">
        <v>31</v>
      </c>
      <c r="P15866" t="str">
        <f>"16046"</f>
        <v>16046</v>
      </c>
    </row>
    <row r="15867" spans="1:16" x14ac:dyDescent="0.25">
      <c r="A15867" t="str">
        <f>"1230023S00129    00"</f>
        <v>1230023S00129    00</v>
      </c>
      <c r="B15867" t="s">
        <v>34692</v>
      </c>
      <c r="C15867" t="s">
        <v>34693</v>
      </c>
      <c r="E15867" t="s">
        <v>21</v>
      </c>
      <c r="F15867">
        <v>0</v>
      </c>
      <c r="G15867">
        <v>0</v>
      </c>
      <c r="H15867">
        <v>1</v>
      </c>
      <c r="I15867" s="3">
        <v>667.81</v>
      </c>
      <c r="J15867" s="3">
        <v>662.22</v>
      </c>
      <c r="K15867" t="s">
        <v>34694</v>
      </c>
      <c r="L15867">
        <v>4</v>
      </c>
      <c r="M15867" t="s">
        <v>34695</v>
      </c>
      <c r="N15867" t="s">
        <v>30</v>
      </c>
      <c r="O15867" t="s">
        <v>31</v>
      </c>
      <c r="P15867" t="str">
        <f>"15212"</f>
        <v>15212</v>
      </c>
    </row>
    <row r="15868" spans="1:16" x14ac:dyDescent="0.25">
      <c r="A15868" t="str">
        <f>"1230023S00135    00"</f>
        <v>1230023S00135    00</v>
      </c>
      <c r="B15868" t="s">
        <v>34696</v>
      </c>
      <c r="C15868" t="s">
        <v>34697</v>
      </c>
      <c r="E15868" t="s">
        <v>21</v>
      </c>
      <c r="F15868">
        <v>0</v>
      </c>
      <c r="G15868">
        <v>0</v>
      </c>
      <c r="H15868">
        <v>2</v>
      </c>
      <c r="I15868" s="3">
        <v>81.180000000000007</v>
      </c>
      <c r="J15868" s="3">
        <v>0.68</v>
      </c>
      <c r="K15868" t="s">
        <v>34698</v>
      </c>
      <c r="L15868">
        <v>612</v>
      </c>
      <c r="M15868" t="s">
        <v>624</v>
      </c>
      <c r="N15868" t="s">
        <v>625</v>
      </c>
      <c r="O15868" t="s">
        <v>31</v>
      </c>
      <c r="P15868" t="str">
        <f>"15108"</f>
        <v>15108</v>
      </c>
    </row>
    <row r="15869" spans="1:16" x14ac:dyDescent="0.25">
      <c r="A15869" t="str">
        <f>"1230023S00158    00"</f>
        <v>1230023S00158    00</v>
      </c>
      <c r="B15869" t="s">
        <v>34699</v>
      </c>
      <c r="C15869" t="s">
        <v>34700</v>
      </c>
      <c r="D15869" t="s">
        <v>20</v>
      </c>
      <c r="E15869" t="s">
        <v>21</v>
      </c>
      <c r="F15869">
        <v>0</v>
      </c>
      <c r="G15869">
        <v>0</v>
      </c>
      <c r="H15869">
        <v>2</v>
      </c>
      <c r="I15869" s="3">
        <v>5574.79</v>
      </c>
      <c r="J15869" s="3">
        <v>0</v>
      </c>
      <c r="L15869">
        <v>522</v>
      </c>
      <c r="M15869" t="s">
        <v>34701</v>
      </c>
      <c r="N15869" t="s">
        <v>30</v>
      </c>
      <c r="O15869" t="s">
        <v>31</v>
      </c>
      <c r="P15869" t="str">
        <f t="shared" ref="P15869:P15874" si="208">"15212"</f>
        <v>15212</v>
      </c>
    </row>
    <row r="15870" spans="1:16" x14ac:dyDescent="0.25">
      <c r="A15870" t="str">
        <f>"1230023S00159    00"</f>
        <v>1230023S00159    00</v>
      </c>
      <c r="B15870" t="s">
        <v>34702</v>
      </c>
      <c r="C15870" t="s">
        <v>34703</v>
      </c>
      <c r="D15870" t="s">
        <v>20</v>
      </c>
      <c r="E15870" t="s">
        <v>21</v>
      </c>
      <c r="F15870">
        <v>0</v>
      </c>
      <c r="G15870">
        <v>0</v>
      </c>
      <c r="H15870">
        <v>2</v>
      </c>
      <c r="I15870" s="3">
        <v>5512.17</v>
      </c>
      <c r="J15870" s="3">
        <v>0</v>
      </c>
      <c r="K15870" t="s">
        <v>34704</v>
      </c>
      <c r="L15870">
        <v>514</v>
      </c>
      <c r="M15870" t="s">
        <v>34701</v>
      </c>
      <c r="N15870" t="s">
        <v>30</v>
      </c>
      <c r="O15870" t="s">
        <v>31</v>
      </c>
      <c r="P15870" t="str">
        <f t="shared" si="208"/>
        <v>15212</v>
      </c>
    </row>
    <row r="15871" spans="1:16" x14ac:dyDescent="0.25">
      <c r="A15871" t="str">
        <f>"1230023S00162    00"</f>
        <v>1230023S00162    00</v>
      </c>
      <c r="B15871" t="s">
        <v>34705</v>
      </c>
      <c r="C15871" t="s">
        <v>34706</v>
      </c>
      <c r="E15871" t="s">
        <v>21</v>
      </c>
      <c r="F15871">
        <v>0</v>
      </c>
      <c r="G15871">
        <v>0</v>
      </c>
      <c r="H15871">
        <v>2</v>
      </c>
      <c r="I15871" s="3">
        <v>67.06</v>
      </c>
      <c r="J15871" s="3">
        <v>113.15</v>
      </c>
      <c r="K15871" t="s">
        <v>34707</v>
      </c>
      <c r="L15871">
        <v>521</v>
      </c>
      <c r="M15871" t="s">
        <v>34708</v>
      </c>
      <c r="N15871" t="s">
        <v>30</v>
      </c>
      <c r="O15871" t="s">
        <v>31</v>
      </c>
      <c r="P15871" t="str">
        <f t="shared" si="208"/>
        <v>15212</v>
      </c>
    </row>
    <row r="15872" spans="1:16" x14ac:dyDescent="0.25">
      <c r="A15872" t="str">
        <f>"1230023S00170    00"</f>
        <v>1230023S00170    00</v>
      </c>
      <c r="B15872" t="s">
        <v>34709</v>
      </c>
      <c r="C15872" t="s">
        <v>34710</v>
      </c>
      <c r="D15872" t="s">
        <v>57</v>
      </c>
      <c r="E15872" t="s">
        <v>39</v>
      </c>
      <c r="F15872">
        <v>0</v>
      </c>
      <c r="G15872">
        <v>0</v>
      </c>
      <c r="H15872">
        <v>2</v>
      </c>
      <c r="I15872" s="3">
        <v>1749.71</v>
      </c>
      <c r="J15872" s="3">
        <v>5.52</v>
      </c>
      <c r="K15872" t="s">
        <v>34711</v>
      </c>
      <c r="L15872">
        <v>706</v>
      </c>
      <c r="M15872" t="s">
        <v>2678</v>
      </c>
      <c r="N15872" t="s">
        <v>30</v>
      </c>
      <c r="O15872" t="s">
        <v>31</v>
      </c>
      <c r="P15872" t="str">
        <f t="shared" si="208"/>
        <v>15212</v>
      </c>
    </row>
    <row r="15873" spans="1:16" x14ac:dyDescent="0.25">
      <c r="A15873" t="str">
        <f>"1230023S00223    00"</f>
        <v>1230023S00223    00</v>
      </c>
      <c r="B15873" t="s">
        <v>34712</v>
      </c>
      <c r="C15873" t="s">
        <v>34713</v>
      </c>
      <c r="E15873" t="s">
        <v>21</v>
      </c>
      <c r="F15873">
        <v>0</v>
      </c>
      <c r="G15873">
        <v>0</v>
      </c>
      <c r="H15873">
        <v>2</v>
      </c>
      <c r="I15873" s="3">
        <v>7470.54</v>
      </c>
      <c r="J15873" s="3">
        <v>1929.8</v>
      </c>
      <c r="L15873">
        <v>521</v>
      </c>
      <c r="M15873" t="s">
        <v>34708</v>
      </c>
      <c r="N15873" t="s">
        <v>30</v>
      </c>
      <c r="O15873" t="s">
        <v>31</v>
      </c>
      <c r="P15873" t="str">
        <f t="shared" si="208"/>
        <v>15212</v>
      </c>
    </row>
    <row r="15874" spans="1:16" x14ac:dyDescent="0.25">
      <c r="A15874" t="str">
        <f>"1230023S00233    00"</f>
        <v>1230023S00233    00</v>
      </c>
      <c r="B15874" t="s">
        <v>34712</v>
      </c>
      <c r="C15874" t="s">
        <v>34714</v>
      </c>
      <c r="E15874" t="s">
        <v>21</v>
      </c>
      <c r="F15874">
        <v>0</v>
      </c>
      <c r="G15874">
        <v>0</v>
      </c>
      <c r="H15874">
        <v>3</v>
      </c>
      <c r="I15874" s="3">
        <v>2450.84</v>
      </c>
      <c r="J15874" s="3">
        <v>592.27</v>
      </c>
      <c r="L15874">
        <v>911</v>
      </c>
      <c r="M15874" t="s">
        <v>2678</v>
      </c>
      <c r="N15874" t="s">
        <v>30</v>
      </c>
      <c r="O15874" t="s">
        <v>31</v>
      </c>
      <c r="P15874" t="str">
        <f t="shared" si="208"/>
        <v>15212</v>
      </c>
    </row>
    <row r="15875" spans="1:16" x14ac:dyDescent="0.25">
      <c r="A15875" t="str">
        <f>"1230023S00261    00"</f>
        <v>1230023S00261    00</v>
      </c>
      <c r="B15875" t="s">
        <v>34715</v>
      </c>
      <c r="C15875" t="s">
        <v>34716</v>
      </c>
      <c r="E15875" t="s">
        <v>39</v>
      </c>
      <c r="F15875">
        <v>0</v>
      </c>
      <c r="G15875">
        <v>0</v>
      </c>
      <c r="H15875">
        <v>4</v>
      </c>
      <c r="I15875" s="3">
        <v>5363.07</v>
      </c>
      <c r="J15875" s="3">
        <v>1945.64</v>
      </c>
      <c r="K15875" t="s">
        <v>5324</v>
      </c>
      <c r="L15875">
        <v>6850</v>
      </c>
      <c r="M15875" t="s">
        <v>763</v>
      </c>
      <c r="N15875" t="s">
        <v>764</v>
      </c>
      <c r="O15875" t="s">
        <v>25</v>
      </c>
      <c r="P15875" t="str">
        <f>"44141"</f>
        <v>44141</v>
      </c>
    </row>
    <row r="15876" spans="1:16" x14ac:dyDescent="0.25">
      <c r="A15876" t="str">
        <f>"1230023S00263    00"</f>
        <v>1230023S00263    00</v>
      </c>
      <c r="B15876" t="s">
        <v>34717</v>
      </c>
      <c r="C15876" t="s">
        <v>34718</v>
      </c>
      <c r="E15876" t="s">
        <v>39</v>
      </c>
      <c r="F15876">
        <v>0</v>
      </c>
      <c r="G15876">
        <v>0</v>
      </c>
      <c r="H15876">
        <v>1</v>
      </c>
      <c r="I15876" s="3">
        <v>1332.5</v>
      </c>
      <c r="J15876" s="3">
        <v>0</v>
      </c>
      <c r="L15876">
        <v>1244</v>
      </c>
      <c r="M15876" t="s">
        <v>34562</v>
      </c>
      <c r="N15876" t="s">
        <v>30</v>
      </c>
      <c r="O15876" t="s">
        <v>31</v>
      </c>
      <c r="P15876" t="str">
        <f>"15212"</f>
        <v>15212</v>
      </c>
    </row>
    <row r="15877" spans="1:16" x14ac:dyDescent="0.25">
      <c r="A15877" t="str">
        <f>"1230023S00274    00"</f>
        <v>1230023S00274    00</v>
      </c>
      <c r="B15877" t="s">
        <v>34719</v>
      </c>
      <c r="C15877" t="s">
        <v>34720</v>
      </c>
      <c r="E15877" t="s">
        <v>39</v>
      </c>
      <c r="F15877">
        <v>0</v>
      </c>
      <c r="G15877">
        <v>0</v>
      </c>
      <c r="H15877">
        <v>1</v>
      </c>
      <c r="I15877" s="3">
        <v>1349.93</v>
      </c>
      <c r="J15877" s="3">
        <v>0</v>
      </c>
      <c r="K15877" t="s">
        <v>34721</v>
      </c>
      <c r="L15877">
        <v>5915</v>
      </c>
      <c r="M15877" t="s">
        <v>2720</v>
      </c>
      <c r="N15877" t="s">
        <v>30</v>
      </c>
      <c r="O15877" t="s">
        <v>31</v>
      </c>
      <c r="P15877" t="str">
        <f>"15201"</f>
        <v>15201</v>
      </c>
    </row>
    <row r="15878" spans="1:16" x14ac:dyDescent="0.25">
      <c r="A15878" t="str">
        <f>"1230023S00287    00"</f>
        <v>1230023S00287    00</v>
      </c>
      <c r="B15878" t="s">
        <v>34722</v>
      </c>
      <c r="C15878" t="s">
        <v>34723</v>
      </c>
      <c r="D15878" t="s">
        <v>20</v>
      </c>
      <c r="E15878" t="s">
        <v>21</v>
      </c>
      <c r="F15878">
        <v>0</v>
      </c>
      <c r="G15878">
        <v>0</v>
      </c>
      <c r="H15878">
        <v>1</v>
      </c>
      <c r="I15878" s="3">
        <v>7996.32</v>
      </c>
      <c r="J15878" s="3">
        <v>0</v>
      </c>
      <c r="L15878">
        <v>546</v>
      </c>
      <c r="M15878" t="s">
        <v>34724</v>
      </c>
      <c r="N15878" t="s">
        <v>546</v>
      </c>
      <c r="O15878" t="s">
        <v>31</v>
      </c>
      <c r="P15878" t="str">
        <f>"15044"</f>
        <v>15044</v>
      </c>
    </row>
    <row r="15879" spans="1:16" x14ac:dyDescent="0.25">
      <c r="A15879" t="str">
        <f>"1230023S00346    00"</f>
        <v>1230023S00346    00</v>
      </c>
      <c r="B15879" t="s">
        <v>34725</v>
      </c>
      <c r="C15879" t="s">
        <v>34726</v>
      </c>
      <c r="D15879" t="s">
        <v>20</v>
      </c>
      <c r="E15879" t="s">
        <v>39</v>
      </c>
      <c r="F15879">
        <v>0</v>
      </c>
      <c r="G15879">
        <v>0</v>
      </c>
      <c r="H15879">
        <v>3</v>
      </c>
      <c r="I15879" s="3">
        <v>6111.26</v>
      </c>
      <c r="J15879" s="3">
        <v>419.23</v>
      </c>
      <c r="L15879">
        <v>525</v>
      </c>
      <c r="M15879" t="s">
        <v>27339</v>
      </c>
      <c r="N15879" t="s">
        <v>30</v>
      </c>
      <c r="O15879" t="s">
        <v>31</v>
      </c>
      <c r="P15879" t="str">
        <f>"15212"</f>
        <v>15212</v>
      </c>
    </row>
    <row r="15880" spans="1:16" x14ac:dyDescent="0.25">
      <c r="A15880" t="str">
        <f>"1230023S00349A   00"</f>
        <v>1230023S00349A   00</v>
      </c>
      <c r="B15880" t="s">
        <v>34727</v>
      </c>
      <c r="C15880" t="s">
        <v>34728</v>
      </c>
      <c r="D15880" t="s">
        <v>20</v>
      </c>
      <c r="E15880" t="s">
        <v>39</v>
      </c>
      <c r="F15880">
        <v>0</v>
      </c>
      <c r="G15880">
        <v>0</v>
      </c>
      <c r="H15880">
        <v>2</v>
      </c>
      <c r="I15880" s="3">
        <v>4235.1400000000003</v>
      </c>
      <c r="J15880" s="3">
        <v>0</v>
      </c>
      <c r="K15880" t="s">
        <v>34729</v>
      </c>
      <c r="L15880">
        <v>1115</v>
      </c>
      <c r="M15880" t="s">
        <v>144</v>
      </c>
      <c r="N15880" t="s">
        <v>30</v>
      </c>
      <c r="O15880" t="s">
        <v>31</v>
      </c>
      <c r="P15880" t="str">
        <f>"15212"</f>
        <v>15212</v>
      </c>
    </row>
    <row r="15881" spans="1:16" x14ac:dyDescent="0.25">
      <c r="A15881" t="str">
        <f>"1230023S00349B   00"</f>
        <v>1230023S00349B   00</v>
      </c>
      <c r="B15881" t="s">
        <v>34730</v>
      </c>
      <c r="C15881" t="s">
        <v>34731</v>
      </c>
      <c r="D15881" t="s">
        <v>20</v>
      </c>
      <c r="E15881" t="s">
        <v>39</v>
      </c>
      <c r="F15881">
        <v>0</v>
      </c>
      <c r="G15881">
        <v>0</v>
      </c>
      <c r="H15881">
        <v>2</v>
      </c>
      <c r="I15881" s="3">
        <v>5043.28</v>
      </c>
      <c r="J15881" s="3">
        <v>0</v>
      </c>
      <c r="L15881">
        <v>1115</v>
      </c>
      <c r="M15881" t="s">
        <v>144</v>
      </c>
      <c r="N15881" t="s">
        <v>30</v>
      </c>
      <c r="O15881" t="s">
        <v>31</v>
      </c>
      <c r="P15881" t="str">
        <f>"15212"</f>
        <v>15212</v>
      </c>
    </row>
    <row r="15882" spans="1:16" x14ac:dyDescent="0.25">
      <c r="A15882" t="str">
        <f>"1230023S00353    00"</f>
        <v>1230023S00353    00</v>
      </c>
      <c r="B15882" t="s">
        <v>34732</v>
      </c>
      <c r="C15882" t="s">
        <v>34733</v>
      </c>
      <c r="E15882" t="s">
        <v>39</v>
      </c>
      <c r="F15882">
        <v>0</v>
      </c>
      <c r="G15882">
        <v>0</v>
      </c>
      <c r="H15882">
        <v>1</v>
      </c>
      <c r="I15882" s="3">
        <v>123.37</v>
      </c>
      <c r="J15882" s="3">
        <v>0</v>
      </c>
      <c r="K15882" t="s">
        <v>34734</v>
      </c>
      <c r="L15882">
        <v>201</v>
      </c>
      <c r="M15882" t="s">
        <v>34735</v>
      </c>
      <c r="N15882" t="s">
        <v>139</v>
      </c>
      <c r="O15882" t="s">
        <v>31</v>
      </c>
      <c r="P15882" t="str">
        <f>"15090"</f>
        <v>15090</v>
      </c>
    </row>
    <row r="15883" spans="1:16" x14ac:dyDescent="0.25">
      <c r="A15883" t="str">
        <f>"1230024E00125    00"</f>
        <v>1230024E00125    00</v>
      </c>
      <c r="B15883" t="s">
        <v>34736</v>
      </c>
      <c r="C15883" t="s">
        <v>34737</v>
      </c>
      <c r="D15883" t="s">
        <v>20</v>
      </c>
      <c r="E15883" t="s">
        <v>39</v>
      </c>
      <c r="F15883">
        <v>0</v>
      </c>
      <c r="G15883">
        <v>0</v>
      </c>
      <c r="H15883">
        <v>6</v>
      </c>
      <c r="I15883" s="3">
        <v>76.62</v>
      </c>
      <c r="J15883" s="3">
        <v>0.38</v>
      </c>
      <c r="L15883">
        <v>854</v>
      </c>
      <c r="M15883" t="s">
        <v>33466</v>
      </c>
      <c r="N15883" t="s">
        <v>30</v>
      </c>
      <c r="O15883" t="s">
        <v>31</v>
      </c>
      <c r="P15883" t="str">
        <f>"15212"</f>
        <v>15212</v>
      </c>
    </row>
    <row r="15884" spans="1:16" x14ac:dyDescent="0.25">
      <c r="A15884" t="str">
        <f>"1230024E00126A   00"</f>
        <v>1230024E00126A   00</v>
      </c>
      <c r="B15884" t="s">
        <v>34738</v>
      </c>
      <c r="C15884" t="s">
        <v>34739</v>
      </c>
      <c r="D15884" t="s">
        <v>20</v>
      </c>
      <c r="E15884" t="s">
        <v>39</v>
      </c>
      <c r="F15884">
        <v>0</v>
      </c>
      <c r="G15884">
        <v>0</v>
      </c>
      <c r="H15884">
        <v>2</v>
      </c>
      <c r="I15884" s="3">
        <v>1922.26</v>
      </c>
      <c r="J15884" s="3">
        <v>0</v>
      </c>
      <c r="L15884">
        <v>854</v>
      </c>
      <c r="M15884" t="s">
        <v>33466</v>
      </c>
      <c r="N15884" t="s">
        <v>30</v>
      </c>
      <c r="O15884" t="s">
        <v>31</v>
      </c>
      <c r="P15884" t="str">
        <f>"15212"</f>
        <v>15212</v>
      </c>
    </row>
    <row r="15885" spans="1:16" x14ac:dyDescent="0.25">
      <c r="A15885" t="str">
        <f>"1230024E00134    00"</f>
        <v>1230024E00134    00</v>
      </c>
      <c r="B15885" t="s">
        <v>9177</v>
      </c>
      <c r="C15885" t="s">
        <v>34740</v>
      </c>
      <c r="D15885" t="s">
        <v>20</v>
      </c>
      <c r="E15885" t="s">
        <v>21</v>
      </c>
      <c r="F15885">
        <v>0</v>
      </c>
      <c r="G15885">
        <v>0</v>
      </c>
      <c r="H15885">
        <v>5</v>
      </c>
      <c r="I15885" s="3">
        <v>299.83</v>
      </c>
      <c r="J15885" s="3">
        <v>53.11</v>
      </c>
      <c r="L15885">
        <v>2445</v>
      </c>
      <c r="M15885" t="s">
        <v>8561</v>
      </c>
      <c r="N15885" t="s">
        <v>546</v>
      </c>
      <c r="O15885" t="s">
        <v>31</v>
      </c>
      <c r="P15885" t="str">
        <f>"15044"</f>
        <v>15044</v>
      </c>
    </row>
    <row r="15886" spans="1:16" x14ac:dyDescent="0.25">
      <c r="A15886" t="str">
        <f>"1230024E00136    00"</f>
        <v>1230024E00136    00</v>
      </c>
      <c r="B15886" t="s">
        <v>9177</v>
      </c>
      <c r="C15886" t="s">
        <v>34741</v>
      </c>
      <c r="D15886" t="s">
        <v>20</v>
      </c>
      <c r="E15886" t="s">
        <v>21</v>
      </c>
      <c r="F15886">
        <v>0</v>
      </c>
      <c r="G15886">
        <v>0</v>
      </c>
      <c r="H15886">
        <v>4</v>
      </c>
      <c r="I15886" s="3">
        <v>8520.5400000000009</v>
      </c>
      <c r="J15886" s="3">
        <v>1006.52</v>
      </c>
      <c r="M15886" t="s">
        <v>34742</v>
      </c>
      <c r="N15886" t="s">
        <v>546</v>
      </c>
      <c r="O15886" t="s">
        <v>31</v>
      </c>
      <c r="P15886" t="str">
        <f>"15044"</f>
        <v>15044</v>
      </c>
    </row>
    <row r="15887" spans="1:16" x14ac:dyDescent="0.25">
      <c r="A15887" t="str">
        <f>"1230024E00137    00"</f>
        <v>1230024E00137    00</v>
      </c>
      <c r="B15887" t="s">
        <v>9177</v>
      </c>
      <c r="C15887" t="s">
        <v>34743</v>
      </c>
      <c r="D15887" t="s">
        <v>20</v>
      </c>
      <c r="E15887" t="s">
        <v>39</v>
      </c>
      <c r="F15887">
        <v>0</v>
      </c>
      <c r="G15887">
        <v>0</v>
      </c>
      <c r="H15887">
        <v>4</v>
      </c>
      <c r="I15887" s="3">
        <v>1518.88</v>
      </c>
      <c r="J15887" s="3">
        <v>179.43</v>
      </c>
      <c r="L15887">
        <v>2445</v>
      </c>
      <c r="M15887" t="s">
        <v>8561</v>
      </c>
      <c r="N15887" t="s">
        <v>546</v>
      </c>
      <c r="O15887" t="s">
        <v>31</v>
      </c>
      <c r="P15887" t="str">
        <f>"15044"</f>
        <v>15044</v>
      </c>
    </row>
    <row r="15888" spans="1:16" x14ac:dyDescent="0.25">
      <c r="A15888" t="str">
        <f>"1230024E00138    00"</f>
        <v>1230024E00138    00</v>
      </c>
      <c r="B15888" t="s">
        <v>34744</v>
      </c>
      <c r="C15888" t="s">
        <v>34743</v>
      </c>
      <c r="D15888" t="s">
        <v>20</v>
      </c>
      <c r="E15888" t="s">
        <v>39</v>
      </c>
      <c r="F15888">
        <v>0</v>
      </c>
      <c r="G15888">
        <v>0</v>
      </c>
      <c r="H15888">
        <v>4</v>
      </c>
      <c r="I15888" s="3">
        <v>75.44</v>
      </c>
      <c r="J15888" s="3">
        <v>9.2799999999999994</v>
      </c>
      <c r="M15888" t="s">
        <v>34742</v>
      </c>
      <c r="N15888" t="s">
        <v>546</v>
      </c>
      <c r="O15888" t="s">
        <v>31</v>
      </c>
      <c r="P15888" t="str">
        <f>"15044"</f>
        <v>15044</v>
      </c>
    </row>
    <row r="15889" spans="1:16" x14ac:dyDescent="0.25">
      <c r="A15889" t="str">
        <f>"1230024E00140    00"</f>
        <v>1230024E00140    00</v>
      </c>
      <c r="B15889" t="s">
        <v>32002</v>
      </c>
      <c r="C15889" t="s">
        <v>34745</v>
      </c>
      <c r="D15889" t="s">
        <v>20</v>
      </c>
      <c r="E15889" t="s">
        <v>39</v>
      </c>
      <c r="F15889">
        <v>0</v>
      </c>
      <c r="G15889">
        <v>0</v>
      </c>
      <c r="H15889">
        <v>7</v>
      </c>
      <c r="I15889" s="3">
        <v>283.16000000000003</v>
      </c>
      <c r="J15889" s="3">
        <v>120.51</v>
      </c>
      <c r="L15889">
        <v>312</v>
      </c>
      <c r="M15889" t="s">
        <v>32004</v>
      </c>
      <c r="N15889" t="s">
        <v>32005</v>
      </c>
      <c r="O15889" t="s">
        <v>31</v>
      </c>
      <c r="P15889" t="str">
        <f>"15025"</f>
        <v>15025</v>
      </c>
    </row>
    <row r="15890" spans="1:16" x14ac:dyDescent="0.25">
      <c r="A15890" t="str">
        <f>"1230024E00153    00"</f>
        <v>1230024E00153    00</v>
      </c>
      <c r="B15890" t="s">
        <v>34746</v>
      </c>
      <c r="C15890" t="s">
        <v>34747</v>
      </c>
      <c r="E15890" t="s">
        <v>39</v>
      </c>
      <c r="F15890">
        <v>0</v>
      </c>
      <c r="G15890">
        <v>0</v>
      </c>
      <c r="H15890">
        <v>1</v>
      </c>
      <c r="I15890" s="3">
        <v>168.1</v>
      </c>
      <c r="J15890" s="3">
        <v>198.91</v>
      </c>
      <c r="L15890">
        <v>142</v>
      </c>
      <c r="M15890" t="s">
        <v>34748</v>
      </c>
      <c r="N15890" t="s">
        <v>2008</v>
      </c>
      <c r="O15890" t="s">
        <v>31</v>
      </c>
      <c r="P15890" t="str">
        <f>"16066"</f>
        <v>16066</v>
      </c>
    </row>
    <row r="15891" spans="1:16" x14ac:dyDescent="0.25">
      <c r="A15891" t="str">
        <f>"1230024E00155    00"</f>
        <v>1230024E00155    00</v>
      </c>
      <c r="B15891" t="s">
        <v>29347</v>
      </c>
      <c r="C15891" t="s">
        <v>34749</v>
      </c>
      <c r="E15891" t="s">
        <v>39</v>
      </c>
      <c r="F15891">
        <v>0</v>
      </c>
      <c r="G15891">
        <v>0</v>
      </c>
      <c r="H15891">
        <v>2</v>
      </c>
      <c r="I15891" s="3">
        <v>2092.91</v>
      </c>
      <c r="J15891" s="3">
        <v>1933.22</v>
      </c>
      <c r="K15891" t="s">
        <v>29349</v>
      </c>
      <c r="L15891">
        <v>4101</v>
      </c>
      <c r="M15891" t="s">
        <v>339</v>
      </c>
      <c r="N15891" t="s">
        <v>30</v>
      </c>
      <c r="O15891" t="s">
        <v>31</v>
      </c>
      <c r="P15891" t="str">
        <f>"15227"</f>
        <v>15227</v>
      </c>
    </row>
    <row r="15892" spans="1:16" x14ac:dyDescent="0.25">
      <c r="A15892" t="str">
        <f>"1230024E00166    00"</f>
        <v>1230024E00166    00</v>
      </c>
      <c r="B15892" t="s">
        <v>34750</v>
      </c>
      <c r="C15892" t="s">
        <v>34751</v>
      </c>
      <c r="E15892" t="s">
        <v>21</v>
      </c>
      <c r="F15892">
        <v>0</v>
      </c>
      <c r="G15892">
        <v>0</v>
      </c>
      <c r="H15892">
        <v>1</v>
      </c>
      <c r="I15892" s="3">
        <v>2469.5300000000002</v>
      </c>
      <c r="J15892" s="3">
        <v>3580.68</v>
      </c>
      <c r="L15892">
        <v>531</v>
      </c>
      <c r="M15892" t="s">
        <v>34701</v>
      </c>
      <c r="N15892" t="s">
        <v>30</v>
      </c>
      <c r="O15892" t="s">
        <v>31</v>
      </c>
      <c r="P15892" t="str">
        <f>"15212"</f>
        <v>15212</v>
      </c>
    </row>
    <row r="15893" spans="1:16" x14ac:dyDescent="0.25">
      <c r="A15893" t="str">
        <f>"1230024E00178    00"</f>
        <v>1230024E00178    00</v>
      </c>
      <c r="B15893" t="s">
        <v>34750</v>
      </c>
      <c r="C15893" t="s">
        <v>34752</v>
      </c>
      <c r="E15893" t="s">
        <v>21</v>
      </c>
      <c r="F15893">
        <v>0</v>
      </c>
      <c r="G15893">
        <v>0</v>
      </c>
      <c r="H15893">
        <v>1</v>
      </c>
      <c r="I15893" s="3">
        <v>363.38</v>
      </c>
      <c r="J15893" s="3">
        <v>526.88</v>
      </c>
      <c r="K15893" t="s">
        <v>34753</v>
      </c>
      <c r="L15893">
        <v>531</v>
      </c>
      <c r="M15893" t="s">
        <v>34701</v>
      </c>
      <c r="N15893" t="s">
        <v>30</v>
      </c>
      <c r="O15893" t="s">
        <v>31</v>
      </c>
      <c r="P15893" t="str">
        <f>"15212"</f>
        <v>15212</v>
      </c>
    </row>
    <row r="15894" spans="1:16" x14ac:dyDescent="0.25">
      <c r="A15894" t="str">
        <f>"1230024E00181    00"</f>
        <v>1230024E00181    00</v>
      </c>
      <c r="B15894" t="s">
        <v>34754</v>
      </c>
      <c r="C15894" t="s">
        <v>34755</v>
      </c>
      <c r="D15894" t="s">
        <v>20</v>
      </c>
      <c r="E15894" t="s">
        <v>39</v>
      </c>
      <c r="F15894">
        <v>0</v>
      </c>
      <c r="G15894">
        <v>0</v>
      </c>
      <c r="H15894">
        <v>3</v>
      </c>
      <c r="I15894" s="3">
        <v>2151.08</v>
      </c>
      <c r="J15894" s="3">
        <v>155.22999999999999</v>
      </c>
      <c r="L15894">
        <v>825</v>
      </c>
      <c r="M15894" t="s">
        <v>34756</v>
      </c>
      <c r="N15894" t="s">
        <v>30</v>
      </c>
      <c r="O15894" t="s">
        <v>31</v>
      </c>
      <c r="P15894" t="str">
        <f>"15212"</f>
        <v>15212</v>
      </c>
    </row>
    <row r="15895" spans="1:16" x14ac:dyDescent="0.25">
      <c r="A15895" t="str">
        <f>"1230024E00183    00"</f>
        <v>1230024E00183    00</v>
      </c>
      <c r="B15895" t="s">
        <v>34757</v>
      </c>
      <c r="C15895" t="s">
        <v>34758</v>
      </c>
      <c r="D15895" t="s">
        <v>20</v>
      </c>
      <c r="E15895" t="s">
        <v>39</v>
      </c>
      <c r="F15895">
        <v>0</v>
      </c>
      <c r="G15895">
        <v>0</v>
      </c>
      <c r="H15895">
        <v>10</v>
      </c>
      <c r="I15895" s="3">
        <v>4422.3100000000004</v>
      </c>
      <c r="J15895" s="3">
        <v>1823.79</v>
      </c>
      <c r="L15895">
        <v>829</v>
      </c>
      <c r="M15895" t="s">
        <v>34756</v>
      </c>
      <c r="N15895" t="s">
        <v>30</v>
      </c>
      <c r="O15895" t="s">
        <v>31</v>
      </c>
      <c r="P15895" t="str">
        <f>"15212"</f>
        <v>15212</v>
      </c>
    </row>
    <row r="15896" spans="1:16" x14ac:dyDescent="0.25">
      <c r="A15896" t="str">
        <f>"1230024E00189    00"</f>
        <v>1230024E00189    00</v>
      </c>
      <c r="B15896" t="s">
        <v>28778</v>
      </c>
      <c r="C15896" t="s">
        <v>34759</v>
      </c>
      <c r="D15896" t="s">
        <v>20</v>
      </c>
      <c r="E15896" t="s">
        <v>39</v>
      </c>
      <c r="F15896">
        <v>0</v>
      </c>
      <c r="G15896">
        <v>0</v>
      </c>
      <c r="H15896">
        <v>4</v>
      </c>
      <c r="I15896" s="3">
        <v>3536.59</v>
      </c>
      <c r="J15896" s="3">
        <v>343.15</v>
      </c>
      <c r="L15896">
        <v>3283</v>
      </c>
      <c r="M15896" t="s">
        <v>34760</v>
      </c>
      <c r="N15896" t="s">
        <v>30</v>
      </c>
      <c r="O15896" t="s">
        <v>31</v>
      </c>
      <c r="P15896" t="str">
        <f>"15237"</f>
        <v>15237</v>
      </c>
    </row>
    <row r="15897" spans="1:16" x14ac:dyDescent="0.25">
      <c r="A15897" t="str">
        <f>"1230024E00198    00"</f>
        <v>1230024E00198    00</v>
      </c>
      <c r="B15897" t="s">
        <v>1354</v>
      </c>
      <c r="C15897" t="s">
        <v>34752</v>
      </c>
      <c r="D15897" t="s">
        <v>20</v>
      </c>
      <c r="E15897" t="s">
        <v>39</v>
      </c>
      <c r="F15897">
        <v>0</v>
      </c>
      <c r="G15897">
        <v>0</v>
      </c>
      <c r="H15897">
        <v>1</v>
      </c>
      <c r="I15897" s="3">
        <v>158.87</v>
      </c>
      <c r="J15897" s="3">
        <v>54.28</v>
      </c>
      <c r="L15897">
        <v>422</v>
      </c>
      <c r="M15897" t="s">
        <v>1352</v>
      </c>
      <c r="N15897" t="s">
        <v>1353</v>
      </c>
      <c r="O15897" t="s">
        <v>31</v>
      </c>
      <c r="P15897" t="str">
        <f>"15085"</f>
        <v>15085</v>
      </c>
    </row>
    <row r="15898" spans="1:16" x14ac:dyDescent="0.25">
      <c r="A15898" t="str">
        <f>"1230024E00199    00"</f>
        <v>1230024E00199    00</v>
      </c>
      <c r="B15898" t="s">
        <v>7414</v>
      </c>
      <c r="C15898" t="s">
        <v>34761</v>
      </c>
      <c r="D15898" t="s">
        <v>20</v>
      </c>
      <c r="E15898" t="s">
        <v>39</v>
      </c>
      <c r="F15898">
        <v>0</v>
      </c>
      <c r="G15898">
        <v>0</v>
      </c>
      <c r="H15898">
        <v>16</v>
      </c>
      <c r="I15898" s="3">
        <v>10452.92</v>
      </c>
      <c r="J15898" s="3">
        <v>8300.75</v>
      </c>
      <c r="K15898" t="s">
        <v>7416</v>
      </c>
      <c r="L15898">
        <v>422</v>
      </c>
      <c r="M15898" t="s">
        <v>1352</v>
      </c>
      <c r="N15898" t="s">
        <v>1353</v>
      </c>
      <c r="O15898" t="s">
        <v>31</v>
      </c>
      <c r="P15898" t="str">
        <f>"15085"</f>
        <v>15085</v>
      </c>
    </row>
    <row r="15899" spans="1:16" x14ac:dyDescent="0.25">
      <c r="A15899" t="str">
        <f>"1230024E00200    00"</f>
        <v>1230024E00200    00</v>
      </c>
      <c r="B15899" t="s">
        <v>7414</v>
      </c>
      <c r="C15899" t="s">
        <v>34762</v>
      </c>
      <c r="D15899" t="s">
        <v>20</v>
      </c>
      <c r="E15899" t="s">
        <v>39</v>
      </c>
      <c r="F15899">
        <v>0</v>
      </c>
      <c r="G15899">
        <v>0</v>
      </c>
      <c r="H15899">
        <v>1</v>
      </c>
      <c r="I15899" s="3">
        <v>111.01</v>
      </c>
      <c r="J15899" s="3">
        <v>0</v>
      </c>
      <c r="K15899" t="s">
        <v>7416</v>
      </c>
      <c r="L15899">
        <v>422</v>
      </c>
      <c r="M15899" t="s">
        <v>1352</v>
      </c>
      <c r="N15899" t="s">
        <v>1353</v>
      </c>
      <c r="O15899" t="s">
        <v>31</v>
      </c>
      <c r="P15899" t="str">
        <f>"15085"</f>
        <v>15085</v>
      </c>
    </row>
    <row r="15900" spans="1:16" x14ac:dyDescent="0.25">
      <c r="A15900" t="str">
        <f>"1230024E00201    00"</f>
        <v>1230024E00201    00</v>
      </c>
      <c r="B15900" t="s">
        <v>34763</v>
      </c>
      <c r="C15900" t="s">
        <v>34752</v>
      </c>
      <c r="D15900" t="s">
        <v>20</v>
      </c>
      <c r="E15900" t="s">
        <v>39</v>
      </c>
      <c r="F15900">
        <v>0</v>
      </c>
      <c r="G15900">
        <v>0</v>
      </c>
      <c r="H15900">
        <v>19</v>
      </c>
      <c r="I15900" s="3">
        <v>8466.1</v>
      </c>
      <c r="J15900" s="3">
        <v>7873.48</v>
      </c>
      <c r="L15900">
        <v>618</v>
      </c>
      <c r="M15900" t="s">
        <v>34764</v>
      </c>
      <c r="N15900" t="s">
        <v>30</v>
      </c>
      <c r="O15900" t="s">
        <v>31</v>
      </c>
      <c r="P15900" t="str">
        <f>"15209"</f>
        <v>15209</v>
      </c>
    </row>
    <row r="15901" spans="1:16" x14ac:dyDescent="0.25">
      <c r="A15901" t="str">
        <f>"1230024E00257    00"</f>
        <v>1230024E00257    00</v>
      </c>
      <c r="B15901" t="s">
        <v>34765</v>
      </c>
      <c r="C15901" t="s">
        <v>34752</v>
      </c>
      <c r="D15901" t="s">
        <v>20</v>
      </c>
      <c r="E15901" t="s">
        <v>39</v>
      </c>
      <c r="F15901">
        <v>0</v>
      </c>
      <c r="G15901">
        <v>0</v>
      </c>
      <c r="H15901">
        <v>8</v>
      </c>
      <c r="I15901" s="3">
        <v>3169.6</v>
      </c>
      <c r="J15901" s="3">
        <v>907.46</v>
      </c>
      <c r="L15901">
        <v>3370</v>
      </c>
      <c r="M15901" t="s">
        <v>34518</v>
      </c>
      <c r="N15901" t="s">
        <v>30</v>
      </c>
      <c r="O15901" t="s">
        <v>31</v>
      </c>
      <c r="P15901" t="str">
        <f>"15214"</f>
        <v>15214</v>
      </c>
    </row>
    <row r="15902" spans="1:16" x14ac:dyDescent="0.25">
      <c r="A15902" t="str">
        <f>"1230024E00263    00"</f>
        <v>1230024E00263    00</v>
      </c>
      <c r="B15902" t="s">
        <v>34766</v>
      </c>
      <c r="C15902" t="s">
        <v>34752</v>
      </c>
      <c r="E15902" t="s">
        <v>39</v>
      </c>
      <c r="F15902">
        <v>0</v>
      </c>
      <c r="G15902">
        <v>0</v>
      </c>
      <c r="H15902">
        <v>8</v>
      </c>
      <c r="I15902" s="3">
        <v>1540.85</v>
      </c>
      <c r="J15902" s="3">
        <v>1586.72</v>
      </c>
      <c r="L15902">
        <v>3246</v>
      </c>
      <c r="M15902" t="s">
        <v>34767</v>
      </c>
      <c r="N15902" t="s">
        <v>30</v>
      </c>
      <c r="O15902" t="s">
        <v>31</v>
      </c>
      <c r="P15902" t="str">
        <f>"15212"</f>
        <v>15212</v>
      </c>
    </row>
    <row r="15903" spans="1:16" x14ac:dyDescent="0.25">
      <c r="A15903" t="str">
        <f>"1230024E00268    00"</f>
        <v>1230024E00268    00</v>
      </c>
      <c r="B15903" t="s">
        <v>34768</v>
      </c>
      <c r="C15903" t="s">
        <v>34769</v>
      </c>
      <c r="E15903" t="s">
        <v>39</v>
      </c>
      <c r="F15903">
        <v>0</v>
      </c>
      <c r="G15903">
        <v>0</v>
      </c>
      <c r="H15903">
        <v>18</v>
      </c>
      <c r="I15903" s="3">
        <v>15353.42</v>
      </c>
      <c r="J15903" s="3">
        <v>13720.83</v>
      </c>
      <c r="L15903">
        <v>5825</v>
      </c>
      <c r="M15903" t="s">
        <v>34770</v>
      </c>
      <c r="N15903" t="s">
        <v>19374</v>
      </c>
      <c r="O15903" t="s">
        <v>370</v>
      </c>
      <c r="P15903" t="str">
        <f>"33709"</f>
        <v>33709</v>
      </c>
    </row>
    <row r="15904" spans="1:16" x14ac:dyDescent="0.25">
      <c r="A15904" t="str">
        <f>"1230024E00269    00"</f>
        <v>1230024E00269    00</v>
      </c>
      <c r="B15904" t="s">
        <v>34771</v>
      </c>
      <c r="C15904" t="s">
        <v>34772</v>
      </c>
      <c r="E15904" t="s">
        <v>39</v>
      </c>
      <c r="F15904">
        <v>0</v>
      </c>
      <c r="G15904">
        <v>0</v>
      </c>
      <c r="H15904">
        <v>11</v>
      </c>
      <c r="I15904" s="3">
        <v>10758.77</v>
      </c>
      <c r="J15904" s="3">
        <v>7326.62</v>
      </c>
      <c r="K15904" t="s">
        <v>34773</v>
      </c>
      <c r="L15904">
        <v>779</v>
      </c>
      <c r="M15904" t="s">
        <v>34774</v>
      </c>
      <c r="N15904" t="s">
        <v>34775</v>
      </c>
      <c r="O15904" t="s">
        <v>606</v>
      </c>
      <c r="P15904" t="str">
        <f>"30549"</f>
        <v>30549</v>
      </c>
    </row>
    <row r="15905" spans="1:16" x14ac:dyDescent="0.25">
      <c r="A15905" t="str">
        <f>"1230024E00272    00"</f>
        <v>1230024E00272    00</v>
      </c>
      <c r="B15905" t="s">
        <v>34776</v>
      </c>
      <c r="C15905" t="s">
        <v>34752</v>
      </c>
      <c r="D15905" t="s">
        <v>20</v>
      </c>
      <c r="E15905" t="s">
        <v>39</v>
      </c>
      <c r="F15905">
        <v>0</v>
      </c>
      <c r="G15905">
        <v>0</v>
      </c>
      <c r="H15905">
        <v>12</v>
      </c>
      <c r="I15905" s="3">
        <v>4181.1400000000003</v>
      </c>
      <c r="J15905" s="3">
        <v>2199.35</v>
      </c>
      <c r="L15905">
        <v>9661</v>
      </c>
      <c r="M15905" t="s">
        <v>34777</v>
      </c>
      <c r="N15905" t="s">
        <v>34778</v>
      </c>
      <c r="O15905" t="s">
        <v>70</v>
      </c>
      <c r="P15905" t="str">
        <f>"48843"</f>
        <v>48843</v>
      </c>
    </row>
    <row r="15906" spans="1:16" x14ac:dyDescent="0.25">
      <c r="A15906" t="str">
        <f>"1230024E00273    00"</f>
        <v>1230024E00273    00</v>
      </c>
      <c r="B15906" t="s">
        <v>34779</v>
      </c>
      <c r="C15906" t="s">
        <v>34780</v>
      </c>
      <c r="E15906" t="s">
        <v>39</v>
      </c>
      <c r="F15906">
        <v>0</v>
      </c>
      <c r="G15906">
        <v>0</v>
      </c>
      <c r="H15906">
        <v>3</v>
      </c>
      <c r="I15906" s="3">
        <v>326.52999999999997</v>
      </c>
      <c r="J15906" s="3">
        <v>53.57</v>
      </c>
      <c r="L15906">
        <v>856</v>
      </c>
      <c r="M15906" t="s">
        <v>34756</v>
      </c>
      <c r="N15906" t="s">
        <v>30</v>
      </c>
      <c r="O15906" t="s">
        <v>31</v>
      </c>
      <c r="P15906" t="str">
        <f>"15212"</f>
        <v>15212</v>
      </c>
    </row>
    <row r="15907" spans="1:16" x14ac:dyDescent="0.25">
      <c r="A15907" t="str">
        <f>"1230024E00279    00"</f>
        <v>1230024E00279    00</v>
      </c>
      <c r="B15907" t="s">
        <v>34781</v>
      </c>
      <c r="C15907" t="s">
        <v>34752</v>
      </c>
      <c r="D15907" t="s">
        <v>20</v>
      </c>
      <c r="E15907" t="s">
        <v>39</v>
      </c>
      <c r="F15907">
        <v>0</v>
      </c>
      <c r="G15907">
        <v>0</v>
      </c>
      <c r="H15907">
        <v>19</v>
      </c>
      <c r="I15907" s="3">
        <v>10184.5</v>
      </c>
      <c r="J15907" s="3">
        <v>9217.57</v>
      </c>
      <c r="L15907">
        <v>838</v>
      </c>
      <c r="M15907" t="s">
        <v>34756</v>
      </c>
      <c r="N15907" t="s">
        <v>30</v>
      </c>
      <c r="O15907" t="s">
        <v>31</v>
      </c>
      <c r="P15907" t="str">
        <f>"15212"</f>
        <v>15212</v>
      </c>
    </row>
    <row r="15908" spans="1:16" x14ac:dyDescent="0.25">
      <c r="A15908" t="str">
        <f>"1230024E00280    00"</f>
        <v>1230024E00280    00</v>
      </c>
      <c r="B15908" t="s">
        <v>34782</v>
      </c>
      <c r="C15908" t="s">
        <v>34752</v>
      </c>
      <c r="D15908" t="s">
        <v>20</v>
      </c>
      <c r="E15908" t="s">
        <v>39</v>
      </c>
      <c r="F15908">
        <v>0</v>
      </c>
      <c r="G15908">
        <v>0</v>
      </c>
      <c r="H15908">
        <v>19</v>
      </c>
      <c r="I15908" s="3">
        <v>10414.51</v>
      </c>
      <c r="J15908" s="3">
        <v>9554.2999999999993</v>
      </c>
      <c r="L15908">
        <v>2407</v>
      </c>
      <c r="M15908" t="s">
        <v>3993</v>
      </c>
      <c r="N15908" t="s">
        <v>30</v>
      </c>
      <c r="O15908" t="s">
        <v>31</v>
      </c>
      <c r="P15908" t="str">
        <f>"15221"</f>
        <v>15221</v>
      </c>
    </row>
    <row r="15909" spans="1:16" x14ac:dyDescent="0.25">
      <c r="A15909" t="str">
        <f>"1230024E00285    00"</f>
        <v>1230024E00285    00</v>
      </c>
      <c r="B15909" t="s">
        <v>34783</v>
      </c>
      <c r="C15909" t="s">
        <v>34784</v>
      </c>
      <c r="D15909" t="s">
        <v>20</v>
      </c>
      <c r="E15909" t="s">
        <v>39</v>
      </c>
      <c r="F15909">
        <v>0</v>
      </c>
      <c r="G15909">
        <v>0</v>
      </c>
      <c r="H15909">
        <v>2</v>
      </c>
      <c r="I15909" s="3">
        <v>3941.66</v>
      </c>
      <c r="J15909" s="3">
        <v>0</v>
      </c>
      <c r="K15909" t="s">
        <v>34785</v>
      </c>
      <c r="L15909">
        <v>280</v>
      </c>
      <c r="M15909" t="s">
        <v>34786</v>
      </c>
      <c r="N15909" t="s">
        <v>30</v>
      </c>
      <c r="O15909" t="s">
        <v>31</v>
      </c>
      <c r="P15909" t="str">
        <f>"15237"</f>
        <v>15237</v>
      </c>
    </row>
    <row r="15910" spans="1:16" x14ac:dyDescent="0.25">
      <c r="A15910" t="str">
        <f>"1230024F00017    00"</f>
        <v>1230024F00017    00</v>
      </c>
      <c r="B15910" t="s">
        <v>34787</v>
      </c>
      <c r="C15910" t="s">
        <v>34788</v>
      </c>
      <c r="D15910" t="s">
        <v>20</v>
      </c>
      <c r="E15910" t="s">
        <v>39</v>
      </c>
      <c r="F15910">
        <v>0</v>
      </c>
      <c r="G15910">
        <v>0</v>
      </c>
      <c r="H15910">
        <v>4</v>
      </c>
      <c r="I15910" s="3">
        <v>6795.3</v>
      </c>
      <c r="J15910" s="3">
        <v>2830.37</v>
      </c>
      <c r="L15910">
        <v>944</v>
      </c>
      <c r="M15910" t="s">
        <v>34789</v>
      </c>
      <c r="N15910" t="s">
        <v>30</v>
      </c>
      <c r="O15910" t="s">
        <v>31</v>
      </c>
      <c r="P15910" t="str">
        <f>"15212"</f>
        <v>15212</v>
      </c>
    </row>
    <row r="15911" spans="1:16" x14ac:dyDescent="0.25">
      <c r="A15911" t="str">
        <f>"1230024F00035    00"</f>
        <v>1230024F00035    00</v>
      </c>
      <c r="B15911" t="s">
        <v>34790</v>
      </c>
      <c r="C15911" t="s">
        <v>34791</v>
      </c>
      <c r="D15911" t="s">
        <v>20</v>
      </c>
      <c r="E15911" t="s">
        <v>39</v>
      </c>
      <c r="F15911">
        <v>0</v>
      </c>
      <c r="G15911">
        <v>0</v>
      </c>
      <c r="H15911">
        <v>19</v>
      </c>
      <c r="I15911" s="3">
        <v>10803.92</v>
      </c>
      <c r="J15911" s="3">
        <v>8367.41</v>
      </c>
      <c r="L15911">
        <v>2829</v>
      </c>
      <c r="M15911" t="s">
        <v>1132</v>
      </c>
      <c r="N15911" t="s">
        <v>30</v>
      </c>
      <c r="O15911" t="s">
        <v>31</v>
      </c>
      <c r="P15911" t="str">
        <f>"15219"</f>
        <v>15219</v>
      </c>
    </row>
    <row r="15912" spans="1:16" x14ac:dyDescent="0.25">
      <c r="A15912" t="str">
        <f>"1230024F00035A   00"</f>
        <v>1230024F00035A   00</v>
      </c>
      <c r="B15912" t="s">
        <v>34792</v>
      </c>
      <c r="C15912" t="s">
        <v>34793</v>
      </c>
      <c r="D15912" t="s">
        <v>20</v>
      </c>
      <c r="E15912" t="s">
        <v>39</v>
      </c>
      <c r="F15912">
        <v>0</v>
      </c>
      <c r="G15912">
        <v>0</v>
      </c>
      <c r="H15912">
        <v>5</v>
      </c>
      <c r="I15912" s="3">
        <v>3302.65</v>
      </c>
      <c r="J15912" s="3">
        <v>600.58000000000004</v>
      </c>
      <c r="L15912">
        <v>925</v>
      </c>
      <c r="M15912" t="s">
        <v>34789</v>
      </c>
      <c r="N15912" t="s">
        <v>30</v>
      </c>
      <c r="O15912" t="s">
        <v>31</v>
      </c>
      <c r="P15912" t="str">
        <f>"15212"</f>
        <v>15212</v>
      </c>
    </row>
    <row r="15913" spans="1:16" x14ac:dyDescent="0.25">
      <c r="A15913" t="str">
        <f>"1230024F00036    00"</f>
        <v>1230024F00036    00</v>
      </c>
      <c r="B15913" t="s">
        <v>34794</v>
      </c>
      <c r="C15913" t="s">
        <v>34795</v>
      </c>
      <c r="E15913" t="s">
        <v>39</v>
      </c>
      <c r="F15913">
        <v>0</v>
      </c>
      <c r="G15913">
        <v>0</v>
      </c>
      <c r="H15913">
        <v>3</v>
      </c>
      <c r="I15913" s="3">
        <v>2002.8</v>
      </c>
      <c r="J15913" s="3">
        <v>1203.54</v>
      </c>
      <c r="L15913">
        <v>215</v>
      </c>
      <c r="M15913" t="s">
        <v>34796</v>
      </c>
      <c r="N15913" t="s">
        <v>903</v>
      </c>
      <c r="O15913" t="s">
        <v>31</v>
      </c>
      <c r="P15913" t="str">
        <f>"15136"</f>
        <v>15136</v>
      </c>
    </row>
    <row r="15914" spans="1:16" x14ac:dyDescent="0.25">
      <c r="A15914" t="str">
        <f>"1230024F00037    00"</f>
        <v>1230024F00037    00</v>
      </c>
      <c r="B15914" t="s">
        <v>34797</v>
      </c>
      <c r="C15914" t="s">
        <v>34798</v>
      </c>
      <c r="D15914" t="s">
        <v>20</v>
      </c>
      <c r="E15914" t="s">
        <v>39</v>
      </c>
      <c r="F15914">
        <v>0</v>
      </c>
      <c r="G15914">
        <v>0</v>
      </c>
      <c r="H15914">
        <v>19</v>
      </c>
      <c r="I15914" s="3">
        <v>866.15</v>
      </c>
      <c r="J15914" s="3">
        <v>1087.72</v>
      </c>
      <c r="K15914" t="s">
        <v>34799</v>
      </c>
      <c r="L15914">
        <v>26</v>
      </c>
      <c r="M15914" t="s">
        <v>34800</v>
      </c>
      <c r="N15914" t="s">
        <v>30</v>
      </c>
      <c r="O15914" t="s">
        <v>31</v>
      </c>
      <c r="P15914" t="str">
        <f>"15223"</f>
        <v>15223</v>
      </c>
    </row>
    <row r="15915" spans="1:16" x14ac:dyDescent="0.25">
      <c r="A15915" t="str">
        <f>"1230024F00074    00"</f>
        <v>1230024F00074    00</v>
      </c>
      <c r="B15915" t="s">
        <v>16192</v>
      </c>
      <c r="C15915" t="s">
        <v>34801</v>
      </c>
      <c r="D15915" t="s">
        <v>20</v>
      </c>
      <c r="E15915" t="s">
        <v>39</v>
      </c>
      <c r="F15915">
        <v>0</v>
      </c>
      <c r="G15915">
        <v>0</v>
      </c>
      <c r="H15915">
        <v>2</v>
      </c>
      <c r="I15915" s="3">
        <v>2569.3000000000002</v>
      </c>
      <c r="J15915" s="3">
        <v>0</v>
      </c>
      <c r="K15915" t="s">
        <v>16194</v>
      </c>
      <c r="L15915">
        <v>7526</v>
      </c>
      <c r="M15915" t="s">
        <v>13523</v>
      </c>
      <c r="N15915" t="s">
        <v>30</v>
      </c>
      <c r="O15915" t="s">
        <v>31</v>
      </c>
      <c r="P15915" t="str">
        <f>"15208"</f>
        <v>15208</v>
      </c>
    </row>
    <row r="15916" spans="1:16" x14ac:dyDescent="0.25">
      <c r="A15916" t="str">
        <f>"1230024F00075    00"</f>
        <v>1230024F00075    00</v>
      </c>
      <c r="B15916" t="s">
        <v>16192</v>
      </c>
      <c r="C15916" t="s">
        <v>34801</v>
      </c>
      <c r="D15916" t="s">
        <v>20</v>
      </c>
      <c r="E15916" t="s">
        <v>39</v>
      </c>
      <c r="F15916">
        <v>0</v>
      </c>
      <c r="G15916">
        <v>0</v>
      </c>
      <c r="H15916">
        <v>2</v>
      </c>
      <c r="I15916" s="3">
        <v>533.72</v>
      </c>
      <c r="J15916" s="3">
        <v>0</v>
      </c>
      <c r="K15916" t="s">
        <v>16194</v>
      </c>
      <c r="L15916">
        <v>7526</v>
      </c>
      <c r="M15916" t="s">
        <v>13523</v>
      </c>
      <c r="N15916" t="s">
        <v>30</v>
      </c>
      <c r="O15916" t="s">
        <v>31</v>
      </c>
      <c r="P15916" t="str">
        <f>"15208"</f>
        <v>15208</v>
      </c>
    </row>
    <row r="15917" spans="1:16" x14ac:dyDescent="0.25">
      <c r="A15917" t="str">
        <f>"1230024F00084    00"</f>
        <v>1230024F00084    00</v>
      </c>
      <c r="B15917" t="s">
        <v>34802</v>
      </c>
      <c r="C15917" t="s">
        <v>34803</v>
      </c>
      <c r="D15917" t="s">
        <v>20</v>
      </c>
      <c r="E15917" t="s">
        <v>39</v>
      </c>
      <c r="F15917">
        <v>0</v>
      </c>
      <c r="G15917">
        <v>0</v>
      </c>
      <c r="H15917">
        <v>10</v>
      </c>
      <c r="I15917" s="3">
        <v>2086.0500000000002</v>
      </c>
      <c r="J15917" s="3">
        <v>1117.3800000000001</v>
      </c>
      <c r="K15917" t="s">
        <v>27799</v>
      </c>
      <c r="L15917">
        <v>512</v>
      </c>
      <c r="M15917" t="s">
        <v>3126</v>
      </c>
      <c r="N15917" t="s">
        <v>30</v>
      </c>
      <c r="O15917" t="s">
        <v>31</v>
      </c>
      <c r="P15917" t="str">
        <f>"15219"</f>
        <v>15219</v>
      </c>
    </row>
    <row r="15918" spans="1:16" x14ac:dyDescent="0.25">
      <c r="A15918" t="str">
        <f>"1230024F00086    00"</f>
        <v>1230024F00086    00</v>
      </c>
      <c r="B15918" t="s">
        <v>22772</v>
      </c>
      <c r="C15918" t="s">
        <v>34804</v>
      </c>
      <c r="E15918" t="s">
        <v>39</v>
      </c>
      <c r="F15918">
        <v>0</v>
      </c>
      <c r="G15918">
        <v>0</v>
      </c>
      <c r="H15918">
        <v>1</v>
      </c>
      <c r="I15918" s="3">
        <v>606.80999999999995</v>
      </c>
      <c r="J15918" s="3">
        <v>0</v>
      </c>
      <c r="K15918" t="s">
        <v>22774</v>
      </c>
      <c r="L15918">
        <v>108</v>
      </c>
      <c r="M15918" t="s">
        <v>22775</v>
      </c>
      <c r="N15918" t="s">
        <v>22776</v>
      </c>
      <c r="O15918" t="s">
        <v>31</v>
      </c>
      <c r="P15918" t="str">
        <f>"16041"</f>
        <v>16041</v>
      </c>
    </row>
    <row r="15919" spans="1:16" x14ac:dyDescent="0.25">
      <c r="A15919" t="str">
        <f>"1230024F00108    00"</f>
        <v>1230024F00108    00</v>
      </c>
      <c r="B15919" t="s">
        <v>34805</v>
      </c>
      <c r="C15919" t="s">
        <v>34806</v>
      </c>
      <c r="D15919" t="s">
        <v>20</v>
      </c>
      <c r="E15919" t="s">
        <v>39</v>
      </c>
      <c r="F15919">
        <v>0</v>
      </c>
      <c r="G15919">
        <v>0</v>
      </c>
      <c r="H15919">
        <v>2</v>
      </c>
      <c r="I15919" s="3">
        <v>1666.82</v>
      </c>
      <c r="J15919" s="3">
        <v>0</v>
      </c>
      <c r="K15919" t="s">
        <v>34807</v>
      </c>
      <c r="L15919">
        <v>917</v>
      </c>
      <c r="M15919" t="s">
        <v>33466</v>
      </c>
      <c r="N15919" t="s">
        <v>30</v>
      </c>
      <c r="O15919" t="s">
        <v>31</v>
      </c>
      <c r="P15919" t="str">
        <f>"15212"</f>
        <v>15212</v>
      </c>
    </row>
    <row r="15920" spans="1:16" x14ac:dyDescent="0.25">
      <c r="A15920" t="str">
        <f>"1230024F00109    00"</f>
        <v>1230024F00109    00</v>
      </c>
      <c r="B15920" t="s">
        <v>34808</v>
      </c>
      <c r="C15920" t="s">
        <v>34809</v>
      </c>
      <c r="E15920" t="s">
        <v>21</v>
      </c>
      <c r="F15920">
        <v>0</v>
      </c>
      <c r="G15920">
        <v>0</v>
      </c>
      <c r="H15920">
        <v>1</v>
      </c>
      <c r="I15920" s="3">
        <v>1403.23</v>
      </c>
      <c r="J15920" s="3">
        <v>0</v>
      </c>
      <c r="K15920" t="s">
        <v>34810</v>
      </c>
      <c r="L15920">
        <v>1306</v>
      </c>
      <c r="M15920" t="s">
        <v>144</v>
      </c>
      <c r="N15920" t="s">
        <v>30</v>
      </c>
      <c r="O15920" t="s">
        <v>31</v>
      </c>
      <c r="P15920" t="str">
        <f>"15212"</f>
        <v>15212</v>
      </c>
    </row>
    <row r="15921" spans="1:16" x14ac:dyDescent="0.25">
      <c r="A15921" t="str">
        <f>"1230024F00116    00"</f>
        <v>1230024F00116    00</v>
      </c>
      <c r="B15921" t="s">
        <v>34808</v>
      </c>
      <c r="C15921" t="s">
        <v>34811</v>
      </c>
      <c r="E15921" t="s">
        <v>21</v>
      </c>
      <c r="F15921">
        <v>0</v>
      </c>
      <c r="G15921">
        <v>0</v>
      </c>
      <c r="H15921">
        <v>1</v>
      </c>
      <c r="I15921" s="3">
        <v>115.83</v>
      </c>
      <c r="J15921" s="3">
        <v>0</v>
      </c>
      <c r="K15921" t="s">
        <v>34810</v>
      </c>
      <c r="L15921">
        <v>1306</v>
      </c>
      <c r="M15921" t="s">
        <v>144</v>
      </c>
      <c r="N15921" t="s">
        <v>30</v>
      </c>
      <c r="O15921" t="s">
        <v>31</v>
      </c>
      <c r="P15921" t="str">
        <f>"15212"</f>
        <v>15212</v>
      </c>
    </row>
    <row r="15922" spans="1:16" x14ac:dyDescent="0.25">
      <c r="A15922" t="str">
        <f>"1230024F00122    00"</f>
        <v>1230024F00122    00</v>
      </c>
      <c r="B15922" t="s">
        <v>34812</v>
      </c>
      <c r="C15922" t="s">
        <v>34813</v>
      </c>
      <c r="D15922" t="s">
        <v>20</v>
      </c>
      <c r="E15922" t="s">
        <v>39</v>
      </c>
      <c r="F15922">
        <v>0</v>
      </c>
      <c r="G15922">
        <v>0</v>
      </c>
      <c r="H15922">
        <v>4</v>
      </c>
      <c r="I15922" s="3">
        <v>3937.55</v>
      </c>
      <c r="J15922" s="3">
        <v>1051.56</v>
      </c>
      <c r="M15922" t="s">
        <v>34814</v>
      </c>
      <c r="N15922" t="s">
        <v>30</v>
      </c>
      <c r="O15922" t="s">
        <v>31</v>
      </c>
      <c r="P15922" t="str">
        <f>"15227"</f>
        <v>15227</v>
      </c>
    </row>
    <row r="15923" spans="1:16" x14ac:dyDescent="0.25">
      <c r="A15923" t="str">
        <f>"1230024F00125    00"</f>
        <v>1230024F00125    00</v>
      </c>
      <c r="B15923" t="s">
        <v>34815</v>
      </c>
      <c r="C15923" t="s">
        <v>34816</v>
      </c>
      <c r="D15923" t="s">
        <v>20</v>
      </c>
      <c r="E15923" t="s">
        <v>39</v>
      </c>
      <c r="F15923">
        <v>0</v>
      </c>
      <c r="G15923">
        <v>0</v>
      </c>
      <c r="H15923">
        <v>3</v>
      </c>
      <c r="I15923" s="3">
        <v>1904.95</v>
      </c>
      <c r="J15923" s="3">
        <v>9.68</v>
      </c>
      <c r="L15923">
        <v>1013</v>
      </c>
      <c r="M15923" t="s">
        <v>3777</v>
      </c>
      <c r="N15923" t="s">
        <v>30</v>
      </c>
      <c r="O15923" t="s">
        <v>31</v>
      </c>
      <c r="P15923" t="str">
        <f>"15211"</f>
        <v>15211</v>
      </c>
    </row>
    <row r="15924" spans="1:16" x14ac:dyDescent="0.25">
      <c r="A15924" t="str">
        <f>"1230024F00130    00"</f>
        <v>1230024F00130    00</v>
      </c>
      <c r="B15924" t="s">
        <v>34817</v>
      </c>
      <c r="C15924" t="s">
        <v>34818</v>
      </c>
      <c r="D15924" t="s">
        <v>20</v>
      </c>
      <c r="E15924" t="s">
        <v>39</v>
      </c>
      <c r="F15924">
        <v>0</v>
      </c>
      <c r="G15924">
        <v>0</v>
      </c>
      <c r="H15924">
        <v>14</v>
      </c>
      <c r="I15924" s="3">
        <v>9556.06</v>
      </c>
      <c r="J15924" s="3">
        <v>5409.29</v>
      </c>
      <c r="L15924">
        <v>129</v>
      </c>
      <c r="M15924" t="s">
        <v>34819</v>
      </c>
      <c r="N15924" t="s">
        <v>903</v>
      </c>
      <c r="O15924" t="s">
        <v>31</v>
      </c>
      <c r="P15924" t="str">
        <f>"15136"</f>
        <v>15136</v>
      </c>
    </row>
    <row r="15925" spans="1:16" x14ac:dyDescent="0.25">
      <c r="A15925" t="str">
        <f>"1230024F00131    00"</f>
        <v>1230024F00131    00</v>
      </c>
      <c r="B15925" t="s">
        <v>34820</v>
      </c>
      <c r="C15925" t="s">
        <v>34821</v>
      </c>
      <c r="D15925" t="s">
        <v>20</v>
      </c>
      <c r="E15925" t="s">
        <v>39</v>
      </c>
      <c r="F15925">
        <v>0</v>
      </c>
      <c r="G15925">
        <v>0</v>
      </c>
      <c r="H15925">
        <v>16</v>
      </c>
      <c r="I15925" s="3">
        <v>7116.18</v>
      </c>
      <c r="J15925" s="3">
        <v>5219.92</v>
      </c>
      <c r="L15925">
        <v>1008</v>
      </c>
      <c r="M15925" t="s">
        <v>33665</v>
      </c>
      <c r="N15925" t="s">
        <v>30</v>
      </c>
      <c r="O15925" t="s">
        <v>31</v>
      </c>
      <c r="P15925" t="str">
        <f>"15212"</f>
        <v>15212</v>
      </c>
    </row>
    <row r="15926" spans="1:16" x14ac:dyDescent="0.25">
      <c r="A15926" t="str">
        <f>"1230024F00134    00"</f>
        <v>1230024F00134    00</v>
      </c>
      <c r="B15926" t="s">
        <v>34822</v>
      </c>
      <c r="C15926" t="s">
        <v>34791</v>
      </c>
      <c r="D15926" t="s">
        <v>20</v>
      </c>
      <c r="E15926" t="s">
        <v>39</v>
      </c>
      <c r="F15926">
        <v>0</v>
      </c>
      <c r="G15926">
        <v>0</v>
      </c>
      <c r="H15926">
        <v>17</v>
      </c>
      <c r="I15926" s="3">
        <v>782.14</v>
      </c>
      <c r="J15926" s="3">
        <v>1044.83</v>
      </c>
      <c r="K15926" t="s">
        <v>1008</v>
      </c>
      <c r="P15926" t="str">
        <f>""</f>
        <v/>
      </c>
    </row>
    <row r="15927" spans="1:16" x14ac:dyDescent="0.25">
      <c r="A15927" t="str">
        <f>"1230024F00135    00"</f>
        <v>1230024F00135    00</v>
      </c>
      <c r="B15927" t="s">
        <v>34823</v>
      </c>
      <c r="C15927" t="s">
        <v>34791</v>
      </c>
      <c r="D15927" t="s">
        <v>20</v>
      </c>
      <c r="E15927" t="s">
        <v>39</v>
      </c>
      <c r="F15927">
        <v>0</v>
      </c>
      <c r="G15927">
        <v>0</v>
      </c>
      <c r="H15927">
        <v>17</v>
      </c>
      <c r="I15927" s="3">
        <v>720.79</v>
      </c>
      <c r="J15927" s="3">
        <v>989.24</v>
      </c>
      <c r="K15927" t="s">
        <v>3450</v>
      </c>
      <c r="L15927">
        <v>1012</v>
      </c>
      <c r="M15927" t="s">
        <v>33665</v>
      </c>
      <c r="N15927" t="s">
        <v>30</v>
      </c>
      <c r="O15927" t="s">
        <v>31</v>
      </c>
      <c r="P15927" t="str">
        <f>"15212"</f>
        <v>15212</v>
      </c>
    </row>
    <row r="15928" spans="1:16" x14ac:dyDescent="0.25">
      <c r="A15928" t="str">
        <f>"1230024F00135000100"</f>
        <v>1230024F00135000100</v>
      </c>
      <c r="B15928" t="s">
        <v>34824</v>
      </c>
      <c r="C15928" t="s">
        <v>34791</v>
      </c>
      <c r="D15928" t="s">
        <v>20</v>
      </c>
      <c r="E15928" t="s">
        <v>39</v>
      </c>
      <c r="F15928">
        <v>0</v>
      </c>
      <c r="G15928">
        <v>0</v>
      </c>
      <c r="H15928">
        <v>5</v>
      </c>
      <c r="I15928" s="3">
        <v>795.87</v>
      </c>
      <c r="J15928" s="3">
        <v>466.69</v>
      </c>
      <c r="L15928">
        <v>1005</v>
      </c>
      <c r="M15928" t="s">
        <v>34825</v>
      </c>
      <c r="N15928" t="s">
        <v>30</v>
      </c>
      <c r="O15928" t="s">
        <v>31</v>
      </c>
      <c r="P15928" t="str">
        <f>"15212"</f>
        <v>15212</v>
      </c>
    </row>
    <row r="15929" spans="1:16" x14ac:dyDescent="0.25">
      <c r="A15929" t="str">
        <f>"1230024F00137    00"</f>
        <v>1230024F00137    00</v>
      </c>
      <c r="B15929" t="s">
        <v>34826</v>
      </c>
      <c r="C15929" t="s">
        <v>34791</v>
      </c>
      <c r="D15929" t="s">
        <v>20</v>
      </c>
      <c r="E15929" t="s">
        <v>39</v>
      </c>
      <c r="F15929">
        <v>0</v>
      </c>
      <c r="G15929">
        <v>0</v>
      </c>
      <c r="H15929">
        <v>17</v>
      </c>
      <c r="I15929" s="3">
        <v>6780.54</v>
      </c>
      <c r="J15929" s="3">
        <v>9704.18</v>
      </c>
      <c r="L15929">
        <v>110</v>
      </c>
      <c r="M15929" t="s">
        <v>34827</v>
      </c>
      <c r="N15929" t="s">
        <v>212</v>
      </c>
      <c r="O15929" t="s">
        <v>1413</v>
      </c>
      <c r="P15929" t="str">
        <f>"27013"</f>
        <v>27013</v>
      </c>
    </row>
    <row r="15930" spans="1:16" x14ac:dyDescent="0.25">
      <c r="A15930" t="str">
        <f>"1230024F00141    00"</f>
        <v>1230024F00141    00</v>
      </c>
      <c r="B15930" t="s">
        <v>34828</v>
      </c>
      <c r="C15930" t="s">
        <v>34740</v>
      </c>
      <c r="D15930" t="s">
        <v>20</v>
      </c>
      <c r="E15930" t="s">
        <v>207</v>
      </c>
      <c r="F15930">
        <v>0</v>
      </c>
      <c r="G15930">
        <v>0</v>
      </c>
      <c r="H15930">
        <v>1</v>
      </c>
      <c r="I15930" s="3">
        <v>811.96</v>
      </c>
      <c r="J15930" s="3">
        <v>0</v>
      </c>
      <c r="L15930">
        <v>5056</v>
      </c>
      <c r="M15930" t="s">
        <v>34829</v>
      </c>
      <c r="N15930" t="s">
        <v>2008</v>
      </c>
      <c r="O15930" t="s">
        <v>31</v>
      </c>
      <c r="P15930" t="str">
        <f>"16066"</f>
        <v>16066</v>
      </c>
    </row>
    <row r="15931" spans="1:16" x14ac:dyDescent="0.25">
      <c r="A15931" t="str">
        <f>"1230024F00155    00"</f>
        <v>1230024F00155    00</v>
      </c>
      <c r="B15931" t="s">
        <v>34830</v>
      </c>
      <c r="C15931" t="s">
        <v>34831</v>
      </c>
      <c r="D15931" t="s">
        <v>20</v>
      </c>
      <c r="E15931" t="s">
        <v>39</v>
      </c>
      <c r="F15931">
        <v>0</v>
      </c>
      <c r="G15931">
        <v>0</v>
      </c>
      <c r="H15931">
        <v>2</v>
      </c>
      <c r="I15931" s="3">
        <v>3740.73</v>
      </c>
      <c r="J15931" s="3">
        <v>0</v>
      </c>
      <c r="L15931">
        <v>3500</v>
      </c>
      <c r="M15931" t="s">
        <v>34832</v>
      </c>
      <c r="N15931" t="s">
        <v>2534</v>
      </c>
      <c r="O15931" t="s">
        <v>1184</v>
      </c>
      <c r="P15931" t="str">
        <f>"21207"</f>
        <v>21207</v>
      </c>
    </row>
    <row r="15932" spans="1:16" x14ac:dyDescent="0.25">
      <c r="A15932" t="str">
        <f>"1230024F00158    00"</f>
        <v>1230024F00158    00</v>
      </c>
      <c r="B15932" t="s">
        <v>34833</v>
      </c>
      <c r="C15932" t="s">
        <v>34834</v>
      </c>
      <c r="D15932" t="s">
        <v>20</v>
      </c>
      <c r="E15932" t="s">
        <v>39</v>
      </c>
      <c r="F15932">
        <v>0</v>
      </c>
      <c r="G15932">
        <v>0</v>
      </c>
      <c r="H15932">
        <v>9</v>
      </c>
      <c r="I15932" s="3">
        <v>14228.12</v>
      </c>
      <c r="J15932" s="3">
        <v>5684.31</v>
      </c>
      <c r="L15932">
        <v>1040</v>
      </c>
      <c r="M15932" t="s">
        <v>33466</v>
      </c>
      <c r="N15932" t="s">
        <v>30</v>
      </c>
      <c r="O15932" t="s">
        <v>31</v>
      </c>
      <c r="P15932" t="str">
        <f>"15212"</f>
        <v>15212</v>
      </c>
    </row>
    <row r="15933" spans="1:16" x14ac:dyDescent="0.25">
      <c r="A15933" t="str">
        <f>"1230024J00024    00"</f>
        <v>1230024J00024    00</v>
      </c>
      <c r="B15933" t="s">
        <v>34835</v>
      </c>
      <c r="C15933" t="s">
        <v>34836</v>
      </c>
      <c r="D15933" t="s">
        <v>20</v>
      </c>
      <c r="E15933" t="s">
        <v>39</v>
      </c>
      <c r="F15933">
        <v>0</v>
      </c>
      <c r="G15933">
        <v>0</v>
      </c>
      <c r="H15933">
        <v>2</v>
      </c>
      <c r="I15933" s="3">
        <v>468.9</v>
      </c>
      <c r="J15933" s="3">
        <v>46.89</v>
      </c>
      <c r="L15933">
        <v>1826</v>
      </c>
      <c r="M15933" t="s">
        <v>34837</v>
      </c>
      <c r="N15933" t="s">
        <v>30</v>
      </c>
      <c r="O15933" t="s">
        <v>31</v>
      </c>
      <c r="P15933" t="str">
        <f>"15212"</f>
        <v>15212</v>
      </c>
    </row>
    <row r="15934" spans="1:16" x14ac:dyDescent="0.25">
      <c r="A15934" t="str">
        <f>"1230024J00026    00"</f>
        <v>1230024J00026    00</v>
      </c>
      <c r="B15934" t="s">
        <v>34838</v>
      </c>
      <c r="C15934" t="s">
        <v>34839</v>
      </c>
      <c r="D15934" t="s">
        <v>20</v>
      </c>
      <c r="E15934" t="s">
        <v>21</v>
      </c>
      <c r="F15934">
        <v>0</v>
      </c>
      <c r="G15934">
        <v>0</v>
      </c>
      <c r="H15934">
        <v>1</v>
      </c>
      <c r="I15934" s="3">
        <v>1040.68</v>
      </c>
      <c r="J15934" s="3">
        <v>0</v>
      </c>
      <c r="L15934">
        <v>3691</v>
      </c>
      <c r="M15934" t="s">
        <v>31552</v>
      </c>
      <c r="N15934" t="s">
        <v>30</v>
      </c>
      <c r="O15934" t="s">
        <v>31</v>
      </c>
      <c r="P15934" t="str">
        <f>"15212"</f>
        <v>15212</v>
      </c>
    </row>
    <row r="15935" spans="1:16" x14ac:dyDescent="0.25">
      <c r="A15935" t="str">
        <f>"1230024J00031    00"</f>
        <v>1230024J00031    00</v>
      </c>
      <c r="B15935" t="s">
        <v>34840</v>
      </c>
      <c r="C15935" t="s">
        <v>34841</v>
      </c>
      <c r="D15935" t="s">
        <v>20</v>
      </c>
      <c r="E15935" t="s">
        <v>39</v>
      </c>
      <c r="F15935">
        <v>0</v>
      </c>
      <c r="G15935">
        <v>0</v>
      </c>
      <c r="H15935">
        <v>1</v>
      </c>
      <c r="I15935" s="3">
        <v>684.26</v>
      </c>
      <c r="J15935" s="3">
        <v>0</v>
      </c>
      <c r="L15935">
        <v>1213</v>
      </c>
      <c r="M15935" t="s">
        <v>10703</v>
      </c>
      <c r="N15935" t="s">
        <v>30</v>
      </c>
      <c r="O15935" t="s">
        <v>31</v>
      </c>
      <c r="P15935" t="str">
        <f>"15212"</f>
        <v>15212</v>
      </c>
    </row>
    <row r="15936" spans="1:16" x14ac:dyDescent="0.25">
      <c r="A15936" t="str">
        <f>"1230024J00032    00"</f>
        <v>1230024J00032    00</v>
      </c>
      <c r="B15936" t="s">
        <v>34842</v>
      </c>
      <c r="C15936" t="s">
        <v>34843</v>
      </c>
      <c r="E15936" t="s">
        <v>39</v>
      </c>
      <c r="F15936">
        <v>0</v>
      </c>
      <c r="G15936">
        <v>0</v>
      </c>
      <c r="H15936">
        <v>2</v>
      </c>
      <c r="I15936" s="3">
        <v>3751</v>
      </c>
      <c r="J15936" s="3">
        <v>46.88</v>
      </c>
      <c r="K15936" t="s">
        <v>400</v>
      </c>
      <c r="L15936">
        <v>3001</v>
      </c>
      <c r="M15936" t="s">
        <v>330</v>
      </c>
      <c r="N15936" t="s">
        <v>331</v>
      </c>
      <c r="O15936" t="s">
        <v>108</v>
      </c>
      <c r="P15936" t="str">
        <f>"75063"</f>
        <v>75063</v>
      </c>
    </row>
    <row r="15937" spans="1:16" x14ac:dyDescent="0.25">
      <c r="A15937" t="str">
        <f>"1230024J00037    00"</f>
        <v>1230024J00037    00</v>
      </c>
      <c r="B15937" t="s">
        <v>34844</v>
      </c>
      <c r="C15937" t="s">
        <v>34845</v>
      </c>
      <c r="E15937" t="s">
        <v>21</v>
      </c>
      <c r="F15937">
        <v>0</v>
      </c>
      <c r="G15937">
        <v>0</v>
      </c>
      <c r="H15937">
        <v>1</v>
      </c>
      <c r="I15937" s="3">
        <v>840.48</v>
      </c>
      <c r="J15937" s="3">
        <v>0</v>
      </c>
      <c r="K15937" t="s">
        <v>34846</v>
      </c>
      <c r="M15937" t="s">
        <v>22150</v>
      </c>
      <c r="N15937" t="s">
        <v>1353</v>
      </c>
      <c r="O15937" t="s">
        <v>31</v>
      </c>
      <c r="P15937" t="str">
        <f>"15085"</f>
        <v>15085</v>
      </c>
    </row>
    <row r="15938" spans="1:16" x14ac:dyDescent="0.25">
      <c r="A15938" t="str">
        <f>"1230024J00056    00"</f>
        <v>1230024J00056    00</v>
      </c>
      <c r="B15938" t="s">
        <v>34847</v>
      </c>
      <c r="C15938" t="s">
        <v>34848</v>
      </c>
      <c r="D15938" t="s">
        <v>20</v>
      </c>
      <c r="E15938" t="s">
        <v>21</v>
      </c>
      <c r="F15938">
        <v>0</v>
      </c>
      <c r="G15938">
        <v>0</v>
      </c>
      <c r="H15938">
        <v>1</v>
      </c>
      <c r="I15938" s="3">
        <v>38.119999999999997</v>
      </c>
      <c r="J15938" s="3">
        <v>0</v>
      </c>
      <c r="K15938" t="s">
        <v>34849</v>
      </c>
      <c r="L15938">
        <v>608</v>
      </c>
      <c r="M15938" t="s">
        <v>27339</v>
      </c>
      <c r="N15938" t="s">
        <v>30</v>
      </c>
      <c r="O15938" t="s">
        <v>31</v>
      </c>
      <c r="P15938" t="str">
        <f>"15212"</f>
        <v>15212</v>
      </c>
    </row>
    <row r="15939" spans="1:16" x14ac:dyDescent="0.25">
      <c r="A15939" t="str">
        <f>"1230024J00058    00"</f>
        <v>1230024J00058    00</v>
      </c>
      <c r="B15939" t="s">
        <v>34847</v>
      </c>
      <c r="C15939" t="s">
        <v>34850</v>
      </c>
      <c r="D15939" t="s">
        <v>20</v>
      </c>
      <c r="E15939" t="s">
        <v>39</v>
      </c>
      <c r="F15939">
        <v>0</v>
      </c>
      <c r="G15939">
        <v>0</v>
      </c>
      <c r="H15939">
        <v>1</v>
      </c>
      <c r="I15939" s="3">
        <v>86.4</v>
      </c>
      <c r="J15939" s="3">
        <v>0</v>
      </c>
      <c r="K15939" t="s">
        <v>34849</v>
      </c>
      <c r="L15939">
        <v>608</v>
      </c>
      <c r="M15939" t="s">
        <v>27339</v>
      </c>
      <c r="N15939" t="s">
        <v>30</v>
      </c>
      <c r="O15939" t="s">
        <v>31</v>
      </c>
      <c r="P15939" t="str">
        <f>"15212"</f>
        <v>15212</v>
      </c>
    </row>
    <row r="15940" spans="1:16" x14ac:dyDescent="0.25">
      <c r="A15940" t="str">
        <f>"1230024J00059    00"</f>
        <v>1230024J00059    00</v>
      </c>
      <c r="B15940" t="s">
        <v>34847</v>
      </c>
      <c r="C15940" t="s">
        <v>34851</v>
      </c>
      <c r="D15940" t="s">
        <v>20</v>
      </c>
      <c r="E15940" t="s">
        <v>39</v>
      </c>
      <c r="F15940">
        <v>0</v>
      </c>
      <c r="G15940">
        <v>0</v>
      </c>
      <c r="H15940">
        <v>1</v>
      </c>
      <c r="I15940" s="3">
        <v>569.27</v>
      </c>
      <c r="J15940" s="3">
        <v>0</v>
      </c>
      <c r="K15940" t="s">
        <v>34849</v>
      </c>
      <c r="L15940">
        <v>608</v>
      </c>
      <c r="M15940" t="s">
        <v>27339</v>
      </c>
      <c r="N15940" t="s">
        <v>30</v>
      </c>
      <c r="O15940" t="s">
        <v>31</v>
      </c>
      <c r="P15940" t="str">
        <f>"15212"</f>
        <v>15212</v>
      </c>
    </row>
    <row r="15941" spans="1:16" x14ac:dyDescent="0.25">
      <c r="A15941" t="str">
        <f>"1230024J00064    00"</f>
        <v>1230024J00064    00</v>
      </c>
      <c r="B15941" t="s">
        <v>34852</v>
      </c>
      <c r="C15941" t="s">
        <v>34853</v>
      </c>
      <c r="D15941" t="s">
        <v>20</v>
      </c>
      <c r="E15941" t="s">
        <v>39</v>
      </c>
      <c r="F15941">
        <v>0</v>
      </c>
      <c r="G15941">
        <v>0</v>
      </c>
      <c r="H15941">
        <v>2</v>
      </c>
      <c r="I15941" s="3">
        <v>969.24</v>
      </c>
      <c r="J15941" s="3">
        <v>0</v>
      </c>
      <c r="L15941">
        <v>616</v>
      </c>
      <c r="M15941" t="s">
        <v>27339</v>
      </c>
      <c r="N15941" t="s">
        <v>30</v>
      </c>
      <c r="O15941" t="s">
        <v>31</v>
      </c>
      <c r="P15941" t="str">
        <f>"15212"</f>
        <v>15212</v>
      </c>
    </row>
    <row r="15942" spans="1:16" x14ac:dyDescent="0.25">
      <c r="A15942" t="str">
        <f>"1230024J00068    00"</f>
        <v>1230024J00068    00</v>
      </c>
      <c r="B15942" t="s">
        <v>34854</v>
      </c>
      <c r="C15942" t="s">
        <v>34855</v>
      </c>
      <c r="E15942" t="s">
        <v>39</v>
      </c>
      <c r="F15942">
        <v>0</v>
      </c>
      <c r="G15942">
        <v>0</v>
      </c>
      <c r="H15942">
        <v>1</v>
      </c>
      <c r="I15942" s="3">
        <v>2298.11</v>
      </c>
      <c r="J15942" s="3">
        <v>593.65</v>
      </c>
      <c r="K15942" t="s">
        <v>5692</v>
      </c>
      <c r="M15942" t="s">
        <v>9980</v>
      </c>
      <c r="N15942" t="s">
        <v>9967</v>
      </c>
      <c r="O15942" t="s">
        <v>692</v>
      </c>
      <c r="P15942" t="str">
        <f>"23058"</f>
        <v>23058</v>
      </c>
    </row>
    <row r="15943" spans="1:16" x14ac:dyDescent="0.25">
      <c r="A15943" t="str">
        <f>"1230024J00078    00"</f>
        <v>1230024J00078    00</v>
      </c>
      <c r="B15943" t="s">
        <v>34856</v>
      </c>
      <c r="C15943" t="s">
        <v>34857</v>
      </c>
      <c r="D15943" t="s">
        <v>57</v>
      </c>
      <c r="E15943" t="s">
        <v>39</v>
      </c>
      <c r="F15943">
        <v>0</v>
      </c>
      <c r="G15943">
        <v>0</v>
      </c>
      <c r="H15943">
        <v>1</v>
      </c>
      <c r="I15943" s="3">
        <v>3156.29</v>
      </c>
      <c r="J15943" s="3">
        <v>1393.97</v>
      </c>
      <c r="K15943" t="s">
        <v>7185</v>
      </c>
      <c r="L15943">
        <v>1</v>
      </c>
      <c r="M15943" t="s">
        <v>7186</v>
      </c>
      <c r="N15943" t="s">
        <v>4803</v>
      </c>
      <c r="O15943" t="s">
        <v>554</v>
      </c>
      <c r="P15943" t="str">
        <f>"26003"</f>
        <v>26003</v>
      </c>
    </row>
    <row r="15944" spans="1:16" x14ac:dyDescent="0.25">
      <c r="A15944" t="str">
        <f>"1230024J00199    00"</f>
        <v>1230024J00199    00</v>
      </c>
      <c r="B15944" t="s">
        <v>34858</v>
      </c>
      <c r="C15944" t="s">
        <v>34859</v>
      </c>
      <c r="D15944" t="s">
        <v>20</v>
      </c>
      <c r="E15944" t="s">
        <v>21</v>
      </c>
      <c r="F15944">
        <v>0</v>
      </c>
      <c r="G15944">
        <v>0</v>
      </c>
      <c r="H15944">
        <v>2</v>
      </c>
      <c r="I15944" s="3">
        <v>5870.48</v>
      </c>
      <c r="J15944" s="3">
        <v>73.37</v>
      </c>
      <c r="L15944">
        <v>926</v>
      </c>
      <c r="M15944" t="s">
        <v>34860</v>
      </c>
      <c r="N15944" t="s">
        <v>285</v>
      </c>
      <c r="O15944" t="s">
        <v>31</v>
      </c>
      <c r="P15944" t="str">
        <f>"15120"</f>
        <v>15120</v>
      </c>
    </row>
    <row r="15945" spans="1:16" x14ac:dyDescent="0.25">
      <c r="A15945" t="str">
        <f>"1230024J00229    01"</f>
        <v>1230024J00229    01</v>
      </c>
      <c r="B15945" t="s">
        <v>34861</v>
      </c>
      <c r="C15945" t="s">
        <v>34862</v>
      </c>
      <c r="D15945" t="s">
        <v>20</v>
      </c>
      <c r="E15945" t="s">
        <v>21</v>
      </c>
      <c r="F15945">
        <v>0</v>
      </c>
      <c r="G15945">
        <v>0</v>
      </c>
      <c r="H15945">
        <v>1</v>
      </c>
      <c r="I15945" s="3">
        <v>1590.88</v>
      </c>
      <c r="J15945" s="3">
        <v>0</v>
      </c>
      <c r="L15945">
        <v>1000</v>
      </c>
      <c r="M15945" t="s">
        <v>32218</v>
      </c>
      <c r="N15945" t="s">
        <v>30</v>
      </c>
      <c r="O15945" t="s">
        <v>31</v>
      </c>
      <c r="P15945" t="str">
        <f>"15212"</f>
        <v>15212</v>
      </c>
    </row>
    <row r="15946" spans="1:16" x14ac:dyDescent="0.25">
      <c r="A15946" t="str">
        <f>"1230024J00230    00"</f>
        <v>1230024J00230    00</v>
      </c>
      <c r="B15946" t="s">
        <v>34861</v>
      </c>
      <c r="C15946" t="s">
        <v>34863</v>
      </c>
      <c r="D15946" t="s">
        <v>20</v>
      </c>
      <c r="E15946" t="s">
        <v>39</v>
      </c>
      <c r="F15946">
        <v>0</v>
      </c>
      <c r="G15946">
        <v>0</v>
      </c>
      <c r="H15946">
        <v>1</v>
      </c>
      <c r="I15946" s="3">
        <v>2077.54</v>
      </c>
      <c r="J15946" s="3">
        <v>0</v>
      </c>
      <c r="L15946">
        <v>1000</v>
      </c>
      <c r="M15946" t="s">
        <v>32218</v>
      </c>
      <c r="N15946" t="s">
        <v>30</v>
      </c>
      <c r="O15946" t="s">
        <v>31</v>
      </c>
      <c r="P15946" t="str">
        <f>"15212"</f>
        <v>15212</v>
      </c>
    </row>
    <row r="15947" spans="1:16" x14ac:dyDescent="0.25">
      <c r="A15947" t="str">
        <f>"1230024J00250    00"</f>
        <v>1230024J00250    00</v>
      </c>
      <c r="B15947" t="s">
        <v>34864</v>
      </c>
      <c r="C15947" t="s">
        <v>34865</v>
      </c>
      <c r="E15947" t="s">
        <v>39</v>
      </c>
      <c r="F15947">
        <v>0</v>
      </c>
      <c r="G15947">
        <v>0</v>
      </c>
      <c r="H15947">
        <v>9</v>
      </c>
      <c r="I15947" s="3">
        <v>6246.75</v>
      </c>
      <c r="J15947" s="3">
        <v>8054.73</v>
      </c>
      <c r="K15947" t="s">
        <v>34866</v>
      </c>
      <c r="L15947">
        <v>4858</v>
      </c>
      <c r="M15947" t="s">
        <v>34867</v>
      </c>
      <c r="N15947" t="s">
        <v>26823</v>
      </c>
      <c r="O15947" t="s">
        <v>495</v>
      </c>
      <c r="P15947" t="str">
        <f>"90808"</f>
        <v>90808</v>
      </c>
    </row>
    <row r="15948" spans="1:16" x14ac:dyDescent="0.25">
      <c r="A15948" t="str">
        <f>"1230024J00251    00"</f>
        <v>1230024J00251    00</v>
      </c>
      <c r="B15948" t="s">
        <v>34868</v>
      </c>
      <c r="C15948" t="s">
        <v>34869</v>
      </c>
      <c r="D15948" t="s">
        <v>20</v>
      </c>
      <c r="E15948" t="s">
        <v>39</v>
      </c>
      <c r="F15948">
        <v>0</v>
      </c>
      <c r="G15948">
        <v>0</v>
      </c>
      <c r="H15948">
        <v>4</v>
      </c>
      <c r="I15948" s="3">
        <v>1022.5</v>
      </c>
      <c r="J15948" s="3">
        <v>131.19</v>
      </c>
      <c r="L15948">
        <v>855</v>
      </c>
      <c r="M15948" t="s">
        <v>21716</v>
      </c>
      <c r="N15948" t="s">
        <v>30</v>
      </c>
      <c r="O15948" t="s">
        <v>31</v>
      </c>
      <c r="P15948" t="str">
        <f>"15207"</f>
        <v>15207</v>
      </c>
    </row>
    <row r="15949" spans="1:16" x14ac:dyDescent="0.25">
      <c r="A15949" t="str">
        <f>"1230024J00257    00"</f>
        <v>1230024J00257    00</v>
      </c>
      <c r="B15949" t="s">
        <v>34870</v>
      </c>
      <c r="C15949" t="s">
        <v>34871</v>
      </c>
      <c r="D15949" t="s">
        <v>20</v>
      </c>
      <c r="E15949" t="s">
        <v>39</v>
      </c>
      <c r="F15949">
        <v>0</v>
      </c>
      <c r="G15949">
        <v>0</v>
      </c>
      <c r="H15949">
        <v>1</v>
      </c>
      <c r="I15949" s="3">
        <v>1578.19</v>
      </c>
      <c r="J15949" s="3">
        <v>0</v>
      </c>
      <c r="K15949" t="s">
        <v>34872</v>
      </c>
      <c r="L15949">
        <v>827</v>
      </c>
      <c r="M15949" t="s">
        <v>33466</v>
      </c>
      <c r="N15949" t="s">
        <v>30</v>
      </c>
      <c r="O15949" t="s">
        <v>31</v>
      </c>
      <c r="P15949" t="str">
        <f>"15212"</f>
        <v>15212</v>
      </c>
    </row>
    <row r="15950" spans="1:16" x14ac:dyDescent="0.25">
      <c r="A15950" t="str">
        <f>"1230024J00258    00"</f>
        <v>1230024J00258    00</v>
      </c>
      <c r="B15950" t="s">
        <v>34873</v>
      </c>
      <c r="C15950" t="s">
        <v>34874</v>
      </c>
      <c r="D15950" t="s">
        <v>20</v>
      </c>
      <c r="E15950" t="s">
        <v>39</v>
      </c>
      <c r="F15950">
        <v>0</v>
      </c>
      <c r="G15950">
        <v>0</v>
      </c>
      <c r="H15950">
        <v>2</v>
      </c>
      <c r="I15950" s="3">
        <v>1133.1400000000001</v>
      </c>
      <c r="J15950" s="3">
        <v>0</v>
      </c>
      <c r="L15950">
        <v>829</v>
      </c>
      <c r="M15950" t="s">
        <v>33466</v>
      </c>
      <c r="N15950" t="s">
        <v>30</v>
      </c>
      <c r="O15950" t="s">
        <v>31</v>
      </c>
      <c r="P15950" t="str">
        <f>"15212"</f>
        <v>15212</v>
      </c>
    </row>
    <row r="15951" spans="1:16" x14ac:dyDescent="0.25">
      <c r="A15951" t="str">
        <f>"1230024J00261    00"</f>
        <v>1230024J00261    00</v>
      </c>
      <c r="B15951" t="s">
        <v>34875</v>
      </c>
      <c r="C15951" t="s">
        <v>34876</v>
      </c>
      <c r="D15951" t="s">
        <v>20</v>
      </c>
      <c r="E15951" t="s">
        <v>21</v>
      </c>
      <c r="F15951">
        <v>0</v>
      </c>
      <c r="G15951">
        <v>0</v>
      </c>
      <c r="H15951">
        <v>1</v>
      </c>
      <c r="I15951" s="3">
        <v>571.82000000000005</v>
      </c>
      <c r="J15951" s="3">
        <v>0</v>
      </c>
      <c r="L15951">
        <v>835</v>
      </c>
      <c r="M15951" t="s">
        <v>33466</v>
      </c>
      <c r="N15951" t="s">
        <v>30</v>
      </c>
      <c r="O15951" t="s">
        <v>31</v>
      </c>
      <c r="P15951" t="str">
        <f>"15212"</f>
        <v>15212</v>
      </c>
    </row>
    <row r="15952" spans="1:16" x14ac:dyDescent="0.25">
      <c r="A15952" t="str">
        <f>"1230024J00262    00"</f>
        <v>1230024J00262    00</v>
      </c>
      <c r="B15952" t="s">
        <v>34877</v>
      </c>
      <c r="C15952" t="s">
        <v>34878</v>
      </c>
      <c r="D15952" t="s">
        <v>20</v>
      </c>
      <c r="E15952" t="s">
        <v>39</v>
      </c>
      <c r="F15952">
        <v>0</v>
      </c>
      <c r="G15952">
        <v>0</v>
      </c>
      <c r="H15952">
        <v>1</v>
      </c>
      <c r="I15952" s="3">
        <v>430.75</v>
      </c>
      <c r="J15952" s="3">
        <v>0</v>
      </c>
      <c r="L15952">
        <v>837</v>
      </c>
      <c r="M15952" t="s">
        <v>33466</v>
      </c>
      <c r="N15952" t="s">
        <v>30</v>
      </c>
      <c r="O15952" t="s">
        <v>31</v>
      </c>
      <c r="P15952" t="str">
        <f>"15212"</f>
        <v>15212</v>
      </c>
    </row>
    <row r="15953" spans="1:16" x14ac:dyDescent="0.25">
      <c r="A15953" t="str">
        <f>"1230024J00264A   00"</f>
        <v>1230024J00264A   00</v>
      </c>
      <c r="B15953" t="s">
        <v>34879</v>
      </c>
      <c r="C15953" t="s">
        <v>34880</v>
      </c>
      <c r="D15953" t="s">
        <v>20</v>
      </c>
      <c r="E15953" t="s">
        <v>39</v>
      </c>
      <c r="F15953">
        <v>0</v>
      </c>
      <c r="G15953">
        <v>0</v>
      </c>
      <c r="H15953">
        <v>12</v>
      </c>
      <c r="I15953" s="3">
        <v>183.57</v>
      </c>
      <c r="J15953" s="3">
        <v>188.54</v>
      </c>
      <c r="L15953">
        <v>1710</v>
      </c>
      <c r="M15953" t="s">
        <v>34881</v>
      </c>
      <c r="N15953" t="s">
        <v>625</v>
      </c>
      <c r="O15953" t="s">
        <v>31</v>
      </c>
      <c r="P15953" t="str">
        <f>"15108"</f>
        <v>15108</v>
      </c>
    </row>
    <row r="15954" spans="1:16" x14ac:dyDescent="0.25">
      <c r="A15954" t="str">
        <f>"1230024J00267    00"</f>
        <v>1230024J00267    00</v>
      </c>
      <c r="B15954" t="s">
        <v>34882</v>
      </c>
      <c r="C15954" t="s">
        <v>34883</v>
      </c>
      <c r="D15954" t="s">
        <v>20</v>
      </c>
      <c r="E15954" t="s">
        <v>39</v>
      </c>
      <c r="F15954">
        <v>0</v>
      </c>
      <c r="G15954">
        <v>0</v>
      </c>
      <c r="H15954">
        <v>7</v>
      </c>
      <c r="I15954" s="3">
        <v>8619.2199999999993</v>
      </c>
      <c r="J15954" s="3">
        <v>353.13</v>
      </c>
      <c r="K15954" t="s">
        <v>34884</v>
      </c>
      <c r="M15954" t="s">
        <v>34885</v>
      </c>
      <c r="N15954" t="s">
        <v>30</v>
      </c>
      <c r="O15954" t="s">
        <v>31</v>
      </c>
      <c r="P15954" t="str">
        <f>"15237"</f>
        <v>15237</v>
      </c>
    </row>
    <row r="15955" spans="1:16" x14ac:dyDescent="0.25">
      <c r="A15955" t="str">
        <f>"1230024J00279    00"</f>
        <v>1230024J00279    00</v>
      </c>
      <c r="B15955" t="s">
        <v>34886</v>
      </c>
      <c r="C15955" t="s">
        <v>34887</v>
      </c>
      <c r="D15955" t="s">
        <v>20</v>
      </c>
      <c r="E15955" t="s">
        <v>39</v>
      </c>
      <c r="F15955">
        <v>0</v>
      </c>
      <c r="G15955">
        <v>0</v>
      </c>
      <c r="H15955">
        <v>6</v>
      </c>
      <c r="I15955" s="3">
        <v>4035.34</v>
      </c>
      <c r="J15955" s="3">
        <v>686.67</v>
      </c>
      <c r="L15955">
        <v>1019</v>
      </c>
      <c r="M15955" t="s">
        <v>34888</v>
      </c>
      <c r="N15955" t="s">
        <v>30</v>
      </c>
      <c r="O15955" t="s">
        <v>31</v>
      </c>
      <c r="P15955" t="str">
        <f>"15212"</f>
        <v>15212</v>
      </c>
    </row>
    <row r="15956" spans="1:16" x14ac:dyDescent="0.25">
      <c r="A15956" t="str">
        <f>"1230024J00280    00"</f>
        <v>1230024J00280    00</v>
      </c>
      <c r="B15956" t="s">
        <v>34889</v>
      </c>
      <c r="C15956" t="s">
        <v>34890</v>
      </c>
      <c r="E15956" t="s">
        <v>21</v>
      </c>
      <c r="F15956">
        <v>0</v>
      </c>
      <c r="G15956">
        <v>0</v>
      </c>
      <c r="H15956">
        <v>9</v>
      </c>
      <c r="I15956" s="3">
        <v>13830.13</v>
      </c>
      <c r="J15956" s="3">
        <v>13149.98</v>
      </c>
      <c r="M15956" t="s">
        <v>34891</v>
      </c>
      <c r="N15956" t="s">
        <v>30</v>
      </c>
      <c r="O15956" t="s">
        <v>31</v>
      </c>
      <c r="P15956" t="str">
        <f>"15237"</f>
        <v>15237</v>
      </c>
    </row>
    <row r="15957" spans="1:16" x14ac:dyDescent="0.25">
      <c r="A15957" t="str">
        <f>"1230024J00286    00"</f>
        <v>1230024J00286    00</v>
      </c>
      <c r="B15957" t="s">
        <v>34892</v>
      </c>
      <c r="C15957" t="s">
        <v>34893</v>
      </c>
      <c r="E15957" t="s">
        <v>39</v>
      </c>
      <c r="F15957">
        <v>0</v>
      </c>
      <c r="G15957">
        <v>0</v>
      </c>
      <c r="H15957">
        <v>1</v>
      </c>
      <c r="I15957" s="3">
        <v>317.22000000000003</v>
      </c>
      <c r="J15957" s="3">
        <v>87.24</v>
      </c>
      <c r="K15957" t="s">
        <v>5324</v>
      </c>
      <c r="M15957" t="s">
        <v>1439</v>
      </c>
      <c r="N15957" t="s">
        <v>1440</v>
      </c>
      <c r="O15957" t="s">
        <v>70</v>
      </c>
      <c r="P15957" t="str">
        <f>"48501"</f>
        <v>48501</v>
      </c>
    </row>
    <row r="15958" spans="1:16" x14ac:dyDescent="0.25">
      <c r="A15958" t="str">
        <f>"1230024J00290    00"</f>
        <v>1230024J00290    00</v>
      </c>
      <c r="B15958" t="s">
        <v>34894</v>
      </c>
      <c r="C15958" t="s">
        <v>34895</v>
      </c>
      <c r="E15958" t="s">
        <v>39</v>
      </c>
      <c r="F15958">
        <v>0</v>
      </c>
      <c r="G15958">
        <v>0</v>
      </c>
      <c r="H15958">
        <v>1</v>
      </c>
      <c r="I15958" s="3">
        <v>741.44</v>
      </c>
      <c r="J15958" s="3">
        <v>0</v>
      </c>
      <c r="K15958" t="s">
        <v>34896</v>
      </c>
      <c r="L15958">
        <v>821</v>
      </c>
      <c r="M15958" t="s">
        <v>34897</v>
      </c>
      <c r="N15958" t="s">
        <v>34898</v>
      </c>
      <c r="O15958" t="s">
        <v>31</v>
      </c>
      <c r="P15958" t="str">
        <f>"18015"</f>
        <v>18015</v>
      </c>
    </row>
    <row r="15959" spans="1:16" x14ac:dyDescent="0.25">
      <c r="A15959" t="str">
        <f>"1230024J00324    00"</f>
        <v>1230024J00324    00</v>
      </c>
      <c r="B15959" t="s">
        <v>34899</v>
      </c>
      <c r="C15959" t="s">
        <v>34900</v>
      </c>
      <c r="D15959" t="s">
        <v>20</v>
      </c>
      <c r="E15959" t="s">
        <v>39</v>
      </c>
      <c r="F15959">
        <v>0</v>
      </c>
      <c r="G15959">
        <v>0</v>
      </c>
      <c r="H15959">
        <v>3</v>
      </c>
      <c r="I15959" s="3">
        <v>754.2</v>
      </c>
      <c r="J15959" s="3">
        <v>181.47</v>
      </c>
      <c r="M15959" t="s">
        <v>34901</v>
      </c>
      <c r="N15959" t="s">
        <v>34902</v>
      </c>
      <c r="O15959" t="s">
        <v>34903</v>
      </c>
      <c r="P15959" t="str">
        <f>"2077"</f>
        <v>2077</v>
      </c>
    </row>
    <row r="15960" spans="1:16" x14ac:dyDescent="0.25">
      <c r="A15960" t="str">
        <f>"1230024J00369    00"</f>
        <v>1230024J00369    00</v>
      </c>
      <c r="B15960" t="s">
        <v>34815</v>
      </c>
      <c r="C15960" t="s">
        <v>34904</v>
      </c>
      <c r="D15960" t="s">
        <v>20</v>
      </c>
      <c r="E15960" t="s">
        <v>39</v>
      </c>
      <c r="F15960">
        <v>0</v>
      </c>
      <c r="G15960">
        <v>0</v>
      </c>
      <c r="H15960">
        <v>3</v>
      </c>
      <c r="I15960" s="3">
        <v>19.54</v>
      </c>
      <c r="J15960" s="3">
        <v>0.09</v>
      </c>
      <c r="L15960">
        <v>1013</v>
      </c>
      <c r="M15960" t="s">
        <v>3777</v>
      </c>
      <c r="N15960" t="s">
        <v>30</v>
      </c>
      <c r="O15960" t="s">
        <v>31</v>
      </c>
      <c r="P15960" t="str">
        <f>"15211"</f>
        <v>15211</v>
      </c>
    </row>
    <row r="15961" spans="1:16" x14ac:dyDescent="0.25">
      <c r="A15961" t="str">
        <f>"1230024J00370    00"</f>
        <v>1230024J00370    00</v>
      </c>
      <c r="B15961" t="s">
        <v>34905</v>
      </c>
      <c r="C15961" t="s">
        <v>34906</v>
      </c>
      <c r="D15961" t="s">
        <v>20</v>
      </c>
      <c r="E15961" t="s">
        <v>39</v>
      </c>
      <c r="F15961">
        <v>0</v>
      </c>
      <c r="G15961">
        <v>0</v>
      </c>
      <c r="H15961">
        <v>1</v>
      </c>
      <c r="I15961" s="3">
        <v>209.66</v>
      </c>
      <c r="J15961" s="3">
        <v>0</v>
      </c>
      <c r="K15961" t="s">
        <v>34907</v>
      </c>
      <c r="L15961">
        <v>1619</v>
      </c>
      <c r="M15961" t="s">
        <v>28597</v>
      </c>
      <c r="N15961" t="s">
        <v>30</v>
      </c>
      <c r="O15961" t="s">
        <v>31</v>
      </c>
      <c r="P15961" t="str">
        <f>"15216"</f>
        <v>15216</v>
      </c>
    </row>
    <row r="15962" spans="1:16" x14ac:dyDescent="0.25">
      <c r="A15962" t="str">
        <f>"1230024J00381    00"</f>
        <v>1230024J00381    00</v>
      </c>
      <c r="B15962" t="s">
        <v>34908</v>
      </c>
      <c r="C15962" t="s">
        <v>34909</v>
      </c>
      <c r="E15962" t="s">
        <v>39</v>
      </c>
      <c r="F15962">
        <v>0</v>
      </c>
      <c r="G15962">
        <v>0</v>
      </c>
      <c r="H15962">
        <v>1</v>
      </c>
      <c r="I15962" s="3">
        <v>1103.47</v>
      </c>
      <c r="J15962" s="3">
        <v>1121.81</v>
      </c>
      <c r="L15962">
        <v>842</v>
      </c>
      <c r="M15962" t="s">
        <v>27339</v>
      </c>
      <c r="N15962" t="s">
        <v>30</v>
      </c>
      <c r="O15962" t="s">
        <v>31</v>
      </c>
      <c r="P15962" t="str">
        <f>"15212"</f>
        <v>15212</v>
      </c>
    </row>
    <row r="15963" spans="1:16" x14ac:dyDescent="0.25">
      <c r="A15963" t="str">
        <f>"1230024J00382    00"</f>
        <v>1230024J00382    00</v>
      </c>
      <c r="B15963" t="s">
        <v>34910</v>
      </c>
      <c r="C15963" t="s">
        <v>34911</v>
      </c>
      <c r="D15963" t="s">
        <v>20</v>
      </c>
      <c r="E15963" t="s">
        <v>39</v>
      </c>
      <c r="F15963">
        <v>0</v>
      </c>
      <c r="G15963">
        <v>0</v>
      </c>
      <c r="H15963">
        <v>1</v>
      </c>
      <c r="I15963" s="3">
        <v>880.59</v>
      </c>
      <c r="J15963" s="3">
        <v>0</v>
      </c>
      <c r="K15963" t="s">
        <v>34912</v>
      </c>
      <c r="L15963">
        <v>202</v>
      </c>
      <c r="M15963" t="s">
        <v>2136</v>
      </c>
      <c r="N15963" t="s">
        <v>30</v>
      </c>
      <c r="O15963" t="s">
        <v>31</v>
      </c>
      <c r="P15963" t="str">
        <f>"15228"</f>
        <v>15228</v>
      </c>
    </row>
    <row r="15964" spans="1:16" x14ac:dyDescent="0.25">
      <c r="A15964" t="str">
        <f>"1230024J00383    00"</f>
        <v>1230024J00383    00</v>
      </c>
      <c r="B15964" t="s">
        <v>20634</v>
      </c>
      <c r="C15964" t="s">
        <v>34913</v>
      </c>
      <c r="D15964" t="s">
        <v>20</v>
      </c>
      <c r="E15964" t="s">
        <v>39</v>
      </c>
      <c r="F15964">
        <v>0</v>
      </c>
      <c r="G15964">
        <v>0</v>
      </c>
      <c r="H15964">
        <v>1</v>
      </c>
      <c r="I15964" s="3">
        <v>2323.42</v>
      </c>
      <c r="J15964" s="3">
        <v>0</v>
      </c>
      <c r="K15964" t="s">
        <v>34914</v>
      </c>
      <c r="L15964">
        <v>202</v>
      </c>
      <c r="M15964" t="s">
        <v>2136</v>
      </c>
      <c r="N15964" t="s">
        <v>30</v>
      </c>
      <c r="O15964" t="s">
        <v>31</v>
      </c>
      <c r="P15964" t="str">
        <f>"15228"</f>
        <v>15228</v>
      </c>
    </row>
    <row r="15965" spans="1:16" x14ac:dyDescent="0.25">
      <c r="A15965" t="str">
        <f>"1230024J00384    00"</f>
        <v>1230024J00384    00</v>
      </c>
      <c r="B15965" t="s">
        <v>20634</v>
      </c>
      <c r="C15965" t="s">
        <v>34915</v>
      </c>
      <c r="D15965" t="s">
        <v>20</v>
      </c>
      <c r="E15965" t="s">
        <v>39</v>
      </c>
      <c r="F15965">
        <v>0</v>
      </c>
      <c r="G15965">
        <v>0</v>
      </c>
      <c r="H15965">
        <v>1</v>
      </c>
      <c r="I15965" s="3">
        <v>2340.58</v>
      </c>
      <c r="J15965" s="3">
        <v>0</v>
      </c>
      <c r="L15965">
        <v>245</v>
      </c>
      <c r="M15965" t="s">
        <v>34916</v>
      </c>
      <c r="N15965" t="s">
        <v>30</v>
      </c>
      <c r="O15965" t="s">
        <v>31</v>
      </c>
      <c r="P15965" t="str">
        <f>"15228"</f>
        <v>15228</v>
      </c>
    </row>
    <row r="15966" spans="1:16" x14ac:dyDescent="0.25">
      <c r="A15966" t="str">
        <f>"1230024J00407    00"</f>
        <v>1230024J00407    00</v>
      </c>
      <c r="B15966" t="s">
        <v>8080</v>
      </c>
      <c r="C15966" t="s">
        <v>34917</v>
      </c>
      <c r="D15966" t="s">
        <v>20</v>
      </c>
      <c r="E15966" t="s">
        <v>39</v>
      </c>
      <c r="F15966">
        <v>0</v>
      </c>
      <c r="G15966">
        <v>0</v>
      </c>
      <c r="H15966">
        <v>8</v>
      </c>
      <c r="I15966" s="3">
        <v>3221.28</v>
      </c>
      <c r="J15966" s="3">
        <v>1036.19</v>
      </c>
      <c r="L15966">
        <v>831</v>
      </c>
      <c r="M15966" t="s">
        <v>27339</v>
      </c>
      <c r="N15966" t="s">
        <v>30</v>
      </c>
      <c r="O15966" t="s">
        <v>31</v>
      </c>
      <c r="P15966" t="str">
        <f>"15212"</f>
        <v>15212</v>
      </c>
    </row>
    <row r="15967" spans="1:16" x14ac:dyDescent="0.25">
      <c r="A15967" t="str">
        <f>"1230024J00415    00"</f>
        <v>1230024J00415    00</v>
      </c>
      <c r="B15967" t="s">
        <v>34918</v>
      </c>
      <c r="C15967" t="s">
        <v>34919</v>
      </c>
      <c r="D15967" t="s">
        <v>20</v>
      </c>
      <c r="E15967" t="s">
        <v>39</v>
      </c>
      <c r="F15967">
        <v>0</v>
      </c>
      <c r="G15967">
        <v>0</v>
      </c>
      <c r="H15967">
        <v>2</v>
      </c>
      <c r="I15967" s="3">
        <v>1486.68</v>
      </c>
      <c r="J15967" s="3">
        <v>0</v>
      </c>
      <c r="L15967">
        <v>5417</v>
      </c>
      <c r="M15967" t="s">
        <v>34920</v>
      </c>
      <c r="N15967" t="s">
        <v>30</v>
      </c>
      <c r="O15967" t="s">
        <v>31</v>
      </c>
      <c r="P15967" t="str">
        <f>"15201"</f>
        <v>15201</v>
      </c>
    </row>
    <row r="15968" spans="1:16" x14ac:dyDescent="0.25">
      <c r="A15968" t="str">
        <f>"1230024J00432    00"</f>
        <v>1230024J00432    00</v>
      </c>
      <c r="B15968" t="s">
        <v>34921</v>
      </c>
      <c r="C15968" t="s">
        <v>34922</v>
      </c>
      <c r="E15968" t="s">
        <v>39</v>
      </c>
      <c r="F15968">
        <v>0</v>
      </c>
      <c r="G15968">
        <v>0</v>
      </c>
      <c r="H15968">
        <v>1</v>
      </c>
      <c r="I15968" s="3">
        <v>410</v>
      </c>
      <c r="J15968" s="3">
        <v>0</v>
      </c>
      <c r="K15968" t="s">
        <v>34923</v>
      </c>
      <c r="L15968">
        <v>31621</v>
      </c>
      <c r="M15968" t="s">
        <v>34924</v>
      </c>
      <c r="N15968" t="s">
        <v>34925</v>
      </c>
      <c r="O15968" t="s">
        <v>495</v>
      </c>
      <c r="P15968" t="str">
        <f>"92592"</f>
        <v>92592</v>
      </c>
    </row>
    <row r="15969" spans="1:16" x14ac:dyDescent="0.25">
      <c r="A15969" t="str">
        <f>"1230024J00435    00"</f>
        <v>1230024J00435    00</v>
      </c>
      <c r="B15969" t="s">
        <v>34926</v>
      </c>
      <c r="C15969" t="s">
        <v>34927</v>
      </c>
      <c r="D15969" t="s">
        <v>20</v>
      </c>
      <c r="E15969" t="s">
        <v>39</v>
      </c>
      <c r="F15969">
        <v>0</v>
      </c>
      <c r="G15969">
        <v>0</v>
      </c>
      <c r="H15969">
        <v>1</v>
      </c>
      <c r="I15969" s="3">
        <v>118.17</v>
      </c>
      <c r="J15969" s="3">
        <v>0</v>
      </c>
      <c r="K15969" t="s">
        <v>34928</v>
      </c>
      <c r="L15969">
        <v>88</v>
      </c>
      <c r="M15969" t="s">
        <v>34929</v>
      </c>
      <c r="N15969" t="s">
        <v>30979</v>
      </c>
      <c r="O15969" t="s">
        <v>25</v>
      </c>
      <c r="P15969" t="str">
        <f>"44303"</f>
        <v>44303</v>
      </c>
    </row>
    <row r="15970" spans="1:16" x14ac:dyDescent="0.25">
      <c r="A15970" t="str">
        <f>"1230024J00444A   00"</f>
        <v>1230024J00444A   00</v>
      </c>
      <c r="B15970" t="s">
        <v>34930</v>
      </c>
      <c r="C15970" t="s">
        <v>34931</v>
      </c>
      <c r="D15970" t="s">
        <v>20</v>
      </c>
      <c r="E15970" t="s">
        <v>39</v>
      </c>
      <c r="F15970">
        <v>0</v>
      </c>
      <c r="G15970">
        <v>0</v>
      </c>
      <c r="H15970">
        <v>3</v>
      </c>
      <c r="I15970" s="3">
        <v>8662.81</v>
      </c>
      <c r="J15970" s="3">
        <v>72.19</v>
      </c>
      <c r="K15970" t="s">
        <v>270</v>
      </c>
      <c r="M15970" t="s">
        <v>271</v>
      </c>
      <c r="N15970" t="s">
        <v>272</v>
      </c>
      <c r="O15970" t="s">
        <v>273</v>
      </c>
      <c r="P15970" t="str">
        <f>"29603"</f>
        <v>29603</v>
      </c>
    </row>
    <row r="15971" spans="1:16" x14ac:dyDescent="0.25">
      <c r="A15971" t="str">
        <f>"1230024J00446    00"</f>
        <v>1230024J00446    00</v>
      </c>
      <c r="B15971" t="s">
        <v>34932</v>
      </c>
      <c r="C15971" t="s">
        <v>34933</v>
      </c>
      <c r="E15971" t="s">
        <v>39</v>
      </c>
      <c r="F15971">
        <v>0</v>
      </c>
      <c r="G15971">
        <v>0</v>
      </c>
      <c r="H15971">
        <v>1</v>
      </c>
      <c r="I15971" s="3">
        <v>1006.39</v>
      </c>
      <c r="J15971" s="3">
        <v>0</v>
      </c>
      <c r="L15971">
        <v>827</v>
      </c>
      <c r="M15971" t="s">
        <v>34934</v>
      </c>
      <c r="N15971" t="s">
        <v>30</v>
      </c>
      <c r="O15971" t="s">
        <v>31</v>
      </c>
      <c r="P15971" t="str">
        <f>"15212"</f>
        <v>15212</v>
      </c>
    </row>
    <row r="15972" spans="1:16" x14ac:dyDescent="0.25">
      <c r="A15972" t="str">
        <f>"1230024J00457    00"</f>
        <v>1230024J00457    00</v>
      </c>
      <c r="B15972" t="s">
        <v>34935</v>
      </c>
      <c r="C15972" t="s">
        <v>34936</v>
      </c>
      <c r="D15972" t="s">
        <v>20</v>
      </c>
      <c r="E15972" t="s">
        <v>39</v>
      </c>
      <c r="F15972">
        <v>0</v>
      </c>
      <c r="G15972">
        <v>0</v>
      </c>
      <c r="H15972">
        <v>3</v>
      </c>
      <c r="I15972" s="3">
        <v>3356.52</v>
      </c>
      <c r="J15972" s="3">
        <v>223.76</v>
      </c>
      <c r="K15972" t="s">
        <v>34937</v>
      </c>
      <c r="L15972">
        <v>126</v>
      </c>
      <c r="M15972" t="s">
        <v>34938</v>
      </c>
      <c r="N15972" t="s">
        <v>34939</v>
      </c>
      <c r="O15972" t="s">
        <v>423</v>
      </c>
      <c r="P15972" t="str">
        <f>"07627"</f>
        <v>07627</v>
      </c>
    </row>
    <row r="15973" spans="1:16" x14ac:dyDescent="0.25">
      <c r="A15973" t="str">
        <f>"1230024J00458    00"</f>
        <v>1230024J00458    00</v>
      </c>
      <c r="B15973" t="s">
        <v>34940</v>
      </c>
      <c r="C15973" t="s">
        <v>34941</v>
      </c>
      <c r="D15973" t="s">
        <v>20</v>
      </c>
      <c r="E15973" t="s">
        <v>39</v>
      </c>
      <c r="F15973">
        <v>0</v>
      </c>
      <c r="G15973">
        <v>0</v>
      </c>
      <c r="H15973">
        <v>1</v>
      </c>
      <c r="I15973" s="3">
        <v>1004.47</v>
      </c>
      <c r="J15973" s="3">
        <v>0</v>
      </c>
      <c r="L15973">
        <v>168</v>
      </c>
      <c r="M15973" t="s">
        <v>34942</v>
      </c>
      <c r="N15973" t="s">
        <v>22151</v>
      </c>
      <c r="O15973" t="s">
        <v>31</v>
      </c>
      <c r="P15973" t="str">
        <f>"16063"</f>
        <v>16063</v>
      </c>
    </row>
    <row r="15974" spans="1:16" x14ac:dyDescent="0.25">
      <c r="A15974" t="str">
        <f>"1230024J00459    00"</f>
        <v>1230024J00459    00</v>
      </c>
      <c r="B15974" t="s">
        <v>34940</v>
      </c>
      <c r="C15974" t="s">
        <v>34943</v>
      </c>
      <c r="D15974" t="s">
        <v>20</v>
      </c>
      <c r="E15974" t="s">
        <v>39</v>
      </c>
      <c r="F15974">
        <v>0</v>
      </c>
      <c r="G15974">
        <v>0</v>
      </c>
      <c r="H15974">
        <v>1</v>
      </c>
      <c r="I15974" s="3">
        <v>116.28</v>
      </c>
      <c r="J15974" s="3">
        <v>0</v>
      </c>
      <c r="L15974">
        <v>168</v>
      </c>
      <c r="M15974" t="s">
        <v>34942</v>
      </c>
      <c r="N15974" t="s">
        <v>22151</v>
      </c>
      <c r="O15974" t="s">
        <v>31</v>
      </c>
      <c r="P15974" t="str">
        <f>"16063"</f>
        <v>16063</v>
      </c>
    </row>
    <row r="15975" spans="1:16" x14ac:dyDescent="0.25">
      <c r="A15975" t="str">
        <f>"1230024K00026    00"</f>
        <v>1230024K00026    00</v>
      </c>
      <c r="B15975" t="s">
        <v>11049</v>
      </c>
      <c r="C15975" t="s">
        <v>34927</v>
      </c>
      <c r="E15975" t="s">
        <v>39</v>
      </c>
      <c r="F15975">
        <v>0</v>
      </c>
      <c r="G15975">
        <v>0</v>
      </c>
      <c r="H15975">
        <v>1</v>
      </c>
      <c r="I15975" s="3">
        <v>701.41</v>
      </c>
      <c r="J15975" s="3">
        <v>52.6</v>
      </c>
      <c r="K15975" t="s">
        <v>11051</v>
      </c>
      <c r="L15975">
        <v>230</v>
      </c>
      <c r="M15975" t="s">
        <v>1826</v>
      </c>
      <c r="N15975" t="s">
        <v>149</v>
      </c>
      <c r="O15975" t="s">
        <v>31</v>
      </c>
      <c r="P15975" t="str">
        <f>"15106"</f>
        <v>15106</v>
      </c>
    </row>
    <row r="15976" spans="1:16" x14ac:dyDescent="0.25">
      <c r="A15976" t="str">
        <f>"1230024K00040    00"</f>
        <v>1230024K00040    00</v>
      </c>
      <c r="B15976" t="s">
        <v>34944</v>
      </c>
      <c r="C15976" t="s">
        <v>34945</v>
      </c>
      <c r="E15976" t="s">
        <v>39</v>
      </c>
      <c r="F15976">
        <v>0</v>
      </c>
      <c r="G15976">
        <v>0</v>
      </c>
      <c r="H15976">
        <v>3</v>
      </c>
      <c r="I15976" s="3">
        <v>3310.78</v>
      </c>
      <c r="J15976" s="3">
        <v>636.92999999999995</v>
      </c>
      <c r="L15976">
        <v>2929</v>
      </c>
      <c r="M15976" t="s">
        <v>34946</v>
      </c>
      <c r="N15976" t="s">
        <v>9653</v>
      </c>
      <c r="O15976" t="s">
        <v>31</v>
      </c>
      <c r="P15976" t="str">
        <f>"15632"</f>
        <v>15632</v>
      </c>
    </row>
    <row r="15977" spans="1:16" x14ac:dyDescent="0.25">
      <c r="A15977" t="str">
        <f>"1230024K00191    00"</f>
        <v>1230024K00191    00</v>
      </c>
      <c r="B15977" t="s">
        <v>34947</v>
      </c>
      <c r="C15977" t="s">
        <v>34948</v>
      </c>
      <c r="D15977" t="s">
        <v>20</v>
      </c>
      <c r="E15977" t="s">
        <v>39</v>
      </c>
      <c r="F15977">
        <v>0</v>
      </c>
      <c r="G15977">
        <v>0</v>
      </c>
      <c r="H15977">
        <v>2</v>
      </c>
      <c r="I15977" s="3">
        <v>1083.6199999999999</v>
      </c>
      <c r="J15977" s="3">
        <v>0</v>
      </c>
      <c r="L15977">
        <v>906</v>
      </c>
      <c r="M15977" t="s">
        <v>34949</v>
      </c>
      <c r="N15977" t="s">
        <v>30</v>
      </c>
      <c r="O15977" t="s">
        <v>31</v>
      </c>
      <c r="P15977" t="str">
        <f>"15212"</f>
        <v>15212</v>
      </c>
    </row>
    <row r="15978" spans="1:16" x14ac:dyDescent="0.25">
      <c r="A15978" t="str">
        <f>"1230024K00192    00"</f>
        <v>1230024K00192    00</v>
      </c>
      <c r="B15978" t="s">
        <v>34950</v>
      </c>
      <c r="C15978" t="s">
        <v>34951</v>
      </c>
      <c r="D15978" t="s">
        <v>20</v>
      </c>
      <c r="E15978" t="s">
        <v>39</v>
      </c>
      <c r="F15978">
        <v>0</v>
      </c>
      <c r="G15978">
        <v>0</v>
      </c>
      <c r="H15978">
        <v>4</v>
      </c>
      <c r="I15978" s="3">
        <v>3035.62</v>
      </c>
      <c r="J15978" s="3">
        <v>611.5</v>
      </c>
      <c r="L15978">
        <v>906</v>
      </c>
      <c r="M15978" t="s">
        <v>34949</v>
      </c>
      <c r="N15978" t="s">
        <v>30</v>
      </c>
      <c r="O15978" t="s">
        <v>31</v>
      </c>
      <c r="P15978" t="str">
        <f>"15212"</f>
        <v>15212</v>
      </c>
    </row>
    <row r="15979" spans="1:16" x14ac:dyDescent="0.25">
      <c r="A15979" t="str">
        <f>"1230024K00195    00"</f>
        <v>1230024K00195    00</v>
      </c>
      <c r="B15979" t="s">
        <v>34952</v>
      </c>
      <c r="C15979" t="s">
        <v>34953</v>
      </c>
      <c r="E15979" t="s">
        <v>39</v>
      </c>
      <c r="F15979">
        <v>0</v>
      </c>
      <c r="G15979">
        <v>0</v>
      </c>
      <c r="H15979">
        <v>2</v>
      </c>
      <c r="I15979" s="3">
        <v>2029.65</v>
      </c>
      <c r="J15979" s="3">
        <v>459.52</v>
      </c>
      <c r="K15979" t="s">
        <v>34954</v>
      </c>
      <c r="L15979">
        <v>1913</v>
      </c>
      <c r="M15979" t="s">
        <v>34955</v>
      </c>
      <c r="N15979" t="s">
        <v>30</v>
      </c>
      <c r="O15979" t="s">
        <v>31</v>
      </c>
      <c r="P15979" t="str">
        <f>"15212"</f>
        <v>15212</v>
      </c>
    </row>
    <row r="15980" spans="1:16" x14ac:dyDescent="0.25">
      <c r="A15980" t="str">
        <f>"1230024K00196    00"</f>
        <v>1230024K00196    00</v>
      </c>
      <c r="B15980" t="s">
        <v>34956</v>
      </c>
      <c r="C15980" t="s">
        <v>34957</v>
      </c>
      <c r="D15980" t="s">
        <v>20</v>
      </c>
      <c r="E15980" t="s">
        <v>39</v>
      </c>
      <c r="F15980">
        <v>0</v>
      </c>
      <c r="G15980">
        <v>0</v>
      </c>
      <c r="H15980">
        <v>2</v>
      </c>
      <c r="I15980" s="3">
        <v>894.03</v>
      </c>
      <c r="J15980" s="3">
        <v>0</v>
      </c>
      <c r="L15980">
        <v>812</v>
      </c>
      <c r="M15980" t="s">
        <v>34949</v>
      </c>
      <c r="N15980" t="s">
        <v>30</v>
      </c>
      <c r="O15980" t="s">
        <v>31</v>
      </c>
      <c r="P15980" t="str">
        <f>"15212"</f>
        <v>15212</v>
      </c>
    </row>
    <row r="15981" spans="1:16" x14ac:dyDescent="0.25">
      <c r="A15981" t="str">
        <f>"1230024K00200    00"</f>
        <v>1230024K00200    00</v>
      </c>
      <c r="B15981" t="s">
        <v>34958</v>
      </c>
      <c r="C15981" t="s">
        <v>34959</v>
      </c>
      <c r="D15981" t="s">
        <v>20</v>
      </c>
      <c r="E15981" t="s">
        <v>39</v>
      </c>
      <c r="F15981">
        <v>0</v>
      </c>
      <c r="G15981">
        <v>0</v>
      </c>
      <c r="H15981">
        <v>3</v>
      </c>
      <c r="I15981" s="3">
        <v>1731.48</v>
      </c>
      <c r="J15981" s="3">
        <v>252.56</v>
      </c>
      <c r="K15981" t="s">
        <v>34960</v>
      </c>
      <c r="L15981">
        <v>1032</v>
      </c>
      <c r="M15981" t="s">
        <v>34934</v>
      </c>
      <c r="N15981" t="s">
        <v>30</v>
      </c>
      <c r="O15981" t="s">
        <v>31</v>
      </c>
      <c r="P15981" t="str">
        <f>"15212"</f>
        <v>15212</v>
      </c>
    </row>
    <row r="15982" spans="1:16" x14ac:dyDescent="0.25">
      <c r="A15982" t="str">
        <f>"1230024K00219    00"</f>
        <v>1230024K00219    00</v>
      </c>
      <c r="B15982" t="s">
        <v>34961</v>
      </c>
      <c r="C15982" t="s">
        <v>34962</v>
      </c>
      <c r="E15982" t="s">
        <v>39</v>
      </c>
      <c r="F15982">
        <v>0</v>
      </c>
      <c r="G15982">
        <v>0</v>
      </c>
      <c r="H15982">
        <v>1</v>
      </c>
      <c r="I15982" s="3">
        <v>43.07</v>
      </c>
      <c r="J15982" s="3">
        <v>0</v>
      </c>
      <c r="K15982" t="s">
        <v>262</v>
      </c>
      <c r="L15982">
        <v>8805</v>
      </c>
      <c r="M15982" t="s">
        <v>263</v>
      </c>
      <c r="N15982" t="s">
        <v>264</v>
      </c>
      <c r="O15982" t="s">
        <v>25</v>
      </c>
      <c r="P15982" t="str">
        <f>"45249"</f>
        <v>45249</v>
      </c>
    </row>
    <row r="15983" spans="1:16" x14ac:dyDescent="0.25">
      <c r="A15983" t="str">
        <f>"1230024K00221    00"</f>
        <v>1230024K00221    00</v>
      </c>
      <c r="B15983" t="s">
        <v>34963</v>
      </c>
      <c r="C15983" t="s">
        <v>34964</v>
      </c>
      <c r="D15983" t="s">
        <v>20</v>
      </c>
      <c r="E15983" t="s">
        <v>39</v>
      </c>
      <c r="F15983">
        <v>0</v>
      </c>
      <c r="G15983">
        <v>0</v>
      </c>
      <c r="H15983">
        <v>1</v>
      </c>
      <c r="I15983" s="3">
        <v>285.92</v>
      </c>
      <c r="J15983" s="3">
        <v>0</v>
      </c>
      <c r="L15983">
        <v>3757</v>
      </c>
      <c r="M15983" t="s">
        <v>34965</v>
      </c>
      <c r="N15983" t="s">
        <v>4652</v>
      </c>
      <c r="O15983" t="s">
        <v>370</v>
      </c>
      <c r="P15983" t="str">
        <f>"33180"</f>
        <v>33180</v>
      </c>
    </row>
    <row r="15984" spans="1:16" x14ac:dyDescent="0.25">
      <c r="A15984" t="str">
        <f>"1230024K00244    00"</f>
        <v>1230024K00244    00</v>
      </c>
      <c r="B15984" t="s">
        <v>34966</v>
      </c>
      <c r="C15984" t="s">
        <v>34967</v>
      </c>
      <c r="D15984" t="s">
        <v>20</v>
      </c>
      <c r="E15984" t="s">
        <v>39</v>
      </c>
      <c r="F15984">
        <v>0</v>
      </c>
      <c r="G15984">
        <v>0</v>
      </c>
      <c r="H15984">
        <v>1</v>
      </c>
      <c r="I15984" s="3">
        <v>2075.64</v>
      </c>
      <c r="J15984" s="3">
        <v>0</v>
      </c>
      <c r="K15984" t="s">
        <v>34968</v>
      </c>
      <c r="L15984">
        <v>900</v>
      </c>
      <c r="M15984" t="s">
        <v>34969</v>
      </c>
      <c r="N15984" t="s">
        <v>30</v>
      </c>
      <c r="O15984" t="s">
        <v>31</v>
      </c>
      <c r="P15984" t="str">
        <f>"15212"</f>
        <v>15212</v>
      </c>
    </row>
    <row r="15985" spans="1:16" x14ac:dyDescent="0.25">
      <c r="A15985" t="str">
        <f>"1230024K00260    00"</f>
        <v>1230024K00260    00</v>
      </c>
      <c r="B15985" t="s">
        <v>34970</v>
      </c>
      <c r="C15985" t="s">
        <v>34971</v>
      </c>
      <c r="D15985" t="s">
        <v>20</v>
      </c>
      <c r="E15985" t="s">
        <v>290</v>
      </c>
      <c r="F15985">
        <v>0</v>
      </c>
      <c r="G15985">
        <v>0</v>
      </c>
      <c r="H15985">
        <v>2</v>
      </c>
      <c r="I15985" s="3">
        <v>2382.5</v>
      </c>
      <c r="J15985" s="3">
        <v>0</v>
      </c>
      <c r="K15985" t="s">
        <v>34972</v>
      </c>
      <c r="L15985">
        <v>703</v>
      </c>
      <c r="M15985" t="s">
        <v>230</v>
      </c>
      <c r="N15985" t="s">
        <v>30</v>
      </c>
      <c r="O15985" t="s">
        <v>31</v>
      </c>
      <c r="P15985" t="str">
        <f>"15215"</f>
        <v>15215</v>
      </c>
    </row>
    <row r="15986" spans="1:16" x14ac:dyDescent="0.25">
      <c r="A15986" t="str">
        <f>"1230024K00265    00"</f>
        <v>1230024K00265    00</v>
      </c>
      <c r="B15986" t="s">
        <v>34973</v>
      </c>
      <c r="C15986" t="s">
        <v>34974</v>
      </c>
      <c r="D15986" t="s">
        <v>20</v>
      </c>
      <c r="E15986" t="s">
        <v>39</v>
      </c>
      <c r="F15986">
        <v>0</v>
      </c>
      <c r="G15986">
        <v>0</v>
      </c>
      <c r="H15986">
        <v>1</v>
      </c>
      <c r="I15986" s="3">
        <v>1505.74</v>
      </c>
      <c r="J15986" s="3">
        <v>0</v>
      </c>
      <c r="K15986" t="s">
        <v>34975</v>
      </c>
      <c r="M15986" t="s">
        <v>34976</v>
      </c>
      <c r="N15986" t="s">
        <v>1809</v>
      </c>
      <c r="O15986" t="s">
        <v>31</v>
      </c>
      <c r="P15986" t="str">
        <f>"15009"</f>
        <v>15009</v>
      </c>
    </row>
    <row r="15987" spans="1:16" x14ac:dyDescent="0.25">
      <c r="A15987" t="str">
        <f>"1230024K00277    00"</f>
        <v>1230024K00277    00</v>
      </c>
      <c r="B15987" t="s">
        <v>34977</v>
      </c>
      <c r="C15987" t="s">
        <v>34978</v>
      </c>
      <c r="D15987" t="s">
        <v>20</v>
      </c>
      <c r="E15987" t="s">
        <v>39</v>
      </c>
      <c r="F15987">
        <v>0</v>
      </c>
      <c r="G15987">
        <v>0</v>
      </c>
      <c r="H15987">
        <v>4</v>
      </c>
      <c r="I15987" s="3">
        <v>176.2</v>
      </c>
      <c r="J15987" s="3">
        <v>20.92</v>
      </c>
      <c r="L15987">
        <v>919</v>
      </c>
      <c r="M15987" t="s">
        <v>34979</v>
      </c>
      <c r="N15987" t="s">
        <v>30</v>
      </c>
      <c r="O15987" t="s">
        <v>31</v>
      </c>
      <c r="P15987" t="str">
        <f>"15212"</f>
        <v>15212</v>
      </c>
    </row>
    <row r="15988" spans="1:16" x14ac:dyDescent="0.25">
      <c r="A15988" t="str">
        <f>"1230024K00279    00"</f>
        <v>1230024K00279    00</v>
      </c>
      <c r="B15988" t="s">
        <v>34980</v>
      </c>
      <c r="C15988" t="s">
        <v>34981</v>
      </c>
      <c r="D15988" t="s">
        <v>20</v>
      </c>
      <c r="E15988" t="s">
        <v>39</v>
      </c>
      <c r="F15988">
        <v>0</v>
      </c>
      <c r="G15988">
        <v>0</v>
      </c>
      <c r="H15988">
        <v>3</v>
      </c>
      <c r="I15988" s="3">
        <v>7446.75</v>
      </c>
      <c r="J15988" s="3">
        <v>78.48</v>
      </c>
      <c r="K15988" t="s">
        <v>445</v>
      </c>
      <c r="L15988">
        <v>3001</v>
      </c>
      <c r="M15988" t="s">
        <v>330</v>
      </c>
      <c r="N15988" t="s">
        <v>331</v>
      </c>
      <c r="O15988" t="s">
        <v>108</v>
      </c>
      <c r="P15988" t="str">
        <f>"75063"</f>
        <v>75063</v>
      </c>
    </row>
    <row r="15989" spans="1:16" x14ac:dyDescent="0.25">
      <c r="A15989" t="str">
        <f>"1230024K00295    00"</f>
        <v>1230024K00295    00</v>
      </c>
      <c r="B15989" t="s">
        <v>34982</v>
      </c>
      <c r="C15989" t="s">
        <v>34983</v>
      </c>
      <c r="E15989" t="s">
        <v>290</v>
      </c>
      <c r="F15989">
        <v>0</v>
      </c>
      <c r="G15989">
        <v>0</v>
      </c>
      <c r="H15989">
        <v>1</v>
      </c>
      <c r="I15989" s="3">
        <v>1025.48</v>
      </c>
      <c r="J15989" s="3">
        <v>0</v>
      </c>
      <c r="L15989">
        <v>1004</v>
      </c>
      <c r="M15989" t="s">
        <v>34979</v>
      </c>
      <c r="N15989" t="s">
        <v>30</v>
      </c>
      <c r="O15989" t="s">
        <v>31</v>
      </c>
      <c r="P15989" t="str">
        <f>"15212"</f>
        <v>15212</v>
      </c>
    </row>
    <row r="15990" spans="1:16" x14ac:dyDescent="0.25">
      <c r="A15990" t="str">
        <f>"1230024K00297    00"</f>
        <v>1230024K00297    00</v>
      </c>
      <c r="B15990" t="s">
        <v>34984</v>
      </c>
      <c r="C15990" t="s">
        <v>34985</v>
      </c>
      <c r="D15990" t="s">
        <v>20</v>
      </c>
      <c r="E15990" t="s">
        <v>39</v>
      </c>
      <c r="F15990">
        <v>0</v>
      </c>
      <c r="G15990">
        <v>0</v>
      </c>
      <c r="H15990">
        <v>5</v>
      </c>
      <c r="I15990" s="3">
        <v>2478.7199999999998</v>
      </c>
      <c r="J15990" s="3">
        <v>268.76</v>
      </c>
      <c r="L15990">
        <v>920</v>
      </c>
      <c r="M15990" t="s">
        <v>34979</v>
      </c>
      <c r="N15990" t="s">
        <v>30</v>
      </c>
      <c r="O15990" t="s">
        <v>31</v>
      </c>
      <c r="P15990" t="str">
        <f>"15212"</f>
        <v>15212</v>
      </c>
    </row>
    <row r="15991" spans="1:16" x14ac:dyDescent="0.25">
      <c r="A15991" t="str">
        <f>"1230024K00318    00"</f>
        <v>1230024K00318    00</v>
      </c>
      <c r="B15991" t="s">
        <v>33371</v>
      </c>
      <c r="C15991" t="s">
        <v>34986</v>
      </c>
      <c r="D15991" t="s">
        <v>20</v>
      </c>
      <c r="E15991" t="s">
        <v>39</v>
      </c>
      <c r="F15991">
        <v>0</v>
      </c>
      <c r="G15991">
        <v>0</v>
      </c>
      <c r="H15991">
        <v>1</v>
      </c>
      <c r="I15991" s="3">
        <v>484.12</v>
      </c>
      <c r="J15991" s="3">
        <v>0</v>
      </c>
      <c r="K15991" t="s">
        <v>33373</v>
      </c>
      <c r="L15991">
        <v>3001</v>
      </c>
      <c r="M15991" t="s">
        <v>34987</v>
      </c>
      <c r="N15991" t="s">
        <v>30</v>
      </c>
      <c r="O15991" t="s">
        <v>31</v>
      </c>
      <c r="P15991" t="str">
        <f>"15237"</f>
        <v>15237</v>
      </c>
    </row>
    <row r="15992" spans="1:16" x14ac:dyDescent="0.25">
      <c r="A15992" t="str">
        <f>"1230024K00327    00"</f>
        <v>1230024K00327    00</v>
      </c>
      <c r="B15992" t="s">
        <v>34864</v>
      </c>
      <c r="C15992" t="s">
        <v>34988</v>
      </c>
      <c r="D15992" t="s">
        <v>20</v>
      </c>
      <c r="E15992" t="s">
        <v>39</v>
      </c>
      <c r="F15992">
        <v>0</v>
      </c>
      <c r="G15992">
        <v>0</v>
      </c>
      <c r="H15992">
        <v>1</v>
      </c>
      <c r="I15992" s="3">
        <v>1959.37</v>
      </c>
      <c r="J15992" s="3">
        <v>0</v>
      </c>
      <c r="K15992" t="s">
        <v>34866</v>
      </c>
      <c r="L15992">
        <v>4858</v>
      </c>
      <c r="M15992" t="s">
        <v>34989</v>
      </c>
      <c r="N15992" t="s">
        <v>26823</v>
      </c>
      <c r="O15992" t="s">
        <v>495</v>
      </c>
      <c r="P15992" t="str">
        <f>"90808"</f>
        <v>90808</v>
      </c>
    </row>
    <row r="15993" spans="1:16" x14ac:dyDescent="0.25">
      <c r="A15993" t="str">
        <f>"1230024K00335    00"</f>
        <v>1230024K00335    00</v>
      </c>
      <c r="B15993" t="s">
        <v>34990</v>
      </c>
      <c r="C15993" t="s">
        <v>34991</v>
      </c>
      <c r="D15993" t="s">
        <v>20</v>
      </c>
      <c r="E15993" t="s">
        <v>39</v>
      </c>
      <c r="F15993">
        <v>0</v>
      </c>
      <c r="G15993">
        <v>0</v>
      </c>
      <c r="H15993">
        <v>4</v>
      </c>
      <c r="I15993" s="3">
        <v>2662.05</v>
      </c>
      <c r="J15993" s="3">
        <v>305.19</v>
      </c>
      <c r="L15993">
        <v>907</v>
      </c>
      <c r="M15993" t="s">
        <v>34949</v>
      </c>
      <c r="N15993" t="s">
        <v>30</v>
      </c>
      <c r="O15993" t="s">
        <v>31</v>
      </c>
      <c r="P15993" t="str">
        <f>"15212"</f>
        <v>15212</v>
      </c>
    </row>
    <row r="15994" spans="1:16" x14ac:dyDescent="0.25">
      <c r="A15994" t="str">
        <f>"1230024K00336    00"</f>
        <v>1230024K00336    00</v>
      </c>
      <c r="B15994" t="s">
        <v>34992</v>
      </c>
      <c r="C15994" t="s">
        <v>34993</v>
      </c>
      <c r="D15994" t="s">
        <v>20</v>
      </c>
      <c r="E15994" t="s">
        <v>39</v>
      </c>
      <c r="F15994">
        <v>0</v>
      </c>
      <c r="G15994">
        <v>0</v>
      </c>
      <c r="H15994">
        <v>1</v>
      </c>
      <c r="I15994" s="3">
        <v>1294.6400000000001</v>
      </c>
      <c r="J15994" s="3">
        <v>0</v>
      </c>
      <c r="K15994" t="s">
        <v>759</v>
      </c>
      <c r="L15994">
        <v>3001</v>
      </c>
      <c r="M15994" t="s">
        <v>404</v>
      </c>
      <c r="N15994" t="s">
        <v>331</v>
      </c>
      <c r="O15994" t="s">
        <v>108</v>
      </c>
      <c r="P15994" t="str">
        <f>"75063"</f>
        <v>75063</v>
      </c>
    </row>
    <row r="15995" spans="1:16" x14ac:dyDescent="0.25">
      <c r="A15995" t="str">
        <f>"1230024K00350    00"</f>
        <v>1230024K00350    00</v>
      </c>
      <c r="B15995" t="s">
        <v>34994</v>
      </c>
      <c r="C15995" t="s">
        <v>34995</v>
      </c>
      <c r="E15995" t="s">
        <v>39</v>
      </c>
      <c r="F15995">
        <v>0</v>
      </c>
      <c r="G15995">
        <v>0</v>
      </c>
      <c r="H15995">
        <v>1</v>
      </c>
      <c r="I15995" s="3">
        <v>41.93</v>
      </c>
      <c r="J15995" s="3">
        <v>0</v>
      </c>
      <c r="K15995" t="s">
        <v>5141</v>
      </c>
      <c r="L15995">
        <v>1</v>
      </c>
      <c r="M15995" t="s">
        <v>5142</v>
      </c>
      <c r="N15995" t="s">
        <v>5143</v>
      </c>
      <c r="O15995" t="s">
        <v>3486</v>
      </c>
      <c r="P15995" t="str">
        <f>"60047"</f>
        <v>60047</v>
      </c>
    </row>
    <row r="15996" spans="1:16" x14ac:dyDescent="0.25">
      <c r="A15996" t="str">
        <f>"1230024L00036    00"</f>
        <v>1230024L00036    00</v>
      </c>
      <c r="B15996" t="s">
        <v>34996</v>
      </c>
      <c r="C15996" t="s">
        <v>34997</v>
      </c>
      <c r="D15996" t="s">
        <v>20</v>
      </c>
      <c r="E15996" t="s">
        <v>39</v>
      </c>
      <c r="F15996">
        <v>0</v>
      </c>
      <c r="G15996">
        <v>0</v>
      </c>
      <c r="H15996">
        <v>2</v>
      </c>
      <c r="I15996" s="3">
        <v>5336.14</v>
      </c>
      <c r="J15996" s="3">
        <v>0</v>
      </c>
      <c r="K15996" t="s">
        <v>34998</v>
      </c>
      <c r="L15996">
        <v>3077</v>
      </c>
      <c r="M15996" t="s">
        <v>34999</v>
      </c>
      <c r="N15996" t="s">
        <v>30</v>
      </c>
      <c r="O15996" t="s">
        <v>31</v>
      </c>
      <c r="P15996" t="str">
        <f>"15212"</f>
        <v>15212</v>
      </c>
    </row>
    <row r="15997" spans="1:16" x14ac:dyDescent="0.25">
      <c r="A15997" t="str">
        <f>"1230024L00085    00"</f>
        <v>1230024L00085    00</v>
      </c>
      <c r="B15997" t="s">
        <v>35000</v>
      </c>
      <c r="C15997" t="s">
        <v>35001</v>
      </c>
      <c r="E15997" t="s">
        <v>39</v>
      </c>
      <c r="F15997">
        <v>0</v>
      </c>
      <c r="G15997">
        <v>0</v>
      </c>
      <c r="H15997">
        <v>4</v>
      </c>
      <c r="I15997" s="3">
        <v>1574.68</v>
      </c>
      <c r="J15997" s="3">
        <v>1135.56</v>
      </c>
      <c r="L15997">
        <v>1162</v>
      </c>
      <c r="M15997" t="s">
        <v>34701</v>
      </c>
      <c r="N15997" t="s">
        <v>30</v>
      </c>
      <c r="O15997" t="s">
        <v>31</v>
      </c>
      <c r="P15997" t="str">
        <f>"15212"</f>
        <v>15212</v>
      </c>
    </row>
    <row r="15998" spans="1:16" x14ac:dyDescent="0.25">
      <c r="A15998" t="str">
        <f>"1230024N00006    00"</f>
        <v>1230024N00006    00</v>
      </c>
      <c r="B15998" t="s">
        <v>35002</v>
      </c>
      <c r="C15998" t="s">
        <v>35003</v>
      </c>
      <c r="E15998" t="s">
        <v>39</v>
      </c>
      <c r="F15998">
        <v>0</v>
      </c>
      <c r="G15998">
        <v>0</v>
      </c>
      <c r="H15998">
        <v>1</v>
      </c>
      <c r="I15998" s="3">
        <v>263.17</v>
      </c>
      <c r="J15998" s="3">
        <v>133.78</v>
      </c>
      <c r="K15998" t="s">
        <v>34053</v>
      </c>
      <c r="L15998">
        <v>1</v>
      </c>
      <c r="M15998" t="s">
        <v>6436</v>
      </c>
      <c r="N15998" t="s">
        <v>8433</v>
      </c>
      <c r="O15998" t="s">
        <v>8434</v>
      </c>
      <c r="P15998" t="str">
        <f>"02903"</f>
        <v>02903</v>
      </c>
    </row>
    <row r="15999" spans="1:16" x14ac:dyDescent="0.25">
      <c r="A15999" t="str">
        <f>"1230024N00007    00"</f>
        <v>1230024N00007    00</v>
      </c>
      <c r="B15999" t="s">
        <v>35004</v>
      </c>
      <c r="C15999" t="s">
        <v>35005</v>
      </c>
      <c r="E15999" t="s">
        <v>39</v>
      </c>
      <c r="F15999">
        <v>0</v>
      </c>
      <c r="G15999">
        <v>0</v>
      </c>
      <c r="H15999">
        <v>2</v>
      </c>
      <c r="I15999" s="3">
        <v>1114.42</v>
      </c>
      <c r="J15999" s="3">
        <v>557.20000000000005</v>
      </c>
      <c r="K15999" t="s">
        <v>35006</v>
      </c>
      <c r="L15999">
        <v>810</v>
      </c>
      <c r="M15999" t="s">
        <v>10703</v>
      </c>
      <c r="N15999" t="s">
        <v>30</v>
      </c>
      <c r="O15999" t="s">
        <v>31</v>
      </c>
      <c r="P15999" t="str">
        <f>"15212"</f>
        <v>15212</v>
      </c>
    </row>
    <row r="16000" spans="1:16" x14ac:dyDescent="0.25">
      <c r="A16000" t="str">
        <f>"1230024N00011    00"</f>
        <v>1230024N00011    00</v>
      </c>
      <c r="B16000" t="s">
        <v>35007</v>
      </c>
      <c r="C16000" t="s">
        <v>35008</v>
      </c>
      <c r="E16000" t="s">
        <v>39</v>
      </c>
      <c r="F16000">
        <v>0</v>
      </c>
      <c r="G16000">
        <v>0</v>
      </c>
      <c r="H16000">
        <v>1</v>
      </c>
      <c r="I16000" s="3">
        <v>143.38999999999999</v>
      </c>
      <c r="J16000" s="3">
        <v>9.5500000000000007</v>
      </c>
      <c r="K16000" t="s">
        <v>35009</v>
      </c>
      <c r="L16000">
        <v>3226</v>
      </c>
      <c r="M16000" t="s">
        <v>35010</v>
      </c>
      <c r="N16000" t="s">
        <v>30</v>
      </c>
      <c r="O16000" t="s">
        <v>31</v>
      </c>
      <c r="P16000" t="str">
        <f>"15216"</f>
        <v>15216</v>
      </c>
    </row>
    <row r="16001" spans="1:16" x14ac:dyDescent="0.25">
      <c r="A16001" t="str">
        <f>"1230024N00052    00"</f>
        <v>1230024N00052    00</v>
      </c>
      <c r="B16001" t="s">
        <v>13517</v>
      </c>
      <c r="C16001" t="s">
        <v>35011</v>
      </c>
      <c r="D16001" t="s">
        <v>20</v>
      </c>
      <c r="E16001" t="s">
        <v>39</v>
      </c>
      <c r="F16001">
        <v>0</v>
      </c>
      <c r="G16001">
        <v>0</v>
      </c>
      <c r="H16001">
        <v>3</v>
      </c>
      <c r="I16001" s="3">
        <v>2321.52</v>
      </c>
      <c r="J16001" s="3">
        <v>154.77000000000001</v>
      </c>
      <c r="M16001" t="s">
        <v>35012</v>
      </c>
      <c r="N16001" t="s">
        <v>35013</v>
      </c>
      <c r="O16001" t="s">
        <v>10362</v>
      </c>
      <c r="P16001" t="str">
        <f>"96766"</f>
        <v>96766</v>
      </c>
    </row>
    <row r="16002" spans="1:16" x14ac:dyDescent="0.25">
      <c r="A16002" t="str">
        <f>"1230024N00078    00"</f>
        <v>1230024N00078    00</v>
      </c>
      <c r="B16002" t="s">
        <v>35014</v>
      </c>
      <c r="C16002" t="s">
        <v>35015</v>
      </c>
      <c r="D16002" t="s">
        <v>20</v>
      </c>
      <c r="E16002" t="s">
        <v>21</v>
      </c>
      <c r="F16002">
        <v>0</v>
      </c>
      <c r="G16002">
        <v>0</v>
      </c>
      <c r="H16002">
        <v>3</v>
      </c>
      <c r="I16002" s="3">
        <v>4002.66</v>
      </c>
      <c r="J16002" s="3">
        <v>266.83999999999997</v>
      </c>
      <c r="L16002">
        <v>2210</v>
      </c>
      <c r="M16002" t="s">
        <v>7504</v>
      </c>
      <c r="N16002" t="s">
        <v>30</v>
      </c>
      <c r="O16002" t="s">
        <v>31</v>
      </c>
      <c r="P16002" t="str">
        <f>"15212"</f>
        <v>15212</v>
      </c>
    </row>
    <row r="16003" spans="1:16" x14ac:dyDescent="0.25">
      <c r="A16003" t="str">
        <f>"1230024N00086    00"</f>
        <v>1230024N00086    00</v>
      </c>
      <c r="B16003" t="s">
        <v>35016</v>
      </c>
      <c r="C16003" t="s">
        <v>35017</v>
      </c>
      <c r="D16003" t="s">
        <v>20</v>
      </c>
      <c r="E16003" t="s">
        <v>39</v>
      </c>
      <c r="F16003">
        <v>0</v>
      </c>
      <c r="G16003">
        <v>0</v>
      </c>
      <c r="H16003">
        <v>3</v>
      </c>
      <c r="I16003" s="3">
        <v>371.7</v>
      </c>
      <c r="J16003" s="3">
        <v>24.79</v>
      </c>
      <c r="L16003">
        <v>625</v>
      </c>
      <c r="M16003" t="s">
        <v>35018</v>
      </c>
      <c r="N16003" t="s">
        <v>30</v>
      </c>
      <c r="O16003" t="s">
        <v>31</v>
      </c>
      <c r="P16003" t="str">
        <f>"15212"</f>
        <v>15212</v>
      </c>
    </row>
    <row r="16004" spans="1:16" x14ac:dyDescent="0.25">
      <c r="A16004" t="str">
        <f>"1230024N00086A   00"</f>
        <v>1230024N00086A   00</v>
      </c>
      <c r="B16004" t="s">
        <v>35016</v>
      </c>
      <c r="C16004" t="s">
        <v>35019</v>
      </c>
      <c r="D16004" t="s">
        <v>20</v>
      </c>
      <c r="E16004" t="s">
        <v>21</v>
      </c>
      <c r="F16004">
        <v>0</v>
      </c>
      <c r="G16004">
        <v>0</v>
      </c>
      <c r="H16004">
        <v>3</v>
      </c>
      <c r="I16004" s="3">
        <v>2607.4499999999998</v>
      </c>
      <c r="J16004" s="3">
        <v>173.82</v>
      </c>
      <c r="L16004">
        <v>625</v>
      </c>
      <c r="M16004" t="s">
        <v>35018</v>
      </c>
      <c r="N16004" t="s">
        <v>30</v>
      </c>
      <c r="O16004" t="s">
        <v>31</v>
      </c>
      <c r="P16004" t="str">
        <f>"15212"</f>
        <v>15212</v>
      </c>
    </row>
    <row r="16005" spans="1:16" x14ac:dyDescent="0.25">
      <c r="A16005" t="str">
        <f>"1230024N00092A   00"</f>
        <v>1230024N00092A   00</v>
      </c>
      <c r="B16005" t="s">
        <v>35020</v>
      </c>
      <c r="C16005" t="s">
        <v>35021</v>
      </c>
      <c r="D16005" t="s">
        <v>20</v>
      </c>
      <c r="E16005" t="s">
        <v>39</v>
      </c>
      <c r="F16005">
        <v>0</v>
      </c>
      <c r="G16005">
        <v>0</v>
      </c>
      <c r="H16005">
        <v>1</v>
      </c>
      <c r="I16005" s="3">
        <v>1149.33</v>
      </c>
      <c r="J16005" s="3">
        <v>0</v>
      </c>
      <c r="K16005" t="s">
        <v>35022</v>
      </c>
      <c r="L16005">
        <v>94</v>
      </c>
      <c r="M16005" t="s">
        <v>7116</v>
      </c>
      <c r="N16005" t="s">
        <v>30</v>
      </c>
      <c r="O16005" t="s">
        <v>31</v>
      </c>
      <c r="P16005" t="str">
        <f>"15211"</f>
        <v>15211</v>
      </c>
    </row>
    <row r="16006" spans="1:16" x14ac:dyDescent="0.25">
      <c r="A16006" t="str">
        <f>"1230024N00115    00"</f>
        <v>1230024N00115    00</v>
      </c>
      <c r="B16006" t="s">
        <v>35023</v>
      </c>
      <c r="C16006" t="s">
        <v>35024</v>
      </c>
      <c r="E16006" t="s">
        <v>21</v>
      </c>
      <c r="F16006">
        <v>0</v>
      </c>
      <c r="G16006">
        <v>0</v>
      </c>
      <c r="H16006">
        <v>6</v>
      </c>
      <c r="I16006" s="3">
        <v>6450.6</v>
      </c>
      <c r="J16006" s="3">
        <v>4162.91</v>
      </c>
      <c r="K16006" t="s">
        <v>35025</v>
      </c>
      <c r="L16006">
        <v>1319</v>
      </c>
      <c r="M16006" t="s">
        <v>35026</v>
      </c>
      <c r="N16006" t="s">
        <v>30</v>
      </c>
      <c r="O16006" t="s">
        <v>31</v>
      </c>
      <c r="P16006" t="str">
        <f>"15233"</f>
        <v>15233</v>
      </c>
    </row>
    <row r="16007" spans="1:16" x14ac:dyDescent="0.25">
      <c r="A16007" t="str">
        <f>"1230024N00121    00"</f>
        <v>1230024N00121    00</v>
      </c>
      <c r="B16007" t="s">
        <v>35027</v>
      </c>
      <c r="C16007" t="s">
        <v>35028</v>
      </c>
      <c r="D16007" t="s">
        <v>20</v>
      </c>
      <c r="E16007" t="s">
        <v>21</v>
      </c>
      <c r="F16007">
        <v>0</v>
      </c>
      <c r="G16007">
        <v>0</v>
      </c>
      <c r="H16007">
        <v>1</v>
      </c>
      <c r="I16007" s="3">
        <v>3796.75</v>
      </c>
      <c r="J16007" s="3">
        <v>0</v>
      </c>
      <c r="K16007" t="s">
        <v>35029</v>
      </c>
      <c r="L16007">
        <v>3587</v>
      </c>
      <c r="M16007" t="s">
        <v>35030</v>
      </c>
      <c r="N16007" t="s">
        <v>17329</v>
      </c>
      <c r="O16007" t="s">
        <v>1413</v>
      </c>
      <c r="P16007" t="str">
        <f>"27713"</f>
        <v>27713</v>
      </c>
    </row>
    <row r="16008" spans="1:16" x14ac:dyDescent="0.25">
      <c r="A16008" t="str">
        <f>"1230024N00142    00"</f>
        <v>1230024N00142    00</v>
      </c>
      <c r="B16008" t="s">
        <v>35031</v>
      </c>
      <c r="C16008" t="s">
        <v>35032</v>
      </c>
      <c r="D16008" t="s">
        <v>20</v>
      </c>
      <c r="E16008" t="s">
        <v>21</v>
      </c>
      <c r="F16008">
        <v>0</v>
      </c>
      <c r="G16008">
        <v>0</v>
      </c>
      <c r="H16008">
        <v>1</v>
      </c>
      <c r="I16008" s="3">
        <v>1906</v>
      </c>
      <c r="J16008" s="3">
        <v>0</v>
      </c>
      <c r="K16008" t="s">
        <v>35033</v>
      </c>
      <c r="L16008">
        <v>614</v>
      </c>
      <c r="M16008" t="s">
        <v>34567</v>
      </c>
      <c r="N16008" t="s">
        <v>30</v>
      </c>
      <c r="O16008" t="s">
        <v>31</v>
      </c>
      <c r="P16008" t="str">
        <f>"15212"</f>
        <v>15212</v>
      </c>
    </row>
    <row r="16009" spans="1:16" x14ac:dyDescent="0.25">
      <c r="A16009" t="str">
        <f>"1230024N00159    00"</f>
        <v>1230024N00159    00</v>
      </c>
      <c r="B16009" t="s">
        <v>35034</v>
      </c>
      <c r="C16009" t="s">
        <v>35035</v>
      </c>
      <c r="E16009" t="s">
        <v>21</v>
      </c>
      <c r="F16009">
        <v>0</v>
      </c>
      <c r="G16009">
        <v>0</v>
      </c>
      <c r="H16009">
        <v>1</v>
      </c>
      <c r="I16009" s="3">
        <v>2388.23</v>
      </c>
      <c r="J16009" s="3">
        <v>0</v>
      </c>
      <c r="L16009">
        <v>842</v>
      </c>
      <c r="M16009" t="s">
        <v>35036</v>
      </c>
      <c r="N16009" t="s">
        <v>30</v>
      </c>
      <c r="O16009" t="s">
        <v>31</v>
      </c>
      <c r="P16009" t="str">
        <f>"15212"</f>
        <v>15212</v>
      </c>
    </row>
    <row r="16010" spans="1:16" x14ac:dyDescent="0.25">
      <c r="A16010" t="str">
        <f>"1230024N00165    00"</f>
        <v>1230024N00165    00</v>
      </c>
      <c r="B16010" t="s">
        <v>35037</v>
      </c>
      <c r="C16010" t="s">
        <v>35038</v>
      </c>
      <c r="D16010" t="s">
        <v>20</v>
      </c>
      <c r="E16010" t="s">
        <v>21</v>
      </c>
      <c r="F16010">
        <v>0</v>
      </c>
      <c r="G16010">
        <v>0</v>
      </c>
      <c r="H16010">
        <v>1</v>
      </c>
      <c r="I16010" s="3">
        <v>41000</v>
      </c>
      <c r="J16010" s="3">
        <v>0</v>
      </c>
      <c r="L16010">
        <v>610</v>
      </c>
      <c r="M16010" t="s">
        <v>30668</v>
      </c>
      <c r="N16010" t="s">
        <v>30</v>
      </c>
      <c r="O16010" t="s">
        <v>31</v>
      </c>
      <c r="P16010" t="str">
        <f>"15212"</f>
        <v>15212</v>
      </c>
    </row>
    <row r="16011" spans="1:16" x14ac:dyDescent="0.25">
      <c r="A16011" t="str">
        <f>"1230024N00195    00"</f>
        <v>1230024N00195    00</v>
      </c>
      <c r="B16011" t="s">
        <v>35037</v>
      </c>
      <c r="C16011" t="s">
        <v>35038</v>
      </c>
      <c r="D16011" t="s">
        <v>20</v>
      </c>
      <c r="E16011" t="s">
        <v>21</v>
      </c>
      <c r="F16011">
        <v>0</v>
      </c>
      <c r="G16011">
        <v>0</v>
      </c>
      <c r="H16011">
        <v>2</v>
      </c>
      <c r="I16011" s="3">
        <v>967.23</v>
      </c>
      <c r="J16011" s="3">
        <v>0</v>
      </c>
      <c r="L16011">
        <v>610</v>
      </c>
      <c r="M16011" t="s">
        <v>30668</v>
      </c>
      <c r="N16011" t="s">
        <v>30</v>
      </c>
      <c r="O16011" t="s">
        <v>31</v>
      </c>
      <c r="P16011" t="str">
        <f>"15212"</f>
        <v>15212</v>
      </c>
    </row>
    <row r="16012" spans="1:16" x14ac:dyDescent="0.25">
      <c r="A16012" t="str">
        <f>"1230024N00208    00"</f>
        <v>1230024N00208    00</v>
      </c>
      <c r="B16012" t="s">
        <v>35039</v>
      </c>
      <c r="C16012" t="s">
        <v>35040</v>
      </c>
      <c r="D16012" t="s">
        <v>20</v>
      </c>
      <c r="E16012" t="s">
        <v>21</v>
      </c>
      <c r="F16012">
        <v>0</v>
      </c>
      <c r="G16012">
        <v>0</v>
      </c>
      <c r="H16012">
        <v>2</v>
      </c>
      <c r="I16012" s="3">
        <v>3825.32</v>
      </c>
      <c r="J16012" s="3">
        <v>421.11</v>
      </c>
      <c r="K16012" t="s">
        <v>35041</v>
      </c>
      <c r="L16012">
        <v>117</v>
      </c>
      <c r="M16012" t="s">
        <v>35042</v>
      </c>
      <c r="N16012" t="s">
        <v>6351</v>
      </c>
      <c r="O16012" t="s">
        <v>31</v>
      </c>
      <c r="P16012" t="str">
        <f>"16059"</f>
        <v>16059</v>
      </c>
    </row>
    <row r="16013" spans="1:16" x14ac:dyDescent="0.25">
      <c r="A16013" t="str">
        <f>"1230024N00212    00"</f>
        <v>1230024N00212    00</v>
      </c>
      <c r="B16013" t="s">
        <v>35043</v>
      </c>
      <c r="C16013" t="s">
        <v>35044</v>
      </c>
      <c r="E16013" t="s">
        <v>21</v>
      </c>
      <c r="F16013">
        <v>0</v>
      </c>
      <c r="G16013">
        <v>0</v>
      </c>
      <c r="H16013">
        <v>1</v>
      </c>
      <c r="I16013" s="3">
        <v>673.81</v>
      </c>
      <c r="J16013" s="3">
        <v>129.13999999999999</v>
      </c>
      <c r="K16013" t="s">
        <v>35045</v>
      </c>
      <c r="L16013">
        <v>205</v>
      </c>
      <c r="M16013" t="s">
        <v>35046</v>
      </c>
      <c r="N16013" t="s">
        <v>4318</v>
      </c>
      <c r="O16013" t="s">
        <v>31</v>
      </c>
      <c r="P16013" t="str">
        <f>"16046"</f>
        <v>16046</v>
      </c>
    </row>
    <row r="16014" spans="1:16" x14ac:dyDescent="0.25">
      <c r="A16014" t="str">
        <f>"1230024N00219    00"</f>
        <v>1230024N00219    00</v>
      </c>
      <c r="B16014" t="s">
        <v>35047</v>
      </c>
      <c r="C16014" t="s">
        <v>35048</v>
      </c>
      <c r="D16014" t="s">
        <v>20</v>
      </c>
      <c r="E16014" t="s">
        <v>39</v>
      </c>
      <c r="F16014">
        <v>0</v>
      </c>
      <c r="G16014">
        <v>0</v>
      </c>
      <c r="H16014">
        <v>1</v>
      </c>
      <c r="I16014" s="3">
        <v>1959.9</v>
      </c>
      <c r="J16014" s="3">
        <v>0</v>
      </c>
      <c r="K16014" t="s">
        <v>35049</v>
      </c>
      <c r="L16014">
        <v>530</v>
      </c>
      <c r="M16014" t="s">
        <v>34411</v>
      </c>
      <c r="N16014" t="s">
        <v>30</v>
      </c>
      <c r="O16014" t="s">
        <v>31</v>
      </c>
      <c r="P16014" t="str">
        <f>"15212"</f>
        <v>15212</v>
      </c>
    </row>
    <row r="16015" spans="1:16" x14ac:dyDescent="0.25">
      <c r="A16015" t="str">
        <f>"1230024N00224    00"</f>
        <v>1230024N00224    00</v>
      </c>
      <c r="B16015" t="s">
        <v>34511</v>
      </c>
      <c r="C16015" t="s">
        <v>35050</v>
      </c>
      <c r="D16015" t="s">
        <v>20</v>
      </c>
      <c r="E16015" t="s">
        <v>39</v>
      </c>
      <c r="F16015">
        <v>0</v>
      </c>
      <c r="G16015">
        <v>0</v>
      </c>
      <c r="H16015">
        <v>2</v>
      </c>
      <c r="I16015" s="3">
        <v>8035.74</v>
      </c>
      <c r="J16015" s="3">
        <v>0</v>
      </c>
      <c r="K16015" t="s">
        <v>34514</v>
      </c>
      <c r="L16015">
        <v>413</v>
      </c>
      <c r="M16015" t="s">
        <v>1481</v>
      </c>
      <c r="N16015" t="s">
        <v>30</v>
      </c>
      <c r="O16015" t="s">
        <v>31</v>
      </c>
      <c r="P16015" t="str">
        <f>"15213"</f>
        <v>15213</v>
      </c>
    </row>
    <row r="16016" spans="1:16" x14ac:dyDescent="0.25">
      <c r="A16016" t="str">
        <f>"1230024N00242    00"</f>
        <v>1230024N00242    00</v>
      </c>
      <c r="B16016" t="s">
        <v>35051</v>
      </c>
      <c r="C16016" t="s">
        <v>35052</v>
      </c>
      <c r="E16016" t="s">
        <v>66</v>
      </c>
      <c r="F16016">
        <v>0</v>
      </c>
      <c r="G16016">
        <v>0</v>
      </c>
      <c r="H16016">
        <v>6</v>
      </c>
      <c r="I16016" s="3">
        <v>6547.36</v>
      </c>
      <c r="J16016" s="3">
        <v>4857.34</v>
      </c>
      <c r="L16016">
        <v>38</v>
      </c>
      <c r="M16016" t="s">
        <v>35053</v>
      </c>
      <c r="N16016" t="s">
        <v>30</v>
      </c>
      <c r="O16016" t="s">
        <v>31</v>
      </c>
      <c r="P16016" t="str">
        <f>"15212"</f>
        <v>15212</v>
      </c>
    </row>
    <row r="16017" spans="1:16" x14ac:dyDescent="0.25">
      <c r="A16017" t="str">
        <f>"1230024N00277    00"</f>
        <v>1230024N00277    00</v>
      </c>
      <c r="B16017" t="s">
        <v>35054</v>
      </c>
      <c r="C16017" t="s">
        <v>35055</v>
      </c>
      <c r="E16017" t="s">
        <v>39</v>
      </c>
      <c r="F16017">
        <v>0</v>
      </c>
      <c r="G16017">
        <v>0</v>
      </c>
      <c r="H16017">
        <v>1</v>
      </c>
      <c r="I16017" s="3">
        <v>17.41</v>
      </c>
      <c r="J16017" s="3">
        <v>0</v>
      </c>
      <c r="K16017" t="s">
        <v>445</v>
      </c>
      <c r="L16017">
        <v>3001</v>
      </c>
      <c r="M16017" t="s">
        <v>330</v>
      </c>
      <c r="N16017" t="s">
        <v>331</v>
      </c>
      <c r="O16017" t="s">
        <v>108</v>
      </c>
      <c r="P16017" t="str">
        <f>"75063"</f>
        <v>75063</v>
      </c>
    </row>
    <row r="16018" spans="1:16" x14ac:dyDescent="0.25">
      <c r="A16018" t="str">
        <f>"1230024N00284    00"</f>
        <v>1230024N00284    00</v>
      </c>
      <c r="B16018" t="s">
        <v>35056</v>
      </c>
      <c r="C16018" t="s">
        <v>35057</v>
      </c>
      <c r="D16018" t="s">
        <v>20</v>
      </c>
      <c r="E16018" t="s">
        <v>39</v>
      </c>
      <c r="F16018">
        <v>0</v>
      </c>
      <c r="G16018">
        <v>0</v>
      </c>
      <c r="H16018">
        <v>3</v>
      </c>
      <c r="I16018" s="3">
        <v>9713</v>
      </c>
      <c r="J16018" s="3">
        <v>49.16</v>
      </c>
      <c r="K16018" t="s">
        <v>492</v>
      </c>
      <c r="L16018">
        <v>901</v>
      </c>
      <c r="M16018" t="s">
        <v>493</v>
      </c>
      <c r="N16018" t="s">
        <v>494</v>
      </c>
      <c r="O16018" t="s">
        <v>495</v>
      </c>
      <c r="P16018" t="str">
        <f>"91768"</f>
        <v>91768</v>
      </c>
    </row>
    <row r="16019" spans="1:16" x14ac:dyDescent="0.25">
      <c r="A16019" t="str">
        <f>"1230024N00286    00"</f>
        <v>1230024N00286    00</v>
      </c>
      <c r="B16019" t="s">
        <v>35058</v>
      </c>
      <c r="C16019" t="s">
        <v>35059</v>
      </c>
      <c r="D16019" t="s">
        <v>20</v>
      </c>
      <c r="E16019" t="s">
        <v>39</v>
      </c>
      <c r="F16019">
        <v>0</v>
      </c>
      <c r="G16019">
        <v>0</v>
      </c>
      <c r="H16019">
        <v>1</v>
      </c>
      <c r="I16019" s="3">
        <v>671</v>
      </c>
      <c r="J16019" s="3">
        <v>0</v>
      </c>
      <c r="L16019">
        <v>605</v>
      </c>
      <c r="M16019" t="s">
        <v>34411</v>
      </c>
      <c r="N16019" t="s">
        <v>30</v>
      </c>
      <c r="O16019" t="s">
        <v>31</v>
      </c>
      <c r="P16019" t="str">
        <f>"15212"</f>
        <v>15212</v>
      </c>
    </row>
    <row r="16020" spans="1:16" x14ac:dyDescent="0.25">
      <c r="A16020" t="str">
        <f>"1230024N00286000100"</f>
        <v>1230024N00286000100</v>
      </c>
      <c r="B16020" t="s">
        <v>35060</v>
      </c>
      <c r="C16020" t="s">
        <v>35061</v>
      </c>
      <c r="D16020" t="s">
        <v>20</v>
      </c>
      <c r="E16020" t="s">
        <v>39</v>
      </c>
      <c r="F16020">
        <v>0</v>
      </c>
      <c r="G16020">
        <v>0</v>
      </c>
      <c r="H16020">
        <v>9</v>
      </c>
      <c r="I16020" s="3">
        <v>14341</v>
      </c>
      <c r="J16020" s="3">
        <v>4656.3900000000003</v>
      </c>
      <c r="L16020">
        <v>601</v>
      </c>
      <c r="M16020" t="s">
        <v>34411</v>
      </c>
      <c r="N16020" t="s">
        <v>30</v>
      </c>
      <c r="O16020" t="s">
        <v>31</v>
      </c>
      <c r="P16020" t="str">
        <f>"15212"</f>
        <v>15212</v>
      </c>
    </row>
    <row r="16021" spans="1:16" x14ac:dyDescent="0.25">
      <c r="A16021" t="str">
        <f>"1230024N00286000200"</f>
        <v>1230024N00286000200</v>
      </c>
      <c r="B16021" t="s">
        <v>35062</v>
      </c>
      <c r="C16021" t="s">
        <v>35063</v>
      </c>
      <c r="E16021" t="s">
        <v>39</v>
      </c>
      <c r="F16021">
        <v>0</v>
      </c>
      <c r="G16021">
        <v>0</v>
      </c>
      <c r="H16021">
        <v>1</v>
      </c>
      <c r="I16021" s="3">
        <v>1252.56</v>
      </c>
      <c r="J16021" s="3">
        <v>0</v>
      </c>
      <c r="L16021">
        <v>820</v>
      </c>
      <c r="M16021" t="s">
        <v>35064</v>
      </c>
      <c r="N16021" t="s">
        <v>1809</v>
      </c>
      <c r="O16021" t="s">
        <v>31</v>
      </c>
      <c r="P16021" t="str">
        <f>"15009"</f>
        <v>15009</v>
      </c>
    </row>
    <row r="16022" spans="1:16" x14ac:dyDescent="0.25">
      <c r="A16022" t="str">
        <f>"1230024N00299    00"</f>
        <v>1230024N00299    00</v>
      </c>
      <c r="B16022" t="s">
        <v>35065</v>
      </c>
      <c r="C16022" t="s">
        <v>35066</v>
      </c>
      <c r="E16022" t="s">
        <v>39</v>
      </c>
      <c r="F16022">
        <v>0</v>
      </c>
      <c r="G16022">
        <v>0</v>
      </c>
      <c r="H16022">
        <v>2</v>
      </c>
      <c r="I16022" s="3">
        <v>4871.74</v>
      </c>
      <c r="J16022" s="3">
        <v>60.9</v>
      </c>
      <c r="K16022" t="s">
        <v>35067</v>
      </c>
      <c r="L16022">
        <v>606</v>
      </c>
      <c r="M16022" t="s">
        <v>30668</v>
      </c>
      <c r="N16022" t="s">
        <v>30</v>
      </c>
      <c r="O16022" t="s">
        <v>31</v>
      </c>
      <c r="P16022" t="str">
        <f>"15212"</f>
        <v>15212</v>
      </c>
    </row>
    <row r="16023" spans="1:16" x14ac:dyDescent="0.25">
      <c r="A16023" t="str">
        <f>"1230024P00158    00"</f>
        <v>1230024P00158    00</v>
      </c>
      <c r="B16023" t="s">
        <v>35068</v>
      </c>
      <c r="C16023" t="s">
        <v>34583</v>
      </c>
      <c r="D16023" t="s">
        <v>20</v>
      </c>
      <c r="E16023" t="s">
        <v>21</v>
      </c>
      <c r="F16023">
        <v>0</v>
      </c>
      <c r="G16023">
        <v>0</v>
      </c>
      <c r="H16023">
        <v>1</v>
      </c>
      <c r="I16023" s="3">
        <v>63.67</v>
      </c>
      <c r="J16023" s="3">
        <v>0</v>
      </c>
      <c r="K16023" t="s">
        <v>34588</v>
      </c>
      <c r="L16023">
        <v>1251</v>
      </c>
      <c r="M16023" t="s">
        <v>34589</v>
      </c>
      <c r="N16023" t="s">
        <v>30</v>
      </c>
      <c r="O16023" t="s">
        <v>31</v>
      </c>
      <c r="P16023" t="str">
        <f>"15222"</f>
        <v>15222</v>
      </c>
    </row>
    <row r="16024" spans="1:16" x14ac:dyDescent="0.25">
      <c r="A16024" t="str">
        <f>"1230024P00241    00"</f>
        <v>1230024P00241    00</v>
      </c>
      <c r="B16024" t="s">
        <v>836</v>
      </c>
      <c r="C16024" t="s">
        <v>35069</v>
      </c>
      <c r="D16024" t="s">
        <v>20</v>
      </c>
      <c r="E16024" t="s">
        <v>21</v>
      </c>
      <c r="F16024">
        <v>0</v>
      </c>
      <c r="G16024">
        <v>0</v>
      </c>
      <c r="H16024">
        <v>1</v>
      </c>
      <c r="I16024" s="3">
        <v>24.47</v>
      </c>
      <c r="J16024" s="3">
        <v>0</v>
      </c>
      <c r="K16024" t="s">
        <v>34588</v>
      </c>
      <c r="L16024">
        <v>1251</v>
      </c>
      <c r="M16024" t="s">
        <v>34589</v>
      </c>
      <c r="N16024" t="s">
        <v>30</v>
      </c>
      <c r="O16024" t="s">
        <v>31</v>
      </c>
      <c r="P16024" t="str">
        <f>"15222"</f>
        <v>15222</v>
      </c>
    </row>
    <row r="16025" spans="1:16" x14ac:dyDescent="0.25">
      <c r="A16025" t="str">
        <f>"1230024R00002    00"</f>
        <v>1230024R00002    00</v>
      </c>
      <c r="B16025" t="s">
        <v>35070</v>
      </c>
      <c r="C16025" t="s">
        <v>35071</v>
      </c>
      <c r="E16025" t="s">
        <v>290</v>
      </c>
      <c r="F16025">
        <v>0</v>
      </c>
      <c r="G16025">
        <v>0</v>
      </c>
      <c r="H16025">
        <v>1</v>
      </c>
      <c r="I16025" s="3">
        <v>8893.5</v>
      </c>
      <c r="J16025" s="3">
        <v>4372.47</v>
      </c>
      <c r="L16025">
        <v>545</v>
      </c>
      <c r="M16025" t="s">
        <v>35072</v>
      </c>
      <c r="N16025" t="s">
        <v>5797</v>
      </c>
      <c r="O16025" t="s">
        <v>200</v>
      </c>
      <c r="P16025" t="str">
        <f>"11206"</f>
        <v>11206</v>
      </c>
    </row>
    <row r="16026" spans="1:16" x14ac:dyDescent="0.25">
      <c r="A16026" t="str">
        <f>"1230024R00004    00"</f>
        <v>1230024R00004    00</v>
      </c>
      <c r="B16026" t="s">
        <v>35073</v>
      </c>
      <c r="C16026" t="s">
        <v>35071</v>
      </c>
      <c r="D16026" t="s">
        <v>20</v>
      </c>
      <c r="E16026" t="s">
        <v>290</v>
      </c>
      <c r="F16026">
        <v>0</v>
      </c>
      <c r="G16026">
        <v>0</v>
      </c>
      <c r="H16026">
        <v>4</v>
      </c>
      <c r="I16026" s="3">
        <v>94525.8</v>
      </c>
      <c r="J16026" s="3">
        <v>1142.8599999999999</v>
      </c>
      <c r="L16026">
        <v>545</v>
      </c>
      <c r="M16026" t="s">
        <v>35072</v>
      </c>
      <c r="N16026" t="s">
        <v>5797</v>
      </c>
      <c r="O16026" t="s">
        <v>200</v>
      </c>
      <c r="P16026" t="str">
        <f>"11206"</f>
        <v>11206</v>
      </c>
    </row>
    <row r="16027" spans="1:16" x14ac:dyDescent="0.25">
      <c r="A16027" t="str">
        <f>"1240023D00353    00"</f>
        <v>1240023D00353    00</v>
      </c>
      <c r="B16027" t="s">
        <v>35074</v>
      </c>
      <c r="C16027" t="s">
        <v>35075</v>
      </c>
      <c r="D16027" t="s">
        <v>20</v>
      </c>
      <c r="E16027" t="s">
        <v>39</v>
      </c>
      <c r="F16027">
        <v>0</v>
      </c>
      <c r="G16027">
        <v>0</v>
      </c>
      <c r="H16027">
        <v>19</v>
      </c>
      <c r="I16027" s="3">
        <v>3556.26</v>
      </c>
      <c r="J16027" s="3">
        <v>1983.38</v>
      </c>
      <c r="K16027" t="s">
        <v>1037</v>
      </c>
      <c r="L16027">
        <v>2720</v>
      </c>
      <c r="M16027" t="s">
        <v>17198</v>
      </c>
      <c r="N16027" t="s">
        <v>30</v>
      </c>
      <c r="O16027" t="s">
        <v>31</v>
      </c>
      <c r="P16027" t="str">
        <f>"15212"</f>
        <v>15212</v>
      </c>
    </row>
    <row r="16028" spans="1:16" x14ac:dyDescent="0.25">
      <c r="A16028" t="str">
        <f>"1240023H00135    00"</f>
        <v>1240023H00135    00</v>
      </c>
      <c r="B16028" t="s">
        <v>35076</v>
      </c>
      <c r="C16028" t="s">
        <v>35077</v>
      </c>
      <c r="D16028" t="s">
        <v>20</v>
      </c>
      <c r="E16028" t="s">
        <v>39</v>
      </c>
      <c r="F16028">
        <v>0</v>
      </c>
      <c r="G16028">
        <v>0</v>
      </c>
      <c r="H16028">
        <v>1</v>
      </c>
      <c r="I16028" s="3">
        <v>333.56</v>
      </c>
      <c r="J16028" s="3">
        <v>0</v>
      </c>
      <c r="M16028" t="s">
        <v>35078</v>
      </c>
      <c r="N16028" t="s">
        <v>30</v>
      </c>
      <c r="O16028" t="s">
        <v>31</v>
      </c>
      <c r="P16028" t="str">
        <f>"15235"</f>
        <v>15235</v>
      </c>
    </row>
    <row r="16029" spans="1:16" x14ac:dyDescent="0.25">
      <c r="A16029" t="str">
        <f>"1240023H00136    00"</f>
        <v>1240023H00136    00</v>
      </c>
      <c r="B16029" t="s">
        <v>35079</v>
      </c>
      <c r="C16029" t="s">
        <v>35080</v>
      </c>
      <c r="D16029" t="s">
        <v>20</v>
      </c>
      <c r="E16029" t="s">
        <v>39</v>
      </c>
      <c r="F16029">
        <v>0</v>
      </c>
      <c r="G16029">
        <v>0</v>
      </c>
      <c r="H16029">
        <v>19</v>
      </c>
      <c r="I16029" s="3">
        <v>24177.21</v>
      </c>
      <c r="J16029" s="3">
        <v>23320.14</v>
      </c>
      <c r="P16029" t="str">
        <f>""</f>
        <v/>
      </c>
    </row>
    <row r="16030" spans="1:16" x14ac:dyDescent="0.25">
      <c r="A16030" t="str">
        <f>"1240024A00007    00"</f>
        <v>1240024A00007    00</v>
      </c>
      <c r="B16030" t="s">
        <v>35081</v>
      </c>
      <c r="C16030" t="s">
        <v>35082</v>
      </c>
      <c r="D16030" t="s">
        <v>20</v>
      </c>
      <c r="E16030" t="s">
        <v>39</v>
      </c>
      <c r="F16030">
        <v>0</v>
      </c>
      <c r="G16030">
        <v>0</v>
      </c>
      <c r="H16030">
        <v>17</v>
      </c>
      <c r="I16030" s="3">
        <v>344.47</v>
      </c>
      <c r="J16030" s="3">
        <v>430.82</v>
      </c>
      <c r="K16030" t="s">
        <v>1037</v>
      </c>
      <c r="L16030">
        <v>9</v>
      </c>
      <c r="M16030" t="s">
        <v>35083</v>
      </c>
      <c r="N16030" t="s">
        <v>30</v>
      </c>
      <c r="O16030" t="s">
        <v>31</v>
      </c>
      <c r="P16030" t="str">
        <f>"15212"</f>
        <v>15212</v>
      </c>
    </row>
    <row r="16031" spans="1:16" x14ac:dyDescent="0.25">
      <c r="A16031" t="str">
        <f>"1240024A00014    00"</f>
        <v>1240024A00014    00</v>
      </c>
      <c r="B16031" t="s">
        <v>35084</v>
      </c>
      <c r="C16031" t="s">
        <v>35085</v>
      </c>
      <c r="D16031" t="s">
        <v>20</v>
      </c>
      <c r="E16031" t="s">
        <v>39</v>
      </c>
      <c r="F16031">
        <v>0</v>
      </c>
      <c r="G16031">
        <v>0</v>
      </c>
      <c r="H16031">
        <v>4</v>
      </c>
      <c r="I16031" s="3">
        <v>104.22</v>
      </c>
      <c r="J16031" s="3">
        <v>12.76</v>
      </c>
      <c r="L16031">
        <v>43</v>
      </c>
      <c r="M16031" t="s">
        <v>35086</v>
      </c>
      <c r="N16031" t="s">
        <v>30</v>
      </c>
      <c r="O16031" t="s">
        <v>31</v>
      </c>
      <c r="P16031" t="str">
        <f>"15212"</f>
        <v>15212</v>
      </c>
    </row>
    <row r="16032" spans="1:16" x14ac:dyDescent="0.25">
      <c r="A16032" t="str">
        <f>"1240024A00018    00"</f>
        <v>1240024A00018    00</v>
      </c>
      <c r="B16032" t="s">
        <v>35087</v>
      </c>
      <c r="C16032" t="s">
        <v>35088</v>
      </c>
      <c r="D16032" t="s">
        <v>20</v>
      </c>
      <c r="E16032" t="s">
        <v>39</v>
      </c>
      <c r="F16032">
        <v>0</v>
      </c>
      <c r="G16032">
        <v>0</v>
      </c>
      <c r="H16032">
        <v>19</v>
      </c>
      <c r="I16032" s="3">
        <v>397.97</v>
      </c>
      <c r="J16032" s="3">
        <v>478.29</v>
      </c>
      <c r="L16032">
        <v>42</v>
      </c>
      <c r="M16032" t="s">
        <v>35086</v>
      </c>
      <c r="N16032" t="s">
        <v>30</v>
      </c>
      <c r="O16032" t="s">
        <v>31</v>
      </c>
      <c r="P16032" t="str">
        <f>"15212"</f>
        <v>15212</v>
      </c>
    </row>
    <row r="16033" spans="1:16" x14ac:dyDescent="0.25">
      <c r="A16033" t="str">
        <f>"1240024A00021    00"</f>
        <v>1240024A00021    00</v>
      </c>
      <c r="B16033" t="s">
        <v>35089</v>
      </c>
      <c r="C16033" t="s">
        <v>35088</v>
      </c>
      <c r="D16033" t="s">
        <v>20</v>
      </c>
      <c r="E16033" t="s">
        <v>39</v>
      </c>
      <c r="F16033">
        <v>0</v>
      </c>
      <c r="G16033">
        <v>0</v>
      </c>
      <c r="H16033">
        <v>10</v>
      </c>
      <c r="I16033" s="3">
        <v>424.32</v>
      </c>
      <c r="J16033" s="3">
        <v>182.92</v>
      </c>
      <c r="L16033">
        <v>33</v>
      </c>
      <c r="M16033" t="s">
        <v>35086</v>
      </c>
      <c r="N16033" t="s">
        <v>30</v>
      </c>
      <c r="O16033" t="s">
        <v>31</v>
      </c>
      <c r="P16033" t="str">
        <f>"15212"</f>
        <v>15212</v>
      </c>
    </row>
    <row r="16034" spans="1:16" x14ac:dyDescent="0.25">
      <c r="A16034" t="str">
        <f>"1240024A00069    00"</f>
        <v>1240024A00069    00</v>
      </c>
      <c r="B16034" t="s">
        <v>35090</v>
      </c>
      <c r="C16034" t="s">
        <v>35082</v>
      </c>
      <c r="D16034" t="s">
        <v>20</v>
      </c>
      <c r="E16034" t="s">
        <v>39</v>
      </c>
      <c r="F16034">
        <v>0</v>
      </c>
      <c r="G16034">
        <v>0</v>
      </c>
      <c r="H16034">
        <v>19</v>
      </c>
      <c r="I16034" s="3">
        <v>427.63</v>
      </c>
      <c r="J16034" s="3">
        <v>495.92</v>
      </c>
      <c r="K16034" t="s">
        <v>1037</v>
      </c>
      <c r="L16034">
        <v>902</v>
      </c>
      <c r="M16034" t="s">
        <v>35091</v>
      </c>
      <c r="N16034" t="s">
        <v>30</v>
      </c>
      <c r="O16034" t="s">
        <v>31</v>
      </c>
      <c r="P16034" t="str">
        <f>"15202"</f>
        <v>15202</v>
      </c>
    </row>
    <row r="16035" spans="1:16" x14ac:dyDescent="0.25">
      <c r="A16035" t="str">
        <f>"1240024A00120    00"</f>
        <v>1240024A00120    00</v>
      </c>
      <c r="B16035" t="s">
        <v>35092</v>
      </c>
      <c r="C16035" t="s">
        <v>35093</v>
      </c>
      <c r="D16035" t="s">
        <v>20</v>
      </c>
      <c r="E16035" t="s">
        <v>39</v>
      </c>
      <c r="F16035">
        <v>0</v>
      </c>
      <c r="G16035">
        <v>0</v>
      </c>
      <c r="H16035">
        <v>17</v>
      </c>
      <c r="I16035" s="3">
        <v>3104.61</v>
      </c>
      <c r="J16035" s="3">
        <v>2957.15</v>
      </c>
      <c r="L16035">
        <v>1608</v>
      </c>
      <c r="M16035" t="s">
        <v>35094</v>
      </c>
      <c r="N16035" t="s">
        <v>30</v>
      </c>
      <c r="O16035" t="s">
        <v>31</v>
      </c>
      <c r="P16035" t="str">
        <f>"15212"</f>
        <v>15212</v>
      </c>
    </row>
    <row r="16036" spans="1:16" x14ac:dyDescent="0.25">
      <c r="A16036" t="str">
        <f>"1240024A00131    00"</f>
        <v>1240024A00131    00</v>
      </c>
      <c r="B16036" t="s">
        <v>35095</v>
      </c>
      <c r="C16036" t="s">
        <v>35096</v>
      </c>
      <c r="D16036" t="s">
        <v>20</v>
      </c>
      <c r="E16036" t="s">
        <v>39</v>
      </c>
      <c r="F16036">
        <v>0</v>
      </c>
      <c r="G16036">
        <v>0</v>
      </c>
      <c r="H16036">
        <v>13</v>
      </c>
      <c r="I16036" s="3">
        <v>2804.92</v>
      </c>
      <c r="J16036" s="3">
        <v>1496.53</v>
      </c>
      <c r="M16036" t="s">
        <v>35097</v>
      </c>
      <c r="N16036" t="s">
        <v>35098</v>
      </c>
      <c r="O16036" t="s">
        <v>31</v>
      </c>
      <c r="P16036" t="str">
        <f>"16225"</f>
        <v>16225</v>
      </c>
    </row>
    <row r="16037" spans="1:16" x14ac:dyDescent="0.25">
      <c r="A16037" t="str">
        <f>"1240024A00133    00"</f>
        <v>1240024A00133    00</v>
      </c>
      <c r="B16037" t="s">
        <v>35099</v>
      </c>
      <c r="C16037" t="s">
        <v>35100</v>
      </c>
      <c r="D16037" t="s">
        <v>20</v>
      </c>
      <c r="E16037" t="s">
        <v>39</v>
      </c>
      <c r="F16037">
        <v>0</v>
      </c>
      <c r="G16037">
        <v>0</v>
      </c>
      <c r="H16037">
        <v>19</v>
      </c>
      <c r="I16037" s="3">
        <v>13637.63</v>
      </c>
      <c r="J16037" s="3">
        <v>15090.15</v>
      </c>
      <c r="L16037">
        <v>5</v>
      </c>
      <c r="M16037" t="s">
        <v>35094</v>
      </c>
      <c r="N16037" t="s">
        <v>30</v>
      </c>
      <c r="O16037" t="s">
        <v>31</v>
      </c>
      <c r="P16037" t="str">
        <f>"15212"</f>
        <v>15212</v>
      </c>
    </row>
    <row r="16038" spans="1:16" x14ac:dyDescent="0.25">
      <c r="A16038" t="str">
        <f>"1240024A00154    00"</f>
        <v>1240024A00154    00</v>
      </c>
      <c r="B16038" t="s">
        <v>35087</v>
      </c>
      <c r="C16038" t="s">
        <v>35101</v>
      </c>
      <c r="D16038" t="s">
        <v>20</v>
      </c>
      <c r="E16038" t="s">
        <v>39</v>
      </c>
      <c r="F16038">
        <v>0</v>
      </c>
      <c r="G16038">
        <v>0</v>
      </c>
      <c r="H16038">
        <v>19</v>
      </c>
      <c r="I16038" s="3">
        <v>10956.83</v>
      </c>
      <c r="J16038" s="3">
        <v>12639.14</v>
      </c>
      <c r="L16038">
        <v>42</v>
      </c>
      <c r="M16038" t="s">
        <v>35086</v>
      </c>
      <c r="N16038" t="s">
        <v>30</v>
      </c>
      <c r="O16038" t="s">
        <v>31</v>
      </c>
      <c r="P16038" t="str">
        <f>"15212"</f>
        <v>15212</v>
      </c>
    </row>
    <row r="16039" spans="1:16" x14ac:dyDescent="0.25">
      <c r="A16039" t="str">
        <f>"1240024A00157    00"</f>
        <v>1240024A00157    00</v>
      </c>
      <c r="B16039" t="s">
        <v>35102</v>
      </c>
      <c r="C16039" t="s">
        <v>35103</v>
      </c>
      <c r="D16039" t="s">
        <v>20</v>
      </c>
      <c r="E16039" t="s">
        <v>39</v>
      </c>
      <c r="F16039">
        <v>0</v>
      </c>
      <c r="G16039">
        <v>0</v>
      </c>
      <c r="H16039">
        <v>18</v>
      </c>
      <c r="I16039" s="3">
        <v>3329.08</v>
      </c>
      <c r="J16039" s="3">
        <v>4558.3500000000004</v>
      </c>
      <c r="L16039">
        <v>46</v>
      </c>
      <c r="M16039" t="s">
        <v>35086</v>
      </c>
      <c r="N16039" t="s">
        <v>30</v>
      </c>
      <c r="O16039" t="s">
        <v>31</v>
      </c>
      <c r="P16039" t="str">
        <f>"15212"</f>
        <v>15212</v>
      </c>
    </row>
    <row r="16040" spans="1:16" x14ac:dyDescent="0.25">
      <c r="A16040" t="str">
        <f>"1240024A00163    00"</f>
        <v>1240024A00163    00</v>
      </c>
      <c r="B16040" t="s">
        <v>35104</v>
      </c>
      <c r="C16040" t="s">
        <v>35105</v>
      </c>
      <c r="D16040" t="s">
        <v>20</v>
      </c>
      <c r="E16040" t="s">
        <v>39</v>
      </c>
      <c r="F16040">
        <v>0</v>
      </c>
      <c r="G16040">
        <v>0</v>
      </c>
      <c r="H16040">
        <v>19</v>
      </c>
      <c r="I16040" s="3">
        <v>9856.84</v>
      </c>
      <c r="J16040" s="3">
        <v>9085.15</v>
      </c>
      <c r="L16040">
        <v>58</v>
      </c>
      <c r="M16040" t="s">
        <v>35086</v>
      </c>
      <c r="N16040" t="s">
        <v>30</v>
      </c>
      <c r="O16040" t="s">
        <v>31</v>
      </c>
      <c r="P16040" t="str">
        <f>"15212"</f>
        <v>15212</v>
      </c>
    </row>
    <row r="16041" spans="1:16" x14ac:dyDescent="0.25">
      <c r="A16041" t="str">
        <f>"1240024A00164    00"</f>
        <v>1240024A00164    00</v>
      </c>
      <c r="B16041" t="s">
        <v>35106</v>
      </c>
      <c r="C16041" t="s">
        <v>35107</v>
      </c>
      <c r="D16041" t="s">
        <v>20</v>
      </c>
      <c r="E16041" t="s">
        <v>39</v>
      </c>
      <c r="F16041">
        <v>0</v>
      </c>
      <c r="G16041">
        <v>0</v>
      </c>
      <c r="H16041">
        <v>3</v>
      </c>
      <c r="I16041" s="3">
        <v>1159.45</v>
      </c>
      <c r="J16041" s="3">
        <v>7.5</v>
      </c>
      <c r="L16041">
        <v>3727</v>
      </c>
      <c r="M16041" t="s">
        <v>35108</v>
      </c>
      <c r="N16041" t="s">
        <v>35109</v>
      </c>
      <c r="O16041" t="s">
        <v>495</v>
      </c>
      <c r="P16041" t="str">
        <f>"91505"</f>
        <v>91505</v>
      </c>
    </row>
    <row r="16042" spans="1:16" x14ac:dyDescent="0.25">
      <c r="A16042" t="str">
        <f>"1240024A00165    00"</f>
        <v>1240024A00165    00</v>
      </c>
      <c r="B16042" t="s">
        <v>35110</v>
      </c>
      <c r="C16042" t="s">
        <v>35111</v>
      </c>
      <c r="D16042" t="s">
        <v>20</v>
      </c>
      <c r="E16042" t="s">
        <v>39</v>
      </c>
      <c r="F16042">
        <v>0</v>
      </c>
      <c r="G16042">
        <v>0</v>
      </c>
      <c r="H16042">
        <v>2</v>
      </c>
      <c r="I16042" s="3">
        <v>401.78</v>
      </c>
      <c r="J16042" s="3">
        <v>7.9</v>
      </c>
      <c r="L16042">
        <v>2103</v>
      </c>
      <c r="M16042" t="s">
        <v>23436</v>
      </c>
      <c r="N16042" t="s">
        <v>30</v>
      </c>
      <c r="O16042" t="s">
        <v>31</v>
      </c>
      <c r="P16042" t="str">
        <f>"15210"</f>
        <v>15210</v>
      </c>
    </row>
    <row r="16043" spans="1:16" x14ac:dyDescent="0.25">
      <c r="A16043" t="str">
        <f>"1240024A00274    00"</f>
        <v>1240024A00274    00</v>
      </c>
      <c r="B16043" t="s">
        <v>35112</v>
      </c>
      <c r="C16043" t="s">
        <v>35113</v>
      </c>
      <c r="D16043" t="s">
        <v>20</v>
      </c>
      <c r="E16043" t="s">
        <v>39</v>
      </c>
      <c r="F16043">
        <v>0</v>
      </c>
      <c r="G16043">
        <v>0</v>
      </c>
      <c r="H16043">
        <v>19</v>
      </c>
      <c r="I16043" s="3">
        <v>10845.78</v>
      </c>
      <c r="J16043" s="3">
        <v>12442.91</v>
      </c>
      <c r="L16043">
        <v>1000</v>
      </c>
      <c r="M16043" t="s">
        <v>35114</v>
      </c>
      <c r="N16043" t="s">
        <v>30</v>
      </c>
      <c r="O16043" t="s">
        <v>31</v>
      </c>
      <c r="P16043" t="str">
        <f>"15212"</f>
        <v>15212</v>
      </c>
    </row>
    <row r="16044" spans="1:16" x14ac:dyDescent="0.25">
      <c r="A16044" t="str">
        <f>"1240024A00276    00"</f>
        <v>1240024A00276    00</v>
      </c>
      <c r="B16044" t="s">
        <v>35115</v>
      </c>
      <c r="C16044" t="s">
        <v>35113</v>
      </c>
      <c r="D16044" t="s">
        <v>20</v>
      </c>
      <c r="E16044" t="s">
        <v>39</v>
      </c>
      <c r="F16044">
        <v>0</v>
      </c>
      <c r="G16044">
        <v>0</v>
      </c>
      <c r="H16044">
        <v>16</v>
      </c>
      <c r="I16044" s="3">
        <v>1012.6</v>
      </c>
      <c r="J16044" s="3">
        <v>1159.92</v>
      </c>
      <c r="L16044">
        <v>53</v>
      </c>
      <c r="M16044" t="s">
        <v>35116</v>
      </c>
      <c r="N16044" t="s">
        <v>35117</v>
      </c>
      <c r="O16044" t="s">
        <v>2109</v>
      </c>
      <c r="P16044" t="str">
        <f>"84057"</f>
        <v>84057</v>
      </c>
    </row>
    <row r="16045" spans="1:16" x14ac:dyDescent="0.25">
      <c r="A16045" t="str">
        <f>"1240024A00309    00"</f>
        <v>1240024A00309    00</v>
      </c>
      <c r="B16045" t="s">
        <v>27422</v>
      </c>
      <c r="C16045" t="s">
        <v>35118</v>
      </c>
      <c r="D16045" t="s">
        <v>20</v>
      </c>
      <c r="E16045" t="s">
        <v>39</v>
      </c>
      <c r="F16045">
        <v>0</v>
      </c>
      <c r="G16045">
        <v>0</v>
      </c>
      <c r="H16045">
        <v>1</v>
      </c>
      <c r="I16045" s="3">
        <v>743.34</v>
      </c>
      <c r="J16045" s="3">
        <v>0</v>
      </c>
      <c r="L16045">
        <v>2411</v>
      </c>
      <c r="M16045" t="s">
        <v>27424</v>
      </c>
      <c r="N16045" t="s">
        <v>27425</v>
      </c>
      <c r="O16045" t="s">
        <v>108</v>
      </c>
      <c r="P16045" t="str">
        <f>"76210"</f>
        <v>76210</v>
      </c>
    </row>
    <row r="16046" spans="1:16" x14ac:dyDescent="0.25">
      <c r="A16046" t="str">
        <f>"1240024A00310    00"</f>
        <v>1240024A00310    00</v>
      </c>
      <c r="B16046" t="s">
        <v>27422</v>
      </c>
      <c r="C16046" t="s">
        <v>35119</v>
      </c>
      <c r="D16046" t="s">
        <v>20</v>
      </c>
      <c r="E16046" t="s">
        <v>39</v>
      </c>
      <c r="F16046">
        <v>0</v>
      </c>
      <c r="G16046">
        <v>0</v>
      </c>
      <c r="H16046">
        <v>1</v>
      </c>
      <c r="I16046" s="3">
        <v>150.58000000000001</v>
      </c>
      <c r="J16046" s="3">
        <v>0</v>
      </c>
      <c r="L16046">
        <v>2411</v>
      </c>
      <c r="M16046" t="s">
        <v>27424</v>
      </c>
      <c r="N16046" t="s">
        <v>27425</v>
      </c>
      <c r="O16046" t="s">
        <v>108</v>
      </c>
      <c r="P16046" t="str">
        <f>"76210"</f>
        <v>76210</v>
      </c>
    </row>
    <row r="16047" spans="1:16" x14ac:dyDescent="0.25">
      <c r="A16047" t="str">
        <f>"1240024A00335    00"</f>
        <v>1240024A00335    00</v>
      </c>
      <c r="B16047" t="s">
        <v>35120</v>
      </c>
      <c r="C16047" t="s">
        <v>35121</v>
      </c>
      <c r="D16047" t="s">
        <v>20</v>
      </c>
      <c r="E16047" t="s">
        <v>39</v>
      </c>
      <c r="F16047">
        <v>0</v>
      </c>
      <c r="G16047">
        <v>0</v>
      </c>
      <c r="H16047">
        <v>3</v>
      </c>
      <c r="I16047" s="3">
        <v>1389.86</v>
      </c>
      <c r="J16047" s="3">
        <v>122.24</v>
      </c>
      <c r="K16047" t="s">
        <v>35122</v>
      </c>
      <c r="L16047">
        <v>927</v>
      </c>
      <c r="M16047" t="s">
        <v>35123</v>
      </c>
      <c r="N16047" t="s">
        <v>30</v>
      </c>
      <c r="O16047" t="s">
        <v>31</v>
      </c>
      <c r="P16047" t="str">
        <f>"15212"</f>
        <v>15212</v>
      </c>
    </row>
    <row r="16048" spans="1:16" x14ac:dyDescent="0.25">
      <c r="A16048" t="str">
        <f>"1240024A00347    00"</f>
        <v>1240024A00347    00</v>
      </c>
      <c r="B16048" t="s">
        <v>35124</v>
      </c>
      <c r="C16048" t="s">
        <v>35125</v>
      </c>
      <c r="D16048" t="s">
        <v>20</v>
      </c>
      <c r="E16048" t="s">
        <v>39</v>
      </c>
      <c r="F16048">
        <v>0</v>
      </c>
      <c r="G16048">
        <v>0</v>
      </c>
      <c r="H16048">
        <v>1</v>
      </c>
      <c r="I16048" s="3">
        <v>1380.42</v>
      </c>
      <c r="J16048" s="3">
        <v>0</v>
      </c>
      <c r="L16048">
        <v>279</v>
      </c>
      <c r="M16048" t="s">
        <v>35126</v>
      </c>
      <c r="N16048" t="s">
        <v>26103</v>
      </c>
      <c r="O16048" t="s">
        <v>1413</v>
      </c>
      <c r="P16048" t="str">
        <f>"28390"</f>
        <v>28390</v>
      </c>
    </row>
    <row r="16049" spans="1:16" x14ac:dyDescent="0.25">
      <c r="A16049" t="str">
        <f>"1240024A00349    00"</f>
        <v>1240024A00349    00</v>
      </c>
      <c r="B16049" t="s">
        <v>35127</v>
      </c>
      <c r="C16049" t="s">
        <v>35128</v>
      </c>
      <c r="E16049" t="s">
        <v>39</v>
      </c>
      <c r="F16049">
        <v>0</v>
      </c>
      <c r="G16049">
        <v>0</v>
      </c>
      <c r="H16049">
        <v>2</v>
      </c>
      <c r="I16049" s="3">
        <v>1263.32</v>
      </c>
      <c r="J16049" s="3">
        <v>256.27</v>
      </c>
      <c r="L16049">
        <v>921</v>
      </c>
      <c r="M16049" t="s">
        <v>35123</v>
      </c>
      <c r="N16049" t="s">
        <v>30</v>
      </c>
      <c r="O16049" t="s">
        <v>31</v>
      </c>
      <c r="P16049" t="str">
        <f>"15212"</f>
        <v>15212</v>
      </c>
    </row>
    <row r="16050" spans="1:16" x14ac:dyDescent="0.25">
      <c r="A16050" t="str">
        <f>"1240024A00352    00"</f>
        <v>1240024A00352    00</v>
      </c>
      <c r="B16050" t="s">
        <v>35129</v>
      </c>
      <c r="C16050" t="s">
        <v>35130</v>
      </c>
      <c r="D16050" t="s">
        <v>20</v>
      </c>
      <c r="E16050" t="s">
        <v>39</v>
      </c>
      <c r="F16050">
        <v>0</v>
      </c>
      <c r="G16050">
        <v>0</v>
      </c>
      <c r="H16050">
        <v>1</v>
      </c>
      <c r="I16050" s="3">
        <v>1564.84</v>
      </c>
      <c r="J16050" s="3">
        <v>0</v>
      </c>
      <c r="L16050">
        <v>279</v>
      </c>
      <c r="M16050" t="s">
        <v>35126</v>
      </c>
      <c r="N16050" t="s">
        <v>26103</v>
      </c>
      <c r="O16050" t="s">
        <v>1413</v>
      </c>
      <c r="P16050" t="str">
        <f>"28390"</f>
        <v>28390</v>
      </c>
    </row>
    <row r="16051" spans="1:16" x14ac:dyDescent="0.25">
      <c r="A16051" t="str">
        <f>"1240024B00001    00"</f>
        <v>1240024B00001    00</v>
      </c>
      <c r="B16051" t="s">
        <v>35131</v>
      </c>
      <c r="C16051" t="s">
        <v>35132</v>
      </c>
      <c r="D16051" t="s">
        <v>20</v>
      </c>
      <c r="E16051" t="s">
        <v>39</v>
      </c>
      <c r="F16051">
        <v>0</v>
      </c>
      <c r="G16051">
        <v>0</v>
      </c>
      <c r="H16051">
        <v>3</v>
      </c>
      <c r="I16051" s="3">
        <v>174.68</v>
      </c>
      <c r="J16051" s="3">
        <v>8.5500000000000007</v>
      </c>
      <c r="L16051">
        <v>1006</v>
      </c>
      <c r="M16051" t="s">
        <v>35114</v>
      </c>
      <c r="N16051" t="s">
        <v>30</v>
      </c>
      <c r="O16051" t="s">
        <v>31</v>
      </c>
      <c r="P16051" t="str">
        <f>"15212"</f>
        <v>15212</v>
      </c>
    </row>
    <row r="16052" spans="1:16" x14ac:dyDescent="0.25">
      <c r="A16052" t="str">
        <f>"1240024B00010    00"</f>
        <v>1240024B00010    00</v>
      </c>
      <c r="B16052" t="s">
        <v>35133</v>
      </c>
      <c r="C16052" t="s">
        <v>35134</v>
      </c>
      <c r="D16052" t="s">
        <v>20</v>
      </c>
      <c r="E16052" t="s">
        <v>39</v>
      </c>
      <c r="F16052">
        <v>0</v>
      </c>
      <c r="G16052">
        <v>0</v>
      </c>
      <c r="H16052">
        <v>1</v>
      </c>
      <c r="I16052" s="3">
        <v>2357.73</v>
      </c>
      <c r="J16052" s="3">
        <v>0</v>
      </c>
      <c r="K16052" t="s">
        <v>7145</v>
      </c>
      <c r="L16052">
        <v>3001</v>
      </c>
      <c r="M16052" t="s">
        <v>330</v>
      </c>
      <c r="N16052" t="s">
        <v>331</v>
      </c>
      <c r="O16052" t="s">
        <v>108</v>
      </c>
      <c r="P16052" t="str">
        <f>"75063"</f>
        <v>75063</v>
      </c>
    </row>
    <row r="16053" spans="1:16" x14ac:dyDescent="0.25">
      <c r="A16053" t="str">
        <f>"1240024B00016    00"</f>
        <v>1240024B00016    00</v>
      </c>
      <c r="B16053" t="s">
        <v>35135</v>
      </c>
      <c r="C16053" t="s">
        <v>35136</v>
      </c>
      <c r="D16053" t="s">
        <v>20</v>
      </c>
      <c r="E16053" t="s">
        <v>39</v>
      </c>
      <c r="F16053">
        <v>0</v>
      </c>
      <c r="G16053">
        <v>0</v>
      </c>
      <c r="H16053">
        <v>10</v>
      </c>
      <c r="I16053" s="3">
        <v>165.61</v>
      </c>
      <c r="J16053" s="3">
        <v>77.53</v>
      </c>
      <c r="M16053" t="s">
        <v>35137</v>
      </c>
      <c r="N16053" t="s">
        <v>30</v>
      </c>
      <c r="O16053" t="s">
        <v>31</v>
      </c>
      <c r="P16053" t="str">
        <f>"15217"</f>
        <v>15217</v>
      </c>
    </row>
    <row r="16054" spans="1:16" x14ac:dyDescent="0.25">
      <c r="A16054" t="str">
        <f>"1240024B00027    00"</f>
        <v>1240024B00027    00</v>
      </c>
      <c r="B16054" t="s">
        <v>35138</v>
      </c>
      <c r="C16054" t="s">
        <v>35119</v>
      </c>
      <c r="D16054" t="s">
        <v>20</v>
      </c>
      <c r="E16054" t="s">
        <v>39</v>
      </c>
      <c r="F16054">
        <v>0</v>
      </c>
      <c r="G16054">
        <v>0</v>
      </c>
      <c r="H16054">
        <v>19</v>
      </c>
      <c r="I16054" s="3">
        <v>4138.6099999999997</v>
      </c>
      <c r="J16054" s="3">
        <v>2333.23</v>
      </c>
      <c r="L16054">
        <v>129</v>
      </c>
      <c r="M16054" t="s">
        <v>8279</v>
      </c>
      <c r="N16054" t="s">
        <v>1823</v>
      </c>
      <c r="O16054" t="s">
        <v>31</v>
      </c>
      <c r="P16054" t="str">
        <f>"15024"</f>
        <v>15024</v>
      </c>
    </row>
    <row r="16055" spans="1:16" x14ac:dyDescent="0.25">
      <c r="A16055" t="str">
        <f>"1240024B00030    00"</f>
        <v>1240024B00030    00</v>
      </c>
      <c r="B16055" t="s">
        <v>7918</v>
      </c>
      <c r="C16055" t="s">
        <v>35139</v>
      </c>
      <c r="D16055" t="s">
        <v>20</v>
      </c>
      <c r="E16055" t="s">
        <v>39</v>
      </c>
      <c r="F16055">
        <v>0</v>
      </c>
      <c r="G16055">
        <v>0</v>
      </c>
      <c r="H16055">
        <v>1</v>
      </c>
      <c r="I16055" s="3">
        <v>1002.56</v>
      </c>
      <c r="J16055" s="3">
        <v>0</v>
      </c>
      <c r="K16055" t="s">
        <v>7920</v>
      </c>
      <c r="L16055">
        <v>740</v>
      </c>
      <c r="M16055" t="s">
        <v>7921</v>
      </c>
      <c r="N16055" t="s">
        <v>526</v>
      </c>
      <c r="O16055" t="s">
        <v>527</v>
      </c>
      <c r="P16055" t="str">
        <f>"20005"</f>
        <v>20005</v>
      </c>
    </row>
    <row r="16056" spans="1:16" x14ac:dyDescent="0.25">
      <c r="A16056" t="str">
        <f>"1240024B00146    00"</f>
        <v>1240024B00146    00</v>
      </c>
      <c r="B16056" t="s">
        <v>35140</v>
      </c>
      <c r="C16056" t="s">
        <v>34798</v>
      </c>
      <c r="E16056" t="s">
        <v>39</v>
      </c>
      <c r="F16056">
        <v>0</v>
      </c>
      <c r="G16056">
        <v>0</v>
      </c>
      <c r="H16056">
        <v>10</v>
      </c>
      <c r="I16056" s="3">
        <v>854.95</v>
      </c>
      <c r="J16056" s="3">
        <v>1156.6300000000001</v>
      </c>
      <c r="L16056">
        <v>559</v>
      </c>
      <c r="M16056" t="s">
        <v>6321</v>
      </c>
      <c r="N16056" t="s">
        <v>3934</v>
      </c>
      <c r="O16056" t="s">
        <v>31</v>
      </c>
      <c r="P16056" t="str">
        <f>"15102"</f>
        <v>15102</v>
      </c>
    </row>
    <row r="16057" spans="1:16" x14ac:dyDescent="0.25">
      <c r="A16057" t="str">
        <f>"1240024B00147    00"</f>
        <v>1240024B00147    00</v>
      </c>
      <c r="B16057" t="s">
        <v>35141</v>
      </c>
      <c r="C16057" t="s">
        <v>35142</v>
      </c>
      <c r="E16057" t="s">
        <v>39</v>
      </c>
      <c r="F16057">
        <v>0</v>
      </c>
      <c r="G16057">
        <v>0</v>
      </c>
      <c r="H16057">
        <v>1</v>
      </c>
      <c r="I16057" s="3">
        <v>941.56</v>
      </c>
      <c r="J16057" s="3">
        <v>188.31</v>
      </c>
      <c r="K16057" t="s">
        <v>35143</v>
      </c>
      <c r="L16057">
        <v>7859</v>
      </c>
      <c r="M16057" t="s">
        <v>35144</v>
      </c>
      <c r="N16057" t="s">
        <v>107</v>
      </c>
      <c r="O16057" t="s">
        <v>108</v>
      </c>
      <c r="P16057" t="str">
        <f>"75230"</f>
        <v>75230</v>
      </c>
    </row>
    <row r="16058" spans="1:16" x14ac:dyDescent="0.25">
      <c r="A16058" t="str">
        <f>"1240024B00148    00"</f>
        <v>1240024B00148    00</v>
      </c>
      <c r="B16058" t="s">
        <v>35145</v>
      </c>
      <c r="C16058" t="s">
        <v>34798</v>
      </c>
      <c r="D16058" t="s">
        <v>20</v>
      </c>
      <c r="E16058" t="s">
        <v>39</v>
      </c>
      <c r="F16058">
        <v>0</v>
      </c>
      <c r="G16058">
        <v>0</v>
      </c>
      <c r="H16058">
        <v>19</v>
      </c>
      <c r="I16058" s="3">
        <v>7090.33</v>
      </c>
      <c r="J16058" s="3">
        <v>7680.39</v>
      </c>
      <c r="L16058">
        <v>1220</v>
      </c>
      <c r="M16058" t="s">
        <v>35146</v>
      </c>
      <c r="N16058" t="s">
        <v>30</v>
      </c>
      <c r="O16058" t="s">
        <v>31</v>
      </c>
      <c r="P16058" t="str">
        <f>"15212"</f>
        <v>15212</v>
      </c>
    </row>
    <row r="16059" spans="1:16" x14ac:dyDescent="0.25">
      <c r="A16059" t="str">
        <f>"1240024B00149    00"</f>
        <v>1240024B00149    00</v>
      </c>
      <c r="B16059" t="s">
        <v>35147</v>
      </c>
      <c r="C16059" t="s">
        <v>35148</v>
      </c>
      <c r="D16059" t="s">
        <v>20</v>
      </c>
      <c r="E16059" t="s">
        <v>39</v>
      </c>
      <c r="F16059">
        <v>0</v>
      </c>
      <c r="G16059">
        <v>0</v>
      </c>
      <c r="H16059">
        <v>2</v>
      </c>
      <c r="I16059" s="3">
        <v>1296.08</v>
      </c>
      <c r="J16059" s="3">
        <v>0</v>
      </c>
      <c r="L16059">
        <v>83</v>
      </c>
      <c r="M16059" t="s">
        <v>26009</v>
      </c>
      <c r="N16059" t="s">
        <v>30</v>
      </c>
      <c r="O16059" t="s">
        <v>31</v>
      </c>
      <c r="P16059" t="str">
        <f>"15218"</f>
        <v>15218</v>
      </c>
    </row>
    <row r="16060" spans="1:16" x14ac:dyDescent="0.25">
      <c r="A16060" t="str">
        <f>"1240024B00150    00"</f>
        <v>1240024B00150    00</v>
      </c>
      <c r="B16060" t="s">
        <v>35149</v>
      </c>
      <c r="C16060" t="s">
        <v>34798</v>
      </c>
      <c r="D16060" t="s">
        <v>20</v>
      </c>
      <c r="E16060" t="s">
        <v>39</v>
      </c>
      <c r="F16060">
        <v>0</v>
      </c>
      <c r="G16060">
        <v>0</v>
      </c>
      <c r="H16060">
        <v>19</v>
      </c>
      <c r="I16060" s="3">
        <v>339.38</v>
      </c>
      <c r="J16060" s="3">
        <v>372.88</v>
      </c>
      <c r="L16060">
        <v>1214</v>
      </c>
      <c r="M16060" t="s">
        <v>34789</v>
      </c>
      <c r="N16060" t="s">
        <v>30</v>
      </c>
      <c r="O16060" t="s">
        <v>31</v>
      </c>
      <c r="P16060" t="str">
        <f t="shared" ref="P16060:P16070" si="209">"15212"</f>
        <v>15212</v>
      </c>
    </row>
    <row r="16061" spans="1:16" x14ac:dyDescent="0.25">
      <c r="A16061" t="str">
        <f>"1240024B00163    00"</f>
        <v>1240024B00163    00</v>
      </c>
      <c r="B16061" t="s">
        <v>35150</v>
      </c>
      <c r="C16061" t="s">
        <v>34798</v>
      </c>
      <c r="E16061" t="s">
        <v>39</v>
      </c>
      <c r="F16061">
        <v>0</v>
      </c>
      <c r="G16061">
        <v>0</v>
      </c>
      <c r="H16061">
        <v>1</v>
      </c>
      <c r="I16061" s="3">
        <v>133.41999999999999</v>
      </c>
      <c r="J16061" s="3">
        <v>0</v>
      </c>
      <c r="L16061">
        <v>1100</v>
      </c>
      <c r="M16061" t="s">
        <v>34789</v>
      </c>
      <c r="N16061" t="s">
        <v>30</v>
      </c>
      <c r="O16061" t="s">
        <v>31</v>
      </c>
      <c r="P16061" t="str">
        <f t="shared" si="209"/>
        <v>15212</v>
      </c>
    </row>
    <row r="16062" spans="1:16" x14ac:dyDescent="0.25">
      <c r="A16062" t="str">
        <f>"1240024B00165    00"</f>
        <v>1240024B00165    00</v>
      </c>
      <c r="B16062" t="s">
        <v>35150</v>
      </c>
      <c r="C16062" t="s">
        <v>34798</v>
      </c>
      <c r="E16062" t="s">
        <v>39</v>
      </c>
      <c r="F16062">
        <v>0</v>
      </c>
      <c r="G16062">
        <v>0</v>
      </c>
      <c r="H16062">
        <v>1</v>
      </c>
      <c r="I16062" s="3">
        <v>135.34</v>
      </c>
      <c r="J16062" s="3">
        <v>0</v>
      </c>
      <c r="L16062">
        <v>1100</v>
      </c>
      <c r="M16062" t="s">
        <v>34789</v>
      </c>
      <c r="N16062" t="s">
        <v>30</v>
      </c>
      <c r="O16062" t="s">
        <v>31</v>
      </c>
      <c r="P16062" t="str">
        <f t="shared" si="209"/>
        <v>15212</v>
      </c>
    </row>
    <row r="16063" spans="1:16" x14ac:dyDescent="0.25">
      <c r="A16063" t="str">
        <f>"1240024B00169    00"</f>
        <v>1240024B00169    00</v>
      </c>
      <c r="B16063" t="s">
        <v>35150</v>
      </c>
      <c r="C16063" t="s">
        <v>34798</v>
      </c>
      <c r="E16063" t="s">
        <v>39</v>
      </c>
      <c r="F16063">
        <v>0</v>
      </c>
      <c r="G16063">
        <v>0</v>
      </c>
      <c r="H16063">
        <v>7</v>
      </c>
      <c r="I16063" s="3">
        <v>2331.62</v>
      </c>
      <c r="J16063" s="3">
        <v>1043.33</v>
      </c>
      <c r="L16063">
        <v>1100</v>
      </c>
      <c r="M16063" t="s">
        <v>34789</v>
      </c>
      <c r="N16063" t="s">
        <v>30</v>
      </c>
      <c r="O16063" t="s">
        <v>31</v>
      </c>
      <c r="P16063" t="str">
        <f t="shared" si="209"/>
        <v>15212</v>
      </c>
    </row>
    <row r="16064" spans="1:16" x14ac:dyDescent="0.25">
      <c r="A16064" t="str">
        <f>"1240024B00171    00"</f>
        <v>1240024B00171    00</v>
      </c>
      <c r="B16064" t="s">
        <v>35150</v>
      </c>
      <c r="C16064" t="s">
        <v>34798</v>
      </c>
      <c r="E16064" t="s">
        <v>39</v>
      </c>
      <c r="F16064">
        <v>0</v>
      </c>
      <c r="G16064">
        <v>0</v>
      </c>
      <c r="H16064">
        <v>2</v>
      </c>
      <c r="I16064" s="3">
        <v>516.44000000000005</v>
      </c>
      <c r="J16064" s="3">
        <v>49.72</v>
      </c>
      <c r="L16064">
        <v>1100</v>
      </c>
      <c r="M16064" t="s">
        <v>34789</v>
      </c>
      <c r="N16064" t="s">
        <v>30</v>
      </c>
      <c r="O16064" t="s">
        <v>31</v>
      </c>
      <c r="P16064" t="str">
        <f t="shared" si="209"/>
        <v>15212</v>
      </c>
    </row>
    <row r="16065" spans="1:16" x14ac:dyDescent="0.25">
      <c r="A16065" t="str">
        <f>"1240024B00173    00"</f>
        <v>1240024B00173    00</v>
      </c>
      <c r="B16065" t="s">
        <v>35150</v>
      </c>
      <c r="C16065" t="s">
        <v>34798</v>
      </c>
      <c r="E16065" t="s">
        <v>39</v>
      </c>
      <c r="F16065">
        <v>0</v>
      </c>
      <c r="G16065">
        <v>0</v>
      </c>
      <c r="H16065">
        <v>1</v>
      </c>
      <c r="I16065" s="3">
        <v>346.89</v>
      </c>
      <c r="J16065" s="3">
        <v>0</v>
      </c>
      <c r="L16065">
        <v>1100</v>
      </c>
      <c r="M16065" t="s">
        <v>34789</v>
      </c>
      <c r="N16065" t="s">
        <v>30</v>
      </c>
      <c r="O16065" t="s">
        <v>31</v>
      </c>
      <c r="P16065" t="str">
        <f t="shared" si="209"/>
        <v>15212</v>
      </c>
    </row>
    <row r="16066" spans="1:16" x14ac:dyDescent="0.25">
      <c r="A16066" t="str">
        <f>"1240024B00175    00"</f>
        <v>1240024B00175    00</v>
      </c>
      <c r="B16066" t="s">
        <v>35150</v>
      </c>
      <c r="C16066" t="s">
        <v>34798</v>
      </c>
      <c r="E16066" t="s">
        <v>39</v>
      </c>
      <c r="F16066">
        <v>0</v>
      </c>
      <c r="G16066">
        <v>0</v>
      </c>
      <c r="H16066">
        <v>1</v>
      </c>
      <c r="I16066" s="3">
        <v>142.96</v>
      </c>
      <c r="J16066" s="3">
        <v>0</v>
      </c>
      <c r="L16066">
        <v>1100</v>
      </c>
      <c r="M16066" t="s">
        <v>34789</v>
      </c>
      <c r="N16066" t="s">
        <v>30</v>
      </c>
      <c r="O16066" t="s">
        <v>31</v>
      </c>
      <c r="P16066" t="str">
        <f t="shared" si="209"/>
        <v>15212</v>
      </c>
    </row>
    <row r="16067" spans="1:16" x14ac:dyDescent="0.25">
      <c r="A16067" t="str">
        <f>"1240024B00180    00"</f>
        <v>1240024B00180    00</v>
      </c>
      <c r="B16067" t="s">
        <v>35151</v>
      </c>
      <c r="C16067" t="s">
        <v>35152</v>
      </c>
      <c r="D16067" t="s">
        <v>20</v>
      </c>
      <c r="E16067" t="s">
        <v>39</v>
      </c>
      <c r="F16067">
        <v>0</v>
      </c>
      <c r="G16067">
        <v>0</v>
      </c>
      <c r="H16067">
        <v>7</v>
      </c>
      <c r="I16067" s="3">
        <v>5963.95</v>
      </c>
      <c r="J16067" s="3">
        <v>2085.83</v>
      </c>
      <c r="L16067">
        <v>1100</v>
      </c>
      <c r="M16067" t="s">
        <v>34789</v>
      </c>
      <c r="N16067" t="s">
        <v>30</v>
      </c>
      <c r="O16067" t="s">
        <v>31</v>
      </c>
      <c r="P16067" t="str">
        <f t="shared" si="209"/>
        <v>15212</v>
      </c>
    </row>
    <row r="16068" spans="1:16" x14ac:dyDescent="0.25">
      <c r="A16068" t="str">
        <f>"1240024B00187    00"</f>
        <v>1240024B00187    00</v>
      </c>
      <c r="B16068" t="s">
        <v>35153</v>
      </c>
      <c r="C16068" t="s">
        <v>35154</v>
      </c>
      <c r="D16068" t="s">
        <v>20</v>
      </c>
      <c r="E16068" t="s">
        <v>39</v>
      </c>
      <c r="F16068">
        <v>0</v>
      </c>
      <c r="G16068">
        <v>0</v>
      </c>
      <c r="H16068">
        <v>4</v>
      </c>
      <c r="I16068" s="3">
        <v>17.39</v>
      </c>
      <c r="J16068" s="3">
        <v>2.14</v>
      </c>
      <c r="L16068">
        <v>3</v>
      </c>
      <c r="M16068" t="s">
        <v>35155</v>
      </c>
      <c r="N16068" t="s">
        <v>30</v>
      </c>
      <c r="O16068" t="s">
        <v>31</v>
      </c>
      <c r="P16068" t="str">
        <f t="shared" si="209"/>
        <v>15212</v>
      </c>
    </row>
    <row r="16069" spans="1:16" x14ac:dyDescent="0.25">
      <c r="A16069" t="str">
        <f>"1240024B00192    00"</f>
        <v>1240024B00192    00</v>
      </c>
      <c r="B16069" t="s">
        <v>35156</v>
      </c>
      <c r="C16069" t="s">
        <v>35157</v>
      </c>
      <c r="E16069" t="s">
        <v>39</v>
      </c>
      <c r="F16069">
        <v>0</v>
      </c>
      <c r="G16069">
        <v>0</v>
      </c>
      <c r="H16069">
        <v>2</v>
      </c>
      <c r="I16069" s="3">
        <v>26.7</v>
      </c>
      <c r="J16069" s="3">
        <v>2.68</v>
      </c>
      <c r="L16069">
        <v>1032</v>
      </c>
      <c r="M16069" t="s">
        <v>35158</v>
      </c>
      <c r="N16069" t="s">
        <v>30</v>
      </c>
      <c r="O16069" t="s">
        <v>31</v>
      </c>
      <c r="P16069" t="str">
        <f t="shared" si="209"/>
        <v>15212</v>
      </c>
    </row>
    <row r="16070" spans="1:16" x14ac:dyDescent="0.25">
      <c r="A16070" t="str">
        <f>"1240024B00194    00"</f>
        <v>1240024B00194    00</v>
      </c>
      <c r="B16070" t="s">
        <v>35159</v>
      </c>
      <c r="C16070" t="s">
        <v>35160</v>
      </c>
      <c r="D16070" t="s">
        <v>20</v>
      </c>
      <c r="E16070" t="s">
        <v>39</v>
      </c>
      <c r="F16070">
        <v>0</v>
      </c>
      <c r="G16070">
        <v>0</v>
      </c>
      <c r="H16070">
        <v>2</v>
      </c>
      <c r="I16070" s="3">
        <v>379.84</v>
      </c>
      <c r="J16070" s="3">
        <v>0</v>
      </c>
      <c r="K16070" t="s">
        <v>35161</v>
      </c>
      <c r="L16070">
        <v>1030</v>
      </c>
      <c r="M16070" t="s">
        <v>35158</v>
      </c>
      <c r="N16070" t="s">
        <v>30</v>
      </c>
      <c r="O16070" t="s">
        <v>31</v>
      </c>
      <c r="P16070" t="str">
        <f t="shared" si="209"/>
        <v>15212</v>
      </c>
    </row>
    <row r="16071" spans="1:16" x14ac:dyDescent="0.25">
      <c r="A16071" t="str">
        <f>"1240024B00216    00"</f>
        <v>1240024B00216    00</v>
      </c>
      <c r="B16071" t="s">
        <v>35162</v>
      </c>
      <c r="C16071" t="s">
        <v>35163</v>
      </c>
      <c r="D16071" t="s">
        <v>20</v>
      </c>
      <c r="E16071" t="s">
        <v>39</v>
      </c>
      <c r="F16071">
        <v>0</v>
      </c>
      <c r="G16071">
        <v>0</v>
      </c>
      <c r="H16071">
        <v>2</v>
      </c>
      <c r="I16071" s="3">
        <v>1031.0899999999999</v>
      </c>
      <c r="J16071" s="3">
        <v>0</v>
      </c>
      <c r="K16071" t="s">
        <v>35164</v>
      </c>
      <c r="L16071">
        <v>402</v>
      </c>
      <c r="M16071" t="s">
        <v>35165</v>
      </c>
      <c r="N16071" t="s">
        <v>826</v>
      </c>
      <c r="O16071" t="s">
        <v>31</v>
      </c>
      <c r="P16071" t="str">
        <f>"15601"</f>
        <v>15601</v>
      </c>
    </row>
    <row r="16072" spans="1:16" x14ac:dyDescent="0.25">
      <c r="A16072" t="str">
        <f>"1240024B00228    00"</f>
        <v>1240024B00228    00</v>
      </c>
      <c r="B16072" t="s">
        <v>35166</v>
      </c>
      <c r="C16072" t="s">
        <v>35167</v>
      </c>
      <c r="D16072" t="s">
        <v>20</v>
      </c>
      <c r="E16072" t="s">
        <v>39</v>
      </c>
      <c r="F16072">
        <v>0</v>
      </c>
      <c r="G16072">
        <v>0</v>
      </c>
      <c r="H16072">
        <v>17</v>
      </c>
      <c r="I16072" s="3">
        <v>9577.66</v>
      </c>
      <c r="J16072" s="3">
        <v>9536.4500000000007</v>
      </c>
      <c r="L16072">
        <v>517</v>
      </c>
      <c r="M16072" t="s">
        <v>35168</v>
      </c>
      <c r="N16072" t="s">
        <v>903</v>
      </c>
      <c r="O16072" t="s">
        <v>31</v>
      </c>
      <c r="P16072" t="str">
        <f>"15136"</f>
        <v>15136</v>
      </c>
    </row>
    <row r="16073" spans="1:16" x14ac:dyDescent="0.25">
      <c r="A16073" t="str">
        <f>"1240024B00229    00"</f>
        <v>1240024B00229    00</v>
      </c>
      <c r="B16073" t="s">
        <v>35169</v>
      </c>
      <c r="C16073" t="s">
        <v>35170</v>
      </c>
      <c r="D16073" t="s">
        <v>20</v>
      </c>
      <c r="E16073" t="s">
        <v>39</v>
      </c>
      <c r="F16073">
        <v>0</v>
      </c>
      <c r="G16073">
        <v>0</v>
      </c>
      <c r="H16073">
        <v>1</v>
      </c>
      <c r="I16073" s="3">
        <v>819.6</v>
      </c>
      <c r="J16073" s="3">
        <v>0</v>
      </c>
      <c r="K16073" t="s">
        <v>35171</v>
      </c>
      <c r="L16073">
        <v>110</v>
      </c>
      <c r="M16073" t="s">
        <v>8712</v>
      </c>
      <c r="N16073" t="s">
        <v>30</v>
      </c>
      <c r="O16073" t="s">
        <v>31</v>
      </c>
      <c r="P16073" t="str">
        <f>"15237"</f>
        <v>15237</v>
      </c>
    </row>
    <row r="16074" spans="1:16" x14ac:dyDescent="0.25">
      <c r="A16074" t="str">
        <f>"1240024B00235    00"</f>
        <v>1240024B00235    00</v>
      </c>
      <c r="B16074" t="s">
        <v>35172</v>
      </c>
      <c r="C16074" t="s">
        <v>34798</v>
      </c>
      <c r="D16074" t="s">
        <v>20</v>
      </c>
      <c r="E16074" t="s">
        <v>39</v>
      </c>
      <c r="F16074">
        <v>0</v>
      </c>
      <c r="G16074">
        <v>0</v>
      </c>
      <c r="H16074">
        <v>19</v>
      </c>
      <c r="I16074" s="3">
        <v>474.37</v>
      </c>
      <c r="J16074" s="3">
        <v>543.22</v>
      </c>
      <c r="K16074" t="s">
        <v>1008</v>
      </c>
      <c r="P16074" t="str">
        <f>""</f>
        <v/>
      </c>
    </row>
    <row r="16075" spans="1:16" x14ac:dyDescent="0.25">
      <c r="A16075" t="str">
        <f>"1240024B00236    00"</f>
        <v>1240024B00236    00</v>
      </c>
      <c r="B16075" t="s">
        <v>35173</v>
      </c>
      <c r="C16075" t="s">
        <v>35174</v>
      </c>
      <c r="D16075" t="s">
        <v>20</v>
      </c>
      <c r="E16075" t="s">
        <v>39</v>
      </c>
      <c r="F16075">
        <v>0</v>
      </c>
      <c r="G16075">
        <v>0</v>
      </c>
      <c r="H16075">
        <v>1</v>
      </c>
      <c r="I16075" s="3">
        <v>373.61</v>
      </c>
      <c r="J16075" s="3">
        <v>0</v>
      </c>
      <c r="L16075">
        <v>2623</v>
      </c>
      <c r="M16075" t="s">
        <v>19122</v>
      </c>
      <c r="N16075" t="s">
        <v>30</v>
      </c>
      <c r="O16075" t="s">
        <v>31</v>
      </c>
      <c r="P16075" t="str">
        <f>"15217"</f>
        <v>15217</v>
      </c>
    </row>
    <row r="16076" spans="1:16" x14ac:dyDescent="0.25">
      <c r="A16076" t="str">
        <f>"1240024B00237    00"</f>
        <v>1240024B00237    00</v>
      </c>
      <c r="B16076" t="s">
        <v>35175</v>
      </c>
      <c r="C16076" t="s">
        <v>35176</v>
      </c>
      <c r="D16076" t="s">
        <v>20</v>
      </c>
      <c r="E16076" t="s">
        <v>39</v>
      </c>
      <c r="F16076">
        <v>0</v>
      </c>
      <c r="G16076">
        <v>0</v>
      </c>
      <c r="H16076">
        <v>19</v>
      </c>
      <c r="I16076" s="3">
        <v>12695.28</v>
      </c>
      <c r="J16076" s="3">
        <v>13331.35</v>
      </c>
      <c r="K16076" t="s">
        <v>35177</v>
      </c>
      <c r="L16076">
        <v>1133</v>
      </c>
      <c r="M16076" t="s">
        <v>34789</v>
      </c>
      <c r="N16076" t="s">
        <v>30</v>
      </c>
      <c r="O16076" t="s">
        <v>31</v>
      </c>
      <c r="P16076" t="str">
        <f>"15212"</f>
        <v>15212</v>
      </c>
    </row>
    <row r="16077" spans="1:16" x14ac:dyDescent="0.25">
      <c r="A16077" t="str">
        <f>"1240024B00241    00"</f>
        <v>1240024B00241    00</v>
      </c>
      <c r="B16077" t="s">
        <v>35178</v>
      </c>
      <c r="C16077" t="s">
        <v>34798</v>
      </c>
      <c r="D16077" t="s">
        <v>20</v>
      </c>
      <c r="E16077" t="s">
        <v>39</v>
      </c>
      <c r="F16077">
        <v>0</v>
      </c>
      <c r="G16077">
        <v>0</v>
      </c>
      <c r="H16077">
        <v>13</v>
      </c>
      <c r="I16077" s="3">
        <v>3825.69</v>
      </c>
      <c r="J16077" s="3">
        <v>5361.59</v>
      </c>
      <c r="K16077" t="s">
        <v>1008</v>
      </c>
      <c r="P16077" t="str">
        <f>""</f>
        <v/>
      </c>
    </row>
    <row r="16078" spans="1:16" x14ac:dyDescent="0.25">
      <c r="A16078" t="str">
        <f>"1240024B00247    00"</f>
        <v>1240024B00247    00</v>
      </c>
      <c r="B16078" t="s">
        <v>35179</v>
      </c>
      <c r="C16078" t="s">
        <v>35180</v>
      </c>
      <c r="D16078" t="s">
        <v>20</v>
      </c>
      <c r="E16078" t="s">
        <v>39</v>
      </c>
      <c r="F16078">
        <v>0</v>
      </c>
      <c r="G16078">
        <v>0</v>
      </c>
      <c r="H16078">
        <v>19</v>
      </c>
      <c r="I16078" s="3">
        <v>542.91</v>
      </c>
      <c r="J16078" s="3">
        <v>601.91999999999996</v>
      </c>
      <c r="K16078" t="s">
        <v>1008</v>
      </c>
      <c r="P16078" t="str">
        <f>""</f>
        <v/>
      </c>
    </row>
    <row r="16079" spans="1:16" x14ac:dyDescent="0.25">
      <c r="A16079" t="str">
        <f>"1240024B00263    00"</f>
        <v>1240024B00263    00</v>
      </c>
      <c r="B16079" t="s">
        <v>35181</v>
      </c>
      <c r="C16079" t="s">
        <v>35182</v>
      </c>
      <c r="E16079" t="s">
        <v>39</v>
      </c>
      <c r="F16079">
        <v>0</v>
      </c>
      <c r="G16079">
        <v>0</v>
      </c>
      <c r="H16079">
        <v>2</v>
      </c>
      <c r="I16079" s="3">
        <v>238.38</v>
      </c>
      <c r="J16079" s="3">
        <v>48.67</v>
      </c>
      <c r="L16079">
        <v>1138</v>
      </c>
      <c r="M16079" t="s">
        <v>24014</v>
      </c>
      <c r="N16079" t="s">
        <v>30</v>
      </c>
      <c r="O16079" t="s">
        <v>31</v>
      </c>
      <c r="P16079" t="str">
        <f>"15212"</f>
        <v>15212</v>
      </c>
    </row>
    <row r="16080" spans="1:16" x14ac:dyDescent="0.25">
      <c r="A16080" t="str">
        <f>"1240024B00268    00"</f>
        <v>1240024B00268    00</v>
      </c>
      <c r="B16080" t="s">
        <v>35183</v>
      </c>
      <c r="C16080" t="s">
        <v>35184</v>
      </c>
      <c r="E16080" t="s">
        <v>39</v>
      </c>
      <c r="F16080">
        <v>0</v>
      </c>
      <c r="G16080">
        <v>0</v>
      </c>
      <c r="H16080">
        <v>1</v>
      </c>
      <c r="I16080" s="3">
        <v>405.26</v>
      </c>
      <c r="J16080" s="3">
        <v>0</v>
      </c>
      <c r="K16080" t="s">
        <v>35185</v>
      </c>
      <c r="L16080">
        <v>1122</v>
      </c>
      <c r="M16080" t="s">
        <v>24014</v>
      </c>
      <c r="N16080" t="s">
        <v>30</v>
      </c>
      <c r="O16080" t="s">
        <v>31</v>
      </c>
      <c r="P16080" t="str">
        <f>"15212"</f>
        <v>15212</v>
      </c>
    </row>
    <row r="16081" spans="1:16" x14ac:dyDescent="0.25">
      <c r="A16081" t="str">
        <f>"1240024B00270    00"</f>
        <v>1240024B00270    00</v>
      </c>
      <c r="B16081" t="s">
        <v>35186</v>
      </c>
      <c r="C16081" t="s">
        <v>35167</v>
      </c>
      <c r="E16081" t="s">
        <v>39</v>
      </c>
      <c r="F16081">
        <v>0</v>
      </c>
      <c r="G16081">
        <v>0</v>
      </c>
      <c r="H16081">
        <v>2</v>
      </c>
      <c r="I16081" s="3">
        <v>80.180000000000007</v>
      </c>
      <c r="J16081" s="3">
        <v>5.62</v>
      </c>
      <c r="K16081" t="s">
        <v>35187</v>
      </c>
      <c r="L16081">
        <v>1122</v>
      </c>
      <c r="M16081" t="s">
        <v>24014</v>
      </c>
      <c r="N16081" t="s">
        <v>30</v>
      </c>
      <c r="O16081" t="s">
        <v>31</v>
      </c>
      <c r="P16081" t="str">
        <f>"15212"</f>
        <v>15212</v>
      </c>
    </row>
    <row r="16082" spans="1:16" x14ac:dyDescent="0.25">
      <c r="A16082" t="str">
        <f>"1240024B00289    00"</f>
        <v>1240024B00289    00</v>
      </c>
      <c r="B16082" t="s">
        <v>35188</v>
      </c>
      <c r="C16082" t="s">
        <v>35189</v>
      </c>
      <c r="D16082" t="s">
        <v>20</v>
      </c>
      <c r="E16082" t="s">
        <v>39</v>
      </c>
      <c r="F16082">
        <v>0</v>
      </c>
      <c r="G16082">
        <v>0</v>
      </c>
      <c r="H16082">
        <v>4</v>
      </c>
      <c r="I16082" s="3">
        <v>1726.83</v>
      </c>
      <c r="J16082" s="3">
        <v>765.07</v>
      </c>
      <c r="L16082">
        <v>2618</v>
      </c>
      <c r="M16082" t="s">
        <v>35190</v>
      </c>
      <c r="N16082" t="s">
        <v>30</v>
      </c>
      <c r="O16082" t="s">
        <v>31</v>
      </c>
      <c r="P16082" t="str">
        <f>"15214"</f>
        <v>15214</v>
      </c>
    </row>
    <row r="16083" spans="1:16" x14ac:dyDescent="0.25">
      <c r="A16083" t="str">
        <f>"1240024B00290    00"</f>
        <v>1240024B00290    00</v>
      </c>
      <c r="B16083" t="s">
        <v>35188</v>
      </c>
      <c r="C16083" t="s">
        <v>35189</v>
      </c>
      <c r="E16083" t="s">
        <v>39</v>
      </c>
      <c r="F16083">
        <v>0</v>
      </c>
      <c r="G16083">
        <v>0</v>
      </c>
      <c r="H16083">
        <v>4</v>
      </c>
      <c r="I16083" s="3">
        <v>36.130000000000003</v>
      </c>
      <c r="J16083" s="3">
        <v>26.78</v>
      </c>
      <c r="L16083">
        <v>2618</v>
      </c>
      <c r="M16083" t="s">
        <v>35190</v>
      </c>
      <c r="N16083" t="s">
        <v>30</v>
      </c>
      <c r="O16083" t="s">
        <v>31</v>
      </c>
      <c r="P16083" t="str">
        <f>"15214"</f>
        <v>15214</v>
      </c>
    </row>
    <row r="16084" spans="1:16" x14ac:dyDescent="0.25">
      <c r="A16084" t="str">
        <f>"1240024B00309    00"</f>
        <v>1240024B00309    00</v>
      </c>
      <c r="B16084" t="s">
        <v>35191</v>
      </c>
      <c r="C16084" t="s">
        <v>35192</v>
      </c>
      <c r="E16084" t="s">
        <v>39</v>
      </c>
      <c r="F16084">
        <v>0</v>
      </c>
      <c r="G16084">
        <v>0</v>
      </c>
      <c r="H16084">
        <v>2</v>
      </c>
      <c r="I16084" s="3">
        <v>111.89</v>
      </c>
      <c r="J16084" s="3">
        <v>74.900000000000006</v>
      </c>
      <c r="L16084">
        <v>1209</v>
      </c>
      <c r="M16084" t="s">
        <v>24014</v>
      </c>
      <c r="N16084" t="s">
        <v>30</v>
      </c>
      <c r="O16084" t="s">
        <v>31</v>
      </c>
      <c r="P16084" t="str">
        <f>"15212"</f>
        <v>15212</v>
      </c>
    </row>
    <row r="16085" spans="1:16" x14ac:dyDescent="0.25">
      <c r="A16085" t="str">
        <f>"1240024B00313    00"</f>
        <v>1240024B00313    00</v>
      </c>
      <c r="B16085" t="s">
        <v>35193</v>
      </c>
      <c r="C16085" t="s">
        <v>35194</v>
      </c>
      <c r="E16085" t="s">
        <v>39</v>
      </c>
      <c r="F16085">
        <v>0</v>
      </c>
      <c r="G16085">
        <v>0</v>
      </c>
      <c r="H16085">
        <v>4</v>
      </c>
      <c r="I16085" s="3">
        <v>616.23</v>
      </c>
      <c r="J16085" s="3">
        <v>817.6</v>
      </c>
      <c r="L16085">
        <v>1213</v>
      </c>
      <c r="M16085" t="s">
        <v>24014</v>
      </c>
      <c r="N16085" t="s">
        <v>30</v>
      </c>
      <c r="O16085" t="s">
        <v>31</v>
      </c>
      <c r="P16085" t="str">
        <f>"15212"</f>
        <v>15212</v>
      </c>
    </row>
    <row r="16086" spans="1:16" x14ac:dyDescent="0.25">
      <c r="A16086" t="str">
        <f>"1240024B00317    00"</f>
        <v>1240024B00317    00</v>
      </c>
      <c r="B16086" t="s">
        <v>35195</v>
      </c>
      <c r="C16086" t="s">
        <v>35196</v>
      </c>
      <c r="E16086" t="s">
        <v>39</v>
      </c>
      <c r="F16086">
        <v>0</v>
      </c>
      <c r="G16086">
        <v>0</v>
      </c>
      <c r="H16086">
        <v>3</v>
      </c>
      <c r="I16086" s="3">
        <v>1438.92</v>
      </c>
      <c r="J16086" s="3">
        <v>1918.23</v>
      </c>
      <c r="L16086">
        <v>1212</v>
      </c>
      <c r="M16086" t="s">
        <v>24014</v>
      </c>
      <c r="N16086" t="s">
        <v>30</v>
      </c>
      <c r="O16086" t="s">
        <v>31</v>
      </c>
      <c r="P16086" t="str">
        <f>"15212"</f>
        <v>15212</v>
      </c>
    </row>
    <row r="16087" spans="1:16" x14ac:dyDescent="0.25">
      <c r="A16087" t="str">
        <f>"1240024B00329    00"</f>
        <v>1240024B00329    00</v>
      </c>
      <c r="B16087" t="s">
        <v>35197</v>
      </c>
      <c r="C16087" t="s">
        <v>35198</v>
      </c>
      <c r="D16087" t="s">
        <v>20</v>
      </c>
      <c r="E16087" t="s">
        <v>39</v>
      </c>
      <c r="F16087">
        <v>0</v>
      </c>
      <c r="G16087">
        <v>0</v>
      </c>
      <c r="H16087">
        <v>19</v>
      </c>
      <c r="I16087" s="3">
        <v>542.91</v>
      </c>
      <c r="J16087" s="3">
        <v>601.91999999999996</v>
      </c>
      <c r="K16087" t="s">
        <v>1008</v>
      </c>
      <c r="P16087" t="str">
        <f>""</f>
        <v/>
      </c>
    </row>
    <row r="16088" spans="1:16" x14ac:dyDescent="0.25">
      <c r="A16088" t="str">
        <f>"1240024B00340    00"</f>
        <v>1240024B00340    00</v>
      </c>
      <c r="B16088" t="s">
        <v>35199</v>
      </c>
      <c r="C16088" t="s">
        <v>35200</v>
      </c>
      <c r="D16088" t="s">
        <v>20</v>
      </c>
      <c r="E16088" t="s">
        <v>39</v>
      </c>
      <c r="F16088">
        <v>0</v>
      </c>
      <c r="G16088">
        <v>0</v>
      </c>
      <c r="H16088">
        <v>3</v>
      </c>
      <c r="I16088" s="3">
        <v>817.71</v>
      </c>
      <c r="J16088" s="3">
        <v>54.51</v>
      </c>
      <c r="K16088" t="s">
        <v>35201</v>
      </c>
      <c r="L16088">
        <v>1925</v>
      </c>
      <c r="M16088" t="s">
        <v>35202</v>
      </c>
      <c r="N16088" t="s">
        <v>30</v>
      </c>
      <c r="O16088" t="s">
        <v>31</v>
      </c>
      <c r="P16088" t="str">
        <f>"15212"</f>
        <v>15212</v>
      </c>
    </row>
    <row r="16089" spans="1:16" x14ac:dyDescent="0.25">
      <c r="A16089" t="str">
        <f>"1240024B00340A   00"</f>
        <v>1240024B00340A   00</v>
      </c>
      <c r="B16089" t="s">
        <v>35203</v>
      </c>
      <c r="C16089" t="s">
        <v>35204</v>
      </c>
      <c r="E16089" t="s">
        <v>39</v>
      </c>
      <c r="F16089">
        <v>0</v>
      </c>
      <c r="G16089">
        <v>0</v>
      </c>
      <c r="H16089">
        <v>4</v>
      </c>
      <c r="I16089" s="3">
        <v>1139.6199999999999</v>
      </c>
      <c r="J16089" s="3">
        <v>1125.29</v>
      </c>
      <c r="L16089">
        <v>2</v>
      </c>
      <c r="M16089" t="s">
        <v>35205</v>
      </c>
      <c r="N16089" t="s">
        <v>30</v>
      </c>
      <c r="O16089" t="s">
        <v>31</v>
      </c>
      <c r="P16089" t="str">
        <f>"15212"</f>
        <v>15212</v>
      </c>
    </row>
    <row r="16090" spans="1:16" x14ac:dyDescent="0.25">
      <c r="A16090" t="str">
        <f>"1240024B00342    00"</f>
        <v>1240024B00342    00</v>
      </c>
      <c r="B16090" t="s">
        <v>35206</v>
      </c>
      <c r="C16090" t="s">
        <v>35207</v>
      </c>
      <c r="D16090" t="s">
        <v>20</v>
      </c>
      <c r="E16090" t="s">
        <v>39</v>
      </c>
      <c r="F16090">
        <v>0</v>
      </c>
      <c r="G16090">
        <v>0</v>
      </c>
      <c r="H16090">
        <v>18</v>
      </c>
      <c r="I16090" s="3">
        <v>4753.74</v>
      </c>
      <c r="J16090" s="3">
        <v>4077.69</v>
      </c>
      <c r="L16090">
        <v>2347</v>
      </c>
      <c r="M16090" t="s">
        <v>35208</v>
      </c>
      <c r="N16090" t="s">
        <v>30</v>
      </c>
      <c r="O16090" t="s">
        <v>31</v>
      </c>
      <c r="P16090" t="str">
        <f>"15220"</f>
        <v>15220</v>
      </c>
    </row>
    <row r="16091" spans="1:16" x14ac:dyDescent="0.25">
      <c r="A16091" t="str">
        <f>"1240024B00343    00"</f>
        <v>1240024B00343    00</v>
      </c>
      <c r="B16091" t="s">
        <v>35209</v>
      </c>
      <c r="C16091" t="s">
        <v>35210</v>
      </c>
      <c r="D16091" t="s">
        <v>20</v>
      </c>
      <c r="E16091" t="s">
        <v>39</v>
      </c>
      <c r="F16091">
        <v>0</v>
      </c>
      <c r="G16091">
        <v>0</v>
      </c>
      <c r="H16091">
        <v>18</v>
      </c>
      <c r="I16091" s="3">
        <v>5552.65</v>
      </c>
      <c r="J16091" s="3">
        <v>5040.96</v>
      </c>
      <c r="L16091">
        <v>116</v>
      </c>
      <c r="M16091" t="s">
        <v>35211</v>
      </c>
      <c r="N16091" t="s">
        <v>30</v>
      </c>
      <c r="O16091" t="s">
        <v>31</v>
      </c>
      <c r="P16091" t="str">
        <f>"15212"</f>
        <v>15212</v>
      </c>
    </row>
    <row r="16092" spans="1:16" x14ac:dyDescent="0.25">
      <c r="A16092" t="str">
        <f>"1240024B00344    00"</f>
        <v>1240024B00344    00</v>
      </c>
      <c r="B16092" t="s">
        <v>35212</v>
      </c>
      <c r="C16092" t="s">
        <v>35213</v>
      </c>
      <c r="D16092" t="s">
        <v>20</v>
      </c>
      <c r="E16092" t="s">
        <v>39</v>
      </c>
      <c r="F16092">
        <v>0</v>
      </c>
      <c r="G16092">
        <v>0</v>
      </c>
      <c r="H16092">
        <v>19</v>
      </c>
      <c r="I16092" s="3">
        <v>3492.84</v>
      </c>
      <c r="J16092" s="3">
        <v>1972.61</v>
      </c>
      <c r="K16092" t="s">
        <v>1008</v>
      </c>
      <c r="P16092" t="str">
        <f>""</f>
        <v/>
      </c>
    </row>
    <row r="16093" spans="1:16" x14ac:dyDescent="0.25">
      <c r="A16093" t="str">
        <f>"1240024B00349    00"</f>
        <v>1240024B00349    00</v>
      </c>
      <c r="B16093" t="s">
        <v>35214</v>
      </c>
      <c r="C16093" t="s">
        <v>34798</v>
      </c>
      <c r="D16093" t="s">
        <v>20</v>
      </c>
      <c r="E16093" t="s">
        <v>39</v>
      </c>
      <c r="F16093">
        <v>0</v>
      </c>
      <c r="G16093">
        <v>0</v>
      </c>
      <c r="H16093">
        <v>19</v>
      </c>
      <c r="I16093" s="3">
        <v>2900.49</v>
      </c>
      <c r="J16093" s="3">
        <v>4433.87</v>
      </c>
      <c r="L16093">
        <v>1213</v>
      </c>
      <c r="M16093" t="s">
        <v>34789</v>
      </c>
      <c r="N16093" t="s">
        <v>30</v>
      </c>
      <c r="O16093" t="s">
        <v>31</v>
      </c>
      <c r="P16093" t="str">
        <f>"15212"</f>
        <v>15212</v>
      </c>
    </row>
    <row r="16094" spans="1:16" x14ac:dyDescent="0.25">
      <c r="A16094" t="str">
        <f>"1240024B00351    00"</f>
        <v>1240024B00351    00</v>
      </c>
      <c r="B16094" t="s">
        <v>35215</v>
      </c>
      <c r="C16094" t="s">
        <v>35216</v>
      </c>
      <c r="E16094" t="s">
        <v>39</v>
      </c>
      <c r="F16094">
        <v>0</v>
      </c>
      <c r="G16094">
        <v>0</v>
      </c>
      <c r="H16094">
        <v>1</v>
      </c>
      <c r="I16094" s="3">
        <v>297.26</v>
      </c>
      <c r="J16094" s="3">
        <v>7.43</v>
      </c>
      <c r="M16094" t="s">
        <v>34891</v>
      </c>
      <c r="N16094" t="s">
        <v>30</v>
      </c>
      <c r="O16094" t="s">
        <v>31</v>
      </c>
      <c r="P16094" t="str">
        <f>"15237"</f>
        <v>15237</v>
      </c>
    </row>
    <row r="16095" spans="1:16" x14ac:dyDescent="0.25">
      <c r="A16095" t="str">
        <f>"1240024C00004    00"</f>
        <v>1240024C00004    00</v>
      </c>
      <c r="B16095" t="s">
        <v>35217</v>
      </c>
      <c r="C16095" t="s">
        <v>34798</v>
      </c>
      <c r="D16095" t="s">
        <v>20</v>
      </c>
      <c r="E16095" t="s">
        <v>39</v>
      </c>
      <c r="F16095">
        <v>0</v>
      </c>
      <c r="G16095">
        <v>0</v>
      </c>
      <c r="H16095">
        <v>4</v>
      </c>
      <c r="I16095" s="3">
        <v>1002.4</v>
      </c>
      <c r="J16095" s="3">
        <v>118.42</v>
      </c>
      <c r="L16095">
        <v>1723</v>
      </c>
      <c r="M16095" t="s">
        <v>35218</v>
      </c>
      <c r="N16095" t="s">
        <v>30</v>
      </c>
      <c r="O16095" t="s">
        <v>31</v>
      </c>
      <c r="P16095" t="str">
        <f>"15212"</f>
        <v>15212</v>
      </c>
    </row>
    <row r="16096" spans="1:16" x14ac:dyDescent="0.25">
      <c r="A16096" t="str">
        <f>"1240024C00006    00"</f>
        <v>1240024C00006    00</v>
      </c>
      <c r="B16096" t="s">
        <v>35219</v>
      </c>
      <c r="C16096" t="s">
        <v>35220</v>
      </c>
      <c r="D16096" t="s">
        <v>20</v>
      </c>
      <c r="E16096" t="s">
        <v>21</v>
      </c>
      <c r="F16096">
        <v>0</v>
      </c>
      <c r="G16096">
        <v>0</v>
      </c>
      <c r="H16096">
        <v>2</v>
      </c>
      <c r="I16096" s="3">
        <v>863.72</v>
      </c>
      <c r="J16096" s="3">
        <v>1.8</v>
      </c>
      <c r="K16096" t="s">
        <v>35221</v>
      </c>
      <c r="L16096">
        <v>60</v>
      </c>
      <c r="M16096" t="s">
        <v>24106</v>
      </c>
      <c r="N16096" t="s">
        <v>30</v>
      </c>
      <c r="O16096" t="s">
        <v>31</v>
      </c>
      <c r="P16096" t="str">
        <f>"15203"</f>
        <v>15203</v>
      </c>
    </row>
    <row r="16097" spans="1:16" x14ac:dyDescent="0.25">
      <c r="A16097" t="str">
        <f>"1240024C00020    00"</f>
        <v>1240024C00020    00</v>
      </c>
      <c r="B16097" t="s">
        <v>35222</v>
      </c>
      <c r="C16097" t="s">
        <v>35223</v>
      </c>
      <c r="D16097" t="s">
        <v>20</v>
      </c>
      <c r="E16097" t="s">
        <v>39</v>
      </c>
      <c r="F16097">
        <v>0</v>
      </c>
      <c r="G16097">
        <v>0</v>
      </c>
      <c r="H16097">
        <v>19</v>
      </c>
      <c r="I16097" s="3">
        <v>23130.2</v>
      </c>
      <c r="J16097" s="3">
        <v>20967.62</v>
      </c>
      <c r="L16097">
        <v>1358</v>
      </c>
      <c r="M16097" t="s">
        <v>35224</v>
      </c>
      <c r="N16097" t="s">
        <v>30</v>
      </c>
      <c r="O16097" t="s">
        <v>31</v>
      </c>
      <c r="P16097" t="str">
        <f>"15212"</f>
        <v>15212</v>
      </c>
    </row>
    <row r="16098" spans="1:16" x14ac:dyDescent="0.25">
      <c r="A16098" t="str">
        <f>"1240024C00021    00"</f>
        <v>1240024C00021    00</v>
      </c>
      <c r="B16098" t="s">
        <v>35222</v>
      </c>
      <c r="C16098" t="s">
        <v>35223</v>
      </c>
      <c r="D16098" t="s">
        <v>20</v>
      </c>
      <c r="E16098" t="s">
        <v>39</v>
      </c>
      <c r="F16098">
        <v>0</v>
      </c>
      <c r="G16098">
        <v>0</v>
      </c>
      <c r="H16098">
        <v>19</v>
      </c>
      <c r="I16098" s="3">
        <v>2908.04</v>
      </c>
      <c r="J16098" s="3">
        <v>2268.5100000000002</v>
      </c>
      <c r="L16098">
        <v>1358</v>
      </c>
      <c r="M16098" t="s">
        <v>35224</v>
      </c>
      <c r="N16098" t="s">
        <v>30</v>
      </c>
      <c r="O16098" t="s">
        <v>31</v>
      </c>
      <c r="P16098" t="str">
        <f>"15212"</f>
        <v>15212</v>
      </c>
    </row>
    <row r="16099" spans="1:16" x14ac:dyDescent="0.25">
      <c r="A16099" t="str">
        <f>"1240024C00030    00"</f>
        <v>1240024C00030    00</v>
      </c>
      <c r="B16099" t="s">
        <v>35225</v>
      </c>
      <c r="C16099" t="s">
        <v>35226</v>
      </c>
      <c r="D16099" t="s">
        <v>20</v>
      </c>
      <c r="E16099" t="s">
        <v>39</v>
      </c>
      <c r="F16099">
        <v>0</v>
      </c>
      <c r="G16099">
        <v>0</v>
      </c>
      <c r="H16099">
        <v>4</v>
      </c>
      <c r="I16099" s="3">
        <v>2985.34</v>
      </c>
      <c r="J16099" s="3">
        <v>350.67</v>
      </c>
      <c r="L16099">
        <v>1336</v>
      </c>
      <c r="M16099" t="s">
        <v>35224</v>
      </c>
      <c r="N16099" t="s">
        <v>30</v>
      </c>
      <c r="O16099" t="s">
        <v>31</v>
      </c>
      <c r="P16099" t="str">
        <f>"15212"</f>
        <v>15212</v>
      </c>
    </row>
    <row r="16100" spans="1:16" x14ac:dyDescent="0.25">
      <c r="A16100" t="str">
        <f>"1240024C00035    00"</f>
        <v>1240024C00035    00</v>
      </c>
      <c r="B16100" t="s">
        <v>35227</v>
      </c>
      <c r="C16100" t="s">
        <v>35228</v>
      </c>
      <c r="E16100" t="s">
        <v>39</v>
      </c>
      <c r="F16100">
        <v>0</v>
      </c>
      <c r="G16100">
        <v>0</v>
      </c>
      <c r="H16100">
        <v>1</v>
      </c>
      <c r="I16100" s="3">
        <v>74.34</v>
      </c>
      <c r="J16100" s="3">
        <v>14.88</v>
      </c>
      <c r="L16100">
        <v>7613</v>
      </c>
      <c r="M16100" t="s">
        <v>35229</v>
      </c>
      <c r="N16100" t="s">
        <v>35230</v>
      </c>
      <c r="O16100" t="s">
        <v>108</v>
      </c>
      <c r="P16100" t="str">
        <f>"76227"</f>
        <v>76227</v>
      </c>
    </row>
    <row r="16101" spans="1:16" x14ac:dyDescent="0.25">
      <c r="A16101" t="str">
        <f>"1240024C00038    00"</f>
        <v>1240024C00038    00</v>
      </c>
      <c r="B16101" t="s">
        <v>35225</v>
      </c>
      <c r="C16101" t="s">
        <v>35231</v>
      </c>
      <c r="D16101" t="s">
        <v>20</v>
      </c>
      <c r="E16101" t="s">
        <v>39</v>
      </c>
      <c r="F16101">
        <v>0</v>
      </c>
      <c r="G16101">
        <v>0</v>
      </c>
      <c r="H16101">
        <v>6</v>
      </c>
      <c r="I16101" s="3">
        <v>6324.32</v>
      </c>
      <c r="J16101" s="3">
        <v>1040.02</v>
      </c>
      <c r="L16101">
        <v>1336</v>
      </c>
      <c r="M16101" t="s">
        <v>35224</v>
      </c>
      <c r="N16101" t="s">
        <v>30</v>
      </c>
      <c r="O16101" t="s">
        <v>31</v>
      </c>
      <c r="P16101" t="str">
        <f>"15212"</f>
        <v>15212</v>
      </c>
    </row>
    <row r="16102" spans="1:16" x14ac:dyDescent="0.25">
      <c r="A16102" t="str">
        <f>"1240024C00040    00"</f>
        <v>1240024C00040    00</v>
      </c>
      <c r="B16102" t="s">
        <v>34815</v>
      </c>
      <c r="C16102" t="s">
        <v>35213</v>
      </c>
      <c r="D16102" t="s">
        <v>20</v>
      </c>
      <c r="E16102" t="s">
        <v>39</v>
      </c>
      <c r="F16102">
        <v>0</v>
      </c>
      <c r="G16102">
        <v>0</v>
      </c>
      <c r="H16102">
        <v>2</v>
      </c>
      <c r="I16102" s="3">
        <v>351.43</v>
      </c>
      <c r="J16102" s="3">
        <v>3.19</v>
      </c>
      <c r="K16102" t="s">
        <v>35232</v>
      </c>
      <c r="L16102">
        <v>1013</v>
      </c>
      <c r="M16102" t="s">
        <v>3777</v>
      </c>
      <c r="N16102" t="s">
        <v>30</v>
      </c>
      <c r="O16102" t="s">
        <v>31</v>
      </c>
      <c r="P16102" t="str">
        <f>"15211"</f>
        <v>15211</v>
      </c>
    </row>
    <row r="16103" spans="1:16" x14ac:dyDescent="0.25">
      <c r="A16103" t="str">
        <f>"1240024C00042    00"</f>
        <v>1240024C00042    00</v>
      </c>
      <c r="B16103" t="s">
        <v>35233</v>
      </c>
      <c r="C16103" t="s">
        <v>35234</v>
      </c>
      <c r="D16103" t="s">
        <v>20</v>
      </c>
      <c r="E16103" t="s">
        <v>39</v>
      </c>
      <c r="F16103">
        <v>0</v>
      </c>
      <c r="G16103">
        <v>0</v>
      </c>
      <c r="H16103">
        <v>6</v>
      </c>
      <c r="I16103" s="3">
        <v>1295.29</v>
      </c>
      <c r="J16103" s="3">
        <v>651.91999999999996</v>
      </c>
      <c r="L16103">
        <v>1312</v>
      </c>
      <c r="M16103" t="s">
        <v>35205</v>
      </c>
      <c r="N16103" t="s">
        <v>30</v>
      </c>
      <c r="O16103" t="s">
        <v>31</v>
      </c>
      <c r="P16103" t="str">
        <f>"15212"</f>
        <v>15212</v>
      </c>
    </row>
    <row r="16104" spans="1:16" x14ac:dyDescent="0.25">
      <c r="A16104" t="str">
        <f>"1240024C00059    00"</f>
        <v>1240024C00059    00</v>
      </c>
      <c r="B16104" t="s">
        <v>35235</v>
      </c>
      <c r="C16104" t="s">
        <v>35236</v>
      </c>
      <c r="D16104" t="s">
        <v>20</v>
      </c>
      <c r="E16104" t="s">
        <v>39</v>
      </c>
      <c r="F16104">
        <v>0</v>
      </c>
      <c r="G16104">
        <v>0</v>
      </c>
      <c r="H16104">
        <v>1</v>
      </c>
      <c r="I16104" s="3">
        <v>1410.46</v>
      </c>
      <c r="J16104" s="3">
        <v>0</v>
      </c>
      <c r="M16104" t="s">
        <v>35237</v>
      </c>
      <c r="N16104" t="s">
        <v>1046</v>
      </c>
      <c r="O16104" t="s">
        <v>31</v>
      </c>
      <c r="P16104" t="str">
        <f>"15147"</f>
        <v>15147</v>
      </c>
    </row>
    <row r="16105" spans="1:16" x14ac:dyDescent="0.25">
      <c r="A16105" t="str">
        <f>"1240024C00079    00"</f>
        <v>1240024C00079    00</v>
      </c>
      <c r="B16105" t="s">
        <v>35238</v>
      </c>
      <c r="C16105" t="s">
        <v>35239</v>
      </c>
      <c r="D16105" t="s">
        <v>20</v>
      </c>
      <c r="E16105" t="s">
        <v>39</v>
      </c>
      <c r="F16105">
        <v>0</v>
      </c>
      <c r="G16105">
        <v>0</v>
      </c>
      <c r="H16105">
        <v>5</v>
      </c>
      <c r="I16105" s="3">
        <v>1396.32</v>
      </c>
      <c r="J16105" s="3">
        <v>404.12</v>
      </c>
      <c r="L16105">
        <v>1357</v>
      </c>
      <c r="M16105" t="s">
        <v>35205</v>
      </c>
      <c r="N16105" t="s">
        <v>30</v>
      </c>
      <c r="O16105" t="s">
        <v>31</v>
      </c>
      <c r="P16105" t="str">
        <f t="shared" ref="P16105:P16110" si="210">"15212"</f>
        <v>15212</v>
      </c>
    </row>
    <row r="16106" spans="1:16" x14ac:dyDescent="0.25">
      <c r="A16106" t="str">
        <f>"1240024C00091    00"</f>
        <v>1240024C00091    00</v>
      </c>
      <c r="B16106" t="s">
        <v>35240</v>
      </c>
      <c r="C16106" t="s">
        <v>35241</v>
      </c>
      <c r="D16106" t="s">
        <v>20</v>
      </c>
      <c r="E16106" t="s">
        <v>39</v>
      </c>
      <c r="F16106">
        <v>0</v>
      </c>
      <c r="G16106">
        <v>0</v>
      </c>
      <c r="H16106">
        <v>4</v>
      </c>
      <c r="I16106" s="3">
        <v>725.55</v>
      </c>
      <c r="J16106" s="3">
        <v>196.21</v>
      </c>
      <c r="L16106">
        <v>1400</v>
      </c>
      <c r="M16106" t="s">
        <v>35242</v>
      </c>
      <c r="N16106" t="s">
        <v>30</v>
      </c>
      <c r="O16106" t="s">
        <v>31</v>
      </c>
      <c r="P16106" t="str">
        <f t="shared" si="210"/>
        <v>15212</v>
      </c>
    </row>
    <row r="16107" spans="1:16" x14ac:dyDescent="0.25">
      <c r="A16107" t="str">
        <f>"1240024C00095    00"</f>
        <v>1240024C00095    00</v>
      </c>
      <c r="B16107" t="s">
        <v>35243</v>
      </c>
      <c r="C16107" t="s">
        <v>35244</v>
      </c>
      <c r="D16107" t="s">
        <v>20</v>
      </c>
      <c r="E16107" t="s">
        <v>39</v>
      </c>
      <c r="F16107">
        <v>0</v>
      </c>
      <c r="G16107">
        <v>0</v>
      </c>
      <c r="H16107">
        <v>3</v>
      </c>
      <c r="I16107" s="3">
        <v>1236.73</v>
      </c>
      <c r="J16107" s="3">
        <v>243.73</v>
      </c>
      <c r="L16107">
        <v>1310</v>
      </c>
      <c r="M16107" t="s">
        <v>35242</v>
      </c>
      <c r="N16107" t="s">
        <v>30</v>
      </c>
      <c r="O16107" t="s">
        <v>31</v>
      </c>
      <c r="P16107" t="str">
        <f t="shared" si="210"/>
        <v>15212</v>
      </c>
    </row>
    <row r="16108" spans="1:16" x14ac:dyDescent="0.25">
      <c r="A16108" t="str">
        <f>"1240024C00097    00"</f>
        <v>1240024C00097    00</v>
      </c>
      <c r="B16108" t="s">
        <v>35245</v>
      </c>
      <c r="C16108" t="s">
        <v>35246</v>
      </c>
      <c r="E16108" t="s">
        <v>39</v>
      </c>
      <c r="F16108">
        <v>0</v>
      </c>
      <c r="G16108">
        <v>0</v>
      </c>
      <c r="H16108">
        <v>2</v>
      </c>
      <c r="I16108" s="3">
        <v>984.19</v>
      </c>
      <c r="J16108" s="3">
        <v>4.8099999999999996</v>
      </c>
      <c r="K16108" t="s">
        <v>35247</v>
      </c>
      <c r="L16108">
        <v>1308</v>
      </c>
      <c r="M16108" t="s">
        <v>35242</v>
      </c>
      <c r="N16108" t="s">
        <v>30</v>
      </c>
      <c r="O16108" t="s">
        <v>31</v>
      </c>
      <c r="P16108" t="str">
        <f t="shared" si="210"/>
        <v>15212</v>
      </c>
    </row>
    <row r="16109" spans="1:16" x14ac:dyDescent="0.25">
      <c r="A16109" t="str">
        <f>"1240024C00109    00"</f>
        <v>1240024C00109    00</v>
      </c>
      <c r="B16109" t="s">
        <v>35248</v>
      </c>
      <c r="C16109" t="s">
        <v>35249</v>
      </c>
      <c r="D16109" t="s">
        <v>20</v>
      </c>
      <c r="E16109" t="s">
        <v>39</v>
      </c>
      <c r="F16109">
        <v>0</v>
      </c>
      <c r="G16109">
        <v>0</v>
      </c>
      <c r="H16109">
        <v>14</v>
      </c>
      <c r="I16109" s="3">
        <v>4062.82</v>
      </c>
      <c r="J16109" s="3">
        <v>4935.88</v>
      </c>
      <c r="K16109" t="s">
        <v>35250</v>
      </c>
      <c r="L16109">
        <v>210</v>
      </c>
      <c r="M16109" t="s">
        <v>7289</v>
      </c>
      <c r="N16109" t="s">
        <v>30</v>
      </c>
      <c r="O16109" t="s">
        <v>31</v>
      </c>
      <c r="P16109" t="str">
        <f t="shared" si="210"/>
        <v>15212</v>
      </c>
    </row>
    <row r="16110" spans="1:16" x14ac:dyDescent="0.25">
      <c r="A16110" t="str">
        <f>"1240024C00115    00"</f>
        <v>1240024C00115    00</v>
      </c>
      <c r="B16110" t="s">
        <v>35245</v>
      </c>
      <c r="C16110" t="s">
        <v>35251</v>
      </c>
      <c r="D16110" t="s">
        <v>20</v>
      </c>
      <c r="E16110" t="s">
        <v>39</v>
      </c>
      <c r="F16110">
        <v>0</v>
      </c>
      <c r="G16110">
        <v>0</v>
      </c>
      <c r="H16110">
        <v>3</v>
      </c>
      <c r="I16110" s="3">
        <v>34.32</v>
      </c>
      <c r="J16110" s="3">
        <v>2.29</v>
      </c>
      <c r="K16110" t="s">
        <v>35247</v>
      </c>
      <c r="L16110">
        <v>1308</v>
      </c>
      <c r="M16110" t="s">
        <v>35242</v>
      </c>
      <c r="N16110" t="s">
        <v>30</v>
      </c>
      <c r="O16110" t="s">
        <v>31</v>
      </c>
      <c r="P16110" t="str">
        <f t="shared" si="210"/>
        <v>15212</v>
      </c>
    </row>
    <row r="16111" spans="1:16" x14ac:dyDescent="0.25">
      <c r="A16111" t="str">
        <f>"1240024C00116    00"</f>
        <v>1240024C00116    00</v>
      </c>
      <c r="B16111" t="s">
        <v>35252</v>
      </c>
      <c r="C16111" t="s">
        <v>35167</v>
      </c>
      <c r="D16111" t="s">
        <v>20</v>
      </c>
      <c r="E16111" t="s">
        <v>39</v>
      </c>
      <c r="F16111">
        <v>0</v>
      </c>
      <c r="G16111">
        <v>0</v>
      </c>
      <c r="H16111">
        <v>9</v>
      </c>
      <c r="I16111" s="3">
        <v>99.73</v>
      </c>
      <c r="J16111" s="3">
        <v>44.42</v>
      </c>
      <c r="M16111" t="s">
        <v>21983</v>
      </c>
      <c r="N16111" t="s">
        <v>30</v>
      </c>
      <c r="O16111" t="s">
        <v>31</v>
      </c>
      <c r="P16111" t="str">
        <f>"15209"</f>
        <v>15209</v>
      </c>
    </row>
    <row r="16112" spans="1:16" x14ac:dyDescent="0.25">
      <c r="A16112" t="str">
        <f>"1240024C00117    00"</f>
        <v>1240024C00117    00</v>
      </c>
      <c r="B16112" t="s">
        <v>35253</v>
      </c>
      <c r="C16112" t="s">
        <v>35167</v>
      </c>
      <c r="D16112" t="s">
        <v>20</v>
      </c>
      <c r="E16112" t="s">
        <v>39</v>
      </c>
      <c r="F16112">
        <v>0</v>
      </c>
      <c r="G16112">
        <v>0</v>
      </c>
      <c r="H16112">
        <v>7</v>
      </c>
      <c r="I16112" s="3">
        <v>38.99</v>
      </c>
      <c r="J16112" s="3">
        <v>17.37</v>
      </c>
      <c r="K16112" t="s">
        <v>35254</v>
      </c>
      <c r="M16112" t="s">
        <v>21983</v>
      </c>
      <c r="N16112" t="s">
        <v>30</v>
      </c>
      <c r="O16112" t="s">
        <v>31</v>
      </c>
      <c r="P16112" t="str">
        <f>"15209"</f>
        <v>15209</v>
      </c>
    </row>
    <row r="16113" spans="1:16" x14ac:dyDescent="0.25">
      <c r="A16113" t="str">
        <f>"1240024C00133    00"</f>
        <v>1240024C00133    00</v>
      </c>
      <c r="B16113" t="s">
        <v>1997</v>
      </c>
      <c r="C16113" t="s">
        <v>35255</v>
      </c>
      <c r="E16113" t="s">
        <v>39</v>
      </c>
      <c r="F16113">
        <v>0</v>
      </c>
      <c r="G16113">
        <v>0</v>
      </c>
      <c r="H16113">
        <v>10</v>
      </c>
      <c r="I16113" s="3">
        <v>7572.79</v>
      </c>
      <c r="J16113" s="3">
        <v>7309.5</v>
      </c>
      <c r="K16113" t="s">
        <v>2361</v>
      </c>
      <c r="L16113">
        <v>412</v>
      </c>
      <c r="M16113" t="s">
        <v>31216</v>
      </c>
      <c r="N16113" t="s">
        <v>30</v>
      </c>
      <c r="O16113" t="s">
        <v>31</v>
      </c>
      <c r="P16113" t="str">
        <f>"15219"</f>
        <v>15219</v>
      </c>
    </row>
    <row r="16114" spans="1:16" x14ac:dyDescent="0.25">
      <c r="A16114" t="str">
        <f>"1240024C00134    00"</f>
        <v>1240024C00134    00</v>
      </c>
      <c r="B16114" t="s">
        <v>35256</v>
      </c>
      <c r="C16114" t="s">
        <v>35257</v>
      </c>
      <c r="D16114" t="s">
        <v>20</v>
      </c>
      <c r="E16114" t="s">
        <v>39</v>
      </c>
      <c r="F16114">
        <v>0</v>
      </c>
      <c r="G16114">
        <v>0</v>
      </c>
      <c r="H16114">
        <v>4</v>
      </c>
      <c r="I16114" s="3">
        <v>1997.27</v>
      </c>
      <c r="J16114" s="3">
        <v>235.93</v>
      </c>
      <c r="L16114">
        <v>931</v>
      </c>
      <c r="M16114" t="s">
        <v>35258</v>
      </c>
      <c r="N16114" t="s">
        <v>149</v>
      </c>
      <c r="O16114" t="s">
        <v>31</v>
      </c>
      <c r="P16114" t="str">
        <f>"15106"</f>
        <v>15106</v>
      </c>
    </row>
    <row r="16115" spans="1:16" x14ac:dyDescent="0.25">
      <c r="A16115" t="str">
        <f>"1240024C00135    00"</f>
        <v>1240024C00135    00</v>
      </c>
      <c r="B16115" t="s">
        <v>35256</v>
      </c>
      <c r="C16115" t="s">
        <v>35259</v>
      </c>
      <c r="D16115" t="s">
        <v>20</v>
      </c>
      <c r="E16115" t="s">
        <v>39</v>
      </c>
      <c r="F16115">
        <v>0</v>
      </c>
      <c r="G16115">
        <v>0</v>
      </c>
      <c r="H16115">
        <v>4</v>
      </c>
      <c r="I16115" s="3">
        <v>713.86</v>
      </c>
      <c r="J16115" s="3">
        <v>84.33</v>
      </c>
      <c r="L16115">
        <v>931</v>
      </c>
      <c r="M16115" t="s">
        <v>35260</v>
      </c>
      <c r="N16115" t="s">
        <v>149</v>
      </c>
      <c r="O16115" t="s">
        <v>31</v>
      </c>
      <c r="P16115" t="str">
        <f>"15106"</f>
        <v>15106</v>
      </c>
    </row>
    <row r="16116" spans="1:16" x14ac:dyDescent="0.25">
      <c r="A16116" t="str">
        <f>"1240024C00141    00"</f>
        <v>1240024C00141    00</v>
      </c>
      <c r="B16116" t="s">
        <v>35261</v>
      </c>
      <c r="C16116" t="s">
        <v>35262</v>
      </c>
      <c r="D16116" t="s">
        <v>20</v>
      </c>
      <c r="E16116" t="s">
        <v>39</v>
      </c>
      <c r="F16116">
        <v>0</v>
      </c>
      <c r="G16116">
        <v>0</v>
      </c>
      <c r="H16116">
        <v>7</v>
      </c>
      <c r="I16116" s="3">
        <v>3561.08</v>
      </c>
      <c r="J16116" s="3">
        <v>985.14</v>
      </c>
      <c r="K16116" t="s">
        <v>35263</v>
      </c>
      <c r="L16116">
        <v>1254</v>
      </c>
      <c r="M16116" t="s">
        <v>24014</v>
      </c>
      <c r="N16116" t="s">
        <v>30</v>
      </c>
      <c r="O16116" t="s">
        <v>31</v>
      </c>
      <c r="P16116" t="str">
        <f>"15212"</f>
        <v>15212</v>
      </c>
    </row>
    <row r="16117" spans="1:16" x14ac:dyDescent="0.25">
      <c r="A16117" t="str">
        <f>"1240024C00144    00"</f>
        <v>1240024C00144    00</v>
      </c>
      <c r="B16117" t="s">
        <v>35264</v>
      </c>
      <c r="C16117" t="s">
        <v>35167</v>
      </c>
      <c r="E16117" t="s">
        <v>39</v>
      </c>
      <c r="F16117">
        <v>0</v>
      </c>
      <c r="G16117">
        <v>0</v>
      </c>
      <c r="H16117">
        <v>1</v>
      </c>
      <c r="I16117" s="3">
        <v>223.78</v>
      </c>
      <c r="J16117" s="3">
        <v>134.27000000000001</v>
      </c>
      <c r="L16117">
        <v>3030</v>
      </c>
      <c r="M16117" t="s">
        <v>35265</v>
      </c>
      <c r="N16117" t="s">
        <v>30</v>
      </c>
      <c r="O16117" t="s">
        <v>31</v>
      </c>
      <c r="P16117" t="str">
        <f>"15227"</f>
        <v>15227</v>
      </c>
    </row>
    <row r="16118" spans="1:16" x14ac:dyDescent="0.25">
      <c r="A16118" t="str">
        <f>"1240024C00149    00"</f>
        <v>1240024C00149    00</v>
      </c>
      <c r="B16118" t="s">
        <v>35266</v>
      </c>
      <c r="C16118" t="s">
        <v>35267</v>
      </c>
      <c r="E16118" t="s">
        <v>39</v>
      </c>
      <c r="F16118">
        <v>0</v>
      </c>
      <c r="G16118">
        <v>0</v>
      </c>
      <c r="H16118">
        <v>1</v>
      </c>
      <c r="I16118" s="3">
        <v>187.66</v>
      </c>
      <c r="J16118" s="3">
        <v>0</v>
      </c>
      <c r="L16118">
        <v>1240</v>
      </c>
      <c r="M16118" t="s">
        <v>24014</v>
      </c>
      <c r="N16118" t="s">
        <v>30</v>
      </c>
      <c r="O16118" t="s">
        <v>31</v>
      </c>
      <c r="P16118" t="str">
        <f>"15212"</f>
        <v>15212</v>
      </c>
    </row>
    <row r="16119" spans="1:16" x14ac:dyDescent="0.25">
      <c r="A16119" t="str">
        <f>"1240024C00151    00"</f>
        <v>1240024C00151    00</v>
      </c>
      <c r="B16119" t="s">
        <v>35268</v>
      </c>
      <c r="C16119" t="s">
        <v>35269</v>
      </c>
      <c r="E16119" t="s">
        <v>39</v>
      </c>
      <c r="F16119">
        <v>0</v>
      </c>
      <c r="G16119">
        <v>0</v>
      </c>
      <c r="H16119">
        <v>1</v>
      </c>
      <c r="I16119" s="3">
        <v>2176.65</v>
      </c>
      <c r="J16119" s="3">
        <v>0</v>
      </c>
      <c r="K16119" t="s">
        <v>5432</v>
      </c>
      <c r="L16119">
        <v>3001</v>
      </c>
      <c r="M16119" t="s">
        <v>330</v>
      </c>
      <c r="N16119" t="s">
        <v>331</v>
      </c>
      <c r="O16119" t="s">
        <v>108</v>
      </c>
      <c r="P16119" t="str">
        <f>"75063"</f>
        <v>75063</v>
      </c>
    </row>
    <row r="16120" spans="1:16" x14ac:dyDescent="0.25">
      <c r="A16120" t="str">
        <f>"1240024C00152    00"</f>
        <v>1240024C00152    00</v>
      </c>
      <c r="B16120" t="s">
        <v>35270</v>
      </c>
      <c r="C16120" t="s">
        <v>35271</v>
      </c>
      <c r="D16120" t="s">
        <v>20</v>
      </c>
      <c r="E16120" t="s">
        <v>39</v>
      </c>
      <c r="F16120">
        <v>0</v>
      </c>
      <c r="G16120">
        <v>0</v>
      </c>
      <c r="H16120">
        <v>1</v>
      </c>
      <c r="I16120" s="3">
        <v>560.39</v>
      </c>
      <c r="J16120" s="3">
        <v>0</v>
      </c>
      <c r="K16120" t="s">
        <v>35272</v>
      </c>
      <c r="L16120">
        <v>7000</v>
      </c>
      <c r="M16120" t="s">
        <v>35273</v>
      </c>
      <c r="N16120" t="s">
        <v>4141</v>
      </c>
      <c r="O16120" t="s">
        <v>108</v>
      </c>
      <c r="P16120" t="str">
        <f>"78721"</f>
        <v>78721</v>
      </c>
    </row>
    <row r="16121" spans="1:16" x14ac:dyDescent="0.25">
      <c r="A16121" t="str">
        <f>"1240024C00160A   00"</f>
        <v>1240024C00160A   00</v>
      </c>
      <c r="B16121" t="s">
        <v>35274</v>
      </c>
      <c r="C16121" t="s">
        <v>35167</v>
      </c>
      <c r="D16121" t="s">
        <v>20</v>
      </c>
      <c r="E16121" t="s">
        <v>39</v>
      </c>
      <c r="F16121">
        <v>0</v>
      </c>
      <c r="G16121">
        <v>0</v>
      </c>
      <c r="H16121">
        <v>19</v>
      </c>
      <c r="I16121" s="3">
        <v>7780.3</v>
      </c>
      <c r="J16121" s="3">
        <v>7396.58</v>
      </c>
      <c r="K16121" t="s">
        <v>1008</v>
      </c>
      <c r="P16121" t="str">
        <f>""</f>
        <v/>
      </c>
    </row>
    <row r="16122" spans="1:16" x14ac:dyDescent="0.25">
      <c r="A16122" t="str">
        <f>"1240024C00161    00"</f>
        <v>1240024C00161    00</v>
      </c>
      <c r="B16122" t="s">
        <v>35275</v>
      </c>
      <c r="C16122" t="s">
        <v>35167</v>
      </c>
      <c r="D16122" t="s">
        <v>20</v>
      </c>
      <c r="E16122" t="s">
        <v>39</v>
      </c>
      <c r="F16122">
        <v>0</v>
      </c>
      <c r="G16122">
        <v>0</v>
      </c>
      <c r="H16122">
        <v>19</v>
      </c>
      <c r="I16122" s="3">
        <v>11081.32</v>
      </c>
      <c r="J16122" s="3">
        <v>13792.26</v>
      </c>
      <c r="L16122">
        <v>1217</v>
      </c>
      <c r="M16122" t="s">
        <v>24014</v>
      </c>
      <c r="N16122" t="s">
        <v>30</v>
      </c>
      <c r="O16122" t="s">
        <v>31</v>
      </c>
      <c r="P16122" t="str">
        <f>"15212"</f>
        <v>15212</v>
      </c>
    </row>
    <row r="16123" spans="1:16" x14ac:dyDescent="0.25">
      <c r="A16123" t="str">
        <f>"1240024C00165    00"</f>
        <v>1240024C00165    00</v>
      </c>
      <c r="B16123" t="s">
        <v>1997</v>
      </c>
      <c r="C16123" t="s">
        <v>35276</v>
      </c>
      <c r="E16123" t="s">
        <v>39</v>
      </c>
      <c r="F16123">
        <v>0</v>
      </c>
      <c r="G16123">
        <v>0</v>
      </c>
      <c r="H16123">
        <v>18</v>
      </c>
      <c r="I16123" s="3">
        <v>13528.65</v>
      </c>
      <c r="J16123" s="3">
        <v>13077.48</v>
      </c>
      <c r="K16123" t="s">
        <v>2361</v>
      </c>
      <c r="L16123">
        <v>412</v>
      </c>
      <c r="M16123" t="s">
        <v>8136</v>
      </c>
      <c r="N16123" t="s">
        <v>30</v>
      </c>
      <c r="O16123" t="s">
        <v>31</v>
      </c>
      <c r="P16123" t="str">
        <f>"15219"</f>
        <v>15219</v>
      </c>
    </row>
    <row r="16124" spans="1:16" x14ac:dyDescent="0.25">
      <c r="A16124" t="str">
        <f>"1240024C00167    00"</f>
        <v>1240024C00167    00</v>
      </c>
      <c r="B16124" t="s">
        <v>1997</v>
      </c>
      <c r="C16124" t="s">
        <v>34740</v>
      </c>
      <c r="E16124" t="s">
        <v>39</v>
      </c>
      <c r="F16124">
        <v>0</v>
      </c>
      <c r="G16124">
        <v>0</v>
      </c>
      <c r="H16124">
        <v>12</v>
      </c>
      <c r="I16124" s="3">
        <v>425.87</v>
      </c>
      <c r="J16124" s="3">
        <v>569.14</v>
      </c>
      <c r="K16124" t="s">
        <v>2361</v>
      </c>
      <c r="L16124">
        <v>412</v>
      </c>
      <c r="M16124" t="s">
        <v>8136</v>
      </c>
      <c r="N16124" t="s">
        <v>30</v>
      </c>
      <c r="O16124" t="s">
        <v>31</v>
      </c>
      <c r="P16124" t="str">
        <f>"15219"</f>
        <v>15219</v>
      </c>
    </row>
    <row r="16125" spans="1:16" x14ac:dyDescent="0.25">
      <c r="A16125" t="str">
        <f>"1240024C00169    00"</f>
        <v>1240024C00169    00</v>
      </c>
      <c r="B16125" t="s">
        <v>35277</v>
      </c>
      <c r="C16125" t="s">
        <v>35278</v>
      </c>
      <c r="D16125" t="s">
        <v>20</v>
      </c>
      <c r="E16125" t="s">
        <v>21</v>
      </c>
      <c r="F16125">
        <v>0</v>
      </c>
      <c r="G16125">
        <v>0</v>
      </c>
      <c r="H16125">
        <v>5</v>
      </c>
      <c r="I16125" s="3">
        <v>3401.95</v>
      </c>
      <c r="J16125" s="3">
        <v>588.85</v>
      </c>
      <c r="L16125">
        <v>402</v>
      </c>
      <c r="M16125" t="s">
        <v>35279</v>
      </c>
      <c r="N16125" t="s">
        <v>30</v>
      </c>
      <c r="O16125" t="s">
        <v>31</v>
      </c>
      <c r="P16125" t="str">
        <f>"15210"</f>
        <v>15210</v>
      </c>
    </row>
    <row r="16126" spans="1:16" x14ac:dyDescent="0.25">
      <c r="A16126" t="str">
        <f>"1240024C00178    00"</f>
        <v>1240024C00178    00</v>
      </c>
      <c r="B16126" t="s">
        <v>35280</v>
      </c>
      <c r="C16126" t="s">
        <v>34740</v>
      </c>
      <c r="D16126" t="s">
        <v>20</v>
      </c>
      <c r="E16126" t="s">
        <v>39</v>
      </c>
      <c r="F16126">
        <v>0</v>
      </c>
      <c r="G16126">
        <v>0</v>
      </c>
      <c r="H16126">
        <v>1</v>
      </c>
      <c r="I16126" s="3">
        <v>34.31</v>
      </c>
      <c r="J16126" s="3">
        <v>0</v>
      </c>
      <c r="K16126" t="s">
        <v>35281</v>
      </c>
      <c r="L16126">
        <v>1241</v>
      </c>
      <c r="M16126" t="s">
        <v>24014</v>
      </c>
      <c r="N16126" t="s">
        <v>30</v>
      </c>
      <c r="O16126" t="s">
        <v>31</v>
      </c>
      <c r="P16126" t="str">
        <f>"15212"</f>
        <v>15212</v>
      </c>
    </row>
    <row r="16127" spans="1:16" x14ac:dyDescent="0.25">
      <c r="A16127" t="str">
        <f>"1240024C00179    00"</f>
        <v>1240024C00179    00</v>
      </c>
      <c r="B16127" t="s">
        <v>35280</v>
      </c>
      <c r="C16127" t="s">
        <v>35282</v>
      </c>
      <c r="D16127" t="s">
        <v>20</v>
      </c>
      <c r="E16127" t="s">
        <v>39</v>
      </c>
      <c r="F16127">
        <v>0</v>
      </c>
      <c r="G16127">
        <v>0</v>
      </c>
      <c r="H16127">
        <v>1</v>
      </c>
      <c r="I16127" s="3">
        <v>390.74</v>
      </c>
      <c r="J16127" s="3">
        <v>0</v>
      </c>
      <c r="K16127" t="s">
        <v>35281</v>
      </c>
      <c r="L16127">
        <v>1241</v>
      </c>
      <c r="M16127" t="s">
        <v>24014</v>
      </c>
      <c r="N16127" t="s">
        <v>30</v>
      </c>
      <c r="O16127" t="s">
        <v>31</v>
      </c>
      <c r="P16127" t="str">
        <f>"15212"</f>
        <v>15212</v>
      </c>
    </row>
    <row r="16128" spans="1:16" x14ac:dyDescent="0.25">
      <c r="A16128" t="str">
        <f>"1240024C00180    00"</f>
        <v>1240024C00180    00</v>
      </c>
      <c r="B16128" t="s">
        <v>35280</v>
      </c>
      <c r="C16128" t="s">
        <v>35283</v>
      </c>
      <c r="D16128" t="s">
        <v>20</v>
      </c>
      <c r="E16128" t="s">
        <v>39</v>
      </c>
      <c r="F16128">
        <v>0</v>
      </c>
      <c r="G16128">
        <v>0</v>
      </c>
      <c r="H16128">
        <v>4</v>
      </c>
      <c r="I16128" s="3">
        <v>3830.32</v>
      </c>
      <c r="J16128" s="3">
        <v>1103.52</v>
      </c>
      <c r="L16128">
        <v>1241</v>
      </c>
      <c r="M16128" t="s">
        <v>24014</v>
      </c>
      <c r="N16128" t="s">
        <v>30</v>
      </c>
      <c r="O16128" t="s">
        <v>31</v>
      </c>
      <c r="P16128" t="str">
        <f>"15212"</f>
        <v>15212</v>
      </c>
    </row>
    <row r="16129" spans="1:16" x14ac:dyDescent="0.25">
      <c r="A16129" t="str">
        <f>"1240024C00192    00"</f>
        <v>1240024C00192    00</v>
      </c>
      <c r="B16129" t="s">
        <v>1997</v>
      </c>
      <c r="C16129" t="s">
        <v>35284</v>
      </c>
      <c r="E16129" t="s">
        <v>39</v>
      </c>
      <c r="F16129">
        <v>0</v>
      </c>
      <c r="G16129">
        <v>0</v>
      </c>
      <c r="H16129">
        <v>18</v>
      </c>
      <c r="I16129" s="3">
        <v>13019.52</v>
      </c>
      <c r="J16129" s="3">
        <v>11399.97</v>
      </c>
      <c r="K16129" t="s">
        <v>2361</v>
      </c>
      <c r="L16129">
        <v>412</v>
      </c>
      <c r="M16129" t="s">
        <v>8136</v>
      </c>
      <c r="N16129" t="s">
        <v>30</v>
      </c>
      <c r="O16129" t="s">
        <v>31</v>
      </c>
      <c r="P16129" t="str">
        <f>"15219"</f>
        <v>15219</v>
      </c>
    </row>
    <row r="16130" spans="1:16" x14ac:dyDescent="0.25">
      <c r="A16130" t="str">
        <f>"1240024C00192A   00"</f>
        <v>1240024C00192A   00</v>
      </c>
      <c r="B16130" t="s">
        <v>35285</v>
      </c>
      <c r="C16130" t="s">
        <v>35286</v>
      </c>
      <c r="E16130" t="s">
        <v>39</v>
      </c>
      <c r="F16130">
        <v>0</v>
      </c>
      <c r="G16130">
        <v>0</v>
      </c>
      <c r="H16130">
        <v>14</v>
      </c>
      <c r="I16130" s="3">
        <v>16729.71</v>
      </c>
      <c r="J16130" s="3">
        <v>20838.98</v>
      </c>
      <c r="L16130">
        <v>1145</v>
      </c>
      <c r="M16130" t="s">
        <v>33466</v>
      </c>
      <c r="N16130" t="s">
        <v>30</v>
      </c>
      <c r="O16130" t="s">
        <v>31</v>
      </c>
      <c r="P16130" t="str">
        <f>"15212"</f>
        <v>15212</v>
      </c>
    </row>
    <row r="16131" spans="1:16" x14ac:dyDescent="0.25">
      <c r="A16131" t="str">
        <f>"1240024C00194    00"</f>
        <v>1240024C00194    00</v>
      </c>
      <c r="B16131" t="s">
        <v>35287</v>
      </c>
      <c r="C16131" t="s">
        <v>35288</v>
      </c>
      <c r="D16131" t="s">
        <v>20</v>
      </c>
      <c r="E16131" t="s">
        <v>39</v>
      </c>
      <c r="F16131">
        <v>0</v>
      </c>
      <c r="G16131">
        <v>0</v>
      </c>
      <c r="H16131">
        <v>6</v>
      </c>
      <c r="I16131" s="3">
        <v>869.58</v>
      </c>
      <c r="J16131" s="3">
        <v>199.25</v>
      </c>
      <c r="K16131" t="s">
        <v>445</v>
      </c>
      <c r="L16131">
        <v>1</v>
      </c>
      <c r="M16131" t="s">
        <v>1163</v>
      </c>
      <c r="N16131" t="s">
        <v>1164</v>
      </c>
      <c r="O16131" t="s">
        <v>108</v>
      </c>
      <c r="P16131" t="str">
        <f>"76262"</f>
        <v>76262</v>
      </c>
    </row>
    <row r="16132" spans="1:16" x14ac:dyDescent="0.25">
      <c r="A16132" t="str">
        <f>"1240024C00197    00"</f>
        <v>1240024C00197    00</v>
      </c>
      <c r="B16132" t="s">
        <v>35289</v>
      </c>
      <c r="C16132" t="s">
        <v>34740</v>
      </c>
      <c r="D16132" t="s">
        <v>20</v>
      </c>
      <c r="E16132" t="s">
        <v>39</v>
      </c>
      <c r="F16132">
        <v>0</v>
      </c>
      <c r="G16132">
        <v>0</v>
      </c>
      <c r="H16132">
        <v>2</v>
      </c>
      <c r="I16132" s="3">
        <v>87.93</v>
      </c>
      <c r="J16132" s="3">
        <v>0</v>
      </c>
      <c r="K16132" t="s">
        <v>35290</v>
      </c>
      <c r="L16132">
        <v>1235</v>
      </c>
      <c r="M16132" t="s">
        <v>35291</v>
      </c>
      <c r="N16132" t="s">
        <v>30</v>
      </c>
      <c r="O16132" t="s">
        <v>31</v>
      </c>
      <c r="P16132" t="str">
        <f>"15212"</f>
        <v>15212</v>
      </c>
    </row>
    <row r="16133" spans="1:16" x14ac:dyDescent="0.25">
      <c r="A16133" t="str">
        <f>"1240024C00262    00"</f>
        <v>1240024C00262    00</v>
      </c>
      <c r="B16133" t="s">
        <v>35292</v>
      </c>
      <c r="C16133" t="s">
        <v>35293</v>
      </c>
      <c r="D16133" t="s">
        <v>20</v>
      </c>
      <c r="E16133" t="s">
        <v>39</v>
      </c>
      <c r="F16133">
        <v>0</v>
      </c>
      <c r="G16133">
        <v>0</v>
      </c>
      <c r="H16133">
        <v>19</v>
      </c>
      <c r="I16133" s="3">
        <v>444.26</v>
      </c>
      <c r="J16133" s="3">
        <v>459.83</v>
      </c>
      <c r="L16133">
        <v>2716</v>
      </c>
      <c r="M16133" t="s">
        <v>33466</v>
      </c>
      <c r="N16133" t="s">
        <v>30</v>
      </c>
      <c r="O16133" t="s">
        <v>31</v>
      </c>
      <c r="P16133" t="str">
        <f>"15212"</f>
        <v>15212</v>
      </c>
    </row>
    <row r="16134" spans="1:16" x14ac:dyDescent="0.25">
      <c r="A16134" t="str">
        <f>"1240024C00264    00"</f>
        <v>1240024C00264    00</v>
      </c>
      <c r="B16134" t="s">
        <v>35294</v>
      </c>
      <c r="C16134" t="s">
        <v>35295</v>
      </c>
      <c r="D16134" t="s">
        <v>20</v>
      </c>
      <c r="E16134" t="s">
        <v>39</v>
      </c>
      <c r="F16134">
        <v>0</v>
      </c>
      <c r="G16134">
        <v>0</v>
      </c>
      <c r="H16134">
        <v>4</v>
      </c>
      <c r="I16134" s="3">
        <v>125.12</v>
      </c>
      <c r="J16134" s="3">
        <v>18.309999999999999</v>
      </c>
      <c r="L16134">
        <v>1326</v>
      </c>
      <c r="M16134" t="s">
        <v>35296</v>
      </c>
      <c r="N16134" t="s">
        <v>30</v>
      </c>
      <c r="O16134" t="s">
        <v>31</v>
      </c>
      <c r="P16134" t="str">
        <f>"15212"</f>
        <v>15212</v>
      </c>
    </row>
    <row r="16135" spans="1:16" x14ac:dyDescent="0.25">
      <c r="A16135" t="str">
        <f>"1240024C00266    00"</f>
        <v>1240024C00266    00</v>
      </c>
      <c r="B16135" t="s">
        <v>35294</v>
      </c>
      <c r="C16135" t="s">
        <v>35293</v>
      </c>
      <c r="D16135" t="s">
        <v>20</v>
      </c>
      <c r="E16135" t="s">
        <v>39</v>
      </c>
      <c r="F16135">
        <v>0</v>
      </c>
      <c r="G16135">
        <v>0</v>
      </c>
      <c r="H16135">
        <v>8</v>
      </c>
      <c r="I16135" s="3">
        <v>607.5</v>
      </c>
      <c r="J16135" s="3">
        <v>215.02</v>
      </c>
      <c r="L16135">
        <v>1326</v>
      </c>
      <c r="M16135" t="s">
        <v>35296</v>
      </c>
      <c r="N16135" t="s">
        <v>30</v>
      </c>
      <c r="O16135" t="s">
        <v>31</v>
      </c>
      <c r="P16135" t="str">
        <f>"15212"</f>
        <v>15212</v>
      </c>
    </row>
    <row r="16136" spans="1:16" x14ac:dyDescent="0.25">
      <c r="A16136" t="str">
        <f>"1240024C00274    00"</f>
        <v>1240024C00274    00</v>
      </c>
      <c r="B16136" t="s">
        <v>35297</v>
      </c>
      <c r="C16136" t="s">
        <v>35293</v>
      </c>
      <c r="D16136" t="s">
        <v>20</v>
      </c>
      <c r="E16136" t="s">
        <v>39</v>
      </c>
      <c r="F16136">
        <v>0</v>
      </c>
      <c r="G16136">
        <v>0</v>
      </c>
      <c r="H16136">
        <v>19</v>
      </c>
      <c r="I16136" s="3">
        <v>504.67</v>
      </c>
      <c r="J16136" s="3">
        <v>446.76</v>
      </c>
      <c r="L16136">
        <v>648</v>
      </c>
      <c r="M16136" t="s">
        <v>6611</v>
      </c>
      <c r="N16136" t="s">
        <v>35298</v>
      </c>
      <c r="O16136" t="s">
        <v>31</v>
      </c>
      <c r="P16136" t="str">
        <f>"16056"</f>
        <v>16056</v>
      </c>
    </row>
    <row r="16137" spans="1:16" x14ac:dyDescent="0.25">
      <c r="A16137" t="str">
        <f>"1240024C00304    00"</f>
        <v>1240024C00304    00</v>
      </c>
      <c r="B16137" t="s">
        <v>35299</v>
      </c>
      <c r="C16137" t="s">
        <v>35300</v>
      </c>
      <c r="E16137" t="s">
        <v>39</v>
      </c>
      <c r="F16137">
        <v>0</v>
      </c>
      <c r="G16137">
        <v>0</v>
      </c>
      <c r="H16137">
        <v>2</v>
      </c>
      <c r="I16137" s="3">
        <v>1081.48</v>
      </c>
      <c r="J16137" s="3">
        <v>117.02</v>
      </c>
      <c r="L16137">
        <v>1227</v>
      </c>
      <c r="M16137" t="s">
        <v>33466</v>
      </c>
      <c r="N16137" t="s">
        <v>30</v>
      </c>
      <c r="O16137" t="s">
        <v>31</v>
      </c>
      <c r="P16137" t="str">
        <f>"15212"</f>
        <v>15212</v>
      </c>
    </row>
    <row r="16138" spans="1:16" x14ac:dyDescent="0.25">
      <c r="A16138" t="str">
        <f>"1240024C00325    00"</f>
        <v>1240024C00325    00</v>
      </c>
      <c r="B16138" t="s">
        <v>35301</v>
      </c>
      <c r="C16138" t="s">
        <v>35302</v>
      </c>
      <c r="D16138" t="s">
        <v>20</v>
      </c>
      <c r="E16138" t="s">
        <v>39</v>
      </c>
      <c r="F16138">
        <v>0</v>
      </c>
      <c r="G16138">
        <v>0</v>
      </c>
      <c r="H16138">
        <v>17</v>
      </c>
      <c r="I16138" s="3">
        <v>288.95999999999998</v>
      </c>
      <c r="J16138" s="3">
        <v>334.26</v>
      </c>
      <c r="M16138" t="s">
        <v>35303</v>
      </c>
      <c r="N16138" t="s">
        <v>35304</v>
      </c>
      <c r="O16138" t="s">
        <v>31</v>
      </c>
      <c r="P16138" t="str">
        <f>"15829"</f>
        <v>15829</v>
      </c>
    </row>
    <row r="16139" spans="1:16" x14ac:dyDescent="0.25">
      <c r="A16139" t="str">
        <f>"1240024C00332    00"</f>
        <v>1240024C00332    00</v>
      </c>
      <c r="B16139" t="s">
        <v>35305</v>
      </c>
      <c r="C16139" t="s">
        <v>35293</v>
      </c>
      <c r="D16139" t="s">
        <v>20</v>
      </c>
      <c r="E16139" t="s">
        <v>39</v>
      </c>
      <c r="F16139">
        <v>0</v>
      </c>
      <c r="G16139">
        <v>0</v>
      </c>
      <c r="H16139">
        <v>2</v>
      </c>
      <c r="I16139" s="3">
        <v>187.96</v>
      </c>
      <c r="J16139" s="3">
        <v>147.49</v>
      </c>
      <c r="L16139">
        <v>1237</v>
      </c>
      <c r="M16139" t="s">
        <v>35306</v>
      </c>
      <c r="N16139" t="s">
        <v>30</v>
      </c>
      <c r="O16139" t="s">
        <v>31</v>
      </c>
      <c r="P16139" t="str">
        <f>"15204"</f>
        <v>15204</v>
      </c>
    </row>
    <row r="16140" spans="1:16" x14ac:dyDescent="0.25">
      <c r="A16140" t="str">
        <f>"1240024C00335    00"</f>
        <v>1240024C00335    00</v>
      </c>
      <c r="B16140" t="s">
        <v>35307</v>
      </c>
      <c r="C16140" t="s">
        <v>35308</v>
      </c>
      <c r="D16140" t="s">
        <v>20</v>
      </c>
      <c r="E16140" t="s">
        <v>39</v>
      </c>
      <c r="F16140">
        <v>0</v>
      </c>
      <c r="G16140">
        <v>0</v>
      </c>
      <c r="H16140">
        <v>5</v>
      </c>
      <c r="I16140" s="3">
        <v>45.68</v>
      </c>
      <c r="J16140" s="3">
        <v>9.99</v>
      </c>
      <c r="K16140" t="s">
        <v>710</v>
      </c>
      <c r="L16140">
        <v>4140</v>
      </c>
      <c r="M16140" t="s">
        <v>711</v>
      </c>
      <c r="N16140" t="s">
        <v>712</v>
      </c>
      <c r="O16140" t="s">
        <v>31</v>
      </c>
      <c r="P16140" t="str">
        <f>"16148"</f>
        <v>16148</v>
      </c>
    </row>
    <row r="16141" spans="1:16" x14ac:dyDescent="0.25">
      <c r="A16141" t="str">
        <f>"1240024C00336    00"</f>
        <v>1240024C00336    00</v>
      </c>
      <c r="B16141" t="s">
        <v>35309</v>
      </c>
      <c r="C16141" t="s">
        <v>35310</v>
      </c>
      <c r="D16141" t="s">
        <v>20</v>
      </c>
      <c r="E16141" t="s">
        <v>39</v>
      </c>
      <c r="F16141">
        <v>0</v>
      </c>
      <c r="G16141">
        <v>0</v>
      </c>
      <c r="H16141">
        <v>7</v>
      </c>
      <c r="I16141" s="3">
        <v>107.42</v>
      </c>
      <c r="J16141" s="3">
        <v>29.96</v>
      </c>
      <c r="L16141">
        <v>805</v>
      </c>
      <c r="M16141" t="s">
        <v>35311</v>
      </c>
      <c r="N16141" t="s">
        <v>35312</v>
      </c>
      <c r="O16141" t="s">
        <v>370</v>
      </c>
      <c r="P16141" t="str">
        <f>"32707"</f>
        <v>32707</v>
      </c>
    </row>
    <row r="16142" spans="1:16" x14ac:dyDescent="0.25">
      <c r="A16142" t="str">
        <f>"1240024C00349    00"</f>
        <v>1240024C00349    00</v>
      </c>
      <c r="B16142" t="s">
        <v>35313</v>
      </c>
      <c r="C16142" t="s">
        <v>35314</v>
      </c>
      <c r="D16142" t="s">
        <v>20</v>
      </c>
      <c r="E16142" t="s">
        <v>39</v>
      </c>
      <c r="F16142">
        <v>0</v>
      </c>
      <c r="G16142">
        <v>0</v>
      </c>
      <c r="H16142">
        <v>19</v>
      </c>
      <c r="I16142" s="3">
        <v>422.25</v>
      </c>
      <c r="J16142" s="3">
        <v>448.19</v>
      </c>
      <c r="K16142" t="s">
        <v>1037</v>
      </c>
      <c r="L16142">
        <v>1336</v>
      </c>
      <c r="M16142" t="s">
        <v>35315</v>
      </c>
      <c r="N16142" t="s">
        <v>30</v>
      </c>
      <c r="O16142" t="s">
        <v>31</v>
      </c>
      <c r="P16142" t="str">
        <f t="shared" ref="P16142:P16147" si="211">"15212"</f>
        <v>15212</v>
      </c>
    </row>
    <row r="16143" spans="1:16" x14ac:dyDescent="0.25">
      <c r="A16143" t="str">
        <f>"1240024C00350    00"</f>
        <v>1240024C00350    00</v>
      </c>
      <c r="B16143" t="s">
        <v>35316</v>
      </c>
      <c r="C16143" t="s">
        <v>35317</v>
      </c>
      <c r="E16143" t="s">
        <v>39</v>
      </c>
      <c r="F16143">
        <v>0</v>
      </c>
      <c r="G16143">
        <v>0</v>
      </c>
      <c r="H16143">
        <v>9</v>
      </c>
      <c r="I16143" s="3">
        <v>1480.44</v>
      </c>
      <c r="J16143" s="3">
        <v>835.98</v>
      </c>
      <c r="L16143">
        <v>1323</v>
      </c>
      <c r="M16143" t="s">
        <v>35318</v>
      </c>
      <c r="N16143" t="s">
        <v>30</v>
      </c>
      <c r="O16143" t="s">
        <v>31</v>
      </c>
      <c r="P16143" t="str">
        <f t="shared" si="211"/>
        <v>15212</v>
      </c>
    </row>
    <row r="16144" spans="1:16" x14ac:dyDescent="0.25">
      <c r="A16144" t="str">
        <f>"1240024C00356    00"</f>
        <v>1240024C00356    00</v>
      </c>
      <c r="B16144" t="s">
        <v>35319</v>
      </c>
      <c r="C16144" t="s">
        <v>35320</v>
      </c>
      <c r="D16144" t="s">
        <v>20</v>
      </c>
      <c r="E16144" t="s">
        <v>39</v>
      </c>
      <c r="F16144">
        <v>0</v>
      </c>
      <c r="G16144">
        <v>0</v>
      </c>
      <c r="H16144">
        <v>4</v>
      </c>
      <c r="I16144" s="3">
        <v>2694.19</v>
      </c>
      <c r="J16144" s="3">
        <v>354.97</v>
      </c>
      <c r="L16144">
        <v>1346</v>
      </c>
      <c r="M16144" t="s">
        <v>24755</v>
      </c>
      <c r="N16144" t="s">
        <v>30</v>
      </c>
      <c r="O16144" t="s">
        <v>31</v>
      </c>
      <c r="P16144" t="str">
        <f t="shared" si="211"/>
        <v>15212</v>
      </c>
    </row>
    <row r="16145" spans="1:16" x14ac:dyDescent="0.25">
      <c r="A16145" t="str">
        <f>"1240024D00038    00"</f>
        <v>1240024D00038    00</v>
      </c>
      <c r="B16145" t="s">
        <v>35321</v>
      </c>
      <c r="C16145" t="s">
        <v>35322</v>
      </c>
      <c r="D16145" t="s">
        <v>20</v>
      </c>
      <c r="E16145" t="s">
        <v>39</v>
      </c>
      <c r="F16145">
        <v>0</v>
      </c>
      <c r="G16145">
        <v>0</v>
      </c>
      <c r="H16145">
        <v>1</v>
      </c>
      <c r="I16145" s="3">
        <v>226.82</v>
      </c>
      <c r="J16145" s="3">
        <v>0</v>
      </c>
      <c r="L16145">
        <v>1547</v>
      </c>
      <c r="M16145" t="s">
        <v>35323</v>
      </c>
      <c r="N16145" t="s">
        <v>30</v>
      </c>
      <c r="O16145" t="s">
        <v>31</v>
      </c>
      <c r="P16145" t="str">
        <f t="shared" si="211"/>
        <v>15212</v>
      </c>
    </row>
    <row r="16146" spans="1:16" x14ac:dyDescent="0.25">
      <c r="A16146" t="str">
        <f>"1240024D00103    00"</f>
        <v>1240024D00103    00</v>
      </c>
      <c r="B16146" t="s">
        <v>35324</v>
      </c>
      <c r="C16146" t="s">
        <v>35325</v>
      </c>
      <c r="E16146" t="s">
        <v>39</v>
      </c>
      <c r="F16146">
        <v>0</v>
      </c>
      <c r="G16146">
        <v>0</v>
      </c>
      <c r="H16146">
        <v>1</v>
      </c>
      <c r="I16146" s="3">
        <v>382.76</v>
      </c>
      <c r="J16146" s="3">
        <v>76.56</v>
      </c>
      <c r="L16146">
        <v>1520</v>
      </c>
      <c r="M16146" t="s">
        <v>24755</v>
      </c>
      <c r="N16146" t="s">
        <v>30</v>
      </c>
      <c r="O16146" t="s">
        <v>31</v>
      </c>
      <c r="P16146" t="str">
        <f t="shared" si="211"/>
        <v>15212</v>
      </c>
    </row>
    <row r="16147" spans="1:16" x14ac:dyDescent="0.25">
      <c r="A16147" t="str">
        <f>"1240024D00119    00"</f>
        <v>1240024D00119    00</v>
      </c>
      <c r="B16147" t="s">
        <v>35326</v>
      </c>
      <c r="C16147" t="s">
        <v>35327</v>
      </c>
      <c r="D16147" t="s">
        <v>20</v>
      </c>
      <c r="E16147" t="s">
        <v>39</v>
      </c>
      <c r="F16147">
        <v>0</v>
      </c>
      <c r="G16147">
        <v>0</v>
      </c>
      <c r="H16147">
        <v>6</v>
      </c>
      <c r="I16147" s="3">
        <v>4971.67</v>
      </c>
      <c r="J16147" s="3">
        <v>965.52</v>
      </c>
      <c r="L16147">
        <v>1420</v>
      </c>
      <c r="M16147" t="s">
        <v>35328</v>
      </c>
      <c r="N16147" t="s">
        <v>30</v>
      </c>
      <c r="O16147" t="s">
        <v>31</v>
      </c>
      <c r="P16147" t="str">
        <f t="shared" si="211"/>
        <v>15212</v>
      </c>
    </row>
    <row r="16148" spans="1:16" x14ac:dyDescent="0.25">
      <c r="A16148" t="str">
        <f>"1240024D00134    00"</f>
        <v>1240024D00134    00</v>
      </c>
      <c r="B16148" t="s">
        <v>35329</v>
      </c>
      <c r="C16148" t="s">
        <v>35330</v>
      </c>
      <c r="D16148" t="s">
        <v>20</v>
      </c>
      <c r="E16148" t="s">
        <v>39</v>
      </c>
      <c r="F16148">
        <v>0</v>
      </c>
      <c r="G16148">
        <v>0</v>
      </c>
      <c r="H16148">
        <v>2</v>
      </c>
      <c r="I16148" s="3">
        <v>1406.64</v>
      </c>
      <c r="J16148" s="3">
        <v>0</v>
      </c>
      <c r="L16148">
        <v>67</v>
      </c>
      <c r="M16148" t="s">
        <v>35331</v>
      </c>
      <c r="N16148" t="s">
        <v>1823</v>
      </c>
      <c r="O16148" t="s">
        <v>31</v>
      </c>
      <c r="P16148" t="str">
        <f>"15024"</f>
        <v>15024</v>
      </c>
    </row>
    <row r="16149" spans="1:16" x14ac:dyDescent="0.25">
      <c r="A16149" t="str">
        <f>"1240024D00135    00"</f>
        <v>1240024D00135    00</v>
      </c>
      <c r="B16149" t="s">
        <v>13173</v>
      </c>
      <c r="C16149" t="s">
        <v>35332</v>
      </c>
      <c r="D16149" t="s">
        <v>20</v>
      </c>
      <c r="E16149" t="s">
        <v>39</v>
      </c>
      <c r="F16149">
        <v>0</v>
      </c>
      <c r="G16149">
        <v>0</v>
      </c>
      <c r="H16149">
        <v>1</v>
      </c>
      <c r="I16149" s="3">
        <v>300</v>
      </c>
      <c r="J16149" s="3">
        <v>0</v>
      </c>
      <c r="K16149" t="s">
        <v>35333</v>
      </c>
      <c r="L16149">
        <v>11313</v>
      </c>
      <c r="M16149" t="s">
        <v>35334</v>
      </c>
      <c r="N16149" t="s">
        <v>35335</v>
      </c>
      <c r="O16149" t="s">
        <v>200</v>
      </c>
      <c r="P16149" t="str">
        <f>"11412"</f>
        <v>11412</v>
      </c>
    </row>
    <row r="16150" spans="1:16" x14ac:dyDescent="0.25">
      <c r="A16150" t="str">
        <f>"1240024D00136    00"</f>
        <v>1240024D00136    00</v>
      </c>
      <c r="B16150" t="s">
        <v>35336</v>
      </c>
      <c r="C16150" t="s">
        <v>35337</v>
      </c>
      <c r="D16150" t="s">
        <v>20</v>
      </c>
      <c r="E16150" t="s">
        <v>39</v>
      </c>
      <c r="F16150">
        <v>0</v>
      </c>
      <c r="G16150">
        <v>0</v>
      </c>
      <c r="H16150">
        <v>3</v>
      </c>
      <c r="I16150" s="3">
        <v>890.75</v>
      </c>
      <c r="J16150" s="3">
        <v>71.22</v>
      </c>
      <c r="K16150" t="s">
        <v>35338</v>
      </c>
      <c r="L16150">
        <v>1518</v>
      </c>
      <c r="M16150" t="s">
        <v>35339</v>
      </c>
      <c r="N16150" t="s">
        <v>30</v>
      </c>
      <c r="O16150" t="s">
        <v>31</v>
      </c>
      <c r="P16150" t="str">
        <f>"15212"</f>
        <v>15212</v>
      </c>
    </row>
    <row r="16151" spans="1:16" x14ac:dyDescent="0.25">
      <c r="A16151" t="str">
        <f>"1240024D00163    00"</f>
        <v>1240024D00163    00</v>
      </c>
      <c r="B16151" t="s">
        <v>34537</v>
      </c>
      <c r="C16151" t="s">
        <v>35340</v>
      </c>
      <c r="D16151" t="s">
        <v>20</v>
      </c>
      <c r="E16151" t="s">
        <v>21</v>
      </c>
      <c r="F16151">
        <v>0</v>
      </c>
      <c r="G16151">
        <v>0</v>
      </c>
      <c r="H16151">
        <v>3</v>
      </c>
      <c r="I16151" s="3">
        <v>16788.07</v>
      </c>
      <c r="J16151" s="3">
        <v>47.55</v>
      </c>
      <c r="K16151" t="s">
        <v>34673</v>
      </c>
      <c r="L16151">
        <v>911</v>
      </c>
      <c r="M16151" t="s">
        <v>34539</v>
      </c>
      <c r="N16151" t="s">
        <v>30</v>
      </c>
      <c r="O16151" t="s">
        <v>31</v>
      </c>
      <c r="P16151" t="str">
        <f>"15212"</f>
        <v>15212</v>
      </c>
    </row>
    <row r="16152" spans="1:16" x14ac:dyDescent="0.25">
      <c r="A16152" t="str">
        <f>"1240024D00180    00"</f>
        <v>1240024D00180    00</v>
      </c>
      <c r="B16152" t="s">
        <v>35341</v>
      </c>
      <c r="C16152" t="s">
        <v>35342</v>
      </c>
      <c r="D16152" t="s">
        <v>20</v>
      </c>
      <c r="E16152" t="s">
        <v>39</v>
      </c>
      <c r="F16152">
        <v>0</v>
      </c>
      <c r="G16152">
        <v>0</v>
      </c>
      <c r="H16152">
        <v>3</v>
      </c>
      <c r="I16152" s="3">
        <v>902.35</v>
      </c>
      <c r="J16152" s="3">
        <v>55.24</v>
      </c>
      <c r="K16152" t="s">
        <v>1632</v>
      </c>
      <c r="L16152">
        <v>3001</v>
      </c>
      <c r="M16152" t="s">
        <v>330</v>
      </c>
      <c r="N16152" t="s">
        <v>331</v>
      </c>
      <c r="O16152" t="s">
        <v>108</v>
      </c>
      <c r="P16152" t="str">
        <f>"75063"</f>
        <v>75063</v>
      </c>
    </row>
    <row r="16153" spans="1:16" x14ac:dyDescent="0.25">
      <c r="A16153" t="str">
        <f>"1240024D00185    00"</f>
        <v>1240024D00185    00</v>
      </c>
      <c r="B16153" t="s">
        <v>35343</v>
      </c>
      <c r="C16153" t="s">
        <v>35344</v>
      </c>
      <c r="D16153" t="s">
        <v>20</v>
      </c>
      <c r="E16153" t="s">
        <v>39</v>
      </c>
      <c r="F16153">
        <v>0</v>
      </c>
      <c r="G16153">
        <v>0</v>
      </c>
      <c r="H16153">
        <v>4</v>
      </c>
      <c r="I16153" s="3">
        <v>1397.94</v>
      </c>
      <c r="J16153" s="3">
        <v>258.86</v>
      </c>
      <c r="L16153">
        <v>1515</v>
      </c>
      <c r="M16153" t="s">
        <v>35345</v>
      </c>
      <c r="N16153" t="s">
        <v>30</v>
      </c>
      <c r="O16153" t="s">
        <v>31</v>
      </c>
      <c r="P16153" t="str">
        <f>"15212"</f>
        <v>15212</v>
      </c>
    </row>
    <row r="16154" spans="1:16" x14ac:dyDescent="0.25">
      <c r="A16154" t="str">
        <f>"1240024D00198    00"</f>
        <v>1240024D00198    00</v>
      </c>
      <c r="B16154" t="s">
        <v>35346</v>
      </c>
      <c r="C16154" t="s">
        <v>35347</v>
      </c>
      <c r="E16154" t="s">
        <v>39</v>
      </c>
      <c r="F16154">
        <v>0</v>
      </c>
      <c r="G16154">
        <v>0</v>
      </c>
      <c r="H16154">
        <v>1</v>
      </c>
      <c r="I16154" s="3">
        <v>543.94000000000005</v>
      </c>
      <c r="J16154" s="3">
        <v>99.72</v>
      </c>
      <c r="L16154">
        <v>1531</v>
      </c>
      <c r="M16154" t="s">
        <v>24755</v>
      </c>
      <c r="N16154" t="s">
        <v>30</v>
      </c>
      <c r="O16154" t="s">
        <v>31</v>
      </c>
      <c r="P16154" t="str">
        <f>"15212"</f>
        <v>15212</v>
      </c>
    </row>
    <row r="16155" spans="1:16" x14ac:dyDescent="0.25">
      <c r="A16155" t="str">
        <f>"1240024D00210    00"</f>
        <v>1240024D00210    00</v>
      </c>
      <c r="B16155" t="s">
        <v>35348</v>
      </c>
      <c r="C16155" t="s">
        <v>35349</v>
      </c>
      <c r="D16155" t="s">
        <v>33</v>
      </c>
      <c r="E16155" t="s">
        <v>21</v>
      </c>
      <c r="F16155">
        <v>0</v>
      </c>
      <c r="G16155">
        <v>0</v>
      </c>
      <c r="H16155">
        <v>1</v>
      </c>
      <c r="I16155" s="3">
        <v>224.82</v>
      </c>
      <c r="J16155" s="3">
        <v>0</v>
      </c>
      <c r="K16155" t="s">
        <v>35350</v>
      </c>
      <c r="L16155">
        <v>1501</v>
      </c>
      <c r="M16155" t="s">
        <v>24755</v>
      </c>
      <c r="N16155" t="s">
        <v>30</v>
      </c>
      <c r="O16155" t="s">
        <v>31</v>
      </c>
      <c r="P16155" t="str">
        <f>"15212"</f>
        <v>15212</v>
      </c>
    </row>
    <row r="16156" spans="1:16" x14ac:dyDescent="0.25">
      <c r="A16156" t="str">
        <f>"1240024D00282    00"</f>
        <v>1240024D00282    00</v>
      </c>
      <c r="B16156" t="s">
        <v>35351</v>
      </c>
      <c r="C16156" t="s">
        <v>35352</v>
      </c>
      <c r="E16156" t="s">
        <v>39</v>
      </c>
      <c r="F16156">
        <v>0</v>
      </c>
      <c r="G16156">
        <v>0</v>
      </c>
      <c r="H16156">
        <v>1</v>
      </c>
      <c r="I16156" s="3">
        <v>27.19</v>
      </c>
      <c r="J16156" s="3">
        <v>39.44</v>
      </c>
      <c r="L16156">
        <v>1466</v>
      </c>
      <c r="M16156" t="s">
        <v>34701</v>
      </c>
      <c r="N16156" t="s">
        <v>30</v>
      </c>
      <c r="O16156" t="s">
        <v>31</v>
      </c>
      <c r="P16156" t="str">
        <f>"15212"</f>
        <v>15212</v>
      </c>
    </row>
    <row r="16157" spans="1:16" x14ac:dyDescent="0.25">
      <c r="A16157" t="str">
        <f>"1240024D00303    00"</f>
        <v>1240024D00303    00</v>
      </c>
      <c r="B16157" t="s">
        <v>35353</v>
      </c>
      <c r="C16157" t="s">
        <v>35354</v>
      </c>
      <c r="E16157" t="s">
        <v>39</v>
      </c>
      <c r="F16157">
        <v>0</v>
      </c>
      <c r="G16157">
        <v>0</v>
      </c>
      <c r="H16157">
        <v>4</v>
      </c>
      <c r="I16157" s="3">
        <v>327.63</v>
      </c>
      <c r="J16157" s="3">
        <v>495.4</v>
      </c>
      <c r="K16157" t="s">
        <v>1008</v>
      </c>
      <c r="P16157" t="str">
        <f>""</f>
        <v/>
      </c>
    </row>
    <row r="16158" spans="1:16" x14ac:dyDescent="0.25">
      <c r="A16158" t="str">
        <f>"1240024E00221    00"</f>
        <v>1240024E00221    00</v>
      </c>
      <c r="B16158" t="s">
        <v>1720</v>
      </c>
      <c r="C16158" t="s">
        <v>35355</v>
      </c>
      <c r="D16158" t="s">
        <v>20</v>
      </c>
      <c r="E16158" t="s">
        <v>39</v>
      </c>
      <c r="F16158">
        <v>0</v>
      </c>
      <c r="G16158">
        <v>0</v>
      </c>
      <c r="H16158">
        <v>1</v>
      </c>
      <c r="I16158" s="3">
        <v>476.52</v>
      </c>
      <c r="J16158" s="3">
        <v>0</v>
      </c>
      <c r="K16158" t="s">
        <v>7416</v>
      </c>
      <c r="L16158">
        <v>422</v>
      </c>
      <c r="M16158" t="s">
        <v>1352</v>
      </c>
      <c r="N16158" t="s">
        <v>1353</v>
      </c>
      <c r="O16158" t="s">
        <v>31</v>
      </c>
      <c r="P16158" t="str">
        <f>"15085"</f>
        <v>15085</v>
      </c>
    </row>
    <row r="16159" spans="1:16" x14ac:dyDescent="0.25">
      <c r="A16159" t="str">
        <f>"1240024F00001    00"</f>
        <v>1240024F00001    00</v>
      </c>
      <c r="B16159" t="s">
        <v>35356</v>
      </c>
      <c r="C16159" t="s">
        <v>35357</v>
      </c>
      <c r="D16159" t="s">
        <v>20</v>
      </c>
      <c r="E16159" t="s">
        <v>39</v>
      </c>
      <c r="F16159">
        <v>0</v>
      </c>
      <c r="G16159">
        <v>0</v>
      </c>
      <c r="H16159">
        <v>2</v>
      </c>
      <c r="I16159" s="3">
        <v>686.2</v>
      </c>
      <c r="J16159" s="3">
        <v>0</v>
      </c>
      <c r="L16159">
        <v>156</v>
      </c>
      <c r="M16159" t="s">
        <v>35358</v>
      </c>
      <c r="N16159" t="s">
        <v>30</v>
      </c>
      <c r="O16159" t="s">
        <v>31</v>
      </c>
      <c r="P16159" t="str">
        <f>"15203"</f>
        <v>15203</v>
      </c>
    </row>
    <row r="16160" spans="1:16" x14ac:dyDescent="0.25">
      <c r="A16160" t="str">
        <f>"1240024F00052    00"</f>
        <v>1240024F00052    00</v>
      </c>
      <c r="B16160" t="s">
        <v>35359</v>
      </c>
      <c r="C16160" t="s">
        <v>35360</v>
      </c>
      <c r="D16160" t="s">
        <v>20</v>
      </c>
      <c r="E16160" t="s">
        <v>39</v>
      </c>
      <c r="F16160">
        <v>0</v>
      </c>
      <c r="G16160">
        <v>0</v>
      </c>
      <c r="H16160">
        <v>6</v>
      </c>
      <c r="I16160" s="3">
        <v>1348.31</v>
      </c>
      <c r="J16160" s="3">
        <v>302.39</v>
      </c>
      <c r="L16160">
        <v>306</v>
      </c>
      <c r="M16160" t="s">
        <v>35361</v>
      </c>
      <c r="N16160" t="s">
        <v>30</v>
      </c>
      <c r="O16160" t="s">
        <v>31</v>
      </c>
      <c r="P16160" t="str">
        <f>"15222"</f>
        <v>15222</v>
      </c>
    </row>
    <row r="16161" spans="1:16" x14ac:dyDescent="0.25">
      <c r="A16161" t="str">
        <f>"1240024F00053    00"</f>
        <v>1240024F00053    00</v>
      </c>
      <c r="B16161" t="s">
        <v>35359</v>
      </c>
      <c r="C16161" t="s">
        <v>35362</v>
      </c>
      <c r="D16161" t="s">
        <v>20</v>
      </c>
      <c r="E16161" t="s">
        <v>39</v>
      </c>
      <c r="F16161">
        <v>0</v>
      </c>
      <c r="G16161">
        <v>0</v>
      </c>
      <c r="H16161">
        <v>6</v>
      </c>
      <c r="I16161" s="3">
        <v>1022.46</v>
      </c>
      <c r="J16161" s="3">
        <v>229.32</v>
      </c>
      <c r="L16161">
        <v>306</v>
      </c>
      <c r="M16161" t="s">
        <v>35361</v>
      </c>
      <c r="N16161" t="s">
        <v>30</v>
      </c>
      <c r="O16161" t="s">
        <v>31</v>
      </c>
      <c r="P16161" t="str">
        <f>"15222"</f>
        <v>15222</v>
      </c>
    </row>
    <row r="16162" spans="1:16" x14ac:dyDescent="0.25">
      <c r="A16162" t="str">
        <f>"1240024F00059    00"</f>
        <v>1240024F00059    00</v>
      </c>
      <c r="B16162" t="s">
        <v>35363</v>
      </c>
      <c r="C16162" t="s">
        <v>35364</v>
      </c>
      <c r="D16162" t="s">
        <v>20</v>
      </c>
      <c r="E16162" t="s">
        <v>39</v>
      </c>
      <c r="F16162">
        <v>0</v>
      </c>
      <c r="G16162">
        <v>0</v>
      </c>
      <c r="H16162">
        <v>4</v>
      </c>
      <c r="I16162" s="3">
        <v>1199.8599999999999</v>
      </c>
      <c r="J16162" s="3">
        <v>141.74</v>
      </c>
      <c r="L16162">
        <v>1200</v>
      </c>
      <c r="M16162" t="s">
        <v>28693</v>
      </c>
      <c r="N16162" t="s">
        <v>30</v>
      </c>
      <c r="O16162" t="s">
        <v>31</v>
      </c>
      <c r="P16162" t="str">
        <f>"15212"</f>
        <v>15212</v>
      </c>
    </row>
    <row r="16163" spans="1:16" x14ac:dyDescent="0.25">
      <c r="A16163" t="str">
        <f>"1240024F00063    00"</f>
        <v>1240024F00063    00</v>
      </c>
      <c r="B16163" t="s">
        <v>35365</v>
      </c>
      <c r="C16163" t="s">
        <v>35366</v>
      </c>
      <c r="D16163" t="s">
        <v>20</v>
      </c>
      <c r="E16163" t="s">
        <v>39</v>
      </c>
      <c r="F16163">
        <v>0</v>
      </c>
      <c r="G16163">
        <v>0</v>
      </c>
      <c r="H16163">
        <v>1</v>
      </c>
      <c r="I16163" s="3">
        <v>390.74</v>
      </c>
      <c r="J16163" s="3">
        <v>0</v>
      </c>
      <c r="K16163" t="s">
        <v>35367</v>
      </c>
      <c r="L16163">
        <v>90</v>
      </c>
      <c r="M16163" t="s">
        <v>35368</v>
      </c>
      <c r="N16163" t="s">
        <v>30</v>
      </c>
      <c r="O16163" t="s">
        <v>31</v>
      </c>
      <c r="P16163" t="str">
        <f>"15238"</f>
        <v>15238</v>
      </c>
    </row>
    <row r="16164" spans="1:16" x14ac:dyDescent="0.25">
      <c r="A16164" t="str">
        <f>"1240024F00165    00"</f>
        <v>1240024F00165    00</v>
      </c>
      <c r="B16164" t="s">
        <v>35369</v>
      </c>
      <c r="C16164" t="s">
        <v>35370</v>
      </c>
      <c r="D16164" t="s">
        <v>20</v>
      </c>
      <c r="E16164" t="s">
        <v>39</v>
      </c>
      <c r="F16164">
        <v>0</v>
      </c>
      <c r="G16164">
        <v>0</v>
      </c>
      <c r="H16164">
        <v>1</v>
      </c>
      <c r="I16164" s="3">
        <v>440.3</v>
      </c>
      <c r="J16164" s="3">
        <v>0</v>
      </c>
      <c r="L16164">
        <v>5056</v>
      </c>
      <c r="M16164" t="s">
        <v>34829</v>
      </c>
      <c r="N16164" t="s">
        <v>2008</v>
      </c>
      <c r="O16164" t="s">
        <v>31</v>
      </c>
      <c r="P16164" t="str">
        <f>"16066"</f>
        <v>16066</v>
      </c>
    </row>
    <row r="16165" spans="1:16" x14ac:dyDescent="0.25">
      <c r="A16165" t="str">
        <f>"1240024F00187    00"</f>
        <v>1240024F00187    00</v>
      </c>
      <c r="B16165" t="s">
        <v>27468</v>
      </c>
      <c r="C16165" t="s">
        <v>35371</v>
      </c>
      <c r="E16165" t="s">
        <v>39</v>
      </c>
      <c r="F16165">
        <v>0</v>
      </c>
      <c r="G16165">
        <v>0</v>
      </c>
      <c r="H16165">
        <v>1</v>
      </c>
      <c r="I16165" s="3">
        <v>459.21</v>
      </c>
      <c r="J16165" s="3">
        <v>0</v>
      </c>
      <c r="K16165" t="s">
        <v>27470</v>
      </c>
      <c r="L16165">
        <v>202</v>
      </c>
      <c r="M16165" t="s">
        <v>2136</v>
      </c>
      <c r="N16165" t="s">
        <v>30</v>
      </c>
      <c r="O16165" t="s">
        <v>31</v>
      </c>
      <c r="P16165" t="str">
        <f>"15228"</f>
        <v>15228</v>
      </c>
    </row>
    <row r="16166" spans="1:16" x14ac:dyDescent="0.25">
      <c r="A16166" t="str">
        <f>"1240024F00190    00"</f>
        <v>1240024F00190    00</v>
      </c>
      <c r="B16166" t="s">
        <v>35372</v>
      </c>
      <c r="C16166" t="s">
        <v>35373</v>
      </c>
      <c r="D16166" t="s">
        <v>20</v>
      </c>
      <c r="E16166" t="s">
        <v>39</v>
      </c>
      <c r="F16166">
        <v>0</v>
      </c>
      <c r="G16166">
        <v>0</v>
      </c>
      <c r="H16166">
        <v>4</v>
      </c>
      <c r="I16166" s="3">
        <v>1139.18</v>
      </c>
      <c r="J16166" s="3">
        <v>134.56</v>
      </c>
      <c r="L16166">
        <v>1200</v>
      </c>
      <c r="M16166" t="s">
        <v>19127</v>
      </c>
      <c r="N16166" t="s">
        <v>30</v>
      </c>
      <c r="O16166" t="s">
        <v>31</v>
      </c>
      <c r="P16166" t="str">
        <f>"15212"</f>
        <v>15212</v>
      </c>
    </row>
    <row r="16167" spans="1:16" x14ac:dyDescent="0.25">
      <c r="A16167" t="str">
        <f>"1240024F00199    00"</f>
        <v>1240024F00199    00</v>
      </c>
      <c r="B16167" t="s">
        <v>35374</v>
      </c>
      <c r="C16167" t="s">
        <v>35375</v>
      </c>
      <c r="E16167" t="s">
        <v>39</v>
      </c>
      <c r="F16167">
        <v>0</v>
      </c>
      <c r="G16167">
        <v>0</v>
      </c>
      <c r="H16167">
        <v>3</v>
      </c>
      <c r="I16167" s="3">
        <v>311.02</v>
      </c>
      <c r="J16167" s="3">
        <v>164.06</v>
      </c>
      <c r="L16167">
        <v>1063</v>
      </c>
      <c r="M16167" t="s">
        <v>33466</v>
      </c>
      <c r="N16167" t="s">
        <v>30</v>
      </c>
      <c r="O16167" t="s">
        <v>31</v>
      </c>
      <c r="P16167" t="str">
        <f>"15212"</f>
        <v>15212</v>
      </c>
    </row>
    <row r="16168" spans="1:16" x14ac:dyDescent="0.25">
      <c r="A16168" t="str">
        <f>"1240024F00222    00"</f>
        <v>1240024F00222    00</v>
      </c>
      <c r="B16168" t="s">
        <v>34828</v>
      </c>
      <c r="C16168" t="s">
        <v>35376</v>
      </c>
      <c r="D16168" t="s">
        <v>20</v>
      </c>
      <c r="E16168" t="s">
        <v>290</v>
      </c>
      <c r="F16168">
        <v>0</v>
      </c>
      <c r="G16168">
        <v>0</v>
      </c>
      <c r="H16168">
        <v>1</v>
      </c>
      <c r="I16168" s="3">
        <v>4843.16</v>
      </c>
      <c r="J16168" s="3">
        <v>0</v>
      </c>
      <c r="K16168" t="s">
        <v>35377</v>
      </c>
      <c r="L16168">
        <v>5056</v>
      </c>
      <c r="M16168" t="s">
        <v>34829</v>
      </c>
      <c r="N16168" t="s">
        <v>2008</v>
      </c>
      <c r="O16168" t="s">
        <v>31</v>
      </c>
      <c r="P16168" t="str">
        <f>"16066"</f>
        <v>16066</v>
      </c>
    </row>
    <row r="16169" spans="1:16" x14ac:dyDescent="0.25">
      <c r="A16169" t="str">
        <f>"1240024F00225    00"</f>
        <v>1240024F00225    00</v>
      </c>
      <c r="B16169" t="s">
        <v>34828</v>
      </c>
      <c r="C16169" t="s">
        <v>35378</v>
      </c>
      <c r="D16169" t="s">
        <v>20</v>
      </c>
      <c r="E16169" t="s">
        <v>21</v>
      </c>
      <c r="F16169">
        <v>0</v>
      </c>
      <c r="G16169">
        <v>0</v>
      </c>
      <c r="H16169">
        <v>1</v>
      </c>
      <c r="I16169" s="3">
        <v>588.97</v>
      </c>
      <c r="J16169" s="3">
        <v>0</v>
      </c>
      <c r="L16169">
        <v>5056</v>
      </c>
      <c r="M16169" t="s">
        <v>34829</v>
      </c>
      <c r="N16169" t="s">
        <v>2008</v>
      </c>
      <c r="O16169" t="s">
        <v>31</v>
      </c>
      <c r="P16169" t="str">
        <f>"16066"</f>
        <v>16066</v>
      </c>
    </row>
    <row r="16170" spans="1:16" x14ac:dyDescent="0.25">
      <c r="A16170" t="str">
        <f>"1240024F00238    00"</f>
        <v>1240024F00238    00</v>
      </c>
      <c r="B16170" t="s">
        <v>35379</v>
      </c>
      <c r="C16170" t="s">
        <v>35380</v>
      </c>
      <c r="E16170" t="s">
        <v>39</v>
      </c>
      <c r="F16170">
        <v>0</v>
      </c>
      <c r="G16170">
        <v>0</v>
      </c>
      <c r="H16170">
        <v>7</v>
      </c>
      <c r="I16170" s="3">
        <v>2702.52</v>
      </c>
      <c r="J16170" s="3">
        <v>4439.07</v>
      </c>
      <c r="L16170">
        <v>1018</v>
      </c>
      <c r="M16170" t="s">
        <v>35318</v>
      </c>
      <c r="N16170" t="s">
        <v>30</v>
      </c>
      <c r="O16170" t="s">
        <v>31</v>
      </c>
      <c r="P16170" t="str">
        <f>"15212"</f>
        <v>15212</v>
      </c>
    </row>
    <row r="16171" spans="1:16" x14ac:dyDescent="0.25">
      <c r="A16171" t="str">
        <f>"1240024F00239    00"</f>
        <v>1240024F00239    00</v>
      </c>
      <c r="B16171" t="s">
        <v>35381</v>
      </c>
      <c r="C16171" t="s">
        <v>35302</v>
      </c>
      <c r="D16171" t="s">
        <v>20</v>
      </c>
      <c r="E16171" t="s">
        <v>39</v>
      </c>
      <c r="F16171">
        <v>0</v>
      </c>
      <c r="G16171">
        <v>0</v>
      </c>
      <c r="H16171">
        <v>18</v>
      </c>
      <c r="I16171" s="3">
        <v>550.73</v>
      </c>
      <c r="J16171" s="3">
        <v>409.08</v>
      </c>
      <c r="L16171">
        <v>1114</v>
      </c>
      <c r="M16171" t="s">
        <v>33466</v>
      </c>
      <c r="N16171" t="s">
        <v>30</v>
      </c>
      <c r="O16171" t="s">
        <v>31</v>
      </c>
      <c r="P16171" t="str">
        <f>"15212"</f>
        <v>15212</v>
      </c>
    </row>
    <row r="16172" spans="1:16" x14ac:dyDescent="0.25">
      <c r="A16172" t="str">
        <f>"1240024F00247    00"</f>
        <v>1240024F00247    00</v>
      </c>
      <c r="B16172" t="s">
        <v>35382</v>
      </c>
      <c r="C16172" t="s">
        <v>35383</v>
      </c>
      <c r="D16172" t="s">
        <v>20</v>
      </c>
      <c r="E16172" t="s">
        <v>39</v>
      </c>
      <c r="F16172">
        <v>0</v>
      </c>
      <c r="G16172">
        <v>0</v>
      </c>
      <c r="H16172">
        <v>5</v>
      </c>
      <c r="I16172" s="3">
        <v>1380.66</v>
      </c>
      <c r="J16172" s="3">
        <v>263.01</v>
      </c>
      <c r="L16172">
        <v>1110</v>
      </c>
      <c r="M16172" t="s">
        <v>35318</v>
      </c>
      <c r="N16172" t="s">
        <v>30</v>
      </c>
      <c r="O16172" t="s">
        <v>31</v>
      </c>
      <c r="P16172" t="str">
        <f>"15212"</f>
        <v>15212</v>
      </c>
    </row>
    <row r="16173" spans="1:16" x14ac:dyDescent="0.25">
      <c r="A16173" t="str">
        <f>"1240024F00248    00"</f>
        <v>1240024F00248    00</v>
      </c>
      <c r="B16173" t="s">
        <v>35384</v>
      </c>
      <c r="C16173" t="s">
        <v>35385</v>
      </c>
      <c r="E16173" t="s">
        <v>39</v>
      </c>
      <c r="F16173">
        <v>0</v>
      </c>
      <c r="G16173">
        <v>0</v>
      </c>
      <c r="H16173">
        <v>2</v>
      </c>
      <c r="I16173" s="3">
        <v>326.7</v>
      </c>
      <c r="J16173" s="3">
        <v>160.62</v>
      </c>
      <c r="L16173">
        <v>1118</v>
      </c>
      <c r="M16173" t="s">
        <v>35386</v>
      </c>
      <c r="N16173" t="s">
        <v>30</v>
      </c>
      <c r="O16173" t="s">
        <v>31</v>
      </c>
      <c r="P16173" t="str">
        <f>"15212"</f>
        <v>15212</v>
      </c>
    </row>
    <row r="16174" spans="1:16" x14ac:dyDescent="0.25">
      <c r="A16174" t="str">
        <f>"1240024F00250    00"</f>
        <v>1240024F00250    00</v>
      </c>
      <c r="B16174" t="s">
        <v>35387</v>
      </c>
      <c r="C16174" t="s">
        <v>35385</v>
      </c>
      <c r="D16174" t="s">
        <v>20</v>
      </c>
      <c r="E16174" t="s">
        <v>39</v>
      </c>
      <c r="F16174">
        <v>0</v>
      </c>
      <c r="G16174">
        <v>0</v>
      </c>
      <c r="H16174">
        <v>1</v>
      </c>
      <c r="I16174" s="3">
        <v>449.81</v>
      </c>
      <c r="J16174" s="3">
        <v>0</v>
      </c>
      <c r="L16174">
        <v>1118</v>
      </c>
      <c r="M16174" t="s">
        <v>35318</v>
      </c>
      <c r="N16174" t="s">
        <v>30</v>
      </c>
      <c r="O16174" t="s">
        <v>31</v>
      </c>
      <c r="P16174" t="str">
        <f>"15212"</f>
        <v>15212</v>
      </c>
    </row>
    <row r="16175" spans="1:16" x14ac:dyDescent="0.25">
      <c r="A16175" t="str">
        <f>"1240024F00262    00"</f>
        <v>1240024F00262    00</v>
      </c>
      <c r="B16175" t="s">
        <v>35388</v>
      </c>
      <c r="C16175" t="s">
        <v>35389</v>
      </c>
      <c r="D16175" t="s">
        <v>20</v>
      </c>
      <c r="E16175" t="s">
        <v>39</v>
      </c>
      <c r="F16175">
        <v>0</v>
      </c>
      <c r="G16175">
        <v>0</v>
      </c>
      <c r="H16175">
        <v>2</v>
      </c>
      <c r="I16175" s="3">
        <v>461.28</v>
      </c>
      <c r="J16175" s="3">
        <v>0</v>
      </c>
      <c r="K16175" t="s">
        <v>6184</v>
      </c>
      <c r="L16175">
        <v>901</v>
      </c>
      <c r="M16175" t="s">
        <v>1503</v>
      </c>
      <c r="N16175" t="s">
        <v>494</v>
      </c>
      <c r="O16175" t="s">
        <v>495</v>
      </c>
      <c r="P16175" t="str">
        <f>"91768"</f>
        <v>91768</v>
      </c>
    </row>
    <row r="16176" spans="1:16" x14ac:dyDescent="0.25">
      <c r="A16176" t="str">
        <f>"1240024F00265    00"</f>
        <v>1240024F00265    00</v>
      </c>
      <c r="B16176" t="s">
        <v>35390</v>
      </c>
      <c r="C16176" t="s">
        <v>35391</v>
      </c>
      <c r="E16176" t="s">
        <v>39</v>
      </c>
      <c r="F16176">
        <v>0</v>
      </c>
      <c r="G16176">
        <v>0</v>
      </c>
      <c r="H16176">
        <v>3</v>
      </c>
      <c r="I16176" s="3">
        <v>608.99</v>
      </c>
      <c r="J16176" s="3">
        <v>122.63</v>
      </c>
      <c r="K16176" t="s">
        <v>35392</v>
      </c>
      <c r="L16176">
        <v>1132</v>
      </c>
      <c r="M16176" t="s">
        <v>35318</v>
      </c>
      <c r="N16176" t="s">
        <v>30</v>
      </c>
      <c r="O16176" t="s">
        <v>31</v>
      </c>
      <c r="P16176" t="str">
        <f>"15212"</f>
        <v>15212</v>
      </c>
    </row>
    <row r="16177" spans="1:16" x14ac:dyDescent="0.25">
      <c r="A16177" t="str">
        <f>"1240024F00267    00"</f>
        <v>1240024F00267    00</v>
      </c>
      <c r="B16177" t="s">
        <v>35390</v>
      </c>
      <c r="C16177" t="s">
        <v>35391</v>
      </c>
      <c r="E16177" t="s">
        <v>39</v>
      </c>
      <c r="F16177">
        <v>0</v>
      </c>
      <c r="G16177">
        <v>0</v>
      </c>
      <c r="H16177">
        <v>3</v>
      </c>
      <c r="I16177" s="3">
        <v>484.39</v>
      </c>
      <c r="J16177" s="3">
        <v>97.56</v>
      </c>
      <c r="K16177" t="s">
        <v>35392</v>
      </c>
      <c r="L16177">
        <v>1132</v>
      </c>
      <c r="M16177" t="s">
        <v>35393</v>
      </c>
      <c r="N16177" t="s">
        <v>30</v>
      </c>
      <c r="O16177" t="s">
        <v>31</v>
      </c>
      <c r="P16177" t="str">
        <f>"15212"</f>
        <v>15212</v>
      </c>
    </row>
    <row r="16178" spans="1:16" x14ac:dyDescent="0.25">
      <c r="A16178" t="str">
        <f>"1240024F00276    00"</f>
        <v>1240024F00276    00</v>
      </c>
      <c r="B16178" t="s">
        <v>35394</v>
      </c>
      <c r="C16178" t="s">
        <v>35395</v>
      </c>
      <c r="D16178" t="s">
        <v>20</v>
      </c>
      <c r="E16178" t="s">
        <v>39</v>
      </c>
      <c r="F16178">
        <v>0</v>
      </c>
      <c r="G16178">
        <v>0</v>
      </c>
      <c r="H16178">
        <v>2</v>
      </c>
      <c r="I16178" s="3">
        <v>651.86</v>
      </c>
      <c r="J16178" s="3">
        <v>0</v>
      </c>
      <c r="L16178">
        <v>137</v>
      </c>
      <c r="M16178" t="s">
        <v>35396</v>
      </c>
      <c r="N16178" t="s">
        <v>2008</v>
      </c>
      <c r="O16178" t="s">
        <v>31</v>
      </c>
      <c r="P16178" t="str">
        <f>"16066"</f>
        <v>16066</v>
      </c>
    </row>
    <row r="16179" spans="1:16" x14ac:dyDescent="0.25">
      <c r="A16179" t="str">
        <f>"1240024F00277    00"</f>
        <v>1240024F00277    00</v>
      </c>
      <c r="B16179" t="s">
        <v>35397</v>
      </c>
      <c r="C16179" t="s">
        <v>35302</v>
      </c>
      <c r="D16179" t="s">
        <v>20</v>
      </c>
      <c r="E16179" t="s">
        <v>39</v>
      </c>
      <c r="F16179">
        <v>0</v>
      </c>
      <c r="G16179">
        <v>0</v>
      </c>
      <c r="H16179">
        <v>19</v>
      </c>
      <c r="I16179" s="3">
        <v>351.08</v>
      </c>
      <c r="J16179" s="3">
        <v>365.58</v>
      </c>
      <c r="L16179">
        <v>1018</v>
      </c>
      <c r="M16179" t="s">
        <v>35318</v>
      </c>
      <c r="N16179" t="s">
        <v>30</v>
      </c>
      <c r="O16179" t="s">
        <v>31</v>
      </c>
      <c r="P16179" t="str">
        <f>"15212"</f>
        <v>15212</v>
      </c>
    </row>
    <row r="16180" spans="1:16" x14ac:dyDescent="0.25">
      <c r="A16180" t="str">
        <f>"1240024F00278000100"</f>
        <v>1240024F00278000100</v>
      </c>
      <c r="B16180" t="s">
        <v>35398</v>
      </c>
      <c r="C16180" t="s">
        <v>35399</v>
      </c>
      <c r="D16180" t="s">
        <v>20</v>
      </c>
      <c r="E16180" t="s">
        <v>39</v>
      </c>
      <c r="F16180">
        <v>0</v>
      </c>
      <c r="G16180">
        <v>0</v>
      </c>
      <c r="H16180">
        <v>14</v>
      </c>
      <c r="I16180" s="3">
        <v>2808.22</v>
      </c>
      <c r="J16180" s="3">
        <v>2535.4</v>
      </c>
      <c r="L16180">
        <v>1167</v>
      </c>
      <c r="M16180" t="s">
        <v>35400</v>
      </c>
      <c r="N16180" t="s">
        <v>30</v>
      </c>
      <c r="O16180" t="s">
        <v>31</v>
      </c>
      <c r="P16180" t="str">
        <f>"15212"</f>
        <v>15212</v>
      </c>
    </row>
    <row r="16181" spans="1:16" x14ac:dyDescent="0.25">
      <c r="A16181" t="str">
        <f>"1240024F00279    00"</f>
        <v>1240024F00279    00</v>
      </c>
      <c r="B16181" t="s">
        <v>35401</v>
      </c>
      <c r="C16181" t="s">
        <v>35302</v>
      </c>
      <c r="D16181" t="s">
        <v>20</v>
      </c>
      <c r="E16181" t="s">
        <v>39</v>
      </c>
      <c r="F16181">
        <v>0</v>
      </c>
      <c r="G16181">
        <v>0</v>
      </c>
      <c r="H16181">
        <v>19</v>
      </c>
      <c r="I16181" s="3">
        <v>2227.13</v>
      </c>
      <c r="J16181" s="3">
        <v>1397.12</v>
      </c>
      <c r="K16181" t="s">
        <v>1008</v>
      </c>
      <c r="P16181" t="str">
        <f>""</f>
        <v/>
      </c>
    </row>
    <row r="16182" spans="1:16" x14ac:dyDescent="0.25">
      <c r="A16182" t="str">
        <f>"1240024F00290    00"</f>
        <v>1240024F00290    00</v>
      </c>
      <c r="B16182" t="s">
        <v>35402</v>
      </c>
      <c r="C16182" t="s">
        <v>35302</v>
      </c>
      <c r="D16182" t="s">
        <v>20</v>
      </c>
      <c r="E16182" t="s">
        <v>39</v>
      </c>
      <c r="F16182">
        <v>0</v>
      </c>
      <c r="G16182">
        <v>0</v>
      </c>
      <c r="H16182">
        <v>19</v>
      </c>
      <c r="I16182" s="3">
        <v>490.79</v>
      </c>
      <c r="J16182" s="3">
        <v>506.94</v>
      </c>
      <c r="K16182" t="s">
        <v>1008</v>
      </c>
      <c r="P16182" t="str">
        <f>""</f>
        <v/>
      </c>
    </row>
    <row r="16183" spans="1:16" x14ac:dyDescent="0.25">
      <c r="A16183" t="str">
        <f>"1240024F00295    00"</f>
        <v>1240024F00295    00</v>
      </c>
      <c r="B16183" t="s">
        <v>35403</v>
      </c>
      <c r="C16183" t="s">
        <v>35302</v>
      </c>
      <c r="D16183" t="s">
        <v>20</v>
      </c>
      <c r="E16183" t="s">
        <v>39</v>
      </c>
      <c r="F16183">
        <v>0</v>
      </c>
      <c r="G16183">
        <v>0</v>
      </c>
      <c r="H16183">
        <v>19</v>
      </c>
      <c r="I16183" s="3">
        <v>490.79</v>
      </c>
      <c r="J16183" s="3">
        <v>506.94</v>
      </c>
      <c r="L16183">
        <v>508</v>
      </c>
      <c r="M16183" t="s">
        <v>35404</v>
      </c>
      <c r="N16183" t="s">
        <v>30</v>
      </c>
      <c r="O16183" t="s">
        <v>31</v>
      </c>
      <c r="P16183" t="str">
        <f>"15229"</f>
        <v>15229</v>
      </c>
    </row>
    <row r="16184" spans="1:16" x14ac:dyDescent="0.25">
      <c r="A16184" t="str">
        <f>"1240024F00297    00"</f>
        <v>1240024F00297    00</v>
      </c>
      <c r="B16184" t="s">
        <v>35405</v>
      </c>
      <c r="C16184" t="s">
        <v>35406</v>
      </c>
      <c r="D16184" t="s">
        <v>20</v>
      </c>
      <c r="E16184" t="s">
        <v>39</v>
      </c>
      <c r="F16184">
        <v>0</v>
      </c>
      <c r="G16184">
        <v>0</v>
      </c>
      <c r="H16184">
        <v>5</v>
      </c>
      <c r="I16184" s="3">
        <v>3182.38</v>
      </c>
      <c r="J16184" s="3">
        <v>398.51</v>
      </c>
      <c r="L16184">
        <v>1075</v>
      </c>
      <c r="M16184" t="s">
        <v>2602</v>
      </c>
      <c r="N16184" t="s">
        <v>35407</v>
      </c>
      <c r="O16184" t="s">
        <v>31</v>
      </c>
      <c r="P16184" t="str">
        <f>"15014"</f>
        <v>15014</v>
      </c>
    </row>
    <row r="16185" spans="1:16" x14ac:dyDescent="0.25">
      <c r="A16185" t="str">
        <f>"1240024F00300    00"</f>
        <v>1240024F00300    00</v>
      </c>
      <c r="B16185" t="s">
        <v>35408</v>
      </c>
      <c r="C16185" t="s">
        <v>35302</v>
      </c>
      <c r="D16185" t="s">
        <v>20</v>
      </c>
      <c r="E16185" t="s">
        <v>39</v>
      </c>
      <c r="F16185">
        <v>0</v>
      </c>
      <c r="G16185">
        <v>0</v>
      </c>
      <c r="H16185">
        <v>19</v>
      </c>
      <c r="I16185" s="3">
        <v>455.3</v>
      </c>
      <c r="J16185" s="3">
        <v>375.63</v>
      </c>
      <c r="L16185">
        <v>1139</v>
      </c>
      <c r="M16185" t="s">
        <v>35318</v>
      </c>
      <c r="N16185" t="s">
        <v>30</v>
      </c>
      <c r="O16185" t="s">
        <v>31</v>
      </c>
      <c r="P16185" t="str">
        <f>"15212"</f>
        <v>15212</v>
      </c>
    </row>
    <row r="16186" spans="1:16" x14ac:dyDescent="0.25">
      <c r="A16186" t="str">
        <f>"1240024F00303    00"</f>
        <v>1240024F00303    00</v>
      </c>
      <c r="B16186" t="s">
        <v>35409</v>
      </c>
      <c r="C16186" t="s">
        <v>35410</v>
      </c>
      <c r="E16186" t="s">
        <v>39</v>
      </c>
      <c r="F16186">
        <v>0</v>
      </c>
      <c r="G16186">
        <v>0</v>
      </c>
      <c r="H16186">
        <v>2</v>
      </c>
      <c r="I16186" s="3">
        <v>510.02</v>
      </c>
      <c r="J16186" s="3">
        <v>69.760000000000005</v>
      </c>
      <c r="L16186">
        <v>1132</v>
      </c>
      <c r="M16186" t="s">
        <v>35318</v>
      </c>
      <c r="N16186" t="s">
        <v>30</v>
      </c>
      <c r="O16186" t="s">
        <v>31</v>
      </c>
      <c r="P16186" t="str">
        <f>"15212"</f>
        <v>15212</v>
      </c>
    </row>
    <row r="16187" spans="1:16" x14ac:dyDescent="0.25">
      <c r="A16187" t="str">
        <f>"1240024F00309    00"</f>
        <v>1240024F00309    00</v>
      </c>
      <c r="B16187" t="s">
        <v>35411</v>
      </c>
      <c r="C16187" t="s">
        <v>35412</v>
      </c>
      <c r="D16187" t="s">
        <v>20</v>
      </c>
      <c r="E16187" t="s">
        <v>39</v>
      </c>
      <c r="F16187">
        <v>0</v>
      </c>
      <c r="G16187">
        <v>0</v>
      </c>
      <c r="H16187">
        <v>11</v>
      </c>
      <c r="I16187" s="3">
        <v>4103.79</v>
      </c>
      <c r="J16187" s="3">
        <v>5738.42</v>
      </c>
      <c r="L16187">
        <v>1117</v>
      </c>
      <c r="M16187" t="s">
        <v>35318</v>
      </c>
      <c r="N16187" t="s">
        <v>30</v>
      </c>
      <c r="O16187" t="s">
        <v>31</v>
      </c>
      <c r="P16187" t="str">
        <f>"15212"</f>
        <v>15212</v>
      </c>
    </row>
    <row r="16188" spans="1:16" x14ac:dyDescent="0.25">
      <c r="A16188" t="str">
        <f>"1240024F00311    00"</f>
        <v>1240024F00311    00</v>
      </c>
      <c r="B16188" t="s">
        <v>35413</v>
      </c>
      <c r="C16188" t="s">
        <v>35414</v>
      </c>
      <c r="E16188" t="s">
        <v>39</v>
      </c>
      <c r="F16188">
        <v>0</v>
      </c>
      <c r="G16188">
        <v>0</v>
      </c>
      <c r="H16188">
        <v>1</v>
      </c>
      <c r="I16188" s="3">
        <v>142.32</v>
      </c>
      <c r="J16188" s="3">
        <v>0</v>
      </c>
      <c r="K16188" t="s">
        <v>35415</v>
      </c>
      <c r="M16188" t="s">
        <v>35416</v>
      </c>
      <c r="N16188" t="s">
        <v>30</v>
      </c>
      <c r="O16188" t="s">
        <v>31</v>
      </c>
      <c r="P16188" t="str">
        <f>"15220"</f>
        <v>15220</v>
      </c>
    </row>
    <row r="16189" spans="1:16" x14ac:dyDescent="0.25">
      <c r="A16189" t="str">
        <f>"1240024F00346    00"</f>
        <v>1240024F00346    00</v>
      </c>
      <c r="B16189" t="s">
        <v>35417</v>
      </c>
      <c r="C16189" t="s">
        <v>35418</v>
      </c>
      <c r="D16189" t="s">
        <v>20</v>
      </c>
      <c r="E16189" t="s">
        <v>39</v>
      </c>
      <c r="F16189">
        <v>0</v>
      </c>
      <c r="G16189">
        <v>0</v>
      </c>
      <c r="H16189">
        <v>19</v>
      </c>
      <c r="I16189" s="3">
        <v>3279.95</v>
      </c>
      <c r="J16189" s="3">
        <v>2108.7800000000002</v>
      </c>
      <c r="K16189" t="s">
        <v>35419</v>
      </c>
      <c r="L16189">
        <v>648</v>
      </c>
      <c r="M16189" t="s">
        <v>6611</v>
      </c>
      <c r="N16189" t="s">
        <v>35298</v>
      </c>
      <c r="O16189" t="s">
        <v>31</v>
      </c>
      <c r="P16189" t="str">
        <f>"16056"</f>
        <v>16056</v>
      </c>
    </row>
    <row r="16190" spans="1:16" x14ac:dyDescent="0.25">
      <c r="A16190" t="str">
        <f>"1240024F00350    00"</f>
        <v>1240024F00350    00</v>
      </c>
      <c r="B16190" t="s">
        <v>35420</v>
      </c>
      <c r="C16190" t="s">
        <v>35421</v>
      </c>
      <c r="D16190" t="s">
        <v>20</v>
      </c>
      <c r="E16190" t="s">
        <v>39</v>
      </c>
      <c r="F16190">
        <v>0</v>
      </c>
      <c r="G16190">
        <v>0</v>
      </c>
      <c r="H16190">
        <v>5</v>
      </c>
      <c r="I16190" s="3">
        <v>544.4</v>
      </c>
      <c r="J16190" s="3">
        <v>93.87</v>
      </c>
      <c r="K16190" t="s">
        <v>35422</v>
      </c>
      <c r="L16190">
        <v>1102</v>
      </c>
      <c r="M16190" t="s">
        <v>35423</v>
      </c>
      <c r="N16190" t="s">
        <v>30</v>
      </c>
      <c r="O16190" t="s">
        <v>31</v>
      </c>
      <c r="P16190" t="str">
        <f>"15212"</f>
        <v>15212</v>
      </c>
    </row>
    <row r="16191" spans="1:16" x14ac:dyDescent="0.25">
      <c r="A16191" t="str">
        <f>"1240024F00358    00"</f>
        <v>1240024F00358    00</v>
      </c>
      <c r="B16191" t="s">
        <v>35424</v>
      </c>
      <c r="C16191" t="s">
        <v>35425</v>
      </c>
      <c r="D16191" t="s">
        <v>20</v>
      </c>
      <c r="E16191" t="s">
        <v>39</v>
      </c>
      <c r="F16191">
        <v>0</v>
      </c>
      <c r="G16191">
        <v>0</v>
      </c>
      <c r="H16191">
        <v>1</v>
      </c>
      <c r="I16191" s="3">
        <v>554.66</v>
      </c>
      <c r="J16191" s="3">
        <v>0</v>
      </c>
      <c r="K16191" t="s">
        <v>35426</v>
      </c>
      <c r="L16191">
        <v>1120</v>
      </c>
      <c r="M16191" t="s">
        <v>35423</v>
      </c>
      <c r="N16191" t="s">
        <v>30</v>
      </c>
      <c r="O16191" t="s">
        <v>31</v>
      </c>
      <c r="P16191" t="str">
        <f>"15212"</f>
        <v>15212</v>
      </c>
    </row>
    <row r="16192" spans="1:16" x14ac:dyDescent="0.25">
      <c r="A16192" t="str">
        <f>"1240024F00359    00"</f>
        <v>1240024F00359    00</v>
      </c>
      <c r="B16192" t="s">
        <v>35424</v>
      </c>
      <c r="C16192" t="s">
        <v>35427</v>
      </c>
      <c r="D16192" t="s">
        <v>20</v>
      </c>
      <c r="E16192" t="s">
        <v>39</v>
      </c>
      <c r="F16192">
        <v>0</v>
      </c>
      <c r="G16192">
        <v>0</v>
      </c>
      <c r="H16192">
        <v>4</v>
      </c>
      <c r="I16192" s="3">
        <v>75.44</v>
      </c>
      <c r="J16192" s="3">
        <v>9.2799999999999994</v>
      </c>
      <c r="K16192" t="s">
        <v>35426</v>
      </c>
      <c r="L16192">
        <v>1120</v>
      </c>
      <c r="M16192" t="s">
        <v>35423</v>
      </c>
      <c r="N16192" t="s">
        <v>30</v>
      </c>
      <c r="O16192" t="s">
        <v>31</v>
      </c>
      <c r="P16192" t="str">
        <f>"15212"</f>
        <v>15212</v>
      </c>
    </row>
    <row r="16193" spans="1:16" x14ac:dyDescent="0.25">
      <c r="A16193" t="str">
        <f>"1240024F00360    00"</f>
        <v>1240024F00360    00</v>
      </c>
      <c r="B16193" t="s">
        <v>35428</v>
      </c>
      <c r="C16193" t="s">
        <v>35429</v>
      </c>
      <c r="E16193" t="s">
        <v>39</v>
      </c>
      <c r="F16193">
        <v>0</v>
      </c>
      <c r="G16193">
        <v>0</v>
      </c>
      <c r="H16193">
        <v>1</v>
      </c>
      <c r="I16193" s="3">
        <v>195.73</v>
      </c>
      <c r="J16193" s="3">
        <v>288.67</v>
      </c>
      <c r="K16193" t="s">
        <v>35430</v>
      </c>
      <c r="M16193" t="s">
        <v>35431</v>
      </c>
      <c r="N16193" t="s">
        <v>30</v>
      </c>
      <c r="O16193" t="s">
        <v>31</v>
      </c>
      <c r="P16193" t="str">
        <f>"15222"</f>
        <v>15222</v>
      </c>
    </row>
    <row r="16194" spans="1:16" x14ac:dyDescent="0.25">
      <c r="A16194" t="str">
        <f>"1240024F00366    00"</f>
        <v>1240024F00366    00</v>
      </c>
      <c r="B16194" t="s">
        <v>35432</v>
      </c>
      <c r="C16194" t="s">
        <v>35427</v>
      </c>
      <c r="D16194" t="s">
        <v>20</v>
      </c>
      <c r="E16194" t="s">
        <v>39</v>
      </c>
      <c r="F16194">
        <v>0</v>
      </c>
      <c r="G16194">
        <v>0</v>
      </c>
      <c r="H16194">
        <v>4</v>
      </c>
      <c r="I16194" s="3">
        <v>105.6</v>
      </c>
      <c r="J16194" s="3">
        <v>13</v>
      </c>
      <c r="K16194" t="s">
        <v>35433</v>
      </c>
      <c r="M16194" t="s">
        <v>35434</v>
      </c>
      <c r="N16194" t="s">
        <v>1353</v>
      </c>
      <c r="O16194" t="s">
        <v>31</v>
      </c>
      <c r="P16194" t="str">
        <f>"15085"</f>
        <v>15085</v>
      </c>
    </row>
    <row r="16195" spans="1:16" x14ac:dyDescent="0.25">
      <c r="A16195" t="str">
        <f>"1240024F00383    00"</f>
        <v>1240024F00383    00</v>
      </c>
      <c r="B16195" t="s">
        <v>35435</v>
      </c>
      <c r="C16195" t="s">
        <v>35436</v>
      </c>
      <c r="E16195" t="s">
        <v>39</v>
      </c>
      <c r="F16195">
        <v>0</v>
      </c>
      <c r="G16195">
        <v>0</v>
      </c>
      <c r="H16195">
        <v>2</v>
      </c>
      <c r="I16195" s="3">
        <v>2063.4699999999998</v>
      </c>
      <c r="J16195" s="3">
        <v>103.18</v>
      </c>
      <c r="K16195" t="s">
        <v>1135</v>
      </c>
      <c r="L16195">
        <v>3001</v>
      </c>
      <c r="M16195" t="s">
        <v>330</v>
      </c>
      <c r="N16195" t="s">
        <v>331</v>
      </c>
      <c r="O16195" t="s">
        <v>108</v>
      </c>
      <c r="P16195" t="str">
        <f>"75063"</f>
        <v>75063</v>
      </c>
    </row>
    <row r="16196" spans="1:16" x14ac:dyDescent="0.25">
      <c r="A16196" t="str">
        <f>"1240024F00388    00"</f>
        <v>1240024F00388    00</v>
      </c>
      <c r="B16196" t="s">
        <v>35437</v>
      </c>
      <c r="C16196" t="s">
        <v>35438</v>
      </c>
      <c r="D16196" t="s">
        <v>20</v>
      </c>
      <c r="E16196" t="s">
        <v>39</v>
      </c>
      <c r="F16196">
        <v>0</v>
      </c>
      <c r="G16196">
        <v>0</v>
      </c>
      <c r="H16196">
        <v>9</v>
      </c>
      <c r="I16196" s="3">
        <v>717.54</v>
      </c>
      <c r="J16196" s="3">
        <v>253.73</v>
      </c>
      <c r="L16196">
        <v>1117</v>
      </c>
      <c r="M16196" t="s">
        <v>33498</v>
      </c>
      <c r="N16196" t="s">
        <v>30</v>
      </c>
      <c r="O16196" t="s">
        <v>31</v>
      </c>
      <c r="P16196" t="str">
        <f t="shared" ref="P16196:P16201" si="212">"15212"</f>
        <v>15212</v>
      </c>
    </row>
    <row r="16197" spans="1:16" x14ac:dyDescent="0.25">
      <c r="A16197" t="str">
        <f>"1240024F00390    00"</f>
        <v>1240024F00390    00</v>
      </c>
      <c r="B16197" t="s">
        <v>35439</v>
      </c>
      <c r="C16197" t="s">
        <v>35440</v>
      </c>
      <c r="E16197" t="s">
        <v>39</v>
      </c>
      <c r="F16197">
        <v>0</v>
      </c>
      <c r="G16197">
        <v>0</v>
      </c>
      <c r="H16197">
        <v>1</v>
      </c>
      <c r="I16197" s="3">
        <v>228.19</v>
      </c>
      <c r="J16197" s="3">
        <v>0</v>
      </c>
      <c r="L16197">
        <v>1145</v>
      </c>
      <c r="M16197" t="s">
        <v>33466</v>
      </c>
      <c r="N16197" t="s">
        <v>30</v>
      </c>
      <c r="O16197" t="s">
        <v>31</v>
      </c>
      <c r="P16197" t="str">
        <f t="shared" si="212"/>
        <v>15212</v>
      </c>
    </row>
    <row r="16198" spans="1:16" x14ac:dyDescent="0.25">
      <c r="A16198" t="str">
        <f>"1240024F00391    00"</f>
        <v>1240024F00391    00</v>
      </c>
      <c r="B16198" t="s">
        <v>35437</v>
      </c>
      <c r="C16198" t="s">
        <v>35418</v>
      </c>
      <c r="D16198" t="s">
        <v>20</v>
      </c>
      <c r="E16198" t="s">
        <v>39</v>
      </c>
      <c r="F16198">
        <v>0</v>
      </c>
      <c r="G16198">
        <v>0</v>
      </c>
      <c r="H16198">
        <v>4</v>
      </c>
      <c r="I16198" s="3">
        <v>120.72</v>
      </c>
      <c r="J16198" s="3">
        <v>14.87</v>
      </c>
      <c r="L16198">
        <v>1117</v>
      </c>
      <c r="M16198" t="s">
        <v>33498</v>
      </c>
      <c r="N16198" t="s">
        <v>30</v>
      </c>
      <c r="O16198" t="s">
        <v>31</v>
      </c>
      <c r="P16198" t="str">
        <f t="shared" si="212"/>
        <v>15212</v>
      </c>
    </row>
    <row r="16199" spans="1:16" x14ac:dyDescent="0.25">
      <c r="A16199" t="str">
        <f>"1240024F00392    00"</f>
        <v>1240024F00392    00</v>
      </c>
      <c r="B16199" t="s">
        <v>35441</v>
      </c>
      <c r="C16199" t="s">
        <v>35418</v>
      </c>
      <c r="D16199" t="s">
        <v>20</v>
      </c>
      <c r="E16199" t="s">
        <v>39</v>
      </c>
      <c r="F16199">
        <v>0</v>
      </c>
      <c r="G16199">
        <v>0</v>
      </c>
      <c r="H16199">
        <v>2</v>
      </c>
      <c r="I16199" s="3">
        <v>57.2</v>
      </c>
      <c r="J16199" s="3">
        <v>0</v>
      </c>
      <c r="L16199">
        <v>1110</v>
      </c>
      <c r="M16199" t="s">
        <v>35442</v>
      </c>
      <c r="N16199" t="s">
        <v>30</v>
      </c>
      <c r="O16199" t="s">
        <v>31</v>
      </c>
      <c r="P16199" t="str">
        <f t="shared" si="212"/>
        <v>15212</v>
      </c>
    </row>
    <row r="16200" spans="1:16" x14ac:dyDescent="0.25">
      <c r="A16200" t="str">
        <f>"1240024F00393    00"</f>
        <v>1240024F00393    00</v>
      </c>
      <c r="B16200" t="s">
        <v>35326</v>
      </c>
      <c r="C16200" t="s">
        <v>35443</v>
      </c>
      <c r="D16200" t="s">
        <v>20</v>
      </c>
      <c r="E16200" t="s">
        <v>39</v>
      </c>
      <c r="F16200">
        <v>0</v>
      </c>
      <c r="G16200">
        <v>0</v>
      </c>
      <c r="H16200">
        <v>5</v>
      </c>
      <c r="I16200" s="3">
        <v>674.19</v>
      </c>
      <c r="J16200" s="3">
        <v>86.96</v>
      </c>
      <c r="L16200">
        <v>1110</v>
      </c>
      <c r="M16200" t="s">
        <v>35442</v>
      </c>
      <c r="N16200" t="s">
        <v>30</v>
      </c>
      <c r="O16200" t="s">
        <v>31</v>
      </c>
      <c r="P16200" t="str">
        <f t="shared" si="212"/>
        <v>15212</v>
      </c>
    </row>
    <row r="16201" spans="1:16" x14ac:dyDescent="0.25">
      <c r="A16201" t="str">
        <f>"1240024G00036    00"</f>
        <v>1240024G00036    00</v>
      </c>
      <c r="B16201" t="s">
        <v>35444</v>
      </c>
      <c r="C16201" t="s">
        <v>35445</v>
      </c>
      <c r="E16201" t="s">
        <v>39</v>
      </c>
      <c r="F16201">
        <v>0</v>
      </c>
      <c r="G16201">
        <v>0</v>
      </c>
      <c r="H16201">
        <v>2</v>
      </c>
      <c r="I16201" s="3">
        <v>88.41</v>
      </c>
      <c r="J16201" s="3">
        <v>103.87</v>
      </c>
      <c r="L16201">
        <v>1319</v>
      </c>
      <c r="M16201" t="s">
        <v>35318</v>
      </c>
      <c r="N16201" t="s">
        <v>30</v>
      </c>
      <c r="O16201" t="s">
        <v>31</v>
      </c>
      <c r="P16201" t="str">
        <f t="shared" si="212"/>
        <v>15212</v>
      </c>
    </row>
    <row r="16202" spans="1:16" x14ac:dyDescent="0.25">
      <c r="A16202" t="str">
        <f>"1240024G00048    00"</f>
        <v>1240024G00048    00</v>
      </c>
      <c r="B16202" t="s">
        <v>35446</v>
      </c>
      <c r="C16202" t="s">
        <v>35302</v>
      </c>
      <c r="D16202" t="s">
        <v>20</v>
      </c>
      <c r="E16202" t="s">
        <v>39</v>
      </c>
      <c r="F16202">
        <v>0</v>
      </c>
      <c r="G16202">
        <v>0</v>
      </c>
      <c r="H16202">
        <v>19</v>
      </c>
      <c r="I16202" s="3">
        <v>213.13</v>
      </c>
      <c r="J16202" s="3">
        <v>170.89</v>
      </c>
      <c r="K16202" t="s">
        <v>1037</v>
      </c>
      <c r="L16202">
        <v>303</v>
      </c>
      <c r="M16202" t="s">
        <v>35447</v>
      </c>
      <c r="N16202" t="s">
        <v>4150</v>
      </c>
      <c r="O16202" t="s">
        <v>31</v>
      </c>
      <c r="P16202" t="str">
        <f>"15116"</f>
        <v>15116</v>
      </c>
    </row>
    <row r="16203" spans="1:16" x14ac:dyDescent="0.25">
      <c r="A16203" t="str">
        <f>"1240024G00049    00"</f>
        <v>1240024G00049    00</v>
      </c>
      <c r="B16203" t="s">
        <v>35448</v>
      </c>
      <c r="C16203" t="s">
        <v>35302</v>
      </c>
      <c r="D16203" t="s">
        <v>20</v>
      </c>
      <c r="E16203" t="s">
        <v>39</v>
      </c>
      <c r="F16203">
        <v>0</v>
      </c>
      <c r="G16203">
        <v>0</v>
      </c>
      <c r="H16203">
        <v>19</v>
      </c>
      <c r="I16203" s="3">
        <v>5770.99</v>
      </c>
      <c r="J16203" s="3">
        <v>6126.6</v>
      </c>
      <c r="L16203">
        <v>1453</v>
      </c>
      <c r="M16203" t="s">
        <v>33466</v>
      </c>
      <c r="N16203" t="s">
        <v>30</v>
      </c>
      <c r="O16203" t="s">
        <v>31</v>
      </c>
      <c r="P16203" t="str">
        <f>"15212"</f>
        <v>15212</v>
      </c>
    </row>
    <row r="16204" spans="1:16" x14ac:dyDescent="0.25">
      <c r="A16204" t="str">
        <f>"1240024G00063    00"</f>
        <v>1240024G00063    00</v>
      </c>
      <c r="B16204" t="s">
        <v>35449</v>
      </c>
      <c r="C16204" t="s">
        <v>35450</v>
      </c>
      <c r="D16204" t="s">
        <v>20</v>
      </c>
      <c r="E16204" t="s">
        <v>39</v>
      </c>
      <c r="F16204">
        <v>0</v>
      </c>
      <c r="G16204">
        <v>0</v>
      </c>
      <c r="H16204">
        <v>3</v>
      </c>
      <c r="I16204" s="3">
        <v>256.38</v>
      </c>
      <c r="J16204" s="3">
        <v>17.100000000000001</v>
      </c>
      <c r="K16204" t="s">
        <v>445</v>
      </c>
      <c r="L16204">
        <v>1</v>
      </c>
      <c r="M16204" t="s">
        <v>1163</v>
      </c>
      <c r="N16204" t="s">
        <v>1164</v>
      </c>
      <c r="O16204" t="s">
        <v>108</v>
      </c>
      <c r="P16204" t="str">
        <f>"76262"</f>
        <v>76262</v>
      </c>
    </row>
    <row r="16205" spans="1:16" x14ac:dyDescent="0.25">
      <c r="A16205" t="str">
        <f>"1240024G00064    00"</f>
        <v>1240024G00064    00</v>
      </c>
      <c r="B16205" t="s">
        <v>35449</v>
      </c>
      <c r="C16205" t="s">
        <v>35302</v>
      </c>
      <c r="D16205" t="s">
        <v>20</v>
      </c>
      <c r="E16205" t="s">
        <v>21</v>
      </c>
      <c r="F16205">
        <v>0</v>
      </c>
      <c r="G16205">
        <v>0</v>
      </c>
      <c r="H16205">
        <v>2</v>
      </c>
      <c r="I16205" s="3">
        <v>68.62</v>
      </c>
      <c r="J16205" s="3">
        <v>0</v>
      </c>
      <c r="L16205">
        <v>1243</v>
      </c>
      <c r="M16205" t="s">
        <v>35318</v>
      </c>
      <c r="N16205" t="s">
        <v>30</v>
      </c>
      <c r="O16205" t="s">
        <v>31</v>
      </c>
      <c r="P16205" t="str">
        <f>"15212"</f>
        <v>15212</v>
      </c>
    </row>
    <row r="16206" spans="1:16" x14ac:dyDescent="0.25">
      <c r="A16206" t="str">
        <f>"1240024G00065    00"</f>
        <v>1240024G00065    00</v>
      </c>
      <c r="B16206" t="s">
        <v>35451</v>
      </c>
      <c r="C16206" t="s">
        <v>35302</v>
      </c>
      <c r="D16206" t="s">
        <v>20</v>
      </c>
      <c r="E16206" t="s">
        <v>39</v>
      </c>
      <c r="F16206">
        <v>0</v>
      </c>
      <c r="G16206">
        <v>0</v>
      </c>
      <c r="H16206">
        <v>19</v>
      </c>
      <c r="I16206" s="3">
        <v>666.45</v>
      </c>
      <c r="J16206" s="3">
        <v>599.83000000000004</v>
      </c>
      <c r="K16206" t="s">
        <v>35452</v>
      </c>
      <c r="L16206">
        <v>957</v>
      </c>
      <c r="M16206" t="s">
        <v>35453</v>
      </c>
      <c r="N16206" t="s">
        <v>30</v>
      </c>
      <c r="O16206" t="s">
        <v>31</v>
      </c>
      <c r="P16206" t="str">
        <f>"15212"</f>
        <v>15212</v>
      </c>
    </row>
    <row r="16207" spans="1:16" x14ac:dyDescent="0.25">
      <c r="A16207" t="str">
        <f>"1240024G00066    00"</f>
        <v>1240024G00066    00</v>
      </c>
      <c r="B16207" t="s">
        <v>35454</v>
      </c>
      <c r="C16207" t="s">
        <v>35302</v>
      </c>
      <c r="D16207" t="s">
        <v>20</v>
      </c>
      <c r="E16207" t="s">
        <v>39</v>
      </c>
      <c r="F16207">
        <v>0</v>
      </c>
      <c r="G16207">
        <v>0</v>
      </c>
      <c r="H16207">
        <v>19</v>
      </c>
      <c r="I16207" s="3">
        <v>666.45</v>
      </c>
      <c r="J16207" s="3">
        <v>599.83000000000004</v>
      </c>
      <c r="L16207">
        <v>1235</v>
      </c>
      <c r="M16207" t="s">
        <v>35318</v>
      </c>
      <c r="N16207" t="s">
        <v>30</v>
      </c>
      <c r="O16207" t="s">
        <v>31</v>
      </c>
      <c r="P16207" t="str">
        <f>"15212"</f>
        <v>15212</v>
      </c>
    </row>
    <row r="16208" spans="1:16" x14ac:dyDescent="0.25">
      <c r="A16208" t="str">
        <f>"1240024G00067    00"</f>
        <v>1240024G00067    00</v>
      </c>
      <c r="B16208" t="s">
        <v>35455</v>
      </c>
      <c r="C16208" t="s">
        <v>35302</v>
      </c>
      <c r="D16208" t="s">
        <v>20</v>
      </c>
      <c r="E16208" t="s">
        <v>39</v>
      </c>
      <c r="F16208">
        <v>0</v>
      </c>
      <c r="G16208">
        <v>0</v>
      </c>
      <c r="H16208">
        <v>19</v>
      </c>
      <c r="I16208" s="3">
        <v>1490.42</v>
      </c>
      <c r="J16208" s="3">
        <v>919.28</v>
      </c>
      <c r="P16208" t="str">
        <f>""</f>
        <v/>
      </c>
    </row>
    <row r="16209" spans="1:16" x14ac:dyDescent="0.25">
      <c r="A16209" t="str">
        <f>"1240024G00068    00"</f>
        <v>1240024G00068    00</v>
      </c>
      <c r="B16209" t="s">
        <v>35455</v>
      </c>
      <c r="C16209" t="s">
        <v>35302</v>
      </c>
      <c r="D16209" t="s">
        <v>20</v>
      </c>
      <c r="E16209" t="s">
        <v>39</v>
      </c>
      <c r="F16209">
        <v>0</v>
      </c>
      <c r="G16209">
        <v>0</v>
      </c>
      <c r="H16209">
        <v>19</v>
      </c>
      <c r="I16209" s="3">
        <v>804.05</v>
      </c>
      <c r="J16209" s="3">
        <v>537.46</v>
      </c>
      <c r="K16209" t="s">
        <v>35456</v>
      </c>
      <c r="L16209">
        <v>1231</v>
      </c>
      <c r="M16209" t="s">
        <v>35318</v>
      </c>
      <c r="N16209" t="s">
        <v>30</v>
      </c>
      <c r="O16209" t="s">
        <v>31</v>
      </c>
      <c r="P16209" t="str">
        <f>"15212"</f>
        <v>15212</v>
      </c>
    </row>
    <row r="16210" spans="1:16" x14ac:dyDescent="0.25">
      <c r="A16210" t="str">
        <f>"1240024G00069    00"</f>
        <v>1240024G00069    00</v>
      </c>
      <c r="B16210" t="s">
        <v>35457</v>
      </c>
      <c r="C16210" t="s">
        <v>35458</v>
      </c>
      <c r="D16210" t="s">
        <v>20</v>
      </c>
      <c r="E16210" t="s">
        <v>39</v>
      </c>
      <c r="F16210">
        <v>0</v>
      </c>
      <c r="G16210">
        <v>0</v>
      </c>
      <c r="H16210">
        <v>19</v>
      </c>
      <c r="I16210" s="3">
        <v>389.57</v>
      </c>
      <c r="J16210" s="3">
        <v>340.88</v>
      </c>
      <c r="K16210" t="s">
        <v>1037</v>
      </c>
      <c r="L16210">
        <v>1231</v>
      </c>
      <c r="M16210" t="s">
        <v>35459</v>
      </c>
      <c r="N16210" t="s">
        <v>30</v>
      </c>
      <c r="O16210" t="s">
        <v>31</v>
      </c>
      <c r="P16210" t="str">
        <f>"15212"</f>
        <v>15212</v>
      </c>
    </row>
    <row r="16211" spans="1:16" x14ac:dyDescent="0.25">
      <c r="A16211" t="str">
        <f>"1240024G00072    00"</f>
        <v>1240024G00072    00</v>
      </c>
      <c r="B16211" t="s">
        <v>35460</v>
      </c>
      <c r="C16211" t="s">
        <v>35461</v>
      </c>
      <c r="D16211" t="s">
        <v>20</v>
      </c>
      <c r="E16211" t="s">
        <v>39</v>
      </c>
      <c r="F16211">
        <v>0</v>
      </c>
      <c r="G16211">
        <v>0</v>
      </c>
      <c r="H16211">
        <v>19</v>
      </c>
      <c r="I16211" s="3">
        <v>232.89</v>
      </c>
      <c r="J16211" s="3">
        <v>200.76</v>
      </c>
      <c r="K16211" t="s">
        <v>1008</v>
      </c>
      <c r="P16211" t="str">
        <f>""</f>
        <v/>
      </c>
    </row>
    <row r="16212" spans="1:16" x14ac:dyDescent="0.25">
      <c r="A16212" t="str">
        <f>"1240024G00073    00"</f>
        <v>1240024G00073    00</v>
      </c>
      <c r="B16212" t="s">
        <v>7414</v>
      </c>
      <c r="C16212" t="s">
        <v>35302</v>
      </c>
      <c r="D16212" t="s">
        <v>20</v>
      </c>
      <c r="E16212" t="s">
        <v>39</v>
      </c>
      <c r="F16212">
        <v>0</v>
      </c>
      <c r="G16212">
        <v>0</v>
      </c>
      <c r="H16212">
        <v>19</v>
      </c>
      <c r="I16212" s="3">
        <v>792.91</v>
      </c>
      <c r="J16212" s="3">
        <v>864.27</v>
      </c>
      <c r="K16212" t="s">
        <v>7416</v>
      </c>
      <c r="L16212">
        <v>422</v>
      </c>
      <c r="M16212" t="s">
        <v>1352</v>
      </c>
      <c r="N16212" t="s">
        <v>1353</v>
      </c>
      <c r="O16212" t="s">
        <v>31</v>
      </c>
      <c r="P16212" t="str">
        <f>"15085"</f>
        <v>15085</v>
      </c>
    </row>
    <row r="16213" spans="1:16" x14ac:dyDescent="0.25">
      <c r="A16213" t="str">
        <f>"1240024G00076    00"</f>
        <v>1240024G00076    00</v>
      </c>
      <c r="B16213" t="s">
        <v>7414</v>
      </c>
      <c r="C16213" t="s">
        <v>35302</v>
      </c>
      <c r="D16213" t="s">
        <v>20</v>
      </c>
      <c r="E16213" t="s">
        <v>39</v>
      </c>
      <c r="F16213">
        <v>0</v>
      </c>
      <c r="G16213">
        <v>0</v>
      </c>
      <c r="H16213">
        <v>19</v>
      </c>
      <c r="I16213" s="3">
        <v>10182.459999999999</v>
      </c>
      <c r="J16213" s="3">
        <v>12606.41</v>
      </c>
      <c r="K16213" t="s">
        <v>7416</v>
      </c>
      <c r="L16213">
        <v>422</v>
      </c>
      <c r="M16213" t="s">
        <v>1352</v>
      </c>
      <c r="N16213" t="s">
        <v>1353</v>
      </c>
      <c r="O16213" t="s">
        <v>31</v>
      </c>
      <c r="P16213" t="str">
        <f>"15085"</f>
        <v>15085</v>
      </c>
    </row>
    <row r="16214" spans="1:16" x14ac:dyDescent="0.25">
      <c r="A16214" t="str">
        <f>"1240024G00100    00"</f>
        <v>1240024G00100    00</v>
      </c>
      <c r="B16214" t="s">
        <v>35462</v>
      </c>
      <c r="C16214" t="s">
        <v>35463</v>
      </c>
      <c r="D16214" t="s">
        <v>20</v>
      </c>
      <c r="E16214" t="s">
        <v>39</v>
      </c>
      <c r="F16214">
        <v>0</v>
      </c>
      <c r="G16214">
        <v>0</v>
      </c>
      <c r="H16214">
        <v>15</v>
      </c>
      <c r="I16214" s="3">
        <v>4731.13</v>
      </c>
      <c r="J16214" s="3">
        <v>3642.42</v>
      </c>
      <c r="L16214">
        <v>1126</v>
      </c>
      <c r="M16214" t="s">
        <v>35423</v>
      </c>
      <c r="N16214" t="s">
        <v>30</v>
      </c>
      <c r="O16214" t="s">
        <v>31</v>
      </c>
      <c r="P16214" t="str">
        <f>"15212"</f>
        <v>15212</v>
      </c>
    </row>
    <row r="16215" spans="1:16" x14ac:dyDescent="0.25">
      <c r="A16215" t="str">
        <f>"1240024G00101    00"</f>
        <v>1240024G00101    00</v>
      </c>
      <c r="B16215" t="s">
        <v>35464</v>
      </c>
      <c r="C16215" t="s">
        <v>35427</v>
      </c>
      <c r="D16215" t="s">
        <v>20</v>
      </c>
      <c r="E16215" t="s">
        <v>39</v>
      </c>
      <c r="F16215">
        <v>0</v>
      </c>
      <c r="G16215">
        <v>0</v>
      </c>
      <c r="H16215">
        <v>19</v>
      </c>
      <c r="I16215" s="3">
        <v>8499.5300000000007</v>
      </c>
      <c r="J16215" s="3">
        <v>10419.17</v>
      </c>
      <c r="L16215">
        <v>345</v>
      </c>
      <c r="M16215" t="s">
        <v>13243</v>
      </c>
      <c r="N16215" t="s">
        <v>30</v>
      </c>
      <c r="O16215" t="s">
        <v>31</v>
      </c>
      <c r="P16215" t="str">
        <f>"15235"</f>
        <v>15235</v>
      </c>
    </row>
    <row r="16216" spans="1:16" x14ac:dyDescent="0.25">
      <c r="A16216" t="str">
        <f>"1240024G00104    00"</f>
        <v>1240024G00104    00</v>
      </c>
      <c r="B16216" t="s">
        <v>31098</v>
      </c>
      <c r="C16216" t="s">
        <v>35465</v>
      </c>
      <c r="E16216" t="s">
        <v>39</v>
      </c>
      <c r="F16216">
        <v>0</v>
      </c>
      <c r="G16216">
        <v>0</v>
      </c>
      <c r="H16216">
        <v>1</v>
      </c>
      <c r="I16216" s="3">
        <v>311.38</v>
      </c>
      <c r="J16216" s="3">
        <v>0</v>
      </c>
      <c r="K16216" t="s">
        <v>33788</v>
      </c>
      <c r="L16216">
        <v>632</v>
      </c>
      <c r="M16216" t="s">
        <v>17928</v>
      </c>
      <c r="N16216" t="s">
        <v>30</v>
      </c>
      <c r="O16216" t="s">
        <v>31</v>
      </c>
      <c r="P16216" t="str">
        <f>"15207"</f>
        <v>15207</v>
      </c>
    </row>
    <row r="16217" spans="1:16" x14ac:dyDescent="0.25">
      <c r="A16217" t="str">
        <f>"1240024G00105    00"</f>
        <v>1240024G00105    00</v>
      </c>
      <c r="B16217" t="s">
        <v>35466</v>
      </c>
      <c r="C16217" t="s">
        <v>35427</v>
      </c>
      <c r="D16217" t="s">
        <v>20</v>
      </c>
      <c r="E16217" t="s">
        <v>39</v>
      </c>
      <c r="F16217">
        <v>0</v>
      </c>
      <c r="G16217">
        <v>0</v>
      </c>
      <c r="H16217">
        <v>10</v>
      </c>
      <c r="I16217" s="3">
        <v>220.73</v>
      </c>
      <c r="J16217" s="3">
        <v>97.19</v>
      </c>
      <c r="L16217">
        <v>2017</v>
      </c>
      <c r="M16217" t="s">
        <v>15627</v>
      </c>
      <c r="N16217" t="s">
        <v>30</v>
      </c>
      <c r="O16217" t="s">
        <v>31</v>
      </c>
      <c r="P16217" t="str">
        <f>"15235"</f>
        <v>15235</v>
      </c>
    </row>
    <row r="16218" spans="1:16" x14ac:dyDescent="0.25">
      <c r="A16218" t="str">
        <f>"1240024G00108    00"</f>
        <v>1240024G00108    00</v>
      </c>
      <c r="B16218" t="s">
        <v>35467</v>
      </c>
      <c r="C16218" t="s">
        <v>35468</v>
      </c>
      <c r="D16218" t="s">
        <v>20</v>
      </c>
      <c r="E16218" t="s">
        <v>39</v>
      </c>
      <c r="F16218">
        <v>0</v>
      </c>
      <c r="G16218">
        <v>0</v>
      </c>
      <c r="H16218">
        <v>1</v>
      </c>
      <c r="I16218" s="3">
        <v>287.81</v>
      </c>
      <c r="J16218" s="3">
        <v>0</v>
      </c>
      <c r="K16218" t="s">
        <v>35469</v>
      </c>
      <c r="L16218">
        <v>214</v>
      </c>
      <c r="M16218" t="s">
        <v>35470</v>
      </c>
      <c r="N16218" t="s">
        <v>546</v>
      </c>
      <c r="O16218" t="s">
        <v>31</v>
      </c>
      <c r="P16218" t="str">
        <f>"15044"</f>
        <v>15044</v>
      </c>
    </row>
    <row r="16219" spans="1:16" x14ac:dyDescent="0.25">
      <c r="A16219" t="str">
        <f>"1240024G00114    00"</f>
        <v>1240024G00114    00</v>
      </c>
      <c r="B16219" t="s">
        <v>35471</v>
      </c>
      <c r="C16219" t="s">
        <v>35472</v>
      </c>
      <c r="D16219" t="s">
        <v>20</v>
      </c>
      <c r="E16219" t="s">
        <v>39</v>
      </c>
      <c r="F16219">
        <v>0</v>
      </c>
      <c r="G16219">
        <v>0</v>
      </c>
      <c r="H16219">
        <v>3</v>
      </c>
      <c r="I16219" s="3">
        <v>1646.85</v>
      </c>
      <c r="J16219" s="3">
        <v>109.78</v>
      </c>
      <c r="K16219" t="s">
        <v>1632</v>
      </c>
      <c r="M16219" t="s">
        <v>1633</v>
      </c>
      <c r="N16219" t="s">
        <v>1634</v>
      </c>
      <c r="O16219" t="s">
        <v>25</v>
      </c>
      <c r="P16219" t="str">
        <f>"45401"</f>
        <v>45401</v>
      </c>
    </row>
    <row r="16220" spans="1:16" x14ac:dyDescent="0.25">
      <c r="A16220" t="str">
        <f>"1240024G00115    00"</f>
        <v>1240024G00115    00</v>
      </c>
      <c r="B16220" t="s">
        <v>35473</v>
      </c>
      <c r="C16220" t="s">
        <v>35474</v>
      </c>
      <c r="D16220" t="s">
        <v>20</v>
      </c>
      <c r="E16220" t="s">
        <v>39</v>
      </c>
      <c r="F16220">
        <v>0</v>
      </c>
      <c r="G16220">
        <v>0</v>
      </c>
      <c r="H16220">
        <v>5</v>
      </c>
      <c r="I16220" s="3">
        <v>607.52</v>
      </c>
      <c r="J16220" s="3">
        <v>81.61</v>
      </c>
      <c r="K16220" t="s">
        <v>35475</v>
      </c>
      <c r="L16220">
        <v>222</v>
      </c>
      <c r="M16220" t="s">
        <v>35476</v>
      </c>
      <c r="N16220" t="s">
        <v>10800</v>
      </c>
      <c r="O16220" t="s">
        <v>31</v>
      </c>
      <c r="P16220" t="str">
        <f>"15065"</f>
        <v>15065</v>
      </c>
    </row>
    <row r="16221" spans="1:16" x14ac:dyDescent="0.25">
      <c r="A16221" t="str">
        <f>"1240024G00120    00"</f>
        <v>1240024G00120    00</v>
      </c>
      <c r="B16221" t="s">
        <v>35477</v>
      </c>
      <c r="C16221" t="s">
        <v>35474</v>
      </c>
      <c r="D16221" t="s">
        <v>20</v>
      </c>
      <c r="E16221" t="s">
        <v>39</v>
      </c>
      <c r="F16221">
        <v>0</v>
      </c>
      <c r="G16221">
        <v>0</v>
      </c>
      <c r="H16221">
        <v>19</v>
      </c>
      <c r="I16221" s="3">
        <v>410.89</v>
      </c>
      <c r="J16221" s="3">
        <v>469.36</v>
      </c>
      <c r="L16221">
        <v>1332</v>
      </c>
      <c r="M16221" t="s">
        <v>33498</v>
      </c>
      <c r="N16221" t="s">
        <v>30</v>
      </c>
      <c r="O16221" t="s">
        <v>31</v>
      </c>
      <c r="P16221" t="str">
        <f>"15212"</f>
        <v>15212</v>
      </c>
    </row>
    <row r="16222" spans="1:16" x14ac:dyDescent="0.25">
      <c r="A16222" t="str">
        <f>"1240024G00121    00"</f>
        <v>1240024G00121    00</v>
      </c>
      <c r="B16222" t="s">
        <v>35478</v>
      </c>
      <c r="C16222" t="s">
        <v>35474</v>
      </c>
      <c r="D16222" t="s">
        <v>20</v>
      </c>
      <c r="E16222" t="s">
        <v>39</v>
      </c>
      <c r="F16222">
        <v>0</v>
      </c>
      <c r="G16222">
        <v>0</v>
      </c>
      <c r="H16222">
        <v>12</v>
      </c>
      <c r="I16222" s="3">
        <v>1892.54</v>
      </c>
      <c r="J16222" s="3">
        <v>995.48</v>
      </c>
      <c r="L16222">
        <v>745</v>
      </c>
      <c r="M16222" t="s">
        <v>35479</v>
      </c>
      <c r="N16222" t="s">
        <v>30</v>
      </c>
      <c r="O16222" t="s">
        <v>31</v>
      </c>
      <c r="P16222" t="str">
        <f>"15202"</f>
        <v>15202</v>
      </c>
    </row>
    <row r="16223" spans="1:16" x14ac:dyDescent="0.25">
      <c r="A16223" t="str">
        <f>"1240024G00122    00"</f>
        <v>1240024G00122    00</v>
      </c>
      <c r="B16223" t="s">
        <v>35480</v>
      </c>
      <c r="C16223" t="s">
        <v>35474</v>
      </c>
      <c r="D16223" t="s">
        <v>20</v>
      </c>
      <c r="E16223" t="s">
        <v>39</v>
      </c>
      <c r="F16223">
        <v>0</v>
      </c>
      <c r="G16223">
        <v>0</v>
      </c>
      <c r="H16223">
        <v>19</v>
      </c>
      <c r="I16223" s="3">
        <v>5045.2700000000004</v>
      </c>
      <c r="J16223" s="3">
        <v>5910.24</v>
      </c>
      <c r="L16223">
        <v>1833</v>
      </c>
      <c r="M16223" t="s">
        <v>35481</v>
      </c>
      <c r="N16223" t="s">
        <v>30</v>
      </c>
      <c r="O16223" t="s">
        <v>31</v>
      </c>
      <c r="P16223" t="str">
        <f>"15216"</f>
        <v>15216</v>
      </c>
    </row>
    <row r="16224" spans="1:16" x14ac:dyDescent="0.25">
      <c r="A16224" t="str">
        <f>"1240024G00129    00"</f>
        <v>1240024G00129    00</v>
      </c>
      <c r="B16224" t="s">
        <v>35482</v>
      </c>
      <c r="C16224" t="s">
        <v>35483</v>
      </c>
      <c r="D16224" t="s">
        <v>20</v>
      </c>
      <c r="E16224" t="s">
        <v>39</v>
      </c>
      <c r="F16224">
        <v>0</v>
      </c>
      <c r="G16224">
        <v>0</v>
      </c>
      <c r="H16224">
        <v>3</v>
      </c>
      <c r="I16224" s="3">
        <v>920.38</v>
      </c>
      <c r="J16224" s="3">
        <v>133.41999999999999</v>
      </c>
      <c r="L16224">
        <v>1404</v>
      </c>
      <c r="M16224" t="s">
        <v>35484</v>
      </c>
      <c r="N16224" t="s">
        <v>35485</v>
      </c>
      <c r="O16224" t="s">
        <v>606</v>
      </c>
      <c r="P16224" t="str">
        <f>"30045"</f>
        <v>30045</v>
      </c>
    </row>
    <row r="16225" spans="1:16" x14ac:dyDescent="0.25">
      <c r="A16225" t="str">
        <f>"1240024G00130    00"</f>
        <v>1240024G00130    00</v>
      </c>
      <c r="B16225" t="s">
        <v>35486</v>
      </c>
      <c r="C16225" t="s">
        <v>35474</v>
      </c>
      <c r="D16225" t="s">
        <v>20</v>
      </c>
      <c r="E16225" t="s">
        <v>39</v>
      </c>
      <c r="F16225">
        <v>0</v>
      </c>
      <c r="G16225">
        <v>0</v>
      </c>
      <c r="H16225">
        <v>19</v>
      </c>
      <c r="I16225" s="3">
        <v>2153.89</v>
      </c>
      <c r="J16225" s="3">
        <v>1373.31</v>
      </c>
      <c r="L16225">
        <v>1364</v>
      </c>
      <c r="M16225" t="s">
        <v>35315</v>
      </c>
      <c r="N16225" t="s">
        <v>30</v>
      </c>
      <c r="O16225" t="s">
        <v>31</v>
      </c>
      <c r="P16225" t="str">
        <f>"15212"</f>
        <v>15212</v>
      </c>
    </row>
    <row r="16226" spans="1:16" x14ac:dyDescent="0.25">
      <c r="A16226" t="str">
        <f>"1240024G00133    00"</f>
        <v>1240024G00133    00</v>
      </c>
      <c r="B16226" t="s">
        <v>35487</v>
      </c>
      <c r="C16226" t="s">
        <v>35488</v>
      </c>
      <c r="D16226" t="s">
        <v>20</v>
      </c>
      <c r="E16226" t="s">
        <v>39</v>
      </c>
      <c r="F16226">
        <v>0</v>
      </c>
      <c r="G16226">
        <v>0</v>
      </c>
      <c r="H16226">
        <v>3</v>
      </c>
      <c r="I16226" s="3">
        <v>559.74</v>
      </c>
      <c r="J16226" s="3">
        <v>4.38</v>
      </c>
      <c r="L16226">
        <v>37</v>
      </c>
      <c r="M16226" t="s">
        <v>35489</v>
      </c>
      <c r="N16226" t="s">
        <v>30</v>
      </c>
      <c r="O16226" t="s">
        <v>31</v>
      </c>
      <c r="P16226" t="str">
        <f>"15227"</f>
        <v>15227</v>
      </c>
    </row>
    <row r="16227" spans="1:16" x14ac:dyDescent="0.25">
      <c r="A16227" t="str">
        <f>"1240024G00134    00"</f>
        <v>1240024G00134    00</v>
      </c>
      <c r="B16227" t="s">
        <v>35490</v>
      </c>
      <c r="C16227" t="s">
        <v>35491</v>
      </c>
      <c r="D16227" t="s">
        <v>20</v>
      </c>
      <c r="E16227" t="s">
        <v>39</v>
      </c>
      <c r="F16227">
        <v>0</v>
      </c>
      <c r="G16227">
        <v>0</v>
      </c>
      <c r="H16227">
        <v>2</v>
      </c>
      <c r="I16227" s="3">
        <v>81.06</v>
      </c>
      <c r="J16227" s="3">
        <v>8.11</v>
      </c>
      <c r="L16227">
        <v>1337</v>
      </c>
      <c r="M16227" t="s">
        <v>24755</v>
      </c>
      <c r="N16227" t="s">
        <v>30</v>
      </c>
      <c r="O16227" t="s">
        <v>31</v>
      </c>
      <c r="P16227" t="str">
        <f>"15212"</f>
        <v>15212</v>
      </c>
    </row>
    <row r="16228" spans="1:16" x14ac:dyDescent="0.25">
      <c r="A16228" t="str">
        <f>"1240024G00144    00"</f>
        <v>1240024G00144    00</v>
      </c>
      <c r="B16228" t="s">
        <v>35492</v>
      </c>
      <c r="C16228" t="s">
        <v>35493</v>
      </c>
      <c r="D16228" t="s">
        <v>20</v>
      </c>
      <c r="E16228" t="s">
        <v>39</v>
      </c>
      <c r="F16228">
        <v>0</v>
      </c>
      <c r="G16228">
        <v>0</v>
      </c>
      <c r="H16228">
        <v>1</v>
      </c>
      <c r="I16228" s="3">
        <v>512.73</v>
      </c>
      <c r="J16228" s="3">
        <v>0</v>
      </c>
      <c r="L16228">
        <v>705</v>
      </c>
      <c r="M16228" t="s">
        <v>22363</v>
      </c>
      <c r="N16228" t="s">
        <v>546</v>
      </c>
      <c r="O16228" t="s">
        <v>31</v>
      </c>
      <c r="P16228" t="str">
        <f>"15044"</f>
        <v>15044</v>
      </c>
    </row>
    <row r="16229" spans="1:16" x14ac:dyDescent="0.25">
      <c r="A16229" t="str">
        <f>"1240024G00165    00"</f>
        <v>1240024G00165    00</v>
      </c>
      <c r="B16229" t="s">
        <v>35494</v>
      </c>
      <c r="C16229" t="s">
        <v>35495</v>
      </c>
      <c r="D16229" t="s">
        <v>20</v>
      </c>
      <c r="E16229" t="s">
        <v>39</v>
      </c>
      <c r="F16229">
        <v>0</v>
      </c>
      <c r="G16229">
        <v>0</v>
      </c>
      <c r="H16229">
        <v>3</v>
      </c>
      <c r="I16229" s="3">
        <v>1334.68</v>
      </c>
      <c r="J16229" s="3">
        <v>64.89</v>
      </c>
      <c r="L16229">
        <v>1844</v>
      </c>
      <c r="M16229" t="s">
        <v>35496</v>
      </c>
      <c r="N16229" t="s">
        <v>30</v>
      </c>
      <c r="O16229" t="s">
        <v>31</v>
      </c>
      <c r="P16229" t="str">
        <f>"15212"</f>
        <v>15212</v>
      </c>
    </row>
    <row r="16230" spans="1:16" x14ac:dyDescent="0.25">
      <c r="A16230" t="str">
        <f>"1240024G00169    00"</f>
        <v>1240024G00169    00</v>
      </c>
      <c r="B16230" t="s">
        <v>35497</v>
      </c>
      <c r="C16230" t="s">
        <v>35498</v>
      </c>
      <c r="E16230" t="s">
        <v>39</v>
      </c>
      <c r="F16230">
        <v>0</v>
      </c>
      <c r="G16230">
        <v>0</v>
      </c>
      <c r="H16230">
        <v>1</v>
      </c>
      <c r="I16230" s="3">
        <v>148</v>
      </c>
      <c r="J16230" s="3">
        <v>0</v>
      </c>
      <c r="K16230" t="s">
        <v>35499</v>
      </c>
      <c r="L16230">
        <v>1410</v>
      </c>
      <c r="M16230" t="s">
        <v>24014</v>
      </c>
      <c r="N16230" t="s">
        <v>30</v>
      </c>
      <c r="O16230" t="s">
        <v>31</v>
      </c>
      <c r="P16230" t="str">
        <f>"15212"</f>
        <v>15212</v>
      </c>
    </row>
    <row r="16231" spans="1:16" x14ac:dyDescent="0.25">
      <c r="A16231" t="str">
        <f>"1240024G00172    00"</f>
        <v>1240024G00172    00</v>
      </c>
      <c r="B16231" t="s">
        <v>35500</v>
      </c>
      <c r="C16231" t="s">
        <v>35501</v>
      </c>
      <c r="E16231" t="s">
        <v>39</v>
      </c>
      <c r="F16231">
        <v>0</v>
      </c>
      <c r="G16231">
        <v>0</v>
      </c>
      <c r="H16231">
        <v>1</v>
      </c>
      <c r="I16231" s="3">
        <v>302.19</v>
      </c>
      <c r="J16231" s="3">
        <v>0</v>
      </c>
      <c r="K16231" t="s">
        <v>391</v>
      </c>
      <c r="L16231">
        <v>1</v>
      </c>
      <c r="M16231" t="s">
        <v>392</v>
      </c>
      <c r="N16231" t="s">
        <v>393</v>
      </c>
      <c r="O16231" t="s">
        <v>394</v>
      </c>
      <c r="P16231" t="str">
        <f>"50328"</f>
        <v>50328</v>
      </c>
    </row>
    <row r="16232" spans="1:16" x14ac:dyDescent="0.25">
      <c r="A16232" t="str">
        <f>"1240024G00182    00"</f>
        <v>1240024G00182    00</v>
      </c>
      <c r="B16232" t="s">
        <v>35502</v>
      </c>
      <c r="C16232" t="s">
        <v>35503</v>
      </c>
      <c r="D16232" t="s">
        <v>20</v>
      </c>
      <c r="E16232" t="s">
        <v>39</v>
      </c>
      <c r="F16232">
        <v>0</v>
      </c>
      <c r="G16232">
        <v>0</v>
      </c>
      <c r="H16232">
        <v>3</v>
      </c>
      <c r="I16232" s="3">
        <v>98.3</v>
      </c>
      <c r="J16232" s="3">
        <v>0.28000000000000003</v>
      </c>
      <c r="K16232" t="s">
        <v>8122</v>
      </c>
      <c r="L16232">
        <v>999</v>
      </c>
      <c r="M16232" t="s">
        <v>8123</v>
      </c>
      <c r="N16232" t="s">
        <v>8124</v>
      </c>
      <c r="O16232" t="s">
        <v>658</v>
      </c>
      <c r="P16232" t="str">
        <f>"73118"</f>
        <v>73118</v>
      </c>
    </row>
    <row r="16233" spans="1:16" x14ac:dyDescent="0.25">
      <c r="A16233" t="str">
        <f>"1240024G00188    00"</f>
        <v>1240024G00188    00</v>
      </c>
      <c r="B16233" t="s">
        <v>9177</v>
      </c>
      <c r="C16233" t="s">
        <v>35504</v>
      </c>
      <c r="D16233" t="s">
        <v>20</v>
      </c>
      <c r="E16233" t="s">
        <v>39</v>
      </c>
      <c r="F16233">
        <v>0</v>
      </c>
      <c r="G16233">
        <v>0</v>
      </c>
      <c r="H16233">
        <v>7</v>
      </c>
      <c r="I16233" s="3">
        <v>10075.049999999999</v>
      </c>
      <c r="J16233" s="3">
        <v>2776.77</v>
      </c>
      <c r="L16233">
        <v>2445</v>
      </c>
      <c r="M16233" t="s">
        <v>8561</v>
      </c>
      <c r="N16233" t="s">
        <v>546</v>
      </c>
      <c r="O16233" t="s">
        <v>31</v>
      </c>
      <c r="P16233" t="str">
        <f>"15044"</f>
        <v>15044</v>
      </c>
    </row>
    <row r="16234" spans="1:16" x14ac:dyDescent="0.25">
      <c r="A16234" t="str">
        <f>"1240024G00201    00"</f>
        <v>1240024G00201    00</v>
      </c>
      <c r="B16234" t="s">
        <v>35505</v>
      </c>
      <c r="C16234" t="s">
        <v>35506</v>
      </c>
      <c r="D16234" t="s">
        <v>20</v>
      </c>
      <c r="E16234" t="s">
        <v>39</v>
      </c>
      <c r="F16234">
        <v>0</v>
      </c>
      <c r="G16234">
        <v>0</v>
      </c>
      <c r="H16234">
        <v>2</v>
      </c>
      <c r="I16234" s="3">
        <v>728.1</v>
      </c>
      <c r="J16234" s="3">
        <v>0</v>
      </c>
      <c r="K16234" t="s">
        <v>8393</v>
      </c>
      <c r="M16234" t="s">
        <v>8394</v>
      </c>
      <c r="N16234" t="s">
        <v>8395</v>
      </c>
      <c r="O16234" t="s">
        <v>1616</v>
      </c>
      <c r="P16234" t="str">
        <f>"57709"</f>
        <v>57709</v>
      </c>
    </row>
    <row r="16235" spans="1:16" x14ac:dyDescent="0.25">
      <c r="A16235" t="str">
        <f>"1240024G00230    00"</f>
        <v>1240024G00230    00</v>
      </c>
      <c r="B16235" t="s">
        <v>35507</v>
      </c>
      <c r="C16235" t="s">
        <v>35508</v>
      </c>
      <c r="D16235" t="s">
        <v>20</v>
      </c>
      <c r="E16235" t="s">
        <v>39</v>
      </c>
      <c r="F16235">
        <v>0</v>
      </c>
      <c r="G16235">
        <v>0</v>
      </c>
      <c r="H16235">
        <v>1</v>
      </c>
      <c r="I16235" s="3">
        <v>1894.95</v>
      </c>
      <c r="J16235" s="3">
        <v>0</v>
      </c>
      <c r="K16235" t="s">
        <v>35509</v>
      </c>
      <c r="M16235" t="s">
        <v>35510</v>
      </c>
      <c r="N16235" t="s">
        <v>2008</v>
      </c>
      <c r="O16235" t="s">
        <v>31</v>
      </c>
      <c r="P16235" t="str">
        <f>"16066"</f>
        <v>16066</v>
      </c>
    </row>
    <row r="16236" spans="1:16" x14ac:dyDescent="0.25">
      <c r="A16236" t="str">
        <f>"1240024G00244    00"</f>
        <v>1240024G00244    00</v>
      </c>
      <c r="B16236" t="s">
        <v>35511</v>
      </c>
      <c r="C16236" t="s">
        <v>35512</v>
      </c>
      <c r="D16236" t="s">
        <v>20</v>
      </c>
      <c r="E16236" t="s">
        <v>39</v>
      </c>
      <c r="F16236">
        <v>0</v>
      </c>
      <c r="G16236">
        <v>0</v>
      </c>
      <c r="H16236">
        <v>3</v>
      </c>
      <c r="I16236" s="3">
        <v>1475.25</v>
      </c>
      <c r="J16236" s="3">
        <v>98.35</v>
      </c>
      <c r="L16236">
        <v>119</v>
      </c>
      <c r="M16236" t="s">
        <v>35211</v>
      </c>
      <c r="N16236" t="s">
        <v>30</v>
      </c>
      <c r="O16236" t="s">
        <v>31</v>
      </c>
      <c r="P16236" t="str">
        <f>"15212"</f>
        <v>15212</v>
      </c>
    </row>
    <row r="16237" spans="1:16" x14ac:dyDescent="0.25">
      <c r="A16237" t="str">
        <f>"1240024G00246    00"</f>
        <v>1240024G00246    00</v>
      </c>
      <c r="B16237" t="s">
        <v>35513</v>
      </c>
      <c r="C16237" t="s">
        <v>35514</v>
      </c>
      <c r="D16237" t="s">
        <v>20</v>
      </c>
      <c r="E16237" t="s">
        <v>39</v>
      </c>
      <c r="F16237">
        <v>0</v>
      </c>
      <c r="G16237">
        <v>0</v>
      </c>
      <c r="H16237">
        <v>7</v>
      </c>
      <c r="I16237" s="3">
        <v>8299.82</v>
      </c>
      <c r="J16237" s="3">
        <v>2295.15</v>
      </c>
      <c r="L16237">
        <v>439</v>
      </c>
      <c r="M16237" t="s">
        <v>35515</v>
      </c>
      <c r="N16237" t="s">
        <v>30</v>
      </c>
      <c r="O16237" t="s">
        <v>31</v>
      </c>
      <c r="P16237" t="str">
        <f>"15236"</f>
        <v>15236</v>
      </c>
    </row>
    <row r="16238" spans="1:16" x14ac:dyDescent="0.25">
      <c r="A16238" t="str">
        <f>"1240024G00247    00"</f>
        <v>1240024G00247    00</v>
      </c>
      <c r="B16238" t="s">
        <v>35516</v>
      </c>
      <c r="C16238" t="s">
        <v>35517</v>
      </c>
      <c r="E16238" t="s">
        <v>39</v>
      </c>
      <c r="F16238">
        <v>0</v>
      </c>
      <c r="G16238">
        <v>0</v>
      </c>
      <c r="H16238">
        <v>2</v>
      </c>
      <c r="I16238" s="3">
        <v>9244.1200000000008</v>
      </c>
      <c r="J16238" s="3">
        <v>77.03</v>
      </c>
      <c r="K16238" t="s">
        <v>27727</v>
      </c>
      <c r="L16238">
        <v>4120</v>
      </c>
      <c r="M16238" t="s">
        <v>27728</v>
      </c>
      <c r="N16238" t="s">
        <v>5232</v>
      </c>
      <c r="O16238" t="s">
        <v>3486</v>
      </c>
      <c r="P16238" t="str">
        <f>"60639"</f>
        <v>60639</v>
      </c>
    </row>
    <row r="16239" spans="1:16" x14ac:dyDescent="0.25">
      <c r="A16239" t="str">
        <f>"1240024G00249    00"</f>
        <v>1240024G00249    00</v>
      </c>
      <c r="B16239" t="s">
        <v>35513</v>
      </c>
      <c r="C16239" t="s">
        <v>35518</v>
      </c>
      <c r="D16239" t="s">
        <v>20</v>
      </c>
      <c r="E16239" t="s">
        <v>39</v>
      </c>
      <c r="F16239">
        <v>0</v>
      </c>
      <c r="G16239">
        <v>0</v>
      </c>
      <c r="H16239">
        <v>7</v>
      </c>
      <c r="I16239" s="3">
        <v>1566</v>
      </c>
      <c r="J16239" s="3">
        <v>433.04</v>
      </c>
      <c r="K16239" t="s">
        <v>35519</v>
      </c>
      <c r="L16239">
        <v>439</v>
      </c>
      <c r="M16239" t="s">
        <v>35515</v>
      </c>
      <c r="N16239" t="s">
        <v>30</v>
      </c>
      <c r="O16239" t="s">
        <v>31</v>
      </c>
      <c r="P16239" t="str">
        <f>"15236"</f>
        <v>15236</v>
      </c>
    </row>
    <row r="16240" spans="1:16" x14ac:dyDescent="0.25">
      <c r="A16240" t="str">
        <f>"1240024G00250    00"</f>
        <v>1240024G00250    00</v>
      </c>
      <c r="B16240" t="s">
        <v>35520</v>
      </c>
      <c r="C16240" t="s">
        <v>35521</v>
      </c>
      <c r="E16240" t="s">
        <v>39</v>
      </c>
      <c r="F16240">
        <v>0</v>
      </c>
      <c r="G16240">
        <v>0</v>
      </c>
      <c r="H16240">
        <v>1</v>
      </c>
      <c r="I16240" s="3">
        <v>61.77</v>
      </c>
      <c r="J16240" s="3">
        <v>61.25</v>
      </c>
      <c r="K16240" t="s">
        <v>35522</v>
      </c>
      <c r="L16240">
        <v>1330</v>
      </c>
      <c r="M16240" t="s">
        <v>33498</v>
      </c>
      <c r="N16240" t="s">
        <v>30</v>
      </c>
      <c r="O16240" t="s">
        <v>31</v>
      </c>
      <c r="P16240" t="str">
        <f>"15212"</f>
        <v>15212</v>
      </c>
    </row>
    <row r="16241" spans="1:16" x14ac:dyDescent="0.25">
      <c r="A16241" t="str">
        <f>"1240024G00322    00"</f>
        <v>1240024G00322    00</v>
      </c>
      <c r="B16241" t="s">
        <v>35523</v>
      </c>
      <c r="C16241" t="s">
        <v>35524</v>
      </c>
      <c r="D16241" t="s">
        <v>20</v>
      </c>
      <c r="E16241" t="s">
        <v>39</v>
      </c>
      <c r="F16241">
        <v>0</v>
      </c>
      <c r="G16241">
        <v>0</v>
      </c>
      <c r="H16241">
        <v>17</v>
      </c>
      <c r="I16241" s="3">
        <v>2685.34</v>
      </c>
      <c r="J16241" s="3">
        <v>2240.09</v>
      </c>
      <c r="L16241">
        <v>1709</v>
      </c>
      <c r="M16241" t="s">
        <v>35525</v>
      </c>
      <c r="N16241" t="s">
        <v>30</v>
      </c>
      <c r="O16241" t="s">
        <v>31</v>
      </c>
      <c r="P16241" t="str">
        <f>"15212"</f>
        <v>15212</v>
      </c>
    </row>
    <row r="16242" spans="1:16" x14ac:dyDescent="0.25">
      <c r="A16242" t="str">
        <f>"1240024H00014    00"</f>
        <v>1240024H00014    00</v>
      </c>
      <c r="B16242" t="s">
        <v>19313</v>
      </c>
      <c r="C16242" t="s">
        <v>35526</v>
      </c>
      <c r="D16242" t="s">
        <v>20</v>
      </c>
      <c r="E16242" t="s">
        <v>39</v>
      </c>
      <c r="F16242">
        <v>0</v>
      </c>
      <c r="G16242">
        <v>0</v>
      </c>
      <c r="H16242">
        <v>5</v>
      </c>
      <c r="I16242" s="3">
        <v>7158.81</v>
      </c>
      <c r="J16242" s="3">
        <v>1267.75</v>
      </c>
      <c r="M16242" t="s">
        <v>19315</v>
      </c>
      <c r="N16242" t="s">
        <v>30</v>
      </c>
      <c r="O16242" t="s">
        <v>31</v>
      </c>
      <c r="P16242" t="str">
        <f>"15217"</f>
        <v>15217</v>
      </c>
    </row>
    <row r="16243" spans="1:16" x14ac:dyDescent="0.25">
      <c r="A16243" t="str">
        <f>"1240024H00017    00"</f>
        <v>1240024H00017    00</v>
      </c>
      <c r="B16243" t="s">
        <v>35527</v>
      </c>
      <c r="C16243" t="s">
        <v>35528</v>
      </c>
      <c r="E16243" t="s">
        <v>39</v>
      </c>
      <c r="F16243">
        <v>0</v>
      </c>
      <c r="G16243">
        <v>0</v>
      </c>
      <c r="H16243">
        <v>1</v>
      </c>
      <c r="I16243" s="3">
        <v>308.79000000000002</v>
      </c>
      <c r="J16243" s="3">
        <v>0</v>
      </c>
      <c r="K16243" t="s">
        <v>35529</v>
      </c>
      <c r="L16243">
        <v>1337</v>
      </c>
      <c r="M16243" t="s">
        <v>35530</v>
      </c>
      <c r="N16243" t="s">
        <v>30</v>
      </c>
      <c r="O16243" t="s">
        <v>31</v>
      </c>
      <c r="P16243" t="str">
        <f>"15212"</f>
        <v>15212</v>
      </c>
    </row>
    <row r="16244" spans="1:16" x14ac:dyDescent="0.25">
      <c r="A16244" t="str">
        <f>"1240024H00021    00"</f>
        <v>1240024H00021    00</v>
      </c>
      <c r="B16244" t="s">
        <v>35531</v>
      </c>
      <c r="C16244" t="s">
        <v>35508</v>
      </c>
      <c r="E16244" t="s">
        <v>39</v>
      </c>
      <c r="F16244">
        <v>0</v>
      </c>
      <c r="G16244">
        <v>0</v>
      </c>
      <c r="H16244">
        <v>9</v>
      </c>
      <c r="I16244" s="3">
        <v>113.7</v>
      </c>
      <c r="J16244" s="3">
        <v>30.33</v>
      </c>
      <c r="L16244">
        <v>810</v>
      </c>
      <c r="M16244" t="s">
        <v>35532</v>
      </c>
      <c r="N16244" t="s">
        <v>30</v>
      </c>
      <c r="O16244" t="s">
        <v>31</v>
      </c>
      <c r="P16244" t="str">
        <f>"15227"</f>
        <v>15227</v>
      </c>
    </row>
    <row r="16245" spans="1:16" x14ac:dyDescent="0.25">
      <c r="A16245" t="str">
        <f>"1240024H00034    00"</f>
        <v>1240024H00034    00</v>
      </c>
      <c r="B16245" t="s">
        <v>35533</v>
      </c>
      <c r="C16245" t="s">
        <v>35534</v>
      </c>
      <c r="D16245" t="s">
        <v>20</v>
      </c>
      <c r="E16245" t="s">
        <v>21</v>
      </c>
      <c r="F16245">
        <v>0</v>
      </c>
      <c r="G16245">
        <v>0</v>
      </c>
      <c r="H16245">
        <v>2</v>
      </c>
      <c r="I16245" s="3">
        <v>4990.0200000000004</v>
      </c>
      <c r="J16245" s="3">
        <v>0</v>
      </c>
      <c r="K16245" t="s">
        <v>33972</v>
      </c>
      <c r="M16245" t="s">
        <v>35535</v>
      </c>
      <c r="N16245" t="s">
        <v>30</v>
      </c>
      <c r="O16245" t="s">
        <v>31</v>
      </c>
      <c r="P16245" t="str">
        <f>"15233"</f>
        <v>15233</v>
      </c>
    </row>
    <row r="16246" spans="1:16" x14ac:dyDescent="0.25">
      <c r="A16246" t="str">
        <f>"1240024H00040    00"</f>
        <v>1240024H00040    00</v>
      </c>
      <c r="B16246" t="s">
        <v>35536</v>
      </c>
      <c r="C16246" t="s">
        <v>35524</v>
      </c>
      <c r="E16246" t="s">
        <v>39</v>
      </c>
      <c r="F16246">
        <v>0</v>
      </c>
      <c r="G16246">
        <v>0</v>
      </c>
      <c r="H16246">
        <v>1</v>
      </c>
      <c r="I16246" s="3">
        <v>19.57</v>
      </c>
      <c r="J16246" s="3">
        <v>26.58</v>
      </c>
      <c r="L16246">
        <v>6</v>
      </c>
      <c r="M16246" t="s">
        <v>35537</v>
      </c>
      <c r="N16246" t="s">
        <v>30</v>
      </c>
      <c r="O16246" t="s">
        <v>31</v>
      </c>
      <c r="P16246" t="str">
        <f>"15238"</f>
        <v>15238</v>
      </c>
    </row>
    <row r="16247" spans="1:16" x14ac:dyDescent="0.25">
      <c r="A16247" t="str">
        <f>"1240024H00104    00"</f>
        <v>1240024H00104    00</v>
      </c>
      <c r="B16247" t="s">
        <v>35536</v>
      </c>
      <c r="C16247" t="s">
        <v>35538</v>
      </c>
      <c r="E16247" t="s">
        <v>21</v>
      </c>
      <c r="F16247">
        <v>0</v>
      </c>
      <c r="G16247">
        <v>0</v>
      </c>
      <c r="H16247">
        <v>1</v>
      </c>
      <c r="I16247" s="3">
        <v>86.48</v>
      </c>
      <c r="J16247" s="3">
        <v>117.47</v>
      </c>
      <c r="L16247">
        <v>6</v>
      </c>
      <c r="M16247" t="s">
        <v>35537</v>
      </c>
      <c r="N16247" t="s">
        <v>30</v>
      </c>
      <c r="O16247" t="s">
        <v>31</v>
      </c>
      <c r="P16247" t="str">
        <f>"15238"</f>
        <v>15238</v>
      </c>
    </row>
    <row r="16248" spans="1:16" x14ac:dyDescent="0.25">
      <c r="A16248" t="str">
        <f>"1240024H00106    00"</f>
        <v>1240024H00106    00</v>
      </c>
      <c r="B16248" t="s">
        <v>35539</v>
      </c>
      <c r="C16248" t="s">
        <v>35538</v>
      </c>
      <c r="E16248" t="s">
        <v>21</v>
      </c>
      <c r="F16248">
        <v>0</v>
      </c>
      <c r="G16248">
        <v>0</v>
      </c>
      <c r="H16248">
        <v>1</v>
      </c>
      <c r="I16248" s="3">
        <v>84.84</v>
      </c>
      <c r="J16248" s="3">
        <v>115.23</v>
      </c>
      <c r="L16248">
        <v>6</v>
      </c>
      <c r="M16248" t="s">
        <v>35537</v>
      </c>
      <c r="N16248" t="s">
        <v>30</v>
      </c>
      <c r="O16248" t="s">
        <v>31</v>
      </c>
      <c r="P16248" t="str">
        <f>"15238"</f>
        <v>15238</v>
      </c>
    </row>
    <row r="16249" spans="1:16" x14ac:dyDescent="0.25">
      <c r="A16249" t="str">
        <f>"1240024H00108    00"</f>
        <v>1240024H00108    00</v>
      </c>
      <c r="B16249" t="s">
        <v>35539</v>
      </c>
      <c r="C16249" t="s">
        <v>35540</v>
      </c>
      <c r="E16249" t="s">
        <v>21</v>
      </c>
      <c r="F16249">
        <v>0</v>
      </c>
      <c r="G16249">
        <v>0</v>
      </c>
      <c r="H16249">
        <v>1</v>
      </c>
      <c r="I16249" s="3">
        <v>1623.37</v>
      </c>
      <c r="J16249" s="3">
        <v>2204.9899999999998</v>
      </c>
      <c r="L16249">
        <v>6</v>
      </c>
      <c r="M16249" t="s">
        <v>35537</v>
      </c>
      <c r="N16249" t="s">
        <v>30</v>
      </c>
      <c r="O16249" t="s">
        <v>31</v>
      </c>
      <c r="P16249" t="str">
        <f>"15238"</f>
        <v>15238</v>
      </c>
    </row>
    <row r="16250" spans="1:16" x14ac:dyDescent="0.25">
      <c r="A16250" t="str">
        <f>"1240024H00114    00"</f>
        <v>1240024H00114    00</v>
      </c>
      <c r="B16250" t="s">
        <v>35539</v>
      </c>
      <c r="C16250" t="s">
        <v>35538</v>
      </c>
      <c r="E16250" t="s">
        <v>21</v>
      </c>
      <c r="F16250">
        <v>0</v>
      </c>
      <c r="G16250">
        <v>0</v>
      </c>
      <c r="H16250">
        <v>1</v>
      </c>
      <c r="I16250" s="3">
        <v>119.1</v>
      </c>
      <c r="J16250" s="3">
        <v>161.77000000000001</v>
      </c>
      <c r="L16250">
        <v>6</v>
      </c>
      <c r="M16250" t="s">
        <v>35537</v>
      </c>
      <c r="N16250" t="s">
        <v>30</v>
      </c>
      <c r="O16250" t="s">
        <v>31</v>
      </c>
      <c r="P16250" t="str">
        <f>"15238"</f>
        <v>15238</v>
      </c>
    </row>
    <row r="16251" spans="1:16" x14ac:dyDescent="0.25">
      <c r="A16251" t="str">
        <f>"1240025A00060    00"</f>
        <v>1240025A00060    00</v>
      </c>
      <c r="B16251" t="s">
        <v>35541</v>
      </c>
      <c r="C16251" t="s">
        <v>35542</v>
      </c>
      <c r="D16251" t="s">
        <v>20</v>
      </c>
      <c r="E16251" t="s">
        <v>39</v>
      </c>
      <c r="F16251">
        <v>0</v>
      </c>
      <c r="G16251">
        <v>0</v>
      </c>
      <c r="H16251">
        <v>1</v>
      </c>
      <c r="I16251" s="3">
        <v>3466.16</v>
      </c>
      <c r="J16251" s="3">
        <v>0</v>
      </c>
      <c r="K16251" t="s">
        <v>35543</v>
      </c>
      <c r="L16251">
        <v>6</v>
      </c>
      <c r="M16251" t="s">
        <v>35544</v>
      </c>
      <c r="N16251" t="s">
        <v>30</v>
      </c>
      <c r="O16251" t="s">
        <v>31</v>
      </c>
      <c r="P16251" t="str">
        <f>"15222"</f>
        <v>15222</v>
      </c>
    </row>
    <row r="16252" spans="1:16" x14ac:dyDescent="0.25">
      <c r="A16252" t="str">
        <f>"1240025A00082    00"</f>
        <v>1240025A00082    00</v>
      </c>
      <c r="B16252" t="s">
        <v>35545</v>
      </c>
      <c r="C16252" t="s">
        <v>35546</v>
      </c>
      <c r="E16252" t="s">
        <v>39</v>
      </c>
      <c r="F16252">
        <v>0</v>
      </c>
      <c r="G16252">
        <v>0</v>
      </c>
      <c r="H16252">
        <v>2</v>
      </c>
      <c r="I16252" s="3">
        <v>74.599999999999994</v>
      </c>
      <c r="J16252" s="3">
        <v>0.69</v>
      </c>
      <c r="K16252" t="s">
        <v>35547</v>
      </c>
      <c r="L16252">
        <v>57</v>
      </c>
      <c r="M16252" t="s">
        <v>35548</v>
      </c>
      <c r="N16252" t="s">
        <v>30</v>
      </c>
      <c r="O16252" t="s">
        <v>31</v>
      </c>
      <c r="P16252" t="str">
        <f>"15222"</f>
        <v>15222</v>
      </c>
    </row>
    <row r="16253" spans="1:16" x14ac:dyDescent="0.25">
      <c r="A16253" t="str">
        <f>"1240025A00083    00"</f>
        <v>1240025A00083    00</v>
      </c>
      <c r="B16253" t="s">
        <v>35549</v>
      </c>
      <c r="C16253" t="s">
        <v>35550</v>
      </c>
      <c r="E16253" t="s">
        <v>39</v>
      </c>
      <c r="F16253">
        <v>0</v>
      </c>
      <c r="G16253">
        <v>0</v>
      </c>
      <c r="H16253">
        <v>2</v>
      </c>
      <c r="I16253" s="3">
        <v>50.98</v>
      </c>
      <c r="J16253" s="3">
        <v>0.64</v>
      </c>
      <c r="K16253" t="s">
        <v>35551</v>
      </c>
      <c r="L16253">
        <v>58</v>
      </c>
      <c r="M16253" t="s">
        <v>35548</v>
      </c>
      <c r="N16253" t="s">
        <v>30</v>
      </c>
      <c r="O16253" t="s">
        <v>31</v>
      </c>
      <c r="P16253" t="str">
        <f>"15222"</f>
        <v>15222</v>
      </c>
    </row>
    <row r="16254" spans="1:16" x14ac:dyDescent="0.25">
      <c r="A16254" t="str">
        <f>"1240025A00084    00"</f>
        <v>1240025A00084    00</v>
      </c>
      <c r="B16254" t="s">
        <v>35552</v>
      </c>
      <c r="C16254" t="s">
        <v>35553</v>
      </c>
      <c r="E16254" t="s">
        <v>39</v>
      </c>
      <c r="F16254">
        <v>0</v>
      </c>
      <c r="G16254">
        <v>0</v>
      </c>
      <c r="H16254">
        <v>2</v>
      </c>
      <c r="I16254" s="3">
        <v>817.48</v>
      </c>
      <c r="J16254" s="3">
        <v>59.56</v>
      </c>
      <c r="K16254" t="s">
        <v>4971</v>
      </c>
      <c r="L16254">
        <v>3350</v>
      </c>
      <c r="M16254" t="s">
        <v>4972</v>
      </c>
      <c r="N16254" t="s">
        <v>605</v>
      </c>
      <c r="O16254" t="s">
        <v>606</v>
      </c>
      <c r="P16254" t="str">
        <f>"30326"</f>
        <v>30326</v>
      </c>
    </row>
    <row r="16255" spans="1:16" x14ac:dyDescent="0.25">
      <c r="A16255" t="str">
        <f>"1240025A00090    00"</f>
        <v>1240025A00090    00</v>
      </c>
      <c r="B16255" t="s">
        <v>35554</v>
      </c>
      <c r="C16255" t="s">
        <v>35555</v>
      </c>
      <c r="E16255" t="s">
        <v>39</v>
      </c>
      <c r="F16255">
        <v>0</v>
      </c>
      <c r="G16255">
        <v>0</v>
      </c>
      <c r="H16255">
        <v>1</v>
      </c>
      <c r="I16255" s="3">
        <v>2356.14</v>
      </c>
      <c r="J16255" s="3">
        <v>431.94</v>
      </c>
      <c r="M16255" t="s">
        <v>35556</v>
      </c>
      <c r="N16255" t="s">
        <v>21766</v>
      </c>
      <c r="O16255" t="s">
        <v>31</v>
      </c>
      <c r="P16255" t="str">
        <f>"15801"</f>
        <v>15801</v>
      </c>
    </row>
    <row r="16256" spans="1:16" x14ac:dyDescent="0.25">
      <c r="A16256" t="str">
        <f>"1240025A00113    00"</f>
        <v>1240025A00113    00</v>
      </c>
      <c r="B16256" t="s">
        <v>35557</v>
      </c>
      <c r="C16256" t="s">
        <v>35558</v>
      </c>
      <c r="E16256" t="s">
        <v>39</v>
      </c>
      <c r="F16256">
        <v>0</v>
      </c>
      <c r="G16256">
        <v>0</v>
      </c>
      <c r="H16256">
        <v>1</v>
      </c>
      <c r="I16256" s="3">
        <v>77.17</v>
      </c>
      <c r="J16256" s="3">
        <v>24.45</v>
      </c>
      <c r="K16256" t="s">
        <v>35559</v>
      </c>
      <c r="L16256">
        <v>294</v>
      </c>
      <c r="M16256" t="s">
        <v>35560</v>
      </c>
      <c r="N16256" t="s">
        <v>35561</v>
      </c>
      <c r="O16256" t="s">
        <v>31</v>
      </c>
      <c r="P16256" t="str">
        <f>"16743"</f>
        <v>16743</v>
      </c>
    </row>
    <row r="16257" spans="1:16" x14ac:dyDescent="0.25">
      <c r="A16257" t="str">
        <f>"1240025A00119    00"</f>
        <v>1240025A00119    00</v>
      </c>
      <c r="B16257" t="s">
        <v>35562</v>
      </c>
      <c r="C16257" t="s">
        <v>35563</v>
      </c>
      <c r="E16257" t="s">
        <v>39</v>
      </c>
      <c r="F16257">
        <v>0</v>
      </c>
      <c r="G16257">
        <v>0</v>
      </c>
      <c r="H16257">
        <v>2</v>
      </c>
      <c r="I16257" s="3">
        <v>2192.5100000000002</v>
      </c>
      <c r="J16257" s="3">
        <v>274.05</v>
      </c>
      <c r="K16257" t="s">
        <v>8849</v>
      </c>
      <c r="M16257" t="s">
        <v>35564</v>
      </c>
      <c r="N16257" t="s">
        <v>8912</v>
      </c>
      <c r="O16257" t="s">
        <v>495</v>
      </c>
      <c r="P16257" t="str">
        <f>"92186"</f>
        <v>92186</v>
      </c>
    </row>
    <row r="16258" spans="1:16" x14ac:dyDescent="0.25">
      <c r="A16258" t="str">
        <f>"1240025A00121    00"</f>
        <v>1240025A00121    00</v>
      </c>
      <c r="B16258" t="s">
        <v>35565</v>
      </c>
      <c r="C16258" t="s">
        <v>35566</v>
      </c>
      <c r="E16258" t="s">
        <v>39</v>
      </c>
      <c r="F16258">
        <v>0</v>
      </c>
      <c r="G16258">
        <v>0</v>
      </c>
      <c r="H16258">
        <v>1</v>
      </c>
      <c r="I16258" s="3">
        <v>2847.74</v>
      </c>
      <c r="J16258" s="3">
        <v>1352.62</v>
      </c>
      <c r="L16258">
        <v>70</v>
      </c>
      <c r="M16258" t="s">
        <v>35548</v>
      </c>
      <c r="N16258" t="s">
        <v>30</v>
      </c>
      <c r="O16258" t="s">
        <v>31</v>
      </c>
      <c r="P16258" t="str">
        <f>"15222"</f>
        <v>15222</v>
      </c>
    </row>
    <row r="16259" spans="1:16" x14ac:dyDescent="0.25">
      <c r="A16259" t="str">
        <f>"1240046S00018    00"</f>
        <v>1240046S00018    00</v>
      </c>
      <c r="B16259" t="s">
        <v>35567</v>
      </c>
      <c r="C16259" t="s">
        <v>35568</v>
      </c>
      <c r="D16259" t="s">
        <v>20</v>
      </c>
      <c r="E16259" t="s">
        <v>39</v>
      </c>
      <c r="F16259">
        <v>0</v>
      </c>
      <c r="G16259">
        <v>0</v>
      </c>
      <c r="H16259">
        <v>19</v>
      </c>
      <c r="I16259" s="3">
        <v>496.26</v>
      </c>
      <c r="J16259" s="3">
        <v>554.79</v>
      </c>
      <c r="K16259" t="s">
        <v>1037</v>
      </c>
      <c r="L16259">
        <v>1809</v>
      </c>
      <c r="M16259" t="s">
        <v>35569</v>
      </c>
      <c r="N16259" t="s">
        <v>30</v>
      </c>
      <c r="O16259" t="s">
        <v>31</v>
      </c>
      <c r="P16259" t="str">
        <f>"15212"</f>
        <v>15212</v>
      </c>
    </row>
    <row r="16260" spans="1:16" x14ac:dyDescent="0.25">
      <c r="A16260" t="str">
        <f>"1240047J00196    00"</f>
        <v>1240047J00196    00</v>
      </c>
      <c r="B16260" t="s">
        <v>35570</v>
      </c>
      <c r="C16260" t="s">
        <v>35571</v>
      </c>
      <c r="D16260" t="s">
        <v>20</v>
      </c>
      <c r="E16260" t="s">
        <v>39</v>
      </c>
      <c r="F16260">
        <v>0</v>
      </c>
      <c r="G16260">
        <v>0</v>
      </c>
      <c r="H16260">
        <v>1</v>
      </c>
      <c r="I16260" s="3">
        <v>185.9</v>
      </c>
      <c r="J16260" s="3">
        <v>0</v>
      </c>
      <c r="L16260">
        <v>124</v>
      </c>
      <c r="M16260" t="s">
        <v>31106</v>
      </c>
      <c r="N16260" t="s">
        <v>30</v>
      </c>
      <c r="O16260" t="s">
        <v>31</v>
      </c>
      <c r="P16260" t="str">
        <f>"15212"</f>
        <v>15212</v>
      </c>
    </row>
    <row r="16261" spans="1:16" x14ac:dyDescent="0.25">
      <c r="A16261" t="str">
        <f>"1240047J00201    00"</f>
        <v>1240047J00201    00</v>
      </c>
      <c r="B16261" t="s">
        <v>35572</v>
      </c>
      <c r="C16261" t="s">
        <v>35573</v>
      </c>
      <c r="D16261" t="s">
        <v>20</v>
      </c>
      <c r="E16261" t="s">
        <v>39</v>
      </c>
      <c r="F16261">
        <v>0</v>
      </c>
      <c r="G16261">
        <v>0</v>
      </c>
      <c r="H16261">
        <v>19</v>
      </c>
      <c r="I16261" s="3">
        <v>4205.1499999999996</v>
      </c>
      <c r="J16261" s="3">
        <v>2414.9499999999998</v>
      </c>
      <c r="K16261" t="s">
        <v>1008</v>
      </c>
      <c r="P16261" t="str">
        <f>""</f>
        <v/>
      </c>
    </row>
    <row r="16262" spans="1:16" x14ac:dyDescent="0.25">
      <c r="A16262" t="str">
        <f>"1240047J00210    00"</f>
        <v>1240047J00210    00</v>
      </c>
      <c r="B16262" t="s">
        <v>35574</v>
      </c>
      <c r="C16262" t="s">
        <v>35575</v>
      </c>
      <c r="D16262" t="s">
        <v>20</v>
      </c>
      <c r="E16262" t="s">
        <v>39</v>
      </c>
      <c r="F16262">
        <v>0</v>
      </c>
      <c r="G16262">
        <v>0</v>
      </c>
      <c r="H16262">
        <v>19</v>
      </c>
      <c r="I16262" s="3">
        <v>515.42999999999995</v>
      </c>
      <c r="J16262" s="3">
        <v>542.33000000000004</v>
      </c>
      <c r="K16262" t="s">
        <v>1037</v>
      </c>
      <c r="L16262">
        <v>1927</v>
      </c>
      <c r="M16262" t="s">
        <v>35576</v>
      </c>
      <c r="N16262" t="s">
        <v>30</v>
      </c>
      <c r="O16262" t="s">
        <v>31</v>
      </c>
      <c r="P16262" t="str">
        <f>"15212"</f>
        <v>15212</v>
      </c>
    </row>
    <row r="16263" spans="1:16" x14ac:dyDescent="0.25">
      <c r="A16263" t="str">
        <f>"1240047J00249    00"</f>
        <v>1240047J00249    00</v>
      </c>
      <c r="B16263" t="s">
        <v>35577</v>
      </c>
      <c r="C16263" t="s">
        <v>35575</v>
      </c>
      <c r="D16263" t="s">
        <v>20</v>
      </c>
      <c r="E16263" t="s">
        <v>39</v>
      </c>
      <c r="F16263">
        <v>0</v>
      </c>
      <c r="G16263">
        <v>0</v>
      </c>
      <c r="H16263">
        <v>19</v>
      </c>
      <c r="I16263" s="3">
        <v>4441.09</v>
      </c>
      <c r="J16263" s="3">
        <v>2674.35</v>
      </c>
      <c r="K16263" t="s">
        <v>1037</v>
      </c>
      <c r="L16263">
        <v>1920</v>
      </c>
      <c r="M16263" t="s">
        <v>35576</v>
      </c>
      <c r="N16263" t="s">
        <v>30</v>
      </c>
      <c r="O16263" t="s">
        <v>31</v>
      </c>
      <c r="P16263" t="str">
        <f>"15212"</f>
        <v>15212</v>
      </c>
    </row>
    <row r="16264" spans="1:16" x14ac:dyDescent="0.25">
      <c r="A16264" t="str">
        <f>"1240047J00253    00"</f>
        <v>1240047J00253    00</v>
      </c>
      <c r="B16264" t="s">
        <v>35578</v>
      </c>
      <c r="C16264" t="s">
        <v>35575</v>
      </c>
      <c r="D16264" t="s">
        <v>20</v>
      </c>
      <c r="E16264" t="s">
        <v>39</v>
      </c>
      <c r="F16264">
        <v>0</v>
      </c>
      <c r="G16264">
        <v>0</v>
      </c>
      <c r="H16264">
        <v>19</v>
      </c>
      <c r="I16264" s="3">
        <v>4394.32</v>
      </c>
      <c r="J16264" s="3">
        <v>2627.27</v>
      </c>
      <c r="K16264" t="s">
        <v>1008</v>
      </c>
      <c r="P16264" t="str">
        <f>""</f>
        <v/>
      </c>
    </row>
    <row r="16265" spans="1:16" x14ac:dyDescent="0.25">
      <c r="A16265" t="str">
        <f>"1240047K00007    00"</f>
        <v>1240047K00007    00</v>
      </c>
      <c r="B16265" t="s">
        <v>20674</v>
      </c>
      <c r="C16265" t="s">
        <v>35579</v>
      </c>
      <c r="D16265" t="s">
        <v>20</v>
      </c>
      <c r="E16265" t="s">
        <v>39</v>
      </c>
      <c r="F16265">
        <v>0</v>
      </c>
      <c r="G16265">
        <v>0</v>
      </c>
      <c r="H16265">
        <v>2</v>
      </c>
      <c r="I16265" s="3">
        <v>1254.1600000000001</v>
      </c>
      <c r="J16265" s="3">
        <v>0</v>
      </c>
      <c r="L16265">
        <v>4314</v>
      </c>
      <c r="M16265" t="s">
        <v>20677</v>
      </c>
      <c r="N16265" t="s">
        <v>30</v>
      </c>
      <c r="O16265" t="s">
        <v>31</v>
      </c>
      <c r="P16265" t="str">
        <f>"15207"</f>
        <v>15207</v>
      </c>
    </row>
    <row r="16266" spans="1:16" x14ac:dyDescent="0.25">
      <c r="A16266" t="str">
        <f>"1240047K00008    00"</f>
        <v>1240047K00008    00</v>
      </c>
      <c r="B16266" t="s">
        <v>35580</v>
      </c>
      <c r="C16266" t="s">
        <v>35581</v>
      </c>
      <c r="D16266" t="s">
        <v>20</v>
      </c>
      <c r="E16266" t="s">
        <v>39</v>
      </c>
      <c r="F16266">
        <v>0</v>
      </c>
      <c r="G16266">
        <v>0</v>
      </c>
      <c r="H16266">
        <v>11</v>
      </c>
      <c r="I16266" s="3">
        <v>3302.98</v>
      </c>
      <c r="J16266" s="3">
        <v>5204.2</v>
      </c>
      <c r="L16266">
        <v>3017</v>
      </c>
      <c r="M16266" t="s">
        <v>35582</v>
      </c>
      <c r="N16266" t="s">
        <v>30</v>
      </c>
      <c r="O16266" t="s">
        <v>31</v>
      </c>
      <c r="P16266" t="str">
        <f>"15227"</f>
        <v>15227</v>
      </c>
    </row>
    <row r="16267" spans="1:16" x14ac:dyDescent="0.25">
      <c r="A16267" t="str">
        <f>"1240047K00009    00"</f>
        <v>1240047K00009    00</v>
      </c>
      <c r="B16267" t="s">
        <v>35583</v>
      </c>
      <c r="C16267" t="s">
        <v>35584</v>
      </c>
      <c r="E16267" t="s">
        <v>39</v>
      </c>
      <c r="F16267">
        <v>0</v>
      </c>
      <c r="G16267">
        <v>0</v>
      </c>
      <c r="H16267">
        <v>1</v>
      </c>
      <c r="I16267" s="3">
        <v>316.39999999999998</v>
      </c>
      <c r="J16267" s="3">
        <v>0</v>
      </c>
      <c r="L16267">
        <v>1814</v>
      </c>
      <c r="M16267" t="s">
        <v>35585</v>
      </c>
      <c r="N16267" t="s">
        <v>30</v>
      </c>
      <c r="O16267" t="s">
        <v>31</v>
      </c>
      <c r="P16267" t="str">
        <f>"15212"</f>
        <v>15212</v>
      </c>
    </row>
    <row r="16268" spans="1:16" x14ac:dyDescent="0.25">
      <c r="A16268" t="str">
        <f>"1240047K00011    00"</f>
        <v>1240047K00011    00</v>
      </c>
      <c r="B16268" t="s">
        <v>35583</v>
      </c>
      <c r="C16268" t="s">
        <v>35584</v>
      </c>
      <c r="E16268" t="s">
        <v>39</v>
      </c>
      <c r="F16268">
        <v>0</v>
      </c>
      <c r="G16268">
        <v>0</v>
      </c>
      <c r="H16268">
        <v>1</v>
      </c>
      <c r="I16268" s="3">
        <v>126.87</v>
      </c>
      <c r="J16268" s="3">
        <v>0</v>
      </c>
      <c r="L16268">
        <v>1814</v>
      </c>
      <c r="M16268" t="s">
        <v>35585</v>
      </c>
      <c r="N16268" t="s">
        <v>30</v>
      </c>
      <c r="O16268" t="s">
        <v>31</v>
      </c>
      <c r="P16268" t="str">
        <f>"15212"</f>
        <v>15212</v>
      </c>
    </row>
    <row r="16269" spans="1:16" x14ac:dyDescent="0.25">
      <c r="A16269" t="str">
        <f>"1240047K00027    00"</f>
        <v>1240047K00027    00</v>
      </c>
      <c r="B16269" t="s">
        <v>35586</v>
      </c>
      <c r="C16269" t="s">
        <v>35587</v>
      </c>
      <c r="D16269" t="s">
        <v>20</v>
      </c>
      <c r="E16269" t="s">
        <v>39</v>
      </c>
      <c r="F16269">
        <v>0</v>
      </c>
      <c r="G16269">
        <v>0</v>
      </c>
      <c r="H16269">
        <v>1</v>
      </c>
      <c r="I16269" s="3">
        <v>579.41999999999996</v>
      </c>
      <c r="J16269" s="3">
        <v>0</v>
      </c>
      <c r="L16269">
        <v>4595</v>
      </c>
      <c r="M16269" t="s">
        <v>35588</v>
      </c>
      <c r="N16269" t="s">
        <v>195</v>
      </c>
      <c r="O16269" t="s">
        <v>31</v>
      </c>
      <c r="P16269" t="str">
        <f>"15101"</f>
        <v>15101</v>
      </c>
    </row>
    <row r="16270" spans="1:16" x14ac:dyDescent="0.25">
      <c r="A16270" t="str">
        <f>"1240047K00028    00"</f>
        <v>1240047K00028    00</v>
      </c>
      <c r="B16270" t="s">
        <v>35586</v>
      </c>
      <c r="C16270" t="s">
        <v>35589</v>
      </c>
      <c r="D16270" t="s">
        <v>20</v>
      </c>
      <c r="E16270" t="s">
        <v>39</v>
      </c>
      <c r="F16270">
        <v>0</v>
      </c>
      <c r="G16270">
        <v>0</v>
      </c>
      <c r="H16270">
        <v>1</v>
      </c>
      <c r="I16270" s="3">
        <v>221.1</v>
      </c>
      <c r="J16270" s="3">
        <v>0</v>
      </c>
      <c r="L16270">
        <v>4595</v>
      </c>
      <c r="M16270" t="s">
        <v>35588</v>
      </c>
      <c r="N16270" t="s">
        <v>195</v>
      </c>
      <c r="O16270" t="s">
        <v>31</v>
      </c>
      <c r="P16270" t="str">
        <f>"15101"</f>
        <v>15101</v>
      </c>
    </row>
    <row r="16271" spans="1:16" x14ac:dyDescent="0.25">
      <c r="A16271" t="str">
        <f>"1240047K00031    00"</f>
        <v>1240047K00031    00</v>
      </c>
      <c r="B16271" t="s">
        <v>35590</v>
      </c>
      <c r="C16271" t="s">
        <v>35589</v>
      </c>
      <c r="D16271" t="s">
        <v>20</v>
      </c>
      <c r="E16271" t="s">
        <v>39</v>
      </c>
      <c r="F16271">
        <v>0</v>
      </c>
      <c r="G16271">
        <v>0</v>
      </c>
      <c r="H16271">
        <v>9</v>
      </c>
      <c r="I16271" s="3">
        <v>576.91999999999996</v>
      </c>
      <c r="J16271" s="3">
        <v>230.34</v>
      </c>
      <c r="L16271">
        <v>1741</v>
      </c>
      <c r="M16271" t="s">
        <v>35591</v>
      </c>
      <c r="N16271" t="s">
        <v>30</v>
      </c>
      <c r="O16271" t="s">
        <v>31</v>
      </c>
      <c r="P16271" t="str">
        <f>"15212"</f>
        <v>15212</v>
      </c>
    </row>
    <row r="16272" spans="1:16" x14ac:dyDescent="0.25">
      <c r="A16272" t="str">
        <f>"1240047K00047    00"</f>
        <v>1240047K00047    00</v>
      </c>
      <c r="B16272" t="s">
        <v>35592</v>
      </c>
      <c r="C16272" t="s">
        <v>35593</v>
      </c>
      <c r="D16272" t="s">
        <v>20</v>
      </c>
      <c r="E16272" t="s">
        <v>39</v>
      </c>
      <c r="F16272">
        <v>0</v>
      </c>
      <c r="G16272">
        <v>0</v>
      </c>
      <c r="H16272">
        <v>12</v>
      </c>
      <c r="I16272" s="3">
        <v>900.31</v>
      </c>
      <c r="J16272" s="3">
        <v>475.94</v>
      </c>
      <c r="K16272" t="s">
        <v>35594</v>
      </c>
      <c r="L16272">
        <v>1150</v>
      </c>
      <c r="M16272" t="s">
        <v>35595</v>
      </c>
      <c r="N16272" t="s">
        <v>163</v>
      </c>
      <c r="O16272" t="s">
        <v>31</v>
      </c>
      <c r="P16272" t="str">
        <f>"19406"</f>
        <v>19406</v>
      </c>
    </row>
    <row r="16273" spans="1:16" x14ac:dyDescent="0.25">
      <c r="A16273" t="str">
        <f>"1240047K00048    00"</f>
        <v>1240047K00048    00</v>
      </c>
      <c r="B16273" t="s">
        <v>35596</v>
      </c>
      <c r="C16273" t="s">
        <v>35593</v>
      </c>
      <c r="D16273" t="s">
        <v>20</v>
      </c>
      <c r="E16273" t="s">
        <v>39</v>
      </c>
      <c r="F16273">
        <v>0</v>
      </c>
      <c r="G16273">
        <v>0</v>
      </c>
      <c r="H16273">
        <v>14</v>
      </c>
      <c r="I16273" s="3">
        <v>5578.68</v>
      </c>
      <c r="J16273" s="3">
        <v>7290.39</v>
      </c>
      <c r="M16273" t="s">
        <v>35597</v>
      </c>
      <c r="N16273" t="s">
        <v>903</v>
      </c>
      <c r="O16273" t="s">
        <v>31</v>
      </c>
      <c r="P16273" t="str">
        <f>"15136"</f>
        <v>15136</v>
      </c>
    </row>
    <row r="16274" spans="1:16" x14ac:dyDescent="0.25">
      <c r="A16274" t="str">
        <f>"1240047K00050    00"</f>
        <v>1240047K00050    00</v>
      </c>
      <c r="B16274" t="s">
        <v>35590</v>
      </c>
      <c r="C16274" t="s">
        <v>35593</v>
      </c>
      <c r="D16274" t="s">
        <v>20</v>
      </c>
      <c r="E16274" t="s">
        <v>39</v>
      </c>
      <c r="F16274">
        <v>0</v>
      </c>
      <c r="G16274">
        <v>0</v>
      </c>
      <c r="H16274">
        <v>9</v>
      </c>
      <c r="I16274" s="3">
        <v>1559.33</v>
      </c>
      <c r="J16274" s="3">
        <v>617.58000000000004</v>
      </c>
      <c r="L16274">
        <v>1741</v>
      </c>
      <c r="M16274" t="s">
        <v>35591</v>
      </c>
      <c r="N16274" t="s">
        <v>30</v>
      </c>
      <c r="O16274" t="s">
        <v>31</v>
      </c>
      <c r="P16274" t="str">
        <f>"15212"</f>
        <v>15212</v>
      </c>
    </row>
    <row r="16275" spans="1:16" x14ac:dyDescent="0.25">
      <c r="A16275" t="str">
        <f>"1240047K00057    00"</f>
        <v>1240047K00057    00</v>
      </c>
      <c r="B16275" t="s">
        <v>35598</v>
      </c>
      <c r="C16275" t="s">
        <v>35593</v>
      </c>
      <c r="D16275" t="s">
        <v>20</v>
      </c>
      <c r="E16275" t="s">
        <v>39</v>
      </c>
      <c r="F16275">
        <v>0</v>
      </c>
      <c r="G16275">
        <v>0</v>
      </c>
      <c r="H16275">
        <v>19</v>
      </c>
      <c r="I16275" s="3">
        <v>2202.4899999999998</v>
      </c>
      <c r="J16275" s="3">
        <v>1361.54</v>
      </c>
      <c r="L16275">
        <v>33</v>
      </c>
      <c r="M16275" t="s">
        <v>35599</v>
      </c>
      <c r="N16275" t="s">
        <v>30</v>
      </c>
      <c r="O16275" t="s">
        <v>31</v>
      </c>
      <c r="P16275" t="str">
        <f>"15212"</f>
        <v>15212</v>
      </c>
    </row>
    <row r="16276" spans="1:16" x14ac:dyDescent="0.25">
      <c r="A16276" t="str">
        <f>"1240047K00060    00"</f>
        <v>1240047K00060    00</v>
      </c>
      <c r="B16276" t="s">
        <v>35600</v>
      </c>
      <c r="C16276" t="s">
        <v>35601</v>
      </c>
      <c r="D16276" t="s">
        <v>20</v>
      </c>
      <c r="E16276" t="s">
        <v>39</v>
      </c>
      <c r="F16276">
        <v>0</v>
      </c>
      <c r="G16276">
        <v>0</v>
      </c>
      <c r="H16276">
        <v>14</v>
      </c>
      <c r="I16276" s="3">
        <v>2199.19</v>
      </c>
      <c r="J16276" s="3">
        <v>2290.7399999999998</v>
      </c>
      <c r="L16276">
        <v>37</v>
      </c>
      <c r="M16276" t="s">
        <v>35599</v>
      </c>
      <c r="N16276" t="s">
        <v>30</v>
      </c>
      <c r="O16276" t="s">
        <v>31</v>
      </c>
      <c r="P16276" t="str">
        <f>"15212"</f>
        <v>15212</v>
      </c>
    </row>
    <row r="16277" spans="1:16" x14ac:dyDescent="0.25">
      <c r="A16277" t="str">
        <f>"1240047K00061    00"</f>
        <v>1240047K00061    00</v>
      </c>
      <c r="B16277" t="s">
        <v>35602</v>
      </c>
      <c r="C16277" t="s">
        <v>35601</v>
      </c>
      <c r="E16277" t="s">
        <v>39</v>
      </c>
      <c r="F16277">
        <v>0</v>
      </c>
      <c r="G16277">
        <v>0</v>
      </c>
      <c r="H16277">
        <v>7</v>
      </c>
      <c r="I16277" s="3">
        <v>4047.82</v>
      </c>
      <c r="J16277" s="3">
        <v>5963.38</v>
      </c>
      <c r="P16277" t="str">
        <f>""</f>
        <v/>
      </c>
    </row>
    <row r="16278" spans="1:16" x14ac:dyDescent="0.25">
      <c r="A16278" t="str">
        <f>"1240047K00062    00"</f>
        <v>1240047K00062    00</v>
      </c>
      <c r="B16278" t="s">
        <v>35602</v>
      </c>
      <c r="C16278" t="s">
        <v>35603</v>
      </c>
      <c r="D16278" t="s">
        <v>20</v>
      </c>
      <c r="E16278" t="s">
        <v>39</v>
      </c>
      <c r="F16278">
        <v>0</v>
      </c>
      <c r="G16278">
        <v>0</v>
      </c>
      <c r="H16278">
        <v>19</v>
      </c>
      <c r="I16278" s="3">
        <v>5439.3</v>
      </c>
      <c r="J16278" s="3">
        <v>5110.38</v>
      </c>
      <c r="L16278">
        <v>37</v>
      </c>
      <c r="M16278" t="s">
        <v>35599</v>
      </c>
      <c r="N16278" t="s">
        <v>30</v>
      </c>
      <c r="O16278" t="s">
        <v>31</v>
      </c>
      <c r="P16278" t="str">
        <f>"15212"</f>
        <v>15212</v>
      </c>
    </row>
    <row r="16279" spans="1:16" x14ac:dyDescent="0.25">
      <c r="A16279" t="str">
        <f>"1240047K00065    00"</f>
        <v>1240047K00065    00</v>
      </c>
      <c r="B16279" t="s">
        <v>35604</v>
      </c>
      <c r="C16279" t="s">
        <v>35593</v>
      </c>
      <c r="D16279" t="s">
        <v>20</v>
      </c>
      <c r="E16279" t="s">
        <v>39</v>
      </c>
      <c r="F16279">
        <v>0</v>
      </c>
      <c r="G16279">
        <v>0</v>
      </c>
      <c r="H16279">
        <v>19</v>
      </c>
      <c r="I16279" s="3">
        <v>474.37</v>
      </c>
      <c r="J16279" s="3">
        <v>543.22</v>
      </c>
      <c r="L16279">
        <v>33</v>
      </c>
      <c r="M16279" t="s">
        <v>35599</v>
      </c>
      <c r="N16279" t="s">
        <v>30</v>
      </c>
      <c r="O16279" t="s">
        <v>31</v>
      </c>
      <c r="P16279" t="str">
        <f>"15212"</f>
        <v>15212</v>
      </c>
    </row>
    <row r="16280" spans="1:16" x14ac:dyDescent="0.25">
      <c r="A16280" t="str">
        <f>"1240047K00066    00"</f>
        <v>1240047K00066    00</v>
      </c>
      <c r="B16280" t="s">
        <v>35605</v>
      </c>
      <c r="C16280" t="s">
        <v>35606</v>
      </c>
      <c r="D16280" t="s">
        <v>20</v>
      </c>
      <c r="E16280" t="s">
        <v>39</v>
      </c>
      <c r="F16280">
        <v>0</v>
      </c>
      <c r="G16280">
        <v>0</v>
      </c>
      <c r="H16280">
        <v>11</v>
      </c>
      <c r="I16280" s="3">
        <v>5295.75</v>
      </c>
      <c r="J16280" s="3">
        <v>7394.1</v>
      </c>
      <c r="L16280">
        <v>29</v>
      </c>
      <c r="M16280" t="s">
        <v>35599</v>
      </c>
      <c r="N16280" t="s">
        <v>30</v>
      </c>
      <c r="O16280" t="s">
        <v>31</v>
      </c>
      <c r="P16280" t="str">
        <f>"15212"</f>
        <v>15212</v>
      </c>
    </row>
    <row r="16281" spans="1:16" x14ac:dyDescent="0.25">
      <c r="A16281" t="str">
        <f>"1240047K00067    00"</f>
        <v>1240047K00067    00</v>
      </c>
      <c r="B16281" t="s">
        <v>35607</v>
      </c>
      <c r="C16281" t="s">
        <v>35608</v>
      </c>
      <c r="D16281" t="s">
        <v>20</v>
      </c>
      <c r="E16281" t="s">
        <v>39</v>
      </c>
      <c r="F16281">
        <v>0</v>
      </c>
      <c r="G16281">
        <v>0</v>
      </c>
      <c r="H16281">
        <v>18</v>
      </c>
      <c r="I16281" s="3">
        <v>2002.91</v>
      </c>
      <c r="J16281" s="3">
        <v>2445.88</v>
      </c>
      <c r="L16281">
        <v>27</v>
      </c>
      <c r="M16281" t="s">
        <v>35599</v>
      </c>
      <c r="N16281" t="s">
        <v>30</v>
      </c>
      <c r="O16281" t="s">
        <v>31</v>
      </c>
      <c r="P16281" t="str">
        <f>"15212"</f>
        <v>15212</v>
      </c>
    </row>
    <row r="16282" spans="1:16" x14ac:dyDescent="0.25">
      <c r="A16282" t="str">
        <f>"1240047K00071    00"</f>
        <v>1240047K00071    00</v>
      </c>
      <c r="B16282" t="s">
        <v>35590</v>
      </c>
      <c r="C16282" t="s">
        <v>35609</v>
      </c>
      <c r="D16282" t="s">
        <v>20</v>
      </c>
      <c r="E16282" t="s">
        <v>39</v>
      </c>
      <c r="F16282">
        <v>0</v>
      </c>
      <c r="G16282">
        <v>0</v>
      </c>
      <c r="H16282">
        <v>3</v>
      </c>
      <c r="I16282" s="3">
        <v>571.86</v>
      </c>
      <c r="J16282" s="3">
        <v>38.119999999999997</v>
      </c>
      <c r="K16282" t="s">
        <v>35610</v>
      </c>
      <c r="L16282">
        <v>1741</v>
      </c>
      <c r="M16282" t="s">
        <v>35591</v>
      </c>
      <c r="N16282" t="s">
        <v>30</v>
      </c>
      <c r="O16282" t="s">
        <v>31</v>
      </c>
      <c r="P16282" t="str">
        <f>"15212"</f>
        <v>15212</v>
      </c>
    </row>
    <row r="16283" spans="1:16" x14ac:dyDescent="0.25">
      <c r="A16283" t="str">
        <f>"1240047K00099    00"</f>
        <v>1240047K00099    00</v>
      </c>
      <c r="B16283" t="s">
        <v>35611</v>
      </c>
      <c r="C16283" t="s">
        <v>35593</v>
      </c>
      <c r="E16283" t="s">
        <v>39</v>
      </c>
      <c r="F16283">
        <v>0</v>
      </c>
      <c r="G16283">
        <v>0</v>
      </c>
      <c r="H16283">
        <v>16</v>
      </c>
      <c r="I16283" s="3">
        <v>11555.71</v>
      </c>
      <c r="J16283" s="3">
        <v>14061.71</v>
      </c>
      <c r="L16283">
        <v>4233</v>
      </c>
      <c r="M16283" t="s">
        <v>35612</v>
      </c>
      <c r="N16283" t="s">
        <v>546</v>
      </c>
      <c r="O16283" t="s">
        <v>31</v>
      </c>
      <c r="P16283" t="str">
        <f>"15044"</f>
        <v>15044</v>
      </c>
    </row>
    <row r="16284" spans="1:16" x14ac:dyDescent="0.25">
      <c r="A16284" t="str">
        <f>"1240047K00104    00"</f>
        <v>1240047K00104    00</v>
      </c>
      <c r="B16284" t="s">
        <v>35613</v>
      </c>
      <c r="C16284" t="s">
        <v>35614</v>
      </c>
      <c r="D16284" t="s">
        <v>20</v>
      </c>
      <c r="E16284" t="s">
        <v>39</v>
      </c>
      <c r="F16284">
        <v>0</v>
      </c>
      <c r="G16284">
        <v>0</v>
      </c>
      <c r="H16284">
        <v>3</v>
      </c>
      <c r="I16284" s="3">
        <v>155.94</v>
      </c>
      <c r="J16284" s="3">
        <v>10.4</v>
      </c>
      <c r="L16284">
        <v>38</v>
      </c>
      <c r="M16284" t="s">
        <v>35615</v>
      </c>
      <c r="N16284" t="s">
        <v>30</v>
      </c>
      <c r="O16284" t="s">
        <v>31</v>
      </c>
      <c r="P16284" t="str">
        <f>"15212"</f>
        <v>15212</v>
      </c>
    </row>
    <row r="16285" spans="1:16" x14ac:dyDescent="0.25">
      <c r="A16285" t="str">
        <f>"1240047K00163    00"</f>
        <v>1240047K00163    00</v>
      </c>
      <c r="B16285" t="s">
        <v>35616</v>
      </c>
      <c r="C16285" t="s">
        <v>35581</v>
      </c>
      <c r="D16285" t="s">
        <v>20</v>
      </c>
      <c r="E16285" t="s">
        <v>39</v>
      </c>
      <c r="F16285">
        <v>0</v>
      </c>
      <c r="G16285">
        <v>0</v>
      </c>
      <c r="H16285">
        <v>19</v>
      </c>
      <c r="I16285" s="3">
        <v>8816.68</v>
      </c>
      <c r="J16285" s="3">
        <v>9397.91</v>
      </c>
      <c r="L16285">
        <v>937</v>
      </c>
      <c r="M16285" t="s">
        <v>35617</v>
      </c>
      <c r="N16285" t="s">
        <v>625</v>
      </c>
      <c r="O16285" t="s">
        <v>31</v>
      </c>
      <c r="P16285" t="str">
        <f>"15108"</f>
        <v>15108</v>
      </c>
    </row>
    <row r="16286" spans="1:16" x14ac:dyDescent="0.25">
      <c r="A16286" t="str">
        <f>"1240047K00166    00"</f>
        <v>1240047K00166    00</v>
      </c>
      <c r="B16286" t="s">
        <v>35618</v>
      </c>
      <c r="C16286" t="s">
        <v>35581</v>
      </c>
      <c r="D16286" t="s">
        <v>20</v>
      </c>
      <c r="E16286" t="s">
        <v>39</v>
      </c>
      <c r="F16286">
        <v>0</v>
      </c>
      <c r="G16286">
        <v>0</v>
      </c>
      <c r="H16286">
        <v>19</v>
      </c>
      <c r="I16286" s="3">
        <v>3569.06</v>
      </c>
      <c r="J16286" s="3">
        <v>2593.87</v>
      </c>
      <c r="P16286" t="str">
        <f>""</f>
        <v/>
      </c>
    </row>
    <row r="16287" spans="1:16" x14ac:dyDescent="0.25">
      <c r="A16287" t="str">
        <f>"1240047K00170    00"</f>
        <v>1240047K00170    00</v>
      </c>
      <c r="B16287" t="s">
        <v>35619</v>
      </c>
      <c r="C16287" t="s">
        <v>35581</v>
      </c>
      <c r="D16287" t="s">
        <v>20</v>
      </c>
      <c r="E16287" t="s">
        <v>39</v>
      </c>
      <c r="F16287">
        <v>0</v>
      </c>
      <c r="G16287">
        <v>0</v>
      </c>
      <c r="H16287">
        <v>19</v>
      </c>
      <c r="I16287" s="3">
        <v>3583.6</v>
      </c>
      <c r="J16287" s="3">
        <v>2042.9</v>
      </c>
      <c r="K16287" t="s">
        <v>1037</v>
      </c>
      <c r="L16287">
        <v>621</v>
      </c>
      <c r="M16287" t="s">
        <v>34701</v>
      </c>
      <c r="N16287" t="s">
        <v>30</v>
      </c>
      <c r="O16287" t="s">
        <v>31</v>
      </c>
      <c r="P16287" t="str">
        <f>"15212"</f>
        <v>15212</v>
      </c>
    </row>
    <row r="16288" spans="1:16" x14ac:dyDescent="0.25">
      <c r="A16288" t="str">
        <f>"1240047K00172    00"</f>
        <v>1240047K00172    00</v>
      </c>
      <c r="B16288" t="s">
        <v>35620</v>
      </c>
      <c r="C16288" t="s">
        <v>35621</v>
      </c>
      <c r="D16288" t="s">
        <v>20</v>
      </c>
      <c r="E16288" t="s">
        <v>39</v>
      </c>
      <c r="F16288">
        <v>0</v>
      </c>
      <c r="G16288">
        <v>0</v>
      </c>
      <c r="H16288">
        <v>14</v>
      </c>
      <c r="I16288" s="3">
        <v>9487.5300000000007</v>
      </c>
      <c r="J16288" s="3">
        <v>5765.87</v>
      </c>
      <c r="L16288">
        <v>1900</v>
      </c>
      <c r="M16288" t="s">
        <v>35585</v>
      </c>
      <c r="N16288" t="s">
        <v>30</v>
      </c>
      <c r="O16288" t="s">
        <v>31</v>
      </c>
      <c r="P16288" t="str">
        <f>"15212"</f>
        <v>15212</v>
      </c>
    </row>
    <row r="16289" spans="1:16" x14ac:dyDescent="0.25">
      <c r="A16289" t="str">
        <f>"1240047M00214    00"</f>
        <v>1240047M00214    00</v>
      </c>
      <c r="B16289" t="s">
        <v>1997</v>
      </c>
      <c r="C16289" t="s">
        <v>35622</v>
      </c>
      <c r="E16289" t="s">
        <v>39</v>
      </c>
      <c r="F16289">
        <v>0</v>
      </c>
      <c r="G16289">
        <v>0</v>
      </c>
      <c r="H16289">
        <v>13</v>
      </c>
      <c r="I16289" s="3">
        <v>6872.76</v>
      </c>
      <c r="J16289" s="3">
        <v>8154.52</v>
      </c>
      <c r="K16289" t="s">
        <v>2361</v>
      </c>
      <c r="L16289">
        <v>412</v>
      </c>
      <c r="M16289" t="s">
        <v>221</v>
      </c>
      <c r="N16289" t="s">
        <v>30</v>
      </c>
      <c r="O16289" t="s">
        <v>31</v>
      </c>
      <c r="P16289" t="str">
        <f>"15219"</f>
        <v>15219</v>
      </c>
    </row>
    <row r="16290" spans="1:16" x14ac:dyDescent="0.25">
      <c r="A16290" t="str">
        <f>"1240047M00309    00"</f>
        <v>1240047M00309    00</v>
      </c>
      <c r="B16290" t="s">
        <v>35623</v>
      </c>
      <c r="C16290" t="s">
        <v>35624</v>
      </c>
      <c r="E16290" t="s">
        <v>39</v>
      </c>
      <c r="F16290">
        <v>0</v>
      </c>
      <c r="G16290">
        <v>0</v>
      </c>
      <c r="H16290">
        <v>1</v>
      </c>
      <c r="I16290" s="3">
        <v>728.09</v>
      </c>
      <c r="J16290" s="3">
        <v>48.54</v>
      </c>
      <c r="L16290">
        <v>1806</v>
      </c>
      <c r="M16290" t="s">
        <v>35625</v>
      </c>
      <c r="N16290" t="s">
        <v>30</v>
      </c>
      <c r="O16290" t="s">
        <v>31</v>
      </c>
      <c r="P16290" t="str">
        <f>"15212"</f>
        <v>15212</v>
      </c>
    </row>
    <row r="16291" spans="1:16" x14ac:dyDescent="0.25">
      <c r="A16291" t="str">
        <f>"1240047N00083    00"</f>
        <v>1240047N00083    00</v>
      </c>
      <c r="B16291" t="s">
        <v>35626</v>
      </c>
      <c r="C16291" t="s">
        <v>35627</v>
      </c>
      <c r="D16291" t="s">
        <v>20</v>
      </c>
      <c r="E16291" t="s">
        <v>39</v>
      </c>
      <c r="F16291">
        <v>0</v>
      </c>
      <c r="G16291">
        <v>0</v>
      </c>
      <c r="H16291">
        <v>4</v>
      </c>
      <c r="I16291" s="3">
        <v>1773.09</v>
      </c>
      <c r="J16291" s="3">
        <v>640.52</v>
      </c>
      <c r="L16291">
        <v>125</v>
      </c>
      <c r="M16291" t="s">
        <v>35628</v>
      </c>
      <c r="N16291" t="s">
        <v>35629</v>
      </c>
      <c r="O16291" t="s">
        <v>423</v>
      </c>
      <c r="P16291" t="str">
        <f>"08251"</f>
        <v>08251</v>
      </c>
    </row>
    <row r="16292" spans="1:16" x14ac:dyDescent="0.25">
      <c r="A16292" t="str">
        <f>"1240047N00096    00"</f>
        <v>1240047N00096    00</v>
      </c>
      <c r="B16292" t="s">
        <v>35630</v>
      </c>
      <c r="C16292" t="s">
        <v>35573</v>
      </c>
      <c r="D16292" t="s">
        <v>20</v>
      </c>
      <c r="E16292" t="s">
        <v>39</v>
      </c>
      <c r="F16292">
        <v>0</v>
      </c>
      <c r="G16292">
        <v>0</v>
      </c>
      <c r="H16292">
        <v>19</v>
      </c>
      <c r="I16292" s="3">
        <v>1837.58</v>
      </c>
      <c r="J16292" s="3">
        <v>1079.75</v>
      </c>
      <c r="L16292">
        <v>3385</v>
      </c>
      <c r="M16292" t="s">
        <v>35631</v>
      </c>
      <c r="N16292" t="s">
        <v>3934</v>
      </c>
      <c r="O16292" t="s">
        <v>31</v>
      </c>
      <c r="P16292" t="str">
        <f>"15102"</f>
        <v>15102</v>
      </c>
    </row>
    <row r="16293" spans="1:16" x14ac:dyDescent="0.25">
      <c r="A16293" t="str">
        <f>"1240047N00098    00"</f>
        <v>1240047N00098    00</v>
      </c>
      <c r="B16293" t="s">
        <v>35630</v>
      </c>
      <c r="C16293" t="s">
        <v>35573</v>
      </c>
      <c r="D16293" t="s">
        <v>20</v>
      </c>
      <c r="E16293" t="s">
        <v>39</v>
      </c>
      <c r="F16293">
        <v>0</v>
      </c>
      <c r="G16293">
        <v>0</v>
      </c>
      <c r="H16293">
        <v>19</v>
      </c>
      <c r="I16293" s="3">
        <v>4448.72</v>
      </c>
      <c r="J16293" s="3">
        <v>3919.11</v>
      </c>
      <c r="L16293">
        <v>284</v>
      </c>
      <c r="M16293" t="s">
        <v>7483</v>
      </c>
      <c r="N16293" t="s">
        <v>30</v>
      </c>
      <c r="O16293" t="s">
        <v>31</v>
      </c>
      <c r="P16293" t="str">
        <f>"15236"</f>
        <v>15236</v>
      </c>
    </row>
    <row r="16294" spans="1:16" x14ac:dyDescent="0.25">
      <c r="A16294" t="str">
        <f>"1240047N00114    00"</f>
        <v>1240047N00114    00</v>
      </c>
      <c r="B16294" t="s">
        <v>35632</v>
      </c>
      <c r="C16294" t="s">
        <v>35633</v>
      </c>
      <c r="D16294" t="s">
        <v>20</v>
      </c>
      <c r="E16294" t="s">
        <v>39</v>
      </c>
      <c r="F16294">
        <v>0</v>
      </c>
      <c r="G16294">
        <v>0</v>
      </c>
      <c r="H16294">
        <v>2</v>
      </c>
      <c r="I16294" s="3">
        <v>560.38</v>
      </c>
      <c r="J16294" s="3">
        <v>0</v>
      </c>
      <c r="L16294">
        <v>1318</v>
      </c>
      <c r="M16294" t="s">
        <v>3600</v>
      </c>
      <c r="N16294" t="s">
        <v>30</v>
      </c>
      <c r="O16294" t="s">
        <v>31</v>
      </c>
      <c r="P16294" t="str">
        <f>"15221"</f>
        <v>15221</v>
      </c>
    </row>
    <row r="16295" spans="1:16" x14ac:dyDescent="0.25">
      <c r="A16295" t="str">
        <f>"1240047N00123    00"</f>
        <v>1240047N00123    00</v>
      </c>
      <c r="B16295" t="s">
        <v>35634</v>
      </c>
      <c r="C16295" t="s">
        <v>35635</v>
      </c>
      <c r="D16295" t="s">
        <v>20</v>
      </c>
      <c r="E16295" t="s">
        <v>39</v>
      </c>
      <c r="F16295">
        <v>0</v>
      </c>
      <c r="G16295">
        <v>0</v>
      </c>
      <c r="H16295">
        <v>15</v>
      </c>
      <c r="I16295" s="3">
        <v>8116.6</v>
      </c>
      <c r="J16295" s="3">
        <v>5235.09</v>
      </c>
      <c r="L16295">
        <v>57</v>
      </c>
      <c r="M16295" t="s">
        <v>35083</v>
      </c>
      <c r="N16295" t="s">
        <v>30</v>
      </c>
      <c r="O16295" t="s">
        <v>31</v>
      </c>
      <c r="P16295" t="str">
        <f>"15212"</f>
        <v>15212</v>
      </c>
    </row>
    <row r="16296" spans="1:16" x14ac:dyDescent="0.25">
      <c r="A16296" t="str">
        <f>"1240047N00125    00"</f>
        <v>1240047N00125    00</v>
      </c>
      <c r="B16296" t="s">
        <v>35297</v>
      </c>
      <c r="C16296" t="s">
        <v>35636</v>
      </c>
      <c r="D16296" t="s">
        <v>20</v>
      </c>
      <c r="E16296" t="s">
        <v>39</v>
      </c>
      <c r="F16296">
        <v>0</v>
      </c>
      <c r="G16296">
        <v>0</v>
      </c>
      <c r="H16296">
        <v>19</v>
      </c>
      <c r="I16296" s="3">
        <v>496.26</v>
      </c>
      <c r="J16296" s="3">
        <v>554.79</v>
      </c>
      <c r="L16296">
        <v>648</v>
      </c>
      <c r="M16296" t="s">
        <v>6611</v>
      </c>
      <c r="N16296" t="s">
        <v>35298</v>
      </c>
      <c r="O16296" t="s">
        <v>31</v>
      </c>
      <c r="P16296" t="str">
        <f>"16056"</f>
        <v>16056</v>
      </c>
    </row>
    <row r="16297" spans="1:16" x14ac:dyDescent="0.25">
      <c r="A16297" t="str">
        <f>"1240047N00126    00"</f>
        <v>1240047N00126    00</v>
      </c>
      <c r="B16297" t="s">
        <v>35637</v>
      </c>
      <c r="C16297" t="s">
        <v>35636</v>
      </c>
      <c r="D16297" t="s">
        <v>20</v>
      </c>
      <c r="E16297" t="s">
        <v>39</v>
      </c>
      <c r="F16297">
        <v>0</v>
      </c>
      <c r="G16297">
        <v>0</v>
      </c>
      <c r="H16297">
        <v>17</v>
      </c>
      <c r="I16297" s="3">
        <v>3272.09</v>
      </c>
      <c r="J16297" s="3">
        <v>4857.09</v>
      </c>
      <c r="K16297" t="s">
        <v>1008</v>
      </c>
      <c r="P16297" t="str">
        <f>""</f>
        <v/>
      </c>
    </row>
    <row r="16298" spans="1:16" x14ac:dyDescent="0.25">
      <c r="A16298" t="str">
        <f>"1240047N00128    00"</f>
        <v>1240047N00128    00</v>
      </c>
      <c r="B16298" t="s">
        <v>35638</v>
      </c>
      <c r="C16298" t="s">
        <v>35636</v>
      </c>
      <c r="D16298" t="s">
        <v>20</v>
      </c>
      <c r="E16298" t="s">
        <v>39</v>
      </c>
      <c r="F16298">
        <v>0</v>
      </c>
      <c r="G16298">
        <v>0</v>
      </c>
      <c r="H16298">
        <v>1</v>
      </c>
      <c r="I16298" s="3">
        <v>32.409999999999997</v>
      </c>
      <c r="J16298" s="3">
        <v>0</v>
      </c>
      <c r="L16298">
        <v>48</v>
      </c>
      <c r="M16298" t="s">
        <v>35639</v>
      </c>
      <c r="N16298" t="s">
        <v>30</v>
      </c>
      <c r="O16298" t="s">
        <v>31</v>
      </c>
      <c r="P16298" t="str">
        <f>"15212"</f>
        <v>15212</v>
      </c>
    </row>
    <row r="16299" spans="1:16" x14ac:dyDescent="0.25">
      <c r="A16299" t="str">
        <f>"1240047N00129    00"</f>
        <v>1240047N00129    00</v>
      </c>
      <c r="B16299" t="s">
        <v>35638</v>
      </c>
      <c r="C16299" t="s">
        <v>35640</v>
      </c>
      <c r="D16299" t="s">
        <v>20</v>
      </c>
      <c r="E16299" t="s">
        <v>39</v>
      </c>
      <c r="F16299">
        <v>0</v>
      </c>
      <c r="G16299">
        <v>0</v>
      </c>
      <c r="H16299">
        <v>1</v>
      </c>
      <c r="I16299" s="3">
        <v>109.25</v>
      </c>
      <c r="J16299" s="3">
        <v>0</v>
      </c>
      <c r="L16299">
        <v>48</v>
      </c>
      <c r="M16299" t="s">
        <v>35639</v>
      </c>
      <c r="N16299" t="s">
        <v>30</v>
      </c>
      <c r="O16299" t="s">
        <v>31</v>
      </c>
      <c r="P16299" t="str">
        <f>"15212"</f>
        <v>15212</v>
      </c>
    </row>
    <row r="16300" spans="1:16" x14ac:dyDescent="0.25">
      <c r="A16300" t="str">
        <f>"1240047N00131    00"</f>
        <v>1240047N00131    00</v>
      </c>
      <c r="B16300" t="s">
        <v>35641</v>
      </c>
      <c r="C16300" t="s">
        <v>35642</v>
      </c>
      <c r="D16300" t="s">
        <v>20</v>
      </c>
      <c r="E16300" t="s">
        <v>39</v>
      </c>
      <c r="F16300">
        <v>0</v>
      </c>
      <c r="G16300">
        <v>0</v>
      </c>
      <c r="H16300">
        <v>7</v>
      </c>
      <c r="I16300" s="3">
        <v>1931.41</v>
      </c>
      <c r="J16300" s="3">
        <v>534.08000000000004</v>
      </c>
      <c r="L16300">
        <v>41</v>
      </c>
      <c r="M16300" t="s">
        <v>35083</v>
      </c>
      <c r="N16300" t="s">
        <v>30</v>
      </c>
      <c r="O16300" t="s">
        <v>31</v>
      </c>
      <c r="P16300" t="str">
        <f>"15212"</f>
        <v>15212</v>
      </c>
    </row>
    <row r="16301" spans="1:16" x14ac:dyDescent="0.25">
      <c r="A16301" t="str">
        <f>"1240047N00132    00"</f>
        <v>1240047N00132    00</v>
      </c>
      <c r="B16301" t="s">
        <v>35643</v>
      </c>
      <c r="C16301" t="s">
        <v>35636</v>
      </c>
      <c r="D16301" t="s">
        <v>20</v>
      </c>
      <c r="E16301" t="s">
        <v>39</v>
      </c>
      <c r="F16301">
        <v>0</v>
      </c>
      <c r="G16301">
        <v>0</v>
      </c>
      <c r="H16301">
        <v>19</v>
      </c>
      <c r="I16301" s="3">
        <v>474.37</v>
      </c>
      <c r="J16301" s="3">
        <v>543.22</v>
      </c>
      <c r="K16301" t="s">
        <v>1008</v>
      </c>
      <c r="P16301" t="str">
        <f>""</f>
        <v/>
      </c>
    </row>
    <row r="16302" spans="1:16" x14ac:dyDescent="0.25">
      <c r="A16302" t="str">
        <f>"1240047N00136    00"</f>
        <v>1240047N00136    00</v>
      </c>
      <c r="B16302" t="s">
        <v>35644</v>
      </c>
      <c r="C16302" t="s">
        <v>35645</v>
      </c>
      <c r="D16302" t="s">
        <v>20</v>
      </c>
      <c r="E16302" t="s">
        <v>39</v>
      </c>
      <c r="F16302">
        <v>0</v>
      </c>
      <c r="G16302">
        <v>0</v>
      </c>
      <c r="H16302">
        <v>4</v>
      </c>
      <c r="I16302" s="3">
        <v>627.94000000000005</v>
      </c>
      <c r="J16302" s="3">
        <v>52.63</v>
      </c>
      <c r="L16302">
        <v>61</v>
      </c>
      <c r="M16302" t="s">
        <v>35639</v>
      </c>
      <c r="N16302" t="s">
        <v>30</v>
      </c>
      <c r="O16302" t="s">
        <v>31</v>
      </c>
      <c r="P16302" t="str">
        <f>"15212"</f>
        <v>15212</v>
      </c>
    </row>
    <row r="16303" spans="1:16" x14ac:dyDescent="0.25">
      <c r="A16303" t="str">
        <f>"1240047N00138    00"</f>
        <v>1240047N00138    00</v>
      </c>
      <c r="B16303" t="s">
        <v>35646</v>
      </c>
      <c r="C16303" t="s">
        <v>35636</v>
      </c>
      <c r="D16303" t="s">
        <v>20</v>
      </c>
      <c r="E16303" t="s">
        <v>39</v>
      </c>
      <c r="F16303">
        <v>0</v>
      </c>
      <c r="G16303">
        <v>0</v>
      </c>
      <c r="H16303">
        <v>18</v>
      </c>
      <c r="I16303" s="3">
        <v>3619.84</v>
      </c>
      <c r="J16303" s="3">
        <v>2034.64</v>
      </c>
      <c r="L16303">
        <v>61</v>
      </c>
      <c r="M16303" t="s">
        <v>35639</v>
      </c>
      <c r="N16303" t="s">
        <v>30</v>
      </c>
      <c r="O16303" t="s">
        <v>31</v>
      </c>
      <c r="P16303" t="str">
        <f>"15212"</f>
        <v>15212</v>
      </c>
    </row>
    <row r="16304" spans="1:16" x14ac:dyDescent="0.25">
      <c r="A16304" t="str">
        <f>"1240047N00140    00"</f>
        <v>1240047N00140    00</v>
      </c>
      <c r="B16304" t="s">
        <v>35647</v>
      </c>
      <c r="C16304" t="s">
        <v>35636</v>
      </c>
      <c r="D16304" t="s">
        <v>20</v>
      </c>
      <c r="E16304" t="s">
        <v>39</v>
      </c>
      <c r="F16304">
        <v>0</v>
      </c>
      <c r="G16304">
        <v>0</v>
      </c>
      <c r="H16304">
        <v>14</v>
      </c>
      <c r="I16304" s="3">
        <v>3846.7</v>
      </c>
      <c r="J16304" s="3">
        <v>2051.35</v>
      </c>
      <c r="L16304">
        <v>55</v>
      </c>
      <c r="M16304" t="s">
        <v>35639</v>
      </c>
      <c r="N16304" t="s">
        <v>30</v>
      </c>
      <c r="O16304" t="s">
        <v>31</v>
      </c>
      <c r="P16304" t="str">
        <f>"15212"</f>
        <v>15212</v>
      </c>
    </row>
    <row r="16305" spans="1:16" x14ac:dyDescent="0.25">
      <c r="A16305" t="str">
        <f>"1240047N00142    00"</f>
        <v>1240047N00142    00</v>
      </c>
      <c r="B16305" t="s">
        <v>35648</v>
      </c>
      <c r="C16305" t="s">
        <v>35649</v>
      </c>
      <c r="D16305" t="s">
        <v>20</v>
      </c>
      <c r="E16305" t="s">
        <v>39</v>
      </c>
      <c r="F16305">
        <v>0</v>
      </c>
      <c r="G16305">
        <v>0</v>
      </c>
      <c r="H16305">
        <v>18</v>
      </c>
      <c r="I16305" s="3">
        <v>3246.53</v>
      </c>
      <c r="J16305" s="3">
        <v>3587.34</v>
      </c>
      <c r="K16305" t="s">
        <v>35650</v>
      </c>
      <c r="L16305">
        <v>35</v>
      </c>
      <c r="M16305" t="s">
        <v>35651</v>
      </c>
      <c r="N16305" t="s">
        <v>30</v>
      </c>
      <c r="O16305" t="s">
        <v>31</v>
      </c>
      <c r="P16305" t="str">
        <f>"15202"</f>
        <v>15202</v>
      </c>
    </row>
    <row r="16306" spans="1:16" x14ac:dyDescent="0.25">
      <c r="A16306" t="str">
        <f>"1240047N00150    00"</f>
        <v>1240047N00150    00</v>
      </c>
      <c r="B16306" t="s">
        <v>35652</v>
      </c>
      <c r="C16306" t="s">
        <v>35653</v>
      </c>
      <c r="E16306" t="s">
        <v>39</v>
      </c>
      <c r="F16306">
        <v>0</v>
      </c>
      <c r="G16306">
        <v>0</v>
      </c>
      <c r="H16306">
        <v>16</v>
      </c>
      <c r="I16306" s="3">
        <v>5438.54</v>
      </c>
      <c r="J16306" s="3">
        <v>5544.73</v>
      </c>
      <c r="L16306">
        <v>35</v>
      </c>
      <c r="M16306" t="s">
        <v>35639</v>
      </c>
      <c r="N16306" t="s">
        <v>30</v>
      </c>
      <c r="O16306" t="s">
        <v>31</v>
      </c>
      <c r="P16306" t="str">
        <f>"15212"</f>
        <v>15212</v>
      </c>
    </row>
    <row r="16307" spans="1:16" x14ac:dyDescent="0.25">
      <c r="A16307" t="str">
        <f>"1240047N00151    00"</f>
        <v>1240047N00151    00</v>
      </c>
      <c r="B16307" t="s">
        <v>35654</v>
      </c>
      <c r="C16307" t="s">
        <v>35636</v>
      </c>
      <c r="D16307" t="s">
        <v>20</v>
      </c>
      <c r="E16307" t="s">
        <v>39</v>
      </c>
      <c r="F16307">
        <v>0</v>
      </c>
      <c r="G16307">
        <v>0</v>
      </c>
      <c r="H16307">
        <v>16</v>
      </c>
      <c r="I16307" s="3">
        <v>2641.8</v>
      </c>
      <c r="J16307" s="3">
        <v>3184.55</v>
      </c>
      <c r="L16307">
        <v>33</v>
      </c>
      <c r="M16307" t="s">
        <v>35639</v>
      </c>
      <c r="N16307" t="s">
        <v>30</v>
      </c>
      <c r="O16307" t="s">
        <v>31</v>
      </c>
      <c r="P16307" t="str">
        <f>"15212"</f>
        <v>15212</v>
      </c>
    </row>
    <row r="16308" spans="1:16" x14ac:dyDescent="0.25">
      <c r="A16308" t="str">
        <f>"1240047N00153    00"</f>
        <v>1240047N00153    00</v>
      </c>
      <c r="B16308" t="s">
        <v>35655</v>
      </c>
      <c r="C16308" t="s">
        <v>35636</v>
      </c>
      <c r="D16308" t="s">
        <v>20</v>
      </c>
      <c r="E16308" t="s">
        <v>39</v>
      </c>
      <c r="F16308">
        <v>0</v>
      </c>
      <c r="G16308">
        <v>0</v>
      </c>
      <c r="H16308">
        <v>19</v>
      </c>
      <c r="I16308" s="3">
        <v>5126.53</v>
      </c>
      <c r="J16308" s="3">
        <v>6298.42</v>
      </c>
      <c r="L16308">
        <v>29</v>
      </c>
      <c r="M16308" t="s">
        <v>35639</v>
      </c>
      <c r="N16308" t="s">
        <v>30</v>
      </c>
      <c r="O16308" t="s">
        <v>31</v>
      </c>
      <c r="P16308" t="str">
        <f>"15212"</f>
        <v>15212</v>
      </c>
    </row>
    <row r="16309" spans="1:16" x14ac:dyDescent="0.25">
      <c r="A16309" t="str">
        <f>"1240047N00159    00"</f>
        <v>1240047N00159    00</v>
      </c>
      <c r="B16309" t="s">
        <v>35656</v>
      </c>
      <c r="C16309" t="s">
        <v>35636</v>
      </c>
      <c r="D16309" t="s">
        <v>20</v>
      </c>
      <c r="E16309" t="s">
        <v>39</v>
      </c>
      <c r="F16309">
        <v>0</v>
      </c>
      <c r="G16309">
        <v>0</v>
      </c>
      <c r="H16309">
        <v>5</v>
      </c>
      <c r="I16309" s="3">
        <v>565.20000000000005</v>
      </c>
      <c r="J16309" s="3">
        <v>97.64</v>
      </c>
      <c r="K16309" t="s">
        <v>35657</v>
      </c>
      <c r="L16309">
        <v>285</v>
      </c>
      <c r="M16309" t="s">
        <v>28512</v>
      </c>
      <c r="N16309" t="s">
        <v>7382</v>
      </c>
      <c r="O16309" t="s">
        <v>31</v>
      </c>
      <c r="P16309" t="str">
        <f>"15086"</f>
        <v>15086</v>
      </c>
    </row>
    <row r="16310" spans="1:16" x14ac:dyDescent="0.25">
      <c r="A16310" t="str">
        <f>"1240047N00171    00"</f>
        <v>1240047N00171    00</v>
      </c>
      <c r="B16310" t="s">
        <v>35658</v>
      </c>
      <c r="C16310" t="s">
        <v>35659</v>
      </c>
      <c r="D16310" t="s">
        <v>20</v>
      </c>
      <c r="E16310" t="s">
        <v>39</v>
      </c>
      <c r="F16310">
        <v>0</v>
      </c>
      <c r="G16310">
        <v>0</v>
      </c>
      <c r="H16310">
        <v>5</v>
      </c>
      <c r="I16310" s="3">
        <v>21.55</v>
      </c>
      <c r="J16310" s="3">
        <v>4.6399999999999997</v>
      </c>
      <c r="L16310">
        <v>100</v>
      </c>
      <c r="M16310" t="s">
        <v>31106</v>
      </c>
      <c r="N16310" t="s">
        <v>30</v>
      </c>
      <c r="O16310" t="s">
        <v>31</v>
      </c>
      <c r="P16310" t="str">
        <f>"15212"</f>
        <v>15212</v>
      </c>
    </row>
    <row r="16311" spans="1:16" x14ac:dyDescent="0.25">
      <c r="A16311" t="str">
        <f>"1240047N00173    00"</f>
        <v>1240047N00173    00</v>
      </c>
      <c r="B16311" t="s">
        <v>35660</v>
      </c>
      <c r="C16311" t="s">
        <v>35661</v>
      </c>
      <c r="D16311" t="s">
        <v>20</v>
      </c>
      <c r="E16311" t="s">
        <v>39</v>
      </c>
      <c r="F16311">
        <v>0</v>
      </c>
      <c r="G16311">
        <v>0</v>
      </c>
      <c r="H16311">
        <v>3</v>
      </c>
      <c r="I16311" s="3">
        <v>2048.54</v>
      </c>
      <c r="J16311" s="3">
        <v>299</v>
      </c>
      <c r="L16311">
        <v>93</v>
      </c>
      <c r="M16311" t="s">
        <v>35576</v>
      </c>
      <c r="N16311" t="s">
        <v>30</v>
      </c>
      <c r="O16311" t="s">
        <v>31</v>
      </c>
      <c r="P16311" t="str">
        <f>"15212"</f>
        <v>15212</v>
      </c>
    </row>
    <row r="16312" spans="1:16" x14ac:dyDescent="0.25">
      <c r="A16312" t="str">
        <f>"1240047N00174    00"</f>
        <v>1240047N00174    00</v>
      </c>
      <c r="B16312" t="s">
        <v>35662</v>
      </c>
      <c r="C16312" t="s">
        <v>35573</v>
      </c>
      <c r="D16312" t="s">
        <v>20</v>
      </c>
      <c r="E16312" t="s">
        <v>39</v>
      </c>
      <c r="F16312">
        <v>0</v>
      </c>
      <c r="G16312">
        <v>0</v>
      </c>
      <c r="H16312">
        <v>19</v>
      </c>
      <c r="I16312" s="3">
        <v>4229.79</v>
      </c>
      <c r="J16312" s="3">
        <v>2450.5300000000002</v>
      </c>
      <c r="K16312" t="s">
        <v>1037</v>
      </c>
      <c r="L16312">
        <v>95</v>
      </c>
      <c r="M16312" t="s">
        <v>31106</v>
      </c>
      <c r="N16312" t="s">
        <v>30</v>
      </c>
      <c r="O16312" t="s">
        <v>31</v>
      </c>
      <c r="P16312" t="str">
        <f>"15212"</f>
        <v>15212</v>
      </c>
    </row>
    <row r="16313" spans="1:16" x14ac:dyDescent="0.25">
      <c r="A16313" t="str">
        <f>"1240047N00177    00"</f>
        <v>1240047N00177    00</v>
      </c>
      <c r="B16313" t="s">
        <v>35663</v>
      </c>
      <c r="C16313" t="s">
        <v>35664</v>
      </c>
      <c r="D16313" t="s">
        <v>20</v>
      </c>
      <c r="E16313" t="s">
        <v>39</v>
      </c>
      <c r="F16313">
        <v>0</v>
      </c>
      <c r="G16313">
        <v>0</v>
      </c>
      <c r="H16313">
        <v>16</v>
      </c>
      <c r="I16313" s="3">
        <v>7351.59</v>
      </c>
      <c r="J16313" s="3">
        <v>6626.75</v>
      </c>
      <c r="L16313">
        <v>97</v>
      </c>
      <c r="M16313" t="s">
        <v>35576</v>
      </c>
      <c r="N16313" t="s">
        <v>30</v>
      </c>
      <c r="O16313" t="s">
        <v>31</v>
      </c>
      <c r="P16313" t="str">
        <f>"15212"</f>
        <v>15212</v>
      </c>
    </row>
    <row r="16314" spans="1:16" x14ac:dyDescent="0.25">
      <c r="A16314" t="str">
        <f>"1240047N00222    00"</f>
        <v>1240047N00222    00</v>
      </c>
      <c r="B16314" t="s">
        <v>35665</v>
      </c>
      <c r="C16314" t="s">
        <v>35575</v>
      </c>
      <c r="D16314" t="s">
        <v>20</v>
      </c>
      <c r="E16314" t="s">
        <v>39</v>
      </c>
      <c r="F16314">
        <v>0</v>
      </c>
      <c r="G16314">
        <v>0</v>
      </c>
      <c r="H16314">
        <v>14</v>
      </c>
      <c r="I16314" s="3">
        <v>4156.67</v>
      </c>
      <c r="J16314" s="3">
        <v>2384.19</v>
      </c>
      <c r="K16314" t="s">
        <v>35666</v>
      </c>
      <c r="L16314">
        <v>14788</v>
      </c>
      <c r="M16314" t="s">
        <v>35667</v>
      </c>
      <c r="N16314" t="s">
        <v>5390</v>
      </c>
      <c r="O16314" t="s">
        <v>370</v>
      </c>
      <c r="P16314" t="str">
        <f>"34119"</f>
        <v>34119</v>
      </c>
    </row>
    <row r="16315" spans="1:16" x14ac:dyDescent="0.25">
      <c r="A16315" t="str">
        <f>"1240047N00223    00"</f>
        <v>1240047N00223    00</v>
      </c>
      <c r="B16315" t="s">
        <v>35668</v>
      </c>
      <c r="C16315" t="s">
        <v>35669</v>
      </c>
      <c r="D16315" t="s">
        <v>20</v>
      </c>
      <c r="E16315" t="s">
        <v>39</v>
      </c>
      <c r="F16315">
        <v>0</v>
      </c>
      <c r="G16315">
        <v>0</v>
      </c>
      <c r="H16315">
        <v>2</v>
      </c>
      <c r="I16315" s="3">
        <v>2141.92</v>
      </c>
      <c r="J16315" s="3">
        <v>0</v>
      </c>
      <c r="K16315" t="s">
        <v>35670</v>
      </c>
      <c r="L16315">
        <v>88</v>
      </c>
      <c r="M16315" t="s">
        <v>35576</v>
      </c>
      <c r="N16315" t="s">
        <v>30</v>
      </c>
      <c r="O16315" t="s">
        <v>31</v>
      </c>
      <c r="P16315" t="str">
        <f>"15212"</f>
        <v>15212</v>
      </c>
    </row>
    <row r="16316" spans="1:16" x14ac:dyDescent="0.25">
      <c r="A16316" t="str">
        <f>"1240047N00225    00"</f>
        <v>1240047N00225    00</v>
      </c>
      <c r="B16316" t="s">
        <v>35671</v>
      </c>
      <c r="C16316" t="s">
        <v>35672</v>
      </c>
      <c r="D16316" t="s">
        <v>20</v>
      </c>
      <c r="E16316" t="s">
        <v>39</v>
      </c>
      <c r="F16316">
        <v>0</v>
      </c>
      <c r="G16316">
        <v>0</v>
      </c>
      <c r="H16316">
        <v>3</v>
      </c>
      <c r="I16316" s="3">
        <v>2853.3</v>
      </c>
      <c r="J16316" s="3">
        <v>190.21</v>
      </c>
      <c r="L16316">
        <v>1834</v>
      </c>
      <c r="M16316" t="s">
        <v>35576</v>
      </c>
      <c r="N16316" t="s">
        <v>30</v>
      </c>
      <c r="O16316" t="s">
        <v>31</v>
      </c>
      <c r="P16316" t="str">
        <f>"15212"</f>
        <v>15212</v>
      </c>
    </row>
    <row r="16317" spans="1:16" x14ac:dyDescent="0.25">
      <c r="A16317" t="str">
        <f>"1240047N00226    00"</f>
        <v>1240047N00226    00</v>
      </c>
      <c r="B16317" t="s">
        <v>35673</v>
      </c>
      <c r="C16317" t="s">
        <v>35575</v>
      </c>
      <c r="D16317" t="s">
        <v>20</v>
      </c>
      <c r="E16317" t="s">
        <v>39</v>
      </c>
      <c r="F16317">
        <v>0</v>
      </c>
      <c r="G16317">
        <v>0</v>
      </c>
      <c r="H16317">
        <v>15</v>
      </c>
      <c r="I16317" s="3">
        <v>10459.17</v>
      </c>
      <c r="J16317" s="3">
        <v>12723.55</v>
      </c>
      <c r="L16317">
        <v>710</v>
      </c>
      <c r="M16317" t="s">
        <v>35674</v>
      </c>
      <c r="N16317" t="s">
        <v>30</v>
      </c>
      <c r="O16317" t="s">
        <v>31</v>
      </c>
      <c r="P16317" t="str">
        <f>"15212"</f>
        <v>15212</v>
      </c>
    </row>
    <row r="16318" spans="1:16" x14ac:dyDescent="0.25">
      <c r="A16318" t="str">
        <f>"1240047N00229    00"</f>
        <v>1240047N00229    00</v>
      </c>
      <c r="B16318" t="s">
        <v>35675</v>
      </c>
      <c r="C16318" t="s">
        <v>35676</v>
      </c>
      <c r="D16318" t="s">
        <v>20</v>
      </c>
      <c r="E16318" t="s">
        <v>39</v>
      </c>
      <c r="F16318">
        <v>0</v>
      </c>
      <c r="G16318">
        <v>0</v>
      </c>
      <c r="H16318">
        <v>6</v>
      </c>
      <c r="I16318" s="3">
        <v>1020.3</v>
      </c>
      <c r="J16318" s="3">
        <v>196.1</v>
      </c>
      <c r="K16318" t="s">
        <v>35677</v>
      </c>
      <c r="L16318">
        <v>76</v>
      </c>
      <c r="M16318" t="s">
        <v>35576</v>
      </c>
      <c r="N16318" t="s">
        <v>30</v>
      </c>
      <c r="O16318" t="s">
        <v>31</v>
      </c>
      <c r="P16318" t="str">
        <f>"15212"</f>
        <v>15212</v>
      </c>
    </row>
    <row r="16319" spans="1:16" x14ac:dyDescent="0.25">
      <c r="A16319" t="str">
        <f>"1240047N00232    00"</f>
        <v>1240047N00232    00</v>
      </c>
      <c r="B16319" t="s">
        <v>35678</v>
      </c>
      <c r="C16319" t="s">
        <v>35679</v>
      </c>
      <c r="D16319" t="s">
        <v>20</v>
      </c>
      <c r="E16319" t="s">
        <v>39</v>
      </c>
      <c r="F16319">
        <v>0</v>
      </c>
      <c r="G16319">
        <v>0</v>
      </c>
      <c r="H16319">
        <v>12</v>
      </c>
      <c r="I16319" s="3">
        <v>9594.82</v>
      </c>
      <c r="J16319" s="3">
        <v>5046.96</v>
      </c>
      <c r="L16319">
        <v>2802</v>
      </c>
      <c r="M16319" t="s">
        <v>2837</v>
      </c>
      <c r="N16319" t="s">
        <v>30</v>
      </c>
      <c r="O16319" t="s">
        <v>31</v>
      </c>
      <c r="P16319" t="str">
        <f>"15226"</f>
        <v>15226</v>
      </c>
    </row>
    <row r="16320" spans="1:16" x14ac:dyDescent="0.25">
      <c r="A16320" t="str">
        <f>"1240047N00246    00"</f>
        <v>1240047N00246    00</v>
      </c>
      <c r="B16320" t="s">
        <v>35630</v>
      </c>
      <c r="C16320" t="s">
        <v>35680</v>
      </c>
      <c r="E16320" t="s">
        <v>39</v>
      </c>
      <c r="F16320">
        <v>0</v>
      </c>
      <c r="G16320">
        <v>0</v>
      </c>
      <c r="H16320">
        <v>1</v>
      </c>
      <c r="I16320" s="3">
        <v>252.85</v>
      </c>
      <c r="J16320" s="3">
        <v>0</v>
      </c>
      <c r="L16320">
        <v>1736</v>
      </c>
      <c r="M16320" t="s">
        <v>35576</v>
      </c>
      <c r="N16320" t="s">
        <v>30</v>
      </c>
      <c r="O16320" t="s">
        <v>31</v>
      </c>
      <c r="P16320" t="str">
        <f>"15212"</f>
        <v>15212</v>
      </c>
    </row>
    <row r="16321" spans="1:16" x14ac:dyDescent="0.25">
      <c r="A16321" t="str">
        <f>"1240047N00258    00"</f>
        <v>1240047N00258    00</v>
      </c>
      <c r="B16321" t="s">
        <v>35681</v>
      </c>
      <c r="C16321" t="s">
        <v>35636</v>
      </c>
      <c r="D16321" t="s">
        <v>20</v>
      </c>
      <c r="E16321" t="s">
        <v>39</v>
      </c>
      <c r="F16321">
        <v>0</v>
      </c>
      <c r="G16321">
        <v>0</v>
      </c>
      <c r="H16321">
        <v>19</v>
      </c>
      <c r="I16321" s="3">
        <v>4369.68</v>
      </c>
      <c r="J16321" s="3">
        <v>2591.7800000000002</v>
      </c>
      <c r="K16321" t="s">
        <v>1037</v>
      </c>
      <c r="L16321">
        <v>24</v>
      </c>
      <c r="M16321" t="s">
        <v>35682</v>
      </c>
      <c r="N16321" t="s">
        <v>30</v>
      </c>
      <c r="O16321" t="s">
        <v>31</v>
      </c>
      <c r="P16321" t="str">
        <f>"15214"</f>
        <v>15214</v>
      </c>
    </row>
    <row r="16322" spans="1:16" x14ac:dyDescent="0.25">
      <c r="A16322" t="str">
        <f>"1240047N00260    00"</f>
        <v>1240047N00260    00</v>
      </c>
      <c r="B16322" t="s">
        <v>35683</v>
      </c>
      <c r="C16322" t="s">
        <v>35684</v>
      </c>
      <c r="D16322" t="s">
        <v>20</v>
      </c>
      <c r="E16322" t="s">
        <v>39</v>
      </c>
      <c r="F16322">
        <v>0</v>
      </c>
      <c r="G16322">
        <v>0</v>
      </c>
      <c r="H16322">
        <v>18</v>
      </c>
      <c r="I16322" s="3">
        <v>8875.33</v>
      </c>
      <c r="J16322" s="3">
        <v>7634.52</v>
      </c>
      <c r="L16322">
        <v>308</v>
      </c>
      <c r="M16322" t="s">
        <v>35685</v>
      </c>
      <c r="N16322" t="s">
        <v>30</v>
      </c>
      <c r="O16322" t="s">
        <v>31</v>
      </c>
      <c r="P16322" t="str">
        <f>"15212"</f>
        <v>15212</v>
      </c>
    </row>
    <row r="16323" spans="1:16" x14ac:dyDescent="0.25">
      <c r="A16323" t="str">
        <f>"1240047N00261    00"</f>
        <v>1240047N00261    00</v>
      </c>
      <c r="B16323" t="s">
        <v>35686</v>
      </c>
      <c r="C16323" t="s">
        <v>35636</v>
      </c>
      <c r="D16323" t="s">
        <v>20</v>
      </c>
      <c r="E16323" t="s">
        <v>39</v>
      </c>
      <c r="F16323">
        <v>0</v>
      </c>
      <c r="G16323">
        <v>0</v>
      </c>
      <c r="H16323">
        <v>19</v>
      </c>
      <c r="I16323" s="3">
        <v>8407.3700000000008</v>
      </c>
      <c r="J16323" s="3">
        <v>10359.48</v>
      </c>
      <c r="L16323">
        <v>3941</v>
      </c>
      <c r="M16323" t="s">
        <v>35687</v>
      </c>
      <c r="N16323" t="s">
        <v>30</v>
      </c>
      <c r="O16323" t="s">
        <v>31</v>
      </c>
      <c r="P16323" t="str">
        <f>"15227"</f>
        <v>15227</v>
      </c>
    </row>
    <row r="16324" spans="1:16" x14ac:dyDescent="0.25">
      <c r="A16324" t="str">
        <f>"1240047N00262    00"</f>
        <v>1240047N00262    00</v>
      </c>
      <c r="B16324" t="s">
        <v>35688</v>
      </c>
      <c r="C16324" t="s">
        <v>35636</v>
      </c>
      <c r="D16324" t="s">
        <v>20</v>
      </c>
      <c r="E16324" t="s">
        <v>39</v>
      </c>
      <c r="F16324">
        <v>0</v>
      </c>
      <c r="G16324">
        <v>0</v>
      </c>
      <c r="H16324">
        <v>19</v>
      </c>
      <c r="I16324" s="3">
        <v>1271.8900000000001</v>
      </c>
      <c r="J16324" s="3">
        <v>1572.17</v>
      </c>
      <c r="L16324">
        <v>234</v>
      </c>
      <c r="M16324" t="s">
        <v>35689</v>
      </c>
      <c r="N16324" t="s">
        <v>30</v>
      </c>
      <c r="O16324" t="s">
        <v>31</v>
      </c>
      <c r="P16324" t="str">
        <f>"15241"</f>
        <v>15241</v>
      </c>
    </row>
    <row r="16325" spans="1:16" x14ac:dyDescent="0.25">
      <c r="A16325" t="str">
        <f>"1240047N00263    00"</f>
        <v>1240047N00263    00</v>
      </c>
      <c r="B16325" t="s">
        <v>35690</v>
      </c>
      <c r="C16325" t="s">
        <v>35636</v>
      </c>
      <c r="D16325" t="s">
        <v>20</v>
      </c>
      <c r="E16325" t="s">
        <v>39</v>
      </c>
      <c r="F16325">
        <v>0</v>
      </c>
      <c r="G16325">
        <v>0</v>
      </c>
      <c r="H16325">
        <v>19</v>
      </c>
      <c r="I16325" s="3">
        <v>496.26</v>
      </c>
      <c r="J16325" s="3">
        <v>554.79</v>
      </c>
      <c r="K16325" t="s">
        <v>1037</v>
      </c>
      <c r="L16325">
        <v>89</v>
      </c>
      <c r="M16325" t="s">
        <v>35639</v>
      </c>
      <c r="N16325" t="s">
        <v>30</v>
      </c>
      <c r="O16325" t="s">
        <v>31</v>
      </c>
      <c r="P16325" t="str">
        <f>"15212"</f>
        <v>15212</v>
      </c>
    </row>
    <row r="16326" spans="1:16" x14ac:dyDescent="0.25">
      <c r="A16326" t="str">
        <f>"1240047N00268    00"</f>
        <v>1240047N00268    00</v>
      </c>
      <c r="B16326" t="s">
        <v>35691</v>
      </c>
      <c r="C16326" t="s">
        <v>35575</v>
      </c>
      <c r="D16326" t="s">
        <v>20</v>
      </c>
      <c r="E16326" t="s">
        <v>39</v>
      </c>
      <c r="F16326">
        <v>0</v>
      </c>
      <c r="G16326">
        <v>0</v>
      </c>
      <c r="H16326">
        <v>17</v>
      </c>
      <c r="I16326" s="3">
        <v>4741.8100000000004</v>
      </c>
      <c r="J16326" s="3">
        <v>3693.7</v>
      </c>
      <c r="K16326" t="s">
        <v>35692</v>
      </c>
      <c r="L16326">
        <v>361</v>
      </c>
      <c r="M16326" t="s">
        <v>35693</v>
      </c>
      <c r="N16326" t="s">
        <v>6351</v>
      </c>
      <c r="O16326" t="s">
        <v>31</v>
      </c>
      <c r="P16326" t="str">
        <f>"16059"</f>
        <v>16059</v>
      </c>
    </row>
    <row r="16327" spans="1:16" x14ac:dyDescent="0.25">
      <c r="A16327" t="str">
        <f>"1240047N00303    00"</f>
        <v>1240047N00303    00</v>
      </c>
      <c r="B16327" t="s">
        <v>35694</v>
      </c>
      <c r="C16327" t="s">
        <v>35695</v>
      </c>
      <c r="D16327" t="s">
        <v>20</v>
      </c>
      <c r="E16327" t="s">
        <v>39</v>
      </c>
      <c r="F16327">
        <v>0</v>
      </c>
      <c r="G16327">
        <v>0</v>
      </c>
      <c r="H16327">
        <v>14</v>
      </c>
      <c r="I16327" s="3">
        <v>6262.97</v>
      </c>
      <c r="J16327" s="3">
        <v>3178.32</v>
      </c>
      <c r="L16327">
        <v>8685</v>
      </c>
      <c r="M16327" t="s">
        <v>35696</v>
      </c>
      <c r="N16327" t="s">
        <v>30</v>
      </c>
      <c r="O16327" t="s">
        <v>31</v>
      </c>
      <c r="P16327" t="str">
        <f>"15237"</f>
        <v>15237</v>
      </c>
    </row>
    <row r="16328" spans="1:16" x14ac:dyDescent="0.25">
      <c r="A16328" t="str">
        <f>"1240047N00321    00"</f>
        <v>1240047N00321    00</v>
      </c>
      <c r="B16328" t="s">
        <v>35697</v>
      </c>
      <c r="C16328" t="s">
        <v>35088</v>
      </c>
      <c r="D16328" t="s">
        <v>20</v>
      </c>
      <c r="E16328" t="s">
        <v>39</v>
      </c>
      <c r="F16328">
        <v>0</v>
      </c>
      <c r="G16328">
        <v>0</v>
      </c>
      <c r="H16328">
        <v>19</v>
      </c>
      <c r="I16328" s="3">
        <v>5620.98</v>
      </c>
      <c r="J16328" s="3">
        <v>3971.77</v>
      </c>
      <c r="L16328">
        <v>404</v>
      </c>
      <c r="M16328" t="s">
        <v>5466</v>
      </c>
      <c r="N16328" t="s">
        <v>30</v>
      </c>
      <c r="O16328" t="s">
        <v>31</v>
      </c>
      <c r="P16328" t="str">
        <f>"15213"</f>
        <v>15213</v>
      </c>
    </row>
    <row r="16329" spans="1:16" x14ac:dyDescent="0.25">
      <c r="A16329" t="str">
        <f>"1240047N00326    00"</f>
        <v>1240047N00326    00</v>
      </c>
      <c r="B16329" t="s">
        <v>35698</v>
      </c>
      <c r="C16329" t="s">
        <v>35636</v>
      </c>
      <c r="D16329" t="s">
        <v>20</v>
      </c>
      <c r="E16329" t="s">
        <v>39</v>
      </c>
      <c r="F16329">
        <v>0</v>
      </c>
      <c r="G16329">
        <v>0</v>
      </c>
      <c r="H16329">
        <v>12</v>
      </c>
      <c r="I16329" s="3">
        <v>3719.08</v>
      </c>
      <c r="J16329" s="3">
        <v>1956.26</v>
      </c>
      <c r="L16329">
        <v>211</v>
      </c>
      <c r="M16329" t="s">
        <v>35699</v>
      </c>
      <c r="N16329" t="s">
        <v>10293</v>
      </c>
      <c r="O16329" t="s">
        <v>31</v>
      </c>
      <c r="P16329" t="str">
        <f>"15074"</f>
        <v>15074</v>
      </c>
    </row>
    <row r="16330" spans="1:16" x14ac:dyDescent="0.25">
      <c r="A16330" t="str">
        <f>"1240047P00035    00"</f>
        <v>1240047P00035    00</v>
      </c>
      <c r="B16330" t="s">
        <v>35700</v>
      </c>
      <c r="C16330" t="s">
        <v>35581</v>
      </c>
      <c r="D16330" t="s">
        <v>20</v>
      </c>
      <c r="E16330" t="s">
        <v>39</v>
      </c>
      <c r="F16330">
        <v>0</v>
      </c>
      <c r="G16330">
        <v>0</v>
      </c>
      <c r="H16330">
        <v>19</v>
      </c>
      <c r="I16330" s="3">
        <v>496.26</v>
      </c>
      <c r="J16330" s="3">
        <v>554.79</v>
      </c>
      <c r="L16330">
        <v>153</v>
      </c>
      <c r="M16330" t="s">
        <v>35701</v>
      </c>
      <c r="N16330" t="s">
        <v>30</v>
      </c>
      <c r="O16330" t="s">
        <v>31</v>
      </c>
      <c r="P16330" t="str">
        <f>"15229"</f>
        <v>15229</v>
      </c>
    </row>
    <row r="16331" spans="1:16" x14ac:dyDescent="0.25">
      <c r="A16331" t="str">
        <f>"1240047P00036    00"</f>
        <v>1240047P00036    00</v>
      </c>
      <c r="B16331" t="s">
        <v>35702</v>
      </c>
      <c r="C16331" t="s">
        <v>35581</v>
      </c>
      <c r="D16331" t="s">
        <v>20</v>
      </c>
      <c r="E16331" t="s">
        <v>21</v>
      </c>
      <c r="F16331">
        <v>0</v>
      </c>
      <c r="G16331">
        <v>0</v>
      </c>
      <c r="H16331">
        <v>10</v>
      </c>
      <c r="I16331" s="3">
        <v>6262.23</v>
      </c>
      <c r="J16331" s="3">
        <v>3665.21</v>
      </c>
      <c r="K16331" t="s">
        <v>35703</v>
      </c>
      <c r="L16331">
        <v>1</v>
      </c>
      <c r="M16331" t="s">
        <v>35704</v>
      </c>
      <c r="N16331" t="s">
        <v>30</v>
      </c>
      <c r="O16331" t="s">
        <v>31</v>
      </c>
      <c r="P16331" t="str">
        <f>"15212"</f>
        <v>15212</v>
      </c>
    </row>
    <row r="16332" spans="1:16" x14ac:dyDescent="0.25">
      <c r="A16332" t="str">
        <f>"1240047P00043    00"</f>
        <v>1240047P00043    00</v>
      </c>
      <c r="B16332" t="s">
        <v>35705</v>
      </c>
      <c r="C16332" t="s">
        <v>35706</v>
      </c>
      <c r="D16332" t="s">
        <v>20</v>
      </c>
      <c r="E16332" t="s">
        <v>39</v>
      </c>
      <c r="F16332">
        <v>0</v>
      </c>
      <c r="G16332">
        <v>0</v>
      </c>
      <c r="H16332">
        <v>12</v>
      </c>
      <c r="I16332" s="3">
        <v>10827.12</v>
      </c>
      <c r="J16332" s="3">
        <v>5695.17</v>
      </c>
      <c r="L16332">
        <v>1230</v>
      </c>
      <c r="M16332" t="s">
        <v>34789</v>
      </c>
      <c r="N16332" t="s">
        <v>30</v>
      </c>
      <c r="O16332" t="s">
        <v>31</v>
      </c>
      <c r="P16332" t="str">
        <f>"15212"</f>
        <v>15212</v>
      </c>
    </row>
    <row r="16333" spans="1:16" x14ac:dyDescent="0.25">
      <c r="A16333" t="str">
        <f>"1240047P00060    00"</f>
        <v>1240047P00060    00</v>
      </c>
      <c r="B16333" t="s">
        <v>35707</v>
      </c>
      <c r="C16333" t="s">
        <v>35708</v>
      </c>
      <c r="D16333" t="s">
        <v>20</v>
      </c>
      <c r="E16333" t="s">
        <v>39</v>
      </c>
      <c r="F16333">
        <v>0</v>
      </c>
      <c r="G16333">
        <v>0</v>
      </c>
      <c r="H16333">
        <v>1</v>
      </c>
      <c r="I16333" s="3">
        <v>85.78</v>
      </c>
      <c r="J16333" s="3">
        <v>0</v>
      </c>
      <c r="K16333" t="s">
        <v>426</v>
      </c>
      <c r="L16333">
        <v>2570</v>
      </c>
      <c r="M16333" t="s">
        <v>427</v>
      </c>
      <c r="N16333" t="s">
        <v>30</v>
      </c>
      <c r="O16333" t="s">
        <v>31</v>
      </c>
      <c r="P16333" t="str">
        <f>"15241"</f>
        <v>15241</v>
      </c>
    </row>
    <row r="16334" spans="1:16" x14ac:dyDescent="0.25">
      <c r="A16334" t="str">
        <f>"1240047P00065    00"</f>
        <v>1240047P00065    00</v>
      </c>
      <c r="B16334" t="s">
        <v>35709</v>
      </c>
      <c r="C16334" t="s">
        <v>35710</v>
      </c>
      <c r="E16334" t="s">
        <v>39</v>
      </c>
      <c r="F16334">
        <v>0</v>
      </c>
      <c r="G16334">
        <v>0</v>
      </c>
      <c r="H16334">
        <v>5</v>
      </c>
      <c r="I16334" s="3">
        <v>1462.99</v>
      </c>
      <c r="J16334" s="3">
        <v>1716.33</v>
      </c>
      <c r="L16334">
        <v>1227</v>
      </c>
      <c r="M16334" t="s">
        <v>35123</v>
      </c>
      <c r="N16334" t="s">
        <v>30</v>
      </c>
      <c r="O16334" t="s">
        <v>31</v>
      </c>
      <c r="P16334" t="str">
        <f>"15212"</f>
        <v>15212</v>
      </c>
    </row>
    <row r="16335" spans="1:16" x14ac:dyDescent="0.25">
      <c r="A16335" t="str">
        <f>"1240047P00066    00"</f>
        <v>1240047P00066    00</v>
      </c>
      <c r="B16335" t="s">
        <v>35711</v>
      </c>
      <c r="C16335" t="s">
        <v>35712</v>
      </c>
      <c r="D16335" t="s">
        <v>20</v>
      </c>
      <c r="E16335" t="s">
        <v>39</v>
      </c>
      <c r="F16335">
        <v>0</v>
      </c>
      <c r="G16335">
        <v>0</v>
      </c>
      <c r="H16335">
        <v>1</v>
      </c>
      <c r="I16335" s="3">
        <v>585.16</v>
      </c>
      <c r="J16335" s="3">
        <v>0</v>
      </c>
      <c r="L16335">
        <v>1225</v>
      </c>
      <c r="M16335" t="s">
        <v>35123</v>
      </c>
      <c r="N16335" t="s">
        <v>30</v>
      </c>
      <c r="O16335" t="s">
        <v>31</v>
      </c>
      <c r="P16335" t="str">
        <f>"15212"</f>
        <v>15212</v>
      </c>
    </row>
    <row r="16336" spans="1:16" x14ac:dyDescent="0.25">
      <c r="A16336" t="str">
        <f>"1240047P00109    00"</f>
        <v>1240047P00109    00</v>
      </c>
      <c r="B16336" t="s">
        <v>35713</v>
      </c>
      <c r="C16336" t="s">
        <v>35714</v>
      </c>
      <c r="D16336" t="s">
        <v>20</v>
      </c>
      <c r="E16336" t="s">
        <v>39</v>
      </c>
      <c r="F16336">
        <v>0</v>
      </c>
      <c r="G16336">
        <v>0</v>
      </c>
      <c r="H16336">
        <v>1</v>
      </c>
      <c r="I16336" s="3">
        <v>2001.3</v>
      </c>
      <c r="J16336" s="3">
        <v>0</v>
      </c>
      <c r="K16336" t="s">
        <v>557</v>
      </c>
      <c r="L16336">
        <v>3001</v>
      </c>
      <c r="M16336" t="s">
        <v>330</v>
      </c>
      <c r="N16336" t="s">
        <v>331</v>
      </c>
      <c r="O16336" t="s">
        <v>108</v>
      </c>
      <c r="P16336" t="str">
        <f>"75063"</f>
        <v>75063</v>
      </c>
    </row>
    <row r="16337" spans="1:16" x14ac:dyDescent="0.25">
      <c r="A16337" t="str">
        <f>"1240047P00126    00"</f>
        <v>1240047P00126    00</v>
      </c>
      <c r="B16337" t="s">
        <v>35715</v>
      </c>
      <c r="C16337" t="s">
        <v>35716</v>
      </c>
      <c r="D16337" t="s">
        <v>20</v>
      </c>
      <c r="E16337" t="s">
        <v>39</v>
      </c>
      <c r="F16337">
        <v>0</v>
      </c>
      <c r="G16337">
        <v>0</v>
      </c>
      <c r="H16337">
        <v>3</v>
      </c>
      <c r="I16337" s="3">
        <v>2923.52</v>
      </c>
      <c r="J16337" s="3">
        <v>474.91</v>
      </c>
      <c r="K16337" t="s">
        <v>35717</v>
      </c>
      <c r="L16337">
        <v>1126</v>
      </c>
      <c r="M16337" t="s">
        <v>35123</v>
      </c>
      <c r="N16337" t="s">
        <v>30</v>
      </c>
      <c r="O16337" t="s">
        <v>31</v>
      </c>
      <c r="P16337" t="str">
        <f>"15212"</f>
        <v>15212</v>
      </c>
    </row>
    <row r="16338" spans="1:16" x14ac:dyDescent="0.25">
      <c r="A16338" t="str">
        <f>"1240047P00151    00"</f>
        <v>1240047P00151    00</v>
      </c>
      <c r="B16338" t="s">
        <v>35718</v>
      </c>
      <c r="C16338" t="s">
        <v>35719</v>
      </c>
      <c r="D16338" t="s">
        <v>20</v>
      </c>
      <c r="E16338" t="s">
        <v>39</v>
      </c>
      <c r="F16338">
        <v>0</v>
      </c>
      <c r="G16338">
        <v>0</v>
      </c>
      <c r="H16338">
        <v>16</v>
      </c>
      <c r="I16338" s="3">
        <v>11603.71</v>
      </c>
      <c r="J16338" s="3">
        <v>9378.14</v>
      </c>
      <c r="L16338">
        <v>321</v>
      </c>
      <c r="M16338" t="s">
        <v>35720</v>
      </c>
      <c r="N16338" t="s">
        <v>35721</v>
      </c>
      <c r="O16338" t="s">
        <v>495</v>
      </c>
      <c r="P16338" t="str">
        <f>"95472"</f>
        <v>95472</v>
      </c>
    </row>
    <row r="16339" spans="1:16" x14ac:dyDescent="0.25">
      <c r="A16339" t="str">
        <f>"1240047P00204    00"</f>
        <v>1240047P00204    00</v>
      </c>
      <c r="B16339" t="s">
        <v>35722</v>
      </c>
      <c r="C16339" t="s">
        <v>35723</v>
      </c>
      <c r="D16339" t="s">
        <v>20</v>
      </c>
      <c r="E16339" t="s">
        <v>39</v>
      </c>
      <c r="F16339">
        <v>0</v>
      </c>
      <c r="G16339">
        <v>0</v>
      </c>
      <c r="H16339">
        <v>5</v>
      </c>
      <c r="I16339" s="3">
        <v>4770.8900000000003</v>
      </c>
      <c r="J16339" s="3">
        <v>1558.92</v>
      </c>
      <c r="L16339">
        <v>1702</v>
      </c>
      <c r="M16339" t="s">
        <v>35114</v>
      </c>
      <c r="N16339" t="s">
        <v>30</v>
      </c>
      <c r="O16339" t="s">
        <v>31</v>
      </c>
      <c r="P16339" t="str">
        <f>"15212"</f>
        <v>15212</v>
      </c>
    </row>
    <row r="16340" spans="1:16" x14ac:dyDescent="0.25">
      <c r="A16340" t="str">
        <f>"1240047P00236    00"</f>
        <v>1240047P00236    00</v>
      </c>
      <c r="B16340" t="s">
        <v>35724</v>
      </c>
      <c r="C16340" t="s">
        <v>35113</v>
      </c>
      <c r="D16340" t="s">
        <v>20</v>
      </c>
      <c r="E16340" t="s">
        <v>39</v>
      </c>
      <c r="F16340">
        <v>0</v>
      </c>
      <c r="G16340">
        <v>0</v>
      </c>
      <c r="H16340">
        <v>2</v>
      </c>
      <c r="I16340" s="3">
        <v>160.1</v>
      </c>
      <c r="J16340" s="3">
        <v>0</v>
      </c>
      <c r="K16340" t="s">
        <v>35725</v>
      </c>
      <c r="L16340">
        <v>607</v>
      </c>
      <c r="M16340" t="s">
        <v>35726</v>
      </c>
      <c r="N16340" t="s">
        <v>35727</v>
      </c>
      <c r="O16340" t="s">
        <v>35728</v>
      </c>
      <c r="P16340" t="str">
        <f>""</f>
        <v/>
      </c>
    </row>
    <row r="16341" spans="1:16" x14ac:dyDescent="0.25">
      <c r="A16341" t="str">
        <f>"1240047P00237    00"</f>
        <v>1240047P00237    00</v>
      </c>
      <c r="B16341" t="s">
        <v>35724</v>
      </c>
      <c r="C16341" t="s">
        <v>35113</v>
      </c>
      <c r="D16341" t="s">
        <v>20</v>
      </c>
      <c r="E16341" t="s">
        <v>39</v>
      </c>
      <c r="F16341">
        <v>0</v>
      </c>
      <c r="G16341">
        <v>0</v>
      </c>
      <c r="H16341">
        <v>2</v>
      </c>
      <c r="I16341" s="3">
        <v>160.1</v>
      </c>
      <c r="J16341" s="3">
        <v>0</v>
      </c>
      <c r="N16341" t="s">
        <v>35729</v>
      </c>
      <c r="P16341" t="str">
        <f>""</f>
        <v/>
      </c>
    </row>
    <row r="16342" spans="1:16" x14ac:dyDescent="0.25">
      <c r="A16342" t="str">
        <f>"1240047P00238    00"</f>
        <v>1240047P00238    00</v>
      </c>
      <c r="B16342" t="s">
        <v>35724</v>
      </c>
      <c r="C16342" t="s">
        <v>35113</v>
      </c>
      <c r="D16342" t="s">
        <v>20</v>
      </c>
      <c r="E16342" t="s">
        <v>39</v>
      </c>
      <c r="F16342">
        <v>0</v>
      </c>
      <c r="G16342">
        <v>0</v>
      </c>
      <c r="H16342">
        <v>2</v>
      </c>
      <c r="I16342" s="3">
        <v>160.1</v>
      </c>
      <c r="J16342" s="3">
        <v>0</v>
      </c>
      <c r="N16342" t="s">
        <v>35729</v>
      </c>
      <c r="P16342" t="str">
        <f>""</f>
        <v/>
      </c>
    </row>
    <row r="16343" spans="1:16" x14ac:dyDescent="0.25">
      <c r="A16343" t="str">
        <f>"1240047P00277    00"</f>
        <v>1240047P00277    00</v>
      </c>
      <c r="B16343" t="s">
        <v>35730</v>
      </c>
      <c r="C16343" t="s">
        <v>35731</v>
      </c>
      <c r="D16343" t="s">
        <v>20</v>
      </c>
      <c r="E16343" t="s">
        <v>39</v>
      </c>
      <c r="F16343">
        <v>0</v>
      </c>
      <c r="G16343">
        <v>0</v>
      </c>
      <c r="H16343">
        <v>6</v>
      </c>
      <c r="I16343" s="3">
        <v>2954.87</v>
      </c>
      <c r="J16343" s="3">
        <v>662.71</v>
      </c>
      <c r="K16343" t="s">
        <v>35732</v>
      </c>
      <c r="L16343">
        <v>1310</v>
      </c>
      <c r="M16343" t="s">
        <v>35733</v>
      </c>
      <c r="N16343" t="s">
        <v>285</v>
      </c>
      <c r="O16343" t="s">
        <v>31</v>
      </c>
      <c r="P16343" t="str">
        <f>"15120"</f>
        <v>15120</v>
      </c>
    </row>
    <row r="16344" spans="1:16" x14ac:dyDescent="0.25">
      <c r="A16344" t="str">
        <f>"1240047P00278    00"</f>
        <v>1240047P00278    00</v>
      </c>
      <c r="B16344" t="s">
        <v>35730</v>
      </c>
      <c r="C16344" t="s">
        <v>35734</v>
      </c>
      <c r="D16344" t="s">
        <v>20</v>
      </c>
      <c r="E16344" t="s">
        <v>39</v>
      </c>
      <c r="F16344">
        <v>0</v>
      </c>
      <c r="G16344">
        <v>0</v>
      </c>
      <c r="H16344">
        <v>6</v>
      </c>
      <c r="I16344" s="3">
        <v>3651.43</v>
      </c>
      <c r="J16344" s="3">
        <v>818.96</v>
      </c>
      <c r="K16344" t="s">
        <v>35732</v>
      </c>
      <c r="L16344">
        <v>1310</v>
      </c>
      <c r="M16344" t="s">
        <v>35733</v>
      </c>
      <c r="N16344" t="s">
        <v>285</v>
      </c>
      <c r="O16344" t="s">
        <v>31</v>
      </c>
      <c r="P16344" t="str">
        <f>"15120"</f>
        <v>15120</v>
      </c>
    </row>
    <row r="16345" spans="1:16" x14ac:dyDescent="0.25">
      <c r="A16345" t="str">
        <f>"1240047P00279    00"</f>
        <v>1240047P00279    00</v>
      </c>
      <c r="B16345" t="s">
        <v>35730</v>
      </c>
      <c r="C16345" t="s">
        <v>35735</v>
      </c>
      <c r="D16345" t="s">
        <v>20</v>
      </c>
      <c r="E16345" t="s">
        <v>39</v>
      </c>
      <c r="F16345">
        <v>0</v>
      </c>
      <c r="G16345">
        <v>0</v>
      </c>
      <c r="H16345">
        <v>6</v>
      </c>
      <c r="I16345" s="3">
        <v>3954.87</v>
      </c>
      <c r="J16345" s="3">
        <v>886.97</v>
      </c>
      <c r="K16345" t="s">
        <v>35732</v>
      </c>
      <c r="L16345">
        <v>1310</v>
      </c>
      <c r="M16345" t="s">
        <v>35733</v>
      </c>
      <c r="N16345" t="s">
        <v>285</v>
      </c>
      <c r="O16345" t="s">
        <v>31</v>
      </c>
      <c r="P16345" t="str">
        <f>"15120"</f>
        <v>15120</v>
      </c>
    </row>
    <row r="16346" spans="1:16" x14ac:dyDescent="0.25">
      <c r="A16346" t="str">
        <f>"1240047P00357    00"</f>
        <v>1240047P00357    00</v>
      </c>
      <c r="B16346" t="s">
        <v>35736</v>
      </c>
      <c r="C16346" t="s">
        <v>35737</v>
      </c>
      <c r="D16346" t="s">
        <v>20</v>
      </c>
      <c r="E16346" t="s">
        <v>39</v>
      </c>
      <c r="F16346">
        <v>0</v>
      </c>
      <c r="G16346">
        <v>0</v>
      </c>
      <c r="H16346">
        <v>14</v>
      </c>
      <c r="I16346" s="3">
        <v>2342.21</v>
      </c>
      <c r="J16346" s="3">
        <v>1718.3</v>
      </c>
      <c r="L16346">
        <v>52</v>
      </c>
      <c r="M16346" t="s">
        <v>35114</v>
      </c>
      <c r="N16346" t="s">
        <v>30</v>
      </c>
      <c r="O16346" t="s">
        <v>31</v>
      </c>
      <c r="P16346" t="str">
        <f>"15212"</f>
        <v>15212</v>
      </c>
    </row>
    <row r="16347" spans="1:16" x14ac:dyDescent="0.25">
      <c r="A16347" t="str">
        <f>"1240047P00359    00"</f>
        <v>1240047P00359    00</v>
      </c>
      <c r="B16347" t="s">
        <v>35626</v>
      </c>
      <c r="C16347" t="s">
        <v>35738</v>
      </c>
      <c r="D16347" t="s">
        <v>20</v>
      </c>
      <c r="E16347" t="s">
        <v>39</v>
      </c>
      <c r="F16347">
        <v>0</v>
      </c>
      <c r="G16347">
        <v>0</v>
      </c>
      <c r="H16347">
        <v>10</v>
      </c>
      <c r="I16347" s="3">
        <v>5382.09</v>
      </c>
      <c r="J16347" s="3">
        <v>2304.5</v>
      </c>
      <c r="L16347">
        <v>125</v>
      </c>
      <c r="M16347" t="s">
        <v>35628</v>
      </c>
      <c r="N16347" t="s">
        <v>35629</v>
      </c>
      <c r="O16347" t="s">
        <v>423</v>
      </c>
      <c r="P16347" t="str">
        <f>"08251"</f>
        <v>08251</v>
      </c>
    </row>
    <row r="16348" spans="1:16" x14ac:dyDescent="0.25">
      <c r="A16348" t="str">
        <f>"1240047R00010    00"</f>
        <v>1240047R00010    00</v>
      </c>
      <c r="B16348" t="s">
        <v>35739</v>
      </c>
      <c r="C16348" t="s">
        <v>35740</v>
      </c>
      <c r="D16348" t="s">
        <v>20</v>
      </c>
      <c r="E16348" t="s">
        <v>39</v>
      </c>
      <c r="F16348">
        <v>0</v>
      </c>
      <c r="G16348">
        <v>0</v>
      </c>
      <c r="H16348">
        <v>19</v>
      </c>
      <c r="I16348" s="3">
        <v>9334.14</v>
      </c>
      <c r="J16348" s="3">
        <v>10626.24</v>
      </c>
      <c r="L16348">
        <v>1127</v>
      </c>
      <c r="M16348" t="s">
        <v>35741</v>
      </c>
      <c r="N16348" t="s">
        <v>30</v>
      </c>
      <c r="O16348" t="s">
        <v>31</v>
      </c>
      <c r="P16348" t="str">
        <f>"15212"</f>
        <v>15212</v>
      </c>
    </row>
    <row r="16349" spans="1:16" x14ac:dyDescent="0.25">
      <c r="A16349" t="str">
        <f>"1240047R00026    00"</f>
        <v>1240047R00026    00</v>
      </c>
      <c r="B16349" t="s">
        <v>35742</v>
      </c>
      <c r="C16349" t="s">
        <v>34798</v>
      </c>
      <c r="D16349" t="s">
        <v>20</v>
      </c>
      <c r="E16349" t="s">
        <v>39</v>
      </c>
      <c r="F16349">
        <v>0</v>
      </c>
      <c r="G16349">
        <v>0</v>
      </c>
      <c r="H16349">
        <v>19</v>
      </c>
      <c r="I16349" s="3">
        <v>4964.05</v>
      </c>
      <c r="J16349" s="3">
        <v>7211.27</v>
      </c>
      <c r="L16349">
        <v>1315</v>
      </c>
      <c r="M16349" t="s">
        <v>34789</v>
      </c>
      <c r="N16349" t="s">
        <v>30</v>
      </c>
      <c r="O16349" t="s">
        <v>31</v>
      </c>
      <c r="P16349" t="str">
        <f>"15212"</f>
        <v>15212</v>
      </c>
    </row>
    <row r="16350" spans="1:16" x14ac:dyDescent="0.25">
      <c r="A16350" t="str">
        <f>"1240047R00027    00"</f>
        <v>1240047R00027    00</v>
      </c>
      <c r="B16350" t="s">
        <v>35743</v>
      </c>
      <c r="C16350" t="s">
        <v>34798</v>
      </c>
      <c r="D16350" t="s">
        <v>20</v>
      </c>
      <c r="E16350" t="s">
        <v>39</v>
      </c>
      <c r="F16350">
        <v>0</v>
      </c>
      <c r="G16350">
        <v>0</v>
      </c>
      <c r="H16350">
        <v>14</v>
      </c>
      <c r="I16350" s="3">
        <v>371.66</v>
      </c>
      <c r="J16350" s="3">
        <v>343.08</v>
      </c>
      <c r="K16350" t="s">
        <v>35744</v>
      </c>
      <c r="L16350">
        <v>21</v>
      </c>
      <c r="M16350" t="s">
        <v>10776</v>
      </c>
      <c r="N16350" t="s">
        <v>30</v>
      </c>
      <c r="O16350" t="s">
        <v>31</v>
      </c>
      <c r="P16350" t="str">
        <f>"15215"</f>
        <v>15215</v>
      </c>
    </row>
    <row r="16351" spans="1:16" x14ac:dyDescent="0.25">
      <c r="A16351" t="str">
        <f>"1240047R00028    00"</f>
        <v>1240047R00028    00</v>
      </c>
      <c r="B16351" t="s">
        <v>35745</v>
      </c>
      <c r="C16351" t="s">
        <v>34798</v>
      </c>
      <c r="D16351" t="s">
        <v>20</v>
      </c>
      <c r="E16351" t="s">
        <v>39</v>
      </c>
      <c r="F16351">
        <v>0</v>
      </c>
      <c r="G16351">
        <v>0</v>
      </c>
      <c r="H16351">
        <v>14</v>
      </c>
      <c r="I16351" s="3">
        <v>180.6</v>
      </c>
      <c r="J16351" s="3">
        <v>98.95</v>
      </c>
      <c r="K16351" t="s">
        <v>35746</v>
      </c>
      <c r="L16351">
        <v>1451</v>
      </c>
      <c r="M16351" t="s">
        <v>35747</v>
      </c>
      <c r="N16351" t="s">
        <v>35748</v>
      </c>
      <c r="O16351" t="s">
        <v>31</v>
      </c>
      <c r="P16351" t="str">
        <f>"15065"</f>
        <v>15065</v>
      </c>
    </row>
    <row r="16352" spans="1:16" x14ac:dyDescent="0.25">
      <c r="A16352" t="str">
        <f>"1240047R00045    00"</f>
        <v>1240047R00045    00</v>
      </c>
      <c r="B16352" t="s">
        <v>13100</v>
      </c>
      <c r="C16352" t="s">
        <v>35581</v>
      </c>
      <c r="D16352" t="s">
        <v>20</v>
      </c>
      <c r="E16352" t="s">
        <v>39</v>
      </c>
      <c r="F16352">
        <v>0</v>
      </c>
      <c r="G16352">
        <v>0</v>
      </c>
      <c r="H16352">
        <v>19</v>
      </c>
      <c r="I16352" s="3">
        <v>5690.74</v>
      </c>
      <c r="J16352" s="3">
        <v>6198.13</v>
      </c>
      <c r="K16352" t="s">
        <v>13101</v>
      </c>
      <c r="L16352">
        <v>5163</v>
      </c>
      <c r="M16352" t="s">
        <v>13102</v>
      </c>
      <c r="N16352" t="s">
        <v>13103</v>
      </c>
      <c r="O16352" t="s">
        <v>370</v>
      </c>
      <c r="P16352" t="str">
        <f>"32583"</f>
        <v>32583</v>
      </c>
    </row>
    <row r="16353" spans="1:16" x14ac:dyDescent="0.25">
      <c r="A16353" t="str">
        <f>"1240047R00047    00"</f>
        <v>1240047R00047    00</v>
      </c>
      <c r="B16353" t="s">
        <v>35749</v>
      </c>
      <c r="C16353" t="s">
        <v>35581</v>
      </c>
      <c r="D16353" t="s">
        <v>20</v>
      </c>
      <c r="E16353" t="s">
        <v>39</v>
      </c>
      <c r="F16353">
        <v>0</v>
      </c>
      <c r="G16353">
        <v>0</v>
      </c>
      <c r="H16353">
        <v>19</v>
      </c>
      <c r="I16353" s="3">
        <v>3781.54</v>
      </c>
      <c r="J16353" s="3">
        <v>2147.02</v>
      </c>
      <c r="K16353" t="s">
        <v>1008</v>
      </c>
      <c r="P16353" t="str">
        <f>""</f>
        <v/>
      </c>
    </row>
    <row r="16354" spans="1:16" x14ac:dyDescent="0.25">
      <c r="A16354" t="str">
        <f>"1240047R00051    00"</f>
        <v>1240047R00051    00</v>
      </c>
      <c r="B16354" t="s">
        <v>35750</v>
      </c>
      <c r="C16354" t="s">
        <v>35581</v>
      </c>
      <c r="D16354" t="s">
        <v>20</v>
      </c>
      <c r="E16354" t="s">
        <v>39</v>
      </c>
      <c r="F16354">
        <v>0</v>
      </c>
      <c r="G16354">
        <v>0</v>
      </c>
      <c r="H16354">
        <v>19</v>
      </c>
      <c r="I16354" s="3">
        <v>8804.4</v>
      </c>
      <c r="J16354" s="3">
        <v>9887.44</v>
      </c>
      <c r="L16354">
        <v>1808</v>
      </c>
      <c r="M16354" t="s">
        <v>35751</v>
      </c>
      <c r="N16354" t="s">
        <v>30</v>
      </c>
      <c r="O16354" t="s">
        <v>31</v>
      </c>
      <c r="P16354" t="str">
        <f>"15212"</f>
        <v>15212</v>
      </c>
    </row>
    <row r="16355" spans="1:16" x14ac:dyDescent="0.25">
      <c r="A16355" t="str">
        <f>"1240047R00053    00"</f>
        <v>1240047R00053    00</v>
      </c>
      <c r="B16355" t="s">
        <v>35752</v>
      </c>
      <c r="C16355" t="s">
        <v>35753</v>
      </c>
      <c r="D16355" t="s">
        <v>20</v>
      </c>
      <c r="E16355" t="s">
        <v>39</v>
      </c>
      <c r="F16355">
        <v>0</v>
      </c>
      <c r="G16355">
        <v>0</v>
      </c>
      <c r="H16355">
        <v>1</v>
      </c>
      <c r="I16355" s="3">
        <v>508.91</v>
      </c>
      <c r="J16355" s="3">
        <v>0</v>
      </c>
      <c r="L16355">
        <v>1036</v>
      </c>
      <c r="M16355" t="s">
        <v>35741</v>
      </c>
      <c r="N16355" t="s">
        <v>30</v>
      </c>
      <c r="O16355" t="s">
        <v>31</v>
      </c>
      <c r="P16355" t="str">
        <f>"15212"</f>
        <v>15212</v>
      </c>
    </row>
    <row r="16356" spans="1:16" x14ac:dyDescent="0.25">
      <c r="A16356" t="str">
        <f>"1240047R00056    00"</f>
        <v>1240047R00056    00</v>
      </c>
      <c r="B16356" t="s">
        <v>33689</v>
      </c>
      <c r="C16356" t="s">
        <v>35740</v>
      </c>
      <c r="D16356" t="s">
        <v>20</v>
      </c>
      <c r="E16356" t="s">
        <v>39</v>
      </c>
      <c r="F16356">
        <v>0</v>
      </c>
      <c r="G16356">
        <v>0</v>
      </c>
      <c r="H16356">
        <v>19</v>
      </c>
      <c r="I16356" s="3">
        <v>7090.77</v>
      </c>
      <c r="J16356" s="3">
        <v>9960.5400000000009</v>
      </c>
      <c r="L16356">
        <v>1616</v>
      </c>
      <c r="M16356" t="s">
        <v>35754</v>
      </c>
      <c r="N16356" t="s">
        <v>30</v>
      </c>
      <c r="O16356" t="s">
        <v>31</v>
      </c>
      <c r="P16356" t="str">
        <f>"15212"</f>
        <v>15212</v>
      </c>
    </row>
    <row r="16357" spans="1:16" x14ac:dyDescent="0.25">
      <c r="A16357" t="str">
        <f>"1240047R00057    00"</f>
        <v>1240047R00057    00</v>
      </c>
      <c r="B16357" t="s">
        <v>35755</v>
      </c>
      <c r="C16357" t="s">
        <v>35740</v>
      </c>
      <c r="D16357" t="s">
        <v>20</v>
      </c>
      <c r="E16357" t="s">
        <v>39</v>
      </c>
      <c r="F16357">
        <v>0</v>
      </c>
      <c r="G16357">
        <v>0</v>
      </c>
      <c r="H16357">
        <v>18</v>
      </c>
      <c r="I16357" s="3">
        <v>5940.59</v>
      </c>
      <c r="J16357" s="3">
        <v>5861.16</v>
      </c>
      <c r="L16357">
        <v>59</v>
      </c>
      <c r="M16357" t="s">
        <v>35756</v>
      </c>
      <c r="N16357" t="s">
        <v>30</v>
      </c>
      <c r="O16357" t="s">
        <v>31</v>
      </c>
      <c r="P16357" t="str">
        <f>"15206"</f>
        <v>15206</v>
      </c>
    </row>
    <row r="16358" spans="1:16" x14ac:dyDescent="0.25">
      <c r="A16358" t="str">
        <f>"1240047R00064    00"</f>
        <v>1240047R00064    00</v>
      </c>
      <c r="B16358" t="s">
        <v>35757</v>
      </c>
      <c r="C16358" t="s">
        <v>35758</v>
      </c>
      <c r="D16358" t="s">
        <v>20</v>
      </c>
      <c r="E16358" t="s">
        <v>39</v>
      </c>
      <c r="F16358">
        <v>0</v>
      </c>
      <c r="G16358">
        <v>0</v>
      </c>
      <c r="H16358">
        <v>19</v>
      </c>
      <c r="I16358" s="3">
        <v>5909.6</v>
      </c>
      <c r="J16358" s="3">
        <v>6555.09</v>
      </c>
      <c r="L16358">
        <v>1615</v>
      </c>
      <c r="M16358" t="s">
        <v>7289</v>
      </c>
      <c r="N16358" t="s">
        <v>30</v>
      </c>
      <c r="O16358" t="s">
        <v>31</v>
      </c>
      <c r="P16358" t="str">
        <f>"15212"</f>
        <v>15212</v>
      </c>
    </row>
    <row r="16359" spans="1:16" x14ac:dyDescent="0.25">
      <c r="A16359" t="str">
        <f>"1240047R00066    00"</f>
        <v>1240047R00066    00</v>
      </c>
      <c r="B16359" t="s">
        <v>35759</v>
      </c>
      <c r="C16359" t="s">
        <v>35760</v>
      </c>
      <c r="D16359" t="s">
        <v>20</v>
      </c>
      <c r="E16359" t="s">
        <v>39</v>
      </c>
      <c r="F16359">
        <v>0</v>
      </c>
      <c r="G16359">
        <v>0</v>
      </c>
      <c r="H16359">
        <v>19</v>
      </c>
      <c r="I16359" s="3">
        <v>542.91</v>
      </c>
      <c r="J16359" s="3">
        <v>601.91999999999996</v>
      </c>
      <c r="K16359" t="s">
        <v>1008</v>
      </c>
      <c r="P16359" t="str">
        <f>""</f>
        <v/>
      </c>
    </row>
    <row r="16360" spans="1:16" x14ac:dyDescent="0.25">
      <c r="A16360" t="str">
        <f>"1240047R00069    00"</f>
        <v>1240047R00069    00</v>
      </c>
      <c r="B16360" t="s">
        <v>35761</v>
      </c>
      <c r="C16360" t="s">
        <v>35762</v>
      </c>
      <c r="D16360" t="s">
        <v>20</v>
      </c>
      <c r="E16360" t="s">
        <v>39</v>
      </c>
      <c r="F16360">
        <v>0</v>
      </c>
      <c r="G16360">
        <v>0</v>
      </c>
      <c r="H16360">
        <v>15</v>
      </c>
      <c r="I16360" s="3">
        <v>9858.3799999999992</v>
      </c>
      <c r="J16360" s="3">
        <v>7860.61</v>
      </c>
      <c r="P16360" t="str">
        <f>""</f>
        <v/>
      </c>
    </row>
    <row r="16361" spans="1:16" x14ac:dyDescent="0.25">
      <c r="A16361" t="str">
        <f>"1240047R00073    00"</f>
        <v>1240047R00073    00</v>
      </c>
      <c r="B16361" t="s">
        <v>35763</v>
      </c>
      <c r="C16361" t="s">
        <v>35764</v>
      </c>
      <c r="D16361" t="s">
        <v>20</v>
      </c>
      <c r="E16361" t="s">
        <v>39</v>
      </c>
      <c r="F16361">
        <v>0</v>
      </c>
      <c r="G16361">
        <v>0</v>
      </c>
      <c r="H16361">
        <v>19</v>
      </c>
      <c r="I16361" s="3">
        <v>8437.1</v>
      </c>
      <c r="J16361" s="3">
        <v>8880.6200000000008</v>
      </c>
      <c r="L16361">
        <v>16</v>
      </c>
      <c r="M16361" t="s">
        <v>35765</v>
      </c>
      <c r="N16361" t="s">
        <v>30</v>
      </c>
      <c r="O16361" t="s">
        <v>31</v>
      </c>
      <c r="P16361" t="str">
        <f>"15212"</f>
        <v>15212</v>
      </c>
    </row>
    <row r="16362" spans="1:16" x14ac:dyDescent="0.25">
      <c r="A16362" t="str">
        <f>"1240047R00075    00"</f>
        <v>1240047R00075    00</v>
      </c>
      <c r="B16362" t="s">
        <v>35766</v>
      </c>
      <c r="C16362" t="s">
        <v>35764</v>
      </c>
      <c r="D16362" t="s">
        <v>20</v>
      </c>
      <c r="E16362" t="s">
        <v>39</v>
      </c>
      <c r="F16362">
        <v>0</v>
      </c>
      <c r="G16362">
        <v>0</v>
      </c>
      <c r="H16362">
        <v>19</v>
      </c>
      <c r="I16362" s="3">
        <v>15819.41</v>
      </c>
      <c r="J16362" s="3">
        <v>18301.64</v>
      </c>
      <c r="K16362" t="s">
        <v>35767</v>
      </c>
      <c r="M16362" t="s">
        <v>21995</v>
      </c>
      <c r="N16362" t="s">
        <v>30</v>
      </c>
      <c r="O16362" t="s">
        <v>31</v>
      </c>
      <c r="P16362" t="str">
        <f>"15232"</f>
        <v>15232</v>
      </c>
    </row>
    <row r="16363" spans="1:16" x14ac:dyDescent="0.25">
      <c r="A16363" t="str">
        <f>"1240047R00093    00"</f>
        <v>1240047R00093    00</v>
      </c>
      <c r="B16363" t="s">
        <v>1457</v>
      </c>
      <c r="C16363" t="s">
        <v>35768</v>
      </c>
      <c r="D16363" t="s">
        <v>20</v>
      </c>
      <c r="E16363" t="s">
        <v>39</v>
      </c>
      <c r="F16363">
        <v>0</v>
      </c>
      <c r="G16363">
        <v>0</v>
      </c>
      <c r="H16363">
        <v>2</v>
      </c>
      <c r="I16363" s="3">
        <v>1098.8599999999999</v>
      </c>
      <c r="J16363" s="3">
        <v>0</v>
      </c>
      <c r="K16363" t="s">
        <v>35769</v>
      </c>
      <c r="L16363">
        <v>1420</v>
      </c>
      <c r="M16363" t="s">
        <v>24014</v>
      </c>
      <c r="N16363" t="s">
        <v>30</v>
      </c>
      <c r="O16363" t="s">
        <v>31</v>
      </c>
      <c r="P16363" t="str">
        <f>"15212"</f>
        <v>15212</v>
      </c>
    </row>
    <row r="16364" spans="1:16" x14ac:dyDescent="0.25">
      <c r="A16364" t="str">
        <f>"1240047R00096    00"</f>
        <v>1240047R00096    00</v>
      </c>
      <c r="B16364" t="s">
        <v>35770</v>
      </c>
      <c r="C16364" t="s">
        <v>35771</v>
      </c>
      <c r="E16364" t="s">
        <v>290</v>
      </c>
      <c r="F16364">
        <v>0</v>
      </c>
      <c r="G16364">
        <v>0</v>
      </c>
      <c r="H16364">
        <v>2</v>
      </c>
      <c r="I16364" s="3">
        <v>641.54999999999995</v>
      </c>
      <c r="J16364" s="3">
        <v>2.65</v>
      </c>
      <c r="K16364" t="s">
        <v>35772</v>
      </c>
      <c r="L16364">
        <v>1632</v>
      </c>
      <c r="M16364" t="s">
        <v>208</v>
      </c>
      <c r="N16364" t="s">
        <v>30</v>
      </c>
      <c r="O16364" t="s">
        <v>31</v>
      </c>
      <c r="P16364" t="str">
        <f>"15219"</f>
        <v>15219</v>
      </c>
    </row>
    <row r="16365" spans="1:16" x14ac:dyDescent="0.25">
      <c r="A16365" t="str">
        <f>"1240047R00131    00"</f>
        <v>1240047R00131    00</v>
      </c>
      <c r="B16365" t="s">
        <v>35773</v>
      </c>
      <c r="C16365" t="s">
        <v>35774</v>
      </c>
      <c r="E16365" t="s">
        <v>39</v>
      </c>
      <c r="F16365">
        <v>0</v>
      </c>
      <c r="G16365">
        <v>0</v>
      </c>
      <c r="H16365">
        <v>1</v>
      </c>
      <c r="I16365" s="3">
        <v>30.5</v>
      </c>
      <c r="J16365" s="3">
        <v>0</v>
      </c>
      <c r="L16365">
        <v>1454</v>
      </c>
      <c r="M16365" t="s">
        <v>35242</v>
      </c>
      <c r="N16365" t="s">
        <v>30</v>
      </c>
      <c r="O16365" t="s">
        <v>31</v>
      </c>
      <c r="P16365" t="str">
        <f>"15212"</f>
        <v>15212</v>
      </c>
    </row>
    <row r="16366" spans="1:16" x14ac:dyDescent="0.25">
      <c r="A16366" t="str">
        <f>"1240047R00132    00"</f>
        <v>1240047R00132    00</v>
      </c>
      <c r="B16366" t="s">
        <v>35773</v>
      </c>
      <c r="C16366" t="s">
        <v>35774</v>
      </c>
      <c r="E16366" t="s">
        <v>39</v>
      </c>
      <c r="F16366">
        <v>0</v>
      </c>
      <c r="G16366">
        <v>0</v>
      </c>
      <c r="H16366">
        <v>1</v>
      </c>
      <c r="I16366" s="3">
        <v>44.05</v>
      </c>
      <c r="J16366" s="3">
        <v>0</v>
      </c>
      <c r="L16366">
        <v>1454</v>
      </c>
      <c r="M16366" t="s">
        <v>35242</v>
      </c>
      <c r="N16366" t="s">
        <v>30</v>
      </c>
      <c r="O16366" t="s">
        <v>31</v>
      </c>
      <c r="P16366" t="str">
        <f>"15212"</f>
        <v>15212</v>
      </c>
    </row>
    <row r="16367" spans="1:16" x14ac:dyDescent="0.25">
      <c r="A16367" t="str">
        <f>"1240047R00160    00"</f>
        <v>1240047R00160    00</v>
      </c>
      <c r="B16367" t="s">
        <v>35775</v>
      </c>
      <c r="C16367" t="s">
        <v>35776</v>
      </c>
      <c r="D16367" t="s">
        <v>20</v>
      </c>
      <c r="E16367" t="s">
        <v>39</v>
      </c>
      <c r="F16367">
        <v>0</v>
      </c>
      <c r="G16367">
        <v>0</v>
      </c>
      <c r="H16367">
        <v>3</v>
      </c>
      <c r="I16367" s="3">
        <v>3528.06</v>
      </c>
      <c r="J16367" s="3">
        <v>235.2</v>
      </c>
      <c r="L16367">
        <v>308</v>
      </c>
      <c r="M16367" t="s">
        <v>7289</v>
      </c>
      <c r="N16367" t="s">
        <v>30</v>
      </c>
      <c r="O16367" t="s">
        <v>31</v>
      </c>
      <c r="P16367" t="str">
        <f>"15212"</f>
        <v>15212</v>
      </c>
    </row>
    <row r="16368" spans="1:16" x14ac:dyDescent="0.25">
      <c r="A16368" t="str">
        <f>"1240047R00169    00"</f>
        <v>1240047R00169    00</v>
      </c>
      <c r="B16368" t="s">
        <v>35777</v>
      </c>
      <c r="C16368" t="s">
        <v>35778</v>
      </c>
      <c r="E16368" t="s">
        <v>39</v>
      </c>
      <c r="F16368">
        <v>0</v>
      </c>
      <c r="G16368">
        <v>0</v>
      </c>
      <c r="H16368">
        <v>1</v>
      </c>
      <c r="I16368" s="3">
        <v>288.91000000000003</v>
      </c>
      <c r="J16368" s="3">
        <v>0</v>
      </c>
      <c r="K16368" t="s">
        <v>35779</v>
      </c>
      <c r="L16368">
        <v>2140</v>
      </c>
      <c r="M16368" t="s">
        <v>35780</v>
      </c>
      <c r="N16368" t="s">
        <v>30</v>
      </c>
      <c r="O16368" t="s">
        <v>31</v>
      </c>
      <c r="P16368" t="str">
        <f>"15212"</f>
        <v>15212</v>
      </c>
    </row>
    <row r="16369" spans="1:16" x14ac:dyDescent="0.25">
      <c r="A16369" t="str">
        <f>"1240047R00190    00"</f>
        <v>1240047R00190    00</v>
      </c>
      <c r="B16369" t="s">
        <v>35781</v>
      </c>
      <c r="C16369" t="s">
        <v>35782</v>
      </c>
      <c r="D16369" t="s">
        <v>20</v>
      </c>
      <c r="E16369" t="s">
        <v>39</v>
      </c>
      <c r="F16369">
        <v>0</v>
      </c>
      <c r="G16369">
        <v>0</v>
      </c>
      <c r="H16369">
        <v>3</v>
      </c>
      <c r="I16369" s="3">
        <v>1259.72</v>
      </c>
      <c r="J16369" s="3">
        <v>67.05</v>
      </c>
      <c r="L16369">
        <v>3473</v>
      </c>
      <c r="M16369" t="s">
        <v>35783</v>
      </c>
      <c r="N16369" t="s">
        <v>30</v>
      </c>
      <c r="O16369" t="s">
        <v>31</v>
      </c>
      <c r="P16369" t="str">
        <f>"15212"</f>
        <v>15212</v>
      </c>
    </row>
    <row r="16370" spans="1:16" x14ac:dyDescent="0.25">
      <c r="A16370" t="str">
        <f>"1240047R00232    00"</f>
        <v>1240047R00232    00</v>
      </c>
      <c r="B16370" t="s">
        <v>35784</v>
      </c>
      <c r="C16370" t="s">
        <v>35785</v>
      </c>
      <c r="D16370" t="s">
        <v>20</v>
      </c>
      <c r="E16370" t="s">
        <v>39</v>
      </c>
      <c r="F16370">
        <v>0</v>
      </c>
      <c r="G16370">
        <v>0</v>
      </c>
      <c r="H16370">
        <v>17</v>
      </c>
      <c r="I16370" s="3">
        <v>10003.58</v>
      </c>
      <c r="J16370" s="3">
        <v>10279.19</v>
      </c>
      <c r="L16370">
        <v>947</v>
      </c>
      <c r="M16370" t="s">
        <v>35786</v>
      </c>
      <c r="N16370" t="s">
        <v>285</v>
      </c>
      <c r="O16370" t="s">
        <v>31</v>
      </c>
      <c r="P16370" t="str">
        <f>"15120"</f>
        <v>15120</v>
      </c>
    </row>
    <row r="16371" spans="1:16" x14ac:dyDescent="0.25">
      <c r="A16371" t="str">
        <f>"1240047R00235    00"</f>
        <v>1240047R00235    00</v>
      </c>
      <c r="B16371" t="s">
        <v>35787</v>
      </c>
      <c r="C16371" t="s">
        <v>35788</v>
      </c>
      <c r="D16371" t="s">
        <v>20</v>
      </c>
      <c r="E16371" t="s">
        <v>39</v>
      </c>
      <c r="F16371">
        <v>0</v>
      </c>
      <c r="G16371">
        <v>0</v>
      </c>
      <c r="H16371">
        <v>1</v>
      </c>
      <c r="I16371" s="3">
        <v>113.66</v>
      </c>
      <c r="J16371" s="3">
        <v>0</v>
      </c>
      <c r="K16371" t="s">
        <v>8419</v>
      </c>
      <c r="M16371" t="s">
        <v>1128</v>
      </c>
      <c r="N16371" t="s">
        <v>1129</v>
      </c>
      <c r="O16371" t="s">
        <v>108</v>
      </c>
      <c r="P16371" t="str">
        <f>"76161"</f>
        <v>76161</v>
      </c>
    </row>
    <row r="16372" spans="1:16" x14ac:dyDescent="0.25">
      <c r="A16372" t="str">
        <f>"1240047S00006    00"</f>
        <v>1240047S00006    00</v>
      </c>
      <c r="B16372" t="s">
        <v>35789</v>
      </c>
      <c r="C16372" t="s">
        <v>35167</v>
      </c>
      <c r="D16372" t="s">
        <v>20</v>
      </c>
      <c r="E16372" t="s">
        <v>39</v>
      </c>
      <c r="F16372">
        <v>0</v>
      </c>
      <c r="G16372">
        <v>0</v>
      </c>
      <c r="H16372">
        <v>16</v>
      </c>
      <c r="I16372" s="3">
        <v>5167.6899999999996</v>
      </c>
      <c r="J16372" s="3">
        <v>4884.3900000000003</v>
      </c>
      <c r="L16372">
        <v>1476</v>
      </c>
      <c r="M16372" t="s">
        <v>24014</v>
      </c>
      <c r="N16372" t="s">
        <v>30</v>
      </c>
      <c r="O16372" t="s">
        <v>31</v>
      </c>
      <c r="P16372" t="str">
        <f>"15212"</f>
        <v>15212</v>
      </c>
    </row>
    <row r="16373" spans="1:16" x14ac:dyDescent="0.25">
      <c r="A16373" t="str">
        <f>"1240047S00007    00"</f>
        <v>1240047S00007    00</v>
      </c>
      <c r="B16373" t="s">
        <v>35790</v>
      </c>
      <c r="C16373" t="s">
        <v>35791</v>
      </c>
      <c r="D16373" t="s">
        <v>20</v>
      </c>
      <c r="E16373" t="s">
        <v>39</v>
      </c>
      <c r="F16373">
        <v>0</v>
      </c>
      <c r="G16373">
        <v>0</v>
      </c>
      <c r="H16373">
        <v>5</v>
      </c>
      <c r="I16373" s="3">
        <v>2187.06</v>
      </c>
      <c r="J16373" s="3">
        <v>548.95000000000005</v>
      </c>
      <c r="L16373">
        <v>1478</v>
      </c>
      <c r="M16373" t="s">
        <v>24014</v>
      </c>
      <c r="N16373" t="s">
        <v>30</v>
      </c>
      <c r="O16373" t="s">
        <v>31</v>
      </c>
      <c r="P16373" t="str">
        <f>"15212"</f>
        <v>15212</v>
      </c>
    </row>
    <row r="16374" spans="1:16" x14ac:dyDescent="0.25">
      <c r="A16374" t="str">
        <f>"1240047S00007A   00"</f>
        <v>1240047S00007A   00</v>
      </c>
      <c r="B16374" t="s">
        <v>35790</v>
      </c>
      <c r="C16374" t="s">
        <v>35167</v>
      </c>
      <c r="D16374" t="s">
        <v>20</v>
      </c>
      <c r="E16374" t="s">
        <v>39</v>
      </c>
      <c r="F16374">
        <v>0</v>
      </c>
      <c r="G16374">
        <v>0</v>
      </c>
      <c r="H16374">
        <v>2</v>
      </c>
      <c r="I16374" s="3">
        <v>153.04</v>
      </c>
      <c r="J16374" s="3">
        <v>22.46</v>
      </c>
      <c r="L16374">
        <v>1478</v>
      </c>
      <c r="M16374" t="s">
        <v>24014</v>
      </c>
      <c r="N16374" t="s">
        <v>30</v>
      </c>
      <c r="O16374" t="s">
        <v>31</v>
      </c>
      <c r="P16374" t="str">
        <f>"15212"</f>
        <v>15212</v>
      </c>
    </row>
    <row r="16375" spans="1:16" x14ac:dyDescent="0.25">
      <c r="A16375" t="str">
        <f>"1240047S00008    00"</f>
        <v>1240047S00008    00</v>
      </c>
      <c r="B16375" t="s">
        <v>35790</v>
      </c>
      <c r="C16375" t="s">
        <v>35167</v>
      </c>
      <c r="D16375" t="s">
        <v>20</v>
      </c>
      <c r="E16375" t="s">
        <v>39</v>
      </c>
      <c r="F16375">
        <v>0</v>
      </c>
      <c r="G16375">
        <v>0</v>
      </c>
      <c r="H16375">
        <v>5</v>
      </c>
      <c r="I16375" s="3">
        <v>376.3</v>
      </c>
      <c r="J16375" s="3">
        <v>178.11</v>
      </c>
      <c r="L16375">
        <v>1478</v>
      </c>
      <c r="M16375" t="s">
        <v>24014</v>
      </c>
      <c r="N16375" t="s">
        <v>30</v>
      </c>
      <c r="O16375" t="s">
        <v>31</v>
      </c>
      <c r="P16375" t="str">
        <f>"15212"</f>
        <v>15212</v>
      </c>
    </row>
    <row r="16376" spans="1:16" x14ac:dyDescent="0.25">
      <c r="A16376" t="str">
        <f>"1240047S00041    00"</f>
        <v>1240047S00041    00</v>
      </c>
      <c r="B16376" t="s">
        <v>35792</v>
      </c>
      <c r="C16376" t="s">
        <v>35793</v>
      </c>
      <c r="D16376" t="s">
        <v>20</v>
      </c>
      <c r="E16376" t="s">
        <v>39</v>
      </c>
      <c r="F16376">
        <v>0</v>
      </c>
      <c r="G16376">
        <v>0</v>
      </c>
      <c r="H16376">
        <v>19</v>
      </c>
      <c r="I16376" s="3">
        <v>12467.2</v>
      </c>
      <c r="J16376" s="3">
        <v>13143.85</v>
      </c>
      <c r="K16376" t="s">
        <v>35794</v>
      </c>
      <c r="L16376">
        <v>1705</v>
      </c>
      <c r="M16376" t="s">
        <v>35795</v>
      </c>
      <c r="N16376" t="s">
        <v>30</v>
      </c>
      <c r="O16376" t="s">
        <v>31</v>
      </c>
      <c r="P16376" t="str">
        <f>"15212"</f>
        <v>15212</v>
      </c>
    </row>
    <row r="16377" spans="1:16" x14ac:dyDescent="0.25">
      <c r="A16377" t="str">
        <f>"1240047S00126    00"</f>
        <v>1240047S00126    00</v>
      </c>
      <c r="B16377" t="s">
        <v>35796</v>
      </c>
      <c r="C16377" t="s">
        <v>35797</v>
      </c>
      <c r="E16377" t="s">
        <v>39</v>
      </c>
      <c r="F16377">
        <v>0</v>
      </c>
      <c r="G16377">
        <v>0</v>
      </c>
      <c r="H16377">
        <v>2</v>
      </c>
      <c r="I16377" s="3">
        <v>8142.44</v>
      </c>
      <c r="J16377" s="3">
        <v>339.25</v>
      </c>
      <c r="K16377" t="s">
        <v>35798</v>
      </c>
      <c r="M16377" t="s">
        <v>1439</v>
      </c>
      <c r="N16377" t="s">
        <v>1440</v>
      </c>
      <c r="O16377" t="s">
        <v>70</v>
      </c>
      <c r="P16377" t="str">
        <f>"48501"</f>
        <v>48501</v>
      </c>
    </row>
    <row r="16378" spans="1:16" x14ac:dyDescent="0.25">
      <c r="A16378" t="str">
        <f>"1240047S00179    00"</f>
        <v>1240047S00179    00</v>
      </c>
      <c r="B16378" t="s">
        <v>35799</v>
      </c>
      <c r="C16378" t="s">
        <v>35800</v>
      </c>
      <c r="D16378" t="s">
        <v>20</v>
      </c>
      <c r="E16378" t="s">
        <v>39</v>
      </c>
      <c r="F16378">
        <v>0</v>
      </c>
      <c r="G16378">
        <v>0</v>
      </c>
      <c r="H16378">
        <v>19</v>
      </c>
      <c r="I16378" s="3">
        <v>474.37</v>
      </c>
      <c r="J16378" s="3">
        <v>543.22</v>
      </c>
      <c r="K16378" t="s">
        <v>35801</v>
      </c>
      <c r="L16378">
        <v>50</v>
      </c>
      <c r="M16378" t="s">
        <v>35802</v>
      </c>
      <c r="N16378" t="s">
        <v>30</v>
      </c>
      <c r="O16378" t="s">
        <v>31</v>
      </c>
      <c r="P16378" t="str">
        <f>"15202"</f>
        <v>15202</v>
      </c>
    </row>
    <row r="16379" spans="1:16" x14ac:dyDescent="0.25">
      <c r="A16379" t="str">
        <f>"1240047S00182    00"</f>
        <v>1240047S00182    00</v>
      </c>
      <c r="B16379" t="s">
        <v>35803</v>
      </c>
      <c r="C16379" t="s">
        <v>35800</v>
      </c>
      <c r="D16379" t="s">
        <v>20</v>
      </c>
      <c r="E16379" t="s">
        <v>39</v>
      </c>
      <c r="F16379">
        <v>0</v>
      </c>
      <c r="G16379">
        <v>0</v>
      </c>
      <c r="H16379">
        <v>19</v>
      </c>
      <c r="I16379" s="3">
        <v>474.37</v>
      </c>
      <c r="J16379" s="3">
        <v>543.22</v>
      </c>
      <c r="L16379">
        <v>524</v>
      </c>
      <c r="M16379" t="s">
        <v>35804</v>
      </c>
      <c r="N16379" t="s">
        <v>35805</v>
      </c>
      <c r="O16379" t="s">
        <v>31</v>
      </c>
      <c r="P16379" t="str">
        <f>"16049"</f>
        <v>16049</v>
      </c>
    </row>
    <row r="16380" spans="1:16" x14ac:dyDescent="0.25">
      <c r="A16380" t="str">
        <f>"1240047S00209    00"</f>
        <v>1240047S00209    00</v>
      </c>
      <c r="B16380" t="s">
        <v>35806</v>
      </c>
      <c r="C16380" t="s">
        <v>35807</v>
      </c>
      <c r="D16380" t="s">
        <v>20</v>
      </c>
      <c r="E16380" t="s">
        <v>39</v>
      </c>
      <c r="F16380">
        <v>0</v>
      </c>
      <c r="G16380">
        <v>0</v>
      </c>
      <c r="H16380">
        <v>2</v>
      </c>
      <c r="I16380" s="3">
        <v>1563.53</v>
      </c>
      <c r="J16380" s="3">
        <v>0</v>
      </c>
      <c r="L16380">
        <v>118</v>
      </c>
      <c r="M16380" t="s">
        <v>29147</v>
      </c>
      <c r="N16380" t="s">
        <v>30</v>
      </c>
      <c r="O16380" t="s">
        <v>31</v>
      </c>
      <c r="P16380" t="str">
        <f>"15216"</f>
        <v>15216</v>
      </c>
    </row>
    <row r="16381" spans="1:16" x14ac:dyDescent="0.25">
      <c r="A16381" t="str">
        <f>"1240047S00213    00"</f>
        <v>1240047S00213    00</v>
      </c>
      <c r="B16381" t="s">
        <v>35808</v>
      </c>
      <c r="C16381" t="s">
        <v>35809</v>
      </c>
      <c r="E16381" t="s">
        <v>39</v>
      </c>
      <c r="F16381">
        <v>0</v>
      </c>
      <c r="G16381">
        <v>0</v>
      </c>
      <c r="H16381">
        <v>1</v>
      </c>
      <c r="I16381" s="3">
        <v>1386.54</v>
      </c>
      <c r="J16381" s="3">
        <v>254.19</v>
      </c>
      <c r="K16381" t="s">
        <v>2302</v>
      </c>
      <c r="L16381">
        <v>3001</v>
      </c>
      <c r="M16381" t="s">
        <v>330</v>
      </c>
      <c r="N16381" t="s">
        <v>331</v>
      </c>
      <c r="O16381" t="s">
        <v>108</v>
      </c>
      <c r="P16381" t="str">
        <f>"75063"</f>
        <v>75063</v>
      </c>
    </row>
    <row r="16382" spans="1:16" x14ac:dyDescent="0.25">
      <c r="A16382" t="str">
        <f>"1240047S00220    00"</f>
        <v>1240047S00220    00</v>
      </c>
      <c r="B16382" t="s">
        <v>35810</v>
      </c>
      <c r="C16382" t="s">
        <v>35811</v>
      </c>
      <c r="D16382" t="s">
        <v>20</v>
      </c>
      <c r="E16382" t="s">
        <v>39</v>
      </c>
      <c r="F16382">
        <v>0</v>
      </c>
      <c r="G16382">
        <v>0</v>
      </c>
      <c r="H16382">
        <v>1</v>
      </c>
      <c r="I16382" s="3">
        <v>631.35</v>
      </c>
      <c r="J16382" s="3">
        <v>0</v>
      </c>
      <c r="K16382" t="s">
        <v>35812</v>
      </c>
      <c r="L16382">
        <v>1547</v>
      </c>
      <c r="M16382" t="s">
        <v>35323</v>
      </c>
      <c r="N16382" t="s">
        <v>30</v>
      </c>
      <c r="O16382" t="s">
        <v>31</v>
      </c>
      <c r="P16382" t="str">
        <f>"15212"</f>
        <v>15212</v>
      </c>
    </row>
    <row r="16383" spans="1:16" x14ac:dyDescent="0.25">
      <c r="A16383" t="str">
        <f>"1240047S00233    00"</f>
        <v>1240047S00233    00</v>
      </c>
      <c r="B16383" t="s">
        <v>35813</v>
      </c>
      <c r="C16383" t="s">
        <v>35814</v>
      </c>
      <c r="E16383" t="s">
        <v>21</v>
      </c>
      <c r="F16383">
        <v>0</v>
      </c>
      <c r="G16383">
        <v>0</v>
      </c>
      <c r="H16383">
        <v>1</v>
      </c>
      <c r="I16383" s="3">
        <v>52.17</v>
      </c>
      <c r="J16383" s="3">
        <v>16.53</v>
      </c>
      <c r="L16383">
        <v>1622</v>
      </c>
      <c r="M16383" t="s">
        <v>24755</v>
      </c>
      <c r="N16383" t="s">
        <v>30</v>
      </c>
      <c r="O16383" t="s">
        <v>31</v>
      </c>
      <c r="P16383" t="str">
        <f>"15212"</f>
        <v>15212</v>
      </c>
    </row>
    <row r="16384" spans="1:16" x14ac:dyDescent="0.25">
      <c r="A16384" t="str">
        <f>"1240047S00238    00"</f>
        <v>1240047S00238    00</v>
      </c>
      <c r="B16384" t="s">
        <v>34511</v>
      </c>
      <c r="C16384" t="s">
        <v>35815</v>
      </c>
      <c r="D16384" t="s">
        <v>20</v>
      </c>
      <c r="E16384" t="s">
        <v>39</v>
      </c>
      <c r="F16384">
        <v>0</v>
      </c>
      <c r="G16384">
        <v>0</v>
      </c>
      <c r="H16384">
        <v>2</v>
      </c>
      <c r="I16384" s="3">
        <v>3141.1</v>
      </c>
      <c r="J16384" s="3">
        <v>0</v>
      </c>
      <c r="L16384">
        <v>413</v>
      </c>
      <c r="M16384" t="s">
        <v>1481</v>
      </c>
      <c r="N16384" t="s">
        <v>30</v>
      </c>
      <c r="O16384" t="s">
        <v>31</v>
      </c>
      <c r="P16384" t="str">
        <f>"15213"</f>
        <v>15213</v>
      </c>
    </row>
    <row r="16385" spans="1:16" x14ac:dyDescent="0.25">
      <c r="A16385" t="str">
        <f>"1240047S00259    00"</f>
        <v>1240047S00259    00</v>
      </c>
      <c r="B16385" t="s">
        <v>4527</v>
      </c>
      <c r="C16385" t="s">
        <v>35816</v>
      </c>
      <c r="D16385" t="s">
        <v>20</v>
      </c>
      <c r="E16385" t="s">
        <v>39</v>
      </c>
      <c r="F16385">
        <v>0</v>
      </c>
      <c r="G16385">
        <v>0</v>
      </c>
      <c r="H16385">
        <v>1</v>
      </c>
      <c r="I16385" s="3">
        <v>768.12</v>
      </c>
      <c r="J16385" s="3">
        <v>0</v>
      </c>
      <c r="L16385">
        <v>5515</v>
      </c>
      <c r="M16385" t="s">
        <v>35817</v>
      </c>
      <c r="N16385" t="s">
        <v>30</v>
      </c>
      <c r="O16385" t="s">
        <v>31</v>
      </c>
      <c r="P16385" t="str">
        <f>"15206"</f>
        <v>15206</v>
      </c>
    </row>
    <row r="16386" spans="1:16" x14ac:dyDescent="0.25">
      <c r="A16386" t="str">
        <f>"1240047S00264A   00"</f>
        <v>1240047S00264A   00</v>
      </c>
      <c r="B16386" t="s">
        <v>35818</v>
      </c>
      <c r="C16386" t="s">
        <v>35819</v>
      </c>
      <c r="D16386" t="s">
        <v>20</v>
      </c>
      <c r="E16386" t="s">
        <v>39</v>
      </c>
      <c r="F16386">
        <v>0</v>
      </c>
      <c r="G16386">
        <v>0</v>
      </c>
      <c r="H16386">
        <v>3</v>
      </c>
      <c r="I16386" s="3">
        <v>134.82</v>
      </c>
      <c r="J16386" s="3">
        <v>8.99</v>
      </c>
      <c r="K16386" t="s">
        <v>35820</v>
      </c>
      <c r="L16386">
        <v>1512</v>
      </c>
      <c r="M16386" t="s">
        <v>35821</v>
      </c>
      <c r="N16386" t="s">
        <v>30</v>
      </c>
      <c r="O16386" t="s">
        <v>31</v>
      </c>
      <c r="P16386" t="str">
        <f>"15212"</f>
        <v>15212</v>
      </c>
    </row>
    <row r="16387" spans="1:16" x14ac:dyDescent="0.25">
      <c r="A16387" t="str">
        <f>"1240047S00288000100"</f>
        <v>1240047S00288000100</v>
      </c>
      <c r="B16387" t="s">
        <v>35822</v>
      </c>
      <c r="C16387" t="s">
        <v>35823</v>
      </c>
      <c r="D16387" t="s">
        <v>20</v>
      </c>
      <c r="E16387" t="s">
        <v>39</v>
      </c>
      <c r="F16387">
        <v>0</v>
      </c>
      <c r="G16387">
        <v>0</v>
      </c>
      <c r="H16387">
        <v>6</v>
      </c>
      <c r="I16387" s="3">
        <v>1178.4000000000001</v>
      </c>
      <c r="J16387" s="3">
        <v>337.22</v>
      </c>
      <c r="L16387">
        <v>1711</v>
      </c>
      <c r="M16387" t="s">
        <v>35625</v>
      </c>
      <c r="N16387" t="s">
        <v>30</v>
      </c>
      <c r="O16387" t="s">
        <v>31</v>
      </c>
      <c r="P16387" t="str">
        <f>"15212"</f>
        <v>15212</v>
      </c>
    </row>
    <row r="16388" spans="1:16" x14ac:dyDescent="0.25">
      <c r="A16388" t="str">
        <f>"1240047S00303    00"</f>
        <v>1240047S00303    00</v>
      </c>
      <c r="B16388" t="s">
        <v>34511</v>
      </c>
      <c r="C16388" t="s">
        <v>35824</v>
      </c>
      <c r="D16388" t="s">
        <v>20</v>
      </c>
      <c r="E16388" t="s">
        <v>39</v>
      </c>
      <c r="F16388">
        <v>0</v>
      </c>
      <c r="G16388">
        <v>0</v>
      </c>
      <c r="H16388">
        <v>2</v>
      </c>
      <c r="I16388" s="3">
        <v>2573.12</v>
      </c>
      <c r="J16388" s="3">
        <v>0</v>
      </c>
      <c r="L16388">
        <v>413</v>
      </c>
      <c r="M16388" t="s">
        <v>1481</v>
      </c>
      <c r="N16388" t="s">
        <v>30</v>
      </c>
      <c r="O16388" t="s">
        <v>31</v>
      </c>
      <c r="P16388" t="str">
        <f>"15213"</f>
        <v>15213</v>
      </c>
    </row>
    <row r="16389" spans="1:16" x14ac:dyDescent="0.25">
      <c r="A16389" t="str">
        <f>"1240047S00325    00"</f>
        <v>1240047S00325    00</v>
      </c>
      <c r="B16389" t="s">
        <v>35825</v>
      </c>
      <c r="C16389" t="s">
        <v>35826</v>
      </c>
      <c r="D16389" t="s">
        <v>20</v>
      </c>
      <c r="E16389" t="s">
        <v>39</v>
      </c>
      <c r="F16389">
        <v>0</v>
      </c>
      <c r="G16389">
        <v>0</v>
      </c>
      <c r="H16389">
        <v>4</v>
      </c>
      <c r="I16389" s="3">
        <v>6704.19</v>
      </c>
      <c r="J16389" s="3">
        <v>658</v>
      </c>
      <c r="L16389">
        <v>1625</v>
      </c>
      <c r="M16389" t="s">
        <v>35323</v>
      </c>
      <c r="N16389" t="s">
        <v>30</v>
      </c>
      <c r="O16389" t="s">
        <v>31</v>
      </c>
      <c r="P16389" t="str">
        <f>"15212"</f>
        <v>15212</v>
      </c>
    </row>
    <row r="16390" spans="1:16" x14ac:dyDescent="0.25">
      <c r="A16390" t="str">
        <f>"1240048A00180    00"</f>
        <v>1240048A00180    00</v>
      </c>
      <c r="B16390" t="s">
        <v>35827</v>
      </c>
      <c r="C16390" t="s">
        <v>35828</v>
      </c>
      <c r="D16390" t="s">
        <v>20</v>
      </c>
      <c r="E16390" t="s">
        <v>39</v>
      </c>
      <c r="F16390">
        <v>0</v>
      </c>
      <c r="G16390">
        <v>0</v>
      </c>
      <c r="H16390">
        <v>19</v>
      </c>
      <c r="I16390" s="3">
        <v>3214.01</v>
      </c>
      <c r="J16390" s="3">
        <v>2074.08</v>
      </c>
      <c r="L16390">
        <v>1536</v>
      </c>
      <c r="M16390" t="s">
        <v>24755</v>
      </c>
      <c r="N16390" t="s">
        <v>30</v>
      </c>
      <c r="O16390" t="s">
        <v>31</v>
      </c>
      <c r="P16390" t="str">
        <f>"15212"</f>
        <v>15212</v>
      </c>
    </row>
    <row r="16391" spans="1:16" x14ac:dyDescent="0.25">
      <c r="A16391" t="str">
        <f>"1240048A00184    00"</f>
        <v>1240048A00184    00</v>
      </c>
      <c r="B16391" t="s">
        <v>35827</v>
      </c>
      <c r="C16391" t="s">
        <v>35828</v>
      </c>
      <c r="D16391" t="s">
        <v>20</v>
      </c>
      <c r="E16391" t="s">
        <v>39</v>
      </c>
      <c r="F16391">
        <v>0</v>
      </c>
      <c r="G16391">
        <v>0</v>
      </c>
      <c r="H16391">
        <v>19</v>
      </c>
      <c r="I16391" s="3">
        <v>1015.14</v>
      </c>
      <c r="J16391" s="3">
        <v>761.62</v>
      </c>
      <c r="L16391">
        <v>1536</v>
      </c>
      <c r="M16391" t="s">
        <v>24755</v>
      </c>
      <c r="N16391" t="s">
        <v>30</v>
      </c>
      <c r="O16391" t="s">
        <v>31</v>
      </c>
      <c r="P16391" t="str">
        <f>"15212"</f>
        <v>15212</v>
      </c>
    </row>
    <row r="16392" spans="1:16" x14ac:dyDescent="0.25">
      <c r="A16392" t="str">
        <f>"1240048A00198    00"</f>
        <v>1240048A00198    00</v>
      </c>
      <c r="B16392" t="s">
        <v>35829</v>
      </c>
      <c r="C16392" t="s">
        <v>35830</v>
      </c>
      <c r="E16392" t="s">
        <v>39</v>
      </c>
      <c r="F16392">
        <v>0</v>
      </c>
      <c r="G16392">
        <v>0</v>
      </c>
      <c r="H16392">
        <v>8</v>
      </c>
      <c r="I16392" s="3">
        <v>2674.13</v>
      </c>
      <c r="J16392" s="3">
        <v>1143.22</v>
      </c>
      <c r="L16392">
        <v>37</v>
      </c>
      <c r="M16392" t="s">
        <v>35489</v>
      </c>
      <c r="N16392" t="s">
        <v>30</v>
      </c>
      <c r="O16392" t="s">
        <v>31</v>
      </c>
      <c r="P16392" t="str">
        <f>"15227"</f>
        <v>15227</v>
      </c>
    </row>
    <row r="16393" spans="1:16" x14ac:dyDescent="0.25">
      <c r="A16393" t="str">
        <f>"1240048A00213    00"</f>
        <v>1240048A00213    00</v>
      </c>
      <c r="B16393" t="s">
        <v>35831</v>
      </c>
      <c r="C16393" t="s">
        <v>35832</v>
      </c>
      <c r="E16393" t="s">
        <v>39</v>
      </c>
      <c r="F16393">
        <v>0</v>
      </c>
      <c r="G16393">
        <v>0</v>
      </c>
      <c r="H16393">
        <v>3</v>
      </c>
      <c r="I16393" s="3">
        <v>934.83</v>
      </c>
      <c r="J16393" s="3">
        <v>115.93</v>
      </c>
      <c r="L16393">
        <v>2136</v>
      </c>
      <c r="M16393" t="s">
        <v>35833</v>
      </c>
      <c r="N16393" t="s">
        <v>30</v>
      </c>
      <c r="O16393" t="s">
        <v>31</v>
      </c>
      <c r="P16393" t="str">
        <f>"15212"</f>
        <v>15212</v>
      </c>
    </row>
    <row r="16394" spans="1:16" x14ac:dyDescent="0.25">
      <c r="A16394" t="str">
        <f>"1240048A00253    00"</f>
        <v>1240048A00253    00</v>
      </c>
      <c r="B16394" t="s">
        <v>35834</v>
      </c>
      <c r="C16394" t="s">
        <v>35835</v>
      </c>
      <c r="E16394" t="s">
        <v>39</v>
      </c>
      <c r="F16394">
        <v>0</v>
      </c>
      <c r="G16394">
        <v>0</v>
      </c>
      <c r="H16394">
        <v>1</v>
      </c>
      <c r="I16394" s="3">
        <v>350.63</v>
      </c>
      <c r="J16394" s="3">
        <v>0</v>
      </c>
      <c r="K16394" t="s">
        <v>6483</v>
      </c>
      <c r="L16394">
        <v>3001</v>
      </c>
      <c r="M16394" t="s">
        <v>330</v>
      </c>
      <c r="N16394" t="s">
        <v>331</v>
      </c>
      <c r="O16394" t="s">
        <v>108</v>
      </c>
      <c r="P16394" t="str">
        <f>"75063"</f>
        <v>75063</v>
      </c>
    </row>
    <row r="16395" spans="1:16" x14ac:dyDescent="0.25">
      <c r="A16395" t="str">
        <f>"1240048A00270    00"</f>
        <v>1240048A00270    00</v>
      </c>
      <c r="B16395" t="s">
        <v>35836</v>
      </c>
      <c r="C16395" t="s">
        <v>35837</v>
      </c>
      <c r="D16395" t="s">
        <v>20</v>
      </c>
      <c r="E16395" t="s">
        <v>39</v>
      </c>
      <c r="F16395">
        <v>0</v>
      </c>
      <c r="G16395">
        <v>0</v>
      </c>
      <c r="H16395">
        <v>5</v>
      </c>
      <c r="I16395" s="3">
        <v>1168.06</v>
      </c>
      <c r="J16395" s="3">
        <v>201.79</v>
      </c>
      <c r="K16395" t="s">
        <v>7145</v>
      </c>
      <c r="L16395">
        <v>3001</v>
      </c>
      <c r="M16395" t="s">
        <v>330</v>
      </c>
      <c r="N16395" t="s">
        <v>331</v>
      </c>
      <c r="O16395" t="s">
        <v>108</v>
      </c>
      <c r="P16395" t="str">
        <f>"75063"</f>
        <v>75063</v>
      </c>
    </row>
    <row r="16396" spans="1:16" x14ac:dyDescent="0.25">
      <c r="A16396" t="str">
        <f>"1240048A00287    00"</f>
        <v>1240048A00287    00</v>
      </c>
      <c r="B16396" t="s">
        <v>35014</v>
      </c>
      <c r="C16396" t="s">
        <v>35838</v>
      </c>
      <c r="D16396" t="s">
        <v>20</v>
      </c>
      <c r="E16396" t="s">
        <v>39</v>
      </c>
      <c r="F16396">
        <v>0</v>
      </c>
      <c r="G16396">
        <v>0</v>
      </c>
      <c r="H16396">
        <v>2</v>
      </c>
      <c r="I16396" s="3">
        <v>670.9</v>
      </c>
      <c r="J16396" s="3">
        <v>0</v>
      </c>
      <c r="K16396" t="s">
        <v>35839</v>
      </c>
      <c r="L16396">
        <v>2210</v>
      </c>
      <c r="M16396" t="s">
        <v>9444</v>
      </c>
      <c r="N16396" t="s">
        <v>30</v>
      </c>
      <c r="O16396" t="s">
        <v>31</v>
      </c>
      <c r="P16396" t="str">
        <f t="shared" ref="P16396:P16408" si="213">"15212"</f>
        <v>15212</v>
      </c>
    </row>
    <row r="16397" spans="1:16" x14ac:dyDescent="0.25">
      <c r="A16397" t="str">
        <f>"1240048B00039    00"</f>
        <v>1240048B00039    00</v>
      </c>
      <c r="B16397" t="s">
        <v>35840</v>
      </c>
      <c r="C16397" t="s">
        <v>35841</v>
      </c>
      <c r="D16397" t="s">
        <v>20</v>
      </c>
      <c r="E16397" t="s">
        <v>39</v>
      </c>
      <c r="F16397">
        <v>0</v>
      </c>
      <c r="G16397">
        <v>0</v>
      </c>
      <c r="H16397">
        <v>2</v>
      </c>
      <c r="I16397" s="3">
        <v>303.07</v>
      </c>
      <c r="J16397" s="3">
        <v>5.77</v>
      </c>
      <c r="L16397">
        <v>2152</v>
      </c>
      <c r="M16397" t="s">
        <v>35842</v>
      </c>
      <c r="N16397" t="s">
        <v>30</v>
      </c>
      <c r="O16397" t="s">
        <v>31</v>
      </c>
      <c r="P16397" t="str">
        <f t="shared" si="213"/>
        <v>15212</v>
      </c>
    </row>
    <row r="16398" spans="1:16" x14ac:dyDescent="0.25">
      <c r="A16398" t="str">
        <f>"1240048B00050    00"</f>
        <v>1240048B00050    00</v>
      </c>
      <c r="B16398" t="s">
        <v>35843</v>
      </c>
      <c r="C16398" t="s">
        <v>35844</v>
      </c>
      <c r="D16398" t="s">
        <v>20</v>
      </c>
      <c r="E16398" t="s">
        <v>39</v>
      </c>
      <c r="F16398">
        <v>0</v>
      </c>
      <c r="G16398">
        <v>0</v>
      </c>
      <c r="H16398">
        <v>1</v>
      </c>
      <c r="I16398" s="3">
        <v>594.66999999999996</v>
      </c>
      <c r="J16398" s="3">
        <v>0</v>
      </c>
      <c r="K16398" t="s">
        <v>35845</v>
      </c>
      <c r="L16398">
        <v>2139</v>
      </c>
      <c r="M16398" t="s">
        <v>35842</v>
      </c>
      <c r="N16398" t="s">
        <v>30</v>
      </c>
      <c r="O16398" t="s">
        <v>31</v>
      </c>
      <c r="P16398" t="str">
        <f t="shared" si="213"/>
        <v>15212</v>
      </c>
    </row>
    <row r="16399" spans="1:16" x14ac:dyDescent="0.25">
      <c r="A16399" t="str">
        <f>"1240048B00059    00"</f>
        <v>1240048B00059    00</v>
      </c>
      <c r="B16399" t="s">
        <v>35846</v>
      </c>
      <c r="C16399" t="s">
        <v>35847</v>
      </c>
      <c r="D16399" t="s">
        <v>20</v>
      </c>
      <c r="E16399" t="s">
        <v>39</v>
      </c>
      <c r="F16399">
        <v>0</v>
      </c>
      <c r="G16399">
        <v>0</v>
      </c>
      <c r="H16399">
        <v>3</v>
      </c>
      <c r="I16399" s="3">
        <v>3408</v>
      </c>
      <c r="J16399" s="3">
        <v>227.19</v>
      </c>
      <c r="L16399">
        <v>2154</v>
      </c>
      <c r="M16399" t="s">
        <v>35848</v>
      </c>
      <c r="N16399" t="s">
        <v>30</v>
      </c>
      <c r="O16399" t="s">
        <v>31</v>
      </c>
      <c r="P16399" t="str">
        <f t="shared" si="213"/>
        <v>15212</v>
      </c>
    </row>
    <row r="16400" spans="1:16" x14ac:dyDescent="0.25">
      <c r="A16400" t="str">
        <f>"1240048B00117    00"</f>
        <v>1240048B00117    00</v>
      </c>
      <c r="B16400" t="s">
        <v>35849</v>
      </c>
      <c r="C16400" t="s">
        <v>35474</v>
      </c>
      <c r="D16400" t="s">
        <v>20</v>
      </c>
      <c r="E16400" t="s">
        <v>39</v>
      </c>
      <c r="F16400">
        <v>0</v>
      </c>
      <c r="G16400">
        <v>0</v>
      </c>
      <c r="H16400">
        <v>1</v>
      </c>
      <c r="I16400" s="3">
        <v>97.21</v>
      </c>
      <c r="J16400" s="3">
        <v>0</v>
      </c>
      <c r="L16400">
        <v>1213</v>
      </c>
      <c r="M16400" t="s">
        <v>35400</v>
      </c>
      <c r="N16400" t="s">
        <v>30</v>
      </c>
      <c r="O16400" t="s">
        <v>31</v>
      </c>
      <c r="P16400" t="str">
        <f t="shared" si="213"/>
        <v>15212</v>
      </c>
    </row>
    <row r="16401" spans="1:16" x14ac:dyDescent="0.25">
      <c r="A16401" t="str">
        <f>"1240048B00146    00"</f>
        <v>1240048B00146    00</v>
      </c>
      <c r="B16401" t="s">
        <v>35850</v>
      </c>
      <c r="C16401" t="s">
        <v>35851</v>
      </c>
      <c r="E16401" t="s">
        <v>39</v>
      </c>
      <c r="F16401">
        <v>0</v>
      </c>
      <c r="G16401">
        <v>0</v>
      </c>
      <c r="H16401">
        <v>1</v>
      </c>
      <c r="I16401" s="3">
        <v>369.14</v>
      </c>
      <c r="J16401" s="3">
        <v>0</v>
      </c>
      <c r="L16401">
        <v>2159</v>
      </c>
      <c r="M16401" t="s">
        <v>24755</v>
      </c>
      <c r="N16401" t="s">
        <v>30</v>
      </c>
      <c r="O16401" t="s">
        <v>31</v>
      </c>
      <c r="P16401" t="str">
        <f t="shared" si="213"/>
        <v>15212</v>
      </c>
    </row>
    <row r="16402" spans="1:16" x14ac:dyDescent="0.25">
      <c r="A16402" t="str">
        <f>"1240048B00159    00"</f>
        <v>1240048B00159    00</v>
      </c>
      <c r="B16402" t="s">
        <v>35852</v>
      </c>
      <c r="C16402" t="s">
        <v>35853</v>
      </c>
      <c r="D16402" t="s">
        <v>20</v>
      </c>
      <c r="E16402" t="s">
        <v>39</v>
      </c>
      <c r="F16402">
        <v>0</v>
      </c>
      <c r="G16402">
        <v>0</v>
      </c>
      <c r="H16402">
        <v>4</v>
      </c>
      <c r="I16402" s="3">
        <v>738.61</v>
      </c>
      <c r="J16402" s="3">
        <v>93.31</v>
      </c>
      <c r="L16402">
        <v>2179</v>
      </c>
      <c r="M16402" t="s">
        <v>24755</v>
      </c>
      <c r="N16402" t="s">
        <v>30</v>
      </c>
      <c r="O16402" t="s">
        <v>31</v>
      </c>
      <c r="P16402" t="str">
        <f t="shared" si="213"/>
        <v>15212</v>
      </c>
    </row>
    <row r="16403" spans="1:16" x14ac:dyDescent="0.25">
      <c r="A16403" t="str">
        <f>"1240048E00070    00"</f>
        <v>1240048E00070    00</v>
      </c>
      <c r="B16403" t="s">
        <v>35854</v>
      </c>
      <c r="C16403" t="s">
        <v>35855</v>
      </c>
      <c r="E16403" t="s">
        <v>39</v>
      </c>
      <c r="F16403">
        <v>0</v>
      </c>
      <c r="G16403">
        <v>0</v>
      </c>
      <c r="H16403">
        <v>2</v>
      </c>
      <c r="I16403" s="3">
        <v>391.76</v>
      </c>
      <c r="J16403" s="3">
        <v>5.53</v>
      </c>
      <c r="K16403" t="s">
        <v>35856</v>
      </c>
      <c r="L16403">
        <v>1930</v>
      </c>
      <c r="M16403" t="s">
        <v>35857</v>
      </c>
      <c r="N16403" t="s">
        <v>30</v>
      </c>
      <c r="O16403" t="s">
        <v>31</v>
      </c>
      <c r="P16403" t="str">
        <f t="shared" si="213"/>
        <v>15212</v>
      </c>
    </row>
    <row r="16404" spans="1:16" x14ac:dyDescent="0.25">
      <c r="A16404" t="str">
        <f>"1240048E00075    00"</f>
        <v>1240048E00075    00</v>
      </c>
      <c r="B16404" t="s">
        <v>34838</v>
      </c>
      <c r="C16404" t="s">
        <v>35858</v>
      </c>
      <c r="D16404" t="s">
        <v>20</v>
      </c>
      <c r="E16404" t="s">
        <v>39</v>
      </c>
      <c r="F16404">
        <v>0</v>
      </c>
      <c r="G16404">
        <v>0</v>
      </c>
      <c r="H16404">
        <v>2</v>
      </c>
      <c r="I16404" s="3">
        <v>1833.58</v>
      </c>
      <c r="J16404" s="3">
        <v>183.35</v>
      </c>
      <c r="L16404">
        <v>3691</v>
      </c>
      <c r="M16404" t="s">
        <v>31552</v>
      </c>
      <c r="N16404" t="s">
        <v>30</v>
      </c>
      <c r="O16404" t="s">
        <v>31</v>
      </c>
      <c r="P16404" t="str">
        <f t="shared" si="213"/>
        <v>15212</v>
      </c>
    </row>
    <row r="16405" spans="1:16" x14ac:dyDescent="0.25">
      <c r="A16405" t="str">
        <f>"1240048E00077    00"</f>
        <v>1240048E00077    00</v>
      </c>
      <c r="B16405" t="s">
        <v>35859</v>
      </c>
      <c r="C16405" t="s">
        <v>35860</v>
      </c>
      <c r="D16405" t="s">
        <v>20</v>
      </c>
      <c r="E16405" t="s">
        <v>39</v>
      </c>
      <c r="F16405">
        <v>0</v>
      </c>
      <c r="G16405">
        <v>0</v>
      </c>
      <c r="H16405">
        <v>4</v>
      </c>
      <c r="I16405" s="3">
        <v>859.68</v>
      </c>
      <c r="J16405" s="3">
        <v>116.08</v>
      </c>
      <c r="L16405">
        <v>117</v>
      </c>
      <c r="M16405" t="s">
        <v>35861</v>
      </c>
      <c r="N16405" t="s">
        <v>30</v>
      </c>
      <c r="O16405" t="s">
        <v>31</v>
      </c>
      <c r="P16405" t="str">
        <f t="shared" si="213"/>
        <v>15212</v>
      </c>
    </row>
    <row r="16406" spans="1:16" x14ac:dyDescent="0.25">
      <c r="A16406" t="str">
        <f>"1240048E00078    00"</f>
        <v>1240048E00078    00</v>
      </c>
      <c r="B16406" t="s">
        <v>35862</v>
      </c>
      <c r="C16406" t="s">
        <v>35863</v>
      </c>
      <c r="D16406" t="s">
        <v>20</v>
      </c>
      <c r="E16406" t="s">
        <v>39</v>
      </c>
      <c r="F16406">
        <v>0</v>
      </c>
      <c r="G16406">
        <v>0</v>
      </c>
      <c r="H16406">
        <v>1</v>
      </c>
      <c r="I16406" s="3">
        <v>954.92</v>
      </c>
      <c r="J16406" s="3">
        <v>0</v>
      </c>
      <c r="K16406" t="s">
        <v>35864</v>
      </c>
      <c r="L16406">
        <v>1918</v>
      </c>
      <c r="M16406" t="s">
        <v>9444</v>
      </c>
      <c r="N16406" t="s">
        <v>30</v>
      </c>
      <c r="O16406" t="s">
        <v>31</v>
      </c>
      <c r="P16406" t="str">
        <f t="shared" si="213"/>
        <v>15212</v>
      </c>
    </row>
    <row r="16407" spans="1:16" x14ac:dyDescent="0.25">
      <c r="A16407" t="str">
        <f>"1240048E00080    00"</f>
        <v>1240048E00080    00</v>
      </c>
      <c r="B16407" t="s">
        <v>35865</v>
      </c>
      <c r="C16407" t="s">
        <v>35866</v>
      </c>
      <c r="E16407" t="s">
        <v>39</v>
      </c>
      <c r="F16407">
        <v>0</v>
      </c>
      <c r="G16407">
        <v>0</v>
      </c>
      <c r="H16407">
        <v>1</v>
      </c>
      <c r="I16407" s="3">
        <v>661.6</v>
      </c>
      <c r="J16407" s="3">
        <v>396.94</v>
      </c>
      <c r="L16407">
        <v>1811</v>
      </c>
      <c r="M16407" t="s">
        <v>35218</v>
      </c>
      <c r="N16407" t="s">
        <v>30</v>
      </c>
      <c r="O16407" t="s">
        <v>31</v>
      </c>
      <c r="P16407" t="str">
        <f t="shared" si="213"/>
        <v>15212</v>
      </c>
    </row>
    <row r="16408" spans="1:16" x14ac:dyDescent="0.25">
      <c r="A16408" t="str">
        <f>"1240048E00087    00"</f>
        <v>1240048E00087    00</v>
      </c>
      <c r="B16408" t="s">
        <v>35867</v>
      </c>
      <c r="C16408" t="s">
        <v>35868</v>
      </c>
      <c r="D16408" t="s">
        <v>20</v>
      </c>
      <c r="E16408" t="s">
        <v>39</v>
      </c>
      <c r="F16408">
        <v>0</v>
      </c>
      <c r="G16408">
        <v>0</v>
      </c>
      <c r="H16408">
        <v>18</v>
      </c>
      <c r="I16408" s="3">
        <v>8033.01</v>
      </c>
      <c r="J16408" s="3">
        <v>8953.34</v>
      </c>
      <c r="L16408">
        <v>1845</v>
      </c>
      <c r="M16408" t="s">
        <v>35869</v>
      </c>
      <c r="N16408" t="s">
        <v>30</v>
      </c>
      <c r="O16408" t="s">
        <v>31</v>
      </c>
      <c r="P16408" t="str">
        <f t="shared" si="213"/>
        <v>15212</v>
      </c>
    </row>
    <row r="16409" spans="1:16" x14ac:dyDescent="0.25">
      <c r="A16409" t="str">
        <f>"1240048E00124    00"</f>
        <v>1240048E00124    00</v>
      </c>
      <c r="B16409" t="s">
        <v>35870</v>
      </c>
      <c r="C16409" t="s">
        <v>35871</v>
      </c>
      <c r="D16409" t="s">
        <v>20</v>
      </c>
      <c r="E16409" t="s">
        <v>39</v>
      </c>
      <c r="F16409">
        <v>0</v>
      </c>
      <c r="G16409">
        <v>0</v>
      </c>
      <c r="H16409">
        <v>1</v>
      </c>
      <c r="I16409" s="3">
        <v>150.66</v>
      </c>
      <c r="J16409" s="3">
        <v>0</v>
      </c>
      <c r="K16409" t="s">
        <v>1802</v>
      </c>
      <c r="L16409">
        <v>901</v>
      </c>
      <c r="M16409" t="s">
        <v>1503</v>
      </c>
      <c r="N16409" t="s">
        <v>494</v>
      </c>
      <c r="O16409" t="s">
        <v>495</v>
      </c>
      <c r="P16409" t="str">
        <f>"91768"</f>
        <v>91768</v>
      </c>
    </row>
    <row r="16410" spans="1:16" x14ac:dyDescent="0.25">
      <c r="A16410" t="str">
        <f>"1240048E00128    00"</f>
        <v>1240048E00128    00</v>
      </c>
      <c r="B16410" t="s">
        <v>35870</v>
      </c>
      <c r="C16410" t="s">
        <v>35828</v>
      </c>
      <c r="D16410" t="s">
        <v>20</v>
      </c>
      <c r="E16410" t="s">
        <v>39</v>
      </c>
      <c r="F16410">
        <v>0</v>
      </c>
      <c r="G16410">
        <v>0</v>
      </c>
      <c r="H16410">
        <v>1</v>
      </c>
      <c r="I16410" s="3">
        <v>101.03</v>
      </c>
      <c r="J16410" s="3">
        <v>0</v>
      </c>
      <c r="K16410" t="s">
        <v>1802</v>
      </c>
      <c r="L16410">
        <v>901</v>
      </c>
      <c r="M16410" t="s">
        <v>1503</v>
      </c>
      <c r="N16410" t="s">
        <v>494</v>
      </c>
      <c r="O16410" t="s">
        <v>495</v>
      </c>
      <c r="P16410" t="str">
        <f>"91768"</f>
        <v>91768</v>
      </c>
    </row>
    <row r="16411" spans="1:16" x14ac:dyDescent="0.25">
      <c r="A16411" t="str">
        <f>"1240048E00133    00"</f>
        <v>1240048E00133    00</v>
      </c>
      <c r="B16411" t="s">
        <v>35872</v>
      </c>
      <c r="C16411" t="s">
        <v>35873</v>
      </c>
      <c r="E16411" t="s">
        <v>39</v>
      </c>
      <c r="F16411">
        <v>0</v>
      </c>
      <c r="G16411">
        <v>0</v>
      </c>
      <c r="H16411">
        <v>1</v>
      </c>
      <c r="I16411" s="3">
        <v>246.84</v>
      </c>
      <c r="J16411" s="3">
        <v>121.35</v>
      </c>
      <c r="K16411" t="s">
        <v>34053</v>
      </c>
      <c r="L16411">
        <v>10561</v>
      </c>
      <c r="M16411" t="s">
        <v>35874</v>
      </c>
      <c r="N16411" t="s">
        <v>9967</v>
      </c>
      <c r="O16411" t="s">
        <v>692</v>
      </c>
      <c r="P16411" t="str">
        <f>"23059"</f>
        <v>23059</v>
      </c>
    </row>
    <row r="16412" spans="1:16" x14ac:dyDescent="0.25">
      <c r="A16412" t="str">
        <f>"1240048E00144    00"</f>
        <v>1240048E00144    00</v>
      </c>
      <c r="B16412" t="s">
        <v>35875</v>
      </c>
      <c r="C16412" t="s">
        <v>35876</v>
      </c>
      <c r="D16412" t="s">
        <v>20</v>
      </c>
      <c r="E16412" t="s">
        <v>39</v>
      </c>
      <c r="F16412">
        <v>0</v>
      </c>
      <c r="G16412">
        <v>0</v>
      </c>
      <c r="H16412">
        <v>4</v>
      </c>
      <c r="I16412" s="3">
        <v>2005.84</v>
      </c>
      <c r="J16412" s="3">
        <v>94.78</v>
      </c>
      <c r="K16412" t="s">
        <v>35877</v>
      </c>
      <c r="L16412">
        <v>2023</v>
      </c>
      <c r="M16412" t="s">
        <v>35878</v>
      </c>
      <c r="N16412" t="s">
        <v>30</v>
      </c>
      <c r="O16412" t="s">
        <v>31</v>
      </c>
      <c r="P16412" t="str">
        <f>"15212"</f>
        <v>15212</v>
      </c>
    </row>
    <row r="16413" spans="1:16" x14ac:dyDescent="0.25">
      <c r="A16413" t="str">
        <f>"1240048E00150    00"</f>
        <v>1240048E00150    00</v>
      </c>
      <c r="B16413" t="s">
        <v>35879</v>
      </c>
      <c r="C16413" t="s">
        <v>35880</v>
      </c>
      <c r="D16413" t="s">
        <v>20</v>
      </c>
      <c r="E16413" t="s">
        <v>39</v>
      </c>
      <c r="F16413">
        <v>0</v>
      </c>
      <c r="G16413">
        <v>0</v>
      </c>
      <c r="H16413">
        <v>6</v>
      </c>
      <c r="I16413" s="3">
        <v>2792.97</v>
      </c>
      <c r="J16413" s="3">
        <v>665.41</v>
      </c>
      <c r="K16413" t="s">
        <v>35881</v>
      </c>
      <c r="L16413">
        <v>2037</v>
      </c>
      <c r="M16413" t="s">
        <v>35878</v>
      </c>
      <c r="N16413" t="s">
        <v>30</v>
      </c>
      <c r="O16413" t="s">
        <v>31</v>
      </c>
      <c r="P16413" t="str">
        <f>"15212"</f>
        <v>15212</v>
      </c>
    </row>
    <row r="16414" spans="1:16" x14ac:dyDescent="0.25">
      <c r="A16414" t="str">
        <f>"1240048E00156    00"</f>
        <v>1240048E00156    00</v>
      </c>
      <c r="B16414" t="s">
        <v>35882</v>
      </c>
      <c r="C16414" t="s">
        <v>35883</v>
      </c>
      <c r="D16414" t="s">
        <v>20</v>
      </c>
      <c r="E16414" t="s">
        <v>39</v>
      </c>
      <c r="F16414">
        <v>0</v>
      </c>
      <c r="G16414">
        <v>0</v>
      </c>
      <c r="H16414">
        <v>12</v>
      </c>
      <c r="I16414" s="3">
        <v>7120.71</v>
      </c>
      <c r="J16414" s="3">
        <v>3918.97</v>
      </c>
      <c r="M16414" t="s">
        <v>35884</v>
      </c>
      <c r="N16414" t="s">
        <v>30</v>
      </c>
      <c r="O16414" t="s">
        <v>31</v>
      </c>
      <c r="P16414" t="str">
        <f>"15212"</f>
        <v>15212</v>
      </c>
    </row>
    <row r="16415" spans="1:16" x14ac:dyDescent="0.25">
      <c r="A16415" t="str">
        <f>"1240048E00158    00"</f>
        <v>1240048E00158    00</v>
      </c>
      <c r="B16415" t="s">
        <v>35885</v>
      </c>
      <c r="C16415" t="s">
        <v>35886</v>
      </c>
      <c r="D16415" t="s">
        <v>20</v>
      </c>
      <c r="E16415" t="s">
        <v>39</v>
      </c>
      <c r="F16415">
        <v>0</v>
      </c>
      <c r="G16415">
        <v>0</v>
      </c>
      <c r="H16415">
        <v>1</v>
      </c>
      <c r="I16415" s="3">
        <v>979.68</v>
      </c>
      <c r="J16415" s="3">
        <v>0</v>
      </c>
      <c r="K16415" t="s">
        <v>35887</v>
      </c>
      <c r="L16415">
        <v>4800</v>
      </c>
      <c r="M16415" t="s">
        <v>35888</v>
      </c>
      <c r="N16415" t="s">
        <v>14700</v>
      </c>
      <c r="O16415" t="s">
        <v>108</v>
      </c>
      <c r="P16415" t="str">
        <f>"75093"</f>
        <v>75093</v>
      </c>
    </row>
    <row r="16416" spans="1:16" x14ac:dyDescent="0.25">
      <c r="A16416" t="str">
        <f>"1240048E00169    00"</f>
        <v>1240048E00169    00</v>
      </c>
      <c r="B16416" t="s">
        <v>35889</v>
      </c>
      <c r="C16416" t="s">
        <v>35890</v>
      </c>
      <c r="E16416" t="s">
        <v>39</v>
      </c>
      <c r="F16416">
        <v>0</v>
      </c>
      <c r="G16416">
        <v>0</v>
      </c>
      <c r="H16416">
        <v>1</v>
      </c>
      <c r="I16416" s="3">
        <v>39.32</v>
      </c>
      <c r="J16416" s="3">
        <v>0</v>
      </c>
      <c r="K16416" t="s">
        <v>35891</v>
      </c>
      <c r="L16416">
        <v>2044</v>
      </c>
      <c r="M16416" t="s">
        <v>35842</v>
      </c>
      <c r="N16416" t="s">
        <v>30</v>
      </c>
      <c r="O16416" t="s">
        <v>31</v>
      </c>
      <c r="P16416" t="str">
        <f>"15212"</f>
        <v>15212</v>
      </c>
    </row>
    <row r="16417" spans="1:16" x14ac:dyDescent="0.25">
      <c r="A16417" t="str">
        <f>"1240048E00177    00"</f>
        <v>1240048E00177    00</v>
      </c>
      <c r="B16417" t="s">
        <v>35892</v>
      </c>
      <c r="C16417" t="s">
        <v>35893</v>
      </c>
      <c r="D16417" t="s">
        <v>57</v>
      </c>
      <c r="E16417" t="s">
        <v>39</v>
      </c>
      <c r="F16417">
        <v>0</v>
      </c>
      <c r="G16417">
        <v>0</v>
      </c>
      <c r="H16417">
        <v>1</v>
      </c>
      <c r="I16417" s="3">
        <v>800.53</v>
      </c>
      <c r="J16417" s="3">
        <v>0</v>
      </c>
      <c r="L16417">
        <v>226</v>
      </c>
      <c r="M16417" t="s">
        <v>184</v>
      </c>
      <c r="N16417" t="s">
        <v>30</v>
      </c>
      <c r="O16417" t="s">
        <v>31</v>
      </c>
      <c r="P16417" t="str">
        <f>"15241"</f>
        <v>15241</v>
      </c>
    </row>
    <row r="16418" spans="1:16" x14ac:dyDescent="0.25">
      <c r="A16418" t="str">
        <f>"1240048E00195    00"</f>
        <v>1240048E00195    00</v>
      </c>
      <c r="B16418" t="s">
        <v>35894</v>
      </c>
      <c r="C16418" t="s">
        <v>35895</v>
      </c>
      <c r="D16418" t="s">
        <v>57</v>
      </c>
      <c r="E16418" t="s">
        <v>21</v>
      </c>
      <c r="F16418">
        <v>0</v>
      </c>
      <c r="G16418">
        <v>0</v>
      </c>
      <c r="H16418">
        <v>2</v>
      </c>
      <c r="I16418" s="3">
        <v>7465.42</v>
      </c>
      <c r="J16418" s="3">
        <v>243.95</v>
      </c>
      <c r="L16418">
        <v>214</v>
      </c>
      <c r="M16418" t="s">
        <v>35896</v>
      </c>
      <c r="N16418" t="s">
        <v>35897</v>
      </c>
      <c r="O16418" t="s">
        <v>108</v>
      </c>
      <c r="P16418" t="str">
        <f>"75098"</f>
        <v>75098</v>
      </c>
    </row>
    <row r="16419" spans="1:16" x14ac:dyDescent="0.25">
      <c r="A16419" t="str">
        <f>"1240048E00197    00"</f>
        <v>1240048E00197    00</v>
      </c>
      <c r="B16419" t="s">
        <v>2192</v>
      </c>
      <c r="C16419" t="s">
        <v>35898</v>
      </c>
      <c r="D16419" t="s">
        <v>20</v>
      </c>
      <c r="E16419" t="s">
        <v>39</v>
      </c>
      <c r="F16419">
        <v>0</v>
      </c>
      <c r="G16419">
        <v>0</v>
      </c>
      <c r="H16419">
        <v>2</v>
      </c>
      <c r="I16419" s="3">
        <v>1692.58</v>
      </c>
      <c r="J16419" s="3">
        <v>0</v>
      </c>
      <c r="K16419" t="s">
        <v>1351</v>
      </c>
      <c r="L16419">
        <v>422</v>
      </c>
      <c r="M16419" t="s">
        <v>1352</v>
      </c>
      <c r="N16419" t="s">
        <v>1353</v>
      </c>
      <c r="O16419" t="s">
        <v>31</v>
      </c>
      <c r="P16419" t="str">
        <f>"15085"</f>
        <v>15085</v>
      </c>
    </row>
    <row r="16420" spans="1:16" x14ac:dyDescent="0.25">
      <c r="A16420" t="str">
        <f>"1240048E00199    00"</f>
        <v>1240048E00199    00</v>
      </c>
      <c r="B16420" t="s">
        <v>34511</v>
      </c>
      <c r="C16420" t="s">
        <v>35899</v>
      </c>
      <c r="D16420" t="s">
        <v>20</v>
      </c>
      <c r="E16420" t="s">
        <v>39</v>
      </c>
      <c r="F16420">
        <v>0</v>
      </c>
      <c r="G16420">
        <v>0</v>
      </c>
      <c r="H16420">
        <v>2</v>
      </c>
      <c r="I16420" s="3">
        <v>1669.66</v>
      </c>
      <c r="J16420" s="3">
        <v>0</v>
      </c>
      <c r="L16420">
        <v>413</v>
      </c>
      <c r="M16420" t="s">
        <v>1481</v>
      </c>
      <c r="N16420" t="s">
        <v>30</v>
      </c>
      <c r="O16420" t="s">
        <v>31</v>
      </c>
      <c r="P16420" t="str">
        <f>"15213"</f>
        <v>15213</v>
      </c>
    </row>
    <row r="16421" spans="1:16" x14ac:dyDescent="0.25">
      <c r="A16421" t="str">
        <f>"1240048E00203    00"</f>
        <v>1240048E00203    00</v>
      </c>
      <c r="B16421" t="s">
        <v>35900</v>
      </c>
      <c r="C16421" t="s">
        <v>35901</v>
      </c>
      <c r="D16421" t="s">
        <v>20</v>
      </c>
      <c r="E16421" t="s">
        <v>39</v>
      </c>
      <c r="F16421">
        <v>0</v>
      </c>
      <c r="G16421">
        <v>0</v>
      </c>
      <c r="H16421">
        <v>5</v>
      </c>
      <c r="I16421" s="3">
        <v>5053.8599999999997</v>
      </c>
      <c r="J16421" s="3">
        <v>1082.0999999999999</v>
      </c>
      <c r="K16421" t="s">
        <v>35902</v>
      </c>
      <c r="L16421">
        <v>1956</v>
      </c>
      <c r="M16421" t="s">
        <v>35842</v>
      </c>
      <c r="N16421" t="s">
        <v>30</v>
      </c>
      <c r="O16421" t="s">
        <v>31</v>
      </c>
      <c r="P16421" t="str">
        <f>"15212"</f>
        <v>15212</v>
      </c>
    </row>
    <row r="16422" spans="1:16" x14ac:dyDescent="0.25">
      <c r="A16422" t="str">
        <f>"1240048E00209    00"</f>
        <v>1240048E00209    00</v>
      </c>
      <c r="B16422" t="s">
        <v>35903</v>
      </c>
      <c r="C16422" t="s">
        <v>35904</v>
      </c>
      <c r="D16422" t="s">
        <v>20</v>
      </c>
      <c r="E16422" t="s">
        <v>39</v>
      </c>
      <c r="F16422">
        <v>0</v>
      </c>
      <c r="G16422">
        <v>0</v>
      </c>
      <c r="H16422">
        <v>1</v>
      </c>
      <c r="I16422" s="3">
        <v>109.25</v>
      </c>
      <c r="J16422" s="3">
        <v>0</v>
      </c>
      <c r="L16422">
        <v>1955</v>
      </c>
      <c r="M16422" t="s">
        <v>35842</v>
      </c>
      <c r="N16422" t="s">
        <v>30</v>
      </c>
      <c r="O16422" t="s">
        <v>31</v>
      </c>
      <c r="P16422" t="str">
        <f>"15212"</f>
        <v>15212</v>
      </c>
    </row>
    <row r="16423" spans="1:16" x14ac:dyDescent="0.25">
      <c r="A16423" t="str">
        <f>"1240048E00217    00"</f>
        <v>1240048E00217    00</v>
      </c>
      <c r="B16423" t="s">
        <v>35905</v>
      </c>
      <c r="C16423" t="s">
        <v>35906</v>
      </c>
      <c r="D16423" t="s">
        <v>20</v>
      </c>
      <c r="E16423" t="s">
        <v>39</v>
      </c>
      <c r="F16423">
        <v>0</v>
      </c>
      <c r="G16423">
        <v>0</v>
      </c>
      <c r="H16423">
        <v>2</v>
      </c>
      <c r="I16423" s="3">
        <v>19.52</v>
      </c>
      <c r="J16423" s="3">
        <v>0</v>
      </c>
      <c r="L16423">
        <v>133</v>
      </c>
      <c r="M16423" t="s">
        <v>31316</v>
      </c>
      <c r="N16423" t="s">
        <v>30</v>
      </c>
      <c r="O16423" t="s">
        <v>31</v>
      </c>
      <c r="P16423" t="str">
        <f>"15235"</f>
        <v>15235</v>
      </c>
    </row>
    <row r="16424" spans="1:16" x14ac:dyDescent="0.25">
      <c r="A16424" t="str">
        <f>"1240048E00218    00"</f>
        <v>1240048E00218    00</v>
      </c>
      <c r="B16424" t="s">
        <v>35907</v>
      </c>
      <c r="C16424" t="s">
        <v>35906</v>
      </c>
      <c r="E16424" t="s">
        <v>39</v>
      </c>
      <c r="F16424">
        <v>0</v>
      </c>
      <c r="G16424">
        <v>0</v>
      </c>
      <c r="H16424">
        <v>10</v>
      </c>
      <c r="I16424" s="3">
        <v>8574.7999999999993</v>
      </c>
      <c r="J16424" s="3">
        <v>12174.16</v>
      </c>
      <c r="K16424" t="s">
        <v>35908</v>
      </c>
      <c r="L16424">
        <v>1954</v>
      </c>
      <c r="M16424" t="s">
        <v>35848</v>
      </c>
      <c r="N16424" t="s">
        <v>30</v>
      </c>
      <c r="O16424" t="s">
        <v>31</v>
      </c>
      <c r="P16424" t="str">
        <f>"15212"</f>
        <v>15212</v>
      </c>
    </row>
    <row r="16425" spans="1:16" x14ac:dyDescent="0.25">
      <c r="A16425" t="str">
        <f>"1240048E00222    00"</f>
        <v>1240048E00222    00</v>
      </c>
      <c r="B16425" t="s">
        <v>35909</v>
      </c>
      <c r="C16425" t="s">
        <v>35910</v>
      </c>
      <c r="D16425" t="s">
        <v>20</v>
      </c>
      <c r="E16425" t="s">
        <v>39</v>
      </c>
      <c r="F16425">
        <v>0</v>
      </c>
      <c r="G16425">
        <v>0</v>
      </c>
      <c r="H16425">
        <v>1</v>
      </c>
      <c r="I16425" s="3">
        <v>2281.4899999999998</v>
      </c>
      <c r="J16425" s="3">
        <v>0</v>
      </c>
      <c r="K16425" t="s">
        <v>2263</v>
      </c>
      <c r="L16425">
        <v>1000</v>
      </c>
      <c r="M16425" t="s">
        <v>10928</v>
      </c>
      <c r="N16425" t="s">
        <v>30</v>
      </c>
      <c r="O16425" t="s">
        <v>31</v>
      </c>
      <c r="P16425" t="str">
        <f>"15238"</f>
        <v>15238</v>
      </c>
    </row>
    <row r="16426" spans="1:16" x14ac:dyDescent="0.25">
      <c r="A16426" t="str">
        <f>"1240048E00225    00"</f>
        <v>1240048E00225    00</v>
      </c>
      <c r="B16426" t="s">
        <v>35911</v>
      </c>
      <c r="C16426" t="s">
        <v>35912</v>
      </c>
      <c r="D16426" t="s">
        <v>20</v>
      </c>
      <c r="E16426" t="s">
        <v>39</v>
      </c>
      <c r="F16426">
        <v>0</v>
      </c>
      <c r="G16426">
        <v>0</v>
      </c>
      <c r="H16426">
        <v>3</v>
      </c>
      <c r="I16426" s="3">
        <v>2824.74</v>
      </c>
      <c r="J16426" s="3">
        <v>0</v>
      </c>
      <c r="L16426">
        <v>1207</v>
      </c>
      <c r="M16426" t="s">
        <v>35913</v>
      </c>
      <c r="N16426" t="s">
        <v>2170</v>
      </c>
      <c r="O16426" t="s">
        <v>2171</v>
      </c>
      <c r="P16426" t="str">
        <f>"87501"</f>
        <v>87501</v>
      </c>
    </row>
    <row r="16427" spans="1:16" x14ac:dyDescent="0.25">
      <c r="A16427" t="str">
        <f>"1240048E00243    00"</f>
        <v>1240048E00243    00</v>
      </c>
      <c r="B16427" t="s">
        <v>35914</v>
      </c>
      <c r="C16427" t="s">
        <v>35915</v>
      </c>
      <c r="D16427" t="s">
        <v>20</v>
      </c>
      <c r="E16427" t="s">
        <v>39</v>
      </c>
      <c r="F16427">
        <v>0</v>
      </c>
      <c r="G16427">
        <v>0</v>
      </c>
      <c r="H16427">
        <v>1</v>
      </c>
      <c r="I16427" s="3">
        <v>571.79999999999995</v>
      </c>
      <c r="J16427" s="3">
        <v>0</v>
      </c>
      <c r="K16427" t="s">
        <v>9114</v>
      </c>
      <c r="M16427" t="s">
        <v>9115</v>
      </c>
      <c r="N16427" t="s">
        <v>264</v>
      </c>
      <c r="O16427" t="s">
        <v>25</v>
      </c>
      <c r="P16427" t="str">
        <f>"45263"</f>
        <v>45263</v>
      </c>
    </row>
    <row r="16428" spans="1:16" x14ac:dyDescent="0.25">
      <c r="A16428" t="str">
        <f>"1240048E00253    00"</f>
        <v>1240048E00253    00</v>
      </c>
      <c r="B16428" t="s">
        <v>35916</v>
      </c>
      <c r="C16428" t="s">
        <v>35917</v>
      </c>
      <c r="D16428" t="s">
        <v>20</v>
      </c>
      <c r="E16428" t="s">
        <v>39</v>
      </c>
      <c r="F16428">
        <v>0</v>
      </c>
      <c r="G16428">
        <v>0</v>
      </c>
      <c r="H16428">
        <v>2</v>
      </c>
      <c r="I16428" s="3">
        <v>252.55</v>
      </c>
      <c r="J16428" s="3">
        <v>0</v>
      </c>
      <c r="L16428">
        <v>2032</v>
      </c>
      <c r="M16428" t="s">
        <v>35848</v>
      </c>
      <c r="N16428" t="s">
        <v>30</v>
      </c>
      <c r="O16428" t="s">
        <v>31</v>
      </c>
      <c r="P16428" t="str">
        <f>"15212"</f>
        <v>15212</v>
      </c>
    </row>
    <row r="16429" spans="1:16" x14ac:dyDescent="0.25">
      <c r="A16429" t="str">
        <f>"1240048E00256    00"</f>
        <v>1240048E00256    00</v>
      </c>
      <c r="B16429" t="s">
        <v>35918</v>
      </c>
      <c r="C16429" t="s">
        <v>35919</v>
      </c>
      <c r="D16429" t="s">
        <v>20</v>
      </c>
      <c r="E16429" t="s">
        <v>39</v>
      </c>
      <c r="F16429">
        <v>0</v>
      </c>
      <c r="G16429">
        <v>0</v>
      </c>
      <c r="H16429">
        <v>2</v>
      </c>
      <c r="I16429" s="3">
        <v>1532.42</v>
      </c>
      <c r="J16429" s="3">
        <v>0</v>
      </c>
      <c r="L16429">
        <v>44</v>
      </c>
      <c r="M16429" t="s">
        <v>35920</v>
      </c>
      <c r="N16429" t="s">
        <v>30</v>
      </c>
      <c r="O16429" t="s">
        <v>31</v>
      </c>
      <c r="P16429" t="str">
        <f>"15209"</f>
        <v>15209</v>
      </c>
    </row>
    <row r="16430" spans="1:16" x14ac:dyDescent="0.25">
      <c r="A16430" t="str">
        <f>"1240048E00272    00"</f>
        <v>1240048E00272    00</v>
      </c>
      <c r="B16430" t="s">
        <v>35921</v>
      </c>
      <c r="C16430" t="s">
        <v>35922</v>
      </c>
      <c r="D16430" t="s">
        <v>20</v>
      </c>
      <c r="E16430" t="s">
        <v>39</v>
      </c>
      <c r="F16430">
        <v>0</v>
      </c>
      <c r="G16430">
        <v>0</v>
      </c>
      <c r="H16430">
        <v>4</v>
      </c>
      <c r="I16430" s="3">
        <v>332.93</v>
      </c>
      <c r="J16430" s="3">
        <v>29.57</v>
      </c>
      <c r="L16430">
        <v>2109</v>
      </c>
      <c r="M16430" t="s">
        <v>35842</v>
      </c>
      <c r="N16430" t="s">
        <v>30</v>
      </c>
      <c r="O16430" t="s">
        <v>31</v>
      </c>
      <c r="P16430" t="str">
        <f>"15212"</f>
        <v>15212</v>
      </c>
    </row>
    <row r="16431" spans="1:16" x14ac:dyDescent="0.25">
      <c r="A16431" t="str">
        <f>"1240048E00287    00"</f>
        <v>1240048E00287    00</v>
      </c>
      <c r="B16431" t="s">
        <v>35923</v>
      </c>
      <c r="C16431" t="s">
        <v>35924</v>
      </c>
      <c r="D16431" t="s">
        <v>20</v>
      </c>
      <c r="E16431" t="s">
        <v>39</v>
      </c>
      <c r="F16431">
        <v>0</v>
      </c>
      <c r="G16431">
        <v>0</v>
      </c>
      <c r="H16431">
        <v>2</v>
      </c>
      <c r="I16431" s="3">
        <v>560.72</v>
      </c>
      <c r="J16431" s="3">
        <v>0</v>
      </c>
      <c r="M16431" t="s">
        <v>35925</v>
      </c>
      <c r="N16431" t="s">
        <v>30</v>
      </c>
      <c r="O16431" t="s">
        <v>31</v>
      </c>
      <c r="P16431" t="str">
        <f>"15234"</f>
        <v>15234</v>
      </c>
    </row>
    <row r="16432" spans="1:16" x14ac:dyDescent="0.25">
      <c r="A16432" t="str">
        <f>"1240048E00292    00"</f>
        <v>1240048E00292    00</v>
      </c>
      <c r="B16432" t="s">
        <v>35432</v>
      </c>
      <c r="C16432" t="s">
        <v>35474</v>
      </c>
      <c r="D16432" t="s">
        <v>20</v>
      </c>
      <c r="E16432" t="s">
        <v>39</v>
      </c>
      <c r="F16432">
        <v>0</v>
      </c>
      <c r="G16432">
        <v>0</v>
      </c>
      <c r="H16432">
        <v>17</v>
      </c>
      <c r="I16432" s="3">
        <v>5706.16</v>
      </c>
      <c r="J16432" s="3">
        <v>7621.55</v>
      </c>
      <c r="K16432" t="s">
        <v>35433</v>
      </c>
      <c r="M16432" t="s">
        <v>35926</v>
      </c>
      <c r="N16432" t="s">
        <v>1353</v>
      </c>
      <c r="O16432" t="s">
        <v>31</v>
      </c>
      <c r="P16432" t="str">
        <f>"15085"</f>
        <v>15085</v>
      </c>
    </row>
    <row r="16433" spans="1:16" x14ac:dyDescent="0.25">
      <c r="A16433" t="str">
        <f>"1240048E00294    00"</f>
        <v>1240048E00294    00</v>
      </c>
      <c r="B16433" t="s">
        <v>35927</v>
      </c>
      <c r="C16433" t="s">
        <v>35928</v>
      </c>
      <c r="E16433" t="s">
        <v>39</v>
      </c>
      <c r="F16433">
        <v>0</v>
      </c>
      <c r="G16433">
        <v>0</v>
      </c>
      <c r="H16433">
        <v>4</v>
      </c>
      <c r="I16433" s="3">
        <v>3621.74</v>
      </c>
      <c r="J16433" s="3">
        <v>90.16</v>
      </c>
      <c r="K16433" t="s">
        <v>35929</v>
      </c>
      <c r="L16433">
        <v>2028</v>
      </c>
      <c r="M16433" t="s">
        <v>24755</v>
      </c>
      <c r="N16433" t="s">
        <v>30</v>
      </c>
      <c r="O16433" t="s">
        <v>31</v>
      </c>
      <c r="P16433" t="str">
        <f>"15212"</f>
        <v>15212</v>
      </c>
    </row>
    <row r="16434" spans="1:16" x14ac:dyDescent="0.25">
      <c r="A16434" t="str">
        <f>"1240048E00295    00"</f>
        <v>1240048E00295    00</v>
      </c>
      <c r="B16434" t="s">
        <v>35930</v>
      </c>
      <c r="C16434" t="s">
        <v>35931</v>
      </c>
      <c r="E16434" t="s">
        <v>39</v>
      </c>
      <c r="F16434">
        <v>0</v>
      </c>
      <c r="G16434">
        <v>0</v>
      </c>
      <c r="H16434">
        <v>3</v>
      </c>
      <c r="I16434" s="3">
        <v>990.89</v>
      </c>
      <c r="J16434" s="3">
        <v>24.76</v>
      </c>
      <c r="L16434">
        <v>221</v>
      </c>
      <c r="M16434" t="s">
        <v>35932</v>
      </c>
      <c r="N16434" t="s">
        <v>195</v>
      </c>
      <c r="O16434" t="s">
        <v>31</v>
      </c>
      <c r="P16434" t="str">
        <f>"15101"</f>
        <v>15101</v>
      </c>
    </row>
    <row r="16435" spans="1:16" x14ac:dyDescent="0.25">
      <c r="A16435" t="str">
        <f>"1240048E00297    00"</f>
        <v>1240048E00297    00</v>
      </c>
      <c r="B16435" t="s">
        <v>35933</v>
      </c>
      <c r="C16435" t="s">
        <v>35934</v>
      </c>
      <c r="E16435" t="s">
        <v>39</v>
      </c>
      <c r="F16435">
        <v>0</v>
      </c>
      <c r="G16435">
        <v>0</v>
      </c>
      <c r="H16435">
        <v>3</v>
      </c>
      <c r="I16435" s="3">
        <v>841.26</v>
      </c>
      <c r="J16435" s="3">
        <v>21.01</v>
      </c>
      <c r="K16435" t="s">
        <v>35935</v>
      </c>
      <c r="L16435">
        <v>221</v>
      </c>
      <c r="M16435" t="s">
        <v>35932</v>
      </c>
      <c r="N16435" t="s">
        <v>195</v>
      </c>
      <c r="O16435" t="s">
        <v>31</v>
      </c>
      <c r="P16435" t="str">
        <f>"15101"</f>
        <v>15101</v>
      </c>
    </row>
    <row r="16436" spans="1:16" x14ac:dyDescent="0.25">
      <c r="A16436" t="str">
        <f>"1240048E00311    00"</f>
        <v>1240048E00311    00</v>
      </c>
      <c r="B16436" t="s">
        <v>35936</v>
      </c>
      <c r="C16436" t="s">
        <v>35937</v>
      </c>
      <c r="D16436" t="s">
        <v>20</v>
      </c>
      <c r="E16436" t="s">
        <v>39</v>
      </c>
      <c r="F16436">
        <v>0</v>
      </c>
      <c r="G16436">
        <v>0</v>
      </c>
      <c r="H16436">
        <v>1</v>
      </c>
      <c r="I16436" s="3">
        <v>79.41</v>
      </c>
      <c r="J16436" s="3">
        <v>0</v>
      </c>
      <c r="K16436" t="s">
        <v>35938</v>
      </c>
      <c r="L16436">
        <v>320</v>
      </c>
      <c r="M16436" t="s">
        <v>35939</v>
      </c>
      <c r="N16436" t="s">
        <v>30</v>
      </c>
      <c r="O16436" t="s">
        <v>31</v>
      </c>
      <c r="P16436" t="str">
        <f>"15212"</f>
        <v>15212</v>
      </c>
    </row>
    <row r="16437" spans="1:16" x14ac:dyDescent="0.25">
      <c r="A16437" t="str">
        <f>"1240048E00340    00"</f>
        <v>1240048E00340    00</v>
      </c>
      <c r="B16437" t="s">
        <v>35940</v>
      </c>
      <c r="C16437" t="s">
        <v>35941</v>
      </c>
      <c r="D16437" t="s">
        <v>20</v>
      </c>
      <c r="E16437" t="s">
        <v>39</v>
      </c>
      <c r="F16437">
        <v>0</v>
      </c>
      <c r="G16437">
        <v>0</v>
      </c>
      <c r="H16437">
        <v>12</v>
      </c>
      <c r="I16437" s="3">
        <v>4392.01</v>
      </c>
      <c r="J16437" s="3">
        <v>2242.75</v>
      </c>
      <c r="L16437">
        <v>42</v>
      </c>
      <c r="M16437" t="s">
        <v>35942</v>
      </c>
      <c r="N16437" t="s">
        <v>30</v>
      </c>
      <c r="O16437" t="s">
        <v>31</v>
      </c>
      <c r="P16437" t="str">
        <f>"15223"</f>
        <v>15223</v>
      </c>
    </row>
    <row r="16438" spans="1:16" x14ac:dyDescent="0.25">
      <c r="A16438" t="str">
        <f>"1240048E00353    00"</f>
        <v>1240048E00353    00</v>
      </c>
      <c r="B16438" t="s">
        <v>35943</v>
      </c>
      <c r="C16438" t="s">
        <v>35944</v>
      </c>
      <c r="D16438" t="s">
        <v>20</v>
      </c>
      <c r="E16438" t="s">
        <v>39</v>
      </c>
      <c r="F16438">
        <v>0</v>
      </c>
      <c r="G16438">
        <v>0</v>
      </c>
      <c r="H16438">
        <v>16</v>
      </c>
      <c r="I16438" s="3">
        <v>13699.4</v>
      </c>
      <c r="J16438" s="3">
        <v>10206.370000000001</v>
      </c>
      <c r="L16438">
        <v>2028</v>
      </c>
      <c r="M16438" t="s">
        <v>35945</v>
      </c>
      <c r="N16438" t="s">
        <v>30</v>
      </c>
      <c r="O16438" t="s">
        <v>31</v>
      </c>
      <c r="P16438" t="str">
        <f>"15212"</f>
        <v>15212</v>
      </c>
    </row>
    <row r="16439" spans="1:16" x14ac:dyDescent="0.25">
      <c r="A16439" t="str">
        <f>"1240048E00357    00"</f>
        <v>1240048E00357    00</v>
      </c>
      <c r="B16439" t="s">
        <v>35946</v>
      </c>
      <c r="C16439" t="s">
        <v>35947</v>
      </c>
      <c r="D16439" t="s">
        <v>20</v>
      </c>
      <c r="E16439" t="s">
        <v>39</v>
      </c>
      <c r="F16439">
        <v>0</v>
      </c>
      <c r="G16439">
        <v>0</v>
      </c>
      <c r="H16439">
        <v>5</v>
      </c>
      <c r="I16439" s="3">
        <v>1601.5</v>
      </c>
      <c r="J16439" s="3">
        <v>276.68</v>
      </c>
      <c r="L16439">
        <v>2020</v>
      </c>
      <c r="M16439" t="s">
        <v>35945</v>
      </c>
      <c r="N16439" t="s">
        <v>30</v>
      </c>
      <c r="O16439" t="s">
        <v>31</v>
      </c>
      <c r="P16439" t="str">
        <f>"15212"</f>
        <v>15212</v>
      </c>
    </row>
    <row r="16440" spans="1:16" x14ac:dyDescent="0.25">
      <c r="A16440" t="str">
        <f>"1240048F00038    00"</f>
        <v>1240048F00038    00</v>
      </c>
      <c r="B16440" t="s">
        <v>35948</v>
      </c>
      <c r="C16440" t="s">
        <v>35949</v>
      </c>
      <c r="D16440" t="s">
        <v>20</v>
      </c>
      <c r="E16440" t="s">
        <v>39</v>
      </c>
      <c r="F16440">
        <v>0</v>
      </c>
      <c r="G16440">
        <v>0</v>
      </c>
      <c r="H16440">
        <v>3</v>
      </c>
      <c r="I16440" s="3">
        <v>2018.04</v>
      </c>
      <c r="J16440" s="3">
        <v>163.91</v>
      </c>
      <c r="K16440" t="s">
        <v>35950</v>
      </c>
      <c r="L16440">
        <v>3984</v>
      </c>
      <c r="M16440" t="s">
        <v>4776</v>
      </c>
      <c r="N16440" t="s">
        <v>195</v>
      </c>
      <c r="O16440" t="s">
        <v>31</v>
      </c>
      <c r="P16440" t="str">
        <f>"15101"</f>
        <v>15101</v>
      </c>
    </row>
    <row r="16441" spans="1:16" x14ac:dyDescent="0.25">
      <c r="A16441" t="str">
        <f>"1240048F00043    00"</f>
        <v>1240048F00043    00</v>
      </c>
      <c r="B16441" t="s">
        <v>35951</v>
      </c>
      <c r="C16441" t="s">
        <v>35952</v>
      </c>
      <c r="D16441" t="s">
        <v>20</v>
      </c>
      <c r="E16441" t="s">
        <v>39</v>
      </c>
      <c r="F16441">
        <v>0</v>
      </c>
      <c r="G16441">
        <v>0</v>
      </c>
      <c r="H16441">
        <v>2</v>
      </c>
      <c r="I16441" s="3">
        <v>248.05</v>
      </c>
      <c r="J16441" s="3">
        <v>0</v>
      </c>
      <c r="K16441" t="s">
        <v>35953</v>
      </c>
      <c r="L16441">
        <v>2764</v>
      </c>
      <c r="M16441" t="s">
        <v>35954</v>
      </c>
      <c r="N16441" t="s">
        <v>35955</v>
      </c>
      <c r="O16441" t="s">
        <v>273</v>
      </c>
      <c r="P16441" t="str">
        <f>"29708"</f>
        <v>29708</v>
      </c>
    </row>
    <row r="16442" spans="1:16" x14ac:dyDescent="0.25">
      <c r="A16442" t="str">
        <f>"1240048F00044    00"</f>
        <v>1240048F00044    00</v>
      </c>
      <c r="B16442" t="s">
        <v>35951</v>
      </c>
      <c r="C16442" t="s">
        <v>35956</v>
      </c>
      <c r="D16442" t="s">
        <v>20</v>
      </c>
      <c r="E16442" t="s">
        <v>39</v>
      </c>
      <c r="F16442">
        <v>0</v>
      </c>
      <c r="G16442">
        <v>0</v>
      </c>
      <c r="H16442">
        <v>2</v>
      </c>
      <c r="I16442" s="3">
        <v>682.83</v>
      </c>
      <c r="J16442" s="3">
        <v>0</v>
      </c>
      <c r="K16442" t="s">
        <v>35953</v>
      </c>
      <c r="L16442">
        <v>2764</v>
      </c>
      <c r="M16442" t="s">
        <v>35954</v>
      </c>
      <c r="N16442" t="s">
        <v>35955</v>
      </c>
      <c r="O16442" t="s">
        <v>273</v>
      </c>
      <c r="P16442" t="str">
        <f>"29708"</f>
        <v>29708</v>
      </c>
    </row>
    <row r="16443" spans="1:16" x14ac:dyDescent="0.25">
      <c r="A16443" t="str">
        <f>"1240048F00045    00"</f>
        <v>1240048F00045    00</v>
      </c>
      <c r="B16443" t="s">
        <v>35957</v>
      </c>
      <c r="C16443" t="s">
        <v>35958</v>
      </c>
      <c r="D16443" t="s">
        <v>57</v>
      </c>
      <c r="E16443" t="s">
        <v>39</v>
      </c>
      <c r="F16443">
        <v>0</v>
      </c>
      <c r="G16443">
        <v>0</v>
      </c>
      <c r="H16443">
        <v>1</v>
      </c>
      <c r="I16443" s="3">
        <v>112.6</v>
      </c>
      <c r="J16443" s="3">
        <v>0</v>
      </c>
      <c r="L16443">
        <v>1915</v>
      </c>
      <c r="M16443" t="s">
        <v>35959</v>
      </c>
      <c r="N16443" t="s">
        <v>30</v>
      </c>
      <c r="O16443" t="s">
        <v>31</v>
      </c>
      <c r="P16443" t="str">
        <f>"15212"</f>
        <v>15212</v>
      </c>
    </row>
    <row r="16444" spans="1:16" x14ac:dyDescent="0.25">
      <c r="A16444" t="str">
        <f>"1240048F00068    00"</f>
        <v>1240048F00068    00</v>
      </c>
      <c r="B16444" t="s">
        <v>35960</v>
      </c>
      <c r="C16444" t="s">
        <v>35961</v>
      </c>
      <c r="D16444" t="s">
        <v>20</v>
      </c>
      <c r="E16444" t="s">
        <v>39</v>
      </c>
      <c r="F16444">
        <v>0</v>
      </c>
      <c r="G16444">
        <v>0</v>
      </c>
      <c r="H16444">
        <v>4</v>
      </c>
      <c r="I16444" s="3">
        <v>815.32</v>
      </c>
      <c r="J16444" s="3">
        <v>108.9</v>
      </c>
      <c r="L16444">
        <v>1913</v>
      </c>
      <c r="M16444" t="s">
        <v>35959</v>
      </c>
      <c r="N16444" t="s">
        <v>30</v>
      </c>
      <c r="O16444" t="s">
        <v>31</v>
      </c>
      <c r="P16444" t="str">
        <f>"15212"</f>
        <v>15212</v>
      </c>
    </row>
    <row r="16445" spans="1:16" x14ac:dyDescent="0.25">
      <c r="A16445" t="str">
        <f>"1240048F00071    00"</f>
        <v>1240048F00071    00</v>
      </c>
      <c r="B16445" t="s">
        <v>35962</v>
      </c>
      <c r="C16445" t="s">
        <v>35963</v>
      </c>
      <c r="D16445" t="s">
        <v>20</v>
      </c>
      <c r="E16445" t="s">
        <v>39</v>
      </c>
      <c r="F16445">
        <v>0</v>
      </c>
      <c r="G16445">
        <v>0</v>
      </c>
      <c r="H16445">
        <v>19</v>
      </c>
      <c r="I16445" s="3">
        <v>353.71</v>
      </c>
      <c r="J16445" s="3">
        <v>389.39</v>
      </c>
      <c r="K16445" t="s">
        <v>1008</v>
      </c>
      <c r="P16445" t="str">
        <f>""</f>
        <v/>
      </c>
    </row>
    <row r="16446" spans="1:16" x14ac:dyDescent="0.25">
      <c r="A16446" t="str">
        <f>"1240048F00075    00"</f>
        <v>1240048F00075    00</v>
      </c>
      <c r="B16446" t="s">
        <v>33262</v>
      </c>
      <c r="C16446" t="s">
        <v>35964</v>
      </c>
      <c r="D16446" t="s">
        <v>57</v>
      </c>
      <c r="E16446" t="s">
        <v>39</v>
      </c>
      <c r="F16446">
        <v>0</v>
      </c>
      <c r="G16446">
        <v>0</v>
      </c>
      <c r="H16446">
        <v>1</v>
      </c>
      <c r="I16446" s="3">
        <v>341.33</v>
      </c>
      <c r="J16446" s="3">
        <v>0</v>
      </c>
      <c r="L16446">
        <v>2010</v>
      </c>
      <c r="M16446" t="s">
        <v>33084</v>
      </c>
      <c r="N16446" t="s">
        <v>195</v>
      </c>
      <c r="O16446" t="s">
        <v>31</v>
      </c>
      <c r="P16446" t="str">
        <f>"15101"</f>
        <v>15101</v>
      </c>
    </row>
    <row r="16447" spans="1:16" x14ac:dyDescent="0.25">
      <c r="A16447" t="str">
        <f>"1240048F00078    00"</f>
        <v>1240048F00078    00</v>
      </c>
      <c r="B16447" t="s">
        <v>35965</v>
      </c>
      <c r="C16447" t="s">
        <v>35966</v>
      </c>
      <c r="D16447" t="s">
        <v>20</v>
      </c>
      <c r="E16447" t="s">
        <v>39</v>
      </c>
      <c r="F16447">
        <v>0</v>
      </c>
      <c r="G16447">
        <v>0</v>
      </c>
      <c r="H16447">
        <v>2</v>
      </c>
      <c r="I16447" s="3">
        <v>279.54000000000002</v>
      </c>
      <c r="J16447" s="3">
        <v>0</v>
      </c>
      <c r="L16447">
        <v>2115</v>
      </c>
      <c r="M16447" t="s">
        <v>35945</v>
      </c>
      <c r="N16447" t="s">
        <v>30</v>
      </c>
      <c r="O16447" t="s">
        <v>31</v>
      </c>
      <c r="P16447" t="str">
        <f>"15212"</f>
        <v>15212</v>
      </c>
    </row>
    <row r="16448" spans="1:16" x14ac:dyDescent="0.25">
      <c r="A16448" t="str">
        <f>"1240048F00079    00"</f>
        <v>1240048F00079    00</v>
      </c>
      <c r="B16448" t="s">
        <v>35967</v>
      </c>
      <c r="C16448" t="s">
        <v>35968</v>
      </c>
      <c r="D16448" t="s">
        <v>20</v>
      </c>
      <c r="E16448" t="s">
        <v>39</v>
      </c>
      <c r="F16448">
        <v>0</v>
      </c>
      <c r="G16448">
        <v>0</v>
      </c>
      <c r="H16448">
        <v>10</v>
      </c>
      <c r="I16448" s="3">
        <v>8107.56</v>
      </c>
      <c r="J16448" s="3">
        <v>3309.55</v>
      </c>
      <c r="L16448">
        <v>2113</v>
      </c>
      <c r="M16448" t="s">
        <v>35945</v>
      </c>
      <c r="N16448" t="s">
        <v>30</v>
      </c>
      <c r="O16448" t="s">
        <v>31</v>
      </c>
      <c r="P16448" t="str">
        <f>"15212"</f>
        <v>15212</v>
      </c>
    </row>
    <row r="16449" spans="1:16" x14ac:dyDescent="0.25">
      <c r="A16449" t="str">
        <f>"1240048F00195    00"</f>
        <v>1240048F00195    00</v>
      </c>
      <c r="B16449" t="s">
        <v>35969</v>
      </c>
      <c r="C16449" t="s">
        <v>35970</v>
      </c>
      <c r="D16449" t="s">
        <v>20</v>
      </c>
      <c r="E16449" t="s">
        <v>39</v>
      </c>
      <c r="F16449">
        <v>0</v>
      </c>
      <c r="G16449">
        <v>0</v>
      </c>
      <c r="H16449">
        <v>2</v>
      </c>
      <c r="I16449" s="3">
        <v>1245.78</v>
      </c>
      <c r="J16449" s="3">
        <v>0</v>
      </c>
      <c r="L16449">
        <v>2035</v>
      </c>
      <c r="M16449" t="s">
        <v>35971</v>
      </c>
      <c r="N16449" t="s">
        <v>30</v>
      </c>
      <c r="O16449" t="s">
        <v>31</v>
      </c>
      <c r="P16449" t="str">
        <f>"15212"</f>
        <v>15212</v>
      </c>
    </row>
    <row r="16450" spans="1:16" x14ac:dyDescent="0.25">
      <c r="A16450" t="str">
        <f>"1240048J00025    00"</f>
        <v>1240048J00025    00</v>
      </c>
      <c r="B16450" t="s">
        <v>2718</v>
      </c>
      <c r="C16450" t="s">
        <v>35972</v>
      </c>
      <c r="E16450" t="s">
        <v>39</v>
      </c>
      <c r="F16450">
        <v>0</v>
      </c>
      <c r="G16450">
        <v>0</v>
      </c>
      <c r="H16450">
        <v>1</v>
      </c>
      <c r="I16450" s="3">
        <v>348.5</v>
      </c>
      <c r="J16450" s="3">
        <v>0</v>
      </c>
      <c r="K16450" t="s">
        <v>6314</v>
      </c>
      <c r="L16450">
        <v>5915</v>
      </c>
      <c r="M16450" t="s">
        <v>2720</v>
      </c>
      <c r="N16450" t="s">
        <v>30</v>
      </c>
      <c r="O16450" t="s">
        <v>31</v>
      </c>
      <c r="P16450" t="str">
        <f>"15206"</f>
        <v>15206</v>
      </c>
    </row>
    <row r="16451" spans="1:16" x14ac:dyDescent="0.25">
      <c r="A16451" t="str">
        <f>"1240048J00034    00"</f>
        <v>1240048J00034    00</v>
      </c>
      <c r="B16451" t="s">
        <v>35973</v>
      </c>
      <c r="C16451" t="s">
        <v>35868</v>
      </c>
      <c r="D16451" t="s">
        <v>20</v>
      </c>
      <c r="E16451" t="s">
        <v>39</v>
      </c>
      <c r="F16451">
        <v>0</v>
      </c>
      <c r="G16451">
        <v>0</v>
      </c>
      <c r="H16451">
        <v>5</v>
      </c>
      <c r="I16451" s="3">
        <v>1229.76</v>
      </c>
      <c r="J16451" s="3">
        <v>1159.76</v>
      </c>
      <c r="K16451" t="s">
        <v>35974</v>
      </c>
      <c r="L16451">
        <v>16539</v>
      </c>
      <c r="M16451" t="s">
        <v>35975</v>
      </c>
      <c r="N16451" t="s">
        <v>12594</v>
      </c>
      <c r="O16451" t="s">
        <v>692</v>
      </c>
      <c r="P16451" t="str">
        <f>"22191"</f>
        <v>22191</v>
      </c>
    </row>
    <row r="16452" spans="1:16" x14ac:dyDescent="0.25">
      <c r="A16452" t="str">
        <f>"1240048J00092    00"</f>
        <v>1240048J00092    00</v>
      </c>
      <c r="B16452" t="s">
        <v>35976</v>
      </c>
      <c r="C16452" t="s">
        <v>35977</v>
      </c>
      <c r="D16452" t="s">
        <v>20</v>
      </c>
      <c r="E16452" t="s">
        <v>39</v>
      </c>
      <c r="F16452">
        <v>0</v>
      </c>
      <c r="G16452">
        <v>0</v>
      </c>
      <c r="H16452">
        <v>10</v>
      </c>
      <c r="I16452" s="3">
        <v>15208.68</v>
      </c>
      <c r="J16452" s="3">
        <v>6179.43</v>
      </c>
      <c r="L16452">
        <v>1732</v>
      </c>
      <c r="M16452" t="s">
        <v>35978</v>
      </c>
      <c r="N16452" t="s">
        <v>30</v>
      </c>
      <c r="O16452" t="s">
        <v>31</v>
      </c>
      <c r="P16452" t="str">
        <f>"15212"</f>
        <v>15212</v>
      </c>
    </row>
    <row r="16453" spans="1:16" x14ac:dyDescent="0.25">
      <c r="A16453" t="str">
        <f>"1240048J00095    00"</f>
        <v>1240048J00095    00</v>
      </c>
      <c r="B16453" t="s">
        <v>35946</v>
      </c>
      <c r="C16453" t="s">
        <v>35979</v>
      </c>
      <c r="E16453" t="s">
        <v>39</v>
      </c>
      <c r="F16453">
        <v>0</v>
      </c>
      <c r="G16453">
        <v>0</v>
      </c>
      <c r="H16453">
        <v>1</v>
      </c>
      <c r="I16453" s="3">
        <v>667.1</v>
      </c>
      <c r="J16453" s="3">
        <v>0</v>
      </c>
      <c r="K16453" t="s">
        <v>35980</v>
      </c>
      <c r="L16453">
        <v>1719</v>
      </c>
      <c r="M16453" t="s">
        <v>34837</v>
      </c>
      <c r="N16453" t="s">
        <v>30</v>
      </c>
      <c r="O16453" t="s">
        <v>31</v>
      </c>
      <c r="P16453" t="str">
        <f>"15212"</f>
        <v>15212</v>
      </c>
    </row>
    <row r="16454" spans="1:16" x14ac:dyDescent="0.25">
      <c r="A16454" t="str">
        <f>"1240048J00125    00"</f>
        <v>1240048J00125    00</v>
      </c>
      <c r="B16454" t="s">
        <v>35981</v>
      </c>
      <c r="C16454" t="s">
        <v>35982</v>
      </c>
      <c r="D16454" t="s">
        <v>20</v>
      </c>
      <c r="E16454" t="s">
        <v>39</v>
      </c>
      <c r="F16454">
        <v>0</v>
      </c>
      <c r="G16454">
        <v>0</v>
      </c>
      <c r="H16454">
        <v>1</v>
      </c>
      <c r="I16454" s="3">
        <v>2557.85</v>
      </c>
      <c r="J16454" s="3">
        <v>0</v>
      </c>
      <c r="K16454" t="s">
        <v>400</v>
      </c>
      <c r="L16454">
        <v>3001</v>
      </c>
      <c r="M16454" t="s">
        <v>330</v>
      </c>
      <c r="N16454" t="s">
        <v>331</v>
      </c>
      <c r="O16454" t="s">
        <v>108</v>
      </c>
      <c r="P16454" t="str">
        <f>"75063"</f>
        <v>75063</v>
      </c>
    </row>
    <row r="16455" spans="1:16" x14ac:dyDescent="0.25">
      <c r="A16455" t="str">
        <f>"1240048J00126    00"</f>
        <v>1240048J00126    00</v>
      </c>
      <c r="B16455" t="s">
        <v>35983</v>
      </c>
      <c r="C16455" t="s">
        <v>35984</v>
      </c>
      <c r="D16455" t="s">
        <v>20</v>
      </c>
      <c r="E16455" t="s">
        <v>39</v>
      </c>
      <c r="F16455">
        <v>0</v>
      </c>
      <c r="G16455">
        <v>0</v>
      </c>
      <c r="H16455">
        <v>7</v>
      </c>
      <c r="I16455" s="3">
        <v>3467.23</v>
      </c>
      <c r="J16455" s="3">
        <v>3012.43</v>
      </c>
      <c r="L16455">
        <v>1830</v>
      </c>
      <c r="M16455" t="s">
        <v>35848</v>
      </c>
      <c r="N16455" t="s">
        <v>30</v>
      </c>
      <c r="O16455" t="s">
        <v>31</v>
      </c>
      <c r="P16455" t="str">
        <f>"15212"</f>
        <v>15212</v>
      </c>
    </row>
    <row r="16456" spans="1:16" x14ac:dyDescent="0.25">
      <c r="A16456" t="str">
        <f>"1240048J00129    00"</f>
        <v>1240048J00129    00</v>
      </c>
      <c r="B16456" t="s">
        <v>35985</v>
      </c>
      <c r="C16456" t="s">
        <v>35986</v>
      </c>
      <c r="E16456" t="s">
        <v>39</v>
      </c>
      <c r="F16456">
        <v>0</v>
      </c>
      <c r="G16456">
        <v>0</v>
      </c>
      <c r="H16456">
        <v>1</v>
      </c>
      <c r="I16456" s="3">
        <v>1115.02</v>
      </c>
      <c r="J16456" s="3">
        <v>223</v>
      </c>
      <c r="M16456" t="s">
        <v>35987</v>
      </c>
      <c r="N16456" t="s">
        <v>2222</v>
      </c>
      <c r="O16456" t="s">
        <v>31</v>
      </c>
      <c r="P16456" t="str">
        <f>"15015"</f>
        <v>15015</v>
      </c>
    </row>
    <row r="16457" spans="1:16" x14ac:dyDescent="0.25">
      <c r="A16457" t="str">
        <f>"1240048J00142    00"</f>
        <v>1240048J00142    00</v>
      </c>
      <c r="B16457" t="s">
        <v>35988</v>
      </c>
      <c r="C16457" t="s">
        <v>35800</v>
      </c>
      <c r="E16457" t="s">
        <v>39</v>
      </c>
      <c r="F16457">
        <v>0</v>
      </c>
      <c r="G16457">
        <v>0</v>
      </c>
      <c r="H16457">
        <v>2</v>
      </c>
      <c r="I16457" s="3">
        <v>41.08</v>
      </c>
      <c r="J16457" s="3">
        <v>1.38</v>
      </c>
      <c r="L16457">
        <v>1815</v>
      </c>
      <c r="M16457" t="s">
        <v>35625</v>
      </c>
      <c r="N16457" t="s">
        <v>30</v>
      </c>
      <c r="O16457" t="s">
        <v>31</v>
      </c>
      <c r="P16457" t="str">
        <f>"15212"</f>
        <v>15212</v>
      </c>
    </row>
    <row r="16458" spans="1:16" x14ac:dyDescent="0.25">
      <c r="A16458" t="str">
        <f>"1240048J00144    00"</f>
        <v>1240048J00144    00</v>
      </c>
      <c r="B16458" t="s">
        <v>35989</v>
      </c>
      <c r="C16458" t="s">
        <v>35990</v>
      </c>
      <c r="E16458" t="s">
        <v>39</v>
      </c>
      <c r="F16458">
        <v>0</v>
      </c>
      <c r="G16458">
        <v>0</v>
      </c>
      <c r="H16458">
        <v>1</v>
      </c>
      <c r="I16458" s="3">
        <v>3245.93</v>
      </c>
      <c r="J16458" s="3">
        <v>0</v>
      </c>
      <c r="K16458" t="s">
        <v>329</v>
      </c>
      <c r="L16458">
        <v>3001</v>
      </c>
      <c r="M16458" t="s">
        <v>330</v>
      </c>
      <c r="N16458" t="s">
        <v>331</v>
      </c>
      <c r="O16458" t="s">
        <v>108</v>
      </c>
      <c r="P16458" t="str">
        <f>"75063"</f>
        <v>75063</v>
      </c>
    </row>
    <row r="16459" spans="1:16" x14ac:dyDescent="0.25">
      <c r="A16459" t="str">
        <f>"1240048J00147    00"</f>
        <v>1240048J00147    00</v>
      </c>
      <c r="B16459" t="s">
        <v>35991</v>
      </c>
      <c r="C16459" t="s">
        <v>35992</v>
      </c>
      <c r="D16459" t="s">
        <v>20</v>
      </c>
      <c r="E16459" t="s">
        <v>39</v>
      </c>
      <c r="F16459">
        <v>0</v>
      </c>
      <c r="G16459">
        <v>0</v>
      </c>
      <c r="H16459">
        <v>1</v>
      </c>
      <c r="I16459" s="3">
        <v>771.94</v>
      </c>
      <c r="J16459" s="3">
        <v>0</v>
      </c>
      <c r="K16459" t="s">
        <v>35993</v>
      </c>
      <c r="L16459">
        <v>8302</v>
      </c>
      <c r="M16459" t="s">
        <v>35994</v>
      </c>
      <c r="N16459" t="s">
        <v>4318</v>
      </c>
      <c r="O16459" t="s">
        <v>31</v>
      </c>
      <c r="P16459" t="str">
        <f>"16046"</f>
        <v>16046</v>
      </c>
    </row>
    <row r="16460" spans="1:16" x14ac:dyDescent="0.25">
      <c r="A16460" t="str">
        <f>"1240048J00181    00"</f>
        <v>1240048J00181    00</v>
      </c>
      <c r="B16460" t="s">
        <v>35995</v>
      </c>
      <c r="C16460" t="s">
        <v>35996</v>
      </c>
      <c r="E16460" t="s">
        <v>21</v>
      </c>
      <c r="F16460">
        <v>0</v>
      </c>
      <c r="G16460">
        <v>0</v>
      </c>
      <c r="H16460">
        <v>1</v>
      </c>
      <c r="I16460" s="3">
        <v>1230.01</v>
      </c>
      <c r="J16460" s="3">
        <v>0</v>
      </c>
      <c r="L16460">
        <v>1836</v>
      </c>
      <c r="M16460" t="s">
        <v>24755</v>
      </c>
      <c r="N16460" t="s">
        <v>30</v>
      </c>
      <c r="O16460" t="s">
        <v>31</v>
      </c>
      <c r="P16460" t="str">
        <f>"15212"</f>
        <v>15212</v>
      </c>
    </row>
    <row r="16461" spans="1:16" x14ac:dyDescent="0.25">
      <c r="A16461" t="str">
        <f>"1240048J00183    00"</f>
        <v>1240048J00183    00</v>
      </c>
      <c r="B16461" t="s">
        <v>34838</v>
      </c>
      <c r="C16461" t="s">
        <v>35474</v>
      </c>
      <c r="D16461" t="s">
        <v>20</v>
      </c>
      <c r="E16461" t="s">
        <v>39</v>
      </c>
      <c r="F16461">
        <v>0</v>
      </c>
      <c r="G16461">
        <v>0</v>
      </c>
      <c r="H16461">
        <v>2</v>
      </c>
      <c r="I16461" s="3">
        <v>30.5</v>
      </c>
      <c r="J16461" s="3">
        <v>3.05</v>
      </c>
      <c r="L16461">
        <v>3691</v>
      </c>
      <c r="M16461" t="s">
        <v>31552</v>
      </c>
      <c r="N16461" t="s">
        <v>30</v>
      </c>
      <c r="O16461" t="s">
        <v>31</v>
      </c>
      <c r="P16461" t="str">
        <f>"15212"</f>
        <v>15212</v>
      </c>
    </row>
    <row r="16462" spans="1:16" x14ac:dyDescent="0.25">
      <c r="A16462" t="str">
        <f>"1240048J00196    00"</f>
        <v>1240048J00196    00</v>
      </c>
      <c r="B16462" t="s">
        <v>35997</v>
      </c>
      <c r="C16462" t="s">
        <v>35998</v>
      </c>
      <c r="D16462" t="s">
        <v>20</v>
      </c>
      <c r="E16462" t="s">
        <v>39</v>
      </c>
      <c r="F16462">
        <v>0</v>
      </c>
      <c r="G16462">
        <v>0</v>
      </c>
      <c r="H16462">
        <v>2</v>
      </c>
      <c r="I16462" s="3">
        <v>1243.72</v>
      </c>
      <c r="J16462" s="3">
        <v>0</v>
      </c>
      <c r="L16462">
        <v>1906</v>
      </c>
      <c r="M16462" t="s">
        <v>24755</v>
      </c>
      <c r="N16462" t="s">
        <v>30</v>
      </c>
      <c r="O16462" t="s">
        <v>31</v>
      </c>
      <c r="P16462" t="str">
        <f>"15212"</f>
        <v>15212</v>
      </c>
    </row>
    <row r="16463" spans="1:16" x14ac:dyDescent="0.25">
      <c r="A16463" t="str">
        <f>"1240048J00198    00"</f>
        <v>1240048J00198    00</v>
      </c>
      <c r="B16463" t="s">
        <v>35999</v>
      </c>
      <c r="C16463" t="s">
        <v>36000</v>
      </c>
      <c r="D16463" t="s">
        <v>20</v>
      </c>
      <c r="E16463" t="s">
        <v>21</v>
      </c>
      <c r="F16463">
        <v>0</v>
      </c>
      <c r="G16463">
        <v>0</v>
      </c>
      <c r="H16463">
        <v>1</v>
      </c>
      <c r="I16463" s="3">
        <v>3579.47</v>
      </c>
      <c r="J16463" s="3">
        <v>0</v>
      </c>
      <c r="K16463" t="s">
        <v>36001</v>
      </c>
      <c r="L16463">
        <v>64</v>
      </c>
      <c r="M16463" t="s">
        <v>36002</v>
      </c>
      <c r="N16463" t="s">
        <v>30</v>
      </c>
      <c r="O16463" t="s">
        <v>31</v>
      </c>
      <c r="P16463" t="str">
        <f>"15203"</f>
        <v>15203</v>
      </c>
    </row>
    <row r="16464" spans="1:16" x14ac:dyDescent="0.25">
      <c r="A16464" t="str">
        <f>"1240048J00203    00"</f>
        <v>1240048J00203    00</v>
      </c>
      <c r="B16464" t="s">
        <v>35341</v>
      </c>
      <c r="C16464" t="s">
        <v>36003</v>
      </c>
      <c r="D16464" t="s">
        <v>20</v>
      </c>
      <c r="E16464" t="s">
        <v>39</v>
      </c>
      <c r="F16464">
        <v>0</v>
      </c>
      <c r="G16464">
        <v>0</v>
      </c>
      <c r="H16464">
        <v>5</v>
      </c>
      <c r="I16464" s="3">
        <v>4970.29</v>
      </c>
      <c r="J16464" s="3">
        <v>818.45</v>
      </c>
      <c r="L16464">
        <v>1912</v>
      </c>
      <c r="M16464" t="s">
        <v>36004</v>
      </c>
      <c r="N16464" t="s">
        <v>30</v>
      </c>
      <c r="O16464" t="s">
        <v>31</v>
      </c>
      <c r="P16464" t="str">
        <f t="shared" ref="P16464:P16471" si="214">"15212"</f>
        <v>15212</v>
      </c>
    </row>
    <row r="16465" spans="1:16" x14ac:dyDescent="0.25">
      <c r="A16465" t="str">
        <f>"1240048J00220    00"</f>
        <v>1240048J00220    00</v>
      </c>
      <c r="B16465" t="s">
        <v>36005</v>
      </c>
      <c r="C16465" t="s">
        <v>36006</v>
      </c>
      <c r="D16465" t="s">
        <v>20</v>
      </c>
      <c r="E16465" t="s">
        <v>39</v>
      </c>
      <c r="F16465">
        <v>0</v>
      </c>
      <c r="G16465">
        <v>0</v>
      </c>
      <c r="H16465">
        <v>5</v>
      </c>
      <c r="I16465" s="3">
        <v>1624.9</v>
      </c>
      <c r="J16465" s="3">
        <v>1844.12</v>
      </c>
      <c r="L16465">
        <v>1944</v>
      </c>
      <c r="M16465" t="s">
        <v>24755</v>
      </c>
      <c r="N16465" t="s">
        <v>30</v>
      </c>
      <c r="O16465" t="s">
        <v>31</v>
      </c>
      <c r="P16465" t="str">
        <f t="shared" si="214"/>
        <v>15212</v>
      </c>
    </row>
    <row r="16466" spans="1:16" x14ac:dyDescent="0.25">
      <c r="A16466" t="str">
        <f>"1240048J00280    00"</f>
        <v>1240048J00280    00</v>
      </c>
      <c r="B16466" t="s">
        <v>35181</v>
      </c>
      <c r="C16466" t="s">
        <v>36007</v>
      </c>
      <c r="D16466" t="s">
        <v>20</v>
      </c>
      <c r="E16466" t="s">
        <v>39</v>
      </c>
      <c r="F16466">
        <v>0</v>
      </c>
      <c r="G16466">
        <v>0</v>
      </c>
      <c r="H16466">
        <v>7</v>
      </c>
      <c r="I16466" s="3">
        <v>5143.1499999999996</v>
      </c>
      <c r="J16466" s="3">
        <v>934.06</v>
      </c>
      <c r="L16466">
        <v>1138</v>
      </c>
      <c r="M16466" t="s">
        <v>24014</v>
      </c>
      <c r="N16466" t="s">
        <v>30</v>
      </c>
      <c r="O16466" t="s">
        <v>31</v>
      </c>
      <c r="P16466" t="str">
        <f t="shared" si="214"/>
        <v>15212</v>
      </c>
    </row>
    <row r="16467" spans="1:16" x14ac:dyDescent="0.25">
      <c r="A16467" t="str">
        <f>"1240048J00293    00"</f>
        <v>1240048J00293    00</v>
      </c>
      <c r="B16467" t="s">
        <v>36008</v>
      </c>
      <c r="C16467" t="s">
        <v>36009</v>
      </c>
      <c r="D16467" t="s">
        <v>20</v>
      </c>
      <c r="E16467" t="s">
        <v>39</v>
      </c>
      <c r="F16467">
        <v>0</v>
      </c>
      <c r="G16467">
        <v>0</v>
      </c>
      <c r="H16467">
        <v>2</v>
      </c>
      <c r="I16467" s="3">
        <v>103.73</v>
      </c>
      <c r="J16467" s="3">
        <v>17.48</v>
      </c>
      <c r="L16467">
        <v>1835</v>
      </c>
      <c r="M16467" t="s">
        <v>24755</v>
      </c>
      <c r="N16467" t="s">
        <v>30</v>
      </c>
      <c r="O16467" t="s">
        <v>31</v>
      </c>
      <c r="P16467" t="str">
        <f t="shared" si="214"/>
        <v>15212</v>
      </c>
    </row>
    <row r="16468" spans="1:16" x14ac:dyDescent="0.25">
      <c r="A16468" t="str">
        <f>"1240048J00318    00"</f>
        <v>1240048J00318    00</v>
      </c>
      <c r="B16468" t="s">
        <v>36010</v>
      </c>
      <c r="C16468" t="s">
        <v>36011</v>
      </c>
      <c r="E16468" t="s">
        <v>39</v>
      </c>
      <c r="F16468">
        <v>0</v>
      </c>
      <c r="G16468">
        <v>0</v>
      </c>
      <c r="H16468">
        <v>3</v>
      </c>
      <c r="I16468" s="3">
        <v>435.6</v>
      </c>
      <c r="J16468" s="3">
        <v>258.93</v>
      </c>
      <c r="L16468">
        <v>3012</v>
      </c>
      <c r="M16468" t="s">
        <v>36012</v>
      </c>
      <c r="N16468" t="s">
        <v>30</v>
      </c>
      <c r="O16468" t="s">
        <v>31</v>
      </c>
      <c r="P16468" t="str">
        <f t="shared" si="214"/>
        <v>15212</v>
      </c>
    </row>
    <row r="16469" spans="1:16" x14ac:dyDescent="0.25">
      <c r="A16469" t="str">
        <f>"1240048J00357    00"</f>
        <v>1240048J00357    00</v>
      </c>
      <c r="B16469" t="s">
        <v>36013</v>
      </c>
      <c r="C16469" t="s">
        <v>35538</v>
      </c>
      <c r="E16469" t="s">
        <v>21</v>
      </c>
      <c r="F16469">
        <v>0</v>
      </c>
      <c r="G16469">
        <v>0</v>
      </c>
      <c r="H16469">
        <v>1</v>
      </c>
      <c r="I16469" s="3">
        <v>262.02999999999997</v>
      </c>
      <c r="J16469" s="3">
        <v>366.83</v>
      </c>
      <c r="K16469" t="s">
        <v>36014</v>
      </c>
      <c r="L16469">
        <v>2000</v>
      </c>
      <c r="M16469" t="s">
        <v>9444</v>
      </c>
      <c r="N16469" t="s">
        <v>30</v>
      </c>
      <c r="O16469" t="s">
        <v>31</v>
      </c>
      <c r="P16469" t="str">
        <f t="shared" si="214"/>
        <v>15212</v>
      </c>
    </row>
    <row r="16470" spans="1:16" x14ac:dyDescent="0.25">
      <c r="A16470" t="str">
        <f>"1240048N00022    00"</f>
        <v>1240048N00022    00</v>
      </c>
      <c r="B16470" t="s">
        <v>36015</v>
      </c>
      <c r="C16470" t="s">
        <v>36016</v>
      </c>
      <c r="E16470" t="s">
        <v>21</v>
      </c>
      <c r="F16470">
        <v>0</v>
      </c>
      <c r="G16470">
        <v>0</v>
      </c>
      <c r="H16470">
        <v>1</v>
      </c>
      <c r="I16470" s="3">
        <v>361.21</v>
      </c>
      <c r="J16470" s="3">
        <v>0</v>
      </c>
      <c r="L16470">
        <v>1716</v>
      </c>
      <c r="M16470" t="s">
        <v>24755</v>
      </c>
      <c r="N16470" t="s">
        <v>30</v>
      </c>
      <c r="O16470" t="s">
        <v>31</v>
      </c>
      <c r="P16470" t="str">
        <f t="shared" si="214"/>
        <v>15212</v>
      </c>
    </row>
    <row r="16471" spans="1:16" x14ac:dyDescent="0.25">
      <c r="A16471" t="str">
        <f>"1240048N00023    00"</f>
        <v>1240048N00023    00</v>
      </c>
      <c r="B16471" t="s">
        <v>36017</v>
      </c>
      <c r="C16471" t="s">
        <v>36018</v>
      </c>
      <c r="D16471" t="s">
        <v>20</v>
      </c>
      <c r="E16471" t="s">
        <v>21</v>
      </c>
      <c r="F16471">
        <v>0</v>
      </c>
      <c r="G16471">
        <v>0</v>
      </c>
      <c r="H16471">
        <v>2</v>
      </c>
      <c r="I16471" s="3">
        <v>4215.1899999999996</v>
      </c>
      <c r="J16471" s="3">
        <v>0</v>
      </c>
      <c r="K16471" t="s">
        <v>36019</v>
      </c>
      <c r="L16471">
        <v>2013</v>
      </c>
      <c r="M16471" t="s">
        <v>35842</v>
      </c>
      <c r="N16471" t="s">
        <v>30</v>
      </c>
      <c r="O16471" t="s">
        <v>31</v>
      </c>
      <c r="P16471" t="str">
        <f t="shared" si="214"/>
        <v>15212</v>
      </c>
    </row>
    <row r="16472" spans="1:16" x14ac:dyDescent="0.25">
      <c r="A16472" t="str">
        <f>"1240048N00024    00"</f>
        <v>1240048N00024    00</v>
      </c>
      <c r="B16472" t="s">
        <v>36020</v>
      </c>
      <c r="C16472" t="s">
        <v>36021</v>
      </c>
      <c r="E16472" t="s">
        <v>21</v>
      </c>
      <c r="F16472">
        <v>0</v>
      </c>
      <c r="G16472">
        <v>0</v>
      </c>
      <c r="H16472">
        <v>2</v>
      </c>
      <c r="I16472" s="3">
        <v>1694.19</v>
      </c>
      <c r="J16472" s="3">
        <v>816.1</v>
      </c>
      <c r="L16472">
        <v>406</v>
      </c>
      <c r="M16472" t="s">
        <v>610</v>
      </c>
      <c r="N16472" t="s">
        <v>30</v>
      </c>
      <c r="O16472" t="s">
        <v>31</v>
      </c>
      <c r="P16472" t="str">
        <f>"15241"</f>
        <v>15241</v>
      </c>
    </row>
    <row r="16473" spans="1:16" x14ac:dyDescent="0.25">
      <c r="A16473" t="str">
        <f>"1240048N00041    00"</f>
        <v>1240048N00041    00</v>
      </c>
      <c r="B16473" t="s">
        <v>36022</v>
      </c>
      <c r="C16473" t="s">
        <v>36023</v>
      </c>
      <c r="D16473" t="s">
        <v>20</v>
      </c>
      <c r="E16473" t="s">
        <v>21</v>
      </c>
      <c r="F16473">
        <v>0</v>
      </c>
      <c r="G16473">
        <v>0</v>
      </c>
      <c r="H16473">
        <v>2</v>
      </c>
      <c r="I16473" s="3">
        <v>2602.83</v>
      </c>
      <c r="J16473" s="3">
        <v>211.23</v>
      </c>
      <c r="K16473" t="s">
        <v>36024</v>
      </c>
      <c r="L16473">
        <v>1619</v>
      </c>
      <c r="M16473" t="s">
        <v>24755</v>
      </c>
      <c r="N16473" t="s">
        <v>30</v>
      </c>
      <c r="O16473" t="s">
        <v>31</v>
      </c>
      <c r="P16473" t="str">
        <f>"15212"</f>
        <v>15212</v>
      </c>
    </row>
    <row r="16474" spans="1:16" x14ac:dyDescent="0.25">
      <c r="A16474" t="str">
        <f>"1240048N00052    00"</f>
        <v>1240048N00052    00</v>
      </c>
      <c r="B16474" t="s">
        <v>5000</v>
      </c>
      <c r="C16474" t="s">
        <v>36025</v>
      </c>
      <c r="D16474" t="s">
        <v>20</v>
      </c>
      <c r="E16474" t="s">
        <v>21</v>
      </c>
      <c r="F16474">
        <v>0</v>
      </c>
      <c r="G16474">
        <v>0</v>
      </c>
      <c r="H16474">
        <v>1</v>
      </c>
      <c r="I16474" s="3">
        <v>1143.6199999999999</v>
      </c>
      <c r="J16474" s="3">
        <v>0</v>
      </c>
      <c r="K16474" t="s">
        <v>36026</v>
      </c>
      <c r="L16474">
        <v>3944</v>
      </c>
      <c r="M16474" t="s">
        <v>585</v>
      </c>
      <c r="N16474" t="s">
        <v>30</v>
      </c>
      <c r="O16474" t="s">
        <v>31</v>
      </c>
      <c r="P16474" t="str">
        <f>"15224"</f>
        <v>15224</v>
      </c>
    </row>
    <row r="16475" spans="1:16" x14ac:dyDescent="0.25">
      <c r="A16475" t="str">
        <f>"1240048N00060    00"</f>
        <v>1240048N00060    00</v>
      </c>
      <c r="B16475" t="s">
        <v>21134</v>
      </c>
      <c r="C16475" t="s">
        <v>36027</v>
      </c>
      <c r="E16475" t="s">
        <v>39</v>
      </c>
      <c r="F16475">
        <v>0</v>
      </c>
      <c r="G16475">
        <v>0</v>
      </c>
      <c r="H16475">
        <v>1</v>
      </c>
      <c r="I16475" s="3">
        <v>5003.03</v>
      </c>
      <c r="J16475" s="3">
        <v>0</v>
      </c>
      <c r="K16475" t="s">
        <v>36028</v>
      </c>
      <c r="L16475">
        <v>554</v>
      </c>
      <c r="M16475" t="s">
        <v>21121</v>
      </c>
      <c r="N16475" t="s">
        <v>30</v>
      </c>
      <c r="O16475" t="s">
        <v>31</v>
      </c>
      <c r="P16475" t="str">
        <f>"15207"</f>
        <v>15207</v>
      </c>
    </row>
    <row r="16476" spans="1:16" x14ac:dyDescent="0.25">
      <c r="A16476" t="str">
        <f>"1240048N00067    00"</f>
        <v>1240048N00067    00</v>
      </c>
      <c r="B16476" t="s">
        <v>36029</v>
      </c>
      <c r="C16476" t="s">
        <v>36030</v>
      </c>
      <c r="E16476" t="s">
        <v>39</v>
      </c>
      <c r="F16476">
        <v>0</v>
      </c>
      <c r="G16476">
        <v>0</v>
      </c>
      <c r="H16476">
        <v>4</v>
      </c>
      <c r="I16476" s="3">
        <v>25.7</v>
      </c>
      <c r="J16476" s="3">
        <v>8.74</v>
      </c>
      <c r="L16476">
        <v>1801</v>
      </c>
      <c r="M16476" t="s">
        <v>24755</v>
      </c>
      <c r="N16476" t="s">
        <v>30</v>
      </c>
      <c r="O16476" t="s">
        <v>31</v>
      </c>
      <c r="P16476" t="str">
        <f>"15212"</f>
        <v>15212</v>
      </c>
    </row>
    <row r="16477" spans="1:16" x14ac:dyDescent="0.25">
      <c r="A16477" t="str">
        <f>"1240048N00070    00"</f>
        <v>1240048N00070    00</v>
      </c>
      <c r="B16477" t="s">
        <v>36031</v>
      </c>
      <c r="C16477" t="s">
        <v>36030</v>
      </c>
      <c r="D16477" t="s">
        <v>20</v>
      </c>
      <c r="E16477" t="s">
        <v>39</v>
      </c>
      <c r="F16477">
        <v>0</v>
      </c>
      <c r="G16477">
        <v>0</v>
      </c>
      <c r="H16477">
        <v>8</v>
      </c>
      <c r="I16477" s="3">
        <v>4854.29</v>
      </c>
      <c r="J16477" s="3">
        <v>1759.54</v>
      </c>
      <c r="L16477">
        <v>1801</v>
      </c>
      <c r="M16477" t="s">
        <v>24755</v>
      </c>
      <c r="N16477" t="s">
        <v>30</v>
      </c>
      <c r="O16477" t="s">
        <v>31</v>
      </c>
      <c r="P16477" t="str">
        <f>"15212"</f>
        <v>15212</v>
      </c>
    </row>
    <row r="16478" spans="1:16" x14ac:dyDescent="0.25">
      <c r="A16478" t="str">
        <f>"1240048N00140    00"</f>
        <v>1240048N00140    00</v>
      </c>
      <c r="B16478" t="s">
        <v>36032</v>
      </c>
      <c r="C16478" t="s">
        <v>36033</v>
      </c>
      <c r="E16478" t="s">
        <v>290</v>
      </c>
      <c r="F16478">
        <v>0</v>
      </c>
      <c r="G16478">
        <v>0</v>
      </c>
      <c r="H16478">
        <v>1</v>
      </c>
      <c r="I16478" s="3">
        <v>1930.64</v>
      </c>
      <c r="J16478" s="3">
        <v>3571.55</v>
      </c>
      <c r="L16478">
        <v>7936</v>
      </c>
      <c r="M16478" t="s">
        <v>2874</v>
      </c>
      <c r="N16478" t="s">
        <v>30</v>
      </c>
      <c r="O16478" t="s">
        <v>31</v>
      </c>
      <c r="P16478" t="str">
        <f>"15237"</f>
        <v>15237</v>
      </c>
    </row>
    <row r="16479" spans="1:16" x14ac:dyDescent="0.25">
      <c r="A16479" t="str">
        <f>"1240048N00160    00"</f>
        <v>1240048N00160    00</v>
      </c>
      <c r="B16479" t="s">
        <v>33612</v>
      </c>
      <c r="C16479" t="s">
        <v>36034</v>
      </c>
      <c r="E16479" t="s">
        <v>39</v>
      </c>
      <c r="F16479">
        <v>0</v>
      </c>
      <c r="G16479">
        <v>0</v>
      </c>
      <c r="H16479">
        <v>1</v>
      </c>
      <c r="I16479" s="3">
        <v>19.600000000000001</v>
      </c>
      <c r="J16479" s="3">
        <v>36.26</v>
      </c>
      <c r="L16479">
        <v>45</v>
      </c>
      <c r="M16479" t="s">
        <v>1473</v>
      </c>
      <c r="N16479" t="s">
        <v>1474</v>
      </c>
      <c r="O16479" t="s">
        <v>31</v>
      </c>
      <c r="P16479" t="str">
        <f>"15017"</f>
        <v>15017</v>
      </c>
    </row>
    <row r="16480" spans="1:16" x14ac:dyDescent="0.25">
      <c r="A16480" t="str">
        <f>"1240048N00166    00"</f>
        <v>1240048N00166    00</v>
      </c>
      <c r="B16480" t="s">
        <v>36035</v>
      </c>
      <c r="C16480" t="s">
        <v>36036</v>
      </c>
      <c r="E16480" t="s">
        <v>39</v>
      </c>
      <c r="F16480">
        <v>0</v>
      </c>
      <c r="G16480">
        <v>0</v>
      </c>
      <c r="H16480">
        <v>1</v>
      </c>
      <c r="I16480" s="3">
        <v>613.05999999999995</v>
      </c>
      <c r="J16480" s="3">
        <v>888.91</v>
      </c>
      <c r="M16480" t="s">
        <v>36037</v>
      </c>
      <c r="N16480" t="s">
        <v>30</v>
      </c>
      <c r="O16480" t="s">
        <v>31</v>
      </c>
      <c r="P16480" t="str">
        <f>"15212"</f>
        <v>15212</v>
      </c>
    </row>
    <row r="16481" spans="1:16" x14ac:dyDescent="0.25">
      <c r="A16481" t="str">
        <f>"1240048N00301    00"</f>
        <v>1240048N00301    00</v>
      </c>
      <c r="B16481" t="s">
        <v>36038</v>
      </c>
      <c r="C16481" t="s">
        <v>36039</v>
      </c>
      <c r="E16481" t="s">
        <v>39</v>
      </c>
      <c r="F16481">
        <v>0</v>
      </c>
      <c r="G16481">
        <v>0</v>
      </c>
      <c r="H16481">
        <v>1</v>
      </c>
      <c r="I16481" s="3">
        <v>76.099999999999994</v>
      </c>
      <c r="J16481" s="3">
        <v>24.1</v>
      </c>
      <c r="K16481" t="s">
        <v>36040</v>
      </c>
      <c r="L16481">
        <v>13</v>
      </c>
      <c r="M16481" t="s">
        <v>35548</v>
      </c>
      <c r="N16481" t="s">
        <v>30</v>
      </c>
      <c r="O16481" t="s">
        <v>31</v>
      </c>
      <c r="P16481" t="str">
        <f>"15222"</f>
        <v>15222</v>
      </c>
    </row>
    <row r="16482" spans="1:16" x14ac:dyDescent="0.25">
      <c r="A16482" t="str">
        <f>"1240048N00304    00"</f>
        <v>1240048N00304    00</v>
      </c>
      <c r="B16482" t="s">
        <v>36041</v>
      </c>
      <c r="C16482" t="s">
        <v>36042</v>
      </c>
      <c r="D16482" t="s">
        <v>20</v>
      </c>
      <c r="E16482" t="s">
        <v>39</v>
      </c>
      <c r="F16482">
        <v>0</v>
      </c>
      <c r="G16482">
        <v>0</v>
      </c>
      <c r="H16482">
        <v>2</v>
      </c>
      <c r="I16482" s="3">
        <v>5617.21</v>
      </c>
      <c r="J16482" s="3">
        <v>0</v>
      </c>
      <c r="L16482">
        <v>16</v>
      </c>
      <c r="M16482" t="s">
        <v>35548</v>
      </c>
      <c r="N16482" t="s">
        <v>30</v>
      </c>
      <c r="O16482" t="s">
        <v>31</v>
      </c>
      <c r="P16482" t="str">
        <f>"15222"</f>
        <v>15222</v>
      </c>
    </row>
    <row r="16483" spans="1:16" x14ac:dyDescent="0.25">
      <c r="A16483" t="str">
        <f>"1240048N00318    00"</f>
        <v>1240048N00318    00</v>
      </c>
      <c r="B16483" t="s">
        <v>36043</v>
      </c>
      <c r="C16483" t="s">
        <v>36044</v>
      </c>
      <c r="E16483" t="s">
        <v>39</v>
      </c>
      <c r="F16483">
        <v>0</v>
      </c>
      <c r="G16483">
        <v>0</v>
      </c>
      <c r="H16483">
        <v>1</v>
      </c>
      <c r="I16483" s="3">
        <v>1959.31</v>
      </c>
      <c r="J16483" s="3">
        <v>440.83</v>
      </c>
      <c r="K16483" t="s">
        <v>1030</v>
      </c>
      <c r="M16483" t="s">
        <v>1031</v>
      </c>
      <c r="N16483" t="s">
        <v>1032</v>
      </c>
      <c r="O16483" t="s">
        <v>25</v>
      </c>
      <c r="P16483" t="str">
        <f>"44711"</f>
        <v>44711</v>
      </c>
    </row>
    <row r="16484" spans="1:16" x14ac:dyDescent="0.25">
      <c r="A16484" t="str">
        <f>"1240048P00167    00"</f>
        <v>1240048P00167    00</v>
      </c>
      <c r="B16484" t="s">
        <v>36045</v>
      </c>
      <c r="C16484" t="s">
        <v>36046</v>
      </c>
      <c r="E16484" t="s">
        <v>39</v>
      </c>
      <c r="F16484">
        <v>0</v>
      </c>
      <c r="G16484">
        <v>0</v>
      </c>
      <c r="H16484">
        <v>1</v>
      </c>
      <c r="I16484" s="3">
        <v>3337.41</v>
      </c>
      <c r="J16484" s="3">
        <v>917.76</v>
      </c>
      <c r="K16484" t="s">
        <v>756</v>
      </c>
      <c r="L16484">
        <v>3001</v>
      </c>
      <c r="M16484" t="s">
        <v>330</v>
      </c>
      <c r="N16484" t="s">
        <v>331</v>
      </c>
      <c r="O16484" t="s">
        <v>108</v>
      </c>
      <c r="P16484" t="str">
        <f>"75063"</f>
        <v>75063</v>
      </c>
    </row>
    <row r="16485" spans="1:16" x14ac:dyDescent="0.25">
      <c r="A16485" t="str">
        <f>"1240048P00266    00"</f>
        <v>1240048P00266    00</v>
      </c>
      <c r="B16485" t="s">
        <v>36047</v>
      </c>
      <c r="C16485" t="s">
        <v>36048</v>
      </c>
      <c r="E16485" t="s">
        <v>39</v>
      </c>
      <c r="F16485">
        <v>0</v>
      </c>
      <c r="G16485">
        <v>0</v>
      </c>
      <c r="H16485">
        <v>1</v>
      </c>
      <c r="I16485" s="3">
        <v>879.85</v>
      </c>
      <c r="J16485" s="3">
        <v>146.63</v>
      </c>
      <c r="K16485" t="s">
        <v>36049</v>
      </c>
      <c r="L16485">
        <v>15090</v>
      </c>
      <c r="M16485" t="s">
        <v>36050</v>
      </c>
      <c r="N16485" t="s">
        <v>36051</v>
      </c>
      <c r="O16485" t="s">
        <v>495</v>
      </c>
      <c r="P16485" t="str">
        <f>"92782"</f>
        <v>92782</v>
      </c>
    </row>
    <row r="16486" spans="1:16" x14ac:dyDescent="0.25">
      <c r="A16486" t="str">
        <f>"1250022C00148    00"</f>
        <v>1250022C00148    00</v>
      </c>
      <c r="B16486" t="s">
        <v>36052</v>
      </c>
      <c r="C16486" t="s">
        <v>36053</v>
      </c>
      <c r="D16486" t="s">
        <v>20</v>
      </c>
      <c r="E16486" t="s">
        <v>39</v>
      </c>
      <c r="F16486">
        <v>0</v>
      </c>
      <c r="G16486">
        <v>0</v>
      </c>
      <c r="H16486">
        <v>1</v>
      </c>
      <c r="I16486" s="3">
        <v>285.92</v>
      </c>
      <c r="J16486" s="3">
        <v>0</v>
      </c>
      <c r="M16486" t="s">
        <v>36054</v>
      </c>
      <c r="N16486" t="s">
        <v>199</v>
      </c>
      <c r="O16486" t="s">
        <v>200</v>
      </c>
      <c r="P16486" t="str">
        <f>"10001"</f>
        <v>10001</v>
      </c>
    </row>
    <row r="16487" spans="1:16" x14ac:dyDescent="0.25">
      <c r="A16487" t="str">
        <f>"1250022C00148A   00"</f>
        <v>1250022C00148A   00</v>
      </c>
      <c r="B16487" t="s">
        <v>36052</v>
      </c>
      <c r="C16487" t="s">
        <v>36055</v>
      </c>
      <c r="D16487" t="s">
        <v>20</v>
      </c>
      <c r="E16487" t="s">
        <v>39</v>
      </c>
      <c r="F16487">
        <v>0</v>
      </c>
      <c r="G16487">
        <v>0</v>
      </c>
      <c r="H16487">
        <v>1</v>
      </c>
      <c r="I16487" s="3">
        <v>285.92</v>
      </c>
      <c r="J16487" s="3">
        <v>0</v>
      </c>
      <c r="M16487" t="s">
        <v>36054</v>
      </c>
      <c r="N16487" t="s">
        <v>199</v>
      </c>
      <c r="O16487" t="s">
        <v>200</v>
      </c>
      <c r="P16487" t="str">
        <f>"10001"</f>
        <v>10001</v>
      </c>
    </row>
    <row r="16488" spans="1:16" x14ac:dyDescent="0.25">
      <c r="A16488" t="str">
        <f>"1250022C00149    00"</f>
        <v>1250022C00149    00</v>
      </c>
      <c r="B16488" t="s">
        <v>36056</v>
      </c>
      <c r="C16488" t="s">
        <v>36057</v>
      </c>
      <c r="D16488" t="s">
        <v>20</v>
      </c>
      <c r="E16488" t="s">
        <v>39</v>
      </c>
      <c r="F16488">
        <v>0</v>
      </c>
      <c r="G16488">
        <v>0</v>
      </c>
      <c r="H16488">
        <v>1</v>
      </c>
      <c r="I16488" s="3">
        <v>285.92</v>
      </c>
      <c r="J16488" s="3">
        <v>0</v>
      </c>
      <c r="M16488" t="s">
        <v>36054</v>
      </c>
      <c r="N16488" t="s">
        <v>199</v>
      </c>
      <c r="O16488" t="s">
        <v>200</v>
      </c>
      <c r="P16488" t="str">
        <f>"10001"</f>
        <v>10001</v>
      </c>
    </row>
    <row r="16489" spans="1:16" x14ac:dyDescent="0.25">
      <c r="A16489" t="str">
        <f>"1250022C00161    00"</f>
        <v>1250022C00161    00</v>
      </c>
      <c r="B16489" t="s">
        <v>36058</v>
      </c>
      <c r="C16489" t="s">
        <v>33758</v>
      </c>
      <c r="D16489" t="s">
        <v>20</v>
      </c>
      <c r="E16489" t="s">
        <v>39</v>
      </c>
      <c r="F16489">
        <v>0</v>
      </c>
      <c r="G16489">
        <v>0</v>
      </c>
      <c r="H16489">
        <v>1</v>
      </c>
      <c r="I16489" s="3">
        <v>402.18</v>
      </c>
      <c r="J16489" s="3">
        <v>0</v>
      </c>
      <c r="K16489" t="s">
        <v>36059</v>
      </c>
      <c r="L16489">
        <v>1821</v>
      </c>
      <c r="M16489" t="s">
        <v>13961</v>
      </c>
      <c r="N16489" t="s">
        <v>30</v>
      </c>
      <c r="O16489" t="s">
        <v>31</v>
      </c>
      <c r="P16489" t="str">
        <f>"15212"</f>
        <v>15212</v>
      </c>
    </row>
    <row r="16490" spans="1:16" x14ac:dyDescent="0.25">
      <c r="A16490" t="str">
        <f>"1250022C00190    00"</f>
        <v>1250022C00190    00</v>
      </c>
      <c r="B16490" t="s">
        <v>36060</v>
      </c>
      <c r="C16490" t="s">
        <v>36061</v>
      </c>
      <c r="D16490" t="s">
        <v>20</v>
      </c>
      <c r="E16490" t="s">
        <v>39</v>
      </c>
      <c r="F16490">
        <v>0</v>
      </c>
      <c r="G16490">
        <v>0</v>
      </c>
      <c r="H16490">
        <v>4</v>
      </c>
      <c r="I16490" s="3">
        <v>1427.15</v>
      </c>
      <c r="J16490" s="3">
        <v>228.07</v>
      </c>
      <c r="L16490">
        <v>1911</v>
      </c>
      <c r="M16490" t="s">
        <v>36062</v>
      </c>
      <c r="N16490" t="s">
        <v>30</v>
      </c>
      <c r="O16490" t="s">
        <v>31</v>
      </c>
      <c r="P16490" t="str">
        <f>"15212"</f>
        <v>15212</v>
      </c>
    </row>
    <row r="16491" spans="1:16" x14ac:dyDescent="0.25">
      <c r="A16491" t="str">
        <f>"1250022D00020    00"</f>
        <v>1250022D00020    00</v>
      </c>
      <c r="B16491" t="s">
        <v>36063</v>
      </c>
      <c r="C16491" t="s">
        <v>36064</v>
      </c>
      <c r="D16491" t="s">
        <v>20</v>
      </c>
      <c r="E16491" t="s">
        <v>39</v>
      </c>
      <c r="F16491">
        <v>0</v>
      </c>
      <c r="G16491">
        <v>0</v>
      </c>
      <c r="H16491">
        <v>5</v>
      </c>
      <c r="I16491" s="3">
        <v>1158.72</v>
      </c>
      <c r="J16491" s="3">
        <v>200.18</v>
      </c>
      <c r="L16491">
        <v>117</v>
      </c>
      <c r="M16491" t="s">
        <v>36065</v>
      </c>
      <c r="N16491" t="s">
        <v>139</v>
      </c>
      <c r="O16491" t="s">
        <v>31</v>
      </c>
      <c r="P16491" t="str">
        <f>"15090"</f>
        <v>15090</v>
      </c>
    </row>
    <row r="16492" spans="1:16" x14ac:dyDescent="0.25">
      <c r="A16492" t="str">
        <f>"1250022D00072    00"</f>
        <v>1250022D00072    00</v>
      </c>
      <c r="B16492" t="s">
        <v>36066</v>
      </c>
      <c r="C16492" t="s">
        <v>36067</v>
      </c>
      <c r="D16492" t="s">
        <v>20</v>
      </c>
      <c r="E16492" t="s">
        <v>39</v>
      </c>
      <c r="F16492">
        <v>0</v>
      </c>
      <c r="G16492">
        <v>0</v>
      </c>
      <c r="H16492">
        <v>2</v>
      </c>
      <c r="I16492" s="3">
        <v>26.39</v>
      </c>
      <c r="J16492" s="3">
        <v>0</v>
      </c>
      <c r="L16492">
        <v>74</v>
      </c>
      <c r="M16492" t="s">
        <v>36068</v>
      </c>
      <c r="N16492" t="s">
        <v>30</v>
      </c>
      <c r="O16492" t="s">
        <v>31</v>
      </c>
      <c r="P16492" t="str">
        <f>"15205"</f>
        <v>15205</v>
      </c>
    </row>
    <row r="16493" spans="1:16" x14ac:dyDescent="0.25">
      <c r="A16493" t="str">
        <f>"1250022D00099    00"</f>
        <v>1250022D00099    00</v>
      </c>
      <c r="B16493" t="s">
        <v>3482</v>
      </c>
      <c r="C16493" t="s">
        <v>36069</v>
      </c>
      <c r="D16493" t="s">
        <v>20</v>
      </c>
      <c r="E16493" t="s">
        <v>39</v>
      </c>
      <c r="F16493">
        <v>0</v>
      </c>
      <c r="G16493">
        <v>0</v>
      </c>
      <c r="H16493">
        <v>19</v>
      </c>
      <c r="I16493" s="3">
        <v>4374.49</v>
      </c>
      <c r="J16493" s="3">
        <v>2317.2399999999998</v>
      </c>
      <c r="M16493" t="s">
        <v>36070</v>
      </c>
      <c r="N16493" t="s">
        <v>3485</v>
      </c>
      <c r="O16493" t="s">
        <v>3486</v>
      </c>
      <c r="P16493" t="str">
        <f>"60126"</f>
        <v>60126</v>
      </c>
    </row>
    <row r="16494" spans="1:16" x14ac:dyDescent="0.25">
      <c r="A16494" t="str">
        <f>"1250022D00109    00"</f>
        <v>1250022D00109    00</v>
      </c>
      <c r="B16494" t="s">
        <v>36071</v>
      </c>
      <c r="C16494" t="s">
        <v>36072</v>
      </c>
      <c r="E16494" t="s">
        <v>39</v>
      </c>
      <c r="F16494">
        <v>0</v>
      </c>
      <c r="G16494">
        <v>0</v>
      </c>
      <c r="H16494">
        <v>2</v>
      </c>
      <c r="I16494" s="3">
        <v>1145.97</v>
      </c>
      <c r="J16494" s="3">
        <v>271.82</v>
      </c>
      <c r="K16494" t="s">
        <v>36073</v>
      </c>
      <c r="L16494">
        <v>535</v>
      </c>
      <c r="M16494" t="s">
        <v>36074</v>
      </c>
      <c r="N16494" t="s">
        <v>30</v>
      </c>
      <c r="O16494" t="s">
        <v>31</v>
      </c>
      <c r="P16494" t="str">
        <f>"15221"</f>
        <v>15221</v>
      </c>
    </row>
    <row r="16495" spans="1:16" x14ac:dyDescent="0.25">
      <c r="A16495" t="str">
        <f>"1250022D00126    00"</f>
        <v>1250022D00126    00</v>
      </c>
      <c r="B16495" t="s">
        <v>36075</v>
      </c>
      <c r="C16495" t="s">
        <v>36076</v>
      </c>
      <c r="D16495" t="s">
        <v>20</v>
      </c>
      <c r="E16495" t="s">
        <v>21</v>
      </c>
      <c r="F16495">
        <v>0</v>
      </c>
      <c r="G16495">
        <v>0</v>
      </c>
      <c r="H16495">
        <v>2</v>
      </c>
      <c r="I16495" s="3">
        <v>2759.88</v>
      </c>
      <c r="J16495" s="3">
        <v>0</v>
      </c>
      <c r="K16495" t="s">
        <v>36077</v>
      </c>
      <c r="L16495">
        <v>614</v>
      </c>
      <c r="M16495" t="s">
        <v>15987</v>
      </c>
      <c r="N16495" t="s">
        <v>30</v>
      </c>
      <c r="O16495" t="s">
        <v>31</v>
      </c>
      <c r="P16495" t="str">
        <f>"15212"</f>
        <v>15212</v>
      </c>
    </row>
    <row r="16496" spans="1:16" x14ac:dyDescent="0.25">
      <c r="A16496" t="str">
        <f>"1250022D00144    00"</f>
        <v>1250022D00144    00</v>
      </c>
      <c r="B16496" t="s">
        <v>36078</v>
      </c>
      <c r="C16496" t="s">
        <v>36079</v>
      </c>
      <c r="E16496" t="s">
        <v>290</v>
      </c>
      <c r="F16496">
        <v>0</v>
      </c>
      <c r="G16496">
        <v>0</v>
      </c>
      <c r="H16496">
        <v>2</v>
      </c>
      <c r="I16496" s="3">
        <v>693.68</v>
      </c>
      <c r="J16496" s="3">
        <v>1037.47</v>
      </c>
      <c r="K16496" t="s">
        <v>36080</v>
      </c>
      <c r="L16496">
        <v>1411</v>
      </c>
      <c r="M16496" t="s">
        <v>144</v>
      </c>
      <c r="N16496" t="s">
        <v>30</v>
      </c>
      <c r="O16496" t="s">
        <v>31</v>
      </c>
      <c r="P16496" t="str">
        <f>"15212"</f>
        <v>15212</v>
      </c>
    </row>
    <row r="16497" spans="1:16" x14ac:dyDescent="0.25">
      <c r="A16497" t="str">
        <f>"1250022D00148    00"</f>
        <v>1250022D00148    00</v>
      </c>
      <c r="B16497" t="s">
        <v>36081</v>
      </c>
      <c r="C16497" t="s">
        <v>36082</v>
      </c>
      <c r="E16497" t="s">
        <v>39</v>
      </c>
      <c r="F16497">
        <v>0</v>
      </c>
      <c r="G16497">
        <v>0</v>
      </c>
      <c r="H16497">
        <v>2</v>
      </c>
      <c r="I16497" s="3">
        <v>874.13</v>
      </c>
      <c r="J16497" s="3">
        <v>399.8</v>
      </c>
      <c r="L16497">
        <v>1939</v>
      </c>
      <c r="M16497" t="s">
        <v>33706</v>
      </c>
      <c r="N16497" t="s">
        <v>30</v>
      </c>
      <c r="O16497" t="s">
        <v>31</v>
      </c>
      <c r="P16497" t="str">
        <f>"15212"</f>
        <v>15212</v>
      </c>
    </row>
    <row r="16498" spans="1:16" x14ac:dyDescent="0.25">
      <c r="A16498" t="str">
        <f>"1250022D00152    00"</f>
        <v>1250022D00152    00</v>
      </c>
      <c r="B16498" t="s">
        <v>36081</v>
      </c>
      <c r="C16498" t="s">
        <v>36083</v>
      </c>
      <c r="E16498" t="s">
        <v>39</v>
      </c>
      <c r="F16498">
        <v>0</v>
      </c>
      <c r="G16498">
        <v>0</v>
      </c>
      <c r="H16498">
        <v>1</v>
      </c>
      <c r="I16498" s="3">
        <v>724.14</v>
      </c>
      <c r="J16498" s="3">
        <v>199.13</v>
      </c>
      <c r="L16498">
        <v>1826</v>
      </c>
      <c r="M16498" t="s">
        <v>13961</v>
      </c>
      <c r="N16498" t="s">
        <v>30</v>
      </c>
      <c r="O16498" t="s">
        <v>31</v>
      </c>
      <c r="P16498" t="str">
        <f>"15212"</f>
        <v>15212</v>
      </c>
    </row>
    <row r="16499" spans="1:16" x14ac:dyDescent="0.25">
      <c r="A16499" t="str">
        <f>"1250022D00167    00"</f>
        <v>1250022D00167    00</v>
      </c>
      <c r="B16499" t="s">
        <v>33960</v>
      </c>
      <c r="C16499" t="s">
        <v>36084</v>
      </c>
      <c r="D16499" t="s">
        <v>20</v>
      </c>
      <c r="E16499" t="s">
        <v>39</v>
      </c>
      <c r="F16499">
        <v>0</v>
      </c>
      <c r="G16499">
        <v>0</v>
      </c>
      <c r="H16499">
        <v>8</v>
      </c>
      <c r="I16499" s="3">
        <v>4913.26</v>
      </c>
      <c r="J16499" s="3">
        <v>65.42</v>
      </c>
      <c r="L16499">
        <v>1919</v>
      </c>
      <c r="M16499" t="s">
        <v>36085</v>
      </c>
      <c r="N16499" t="s">
        <v>30</v>
      </c>
      <c r="O16499" t="s">
        <v>31</v>
      </c>
      <c r="P16499" t="str">
        <f>"15214"</f>
        <v>15214</v>
      </c>
    </row>
    <row r="16500" spans="1:16" x14ac:dyDescent="0.25">
      <c r="A16500" t="str">
        <f>"1250022D00170    00"</f>
        <v>1250022D00170    00</v>
      </c>
      <c r="B16500" t="s">
        <v>36086</v>
      </c>
      <c r="C16500" t="s">
        <v>36087</v>
      </c>
      <c r="D16500" t="s">
        <v>20</v>
      </c>
      <c r="E16500" t="s">
        <v>39</v>
      </c>
      <c r="F16500">
        <v>0</v>
      </c>
      <c r="G16500">
        <v>0</v>
      </c>
      <c r="H16500">
        <v>6</v>
      </c>
      <c r="I16500" s="3">
        <v>2236.7800000000002</v>
      </c>
      <c r="J16500" s="3">
        <v>556.04999999999995</v>
      </c>
      <c r="L16500">
        <v>1923</v>
      </c>
      <c r="M16500" t="s">
        <v>20337</v>
      </c>
      <c r="N16500" t="s">
        <v>30</v>
      </c>
      <c r="O16500" t="s">
        <v>31</v>
      </c>
      <c r="P16500" t="str">
        <f>"15212"</f>
        <v>15212</v>
      </c>
    </row>
    <row r="16501" spans="1:16" x14ac:dyDescent="0.25">
      <c r="A16501" t="str">
        <f>"1250022D00183    00"</f>
        <v>1250022D00183    00</v>
      </c>
      <c r="B16501" t="s">
        <v>36088</v>
      </c>
      <c r="C16501" t="s">
        <v>36089</v>
      </c>
      <c r="D16501" t="s">
        <v>20</v>
      </c>
      <c r="E16501" t="s">
        <v>39</v>
      </c>
      <c r="F16501">
        <v>0</v>
      </c>
      <c r="G16501">
        <v>0</v>
      </c>
      <c r="H16501">
        <v>1</v>
      </c>
      <c r="I16501" s="3">
        <v>922.51</v>
      </c>
      <c r="J16501" s="3">
        <v>0</v>
      </c>
      <c r="K16501" t="s">
        <v>36090</v>
      </c>
      <c r="L16501">
        <v>117</v>
      </c>
      <c r="M16501" t="s">
        <v>36091</v>
      </c>
      <c r="N16501" t="s">
        <v>30</v>
      </c>
      <c r="O16501" t="s">
        <v>31</v>
      </c>
      <c r="P16501" t="str">
        <f>"15214"</f>
        <v>15214</v>
      </c>
    </row>
    <row r="16502" spans="1:16" x14ac:dyDescent="0.25">
      <c r="A16502" t="str">
        <f>"1250022D00244    00"</f>
        <v>1250022D00244    00</v>
      </c>
      <c r="B16502" t="s">
        <v>36092</v>
      </c>
      <c r="C16502" t="s">
        <v>36093</v>
      </c>
      <c r="D16502" t="s">
        <v>20</v>
      </c>
      <c r="E16502" t="s">
        <v>39</v>
      </c>
      <c r="F16502">
        <v>0</v>
      </c>
      <c r="G16502">
        <v>0</v>
      </c>
      <c r="H16502">
        <v>12</v>
      </c>
      <c r="I16502" s="3">
        <v>6073.68</v>
      </c>
      <c r="J16502" s="3">
        <v>3194.8</v>
      </c>
      <c r="L16502">
        <v>2302</v>
      </c>
      <c r="M16502" t="s">
        <v>36094</v>
      </c>
      <c r="N16502" t="s">
        <v>36095</v>
      </c>
      <c r="O16502" t="s">
        <v>1184</v>
      </c>
      <c r="P16502" t="str">
        <f>"21015"</f>
        <v>21015</v>
      </c>
    </row>
    <row r="16503" spans="1:16" x14ac:dyDescent="0.25">
      <c r="A16503" t="str">
        <f>"1250022D00245    00"</f>
        <v>1250022D00245    00</v>
      </c>
      <c r="B16503" t="s">
        <v>36092</v>
      </c>
      <c r="C16503" t="s">
        <v>36096</v>
      </c>
      <c r="D16503" t="s">
        <v>20</v>
      </c>
      <c r="E16503" t="s">
        <v>39</v>
      </c>
      <c r="F16503">
        <v>0</v>
      </c>
      <c r="G16503">
        <v>0</v>
      </c>
      <c r="H16503">
        <v>12</v>
      </c>
      <c r="I16503" s="3">
        <v>4247.26</v>
      </c>
      <c r="J16503" s="3">
        <v>2234.08</v>
      </c>
      <c r="L16503">
        <v>2302</v>
      </c>
      <c r="M16503" t="s">
        <v>36094</v>
      </c>
      <c r="N16503" t="s">
        <v>36095</v>
      </c>
      <c r="O16503" t="s">
        <v>1184</v>
      </c>
      <c r="P16503" t="str">
        <f>"21015"</f>
        <v>21015</v>
      </c>
    </row>
    <row r="16504" spans="1:16" x14ac:dyDescent="0.25">
      <c r="A16504" t="str">
        <f>"1250022D00246    00"</f>
        <v>1250022D00246    00</v>
      </c>
      <c r="B16504" t="s">
        <v>36097</v>
      </c>
      <c r="C16504" t="s">
        <v>36098</v>
      </c>
      <c r="D16504" t="s">
        <v>20</v>
      </c>
      <c r="E16504" t="s">
        <v>207</v>
      </c>
      <c r="F16504">
        <v>0</v>
      </c>
      <c r="G16504">
        <v>0</v>
      </c>
      <c r="H16504">
        <v>11</v>
      </c>
      <c r="I16504" s="3">
        <v>181.95</v>
      </c>
      <c r="J16504" s="3">
        <v>87.34</v>
      </c>
      <c r="K16504" t="s">
        <v>36099</v>
      </c>
      <c r="L16504">
        <v>817</v>
      </c>
      <c r="M16504" t="s">
        <v>20337</v>
      </c>
      <c r="N16504" t="s">
        <v>30</v>
      </c>
      <c r="O16504" t="s">
        <v>31</v>
      </c>
      <c r="P16504" t="str">
        <f>"15212"</f>
        <v>15212</v>
      </c>
    </row>
    <row r="16505" spans="1:16" x14ac:dyDescent="0.25">
      <c r="A16505" t="str">
        <f>"1250022D00247    00"</f>
        <v>1250022D00247    00</v>
      </c>
      <c r="B16505" t="s">
        <v>36097</v>
      </c>
      <c r="C16505" t="s">
        <v>36098</v>
      </c>
      <c r="D16505" t="s">
        <v>20</v>
      </c>
      <c r="E16505" t="s">
        <v>39</v>
      </c>
      <c r="F16505">
        <v>0</v>
      </c>
      <c r="G16505">
        <v>0</v>
      </c>
      <c r="H16505">
        <v>11</v>
      </c>
      <c r="I16505" s="3">
        <v>384.05</v>
      </c>
      <c r="J16505" s="3">
        <v>184.34</v>
      </c>
      <c r="L16505">
        <v>2020</v>
      </c>
      <c r="M16505" t="s">
        <v>20337</v>
      </c>
      <c r="N16505" t="s">
        <v>30</v>
      </c>
      <c r="O16505" t="s">
        <v>31</v>
      </c>
      <c r="P16505" t="str">
        <f>"15214"</f>
        <v>15214</v>
      </c>
    </row>
    <row r="16506" spans="1:16" x14ac:dyDescent="0.25">
      <c r="A16506" t="str">
        <f>"1250022D00287A   00"</f>
        <v>1250022D00287A   00</v>
      </c>
      <c r="B16506" t="s">
        <v>36100</v>
      </c>
      <c r="C16506" t="s">
        <v>36093</v>
      </c>
      <c r="D16506" t="s">
        <v>20</v>
      </c>
      <c r="E16506" t="s">
        <v>39</v>
      </c>
      <c r="F16506">
        <v>0</v>
      </c>
      <c r="G16506">
        <v>0</v>
      </c>
      <c r="H16506">
        <v>8</v>
      </c>
      <c r="I16506" s="3">
        <v>44.48</v>
      </c>
      <c r="J16506" s="3">
        <v>19.02</v>
      </c>
      <c r="L16506">
        <v>67</v>
      </c>
      <c r="M16506" t="s">
        <v>36101</v>
      </c>
      <c r="N16506" t="s">
        <v>30</v>
      </c>
      <c r="O16506" t="s">
        <v>31</v>
      </c>
      <c r="P16506" t="str">
        <f>"15235"</f>
        <v>15235</v>
      </c>
    </row>
    <row r="16507" spans="1:16" x14ac:dyDescent="0.25">
      <c r="A16507" t="str">
        <f>"1250022D00297    00"</f>
        <v>1250022D00297    00</v>
      </c>
      <c r="B16507" t="s">
        <v>36102</v>
      </c>
      <c r="C16507" t="s">
        <v>36098</v>
      </c>
      <c r="D16507" t="s">
        <v>20</v>
      </c>
      <c r="E16507" t="s">
        <v>39</v>
      </c>
      <c r="F16507">
        <v>0</v>
      </c>
      <c r="G16507">
        <v>0</v>
      </c>
      <c r="H16507">
        <v>1</v>
      </c>
      <c r="I16507" s="3">
        <v>280.83</v>
      </c>
      <c r="J16507" s="3">
        <v>0</v>
      </c>
      <c r="L16507">
        <v>2622</v>
      </c>
      <c r="M16507" t="s">
        <v>33535</v>
      </c>
      <c r="N16507" t="s">
        <v>30</v>
      </c>
      <c r="O16507" t="s">
        <v>31</v>
      </c>
      <c r="P16507" t="str">
        <f>"15214"</f>
        <v>15214</v>
      </c>
    </row>
    <row r="16508" spans="1:16" x14ac:dyDescent="0.25">
      <c r="A16508" t="str">
        <f>"1250022D00299    00"</f>
        <v>1250022D00299    00</v>
      </c>
      <c r="B16508" t="s">
        <v>36102</v>
      </c>
      <c r="C16508" t="s">
        <v>36103</v>
      </c>
      <c r="D16508" t="s">
        <v>20</v>
      </c>
      <c r="E16508" t="s">
        <v>39</v>
      </c>
      <c r="F16508">
        <v>0</v>
      </c>
      <c r="G16508">
        <v>0</v>
      </c>
      <c r="H16508">
        <v>1</v>
      </c>
      <c r="I16508" s="3">
        <v>514.62</v>
      </c>
      <c r="J16508" s="3">
        <v>0</v>
      </c>
      <c r="L16508">
        <v>2622</v>
      </c>
      <c r="M16508" t="s">
        <v>33535</v>
      </c>
      <c r="N16508" t="s">
        <v>30</v>
      </c>
      <c r="O16508" t="s">
        <v>31</v>
      </c>
      <c r="P16508" t="str">
        <f>"15214"</f>
        <v>15214</v>
      </c>
    </row>
    <row r="16509" spans="1:16" x14ac:dyDescent="0.25">
      <c r="A16509" t="str">
        <f>"1250022D00389    00"</f>
        <v>1250022D00389    00</v>
      </c>
      <c r="B16509" t="s">
        <v>36104</v>
      </c>
      <c r="C16509" t="s">
        <v>36105</v>
      </c>
      <c r="D16509" t="s">
        <v>20</v>
      </c>
      <c r="E16509" t="s">
        <v>39</v>
      </c>
      <c r="F16509">
        <v>0</v>
      </c>
      <c r="G16509">
        <v>0</v>
      </c>
      <c r="H16509">
        <v>9</v>
      </c>
      <c r="I16509" s="3">
        <v>183.02</v>
      </c>
      <c r="J16509" s="3">
        <v>69.84</v>
      </c>
      <c r="K16509" t="s">
        <v>1008</v>
      </c>
      <c r="P16509" t="str">
        <f>""</f>
        <v/>
      </c>
    </row>
    <row r="16510" spans="1:16" x14ac:dyDescent="0.25">
      <c r="A16510" t="str">
        <f>"1250022D00390    00"</f>
        <v>1250022D00390    00</v>
      </c>
      <c r="B16510" t="s">
        <v>36106</v>
      </c>
      <c r="C16510" t="s">
        <v>36107</v>
      </c>
      <c r="D16510" t="s">
        <v>20</v>
      </c>
      <c r="E16510" t="s">
        <v>39</v>
      </c>
      <c r="F16510">
        <v>0</v>
      </c>
      <c r="G16510">
        <v>0</v>
      </c>
      <c r="H16510">
        <v>19</v>
      </c>
      <c r="I16510" s="3">
        <v>17273.98</v>
      </c>
      <c r="J16510" s="3">
        <v>17197.16</v>
      </c>
      <c r="L16510">
        <v>31</v>
      </c>
      <c r="M16510" t="s">
        <v>36108</v>
      </c>
      <c r="N16510" t="s">
        <v>30</v>
      </c>
      <c r="O16510" t="s">
        <v>31</v>
      </c>
      <c r="P16510" t="str">
        <f>"15214"</f>
        <v>15214</v>
      </c>
    </row>
    <row r="16511" spans="1:16" x14ac:dyDescent="0.25">
      <c r="A16511" t="str">
        <f>"1250022D00391    00"</f>
        <v>1250022D00391    00</v>
      </c>
      <c r="B16511" t="s">
        <v>36109</v>
      </c>
      <c r="C16511" t="s">
        <v>36110</v>
      </c>
      <c r="E16511" t="s">
        <v>39</v>
      </c>
      <c r="F16511">
        <v>0</v>
      </c>
      <c r="G16511">
        <v>0</v>
      </c>
      <c r="H16511">
        <v>3</v>
      </c>
      <c r="I16511" s="3">
        <v>763.93</v>
      </c>
      <c r="J16511" s="3">
        <v>196.74</v>
      </c>
      <c r="L16511">
        <v>29</v>
      </c>
      <c r="M16511" t="s">
        <v>36108</v>
      </c>
      <c r="N16511" t="s">
        <v>30</v>
      </c>
      <c r="O16511" t="s">
        <v>31</v>
      </c>
      <c r="P16511" t="str">
        <f>"15214"</f>
        <v>15214</v>
      </c>
    </row>
    <row r="16512" spans="1:16" x14ac:dyDescent="0.25">
      <c r="A16512" t="str">
        <f>"1250022D00393    00"</f>
        <v>1250022D00393    00</v>
      </c>
      <c r="B16512" t="s">
        <v>36111</v>
      </c>
      <c r="C16512" t="s">
        <v>36112</v>
      </c>
      <c r="D16512" t="s">
        <v>20</v>
      </c>
      <c r="E16512" t="s">
        <v>39</v>
      </c>
      <c r="F16512">
        <v>0</v>
      </c>
      <c r="G16512">
        <v>0</v>
      </c>
      <c r="H16512">
        <v>19</v>
      </c>
      <c r="I16512" s="3">
        <v>696.23</v>
      </c>
      <c r="J16512" s="3">
        <v>862.9</v>
      </c>
      <c r="K16512" t="s">
        <v>1008</v>
      </c>
      <c r="P16512" t="str">
        <f>""</f>
        <v/>
      </c>
    </row>
    <row r="16513" spans="1:16" x14ac:dyDescent="0.25">
      <c r="A16513" t="str">
        <f>"1250022G00159    00"</f>
        <v>1250022G00159    00</v>
      </c>
      <c r="B16513" t="s">
        <v>36113</v>
      </c>
      <c r="C16513" t="s">
        <v>36114</v>
      </c>
      <c r="E16513" t="s">
        <v>39</v>
      </c>
      <c r="F16513">
        <v>0</v>
      </c>
      <c r="G16513">
        <v>0</v>
      </c>
      <c r="H16513">
        <v>2</v>
      </c>
      <c r="I16513" s="3">
        <v>32.68</v>
      </c>
      <c r="J16513" s="3">
        <v>24.37</v>
      </c>
      <c r="L16513">
        <v>955</v>
      </c>
      <c r="M16513" t="s">
        <v>36115</v>
      </c>
      <c r="N16513" t="s">
        <v>30</v>
      </c>
      <c r="O16513" t="s">
        <v>31</v>
      </c>
      <c r="P16513" t="str">
        <f>"15212"</f>
        <v>15212</v>
      </c>
    </row>
    <row r="16514" spans="1:16" x14ac:dyDescent="0.25">
      <c r="A16514" t="str">
        <f>"1250022G00170    00"</f>
        <v>1250022G00170    00</v>
      </c>
      <c r="B16514" t="s">
        <v>36116</v>
      </c>
      <c r="C16514" t="s">
        <v>36117</v>
      </c>
      <c r="D16514" t="s">
        <v>20</v>
      </c>
      <c r="E16514" t="s">
        <v>39</v>
      </c>
      <c r="F16514">
        <v>0</v>
      </c>
      <c r="G16514">
        <v>0</v>
      </c>
      <c r="H16514">
        <v>7</v>
      </c>
      <c r="I16514" s="3">
        <v>796.67</v>
      </c>
      <c r="J16514" s="3">
        <v>169.6</v>
      </c>
      <c r="K16514" t="s">
        <v>36118</v>
      </c>
      <c r="L16514">
        <v>1812</v>
      </c>
      <c r="M16514" t="s">
        <v>36119</v>
      </c>
      <c r="N16514" t="s">
        <v>30</v>
      </c>
      <c r="O16514" t="s">
        <v>31</v>
      </c>
      <c r="P16514" t="str">
        <f>"15212"</f>
        <v>15212</v>
      </c>
    </row>
    <row r="16515" spans="1:16" x14ac:dyDescent="0.25">
      <c r="A16515" t="str">
        <f>"1250022G00184    00"</f>
        <v>1250022G00184    00</v>
      </c>
      <c r="B16515" t="s">
        <v>36120</v>
      </c>
      <c r="C16515" t="s">
        <v>36121</v>
      </c>
      <c r="D16515" t="s">
        <v>20</v>
      </c>
      <c r="E16515" t="s">
        <v>39</v>
      </c>
      <c r="F16515">
        <v>0</v>
      </c>
      <c r="G16515">
        <v>0</v>
      </c>
      <c r="H16515">
        <v>19</v>
      </c>
      <c r="I16515" s="3">
        <v>740.83</v>
      </c>
      <c r="J16515" s="3">
        <v>526.6</v>
      </c>
      <c r="K16515" t="s">
        <v>36122</v>
      </c>
      <c r="L16515">
        <v>1414</v>
      </c>
      <c r="M16515" t="s">
        <v>13961</v>
      </c>
      <c r="N16515" t="s">
        <v>30</v>
      </c>
      <c r="O16515" t="s">
        <v>31</v>
      </c>
      <c r="P16515" t="str">
        <f>"15212"</f>
        <v>15212</v>
      </c>
    </row>
    <row r="16516" spans="1:16" x14ac:dyDescent="0.25">
      <c r="A16516" t="str">
        <f>"1250022G00198    00"</f>
        <v>1250022G00198    00</v>
      </c>
      <c r="B16516" t="s">
        <v>36123</v>
      </c>
      <c r="C16516" t="s">
        <v>36124</v>
      </c>
      <c r="D16516" t="s">
        <v>20</v>
      </c>
      <c r="E16516" t="s">
        <v>39</v>
      </c>
      <c r="F16516">
        <v>0</v>
      </c>
      <c r="G16516">
        <v>0</v>
      </c>
      <c r="H16516">
        <v>1</v>
      </c>
      <c r="I16516" s="3">
        <v>91.63</v>
      </c>
      <c r="J16516" s="3">
        <v>0</v>
      </c>
      <c r="K16516" t="s">
        <v>417</v>
      </c>
      <c r="L16516">
        <v>3001</v>
      </c>
      <c r="M16516" t="s">
        <v>330</v>
      </c>
      <c r="N16516" t="s">
        <v>331</v>
      </c>
      <c r="O16516" t="s">
        <v>108</v>
      </c>
      <c r="P16516" t="str">
        <f>"75063"</f>
        <v>75063</v>
      </c>
    </row>
    <row r="16517" spans="1:16" x14ac:dyDescent="0.25">
      <c r="A16517" t="str">
        <f>"1250022G00205    00"</f>
        <v>1250022G00205    00</v>
      </c>
      <c r="B16517" t="s">
        <v>36125</v>
      </c>
      <c r="C16517" t="s">
        <v>36121</v>
      </c>
      <c r="D16517" t="s">
        <v>20</v>
      </c>
      <c r="E16517" t="s">
        <v>39</v>
      </c>
      <c r="F16517">
        <v>0</v>
      </c>
      <c r="G16517">
        <v>0</v>
      </c>
      <c r="H16517">
        <v>4</v>
      </c>
      <c r="I16517" s="3">
        <v>30.16</v>
      </c>
      <c r="J16517" s="3">
        <v>3.71</v>
      </c>
      <c r="L16517">
        <v>1289</v>
      </c>
      <c r="M16517" t="s">
        <v>36126</v>
      </c>
      <c r="N16517" t="s">
        <v>36127</v>
      </c>
      <c r="O16517" t="s">
        <v>495</v>
      </c>
      <c r="P16517" t="str">
        <f>"92651"</f>
        <v>92651</v>
      </c>
    </row>
    <row r="16518" spans="1:16" x14ac:dyDescent="0.25">
      <c r="A16518" t="str">
        <f>"1250022H00029    00"</f>
        <v>1250022H00029    00</v>
      </c>
      <c r="B16518" t="s">
        <v>36128</v>
      </c>
      <c r="C16518" t="s">
        <v>36129</v>
      </c>
      <c r="D16518" t="s">
        <v>20</v>
      </c>
      <c r="E16518" t="s">
        <v>39</v>
      </c>
      <c r="F16518">
        <v>0</v>
      </c>
      <c r="G16518">
        <v>0</v>
      </c>
      <c r="H16518">
        <v>19</v>
      </c>
      <c r="I16518" s="3">
        <v>12666.23</v>
      </c>
      <c r="J16518" s="3">
        <v>12149.47</v>
      </c>
      <c r="L16518">
        <v>857</v>
      </c>
      <c r="M16518" t="s">
        <v>36115</v>
      </c>
      <c r="N16518" t="s">
        <v>30</v>
      </c>
      <c r="O16518" t="s">
        <v>31</v>
      </c>
      <c r="P16518" t="str">
        <f>"15212"</f>
        <v>15212</v>
      </c>
    </row>
    <row r="16519" spans="1:16" x14ac:dyDescent="0.25">
      <c r="A16519" t="str">
        <f>"1250022H00033    00"</f>
        <v>1250022H00033    00</v>
      </c>
      <c r="B16519" t="s">
        <v>12867</v>
      </c>
      <c r="C16519" t="s">
        <v>36069</v>
      </c>
      <c r="D16519" t="s">
        <v>20</v>
      </c>
      <c r="E16519" t="s">
        <v>39</v>
      </c>
      <c r="F16519">
        <v>0</v>
      </c>
      <c r="G16519">
        <v>0</v>
      </c>
      <c r="H16519">
        <v>19</v>
      </c>
      <c r="I16519" s="3">
        <v>279.7</v>
      </c>
      <c r="J16519" s="3">
        <v>282.8</v>
      </c>
      <c r="L16519">
        <v>1000</v>
      </c>
      <c r="M16519" t="s">
        <v>614</v>
      </c>
      <c r="N16519" t="s">
        <v>30</v>
      </c>
      <c r="O16519" t="s">
        <v>31</v>
      </c>
      <c r="P16519" t="str">
        <f>"15222"</f>
        <v>15222</v>
      </c>
    </row>
    <row r="16520" spans="1:16" x14ac:dyDescent="0.25">
      <c r="A16520" t="str">
        <f>"1250022H00037    00"</f>
        <v>1250022H00037    00</v>
      </c>
      <c r="B16520" t="s">
        <v>36130</v>
      </c>
      <c r="C16520" t="s">
        <v>36121</v>
      </c>
      <c r="D16520" t="s">
        <v>20</v>
      </c>
      <c r="E16520" t="s">
        <v>39</v>
      </c>
      <c r="F16520">
        <v>0</v>
      </c>
      <c r="G16520">
        <v>0</v>
      </c>
      <c r="H16520">
        <v>17</v>
      </c>
      <c r="I16520" s="3">
        <v>196.54</v>
      </c>
      <c r="J16520" s="3">
        <v>217.52</v>
      </c>
      <c r="K16520" t="s">
        <v>1008</v>
      </c>
      <c r="P16520" t="str">
        <f>""</f>
        <v/>
      </c>
    </row>
    <row r="16521" spans="1:16" x14ac:dyDescent="0.25">
      <c r="A16521" t="str">
        <f>"1250022H00061    00"</f>
        <v>1250022H00061    00</v>
      </c>
      <c r="B16521" t="s">
        <v>36131</v>
      </c>
      <c r="C16521" t="s">
        <v>33625</v>
      </c>
      <c r="D16521" t="s">
        <v>20</v>
      </c>
      <c r="E16521" t="s">
        <v>39</v>
      </c>
      <c r="F16521">
        <v>0</v>
      </c>
      <c r="G16521">
        <v>0</v>
      </c>
      <c r="H16521">
        <v>2</v>
      </c>
      <c r="I16521" s="3">
        <v>242.48</v>
      </c>
      <c r="J16521" s="3">
        <v>0</v>
      </c>
      <c r="K16521" t="s">
        <v>33869</v>
      </c>
      <c r="L16521">
        <v>1300</v>
      </c>
      <c r="M16521" t="s">
        <v>13961</v>
      </c>
      <c r="N16521" t="s">
        <v>30</v>
      </c>
      <c r="O16521" t="s">
        <v>31</v>
      </c>
      <c r="P16521" t="str">
        <f>"15233"</f>
        <v>15233</v>
      </c>
    </row>
    <row r="16522" spans="1:16" x14ac:dyDescent="0.25">
      <c r="A16522" t="str">
        <f>"1250022H00064    00"</f>
        <v>1250022H00064    00</v>
      </c>
      <c r="B16522" t="s">
        <v>36132</v>
      </c>
      <c r="C16522" t="s">
        <v>36133</v>
      </c>
      <c r="D16522" t="s">
        <v>20</v>
      </c>
      <c r="E16522" t="s">
        <v>39</v>
      </c>
      <c r="F16522">
        <v>0</v>
      </c>
      <c r="G16522">
        <v>0</v>
      </c>
      <c r="H16522">
        <v>2</v>
      </c>
      <c r="I16522" s="3">
        <v>922.83</v>
      </c>
      <c r="J16522" s="3">
        <v>50.92</v>
      </c>
      <c r="L16522">
        <v>1327</v>
      </c>
      <c r="M16522" t="s">
        <v>3467</v>
      </c>
      <c r="N16522" t="s">
        <v>30</v>
      </c>
      <c r="O16522" t="s">
        <v>31</v>
      </c>
      <c r="P16522" t="str">
        <f>"15212"</f>
        <v>15212</v>
      </c>
    </row>
    <row r="16523" spans="1:16" x14ac:dyDescent="0.25">
      <c r="A16523" t="str">
        <f>"1250022H00071    00"</f>
        <v>1250022H00071    00</v>
      </c>
      <c r="B16523" t="s">
        <v>36134</v>
      </c>
      <c r="C16523" t="s">
        <v>36135</v>
      </c>
      <c r="D16523" t="s">
        <v>20</v>
      </c>
      <c r="E16523" t="s">
        <v>21</v>
      </c>
      <c r="F16523">
        <v>0</v>
      </c>
      <c r="G16523">
        <v>0</v>
      </c>
      <c r="H16523">
        <v>2</v>
      </c>
      <c r="I16523" s="3">
        <v>278.7</v>
      </c>
      <c r="J16523" s="3">
        <v>0</v>
      </c>
      <c r="L16523">
        <v>145</v>
      </c>
      <c r="M16523" t="s">
        <v>34011</v>
      </c>
      <c r="N16523" t="s">
        <v>30</v>
      </c>
      <c r="O16523" t="s">
        <v>31</v>
      </c>
      <c r="P16523" t="str">
        <f>"15214"</f>
        <v>15214</v>
      </c>
    </row>
    <row r="16524" spans="1:16" x14ac:dyDescent="0.25">
      <c r="A16524" t="str">
        <f>"1250022H00072    00"</f>
        <v>1250022H00072    00</v>
      </c>
      <c r="B16524" t="s">
        <v>36136</v>
      </c>
      <c r="C16524" t="s">
        <v>36135</v>
      </c>
      <c r="D16524" t="s">
        <v>20</v>
      </c>
      <c r="E16524" t="s">
        <v>39</v>
      </c>
      <c r="F16524">
        <v>0</v>
      </c>
      <c r="G16524">
        <v>0</v>
      </c>
      <c r="H16524">
        <v>2</v>
      </c>
      <c r="I16524" s="3">
        <v>111.48</v>
      </c>
      <c r="J16524" s="3">
        <v>0</v>
      </c>
      <c r="L16524">
        <v>145</v>
      </c>
      <c r="M16524" t="s">
        <v>34011</v>
      </c>
      <c r="N16524" t="s">
        <v>30</v>
      </c>
      <c r="O16524" t="s">
        <v>31</v>
      </c>
      <c r="P16524" t="str">
        <f>"15214"</f>
        <v>15214</v>
      </c>
    </row>
    <row r="16525" spans="1:16" x14ac:dyDescent="0.25">
      <c r="A16525" t="str">
        <f>"1250022H00105    00"</f>
        <v>1250022H00105    00</v>
      </c>
      <c r="B16525" t="s">
        <v>36137</v>
      </c>
      <c r="C16525" t="s">
        <v>36138</v>
      </c>
      <c r="D16525" t="s">
        <v>20</v>
      </c>
      <c r="E16525" t="s">
        <v>39</v>
      </c>
      <c r="F16525">
        <v>0</v>
      </c>
      <c r="G16525">
        <v>0</v>
      </c>
      <c r="H16525">
        <v>4</v>
      </c>
      <c r="I16525" s="3">
        <v>2589.5700000000002</v>
      </c>
      <c r="J16525" s="3">
        <v>305.91000000000003</v>
      </c>
      <c r="K16525" t="s">
        <v>36139</v>
      </c>
      <c r="L16525">
        <v>408</v>
      </c>
      <c r="M16525" t="s">
        <v>36140</v>
      </c>
      <c r="N16525" t="s">
        <v>30</v>
      </c>
      <c r="O16525" t="s">
        <v>31</v>
      </c>
      <c r="P16525" t="str">
        <f>"15220"</f>
        <v>15220</v>
      </c>
    </row>
    <row r="16526" spans="1:16" x14ac:dyDescent="0.25">
      <c r="A16526" t="str">
        <f>"1250022H00158    00"</f>
        <v>1250022H00158    00</v>
      </c>
      <c r="B16526" t="s">
        <v>36141</v>
      </c>
      <c r="C16526" t="s">
        <v>36142</v>
      </c>
      <c r="D16526" t="s">
        <v>20</v>
      </c>
      <c r="E16526" t="s">
        <v>39</v>
      </c>
      <c r="F16526">
        <v>0</v>
      </c>
      <c r="G16526">
        <v>0</v>
      </c>
      <c r="H16526">
        <v>2</v>
      </c>
      <c r="I16526" s="3">
        <v>125.82</v>
      </c>
      <c r="J16526" s="3">
        <v>0</v>
      </c>
      <c r="L16526">
        <v>5100</v>
      </c>
      <c r="M16526" t="s">
        <v>36143</v>
      </c>
      <c r="N16526" t="s">
        <v>8611</v>
      </c>
      <c r="O16526" t="s">
        <v>370</v>
      </c>
      <c r="P16526" t="str">
        <f>"32304"</f>
        <v>32304</v>
      </c>
    </row>
    <row r="16527" spans="1:16" x14ac:dyDescent="0.25">
      <c r="A16527" t="str">
        <f>"1250022H00191    00"</f>
        <v>1250022H00191    00</v>
      </c>
      <c r="B16527" t="s">
        <v>36144</v>
      </c>
      <c r="C16527" t="s">
        <v>36145</v>
      </c>
      <c r="E16527" t="s">
        <v>39</v>
      </c>
      <c r="F16527">
        <v>0</v>
      </c>
      <c r="G16527">
        <v>0</v>
      </c>
      <c r="H16527">
        <v>2</v>
      </c>
      <c r="I16527" s="3">
        <v>6213.6</v>
      </c>
      <c r="J16527" s="3">
        <v>621.34</v>
      </c>
      <c r="L16527">
        <v>1724</v>
      </c>
      <c r="M16527" t="s">
        <v>13856</v>
      </c>
      <c r="N16527" t="s">
        <v>30</v>
      </c>
      <c r="O16527" t="s">
        <v>31</v>
      </c>
      <c r="P16527" t="str">
        <f>"15212"</f>
        <v>15212</v>
      </c>
    </row>
    <row r="16528" spans="1:16" x14ac:dyDescent="0.25">
      <c r="A16528" t="str">
        <f>"1250022H00202    00"</f>
        <v>1250022H00202    00</v>
      </c>
      <c r="B16528" t="s">
        <v>36141</v>
      </c>
      <c r="C16528" t="s">
        <v>36146</v>
      </c>
      <c r="D16528" t="s">
        <v>20</v>
      </c>
      <c r="E16528" t="s">
        <v>39</v>
      </c>
      <c r="F16528">
        <v>0</v>
      </c>
      <c r="G16528">
        <v>0</v>
      </c>
      <c r="H16528">
        <v>4</v>
      </c>
      <c r="I16528" s="3">
        <v>364.67</v>
      </c>
      <c r="J16528" s="3">
        <v>40.96</v>
      </c>
      <c r="L16528">
        <v>5100</v>
      </c>
      <c r="M16528" t="s">
        <v>36143</v>
      </c>
      <c r="N16528" t="s">
        <v>8611</v>
      </c>
      <c r="O16528" t="s">
        <v>370</v>
      </c>
      <c r="P16528" t="str">
        <f>"32304"</f>
        <v>32304</v>
      </c>
    </row>
    <row r="16529" spans="1:16" x14ac:dyDescent="0.25">
      <c r="A16529" t="str">
        <f>"1250022H00219    00"</f>
        <v>1250022H00219    00</v>
      </c>
      <c r="B16529" t="s">
        <v>36147</v>
      </c>
      <c r="C16529" t="s">
        <v>36146</v>
      </c>
      <c r="D16529" t="s">
        <v>20</v>
      </c>
      <c r="E16529" t="s">
        <v>39</v>
      </c>
      <c r="F16529">
        <v>0</v>
      </c>
      <c r="G16529">
        <v>0</v>
      </c>
      <c r="H16529">
        <v>3</v>
      </c>
      <c r="I16529" s="3">
        <v>50.76</v>
      </c>
      <c r="J16529" s="3">
        <v>8.3699999999999992</v>
      </c>
      <c r="K16529" t="s">
        <v>36148</v>
      </c>
      <c r="L16529">
        <v>3629</v>
      </c>
      <c r="M16529" t="s">
        <v>36149</v>
      </c>
      <c r="N16529" t="s">
        <v>36150</v>
      </c>
      <c r="O16529" t="s">
        <v>1184</v>
      </c>
      <c r="P16529" t="str">
        <f>"20746"</f>
        <v>20746</v>
      </c>
    </row>
    <row r="16530" spans="1:16" x14ac:dyDescent="0.25">
      <c r="A16530" t="str">
        <f>"1250022H00223    00"</f>
        <v>1250022H00223    00</v>
      </c>
      <c r="B16530" t="s">
        <v>36151</v>
      </c>
      <c r="C16530" t="s">
        <v>36152</v>
      </c>
      <c r="D16530" t="s">
        <v>20</v>
      </c>
      <c r="E16530" t="s">
        <v>39</v>
      </c>
      <c r="F16530">
        <v>0</v>
      </c>
      <c r="G16530">
        <v>0</v>
      </c>
      <c r="H16530">
        <v>2</v>
      </c>
      <c r="I16530" s="3">
        <v>1143.5999999999999</v>
      </c>
      <c r="J16530" s="3">
        <v>0</v>
      </c>
      <c r="K16530" t="s">
        <v>36153</v>
      </c>
      <c r="L16530">
        <v>512</v>
      </c>
      <c r="M16530" t="s">
        <v>34601</v>
      </c>
      <c r="N16530" t="s">
        <v>30</v>
      </c>
      <c r="O16530" t="s">
        <v>31</v>
      </c>
      <c r="P16530" t="str">
        <f>"15212"</f>
        <v>15212</v>
      </c>
    </row>
    <row r="16531" spans="1:16" x14ac:dyDescent="0.25">
      <c r="A16531" t="str">
        <f>"1250022H00223A   00"</f>
        <v>1250022H00223A   00</v>
      </c>
      <c r="B16531" t="s">
        <v>36151</v>
      </c>
      <c r="C16531" t="s">
        <v>36154</v>
      </c>
      <c r="D16531" t="s">
        <v>20</v>
      </c>
      <c r="E16531" t="s">
        <v>39</v>
      </c>
      <c r="F16531">
        <v>0</v>
      </c>
      <c r="G16531">
        <v>0</v>
      </c>
      <c r="H16531">
        <v>2</v>
      </c>
      <c r="I16531" s="3">
        <v>1643</v>
      </c>
      <c r="J16531" s="3">
        <v>0</v>
      </c>
      <c r="K16531" t="s">
        <v>36153</v>
      </c>
      <c r="L16531">
        <v>512</v>
      </c>
      <c r="M16531" t="s">
        <v>34601</v>
      </c>
      <c r="N16531" t="s">
        <v>30</v>
      </c>
      <c r="O16531" t="s">
        <v>31</v>
      </c>
      <c r="P16531" t="str">
        <f>"15212"</f>
        <v>15212</v>
      </c>
    </row>
    <row r="16532" spans="1:16" x14ac:dyDescent="0.25">
      <c r="A16532" t="str">
        <f>"1250022H00223B   00"</f>
        <v>1250022H00223B   00</v>
      </c>
      <c r="B16532" t="s">
        <v>36151</v>
      </c>
      <c r="C16532" t="s">
        <v>36155</v>
      </c>
      <c r="D16532" t="s">
        <v>20</v>
      </c>
      <c r="E16532" t="s">
        <v>39</v>
      </c>
      <c r="F16532">
        <v>0</v>
      </c>
      <c r="G16532">
        <v>0</v>
      </c>
      <c r="H16532">
        <v>2</v>
      </c>
      <c r="I16532" s="3">
        <v>1589.62</v>
      </c>
      <c r="J16532" s="3">
        <v>0</v>
      </c>
      <c r="K16532" t="s">
        <v>36153</v>
      </c>
      <c r="L16532">
        <v>512</v>
      </c>
      <c r="M16532" t="s">
        <v>34601</v>
      </c>
      <c r="N16532" t="s">
        <v>30</v>
      </c>
      <c r="O16532" t="s">
        <v>31</v>
      </c>
      <c r="P16532" t="str">
        <f>"15212"</f>
        <v>15212</v>
      </c>
    </row>
    <row r="16533" spans="1:16" x14ac:dyDescent="0.25">
      <c r="A16533" t="str">
        <f>"1250022H00223C   00"</f>
        <v>1250022H00223C   00</v>
      </c>
      <c r="B16533" t="s">
        <v>36151</v>
      </c>
      <c r="C16533" t="s">
        <v>36156</v>
      </c>
      <c r="D16533" t="s">
        <v>20</v>
      </c>
      <c r="E16533" t="s">
        <v>39</v>
      </c>
      <c r="F16533">
        <v>0</v>
      </c>
      <c r="G16533">
        <v>0</v>
      </c>
      <c r="H16533">
        <v>2</v>
      </c>
      <c r="I16533" s="3">
        <v>1734.48</v>
      </c>
      <c r="J16533" s="3">
        <v>0</v>
      </c>
      <c r="K16533" t="s">
        <v>36153</v>
      </c>
      <c r="L16533">
        <v>512</v>
      </c>
      <c r="M16533" t="s">
        <v>34601</v>
      </c>
      <c r="N16533" t="s">
        <v>30</v>
      </c>
      <c r="O16533" t="s">
        <v>31</v>
      </c>
      <c r="P16533" t="str">
        <f>"15212"</f>
        <v>15212</v>
      </c>
    </row>
    <row r="16534" spans="1:16" x14ac:dyDescent="0.25">
      <c r="A16534" t="str">
        <f>"1250022H00231    00"</f>
        <v>1250022H00231    00</v>
      </c>
      <c r="B16534" t="s">
        <v>33867</v>
      </c>
      <c r="C16534" t="s">
        <v>36146</v>
      </c>
      <c r="D16534" t="s">
        <v>20</v>
      </c>
      <c r="E16534" t="s">
        <v>39</v>
      </c>
      <c r="F16534">
        <v>0</v>
      </c>
      <c r="G16534">
        <v>0</v>
      </c>
      <c r="H16534">
        <v>1</v>
      </c>
      <c r="I16534" s="3">
        <v>40.01</v>
      </c>
      <c r="J16534" s="3">
        <v>0</v>
      </c>
      <c r="L16534">
        <v>1300</v>
      </c>
      <c r="M16534" t="s">
        <v>13961</v>
      </c>
      <c r="N16534" t="s">
        <v>30</v>
      </c>
      <c r="O16534" t="s">
        <v>31</v>
      </c>
      <c r="P16534" t="str">
        <f>"15233"</f>
        <v>15233</v>
      </c>
    </row>
    <row r="16535" spans="1:16" x14ac:dyDescent="0.25">
      <c r="A16535" t="str">
        <f>"1250022H00260    00"</f>
        <v>1250022H00260    00</v>
      </c>
      <c r="B16535" t="s">
        <v>36157</v>
      </c>
      <c r="C16535" t="s">
        <v>36158</v>
      </c>
      <c r="E16535" t="s">
        <v>39</v>
      </c>
      <c r="F16535">
        <v>0</v>
      </c>
      <c r="G16535">
        <v>0</v>
      </c>
      <c r="H16535">
        <v>8</v>
      </c>
      <c r="I16535" s="3">
        <v>1845.36</v>
      </c>
      <c r="J16535" s="3">
        <v>740.61</v>
      </c>
      <c r="L16535">
        <v>1716</v>
      </c>
      <c r="M16535" t="s">
        <v>36159</v>
      </c>
      <c r="N16535" t="s">
        <v>30</v>
      </c>
      <c r="O16535" t="s">
        <v>31</v>
      </c>
      <c r="P16535" t="str">
        <f>"15212"</f>
        <v>15212</v>
      </c>
    </row>
    <row r="16536" spans="1:16" x14ac:dyDescent="0.25">
      <c r="A16536" t="str">
        <f>"1250022M00036    00"</f>
        <v>1250022M00036    00</v>
      </c>
      <c r="B16536" t="s">
        <v>36160</v>
      </c>
      <c r="C16536" t="s">
        <v>36146</v>
      </c>
      <c r="D16536" t="s">
        <v>20</v>
      </c>
      <c r="E16536" t="s">
        <v>39</v>
      </c>
      <c r="F16536">
        <v>0</v>
      </c>
      <c r="G16536">
        <v>0</v>
      </c>
      <c r="H16536">
        <v>1</v>
      </c>
      <c r="I16536" s="3">
        <v>47.66</v>
      </c>
      <c r="J16536" s="3">
        <v>0</v>
      </c>
      <c r="K16536" t="s">
        <v>33869</v>
      </c>
      <c r="L16536">
        <v>1300</v>
      </c>
      <c r="M16536" t="s">
        <v>13961</v>
      </c>
      <c r="N16536" t="s">
        <v>30</v>
      </c>
      <c r="O16536" t="s">
        <v>31</v>
      </c>
      <c r="P16536" t="str">
        <f>"15233"</f>
        <v>15233</v>
      </c>
    </row>
    <row r="16537" spans="1:16" x14ac:dyDescent="0.25">
      <c r="A16537" t="str">
        <f>"1250022M00037    00"</f>
        <v>1250022M00037    00</v>
      </c>
      <c r="B16537" t="s">
        <v>36161</v>
      </c>
      <c r="C16537" t="s">
        <v>36162</v>
      </c>
      <c r="E16537" t="s">
        <v>39</v>
      </c>
      <c r="F16537">
        <v>0</v>
      </c>
      <c r="G16537">
        <v>0</v>
      </c>
      <c r="H16537">
        <v>1</v>
      </c>
      <c r="I16537" s="3">
        <v>4604.66</v>
      </c>
      <c r="J16537" s="3">
        <v>2263.87</v>
      </c>
      <c r="K16537" t="s">
        <v>36163</v>
      </c>
      <c r="L16537">
        <v>1300</v>
      </c>
      <c r="M16537" t="s">
        <v>36164</v>
      </c>
      <c r="N16537" t="s">
        <v>30</v>
      </c>
      <c r="O16537" t="s">
        <v>31</v>
      </c>
      <c r="P16537" t="str">
        <f>"15233"</f>
        <v>15233</v>
      </c>
    </row>
    <row r="16538" spans="1:16" x14ac:dyDescent="0.25">
      <c r="A16538" t="str">
        <f>"1250022M00039    00"</f>
        <v>1250022M00039    00</v>
      </c>
      <c r="B16538" t="s">
        <v>944</v>
      </c>
      <c r="C16538" t="s">
        <v>36165</v>
      </c>
      <c r="E16538" t="s">
        <v>39</v>
      </c>
      <c r="F16538">
        <v>0</v>
      </c>
      <c r="G16538">
        <v>0</v>
      </c>
      <c r="H16538">
        <v>1</v>
      </c>
      <c r="I16538" s="3">
        <v>2389.64</v>
      </c>
      <c r="J16538" s="3">
        <v>2807.71</v>
      </c>
      <c r="L16538">
        <v>200</v>
      </c>
      <c r="M16538" t="s">
        <v>946</v>
      </c>
      <c r="N16538" t="s">
        <v>30</v>
      </c>
      <c r="O16538" t="s">
        <v>31</v>
      </c>
      <c r="P16538" t="str">
        <f>"15219"</f>
        <v>15219</v>
      </c>
    </row>
    <row r="16539" spans="1:16" x14ac:dyDescent="0.25">
      <c r="A16539" t="str">
        <f>"1250022M00042    00"</f>
        <v>1250022M00042    00</v>
      </c>
      <c r="B16539" t="s">
        <v>36058</v>
      </c>
      <c r="C16539" t="s">
        <v>36146</v>
      </c>
      <c r="D16539" t="s">
        <v>20</v>
      </c>
      <c r="E16539" t="s">
        <v>39</v>
      </c>
      <c r="F16539">
        <v>0</v>
      </c>
      <c r="G16539">
        <v>0</v>
      </c>
      <c r="H16539">
        <v>1</v>
      </c>
      <c r="I16539" s="3">
        <v>263.02999999999997</v>
      </c>
      <c r="J16539" s="3">
        <v>0</v>
      </c>
      <c r="L16539">
        <v>1821</v>
      </c>
      <c r="M16539" t="s">
        <v>13961</v>
      </c>
      <c r="N16539" t="s">
        <v>30</v>
      </c>
      <c r="O16539" t="s">
        <v>31</v>
      </c>
      <c r="P16539" t="str">
        <f>"15212"</f>
        <v>15212</v>
      </c>
    </row>
    <row r="16540" spans="1:16" x14ac:dyDescent="0.25">
      <c r="A16540" t="str">
        <f>"1250022M00049    00"</f>
        <v>1250022M00049    00</v>
      </c>
      <c r="B16540" t="s">
        <v>36166</v>
      </c>
      <c r="C16540" t="s">
        <v>36167</v>
      </c>
      <c r="E16540" t="s">
        <v>39</v>
      </c>
      <c r="F16540">
        <v>0</v>
      </c>
      <c r="G16540">
        <v>0</v>
      </c>
      <c r="H16540">
        <v>1</v>
      </c>
      <c r="I16540" s="3">
        <v>1252.6400000000001</v>
      </c>
      <c r="J16540" s="3">
        <v>365.33</v>
      </c>
      <c r="K16540" t="s">
        <v>36168</v>
      </c>
      <c r="L16540">
        <v>169</v>
      </c>
      <c r="M16540" t="s">
        <v>36169</v>
      </c>
      <c r="N16540" t="s">
        <v>605</v>
      </c>
      <c r="O16540" t="s">
        <v>606</v>
      </c>
      <c r="P16540" t="str">
        <f>"30312"</f>
        <v>30312</v>
      </c>
    </row>
    <row r="16541" spans="1:16" x14ac:dyDescent="0.25">
      <c r="A16541" t="str">
        <f>"1250022M00059    00"</f>
        <v>1250022M00059    00</v>
      </c>
      <c r="B16541" t="s">
        <v>36170</v>
      </c>
      <c r="C16541" t="s">
        <v>36171</v>
      </c>
      <c r="E16541" t="s">
        <v>290</v>
      </c>
      <c r="F16541">
        <v>0</v>
      </c>
      <c r="G16541">
        <v>0</v>
      </c>
      <c r="H16541">
        <v>1</v>
      </c>
      <c r="I16541" s="3">
        <v>3352.66</v>
      </c>
      <c r="J16541" s="3">
        <v>335.25</v>
      </c>
      <c r="L16541">
        <v>842</v>
      </c>
      <c r="M16541" t="s">
        <v>36172</v>
      </c>
      <c r="N16541" t="s">
        <v>30</v>
      </c>
      <c r="O16541" t="s">
        <v>31</v>
      </c>
      <c r="P16541" t="str">
        <f>"15212"</f>
        <v>15212</v>
      </c>
    </row>
    <row r="16542" spans="1:16" x14ac:dyDescent="0.25">
      <c r="A16542" t="str">
        <f>"1250022M00122    00"</f>
        <v>1250022M00122    00</v>
      </c>
      <c r="B16542" t="s">
        <v>36173</v>
      </c>
      <c r="C16542" t="s">
        <v>36174</v>
      </c>
      <c r="D16542" t="s">
        <v>20</v>
      </c>
      <c r="E16542" t="s">
        <v>21</v>
      </c>
      <c r="F16542">
        <v>0</v>
      </c>
      <c r="G16542">
        <v>0</v>
      </c>
      <c r="H16542">
        <v>2</v>
      </c>
      <c r="I16542" s="3">
        <v>16963.400000000001</v>
      </c>
      <c r="J16542" s="3">
        <v>0</v>
      </c>
      <c r="L16542">
        <v>820</v>
      </c>
      <c r="M16542" t="s">
        <v>28159</v>
      </c>
      <c r="N16542" t="s">
        <v>30</v>
      </c>
      <c r="O16542" t="s">
        <v>31</v>
      </c>
      <c r="P16542" t="str">
        <f>"15233"</f>
        <v>15233</v>
      </c>
    </row>
    <row r="16543" spans="1:16" x14ac:dyDescent="0.25">
      <c r="A16543" t="str">
        <f>"1250023A00016    00"</f>
        <v>1250023A00016    00</v>
      </c>
      <c r="B16543" t="s">
        <v>36175</v>
      </c>
      <c r="C16543" t="s">
        <v>34522</v>
      </c>
      <c r="D16543" t="s">
        <v>20</v>
      </c>
      <c r="E16543" t="s">
        <v>39</v>
      </c>
      <c r="F16543">
        <v>0</v>
      </c>
      <c r="G16543">
        <v>0</v>
      </c>
      <c r="H16543">
        <v>7</v>
      </c>
      <c r="I16543" s="3">
        <v>155.99</v>
      </c>
      <c r="J16543" s="3">
        <v>43.69</v>
      </c>
      <c r="K16543" t="s">
        <v>36176</v>
      </c>
      <c r="L16543">
        <v>606</v>
      </c>
      <c r="M16543" t="s">
        <v>36177</v>
      </c>
      <c r="N16543" t="s">
        <v>30</v>
      </c>
      <c r="O16543" t="s">
        <v>31</v>
      </c>
      <c r="P16543" t="str">
        <f>"15214"</f>
        <v>15214</v>
      </c>
    </row>
    <row r="16544" spans="1:16" x14ac:dyDescent="0.25">
      <c r="A16544" t="str">
        <f>"1250023A00022    00"</f>
        <v>1250023A00022    00</v>
      </c>
      <c r="B16544" t="s">
        <v>36178</v>
      </c>
      <c r="C16544" t="s">
        <v>36179</v>
      </c>
      <c r="D16544" t="s">
        <v>20</v>
      </c>
      <c r="E16544" t="s">
        <v>39</v>
      </c>
      <c r="F16544">
        <v>0</v>
      </c>
      <c r="G16544">
        <v>0</v>
      </c>
      <c r="H16544">
        <v>1</v>
      </c>
      <c r="I16544" s="3">
        <v>2910.47</v>
      </c>
      <c r="J16544" s="3">
        <v>0</v>
      </c>
      <c r="K16544" t="s">
        <v>400</v>
      </c>
      <c r="L16544">
        <v>3001</v>
      </c>
      <c r="M16544" t="s">
        <v>330</v>
      </c>
      <c r="N16544" t="s">
        <v>331</v>
      </c>
      <c r="O16544" t="s">
        <v>108</v>
      </c>
      <c r="P16544" t="str">
        <f>"75063"</f>
        <v>75063</v>
      </c>
    </row>
    <row r="16545" spans="1:16" x14ac:dyDescent="0.25">
      <c r="A16545" t="str">
        <f>"1250023A00044    00"</f>
        <v>1250023A00044    00</v>
      </c>
      <c r="B16545" t="s">
        <v>36180</v>
      </c>
      <c r="C16545" t="s">
        <v>36112</v>
      </c>
      <c r="D16545" t="s">
        <v>20</v>
      </c>
      <c r="E16545" t="s">
        <v>39</v>
      </c>
      <c r="F16545">
        <v>0</v>
      </c>
      <c r="G16545">
        <v>0</v>
      </c>
      <c r="H16545">
        <v>6</v>
      </c>
      <c r="I16545" s="3">
        <v>78.260000000000005</v>
      </c>
      <c r="J16545" s="3">
        <v>20.38</v>
      </c>
      <c r="L16545">
        <v>104</v>
      </c>
      <c r="M16545" t="s">
        <v>36181</v>
      </c>
      <c r="N16545" t="s">
        <v>30</v>
      </c>
      <c r="O16545" t="s">
        <v>31</v>
      </c>
      <c r="P16545" t="str">
        <f>"15238"</f>
        <v>15238</v>
      </c>
    </row>
    <row r="16546" spans="1:16" x14ac:dyDescent="0.25">
      <c r="A16546" t="str">
        <f>"1250023A00047    00"</f>
        <v>1250023A00047    00</v>
      </c>
      <c r="B16546" t="s">
        <v>36180</v>
      </c>
      <c r="C16546" t="s">
        <v>36112</v>
      </c>
      <c r="D16546" t="s">
        <v>20</v>
      </c>
      <c r="E16546" t="s">
        <v>39</v>
      </c>
      <c r="F16546">
        <v>0</v>
      </c>
      <c r="G16546">
        <v>0</v>
      </c>
      <c r="H16546">
        <v>7</v>
      </c>
      <c r="I16546" s="3">
        <v>1957.5</v>
      </c>
      <c r="J16546" s="3">
        <v>541.32000000000005</v>
      </c>
      <c r="L16546">
        <v>104</v>
      </c>
      <c r="M16546" t="s">
        <v>36181</v>
      </c>
      <c r="N16546" t="s">
        <v>30</v>
      </c>
      <c r="O16546" t="s">
        <v>31</v>
      </c>
      <c r="P16546" t="str">
        <f>"15238"</f>
        <v>15238</v>
      </c>
    </row>
    <row r="16547" spans="1:16" x14ac:dyDescent="0.25">
      <c r="A16547" t="str">
        <f>"1250023A00055    00"</f>
        <v>1250023A00055    00</v>
      </c>
      <c r="B16547" t="s">
        <v>36182</v>
      </c>
      <c r="C16547" t="s">
        <v>36112</v>
      </c>
      <c r="D16547" t="s">
        <v>20</v>
      </c>
      <c r="E16547" t="s">
        <v>39</v>
      </c>
      <c r="F16547">
        <v>0</v>
      </c>
      <c r="G16547">
        <v>0</v>
      </c>
      <c r="H16547">
        <v>19</v>
      </c>
      <c r="I16547" s="3">
        <v>12876.34</v>
      </c>
      <c r="J16547" s="3">
        <v>17485.419999999998</v>
      </c>
      <c r="L16547">
        <v>1255</v>
      </c>
      <c r="M16547" t="s">
        <v>36183</v>
      </c>
      <c r="N16547" t="s">
        <v>30</v>
      </c>
      <c r="O16547" t="s">
        <v>31</v>
      </c>
      <c r="P16547" t="str">
        <f>"15216"</f>
        <v>15216</v>
      </c>
    </row>
    <row r="16548" spans="1:16" x14ac:dyDescent="0.25">
      <c r="A16548" t="str">
        <f>"1250023A00085    00"</f>
        <v>1250023A00085    00</v>
      </c>
      <c r="B16548" t="s">
        <v>36184</v>
      </c>
      <c r="C16548" t="s">
        <v>36185</v>
      </c>
      <c r="D16548" t="s">
        <v>20</v>
      </c>
      <c r="E16548" t="s">
        <v>39</v>
      </c>
      <c r="F16548">
        <v>0</v>
      </c>
      <c r="G16548">
        <v>0</v>
      </c>
      <c r="H16548">
        <v>4</v>
      </c>
      <c r="I16548" s="3">
        <v>888.74</v>
      </c>
      <c r="J16548" s="3">
        <v>152.94999999999999</v>
      </c>
      <c r="L16548">
        <v>531</v>
      </c>
      <c r="M16548" t="s">
        <v>36186</v>
      </c>
      <c r="N16548" t="s">
        <v>30</v>
      </c>
      <c r="O16548" t="s">
        <v>31</v>
      </c>
      <c r="P16548" t="str">
        <f>"15214"</f>
        <v>15214</v>
      </c>
    </row>
    <row r="16549" spans="1:16" x14ac:dyDescent="0.25">
      <c r="A16549" t="str">
        <f>"1250023A00090    00"</f>
        <v>1250023A00090    00</v>
      </c>
      <c r="B16549" t="s">
        <v>36187</v>
      </c>
      <c r="C16549" t="s">
        <v>36188</v>
      </c>
      <c r="D16549" t="s">
        <v>20</v>
      </c>
      <c r="E16549" t="s">
        <v>39</v>
      </c>
      <c r="F16549">
        <v>0</v>
      </c>
      <c r="G16549">
        <v>0</v>
      </c>
      <c r="H16549">
        <v>19</v>
      </c>
      <c r="I16549" s="3">
        <v>2019.61</v>
      </c>
      <c r="J16549" s="3">
        <v>1581.29</v>
      </c>
      <c r="L16549">
        <v>6</v>
      </c>
      <c r="M16549" t="s">
        <v>36189</v>
      </c>
      <c r="N16549" t="s">
        <v>30</v>
      </c>
      <c r="O16549" t="s">
        <v>31</v>
      </c>
      <c r="P16549" t="str">
        <f>"15214"</f>
        <v>15214</v>
      </c>
    </row>
    <row r="16550" spans="1:16" x14ac:dyDescent="0.25">
      <c r="A16550" t="str">
        <f>"1250023A00092    00"</f>
        <v>1250023A00092    00</v>
      </c>
      <c r="B16550" t="s">
        <v>36187</v>
      </c>
      <c r="C16550" t="s">
        <v>36188</v>
      </c>
      <c r="D16550" t="s">
        <v>20</v>
      </c>
      <c r="E16550" t="s">
        <v>39</v>
      </c>
      <c r="F16550">
        <v>0</v>
      </c>
      <c r="G16550">
        <v>0</v>
      </c>
      <c r="H16550">
        <v>19</v>
      </c>
      <c r="I16550" s="3">
        <v>1439.96</v>
      </c>
      <c r="J16550" s="3">
        <v>1233.6300000000001</v>
      </c>
      <c r="L16550">
        <v>6</v>
      </c>
      <c r="M16550" t="s">
        <v>36189</v>
      </c>
      <c r="N16550" t="s">
        <v>30</v>
      </c>
      <c r="O16550" t="s">
        <v>31</v>
      </c>
      <c r="P16550" t="str">
        <f>"15214"</f>
        <v>15214</v>
      </c>
    </row>
    <row r="16551" spans="1:16" x14ac:dyDescent="0.25">
      <c r="A16551" t="str">
        <f>"1250023A00093    00"</f>
        <v>1250023A00093    00</v>
      </c>
      <c r="B16551" t="s">
        <v>36190</v>
      </c>
      <c r="C16551" t="s">
        <v>36188</v>
      </c>
      <c r="D16551" t="s">
        <v>20</v>
      </c>
      <c r="E16551" t="s">
        <v>39</v>
      </c>
      <c r="F16551">
        <v>0</v>
      </c>
      <c r="G16551">
        <v>0</v>
      </c>
      <c r="H16551">
        <v>13</v>
      </c>
      <c r="I16551" s="3">
        <v>2052.39</v>
      </c>
      <c r="J16551" s="3">
        <v>2253.94</v>
      </c>
      <c r="L16551">
        <v>3109</v>
      </c>
      <c r="M16551" t="s">
        <v>26516</v>
      </c>
      <c r="N16551" t="s">
        <v>30</v>
      </c>
      <c r="O16551" t="s">
        <v>31</v>
      </c>
      <c r="P16551" t="str">
        <f>"15204"</f>
        <v>15204</v>
      </c>
    </row>
    <row r="16552" spans="1:16" x14ac:dyDescent="0.25">
      <c r="A16552" t="str">
        <f>"1250023A00094    00"</f>
        <v>1250023A00094    00</v>
      </c>
      <c r="B16552" t="s">
        <v>36191</v>
      </c>
      <c r="C16552" t="s">
        <v>36192</v>
      </c>
      <c r="D16552" t="s">
        <v>20</v>
      </c>
      <c r="E16552" t="s">
        <v>39</v>
      </c>
      <c r="F16552">
        <v>0</v>
      </c>
      <c r="G16552">
        <v>0</v>
      </c>
      <c r="H16552">
        <v>19</v>
      </c>
      <c r="I16552" s="3">
        <v>9202.2099999999991</v>
      </c>
      <c r="J16552" s="3">
        <v>8362.32</v>
      </c>
      <c r="L16552">
        <v>14</v>
      </c>
      <c r="M16552" t="s">
        <v>36193</v>
      </c>
      <c r="N16552" t="s">
        <v>30</v>
      </c>
      <c r="O16552" t="s">
        <v>31</v>
      </c>
      <c r="P16552" t="str">
        <f>"15214"</f>
        <v>15214</v>
      </c>
    </row>
    <row r="16553" spans="1:16" x14ac:dyDescent="0.25">
      <c r="A16553" t="str">
        <f>"1250023A00095    00"</f>
        <v>1250023A00095    00</v>
      </c>
      <c r="B16553" t="s">
        <v>36194</v>
      </c>
      <c r="C16553" t="s">
        <v>36195</v>
      </c>
      <c r="E16553" t="s">
        <v>39</v>
      </c>
      <c r="F16553">
        <v>0</v>
      </c>
      <c r="G16553">
        <v>0</v>
      </c>
      <c r="H16553">
        <v>4</v>
      </c>
      <c r="I16553" s="3">
        <v>438.16</v>
      </c>
      <c r="J16553" s="3">
        <v>525.11</v>
      </c>
      <c r="K16553" t="s">
        <v>36196</v>
      </c>
      <c r="L16553">
        <v>2403</v>
      </c>
      <c r="M16553" t="s">
        <v>36197</v>
      </c>
      <c r="N16553" t="s">
        <v>30</v>
      </c>
      <c r="O16553" t="s">
        <v>31</v>
      </c>
      <c r="P16553" t="str">
        <f>"15214"</f>
        <v>15214</v>
      </c>
    </row>
    <row r="16554" spans="1:16" x14ac:dyDescent="0.25">
      <c r="A16554" t="str">
        <f>"1250023A00096    00"</f>
        <v>1250023A00096    00</v>
      </c>
      <c r="B16554" t="s">
        <v>36198</v>
      </c>
      <c r="C16554" t="s">
        <v>36199</v>
      </c>
      <c r="D16554" t="s">
        <v>20</v>
      </c>
      <c r="E16554" t="s">
        <v>39</v>
      </c>
      <c r="F16554">
        <v>0</v>
      </c>
      <c r="G16554">
        <v>0</v>
      </c>
      <c r="H16554">
        <v>19</v>
      </c>
      <c r="I16554" s="3">
        <v>13610.18</v>
      </c>
      <c r="J16554" s="3">
        <v>15030.62</v>
      </c>
      <c r="L16554">
        <v>1550</v>
      </c>
      <c r="M16554" t="s">
        <v>36200</v>
      </c>
      <c r="N16554" t="s">
        <v>36201</v>
      </c>
      <c r="O16554" t="s">
        <v>370</v>
      </c>
      <c r="P16554" t="str">
        <f>"32789"</f>
        <v>32789</v>
      </c>
    </row>
    <row r="16555" spans="1:16" x14ac:dyDescent="0.25">
      <c r="A16555" t="str">
        <f>"1250023A00097    00"</f>
        <v>1250023A00097    00</v>
      </c>
      <c r="B16555" t="s">
        <v>36202</v>
      </c>
      <c r="C16555" t="s">
        <v>36188</v>
      </c>
      <c r="D16555" t="s">
        <v>20</v>
      </c>
      <c r="E16555" t="s">
        <v>39</v>
      </c>
      <c r="F16555">
        <v>0</v>
      </c>
      <c r="G16555">
        <v>0</v>
      </c>
      <c r="H16555">
        <v>17</v>
      </c>
      <c r="I16555" s="3">
        <v>8142.94</v>
      </c>
      <c r="J16555" s="3">
        <v>11517.13</v>
      </c>
      <c r="L16555">
        <v>20</v>
      </c>
      <c r="M16555" t="s">
        <v>36193</v>
      </c>
      <c r="N16555" t="s">
        <v>30</v>
      </c>
      <c r="O16555" t="s">
        <v>31</v>
      </c>
      <c r="P16555" t="str">
        <f>"15214"</f>
        <v>15214</v>
      </c>
    </row>
    <row r="16556" spans="1:16" x14ac:dyDescent="0.25">
      <c r="A16556" t="str">
        <f>"1250023A00098    00"</f>
        <v>1250023A00098    00</v>
      </c>
      <c r="B16556" t="s">
        <v>36203</v>
      </c>
      <c r="C16556" t="s">
        <v>36204</v>
      </c>
      <c r="D16556" t="s">
        <v>20</v>
      </c>
      <c r="E16556" t="s">
        <v>39</v>
      </c>
      <c r="F16556">
        <v>0</v>
      </c>
      <c r="G16556">
        <v>0</v>
      </c>
      <c r="H16556">
        <v>19</v>
      </c>
      <c r="I16556" s="3">
        <v>7397.62</v>
      </c>
      <c r="J16556" s="3">
        <v>6486.09</v>
      </c>
      <c r="L16556">
        <v>22</v>
      </c>
      <c r="M16556" t="s">
        <v>36193</v>
      </c>
      <c r="N16556" t="s">
        <v>30</v>
      </c>
      <c r="O16556" t="s">
        <v>31</v>
      </c>
      <c r="P16556" t="str">
        <f>"15214"</f>
        <v>15214</v>
      </c>
    </row>
    <row r="16557" spans="1:16" x14ac:dyDescent="0.25">
      <c r="A16557" t="str">
        <f>"1250023A00099    00"</f>
        <v>1250023A00099    00</v>
      </c>
      <c r="B16557" t="s">
        <v>36205</v>
      </c>
      <c r="C16557" t="s">
        <v>36206</v>
      </c>
      <c r="D16557" t="s">
        <v>20</v>
      </c>
      <c r="E16557" t="s">
        <v>39</v>
      </c>
      <c r="F16557">
        <v>0</v>
      </c>
      <c r="G16557">
        <v>0</v>
      </c>
      <c r="H16557">
        <v>4</v>
      </c>
      <c r="I16557" s="3">
        <v>542.9</v>
      </c>
      <c r="J16557" s="3">
        <v>42.08</v>
      </c>
      <c r="L16557">
        <v>508</v>
      </c>
      <c r="M16557" t="s">
        <v>36207</v>
      </c>
      <c r="N16557" t="s">
        <v>30</v>
      </c>
      <c r="O16557" t="s">
        <v>31</v>
      </c>
      <c r="P16557" t="str">
        <f>"15214"</f>
        <v>15214</v>
      </c>
    </row>
    <row r="16558" spans="1:16" x14ac:dyDescent="0.25">
      <c r="A16558" t="str">
        <f>"1250023A00100    00"</f>
        <v>1250023A00100    00</v>
      </c>
      <c r="B16558" t="s">
        <v>36208</v>
      </c>
      <c r="C16558" t="s">
        <v>36188</v>
      </c>
      <c r="D16558" t="s">
        <v>20</v>
      </c>
      <c r="E16558" t="s">
        <v>39</v>
      </c>
      <c r="F16558">
        <v>0</v>
      </c>
      <c r="G16558">
        <v>0</v>
      </c>
      <c r="H16558">
        <v>5</v>
      </c>
      <c r="I16558" s="3">
        <v>37.42</v>
      </c>
      <c r="J16558" s="3">
        <v>8.06</v>
      </c>
      <c r="L16558">
        <v>5718</v>
      </c>
      <c r="M16558" t="s">
        <v>36209</v>
      </c>
      <c r="N16558" t="s">
        <v>36210</v>
      </c>
      <c r="O16558" t="s">
        <v>200</v>
      </c>
      <c r="P16558" t="str">
        <f>"14837"</f>
        <v>14837</v>
      </c>
    </row>
    <row r="16559" spans="1:16" x14ac:dyDescent="0.25">
      <c r="A16559" t="str">
        <f>"1250023A00102    00"</f>
        <v>1250023A00102    00</v>
      </c>
      <c r="B16559" t="s">
        <v>36211</v>
      </c>
      <c r="C16559" t="s">
        <v>36212</v>
      </c>
      <c r="D16559" t="s">
        <v>20</v>
      </c>
      <c r="E16559" t="s">
        <v>39</v>
      </c>
      <c r="F16559">
        <v>0</v>
      </c>
      <c r="G16559">
        <v>0</v>
      </c>
      <c r="H16559">
        <v>15</v>
      </c>
      <c r="I16559" s="3">
        <v>6561.44</v>
      </c>
      <c r="J16559" s="3">
        <v>5488.92</v>
      </c>
      <c r="K16559" t="s">
        <v>36213</v>
      </c>
      <c r="L16559">
        <v>34</v>
      </c>
      <c r="M16559" t="s">
        <v>36193</v>
      </c>
      <c r="N16559" t="s">
        <v>30</v>
      </c>
      <c r="O16559" t="s">
        <v>31</v>
      </c>
      <c r="P16559" t="str">
        <f>"15214"</f>
        <v>15214</v>
      </c>
    </row>
    <row r="16560" spans="1:16" x14ac:dyDescent="0.25">
      <c r="A16560" t="str">
        <f>"1250023A00103    00"</f>
        <v>1250023A00103    00</v>
      </c>
      <c r="B16560" t="s">
        <v>36214</v>
      </c>
      <c r="C16560" t="s">
        <v>36188</v>
      </c>
      <c r="D16560" t="s">
        <v>20</v>
      </c>
      <c r="E16560" t="s">
        <v>39</v>
      </c>
      <c r="F16560">
        <v>0</v>
      </c>
      <c r="G16560">
        <v>0</v>
      </c>
      <c r="H16560">
        <v>19</v>
      </c>
      <c r="I16560" s="3">
        <v>737.79</v>
      </c>
      <c r="J16560" s="3">
        <v>919.71</v>
      </c>
      <c r="L16560">
        <v>541</v>
      </c>
      <c r="M16560" t="s">
        <v>36193</v>
      </c>
      <c r="N16560" t="s">
        <v>30</v>
      </c>
      <c r="O16560" t="s">
        <v>31</v>
      </c>
      <c r="P16560" t="str">
        <f>"15214"</f>
        <v>15214</v>
      </c>
    </row>
    <row r="16561" spans="1:16" x14ac:dyDescent="0.25">
      <c r="A16561" t="str">
        <f>"1250023A00105    00"</f>
        <v>1250023A00105    00</v>
      </c>
      <c r="B16561" t="s">
        <v>36215</v>
      </c>
      <c r="C16561" t="s">
        <v>36188</v>
      </c>
      <c r="D16561" t="s">
        <v>20</v>
      </c>
      <c r="E16561" t="s">
        <v>39</v>
      </c>
      <c r="F16561">
        <v>0</v>
      </c>
      <c r="G16561">
        <v>0</v>
      </c>
      <c r="H16561">
        <v>17</v>
      </c>
      <c r="I16561" s="3">
        <v>584.83000000000004</v>
      </c>
      <c r="J16561" s="3">
        <v>760.54</v>
      </c>
      <c r="L16561">
        <v>1320</v>
      </c>
      <c r="M16561" t="s">
        <v>36216</v>
      </c>
      <c r="N16561" t="s">
        <v>30</v>
      </c>
      <c r="O16561" t="s">
        <v>31</v>
      </c>
      <c r="P16561" t="str">
        <f>"15212"</f>
        <v>15212</v>
      </c>
    </row>
    <row r="16562" spans="1:16" x14ac:dyDescent="0.25">
      <c r="A16562" t="str">
        <f>"1250023A00106    00"</f>
        <v>1250023A00106    00</v>
      </c>
      <c r="B16562" t="s">
        <v>36217</v>
      </c>
      <c r="C16562" t="s">
        <v>36206</v>
      </c>
      <c r="E16562" t="s">
        <v>39</v>
      </c>
      <c r="F16562">
        <v>0</v>
      </c>
      <c r="G16562">
        <v>0</v>
      </c>
      <c r="H16562">
        <v>10</v>
      </c>
      <c r="I16562" s="3">
        <v>919.59</v>
      </c>
      <c r="J16562" s="3">
        <v>271.66000000000003</v>
      </c>
      <c r="L16562">
        <v>1621</v>
      </c>
      <c r="M16562" t="s">
        <v>36218</v>
      </c>
      <c r="N16562" t="s">
        <v>30</v>
      </c>
      <c r="O16562" t="s">
        <v>31</v>
      </c>
      <c r="P16562" t="str">
        <f>"15233"</f>
        <v>15233</v>
      </c>
    </row>
    <row r="16563" spans="1:16" x14ac:dyDescent="0.25">
      <c r="A16563" t="str">
        <f>"1250023A00111    00"</f>
        <v>1250023A00111    00</v>
      </c>
      <c r="B16563" t="s">
        <v>36219</v>
      </c>
      <c r="C16563" t="s">
        <v>36188</v>
      </c>
      <c r="D16563" t="s">
        <v>20</v>
      </c>
      <c r="E16563" t="s">
        <v>39</v>
      </c>
      <c r="F16563">
        <v>0</v>
      </c>
      <c r="G16563">
        <v>0</v>
      </c>
      <c r="H16563">
        <v>14</v>
      </c>
      <c r="I16563" s="3">
        <v>304.8</v>
      </c>
      <c r="J16563" s="3">
        <v>283.05</v>
      </c>
      <c r="P16563" t="str">
        <f>""</f>
        <v/>
      </c>
    </row>
    <row r="16564" spans="1:16" x14ac:dyDescent="0.25">
      <c r="A16564" t="str">
        <f>"1250023A00111A   00"</f>
        <v>1250023A00111A   00</v>
      </c>
      <c r="B16564" t="s">
        <v>36217</v>
      </c>
      <c r="C16564" t="s">
        <v>36206</v>
      </c>
      <c r="E16564" t="s">
        <v>39</v>
      </c>
      <c r="F16564">
        <v>0</v>
      </c>
      <c r="G16564">
        <v>0</v>
      </c>
      <c r="H16564">
        <v>15</v>
      </c>
      <c r="I16564" s="3">
        <v>6446.78</v>
      </c>
      <c r="J16564" s="3">
        <v>6219.46</v>
      </c>
      <c r="L16564">
        <v>1621</v>
      </c>
      <c r="M16564" t="s">
        <v>36218</v>
      </c>
      <c r="N16564" t="s">
        <v>30</v>
      </c>
      <c r="O16564" t="s">
        <v>31</v>
      </c>
      <c r="P16564" t="str">
        <f>"15233"</f>
        <v>15233</v>
      </c>
    </row>
    <row r="16565" spans="1:16" x14ac:dyDescent="0.25">
      <c r="A16565" t="str">
        <f>"1250023A00114    00"</f>
        <v>1250023A00114    00</v>
      </c>
      <c r="B16565" t="s">
        <v>36220</v>
      </c>
      <c r="C16565" t="s">
        <v>36188</v>
      </c>
      <c r="D16565" t="s">
        <v>20</v>
      </c>
      <c r="E16565" t="s">
        <v>39</v>
      </c>
      <c r="F16565">
        <v>0</v>
      </c>
      <c r="G16565">
        <v>0</v>
      </c>
      <c r="H16565">
        <v>19</v>
      </c>
      <c r="I16565" s="3">
        <v>951.56</v>
      </c>
      <c r="J16565" s="3">
        <v>930.41</v>
      </c>
      <c r="L16565">
        <v>820</v>
      </c>
      <c r="M16565" t="s">
        <v>34756</v>
      </c>
      <c r="N16565" t="s">
        <v>30</v>
      </c>
      <c r="O16565" t="s">
        <v>31</v>
      </c>
      <c r="P16565" t="str">
        <f>"15212"</f>
        <v>15212</v>
      </c>
    </row>
    <row r="16566" spans="1:16" x14ac:dyDescent="0.25">
      <c r="A16566" t="str">
        <f>"1250023A00114A   00"</f>
        <v>1250023A00114A   00</v>
      </c>
      <c r="B16566" t="s">
        <v>36220</v>
      </c>
      <c r="C16566" t="s">
        <v>36188</v>
      </c>
      <c r="D16566" t="s">
        <v>20</v>
      </c>
      <c r="E16566" t="s">
        <v>39</v>
      </c>
      <c r="F16566">
        <v>0</v>
      </c>
      <c r="G16566">
        <v>0</v>
      </c>
      <c r="H16566">
        <v>19</v>
      </c>
      <c r="I16566" s="3">
        <v>995.46</v>
      </c>
      <c r="J16566" s="3">
        <v>953.59</v>
      </c>
      <c r="K16566" t="s">
        <v>1008</v>
      </c>
      <c r="P16566" t="str">
        <f>""</f>
        <v/>
      </c>
    </row>
    <row r="16567" spans="1:16" x14ac:dyDescent="0.25">
      <c r="A16567" t="str">
        <f>"1250023A00117    00"</f>
        <v>1250023A00117    00</v>
      </c>
      <c r="B16567" t="s">
        <v>36221</v>
      </c>
      <c r="C16567" t="s">
        <v>36222</v>
      </c>
      <c r="D16567" t="s">
        <v>20</v>
      </c>
      <c r="E16567" t="s">
        <v>39</v>
      </c>
      <c r="F16567">
        <v>0</v>
      </c>
      <c r="G16567">
        <v>0</v>
      </c>
      <c r="H16567">
        <v>2</v>
      </c>
      <c r="I16567" s="3">
        <v>607.57000000000005</v>
      </c>
      <c r="J16567" s="3">
        <v>0</v>
      </c>
      <c r="L16567">
        <v>68</v>
      </c>
      <c r="M16567" t="s">
        <v>36223</v>
      </c>
      <c r="N16567" t="s">
        <v>30</v>
      </c>
      <c r="O16567" t="s">
        <v>31</v>
      </c>
      <c r="P16567" t="str">
        <f>"15229"</f>
        <v>15229</v>
      </c>
    </row>
    <row r="16568" spans="1:16" x14ac:dyDescent="0.25">
      <c r="A16568" t="str">
        <f>"1250023A00118    00"</f>
        <v>1250023A00118    00</v>
      </c>
      <c r="B16568" t="s">
        <v>36224</v>
      </c>
      <c r="C16568" t="s">
        <v>36225</v>
      </c>
      <c r="D16568" t="s">
        <v>20</v>
      </c>
      <c r="E16568" t="s">
        <v>39</v>
      </c>
      <c r="F16568">
        <v>0</v>
      </c>
      <c r="G16568">
        <v>0</v>
      </c>
      <c r="H16568">
        <v>19</v>
      </c>
      <c r="I16568" s="3">
        <v>11430.61</v>
      </c>
      <c r="J16568" s="3">
        <v>12080.96</v>
      </c>
      <c r="L16568">
        <v>118</v>
      </c>
      <c r="M16568" t="s">
        <v>32212</v>
      </c>
      <c r="N16568" t="s">
        <v>30</v>
      </c>
      <c r="O16568" t="s">
        <v>31</v>
      </c>
      <c r="P16568" t="str">
        <f>"15204"</f>
        <v>15204</v>
      </c>
    </row>
    <row r="16569" spans="1:16" x14ac:dyDescent="0.25">
      <c r="A16569" t="str">
        <f>"1250023A00119    00"</f>
        <v>1250023A00119    00</v>
      </c>
      <c r="B16569" t="s">
        <v>36226</v>
      </c>
      <c r="C16569" t="s">
        <v>36206</v>
      </c>
      <c r="D16569" t="s">
        <v>20</v>
      </c>
      <c r="E16569" t="s">
        <v>39</v>
      </c>
      <c r="F16569">
        <v>0</v>
      </c>
      <c r="G16569">
        <v>0</v>
      </c>
      <c r="H16569">
        <v>17</v>
      </c>
      <c r="I16569" s="3">
        <v>8989.0400000000009</v>
      </c>
      <c r="J16569" s="3">
        <v>8515.1299999999992</v>
      </c>
      <c r="L16569">
        <v>2552</v>
      </c>
      <c r="M16569" t="s">
        <v>20337</v>
      </c>
      <c r="N16569" t="s">
        <v>30</v>
      </c>
      <c r="O16569" t="s">
        <v>31</v>
      </c>
      <c r="P16569" t="str">
        <f>"15214"</f>
        <v>15214</v>
      </c>
    </row>
    <row r="16570" spans="1:16" x14ac:dyDescent="0.25">
      <c r="A16570" t="str">
        <f>"1250023A00125    00"</f>
        <v>1250023A00125    00</v>
      </c>
      <c r="B16570" t="s">
        <v>36227</v>
      </c>
      <c r="C16570" t="s">
        <v>36228</v>
      </c>
      <c r="D16570" t="s">
        <v>20</v>
      </c>
      <c r="E16570" t="s">
        <v>39</v>
      </c>
      <c r="F16570">
        <v>0</v>
      </c>
      <c r="G16570">
        <v>0</v>
      </c>
      <c r="H16570">
        <v>5</v>
      </c>
      <c r="I16570" s="3">
        <v>983.92</v>
      </c>
      <c r="J16570" s="3">
        <v>161.83000000000001</v>
      </c>
      <c r="L16570">
        <v>3766</v>
      </c>
      <c r="M16570" t="s">
        <v>6611</v>
      </c>
      <c r="N16570" t="s">
        <v>30</v>
      </c>
      <c r="O16570" t="s">
        <v>31</v>
      </c>
      <c r="P16570" t="str">
        <f>"15238"</f>
        <v>15238</v>
      </c>
    </row>
    <row r="16571" spans="1:16" x14ac:dyDescent="0.25">
      <c r="A16571" t="str">
        <f>"1250023A00126    00"</f>
        <v>1250023A00126    00</v>
      </c>
      <c r="B16571" t="s">
        <v>36229</v>
      </c>
      <c r="C16571" t="s">
        <v>36230</v>
      </c>
      <c r="D16571" t="s">
        <v>20</v>
      </c>
      <c r="E16571" t="s">
        <v>39</v>
      </c>
      <c r="F16571">
        <v>0</v>
      </c>
      <c r="G16571">
        <v>0</v>
      </c>
      <c r="H16571">
        <v>5</v>
      </c>
      <c r="I16571" s="3">
        <v>3216.63</v>
      </c>
      <c r="J16571" s="3">
        <v>392.09</v>
      </c>
      <c r="K16571" t="s">
        <v>36231</v>
      </c>
      <c r="L16571">
        <v>520</v>
      </c>
      <c r="M16571" t="s">
        <v>36207</v>
      </c>
      <c r="N16571" t="s">
        <v>30</v>
      </c>
      <c r="O16571" t="s">
        <v>31</v>
      </c>
      <c r="P16571" t="str">
        <f>"15214"</f>
        <v>15214</v>
      </c>
    </row>
    <row r="16572" spans="1:16" x14ac:dyDescent="0.25">
      <c r="A16572" t="str">
        <f>"1250023A00127    00"</f>
        <v>1250023A00127    00</v>
      </c>
      <c r="B16572" t="s">
        <v>36232</v>
      </c>
      <c r="C16572" t="s">
        <v>36206</v>
      </c>
      <c r="D16572" t="s">
        <v>20</v>
      </c>
      <c r="E16572" t="s">
        <v>39</v>
      </c>
      <c r="F16572">
        <v>0</v>
      </c>
      <c r="G16572">
        <v>0</v>
      </c>
      <c r="H16572">
        <v>19</v>
      </c>
      <c r="I16572" s="3">
        <v>7457.57</v>
      </c>
      <c r="J16572" s="3">
        <v>10784.56</v>
      </c>
      <c r="L16572">
        <v>651</v>
      </c>
      <c r="M16572" t="s">
        <v>36233</v>
      </c>
      <c r="N16572" t="s">
        <v>30</v>
      </c>
      <c r="O16572" t="s">
        <v>31</v>
      </c>
      <c r="P16572" t="str">
        <f>"15220"</f>
        <v>15220</v>
      </c>
    </row>
    <row r="16573" spans="1:16" x14ac:dyDescent="0.25">
      <c r="A16573" t="str">
        <f>"1250023A00128    00"</f>
        <v>1250023A00128    00</v>
      </c>
      <c r="B16573" t="s">
        <v>36234</v>
      </c>
      <c r="C16573" t="s">
        <v>36206</v>
      </c>
      <c r="D16573" t="s">
        <v>20</v>
      </c>
      <c r="E16573" t="s">
        <v>39</v>
      </c>
      <c r="F16573">
        <v>0</v>
      </c>
      <c r="G16573">
        <v>0</v>
      </c>
      <c r="H16573">
        <v>19</v>
      </c>
      <c r="I16573" s="3">
        <v>1483.86</v>
      </c>
      <c r="J16573" s="3">
        <v>1256.8399999999999</v>
      </c>
      <c r="L16573">
        <v>3042</v>
      </c>
      <c r="M16573" t="s">
        <v>16891</v>
      </c>
      <c r="N16573" t="s">
        <v>30</v>
      </c>
      <c r="O16573" t="s">
        <v>31</v>
      </c>
      <c r="P16573" t="str">
        <f>"15204"</f>
        <v>15204</v>
      </c>
    </row>
    <row r="16574" spans="1:16" x14ac:dyDescent="0.25">
      <c r="A16574" t="str">
        <f>"1250023A00129    00"</f>
        <v>1250023A00129    00</v>
      </c>
      <c r="B16574" t="s">
        <v>36205</v>
      </c>
      <c r="C16574" t="s">
        <v>36235</v>
      </c>
      <c r="E16574" t="s">
        <v>39</v>
      </c>
      <c r="F16574">
        <v>0</v>
      </c>
      <c r="G16574">
        <v>0</v>
      </c>
      <c r="H16574">
        <v>10</v>
      </c>
      <c r="I16574" s="3">
        <v>8886.43</v>
      </c>
      <c r="J16574" s="3">
        <v>10779.75</v>
      </c>
      <c r="L16574">
        <v>508</v>
      </c>
      <c r="M16574" t="s">
        <v>36207</v>
      </c>
      <c r="N16574" t="s">
        <v>30</v>
      </c>
      <c r="O16574" t="s">
        <v>31</v>
      </c>
      <c r="P16574" t="str">
        <f>"15214"</f>
        <v>15214</v>
      </c>
    </row>
    <row r="16575" spans="1:16" x14ac:dyDescent="0.25">
      <c r="A16575" t="str">
        <f>"1250023A00132    00"</f>
        <v>1250023A00132    00</v>
      </c>
      <c r="B16575" t="s">
        <v>13224</v>
      </c>
      <c r="C16575" t="s">
        <v>36206</v>
      </c>
      <c r="D16575" t="s">
        <v>20</v>
      </c>
      <c r="E16575" t="s">
        <v>39</v>
      </c>
      <c r="F16575">
        <v>0</v>
      </c>
      <c r="G16575">
        <v>0</v>
      </c>
      <c r="H16575">
        <v>18</v>
      </c>
      <c r="I16575" s="3">
        <v>2309.12</v>
      </c>
      <c r="J16575" s="3">
        <v>2944.71</v>
      </c>
      <c r="L16575">
        <v>9700</v>
      </c>
      <c r="M16575" t="s">
        <v>36236</v>
      </c>
      <c r="N16575" t="s">
        <v>3262</v>
      </c>
      <c r="O16575" t="s">
        <v>3263</v>
      </c>
      <c r="P16575" t="str">
        <f>"97219"</f>
        <v>97219</v>
      </c>
    </row>
    <row r="16576" spans="1:16" x14ac:dyDescent="0.25">
      <c r="A16576" t="str">
        <f>"1250023A00133    00"</f>
        <v>1250023A00133    00</v>
      </c>
      <c r="B16576" t="s">
        <v>36237</v>
      </c>
      <c r="C16576" t="s">
        <v>36206</v>
      </c>
      <c r="D16576" t="s">
        <v>20</v>
      </c>
      <c r="E16576" t="s">
        <v>39</v>
      </c>
      <c r="F16576">
        <v>0</v>
      </c>
      <c r="G16576">
        <v>0</v>
      </c>
      <c r="H16576">
        <v>18</v>
      </c>
      <c r="I16576" s="3">
        <v>4949.7299999999996</v>
      </c>
      <c r="J16576" s="3">
        <v>7254.65</v>
      </c>
      <c r="L16576">
        <v>517</v>
      </c>
      <c r="M16576" t="s">
        <v>36238</v>
      </c>
      <c r="N16576" t="s">
        <v>30</v>
      </c>
      <c r="O16576" t="s">
        <v>31</v>
      </c>
      <c r="P16576" t="str">
        <f>"15210"</f>
        <v>15210</v>
      </c>
    </row>
    <row r="16577" spans="1:16" x14ac:dyDescent="0.25">
      <c r="A16577" t="str">
        <f>"1250023A00134    00"</f>
        <v>1250023A00134    00</v>
      </c>
      <c r="B16577" t="s">
        <v>36239</v>
      </c>
      <c r="C16577" t="s">
        <v>36240</v>
      </c>
      <c r="E16577" t="s">
        <v>39</v>
      </c>
      <c r="F16577">
        <v>0</v>
      </c>
      <c r="G16577">
        <v>0</v>
      </c>
      <c r="H16577">
        <v>7</v>
      </c>
      <c r="I16577" s="3">
        <v>2338.77</v>
      </c>
      <c r="J16577" s="3">
        <v>3814.31</v>
      </c>
      <c r="L16577">
        <v>502</v>
      </c>
      <c r="M16577" t="s">
        <v>36207</v>
      </c>
      <c r="N16577" t="s">
        <v>30</v>
      </c>
      <c r="O16577" t="s">
        <v>31</v>
      </c>
      <c r="P16577" t="str">
        <f>"15214"</f>
        <v>15214</v>
      </c>
    </row>
    <row r="16578" spans="1:16" x14ac:dyDescent="0.25">
      <c r="A16578" t="str">
        <f>"1250023A00143    00"</f>
        <v>1250023A00143    00</v>
      </c>
      <c r="B16578" t="s">
        <v>36241</v>
      </c>
      <c r="C16578" t="s">
        <v>36242</v>
      </c>
      <c r="D16578" t="s">
        <v>20</v>
      </c>
      <c r="E16578" t="s">
        <v>39</v>
      </c>
      <c r="F16578">
        <v>0</v>
      </c>
      <c r="G16578">
        <v>0</v>
      </c>
      <c r="H16578">
        <v>8</v>
      </c>
      <c r="I16578" s="3">
        <v>1055.5</v>
      </c>
      <c r="J16578" s="3">
        <v>345.4</v>
      </c>
      <c r="K16578" t="s">
        <v>36176</v>
      </c>
      <c r="L16578">
        <v>606</v>
      </c>
      <c r="M16578" t="s">
        <v>36177</v>
      </c>
      <c r="N16578" t="s">
        <v>30</v>
      </c>
      <c r="O16578" t="s">
        <v>31</v>
      </c>
      <c r="P16578" t="str">
        <f>"15214"</f>
        <v>15214</v>
      </c>
    </row>
    <row r="16579" spans="1:16" x14ac:dyDescent="0.25">
      <c r="A16579" t="str">
        <f>"1250023A00144    00"</f>
        <v>1250023A00144    00</v>
      </c>
      <c r="B16579" t="s">
        <v>36243</v>
      </c>
      <c r="C16579" t="s">
        <v>36244</v>
      </c>
      <c r="D16579" t="s">
        <v>20</v>
      </c>
      <c r="E16579" t="s">
        <v>39</v>
      </c>
      <c r="F16579">
        <v>0</v>
      </c>
      <c r="G16579">
        <v>0</v>
      </c>
      <c r="H16579">
        <v>8</v>
      </c>
      <c r="I16579" s="3">
        <v>5633.88</v>
      </c>
      <c r="J16579" s="3">
        <v>1843.48</v>
      </c>
      <c r="K16579" t="s">
        <v>36245</v>
      </c>
      <c r="L16579">
        <v>703</v>
      </c>
      <c r="M16579" t="s">
        <v>36246</v>
      </c>
      <c r="N16579" t="s">
        <v>36247</v>
      </c>
      <c r="O16579" t="s">
        <v>7695</v>
      </c>
      <c r="P16579" t="str">
        <f>"42127"</f>
        <v>42127</v>
      </c>
    </row>
    <row r="16580" spans="1:16" x14ac:dyDescent="0.25">
      <c r="A16580" t="str">
        <f>"1250023A00148    00"</f>
        <v>1250023A00148    00</v>
      </c>
      <c r="B16580" t="s">
        <v>36217</v>
      </c>
      <c r="C16580" t="s">
        <v>36206</v>
      </c>
      <c r="D16580" t="s">
        <v>57</v>
      </c>
      <c r="E16580" t="s">
        <v>39</v>
      </c>
      <c r="F16580">
        <v>0</v>
      </c>
      <c r="G16580">
        <v>0</v>
      </c>
      <c r="H16580">
        <v>1</v>
      </c>
      <c r="I16580" s="3">
        <v>103.53</v>
      </c>
      <c r="J16580" s="3">
        <v>0</v>
      </c>
      <c r="L16580">
        <v>1621</v>
      </c>
      <c r="M16580" t="s">
        <v>36218</v>
      </c>
      <c r="N16580" t="s">
        <v>30</v>
      </c>
      <c r="O16580" t="s">
        <v>31</v>
      </c>
      <c r="P16580" t="str">
        <f>"15233"</f>
        <v>15233</v>
      </c>
    </row>
    <row r="16581" spans="1:16" x14ac:dyDescent="0.25">
      <c r="A16581" t="str">
        <f>"1250023A00150    00"</f>
        <v>1250023A00150    00</v>
      </c>
      <c r="B16581" t="s">
        <v>36248</v>
      </c>
      <c r="C16581" t="s">
        <v>36249</v>
      </c>
      <c r="D16581" t="s">
        <v>20</v>
      </c>
      <c r="E16581" t="s">
        <v>39</v>
      </c>
      <c r="F16581">
        <v>0</v>
      </c>
      <c r="G16581">
        <v>0</v>
      </c>
      <c r="H16581">
        <v>1</v>
      </c>
      <c r="I16581" s="3">
        <v>274.02</v>
      </c>
      <c r="J16581" s="3">
        <v>0</v>
      </c>
      <c r="K16581" t="s">
        <v>400</v>
      </c>
      <c r="L16581">
        <v>3001</v>
      </c>
      <c r="M16581" t="s">
        <v>330</v>
      </c>
      <c r="N16581" t="s">
        <v>331</v>
      </c>
      <c r="O16581" t="s">
        <v>108</v>
      </c>
      <c r="P16581" t="str">
        <f>"75063"</f>
        <v>75063</v>
      </c>
    </row>
    <row r="16582" spans="1:16" x14ac:dyDescent="0.25">
      <c r="A16582" t="str">
        <f>"1250023A00151    00"</f>
        <v>1250023A00151    00</v>
      </c>
      <c r="B16582" t="s">
        <v>36217</v>
      </c>
      <c r="C16582" t="s">
        <v>36206</v>
      </c>
      <c r="D16582" t="s">
        <v>57</v>
      </c>
      <c r="E16582" t="s">
        <v>39</v>
      </c>
      <c r="F16582">
        <v>0</v>
      </c>
      <c r="G16582">
        <v>0</v>
      </c>
      <c r="H16582">
        <v>1</v>
      </c>
      <c r="I16582" s="3">
        <v>47.15</v>
      </c>
      <c r="J16582" s="3">
        <v>0</v>
      </c>
      <c r="L16582">
        <v>1621</v>
      </c>
      <c r="M16582" t="s">
        <v>36218</v>
      </c>
      <c r="N16582" t="s">
        <v>30</v>
      </c>
      <c r="O16582" t="s">
        <v>31</v>
      </c>
      <c r="P16582" t="str">
        <f>"15233"</f>
        <v>15233</v>
      </c>
    </row>
    <row r="16583" spans="1:16" x14ac:dyDescent="0.25">
      <c r="A16583" t="str">
        <f>"1250023A00154    00"</f>
        <v>1250023A00154    00</v>
      </c>
      <c r="B16583" t="s">
        <v>36217</v>
      </c>
      <c r="C16583" t="s">
        <v>36206</v>
      </c>
      <c r="E16583" t="s">
        <v>39</v>
      </c>
      <c r="F16583">
        <v>0</v>
      </c>
      <c r="G16583">
        <v>0</v>
      </c>
      <c r="H16583">
        <v>10</v>
      </c>
      <c r="I16583" s="3">
        <v>619.1</v>
      </c>
      <c r="J16583" s="3">
        <v>182.69</v>
      </c>
      <c r="L16583">
        <v>1621</v>
      </c>
      <c r="M16583" t="s">
        <v>33598</v>
      </c>
      <c r="N16583" t="s">
        <v>30</v>
      </c>
      <c r="O16583" t="s">
        <v>31</v>
      </c>
      <c r="P16583" t="str">
        <f>"15233"</f>
        <v>15233</v>
      </c>
    </row>
    <row r="16584" spans="1:16" x14ac:dyDescent="0.25">
      <c r="A16584" t="str">
        <f>"1250023A00155    00"</f>
        <v>1250023A00155    00</v>
      </c>
      <c r="B16584" t="s">
        <v>36217</v>
      </c>
      <c r="C16584" t="s">
        <v>36206</v>
      </c>
      <c r="D16584" t="s">
        <v>57</v>
      </c>
      <c r="E16584" t="s">
        <v>39</v>
      </c>
      <c r="F16584">
        <v>0</v>
      </c>
      <c r="G16584">
        <v>0</v>
      </c>
      <c r="H16584">
        <v>1</v>
      </c>
      <c r="I16584" s="3">
        <v>63.55</v>
      </c>
      <c r="J16584" s="3">
        <v>0</v>
      </c>
      <c r="L16584">
        <v>1621</v>
      </c>
      <c r="M16584" t="s">
        <v>36218</v>
      </c>
      <c r="N16584" t="s">
        <v>30</v>
      </c>
      <c r="O16584" t="s">
        <v>31</v>
      </c>
      <c r="P16584" t="str">
        <f>"15233"</f>
        <v>15233</v>
      </c>
    </row>
    <row r="16585" spans="1:16" x14ac:dyDescent="0.25">
      <c r="A16585" t="str">
        <f>"1250023A00156    00"</f>
        <v>1250023A00156    00</v>
      </c>
      <c r="B16585" t="s">
        <v>36250</v>
      </c>
      <c r="C16585" t="s">
        <v>36206</v>
      </c>
      <c r="D16585" t="s">
        <v>20</v>
      </c>
      <c r="E16585" t="s">
        <v>39</v>
      </c>
      <c r="F16585">
        <v>0</v>
      </c>
      <c r="G16585">
        <v>0</v>
      </c>
      <c r="H16585">
        <v>19</v>
      </c>
      <c r="I16585" s="3">
        <v>8442.56</v>
      </c>
      <c r="J16585" s="3">
        <v>10457.450000000001</v>
      </c>
      <c r="L16585">
        <v>14</v>
      </c>
      <c r="M16585" t="s">
        <v>36207</v>
      </c>
      <c r="N16585" t="s">
        <v>30</v>
      </c>
      <c r="O16585" t="s">
        <v>31</v>
      </c>
      <c r="P16585" t="str">
        <f>"15214"</f>
        <v>15214</v>
      </c>
    </row>
    <row r="16586" spans="1:16" x14ac:dyDescent="0.25">
      <c r="A16586" t="str">
        <f>"1250023A00157    00"</f>
        <v>1250023A00157    00</v>
      </c>
      <c r="B16586" t="s">
        <v>36251</v>
      </c>
      <c r="C16586" t="s">
        <v>36206</v>
      </c>
      <c r="D16586" t="s">
        <v>20</v>
      </c>
      <c r="E16586" t="s">
        <v>39</v>
      </c>
      <c r="F16586">
        <v>0</v>
      </c>
      <c r="G16586">
        <v>0</v>
      </c>
      <c r="H16586">
        <v>3</v>
      </c>
      <c r="I16586" s="3">
        <v>257.33999999999997</v>
      </c>
      <c r="J16586" s="3">
        <v>17.16</v>
      </c>
      <c r="L16586">
        <v>12</v>
      </c>
      <c r="M16586" t="s">
        <v>36207</v>
      </c>
      <c r="N16586" t="s">
        <v>30</v>
      </c>
      <c r="O16586" t="s">
        <v>31</v>
      </c>
      <c r="P16586" t="str">
        <f>"15214"</f>
        <v>15214</v>
      </c>
    </row>
    <row r="16587" spans="1:16" x14ac:dyDescent="0.25">
      <c r="A16587" t="str">
        <f>"1250023A00158    00"</f>
        <v>1250023A00158    00</v>
      </c>
      <c r="B16587" t="s">
        <v>36251</v>
      </c>
      <c r="C16587" t="s">
        <v>36252</v>
      </c>
      <c r="D16587" t="s">
        <v>20</v>
      </c>
      <c r="E16587" t="s">
        <v>39</v>
      </c>
      <c r="F16587">
        <v>0</v>
      </c>
      <c r="G16587">
        <v>0</v>
      </c>
      <c r="H16587">
        <v>3</v>
      </c>
      <c r="I16587" s="3">
        <v>456.07</v>
      </c>
      <c r="J16587" s="3">
        <v>32.71</v>
      </c>
      <c r="L16587">
        <v>12</v>
      </c>
      <c r="M16587" t="s">
        <v>36207</v>
      </c>
      <c r="N16587" t="s">
        <v>30</v>
      </c>
      <c r="O16587" t="s">
        <v>31</v>
      </c>
      <c r="P16587" t="str">
        <f>"15214"</f>
        <v>15214</v>
      </c>
    </row>
    <row r="16588" spans="1:16" x14ac:dyDescent="0.25">
      <c r="A16588" t="str">
        <f>"1250023A00159    00"</f>
        <v>1250023A00159    00</v>
      </c>
      <c r="B16588" t="s">
        <v>36251</v>
      </c>
      <c r="C16588" t="s">
        <v>36206</v>
      </c>
      <c r="D16588" t="s">
        <v>20</v>
      </c>
      <c r="E16588" t="s">
        <v>39</v>
      </c>
      <c r="F16588">
        <v>0</v>
      </c>
      <c r="G16588">
        <v>0</v>
      </c>
      <c r="H16588">
        <v>3</v>
      </c>
      <c r="I16588" s="3">
        <v>508.92</v>
      </c>
      <c r="J16588" s="3">
        <v>33.94</v>
      </c>
      <c r="L16588">
        <v>12</v>
      </c>
      <c r="M16588" t="s">
        <v>36207</v>
      </c>
      <c r="N16588" t="s">
        <v>30</v>
      </c>
      <c r="O16588" t="s">
        <v>31</v>
      </c>
      <c r="P16588" t="str">
        <f>"15214"</f>
        <v>15214</v>
      </c>
    </row>
    <row r="16589" spans="1:16" x14ac:dyDescent="0.25">
      <c r="A16589" t="str">
        <f>"1250023A00177    00"</f>
        <v>1250023A00177    00</v>
      </c>
      <c r="B16589" t="s">
        <v>36253</v>
      </c>
      <c r="C16589" t="s">
        <v>36254</v>
      </c>
      <c r="D16589" t="s">
        <v>20</v>
      </c>
      <c r="E16589" t="s">
        <v>21</v>
      </c>
      <c r="F16589">
        <v>0</v>
      </c>
      <c r="G16589">
        <v>0</v>
      </c>
      <c r="H16589">
        <v>2</v>
      </c>
      <c r="I16589" s="3">
        <v>1997.78</v>
      </c>
      <c r="J16589" s="3">
        <v>0</v>
      </c>
      <c r="K16589" t="s">
        <v>36255</v>
      </c>
      <c r="L16589">
        <v>785</v>
      </c>
      <c r="M16589" t="s">
        <v>1066</v>
      </c>
      <c r="N16589" t="s">
        <v>1067</v>
      </c>
      <c r="O16589" t="s">
        <v>31</v>
      </c>
      <c r="P16589" t="str">
        <f>"15143"</f>
        <v>15143</v>
      </c>
    </row>
    <row r="16590" spans="1:16" x14ac:dyDescent="0.25">
      <c r="A16590" t="str">
        <f>"1250023A00179A   00"</f>
        <v>1250023A00179A   00</v>
      </c>
      <c r="B16590" t="s">
        <v>36256</v>
      </c>
      <c r="C16590" t="s">
        <v>36257</v>
      </c>
      <c r="D16590" t="s">
        <v>20</v>
      </c>
      <c r="E16590" t="s">
        <v>39</v>
      </c>
      <c r="F16590">
        <v>0</v>
      </c>
      <c r="G16590">
        <v>0</v>
      </c>
      <c r="H16590">
        <v>19</v>
      </c>
      <c r="I16590" s="3">
        <v>5540.55</v>
      </c>
      <c r="J16590" s="3">
        <v>8073.34</v>
      </c>
      <c r="L16590">
        <v>1913</v>
      </c>
      <c r="M16590" t="s">
        <v>34518</v>
      </c>
      <c r="N16590" t="s">
        <v>30</v>
      </c>
      <c r="O16590" t="s">
        <v>31</v>
      </c>
      <c r="P16590" t="str">
        <f>"15214"</f>
        <v>15214</v>
      </c>
    </row>
    <row r="16591" spans="1:16" x14ac:dyDescent="0.25">
      <c r="A16591" t="str">
        <f>"1250023A00182    00"</f>
        <v>1250023A00182    00</v>
      </c>
      <c r="B16591" t="s">
        <v>34559</v>
      </c>
      <c r="C16591" t="s">
        <v>36258</v>
      </c>
      <c r="E16591" t="s">
        <v>39</v>
      </c>
      <c r="F16591">
        <v>0</v>
      </c>
      <c r="G16591">
        <v>0</v>
      </c>
      <c r="H16591">
        <v>1</v>
      </c>
      <c r="I16591" s="3">
        <v>883.56</v>
      </c>
      <c r="J16591" s="3">
        <v>0</v>
      </c>
      <c r="L16591">
        <v>1244</v>
      </c>
      <c r="M16591" t="s">
        <v>34562</v>
      </c>
      <c r="N16591" t="s">
        <v>30</v>
      </c>
      <c r="O16591" t="s">
        <v>31</v>
      </c>
      <c r="P16591" t="str">
        <f>"15212"</f>
        <v>15212</v>
      </c>
    </row>
    <row r="16592" spans="1:16" x14ac:dyDescent="0.25">
      <c r="A16592" t="str">
        <f>"1250023A00192    00"</f>
        <v>1250023A00192    00</v>
      </c>
      <c r="B16592" t="s">
        <v>36259</v>
      </c>
      <c r="C16592" t="s">
        <v>34522</v>
      </c>
      <c r="D16592" t="s">
        <v>20</v>
      </c>
      <c r="E16592" t="s">
        <v>39</v>
      </c>
      <c r="F16592">
        <v>0</v>
      </c>
      <c r="G16592">
        <v>0</v>
      </c>
      <c r="H16592">
        <v>2</v>
      </c>
      <c r="I16592" s="3">
        <v>358.64</v>
      </c>
      <c r="J16592" s="3">
        <v>0</v>
      </c>
      <c r="L16592">
        <v>2626</v>
      </c>
      <c r="M16592" t="s">
        <v>36260</v>
      </c>
      <c r="N16592" t="s">
        <v>30</v>
      </c>
      <c r="O16592" t="s">
        <v>31</v>
      </c>
      <c r="P16592" t="str">
        <f>"15203"</f>
        <v>15203</v>
      </c>
    </row>
    <row r="16593" spans="1:16" x14ac:dyDescent="0.25">
      <c r="A16593" t="str">
        <f>"1250023A00196    00"</f>
        <v>1250023A00196    00</v>
      </c>
      <c r="B16593" t="s">
        <v>36259</v>
      </c>
      <c r="C16593" t="s">
        <v>36261</v>
      </c>
      <c r="D16593" t="s">
        <v>20</v>
      </c>
      <c r="E16593" t="s">
        <v>39</v>
      </c>
      <c r="F16593">
        <v>0</v>
      </c>
      <c r="G16593">
        <v>0</v>
      </c>
      <c r="H16593">
        <v>2</v>
      </c>
      <c r="I16593" s="3">
        <v>3080.8</v>
      </c>
      <c r="J16593" s="3">
        <v>0</v>
      </c>
      <c r="L16593">
        <v>2626</v>
      </c>
      <c r="M16593" t="s">
        <v>36260</v>
      </c>
      <c r="N16593" t="s">
        <v>30</v>
      </c>
      <c r="O16593" t="s">
        <v>31</v>
      </c>
      <c r="P16593" t="str">
        <f>"15203"</f>
        <v>15203</v>
      </c>
    </row>
    <row r="16594" spans="1:16" x14ac:dyDescent="0.25">
      <c r="A16594" t="str">
        <f>"1250023A00213    00"</f>
        <v>1250023A00213    00</v>
      </c>
      <c r="B16594" t="s">
        <v>36259</v>
      </c>
      <c r="C16594" t="s">
        <v>36262</v>
      </c>
      <c r="D16594" t="s">
        <v>20</v>
      </c>
      <c r="E16594" t="s">
        <v>39</v>
      </c>
      <c r="F16594">
        <v>0</v>
      </c>
      <c r="G16594">
        <v>0</v>
      </c>
      <c r="H16594">
        <v>2</v>
      </c>
      <c r="I16594" s="3">
        <v>560.91999999999996</v>
      </c>
      <c r="J16594" s="3">
        <v>0</v>
      </c>
      <c r="L16594">
        <v>2626</v>
      </c>
      <c r="M16594" t="s">
        <v>36260</v>
      </c>
      <c r="N16594" t="s">
        <v>30</v>
      </c>
      <c r="O16594" t="s">
        <v>31</v>
      </c>
      <c r="P16594" t="str">
        <f>"15203"</f>
        <v>15203</v>
      </c>
    </row>
    <row r="16595" spans="1:16" x14ac:dyDescent="0.25">
      <c r="A16595" t="str">
        <f>"1250023A00214    00"</f>
        <v>1250023A00214    00</v>
      </c>
      <c r="B16595" t="s">
        <v>36263</v>
      </c>
      <c r="C16595" t="s">
        <v>36257</v>
      </c>
      <c r="E16595" t="s">
        <v>39</v>
      </c>
      <c r="F16595">
        <v>0</v>
      </c>
      <c r="G16595">
        <v>0</v>
      </c>
      <c r="H16595">
        <v>2</v>
      </c>
      <c r="I16595" s="3">
        <v>55.7</v>
      </c>
      <c r="J16595" s="3">
        <v>7.25</v>
      </c>
      <c r="K16595" t="s">
        <v>36264</v>
      </c>
      <c r="L16595">
        <v>123</v>
      </c>
      <c r="M16595" t="s">
        <v>36265</v>
      </c>
      <c r="N16595" t="s">
        <v>625</v>
      </c>
      <c r="O16595" t="s">
        <v>31</v>
      </c>
      <c r="P16595" t="str">
        <f>"15108"</f>
        <v>15108</v>
      </c>
    </row>
    <row r="16596" spans="1:16" x14ac:dyDescent="0.25">
      <c r="A16596" t="str">
        <f>"1250023A00217    00"</f>
        <v>1250023A00217    00</v>
      </c>
      <c r="B16596" t="s">
        <v>36259</v>
      </c>
      <c r="C16596" t="s">
        <v>36257</v>
      </c>
      <c r="D16596" t="s">
        <v>20</v>
      </c>
      <c r="E16596" t="s">
        <v>39</v>
      </c>
      <c r="F16596">
        <v>0</v>
      </c>
      <c r="G16596">
        <v>0</v>
      </c>
      <c r="H16596">
        <v>2</v>
      </c>
      <c r="I16596" s="3">
        <v>30.62</v>
      </c>
      <c r="J16596" s="3">
        <v>0</v>
      </c>
      <c r="L16596">
        <v>2626</v>
      </c>
      <c r="M16596" t="s">
        <v>36260</v>
      </c>
      <c r="N16596" t="s">
        <v>30</v>
      </c>
      <c r="O16596" t="s">
        <v>31</v>
      </c>
      <c r="P16596" t="str">
        <f>"15203"</f>
        <v>15203</v>
      </c>
    </row>
    <row r="16597" spans="1:16" x14ac:dyDescent="0.25">
      <c r="A16597" t="str">
        <f>"1250023A00222    00"</f>
        <v>1250023A00222    00</v>
      </c>
      <c r="B16597" t="s">
        <v>36266</v>
      </c>
      <c r="C16597" t="s">
        <v>36257</v>
      </c>
      <c r="E16597" t="s">
        <v>39</v>
      </c>
      <c r="F16597">
        <v>0</v>
      </c>
      <c r="G16597">
        <v>0</v>
      </c>
      <c r="H16597">
        <v>2</v>
      </c>
      <c r="I16597" s="3">
        <v>35.86</v>
      </c>
      <c r="J16597" s="3">
        <v>46.7</v>
      </c>
      <c r="L16597">
        <v>123</v>
      </c>
      <c r="M16597" t="s">
        <v>36265</v>
      </c>
      <c r="N16597" t="s">
        <v>625</v>
      </c>
      <c r="O16597" t="s">
        <v>31</v>
      </c>
      <c r="P16597" t="str">
        <f>"15108"</f>
        <v>15108</v>
      </c>
    </row>
    <row r="16598" spans="1:16" x14ac:dyDescent="0.25">
      <c r="A16598" t="str">
        <f>"1250023A00260    00"</f>
        <v>1250023A00260    00</v>
      </c>
      <c r="B16598" t="s">
        <v>36267</v>
      </c>
      <c r="C16598" t="s">
        <v>36257</v>
      </c>
      <c r="D16598" t="s">
        <v>20</v>
      </c>
      <c r="E16598" t="s">
        <v>39</v>
      </c>
      <c r="F16598">
        <v>0</v>
      </c>
      <c r="G16598">
        <v>0</v>
      </c>
      <c r="H16598">
        <v>1</v>
      </c>
      <c r="I16598" s="3">
        <v>26.68</v>
      </c>
      <c r="J16598" s="3">
        <v>0</v>
      </c>
      <c r="L16598">
        <v>1920</v>
      </c>
      <c r="M16598" t="s">
        <v>34518</v>
      </c>
      <c r="N16598" t="s">
        <v>30</v>
      </c>
      <c r="O16598" t="s">
        <v>31</v>
      </c>
      <c r="P16598" t="str">
        <f>"15214"</f>
        <v>15214</v>
      </c>
    </row>
    <row r="16599" spans="1:16" x14ac:dyDescent="0.25">
      <c r="A16599" t="str">
        <f>"1250023A00268    00"</f>
        <v>1250023A00268    00</v>
      </c>
      <c r="B16599" t="s">
        <v>36268</v>
      </c>
      <c r="C16599" t="s">
        <v>36257</v>
      </c>
      <c r="D16599" t="s">
        <v>20</v>
      </c>
      <c r="E16599" t="s">
        <v>39</v>
      </c>
      <c r="F16599">
        <v>0</v>
      </c>
      <c r="G16599">
        <v>0</v>
      </c>
      <c r="H16599">
        <v>19</v>
      </c>
      <c r="I16599" s="3">
        <v>11303.09</v>
      </c>
      <c r="J16599" s="3">
        <v>12021.09</v>
      </c>
      <c r="L16599">
        <v>1900</v>
      </c>
      <c r="M16599" t="s">
        <v>34518</v>
      </c>
      <c r="N16599" t="s">
        <v>30</v>
      </c>
      <c r="O16599" t="s">
        <v>31</v>
      </c>
      <c r="P16599" t="str">
        <f>"15214"</f>
        <v>15214</v>
      </c>
    </row>
    <row r="16600" spans="1:16" x14ac:dyDescent="0.25">
      <c r="A16600" t="str">
        <f>"1250023A00288    00"</f>
        <v>1250023A00288    00</v>
      </c>
      <c r="B16600" t="s">
        <v>36269</v>
      </c>
      <c r="C16600" t="s">
        <v>36270</v>
      </c>
      <c r="D16600" t="s">
        <v>20</v>
      </c>
      <c r="E16600" t="s">
        <v>39</v>
      </c>
      <c r="F16600">
        <v>0</v>
      </c>
      <c r="G16600">
        <v>0</v>
      </c>
      <c r="H16600">
        <v>4</v>
      </c>
      <c r="I16600" s="3">
        <v>1834.08</v>
      </c>
      <c r="J16600" s="3">
        <v>314.54000000000002</v>
      </c>
      <c r="L16600">
        <v>948</v>
      </c>
      <c r="M16600" t="s">
        <v>4860</v>
      </c>
      <c r="N16600" t="s">
        <v>30</v>
      </c>
      <c r="O16600" t="s">
        <v>31</v>
      </c>
      <c r="P16600" t="str">
        <f>"15233"</f>
        <v>15233</v>
      </c>
    </row>
    <row r="16601" spans="1:16" x14ac:dyDescent="0.25">
      <c r="A16601" t="str">
        <f>"1250023A00316    00"</f>
        <v>1250023A00316    00</v>
      </c>
      <c r="B16601" t="s">
        <v>36271</v>
      </c>
      <c r="C16601" t="s">
        <v>36257</v>
      </c>
      <c r="D16601" t="s">
        <v>20</v>
      </c>
      <c r="E16601" t="s">
        <v>39</v>
      </c>
      <c r="F16601">
        <v>0</v>
      </c>
      <c r="G16601">
        <v>0</v>
      </c>
      <c r="H16601">
        <v>1</v>
      </c>
      <c r="I16601" s="3">
        <v>106.74</v>
      </c>
      <c r="J16601" s="3">
        <v>0</v>
      </c>
      <c r="K16601" t="s">
        <v>36272</v>
      </c>
      <c r="L16601">
        <v>525</v>
      </c>
      <c r="M16601" t="s">
        <v>30695</v>
      </c>
      <c r="N16601" t="s">
        <v>30</v>
      </c>
      <c r="O16601" t="s">
        <v>31</v>
      </c>
      <c r="P16601" t="str">
        <f>"15201"</f>
        <v>15201</v>
      </c>
    </row>
    <row r="16602" spans="1:16" x14ac:dyDescent="0.25">
      <c r="A16602" t="str">
        <f>"1250023A00318    00"</f>
        <v>1250023A00318    00</v>
      </c>
      <c r="B16602" t="s">
        <v>36273</v>
      </c>
      <c r="C16602" t="s">
        <v>36257</v>
      </c>
      <c r="D16602" t="s">
        <v>20</v>
      </c>
      <c r="E16602" t="s">
        <v>39</v>
      </c>
      <c r="F16602">
        <v>0</v>
      </c>
      <c r="G16602">
        <v>0</v>
      </c>
      <c r="H16602">
        <v>19</v>
      </c>
      <c r="I16602" s="3">
        <v>1483.86</v>
      </c>
      <c r="J16602" s="3">
        <v>1256.8399999999999</v>
      </c>
      <c r="K16602" t="s">
        <v>1008</v>
      </c>
      <c r="P16602" t="str">
        <f>""</f>
        <v/>
      </c>
    </row>
    <row r="16603" spans="1:16" x14ac:dyDescent="0.25">
      <c r="A16603" t="str">
        <f>"1250023A00334    00"</f>
        <v>1250023A00334    00</v>
      </c>
      <c r="B16603" t="s">
        <v>36274</v>
      </c>
      <c r="C16603" t="s">
        <v>36275</v>
      </c>
      <c r="D16603" t="s">
        <v>20</v>
      </c>
      <c r="E16603" t="s">
        <v>39</v>
      </c>
      <c r="F16603">
        <v>0</v>
      </c>
      <c r="G16603">
        <v>0</v>
      </c>
      <c r="H16603">
        <v>3</v>
      </c>
      <c r="I16603" s="3">
        <v>1452.7</v>
      </c>
      <c r="J16603" s="3">
        <v>208.69</v>
      </c>
      <c r="L16603">
        <v>525</v>
      </c>
      <c r="M16603" t="s">
        <v>36276</v>
      </c>
      <c r="N16603" t="s">
        <v>30</v>
      </c>
      <c r="O16603" t="s">
        <v>31</v>
      </c>
      <c r="P16603" t="str">
        <f>"15214"</f>
        <v>15214</v>
      </c>
    </row>
    <row r="16604" spans="1:16" x14ac:dyDescent="0.25">
      <c r="A16604" t="str">
        <f>"1250023B00003010200"</f>
        <v>1250023B00003010200</v>
      </c>
      <c r="B16604" t="s">
        <v>36277</v>
      </c>
      <c r="C16604" t="s">
        <v>36278</v>
      </c>
      <c r="D16604" t="s">
        <v>20</v>
      </c>
      <c r="E16604" t="s">
        <v>39</v>
      </c>
      <c r="F16604">
        <v>0</v>
      </c>
      <c r="G16604">
        <v>0</v>
      </c>
      <c r="H16604">
        <v>5</v>
      </c>
      <c r="I16604" s="3">
        <v>7893.97</v>
      </c>
      <c r="J16604" s="3">
        <v>1363.79</v>
      </c>
      <c r="L16604">
        <v>323</v>
      </c>
      <c r="M16604" t="s">
        <v>36279</v>
      </c>
      <c r="N16604" t="s">
        <v>30</v>
      </c>
      <c r="O16604" t="s">
        <v>31</v>
      </c>
      <c r="P16604" t="str">
        <f>"15212"</f>
        <v>15212</v>
      </c>
    </row>
    <row r="16605" spans="1:16" x14ac:dyDescent="0.25">
      <c r="A16605" t="str">
        <f>"1250023B00050    00"</f>
        <v>1250023B00050    00</v>
      </c>
      <c r="B16605" t="s">
        <v>36280</v>
      </c>
      <c r="C16605" t="s">
        <v>36281</v>
      </c>
      <c r="D16605" t="s">
        <v>20</v>
      </c>
      <c r="E16605" t="s">
        <v>39</v>
      </c>
      <c r="F16605">
        <v>0</v>
      </c>
      <c r="G16605">
        <v>0</v>
      </c>
      <c r="H16605">
        <v>19</v>
      </c>
      <c r="I16605" s="3">
        <v>6517.12</v>
      </c>
      <c r="J16605" s="3">
        <v>5073.76</v>
      </c>
      <c r="L16605">
        <v>1901</v>
      </c>
      <c r="M16605" t="s">
        <v>36282</v>
      </c>
      <c r="N16605" t="s">
        <v>30</v>
      </c>
      <c r="O16605" t="s">
        <v>31</v>
      </c>
      <c r="P16605" t="str">
        <f>"15214"</f>
        <v>15214</v>
      </c>
    </row>
    <row r="16606" spans="1:16" x14ac:dyDescent="0.25">
      <c r="A16606" t="str">
        <f>"1250023B00051    00"</f>
        <v>1250023B00051    00</v>
      </c>
      <c r="B16606" t="s">
        <v>36283</v>
      </c>
      <c r="C16606" t="s">
        <v>36281</v>
      </c>
      <c r="D16606" t="s">
        <v>20</v>
      </c>
      <c r="E16606" t="s">
        <v>39</v>
      </c>
      <c r="F16606">
        <v>0</v>
      </c>
      <c r="G16606">
        <v>0</v>
      </c>
      <c r="H16606">
        <v>17</v>
      </c>
      <c r="I16606" s="3">
        <v>4633.6099999999997</v>
      </c>
      <c r="J16606" s="3">
        <v>2447.7199999999998</v>
      </c>
      <c r="L16606">
        <v>1903</v>
      </c>
      <c r="M16606" t="s">
        <v>36284</v>
      </c>
      <c r="N16606" t="s">
        <v>30</v>
      </c>
      <c r="O16606" t="s">
        <v>31</v>
      </c>
      <c r="P16606" t="str">
        <f>"15214"</f>
        <v>15214</v>
      </c>
    </row>
    <row r="16607" spans="1:16" x14ac:dyDescent="0.25">
      <c r="A16607" t="str">
        <f>"1250023B00054    00"</f>
        <v>1250023B00054    00</v>
      </c>
      <c r="B16607" t="s">
        <v>36285</v>
      </c>
      <c r="C16607" t="s">
        <v>36286</v>
      </c>
      <c r="D16607" t="s">
        <v>20</v>
      </c>
      <c r="E16607" t="s">
        <v>39</v>
      </c>
      <c r="F16607">
        <v>0</v>
      </c>
      <c r="G16607">
        <v>0</v>
      </c>
      <c r="H16607">
        <v>14</v>
      </c>
      <c r="I16607" s="3">
        <v>5029.7</v>
      </c>
      <c r="J16607" s="3">
        <v>2571.67</v>
      </c>
      <c r="K16607" t="s">
        <v>36287</v>
      </c>
      <c r="L16607">
        <v>227</v>
      </c>
      <c r="M16607" t="s">
        <v>13606</v>
      </c>
      <c r="N16607" t="s">
        <v>30</v>
      </c>
      <c r="O16607" t="s">
        <v>31</v>
      </c>
      <c r="P16607" t="str">
        <f>"15235"</f>
        <v>15235</v>
      </c>
    </row>
    <row r="16608" spans="1:16" x14ac:dyDescent="0.25">
      <c r="A16608" t="str">
        <f>"1250023B00057    00"</f>
        <v>1250023B00057    00</v>
      </c>
      <c r="B16608" t="s">
        <v>36288</v>
      </c>
      <c r="C16608" t="s">
        <v>36289</v>
      </c>
      <c r="D16608" t="s">
        <v>20</v>
      </c>
      <c r="E16608" t="s">
        <v>39</v>
      </c>
      <c r="F16608">
        <v>0</v>
      </c>
      <c r="G16608">
        <v>0</v>
      </c>
      <c r="H16608">
        <v>7</v>
      </c>
      <c r="I16608" s="3">
        <v>4150.03</v>
      </c>
      <c r="J16608" s="3">
        <v>1147.5899999999999</v>
      </c>
      <c r="L16608">
        <v>4907</v>
      </c>
      <c r="M16608" t="s">
        <v>36290</v>
      </c>
      <c r="N16608" t="s">
        <v>30</v>
      </c>
      <c r="O16608" t="s">
        <v>31</v>
      </c>
      <c r="P16608" t="str">
        <f>"15227"</f>
        <v>15227</v>
      </c>
    </row>
    <row r="16609" spans="1:16" x14ac:dyDescent="0.25">
      <c r="A16609" t="str">
        <f>"1250023B00059    00"</f>
        <v>1250023B00059    00</v>
      </c>
      <c r="B16609" t="s">
        <v>36291</v>
      </c>
      <c r="C16609" t="s">
        <v>36281</v>
      </c>
      <c r="D16609" t="s">
        <v>20</v>
      </c>
      <c r="E16609" t="s">
        <v>39</v>
      </c>
      <c r="F16609">
        <v>0</v>
      </c>
      <c r="G16609">
        <v>0</v>
      </c>
      <c r="H16609">
        <v>19</v>
      </c>
      <c r="I16609" s="3">
        <v>6163.57</v>
      </c>
      <c r="J16609" s="3">
        <v>3445.09</v>
      </c>
      <c r="K16609" t="s">
        <v>1037</v>
      </c>
      <c r="L16609">
        <v>938</v>
      </c>
      <c r="M16609" t="s">
        <v>5564</v>
      </c>
      <c r="N16609" t="s">
        <v>30</v>
      </c>
      <c r="O16609" t="s">
        <v>31</v>
      </c>
      <c r="P16609" t="str">
        <f>"15232"</f>
        <v>15232</v>
      </c>
    </row>
    <row r="16610" spans="1:16" x14ac:dyDescent="0.25">
      <c r="A16610" t="str">
        <f>"1250023B00062    00"</f>
        <v>1250023B00062    00</v>
      </c>
      <c r="B16610" t="s">
        <v>36292</v>
      </c>
      <c r="C16610" t="s">
        <v>36281</v>
      </c>
      <c r="D16610" t="s">
        <v>20</v>
      </c>
      <c r="E16610" t="s">
        <v>39</v>
      </c>
      <c r="F16610">
        <v>0</v>
      </c>
      <c r="G16610">
        <v>0</v>
      </c>
      <c r="H16610">
        <v>17</v>
      </c>
      <c r="I16610" s="3">
        <v>1337.48</v>
      </c>
      <c r="J16610" s="3">
        <v>1500.35</v>
      </c>
      <c r="L16610">
        <v>914</v>
      </c>
      <c r="M16610" t="s">
        <v>32674</v>
      </c>
      <c r="N16610" t="s">
        <v>30</v>
      </c>
      <c r="O16610" t="s">
        <v>31</v>
      </c>
      <c r="P16610" t="str">
        <f>"15214"</f>
        <v>15214</v>
      </c>
    </row>
    <row r="16611" spans="1:16" x14ac:dyDescent="0.25">
      <c r="A16611" t="str">
        <f>"1250023B00063    00"</f>
        <v>1250023B00063    00</v>
      </c>
      <c r="B16611" t="s">
        <v>36293</v>
      </c>
      <c r="C16611" t="s">
        <v>36281</v>
      </c>
      <c r="D16611" t="s">
        <v>20</v>
      </c>
      <c r="E16611" t="s">
        <v>39</v>
      </c>
      <c r="F16611">
        <v>0</v>
      </c>
      <c r="G16611">
        <v>0</v>
      </c>
      <c r="H16611">
        <v>19</v>
      </c>
      <c r="I16611" s="3">
        <v>2010.76</v>
      </c>
      <c r="J16611" s="3">
        <v>1689.24</v>
      </c>
      <c r="K16611" t="s">
        <v>36294</v>
      </c>
      <c r="L16611">
        <v>1916</v>
      </c>
      <c r="M16611" t="s">
        <v>36282</v>
      </c>
      <c r="N16611" t="s">
        <v>30</v>
      </c>
      <c r="O16611" t="s">
        <v>31</v>
      </c>
      <c r="P16611" t="str">
        <f>"15214"</f>
        <v>15214</v>
      </c>
    </row>
    <row r="16612" spans="1:16" x14ac:dyDescent="0.25">
      <c r="A16612" t="str">
        <f>"1250023B00064    00"</f>
        <v>1250023B00064    00</v>
      </c>
      <c r="B16612" t="s">
        <v>36295</v>
      </c>
      <c r="C16612" t="s">
        <v>36281</v>
      </c>
      <c r="D16612" t="s">
        <v>20</v>
      </c>
      <c r="E16612" t="s">
        <v>39</v>
      </c>
      <c r="F16612">
        <v>0</v>
      </c>
      <c r="G16612">
        <v>0</v>
      </c>
      <c r="H16612">
        <v>19</v>
      </c>
      <c r="I16612" s="3">
        <v>1813.54</v>
      </c>
      <c r="J16612" s="3">
        <v>1405.1</v>
      </c>
      <c r="L16612">
        <v>1916</v>
      </c>
      <c r="M16612" t="s">
        <v>36282</v>
      </c>
      <c r="N16612" t="s">
        <v>30</v>
      </c>
      <c r="O16612" t="s">
        <v>31</v>
      </c>
      <c r="P16612" t="str">
        <f>"15214"</f>
        <v>15214</v>
      </c>
    </row>
    <row r="16613" spans="1:16" x14ac:dyDescent="0.25">
      <c r="A16613" t="str">
        <f>"1250023B00065    00"</f>
        <v>1250023B00065    00</v>
      </c>
      <c r="B16613" t="s">
        <v>36296</v>
      </c>
      <c r="C16613" t="s">
        <v>36297</v>
      </c>
      <c r="D16613" t="s">
        <v>20</v>
      </c>
      <c r="E16613" t="s">
        <v>39</v>
      </c>
      <c r="F16613">
        <v>0</v>
      </c>
      <c r="G16613">
        <v>0</v>
      </c>
      <c r="H16613">
        <v>19</v>
      </c>
      <c r="I16613" s="3">
        <v>11433.46</v>
      </c>
      <c r="J16613" s="3">
        <v>9980.2099999999991</v>
      </c>
      <c r="K16613" t="s">
        <v>36298</v>
      </c>
      <c r="L16613">
        <v>319</v>
      </c>
      <c r="M16613" t="s">
        <v>3307</v>
      </c>
      <c r="N16613" t="s">
        <v>12899</v>
      </c>
      <c r="O16613" t="s">
        <v>31</v>
      </c>
      <c r="P16613" t="str">
        <f>"15148"</f>
        <v>15148</v>
      </c>
    </row>
    <row r="16614" spans="1:16" x14ac:dyDescent="0.25">
      <c r="A16614" t="str">
        <f>"1250023B00067    00"</f>
        <v>1250023B00067    00</v>
      </c>
      <c r="B16614" t="s">
        <v>36299</v>
      </c>
      <c r="C16614" t="s">
        <v>36300</v>
      </c>
      <c r="D16614" t="s">
        <v>20</v>
      </c>
      <c r="E16614" t="s">
        <v>39</v>
      </c>
      <c r="F16614">
        <v>0</v>
      </c>
      <c r="G16614">
        <v>0</v>
      </c>
      <c r="H16614">
        <v>2</v>
      </c>
      <c r="I16614" s="3">
        <v>260.77999999999997</v>
      </c>
      <c r="J16614" s="3">
        <v>0</v>
      </c>
      <c r="L16614">
        <v>1908</v>
      </c>
      <c r="M16614" t="s">
        <v>36282</v>
      </c>
      <c r="N16614" t="s">
        <v>30</v>
      </c>
      <c r="O16614" t="s">
        <v>31</v>
      </c>
      <c r="P16614" t="str">
        <f>"15214"</f>
        <v>15214</v>
      </c>
    </row>
    <row r="16615" spans="1:16" x14ac:dyDescent="0.25">
      <c r="A16615" t="str">
        <f>"1250023B00068    00"</f>
        <v>1250023B00068    00</v>
      </c>
      <c r="B16615" t="s">
        <v>36301</v>
      </c>
      <c r="C16615" t="s">
        <v>36281</v>
      </c>
      <c r="D16615" t="s">
        <v>20</v>
      </c>
      <c r="E16615" t="s">
        <v>39</v>
      </c>
      <c r="F16615">
        <v>0</v>
      </c>
      <c r="G16615">
        <v>0</v>
      </c>
      <c r="H16615">
        <v>19</v>
      </c>
      <c r="I16615" s="3">
        <v>5687.8</v>
      </c>
      <c r="J16615" s="3">
        <v>3574.93</v>
      </c>
      <c r="L16615">
        <v>78</v>
      </c>
      <c r="M16615" t="s">
        <v>29147</v>
      </c>
      <c r="N16615" t="s">
        <v>30</v>
      </c>
      <c r="O16615" t="s">
        <v>31</v>
      </c>
      <c r="P16615" t="str">
        <f>"15202"</f>
        <v>15202</v>
      </c>
    </row>
    <row r="16616" spans="1:16" x14ac:dyDescent="0.25">
      <c r="A16616" t="str">
        <f>"1250023B00069    00"</f>
        <v>1250023B00069    00</v>
      </c>
      <c r="B16616" t="s">
        <v>36302</v>
      </c>
      <c r="C16616" t="s">
        <v>36281</v>
      </c>
      <c r="D16616" t="s">
        <v>20</v>
      </c>
      <c r="E16616" t="s">
        <v>39</v>
      </c>
      <c r="F16616">
        <v>0</v>
      </c>
      <c r="G16616">
        <v>0</v>
      </c>
      <c r="H16616">
        <v>19</v>
      </c>
      <c r="I16616" s="3">
        <v>6177.63</v>
      </c>
      <c r="J16616" s="3">
        <v>8552.56</v>
      </c>
      <c r="L16616">
        <v>743</v>
      </c>
      <c r="M16616" t="s">
        <v>36303</v>
      </c>
      <c r="N16616" t="s">
        <v>30</v>
      </c>
      <c r="O16616" t="s">
        <v>31</v>
      </c>
      <c r="P16616" t="str">
        <f>"15214"</f>
        <v>15214</v>
      </c>
    </row>
    <row r="16617" spans="1:16" x14ac:dyDescent="0.25">
      <c r="A16617" t="str">
        <f>"1250023B00089    00"</f>
        <v>1250023B00089    00</v>
      </c>
      <c r="B16617" t="s">
        <v>36304</v>
      </c>
      <c r="C16617" t="s">
        <v>36305</v>
      </c>
      <c r="D16617" t="s">
        <v>20</v>
      </c>
      <c r="E16617" t="s">
        <v>39</v>
      </c>
      <c r="F16617">
        <v>0</v>
      </c>
      <c r="G16617">
        <v>0</v>
      </c>
      <c r="H16617">
        <v>13</v>
      </c>
      <c r="I16617" s="3">
        <v>373.57</v>
      </c>
      <c r="J16617" s="3">
        <v>212.06</v>
      </c>
      <c r="K16617" t="s">
        <v>36306</v>
      </c>
      <c r="L16617">
        <v>1512</v>
      </c>
      <c r="M16617" t="s">
        <v>13728</v>
      </c>
      <c r="N16617" t="s">
        <v>30</v>
      </c>
      <c r="O16617" t="s">
        <v>31</v>
      </c>
      <c r="P16617" t="str">
        <f>"15212"</f>
        <v>15212</v>
      </c>
    </row>
    <row r="16618" spans="1:16" x14ac:dyDescent="0.25">
      <c r="A16618" t="str">
        <f>"1250023B00107    00"</f>
        <v>1250023B00107    00</v>
      </c>
      <c r="B16618" t="s">
        <v>36307</v>
      </c>
      <c r="C16618" t="s">
        <v>36270</v>
      </c>
      <c r="D16618" t="s">
        <v>20</v>
      </c>
      <c r="E16618" t="s">
        <v>39</v>
      </c>
      <c r="F16618">
        <v>0</v>
      </c>
      <c r="G16618">
        <v>0</v>
      </c>
      <c r="H16618">
        <v>14</v>
      </c>
      <c r="I16618" s="3">
        <v>5651.18</v>
      </c>
      <c r="J16618" s="3">
        <v>3000.56</v>
      </c>
      <c r="L16618">
        <v>1025</v>
      </c>
      <c r="M16618" t="s">
        <v>36308</v>
      </c>
      <c r="N16618" t="s">
        <v>3262</v>
      </c>
      <c r="O16618" t="s">
        <v>3263</v>
      </c>
      <c r="P16618" t="str">
        <f>"97209"</f>
        <v>97209</v>
      </c>
    </row>
    <row r="16619" spans="1:16" x14ac:dyDescent="0.25">
      <c r="A16619" t="str">
        <f>"1250023B00137    00"</f>
        <v>1250023B00137    00</v>
      </c>
      <c r="B16619" t="s">
        <v>36309</v>
      </c>
      <c r="C16619" t="s">
        <v>36310</v>
      </c>
      <c r="D16619" t="s">
        <v>20</v>
      </c>
      <c r="E16619" t="s">
        <v>39</v>
      </c>
      <c r="F16619">
        <v>0</v>
      </c>
      <c r="G16619">
        <v>0</v>
      </c>
      <c r="H16619">
        <v>1</v>
      </c>
      <c r="I16619" s="3">
        <v>5097.12</v>
      </c>
      <c r="J16619" s="3">
        <v>0</v>
      </c>
      <c r="L16619">
        <v>1844</v>
      </c>
      <c r="M16619" t="s">
        <v>36311</v>
      </c>
      <c r="N16619" t="s">
        <v>30</v>
      </c>
      <c r="O16619" t="s">
        <v>31</v>
      </c>
      <c r="P16619" t="str">
        <f>"15214"</f>
        <v>15214</v>
      </c>
    </row>
    <row r="16620" spans="1:16" x14ac:dyDescent="0.25">
      <c r="A16620" t="str">
        <f>"1250023B00172    00"</f>
        <v>1250023B00172    00</v>
      </c>
      <c r="B16620" t="s">
        <v>36312</v>
      </c>
      <c r="C16620" t="s">
        <v>36313</v>
      </c>
      <c r="E16620" t="s">
        <v>39</v>
      </c>
      <c r="F16620">
        <v>0</v>
      </c>
      <c r="G16620">
        <v>0</v>
      </c>
      <c r="H16620">
        <v>1</v>
      </c>
      <c r="I16620" s="3">
        <v>128.63</v>
      </c>
      <c r="J16620" s="3">
        <v>0</v>
      </c>
      <c r="L16620">
        <v>1821</v>
      </c>
      <c r="M16620" t="s">
        <v>32412</v>
      </c>
      <c r="N16620" t="s">
        <v>30</v>
      </c>
      <c r="O16620" t="s">
        <v>31</v>
      </c>
      <c r="P16620" t="str">
        <f>"15212"</f>
        <v>15212</v>
      </c>
    </row>
    <row r="16621" spans="1:16" x14ac:dyDescent="0.25">
      <c r="A16621" t="str">
        <f>"1250023B00201    00"</f>
        <v>1250023B00201    00</v>
      </c>
      <c r="B16621" t="s">
        <v>35162</v>
      </c>
      <c r="C16621" t="s">
        <v>36314</v>
      </c>
      <c r="E16621" t="s">
        <v>39</v>
      </c>
      <c r="F16621">
        <v>0</v>
      </c>
      <c r="G16621">
        <v>0</v>
      </c>
      <c r="H16621">
        <v>1</v>
      </c>
      <c r="I16621" s="3">
        <v>13.53</v>
      </c>
      <c r="J16621" s="3">
        <v>0</v>
      </c>
      <c r="K16621" t="s">
        <v>35164</v>
      </c>
      <c r="L16621">
        <v>402</v>
      </c>
      <c r="M16621" t="s">
        <v>36315</v>
      </c>
      <c r="N16621" t="s">
        <v>826</v>
      </c>
      <c r="O16621" t="s">
        <v>31</v>
      </c>
      <c r="P16621" t="str">
        <f>"15601"</f>
        <v>15601</v>
      </c>
    </row>
    <row r="16622" spans="1:16" x14ac:dyDescent="0.25">
      <c r="A16622" t="str">
        <f>"1250023B00202    00"</f>
        <v>1250023B00202    00</v>
      </c>
      <c r="B16622" t="s">
        <v>36316</v>
      </c>
      <c r="C16622" t="s">
        <v>36317</v>
      </c>
      <c r="D16622" t="s">
        <v>20</v>
      </c>
      <c r="E16622" t="s">
        <v>39</v>
      </c>
      <c r="F16622">
        <v>0</v>
      </c>
      <c r="G16622">
        <v>0</v>
      </c>
      <c r="H16622">
        <v>2</v>
      </c>
      <c r="I16622" s="3">
        <v>2851.38</v>
      </c>
      <c r="J16622" s="3">
        <v>0</v>
      </c>
      <c r="L16622">
        <v>1228</v>
      </c>
      <c r="M16622" t="s">
        <v>1695</v>
      </c>
      <c r="N16622" t="s">
        <v>1046</v>
      </c>
      <c r="O16622" t="s">
        <v>31</v>
      </c>
      <c r="P16622" t="str">
        <f>"15147"</f>
        <v>15147</v>
      </c>
    </row>
    <row r="16623" spans="1:16" x14ac:dyDescent="0.25">
      <c r="A16623" t="str">
        <f>"1250023B00213    00"</f>
        <v>1250023B00213    00</v>
      </c>
      <c r="B16623" t="s">
        <v>36318</v>
      </c>
      <c r="C16623" t="s">
        <v>36319</v>
      </c>
      <c r="E16623" t="s">
        <v>39</v>
      </c>
      <c r="F16623">
        <v>0</v>
      </c>
      <c r="G16623">
        <v>0</v>
      </c>
      <c r="H16623">
        <v>2</v>
      </c>
      <c r="I16623" s="3">
        <v>3884.44</v>
      </c>
      <c r="J16623" s="3">
        <v>48.55</v>
      </c>
      <c r="K16623" t="s">
        <v>484</v>
      </c>
      <c r="L16623">
        <v>3001</v>
      </c>
      <c r="M16623" t="s">
        <v>330</v>
      </c>
      <c r="N16623" t="s">
        <v>331</v>
      </c>
      <c r="O16623" t="s">
        <v>108</v>
      </c>
      <c r="P16623" t="str">
        <f>"75063"</f>
        <v>75063</v>
      </c>
    </row>
    <row r="16624" spans="1:16" x14ac:dyDescent="0.25">
      <c r="A16624" t="str">
        <f>"1250023C00001    00"</f>
        <v>1250023C00001    00</v>
      </c>
      <c r="B16624" t="s">
        <v>36320</v>
      </c>
      <c r="C16624" t="s">
        <v>36321</v>
      </c>
      <c r="D16624" t="s">
        <v>20</v>
      </c>
      <c r="E16624" t="s">
        <v>39</v>
      </c>
      <c r="F16624">
        <v>0</v>
      </c>
      <c r="G16624">
        <v>0</v>
      </c>
      <c r="H16624">
        <v>19</v>
      </c>
      <c r="I16624" s="3">
        <v>15038.7</v>
      </c>
      <c r="J16624" s="3">
        <v>18998.37</v>
      </c>
      <c r="L16624">
        <v>609</v>
      </c>
      <c r="M16624" t="s">
        <v>35018</v>
      </c>
      <c r="N16624" t="s">
        <v>30</v>
      </c>
      <c r="O16624" t="s">
        <v>31</v>
      </c>
      <c r="P16624" t="str">
        <f>"15212"</f>
        <v>15212</v>
      </c>
    </row>
    <row r="16625" spans="1:16" x14ac:dyDescent="0.25">
      <c r="A16625" t="str">
        <f>"1250023C00075    00"</f>
        <v>1250023C00075    00</v>
      </c>
      <c r="B16625" t="s">
        <v>36322</v>
      </c>
      <c r="C16625" t="s">
        <v>36323</v>
      </c>
      <c r="D16625" t="s">
        <v>20</v>
      </c>
      <c r="E16625" t="s">
        <v>39</v>
      </c>
      <c r="F16625">
        <v>0</v>
      </c>
      <c r="G16625">
        <v>0</v>
      </c>
      <c r="H16625">
        <v>3</v>
      </c>
      <c r="I16625" s="3">
        <v>297.83</v>
      </c>
      <c r="J16625" s="3">
        <v>0</v>
      </c>
      <c r="L16625">
        <v>1625</v>
      </c>
      <c r="M16625" t="s">
        <v>31848</v>
      </c>
      <c r="N16625" t="s">
        <v>30</v>
      </c>
      <c r="O16625" t="s">
        <v>31</v>
      </c>
      <c r="P16625" t="str">
        <f>"15214"</f>
        <v>15214</v>
      </c>
    </row>
    <row r="16626" spans="1:16" x14ac:dyDescent="0.25">
      <c r="A16626" t="str">
        <f>"1250023C00076    00"</f>
        <v>1250023C00076    00</v>
      </c>
      <c r="B16626" t="s">
        <v>36324</v>
      </c>
      <c r="C16626" t="s">
        <v>36325</v>
      </c>
      <c r="D16626" t="s">
        <v>20</v>
      </c>
      <c r="E16626" t="s">
        <v>39</v>
      </c>
      <c r="F16626">
        <v>0</v>
      </c>
      <c r="G16626">
        <v>0</v>
      </c>
      <c r="H16626">
        <v>3</v>
      </c>
      <c r="I16626" s="3">
        <v>2085.21</v>
      </c>
      <c r="J16626" s="3">
        <v>0</v>
      </c>
      <c r="K16626" t="s">
        <v>36326</v>
      </c>
      <c r="L16626">
        <v>2160</v>
      </c>
      <c r="M16626" t="s">
        <v>36327</v>
      </c>
      <c r="N16626" t="s">
        <v>36328</v>
      </c>
      <c r="O16626" t="s">
        <v>370</v>
      </c>
      <c r="P16626" t="str">
        <f>"32903"</f>
        <v>32903</v>
      </c>
    </row>
    <row r="16627" spans="1:16" x14ac:dyDescent="0.25">
      <c r="A16627" t="str">
        <f>"1250023C00079    00"</f>
        <v>1250023C00079    00</v>
      </c>
      <c r="B16627" t="s">
        <v>25355</v>
      </c>
      <c r="C16627" t="s">
        <v>36329</v>
      </c>
      <c r="D16627" t="s">
        <v>20</v>
      </c>
      <c r="E16627" t="s">
        <v>39</v>
      </c>
      <c r="F16627">
        <v>0</v>
      </c>
      <c r="G16627">
        <v>0</v>
      </c>
      <c r="H16627">
        <v>3</v>
      </c>
      <c r="I16627" s="3">
        <v>45.75</v>
      </c>
      <c r="J16627" s="3">
        <v>3.05</v>
      </c>
      <c r="L16627">
        <v>228</v>
      </c>
      <c r="M16627" t="s">
        <v>9578</v>
      </c>
      <c r="N16627" t="s">
        <v>199</v>
      </c>
      <c r="O16627" t="s">
        <v>200</v>
      </c>
      <c r="P16627" t="str">
        <f>"10003"</f>
        <v>10003</v>
      </c>
    </row>
    <row r="16628" spans="1:16" x14ac:dyDescent="0.25">
      <c r="A16628" t="str">
        <f>"1250023C00089    00"</f>
        <v>1250023C00089    00</v>
      </c>
      <c r="B16628" t="s">
        <v>36330</v>
      </c>
      <c r="C16628" t="s">
        <v>36331</v>
      </c>
      <c r="D16628" t="s">
        <v>20</v>
      </c>
      <c r="E16628" t="s">
        <v>39</v>
      </c>
      <c r="F16628">
        <v>0</v>
      </c>
      <c r="G16628">
        <v>0</v>
      </c>
      <c r="H16628">
        <v>1</v>
      </c>
      <c r="I16628" s="3">
        <v>2540.71</v>
      </c>
      <c r="J16628" s="3">
        <v>0</v>
      </c>
      <c r="K16628" t="s">
        <v>36332</v>
      </c>
      <c r="L16628">
        <v>131</v>
      </c>
      <c r="M16628" t="s">
        <v>10147</v>
      </c>
      <c r="N16628" t="s">
        <v>30</v>
      </c>
      <c r="O16628" t="s">
        <v>31</v>
      </c>
      <c r="P16628" t="str">
        <f>"15236"</f>
        <v>15236</v>
      </c>
    </row>
    <row r="16629" spans="1:16" x14ac:dyDescent="0.25">
      <c r="A16629" t="str">
        <f>"1250023C00091    00"</f>
        <v>1250023C00091    00</v>
      </c>
      <c r="B16629" t="s">
        <v>36333</v>
      </c>
      <c r="C16629" t="s">
        <v>36334</v>
      </c>
      <c r="D16629" t="s">
        <v>20</v>
      </c>
      <c r="E16629" t="s">
        <v>39</v>
      </c>
      <c r="F16629">
        <v>0</v>
      </c>
      <c r="G16629">
        <v>0</v>
      </c>
      <c r="H16629">
        <v>18</v>
      </c>
      <c r="I16629" s="3">
        <v>6156</v>
      </c>
      <c r="J16629" s="3">
        <v>5081.0200000000004</v>
      </c>
      <c r="L16629">
        <v>611</v>
      </c>
      <c r="M16629" t="s">
        <v>36335</v>
      </c>
      <c r="N16629" t="s">
        <v>9549</v>
      </c>
      <c r="O16629" t="s">
        <v>495</v>
      </c>
      <c r="P16629" t="str">
        <f>"90277"</f>
        <v>90277</v>
      </c>
    </row>
    <row r="16630" spans="1:16" x14ac:dyDescent="0.25">
      <c r="A16630" t="str">
        <f>"1250023C00097    00"</f>
        <v>1250023C00097    00</v>
      </c>
      <c r="B16630" t="s">
        <v>36336</v>
      </c>
      <c r="C16630" t="s">
        <v>36337</v>
      </c>
      <c r="E16630" t="s">
        <v>39</v>
      </c>
      <c r="F16630">
        <v>0</v>
      </c>
      <c r="G16630">
        <v>0</v>
      </c>
      <c r="H16630">
        <v>1</v>
      </c>
      <c r="I16630" s="3">
        <v>1357.61</v>
      </c>
      <c r="J16630" s="3">
        <v>0</v>
      </c>
      <c r="K16630" t="s">
        <v>8985</v>
      </c>
      <c r="M16630" t="s">
        <v>8986</v>
      </c>
      <c r="N16630" t="s">
        <v>8987</v>
      </c>
      <c r="O16630" t="s">
        <v>495</v>
      </c>
      <c r="P16630" t="str">
        <f>"90660"</f>
        <v>90660</v>
      </c>
    </row>
    <row r="16631" spans="1:16" x14ac:dyDescent="0.25">
      <c r="A16631" t="str">
        <f>"1250023C00101    00"</f>
        <v>1250023C00101    00</v>
      </c>
      <c r="B16631" t="s">
        <v>36338</v>
      </c>
      <c r="C16631" t="s">
        <v>36321</v>
      </c>
      <c r="D16631" t="s">
        <v>20</v>
      </c>
      <c r="E16631" t="s">
        <v>39</v>
      </c>
      <c r="F16631">
        <v>0</v>
      </c>
      <c r="G16631">
        <v>0</v>
      </c>
      <c r="H16631">
        <v>18</v>
      </c>
      <c r="I16631" s="3">
        <v>670.34</v>
      </c>
      <c r="J16631" s="3">
        <v>800.44</v>
      </c>
      <c r="L16631">
        <v>700</v>
      </c>
      <c r="M16631" t="s">
        <v>36339</v>
      </c>
      <c r="N16631" t="s">
        <v>30</v>
      </c>
      <c r="O16631" t="s">
        <v>31</v>
      </c>
      <c r="P16631" t="str">
        <f>"15212"</f>
        <v>15212</v>
      </c>
    </row>
    <row r="16632" spans="1:16" x14ac:dyDescent="0.25">
      <c r="A16632" t="str">
        <f>"1250023C00103    00"</f>
        <v>1250023C00103    00</v>
      </c>
      <c r="B16632" t="s">
        <v>36340</v>
      </c>
      <c r="C16632" t="s">
        <v>36341</v>
      </c>
      <c r="D16632" t="s">
        <v>20</v>
      </c>
      <c r="E16632" t="s">
        <v>39</v>
      </c>
      <c r="F16632">
        <v>0</v>
      </c>
      <c r="G16632">
        <v>0</v>
      </c>
      <c r="H16632">
        <v>2</v>
      </c>
      <c r="I16632" s="3">
        <v>747.8</v>
      </c>
      <c r="J16632" s="3">
        <v>0</v>
      </c>
      <c r="K16632" t="s">
        <v>36342</v>
      </c>
      <c r="L16632">
        <v>216</v>
      </c>
      <c r="M16632" t="s">
        <v>33279</v>
      </c>
      <c r="N16632" t="s">
        <v>30</v>
      </c>
      <c r="O16632" t="s">
        <v>31</v>
      </c>
      <c r="P16632" t="str">
        <f>"15214"</f>
        <v>15214</v>
      </c>
    </row>
    <row r="16633" spans="1:16" x14ac:dyDescent="0.25">
      <c r="A16633" t="str">
        <f>"1250023C00104    00"</f>
        <v>1250023C00104    00</v>
      </c>
      <c r="B16633" t="s">
        <v>36343</v>
      </c>
      <c r="C16633" t="s">
        <v>36321</v>
      </c>
      <c r="D16633" t="s">
        <v>20</v>
      </c>
      <c r="E16633" t="s">
        <v>39</v>
      </c>
      <c r="F16633">
        <v>0</v>
      </c>
      <c r="G16633">
        <v>0</v>
      </c>
      <c r="H16633">
        <v>2</v>
      </c>
      <c r="I16633" s="3">
        <v>19.52</v>
      </c>
      <c r="J16633" s="3">
        <v>0</v>
      </c>
      <c r="L16633">
        <v>216</v>
      </c>
      <c r="M16633" t="s">
        <v>33279</v>
      </c>
      <c r="N16633" t="s">
        <v>30</v>
      </c>
      <c r="O16633" t="s">
        <v>31</v>
      </c>
      <c r="P16633" t="str">
        <f>"15214"</f>
        <v>15214</v>
      </c>
    </row>
    <row r="16634" spans="1:16" x14ac:dyDescent="0.25">
      <c r="A16634" t="str">
        <f>"1250023C00195    00"</f>
        <v>1250023C00195    00</v>
      </c>
      <c r="B16634" t="s">
        <v>36344</v>
      </c>
      <c r="C16634" t="s">
        <v>36345</v>
      </c>
      <c r="D16634" t="s">
        <v>20</v>
      </c>
      <c r="E16634" t="s">
        <v>39</v>
      </c>
      <c r="F16634">
        <v>0</v>
      </c>
      <c r="G16634">
        <v>0</v>
      </c>
      <c r="H16634">
        <v>2</v>
      </c>
      <c r="I16634" s="3">
        <v>800.52</v>
      </c>
      <c r="J16634" s="3">
        <v>0</v>
      </c>
      <c r="K16634" t="s">
        <v>36346</v>
      </c>
      <c r="L16634">
        <v>1611</v>
      </c>
      <c r="M16634" t="s">
        <v>36347</v>
      </c>
      <c r="N16634" t="s">
        <v>30</v>
      </c>
      <c r="O16634" t="s">
        <v>31</v>
      </c>
      <c r="P16634" t="str">
        <f>"15212"</f>
        <v>15212</v>
      </c>
    </row>
    <row r="16635" spans="1:16" x14ac:dyDescent="0.25">
      <c r="A16635" t="str">
        <f>"1250023C00202    00"</f>
        <v>1250023C00202    00</v>
      </c>
      <c r="B16635" t="s">
        <v>36348</v>
      </c>
      <c r="C16635" t="s">
        <v>36349</v>
      </c>
      <c r="D16635" t="s">
        <v>20</v>
      </c>
      <c r="E16635" t="s">
        <v>39</v>
      </c>
      <c r="F16635">
        <v>0</v>
      </c>
      <c r="G16635">
        <v>0</v>
      </c>
      <c r="H16635">
        <v>16</v>
      </c>
      <c r="I16635" s="3">
        <v>671.33</v>
      </c>
      <c r="J16635" s="3">
        <v>466.94</v>
      </c>
      <c r="M16635" t="s">
        <v>2415</v>
      </c>
      <c r="N16635" t="s">
        <v>2416</v>
      </c>
      <c r="O16635" t="s">
        <v>423</v>
      </c>
      <c r="P16635" t="str">
        <f>"08260"</f>
        <v>08260</v>
      </c>
    </row>
    <row r="16636" spans="1:16" x14ac:dyDescent="0.25">
      <c r="A16636" t="str">
        <f>"1250023C00203    00"</f>
        <v>1250023C00203    00</v>
      </c>
      <c r="B16636" t="s">
        <v>36350</v>
      </c>
      <c r="C16636" t="s">
        <v>36351</v>
      </c>
      <c r="D16636" t="s">
        <v>20</v>
      </c>
      <c r="E16636" t="s">
        <v>39</v>
      </c>
      <c r="F16636">
        <v>0</v>
      </c>
      <c r="G16636">
        <v>0</v>
      </c>
      <c r="H16636">
        <v>15</v>
      </c>
      <c r="I16636" s="3">
        <v>12849.42</v>
      </c>
      <c r="J16636" s="3">
        <v>8469.5</v>
      </c>
      <c r="L16636">
        <v>2</v>
      </c>
      <c r="M16636" t="s">
        <v>36352</v>
      </c>
      <c r="N16636" t="s">
        <v>30</v>
      </c>
      <c r="O16636" t="s">
        <v>31</v>
      </c>
      <c r="P16636" t="str">
        <f>"15214"</f>
        <v>15214</v>
      </c>
    </row>
    <row r="16637" spans="1:16" x14ac:dyDescent="0.25">
      <c r="A16637" t="str">
        <f>"1250023C00204    00"</f>
        <v>1250023C00204    00</v>
      </c>
      <c r="B16637" t="s">
        <v>36350</v>
      </c>
      <c r="C16637" t="s">
        <v>36349</v>
      </c>
      <c r="D16637" t="s">
        <v>20</v>
      </c>
      <c r="E16637" t="s">
        <v>39</v>
      </c>
      <c r="F16637">
        <v>0</v>
      </c>
      <c r="G16637">
        <v>0</v>
      </c>
      <c r="H16637">
        <v>14</v>
      </c>
      <c r="I16637" s="3">
        <v>864</v>
      </c>
      <c r="J16637" s="3">
        <v>477.67</v>
      </c>
      <c r="L16637">
        <v>3</v>
      </c>
      <c r="M16637" t="s">
        <v>36352</v>
      </c>
      <c r="N16637" t="s">
        <v>30</v>
      </c>
      <c r="O16637" t="s">
        <v>31</v>
      </c>
      <c r="P16637" t="str">
        <f>"15214"</f>
        <v>15214</v>
      </c>
    </row>
    <row r="16638" spans="1:16" x14ac:dyDescent="0.25">
      <c r="A16638" t="str">
        <f>"1250023D00016    00"</f>
        <v>1250023D00016    00</v>
      </c>
      <c r="B16638" t="s">
        <v>36353</v>
      </c>
      <c r="C16638" t="s">
        <v>36354</v>
      </c>
      <c r="E16638" t="s">
        <v>39</v>
      </c>
      <c r="F16638">
        <v>0</v>
      </c>
      <c r="G16638">
        <v>0</v>
      </c>
      <c r="H16638">
        <v>3</v>
      </c>
      <c r="I16638" s="3">
        <v>23.03</v>
      </c>
      <c r="J16638" s="3">
        <v>8.1999999999999993</v>
      </c>
      <c r="K16638" t="s">
        <v>36355</v>
      </c>
      <c r="L16638">
        <v>421</v>
      </c>
      <c r="M16638" t="s">
        <v>36356</v>
      </c>
      <c r="N16638" t="s">
        <v>30</v>
      </c>
      <c r="O16638" t="s">
        <v>31</v>
      </c>
      <c r="P16638" t="str">
        <f>"15212"</f>
        <v>15212</v>
      </c>
    </row>
    <row r="16639" spans="1:16" x14ac:dyDescent="0.25">
      <c r="A16639" t="str">
        <f>"1250023D00043    00"</f>
        <v>1250023D00043    00</v>
      </c>
      <c r="B16639" t="s">
        <v>36357</v>
      </c>
      <c r="C16639" t="s">
        <v>36358</v>
      </c>
      <c r="D16639" t="s">
        <v>20</v>
      </c>
      <c r="E16639" t="s">
        <v>39</v>
      </c>
      <c r="F16639">
        <v>0</v>
      </c>
      <c r="G16639">
        <v>0</v>
      </c>
      <c r="H16639">
        <v>1</v>
      </c>
      <c r="I16639" s="3">
        <v>3436.53</v>
      </c>
      <c r="J16639" s="3">
        <v>0</v>
      </c>
      <c r="K16639" t="s">
        <v>4992</v>
      </c>
      <c r="L16639">
        <v>18111</v>
      </c>
      <c r="M16639" t="s">
        <v>4993</v>
      </c>
      <c r="N16639" t="s">
        <v>107</v>
      </c>
      <c r="O16639" t="s">
        <v>108</v>
      </c>
      <c r="P16639" t="str">
        <f>"75252"</f>
        <v>75252</v>
      </c>
    </row>
    <row r="16640" spans="1:16" x14ac:dyDescent="0.25">
      <c r="A16640" t="str">
        <f>"1250023D00047    00"</f>
        <v>1250023D00047    00</v>
      </c>
      <c r="B16640" t="s">
        <v>36359</v>
      </c>
      <c r="C16640" t="s">
        <v>36360</v>
      </c>
      <c r="D16640" t="s">
        <v>20</v>
      </c>
      <c r="E16640" t="s">
        <v>39</v>
      </c>
      <c r="F16640">
        <v>0</v>
      </c>
      <c r="G16640">
        <v>0</v>
      </c>
      <c r="H16640">
        <v>2</v>
      </c>
      <c r="I16640" s="3">
        <v>1392.4</v>
      </c>
      <c r="J16640" s="3">
        <v>0</v>
      </c>
      <c r="L16640">
        <v>432</v>
      </c>
      <c r="M16640" t="s">
        <v>35685</v>
      </c>
      <c r="N16640" t="s">
        <v>30</v>
      </c>
      <c r="O16640" t="s">
        <v>31</v>
      </c>
      <c r="P16640" t="str">
        <f>"15212"</f>
        <v>15212</v>
      </c>
    </row>
    <row r="16641" spans="1:16" x14ac:dyDescent="0.25">
      <c r="A16641" t="str">
        <f>"1250023D00064    00"</f>
        <v>1250023D00064    00</v>
      </c>
      <c r="B16641" t="s">
        <v>36361</v>
      </c>
      <c r="C16641" t="s">
        <v>36362</v>
      </c>
      <c r="D16641" t="s">
        <v>20</v>
      </c>
      <c r="E16641" t="s">
        <v>39</v>
      </c>
      <c r="F16641">
        <v>0</v>
      </c>
      <c r="G16641">
        <v>0</v>
      </c>
      <c r="H16641">
        <v>6</v>
      </c>
      <c r="I16641" s="3">
        <v>5659.58</v>
      </c>
      <c r="J16641" s="3">
        <v>1291.1400000000001</v>
      </c>
      <c r="L16641">
        <v>273</v>
      </c>
      <c r="M16641" t="s">
        <v>36363</v>
      </c>
      <c r="N16641" t="s">
        <v>36364</v>
      </c>
      <c r="O16641" t="s">
        <v>180</v>
      </c>
      <c r="P16641" t="str">
        <f>"81611"</f>
        <v>81611</v>
      </c>
    </row>
    <row r="16642" spans="1:16" x14ac:dyDescent="0.25">
      <c r="A16642" t="str">
        <f>"1250023D00091    00"</f>
        <v>1250023D00091    00</v>
      </c>
      <c r="B16642" t="s">
        <v>36365</v>
      </c>
      <c r="C16642" t="s">
        <v>36366</v>
      </c>
      <c r="D16642" t="s">
        <v>20</v>
      </c>
      <c r="E16642" t="s">
        <v>39</v>
      </c>
      <c r="F16642">
        <v>0</v>
      </c>
      <c r="G16642">
        <v>0</v>
      </c>
      <c r="H16642">
        <v>18</v>
      </c>
      <c r="I16642" s="3">
        <v>21415.96</v>
      </c>
      <c r="J16642" s="3">
        <v>17245.2</v>
      </c>
      <c r="K16642" t="s">
        <v>36367</v>
      </c>
      <c r="L16642">
        <v>6965</v>
      </c>
      <c r="M16642" t="s">
        <v>36368</v>
      </c>
      <c r="N16642" t="s">
        <v>15926</v>
      </c>
      <c r="O16642" t="s">
        <v>554</v>
      </c>
      <c r="P16642" t="str">
        <f>"25702"</f>
        <v>25702</v>
      </c>
    </row>
    <row r="16643" spans="1:16" x14ac:dyDescent="0.25">
      <c r="A16643" t="str">
        <f>"1250023D00109    00"</f>
        <v>1250023D00109    00</v>
      </c>
      <c r="B16643" t="s">
        <v>36369</v>
      </c>
      <c r="C16643" t="s">
        <v>36370</v>
      </c>
      <c r="D16643" t="s">
        <v>20</v>
      </c>
      <c r="E16643" t="s">
        <v>39</v>
      </c>
      <c r="F16643">
        <v>0</v>
      </c>
      <c r="G16643">
        <v>0</v>
      </c>
      <c r="H16643">
        <v>4</v>
      </c>
      <c r="I16643" s="3">
        <v>2055.84</v>
      </c>
      <c r="J16643" s="3">
        <v>385.85</v>
      </c>
      <c r="L16643">
        <v>866</v>
      </c>
      <c r="M16643" t="s">
        <v>36371</v>
      </c>
      <c r="N16643" t="s">
        <v>10447</v>
      </c>
      <c r="O16643" t="s">
        <v>200</v>
      </c>
      <c r="P16643" t="str">
        <f>"10474"</f>
        <v>10474</v>
      </c>
    </row>
    <row r="16644" spans="1:16" x14ac:dyDescent="0.25">
      <c r="A16644" t="str">
        <f>"1250023D00117    00"</f>
        <v>1250023D00117    00</v>
      </c>
      <c r="B16644" t="s">
        <v>36372</v>
      </c>
      <c r="C16644" t="s">
        <v>36373</v>
      </c>
      <c r="E16644" t="s">
        <v>39</v>
      </c>
      <c r="F16644">
        <v>0</v>
      </c>
      <c r="G16644">
        <v>0</v>
      </c>
      <c r="H16644">
        <v>14</v>
      </c>
      <c r="I16644" s="3">
        <v>8987.5400000000009</v>
      </c>
      <c r="J16644" s="3">
        <v>6655.91</v>
      </c>
      <c r="M16644" t="s">
        <v>36374</v>
      </c>
      <c r="N16644" t="s">
        <v>36375</v>
      </c>
      <c r="O16644" t="s">
        <v>31</v>
      </c>
      <c r="P16644" t="str">
        <f>"15007"</f>
        <v>15007</v>
      </c>
    </row>
    <row r="16645" spans="1:16" x14ac:dyDescent="0.25">
      <c r="A16645" t="str">
        <f>"1250023D00140    00"</f>
        <v>1250023D00140    00</v>
      </c>
      <c r="B16645" t="s">
        <v>36376</v>
      </c>
      <c r="C16645" t="s">
        <v>36377</v>
      </c>
      <c r="D16645" t="s">
        <v>20</v>
      </c>
      <c r="E16645" t="s">
        <v>39</v>
      </c>
      <c r="F16645">
        <v>0</v>
      </c>
      <c r="G16645">
        <v>0</v>
      </c>
      <c r="H16645">
        <v>8</v>
      </c>
      <c r="I16645" s="3">
        <v>9678.5499999999993</v>
      </c>
      <c r="J16645" s="3">
        <v>3122.95</v>
      </c>
      <c r="L16645">
        <v>527</v>
      </c>
      <c r="M16645" t="s">
        <v>36378</v>
      </c>
      <c r="N16645" t="s">
        <v>238</v>
      </c>
      <c r="O16645" t="s">
        <v>31</v>
      </c>
      <c r="P16645" t="str">
        <f>"15135"</f>
        <v>15135</v>
      </c>
    </row>
    <row r="16646" spans="1:16" x14ac:dyDescent="0.25">
      <c r="A16646" t="str">
        <f>"1250023D00150    00"</f>
        <v>1250023D00150    00</v>
      </c>
      <c r="B16646" t="s">
        <v>36379</v>
      </c>
      <c r="C16646" t="s">
        <v>36380</v>
      </c>
      <c r="E16646" t="s">
        <v>39</v>
      </c>
      <c r="F16646">
        <v>0</v>
      </c>
      <c r="G16646">
        <v>0</v>
      </c>
      <c r="H16646">
        <v>1</v>
      </c>
      <c r="I16646" s="3">
        <v>115.64</v>
      </c>
      <c r="J16646" s="3">
        <v>34.68</v>
      </c>
      <c r="K16646" t="s">
        <v>36381</v>
      </c>
      <c r="L16646">
        <v>5303</v>
      </c>
      <c r="M16646" t="s">
        <v>36382</v>
      </c>
      <c r="N16646" t="s">
        <v>30</v>
      </c>
      <c r="O16646" t="s">
        <v>31</v>
      </c>
      <c r="P16646" t="str">
        <f>"15236"</f>
        <v>15236</v>
      </c>
    </row>
    <row r="16647" spans="1:16" x14ac:dyDescent="0.25">
      <c r="A16647" t="str">
        <f>"1250023D00181    00"</f>
        <v>1250023D00181    00</v>
      </c>
      <c r="B16647" t="s">
        <v>36383</v>
      </c>
      <c r="C16647" t="s">
        <v>36384</v>
      </c>
      <c r="D16647" t="s">
        <v>20</v>
      </c>
      <c r="E16647" t="s">
        <v>39</v>
      </c>
      <c r="F16647">
        <v>0</v>
      </c>
      <c r="G16647">
        <v>0</v>
      </c>
      <c r="H16647">
        <v>4</v>
      </c>
      <c r="I16647" s="3">
        <v>580.91999999999996</v>
      </c>
      <c r="J16647" s="3">
        <v>85.6</v>
      </c>
      <c r="K16647" t="s">
        <v>36385</v>
      </c>
      <c r="L16647">
        <v>8103</v>
      </c>
      <c r="M16647" t="s">
        <v>36386</v>
      </c>
      <c r="N16647" t="s">
        <v>36387</v>
      </c>
      <c r="O16647" t="s">
        <v>370</v>
      </c>
      <c r="P16647" t="str">
        <f>"34654"</f>
        <v>34654</v>
      </c>
    </row>
    <row r="16648" spans="1:16" x14ac:dyDescent="0.25">
      <c r="A16648" t="str">
        <f>"1250023D00182    00"</f>
        <v>1250023D00182    00</v>
      </c>
      <c r="B16648" t="s">
        <v>36388</v>
      </c>
      <c r="C16648" t="s">
        <v>36389</v>
      </c>
      <c r="D16648" t="s">
        <v>20</v>
      </c>
      <c r="E16648" t="s">
        <v>39</v>
      </c>
      <c r="F16648">
        <v>0</v>
      </c>
      <c r="G16648">
        <v>0</v>
      </c>
      <c r="H16648">
        <v>4</v>
      </c>
      <c r="I16648" s="3">
        <v>1820.24</v>
      </c>
      <c r="J16648" s="3">
        <v>135.32</v>
      </c>
      <c r="L16648">
        <v>11</v>
      </c>
      <c r="M16648" t="s">
        <v>36390</v>
      </c>
      <c r="N16648" t="s">
        <v>30</v>
      </c>
      <c r="O16648" t="s">
        <v>31</v>
      </c>
      <c r="P16648" t="str">
        <f>"15212"</f>
        <v>15212</v>
      </c>
    </row>
    <row r="16649" spans="1:16" x14ac:dyDescent="0.25">
      <c r="A16649" t="str">
        <f>"1250023D00183    00"</f>
        <v>1250023D00183    00</v>
      </c>
      <c r="B16649" t="s">
        <v>36391</v>
      </c>
      <c r="C16649" t="s">
        <v>36392</v>
      </c>
      <c r="D16649" t="s">
        <v>20</v>
      </c>
      <c r="E16649" t="s">
        <v>21</v>
      </c>
      <c r="F16649">
        <v>0</v>
      </c>
      <c r="G16649">
        <v>0</v>
      </c>
      <c r="H16649">
        <v>15</v>
      </c>
      <c r="I16649" s="3">
        <v>10369.98</v>
      </c>
      <c r="J16649" s="3">
        <v>7263.92</v>
      </c>
      <c r="L16649">
        <v>11</v>
      </c>
      <c r="M16649" t="s">
        <v>36393</v>
      </c>
      <c r="N16649" t="s">
        <v>30</v>
      </c>
      <c r="O16649" t="s">
        <v>31</v>
      </c>
      <c r="P16649" t="str">
        <f>"15212"</f>
        <v>15212</v>
      </c>
    </row>
    <row r="16650" spans="1:16" x14ac:dyDescent="0.25">
      <c r="A16650" t="str">
        <f>"1250023D00186    00"</f>
        <v>1250023D00186    00</v>
      </c>
      <c r="B16650" t="s">
        <v>36394</v>
      </c>
      <c r="C16650" t="s">
        <v>36395</v>
      </c>
      <c r="D16650" t="s">
        <v>20</v>
      </c>
      <c r="E16650" t="s">
        <v>39</v>
      </c>
      <c r="F16650">
        <v>0</v>
      </c>
      <c r="G16650">
        <v>0</v>
      </c>
      <c r="H16650">
        <v>2</v>
      </c>
      <c r="I16650" s="3">
        <v>880.6</v>
      </c>
      <c r="J16650" s="3">
        <v>0</v>
      </c>
      <c r="L16650">
        <v>41</v>
      </c>
      <c r="M16650" t="s">
        <v>36396</v>
      </c>
      <c r="N16650" t="s">
        <v>30</v>
      </c>
      <c r="O16650" t="s">
        <v>31</v>
      </c>
      <c r="P16650" t="str">
        <f>"15228"</f>
        <v>15228</v>
      </c>
    </row>
    <row r="16651" spans="1:16" x14ac:dyDescent="0.25">
      <c r="A16651" t="str">
        <f>"1250023D00204    00"</f>
        <v>1250023D00204    00</v>
      </c>
      <c r="B16651" t="s">
        <v>36397</v>
      </c>
      <c r="C16651" t="s">
        <v>36398</v>
      </c>
      <c r="D16651" t="s">
        <v>20</v>
      </c>
      <c r="E16651" t="s">
        <v>39</v>
      </c>
      <c r="F16651">
        <v>0</v>
      </c>
      <c r="G16651">
        <v>0</v>
      </c>
      <c r="H16651">
        <v>6</v>
      </c>
      <c r="I16651" s="3">
        <v>2926.31</v>
      </c>
      <c r="J16651" s="3">
        <v>553.30999999999995</v>
      </c>
      <c r="L16651">
        <v>6330</v>
      </c>
      <c r="M16651" t="s">
        <v>10354</v>
      </c>
      <c r="N16651" t="s">
        <v>30</v>
      </c>
      <c r="O16651" t="s">
        <v>31</v>
      </c>
      <c r="P16651" t="str">
        <f>"15206"</f>
        <v>15206</v>
      </c>
    </row>
    <row r="16652" spans="1:16" x14ac:dyDescent="0.25">
      <c r="A16652" t="str">
        <f>"1250023D00207    00"</f>
        <v>1250023D00207    00</v>
      </c>
      <c r="B16652" t="s">
        <v>36399</v>
      </c>
      <c r="C16652" t="s">
        <v>36400</v>
      </c>
      <c r="D16652" t="s">
        <v>20</v>
      </c>
      <c r="E16652" t="s">
        <v>39</v>
      </c>
      <c r="F16652">
        <v>0</v>
      </c>
      <c r="G16652">
        <v>0</v>
      </c>
      <c r="H16652">
        <v>1</v>
      </c>
      <c r="I16652" s="3">
        <v>1004.47</v>
      </c>
      <c r="J16652" s="3">
        <v>0</v>
      </c>
      <c r="K16652" t="s">
        <v>36401</v>
      </c>
      <c r="L16652">
        <v>207</v>
      </c>
      <c r="M16652" t="s">
        <v>36402</v>
      </c>
      <c r="N16652" t="s">
        <v>30</v>
      </c>
      <c r="O16652" t="s">
        <v>31</v>
      </c>
      <c r="P16652" t="str">
        <f>"15212"</f>
        <v>15212</v>
      </c>
    </row>
    <row r="16653" spans="1:16" x14ac:dyDescent="0.25">
      <c r="A16653" t="str">
        <f>"1250023D00242    00"</f>
        <v>1250023D00242    00</v>
      </c>
      <c r="B16653" t="s">
        <v>36403</v>
      </c>
      <c r="C16653" t="s">
        <v>36404</v>
      </c>
      <c r="D16653" t="s">
        <v>20</v>
      </c>
      <c r="E16653" t="s">
        <v>39</v>
      </c>
      <c r="F16653">
        <v>0</v>
      </c>
      <c r="G16653">
        <v>0</v>
      </c>
      <c r="H16653">
        <v>1</v>
      </c>
      <c r="I16653" s="3">
        <v>66.349999999999994</v>
      </c>
      <c r="J16653" s="3">
        <v>0</v>
      </c>
      <c r="K16653" t="s">
        <v>36405</v>
      </c>
      <c r="L16653">
        <v>428</v>
      </c>
      <c r="M16653" t="s">
        <v>36406</v>
      </c>
      <c r="N16653" t="s">
        <v>625</v>
      </c>
      <c r="O16653" t="s">
        <v>31</v>
      </c>
      <c r="P16653" t="str">
        <f>"15108"</f>
        <v>15108</v>
      </c>
    </row>
    <row r="16654" spans="1:16" x14ac:dyDescent="0.25">
      <c r="A16654" t="str">
        <f>"1250023D00246    00"</f>
        <v>1250023D00246    00</v>
      </c>
      <c r="B16654" t="s">
        <v>36407</v>
      </c>
      <c r="C16654" t="s">
        <v>36408</v>
      </c>
      <c r="D16654" t="s">
        <v>20</v>
      </c>
      <c r="E16654" t="s">
        <v>39</v>
      </c>
      <c r="F16654">
        <v>0</v>
      </c>
      <c r="G16654">
        <v>0</v>
      </c>
      <c r="H16654">
        <v>1</v>
      </c>
      <c r="I16654" s="3">
        <v>440.76</v>
      </c>
      <c r="J16654" s="3">
        <v>0</v>
      </c>
      <c r="L16654">
        <v>1631</v>
      </c>
      <c r="M16654" t="s">
        <v>36409</v>
      </c>
      <c r="N16654" t="s">
        <v>30</v>
      </c>
      <c r="O16654" t="s">
        <v>31</v>
      </c>
      <c r="P16654" t="str">
        <f>"15212"</f>
        <v>15212</v>
      </c>
    </row>
    <row r="16655" spans="1:16" x14ac:dyDescent="0.25">
      <c r="A16655" t="str">
        <f>"1250023E00012    00"</f>
        <v>1250023E00012    00</v>
      </c>
      <c r="B16655" t="s">
        <v>36259</v>
      </c>
      <c r="C16655" t="s">
        <v>34522</v>
      </c>
      <c r="D16655" t="s">
        <v>20</v>
      </c>
      <c r="E16655" t="s">
        <v>39</v>
      </c>
      <c r="F16655">
        <v>0</v>
      </c>
      <c r="G16655">
        <v>0</v>
      </c>
      <c r="H16655">
        <v>2</v>
      </c>
      <c r="I16655" s="3">
        <v>218.68</v>
      </c>
      <c r="J16655" s="3">
        <v>0</v>
      </c>
      <c r="L16655">
        <v>2626</v>
      </c>
      <c r="M16655" t="s">
        <v>36260</v>
      </c>
      <c r="N16655" t="s">
        <v>30</v>
      </c>
      <c r="O16655" t="s">
        <v>31</v>
      </c>
      <c r="P16655" t="str">
        <f>"15203"</f>
        <v>15203</v>
      </c>
    </row>
    <row r="16656" spans="1:16" x14ac:dyDescent="0.25">
      <c r="A16656" t="str">
        <f>"1250023E00022    00"</f>
        <v>1250023E00022    00</v>
      </c>
      <c r="B16656" t="s">
        <v>36410</v>
      </c>
      <c r="C16656" t="s">
        <v>36411</v>
      </c>
      <c r="E16656" t="s">
        <v>39</v>
      </c>
      <c r="F16656">
        <v>0</v>
      </c>
      <c r="G16656">
        <v>0</v>
      </c>
      <c r="H16656">
        <v>1</v>
      </c>
      <c r="I16656" s="3">
        <v>30.65</v>
      </c>
      <c r="J16656" s="3">
        <v>9.1999999999999993</v>
      </c>
      <c r="L16656">
        <v>1726</v>
      </c>
      <c r="M16656" t="s">
        <v>3938</v>
      </c>
      <c r="N16656" t="s">
        <v>30</v>
      </c>
      <c r="O16656" t="s">
        <v>31</v>
      </c>
      <c r="P16656" t="str">
        <f>"15212"</f>
        <v>15212</v>
      </c>
    </row>
    <row r="16657" spans="1:16" x14ac:dyDescent="0.25">
      <c r="A16657" t="str">
        <f>"1250023E00023    00"</f>
        <v>1250023E00023    00</v>
      </c>
      <c r="B16657" t="s">
        <v>36412</v>
      </c>
      <c r="C16657" t="s">
        <v>36411</v>
      </c>
      <c r="D16657" t="s">
        <v>20</v>
      </c>
      <c r="E16657" t="s">
        <v>39</v>
      </c>
      <c r="F16657">
        <v>0</v>
      </c>
      <c r="G16657">
        <v>0</v>
      </c>
      <c r="H16657">
        <v>2</v>
      </c>
      <c r="I16657" s="3">
        <v>29.77</v>
      </c>
      <c r="J16657" s="3">
        <v>11.62</v>
      </c>
      <c r="K16657" t="s">
        <v>36413</v>
      </c>
      <c r="L16657">
        <v>1726</v>
      </c>
      <c r="M16657" t="s">
        <v>3938</v>
      </c>
      <c r="N16657" t="s">
        <v>30</v>
      </c>
      <c r="O16657" t="s">
        <v>31</v>
      </c>
      <c r="P16657" t="str">
        <f>"15212"</f>
        <v>15212</v>
      </c>
    </row>
    <row r="16658" spans="1:16" x14ac:dyDescent="0.25">
      <c r="A16658" t="str">
        <f>"1250023E00046    00"</f>
        <v>1250023E00046    00</v>
      </c>
      <c r="B16658" t="s">
        <v>36259</v>
      </c>
      <c r="C16658" t="s">
        <v>36262</v>
      </c>
      <c r="D16658" t="s">
        <v>20</v>
      </c>
      <c r="E16658" t="s">
        <v>39</v>
      </c>
      <c r="F16658">
        <v>0</v>
      </c>
      <c r="G16658">
        <v>0</v>
      </c>
      <c r="H16658">
        <v>3</v>
      </c>
      <c r="I16658" s="3">
        <v>207.73</v>
      </c>
      <c r="J16658" s="3">
        <v>0</v>
      </c>
      <c r="L16658">
        <v>2626</v>
      </c>
      <c r="M16658" t="s">
        <v>36260</v>
      </c>
      <c r="N16658" t="s">
        <v>30</v>
      </c>
      <c r="O16658" t="s">
        <v>31</v>
      </c>
      <c r="P16658" t="str">
        <f>"15203"</f>
        <v>15203</v>
      </c>
    </row>
    <row r="16659" spans="1:16" x14ac:dyDescent="0.25">
      <c r="A16659" t="str">
        <f>"1250023E00052    00"</f>
        <v>1250023E00052    00</v>
      </c>
      <c r="B16659" t="s">
        <v>36414</v>
      </c>
      <c r="C16659" t="s">
        <v>36415</v>
      </c>
      <c r="D16659" t="s">
        <v>20</v>
      </c>
      <c r="E16659" t="s">
        <v>39</v>
      </c>
      <c r="F16659">
        <v>0</v>
      </c>
      <c r="G16659">
        <v>0</v>
      </c>
      <c r="H16659">
        <v>1</v>
      </c>
      <c r="I16659" s="3">
        <v>3358.37</v>
      </c>
      <c r="J16659" s="3">
        <v>0</v>
      </c>
      <c r="K16659" t="s">
        <v>1722</v>
      </c>
      <c r="M16659" t="s">
        <v>1723</v>
      </c>
      <c r="N16659" t="s">
        <v>410</v>
      </c>
      <c r="O16659" t="s">
        <v>31</v>
      </c>
      <c r="P16659" t="str">
        <f>"15701"</f>
        <v>15701</v>
      </c>
    </row>
    <row r="16660" spans="1:16" x14ac:dyDescent="0.25">
      <c r="A16660" t="str">
        <f>"1250023E00111    00"</f>
        <v>1250023E00111    00</v>
      </c>
      <c r="B16660" t="s">
        <v>36416</v>
      </c>
      <c r="C16660" t="s">
        <v>36417</v>
      </c>
      <c r="E16660" t="s">
        <v>39</v>
      </c>
      <c r="F16660">
        <v>0</v>
      </c>
      <c r="G16660">
        <v>0</v>
      </c>
      <c r="H16660">
        <v>2</v>
      </c>
      <c r="I16660" s="3">
        <v>9209.7999999999993</v>
      </c>
      <c r="J16660" s="3">
        <v>115.12</v>
      </c>
      <c r="L16660">
        <v>1714</v>
      </c>
      <c r="M16660" t="s">
        <v>3938</v>
      </c>
      <c r="N16660" t="s">
        <v>30</v>
      </c>
      <c r="O16660" t="s">
        <v>31</v>
      </c>
      <c r="P16660" t="str">
        <f>"15212"</f>
        <v>15212</v>
      </c>
    </row>
    <row r="16661" spans="1:16" x14ac:dyDescent="0.25">
      <c r="A16661" t="str">
        <f>"1250023E00115    00"</f>
        <v>1250023E00115    00</v>
      </c>
      <c r="B16661" t="s">
        <v>36418</v>
      </c>
      <c r="C16661" t="s">
        <v>36419</v>
      </c>
      <c r="E16661" t="s">
        <v>39</v>
      </c>
      <c r="F16661">
        <v>0</v>
      </c>
      <c r="G16661">
        <v>0</v>
      </c>
      <c r="H16661">
        <v>1</v>
      </c>
      <c r="I16661" s="3">
        <v>6513.47</v>
      </c>
      <c r="J16661" s="3">
        <v>1791.14</v>
      </c>
      <c r="K16661" t="s">
        <v>36420</v>
      </c>
      <c r="L16661">
        <v>1706</v>
      </c>
      <c r="M16661" t="s">
        <v>36421</v>
      </c>
      <c r="N16661" t="s">
        <v>30</v>
      </c>
      <c r="O16661" t="s">
        <v>31</v>
      </c>
      <c r="P16661" t="str">
        <f>"15212"</f>
        <v>15212</v>
      </c>
    </row>
    <row r="16662" spans="1:16" x14ac:dyDescent="0.25">
      <c r="A16662" t="str">
        <f>"1250023E00129    00"</f>
        <v>1250023E00129    00</v>
      </c>
      <c r="B16662" t="s">
        <v>36422</v>
      </c>
      <c r="C16662" t="s">
        <v>36423</v>
      </c>
      <c r="E16662" t="s">
        <v>39</v>
      </c>
      <c r="F16662">
        <v>0</v>
      </c>
      <c r="G16662">
        <v>0</v>
      </c>
      <c r="H16662">
        <v>2</v>
      </c>
      <c r="I16662" s="3">
        <v>1921.24</v>
      </c>
      <c r="J16662" s="3">
        <v>44.01</v>
      </c>
      <c r="K16662" t="s">
        <v>18480</v>
      </c>
      <c r="M16662" t="s">
        <v>18481</v>
      </c>
      <c r="N16662" t="s">
        <v>264</v>
      </c>
      <c r="O16662" t="s">
        <v>25</v>
      </c>
      <c r="P16662" t="str">
        <f>"45263"</f>
        <v>45263</v>
      </c>
    </row>
    <row r="16663" spans="1:16" x14ac:dyDescent="0.25">
      <c r="A16663" t="str">
        <f>"1250023E00144    00"</f>
        <v>1250023E00144    00</v>
      </c>
      <c r="B16663" t="s">
        <v>36424</v>
      </c>
      <c r="C16663" t="s">
        <v>36425</v>
      </c>
      <c r="D16663" t="s">
        <v>20</v>
      </c>
      <c r="E16663" t="s">
        <v>39</v>
      </c>
      <c r="F16663">
        <v>0</v>
      </c>
      <c r="G16663">
        <v>0</v>
      </c>
      <c r="H16663">
        <v>6</v>
      </c>
      <c r="I16663" s="3">
        <v>469.76</v>
      </c>
      <c r="J16663" s="3">
        <v>107.17</v>
      </c>
      <c r="L16663">
        <v>511</v>
      </c>
      <c r="M16663" t="s">
        <v>36426</v>
      </c>
      <c r="N16663" t="s">
        <v>30</v>
      </c>
      <c r="O16663" t="s">
        <v>31</v>
      </c>
      <c r="P16663" t="str">
        <f>"15212"</f>
        <v>15212</v>
      </c>
    </row>
    <row r="16664" spans="1:16" x14ac:dyDescent="0.25">
      <c r="A16664" t="str">
        <f>"1250023E00145    00"</f>
        <v>1250023E00145    00</v>
      </c>
      <c r="B16664" t="s">
        <v>36427</v>
      </c>
      <c r="C16664" t="s">
        <v>36428</v>
      </c>
      <c r="D16664" t="s">
        <v>20</v>
      </c>
      <c r="E16664" t="s">
        <v>39</v>
      </c>
      <c r="F16664">
        <v>0</v>
      </c>
      <c r="G16664">
        <v>0</v>
      </c>
      <c r="H16664">
        <v>5</v>
      </c>
      <c r="I16664" s="3">
        <v>3203.47</v>
      </c>
      <c r="J16664" s="3">
        <v>513.41</v>
      </c>
      <c r="L16664">
        <v>511</v>
      </c>
      <c r="M16664" t="s">
        <v>36426</v>
      </c>
      <c r="N16664" t="s">
        <v>30</v>
      </c>
      <c r="O16664" t="s">
        <v>31</v>
      </c>
      <c r="P16664" t="str">
        <f>"15212"</f>
        <v>15212</v>
      </c>
    </row>
    <row r="16665" spans="1:16" x14ac:dyDescent="0.25">
      <c r="A16665" t="str">
        <f>"1250023E00146    00"</f>
        <v>1250023E00146    00</v>
      </c>
      <c r="B16665" t="s">
        <v>36429</v>
      </c>
      <c r="C16665" t="s">
        <v>36430</v>
      </c>
      <c r="D16665" t="s">
        <v>20</v>
      </c>
      <c r="E16665" t="s">
        <v>39</v>
      </c>
      <c r="F16665">
        <v>0</v>
      </c>
      <c r="G16665">
        <v>0</v>
      </c>
      <c r="H16665">
        <v>5</v>
      </c>
      <c r="I16665" s="3">
        <v>880.67</v>
      </c>
      <c r="J16665" s="3">
        <v>162.80000000000001</v>
      </c>
      <c r="L16665">
        <v>511</v>
      </c>
      <c r="M16665" t="s">
        <v>36426</v>
      </c>
      <c r="N16665" t="s">
        <v>30</v>
      </c>
      <c r="O16665" t="s">
        <v>31</v>
      </c>
      <c r="P16665" t="str">
        <f>"15212"</f>
        <v>15212</v>
      </c>
    </row>
    <row r="16666" spans="1:16" x14ac:dyDescent="0.25">
      <c r="A16666" t="str">
        <f>"1250023E00147    00"</f>
        <v>1250023E00147    00</v>
      </c>
      <c r="B16666" t="s">
        <v>36429</v>
      </c>
      <c r="C16666" t="s">
        <v>36425</v>
      </c>
      <c r="D16666" t="s">
        <v>20</v>
      </c>
      <c r="E16666" t="s">
        <v>39</v>
      </c>
      <c r="F16666">
        <v>0</v>
      </c>
      <c r="G16666">
        <v>0</v>
      </c>
      <c r="H16666">
        <v>4</v>
      </c>
      <c r="I16666" s="3">
        <v>30.16</v>
      </c>
      <c r="J16666" s="3">
        <v>3.71</v>
      </c>
      <c r="L16666">
        <v>511</v>
      </c>
      <c r="M16666" t="s">
        <v>36426</v>
      </c>
      <c r="N16666" t="s">
        <v>30</v>
      </c>
      <c r="O16666" t="s">
        <v>31</v>
      </c>
      <c r="P16666" t="str">
        <f>"15212"</f>
        <v>15212</v>
      </c>
    </row>
    <row r="16667" spans="1:16" x14ac:dyDescent="0.25">
      <c r="A16667" t="str">
        <f>"1250023E00148    00"</f>
        <v>1250023E00148    00</v>
      </c>
      <c r="B16667" t="s">
        <v>36424</v>
      </c>
      <c r="C16667" t="s">
        <v>36431</v>
      </c>
      <c r="D16667" t="s">
        <v>20</v>
      </c>
      <c r="E16667" t="s">
        <v>39</v>
      </c>
      <c r="F16667">
        <v>0</v>
      </c>
      <c r="G16667">
        <v>0</v>
      </c>
      <c r="H16667">
        <v>4</v>
      </c>
      <c r="I16667" s="3">
        <v>22.68</v>
      </c>
      <c r="J16667" s="3">
        <v>2.8</v>
      </c>
      <c r="L16667">
        <v>511</v>
      </c>
      <c r="M16667" t="s">
        <v>36426</v>
      </c>
      <c r="N16667" t="s">
        <v>30</v>
      </c>
      <c r="O16667" t="s">
        <v>31</v>
      </c>
      <c r="P16667" t="str">
        <f>"15212"</f>
        <v>15212</v>
      </c>
    </row>
    <row r="16668" spans="1:16" x14ac:dyDescent="0.25">
      <c r="A16668" t="str">
        <f>"1250023E00167    00"</f>
        <v>1250023E00167    00</v>
      </c>
      <c r="B16668" t="s">
        <v>36432</v>
      </c>
      <c r="C16668" t="s">
        <v>36433</v>
      </c>
      <c r="D16668" t="s">
        <v>20</v>
      </c>
      <c r="E16668" t="s">
        <v>39</v>
      </c>
      <c r="F16668">
        <v>0</v>
      </c>
      <c r="G16668">
        <v>0</v>
      </c>
      <c r="H16668">
        <v>1</v>
      </c>
      <c r="I16668" s="3">
        <v>381.2</v>
      </c>
      <c r="J16668" s="3">
        <v>0</v>
      </c>
      <c r="L16668">
        <v>525</v>
      </c>
      <c r="M16668" t="s">
        <v>36276</v>
      </c>
      <c r="N16668" t="s">
        <v>30</v>
      </c>
      <c r="O16668" t="s">
        <v>31</v>
      </c>
      <c r="P16668" t="str">
        <f>"15214"</f>
        <v>15214</v>
      </c>
    </row>
    <row r="16669" spans="1:16" x14ac:dyDescent="0.25">
      <c r="A16669" t="str">
        <f>"1250023E00179    00"</f>
        <v>1250023E00179    00</v>
      </c>
      <c r="B16669" t="s">
        <v>36434</v>
      </c>
      <c r="C16669" t="s">
        <v>36435</v>
      </c>
      <c r="D16669" t="s">
        <v>20</v>
      </c>
      <c r="E16669" t="s">
        <v>39</v>
      </c>
      <c r="F16669">
        <v>0</v>
      </c>
      <c r="G16669">
        <v>0</v>
      </c>
      <c r="H16669">
        <v>2</v>
      </c>
      <c r="I16669" s="3">
        <v>800.52</v>
      </c>
      <c r="J16669" s="3">
        <v>0</v>
      </c>
      <c r="L16669">
        <v>713</v>
      </c>
      <c r="M16669" t="s">
        <v>36303</v>
      </c>
      <c r="N16669" t="s">
        <v>30</v>
      </c>
      <c r="O16669" t="s">
        <v>31</v>
      </c>
      <c r="P16669" t="str">
        <f>"15214"</f>
        <v>15214</v>
      </c>
    </row>
    <row r="16670" spans="1:16" x14ac:dyDescent="0.25">
      <c r="A16670" t="str">
        <f>"1250023E00190    00"</f>
        <v>1250023E00190    00</v>
      </c>
      <c r="B16670" t="s">
        <v>36436</v>
      </c>
      <c r="C16670" t="s">
        <v>36437</v>
      </c>
      <c r="D16670" t="s">
        <v>20</v>
      </c>
      <c r="E16670" t="s">
        <v>39</v>
      </c>
      <c r="F16670">
        <v>0</v>
      </c>
      <c r="G16670">
        <v>0</v>
      </c>
      <c r="H16670">
        <v>4</v>
      </c>
      <c r="I16670" s="3">
        <v>4752.3</v>
      </c>
      <c r="J16670" s="3">
        <v>581.19000000000005</v>
      </c>
      <c r="L16670">
        <v>1527</v>
      </c>
      <c r="M16670" t="s">
        <v>34348</v>
      </c>
      <c r="N16670" t="s">
        <v>30</v>
      </c>
      <c r="O16670" t="s">
        <v>31</v>
      </c>
      <c r="P16670" t="str">
        <f>"15212"</f>
        <v>15212</v>
      </c>
    </row>
    <row r="16671" spans="1:16" x14ac:dyDescent="0.25">
      <c r="A16671" t="str">
        <f>"1250023E00200    00"</f>
        <v>1250023E00200    00</v>
      </c>
      <c r="B16671" t="s">
        <v>36438</v>
      </c>
      <c r="C16671" t="s">
        <v>36439</v>
      </c>
      <c r="E16671" t="s">
        <v>39</v>
      </c>
      <c r="F16671">
        <v>0</v>
      </c>
      <c r="G16671">
        <v>0</v>
      </c>
      <c r="H16671">
        <v>2</v>
      </c>
      <c r="I16671" s="3">
        <v>4236.24</v>
      </c>
      <c r="J16671" s="3">
        <v>289.7</v>
      </c>
      <c r="K16671" t="s">
        <v>1135</v>
      </c>
      <c r="L16671">
        <v>3001</v>
      </c>
      <c r="M16671" t="s">
        <v>330</v>
      </c>
      <c r="N16671" t="s">
        <v>331</v>
      </c>
      <c r="O16671" t="s">
        <v>108</v>
      </c>
      <c r="P16671" t="str">
        <f>"75063"</f>
        <v>75063</v>
      </c>
    </row>
    <row r="16672" spans="1:16" x14ac:dyDescent="0.25">
      <c r="A16672" t="str">
        <f>"1250023E00204    00"</f>
        <v>1250023E00204    00</v>
      </c>
      <c r="B16672" t="s">
        <v>36440</v>
      </c>
      <c r="C16672" t="s">
        <v>36441</v>
      </c>
      <c r="D16672" t="s">
        <v>20</v>
      </c>
      <c r="E16672" t="s">
        <v>39</v>
      </c>
      <c r="F16672">
        <v>0</v>
      </c>
      <c r="G16672">
        <v>0</v>
      </c>
      <c r="H16672">
        <v>10</v>
      </c>
      <c r="I16672" s="3">
        <v>5268.38</v>
      </c>
      <c r="J16672" s="3">
        <v>2677.96</v>
      </c>
      <c r="L16672">
        <v>407</v>
      </c>
      <c r="M16672" t="s">
        <v>36442</v>
      </c>
      <c r="N16672" t="s">
        <v>30</v>
      </c>
      <c r="O16672" t="s">
        <v>31</v>
      </c>
      <c r="P16672" t="str">
        <f>"15212"</f>
        <v>15212</v>
      </c>
    </row>
    <row r="16673" spans="1:16" x14ac:dyDescent="0.25">
      <c r="A16673" t="str">
        <f>"1250023E00208    00"</f>
        <v>1250023E00208    00</v>
      </c>
      <c r="B16673" t="s">
        <v>36443</v>
      </c>
      <c r="C16673" t="s">
        <v>36444</v>
      </c>
      <c r="D16673" t="s">
        <v>20</v>
      </c>
      <c r="E16673" t="s">
        <v>39</v>
      </c>
      <c r="F16673">
        <v>0</v>
      </c>
      <c r="G16673">
        <v>0</v>
      </c>
      <c r="H16673">
        <v>4</v>
      </c>
      <c r="I16673" s="3">
        <v>9209.84</v>
      </c>
      <c r="J16673" s="3">
        <v>535.9</v>
      </c>
      <c r="L16673">
        <v>1532</v>
      </c>
      <c r="M16673" t="s">
        <v>36445</v>
      </c>
      <c r="N16673" t="s">
        <v>30</v>
      </c>
      <c r="O16673" t="s">
        <v>31</v>
      </c>
      <c r="P16673" t="str">
        <f>"15212"</f>
        <v>15212</v>
      </c>
    </row>
    <row r="16674" spans="1:16" x14ac:dyDescent="0.25">
      <c r="A16674" t="str">
        <f>"1250023E00215    00"</f>
        <v>1250023E00215    00</v>
      </c>
      <c r="B16674" t="s">
        <v>36446</v>
      </c>
      <c r="C16674" t="s">
        <v>36447</v>
      </c>
      <c r="D16674" t="s">
        <v>20</v>
      </c>
      <c r="E16674" t="s">
        <v>39</v>
      </c>
      <c r="F16674">
        <v>0</v>
      </c>
      <c r="G16674">
        <v>0</v>
      </c>
      <c r="H16674">
        <v>3</v>
      </c>
      <c r="I16674" s="3">
        <v>428.88</v>
      </c>
      <c r="J16674" s="3">
        <v>28.6</v>
      </c>
      <c r="K16674" t="s">
        <v>4500</v>
      </c>
      <c r="L16674">
        <v>3001</v>
      </c>
      <c r="M16674" t="s">
        <v>330</v>
      </c>
      <c r="N16674" t="s">
        <v>331</v>
      </c>
      <c r="O16674" t="s">
        <v>108</v>
      </c>
      <c r="P16674" t="str">
        <f>"75063"</f>
        <v>75063</v>
      </c>
    </row>
    <row r="16675" spans="1:16" x14ac:dyDescent="0.25">
      <c r="A16675" t="str">
        <f>"1250023E00221    00"</f>
        <v>1250023E00221    00</v>
      </c>
      <c r="B16675" t="s">
        <v>36448</v>
      </c>
      <c r="C16675" t="s">
        <v>36449</v>
      </c>
      <c r="D16675" t="s">
        <v>20</v>
      </c>
      <c r="E16675" t="s">
        <v>39</v>
      </c>
      <c r="F16675">
        <v>0</v>
      </c>
      <c r="G16675">
        <v>0</v>
      </c>
      <c r="H16675">
        <v>1</v>
      </c>
      <c r="I16675" s="3">
        <v>6989.93</v>
      </c>
      <c r="J16675" s="3">
        <v>2795.86</v>
      </c>
      <c r="K16675" t="s">
        <v>262</v>
      </c>
      <c r="L16675">
        <v>8805</v>
      </c>
      <c r="M16675" t="s">
        <v>263</v>
      </c>
      <c r="N16675" t="s">
        <v>264</v>
      </c>
      <c r="O16675" t="s">
        <v>25</v>
      </c>
      <c r="P16675" t="str">
        <f>"45249"</f>
        <v>45249</v>
      </c>
    </row>
    <row r="16676" spans="1:16" x14ac:dyDescent="0.25">
      <c r="A16676" t="str">
        <f>"1250023E00229    00"</f>
        <v>1250023E00229    00</v>
      </c>
      <c r="B16676" t="s">
        <v>36450</v>
      </c>
      <c r="C16676" t="s">
        <v>36451</v>
      </c>
      <c r="D16676" t="s">
        <v>20</v>
      </c>
      <c r="E16676" t="s">
        <v>39</v>
      </c>
      <c r="F16676">
        <v>0</v>
      </c>
      <c r="G16676">
        <v>0</v>
      </c>
      <c r="H16676">
        <v>8</v>
      </c>
      <c r="I16676" s="3">
        <v>4281.13</v>
      </c>
      <c r="J16676" s="3">
        <v>1400.85</v>
      </c>
      <c r="K16676" t="s">
        <v>36452</v>
      </c>
      <c r="L16676">
        <v>947</v>
      </c>
      <c r="M16676" t="s">
        <v>7890</v>
      </c>
      <c r="N16676" t="s">
        <v>30</v>
      </c>
      <c r="O16676" t="s">
        <v>31</v>
      </c>
      <c r="P16676" t="str">
        <f>"15229"</f>
        <v>15229</v>
      </c>
    </row>
    <row r="16677" spans="1:16" x14ac:dyDescent="0.25">
      <c r="A16677" t="str">
        <f>"1250023E00249    00"</f>
        <v>1250023E00249    00</v>
      </c>
      <c r="B16677" t="s">
        <v>36453</v>
      </c>
      <c r="C16677" t="s">
        <v>36454</v>
      </c>
      <c r="E16677" t="s">
        <v>39</v>
      </c>
      <c r="F16677">
        <v>0</v>
      </c>
      <c r="G16677">
        <v>0</v>
      </c>
      <c r="H16677">
        <v>1</v>
      </c>
      <c r="I16677" s="3">
        <v>625.52</v>
      </c>
      <c r="J16677" s="3">
        <v>0</v>
      </c>
      <c r="L16677">
        <v>1426</v>
      </c>
      <c r="M16677" t="s">
        <v>36455</v>
      </c>
      <c r="N16677" t="s">
        <v>7140</v>
      </c>
      <c r="O16677" t="s">
        <v>495</v>
      </c>
      <c r="P16677" t="str">
        <f>"91724"</f>
        <v>91724</v>
      </c>
    </row>
    <row r="16678" spans="1:16" x14ac:dyDescent="0.25">
      <c r="A16678" t="str">
        <f>"1250023E00255A   00"</f>
        <v>1250023E00255A   00</v>
      </c>
      <c r="B16678" t="s">
        <v>36456</v>
      </c>
      <c r="C16678" t="s">
        <v>36457</v>
      </c>
      <c r="E16678" t="s">
        <v>39</v>
      </c>
      <c r="F16678">
        <v>0</v>
      </c>
      <c r="G16678">
        <v>0</v>
      </c>
      <c r="H16678">
        <v>1</v>
      </c>
      <c r="I16678" s="3">
        <v>45.74</v>
      </c>
      <c r="J16678" s="3">
        <v>0.76</v>
      </c>
      <c r="K16678" t="s">
        <v>4801</v>
      </c>
      <c r="L16678">
        <v>1</v>
      </c>
      <c r="M16678" t="s">
        <v>4802</v>
      </c>
      <c r="N16678" t="s">
        <v>4803</v>
      </c>
      <c r="O16678" t="s">
        <v>554</v>
      </c>
      <c r="P16678" t="str">
        <f>"26003"</f>
        <v>26003</v>
      </c>
    </row>
    <row r="16679" spans="1:16" x14ac:dyDescent="0.25">
      <c r="A16679" t="str">
        <f>"1250023E00256A   00"</f>
        <v>1250023E00256A   00</v>
      </c>
      <c r="B16679" t="s">
        <v>27928</v>
      </c>
      <c r="C16679" t="s">
        <v>36458</v>
      </c>
      <c r="D16679" t="s">
        <v>20</v>
      </c>
      <c r="E16679" t="s">
        <v>39</v>
      </c>
      <c r="F16679">
        <v>0</v>
      </c>
      <c r="G16679">
        <v>0</v>
      </c>
      <c r="H16679">
        <v>2</v>
      </c>
      <c r="I16679" s="3">
        <v>1992.72</v>
      </c>
      <c r="J16679" s="3">
        <v>0</v>
      </c>
      <c r="M16679" t="s">
        <v>36459</v>
      </c>
      <c r="N16679" t="s">
        <v>36460</v>
      </c>
      <c r="O16679" t="s">
        <v>31</v>
      </c>
      <c r="P16679" t="str">
        <f>"15127"</f>
        <v>15127</v>
      </c>
    </row>
    <row r="16680" spans="1:16" x14ac:dyDescent="0.25">
      <c r="A16680" t="str">
        <f>"1250023E00260    00"</f>
        <v>1250023E00260    00</v>
      </c>
      <c r="B16680" t="s">
        <v>36461</v>
      </c>
      <c r="C16680" t="s">
        <v>36462</v>
      </c>
      <c r="E16680" t="s">
        <v>39</v>
      </c>
      <c r="F16680">
        <v>0</v>
      </c>
      <c r="G16680">
        <v>0</v>
      </c>
      <c r="H16680">
        <v>2</v>
      </c>
      <c r="I16680" s="3">
        <v>8577</v>
      </c>
      <c r="J16680" s="3">
        <v>428.84</v>
      </c>
      <c r="K16680" t="s">
        <v>403</v>
      </c>
      <c r="L16680">
        <v>3001</v>
      </c>
      <c r="M16680" t="s">
        <v>404</v>
      </c>
      <c r="N16680" t="s">
        <v>331</v>
      </c>
      <c r="O16680" t="s">
        <v>108</v>
      </c>
      <c r="P16680" t="str">
        <f>"75063"</f>
        <v>75063</v>
      </c>
    </row>
    <row r="16681" spans="1:16" x14ac:dyDescent="0.25">
      <c r="A16681" t="str">
        <f>"1250023E00267    00"</f>
        <v>1250023E00267    00</v>
      </c>
      <c r="B16681" t="s">
        <v>36463</v>
      </c>
      <c r="C16681" t="s">
        <v>36464</v>
      </c>
      <c r="E16681" t="s">
        <v>39</v>
      </c>
      <c r="F16681">
        <v>0</v>
      </c>
      <c r="G16681">
        <v>0</v>
      </c>
      <c r="H16681">
        <v>1</v>
      </c>
      <c r="I16681" s="3">
        <v>6020.33</v>
      </c>
      <c r="J16681" s="3">
        <v>1906.36</v>
      </c>
      <c r="K16681" t="s">
        <v>8530</v>
      </c>
      <c r="L16681">
        <v>1</v>
      </c>
      <c r="M16681" t="s">
        <v>6436</v>
      </c>
      <c r="N16681" t="s">
        <v>8433</v>
      </c>
      <c r="O16681" t="s">
        <v>8434</v>
      </c>
      <c r="P16681" t="str">
        <f>"02903"</f>
        <v>02903</v>
      </c>
    </row>
    <row r="16682" spans="1:16" x14ac:dyDescent="0.25">
      <c r="A16682" t="str">
        <f>"1250023E00280    00"</f>
        <v>1250023E00280    00</v>
      </c>
      <c r="B16682" t="s">
        <v>27629</v>
      </c>
      <c r="C16682" t="s">
        <v>36465</v>
      </c>
      <c r="D16682" t="s">
        <v>20</v>
      </c>
      <c r="E16682" t="s">
        <v>21</v>
      </c>
      <c r="F16682">
        <v>0</v>
      </c>
      <c r="G16682">
        <v>0</v>
      </c>
      <c r="H16682">
        <v>1</v>
      </c>
      <c r="I16682" s="3">
        <v>2750.37</v>
      </c>
      <c r="J16682" s="3">
        <v>0</v>
      </c>
      <c r="K16682" t="s">
        <v>36466</v>
      </c>
      <c r="L16682">
        <v>220</v>
      </c>
      <c r="M16682" t="s">
        <v>5763</v>
      </c>
      <c r="N16682" t="s">
        <v>1928</v>
      </c>
      <c r="O16682" t="s">
        <v>31</v>
      </c>
      <c r="P16682" t="str">
        <f>"15317"</f>
        <v>15317</v>
      </c>
    </row>
    <row r="16683" spans="1:16" x14ac:dyDescent="0.25">
      <c r="A16683" t="str">
        <f>"1250023E00284    00"</f>
        <v>1250023E00284    00</v>
      </c>
      <c r="B16683" t="s">
        <v>36467</v>
      </c>
      <c r="C16683" t="s">
        <v>36468</v>
      </c>
      <c r="D16683" t="s">
        <v>20</v>
      </c>
      <c r="E16683" t="s">
        <v>39</v>
      </c>
      <c r="F16683">
        <v>0</v>
      </c>
      <c r="G16683">
        <v>0</v>
      </c>
      <c r="H16683">
        <v>3</v>
      </c>
      <c r="I16683" s="3">
        <v>8245.9599999999991</v>
      </c>
      <c r="J16683" s="3">
        <v>60.47</v>
      </c>
      <c r="K16683" t="s">
        <v>400</v>
      </c>
      <c r="L16683">
        <v>3001</v>
      </c>
      <c r="M16683" t="s">
        <v>330</v>
      </c>
      <c r="N16683" t="s">
        <v>331</v>
      </c>
      <c r="O16683" t="s">
        <v>108</v>
      </c>
      <c r="P16683" t="str">
        <f>"75063"</f>
        <v>75063</v>
      </c>
    </row>
    <row r="16684" spans="1:16" x14ac:dyDescent="0.25">
      <c r="A16684" t="str">
        <f>"1250023E00291    00"</f>
        <v>1250023E00291    00</v>
      </c>
      <c r="B16684" t="s">
        <v>36469</v>
      </c>
      <c r="C16684" t="s">
        <v>36470</v>
      </c>
      <c r="D16684" t="s">
        <v>20</v>
      </c>
      <c r="E16684" t="s">
        <v>39</v>
      </c>
      <c r="F16684">
        <v>0</v>
      </c>
      <c r="G16684">
        <v>0</v>
      </c>
      <c r="H16684">
        <v>2</v>
      </c>
      <c r="I16684" s="3">
        <v>3199.56</v>
      </c>
      <c r="J16684" s="3">
        <v>0</v>
      </c>
      <c r="K16684" t="s">
        <v>36471</v>
      </c>
      <c r="L16684">
        <v>1525</v>
      </c>
      <c r="M16684" t="s">
        <v>3938</v>
      </c>
      <c r="N16684" t="s">
        <v>30</v>
      </c>
      <c r="O16684" t="s">
        <v>31</v>
      </c>
      <c r="P16684" t="str">
        <f t="shared" ref="P16684:P16689" si="215">"15212"</f>
        <v>15212</v>
      </c>
    </row>
    <row r="16685" spans="1:16" x14ac:dyDescent="0.25">
      <c r="A16685" t="str">
        <f>"1250023E00293    00"</f>
        <v>1250023E00293    00</v>
      </c>
      <c r="B16685" t="s">
        <v>36472</v>
      </c>
      <c r="C16685" t="s">
        <v>36473</v>
      </c>
      <c r="D16685" t="s">
        <v>57</v>
      </c>
      <c r="E16685" t="s">
        <v>39</v>
      </c>
      <c r="F16685">
        <v>0</v>
      </c>
      <c r="G16685">
        <v>0</v>
      </c>
      <c r="H16685">
        <v>2</v>
      </c>
      <c r="I16685" s="3">
        <v>429.82</v>
      </c>
      <c r="J16685" s="3">
        <v>3.46</v>
      </c>
      <c r="L16685">
        <v>1521</v>
      </c>
      <c r="M16685" t="s">
        <v>3938</v>
      </c>
      <c r="N16685" t="s">
        <v>30</v>
      </c>
      <c r="O16685" t="s">
        <v>31</v>
      </c>
      <c r="P16685" t="str">
        <f t="shared" si="215"/>
        <v>15212</v>
      </c>
    </row>
    <row r="16686" spans="1:16" x14ac:dyDescent="0.25">
      <c r="A16686" t="str">
        <f>"1250023E00295    00"</f>
        <v>1250023E00295    00</v>
      </c>
      <c r="B16686" t="s">
        <v>36474</v>
      </c>
      <c r="C16686" t="s">
        <v>36475</v>
      </c>
      <c r="D16686" t="s">
        <v>20</v>
      </c>
      <c r="E16686" t="s">
        <v>39</v>
      </c>
      <c r="F16686">
        <v>0</v>
      </c>
      <c r="G16686">
        <v>0</v>
      </c>
      <c r="H16686">
        <v>2</v>
      </c>
      <c r="I16686" s="3">
        <v>126.96</v>
      </c>
      <c r="J16686" s="3">
        <v>0</v>
      </c>
      <c r="L16686">
        <v>1525</v>
      </c>
      <c r="M16686" t="s">
        <v>3938</v>
      </c>
      <c r="N16686" t="s">
        <v>30</v>
      </c>
      <c r="O16686" t="s">
        <v>31</v>
      </c>
      <c r="P16686" t="str">
        <f t="shared" si="215"/>
        <v>15212</v>
      </c>
    </row>
    <row r="16687" spans="1:16" x14ac:dyDescent="0.25">
      <c r="A16687" t="str">
        <f>"1250023E00298    00"</f>
        <v>1250023E00298    00</v>
      </c>
      <c r="B16687" t="s">
        <v>36476</v>
      </c>
      <c r="C16687" t="s">
        <v>36477</v>
      </c>
      <c r="D16687" t="s">
        <v>20</v>
      </c>
      <c r="E16687" t="s">
        <v>39</v>
      </c>
      <c r="F16687">
        <v>0</v>
      </c>
      <c r="G16687">
        <v>0</v>
      </c>
      <c r="H16687">
        <v>2</v>
      </c>
      <c r="I16687" s="3">
        <v>896.54</v>
      </c>
      <c r="J16687" s="3">
        <v>0</v>
      </c>
      <c r="L16687">
        <v>1525</v>
      </c>
      <c r="M16687" t="s">
        <v>3938</v>
      </c>
      <c r="N16687" t="s">
        <v>30</v>
      </c>
      <c r="O16687" t="s">
        <v>31</v>
      </c>
      <c r="P16687" t="str">
        <f t="shared" si="215"/>
        <v>15212</v>
      </c>
    </row>
    <row r="16688" spans="1:16" x14ac:dyDescent="0.25">
      <c r="A16688" t="str">
        <f>"1250023E00299    00"</f>
        <v>1250023E00299    00</v>
      </c>
      <c r="B16688" t="s">
        <v>36474</v>
      </c>
      <c r="C16688" t="s">
        <v>36478</v>
      </c>
      <c r="D16688" t="s">
        <v>20</v>
      </c>
      <c r="E16688" t="s">
        <v>39</v>
      </c>
      <c r="F16688">
        <v>0</v>
      </c>
      <c r="G16688">
        <v>0</v>
      </c>
      <c r="H16688">
        <v>3</v>
      </c>
      <c r="I16688" s="3">
        <v>1187.3599999999999</v>
      </c>
      <c r="J16688" s="3">
        <v>96.44</v>
      </c>
      <c r="K16688" t="s">
        <v>36479</v>
      </c>
      <c r="L16688">
        <v>719</v>
      </c>
      <c r="M16688" t="s">
        <v>36442</v>
      </c>
      <c r="N16688" t="s">
        <v>30</v>
      </c>
      <c r="O16688" t="s">
        <v>31</v>
      </c>
      <c r="P16688" t="str">
        <f t="shared" si="215"/>
        <v>15212</v>
      </c>
    </row>
    <row r="16689" spans="1:16" x14ac:dyDescent="0.25">
      <c r="A16689" t="str">
        <f>"1250023E00299000100"</f>
        <v>1250023E00299000100</v>
      </c>
      <c r="B16689" t="s">
        <v>36480</v>
      </c>
      <c r="C16689" t="s">
        <v>36481</v>
      </c>
      <c r="E16689" t="s">
        <v>21</v>
      </c>
      <c r="F16689">
        <v>0</v>
      </c>
      <c r="G16689">
        <v>0</v>
      </c>
      <c r="H16689">
        <v>1</v>
      </c>
      <c r="I16689" s="3">
        <v>991.18</v>
      </c>
      <c r="J16689" s="3">
        <v>0</v>
      </c>
      <c r="L16689">
        <v>1534</v>
      </c>
      <c r="M16689" t="s">
        <v>13961</v>
      </c>
      <c r="N16689" t="s">
        <v>30</v>
      </c>
      <c r="O16689" t="s">
        <v>31</v>
      </c>
      <c r="P16689" t="str">
        <f t="shared" si="215"/>
        <v>15212</v>
      </c>
    </row>
    <row r="16690" spans="1:16" x14ac:dyDescent="0.25">
      <c r="A16690" t="str">
        <f>"1250023E00312    00"</f>
        <v>1250023E00312    00</v>
      </c>
      <c r="B16690" t="s">
        <v>36482</v>
      </c>
      <c r="C16690" t="s">
        <v>36483</v>
      </c>
      <c r="D16690" t="s">
        <v>20</v>
      </c>
      <c r="E16690" t="s">
        <v>39</v>
      </c>
      <c r="F16690">
        <v>0</v>
      </c>
      <c r="G16690">
        <v>0</v>
      </c>
      <c r="H16690">
        <v>5</v>
      </c>
      <c r="I16690" s="3">
        <v>37.42</v>
      </c>
      <c r="J16690" s="3">
        <v>8.06</v>
      </c>
      <c r="K16690" t="s">
        <v>36484</v>
      </c>
      <c r="L16690">
        <v>18297</v>
      </c>
      <c r="M16690" t="s">
        <v>36485</v>
      </c>
      <c r="N16690" t="s">
        <v>21817</v>
      </c>
      <c r="O16690" t="s">
        <v>692</v>
      </c>
      <c r="P16690" t="str">
        <f>"20176"</f>
        <v>20176</v>
      </c>
    </row>
    <row r="16691" spans="1:16" x14ac:dyDescent="0.25">
      <c r="A16691" t="str">
        <f>"1250023E00313    00"</f>
        <v>1250023E00313    00</v>
      </c>
      <c r="B16691" t="s">
        <v>36482</v>
      </c>
      <c r="C16691" t="s">
        <v>36483</v>
      </c>
      <c r="D16691" t="s">
        <v>20</v>
      </c>
      <c r="E16691" t="s">
        <v>39</v>
      </c>
      <c r="F16691">
        <v>0</v>
      </c>
      <c r="G16691">
        <v>0</v>
      </c>
      <c r="H16691">
        <v>5</v>
      </c>
      <c r="I16691" s="3">
        <v>37.42</v>
      </c>
      <c r="J16691" s="3">
        <v>8.06</v>
      </c>
      <c r="K16691" t="s">
        <v>36484</v>
      </c>
      <c r="L16691">
        <v>18297</v>
      </c>
      <c r="M16691" t="s">
        <v>36485</v>
      </c>
      <c r="N16691" t="s">
        <v>21817</v>
      </c>
      <c r="O16691" t="s">
        <v>692</v>
      </c>
      <c r="P16691" t="str">
        <f>"20176"</f>
        <v>20176</v>
      </c>
    </row>
    <row r="16692" spans="1:16" x14ac:dyDescent="0.25">
      <c r="A16692" t="str">
        <f>"1250023E00317    00"</f>
        <v>1250023E00317    00</v>
      </c>
      <c r="B16692" t="s">
        <v>36412</v>
      </c>
      <c r="C16692" t="s">
        <v>36483</v>
      </c>
      <c r="E16692" t="s">
        <v>39</v>
      </c>
      <c r="F16692">
        <v>0</v>
      </c>
      <c r="G16692">
        <v>0</v>
      </c>
      <c r="H16692">
        <v>1</v>
      </c>
      <c r="I16692" s="3">
        <v>50.82</v>
      </c>
      <c r="J16692" s="3">
        <v>35.14</v>
      </c>
      <c r="K16692" t="s">
        <v>36413</v>
      </c>
      <c r="L16692">
        <v>1726</v>
      </c>
      <c r="M16692" t="s">
        <v>3938</v>
      </c>
      <c r="N16692" t="s">
        <v>30</v>
      </c>
      <c r="O16692" t="s">
        <v>31</v>
      </c>
      <c r="P16692" t="str">
        <f>"15212"</f>
        <v>15212</v>
      </c>
    </row>
    <row r="16693" spans="1:16" x14ac:dyDescent="0.25">
      <c r="A16693" t="str">
        <f>"1250023E00321    00"</f>
        <v>1250023E00321    00</v>
      </c>
      <c r="B16693" t="s">
        <v>36482</v>
      </c>
      <c r="C16693" t="s">
        <v>36486</v>
      </c>
      <c r="D16693" t="s">
        <v>20</v>
      </c>
      <c r="E16693" t="s">
        <v>39</v>
      </c>
      <c r="F16693">
        <v>0</v>
      </c>
      <c r="G16693">
        <v>0</v>
      </c>
      <c r="H16693">
        <v>7</v>
      </c>
      <c r="I16693" s="3">
        <v>10183.969999999999</v>
      </c>
      <c r="J16693" s="3">
        <v>728.99</v>
      </c>
      <c r="K16693" t="s">
        <v>36484</v>
      </c>
      <c r="L16693">
        <v>18297</v>
      </c>
      <c r="M16693" t="s">
        <v>36485</v>
      </c>
      <c r="N16693" t="s">
        <v>21817</v>
      </c>
      <c r="O16693" t="s">
        <v>692</v>
      </c>
      <c r="P16693" t="str">
        <f>"20176"</f>
        <v>20176</v>
      </c>
    </row>
    <row r="16694" spans="1:16" x14ac:dyDescent="0.25">
      <c r="A16694" t="str">
        <f>"1250023E00322    00"</f>
        <v>1250023E00322    00</v>
      </c>
      <c r="B16694" t="s">
        <v>36482</v>
      </c>
      <c r="C16694" t="s">
        <v>36487</v>
      </c>
      <c r="D16694" t="s">
        <v>20</v>
      </c>
      <c r="E16694" t="s">
        <v>39</v>
      </c>
      <c r="F16694">
        <v>0</v>
      </c>
      <c r="G16694">
        <v>0</v>
      </c>
      <c r="H16694">
        <v>7</v>
      </c>
      <c r="I16694" s="3">
        <v>8860.99</v>
      </c>
      <c r="J16694" s="3">
        <v>2450.35</v>
      </c>
      <c r="K16694" t="s">
        <v>36484</v>
      </c>
      <c r="L16694">
        <v>18297</v>
      </c>
      <c r="M16694" t="s">
        <v>36485</v>
      </c>
      <c r="N16694" t="s">
        <v>21817</v>
      </c>
      <c r="O16694" t="s">
        <v>692</v>
      </c>
      <c r="P16694" t="str">
        <f>"20176"</f>
        <v>20176</v>
      </c>
    </row>
    <row r="16695" spans="1:16" x14ac:dyDescent="0.25">
      <c r="A16695" t="str">
        <f>"1250023E00324    00"</f>
        <v>1250023E00324    00</v>
      </c>
      <c r="B16695" t="s">
        <v>36488</v>
      </c>
      <c r="C16695" t="s">
        <v>36489</v>
      </c>
      <c r="D16695" t="s">
        <v>20</v>
      </c>
      <c r="E16695" t="s">
        <v>39</v>
      </c>
      <c r="F16695">
        <v>0</v>
      </c>
      <c r="G16695">
        <v>0</v>
      </c>
      <c r="H16695">
        <v>1</v>
      </c>
      <c r="I16695" s="3">
        <v>3368.36</v>
      </c>
      <c r="J16695" s="3">
        <v>0</v>
      </c>
      <c r="L16695">
        <v>708</v>
      </c>
      <c r="M16695" t="s">
        <v>36442</v>
      </c>
      <c r="N16695" t="s">
        <v>30</v>
      </c>
      <c r="O16695" t="s">
        <v>31</v>
      </c>
      <c r="P16695" t="str">
        <f>"15212"</f>
        <v>15212</v>
      </c>
    </row>
    <row r="16696" spans="1:16" x14ac:dyDescent="0.25">
      <c r="A16696" t="str">
        <f>"1250023E00335    00"</f>
        <v>1250023E00335    00</v>
      </c>
      <c r="B16696" t="s">
        <v>36490</v>
      </c>
      <c r="C16696" t="s">
        <v>36491</v>
      </c>
      <c r="E16696" t="s">
        <v>39</v>
      </c>
      <c r="F16696">
        <v>0</v>
      </c>
      <c r="G16696">
        <v>0</v>
      </c>
      <c r="H16696">
        <v>1</v>
      </c>
      <c r="I16696" s="3">
        <v>893.57</v>
      </c>
      <c r="J16696" s="3">
        <v>178.71</v>
      </c>
      <c r="K16696" t="s">
        <v>391</v>
      </c>
      <c r="L16696">
        <v>1</v>
      </c>
      <c r="M16696" t="s">
        <v>392</v>
      </c>
      <c r="N16696" t="s">
        <v>393</v>
      </c>
      <c r="O16696" t="s">
        <v>394</v>
      </c>
      <c r="P16696" t="str">
        <f>"50328"</f>
        <v>50328</v>
      </c>
    </row>
    <row r="16697" spans="1:16" x14ac:dyDescent="0.25">
      <c r="A16697" t="str">
        <f>"1250023E00364    00"</f>
        <v>1250023E00364    00</v>
      </c>
      <c r="B16697" t="s">
        <v>36492</v>
      </c>
      <c r="C16697" t="s">
        <v>36493</v>
      </c>
      <c r="D16697" t="s">
        <v>20</v>
      </c>
      <c r="E16697" t="s">
        <v>39</v>
      </c>
      <c r="F16697">
        <v>0</v>
      </c>
      <c r="G16697">
        <v>0</v>
      </c>
      <c r="H16697">
        <v>1</v>
      </c>
      <c r="I16697" s="3">
        <v>341.63</v>
      </c>
      <c r="J16697" s="3">
        <v>0</v>
      </c>
      <c r="L16697">
        <v>1724</v>
      </c>
      <c r="M16697" t="s">
        <v>13961</v>
      </c>
      <c r="N16697" t="s">
        <v>30</v>
      </c>
      <c r="O16697" t="s">
        <v>31</v>
      </c>
      <c r="P16697" t="str">
        <f>"15212"</f>
        <v>15212</v>
      </c>
    </row>
    <row r="16698" spans="1:16" x14ac:dyDescent="0.25">
      <c r="A16698" t="str">
        <f>"1250023E00366    00"</f>
        <v>1250023E00366    00</v>
      </c>
      <c r="B16698" t="s">
        <v>36494</v>
      </c>
      <c r="C16698" t="s">
        <v>36495</v>
      </c>
      <c r="D16698" t="s">
        <v>20</v>
      </c>
      <c r="E16698" t="s">
        <v>39</v>
      </c>
      <c r="F16698">
        <v>0</v>
      </c>
      <c r="G16698">
        <v>0</v>
      </c>
      <c r="H16698">
        <v>19</v>
      </c>
      <c r="I16698" s="3">
        <v>18766.93</v>
      </c>
      <c r="J16698" s="3">
        <v>20314.54</v>
      </c>
      <c r="L16698">
        <v>4003</v>
      </c>
      <c r="M16698" t="s">
        <v>36496</v>
      </c>
      <c r="N16698" t="s">
        <v>171</v>
      </c>
      <c r="O16698" t="s">
        <v>31</v>
      </c>
      <c r="P16698" t="str">
        <f>"15057"</f>
        <v>15057</v>
      </c>
    </row>
    <row r="16699" spans="1:16" x14ac:dyDescent="0.25">
      <c r="A16699" t="str">
        <f>"1250023E00367    00"</f>
        <v>1250023E00367    00</v>
      </c>
      <c r="B16699" t="s">
        <v>36494</v>
      </c>
      <c r="C16699" t="s">
        <v>36497</v>
      </c>
      <c r="D16699" t="s">
        <v>20</v>
      </c>
      <c r="E16699" t="s">
        <v>39</v>
      </c>
      <c r="F16699">
        <v>0</v>
      </c>
      <c r="G16699">
        <v>0</v>
      </c>
      <c r="H16699">
        <v>12</v>
      </c>
      <c r="I16699" s="3">
        <v>1905.83</v>
      </c>
      <c r="J16699" s="3">
        <v>1060.68</v>
      </c>
      <c r="L16699">
        <v>4003</v>
      </c>
      <c r="M16699" t="s">
        <v>36496</v>
      </c>
      <c r="N16699" t="s">
        <v>171</v>
      </c>
      <c r="O16699" t="s">
        <v>31</v>
      </c>
      <c r="P16699" t="str">
        <f>"15057"</f>
        <v>15057</v>
      </c>
    </row>
    <row r="16700" spans="1:16" x14ac:dyDescent="0.25">
      <c r="A16700" t="str">
        <f>"1250023E00368    00"</f>
        <v>1250023E00368    00</v>
      </c>
      <c r="B16700" t="s">
        <v>36498</v>
      </c>
      <c r="C16700" t="s">
        <v>36499</v>
      </c>
      <c r="D16700" t="s">
        <v>20</v>
      </c>
      <c r="E16700" t="s">
        <v>39</v>
      </c>
      <c r="F16700">
        <v>0</v>
      </c>
      <c r="G16700">
        <v>0</v>
      </c>
      <c r="H16700">
        <v>4</v>
      </c>
      <c r="I16700" s="3">
        <v>2057.9899999999998</v>
      </c>
      <c r="J16700" s="3">
        <v>243.1</v>
      </c>
      <c r="L16700">
        <v>1716</v>
      </c>
      <c r="M16700" t="s">
        <v>13961</v>
      </c>
      <c r="N16700" t="s">
        <v>30</v>
      </c>
      <c r="O16700" t="s">
        <v>31</v>
      </c>
      <c r="P16700" t="str">
        <f>"15212"</f>
        <v>15212</v>
      </c>
    </row>
    <row r="16701" spans="1:16" x14ac:dyDescent="0.25">
      <c r="A16701" t="str">
        <f>"1250023E00369    00"</f>
        <v>1250023E00369    00</v>
      </c>
      <c r="B16701" t="s">
        <v>36500</v>
      </c>
      <c r="C16701" t="s">
        <v>36064</v>
      </c>
      <c r="D16701" t="s">
        <v>20</v>
      </c>
      <c r="E16701" t="s">
        <v>39</v>
      </c>
      <c r="F16701">
        <v>0</v>
      </c>
      <c r="G16701">
        <v>0</v>
      </c>
      <c r="H16701">
        <v>4</v>
      </c>
      <c r="I16701" s="3">
        <v>60.36</v>
      </c>
      <c r="J16701" s="3">
        <v>7.43</v>
      </c>
      <c r="L16701">
        <v>184</v>
      </c>
      <c r="M16701" t="s">
        <v>36501</v>
      </c>
      <c r="N16701" t="s">
        <v>30</v>
      </c>
      <c r="O16701" t="s">
        <v>31</v>
      </c>
      <c r="P16701" t="str">
        <f>"15202"</f>
        <v>15202</v>
      </c>
    </row>
    <row r="16702" spans="1:16" x14ac:dyDescent="0.25">
      <c r="A16702" t="str">
        <f>"1250023E00370    00"</f>
        <v>1250023E00370    00</v>
      </c>
      <c r="B16702" t="s">
        <v>36502</v>
      </c>
      <c r="C16702" t="s">
        <v>36064</v>
      </c>
      <c r="D16702" t="s">
        <v>20</v>
      </c>
      <c r="E16702" t="s">
        <v>39</v>
      </c>
      <c r="F16702">
        <v>0</v>
      </c>
      <c r="G16702">
        <v>0</v>
      </c>
      <c r="H16702">
        <v>19</v>
      </c>
      <c r="I16702" s="3">
        <v>11743.5</v>
      </c>
      <c r="J16702" s="3">
        <v>16780.3</v>
      </c>
      <c r="L16702">
        <v>1712</v>
      </c>
      <c r="M16702" t="s">
        <v>13961</v>
      </c>
      <c r="N16702" t="s">
        <v>30</v>
      </c>
      <c r="O16702" t="s">
        <v>31</v>
      </c>
      <c r="P16702" t="str">
        <f>"15212"</f>
        <v>15212</v>
      </c>
    </row>
    <row r="16703" spans="1:16" x14ac:dyDescent="0.25">
      <c r="A16703" t="str">
        <f>"1250023E00373    00"</f>
        <v>1250023E00373    00</v>
      </c>
      <c r="B16703" t="s">
        <v>36503</v>
      </c>
      <c r="C16703" t="s">
        <v>36504</v>
      </c>
      <c r="D16703" t="s">
        <v>20</v>
      </c>
      <c r="E16703" t="s">
        <v>39</v>
      </c>
      <c r="F16703">
        <v>0</v>
      </c>
      <c r="G16703">
        <v>0</v>
      </c>
      <c r="H16703">
        <v>19</v>
      </c>
      <c r="I16703" s="3">
        <v>22042.63</v>
      </c>
      <c r="J16703" s="3">
        <v>23505.82</v>
      </c>
      <c r="L16703">
        <v>1706</v>
      </c>
      <c r="M16703" t="s">
        <v>13961</v>
      </c>
      <c r="N16703" t="s">
        <v>30</v>
      </c>
      <c r="O16703" t="s">
        <v>31</v>
      </c>
      <c r="P16703" t="str">
        <f>"15212"</f>
        <v>15212</v>
      </c>
    </row>
    <row r="16704" spans="1:16" x14ac:dyDescent="0.25">
      <c r="A16704" t="str">
        <f>"1250023E00374    00"</f>
        <v>1250023E00374    00</v>
      </c>
      <c r="B16704" t="s">
        <v>36505</v>
      </c>
      <c r="C16704" t="s">
        <v>36506</v>
      </c>
      <c r="D16704" t="s">
        <v>20</v>
      </c>
      <c r="E16704" t="s">
        <v>39</v>
      </c>
      <c r="F16704">
        <v>0</v>
      </c>
      <c r="G16704">
        <v>0</v>
      </c>
      <c r="H16704">
        <v>1</v>
      </c>
      <c r="I16704" s="3">
        <v>585.15</v>
      </c>
      <c r="J16704" s="3">
        <v>0</v>
      </c>
      <c r="K16704" t="s">
        <v>36507</v>
      </c>
      <c r="L16704">
        <v>20</v>
      </c>
      <c r="M16704" t="s">
        <v>36508</v>
      </c>
      <c r="N16704" t="s">
        <v>7204</v>
      </c>
      <c r="O16704" t="s">
        <v>200</v>
      </c>
      <c r="P16704" t="str">
        <f>"11105"</f>
        <v>11105</v>
      </c>
    </row>
    <row r="16705" spans="1:16" x14ac:dyDescent="0.25">
      <c r="A16705" t="str">
        <f>"1250023E00375    00"</f>
        <v>1250023E00375    00</v>
      </c>
      <c r="B16705" t="s">
        <v>36509</v>
      </c>
      <c r="C16705" t="s">
        <v>36064</v>
      </c>
      <c r="D16705" t="s">
        <v>20</v>
      </c>
      <c r="E16705" t="s">
        <v>39</v>
      </c>
      <c r="F16705">
        <v>0</v>
      </c>
      <c r="G16705">
        <v>0</v>
      </c>
      <c r="H16705">
        <v>15</v>
      </c>
      <c r="I16705" s="3">
        <v>6703.76</v>
      </c>
      <c r="J16705" s="3">
        <v>7789.76</v>
      </c>
      <c r="L16705">
        <v>1702</v>
      </c>
      <c r="M16705" t="s">
        <v>13961</v>
      </c>
      <c r="N16705" t="s">
        <v>30</v>
      </c>
      <c r="O16705" t="s">
        <v>31</v>
      </c>
      <c r="P16705" t="str">
        <f>"15212"</f>
        <v>15212</v>
      </c>
    </row>
    <row r="16706" spans="1:16" x14ac:dyDescent="0.25">
      <c r="A16706" t="str">
        <f>"1250023E00379    00"</f>
        <v>1250023E00379    00</v>
      </c>
      <c r="B16706" t="s">
        <v>36510</v>
      </c>
      <c r="C16706" t="s">
        <v>36511</v>
      </c>
      <c r="D16706" t="s">
        <v>20</v>
      </c>
      <c r="E16706" t="s">
        <v>39</v>
      </c>
      <c r="F16706">
        <v>0</v>
      </c>
      <c r="G16706">
        <v>0</v>
      </c>
      <c r="H16706">
        <v>2</v>
      </c>
      <c r="I16706" s="3">
        <v>9509.07</v>
      </c>
      <c r="J16706" s="3">
        <v>0</v>
      </c>
      <c r="K16706" t="s">
        <v>36512</v>
      </c>
      <c r="L16706">
        <v>1609</v>
      </c>
      <c r="M16706" t="s">
        <v>3938</v>
      </c>
      <c r="N16706" t="s">
        <v>30</v>
      </c>
      <c r="O16706" t="s">
        <v>31</v>
      </c>
      <c r="P16706" t="str">
        <f>"15212"</f>
        <v>15212</v>
      </c>
    </row>
    <row r="16707" spans="1:16" x14ac:dyDescent="0.25">
      <c r="A16707" t="str">
        <f>"1250023E00382    00"</f>
        <v>1250023E00382    00</v>
      </c>
      <c r="B16707" t="s">
        <v>36513</v>
      </c>
      <c r="C16707" t="s">
        <v>36514</v>
      </c>
      <c r="E16707" t="s">
        <v>39</v>
      </c>
      <c r="F16707">
        <v>0</v>
      </c>
      <c r="G16707">
        <v>0</v>
      </c>
      <c r="H16707">
        <v>1</v>
      </c>
      <c r="I16707" s="3">
        <v>2262.1799999999998</v>
      </c>
      <c r="J16707" s="3">
        <v>18.850000000000001</v>
      </c>
      <c r="K16707" t="s">
        <v>3637</v>
      </c>
      <c r="L16707">
        <v>901</v>
      </c>
      <c r="M16707" t="s">
        <v>1503</v>
      </c>
      <c r="N16707" t="s">
        <v>494</v>
      </c>
      <c r="O16707" t="s">
        <v>495</v>
      </c>
      <c r="P16707" t="str">
        <f>"91768"</f>
        <v>91768</v>
      </c>
    </row>
    <row r="16708" spans="1:16" x14ac:dyDescent="0.25">
      <c r="A16708" t="str">
        <f>"1250023E00384    00"</f>
        <v>1250023E00384    00</v>
      </c>
      <c r="B16708" t="s">
        <v>36515</v>
      </c>
      <c r="C16708" t="s">
        <v>36516</v>
      </c>
      <c r="D16708" t="s">
        <v>20</v>
      </c>
      <c r="E16708" t="s">
        <v>39</v>
      </c>
      <c r="F16708">
        <v>0</v>
      </c>
      <c r="G16708">
        <v>0</v>
      </c>
      <c r="H16708">
        <v>2</v>
      </c>
      <c r="I16708" s="3">
        <v>91.48</v>
      </c>
      <c r="J16708" s="3">
        <v>0</v>
      </c>
      <c r="K16708" t="s">
        <v>36517</v>
      </c>
      <c r="L16708">
        <v>3138</v>
      </c>
      <c r="M16708" t="s">
        <v>36518</v>
      </c>
      <c r="N16708" t="s">
        <v>30</v>
      </c>
      <c r="O16708" t="s">
        <v>31</v>
      </c>
      <c r="P16708" t="str">
        <f t="shared" ref="P16708:P16713" si="216">"15201"</f>
        <v>15201</v>
      </c>
    </row>
    <row r="16709" spans="1:16" x14ac:dyDescent="0.25">
      <c r="A16709" t="str">
        <f>"1250023E00385    00"</f>
        <v>1250023E00385    00</v>
      </c>
      <c r="B16709" t="s">
        <v>36515</v>
      </c>
      <c r="C16709" t="s">
        <v>36519</v>
      </c>
      <c r="D16709" t="s">
        <v>20</v>
      </c>
      <c r="E16709" t="s">
        <v>39</v>
      </c>
      <c r="F16709">
        <v>0</v>
      </c>
      <c r="G16709">
        <v>0</v>
      </c>
      <c r="H16709">
        <v>2</v>
      </c>
      <c r="I16709" s="3">
        <v>129.61000000000001</v>
      </c>
      <c r="J16709" s="3">
        <v>0</v>
      </c>
      <c r="K16709" t="s">
        <v>36517</v>
      </c>
      <c r="L16709">
        <v>3138</v>
      </c>
      <c r="M16709" t="s">
        <v>36518</v>
      </c>
      <c r="N16709" t="s">
        <v>30</v>
      </c>
      <c r="O16709" t="s">
        <v>31</v>
      </c>
      <c r="P16709" t="str">
        <f t="shared" si="216"/>
        <v>15201</v>
      </c>
    </row>
    <row r="16710" spans="1:16" x14ac:dyDescent="0.25">
      <c r="A16710" t="str">
        <f>"1250023E00386    00"</f>
        <v>1250023E00386    00</v>
      </c>
      <c r="B16710" t="s">
        <v>36515</v>
      </c>
      <c r="C16710" t="s">
        <v>36520</v>
      </c>
      <c r="D16710" t="s">
        <v>20</v>
      </c>
      <c r="E16710" t="s">
        <v>39</v>
      </c>
      <c r="F16710">
        <v>0</v>
      </c>
      <c r="G16710">
        <v>0</v>
      </c>
      <c r="H16710">
        <v>2</v>
      </c>
      <c r="I16710" s="3">
        <v>80.08</v>
      </c>
      <c r="J16710" s="3">
        <v>0</v>
      </c>
      <c r="K16710" t="s">
        <v>36517</v>
      </c>
      <c r="L16710">
        <v>3138</v>
      </c>
      <c r="M16710" t="s">
        <v>36518</v>
      </c>
      <c r="N16710" t="s">
        <v>30</v>
      </c>
      <c r="O16710" t="s">
        <v>31</v>
      </c>
      <c r="P16710" t="str">
        <f t="shared" si="216"/>
        <v>15201</v>
      </c>
    </row>
    <row r="16711" spans="1:16" x14ac:dyDescent="0.25">
      <c r="A16711" t="str">
        <f>"1250023E00387    00"</f>
        <v>1250023E00387    00</v>
      </c>
      <c r="B16711" t="s">
        <v>36515</v>
      </c>
      <c r="C16711" t="s">
        <v>36521</v>
      </c>
      <c r="D16711" t="s">
        <v>20</v>
      </c>
      <c r="E16711" t="s">
        <v>39</v>
      </c>
      <c r="F16711">
        <v>0</v>
      </c>
      <c r="G16711">
        <v>0</v>
      </c>
      <c r="H16711">
        <v>2</v>
      </c>
      <c r="I16711" s="3">
        <v>68.62</v>
      </c>
      <c r="J16711" s="3">
        <v>0</v>
      </c>
      <c r="K16711" t="s">
        <v>36517</v>
      </c>
      <c r="L16711">
        <v>3138</v>
      </c>
      <c r="M16711" t="s">
        <v>36518</v>
      </c>
      <c r="N16711" t="s">
        <v>30</v>
      </c>
      <c r="O16711" t="s">
        <v>31</v>
      </c>
      <c r="P16711" t="str">
        <f t="shared" si="216"/>
        <v>15201</v>
      </c>
    </row>
    <row r="16712" spans="1:16" x14ac:dyDescent="0.25">
      <c r="A16712" t="str">
        <f>"1250023E00391    00"</f>
        <v>1250023E00391    00</v>
      </c>
      <c r="B16712" t="s">
        <v>36515</v>
      </c>
      <c r="C16712" t="s">
        <v>36522</v>
      </c>
      <c r="D16712" t="s">
        <v>20</v>
      </c>
      <c r="E16712" t="s">
        <v>39</v>
      </c>
      <c r="F16712">
        <v>0</v>
      </c>
      <c r="G16712">
        <v>0</v>
      </c>
      <c r="H16712">
        <v>2</v>
      </c>
      <c r="I16712" s="3">
        <v>160.1</v>
      </c>
      <c r="J16712" s="3">
        <v>0</v>
      </c>
      <c r="K16712" t="s">
        <v>36517</v>
      </c>
      <c r="L16712">
        <v>3138</v>
      </c>
      <c r="M16712" t="s">
        <v>36518</v>
      </c>
      <c r="N16712" t="s">
        <v>30</v>
      </c>
      <c r="O16712" t="s">
        <v>31</v>
      </c>
      <c r="P16712" t="str">
        <f t="shared" si="216"/>
        <v>15201</v>
      </c>
    </row>
    <row r="16713" spans="1:16" x14ac:dyDescent="0.25">
      <c r="A16713" t="str">
        <f>"1250023E00392    00"</f>
        <v>1250023E00392    00</v>
      </c>
      <c r="B16713" t="s">
        <v>36515</v>
      </c>
      <c r="C16713" t="s">
        <v>36262</v>
      </c>
      <c r="D16713" t="s">
        <v>20</v>
      </c>
      <c r="E16713" t="s">
        <v>39</v>
      </c>
      <c r="F16713">
        <v>0</v>
      </c>
      <c r="G16713">
        <v>0</v>
      </c>
      <c r="H16713">
        <v>2</v>
      </c>
      <c r="I16713" s="3">
        <v>243.96</v>
      </c>
      <c r="J16713" s="3">
        <v>0</v>
      </c>
      <c r="K16713" t="s">
        <v>36517</v>
      </c>
      <c r="L16713">
        <v>3138</v>
      </c>
      <c r="M16713" t="s">
        <v>36518</v>
      </c>
      <c r="N16713" t="s">
        <v>30</v>
      </c>
      <c r="O16713" t="s">
        <v>31</v>
      </c>
      <c r="P16713" t="str">
        <f t="shared" si="216"/>
        <v>15201</v>
      </c>
    </row>
    <row r="16714" spans="1:16" x14ac:dyDescent="0.25">
      <c r="A16714" t="str">
        <f>"1250023F00006    00"</f>
        <v>1250023F00006    00</v>
      </c>
      <c r="B16714" t="s">
        <v>36523</v>
      </c>
      <c r="C16714" t="s">
        <v>36524</v>
      </c>
      <c r="E16714" t="s">
        <v>39</v>
      </c>
      <c r="F16714">
        <v>0</v>
      </c>
      <c r="G16714">
        <v>0</v>
      </c>
      <c r="H16714">
        <v>1</v>
      </c>
      <c r="I16714" s="3">
        <v>3621.42</v>
      </c>
      <c r="J16714" s="3">
        <v>0</v>
      </c>
      <c r="K16714" t="s">
        <v>36525</v>
      </c>
      <c r="L16714">
        <v>1749</v>
      </c>
      <c r="M16714" t="s">
        <v>34518</v>
      </c>
      <c r="N16714" t="s">
        <v>30</v>
      </c>
      <c r="O16714" t="s">
        <v>31</v>
      </c>
      <c r="P16714" t="str">
        <f>"15212"</f>
        <v>15212</v>
      </c>
    </row>
    <row r="16715" spans="1:16" x14ac:dyDescent="0.25">
      <c r="A16715" t="str">
        <f>"1250023F00008    00"</f>
        <v>1250023F00008    00</v>
      </c>
      <c r="B16715" t="s">
        <v>36523</v>
      </c>
      <c r="C16715" t="s">
        <v>36257</v>
      </c>
      <c r="E16715" t="s">
        <v>39</v>
      </c>
      <c r="F16715">
        <v>0</v>
      </c>
      <c r="G16715">
        <v>0</v>
      </c>
      <c r="H16715">
        <v>1</v>
      </c>
      <c r="I16715" s="3">
        <v>285.89999999999998</v>
      </c>
      <c r="J16715" s="3">
        <v>0</v>
      </c>
      <c r="K16715" t="s">
        <v>36525</v>
      </c>
      <c r="L16715">
        <v>1749</v>
      </c>
      <c r="M16715" t="s">
        <v>36526</v>
      </c>
      <c r="N16715" t="s">
        <v>30</v>
      </c>
      <c r="O16715" t="s">
        <v>31</v>
      </c>
      <c r="P16715" t="str">
        <f>"15212"</f>
        <v>15212</v>
      </c>
    </row>
    <row r="16716" spans="1:16" x14ac:dyDescent="0.25">
      <c r="A16716" t="str">
        <f>"1250023F00061    00"</f>
        <v>1250023F00061    00</v>
      </c>
      <c r="B16716" t="s">
        <v>20777</v>
      </c>
      <c r="C16716" t="s">
        <v>36257</v>
      </c>
      <c r="D16716" t="s">
        <v>20</v>
      </c>
      <c r="E16716" t="s">
        <v>39</v>
      </c>
      <c r="F16716">
        <v>0</v>
      </c>
      <c r="G16716">
        <v>0</v>
      </c>
      <c r="H16716">
        <v>1</v>
      </c>
      <c r="I16716" s="3">
        <v>125.8</v>
      </c>
      <c r="J16716" s="3">
        <v>0</v>
      </c>
      <c r="K16716" t="s">
        <v>20779</v>
      </c>
      <c r="L16716">
        <v>527</v>
      </c>
      <c r="M16716" t="s">
        <v>36527</v>
      </c>
      <c r="N16716" t="s">
        <v>30</v>
      </c>
      <c r="O16716" t="s">
        <v>31</v>
      </c>
      <c r="P16716" t="str">
        <f>"15237"</f>
        <v>15237</v>
      </c>
    </row>
    <row r="16717" spans="1:16" x14ac:dyDescent="0.25">
      <c r="A16717" t="str">
        <f>"1250023F00063    00"</f>
        <v>1250023F00063    00</v>
      </c>
      <c r="B16717" t="s">
        <v>20777</v>
      </c>
      <c r="C16717" t="s">
        <v>36528</v>
      </c>
      <c r="D16717" t="s">
        <v>20</v>
      </c>
      <c r="E16717" t="s">
        <v>39</v>
      </c>
      <c r="F16717">
        <v>0</v>
      </c>
      <c r="G16717">
        <v>0</v>
      </c>
      <c r="H16717">
        <v>1</v>
      </c>
      <c r="I16717" s="3">
        <v>476.52</v>
      </c>
      <c r="J16717" s="3">
        <v>0</v>
      </c>
      <c r="K16717" t="s">
        <v>20779</v>
      </c>
      <c r="L16717">
        <v>8878</v>
      </c>
      <c r="M16717" t="s">
        <v>20780</v>
      </c>
      <c r="N16717" t="s">
        <v>30</v>
      </c>
      <c r="O16717" t="s">
        <v>31</v>
      </c>
      <c r="P16717" t="str">
        <f>"15237"</f>
        <v>15237</v>
      </c>
    </row>
    <row r="16718" spans="1:16" x14ac:dyDescent="0.25">
      <c r="A16718" t="str">
        <f>"1250023F00086    00"</f>
        <v>1250023F00086    00</v>
      </c>
      <c r="B16718" t="s">
        <v>36529</v>
      </c>
      <c r="C16718" t="s">
        <v>36530</v>
      </c>
      <c r="E16718" t="s">
        <v>39</v>
      </c>
      <c r="F16718">
        <v>0</v>
      </c>
      <c r="G16718">
        <v>0</v>
      </c>
      <c r="H16718">
        <v>1</v>
      </c>
      <c r="I16718" s="3">
        <v>4040.93</v>
      </c>
      <c r="J16718" s="3">
        <v>639.78</v>
      </c>
      <c r="K16718" t="s">
        <v>7185</v>
      </c>
      <c r="L16718">
        <v>1</v>
      </c>
      <c r="M16718" t="s">
        <v>7186</v>
      </c>
      <c r="N16718" t="s">
        <v>4803</v>
      </c>
      <c r="O16718" t="s">
        <v>554</v>
      </c>
      <c r="P16718" t="str">
        <f>"26003"</f>
        <v>26003</v>
      </c>
    </row>
    <row r="16719" spans="1:16" x14ac:dyDescent="0.25">
      <c r="A16719" t="str">
        <f>"1250023F00090    00"</f>
        <v>1250023F00090    00</v>
      </c>
      <c r="B16719" t="s">
        <v>36531</v>
      </c>
      <c r="C16719" t="s">
        <v>36532</v>
      </c>
      <c r="E16719" t="s">
        <v>39</v>
      </c>
      <c r="F16719">
        <v>0</v>
      </c>
      <c r="G16719">
        <v>0</v>
      </c>
      <c r="H16719">
        <v>3</v>
      </c>
      <c r="I16719" s="3">
        <v>1584.9</v>
      </c>
      <c r="J16719" s="3">
        <v>279.48</v>
      </c>
      <c r="K16719" t="s">
        <v>1632</v>
      </c>
      <c r="M16719" t="s">
        <v>1633</v>
      </c>
      <c r="N16719" t="s">
        <v>1634</v>
      </c>
      <c r="O16719" t="s">
        <v>25</v>
      </c>
      <c r="P16719" t="str">
        <f>"45401"</f>
        <v>45401</v>
      </c>
    </row>
    <row r="16720" spans="1:16" x14ac:dyDescent="0.25">
      <c r="A16720" t="str">
        <f>"1250023F00108    00"</f>
        <v>1250023F00108    00</v>
      </c>
      <c r="B16720" t="s">
        <v>36533</v>
      </c>
      <c r="C16720" t="s">
        <v>36534</v>
      </c>
      <c r="D16720" t="s">
        <v>20</v>
      </c>
      <c r="E16720" t="s">
        <v>39</v>
      </c>
      <c r="F16720">
        <v>0</v>
      </c>
      <c r="G16720">
        <v>0</v>
      </c>
      <c r="H16720">
        <v>11</v>
      </c>
      <c r="I16720" s="3">
        <v>10447.23</v>
      </c>
      <c r="J16720" s="3">
        <v>7527.75</v>
      </c>
      <c r="K16720" t="s">
        <v>36535</v>
      </c>
      <c r="L16720">
        <v>17731</v>
      </c>
      <c r="M16720" t="s">
        <v>36536</v>
      </c>
      <c r="N16720" t="s">
        <v>36537</v>
      </c>
      <c r="O16720" t="s">
        <v>31</v>
      </c>
      <c r="P16720" t="str">
        <f>"16335"</f>
        <v>16335</v>
      </c>
    </row>
    <row r="16721" spans="1:16" x14ac:dyDescent="0.25">
      <c r="A16721" t="str">
        <f>"1250023F00110    00"</f>
        <v>1250023F00110    00</v>
      </c>
      <c r="B16721" t="s">
        <v>36538</v>
      </c>
      <c r="C16721" t="s">
        <v>36539</v>
      </c>
      <c r="D16721" t="s">
        <v>20</v>
      </c>
      <c r="E16721" t="s">
        <v>39</v>
      </c>
      <c r="F16721">
        <v>0</v>
      </c>
      <c r="G16721">
        <v>0</v>
      </c>
      <c r="H16721">
        <v>4</v>
      </c>
      <c r="I16721" s="3">
        <v>407.86</v>
      </c>
      <c r="J16721" s="3">
        <v>42.4</v>
      </c>
      <c r="L16721">
        <v>246</v>
      </c>
      <c r="M16721" t="s">
        <v>36540</v>
      </c>
      <c r="N16721" t="s">
        <v>30</v>
      </c>
      <c r="O16721" t="s">
        <v>31</v>
      </c>
      <c r="P16721" t="str">
        <f>"15212"</f>
        <v>15212</v>
      </c>
    </row>
    <row r="16722" spans="1:16" x14ac:dyDescent="0.25">
      <c r="A16722" t="str">
        <f>"1250023F00114    00"</f>
        <v>1250023F00114    00</v>
      </c>
      <c r="B16722" t="s">
        <v>36432</v>
      </c>
      <c r="C16722" t="s">
        <v>36541</v>
      </c>
      <c r="D16722" t="s">
        <v>20</v>
      </c>
      <c r="E16722" t="s">
        <v>39</v>
      </c>
      <c r="F16722">
        <v>0</v>
      </c>
      <c r="G16722">
        <v>0</v>
      </c>
      <c r="H16722">
        <v>3</v>
      </c>
      <c r="I16722" s="3">
        <v>950.68</v>
      </c>
      <c r="J16722" s="3">
        <v>115.23</v>
      </c>
      <c r="L16722">
        <v>525</v>
      </c>
      <c r="M16722" t="s">
        <v>36276</v>
      </c>
      <c r="N16722" t="s">
        <v>30</v>
      </c>
      <c r="O16722" t="s">
        <v>31</v>
      </c>
      <c r="P16722" t="str">
        <f>"15214"</f>
        <v>15214</v>
      </c>
    </row>
    <row r="16723" spans="1:16" x14ac:dyDescent="0.25">
      <c r="A16723" t="str">
        <f>"1250023F00114A   00"</f>
        <v>1250023F00114A   00</v>
      </c>
      <c r="B16723" t="s">
        <v>36542</v>
      </c>
      <c r="C16723" t="s">
        <v>36543</v>
      </c>
      <c r="D16723" t="s">
        <v>20</v>
      </c>
      <c r="E16723" t="s">
        <v>39</v>
      </c>
      <c r="F16723">
        <v>0</v>
      </c>
      <c r="G16723">
        <v>0</v>
      </c>
      <c r="H16723">
        <v>1</v>
      </c>
      <c r="I16723" s="3">
        <v>434.59</v>
      </c>
      <c r="J16723" s="3">
        <v>0</v>
      </c>
      <c r="K16723" t="s">
        <v>34448</v>
      </c>
      <c r="L16723">
        <v>115</v>
      </c>
      <c r="M16723" t="s">
        <v>34449</v>
      </c>
      <c r="N16723" t="s">
        <v>1928</v>
      </c>
      <c r="O16723" t="s">
        <v>31</v>
      </c>
      <c r="P16723" t="str">
        <f>"15317"</f>
        <v>15317</v>
      </c>
    </row>
    <row r="16724" spans="1:16" x14ac:dyDescent="0.25">
      <c r="A16724" t="str">
        <f>"1250023F00115    00"</f>
        <v>1250023F00115    00</v>
      </c>
      <c r="B16724" t="s">
        <v>36432</v>
      </c>
      <c r="C16724" t="s">
        <v>36544</v>
      </c>
      <c r="D16724" t="s">
        <v>20</v>
      </c>
      <c r="E16724" t="s">
        <v>39</v>
      </c>
      <c r="F16724">
        <v>0</v>
      </c>
      <c r="G16724">
        <v>0</v>
      </c>
      <c r="H16724">
        <v>3</v>
      </c>
      <c r="I16724" s="3">
        <v>1427.73</v>
      </c>
      <c r="J16724" s="3">
        <v>225.17</v>
      </c>
      <c r="L16724">
        <v>525</v>
      </c>
      <c r="M16724" t="s">
        <v>36276</v>
      </c>
      <c r="N16724" t="s">
        <v>30</v>
      </c>
      <c r="O16724" t="s">
        <v>31</v>
      </c>
      <c r="P16724" t="str">
        <f>"15214"</f>
        <v>15214</v>
      </c>
    </row>
    <row r="16725" spans="1:16" x14ac:dyDescent="0.25">
      <c r="A16725" t="str">
        <f>"1250023F00123    00"</f>
        <v>1250023F00123    00</v>
      </c>
      <c r="B16725" t="s">
        <v>36545</v>
      </c>
      <c r="C16725" t="s">
        <v>36546</v>
      </c>
      <c r="D16725" t="s">
        <v>20</v>
      </c>
      <c r="E16725" t="s">
        <v>39</v>
      </c>
      <c r="F16725">
        <v>0</v>
      </c>
      <c r="G16725">
        <v>0</v>
      </c>
      <c r="H16725">
        <v>17</v>
      </c>
      <c r="I16725" s="3">
        <v>6790.63</v>
      </c>
      <c r="J16725" s="3">
        <v>9822.7099999999991</v>
      </c>
      <c r="K16725" t="s">
        <v>1008</v>
      </c>
      <c r="P16725" t="str">
        <f>""</f>
        <v/>
      </c>
    </row>
    <row r="16726" spans="1:16" x14ac:dyDescent="0.25">
      <c r="A16726" t="str">
        <f>"1250023F00142    00"</f>
        <v>1250023F00142    00</v>
      </c>
      <c r="B16726" t="s">
        <v>36547</v>
      </c>
      <c r="C16726" t="s">
        <v>36548</v>
      </c>
      <c r="E16726" t="s">
        <v>39</v>
      </c>
      <c r="F16726">
        <v>0</v>
      </c>
      <c r="G16726">
        <v>0</v>
      </c>
      <c r="H16726">
        <v>13</v>
      </c>
      <c r="I16726" s="3">
        <v>667.29</v>
      </c>
      <c r="J16726" s="3">
        <v>921.09</v>
      </c>
      <c r="L16726">
        <v>215</v>
      </c>
      <c r="M16726" t="s">
        <v>36540</v>
      </c>
      <c r="N16726" t="s">
        <v>30</v>
      </c>
      <c r="O16726" t="s">
        <v>31</v>
      </c>
      <c r="P16726" t="str">
        <f>"15212"</f>
        <v>15212</v>
      </c>
    </row>
    <row r="16727" spans="1:16" x14ac:dyDescent="0.25">
      <c r="A16727" t="str">
        <f>"1250023F00144    00"</f>
        <v>1250023F00144    00</v>
      </c>
      <c r="B16727" t="s">
        <v>36549</v>
      </c>
      <c r="C16727" t="s">
        <v>36548</v>
      </c>
      <c r="E16727" t="s">
        <v>39</v>
      </c>
      <c r="F16727">
        <v>0</v>
      </c>
      <c r="G16727">
        <v>0</v>
      </c>
      <c r="H16727">
        <v>3</v>
      </c>
      <c r="I16727" s="3">
        <v>166.41</v>
      </c>
      <c r="J16727" s="3">
        <v>43.19</v>
      </c>
      <c r="L16727">
        <v>216</v>
      </c>
      <c r="M16727" t="s">
        <v>14476</v>
      </c>
      <c r="N16727" t="s">
        <v>30</v>
      </c>
      <c r="O16727" t="s">
        <v>31</v>
      </c>
      <c r="P16727" t="str">
        <f>"15212"</f>
        <v>15212</v>
      </c>
    </row>
    <row r="16728" spans="1:16" x14ac:dyDescent="0.25">
      <c r="A16728" t="str">
        <f>"1250023F00148    00"</f>
        <v>1250023F00148    00</v>
      </c>
      <c r="B16728" t="s">
        <v>36550</v>
      </c>
      <c r="C16728" t="s">
        <v>36551</v>
      </c>
      <c r="D16728" t="s">
        <v>20</v>
      </c>
      <c r="E16728" t="s">
        <v>39</v>
      </c>
      <c r="F16728">
        <v>0</v>
      </c>
      <c r="G16728">
        <v>0</v>
      </c>
      <c r="H16728">
        <v>4</v>
      </c>
      <c r="I16728" s="3">
        <v>2344.6999999999998</v>
      </c>
      <c r="J16728" s="3">
        <v>96.36</v>
      </c>
      <c r="L16728">
        <v>104</v>
      </c>
      <c r="M16728" t="s">
        <v>36552</v>
      </c>
      <c r="N16728" t="s">
        <v>30</v>
      </c>
      <c r="O16728" t="s">
        <v>31</v>
      </c>
      <c r="P16728" t="str">
        <f>"15212"</f>
        <v>15212</v>
      </c>
    </row>
    <row r="16729" spans="1:16" x14ac:dyDescent="0.25">
      <c r="A16729" t="str">
        <f>"1250023F00152    00"</f>
        <v>1250023F00152    00</v>
      </c>
      <c r="B16729" t="s">
        <v>36553</v>
      </c>
      <c r="C16729" t="s">
        <v>36554</v>
      </c>
      <c r="E16729" t="s">
        <v>39</v>
      </c>
      <c r="F16729">
        <v>0</v>
      </c>
      <c r="G16729">
        <v>0</v>
      </c>
      <c r="H16729">
        <v>1</v>
      </c>
      <c r="I16729" s="3">
        <v>180.35</v>
      </c>
      <c r="J16729" s="3">
        <v>165.28</v>
      </c>
      <c r="K16729" t="s">
        <v>36555</v>
      </c>
      <c r="L16729">
        <v>315</v>
      </c>
      <c r="M16729" t="s">
        <v>4167</v>
      </c>
      <c r="N16729" t="s">
        <v>30</v>
      </c>
      <c r="O16729" t="s">
        <v>31</v>
      </c>
      <c r="P16729" t="str">
        <f>"15214"</f>
        <v>15214</v>
      </c>
    </row>
    <row r="16730" spans="1:16" x14ac:dyDescent="0.25">
      <c r="A16730" t="str">
        <f>"1250023F00168    00"</f>
        <v>1250023F00168    00</v>
      </c>
      <c r="B16730" t="s">
        <v>36556</v>
      </c>
      <c r="C16730" t="s">
        <v>36546</v>
      </c>
      <c r="D16730" t="s">
        <v>20</v>
      </c>
      <c r="E16730" t="s">
        <v>39</v>
      </c>
      <c r="F16730">
        <v>0</v>
      </c>
      <c r="G16730">
        <v>0</v>
      </c>
      <c r="H16730">
        <v>16</v>
      </c>
      <c r="I16730" s="3">
        <v>565.94000000000005</v>
      </c>
      <c r="J16730" s="3">
        <v>751.28</v>
      </c>
      <c r="L16730">
        <v>828</v>
      </c>
      <c r="M16730" t="s">
        <v>12352</v>
      </c>
      <c r="N16730" t="s">
        <v>30</v>
      </c>
      <c r="O16730" t="s">
        <v>31</v>
      </c>
      <c r="P16730" t="str">
        <f>"15208"</f>
        <v>15208</v>
      </c>
    </row>
    <row r="16731" spans="1:16" x14ac:dyDescent="0.25">
      <c r="A16731" t="str">
        <f>"1250023F00169    00"</f>
        <v>1250023F00169    00</v>
      </c>
      <c r="B16731" t="s">
        <v>36557</v>
      </c>
      <c r="C16731" t="s">
        <v>36558</v>
      </c>
      <c r="E16731" t="s">
        <v>39</v>
      </c>
      <c r="F16731">
        <v>0</v>
      </c>
      <c r="G16731">
        <v>0</v>
      </c>
      <c r="H16731">
        <v>3</v>
      </c>
      <c r="I16731" s="3">
        <v>421.11</v>
      </c>
      <c r="J16731" s="3">
        <v>170.07</v>
      </c>
      <c r="L16731">
        <v>120</v>
      </c>
      <c r="M16731" t="s">
        <v>14476</v>
      </c>
      <c r="N16731" t="s">
        <v>30</v>
      </c>
      <c r="O16731" t="s">
        <v>31</v>
      </c>
      <c r="P16731" t="str">
        <f>"15212"</f>
        <v>15212</v>
      </c>
    </row>
    <row r="16732" spans="1:16" x14ac:dyDescent="0.25">
      <c r="A16732" t="str">
        <f>"1250023F00173    00"</f>
        <v>1250023F00173    00</v>
      </c>
      <c r="B16732" t="s">
        <v>36559</v>
      </c>
      <c r="C16732" t="s">
        <v>36560</v>
      </c>
      <c r="E16732" t="s">
        <v>39</v>
      </c>
      <c r="F16732">
        <v>0</v>
      </c>
      <c r="G16732">
        <v>0</v>
      </c>
      <c r="H16732">
        <v>7</v>
      </c>
      <c r="I16732" s="3">
        <v>5343.71</v>
      </c>
      <c r="J16732" s="3">
        <v>7931.45</v>
      </c>
      <c r="K16732" t="s">
        <v>36561</v>
      </c>
      <c r="L16732">
        <v>114</v>
      </c>
      <c r="M16732" t="s">
        <v>14476</v>
      </c>
      <c r="N16732" t="s">
        <v>30</v>
      </c>
      <c r="O16732" t="s">
        <v>31</v>
      </c>
      <c r="P16732" t="str">
        <f>"15212"</f>
        <v>15212</v>
      </c>
    </row>
    <row r="16733" spans="1:16" x14ac:dyDescent="0.25">
      <c r="A16733" t="str">
        <f>"1250023F00175    00"</f>
        <v>1250023F00175    00</v>
      </c>
      <c r="B16733" t="s">
        <v>36144</v>
      </c>
      <c r="C16733" t="s">
        <v>36562</v>
      </c>
      <c r="E16733" t="s">
        <v>39</v>
      </c>
      <c r="F16733">
        <v>0</v>
      </c>
      <c r="G16733">
        <v>0</v>
      </c>
      <c r="H16733">
        <v>1</v>
      </c>
      <c r="I16733" s="3">
        <v>611.84</v>
      </c>
      <c r="J16733" s="3">
        <v>0</v>
      </c>
      <c r="K16733" t="s">
        <v>36563</v>
      </c>
      <c r="L16733">
        <v>1724</v>
      </c>
      <c r="M16733" t="s">
        <v>13856</v>
      </c>
      <c r="N16733" t="s">
        <v>30</v>
      </c>
      <c r="O16733" t="s">
        <v>31</v>
      </c>
      <c r="P16733" t="str">
        <f>"15212"</f>
        <v>15212</v>
      </c>
    </row>
    <row r="16734" spans="1:16" x14ac:dyDescent="0.25">
      <c r="A16734" t="str">
        <f>"1250023F00177    00"</f>
        <v>1250023F00177    00</v>
      </c>
      <c r="B16734" t="s">
        <v>36564</v>
      </c>
      <c r="C16734" t="s">
        <v>36565</v>
      </c>
      <c r="D16734" t="s">
        <v>20</v>
      </c>
      <c r="E16734" t="s">
        <v>39</v>
      </c>
      <c r="F16734">
        <v>0</v>
      </c>
      <c r="G16734">
        <v>0</v>
      </c>
      <c r="H16734">
        <v>2</v>
      </c>
      <c r="I16734" s="3">
        <v>92.8</v>
      </c>
      <c r="J16734" s="3">
        <v>2.93</v>
      </c>
      <c r="L16734">
        <v>110</v>
      </c>
      <c r="M16734" t="s">
        <v>14476</v>
      </c>
      <c r="N16734" t="s">
        <v>30</v>
      </c>
      <c r="O16734" t="s">
        <v>31</v>
      </c>
      <c r="P16734" t="str">
        <f>"15212"</f>
        <v>15212</v>
      </c>
    </row>
    <row r="16735" spans="1:16" x14ac:dyDescent="0.25">
      <c r="A16735" t="str">
        <f>"1250023F00188    00"</f>
        <v>1250023F00188    00</v>
      </c>
      <c r="B16735" t="s">
        <v>4918</v>
      </c>
      <c r="C16735" t="s">
        <v>36566</v>
      </c>
      <c r="D16735" t="s">
        <v>20</v>
      </c>
      <c r="E16735" t="s">
        <v>21</v>
      </c>
      <c r="F16735">
        <v>0</v>
      </c>
      <c r="G16735">
        <v>0</v>
      </c>
      <c r="H16735">
        <v>1</v>
      </c>
      <c r="I16735" s="3">
        <v>8405.4599999999991</v>
      </c>
      <c r="J16735" s="3">
        <v>0</v>
      </c>
      <c r="K16735" t="s">
        <v>4920</v>
      </c>
      <c r="L16735">
        <v>4915</v>
      </c>
      <c r="M16735" t="s">
        <v>11371</v>
      </c>
      <c r="N16735" t="s">
        <v>8912</v>
      </c>
      <c r="O16735" t="s">
        <v>495</v>
      </c>
      <c r="P16735" t="str">
        <f>"92130"</f>
        <v>92130</v>
      </c>
    </row>
    <row r="16736" spans="1:16" x14ac:dyDescent="0.25">
      <c r="A16736" t="str">
        <f>"1250023F00189    00"</f>
        <v>1250023F00189    00</v>
      </c>
      <c r="B16736" t="s">
        <v>4918</v>
      </c>
      <c r="C16736" t="s">
        <v>36567</v>
      </c>
      <c r="D16736" t="s">
        <v>20</v>
      </c>
      <c r="E16736" t="s">
        <v>21</v>
      </c>
      <c r="F16736">
        <v>0</v>
      </c>
      <c r="G16736">
        <v>0</v>
      </c>
      <c r="H16736">
        <v>1</v>
      </c>
      <c r="I16736" s="3">
        <v>800.52</v>
      </c>
      <c r="J16736" s="3">
        <v>0</v>
      </c>
      <c r="K16736" t="s">
        <v>4920</v>
      </c>
      <c r="L16736">
        <v>4915</v>
      </c>
      <c r="M16736" t="s">
        <v>11371</v>
      </c>
      <c r="N16736" t="s">
        <v>8912</v>
      </c>
      <c r="O16736" t="s">
        <v>495</v>
      </c>
      <c r="P16736" t="str">
        <f>"92130"</f>
        <v>92130</v>
      </c>
    </row>
    <row r="16737" spans="1:16" x14ac:dyDescent="0.25">
      <c r="A16737" t="str">
        <f>"1250023F00204    00"</f>
        <v>1250023F00204    00</v>
      </c>
      <c r="B16737" t="s">
        <v>36568</v>
      </c>
      <c r="C16737" t="s">
        <v>36548</v>
      </c>
      <c r="D16737" t="s">
        <v>20</v>
      </c>
      <c r="E16737" t="s">
        <v>39</v>
      </c>
      <c r="F16737">
        <v>0</v>
      </c>
      <c r="G16737">
        <v>0</v>
      </c>
      <c r="H16737">
        <v>2</v>
      </c>
      <c r="I16737" s="3">
        <v>19.079999999999998</v>
      </c>
      <c r="J16737" s="3">
        <v>0</v>
      </c>
      <c r="K16737" t="s">
        <v>557</v>
      </c>
      <c r="L16737">
        <v>3001</v>
      </c>
      <c r="M16737" t="s">
        <v>330</v>
      </c>
      <c r="N16737" t="s">
        <v>331</v>
      </c>
      <c r="O16737" t="s">
        <v>108</v>
      </c>
      <c r="P16737" t="str">
        <f>"75063"</f>
        <v>75063</v>
      </c>
    </row>
    <row r="16738" spans="1:16" x14ac:dyDescent="0.25">
      <c r="A16738" t="str">
        <f>"1250023F00209    00"</f>
        <v>1250023F00209    00</v>
      </c>
      <c r="B16738" t="s">
        <v>36569</v>
      </c>
      <c r="C16738" t="s">
        <v>36570</v>
      </c>
      <c r="D16738" t="s">
        <v>20</v>
      </c>
      <c r="E16738" t="s">
        <v>39</v>
      </c>
      <c r="F16738">
        <v>0</v>
      </c>
      <c r="G16738">
        <v>0</v>
      </c>
      <c r="H16738">
        <v>4</v>
      </c>
      <c r="I16738" s="3">
        <v>658.38</v>
      </c>
      <c r="J16738" s="3">
        <v>57.57</v>
      </c>
      <c r="L16738">
        <v>104</v>
      </c>
      <c r="M16738" t="s">
        <v>36552</v>
      </c>
      <c r="N16738" t="s">
        <v>30</v>
      </c>
      <c r="O16738" t="s">
        <v>31</v>
      </c>
      <c r="P16738" t="str">
        <f>"15212"</f>
        <v>15212</v>
      </c>
    </row>
    <row r="16739" spans="1:16" x14ac:dyDescent="0.25">
      <c r="A16739" t="str">
        <f>"1250023F00212    00"</f>
        <v>1250023F00212    00</v>
      </c>
      <c r="B16739" t="s">
        <v>36571</v>
      </c>
      <c r="C16739" t="s">
        <v>36572</v>
      </c>
      <c r="D16739" t="s">
        <v>20</v>
      </c>
      <c r="E16739" t="s">
        <v>39</v>
      </c>
      <c r="F16739">
        <v>0</v>
      </c>
      <c r="G16739">
        <v>0</v>
      </c>
      <c r="H16739">
        <v>1</v>
      </c>
      <c r="I16739" s="3">
        <v>128.18</v>
      </c>
      <c r="J16739" s="3">
        <v>0</v>
      </c>
      <c r="L16739">
        <v>106</v>
      </c>
      <c r="M16739" t="s">
        <v>36552</v>
      </c>
      <c r="N16739" t="s">
        <v>30</v>
      </c>
      <c r="O16739" t="s">
        <v>31</v>
      </c>
      <c r="P16739" t="str">
        <f>"15212"</f>
        <v>15212</v>
      </c>
    </row>
    <row r="16740" spans="1:16" x14ac:dyDescent="0.25">
      <c r="A16740" t="str">
        <f>"1250023F00221    00"</f>
        <v>1250023F00221    00</v>
      </c>
      <c r="B16740" t="s">
        <v>36573</v>
      </c>
      <c r="C16740" t="s">
        <v>36574</v>
      </c>
      <c r="D16740" t="s">
        <v>20</v>
      </c>
      <c r="E16740" t="s">
        <v>39</v>
      </c>
      <c r="F16740">
        <v>0</v>
      </c>
      <c r="G16740">
        <v>0</v>
      </c>
      <c r="H16740">
        <v>5</v>
      </c>
      <c r="I16740" s="3">
        <v>3325.32</v>
      </c>
      <c r="J16740" s="3">
        <v>98.98</v>
      </c>
      <c r="L16740">
        <v>1516</v>
      </c>
      <c r="M16740" t="s">
        <v>858</v>
      </c>
      <c r="N16740" t="s">
        <v>30</v>
      </c>
      <c r="O16740" t="s">
        <v>31</v>
      </c>
      <c r="P16740" t="str">
        <f>"15221"</f>
        <v>15221</v>
      </c>
    </row>
    <row r="16741" spans="1:16" x14ac:dyDescent="0.25">
      <c r="A16741" t="str">
        <f>"1250023F00223    00"</f>
        <v>1250023F00223    00</v>
      </c>
      <c r="B16741" t="s">
        <v>36575</v>
      </c>
      <c r="C16741" t="s">
        <v>36576</v>
      </c>
      <c r="E16741" t="s">
        <v>39</v>
      </c>
      <c r="F16741">
        <v>0</v>
      </c>
      <c r="G16741">
        <v>0</v>
      </c>
      <c r="H16741">
        <v>1</v>
      </c>
      <c r="I16741" s="3">
        <v>384.78</v>
      </c>
      <c r="J16741" s="3">
        <v>189.18</v>
      </c>
      <c r="L16741">
        <v>1525</v>
      </c>
      <c r="M16741" t="s">
        <v>144</v>
      </c>
      <c r="N16741" t="s">
        <v>30</v>
      </c>
      <c r="O16741" t="s">
        <v>31</v>
      </c>
      <c r="P16741" t="str">
        <f>"15212"</f>
        <v>15212</v>
      </c>
    </row>
    <row r="16742" spans="1:16" x14ac:dyDescent="0.25">
      <c r="A16742" t="str">
        <f>"1250023F00225    00"</f>
        <v>1250023F00225    00</v>
      </c>
      <c r="B16742" t="s">
        <v>36577</v>
      </c>
      <c r="C16742" t="s">
        <v>36578</v>
      </c>
      <c r="E16742" t="s">
        <v>39</v>
      </c>
      <c r="F16742">
        <v>0</v>
      </c>
      <c r="G16742">
        <v>0</v>
      </c>
      <c r="H16742">
        <v>8</v>
      </c>
      <c r="I16742" s="3">
        <v>6804.42</v>
      </c>
      <c r="J16742" s="3">
        <v>9694.69</v>
      </c>
      <c r="L16742">
        <v>1529</v>
      </c>
      <c r="M16742" t="s">
        <v>144</v>
      </c>
      <c r="N16742" t="s">
        <v>30</v>
      </c>
      <c r="O16742" t="s">
        <v>31</v>
      </c>
      <c r="P16742" t="str">
        <f>"15212"</f>
        <v>15212</v>
      </c>
    </row>
    <row r="16743" spans="1:16" x14ac:dyDescent="0.25">
      <c r="A16743" t="str">
        <f>"1250023F00228    00"</f>
        <v>1250023F00228    00</v>
      </c>
      <c r="B16743" t="s">
        <v>36579</v>
      </c>
      <c r="C16743" t="s">
        <v>36580</v>
      </c>
      <c r="E16743" t="s">
        <v>39</v>
      </c>
      <c r="F16743">
        <v>0</v>
      </c>
      <c r="G16743">
        <v>0</v>
      </c>
      <c r="H16743">
        <v>1</v>
      </c>
      <c r="I16743" s="3">
        <v>1358.54</v>
      </c>
      <c r="J16743" s="3">
        <v>33.96</v>
      </c>
      <c r="K16743" t="s">
        <v>881</v>
      </c>
      <c r="L16743">
        <v>3001</v>
      </c>
      <c r="M16743" t="s">
        <v>330</v>
      </c>
      <c r="N16743" t="s">
        <v>331</v>
      </c>
      <c r="O16743" t="s">
        <v>108</v>
      </c>
      <c r="P16743" t="str">
        <f>"75063"</f>
        <v>75063</v>
      </c>
    </row>
    <row r="16744" spans="1:16" x14ac:dyDescent="0.25">
      <c r="A16744" t="str">
        <f>"1250023F00244    00"</f>
        <v>1250023F00244    00</v>
      </c>
      <c r="B16744" t="s">
        <v>36581</v>
      </c>
      <c r="C16744" t="s">
        <v>36582</v>
      </c>
      <c r="E16744" t="s">
        <v>39</v>
      </c>
      <c r="F16744">
        <v>0</v>
      </c>
      <c r="G16744">
        <v>0</v>
      </c>
      <c r="H16744">
        <v>1</v>
      </c>
      <c r="I16744" s="3">
        <v>33.770000000000003</v>
      </c>
      <c r="J16744" s="3">
        <v>7.59</v>
      </c>
      <c r="K16744" t="s">
        <v>36583</v>
      </c>
      <c r="L16744">
        <v>237</v>
      </c>
      <c r="M16744" t="s">
        <v>14476</v>
      </c>
      <c r="N16744" t="s">
        <v>30</v>
      </c>
      <c r="O16744" t="s">
        <v>31</v>
      </c>
      <c r="P16744" t="str">
        <f t="shared" ref="P16744:P16752" si="217">"15212"</f>
        <v>15212</v>
      </c>
    </row>
    <row r="16745" spans="1:16" x14ac:dyDescent="0.25">
      <c r="A16745" t="str">
        <f>"1250023F00246    00"</f>
        <v>1250023F00246    00</v>
      </c>
      <c r="B16745" t="s">
        <v>36584</v>
      </c>
      <c r="C16745" t="s">
        <v>36585</v>
      </c>
      <c r="E16745" t="s">
        <v>39</v>
      </c>
      <c r="F16745">
        <v>0</v>
      </c>
      <c r="G16745">
        <v>0</v>
      </c>
      <c r="H16745">
        <v>1</v>
      </c>
      <c r="I16745" s="3">
        <v>1184.77</v>
      </c>
      <c r="J16745" s="3">
        <v>335.83</v>
      </c>
      <c r="K16745" t="s">
        <v>36586</v>
      </c>
      <c r="L16745">
        <v>239</v>
      </c>
      <c r="M16745" t="s">
        <v>14476</v>
      </c>
      <c r="N16745" t="s">
        <v>30</v>
      </c>
      <c r="O16745" t="s">
        <v>31</v>
      </c>
      <c r="P16745" t="str">
        <f t="shared" si="217"/>
        <v>15212</v>
      </c>
    </row>
    <row r="16746" spans="1:16" x14ac:dyDescent="0.25">
      <c r="A16746" t="str">
        <f>"1250023F00247    00"</f>
        <v>1250023F00247    00</v>
      </c>
      <c r="B16746" t="s">
        <v>36587</v>
      </c>
      <c r="C16746" t="s">
        <v>36548</v>
      </c>
      <c r="D16746" t="s">
        <v>20</v>
      </c>
      <c r="E16746" t="s">
        <v>39</v>
      </c>
      <c r="F16746">
        <v>0</v>
      </c>
      <c r="G16746">
        <v>0</v>
      </c>
      <c r="H16746">
        <v>17</v>
      </c>
      <c r="I16746" s="3">
        <v>487.17</v>
      </c>
      <c r="J16746" s="3">
        <v>646.91</v>
      </c>
      <c r="L16746">
        <v>243</v>
      </c>
      <c r="M16746" t="s">
        <v>14476</v>
      </c>
      <c r="N16746" t="s">
        <v>30</v>
      </c>
      <c r="O16746" t="s">
        <v>31</v>
      </c>
      <c r="P16746" t="str">
        <f t="shared" si="217"/>
        <v>15212</v>
      </c>
    </row>
    <row r="16747" spans="1:16" x14ac:dyDescent="0.25">
      <c r="A16747" t="str">
        <f>"1250023F00249    00"</f>
        <v>1250023F00249    00</v>
      </c>
      <c r="B16747" t="s">
        <v>36588</v>
      </c>
      <c r="C16747" t="s">
        <v>36589</v>
      </c>
      <c r="E16747" t="s">
        <v>39</v>
      </c>
      <c r="F16747">
        <v>0</v>
      </c>
      <c r="G16747">
        <v>0</v>
      </c>
      <c r="H16747">
        <v>1</v>
      </c>
      <c r="I16747" s="3">
        <v>3585.05</v>
      </c>
      <c r="J16747" s="3">
        <v>985.86</v>
      </c>
      <c r="K16747" t="s">
        <v>36590</v>
      </c>
      <c r="L16747">
        <v>244</v>
      </c>
      <c r="M16747" t="s">
        <v>36552</v>
      </c>
      <c r="N16747" t="s">
        <v>30</v>
      </c>
      <c r="O16747" t="s">
        <v>31</v>
      </c>
      <c r="P16747" t="str">
        <f t="shared" si="217"/>
        <v>15212</v>
      </c>
    </row>
    <row r="16748" spans="1:16" x14ac:dyDescent="0.25">
      <c r="A16748" t="str">
        <f>"1250023F00251    00"</f>
        <v>1250023F00251    00</v>
      </c>
      <c r="B16748" t="s">
        <v>36591</v>
      </c>
      <c r="C16748" t="s">
        <v>36592</v>
      </c>
      <c r="D16748" t="s">
        <v>20</v>
      </c>
      <c r="E16748" t="s">
        <v>39</v>
      </c>
      <c r="F16748">
        <v>0</v>
      </c>
      <c r="G16748">
        <v>0</v>
      </c>
      <c r="H16748">
        <v>8</v>
      </c>
      <c r="I16748" s="3">
        <v>4352.58</v>
      </c>
      <c r="J16748" s="3">
        <v>1409.36</v>
      </c>
      <c r="L16748">
        <v>404</v>
      </c>
      <c r="M16748" t="s">
        <v>36172</v>
      </c>
      <c r="N16748" t="s">
        <v>30</v>
      </c>
      <c r="O16748" t="s">
        <v>31</v>
      </c>
      <c r="P16748" t="str">
        <f t="shared" si="217"/>
        <v>15212</v>
      </c>
    </row>
    <row r="16749" spans="1:16" x14ac:dyDescent="0.25">
      <c r="A16749" t="str">
        <f>"1250023F00252    00"</f>
        <v>1250023F00252    00</v>
      </c>
      <c r="B16749" t="s">
        <v>36591</v>
      </c>
      <c r="C16749" t="s">
        <v>36548</v>
      </c>
      <c r="D16749" t="s">
        <v>20</v>
      </c>
      <c r="E16749" t="s">
        <v>21</v>
      </c>
      <c r="F16749">
        <v>0</v>
      </c>
      <c r="G16749">
        <v>0</v>
      </c>
      <c r="H16749">
        <v>6</v>
      </c>
      <c r="I16749" s="3">
        <v>33.58</v>
      </c>
      <c r="J16749" s="3">
        <v>10.43</v>
      </c>
      <c r="L16749">
        <v>404</v>
      </c>
      <c r="M16749" t="s">
        <v>36172</v>
      </c>
      <c r="N16749" t="s">
        <v>30</v>
      </c>
      <c r="O16749" t="s">
        <v>31</v>
      </c>
      <c r="P16749" t="str">
        <f t="shared" si="217"/>
        <v>15212</v>
      </c>
    </row>
    <row r="16750" spans="1:16" x14ac:dyDescent="0.25">
      <c r="A16750" t="str">
        <f>"1250023F00258    00"</f>
        <v>1250023F00258    00</v>
      </c>
      <c r="B16750" t="s">
        <v>36593</v>
      </c>
      <c r="C16750" t="s">
        <v>36594</v>
      </c>
      <c r="D16750" t="s">
        <v>20</v>
      </c>
      <c r="E16750" t="s">
        <v>39</v>
      </c>
      <c r="F16750">
        <v>0</v>
      </c>
      <c r="G16750">
        <v>0</v>
      </c>
      <c r="H16750">
        <v>1</v>
      </c>
      <c r="I16750" s="3">
        <v>651.73</v>
      </c>
      <c r="J16750" s="3">
        <v>16.29</v>
      </c>
      <c r="K16750" t="s">
        <v>36595</v>
      </c>
      <c r="L16750">
        <v>401</v>
      </c>
      <c r="M16750" t="s">
        <v>36442</v>
      </c>
      <c r="N16750" t="s">
        <v>30</v>
      </c>
      <c r="O16750" t="s">
        <v>31</v>
      </c>
      <c r="P16750" t="str">
        <f t="shared" si="217"/>
        <v>15212</v>
      </c>
    </row>
    <row r="16751" spans="1:16" x14ac:dyDescent="0.25">
      <c r="A16751" t="str">
        <f>"1250023F00261    00"</f>
        <v>1250023F00261    00</v>
      </c>
      <c r="B16751" t="s">
        <v>36596</v>
      </c>
      <c r="C16751" t="s">
        <v>36597</v>
      </c>
      <c r="E16751" t="s">
        <v>39</v>
      </c>
      <c r="F16751">
        <v>0</v>
      </c>
      <c r="G16751">
        <v>0</v>
      </c>
      <c r="H16751">
        <v>1</v>
      </c>
      <c r="I16751" s="3">
        <v>324.76</v>
      </c>
      <c r="J16751" s="3">
        <v>338.27</v>
      </c>
      <c r="K16751" t="s">
        <v>36598</v>
      </c>
      <c r="L16751">
        <v>1216</v>
      </c>
      <c r="M16751" t="s">
        <v>34348</v>
      </c>
      <c r="N16751" t="s">
        <v>30</v>
      </c>
      <c r="O16751" t="s">
        <v>31</v>
      </c>
      <c r="P16751" t="str">
        <f t="shared" si="217"/>
        <v>15212</v>
      </c>
    </row>
    <row r="16752" spans="1:16" x14ac:dyDescent="0.25">
      <c r="A16752" t="str">
        <f>"1250023F00261A   00"</f>
        <v>1250023F00261A   00</v>
      </c>
      <c r="B16752" t="s">
        <v>36596</v>
      </c>
      <c r="C16752" t="s">
        <v>36599</v>
      </c>
      <c r="E16752" t="s">
        <v>39</v>
      </c>
      <c r="F16752">
        <v>0</v>
      </c>
      <c r="G16752">
        <v>0</v>
      </c>
      <c r="H16752">
        <v>1</v>
      </c>
      <c r="I16752" s="3">
        <v>352.69</v>
      </c>
      <c r="J16752" s="3">
        <v>379.13</v>
      </c>
      <c r="K16752" t="s">
        <v>36598</v>
      </c>
      <c r="L16752">
        <v>1216</v>
      </c>
      <c r="M16752" t="s">
        <v>34348</v>
      </c>
      <c r="N16752" t="s">
        <v>30</v>
      </c>
      <c r="O16752" t="s">
        <v>31</v>
      </c>
      <c r="P16752" t="str">
        <f t="shared" si="217"/>
        <v>15212</v>
      </c>
    </row>
    <row r="16753" spans="1:16" x14ac:dyDescent="0.25">
      <c r="A16753" t="str">
        <f>"1250023F00262    00"</f>
        <v>1250023F00262    00</v>
      </c>
      <c r="B16753" t="s">
        <v>36446</v>
      </c>
      <c r="C16753" t="s">
        <v>36447</v>
      </c>
      <c r="D16753" t="s">
        <v>20</v>
      </c>
      <c r="E16753" t="s">
        <v>39</v>
      </c>
      <c r="F16753">
        <v>0</v>
      </c>
      <c r="G16753">
        <v>0</v>
      </c>
      <c r="H16753">
        <v>3</v>
      </c>
      <c r="I16753" s="3">
        <v>22.86</v>
      </c>
      <c r="J16753" s="3">
        <v>1.52</v>
      </c>
      <c r="K16753" t="s">
        <v>4500</v>
      </c>
      <c r="L16753">
        <v>3001</v>
      </c>
      <c r="M16753" t="s">
        <v>330</v>
      </c>
      <c r="N16753" t="s">
        <v>331</v>
      </c>
      <c r="O16753" t="s">
        <v>108</v>
      </c>
      <c r="P16753" t="str">
        <f>"75063"</f>
        <v>75063</v>
      </c>
    </row>
    <row r="16754" spans="1:16" x14ac:dyDescent="0.25">
      <c r="A16754" t="str">
        <f>"1250023F00262A   00"</f>
        <v>1250023F00262A   00</v>
      </c>
      <c r="B16754" t="s">
        <v>36600</v>
      </c>
      <c r="C16754" t="s">
        <v>36601</v>
      </c>
      <c r="E16754" t="s">
        <v>39</v>
      </c>
      <c r="F16754">
        <v>0</v>
      </c>
      <c r="G16754">
        <v>0</v>
      </c>
      <c r="H16754">
        <v>1</v>
      </c>
      <c r="I16754" s="3">
        <v>1833.09</v>
      </c>
      <c r="J16754" s="3">
        <v>549.91</v>
      </c>
      <c r="L16754">
        <v>402</v>
      </c>
      <c r="M16754" t="s">
        <v>36552</v>
      </c>
      <c r="N16754" t="s">
        <v>30</v>
      </c>
      <c r="O16754" t="s">
        <v>31</v>
      </c>
      <c r="P16754" t="str">
        <f>"15212"</f>
        <v>15212</v>
      </c>
    </row>
    <row r="16755" spans="1:16" x14ac:dyDescent="0.25">
      <c r="A16755" t="str">
        <f>"1250023F00280    00"</f>
        <v>1250023F00280    00</v>
      </c>
      <c r="B16755" t="s">
        <v>36602</v>
      </c>
      <c r="C16755" t="s">
        <v>36447</v>
      </c>
      <c r="E16755" t="s">
        <v>39</v>
      </c>
      <c r="F16755">
        <v>0</v>
      </c>
      <c r="G16755">
        <v>0</v>
      </c>
      <c r="H16755">
        <v>8</v>
      </c>
      <c r="I16755" s="3">
        <v>351.22</v>
      </c>
      <c r="J16755" s="3">
        <v>219.52</v>
      </c>
      <c r="L16755">
        <v>1237</v>
      </c>
      <c r="M16755" t="s">
        <v>3938</v>
      </c>
      <c r="N16755" t="s">
        <v>30</v>
      </c>
      <c r="O16755" t="s">
        <v>31</v>
      </c>
      <c r="P16755" t="str">
        <f>"15212"</f>
        <v>15212</v>
      </c>
    </row>
    <row r="16756" spans="1:16" x14ac:dyDescent="0.25">
      <c r="A16756" t="str">
        <f>"1250023F00287    00"</f>
        <v>1250023F00287    00</v>
      </c>
      <c r="B16756" t="s">
        <v>36603</v>
      </c>
      <c r="C16756" t="s">
        <v>36604</v>
      </c>
      <c r="D16756" t="s">
        <v>20</v>
      </c>
      <c r="E16756" t="s">
        <v>39</v>
      </c>
      <c r="F16756">
        <v>0</v>
      </c>
      <c r="G16756">
        <v>0</v>
      </c>
      <c r="H16756">
        <v>1</v>
      </c>
      <c r="I16756" s="3">
        <v>3832.97</v>
      </c>
      <c r="J16756" s="3">
        <v>0</v>
      </c>
      <c r="K16756" t="s">
        <v>1435</v>
      </c>
      <c r="M16756" t="s">
        <v>271</v>
      </c>
      <c r="N16756" t="s">
        <v>272</v>
      </c>
      <c r="O16756" t="s">
        <v>273</v>
      </c>
      <c r="P16756" t="str">
        <f>"29603"</f>
        <v>29603</v>
      </c>
    </row>
    <row r="16757" spans="1:16" x14ac:dyDescent="0.25">
      <c r="A16757" t="str">
        <f>"1250023F00289    00"</f>
        <v>1250023F00289    00</v>
      </c>
      <c r="B16757" t="s">
        <v>36605</v>
      </c>
      <c r="C16757" t="s">
        <v>36606</v>
      </c>
      <c r="D16757" t="s">
        <v>20</v>
      </c>
      <c r="E16757" t="s">
        <v>39</v>
      </c>
      <c r="F16757">
        <v>0</v>
      </c>
      <c r="G16757">
        <v>0</v>
      </c>
      <c r="H16757">
        <v>1</v>
      </c>
      <c r="I16757" s="3">
        <v>3762.44</v>
      </c>
      <c r="J16757" s="3">
        <v>0</v>
      </c>
      <c r="K16757" t="s">
        <v>805</v>
      </c>
      <c r="L16757">
        <v>3001</v>
      </c>
      <c r="M16757" t="s">
        <v>330</v>
      </c>
      <c r="N16757" t="s">
        <v>331</v>
      </c>
      <c r="O16757" t="s">
        <v>108</v>
      </c>
      <c r="P16757" t="str">
        <f>"75063"</f>
        <v>75063</v>
      </c>
    </row>
    <row r="16758" spans="1:16" x14ac:dyDescent="0.25">
      <c r="A16758" t="str">
        <f>"1250023F00292    00"</f>
        <v>1250023F00292    00</v>
      </c>
      <c r="B16758" t="s">
        <v>36607</v>
      </c>
      <c r="C16758" t="s">
        <v>36608</v>
      </c>
      <c r="D16758" t="s">
        <v>20</v>
      </c>
      <c r="E16758" t="s">
        <v>39</v>
      </c>
      <c r="F16758">
        <v>0</v>
      </c>
      <c r="G16758">
        <v>0</v>
      </c>
      <c r="H16758">
        <v>3</v>
      </c>
      <c r="I16758" s="3">
        <v>4574.3999999999996</v>
      </c>
      <c r="J16758" s="3">
        <v>304.94</v>
      </c>
      <c r="K16758" t="s">
        <v>5432</v>
      </c>
      <c r="L16758">
        <v>3001</v>
      </c>
      <c r="M16758" t="s">
        <v>330</v>
      </c>
      <c r="N16758" t="s">
        <v>331</v>
      </c>
      <c r="O16758" t="s">
        <v>108</v>
      </c>
      <c r="P16758" t="str">
        <f>"75063"</f>
        <v>75063</v>
      </c>
    </row>
    <row r="16759" spans="1:16" x14ac:dyDescent="0.25">
      <c r="A16759" t="str">
        <f>"1250023F00293    00"</f>
        <v>1250023F00293    00</v>
      </c>
      <c r="B16759" t="s">
        <v>36609</v>
      </c>
      <c r="C16759" t="s">
        <v>36610</v>
      </c>
      <c r="D16759" t="s">
        <v>20</v>
      </c>
      <c r="E16759" t="s">
        <v>39</v>
      </c>
      <c r="F16759">
        <v>0</v>
      </c>
      <c r="G16759">
        <v>0</v>
      </c>
      <c r="H16759">
        <v>6</v>
      </c>
      <c r="I16759" s="3">
        <v>7861.05</v>
      </c>
      <c r="J16759" s="3">
        <v>1681.05</v>
      </c>
      <c r="L16759">
        <v>404</v>
      </c>
      <c r="M16759" t="s">
        <v>36172</v>
      </c>
      <c r="N16759" t="s">
        <v>30</v>
      </c>
      <c r="O16759" t="s">
        <v>31</v>
      </c>
      <c r="P16759" t="str">
        <f>"15212"</f>
        <v>15212</v>
      </c>
    </row>
    <row r="16760" spans="1:16" x14ac:dyDescent="0.25">
      <c r="A16760" t="str">
        <f>"1250023F00337    00"</f>
        <v>1250023F00337    00</v>
      </c>
      <c r="B16760" t="s">
        <v>36611</v>
      </c>
      <c r="C16760" t="s">
        <v>36612</v>
      </c>
      <c r="D16760" t="s">
        <v>20</v>
      </c>
      <c r="E16760" t="s">
        <v>39</v>
      </c>
      <c r="F16760">
        <v>0</v>
      </c>
      <c r="G16760">
        <v>0</v>
      </c>
      <c r="H16760">
        <v>1</v>
      </c>
      <c r="I16760" s="3">
        <v>2315.8000000000002</v>
      </c>
      <c r="J16760" s="3">
        <v>0</v>
      </c>
      <c r="K16760" t="s">
        <v>759</v>
      </c>
      <c r="L16760">
        <v>3001</v>
      </c>
      <c r="M16760" t="s">
        <v>404</v>
      </c>
      <c r="N16760" t="s">
        <v>331</v>
      </c>
      <c r="O16760" t="s">
        <v>108</v>
      </c>
      <c r="P16760" t="str">
        <f>"75063"</f>
        <v>75063</v>
      </c>
    </row>
    <row r="16761" spans="1:16" x14ac:dyDescent="0.25">
      <c r="A16761" t="str">
        <f>"1250023F00342    00"</f>
        <v>1250023F00342    00</v>
      </c>
      <c r="B16761" t="s">
        <v>35590</v>
      </c>
      <c r="C16761" t="s">
        <v>36613</v>
      </c>
      <c r="D16761" t="s">
        <v>20</v>
      </c>
      <c r="E16761" t="s">
        <v>39</v>
      </c>
      <c r="F16761">
        <v>0</v>
      </c>
      <c r="G16761">
        <v>0</v>
      </c>
      <c r="H16761">
        <v>9</v>
      </c>
      <c r="I16761" s="3">
        <v>352.54</v>
      </c>
      <c r="J16761" s="3">
        <v>140.76</v>
      </c>
      <c r="L16761">
        <v>1741</v>
      </c>
      <c r="M16761" t="s">
        <v>35591</v>
      </c>
      <c r="N16761" t="s">
        <v>30</v>
      </c>
      <c r="O16761" t="s">
        <v>31</v>
      </c>
      <c r="P16761" t="str">
        <f>"15212"</f>
        <v>15212</v>
      </c>
    </row>
    <row r="16762" spans="1:16" x14ac:dyDescent="0.25">
      <c r="A16762" t="str">
        <f>"1250023F00343    00"</f>
        <v>1250023F00343    00</v>
      </c>
      <c r="B16762" t="s">
        <v>36614</v>
      </c>
      <c r="C16762" t="s">
        <v>36613</v>
      </c>
      <c r="E16762" t="s">
        <v>39</v>
      </c>
      <c r="F16762">
        <v>0</v>
      </c>
      <c r="G16762">
        <v>0</v>
      </c>
      <c r="H16762">
        <v>2</v>
      </c>
      <c r="I16762" s="3">
        <v>186.8</v>
      </c>
      <c r="J16762" s="3">
        <v>2.34</v>
      </c>
      <c r="K16762" t="s">
        <v>1722</v>
      </c>
      <c r="M16762" t="s">
        <v>1723</v>
      </c>
      <c r="N16762" t="s">
        <v>410</v>
      </c>
      <c r="O16762" t="s">
        <v>31</v>
      </c>
      <c r="P16762" t="str">
        <f>"15701"</f>
        <v>15701</v>
      </c>
    </row>
    <row r="16763" spans="1:16" x14ac:dyDescent="0.25">
      <c r="A16763" t="str">
        <f>"1250023F00345    00"</f>
        <v>1250023F00345    00</v>
      </c>
      <c r="B16763" t="s">
        <v>36614</v>
      </c>
      <c r="C16763" t="s">
        <v>36615</v>
      </c>
      <c r="D16763" t="s">
        <v>57</v>
      </c>
      <c r="E16763" t="s">
        <v>39</v>
      </c>
      <c r="F16763">
        <v>0</v>
      </c>
      <c r="G16763">
        <v>0</v>
      </c>
      <c r="H16763">
        <v>2</v>
      </c>
      <c r="I16763" s="3">
        <v>7810.8</v>
      </c>
      <c r="J16763" s="3">
        <v>97.63</v>
      </c>
      <c r="K16763" t="s">
        <v>1722</v>
      </c>
      <c r="M16763" t="s">
        <v>1723</v>
      </c>
      <c r="N16763" t="s">
        <v>410</v>
      </c>
      <c r="O16763" t="s">
        <v>31</v>
      </c>
      <c r="P16763" t="str">
        <f>"15701"</f>
        <v>15701</v>
      </c>
    </row>
    <row r="16764" spans="1:16" x14ac:dyDescent="0.25">
      <c r="A16764" t="str">
        <f>"1250023F00352    00"</f>
        <v>1250023F00352    00</v>
      </c>
      <c r="B16764" t="s">
        <v>36616</v>
      </c>
      <c r="C16764" t="s">
        <v>36447</v>
      </c>
      <c r="D16764" t="s">
        <v>20</v>
      </c>
      <c r="E16764" t="s">
        <v>21</v>
      </c>
      <c r="F16764">
        <v>0</v>
      </c>
      <c r="G16764">
        <v>0</v>
      </c>
      <c r="H16764">
        <v>4</v>
      </c>
      <c r="I16764" s="3">
        <v>2172.7600000000002</v>
      </c>
      <c r="J16764" s="3">
        <v>267.55</v>
      </c>
      <c r="K16764" t="s">
        <v>36617</v>
      </c>
      <c r="L16764">
        <v>1315</v>
      </c>
      <c r="M16764" t="s">
        <v>144</v>
      </c>
      <c r="N16764" t="s">
        <v>30</v>
      </c>
      <c r="O16764" t="s">
        <v>31</v>
      </c>
      <c r="P16764" t="str">
        <f>"15212"</f>
        <v>15212</v>
      </c>
    </row>
    <row r="16765" spans="1:16" x14ac:dyDescent="0.25">
      <c r="A16765" t="str">
        <f>"1250023F00361    00"</f>
        <v>1250023F00361    00</v>
      </c>
      <c r="B16765" t="s">
        <v>36618</v>
      </c>
      <c r="C16765" t="s">
        <v>36619</v>
      </c>
      <c r="E16765" t="s">
        <v>39</v>
      </c>
      <c r="F16765">
        <v>0</v>
      </c>
      <c r="G16765">
        <v>0</v>
      </c>
      <c r="H16765">
        <v>1</v>
      </c>
      <c r="I16765" s="3">
        <v>69.64</v>
      </c>
      <c r="J16765" s="3">
        <v>15.67</v>
      </c>
      <c r="L16765">
        <v>13</v>
      </c>
      <c r="M16765" t="s">
        <v>36552</v>
      </c>
      <c r="N16765" t="s">
        <v>30</v>
      </c>
      <c r="O16765" t="s">
        <v>31</v>
      </c>
      <c r="P16765" t="str">
        <f>"15212"</f>
        <v>15212</v>
      </c>
    </row>
    <row r="16766" spans="1:16" x14ac:dyDescent="0.25">
      <c r="A16766" t="str">
        <f>"1250023F00363    00"</f>
        <v>1250023F00363    00</v>
      </c>
      <c r="B16766" t="s">
        <v>36620</v>
      </c>
      <c r="C16766" t="s">
        <v>36621</v>
      </c>
      <c r="D16766" t="s">
        <v>33</v>
      </c>
      <c r="E16766" t="s">
        <v>39</v>
      </c>
      <c r="F16766">
        <v>0</v>
      </c>
      <c r="G16766">
        <v>0</v>
      </c>
      <c r="H16766">
        <v>2</v>
      </c>
      <c r="I16766" s="3">
        <v>1500.73</v>
      </c>
      <c r="J16766" s="3">
        <v>111.78</v>
      </c>
      <c r="K16766" t="s">
        <v>4989</v>
      </c>
      <c r="L16766">
        <v>3001</v>
      </c>
      <c r="M16766" t="s">
        <v>330</v>
      </c>
      <c r="N16766" t="s">
        <v>331</v>
      </c>
      <c r="O16766" t="s">
        <v>108</v>
      </c>
      <c r="P16766" t="str">
        <f>"75063"</f>
        <v>75063</v>
      </c>
    </row>
    <row r="16767" spans="1:16" x14ac:dyDescent="0.25">
      <c r="A16767" t="str">
        <f>"1250023F00367    00"</f>
        <v>1250023F00367    00</v>
      </c>
      <c r="B16767" t="s">
        <v>36622</v>
      </c>
      <c r="C16767" t="s">
        <v>36623</v>
      </c>
      <c r="D16767" t="s">
        <v>20</v>
      </c>
      <c r="E16767" t="s">
        <v>39</v>
      </c>
      <c r="F16767">
        <v>0</v>
      </c>
      <c r="G16767">
        <v>0</v>
      </c>
      <c r="H16767">
        <v>1</v>
      </c>
      <c r="I16767" s="3">
        <v>1986.07</v>
      </c>
      <c r="J16767" s="3">
        <v>0</v>
      </c>
      <c r="K16767" t="s">
        <v>36624</v>
      </c>
      <c r="L16767">
        <v>3459</v>
      </c>
      <c r="M16767" t="s">
        <v>35783</v>
      </c>
      <c r="N16767" t="s">
        <v>30</v>
      </c>
      <c r="O16767" t="s">
        <v>31</v>
      </c>
      <c r="P16767" t="str">
        <f>"15212"</f>
        <v>15212</v>
      </c>
    </row>
    <row r="16768" spans="1:16" x14ac:dyDescent="0.25">
      <c r="A16768" t="str">
        <f>"1250023F00377    00"</f>
        <v>1250023F00377    00</v>
      </c>
      <c r="B16768" t="s">
        <v>36625</v>
      </c>
      <c r="C16768" t="s">
        <v>36626</v>
      </c>
      <c r="D16768" t="s">
        <v>20</v>
      </c>
      <c r="E16768" t="s">
        <v>39</v>
      </c>
      <c r="F16768">
        <v>0</v>
      </c>
      <c r="G16768">
        <v>0</v>
      </c>
      <c r="H16768">
        <v>5</v>
      </c>
      <c r="I16768" s="3">
        <v>19570.93</v>
      </c>
      <c r="J16768" s="3">
        <v>3411.16</v>
      </c>
      <c r="L16768">
        <v>108</v>
      </c>
      <c r="M16768" t="s">
        <v>36627</v>
      </c>
      <c r="N16768" t="s">
        <v>30</v>
      </c>
      <c r="O16768" t="s">
        <v>31</v>
      </c>
      <c r="P16768" t="str">
        <f>"15241"</f>
        <v>15241</v>
      </c>
    </row>
    <row r="16769" spans="1:16" x14ac:dyDescent="0.25">
      <c r="A16769" t="str">
        <f>"1250023F00378    00"</f>
        <v>1250023F00378    00</v>
      </c>
      <c r="B16769" t="s">
        <v>36628</v>
      </c>
      <c r="C16769" t="s">
        <v>36629</v>
      </c>
      <c r="E16769" t="s">
        <v>39</v>
      </c>
      <c r="F16769">
        <v>0</v>
      </c>
      <c r="G16769">
        <v>0</v>
      </c>
      <c r="H16769">
        <v>1</v>
      </c>
      <c r="I16769" s="3">
        <v>2001.04</v>
      </c>
      <c r="J16769" s="3">
        <v>1717.48</v>
      </c>
      <c r="L16769">
        <v>1501</v>
      </c>
      <c r="M16769" t="s">
        <v>32412</v>
      </c>
      <c r="N16769" t="s">
        <v>30</v>
      </c>
      <c r="O16769" t="s">
        <v>31</v>
      </c>
      <c r="P16769" t="str">
        <f>"15212"</f>
        <v>15212</v>
      </c>
    </row>
    <row r="16770" spans="1:16" x14ac:dyDescent="0.25">
      <c r="A16770" t="str">
        <f>"1250023F00380    00"</f>
        <v>1250023F00380    00</v>
      </c>
      <c r="B16770" t="s">
        <v>36630</v>
      </c>
      <c r="C16770" t="s">
        <v>36631</v>
      </c>
      <c r="E16770" t="s">
        <v>39</v>
      </c>
      <c r="F16770">
        <v>0</v>
      </c>
      <c r="G16770">
        <v>0</v>
      </c>
      <c r="H16770">
        <v>1</v>
      </c>
      <c r="I16770" s="3">
        <v>163.22</v>
      </c>
      <c r="J16770" s="3">
        <v>44.89</v>
      </c>
      <c r="K16770" t="s">
        <v>29075</v>
      </c>
      <c r="M16770" t="s">
        <v>29076</v>
      </c>
      <c r="N16770" t="s">
        <v>2644</v>
      </c>
      <c r="O16770" t="s">
        <v>180</v>
      </c>
      <c r="P16770" t="str">
        <f>"80246"</f>
        <v>80246</v>
      </c>
    </row>
    <row r="16771" spans="1:16" x14ac:dyDescent="0.25">
      <c r="A16771" t="str">
        <f>"1250023F00391A   00"</f>
        <v>1250023F00391A   00</v>
      </c>
      <c r="B16771" t="s">
        <v>36632</v>
      </c>
      <c r="C16771" t="s">
        <v>36633</v>
      </c>
      <c r="E16771" t="s">
        <v>39</v>
      </c>
      <c r="F16771">
        <v>0</v>
      </c>
      <c r="G16771">
        <v>0</v>
      </c>
      <c r="H16771">
        <v>1</v>
      </c>
      <c r="I16771" s="3">
        <v>191.99</v>
      </c>
      <c r="J16771" s="3">
        <v>0</v>
      </c>
      <c r="L16771">
        <v>461</v>
      </c>
      <c r="M16771" t="s">
        <v>36634</v>
      </c>
      <c r="N16771" t="s">
        <v>30</v>
      </c>
      <c r="O16771" t="s">
        <v>31</v>
      </c>
      <c r="P16771" t="str">
        <f>"15228"</f>
        <v>15228</v>
      </c>
    </row>
    <row r="16772" spans="1:16" x14ac:dyDescent="0.25">
      <c r="A16772" t="str">
        <f>"1250023F00405    00"</f>
        <v>1250023F00405    00</v>
      </c>
      <c r="B16772" t="s">
        <v>35590</v>
      </c>
      <c r="C16772" t="s">
        <v>36613</v>
      </c>
      <c r="D16772" t="s">
        <v>20</v>
      </c>
      <c r="E16772" t="s">
        <v>39</v>
      </c>
      <c r="F16772">
        <v>0</v>
      </c>
      <c r="G16772">
        <v>0</v>
      </c>
      <c r="H16772">
        <v>9</v>
      </c>
      <c r="I16772" s="3">
        <v>737.17</v>
      </c>
      <c r="J16772" s="3">
        <v>294.32</v>
      </c>
      <c r="L16772">
        <v>1741</v>
      </c>
      <c r="M16772" t="s">
        <v>35591</v>
      </c>
      <c r="N16772" t="s">
        <v>30</v>
      </c>
      <c r="O16772" t="s">
        <v>31</v>
      </c>
      <c r="P16772" t="str">
        <f>"15212"</f>
        <v>15212</v>
      </c>
    </row>
    <row r="16773" spans="1:16" x14ac:dyDescent="0.25">
      <c r="A16773" t="str">
        <f>"1250023F00406    00"</f>
        <v>1250023F00406    00</v>
      </c>
      <c r="B16773" t="s">
        <v>35590</v>
      </c>
      <c r="C16773" t="s">
        <v>36635</v>
      </c>
      <c r="D16773" t="s">
        <v>20</v>
      </c>
      <c r="E16773" t="s">
        <v>39</v>
      </c>
      <c r="F16773">
        <v>0</v>
      </c>
      <c r="G16773">
        <v>0</v>
      </c>
      <c r="H16773">
        <v>8</v>
      </c>
      <c r="I16773" s="3">
        <v>6571.92</v>
      </c>
      <c r="J16773" s="3">
        <v>1950.87</v>
      </c>
      <c r="L16773">
        <v>1741</v>
      </c>
      <c r="M16773" t="s">
        <v>35591</v>
      </c>
      <c r="N16773" t="s">
        <v>30</v>
      </c>
      <c r="O16773" t="s">
        <v>31</v>
      </c>
      <c r="P16773" t="str">
        <f>"15212"</f>
        <v>15212</v>
      </c>
    </row>
    <row r="16774" spans="1:16" x14ac:dyDescent="0.25">
      <c r="A16774" t="str">
        <f>"1250023F00407    00"</f>
        <v>1250023F00407    00</v>
      </c>
      <c r="B16774" t="s">
        <v>35590</v>
      </c>
      <c r="C16774" t="s">
        <v>34430</v>
      </c>
      <c r="D16774" t="s">
        <v>20</v>
      </c>
      <c r="E16774" t="s">
        <v>39</v>
      </c>
      <c r="F16774">
        <v>0</v>
      </c>
      <c r="G16774">
        <v>0</v>
      </c>
      <c r="H16774">
        <v>9</v>
      </c>
      <c r="I16774" s="3">
        <v>980.66</v>
      </c>
      <c r="J16774" s="3">
        <v>388.37</v>
      </c>
      <c r="L16774">
        <v>1741</v>
      </c>
      <c r="M16774" t="s">
        <v>35591</v>
      </c>
      <c r="N16774" t="s">
        <v>30</v>
      </c>
      <c r="O16774" t="s">
        <v>31</v>
      </c>
      <c r="P16774" t="str">
        <f>"15212"</f>
        <v>15212</v>
      </c>
    </row>
    <row r="16775" spans="1:16" x14ac:dyDescent="0.25">
      <c r="A16775" t="str">
        <f>"1250023F00426    00"</f>
        <v>1250023F00426    00</v>
      </c>
      <c r="B16775" t="s">
        <v>36636</v>
      </c>
      <c r="C16775" t="s">
        <v>36637</v>
      </c>
      <c r="D16775" t="s">
        <v>20</v>
      </c>
      <c r="E16775" t="s">
        <v>39</v>
      </c>
      <c r="F16775">
        <v>0</v>
      </c>
      <c r="G16775">
        <v>0</v>
      </c>
      <c r="H16775">
        <v>3</v>
      </c>
      <c r="I16775" s="3">
        <v>28.62</v>
      </c>
      <c r="J16775" s="3">
        <v>1.92</v>
      </c>
      <c r="K16775" t="s">
        <v>36638</v>
      </c>
      <c r="L16775">
        <v>2424</v>
      </c>
      <c r="M16775" t="s">
        <v>16281</v>
      </c>
      <c r="N16775" t="s">
        <v>30</v>
      </c>
      <c r="O16775" t="s">
        <v>31</v>
      </c>
      <c r="P16775" t="str">
        <f>"15221"</f>
        <v>15221</v>
      </c>
    </row>
    <row r="16776" spans="1:16" x14ac:dyDescent="0.25">
      <c r="A16776" t="str">
        <f>"1250023G00019    00"</f>
        <v>1250023G00019    00</v>
      </c>
      <c r="B16776" t="s">
        <v>36639</v>
      </c>
      <c r="C16776" t="s">
        <v>36640</v>
      </c>
      <c r="E16776" t="s">
        <v>39</v>
      </c>
      <c r="F16776">
        <v>0</v>
      </c>
      <c r="G16776">
        <v>0</v>
      </c>
      <c r="H16776">
        <v>2</v>
      </c>
      <c r="I16776" s="3">
        <v>3384.04</v>
      </c>
      <c r="J16776" s="3">
        <v>1799.18</v>
      </c>
      <c r="L16776">
        <v>1424</v>
      </c>
      <c r="M16776" t="s">
        <v>32412</v>
      </c>
      <c r="N16776" t="s">
        <v>30</v>
      </c>
      <c r="O16776" t="s">
        <v>31</v>
      </c>
      <c r="P16776" t="str">
        <f>"15212"</f>
        <v>15212</v>
      </c>
    </row>
    <row r="16777" spans="1:16" x14ac:dyDescent="0.25">
      <c r="A16777" t="str">
        <f>"1250023G00030    00"</f>
        <v>1250023G00030    00</v>
      </c>
      <c r="B16777" t="s">
        <v>36641</v>
      </c>
      <c r="C16777" t="s">
        <v>36642</v>
      </c>
      <c r="E16777" t="s">
        <v>39</v>
      </c>
      <c r="F16777">
        <v>0</v>
      </c>
      <c r="G16777">
        <v>0</v>
      </c>
      <c r="H16777">
        <v>1</v>
      </c>
      <c r="I16777" s="3">
        <v>796.71</v>
      </c>
      <c r="J16777" s="3">
        <v>79.66</v>
      </c>
      <c r="L16777">
        <v>1502</v>
      </c>
      <c r="M16777" t="s">
        <v>32412</v>
      </c>
      <c r="N16777" t="s">
        <v>30</v>
      </c>
      <c r="O16777" t="s">
        <v>31</v>
      </c>
      <c r="P16777" t="str">
        <f>"15212"</f>
        <v>15212</v>
      </c>
    </row>
    <row r="16778" spans="1:16" x14ac:dyDescent="0.25">
      <c r="A16778" t="str">
        <f>"1250023G00031    00"</f>
        <v>1250023G00031    00</v>
      </c>
      <c r="B16778" t="s">
        <v>36643</v>
      </c>
      <c r="C16778" t="s">
        <v>36644</v>
      </c>
      <c r="E16778" t="s">
        <v>39</v>
      </c>
      <c r="F16778">
        <v>0</v>
      </c>
      <c r="G16778">
        <v>0</v>
      </c>
      <c r="H16778">
        <v>2</v>
      </c>
      <c r="I16778" s="3">
        <v>3834.88</v>
      </c>
      <c r="J16778" s="3">
        <v>47.94</v>
      </c>
      <c r="K16778" t="s">
        <v>7350</v>
      </c>
      <c r="L16778">
        <v>3001</v>
      </c>
      <c r="M16778" t="s">
        <v>330</v>
      </c>
      <c r="N16778" t="s">
        <v>331</v>
      </c>
      <c r="O16778" t="s">
        <v>108</v>
      </c>
      <c r="P16778" t="str">
        <f>"75063"</f>
        <v>75063</v>
      </c>
    </row>
    <row r="16779" spans="1:16" x14ac:dyDescent="0.25">
      <c r="A16779" t="str">
        <f>"1250023G00033    00"</f>
        <v>1250023G00033    00</v>
      </c>
      <c r="B16779" t="s">
        <v>36645</v>
      </c>
      <c r="C16779" t="s">
        <v>36646</v>
      </c>
      <c r="E16779" t="s">
        <v>39</v>
      </c>
      <c r="F16779">
        <v>0</v>
      </c>
      <c r="G16779">
        <v>0</v>
      </c>
      <c r="H16779">
        <v>1</v>
      </c>
      <c r="I16779" s="3">
        <v>3217.41</v>
      </c>
      <c r="J16779" s="3">
        <v>0</v>
      </c>
      <c r="K16779" t="s">
        <v>9114</v>
      </c>
      <c r="M16779" t="s">
        <v>9115</v>
      </c>
      <c r="N16779" t="s">
        <v>264</v>
      </c>
      <c r="O16779" t="s">
        <v>25</v>
      </c>
      <c r="P16779" t="str">
        <f>"45263"</f>
        <v>45263</v>
      </c>
    </row>
    <row r="16780" spans="1:16" x14ac:dyDescent="0.25">
      <c r="A16780" t="str">
        <f>"1250023G00041    00"</f>
        <v>1250023G00041    00</v>
      </c>
      <c r="B16780" t="s">
        <v>36647</v>
      </c>
      <c r="C16780" t="s">
        <v>36648</v>
      </c>
      <c r="D16780" t="s">
        <v>20</v>
      </c>
      <c r="E16780" t="s">
        <v>39</v>
      </c>
      <c r="F16780">
        <v>0</v>
      </c>
      <c r="G16780">
        <v>0</v>
      </c>
      <c r="H16780">
        <v>1</v>
      </c>
      <c r="I16780" s="3">
        <v>109.24</v>
      </c>
      <c r="J16780" s="3">
        <v>0</v>
      </c>
      <c r="K16780" t="s">
        <v>36649</v>
      </c>
      <c r="L16780">
        <v>116</v>
      </c>
      <c r="M16780" t="s">
        <v>36650</v>
      </c>
      <c r="N16780" t="s">
        <v>36651</v>
      </c>
      <c r="O16780" t="s">
        <v>423</v>
      </c>
      <c r="P16780" t="str">
        <f>"07732"</f>
        <v>07732</v>
      </c>
    </row>
    <row r="16781" spans="1:16" x14ac:dyDescent="0.25">
      <c r="A16781" t="str">
        <f>"1250023G00043    00"</f>
        <v>1250023G00043    00</v>
      </c>
      <c r="B16781" t="s">
        <v>36652</v>
      </c>
      <c r="C16781" t="s">
        <v>36653</v>
      </c>
      <c r="D16781" t="s">
        <v>20</v>
      </c>
      <c r="E16781" t="s">
        <v>39</v>
      </c>
      <c r="F16781">
        <v>0</v>
      </c>
      <c r="G16781">
        <v>0</v>
      </c>
      <c r="H16781">
        <v>3</v>
      </c>
      <c r="I16781" s="3">
        <v>1633.93</v>
      </c>
      <c r="J16781" s="3">
        <v>49.99</v>
      </c>
      <c r="L16781">
        <v>1310</v>
      </c>
      <c r="M16781" t="s">
        <v>12774</v>
      </c>
      <c r="N16781" t="s">
        <v>30</v>
      </c>
      <c r="O16781" t="s">
        <v>31</v>
      </c>
      <c r="P16781" t="str">
        <f>"15233"</f>
        <v>15233</v>
      </c>
    </row>
    <row r="16782" spans="1:16" x14ac:dyDescent="0.25">
      <c r="A16782" t="str">
        <f>"1250023G00049    00"</f>
        <v>1250023G00049    00</v>
      </c>
      <c r="B16782" t="s">
        <v>36654</v>
      </c>
      <c r="C16782" t="s">
        <v>36655</v>
      </c>
      <c r="D16782" t="s">
        <v>20</v>
      </c>
      <c r="E16782" t="s">
        <v>39</v>
      </c>
      <c r="F16782">
        <v>0</v>
      </c>
      <c r="G16782">
        <v>0</v>
      </c>
      <c r="H16782">
        <v>3</v>
      </c>
      <c r="I16782" s="3">
        <v>4986.09</v>
      </c>
      <c r="J16782" s="3">
        <v>13.85</v>
      </c>
      <c r="K16782" t="s">
        <v>4992</v>
      </c>
      <c r="L16782">
        <v>18111</v>
      </c>
      <c r="M16782" t="s">
        <v>4993</v>
      </c>
      <c r="N16782" t="s">
        <v>107</v>
      </c>
      <c r="O16782" t="s">
        <v>108</v>
      </c>
      <c r="P16782" t="str">
        <f>"75252"</f>
        <v>75252</v>
      </c>
    </row>
    <row r="16783" spans="1:16" x14ac:dyDescent="0.25">
      <c r="A16783" t="str">
        <f>"1250023G00054    00"</f>
        <v>1250023G00054    00</v>
      </c>
      <c r="B16783" t="s">
        <v>36656</v>
      </c>
      <c r="C16783" t="s">
        <v>36657</v>
      </c>
      <c r="D16783" t="s">
        <v>20</v>
      </c>
      <c r="E16783" t="s">
        <v>39</v>
      </c>
      <c r="F16783">
        <v>0</v>
      </c>
      <c r="G16783">
        <v>0</v>
      </c>
      <c r="H16783">
        <v>1</v>
      </c>
      <c r="I16783" s="3">
        <v>644.23</v>
      </c>
      <c r="J16783" s="3">
        <v>0</v>
      </c>
      <c r="L16783">
        <v>1425</v>
      </c>
      <c r="M16783" t="s">
        <v>13896</v>
      </c>
      <c r="N16783" t="s">
        <v>30</v>
      </c>
      <c r="O16783" t="s">
        <v>31</v>
      </c>
      <c r="P16783" t="str">
        <f>"15212"</f>
        <v>15212</v>
      </c>
    </row>
    <row r="16784" spans="1:16" x14ac:dyDescent="0.25">
      <c r="A16784" t="str">
        <f>"1250023G00057    00"</f>
        <v>1250023G00057    00</v>
      </c>
      <c r="B16784" t="s">
        <v>36658</v>
      </c>
      <c r="C16784" t="s">
        <v>36659</v>
      </c>
      <c r="D16784" t="s">
        <v>20</v>
      </c>
      <c r="E16784" t="s">
        <v>39</v>
      </c>
      <c r="F16784">
        <v>0</v>
      </c>
      <c r="G16784">
        <v>0</v>
      </c>
      <c r="H16784">
        <v>3</v>
      </c>
      <c r="I16784" s="3">
        <v>4432.3</v>
      </c>
      <c r="J16784" s="3">
        <v>2.14</v>
      </c>
      <c r="K16784" t="s">
        <v>710</v>
      </c>
      <c r="L16784">
        <v>4140</v>
      </c>
      <c r="M16784" t="s">
        <v>711</v>
      </c>
      <c r="N16784" t="s">
        <v>712</v>
      </c>
      <c r="O16784" t="s">
        <v>31</v>
      </c>
      <c r="P16784" t="str">
        <f>"16148"</f>
        <v>16148</v>
      </c>
    </row>
    <row r="16785" spans="1:16" x14ac:dyDescent="0.25">
      <c r="A16785" t="str">
        <f>"1250023G00060    00"</f>
        <v>1250023G00060    00</v>
      </c>
      <c r="B16785" t="s">
        <v>36660</v>
      </c>
      <c r="C16785" t="s">
        <v>36661</v>
      </c>
      <c r="E16785" t="s">
        <v>39</v>
      </c>
      <c r="F16785">
        <v>0</v>
      </c>
      <c r="G16785">
        <v>0</v>
      </c>
      <c r="H16785">
        <v>3</v>
      </c>
      <c r="I16785" s="3">
        <v>1046.01</v>
      </c>
      <c r="J16785" s="3">
        <v>996.36</v>
      </c>
      <c r="K16785" t="s">
        <v>36662</v>
      </c>
      <c r="L16785">
        <v>17</v>
      </c>
      <c r="M16785" t="s">
        <v>36663</v>
      </c>
      <c r="N16785" t="s">
        <v>6718</v>
      </c>
      <c r="O16785" t="s">
        <v>692</v>
      </c>
      <c r="P16785" t="str">
        <f>"22554"</f>
        <v>22554</v>
      </c>
    </row>
    <row r="16786" spans="1:16" x14ac:dyDescent="0.25">
      <c r="A16786" t="str">
        <f>"1250023G00061    00"</f>
        <v>1250023G00061    00</v>
      </c>
      <c r="B16786" t="s">
        <v>36664</v>
      </c>
      <c r="C16786" t="s">
        <v>36665</v>
      </c>
      <c r="D16786" t="s">
        <v>20</v>
      </c>
      <c r="E16786" t="s">
        <v>39</v>
      </c>
      <c r="F16786">
        <v>0</v>
      </c>
      <c r="G16786">
        <v>0</v>
      </c>
      <c r="H16786">
        <v>6</v>
      </c>
      <c r="I16786" s="3">
        <v>692.81</v>
      </c>
      <c r="J16786" s="3">
        <v>124.87</v>
      </c>
      <c r="L16786">
        <v>1411</v>
      </c>
      <c r="M16786" t="s">
        <v>13896</v>
      </c>
      <c r="N16786" t="s">
        <v>30</v>
      </c>
      <c r="O16786" t="s">
        <v>31</v>
      </c>
      <c r="P16786" t="str">
        <f>"15212"</f>
        <v>15212</v>
      </c>
    </row>
    <row r="16787" spans="1:16" x14ac:dyDescent="0.25">
      <c r="A16787" t="str">
        <f>"1250023G00087    00"</f>
        <v>1250023G00087    00</v>
      </c>
      <c r="B16787" t="s">
        <v>36666</v>
      </c>
      <c r="C16787" t="s">
        <v>36667</v>
      </c>
      <c r="D16787" t="s">
        <v>20</v>
      </c>
      <c r="E16787" t="s">
        <v>39</v>
      </c>
      <c r="F16787">
        <v>0</v>
      </c>
      <c r="G16787">
        <v>0</v>
      </c>
      <c r="H16787">
        <v>1</v>
      </c>
      <c r="I16787" s="3">
        <v>600.4</v>
      </c>
      <c r="J16787" s="3">
        <v>0</v>
      </c>
      <c r="L16787">
        <v>1504</v>
      </c>
      <c r="M16787" t="s">
        <v>13896</v>
      </c>
      <c r="N16787" t="s">
        <v>30</v>
      </c>
      <c r="O16787" t="s">
        <v>31</v>
      </c>
      <c r="P16787" t="str">
        <f>"15212"</f>
        <v>15212</v>
      </c>
    </row>
    <row r="16788" spans="1:16" x14ac:dyDescent="0.25">
      <c r="A16788" t="str">
        <f>"1250023G00099    00"</f>
        <v>1250023G00099    00</v>
      </c>
      <c r="B16788" t="s">
        <v>20814</v>
      </c>
      <c r="C16788" t="s">
        <v>36668</v>
      </c>
      <c r="D16788" t="s">
        <v>20</v>
      </c>
      <c r="E16788" t="s">
        <v>39</v>
      </c>
      <c r="F16788">
        <v>0</v>
      </c>
      <c r="G16788">
        <v>0</v>
      </c>
      <c r="H16788">
        <v>2</v>
      </c>
      <c r="I16788" s="3">
        <v>1052.1600000000001</v>
      </c>
      <c r="J16788" s="3">
        <v>0</v>
      </c>
      <c r="L16788">
        <v>1450</v>
      </c>
      <c r="M16788" t="s">
        <v>36669</v>
      </c>
      <c r="N16788" t="s">
        <v>30</v>
      </c>
      <c r="O16788" t="s">
        <v>31</v>
      </c>
      <c r="P16788" t="str">
        <f>"15212"</f>
        <v>15212</v>
      </c>
    </row>
    <row r="16789" spans="1:16" x14ac:dyDescent="0.25">
      <c r="A16789" t="str">
        <f>"1250023G00100    00"</f>
        <v>1250023G00100    00</v>
      </c>
      <c r="B16789" t="s">
        <v>20814</v>
      </c>
      <c r="C16789" t="s">
        <v>36670</v>
      </c>
      <c r="D16789" t="s">
        <v>20</v>
      </c>
      <c r="E16789" t="s">
        <v>39</v>
      </c>
      <c r="F16789">
        <v>0</v>
      </c>
      <c r="G16789">
        <v>0</v>
      </c>
      <c r="H16789">
        <v>4</v>
      </c>
      <c r="I16789" s="3">
        <v>2278.2800000000002</v>
      </c>
      <c r="J16789" s="3">
        <v>269.13</v>
      </c>
      <c r="L16789">
        <v>1448</v>
      </c>
      <c r="M16789" t="s">
        <v>36669</v>
      </c>
      <c r="N16789" t="s">
        <v>30</v>
      </c>
      <c r="O16789" t="s">
        <v>31</v>
      </c>
      <c r="P16789" t="str">
        <f>"15212"</f>
        <v>15212</v>
      </c>
    </row>
    <row r="16790" spans="1:16" x14ac:dyDescent="0.25">
      <c r="A16790" t="str">
        <f>"1250023G00110    00"</f>
        <v>1250023G00110    00</v>
      </c>
      <c r="B16790" t="s">
        <v>36671</v>
      </c>
      <c r="C16790" t="s">
        <v>36672</v>
      </c>
      <c r="D16790" t="s">
        <v>20</v>
      </c>
      <c r="E16790" t="s">
        <v>39</v>
      </c>
      <c r="F16790">
        <v>0</v>
      </c>
      <c r="G16790">
        <v>0</v>
      </c>
      <c r="H16790">
        <v>1</v>
      </c>
      <c r="I16790" s="3">
        <v>2582.64</v>
      </c>
      <c r="J16790" s="3">
        <v>0</v>
      </c>
      <c r="K16790" t="s">
        <v>36673</v>
      </c>
      <c r="L16790">
        <v>108</v>
      </c>
      <c r="M16790" t="s">
        <v>22775</v>
      </c>
      <c r="N16790" t="s">
        <v>22776</v>
      </c>
      <c r="O16790" t="s">
        <v>31</v>
      </c>
      <c r="P16790" t="str">
        <f>"16041"</f>
        <v>16041</v>
      </c>
    </row>
    <row r="16791" spans="1:16" x14ac:dyDescent="0.25">
      <c r="A16791" t="str">
        <f>"1250023G00121    00"</f>
        <v>1250023G00121    00</v>
      </c>
      <c r="B16791" t="s">
        <v>36674</v>
      </c>
      <c r="C16791" t="s">
        <v>36675</v>
      </c>
      <c r="D16791" t="s">
        <v>20</v>
      </c>
      <c r="E16791" t="s">
        <v>39</v>
      </c>
      <c r="F16791">
        <v>0</v>
      </c>
      <c r="G16791">
        <v>0</v>
      </c>
      <c r="H16791">
        <v>1</v>
      </c>
      <c r="I16791" s="3">
        <v>636.6</v>
      </c>
      <c r="J16791" s="3">
        <v>0</v>
      </c>
      <c r="L16791">
        <v>3469</v>
      </c>
      <c r="M16791" t="s">
        <v>36676</v>
      </c>
      <c r="N16791" t="s">
        <v>605</v>
      </c>
      <c r="O16791" t="s">
        <v>606</v>
      </c>
      <c r="P16791" t="str">
        <f>"30349"</f>
        <v>30349</v>
      </c>
    </row>
    <row r="16792" spans="1:16" x14ac:dyDescent="0.25">
      <c r="A16792" t="str">
        <f>"1250023G00123    00"</f>
        <v>1250023G00123    00</v>
      </c>
      <c r="B16792" t="s">
        <v>36677</v>
      </c>
      <c r="C16792" t="s">
        <v>36678</v>
      </c>
      <c r="E16792" t="s">
        <v>21</v>
      </c>
      <c r="F16792">
        <v>0</v>
      </c>
      <c r="G16792">
        <v>0</v>
      </c>
      <c r="H16792">
        <v>6</v>
      </c>
      <c r="I16792" s="3">
        <v>7984.02</v>
      </c>
      <c r="J16792" s="3">
        <v>6851.15</v>
      </c>
      <c r="L16792">
        <v>1229</v>
      </c>
      <c r="M16792" t="s">
        <v>16830</v>
      </c>
      <c r="N16792" t="s">
        <v>636</v>
      </c>
      <c r="O16792" t="s">
        <v>31</v>
      </c>
      <c r="P16792" t="str">
        <f>"15104"</f>
        <v>15104</v>
      </c>
    </row>
    <row r="16793" spans="1:16" x14ac:dyDescent="0.25">
      <c r="A16793" t="str">
        <f>"1250023G00148    00"</f>
        <v>1250023G00148    00</v>
      </c>
      <c r="B16793" t="s">
        <v>36679</v>
      </c>
      <c r="C16793" t="s">
        <v>36680</v>
      </c>
      <c r="E16793" t="s">
        <v>39</v>
      </c>
      <c r="F16793">
        <v>0</v>
      </c>
      <c r="G16793">
        <v>0</v>
      </c>
      <c r="H16793">
        <v>11</v>
      </c>
      <c r="I16793" s="3">
        <v>6109.53</v>
      </c>
      <c r="J16793" s="3">
        <v>8647.9599999999991</v>
      </c>
      <c r="L16793">
        <v>5324</v>
      </c>
      <c r="M16793" t="s">
        <v>1740</v>
      </c>
      <c r="N16793" t="s">
        <v>30</v>
      </c>
      <c r="O16793" t="s">
        <v>31</v>
      </c>
      <c r="P16793" t="str">
        <f>"15232"</f>
        <v>15232</v>
      </c>
    </row>
    <row r="16794" spans="1:16" x14ac:dyDescent="0.25">
      <c r="A16794" t="str">
        <f>"1250023G00194    00"</f>
        <v>1250023G00194    00</v>
      </c>
      <c r="B16794" t="s">
        <v>36681</v>
      </c>
      <c r="C16794" t="s">
        <v>36682</v>
      </c>
      <c r="D16794" t="s">
        <v>20</v>
      </c>
      <c r="E16794" t="s">
        <v>39</v>
      </c>
      <c r="F16794">
        <v>0</v>
      </c>
      <c r="G16794">
        <v>0</v>
      </c>
      <c r="H16794">
        <v>1</v>
      </c>
      <c r="I16794" s="3">
        <v>119.82</v>
      </c>
      <c r="J16794" s="3">
        <v>0</v>
      </c>
      <c r="K16794" t="s">
        <v>710</v>
      </c>
      <c r="L16794">
        <v>4140</v>
      </c>
      <c r="M16794" t="s">
        <v>711</v>
      </c>
      <c r="N16794" t="s">
        <v>712</v>
      </c>
      <c r="O16794" t="s">
        <v>31</v>
      </c>
      <c r="P16794" t="str">
        <f>"16148"</f>
        <v>16148</v>
      </c>
    </row>
    <row r="16795" spans="1:16" x14ac:dyDescent="0.25">
      <c r="A16795" t="str">
        <f>"1250023G00267    00"</f>
        <v>1250023G00267    00</v>
      </c>
      <c r="B16795" t="s">
        <v>36683</v>
      </c>
      <c r="C16795" t="s">
        <v>36684</v>
      </c>
      <c r="D16795" t="s">
        <v>20</v>
      </c>
      <c r="E16795" t="s">
        <v>39</v>
      </c>
      <c r="F16795">
        <v>0</v>
      </c>
      <c r="G16795">
        <v>0</v>
      </c>
      <c r="H16795">
        <v>4</v>
      </c>
      <c r="I16795" s="3">
        <v>67.92</v>
      </c>
      <c r="J16795" s="3">
        <v>8.3699999999999992</v>
      </c>
      <c r="K16795" t="s">
        <v>36685</v>
      </c>
      <c r="L16795">
        <v>4</v>
      </c>
      <c r="M16795" t="s">
        <v>36686</v>
      </c>
      <c r="N16795" t="s">
        <v>15366</v>
      </c>
      <c r="O16795" t="s">
        <v>3486</v>
      </c>
      <c r="P16795" t="str">
        <f>"60440"</f>
        <v>60440</v>
      </c>
    </row>
    <row r="16796" spans="1:16" x14ac:dyDescent="0.25">
      <c r="A16796" t="str">
        <f>"1250023G00302    00"</f>
        <v>1250023G00302    00</v>
      </c>
      <c r="B16796" t="s">
        <v>36144</v>
      </c>
      <c r="C16796" t="s">
        <v>36687</v>
      </c>
      <c r="D16796" t="s">
        <v>20</v>
      </c>
      <c r="E16796" t="s">
        <v>39</v>
      </c>
      <c r="F16796">
        <v>0</v>
      </c>
      <c r="G16796">
        <v>0</v>
      </c>
      <c r="H16796">
        <v>2</v>
      </c>
      <c r="I16796" s="3">
        <v>777.64</v>
      </c>
      <c r="J16796" s="3">
        <v>0</v>
      </c>
      <c r="K16796" t="s">
        <v>36563</v>
      </c>
      <c r="L16796">
        <v>1724</v>
      </c>
      <c r="M16796" t="s">
        <v>13856</v>
      </c>
      <c r="N16796" t="s">
        <v>30</v>
      </c>
      <c r="O16796" t="s">
        <v>31</v>
      </c>
      <c r="P16796" t="str">
        <f>"15212"</f>
        <v>15212</v>
      </c>
    </row>
    <row r="16797" spans="1:16" x14ac:dyDescent="0.25">
      <c r="A16797" t="str">
        <f>"1250023G00305    00"</f>
        <v>1250023G00305    00</v>
      </c>
      <c r="B16797" t="s">
        <v>36144</v>
      </c>
      <c r="C16797" t="s">
        <v>36688</v>
      </c>
      <c r="D16797" t="s">
        <v>20</v>
      </c>
      <c r="E16797" t="s">
        <v>39</v>
      </c>
      <c r="F16797">
        <v>0</v>
      </c>
      <c r="G16797">
        <v>0</v>
      </c>
      <c r="H16797">
        <v>2</v>
      </c>
      <c r="I16797" s="3">
        <v>636.62</v>
      </c>
      <c r="J16797" s="3">
        <v>0</v>
      </c>
      <c r="K16797" t="s">
        <v>36563</v>
      </c>
      <c r="L16797">
        <v>1724</v>
      </c>
      <c r="M16797" t="s">
        <v>13856</v>
      </c>
      <c r="N16797" t="s">
        <v>30</v>
      </c>
      <c r="O16797" t="s">
        <v>31</v>
      </c>
      <c r="P16797" t="str">
        <f>"15212"</f>
        <v>15212</v>
      </c>
    </row>
    <row r="16798" spans="1:16" x14ac:dyDescent="0.25">
      <c r="A16798" t="str">
        <f>"1250023G00308    00"</f>
        <v>1250023G00308    00</v>
      </c>
      <c r="B16798" t="s">
        <v>36689</v>
      </c>
      <c r="C16798" t="s">
        <v>36690</v>
      </c>
      <c r="D16798" t="s">
        <v>20</v>
      </c>
      <c r="E16798" t="s">
        <v>39</v>
      </c>
      <c r="F16798">
        <v>0</v>
      </c>
      <c r="G16798">
        <v>0</v>
      </c>
      <c r="H16798">
        <v>4</v>
      </c>
      <c r="I16798" s="3">
        <v>22.64</v>
      </c>
      <c r="J16798" s="3">
        <v>4.92</v>
      </c>
      <c r="K16798" t="s">
        <v>36691</v>
      </c>
      <c r="M16798" t="s">
        <v>36692</v>
      </c>
      <c r="N16798" t="s">
        <v>30</v>
      </c>
      <c r="O16798" t="s">
        <v>31</v>
      </c>
      <c r="P16798" t="str">
        <f>"15237"</f>
        <v>15237</v>
      </c>
    </row>
    <row r="16799" spans="1:16" x14ac:dyDescent="0.25">
      <c r="A16799" t="str">
        <f>"1250023G00309    00"</f>
        <v>1250023G00309    00</v>
      </c>
      <c r="B16799" t="s">
        <v>36689</v>
      </c>
      <c r="C16799" t="s">
        <v>36690</v>
      </c>
      <c r="D16799" t="s">
        <v>20</v>
      </c>
      <c r="E16799" t="s">
        <v>39</v>
      </c>
      <c r="F16799">
        <v>0</v>
      </c>
      <c r="G16799">
        <v>0</v>
      </c>
      <c r="H16799">
        <v>4</v>
      </c>
      <c r="I16799" s="3">
        <v>56.55</v>
      </c>
      <c r="J16799" s="3">
        <v>12.28</v>
      </c>
      <c r="K16799" t="s">
        <v>36691</v>
      </c>
      <c r="M16799" t="s">
        <v>36692</v>
      </c>
      <c r="N16799" t="s">
        <v>30</v>
      </c>
      <c r="O16799" t="s">
        <v>31</v>
      </c>
      <c r="P16799" t="str">
        <f>"15237"</f>
        <v>15237</v>
      </c>
    </row>
    <row r="16800" spans="1:16" x14ac:dyDescent="0.25">
      <c r="A16800" t="str">
        <f>"1250023G00311    00"</f>
        <v>1250023G00311    00</v>
      </c>
      <c r="B16800" t="s">
        <v>36689</v>
      </c>
      <c r="C16800" t="s">
        <v>36690</v>
      </c>
      <c r="D16800" t="s">
        <v>20</v>
      </c>
      <c r="E16800" t="s">
        <v>39</v>
      </c>
      <c r="F16800">
        <v>0</v>
      </c>
      <c r="G16800">
        <v>0</v>
      </c>
      <c r="H16800">
        <v>4</v>
      </c>
      <c r="I16800" s="3">
        <v>84.74</v>
      </c>
      <c r="J16800" s="3">
        <v>18.41</v>
      </c>
      <c r="K16800" t="s">
        <v>36691</v>
      </c>
      <c r="M16800" t="s">
        <v>36692</v>
      </c>
      <c r="N16800" t="s">
        <v>30</v>
      </c>
      <c r="O16800" t="s">
        <v>31</v>
      </c>
      <c r="P16800" t="str">
        <f>"15237"</f>
        <v>15237</v>
      </c>
    </row>
    <row r="16801" spans="1:16" x14ac:dyDescent="0.25">
      <c r="A16801" t="str">
        <f>"1250023G00312    00"</f>
        <v>1250023G00312    00</v>
      </c>
      <c r="B16801" t="s">
        <v>4918</v>
      </c>
      <c r="C16801" t="s">
        <v>36693</v>
      </c>
      <c r="D16801" t="s">
        <v>20</v>
      </c>
      <c r="E16801" t="s">
        <v>39</v>
      </c>
      <c r="F16801">
        <v>0</v>
      </c>
      <c r="G16801">
        <v>0</v>
      </c>
      <c r="H16801">
        <v>1</v>
      </c>
      <c r="I16801" s="3">
        <v>223.01</v>
      </c>
      <c r="J16801" s="3">
        <v>0</v>
      </c>
      <c r="K16801" t="s">
        <v>4920</v>
      </c>
      <c r="L16801">
        <v>4915</v>
      </c>
      <c r="M16801" t="s">
        <v>11371</v>
      </c>
      <c r="N16801" t="s">
        <v>8912</v>
      </c>
      <c r="O16801" t="s">
        <v>495</v>
      </c>
      <c r="P16801" t="str">
        <f>"92130"</f>
        <v>92130</v>
      </c>
    </row>
    <row r="16802" spans="1:16" x14ac:dyDescent="0.25">
      <c r="A16802" t="str">
        <f>"1250023G00314    00"</f>
        <v>1250023G00314    00</v>
      </c>
      <c r="B16802" t="s">
        <v>4918</v>
      </c>
      <c r="C16802" t="s">
        <v>36694</v>
      </c>
      <c r="D16802" t="s">
        <v>20</v>
      </c>
      <c r="E16802" t="s">
        <v>39</v>
      </c>
      <c r="F16802">
        <v>0</v>
      </c>
      <c r="G16802">
        <v>0</v>
      </c>
      <c r="H16802">
        <v>1</v>
      </c>
      <c r="I16802" s="3">
        <v>177.27</v>
      </c>
      <c r="J16802" s="3">
        <v>0</v>
      </c>
      <c r="K16802" t="s">
        <v>4920</v>
      </c>
      <c r="L16802">
        <v>4915</v>
      </c>
      <c r="M16802" t="s">
        <v>11371</v>
      </c>
      <c r="N16802" t="s">
        <v>8912</v>
      </c>
      <c r="O16802" t="s">
        <v>495</v>
      </c>
      <c r="P16802" t="str">
        <f>"92130"</f>
        <v>92130</v>
      </c>
    </row>
    <row r="16803" spans="1:16" x14ac:dyDescent="0.25">
      <c r="A16803" t="str">
        <f>"1250023G00316    00"</f>
        <v>1250023G00316    00</v>
      </c>
      <c r="B16803" t="s">
        <v>4918</v>
      </c>
      <c r="C16803" t="s">
        <v>36695</v>
      </c>
      <c r="D16803" t="s">
        <v>20</v>
      </c>
      <c r="E16803" t="s">
        <v>39</v>
      </c>
      <c r="F16803">
        <v>0</v>
      </c>
      <c r="G16803">
        <v>0</v>
      </c>
      <c r="H16803">
        <v>1</v>
      </c>
      <c r="I16803" s="3">
        <v>177.27</v>
      </c>
      <c r="J16803" s="3">
        <v>0</v>
      </c>
      <c r="K16803" t="s">
        <v>4920</v>
      </c>
      <c r="L16803">
        <v>335</v>
      </c>
      <c r="M16803" t="s">
        <v>4921</v>
      </c>
      <c r="N16803" t="s">
        <v>199</v>
      </c>
      <c r="O16803" t="s">
        <v>200</v>
      </c>
      <c r="P16803" t="str">
        <f>"10036"</f>
        <v>10036</v>
      </c>
    </row>
    <row r="16804" spans="1:16" x14ac:dyDescent="0.25">
      <c r="A16804" t="str">
        <f>"1250023G00318    00"</f>
        <v>1250023G00318    00</v>
      </c>
      <c r="B16804" t="s">
        <v>4918</v>
      </c>
      <c r="C16804" t="s">
        <v>36696</v>
      </c>
      <c r="D16804" t="s">
        <v>20</v>
      </c>
      <c r="E16804" t="s">
        <v>39</v>
      </c>
      <c r="F16804">
        <v>0</v>
      </c>
      <c r="G16804">
        <v>0</v>
      </c>
      <c r="H16804">
        <v>1</v>
      </c>
      <c r="I16804" s="3">
        <v>223.01</v>
      </c>
      <c r="J16804" s="3">
        <v>0</v>
      </c>
      <c r="K16804" t="s">
        <v>4920</v>
      </c>
      <c r="L16804">
        <v>4915</v>
      </c>
      <c r="M16804" t="s">
        <v>11371</v>
      </c>
      <c r="N16804" t="s">
        <v>8912</v>
      </c>
      <c r="O16804" t="s">
        <v>495</v>
      </c>
      <c r="P16804" t="str">
        <f>"92130"</f>
        <v>92130</v>
      </c>
    </row>
    <row r="16805" spans="1:16" x14ac:dyDescent="0.25">
      <c r="A16805" t="str">
        <f>"1250023G00403    00"</f>
        <v>1250023G00403    00</v>
      </c>
      <c r="B16805" t="s">
        <v>36697</v>
      </c>
      <c r="C16805" t="s">
        <v>36698</v>
      </c>
      <c r="E16805" t="s">
        <v>39</v>
      </c>
      <c r="F16805">
        <v>0</v>
      </c>
      <c r="G16805">
        <v>0</v>
      </c>
      <c r="H16805">
        <v>2</v>
      </c>
      <c r="I16805" s="3">
        <v>3021.32</v>
      </c>
      <c r="J16805" s="3">
        <v>199.93</v>
      </c>
      <c r="K16805" t="s">
        <v>881</v>
      </c>
      <c r="L16805">
        <v>3001</v>
      </c>
      <c r="M16805" t="s">
        <v>330</v>
      </c>
      <c r="N16805" t="s">
        <v>331</v>
      </c>
      <c r="O16805" t="s">
        <v>108</v>
      </c>
      <c r="P16805" t="str">
        <f>"75063"</f>
        <v>75063</v>
      </c>
    </row>
    <row r="16806" spans="1:16" x14ac:dyDescent="0.25">
      <c r="A16806" t="str">
        <f>"1250023G00405    00"</f>
        <v>1250023G00405    00</v>
      </c>
      <c r="B16806" t="s">
        <v>36699</v>
      </c>
      <c r="C16806" t="s">
        <v>36700</v>
      </c>
      <c r="E16806" t="s">
        <v>39</v>
      </c>
      <c r="F16806">
        <v>0</v>
      </c>
      <c r="G16806">
        <v>0</v>
      </c>
      <c r="H16806">
        <v>2</v>
      </c>
      <c r="I16806" s="3">
        <v>4654.4799999999996</v>
      </c>
      <c r="J16806" s="3">
        <v>232.71</v>
      </c>
      <c r="K16806" t="s">
        <v>400</v>
      </c>
      <c r="L16806">
        <v>3001</v>
      </c>
      <c r="M16806" t="s">
        <v>330</v>
      </c>
      <c r="N16806" t="s">
        <v>331</v>
      </c>
      <c r="O16806" t="s">
        <v>108</v>
      </c>
      <c r="P16806" t="str">
        <f>"75063"</f>
        <v>75063</v>
      </c>
    </row>
    <row r="16807" spans="1:16" x14ac:dyDescent="0.25">
      <c r="A16807" t="str">
        <f>"1250023H00213    00"</f>
        <v>1250023H00213    00</v>
      </c>
      <c r="B16807" t="s">
        <v>36701</v>
      </c>
      <c r="C16807" t="s">
        <v>36702</v>
      </c>
      <c r="D16807" t="s">
        <v>20</v>
      </c>
      <c r="E16807" t="s">
        <v>39</v>
      </c>
      <c r="F16807">
        <v>0</v>
      </c>
      <c r="G16807">
        <v>0</v>
      </c>
      <c r="H16807">
        <v>1</v>
      </c>
      <c r="I16807" s="3">
        <v>19.059999999999999</v>
      </c>
      <c r="J16807" s="3">
        <v>0</v>
      </c>
      <c r="L16807">
        <v>1516</v>
      </c>
      <c r="M16807" t="s">
        <v>31927</v>
      </c>
      <c r="N16807" t="s">
        <v>30</v>
      </c>
      <c r="O16807" t="s">
        <v>31</v>
      </c>
      <c r="P16807" t="str">
        <f>"15204"</f>
        <v>15204</v>
      </c>
    </row>
    <row r="16808" spans="1:16" x14ac:dyDescent="0.25">
      <c r="A16808" t="str">
        <f>"1250023H00217    00"</f>
        <v>1250023H00217    00</v>
      </c>
      <c r="B16808" t="s">
        <v>36703</v>
      </c>
      <c r="C16808" t="s">
        <v>36702</v>
      </c>
      <c r="D16808" t="s">
        <v>20</v>
      </c>
      <c r="E16808" t="s">
        <v>39</v>
      </c>
      <c r="F16808">
        <v>0</v>
      </c>
      <c r="G16808">
        <v>0</v>
      </c>
      <c r="H16808">
        <v>5</v>
      </c>
      <c r="I16808" s="3">
        <v>449.77</v>
      </c>
      <c r="J16808" s="3">
        <v>79.66</v>
      </c>
      <c r="L16808">
        <v>2159</v>
      </c>
      <c r="M16808" t="s">
        <v>34621</v>
      </c>
      <c r="N16808" t="s">
        <v>625</v>
      </c>
      <c r="O16808" t="s">
        <v>31</v>
      </c>
      <c r="P16808" t="str">
        <f>"15108"</f>
        <v>15108</v>
      </c>
    </row>
    <row r="16809" spans="1:16" x14ac:dyDescent="0.25">
      <c r="A16809" t="str">
        <f>"1250023H00218    00"</f>
        <v>1250023H00218    00</v>
      </c>
      <c r="B16809" t="s">
        <v>36703</v>
      </c>
      <c r="C16809" t="s">
        <v>35080</v>
      </c>
      <c r="D16809" t="s">
        <v>20</v>
      </c>
      <c r="E16809" t="s">
        <v>39</v>
      </c>
      <c r="F16809">
        <v>0</v>
      </c>
      <c r="G16809">
        <v>0</v>
      </c>
      <c r="H16809">
        <v>5</v>
      </c>
      <c r="I16809" s="3">
        <v>93.7</v>
      </c>
      <c r="J16809" s="3">
        <v>16.579999999999998</v>
      </c>
      <c r="L16809">
        <v>2159</v>
      </c>
      <c r="M16809" t="s">
        <v>34621</v>
      </c>
      <c r="N16809" t="s">
        <v>625</v>
      </c>
      <c r="O16809" t="s">
        <v>31</v>
      </c>
      <c r="P16809" t="str">
        <f>"15108"</f>
        <v>15108</v>
      </c>
    </row>
    <row r="16810" spans="1:16" x14ac:dyDescent="0.25">
      <c r="A16810" t="str">
        <f>"1250023H00219    00"</f>
        <v>1250023H00219    00</v>
      </c>
      <c r="B16810" t="s">
        <v>36703</v>
      </c>
      <c r="C16810" t="s">
        <v>36702</v>
      </c>
      <c r="D16810" t="s">
        <v>20</v>
      </c>
      <c r="E16810" t="s">
        <v>39</v>
      </c>
      <c r="F16810">
        <v>0</v>
      </c>
      <c r="G16810">
        <v>0</v>
      </c>
      <c r="H16810">
        <v>5</v>
      </c>
      <c r="I16810" s="3">
        <v>56.24</v>
      </c>
      <c r="J16810" s="3">
        <v>9.9600000000000009</v>
      </c>
      <c r="L16810">
        <v>2159</v>
      </c>
      <c r="M16810" t="s">
        <v>34621</v>
      </c>
      <c r="N16810" t="s">
        <v>625</v>
      </c>
      <c r="O16810" t="s">
        <v>31</v>
      </c>
      <c r="P16810" t="str">
        <f>"15108"</f>
        <v>15108</v>
      </c>
    </row>
    <row r="16811" spans="1:16" x14ac:dyDescent="0.25">
      <c r="A16811" t="str">
        <f>"1250023H00223    00"</f>
        <v>1250023H00223    00</v>
      </c>
      <c r="B16811" t="s">
        <v>36704</v>
      </c>
      <c r="C16811" t="s">
        <v>36705</v>
      </c>
      <c r="D16811" t="s">
        <v>20</v>
      </c>
      <c r="E16811" t="s">
        <v>39</v>
      </c>
      <c r="F16811">
        <v>0</v>
      </c>
      <c r="G16811">
        <v>0</v>
      </c>
      <c r="H16811">
        <v>18</v>
      </c>
      <c r="I16811" s="3">
        <v>15741.81</v>
      </c>
      <c r="J16811" s="3">
        <v>15577.44</v>
      </c>
      <c r="L16811">
        <v>1631</v>
      </c>
      <c r="M16811" t="s">
        <v>36409</v>
      </c>
      <c r="N16811" t="s">
        <v>30</v>
      </c>
      <c r="O16811" t="s">
        <v>31</v>
      </c>
      <c r="P16811" t="str">
        <f>"15212"</f>
        <v>15212</v>
      </c>
    </row>
    <row r="16812" spans="1:16" x14ac:dyDescent="0.25">
      <c r="A16812" t="str">
        <f>"1250023H00232A   00"</f>
        <v>1250023H00232A   00</v>
      </c>
      <c r="B16812" t="s">
        <v>36706</v>
      </c>
      <c r="C16812" t="s">
        <v>36707</v>
      </c>
      <c r="D16812" t="s">
        <v>20</v>
      </c>
      <c r="E16812" t="s">
        <v>39</v>
      </c>
      <c r="F16812">
        <v>0</v>
      </c>
      <c r="G16812">
        <v>0</v>
      </c>
      <c r="H16812">
        <v>1</v>
      </c>
      <c r="I16812" s="3">
        <v>880.59</v>
      </c>
      <c r="J16812" s="3">
        <v>0</v>
      </c>
      <c r="L16812">
        <v>280</v>
      </c>
      <c r="M16812" t="s">
        <v>34786</v>
      </c>
      <c r="N16812" t="s">
        <v>30</v>
      </c>
      <c r="O16812" t="s">
        <v>31</v>
      </c>
      <c r="P16812" t="str">
        <f>"15237"</f>
        <v>15237</v>
      </c>
    </row>
    <row r="16813" spans="1:16" x14ac:dyDescent="0.25">
      <c r="A16813" t="str">
        <f>"1250023H00275    00"</f>
        <v>1250023H00275    00</v>
      </c>
      <c r="B16813" t="s">
        <v>36708</v>
      </c>
      <c r="C16813" t="s">
        <v>36709</v>
      </c>
      <c r="D16813" t="s">
        <v>20</v>
      </c>
      <c r="E16813" t="s">
        <v>39</v>
      </c>
      <c r="F16813">
        <v>0</v>
      </c>
      <c r="G16813">
        <v>0</v>
      </c>
      <c r="H16813">
        <v>18</v>
      </c>
      <c r="I16813" s="3">
        <v>13149.16</v>
      </c>
      <c r="J16813" s="3">
        <v>10242.99</v>
      </c>
      <c r="K16813" t="s">
        <v>36710</v>
      </c>
      <c r="L16813">
        <v>67</v>
      </c>
      <c r="M16813" t="s">
        <v>27583</v>
      </c>
      <c r="N16813" t="s">
        <v>30</v>
      </c>
      <c r="O16813" t="s">
        <v>31</v>
      </c>
      <c r="P16813" t="str">
        <f>"15212"</f>
        <v>15212</v>
      </c>
    </row>
    <row r="16814" spans="1:16" x14ac:dyDescent="0.25">
      <c r="A16814" t="str">
        <f>"1250023H00288    00"</f>
        <v>1250023H00288    00</v>
      </c>
      <c r="B16814" t="s">
        <v>36711</v>
      </c>
      <c r="C16814" t="s">
        <v>36712</v>
      </c>
      <c r="D16814" t="s">
        <v>57</v>
      </c>
      <c r="E16814" t="s">
        <v>39</v>
      </c>
      <c r="F16814">
        <v>0</v>
      </c>
      <c r="G16814">
        <v>0</v>
      </c>
      <c r="H16814">
        <v>1</v>
      </c>
      <c r="I16814" s="3">
        <v>70.73</v>
      </c>
      <c r="J16814" s="3">
        <v>0</v>
      </c>
      <c r="L16814">
        <v>123</v>
      </c>
      <c r="M16814" t="s">
        <v>36265</v>
      </c>
      <c r="N16814" t="s">
        <v>625</v>
      </c>
      <c r="O16814" t="s">
        <v>31</v>
      </c>
      <c r="P16814" t="str">
        <f>"15108"</f>
        <v>15108</v>
      </c>
    </row>
    <row r="16815" spans="1:16" x14ac:dyDescent="0.25">
      <c r="A16815" t="str">
        <f>"1250023H00293    00"</f>
        <v>1250023H00293    00</v>
      </c>
      <c r="B16815" t="s">
        <v>36713</v>
      </c>
      <c r="C16815" t="s">
        <v>36712</v>
      </c>
      <c r="D16815" t="s">
        <v>20</v>
      </c>
      <c r="E16815" t="s">
        <v>39</v>
      </c>
      <c r="F16815">
        <v>0</v>
      </c>
      <c r="G16815">
        <v>0</v>
      </c>
      <c r="H16815">
        <v>9</v>
      </c>
      <c r="I16815" s="3">
        <v>49.78</v>
      </c>
      <c r="J16815" s="3">
        <v>24.28</v>
      </c>
      <c r="P16815" t="str">
        <f>""</f>
        <v/>
      </c>
    </row>
    <row r="16816" spans="1:16" x14ac:dyDescent="0.25">
      <c r="A16816" t="str">
        <f>"1250023H00308    00"</f>
        <v>1250023H00308    00</v>
      </c>
      <c r="B16816" t="s">
        <v>36714</v>
      </c>
      <c r="C16816" t="s">
        <v>36684</v>
      </c>
      <c r="D16816" t="s">
        <v>20</v>
      </c>
      <c r="E16816" t="s">
        <v>39</v>
      </c>
      <c r="F16816">
        <v>0</v>
      </c>
      <c r="G16816">
        <v>0</v>
      </c>
      <c r="H16816">
        <v>19</v>
      </c>
      <c r="I16816" s="3">
        <v>1366.04</v>
      </c>
      <c r="J16816" s="3">
        <v>1127.0899999999999</v>
      </c>
      <c r="L16816">
        <v>537</v>
      </c>
      <c r="M16816" t="s">
        <v>34708</v>
      </c>
      <c r="N16816" t="s">
        <v>30</v>
      </c>
      <c r="O16816" t="s">
        <v>31</v>
      </c>
      <c r="P16816" t="str">
        <f>"15212"</f>
        <v>15212</v>
      </c>
    </row>
    <row r="16817" spans="1:16" x14ac:dyDescent="0.25">
      <c r="A16817" t="str">
        <f>"1250023H00313    00"</f>
        <v>1250023H00313    00</v>
      </c>
      <c r="B16817" t="s">
        <v>36715</v>
      </c>
      <c r="C16817" t="s">
        <v>36716</v>
      </c>
      <c r="D16817" t="s">
        <v>33</v>
      </c>
      <c r="E16817" t="s">
        <v>39</v>
      </c>
      <c r="F16817">
        <v>0</v>
      </c>
      <c r="G16817">
        <v>0</v>
      </c>
      <c r="H16817">
        <v>8</v>
      </c>
      <c r="I16817" s="3">
        <v>2862.11</v>
      </c>
      <c r="J16817" s="3">
        <v>250.88</v>
      </c>
      <c r="K16817" t="s">
        <v>36717</v>
      </c>
      <c r="L16817">
        <v>4960</v>
      </c>
      <c r="M16817" t="s">
        <v>36718</v>
      </c>
      <c r="N16817" t="s">
        <v>195</v>
      </c>
      <c r="O16817" t="s">
        <v>31</v>
      </c>
      <c r="P16817" t="str">
        <f>"15101"</f>
        <v>15101</v>
      </c>
    </row>
    <row r="16818" spans="1:16" x14ac:dyDescent="0.25">
      <c r="A16818" t="str">
        <f>"1250023H00314    00"</f>
        <v>1250023H00314    00</v>
      </c>
      <c r="B16818" t="s">
        <v>36719</v>
      </c>
      <c r="C16818" t="s">
        <v>36720</v>
      </c>
      <c r="D16818" t="s">
        <v>20</v>
      </c>
      <c r="E16818" t="s">
        <v>39</v>
      </c>
      <c r="F16818">
        <v>0</v>
      </c>
      <c r="G16818">
        <v>0</v>
      </c>
      <c r="H16818">
        <v>2</v>
      </c>
      <c r="I16818" s="3">
        <v>680.92</v>
      </c>
      <c r="J16818" s="3">
        <v>0</v>
      </c>
      <c r="L16818">
        <v>1</v>
      </c>
      <c r="M16818" t="s">
        <v>36721</v>
      </c>
      <c r="N16818" t="s">
        <v>30</v>
      </c>
      <c r="O16818" t="s">
        <v>31</v>
      </c>
      <c r="P16818" t="str">
        <f>"15212"</f>
        <v>15212</v>
      </c>
    </row>
    <row r="16819" spans="1:16" x14ac:dyDescent="0.25">
      <c r="A16819" t="str">
        <f>"1250023H00315    00"</f>
        <v>1250023H00315    00</v>
      </c>
      <c r="B16819" t="s">
        <v>36722</v>
      </c>
      <c r="C16819" t="s">
        <v>36723</v>
      </c>
      <c r="E16819" t="s">
        <v>39</v>
      </c>
      <c r="F16819">
        <v>0</v>
      </c>
      <c r="G16819">
        <v>0</v>
      </c>
      <c r="H16819">
        <v>1</v>
      </c>
      <c r="I16819" s="3">
        <v>1061.6500000000001</v>
      </c>
      <c r="J16819" s="3">
        <v>0</v>
      </c>
      <c r="L16819">
        <v>123</v>
      </c>
      <c r="M16819" t="s">
        <v>27583</v>
      </c>
      <c r="N16819" t="s">
        <v>30</v>
      </c>
      <c r="O16819" t="s">
        <v>31</v>
      </c>
      <c r="P16819" t="str">
        <f>"15212"</f>
        <v>15212</v>
      </c>
    </row>
    <row r="16820" spans="1:16" x14ac:dyDescent="0.25">
      <c r="A16820" t="str">
        <f>"1250023H00318    00"</f>
        <v>1250023H00318    00</v>
      </c>
      <c r="B16820" t="s">
        <v>36724</v>
      </c>
      <c r="C16820" t="s">
        <v>36712</v>
      </c>
      <c r="E16820" t="s">
        <v>39</v>
      </c>
      <c r="F16820">
        <v>0</v>
      </c>
      <c r="G16820">
        <v>0</v>
      </c>
      <c r="H16820">
        <v>18</v>
      </c>
      <c r="I16820" s="3">
        <v>562.20000000000005</v>
      </c>
      <c r="J16820" s="3">
        <v>22.42</v>
      </c>
      <c r="K16820" t="s">
        <v>36725</v>
      </c>
      <c r="L16820">
        <v>420</v>
      </c>
      <c r="M16820" t="s">
        <v>36726</v>
      </c>
      <c r="N16820" t="s">
        <v>171</v>
      </c>
      <c r="O16820" t="s">
        <v>31</v>
      </c>
      <c r="P16820" t="str">
        <f>"15057"</f>
        <v>15057</v>
      </c>
    </row>
    <row r="16821" spans="1:16" x14ac:dyDescent="0.25">
      <c r="A16821" t="str">
        <f>"1250023H00333    00"</f>
        <v>1250023H00333    00</v>
      </c>
      <c r="B16821" t="s">
        <v>36727</v>
      </c>
      <c r="C16821" t="s">
        <v>36712</v>
      </c>
      <c r="D16821" t="s">
        <v>20</v>
      </c>
      <c r="E16821" t="s">
        <v>39</v>
      </c>
      <c r="F16821">
        <v>0</v>
      </c>
      <c r="G16821">
        <v>0</v>
      </c>
      <c r="H16821">
        <v>19</v>
      </c>
      <c r="I16821" s="3">
        <v>6919.79</v>
      </c>
      <c r="J16821" s="3">
        <v>3910.53</v>
      </c>
      <c r="L16821">
        <v>537</v>
      </c>
      <c r="M16821" t="s">
        <v>34708</v>
      </c>
      <c r="N16821" t="s">
        <v>30</v>
      </c>
      <c r="O16821" t="s">
        <v>31</v>
      </c>
      <c r="P16821" t="str">
        <f>"15212"</f>
        <v>15212</v>
      </c>
    </row>
    <row r="16822" spans="1:16" x14ac:dyDescent="0.25">
      <c r="A16822" t="str">
        <f>"1250023H00337    00"</f>
        <v>1250023H00337    00</v>
      </c>
      <c r="B16822" t="s">
        <v>36728</v>
      </c>
      <c r="C16822" t="s">
        <v>35080</v>
      </c>
      <c r="E16822" t="s">
        <v>39</v>
      </c>
      <c r="F16822">
        <v>0</v>
      </c>
      <c r="G16822">
        <v>0</v>
      </c>
      <c r="H16822">
        <v>2</v>
      </c>
      <c r="I16822" s="3">
        <v>290.48</v>
      </c>
      <c r="J16822" s="3">
        <v>33.96</v>
      </c>
      <c r="K16822" t="s">
        <v>36729</v>
      </c>
      <c r="L16822">
        <v>363</v>
      </c>
      <c r="M16822" t="s">
        <v>36730</v>
      </c>
      <c r="N16822" t="s">
        <v>2008</v>
      </c>
      <c r="O16822" t="s">
        <v>31</v>
      </c>
      <c r="P16822" t="str">
        <f>"16066"</f>
        <v>16066</v>
      </c>
    </row>
    <row r="16823" spans="1:16" x14ac:dyDescent="0.25">
      <c r="A16823" t="str">
        <f>"1250023H00341    00"</f>
        <v>1250023H00341    00</v>
      </c>
      <c r="B16823" t="s">
        <v>36731</v>
      </c>
      <c r="C16823" t="s">
        <v>36732</v>
      </c>
      <c r="D16823" t="s">
        <v>20</v>
      </c>
      <c r="E16823" t="s">
        <v>39</v>
      </c>
      <c r="F16823">
        <v>0</v>
      </c>
      <c r="G16823">
        <v>0</v>
      </c>
      <c r="H16823">
        <v>19</v>
      </c>
      <c r="I16823" s="3">
        <v>12697.81</v>
      </c>
      <c r="J16823" s="3">
        <v>12975.23</v>
      </c>
      <c r="L16823">
        <v>166</v>
      </c>
      <c r="M16823" t="s">
        <v>36733</v>
      </c>
      <c r="N16823" t="s">
        <v>30</v>
      </c>
      <c r="O16823" t="s">
        <v>31</v>
      </c>
      <c r="P16823" t="str">
        <f>"15213"</f>
        <v>15213</v>
      </c>
    </row>
    <row r="16824" spans="1:16" x14ac:dyDescent="0.25">
      <c r="A16824" t="str">
        <f>"1250023H00353    00"</f>
        <v>1250023H00353    00</v>
      </c>
      <c r="B16824" t="s">
        <v>36734</v>
      </c>
      <c r="C16824" t="s">
        <v>36735</v>
      </c>
      <c r="D16824" t="s">
        <v>20</v>
      </c>
      <c r="E16824" t="s">
        <v>39</v>
      </c>
      <c r="F16824">
        <v>0</v>
      </c>
      <c r="G16824">
        <v>0</v>
      </c>
      <c r="H16824">
        <v>1</v>
      </c>
      <c r="I16824" s="3">
        <v>689.97</v>
      </c>
      <c r="J16824" s="3">
        <v>0</v>
      </c>
      <c r="K16824" t="s">
        <v>391</v>
      </c>
      <c r="L16824">
        <v>1</v>
      </c>
      <c r="M16824" t="s">
        <v>392</v>
      </c>
      <c r="N16824" t="s">
        <v>393</v>
      </c>
      <c r="O16824" t="s">
        <v>394</v>
      </c>
      <c r="P16824" t="str">
        <f>"50328"</f>
        <v>50328</v>
      </c>
    </row>
    <row r="16825" spans="1:16" x14ac:dyDescent="0.25">
      <c r="A16825" t="str">
        <f>"1250023H00353A   00"</f>
        <v>1250023H00353A   00</v>
      </c>
      <c r="B16825" t="s">
        <v>36736</v>
      </c>
      <c r="C16825" t="s">
        <v>36737</v>
      </c>
      <c r="D16825" t="s">
        <v>20</v>
      </c>
      <c r="E16825" t="s">
        <v>39</v>
      </c>
      <c r="F16825">
        <v>0</v>
      </c>
      <c r="G16825">
        <v>0</v>
      </c>
      <c r="H16825">
        <v>1</v>
      </c>
      <c r="I16825" s="3">
        <v>155.94</v>
      </c>
      <c r="J16825" s="3">
        <v>0</v>
      </c>
      <c r="K16825" t="s">
        <v>3554</v>
      </c>
      <c r="L16825">
        <v>600</v>
      </c>
      <c r="M16825" t="s">
        <v>3555</v>
      </c>
      <c r="N16825" t="s">
        <v>3556</v>
      </c>
      <c r="O16825" t="s">
        <v>31</v>
      </c>
      <c r="P16825" t="str">
        <f>"16117"</f>
        <v>16117</v>
      </c>
    </row>
    <row r="16826" spans="1:16" x14ac:dyDescent="0.25">
      <c r="A16826" t="str">
        <f>"1250023H00357    00"</f>
        <v>1250023H00357    00</v>
      </c>
      <c r="B16826" t="s">
        <v>36738</v>
      </c>
      <c r="C16826" t="s">
        <v>36690</v>
      </c>
      <c r="D16826" t="s">
        <v>20</v>
      </c>
      <c r="E16826" t="s">
        <v>39</v>
      </c>
      <c r="F16826">
        <v>0</v>
      </c>
      <c r="G16826">
        <v>0</v>
      </c>
      <c r="H16826">
        <v>14</v>
      </c>
      <c r="I16826" s="3">
        <v>5473.8</v>
      </c>
      <c r="J16826" s="3">
        <v>3169.15</v>
      </c>
      <c r="L16826">
        <v>258</v>
      </c>
      <c r="M16826" t="s">
        <v>36739</v>
      </c>
      <c r="N16826" t="s">
        <v>30</v>
      </c>
      <c r="O16826" t="s">
        <v>31</v>
      </c>
      <c r="P16826" t="str">
        <f>"15212"</f>
        <v>15212</v>
      </c>
    </row>
    <row r="16827" spans="1:16" x14ac:dyDescent="0.25">
      <c r="A16827" t="str">
        <f>"1250023J00001    00"</f>
        <v>1250023J00001    00</v>
      </c>
      <c r="B16827" t="s">
        <v>36740</v>
      </c>
      <c r="C16827" t="s">
        <v>36741</v>
      </c>
      <c r="D16827" t="s">
        <v>20</v>
      </c>
      <c r="E16827" t="s">
        <v>39</v>
      </c>
      <c r="F16827">
        <v>0</v>
      </c>
      <c r="G16827">
        <v>0</v>
      </c>
      <c r="H16827">
        <v>15</v>
      </c>
      <c r="I16827" s="3">
        <v>7712.01</v>
      </c>
      <c r="J16827" s="3">
        <v>5424.44</v>
      </c>
      <c r="L16827">
        <v>1521</v>
      </c>
      <c r="M16827" t="s">
        <v>13961</v>
      </c>
      <c r="N16827" t="s">
        <v>30</v>
      </c>
      <c r="O16827" t="s">
        <v>31</v>
      </c>
      <c r="P16827" t="str">
        <f>"15212"</f>
        <v>15212</v>
      </c>
    </row>
    <row r="16828" spans="1:16" x14ac:dyDescent="0.25">
      <c r="A16828" t="str">
        <f>"1250023J00022    00"</f>
        <v>1250023J00022    00</v>
      </c>
      <c r="B16828" t="s">
        <v>36742</v>
      </c>
      <c r="C16828" t="s">
        <v>36743</v>
      </c>
      <c r="E16828" t="s">
        <v>39</v>
      </c>
      <c r="F16828">
        <v>0</v>
      </c>
      <c r="G16828">
        <v>0</v>
      </c>
      <c r="H16828">
        <v>1</v>
      </c>
      <c r="I16828" s="3">
        <v>3205.24</v>
      </c>
      <c r="J16828" s="3">
        <v>3178.4</v>
      </c>
      <c r="K16828" t="s">
        <v>391</v>
      </c>
      <c r="L16828">
        <v>1</v>
      </c>
      <c r="M16828" t="s">
        <v>392</v>
      </c>
      <c r="N16828" t="s">
        <v>393</v>
      </c>
      <c r="O16828" t="s">
        <v>394</v>
      </c>
      <c r="P16828" t="str">
        <f>"50328"</f>
        <v>50328</v>
      </c>
    </row>
    <row r="16829" spans="1:16" x14ac:dyDescent="0.25">
      <c r="A16829" t="str">
        <f>"1250023J00024    00"</f>
        <v>1250023J00024    00</v>
      </c>
      <c r="B16829" t="s">
        <v>36744</v>
      </c>
      <c r="C16829" t="s">
        <v>36745</v>
      </c>
      <c r="E16829" t="s">
        <v>39</v>
      </c>
      <c r="F16829">
        <v>0</v>
      </c>
      <c r="G16829">
        <v>0</v>
      </c>
      <c r="H16829">
        <v>1</v>
      </c>
      <c r="I16829" s="3">
        <v>1138.26</v>
      </c>
      <c r="J16829" s="3">
        <v>0</v>
      </c>
      <c r="K16829" t="s">
        <v>4801</v>
      </c>
      <c r="L16829">
        <v>1</v>
      </c>
      <c r="M16829" t="s">
        <v>4802</v>
      </c>
      <c r="N16829" t="s">
        <v>4803</v>
      </c>
      <c r="O16829" t="s">
        <v>554</v>
      </c>
      <c r="P16829" t="str">
        <f>"26003"</f>
        <v>26003</v>
      </c>
    </row>
    <row r="16830" spans="1:16" x14ac:dyDescent="0.25">
      <c r="A16830" t="str">
        <f>"1250023J00031    00"</f>
        <v>1250023J00031    00</v>
      </c>
      <c r="B16830" t="s">
        <v>36746</v>
      </c>
      <c r="C16830" t="s">
        <v>36747</v>
      </c>
      <c r="D16830" t="s">
        <v>20</v>
      </c>
      <c r="E16830" t="s">
        <v>39</v>
      </c>
      <c r="F16830">
        <v>0</v>
      </c>
      <c r="G16830">
        <v>0</v>
      </c>
      <c r="H16830">
        <v>1</v>
      </c>
      <c r="I16830" s="3">
        <v>103.65</v>
      </c>
      <c r="J16830" s="3">
        <v>0</v>
      </c>
      <c r="L16830">
        <v>1519</v>
      </c>
      <c r="M16830" t="s">
        <v>3938</v>
      </c>
      <c r="N16830" t="s">
        <v>30</v>
      </c>
      <c r="O16830" t="s">
        <v>31</v>
      </c>
      <c r="P16830" t="str">
        <f>"15212"</f>
        <v>15212</v>
      </c>
    </row>
    <row r="16831" spans="1:16" x14ac:dyDescent="0.25">
      <c r="A16831" t="str">
        <f>"1250023J00033    00"</f>
        <v>1250023J00033    00</v>
      </c>
      <c r="B16831" t="s">
        <v>36748</v>
      </c>
      <c r="C16831" t="s">
        <v>36749</v>
      </c>
      <c r="D16831" t="s">
        <v>20</v>
      </c>
      <c r="E16831" t="s">
        <v>39</v>
      </c>
      <c r="F16831">
        <v>0</v>
      </c>
      <c r="G16831">
        <v>0</v>
      </c>
      <c r="H16831">
        <v>1</v>
      </c>
      <c r="I16831" s="3">
        <v>5205.3</v>
      </c>
      <c r="J16831" s="3">
        <v>0</v>
      </c>
      <c r="K16831" t="s">
        <v>36750</v>
      </c>
      <c r="L16831">
        <v>935</v>
      </c>
      <c r="M16831" t="s">
        <v>6539</v>
      </c>
      <c r="N16831" t="s">
        <v>410</v>
      </c>
      <c r="O16831" t="s">
        <v>31</v>
      </c>
      <c r="P16831" t="str">
        <f>"15701"</f>
        <v>15701</v>
      </c>
    </row>
    <row r="16832" spans="1:16" x14ac:dyDescent="0.25">
      <c r="A16832" t="str">
        <f>"1250023J00034    00"</f>
        <v>1250023J00034    00</v>
      </c>
      <c r="B16832" t="s">
        <v>36751</v>
      </c>
      <c r="C16832" t="s">
        <v>36752</v>
      </c>
      <c r="D16832" t="s">
        <v>20</v>
      </c>
      <c r="E16832" t="s">
        <v>39</v>
      </c>
      <c r="F16832">
        <v>0</v>
      </c>
      <c r="G16832">
        <v>0</v>
      </c>
      <c r="H16832">
        <v>3</v>
      </c>
      <c r="I16832" s="3">
        <v>8251.11</v>
      </c>
      <c r="J16832" s="3">
        <v>49.7</v>
      </c>
      <c r="K16832" t="s">
        <v>36753</v>
      </c>
      <c r="M16832" t="s">
        <v>8531</v>
      </c>
      <c r="N16832" t="s">
        <v>5407</v>
      </c>
      <c r="O16832" t="s">
        <v>273</v>
      </c>
      <c r="P16832" t="str">
        <f>"29502"</f>
        <v>29502</v>
      </c>
    </row>
    <row r="16833" spans="1:16" x14ac:dyDescent="0.25">
      <c r="A16833" t="str">
        <f>"1250023J00045    00"</f>
        <v>1250023J00045    00</v>
      </c>
      <c r="B16833" t="s">
        <v>36754</v>
      </c>
      <c r="C16833" t="s">
        <v>36755</v>
      </c>
      <c r="D16833" t="s">
        <v>20</v>
      </c>
      <c r="E16833" t="s">
        <v>39</v>
      </c>
      <c r="F16833">
        <v>0</v>
      </c>
      <c r="G16833">
        <v>0</v>
      </c>
      <c r="H16833">
        <v>8</v>
      </c>
      <c r="I16833" s="3">
        <v>6843.58</v>
      </c>
      <c r="J16833" s="3">
        <v>2296.29</v>
      </c>
      <c r="L16833">
        <v>1503</v>
      </c>
      <c r="M16833" t="s">
        <v>34348</v>
      </c>
      <c r="N16833" t="s">
        <v>30</v>
      </c>
      <c r="O16833" t="s">
        <v>31</v>
      </c>
      <c r="P16833" t="str">
        <f>"15212"</f>
        <v>15212</v>
      </c>
    </row>
    <row r="16834" spans="1:16" x14ac:dyDescent="0.25">
      <c r="A16834" t="str">
        <f>"1250023J00047A   00"</f>
        <v>1250023J00047A   00</v>
      </c>
      <c r="B16834" t="s">
        <v>36756</v>
      </c>
      <c r="C16834" t="s">
        <v>36757</v>
      </c>
      <c r="E16834" t="s">
        <v>39</v>
      </c>
      <c r="F16834">
        <v>0</v>
      </c>
      <c r="G16834">
        <v>0</v>
      </c>
      <c r="H16834">
        <v>1</v>
      </c>
      <c r="I16834" s="3">
        <v>1702.07</v>
      </c>
      <c r="J16834" s="3">
        <v>340.41</v>
      </c>
      <c r="L16834">
        <v>141</v>
      </c>
      <c r="M16834" t="s">
        <v>36758</v>
      </c>
      <c r="N16834" t="s">
        <v>1928</v>
      </c>
      <c r="O16834" t="s">
        <v>31</v>
      </c>
      <c r="P16834" t="str">
        <f>"15317"</f>
        <v>15317</v>
      </c>
    </row>
    <row r="16835" spans="1:16" x14ac:dyDescent="0.25">
      <c r="A16835" t="str">
        <f>"1250023J00053    00"</f>
        <v>1250023J00053    00</v>
      </c>
      <c r="B16835" t="s">
        <v>36759</v>
      </c>
      <c r="C16835" t="s">
        <v>36760</v>
      </c>
      <c r="D16835" t="s">
        <v>57</v>
      </c>
      <c r="E16835" t="s">
        <v>39</v>
      </c>
      <c r="F16835">
        <v>0</v>
      </c>
      <c r="G16835">
        <v>0</v>
      </c>
      <c r="H16835">
        <v>1</v>
      </c>
      <c r="I16835" s="3">
        <v>232.37</v>
      </c>
      <c r="J16835" s="3">
        <v>236.24</v>
      </c>
      <c r="K16835" t="s">
        <v>445</v>
      </c>
      <c r="L16835">
        <v>1</v>
      </c>
      <c r="M16835" t="s">
        <v>1163</v>
      </c>
      <c r="N16835" t="s">
        <v>1164</v>
      </c>
      <c r="O16835" t="s">
        <v>108</v>
      </c>
      <c r="P16835" t="str">
        <f>"76262"</f>
        <v>76262</v>
      </c>
    </row>
    <row r="16836" spans="1:16" x14ac:dyDescent="0.25">
      <c r="A16836" t="str">
        <f>"1250023J00055    00"</f>
        <v>1250023J00055    00</v>
      </c>
      <c r="B16836" t="s">
        <v>36761</v>
      </c>
      <c r="C16836" t="s">
        <v>36762</v>
      </c>
      <c r="D16836" t="s">
        <v>20</v>
      </c>
      <c r="E16836" t="s">
        <v>39</v>
      </c>
      <c r="F16836">
        <v>0</v>
      </c>
      <c r="G16836">
        <v>0</v>
      </c>
      <c r="H16836">
        <v>4</v>
      </c>
      <c r="I16836" s="3">
        <v>6232.25</v>
      </c>
      <c r="J16836" s="3">
        <v>1439.18</v>
      </c>
      <c r="K16836" t="s">
        <v>36763</v>
      </c>
      <c r="L16836">
        <v>870</v>
      </c>
      <c r="M16836" t="s">
        <v>8196</v>
      </c>
      <c r="N16836" t="s">
        <v>30</v>
      </c>
      <c r="O16836" t="s">
        <v>31</v>
      </c>
      <c r="P16836" t="str">
        <f>"15238"</f>
        <v>15238</v>
      </c>
    </row>
    <row r="16837" spans="1:16" x14ac:dyDescent="0.25">
      <c r="A16837" t="str">
        <f>"1250023J00056    00"</f>
        <v>1250023J00056    00</v>
      </c>
      <c r="B16837" t="s">
        <v>8194</v>
      </c>
      <c r="C16837" t="s">
        <v>36764</v>
      </c>
      <c r="D16837" t="s">
        <v>20</v>
      </c>
      <c r="E16837" t="s">
        <v>39</v>
      </c>
      <c r="F16837">
        <v>0</v>
      </c>
      <c r="G16837">
        <v>0</v>
      </c>
      <c r="H16837">
        <v>2</v>
      </c>
      <c r="I16837" s="3">
        <v>1067.3599999999999</v>
      </c>
      <c r="J16837" s="3">
        <v>0</v>
      </c>
      <c r="L16837">
        <v>1504</v>
      </c>
      <c r="M16837" t="s">
        <v>34348</v>
      </c>
      <c r="N16837" t="s">
        <v>30</v>
      </c>
      <c r="O16837" t="s">
        <v>31</v>
      </c>
      <c r="P16837" t="str">
        <f>"15212"</f>
        <v>15212</v>
      </c>
    </row>
    <row r="16838" spans="1:16" x14ac:dyDescent="0.25">
      <c r="A16838" t="str">
        <f>"1250023J00057    00"</f>
        <v>1250023J00057    00</v>
      </c>
      <c r="B16838" t="s">
        <v>8194</v>
      </c>
      <c r="C16838" t="s">
        <v>36764</v>
      </c>
      <c r="D16838" t="s">
        <v>20</v>
      </c>
      <c r="E16838" t="s">
        <v>39</v>
      </c>
      <c r="F16838">
        <v>0</v>
      </c>
      <c r="G16838">
        <v>0</v>
      </c>
      <c r="H16838">
        <v>3</v>
      </c>
      <c r="I16838" s="3">
        <v>5097.66</v>
      </c>
      <c r="J16838" s="3">
        <v>60.03</v>
      </c>
      <c r="L16838">
        <v>1504</v>
      </c>
      <c r="M16838" t="s">
        <v>34348</v>
      </c>
      <c r="N16838" t="s">
        <v>30</v>
      </c>
      <c r="O16838" t="s">
        <v>31</v>
      </c>
      <c r="P16838" t="str">
        <f>"15212"</f>
        <v>15212</v>
      </c>
    </row>
    <row r="16839" spans="1:16" x14ac:dyDescent="0.25">
      <c r="A16839" t="str">
        <f>"1250023J00064    00"</f>
        <v>1250023J00064    00</v>
      </c>
      <c r="B16839" t="s">
        <v>36765</v>
      </c>
      <c r="C16839" t="s">
        <v>36766</v>
      </c>
      <c r="E16839" t="s">
        <v>39</v>
      </c>
      <c r="F16839">
        <v>0</v>
      </c>
      <c r="G16839">
        <v>0</v>
      </c>
      <c r="H16839">
        <v>2</v>
      </c>
      <c r="I16839" s="3">
        <v>76.290000000000006</v>
      </c>
      <c r="J16839" s="3">
        <v>46.58</v>
      </c>
      <c r="L16839">
        <v>508</v>
      </c>
      <c r="M16839" t="s">
        <v>36172</v>
      </c>
      <c r="N16839" t="s">
        <v>30</v>
      </c>
      <c r="O16839" t="s">
        <v>31</v>
      </c>
      <c r="P16839" t="str">
        <f>"15212"</f>
        <v>15212</v>
      </c>
    </row>
    <row r="16840" spans="1:16" x14ac:dyDescent="0.25">
      <c r="A16840" t="str">
        <f>"1250023J00083    00"</f>
        <v>1250023J00083    00</v>
      </c>
      <c r="B16840" t="s">
        <v>36767</v>
      </c>
      <c r="C16840" t="s">
        <v>36768</v>
      </c>
      <c r="D16840" t="s">
        <v>20</v>
      </c>
      <c r="E16840" t="s">
        <v>39</v>
      </c>
      <c r="F16840">
        <v>0</v>
      </c>
      <c r="G16840">
        <v>0</v>
      </c>
      <c r="H16840">
        <v>1</v>
      </c>
      <c r="I16840" s="3">
        <v>5418.77</v>
      </c>
      <c r="J16840" s="3">
        <v>0</v>
      </c>
      <c r="K16840" t="s">
        <v>710</v>
      </c>
      <c r="L16840">
        <v>4140</v>
      </c>
      <c r="M16840" t="s">
        <v>711</v>
      </c>
      <c r="N16840" t="s">
        <v>712</v>
      </c>
      <c r="O16840" t="s">
        <v>31</v>
      </c>
      <c r="P16840" t="str">
        <f>"16148"</f>
        <v>16148</v>
      </c>
    </row>
    <row r="16841" spans="1:16" x14ac:dyDescent="0.25">
      <c r="A16841" t="str">
        <f>"1250023J00110    00"</f>
        <v>1250023J00110    00</v>
      </c>
      <c r="B16841" t="s">
        <v>36769</v>
      </c>
      <c r="C16841" t="s">
        <v>36770</v>
      </c>
      <c r="D16841" t="s">
        <v>20</v>
      </c>
      <c r="E16841" t="s">
        <v>39</v>
      </c>
      <c r="F16841">
        <v>0</v>
      </c>
      <c r="G16841">
        <v>0</v>
      </c>
      <c r="H16841">
        <v>3</v>
      </c>
      <c r="I16841" s="3">
        <v>7294.3</v>
      </c>
      <c r="J16841" s="3">
        <v>315.32</v>
      </c>
      <c r="K16841" t="s">
        <v>1632</v>
      </c>
      <c r="L16841">
        <v>3001</v>
      </c>
      <c r="M16841" t="s">
        <v>330</v>
      </c>
      <c r="N16841" t="s">
        <v>331</v>
      </c>
      <c r="O16841" t="s">
        <v>108</v>
      </c>
      <c r="P16841" t="str">
        <f>"75063"</f>
        <v>75063</v>
      </c>
    </row>
    <row r="16842" spans="1:16" x14ac:dyDescent="0.25">
      <c r="A16842" t="str">
        <f>"1250023J00116    00"</f>
        <v>1250023J00116    00</v>
      </c>
      <c r="B16842" t="s">
        <v>36771</v>
      </c>
      <c r="C16842" t="s">
        <v>36772</v>
      </c>
      <c r="E16842" t="s">
        <v>39</v>
      </c>
      <c r="F16842">
        <v>0</v>
      </c>
      <c r="G16842">
        <v>0</v>
      </c>
      <c r="H16842">
        <v>2</v>
      </c>
      <c r="I16842" s="3">
        <v>3266.36</v>
      </c>
      <c r="J16842" s="3">
        <v>223.38</v>
      </c>
      <c r="K16842" t="s">
        <v>1135</v>
      </c>
      <c r="L16842">
        <v>3001</v>
      </c>
      <c r="M16842" t="s">
        <v>330</v>
      </c>
      <c r="N16842" t="s">
        <v>331</v>
      </c>
      <c r="O16842" t="s">
        <v>108</v>
      </c>
      <c r="P16842" t="str">
        <f>"75063"</f>
        <v>75063</v>
      </c>
    </row>
    <row r="16843" spans="1:16" x14ac:dyDescent="0.25">
      <c r="A16843" t="str">
        <f>"1250023J00132    00"</f>
        <v>1250023J00132    00</v>
      </c>
      <c r="B16843" t="s">
        <v>36773</v>
      </c>
      <c r="C16843" t="s">
        <v>36774</v>
      </c>
      <c r="E16843" t="s">
        <v>39</v>
      </c>
      <c r="F16843">
        <v>0</v>
      </c>
      <c r="G16843">
        <v>0</v>
      </c>
      <c r="H16843">
        <v>1</v>
      </c>
      <c r="I16843" s="3">
        <v>2740.83</v>
      </c>
      <c r="J16843" s="3">
        <v>0</v>
      </c>
      <c r="K16843" t="s">
        <v>36775</v>
      </c>
      <c r="L16843">
        <v>301</v>
      </c>
      <c r="M16843" t="s">
        <v>36776</v>
      </c>
      <c r="N16843" t="s">
        <v>36777</v>
      </c>
      <c r="O16843" t="s">
        <v>36778</v>
      </c>
      <c r="P16843" t="str">
        <f>"72301"</f>
        <v>72301</v>
      </c>
    </row>
    <row r="16844" spans="1:16" x14ac:dyDescent="0.25">
      <c r="A16844" t="str">
        <f>"1250023K00002    00"</f>
        <v>1250023K00002    00</v>
      </c>
      <c r="B16844" t="s">
        <v>36779</v>
      </c>
      <c r="C16844" t="s">
        <v>36780</v>
      </c>
      <c r="E16844" t="s">
        <v>39</v>
      </c>
      <c r="F16844">
        <v>0</v>
      </c>
      <c r="G16844">
        <v>0</v>
      </c>
      <c r="H16844">
        <v>1</v>
      </c>
      <c r="I16844" s="3">
        <v>1142.21</v>
      </c>
      <c r="J16844" s="3">
        <v>0</v>
      </c>
      <c r="L16844">
        <v>413</v>
      </c>
      <c r="M16844" t="s">
        <v>36172</v>
      </c>
      <c r="N16844" t="s">
        <v>30</v>
      </c>
      <c r="O16844" t="s">
        <v>31</v>
      </c>
      <c r="P16844" t="str">
        <f>"15212"</f>
        <v>15212</v>
      </c>
    </row>
    <row r="16845" spans="1:16" x14ac:dyDescent="0.25">
      <c r="A16845" t="str">
        <f>"1250023K00005    00"</f>
        <v>1250023K00005    00</v>
      </c>
      <c r="B16845" t="s">
        <v>36781</v>
      </c>
      <c r="C16845" t="s">
        <v>36782</v>
      </c>
      <c r="D16845" t="s">
        <v>20</v>
      </c>
      <c r="E16845" t="s">
        <v>39</v>
      </c>
      <c r="F16845">
        <v>0</v>
      </c>
      <c r="G16845">
        <v>0</v>
      </c>
      <c r="H16845">
        <v>1</v>
      </c>
      <c r="I16845" s="3">
        <v>1900.29</v>
      </c>
      <c r="J16845" s="3">
        <v>0</v>
      </c>
      <c r="L16845">
        <v>407</v>
      </c>
      <c r="M16845" t="s">
        <v>36172</v>
      </c>
      <c r="N16845" t="s">
        <v>30</v>
      </c>
      <c r="O16845" t="s">
        <v>31</v>
      </c>
      <c r="P16845" t="str">
        <f>"15212"</f>
        <v>15212</v>
      </c>
    </row>
    <row r="16846" spans="1:16" x14ac:dyDescent="0.25">
      <c r="A16846" t="str">
        <f>"1250023K00012    00"</f>
        <v>1250023K00012    00</v>
      </c>
      <c r="B16846" t="s">
        <v>36783</v>
      </c>
      <c r="C16846" t="s">
        <v>36784</v>
      </c>
      <c r="D16846" t="s">
        <v>20</v>
      </c>
      <c r="E16846" t="s">
        <v>39</v>
      </c>
      <c r="F16846">
        <v>0</v>
      </c>
      <c r="G16846">
        <v>0</v>
      </c>
      <c r="H16846">
        <v>14</v>
      </c>
      <c r="I16846" s="3">
        <v>22373.82</v>
      </c>
      <c r="J16846" s="3">
        <v>13101.33</v>
      </c>
      <c r="K16846" t="s">
        <v>36785</v>
      </c>
      <c r="L16846">
        <v>2439</v>
      </c>
      <c r="M16846" t="s">
        <v>36786</v>
      </c>
      <c r="N16846" t="s">
        <v>139</v>
      </c>
      <c r="O16846" t="s">
        <v>31</v>
      </c>
      <c r="P16846" t="str">
        <f>"15090"</f>
        <v>15090</v>
      </c>
    </row>
    <row r="16847" spans="1:16" x14ac:dyDescent="0.25">
      <c r="A16847" t="str">
        <f>"1250023K00021    00"</f>
        <v>1250023K00021    00</v>
      </c>
      <c r="B16847" t="s">
        <v>36787</v>
      </c>
      <c r="C16847" t="s">
        <v>36788</v>
      </c>
      <c r="D16847" t="s">
        <v>20</v>
      </c>
      <c r="E16847" t="s">
        <v>39</v>
      </c>
      <c r="F16847">
        <v>0</v>
      </c>
      <c r="G16847">
        <v>0</v>
      </c>
      <c r="H16847">
        <v>1</v>
      </c>
      <c r="I16847" s="3">
        <v>1789.74</v>
      </c>
      <c r="J16847" s="3">
        <v>0</v>
      </c>
      <c r="K16847" t="s">
        <v>36789</v>
      </c>
      <c r="L16847">
        <v>301</v>
      </c>
      <c r="M16847" t="s">
        <v>36172</v>
      </c>
      <c r="N16847" t="s">
        <v>30</v>
      </c>
      <c r="O16847" t="s">
        <v>31</v>
      </c>
      <c r="P16847" t="str">
        <f>"15212"</f>
        <v>15212</v>
      </c>
    </row>
    <row r="16848" spans="1:16" x14ac:dyDescent="0.25">
      <c r="A16848" t="str">
        <f>"1250023K00026    00"</f>
        <v>1250023K00026    00</v>
      </c>
      <c r="B16848" t="s">
        <v>36790</v>
      </c>
      <c r="C16848" t="s">
        <v>36791</v>
      </c>
      <c r="D16848" t="s">
        <v>20</v>
      </c>
      <c r="E16848" t="s">
        <v>39</v>
      </c>
      <c r="F16848">
        <v>0</v>
      </c>
      <c r="G16848">
        <v>0</v>
      </c>
      <c r="H16848">
        <v>8</v>
      </c>
      <c r="I16848" s="3">
        <v>3803.91</v>
      </c>
      <c r="J16848" s="3">
        <v>1174.9000000000001</v>
      </c>
      <c r="L16848">
        <v>1401</v>
      </c>
      <c r="M16848" t="s">
        <v>34403</v>
      </c>
      <c r="N16848" t="s">
        <v>30</v>
      </c>
      <c r="O16848" t="s">
        <v>31</v>
      </c>
      <c r="P16848" t="str">
        <f>"15212"</f>
        <v>15212</v>
      </c>
    </row>
    <row r="16849" spans="1:16" x14ac:dyDescent="0.25">
      <c r="A16849" t="str">
        <f>"1250045R00091    00"</f>
        <v>1250045R00091    00</v>
      </c>
      <c r="B16849" t="s">
        <v>36792</v>
      </c>
      <c r="C16849" t="s">
        <v>36064</v>
      </c>
      <c r="D16849" t="s">
        <v>20</v>
      </c>
      <c r="E16849" t="s">
        <v>39</v>
      </c>
      <c r="F16849">
        <v>0</v>
      </c>
      <c r="G16849">
        <v>0</v>
      </c>
      <c r="H16849">
        <v>19</v>
      </c>
      <c r="I16849" s="3">
        <v>191.12</v>
      </c>
      <c r="J16849" s="3">
        <v>159.24</v>
      </c>
      <c r="L16849">
        <v>2159</v>
      </c>
      <c r="M16849" t="s">
        <v>13961</v>
      </c>
      <c r="N16849" t="s">
        <v>30</v>
      </c>
      <c r="O16849" t="s">
        <v>31</v>
      </c>
      <c r="P16849" t="str">
        <f>"15212"</f>
        <v>15212</v>
      </c>
    </row>
    <row r="16850" spans="1:16" x14ac:dyDescent="0.25">
      <c r="A16850" t="str">
        <f>"1250045R00092    00"</f>
        <v>1250045R00092    00</v>
      </c>
      <c r="B16850" t="s">
        <v>36793</v>
      </c>
      <c r="C16850" t="s">
        <v>36794</v>
      </c>
      <c r="E16850" t="s">
        <v>39</v>
      </c>
      <c r="F16850">
        <v>0</v>
      </c>
      <c r="G16850">
        <v>0</v>
      </c>
      <c r="H16850">
        <v>3</v>
      </c>
      <c r="I16850" s="3">
        <v>554.38</v>
      </c>
      <c r="J16850" s="3">
        <v>156.74</v>
      </c>
      <c r="L16850">
        <v>2157</v>
      </c>
      <c r="M16850" t="s">
        <v>13961</v>
      </c>
      <c r="N16850" t="s">
        <v>30</v>
      </c>
      <c r="O16850" t="s">
        <v>31</v>
      </c>
      <c r="P16850" t="str">
        <f>"15212"</f>
        <v>15212</v>
      </c>
    </row>
    <row r="16851" spans="1:16" x14ac:dyDescent="0.25">
      <c r="A16851" t="str">
        <f>"1250045R00094    00"</f>
        <v>1250045R00094    00</v>
      </c>
      <c r="B16851" t="s">
        <v>36795</v>
      </c>
      <c r="C16851" t="s">
        <v>36064</v>
      </c>
      <c r="E16851" t="s">
        <v>39</v>
      </c>
      <c r="F16851">
        <v>0</v>
      </c>
      <c r="G16851">
        <v>0</v>
      </c>
      <c r="H16851">
        <v>1</v>
      </c>
      <c r="I16851" s="3">
        <v>116.28</v>
      </c>
      <c r="J16851" s="3">
        <v>0</v>
      </c>
      <c r="L16851">
        <v>2157</v>
      </c>
      <c r="M16851" t="s">
        <v>13961</v>
      </c>
      <c r="N16851" t="s">
        <v>30</v>
      </c>
      <c r="O16851" t="s">
        <v>31</v>
      </c>
      <c r="P16851" t="str">
        <f>"15212"</f>
        <v>15212</v>
      </c>
    </row>
    <row r="16852" spans="1:16" x14ac:dyDescent="0.25">
      <c r="A16852" t="str">
        <f>"1250045R00102    00"</f>
        <v>1250045R00102    00</v>
      </c>
      <c r="B16852" t="s">
        <v>36796</v>
      </c>
      <c r="C16852" t="s">
        <v>36797</v>
      </c>
      <c r="D16852" t="s">
        <v>20</v>
      </c>
      <c r="E16852" t="s">
        <v>39</v>
      </c>
      <c r="F16852">
        <v>0</v>
      </c>
      <c r="G16852">
        <v>0</v>
      </c>
      <c r="H16852">
        <v>15</v>
      </c>
      <c r="I16852" s="3">
        <v>14416.79</v>
      </c>
      <c r="J16852" s="3">
        <v>8344.17</v>
      </c>
      <c r="L16852">
        <v>155</v>
      </c>
      <c r="M16852" t="s">
        <v>36798</v>
      </c>
      <c r="N16852" t="s">
        <v>30</v>
      </c>
      <c r="O16852" t="s">
        <v>31</v>
      </c>
      <c r="P16852" t="str">
        <f>"15214"</f>
        <v>15214</v>
      </c>
    </row>
    <row r="16853" spans="1:16" x14ac:dyDescent="0.25">
      <c r="A16853" t="str">
        <f>"1250045S00039    01"</f>
        <v>1250045S00039    01</v>
      </c>
      <c r="B16853" t="s">
        <v>36799</v>
      </c>
      <c r="C16853" t="s">
        <v>36800</v>
      </c>
      <c r="D16853" t="s">
        <v>20</v>
      </c>
      <c r="E16853" t="s">
        <v>39</v>
      </c>
      <c r="F16853">
        <v>0</v>
      </c>
      <c r="G16853">
        <v>0</v>
      </c>
      <c r="H16853">
        <v>3</v>
      </c>
      <c r="I16853" s="3">
        <v>1924.92</v>
      </c>
      <c r="J16853" s="3">
        <v>16.739999999999998</v>
      </c>
      <c r="K16853" t="s">
        <v>36801</v>
      </c>
      <c r="L16853">
        <v>76</v>
      </c>
      <c r="M16853" t="s">
        <v>35682</v>
      </c>
      <c r="N16853" t="s">
        <v>30</v>
      </c>
      <c r="O16853" t="s">
        <v>31</v>
      </c>
      <c r="P16853" t="str">
        <f>"15214"</f>
        <v>15214</v>
      </c>
    </row>
    <row r="16854" spans="1:16" x14ac:dyDescent="0.25">
      <c r="A16854" t="str">
        <f>"1250045S00040    00"</f>
        <v>1250045S00040    00</v>
      </c>
      <c r="B16854" t="s">
        <v>36802</v>
      </c>
      <c r="C16854" t="s">
        <v>36803</v>
      </c>
      <c r="D16854" t="s">
        <v>20</v>
      </c>
      <c r="E16854" t="s">
        <v>39</v>
      </c>
      <c r="F16854">
        <v>0</v>
      </c>
      <c r="G16854">
        <v>0</v>
      </c>
      <c r="H16854">
        <v>9</v>
      </c>
      <c r="I16854" s="3">
        <v>7374.49</v>
      </c>
      <c r="J16854" s="3">
        <v>2521.15</v>
      </c>
      <c r="M16854" t="s">
        <v>36804</v>
      </c>
      <c r="N16854" t="s">
        <v>30</v>
      </c>
      <c r="O16854" t="s">
        <v>31</v>
      </c>
      <c r="P16854" t="str">
        <f>"15212"</f>
        <v>15212</v>
      </c>
    </row>
    <row r="16855" spans="1:16" x14ac:dyDescent="0.25">
      <c r="A16855" t="str">
        <f>"1250045S00041    00"</f>
        <v>1250045S00041    00</v>
      </c>
      <c r="B16855" t="s">
        <v>36802</v>
      </c>
      <c r="C16855" t="s">
        <v>36805</v>
      </c>
      <c r="D16855" t="s">
        <v>20</v>
      </c>
      <c r="E16855" t="s">
        <v>39</v>
      </c>
      <c r="F16855">
        <v>0</v>
      </c>
      <c r="G16855">
        <v>0</v>
      </c>
      <c r="H16855">
        <v>9</v>
      </c>
      <c r="I16855" s="3">
        <v>6540.92</v>
      </c>
      <c r="J16855" s="3">
        <v>2228.8200000000002</v>
      </c>
      <c r="M16855" t="s">
        <v>36806</v>
      </c>
      <c r="N16855" t="s">
        <v>30</v>
      </c>
      <c r="O16855" t="s">
        <v>31</v>
      </c>
      <c r="P16855" t="str">
        <f>"15212"</f>
        <v>15212</v>
      </c>
    </row>
    <row r="16856" spans="1:16" x14ac:dyDescent="0.25">
      <c r="A16856" t="str">
        <f>"1250045S00049    00"</f>
        <v>1250045S00049    00</v>
      </c>
      <c r="B16856" t="s">
        <v>36807</v>
      </c>
      <c r="C16856" t="s">
        <v>36808</v>
      </c>
      <c r="D16856" t="s">
        <v>20</v>
      </c>
      <c r="E16856" t="s">
        <v>39</v>
      </c>
      <c r="F16856">
        <v>0</v>
      </c>
      <c r="G16856">
        <v>0</v>
      </c>
      <c r="H16856">
        <v>2</v>
      </c>
      <c r="I16856" s="3">
        <v>953.04</v>
      </c>
      <c r="J16856" s="3">
        <v>0</v>
      </c>
      <c r="M16856" t="s">
        <v>36809</v>
      </c>
      <c r="N16856" t="s">
        <v>30</v>
      </c>
      <c r="O16856" t="s">
        <v>31</v>
      </c>
      <c r="P16856" t="str">
        <f>"15203"</f>
        <v>15203</v>
      </c>
    </row>
    <row r="16857" spans="1:16" x14ac:dyDescent="0.25">
      <c r="A16857" t="str">
        <f>"1250045S00050    00"</f>
        <v>1250045S00050    00</v>
      </c>
      <c r="B16857" t="s">
        <v>36810</v>
      </c>
      <c r="C16857" t="s">
        <v>36811</v>
      </c>
      <c r="D16857" t="s">
        <v>20</v>
      </c>
      <c r="E16857" t="s">
        <v>39</v>
      </c>
      <c r="F16857">
        <v>0</v>
      </c>
      <c r="G16857">
        <v>0</v>
      </c>
      <c r="H16857">
        <v>1</v>
      </c>
      <c r="I16857" s="3">
        <v>930.15</v>
      </c>
      <c r="J16857" s="3">
        <v>0</v>
      </c>
      <c r="L16857">
        <v>721</v>
      </c>
      <c r="M16857" t="s">
        <v>36303</v>
      </c>
      <c r="N16857" t="s">
        <v>30</v>
      </c>
      <c r="O16857" t="s">
        <v>31</v>
      </c>
      <c r="P16857" t="str">
        <f>"15214"</f>
        <v>15214</v>
      </c>
    </row>
    <row r="16858" spans="1:16" x14ac:dyDescent="0.25">
      <c r="A16858" t="str">
        <f>"1250045S00051    00"</f>
        <v>1250045S00051    00</v>
      </c>
      <c r="B16858" t="s">
        <v>36810</v>
      </c>
      <c r="C16858" t="s">
        <v>36812</v>
      </c>
      <c r="E16858" t="s">
        <v>39</v>
      </c>
      <c r="F16858">
        <v>0</v>
      </c>
      <c r="G16858">
        <v>0</v>
      </c>
      <c r="H16858">
        <v>12</v>
      </c>
      <c r="I16858" s="3">
        <v>10967.57</v>
      </c>
      <c r="J16858" s="3">
        <v>7010.18</v>
      </c>
      <c r="K16858" t="s">
        <v>36813</v>
      </c>
      <c r="L16858">
        <v>721</v>
      </c>
      <c r="M16858" t="s">
        <v>36303</v>
      </c>
      <c r="N16858" t="s">
        <v>30</v>
      </c>
      <c r="O16858" t="s">
        <v>31</v>
      </c>
      <c r="P16858" t="str">
        <f>"15214"</f>
        <v>15214</v>
      </c>
    </row>
    <row r="16859" spans="1:16" x14ac:dyDescent="0.25">
      <c r="A16859" t="str">
        <f>"1250045S00053    00"</f>
        <v>1250045S00053    00</v>
      </c>
      <c r="B16859" t="s">
        <v>36810</v>
      </c>
      <c r="C16859" t="s">
        <v>36814</v>
      </c>
      <c r="D16859" t="s">
        <v>20</v>
      </c>
      <c r="E16859" t="s">
        <v>39</v>
      </c>
      <c r="F16859">
        <v>0</v>
      </c>
      <c r="G16859">
        <v>0</v>
      </c>
      <c r="H16859">
        <v>1</v>
      </c>
      <c r="I16859" s="3">
        <v>930.15</v>
      </c>
      <c r="J16859" s="3">
        <v>0</v>
      </c>
      <c r="L16859">
        <v>721</v>
      </c>
      <c r="M16859" t="s">
        <v>36303</v>
      </c>
      <c r="N16859" t="s">
        <v>30</v>
      </c>
      <c r="O16859" t="s">
        <v>31</v>
      </c>
      <c r="P16859" t="str">
        <f>"15214"</f>
        <v>15214</v>
      </c>
    </row>
    <row r="16860" spans="1:16" x14ac:dyDescent="0.25">
      <c r="A16860" t="str">
        <f>"1250045S00057    00"</f>
        <v>1250045S00057    00</v>
      </c>
      <c r="B16860" t="s">
        <v>36815</v>
      </c>
      <c r="C16860" t="s">
        <v>36816</v>
      </c>
      <c r="D16860" t="s">
        <v>20</v>
      </c>
      <c r="E16860" t="s">
        <v>39</v>
      </c>
      <c r="F16860">
        <v>0</v>
      </c>
      <c r="G16860">
        <v>0</v>
      </c>
      <c r="H16860">
        <v>5</v>
      </c>
      <c r="I16860" s="3">
        <v>391.95</v>
      </c>
      <c r="J16860" s="3">
        <v>82.54</v>
      </c>
      <c r="L16860">
        <v>713</v>
      </c>
      <c r="M16860" t="s">
        <v>36303</v>
      </c>
      <c r="N16860" t="s">
        <v>30</v>
      </c>
      <c r="O16860" t="s">
        <v>31</v>
      </c>
      <c r="P16860" t="str">
        <f>"15214"</f>
        <v>15214</v>
      </c>
    </row>
    <row r="16861" spans="1:16" x14ac:dyDescent="0.25">
      <c r="A16861" t="str">
        <f>"1250045S00059    00"</f>
        <v>1250045S00059    00</v>
      </c>
      <c r="B16861" t="s">
        <v>22496</v>
      </c>
      <c r="C16861" t="s">
        <v>36817</v>
      </c>
      <c r="D16861" t="s">
        <v>20</v>
      </c>
      <c r="E16861" t="s">
        <v>39</v>
      </c>
      <c r="F16861">
        <v>0</v>
      </c>
      <c r="G16861">
        <v>0</v>
      </c>
      <c r="H16861">
        <v>2</v>
      </c>
      <c r="I16861" s="3">
        <v>953.04</v>
      </c>
      <c r="J16861" s="3">
        <v>0</v>
      </c>
      <c r="M16861" t="s">
        <v>22497</v>
      </c>
      <c r="N16861" t="s">
        <v>30</v>
      </c>
      <c r="O16861" t="s">
        <v>31</v>
      </c>
      <c r="P16861" t="str">
        <f>"15203"</f>
        <v>15203</v>
      </c>
    </row>
    <row r="16862" spans="1:16" x14ac:dyDescent="0.25">
      <c r="A16862" t="str">
        <f>"1250045S00060    00"</f>
        <v>1250045S00060    00</v>
      </c>
      <c r="B16862" t="s">
        <v>36810</v>
      </c>
      <c r="C16862" t="s">
        <v>36818</v>
      </c>
      <c r="D16862" t="s">
        <v>20</v>
      </c>
      <c r="E16862" t="s">
        <v>39</v>
      </c>
      <c r="F16862">
        <v>0</v>
      </c>
      <c r="G16862">
        <v>0</v>
      </c>
      <c r="H16862">
        <v>3</v>
      </c>
      <c r="I16862" s="3">
        <v>1532.61</v>
      </c>
      <c r="J16862" s="3">
        <v>78.84</v>
      </c>
      <c r="L16862">
        <v>725</v>
      </c>
      <c r="M16862" t="s">
        <v>36303</v>
      </c>
      <c r="N16862" t="s">
        <v>30</v>
      </c>
      <c r="O16862" t="s">
        <v>31</v>
      </c>
      <c r="P16862" t="str">
        <f>"15214"</f>
        <v>15214</v>
      </c>
    </row>
    <row r="16863" spans="1:16" x14ac:dyDescent="0.25">
      <c r="A16863" t="str">
        <f>"1250045S00061    00"</f>
        <v>1250045S00061    00</v>
      </c>
      <c r="B16863" t="s">
        <v>36819</v>
      </c>
      <c r="C16863" t="s">
        <v>36820</v>
      </c>
      <c r="D16863" t="s">
        <v>20</v>
      </c>
      <c r="E16863" t="s">
        <v>39</v>
      </c>
      <c r="F16863">
        <v>0</v>
      </c>
      <c r="G16863">
        <v>0</v>
      </c>
      <c r="H16863">
        <v>1</v>
      </c>
      <c r="I16863" s="3">
        <v>83.7</v>
      </c>
      <c r="J16863" s="3">
        <v>0</v>
      </c>
      <c r="K16863" t="s">
        <v>36821</v>
      </c>
      <c r="L16863">
        <v>16</v>
      </c>
      <c r="M16863" t="s">
        <v>36822</v>
      </c>
      <c r="N16863" t="s">
        <v>30</v>
      </c>
      <c r="O16863" t="s">
        <v>31</v>
      </c>
      <c r="P16863" t="str">
        <f>"15212"</f>
        <v>15212</v>
      </c>
    </row>
    <row r="16864" spans="1:16" x14ac:dyDescent="0.25">
      <c r="A16864" t="str">
        <f>"1250045S00062    00"</f>
        <v>1250045S00062    00</v>
      </c>
      <c r="B16864" t="s">
        <v>22496</v>
      </c>
      <c r="C16864" t="s">
        <v>36823</v>
      </c>
      <c r="D16864" t="s">
        <v>20</v>
      </c>
      <c r="E16864" t="s">
        <v>39</v>
      </c>
      <c r="F16864">
        <v>0</v>
      </c>
      <c r="G16864">
        <v>0</v>
      </c>
      <c r="H16864">
        <v>2</v>
      </c>
      <c r="I16864" s="3">
        <v>953</v>
      </c>
      <c r="J16864" s="3">
        <v>0</v>
      </c>
      <c r="M16864" t="s">
        <v>22497</v>
      </c>
      <c r="N16864" t="s">
        <v>30</v>
      </c>
      <c r="O16864" t="s">
        <v>31</v>
      </c>
      <c r="P16864" t="str">
        <f>"15203"</f>
        <v>15203</v>
      </c>
    </row>
    <row r="16865" spans="1:16" x14ac:dyDescent="0.25">
      <c r="A16865" t="str">
        <f>"1250045S00063    00"</f>
        <v>1250045S00063    00</v>
      </c>
      <c r="B16865" t="s">
        <v>36824</v>
      </c>
      <c r="C16865" t="s">
        <v>36825</v>
      </c>
      <c r="E16865" t="s">
        <v>39</v>
      </c>
      <c r="F16865">
        <v>0</v>
      </c>
      <c r="G16865">
        <v>0</v>
      </c>
      <c r="H16865">
        <v>3</v>
      </c>
      <c r="I16865" s="3">
        <v>752.16</v>
      </c>
      <c r="J16865" s="3">
        <v>421.02</v>
      </c>
      <c r="L16865">
        <v>701</v>
      </c>
      <c r="M16865" t="s">
        <v>36303</v>
      </c>
      <c r="N16865" t="s">
        <v>30</v>
      </c>
      <c r="O16865" t="s">
        <v>31</v>
      </c>
      <c r="P16865" t="str">
        <f>"15214"</f>
        <v>15214</v>
      </c>
    </row>
    <row r="16866" spans="1:16" x14ac:dyDescent="0.25">
      <c r="A16866" t="str">
        <f>"1250045S00102    00"</f>
        <v>1250045S00102    00</v>
      </c>
      <c r="B16866" t="s">
        <v>36826</v>
      </c>
      <c r="C16866" t="s">
        <v>36827</v>
      </c>
      <c r="D16866" t="s">
        <v>20</v>
      </c>
      <c r="E16866" t="s">
        <v>39</v>
      </c>
      <c r="F16866">
        <v>0</v>
      </c>
      <c r="G16866">
        <v>0</v>
      </c>
      <c r="H16866">
        <v>7</v>
      </c>
      <c r="I16866" s="3">
        <v>6442.78</v>
      </c>
      <c r="J16866" s="3">
        <v>1712.51</v>
      </c>
      <c r="L16866">
        <v>34</v>
      </c>
      <c r="M16866" t="s">
        <v>36828</v>
      </c>
      <c r="N16866" t="s">
        <v>22038</v>
      </c>
      <c r="O16866" t="s">
        <v>25</v>
      </c>
      <c r="P16866" t="str">
        <f>"44503"</f>
        <v>44503</v>
      </c>
    </row>
    <row r="16867" spans="1:16" x14ac:dyDescent="0.25">
      <c r="A16867" t="str">
        <f>"1250045S00104    00"</f>
        <v>1250045S00104    00</v>
      </c>
      <c r="B16867" t="s">
        <v>36829</v>
      </c>
      <c r="C16867" t="s">
        <v>36830</v>
      </c>
      <c r="D16867" t="s">
        <v>20</v>
      </c>
      <c r="E16867" t="s">
        <v>39</v>
      </c>
      <c r="F16867">
        <v>0</v>
      </c>
      <c r="G16867">
        <v>0</v>
      </c>
      <c r="H16867">
        <v>19</v>
      </c>
      <c r="I16867" s="3">
        <v>16394.189999999999</v>
      </c>
      <c r="J16867" s="3">
        <v>14616.43</v>
      </c>
      <c r="L16867">
        <v>525</v>
      </c>
      <c r="M16867" t="s">
        <v>36831</v>
      </c>
      <c r="N16867" t="s">
        <v>30</v>
      </c>
      <c r="O16867" t="s">
        <v>31</v>
      </c>
      <c r="P16867" t="str">
        <f>"15214"</f>
        <v>15214</v>
      </c>
    </row>
    <row r="16868" spans="1:16" x14ac:dyDescent="0.25">
      <c r="A16868" t="str">
        <f>"1250045S00107    00"</f>
        <v>1250045S00107    00</v>
      </c>
      <c r="B16868" t="s">
        <v>36832</v>
      </c>
      <c r="C16868" t="s">
        <v>36833</v>
      </c>
      <c r="D16868" t="s">
        <v>20</v>
      </c>
      <c r="E16868" t="s">
        <v>39</v>
      </c>
      <c r="F16868">
        <v>0</v>
      </c>
      <c r="G16868">
        <v>0</v>
      </c>
      <c r="H16868">
        <v>1</v>
      </c>
      <c r="I16868" s="3">
        <v>261.73</v>
      </c>
      <c r="J16868" s="3">
        <v>0</v>
      </c>
      <c r="L16868">
        <v>622</v>
      </c>
      <c r="M16868" t="s">
        <v>36831</v>
      </c>
      <c r="N16868" t="s">
        <v>30</v>
      </c>
      <c r="O16868" t="s">
        <v>31</v>
      </c>
      <c r="P16868" t="str">
        <f>"15214"</f>
        <v>15214</v>
      </c>
    </row>
    <row r="16869" spans="1:16" x14ac:dyDescent="0.25">
      <c r="A16869" t="str">
        <f>"1250045S00115    00"</f>
        <v>1250045S00115    00</v>
      </c>
      <c r="B16869" t="s">
        <v>36834</v>
      </c>
      <c r="C16869" t="s">
        <v>36835</v>
      </c>
      <c r="D16869" t="s">
        <v>20</v>
      </c>
      <c r="E16869" t="s">
        <v>39</v>
      </c>
      <c r="F16869">
        <v>0</v>
      </c>
      <c r="G16869">
        <v>0</v>
      </c>
      <c r="H16869">
        <v>2</v>
      </c>
      <c r="I16869" s="3">
        <v>192.06</v>
      </c>
      <c r="J16869" s="3">
        <v>0</v>
      </c>
      <c r="L16869">
        <v>2336</v>
      </c>
      <c r="M16869" t="s">
        <v>16754</v>
      </c>
      <c r="N16869" t="s">
        <v>30</v>
      </c>
      <c r="O16869" t="s">
        <v>31</v>
      </c>
      <c r="P16869" t="str">
        <f>"15217"</f>
        <v>15217</v>
      </c>
    </row>
    <row r="16870" spans="1:16" x14ac:dyDescent="0.25">
      <c r="A16870" t="str">
        <f>"1250045S00116    00"</f>
        <v>1250045S00116    00</v>
      </c>
      <c r="B16870" t="s">
        <v>36834</v>
      </c>
      <c r="C16870" t="s">
        <v>36836</v>
      </c>
      <c r="D16870" t="s">
        <v>20</v>
      </c>
      <c r="E16870" t="s">
        <v>39</v>
      </c>
      <c r="F16870">
        <v>0</v>
      </c>
      <c r="G16870">
        <v>0</v>
      </c>
      <c r="H16870">
        <v>5</v>
      </c>
      <c r="I16870" s="3">
        <v>333.26</v>
      </c>
      <c r="J16870" s="3">
        <v>155.16999999999999</v>
      </c>
      <c r="L16870">
        <v>2336</v>
      </c>
      <c r="M16870" t="s">
        <v>16754</v>
      </c>
      <c r="N16870" t="s">
        <v>30</v>
      </c>
      <c r="O16870" t="s">
        <v>31</v>
      </c>
      <c r="P16870" t="str">
        <f>"15217"</f>
        <v>15217</v>
      </c>
    </row>
    <row r="16871" spans="1:16" x14ac:dyDescent="0.25">
      <c r="A16871" t="str">
        <f>"1250045S00130    00"</f>
        <v>1250045S00130    00</v>
      </c>
      <c r="B16871" t="s">
        <v>36837</v>
      </c>
      <c r="C16871" t="s">
        <v>36838</v>
      </c>
      <c r="D16871" t="s">
        <v>20</v>
      </c>
      <c r="E16871" t="s">
        <v>39</v>
      </c>
      <c r="F16871">
        <v>0</v>
      </c>
      <c r="G16871">
        <v>0</v>
      </c>
      <c r="H16871">
        <v>1</v>
      </c>
      <c r="I16871" s="3">
        <v>190.6</v>
      </c>
      <c r="J16871" s="3">
        <v>0</v>
      </c>
      <c r="L16871">
        <v>525</v>
      </c>
      <c r="M16871" t="s">
        <v>36276</v>
      </c>
      <c r="N16871" t="s">
        <v>30</v>
      </c>
      <c r="O16871" t="s">
        <v>31</v>
      </c>
      <c r="P16871" t="str">
        <f>"15214"</f>
        <v>15214</v>
      </c>
    </row>
    <row r="16872" spans="1:16" x14ac:dyDescent="0.25">
      <c r="A16872" t="str">
        <f>"1250045S00134    00"</f>
        <v>1250045S00134    00</v>
      </c>
      <c r="B16872" t="s">
        <v>36432</v>
      </c>
      <c r="C16872" t="s">
        <v>36839</v>
      </c>
      <c r="D16872" t="s">
        <v>20</v>
      </c>
      <c r="E16872" t="s">
        <v>39</v>
      </c>
      <c r="F16872">
        <v>0</v>
      </c>
      <c r="G16872">
        <v>0</v>
      </c>
      <c r="H16872">
        <v>1</v>
      </c>
      <c r="I16872" s="3">
        <v>228.72</v>
      </c>
      <c r="J16872" s="3">
        <v>0</v>
      </c>
      <c r="L16872">
        <v>525</v>
      </c>
      <c r="M16872" t="s">
        <v>36276</v>
      </c>
      <c r="N16872" t="s">
        <v>30</v>
      </c>
      <c r="O16872" t="s">
        <v>31</v>
      </c>
      <c r="P16872" t="str">
        <f>"15214"</f>
        <v>15214</v>
      </c>
    </row>
    <row r="16873" spans="1:16" x14ac:dyDescent="0.25">
      <c r="A16873" t="str">
        <f>"1250045S00135    00"</f>
        <v>1250045S00135    00</v>
      </c>
      <c r="B16873" t="s">
        <v>36840</v>
      </c>
      <c r="C16873" t="s">
        <v>36841</v>
      </c>
      <c r="D16873" t="s">
        <v>20</v>
      </c>
      <c r="E16873" t="s">
        <v>39</v>
      </c>
      <c r="F16873">
        <v>0</v>
      </c>
      <c r="G16873">
        <v>0</v>
      </c>
      <c r="H16873">
        <v>18</v>
      </c>
      <c r="I16873" s="3">
        <v>8153.64</v>
      </c>
      <c r="J16873" s="3">
        <v>5350.92</v>
      </c>
      <c r="L16873">
        <v>611</v>
      </c>
      <c r="M16873" t="s">
        <v>36831</v>
      </c>
      <c r="N16873" t="s">
        <v>30</v>
      </c>
      <c r="O16873" t="s">
        <v>31</v>
      </c>
      <c r="P16873" t="str">
        <f>"15214"</f>
        <v>15214</v>
      </c>
    </row>
    <row r="16874" spans="1:16" x14ac:dyDescent="0.25">
      <c r="A16874" t="str">
        <f>"1250045S00136    00"</f>
        <v>1250045S00136    00</v>
      </c>
      <c r="B16874" t="s">
        <v>36842</v>
      </c>
      <c r="C16874" t="s">
        <v>36843</v>
      </c>
      <c r="D16874" t="s">
        <v>20</v>
      </c>
      <c r="E16874" t="s">
        <v>39</v>
      </c>
      <c r="F16874">
        <v>0</v>
      </c>
      <c r="G16874">
        <v>0</v>
      </c>
      <c r="H16874">
        <v>6</v>
      </c>
      <c r="I16874" s="3">
        <v>2258.2600000000002</v>
      </c>
      <c r="J16874" s="3">
        <v>506.48</v>
      </c>
      <c r="L16874">
        <v>516</v>
      </c>
      <c r="M16874" t="s">
        <v>36844</v>
      </c>
      <c r="N16874" t="s">
        <v>36845</v>
      </c>
      <c r="O16874" t="s">
        <v>423</v>
      </c>
      <c r="P16874" t="str">
        <f>"08879"</f>
        <v>08879</v>
      </c>
    </row>
    <row r="16875" spans="1:16" x14ac:dyDescent="0.25">
      <c r="A16875" t="str">
        <f>"1250045S00137    00"</f>
        <v>1250045S00137    00</v>
      </c>
      <c r="B16875" t="s">
        <v>36846</v>
      </c>
      <c r="C16875" t="s">
        <v>36836</v>
      </c>
      <c r="D16875" t="s">
        <v>20</v>
      </c>
      <c r="E16875" t="s">
        <v>39</v>
      </c>
      <c r="F16875">
        <v>0</v>
      </c>
      <c r="G16875">
        <v>0</v>
      </c>
      <c r="H16875">
        <v>15</v>
      </c>
      <c r="I16875" s="3">
        <v>11298.02</v>
      </c>
      <c r="J16875" s="3">
        <v>11895.58</v>
      </c>
      <c r="L16875">
        <v>98</v>
      </c>
      <c r="M16875" t="s">
        <v>36847</v>
      </c>
      <c r="N16875" t="s">
        <v>20478</v>
      </c>
      <c r="O16875" t="s">
        <v>31</v>
      </c>
      <c r="P16875" t="str">
        <f>"15112"</f>
        <v>15112</v>
      </c>
    </row>
    <row r="16876" spans="1:16" x14ac:dyDescent="0.25">
      <c r="A16876" t="str">
        <f>"1250045S00138    00"</f>
        <v>1250045S00138    00</v>
      </c>
      <c r="B16876" t="s">
        <v>36848</v>
      </c>
      <c r="C16876" t="s">
        <v>36836</v>
      </c>
      <c r="D16876" t="s">
        <v>20</v>
      </c>
      <c r="E16876" t="s">
        <v>39</v>
      </c>
      <c r="F16876">
        <v>0</v>
      </c>
      <c r="G16876">
        <v>0</v>
      </c>
      <c r="H16876">
        <v>17</v>
      </c>
      <c r="I16876" s="3">
        <v>2518.91</v>
      </c>
      <c r="J16876" s="3">
        <v>3286.18</v>
      </c>
      <c r="L16876">
        <v>1145</v>
      </c>
      <c r="M16876" t="s">
        <v>36849</v>
      </c>
      <c r="N16876" t="s">
        <v>30</v>
      </c>
      <c r="O16876" t="s">
        <v>31</v>
      </c>
      <c r="P16876" t="str">
        <f>"15237"</f>
        <v>15237</v>
      </c>
    </row>
    <row r="16877" spans="1:16" x14ac:dyDescent="0.25">
      <c r="A16877" t="str">
        <f>"1250045S00180A   00"</f>
        <v>1250045S00180A   00</v>
      </c>
      <c r="B16877" t="s">
        <v>36850</v>
      </c>
      <c r="C16877" t="s">
        <v>36851</v>
      </c>
      <c r="D16877" t="s">
        <v>20</v>
      </c>
      <c r="E16877" t="s">
        <v>39</v>
      </c>
      <c r="F16877">
        <v>0</v>
      </c>
      <c r="G16877">
        <v>0</v>
      </c>
      <c r="H16877">
        <v>6</v>
      </c>
      <c r="I16877" s="3">
        <v>1781.56</v>
      </c>
      <c r="J16877" s="3">
        <v>472.74</v>
      </c>
      <c r="L16877">
        <v>2306</v>
      </c>
      <c r="M16877" t="s">
        <v>36852</v>
      </c>
      <c r="N16877" t="s">
        <v>30</v>
      </c>
      <c r="O16877" t="s">
        <v>31</v>
      </c>
      <c r="P16877" t="str">
        <f>"15214"</f>
        <v>15214</v>
      </c>
    </row>
    <row r="16878" spans="1:16" x14ac:dyDescent="0.25">
      <c r="A16878" t="str">
        <f>"1250045S00181    00"</f>
        <v>1250045S00181    00</v>
      </c>
      <c r="B16878" t="s">
        <v>36850</v>
      </c>
      <c r="C16878" t="s">
        <v>36851</v>
      </c>
      <c r="D16878" t="s">
        <v>20</v>
      </c>
      <c r="E16878" t="s">
        <v>39</v>
      </c>
      <c r="F16878">
        <v>0</v>
      </c>
      <c r="G16878">
        <v>0</v>
      </c>
      <c r="H16878">
        <v>5</v>
      </c>
      <c r="I16878" s="3">
        <v>527.54</v>
      </c>
      <c r="J16878" s="3">
        <v>91.14</v>
      </c>
      <c r="L16878">
        <v>2306</v>
      </c>
      <c r="M16878" t="s">
        <v>36853</v>
      </c>
      <c r="N16878" t="s">
        <v>30</v>
      </c>
      <c r="O16878" t="s">
        <v>31</v>
      </c>
      <c r="P16878" t="str">
        <f>"15214"</f>
        <v>15214</v>
      </c>
    </row>
    <row r="16879" spans="1:16" x14ac:dyDescent="0.25">
      <c r="A16879" t="str">
        <f>"1250045S00181A   00"</f>
        <v>1250045S00181A   00</v>
      </c>
      <c r="B16879" t="s">
        <v>36850</v>
      </c>
      <c r="C16879" t="s">
        <v>36851</v>
      </c>
      <c r="D16879" t="s">
        <v>20</v>
      </c>
      <c r="E16879" t="s">
        <v>39</v>
      </c>
      <c r="F16879">
        <v>0</v>
      </c>
      <c r="G16879">
        <v>0</v>
      </c>
      <c r="H16879">
        <v>5</v>
      </c>
      <c r="I16879" s="3">
        <v>527.54</v>
      </c>
      <c r="J16879" s="3">
        <v>91.14</v>
      </c>
      <c r="L16879">
        <v>2306</v>
      </c>
      <c r="M16879" t="s">
        <v>36853</v>
      </c>
      <c r="N16879" t="s">
        <v>30</v>
      </c>
      <c r="O16879" t="s">
        <v>31</v>
      </c>
      <c r="P16879" t="str">
        <f>"15214"</f>
        <v>15214</v>
      </c>
    </row>
    <row r="16880" spans="1:16" x14ac:dyDescent="0.25">
      <c r="A16880" t="str">
        <f>"1250045S00182    00"</f>
        <v>1250045S00182    00</v>
      </c>
      <c r="B16880" t="s">
        <v>36850</v>
      </c>
      <c r="C16880" t="s">
        <v>36851</v>
      </c>
      <c r="D16880" t="s">
        <v>20</v>
      </c>
      <c r="E16880" t="s">
        <v>39</v>
      </c>
      <c r="F16880">
        <v>0</v>
      </c>
      <c r="G16880">
        <v>0</v>
      </c>
      <c r="H16880">
        <v>5</v>
      </c>
      <c r="I16880" s="3">
        <v>2816.61</v>
      </c>
      <c r="J16880" s="3">
        <v>486.61</v>
      </c>
      <c r="L16880">
        <v>2306</v>
      </c>
      <c r="M16880" t="s">
        <v>36852</v>
      </c>
      <c r="N16880" t="s">
        <v>30</v>
      </c>
      <c r="O16880" t="s">
        <v>31</v>
      </c>
      <c r="P16880" t="str">
        <f>"15214"</f>
        <v>15214</v>
      </c>
    </row>
    <row r="16881" spans="1:16" x14ac:dyDescent="0.25">
      <c r="A16881" t="str">
        <f>"1250045S00190    00"</f>
        <v>1250045S00190    00</v>
      </c>
      <c r="B16881" t="s">
        <v>36854</v>
      </c>
      <c r="C16881" t="s">
        <v>36855</v>
      </c>
      <c r="D16881" t="s">
        <v>20</v>
      </c>
      <c r="E16881" t="s">
        <v>39</v>
      </c>
      <c r="F16881">
        <v>0</v>
      </c>
      <c r="G16881">
        <v>0</v>
      </c>
      <c r="H16881">
        <v>7</v>
      </c>
      <c r="I16881" s="3">
        <v>1516.93</v>
      </c>
      <c r="J16881" s="3">
        <v>440.16</v>
      </c>
      <c r="L16881">
        <v>613</v>
      </c>
      <c r="M16881" t="s">
        <v>36856</v>
      </c>
      <c r="N16881" t="s">
        <v>30</v>
      </c>
      <c r="O16881" t="s">
        <v>31</v>
      </c>
      <c r="P16881" t="str">
        <f>"15214"</f>
        <v>15214</v>
      </c>
    </row>
    <row r="16882" spans="1:16" x14ac:dyDescent="0.25">
      <c r="A16882" t="str">
        <f>"1250045S00191    00"</f>
        <v>1250045S00191    00</v>
      </c>
      <c r="B16882" t="s">
        <v>36857</v>
      </c>
      <c r="C16882" t="s">
        <v>36858</v>
      </c>
      <c r="D16882" t="s">
        <v>20</v>
      </c>
      <c r="E16882" t="s">
        <v>39</v>
      </c>
      <c r="F16882">
        <v>0</v>
      </c>
      <c r="G16882">
        <v>0</v>
      </c>
      <c r="H16882">
        <v>8</v>
      </c>
      <c r="I16882" s="3">
        <v>4444.68</v>
      </c>
      <c r="J16882" s="3">
        <v>1454.36</v>
      </c>
      <c r="L16882">
        <v>2108</v>
      </c>
      <c r="M16882" t="s">
        <v>36859</v>
      </c>
      <c r="N16882" t="s">
        <v>36860</v>
      </c>
      <c r="O16882" t="s">
        <v>70</v>
      </c>
      <c r="P16882" t="str">
        <f>"49508"</f>
        <v>49508</v>
      </c>
    </row>
    <row r="16883" spans="1:16" x14ac:dyDescent="0.25">
      <c r="A16883" t="str">
        <f>"1250045S00254    00"</f>
        <v>1250045S00254    00</v>
      </c>
      <c r="B16883" t="s">
        <v>36861</v>
      </c>
      <c r="C16883" t="s">
        <v>36858</v>
      </c>
      <c r="D16883" t="s">
        <v>20</v>
      </c>
      <c r="E16883" t="s">
        <v>39</v>
      </c>
      <c r="F16883">
        <v>0</v>
      </c>
      <c r="G16883">
        <v>0</v>
      </c>
      <c r="H16883">
        <v>13</v>
      </c>
      <c r="I16883" s="3">
        <v>10330.33</v>
      </c>
      <c r="J16883" s="3">
        <v>6630.04</v>
      </c>
      <c r="P16883" t="str">
        <f>""</f>
        <v/>
      </c>
    </row>
    <row r="16884" spans="1:16" x14ac:dyDescent="0.25">
      <c r="A16884" t="str">
        <f>"1250045S00384    00"</f>
        <v>1250045S00384    00</v>
      </c>
      <c r="B16884" t="s">
        <v>36862</v>
      </c>
      <c r="C16884" t="s">
        <v>36098</v>
      </c>
      <c r="D16884" t="s">
        <v>20</v>
      </c>
      <c r="E16884" t="s">
        <v>21</v>
      </c>
      <c r="F16884">
        <v>0</v>
      </c>
      <c r="G16884">
        <v>0</v>
      </c>
      <c r="H16884">
        <v>4</v>
      </c>
      <c r="I16884" s="3">
        <v>37.76</v>
      </c>
      <c r="J16884" s="3">
        <v>4.66</v>
      </c>
      <c r="L16884">
        <v>159</v>
      </c>
      <c r="M16884" t="s">
        <v>25848</v>
      </c>
      <c r="N16884" t="s">
        <v>30</v>
      </c>
      <c r="O16884" t="s">
        <v>31</v>
      </c>
      <c r="P16884" t="str">
        <f>"15210"</f>
        <v>15210</v>
      </c>
    </row>
    <row r="16885" spans="1:16" x14ac:dyDescent="0.25">
      <c r="A16885" t="str">
        <f>"1250045S00385A   00"</f>
        <v>1250045S00385A   00</v>
      </c>
      <c r="B16885" t="s">
        <v>36862</v>
      </c>
      <c r="C16885" t="s">
        <v>36863</v>
      </c>
      <c r="D16885" t="s">
        <v>20</v>
      </c>
      <c r="E16885" t="s">
        <v>290</v>
      </c>
      <c r="F16885">
        <v>0</v>
      </c>
      <c r="G16885">
        <v>0</v>
      </c>
      <c r="H16885">
        <v>6</v>
      </c>
      <c r="I16885" s="3">
        <v>2876.24</v>
      </c>
      <c r="J16885" s="3">
        <v>645.07000000000005</v>
      </c>
      <c r="L16885">
        <v>159</v>
      </c>
      <c r="M16885" t="s">
        <v>25848</v>
      </c>
      <c r="N16885" t="s">
        <v>30</v>
      </c>
      <c r="O16885" t="s">
        <v>31</v>
      </c>
      <c r="P16885" t="str">
        <f>"15210"</f>
        <v>15210</v>
      </c>
    </row>
    <row r="16886" spans="1:16" x14ac:dyDescent="0.25">
      <c r="A16886" t="str">
        <f>"1250045S00386    00"</f>
        <v>1250045S00386    00</v>
      </c>
      <c r="B16886" t="s">
        <v>36862</v>
      </c>
      <c r="C16886" t="s">
        <v>36864</v>
      </c>
      <c r="D16886" t="s">
        <v>20</v>
      </c>
      <c r="E16886" t="s">
        <v>21</v>
      </c>
      <c r="F16886">
        <v>0</v>
      </c>
      <c r="G16886">
        <v>0</v>
      </c>
      <c r="H16886">
        <v>7</v>
      </c>
      <c r="I16886" s="3">
        <v>4750.18</v>
      </c>
      <c r="J16886" s="3">
        <v>1374.13</v>
      </c>
      <c r="L16886">
        <v>159</v>
      </c>
      <c r="M16886" t="s">
        <v>25848</v>
      </c>
      <c r="N16886" t="s">
        <v>30</v>
      </c>
      <c r="O16886" t="s">
        <v>31</v>
      </c>
      <c r="P16886" t="str">
        <f>"15210"</f>
        <v>15210</v>
      </c>
    </row>
    <row r="16887" spans="1:16" x14ac:dyDescent="0.25">
      <c r="A16887" t="str">
        <f>"1250046K00162    00"</f>
        <v>1250046K00162    00</v>
      </c>
      <c r="B16887" t="s">
        <v>36865</v>
      </c>
      <c r="C16887" t="s">
        <v>36866</v>
      </c>
      <c r="D16887" t="s">
        <v>20</v>
      </c>
      <c r="E16887" t="s">
        <v>39</v>
      </c>
      <c r="F16887">
        <v>0</v>
      </c>
      <c r="G16887">
        <v>0</v>
      </c>
      <c r="H16887">
        <v>11</v>
      </c>
      <c r="I16887" s="3">
        <v>5044.8</v>
      </c>
      <c r="J16887" s="3">
        <v>2407.7199999999998</v>
      </c>
      <c r="L16887">
        <v>2123</v>
      </c>
      <c r="M16887" t="s">
        <v>36867</v>
      </c>
      <c r="N16887" t="s">
        <v>30</v>
      </c>
      <c r="O16887" t="s">
        <v>31</v>
      </c>
      <c r="P16887" t="str">
        <f t="shared" ref="P16887:P16895" si="218">"15214"</f>
        <v>15214</v>
      </c>
    </row>
    <row r="16888" spans="1:16" x14ac:dyDescent="0.25">
      <c r="A16888" t="str">
        <f>"1250046K00166    00"</f>
        <v>1250046K00166    00</v>
      </c>
      <c r="B16888" t="s">
        <v>36868</v>
      </c>
      <c r="C16888" t="s">
        <v>36869</v>
      </c>
      <c r="D16888" t="s">
        <v>20</v>
      </c>
      <c r="E16888" t="s">
        <v>39</v>
      </c>
      <c r="F16888">
        <v>0</v>
      </c>
      <c r="G16888">
        <v>0</v>
      </c>
      <c r="H16888">
        <v>4</v>
      </c>
      <c r="I16888" s="3">
        <v>637.86</v>
      </c>
      <c r="J16888" s="3">
        <v>80.2</v>
      </c>
      <c r="L16888">
        <v>249</v>
      </c>
      <c r="M16888" t="s">
        <v>35682</v>
      </c>
      <c r="N16888" t="s">
        <v>30</v>
      </c>
      <c r="O16888" t="s">
        <v>31</v>
      </c>
      <c r="P16888" t="str">
        <f t="shared" si="218"/>
        <v>15214</v>
      </c>
    </row>
    <row r="16889" spans="1:16" x14ac:dyDescent="0.25">
      <c r="A16889" t="str">
        <f>"1250046N00007    00"</f>
        <v>1250046N00007    00</v>
      </c>
      <c r="B16889" t="s">
        <v>36829</v>
      </c>
      <c r="C16889" t="s">
        <v>36836</v>
      </c>
      <c r="D16889" t="s">
        <v>20</v>
      </c>
      <c r="E16889" t="s">
        <v>39</v>
      </c>
      <c r="F16889">
        <v>0</v>
      </c>
      <c r="G16889">
        <v>0</v>
      </c>
      <c r="H16889">
        <v>18</v>
      </c>
      <c r="I16889" s="3">
        <v>1370.89</v>
      </c>
      <c r="J16889" s="3">
        <v>1123.08</v>
      </c>
      <c r="L16889">
        <v>525</v>
      </c>
      <c r="M16889" t="s">
        <v>36831</v>
      </c>
      <c r="N16889" t="s">
        <v>30</v>
      </c>
      <c r="O16889" t="s">
        <v>31</v>
      </c>
      <c r="P16889" t="str">
        <f t="shared" si="218"/>
        <v>15214</v>
      </c>
    </row>
    <row r="16890" spans="1:16" x14ac:dyDescent="0.25">
      <c r="A16890" t="str">
        <f>"1250046N00025    00"</f>
        <v>1250046N00025    00</v>
      </c>
      <c r="B16890" t="s">
        <v>36870</v>
      </c>
      <c r="C16890" t="s">
        <v>36871</v>
      </c>
      <c r="D16890" t="s">
        <v>20</v>
      </c>
      <c r="E16890" t="s">
        <v>39</v>
      </c>
      <c r="F16890">
        <v>0</v>
      </c>
      <c r="G16890">
        <v>0</v>
      </c>
      <c r="H16890">
        <v>2</v>
      </c>
      <c r="I16890" s="3">
        <v>2241.44</v>
      </c>
      <c r="J16890" s="3">
        <v>0</v>
      </c>
      <c r="L16890">
        <v>117</v>
      </c>
      <c r="M16890" t="s">
        <v>34011</v>
      </c>
      <c r="N16890" t="s">
        <v>30</v>
      </c>
      <c r="O16890" t="s">
        <v>31</v>
      </c>
      <c r="P16890" t="str">
        <f t="shared" si="218"/>
        <v>15214</v>
      </c>
    </row>
    <row r="16891" spans="1:16" x14ac:dyDescent="0.25">
      <c r="A16891" t="str">
        <f>"1250046N00035    00"</f>
        <v>1250046N00035    00</v>
      </c>
      <c r="B16891" t="s">
        <v>36872</v>
      </c>
      <c r="C16891" t="s">
        <v>36873</v>
      </c>
      <c r="D16891" t="s">
        <v>20</v>
      </c>
      <c r="E16891" t="s">
        <v>39</v>
      </c>
      <c r="F16891">
        <v>0</v>
      </c>
      <c r="G16891">
        <v>0</v>
      </c>
      <c r="H16891">
        <v>2</v>
      </c>
      <c r="I16891" s="3">
        <v>1591.62</v>
      </c>
      <c r="J16891" s="3">
        <v>168.03</v>
      </c>
      <c r="K16891" t="s">
        <v>36874</v>
      </c>
      <c r="L16891">
        <v>525</v>
      </c>
      <c r="M16891" t="s">
        <v>36831</v>
      </c>
      <c r="N16891" t="s">
        <v>30</v>
      </c>
      <c r="O16891" t="s">
        <v>31</v>
      </c>
      <c r="P16891" t="str">
        <f t="shared" si="218"/>
        <v>15214</v>
      </c>
    </row>
    <row r="16892" spans="1:16" x14ac:dyDescent="0.25">
      <c r="A16892" t="str">
        <f>"1250046N00050    00"</f>
        <v>1250046N00050    00</v>
      </c>
      <c r="B16892" t="s">
        <v>36875</v>
      </c>
      <c r="C16892" t="s">
        <v>36876</v>
      </c>
      <c r="D16892" t="s">
        <v>20</v>
      </c>
      <c r="E16892" t="s">
        <v>39</v>
      </c>
      <c r="F16892">
        <v>0</v>
      </c>
      <c r="G16892">
        <v>0</v>
      </c>
      <c r="H16892">
        <v>13</v>
      </c>
      <c r="I16892" s="3">
        <v>9345.2199999999993</v>
      </c>
      <c r="J16892" s="3">
        <v>5385.24</v>
      </c>
      <c r="K16892" t="s">
        <v>36877</v>
      </c>
      <c r="L16892">
        <v>515</v>
      </c>
      <c r="M16892" t="s">
        <v>36856</v>
      </c>
      <c r="N16892" t="s">
        <v>30</v>
      </c>
      <c r="O16892" t="s">
        <v>31</v>
      </c>
      <c r="P16892" t="str">
        <f t="shared" si="218"/>
        <v>15214</v>
      </c>
    </row>
    <row r="16893" spans="1:16" x14ac:dyDescent="0.25">
      <c r="A16893" t="str">
        <f>"1250046N00065    00"</f>
        <v>1250046N00065    00</v>
      </c>
      <c r="B16893" t="s">
        <v>12867</v>
      </c>
      <c r="C16893" t="s">
        <v>36858</v>
      </c>
      <c r="D16893" t="s">
        <v>20</v>
      </c>
      <c r="E16893" t="s">
        <v>39</v>
      </c>
      <c r="F16893">
        <v>0</v>
      </c>
      <c r="G16893">
        <v>0</v>
      </c>
      <c r="H16893">
        <v>5</v>
      </c>
      <c r="I16893" s="3">
        <v>1918.57</v>
      </c>
      <c r="J16893" s="3">
        <v>490.11</v>
      </c>
      <c r="K16893" t="s">
        <v>12868</v>
      </c>
      <c r="L16893">
        <v>112</v>
      </c>
      <c r="M16893" t="s">
        <v>36856</v>
      </c>
      <c r="N16893" t="s">
        <v>30</v>
      </c>
      <c r="O16893" t="s">
        <v>31</v>
      </c>
      <c r="P16893" t="str">
        <f t="shared" si="218"/>
        <v>15214</v>
      </c>
    </row>
    <row r="16894" spans="1:16" x14ac:dyDescent="0.25">
      <c r="A16894" t="str">
        <f>"1250046N00067    00"</f>
        <v>1250046N00067    00</v>
      </c>
      <c r="B16894" t="s">
        <v>36878</v>
      </c>
      <c r="C16894" t="s">
        <v>36858</v>
      </c>
      <c r="D16894" t="s">
        <v>20</v>
      </c>
      <c r="E16894" t="s">
        <v>39</v>
      </c>
      <c r="F16894">
        <v>0</v>
      </c>
      <c r="G16894">
        <v>0</v>
      </c>
      <c r="H16894">
        <v>4</v>
      </c>
      <c r="I16894" s="3">
        <v>67.92</v>
      </c>
      <c r="J16894" s="3">
        <v>8.3699999999999992</v>
      </c>
      <c r="K16894" t="s">
        <v>36879</v>
      </c>
      <c r="L16894">
        <v>112</v>
      </c>
      <c r="M16894" t="s">
        <v>36856</v>
      </c>
      <c r="N16894" t="s">
        <v>30</v>
      </c>
      <c r="O16894" t="s">
        <v>31</v>
      </c>
      <c r="P16894" t="str">
        <f t="shared" si="218"/>
        <v>15214</v>
      </c>
    </row>
    <row r="16895" spans="1:16" x14ac:dyDescent="0.25">
      <c r="A16895" t="str">
        <f>"1250046N00070    00"</f>
        <v>1250046N00070    00</v>
      </c>
      <c r="B16895" t="s">
        <v>36880</v>
      </c>
      <c r="C16895" t="s">
        <v>36881</v>
      </c>
      <c r="D16895" t="s">
        <v>20</v>
      </c>
      <c r="E16895" t="s">
        <v>39</v>
      </c>
      <c r="F16895">
        <v>0</v>
      </c>
      <c r="G16895">
        <v>0</v>
      </c>
      <c r="H16895">
        <v>5</v>
      </c>
      <c r="I16895" s="3">
        <v>1905.22</v>
      </c>
      <c r="J16895" s="3">
        <v>1715.46</v>
      </c>
      <c r="L16895">
        <v>413</v>
      </c>
      <c r="M16895" t="s">
        <v>36856</v>
      </c>
      <c r="N16895" t="s">
        <v>30</v>
      </c>
      <c r="O16895" t="s">
        <v>31</v>
      </c>
      <c r="P16895" t="str">
        <f t="shared" si="218"/>
        <v>15214</v>
      </c>
    </row>
    <row r="16896" spans="1:16" x14ac:dyDescent="0.25">
      <c r="A16896" t="str">
        <f>"1250046N00071    00"</f>
        <v>1250046N00071    00</v>
      </c>
      <c r="B16896" t="s">
        <v>36882</v>
      </c>
      <c r="C16896" t="s">
        <v>36858</v>
      </c>
      <c r="D16896" t="s">
        <v>20</v>
      </c>
      <c r="E16896" t="s">
        <v>39</v>
      </c>
      <c r="F16896">
        <v>0</v>
      </c>
      <c r="G16896">
        <v>0</v>
      </c>
      <c r="H16896">
        <v>19</v>
      </c>
      <c r="I16896" s="3">
        <v>649.58000000000004</v>
      </c>
      <c r="J16896" s="3">
        <v>815.76</v>
      </c>
      <c r="L16896">
        <v>3451</v>
      </c>
      <c r="M16896" t="s">
        <v>36883</v>
      </c>
      <c r="N16896" t="s">
        <v>30</v>
      </c>
      <c r="O16896" t="s">
        <v>31</v>
      </c>
      <c r="P16896" t="str">
        <f>"15212"</f>
        <v>15212</v>
      </c>
    </row>
    <row r="16897" spans="1:16" x14ac:dyDescent="0.25">
      <c r="A16897" t="str">
        <f>"1250046N00125    00"</f>
        <v>1250046N00125    00</v>
      </c>
      <c r="B16897" t="s">
        <v>36884</v>
      </c>
      <c r="C16897" t="s">
        <v>36885</v>
      </c>
      <c r="D16897" t="s">
        <v>20</v>
      </c>
      <c r="E16897" t="s">
        <v>39</v>
      </c>
      <c r="F16897">
        <v>0</v>
      </c>
      <c r="G16897">
        <v>0</v>
      </c>
      <c r="H16897">
        <v>16</v>
      </c>
      <c r="I16897" s="3">
        <v>7980.21</v>
      </c>
      <c r="J16897" s="3">
        <v>5822.01</v>
      </c>
      <c r="L16897">
        <v>2101</v>
      </c>
      <c r="M16897" t="s">
        <v>36886</v>
      </c>
      <c r="N16897" t="s">
        <v>30</v>
      </c>
      <c r="O16897" t="s">
        <v>31</v>
      </c>
      <c r="P16897" t="str">
        <f>"15214"</f>
        <v>15214</v>
      </c>
    </row>
    <row r="16898" spans="1:16" x14ac:dyDescent="0.25">
      <c r="A16898" t="str">
        <f>"1250046N00126    00"</f>
        <v>1250046N00126    00</v>
      </c>
      <c r="B16898" t="s">
        <v>36884</v>
      </c>
      <c r="C16898" t="s">
        <v>36887</v>
      </c>
      <c r="D16898" t="s">
        <v>20</v>
      </c>
      <c r="E16898" t="s">
        <v>39</v>
      </c>
      <c r="F16898">
        <v>0</v>
      </c>
      <c r="G16898">
        <v>0</v>
      </c>
      <c r="H16898">
        <v>9</v>
      </c>
      <c r="I16898" s="3">
        <v>3675.79</v>
      </c>
      <c r="J16898" s="3">
        <v>1395.1</v>
      </c>
      <c r="L16898">
        <v>561</v>
      </c>
      <c r="M16898" t="s">
        <v>36888</v>
      </c>
      <c r="N16898" t="s">
        <v>36889</v>
      </c>
      <c r="O16898" t="s">
        <v>31</v>
      </c>
      <c r="P16898" t="str">
        <f>"15320"</f>
        <v>15320</v>
      </c>
    </row>
    <row r="16899" spans="1:16" x14ac:dyDescent="0.25">
      <c r="A16899" t="str">
        <f>"1250046N00138    00"</f>
        <v>1250046N00138    00</v>
      </c>
      <c r="B16899" t="s">
        <v>36890</v>
      </c>
      <c r="C16899" t="s">
        <v>36891</v>
      </c>
      <c r="D16899" t="s">
        <v>20</v>
      </c>
      <c r="E16899" t="s">
        <v>39</v>
      </c>
      <c r="F16899">
        <v>0</v>
      </c>
      <c r="G16899">
        <v>0</v>
      </c>
      <c r="H16899">
        <v>15</v>
      </c>
      <c r="I16899" s="3">
        <v>10620.23</v>
      </c>
      <c r="J16899" s="3">
        <v>8114.03</v>
      </c>
      <c r="L16899">
        <v>545</v>
      </c>
      <c r="M16899" t="s">
        <v>36276</v>
      </c>
      <c r="N16899" t="s">
        <v>30</v>
      </c>
      <c r="O16899" t="s">
        <v>31</v>
      </c>
      <c r="P16899" t="str">
        <f>"15214"</f>
        <v>15214</v>
      </c>
    </row>
    <row r="16900" spans="1:16" x14ac:dyDescent="0.25">
      <c r="A16900" t="str">
        <f>"1250046N00141    00"</f>
        <v>1250046N00141    00</v>
      </c>
      <c r="B16900" t="s">
        <v>36892</v>
      </c>
      <c r="C16900" t="s">
        <v>36893</v>
      </c>
      <c r="E16900" t="s">
        <v>39</v>
      </c>
      <c r="F16900">
        <v>0</v>
      </c>
      <c r="G16900">
        <v>0</v>
      </c>
      <c r="H16900">
        <v>3</v>
      </c>
      <c r="I16900" s="3">
        <v>2018.94</v>
      </c>
      <c r="J16900" s="3">
        <v>585.89</v>
      </c>
      <c r="L16900">
        <v>9492</v>
      </c>
      <c r="M16900" t="s">
        <v>36894</v>
      </c>
      <c r="N16900" t="s">
        <v>36895</v>
      </c>
      <c r="O16900" t="s">
        <v>692</v>
      </c>
      <c r="P16900" t="str">
        <f>"20110"</f>
        <v>20110</v>
      </c>
    </row>
    <row r="16901" spans="1:16" x14ac:dyDescent="0.25">
      <c r="A16901" t="str">
        <f>"1250046N00144    00"</f>
        <v>1250046N00144    00</v>
      </c>
      <c r="B16901" t="s">
        <v>36896</v>
      </c>
      <c r="C16901" t="s">
        <v>36897</v>
      </c>
      <c r="D16901" t="s">
        <v>20</v>
      </c>
      <c r="E16901" t="s">
        <v>39</v>
      </c>
      <c r="F16901">
        <v>0</v>
      </c>
      <c r="G16901">
        <v>0</v>
      </c>
      <c r="H16901">
        <v>10</v>
      </c>
      <c r="I16901" s="3">
        <v>1528.18</v>
      </c>
      <c r="J16901" s="3">
        <v>428.51</v>
      </c>
      <c r="L16901">
        <v>2147</v>
      </c>
      <c r="M16901" t="s">
        <v>36886</v>
      </c>
      <c r="N16901" t="s">
        <v>30</v>
      </c>
      <c r="O16901" t="s">
        <v>31</v>
      </c>
      <c r="P16901" t="str">
        <f>"15214"</f>
        <v>15214</v>
      </c>
    </row>
    <row r="16902" spans="1:16" x14ac:dyDescent="0.25">
      <c r="A16902" t="str">
        <f>"1250046N00146    00"</f>
        <v>1250046N00146    00</v>
      </c>
      <c r="B16902" t="s">
        <v>36898</v>
      </c>
      <c r="C16902" t="s">
        <v>36897</v>
      </c>
      <c r="D16902" t="s">
        <v>20</v>
      </c>
      <c r="E16902" t="s">
        <v>39</v>
      </c>
      <c r="F16902">
        <v>0</v>
      </c>
      <c r="G16902">
        <v>0</v>
      </c>
      <c r="H16902">
        <v>13</v>
      </c>
      <c r="I16902" s="3">
        <v>3775.54</v>
      </c>
      <c r="J16902" s="3">
        <v>4742.63</v>
      </c>
      <c r="L16902">
        <v>2151</v>
      </c>
      <c r="M16902" t="s">
        <v>36886</v>
      </c>
      <c r="N16902" t="s">
        <v>30</v>
      </c>
      <c r="O16902" t="s">
        <v>31</v>
      </c>
      <c r="P16902" t="str">
        <f>"15214"</f>
        <v>15214</v>
      </c>
    </row>
    <row r="16903" spans="1:16" x14ac:dyDescent="0.25">
      <c r="A16903" t="str">
        <f>"1250046N00150    00"</f>
        <v>1250046N00150    00</v>
      </c>
      <c r="B16903" t="s">
        <v>36899</v>
      </c>
      <c r="C16903" t="s">
        <v>36900</v>
      </c>
      <c r="D16903" t="s">
        <v>20</v>
      </c>
      <c r="E16903" t="s">
        <v>39</v>
      </c>
      <c r="F16903">
        <v>0</v>
      </c>
      <c r="G16903">
        <v>0</v>
      </c>
      <c r="H16903">
        <v>9</v>
      </c>
      <c r="I16903" s="3">
        <v>9837.4699999999993</v>
      </c>
      <c r="J16903" s="3">
        <v>6219.05</v>
      </c>
      <c r="L16903">
        <v>3338</v>
      </c>
      <c r="M16903" t="s">
        <v>13961</v>
      </c>
      <c r="N16903" t="s">
        <v>30</v>
      </c>
      <c r="O16903" t="s">
        <v>31</v>
      </c>
      <c r="P16903" t="str">
        <f>"15212"</f>
        <v>15212</v>
      </c>
    </row>
    <row r="16904" spans="1:16" x14ac:dyDescent="0.25">
      <c r="A16904" t="str">
        <f>"1250046N00152    00"</f>
        <v>1250046N00152    00</v>
      </c>
      <c r="B16904" t="s">
        <v>36901</v>
      </c>
      <c r="C16904" t="s">
        <v>36902</v>
      </c>
      <c r="D16904" t="s">
        <v>20</v>
      </c>
      <c r="E16904" t="s">
        <v>39</v>
      </c>
      <c r="F16904">
        <v>0</v>
      </c>
      <c r="G16904">
        <v>0</v>
      </c>
      <c r="H16904">
        <v>13</v>
      </c>
      <c r="I16904" s="3">
        <v>11177.32</v>
      </c>
      <c r="J16904" s="3">
        <v>9812.07</v>
      </c>
      <c r="L16904">
        <v>914</v>
      </c>
      <c r="M16904" t="s">
        <v>36903</v>
      </c>
      <c r="N16904" t="s">
        <v>30</v>
      </c>
      <c r="O16904" t="s">
        <v>31</v>
      </c>
      <c r="P16904" t="str">
        <f>"15233"</f>
        <v>15233</v>
      </c>
    </row>
    <row r="16905" spans="1:16" x14ac:dyDescent="0.25">
      <c r="A16905" t="str">
        <f>"1250046N00179    00"</f>
        <v>1250046N00179    00</v>
      </c>
      <c r="B16905" t="s">
        <v>36904</v>
      </c>
      <c r="C16905" t="s">
        <v>36905</v>
      </c>
      <c r="D16905" t="s">
        <v>20</v>
      </c>
      <c r="E16905" t="s">
        <v>21</v>
      </c>
      <c r="F16905">
        <v>0</v>
      </c>
      <c r="G16905">
        <v>0</v>
      </c>
      <c r="H16905">
        <v>2</v>
      </c>
      <c r="I16905" s="3">
        <v>1387.6</v>
      </c>
      <c r="J16905" s="3">
        <v>0</v>
      </c>
      <c r="L16905">
        <v>2025</v>
      </c>
      <c r="M16905" t="s">
        <v>34518</v>
      </c>
      <c r="N16905" t="s">
        <v>30</v>
      </c>
      <c r="O16905" t="s">
        <v>31</v>
      </c>
      <c r="P16905" t="str">
        <f t="shared" ref="P16905:P16910" si="219">"15214"</f>
        <v>15214</v>
      </c>
    </row>
    <row r="16906" spans="1:16" x14ac:dyDescent="0.25">
      <c r="A16906" t="str">
        <f>"1250046N00184    00"</f>
        <v>1250046N00184    00</v>
      </c>
      <c r="B16906" t="s">
        <v>36904</v>
      </c>
      <c r="C16906" t="s">
        <v>36905</v>
      </c>
      <c r="D16906" t="s">
        <v>20</v>
      </c>
      <c r="E16906" t="s">
        <v>21</v>
      </c>
      <c r="F16906">
        <v>0</v>
      </c>
      <c r="G16906">
        <v>0</v>
      </c>
      <c r="H16906">
        <v>2</v>
      </c>
      <c r="I16906" s="3">
        <v>27240.6</v>
      </c>
      <c r="J16906" s="3">
        <v>0</v>
      </c>
      <c r="L16906">
        <v>2025</v>
      </c>
      <c r="M16906" t="s">
        <v>34518</v>
      </c>
      <c r="N16906" t="s">
        <v>30</v>
      </c>
      <c r="O16906" t="s">
        <v>31</v>
      </c>
      <c r="P16906" t="str">
        <f t="shared" si="219"/>
        <v>15214</v>
      </c>
    </row>
    <row r="16907" spans="1:16" x14ac:dyDescent="0.25">
      <c r="A16907" t="str">
        <f>"1250046N00191    00"</f>
        <v>1250046N00191    00</v>
      </c>
      <c r="B16907" t="s">
        <v>36904</v>
      </c>
      <c r="C16907" t="s">
        <v>36905</v>
      </c>
      <c r="D16907" t="s">
        <v>20</v>
      </c>
      <c r="E16907" t="s">
        <v>21</v>
      </c>
      <c r="F16907">
        <v>0</v>
      </c>
      <c r="G16907">
        <v>0</v>
      </c>
      <c r="H16907">
        <v>2</v>
      </c>
      <c r="I16907" s="3">
        <v>179.2</v>
      </c>
      <c r="J16907" s="3">
        <v>0</v>
      </c>
      <c r="L16907">
        <v>2025</v>
      </c>
      <c r="M16907" t="s">
        <v>34518</v>
      </c>
      <c r="N16907" t="s">
        <v>30</v>
      </c>
      <c r="O16907" t="s">
        <v>31</v>
      </c>
      <c r="P16907" t="str">
        <f t="shared" si="219"/>
        <v>15214</v>
      </c>
    </row>
    <row r="16908" spans="1:16" x14ac:dyDescent="0.25">
      <c r="A16908" t="str">
        <f>"1250046N00193    00"</f>
        <v>1250046N00193    00</v>
      </c>
      <c r="B16908" t="s">
        <v>36904</v>
      </c>
      <c r="C16908" t="s">
        <v>36905</v>
      </c>
      <c r="D16908" t="s">
        <v>20</v>
      </c>
      <c r="E16908" t="s">
        <v>21</v>
      </c>
      <c r="F16908">
        <v>0</v>
      </c>
      <c r="G16908">
        <v>0</v>
      </c>
      <c r="H16908">
        <v>2</v>
      </c>
      <c r="I16908" s="3">
        <v>152.47999999999999</v>
      </c>
      <c r="J16908" s="3">
        <v>0</v>
      </c>
      <c r="L16908">
        <v>2025</v>
      </c>
      <c r="M16908" t="s">
        <v>34518</v>
      </c>
      <c r="N16908" t="s">
        <v>30</v>
      </c>
      <c r="O16908" t="s">
        <v>31</v>
      </c>
      <c r="P16908" t="str">
        <f t="shared" si="219"/>
        <v>15214</v>
      </c>
    </row>
    <row r="16909" spans="1:16" x14ac:dyDescent="0.25">
      <c r="A16909" t="str">
        <f>"1250046N00198    00"</f>
        <v>1250046N00198    00</v>
      </c>
      <c r="B16909" t="s">
        <v>36904</v>
      </c>
      <c r="C16909" t="s">
        <v>36905</v>
      </c>
      <c r="D16909" t="s">
        <v>20</v>
      </c>
      <c r="E16909" t="s">
        <v>21</v>
      </c>
      <c r="F16909">
        <v>0</v>
      </c>
      <c r="G16909">
        <v>0</v>
      </c>
      <c r="H16909">
        <v>2</v>
      </c>
      <c r="I16909" s="3">
        <v>209.68</v>
      </c>
      <c r="J16909" s="3">
        <v>0</v>
      </c>
      <c r="L16909">
        <v>2025</v>
      </c>
      <c r="M16909" t="s">
        <v>34518</v>
      </c>
      <c r="N16909" t="s">
        <v>30</v>
      </c>
      <c r="O16909" t="s">
        <v>31</v>
      </c>
      <c r="P16909" t="str">
        <f t="shared" si="219"/>
        <v>15214</v>
      </c>
    </row>
    <row r="16910" spans="1:16" x14ac:dyDescent="0.25">
      <c r="A16910" t="str">
        <f>"1250046N00206    00"</f>
        <v>1250046N00206    00</v>
      </c>
      <c r="B16910" t="s">
        <v>36906</v>
      </c>
      <c r="C16910" t="s">
        <v>36907</v>
      </c>
      <c r="D16910" t="s">
        <v>20</v>
      </c>
      <c r="E16910" t="s">
        <v>21</v>
      </c>
      <c r="F16910">
        <v>0</v>
      </c>
      <c r="G16910">
        <v>0</v>
      </c>
      <c r="H16910">
        <v>3</v>
      </c>
      <c r="I16910" s="3">
        <v>9165.9599999999991</v>
      </c>
      <c r="J16910" s="3">
        <v>611.04</v>
      </c>
      <c r="K16910" t="s">
        <v>36908</v>
      </c>
      <c r="L16910">
        <v>2131</v>
      </c>
      <c r="M16910" t="s">
        <v>8008</v>
      </c>
      <c r="N16910" t="s">
        <v>30</v>
      </c>
      <c r="O16910" t="s">
        <v>31</v>
      </c>
      <c r="P16910" t="str">
        <f t="shared" si="219"/>
        <v>15214</v>
      </c>
    </row>
    <row r="16911" spans="1:16" x14ac:dyDescent="0.25">
      <c r="A16911" t="str">
        <f>"1250046N00211    00"</f>
        <v>1250046N00211    00</v>
      </c>
      <c r="B16911" t="s">
        <v>36909</v>
      </c>
      <c r="C16911" t="s">
        <v>36910</v>
      </c>
      <c r="D16911" t="s">
        <v>20</v>
      </c>
      <c r="E16911" t="s">
        <v>39</v>
      </c>
      <c r="F16911">
        <v>0</v>
      </c>
      <c r="G16911">
        <v>0</v>
      </c>
      <c r="H16911">
        <v>13</v>
      </c>
      <c r="I16911" s="3">
        <v>14719.58</v>
      </c>
      <c r="J16911" s="3">
        <v>4876.9799999999996</v>
      </c>
      <c r="K16911" t="s">
        <v>16586</v>
      </c>
      <c r="L16911">
        <v>6226</v>
      </c>
      <c r="M16911" t="s">
        <v>16587</v>
      </c>
      <c r="N16911" t="s">
        <v>30</v>
      </c>
      <c r="O16911" t="s">
        <v>31</v>
      </c>
      <c r="P16911" t="str">
        <f>"15206"</f>
        <v>15206</v>
      </c>
    </row>
    <row r="16912" spans="1:16" x14ac:dyDescent="0.25">
      <c r="A16912" t="str">
        <f>"1250046N00233    00"</f>
        <v>1250046N00233    00</v>
      </c>
      <c r="B16912" t="s">
        <v>36911</v>
      </c>
      <c r="C16912" t="s">
        <v>36912</v>
      </c>
      <c r="D16912" t="s">
        <v>20</v>
      </c>
      <c r="E16912" t="s">
        <v>39</v>
      </c>
      <c r="F16912">
        <v>0</v>
      </c>
      <c r="G16912">
        <v>0</v>
      </c>
      <c r="H16912">
        <v>1</v>
      </c>
      <c r="I16912" s="3">
        <v>26.95</v>
      </c>
      <c r="J16912" s="3">
        <v>5.38</v>
      </c>
      <c r="L16912">
        <v>727</v>
      </c>
      <c r="M16912" t="s">
        <v>17413</v>
      </c>
      <c r="N16912" t="s">
        <v>30</v>
      </c>
      <c r="O16912" t="s">
        <v>31</v>
      </c>
      <c r="P16912" t="str">
        <f>"15221"</f>
        <v>15221</v>
      </c>
    </row>
    <row r="16913" spans="1:16" x14ac:dyDescent="0.25">
      <c r="A16913" t="str">
        <f>"1250046N00257    00"</f>
        <v>1250046N00257    00</v>
      </c>
      <c r="B16913" t="s">
        <v>36913</v>
      </c>
      <c r="C16913" t="s">
        <v>36257</v>
      </c>
      <c r="D16913" t="s">
        <v>20</v>
      </c>
      <c r="E16913" t="s">
        <v>39</v>
      </c>
      <c r="F16913">
        <v>0</v>
      </c>
      <c r="G16913">
        <v>0</v>
      </c>
      <c r="H16913">
        <v>19</v>
      </c>
      <c r="I16913" s="3">
        <v>6509.98</v>
      </c>
      <c r="J16913" s="3">
        <v>4075.06</v>
      </c>
      <c r="P16913" t="str">
        <f>""</f>
        <v/>
      </c>
    </row>
    <row r="16914" spans="1:16" x14ac:dyDescent="0.25">
      <c r="A16914" t="str">
        <f>"1250046N00286    00"</f>
        <v>1250046N00286    00</v>
      </c>
      <c r="B16914" t="s">
        <v>36914</v>
      </c>
      <c r="C16914" t="s">
        <v>36915</v>
      </c>
      <c r="D16914" t="s">
        <v>20</v>
      </c>
      <c r="E16914" t="s">
        <v>39</v>
      </c>
      <c r="F16914">
        <v>0</v>
      </c>
      <c r="G16914">
        <v>0</v>
      </c>
      <c r="H16914">
        <v>19</v>
      </c>
      <c r="I16914" s="3">
        <v>9560.57</v>
      </c>
      <c r="J16914" s="3">
        <v>6693.83</v>
      </c>
      <c r="P16914" t="str">
        <f>""</f>
        <v/>
      </c>
    </row>
    <row r="16915" spans="1:16" x14ac:dyDescent="0.25">
      <c r="A16915" t="str">
        <f>"1250046N00312    00"</f>
        <v>1250046N00312    00</v>
      </c>
      <c r="B16915" t="s">
        <v>36916</v>
      </c>
      <c r="C16915" t="s">
        <v>36917</v>
      </c>
      <c r="D16915" t="s">
        <v>20</v>
      </c>
      <c r="E16915" t="s">
        <v>39</v>
      </c>
      <c r="F16915">
        <v>0</v>
      </c>
      <c r="G16915">
        <v>0</v>
      </c>
      <c r="H16915">
        <v>17</v>
      </c>
      <c r="I16915" s="3">
        <v>12390.11</v>
      </c>
      <c r="J16915" s="3">
        <v>10361.459999999999</v>
      </c>
      <c r="L16915">
        <v>9650</v>
      </c>
      <c r="M16915" t="s">
        <v>36918</v>
      </c>
      <c r="N16915" t="s">
        <v>1320</v>
      </c>
      <c r="O16915" t="s">
        <v>1321</v>
      </c>
      <c r="P16915" t="str">
        <f>"89123"</f>
        <v>89123</v>
      </c>
    </row>
    <row r="16916" spans="1:16" x14ac:dyDescent="0.25">
      <c r="A16916" t="str">
        <f>"1250046N00329    00"</f>
        <v>1250046N00329    00</v>
      </c>
      <c r="B16916" t="s">
        <v>36919</v>
      </c>
      <c r="C16916" t="s">
        <v>36920</v>
      </c>
      <c r="D16916" t="s">
        <v>20</v>
      </c>
      <c r="E16916" t="s">
        <v>39</v>
      </c>
      <c r="F16916">
        <v>0</v>
      </c>
      <c r="G16916">
        <v>0</v>
      </c>
      <c r="H16916">
        <v>3</v>
      </c>
      <c r="I16916" s="3">
        <v>3053.46</v>
      </c>
      <c r="J16916" s="3">
        <v>203.56</v>
      </c>
      <c r="L16916">
        <v>3340</v>
      </c>
      <c r="M16916" t="s">
        <v>36921</v>
      </c>
      <c r="N16916" t="s">
        <v>30</v>
      </c>
      <c r="O16916" t="s">
        <v>31</v>
      </c>
      <c r="P16916" t="str">
        <f>"15237"</f>
        <v>15237</v>
      </c>
    </row>
    <row r="16917" spans="1:16" x14ac:dyDescent="0.25">
      <c r="A16917" t="str">
        <f>"1250046N00330    00"</f>
        <v>1250046N00330    00</v>
      </c>
      <c r="B16917" t="s">
        <v>36922</v>
      </c>
      <c r="C16917" t="s">
        <v>36923</v>
      </c>
      <c r="E16917" t="s">
        <v>39</v>
      </c>
      <c r="F16917">
        <v>0</v>
      </c>
      <c r="G16917">
        <v>0</v>
      </c>
      <c r="H16917">
        <v>13</v>
      </c>
      <c r="I16917" s="3">
        <v>11650.87</v>
      </c>
      <c r="J16917" s="3">
        <v>19417.46</v>
      </c>
      <c r="L16917">
        <v>521</v>
      </c>
      <c r="M16917" t="s">
        <v>36186</v>
      </c>
      <c r="N16917" t="s">
        <v>30</v>
      </c>
      <c r="O16917" t="s">
        <v>31</v>
      </c>
      <c r="P16917" t="str">
        <f>"15214"</f>
        <v>15214</v>
      </c>
    </row>
    <row r="16918" spans="1:16" x14ac:dyDescent="0.25">
      <c r="A16918" t="str">
        <f>"1250046N00331    00"</f>
        <v>1250046N00331    00</v>
      </c>
      <c r="B16918" t="s">
        <v>36924</v>
      </c>
      <c r="C16918" t="s">
        <v>36925</v>
      </c>
      <c r="D16918" t="s">
        <v>20</v>
      </c>
      <c r="E16918" t="s">
        <v>39</v>
      </c>
      <c r="F16918">
        <v>0</v>
      </c>
      <c r="G16918">
        <v>0</v>
      </c>
      <c r="H16918">
        <v>2</v>
      </c>
      <c r="I16918" s="3">
        <v>986.57</v>
      </c>
      <c r="J16918" s="3">
        <v>1.75</v>
      </c>
      <c r="K16918" t="s">
        <v>9577</v>
      </c>
      <c r="L16918">
        <v>228</v>
      </c>
      <c r="M16918" t="s">
        <v>9578</v>
      </c>
      <c r="N16918" t="s">
        <v>199</v>
      </c>
      <c r="O16918" t="s">
        <v>200</v>
      </c>
      <c r="P16918" t="str">
        <f>"10003"</f>
        <v>10003</v>
      </c>
    </row>
    <row r="16919" spans="1:16" x14ac:dyDescent="0.25">
      <c r="A16919" t="str">
        <f>"1250046N00332    01"</f>
        <v>1250046N00332    01</v>
      </c>
      <c r="B16919" t="s">
        <v>36926</v>
      </c>
      <c r="C16919" t="s">
        <v>36927</v>
      </c>
      <c r="E16919" t="s">
        <v>39</v>
      </c>
      <c r="F16919">
        <v>0</v>
      </c>
      <c r="G16919">
        <v>0</v>
      </c>
      <c r="H16919">
        <v>1</v>
      </c>
      <c r="I16919" s="3">
        <v>0</v>
      </c>
      <c r="J16919" s="3">
        <v>23.04</v>
      </c>
      <c r="K16919" t="s">
        <v>9577</v>
      </c>
      <c r="L16919">
        <v>228</v>
      </c>
      <c r="M16919" t="s">
        <v>9578</v>
      </c>
      <c r="N16919" t="s">
        <v>199</v>
      </c>
      <c r="O16919" t="s">
        <v>200</v>
      </c>
      <c r="P16919" t="str">
        <f>"10003"</f>
        <v>10003</v>
      </c>
    </row>
    <row r="16920" spans="1:16" x14ac:dyDescent="0.25">
      <c r="A16920" t="str">
        <f>"1250046N00343    00"</f>
        <v>1250046N00343    00</v>
      </c>
      <c r="B16920" t="s">
        <v>36928</v>
      </c>
      <c r="C16920" t="s">
        <v>36929</v>
      </c>
      <c r="D16920" t="s">
        <v>20</v>
      </c>
      <c r="E16920" t="s">
        <v>39</v>
      </c>
      <c r="F16920">
        <v>0</v>
      </c>
      <c r="G16920">
        <v>0</v>
      </c>
      <c r="H16920">
        <v>1</v>
      </c>
      <c r="I16920" s="3">
        <v>1054.5</v>
      </c>
      <c r="J16920" s="3">
        <v>0</v>
      </c>
      <c r="K16920" t="s">
        <v>417</v>
      </c>
      <c r="L16920">
        <v>3001</v>
      </c>
      <c r="M16920" t="s">
        <v>330</v>
      </c>
      <c r="N16920" t="s">
        <v>331</v>
      </c>
      <c r="O16920" t="s">
        <v>108</v>
      </c>
      <c r="P16920" t="str">
        <f>"75063"</f>
        <v>75063</v>
      </c>
    </row>
    <row r="16921" spans="1:16" x14ac:dyDescent="0.25">
      <c r="A16921" t="str">
        <f>"1250046N00351    00"</f>
        <v>1250046N00351    00</v>
      </c>
      <c r="B16921" t="s">
        <v>36930</v>
      </c>
      <c r="C16921" t="s">
        <v>36931</v>
      </c>
      <c r="D16921" t="s">
        <v>20</v>
      </c>
      <c r="E16921" t="s">
        <v>39</v>
      </c>
      <c r="F16921">
        <v>0</v>
      </c>
      <c r="G16921">
        <v>0</v>
      </c>
      <c r="H16921">
        <v>19</v>
      </c>
      <c r="I16921" s="3">
        <v>37058.28</v>
      </c>
      <c r="J16921" s="3">
        <v>34546.519999999997</v>
      </c>
      <c r="K16921" t="s">
        <v>36932</v>
      </c>
      <c r="L16921">
        <v>100</v>
      </c>
      <c r="M16921" t="s">
        <v>36933</v>
      </c>
      <c r="N16921" t="s">
        <v>30</v>
      </c>
      <c r="O16921" t="s">
        <v>31</v>
      </c>
      <c r="P16921" t="str">
        <f>"15212"</f>
        <v>15212</v>
      </c>
    </row>
    <row r="16922" spans="1:16" x14ac:dyDescent="0.25">
      <c r="A16922" t="str">
        <f>"1250046N00353    00"</f>
        <v>1250046N00353    00</v>
      </c>
      <c r="B16922" t="s">
        <v>36934</v>
      </c>
      <c r="C16922" t="s">
        <v>36935</v>
      </c>
      <c r="E16922" t="s">
        <v>39</v>
      </c>
      <c r="F16922">
        <v>0</v>
      </c>
      <c r="G16922">
        <v>0</v>
      </c>
      <c r="H16922">
        <v>12</v>
      </c>
      <c r="I16922" s="3">
        <v>19502.28</v>
      </c>
      <c r="J16922" s="3">
        <v>24709.85</v>
      </c>
      <c r="K16922" t="s">
        <v>36936</v>
      </c>
      <c r="L16922">
        <v>1</v>
      </c>
      <c r="M16922" t="s">
        <v>36937</v>
      </c>
      <c r="N16922" t="s">
        <v>30</v>
      </c>
      <c r="O16922" t="s">
        <v>31</v>
      </c>
      <c r="P16922" t="str">
        <f>"15229"</f>
        <v>15229</v>
      </c>
    </row>
    <row r="16923" spans="1:16" x14ac:dyDescent="0.25">
      <c r="A16923" t="str">
        <f>"1250046N00360    00"</f>
        <v>1250046N00360    00</v>
      </c>
      <c r="B16923" t="s">
        <v>36938</v>
      </c>
      <c r="C16923" t="s">
        <v>36939</v>
      </c>
      <c r="D16923" t="s">
        <v>20</v>
      </c>
      <c r="E16923" t="s">
        <v>39</v>
      </c>
      <c r="F16923">
        <v>0</v>
      </c>
      <c r="G16923">
        <v>0</v>
      </c>
      <c r="H16923">
        <v>17</v>
      </c>
      <c r="I16923" s="3">
        <v>7550.64</v>
      </c>
      <c r="J16923" s="3">
        <v>4939.12</v>
      </c>
      <c r="L16923">
        <v>542</v>
      </c>
      <c r="M16923" t="s">
        <v>36940</v>
      </c>
      <c r="N16923" t="s">
        <v>30</v>
      </c>
      <c r="O16923" t="s">
        <v>31</v>
      </c>
      <c r="P16923" t="str">
        <f>"15214"</f>
        <v>15214</v>
      </c>
    </row>
    <row r="16924" spans="1:16" x14ac:dyDescent="0.25">
      <c r="A16924" t="str">
        <f>"1250046N00361    00"</f>
        <v>1250046N00361    00</v>
      </c>
      <c r="B16924" t="s">
        <v>36941</v>
      </c>
      <c r="C16924" t="s">
        <v>36942</v>
      </c>
      <c r="E16924" t="s">
        <v>39</v>
      </c>
      <c r="F16924">
        <v>0</v>
      </c>
      <c r="G16924">
        <v>0</v>
      </c>
      <c r="H16924">
        <v>1</v>
      </c>
      <c r="I16924" s="3">
        <v>99.73</v>
      </c>
      <c r="J16924" s="3">
        <v>59.84</v>
      </c>
      <c r="L16924">
        <v>544</v>
      </c>
      <c r="M16924" t="s">
        <v>36186</v>
      </c>
      <c r="N16924" t="s">
        <v>30</v>
      </c>
      <c r="O16924" t="s">
        <v>31</v>
      </c>
      <c r="P16924" t="str">
        <f>"15214"</f>
        <v>15214</v>
      </c>
    </row>
    <row r="16925" spans="1:16" x14ac:dyDescent="0.25">
      <c r="A16925" t="str">
        <f>"1250046N00363    00"</f>
        <v>1250046N00363    00</v>
      </c>
      <c r="B16925" t="s">
        <v>36943</v>
      </c>
      <c r="C16925" t="s">
        <v>36944</v>
      </c>
      <c r="D16925" t="s">
        <v>20</v>
      </c>
      <c r="E16925" t="s">
        <v>39</v>
      </c>
      <c r="F16925">
        <v>0</v>
      </c>
      <c r="G16925">
        <v>0</v>
      </c>
      <c r="H16925">
        <v>3</v>
      </c>
      <c r="I16925" s="3">
        <v>200.85</v>
      </c>
      <c r="J16925" s="3">
        <v>13.39</v>
      </c>
      <c r="L16925">
        <v>611</v>
      </c>
      <c r="M16925" t="s">
        <v>36945</v>
      </c>
      <c r="N16925" t="s">
        <v>30</v>
      </c>
      <c r="O16925" t="s">
        <v>31</v>
      </c>
      <c r="P16925" t="str">
        <f>"15214"</f>
        <v>15214</v>
      </c>
    </row>
    <row r="16926" spans="1:16" x14ac:dyDescent="0.25">
      <c r="A16926" t="str">
        <f>"1250046N00374    00"</f>
        <v>1250046N00374    00</v>
      </c>
      <c r="B16926" t="s">
        <v>36946</v>
      </c>
      <c r="C16926" t="s">
        <v>36947</v>
      </c>
      <c r="D16926" t="s">
        <v>20</v>
      </c>
      <c r="E16926" t="s">
        <v>39</v>
      </c>
      <c r="F16926">
        <v>0</v>
      </c>
      <c r="G16926">
        <v>0</v>
      </c>
      <c r="H16926">
        <v>19</v>
      </c>
      <c r="I16926" s="3">
        <v>20106.189999999999</v>
      </c>
      <c r="J16926" s="3">
        <v>18450.2</v>
      </c>
      <c r="K16926" t="s">
        <v>36948</v>
      </c>
      <c r="L16926">
        <v>100</v>
      </c>
      <c r="M16926" t="s">
        <v>36949</v>
      </c>
      <c r="N16926" t="s">
        <v>30</v>
      </c>
      <c r="O16926" t="s">
        <v>31</v>
      </c>
      <c r="P16926" t="str">
        <f>"15212"</f>
        <v>15212</v>
      </c>
    </row>
    <row r="16927" spans="1:16" x14ac:dyDescent="0.25">
      <c r="A16927" t="str">
        <f>"1250046P00005    00"</f>
        <v>1250046P00005    00</v>
      </c>
      <c r="B16927" t="s">
        <v>32387</v>
      </c>
      <c r="C16927" t="s">
        <v>36950</v>
      </c>
      <c r="D16927" t="s">
        <v>20</v>
      </c>
      <c r="E16927" t="s">
        <v>39</v>
      </c>
      <c r="F16927">
        <v>0</v>
      </c>
      <c r="G16927">
        <v>0</v>
      </c>
      <c r="H16927">
        <v>4</v>
      </c>
      <c r="I16927" s="3">
        <v>6432.19</v>
      </c>
      <c r="J16927" s="3">
        <v>759.82</v>
      </c>
      <c r="K16927" t="s">
        <v>32411</v>
      </c>
      <c r="L16927">
        <v>3030</v>
      </c>
      <c r="M16927" t="s">
        <v>21885</v>
      </c>
      <c r="N16927" t="s">
        <v>6603</v>
      </c>
      <c r="O16927" t="s">
        <v>31</v>
      </c>
      <c r="P16927" t="str">
        <f>"15122"</f>
        <v>15122</v>
      </c>
    </row>
    <row r="16928" spans="1:16" x14ac:dyDescent="0.25">
      <c r="A16928" t="str">
        <f>"1250046P00020    00"</f>
        <v>1250046P00020    00</v>
      </c>
      <c r="B16928" t="s">
        <v>36951</v>
      </c>
      <c r="C16928" t="s">
        <v>36257</v>
      </c>
      <c r="D16928" t="s">
        <v>20</v>
      </c>
      <c r="E16928" t="s">
        <v>21</v>
      </c>
      <c r="F16928">
        <v>0</v>
      </c>
      <c r="G16928">
        <v>0</v>
      </c>
      <c r="H16928">
        <v>2</v>
      </c>
      <c r="I16928" s="3">
        <v>663.28</v>
      </c>
      <c r="J16928" s="3">
        <v>0</v>
      </c>
      <c r="K16928" t="s">
        <v>36952</v>
      </c>
      <c r="L16928">
        <v>411</v>
      </c>
      <c r="M16928" t="s">
        <v>1352</v>
      </c>
      <c r="N16928" t="s">
        <v>1353</v>
      </c>
      <c r="O16928" t="s">
        <v>31</v>
      </c>
      <c r="P16928" t="str">
        <f>"15085"</f>
        <v>15085</v>
      </c>
    </row>
    <row r="16929" spans="1:16" x14ac:dyDescent="0.25">
      <c r="A16929" t="str">
        <f>"1250046P00023    00"</f>
        <v>1250046P00023    00</v>
      </c>
      <c r="B16929" t="s">
        <v>36953</v>
      </c>
      <c r="C16929" t="s">
        <v>36257</v>
      </c>
      <c r="D16929" t="s">
        <v>20</v>
      </c>
      <c r="E16929" t="s">
        <v>39</v>
      </c>
      <c r="F16929">
        <v>0</v>
      </c>
      <c r="G16929">
        <v>0</v>
      </c>
      <c r="H16929">
        <v>1</v>
      </c>
      <c r="I16929" s="3">
        <v>131.52000000000001</v>
      </c>
      <c r="J16929" s="3">
        <v>0</v>
      </c>
      <c r="L16929">
        <v>2108</v>
      </c>
      <c r="M16929" t="s">
        <v>34518</v>
      </c>
      <c r="N16929" t="s">
        <v>30</v>
      </c>
      <c r="O16929" t="s">
        <v>31</v>
      </c>
      <c r="P16929" t="str">
        <f>"15214"</f>
        <v>15214</v>
      </c>
    </row>
    <row r="16930" spans="1:16" x14ac:dyDescent="0.25">
      <c r="A16930" t="str">
        <f>"1250046P00025    00"</f>
        <v>1250046P00025    00</v>
      </c>
      <c r="B16930" t="s">
        <v>36954</v>
      </c>
      <c r="C16930" t="s">
        <v>36257</v>
      </c>
      <c r="D16930" t="s">
        <v>20</v>
      </c>
      <c r="E16930" t="s">
        <v>39</v>
      </c>
      <c r="F16930">
        <v>0</v>
      </c>
      <c r="G16930">
        <v>0</v>
      </c>
      <c r="H16930">
        <v>11</v>
      </c>
      <c r="I16930" s="3">
        <v>1896.94</v>
      </c>
      <c r="J16930" s="3">
        <v>599.23</v>
      </c>
      <c r="L16930">
        <v>26</v>
      </c>
      <c r="M16930" t="s">
        <v>36955</v>
      </c>
      <c r="N16930" t="s">
        <v>36956</v>
      </c>
      <c r="O16930" t="s">
        <v>423</v>
      </c>
      <c r="P16930" t="str">
        <f>"08005"</f>
        <v>08005</v>
      </c>
    </row>
    <row r="16931" spans="1:16" x14ac:dyDescent="0.25">
      <c r="A16931" t="str">
        <f>"1250046P00026    00"</f>
        <v>1250046P00026    00</v>
      </c>
      <c r="B16931" t="s">
        <v>36957</v>
      </c>
      <c r="C16931" t="s">
        <v>36257</v>
      </c>
      <c r="D16931" t="s">
        <v>20</v>
      </c>
      <c r="E16931" t="s">
        <v>39</v>
      </c>
      <c r="F16931">
        <v>0</v>
      </c>
      <c r="G16931">
        <v>0</v>
      </c>
      <c r="H16931">
        <v>14</v>
      </c>
      <c r="I16931" s="3">
        <v>2699.45</v>
      </c>
      <c r="J16931" s="3">
        <v>1760.04</v>
      </c>
      <c r="L16931">
        <v>2112</v>
      </c>
      <c r="M16931" t="s">
        <v>34518</v>
      </c>
      <c r="N16931" t="s">
        <v>30</v>
      </c>
      <c r="O16931" t="s">
        <v>31</v>
      </c>
      <c r="P16931" t="str">
        <f>"15214"</f>
        <v>15214</v>
      </c>
    </row>
    <row r="16932" spans="1:16" x14ac:dyDescent="0.25">
      <c r="A16932" t="str">
        <f>"1250046P00036    00"</f>
        <v>1250046P00036    00</v>
      </c>
      <c r="B16932" t="s">
        <v>36958</v>
      </c>
      <c r="C16932" t="s">
        <v>36959</v>
      </c>
      <c r="D16932" t="s">
        <v>20</v>
      </c>
      <c r="E16932" t="s">
        <v>39</v>
      </c>
      <c r="F16932">
        <v>0</v>
      </c>
      <c r="G16932">
        <v>0</v>
      </c>
      <c r="H16932">
        <v>6</v>
      </c>
      <c r="I16932" s="3">
        <v>44.68</v>
      </c>
      <c r="J16932" s="3">
        <v>13.09</v>
      </c>
      <c r="K16932" t="s">
        <v>36960</v>
      </c>
      <c r="M16932" t="s">
        <v>36961</v>
      </c>
      <c r="N16932" t="s">
        <v>36962</v>
      </c>
      <c r="O16932" t="s">
        <v>273</v>
      </c>
      <c r="P16932" t="str">
        <f>"29071"</f>
        <v>29071</v>
      </c>
    </row>
    <row r="16933" spans="1:16" x14ac:dyDescent="0.25">
      <c r="A16933" t="str">
        <f>"1250046P00038A   00"</f>
        <v>1250046P00038A   00</v>
      </c>
      <c r="B16933" t="s">
        <v>36963</v>
      </c>
      <c r="C16933" t="s">
        <v>36964</v>
      </c>
      <c r="D16933" t="s">
        <v>20</v>
      </c>
      <c r="E16933" t="s">
        <v>39</v>
      </c>
      <c r="F16933">
        <v>0</v>
      </c>
      <c r="G16933">
        <v>0</v>
      </c>
      <c r="H16933">
        <v>18</v>
      </c>
      <c r="I16933" s="3">
        <v>9707.66</v>
      </c>
      <c r="J16933" s="3">
        <v>10377.73</v>
      </c>
      <c r="M16933" t="s">
        <v>36965</v>
      </c>
      <c r="N16933" t="s">
        <v>30</v>
      </c>
      <c r="O16933" t="s">
        <v>31</v>
      </c>
      <c r="P16933" t="str">
        <f>"15222"</f>
        <v>15222</v>
      </c>
    </row>
    <row r="16934" spans="1:16" x14ac:dyDescent="0.25">
      <c r="A16934" t="str">
        <f>"1250046P00057    00"</f>
        <v>1250046P00057    00</v>
      </c>
      <c r="B16934" t="s">
        <v>36966</v>
      </c>
      <c r="C16934" t="s">
        <v>36967</v>
      </c>
      <c r="D16934" t="s">
        <v>20</v>
      </c>
      <c r="E16934" t="s">
        <v>39</v>
      </c>
      <c r="F16934">
        <v>0</v>
      </c>
      <c r="G16934">
        <v>0</v>
      </c>
      <c r="H16934">
        <v>19</v>
      </c>
      <c r="I16934" s="3">
        <v>19603.419999999998</v>
      </c>
      <c r="J16934" s="3">
        <v>14657.91</v>
      </c>
      <c r="K16934" t="s">
        <v>36968</v>
      </c>
      <c r="L16934">
        <v>111</v>
      </c>
      <c r="M16934" t="s">
        <v>2747</v>
      </c>
      <c r="N16934" t="s">
        <v>36969</v>
      </c>
      <c r="O16934" t="s">
        <v>31</v>
      </c>
      <c r="P16934" t="str">
        <f>"16822"</f>
        <v>16822</v>
      </c>
    </row>
    <row r="16935" spans="1:16" x14ac:dyDescent="0.25">
      <c r="A16935" t="str">
        <f>"1250046P00065    00"</f>
        <v>1250046P00065    00</v>
      </c>
      <c r="B16935" t="s">
        <v>36970</v>
      </c>
      <c r="C16935" t="s">
        <v>36971</v>
      </c>
      <c r="D16935" t="s">
        <v>20</v>
      </c>
      <c r="E16935" t="s">
        <v>39</v>
      </c>
      <c r="F16935">
        <v>0</v>
      </c>
      <c r="G16935">
        <v>0</v>
      </c>
      <c r="H16935">
        <v>1</v>
      </c>
      <c r="I16935" s="3">
        <v>741.45</v>
      </c>
      <c r="J16935" s="3">
        <v>0</v>
      </c>
      <c r="L16935">
        <v>811</v>
      </c>
      <c r="M16935" t="s">
        <v>36972</v>
      </c>
      <c r="N16935" t="s">
        <v>4141</v>
      </c>
      <c r="O16935" t="s">
        <v>108</v>
      </c>
      <c r="P16935" t="str">
        <f>"78748"</f>
        <v>78748</v>
      </c>
    </row>
    <row r="16936" spans="1:16" x14ac:dyDescent="0.25">
      <c r="A16936" t="str">
        <f>"1250046P00086    00"</f>
        <v>1250046P00086    00</v>
      </c>
      <c r="B16936" t="s">
        <v>36973</v>
      </c>
      <c r="C16936" t="s">
        <v>36281</v>
      </c>
      <c r="D16936" t="s">
        <v>20</v>
      </c>
      <c r="E16936" t="s">
        <v>39</v>
      </c>
      <c r="F16936">
        <v>0</v>
      </c>
      <c r="G16936">
        <v>0</v>
      </c>
      <c r="H16936">
        <v>19</v>
      </c>
      <c r="I16936" s="3">
        <v>718.12</v>
      </c>
      <c r="J16936" s="3">
        <v>874.47</v>
      </c>
      <c r="L16936">
        <v>1934</v>
      </c>
      <c r="M16936" t="s">
        <v>36311</v>
      </c>
      <c r="N16936" t="s">
        <v>30</v>
      </c>
      <c r="O16936" t="s">
        <v>31</v>
      </c>
      <c r="P16936" t="str">
        <f>"15214"</f>
        <v>15214</v>
      </c>
    </row>
    <row r="16937" spans="1:16" x14ac:dyDescent="0.25">
      <c r="A16937" t="str">
        <f>"1250046P00088    00"</f>
        <v>1250046P00088    00</v>
      </c>
      <c r="B16937" t="s">
        <v>36973</v>
      </c>
      <c r="C16937" t="s">
        <v>36281</v>
      </c>
      <c r="D16937" t="s">
        <v>20</v>
      </c>
      <c r="E16937" t="s">
        <v>39</v>
      </c>
      <c r="F16937">
        <v>0</v>
      </c>
      <c r="G16937">
        <v>0</v>
      </c>
      <c r="H16937">
        <v>19</v>
      </c>
      <c r="I16937" s="3">
        <v>2525.15</v>
      </c>
      <c r="J16937" s="3">
        <v>3498.27</v>
      </c>
      <c r="L16937">
        <v>1934</v>
      </c>
      <c r="M16937" t="s">
        <v>36311</v>
      </c>
      <c r="N16937" t="s">
        <v>30</v>
      </c>
      <c r="O16937" t="s">
        <v>31</v>
      </c>
      <c r="P16937" t="str">
        <f>"15214"</f>
        <v>15214</v>
      </c>
    </row>
    <row r="16938" spans="1:16" x14ac:dyDescent="0.25">
      <c r="A16938" t="str">
        <f>"1250046P00090    00"</f>
        <v>1250046P00090    00</v>
      </c>
      <c r="B16938" t="s">
        <v>36974</v>
      </c>
      <c r="C16938" t="s">
        <v>36975</v>
      </c>
      <c r="D16938" t="s">
        <v>20</v>
      </c>
      <c r="E16938" t="s">
        <v>39</v>
      </c>
      <c r="F16938">
        <v>0</v>
      </c>
      <c r="G16938">
        <v>0</v>
      </c>
      <c r="H16938">
        <v>3</v>
      </c>
      <c r="I16938" s="3">
        <v>1784.01</v>
      </c>
      <c r="J16938" s="3">
        <v>118.93</v>
      </c>
      <c r="L16938">
        <v>725</v>
      </c>
      <c r="M16938" t="s">
        <v>36303</v>
      </c>
      <c r="N16938" t="s">
        <v>30</v>
      </c>
      <c r="O16938" t="s">
        <v>31</v>
      </c>
      <c r="P16938" t="str">
        <f>"15214"</f>
        <v>15214</v>
      </c>
    </row>
    <row r="16939" spans="1:16" x14ac:dyDescent="0.25">
      <c r="A16939" t="str">
        <f>"1250046P00091    00"</f>
        <v>1250046P00091    00</v>
      </c>
      <c r="B16939" t="s">
        <v>36976</v>
      </c>
      <c r="C16939" t="s">
        <v>36281</v>
      </c>
      <c r="D16939" t="s">
        <v>20</v>
      </c>
      <c r="E16939" t="s">
        <v>39</v>
      </c>
      <c r="F16939">
        <v>0</v>
      </c>
      <c r="G16939">
        <v>0</v>
      </c>
      <c r="H16939">
        <v>19</v>
      </c>
      <c r="I16939" s="3">
        <v>10464.41</v>
      </c>
      <c r="J16939" s="3">
        <v>11246.41</v>
      </c>
      <c r="L16939">
        <v>175</v>
      </c>
      <c r="M16939" t="s">
        <v>36977</v>
      </c>
      <c r="N16939" t="s">
        <v>30</v>
      </c>
      <c r="O16939" t="s">
        <v>31</v>
      </c>
      <c r="P16939" t="str">
        <f>"15237"</f>
        <v>15237</v>
      </c>
    </row>
    <row r="16940" spans="1:16" x14ac:dyDescent="0.25">
      <c r="A16940" t="str">
        <f>"1250046P00092    00"</f>
        <v>1250046P00092    00</v>
      </c>
      <c r="B16940" t="s">
        <v>36978</v>
      </c>
      <c r="C16940" t="s">
        <v>36281</v>
      </c>
      <c r="D16940" t="s">
        <v>20</v>
      </c>
      <c r="E16940" t="s">
        <v>39</v>
      </c>
      <c r="F16940">
        <v>0</v>
      </c>
      <c r="G16940">
        <v>0</v>
      </c>
      <c r="H16940">
        <v>17</v>
      </c>
      <c r="I16940" s="3">
        <v>185.41</v>
      </c>
      <c r="J16940" s="3">
        <v>136.62</v>
      </c>
      <c r="L16940">
        <v>807</v>
      </c>
      <c r="M16940" t="s">
        <v>10703</v>
      </c>
      <c r="N16940" t="s">
        <v>30</v>
      </c>
      <c r="O16940" t="s">
        <v>31</v>
      </c>
      <c r="P16940" t="str">
        <f>"15212"</f>
        <v>15212</v>
      </c>
    </row>
    <row r="16941" spans="1:16" x14ac:dyDescent="0.25">
      <c r="A16941" t="str">
        <f>"1250046P00092A   00"</f>
        <v>1250046P00092A   00</v>
      </c>
      <c r="B16941" t="s">
        <v>36979</v>
      </c>
      <c r="C16941" t="s">
        <v>36281</v>
      </c>
      <c r="D16941" t="s">
        <v>20</v>
      </c>
      <c r="E16941" t="s">
        <v>39</v>
      </c>
      <c r="F16941">
        <v>0</v>
      </c>
      <c r="G16941">
        <v>0</v>
      </c>
      <c r="H16941">
        <v>19</v>
      </c>
      <c r="I16941" s="3">
        <v>1640.24</v>
      </c>
      <c r="J16941" s="3">
        <v>1336.52</v>
      </c>
      <c r="K16941" t="s">
        <v>1037</v>
      </c>
      <c r="L16941">
        <v>1945</v>
      </c>
      <c r="M16941" t="s">
        <v>36282</v>
      </c>
      <c r="N16941" t="s">
        <v>30</v>
      </c>
      <c r="O16941" t="s">
        <v>31</v>
      </c>
      <c r="P16941" t="str">
        <f>"15214"</f>
        <v>15214</v>
      </c>
    </row>
    <row r="16942" spans="1:16" x14ac:dyDescent="0.25">
      <c r="A16942" t="str">
        <f>"1250046P00093    00"</f>
        <v>1250046P00093    00</v>
      </c>
      <c r="B16942" t="s">
        <v>36980</v>
      </c>
      <c r="C16942" t="s">
        <v>36281</v>
      </c>
      <c r="D16942" t="s">
        <v>20</v>
      </c>
      <c r="E16942" t="s">
        <v>39</v>
      </c>
      <c r="F16942">
        <v>0</v>
      </c>
      <c r="G16942">
        <v>0</v>
      </c>
      <c r="H16942">
        <v>17</v>
      </c>
      <c r="I16942" s="3">
        <v>523.57000000000005</v>
      </c>
      <c r="J16942" s="3">
        <v>705.07</v>
      </c>
      <c r="K16942" t="s">
        <v>1008</v>
      </c>
      <c r="P16942" t="str">
        <f>""</f>
        <v/>
      </c>
    </row>
    <row r="16943" spans="1:16" x14ac:dyDescent="0.25">
      <c r="A16943" t="str">
        <f>"1250046P00093B   00"</f>
        <v>1250046P00093B   00</v>
      </c>
      <c r="B16943" t="s">
        <v>36979</v>
      </c>
      <c r="C16943" t="s">
        <v>36281</v>
      </c>
      <c r="D16943" t="s">
        <v>20</v>
      </c>
      <c r="E16943" t="s">
        <v>39</v>
      </c>
      <c r="F16943">
        <v>0</v>
      </c>
      <c r="G16943">
        <v>0</v>
      </c>
      <c r="H16943">
        <v>19</v>
      </c>
      <c r="I16943" s="3">
        <v>907.66</v>
      </c>
      <c r="J16943" s="3">
        <v>907.23</v>
      </c>
      <c r="K16943" t="s">
        <v>1037</v>
      </c>
      <c r="L16943">
        <v>1945</v>
      </c>
      <c r="M16943" t="s">
        <v>36282</v>
      </c>
      <c r="N16943" t="s">
        <v>30</v>
      </c>
      <c r="O16943" t="s">
        <v>31</v>
      </c>
      <c r="P16943" t="str">
        <f>"15214"</f>
        <v>15214</v>
      </c>
    </row>
    <row r="16944" spans="1:16" x14ac:dyDescent="0.25">
      <c r="A16944" t="str">
        <f>"1250046P00094    00"</f>
        <v>1250046P00094    00</v>
      </c>
      <c r="B16944" t="s">
        <v>36981</v>
      </c>
      <c r="C16944" t="s">
        <v>36270</v>
      </c>
      <c r="D16944" t="s">
        <v>20</v>
      </c>
      <c r="E16944" t="s">
        <v>39</v>
      </c>
      <c r="F16944">
        <v>0</v>
      </c>
      <c r="G16944">
        <v>0</v>
      </c>
      <c r="H16944">
        <v>14</v>
      </c>
      <c r="I16944" s="3">
        <v>5005.79</v>
      </c>
      <c r="J16944" s="3">
        <v>6292.32</v>
      </c>
      <c r="L16944">
        <v>5607</v>
      </c>
      <c r="M16944" t="s">
        <v>36982</v>
      </c>
      <c r="N16944" t="s">
        <v>1046</v>
      </c>
      <c r="O16944" t="s">
        <v>31</v>
      </c>
      <c r="P16944" t="str">
        <f>"15147"</f>
        <v>15147</v>
      </c>
    </row>
    <row r="16945" spans="1:16" x14ac:dyDescent="0.25">
      <c r="A16945" t="str">
        <f>"1250046P00095    00"</f>
        <v>1250046P00095    00</v>
      </c>
      <c r="B16945" t="s">
        <v>36983</v>
      </c>
      <c r="C16945" t="s">
        <v>36281</v>
      </c>
      <c r="D16945" t="s">
        <v>20</v>
      </c>
      <c r="E16945" t="s">
        <v>39</v>
      </c>
      <c r="F16945">
        <v>0</v>
      </c>
      <c r="G16945">
        <v>0</v>
      </c>
      <c r="H16945">
        <v>17</v>
      </c>
      <c r="I16945" s="3">
        <v>584.83000000000004</v>
      </c>
      <c r="J16945" s="3">
        <v>760.54</v>
      </c>
      <c r="K16945" t="s">
        <v>1008</v>
      </c>
      <c r="P16945" t="str">
        <f>""</f>
        <v/>
      </c>
    </row>
    <row r="16946" spans="1:16" x14ac:dyDescent="0.25">
      <c r="A16946" t="str">
        <f>"1250046P00095A   00"</f>
        <v>1250046P00095A   00</v>
      </c>
      <c r="B16946" t="s">
        <v>36984</v>
      </c>
      <c r="C16946" t="s">
        <v>36281</v>
      </c>
      <c r="E16946" t="s">
        <v>39</v>
      </c>
      <c r="F16946">
        <v>0</v>
      </c>
      <c r="G16946">
        <v>0</v>
      </c>
      <c r="H16946">
        <v>2</v>
      </c>
      <c r="I16946" s="3">
        <v>30.46</v>
      </c>
      <c r="J16946" s="3">
        <v>0.28000000000000003</v>
      </c>
      <c r="L16946">
        <v>1953</v>
      </c>
      <c r="M16946" t="s">
        <v>36282</v>
      </c>
      <c r="N16946" t="s">
        <v>30</v>
      </c>
      <c r="O16946" t="s">
        <v>31</v>
      </c>
      <c r="P16946" t="str">
        <f>"15214"</f>
        <v>15214</v>
      </c>
    </row>
    <row r="16947" spans="1:16" x14ac:dyDescent="0.25">
      <c r="A16947" t="str">
        <f>"1250046P00096    00"</f>
        <v>1250046P00096    00</v>
      </c>
      <c r="B16947" t="s">
        <v>36985</v>
      </c>
      <c r="C16947" t="s">
        <v>36270</v>
      </c>
      <c r="D16947" t="s">
        <v>20</v>
      </c>
      <c r="E16947" t="s">
        <v>39</v>
      </c>
      <c r="F16947">
        <v>0</v>
      </c>
      <c r="G16947">
        <v>0</v>
      </c>
      <c r="H16947">
        <v>17</v>
      </c>
      <c r="I16947" s="3">
        <v>5398.21</v>
      </c>
      <c r="J16947" s="3">
        <v>6690.35</v>
      </c>
      <c r="L16947">
        <v>17</v>
      </c>
      <c r="M16947" t="s">
        <v>36986</v>
      </c>
      <c r="N16947" t="s">
        <v>36987</v>
      </c>
      <c r="O16947" t="s">
        <v>31</v>
      </c>
      <c r="P16947" t="str">
        <f>"19057"</f>
        <v>19057</v>
      </c>
    </row>
    <row r="16948" spans="1:16" x14ac:dyDescent="0.25">
      <c r="A16948" t="str">
        <f>"1250046P00100    00"</f>
        <v>1250046P00100    00</v>
      </c>
      <c r="B16948" t="s">
        <v>36988</v>
      </c>
      <c r="C16948" t="s">
        <v>36281</v>
      </c>
      <c r="D16948" t="s">
        <v>20</v>
      </c>
      <c r="E16948" t="s">
        <v>39</v>
      </c>
      <c r="F16948">
        <v>0</v>
      </c>
      <c r="G16948">
        <v>0</v>
      </c>
      <c r="H16948">
        <v>19</v>
      </c>
      <c r="I16948" s="3">
        <v>764.86</v>
      </c>
      <c r="J16948" s="3">
        <v>921.78</v>
      </c>
      <c r="L16948">
        <v>422</v>
      </c>
      <c r="M16948" t="s">
        <v>36989</v>
      </c>
      <c r="N16948" t="s">
        <v>30</v>
      </c>
      <c r="O16948" t="s">
        <v>31</v>
      </c>
      <c r="P16948" t="str">
        <f>"15214"</f>
        <v>15214</v>
      </c>
    </row>
    <row r="16949" spans="1:16" x14ac:dyDescent="0.25">
      <c r="A16949" t="str">
        <f>"1250046P00101A   00"</f>
        <v>1250046P00101A   00</v>
      </c>
      <c r="B16949" t="s">
        <v>35235</v>
      </c>
      <c r="C16949" t="s">
        <v>36281</v>
      </c>
      <c r="D16949" t="s">
        <v>20</v>
      </c>
      <c r="E16949" t="s">
        <v>39</v>
      </c>
      <c r="F16949">
        <v>0</v>
      </c>
      <c r="G16949">
        <v>0</v>
      </c>
      <c r="H16949">
        <v>3</v>
      </c>
      <c r="I16949" s="3">
        <v>28.62</v>
      </c>
      <c r="J16949" s="3">
        <v>1.92</v>
      </c>
      <c r="M16949" t="s">
        <v>35237</v>
      </c>
      <c r="N16949" t="s">
        <v>1046</v>
      </c>
      <c r="O16949" t="s">
        <v>31</v>
      </c>
      <c r="P16949" t="str">
        <f>"15147"</f>
        <v>15147</v>
      </c>
    </row>
    <row r="16950" spans="1:16" x14ac:dyDescent="0.25">
      <c r="A16950" t="str">
        <f>"1250046P00102    00"</f>
        <v>1250046P00102    00</v>
      </c>
      <c r="B16950" t="s">
        <v>35235</v>
      </c>
      <c r="C16950" t="s">
        <v>36281</v>
      </c>
      <c r="D16950" t="s">
        <v>20</v>
      </c>
      <c r="E16950" t="s">
        <v>39</v>
      </c>
      <c r="F16950">
        <v>0</v>
      </c>
      <c r="G16950">
        <v>0</v>
      </c>
      <c r="H16950">
        <v>3</v>
      </c>
      <c r="I16950" s="3">
        <v>45.75</v>
      </c>
      <c r="J16950" s="3">
        <v>3.05</v>
      </c>
      <c r="L16950">
        <v>5105</v>
      </c>
      <c r="M16950" t="s">
        <v>36990</v>
      </c>
      <c r="N16950" t="s">
        <v>1046</v>
      </c>
      <c r="O16950" t="s">
        <v>31</v>
      </c>
      <c r="P16950" t="str">
        <f>"15147"</f>
        <v>15147</v>
      </c>
    </row>
    <row r="16951" spans="1:16" x14ac:dyDescent="0.25">
      <c r="A16951" t="str">
        <f>"1250046P00103    00"</f>
        <v>1250046P00103    00</v>
      </c>
      <c r="B16951" t="s">
        <v>35235</v>
      </c>
      <c r="C16951" t="s">
        <v>36281</v>
      </c>
      <c r="D16951" t="s">
        <v>20</v>
      </c>
      <c r="E16951" t="s">
        <v>39</v>
      </c>
      <c r="F16951">
        <v>0</v>
      </c>
      <c r="G16951">
        <v>0</v>
      </c>
      <c r="H16951">
        <v>3</v>
      </c>
      <c r="I16951" s="3">
        <v>45.75</v>
      </c>
      <c r="J16951" s="3">
        <v>3.05</v>
      </c>
      <c r="L16951">
        <v>5105</v>
      </c>
      <c r="M16951" t="s">
        <v>36990</v>
      </c>
      <c r="N16951" t="s">
        <v>1046</v>
      </c>
      <c r="O16951" t="s">
        <v>31</v>
      </c>
      <c r="P16951" t="str">
        <f>"15147"</f>
        <v>15147</v>
      </c>
    </row>
    <row r="16952" spans="1:16" x14ac:dyDescent="0.25">
      <c r="A16952" t="str">
        <f>"1250046P00104    00"</f>
        <v>1250046P00104    00</v>
      </c>
      <c r="B16952" t="s">
        <v>35235</v>
      </c>
      <c r="C16952" t="s">
        <v>36991</v>
      </c>
      <c r="D16952" t="s">
        <v>20</v>
      </c>
      <c r="E16952" t="s">
        <v>39</v>
      </c>
      <c r="F16952">
        <v>0</v>
      </c>
      <c r="G16952">
        <v>0</v>
      </c>
      <c r="H16952">
        <v>1</v>
      </c>
      <c r="I16952" s="3">
        <v>1128.3499999999999</v>
      </c>
      <c r="J16952" s="3">
        <v>0</v>
      </c>
      <c r="M16952" t="s">
        <v>35237</v>
      </c>
      <c r="N16952" t="s">
        <v>1046</v>
      </c>
      <c r="O16952" t="s">
        <v>31</v>
      </c>
      <c r="P16952" t="str">
        <f>"15147"</f>
        <v>15147</v>
      </c>
    </row>
    <row r="16953" spans="1:16" x14ac:dyDescent="0.25">
      <c r="A16953" t="str">
        <f>"1250046P00106    00"</f>
        <v>1250046P00106    00</v>
      </c>
      <c r="B16953" t="s">
        <v>36992</v>
      </c>
      <c r="C16953" t="s">
        <v>36281</v>
      </c>
      <c r="D16953" t="s">
        <v>20</v>
      </c>
      <c r="E16953" t="s">
        <v>39</v>
      </c>
      <c r="F16953">
        <v>0</v>
      </c>
      <c r="G16953">
        <v>0</v>
      </c>
      <c r="H16953">
        <v>19</v>
      </c>
      <c r="I16953" s="3">
        <v>718.12</v>
      </c>
      <c r="J16953" s="3">
        <v>874.47</v>
      </c>
      <c r="K16953" t="s">
        <v>1008</v>
      </c>
      <c r="P16953" t="str">
        <f>""</f>
        <v/>
      </c>
    </row>
    <row r="16954" spans="1:16" x14ac:dyDescent="0.25">
      <c r="A16954" t="str">
        <f>"1250046P00107    00"</f>
        <v>1250046P00107    00</v>
      </c>
      <c r="B16954" t="s">
        <v>13100</v>
      </c>
      <c r="C16954" t="s">
        <v>36281</v>
      </c>
      <c r="D16954" t="s">
        <v>20</v>
      </c>
      <c r="E16954" t="s">
        <v>39</v>
      </c>
      <c r="F16954">
        <v>0</v>
      </c>
      <c r="G16954">
        <v>0</v>
      </c>
      <c r="H16954">
        <v>19</v>
      </c>
      <c r="I16954" s="3">
        <v>556.32000000000005</v>
      </c>
      <c r="J16954" s="3">
        <v>648.87</v>
      </c>
      <c r="K16954" t="s">
        <v>13101</v>
      </c>
      <c r="L16954">
        <v>5163</v>
      </c>
      <c r="M16954" t="s">
        <v>13102</v>
      </c>
      <c r="N16954" t="s">
        <v>13103</v>
      </c>
      <c r="O16954" t="s">
        <v>370</v>
      </c>
      <c r="P16954" t="str">
        <f>"32583"</f>
        <v>32583</v>
      </c>
    </row>
    <row r="16955" spans="1:16" x14ac:dyDescent="0.25">
      <c r="A16955" t="str">
        <f>"1250046P00108    00"</f>
        <v>1250046P00108    00</v>
      </c>
      <c r="B16955" t="s">
        <v>36993</v>
      </c>
      <c r="C16955" t="s">
        <v>36994</v>
      </c>
      <c r="D16955" t="s">
        <v>20</v>
      </c>
      <c r="E16955" t="s">
        <v>39</v>
      </c>
      <c r="F16955">
        <v>0</v>
      </c>
      <c r="G16955">
        <v>0</v>
      </c>
      <c r="H16955">
        <v>7</v>
      </c>
      <c r="I16955" s="3">
        <v>1236.43</v>
      </c>
      <c r="J16955" s="3">
        <v>382.73</v>
      </c>
      <c r="L16955">
        <v>1944</v>
      </c>
      <c r="M16955" t="s">
        <v>36282</v>
      </c>
      <c r="N16955" t="s">
        <v>30</v>
      </c>
      <c r="O16955" t="s">
        <v>31</v>
      </c>
      <c r="P16955" t="str">
        <f>"15214"</f>
        <v>15214</v>
      </c>
    </row>
    <row r="16956" spans="1:16" x14ac:dyDescent="0.25">
      <c r="A16956" t="str">
        <f>"1250046P00109    00"</f>
        <v>1250046P00109    00</v>
      </c>
      <c r="B16956" t="s">
        <v>36995</v>
      </c>
      <c r="C16956" t="s">
        <v>36996</v>
      </c>
      <c r="D16956" t="s">
        <v>20</v>
      </c>
      <c r="E16956" t="s">
        <v>39</v>
      </c>
      <c r="F16956">
        <v>0</v>
      </c>
      <c r="G16956">
        <v>0</v>
      </c>
      <c r="H16956">
        <v>12</v>
      </c>
      <c r="I16956" s="3">
        <v>5557.12</v>
      </c>
      <c r="J16956" s="3">
        <v>2265.3000000000002</v>
      </c>
      <c r="K16956" t="s">
        <v>36997</v>
      </c>
      <c r="L16956">
        <v>130</v>
      </c>
      <c r="M16956" t="s">
        <v>36998</v>
      </c>
      <c r="N16956" t="s">
        <v>30</v>
      </c>
      <c r="O16956" t="s">
        <v>31</v>
      </c>
      <c r="P16956" t="str">
        <f>"15209"</f>
        <v>15209</v>
      </c>
    </row>
    <row r="16957" spans="1:16" x14ac:dyDescent="0.25">
      <c r="A16957" t="str">
        <f>"1250046P00114    00"</f>
        <v>1250046P00114    00</v>
      </c>
      <c r="B16957" t="s">
        <v>36999</v>
      </c>
      <c r="C16957" t="s">
        <v>37000</v>
      </c>
      <c r="D16957" t="s">
        <v>20</v>
      </c>
      <c r="E16957" t="s">
        <v>39</v>
      </c>
      <c r="F16957">
        <v>0</v>
      </c>
      <c r="G16957">
        <v>0</v>
      </c>
      <c r="H16957">
        <v>9</v>
      </c>
      <c r="I16957" s="3">
        <v>9124.02</v>
      </c>
      <c r="J16957" s="3">
        <v>3537.61</v>
      </c>
      <c r="L16957">
        <v>529</v>
      </c>
      <c r="M16957" t="s">
        <v>26132</v>
      </c>
      <c r="N16957" t="s">
        <v>285</v>
      </c>
      <c r="O16957" t="s">
        <v>31</v>
      </c>
      <c r="P16957" t="str">
        <f>"15120"</f>
        <v>15120</v>
      </c>
    </row>
    <row r="16958" spans="1:16" x14ac:dyDescent="0.25">
      <c r="A16958" t="str">
        <f>"1250046P00116    00"</f>
        <v>1250046P00116    00</v>
      </c>
      <c r="B16958" t="s">
        <v>37001</v>
      </c>
      <c r="C16958" t="s">
        <v>36281</v>
      </c>
      <c r="E16958" t="s">
        <v>39</v>
      </c>
      <c r="F16958">
        <v>0</v>
      </c>
      <c r="G16958">
        <v>0</v>
      </c>
      <c r="H16958">
        <v>6</v>
      </c>
      <c r="I16958" s="3">
        <v>1210.94</v>
      </c>
      <c r="J16958" s="3">
        <v>1433.66</v>
      </c>
      <c r="L16958">
        <v>920</v>
      </c>
      <c r="M16958" t="s">
        <v>16085</v>
      </c>
      <c r="N16958" t="s">
        <v>30</v>
      </c>
      <c r="O16958" t="s">
        <v>31</v>
      </c>
      <c r="P16958" t="str">
        <f>"15212"</f>
        <v>15212</v>
      </c>
    </row>
    <row r="16959" spans="1:16" x14ac:dyDescent="0.25">
      <c r="A16959" t="str">
        <f>"1250046P00117    00"</f>
        <v>1250046P00117    00</v>
      </c>
      <c r="B16959" t="s">
        <v>1156</v>
      </c>
      <c r="C16959" t="s">
        <v>37002</v>
      </c>
      <c r="D16959" t="s">
        <v>20</v>
      </c>
      <c r="E16959" t="s">
        <v>39</v>
      </c>
      <c r="F16959">
        <v>0</v>
      </c>
      <c r="G16959">
        <v>0</v>
      </c>
      <c r="H16959">
        <v>19</v>
      </c>
      <c r="I16959" s="3">
        <v>16721.72</v>
      </c>
      <c r="J16959" s="3">
        <v>18206.55</v>
      </c>
      <c r="K16959" t="s">
        <v>22930</v>
      </c>
      <c r="L16959">
        <v>2715</v>
      </c>
      <c r="M16959" t="s">
        <v>13463</v>
      </c>
      <c r="N16959" t="s">
        <v>1158</v>
      </c>
      <c r="O16959" t="s">
        <v>370</v>
      </c>
      <c r="P16959" t="str">
        <f>"33402"</f>
        <v>33402</v>
      </c>
    </row>
    <row r="16960" spans="1:16" x14ac:dyDescent="0.25">
      <c r="A16960" t="str">
        <f>"1250046P00155    00"</f>
        <v>1250046P00155    00</v>
      </c>
      <c r="B16960" t="s">
        <v>37003</v>
      </c>
      <c r="C16960" t="s">
        <v>36257</v>
      </c>
      <c r="D16960" t="s">
        <v>20</v>
      </c>
      <c r="E16960" t="s">
        <v>39</v>
      </c>
      <c r="F16960">
        <v>0</v>
      </c>
      <c r="G16960">
        <v>0</v>
      </c>
      <c r="H16960">
        <v>19</v>
      </c>
      <c r="I16960" s="3">
        <v>9980</v>
      </c>
      <c r="J16960" s="3">
        <v>9727.3799999999992</v>
      </c>
      <c r="L16960">
        <v>3238</v>
      </c>
      <c r="M16960" t="s">
        <v>37004</v>
      </c>
      <c r="N16960" t="s">
        <v>30</v>
      </c>
      <c r="O16960" t="s">
        <v>31</v>
      </c>
      <c r="P16960" t="str">
        <f>"15212"</f>
        <v>15212</v>
      </c>
    </row>
    <row r="16961" spans="1:16" x14ac:dyDescent="0.25">
      <c r="A16961" t="str">
        <f>"1250046P00157    00"</f>
        <v>1250046P00157    00</v>
      </c>
      <c r="B16961" t="s">
        <v>37005</v>
      </c>
      <c r="C16961" t="s">
        <v>37006</v>
      </c>
      <c r="D16961" t="s">
        <v>20</v>
      </c>
      <c r="E16961" t="s">
        <v>39</v>
      </c>
      <c r="F16961">
        <v>0</v>
      </c>
      <c r="G16961">
        <v>0</v>
      </c>
      <c r="H16961">
        <v>15</v>
      </c>
      <c r="I16961" s="3">
        <v>15476.32</v>
      </c>
      <c r="J16961" s="3">
        <v>10804.43</v>
      </c>
      <c r="M16961" t="s">
        <v>37007</v>
      </c>
      <c r="N16961" t="s">
        <v>30</v>
      </c>
      <c r="O16961" t="s">
        <v>31</v>
      </c>
      <c r="P16961" t="str">
        <f>"15212"</f>
        <v>15212</v>
      </c>
    </row>
    <row r="16962" spans="1:16" x14ac:dyDescent="0.25">
      <c r="A16962" t="str">
        <f>"1250046P00165    00"</f>
        <v>1250046P00165    00</v>
      </c>
      <c r="B16962" t="s">
        <v>37008</v>
      </c>
      <c r="C16962" t="s">
        <v>37009</v>
      </c>
      <c r="D16962" t="s">
        <v>20</v>
      </c>
      <c r="E16962" t="s">
        <v>39</v>
      </c>
      <c r="F16962">
        <v>0</v>
      </c>
      <c r="G16962">
        <v>0</v>
      </c>
      <c r="H16962">
        <v>19</v>
      </c>
      <c r="I16962" s="3">
        <v>8839.19</v>
      </c>
      <c r="J16962" s="3">
        <v>8890.61</v>
      </c>
      <c r="P16962" t="str">
        <f>""</f>
        <v/>
      </c>
    </row>
    <row r="16963" spans="1:16" x14ac:dyDescent="0.25">
      <c r="A16963" t="str">
        <f>"1250046P00166    00"</f>
        <v>1250046P00166    00</v>
      </c>
      <c r="B16963" t="s">
        <v>37010</v>
      </c>
      <c r="C16963" t="s">
        <v>37009</v>
      </c>
      <c r="D16963" t="s">
        <v>20</v>
      </c>
      <c r="E16963" t="s">
        <v>39</v>
      </c>
      <c r="F16963">
        <v>0</v>
      </c>
      <c r="G16963">
        <v>0</v>
      </c>
      <c r="H16963">
        <v>19</v>
      </c>
      <c r="I16963" s="3">
        <v>9406.2900000000009</v>
      </c>
      <c r="J16963" s="3">
        <v>9707.7000000000007</v>
      </c>
      <c r="P16963" t="str">
        <f>""</f>
        <v/>
      </c>
    </row>
    <row r="16964" spans="1:16" x14ac:dyDescent="0.25">
      <c r="A16964" t="str">
        <f>"1250046P00167    00"</f>
        <v>1250046P00167    00</v>
      </c>
      <c r="B16964" t="s">
        <v>37011</v>
      </c>
      <c r="C16964" t="s">
        <v>37012</v>
      </c>
      <c r="E16964" t="s">
        <v>39</v>
      </c>
      <c r="F16964">
        <v>0</v>
      </c>
      <c r="G16964">
        <v>0</v>
      </c>
      <c r="H16964">
        <v>2</v>
      </c>
      <c r="I16964" s="3">
        <v>171.56</v>
      </c>
      <c r="J16964" s="3">
        <v>17.16</v>
      </c>
      <c r="K16964" t="s">
        <v>37013</v>
      </c>
      <c r="L16964">
        <v>7900</v>
      </c>
      <c r="M16964" t="s">
        <v>37014</v>
      </c>
      <c r="N16964" t="s">
        <v>28600</v>
      </c>
      <c r="O16964" t="s">
        <v>370</v>
      </c>
      <c r="P16964" t="str">
        <f>"33024"</f>
        <v>33024</v>
      </c>
    </row>
    <row r="16965" spans="1:16" x14ac:dyDescent="0.25">
      <c r="A16965" t="str">
        <f>"1250046P00168    00"</f>
        <v>1250046P00168    00</v>
      </c>
      <c r="B16965" t="s">
        <v>37011</v>
      </c>
      <c r="C16965" t="s">
        <v>37015</v>
      </c>
      <c r="E16965" t="s">
        <v>39</v>
      </c>
      <c r="F16965">
        <v>0</v>
      </c>
      <c r="G16965">
        <v>0</v>
      </c>
      <c r="H16965">
        <v>2</v>
      </c>
      <c r="I16965" s="3">
        <v>202.06</v>
      </c>
      <c r="J16965" s="3">
        <v>20.21</v>
      </c>
      <c r="K16965" t="s">
        <v>37013</v>
      </c>
      <c r="L16965">
        <v>7900</v>
      </c>
      <c r="M16965" t="s">
        <v>37016</v>
      </c>
      <c r="N16965" t="s">
        <v>28600</v>
      </c>
      <c r="O16965" t="s">
        <v>370</v>
      </c>
      <c r="P16965" t="str">
        <f>"33024"</f>
        <v>33024</v>
      </c>
    </row>
    <row r="16966" spans="1:16" x14ac:dyDescent="0.25">
      <c r="A16966" t="str">
        <f>"1250046P00169    00"</f>
        <v>1250046P00169    00</v>
      </c>
      <c r="B16966" t="s">
        <v>37017</v>
      </c>
      <c r="C16966" t="s">
        <v>37015</v>
      </c>
      <c r="D16966" t="s">
        <v>20</v>
      </c>
      <c r="E16966" t="s">
        <v>39</v>
      </c>
      <c r="F16966">
        <v>0</v>
      </c>
      <c r="G16966">
        <v>0</v>
      </c>
      <c r="H16966">
        <v>19</v>
      </c>
      <c r="I16966" s="3">
        <v>1013.78</v>
      </c>
      <c r="J16966" s="3">
        <v>1315.23</v>
      </c>
      <c r="L16966">
        <v>2115</v>
      </c>
      <c r="M16966" t="s">
        <v>37018</v>
      </c>
      <c r="N16966" t="s">
        <v>30</v>
      </c>
      <c r="O16966" t="s">
        <v>31</v>
      </c>
      <c r="P16966" t="str">
        <f>"15214"</f>
        <v>15214</v>
      </c>
    </row>
    <row r="16967" spans="1:16" x14ac:dyDescent="0.25">
      <c r="A16967" t="str">
        <f>"1250046P00179    00"</f>
        <v>1250046P00179    00</v>
      </c>
      <c r="B16967" t="s">
        <v>37019</v>
      </c>
      <c r="C16967" t="s">
        <v>37020</v>
      </c>
      <c r="E16967" t="s">
        <v>39</v>
      </c>
      <c r="F16967">
        <v>0</v>
      </c>
      <c r="G16967">
        <v>0</v>
      </c>
      <c r="H16967">
        <v>2</v>
      </c>
      <c r="I16967" s="3">
        <v>122.95</v>
      </c>
      <c r="J16967" s="3">
        <v>28.18</v>
      </c>
      <c r="L16967">
        <v>2114</v>
      </c>
      <c r="M16967" t="s">
        <v>37018</v>
      </c>
      <c r="N16967" t="s">
        <v>30</v>
      </c>
      <c r="O16967" t="s">
        <v>31</v>
      </c>
      <c r="P16967" t="str">
        <f>"15214"</f>
        <v>15214</v>
      </c>
    </row>
    <row r="16968" spans="1:16" x14ac:dyDescent="0.25">
      <c r="A16968" t="str">
        <f>"1250046P00179A   00"</f>
        <v>1250046P00179A   00</v>
      </c>
      <c r="B16968" t="s">
        <v>37021</v>
      </c>
      <c r="C16968" t="s">
        <v>37022</v>
      </c>
      <c r="D16968" t="s">
        <v>20</v>
      </c>
      <c r="E16968" t="s">
        <v>39</v>
      </c>
      <c r="F16968">
        <v>0</v>
      </c>
      <c r="G16968">
        <v>0</v>
      </c>
      <c r="H16968">
        <v>2</v>
      </c>
      <c r="I16968" s="3">
        <v>158.6</v>
      </c>
      <c r="J16968" s="3">
        <v>0</v>
      </c>
      <c r="L16968">
        <v>2116</v>
      </c>
      <c r="M16968" t="s">
        <v>37018</v>
      </c>
      <c r="N16968" t="s">
        <v>30</v>
      </c>
      <c r="O16968" t="s">
        <v>31</v>
      </c>
      <c r="P16968" t="str">
        <f>"15214"</f>
        <v>15214</v>
      </c>
    </row>
    <row r="16969" spans="1:16" x14ac:dyDescent="0.25">
      <c r="A16969" t="str">
        <f>"1250046P00184    00"</f>
        <v>1250046P00184    00</v>
      </c>
      <c r="B16969" t="s">
        <v>37023</v>
      </c>
      <c r="C16969" t="s">
        <v>37024</v>
      </c>
      <c r="D16969" t="s">
        <v>20</v>
      </c>
      <c r="E16969" t="s">
        <v>39</v>
      </c>
      <c r="F16969">
        <v>0</v>
      </c>
      <c r="G16969">
        <v>0</v>
      </c>
      <c r="H16969">
        <v>4</v>
      </c>
      <c r="I16969" s="3">
        <v>1146.75</v>
      </c>
      <c r="J16969" s="3">
        <v>135.47</v>
      </c>
      <c r="L16969">
        <v>806</v>
      </c>
      <c r="M16969" t="s">
        <v>11611</v>
      </c>
      <c r="N16969" t="s">
        <v>30</v>
      </c>
      <c r="O16969" t="s">
        <v>31</v>
      </c>
      <c r="P16969" t="str">
        <f>"15211"</f>
        <v>15211</v>
      </c>
    </row>
    <row r="16970" spans="1:16" x14ac:dyDescent="0.25">
      <c r="A16970" t="str">
        <f>"1250046P00186    00"</f>
        <v>1250046P00186    00</v>
      </c>
      <c r="B16970" t="s">
        <v>37023</v>
      </c>
      <c r="C16970" t="s">
        <v>37025</v>
      </c>
      <c r="D16970" t="s">
        <v>20</v>
      </c>
      <c r="E16970" t="s">
        <v>39</v>
      </c>
      <c r="F16970">
        <v>0</v>
      </c>
      <c r="G16970">
        <v>0</v>
      </c>
      <c r="H16970">
        <v>5</v>
      </c>
      <c r="I16970" s="3">
        <v>4336.0200000000004</v>
      </c>
      <c r="J16970" s="3">
        <v>529.16</v>
      </c>
      <c r="L16970">
        <v>806</v>
      </c>
      <c r="M16970" t="s">
        <v>11611</v>
      </c>
      <c r="N16970" t="s">
        <v>30</v>
      </c>
      <c r="O16970" t="s">
        <v>31</v>
      </c>
      <c r="P16970" t="str">
        <f>"15211"</f>
        <v>15211</v>
      </c>
    </row>
    <row r="16971" spans="1:16" x14ac:dyDescent="0.25">
      <c r="A16971" t="str">
        <f>"1250046P00188    00"</f>
        <v>1250046P00188    00</v>
      </c>
      <c r="B16971" t="s">
        <v>37026</v>
      </c>
      <c r="C16971" t="s">
        <v>37024</v>
      </c>
      <c r="D16971" t="s">
        <v>20</v>
      </c>
      <c r="E16971" t="s">
        <v>39</v>
      </c>
      <c r="F16971">
        <v>0</v>
      </c>
      <c r="G16971">
        <v>0</v>
      </c>
      <c r="H16971">
        <v>19</v>
      </c>
      <c r="I16971" s="3">
        <v>455.3</v>
      </c>
      <c r="J16971" s="3">
        <v>375.59</v>
      </c>
      <c r="L16971">
        <v>314</v>
      </c>
      <c r="M16971" t="s">
        <v>37027</v>
      </c>
      <c r="N16971" t="s">
        <v>30</v>
      </c>
      <c r="O16971" t="s">
        <v>31</v>
      </c>
      <c r="P16971" t="str">
        <f>"15214"</f>
        <v>15214</v>
      </c>
    </row>
    <row r="16972" spans="1:16" x14ac:dyDescent="0.25">
      <c r="A16972" t="str">
        <f>"1250046P00199    00"</f>
        <v>1250046P00199    00</v>
      </c>
      <c r="B16972" t="s">
        <v>37028</v>
      </c>
      <c r="C16972" t="s">
        <v>37029</v>
      </c>
      <c r="D16972" t="s">
        <v>20</v>
      </c>
      <c r="E16972" t="s">
        <v>39</v>
      </c>
      <c r="F16972">
        <v>0</v>
      </c>
      <c r="G16972">
        <v>0</v>
      </c>
      <c r="H16972">
        <v>12</v>
      </c>
      <c r="I16972" s="3">
        <v>9629.11</v>
      </c>
      <c r="J16972" s="3">
        <v>4742.7700000000004</v>
      </c>
      <c r="L16972">
        <v>67</v>
      </c>
      <c r="M16972" t="s">
        <v>37030</v>
      </c>
      <c r="N16972" t="s">
        <v>30</v>
      </c>
      <c r="O16972" t="s">
        <v>31</v>
      </c>
      <c r="P16972" t="str">
        <f>"15202"</f>
        <v>15202</v>
      </c>
    </row>
    <row r="16973" spans="1:16" x14ac:dyDescent="0.25">
      <c r="A16973" t="str">
        <f>"1250046P00200    00"</f>
        <v>1250046P00200    00</v>
      </c>
      <c r="B16973" t="s">
        <v>37031</v>
      </c>
      <c r="C16973" t="s">
        <v>37024</v>
      </c>
      <c r="D16973" t="s">
        <v>20</v>
      </c>
      <c r="E16973" t="s">
        <v>39</v>
      </c>
      <c r="F16973">
        <v>0</v>
      </c>
      <c r="G16973">
        <v>0</v>
      </c>
      <c r="H16973">
        <v>10</v>
      </c>
      <c r="I16973" s="3">
        <v>166.06</v>
      </c>
      <c r="J16973" s="3">
        <v>71.58</v>
      </c>
      <c r="K16973" t="s">
        <v>37032</v>
      </c>
      <c r="L16973">
        <v>67</v>
      </c>
      <c r="M16973" t="s">
        <v>37030</v>
      </c>
      <c r="N16973" t="s">
        <v>30</v>
      </c>
      <c r="O16973" t="s">
        <v>31</v>
      </c>
      <c r="P16973" t="str">
        <f>"15202"</f>
        <v>15202</v>
      </c>
    </row>
    <row r="16974" spans="1:16" x14ac:dyDescent="0.25">
      <c r="A16974" t="str">
        <f>"1250046P00203    00"</f>
        <v>1250046P00203    00</v>
      </c>
      <c r="B16974" t="s">
        <v>37033</v>
      </c>
      <c r="C16974" t="s">
        <v>37034</v>
      </c>
      <c r="D16974" t="s">
        <v>20</v>
      </c>
      <c r="E16974" t="s">
        <v>39</v>
      </c>
      <c r="F16974">
        <v>0</v>
      </c>
      <c r="G16974">
        <v>0</v>
      </c>
      <c r="H16974">
        <v>19</v>
      </c>
      <c r="I16974" s="3">
        <v>11209.04</v>
      </c>
      <c r="J16974" s="3">
        <v>11151.34</v>
      </c>
      <c r="K16974" t="s">
        <v>37035</v>
      </c>
      <c r="L16974">
        <v>1235</v>
      </c>
      <c r="M16974" t="s">
        <v>37036</v>
      </c>
      <c r="N16974" t="s">
        <v>30</v>
      </c>
      <c r="O16974" t="s">
        <v>31</v>
      </c>
      <c r="P16974" t="str">
        <f>"15212"</f>
        <v>15212</v>
      </c>
    </row>
    <row r="16975" spans="1:16" x14ac:dyDescent="0.25">
      <c r="A16975" t="str">
        <f>"1250046P00204    00"</f>
        <v>1250046P00204    00</v>
      </c>
      <c r="B16975" t="s">
        <v>37033</v>
      </c>
      <c r="C16975" t="s">
        <v>37024</v>
      </c>
      <c r="D16975" t="s">
        <v>20</v>
      </c>
      <c r="E16975" t="s">
        <v>39</v>
      </c>
      <c r="F16975">
        <v>0</v>
      </c>
      <c r="G16975">
        <v>0</v>
      </c>
      <c r="H16975">
        <v>19</v>
      </c>
      <c r="I16975" s="3">
        <v>232.89</v>
      </c>
      <c r="J16975" s="3">
        <v>200.76</v>
      </c>
      <c r="K16975" t="s">
        <v>37035</v>
      </c>
      <c r="L16975">
        <v>1500</v>
      </c>
      <c r="M16975" t="s">
        <v>37037</v>
      </c>
      <c r="N16975" t="s">
        <v>30</v>
      </c>
      <c r="O16975" t="s">
        <v>31</v>
      </c>
      <c r="P16975" t="str">
        <f>"15212"</f>
        <v>15212</v>
      </c>
    </row>
    <row r="16976" spans="1:16" x14ac:dyDescent="0.25">
      <c r="A16976" t="str">
        <f>"1250046P00205    00"</f>
        <v>1250046P00205    00</v>
      </c>
      <c r="B16976" t="s">
        <v>37038</v>
      </c>
      <c r="C16976" t="s">
        <v>37024</v>
      </c>
      <c r="D16976" t="s">
        <v>20</v>
      </c>
      <c r="E16976" t="s">
        <v>39</v>
      </c>
      <c r="F16976">
        <v>0</v>
      </c>
      <c r="G16976">
        <v>0</v>
      </c>
      <c r="H16976">
        <v>19</v>
      </c>
      <c r="I16976" s="3">
        <v>1313.78</v>
      </c>
      <c r="J16976" s="3">
        <v>749.43</v>
      </c>
      <c r="K16976" t="s">
        <v>26112</v>
      </c>
      <c r="L16976">
        <v>2790</v>
      </c>
      <c r="M16976" t="s">
        <v>23974</v>
      </c>
      <c r="N16976" t="s">
        <v>23975</v>
      </c>
      <c r="O16976" t="s">
        <v>1321</v>
      </c>
      <c r="P16976" t="str">
        <f>"89502"</f>
        <v>89502</v>
      </c>
    </row>
    <row r="16977" spans="1:16" x14ac:dyDescent="0.25">
      <c r="A16977" t="str">
        <f>"1250046P00206    00"</f>
        <v>1250046P00206    00</v>
      </c>
      <c r="B16977" t="s">
        <v>37039</v>
      </c>
      <c r="C16977" t="s">
        <v>37024</v>
      </c>
      <c r="D16977" t="s">
        <v>20</v>
      </c>
      <c r="E16977" t="s">
        <v>39</v>
      </c>
      <c r="F16977">
        <v>0</v>
      </c>
      <c r="G16977">
        <v>0</v>
      </c>
      <c r="H16977">
        <v>19</v>
      </c>
      <c r="I16977" s="3">
        <v>10244.25</v>
      </c>
      <c r="J16977" s="3">
        <v>8871.7900000000009</v>
      </c>
      <c r="L16977">
        <v>2790</v>
      </c>
      <c r="M16977" t="s">
        <v>26113</v>
      </c>
      <c r="N16977" t="s">
        <v>23975</v>
      </c>
      <c r="O16977" t="s">
        <v>1321</v>
      </c>
      <c r="P16977" t="str">
        <f>"89502"</f>
        <v>89502</v>
      </c>
    </row>
    <row r="16978" spans="1:16" x14ac:dyDescent="0.25">
      <c r="A16978" t="str">
        <f>"1250046P00207    00"</f>
        <v>1250046P00207    00</v>
      </c>
      <c r="B16978" t="s">
        <v>37040</v>
      </c>
      <c r="C16978" t="s">
        <v>37024</v>
      </c>
      <c r="D16978" t="s">
        <v>20</v>
      </c>
      <c r="E16978" t="s">
        <v>39</v>
      </c>
      <c r="F16978">
        <v>0</v>
      </c>
      <c r="G16978">
        <v>0</v>
      </c>
      <c r="H16978">
        <v>19</v>
      </c>
      <c r="I16978" s="3">
        <v>4551.46</v>
      </c>
      <c r="J16978" s="3">
        <v>6607.19</v>
      </c>
      <c r="P16978" t="str">
        <f>""</f>
        <v/>
      </c>
    </row>
    <row r="16979" spans="1:16" x14ac:dyDescent="0.25">
      <c r="A16979" t="str">
        <f>"1250046P00208    00"</f>
        <v>1250046P00208    00</v>
      </c>
      <c r="B16979" t="s">
        <v>37041</v>
      </c>
      <c r="C16979" t="s">
        <v>37024</v>
      </c>
      <c r="D16979" t="s">
        <v>20</v>
      </c>
      <c r="E16979" t="s">
        <v>39</v>
      </c>
      <c r="F16979">
        <v>0</v>
      </c>
      <c r="G16979">
        <v>0</v>
      </c>
      <c r="H16979">
        <v>19</v>
      </c>
      <c r="I16979" s="3">
        <v>3099.97</v>
      </c>
      <c r="J16979" s="3">
        <v>4410.76</v>
      </c>
      <c r="P16979" t="str">
        <f>""</f>
        <v/>
      </c>
    </row>
    <row r="16980" spans="1:16" x14ac:dyDescent="0.25">
      <c r="A16980" t="str">
        <f>"1250046P00209    00"</f>
        <v>1250046P00209    00</v>
      </c>
      <c r="B16980" t="s">
        <v>37042</v>
      </c>
      <c r="C16980" t="s">
        <v>37024</v>
      </c>
      <c r="D16980" t="s">
        <v>20</v>
      </c>
      <c r="E16980" t="s">
        <v>39</v>
      </c>
      <c r="F16980">
        <v>0</v>
      </c>
      <c r="G16980">
        <v>0</v>
      </c>
      <c r="H16980">
        <v>19</v>
      </c>
      <c r="I16980" s="3">
        <v>3936.28</v>
      </c>
      <c r="J16980" s="3">
        <v>5679.56</v>
      </c>
      <c r="P16980" t="str">
        <f>""</f>
        <v/>
      </c>
    </row>
    <row r="16981" spans="1:16" x14ac:dyDescent="0.25">
      <c r="A16981" t="str">
        <f>"1250046P00210    00"</f>
        <v>1250046P00210    00</v>
      </c>
      <c r="B16981" t="s">
        <v>37043</v>
      </c>
      <c r="C16981" t="s">
        <v>37024</v>
      </c>
      <c r="D16981" t="s">
        <v>20</v>
      </c>
      <c r="E16981" t="s">
        <v>39</v>
      </c>
      <c r="F16981">
        <v>0</v>
      </c>
      <c r="G16981">
        <v>0</v>
      </c>
      <c r="H16981">
        <v>19</v>
      </c>
      <c r="I16981" s="3">
        <v>342.86</v>
      </c>
      <c r="J16981" s="3">
        <v>293.64</v>
      </c>
      <c r="K16981" t="s">
        <v>37044</v>
      </c>
      <c r="L16981">
        <v>119</v>
      </c>
      <c r="M16981" t="s">
        <v>37045</v>
      </c>
      <c r="N16981" t="s">
        <v>903</v>
      </c>
      <c r="O16981" t="s">
        <v>31</v>
      </c>
      <c r="P16981" t="str">
        <f>"15136"</f>
        <v>15136</v>
      </c>
    </row>
    <row r="16982" spans="1:16" x14ac:dyDescent="0.25">
      <c r="A16982" t="str">
        <f>"1250046P00211    00"</f>
        <v>1250046P00211    00</v>
      </c>
      <c r="B16982" t="s">
        <v>37046</v>
      </c>
      <c r="C16982" t="s">
        <v>37024</v>
      </c>
      <c r="D16982" t="s">
        <v>20</v>
      </c>
      <c r="E16982" t="s">
        <v>39</v>
      </c>
      <c r="F16982">
        <v>0</v>
      </c>
      <c r="G16982">
        <v>0</v>
      </c>
      <c r="H16982">
        <v>19</v>
      </c>
      <c r="I16982" s="3">
        <v>364.93</v>
      </c>
      <c r="J16982" s="3">
        <v>305.31</v>
      </c>
      <c r="K16982" t="s">
        <v>37047</v>
      </c>
      <c r="P16982" t="str">
        <f>""</f>
        <v/>
      </c>
    </row>
    <row r="16983" spans="1:16" x14ac:dyDescent="0.25">
      <c r="A16983" t="str">
        <f>"1250046P00213    00"</f>
        <v>1250046P00213    00</v>
      </c>
      <c r="B16983" t="s">
        <v>37048</v>
      </c>
      <c r="C16983" t="s">
        <v>37049</v>
      </c>
      <c r="D16983" t="s">
        <v>20</v>
      </c>
      <c r="E16983" t="s">
        <v>39</v>
      </c>
      <c r="F16983">
        <v>0</v>
      </c>
      <c r="G16983">
        <v>0</v>
      </c>
      <c r="H16983">
        <v>11</v>
      </c>
      <c r="I16983" s="3">
        <v>8326.9599999999991</v>
      </c>
      <c r="J16983" s="3">
        <v>3974.14</v>
      </c>
      <c r="L16983">
        <v>3469</v>
      </c>
      <c r="M16983" t="s">
        <v>37050</v>
      </c>
      <c r="N16983" t="s">
        <v>30</v>
      </c>
      <c r="O16983" t="s">
        <v>31</v>
      </c>
      <c r="P16983" t="str">
        <f>"15212"</f>
        <v>15212</v>
      </c>
    </row>
    <row r="16984" spans="1:16" x14ac:dyDescent="0.25">
      <c r="A16984" t="str">
        <f>"1250046P00220    00"</f>
        <v>1250046P00220    00</v>
      </c>
      <c r="B16984" t="s">
        <v>37051</v>
      </c>
      <c r="C16984" t="s">
        <v>37024</v>
      </c>
      <c r="D16984" t="s">
        <v>20</v>
      </c>
      <c r="E16984" t="s">
        <v>39</v>
      </c>
      <c r="F16984">
        <v>0</v>
      </c>
      <c r="G16984">
        <v>0</v>
      </c>
      <c r="H16984">
        <v>19</v>
      </c>
      <c r="I16984" s="3">
        <v>276.79000000000002</v>
      </c>
      <c r="J16984" s="3">
        <v>223.97</v>
      </c>
      <c r="K16984" t="s">
        <v>1008</v>
      </c>
      <c r="P16984" t="str">
        <f>""</f>
        <v/>
      </c>
    </row>
    <row r="16985" spans="1:16" x14ac:dyDescent="0.25">
      <c r="A16985" t="str">
        <f>"1250046P00221    00"</f>
        <v>1250046P00221    00</v>
      </c>
      <c r="B16985" t="s">
        <v>37051</v>
      </c>
      <c r="C16985" t="s">
        <v>37024</v>
      </c>
      <c r="D16985" t="s">
        <v>20</v>
      </c>
      <c r="E16985" t="s">
        <v>39</v>
      </c>
      <c r="F16985">
        <v>0</v>
      </c>
      <c r="G16985">
        <v>0</v>
      </c>
      <c r="H16985">
        <v>19</v>
      </c>
      <c r="I16985" s="3">
        <v>11092.49</v>
      </c>
      <c r="J16985" s="3">
        <v>9963.1200000000008</v>
      </c>
      <c r="P16985" t="str">
        <f>""</f>
        <v/>
      </c>
    </row>
    <row r="16986" spans="1:16" x14ac:dyDescent="0.25">
      <c r="A16986" t="str">
        <f>"1250046P00260    00"</f>
        <v>1250046P00260    00</v>
      </c>
      <c r="B16986" t="s">
        <v>37052</v>
      </c>
      <c r="C16986" t="s">
        <v>37053</v>
      </c>
      <c r="D16986" t="s">
        <v>20</v>
      </c>
      <c r="E16986" t="s">
        <v>39</v>
      </c>
      <c r="F16986">
        <v>0</v>
      </c>
      <c r="G16986">
        <v>0</v>
      </c>
      <c r="H16986">
        <v>1</v>
      </c>
      <c r="I16986" s="3">
        <v>2117.58</v>
      </c>
      <c r="J16986" s="3">
        <v>0</v>
      </c>
      <c r="L16986">
        <v>2115</v>
      </c>
      <c r="M16986" t="s">
        <v>37054</v>
      </c>
      <c r="N16986" t="s">
        <v>30</v>
      </c>
      <c r="O16986" t="s">
        <v>31</v>
      </c>
      <c r="P16986" t="str">
        <f>"15214"</f>
        <v>15214</v>
      </c>
    </row>
    <row r="16987" spans="1:16" x14ac:dyDescent="0.25">
      <c r="A16987" t="str">
        <f>"1250046P00278    00"</f>
        <v>1250046P00278    00</v>
      </c>
      <c r="B16987" t="s">
        <v>37055</v>
      </c>
      <c r="C16987" t="s">
        <v>37056</v>
      </c>
      <c r="D16987" t="s">
        <v>20</v>
      </c>
      <c r="E16987" t="s">
        <v>39</v>
      </c>
      <c r="F16987">
        <v>0</v>
      </c>
      <c r="G16987">
        <v>0</v>
      </c>
      <c r="H16987">
        <v>6</v>
      </c>
      <c r="I16987" s="3">
        <v>2233.4699999999998</v>
      </c>
      <c r="J16987" s="3">
        <v>386.7</v>
      </c>
      <c r="L16987">
        <v>1941</v>
      </c>
      <c r="M16987" t="s">
        <v>37054</v>
      </c>
      <c r="N16987" t="s">
        <v>30</v>
      </c>
      <c r="O16987" t="s">
        <v>31</v>
      </c>
      <c r="P16987" t="str">
        <f>"15214"</f>
        <v>15214</v>
      </c>
    </row>
    <row r="16988" spans="1:16" x14ac:dyDescent="0.25">
      <c r="A16988" t="str">
        <f>"1250046P00281    00"</f>
        <v>1250046P00281    00</v>
      </c>
      <c r="B16988" t="s">
        <v>37057</v>
      </c>
      <c r="C16988" t="s">
        <v>37058</v>
      </c>
      <c r="D16988" t="s">
        <v>20</v>
      </c>
      <c r="E16988" t="s">
        <v>39</v>
      </c>
      <c r="F16988">
        <v>0</v>
      </c>
      <c r="G16988">
        <v>0</v>
      </c>
      <c r="H16988">
        <v>1</v>
      </c>
      <c r="I16988" s="3">
        <v>895.82</v>
      </c>
      <c r="J16988" s="3">
        <v>0</v>
      </c>
      <c r="K16988" t="s">
        <v>37059</v>
      </c>
      <c r="L16988">
        <v>3166</v>
      </c>
      <c r="M16988" t="s">
        <v>37060</v>
      </c>
      <c r="N16988" t="s">
        <v>10447</v>
      </c>
      <c r="O16988" t="s">
        <v>200</v>
      </c>
      <c r="P16988" t="str">
        <f>"10469"</f>
        <v>10469</v>
      </c>
    </row>
    <row r="16989" spans="1:16" x14ac:dyDescent="0.25">
      <c r="A16989" t="str">
        <f>"1250046P00291    02"</f>
        <v>1250046P00291    02</v>
      </c>
      <c r="B16989" t="s">
        <v>37061</v>
      </c>
      <c r="C16989" t="s">
        <v>37024</v>
      </c>
      <c r="D16989" t="s">
        <v>20</v>
      </c>
      <c r="E16989" t="s">
        <v>39</v>
      </c>
      <c r="F16989">
        <v>0</v>
      </c>
      <c r="G16989">
        <v>0</v>
      </c>
      <c r="H16989">
        <v>19</v>
      </c>
      <c r="I16989" s="3">
        <v>320.97000000000003</v>
      </c>
      <c r="J16989" s="3">
        <v>282.08999999999997</v>
      </c>
      <c r="K16989" t="s">
        <v>1037</v>
      </c>
      <c r="L16989">
        <v>1912</v>
      </c>
      <c r="M16989" t="s">
        <v>36867</v>
      </c>
      <c r="N16989" t="s">
        <v>30</v>
      </c>
      <c r="O16989" t="s">
        <v>31</v>
      </c>
      <c r="P16989" t="str">
        <f>"15214"</f>
        <v>15214</v>
      </c>
    </row>
    <row r="16990" spans="1:16" x14ac:dyDescent="0.25">
      <c r="A16990" t="str">
        <f>"1250046P00305    00"</f>
        <v>1250046P00305    00</v>
      </c>
      <c r="B16990" t="s">
        <v>37062</v>
      </c>
      <c r="C16990" t="s">
        <v>37063</v>
      </c>
      <c r="D16990" t="s">
        <v>20</v>
      </c>
      <c r="E16990" t="s">
        <v>39</v>
      </c>
      <c r="F16990">
        <v>0</v>
      </c>
      <c r="G16990">
        <v>0</v>
      </c>
      <c r="H16990">
        <v>5</v>
      </c>
      <c r="I16990" s="3">
        <v>3351.6</v>
      </c>
      <c r="J16990" s="3">
        <v>387.2</v>
      </c>
      <c r="L16990">
        <v>1924</v>
      </c>
      <c r="M16990" t="s">
        <v>37054</v>
      </c>
      <c r="N16990" t="s">
        <v>30</v>
      </c>
      <c r="O16990" t="s">
        <v>31</v>
      </c>
      <c r="P16990" t="str">
        <f>"15214"</f>
        <v>15214</v>
      </c>
    </row>
    <row r="16991" spans="1:16" x14ac:dyDescent="0.25">
      <c r="A16991" t="str">
        <f>"1250046P00311    00"</f>
        <v>1250046P00311    00</v>
      </c>
      <c r="B16991" t="s">
        <v>37064</v>
      </c>
      <c r="C16991" t="s">
        <v>37065</v>
      </c>
      <c r="E16991" t="s">
        <v>39</v>
      </c>
      <c r="F16991">
        <v>0</v>
      </c>
      <c r="G16991">
        <v>0</v>
      </c>
      <c r="H16991">
        <v>1</v>
      </c>
      <c r="I16991" s="3">
        <v>683.7</v>
      </c>
      <c r="J16991" s="3">
        <v>22.79</v>
      </c>
      <c r="K16991" t="s">
        <v>37066</v>
      </c>
      <c r="L16991">
        <v>414</v>
      </c>
      <c r="M16991" t="s">
        <v>8339</v>
      </c>
      <c r="N16991" t="s">
        <v>30</v>
      </c>
      <c r="O16991" t="s">
        <v>31</v>
      </c>
      <c r="P16991" t="str">
        <f>"15210"</f>
        <v>15210</v>
      </c>
    </row>
    <row r="16992" spans="1:16" x14ac:dyDescent="0.25">
      <c r="A16992" t="str">
        <f>"1250046P00322    00"</f>
        <v>1250046P00322    00</v>
      </c>
      <c r="B16992" t="s">
        <v>37067</v>
      </c>
      <c r="C16992" t="s">
        <v>37068</v>
      </c>
      <c r="E16992" t="s">
        <v>39</v>
      </c>
      <c r="F16992">
        <v>0</v>
      </c>
      <c r="G16992">
        <v>0</v>
      </c>
      <c r="H16992">
        <v>1</v>
      </c>
      <c r="I16992" s="3">
        <v>21.91</v>
      </c>
      <c r="J16992" s="3">
        <v>6.57</v>
      </c>
      <c r="K16992" t="s">
        <v>37069</v>
      </c>
      <c r="L16992">
        <v>10</v>
      </c>
      <c r="M16992" t="s">
        <v>37070</v>
      </c>
      <c r="N16992" t="s">
        <v>30</v>
      </c>
      <c r="O16992" t="s">
        <v>31</v>
      </c>
      <c r="P16992" t="str">
        <f>"15214"</f>
        <v>15214</v>
      </c>
    </row>
    <row r="16993" spans="1:16" x14ac:dyDescent="0.25">
      <c r="A16993" t="str">
        <f>"1250046P00330    00"</f>
        <v>1250046P00330    00</v>
      </c>
      <c r="B16993" t="s">
        <v>37071</v>
      </c>
      <c r="C16993" t="s">
        <v>37072</v>
      </c>
      <c r="D16993" t="s">
        <v>20</v>
      </c>
      <c r="E16993" t="s">
        <v>39</v>
      </c>
      <c r="F16993">
        <v>0</v>
      </c>
      <c r="G16993">
        <v>0</v>
      </c>
      <c r="H16993">
        <v>1</v>
      </c>
      <c r="I16993" s="3">
        <v>537.97</v>
      </c>
      <c r="J16993" s="3">
        <v>0</v>
      </c>
      <c r="L16993">
        <v>2028</v>
      </c>
      <c r="M16993" t="s">
        <v>37054</v>
      </c>
      <c r="N16993" t="s">
        <v>30</v>
      </c>
      <c r="O16993" t="s">
        <v>31</v>
      </c>
      <c r="P16993" t="str">
        <f>"15214"</f>
        <v>15214</v>
      </c>
    </row>
    <row r="16994" spans="1:16" x14ac:dyDescent="0.25">
      <c r="A16994" t="str">
        <f>"1250046P00331    00"</f>
        <v>1250046P00331    00</v>
      </c>
      <c r="B16994" t="s">
        <v>37073</v>
      </c>
      <c r="C16994" t="s">
        <v>37074</v>
      </c>
      <c r="D16994" t="s">
        <v>20</v>
      </c>
      <c r="E16994" t="s">
        <v>39</v>
      </c>
      <c r="F16994">
        <v>0</v>
      </c>
      <c r="G16994">
        <v>0</v>
      </c>
      <c r="H16994">
        <v>19</v>
      </c>
      <c r="I16994" s="3">
        <v>11699.35</v>
      </c>
      <c r="J16994" s="3">
        <v>12269.76</v>
      </c>
      <c r="L16994">
        <v>2110</v>
      </c>
      <c r="M16994" t="s">
        <v>37054</v>
      </c>
      <c r="N16994" t="s">
        <v>30</v>
      </c>
      <c r="O16994" t="s">
        <v>31</v>
      </c>
      <c r="P16994" t="str">
        <f>"15214"</f>
        <v>15214</v>
      </c>
    </row>
    <row r="16995" spans="1:16" x14ac:dyDescent="0.25">
      <c r="A16995" t="str">
        <f>"1250046P00333    00"</f>
        <v>1250046P00333    00</v>
      </c>
      <c r="B16995" t="s">
        <v>37075</v>
      </c>
      <c r="C16995" t="s">
        <v>37076</v>
      </c>
      <c r="D16995" t="s">
        <v>20</v>
      </c>
      <c r="E16995" t="s">
        <v>39</v>
      </c>
      <c r="F16995">
        <v>0</v>
      </c>
      <c r="G16995">
        <v>0</v>
      </c>
      <c r="H16995">
        <v>2</v>
      </c>
      <c r="I16995" s="3">
        <v>1447.39</v>
      </c>
      <c r="J16995" s="3">
        <v>0</v>
      </c>
      <c r="M16995" t="s">
        <v>37077</v>
      </c>
      <c r="N16995" t="s">
        <v>295</v>
      </c>
      <c r="O16995" t="s">
        <v>31</v>
      </c>
      <c r="P16995" t="str">
        <f>"15146"</f>
        <v>15146</v>
      </c>
    </row>
    <row r="16996" spans="1:16" x14ac:dyDescent="0.25">
      <c r="A16996" t="str">
        <f>"1250046P00335    00"</f>
        <v>1250046P00335    00</v>
      </c>
      <c r="B16996" t="s">
        <v>37078</v>
      </c>
      <c r="C16996" t="s">
        <v>37068</v>
      </c>
      <c r="E16996" t="s">
        <v>39</v>
      </c>
      <c r="F16996">
        <v>0</v>
      </c>
      <c r="G16996">
        <v>0</v>
      </c>
      <c r="H16996">
        <v>1</v>
      </c>
      <c r="I16996" s="3">
        <v>123.71</v>
      </c>
      <c r="J16996" s="3">
        <v>0</v>
      </c>
      <c r="L16996">
        <v>362</v>
      </c>
      <c r="M16996" t="s">
        <v>37079</v>
      </c>
      <c r="N16996" t="s">
        <v>2566</v>
      </c>
      <c r="O16996" t="s">
        <v>440</v>
      </c>
      <c r="P16996" t="str">
        <f>"02324"</f>
        <v>02324</v>
      </c>
    </row>
    <row r="16997" spans="1:16" x14ac:dyDescent="0.25">
      <c r="A16997" t="str">
        <f>"1250046P00363    00"</f>
        <v>1250046P00363    00</v>
      </c>
      <c r="B16997" t="s">
        <v>37080</v>
      </c>
      <c r="C16997" t="s">
        <v>37081</v>
      </c>
      <c r="D16997" t="s">
        <v>20</v>
      </c>
      <c r="E16997" t="s">
        <v>39</v>
      </c>
      <c r="F16997">
        <v>0</v>
      </c>
      <c r="G16997">
        <v>0</v>
      </c>
      <c r="H16997">
        <v>2</v>
      </c>
      <c r="I16997" s="3">
        <v>306.14</v>
      </c>
      <c r="J16997" s="3">
        <v>0</v>
      </c>
      <c r="L16997">
        <v>8</v>
      </c>
      <c r="M16997" t="s">
        <v>37070</v>
      </c>
      <c r="N16997" t="s">
        <v>30</v>
      </c>
      <c r="O16997" t="s">
        <v>31</v>
      </c>
      <c r="P16997" t="str">
        <f>"15214"</f>
        <v>15214</v>
      </c>
    </row>
    <row r="16998" spans="1:16" x14ac:dyDescent="0.25">
      <c r="A16998" t="str">
        <f>"1250046P00365    00"</f>
        <v>1250046P00365    00</v>
      </c>
      <c r="B16998" t="s">
        <v>37082</v>
      </c>
      <c r="C16998" t="s">
        <v>37083</v>
      </c>
      <c r="D16998" t="s">
        <v>20</v>
      </c>
      <c r="E16998" t="s">
        <v>39</v>
      </c>
      <c r="F16998">
        <v>0</v>
      </c>
      <c r="G16998">
        <v>0</v>
      </c>
      <c r="H16998">
        <v>1</v>
      </c>
      <c r="I16998" s="3">
        <v>389.29</v>
      </c>
      <c r="J16998" s="3">
        <v>0</v>
      </c>
      <c r="K16998" t="s">
        <v>37084</v>
      </c>
      <c r="L16998">
        <v>12</v>
      </c>
      <c r="M16998" t="s">
        <v>37070</v>
      </c>
      <c r="N16998" t="s">
        <v>30</v>
      </c>
      <c r="O16998" t="s">
        <v>31</v>
      </c>
      <c r="P16998" t="str">
        <f>"15214"</f>
        <v>15214</v>
      </c>
    </row>
    <row r="16999" spans="1:16" x14ac:dyDescent="0.25">
      <c r="A16999" t="str">
        <f>"1250046P00366    00"</f>
        <v>1250046P00366    00</v>
      </c>
      <c r="B16999" t="s">
        <v>37085</v>
      </c>
      <c r="C16999" t="s">
        <v>37086</v>
      </c>
      <c r="D16999" t="s">
        <v>20</v>
      </c>
      <c r="E16999" t="s">
        <v>39</v>
      </c>
      <c r="F16999">
        <v>0</v>
      </c>
      <c r="G16999">
        <v>0</v>
      </c>
      <c r="H16999">
        <v>3</v>
      </c>
      <c r="I16999" s="3">
        <v>2168.71</v>
      </c>
      <c r="J16999" s="3">
        <v>86.07</v>
      </c>
      <c r="K16999" t="s">
        <v>37087</v>
      </c>
      <c r="L16999">
        <v>1128</v>
      </c>
      <c r="M16999" t="s">
        <v>37088</v>
      </c>
      <c r="N16999" t="s">
        <v>30</v>
      </c>
      <c r="O16999" t="s">
        <v>31</v>
      </c>
      <c r="P16999" t="str">
        <f>"15212"</f>
        <v>15212</v>
      </c>
    </row>
    <row r="17000" spans="1:16" x14ac:dyDescent="0.25">
      <c r="A17000" t="str">
        <f>"1250046P00372    00"</f>
        <v>1250046P00372    00</v>
      </c>
      <c r="B17000" t="s">
        <v>37089</v>
      </c>
      <c r="C17000" t="s">
        <v>37090</v>
      </c>
      <c r="D17000" t="s">
        <v>20</v>
      </c>
      <c r="E17000" t="s">
        <v>39</v>
      </c>
      <c r="F17000">
        <v>0</v>
      </c>
      <c r="G17000">
        <v>0</v>
      </c>
      <c r="H17000">
        <v>2</v>
      </c>
      <c r="I17000" s="3">
        <v>1792.64</v>
      </c>
      <c r="J17000" s="3">
        <v>0</v>
      </c>
      <c r="L17000">
        <v>2005</v>
      </c>
      <c r="M17000" t="s">
        <v>37091</v>
      </c>
      <c r="N17000" t="s">
        <v>30</v>
      </c>
      <c r="O17000" t="s">
        <v>31</v>
      </c>
      <c r="P17000" t="str">
        <f>"15214"</f>
        <v>15214</v>
      </c>
    </row>
    <row r="17001" spans="1:16" x14ac:dyDescent="0.25">
      <c r="A17001" t="str">
        <f>"1250046P00373    00"</f>
        <v>1250046P00373    00</v>
      </c>
      <c r="B17001" t="s">
        <v>37089</v>
      </c>
      <c r="C17001" t="s">
        <v>37092</v>
      </c>
      <c r="D17001" t="s">
        <v>20</v>
      </c>
      <c r="E17001" t="s">
        <v>39</v>
      </c>
      <c r="F17001">
        <v>0</v>
      </c>
      <c r="G17001">
        <v>0</v>
      </c>
      <c r="H17001">
        <v>6</v>
      </c>
      <c r="I17001" s="3">
        <v>3545.69</v>
      </c>
      <c r="J17001" s="3">
        <v>808.9</v>
      </c>
      <c r="L17001">
        <v>2005</v>
      </c>
      <c r="M17001" t="s">
        <v>37091</v>
      </c>
      <c r="N17001" t="s">
        <v>30</v>
      </c>
      <c r="O17001" t="s">
        <v>31</v>
      </c>
      <c r="P17001" t="str">
        <f>"15214"</f>
        <v>15214</v>
      </c>
    </row>
    <row r="17002" spans="1:16" x14ac:dyDescent="0.25">
      <c r="A17002" t="str">
        <f>"1250046P00374    00"</f>
        <v>1250046P00374    00</v>
      </c>
      <c r="B17002" t="s">
        <v>37093</v>
      </c>
      <c r="C17002" t="s">
        <v>37094</v>
      </c>
      <c r="D17002" t="s">
        <v>20</v>
      </c>
      <c r="E17002" t="s">
        <v>39</v>
      </c>
      <c r="F17002">
        <v>0</v>
      </c>
      <c r="G17002">
        <v>0</v>
      </c>
      <c r="H17002">
        <v>1</v>
      </c>
      <c r="I17002" s="3">
        <v>349.34</v>
      </c>
      <c r="J17002" s="3">
        <v>0</v>
      </c>
      <c r="K17002" t="s">
        <v>7185</v>
      </c>
      <c r="L17002">
        <v>1</v>
      </c>
      <c r="M17002" t="s">
        <v>7186</v>
      </c>
      <c r="N17002" t="s">
        <v>4803</v>
      </c>
      <c r="O17002" t="s">
        <v>554</v>
      </c>
      <c r="P17002" t="str">
        <f>"26003"</f>
        <v>26003</v>
      </c>
    </row>
    <row r="17003" spans="1:16" x14ac:dyDescent="0.25">
      <c r="A17003" t="str">
        <f>"1250046P00384    00"</f>
        <v>1250046P00384    00</v>
      </c>
      <c r="B17003" t="s">
        <v>37095</v>
      </c>
      <c r="C17003" t="s">
        <v>37096</v>
      </c>
      <c r="D17003" t="s">
        <v>20</v>
      </c>
      <c r="E17003" t="s">
        <v>39</v>
      </c>
      <c r="F17003">
        <v>0</v>
      </c>
      <c r="G17003">
        <v>0</v>
      </c>
      <c r="H17003">
        <v>17</v>
      </c>
      <c r="I17003" s="3">
        <v>8531.1299999999992</v>
      </c>
      <c r="J17003" s="3">
        <v>7563.96</v>
      </c>
      <c r="L17003">
        <v>972</v>
      </c>
      <c r="M17003" t="s">
        <v>37097</v>
      </c>
      <c r="N17003" t="s">
        <v>30</v>
      </c>
      <c r="O17003" t="s">
        <v>31</v>
      </c>
      <c r="P17003" t="str">
        <f>"15207"</f>
        <v>15207</v>
      </c>
    </row>
    <row r="17004" spans="1:16" x14ac:dyDescent="0.25">
      <c r="A17004" t="str">
        <f>"1250046P00386    00"</f>
        <v>1250046P00386    00</v>
      </c>
      <c r="B17004" t="s">
        <v>37098</v>
      </c>
      <c r="C17004" t="s">
        <v>37099</v>
      </c>
      <c r="D17004" t="s">
        <v>20</v>
      </c>
      <c r="E17004" t="s">
        <v>39</v>
      </c>
      <c r="F17004">
        <v>0</v>
      </c>
      <c r="G17004">
        <v>0</v>
      </c>
      <c r="H17004">
        <v>19</v>
      </c>
      <c r="I17004" s="3">
        <v>5411.28</v>
      </c>
      <c r="J17004" s="3">
        <v>3387.81</v>
      </c>
      <c r="M17004" t="s">
        <v>37100</v>
      </c>
      <c r="N17004" t="s">
        <v>37101</v>
      </c>
      <c r="O17004" t="s">
        <v>31</v>
      </c>
      <c r="P17004" t="str">
        <f>"15470"</f>
        <v>15470</v>
      </c>
    </row>
    <row r="17005" spans="1:16" x14ac:dyDescent="0.25">
      <c r="A17005" t="str">
        <f>"1250046P00387    00"</f>
        <v>1250046P00387    00</v>
      </c>
      <c r="B17005" t="s">
        <v>37102</v>
      </c>
      <c r="C17005" t="s">
        <v>37096</v>
      </c>
      <c r="D17005" t="s">
        <v>20</v>
      </c>
      <c r="E17005" t="s">
        <v>39</v>
      </c>
      <c r="F17005">
        <v>0</v>
      </c>
      <c r="G17005">
        <v>0</v>
      </c>
      <c r="H17005">
        <v>19</v>
      </c>
      <c r="I17005" s="3">
        <v>759.45</v>
      </c>
      <c r="J17005" s="3">
        <v>873.84</v>
      </c>
      <c r="K17005" t="s">
        <v>1037</v>
      </c>
      <c r="L17005">
        <v>103</v>
      </c>
      <c r="M17005" t="s">
        <v>37103</v>
      </c>
      <c r="N17005" t="s">
        <v>30</v>
      </c>
      <c r="O17005" t="s">
        <v>31</v>
      </c>
      <c r="P17005" t="str">
        <f>"15214"</f>
        <v>15214</v>
      </c>
    </row>
    <row r="17006" spans="1:16" x14ac:dyDescent="0.25">
      <c r="A17006" t="str">
        <f>"1250046P00389    00"</f>
        <v>1250046P00389    00</v>
      </c>
      <c r="B17006" t="s">
        <v>37104</v>
      </c>
      <c r="C17006" t="s">
        <v>37105</v>
      </c>
      <c r="D17006" t="s">
        <v>20</v>
      </c>
      <c r="E17006" t="s">
        <v>39</v>
      </c>
      <c r="F17006">
        <v>0</v>
      </c>
      <c r="G17006">
        <v>0</v>
      </c>
      <c r="H17006">
        <v>1</v>
      </c>
      <c r="I17006" s="3">
        <v>1220.31</v>
      </c>
      <c r="J17006" s="3">
        <v>0</v>
      </c>
      <c r="L17006">
        <v>26</v>
      </c>
      <c r="M17006" t="s">
        <v>37106</v>
      </c>
      <c r="N17006" t="s">
        <v>37107</v>
      </c>
      <c r="O17006" t="s">
        <v>23337</v>
      </c>
      <c r="P17006" t="str">
        <f>"03055"</f>
        <v>03055</v>
      </c>
    </row>
    <row r="17007" spans="1:16" x14ac:dyDescent="0.25">
      <c r="A17007" t="str">
        <f>"1250046P00391    00"</f>
        <v>1250046P00391    00</v>
      </c>
      <c r="B17007" t="s">
        <v>37108</v>
      </c>
      <c r="C17007" t="s">
        <v>37109</v>
      </c>
      <c r="D17007" t="s">
        <v>20</v>
      </c>
      <c r="E17007" t="s">
        <v>39</v>
      </c>
      <c r="F17007">
        <v>0</v>
      </c>
      <c r="G17007">
        <v>0</v>
      </c>
      <c r="H17007">
        <v>19</v>
      </c>
      <c r="I17007" s="3">
        <v>14724.54</v>
      </c>
      <c r="J17007" s="3">
        <v>15542.22</v>
      </c>
      <c r="K17007" t="s">
        <v>37110</v>
      </c>
      <c r="L17007">
        <v>104</v>
      </c>
      <c r="M17007" t="s">
        <v>37103</v>
      </c>
      <c r="N17007" t="s">
        <v>30</v>
      </c>
      <c r="O17007" t="s">
        <v>31</v>
      </c>
      <c r="P17007" t="str">
        <f>"15214"</f>
        <v>15214</v>
      </c>
    </row>
    <row r="17008" spans="1:16" x14ac:dyDescent="0.25">
      <c r="A17008" t="str">
        <f>"1250046P00392    00"</f>
        <v>1250046P00392    00</v>
      </c>
      <c r="B17008" t="s">
        <v>37111</v>
      </c>
      <c r="C17008" t="s">
        <v>37112</v>
      </c>
      <c r="D17008" t="s">
        <v>20</v>
      </c>
      <c r="E17008" t="s">
        <v>39</v>
      </c>
      <c r="F17008">
        <v>0</v>
      </c>
      <c r="G17008">
        <v>0</v>
      </c>
      <c r="H17008">
        <v>5</v>
      </c>
      <c r="I17008" s="3">
        <v>574.85</v>
      </c>
      <c r="J17008" s="3">
        <v>109.17</v>
      </c>
      <c r="L17008">
        <v>106</v>
      </c>
      <c r="M17008" t="s">
        <v>37103</v>
      </c>
      <c r="N17008" t="s">
        <v>30</v>
      </c>
      <c r="O17008" t="s">
        <v>31</v>
      </c>
      <c r="P17008" t="str">
        <f>"15214"</f>
        <v>15214</v>
      </c>
    </row>
    <row r="17009" spans="1:16" x14ac:dyDescent="0.25">
      <c r="A17009" t="str">
        <f>"1250046P00394    00"</f>
        <v>1250046P00394    00</v>
      </c>
      <c r="B17009" t="s">
        <v>37113</v>
      </c>
      <c r="C17009" t="s">
        <v>37114</v>
      </c>
      <c r="E17009" t="s">
        <v>39</v>
      </c>
      <c r="F17009">
        <v>0</v>
      </c>
      <c r="G17009">
        <v>0</v>
      </c>
      <c r="H17009">
        <v>4</v>
      </c>
      <c r="I17009" s="3">
        <v>4828.7</v>
      </c>
      <c r="J17009" s="3">
        <v>5547.31</v>
      </c>
      <c r="K17009" t="s">
        <v>37115</v>
      </c>
      <c r="L17009">
        <v>107</v>
      </c>
      <c r="M17009" t="s">
        <v>37103</v>
      </c>
      <c r="N17009" t="s">
        <v>30</v>
      </c>
      <c r="O17009" t="s">
        <v>31</v>
      </c>
      <c r="P17009" t="str">
        <f>"15214"</f>
        <v>15214</v>
      </c>
    </row>
    <row r="17010" spans="1:16" x14ac:dyDescent="0.25">
      <c r="A17010" t="str">
        <f>"1250046R00017    00"</f>
        <v>1250046R00017    00</v>
      </c>
      <c r="B17010" t="s">
        <v>37116</v>
      </c>
      <c r="C17010" t="s">
        <v>37117</v>
      </c>
      <c r="D17010" t="s">
        <v>20</v>
      </c>
      <c r="E17010" t="s">
        <v>39</v>
      </c>
      <c r="F17010">
        <v>0</v>
      </c>
      <c r="G17010">
        <v>0</v>
      </c>
      <c r="H17010">
        <v>10</v>
      </c>
      <c r="I17010" s="3">
        <v>2619.19</v>
      </c>
      <c r="J17010" s="3">
        <v>1032.0999999999999</v>
      </c>
      <c r="L17010">
        <v>1919</v>
      </c>
      <c r="M17010" t="s">
        <v>37091</v>
      </c>
      <c r="N17010" t="s">
        <v>30</v>
      </c>
      <c r="O17010" t="s">
        <v>31</v>
      </c>
      <c r="P17010" t="str">
        <f>"15214"</f>
        <v>15214</v>
      </c>
    </row>
    <row r="17011" spans="1:16" x14ac:dyDescent="0.25">
      <c r="A17011" t="str">
        <f>"1250046R00022    00"</f>
        <v>1250046R00022    00</v>
      </c>
      <c r="B17011" t="s">
        <v>37118</v>
      </c>
      <c r="C17011" t="s">
        <v>37119</v>
      </c>
      <c r="E17011" t="s">
        <v>39</v>
      </c>
      <c r="F17011">
        <v>0</v>
      </c>
      <c r="G17011">
        <v>0</v>
      </c>
      <c r="H17011">
        <v>1</v>
      </c>
      <c r="I17011" s="3">
        <v>686.18</v>
      </c>
      <c r="J17011" s="3">
        <v>0</v>
      </c>
      <c r="L17011">
        <v>1724</v>
      </c>
      <c r="M17011" t="s">
        <v>13856</v>
      </c>
      <c r="N17011" t="s">
        <v>30</v>
      </c>
      <c r="O17011" t="s">
        <v>31</v>
      </c>
      <c r="P17011" t="str">
        <f>"15212"</f>
        <v>15212</v>
      </c>
    </row>
    <row r="17012" spans="1:16" x14ac:dyDescent="0.25">
      <c r="A17012" t="str">
        <f>"1250046R00035    00"</f>
        <v>1250046R00035    00</v>
      </c>
      <c r="B17012" t="s">
        <v>37120</v>
      </c>
      <c r="C17012" t="s">
        <v>37117</v>
      </c>
      <c r="D17012" t="s">
        <v>20</v>
      </c>
      <c r="E17012" t="s">
        <v>39</v>
      </c>
      <c r="F17012">
        <v>0</v>
      </c>
      <c r="G17012">
        <v>0</v>
      </c>
      <c r="H17012">
        <v>19</v>
      </c>
      <c r="I17012" s="3">
        <v>11901.68</v>
      </c>
      <c r="J17012" s="3">
        <v>12085.72</v>
      </c>
      <c r="K17012" t="s">
        <v>37121</v>
      </c>
      <c r="L17012">
        <v>1094</v>
      </c>
      <c r="M17012" t="s">
        <v>18030</v>
      </c>
      <c r="N17012" t="s">
        <v>5390</v>
      </c>
      <c r="O17012" t="s">
        <v>370</v>
      </c>
      <c r="P17012" t="str">
        <f>"34119"</f>
        <v>34119</v>
      </c>
    </row>
    <row r="17013" spans="1:16" x14ac:dyDescent="0.25">
      <c r="A17013" t="str">
        <f>"1250046R00045    00"</f>
        <v>1250046R00045    00</v>
      </c>
      <c r="B17013" t="s">
        <v>36369</v>
      </c>
      <c r="C17013" t="s">
        <v>37117</v>
      </c>
      <c r="D17013" t="s">
        <v>20</v>
      </c>
      <c r="E17013" t="s">
        <v>39</v>
      </c>
      <c r="F17013">
        <v>0</v>
      </c>
      <c r="G17013">
        <v>0</v>
      </c>
      <c r="H17013">
        <v>4</v>
      </c>
      <c r="I17013" s="3">
        <v>3951.51</v>
      </c>
      <c r="J17013" s="3">
        <v>543.57000000000005</v>
      </c>
      <c r="L17013">
        <v>866</v>
      </c>
      <c r="M17013" t="s">
        <v>36371</v>
      </c>
      <c r="N17013" t="s">
        <v>10447</v>
      </c>
      <c r="O17013" t="s">
        <v>200</v>
      </c>
      <c r="P17013" t="str">
        <f>"10474"</f>
        <v>10474</v>
      </c>
    </row>
    <row r="17014" spans="1:16" x14ac:dyDescent="0.25">
      <c r="A17014" t="str">
        <f>"1250046R00047    00"</f>
        <v>1250046R00047    00</v>
      </c>
      <c r="B17014" t="s">
        <v>37122</v>
      </c>
      <c r="C17014" t="s">
        <v>37117</v>
      </c>
      <c r="D17014" t="s">
        <v>20</v>
      </c>
      <c r="E17014" t="s">
        <v>39</v>
      </c>
      <c r="F17014">
        <v>0</v>
      </c>
      <c r="G17014">
        <v>0</v>
      </c>
      <c r="H17014">
        <v>19</v>
      </c>
      <c r="I17014" s="3">
        <v>6824.28</v>
      </c>
      <c r="J17014" s="3">
        <v>3785.74</v>
      </c>
      <c r="L17014">
        <v>1122</v>
      </c>
      <c r="M17014" t="s">
        <v>37123</v>
      </c>
      <c r="N17014" t="s">
        <v>30</v>
      </c>
      <c r="O17014" t="s">
        <v>31</v>
      </c>
      <c r="P17014" t="str">
        <f>"15216"</f>
        <v>15216</v>
      </c>
    </row>
    <row r="17015" spans="1:16" x14ac:dyDescent="0.25">
      <c r="A17015" t="str">
        <f>"1250046R00064    00"</f>
        <v>1250046R00064    00</v>
      </c>
      <c r="B17015" t="s">
        <v>37124</v>
      </c>
      <c r="C17015" t="s">
        <v>37125</v>
      </c>
      <c r="D17015" t="s">
        <v>20</v>
      </c>
      <c r="E17015" t="s">
        <v>39</v>
      </c>
      <c r="F17015">
        <v>0</v>
      </c>
      <c r="G17015">
        <v>0</v>
      </c>
      <c r="H17015">
        <v>19</v>
      </c>
      <c r="I17015" s="3">
        <v>22448.57</v>
      </c>
      <c r="J17015" s="3">
        <v>20249.45</v>
      </c>
      <c r="L17015">
        <v>3520</v>
      </c>
      <c r="M17015" t="s">
        <v>17198</v>
      </c>
      <c r="N17015" t="s">
        <v>30</v>
      </c>
      <c r="O17015" t="s">
        <v>31</v>
      </c>
      <c r="P17015" t="str">
        <f>"15212"</f>
        <v>15212</v>
      </c>
    </row>
    <row r="17016" spans="1:16" x14ac:dyDescent="0.25">
      <c r="A17016" t="str">
        <f>"1250046R00074    00"</f>
        <v>1250046R00074    00</v>
      </c>
      <c r="B17016" t="s">
        <v>37126</v>
      </c>
      <c r="C17016" t="s">
        <v>37127</v>
      </c>
      <c r="D17016" t="s">
        <v>20</v>
      </c>
      <c r="E17016" t="s">
        <v>39</v>
      </c>
      <c r="F17016">
        <v>0</v>
      </c>
      <c r="G17016">
        <v>0</v>
      </c>
      <c r="H17016">
        <v>12</v>
      </c>
      <c r="I17016" s="3">
        <v>15722.29</v>
      </c>
      <c r="J17016" s="3">
        <v>8094.97</v>
      </c>
      <c r="L17016">
        <v>1900</v>
      </c>
      <c r="M17016" t="s">
        <v>33279</v>
      </c>
      <c r="N17016" t="s">
        <v>30</v>
      </c>
      <c r="O17016" t="s">
        <v>31</v>
      </c>
      <c r="P17016" t="str">
        <f>"15214"</f>
        <v>15214</v>
      </c>
    </row>
    <row r="17017" spans="1:16" x14ac:dyDescent="0.25">
      <c r="A17017" t="str">
        <f>"1250046R00104    00"</f>
        <v>1250046R00104    00</v>
      </c>
      <c r="B17017" t="s">
        <v>7414</v>
      </c>
      <c r="C17017" t="s">
        <v>37128</v>
      </c>
      <c r="D17017" t="s">
        <v>5698</v>
      </c>
      <c r="E17017" t="s">
        <v>39</v>
      </c>
      <c r="F17017">
        <v>0</v>
      </c>
      <c r="G17017">
        <v>0</v>
      </c>
      <c r="H17017">
        <v>14</v>
      </c>
      <c r="I17017" s="3">
        <v>519.41999999999996</v>
      </c>
      <c r="J17017" s="3">
        <v>699.26</v>
      </c>
      <c r="K17017" t="s">
        <v>7416</v>
      </c>
      <c r="L17017">
        <v>422</v>
      </c>
      <c r="M17017" t="s">
        <v>1352</v>
      </c>
      <c r="N17017" t="s">
        <v>1353</v>
      </c>
      <c r="O17017" t="s">
        <v>31</v>
      </c>
      <c r="P17017" t="str">
        <f>"15085"</f>
        <v>15085</v>
      </c>
    </row>
    <row r="17018" spans="1:16" x14ac:dyDescent="0.25">
      <c r="A17018" t="str">
        <f>"1250046R00107    00"</f>
        <v>1250046R00107    00</v>
      </c>
      <c r="B17018" t="s">
        <v>37129</v>
      </c>
      <c r="C17018" t="s">
        <v>36329</v>
      </c>
      <c r="D17018" t="s">
        <v>20</v>
      </c>
      <c r="E17018" t="s">
        <v>39</v>
      </c>
      <c r="F17018">
        <v>0</v>
      </c>
      <c r="G17018">
        <v>0</v>
      </c>
      <c r="H17018">
        <v>3</v>
      </c>
      <c r="I17018" s="3">
        <v>22.54</v>
      </c>
      <c r="J17018" s="3">
        <v>2.19</v>
      </c>
      <c r="L17018">
        <v>619</v>
      </c>
      <c r="M17018" t="s">
        <v>37130</v>
      </c>
      <c r="N17018" t="s">
        <v>30</v>
      </c>
      <c r="O17018" t="s">
        <v>31</v>
      </c>
      <c r="P17018" t="str">
        <f>"15215"</f>
        <v>15215</v>
      </c>
    </row>
    <row r="17019" spans="1:16" x14ac:dyDescent="0.25">
      <c r="A17019" t="str">
        <f>"1250046R00108    00"</f>
        <v>1250046R00108    00</v>
      </c>
      <c r="B17019" t="s">
        <v>37129</v>
      </c>
      <c r="C17019" t="s">
        <v>37131</v>
      </c>
      <c r="D17019" t="s">
        <v>20</v>
      </c>
      <c r="E17019" t="s">
        <v>39</v>
      </c>
      <c r="F17019">
        <v>0</v>
      </c>
      <c r="G17019">
        <v>0</v>
      </c>
      <c r="H17019">
        <v>3</v>
      </c>
      <c r="I17019" s="3">
        <v>824.79</v>
      </c>
      <c r="J17019" s="3">
        <v>74.81</v>
      </c>
      <c r="L17019">
        <v>619</v>
      </c>
      <c r="M17019" t="s">
        <v>37130</v>
      </c>
      <c r="N17019" t="s">
        <v>30</v>
      </c>
      <c r="O17019" t="s">
        <v>31</v>
      </c>
      <c r="P17019" t="str">
        <f>"15215"</f>
        <v>15215</v>
      </c>
    </row>
    <row r="17020" spans="1:16" x14ac:dyDescent="0.25">
      <c r="A17020" t="str">
        <f>"1250046R00116    00"</f>
        <v>1250046R00116    00</v>
      </c>
      <c r="B17020" t="s">
        <v>37132</v>
      </c>
      <c r="C17020" t="s">
        <v>37133</v>
      </c>
      <c r="D17020" t="s">
        <v>20</v>
      </c>
      <c r="E17020" t="s">
        <v>39</v>
      </c>
      <c r="F17020">
        <v>0</v>
      </c>
      <c r="G17020">
        <v>0</v>
      </c>
      <c r="H17020">
        <v>4</v>
      </c>
      <c r="I17020" s="3">
        <v>2078.37</v>
      </c>
      <c r="J17020" s="3">
        <v>229.66</v>
      </c>
      <c r="L17020">
        <v>806</v>
      </c>
      <c r="M17020" t="s">
        <v>11611</v>
      </c>
      <c r="N17020" t="s">
        <v>30</v>
      </c>
      <c r="O17020" t="s">
        <v>31</v>
      </c>
      <c r="P17020" t="str">
        <f>"15211"</f>
        <v>15211</v>
      </c>
    </row>
    <row r="17021" spans="1:16" x14ac:dyDescent="0.25">
      <c r="A17021" t="str">
        <f>"1250046R00117    00"</f>
        <v>1250046R00117    00</v>
      </c>
      <c r="B17021" t="s">
        <v>37134</v>
      </c>
      <c r="C17021" t="s">
        <v>37135</v>
      </c>
      <c r="D17021" t="s">
        <v>20</v>
      </c>
      <c r="E17021" t="s">
        <v>39</v>
      </c>
      <c r="F17021">
        <v>0</v>
      </c>
      <c r="G17021">
        <v>0</v>
      </c>
      <c r="H17021">
        <v>10</v>
      </c>
      <c r="I17021" s="3">
        <v>5178.6000000000004</v>
      </c>
      <c r="J17021" s="3">
        <v>2217.37</v>
      </c>
      <c r="L17021">
        <v>433</v>
      </c>
      <c r="M17021" t="s">
        <v>37136</v>
      </c>
      <c r="N17021" t="s">
        <v>30</v>
      </c>
      <c r="O17021" t="s">
        <v>31</v>
      </c>
      <c r="P17021" t="str">
        <f>"15202"</f>
        <v>15202</v>
      </c>
    </row>
    <row r="17022" spans="1:16" x14ac:dyDescent="0.25">
      <c r="A17022" t="str">
        <f>"1250046R00122    00"</f>
        <v>1250046R00122    00</v>
      </c>
      <c r="B17022" t="s">
        <v>37137</v>
      </c>
      <c r="C17022" t="s">
        <v>37138</v>
      </c>
      <c r="D17022" t="s">
        <v>20</v>
      </c>
      <c r="E17022" t="s">
        <v>39</v>
      </c>
      <c r="F17022">
        <v>0</v>
      </c>
      <c r="G17022">
        <v>0</v>
      </c>
      <c r="H17022">
        <v>16</v>
      </c>
      <c r="I17022" s="3">
        <v>14052.24</v>
      </c>
      <c r="J17022" s="3">
        <v>10149.06</v>
      </c>
      <c r="L17022">
        <v>197</v>
      </c>
      <c r="M17022" t="s">
        <v>37139</v>
      </c>
      <c r="N17022" t="s">
        <v>30</v>
      </c>
      <c r="O17022" t="s">
        <v>31</v>
      </c>
      <c r="P17022" t="str">
        <f>"15202"</f>
        <v>15202</v>
      </c>
    </row>
    <row r="17023" spans="1:16" x14ac:dyDescent="0.25">
      <c r="A17023" t="str">
        <f>"1250046R00123    00"</f>
        <v>1250046R00123    00</v>
      </c>
      <c r="B17023" t="s">
        <v>37140</v>
      </c>
      <c r="C17023" t="s">
        <v>37141</v>
      </c>
      <c r="D17023" t="s">
        <v>20</v>
      </c>
      <c r="E17023" t="s">
        <v>39</v>
      </c>
      <c r="F17023">
        <v>0</v>
      </c>
      <c r="G17023">
        <v>0</v>
      </c>
      <c r="H17023">
        <v>14</v>
      </c>
      <c r="I17023" s="3">
        <v>8048.12</v>
      </c>
      <c r="J17023" s="3">
        <v>4306.8100000000004</v>
      </c>
      <c r="M17023" t="s">
        <v>37142</v>
      </c>
      <c r="N17023" t="s">
        <v>2176</v>
      </c>
      <c r="O17023" t="s">
        <v>273</v>
      </c>
      <c r="P17023" t="str">
        <f>"29572"</f>
        <v>29572</v>
      </c>
    </row>
    <row r="17024" spans="1:16" x14ac:dyDescent="0.25">
      <c r="A17024" t="str">
        <f>"1250046R00134    00"</f>
        <v>1250046R00134    00</v>
      </c>
      <c r="B17024" t="s">
        <v>37143</v>
      </c>
      <c r="C17024" t="s">
        <v>37144</v>
      </c>
      <c r="D17024" t="s">
        <v>20</v>
      </c>
      <c r="E17024" t="s">
        <v>39</v>
      </c>
      <c r="F17024">
        <v>0</v>
      </c>
      <c r="G17024">
        <v>0</v>
      </c>
      <c r="H17024">
        <v>1</v>
      </c>
      <c r="I17024" s="3">
        <v>613.73</v>
      </c>
      <c r="J17024" s="3">
        <v>0</v>
      </c>
      <c r="L17024">
        <v>2230</v>
      </c>
      <c r="M17024" t="s">
        <v>36867</v>
      </c>
      <c r="N17024" t="s">
        <v>30</v>
      </c>
      <c r="O17024" t="s">
        <v>31</v>
      </c>
      <c r="P17024" t="str">
        <f>"15214"</f>
        <v>15214</v>
      </c>
    </row>
    <row r="17025" spans="1:16" x14ac:dyDescent="0.25">
      <c r="A17025" t="str">
        <f>"1250046R00137    00"</f>
        <v>1250046R00137    00</v>
      </c>
      <c r="B17025" t="s">
        <v>37145</v>
      </c>
      <c r="C17025" t="s">
        <v>37146</v>
      </c>
      <c r="E17025" t="s">
        <v>39</v>
      </c>
      <c r="F17025">
        <v>0</v>
      </c>
      <c r="G17025">
        <v>0</v>
      </c>
      <c r="H17025">
        <v>2</v>
      </c>
      <c r="I17025" s="3">
        <v>1266.08</v>
      </c>
      <c r="J17025" s="3">
        <v>253.35</v>
      </c>
      <c r="L17025">
        <v>2013</v>
      </c>
      <c r="M17025" t="s">
        <v>4514</v>
      </c>
      <c r="N17025" t="s">
        <v>30</v>
      </c>
      <c r="O17025" t="s">
        <v>31</v>
      </c>
      <c r="P17025" t="str">
        <f>"15214"</f>
        <v>15214</v>
      </c>
    </row>
    <row r="17026" spans="1:16" x14ac:dyDescent="0.25">
      <c r="A17026" t="str">
        <f>"1250046R00150    00"</f>
        <v>1250046R00150    00</v>
      </c>
      <c r="B17026" t="s">
        <v>37147</v>
      </c>
      <c r="C17026" t="s">
        <v>37148</v>
      </c>
      <c r="D17026" t="s">
        <v>20</v>
      </c>
      <c r="E17026" t="s">
        <v>39</v>
      </c>
      <c r="F17026">
        <v>0</v>
      </c>
      <c r="G17026">
        <v>0</v>
      </c>
      <c r="H17026">
        <v>2</v>
      </c>
      <c r="I17026" s="3">
        <v>9917.4</v>
      </c>
      <c r="J17026" s="3">
        <v>109.82</v>
      </c>
      <c r="L17026">
        <v>2022</v>
      </c>
      <c r="M17026" t="s">
        <v>4514</v>
      </c>
      <c r="N17026" t="s">
        <v>30</v>
      </c>
      <c r="O17026" t="s">
        <v>31</v>
      </c>
      <c r="P17026" t="str">
        <f>"15214"</f>
        <v>15214</v>
      </c>
    </row>
    <row r="17027" spans="1:16" x14ac:dyDescent="0.25">
      <c r="A17027" t="str">
        <f>"1250046R00172    00"</f>
        <v>1250046R00172    00</v>
      </c>
      <c r="B17027" t="s">
        <v>37149</v>
      </c>
      <c r="C17027" t="s">
        <v>37150</v>
      </c>
      <c r="D17027" t="s">
        <v>20</v>
      </c>
      <c r="E17027" t="s">
        <v>39</v>
      </c>
      <c r="F17027">
        <v>0</v>
      </c>
      <c r="G17027">
        <v>0</v>
      </c>
      <c r="H17027">
        <v>1</v>
      </c>
      <c r="I17027" s="3">
        <v>1665.85</v>
      </c>
      <c r="J17027" s="3">
        <v>0</v>
      </c>
      <c r="L17027">
        <v>2714</v>
      </c>
      <c r="M17027" t="s">
        <v>37151</v>
      </c>
      <c r="N17027" t="s">
        <v>13328</v>
      </c>
      <c r="O17027" t="s">
        <v>108</v>
      </c>
      <c r="P17027" t="str">
        <f>"77494"</f>
        <v>77494</v>
      </c>
    </row>
    <row r="17028" spans="1:16" x14ac:dyDescent="0.25">
      <c r="A17028" t="str">
        <f>"1250046R00187    00"</f>
        <v>1250046R00187    00</v>
      </c>
      <c r="B17028" t="s">
        <v>37152</v>
      </c>
      <c r="C17028" t="s">
        <v>37153</v>
      </c>
      <c r="E17028" t="s">
        <v>39</v>
      </c>
      <c r="F17028">
        <v>0</v>
      </c>
      <c r="G17028">
        <v>0</v>
      </c>
      <c r="H17028">
        <v>2</v>
      </c>
      <c r="I17028" s="3">
        <v>728.12</v>
      </c>
      <c r="J17028" s="3">
        <v>57.64</v>
      </c>
      <c r="K17028" t="s">
        <v>37154</v>
      </c>
      <c r="M17028" t="s">
        <v>37155</v>
      </c>
      <c r="N17028" t="s">
        <v>30</v>
      </c>
      <c r="O17028" t="s">
        <v>31</v>
      </c>
      <c r="P17028" t="str">
        <f>"15212"</f>
        <v>15212</v>
      </c>
    </row>
    <row r="17029" spans="1:16" x14ac:dyDescent="0.25">
      <c r="A17029" t="str">
        <f>"1250046R00188    00"</f>
        <v>1250046R00188    00</v>
      </c>
      <c r="B17029" t="s">
        <v>37152</v>
      </c>
      <c r="C17029" t="s">
        <v>37156</v>
      </c>
      <c r="D17029" t="s">
        <v>20</v>
      </c>
      <c r="E17029" t="s">
        <v>39</v>
      </c>
      <c r="F17029">
        <v>0</v>
      </c>
      <c r="G17029">
        <v>0</v>
      </c>
      <c r="H17029">
        <v>2</v>
      </c>
      <c r="I17029" s="3">
        <v>19.079999999999998</v>
      </c>
      <c r="J17029" s="3">
        <v>1.51</v>
      </c>
      <c r="K17029" t="s">
        <v>37154</v>
      </c>
      <c r="M17029" t="s">
        <v>37155</v>
      </c>
      <c r="N17029" t="s">
        <v>30</v>
      </c>
      <c r="O17029" t="s">
        <v>31</v>
      </c>
      <c r="P17029" t="str">
        <f>"15212"</f>
        <v>15212</v>
      </c>
    </row>
    <row r="17030" spans="1:16" x14ac:dyDescent="0.25">
      <c r="A17030" t="str">
        <f>"1250046R00190    00"</f>
        <v>1250046R00190    00</v>
      </c>
      <c r="B17030" t="s">
        <v>37157</v>
      </c>
      <c r="C17030" t="s">
        <v>37158</v>
      </c>
      <c r="D17030" t="s">
        <v>20</v>
      </c>
      <c r="E17030" t="s">
        <v>39</v>
      </c>
      <c r="F17030">
        <v>0</v>
      </c>
      <c r="G17030">
        <v>0</v>
      </c>
      <c r="H17030">
        <v>1</v>
      </c>
      <c r="I17030" s="3">
        <v>823.41</v>
      </c>
      <c r="J17030" s="3">
        <v>0</v>
      </c>
      <c r="L17030">
        <v>32</v>
      </c>
      <c r="M17030" t="s">
        <v>25391</v>
      </c>
      <c r="N17030" t="s">
        <v>30</v>
      </c>
      <c r="O17030" t="s">
        <v>31</v>
      </c>
      <c r="P17030" t="str">
        <f>"15237"</f>
        <v>15237</v>
      </c>
    </row>
    <row r="17031" spans="1:16" x14ac:dyDescent="0.25">
      <c r="A17031" t="str">
        <f>"1250046R00194    00"</f>
        <v>1250046R00194    00</v>
      </c>
      <c r="B17031" t="s">
        <v>37159</v>
      </c>
      <c r="C17031" t="s">
        <v>37160</v>
      </c>
      <c r="D17031" t="s">
        <v>20</v>
      </c>
      <c r="E17031" t="s">
        <v>39</v>
      </c>
      <c r="F17031">
        <v>0</v>
      </c>
      <c r="G17031">
        <v>0</v>
      </c>
      <c r="H17031">
        <v>8</v>
      </c>
      <c r="I17031" s="3">
        <v>6716.73</v>
      </c>
      <c r="J17031" s="3">
        <v>2094.16</v>
      </c>
      <c r="L17031">
        <v>101</v>
      </c>
      <c r="M17031" t="s">
        <v>37161</v>
      </c>
      <c r="N17031" t="s">
        <v>4150</v>
      </c>
      <c r="O17031" t="s">
        <v>31</v>
      </c>
      <c r="P17031" t="str">
        <f>"15116"</f>
        <v>15116</v>
      </c>
    </row>
    <row r="17032" spans="1:16" x14ac:dyDescent="0.25">
      <c r="A17032" t="str">
        <f>"1250046R00299    00"</f>
        <v>1250046R00299    00</v>
      </c>
      <c r="B17032" t="s">
        <v>37162</v>
      </c>
      <c r="C17032" t="s">
        <v>37163</v>
      </c>
      <c r="D17032" t="s">
        <v>20</v>
      </c>
      <c r="E17032" t="s">
        <v>21</v>
      </c>
      <c r="F17032">
        <v>0</v>
      </c>
      <c r="G17032">
        <v>0</v>
      </c>
      <c r="H17032">
        <v>11</v>
      </c>
      <c r="I17032" s="3">
        <v>367.18</v>
      </c>
      <c r="J17032" s="3">
        <v>353.5</v>
      </c>
      <c r="K17032" t="s">
        <v>37164</v>
      </c>
      <c r="P17032" t="str">
        <f>""</f>
        <v/>
      </c>
    </row>
    <row r="17033" spans="1:16" x14ac:dyDescent="0.25">
      <c r="A17033" t="str">
        <f>"1250046R00300    00"</f>
        <v>1250046R00300    00</v>
      </c>
      <c r="B17033" t="s">
        <v>37165</v>
      </c>
      <c r="C17033" t="s">
        <v>37163</v>
      </c>
      <c r="D17033" t="s">
        <v>20</v>
      </c>
      <c r="E17033" t="s">
        <v>39</v>
      </c>
      <c r="F17033">
        <v>0</v>
      </c>
      <c r="G17033">
        <v>0</v>
      </c>
      <c r="H17033">
        <v>1</v>
      </c>
      <c r="I17033" s="3">
        <v>575.61</v>
      </c>
      <c r="J17033" s="3">
        <v>0</v>
      </c>
      <c r="L17033">
        <v>10529</v>
      </c>
      <c r="M17033" t="s">
        <v>37166</v>
      </c>
      <c r="N17033" t="s">
        <v>37167</v>
      </c>
      <c r="O17033" t="s">
        <v>495</v>
      </c>
      <c r="P17033" t="str">
        <f>"91326"</f>
        <v>91326</v>
      </c>
    </row>
    <row r="17034" spans="1:16" x14ac:dyDescent="0.25">
      <c r="A17034" t="str">
        <f>"1250046R00301    00"</f>
        <v>1250046R00301    00</v>
      </c>
      <c r="B17034" t="s">
        <v>36911</v>
      </c>
      <c r="C17034" t="s">
        <v>37168</v>
      </c>
      <c r="D17034" t="s">
        <v>20</v>
      </c>
      <c r="E17034" t="s">
        <v>39</v>
      </c>
      <c r="F17034">
        <v>0</v>
      </c>
      <c r="G17034">
        <v>0</v>
      </c>
      <c r="H17034">
        <v>1</v>
      </c>
      <c r="I17034" s="3">
        <v>27.2</v>
      </c>
      <c r="J17034" s="3">
        <v>5.44</v>
      </c>
      <c r="L17034">
        <v>727</v>
      </c>
      <c r="M17034" t="s">
        <v>17413</v>
      </c>
      <c r="N17034" t="s">
        <v>30</v>
      </c>
      <c r="O17034" t="s">
        <v>31</v>
      </c>
      <c r="P17034" t="str">
        <f>"15221"</f>
        <v>15221</v>
      </c>
    </row>
    <row r="17035" spans="1:16" x14ac:dyDescent="0.25">
      <c r="A17035" t="str">
        <f>"1250046R00305    00"</f>
        <v>1250046R00305    00</v>
      </c>
      <c r="B17035" t="s">
        <v>37169</v>
      </c>
      <c r="C17035" t="s">
        <v>37170</v>
      </c>
      <c r="D17035" t="s">
        <v>20</v>
      </c>
      <c r="E17035" t="s">
        <v>39</v>
      </c>
      <c r="F17035">
        <v>0</v>
      </c>
      <c r="G17035">
        <v>0</v>
      </c>
      <c r="H17035">
        <v>3</v>
      </c>
      <c r="I17035" s="3">
        <v>2716.22</v>
      </c>
      <c r="J17035" s="3">
        <v>197.75</v>
      </c>
      <c r="L17035">
        <v>32488</v>
      </c>
      <c r="M17035" t="s">
        <v>12364</v>
      </c>
      <c r="N17035" t="s">
        <v>37171</v>
      </c>
      <c r="O17035" t="s">
        <v>692</v>
      </c>
      <c r="P17035" t="str">
        <f>"23315"</f>
        <v>23315</v>
      </c>
    </row>
    <row r="17036" spans="1:16" x14ac:dyDescent="0.25">
      <c r="A17036" t="str">
        <f>"1250046R00309    00"</f>
        <v>1250046R00309    00</v>
      </c>
      <c r="B17036" t="s">
        <v>37172</v>
      </c>
      <c r="C17036" t="s">
        <v>37173</v>
      </c>
      <c r="D17036" t="s">
        <v>20</v>
      </c>
      <c r="E17036" t="s">
        <v>39</v>
      </c>
      <c r="F17036">
        <v>0</v>
      </c>
      <c r="G17036">
        <v>0</v>
      </c>
      <c r="H17036">
        <v>12</v>
      </c>
      <c r="I17036" s="3">
        <v>8049.61</v>
      </c>
      <c r="J17036" s="3">
        <v>4215.97</v>
      </c>
      <c r="L17036">
        <v>356</v>
      </c>
      <c r="M17036" t="s">
        <v>37174</v>
      </c>
      <c r="N17036" t="s">
        <v>30</v>
      </c>
      <c r="O17036" t="s">
        <v>31</v>
      </c>
      <c r="P17036" t="str">
        <f>"15212"</f>
        <v>15212</v>
      </c>
    </row>
    <row r="17037" spans="1:16" x14ac:dyDescent="0.25">
      <c r="A17037" t="str">
        <f>"1250046R00326    00"</f>
        <v>1250046R00326    00</v>
      </c>
      <c r="B17037" t="s">
        <v>37175</v>
      </c>
      <c r="C17037" t="s">
        <v>37176</v>
      </c>
      <c r="E17037" t="s">
        <v>39</v>
      </c>
      <c r="F17037">
        <v>0</v>
      </c>
      <c r="G17037">
        <v>0</v>
      </c>
      <c r="H17037">
        <v>2</v>
      </c>
      <c r="I17037" s="3">
        <v>474.91</v>
      </c>
      <c r="J17037" s="3">
        <v>205.43</v>
      </c>
      <c r="K17037" t="s">
        <v>37177</v>
      </c>
      <c r="L17037">
        <v>357</v>
      </c>
      <c r="M17037" t="s">
        <v>37178</v>
      </c>
      <c r="N17037" t="s">
        <v>30</v>
      </c>
      <c r="O17037" t="s">
        <v>31</v>
      </c>
      <c r="P17037" t="str">
        <f>"15214"</f>
        <v>15214</v>
      </c>
    </row>
    <row r="17038" spans="1:16" x14ac:dyDescent="0.25">
      <c r="A17038" t="str">
        <f>"1250046S00144    00"</f>
        <v>1250046S00144    00</v>
      </c>
      <c r="B17038" t="s">
        <v>37179</v>
      </c>
      <c r="C17038" t="s">
        <v>37180</v>
      </c>
      <c r="D17038" t="s">
        <v>20</v>
      </c>
      <c r="E17038" t="s">
        <v>39</v>
      </c>
      <c r="F17038">
        <v>0</v>
      </c>
      <c r="G17038">
        <v>0</v>
      </c>
      <c r="H17038">
        <v>11</v>
      </c>
      <c r="I17038" s="3">
        <v>10897</v>
      </c>
      <c r="J17038" s="3">
        <v>4363.3900000000003</v>
      </c>
      <c r="L17038">
        <v>648</v>
      </c>
      <c r="M17038" t="s">
        <v>37181</v>
      </c>
      <c r="N17038" t="s">
        <v>30</v>
      </c>
      <c r="O17038" t="s">
        <v>31</v>
      </c>
      <c r="P17038" t="str">
        <f>"15212"</f>
        <v>15212</v>
      </c>
    </row>
    <row r="17039" spans="1:16" x14ac:dyDescent="0.25">
      <c r="A17039" t="str">
        <f>"1250046S00146    00"</f>
        <v>1250046S00146    00</v>
      </c>
      <c r="B17039" t="s">
        <v>37182</v>
      </c>
      <c r="C17039" t="s">
        <v>37183</v>
      </c>
      <c r="D17039" t="s">
        <v>20</v>
      </c>
      <c r="E17039" t="s">
        <v>39</v>
      </c>
      <c r="F17039">
        <v>0</v>
      </c>
      <c r="G17039">
        <v>0</v>
      </c>
      <c r="H17039">
        <v>1</v>
      </c>
      <c r="I17039" s="3">
        <v>1287.03</v>
      </c>
      <c r="J17039" s="3">
        <v>0</v>
      </c>
      <c r="K17039" t="s">
        <v>37184</v>
      </c>
      <c r="L17039">
        <v>646</v>
      </c>
      <c r="M17039" t="s">
        <v>37181</v>
      </c>
      <c r="N17039" t="s">
        <v>30</v>
      </c>
      <c r="O17039" t="s">
        <v>31</v>
      </c>
      <c r="P17039" t="str">
        <f>"15212"</f>
        <v>15212</v>
      </c>
    </row>
    <row r="17040" spans="1:16" x14ac:dyDescent="0.25">
      <c r="A17040" t="str">
        <f>"1250046S00148    00"</f>
        <v>1250046S00148    00</v>
      </c>
      <c r="B17040" t="s">
        <v>37185</v>
      </c>
      <c r="C17040" t="s">
        <v>37186</v>
      </c>
      <c r="D17040" t="s">
        <v>20</v>
      </c>
      <c r="E17040" t="s">
        <v>39</v>
      </c>
      <c r="F17040">
        <v>0</v>
      </c>
      <c r="G17040">
        <v>0</v>
      </c>
      <c r="H17040">
        <v>1</v>
      </c>
      <c r="I17040" s="3">
        <v>1620.1</v>
      </c>
      <c r="J17040" s="3">
        <v>0</v>
      </c>
      <c r="L17040">
        <v>646</v>
      </c>
      <c r="M17040" t="s">
        <v>37181</v>
      </c>
      <c r="N17040" t="s">
        <v>30</v>
      </c>
      <c r="O17040" t="s">
        <v>31</v>
      </c>
      <c r="P17040" t="str">
        <f>"15212"</f>
        <v>15212</v>
      </c>
    </row>
    <row r="17041" spans="1:16" x14ac:dyDescent="0.25">
      <c r="A17041" t="str">
        <f>"1250046S00156    00"</f>
        <v>1250046S00156    00</v>
      </c>
      <c r="B17041" t="s">
        <v>37187</v>
      </c>
      <c r="C17041" t="s">
        <v>37188</v>
      </c>
      <c r="D17041" t="s">
        <v>20</v>
      </c>
      <c r="E17041" t="s">
        <v>39</v>
      </c>
      <c r="F17041">
        <v>0</v>
      </c>
      <c r="G17041">
        <v>0</v>
      </c>
      <c r="H17041">
        <v>19</v>
      </c>
      <c r="I17041" s="3">
        <v>11108.53</v>
      </c>
      <c r="J17041" s="3">
        <v>8955.7900000000009</v>
      </c>
      <c r="L17041">
        <v>1350</v>
      </c>
      <c r="M17041" t="s">
        <v>32027</v>
      </c>
      <c r="N17041" t="s">
        <v>903</v>
      </c>
      <c r="O17041" t="s">
        <v>31</v>
      </c>
      <c r="P17041" t="str">
        <f>"15136"</f>
        <v>15136</v>
      </c>
    </row>
    <row r="17042" spans="1:16" x14ac:dyDescent="0.25">
      <c r="A17042" t="str">
        <f>"1250046S00208    00"</f>
        <v>1250046S00208    00</v>
      </c>
      <c r="B17042" t="s">
        <v>37189</v>
      </c>
      <c r="C17042" t="s">
        <v>37190</v>
      </c>
      <c r="D17042" t="s">
        <v>20</v>
      </c>
      <c r="E17042" t="s">
        <v>39</v>
      </c>
      <c r="F17042">
        <v>0</v>
      </c>
      <c r="G17042">
        <v>0</v>
      </c>
      <c r="H17042">
        <v>10</v>
      </c>
      <c r="I17042" s="3">
        <v>9275.8799999999992</v>
      </c>
      <c r="J17042" s="3">
        <v>3988.27</v>
      </c>
      <c r="L17042">
        <v>643</v>
      </c>
      <c r="M17042" t="s">
        <v>37178</v>
      </c>
      <c r="N17042" t="s">
        <v>30</v>
      </c>
      <c r="O17042" t="s">
        <v>31</v>
      </c>
      <c r="P17042" t="str">
        <f>"15212"</f>
        <v>15212</v>
      </c>
    </row>
    <row r="17043" spans="1:16" x14ac:dyDescent="0.25">
      <c r="A17043" t="str">
        <f>"1250046S00223    00"</f>
        <v>1250046S00223    00</v>
      </c>
      <c r="B17043" t="s">
        <v>37191</v>
      </c>
      <c r="C17043" t="s">
        <v>37192</v>
      </c>
      <c r="D17043" t="s">
        <v>20</v>
      </c>
      <c r="E17043" t="s">
        <v>39</v>
      </c>
      <c r="F17043">
        <v>0</v>
      </c>
      <c r="G17043">
        <v>0</v>
      </c>
      <c r="H17043">
        <v>11</v>
      </c>
      <c r="I17043" s="3">
        <v>8549.8700000000008</v>
      </c>
      <c r="J17043" s="3">
        <v>4080.54</v>
      </c>
      <c r="L17043">
        <v>22</v>
      </c>
      <c r="M17043" t="s">
        <v>37193</v>
      </c>
      <c r="N17043" t="s">
        <v>30</v>
      </c>
      <c r="O17043" t="s">
        <v>31</v>
      </c>
      <c r="P17043" t="str">
        <f>"15212"</f>
        <v>15212</v>
      </c>
    </row>
    <row r="17044" spans="1:16" x14ac:dyDescent="0.25">
      <c r="A17044" t="str">
        <f>"1250046S00260    00"</f>
        <v>1250046S00260    00</v>
      </c>
      <c r="B17044" t="s">
        <v>37194</v>
      </c>
      <c r="C17044" t="s">
        <v>37156</v>
      </c>
      <c r="D17044" t="s">
        <v>20</v>
      </c>
      <c r="E17044" t="s">
        <v>39</v>
      </c>
      <c r="F17044">
        <v>0</v>
      </c>
      <c r="G17044">
        <v>0</v>
      </c>
      <c r="H17044">
        <v>19</v>
      </c>
      <c r="I17044" s="3">
        <v>4749.92</v>
      </c>
      <c r="J17044" s="3">
        <v>2656.41</v>
      </c>
      <c r="L17044">
        <v>2503</v>
      </c>
      <c r="M17044" t="s">
        <v>37195</v>
      </c>
      <c r="N17044" t="s">
        <v>321</v>
      </c>
      <c r="O17044" t="s">
        <v>31</v>
      </c>
      <c r="P17044" t="str">
        <f>"15001"</f>
        <v>15001</v>
      </c>
    </row>
    <row r="17045" spans="1:16" x14ac:dyDescent="0.25">
      <c r="A17045" t="str">
        <f>"1250046S00262    00"</f>
        <v>1250046S00262    00</v>
      </c>
      <c r="B17045" t="s">
        <v>37196</v>
      </c>
      <c r="C17045" t="s">
        <v>37197</v>
      </c>
      <c r="D17045" t="s">
        <v>20</v>
      </c>
      <c r="E17045" t="s">
        <v>39</v>
      </c>
      <c r="F17045">
        <v>0</v>
      </c>
      <c r="G17045">
        <v>0</v>
      </c>
      <c r="H17045">
        <v>18</v>
      </c>
      <c r="I17045" s="3">
        <v>6370.78</v>
      </c>
      <c r="J17045" s="3">
        <v>3652.59</v>
      </c>
      <c r="L17045">
        <v>212</v>
      </c>
      <c r="M17045" t="s">
        <v>13961</v>
      </c>
      <c r="N17045" t="s">
        <v>30</v>
      </c>
      <c r="O17045" t="s">
        <v>31</v>
      </c>
      <c r="P17045" t="str">
        <f>"15202"</f>
        <v>15202</v>
      </c>
    </row>
    <row r="17046" spans="1:16" x14ac:dyDescent="0.25">
      <c r="A17046" t="str">
        <f>"1250046S00264    00"</f>
        <v>1250046S00264    00</v>
      </c>
      <c r="B17046" t="s">
        <v>37198</v>
      </c>
      <c r="C17046" t="s">
        <v>37199</v>
      </c>
      <c r="D17046" t="s">
        <v>20</v>
      </c>
      <c r="E17046" t="s">
        <v>39</v>
      </c>
      <c r="F17046">
        <v>0</v>
      </c>
      <c r="G17046">
        <v>0</v>
      </c>
      <c r="H17046">
        <v>5</v>
      </c>
      <c r="I17046" s="3">
        <v>4481.18</v>
      </c>
      <c r="J17046" s="3">
        <v>958.76</v>
      </c>
      <c r="L17046">
        <v>1938</v>
      </c>
      <c r="M17046" t="s">
        <v>37200</v>
      </c>
      <c r="N17046" t="s">
        <v>30</v>
      </c>
      <c r="O17046" t="s">
        <v>31</v>
      </c>
      <c r="P17046" t="str">
        <f>"15212"</f>
        <v>15212</v>
      </c>
    </row>
    <row r="17047" spans="1:16" x14ac:dyDescent="0.25">
      <c r="A17047" t="str">
        <f>"1250046S00265    00"</f>
        <v>1250046S00265    00</v>
      </c>
      <c r="B17047" t="s">
        <v>37201</v>
      </c>
      <c r="C17047" t="s">
        <v>37197</v>
      </c>
      <c r="D17047" t="s">
        <v>20</v>
      </c>
      <c r="E17047" t="s">
        <v>39</v>
      </c>
      <c r="F17047">
        <v>0</v>
      </c>
      <c r="G17047">
        <v>0</v>
      </c>
      <c r="H17047">
        <v>19</v>
      </c>
      <c r="I17047" s="3">
        <v>15813.18</v>
      </c>
      <c r="J17047" s="3">
        <v>17590.27</v>
      </c>
      <c r="M17047" t="s">
        <v>5338</v>
      </c>
      <c r="N17047" t="s">
        <v>37202</v>
      </c>
      <c r="O17047" t="s">
        <v>370</v>
      </c>
      <c r="P17047" t="str">
        <f>"32549"</f>
        <v>32549</v>
      </c>
    </row>
    <row r="17048" spans="1:16" x14ac:dyDescent="0.25">
      <c r="A17048" t="str">
        <f>"1250046S00267    00"</f>
        <v>1250046S00267    00</v>
      </c>
      <c r="B17048" t="s">
        <v>37203</v>
      </c>
      <c r="C17048" t="s">
        <v>37197</v>
      </c>
      <c r="D17048" t="s">
        <v>20</v>
      </c>
      <c r="E17048" t="s">
        <v>39</v>
      </c>
      <c r="F17048">
        <v>0</v>
      </c>
      <c r="G17048">
        <v>0</v>
      </c>
      <c r="H17048">
        <v>19</v>
      </c>
      <c r="I17048" s="3">
        <v>14414.14</v>
      </c>
      <c r="J17048" s="3">
        <v>15142.97</v>
      </c>
      <c r="L17048">
        <v>1930</v>
      </c>
      <c r="M17048" t="s">
        <v>37204</v>
      </c>
      <c r="N17048" t="s">
        <v>30</v>
      </c>
      <c r="O17048" t="s">
        <v>31</v>
      </c>
      <c r="P17048" t="str">
        <f>"15212"</f>
        <v>15212</v>
      </c>
    </row>
    <row r="17049" spans="1:16" x14ac:dyDescent="0.25">
      <c r="A17049" t="str">
        <f>"1250046S00275    00"</f>
        <v>1250046S00275    00</v>
      </c>
      <c r="B17049" t="s">
        <v>37205</v>
      </c>
      <c r="C17049" t="s">
        <v>37197</v>
      </c>
      <c r="D17049" t="s">
        <v>20</v>
      </c>
      <c r="E17049" t="s">
        <v>39</v>
      </c>
      <c r="F17049">
        <v>0</v>
      </c>
      <c r="G17049">
        <v>0</v>
      </c>
      <c r="H17049">
        <v>19</v>
      </c>
      <c r="I17049" s="3">
        <v>9225.61</v>
      </c>
      <c r="J17049" s="3">
        <v>9257.4500000000007</v>
      </c>
      <c r="L17049">
        <v>1924</v>
      </c>
      <c r="M17049" t="s">
        <v>37200</v>
      </c>
      <c r="N17049" t="s">
        <v>30</v>
      </c>
      <c r="O17049" t="s">
        <v>31</v>
      </c>
      <c r="P17049" t="str">
        <f>"15212"</f>
        <v>15212</v>
      </c>
    </row>
    <row r="17050" spans="1:16" x14ac:dyDescent="0.25">
      <c r="A17050" t="str">
        <f>"1250046S00322    00"</f>
        <v>1250046S00322    00</v>
      </c>
      <c r="B17050" t="s">
        <v>37206</v>
      </c>
      <c r="C17050" t="s">
        <v>37207</v>
      </c>
      <c r="D17050" t="s">
        <v>20</v>
      </c>
      <c r="E17050" t="s">
        <v>39</v>
      </c>
      <c r="F17050">
        <v>0</v>
      </c>
      <c r="G17050">
        <v>0</v>
      </c>
      <c r="H17050">
        <v>1</v>
      </c>
      <c r="I17050" s="3">
        <v>153.75</v>
      </c>
      <c r="J17050" s="3">
        <v>0</v>
      </c>
      <c r="K17050" t="s">
        <v>37208</v>
      </c>
      <c r="L17050">
        <v>428</v>
      </c>
      <c r="M17050" t="s">
        <v>36406</v>
      </c>
      <c r="N17050" t="s">
        <v>625</v>
      </c>
      <c r="O17050" t="s">
        <v>31</v>
      </c>
      <c r="P17050" t="str">
        <f>"15108"</f>
        <v>15108</v>
      </c>
    </row>
    <row r="17051" spans="1:16" x14ac:dyDescent="0.25">
      <c r="A17051" t="str">
        <f>"1250046S00323    00"</f>
        <v>1250046S00323    00</v>
      </c>
      <c r="B17051" t="s">
        <v>37206</v>
      </c>
      <c r="C17051" t="s">
        <v>37207</v>
      </c>
      <c r="D17051" t="s">
        <v>20</v>
      </c>
      <c r="E17051" t="s">
        <v>39</v>
      </c>
      <c r="F17051">
        <v>0</v>
      </c>
      <c r="G17051">
        <v>0</v>
      </c>
      <c r="H17051">
        <v>1</v>
      </c>
      <c r="I17051" s="3">
        <v>177.26</v>
      </c>
      <c r="J17051" s="3">
        <v>0</v>
      </c>
      <c r="K17051" t="s">
        <v>37208</v>
      </c>
      <c r="L17051">
        <v>428</v>
      </c>
      <c r="M17051" t="s">
        <v>36406</v>
      </c>
      <c r="N17051" t="s">
        <v>625</v>
      </c>
      <c r="O17051" t="s">
        <v>31</v>
      </c>
      <c r="P17051" t="str">
        <f>"15108"</f>
        <v>15108</v>
      </c>
    </row>
    <row r="17052" spans="1:16" x14ac:dyDescent="0.25">
      <c r="A17052" t="str">
        <f>"1250046S00347    00"</f>
        <v>1250046S00347    00</v>
      </c>
      <c r="B17052" t="s">
        <v>37209</v>
      </c>
      <c r="C17052" t="s">
        <v>37210</v>
      </c>
      <c r="D17052" t="s">
        <v>20</v>
      </c>
      <c r="E17052" t="s">
        <v>39</v>
      </c>
      <c r="F17052">
        <v>0</v>
      </c>
      <c r="G17052">
        <v>0</v>
      </c>
      <c r="H17052">
        <v>3</v>
      </c>
      <c r="I17052" s="3">
        <v>753.53</v>
      </c>
      <c r="J17052" s="3">
        <v>62.07</v>
      </c>
      <c r="L17052">
        <v>1808</v>
      </c>
      <c r="M17052" t="s">
        <v>37200</v>
      </c>
      <c r="N17052" t="s">
        <v>30</v>
      </c>
      <c r="O17052" t="s">
        <v>31</v>
      </c>
      <c r="P17052" t="str">
        <f>"15212"</f>
        <v>15212</v>
      </c>
    </row>
    <row r="17053" spans="1:16" x14ac:dyDescent="0.25">
      <c r="A17053" t="str">
        <f>"1250046S00378    00"</f>
        <v>1250046S00378    00</v>
      </c>
      <c r="B17053" t="s">
        <v>37211</v>
      </c>
      <c r="C17053" t="s">
        <v>37212</v>
      </c>
      <c r="E17053" t="s">
        <v>39</v>
      </c>
      <c r="F17053">
        <v>0</v>
      </c>
      <c r="G17053">
        <v>0</v>
      </c>
      <c r="H17053">
        <v>1</v>
      </c>
      <c r="I17053" s="3">
        <v>425.05</v>
      </c>
      <c r="J17053" s="3">
        <v>85.01</v>
      </c>
      <c r="L17053">
        <v>495</v>
      </c>
      <c r="M17053" t="s">
        <v>4261</v>
      </c>
      <c r="N17053" t="s">
        <v>30</v>
      </c>
      <c r="O17053" t="s">
        <v>31</v>
      </c>
      <c r="P17053" t="str">
        <f>"15229"</f>
        <v>15229</v>
      </c>
    </row>
    <row r="17054" spans="1:16" x14ac:dyDescent="0.25">
      <c r="A17054" t="str">
        <f>"1250046S00393    00"</f>
        <v>1250046S00393    00</v>
      </c>
      <c r="B17054" t="s">
        <v>37213</v>
      </c>
      <c r="C17054" t="s">
        <v>37214</v>
      </c>
      <c r="E17054" t="s">
        <v>39</v>
      </c>
      <c r="F17054">
        <v>0</v>
      </c>
      <c r="G17054">
        <v>0</v>
      </c>
      <c r="H17054">
        <v>1</v>
      </c>
      <c r="I17054" s="3">
        <v>66.72</v>
      </c>
      <c r="J17054" s="3">
        <v>13.35</v>
      </c>
      <c r="L17054">
        <v>1919</v>
      </c>
      <c r="M17054" t="s">
        <v>37200</v>
      </c>
      <c r="N17054" t="s">
        <v>30</v>
      </c>
      <c r="O17054" t="s">
        <v>31</v>
      </c>
      <c r="P17054" t="str">
        <f>"15212"</f>
        <v>15212</v>
      </c>
    </row>
    <row r="17055" spans="1:16" x14ac:dyDescent="0.25">
      <c r="A17055" t="str">
        <f>"1260045D00033    00"</f>
        <v>1260045D00033    00</v>
      </c>
      <c r="B17055" t="s">
        <v>37215</v>
      </c>
      <c r="C17055" t="s">
        <v>37216</v>
      </c>
      <c r="D17055" t="s">
        <v>20</v>
      </c>
      <c r="E17055" t="s">
        <v>39</v>
      </c>
      <c r="F17055">
        <v>0</v>
      </c>
      <c r="G17055">
        <v>0</v>
      </c>
      <c r="H17055">
        <v>4</v>
      </c>
      <c r="I17055" s="3">
        <v>2248.4</v>
      </c>
      <c r="J17055" s="3">
        <v>113.77</v>
      </c>
      <c r="K17055" t="s">
        <v>37217</v>
      </c>
      <c r="L17055">
        <v>533</v>
      </c>
      <c r="M17055" t="s">
        <v>4167</v>
      </c>
      <c r="N17055" t="s">
        <v>30</v>
      </c>
      <c r="O17055" t="s">
        <v>31</v>
      </c>
      <c r="P17055" t="str">
        <f>"15214"</f>
        <v>15214</v>
      </c>
    </row>
    <row r="17056" spans="1:16" x14ac:dyDescent="0.25">
      <c r="A17056" t="str">
        <f>"1260045G00007    00"</f>
        <v>1260045G00007    00</v>
      </c>
      <c r="B17056" t="s">
        <v>37218</v>
      </c>
      <c r="C17056" t="s">
        <v>37219</v>
      </c>
      <c r="D17056" t="s">
        <v>20</v>
      </c>
      <c r="E17056" t="s">
        <v>39</v>
      </c>
      <c r="F17056">
        <v>0</v>
      </c>
      <c r="G17056">
        <v>0</v>
      </c>
      <c r="H17056">
        <v>2</v>
      </c>
      <c r="I17056" s="3">
        <v>137.24</v>
      </c>
      <c r="J17056" s="3">
        <v>0</v>
      </c>
      <c r="K17056" t="s">
        <v>881</v>
      </c>
      <c r="L17056">
        <v>3001</v>
      </c>
      <c r="M17056" t="s">
        <v>330</v>
      </c>
      <c r="N17056" t="s">
        <v>331</v>
      </c>
      <c r="O17056" t="s">
        <v>108</v>
      </c>
      <c r="P17056" t="str">
        <f>"75063"</f>
        <v>75063</v>
      </c>
    </row>
    <row r="17057" spans="1:16" x14ac:dyDescent="0.25">
      <c r="A17057" t="str">
        <f>"1260045H00032    00"</f>
        <v>1260045H00032    00</v>
      </c>
      <c r="B17057" t="s">
        <v>37220</v>
      </c>
      <c r="C17057" t="s">
        <v>37221</v>
      </c>
      <c r="D17057" t="s">
        <v>20</v>
      </c>
      <c r="E17057" t="s">
        <v>39</v>
      </c>
      <c r="F17057">
        <v>0</v>
      </c>
      <c r="G17057">
        <v>0</v>
      </c>
      <c r="H17057">
        <v>2</v>
      </c>
      <c r="I17057" s="3">
        <v>270.68</v>
      </c>
      <c r="J17057" s="3">
        <v>0</v>
      </c>
      <c r="K17057" t="s">
        <v>37222</v>
      </c>
      <c r="M17057" t="s">
        <v>37223</v>
      </c>
      <c r="N17057" t="s">
        <v>30</v>
      </c>
      <c r="O17057" t="s">
        <v>31</v>
      </c>
      <c r="P17057" t="str">
        <f>"15229"</f>
        <v>15229</v>
      </c>
    </row>
    <row r="17058" spans="1:16" x14ac:dyDescent="0.25">
      <c r="A17058" t="str">
        <f>"1260045H00095    00"</f>
        <v>1260045H00095    00</v>
      </c>
      <c r="B17058" t="s">
        <v>37224</v>
      </c>
      <c r="C17058" t="s">
        <v>37225</v>
      </c>
      <c r="D17058" t="s">
        <v>20</v>
      </c>
      <c r="E17058" t="s">
        <v>39</v>
      </c>
      <c r="F17058">
        <v>0</v>
      </c>
      <c r="G17058">
        <v>0</v>
      </c>
      <c r="H17058">
        <v>2</v>
      </c>
      <c r="I17058" s="3">
        <v>1514.38</v>
      </c>
      <c r="J17058" s="3">
        <v>0</v>
      </c>
      <c r="L17058">
        <v>637</v>
      </c>
      <c r="M17058" t="s">
        <v>4167</v>
      </c>
      <c r="N17058" t="s">
        <v>30</v>
      </c>
      <c r="O17058" t="s">
        <v>31</v>
      </c>
      <c r="P17058" t="str">
        <f>"15214"</f>
        <v>15214</v>
      </c>
    </row>
    <row r="17059" spans="1:16" x14ac:dyDescent="0.25">
      <c r="A17059" t="str">
        <f>"1260045H00098    00"</f>
        <v>1260045H00098    00</v>
      </c>
      <c r="B17059" t="s">
        <v>37226</v>
      </c>
      <c r="C17059" t="s">
        <v>37227</v>
      </c>
      <c r="D17059" t="s">
        <v>33</v>
      </c>
      <c r="E17059" t="s">
        <v>39</v>
      </c>
      <c r="F17059">
        <v>0</v>
      </c>
      <c r="G17059">
        <v>0</v>
      </c>
      <c r="H17059">
        <v>9</v>
      </c>
      <c r="I17059" s="3">
        <v>5971.79</v>
      </c>
      <c r="J17059" s="3">
        <v>458.87</v>
      </c>
      <c r="K17059" t="s">
        <v>37228</v>
      </c>
      <c r="L17059">
        <v>595</v>
      </c>
      <c r="M17059" t="s">
        <v>37229</v>
      </c>
      <c r="N17059" t="s">
        <v>6651</v>
      </c>
      <c r="O17059" t="s">
        <v>31</v>
      </c>
      <c r="P17059" t="str">
        <f>"16037"</f>
        <v>16037</v>
      </c>
    </row>
    <row r="17060" spans="1:16" x14ac:dyDescent="0.25">
      <c r="A17060" t="str">
        <f>"1260045H00123    00"</f>
        <v>1260045H00123    00</v>
      </c>
      <c r="B17060" t="s">
        <v>37230</v>
      </c>
      <c r="C17060" t="s">
        <v>37231</v>
      </c>
      <c r="D17060" t="s">
        <v>20</v>
      </c>
      <c r="E17060" t="s">
        <v>39</v>
      </c>
      <c r="F17060">
        <v>0</v>
      </c>
      <c r="G17060">
        <v>0</v>
      </c>
      <c r="H17060">
        <v>7</v>
      </c>
      <c r="I17060" s="3">
        <v>5459.53</v>
      </c>
      <c r="J17060" s="3">
        <v>2276.46</v>
      </c>
      <c r="K17060" t="s">
        <v>37232</v>
      </c>
      <c r="L17060">
        <v>1444</v>
      </c>
      <c r="M17060" t="s">
        <v>13728</v>
      </c>
      <c r="N17060" t="s">
        <v>30</v>
      </c>
      <c r="O17060" t="s">
        <v>31</v>
      </c>
      <c r="P17060" t="str">
        <f>"15212"</f>
        <v>15212</v>
      </c>
    </row>
    <row r="17061" spans="1:16" x14ac:dyDescent="0.25">
      <c r="A17061" t="str">
        <f>"1260045H00132    00"</f>
        <v>1260045H00132    00</v>
      </c>
      <c r="B17061" t="s">
        <v>37233</v>
      </c>
      <c r="C17061" t="s">
        <v>37234</v>
      </c>
      <c r="D17061" t="s">
        <v>20</v>
      </c>
      <c r="E17061" t="s">
        <v>39</v>
      </c>
      <c r="F17061">
        <v>0</v>
      </c>
      <c r="G17061">
        <v>0</v>
      </c>
      <c r="H17061">
        <v>9</v>
      </c>
      <c r="I17061" s="3">
        <v>9037.7000000000007</v>
      </c>
      <c r="J17061" s="3">
        <v>11913.98</v>
      </c>
      <c r="L17061">
        <v>631</v>
      </c>
      <c r="M17061" t="s">
        <v>37235</v>
      </c>
      <c r="N17061" t="s">
        <v>30</v>
      </c>
      <c r="O17061" t="s">
        <v>31</v>
      </c>
      <c r="P17061" t="str">
        <f>"15214"</f>
        <v>15214</v>
      </c>
    </row>
    <row r="17062" spans="1:16" x14ac:dyDescent="0.25">
      <c r="A17062" t="str">
        <f>"1260045H00140    00"</f>
        <v>1260045H00140    00</v>
      </c>
      <c r="B17062" t="s">
        <v>37236</v>
      </c>
      <c r="C17062" t="s">
        <v>37237</v>
      </c>
      <c r="D17062" t="s">
        <v>20</v>
      </c>
      <c r="E17062" t="s">
        <v>39</v>
      </c>
      <c r="F17062">
        <v>0</v>
      </c>
      <c r="G17062">
        <v>0</v>
      </c>
      <c r="H17062">
        <v>2</v>
      </c>
      <c r="I17062" s="3">
        <v>1804.1</v>
      </c>
      <c r="J17062" s="3">
        <v>0</v>
      </c>
      <c r="K17062" t="s">
        <v>8393</v>
      </c>
      <c r="M17062" t="s">
        <v>8394</v>
      </c>
      <c r="N17062" t="s">
        <v>8395</v>
      </c>
      <c r="O17062" t="s">
        <v>1616</v>
      </c>
      <c r="P17062" t="str">
        <f>"57709"</f>
        <v>57709</v>
      </c>
    </row>
    <row r="17063" spans="1:16" x14ac:dyDescent="0.25">
      <c r="A17063" t="str">
        <f>"1260045H00160    00"</f>
        <v>1260045H00160    00</v>
      </c>
      <c r="B17063" t="s">
        <v>37238</v>
      </c>
      <c r="C17063" t="s">
        <v>37219</v>
      </c>
      <c r="D17063" t="s">
        <v>20</v>
      </c>
      <c r="E17063" t="s">
        <v>39</v>
      </c>
      <c r="F17063">
        <v>0</v>
      </c>
      <c r="G17063">
        <v>0</v>
      </c>
      <c r="H17063">
        <v>19</v>
      </c>
      <c r="I17063" s="3">
        <v>1154.94</v>
      </c>
      <c r="J17063" s="3">
        <v>903.01</v>
      </c>
      <c r="L17063">
        <v>2205</v>
      </c>
      <c r="M17063" t="s">
        <v>34518</v>
      </c>
      <c r="N17063" t="s">
        <v>30</v>
      </c>
      <c r="O17063" t="s">
        <v>31</v>
      </c>
      <c r="P17063" t="str">
        <f>"15214"</f>
        <v>15214</v>
      </c>
    </row>
    <row r="17064" spans="1:16" x14ac:dyDescent="0.25">
      <c r="A17064" t="str">
        <f>"1260045H00161    00"</f>
        <v>1260045H00161    00</v>
      </c>
      <c r="B17064" t="s">
        <v>37239</v>
      </c>
      <c r="C17064" t="s">
        <v>37240</v>
      </c>
      <c r="D17064" t="s">
        <v>20</v>
      </c>
      <c r="E17064" t="s">
        <v>39</v>
      </c>
      <c r="F17064">
        <v>0</v>
      </c>
      <c r="G17064">
        <v>0</v>
      </c>
      <c r="H17064">
        <v>3</v>
      </c>
      <c r="I17064" s="3">
        <v>1656.46</v>
      </c>
      <c r="J17064" s="3">
        <v>8.31</v>
      </c>
      <c r="K17064" t="s">
        <v>37241</v>
      </c>
      <c r="L17064">
        <v>718</v>
      </c>
      <c r="M17064" t="s">
        <v>37242</v>
      </c>
      <c r="N17064" t="s">
        <v>30</v>
      </c>
      <c r="O17064" t="s">
        <v>31</v>
      </c>
      <c r="P17064" t="str">
        <f>"15214"</f>
        <v>15214</v>
      </c>
    </row>
    <row r="17065" spans="1:16" x14ac:dyDescent="0.25">
      <c r="A17065" t="str">
        <f>"1260045L00004    00"</f>
        <v>1260045L00004    00</v>
      </c>
      <c r="B17065" t="s">
        <v>36545</v>
      </c>
      <c r="C17065" t="s">
        <v>37243</v>
      </c>
      <c r="D17065" t="s">
        <v>20</v>
      </c>
      <c r="E17065" t="s">
        <v>39</v>
      </c>
      <c r="F17065">
        <v>0</v>
      </c>
      <c r="G17065">
        <v>0</v>
      </c>
      <c r="H17065">
        <v>3</v>
      </c>
      <c r="I17065" s="3">
        <v>1154.9100000000001</v>
      </c>
      <c r="J17065" s="3">
        <v>19.079999999999998</v>
      </c>
      <c r="L17065">
        <v>2330</v>
      </c>
      <c r="M17065" t="s">
        <v>3295</v>
      </c>
      <c r="N17065" t="s">
        <v>30</v>
      </c>
      <c r="O17065" t="s">
        <v>31</v>
      </c>
      <c r="P17065" t="str">
        <f>"15214"</f>
        <v>15214</v>
      </c>
    </row>
    <row r="17066" spans="1:16" x14ac:dyDescent="0.25">
      <c r="A17066" t="str">
        <f>"1260045L00017    00"</f>
        <v>1260045L00017    00</v>
      </c>
      <c r="B17066" t="s">
        <v>37244</v>
      </c>
      <c r="C17066" t="s">
        <v>36098</v>
      </c>
      <c r="D17066" t="s">
        <v>20</v>
      </c>
      <c r="E17066" t="s">
        <v>39</v>
      </c>
      <c r="F17066">
        <v>0</v>
      </c>
      <c r="G17066">
        <v>0</v>
      </c>
      <c r="H17066">
        <v>11</v>
      </c>
      <c r="I17066" s="3">
        <v>161.69</v>
      </c>
      <c r="J17066" s="3">
        <v>77.61</v>
      </c>
      <c r="K17066" t="s">
        <v>37245</v>
      </c>
      <c r="P17066" t="str">
        <f>""</f>
        <v/>
      </c>
    </row>
    <row r="17067" spans="1:16" x14ac:dyDescent="0.25">
      <c r="A17067" t="str">
        <f>"1260045L00047    00"</f>
        <v>1260045L00047    00</v>
      </c>
      <c r="B17067" t="s">
        <v>37246</v>
      </c>
      <c r="C17067" t="s">
        <v>37247</v>
      </c>
      <c r="D17067" t="s">
        <v>20</v>
      </c>
      <c r="E17067" t="s">
        <v>39</v>
      </c>
      <c r="F17067">
        <v>0</v>
      </c>
      <c r="G17067">
        <v>0</v>
      </c>
      <c r="H17067">
        <v>2</v>
      </c>
      <c r="I17067" s="3">
        <v>515.64</v>
      </c>
      <c r="J17067" s="3">
        <v>0</v>
      </c>
      <c r="K17067" t="s">
        <v>37248</v>
      </c>
      <c r="L17067">
        <v>3001</v>
      </c>
      <c r="M17067" t="s">
        <v>330</v>
      </c>
      <c r="N17067" t="s">
        <v>331</v>
      </c>
      <c r="O17067" t="s">
        <v>108</v>
      </c>
      <c r="P17067" t="str">
        <f>"75063"</f>
        <v>75063</v>
      </c>
    </row>
    <row r="17068" spans="1:16" x14ac:dyDescent="0.25">
      <c r="A17068" t="str">
        <f>"1260045M00026    00"</f>
        <v>1260045M00026    00</v>
      </c>
      <c r="B17068" t="s">
        <v>37249</v>
      </c>
      <c r="C17068" t="s">
        <v>37250</v>
      </c>
      <c r="E17068" t="s">
        <v>39</v>
      </c>
      <c r="F17068">
        <v>0</v>
      </c>
      <c r="G17068">
        <v>0</v>
      </c>
      <c r="H17068">
        <v>1</v>
      </c>
      <c r="I17068" s="3">
        <v>188.6</v>
      </c>
      <c r="J17068" s="3">
        <v>0</v>
      </c>
      <c r="L17068">
        <v>907</v>
      </c>
      <c r="M17068" t="s">
        <v>37251</v>
      </c>
      <c r="N17068" t="s">
        <v>30</v>
      </c>
      <c r="O17068" t="s">
        <v>31</v>
      </c>
      <c r="P17068" t="str">
        <f>"15212"</f>
        <v>15212</v>
      </c>
    </row>
    <row r="17069" spans="1:16" x14ac:dyDescent="0.25">
      <c r="A17069" t="str">
        <f>"1260045M00027    00"</f>
        <v>1260045M00027    00</v>
      </c>
      <c r="B17069" t="s">
        <v>37249</v>
      </c>
      <c r="C17069" t="s">
        <v>37252</v>
      </c>
      <c r="E17069" t="s">
        <v>39</v>
      </c>
      <c r="F17069">
        <v>0</v>
      </c>
      <c r="G17069">
        <v>0</v>
      </c>
      <c r="H17069">
        <v>1</v>
      </c>
      <c r="I17069" s="3">
        <v>371.05</v>
      </c>
      <c r="J17069" s="3">
        <v>0</v>
      </c>
      <c r="L17069">
        <v>907</v>
      </c>
      <c r="M17069" t="s">
        <v>37251</v>
      </c>
      <c r="N17069" t="s">
        <v>30</v>
      </c>
      <c r="O17069" t="s">
        <v>31</v>
      </c>
      <c r="P17069" t="str">
        <f>"15212"</f>
        <v>15212</v>
      </c>
    </row>
    <row r="17070" spans="1:16" x14ac:dyDescent="0.25">
      <c r="A17070" t="str">
        <f>"1260045M00059    00"</f>
        <v>1260045M00059    00</v>
      </c>
      <c r="B17070" t="s">
        <v>37253</v>
      </c>
      <c r="C17070" t="s">
        <v>37254</v>
      </c>
      <c r="E17070" t="s">
        <v>39</v>
      </c>
      <c r="F17070">
        <v>0</v>
      </c>
      <c r="G17070">
        <v>0</v>
      </c>
      <c r="H17070">
        <v>5</v>
      </c>
      <c r="I17070" s="3">
        <v>3306.41</v>
      </c>
      <c r="J17070" s="3">
        <v>1349.56</v>
      </c>
      <c r="L17070">
        <v>2560</v>
      </c>
      <c r="M17070" t="s">
        <v>20337</v>
      </c>
      <c r="N17070" t="s">
        <v>30</v>
      </c>
      <c r="O17070" t="s">
        <v>31</v>
      </c>
      <c r="P17070" t="str">
        <f>"15214"</f>
        <v>15214</v>
      </c>
    </row>
    <row r="17071" spans="1:16" x14ac:dyDescent="0.25">
      <c r="A17071" t="str">
        <f>"1260045M00063    00"</f>
        <v>1260045M00063    00</v>
      </c>
      <c r="B17071" t="s">
        <v>36134</v>
      </c>
      <c r="C17071" t="s">
        <v>37255</v>
      </c>
      <c r="D17071" t="s">
        <v>20</v>
      </c>
      <c r="E17071" t="s">
        <v>39</v>
      </c>
      <c r="F17071">
        <v>0</v>
      </c>
      <c r="G17071">
        <v>0</v>
      </c>
      <c r="H17071">
        <v>2</v>
      </c>
      <c r="I17071" s="3">
        <v>1254.1500000000001</v>
      </c>
      <c r="J17071" s="3">
        <v>0</v>
      </c>
      <c r="L17071">
        <v>145</v>
      </c>
      <c r="M17071" t="s">
        <v>34011</v>
      </c>
      <c r="N17071" t="s">
        <v>30</v>
      </c>
      <c r="O17071" t="s">
        <v>31</v>
      </c>
      <c r="P17071" t="str">
        <f>"15214"</f>
        <v>15214</v>
      </c>
    </row>
    <row r="17072" spans="1:16" x14ac:dyDescent="0.25">
      <c r="A17072" t="str">
        <f>"1260045M00072    00"</f>
        <v>1260045M00072    00</v>
      </c>
      <c r="B17072" t="s">
        <v>37256</v>
      </c>
      <c r="C17072" t="s">
        <v>37257</v>
      </c>
      <c r="D17072" t="s">
        <v>20</v>
      </c>
      <c r="E17072" t="s">
        <v>39</v>
      </c>
      <c r="F17072">
        <v>0</v>
      </c>
      <c r="G17072">
        <v>0</v>
      </c>
      <c r="H17072">
        <v>2</v>
      </c>
      <c r="I17072" s="3">
        <v>2580.7600000000002</v>
      </c>
      <c r="J17072" s="3">
        <v>0</v>
      </c>
      <c r="L17072">
        <v>117</v>
      </c>
      <c r="M17072" t="s">
        <v>34011</v>
      </c>
      <c r="N17072" t="s">
        <v>30</v>
      </c>
      <c r="O17072" t="s">
        <v>31</v>
      </c>
      <c r="P17072" t="str">
        <f>"15214"</f>
        <v>15214</v>
      </c>
    </row>
    <row r="17073" spans="1:16" x14ac:dyDescent="0.25">
      <c r="A17073" t="str">
        <f>"1260045M00083    00"</f>
        <v>1260045M00083    00</v>
      </c>
      <c r="B17073" t="s">
        <v>37258</v>
      </c>
      <c r="C17073" t="s">
        <v>37259</v>
      </c>
      <c r="D17073" t="s">
        <v>20</v>
      </c>
      <c r="E17073" t="s">
        <v>39</v>
      </c>
      <c r="F17073">
        <v>0</v>
      </c>
      <c r="G17073">
        <v>0</v>
      </c>
      <c r="H17073">
        <v>2</v>
      </c>
      <c r="I17073" s="3">
        <v>2363.44</v>
      </c>
      <c r="J17073" s="3">
        <v>0</v>
      </c>
      <c r="L17073">
        <v>117</v>
      </c>
      <c r="M17073" t="s">
        <v>37260</v>
      </c>
      <c r="N17073" t="s">
        <v>30</v>
      </c>
      <c r="O17073" t="s">
        <v>31</v>
      </c>
      <c r="P17073" t="str">
        <f>"15239"</f>
        <v>15239</v>
      </c>
    </row>
    <row r="17074" spans="1:16" x14ac:dyDescent="0.25">
      <c r="A17074" t="str">
        <f>"1260045M00093    00"</f>
        <v>1260045M00093    00</v>
      </c>
      <c r="B17074" t="s">
        <v>37261</v>
      </c>
      <c r="C17074" t="s">
        <v>37262</v>
      </c>
      <c r="D17074" t="s">
        <v>20</v>
      </c>
      <c r="E17074" t="s">
        <v>39</v>
      </c>
      <c r="F17074">
        <v>0</v>
      </c>
      <c r="G17074">
        <v>0</v>
      </c>
      <c r="H17074">
        <v>19</v>
      </c>
      <c r="I17074" s="3">
        <v>10963.21</v>
      </c>
      <c r="J17074" s="3">
        <v>11768.11</v>
      </c>
      <c r="K17074" t="s">
        <v>37263</v>
      </c>
      <c r="L17074">
        <v>2462</v>
      </c>
      <c r="M17074" t="s">
        <v>20337</v>
      </c>
      <c r="N17074" t="s">
        <v>30</v>
      </c>
      <c r="O17074" t="s">
        <v>31</v>
      </c>
      <c r="P17074" t="str">
        <f>"15214"</f>
        <v>15214</v>
      </c>
    </row>
    <row r="17075" spans="1:16" x14ac:dyDescent="0.25">
      <c r="A17075" t="str">
        <f>"1260045M00094A   00"</f>
        <v>1260045M00094A   00</v>
      </c>
      <c r="B17075" t="s">
        <v>37264</v>
      </c>
      <c r="C17075" t="s">
        <v>37265</v>
      </c>
      <c r="D17075" t="s">
        <v>20</v>
      </c>
      <c r="E17075" t="s">
        <v>39</v>
      </c>
      <c r="F17075">
        <v>0</v>
      </c>
      <c r="G17075">
        <v>0</v>
      </c>
      <c r="H17075">
        <v>5</v>
      </c>
      <c r="I17075" s="3">
        <v>1874.66</v>
      </c>
      <c r="J17075" s="3">
        <v>323.88</v>
      </c>
      <c r="K17075" t="s">
        <v>37266</v>
      </c>
      <c r="L17075">
        <v>939</v>
      </c>
      <c r="M17075" t="s">
        <v>7241</v>
      </c>
      <c r="N17075" t="s">
        <v>37267</v>
      </c>
      <c r="O17075" t="s">
        <v>25</v>
      </c>
      <c r="P17075" t="str">
        <f>"44420"</f>
        <v>44420</v>
      </c>
    </row>
    <row r="17076" spans="1:16" x14ac:dyDescent="0.25">
      <c r="A17076" t="str">
        <f>"1260045M00096    00"</f>
        <v>1260045M00096    00</v>
      </c>
      <c r="B17076" t="s">
        <v>37268</v>
      </c>
      <c r="C17076" t="s">
        <v>37269</v>
      </c>
      <c r="D17076" t="s">
        <v>20</v>
      </c>
      <c r="E17076" t="s">
        <v>39</v>
      </c>
      <c r="F17076">
        <v>0</v>
      </c>
      <c r="G17076">
        <v>0</v>
      </c>
      <c r="H17076">
        <v>3</v>
      </c>
      <c r="I17076" s="3">
        <v>943.5</v>
      </c>
      <c r="J17076" s="3">
        <v>62.9</v>
      </c>
      <c r="M17076" t="s">
        <v>37270</v>
      </c>
      <c r="N17076" t="s">
        <v>30</v>
      </c>
      <c r="O17076" t="s">
        <v>31</v>
      </c>
      <c r="P17076" t="str">
        <f>"15233"</f>
        <v>15233</v>
      </c>
    </row>
    <row r="17077" spans="1:16" x14ac:dyDescent="0.25">
      <c r="A17077" t="str">
        <f>"1260045M00097    00"</f>
        <v>1260045M00097    00</v>
      </c>
      <c r="B17077" t="s">
        <v>37271</v>
      </c>
      <c r="C17077" t="s">
        <v>37272</v>
      </c>
      <c r="D17077" t="s">
        <v>20</v>
      </c>
      <c r="E17077" t="s">
        <v>39</v>
      </c>
      <c r="F17077">
        <v>0</v>
      </c>
      <c r="G17077">
        <v>0</v>
      </c>
      <c r="H17077">
        <v>3</v>
      </c>
      <c r="I17077" s="3">
        <v>580.94000000000005</v>
      </c>
      <c r="J17077" s="3">
        <v>29.79</v>
      </c>
      <c r="L17077">
        <v>425</v>
      </c>
      <c r="M17077" t="s">
        <v>37273</v>
      </c>
      <c r="N17077" t="s">
        <v>37274</v>
      </c>
      <c r="O17077" t="s">
        <v>31</v>
      </c>
      <c r="P17077" t="str">
        <f>"19095"</f>
        <v>19095</v>
      </c>
    </row>
    <row r="17078" spans="1:16" x14ac:dyDescent="0.25">
      <c r="A17078" t="str">
        <f>"1260045M00097A   00"</f>
        <v>1260045M00097A   00</v>
      </c>
      <c r="B17078" t="s">
        <v>37275</v>
      </c>
      <c r="C17078" t="s">
        <v>37276</v>
      </c>
      <c r="D17078" t="s">
        <v>20</v>
      </c>
      <c r="E17078" t="s">
        <v>39</v>
      </c>
      <c r="F17078">
        <v>0</v>
      </c>
      <c r="G17078">
        <v>0</v>
      </c>
      <c r="H17078">
        <v>6</v>
      </c>
      <c r="I17078" s="3">
        <v>1209.46</v>
      </c>
      <c r="J17078" s="3">
        <v>292.5</v>
      </c>
      <c r="L17078">
        <v>2454</v>
      </c>
      <c r="M17078" t="s">
        <v>3295</v>
      </c>
      <c r="N17078" t="s">
        <v>30</v>
      </c>
      <c r="O17078" t="s">
        <v>31</v>
      </c>
      <c r="P17078" t="str">
        <f>"15214"</f>
        <v>15214</v>
      </c>
    </row>
    <row r="17079" spans="1:16" x14ac:dyDescent="0.25">
      <c r="A17079" t="str">
        <f>"1260045M00098    00"</f>
        <v>1260045M00098    00</v>
      </c>
      <c r="B17079" t="s">
        <v>37277</v>
      </c>
      <c r="C17079" t="s">
        <v>37278</v>
      </c>
      <c r="E17079" t="s">
        <v>39</v>
      </c>
      <c r="F17079">
        <v>0</v>
      </c>
      <c r="G17079">
        <v>0</v>
      </c>
      <c r="H17079">
        <v>4</v>
      </c>
      <c r="I17079" s="3">
        <v>1976.87</v>
      </c>
      <c r="J17079" s="3">
        <v>563.54999999999995</v>
      </c>
      <c r="K17079" t="s">
        <v>37279</v>
      </c>
      <c r="L17079">
        <v>2450</v>
      </c>
      <c r="M17079" t="s">
        <v>20337</v>
      </c>
      <c r="N17079" t="s">
        <v>30</v>
      </c>
      <c r="O17079" t="s">
        <v>31</v>
      </c>
      <c r="P17079" t="str">
        <f>"15214"</f>
        <v>15214</v>
      </c>
    </row>
    <row r="17080" spans="1:16" x14ac:dyDescent="0.25">
      <c r="A17080" t="str">
        <f>"1260045M00221    00"</f>
        <v>1260045M00221    00</v>
      </c>
      <c r="B17080" t="s">
        <v>37280</v>
      </c>
      <c r="C17080" t="s">
        <v>37272</v>
      </c>
      <c r="D17080" t="s">
        <v>20</v>
      </c>
      <c r="E17080" t="s">
        <v>39</v>
      </c>
      <c r="F17080">
        <v>0</v>
      </c>
      <c r="G17080">
        <v>0</v>
      </c>
      <c r="H17080">
        <v>4</v>
      </c>
      <c r="I17080" s="3">
        <v>30.16</v>
      </c>
      <c r="J17080" s="3">
        <v>3.71</v>
      </c>
      <c r="K17080" t="s">
        <v>37281</v>
      </c>
      <c r="L17080">
        <v>101</v>
      </c>
      <c r="M17080" t="s">
        <v>10881</v>
      </c>
      <c r="N17080" t="s">
        <v>30</v>
      </c>
      <c r="O17080" t="s">
        <v>31</v>
      </c>
      <c r="P17080" t="str">
        <f>"15229"</f>
        <v>15229</v>
      </c>
    </row>
    <row r="17081" spans="1:16" x14ac:dyDescent="0.25">
      <c r="A17081" t="str">
        <f>"1260045M00291    00"</f>
        <v>1260045M00291    00</v>
      </c>
      <c r="B17081" t="s">
        <v>37282</v>
      </c>
      <c r="C17081" t="s">
        <v>37283</v>
      </c>
      <c r="E17081" t="s">
        <v>39</v>
      </c>
      <c r="F17081">
        <v>0</v>
      </c>
      <c r="G17081">
        <v>0</v>
      </c>
      <c r="H17081">
        <v>13</v>
      </c>
      <c r="I17081" s="3">
        <v>6246.6</v>
      </c>
      <c r="J17081" s="3">
        <v>7632.62</v>
      </c>
      <c r="L17081">
        <v>109</v>
      </c>
      <c r="M17081" t="s">
        <v>16147</v>
      </c>
      <c r="N17081" t="s">
        <v>30</v>
      </c>
      <c r="O17081" t="s">
        <v>31</v>
      </c>
      <c r="P17081" t="str">
        <f>"15235"</f>
        <v>15235</v>
      </c>
    </row>
    <row r="17082" spans="1:16" x14ac:dyDescent="0.25">
      <c r="A17082" t="str">
        <f>"1260045M00292    00"</f>
        <v>1260045M00292    00</v>
      </c>
      <c r="B17082" t="s">
        <v>37284</v>
      </c>
      <c r="C17082" t="s">
        <v>37285</v>
      </c>
      <c r="D17082" t="s">
        <v>20</v>
      </c>
      <c r="E17082" t="s">
        <v>39</v>
      </c>
      <c r="F17082">
        <v>0</v>
      </c>
      <c r="G17082">
        <v>0</v>
      </c>
      <c r="H17082">
        <v>8</v>
      </c>
      <c r="I17082" s="3">
        <v>4741.9799999999996</v>
      </c>
      <c r="J17082" s="3">
        <v>1551.65</v>
      </c>
      <c r="L17082">
        <v>31</v>
      </c>
      <c r="M17082" t="s">
        <v>37286</v>
      </c>
      <c r="N17082" t="s">
        <v>37287</v>
      </c>
      <c r="O17082" t="s">
        <v>423</v>
      </c>
      <c r="P17082" t="str">
        <f>"07002"</f>
        <v>07002</v>
      </c>
    </row>
    <row r="17083" spans="1:16" x14ac:dyDescent="0.25">
      <c r="A17083" t="str">
        <f>"1260045M00315    00"</f>
        <v>1260045M00315    00</v>
      </c>
      <c r="B17083" t="s">
        <v>37288</v>
      </c>
      <c r="C17083" t="s">
        <v>37289</v>
      </c>
      <c r="D17083" t="s">
        <v>20</v>
      </c>
      <c r="E17083" t="s">
        <v>39</v>
      </c>
      <c r="F17083">
        <v>0</v>
      </c>
      <c r="G17083">
        <v>0</v>
      </c>
      <c r="H17083">
        <v>3</v>
      </c>
      <c r="I17083" s="3">
        <v>419.38</v>
      </c>
      <c r="J17083" s="3">
        <v>28.9</v>
      </c>
      <c r="L17083">
        <v>630</v>
      </c>
      <c r="M17083" t="s">
        <v>37290</v>
      </c>
      <c r="N17083" t="s">
        <v>30</v>
      </c>
      <c r="O17083" t="s">
        <v>31</v>
      </c>
      <c r="P17083" t="str">
        <f>"15214"</f>
        <v>15214</v>
      </c>
    </row>
    <row r="17084" spans="1:16" x14ac:dyDescent="0.25">
      <c r="A17084" t="str">
        <f>"1260045M00320    00"</f>
        <v>1260045M00320    00</v>
      </c>
      <c r="B17084" t="s">
        <v>37291</v>
      </c>
      <c r="C17084" t="s">
        <v>37283</v>
      </c>
      <c r="D17084" t="s">
        <v>20</v>
      </c>
      <c r="E17084" t="s">
        <v>39</v>
      </c>
      <c r="F17084">
        <v>0</v>
      </c>
      <c r="G17084">
        <v>0</v>
      </c>
      <c r="H17084">
        <v>9</v>
      </c>
      <c r="I17084" s="3">
        <v>5621.06</v>
      </c>
      <c r="J17084" s="3">
        <v>9042.07</v>
      </c>
      <c r="M17084" t="s">
        <v>37292</v>
      </c>
      <c r="N17084" t="s">
        <v>30</v>
      </c>
      <c r="O17084" t="s">
        <v>31</v>
      </c>
      <c r="P17084" t="str">
        <f>"15236"</f>
        <v>15236</v>
      </c>
    </row>
    <row r="17085" spans="1:16" x14ac:dyDescent="0.25">
      <c r="A17085" t="str">
        <f>"1260045M00323    00"</f>
        <v>1260045M00323    00</v>
      </c>
      <c r="B17085" t="s">
        <v>36810</v>
      </c>
      <c r="C17085" t="s">
        <v>37293</v>
      </c>
      <c r="E17085" t="s">
        <v>39</v>
      </c>
      <c r="F17085">
        <v>0</v>
      </c>
      <c r="G17085">
        <v>0</v>
      </c>
      <c r="H17085">
        <v>2</v>
      </c>
      <c r="I17085" s="3">
        <v>2240.34</v>
      </c>
      <c r="J17085" s="3">
        <v>957.86</v>
      </c>
      <c r="L17085">
        <v>721</v>
      </c>
      <c r="M17085" t="s">
        <v>36303</v>
      </c>
      <c r="N17085" t="s">
        <v>30</v>
      </c>
      <c r="O17085" t="s">
        <v>31</v>
      </c>
      <c r="P17085" t="str">
        <f>"15214"</f>
        <v>15214</v>
      </c>
    </row>
    <row r="17086" spans="1:16" x14ac:dyDescent="0.25">
      <c r="A17086" t="str">
        <f>"1260045M00326    00"</f>
        <v>1260045M00326    00</v>
      </c>
      <c r="B17086" t="s">
        <v>37294</v>
      </c>
      <c r="C17086" t="s">
        <v>37295</v>
      </c>
      <c r="E17086" t="s">
        <v>39</v>
      </c>
      <c r="F17086">
        <v>0</v>
      </c>
      <c r="G17086">
        <v>0</v>
      </c>
      <c r="H17086">
        <v>12</v>
      </c>
      <c r="I17086" s="3">
        <v>14036.78</v>
      </c>
      <c r="J17086" s="3">
        <v>17370.419999999998</v>
      </c>
      <c r="L17086">
        <v>16</v>
      </c>
      <c r="M17086" t="s">
        <v>37296</v>
      </c>
      <c r="N17086" t="s">
        <v>30</v>
      </c>
      <c r="O17086" t="s">
        <v>31</v>
      </c>
      <c r="P17086" t="str">
        <f>"15212"</f>
        <v>15212</v>
      </c>
    </row>
    <row r="17087" spans="1:16" x14ac:dyDescent="0.25">
      <c r="A17087" t="str">
        <f>"1260045M00336    00"</f>
        <v>1260045M00336    00</v>
      </c>
      <c r="B17087" t="s">
        <v>37297</v>
      </c>
      <c r="C17087" t="s">
        <v>37283</v>
      </c>
      <c r="D17087" t="s">
        <v>20</v>
      </c>
      <c r="E17087" t="s">
        <v>39</v>
      </c>
      <c r="F17087">
        <v>0</v>
      </c>
      <c r="G17087">
        <v>0</v>
      </c>
      <c r="H17087">
        <v>19</v>
      </c>
      <c r="I17087" s="3">
        <v>1603.06</v>
      </c>
      <c r="J17087" s="3">
        <v>1001.13</v>
      </c>
      <c r="K17087" t="s">
        <v>1037</v>
      </c>
      <c r="M17087" t="s">
        <v>37290</v>
      </c>
      <c r="N17087" t="s">
        <v>30</v>
      </c>
      <c r="O17087" t="s">
        <v>31</v>
      </c>
      <c r="P17087" t="str">
        <f>"15214"</f>
        <v>15214</v>
      </c>
    </row>
    <row r="17088" spans="1:16" x14ac:dyDescent="0.25">
      <c r="A17088" t="str">
        <f>"1260045M00337    00"</f>
        <v>1260045M00337    00</v>
      </c>
      <c r="B17088" t="s">
        <v>37298</v>
      </c>
      <c r="C17088" t="s">
        <v>37299</v>
      </c>
      <c r="D17088" t="s">
        <v>20</v>
      </c>
      <c r="E17088" t="s">
        <v>39</v>
      </c>
      <c r="F17088">
        <v>0</v>
      </c>
      <c r="G17088">
        <v>0</v>
      </c>
      <c r="H17088">
        <v>19</v>
      </c>
      <c r="I17088" s="3">
        <v>16217.37</v>
      </c>
      <c r="J17088" s="3">
        <v>15251.71</v>
      </c>
      <c r="L17088">
        <v>1215</v>
      </c>
      <c r="M17088" t="s">
        <v>37300</v>
      </c>
      <c r="N17088" t="s">
        <v>30</v>
      </c>
      <c r="O17088" t="s">
        <v>31</v>
      </c>
      <c r="P17088" t="str">
        <f>"15203"</f>
        <v>15203</v>
      </c>
    </row>
    <row r="17089" spans="1:16" x14ac:dyDescent="0.25">
      <c r="A17089" t="str">
        <f>"1260045M00339    00"</f>
        <v>1260045M00339    00</v>
      </c>
      <c r="B17089" t="s">
        <v>37301</v>
      </c>
      <c r="C17089" t="s">
        <v>37283</v>
      </c>
      <c r="D17089" t="s">
        <v>20</v>
      </c>
      <c r="E17089" t="s">
        <v>39</v>
      </c>
      <c r="F17089">
        <v>0</v>
      </c>
      <c r="G17089">
        <v>0</v>
      </c>
      <c r="H17089">
        <v>19</v>
      </c>
      <c r="I17089" s="3">
        <v>1603.06</v>
      </c>
      <c r="J17089" s="3">
        <v>1001.13</v>
      </c>
      <c r="K17089" t="s">
        <v>1008</v>
      </c>
      <c r="P17089" t="str">
        <f>""</f>
        <v/>
      </c>
    </row>
    <row r="17090" spans="1:16" x14ac:dyDescent="0.25">
      <c r="A17090" t="str">
        <f>"1260045M00340    00"</f>
        <v>1260045M00340    00</v>
      </c>
      <c r="B17090" t="s">
        <v>37302</v>
      </c>
      <c r="C17090" t="s">
        <v>37283</v>
      </c>
      <c r="D17090" t="s">
        <v>20</v>
      </c>
      <c r="E17090" t="s">
        <v>39</v>
      </c>
      <c r="F17090">
        <v>0</v>
      </c>
      <c r="G17090">
        <v>0</v>
      </c>
      <c r="H17090">
        <v>19</v>
      </c>
      <c r="I17090" s="3">
        <v>2226.4299999999998</v>
      </c>
      <c r="J17090" s="3">
        <v>1635.71</v>
      </c>
      <c r="K17090" t="s">
        <v>1008</v>
      </c>
      <c r="P17090" t="str">
        <f>""</f>
        <v/>
      </c>
    </row>
    <row r="17091" spans="1:16" x14ac:dyDescent="0.25">
      <c r="A17091" t="str">
        <f>"1260045M00344    00"</f>
        <v>1260045M00344    00</v>
      </c>
      <c r="B17091" t="s">
        <v>37303</v>
      </c>
      <c r="C17091" t="s">
        <v>37283</v>
      </c>
      <c r="D17091" t="s">
        <v>20</v>
      </c>
      <c r="E17091" t="s">
        <v>39</v>
      </c>
      <c r="F17091">
        <v>0</v>
      </c>
      <c r="G17091">
        <v>0</v>
      </c>
      <c r="H17091">
        <v>19</v>
      </c>
      <c r="I17091" s="3">
        <v>1578.42</v>
      </c>
      <c r="J17091" s="3">
        <v>965.63</v>
      </c>
      <c r="L17091">
        <v>9</v>
      </c>
      <c r="M17091" t="s">
        <v>37304</v>
      </c>
      <c r="N17091" t="s">
        <v>30</v>
      </c>
      <c r="O17091" t="s">
        <v>31</v>
      </c>
      <c r="P17091" t="str">
        <f>"15227"</f>
        <v>15227</v>
      </c>
    </row>
    <row r="17092" spans="1:16" x14ac:dyDescent="0.25">
      <c r="A17092" t="str">
        <f>"1260045M00345    00"</f>
        <v>1260045M00345    00</v>
      </c>
      <c r="B17092" t="s">
        <v>37305</v>
      </c>
      <c r="C17092" t="s">
        <v>37283</v>
      </c>
      <c r="D17092" t="s">
        <v>20</v>
      </c>
      <c r="E17092" t="s">
        <v>39</v>
      </c>
      <c r="F17092">
        <v>0</v>
      </c>
      <c r="G17092">
        <v>0</v>
      </c>
      <c r="H17092">
        <v>19</v>
      </c>
      <c r="I17092" s="3">
        <v>1779.12</v>
      </c>
      <c r="J17092" s="3">
        <v>1093.73</v>
      </c>
      <c r="K17092" t="s">
        <v>1008</v>
      </c>
      <c r="P17092" t="str">
        <f>""</f>
        <v/>
      </c>
    </row>
    <row r="17093" spans="1:16" x14ac:dyDescent="0.25">
      <c r="A17093" t="str">
        <f>"1260045M00348000100"</f>
        <v>1260045M00348000100</v>
      </c>
      <c r="B17093" t="s">
        <v>37306</v>
      </c>
      <c r="C17093" t="s">
        <v>37307</v>
      </c>
      <c r="D17093" t="s">
        <v>20</v>
      </c>
      <c r="E17093" t="s">
        <v>39</v>
      </c>
      <c r="F17093">
        <v>0</v>
      </c>
      <c r="G17093">
        <v>0</v>
      </c>
      <c r="H17093">
        <v>19</v>
      </c>
      <c r="I17093" s="3">
        <v>575.66</v>
      </c>
      <c r="J17093" s="3">
        <v>709.22</v>
      </c>
      <c r="K17093" t="s">
        <v>1037</v>
      </c>
      <c r="L17093">
        <v>604</v>
      </c>
      <c r="M17093" t="s">
        <v>37308</v>
      </c>
      <c r="N17093" t="s">
        <v>30</v>
      </c>
      <c r="O17093" t="s">
        <v>31</v>
      </c>
      <c r="P17093" t="str">
        <f>"15214"</f>
        <v>15214</v>
      </c>
    </row>
    <row r="17094" spans="1:16" x14ac:dyDescent="0.25">
      <c r="A17094" t="str">
        <f>"1260045M00395    00"</f>
        <v>1260045M00395    00</v>
      </c>
      <c r="B17094" t="s">
        <v>37309</v>
      </c>
      <c r="C17094" t="s">
        <v>37310</v>
      </c>
      <c r="E17094" t="s">
        <v>39</v>
      </c>
      <c r="F17094">
        <v>0</v>
      </c>
      <c r="G17094">
        <v>0</v>
      </c>
      <c r="H17094">
        <v>14</v>
      </c>
      <c r="I17094" s="3">
        <v>12770.12</v>
      </c>
      <c r="J17094" s="3">
        <v>15623.25</v>
      </c>
      <c r="L17094">
        <v>26</v>
      </c>
      <c r="M17094" t="s">
        <v>37311</v>
      </c>
      <c r="N17094" t="s">
        <v>30</v>
      </c>
      <c r="O17094" t="s">
        <v>31</v>
      </c>
      <c r="P17094" t="str">
        <f>"15214"</f>
        <v>15214</v>
      </c>
    </row>
    <row r="17095" spans="1:16" x14ac:dyDescent="0.25">
      <c r="A17095" t="str">
        <f>"1260045M00396    00"</f>
        <v>1260045M00396    00</v>
      </c>
      <c r="B17095" t="s">
        <v>37312</v>
      </c>
      <c r="C17095" t="s">
        <v>37313</v>
      </c>
      <c r="D17095" t="s">
        <v>20</v>
      </c>
      <c r="E17095" t="s">
        <v>39</v>
      </c>
      <c r="F17095">
        <v>0</v>
      </c>
      <c r="G17095">
        <v>0</v>
      </c>
      <c r="H17095">
        <v>3</v>
      </c>
      <c r="I17095" s="3">
        <v>649.42999999999995</v>
      </c>
      <c r="J17095" s="3">
        <v>89</v>
      </c>
      <c r="L17095">
        <v>132</v>
      </c>
      <c r="M17095" t="s">
        <v>33618</v>
      </c>
      <c r="N17095" t="s">
        <v>1067</v>
      </c>
      <c r="O17095" t="s">
        <v>31</v>
      </c>
      <c r="P17095" t="str">
        <f>"15143"</f>
        <v>15143</v>
      </c>
    </row>
    <row r="17096" spans="1:16" x14ac:dyDescent="0.25">
      <c r="A17096" t="str">
        <f>"1260045M00398    00"</f>
        <v>1260045M00398    00</v>
      </c>
      <c r="B17096" t="s">
        <v>37314</v>
      </c>
      <c r="C17096" t="s">
        <v>37315</v>
      </c>
      <c r="D17096" t="s">
        <v>20</v>
      </c>
      <c r="E17096" t="s">
        <v>39</v>
      </c>
      <c r="F17096">
        <v>0</v>
      </c>
      <c r="G17096">
        <v>0</v>
      </c>
      <c r="H17096">
        <v>3</v>
      </c>
      <c r="I17096" s="3">
        <v>2914.94</v>
      </c>
      <c r="J17096" s="3">
        <v>206.15</v>
      </c>
      <c r="K17096" t="s">
        <v>417</v>
      </c>
      <c r="L17096">
        <v>3001</v>
      </c>
      <c r="M17096" t="s">
        <v>330</v>
      </c>
      <c r="N17096" t="s">
        <v>331</v>
      </c>
      <c r="O17096" t="s">
        <v>108</v>
      </c>
      <c r="P17096" t="str">
        <f>"75063"</f>
        <v>75063</v>
      </c>
    </row>
    <row r="17097" spans="1:16" x14ac:dyDescent="0.25">
      <c r="A17097" t="str">
        <f>"1260045M00403    00"</f>
        <v>1260045M00403    00</v>
      </c>
      <c r="B17097" t="s">
        <v>20814</v>
      </c>
      <c r="C17097" t="s">
        <v>37316</v>
      </c>
      <c r="D17097" t="s">
        <v>20</v>
      </c>
      <c r="E17097" t="s">
        <v>39</v>
      </c>
      <c r="F17097">
        <v>0</v>
      </c>
      <c r="G17097">
        <v>0</v>
      </c>
      <c r="H17097">
        <v>4</v>
      </c>
      <c r="I17097" s="3">
        <v>2878.19</v>
      </c>
      <c r="J17097" s="3">
        <v>339.99</v>
      </c>
      <c r="L17097">
        <v>911</v>
      </c>
      <c r="M17097" t="s">
        <v>20816</v>
      </c>
      <c r="N17097" t="s">
        <v>30</v>
      </c>
      <c r="O17097" t="s">
        <v>31</v>
      </c>
      <c r="P17097" t="str">
        <f>"15210"</f>
        <v>15210</v>
      </c>
    </row>
    <row r="17098" spans="1:16" x14ac:dyDescent="0.25">
      <c r="A17098" t="str">
        <f>"1260045S00090    00"</f>
        <v>1260045S00090    00</v>
      </c>
      <c r="B17098" t="s">
        <v>37317</v>
      </c>
      <c r="C17098" t="s">
        <v>37283</v>
      </c>
      <c r="D17098" t="s">
        <v>20</v>
      </c>
      <c r="E17098" t="s">
        <v>39</v>
      </c>
      <c r="F17098">
        <v>0</v>
      </c>
      <c r="G17098">
        <v>0</v>
      </c>
      <c r="H17098">
        <v>14</v>
      </c>
      <c r="I17098" s="3">
        <v>241.32</v>
      </c>
      <c r="J17098" s="3">
        <v>261.58999999999997</v>
      </c>
      <c r="M17098" t="s">
        <v>37318</v>
      </c>
      <c r="N17098" t="s">
        <v>30</v>
      </c>
      <c r="O17098" t="s">
        <v>31</v>
      </c>
      <c r="P17098" t="str">
        <f>"15238"</f>
        <v>15238</v>
      </c>
    </row>
    <row r="17099" spans="1:16" x14ac:dyDescent="0.25">
      <c r="A17099" t="str">
        <f>"1260045S00092    00"</f>
        <v>1260045S00092    00</v>
      </c>
      <c r="B17099" t="s">
        <v>37319</v>
      </c>
      <c r="C17099" t="s">
        <v>37320</v>
      </c>
      <c r="D17099" t="s">
        <v>20</v>
      </c>
      <c r="E17099" t="s">
        <v>39</v>
      </c>
      <c r="F17099">
        <v>0</v>
      </c>
      <c r="G17099">
        <v>0</v>
      </c>
      <c r="H17099">
        <v>2</v>
      </c>
      <c r="I17099" s="3">
        <v>2463.56</v>
      </c>
      <c r="J17099" s="3">
        <v>0</v>
      </c>
      <c r="L17099">
        <v>669</v>
      </c>
      <c r="M17099" t="s">
        <v>37290</v>
      </c>
      <c r="N17099" t="s">
        <v>30</v>
      </c>
      <c r="O17099" t="s">
        <v>31</v>
      </c>
      <c r="P17099" t="str">
        <f>"15214"</f>
        <v>15214</v>
      </c>
    </row>
    <row r="17100" spans="1:16" x14ac:dyDescent="0.25">
      <c r="A17100" t="str">
        <f>"1260045S00123    00"</f>
        <v>1260045S00123    00</v>
      </c>
      <c r="B17100" t="s">
        <v>37321</v>
      </c>
      <c r="C17100" t="s">
        <v>37322</v>
      </c>
      <c r="E17100" t="s">
        <v>39</v>
      </c>
      <c r="F17100">
        <v>0</v>
      </c>
      <c r="G17100">
        <v>0</v>
      </c>
      <c r="H17100">
        <v>1</v>
      </c>
      <c r="I17100" s="3">
        <v>836.74</v>
      </c>
      <c r="J17100" s="3">
        <v>34.86</v>
      </c>
      <c r="K17100" t="s">
        <v>37323</v>
      </c>
      <c r="L17100">
        <v>536</v>
      </c>
      <c r="M17100" t="s">
        <v>36831</v>
      </c>
      <c r="N17100" t="s">
        <v>30</v>
      </c>
      <c r="O17100" t="s">
        <v>31</v>
      </c>
      <c r="P17100" t="str">
        <f>"15214"</f>
        <v>15214</v>
      </c>
    </row>
    <row r="17101" spans="1:16" x14ac:dyDescent="0.25">
      <c r="A17101" t="str">
        <f>"1260045S00334    00"</f>
        <v>1260045S00334    00</v>
      </c>
      <c r="B17101" t="s">
        <v>37324</v>
      </c>
      <c r="C17101" t="s">
        <v>37272</v>
      </c>
      <c r="D17101" t="s">
        <v>20</v>
      </c>
      <c r="E17101" t="s">
        <v>39</v>
      </c>
      <c r="F17101">
        <v>0</v>
      </c>
      <c r="G17101">
        <v>0</v>
      </c>
      <c r="H17101">
        <v>13</v>
      </c>
      <c r="I17101" s="3">
        <v>505.68</v>
      </c>
      <c r="J17101" s="3">
        <v>268.91000000000003</v>
      </c>
      <c r="L17101">
        <v>33</v>
      </c>
      <c r="M17101" t="s">
        <v>37325</v>
      </c>
      <c r="N17101" t="s">
        <v>30</v>
      </c>
      <c r="O17101" t="s">
        <v>31</v>
      </c>
      <c r="P17101" t="str">
        <f>"15214"</f>
        <v>15214</v>
      </c>
    </row>
    <row r="17102" spans="1:16" x14ac:dyDescent="0.25">
      <c r="A17102" t="str">
        <f>"1260045S00334A   00"</f>
        <v>1260045S00334A   00</v>
      </c>
      <c r="B17102" t="s">
        <v>37324</v>
      </c>
      <c r="C17102" t="s">
        <v>37272</v>
      </c>
      <c r="D17102" t="s">
        <v>20</v>
      </c>
      <c r="E17102" t="s">
        <v>39</v>
      </c>
      <c r="F17102">
        <v>0</v>
      </c>
      <c r="G17102">
        <v>0</v>
      </c>
      <c r="H17102">
        <v>13</v>
      </c>
      <c r="I17102" s="3">
        <v>481.14</v>
      </c>
      <c r="J17102" s="3">
        <v>281.91000000000003</v>
      </c>
      <c r="L17102">
        <v>33</v>
      </c>
      <c r="M17102" t="s">
        <v>37325</v>
      </c>
      <c r="N17102" t="s">
        <v>30</v>
      </c>
      <c r="O17102" t="s">
        <v>31</v>
      </c>
      <c r="P17102" t="str">
        <f>"15214"</f>
        <v>15214</v>
      </c>
    </row>
    <row r="17103" spans="1:16" x14ac:dyDescent="0.25">
      <c r="A17103" t="str">
        <f>"1260045S00336    00"</f>
        <v>1260045S00336    00</v>
      </c>
      <c r="B17103" t="s">
        <v>37326</v>
      </c>
      <c r="C17103" t="s">
        <v>37272</v>
      </c>
      <c r="D17103" t="s">
        <v>20</v>
      </c>
      <c r="E17103" t="s">
        <v>39</v>
      </c>
      <c r="F17103">
        <v>0</v>
      </c>
      <c r="G17103">
        <v>0</v>
      </c>
      <c r="H17103">
        <v>8</v>
      </c>
      <c r="I17103" s="3">
        <v>149.61000000000001</v>
      </c>
      <c r="J17103" s="3">
        <v>112.88</v>
      </c>
      <c r="K17103" t="s">
        <v>37327</v>
      </c>
      <c r="L17103">
        <v>9</v>
      </c>
      <c r="M17103" t="s">
        <v>37328</v>
      </c>
      <c r="N17103" t="s">
        <v>30</v>
      </c>
      <c r="O17103" t="s">
        <v>31</v>
      </c>
      <c r="P17103" t="str">
        <f>"15235"</f>
        <v>15235</v>
      </c>
    </row>
    <row r="17104" spans="1:16" x14ac:dyDescent="0.25">
      <c r="A17104" t="str">
        <f>"1260045S00339    00"</f>
        <v>1260045S00339    00</v>
      </c>
      <c r="B17104" t="s">
        <v>37329</v>
      </c>
      <c r="C17104" t="s">
        <v>36098</v>
      </c>
      <c r="D17104" t="s">
        <v>20</v>
      </c>
      <c r="E17104" t="s">
        <v>39</v>
      </c>
      <c r="F17104">
        <v>0</v>
      </c>
      <c r="G17104">
        <v>0</v>
      </c>
      <c r="H17104">
        <v>6</v>
      </c>
      <c r="I17104" s="3">
        <v>874.7</v>
      </c>
      <c r="J17104" s="3">
        <v>258.02999999999997</v>
      </c>
      <c r="K17104" t="s">
        <v>37330</v>
      </c>
      <c r="L17104">
        <v>9</v>
      </c>
      <c r="M17104" t="s">
        <v>37328</v>
      </c>
      <c r="N17104" t="s">
        <v>30</v>
      </c>
      <c r="O17104" t="s">
        <v>31</v>
      </c>
      <c r="P17104" t="str">
        <f>"15235"</f>
        <v>15235</v>
      </c>
    </row>
    <row r="17105" spans="1:16" x14ac:dyDescent="0.25">
      <c r="A17105" t="str">
        <f>"1260046A00003    00"</f>
        <v>1260046A00003    00</v>
      </c>
      <c r="B17105" t="s">
        <v>37331</v>
      </c>
      <c r="C17105" t="s">
        <v>37332</v>
      </c>
      <c r="D17105" t="s">
        <v>20</v>
      </c>
      <c r="E17105" t="s">
        <v>39</v>
      </c>
      <c r="F17105">
        <v>0</v>
      </c>
      <c r="G17105">
        <v>0</v>
      </c>
      <c r="H17105">
        <v>19</v>
      </c>
      <c r="I17105" s="3">
        <v>8512.4699999999993</v>
      </c>
      <c r="J17105" s="3">
        <v>9625.26</v>
      </c>
      <c r="K17105" t="s">
        <v>1008</v>
      </c>
      <c r="P17105" t="str">
        <f>""</f>
        <v/>
      </c>
    </row>
    <row r="17106" spans="1:16" x14ac:dyDescent="0.25">
      <c r="A17106" t="str">
        <f>"1260046A00005    00"</f>
        <v>1260046A00005    00</v>
      </c>
      <c r="B17106" t="s">
        <v>37333</v>
      </c>
      <c r="C17106" t="s">
        <v>37334</v>
      </c>
      <c r="D17106" t="s">
        <v>20</v>
      </c>
      <c r="E17106" t="s">
        <v>39</v>
      </c>
      <c r="F17106">
        <v>0</v>
      </c>
      <c r="G17106">
        <v>0</v>
      </c>
      <c r="H17106">
        <v>1</v>
      </c>
      <c r="I17106" s="3">
        <v>487.96</v>
      </c>
      <c r="J17106" s="3">
        <v>0</v>
      </c>
      <c r="L17106">
        <v>2650</v>
      </c>
      <c r="M17106" t="s">
        <v>37335</v>
      </c>
      <c r="N17106" t="s">
        <v>30</v>
      </c>
      <c r="O17106" t="s">
        <v>31</v>
      </c>
      <c r="P17106" t="str">
        <f>"15214"</f>
        <v>15214</v>
      </c>
    </row>
    <row r="17107" spans="1:16" x14ac:dyDescent="0.25">
      <c r="A17107" t="str">
        <f>"1260046A00012    00"</f>
        <v>1260046A00012    00</v>
      </c>
      <c r="B17107" t="s">
        <v>37336</v>
      </c>
      <c r="C17107" t="s">
        <v>37337</v>
      </c>
      <c r="D17107" t="s">
        <v>20</v>
      </c>
      <c r="E17107" t="s">
        <v>39</v>
      </c>
      <c r="F17107">
        <v>0</v>
      </c>
      <c r="G17107">
        <v>0</v>
      </c>
      <c r="H17107">
        <v>18</v>
      </c>
      <c r="I17107" s="3">
        <v>11200.07</v>
      </c>
      <c r="J17107" s="3">
        <v>11283.37</v>
      </c>
      <c r="L17107">
        <v>2636</v>
      </c>
      <c r="M17107" t="s">
        <v>37338</v>
      </c>
      <c r="N17107" t="s">
        <v>30</v>
      </c>
      <c r="O17107" t="s">
        <v>31</v>
      </c>
      <c r="P17107" t="str">
        <f>"15214"</f>
        <v>15214</v>
      </c>
    </row>
    <row r="17108" spans="1:16" x14ac:dyDescent="0.25">
      <c r="A17108" t="str">
        <f>"1260046A00014    00"</f>
        <v>1260046A00014    00</v>
      </c>
      <c r="B17108" t="s">
        <v>37339</v>
      </c>
      <c r="C17108" t="s">
        <v>37340</v>
      </c>
      <c r="D17108" t="s">
        <v>20</v>
      </c>
      <c r="E17108" t="s">
        <v>39</v>
      </c>
      <c r="F17108">
        <v>0</v>
      </c>
      <c r="G17108">
        <v>0</v>
      </c>
      <c r="H17108">
        <v>3</v>
      </c>
      <c r="I17108" s="3">
        <v>1373.33</v>
      </c>
      <c r="J17108" s="3">
        <v>369.86</v>
      </c>
      <c r="L17108">
        <v>2632</v>
      </c>
      <c r="M17108" t="s">
        <v>37335</v>
      </c>
      <c r="N17108" t="s">
        <v>30</v>
      </c>
      <c r="O17108" t="s">
        <v>31</v>
      </c>
      <c r="P17108" t="str">
        <f>"15214"</f>
        <v>15214</v>
      </c>
    </row>
    <row r="17109" spans="1:16" x14ac:dyDescent="0.25">
      <c r="A17109" t="str">
        <f>"1260046A00016    00"</f>
        <v>1260046A00016    00</v>
      </c>
      <c r="B17109" t="s">
        <v>37339</v>
      </c>
      <c r="C17109" t="s">
        <v>37341</v>
      </c>
      <c r="D17109" t="s">
        <v>20</v>
      </c>
      <c r="E17109" t="s">
        <v>39</v>
      </c>
      <c r="F17109">
        <v>0</v>
      </c>
      <c r="G17109">
        <v>0</v>
      </c>
      <c r="H17109">
        <v>6</v>
      </c>
      <c r="I17109" s="3">
        <v>499.28</v>
      </c>
      <c r="J17109" s="3">
        <v>163.85</v>
      </c>
      <c r="L17109">
        <v>2632</v>
      </c>
      <c r="M17109" t="s">
        <v>37335</v>
      </c>
      <c r="N17109" t="s">
        <v>30</v>
      </c>
      <c r="O17109" t="s">
        <v>31</v>
      </c>
      <c r="P17109" t="str">
        <f>"15214"</f>
        <v>15214</v>
      </c>
    </row>
    <row r="17110" spans="1:16" x14ac:dyDescent="0.25">
      <c r="A17110" t="str">
        <f>"1260046A00017    00"</f>
        <v>1260046A00017    00</v>
      </c>
      <c r="B17110" t="s">
        <v>37342</v>
      </c>
      <c r="C17110" t="s">
        <v>37341</v>
      </c>
      <c r="D17110" t="s">
        <v>20</v>
      </c>
      <c r="E17110" t="s">
        <v>39</v>
      </c>
      <c r="F17110">
        <v>0</v>
      </c>
      <c r="G17110">
        <v>0</v>
      </c>
      <c r="H17110">
        <v>19</v>
      </c>
      <c r="I17110" s="3">
        <v>666.21</v>
      </c>
      <c r="J17110" s="3">
        <v>779.55</v>
      </c>
      <c r="K17110" t="s">
        <v>1008</v>
      </c>
      <c r="P17110" t="str">
        <f>""</f>
        <v/>
      </c>
    </row>
    <row r="17111" spans="1:16" x14ac:dyDescent="0.25">
      <c r="A17111" t="str">
        <f>"1260046A00019    00"</f>
        <v>1260046A00019    00</v>
      </c>
      <c r="B17111" t="s">
        <v>37343</v>
      </c>
      <c r="C17111" t="s">
        <v>37344</v>
      </c>
      <c r="D17111" t="s">
        <v>20</v>
      </c>
      <c r="E17111" t="s">
        <v>39</v>
      </c>
      <c r="F17111">
        <v>0</v>
      </c>
      <c r="G17111">
        <v>0</v>
      </c>
      <c r="H17111">
        <v>19</v>
      </c>
      <c r="I17111" s="3">
        <v>23789.35</v>
      </c>
      <c r="J17111" s="3">
        <v>26777.759999999998</v>
      </c>
      <c r="L17111">
        <v>2624</v>
      </c>
      <c r="M17111" t="s">
        <v>37335</v>
      </c>
      <c r="N17111" t="s">
        <v>30</v>
      </c>
      <c r="O17111" t="s">
        <v>31</v>
      </c>
      <c r="P17111" t="str">
        <f>"15214"</f>
        <v>15214</v>
      </c>
    </row>
    <row r="17112" spans="1:16" x14ac:dyDescent="0.25">
      <c r="A17112" t="str">
        <f>"1260046A00020    00"</f>
        <v>1260046A00020    00</v>
      </c>
      <c r="B17112" t="s">
        <v>37343</v>
      </c>
      <c r="C17112" t="s">
        <v>37341</v>
      </c>
      <c r="D17112" t="s">
        <v>20</v>
      </c>
      <c r="E17112" t="s">
        <v>39</v>
      </c>
      <c r="F17112">
        <v>0</v>
      </c>
      <c r="G17112">
        <v>0</v>
      </c>
      <c r="H17112">
        <v>19</v>
      </c>
      <c r="I17112" s="3">
        <v>1432.01</v>
      </c>
      <c r="J17112" s="3">
        <v>1161.5999999999999</v>
      </c>
      <c r="L17112">
        <v>2622</v>
      </c>
      <c r="M17112" t="s">
        <v>37335</v>
      </c>
      <c r="N17112" t="s">
        <v>30</v>
      </c>
      <c r="O17112" t="s">
        <v>31</v>
      </c>
      <c r="P17112" t="str">
        <f>"15214"</f>
        <v>15214</v>
      </c>
    </row>
    <row r="17113" spans="1:16" x14ac:dyDescent="0.25">
      <c r="A17113" t="str">
        <f>"1260046A00023    00"</f>
        <v>1260046A00023    00</v>
      </c>
      <c r="B17113" t="s">
        <v>37345</v>
      </c>
      <c r="C17113" t="s">
        <v>37346</v>
      </c>
      <c r="D17113" t="s">
        <v>20</v>
      </c>
      <c r="E17113" t="s">
        <v>39</v>
      </c>
      <c r="F17113">
        <v>0</v>
      </c>
      <c r="G17113">
        <v>0</v>
      </c>
      <c r="H17113">
        <v>2</v>
      </c>
      <c r="I17113" s="3">
        <v>290.74</v>
      </c>
      <c r="J17113" s="3">
        <v>0</v>
      </c>
      <c r="L17113">
        <v>2616</v>
      </c>
      <c r="M17113" t="s">
        <v>37335</v>
      </c>
      <c r="N17113" t="s">
        <v>30</v>
      </c>
      <c r="O17113" t="s">
        <v>31</v>
      </c>
      <c r="P17113" t="str">
        <f>"15214"</f>
        <v>15214</v>
      </c>
    </row>
    <row r="17114" spans="1:16" x14ac:dyDescent="0.25">
      <c r="A17114" t="str">
        <f>"1260046A00025    00"</f>
        <v>1260046A00025    00</v>
      </c>
      <c r="B17114" t="s">
        <v>37347</v>
      </c>
      <c r="C17114" t="s">
        <v>37341</v>
      </c>
      <c r="D17114" t="s">
        <v>20</v>
      </c>
      <c r="E17114" t="s">
        <v>39</v>
      </c>
      <c r="F17114">
        <v>0</v>
      </c>
      <c r="G17114">
        <v>0</v>
      </c>
      <c r="H17114">
        <v>19</v>
      </c>
      <c r="I17114" s="3">
        <v>7070.37</v>
      </c>
      <c r="J17114" s="3">
        <v>4134.8</v>
      </c>
      <c r="K17114" t="s">
        <v>1008</v>
      </c>
      <c r="P17114" t="str">
        <f>""</f>
        <v/>
      </c>
    </row>
    <row r="17115" spans="1:16" x14ac:dyDescent="0.25">
      <c r="A17115" t="str">
        <f>"1260046A00026    00"</f>
        <v>1260046A00026    00</v>
      </c>
      <c r="B17115" t="s">
        <v>37348</v>
      </c>
      <c r="C17115" t="s">
        <v>37341</v>
      </c>
      <c r="D17115" t="s">
        <v>20</v>
      </c>
      <c r="E17115" t="s">
        <v>39</v>
      </c>
      <c r="F17115">
        <v>0</v>
      </c>
      <c r="G17115">
        <v>0</v>
      </c>
      <c r="H17115">
        <v>19</v>
      </c>
      <c r="I17115" s="3">
        <v>666.21</v>
      </c>
      <c r="J17115" s="3">
        <v>779.55</v>
      </c>
      <c r="L17115">
        <v>606</v>
      </c>
      <c r="M17115" t="s">
        <v>25680</v>
      </c>
      <c r="N17115" t="s">
        <v>30</v>
      </c>
      <c r="O17115" t="s">
        <v>31</v>
      </c>
      <c r="P17115" t="str">
        <f>"15210"</f>
        <v>15210</v>
      </c>
    </row>
    <row r="17116" spans="1:16" x14ac:dyDescent="0.25">
      <c r="A17116" t="str">
        <f>"1260046A00028    00"</f>
        <v>1260046A00028    00</v>
      </c>
      <c r="B17116" t="s">
        <v>37349</v>
      </c>
      <c r="C17116" t="s">
        <v>37341</v>
      </c>
      <c r="E17116" t="s">
        <v>39</v>
      </c>
      <c r="F17116">
        <v>0</v>
      </c>
      <c r="G17116">
        <v>0</v>
      </c>
      <c r="H17116">
        <v>16</v>
      </c>
      <c r="I17116" s="3">
        <v>468.47</v>
      </c>
      <c r="J17116" s="3">
        <v>634.01</v>
      </c>
      <c r="L17116">
        <v>7019</v>
      </c>
      <c r="M17116" t="s">
        <v>12682</v>
      </c>
      <c r="N17116" t="s">
        <v>30</v>
      </c>
      <c r="O17116" t="s">
        <v>31</v>
      </c>
      <c r="P17116" t="str">
        <f>"15206"</f>
        <v>15206</v>
      </c>
    </row>
    <row r="17117" spans="1:16" x14ac:dyDescent="0.25">
      <c r="A17117" t="str">
        <f>"1260046A00029    00"</f>
        <v>1260046A00029    00</v>
      </c>
      <c r="B17117" t="s">
        <v>37350</v>
      </c>
      <c r="C17117" t="s">
        <v>37341</v>
      </c>
      <c r="D17117" t="s">
        <v>20</v>
      </c>
      <c r="E17117" t="s">
        <v>39</v>
      </c>
      <c r="F17117">
        <v>0</v>
      </c>
      <c r="G17117">
        <v>0</v>
      </c>
      <c r="H17117">
        <v>17</v>
      </c>
      <c r="I17117" s="3">
        <v>449.56</v>
      </c>
      <c r="J17117" s="3">
        <v>598.51</v>
      </c>
      <c r="K17117" t="s">
        <v>1008</v>
      </c>
      <c r="P17117" t="str">
        <f>""</f>
        <v/>
      </c>
    </row>
    <row r="17118" spans="1:16" x14ac:dyDescent="0.25">
      <c r="A17118" t="str">
        <f>"1260046A00031    00"</f>
        <v>1260046A00031    00</v>
      </c>
      <c r="B17118" t="s">
        <v>37351</v>
      </c>
      <c r="C17118" t="s">
        <v>37341</v>
      </c>
      <c r="D17118" t="s">
        <v>20</v>
      </c>
      <c r="E17118" t="s">
        <v>39</v>
      </c>
      <c r="F17118">
        <v>0</v>
      </c>
      <c r="G17118">
        <v>0</v>
      </c>
      <c r="H17118">
        <v>19</v>
      </c>
      <c r="I17118" s="3">
        <v>9359.08</v>
      </c>
      <c r="J17118" s="3">
        <v>11463.55</v>
      </c>
      <c r="L17118">
        <v>5416</v>
      </c>
      <c r="M17118" t="s">
        <v>29511</v>
      </c>
      <c r="N17118" t="s">
        <v>30</v>
      </c>
      <c r="O17118" t="s">
        <v>31</v>
      </c>
      <c r="P17118" t="str">
        <f>"15236"</f>
        <v>15236</v>
      </c>
    </row>
    <row r="17119" spans="1:16" x14ac:dyDescent="0.25">
      <c r="A17119" t="str">
        <f>"1260046A00036A   00"</f>
        <v>1260046A00036A   00</v>
      </c>
      <c r="B17119" t="s">
        <v>37352</v>
      </c>
      <c r="C17119" t="s">
        <v>37341</v>
      </c>
      <c r="D17119" t="s">
        <v>20</v>
      </c>
      <c r="E17119" t="s">
        <v>39</v>
      </c>
      <c r="F17119">
        <v>0</v>
      </c>
      <c r="G17119">
        <v>0</v>
      </c>
      <c r="H17119">
        <v>19</v>
      </c>
      <c r="I17119" s="3">
        <v>8707.65</v>
      </c>
      <c r="J17119" s="3">
        <v>8999.36</v>
      </c>
      <c r="P17119" t="str">
        <f>""</f>
        <v/>
      </c>
    </row>
    <row r="17120" spans="1:16" x14ac:dyDescent="0.25">
      <c r="A17120" t="str">
        <f>"1260046A00037    00"</f>
        <v>1260046A00037    00</v>
      </c>
      <c r="B17120" t="s">
        <v>37353</v>
      </c>
      <c r="C17120" t="s">
        <v>37341</v>
      </c>
      <c r="D17120" t="s">
        <v>20</v>
      </c>
      <c r="E17120" t="s">
        <v>39</v>
      </c>
      <c r="F17120">
        <v>0</v>
      </c>
      <c r="G17120">
        <v>0</v>
      </c>
      <c r="H17120">
        <v>17</v>
      </c>
      <c r="I17120" s="3">
        <v>7435.57</v>
      </c>
      <c r="J17120" s="3">
        <v>10674.14</v>
      </c>
      <c r="P17120" t="str">
        <f>""</f>
        <v/>
      </c>
    </row>
    <row r="17121" spans="1:16" x14ac:dyDescent="0.25">
      <c r="A17121" t="str">
        <f>"1260046A00037A   00"</f>
        <v>1260046A00037A   00</v>
      </c>
      <c r="B17121" t="s">
        <v>37354</v>
      </c>
      <c r="C17121" t="s">
        <v>37341</v>
      </c>
      <c r="D17121" t="s">
        <v>20</v>
      </c>
      <c r="E17121" t="s">
        <v>39</v>
      </c>
      <c r="F17121">
        <v>0</v>
      </c>
      <c r="G17121">
        <v>0</v>
      </c>
      <c r="H17121">
        <v>17</v>
      </c>
      <c r="I17121" s="3">
        <v>1061.3599999999999</v>
      </c>
      <c r="J17121" s="3">
        <v>1558.12</v>
      </c>
      <c r="L17121">
        <v>4936</v>
      </c>
      <c r="M17121" t="s">
        <v>37355</v>
      </c>
      <c r="N17121" t="s">
        <v>195</v>
      </c>
      <c r="O17121" t="s">
        <v>31</v>
      </c>
      <c r="P17121" t="str">
        <f>"15101"</f>
        <v>15101</v>
      </c>
    </row>
    <row r="17122" spans="1:16" x14ac:dyDescent="0.25">
      <c r="A17122" t="str">
        <f>"1260046A00044    00"</f>
        <v>1260046A00044    00</v>
      </c>
      <c r="B17122" t="s">
        <v>37356</v>
      </c>
      <c r="C17122" t="s">
        <v>37357</v>
      </c>
      <c r="D17122" t="s">
        <v>20</v>
      </c>
      <c r="E17122" t="s">
        <v>39</v>
      </c>
      <c r="F17122">
        <v>0</v>
      </c>
      <c r="G17122">
        <v>0</v>
      </c>
      <c r="H17122">
        <v>19</v>
      </c>
      <c r="I17122" s="3">
        <v>19136.59</v>
      </c>
      <c r="J17122" s="3">
        <v>21298.36</v>
      </c>
      <c r="M17122" t="s">
        <v>37358</v>
      </c>
      <c r="N17122" t="s">
        <v>30</v>
      </c>
      <c r="O17122" t="s">
        <v>31</v>
      </c>
      <c r="P17122" t="str">
        <f>"15212"</f>
        <v>15212</v>
      </c>
    </row>
    <row r="17123" spans="1:16" x14ac:dyDescent="0.25">
      <c r="A17123" t="str">
        <f>"1260046A00060    00"</f>
        <v>1260046A00060    00</v>
      </c>
      <c r="B17123" t="s">
        <v>37359</v>
      </c>
      <c r="C17123" t="s">
        <v>37360</v>
      </c>
      <c r="D17123" t="s">
        <v>20</v>
      </c>
      <c r="E17123" t="s">
        <v>39</v>
      </c>
      <c r="F17123">
        <v>0</v>
      </c>
      <c r="G17123">
        <v>0</v>
      </c>
      <c r="H17123">
        <v>19</v>
      </c>
      <c r="I17123" s="3">
        <v>624.94000000000005</v>
      </c>
      <c r="J17123" s="3">
        <v>780.21</v>
      </c>
      <c r="K17123" t="s">
        <v>37361</v>
      </c>
      <c r="L17123">
        <v>2630</v>
      </c>
      <c r="M17123" t="s">
        <v>35190</v>
      </c>
      <c r="N17123" t="s">
        <v>30</v>
      </c>
      <c r="O17123" t="s">
        <v>31</v>
      </c>
      <c r="P17123" t="str">
        <f>"15214"</f>
        <v>15214</v>
      </c>
    </row>
    <row r="17124" spans="1:16" x14ac:dyDescent="0.25">
      <c r="A17124" t="str">
        <f>"1260046A00069    00"</f>
        <v>1260046A00069    00</v>
      </c>
      <c r="B17124" t="s">
        <v>37362</v>
      </c>
      <c r="C17124" t="s">
        <v>37363</v>
      </c>
      <c r="D17124" t="s">
        <v>20</v>
      </c>
      <c r="E17124" t="s">
        <v>39</v>
      </c>
      <c r="F17124">
        <v>0</v>
      </c>
      <c r="G17124">
        <v>0</v>
      </c>
      <c r="H17124">
        <v>4</v>
      </c>
      <c r="I17124" s="3">
        <v>926.14</v>
      </c>
      <c r="J17124" s="3">
        <v>126.83</v>
      </c>
      <c r="K17124" t="s">
        <v>37364</v>
      </c>
      <c r="L17124">
        <v>2612</v>
      </c>
      <c r="M17124" t="s">
        <v>35190</v>
      </c>
      <c r="N17124" t="s">
        <v>30</v>
      </c>
      <c r="O17124" t="s">
        <v>31</v>
      </c>
      <c r="P17124" t="str">
        <f>"15214"</f>
        <v>15214</v>
      </c>
    </row>
    <row r="17125" spans="1:16" x14ac:dyDescent="0.25">
      <c r="A17125" t="str">
        <f>"1260046A00093    00"</f>
        <v>1260046A00093    00</v>
      </c>
      <c r="B17125" t="s">
        <v>36974</v>
      </c>
      <c r="C17125" t="s">
        <v>37365</v>
      </c>
      <c r="D17125" t="s">
        <v>20</v>
      </c>
      <c r="E17125" t="s">
        <v>39</v>
      </c>
      <c r="F17125">
        <v>0</v>
      </c>
      <c r="G17125">
        <v>0</v>
      </c>
      <c r="H17125">
        <v>3</v>
      </c>
      <c r="I17125" s="3">
        <v>800.52</v>
      </c>
      <c r="J17125" s="3">
        <v>53.37</v>
      </c>
      <c r="L17125">
        <v>725</v>
      </c>
      <c r="M17125" t="s">
        <v>36303</v>
      </c>
      <c r="N17125" t="s">
        <v>30</v>
      </c>
      <c r="O17125" t="s">
        <v>31</v>
      </c>
      <c r="P17125" t="str">
        <f>"15214"</f>
        <v>15214</v>
      </c>
    </row>
    <row r="17126" spans="1:16" x14ac:dyDescent="0.25">
      <c r="A17126" t="str">
        <f>"1260046A00096    00"</f>
        <v>1260046A00096    00</v>
      </c>
      <c r="B17126" t="s">
        <v>37366</v>
      </c>
      <c r="C17126" t="s">
        <v>37367</v>
      </c>
      <c r="D17126" t="s">
        <v>20</v>
      </c>
      <c r="E17126" t="s">
        <v>39</v>
      </c>
      <c r="F17126">
        <v>0</v>
      </c>
      <c r="G17126">
        <v>0</v>
      </c>
      <c r="H17126">
        <v>5</v>
      </c>
      <c r="I17126" s="3">
        <v>527.67999999999995</v>
      </c>
      <c r="J17126" s="3">
        <v>131.91</v>
      </c>
      <c r="K17126" t="s">
        <v>37368</v>
      </c>
      <c r="L17126">
        <v>2830</v>
      </c>
      <c r="M17126" t="s">
        <v>20337</v>
      </c>
      <c r="N17126" t="s">
        <v>30</v>
      </c>
      <c r="O17126" t="s">
        <v>31</v>
      </c>
      <c r="P17126" t="str">
        <f>"15214"</f>
        <v>15214</v>
      </c>
    </row>
    <row r="17127" spans="1:16" x14ac:dyDescent="0.25">
      <c r="A17127" t="str">
        <f>"1260046A00105B   00"</f>
        <v>1260046A00105B   00</v>
      </c>
      <c r="B17127" t="s">
        <v>37369</v>
      </c>
      <c r="C17127" t="s">
        <v>37370</v>
      </c>
      <c r="E17127" t="s">
        <v>39</v>
      </c>
      <c r="F17127">
        <v>0</v>
      </c>
      <c r="G17127">
        <v>0</v>
      </c>
      <c r="H17127">
        <v>6</v>
      </c>
      <c r="I17127" s="3">
        <v>2571.7199999999998</v>
      </c>
      <c r="J17127" s="3">
        <v>1824.31</v>
      </c>
      <c r="L17127">
        <v>211</v>
      </c>
      <c r="M17127" t="s">
        <v>37371</v>
      </c>
      <c r="N17127" t="s">
        <v>22151</v>
      </c>
      <c r="O17127" t="s">
        <v>31</v>
      </c>
      <c r="P17127" t="str">
        <f>"16063"</f>
        <v>16063</v>
      </c>
    </row>
    <row r="17128" spans="1:16" x14ac:dyDescent="0.25">
      <c r="A17128" t="str">
        <f>"1260046A00123    00"</f>
        <v>1260046A00123    00</v>
      </c>
      <c r="B17128" t="s">
        <v>37372</v>
      </c>
      <c r="C17128" t="s">
        <v>37360</v>
      </c>
      <c r="D17128" t="s">
        <v>20</v>
      </c>
      <c r="E17128" t="s">
        <v>39</v>
      </c>
      <c r="F17128">
        <v>0</v>
      </c>
      <c r="G17128">
        <v>0</v>
      </c>
      <c r="H17128">
        <v>19</v>
      </c>
      <c r="I17128" s="3">
        <v>7077.16</v>
      </c>
      <c r="J17128" s="3">
        <v>7016.21</v>
      </c>
      <c r="K17128" t="s">
        <v>1037</v>
      </c>
      <c r="L17128">
        <v>2633</v>
      </c>
      <c r="M17128" t="s">
        <v>35190</v>
      </c>
      <c r="N17128" t="s">
        <v>30</v>
      </c>
      <c r="O17128" t="s">
        <v>31</v>
      </c>
      <c r="P17128" t="str">
        <f>"15214"</f>
        <v>15214</v>
      </c>
    </row>
    <row r="17129" spans="1:16" x14ac:dyDescent="0.25">
      <c r="A17129" t="str">
        <f>"1260046A00126    00"</f>
        <v>1260046A00126    00</v>
      </c>
      <c r="B17129" t="s">
        <v>37373</v>
      </c>
      <c r="C17129" t="s">
        <v>37374</v>
      </c>
      <c r="D17129" t="s">
        <v>20</v>
      </c>
      <c r="E17129" t="s">
        <v>39</v>
      </c>
      <c r="F17129">
        <v>0</v>
      </c>
      <c r="G17129">
        <v>0</v>
      </c>
      <c r="H17129">
        <v>1</v>
      </c>
      <c r="I17129" s="3">
        <v>911.07</v>
      </c>
      <c r="J17129" s="3">
        <v>0</v>
      </c>
      <c r="L17129">
        <v>2721</v>
      </c>
      <c r="M17129" t="s">
        <v>37375</v>
      </c>
      <c r="N17129" t="s">
        <v>30</v>
      </c>
      <c r="O17129" t="s">
        <v>31</v>
      </c>
      <c r="P17129" t="str">
        <f>"15214"</f>
        <v>15214</v>
      </c>
    </row>
    <row r="17130" spans="1:16" x14ac:dyDescent="0.25">
      <c r="A17130" t="str">
        <f>"1260046A00127B   00"</f>
        <v>1260046A00127B   00</v>
      </c>
      <c r="B17130" t="s">
        <v>37376</v>
      </c>
      <c r="C17130" t="s">
        <v>37377</v>
      </c>
      <c r="D17130" t="s">
        <v>20</v>
      </c>
      <c r="E17130" t="s">
        <v>39</v>
      </c>
      <c r="F17130">
        <v>0</v>
      </c>
      <c r="G17130">
        <v>0</v>
      </c>
      <c r="H17130">
        <v>17</v>
      </c>
      <c r="I17130" s="3">
        <v>449.56</v>
      </c>
      <c r="J17130" s="3">
        <v>598.51</v>
      </c>
      <c r="K17130" t="s">
        <v>1037</v>
      </c>
      <c r="L17130">
        <v>3592</v>
      </c>
      <c r="M17130" t="s">
        <v>13961</v>
      </c>
      <c r="N17130" t="s">
        <v>30</v>
      </c>
      <c r="O17130" t="s">
        <v>31</v>
      </c>
      <c r="P17130" t="str">
        <f>"15212"</f>
        <v>15212</v>
      </c>
    </row>
    <row r="17131" spans="1:16" x14ac:dyDescent="0.25">
      <c r="A17131" t="str">
        <f>"1260046A00132    00"</f>
        <v>1260046A00132    00</v>
      </c>
      <c r="B17131" t="s">
        <v>37378</v>
      </c>
      <c r="C17131" t="s">
        <v>37379</v>
      </c>
      <c r="D17131" t="s">
        <v>20</v>
      </c>
      <c r="E17131" t="s">
        <v>39</v>
      </c>
      <c r="F17131">
        <v>0</v>
      </c>
      <c r="G17131">
        <v>0</v>
      </c>
      <c r="H17131">
        <v>18</v>
      </c>
      <c r="I17131" s="3">
        <v>7638.91</v>
      </c>
      <c r="J17131" s="3">
        <v>4746.8599999999997</v>
      </c>
      <c r="L17131">
        <v>432</v>
      </c>
      <c r="M17131" t="s">
        <v>37380</v>
      </c>
      <c r="N17131" t="s">
        <v>12899</v>
      </c>
      <c r="O17131" t="s">
        <v>31</v>
      </c>
      <c r="P17131" t="str">
        <f>"15148"</f>
        <v>15148</v>
      </c>
    </row>
    <row r="17132" spans="1:16" x14ac:dyDescent="0.25">
      <c r="A17132" t="str">
        <f>"1260046A00134    00"</f>
        <v>1260046A00134    00</v>
      </c>
      <c r="B17132" t="s">
        <v>37381</v>
      </c>
      <c r="C17132" t="s">
        <v>37382</v>
      </c>
      <c r="D17132" t="s">
        <v>20</v>
      </c>
      <c r="E17132" t="s">
        <v>39</v>
      </c>
      <c r="F17132">
        <v>0</v>
      </c>
      <c r="G17132">
        <v>0</v>
      </c>
      <c r="H17132">
        <v>2</v>
      </c>
      <c r="I17132" s="3">
        <v>1894.58</v>
      </c>
      <c r="J17132" s="3">
        <v>0</v>
      </c>
      <c r="K17132" t="s">
        <v>37383</v>
      </c>
      <c r="L17132">
        <v>3338</v>
      </c>
      <c r="M17132" t="s">
        <v>13961</v>
      </c>
      <c r="N17132" t="s">
        <v>30</v>
      </c>
      <c r="O17132" t="s">
        <v>31</v>
      </c>
      <c r="P17132" t="str">
        <f>"15212"</f>
        <v>15212</v>
      </c>
    </row>
    <row r="17133" spans="1:16" x14ac:dyDescent="0.25">
      <c r="A17133" t="str">
        <f>"1260046A00136    00"</f>
        <v>1260046A00136    00</v>
      </c>
      <c r="B17133" t="s">
        <v>37384</v>
      </c>
      <c r="C17133" t="s">
        <v>37385</v>
      </c>
      <c r="D17133" t="s">
        <v>20</v>
      </c>
      <c r="E17133" t="s">
        <v>39</v>
      </c>
      <c r="F17133">
        <v>0</v>
      </c>
      <c r="G17133">
        <v>0</v>
      </c>
      <c r="H17133">
        <v>18</v>
      </c>
      <c r="I17133" s="3">
        <v>6685.3</v>
      </c>
      <c r="J17133" s="3">
        <v>5411.97</v>
      </c>
      <c r="L17133">
        <v>2638</v>
      </c>
      <c r="M17133" t="s">
        <v>37335</v>
      </c>
      <c r="N17133" t="s">
        <v>30</v>
      </c>
      <c r="O17133" t="s">
        <v>31</v>
      </c>
      <c r="P17133" t="str">
        <f>"15214"</f>
        <v>15214</v>
      </c>
    </row>
    <row r="17134" spans="1:16" x14ac:dyDescent="0.25">
      <c r="A17134" t="str">
        <f>"1260046A00184    00"</f>
        <v>1260046A00184    00</v>
      </c>
      <c r="B17134" t="s">
        <v>37386</v>
      </c>
      <c r="C17134" t="s">
        <v>37387</v>
      </c>
      <c r="D17134" t="s">
        <v>20</v>
      </c>
      <c r="E17134" t="s">
        <v>39</v>
      </c>
      <c r="F17134">
        <v>0</v>
      </c>
      <c r="G17134">
        <v>0</v>
      </c>
      <c r="H17134">
        <v>8</v>
      </c>
      <c r="I17134" s="3">
        <v>1456.91</v>
      </c>
      <c r="J17134" s="3">
        <v>476.72</v>
      </c>
      <c r="K17134" t="s">
        <v>37388</v>
      </c>
      <c r="L17134">
        <v>227</v>
      </c>
      <c r="M17134" t="s">
        <v>37389</v>
      </c>
      <c r="N17134" t="s">
        <v>30</v>
      </c>
      <c r="O17134" t="s">
        <v>31</v>
      </c>
      <c r="P17134" t="str">
        <f>"15214"</f>
        <v>15214</v>
      </c>
    </row>
    <row r="17135" spans="1:16" x14ac:dyDescent="0.25">
      <c r="A17135" t="str">
        <f>"1260046A00185    00"</f>
        <v>1260046A00185    00</v>
      </c>
      <c r="B17135" t="s">
        <v>37390</v>
      </c>
      <c r="C17135" t="s">
        <v>37391</v>
      </c>
      <c r="D17135" t="s">
        <v>20</v>
      </c>
      <c r="E17135" t="s">
        <v>39</v>
      </c>
      <c r="F17135">
        <v>0</v>
      </c>
      <c r="G17135">
        <v>0</v>
      </c>
      <c r="H17135">
        <v>19</v>
      </c>
      <c r="I17135" s="3">
        <v>12204.85</v>
      </c>
      <c r="J17135" s="3">
        <v>13025.43</v>
      </c>
      <c r="L17135">
        <v>3328</v>
      </c>
      <c r="M17135" t="s">
        <v>13961</v>
      </c>
      <c r="N17135" t="s">
        <v>30</v>
      </c>
      <c r="O17135" t="s">
        <v>31</v>
      </c>
      <c r="P17135" t="str">
        <f>"15212"</f>
        <v>15212</v>
      </c>
    </row>
    <row r="17136" spans="1:16" x14ac:dyDescent="0.25">
      <c r="A17136" t="str">
        <f>"1260046A00186    00"</f>
        <v>1260046A00186    00</v>
      </c>
      <c r="B17136" t="s">
        <v>37392</v>
      </c>
      <c r="C17136" t="s">
        <v>37393</v>
      </c>
      <c r="D17136" t="s">
        <v>20</v>
      </c>
      <c r="E17136" t="s">
        <v>39</v>
      </c>
      <c r="F17136">
        <v>0</v>
      </c>
      <c r="G17136">
        <v>0</v>
      </c>
      <c r="H17136">
        <v>14</v>
      </c>
      <c r="I17136" s="3">
        <v>7367.88</v>
      </c>
      <c r="J17136" s="3">
        <v>4757.12</v>
      </c>
      <c r="L17136">
        <v>231</v>
      </c>
      <c r="M17136" t="s">
        <v>37389</v>
      </c>
      <c r="N17136" t="s">
        <v>30</v>
      </c>
      <c r="O17136" t="s">
        <v>31</v>
      </c>
      <c r="P17136" t="str">
        <f>"15214"</f>
        <v>15214</v>
      </c>
    </row>
    <row r="17137" spans="1:16" x14ac:dyDescent="0.25">
      <c r="A17137" t="str">
        <f>"1260046A00188    00"</f>
        <v>1260046A00188    00</v>
      </c>
      <c r="B17137" t="s">
        <v>37394</v>
      </c>
      <c r="C17137" t="s">
        <v>37395</v>
      </c>
      <c r="D17137" t="s">
        <v>20</v>
      </c>
      <c r="E17137" t="s">
        <v>39</v>
      </c>
      <c r="F17137">
        <v>0</v>
      </c>
      <c r="G17137">
        <v>0</v>
      </c>
      <c r="H17137">
        <v>1</v>
      </c>
      <c r="I17137" s="3">
        <v>968.26</v>
      </c>
      <c r="J17137" s="3">
        <v>0</v>
      </c>
      <c r="L17137">
        <v>2636</v>
      </c>
      <c r="M17137" t="s">
        <v>33535</v>
      </c>
      <c r="N17137" t="s">
        <v>30</v>
      </c>
      <c r="O17137" t="s">
        <v>31</v>
      </c>
      <c r="P17137" t="str">
        <f>"15214"</f>
        <v>15214</v>
      </c>
    </row>
    <row r="17138" spans="1:16" x14ac:dyDescent="0.25">
      <c r="A17138" t="str">
        <f>"1260046A00193    00"</f>
        <v>1260046A00193    00</v>
      </c>
      <c r="B17138" t="s">
        <v>37396</v>
      </c>
      <c r="C17138" t="s">
        <v>37397</v>
      </c>
      <c r="D17138" t="s">
        <v>20</v>
      </c>
      <c r="E17138" t="s">
        <v>39</v>
      </c>
      <c r="F17138">
        <v>0</v>
      </c>
      <c r="G17138">
        <v>0</v>
      </c>
      <c r="H17138">
        <v>2</v>
      </c>
      <c r="I17138" s="3">
        <v>491.38</v>
      </c>
      <c r="J17138" s="3">
        <v>0</v>
      </c>
      <c r="L17138">
        <v>2626</v>
      </c>
      <c r="M17138" t="s">
        <v>33535</v>
      </c>
      <c r="N17138" t="s">
        <v>30</v>
      </c>
      <c r="O17138" t="s">
        <v>31</v>
      </c>
      <c r="P17138" t="str">
        <f>"15214"</f>
        <v>15214</v>
      </c>
    </row>
    <row r="17139" spans="1:16" x14ac:dyDescent="0.25">
      <c r="A17139" t="str">
        <f>"1260046A00206    00"</f>
        <v>1260046A00206    00</v>
      </c>
      <c r="B17139" t="s">
        <v>37398</v>
      </c>
      <c r="C17139" t="s">
        <v>37399</v>
      </c>
      <c r="E17139" t="s">
        <v>39</v>
      </c>
      <c r="F17139">
        <v>0</v>
      </c>
      <c r="G17139">
        <v>0</v>
      </c>
      <c r="H17139">
        <v>6</v>
      </c>
      <c r="I17139" s="3">
        <v>2563.52</v>
      </c>
      <c r="J17139" s="3">
        <v>1689.6</v>
      </c>
      <c r="L17139">
        <v>211</v>
      </c>
      <c r="M17139" t="s">
        <v>37371</v>
      </c>
      <c r="N17139" t="s">
        <v>22151</v>
      </c>
      <c r="O17139" t="s">
        <v>31</v>
      </c>
      <c r="P17139" t="str">
        <f>"16063"</f>
        <v>16063</v>
      </c>
    </row>
    <row r="17140" spans="1:16" x14ac:dyDescent="0.25">
      <c r="A17140" t="str">
        <f>"1260046A00208    00"</f>
        <v>1260046A00208    00</v>
      </c>
      <c r="B17140" t="s">
        <v>37398</v>
      </c>
      <c r="C17140" t="s">
        <v>37400</v>
      </c>
      <c r="E17140" t="s">
        <v>39</v>
      </c>
      <c r="F17140">
        <v>0</v>
      </c>
      <c r="G17140">
        <v>0</v>
      </c>
      <c r="H17140">
        <v>14</v>
      </c>
      <c r="I17140" s="3">
        <v>5932.39</v>
      </c>
      <c r="J17140" s="3">
        <v>6550.01</v>
      </c>
      <c r="L17140">
        <v>211</v>
      </c>
      <c r="M17140" t="s">
        <v>37371</v>
      </c>
      <c r="N17140" t="s">
        <v>22151</v>
      </c>
      <c r="O17140" t="s">
        <v>31</v>
      </c>
      <c r="P17140" t="str">
        <f>"16063"</f>
        <v>16063</v>
      </c>
    </row>
    <row r="17141" spans="1:16" x14ac:dyDescent="0.25">
      <c r="A17141" t="str">
        <f>"1260046A00209    00"</f>
        <v>1260046A00209    00</v>
      </c>
      <c r="B17141" t="s">
        <v>37398</v>
      </c>
      <c r="C17141" t="s">
        <v>37401</v>
      </c>
      <c r="E17141" t="s">
        <v>39</v>
      </c>
      <c r="F17141">
        <v>0</v>
      </c>
      <c r="G17141">
        <v>0</v>
      </c>
      <c r="H17141">
        <v>14</v>
      </c>
      <c r="I17141" s="3">
        <v>6881.68</v>
      </c>
      <c r="J17141" s="3">
        <v>8216.11</v>
      </c>
      <c r="L17141">
        <v>211</v>
      </c>
      <c r="M17141" t="s">
        <v>37371</v>
      </c>
      <c r="N17141" t="s">
        <v>22151</v>
      </c>
      <c r="O17141" t="s">
        <v>31</v>
      </c>
      <c r="P17141" t="str">
        <f>"16063"</f>
        <v>16063</v>
      </c>
    </row>
    <row r="17142" spans="1:16" x14ac:dyDescent="0.25">
      <c r="A17142" t="str">
        <f>"1260046A00211    00"</f>
        <v>1260046A00211    00</v>
      </c>
      <c r="B17142" t="s">
        <v>37398</v>
      </c>
      <c r="C17142" t="s">
        <v>37402</v>
      </c>
      <c r="E17142" t="s">
        <v>39</v>
      </c>
      <c r="F17142">
        <v>0</v>
      </c>
      <c r="G17142">
        <v>0</v>
      </c>
      <c r="H17142">
        <v>7</v>
      </c>
      <c r="I17142" s="3">
        <v>3057.72</v>
      </c>
      <c r="J17142" s="3">
        <v>2182.13</v>
      </c>
      <c r="L17142">
        <v>211</v>
      </c>
      <c r="M17142" t="s">
        <v>37371</v>
      </c>
      <c r="N17142" t="s">
        <v>22151</v>
      </c>
      <c r="O17142" t="s">
        <v>31</v>
      </c>
      <c r="P17142" t="str">
        <f>"16063"</f>
        <v>16063</v>
      </c>
    </row>
    <row r="17143" spans="1:16" x14ac:dyDescent="0.25">
      <c r="A17143" t="str">
        <f>"1260046A00212    00"</f>
        <v>1260046A00212    00</v>
      </c>
      <c r="B17143" t="s">
        <v>37403</v>
      </c>
      <c r="C17143" t="s">
        <v>37404</v>
      </c>
      <c r="D17143" t="s">
        <v>20</v>
      </c>
      <c r="E17143" t="s">
        <v>39</v>
      </c>
      <c r="F17143">
        <v>0</v>
      </c>
      <c r="G17143">
        <v>0</v>
      </c>
      <c r="H17143">
        <v>3</v>
      </c>
      <c r="I17143" s="3">
        <v>862.16</v>
      </c>
      <c r="J17143" s="3">
        <v>69.3</v>
      </c>
      <c r="L17143">
        <v>2615</v>
      </c>
      <c r="M17143" t="s">
        <v>33535</v>
      </c>
      <c r="N17143" t="s">
        <v>30</v>
      </c>
      <c r="O17143" t="s">
        <v>31</v>
      </c>
      <c r="P17143" t="str">
        <f>"15214"</f>
        <v>15214</v>
      </c>
    </row>
    <row r="17144" spans="1:16" x14ac:dyDescent="0.25">
      <c r="A17144" t="str">
        <f>"1260046A00218    00"</f>
        <v>1260046A00218    00</v>
      </c>
      <c r="B17144" t="s">
        <v>37405</v>
      </c>
      <c r="C17144" t="s">
        <v>37406</v>
      </c>
      <c r="D17144" t="s">
        <v>20</v>
      </c>
      <c r="E17144" t="s">
        <v>39</v>
      </c>
      <c r="F17144">
        <v>0</v>
      </c>
      <c r="G17144">
        <v>0</v>
      </c>
      <c r="H17144">
        <v>1</v>
      </c>
      <c r="I17144" s="3">
        <v>280.66000000000003</v>
      </c>
      <c r="J17144" s="3">
        <v>0</v>
      </c>
      <c r="K17144" t="s">
        <v>9577</v>
      </c>
      <c r="L17144">
        <v>228</v>
      </c>
      <c r="M17144" t="s">
        <v>9578</v>
      </c>
      <c r="N17144" t="s">
        <v>199</v>
      </c>
      <c r="O17144" t="s">
        <v>200</v>
      </c>
      <c r="P17144" t="str">
        <f>"10003"</f>
        <v>10003</v>
      </c>
    </row>
    <row r="17145" spans="1:16" x14ac:dyDescent="0.25">
      <c r="A17145" t="str">
        <f>"1260046A00221    00"</f>
        <v>1260046A00221    00</v>
      </c>
      <c r="B17145" t="s">
        <v>13029</v>
      </c>
      <c r="C17145" t="s">
        <v>37407</v>
      </c>
      <c r="D17145" t="s">
        <v>20</v>
      </c>
      <c r="E17145" t="s">
        <v>39</v>
      </c>
      <c r="F17145">
        <v>0</v>
      </c>
      <c r="G17145">
        <v>0</v>
      </c>
      <c r="H17145">
        <v>4</v>
      </c>
      <c r="I17145" s="3">
        <v>448.07</v>
      </c>
      <c r="J17145" s="3">
        <v>52.94</v>
      </c>
      <c r="L17145">
        <v>311</v>
      </c>
      <c r="M17145" t="s">
        <v>986</v>
      </c>
      <c r="N17145" t="s">
        <v>30</v>
      </c>
      <c r="O17145" t="s">
        <v>31</v>
      </c>
      <c r="P17145" t="str">
        <f>"15214"</f>
        <v>15214</v>
      </c>
    </row>
    <row r="17146" spans="1:16" x14ac:dyDescent="0.25">
      <c r="A17146" t="str">
        <f>"1260046A00222    00"</f>
        <v>1260046A00222    00</v>
      </c>
      <c r="B17146" t="s">
        <v>13029</v>
      </c>
      <c r="C17146" t="s">
        <v>37408</v>
      </c>
      <c r="D17146" t="s">
        <v>20</v>
      </c>
      <c r="E17146" t="s">
        <v>39</v>
      </c>
      <c r="F17146">
        <v>0</v>
      </c>
      <c r="G17146">
        <v>0</v>
      </c>
      <c r="H17146">
        <v>2</v>
      </c>
      <c r="I17146" s="3">
        <v>1601.08</v>
      </c>
      <c r="J17146" s="3">
        <v>0</v>
      </c>
      <c r="L17146">
        <v>9608</v>
      </c>
      <c r="M17146" t="s">
        <v>9086</v>
      </c>
      <c r="N17146" t="s">
        <v>30</v>
      </c>
      <c r="O17146" t="s">
        <v>31</v>
      </c>
      <c r="P17146" t="str">
        <f>"15235"</f>
        <v>15235</v>
      </c>
    </row>
    <row r="17147" spans="1:16" x14ac:dyDescent="0.25">
      <c r="A17147" t="str">
        <f>"1260046A00224    00"</f>
        <v>1260046A00224    00</v>
      </c>
      <c r="B17147" t="s">
        <v>37409</v>
      </c>
      <c r="C17147" t="s">
        <v>37410</v>
      </c>
      <c r="E17147" t="s">
        <v>39</v>
      </c>
      <c r="F17147">
        <v>0</v>
      </c>
      <c r="G17147">
        <v>0</v>
      </c>
      <c r="H17147">
        <v>3</v>
      </c>
      <c r="I17147" s="3">
        <v>525.91</v>
      </c>
      <c r="J17147" s="3">
        <v>163.4</v>
      </c>
      <c r="L17147">
        <v>2639</v>
      </c>
      <c r="M17147" t="s">
        <v>33535</v>
      </c>
      <c r="N17147" t="s">
        <v>30</v>
      </c>
      <c r="O17147" t="s">
        <v>31</v>
      </c>
      <c r="P17147" t="str">
        <f>"15214"</f>
        <v>15214</v>
      </c>
    </row>
    <row r="17148" spans="1:16" x14ac:dyDescent="0.25">
      <c r="A17148" t="str">
        <f>"1260046A00225    00"</f>
        <v>1260046A00225    00</v>
      </c>
      <c r="B17148" t="s">
        <v>37411</v>
      </c>
      <c r="C17148" t="s">
        <v>37412</v>
      </c>
      <c r="D17148" t="s">
        <v>20</v>
      </c>
      <c r="E17148" t="s">
        <v>39</v>
      </c>
      <c r="F17148">
        <v>0</v>
      </c>
      <c r="G17148">
        <v>0</v>
      </c>
      <c r="H17148">
        <v>19</v>
      </c>
      <c r="I17148" s="3">
        <v>15636.63</v>
      </c>
      <c r="J17148" s="3">
        <v>15308.08</v>
      </c>
      <c r="L17148">
        <v>750</v>
      </c>
      <c r="M17148" t="s">
        <v>13875</v>
      </c>
      <c r="N17148" t="s">
        <v>903</v>
      </c>
      <c r="O17148" t="s">
        <v>31</v>
      </c>
      <c r="P17148" t="str">
        <f>"15136"</f>
        <v>15136</v>
      </c>
    </row>
    <row r="17149" spans="1:16" x14ac:dyDescent="0.25">
      <c r="A17149" t="str">
        <f>"1260046A00227    00"</f>
        <v>1260046A00227    00</v>
      </c>
      <c r="B17149" t="s">
        <v>37413</v>
      </c>
      <c r="C17149" t="s">
        <v>37414</v>
      </c>
      <c r="D17149" t="s">
        <v>20</v>
      </c>
      <c r="E17149" t="s">
        <v>39</v>
      </c>
      <c r="F17149">
        <v>0</v>
      </c>
      <c r="G17149">
        <v>0</v>
      </c>
      <c r="H17149">
        <v>2</v>
      </c>
      <c r="I17149" s="3">
        <v>1761.14</v>
      </c>
      <c r="J17149" s="3">
        <v>0</v>
      </c>
      <c r="L17149">
        <v>2615</v>
      </c>
      <c r="M17149" t="s">
        <v>33535</v>
      </c>
      <c r="N17149" t="s">
        <v>30</v>
      </c>
      <c r="O17149" t="s">
        <v>31</v>
      </c>
      <c r="P17149" t="str">
        <f>"15214"</f>
        <v>15214</v>
      </c>
    </row>
    <row r="17150" spans="1:16" x14ac:dyDescent="0.25">
      <c r="A17150" t="str">
        <f>"1260046A00244    00"</f>
        <v>1260046A00244    00</v>
      </c>
      <c r="B17150" t="s">
        <v>37384</v>
      </c>
      <c r="C17150" t="s">
        <v>37415</v>
      </c>
      <c r="D17150" t="s">
        <v>20</v>
      </c>
      <c r="E17150" t="s">
        <v>39</v>
      </c>
      <c r="F17150">
        <v>0</v>
      </c>
      <c r="G17150">
        <v>0</v>
      </c>
      <c r="H17150">
        <v>4</v>
      </c>
      <c r="I17150" s="3">
        <v>2705.01</v>
      </c>
      <c r="J17150" s="3">
        <v>670.78</v>
      </c>
      <c r="L17150">
        <v>2638</v>
      </c>
      <c r="M17150" t="s">
        <v>37335</v>
      </c>
      <c r="N17150" t="s">
        <v>30</v>
      </c>
      <c r="O17150" t="s">
        <v>31</v>
      </c>
      <c r="P17150" t="str">
        <f>"15214"</f>
        <v>15214</v>
      </c>
    </row>
    <row r="17151" spans="1:16" x14ac:dyDescent="0.25">
      <c r="A17151" t="str">
        <f>"1260046A00246    00"</f>
        <v>1260046A00246    00</v>
      </c>
      <c r="B17151" t="s">
        <v>37416</v>
      </c>
      <c r="C17151" t="s">
        <v>37417</v>
      </c>
      <c r="D17151" t="s">
        <v>20</v>
      </c>
      <c r="E17151" t="s">
        <v>39</v>
      </c>
      <c r="F17151">
        <v>0</v>
      </c>
      <c r="G17151">
        <v>0</v>
      </c>
      <c r="H17151">
        <v>2</v>
      </c>
      <c r="I17151" s="3">
        <v>762.44</v>
      </c>
      <c r="J17151" s="3">
        <v>0</v>
      </c>
      <c r="L17151">
        <v>9262</v>
      </c>
      <c r="M17151" t="s">
        <v>12011</v>
      </c>
      <c r="N17151" t="s">
        <v>30</v>
      </c>
      <c r="O17151" t="s">
        <v>31</v>
      </c>
      <c r="P17151" t="str">
        <f>"15235"</f>
        <v>15235</v>
      </c>
    </row>
    <row r="17152" spans="1:16" x14ac:dyDescent="0.25">
      <c r="A17152" t="str">
        <f>"1260046A00247    00"</f>
        <v>1260046A00247    00</v>
      </c>
      <c r="B17152" t="s">
        <v>37418</v>
      </c>
      <c r="C17152" t="s">
        <v>37419</v>
      </c>
      <c r="D17152" t="s">
        <v>20</v>
      </c>
      <c r="E17152" t="s">
        <v>39</v>
      </c>
      <c r="F17152">
        <v>0</v>
      </c>
      <c r="G17152">
        <v>0</v>
      </c>
      <c r="H17152">
        <v>9</v>
      </c>
      <c r="I17152" s="3">
        <v>8390.07</v>
      </c>
      <c r="J17152" s="3">
        <v>3176.97</v>
      </c>
      <c r="L17152">
        <v>433</v>
      </c>
      <c r="M17152" t="s">
        <v>37136</v>
      </c>
      <c r="N17152" t="s">
        <v>30</v>
      </c>
      <c r="O17152" t="s">
        <v>31</v>
      </c>
      <c r="P17152" t="str">
        <f>"15202"</f>
        <v>15202</v>
      </c>
    </row>
    <row r="17153" spans="1:16" x14ac:dyDescent="0.25">
      <c r="A17153" t="str">
        <f>"1260046A00248    00"</f>
        <v>1260046A00248    00</v>
      </c>
      <c r="B17153" t="s">
        <v>37420</v>
      </c>
      <c r="C17153" t="s">
        <v>37385</v>
      </c>
      <c r="D17153" t="s">
        <v>20</v>
      </c>
      <c r="E17153" t="s">
        <v>39</v>
      </c>
      <c r="F17153">
        <v>0</v>
      </c>
      <c r="G17153">
        <v>0</v>
      </c>
      <c r="H17153">
        <v>2</v>
      </c>
      <c r="I17153" s="3">
        <v>186.8</v>
      </c>
      <c r="J17153" s="3">
        <v>0</v>
      </c>
      <c r="L17153">
        <v>307</v>
      </c>
      <c r="M17153" t="s">
        <v>4167</v>
      </c>
      <c r="N17153" t="s">
        <v>30</v>
      </c>
      <c r="O17153" t="s">
        <v>31</v>
      </c>
      <c r="P17153" t="str">
        <f>"15214"</f>
        <v>15214</v>
      </c>
    </row>
    <row r="17154" spans="1:16" x14ac:dyDescent="0.25">
      <c r="A17154" t="str">
        <f>"1260046A00249    00"</f>
        <v>1260046A00249    00</v>
      </c>
      <c r="B17154" t="s">
        <v>37421</v>
      </c>
      <c r="C17154" t="s">
        <v>37385</v>
      </c>
      <c r="D17154" t="s">
        <v>20</v>
      </c>
      <c r="E17154" t="s">
        <v>39</v>
      </c>
      <c r="F17154">
        <v>0</v>
      </c>
      <c r="G17154">
        <v>0</v>
      </c>
      <c r="H17154">
        <v>19</v>
      </c>
      <c r="I17154" s="3">
        <v>940.07</v>
      </c>
      <c r="J17154" s="3">
        <v>1194.31</v>
      </c>
      <c r="M17154" t="s">
        <v>37422</v>
      </c>
      <c r="N17154" t="s">
        <v>30</v>
      </c>
      <c r="O17154" t="s">
        <v>31</v>
      </c>
      <c r="P17154" t="str">
        <f>"15233"</f>
        <v>15233</v>
      </c>
    </row>
    <row r="17155" spans="1:16" x14ac:dyDescent="0.25">
      <c r="A17155" t="str">
        <f>"1260046A00260    00"</f>
        <v>1260046A00260    00</v>
      </c>
      <c r="B17155" t="s">
        <v>37423</v>
      </c>
      <c r="C17155" t="s">
        <v>37424</v>
      </c>
      <c r="D17155" t="s">
        <v>20</v>
      </c>
      <c r="E17155" t="s">
        <v>39</v>
      </c>
      <c r="F17155">
        <v>0</v>
      </c>
      <c r="G17155">
        <v>0</v>
      </c>
      <c r="H17155">
        <v>2</v>
      </c>
      <c r="I17155" s="3">
        <v>152.47999999999999</v>
      </c>
      <c r="J17155" s="3">
        <v>0</v>
      </c>
      <c r="K17155" t="s">
        <v>762</v>
      </c>
      <c r="L17155">
        <v>6850</v>
      </c>
      <c r="M17155" t="s">
        <v>763</v>
      </c>
      <c r="N17155" t="s">
        <v>764</v>
      </c>
      <c r="O17155" t="s">
        <v>25</v>
      </c>
      <c r="P17155" t="str">
        <f>"44141"</f>
        <v>44141</v>
      </c>
    </row>
    <row r="17156" spans="1:16" x14ac:dyDescent="0.25">
      <c r="A17156" t="str">
        <f>"1260046A00276    00"</f>
        <v>1260046A00276    00</v>
      </c>
      <c r="B17156" t="s">
        <v>37425</v>
      </c>
      <c r="C17156" t="s">
        <v>37426</v>
      </c>
      <c r="D17156" t="s">
        <v>20</v>
      </c>
      <c r="E17156" t="s">
        <v>39</v>
      </c>
      <c r="F17156">
        <v>0</v>
      </c>
      <c r="G17156">
        <v>0</v>
      </c>
      <c r="H17156">
        <v>1</v>
      </c>
      <c r="I17156" s="3">
        <v>292.08</v>
      </c>
      <c r="J17156" s="3">
        <v>0</v>
      </c>
      <c r="L17156">
        <v>435</v>
      </c>
      <c r="M17156" t="s">
        <v>4167</v>
      </c>
      <c r="N17156" t="s">
        <v>30</v>
      </c>
      <c r="O17156" t="s">
        <v>31</v>
      </c>
      <c r="P17156" t="str">
        <f>"15214"</f>
        <v>15214</v>
      </c>
    </row>
    <row r="17157" spans="1:16" x14ac:dyDescent="0.25">
      <c r="A17157" t="str">
        <f>"1260046A00279    00"</f>
        <v>1260046A00279    00</v>
      </c>
      <c r="B17157" t="s">
        <v>37427</v>
      </c>
      <c r="C17157" t="s">
        <v>37428</v>
      </c>
      <c r="D17157" t="s">
        <v>20</v>
      </c>
      <c r="E17157" t="s">
        <v>39</v>
      </c>
      <c r="F17157">
        <v>0</v>
      </c>
      <c r="G17157">
        <v>0</v>
      </c>
      <c r="H17157">
        <v>12</v>
      </c>
      <c r="I17157" s="3">
        <v>4177.95</v>
      </c>
      <c r="J17157" s="3">
        <v>2098.9899999999998</v>
      </c>
      <c r="L17157">
        <v>431</v>
      </c>
      <c r="M17157" t="s">
        <v>4167</v>
      </c>
      <c r="N17157" t="s">
        <v>30</v>
      </c>
      <c r="O17157" t="s">
        <v>31</v>
      </c>
      <c r="P17157" t="str">
        <f>"15214"</f>
        <v>15214</v>
      </c>
    </row>
    <row r="17158" spans="1:16" x14ac:dyDescent="0.25">
      <c r="A17158" t="str">
        <f>"1260046A00280    00"</f>
        <v>1260046A00280    00</v>
      </c>
      <c r="B17158" t="s">
        <v>37429</v>
      </c>
      <c r="C17158" t="s">
        <v>37430</v>
      </c>
      <c r="D17158" t="s">
        <v>20</v>
      </c>
      <c r="E17158" t="s">
        <v>39</v>
      </c>
      <c r="F17158">
        <v>0</v>
      </c>
      <c r="G17158">
        <v>0</v>
      </c>
      <c r="H17158">
        <v>18</v>
      </c>
      <c r="I17158" s="3">
        <v>23099.51</v>
      </c>
      <c r="J17158" s="3">
        <v>24162.38</v>
      </c>
      <c r="L17158">
        <v>4300</v>
      </c>
      <c r="M17158" t="s">
        <v>37431</v>
      </c>
      <c r="N17158" t="s">
        <v>11414</v>
      </c>
      <c r="O17158" t="s">
        <v>495</v>
      </c>
      <c r="P17158" t="str">
        <f>"95129"</f>
        <v>95129</v>
      </c>
    </row>
    <row r="17159" spans="1:16" x14ac:dyDescent="0.25">
      <c r="A17159" t="str">
        <f>"1260046A00289    00"</f>
        <v>1260046A00289    00</v>
      </c>
      <c r="B17159" t="s">
        <v>37432</v>
      </c>
      <c r="C17159" t="s">
        <v>37407</v>
      </c>
      <c r="D17159" t="s">
        <v>20</v>
      </c>
      <c r="E17159" t="s">
        <v>39</v>
      </c>
      <c r="F17159">
        <v>0</v>
      </c>
      <c r="G17159">
        <v>0</v>
      </c>
      <c r="H17159">
        <v>19</v>
      </c>
      <c r="I17159" s="3">
        <v>8513.2999999999993</v>
      </c>
      <c r="J17159" s="3">
        <v>8380.85</v>
      </c>
      <c r="L17159">
        <v>2651</v>
      </c>
      <c r="M17159" t="s">
        <v>33535</v>
      </c>
      <c r="N17159" t="s">
        <v>30</v>
      </c>
      <c r="O17159" t="s">
        <v>31</v>
      </c>
      <c r="P17159" t="str">
        <f>"15214"</f>
        <v>15214</v>
      </c>
    </row>
    <row r="17160" spans="1:16" x14ac:dyDescent="0.25">
      <c r="A17160" t="str">
        <f>"1260046A00290    00"</f>
        <v>1260046A00290    00</v>
      </c>
      <c r="B17160" t="s">
        <v>37433</v>
      </c>
      <c r="C17160" t="s">
        <v>37407</v>
      </c>
      <c r="D17160" t="s">
        <v>20</v>
      </c>
      <c r="E17160" t="s">
        <v>39</v>
      </c>
      <c r="F17160">
        <v>0</v>
      </c>
      <c r="G17160">
        <v>0</v>
      </c>
      <c r="H17160">
        <v>19</v>
      </c>
      <c r="I17160" s="3">
        <v>1752.87</v>
      </c>
      <c r="J17160" s="3">
        <v>2324.4899999999998</v>
      </c>
      <c r="L17160">
        <v>3121</v>
      </c>
      <c r="M17160" t="s">
        <v>35783</v>
      </c>
      <c r="N17160" t="s">
        <v>30</v>
      </c>
      <c r="O17160" t="s">
        <v>31</v>
      </c>
      <c r="P17160" t="str">
        <f>"15212"</f>
        <v>15212</v>
      </c>
    </row>
    <row r="17161" spans="1:16" x14ac:dyDescent="0.25">
      <c r="A17161" t="str">
        <f>"1260046A00291    00"</f>
        <v>1260046A00291    00</v>
      </c>
      <c r="B17161" t="s">
        <v>37434</v>
      </c>
      <c r="C17161" t="s">
        <v>37407</v>
      </c>
      <c r="D17161" t="s">
        <v>20</v>
      </c>
      <c r="E17161" t="s">
        <v>39</v>
      </c>
      <c r="F17161">
        <v>0</v>
      </c>
      <c r="G17161">
        <v>0</v>
      </c>
      <c r="H17161">
        <v>19</v>
      </c>
      <c r="I17161" s="3">
        <v>10868.33</v>
      </c>
      <c r="J17161" s="3">
        <v>15537.14</v>
      </c>
      <c r="L17161">
        <v>2647</v>
      </c>
      <c r="M17161" t="s">
        <v>33535</v>
      </c>
      <c r="N17161" t="s">
        <v>30</v>
      </c>
      <c r="O17161" t="s">
        <v>31</v>
      </c>
      <c r="P17161" t="str">
        <f>"15214"</f>
        <v>15214</v>
      </c>
    </row>
    <row r="17162" spans="1:16" x14ac:dyDescent="0.25">
      <c r="A17162" t="str">
        <f>"1260046A00292    00"</f>
        <v>1260046A00292    00</v>
      </c>
      <c r="B17162" t="s">
        <v>37435</v>
      </c>
      <c r="C17162" t="s">
        <v>37407</v>
      </c>
      <c r="D17162" t="s">
        <v>20</v>
      </c>
      <c r="E17162" t="s">
        <v>39</v>
      </c>
      <c r="F17162">
        <v>0</v>
      </c>
      <c r="G17162">
        <v>0</v>
      </c>
      <c r="H17162">
        <v>18</v>
      </c>
      <c r="I17162" s="3">
        <v>2576.5100000000002</v>
      </c>
      <c r="J17162" s="3">
        <v>3384.96</v>
      </c>
      <c r="L17162">
        <v>646</v>
      </c>
      <c r="M17162" t="s">
        <v>37436</v>
      </c>
      <c r="N17162" t="s">
        <v>28518</v>
      </c>
      <c r="O17162" t="s">
        <v>495</v>
      </c>
      <c r="P17162" t="str">
        <f>"92867"</f>
        <v>92867</v>
      </c>
    </row>
    <row r="17163" spans="1:16" x14ac:dyDescent="0.25">
      <c r="A17163" t="str">
        <f>"1260046B00010    00"</f>
        <v>1260046B00010    00</v>
      </c>
      <c r="B17163" t="s">
        <v>37437</v>
      </c>
      <c r="C17163" t="s">
        <v>37438</v>
      </c>
      <c r="D17163" t="s">
        <v>20</v>
      </c>
      <c r="E17163" t="s">
        <v>66</v>
      </c>
      <c r="F17163">
        <v>0</v>
      </c>
      <c r="G17163">
        <v>0</v>
      </c>
      <c r="H17163">
        <v>1</v>
      </c>
      <c r="I17163" s="3">
        <v>195.75</v>
      </c>
      <c r="J17163" s="3">
        <v>0</v>
      </c>
      <c r="K17163" t="s">
        <v>37439</v>
      </c>
      <c r="L17163">
        <v>2610</v>
      </c>
      <c r="M17163" t="s">
        <v>2747</v>
      </c>
      <c r="N17163" t="s">
        <v>30</v>
      </c>
      <c r="O17163" t="s">
        <v>31</v>
      </c>
      <c r="P17163" t="str">
        <f>"15214"</f>
        <v>15214</v>
      </c>
    </row>
    <row r="17164" spans="1:16" x14ac:dyDescent="0.25">
      <c r="A17164" t="str">
        <f>"1260046B00045    00"</f>
        <v>1260046B00045    00</v>
      </c>
      <c r="B17164" t="s">
        <v>37440</v>
      </c>
      <c r="C17164" t="s">
        <v>37441</v>
      </c>
      <c r="D17164" t="s">
        <v>20</v>
      </c>
      <c r="E17164" t="s">
        <v>39</v>
      </c>
      <c r="F17164">
        <v>0</v>
      </c>
      <c r="G17164">
        <v>0</v>
      </c>
      <c r="H17164">
        <v>1</v>
      </c>
      <c r="I17164" s="3">
        <v>316.39999999999998</v>
      </c>
      <c r="J17164" s="3">
        <v>0</v>
      </c>
      <c r="L17164">
        <v>2635</v>
      </c>
      <c r="M17164" t="s">
        <v>2747</v>
      </c>
      <c r="N17164" t="s">
        <v>30</v>
      </c>
      <c r="O17164" t="s">
        <v>31</v>
      </c>
      <c r="P17164" t="str">
        <f>"15214"</f>
        <v>15214</v>
      </c>
    </row>
    <row r="17165" spans="1:16" x14ac:dyDescent="0.25">
      <c r="A17165" t="str">
        <f>"1260046B00047    00"</f>
        <v>1260046B00047    00</v>
      </c>
      <c r="B17165" t="s">
        <v>37442</v>
      </c>
      <c r="C17165" t="s">
        <v>37443</v>
      </c>
      <c r="D17165" t="s">
        <v>20</v>
      </c>
      <c r="E17165" t="s">
        <v>39</v>
      </c>
      <c r="F17165">
        <v>0</v>
      </c>
      <c r="G17165">
        <v>0</v>
      </c>
      <c r="H17165">
        <v>19</v>
      </c>
      <c r="I17165" s="3">
        <v>9483.92</v>
      </c>
      <c r="J17165" s="3">
        <v>10556.1</v>
      </c>
      <c r="P17165" t="str">
        <f>""</f>
        <v/>
      </c>
    </row>
    <row r="17166" spans="1:16" x14ac:dyDescent="0.25">
      <c r="A17166" t="str">
        <f>"1260046B00048    00"</f>
        <v>1260046B00048    00</v>
      </c>
      <c r="B17166" t="s">
        <v>37444</v>
      </c>
      <c r="C17166" t="s">
        <v>37443</v>
      </c>
      <c r="D17166" t="s">
        <v>20</v>
      </c>
      <c r="E17166" t="s">
        <v>39</v>
      </c>
      <c r="F17166">
        <v>0</v>
      </c>
      <c r="G17166">
        <v>0</v>
      </c>
      <c r="H17166">
        <v>16</v>
      </c>
      <c r="I17166" s="3">
        <v>9953.1299999999992</v>
      </c>
      <c r="J17166" s="3">
        <v>11834.66</v>
      </c>
      <c r="L17166">
        <v>1108</v>
      </c>
      <c r="M17166" t="s">
        <v>37088</v>
      </c>
      <c r="N17166" t="s">
        <v>30</v>
      </c>
      <c r="O17166" t="s">
        <v>31</v>
      </c>
      <c r="P17166" t="str">
        <f>"15212"</f>
        <v>15212</v>
      </c>
    </row>
    <row r="17167" spans="1:16" x14ac:dyDescent="0.25">
      <c r="A17167" t="str">
        <f>"1260046B00060    00"</f>
        <v>1260046B00060    00</v>
      </c>
      <c r="B17167" t="s">
        <v>37445</v>
      </c>
      <c r="C17167" t="s">
        <v>37446</v>
      </c>
      <c r="E17167" t="s">
        <v>39</v>
      </c>
      <c r="F17167">
        <v>0</v>
      </c>
      <c r="G17167">
        <v>0</v>
      </c>
      <c r="H17167">
        <v>1</v>
      </c>
      <c r="I17167" s="3">
        <v>360.77</v>
      </c>
      <c r="J17167" s="3">
        <v>0</v>
      </c>
      <c r="L17167">
        <v>2642</v>
      </c>
      <c r="M17167" t="s">
        <v>34518</v>
      </c>
      <c r="N17167" t="s">
        <v>30</v>
      </c>
      <c r="O17167" t="s">
        <v>31</v>
      </c>
      <c r="P17167" t="str">
        <f>"15214"</f>
        <v>15214</v>
      </c>
    </row>
    <row r="17168" spans="1:16" x14ac:dyDescent="0.25">
      <c r="A17168" t="str">
        <f>"1260046B00073    01"</f>
        <v>1260046B00073    01</v>
      </c>
      <c r="B17168" t="s">
        <v>37447</v>
      </c>
      <c r="C17168" t="s">
        <v>36257</v>
      </c>
      <c r="E17168" t="s">
        <v>21</v>
      </c>
      <c r="F17168">
        <v>0</v>
      </c>
      <c r="G17168">
        <v>0</v>
      </c>
      <c r="H17168">
        <v>1</v>
      </c>
      <c r="I17168" s="3">
        <v>962.03</v>
      </c>
      <c r="J17168" s="3">
        <v>619.03</v>
      </c>
      <c r="L17168">
        <v>215</v>
      </c>
      <c r="M17168" t="s">
        <v>37448</v>
      </c>
      <c r="N17168" t="s">
        <v>30</v>
      </c>
      <c r="O17168" t="s">
        <v>31</v>
      </c>
      <c r="P17168" t="str">
        <f>"15214"</f>
        <v>15214</v>
      </c>
    </row>
    <row r="17169" spans="1:16" x14ac:dyDescent="0.25">
      <c r="A17169" t="str">
        <f>"1260046B00073    02"</f>
        <v>1260046B00073    02</v>
      </c>
      <c r="B17169" t="s">
        <v>37449</v>
      </c>
      <c r="C17169" t="s">
        <v>37450</v>
      </c>
      <c r="D17169" t="s">
        <v>20</v>
      </c>
      <c r="E17169" t="s">
        <v>21</v>
      </c>
      <c r="F17169">
        <v>0</v>
      </c>
      <c r="G17169">
        <v>0</v>
      </c>
      <c r="H17169">
        <v>7</v>
      </c>
      <c r="I17169" s="3">
        <v>8875.99</v>
      </c>
      <c r="J17169" s="3">
        <v>1958.8</v>
      </c>
      <c r="L17169">
        <v>22</v>
      </c>
      <c r="M17169" t="s">
        <v>37451</v>
      </c>
      <c r="N17169" t="s">
        <v>30</v>
      </c>
      <c r="O17169" t="s">
        <v>31</v>
      </c>
      <c r="P17169" t="str">
        <f>"15212"</f>
        <v>15212</v>
      </c>
    </row>
    <row r="17170" spans="1:16" x14ac:dyDescent="0.25">
      <c r="A17170" t="str">
        <f>"1260046B00078    00"</f>
        <v>1260046B00078    00</v>
      </c>
      <c r="B17170" t="s">
        <v>37452</v>
      </c>
      <c r="C17170" t="s">
        <v>37453</v>
      </c>
      <c r="D17170" t="s">
        <v>20</v>
      </c>
      <c r="E17170" t="s">
        <v>21</v>
      </c>
      <c r="F17170">
        <v>0</v>
      </c>
      <c r="G17170">
        <v>0</v>
      </c>
      <c r="H17170">
        <v>4</v>
      </c>
      <c r="I17170" s="3">
        <v>14036.75</v>
      </c>
      <c r="J17170" s="3">
        <v>657.13</v>
      </c>
      <c r="K17170" t="s">
        <v>37454</v>
      </c>
      <c r="L17170">
        <v>2600</v>
      </c>
      <c r="M17170" t="s">
        <v>34518</v>
      </c>
      <c r="N17170" t="s">
        <v>30</v>
      </c>
      <c r="O17170" t="s">
        <v>31</v>
      </c>
      <c r="P17170" t="str">
        <f>"15214"</f>
        <v>15214</v>
      </c>
    </row>
    <row r="17171" spans="1:16" x14ac:dyDescent="0.25">
      <c r="A17171" t="str">
        <f>"1260046B00080    00"</f>
        <v>1260046B00080    00</v>
      </c>
      <c r="B17171" t="s">
        <v>36432</v>
      </c>
      <c r="C17171" t="s">
        <v>36257</v>
      </c>
      <c r="D17171" t="s">
        <v>20</v>
      </c>
      <c r="E17171" t="s">
        <v>21</v>
      </c>
      <c r="F17171">
        <v>0</v>
      </c>
      <c r="G17171">
        <v>0</v>
      </c>
      <c r="H17171">
        <v>1</v>
      </c>
      <c r="I17171" s="3">
        <v>95.3</v>
      </c>
      <c r="J17171" s="3">
        <v>0</v>
      </c>
      <c r="L17171">
        <v>525</v>
      </c>
      <c r="M17171" t="s">
        <v>36276</v>
      </c>
      <c r="N17171" t="s">
        <v>30</v>
      </c>
      <c r="O17171" t="s">
        <v>31</v>
      </c>
      <c r="P17171" t="str">
        <f>"15214"</f>
        <v>15214</v>
      </c>
    </row>
    <row r="17172" spans="1:16" x14ac:dyDescent="0.25">
      <c r="A17172" t="str">
        <f>"1260046B00088    00"</f>
        <v>1260046B00088    00</v>
      </c>
      <c r="B17172" t="s">
        <v>37455</v>
      </c>
      <c r="C17172" t="s">
        <v>36257</v>
      </c>
      <c r="D17172" t="s">
        <v>20</v>
      </c>
      <c r="E17172" t="s">
        <v>39</v>
      </c>
      <c r="F17172">
        <v>0</v>
      </c>
      <c r="G17172">
        <v>0</v>
      </c>
      <c r="H17172">
        <v>16</v>
      </c>
      <c r="I17172" s="3">
        <v>9228.1200000000008</v>
      </c>
      <c r="J17172" s="3">
        <v>10496.64</v>
      </c>
      <c r="K17172" t="s">
        <v>37456</v>
      </c>
      <c r="L17172">
        <v>22</v>
      </c>
      <c r="M17172" t="s">
        <v>37457</v>
      </c>
      <c r="N17172" t="s">
        <v>30</v>
      </c>
      <c r="O17172" t="s">
        <v>31</v>
      </c>
      <c r="P17172" t="str">
        <f>"15229"</f>
        <v>15229</v>
      </c>
    </row>
    <row r="17173" spans="1:16" x14ac:dyDescent="0.25">
      <c r="A17173" t="str">
        <f>"1260046B00092    00"</f>
        <v>1260046B00092    00</v>
      </c>
      <c r="B17173" t="s">
        <v>37458</v>
      </c>
      <c r="C17173" t="s">
        <v>37459</v>
      </c>
      <c r="D17173" t="s">
        <v>20</v>
      </c>
      <c r="E17173" t="s">
        <v>39</v>
      </c>
      <c r="F17173">
        <v>0</v>
      </c>
      <c r="G17173">
        <v>0</v>
      </c>
      <c r="H17173">
        <v>5</v>
      </c>
      <c r="I17173" s="3">
        <v>998.54</v>
      </c>
      <c r="J17173" s="3">
        <v>172.52</v>
      </c>
      <c r="M17173" t="s">
        <v>37460</v>
      </c>
      <c r="N17173" t="s">
        <v>212</v>
      </c>
      <c r="O17173" t="s">
        <v>25</v>
      </c>
      <c r="P17173" t="str">
        <f>"44128"</f>
        <v>44128</v>
      </c>
    </row>
    <row r="17174" spans="1:16" x14ac:dyDescent="0.25">
      <c r="A17174" t="str">
        <f>"1260046B00098    00"</f>
        <v>1260046B00098    00</v>
      </c>
      <c r="B17174" t="s">
        <v>37461</v>
      </c>
      <c r="C17174" t="s">
        <v>37462</v>
      </c>
      <c r="D17174" t="s">
        <v>20</v>
      </c>
      <c r="E17174" t="s">
        <v>39</v>
      </c>
      <c r="F17174">
        <v>0</v>
      </c>
      <c r="G17174">
        <v>0</v>
      </c>
      <c r="H17174">
        <v>15</v>
      </c>
      <c r="I17174" s="3">
        <v>11773.61</v>
      </c>
      <c r="J17174" s="3">
        <v>8409.42</v>
      </c>
      <c r="L17174">
        <v>2511</v>
      </c>
      <c r="M17174" t="s">
        <v>2747</v>
      </c>
      <c r="N17174" t="s">
        <v>30</v>
      </c>
      <c r="O17174" t="s">
        <v>31</v>
      </c>
      <c r="P17174" t="str">
        <f>"15214"</f>
        <v>15214</v>
      </c>
    </row>
    <row r="17175" spans="1:16" x14ac:dyDescent="0.25">
      <c r="A17175" t="str">
        <f>"1260046B00099    00"</f>
        <v>1260046B00099    00</v>
      </c>
      <c r="B17175" t="s">
        <v>37463</v>
      </c>
      <c r="C17175" t="s">
        <v>37464</v>
      </c>
      <c r="E17175" t="s">
        <v>39</v>
      </c>
      <c r="F17175">
        <v>0</v>
      </c>
      <c r="G17175">
        <v>0</v>
      </c>
      <c r="H17175">
        <v>1</v>
      </c>
      <c r="I17175" s="3">
        <v>683.68</v>
      </c>
      <c r="J17175" s="3">
        <v>0</v>
      </c>
      <c r="M17175" t="s">
        <v>37465</v>
      </c>
      <c r="N17175" t="s">
        <v>37466</v>
      </c>
      <c r="O17175" t="s">
        <v>423</v>
      </c>
      <c r="P17175" t="str">
        <f>"08015"</f>
        <v>08015</v>
      </c>
    </row>
    <row r="17176" spans="1:16" x14ac:dyDescent="0.25">
      <c r="A17176" t="str">
        <f>"1260046B00110    00"</f>
        <v>1260046B00110    00</v>
      </c>
      <c r="B17176" t="s">
        <v>37467</v>
      </c>
      <c r="C17176" t="s">
        <v>37468</v>
      </c>
      <c r="D17176" t="s">
        <v>20</v>
      </c>
      <c r="E17176" t="s">
        <v>21</v>
      </c>
      <c r="F17176">
        <v>0</v>
      </c>
      <c r="G17176">
        <v>0</v>
      </c>
      <c r="H17176">
        <v>19</v>
      </c>
      <c r="I17176" s="3">
        <v>10921.35</v>
      </c>
      <c r="J17176" s="3">
        <v>9578.85</v>
      </c>
      <c r="L17176">
        <v>431</v>
      </c>
      <c r="M17176" t="s">
        <v>34885</v>
      </c>
      <c r="N17176" t="s">
        <v>30</v>
      </c>
      <c r="O17176" t="s">
        <v>31</v>
      </c>
      <c r="P17176" t="str">
        <f>"15237"</f>
        <v>15237</v>
      </c>
    </row>
    <row r="17177" spans="1:16" x14ac:dyDescent="0.25">
      <c r="A17177" t="str">
        <f>"1260046B00118    00"</f>
        <v>1260046B00118    00</v>
      </c>
      <c r="B17177" t="s">
        <v>36911</v>
      </c>
      <c r="C17177" t="s">
        <v>37469</v>
      </c>
      <c r="D17177" t="s">
        <v>20</v>
      </c>
      <c r="E17177" t="s">
        <v>21</v>
      </c>
      <c r="F17177">
        <v>0</v>
      </c>
      <c r="G17177">
        <v>0</v>
      </c>
      <c r="H17177">
        <v>2</v>
      </c>
      <c r="I17177" s="3">
        <v>2446.4</v>
      </c>
      <c r="J17177" s="3">
        <v>4</v>
      </c>
      <c r="L17177">
        <v>727</v>
      </c>
      <c r="M17177" t="s">
        <v>17413</v>
      </c>
      <c r="N17177" t="s">
        <v>30</v>
      </c>
      <c r="O17177" t="s">
        <v>31</v>
      </c>
      <c r="P17177" t="str">
        <f>"15221"</f>
        <v>15221</v>
      </c>
    </row>
    <row r="17178" spans="1:16" x14ac:dyDescent="0.25">
      <c r="A17178" t="str">
        <f>"1260046B00147    00"</f>
        <v>1260046B00147    00</v>
      </c>
      <c r="B17178" t="s">
        <v>37470</v>
      </c>
      <c r="C17178" t="s">
        <v>37471</v>
      </c>
      <c r="D17178" t="s">
        <v>20</v>
      </c>
      <c r="E17178" t="s">
        <v>39</v>
      </c>
      <c r="F17178">
        <v>0</v>
      </c>
      <c r="G17178">
        <v>0</v>
      </c>
      <c r="H17178">
        <v>13</v>
      </c>
      <c r="I17178" s="3">
        <v>9041.65</v>
      </c>
      <c r="J17178" s="3">
        <v>5490.42</v>
      </c>
      <c r="M17178" t="s">
        <v>37472</v>
      </c>
      <c r="N17178" t="s">
        <v>30</v>
      </c>
      <c r="O17178" t="s">
        <v>31</v>
      </c>
      <c r="P17178" t="str">
        <f>"15220"</f>
        <v>15220</v>
      </c>
    </row>
    <row r="17179" spans="1:16" x14ac:dyDescent="0.25">
      <c r="A17179" t="str">
        <f>"1260046B00148    00"</f>
        <v>1260046B00148    00</v>
      </c>
      <c r="B17179" t="s">
        <v>37473</v>
      </c>
      <c r="C17179" t="s">
        <v>37474</v>
      </c>
      <c r="D17179" t="s">
        <v>20</v>
      </c>
      <c r="E17179" t="s">
        <v>39</v>
      </c>
      <c r="F17179">
        <v>0</v>
      </c>
      <c r="G17179">
        <v>0</v>
      </c>
      <c r="H17179">
        <v>2</v>
      </c>
      <c r="I17179" s="3">
        <v>1342.4</v>
      </c>
      <c r="J17179" s="3">
        <v>0</v>
      </c>
      <c r="K17179" t="s">
        <v>37475</v>
      </c>
      <c r="L17179">
        <v>1317</v>
      </c>
      <c r="M17179" t="s">
        <v>37476</v>
      </c>
      <c r="N17179" t="s">
        <v>30</v>
      </c>
      <c r="O17179" t="s">
        <v>31</v>
      </c>
      <c r="P17179" t="str">
        <f>"15212"</f>
        <v>15212</v>
      </c>
    </row>
    <row r="17180" spans="1:16" x14ac:dyDescent="0.25">
      <c r="A17180" t="str">
        <f>"1260046B00179    00"</f>
        <v>1260046B00179    00</v>
      </c>
      <c r="B17180" t="s">
        <v>37477</v>
      </c>
      <c r="C17180" t="s">
        <v>37478</v>
      </c>
      <c r="D17180" t="s">
        <v>20</v>
      </c>
      <c r="E17180" t="s">
        <v>21</v>
      </c>
      <c r="F17180">
        <v>0</v>
      </c>
      <c r="G17180">
        <v>0</v>
      </c>
      <c r="H17180">
        <v>3</v>
      </c>
      <c r="I17180" s="3">
        <v>3625.76</v>
      </c>
      <c r="J17180" s="3">
        <v>1.29</v>
      </c>
      <c r="K17180" t="s">
        <v>37479</v>
      </c>
      <c r="L17180">
        <v>1000</v>
      </c>
      <c r="M17180" t="s">
        <v>32265</v>
      </c>
      <c r="N17180" t="s">
        <v>30</v>
      </c>
      <c r="O17180" t="s">
        <v>31</v>
      </c>
      <c r="P17180" t="str">
        <f>"15204"</f>
        <v>15204</v>
      </c>
    </row>
    <row r="17181" spans="1:16" x14ac:dyDescent="0.25">
      <c r="A17181" t="str">
        <f>"1260046B00195    00"</f>
        <v>1260046B00195    00</v>
      </c>
      <c r="B17181" t="s">
        <v>37480</v>
      </c>
      <c r="C17181" t="s">
        <v>37481</v>
      </c>
      <c r="D17181" t="s">
        <v>57</v>
      </c>
      <c r="E17181" t="s">
        <v>39</v>
      </c>
      <c r="F17181">
        <v>0</v>
      </c>
      <c r="G17181">
        <v>0</v>
      </c>
      <c r="H17181">
        <v>1</v>
      </c>
      <c r="I17181" s="3">
        <v>544.14</v>
      </c>
      <c r="J17181" s="3">
        <v>104.29</v>
      </c>
      <c r="K17181" t="s">
        <v>37482</v>
      </c>
      <c r="L17181">
        <v>1324</v>
      </c>
      <c r="M17181" t="s">
        <v>37483</v>
      </c>
      <c r="N17181" t="s">
        <v>195</v>
      </c>
      <c r="O17181" t="s">
        <v>31</v>
      </c>
      <c r="P17181" t="str">
        <f>"15101"</f>
        <v>15101</v>
      </c>
    </row>
    <row r="17182" spans="1:16" x14ac:dyDescent="0.25">
      <c r="A17182" t="str">
        <f>"1260046B00236    00"</f>
        <v>1260046B00236    00</v>
      </c>
      <c r="B17182" t="s">
        <v>37484</v>
      </c>
      <c r="C17182" t="s">
        <v>37485</v>
      </c>
      <c r="D17182" t="s">
        <v>20</v>
      </c>
      <c r="E17182" t="s">
        <v>39</v>
      </c>
      <c r="F17182">
        <v>0</v>
      </c>
      <c r="G17182">
        <v>0</v>
      </c>
      <c r="H17182">
        <v>17</v>
      </c>
      <c r="I17182" s="3">
        <v>5111.76</v>
      </c>
      <c r="J17182" s="3">
        <v>4054.29</v>
      </c>
      <c r="L17182">
        <v>14740</v>
      </c>
      <c r="M17182" t="s">
        <v>37486</v>
      </c>
      <c r="N17182" t="s">
        <v>37487</v>
      </c>
      <c r="O17182" t="s">
        <v>31</v>
      </c>
      <c r="P17182" t="str">
        <f>"16401"</f>
        <v>16401</v>
      </c>
    </row>
    <row r="17183" spans="1:16" x14ac:dyDescent="0.25">
      <c r="A17183" t="str">
        <f>"1260046B00237    00"</f>
        <v>1260046B00237    00</v>
      </c>
      <c r="B17183" t="s">
        <v>37484</v>
      </c>
      <c r="C17183" t="s">
        <v>37485</v>
      </c>
      <c r="D17183" t="s">
        <v>20</v>
      </c>
      <c r="E17183" t="s">
        <v>39</v>
      </c>
      <c r="F17183">
        <v>0</v>
      </c>
      <c r="G17183">
        <v>0</v>
      </c>
      <c r="H17183">
        <v>17</v>
      </c>
      <c r="I17183" s="3">
        <v>4140.67</v>
      </c>
      <c r="J17183" s="3">
        <v>5549.2</v>
      </c>
      <c r="L17183">
        <v>2621</v>
      </c>
      <c r="M17183" t="s">
        <v>37488</v>
      </c>
      <c r="N17183" t="s">
        <v>30</v>
      </c>
      <c r="O17183" t="s">
        <v>31</v>
      </c>
      <c r="P17183" t="str">
        <f>"15214"</f>
        <v>15214</v>
      </c>
    </row>
    <row r="17184" spans="1:16" x14ac:dyDescent="0.25">
      <c r="A17184" t="str">
        <f>"1260046B00239    00"</f>
        <v>1260046B00239    00</v>
      </c>
      <c r="B17184" t="s">
        <v>37489</v>
      </c>
      <c r="C17184" t="s">
        <v>37485</v>
      </c>
      <c r="D17184" t="s">
        <v>20</v>
      </c>
      <c r="E17184" t="s">
        <v>39</v>
      </c>
      <c r="F17184">
        <v>0</v>
      </c>
      <c r="G17184">
        <v>0</v>
      </c>
      <c r="H17184">
        <v>19</v>
      </c>
      <c r="I17184" s="3">
        <v>18099.7</v>
      </c>
      <c r="J17184" s="3">
        <v>22886.16</v>
      </c>
      <c r="K17184" t="s">
        <v>1008</v>
      </c>
      <c r="P17184" t="str">
        <f>""</f>
        <v/>
      </c>
    </row>
    <row r="17185" spans="1:16" x14ac:dyDescent="0.25">
      <c r="A17185" t="str">
        <f>"1260046B00243    00"</f>
        <v>1260046B00243    00</v>
      </c>
      <c r="B17185" t="s">
        <v>37490</v>
      </c>
      <c r="C17185" t="s">
        <v>37485</v>
      </c>
      <c r="D17185" t="s">
        <v>20</v>
      </c>
      <c r="E17185" t="s">
        <v>39</v>
      </c>
      <c r="F17185">
        <v>0</v>
      </c>
      <c r="G17185">
        <v>0</v>
      </c>
      <c r="H17185">
        <v>19</v>
      </c>
      <c r="I17185" s="3">
        <v>6066.16</v>
      </c>
      <c r="J17185" s="3">
        <v>5559.58</v>
      </c>
      <c r="P17185" t="str">
        <f>""</f>
        <v/>
      </c>
    </row>
    <row r="17186" spans="1:16" x14ac:dyDescent="0.25">
      <c r="A17186" t="str">
        <f>"1260046B00249    00"</f>
        <v>1260046B00249    00</v>
      </c>
      <c r="B17186" t="s">
        <v>37491</v>
      </c>
      <c r="C17186" t="s">
        <v>37485</v>
      </c>
      <c r="D17186" t="s">
        <v>20</v>
      </c>
      <c r="E17186" t="s">
        <v>39</v>
      </c>
      <c r="F17186">
        <v>0</v>
      </c>
      <c r="G17186">
        <v>0</v>
      </c>
      <c r="H17186">
        <v>2</v>
      </c>
      <c r="I17186" s="3">
        <v>602.29999999999995</v>
      </c>
      <c r="J17186" s="3">
        <v>0</v>
      </c>
      <c r="L17186">
        <v>710</v>
      </c>
      <c r="M17186" t="s">
        <v>37492</v>
      </c>
      <c r="N17186" t="s">
        <v>30</v>
      </c>
      <c r="O17186" t="s">
        <v>31</v>
      </c>
      <c r="P17186" t="str">
        <f>"15219"</f>
        <v>15219</v>
      </c>
    </row>
    <row r="17187" spans="1:16" x14ac:dyDescent="0.25">
      <c r="A17187" t="str">
        <f>"1260046B00250    00"</f>
        <v>1260046B00250    00</v>
      </c>
      <c r="B17187" t="s">
        <v>37493</v>
      </c>
      <c r="C17187" t="s">
        <v>37485</v>
      </c>
      <c r="D17187" t="s">
        <v>20</v>
      </c>
      <c r="E17187" t="s">
        <v>39</v>
      </c>
      <c r="F17187">
        <v>0</v>
      </c>
      <c r="G17187">
        <v>0</v>
      </c>
      <c r="H17187">
        <v>19</v>
      </c>
      <c r="I17187" s="3">
        <v>6634.83</v>
      </c>
      <c r="J17187" s="3">
        <v>6520</v>
      </c>
      <c r="L17187">
        <v>215</v>
      </c>
      <c r="M17187" t="s">
        <v>36540</v>
      </c>
      <c r="N17187" t="s">
        <v>30</v>
      </c>
      <c r="O17187" t="s">
        <v>31</v>
      </c>
      <c r="P17187" t="str">
        <f>"15212"</f>
        <v>15212</v>
      </c>
    </row>
    <row r="17188" spans="1:16" x14ac:dyDescent="0.25">
      <c r="A17188" t="str">
        <f>"1260046B00255    00"</f>
        <v>1260046B00255    00</v>
      </c>
      <c r="B17188" t="s">
        <v>37494</v>
      </c>
      <c r="C17188" t="s">
        <v>37495</v>
      </c>
      <c r="D17188" t="s">
        <v>20</v>
      </c>
      <c r="E17188" t="s">
        <v>39</v>
      </c>
      <c r="F17188">
        <v>0</v>
      </c>
      <c r="G17188">
        <v>0</v>
      </c>
      <c r="H17188">
        <v>4</v>
      </c>
      <c r="I17188" s="3">
        <v>1367.62</v>
      </c>
      <c r="J17188" s="3">
        <v>296.2</v>
      </c>
      <c r="K17188" t="s">
        <v>37496</v>
      </c>
      <c r="L17188">
        <v>117</v>
      </c>
      <c r="M17188" t="s">
        <v>37497</v>
      </c>
      <c r="N17188" t="s">
        <v>30</v>
      </c>
      <c r="O17188" t="s">
        <v>31</v>
      </c>
      <c r="P17188" t="str">
        <f>"15227"</f>
        <v>15227</v>
      </c>
    </row>
    <row r="17189" spans="1:16" x14ac:dyDescent="0.25">
      <c r="A17189" t="str">
        <f>"1260046B00256    00"</f>
        <v>1260046B00256    00</v>
      </c>
      <c r="B17189" t="s">
        <v>37498</v>
      </c>
      <c r="C17189" t="s">
        <v>37499</v>
      </c>
      <c r="D17189" t="s">
        <v>20</v>
      </c>
      <c r="E17189" t="s">
        <v>39</v>
      </c>
      <c r="F17189">
        <v>0</v>
      </c>
      <c r="G17189">
        <v>0</v>
      </c>
      <c r="H17189">
        <v>19</v>
      </c>
      <c r="I17189" s="3">
        <v>11030.38</v>
      </c>
      <c r="J17189" s="3">
        <v>10652.72</v>
      </c>
      <c r="K17189" t="s">
        <v>37500</v>
      </c>
      <c r="L17189">
        <v>2639</v>
      </c>
      <c r="M17189" t="s">
        <v>37501</v>
      </c>
      <c r="N17189" t="s">
        <v>30</v>
      </c>
      <c r="O17189" t="s">
        <v>31</v>
      </c>
      <c r="P17189" t="str">
        <f>"15214"</f>
        <v>15214</v>
      </c>
    </row>
    <row r="17190" spans="1:16" x14ac:dyDescent="0.25">
      <c r="A17190" t="str">
        <f>"1260046B00277    00"</f>
        <v>1260046B00277    00</v>
      </c>
      <c r="B17190" t="s">
        <v>37502</v>
      </c>
      <c r="C17190" t="s">
        <v>37503</v>
      </c>
      <c r="D17190" t="s">
        <v>20</v>
      </c>
      <c r="E17190" t="s">
        <v>39</v>
      </c>
      <c r="F17190">
        <v>0</v>
      </c>
      <c r="G17190">
        <v>0</v>
      </c>
      <c r="H17190">
        <v>2</v>
      </c>
      <c r="I17190" s="3">
        <v>1298.6400000000001</v>
      </c>
      <c r="J17190" s="3">
        <v>0</v>
      </c>
      <c r="L17190">
        <v>2873</v>
      </c>
      <c r="M17190" t="s">
        <v>20337</v>
      </c>
      <c r="N17190" t="s">
        <v>30</v>
      </c>
      <c r="O17190" t="s">
        <v>31</v>
      </c>
      <c r="P17190" t="str">
        <f>"15214"</f>
        <v>15214</v>
      </c>
    </row>
    <row r="17191" spans="1:16" x14ac:dyDescent="0.25">
      <c r="A17191" t="str">
        <f>"1260046B00279    00"</f>
        <v>1260046B00279    00</v>
      </c>
      <c r="B17191" t="s">
        <v>37504</v>
      </c>
      <c r="C17191" t="s">
        <v>36098</v>
      </c>
      <c r="D17191" t="s">
        <v>20</v>
      </c>
      <c r="E17191" t="s">
        <v>39</v>
      </c>
      <c r="F17191">
        <v>0</v>
      </c>
      <c r="G17191">
        <v>0</v>
      </c>
      <c r="H17191">
        <v>2</v>
      </c>
      <c r="I17191" s="3">
        <v>399</v>
      </c>
      <c r="J17191" s="3">
        <v>0</v>
      </c>
      <c r="K17191" t="s">
        <v>37505</v>
      </c>
      <c r="L17191">
        <v>2873</v>
      </c>
      <c r="M17191" t="s">
        <v>20337</v>
      </c>
      <c r="N17191" t="s">
        <v>30</v>
      </c>
      <c r="O17191" t="s">
        <v>31</v>
      </c>
      <c r="P17191" t="str">
        <f>"15214"</f>
        <v>15214</v>
      </c>
    </row>
    <row r="17192" spans="1:16" x14ac:dyDescent="0.25">
      <c r="A17192" t="str">
        <f>"1260046C00008    00"</f>
        <v>1260046C00008    00</v>
      </c>
      <c r="B17192" t="s">
        <v>37506</v>
      </c>
      <c r="C17192" t="s">
        <v>35568</v>
      </c>
      <c r="D17192" t="s">
        <v>20</v>
      </c>
      <c r="E17192" t="s">
        <v>39</v>
      </c>
      <c r="F17192">
        <v>0</v>
      </c>
      <c r="G17192">
        <v>0</v>
      </c>
      <c r="H17192">
        <v>19</v>
      </c>
      <c r="I17192" s="3">
        <v>3733.42</v>
      </c>
      <c r="J17192" s="3">
        <v>2460.0700000000002</v>
      </c>
      <c r="L17192">
        <v>2648</v>
      </c>
      <c r="M17192" t="s">
        <v>35569</v>
      </c>
      <c r="N17192" t="s">
        <v>30</v>
      </c>
      <c r="O17192" t="s">
        <v>31</v>
      </c>
      <c r="P17192" t="str">
        <f>"15214"</f>
        <v>15214</v>
      </c>
    </row>
    <row r="17193" spans="1:16" x14ac:dyDescent="0.25">
      <c r="A17193" t="str">
        <f>"1260046C00216    00"</f>
        <v>1260046C00216    00</v>
      </c>
      <c r="B17193" t="s">
        <v>37507</v>
      </c>
      <c r="C17193" t="s">
        <v>37508</v>
      </c>
      <c r="D17193" t="s">
        <v>20</v>
      </c>
      <c r="E17193" t="s">
        <v>39</v>
      </c>
      <c r="F17193">
        <v>0</v>
      </c>
      <c r="G17193">
        <v>0</v>
      </c>
      <c r="H17193">
        <v>19</v>
      </c>
      <c r="I17193" s="3">
        <v>465.46</v>
      </c>
      <c r="J17193" s="3">
        <v>428.99</v>
      </c>
      <c r="K17193" t="s">
        <v>1008</v>
      </c>
      <c r="P17193" t="str">
        <f>""</f>
        <v/>
      </c>
    </row>
    <row r="17194" spans="1:16" x14ac:dyDescent="0.25">
      <c r="A17194" t="str">
        <f>"1260046C00217    00"</f>
        <v>1260046C00217    00</v>
      </c>
      <c r="B17194" t="s">
        <v>37509</v>
      </c>
      <c r="C17194" t="s">
        <v>37510</v>
      </c>
      <c r="D17194" t="s">
        <v>20</v>
      </c>
      <c r="E17194" t="s">
        <v>39</v>
      </c>
      <c r="F17194">
        <v>0</v>
      </c>
      <c r="G17194">
        <v>0</v>
      </c>
      <c r="H17194">
        <v>19</v>
      </c>
      <c r="I17194" s="3">
        <v>5008.32</v>
      </c>
      <c r="J17194" s="3">
        <v>6804.5</v>
      </c>
      <c r="L17194">
        <v>2588</v>
      </c>
      <c r="M17194" t="s">
        <v>37511</v>
      </c>
      <c r="N17194" t="s">
        <v>30</v>
      </c>
      <c r="O17194" t="s">
        <v>31</v>
      </c>
      <c r="P17194" t="str">
        <f>"15214"</f>
        <v>15214</v>
      </c>
    </row>
    <row r="17195" spans="1:16" x14ac:dyDescent="0.25">
      <c r="A17195" t="str">
        <f>"1260046C00220    00"</f>
        <v>1260046C00220    00</v>
      </c>
      <c r="B17195" t="s">
        <v>37512</v>
      </c>
      <c r="C17195" t="s">
        <v>37513</v>
      </c>
      <c r="D17195" t="s">
        <v>20</v>
      </c>
      <c r="E17195" t="s">
        <v>39</v>
      </c>
      <c r="F17195">
        <v>0</v>
      </c>
      <c r="G17195">
        <v>0</v>
      </c>
      <c r="H17195">
        <v>17</v>
      </c>
      <c r="I17195" s="3">
        <v>6145.75</v>
      </c>
      <c r="J17195" s="3">
        <v>5284.48</v>
      </c>
      <c r="L17195">
        <v>102</v>
      </c>
      <c r="M17195" t="s">
        <v>37514</v>
      </c>
      <c r="N17195" t="s">
        <v>30</v>
      </c>
      <c r="O17195" t="s">
        <v>31</v>
      </c>
      <c r="P17195" t="str">
        <f>"15209"</f>
        <v>15209</v>
      </c>
    </row>
    <row r="17196" spans="1:16" x14ac:dyDescent="0.25">
      <c r="A17196" t="str">
        <f>"1260046C00221    00"</f>
        <v>1260046C00221    00</v>
      </c>
      <c r="B17196" t="s">
        <v>37515</v>
      </c>
      <c r="C17196" t="s">
        <v>37508</v>
      </c>
      <c r="D17196" t="s">
        <v>20</v>
      </c>
      <c r="E17196" t="s">
        <v>39</v>
      </c>
      <c r="F17196">
        <v>0</v>
      </c>
      <c r="G17196">
        <v>0</v>
      </c>
      <c r="H17196">
        <v>19</v>
      </c>
      <c r="I17196" s="3">
        <v>4645.97</v>
      </c>
      <c r="J17196" s="3">
        <v>4015.15</v>
      </c>
      <c r="L17196">
        <v>5</v>
      </c>
      <c r="M17196" t="s">
        <v>37511</v>
      </c>
      <c r="N17196" t="s">
        <v>30</v>
      </c>
      <c r="O17196" t="s">
        <v>31</v>
      </c>
      <c r="P17196" t="str">
        <f>"15214"</f>
        <v>15214</v>
      </c>
    </row>
    <row r="17197" spans="1:16" x14ac:dyDescent="0.25">
      <c r="A17197" t="str">
        <f>"1260046C00222    00"</f>
        <v>1260046C00222    00</v>
      </c>
      <c r="B17197" t="s">
        <v>37516</v>
      </c>
      <c r="C17197" t="s">
        <v>37517</v>
      </c>
      <c r="D17197" t="s">
        <v>20</v>
      </c>
      <c r="E17197" t="s">
        <v>39</v>
      </c>
      <c r="F17197">
        <v>0</v>
      </c>
      <c r="G17197">
        <v>0</v>
      </c>
      <c r="H17197">
        <v>6</v>
      </c>
      <c r="I17197" s="3">
        <v>2932.41</v>
      </c>
      <c r="J17197" s="3">
        <v>96.88</v>
      </c>
      <c r="K17197" t="s">
        <v>37518</v>
      </c>
      <c r="L17197">
        <v>6629</v>
      </c>
      <c r="M17197" t="s">
        <v>4661</v>
      </c>
      <c r="N17197" t="s">
        <v>30</v>
      </c>
      <c r="O17197" t="s">
        <v>31</v>
      </c>
      <c r="P17197" t="str">
        <f>"15217"</f>
        <v>15217</v>
      </c>
    </row>
    <row r="17198" spans="1:16" x14ac:dyDescent="0.25">
      <c r="A17198" t="str">
        <f>"1260046C00224    00"</f>
        <v>1260046C00224    00</v>
      </c>
      <c r="B17198" t="s">
        <v>37519</v>
      </c>
      <c r="C17198" t="s">
        <v>37508</v>
      </c>
      <c r="D17198" t="s">
        <v>20</v>
      </c>
      <c r="E17198" t="s">
        <v>39</v>
      </c>
      <c r="F17198">
        <v>0</v>
      </c>
      <c r="G17198">
        <v>0</v>
      </c>
      <c r="H17198">
        <v>19</v>
      </c>
      <c r="I17198" s="3">
        <v>6943.57</v>
      </c>
      <c r="J17198" s="3">
        <v>9078.6299999999992</v>
      </c>
      <c r="L17198">
        <v>2</v>
      </c>
      <c r="M17198" t="s">
        <v>37511</v>
      </c>
      <c r="N17198" t="s">
        <v>30</v>
      </c>
      <c r="O17198" t="s">
        <v>31</v>
      </c>
      <c r="P17198" t="str">
        <f>"15214"</f>
        <v>15214</v>
      </c>
    </row>
    <row r="17199" spans="1:16" x14ac:dyDescent="0.25">
      <c r="A17199" t="str">
        <f>"1260046C00225    00"</f>
        <v>1260046C00225    00</v>
      </c>
      <c r="B17199" t="s">
        <v>37520</v>
      </c>
      <c r="C17199" t="s">
        <v>37508</v>
      </c>
      <c r="D17199" t="s">
        <v>20</v>
      </c>
      <c r="E17199" t="s">
        <v>39</v>
      </c>
      <c r="F17199">
        <v>0</v>
      </c>
      <c r="G17199">
        <v>0</v>
      </c>
      <c r="H17199">
        <v>19</v>
      </c>
      <c r="I17199" s="3">
        <v>9542.91</v>
      </c>
      <c r="J17199" s="3">
        <v>11833.12</v>
      </c>
      <c r="L17199">
        <v>1</v>
      </c>
      <c r="M17199" t="s">
        <v>37511</v>
      </c>
      <c r="N17199" t="s">
        <v>30</v>
      </c>
      <c r="O17199" t="s">
        <v>31</v>
      </c>
      <c r="P17199" t="str">
        <f>"15214"</f>
        <v>15214</v>
      </c>
    </row>
    <row r="17200" spans="1:16" x14ac:dyDescent="0.25">
      <c r="A17200" t="str">
        <f>"1260046C00226    00"</f>
        <v>1260046C00226    00</v>
      </c>
      <c r="B17200" t="s">
        <v>37521</v>
      </c>
      <c r="C17200" t="s">
        <v>37508</v>
      </c>
      <c r="D17200" t="s">
        <v>20</v>
      </c>
      <c r="E17200" t="s">
        <v>39</v>
      </c>
      <c r="F17200">
        <v>0</v>
      </c>
      <c r="G17200">
        <v>0</v>
      </c>
      <c r="H17200">
        <v>17</v>
      </c>
      <c r="I17200" s="3">
        <v>5781.07</v>
      </c>
      <c r="J17200" s="3">
        <v>7255.72</v>
      </c>
      <c r="L17200">
        <v>2678</v>
      </c>
      <c r="M17200" t="s">
        <v>37522</v>
      </c>
      <c r="N17200" t="s">
        <v>5797</v>
      </c>
      <c r="O17200" t="s">
        <v>200</v>
      </c>
      <c r="P17200" t="str">
        <f>"11208"</f>
        <v>11208</v>
      </c>
    </row>
    <row r="17201" spans="1:16" x14ac:dyDescent="0.25">
      <c r="A17201" t="str">
        <f>"1260046C00227    00"</f>
        <v>1260046C00227    00</v>
      </c>
      <c r="B17201" t="s">
        <v>37134</v>
      </c>
      <c r="C17201" t="s">
        <v>37523</v>
      </c>
      <c r="D17201" t="s">
        <v>20</v>
      </c>
      <c r="E17201" t="s">
        <v>39</v>
      </c>
      <c r="F17201">
        <v>0</v>
      </c>
      <c r="G17201">
        <v>0</v>
      </c>
      <c r="H17201">
        <v>10</v>
      </c>
      <c r="I17201" s="3">
        <v>4753.28</v>
      </c>
      <c r="J17201" s="3">
        <v>2035.26</v>
      </c>
      <c r="L17201">
        <v>433</v>
      </c>
      <c r="M17201" t="s">
        <v>37136</v>
      </c>
      <c r="N17201" t="s">
        <v>30</v>
      </c>
      <c r="O17201" t="s">
        <v>31</v>
      </c>
      <c r="P17201" t="str">
        <f>"15202"</f>
        <v>15202</v>
      </c>
    </row>
    <row r="17202" spans="1:16" x14ac:dyDescent="0.25">
      <c r="A17202" t="str">
        <f>"1260046C00234    00"</f>
        <v>1260046C00234    00</v>
      </c>
      <c r="B17202" t="s">
        <v>37524</v>
      </c>
      <c r="C17202" t="s">
        <v>37508</v>
      </c>
      <c r="D17202" t="s">
        <v>20</v>
      </c>
      <c r="E17202" t="s">
        <v>39</v>
      </c>
      <c r="F17202">
        <v>0</v>
      </c>
      <c r="G17202">
        <v>0</v>
      </c>
      <c r="H17202">
        <v>19</v>
      </c>
      <c r="I17202" s="3">
        <v>4577.5600000000004</v>
      </c>
      <c r="J17202" s="3">
        <v>2971.77</v>
      </c>
      <c r="L17202">
        <v>13</v>
      </c>
      <c r="M17202" t="s">
        <v>15764</v>
      </c>
      <c r="N17202" t="s">
        <v>30</v>
      </c>
      <c r="O17202" t="s">
        <v>31</v>
      </c>
      <c r="P17202" t="str">
        <f>"15229"</f>
        <v>15229</v>
      </c>
    </row>
    <row r="17203" spans="1:16" x14ac:dyDescent="0.25">
      <c r="A17203" t="str">
        <f>"1260046C00236    00"</f>
        <v>1260046C00236    00</v>
      </c>
      <c r="B17203" t="s">
        <v>37525</v>
      </c>
      <c r="C17203" t="s">
        <v>37508</v>
      </c>
      <c r="D17203" t="s">
        <v>20</v>
      </c>
      <c r="E17203" t="s">
        <v>39</v>
      </c>
      <c r="F17203">
        <v>0</v>
      </c>
      <c r="G17203">
        <v>0</v>
      </c>
      <c r="H17203">
        <v>19</v>
      </c>
      <c r="I17203" s="3">
        <v>690.85</v>
      </c>
      <c r="J17203" s="3">
        <v>815.07</v>
      </c>
      <c r="K17203" t="s">
        <v>1008</v>
      </c>
      <c r="P17203" t="str">
        <f>""</f>
        <v/>
      </c>
    </row>
    <row r="17204" spans="1:16" x14ac:dyDescent="0.25">
      <c r="A17204" t="str">
        <f>"1260046C00237    00"</f>
        <v>1260046C00237    00</v>
      </c>
      <c r="B17204" t="s">
        <v>37526</v>
      </c>
      <c r="C17204" t="s">
        <v>37508</v>
      </c>
      <c r="D17204" t="s">
        <v>20</v>
      </c>
      <c r="E17204" t="s">
        <v>39</v>
      </c>
      <c r="F17204">
        <v>0</v>
      </c>
      <c r="G17204">
        <v>0</v>
      </c>
      <c r="H17204">
        <v>19</v>
      </c>
      <c r="I17204" s="3">
        <v>690.85</v>
      </c>
      <c r="J17204" s="3">
        <v>815.07</v>
      </c>
      <c r="K17204" t="s">
        <v>1037</v>
      </c>
      <c r="L17204">
        <v>2587</v>
      </c>
      <c r="M17204" t="s">
        <v>37511</v>
      </c>
      <c r="N17204" t="s">
        <v>30</v>
      </c>
      <c r="O17204" t="s">
        <v>31</v>
      </c>
      <c r="P17204" t="str">
        <f>"15214"</f>
        <v>15214</v>
      </c>
    </row>
    <row r="17205" spans="1:16" x14ac:dyDescent="0.25">
      <c r="A17205" t="str">
        <f>"1260046C00238    00"</f>
        <v>1260046C00238    00</v>
      </c>
      <c r="B17205" t="s">
        <v>37527</v>
      </c>
      <c r="C17205" t="s">
        <v>37508</v>
      </c>
      <c r="D17205" t="s">
        <v>20</v>
      </c>
      <c r="E17205" t="s">
        <v>39</v>
      </c>
      <c r="F17205">
        <v>0</v>
      </c>
      <c r="G17205">
        <v>0</v>
      </c>
      <c r="H17205">
        <v>19</v>
      </c>
      <c r="I17205" s="3">
        <v>690.85</v>
      </c>
      <c r="J17205" s="3">
        <v>815.07</v>
      </c>
      <c r="K17205" t="s">
        <v>1037</v>
      </c>
      <c r="M17205" t="s">
        <v>37528</v>
      </c>
      <c r="N17205" t="s">
        <v>30297</v>
      </c>
      <c r="O17205" t="s">
        <v>31</v>
      </c>
      <c r="P17205" t="str">
        <f>"16038"</f>
        <v>16038</v>
      </c>
    </row>
    <row r="17206" spans="1:16" x14ac:dyDescent="0.25">
      <c r="A17206" t="str">
        <f>"1260046C00239    00"</f>
        <v>1260046C00239    00</v>
      </c>
      <c r="B17206" t="s">
        <v>37529</v>
      </c>
      <c r="C17206" t="s">
        <v>37508</v>
      </c>
      <c r="D17206" t="s">
        <v>20</v>
      </c>
      <c r="E17206" t="s">
        <v>39</v>
      </c>
      <c r="F17206">
        <v>0</v>
      </c>
      <c r="G17206">
        <v>0</v>
      </c>
      <c r="H17206">
        <v>19</v>
      </c>
      <c r="I17206" s="3">
        <v>690.85</v>
      </c>
      <c r="J17206" s="3">
        <v>815.07</v>
      </c>
      <c r="L17206">
        <v>2583</v>
      </c>
      <c r="M17206" t="s">
        <v>37511</v>
      </c>
      <c r="N17206" t="s">
        <v>30</v>
      </c>
      <c r="O17206" t="s">
        <v>31</v>
      </c>
      <c r="P17206" t="str">
        <f>"15214"</f>
        <v>15214</v>
      </c>
    </row>
    <row r="17207" spans="1:16" x14ac:dyDescent="0.25">
      <c r="A17207" t="str">
        <f>"1260046C00240    00"</f>
        <v>1260046C00240    00</v>
      </c>
      <c r="B17207" t="s">
        <v>37530</v>
      </c>
      <c r="C17207" t="s">
        <v>37508</v>
      </c>
      <c r="D17207" t="s">
        <v>20</v>
      </c>
      <c r="E17207" t="s">
        <v>39</v>
      </c>
      <c r="F17207">
        <v>0</v>
      </c>
      <c r="G17207">
        <v>0</v>
      </c>
      <c r="H17207">
        <v>16</v>
      </c>
      <c r="I17207" s="3">
        <v>5938.72</v>
      </c>
      <c r="J17207" s="3">
        <v>4607.12</v>
      </c>
      <c r="L17207">
        <v>2577</v>
      </c>
      <c r="M17207" t="s">
        <v>37511</v>
      </c>
      <c r="N17207" t="s">
        <v>30</v>
      </c>
      <c r="O17207" t="s">
        <v>31</v>
      </c>
      <c r="P17207" t="str">
        <f>"15214"</f>
        <v>15214</v>
      </c>
    </row>
    <row r="17208" spans="1:16" x14ac:dyDescent="0.25">
      <c r="A17208" t="str">
        <f>"1260046C00245    00"</f>
        <v>1260046C00245    00</v>
      </c>
      <c r="B17208" t="s">
        <v>37531</v>
      </c>
      <c r="C17208" t="s">
        <v>37532</v>
      </c>
      <c r="D17208" t="s">
        <v>20</v>
      </c>
      <c r="E17208" t="s">
        <v>39</v>
      </c>
      <c r="F17208">
        <v>0</v>
      </c>
      <c r="G17208">
        <v>0</v>
      </c>
      <c r="H17208">
        <v>19</v>
      </c>
      <c r="I17208" s="3">
        <v>460.55</v>
      </c>
      <c r="J17208" s="3">
        <v>549.86</v>
      </c>
      <c r="K17208" t="s">
        <v>37533</v>
      </c>
      <c r="L17208">
        <v>5039</v>
      </c>
      <c r="M17208" t="s">
        <v>37534</v>
      </c>
      <c r="N17208" t="s">
        <v>21257</v>
      </c>
      <c r="O17208" t="s">
        <v>370</v>
      </c>
      <c r="P17208" t="str">
        <f>"34203"</f>
        <v>34203</v>
      </c>
    </row>
    <row r="17209" spans="1:16" x14ac:dyDescent="0.25">
      <c r="A17209" t="str">
        <f>"1260046C00247    00"</f>
        <v>1260046C00247    00</v>
      </c>
      <c r="B17209" t="s">
        <v>20814</v>
      </c>
      <c r="C17209" t="s">
        <v>37535</v>
      </c>
      <c r="D17209" t="s">
        <v>20</v>
      </c>
      <c r="E17209" t="s">
        <v>39</v>
      </c>
      <c r="F17209">
        <v>0</v>
      </c>
      <c r="G17209">
        <v>0</v>
      </c>
      <c r="H17209">
        <v>6</v>
      </c>
      <c r="I17209" s="3">
        <v>3100.94</v>
      </c>
      <c r="J17209" s="3">
        <v>695.48</v>
      </c>
      <c r="L17209">
        <v>911</v>
      </c>
      <c r="M17209" t="s">
        <v>20816</v>
      </c>
      <c r="N17209" t="s">
        <v>30</v>
      </c>
      <c r="O17209" t="s">
        <v>31</v>
      </c>
      <c r="P17209" t="str">
        <f>"15210"</f>
        <v>15210</v>
      </c>
    </row>
    <row r="17210" spans="1:16" x14ac:dyDescent="0.25">
      <c r="A17210" t="str">
        <f>"1260046C00248    00"</f>
        <v>1260046C00248    00</v>
      </c>
      <c r="B17210" t="s">
        <v>37536</v>
      </c>
      <c r="C17210" t="s">
        <v>37537</v>
      </c>
      <c r="D17210" t="s">
        <v>20</v>
      </c>
      <c r="E17210" t="s">
        <v>39</v>
      </c>
      <c r="F17210">
        <v>0</v>
      </c>
      <c r="G17210">
        <v>0</v>
      </c>
      <c r="H17210">
        <v>18</v>
      </c>
      <c r="I17210" s="3">
        <v>16395.55</v>
      </c>
      <c r="J17210" s="3">
        <v>14360.01</v>
      </c>
      <c r="L17210">
        <v>105</v>
      </c>
      <c r="M17210" t="s">
        <v>37103</v>
      </c>
      <c r="N17210" t="s">
        <v>30</v>
      </c>
      <c r="O17210" t="s">
        <v>31</v>
      </c>
      <c r="P17210" t="str">
        <f>"15214"</f>
        <v>15214</v>
      </c>
    </row>
    <row r="17211" spans="1:16" x14ac:dyDescent="0.25">
      <c r="A17211" t="str">
        <f>"1260046C00249    00"</f>
        <v>1260046C00249    00</v>
      </c>
      <c r="B17211" t="s">
        <v>37538</v>
      </c>
      <c r="C17211" t="s">
        <v>37532</v>
      </c>
      <c r="D17211" t="s">
        <v>20</v>
      </c>
      <c r="E17211" t="s">
        <v>39</v>
      </c>
      <c r="F17211">
        <v>0</v>
      </c>
      <c r="G17211">
        <v>0</v>
      </c>
      <c r="H17211">
        <v>19</v>
      </c>
      <c r="I17211" s="3">
        <v>1481.29</v>
      </c>
      <c r="J17211" s="3">
        <v>1232.95</v>
      </c>
      <c r="L17211">
        <v>404</v>
      </c>
      <c r="M17211" t="s">
        <v>37539</v>
      </c>
      <c r="N17211" t="s">
        <v>30</v>
      </c>
      <c r="O17211" t="s">
        <v>31</v>
      </c>
      <c r="P17211" t="str">
        <f>"15214"</f>
        <v>15214</v>
      </c>
    </row>
    <row r="17212" spans="1:16" x14ac:dyDescent="0.25">
      <c r="A17212" t="str">
        <f>"1260046C00250    00"</f>
        <v>1260046C00250    00</v>
      </c>
      <c r="B17212" t="s">
        <v>37540</v>
      </c>
      <c r="C17212" t="s">
        <v>37532</v>
      </c>
      <c r="D17212" t="s">
        <v>20</v>
      </c>
      <c r="E17212" t="s">
        <v>39</v>
      </c>
      <c r="F17212">
        <v>0</v>
      </c>
      <c r="G17212">
        <v>0</v>
      </c>
      <c r="H17212">
        <v>19</v>
      </c>
      <c r="I17212" s="3">
        <v>1481.29</v>
      </c>
      <c r="J17212" s="3">
        <v>1232.95</v>
      </c>
      <c r="K17212" t="s">
        <v>1008</v>
      </c>
      <c r="P17212" t="str">
        <f>""</f>
        <v/>
      </c>
    </row>
    <row r="17213" spans="1:16" x14ac:dyDescent="0.25">
      <c r="A17213" t="str">
        <f>"1260046C00251    00"</f>
        <v>1260046C00251    00</v>
      </c>
      <c r="B17213" t="s">
        <v>37541</v>
      </c>
      <c r="C17213" t="s">
        <v>37542</v>
      </c>
      <c r="D17213" t="s">
        <v>20</v>
      </c>
      <c r="E17213" t="s">
        <v>39</v>
      </c>
      <c r="F17213">
        <v>0</v>
      </c>
      <c r="G17213">
        <v>0</v>
      </c>
      <c r="H17213">
        <v>4</v>
      </c>
      <c r="I17213" s="3">
        <v>1824.56</v>
      </c>
      <c r="J17213" s="3">
        <v>236.28</v>
      </c>
      <c r="K17213" t="s">
        <v>37543</v>
      </c>
      <c r="L17213">
        <v>414</v>
      </c>
      <c r="M17213" t="s">
        <v>37539</v>
      </c>
      <c r="N17213" t="s">
        <v>30</v>
      </c>
      <c r="O17213" t="s">
        <v>31</v>
      </c>
      <c r="P17213" t="str">
        <f>"15214"</f>
        <v>15214</v>
      </c>
    </row>
    <row r="17214" spans="1:16" x14ac:dyDescent="0.25">
      <c r="A17214" t="str">
        <f>"1260046C00303    00"</f>
        <v>1260046C00303    00</v>
      </c>
      <c r="B17214" t="s">
        <v>37544</v>
      </c>
      <c r="C17214" t="s">
        <v>37545</v>
      </c>
      <c r="D17214" t="s">
        <v>20</v>
      </c>
      <c r="E17214" t="s">
        <v>39</v>
      </c>
      <c r="F17214">
        <v>0</v>
      </c>
      <c r="G17214">
        <v>0</v>
      </c>
      <c r="H17214">
        <v>15</v>
      </c>
      <c r="I17214" s="3">
        <v>4887.24</v>
      </c>
      <c r="J17214" s="3">
        <v>4326.83</v>
      </c>
      <c r="K17214" t="s">
        <v>37546</v>
      </c>
      <c r="L17214">
        <v>2455</v>
      </c>
      <c r="M17214" t="s">
        <v>37547</v>
      </c>
      <c r="N17214" t="s">
        <v>30</v>
      </c>
      <c r="O17214" t="s">
        <v>31</v>
      </c>
      <c r="P17214" t="str">
        <f>"15214"</f>
        <v>15214</v>
      </c>
    </row>
    <row r="17215" spans="1:16" x14ac:dyDescent="0.25">
      <c r="A17215" t="str">
        <f>"1260046C00304    00"</f>
        <v>1260046C00304    00</v>
      </c>
      <c r="B17215" t="s">
        <v>37548</v>
      </c>
      <c r="C17215" t="s">
        <v>37549</v>
      </c>
      <c r="D17215" t="s">
        <v>20</v>
      </c>
      <c r="E17215" t="s">
        <v>39</v>
      </c>
      <c r="F17215">
        <v>0</v>
      </c>
      <c r="G17215">
        <v>0</v>
      </c>
      <c r="H17215">
        <v>19</v>
      </c>
      <c r="I17215" s="3">
        <v>5935.09</v>
      </c>
      <c r="J17215" s="3">
        <v>5625.72</v>
      </c>
      <c r="L17215">
        <v>4936</v>
      </c>
      <c r="M17215" t="s">
        <v>37355</v>
      </c>
      <c r="N17215" t="s">
        <v>195</v>
      </c>
      <c r="O17215" t="s">
        <v>31</v>
      </c>
      <c r="P17215" t="str">
        <f>"15101"</f>
        <v>15101</v>
      </c>
    </row>
    <row r="17216" spans="1:16" x14ac:dyDescent="0.25">
      <c r="A17216" t="str">
        <f>"1260046C00306    00"</f>
        <v>1260046C00306    00</v>
      </c>
      <c r="B17216" t="s">
        <v>31098</v>
      </c>
      <c r="C17216" t="s">
        <v>37550</v>
      </c>
      <c r="D17216" t="s">
        <v>33</v>
      </c>
      <c r="E17216" t="s">
        <v>39</v>
      </c>
      <c r="F17216">
        <v>0</v>
      </c>
      <c r="G17216">
        <v>0</v>
      </c>
      <c r="H17216">
        <v>1</v>
      </c>
      <c r="I17216" s="3">
        <v>423.33</v>
      </c>
      <c r="J17216" s="3">
        <v>0</v>
      </c>
      <c r="K17216" t="s">
        <v>33788</v>
      </c>
      <c r="L17216">
        <v>632</v>
      </c>
      <c r="M17216" t="s">
        <v>17928</v>
      </c>
      <c r="N17216" t="s">
        <v>30</v>
      </c>
      <c r="O17216" t="s">
        <v>31</v>
      </c>
      <c r="P17216" t="str">
        <f>"15207"</f>
        <v>15207</v>
      </c>
    </row>
    <row r="17217" spans="1:16" x14ac:dyDescent="0.25">
      <c r="A17217" t="str">
        <f>"1260046C00307    00"</f>
        <v>1260046C00307    00</v>
      </c>
      <c r="B17217" t="s">
        <v>37551</v>
      </c>
      <c r="C17217" t="s">
        <v>37552</v>
      </c>
      <c r="D17217" t="s">
        <v>20</v>
      </c>
      <c r="E17217" t="s">
        <v>39</v>
      </c>
      <c r="F17217">
        <v>0</v>
      </c>
      <c r="G17217">
        <v>0</v>
      </c>
      <c r="H17217">
        <v>13</v>
      </c>
      <c r="I17217" s="3">
        <v>8035.35</v>
      </c>
      <c r="J17217" s="3">
        <v>4628.5200000000004</v>
      </c>
      <c r="L17217">
        <v>2447</v>
      </c>
      <c r="M17217" t="s">
        <v>3189</v>
      </c>
      <c r="N17217" t="s">
        <v>30</v>
      </c>
      <c r="O17217" t="s">
        <v>31</v>
      </c>
      <c r="P17217" t="str">
        <f t="shared" ref="P17217:P17223" si="220">"15214"</f>
        <v>15214</v>
      </c>
    </row>
    <row r="17218" spans="1:16" x14ac:dyDescent="0.25">
      <c r="A17218" t="str">
        <f>"1260046C00308    00"</f>
        <v>1260046C00308    00</v>
      </c>
      <c r="B17218" t="s">
        <v>37553</v>
      </c>
      <c r="C17218" t="s">
        <v>37554</v>
      </c>
      <c r="D17218" t="s">
        <v>20</v>
      </c>
      <c r="E17218" t="s">
        <v>39</v>
      </c>
      <c r="F17218">
        <v>0</v>
      </c>
      <c r="G17218">
        <v>0</v>
      </c>
      <c r="H17218">
        <v>7</v>
      </c>
      <c r="I17218" s="3">
        <v>1223.1199999999999</v>
      </c>
      <c r="J17218" s="3">
        <v>418.57</v>
      </c>
      <c r="L17218">
        <v>2443</v>
      </c>
      <c r="M17218" t="s">
        <v>3189</v>
      </c>
      <c r="N17218" t="s">
        <v>30</v>
      </c>
      <c r="O17218" t="s">
        <v>31</v>
      </c>
      <c r="P17218" t="str">
        <f t="shared" si="220"/>
        <v>15214</v>
      </c>
    </row>
    <row r="17219" spans="1:16" x14ac:dyDescent="0.25">
      <c r="A17219" t="str">
        <f>"1260046C00310    00"</f>
        <v>1260046C00310    00</v>
      </c>
      <c r="B17219" t="s">
        <v>37555</v>
      </c>
      <c r="C17219" t="s">
        <v>37556</v>
      </c>
      <c r="D17219" t="s">
        <v>57</v>
      </c>
      <c r="E17219" t="s">
        <v>39</v>
      </c>
      <c r="F17219">
        <v>0</v>
      </c>
      <c r="G17219">
        <v>0</v>
      </c>
      <c r="H17219">
        <v>1</v>
      </c>
      <c r="I17219" s="3">
        <v>31</v>
      </c>
      <c r="J17219" s="3">
        <v>0</v>
      </c>
      <c r="L17219">
        <v>2506</v>
      </c>
      <c r="M17219" t="s">
        <v>37557</v>
      </c>
      <c r="N17219" t="s">
        <v>30</v>
      </c>
      <c r="O17219" t="s">
        <v>31</v>
      </c>
      <c r="P17219" t="str">
        <f t="shared" si="220"/>
        <v>15214</v>
      </c>
    </row>
    <row r="17220" spans="1:16" x14ac:dyDescent="0.25">
      <c r="A17220" t="str">
        <f>"1260046C00313    00"</f>
        <v>1260046C00313    00</v>
      </c>
      <c r="B17220" t="s">
        <v>37558</v>
      </c>
      <c r="C17220" t="s">
        <v>37559</v>
      </c>
      <c r="D17220" t="s">
        <v>20</v>
      </c>
      <c r="E17220" t="s">
        <v>39</v>
      </c>
      <c r="F17220">
        <v>0</v>
      </c>
      <c r="G17220">
        <v>0</v>
      </c>
      <c r="H17220">
        <v>12</v>
      </c>
      <c r="I17220" s="3">
        <v>2734.2</v>
      </c>
      <c r="J17220" s="3">
        <v>1522.32</v>
      </c>
      <c r="L17220">
        <v>2506</v>
      </c>
      <c r="M17220" t="s">
        <v>37557</v>
      </c>
      <c r="N17220" t="s">
        <v>30</v>
      </c>
      <c r="O17220" t="s">
        <v>31</v>
      </c>
      <c r="P17220" t="str">
        <f t="shared" si="220"/>
        <v>15214</v>
      </c>
    </row>
    <row r="17221" spans="1:16" x14ac:dyDescent="0.25">
      <c r="A17221" t="str">
        <f>"1260046C00314    00"</f>
        <v>1260046C00314    00</v>
      </c>
      <c r="B17221" t="s">
        <v>37558</v>
      </c>
      <c r="C17221" t="s">
        <v>37559</v>
      </c>
      <c r="D17221" t="s">
        <v>20</v>
      </c>
      <c r="E17221" t="s">
        <v>39</v>
      </c>
      <c r="F17221">
        <v>0</v>
      </c>
      <c r="G17221">
        <v>0</v>
      </c>
      <c r="H17221">
        <v>5</v>
      </c>
      <c r="I17221" s="3">
        <v>1206.6199999999999</v>
      </c>
      <c r="J17221" s="3">
        <v>242.87</v>
      </c>
      <c r="L17221">
        <v>2506</v>
      </c>
      <c r="M17221" t="s">
        <v>37557</v>
      </c>
      <c r="N17221" t="s">
        <v>30</v>
      </c>
      <c r="O17221" t="s">
        <v>31</v>
      </c>
      <c r="P17221" t="str">
        <f t="shared" si="220"/>
        <v>15214</v>
      </c>
    </row>
    <row r="17222" spans="1:16" x14ac:dyDescent="0.25">
      <c r="A17222" t="str">
        <f>"1260046C00315    00"</f>
        <v>1260046C00315    00</v>
      </c>
      <c r="B17222" t="s">
        <v>37560</v>
      </c>
      <c r="C17222" t="s">
        <v>37559</v>
      </c>
      <c r="D17222" t="s">
        <v>20</v>
      </c>
      <c r="E17222" t="s">
        <v>39</v>
      </c>
      <c r="F17222">
        <v>0</v>
      </c>
      <c r="G17222">
        <v>0</v>
      </c>
      <c r="H17222">
        <v>19</v>
      </c>
      <c r="I17222" s="3">
        <v>8057.7</v>
      </c>
      <c r="J17222" s="3">
        <v>9164.26</v>
      </c>
      <c r="L17222">
        <v>2450</v>
      </c>
      <c r="M17222" t="s">
        <v>37557</v>
      </c>
      <c r="N17222" t="s">
        <v>30</v>
      </c>
      <c r="O17222" t="s">
        <v>31</v>
      </c>
      <c r="P17222" t="str">
        <f t="shared" si="220"/>
        <v>15214</v>
      </c>
    </row>
    <row r="17223" spans="1:16" x14ac:dyDescent="0.25">
      <c r="A17223" t="str">
        <f>"1260046C00316    00"</f>
        <v>1260046C00316    00</v>
      </c>
      <c r="B17223" t="s">
        <v>37561</v>
      </c>
      <c r="C17223" t="s">
        <v>37562</v>
      </c>
      <c r="D17223" t="s">
        <v>20</v>
      </c>
      <c r="E17223" t="s">
        <v>39</v>
      </c>
      <c r="F17223">
        <v>0</v>
      </c>
      <c r="G17223">
        <v>0</v>
      </c>
      <c r="H17223">
        <v>1</v>
      </c>
      <c r="I17223" s="3">
        <v>1027.3399999999999</v>
      </c>
      <c r="J17223" s="3">
        <v>0</v>
      </c>
      <c r="K17223" t="s">
        <v>37563</v>
      </c>
      <c r="L17223">
        <v>2448</v>
      </c>
      <c r="M17223" t="s">
        <v>37557</v>
      </c>
      <c r="N17223" t="s">
        <v>30</v>
      </c>
      <c r="O17223" t="s">
        <v>31</v>
      </c>
      <c r="P17223" t="str">
        <f t="shared" si="220"/>
        <v>15214</v>
      </c>
    </row>
    <row r="17224" spans="1:16" x14ac:dyDescent="0.25">
      <c r="A17224" t="str">
        <f>"1260046C00320    00"</f>
        <v>1260046C00320    00</v>
      </c>
      <c r="B17224" t="s">
        <v>37564</v>
      </c>
      <c r="C17224" t="s">
        <v>37565</v>
      </c>
      <c r="D17224" t="s">
        <v>20</v>
      </c>
      <c r="E17224" t="s">
        <v>39</v>
      </c>
      <c r="F17224">
        <v>0</v>
      </c>
      <c r="G17224">
        <v>0</v>
      </c>
      <c r="H17224">
        <v>18</v>
      </c>
      <c r="I17224" s="3">
        <v>14209.52</v>
      </c>
      <c r="J17224" s="3">
        <v>13448.16</v>
      </c>
      <c r="L17224">
        <v>1940</v>
      </c>
      <c r="M17224" t="s">
        <v>33706</v>
      </c>
      <c r="N17224" t="s">
        <v>30</v>
      </c>
      <c r="O17224" t="s">
        <v>31</v>
      </c>
      <c r="P17224" t="str">
        <f>"15212"</f>
        <v>15212</v>
      </c>
    </row>
    <row r="17225" spans="1:16" x14ac:dyDescent="0.25">
      <c r="A17225" t="str">
        <f>"1260046C00334    00"</f>
        <v>1260046C00334    00</v>
      </c>
      <c r="B17225" t="s">
        <v>37566</v>
      </c>
      <c r="C17225" t="s">
        <v>37567</v>
      </c>
      <c r="D17225" t="s">
        <v>20</v>
      </c>
      <c r="E17225" t="s">
        <v>39</v>
      </c>
      <c r="F17225">
        <v>0</v>
      </c>
      <c r="G17225">
        <v>0</v>
      </c>
      <c r="H17225">
        <v>6</v>
      </c>
      <c r="I17225" s="3">
        <v>3636.89</v>
      </c>
      <c r="J17225" s="3">
        <v>766.54</v>
      </c>
      <c r="L17225">
        <v>2530</v>
      </c>
      <c r="M17225" t="s">
        <v>2747</v>
      </c>
      <c r="N17225" t="s">
        <v>30</v>
      </c>
      <c r="O17225" t="s">
        <v>31</v>
      </c>
      <c r="P17225" t="str">
        <f>"15214"</f>
        <v>15214</v>
      </c>
    </row>
    <row r="17226" spans="1:16" x14ac:dyDescent="0.25">
      <c r="A17226" t="str">
        <f>"1260046C00341    00"</f>
        <v>1260046C00341    00</v>
      </c>
      <c r="B17226" t="s">
        <v>37568</v>
      </c>
      <c r="C17226" t="s">
        <v>37569</v>
      </c>
      <c r="D17226" t="s">
        <v>20</v>
      </c>
      <c r="E17226" t="s">
        <v>39</v>
      </c>
      <c r="F17226">
        <v>0</v>
      </c>
      <c r="G17226">
        <v>0</v>
      </c>
      <c r="H17226">
        <v>1</v>
      </c>
      <c r="I17226" s="3">
        <v>362.14</v>
      </c>
      <c r="J17226" s="3">
        <v>0</v>
      </c>
      <c r="L17226">
        <v>7550</v>
      </c>
      <c r="M17226" t="s">
        <v>37570</v>
      </c>
      <c r="N17226" t="s">
        <v>30</v>
      </c>
      <c r="O17226" t="s">
        <v>31</v>
      </c>
      <c r="P17226" t="str">
        <f>"15218"</f>
        <v>15218</v>
      </c>
    </row>
    <row r="17227" spans="1:16" x14ac:dyDescent="0.25">
      <c r="A17227" t="str">
        <f>"1260046D00206    00"</f>
        <v>1260046D00206    00</v>
      </c>
      <c r="B17227" t="s">
        <v>37571</v>
      </c>
      <c r="C17227" t="s">
        <v>37572</v>
      </c>
      <c r="D17227" t="s">
        <v>20</v>
      </c>
      <c r="E17227" t="s">
        <v>39</v>
      </c>
      <c r="F17227">
        <v>0</v>
      </c>
      <c r="G17227">
        <v>0</v>
      </c>
      <c r="H17227">
        <v>1</v>
      </c>
      <c r="I17227" s="3">
        <v>181.08</v>
      </c>
      <c r="J17227" s="3">
        <v>0</v>
      </c>
      <c r="L17227">
        <v>2340</v>
      </c>
      <c r="M17227" t="s">
        <v>37573</v>
      </c>
      <c r="N17227" t="s">
        <v>30</v>
      </c>
      <c r="O17227" t="s">
        <v>31</v>
      </c>
      <c r="P17227" t="str">
        <f>"15212"</f>
        <v>15212</v>
      </c>
    </row>
    <row r="17228" spans="1:16" x14ac:dyDescent="0.25">
      <c r="A17228" t="str">
        <f>"1260046D00220    00"</f>
        <v>1260046D00220    00</v>
      </c>
      <c r="B17228" t="s">
        <v>37574</v>
      </c>
      <c r="C17228" t="s">
        <v>37575</v>
      </c>
      <c r="D17228" t="s">
        <v>20</v>
      </c>
      <c r="E17228" t="s">
        <v>39</v>
      </c>
      <c r="F17228">
        <v>0</v>
      </c>
      <c r="G17228">
        <v>0</v>
      </c>
      <c r="H17228">
        <v>19</v>
      </c>
      <c r="I17228" s="3">
        <v>3036.15</v>
      </c>
      <c r="J17228" s="3">
        <v>1777.56</v>
      </c>
      <c r="L17228">
        <v>2330</v>
      </c>
      <c r="M17228" t="s">
        <v>37573</v>
      </c>
      <c r="N17228" t="s">
        <v>30</v>
      </c>
      <c r="O17228" t="s">
        <v>31</v>
      </c>
      <c r="P17228" t="str">
        <f>"15212"</f>
        <v>15212</v>
      </c>
    </row>
    <row r="17229" spans="1:16" x14ac:dyDescent="0.25">
      <c r="A17229" t="str">
        <f>"1260046D00228    00"</f>
        <v>1260046D00228    00</v>
      </c>
      <c r="B17229" t="s">
        <v>37576</v>
      </c>
      <c r="C17229" t="s">
        <v>37577</v>
      </c>
      <c r="D17229" t="s">
        <v>20</v>
      </c>
      <c r="E17229" t="s">
        <v>39</v>
      </c>
      <c r="F17229">
        <v>0</v>
      </c>
      <c r="G17229">
        <v>0</v>
      </c>
      <c r="H17229">
        <v>17</v>
      </c>
      <c r="I17229" s="3">
        <v>8058.75</v>
      </c>
      <c r="J17229" s="3">
        <v>6962.69</v>
      </c>
      <c r="L17229">
        <v>225</v>
      </c>
      <c r="M17229" t="s">
        <v>37578</v>
      </c>
      <c r="N17229" t="s">
        <v>30</v>
      </c>
      <c r="O17229" t="s">
        <v>31</v>
      </c>
      <c r="P17229" t="str">
        <f>"15214"</f>
        <v>15214</v>
      </c>
    </row>
    <row r="17230" spans="1:16" x14ac:dyDescent="0.25">
      <c r="A17230" t="str">
        <f>"1260046E00070    00"</f>
        <v>1260046E00070    00</v>
      </c>
      <c r="B17230" t="s">
        <v>36432</v>
      </c>
      <c r="C17230" t="s">
        <v>37579</v>
      </c>
      <c r="D17230" t="s">
        <v>20</v>
      </c>
      <c r="E17230" t="s">
        <v>39</v>
      </c>
      <c r="F17230">
        <v>0</v>
      </c>
      <c r="G17230">
        <v>0</v>
      </c>
      <c r="H17230">
        <v>1</v>
      </c>
      <c r="I17230" s="3">
        <v>190.6</v>
      </c>
      <c r="J17230" s="3">
        <v>0</v>
      </c>
      <c r="L17230">
        <v>525</v>
      </c>
      <c r="M17230" t="s">
        <v>36276</v>
      </c>
      <c r="N17230" t="s">
        <v>30</v>
      </c>
      <c r="O17230" t="s">
        <v>31</v>
      </c>
      <c r="P17230" t="str">
        <f>"15214"</f>
        <v>15214</v>
      </c>
    </row>
    <row r="17231" spans="1:16" x14ac:dyDescent="0.25">
      <c r="A17231" t="str">
        <f>"1260046E00076    00"</f>
        <v>1260046E00076    00</v>
      </c>
      <c r="B17231" t="s">
        <v>37580</v>
      </c>
      <c r="C17231" t="s">
        <v>36098</v>
      </c>
      <c r="D17231" t="s">
        <v>20</v>
      </c>
      <c r="E17231" t="s">
        <v>39</v>
      </c>
      <c r="F17231">
        <v>0</v>
      </c>
      <c r="G17231">
        <v>0</v>
      </c>
      <c r="H17231">
        <v>17</v>
      </c>
      <c r="I17231" s="3">
        <v>491.05</v>
      </c>
      <c r="J17231" s="3">
        <v>663.11</v>
      </c>
      <c r="K17231" t="s">
        <v>1008</v>
      </c>
      <c r="P17231" t="str">
        <f>""</f>
        <v/>
      </c>
    </row>
    <row r="17232" spans="1:16" x14ac:dyDescent="0.25">
      <c r="A17232" t="str">
        <f>"1260046E00077    00"</f>
        <v>1260046E00077    00</v>
      </c>
      <c r="B17232" t="s">
        <v>12026</v>
      </c>
      <c r="C17232" t="s">
        <v>37581</v>
      </c>
      <c r="E17232" t="s">
        <v>39</v>
      </c>
      <c r="F17232">
        <v>0</v>
      </c>
      <c r="G17232">
        <v>0</v>
      </c>
      <c r="H17232">
        <v>2</v>
      </c>
      <c r="I17232" s="3">
        <v>1787.86</v>
      </c>
      <c r="J17232" s="3">
        <v>178.78</v>
      </c>
      <c r="L17232">
        <v>1723</v>
      </c>
      <c r="M17232" t="s">
        <v>12028</v>
      </c>
      <c r="N17232" t="s">
        <v>30</v>
      </c>
      <c r="O17232" t="s">
        <v>31</v>
      </c>
      <c r="P17232" t="str">
        <f>"15221"</f>
        <v>15221</v>
      </c>
    </row>
    <row r="17233" spans="1:16" x14ac:dyDescent="0.25">
      <c r="A17233" t="str">
        <f>"1260046E00131    00"</f>
        <v>1260046E00131    00</v>
      </c>
      <c r="B17233" t="s">
        <v>36842</v>
      </c>
      <c r="C17233" t="s">
        <v>37582</v>
      </c>
      <c r="D17233" t="s">
        <v>20</v>
      </c>
      <c r="E17233" t="s">
        <v>39</v>
      </c>
      <c r="F17233">
        <v>0</v>
      </c>
      <c r="G17233">
        <v>0</v>
      </c>
      <c r="H17233">
        <v>3</v>
      </c>
      <c r="I17233" s="3">
        <v>3327.67</v>
      </c>
      <c r="J17233" s="3">
        <v>160.38999999999999</v>
      </c>
      <c r="K17233" t="s">
        <v>37583</v>
      </c>
      <c r="L17233">
        <v>2155</v>
      </c>
      <c r="M17233" t="s">
        <v>37584</v>
      </c>
      <c r="N17233" t="s">
        <v>7330</v>
      </c>
      <c r="O17233" t="s">
        <v>1413</v>
      </c>
      <c r="P17233" t="str">
        <f>"28037"</f>
        <v>28037</v>
      </c>
    </row>
    <row r="17234" spans="1:16" x14ac:dyDescent="0.25">
      <c r="A17234" t="str">
        <f>"1260046E00135    00"</f>
        <v>1260046E00135    00</v>
      </c>
      <c r="B17234" t="s">
        <v>37585</v>
      </c>
      <c r="C17234" t="s">
        <v>37586</v>
      </c>
      <c r="E17234" t="s">
        <v>39</v>
      </c>
      <c r="F17234">
        <v>0</v>
      </c>
      <c r="G17234">
        <v>0</v>
      </c>
      <c r="H17234">
        <v>1</v>
      </c>
      <c r="I17234" s="3">
        <v>780.07</v>
      </c>
      <c r="J17234" s="3">
        <v>0</v>
      </c>
      <c r="L17234">
        <v>2612</v>
      </c>
      <c r="M17234" t="s">
        <v>37587</v>
      </c>
      <c r="N17234" t="s">
        <v>30</v>
      </c>
      <c r="O17234" t="s">
        <v>31</v>
      </c>
      <c r="P17234" t="str">
        <f>"15214"</f>
        <v>15214</v>
      </c>
    </row>
    <row r="17235" spans="1:16" x14ac:dyDescent="0.25">
      <c r="A17235" t="str">
        <f>"1260046E00148    00"</f>
        <v>1260046E00148    00</v>
      </c>
      <c r="B17235" t="s">
        <v>37588</v>
      </c>
      <c r="C17235" t="s">
        <v>37589</v>
      </c>
      <c r="D17235" t="s">
        <v>20</v>
      </c>
      <c r="E17235" t="s">
        <v>39</v>
      </c>
      <c r="F17235">
        <v>0</v>
      </c>
      <c r="G17235">
        <v>0</v>
      </c>
      <c r="H17235">
        <v>2</v>
      </c>
      <c r="I17235" s="3">
        <v>3476.56</v>
      </c>
      <c r="J17235" s="3">
        <v>0</v>
      </c>
      <c r="L17235">
        <v>2570</v>
      </c>
      <c r="M17235" t="s">
        <v>20337</v>
      </c>
      <c r="N17235" t="s">
        <v>30</v>
      </c>
      <c r="O17235" t="s">
        <v>31</v>
      </c>
      <c r="P17235" t="str">
        <f>"15214"</f>
        <v>15214</v>
      </c>
    </row>
    <row r="17236" spans="1:16" x14ac:dyDescent="0.25">
      <c r="A17236" t="str">
        <f>"1260046E00170    00"</f>
        <v>1260046E00170    00</v>
      </c>
      <c r="B17236" t="s">
        <v>37590</v>
      </c>
      <c r="C17236" t="s">
        <v>37283</v>
      </c>
      <c r="D17236" t="s">
        <v>20</v>
      </c>
      <c r="E17236" t="s">
        <v>39</v>
      </c>
      <c r="F17236">
        <v>0</v>
      </c>
      <c r="G17236">
        <v>0</v>
      </c>
      <c r="H17236">
        <v>17</v>
      </c>
      <c r="I17236" s="3">
        <v>1383.5</v>
      </c>
      <c r="J17236" s="3">
        <v>1550.66</v>
      </c>
      <c r="L17236">
        <v>2127</v>
      </c>
      <c r="M17236" t="s">
        <v>37591</v>
      </c>
      <c r="N17236" t="s">
        <v>7204</v>
      </c>
      <c r="O17236" t="s">
        <v>200</v>
      </c>
      <c r="P17236" t="str">
        <f>"11105"</f>
        <v>11105</v>
      </c>
    </row>
    <row r="17237" spans="1:16" x14ac:dyDescent="0.25">
      <c r="A17237" t="str">
        <f>"1260046E00177    00"</f>
        <v>1260046E00177    00</v>
      </c>
      <c r="B17237" t="s">
        <v>37592</v>
      </c>
      <c r="C17237" t="s">
        <v>37593</v>
      </c>
      <c r="D17237" t="s">
        <v>20</v>
      </c>
      <c r="E17237" t="s">
        <v>39</v>
      </c>
      <c r="F17237">
        <v>0</v>
      </c>
      <c r="G17237">
        <v>0</v>
      </c>
      <c r="H17237">
        <v>4</v>
      </c>
      <c r="I17237" s="3">
        <v>1896.35</v>
      </c>
      <c r="J17237" s="3">
        <v>236.95</v>
      </c>
      <c r="L17237">
        <v>312</v>
      </c>
      <c r="M17237" t="s">
        <v>37290</v>
      </c>
      <c r="N17237" t="s">
        <v>30</v>
      </c>
      <c r="O17237" t="s">
        <v>31</v>
      </c>
      <c r="P17237" t="str">
        <f>"15214"</f>
        <v>15214</v>
      </c>
    </row>
    <row r="17238" spans="1:16" x14ac:dyDescent="0.25">
      <c r="A17238" t="str">
        <f>"1260046E00183000100"</f>
        <v>1260046E00183000100</v>
      </c>
      <c r="B17238" t="s">
        <v>37594</v>
      </c>
      <c r="C17238" t="s">
        <v>37283</v>
      </c>
      <c r="D17238" t="s">
        <v>20</v>
      </c>
      <c r="E17238" t="s">
        <v>39</v>
      </c>
      <c r="F17238">
        <v>0</v>
      </c>
      <c r="G17238">
        <v>0</v>
      </c>
      <c r="H17238">
        <v>9</v>
      </c>
      <c r="I17238" s="3">
        <v>83.03</v>
      </c>
      <c r="J17238" s="3">
        <v>69.67</v>
      </c>
      <c r="L17238">
        <v>3232</v>
      </c>
      <c r="M17238" t="s">
        <v>34767</v>
      </c>
      <c r="N17238" t="s">
        <v>30</v>
      </c>
      <c r="O17238" t="s">
        <v>31</v>
      </c>
      <c r="P17238" t="str">
        <f>"15212"</f>
        <v>15212</v>
      </c>
    </row>
    <row r="17239" spans="1:16" x14ac:dyDescent="0.25">
      <c r="A17239" t="str">
        <f>"1260046E00183000400"</f>
        <v>1260046E00183000400</v>
      </c>
      <c r="B17239" t="s">
        <v>37595</v>
      </c>
      <c r="C17239" t="s">
        <v>37283</v>
      </c>
      <c r="E17239" t="s">
        <v>39</v>
      </c>
      <c r="F17239">
        <v>0</v>
      </c>
      <c r="G17239">
        <v>0</v>
      </c>
      <c r="H17239">
        <v>1</v>
      </c>
      <c r="I17239" s="3">
        <v>22.87</v>
      </c>
      <c r="J17239" s="3">
        <v>0</v>
      </c>
      <c r="L17239">
        <v>230</v>
      </c>
      <c r="M17239" t="s">
        <v>37290</v>
      </c>
      <c r="N17239" t="s">
        <v>30</v>
      </c>
      <c r="O17239" t="s">
        <v>31</v>
      </c>
      <c r="P17239" t="str">
        <f>"15214"</f>
        <v>15214</v>
      </c>
    </row>
    <row r="17240" spans="1:16" x14ac:dyDescent="0.25">
      <c r="A17240" t="str">
        <f>"1260046E00183000500"</f>
        <v>1260046E00183000500</v>
      </c>
      <c r="B17240" t="s">
        <v>37596</v>
      </c>
      <c r="C17240" t="s">
        <v>37283</v>
      </c>
      <c r="D17240" t="s">
        <v>20</v>
      </c>
      <c r="E17240" t="s">
        <v>39</v>
      </c>
      <c r="F17240">
        <v>0</v>
      </c>
      <c r="G17240">
        <v>0</v>
      </c>
      <c r="H17240">
        <v>17</v>
      </c>
      <c r="I17240" s="3">
        <v>449.56</v>
      </c>
      <c r="J17240" s="3">
        <v>598.51</v>
      </c>
      <c r="K17240" t="s">
        <v>1008</v>
      </c>
      <c r="P17240" t="str">
        <f>""</f>
        <v/>
      </c>
    </row>
    <row r="17241" spans="1:16" x14ac:dyDescent="0.25">
      <c r="A17241" t="str">
        <f>"1260046E00188    00"</f>
        <v>1260046E00188    00</v>
      </c>
      <c r="B17241" t="s">
        <v>37594</v>
      </c>
      <c r="C17241" t="s">
        <v>37597</v>
      </c>
      <c r="D17241" t="s">
        <v>20</v>
      </c>
      <c r="E17241" t="s">
        <v>39</v>
      </c>
      <c r="F17241">
        <v>0</v>
      </c>
      <c r="G17241">
        <v>0</v>
      </c>
      <c r="H17241">
        <v>3</v>
      </c>
      <c r="I17241" s="3">
        <v>729.38</v>
      </c>
      <c r="J17241" s="3">
        <v>74.77</v>
      </c>
      <c r="L17241">
        <v>3232</v>
      </c>
      <c r="M17241" t="s">
        <v>34767</v>
      </c>
      <c r="N17241" t="s">
        <v>30</v>
      </c>
      <c r="O17241" t="s">
        <v>31</v>
      </c>
      <c r="P17241" t="str">
        <f>"15212"</f>
        <v>15212</v>
      </c>
    </row>
    <row r="17242" spans="1:16" x14ac:dyDescent="0.25">
      <c r="A17242" t="str">
        <f>"1260046E00189    00"</f>
        <v>1260046E00189    00</v>
      </c>
      <c r="B17242" t="s">
        <v>37598</v>
      </c>
      <c r="C17242" t="s">
        <v>37599</v>
      </c>
      <c r="D17242" t="s">
        <v>20</v>
      </c>
      <c r="E17242" t="s">
        <v>39</v>
      </c>
      <c r="F17242">
        <v>0</v>
      </c>
      <c r="G17242">
        <v>0</v>
      </c>
      <c r="H17242">
        <v>3</v>
      </c>
      <c r="I17242" s="3">
        <v>733.78</v>
      </c>
      <c r="J17242" s="3">
        <v>2.85</v>
      </c>
      <c r="L17242">
        <v>134</v>
      </c>
      <c r="M17242" t="s">
        <v>23236</v>
      </c>
      <c r="N17242" t="s">
        <v>1474</v>
      </c>
      <c r="O17242" t="s">
        <v>31</v>
      </c>
      <c r="P17242" t="str">
        <f>"15017"</f>
        <v>15017</v>
      </c>
    </row>
    <row r="17243" spans="1:16" x14ac:dyDescent="0.25">
      <c r="A17243" t="str">
        <f>"1260046E00190    00"</f>
        <v>1260046E00190    00</v>
      </c>
      <c r="B17243" t="s">
        <v>37595</v>
      </c>
      <c r="C17243" t="s">
        <v>37600</v>
      </c>
      <c r="E17243" t="s">
        <v>39</v>
      </c>
      <c r="F17243">
        <v>0</v>
      </c>
      <c r="G17243">
        <v>0</v>
      </c>
      <c r="H17243">
        <v>1</v>
      </c>
      <c r="I17243" s="3">
        <v>364.05</v>
      </c>
      <c r="J17243" s="3">
        <v>0</v>
      </c>
      <c r="L17243">
        <v>230</v>
      </c>
      <c r="M17243" t="s">
        <v>37290</v>
      </c>
      <c r="N17243" t="s">
        <v>30</v>
      </c>
      <c r="O17243" t="s">
        <v>31</v>
      </c>
      <c r="P17243" t="str">
        <f>"15214"</f>
        <v>15214</v>
      </c>
    </row>
    <row r="17244" spans="1:16" x14ac:dyDescent="0.25">
      <c r="A17244" t="str">
        <f>"1260046E00191    00"</f>
        <v>1260046E00191    00</v>
      </c>
      <c r="B17244" t="s">
        <v>37595</v>
      </c>
      <c r="C17244" t="s">
        <v>37283</v>
      </c>
      <c r="E17244" t="s">
        <v>39</v>
      </c>
      <c r="F17244">
        <v>0</v>
      </c>
      <c r="G17244">
        <v>0</v>
      </c>
      <c r="H17244">
        <v>1</v>
      </c>
      <c r="I17244" s="3">
        <v>99.11</v>
      </c>
      <c r="J17244" s="3">
        <v>0</v>
      </c>
      <c r="L17244">
        <v>230</v>
      </c>
      <c r="M17244" t="s">
        <v>37290</v>
      </c>
      <c r="N17244" t="s">
        <v>30</v>
      </c>
      <c r="O17244" t="s">
        <v>31</v>
      </c>
      <c r="P17244" t="str">
        <f>"15214"</f>
        <v>15214</v>
      </c>
    </row>
    <row r="17245" spans="1:16" x14ac:dyDescent="0.25">
      <c r="A17245" t="str">
        <f>"1260046E00206    00"</f>
        <v>1260046E00206    00</v>
      </c>
      <c r="B17245" t="s">
        <v>37601</v>
      </c>
      <c r="C17245" t="s">
        <v>37602</v>
      </c>
      <c r="E17245" t="s">
        <v>39</v>
      </c>
      <c r="F17245">
        <v>0</v>
      </c>
      <c r="G17245">
        <v>0</v>
      </c>
      <c r="H17245">
        <v>1</v>
      </c>
      <c r="I17245" s="3">
        <v>430.05</v>
      </c>
      <c r="J17245" s="3">
        <v>768.09</v>
      </c>
      <c r="L17245">
        <v>2414</v>
      </c>
      <c r="M17245" t="s">
        <v>8008</v>
      </c>
      <c r="N17245" t="s">
        <v>30</v>
      </c>
      <c r="O17245" t="s">
        <v>31</v>
      </c>
      <c r="P17245" t="str">
        <f>"15214"</f>
        <v>15214</v>
      </c>
    </row>
    <row r="17246" spans="1:16" x14ac:dyDescent="0.25">
      <c r="A17246" t="str">
        <f>"1260046E00211    00"</f>
        <v>1260046E00211    00</v>
      </c>
      <c r="B17246" t="s">
        <v>37603</v>
      </c>
      <c r="C17246" t="s">
        <v>37604</v>
      </c>
      <c r="D17246" t="s">
        <v>20</v>
      </c>
      <c r="E17246" t="s">
        <v>39</v>
      </c>
      <c r="F17246">
        <v>0</v>
      </c>
      <c r="G17246">
        <v>0</v>
      </c>
      <c r="H17246">
        <v>14</v>
      </c>
      <c r="I17246" s="3">
        <v>10101.64</v>
      </c>
      <c r="J17246" s="3">
        <v>6752.43</v>
      </c>
      <c r="L17246">
        <v>15705</v>
      </c>
      <c r="M17246" t="s">
        <v>37605</v>
      </c>
      <c r="N17246" t="s">
        <v>37606</v>
      </c>
      <c r="O17246" t="s">
        <v>370</v>
      </c>
      <c r="P17246" t="str">
        <f>"33014"</f>
        <v>33014</v>
      </c>
    </row>
    <row r="17247" spans="1:16" x14ac:dyDescent="0.25">
      <c r="A17247" t="str">
        <f>"1260046E00230    00"</f>
        <v>1260046E00230    00</v>
      </c>
      <c r="B17247" t="s">
        <v>37607</v>
      </c>
      <c r="C17247" t="s">
        <v>37608</v>
      </c>
      <c r="D17247" t="s">
        <v>20</v>
      </c>
      <c r="E17247" t="s">
        <v>39</v>
      </c>
      <c r="F17247">
        <v>0</v>
      </c>
      <c r="G17247">
        <v>0</v>
      </c>
      <c r="H17247">
        <v>1</v>
      </c>
      <c r="I17247" s="3">
        <v>680.45</v>
      </c>
      <c r="J17247" s="3">
        <v>0</v>
      </c>
      <c r="K17247" t="s">
        <v>37609</v>
      </c>
      <c r="L17247">
        <v>1923</v>
      </c>
      <c r="M17247" t="s">
        <v>20337</v>
      </c>
      <c r="N17247" t="s">
        <v>30</v>
      </c>
      <c r="O17247" t="s">
        <v>31</v>
      </c>
      <c r="P17247" t="str">
        <f>"15212"</f>
        <v>15212</v>
      </c>
    </row>
    <row r="17248" spans="1:16" x14ac:dyDescent="0.25">
      <c r="A17248" t="str">
        <f>"1260046E00231    00"</f>
        <v>1260046E00231    00</v>
      </c>
      <c r="B17248" t="s">
        <v>37610</v>
      </c>
      <c r="C17248" t="s">
        <v>37611</v>
      </c>
      <c r="E17248" t="s">
        <v>39</v>
      </c>
      <c r="F17248">
        <v>0</v>
      </c>
      <c r="G17248">
        <v>0</v>
      </c>
      <c r="H17248">
        <v>3</v>
      </c>
      <c r="I17248" s="3">
        <v>114.29</v>
      </c>
      <c r="J17248" s="3">
        <v>3.82</v>
      </c>
      <c r="L17248">
        <v>2431</v>
      </c>
      <c r="M17248" t="s">
        <v>37612</v>
      </c>
      <c r="N17248" t="s">
        <v>30</v>
      </c>
      <c r="O17248" t="s">
        <v>31</v>
      </c>
      <c r="P17248" t="str">
        <f>"15214"</f>
        <v>15214</v>
      </c>
    </row>
    <row r="17249" spans="1:16" x14ac:dyDescent="0.25">
      <c r="A17249" t="str">
        <f>"1260046E00244    00"</f>
        <v>1260046E00244    00</v>
      </c>
      <c r="B17249" t="s">
        <v>37613</v>
      </c>
      <c r="C17249" t="s">
        <v>37614</v>
      </c>
      <c r="D17249" t="s">
        <v>20</v>
      </c>
      <c r="E17249" t="s">
        <v>39</v>
      </c>
      <c r="F17249">
        <v>0</v>
      </c>
      <c r="G17249">
        <v>0</v>
      </c>
      <c r="H17249">
        <v>19</v>
      </c>
      <c r="I17249" s="3">
        <v>5893.58</v>
      </c>
      <c r="J17249" s="3">
        <v>5310.94</v>
      </c>
      <c r="K17249" t="s">
        <v>1008</v>
      </c>
      <c r="P17249" t="str">
        <f>""</f>
        <v/>
      </c>
    </row>
    <row r="17250" spans="1:16" x14ac:dyDescent="0.25">
      <c r="A17250" t="str">
        <f>"1260046E00252    00"</f>
        <v>1260046E00252    00</v>
      </c>
      <c r="B17250" t="s">
        <v>37615</v>
      </c>
      <c r="C17250" t="s">
        <v>37614</v>
      </c>
      <c r="D17250" t="s">
        <v>20</v>
      </c>
      <c r="E17250" t="s">
        <v>39</v>
      </c>
      <c r="F17250">
        <v>0</v>
      </c>
      <c r="G17250">
        <v>0</v>
      </c>
      <c r="H17250">
        <v>19</v>
      </c>
      <c r="I17250" s="3">
        <v>5106.5</v>
      </c>
      <c r="J17250" s="3">
        <v>3370.03</v>
      </c>
      <c r="P17250" t="str">
        <f>""</f>
        <v/>
      </c>
    </row>
    <row r="17251" spans="1:16" x14ac:dyDescent="0.25">
      <c r="A17251" t="str">
        <f>"1260046E00257    00"</f>
        <v>1260046E00257    00</v>
      </c>
      <c r="B17251" t="s">
        <v>37616</v>
      </c>
      <c r="C17251" t="s">
        <v>37617</v>
      </c>
      <c r="D17251" t="s">
        <v>20</v>
      </c>
      <c r="E17251" t="s">
        <v>39</v>
      </c>
      <c r="F17251">
        <v>0</v>
      </c>
      <c r="G17251">
        <v>0</v>
      </c>
      <c r="H17251">
        <v>19</v>
      </c>
      <c r="I17251" s="3">
        <v>9892.7199999999993</v>
      </c>
      <c r="J17251" s="3">
        <v>11651.5</v>
      </c>
      <c r="L17251">
        <v>7500</v>
      </c>
      <c r="M17251" t="s">
        <v>37618</v>
      </c>
      <c r="N17251" t="s">
        <v>5166</v>
      </c>
      <c r="O17251" t="s">
        <v>1413</v>
      </c>
      <c r="P17251" t="str">
        <f>"27613"</f>
        <v>27613</v>
      </c>
    </row>
    <row r="17252" spans="1:16" x14ac:dyDescent="0.25">
      <c r="A17252" t="str">
        <f>"1260046E00260    00"</f>
        <v>1260046E00260    00</v>
      </c>
      <c r="B17252" t="s">
        <v>37619</v>
      </c>
      <c r="C17252" t="s">
        <v>37620</v>
      </c>
      <c r="D17252" t="s">
        <v>20</v>
      </c>
      <c r="E17252" t="s">
        <v>39</v>
      </c>
      <c r="F17252">
        <v>0</v>
      </c>
      <c r="G17252">
        <v>0</v>
      </c>
      <c r="H17252">
        <v>1</v>
      </c>
      <c r="I17252" s="3">
        <v>33.49</v>
      </c>
      <c r="J17252" s="3">
        <v>6.69</v>
      </c>
      <c r="K17252" t="s">
        <v>408</v>
      </c>
      <c r="M17252" t="s">
        <v>409</v>
      </c>
      <c r="N17252" t="s">
        <v>410</v>
      </c>
      <c r="O17252" t="s">
        <v>31</v>
      </c>
      <c r="P17252" t="str">
        <f>"15701"</f>
        <v>15701</v>
      </c>
    </row>
    <row r="17253" spans="1:16" x14ac:dyDescent="0.25">
      <c r="A17253" t="str">
        <f>"1260046E00263    00"</f>
        <v>1260046E00263    00</v>
      </c>
      <c r="B17253" t="s">
        <v>37621</v>
      </c>
      <c r="C17253" t="s">
        <v>37622</v>
      </c>
      <c r="D17253" t="s">
        <v>20</v>
      </c>
      <c r="E17253" t="s">
        <v>39</v>
      </c>
      <c r="F17253">
        <v>0</v>
      </c>
      <c r="G17253">
        <v>0</v>
      </c>
      <c r="H17253">
        <v>5</v>
      </c>
      <c r="I17253" s="3">
        <v>2821.6</v>
      </c>
      <c r="J17253" s="3">
        <v>438.74</v>
      </c>
      <c r="L17253">
        <v>143</v>
      </c>
      <c r="M17253" t="s">
        <v>37623</v>
      </c>
      <c r="N17253" t="s">
        <v>30</v>
      </c>
      <c r="O17253" t="s">
        <v>31</v>
      </c>
      <c r="P17253" t="str">
        <f>"15214"</f>
        <v>15214</v>
      </c>
    </row>
    <row r="17254" spans="1:16" x14ac:dyDescent="0.25">
      <c r="A17254" t="str">
        <f>"1260046E00265    00"</f>
        <v>1260046E00265    00</v>
      </c>
      <c r="B17254" t="s">
        <v>37624</v>
      </c>
      <c r="C17254" t="s">
        <v>37625</v>
      </c>
      <c r="D17254" t="s">
        <v>20</v>
      </c>
      <c r="E17254" t="s">
        <v>39</v>
      </c>
      <c r="F17254">
        <v>0</v>
      </c>
      <c r="G17254">
        <v>0</v>
      </c>
      <c r="H17254">
        <v>2</v>
      </c>
      <c r="I17254" s="3">
        <v>313.64</v>
      </c>
      <c r="J17254" s="3">
        <v>0</v>
      </c>
      <c r="K17254" t="s">
        <v>417</v>
      </c>
      <c r="L17254">
        <v>3001</v>
      </c>
      <c r="M17254" t="s">
        <v>330</v>
      </c>
      <c r="N17254" t="s">
        <v>331</v>
      </c>
      <c r="O17254" t="s">
        <v>108</v>
      </c>
      <c r="P17254" t="str">
        <f>"75063"</f>
        <v>75063</v>
      </c>
    </row>
    <row r="17255" spans="1:16" x14ac:dyDescent="0.25">
      <c r="A17255" t="str">
        <f>"1260046E00267    00"</f>
        <v>1260046E00267    00</v>
      </c>
      <c r="B17255" t="s">
        <v>37626</v>
      </c>
      <c r="C17255" t="s">
        <v>37617</v>
      </c>
      <c r="D17255" t="s">
        <v>20</v>
      </c>
      <c r="E17255" t="s">
        <v>39</v>
      </c>
      <c r="F17255">
        <v>0</v>
      </c>
      <c r="G17255">
        <v>0</v>
      </c>
      <c r="H17255">
        <v>19</v>
      </c>
      <c r="I17255" s="3">
        <v>518.28</v>
      </c>
      <c r="J17255" s="3">
        <v>566.44000000000005</v>
      </c>
      <c r="K17255" t="s">
        <v>1008</v>
      </c>
      <c r="P17255" t="str">
        <f>""</f>
        <v/>
      </c>
    </row>
    <row r="17256" spans="1:16" x14ac:dyDescent="0.25">
      <c r="A17256" t="str">
        <f>"1260046E00274    00"</f>
        <v>1260046E00274    00</v>
      </c>
      <c r="B17256" t="s">
        <v>37627</v>
      </c>
      <c r="C17256" t="s">
        <v>37628</v>
      </c>
      <c r="D17256" t="s">
        <v>20</v>
      </c>
      <c r="E17256" t="s">
        <v>39</v>
      </c>
      <c r="F17256">
        <v>0</v>
      </c>
      <c r="G17256">
        <v>0</v>
      </c>
      <c r="H17256">
        <v>5</v>
      </c>
      <c r="I17256" s="3">
        <v>1924.21</v>
      </c>
      <c r="J17256" s="3">
        <v>406.15</v>
      </c>
      <c r="L17256">
        <v>134</v>
      </c>
      <c r="M17256" t="s">
        <v>37629</v>
      </c>
      <c r="N17256" t="s">
        <v>30</v>
      </c>
      <c r="O17256" t="s">
        <v>31</v>
      </c>
      <c r="P17256" t="str">
        <f t="shared" ref="P17256:P17267" si="221">"15214"</f>
        <v>15214</v>
      </c>
    </row>
    <row r="17257" spans="1:16" x14ac:dyDescent="0.25">
      <c r="A17257" t="str">
        <f>"1260046F00030    00"</f>
        <v>1260046F00030    00</v>
      </c>
      <c r="B17257" t="s">
        <v>37630</v>
      </c>
      <c r="C17257" t="s">
        <v>37631</v>
      </c>
      <c r="D17257" t="s">
        <v>20</v>
      </c>
      <c r="E17257" t="s">
        <v>39</v>
      </c>
      <c r="F17257">
        <v>0</v>
      </c>
      <c r="G17257">
        <v>0</v>
      </c>
      <c r="H17257">
        <v>6</v>
      </c>
      <c r="I17257" s="3">
        <v>1200.92</v>
      </c>
      <c r="J17257" s="3">
        <v>306.52</v>
      </c>
      <c r="L17257">
        <v>39</v>
      </c>
      <c r="M17257" t="s">
        <v>13883</v>
      </c>
      <c r="N17257" t="s">
        <v>30</v>
      </c>
      <c r="O17257" t="s">
        <v>31</v>
      </c>
      <c r="P17257" t="str">
        <f t="shared" si="221"/>
        <v>15214</v>
      </c>
    </row>
    <row r="17258" spans="1:16" x14ac:dyDescent="0.25">
      <c r="A17258" t="str">
        <f>"1260046F00031    00"</f>
        <v>1260046F00031    00</v>
      </c>
      <c r="B17258" t="s">
        <v>37632</v>
      </c>
      <c r="C17258" t="s">
        <v>37633</v>
      </c>
      <c r="D17258" t="s">
        <v>20</v>
      </c>
      <c r="E17258" t="s">
        <v>39</v>
      </c>
      <c r="F17258">
        <v>0</v>
      </c>
      <c r="G17258">
        <v>0</v>
      </c>
      <c r="H17258">
        <v>12</v>
      </c>
      <c r="I17258" s="3">
        <v>7416.1</v>
      </c>
      <c r="J17258" s="3">
        <v>3900.93</v>
      </c>
      <c r="L17258">
        <v>317</v>
      </c>
      <c r="M17258" t="s">
        <v>37634</v>
      </c>
      <c r="N17258" t="s">
        <v>30</v>
      </c>
      <c r="O17258" t="s">
        <v>31</v>
      </c>
      <c r="P17258" t="str">
        <f t="shared" si="221"/>
        <v>15214</v>
      </c>
    </row>
    <row r="17259" spans="1:16" x14ac:dyDescent="0.25">
      <c r="A17259" t="str">
        <f>"1260046F00032    00"</f>
        <v>1260046F00032    00</v>
      </c>
      <c r="B17259" t="s">
        <v>37635</v>
      </c>
      <c r="C17259" t="s">
        <v>37636</v>
      </c>
      <c r="D17259" t="s">
        <v>20</v>
      </c>
      <c r="E17259" t="s">
        <v>39</v>
      </c>
      <c r="F17259">
        <v>0</v>
      </c>
      <c r="G17259">
        <v>0</v>
      </c>
      <c r="H17259">
        <v>1</v>
      </c>
      <c r="I17259" s="3">
        <v>199.59</v>
      </c>
      <c r="J17259" s="3">
        <v>0</v>
      </c>
      <c r="K17259" t="s">
        <v>37637</v>
      </c>
      <c r="L17259">
        <v>130</v>
      </c>
      <c r="M17259" t="s">
        <v>37638</v>
      </c>
      <c r="N17259" t="s">
        <v>30</v>
      </c>
      <c r="O17259" t="s">
        <v>31</v>
      </c>
      <c r="P17259" t="str">
        <f t="shared" si="221"/>
        <v>15214</v>
      </c>
    </row>
    <row r="17260" spans="1:16" x14ac:dyDescent="0.25">
      <c r="A17260" t="str">
        <f>"1260046F00033    00"</f>
        <v>1260046F00033    00</v>
      </c>
      <c r="B17260" t="s">
        <v>37639</v>
      </c>
      <c r="C17260" t="s">
        <v>37640</v>
      </c>
      <c r="D17260" t="s">
        <v>20</v>
      </c>
      <c r="E17260" t="s">
        <v>39</v>
      </c>
      <c r="F17260">
        <v>0</v>
      </c>
      <c r="G17260">
        <v>0</v>
      </c>
      <c r="H17260">
        <v>12</v>
      </c>
      <c r="I17260" s="3">
        <v>4863.75</v>
      </c>
      <c r="J17260" s="3">
        <v>2658.83</v>
      </c>
      <c r="L17260">
        <v>36</v>
      </c>
      <c r="M17260" t="s">
        <v>13883</v>
      </c>
      <c r="N17260" t="s">
        <v>30</v>
      </c>
      <c r="O17260" t="s">
        <v>31</v>
      </c>
      <c r="P17260" t="str">
        <f t="shared" si="221"/>
        <v>15214</v>
      </c>
    </row>
    <row r="17261" spans="1:16" x14ac:dyDescent="0.25">
      <c r="A17261" t="str">
        <f>"1260046F00034    00"</f>
        <v>1260046F00034    00</v>
      </c>
      <c r="B17261" t="s">
        <v>37641</v>
      </c>
      <c r="C17261" t="s">
        <v>37642</v>
      </c>
      <c r="D17261" t="s">
        <v>20</v>
      </c>
      <c r="E17261" t="s">
        <v>39</v>
      </c>
      <c r="F17261">
        <v>0</v>
      </c>
      <c r="G17261">
        <v>0</v>
      </c>
      <c r="H17261">
        <v>19</v>
      </c>
      <c r="I17261" s="3">
        <v>1618.12</v>
      </c>
      <c r="J17261" s="3">
        <v>1324.87</v>
      </c>
      <c r="K17261" t="s">
        <v>37643</v>
      </c>
      <c r="L17261">
        <v>360</v>
      </c>
      <c r="M17261" t="s">
        <v>2462</v>
      </c>
      <c r="N17261" t="s">
        <v>30</v>
      </c>
      <c r="O17261" t="s">
        <v>31</v>
      </c>
      <c r="P17261" t="str">
        <f t="shared" si="221"/>
        <v>15214</v>
      </c>
    </row>
    <row r="17262" spans="1:16" x14ac:dyDescent="0.25">
      <c r="A17262" t="str">
        <f>"1260046F00041    00"</f>
        <v>1260046F00041    00</v>
      </c>
      <c r="B17262" t="s">
        <v>37644</v>
      </c>
      <c r="C17262" t="s">
        <v>37645</v>
      </c>
      <c r="D17262" t="s">
        <v>20</v>
      </c>
      <c r="E17262" t="s">
        <v>39</v>
      </c>
      <c r="F17262">
        <v>0</v>
      </c>
      <c r="G17262">
        <v>0</v>
      </c>
      <c r="H17262">
        <v>5</v>
      </c>
      <c r="I17262" s="3">
        <v>929.12</v>
      </c>
      <c r="J17262" s="3">
        <v>190.78</v>
      </c>
      <c r="L17262">
        <v>28</v>
      </c>
      <c r="M17262" t="s">
        <v>13883</v>
      </c>
      <c r="N17262" t="s">
        <v>30</v>
      </c>
      <c r="O17262" t="s">
        <v>31</v>
      </c>
      <c r="P17262" t="str">
        <f t="shared" si="221"/>
        <v>15214</v>
      </c>
    </row>
    <row r="17263" spans="1:16" x14ac:dyDescent="0.25">
      <c r="A17263" t="str">
        <f>"1260046F00042    00"</f>
        <v>1260046F00042    00</v>
      </c>
      <c r="B17263" t="s">
        <v>37646</v>
      </c>
      <c r="C17263" t="s">
        <v>37647</v>
      </c>
      <c r="D17263" t="s">
        <v>20</v>
      </c>
      <c r="E17263" t="s">
        <v>39</v>
      </c>
      <c r="F17263">
        <v>0</v>
      </c>
      <c r="G17263">
        <v>0</v>
      </c>
      <c r="H17263">
        <v>7</v>
      </c>
      <c r="I17263" s="3">
        <v>5389.72</v>
      </c>
      <c r="J17263" s="3">
        <v>1490.42</v>
      </c>
      <c r="K17263" t="s">
        <v>37648</v>
      </c>
      <c r="L17263">
        <v>23</v>
      </c>
      <c r="M17263" t="s">
        <v>37649</v>
      </c>
      <c r="N17263" t="s">
        <v>30</v>
      </c>
      <c r="O17263" t="s">
        <v>31</v>
      </c>
      <c r="P17263" t="str">
        <f t="shared" si="221"/>
        <v>15214</v>
      </c>
    </row>
    <row r="17264" spans="1:16" x14ac:dyDescent="0.25">
      <c r="A17264" t="str">
        <f>"1260046F00043    00"</f>
        <v>1260046F00043    00</v>
      </c>
      <c r="B17264" t="s">
        <v>37650</v>
      </c>
      <c r="C17264" t="s">
        <v>37642</v>
      </c>
      <c r="D17264" t="s">
        <v>20</v>
      </c>
      <c r="E17264" t="s">
        <v>39</v>
      </c>
      <c r="F17264">
        <v>0</v>
      </c>
      <c r="G17264">
        <v>0</v>
      </c>
      <c r="H17264">
        <v>13</v>
      </c>
      <c r="I17264" s="3">
        <v>2052.5100000000002</v>
      </c>
      <c r="J17264" s="3">
        <v>945.26</v>
      </c>
      <c r="L17264">
        <v>26</v>
      </c>
      <c r="M17264" t="s">
        <v>13883</v>
      </c>
      <c r="N17264" t="s">
        <v>30</v>
      </c>
      <c r="O17264" t="s">
        <v>31</v>
      </c>
      <c r="P17264" t="str">
        <f t="shared" si="221"/>
        <v>15214</v>
      </c>
    </row>
    <row r="17265" spans="1:16" x14ac:dyDescent="0.25">
      <c r="A17265" t="str">
        <f>"1260046F00049    00"</f>
        <v>1260046F00049    00</v>
      </c>
      <c r="B17265" t="s">
        <v>37651</v>
      </c>
      <c r="C17265" t="s">
        <v>37642</v>
      </c>
      <c r="D17265" t="s">
        <v>20</v>
      </c>
      <c r="E17265" t="s">
        <v>39</v>
      </c>
      <c r="F17265">
        <v>0</v>
      </c>
      <c r="G17265">
        <v>0</v>
      </c>
      <c r="H17265">
        <v>2</v>
      </c>
      <c r="I17265" s="3">
        <v>34.32</v>
      </c>
      <c r="J17265" s="3">
        <v>0</v>
      </c>
      <c r="K17265" t="s">
        <v>37652</v>
      </c>
      <c r="L17265">
        <v>3727</v>
      </c>
      <c r="M17265" t="s">
        <v>34518</v>
      </c>
      <c r="N17265" t="s">
        <v>30</v>
      </c>
      <c r="O17265" t="s">
        <v>31</v>
      </c>
      <c r="P17265" t="str">
        <f t="shared" si="221"/>
        <v>15214</v>
      </c>
    </row>
    <row r="17266" spans="1:16" x14ac:dyDescent="0.25">
      <c r="A17266" t="str">
        <f>"1260046F00076    00"</f>
        <v>1260046F00076    00</v>
      </c>
      <c r="B17266" t="s">
        <v>37653</v>
      </c>
      <c r="C17266" t="s">
        <v>37654</v>
      </c>
      <c r="D17266" t="s">
        <v>20</v>
      </c>
      <c r="E17266" t="s">
        <v>39</v>
      </c>
      <c r="F17266">
        <v>0</v>
      </c>
      <c r="G17266">
        <v>0</v>
      </c>
      <c r="H17266">
        <v>11</v>
      </c>
      <c r="I17266" s="3">
        <v>10989.45</v>
      </c>
      <c r="J17266" s="3">
        <v>8898.57</v>
      </c>
      <c r="K17266" t="s">
        <v>37655</v>
      </c>
      <c r="L17266">
        <v>2713</v>
      </c>
      <c r="M17266" t="s">
        <v>35190</v>
      </c>
      <c r="N17266" t="s">
        <v>30</v>
      </c>
      <c r="O17266" t="s">
        <v>31</v>
      </c>
      <c r="P17266" t="str">
        <f t="shared" si="221"/>
        <v>15214</v>
      </c>
    </row>
    <row r="17267" spans="1:16" x14ac:dyDescent="0.25">
      <c r="A17267" t="str">
        <f>"1260046F00086    00"</f>
        <v>1260046F00086    00</v>
      </c>
      <c r="B17267" t="s">
        <v>37656</v>
      </c>
      <c r="C17267" t="s">
        <v>37657</v>
      </c>
      <c r="D17267" t="s">
        <v>20</v>
      </c>
      <c r="E17267" t="s">
        <v>39</v>
      </c>
      <c r="F17267">
        <v>0</v>
      </c>
      <c r="G17267">
        <v>0</v>
      </c>
      <c r="H17267">
        <v>1</v>
      </c>
      <c r="I17267" s="3">
        <v>389.29</v>
      </c>
      <c r="J17267" s="3">
        <v>0</v>
      </c>
      <c r="K17267" t="s">
        <v>37658</v>
      </c>
      <c r="L17267">
        <v>28</v>
      </c>
      <c r="M17267" t="s">
        <v>37623</v>
      </c>
      <c r="N17267" t="s">
        <v>30</v>
      </c>
      <c r="O17267" t="s">
        <v>31</v>
      </c>
      <c r="P17267" t="str">
        <f t="shared" si="221"/>
        <v>15214</v>
      </c>
    </row>
    <row r="17268" spans="1:16" x14ac:dyDescent="0.25">
      <c r="A17268" t="str">
        <f>"1260046F00088    00"</f>
        <v>1260046F00088    00</v>
      </c>
      <c r="B17268" t="s">
        <v>37659</v>
      </c>
      <c r="C17268" t="s">
        <v>37642</v>
      </c>
      <c r="D17268" t="s">
        <v>20</v>
      </c>
      <c r="E17268" t="s">
        <v>39</v>
      </c>
      <c r="F17268">
        <v>0</v>
      </c>
      <c r="G17268">
        <v>0</v>
      </c>
      <c r="H17268">
        <v>5</v>
      </c>
      <c r="I17268" s="3">
        <v>1041.78</v>
      </c>
      <c r="J17268" s="3">
        <v>322.08999999999997</v>
      </c>
      <c r="L17268">
        <v>1430</v>
      </c>
      <c r="M17268" t="s">
        <v>37660</v>
      </c>
      <c r="N17268" t="s">
        <v>30</v>
      </c>
      <c r="O17268" t="s">
        <v>31</v>
      </c>
      <c r="P17268" t="str">
        <f>"15212"</f>
        <v>15212</v>
      </c>
    </row>
    <row r="17269" spans="1:16" x14ac:dyDescent="0.25">
      <c r="A17269" t="str">
        <f>"1260046F00094    00"</f>
        <v>1260046F00094    00</v>
      </c>
      <c r="B17269" t="s">
        <v>37661</v>
      </c>
      <c r="C17269" t="s">
        <v>37662</v>
      </c>
      <c r="D17269" t="s">
        <v>20</v>
      </c>
      <c r="E17269" t="s">
        <v>39</v>
      </c>
      <c r="F17269">
        <v>0</v>
      </c>
      <c r="G17269">
        <v>0</v>
      </c>
      <c r="H17269">
        <v>2</v>
      </c>
      <c r="I17269" s="3">
        <v>318.92</v>
      </c>
      <c r="J17269" s="3">
        <v>0</v>
      </c>
      <c r="K17269" t="s">
        <v>7350</v>
      </c>
      <c r="L17269">
        <v>3001</v>
      </c>
      <c r="M17269" t="s">
        <v>330</v>
      </c>
      <c r="N17269" t="s">
        <v>331</v>
      </c>
      <c r="O17269" t="s">
        <v>108</v>
      </c>
      <c r="P17269" t="str">
        <f>"75063"</f>
        <v>75063</v>
      </c>
    </row>
    <row r="17270" spans="1:16" x14ac:dyDescent="0.25">
      <c r="A17270" t="str">
        <f>"1260046F00096    00"</f>
        <v>1260046F00096    00</v>
      </c>
      <c r="B17270" t="s">
        <v>37663</v>
      </c>
      <c r="C17270" t="s">
        <v>37664</v>
      </c>
      <c r="D17270" t="s">
        <v>20</v>
      </c>
      <c r="E17270" t="s">
        <v>39</v>
      </c>
      <c r="F17270">
        <v>0</v>
      </c>
      <c r="G17270">
        <v>0</v>
      </c>
      <c r="H17270">
        <v>1</v>
      </c>
      <c r="I17270" s="3">
        <v>431.62</v>
      </c>
      <c r="J17270" s="3">
        <v>0</v>
      </c>
      <c r="K17270" t="s">
        <v>37665</v>
      </c>
      <c r="L17270">
        <v>104</v>
      </c>
      <c r="M17270" t="s">
        <v>37623</v>
      </c>
      <c r="N17270" t="s">
        <v>30</v>
      </c>
      <c r="O17270" t="s">
        <v>31</v>
      </c>
      <c r="P17270" t="str">
        <f>"15214"</f>
        <v>15214</v>
      </c>
    </row>
    <row r="17271" spans="1:16" x14ac:dyDescent="0.25">
      <c r="A17271" t="str">
        <f>"1260046F00106    00"</f>
        <v>1260046F00106    00</v>
      </c>
      <c r="B17271" t="s">
        <v>37666</v>
      </c>
      <c r="C17271" t="s">
        <v>37667</v>
      </c>
      <c r="D17271" t="s">
        <v>20</v>
      </c>
      <c r="E17271" t="s">
        <v>39</v>
      </c>
      <c r="F17271">
        <v>0</v>
      </c>
      <c r="G17271">
        <v>0</v>
      </c>
      <c r="H17271">
        <v>12</v>
      </c>
      <c r="I17271" s="3">
        <v>3470.19</v>
      </c>
      <c r="J17271" s="3">
        <v>2066.3000000000002</v>
      </c>
      <c r="L17271">
        <v>109</v>
      </c>
      <c r="M17271" t="s">
        <v>37623</v>
      </c>
      <c r="N17271" t="s">
        <v>30</v>
      </c>
      <c r="O17271" t="s">
        <v>31</v>
      </c>
      <c r="P17271" t="str">
        <f>"15214"</f>
        <v>15214</v>
      </c>
    </row>
    <row r="17272" spans="1:16" x14ac:dyDescent="0.25">
      <c r="A17272" t="str">
        <f>"1260046F00110    00"</f>
        <v>1260046F00110    00</v>
      </c>
      <c r="B17272" t="s">
        <v>37668</v>
      </c>
      <c r="C17272" t="s">
        <v>37669</v>
      </c>
      <c r="E17272" t="s">
        <v>39</v>
      </c>
      <c r="F17272">
        <v>0</v>
      </c>
      <c r="G17272">
        <v>0</v>
      </c>
      <c r="H17272">
        <v>2</v>
      </c>
      <c r="I17272" s="3">
        <v>666.5</v>
      </c>
      <c r="J17272" s="3">
        <v>9.3000000000000007</v>
      </c>
      <c r="K17272" t="s">
        <v>37670</v>
      </c>
      <c r="L17272">
        <v>181</v>
      </c>
      <c r="M17272" t="s">
        <v>37671</v>
      </c>
      <c r="N17272" t="s">
        <v>16695</v>
      </c>
      <c r="O17272" t="s">
        <v>495</v>
      </c>
      <c r="P17272" t="str">
        <f>"92620"</f>
        <v>92620</v>
      </c>
    </row>
    <row r="17273" spans="1:16" x14ac:dyDescent="0.25">
      <c r="A17273" t="str">
        <f>"1260046F00161    00"</f>
        <v>1260046F00161    00</v>
      </c>
      <c r="B17273" t="s">
        <v>37672</v>
      </c>
      <c r="C17273" t="s">
        <v>37673</v>
      </c>
      <c r="D17273" t="s">
        <v>20</v>
      </c>
      <c r="E17273" t="s">
        <v>39</v>
      </c>
      <c r="F17273">
        <v>0</v>
      </c>
      <c r="G17273">
        <v>0</v>
      </c>
      <c r="H17273">
        <v>9</v>
      </c>
      <c r="I17273" s="3">
        <v>4509.66</v>
      </c>
      <c r="J17273" s="3">
        <v>2130.94</v>
      </c>
      <c r="L17273">
        <v>116</v>
      </c>
      <c r="M17273" t="s">
        <v>26331</v>
      </c>
      <c r="N17273" t="s">
        <v>30</v>
      </c>
      <c r="O17273" t="s">
        <v>31</v>
      </c>
      <c r="P17273" t="str">
        <f>"15214"</f>
        <v>15214</v>
      </c>
    </row>
    <row r="17274" spans="1:16" x14ac:dyDescent="0.25">
      <c r="A17274" t="str">
        <f>"1260046F00169    00"</f>
        <v>1260046F00169    00</v>
      </c>
      <c r="B17274" t="s">
        <v>37674</v>
      </c>
      <c r="C17274" t="s">
        <v>37675</v>
      </c>
      <c r="D17274" t="s">
        <v>20</v>
      </c>
      <c r="E17274" t="s">
        <v>39</v>
      </c>
      <c r="F17274">
        <v>0</v>
      </c>
      <c r="G17274">
        <v>0</v>
      </c>
      <c r="H17274">
        <v>1</v>
      </c>
      <c r="I17274" s="3">
        <v>912.99</v>
      </c>
      <c r="J17274" s="3">
        <v>0</v>
      </c>
      <c r="L17274">
        <v>15395</v>
      </c>
      <c r="M17274" t="s">
        <v>2892</v>
      </c>
      <c r="N17274" t="s">
        <v>37676</v>
      </c>
      <c r="O17274" t="s">
        <v>495</v>
      </c>
      <c r="P17274" t="str">
        <f>"92336"</f>
        <v>92336</v>
      </c>
    </row>
    <row r="17275" spans="1:16" x14ac:dyDescent="0.25">
      <c r="A17275" t="str">
        <f>"1260046F00174    00"</f>
        <v>1260046F00174    00</v>
      </c>
      <c r="B17275" t="s">
        <v>37677</v>
      </c>
      <c r="C17275" t="s">
        <v>37678</v>
      </c>
      <c r="E17275" t="s">
        <v>39</v>
      </c>
      <c r="F17275">
        <v>0</v>
      </c>
      <c r="G17275">
        <v>0</v>
      </c>
      <c r="H17275">
        <v>3</v>
      </c>
      <c r="I17275" s="3">
        <v>674.88</v>
      </c>
      <c r="J17275" s="3">
        <v>155.55000000000001</v>
      </c>
      <c r="L17275">
        <v>324</v>
      </c>
      <c r="M17275" t="s">
        <v>32765</v>
      </c>
      <c r="N17275" t="s">
        <v>903</v>
      </c>
      <c r="O17275" t="s">
        <v>31</v>
      </c>
      <c r="P17275" t="str">
        <f>"15136"</f>
        <v>15136</v>
      </c>
    </row>
    <row r="17276" spans="1:16" x14ac:dyDescent="0.25">
      <c r="A17276" t="str">
        <f>"1260046F00176    00"</f>
        <v>1260046F00176    00</v>
      </c>
      <c r="B17276" t="s">
        <v>37679</v>
      </c>
      <c r="C17276" t="s">
        <v>37680</v>
      </c>
      <c r="D17276" t="s">
        <v>20</v>
      </c>
      <c r="E17276" t="s">
        <v>39</v>
      </c>
      <c r="F17276">
        <v>0</v>
      </c>
      <c r="G17276">
        <v>0</v>
      </c>
      <c r="H17276">
        <v>16</v>
      </c>
      <c r="I17276" s="3">
        <v>13114.34</v>
      </c>
      <c r="J17276" s="3">
        <v>9992.58</v>
      </c>
      <c r="L17276">
        <v>109</v>
      </c>
      <c r="M17276" t="s">
        <v>26331</v>
      </c>
      <c r="N17276" t="s">
        <v>30</v>
      </c>
      <c r="O17276" t="s">
        <v>31</v>
      </c>
      <c r="P17276" t="str">
        <f>"15214"</f>
        <v>15214</v>
      </c>
    </row>
    <row r="17277" spans="1:16" x14ac:dyDescent="0.25">
      <c r="A17277" t="str">
        <f>"1260046F00179    00"</f>
        <v>1260046F00179    00</v>
      </c>
      <c r="B17277" t="s">
        <v>37681</v>
      </c>
      <c r="C17277" t="s">
        <v>37682</v>
      </c>
      <c r="D17277" t="s">
        <v>20</v>
      </c>
      <c r="E17277" t="s">
        <v>39</v>
      </c>
      <c r="F17277">
        <v>0</v>
      </c>
      <c r="G17277">
        <v>0</v>
      </c>
      <c r="H17277">
        <v>2</v>
      </c>
      <c r="I17277" s="3">
        <v>1764.98</v>
      </c>
      <c r="J17277" s="3">
        <v>176.49</v>
      </c>
      <c r="K17277" t="s">
        <v>37683</v>
      </c>
      <c r="L17277">
        <v>221</v>
      </c>
      <c r="M17277" t="s">
        <v>26459</v>
      </c>
      <c r="N17277" t="s">
        <v>30</v>
      </c>
      <c r="O17277" t="s">
        <v>31</v>
      </c>
      <c r="P17277" t="str">
        <f>"15214"</f>
        <v>15214</v>
      </c>
    </row>
    <row r="17278" spans="1:16" x14ac:dyDescent="0.25">
      <c r="A17278" t="str">
        <f>"1260046F00180    00"</f>
        <v>1260046F00180    00</v>
      </c>
      <c r="B17278" t="s">
        <v>37684</v>
      </c>
      <c r="C17278" t="s">
        <v>37685</v>
      </c>
      <c r="D17278" t="s">
        <v>20</v>
      </c>
      <c r="E17278" t="s">
        <v>39</v>
      </c>
      <c r="F17278">
        <v>0</v>
      </c>
      <c r="G17278">
        <v>0</v>
      </c>
      <c r="H17278">
        <v>12</v>
      </c>
      <c r="I17278" s="3">
        <v>8516.73</v>
      </c>
      <c r="J17278" s="3">
        <v>4875.3500000000004</v>
      </c>
      <c r="L17278">
        <v>1223</v>
      </c>
      <c r="M17278" t="s">
        <v>21221</v>
      </c>
      <c r="N17278" t="s">
        <v>30</v>
      </c>
      <c r="O17278" t="s">
        <v>31</v>
      </c>
      <c r="P17278" t="str">
        <f>"15204"</f>
        <v>15204</v>
      </c>
    </row>
    <row r="17279" spans="1:16" x14ac:dyDescent="0.25">
      <c r="A17279" t="str">
        <f>"1260046F00194    00"</f>
        <v>1260046F00194    00</v>
      </c>
      <c r="B17279" t="s">
        <v>37686</v>
      </c>
      <c r="C17279" t="s">
        <v>37687</v>
      </c>
      <c r="D17279" t="s">
        <v>20</v>
      </c>
      <c r="E17279" t="s">
        <v>39</v>
      </c>
      <c r="F17279">
        <v>0</v>
      </c>
      <c r="G17279">
        <v>0</v>
      </c>
      <c r="H17279">
        <v>1</v>
      </c>
      <c r="I17279" s="3">
        <v>571.79999999999995</v>
      </c>
      <c r="J17279" s="3">
        <v>0</v>
      </c>
      <c r="K17279" t="s">
        <v>37688</v>
      </c>
      <c r="L17279">
        <v>2345</v>
      </c>
      <c r="M17279" t="s">
        <v>4514</v>
      </c>
      <c r="N17279" t="s">
        <v>30</v>
      </c>
      <c r="O17279" t="s">
        <v>31</v>
      </c>
      <c r="P17279" t="str">
        <f>"15214"</f>
        <v>15214</v>
      </c>
    </row>
    <row r="17280" spans="1:16" x14ac:dyDescent="0.25">
      <c r="A17280" t="str">
        <f>"1260046F00212    00"</f>
        <v>1260046F00212    00</v>
      </c>
      <c r="B17280" t="s">
        <v>9785</v>
      </c>
      <c r="C17280" t="s">
        <v>37689</v>
      </c>
      <c r="D17280" t="s">
        <v>20</v>
      </c>
      <c r="E17280" t="s">
        <v>39</v>
      </c>
      <c r="F17280">
        <v>0</v>
      </c>
      <c r="G17280">
        <v>0</v>
      </c>
      <c r="H17280">
        <v>5</v>
      </c>
      <c r="I17280" s="3">
        <v>4506</v>
      </c>
      <c r="J17280" s="3">
        <v>636.63</v>
      </c>
      <c r="L17280">
        <v>225</v>
      </c>
      <c r="M17280" t="s">
        <v>9741</v>
      </c>
      <c r="N17280" t="s">
        <v>30</v>
      </c>
      <c r="O17280" t="s">
        <v>31</v>
      </c>
      <c r="P17280" t="str">
        <f>"15206"</f>
        <v>15206</v>
      </c>
    </row>
    <row r="17281" spans="1:16" x14ac:dyDescent="0.25">
      <c r="A17281" t="str">
        <f>"1260046F00216    00"</f>
        <v>1260046F00216    00</v>
      </c>
      <c r="B17281" t="s">
        <v>37690</v>
      </c>
      <c r="C17281" t="s">
        <v>37691</v>
      </c>
      <c r="D17281" t="s">
        <v>20</v>
      </c>
      <c r="E17281" t="s">
        <v>39</v>
      </c>
      <c r="F17281">
        <v>0</v>
      </c>
      <c r="G17281">
        <v>0</v>
      </c>
      <c r="H17281">
        <v>6</v>
      </c>
      <c r="I17281" s="3">
        <v>3145.87</v>
      </c>
      <c r="J17281" s="3">
        <v>683.6</v>
      </c>
      <c r="L17281">
        <v>115</v>
      </c>
      <c r="M17281" t="s">
        <v>37634</v>
      </c>
      <c r="N17281" t="s">
        <v>30</v>
      </c>
      <c r="O17281" t="s">
        <v>31</v>
      </c>
      <c r="P17281" t="str">
        <f>"15214"</f>
        <v>15214</v>
      </c>
    </row>
    <row r="17282" spans="1:16" x14ac:dyDescent="0.25">
      <c r="A17282" t="str">
        <f>"1260046F00222    00"</f>
        <v>1260046F00222    00</v>
      </c>
      <c r="B17282" t="s">
        <v>24783</v>
      </c>
      <c r="C17282" t="s">
        <v>37692</v>
      </c>
      <c r="E17282" t="s">
        <v>39</v>
      </c>
      <c r="F17282">
        <v>0</v>
      </c>
      <c r="G17282">
        <v>0</v>
      </c>
      <c r="H17282">
        <v>1</v>
      </c>
      <c r="I17282" s="3">
        <v>1143.5999999999999</v>
      </c>
      <c r="J17282" s="3">
        <v>0</v>
      </c>
      <c r="K17282" t="s">
        <v>24785</v>
      </c>
      <c r="L17282">
        <v>502</v>
      </c>
      <c r="M17282" t="s">
        <v>8680</v>
      </c>
      <c r="N17282" t="s">
        <v>8681</v>
      </c>
      <c r="O17282" t="s">
        <v>108</v>
      </c>
      <c r="P17282" t="str">
        <f>"75002"</f>
        <v>75002</v>
      </c>
    </row>
    <row r="17283" spans="1:16" x14ac:dyDescent="0.25">
      <c r="A17283" t="str">
        <f>"1260046F00234    00"</f>
        <v>1260046F00234    00</v>
      </c>
      <c r="B17283" t="s">
        <v>37693</v>
      </c>
      <c r="C17283" t="s">
        <v>36257</v>
      </c>
      <c r="D17283" t="s">
        <v>20</v>
      </c>
      <c r="E17283" t="s">
        <v>39</v>
      </c>
      <c r="F17283">
        <v>0</v>
      </c>
      <c r="G17283">
        <v>0</v>
      </c>
      <c r="H17283">
        <v>19</v>
      </c>
      <c r="I17283" s="3">
        <v>12718.73</v>
      </c>
      <c r="J17283" s="3">
        <v>16448.009999999998</v>
      </c>
      <c r="L17283">
        <v>2496</v>
      </c>
      <c r="M17283" t="s">
        <v>34518</v>
      </c>
      <c r="N17283" t="s">
        <v>30</v>
      </c>
      <c r="O17283" t="s">
        <v>31</v>
      </c>
      <c r="P17283" t="str">
        <f>"15214"</f>
        <v>15214</v>
      </c>
    </row>
    <row r="17284" spans="1:16" x14ac:dyDescent="0.25">
      <c r="A17284" t="str">
        <f>"1260046F00237    00"</f>
        <v>1260046F00237    00</v>
      </c>
      <c r="B17284" t="s">
        <v>37694</v>
      </c>
      <c r="C17284" t="s">
        <v>36257</v>
      </c>
      <c r="D17284" t="s">
        <v>20</v>
      </c>
      <c r="E17284" t="s">
        <v>39</v>
      </c>
      <c r="F17284">
        <v>0</v>
      </c>
      <c r="G17284">
        <v>0</v>
      </c>
      <c r="H17284">
        <v>19</v>
      </c>
      <c r="I17284" s="3">
        <v>4624.25</v>
      </c>
      <c r="J17284" s="3">
        <v>3041.9</v>
      </c>
      <c r="K17284" t="s">
        <v>37695</v>
      </c>
      <c r="L17284">
        <v>164</v>
      </c>
      <c r="M17284" t="s">
        <v>37696</v>
      </c>
      <c r="N17284" t="s">
        <v>30</v>
      </c>
      <c r="O17284" t="s">
        <v>31</v>
      </c>
      <c r="P17284" t="str">
        <f>"15202"</f>
        <v>15202</v>
      </c>
    </row>
    <row r="17285" spans="1:16" x14ac:dyDescent="0.25">
      <c r="A17285" t="str">
        <f>"1260046F00256    00"</f>
        <v>1260046F00256    00</v>
      </c>
      <c r="B17285" t="s">
        <v>37697</v>
      </c>
      <c r="C17285" t="s">
        <v>37698</v>
      </c>
      <c r="D17285" t="s">
        <v>20</v>
      </c>
      <c r="E17285" t="s">
        <v>39</v>
      </c>
      <c r="F17285">
        <v>0</v>
      </c>
      <c r="G17285">
        <v>0</v>
      </c>
      <c r="H17285">
        <v>2</v>
      </c>
      <c r="I17285" s="3">
        <v>513.70000000000005</v>
      </c>
      <c r="J17285" s="3">
        <v>0</v>
      </c>
      <c r="L17285">
        <v>2419</v>
      </c>
      <c r="M17285" t="s">
        <v>2747</v>
      </c>
      <c r="N17285" t="s">
        <v>30</v>
      </c>
      <c r="O17285" t="s">
        <v>31</v>
      </c>
      <c r="P17285" t="str">
        <f>"15214"</f>
        <v>15214</v>
      </c>
    </row>
    <row r="17286" spans="1:16" x14ac:dyDescent="0.25">
      <c r="A17286" t="str">
        <f>"1260046F00257    00"</f>
        <v>1260046F00257    00</v>
      </c>
      <c r="B17286" t="s">
        <v>37699</v>
      </c>
      <c r="C17286" t="s">
        <v>37700</v>
      </c>
      <c r="D17286" t="s">
        <v>20</v>
      </c>
      <c r="E17286" t="s">
        <v>39</v>
      </c>
      <c r="F17286">
        <v>0</v>
      </c>
      <c r="G17286">
        <v>0</v>
      </c>
      <c r="H17286">
        <v>3</v>
      </c>
      <c r="I17286" s="3">
        <v>670.4</v>
      </c>
      <c r="J17286" s="3">
        <v>42.39</v>
      </c>
      <c r="L17286">
        <v>2417</v>
      </c>
      <c r="M17286" t="s">
        <v>2747</v>
      </c>
      <c r="N17286" t="s">
        <v>30</v>
      </c>
      <c r="O17286" t="s">
        <v>31</v>
      </c>
      <c r="P17286" t="str">
        <f>"15214"</f>
        <v>15214</v>
      </c>
    </row>
    <row r="17287" spans="1:16" x14ac:dyDescent="0.25">
      <c r="A17287" t="str">
        <f>"1260046F00258    00"</f>
        <v>1260046F00258    00</v>
      </c>
      <c r="B17287" t="s">
        <v>37701</v>
      </c>
      <c r="C17287" t="s">
        <v>37702</v>
      </c>
      <c r="D17287" t="s">
        <v>20</v>
      </c>
      <c r="E17287" t="s">
        <v>39</v>
      </c>
      <c r="F17287">
        <v>0</v>
      </c>
      <c r="G17287">
        <v>0</v>
      </c>
      <c r="H17287">
        <v>2</v>
      </c>
      <c r="I17287" s="3">
        <v>879.26</v>
      </c>
      <c r="J17287" s="3">
        <v>54.15</v>
      </c>
      <c r="L17287">
        <v>2415</v>
      </c>
      <c r="M17287" t="s">
        <v>2747</v>
      </c>
      <c r="N17287" t="s">
        <v>30</v>
      </c>
      <c r="O17287" t="s">
        <v>31</v>
      </c>
      <c r="P17287" t="str">
        <f>"15214"</f>
        <v>15214</v>
      </c>
    </row>
    <row r="17288" spans="1:16" x14ac:dyDescent="0.25">
      <c r="A17288" t="str">
        <f>"1260046F00262    00"</f>
        <v>1260046F00262    00</v>
      </c>
      <c r="B17288" t="s">
        <v>37703</v>
      </c>
      <c r="C17288" t="s">
        <v>37704</v>
      </c>
      <c r="D17288" t="s">
        <v>20</v>
      </c>
      <c r="E17288" t="s">
        <v>39</v>
      </c>
      <c r="F17288">
        <v>0</v>
      </c>
      <c r="G17288">
        <v>0</v>
      </c>
      <c r="H17288">
        <v>2</v>
      </c>
      <c r="I17288" s="3">
        <v>1229.0899999999999</v>
      </c>
      <c r="J17288" s="3">
        <v>0</v>
      </c>
      <c r="L17288">
        <v>2403</v>
      </c>
      <c r="M17288" t="s">
        <v>2747</v>
      </c>
      <c r="N17288" t="s">
        <v>30</v>
      </c>
      <c r="O17288" t="s">
        <v>31</v>
      </c>
      <c r="P17288" t="str">
        <f>"15214"</f>
        <v>15214</v>
      </c>
    </row>
    <row r="17289" spans="1:16" x14ac:dyDescent="0.25">
      <c r="A17289" t="str">
        <f>"1260046F00278    00"</f>
        <v>1260046F00278    00</v>
      </c>
      <c r="B17289" t="s">
        <v>20814</v>
      </c>
      <c r="C17289" t="s">
        <v>37705</v>
      </c>
      <c r="D17289" t="s">
        <v>20</v>
      </c>
      <c r="E17289" t="s">
        <v>39</v>
      </c>
      <c r="F17289">
        <v>0</v>
      </c>
      <c r="G17289">
        <v>0</v>
      </c>
      <c r="H17289">
        <v>7</v>
      </c>
      <c r="I17289" s="3">
        <v>4691.84</v>
      </c>
      <c r="J17289" s="3">
        <v>1124.42</v>
      </c>
      <c r="L17289">
        <v>911</v>
      </c>
      <c r="M17289" t="s">
        <v>20816</v>
      </c>
      <c r="N17289" t="s">
        <v>30</v>
      </c>
      <c r="O17289" t="s">
        <v>31</v>
      </c>
      <c r="P17289" t="str">
        <f>"15210"</f>
        <v>15210</v>
      </c>
    </row>
    <row r="17290" spans="1:16" x14ac:dyDescent="0.25">
      <c r="A17290" t="str">
        <f>"1260046F00310    00"</f>
        <v>1260046F00310    00</v>
      </c>
      <c r="B17290" t="s">
        <v>37706</v>
      </c>
      <c r="C17290" t="s">
        <v>37707</v>
      </c>
      <c r="D17290" t="s">
        <v>20</v>
      </c>
      <c r="E17290" t="s">
        <v>39</v>
      </c>
      <c r="F17290">
        <v>0</v>
      </c>
      <c r="G17290">
        <v>0</v>
      </c>
      <c r="H17290">
        <v>8</v>
      </c>
      <c r="I17290" s="3">
        <v>11881.21</v>
      </c>
      <c r="J17290" s="3">
        <v>17145.95</v>
      </c>
      <c r="L17290">
        <v>2403</v>
      </c>
      <c r="M17290" t="s">
        <v>4514</v>
      </c>
      <c r="N17290" t="s">
        <v>30</v>
      </c>
      <c r="O17290" t="s">
        <v>31</v>
      </c>
      <c r="P17290" t="str">
        <f>"15214"</f>
        <v>15214</v>
      </c>
    </row>
    <row r="17291" spans="1:16" x14ac:dyDescent="0.25">
      <c r="A17291" t="str">
        <f>"1260046F00323    00"</f>
        <v>1260046F00323    00</v>
      </c>
      <c r="B17291" t="s">
        <v>37708</v>
      </c>
      <c r="C17291" t="s">
        <v>37709</v>
      </c>
      <c r="D17291" t="s">
        <v>20</v>
      </c>
      <c r="E17291" t="s">
        <v>39</v>
      </c>
      <c r="F17291">
        <v>0</v>
      </c>
      <c r="G17291">
        <v>0</v>
      </c>
      <c r="H17291">
        <v>16</v>
      </c>
      <c r="I17291" s="3">
        <v>14273.54</v>
      </c>
      <c r="J17291" s="3">
        <v>10058.67</v>
      </c>
      <c r="K17291" t="s">
        <v>37710</v>
      </c>
      <c r="L17291">
        <v>14</v>
      </c>
      <c r="M17291" t="s">
        <v>37711</v>
      </c>
      <c r="N17291" t="s">
        <v>571</v>
      </c>
      <c r="O17291" t="s">
        <v>423</v>
      </c>
      <c r="P17291" t="str">
        <f>"07106"</f>
        <v>07106</v>
      </c>
    </row>
    <row r="17292" spans="1:16" x14ac:dyDescent="0.25">
      <c r="A17292" t="str">
        <f>"1260046F00325    00"</f>
        <v>1260046F00325    00</v>
      </c>
      <c r="B17292" t="s">
        <v>37712</v>
      </c>
      <c r="C17292" t="s">
        <v>37713</v>
      </c>
      <c r="D17292" t="s">
        <v>20</v>
      </c>
      <c r="E17292" t="s">
        <v>39</v>
      </c>
      <c r="F17292">
        <v>0</v>
      </c>
      <c r="G17292">
        <v>0</v>
      </c>
      <c r="H17292">
        <v>4</v>
      </c>
      <c r="I17292" s="3">
        <v>534.6</v>
      </c>
      <c r="J17292" s="3">
        <v>83.55</v>
      </c>
      <c r="L17292">
        <v>2335</v>
      </c>
      <c r="M17292" t="s">
        <v>4514</v>
      </c>
      <c r="N17292" t="s">
        <v>30</v>
      </c>
      <c r="O17292" t="s">
        <v>31</v>
      </c>
      <c r="P17292" t="str">
        <f>"15214"</f>
        <v>15214</v>
      </c>
    </row>
    <row r="17293" spans="1:16" x14ac:dyDescent="0.25">
      <c r="A17293" t="str">
        <f>"1260046G00006    00"</f>
        <v>1260046G00006    00</v>
      </c>
      <c r="B17293" t="s">
        <v>37354</v>
      </c>
      <c r="C17293" t="s">
        <v>37642</v>
      </c>
      <c r="D17293" t="s">
        <v>20</v>
      </c>
      <c r="E17293" t="s">
        <v>39</v>
      </c>
      <c r="F17293">
        <v>0</v>
      </c>
      <c r="G17293">
        <v>0</v>
      </c>
      <c r="H17293">
        <v>19</v>
      </c>
      <c r="I17293" s="3">
        <v>1811.14</v>
      </c>
      <c r="J17293" s="3">
        <v>1308.48</v>
      </c>
      <c r="L17293">
        <v>4936</v>
      </c>
      <c r="M17293" t="s">
        <v>37355</v>
      </c>
      <c r="N17293" t="s">
        <v>195</v>
      </c>
      <c r="O17293" t="s">
        <v>31</v>
      </c>
      <c r="P17293" t="str">
        <f>"15101"</f>
        <v>15101</v>
      </c>
    </row>
    <row r="17294" spans="1:16" x14ac:dyDescent="0.25">
      <c r="A17294" t="str">
        <f>"1260046G00008    00"</f>
        <v>1260046G00008    00</v>
      </c>
      <c r="B17294" t="s">
        <v>37714</v>
      </c>
      <c r="C17294" t="s">
        <v>37715</v>
      </c>
      <c r="D17294" t="s">
        <v>20</v>
      </c>
      <c r="E17294" t="s">
        <v>39</v>
      </c>
      <c r="F17294">
        <v>0</v>
      </c>
      <c r="G17294">
        <v>0</v>
      </c>
      <c r="H17294">
        <v>6</v>
      </c>
      <c r="I17294" s="3">
        <v>3909.79</v>
      </c>
      <c r="J17294" s="3">
        <v>876.88</v>
      </c>
      <c r="L17294">
        <v>2449</v>
      </c>
      <c r="M17294" t="s">
        <v>37557</v>
      </c>
      <c r="N17294" t="s">
        <v>30</v>
      </c>
      <c r="O17294" t="s">
        <v>31</v>
      </c>
      <c r="P17294" t="str">
        <f>"15214"</f>
        <v>15214</v>
      </c>
    </row>
    <row r="17295" spans="1:16" x14ac:dyDescent="0.25">
      <c r="A17295" t="str">
        <f>"1260046G00027    00"</f>
        <v>1260046G00027    00</v>
      </c>
      <c r="B17295" t="s">
        <v>37716</v>
      </c>
      <c r="C17295" t="s">
        <v>37717</v>
      </c>
      <c r="D17295" t="s">
        <v>20</v>
      </c>
      <c r="E17295" t="s">
        <v>39</v>
      </c>
      <c r="F17295">
        <v>0</v>
      </c>
      <c r="G17295">
        <v>0</v>
      </c>
      <c r="H17295">
        <v>4</v>
      </c>
      <c r="I17295" s="3">
        <v>876.27</v>
      </c>
      <c r="J17295" s="3">
        <v>136.72</v>
      </c>
      <c r="K17295" t="s">
        <v>37718</v>
      </c>
      <c r="L17295">
        <v>145</v>
      </c>
      <c r="M17295" t="s">
        <v>37623</v>
      </c>
      <c r="N17295" t="s">
        <v>30</v>
      </c>
      <c r="O17295" t="s">
        <v>31</v>
      </c>
      <c r="P17295" t="str">
        <f>"15214"</f>
        <v>15214</v>
      </c>
    </row>
    <row r="17296" spans="1:16" x14ac:dyDescent="0.25">
      <c r="A17296" t="str">
        <f>"1260046G00029    00"</f>
        <v>1260046G00029    00</v>
      </c>
      <c r="B17296" t="s">
        <v>37719</v>
      </c>
      <c r="C17296" t="s">
        <v>37720</v>
      </c>
      <c r="D17296" t="s">
        <v>20</v>
      </c>
      <c r="E17296" t="s">
        <v>39</v>
      </c>
      <c r="F17296">
        <v>0</v>
      </c>
      <c r="G17296">
        <v>0</v>
      </c>
      <c r="H17296">
        <v>18</v>
      </c>
      <c r="I17296" s="3">
        <v>3682.03</v>
      </c>
      <c r="J17296" s="3">
        <v>1967.4</v>
      </c>
      <c r="K17296" t="s">
        <v>37721</v>
      </c>
      <c r="L17296">
        <v>2400</v>
      </c>
      <c r="M17296" t="s">
        <v>37722</v>
      </c>
      <c r="N17296" t="s">
        <v>295</v>
      </c>
      <c r="O17296" t="s">
        <v>31</v>
      </c>
      <c r="P17296" t="str">
        <f>"15146"</f>
        <v>15146</v>
      </c>
    </row>
    <row r="17297" spans="1:16" x14ac:dyDescent="0.25">
      <c r="A17297" t="str">
        <f>"1260046G00031    00"</f>
        <v>1260046G00031    00</v>
      </c>
      <c r="B17297" t="s">
        <v>37723</v>
      </c>
      <c r="C17297" t="s">
        <v>37720</v>
      </c>
      <c r="D17297" t="s">
        <v>20</v>
      </c>
      <c r="E17297" t="s">
        <v>39</v>
      </c>
      <c r="F17297">
        <v>0</v>
      </c>
      <c r="G17297">
        <v>0</v>
      </c>
      <c r="H17297">
        <v>11</v>
      </c>
      <c r="I17297" s="3">
        <v>5278.27</v>
      </c>
      <c r="J17297" s="3">
        <v>4519.13</v>
      </c>
      <c r="L17297">
        <v>214</v>
      </c>
      <c r="M17297" t="s">
        <v>37634</v>
      </c>
      <c r="N17297" t="s">
        <v>30</v>
      </c>
      <c r="O17297" t="s">
        <v>31</v>
      </c>
      <c r="P17297" t="str">
        <f>"15214"</f>
        <v>15214</v>
      </c>
    </row>
    <row r="17298" spans="1:16" x14ac:dyDescent="0.25">
      <c r="A17298" t="str">
        <f>"1260046G00032    00"</f>
        <v>1260046G00032    00</v>
      </c>
      <c r="B17298" t="s">
        <v>37336</v>
      </c>
      <c r="C17298" t="s">
        <v>37724</v>
      </c>
      <c r="D17298" t="s">
        <v>20</v>
      </c>
      <c r="E17298" t="s">
        <v>39</v>
      </c>
      <c r="F17298">
        <v>0</v>
      </c>
      <c r="G17298">
        <v>0</v>
      </c>
      <c r="H17298">
        <v>11</v>
      </c>
      <c r="I17298" s="3">
        <v>9279.09</v>
      </c>
      <c r="J17298" s="3">
        <v>4428.6000000000004</v>
      </c>
      <c r="L17298">
        <v>2416</v>
      </c>
      <c r="M17298" t="s">
        <v>4514</v>
      </c>
      <c r="N17298" t="s">
        <v>30</v>
      </c>
      <c r="O17298" t="s">
        <v>31</v>
      </c>
      <c r="P17298" t="str">
        <f>"15214"</f>
        <v>15214</v>
      </c>
    </row>
    <row r="17299" spans="1:16" x14ac:dyDescent="0.25">
      <c r="A17299" t="str">
        <f>"1260046G00033    00"</f>
        <v>1260046G00033    00</v>
      </c>
      <c r="B17299" t="s">
        <v>37725</v>
      </c>
      <c r="C17299" t="s">
        <v>37720</v>
      </c>
      <c r="D17299" t="s">
        <v>20</v>
      </c>
      <c r="E17299" t="s">
        <v>39</v>
      </c>
      <c r="F17299">
        <v>0</v>
      </c>
      <c r="G17299">
        <v>0</v>
      </c>
      <c r="H17299">
        <v>19</v>
      </c>
      <c r="I17299" s="3">
        <v>11087.08</v>
      </c>
      <c r="J17299" s="3">
        <v>16310.34</v>
      </c>
      <c r="L17299">
        <v>204</v>
      </c>
      <c r="M17299" t="s">
        <v>37634</v>
      </c>
      <c r="N17299" t="s">
        <v>30</v>
      </c>
      <c r="O17299" t="s">
        <v>31</v>
      </c>
      <c r="P17299" t="str">
        <f>"15214"</f>
        <v>15214</v>
      </c>
    </row>
    <row r="17300" spans="1:16" x14ac:dyDescent="0.25">
      <c r="A17300" t="str">
        <f>"1260046G00035    00"</f>
        <v>1260046G00035    00</v>
      </c>
      <c r="B17300" t="s">
        <v>37336</v>
      </c>
      <c r="C17300" t="s">
        <v>37726</v>
      </c>
      <c r="D17300" t="s">
        <v>20</v>
      </c>
      <c r="E17300" t="s">
        <v>39</v>
      </c>
      <c r="F17300">
        <v>0</v>
      </c>
      <c r="G17300">
        <v>0</v>
      </c>
      <c r="H17300">
        <v>14</v>
      </c>
      <c r="I17300" s="3">
        <v>16441.62</v>
      </c>
      <c r="J17300" s="3">
        <v>11815.24</v>
      </c>
      <c r="L17300">
        <v>2416</v>
      </c>
      <c r="M17300" t="s">
        <v>4514</v>
      </c>
      <c r="N17300" t="s">
        <v>30</v>
      </c>
      <c r="O17300" t="s">
        <v>31</v>
      </c>
      <c r="P17300" t="str">
        <f>"15214"</f>
        <v>15214</v>
      </c>
    </row>
    <row r="17301" spans="1:16" x14ac:dyDescent="0.25">
      <c r="A17301" t="str">
        <f>"1260046G00038    00"</f>
        <v>1260046G00038    00</v>
      </c>
      <c r="B17301" t="s">
        <v>16302</v>
      </c>
      <c r="C17301" t="s">
        <v>37727</v>
      </c>
      <c r="D17301" t="s">
        <v>20</v>
      </c>
      <c r="E17301" t="s">
        <v>39</v>
      </c>
      <c r="F17301">
        <v>0</v>
      </c>
      <c r="G17301">
        <v>0</v>
      </c>
      <c r="H17301">
        <v>19</v>
      </c>
      <c r="I17301" s="3">
        <v>1048.6199999999999</v>
      </c>
      <c r="J17301" s="3">
        <v>1159.6199999999999</v>
      </c>
      <c r="L17301">
        <v>514</v>
      </c>
      <c r="M17301" t="s">
        <v>16304</v>
      </c>
      <c r="N17301" t="s">
        <v>30</v>
      </c>
      <c r="O17301" t="s">
        <v>31</v>
      </c>
      <c r="P17301" t="str">
        <f>"15210"</f>
        <v>15210</v>
      </c>
    </row>
    <row r="17302" spans="1:16" x14ac:dyDescent="0.25">
      <c r="A17302" t="str">
        <f>"1260046G00044    00"</f>
        <v>1260046G00044    00</v>
      </c>
      <c r="B17302" t="s">
        <v>37728</v>
      </c>
      <c r="C17302" t="s">
        <v>37729</v>
      </c>
      <c r="D17302" t="s">
        <v>20</v>
      </c>
      <c r="E17302" t="s">
        <v>39</v>
      </c>
      <c r="F17302">
        <v>0</v>
      </c>
      <c r="G17302">
        <v>0</v>
      </c>
      <c r="H17302">
        <v>5</v>
      </c>
      <c r="I17302" s="3">
        <v>2867.83</v>
      </c>
      <c r="J17302" s="3">
        <v>365.98</v>
      </c>
      <c r="L17302">
        <v>153</v>
      </c>
      <c r="M17302" t="s">
        <v>37730</v>
      </c>
      <c r="N17302" t="s">
        <v>30</v>
      </c>
      <c r="O17302" t="s">
        <v>31</v>
      </c>
      <c r="P17302" t="str">
        <f>"15235"</f>
        <v>15235</v>
      </c>
    </row>
    <row r="17303" spans="1:16" x14ac:dyDescent="0.25">
      <c r="A17303" t="str">
        <f>"1260046G00053    00"</f>
        <v>1260046G00053    00</v>
      </c>
      <c r="B17303" t="s">
        <v>37731</v>
      </c>
      <c r="C17303" t="s">
        <v>37727</v>
      </c>
      <c r="D17303" t="s">
        <v>20</v>
      </c>
      <c r="E17303" t="s">
        <v>39</v>
      </c>
      <c r="F17303">
        <v>0</v>
      </c>
      <c r="G17303">
        <v>0</v>
      </c>
      <c r="H17303">
        <v>4</v>
      </c>
      <c r="I17303" s="3">
        <v>885.38</v>
      </c>
      <c r="J17303" s="3">
        <v>199.15</v>
      </c>
      <c r="L17303">
        <v>946</v>
      </c>
      <c r="M17303" t="s">
        <v>37732</v>
      </c>
      <c r="N17303" t="s">
        <v>30</v>
      </c>
      <c r="O17303" t="s">
        <v>31</v>
      </c>
      <c r="P17303" t="str">
        <f>"15237"</f>
        <v>15237</v>
      </c>
    </row>
    <row r="17304" spans="1:16" x14ac:dyDescent="0.25">
      <c r="A17304" t="str">
        <f>"1260046G00054    00"</f>
        <v>1260046G00054    00</v>
      </c>
      <c r="B17304" t="s">
        <v>37733</v>
      </c>
      <c r="C17304" t="s">
        <v>37727</v>
      </c>
      <c r="D17304" t="s">
        <v>20</v>
      </c>
      <c r="E17304" t="s">
        <v>39</v>
      </c>
      <c r="F17304">
        <v>0</v>
      </c>
      <c r="G17304">
        <v>0</v>
      </c>
      <c r="H17304">
        <v>12</v>
      </c>
      <c r="I17304" s="3">
        <v>4994.54</v>
      </c>
      <c r="J17304" s="3">
        <v>4649.1499999999996</v>
      </c>
      <c r="L17304">
        <v>4</v>
      </c>
      <c r="M17304" t="s">
        <v>37734</v>
      </c>
      <c r="N17304" t="s">
        <v>30</v>
      </c>
      <c r="O17304" t="s">
        <v>31</v>
      </c>
      <c r="P17304" t="str">
        <f>"15212"</f>
        <v>15212</v>
      </c>
    </row>
    <row r="17305" spans="1:16" x14ac:dyDescent="0.25">
      <c r="A17305" t="str">
        <f>"1260046G00055    00"</f>
        <v>1260046G00055    00</v>
      </c>
      <c r="B17305" t="s">
        <v>37735</v>
      </c>
      <c r="C17305" t="s">
        <v>37736</v>
      </c>
      <c r="E17305" t="s">
        <v>39</v>
      </c>
      <c r="F17305">
        <v>0</v>
      </c>
      <c r="G17305">
        <v>0</v>
      </c>
      <c r="H17305">
        <v>1</v>
      </c>
      <c r="I17305" s="3">
        <v>798.63</v>
      </c>
      <c r="J17305" s="3">
        <v>0</v>
      </c>
      <c r="L17305">
        <v>1049</v>
      </c>
      <c r="M17305" t="s">
        <v>37737</v>
      </c>
      <c r="N17305" t="s">
        <v>30</v>
      </c>
      <c r="O17305" t="s">
        <v>31</v>
      </c>
      <c r="P17305" t="str">
        <f>"15212"</f>
        <v>15212</v>
      </c>
    </row>
    <row r="17306" spans="1:16" x14ac:dyDescent="0.25">
      <c r="A17306" t="str">
        <f>"1260046G00060    00"</f>
        <v>1260046G00060    00</v>
      </c>
      <c r="B17306" t="s">
        <v>37738</v>
      </c>
      <c r="C17306" t="s">
        <v>37559</v>
      </c>
      <c r="D17306" t="s">
        <v>20</v>
      </c>
      <c r="E17306" t="s">
        <v>39</v>
      </c>
      <c r="F17306">
        <v>0</v>
      </c>
      <c r="G17306">
        <v>0</v>
      </c>
      <c r="H17306">
        <v>19</v>
      </c>
      <c r="I17306" s="3">
        <v>622.30999999999995</v>
      </c>
      <c r="J17306" s="3">
        <v>756.34</v>
      </c>
      <c r="L17306">
        <v>101</v>
      </c>
      <c r="M17306" t="s">
        <v>37739</v>
      </c>
      <c r="N17306" t="s">
        <v>1067</v>
      </c>
      <c r="O17306" t="s">
        <v>31</v>
      </c>
      <c r="P17306" t="str">
        <f>"15143"</f>
        <v>15143</v>
      </c>
    </row>
    <row r="17307" spans="1:16" x14ac:dyDescent="0.25">
      <c r="A17307" t="str">
        <f>"1260046G00064    00"</f>
        <v>1260046G00064    00</v>
      </c>
      <c r="B17307" t="s">
        <v>37740</v>
      </c>
      <c r="C17307" t="s">
        <v>37559</v>
      </c>
      <c r="D17307" t="s">
        <v>20</v>
      </c>
      <c r="E17307" t="s">
        <v>39</v>
      </c>
      <c r="F17307">
        <v>0</v>
      </c>
      <c r="G17307">
        <v>0</v>
      </c>
      <c r="H17307">
        <v>19</v>
      </c>
      <c r="I17307" s="3">
        <v>1481.29</v>
      </c>
      <c r="J17307" s="3">
        <v>1232.95</v>
      </c>
      <c r="L17307">
        <v>1316</v>
      </c>
      <c r="M17307" t="s">
        <v>37741</v>
      </c>
      <c r="N17307" t="s">
        <v>509</v>
      </c>
      <c r="O17307" t="s">
        <v>31</v>
      </c>
      <c r="P17307" t="str">
        <f>"19151"</f>
        <v>19151</v>
      </c>
    </row>
    <row r="17308" spans="1:16" x14ac:dyDescent="0.25">
      <c r="A17308" t="str">
        <f>"1260046G00065    00"</f>
        <v>1260046G00065    00</v>
      </c>
      <c r="B17308" t="s">
        <v>37742</v>
      </c>
      <c r="C17308" t="s">
        <v>37559</v>
      </c>
      <c r="D17308" t="s">
        <v>20</v>
      </c>
      <c r="E17308" t="s">
        <v>39</v>
      </c>
      <c r="F17308">
        <v>0</v>
      </c>
      <c r="G17308">
        <v>0</v>
      </c>
      <c r="H17308">
        <v>13</v>
      </c>
      <c r="I17308" s="3">
        <v>264.41000000000003</v>
      </c>
      <c r="J17308" s="3">
        <v>183.47</v>
      </c>
      <c r="L17308">
        <v>1109</v>
      </c>
      <c r="M17308" t="s">
        <v>37743</v>
      </c>
      <c r="N17308" t="s">
        <v>37744</v>
      </c>
      <c r="O17308" t="s">
        <v>370</v>
      </c>
      <c r="P17308" t="str">
        <f>"32233"</f>
        <v>32233</v>
      </c>
    </row>
    <row r="17309" spans="1:16" x14ac:dyDescent="0.25">
      <c r="A17309" t="str">
        <f>"1260046G00069    00"</f>
        <v>1260046G00069    00</v>
      </c>
      <c r="B17309" t="s">
        <v>37745</v>
      </c>
      <c r="C17309" t="s">
        <v>37746</v>
      </c>
      <c r="D17309" t="s">
        <v>20</v>
      </c>
      <c r="E17309" t="s">
        <v>39</v>
      </c>
      <c r="F17309">
        <v>0</v>
      </c>
      <c r="G17309">
        <v>0</v>
      </c>
      <c r="H17309">
        <v>19</v>
      </c>
      <c r="I17309" s="3">
        <v>11853.03</v>
      </c>
      <c r="J17309" s="3">
        <v>13875.39</v>
      </c>
      <c r="L17309">
        <v>1900</v>
      </c>
      <c r="M17309" t="s">
        <v>37747</v>
      </c>
      <c r="N17309" t="s">
        <v>30</v>
      </c>
      <c r="O17309" t="s">
        <v>31</v>
      </c>
      <c r="P17309" t="str">
        <f>"15212"</f>
        <v>15212</v>
      </c>
    </row>
    <row r="17310" spans="1:16" x14ac:dyDescent="0.25">
      <c r="A17310" t="str">
        <f>"1260046G00079    00"</f>
        <v>1260046G00079    00</v>
      </c>
      <c r="B17310" t="s">
        <v>14719</v>
      </c>
      <c r="C17310" t="s">
        <v>37748</v>
      </c>
      <c r="E17310" t="s">
        <v>39</v>
      </c>
      <c r="F17310">
        <v>0</v>
      </c>
      <c r="G17310">
        <v>0</v>
      </c>
      <c r="H17310">
        <v>1</v>
      </c>
      <c r="I17310" s="3">
        <v>617.55999999999995</v>
      </c>
      <c r="J17310" s="3">
        <v>0</v>
      </c>
      <c r="L17310">
        <v>6800</v>
      </c>
      <c r="M17310" t="s">
        <v>9086</v>
      </c>
      <c r="N17310" t="s">
        <v>30</v>
      </c>
      <c r="O17310" t="s">
        <v>31</v>
      </c>
      <c r="P17310" t="str">
        <f>"15208"</f>
        <v>15208</v>
      </c>
    </row>
    <row r="17311" spans="1:16" x14ac:dyDescent="0.25">
      <c r="A17311" t="str">
        <f>"1260046G00080    00"</f>
        <v>1260046G00080    00</v>
      </c>
      <c r="B17311" t="s">
        <v>37749</v>
      </c>
      <c r="C17311" t="s">
        <v>37750</v>
      </c>
      <c r="E17311" t="s">
        <v>39</v>
      </c>
      <c r="F17311">
        <v>0</v>
      </c>
      <c r="G17311">
        <v>0</v>
      </c>
      <c r="H17311">
        <v>2</v>
      </c>
      <c r="I17311" s="3">
        <v>716.63</v>
      </c>
      <c r="J17311" s="3">
        <v>1215.43</v>
      </c>
      <c r="L17311">
        <v>2330</v>
      </c>
      <c r="M17311" t="s">
        <v>4514</v>
      </c>
      <c r="N17311" t="s">
        <v>30</v>
      </c>
      <c r="O17311" t="s">
        <v>31</v>
      </c>
      <c r="P17311" t="str">
        <f>"15214"</f>
        <v>15214</v>
      </c>
    </row>
    <row r="17312" spans="1:16" x14ac:dyDescent="0.25">
      <c r="A17312" t="str">
        <f>"1260046G00082    00"</f>
        <v>1260046G00082    00</v>
      </c>
      <c r="B17312" t="s">
        <v>37751</v>
      </c>
      <c r="C17312" t="s">
        <v>37752</v>
      </c>
      <c r="D17312" t="s">
        <v>20</v>
      </c>
      <c r="E17312" t="s">
        <v>39</v>
      </c>
      <c r="F17312">
        <v>0</v>
      </c>
      <c r="G17312">
        <v>0</v>
      </c>
      <c r="H17312">
        <v>13</v>
      </c>
      <c r="I17312" s="3">
        <v>1093.54</v>
      </c>
      <c r="J17312" s="3">
        <v>769.96</v>
      </c>
      <c r="L17312">
        <v>2326</v>
      </c>
      <c r="M17312" t="s">
        <v>4514</v>
      </c>
      <c r="N17312" t="s">
        <v>30</v>
      </c>
      <c r="O17312" t="s">
        <v>31</v>
      </c>
      <c r="P17312" t="str">
        <f>"15214"</f>
        <v>15214</v>
      </c>
    </row>
    <row r="17313" spans="1:16" x14ac:dyDescent="0.25">
      <c r="A17313" t="str">
        <f>"1260046G00098    00"</f>
        <v>1260046G00098    00</v>
      </c>
      <c r="B17313" t="s">
        <v>37753</v>
      </c>
      <c r="C17313" t="s">
        <v>37754</v>
      </c>
      <c r="D17313" t="s">
        <v>20</v>
      </c>
      <c r="E17313" t="s">
        <v>39</v>
      </c>
      <c r="F17313">
        <v>0</v>
      </c>
      <c r="G17313">
        <v>0</v>
      </c>
      <c r="H17313">
        <v>19</v>
      </c>
      <c r="I17313" s="3">
        <v>737.38</v>
      </c>
      <c r="J17313" s="3">
        <v>862.17</v>
      </c>
      <c r="L17313">
        <v>145</v>
      </c>
      <c r="M17313" t="s">
        <v>37623</v>
      </c>
      <c r="N17313" t="s">
        <v>30</v>
      </c>
      <c r="O17313" t="s">
        <v>31</v>
      </c>
      <c r="P17313" t="str">
        <f>"15214"</f>
        <v>15214</v>
      </c>
    </row>
    <row r="17314" spans="1:16" x14ac:dyDescent="0.25">
      <c r="A17314" t="str">
        <f>"1260046G00133    00"</f>
        <v>1260046G00133    00</v>
      </c>
      <c r="B17314" t="s">
        <v>37755</v>
      </c>
      <c r="C17314" t="s">
        <v>37756</v>
      </c>
      <c r="D17314" t="s">
        <v>20</v>
      </c>
      <c r="E17314" t="s">
        <v>39</v>
      </c>
      <c r="F17314">
        <v>0</v>
      </c>
      <c r="G17314">
        <v>0</v>
      </c>
      <c r="H17314">
        <v>8</v>
      </c>
      <c r="I17314" s="3">
        <v>2369.6999999999998</v>
      </c>
      <c r="J17314" s="3">
        <v>1066.42</v>
      </c>
      <c r="L17314">
        <v>26</v>
      </c>
      <c r="M17314" t="s">
        <v>37757</v>
      </c>
      <c r="N17314" t="s">
        <v>17496</v>
      </c>
      <c r="O17314" t="s">
        <v>423</v>
      </c>
      <c r="P17314" t="str">
        <f>"08205"</f>
        <v>08205</v>
      </c>
    </row>
    <row r="17315" spans="1:16" x14ac:dyDescent="0.25">
      <c r="A17315" t="str">
        <f>"1260046G00139    00"</f>
        <v>1260046G00139    00</v>
      </c>
      <c r="B17315" t="s">
        <v>37758</v>
      </c>
      <c r="C17315" t="s">
        <v>37759</v>
      </c>
      <c r="E17315" t="s">
        <v>39</v>
      </c>
      <c r="F17315">
        <v>0</v>
      </c>
      <c r="G17315">
        <v>0</v>
      </c>
      <c r="H17315">
        <v>1</v>
      </c>
      <c r="I17315" s="3">
        <v>566.09</v>
      </c>
      <c r="J17315" s="3">
        <v>0</v>
      </c>
      <c r="K17315" t="s">
        <v>37760</v>
      </c>
      <c r="M17315" t="s">
        <v>37761</v>
      </c>
      <c r="N17315" t="s">
        <v>30</v>
      </c>
      <c r="O17315" t="s">
        <v>31</v>
      </c>
      <c r="P17315" t="str">
        <f>"15233"</f>
        <v>15233</v>
      </c>
    </row>
    <row r="17316" spans="1:16" x14ac:dyDescent="0.25">
      <c r="A17316" t="str">
        <f>"1260046G00140    00"</f>
        <v>1260046G00140    00</v>
      </c>
      <c r="B17316" t="s">
        <v>37758</v>
      </c>
      <c r="C17316" t="s">
        <v>37762</v>
      </c>
      <c r="E17316" t="s">
        <v>39</v>
      </c>
      <c r="F17316">
        <v>0</v>
      </c>
      <c r="G17316">
        <v>0</v>
      </c>
      <c r="H17316">
        <v>1</v>
      </c>
      <c r="I17316" s="3">
        <v>400.26</v>
      </c>
      <c r="J17316" s="3">
        <v>0</v>
      </c>
      <c r="K17316" t="s">
        <v>37760</v>
      </c>
      <c r="M17316" t="s">
        <v>37763</v>
      </c>
      <c r="N17316" t="s">
        <v>30</v>
      </c>
      <c r="O17316" t="s">
        <v>31</v>
      </c>
      <c r="P17316" t="str">
        <f>"15233"</f>
        <v>15233</v>
      </c>
    </row>
    <row r="17317" spans="1:16" x14ac:dyDescent="0.25">
      <c r="A17317" t="str">
        <f>"1260046G00141    00"</f>
        <v>1260046G00141    00</v>
      </c>
      <c r="B17317" t="s">
        <v>37764</v>
      </c>
      <c r="C17317" t="s">
        <v>37756</v>
      </c>
      <c r="D17317" t="s">
        <v>20</v>
      </c>
      <c r="E17317" t="s">
        <v>39</v>
      </c>
      <c r="F17317">
        <v>0</v>
      </c>
      <c r="G17317">
        <v>0</v>
      </c>
      <c r="H17317">
        <v>16</v>
      </c>
      <c r="I17317" s="3">
        <v>6478.39</v>
      </c>
      <c r="J17317" s="3">
        <v>7829.56</v>
      </c>
      <c r="K17317" t="s">
        <v>37765</v>
      </c>
      <c r="L17317">
        <v>1317</v>
      </c>
      <c r="M17317" t="s">
        <v>13728</v>
      </c>
      <c r="N17317" t="s">
        <v>30</v>
      </c>
      <c r="O17317" t="s">
        <v>31</v>
      </c>
      <c r="P17317" t="str">
        <f>"15212"</f>
        <v>15212</v>
      </c>
    </row>
    <row r="17318" spans="1:16" x14ac:dyDescent="0.25">
      <c r="A17318" t="str">
        <f>"1260046G00142    00"</f>
        <v>1260046G00142    00</v>
      </c>
      <c r="B17318" t="s">
        <v>37766</v>
      </c>
      <c r="C17318" t="s">
        <v>37756</v>
      </c>
      <c r="D17318" t="s">
        <v>20</v>
      </c>
      <c r="E17318" t="s">
        <v>39</v>
      </c>
      <c r="F17318">
        <v>0</v>
      </c>
      <c r="G17318">
        <v>0</v>
      </c>
      <c r="H17318">
        <v>19</v>
      </c>
      <c r="I17318" s="3">
        <v>308.91000000000003</v>
      </c>
      <c r="J17318" s="3">
        <v>261</v>
      </c>
      <c r="K17318" t="s">
        <v>37767</v>
      </c>
      <c r="L17318">
        <v>1317</v>
      </c>
      <c r="M17318" t="s">
        <v>13728</v>
      </c>
      <c r="N17318" t="s">
        <v>30</v>
      </c>
      <c r="O17318" t="s">
        <v>31</v>
      </c>
      <c r="P17318" t="str">
        <f>"15212"</f>
        <v>15212</v>
      </c>
    </row>
    <row r="17319" spans="1:16" x14ac:dyDescent="0.25">
      <c r="A17319" t="str">
        <f>"1260046G00143    00"</f>
        <v>1260046G00143    00</v>
      </c>
      <c r="B17319" t="s">
        <v>37764</v>
      </c>
      <c r="C17319" t="s">
        <v>37756</v>
      </c>
      <c r="D17319" t="s">
        <v>20</v>
      </c>
      <c r="E17319" t="s">
        <v>39</v>
      </c>
      <c r="F17319">
        <v>0</v>
      </c>
      <c r="G17319">
        <v>0</v>
      </c>
      <c r="H17319">
        <v>19</v>
      </c>
      <c r="I17319" s="3">
        <v>2597.02</v>
      </c>
      <c r="J17319" s="3">
        <v>1930.01</v>
      </c>
      <c r="L17319">
        <v>1317</v>
      </c>
      <c r="M17319" t="s">
        <v>13728</v>
      </c>
      <c r="N17319" t="s">
        <v>30</v>
      </c>
      <c r="O17319" t="s">
        <v>31</v>
      </c>
      <c r="P17319" t="str">
        <f>"15212"</f>
        <v>15212</v>
      </c>
    </row>
    <row r="17320" spans="1:16" x14ac:dyDescent="0.25">
      <c r="A17320" t="str">
        <f>"1260046G00151    00"</f>
        <v>1260046G00151    00</v>
      </c>
      <c r="B17320" t="s">
        <v>37768</v>
      </c>
      <c r="C17320" t="s">
        <v>37769</v>
      </c>
      <c r="D17320" t="s">
        <v>20</v>
      </c>
      <c r="E17320" t="s">
        <v>39</v>
      </c>
      <c r="F17320">
        <v>0</v>
      </c>
      <c r="G17320">
        <v>0</v>
      </c>
      <c r="H17320">
        <v>16</v>
      </c>
      <c r="I17320" s="3">
        <v>10038.74</v>
      </c>
      <c r="J17320" s="3">
        <v>8257.2999999999993</v>
      </c>
      <c r="L17320">
        <v>810</v>
      </c>
      <c r="M17320" t="s">
        <v>37770</v>
      </c>
      <c r="N17320" t="s">
        <v>37771</v>
      </c>
      <c r="O17320" t="s">
        <v>423</v>
      </c>
      <c r="P17320" t="str">
        <f>"07094"</f>
        <v>07094</v>
      </c>
    </row>
    <row r="17321" spans="1:16" x14ac:dyDescent="0.25">
      <c r="A17321" t="str">
        <f>"1260046G00161    00"</f>
        <v>1260046G00161    00</v>
      </c>
      <c r="B17321" t="s">
        <v>37772</v>
      </c>
      <c r="C17321" t="s">
        <v>37773</v>
      </c>
      <c r="D17321" t="s">
        <v>20</v>
      </c>
      <c r="E17321" t="s">
        <v>39</v>
      </c>
      <c r="F17321">
        <v>0</v>
      </c>
      <c r="G17321">
        <v>0</v>
      </c>
      <c r="H17321">
        <v>3</v>
      </c>
      <c r="I17321" s="3">
        <v>135.30000000000001</v>
      </c>
      <c r="J17321" s="3">
        <v>22.29</v>
      </c>
      <c r="K17321" t="s">
        <v>37774</v>
      </c>
      <c r="L17321">
        <v>2244</v>
      </c>
      <c r="M17321" t="s">
        <v>37775</v>
      </c>
      <c r="N17321" t="s">
        <v>264</v>
      </c>
      <c r="O17321" t="s">
        <v>25</v>
      </c>
      <c r="P17321" t="str">
        <f>"45244"</f>
        <v>45244</v>
      </c>
    </row>
    <row r="17322" spans="1:16" x14ac:dyDescent="0.25">
      <c r="A17322" t="str">
        <f>"1260046G00184    00"</f>
        <v>1260046G00184    00</v>
      </c>
      <c r="B17322" t="s">
        <v>37776</v>
      </c>
      <c r="C17322" t="s">
        <v>37777</v>
      </c>
      <c r="D17322" t="s">
        <v>20</v>
      </c>
      <c r="E17322" t="s">
        <v>39</v>
      </c>
      <c r="F17322">
        <v>0</v>
      </c>
      <c r="G17322">
        <v>0</v>
      </c>
      <c r="H17322">
        <v>1</v>
      </c>
      <c r="I17322" s="3">
        <v>311.14</v>
      </c>
      <c r="J17322" s="3">
        <v>0</v>
      </c>
      <c r="L17322">
        <v>416</v>
      </c>
      <c r="M17322" t="s">
        <v>37778</v>
      </c>
      <c r="N17322" t="s">
        <v>30</v>
      </c>
      <c r="O17322" t="s">
        <v>31</v>
      </c>
      <c r="P17322" t="str">
        <f>"15214"</f>
        <v>15214</v>
      </c>
    </row>
    <row r="17323" spans="1:16" x14ac:dyDescent="0.25">
      <c r="A17323" t="str">
        <f>"1260046G00185    00"</f>
        <v>1260046G00185    00</v>
      </c>
      <c r="B17323" t="s">
        <v>37779</v>
      </c>
      <c r="C17323" t="s">
        <v>37780</v>
      </c>
      <c r="D17323" t="s">
        <v>20</v>
      </c>
      <c r="E17323" t="s">
        <v>39</v>
      </c>
      <c r="F17323">
        <v>0</v>
      </c>
      <c r="G17323">
        <v>0</v>
      </c>
      <c r="H17323">
        <v>6</v>
      </c>
      <c r="I17323" s="3">
        <v>3934.22</v>
      </c>
      <c r="J17323" s="3">
        <v>1075.49</v>
      </c>
      <c r="K17323" t="s">
        <v>37781</v>
      </c>
      <c r="L17323">
        <v>5012</v>
      </c>
      <c r="M17323" t="s">
        <v>37782</v>
      </c>
      <c r="N17323" t="s">
        <v>30</v>
      </c>
      <c r="O17323" t="s">
        <v>31</v>
      </c>
      <c r="P17323" t="str">
        <f>"15209"</f>
        <v>15209</v>
      </c>
    </row>
    <row r="17324" spans="1:16" x14ac:dyDescent="0.25">
      <c r="A17324" t="str">
        <f>"1260046G00202    00"</f>
        <v>1260046G00202    00</v>
      </c>
      <c r="B17324" t="s">
        <v>37783</v>
      </c>
      <c r="C17324" t="s">
        <v>37784</v>
      </c>
      <c r="D17324" t="s">
        <v>20</v>
      </c>
      <c r="E17324" t="s">
        <v>39</v>
      </c>
      <c r="F17324">
        <v>0</v>
      </c>
      <c r="G17324">
        <v>0</v>
      </c>
      <c r="H17324">
        <v>6</v>
      </c>
      <c r="I17324" s="3">
        <v>1512.91</v>
      </c>
      <c r="J17324" s="3">
        <v>23.76</v>
      </c>
      <c r="L17324">
        <v>2327</v>
      </c>
      <c r="M17324" t="s">
        <v>12170</v>
      </c>
      <c r="N17324" t="s">
        <v>30</v>
      </c>
      <c r="O17324" t="s">
        <v>31</v>
      </c>
      <c r="P17324" t="str">
        <f>"15214"</f>
        <v>15214</v>
      </c>
    </row>
    <row r="17325" spans="1:16" x14ac:dyDescent="0.25">
      <c r="A17325" t="str">
        <f>"1260046G00205    00"</f>
        <v>1260046G00205    00</v>
      </c>
      <c r="B17325" t="s">
        <v>37785</v>
      </c>
      <c r="C17325" t="s">
        <v>37746</v>
      </c>
      <c r="D17325" t="s">
        <v>20</v>
      </c>
      <c r="E17325" t="s">
        <v>39</v>
      </c>
      <c r="F17325">
        <v>0</v>
      </c>
      <c r="G17325">
        <v>0</v>
      </c>
      <c r="H17325">
        <v>19</v>
      </c>
      <c r="I17325" s="3">
        <v>3749.4</v>
      </c>
      <c r="J17325" s="3">
        <v>2781.69</v>
      </c>
      <c r="L17325">
        <v>54</v>
      </c>
      <c r="M17325" t="s">
        <v>6272</v>
      </c>
      <c r="N17325" t="s">
        <v>30</v>
      </c>
      <c r="O17325" t="s">
        <v>31</v>
      </c>
      <c r="P17325" t="str">
        <f>"15205"</f>
        <v>15205</v>
      </c>
    </row>
    <row r="17326" spans="1:16" x14ac:dyDescent="0.25">
      <c r="A17326" t="str">
        <f>"1260046G00207    00"</f>
        <v>1260046G00207    00</v>
      </c>
      <c r="B17326" t="s">
        <v>37786</v>
      </c>
      <c r="C17326" t="s">
        <v>37787</v>
      </c>
      <c r="D17326" t="s">
        <v>20</v>
      </c>
      <c r="E17326" t="s">
        <v>39</v>
      </c>
      <c r="F17326">
        <v>0</v>
      </c>
      <c r="G17326">
        <v>0</v>
      </c>
      <c r="H17326">
        <v>18</v>
      </c>
      <c r="I17326" s="3">
        <v>6078.05</v>
      </c>
      <c r="J17326" s="3">
        <v>7720.22</v>
      </c>
      <c r="L17326">
        <v>439</v>
      </c>
      <c r="M17326" t="s">
        <v>37788</v>
      </c>
      <c r="N17326" t="s">
        <v>30</v>
      </c>
      <c r="O17326" t="s">
        <v>31</v>
      </c>
      <c r="P17326" t="str">
        <f>"15214"</f>
        <v>15214</v>
      </c>
    </row>
    <row r="17327" spans="1:16" x14ac:dyDescent="0.25">
      <c r="A17327" t="str">
        <f>"1260046G00209    00"</f>
        <v>1260046G00209    00</v>
      </c>
      <c r="B17327" t="s">
        <v>37789</v>
      </c>
      <c r="C17327" t="s">
        <v>37746</v>
      </c>
      <c r="D17327" t="s">
        <v>20</v>
      </c>
      <c r="E17327" t="s">
        <v>39</v>
      </c>
      <c r="F17327">
        <v>0</v>
      </c>
      <c r="G17327">
        <v>0</v>
      </c>
      <c r="H17327">
        <v>19</v>
      </c>
      <c r="I17327" s="3">
        <v>9055.18</v>
      </c>
      <c r="J17327" s="3">
        <v>10489.73</v>
      </c>
      <c r="K17327" t="s">
        <v>1008</v>
      </c>
      <c r="P17327" t="str">
        <f>""</f>
        <v/>
      </c>
    </row>
    <row r="17328" spans="1:16" x14ac:dyDescent="0.25">
      <c r="A17328" t="str">
        <f>"1260046G00214    00"</f>
        <v>1260046G00214    00</v>
      </c>
      <c r="B17328" t="s">
        <v>37790</v>
      </c>
      <c r="C17328" t="s">
        <v>37791</v>
      </c>
      <c r="D17328" t="s">
        <v>20</v>
      </c>
      <c r="E17328" t="s">
        <v>39</v>
      </c>
      <c r="F17328">
        <v>0</v>
      </c>
      <c r="G17328">
        <v>0</v>
      </c>
      <c r="H17328">
        <v>3</v>
      </c>
      <c r="I17328" s="3">
        <v>1323.8</v>
      </c>
      <c r="J17328" s="3">
        <v>218.5</v>
      </c>
      <c r="L17328">
        <v>415</v>
      </c>
      <c r="M17328" t="s">
        <v>37788</v>
      </c>
      <c r="N17328" t="s">
        <v>30</v>
      </c>
      <c r="O17328" t="s">
        <v>31</v>
      </c>
      <c r="P17328" t="str">
        <f>"15214"</f>
        <v>15214</v>
      </c>
    </row>
    <row r="17329" spans="1:16" x14ac:dyDescent="0.25">
      <c r="A17329" t="str">
        <f>"1260046G00235    00"</f>
        <v>1260046G00235    00</v>
      </c>
      <c r="B17329" t="s">
        <v>37792</v>
      </c>
      <c r="C17329" t="s">
        <v>37793</v>
      </c>
      <c r="D17329" t="s">
        <v>20</v>
      </c>
      <c r="E17329" t="s">
        <v>39</v>
      </c>
      <c r="F17329">
        <v>0</v>
      </c>
      <c r="G17329">
        <v>0</v>
      </c>
      <c r="H17329">
        <v>2</v>
      </c>
      <c r="I17329" s="3">
        <v>702.21</v>
      </c>
      <c r="J17329" s="3">
        <v>5.38</v>
      </c>
      <c r="K17329" t="s">
        <v>37794</v>
      </c>
      <c r="M17329" t="s">
        <v>37795</v>
      </c>
      <c r="N17329" t="s">
        <v>30</v>
      </c>
      <c r="O17329" t="s">
        <v>31</v>
      </c>
      <c r="P17329" t="str">
        <f>"15227"</f>
        <v>15227</v>
      </c>
    </row>
    <row r="17330" spans="1:16" x14ac:dyDescent="0.25">
      <c r="A17330" t="str">
        <f>"1260046G00236    00"</f>
        <v>1260046G00236    00</v>
      </c>
      <c r="B17330" t="s">
        <v>37632</v>
      </c>
      <c r="C17330" t="s">
        <v>37796</v>
      </c>
      <c r="D17330" t="s">
        <v>20</v>
      </c>
      <c r="E17330" t="s">
        <v>39</v>
      </c>
      <c r="F17330">
        <v>0</v>
      </c>
      <c r="G17330">
        <v>0</v>
      </c>
      <c r="H17330">
        <v>2</v>
      </c>
      <c r="I17330" s="3">
        <v>1181.76</v>
      </c>
      <c r="J17330" s="3">
        <v>0</v>
      </c>
      <c r="L17330">
        <v>317</v>
      </c>
      <c r="M17330" t="s">
        <v>37634</v>
      </c>
      <c r="N17330" t="s">
        <v>30</v>
      </c>
      <c r="O17330" t="s">
        <v>31</v>
      </c>
      <c r="P17330" t="str">
        <f>"15214"</f>
        <v>15214</v>
      </c>
    </row>
    <row r="17331" spans="1:16" x14ac:dyDescent="0.25">
      <c r="A17331" t="str">
        <f>"1260046G00237    00"</f>
        <v>1260046G00237    00</v>
      </c>
      <c r="B17331" t="s">
        <v>37797</v>
      </c>
      <c r="C17331" t="s">
        <v>37798</v>
      </c>
      <c r="D17331" t="s">
        <v>20</v>
      </c>
      <c r="E17331" t="s">
        <v>39</v>
      </c>
      <c r="F17331">
        <v>0</v>
      </c>
      <c r="G17331">
        <v>0</v>
      </c>
      <c r="H17331">
        <v>2</v>
      </c>
      <c r="I17331" s="3">
        <v>1019.13</v>
      </c>
      <c r="J17331" s="3">
        <v>0</v>
      </c>
      <c r="K17331" t="s">
        <v>37799</v>
      </c>
      <c r="L17331">
        <v>315</v>
      </c>
      <c r="M17331" t="s">
        <v>37800</v>
      </c>
      <c r="N17331" t="s">
        <v>30</v>
      </c>
      <c r="O17331" t="s">
        <v>31</v>
      </c>
      <c r="P17331" t="str">
        <f>"15214"</f>
        <v>15214</v>
      </c>
    </row>
    <row r="17332" spans="1:16" x14ac:dyDescent="0.25">
      <c r="A17332" t="str">
        <f>"1260046G00244    00"</f>
        <v>1260046G00244    00</v>
      </c>
      <c r="B17332" t="s">
        <v>37801</v>
      </c>
      <c r="C17332" t="s">
        <v>37720</v>
      </c>
      <c r="D17332" t="s">
        <v>20</v>
      </c>
      <c r="E17332" t="s">
        <v>39</v>
      </c>
      <c r="F17332">
        <v>0</v>
      </c>
      <c r="G17332">
        <v>0</v>
      </c>
      <c r="H17332">
        <v>19</v>
      </c>
      <c r="I17332" s="3">
        <v>8057.86</v>
      </c>
      <c r="J17332" s="3">
        <v>9267.9</v>
      </c>
      <c r="P17332" t="str">
        <f>""</f>
        <v/>
      </c>
    </row>
    <row r="17333" spans="1:16" x14ac:dyDescent="0.25">
      <c r="A17333" t="str">
        <f>"1260046G00245    00"</f>
        <v>1260046G00245    00</v>
      </c>
      <c r="B17333" t="s">
        <v>37802</v>
      </c>
      <c r="C17333" t="s">
        <v>37803</v>
      </c>
      <c r="D17333" t="s">
        <v>20</v>
      </c>
      <c r="E17333" t="s">
        <v>39</v>
      </c>
      <c r="F17333">
        <v>0</v>
      </c>
      <c r="G17333">
        <v>0</v>
      </c>
      <c r="H17333">
        <v>6</v>
      </c>
      <c r="I17333" s="3">
        <v>1016.67</v>
      </c>
      <c r="J17333" s="3">
        <v>236.3</v>
      </c>
      <c r="L17333">
        <v>301</v>
      </c>
      <c r="M17333" t="s">
        <v>37634</v>
      </c>
      <c r="N17333" t="s">
        <v>30</v>
      </c>
      <c r="O17333" t="s">
        <v>31</v>
      </c>
      <c r="P17333" t="str">
        <f>"15214"</f>
        <v>15214</v>
      </c>
    </row>
    <row r="17334" spans="1:16" x14ac:dyDescent="0.25">
      <c r="A17334" t="str">
        <f>"1260046G00249    00"</f>
        <v>1260046G00249    00</v>
      </c>
      <c r="B17334" t="s">
        <v>37804</v>
      </c>
      <c r="C17334" t="s">
        <v>37559</v>
      </c>
      <c r="D17334" t="s">
        <v>20</v>
      </c>
      <c r="E17334" t="s">
        <v>39</v>
      </c>
      <c r="F17334">
        <v>0</v>
      </c>
      <c r="G17334">
        <v>0</v>
      </c>
      <c r="H17334">
        <v>19</v>
      </c>
      <c r="I17334" s="3">
        <v>1481.29</v>
      </c>
      <c r="J17334" s="3">
        <v>1232.95</v>
      </c>
      <c r="K17334" t="s">
        <v>1008</v>
      </c>
      <c r="P17334" t="str">
        <f>""</f>
        <v/>
      </c>
    </row>
    <row r="17335" spans="1:16" x14ac:dyDescent="0.25">
      <c r="A17335" t="str">
        <f>"1260046G00252    00"</f>
        <v>1260046G00252    00</v>
      </c>
      <c r="B17335" t="s">
        <v>37805</v>
      </c>
      <c r="C17335" t="s">
        <v>37559</v>
      </c>
      <c r="D17335" t="s">
        <v>20</v>
      </c>
      <c r="E17335" t="s">
        <v>39</v>
      </c>
      <c r="F17335">
        <v>0</v>
      </c>
      <c r="G17335">
        <v>0</v>
      </c>
      <c r="H17335">
        <v>9</v>
      </c>
      <c r="I17335" s="3">
        <v>748.42</v>
      </c>
      <c r="J17335" s="3">
        <v>285.68</v>
      </c>
      <c r="L17335">
        <v>1382</v>
      </c>
      <c r="M17335" t="s">
        <v>7890</v>
      </c>
      <c r="N17335" t="s">
        <v>30</v>
      </c>
      <c r="O17335" t="s">
        <v>31</v>
      </c>
      <c r="P17335" t="str">
        <f>"15229"</f>
        <v>15229</v>
      </c>
    </row>
    <row r="17336" spans="1:16" x14ac:dyDescent="0.25">
      <c r="A17336" t="str">
        <f>"1260046G00255    00"</f>
        <v>1260046G00255    00</v>
      </c>
      <c r="B17336" t="s">
        <v>37806</v>
      </c>
      <c r="C17336" t="s">
        <v>37807</v>
      </c>
      <c r="D17336" t="s">
        <v>20</v>
      </c>
      <c r="E17336" t="s">
        <v>39</v>
      </c>
      <c r="F17336">
        <v>0</v>
      </c>
      <c r="G17336">
        <v>0</v>
      </c>
      <c r="H17336">
        <v>11</v>
      </c>
      <c r="I17336" s="3">
        <v>3930.58</v>
      </c>
      <c r="J17336" s="3">
        <v>1875.9</v>
      </c>
      <c r="L17336">
        <v>311</v>
      </c>
      <c r="M17336" t="s">
        <v>37808</v>
      </c>
      <c r="N17336" t="s">
        <v>4318</v>
      </c>
      <c r="O17336" t="s">
        <v>31</v>
      </c>
      <c r="P17336" t="str">
        <f>"16046"</f>
        <v>16046</v>
      </c>
    </row>
    <row r="17337" spans="1:16" x14ac:dyDescent="0.25">
      <c r="A17337" t="str">
        <f>"1260046G00256    00"</f>
        <v>1260046G00256    00</v>
      </c>
      <c r="B17337" t="s">
        <v>37809</v>
      </c>
      <c r="C17337" t="s">
        <v>37810</v>
      </c>
      <c r="D17337" t="s">
        <v>20</v>
      </c>
      <c r="E17337" t="s">
        <v>39</v>
      </c>
      <c r="F17337">
        <v>0</v>
      </c>
      <c r="G17337">
        <v>0</v>
      </c>
      <c r="H17337">
        <v>11</v>
      </c>
      <c r="I17337" s="3">
        <v>4052.16</v>
      </c>
      <c r="J17337" s="3">
        <v>1933.95</v>
      </c>
      <c r="L17337">
        <v>311</v>
      </c>
      <c r="M17337" t="s">
        <v>37808</v>
      </c>
      <c r="N17337" t="s">
        <v>4318</v>
      </c>
      <c r="O17337" t="s">
        <v>31</v>
      </c>
      <c r="P17337" t="str">
        <f>"16046"</f>
        <v>16046</v>
      </c>
    </row>
    <row r="17338" spans="1:16" x14ac:dyDescent="0.25">
      <c r="A17338" t="str">
        <f>"1260046G00261    00"</f>
        <v>1260046G00261    00</v>
      </c>
      <c r="B17338" t="s">
        <v>37811</v>
      </c>
      <c r="C17338" t="s">
        <v>37812</v>
      </c>
      <c r="D17338" t="s">
        <v>20</v>
      </c>
      <c r="E17338" t="s">
        <v>39</v>
      </c>
      <c r="F17338">
        <v>0</v>
      </c>
      <c r="G17338">
        <v>0</v>
      </c>
      <c r="H17338">
        <v>18</v>
      </c>
      <c r="I17338" s="3">
        <v>13794.23</v>
      </c>
      <c r="J17338" s="3">
        <v>12074.56</v>
      </c>
      <c r="L17338">
        <v>2423</v>
      </c>
      <c r="M17338" t="s">
        <v>3189</v>
      </c>
      <c r="N17338" t="s">
        <v>30</v>
      </c>
      <c r="O17338" t="s">
        <v>31</v>
      </c>
      <c r="P17338" t="str">
        <f t="shared" ref="P17338:P17344" si="222">"15214"</f>
        <v>15214</v>
      </c>
    </row>
    <row r="17339" spans="1:16" x14ac:dyDescent="0.25">
      <c r="A17339" t="str">
        <f>"1260046G00262    00"</f>
        <v>1260046G00262    00</v>
      </c>
      <c r="B17339" t="s">
        <v>37813</v>
      </c>
      <c r="C17339" t="s">
        <v>37814</v>
      </c>
      <c r="D17339" t="s">
        <v>20</v>
      </c>
      <c r="E17339" t="s">
        <v>39</v>
      </c>
      <c r="F17339">
        <v>0</v>
      </c>
      <c r="G17339">
        <v>0</v>
      </c>
      <c r="H17339">
        <v>19</v>
      </c>
      <c r="I17339" s="3">
        <v>690.85</v>
      </c>
      <c r="J17339" s="3">
        <v>815.07</v>
      </c>
      <c r="K17339" t="s">
        <v>1037</v>
      </c>
      <c r="L17339">
        <v>2423</v>
      </c>
      <c r="M17339" t="s">
        <v>3189</v>
      </c>
      <c r="N17339" t="s">
        <v>30</v>
      </c>
      <c r="O17339" t="s">
        <v>31</v>
      </c>
      <c r="P17339" t="str">
        <f t="shared" si="222"/>
        <v>15214</v>
      </c>
    </row>
    <row r="17340" spans="1:16" x14ac:dyDescent="0.25">
      <c r="A17340" t="str">
        <f>"1260046G00319    00"</f>
        <v>1260046G00319    00</v>
      </c>
      <c r="B17340" t="s">
        <v>37815</v>
      </c>
      <c r="C17340" t="s">
        <v>37816</v>
      </c>
      <c r="D17340" t="s">
        <v>20</v>
      </c>
      <c r="E17340" t="s">
        <v>39</v>
      </c>
      <c r="F17340">
        <v>0</v>
      </c>
      <c r="G17340">
        <v>0</v>
      </c>
      <c r="H17340">
        <v>19</v>
      </c>
      <c r="I17340" s="3">
        <v>690.85</v>
      </c>
      <c r="J17340" s="3">
        <v>815.07</v>
      </c>
      <c r="K17340" t="s">
        <v>1037</v>
      </c>
      <c r="L17340">
        <v>2402</v>
      </c>
      <c r="M17340" t="s">
        <v>12170</v>
      </c>
      <c r="N17340" t="s">
        <v>30</v>
      </c>
      <c r="O17340" t="s">
        <v>31</v>
      </c>
      <c r="P17340" t="str">
        <f t="shared" si="222"/>
        <v>15214</v>
      </c>
    </row>
    <row r="17341" spans="1:16" x14ac:dyDescent="0.25">
      <c r="A17341" t="str">
        <f>"1260046G00320    00"</f>
        <v>1260046G00320    00</v>
      </c>
      <c r="B17341" t="s">
        <v>37817</v>
      </c>
      <c r="C17341" t="s">
        <v>37818</v>
      </c>
      <c r="D17341" t="s">
        <v>20</v>
      </c>
      <c r="E17341" t="s">
        <v>39</v>
      </c>
      <c r="F17341">
        <v>0</v>
      </c>
      <c r="G17341">
        <v>0</v>
      </c>
      <c r="H17341">
        <v>12</v>
      </c>
      <c r="I17341" s="3">
        <v>7086.1</v>
      </c>
      <c r="J17341" s="3">
        <v>3727.35</v>
      </c>
      <c r="L17341">
        <v>2327</v>
      </c>
      <c r="M17341" t="s">
        <v>12170</v>
      </c>
      <c r="N17341" t="s">
        <v>30</v>
      </c>
      <c r="O17341" t="s">
        <v>31</v>
      </c>
      <c r="P17341" t="str">
        <f t="shared" si="222"/>
        <v>15214</v>
      </c>
    </row>
    <row r="17342" spans="1:16" x14ac:dyDescent="0.25">
      <c r="A17342" t="str">
        <f>"1260046G00322    00"</f>
        <v>1260046G00322    00</v>
      </c>
      <c r="B17342" t="s">
        <v>37817</v>
      </c>
      <c r="C17342" t="s">
        <v>37818</v>
      </c>
      <c r="D17342" t="s">
        <v>20</v>
      </c>
      <c r="E17342" t="s">
        <v>39</v>
      </c>
      <c r="F17342">
        <v>0</v>
      </c>
      <c r="G17342">
        <v>0</v>
      </c>
      <c r="H17342">
        <v>7</v>
      </c>
      <c r="I17342" s="3">
        <v>455.06</v>
      </c>
      <c r="J17342" s="3">
        <v>127.43</v>
      </c>
      <c r="L17342">
        <v>2327</v>
      </c>
      <c r="M17342" t="s">
        <v>12170</v>
      </c>
      <c r="N17342" t="s">
        <v>30</v>
      </c>
      <c r="O17342" t="s">
        <v>31</v>
      </c>
      <c r="P17342" t="str">
        <f t="shared" si="222"/>
        <v>15214</v>
      </c>
    </row>
    <row r="17343" spans="1:16" x14ac:dyDescent="0.25">
      <c r="A17343" t="str">
        <f>"1260046G00324    00"</f>
        <v>1260046G00324    00</v>
      </c>
      <c r="B17343" t="s">
        <v>37819</v>
      </c>
      <c r="C17343" t="s">
        <v>37816</v>
      </c>
      <c r="D17343" t="s">
        <v>20</v>
      </c>
      <c r="E17343" t="s">
        <v>39</v>
      </c>
      <c r="F17343">
        <v>0</v>
      </c>
      <c r="G17343">
        <v>0</v>
      </c>
      <c r="H17343">
        <v>12</v>
      </c>
      <c r="I17343" s="3">
        <v>988.11</v>
      </c>
      <c r="J17343" s="3">
        <v>522.38</v>
      </c>
      <c r="L17343">
        <v>2330</v>
      </c>
      <c r="M17343" t="s">
        <v>12170</v>
      </c>
      <c r="N17343" t="s">
        <v>30</v>
      </c>
      <c r="O17343" t="s">
        <v>31</v>
      </c>
      <c r="P17343" t="str">
        <f t="shared" si="222"/>
        <v>15214</v>
      </c>
    </row>
    <row r="17344" spans="1:16" x14ac:dyDescent="0.25">
      <c r="A17344" t="str">
        <f>"1260046G00325    00"</f>
        <v>1260046G00325    00</v>
      </c>
      <c r="B17344" t="s">
        <v>37819</v>
      </c>
      <c r="C17344" t="s">
        <v>37820</v>
      </c>
      <c r="D17344" t="s">
        <v>20</v>
      </c>
      <c r="E17344" t="s">
        <v>39</v>
      </c>
      <c r="F17344">
        <v>0</v>
      </c>
      <c r="G17344">
        <v>0</v>
      </c>
      <c r="H17344">
        <v>12</v>
      </c>
      <c r="I17344" s="3">
        <v>1561.9</v>
      </c>
      <c r="J17344" s="3">
        <v>830.32</v>
      </c>
      <c r="L17344">
        <v>2330</v>
      </c>
      <c r="M17344" t="s">
        <v>37821</v>
      </c>
      <c r="N17344" t="s">
        <v>30</v>
      </c>
      <c r="O17344" t="s">
        <v>31</v>
      </c>
      <c r="P17344" t="str">
        <f t="shared" si="222"/>
        <v>15214</v>
      </c>
    </row>
    <row r="17345" spans="1:16" x14ac:dyDescent="0.25">
      <c r="A17345" t="str">
        <f>"1260046H00014    00"</f>
        <v>1260046H00014    00</v>
      </c>
      <c r="B17345" t="s">
        <v>37822</v>
      </c>
      <c r="C17345" t="s">
        <v>37823</v>
      </c>
      <c r="D17345" t="s">
        <v>20</v>
      </c>
      <c r="E17345" t="s">
        <v>39</v>
      </c>
      <c r="F17345">
        <v>0</v>
      </c>
      <c r="G17345">
        <v>0</v>
      </c>
      <c r="H17345">
        <v>18</v>
      </c>
      <c r="I17345" s="3">
        <v>4606.09</v>
      </c>
      <c r="J17345" s="3">
        <v>3781.58</v>
      </c>
      <c r="K17345" t="s">
        <v>37824</v>
      </c>
      <c r="M17345" t="s">
        <v>37825</v>
      </c>
      <c r="N17345" t="s">
        <v>30</v>
      </c>
      <c r="O17345" t="s">
        <v>31</v>
      </c>
      <c r="P17345" t="str">
        <f>"15223"</f>
        <v>15223</v>
      </c>
    </row>
    <row r="17346" spans="1:16" x14ac:dyDescent="0.25">
      <c r="A17346" t="str">
        <f>"1260046H00016    00"</f>
        <v>1260046H00016    00</v>
      </c>
      <c r="B17346" t="s">
        <v>37826</v>
      </c>
      <c r="C17346" t="s">
        <v>37827</v>
      </c>
      <c r="E17346" t="s">
        <v>39</v>
      </c>
      <c r="F17346">
        <v>0</v>
      </c>
      <c r="G17346">
        <v>0</v>
      </c>
      <c r="H17346">
        <v>2</v>
      </c>
      <c r="I17346" s="3">
        <v>291.38</v>
      </c>
      <c r="J17346" s="3">
        <v>145.12</v>
      </c>
      <c r="L17346">
        <v>2321</v>
      </c>
      <c r="M17346" t="s">
        <v>37828</v>
      </c>
      <c r="N17346" t="s">
        <v>30</v>
      </c>
      <c r="O17346" t="s">
        <v>31</v>
      </c>
      <c r="P17346" t="str">
        <f>"15212"</f>
        <v>15212</v>
      </c>
    </row>
    <row r="17347" spans="1:16" x14ac:dyDescent="0.25">
      <c r="A17347" t="str">
        <f>"1260046H00041    00"</f>
        <v>1260046H00041    00</v>
      </c>
      <c r="B17347" t="s">
        <v>37829</v>
      </c>
      <c r="C17347" t="s">
        <v>37830</v>
      </c>
      <c r="D17347" t="s">
        <v>20</v>
      </c>
      <c r="E17347" t="s">
        <v>39</v>
      </c>
      <c r="F17347">
        <v>0</v>
      </c>
      <c r="G17347">
        <v>0</v>
      </c>
      <c r="H17347">
        <v>3</v>
      </c>
      <c r="I17347" s="3">
        <v>383.7</v>
      </c>
      <c r="J17347" s="3">
        <v>2.94</v>
      </c>
      <c r="L17347">
        <v>1932</v>
      </c>
      <c r="M17347" t="s">
        <v>37091</v>
      </c>
      <c r="N17347" t="s">
        <v>30</v>
      </c>
      <c r="O17347" t="s">
        <v>31</v>
      </c>
      <c r="P17347" t="str">
        <f>"15214"</f>
        <v>15214</v>
      </c>
    </row>
    <row r="17348" spans="1:16" x14ac:dyDescent="0.25">
      <c r="A17348" t="str">
        <f>"1260046H00052    00"</f>
        <v>1260046H00052    00</v>
      </c>
      <c r="B17348" t="s">
        <v>37831</v>
      </c>
      <c r="C17348" t="s">
        <v>37832</v>
      </c>
      <c r="D17348" t="s">
        <v>20</v>
      </c>
      <c r="E17348" t="s">
        <v>39</v>
      </c>
      <c r="F17348">
        <v>0</v>
      </c>
      <c r="G17348">
        <v>0</v>
      </c>
      <c r="H17348">
        <v>17</v>
      </c>
      <c r="I17348" s="3">
        <v>131.16999999999999</v>
      </c>
      <c r="J17348" s="3">
        <v>109.61</v>
      </c>
      <c r="K17348" t="s">
        <v>1037</v>
      </c>
      <c r="L17348">
        <v>814</v>
      </c>
      <c r="M17348" t="s">
        <v>37833</v>
      </c>
      <c r="N17348" t="s">
        <v>30</v>
      </c>
      <c r="O17348" t="s">
        <v>31</v>
      </c>
      <c r="P17348" t="str">
        <f>"15212"</f>
        <v>15212</v>
      </c>
    </row>
    <row r="17349" spans="1:16" x14ac:dyDescent="0.25">
      <c r="A17349" t="str">
        <f>"1260046H00053    00"</f>
        <v>1260046H00053    00</v>
      </c>
      <c r="B17349" t="s">
        <v>37834</v>
      </c>
      <c r="C17349" t="s">
        <v>37835</v>
      </c>
      <c r="D17349" t="s">
        <v>20</v>
      </c>
      <c r="E17349" t="s">
        <v>39</v>
      </c>
      <c r="F17349">
        <v>0</v>
      </c>
      <c r="G17349">
        <v>0</v>
      </c>
      <c r="H17349">
        <v>11</v>
      </c>
      <c r="I17349" s="3">
        <v>5814.69</v>
      </c>
      <c r="J17349" s="3">
        <v>2775.15</v>
      </c>
      <c r="K17349" t="s">
        <v>37836</v>
      </c>
      <c r="L17349">
        <v>210</v>
      </c>
      <c r="M17349" t="s">
        <v>37837</v>
      </c>
      <c r="N17349" t="s">
        <v>33048</v>
      </c>
      <c r="O17349" t="s">
        <v>31</v>
      </c>
      <c r="P17349" t="str">
        <f>"15697"</f>
        <v>15697</v>
      </c>
    </row>
    <row r="17350" spans="1:16" x14ac:dyDescent="0.25">
      <c r="A17350" t="str">
        <f>"1260046H00055    00"</f>
        <v>1260046H00055    00</v>
      </c>
      <c r="B17350" t="s">
        <v>37838</v>
      </c>
      <c r="C17350" t="s">
        <v>37832</v>
      </c>
      <c r="D17350" t="s">
        <v>20</v>
      </c>
      <c r="E17350" t="s">
        <v>39</v>
      </c>
      <c r="F17350">
        <v>0</v>
      </c>
      <c r="G17350">
        <v>0</v>
      </c>
      <c r="H17350">
        <v>19</v>
      </c>
      <c r="I17350" s="3">
        <v>9844.02</v>
      </c>
      <c r="J17350" s="3">
        <v>13606.26</v>
      </c>
      <c r="L17350">
        <v>100</v>
      </c>
      <c r="M17350" t="s">
        <v>37839</v>
      </c>
      <c r="N17350" t="s">
        <v>30</v>
      </c>
      <c r="O17350" t="s">
        <v>31</v>
      </c>
      <c r="P17350" t="str">
        <f>"15221"</f>
        <v>15221</v>
      </c>
    </row>
    <row r="17351" spans="1:16" x14ac:dyDescent="0.25">
      <c r="A17351" t="str">
        <f>"1260046H00132    00"</f>
        <v>1260046H00132    00</v>
      </c>
      <c r="B17351" t="s">
        <v>37840</v>
      </c>
      <c r="C17351" t="s">
        <v>37841</v>
      </c>
      <c r="D17351" t="s">
        <v>20</v>
      </c>
      <c r="E17351" t="s">
        <v>39</v>
      </c>
      <c r="F17351">
        <v>0</v>
      </c>
      <c r="G17351">
        <v>0</v>
      </c>
      <c r="H17351">
        <v>19</v>
      </c>
      <c r="I17351" s="3">
        <v>4077.72</v>
      </c>
      <c r="J17351" s="3">
        <v>4445.93</v>
      </c>
      <c r="L17351">
        <v>2319</v>
      </c>
      <c r="M17351" t="s">
        <v>37573</v>
      </c>
      <c r="N17351" t="s">
        <v>30</v>
      </c>
      <c r="O17351" t="s">
        <v>31</v>
      </c>
      <c r="P17351" t="str">
        <f>"15212"</f>
        <v>15212</v>
      </c>
    </row>
    <row r="17352" spans="1:16" x14ac:dyDescent="0.25">
      <c r="A17352" t="str">
        <f>"1260046H00135    00"</f>
        <v>1260046H00135    00</v>
      </c>
      <c r="B17352" t="s">
        <v>37840</v>
      </c>
      <c r="C17352" t="s">
        <v>35568</v>
      </c>
      <c r="D17352" t="s">
        <v>20</v>
      </c>
      <c r="E17352" t="s">
        <v>39</v>
      </c>
      <c r="F17352">
        <v>0</v>
      </c>
      <c r="G17352">
        <v>0</v>
      </c>
      <c r="H17352">
        <v>19</v>
      </c>
      <c r="I17352" s="3">
        <v>4898.03</v>
      </c>
      <c r="J17352" s="3">
        <v>4742.05</v>
      </c>
      <c r="L17352">
        <v>2319</v>
      </c>
      <c r="M17352" t="s">
        <v>37573</v>
      </c>
      <c r="N17352" t="s">
        <v>30</v>
      </c>
      <c r="O17352" t="s">
        <v>31</v>
      </c>
      <c r="P17352" t="str">
        <f>"15212"</f>
        <v>15212</v>
      </c>
    </row>
    <row r="17353" spans="1:16" x14ac:dyDescent="0.25">
      <c r="A17353" t="str">
        <f>"1260046H00182    00"</f>
        <v>1260046H00182    00</v>
      </c>
      <c r="B17353" t="s">
        <v>37842</v>
      </c>
      <c r="C17353" t="s">
        <v>35568</v>
      </c>
      <c r="D17353" t="s">
        <v>20</v>
      </c>
      <c r="E17353" t="s">
        <v>39</v>
      </c>
      <c r="F17353">
        <v>0</v>
      </c>
      <c r="G17353">
        <v>0</v>
      </c>
      <c r="H17353">
        <v>19</v>
      </c>
      <c r="I17353" s="3">
        <v>970.82</v>
      </c>
      <c r="J17353" s="3">
        <v>918.12</v>
      </c>
      <c r="K17353" t="s">
        <v>1037</v>
      </c>
      <c r="L17353">
        <v>875</v>
      </c>
      <c r="M17353" t="s">
        <v>24964</v>
      </c>
      <c r="N17353" t="s">
        <v>30</v>
      </c>
      <c r="O17353" t="s">
        <v>31</v>
      </c>
      <c r="P17353" t="str">
        <f>"15220"</f>
        <v>15220</v>
      </c>
    </row>
    <row r="17354" spans="1:16" x14ac:dyDescent="0.25">
      <c r="A17354" t="str">
        <f>"1260046H00355    00"</f>
        <v>1260046H00355    00</v>
      </c>
      <c r="B17354" t="s">
        <v>37843</v>
      </c>
      <c r="C17354" t="s">
        <v>37756</v>
      </c>
      <c r="D17354" t="s">
        <v>20</v>
      </c>
      <c r="E17354" t="s">
        <v>39</v>
      </c>
      <c r="F17354">
        <v>0</v>
      </c>
      <c r="G17354">
        <v>0</v>
      </c>
      <c r="H17354">
        <v>19</v>
      </c>
      <c r="I17354" s="3">
        <v>1569.09</v>
      </c>
      <c r="J17354" s="3">
        <v>1279.3599999999999</v>
      </c>
      <c r="K17354" t="s">
        <v>1008</v>
      </c>
      <c r="P17354" t="str">
        <f>""</f>
        <v/>
      </c>
    </row>
    <row r="17355" spans="1:16" x14ac:dyDescent="0.25">
      <c r="A17355" t="str">
        <f>"1260046H00356    00"</f>
        <v>1260046H00356    00</v>
      </c>
      <c r="B17355" t="s">
        <v>37844</v>
      </c>
      <c r="C17355" t="s">
        <v>37845</v>
      </c>
      <c r="D17355" t="s">
        <v>57</v>
      </c>
      <c r="E17355" t="s">
        <v>39</v>
      </c>
      <c r="F17355">
        <v>0</v>
      </c>
      <c r="G17355">
        <v>0</v>
      </c>
      <c r="H17355">
        <v>1</v>
      </c>
      <c r="I17355" s="3">
        <v>256.25</v>
      </c>
      <c r="J17355" s="3">
        <v>0</v>
      </c>
      <c r="K17355" t="s">
        <v>37846</v>
      </c>
      <c r="M17355" t="s">
        <v>37847</v>
      </c>
      <c r="N17355" t="s">
        <v>37848</v>
      </c>
      <c r="O17355" t="s">
        <v>30596</v>
      </c>
      <c r="P17355" t="str">
        <f>"39576"</f>
        <v>39576</v>
      </c>
    </row>
    <row r="17356" spans="1:16" x14ac:dyDescent="0.25">
      <c r="A17356" t="str">
        <f>"1260046H00360    00"</f>
        <v>1260046H00360    00</v>
      </c>
      <c r="B17356" t="s">
        <v>37849</v>
      </c>
      <c r="C17356" t="s">
        <v>37756</v>
      </c>
      <c r="D17356" t="s">
        <v>20</v>
      </c>
      <c r="E17356" t="s">
        <v>39</v>
      </c>
      <c r="F17356">
        <v>0</v>
      </c>
      <c r="G17356">
        <v>0</v>
      </c>
      <c r="H17356">
        <v>19</v>
      </c>
      <c r="I17356" s="3">
        <v>9780.6</v>
      </c>
      <c r="J17356" s="3">
        <v>10837.69</v>
      </c>
      <c r="L17356">
        <v>2000</v>
      </c>
      <c r="M17356" t="s">
        <v>17954</v>
      </c>
      <c r="N17356" t="s">
        <v>30</v>
      </c>
      <c r="O17356" t="s">
        <v>31</v>
      </c>
      <c r="P17356" t="str">
        <f>"15221"</f>
        <v>15221</v>
      </c>
    </row>
    <row r="17357" spans="1:16" x14ac:dyDescent="0.25">
      <c r="A17357" t="str">
        <f>"1260046H00363    00"</f>
        <v>1260046H00363    00</v>
      </c>
      <c r="B17357" t="s">
        <v>37850</v>
      </c>
      <c r="C17357" t="s">
        <v>37756</v>
      </c>
      <c r="D17357" t="s">
        <v>20</v>
      </c>
      <c r="E17357" t="s">
        <v>39</v>
      </c>
      <c r="F17357">
        <v>0</v>
      </c>
      <c r="G17357">
        <v>0</v>
      </c>
      <c r="H17357">
        <v>16</v>
      </c>
      <c r="I17357" s="3">
        <v>5758.8</v>
      </c>
      <c r="J17357" s="3">
        <v>6321.08</v>
      </c>
      <c r="L17357">
        <v>613</v>
      </c>
      <c r="M17357" t="s">
        <v>37851</v>
      </c>
      <c r="N17357" t="s">
        <v>30</v>
      </c>
      <c r="O17357" t="s">
        <v>31</v>
      </c>
      <c r="P17357" t="str">
        <f>"15214"</f>
        <v>15214</v>
      </c>
    </row>
    <row r="17358" spans="1:16" x14ac:dyDescent="0.25">
      <c r="A17358" t="str">
        <f>"1260046H00364    00"</f>
        <v>1260046H00364    00</v>
      </c>
      <c r="B17358" t="s">
        <v>37852</v>
      </c>
      <c r="C17358" t="s">
        <v>37756</v>
      </c>
      <c r="D17358" t="s">
        <v>20</v>
      </c>
      <c r="E17358" t="s">
        <v>39</v>
      </c>
      <c r="F17358">
        <v>0</v>
      </c>
      <c r="G17358">
        <v>0</v>
      </c>
      <c r="H17358">
        <v>19</v>
      </c>
      <c r="I17358" s="3">
        <v>7831.01</v>
      </c>
      <c r="J17358" s="3">
        <v>8841.24</v>
      </c>
      <c r="L17358">
        <v>1012</v>
      </c>
      <c r="M17358" t="s">
        <v>37853</v>
      </c>
      <c r="N17358" t="s">
        <v>30</v>
      </c>
      <c r="O17358" t="s">
        <v>31</v>
      </c>
      <c r="P17358" t="str">
        <f>"15233"</f>
        <v>15233</v>
      </c>
    </row>
    <row r="17359" spans="1:16" x14ac:dyDescent="0.25">
      <c r="A17359" t="str">
        <f>"1260046H00365    00"</f>
        <v>1260046H00365    00</v>
      </c>
      <c r="B17359" t="s">
        <v>37854</v>
      </c>
      <c r="C17359" t="s">
        <v>37855</v>
      </c>
      <c r="D17359" t="s">
        <v>20</v>
      </c>
      <c r="E17359" t="s">
        <v>39</v>
      </c>
      <c r="F17359">
        <v>0</v>
      </c>
      <c r="G17359">
        <v>0</v>
      </c>
      <c r="H17359">
        <v>2</v>
      </c>
      <c r="I17359" s="3">
        <v>1227.5</v>
      </c>
      <c r="J17359" s="3">
        <v>122.74</v>
      </c>
      <c r="L17359">
        <v>6359</v>
      </c>
      <c r="M17359" t="s">
        <v>10468</v>
      </c>
      <c r="N17359" t="s">
        <v>30</v>
      </c>
      <c r="O17359" t="s">
        <v>31</v>
      </c>
      <c r="P17359" t="str">
        <f>"15206"</f>
        <v>15206</v>
      </c>
    </row>
    <row r="17360" spans="1:16" x14ac:dyDescent="0.25">
      <c r="A17360" t="str">
        <f>"1260046J00009    00"</f>
        <v>1260046J00009    00</v>
      </c>
      <c r="B17360" t="s">
        <v>37856</v>
      </c>
      <c r="C17360" t="s">
        <v>37857</v>
      </c>
      <c r="D17360" t="s">
        <v>20</v>
      </c>
      <c r="E17360" t="s">
        <v>39</v>
      </c>
      <c r="F17360">
        <v>0</v>
      </c>
      <c r="G17360">
        <v>0</v>
      </c>
      <c r="H17360">
        <v>12</v>
      </c>
      <c r="I17360" s="3">
        <v>7158.48</v>
      </c>
      <c r="J17360" s="3">
        <v>6886.15</v>
      </c>
      <c r="L17360">
        <v>402</v>
      </c>
      <c r="M17360" t="s">
        <v>37290</v>
      </c>
      <c r="N17360" t="s">
        <v>30</v>
      </c>
      <c r="O17360" t="s">
        <v>31</v>
      </c>
      <c r="P17360" t="str">
        <f>"15214"</f>
        <v>15214</v>
      </c>
    </row>
    <row r="17361" spans="1:16" x14ac:dyDescent="0.25">
      <c r="A17361" t="str">
        <f>"1260046J00010    00"</f>
        <v>1260046J00010    00</v>
      </c>
      <c r="B17361" t="s">
        <v>37858</v>
      </c>
      <c r="C17361" t="s">
        <v>37859</v>
      </c>
      <c r="D17361" t="s">
        <v>20</v>
      </c>
      <c r="E17361" t="s">
        <v>39</v>
      </c>
      <c r="F17361">
        <v>0</v>
      </c>
      <c r="G17361">
        <v>0</v>
      </c>
      <c r="H17361">
        <v>17</v>
      </c>
      <c r="I17361" s="3">
        <v>8528.9699999999993</v>
      </c>
      <c r="J17361" s="3">
        <v>7157.84</v>
      </c>
      <c r="L17361">
        <v>404</v>
      </c>
      <c r="M17361" t="s">
        <v>37290</v>
      </c>
      <c r="N17361" t="s">
        <v>30</v>
      </c>
      <c r="O17361" t="s">
        <v>31</v>
      </c>
      <c r="P17361" t="str">
        <f>"15214"</f>
        <v>15214</v>
      </c>
    </row>
    <row r="17362" spans="1:16" x14ac:dyDescent="0.25">
      <c r="A17362" t="str">
        <f>"1260046J00014    00"</f>
        <v>1260046J00014    00</v>
      </c>
      <c r="B17362" t="s">
        <v>37860</v>
      </c>
      <c r="C17362" t="s">
        <v>37283</v>
      </c>
      <c r="D17362" t="s">
        <v>20</v>
      </c>
      <c r="E17362" t="s">
        <v>39</v>
      </c>
      <c r="F17362">
        <v>0</v>
      </c>
      <c r="G17362">
        <v>0</v>
      </c>
      <c r="H17362">
        <v>18</v>
      </c>
      <c r="I17362" s="3">
        <v>10262.450000000001</v>
      </c>
      <c r="J17362" s="3">
        <v>10178.67</v>
      </c>
      <c r="L17362">
        <v>24</v>
      </c>
      <c r="M17362" t="s">
        <v>37861</v>
      </c>
      <c r="N17362" t="s">
        <v>9778</v>
      </c>
      <c r="O17362" t="s">
        <v>423</v>
      </c>
      <c r="P17362" t="str">
        <f>"07305"</f>
        <v>07305</v>
      </c>
    </row>
    <row r="17363" spans="1:16" x14ac:dyDescent="0.25">
      <c r="A17363" t="str">
        <f>"1260046J00015    00"</f>
        <v>1260046J00015    00</v>
      </c>
      <c r="B17363" t="s">
        <v>37862</v>
      </c>
      <c r="C17363" t="s">
        <v>37283</v>
      </c>
      <c r="D17363" t="s">
        <v>20</v>
      </c>
      <c r="E17363" t="s">
        <v>39</v>
      </c>
      <c r="F17363">
        <v>0</v>
      </c>
      <c r="G17363">
        <v>0</v>
      </c>
      <c r="H17363">
        <v>17</v>
      </c>
      <c r="I17363" s="3">
        <v>411.91</v>
      </c>
      <c r="J17363" s="3">
        <v>390.14</v>
      </c>
      <c r="L17363">
        <v>4749</v>
      </c>
      <c r="M17363" t="s">
        <v>2720</v>
      </c>
      <c r="N17363" t="s">
        <v>30</v>
      </c>
      <c r="O17363" t="s">
        <v>31</v>
      </c>
      <c r="P17363" t="str">
        <f>"15213"</f>
        <v>15213</v>
      </c>
    </row>
    <row r="17364" spans="1:16" x14ac:dyDescent="0.25">
      <c r="A17364" t="str">
        <f>"1260046J00016    00"</f>
        <v>1260046J00016    00</v>
      </c>
      <c r="B17364" t="s">
        <v>37862</v>
      </c>
      <c r="C17364" t="s">
        <v>37283</v>
      </c>
      <c r="D17364" t="s">
        <v>20</v>
      </c>
      <c r="E17364" t="s">
        <v>39</v>
      </c>
      <c r="F17364">
        <v>0</v>
      </c>
      <c r="G17364">
        <v>0</v>
      </c>
      <c r="H17364">
        <v>13</v>
      </c>
      <c r="I17364" s="3">
        <v>3743.17</v>
      </c>
      <c r="J17364" s="3">
        <v>3260.41</v>
      </c>
      <c r="L17364">
        <v>4749</v>
      </c>
      <c r="M17364" t="s">
        <v>2720</v>
      </c>
      <c r="N17364" t="s">
        <v>30</v>
      </c>
      <c r="O17364" t="s">
        <v>31</v>
      </c>
      <c r="P17364" t="str">
        <f>"15213"</f>
        <v>15213</v>
      </c>
    </row>
    <row r="17365" spans="1:16" x14ac:dyDescent="0.25">
      <c r="A17365" t="str">
        <f>"1260046J00020    00"</f>
        <v>1260046J00020    00</v>
      </c>
      <c r="B17365" t="s">
        <v>37863</v>
      </c>
      <c r="C17365" t="s">
        <v>37283</v>
      </c>
      <c r="D17365" t="s">
        <v>20</v>
      </c>
      <c r="E17365" t="s">
        <v>39</v>
      </c>
      <c r="F17365">
        <v>0</v>
      </c>
      <c r="G17365">
        <v>0</v>
      </c>
      <c r="H17365">
        <v>14</v>
      </c>
      <c r="I17365" s="3">
        <v>325.85000000000002</v>
      </c>
      <c r="J17365" s="3">
        <v>247.26</v>
      </c>
      <c r="L17365">
        <v>1311</v>
      </c>
      <c r="M17365" t="s">
        <v>28558</v>
      </c>
      <c r="N17365" t="s">
        <v>30</v>
      </c>
      <c r="O17365" t="s">
        <v>31</v>
      </c>
      <c r="P17365" t="str">
        <f>"15216"</f>
        <v>15216</v>
      </c>
    </row>
    <row r="17366" spans="1:16" x14ac:dyDescent="0.25">
      <c r="A17366" t="str">
        <f>"1260046J00022    00"</f>
        <v>1260046J00022    00</v>
      </c>
      <c r="B17366" t="s">
        <v>37864</v>
      </c>
      <c r="C17366" t="s">
        <v>37283</v>
      </c>
      <c r="D17366" t="s">
        <v>20</v>
      </c>
      <c r="E17366" t="s">
        <v>39</v>
      </c>
      <c r="F17366">
        <v>0</v>
      </c>
      <c r="G17366">
        <v>0</v>
      </c>
      <c r="H17366">
        <v>19</v>
      </c>
      <c r="I17366" s="3">
        <v>4709.1899999999996</v>
      </c>
      <c r="J17366" s="3">
        <v>6315.63</v>
      </c>
      <c r="L17366">
        <v>204</v>
      </c>
      <c r="M17366" t="s">
        <v>37865</v>
      </c>
      <c r="N17366" t="s">
        <v>10800</v>
      </c>
      <c r="O17366" t="s">
        <v>31</v>
      </c>
      <c r="P17366" t="str">
        <f>"15065"</f>
        <v>15065</v>
      </c>
    </row>
    <row r="17367" spans="1:16" x14ac:dyDescent="0.25">
      <c r="A17367" t="str">
        <f>"1260046J00043    00"</f>
        <v>1260046J00043    00</v>
      </c>
      <c r="B17367" t="s">
        <v>37866</v>
      </c>
      <c r="C17367" t="s">
        <v>37867</v>
      </c>
      <c r="D17367" t="s">
        <v>20</v>
      </c>
      <c r="E17367" t="s">
        <v>39</v>
      </c>
      <c r="F17367">
        <v>0</v>
      </c>
      <c r="G17367">
        <v>0</v>
      </c>
      <c r="H17367">
        <v>19</v>
      </c>
      <c r="I17367" s="3">
        <v>10501.46</v>
      </c>
      <c r="J17367" s="3">
        <v>11880.54</v>
      </c>
      <c r="L17367">
        <v>409</v>
      </c>
      <c r="M17367" t="s">
        <v>37290</v>
      </c>
      <c r="N17367" t="s">
        <v>30</v>
      </c>
      <c r="O17367" t="s">
        <v>31</v>
      </c>
      <c r="P17367" t="str">
        <f>"15214"</f>
        <v>15214</v>
      </c>
    </row>
    <row r="17368" spans="1:16" x14ac:dyDescent="0.25">
      <c r="A17368" t="str">
        <f>"1260046J00045    00"</f>
        <v>1260046J00045    00</v>
      </c>
      <c r="B17368" t="s">
        <v>37868</v>
      </c>
      <c r="C17368" t="s">
        <v>37283</v>
      </c>
      <c r="E17368" t="s">
        <v>39</v>
      </c>
      <c r="F17368">
        <v>0</v>
      </c>
      <c r="G17368">
        <v>0</v>
      </c>
      <c r="H17368">
        <v>2</v>
      </c>
      <c r="I17368" s="3">
        <v>374.69</v>
      </c>
      <c r="J17368" s="3">
        <v>88.79</v>
      </c>
      <c r="L17368">
        <v>1004</v>
      </c>
      <c r="M17368" t="s">
        <v>37869</v>
      </c>
      <c r="N17368" t="s">
        <v>652</v>
      </c>
      <c r="O17368" t="s">
        <v>108</v>
      </c>
      <c r="P17368" t="str">
        <f>"77008"</f>
        <v>77008</v>
      </c>
    </row>
    <row r="17369" spans="1:16" x14ac:dyDescent="0.25">
      <c r="A17369" t="str">
        <f>"1260046J00049    00"</f>
        <v>1260046J00049    00</v>
      </c>
      <c r="B17369" t="s">
        <v>35616</v>
      </c>
      <c r="C17369" t="s">
        <v>36897</v>
      </c>
      <c r="D17369" t="s">
        <v>20</v>
      </c>
      <c r="E17369" t="s">
        <v>39</v>
      </c>
      <c r="F17369">
        <v>0</v>
      </c>
      <c r="G17369">
        <v>0</v>
      </c>
      <c r="H17369">
        <v>17</v>
      </c>
      <c r="I17369" s="3">
        <v>2756.7</v>
      </c>
      <c r="J17369" s="3">
        <v>3496.71</v>
      </c>
      <c r="L17369">
        <v>937</v>
      </c>
      <c r="M17369" t="s">
        <v>35617</v>
      </c>
      <c r="N17369" t="s">
        <v>625</v>
      </c>
      <c r="O17369" t="s">
        <v>31</v>
      </c>
      <c r="P17369" t="str">
        <f>"15108"</f>
        <v>15108</v>
      </c>
    </row>
    <row r="17370" spans="1:16" x14ac:dyDescent="0.25">
      <c r="A17370" t="str">
        <f>"1260046J00050    00"</f>
        <v>1260046J00050    00</v>
      </c>
      <c r="B17370" t="s">
        <v>36234</v>
      </c>
      <c r="C17370" t="s">
        <v>36897</v>
      </c>
      <c r="D17370" t="s">
        <v>20</v>
      </c>
      <c r="E17370" t="s">
        <v>39</v>
      </c>
      <c r="F17370">
        <v>0</v>
      </c>
      <c r="G17370">
        <v>0</v>
      </c>
      <c r="H17370">
        <v>19</v>
      </c>
      <c r="I17370" s="3">
        <v>5623.73</v>
      </c>
      <c r="J17370" s="3">
        <v>8245.4500000000007</v>
      </c>
      <c r="L17370">
        <v>2405</v>
      </c>
      <c r="M17370" t="s">
        <v>36886</v>
      </c>
      <c r="N17370" t="s">
        <v>30</v>
      </c>
      <c r="O17370" t="s">
        <v>31</v>
      </c>
      <c r="P17370" t="str">
        <f>"15214"</f>
        <v>15214</v>
      </c>
    </row>
    <row r="17371" spans="1:16" x14ac:dyDescent="0.25">
      <c r="A17371" t="str">
        <f>"1260046J00051    00"</f>
        <v>1260046J00051    00</v>
      </c>
      <c r="B17371" t="s">
        <v>37870</v>
      </c>
      <c r="C17371" t="s">
        <v>37871</v>
      </c>
      <c r="D17371" t="s">
        <v>20</v>
      </c>
      <c r="E17371" t="s">
        <v>39</v>
      </c>
      <c r="F17371">
        <v>0</v>
      </c>
      <c r="G17371">
        <v>0</v>
      </c>
      <c r="H17371">
        <v>14</v>
      </c>
      <c r="I17371" s="3">
        <v>11720</v>
      </c>
      <c r="J17371" s="3">
        <v>7921.53</v>
      </c>
      <c r="L17371">
        <v>2321</v>
      </c>
      <c r="M17371" t="s">
        <v>36886</v>
      </c>
      <c r="N17371" t="s">
        <v>30</v>
      </c>
      <c r="O17371" t="s">
        <v>31</v>
      </c>
      <c r="P17371" t="str">
        <f>"15214"</f>
        <v>15214</v>
      </c>
    </row>
    <row r="17372" spans="1:16" x14ac:dyDescent="0.25">
      <c r="A17372" t="str">
        <f>"1260046J00083    00"</f>
        <v>1260046J00083    00</v>
      </c>
      <c r="B17372" t="s">
        <v>37872</v>
      </c>
      <c r="C17372" t="s">
        <v>37307</v>
      </c>
      <c r="D17372" t="s">
        <v>20</v>
      </c>
      <c r="E17372" t="s">
        <v>39</v>
      </c>
      <c r="F17372">
        <v>0</v>
      </c>
      <c r="G17372">
        <v>0</v>
      </c>
      <c r="H17372">
        <v>19</v>
      </c>
      <c r="I17372" s="3">
        <v>6074.36</v>
      </c>
      <c r="J17372" s="3">
        <v>6214.62</v>
      </c>
      <c r="K17372" t="s">
        <v>37873</v>
      </c>
      <c r="L17372">
        <v>9</v>
      </c>
      <c r="M17372" t="s">
        <v>37311</v>
      </c>
      <c r="N17372" t="s">
        <v>30</v>
      </c>
      <c r="O17372" t="s">
        <v>31</v>
      </c>
      <c r="P17372" t="str">
        <f>"15214"</f>
        <v>15214</v>
      </c>
    </row>
    <row r="17373" spans="1:16" x14ac:dyDescent="0.25">
      <c r="A17373" t="str">
        <f>"1260046J00087    00"</f>
        <v>1260046J00087    00</v>
      </c>
      <c r="B17373" t="s">
        <v>37874</v>
      </c>
      <c r="C17373" t="s">
        <v>37307</v>
      </c>
      <c r="D17373" t="s">
        <v>20</v>
      </c>
      <c r="E17373" t="s">
        <v>39</v>
      </c>
      <c r="F17373">
        <v>0</v>
      </c>
      <c r="G17373">
        <v>0</v>
      </c>
      <c r="H17373">
        <v>19</v>
      </c>
      <c r="I17373" s="3">
        <v>5835.18</v>
      </c>
      <c r="J17373" s="3">
        <v>6169.09</v>
      </c>
      <c r="L17373">
        <v>1001</v>
      </c>
      <c r="M17373" t="s">
        <v>37875</v>
      </c>
      <c r="N17373" t="s">
        <v>30</v>
      </c>
      <c r="O17373" t="s">
        <v>31</v>
      </c>
      <c r="P17373" t="str">
        <f>"15212"</f>
        <v>15212</v>
      </c>
    </row>
    <row r="17374" spans="1:16" x14ac:dyDescent="0.25">
      <c r="A17374" t="str">
        <f>"1260046J00093    00"</f>
        <v>1260046J00093    00</v>
      </c>
      <c r="B17374" t="s">
        <v>37876</v>
      </c>
      <c r="C17374" t="s">
        <v>37877</v>
      </c>
      <c r="D17374" t="s">
        <v>20</v>
      </c>
      <c r="E17374" t="s">
        <v>39</v>
      </c>
      <c r="F17374">
        <v>0</v>
      </c>
      <c r="G17374">
        <v>0</v>
      </c>
      <c r="H17374">
        <v>17</v>
      </c>
      <c r="I17374" s="3">
        <v>875.86</v>
      </c>
      <c r="J17374" s="3">
        <v>813.56</v>
      </c>
      <c r="K17374" t="s">
        <v>37878</v>
      </c>
      <c r="L17374">
        <v>745</v>
      </c>
      <c r="M17374" t="s">
        <v>37879</v>
      </c>
      <c r="N17374" t="s">
        <v>2008</v>
      </c>
      <c r="O17374" t="s">
        <v>31</v>
      </c>
      <c r="P17374" t="str">
        <f>"16066"</f>
        <v>16066</v>
      </c>
    </row>
    <row r="17375" spans="1:16" x14ac:dyDescent="0.25">
      <c r="A17375" t="str">
        <f>"1260046J00095    00"</f>
        <v>1260046J00095    00</v>
      </c>
      <c r="B17375" t="s">
        <v>37876</v>
      </c>
      <c r="C17375" t="s">
        <v>37877</v>
      </c>
      <c r="D17375" t="s">
        <v>20</v>
      </c>
      <c r="E17375" t="s">
        <v>39</v>
      </c>
      <c r="F17375">
        <v>0</v>
      </c>
      <c r="G17375">
        <v>0</v>
      </c>
      <c r="H17375">
        <v>5</v>
      </c>
      <c r="I17375" s="3">
        <v>3542.04</v>
      </c>
      <c r="J17375" s="3">
        <v>611.94000000000005</v>
      </c>
      <c r="K17375" t="s">
        <v>37878</v>
      </c>
      <c r="L17375">
        <v>745</v>
      </c>
      <c r="M17375" t="s">
        <v>37879</v>
      </c>
      <c r="N17375" t="s">
        <v>2008</v>
      </c>
      <c r="O17375" t="s">
        <v>31</v>
      </c>
      <c r="P17375" t="str">
        <f>"16066"</f>
        <v>16066</v>
      </c>
    </row>
    <row r="17376" spans="1:16" x14ac:dyDescent="0.25">
      <c r="A17376" t="str">
        <f>"1260046J00101    00"</f>
        <v>1260046J00101    00</v>
      </c>
      <c r="B17376" t="s">
        <v>14985</v>
      </c>
      <c r="C17376" t="s">
        <v>36897</v>
      </c>
      <c r="D17376" t="s">
        <v>20</v>
      </c>
      <c r="E17376" t="s">
        <v>39</v>
      </c>
      <c r="F17376">
        <v>0</v>
      </c>
      <c r="G17376">
        <v>0</v>
      </c>
      <c r="H17376">
        <v>17</v>
      </c>
      <c r="I17376" s="3">
        <v>4873.38</v>
      </c>
      <c r="J17376" s="3">
        <v>4012.72</v>
      </c>
      <c r="L17376">
        <v>387</v>
      </c>
      <c r="M17376" t="s">
        <v>9101</v>
      </c>
      <c r="N17376" t="s">
        <v>30</v>
      </c>
      <c r="O17376" t="s">
        <v>31</v>
      </c>
      <c r="P17376" t="str">
        <f>"15235"</f>
        <v>15235</v>
      </c>
    </row>
    <row r="17377" spans="1:16" x14ac:dyDescent="0.25">
      <c r="A17377" t="str">
        <f>"1260046J00104    00"</f>
        <v>1260046J00104    00</v>
      </c>
      <c r="B17377" t="s">
        <v>17237</v>
      </c>
      <c r="C17377" t="s">
        <v>37880</v>
      </c>
      <c r="D17377" t="s">
        <v>20</v>
      </c>
      <c r="E17377" t="s">
        <v>39</v>
      </c>
      <c r="F17377">
        <v>0</v>
      </c>
      <c r="G17377">
        <v>0</v>
      </c>
      <c r="H17377">
        <v>19</v>
      </c>
      <c r="I17377" s="3">
        <v>737.38</v>
      </c>
      <c r="J17377" s="3">
        <v>862.17</v>
      </c>
      <c r="K17377" t="s">
        <v>1008</v>
      </c>
      <c r="P17377" t="str">
        <f>""</f>
        <v/>
      </c>
    </row>
    <row r="17378" spans="1:16" x14ac:dyDescent="0.25">
      <c r="A17378" t="str">
        <f>"1260046J00109A   00"</f>
        <v>1260046J00109A   00</v>
      </c>
      <c r="B17378" t="s">
        <v>37881</v>
      </c>
      <c r="C17378" t="s">
        <v>37882</v>
      </c>
      <c r="D17378" t="s">
        <v>20</v>
      </c>
      <c r="E17378" t="s">
        <v>39</v>
      </c>
      <c r="F17378">
        <v>0</v>
      </c>
      <c r="G17378">
        <v>0</v>
      </c>
      <c r="H17378">
        <v>17</v>
      </c>
      <c r="I17378" s="3">
        <v>11554.08</v>
      </c>
      <c r="J17378" s="3">
        <v>11113.26</v>
      </c>
      <c r="L17378">
        <v>508</v>
      </c>
      <c r="M17378" t="s">
        <v>26459</v>
      </c>
      <c r="N17378" t="s">
        <v>30</v>
      </c>
      <c r="O17378" t="s">
        <v>31</v>
      </c>
      <c r="P17378" t="str">
        <f>"15214"</f>
        <v>15214</v>
      </c>
    </row>
    <row r="17379" spans="1:16" x14ac:dyDescent="0.25">
      <c r="A17379" t="str">
        <f>"1260046J00111    00"</f>
        <v>1260046J00111    00</v>
      </c>
      <c r="B17379" t="s">
        <v>37883</v>
      </c>
      <c r="C17379" t="s">
        <v>37884</v>
      </c>
      <c r="D17379" t="s">
        <v>20</v>
      </c>
      <c r="E17379" t="s">
        <v>39</v>
      </c>
      <c r="F17379">
        <v>0</v>
      </c>
      <c r="G17379">
        <v>0</v>
      </c>
      <c r="H17379">
        <v>5</v>
      </c>
      <c r="I17379" s="3">
        <v>3673.03</v>
      </c>
      <c r="J17379" s="3">
        <v>650.46</v>
      </c>
      <c r="L17379">
        <v>521</v>
      </c>
      <c r="M17379" t="s">
        <v>23798</v>
      </c>
      <c r="N17379" t="s">
        <v>903</v>
      </c>
      <c r="O17379" t="s">
        <v>31</v>
      </c>
      <c r="P17379" t="str">
        <f>"15136"</f>
        <v>15136</v>
      </c>
    </row>
    <row r="17380" spans="1:16" x14ac:dyDescent="0.25">
      <c r="A17380" t="str">
        <f>"1260046J00115    00"</f>
        <v>1260046J00115    00</v>
      </c>
      <c r="B17380" t="s">
        <v>12981</v>
      </c>
      <c r="C17380" t="s">
        <v>37880</v>
      </c>
      <c r="D17380" t="s">
        <v>20</v>
      </c>
      <c r="E17380" t="s">
        <v>39</v>
      </c>
      <c r="F17380">
        <v>0</v>
      </c>
      <c r="G17380">
        <v>0</v>
      </c>
      <c r="H17380">
        <v>17</v>
      </c>
      <c r="I17380" s="3">
        <v>4222.13</v>
      </c>
      <c r="J17380" s="3">
        <v>2366.04</v>
      </c>
      <c r="L17380">
        <v>600</v>
      </c>
      <c r="M17380" t="s">
        <v>7842</v>
      </c>
      <c r="N17380" t="s">
        <v>12982</v>
      </c>
      <c r="O17380" t="s">
        <v>200</v>
      </c>
      <c r="P17380" t="str">
        <f>"11572"</f>
        <v>11572</v>
      </c>
    </row>
    <row r="17381" spans="1:16" x14ac:dyDescent="0.25">
      <c r="A17381" t="str">
        <f>"1260046J00118    00"</f>
        <v>1260046J00118    00</v>
      </c>
      <c r="B17381" t="s">
        <v>37885</v>
      </c>
      <c r="C17381" t="s">
        <v>37880</v>
      </c>
      <c r="D17381" t="s">
        <v>20</v>
      </c>
      <c r="E17381" t="s">
        <v>39</v>
      </c>
      <c r="F17381">
        <v>0</v>
      </c>
      <c r="G17381">
        <v>0</v>
      </c>
      <c r="H17381">
        <v>18</v>
      </c>
      <c r="I17381" s="3">
        <v>3752.62</v>
      </c>
      <c r="J17381" s="3">
        <v>3100.27</v>
      </c>
      <c r="L17381">
        <v>1011</v>
      </c>
      <c r="M17381" t="s">
        <v>4776</v>
      </c>
      <c r="N17381" t="s">
        <v>30</v>
      </c>
      <c r="O17381" t="s">
        <v>31</v>
      </c>
      <c r="P17381" t="str">
        <f>"15212"</f>
        <v>15212</v>
      </c>
    </row>
    <row r="17382" spans="1:16" x14ac:dyDescent="0.25">
      <c r="A17382" t="str">
        <f>"1260046J00123    00"</f>
        <v>1260046J00123    00</v>
      </c>
      <c r="B17382" t="s">
        <v>37886</v>
      </c>
      <c r="C17382" t="s">
        <v>37880</v>
      </c>
      <c r="D17382" t="s">
        <v>20</v>
      </c>
      <c r="E17382" t="s">
        <v>39</v>
      </c>
      <c r="F17382">
        <v>0</v>
      </c>
      <c r="G17382">
        <v>0</v>
      </c>
      <c r="H17382">
        <v>19</v>
      </c>
      <c r="I17382" s="3">
        <v>1102.58</v>
      </c>
      <c r="J17382" s="3">
        <v>987.78</v>
      </c>
      <c r="K17382" t="s">
        <v>1008</v>
      </c>
      <c r="P17382" t="str">
        <f>""</f>
        <v/>
      </c>
    </row>
    <row r="17383" spans="1:16" x14ac:dyDescent="0.25">
      <c r="A17383" t="str">
        <f>"1260046J00125A   00"</f>
        <v>1260046J00125A   00</v>
      </c>
      <c r="B17383" t="s">
        <v>37887</v>
      </c>
      <c r="C17383" t="s">
        <v>37888</v>
      </c>
      <c r="D17383" t="s">
        <v>20</v>
      </c>
      <c r="E17383" t="s">
        <v>39</v>
      </c>
      <c r="F17383">
        <v>0</v>
      </c>
      <c r="G17383">
        <v>0</v>
      </c>
      <c r="H17383">
        <v>18</v>
      </c>
      <c r="I17383" s="3">
        <v>8503.92</v>
      </c>
      <c r="J17383" s="3">
        <v>8188.14</v>
      </c>
      <c r="L17383">
        <v>121</v>
      </c>
      <c r="M17383" t="s">
        <v>35682</v>
      </c>
      <c r="N17383" t="s">
        <v>30</v>
      </c>
      <c r="O17383" t="s">
        <v>31</v>
      </c>
      <c r="P17383" t="str">
        <f>"15214"</f>
        <v>15214</v>
      </c>
    </row>
    <row r="17384" spans="1:16" x14ac:dyDescent="0.25">
      <c r="A17384" t="str">
        <f>"1260046J00126    00"</f>
        <v>1260046J00126    00</v>
      </c>
      <c r="B17384" t="s">
        <v>37889</v>
      </c>
      <c r="C17384" t="s">
        <v>37890</v>
      </c>
      <c r="D17384" t="s">
        <v>20</v>
      </c>
      <c r="E17384" t="s">
        <v>39</v>
      </c>
      <c r="F17384">
        <v>0</v>
      </c>
      <c r="G17384">
        <v>0</v>
      </c>
      <c r="H17384">
        <v>1</v>
      </c>
      <c r="I17384" s="3">
        <v>174.44</v>
      </c>
      <c r="J17384" s="3">
        <v>0</v>
      </c>
      <c r="L17384">
        <v>513</v>
      </c>
      <c r="M17384" t="s">
        <v>26459</v>
      </c>
      <c r="N17384" t="s">
        <v>30</v>
      </c>
      <c r="O17384" t="s">
        <v>31</v>
      </c>
      <c r="P17384" t="str">
        <f>"15214"</f>
        <v>15214</v>
      </c>
    </row>
    <row r="17385" spans="1:16" x14ac:dyDescent="0.25">
      <c r="A17385" t="str">
        <f>"1260046J00126A   00"</f>
        <v>1260046J00126A   00</v>
      </c>
      <c r="B17385" t="s">
        <v>37891</v>
      </c>
      <c r="C17385" t="s">
        <v>37880</v>
      </c>
      <c r="D17385" t="s">
        <v>20</v>
      </c>
      <c r="E17385" t="s">
        <v>39</v>
      </c>
      <c r="F17385">
        <v>0</v>
      </c>
      <c r="G17385">
        <v>0</v>
      </c>
      <c r="H17385">
        <v>17</v>
      </c>
      <c r="I17385" s="3">
        <v>3285.42</v>
      </c>
      <c r="J17385" s="3">
        <v>4794.24</v>
      </c>
      <c r="K17385" t="s">
        <v>37892</v>
      </c>
      <c r="L17385">
        <v>515</v>
      </c>
      <c r="M17385" t="s">
        <v>37893</v>
      </c>
      <c r="N17385" t="s">
        <v>30</v>
      </c>
      <c r="O17385" t="s">
        <v>31</v>
      </c>
      <c r="P17385" t="str">
        <f>"15214"</f>
        <v>15214</v>
      </c>
    </row>
    <row r="17386" spans="1:16" x14ac:dyDescent="0.25">
      <c r="A17386" t="str">
        <f>"1260046J00137    00"</f>
        <v>1260046J00137    00</v>
      </c>
      <c r="B17386" t="s">
        <v>37894</v>
      </c>
      <c r="C17386" t="s">
        <v>37895</v>
      </c>
      <c r="E17386" t="s">
        <v>39</v>
      </c>
      <c r="F17386">
        <v>0</v>
      </c>
      <c r="G17386">
        <v>0</v>
      </c>
      <c r="H17386">
        <v>1</v>
      </c>
      <c r="I17386" s="3">
        <v>195.58</v>
      </c>
      <c r="J17386" s="3">
        <v>0</v>
      </c>
      <c r="L17386">
        <v>2247</v>
      </c>
      <c r="M17386" t="s">
        <v>36886</v>
      </c>
      <c r="N17386" t="s">
        <v>30</v>
      </c>
      <c r="O17386" t="s">
        <v>31</v>
      </c>
      <c r="P17386" t="str">
        <f>"15214"</f>
        <v>15214</v>
      </c>
    </row>
    <row r="17387" spans="1:16" x14ac:dyDescent="0.25">
      <c r="A17387" t="str">
        <f>"1260046J00139    00"</f>
        <v>1260046J00139    00</v>
      </c>
      <c r="B17387" t="s">
        <v>3051</v>
      </c>
      <c r="C17387" t="s">
        <v>36897</v>
      </c>
      <c r="D17387" t="s">
        <v>20</v>
      </c>
      <c r="E17387" t="s">
        <v>39</v>
      </c>
      <c r="F17387">
        <v>0</v>
      </c>
      <c r="G17387">
        <v>0</v>
      </c>
      <c r="H17387">
        <v>19</v>
      </c>
      <c r="I17387" s="3">
        <v>3686.66</v>
      </c>
      <c r="J17387" s="3">
        <v>2412.9699999999998</v>
      </c>
      <c r="K17387" t="s">
        <v>12868</v>
      </c>
      <c r="L17387">
        <v>1000</v>
      </c>
      <c r="M17387" t="s">
        <v>614</v>
      </c>
      <c r="N17387" t="s">
        <v>30</v>
      </c>
      <c r="O17387" t="s">
        <v>31</v>
      </c>
      <c r="P17387" t="str">
        <f>"15222"</f>
        <v>15222</v>
      </c>
    </row>
    <row r="17388" spans="1:16" x14ac:dyDescent="0.25">
      <c r="A17388" t="str">
        <f>"1260046J00145    00"</f>
        <v>1260046J00145    00</v>
      </c>
      <c r="B17388" t="s">
        <v>37896</v>
      </c>
      <c r="C17388" t="s">
        <v>36836</v>
      </c>
      <c r="D17388" t="s">
        <v>20</v>
      </c>
      <c r="E17388" t="s">
        <v>39</v>
      </c>
      <c r="F17388">
        <v>0</v>
      </c>
      <c r="G17388">
        <v>0</v>
      </c>
      <c r="H17388">
        <v>19</v>
      </c>
      <c r="I17388" s="3">
        <v>4489.5600000000004</v>
      </c>
      <c r="J17388" s="3">
        <v>2925.49</v>
      </c>
      <c r="P17388" t="str">
        <f>""</f>
        <v/>
      </c>
    </row>
    <row r="17389" spans="1:16" x14ac:dyDescent="0.25">
      <c r="A17389" t="str">
        <f>"1260046J00146    00"</f>
        <v>1260046J00146    00</v>
      </c>
      <c r="B17389" t="s">
        <v>37897</v>
      </c>
      <c r="C17389" t="s">
        <v>37898</v>
      </c>
      <c r="D17389" t="s">
        <v>20</v>
      </c>
      <c r="E17389" t="s">
        <v>39</v>
      </c>
      <c r="F17389">
        <v>0</v>
      </c>
      <c r="G17389">
        <v>0</v>
      </c>
      <c r="H17389">
        <v>12</v>
      </c>
      <c r="I17389" s="3">
        <v>7196.04</v>
      </c>
      <c r="J17389" s="3">
        <v>3785.2</v>
      </c>
      <c r="K17389" t="s">
        <v>37899</v>
      </c>
      <c r="N17389" t="s">
        <v>37900</v>
      </c>
      <c r="P17389" t="str">
        <f>""</f>
        <v/>
      </c>
    </row>
    <row r="17390" spans="1:16" x14ac:dyDescent="0.25">
      <c r="A17390" t="str">
        <f>"1260046J00147    00"</f>
        <v>1260046J00147    00</v>
      </c>
      <c r="B17390" t="s">
        <v>37901</v>
      </c>
      <c r="C17390" t="s">
        <v>37902</v>
      </c>
      <c r="E17390" t="s">
        <v>39</v>
      </c>
      <c r="F17390">
        <v>0</v>
      </c>
      <c r="G17390">
        <v>0</v>
      </c>
      <c r="H17390">
        <v>2</v>
      </c>
      <c r="I17390" s="3">
        <v>15.82</v>
      </c>
      <c r="J17390" s="3">
        <v>4.2300000000000004</v>
      </c>
      <c r="L17390">
        <v>416</v>
      </c>
      <c r="M17390" t="s">
        <v>36831</v>
      </c>
      <c r="N17390" t="s">
        <v>30</v>
      </c>
      <c r="O17390" t="s">
        <v>31</v>
      </c>
      <c r="P17390" t="str">
        <f>"15214"</f>
        <v>15214</v>
      </c>
    </row>
    <row r="17391" spans="1:16" x14ac:dyDescent="0.25">
      <c r="A17391" t="str">
        <f>"1260046J00162    00"</f>
        <v>1260046J00162    00</v>
      </c>
      <c r="B17391" t="s">
        <v>37903</v>
      </c>
      <c r="C17391" t="s">
        <v>36836</v>
      </c>
      <c r="D17391" t="s">
        <v>20</v>
      </c>
      <c r="E17391" t="s">
        <v>39</v>
      </c>
      <c r="F17391">
        <v>0</v>
      </c>
      <c r="G17391">
        <v>0</v>
      </c>
      <c r="H17391">
        <v>17</v>
      </c>
      <c r="I17391" s="3">
        <v>449.56</v>
      </c>
      <c r="J17391" s="3">
        <v>598.51</v>
      </c>
      <c r="K17391" t="s">
        <v>37904</v>
      </c>
      <c r="L17391">
        <v>1801</v>
      </c>
      <c r="M17391" t="s">
        <v>37905</v>
      </c>
      <c r="N17391" t="s">
        <v>526</v>
      </c>
      <c r="O17391" t="s">
        <v>527</v>
      </c>
      <c r="P17391" t="str">
        <f>"20009"</f>
        <v>20009</v>
      </c>
    </row>
    <row r="17392" spans="1:16" x14ac:dyDescent="0.25">
      <c r="A17392" t="str">
        <f>"1260046J00163    00"</f>
        <v>1260046J00163    00</v>
      </c>
      <c r="B17392" t="s">
        <v>37906</v>
      </c>
      <c r="C17392" t="s">
        <v>37907</v>
      </c>
      <c r="D17392" t="s">
        <v>20</v>
      </c>
      <c r="E17392" t="s">
        <v>39</v>
      </c>
      <c r="F17392">
        <v>0</v>
      </c>
      <c r="G17392">
        <v>0</v>
      </c>
      <c r="H17392">
        <v>2</v>
      </c>
      <c r="I17392" s="3">
        <v>596.72</v>
      </c>
      <c r="J17392" s="3">
        <v>19.989999999999998</v>
      </c>
      <c r="L17392">
        <v>526</v>
      </c>
      <c r="M17392" t="s">
        <v>36831</v>
      </c>
      <c r="N17392" t="s">
        <v>30</v>
      </c>
      <c r="O17392" t="s">
        <v>31</v>
      </c>
      <c r="P17392" t="str">
        <f>"15214"</f>
        <v>15214</v>
      </c>
    </row>
    <row r="17393" spans="1:16" x14ac:dyDescent="0.25">
      <c r="A17393" t="str">
        <f>"1260046J00184    00"</f>
        <v>1260046J00184    00</v>
      </c>
      <c r="B17393" t="s">
        <v>37908</v>
      </c>
      <c r="C17393" t="s">
        <v>37909</v>
      </c>
      <c r="D17393" t="s">
        <v>20</v>
      </c>
      <c r="E17393" t="s">
        <v>39</v>
      </c>
      <c r="F17393">
        <v>0</v>
      </c>
      <c r="G17393">
        <v>0</v>
      </c>
      <c r="H17393">
        <v>2</v>
      </c>
      <c r="I17393" s="3">
        <v>1357.08</v>
      </c>
      <c r="J17393" s="3">
        <v>0</v>
      </c>
      <c r="L17393">
        <v>528</v>
      </c>
      <c r="M17393" t="s">
        <v>26459</v>
      </c>
      <c r="N17393" t="s">
        <v>30</v>
      </c>
      <c r="O17393" t="s">
        <v>31</v>
      </c>
      <c r="P17393" t="str">
        <f>"15214"</f>
        <v>15214</v>
      </c>
    </row>
    <row r="17394" spans="1:16" x14ac:dyDescent="0.25">
      <c r="A17394" t="str">
        <f>"1260046J00185    00"</f>
        <v>1260046J00185    00</v>
      </c>
      <c r="B17394" t="s">
        <v>37910</v>
      </c>
      <c r="C17394" t="s">
        <v>37911</v>
      </c>
      <c r="D17394" t="s">
        <v>20</v>
      </c>
      <c r="E17394" t="s">
        <v>39</v>
      </c>
      <c r="F17394">
        <v>0</v>
      </c>
      <c r="G17394">
        <v>0</v>
      </c>
      <c r="H17394">
        <v>4</v>
      </c>
      <c r="I17394" s="3">
        <v>2053.42</v>
      </c>
      <c r="J17394" s="3">
        <v>141.05000000000001</v>
      </c>
      <c r="L17394">
        <v>2218</v>
      </c>
      <c r="M17394" t="s">
        <v>36886</v>
      </c>
      <c r="N17394" t="s">
        <v>30</v>
      </c>
      <c r="O17394" t="s">
        <v>31</v>
      </c>
      <c r="P17394" t="str">
        <f>"15214"</f>
        <v>15214</v>
      </c>
    </row>
    <row r="17395" spans="1:16" x14ac:dyDescent="0.25">
      <c r="A17395" t="str">
        <f>"1260046J00206    00"</f>
        <v>1260046J00206    00</v>
      </c>
      <c r="B17395" t="s">
        <v>37912</v>
      </c>
      <c r="C17395" t="s">
        <v>37913</v>
      </c>
      <c r="D17395" t="s">
        <v>20</v>
      </c>
      <c r="E17395" t="s">
        <v>39</v>
      </c>
      <c r="F17395">
        <v>0</v>
      </c>
      <c r="G17395">
        <v>0</v>
      </c>
      <c r="H17395">
        <v>17</v>
      </c>
      <c r="I17395" s="3">
        <v>392.57</v>
      </c>
      <c r="J17395" s="3">
        <v>520.92999999999995</v>
      </c>
      <c r="L17395">
        <v>2235</v>
      </c>
      <c r="M17395" t="s">
        <v>8008</v>
      </c>
      <c r="N17395" t="s">
        <v>30</v>
      </c>
      <c r="O17395" t="s">
        <v>31</v>
      </c>
      <c r="P17395" t="str">
        <f>"15214"</f>
        <v>15214</v>
      </c>
    </row>
    <row r="17396" spans="1:16" x14ac:dyDescent="0.25">
      <c r="A17396" t="str">
        <f>"1260046J00237    00"</f>
        <v>1260046J00237    00</v>
      </c>
      <c r="B17396" t="s">
        <v>37914</v>
      </c>
      <c r="C17396" t="s">
        <v>37915</v>
      </c>
      <c r="D17396" t="s">
        <v>20</v>
      </c>
      <c r="E17396" t="s">
        <v>39</v>
      </c>
      <c r="F17396">
        <v>0</v>
      </c>
      <c r="G17396">
        <v>0</v>
      </c>
      <c r="H17396">
        <v>3</v>
      </c>
      <c r="I17396" s="3">
        <v>1297.54</v>
      </c>
      <c r="J17396" s="3">
        <v>85.69</v>
      </c>
      <c r="L17396">
        <v>316</v>
      </c>
      <c r="M17396" t="s">
        <v>26459</v>
      </c>
      <c r="N17396" t="s">
        <v>30</v>
      </c>
      <c r="O17396" t="s">
        <v>31</v>
      </c>
      <c r="P17396" t="str">
        <f>"15214"</f>
        <v>15214</v>
      </c>
    </row>
    <row r="17397" spans="1:16" x14ac:dyDescent="0.25">
      <c r="A17397" t="str">
        <f>"1260046J00241    00"</f>
        <v>1260046J00241    00</v>
      </c>
      <c r="B17397" t="s">
        <v>33865</v>
      </c>
      <c r="C17397" t="s">
        <v>37916</v>
      </c>
      <c r="E17397" t="s">
        <v>39</v>
      </c>
      <c r="F17397">
        <v>0</v>
      </c>
      <c r="G17397">
        <v>0</v>
      </c>
      <c r="H17397">
        <v>16</v>
      </c>
      <c r="I17397" s="3">
        <v>18243.05</v>
      </c>
      <c r="J17397" s="3">
        <v>19562.28</v>
      </c>
      <c r="L17397">
        <v>1723</v>
      </c>
      <c r="M17397" t="s">
        <v>12028</v>
      </c>
      <c r="N17397" t="s">
        <v>30</v>
      </c>
      <c r="O17397" t="s">
        <v>31</v>
      </c>
      <c r="P17397" t="str">
        <f>"15221"</f>
        <v>15221</v>
      </c>
    </row>
    <row r="17398" spans="1:16" x14ac:dyDescent="0.25">
      <c r="A17398" t="str">
        <f>"1260046J00242    00"</f>
        <v>1260046J00242    00</v>
      </c>
      <c r="B17398" t="s">
        <v>37917</v>
      </c>
      <c r="C17398" t="s">
        <v>37880</v>
      </c>
      <c r="D17398" t="s">
        <v>20</v>
      </c>
      <c r="E17398" t="s">
        <v>39</v>
      </c>
      <c r="F17398">
        <v>0</v>
      </c>
      <c r="G17398">
        <v>0</v>
      </c>
      <c r="H17398">
        <v>19</v>
      </c>
      <c r="I17398" s="3">
        <v>7722.71</v>
      </c>
      <c r="J17398" s="3">
        <v>8607.74</v>
      </c>
      <c r="P17398" t="str">
        <f>""</f>
        <v/>
      </c>
    </row>
    <row r="17399" spans="1:16" x14ac:dyDescent="0.25">
      <c r="A17399" t="str">
        <f>"1260046J00248    00"</f>
        <v>1260046J00248    00</v>
      </c>
      <c r="B17399" t="s">
        <v>37918</v>
      </c>
      <c r="C17399" t="s">
        <v>37919</v>
      </c>
      <c r="E17399" t="s">
        <v>39</v>
      </c>
      <c r="F17399">
        <v>0</v>
      </c>
      <c r="G17399">
        <v>0</v>
      </c>
      <c r="H17399">
        <v>9</v>
      </c>
      <c r="I17399" s="3">
        <v>6390.05</v>
      </c>
      <c r="J17399" s="3">
        <v>748.92</v>
      </c>
      <c r="L17399">
        <v>727</v>
      </c>
      <c r="M17399" t="s">
        <v>17413</v>
      </c>
      <c r="N17399" t="s">
        <v>30</v>
      </c>
      <c r="O17399" t="s">
        <v>31</v>
      </c>
      <c r="P17399" t="str">
        <f>"15221"</f>
        <v>15221</v>
      </c>
    </row>
    <row r="17400" spans="1:16" x14ac:dyDescent="0.25">
      <c r="A17400" t="str">
        <f>"1260046J00249    00"</f>
        <v>1260046J00249    00</v>
      </c>
      <c r="B17400" t="s">
        <v>37920</v>
      </c>
      <c r="C17400" t="s">
        <v>37921</v>
      </c>
      <c r="D17400" t="s">
        <v>20</v>
      </c>
      <c r="E17400" t="s">
        <v>39</v>
      </c>
      <c r="F17400">
        <v>0</v>
      </c>
      <c r="G17400">
        <v>0</v>
      </c>
      <c r="H17400">
        <v>8</v>
      </c>
      <c r="I17400" s="3">
        <v>5611.81</v>
      </c>
      <c r="J17400" s="3">
        <v>985.86</v>
      </c>
      <c r="K17400" t="s">
        <v>5861</v>
      </c>
      <c r="L17400">
        <v>3001</v>
      </c>
      <c r="M17400" t="s">
        <v>330</v>
      </c>
      <c r="N17400" t="s">
        <v>331</v>
      </c>
      <c r="O17400" t="s">
        <v>108</v>
      </c>
      <c r="P17400" t="str">
        <f>"75063"</f>
        <v>75063</v>
      </c>
    </row>
    <row r="17401" spans="1:16" x14ac:dyDescent="0.25">
      <c r="A17401" t="str">
        <f>"1260046J00250    00"</f>
        <v>1260046J00250    00</v>
      </c>
      <c r="B17401" t="s">
        <v>37922</v>
      </c>
      <c r="C17401" t="s">
        <v>37923</v>
      </c>
      <c r="D17401" t="s">
        <v>20</v>
      </c>
      <c r="E17401" t="s">
        <v>39</v>
      </c>
      <c r="F17401">
        <v>0</v>
      </c>
      <c r="G17401">
        <v>0</v>
      </c>
      <c r="H17401">
        <v>7</v>
      </c>
      <c r="I17401" s="3">
        <v>6535.87</v>
      </c>
      <c r="J17401" s="3">
        <v>2662.59</v>
      </c>
      <c r="L17401">
        <v>2134</v>
      </c>
      <c r="M17401" t="s">
        <v>37924</v>
      </c>
      <c r="N17401" t="s">
        <v>30</v>
      </c>
      <c r="O17401" t="s">
        <v>31</v>
      </c>
      <c r="P17401" t="str">
        <f>"15212"</f>
        <v>15212</v>
      </c>
    </row>
    <row r="17402" spans="1:16" x14ac:dyDescent="0.25">
      <c r="A17402" t="str">
        <f>"1260046J00251    00"</f>
        <v>1260046J00251    00</v>
      </c>
      <c r="B17402" t="s">
        <v>37925</v>
      </c>
      <c r="C17402" t="s">
        <v>37926</v>
      </c>
      <c r="E17402" t="s">
        <v>39</v>
      </c>
      <c r="F17402">
        <v>0</v>
      </c>
      <c r="G17402">
        <v>0</v>
      </c>
      <c r="H17402">
        <v>7</v>
      </c>
      <c r="I17402" s="3">
        <v>6666.66</v>
      </c>
      <c r="J17402" s="3">
        <v>6314.65</v>
      </c>
      <c r="K17402" t="s">
        <v>37927</v>
      </c>
      <c r="L17402">
        <v>1670</v>
      </c>
      <c r="M17402" t="s">
        <v>37928</v>
      </c>
      <c r="N17402" t="s">
        <v>295</v>
      </c>
      <c r="O17402" t="s">
        <v>31</v>
      </c>
      <c r="P17402" t="str">
        <f>"15146"</f>
        <v>15146</v>
      </c>
    </row>
    <row r="17403" spans="1:16" x14ac:dyDescent="0.25">
      <c r="A17403" t="str">
        <f>"1260046J00253    00"</f>
        <v>1260046J00253    00</v>
      </c>
      <c r="B17403" t="s">
        <v>37929</v>
      </c>
      <c r="C17403" t="s">
        <v>37930</v>
      </c>
      <c r="D17403" t="s">
        <v>20</v>
      </c>
      <c r="E17403" t="s">
        <v>39</v>
      </c>
      <c r="F17403">
        <v>0</v>
      </c>
      <c r="G17403">
        <v>0</v>
      </c>
      <c r="H17403">
        <v>19</v>
      </c>
      <c r="I17403" s="3">
        <v>1525.19</v>
      </c>
      <c r="J17403" s="3">
        <v>1256.1600000000001</v>
      </c>
      <c r="K17403" t="s">
        <v>1037</v>
      </c>
      <c r="L17403">
        <v>313</v>
      </c>
      <c r="M17403" t="s">
        <v>37931</v>
      </c>
      <c r="N17403" t="s">
        <v>30</v>
      </c>
      <c r="O17403" t="s">
        <v>31</v>
      </c>
      <c r="P17403" t="str">
        <f>"15214"</f>
        <v>15214</v>
      </c>
    </row>
    <row r="17404" spans="1:16" x14ac:dyDescent="0.25">
      <c r="A17404" t="str">
        <f>"1260046J00254    00"</f>
        <v>1260046J00254    00</v>
      </c>
      <c r="B17404" t="s">
        <v>37932</v>
      </c>
      <c r="C17404" t="s">
        <v>37933</v>
      </c>
      <c r="D17404" t="s">
        <v>20</v>
      </c>
      <c r="E17404" t="s">
        <v>39</v>
      </c>
      <c r="F17404">
        <v>0</v>
      </c>
      <c r="G17404">
        <v>0</v>
      </c>
      <c r="H17404">
        <v>1</v>
      </c>
      <c r="I17404" s="3">
        <v>1082.6099999999999</v>
      </c>
      <c r="J17404" s="3">
        <v>0</v>
      </c>
      <c r="L17404">
        <v>3761</v>
      </c>
      <c r="M17404" t="s">
        <v>37934</v>
      </c>
      <c r="N17404" t="s">
        <v>30</v>
      </c>
      <c r="O17404" t="s">
        <v>31</v>
      </c>
      <c r="P17404" t="str">
        <f>"15214"</f>
        <v>15214</v>
      </c>
    </row>
    <row r="17405" spans="1:16" x14ac:dyDescent="0.25">
      <c r="A17405" t="str">
        <f>"1260046J00255    00"</f>
        <v>1260046J00255    00</v>
      </c>
      <c r="B17405" t="s">
        <v>37935</v>
      </c>
      <c r="C17405" t="s">
        <v>37930</v>
      </c>
      <c r="D17405" t="s">
        <v>20</v>
      </c>
      <c r="E17405" t="s">
        <v>39</v>
      </c>
      <c r="F17405">
        <v>0</v>
      </c>
      <c r="G17405">
        <v>0</v>
      </c>
      <c r="H17405">
        <v>19</v>
      </c>
      <c r="I17405" s="3">
        <v>1569.09</v>
      </c>
      <c r="J17405" s="3">
        <v>1279.3599999999999</v>
      </c>
      <c r="L17405">
        <v>560</v>
      </c>
      <c r="M17405" t="s">
        <v>37936</v>
      </c>
      <c r="N17405" t="s">
        <v>295</v>
      </c>
      <c r="O17405" t="s">
        <v>31</v>
      </c>
      <c r="P17405" t="str">
        <f>"15146"</f>
        <v>15146</v>
      </c>
    </row>
    <row r="17406" spans="1:16" x14ac:dyDescent="0.25">
      <c r="A17406" t="str">
        <f>"1260046J00256    00"</f>
        <v>1260046J00256    00</v>
      </c>
      <c r="B17406" t="s">
        <v>25271</v>
      </c>
      <c r="C17406" t="s">
        <v>37937</v>
      </c>
      <c r="D17406" t="s">
        <v>20</v>
      </c>
      <c r="E17406" t="s">
        <v>39</v>
      </c>
      <c r="F17406">
        <v>0</v>
      </c>
      <c r="G17406">
        <v>0</v>
      </c>
      <c r="H17406">
        <v>1</v>
      </c>
      <c r="I17406" s="3">
        <v>1052.1099999999999</v>
      </c>
      <c r="J17406" s="3">
        <v>0</v>
      </c>
      <c r="K17406" t="s">
        <v>25273</v>
      </c>
      <c r="L17406">
        <v>138</v>
      </c>
      <c r="M17406" t="s">
        <v>37938</v>
      </c>
      <c r="N17406" t="s">
        <v>1928</v>
      </c>
      <c r="O17406" t="s">
        <v>31</v>
      </c>
      <c r="P17406" t="str">
        <f>"15317"</f>
        <v>15317</v>
      </c>
    </row>
    <row r="17407" spans="1:16" x14ac:dyDescent="0.25">
      <c r="A17407" t="str">
        <f>"1260046J00260    00"</f>
        <v>1260046J00260    00</v>
      </c>
      <c r="B17407" t="s">
        <v>37939</v>
      </c>
      <c r="C17407" t="s">
        <v>37930</v>
      </c>
      <c r="D17407" t="s">
        <v>20</v>
      </c>
      <c r="E17407" t="s">
        <v>39</v>
      </c>
      <c r="F17407">
        <v>0</v>
      </c>
      <c r="G17407">
        <v>0</v>
      </c>
      <c r="H17407">
        <v>19</v>
      </c>
      <c r="I17407" s="3">
        <v>1431.85</v>
      </c>
      <c r="J17407" s="3">
        <v>1146.43</v>
      </c>
      <c r="M17407" t="s">
        <v>37940</v>
      </c>
      <c r="N17407" t="s">
        <v>30</v>
      </c>
      <c r="O17407" t="s">
        <v>31</v>
      </c>
      <c r="P17407" t="str">
        <f>"15233"</f>
        <v>15233</v>
      </c>
    </row>
    <row r="17408" spans="1:16" x14ac:dyDescent="0.25">
      <c r="A17408" t="str">
        <f>"1260046J00261    00"</f>
        <v>1260046J00261    00</v>
      </c>
      <c r="B17408" t="s">
        <v>37941</v>
      </c>
      <c r="C17408" t="s">
        <v>37930</v>
      </c>
      <c r="D17408" t="s">
        <v>20</v>
      </c>
      <c r="E17408" t="s">
        <v>39</v>
      </c>
      <c r="F17408">
        <v>0</v>
      </c>
      <c r="G17408">
        <v>0</v>
      </c>
      <c r="H17408">
        <v>17</v>
      </c>
      <c r="I17408" s="3">
        <v>9309.17</v>
      </c>
      <c r="J17408" s="3">
        <v>11145.33</v>
      </c>
      <c r="M17408" t="s">
        <v>37940</v>
      </c>
      <c r="N17408" t="s">
        <v>30</v>
      </c>
      <c r="O17408" t="s">
        <v>31</v>
      </c>
      <c r="P17408" t="str">
        <f>"15233"</f>
        <v>15233</v>
      </c>
    </row>
    <row r="17409" spans="1:16" x14ac:dyDescent="0.25">
      <c r="A17409" t="str">
        <f>"1260046J00263    00"</f>
        <v>1260046J00263    00</v>
      </c>
      <c r="B17409" t="s">
        <v>37942</v>
      </c>
      <c r="C17409" t="s">
        <v>37943</v>
      </c>
      <c r="D17409" t="s">
        <v>20</v>
      </c>
      <c r="E17409" t="s">
        <v>39</v>
      </c>
      <c r="F17409">
        <v>0</v>
      </c>
      <c r="G17409">
        <v>0</v>
      </c>
      <c r="H17409">
        <v>5</v>
      </c>
      <c r="I17409" s="3">
        <v>2186.42</v>
      </c>
      <c r="J17409" s="3">
        <v>309.55</v>
      </c>
      <c r="L17409">
        <v>1231</v>
      </c>
      <c r="M17409" t="s">
        <v>33638</v>
      </c>
      <c r="N17409" t="s">
        <v>30</v>
      </c>
      <c r="O17409" t="s">
        <v>31</v>
      </c>
      <c r="P17409" t="str">
        <f>"15212"</f>
        <v>15212</v>
      </c>
    </row>
    <row r="17410" spans="1:16" x14ac:dyDescent="0.25">
      <c r="A17410" t="str">
        <f>"1260046J00265    00"</f>
        <v>1260046J00265    00</v>
      </c>
      <c r="B17410" t="s">
        <v>37944</v>
      </c>
      <c r="C17410" t="s">
        <v>37930</v>
      </c>
      <c r="D17410" t="s">
        <v>20</v>
      </c>
      <c r="E17410" t="s">
        <v>39</v>
      </c>
      <c r="F17410">
        <v>0</v>
      </c>
      <c r="G17410">
        <v>0</v>
      </c>
      <c r="H17410">
        <v>19</v>
      </c>
      <c r="I17410" s="3">
        <v>1067.23</v>
      </c>
      <c r="J17410" s="3">
        <v>641.85</v>
      </c>
      <c r="L17410">
        <v>3291</v>
      </c>
      <c r="M17410" t="s">
        <v>37945</v>
      </c>
      <c r="N17410" t="s">
        <v>546</v>
      </c>
      <c r="O17410" t="s">
        <v>31</v>
      </c>
      <c r="P17410" t="str">
        <f>"15044"</f>
        <v>15044</v>
      </c>
    </row>
    <row r="17411" spans="1:16" x14ac:dyDescent="0.25">
      <c r="A17411" t="str">
        <f>"1260046J00266    00"</f>
        <v>1260046J00266    00</v>
      </c>
      <c r="B17411" t="s">
        <v>37946</v>
      </c>
      <c r="C17411" t="s">
        <v>37930</v>
      </c>
      <c r="D17411" t="s">
        <v>20</v>
      </c>
      <c r="E17411" t="s">
        <v>39</v>
      </c>
      <c r="F17411">
        <v>0</v>
      </c>
      <c r="G17411">
        <v>0</v>
      </c>
      <c r="H17411">
        <v>19</v>
      </c>
      <c r="I17411" s="3">
        <v>1437.39</v>
      </c>
      <c r="J17411" s="3">
        <v>1209.74</v>
      </c>
      <c r="K17411" t="s">
        <v>37947</v>
      </c>
      <c r="L17411">
        <v>682</v>
      </c>
      <c r="M17411" t="s">
        <v>37948</v>
      </c>
      <c r="N17411" t="s">
        <v>541</v>
      </c>
      <c r="O17411" t="s">
        <v>31</v>
      </c>
      <c r="P17411" t="str">
        <f>"15071"</f>
        <v>15071</v>
      </c>
    </row>
    <row r="17412" spans="1:16" x14ac:dyDescent="0.25">
      <c r="A17412" t="str">
        <f>"1260046J00273A   00"</f>
        <v>1260046J00273A   00</v>
      </c>
      <c r="B17412" t="s">
        <v>37949</v>
      </c>
      <c r="C17412" t="s">
        <v>37283</v>
      </c>
      <c r="D17412" t="s">
        <v>20</v>
      </c>
      <c r="E17412" t="s">
        <v>39</v>
      </c>
      <c r="F17412">
        <v>0</v>
      </c>
      <c r="G17412">
        <v>0</v>
      </c>
      <c r="H17412">
        <v>19</v>
      </c>
      <c r="I17412" s="3">
        <v>7555.71</v>
      </c>
      <c r="J17412" s="3">
        <v>8683.36</v>
      </c>
      <c r="P17412" t="str">
        <f>""</f>
        <v/>
      </c>
    </row>
    <row r="17413" spans="1:16" x14ac:dyDescent="0.25">
      <c r="A17413" t="str">
        <f>"1260046J00274    00"</f>
        <v>1260046J00274    00</v>
      </c>
      <c r="B17413" t="s">
        <v>37950</v>
      </c>
      <c r="C17413" t="s">
        <v>37283</v>
      </c>
      <c r="D17413" t="s">
        <v>20</v>
      </c>
      <c r="E17413" t="s">
        <v>39</v>
      </c>
      <c r="F17413">
        <v>0</v>
      </c>
      <c r="G17413">
        <v>0</v>
      </c>
      <c r="H17413">
        <v>3</v>
      </c>
      <c r="I17413" s="3">
        <v>506.43</v>
      </c>
      <c r="J17413" s="3">
        <v>98</v>
      </c>
      <c r="L17413">
        <v>231</v>
      </c>
      <c r="M17413" t="s">
        <v>37290</v>
      </c>
      <c r="N17413" t="s">
        <v>30</v>
      </c>
      <c r="O17413" t="s">
        <v>31</v>
      </c>
      <c r="P17413" t="str">
        <f>"15214"</f>
        <v>15214</v>
      </c>
    </row>
    <row r="17414" spans="1:16" x14ac:dyDescent="0.25">
      <c r="A17414" t="str">
        <f>"1260046J00280    00"</f>
        <v>1260046J00280    00</v>
      </c>
      <c r="B17414" t="s">
        <v>37951</v>
      </c>
      <c r="C17414" t="s">
        <v>37952</v>
      </c>
      <c r="D17414" t="s">
        <v>20</v>
      </c>
      <c r="E17414" t="s">
        <v>39</v>
      </c>
      <c r="F17414">
        <v>0</v>
      </c>
      <c r="G17414">
        <v>0</v>
      </c>
      <c r="H17414">
        <v>19</v>
      </c>
      <c r="I17414" s="3">
        <v>16332.56</v>
      </c>
      <c r="J17414" s="3">
        <v>15575.99</v>
      </c>
      <c r="M17414" t="s">
        <v>37953</v>
      </c>
      <c r="N17414" t="s">
        <v>13876</v>
      </c>
      <c r="O17414" t="s">
        <v>31</v>
      </c>
      <c r="P17414" t="str">
        <f>"18302"</f>
        <v>18302</v>
      </c>
    </row>
    <row r="17415" spans="1:16" x14ac:dyDescent="0.25">
      <c r="A17415" t="str">
        <f>"1260046J00287    00"</f>
        <v>1260046J00287    00</v>
      </c>
      <c r="B17415" t="s">
        <v>37954</v>
      </c>
      <c r="C17415" t="s">
        <v>37955</v>
      </c>
      <c r="D17415" t="s">
        <v>20</v>
      </c>
      <c r="E17415" t="s">
        <v>39</v>
      </c>
      <c r="F17415">
        <v>0</v>
      </c>
      <c r="G17415">
        <v>0</v>
      </c>
      <c r="H17415">
        <v>12</v>
      </c>
      <c r="I17415" s="3">
        <v>6628.03</v>
      </c>
      <c r="J17415" s="3">
        <v>3622.06</v>
      </c>
      <c r="L17415">
        <v>212</v>
      </c>
      <c r="M17415" t="s">
        <v>26459</v>
      </c>
      <c r="N17415" t="s">
        <v>30</v>
      </c>
      <c r="O17415" t="s">
        <v>31</v>
      </c>
      <c r="P17415" t="str">
        <f>"15214"</f>
        <v>15214</v>
      </c>
    </row>
    <row r="17416" spans="1:16" x14ac:dyDescent="0.25">
      <c r="A17416" t="str">
        <f>"1260046J00288    00"</f>
        <v>1260046J00288    00</v>
      </c>
      <c r="B17416" t="s">
        <v>37956</v>
      </c>
      <c r="C17416" t="s">
        <v>37880</v>
      </c>
      <c r="D17416" t="s">
        <v>20</v>
      </c>
      <c r="E17416" t="s">
        <v>39</v>
      </c>
      <c r="F17416">
        <v>0</v>
      </c>
      <c r="G17416">
        <v>0</v>
      </c>
      <c r="H17416">
        <v>19</v>
      </c>
      <c r="I17416" s="3">
        <v>9019.11</v>
      </c>
      <c r="J17416" s="3">
        <v>10592.01</v>
      </c>
      <c r="K17416" t="s">
        <v>1008</v>
      </c>
      <c r="P17416" t="str">
        <f>""</f>
        <v/>
      </c>
    </row>
    <row r="17417" spans="1:16" x14ac:dyDescent="0.25">
      <c r="A17417" t="str">
        <f>"1260046J00292    00"</f>
        <v>1260046J00292    00</v>
      </c>
      <c r="B17417" t="s">
        <v>37957</v>
      </c>
      <c r="C17417" t="s">
        <v>37958</v>
      </c>
      <c r="D17417" t="s">
        <v>20</v>
      </c>
      <c r="E17417" t="s">
        <v>39</v>
      </c>
      <c r="F17417">
        <v>0</v>
      </c>
      <c r="G17417">
        <v>0</v>
      </c>
      <c r="H17417">
        <v>9</v>
      </c>
      <c r="I17417" s="3">
        <v>5762.95</v>
      </c>
      <c r="J17417" s="3">
        <v>5323.22</v>
      </c>
      <c r="L17417">
        <v>1820</v>
      </c>
      <c r="M17417" t="s">
        <v>37959</v>
      </c>
      <c r="N17417" t="s">
        <v>30</v>
      </c>
      <c r="O17417" t="s">
        <v>31</v>
      </c>
      <c r="P17417" t="str">
        <f>"15219"</f>
        <v>15219</v>
      </c>
    </row>
    <row r="17418" spans="1:16" x14ac:dyDescent="0.25">
      <c r="A17418" t="str">
        <f>"1260046J00295    00"</f>
        <v>1260046J00295    00</v>
      </c>
      <c r="B17418" t="s">
        <v>37960</v>
      </c>
      <c r="C17418" t="s">
        <v>37961</v>
      </c>
      <c r="D17418" t="s">
        <v>20</v>
      </c>
      <c r="E17418" t="s">
        <v>39</v>
      </c>
      <c r="F17418">
        <v>0</v>
      </c>
      <c r="G17418">
        <v>0</v>
      </c>
      <c r="H17418">
        <v>16</v>
      </c>
      <c r="I17418" s="3">
        <v>9347.0499999999993</v>
      </c>
      <c r="J17418" s="3">
        <v>9300.0400000000009</v>
      </c>
      <c r="L17418">
        <v>232</v>
      </c>
      <c r="M17418" t="s">
        <v>26459</v>
      </c>
      <c r="N17418" t="s">
        <v>30</v>
      </c>
      <c r="O17418" t="s">
        <v>31</v>
      </c>
      <c r="P17418" t="str">
        <f>"15214"</f>
        <v>15214</v>
      </c>
    </row>
    <row r="17419" spans="1:16" x14ac:dyDescent="0.25">
      <c r="A17419" t="str">
        <f>"1260046J00303    00"</f>
        <v>1260046J00303    00</v>
      </c>
      <c r="B17419" t="s">
        <v>37962</v>
      </c>
      <c r="C17419" t="s">
        <v>37963</v>
      </c>
      <c r="D17419" t="s">
        <v>20</v>
      </c>
      <c r="E17419" t="s">
        <v>39</v>
      </c>
      <c r="F17419">
        <v>0</v>
      </c>
      <c r="G17419">
        <v>0</v>
      </c>
      <c r="H17419">
        <v>17</v>
      </c>
      <c r="I17419" s="3">
        <v>12677.8</v>
      </c>
      <c r="J17419" s="3">
        <v>9542.33</v>
      </c>
      <c r="L17419">
        <v>2260</v>
      </c>
      <c r="M17419" t="s">
        <v>854</v>
      </c>
      <c r="N17419" t="s">
        <v>30</v>
      </c>
      <c r="O17419" t="s">
        <v>31</v>
      </c>
      <c r="P17419" t="str">
        <f>"15219"</f>
        <v>15219</v>
      </c>
    </row>
    <row r="17420" spans="1:16" x14ac:dyDescent="0.25">
      <c r="A17420" t="str">
        <f>"1260046J00306    00"</f>
        <v>1260046J00306    00</v>
      </c>
      <c r="B17420" t="s">
        <v>37964</v>
      </c>
      <c r="C17420" t="s">
        <v>37965</v>
      </c>
      <c r="D17420" t="s">
        <v>20</v>
      </c>
      <c r="E17420" t="s">
        <v>39</v>
      </c>
      <c r="F17420">
        <v>0</v>
      </c>
      <c r="G17420">
        <v>0</v>
      </c>
      <c r="H17420">
        <v>12</v>
      </c>
      <c r="I17420" s="3">
        <v>3825.54</v>
      </c>
      <c r="J17420" s="3">
        <v>2569.64</v>
      </c>
      <c r="K17420" t="s">
        <v>37966</v>
      </c>
      <c r="L17420">
        <v>2522</v>
      </c>
      <c r="M17420" t="s">
        <v>34518</v>
      </c>
      <c r="N17420" t="s">
        <v>30</v>
      </c>
      <c r="O17420" t="s">
        <v>31</v>
      </c>
      <c r="P17420" t="str">
        <f>"15214"</f>
        <v>15214</v>
      </c>
    </row>
    <row r="17421" spans="1:16" x14ac:dyDescent="0.25">
      <c r="A17421" t="str">
        <f>"1260046J00308    00"</f>
        <v>1260046J00308    00</v>
      </c>
      <c r="B17421" t="s">
        <v>37967</v>
      </c>
      <c r="C17421" t="s">
        <v>37880</v>
      </c>
      <c r="D17421" t="s">
        <v>20</v>
      </c>
      <c r="E17421" t="s">
        <v>39</v>
      </c>
      <c r="F17421">
        <v>0</v>
      </c>
      <c r="G17421">
        <v>0</v>
      </c>
      <c r="H17421">
        <v>13</v>
      </c>
      <c r="I17421" s="3">
        <v>3777.51</v>
      </c>
      <c r="J17421" s="3">
        <v>3511.04</v>
      </c>
      <c r="L17421">
        <v>219</v>
      </c>
      <c r="M17421" t="s">
        <v>26459</v>
      </c>
      <c r="N17421" t="s">
        <v>30</v>
      </c>
      <c r="O17421" t="s">
        <v>31</v>
      </c>
      <c r="P17421" t="str">
        <f>"15214"</f>
        <v>15214</v>
      </c>
    </row>
    <row r="17422" spans="1:16" x14ac:dyDescent="0.25">
      <c r="A17422" t="str">
        <f>"1260046J00312    00"</f>
        <v>1260046J00312    00</v>
      </c>
      <c r="B17422" t="s">
        <v>37968</v>
      </c>
      <c r="C17422" t="s">
        <v>37969</v>
      </c>
      <c r="D17422" t="s">
        <v>20</v>
      </c>
      <c r="E17422" t="s">
        <v>39</v>
      </c>
      <c r="F17422">
        <v>0</v>
      </c>
      <c r="G17422">
        <v>0</v>
      </c>
      <c r="H17422">
        <v>19</v>
      </c>
      <c r="I17422" s="3">
        <v>781.7</v>
      </c>
      <c r="J17422" s="3">
        <v>490.91</v>
      </c>
      <c r="L17422">
        <v>1211</v>
      </c>
      <c r="M17422" t="s">
        <v>3844</v>
      </c>
      <c r="N17422" t="s">
        <v>30</v>
      </c>
      <c r="O17422" t="s">
        <v>31</v>
      </c>
      <c r="P17422" t="str">
        <f>"15221"</f>
        <v>15221</v>
      </c>
    </row>
    <row r="17423" spans="1:16" x14ac:dyDescent="0.25">
      <c r="A17423" t="str">
        <f>"1260046J00313    00"</f>
        <v>1260046J00313    00</v>
      </c>
      <c r="B17423" t="s">
        <v>37970</v>
      </c>
      <c r="C17423" t="s">
        <v>37971</v>
      </c>
      <c r="D17423" t="s">
        <v>20</v>
      </c>
      <c r="E17423" t="s">
        <v>39</v>
      </c>
      <c r="F17423">
        <v>0</v>
      </c>
      <c r="G17423">
        <v>0</v>
      </c>
      <c r="H17423">
        <v>16</v>
      </c>
      <c r="I17423" s="3">
        <v>6765.57</v>
      </c>
      <c r="J17423" s="3">
        <v>5855.82</v>
      </c>
      <c r="L17423">
        <v>206</v>
      </c>
      <c r="M17423" t="s">
        <v>37972</v>
      </c>
      <c r="N17423" t="s">
        <v>30</v>
      </c>
      <c r="O17423" t="s">
        <v>31</v>
      </c>
      <c r="P17423" t="str">
        <f>"15214"</f>
        <v>15214</v>
      </c>
    </row>
    <row r="17424" spans="1:16" x14ac:dyDescent="0.25">
      <c r="A17424" t="str">
        <f>"1260046J00314    00"</f>
        <v>1260046J00314    00</v>
      </c>
      <c r="B17424" t="s">
        <v>37973</v>
      </c>
      <c r="C17424" t="s">
        <v>37969</v>
      </c>
      <c r="D17424" t="s">
        <v>20</v>
      </c>
      <c r="E17424" t="s">
        <v>39</v>
      </c>
      <c r="F17424">
        <v>0</v>
      </c>
      <c r="G17424">
        <v>0</v>
      </c>
      <c r="H17424">
        <v>19</v>
      </c>
      <c r="I17424" s="3">
        <v>1171.1199999999999</v>
      </c>
      <c r="J17424" s="3">
        <v>1046.49</v>
      </c>
      <c r="K17424" t="s">
        <v>1037</v>
      </c>
      <c r="L17424">
        <v>208</v>
      </c>
      <c r="M17424" t="s">
        <v>37972</v>
      </c>
      <c r="N17424" t="s">
        <v>30</v>
      </c>
      <c r="O17424" t="s">
        <v>31</v>
      </c>
      <c r="P17424" t="str">
        <f>"15214"</f>
        <v>15214</v>
      </c>
    </row>
    <row r="17425" spans="1:16" x14ac:dyDescent="0.25">
      <c r="A17425" t="str">
        <f>"1260046J00315    00"</f>
        <v>1260046J00315    00</v>
      </c>
      <c r="B17425" t="s">
        <v>17759</v>
      </c>
      <c r="C17425" t="s">
        <v>37969</v>
      </c>
      <c r="D17425" t="s">
        <v>20</v>
      </c>
      <c r="E17425" t="s">
        <v>39</v>
      </c>
      <c r="F17425">
        <v>0</v>
      </c>
      <c r="G17425">
        <v>0</v>
      </c>
      <c r="H17425">
        <v>11</v>
      </c>
      <c r="I17425" s="3">
        <v>626.61</v>
      </c>
      <c r="J17425" s="3">
        <v>300.76</v>
      </c>
      <c r="L17425">
        <v>1</v>
      </c>
      <c r="M17425" t="s">
        <v>17760</v>
      </c>
      <c r="N17425" t="s">
        <v>712</v>
      </c>
      <c r="O17425" t="s">
        <v>31</v>
      </c>
      <c r="P17425" t="str">
        <f>"16148"</f>
        <v>16148</v>
      </c>
    </row>
    <row r="17426" spans="1:16" x14ac:dyDescent="0.25">
      <c r="A17426" t="str">
        <f>"1260046J00317    00"</f>
        <v>1260046J00317    00</v>
      </c>
      <c r="B17426" t="s">
        <v>37974</v>
      </c>
      <c r="C17426" t="s">
        <v>37969</v>
      </c>
      <c r="D17426" t="s">
        <v>20</v>
      </c>
      <c r="E17426" t="s">
        <v>39</v>
      </c>
      <c r="F17426">
        <v>0</v>
      </c>
      <c r="G17426">
        <v>0</v>
      </c>
      <c r="H17426">
        <v>19</v>
      </c>
      <c r="I17426" s="3">
        <v>7115.21</v>
      </c>
      <c r="J17426" s="3">
        <v>10212.459999999999</v>
      </c>
      <c r="P17426" t="str">
        <f>""</f>
        <v/>
      </c>
    </row>
    <row r="17427" spans="1:16" x14ac:dyDescent="0.25">
      <c r="A17427" t="str">
        <f>"1260046J00318    00"</f>
        <v>1260046J00318    00</v>
      </c>
      <c r="B17427" t="s">
        <v>37975</v>
      </c>
      <c r="C17427" t="s">
        <v>37976</v>
      </c>
      <c r="D17427" t="s">
        <v>20</v>
      </c>
      <c r="E17427" t="s">
        <v>39</v>
      </c>
      <c r="F17427">
        <v>0</v>
      </c>
      <c r="G17427">
        <v>0</v>
      </c>
      <c r="H17427">
        <v>18</v>
      </c>
      <c r="I17427" s="3">
        <v>10851.26</v>
      </c>
      <c r="J17427" s="3">
        <v>12519.52</v>
      </c>
      <c r="L17427">
        <v>911</v>
      </c>
      <c r="M17427" t="s">
        <v>20816</v>
      </c>
      <c r="N17427" t="s">
        <v>30</v>
      </c>
      <c r="O17427" t="s">
        <v>31</v>
      </c>
      <c r="P17427" t="str">
        <f>"15210"</f>
        <v>15210</v>
      </c>
    </row>
    <row r="17428" spans="1:16" x14ac:dyDescent="0.25">
      <c r="A17428" t="str">
        <f>"1260046J00320    00"</f>
        <v>1260046J00320    00</v>
      </c>
      <c r="B17428" t="s">
        <v>37977</v>
      </c>
      <c r="C17428" t="s">
        <v>37978</v>
      </c>
      <c r="D17428" t="s">
        <v>20</v>
      </c>
      <c r="E17428" t="s">
        <v>39</v>
      </c>
      <c r="F17428">
        <v>0</v>
      </c>
      <c r="G17428">
        <v>0</v>
      </c>
      <c r="H17428">
        <v>10</v>
      </c>
      <c r="I17428" s="3">
        <v>6351.22</v>
      </c>
      <c r="J17428" s="3">
        <v>2381</v>
      </c>
      <c r="M17428" t="s">
        <v>37472</v>
      </c>
      <c r="N17428" t="s">
        <v>30</v>
      </c>
      <c r="O17428" t="s">
        <v>31</v>
      </c>
      <c r="P17428" t="str">
        <f>"15220"</f>
        <v>15220</v>
      </c>
    </row>
    <row r="17429" spans="1:16" x14ac:dyDescent="0.25">
      <c r="A17429" t="str">
        <f>"1260046J00332    00"</f>
        <v>1260046J00332    00</v>
      </c>
      <c r="B17429" t="s">
        <v>36951</v>
      </c>
      <c r="C17429" t="s">
        <v>37913</v>
      </c>
      <c r="E17429" t="s">
        <v>39</v>
      </c>
      <c r="F17429">
        <v>0</v>
      </c>
      <c r="G17429">
        <v>0</v>
      </c>
      <c r="H17429">
        <v>2</v>
      </c>
      <c r="I17429" s="3">
        <v>47.69</v>
      </c>
      <c r="J17429" s="3">
        <v>18.04</v>
      </c>
      <c r="K17429" t="s">
        <v>36952</v>
      </c>
      <c r="M17429" t="s">
        <v>22150</v>
      </c>
      <c r="N17429" t="s">
        <v>1353</v>
      </c>
      <c r="O17429" t="s">
        <v>31</v>
      </c>
      <c r="P17429" t="str">
        <f>"15085"</f>
        <v>15085</v>
      </c>
    </row>
    <row r="17430" spans="1:16" x14ac:dyDescent="0.25">
      <c r="A17430" t="str">
        <f>"1260046J00343    00"</f>
        <v>1260046J00343    00</v>
      </c>
      <c r="B17430" t="s">
        <v>36951</v>
      </c>
      <c r="C17430" t="s">
        <v>37979</v>
      </c>
      <c r="E17430" t="s">
        <v>39</v>
      </c>
      <c r="F17430">
        <v>0</v>
      </c>
      <c r="G17430">
        <v>0</v>
      </c>
      <c r="H17430">
        <v>3</v>
      </c>
      <c r="I17430" s="3">
        <v>812.55</v>
      </c>
      <c r="J17430" s="3">
        <v>6.76</v>
      </c>
      <c r="K17430" t="s">
        <v>36952</v>
      </c>
      <c r="M17430" t="s">
        <v>22150</v>
      </c>
      <c r="N17430" t="s">
        <v>1353</v>
      </c>
      <c r="O17430" t="s">
        <v>31</v>
      </c>
      <c r="P17430" t="str">
        <f>"15085"</f>
        <v>15085</v>
      </c>
    </row>
    <row r="17431" spans="1:16" x14ac:dyDescent="0.25">
      <c r="A17431" t="str">
        <f>"1260046J00345    00"</f>
        <v>1260046J00345    00</v>
      </c>
      <c r="B17431" t="s">
        <v>36951</v>
      </c>
      <c r="C17431" t="s">
        <v>37913</v>
      </c>
      <c r="D17431" t="s">
        <v>20</v>
      </c>
      <c r="E17431" t="s">
        <v>39</v>
      </c>
      <c r="F17431">
        <v>0</v>
      </c>
      <c r="G17431">
        <v>0</v>
      </c>
      <c r="H17431">
        <v>16</v>
      </c>
      <c r="I17431" s="3">
        <v>902.9</v>
      </c>
      <c r="J17431" s="3">
        <v>562.28</v>
      </c>
      <c r="K17431" t="s">
        <v>36952</v>
      </c>
      <c r="M17431" t="s">
        <v>22150</v>
      </c>
      <c r="N17431" t="s">
        <v>1353</v>
      </c>
      <c r="O17431" t="s">
        <v>31</v>
      </c>
      <c r="P17431" t="str">
        <f>"15085"</f>
        <v>15085</v>
      </c>
    </row>
    <row r="17432" spans="1:16" x14ac:dyDescent="0.25">
      <c r="A17432" t="str">
        <f>"1260046J00365    00"</f>
        <v>1260046J00365    00</v>
      </c>
      <c r="B17432" t="s">
        <v>37980</v>
      </c>
      <c r="C17432" t="s">
        <v>36257</v>
      </c>
      <c r="D17432" t="s">
        <v>20</v>
      </c>
      <c r="E17432" t="s">
        <v>39</v>
      </c>
      <c r="F17432">
        <v>0</v>
      </c>
      <c r="G17432">
        <v>0</v>
      </c>
      <c r="H17432">
        <v>19</v>
      </c>
      <c r="I17432" s="3">
        <v>11484.43</v>
      </c>
      <c r="J17432" s="3">
        <v>13600.74</v>
      </c>
      <c r="L17432">
        <v>49</v>
      </c>
      <c r="M17432" t="s">
        <v>37981</v>
      </c>
      <c r="N17432" t="s">
        <v>30</v>
      </c>
      <c r="O17432" t="s">
        <v>31</v>
      </c>
      <c r="P17432" t="str">
        <f>"15205"</f>
        <v>15205</v>
      </c>
    </row>
    <row r="17433" spans="1:16" x14ac:dyDescent="0.25">
      <c r="A17433" t="str">
        <f>"1260046J00367    00"</f>
        <v>1260046J00367    00</v>
      </c>
      <c r="B17433" t="s">
        <v>37982</v>
      </c>
      <c r="C17433" t="s">
        <v>37983</v>
      </c>
      <c r="E17433" t="s">
        <v>39</v>
      </c>
      <c r="F17433">
        <v>0</v>
      </c>
      <c r="G17433">
        <v>0</v>
      </c>
      <c r="H17433">
        <v>10</v>
      </c>
      <c r="I17433" s="3">
        <v>12249.79</v>
      </c>
      <c r="J17433" s="3">
        <v>7867.9</v>
      </c>
      <c r="L17433">
        <v>7480</v>
      </c>
      <c r="M17433" t="s">
        <v>37984</v>
      </c>
      <c r="N17433" t="s">
        <v>37985</v>
      </c>
      <c r="O17433" t="s">
        <v>370</v>
      </c>
      <c r="P17433" t="str">
        <f>"33319"</f>
        <v>33319</v>
      </c>
    </row>
    <row r="17434" spans="1:16" x14ac:dyDescent="0.25">
      <c r="A17434" t="str">
        <f>"1260046J00369    00"</f>
        <v>1260046J00369    00</v>
      </c>
      <c r="B17434" t="s">
        <v>37986</v>
      </c>
      <c r="C17434" t="s">
        <v>37987</v>
      </c>
      <c r="D17434" t="s">
        <v>20</v>
      </c>
      <c r="E17434" t="s">
        <v>39</v>
      </c>
      <c r="F17434">
        <v>0</v>
      </c>
      <c r="G17434">
        <v>0</v>
      </c>
      <c r="H17434">
        <v>11</v>
      </c>
      <c r="I17434" s="3">
        <v>9336.77</v>
      </c>
      <c r="J17434" s="3">
        <v>5937.14</v>
      </c>
      <c r="M17434" t="s">
        <v>37988</v>
      </c>
      <c r="N17434" t="s">
        <v>30</v>
      </c>
      <c r="O17434" t="s">
        <v>31</v>
      </c>
      <c r="P17434" t="str">
        <f>"15206"</f>
        <v>15206</v>
      </c>
    </row>
    <row r="17435" spans="1:16" x14ac:dyDescent="0.25">
      <c r="A17435" t="str">
        <f>"1260046K00003    00"</f>
        <v>1260046K00003    00</v>
      </c>
      <c r="B17435" t="s">
        <v>37989</v>
      </c>
      <c r="C17435" t="s">
        <v>37283</v>
      </c>
      <c r="D17435" t="s">
        <v>20</v>
      </c>
      <c r="E17435" t="s">
        <v>39</v>
      </c>
      <c r="F17435">
        <v>0</v>
      </c>
      <c r="G17435">
        <v>0</v>
      </c>
      <c r="H17435">
        <v>18</v>
      </c>
      <c r="I17435" s="3">
        <v>6426.57</v>
      </c>
      <c r="J17435" s="3">
        <v>8486.41</v>
      </c>
      <c r="L17435">
        <v>1712</v>
      </c>
      <c r="M17435" t="s">
        <v>13856</v>
      </c>
      <c r="N17435" t="s">
        <v>30</v>
      </c>
      <c r="O17435" t="s">
        <v>31</v>
      </c>
      <c r="P17435" t="str">
        <f>"15212"</f>
        <v>15212</v>
      </c>
    </row>
    <row r="17436" spans="1:16" x14ac:dyDescent="0.25">
      <c r="A17436" t="str">
        <f>"1260046K00009    00"</f>
        <v>1260046K00009    00</v>
      </c>
      <c r="B17436" t="s">
        <v>37990</v>
      </c>
      <c r="C17436" t="s">
        <v>37991</v>
      </c>
      <c r="D17436" t="s">
        <v>20</v>
      </c>
      <c r="E17436" t="s">
        <v>39</v>
      </c>
      <c r="F17436">
        <v>0</v>
      </c>
      <c r="G17436">
        <v>0</v>
      </c>
      <c r="H17436">
        <v>1</v>
      </c>
      <c r="I17436" s="3">
        <v>57.08</v>
      </c>
      <c r="J17436" s="3">
        <v>0</v>
      </c>
      <c r="L17436">
        <v>13900</v>
      </c>
      <c r="M17436" t="s">
        <v>37992</v>
      </c>
      <c r="N17436" t="s">
        <v>12594</v>
      </c>
      <c r="O17436" t="s">
        <v>692</v>
      </c>
      <c r="P17436" t="str">
        <f>"22193"</f>
        <v>22193</v>
      </c>
    </row>
    <row r="17437" spans="1:16" x14ac:dyDescent="0.25">
      <c r="A17437" t="str">
        <f>"1260046K00011    00"</f>
        <v>1260046K00011    00</v>
      </c>
      <c r="B17437" t="s">
        <v>11845</v>
      </c>
      <c r="C17437" t="s">
        <v>37880</v>
      </c>
      <c r="D17437" t="s">
        <v>20</v>
      </c>
      <c r="E17437" t="s">
        <v>39</v>
      </c>
      <c r="F17437">
        <v>0</v>
      </c>
      <c r="G17437">
        <v>0</v>
      </c>
      <c r="H17437">
        <v>19</v>
      </c>
      <c r="I17437" s="3">
        <v>11103.25</v>
      </c>
      <c r="J17437" s="3">
        <v>12912.11</v>
      </c>
      <c r="L17437">
        <v>1443</v>
      </c>
      <c r="M17437" t="s">
        <v>28009</v>
      </c>
      <c r="N17437" t="s">
        <v>1474</v>
      </c>
      <c r="O17437" t="s">
        <v>31</v>
      </c>
      <c r="P17437" t="str">
        <f>"15017"</f>
        <v>15017</v>
      </c>
    </row>
    <row r="17438" spans="1:16" x14ac:dyDescent="0.25">
      <c r="A17438" t="str">
        <f>"1260046K00020    00"</f>
        <v>1260046K00020    00</v>
      </c>
      <c r="B17438" t="s">
        <v>37993</v>
      </c>
      <c r="C17438" t="s">
        <v>37994</v>
      </c>
      <c r="E17438" t="s">
        <v>39</v>
      </c>
      <c r="F17438">
        <v>0</v>
      </c>
      <c r="G17438">
        <v>0</v>
      </c>
      <c r="H17438">
        <v>3</v>
      </c>
      <c r="I17438" s="3">
        <v>287.85000000000002</v>
      </c>
      <c r="J17438" s="3">
        <v>101.8</v>
      </c>
      <c r="L17438">
        <v>207</v>
      </c>
      <c r="M17438" t="s">
        <v>26459</v>
      </c>
      <c r="N17438" t="s">
        <v>30</v>
      </c>
      <c r="O17438" t="s">
        <v>31</v>
      </c>
      <c r="P17438" t="str">
        <f>"15214"</f>
        <v>15214</v>
      </c>
    </row>
    <row r="17439" spans="1:16" x14ac:dyDescent="0.25">
      <c r="A17439" t="str">
        <f>"1260046K00023    00"</f>
        <v>1260046K00023    00</v>
      </c>
      <c r="B17439" t="s">
        <v>37995</v>
      </c>
      <c r="C17439" t="s">
        <v>37996</v>
      </c>
      <c r="D17439" t="s">
        <v>20</v>
      </c>
      <c r="E17439" t="s">
        <v>39</v>
      </c>
      <c r="F17439">
        <v>0</v>
      </c>
      <c r="G17439">
        <v>0</v>
      </c>
      <c r="H17439">
        <v>16</v>
      </c>
      <c r="I17439" s="3">
        <v>7139.98</v>
      </c>
      <c r="J17439" s="3">
        <v>4980.82</v>
      </c>
      <c r="K17439" t="s">
        <v>37997</v>
      </c>
      <c r="N17439" t="s">
        <v>37998</v>
      </c>
      <c r="P17439" t="str">
        <f>""</f>
        <v/>
      </c>
    </row>
    <row r="17440" spans="1:16" x14ac:dyDescent="0.25">
      <c r="A17440" t="str">
        <f>"1260046K00039    00"</f>
        <v>1260046K00039    00</v>
      </c>
      <c r="B17440" t="s">
        <v>37999</v>
      </c>
      <c r="C17440" t="s">
        <v>38000</v>
      </c>
      <c r="D17440" t="s">
        <v>20</v>
      </c>
      <c r="E17440" t="s">
        <v>39</v>
      </c>
      <c r="F17440">
        <v>0</v>
      </c>
      <c r="G17440">
        <v>0</v>
      </c>
      <c r="H17440">
        <v>14</v>
      </c>
      <c r="I17440" s="3">
        <v>17744.560000000001</v>
      </c>
      <c r="J17440" s="3">
        <v>11340.21</v>
      </c>
      <c r="L17440">
        <v>2333</v>
      </c>
      <c r="M17440" t="s">
        <v>34518</v>
      </c>
      <c r="N17440" t="s">
        <v>30</v>
      </c>
      <c r="O17440" t="s">
        <v>31</v>
      </c>
      <c r="P17440" t="str">
        <f>"15214"</f>
        <v>15214</v>
      </c>
    </row>
    <row r="17441" spans="1:16" x14ac:dyDescent="0.25">
      <c r="A17441" t="str">
        <f>"1260046K00050    00"</f>
        <v>1260046K00050    00</v>
      </c>
      <c r="B17441" t="s">
        <v>38001</v>
      </c>
      <c r="C17441" t="s">
        <v>36257</v>
      </c>
      <c r="D17441" t="s">
        <v>20</v>
      </c>
      <c r="E17441" t="s">
        <v>39</v>
      </c>
      <c r="F17441">
        <v>0</v>
      </c>
      <c r="G17441">
        <v>0</v>
      </c>
      <c r="H17441">
        <v>18</v>
      </c>
      <c r="I17441" s="3">
        <v>637.86</v>
      </c>
      <c r="J17441" s="3">
        <v>439.35</v>
      </c>
      <c r="K17441" t="s">
        <v>38002</v>
      </c>
      <c r="P17441" t="str">
        <f>""</f>
        <v/>
      </c>
    </row>
    <row r="17442" spans="1:16" x14ac:dyDescent="0.25">
      <c r="A17442" t="str">
        <f>"1260046K00052    00"</f>
        <v>1260046K00052    00</v>
      </c>
      <c r="B17442" t="s">
        <v>38003</v>
      </c>
      <c r="C17442" t="s">
        <v>36257</v>
      </c>
      <c r="D17442" t="s">
        <v>20</v>
      </c>
      <c r="E17442" t="s">
        <v>39</v>
      </c>
      <c r="F17442">
        <v>0</v>
      </c>
      <c r="G17442">
        <v>0</v>
      </c>
      <c r="H17442">
        <v>17</v>
      </c>
      <c r="I17442" s="3">
        <v>492.41</v>
      </c>
      <c r="J17442" s="3">
        <v>643.91999999999996</v>
      </c>
      <c r="L17442">
        <v>221</v>
      </c>
      <c r="M17442" t="s">
        <v>34449</v>
      </c>
      <c r="N17442" t="s">
        <v>625</v>
      </c>
      <c r="O17442" t="s">
        <v>31</v>
      </c>
      <c r="P17442" t="str">
        <f>"15108"</f>
        <v>15108</v>
      </c>
    </row>
    <row r="17443" spans="1:16" x14ac:dyDescent="0.25">
      <c r="A17443" t="str">
        <f>"1260046K00058    00"</f>
        <v>1260046K00058    00</v>
      </c>
      <c r="B17443" t="s">
        <v>38004</v>
      </c>
      <c r="C17443" t="s">
        <v>38005</v>
      </c>
      <c r="D17443" t="s">
        <v>20</v>
      </c>
      <c r="E17443" t="s">
        <v>39</v>
      </c>
      <c r="F17443">
        <v>0</v>
      </c>
      <c r="G17443">
        <v>0</v>
      </c>
      <c r="H17443">
        <v>16</v>
      </c>
      <c r="I17443" s="3">
        <v>11929.77</v>
      </c>
      <c r="J17443" s="3">
        <v>9894.3799999999992</v>
      </c>
      <c r="K17443" t="s">
        <v>38006</v>
      </c>
      <c r="L17443">
        <v>540</v>
      </c>
      <c r="M17443" t="s">
        <v>11126</v>
      </c>
      <c r="N17443" t="s">
        <v>30</v>
      </c>
      <c r="O17443" t="s">
        <v>31</v>
      </c>
      <c r="P17443" t="str">
        <f>"15206"</f>
        <v>15206</v>
      </c>
    </row>
    <row r="17444" spans="1:16" x14ac:dyDescent="0.25">
      <c r="A17444" t="str">
        <f>"1260046K00079    00"</f>
        <v>1260046K00079    00</v>
      </c>
      <c r="B17444" t="s">
        <v>7884</v>
      </c>
      <c r="C17444" t="s">
        <v>38007</v>
      </c>
      <c r="D17444" t="s">
        <v>20</v>
      </c>
      <c r="E17444" t="s">
        <v>39</v>
      </c>
      <c r="F17444">
        <v>0</v>
      </c>
      <c r="G17444">
        <v>0</v>
      </c>
      <c r="H17444">
        <v>9</v>
      </c>
      <c r="I17444" s="3">
        <v>11625.8</v>
      </c>
      <c r="J17444" s="3">
        <v>9704.59</v>
      </c>
      <c r="M17444" t="s">
        <v>7886</v>
      </c>
      <c r="N17444" t="s">
        <v>30</v>
      </c>
      <c r="O17444" t="s">
        <v>31</v>
      </c>
      <c r="P17444" t="str">
        <f>"15206"</f>
        <v>15206</v>
      </c>
    </row>
    <row r="17445" spans="1:16" x14ac:dyDescent="0.25">
      <c r="A17445" t="str">
        <f>"1260046K00084    00"</f>
        <v>1260046K00084    00</v>
      </c>
      <c r="B17445" t="s">
        <v>38008</v>
      </c>
      <c r="C17445" t="s">
        <v>38009</v>
      </c>
      <c r="D17445" t="s">
        <v>20</v>
      </c>
      <c r="E17445" t="s">
        <v>39</v>
      </c>
      <c r="F17445">
        <v>0</v>
      </c>
      <c r="G17445">
        <v>0</v>
      </c>
      <c r="H17445">
        <v>18</v>
      </c>
      <c r="I17445" s="3">
        <v>22685</v>
      </c>
      <c r="J17445" s="3">
        <v>18992.849999999999</v>
      </c>
      <c r="L17445">
        <v>2234</v>
      </c>
      <c r="M17445" t="s">
        <v>34518</v>
      </c>
      <c r="N17445" t="s">
        <v>30</v>
      </c>
      <c r="O17445" t="s">
        <v>31</v>
      </c>
      <c r="P17445" t="str">
        <f>"15214"</f>
        <v>15214</v>
      </c>
    </row>
    <row r="17446" spans="1:16" x14ac:dyDescent="0.25">
      <c r="A17446" t="str">
        <f>"1260046K00086    00"</f>
        <v>1260046K00086    00</v>
      </c>
      <c r="B17446" t="s">
        <v>38010</v>
      </c>
      <c r="C17446" t="s">
        <v>38011</v>
      </c>
      <c r="D17446" t="s">
        <v>33</v>
      </c>
      <c r="E17446" t="s">
        <v>39</v>
      </c>
      <c r="F17446">
        <v>0</v>
      </c>
      <c r="G17446">
        <v>0</v>
      </c>
      <c r="H17446">
        <v>10</v>
      </c>
      <c r="I17446" s="3">
        <v>6251.82</v>
      </c>
      <c r="J17446" s="3">
        <v>524.33000000000004</v>
      </c>
      <c r="K17446" t="s">
        <v>38012</v>
      </c>
      <c r="L17446">
        <v>537</v>
      </c>
      <c r="M17446" t="s">
        <v>17260</v>
      </c>
      <c r="N17446" t="s">
        <v>826</v>
      </c>
      <c r="O17446" t="s">
        <v>31</v>
      </c>
      <c r="P17446" t="str">
        <f>"15601"</f>
        <v>15601</v>
      </c>
    </row>
    <row r="17447" spans="1:16" x14ac:dyDescent="0.25">
      <c r="A17447" t="str">
        <f>"1260046K00110    00"</f>
        <v>1260046K00110    00</v>
      </c>
      <c r="B17447" t="s">
        <v>38013</v>
      </c>
      <c r="C17447" t="s">
        <v>37009</v>
      </c>
      <c r="D17447" t="s">
        <v>20</v>
      </c>
      <c r="E17447" t="s">
        <v>39</v>
      </c>
      <c r="F17447">
        <v>0</v>
      </c>
      <c r="G17447">
        <v>0</v>
      </c>
      <c r="H17447">
        <v>5</v>
      </c>
      <c r="I17447" s="3">
        <v>374.8</v>
      </c>
      <c r="J17447" s="3">
        <v>66.38</v>
      </c>
      <c r="L17447">
        <v>1924</v>
      </c>
      <c r="M17447" t="s">
        <v>29301</v>
      </c>
      <c r="N17447" t="s">
        <v>30</v>
      </c>
      <c r="O17447" t="s">
        <v>31</v>
      </c>
      <c r="P17447" t="str">
        <f>"15216"</f>
        <v>15216</v>
      </c>
    </row>
    <row r="17448" spans="1:16" x14ac:dyDescent="0.25">
      <c r="A17448" t="str">
        <f>"1260046K00111    00"</f>
        <v>1260046K00111    00</v>
      </c>
      <c r="B17448" t="s">
        <v>38014</v>
      </c>
      <c r="C17448" t="s">
        <v>38015</v>
      </c>
      <c r="D17448" t="s">
        <v>20</v>
      </c>
      <c r="E17448" t="s">
        <v>39</v>
      </c>
      <c r="F17448">
        <v>0</v>
      </c>
      <c r="G17448">
        <v>0</v>
      </c>
      <c r="H17448">
        <v>9</v>
      </c>
      <c r="I17448" s="3">
        <v>4515.16</v>
      </c>
      <c r="J17448" s="3">
        <v>1482.61</v>
      </c>
      <c r="L17448">
        <v>129</v>
      </c>
      <c r="M17448" t="s">
        <v>13148</v>
      </c>
      <c r="N17448" t="s">
        <v>30</v>
      </c>
      <c r="O17448" t="s">
        <v>31</v>
      </c>
      <c r="P17448" t="str">
        <f>"15214"</f>
        <v>15214</v>
      </c>
    </row>
    <row r="17449" spans="1:16" x14ac:dyDescent="0.25">
      <c r="A17449" t="str">
        <f>"1260046K00112    00"</f>
        <v>1260046K00112    00</v>
      </c>
      <c r="B17449" t="s">
        <v>38013</v>
      </c>
      <c r="C17449" t="s">
        <v>38016</v>
      </c>
      <c r="D17449" t="s">
        <v>20</v>
      </c>
      <c r="E17449" t="s">
        <v>39</v>
      </c>
      <c r="F17449">
        <v>0</v>
      </c>
      <c r="G17449">
        <v>0</v>
      </c>
      <c r="H17449">
        <v>6</v>
      </c>
      <c r="I17449" s="3">
        <v>2923.56</v>
      </c>
      <c r="J17449" s="3">
        <v>510.55</v>
      </c>
      <c r="L17449">
        <v>1924</v>
      </c>
      <c r="M17449" t="s">
        <v>29301</v>
      </c>
      <c r="N17449" t="s">
        <v>30</v>
      </c>
      <c r="O17449" t="s">
        <v>31</v>
      </c>
      <c r="P17449" t="str">
        <f>"15216"</f>
        <v>15216</v>
      </c>
    </row>
    <row r="17450" spans="1:16" x14ac:dyDescent="0.25">
      <c r="A17450" t="str">
        <f>"1260046K00122    00"</f>
        <v>1260046K00122    00</v>
      </c>
      <c r="B17450" t="s">
        <v>38017</v>
      </c>
      <c r="C17450" t="s">
        <v>38018</v>
      </c>
      <c r="D17450" t="s">
        <v>20</v>
      </c>
      <c r="E17450" t="s">
        <v>39</v>
      </c>
      <c r="F17450">
        <v>0</v>
      </c>
      <c r="G17450">
        <v>0</v>
      </c>
      <c r="H17450">
        <v>2</v>
      </c>
      <c r="I17450" s="3">
        <v>2049.66</v>
      </c>
      <c r="J17450" s="3">
        <v>5.45</v>
      </c>
      <c r="L17450">
        <v>3928</v>
      </c>
      <c r="M17450" t="s">
        <v>37050</v>
      </c>
      <c r="N17450" t="s">
        <v>30</v>
      </c>
      <c r="O17450" t="s">
        <v>31</v>
      </c>
      <c r="P17450" t="str">
        <f>"15212"</f>
        <v>15212</v>
      </c>
    </row>
    <row r="17451" spans="1:16" x14ac:dyDescent="0.25">
      <c r="A17451" t="str">
        <f>"1260046K00138    00"</f>
        <v>1260046K00138    00</v>
      </c>
      <c r="B17451" t="s">
        <v>38019</v>
      </c>
      <c r="C17451" t="s">
        <v>38020</v>
      </c>
      <c r="D17451" t="s">
        <v>20</v>
      </c>
      <c r="E17451" t="s">
        <v>39</v>
      </c>
      <c r="F17451">
        <v>0</v>
      </c>
      <c r="G17451">
        <v>0</v>
      </c>
      <c r="H17451">
        <v>9</v>
      </c>
      <c r="I17451" s="3">
        <v>4138.18</v>
      </c>
      <c r="J17451" s="3">
        <v>2003.67</v>
      </c>
      <c r="K17451" t="s">
        <v>38021</v>
      </c>
      <c r="L17451">
        <v>1433</v>
      </c>
      <c r="M17451" t="s">
        <v>38022</v>
      </c>
      <c r="N17451" t="s">
        <v>30</v>
      </c>
      <c r="O17451" t="s">
        <v>31</v>
      </c>
      <c r="P17451" t="str">
        <f>"15212"</f>
        <v>15212</v>
      </c>
    </row>
    <row r="17452" spans="1:16" x14ac:dyDescent="0.25">
      <c r="A17452" t="str">
        <f>"1260046K00141    01"</f>
        <v>1260046K00141    01</v>
      </c>
      <c r="B17452" t="s">
        <v>38023</v>
      </c>
      <c r="C17452" t="s">
        <v>38024</v>
      </c>
      <c r="D17452" t="s">
        <v>20</v>
      </c>
      <c r="E17452" t="s">
        <v>21</v>
      </c>
      <c r="F17452">
        <v>0</v>
      </c>
      <c r="G17452">
        <v>0</v>
      </c>
      <c r="H17452">
        <v>10</v>
      </c>
      <c r="I17452" s="3">
        <v>9157.0499999999993</v>
      </c>
      <c r="J17452" s="3">
        <v>3116.78</v>
      </c>
      <c r="L17452">
        <v>1500</v>
      </c>
      <c r="M17452" t="s">
        <v>32030</v>
      </c>
      <c r="N17452" t="s">
        <v>238</v>
      </c>
      <c r="O17452" t="s">
        <v>31</v>
      </c>
      <c r="P17452" t="str">
        <f>"15132"</f>
        <v>15132</v>
      </c>
    </row>
    <row r="17453" spans="1:16" x14ac:dyDescent="0.25">
      <c r="A17453" t="str">
        <f>"1260046K00141    02"</f>
        <v>1260046K00141    02</v>
      </c>
      <c r="B17453" t="s">
        <v>38023</v>
      </c>
      <c r="C17453" t="s">
        <v>38024</v>
      </c>
      <c r="E17453" t="s">
        <v>21</v>
      </c>
      <c r="F17453">
        <v>0</v>
      </c>
      <c r="G17453">
        <v>0</v>
      </c>
      <c r="H17453">
        <v>4</v>
      </c>
      <c r="I17453" s="3">
        <v>42161.95</v>
      </c>
      <c r="J17453" s="3">
        <v>37553.82</v>
      </c>
      <c r="L17453">
        <v>1500</v>
      </c>
      <c r="M17453" t="s">
        <v>32030</v>
      </c>
      <c r="N17453" t="s">
        <v>238</v>
      </c>
      <c r="O17453" t="s">
        <v>31</v>
      </c>
      <c r="P17453" t="str">
        <f>"15132"</f>
        <v>15132</v>
      </c>
    </row>
    <row r="17454" spans="1:16" x14ac:dyDescent="0.25">
      <c r="A17454" t="str">
        <f>"1260046K00153    00"</f>
        <v>1260046K00153    00</v>
      </c>
      <c r="B17454" t="s">
        <v>38025</v>
      </c>
      <c r="C17454" t="s">
        <v>38026</v>
      </c>
      <c r="E17454" t="s">
        <v>39</v>
      </c>
      <c r="F17454">
        <v>0</v>
      </c>
      <c r="G17454">
        <v>0</v>
      </c>
      <c r="H17454">
        <v>1</v>
      </c>
      <c r="I17454" s="3">
        <v>84.05</v>
      </c>
      <c r="J17454" s="3">
        <v>0</v>
      </c>
      <c r="K17454" t="s">
        <v>2570</v>
      </c>
      <c r="L17454">
        <v>901</v>
      </c>
      <c r="M17454" t="s">
        <v>1503</v>
      </c>
      <c r="N17454" t="s">
        <v>494</v>
      </c>
      <c r="O17454" t="s">
        <v>495</v>
      </c>
      <c r="P17454" t="str">
        <f>"91768"</f>
        <v>91768</v>
      </c>
    </row>
    <row r="17455" spans="1:16" x14ac:dyDescent="0.25">
      <c r="A17455" t="str">
        <f>"1260046K00170    00"</f>
        <v>1260046K00170    00</v>
      </c>
      <c r="B17455" t="s">
        <v>38027</v>
      </c>
      <c r="C17455" t="s">
        <v>38028</v>
      </c>
      <c r="D17455" t="s">
        <v>20</v>
      </c>
      <c r="E17455" t="s">
        <v>39</v>
      </c>
      <c r="F17455">
        <v>0</v>
      </c>
      <c r="G17455">
        <v>0</v>
      </c>
      <c r="H17455">
        <v>4</v>
      </c>
      <c r="I17455" s="3">
        <v>3667.95</v>
      </c>
      <c r="J17455" s="3">
        <v>433.29</v>
      </c>
      <c r="L17455">
        <v>3722</v>
      </c>
      <c r="M17455" t="s">
        <v>17198</v>
      </c>
      <c r="N17455" t="s">
        <v>30</v>
      </c>
      <c r="O17455" t="s">
        <v>31</v>
      </c>
      <c r="P17455" t="str">
        <f>"15212"</f>
        <v>15212</v>
      </c>
    </row>
    <row r="17456" spans="1:16" x14ac:dyDescent="0.25">
      <c r="A17456" t="str">
        <f>"1260046K00186    00"</f>
        <v>1260046K00186    00</v>
      </c>
      <c r="B17456" t="s">
        <v>38029</v>
      </c>
      <c r="C17456" t="s">
        <v>38030</v>
      </c>
      <c r="D17456" t="s">
        <v>20</v>
      </c>
      <c r="E17456" t="s">
        <v>39</v>
      </c>
      <c r="F17456">
        <v>0</v>
      </c>
      <c r="G17456">
        <v>0</v>
      </c>
      <c r="H17456">
        <v>6</v>
      </c>
      <c r="I17456" s="3">
        <v>1947.08</v>
      </c>
      <c r="J17456" s="3">
        <v>528.07000000000005</v>
      </c>
      <c r="L17456">
        <v>250</v>
      </c>
      <c r="M17456" t="s">
        <v>13148</v>
      </c>
      <c r="N17456" t="s">
        <v>30</v>
      </c>
      <c r="O17456" t="s">
        <v>31</v>
      </c>
      <c r="P17456" t="str">
        <f>"15214"</f>
        <v>15214</v>
      </c>
    </row>
    <row r="17457" spans="1:16" x14ac:dyDescent="0.25">
      <c r="A17457" t="str">
        <f>"1260046K00209    00"</f>
        <v>1260046K00209    00</v>
      </c>
      <c r="B17457" t="s">
        <v>38031</v>
      </c>
      <c r="C17457" t="s">
        <v>37009</v>
      </c>
      <c r="D17457" t="s">
        <v>20</v>
      </c>
      <c r="E17457" t="s">
        <v>39</v>
      </c>
      <c r="F17457">
        <v>0</v>
      </c>
      <c r="G17457">
        <v>0</v>
      </c>
      <c r="H17457">
        <v>19</v>
      </c>
      <c r="I17457" s="3">
        <v>4585.84</v>
      </c>
      <c r="J17457" s="3">
        <v>3023.94</v>
      </c>
      <c r="P17457" t="str">
        <f>""</f>
        <v/>
      </c>
    </row>
    <row r="17458" spans="1:16" x14ac:dyDescent="0.25">
      <c r="A17458" t="str">
        <f>"1260046K00210    00"</f>
        <v>1260046K00210    00</v>
      </c>
      <c r="B17458" t="s">
        <v>38032</v>
      </c>
      <c r="C17458" t="s">
        <v>37009</v>
      </c>
      <c r="D17458" t="s">
        <v>20</v>
      </c>
      <c r="E17458" t="s">
        <v>39</v>
      </c>
      <c r="F17458">
        <v>0</v>
      </c>
      <c r="G17458">
        <v>0</v>
      </c>
      <c r="H17458">
        <v>16</v>
      </c>
      <c r="I17458" s="3">
        <v>4853.07</v>
      </c>
      <c r="J17458" s="3">
        <v>5067.6400000000003</v>
      </c>
      <c r="L17458">
        <v>1713</v>
      </c>
      <c r="M17458" t="s">
        <v>31848</v>
      </c>
      <c r="N17458" t="s">
        <v>30</v>
      </c>
      <c r="O17458" t="s">
        <v>31</v>
      </c>
      <c r="P17458" t="str">
        <f>"15214"</f>
        <v>15214</v>
      </c>
    </row>
    <row r="17459" spans="1:16" x14ac:dyDescent="0.25">
      <c r="A17459" t="str">
        <f>"1260046K00224    00"</f>
        <v>1260046K00224    00</v>
      </c>
      <c r="B17459" t="s">
        <v>38033</v>
      </c>
      <c r="C17459" t="s">
        <v>38034</v>
      </c>
      <c r="D17459" t="s">
        <v>20</v>
      </c>
      <c r="E17459" t="s">
        <v>39</v>
      </c>
      <c r="F17459">
        <v>0</v>
      </c>
      <c r="G17459">
        <v>0</v>
      </c>
      <c r="H17459">
        <v>4</v>
      </c>
      <c r="I17459" s="3">
        <v>1094.42</v>
      </c>
      <c r="J17459" s="3">
        <v>88.29</v>
      </c>
      <c r="M17459" t="s">
        <v>38035</v>
      </c>
      <c r="N17459" t="s">
        <v>30</v>
      </c>
      <c r="O17459" t="s">
        <v>31</v>
      </c>
      <c r="P17459" t="str">
        <f>"15212"</f>
        <v>15212</v>
      </c>
    </row>
    <row r="17460" spans="1:16" x14ac:dyDescent="0.25">
      <c r="A17460" t="str">
        <f>"1260046K00235    00"</f>
        <v>1260046K00235    00</v>
      </c>
      <c r="B17460" t="s">
        <v>38036</v>
      </c>
      <c r="C17460" t="s">
        <v>38037</v>
      </c>
      <c r="D17460" t="s">
        <v>20</v>
      </c>
      <c r="E17460" t="s">
        <v>39</v>
      </c>
      <c r="F17460">
        <v>0</v>
      </c>
      <c r="G17460">
        <v>0</v>
      </c>
      <c r="H17460">
        <v>1</v>
      </c>
      <c r="I17460" s="3">
        <v>513.20000000000005</v>
      </c>
      <c r="J17460" s="3">
        <v>0</v>
      </c>
      <c r="L17460">
        <v>240</v>
      </c>
      <c r="M17460" t="s">
        <v>7864</v>
      </c>
      <c r="N17460" t="s">
        <v>30</v>
      </c>
      <c r="O17460" t="s">
        <v>31</v>
      </c>
      <c r="P17460" t="str">
        <f>"15214"</f>
        <v>15214</v>
      </c>
    </row>
    <row r="17461" spans="1:16" x14ac:dyDescent="0.25">
      <c r="A17461" t="str">
        <f>"1260046K00245    00"</f>
        <v>1260046K00245    00</v>
      </c>
      <c r="B17461" t="s">
        <v>38038</v>
      </c>
      <c r="C17461" t="s">
        <v>38039</v>
      </c>
      <c r="D17461" t="s">
        <v>57</v>
      </c>
      <c r="E17461" t="s">
        <v>39</v>
      </c>
      <c r="F17461">
        <v>0</v>
      </c>
      <c r="G17461">
        <v>0</v>
      </c>
      <c r="H17461">
        <v>1</v>
      </c>
      <c r="I17461" s="3">
        <v>233.47</v>
      </c>
      <c r="J17461" s="3">
        <v>0</v>
      </c>
      <c r="L17461">
        <v>304</v>
      </c>
      <c r="M17461" t="s">
        <v>7864</v>
      </c>
      <c r="N17461" t="s">
        <v>30</v>
      </c>
      <c r="O17461" t="s">
        <v>31</v>
      </c>
      <c r="P17461" t="str">
        <f>"15214"</f>
        <v>15214</v>
      </c>
    </row>
    <row r="17462" spans="1:16" x14ac:dyDescent="0.25">
      <c r="A17462" t="str">
        <f>"1260046K00264    00"</f>
        <v>1260046K00264    00</v>
      </c>
      <c r="B17462" t="s">
        <v>38040</v>
      </c>
      <c r="C17462" t="s">
        <v>38041</v>
      </c>
      <c r="D17462" t="s">
        <v>20</v>
      </c>
      <c r="E17462" t="s">
        <v>39</v>
      </c>
      <c r="F17462">
        <v>0</v>
      </c>
      <c r="G17462">
        <v>0</v>
      </c>
      <c r="H17462">
        <v>2</v>
      </c>
      <c r="I17462" s="3">
        <v>710.04</v>
      </c>
      <c r="J17462" s="3">
        <v>0</v>
      </c>
      <c r="L17462">
        <v>235</v>
      </c>
      <c r="M17462" t="s">
        <v>7864</v>
      </c>
      <c r="N17462" t="s">
        <v>30</v>
      </c>
      <c r="O17462" t="s">
        <v>31</v>
      </c>
      <c r="P17462" t="str">
        <f>"15214"</f>
        <v>15214</v>
      </c>
    </row>
    <row r="17463" spans="1:16" x14ac:dyDescent="0.25">
      <c r="A17463" t="str">
        <f>"1260046K00273    00"</f>
        <v>1260046K00273    00</v>
      </c>
      <c r="B17463" t="s">
        <v>38042</v>
      </c>
      <c r="C17463" t="s">
        <v>38043</v>
      </c>
      <c r="D17463" t="s">
        <v>20</v>
      </c>
      <c r="E17463" t="s">
        <v>39</v>
      </c>
      <c r="F17463">
        <v>0</v>
      </c>
      <c r="G17463">
        <v>0</v>
      </c>
      <c r="H17463">
        <v>3</v>
      </c>
      <c r="I17463" s="3">
        <v>2262.5100000000002</v>
      </c>
      <c r="J17463" s="3">
        <v>141.22999999999999</v>
      </c>
      <c r="L17463">
        <v>217</v>
      </c>
      <c r="M17463" t="s">
        <v>7864</v>
      </c>
      <c r="N17463" t="s">
        <v>30</v>
      </c>
      <c r="O17463" t="s">
        <v>31</v>
      </c>
      <c r="P17463" t="str">
        <f>"15214"</f>
        <v>15214</v>
      </c>
    </row>
    <row r="17464" spans="1:16" x14ac:dyDescent="0.25">
      <c r="A17464" t="str">
        <f>"1260046K00307    00"</f>
        <v>1260046K00307    00</v>
      </c>
      <c r="B17464" t="s">
        <v>38044</v>
      </c>
      <c r="C17464" t="s">
        <v>38045</v>
      </c>
      <c r="D17464" t="s">
        <v>20</v>
      </c>
      <c r="E17464" t="s">
        <v>39</v>
      </c>
      <c r="F17464">
        <v>0</v>
      </c>
      <c r="G17464">
        <v>0</v>
      </c>
      <c r="H17464">
        <v>3</v>
      </c>
      <c r="I17464" s="3">
        <v>2343.37</v>
      </c>
      <c r="J17464" s="3">
        <v>0.83</v>
      </c>
      <c r="L17464">
        <v>2327</v>
      </c>
      <c r="M17464" t="s">
        <v>2747</v>
      </c>
      <c r="N17464" t="s">
        <v>30</v>
      </c>
      <c r="O17464" t="s">
        <v>31</v>
      </c>
      <c r="P17464" t="str">
        <f>"15214"</f>
        <v>15214</v>
      </c>
    </row>
    <row r="17465" spans="1:16" x14ac:dyDescent="0.25">
      <c r="A17465" t="str">
        <f>"1260046K00327    00"</f>
        <v>1260046K00327    00</v>
      </c>
      <c r="B17465" t="s">
        <v>38046</v>
      </c>
      <c r="C17465" t="s">
        <v>38047</v>
      </c>
      <c r="D17465" t="s">
        <v>7100</v>
      </c>
      <c r="E17465" t="s">
        <v>39</v>
      </c>
      <c r="F17465">
        <v>0</v>
      </c>
      <c r="G17465">
        <v>0</v>
      </c>
      <c r="H17465">
        <v>1</v>
      </c>
      <c r="I17465" s="3">
        <v>421.28</v>
      </c>
      <c r="J17465" s="3">
        <v>7.02</v>
      </c>
      <c r="K17465" t="s">
        <v>38048</v>
      </c>
      <c r="L17465">
        <v>1832</v>
      </c>
      <c r="M17465" t="s">
        <v>32125</v>
      </c>
      <c r="N17465" t="s">
        <v>30</v>
      </c>
      <c r="O17465" t="s">
        <v>31</v>
      </c>
      <c r="P17465" t="str">
        <f>"15212"</f>
        <v>15212</v>
      </c>
    </row>
    <row r="17466" spans="1:16" x14ac:dyDescent="0.25">
      <c r="A17466" t="str">
        <f>"1260046K00330    00"</f>
        <v>1260046K00330    00</v>
      </c>
      <c r="B17466" t="s">
        <v>3247</v>
      </c>
      <c r="C17466" t="s">
        <v>38049</v>
      </c>
      <c r="D17466" t="s">
        <v>20</v>
      </c>
      <c r="E17466" t="s">
        <v>39</v>
      </c>
      <c r="F17466">
        <v>0</v>
      </c>
      <c r="G17466">
        <v>0</v>
      </c>
      <c r="H17466">
        <v>3</v>
      </c>
      <c r="I17466" s="3">
        <v>1789.09</v>
      </c>
      <c r="J17466" s="3">
        <v>89.45</v>
      </c>
      <c r="L17466">
        <v>6389</v>
      </c>
      <c r="M17466" t="s">
        <v>3249</v>
      </c>
      <c r="N17466" t="s">
        <v>30</v>
      </c>
      <c r="O17466" t="s">
        <v>31</v>
      </c>
      <c r="P17466" t="str">
        <f>"15206"</f>
        <v>15206</v>
      </c>
    </row>
    <row r="17467" spans="1:16" x14ac:dyDescent="0.25">
      <c r="A17467" t="str">
        <f>"1260046L00051    00"</f>
        <v>1260046L00051    00</v>
      </c>
      <c r="B17467" t="s">
        <v>38050</v>
      </c>
      <c r="C17467" t="s">
        <v>37559</v>
      </c>
      <c r="D17467" t="s">
        <v>20</v>
      </c>
      <c r="E17467" t="s">
        <v>39</v>
      </c>
      <c r="F17467">
        <v>0</v>
      </c>
      <c r="G17467">
        <v>0</v>
      </c>
      <c r="H17467">
        <v>17</v>
      </c>
      <c r="I17467" s="3">
        <v>815.39</v>
      </c>
      <c r="J17467" s="3">
        <v>617.13</v>
      </c>
      <c r="L17467">
        <v>936</v>
      </c>
      <c r="M17467" t="s">
        <v>38051</v>
      </c>
      <c r="N17467" t="s">
        <v>5797</v>
      </c>
      <c r="O17467" t="s">
        <v>200</v>
      </c>
      <c r="P17467" t="str">
        <f>"11236"</f>
        <v>11236</v>
      </c>
    </row>
    <row r="17468" spans="1:16" x14ac:dyDescent="0.25">
      <c r="A17468" t="str">
        <f>"1260046L00060    00"</f>
        <v>1260046L00060    00</v>
      </c>
      <c r="B17468" t="s">
        <v>38052</v>
      </c>
      <c r="C17468" t="s">
        <v>37754</v>
      </c>
      <c r="D17468" t="s">
        <v>20</v>
      </c>
      <c r="E17468" t="s">
        <v>39</v>
      </c>
      <c r="F17468">
        <v>0</v>
      </c>
      <c r="G17468">
        <v>0</v>
      </c>
      <c r="H17468">
        <v>12</v>
      </c>
      <c r="I17468" s="3">
        <v>4071.2</v>
      </c>
      <c r="J17468" s="3">
        <v>2141.48</v>
      </c>
      <c r="L17468">
        <v>850</v>
      </c>
      <c r="M17468" t="s">
        <v>7942</v>
      </c>
      <c r="N17468" t="s">
        <v>30</v>
      </c>
      <c r="O17468" t="s">
        <v>31</v>
      </c>
      <c r="P17468" t="str">
        <f>"15212"</f>
        <v>15212</v>
      </c>
    </row>
    <row r="17469" spans="1:16" x14ac:dyDescent="0.25">
      <c r="A17469" t="str">
        <f>"1260046L00061    00"</f>
        <v>1260046L00061    00</v>
      </c>
      <c r="B17469" t="s">
        <v>38053</v>
      </c>
      <c r="C17469" t="s">
        <v>37754</v>
      </c>
      <c r="D17469" t="s">
        <v>20</v>
      </c>
      <c r="E17469" t="s">
        <v>39</v>
      </c>
      <c r="F17469">
        <v>0</v>
      </c>
      <c r="G17469">
        <v>0</v>
      </c>
      <c r="H17469">
        <v>12</v>
      </c>
      <c r="I17469" s="3">
        <v>3983.2</v>
      </c>
      <c r="J17469" s="3">
        <v>2095.1999999999998</v>
      </c>
      <c r="L17469">
        <v>850</v>
      </c>
      <c r="M17469" t="s">
        <v>7942</v>
      </c>
      <c r="N17469" t="s">
        <v>30</v>
      </c>
      <c r="O17469" t="s">
        <v>31</v>
      </c>
      <c r="P17469" t="str">
        <f>"15212"</f>
        <v>15212</v>
      </c>
    </row>
    <row r="17470" spans="1:16" x14ac:dyDescent="0.25">
      <c r="A17470" t="str">
        <f>"1260046L00066    00"</f>
        <v>1260046L00066    00</v>
      </c>
      <c r="B17470" t="s">
        <v>38054</v>
      </c>
      <c r="C17470" t="s">
        <v>38055</v>
      </c>
      <c r="D17470" t="s">
        <v>20</v>
      </c>
      <c r="E17470" t="s">
        <v>39</v>
      </c>
      <c r="F17470">
        <v>0</v>
      </c>
      <c r="G17470">
        <v>0</v>
      </c>
      <c r="H17470">
        <v>5</v>
      </c>
      <c r="I17470" s="3">
        <v>969.15</v>
      </c>
      <c r="J17470" s="3">
        <v>182.33</v>
      </c>
      <c r="L17470">
        <v>2322</v>
      </c>
      <c r="M17470" t="s">
        <v>4514</v>
      </c>
      <c r="N17470" t="s">
        <v>30</v>
      </c>
      <c r="O17470" t="s">
        <v>31</v>
      </c>
      <c r="P17470" t="str">
        <f>"15214"</f>
        <v>15214</v>
      </c>
    </row>
    <row r="17471" spans="1:16" x14ac:dyDescent="0.25">
      <c r="A17471" t="str">
        <f>"1260046L00070    00"</f>
        <v>1260046L00070    00</v>
      </c>
      <c r="B17471" t="s">
        <v>38056</v>
      </c>
      <c r="C17471" t="s">
        <v>38057</v>
      </c>
      <c r="D17471" t="s">
        <v>20</v>
      </c>
      <c r="E17471" t="s">
        <v>39</v>
      </c>
      <c r="F17471">
        <v>0</v>
      </c>
      <c r="G17471">
        <v>0</v>
      </c>
      <c r="H17471">
        <v>6</v>
      </c>
      <c r="I17471" s="3">
        <v>3214.38</v>
      </c>
      <c r="J17471" s="3">
        <v>543.12</v>
      </c>
      <c r="L17471">
        <v>2316</v>
      </c>
      <c r="M17471" t="s">
        <v>4514</v>
      </c>
      <c r="N17471" t="s">
        <v>30</v>
      </c>
      <c r="O17471" t="s">
        <v>31</v>
      </c>
      <c r="P17471" t="str">
        <f>"15214"</f>
        <v>15214</v>
      </c>
    </row>
    <row r="17472" spans="1:16" x14ac:dyDescent="0.25">
      <c r="A17472" t="str">
        <f>"1260046L00120    00"</f>
        <v>1260046L00120    00</v>
      </c>
      <c r="B17472" t="s">
        <v>38058</v>
      </c>
      <c r="C17472" t="s">
        <v>38059</v>
      </c>
      <c r="D17472" t="s">
        <v>20</v>
      </c>
      <c r="E17472" t="s">
        <v>39</v>
      </c>
      <c r="F17472">
        <v>0</v>
      </c>
      <c r="G17472">
        <v>0</v>
      </c>
      <c r="H17472">
        <v>14</v>
      </c>
      <c r="I17472" s="3">
        <v>1558.04</v>
      </c>
      <c r="J17472" s="3">
        <v>847.53</v>
      </c>
      <c r="L17472">
        <v>127</v>
      </c>
      <c r="M17472" t="s">
        <v>35617</v>
      </c>
      <c r="N17472" t="s">
        <v>625</v>
      </c>
      <c r="O17472" t="s">
        <v>31</v>
      </c>
      <c r="P17472" t="str">
        <f t="shared" ref="P17472:P17477" si="223">"15108"</f>
        <v>15108</v>
      </c>
    </row>
    <row r="17473" spans="1:16" x14ac:dyDescent="0.25">
      <c r="A17473" t="str">
        <f>"1260046L00121    00"</f>
        <v>1260046L00121    00</v>
      </c>
      <c r="B17473" t="s">
        <v>38058</v>
      </c>
      <c r="C17473" t="s">
        <v>38059</v>
      </c>
      <c r="D17473" t="s">
        <v>20</v>
      </c>
      <c r="E17473" t="s">
        <v>39</v>
      </c>
      <c r="F17473">
        <v>0</v>
      </c>
      <c r="G17473">
        <v>0</v>
      </c>
      <c r="H17473">
        <v>13</v>
      </c>
      <c r="I17473" s="3">
        <v>1426.52</v>
      </c>
      <c r="J17473" s="3">
        <v>821.22</v>
      </c>
      <c r="L17473">
        <v>127</v>
      </c>
      <c r="M17473" t="s">
        <v>35617</v>
      </c>
      <c r="N17473" t="s">
        <v>625</v>
      </c>
      <c r="O17473" t="s">
        <v>31</v>
      </c>
      <c r="P17473" t="str">
        <f t="shared" si="223"/>
        <v>15108</v>
      </c>
    </row>
    <row r="17474" spans="1:16" x14ac:dyDescent="0.25">
      <c r="A17474" t="str">
        <f>"1260046L00122    00"</f>
        <v>1260046L00122    00</v>
      </c>
      <c r="B17474" t="s">
        <v>38058</v>
      </c>
      <c r="C17474" t="s">
        <v>38059</v>
      </c>
      <c r="D17474" t="s">
        <v>20</v>
      </c>
      <c r="E17474" t="s">
        <v>39</v>
      </c>
      <c r="F17474">
        <v>0</v>
      </c>
      <c r="G17474">
        <v>0</v>
      </c>
      <c r="H17474">
        <v>14</v>
      </c>
      <c r="I17474" s="3">
        <v>1558.04</v>
      </c>
      <c r="J17474" s="3">
        <v>847.53</v>
      </c>
      <c r="L17474">
        <v>127</v>
      </c>
      <c r="M17474" t="s">
        <v>35617</v>
      </c>
      <c r="N17474" t="s">
        <v>625</v>
      </c>
      <c r="O17474" t="s">
        <v>31</v>
      </c>
      <c r="P17474" t="str">
        <f t="shared" si="223"/>
        <v>15108</v>
      </c>
    </row>
    <row r="17475" spans="1:16" x14ac:dyDescent="0.25">
      <c r="A17475" t="str">
        <f>"1260046L00123    00"</f>
        <v>1260046L00123    00</v>
      </c>
      <c r="B17475" t="s">
        <v>38058</v>
      </c>
      <c r="C17475" t="s">
        <v>38059</v>
      </c>
      <c r="D17475" t="s">
        <v>20</v>
      </c>
      <c r="E17475" t="s">
        <v>39</v>
      </c>
      <c r="F17475">
        <v>0</v>
      </c>
      <c r="G17475">
        <v>0</v>
      </c>
      <c r="H17475">
        <v>14</v>
      </c>
      <c r="I17475" s="3">
        <v>1558.04</v>
      </c>
      <c r="J17475" s="3">
        <v>847.53</v>
      </c>
      <c r="L17475">
        <v>127</v>
      </c>
      <c r="M17475" t="s">
        <v>35617</v>
      </c>
      <c r="N17475" t="s">
        <v>625</v>
      </c>
      <c r="O17475" t="s">
        <v>31</v>
      </c>
      <c r="P17475" t="str">
        <f t="shared" si="223"/>
        <v>15108</v>
      </c>
    </row>
    <row r="17476" spans="1:16" x14ac:dyDescent="0.25">
      <c r="A17476" t="str">
        <f>"1260046L00124    00"</f>
        <v>1260046L00124    00</v>
      </c>
      <c r="B17476" t="s">
        <v>38058</v>
      </c>
      <c r="C17476" t="s">
        <v>38059</v>
      </c>
      <c r="D17476" t="s">
        <v>20</v>
      </c>
      <c r="E17476" t="s">
        <v>39</v>
      </c>
      <c r="F17476">
        <v>0</v>
      </c>
      <c r="G17476">
        <v>0</v>
      </c>
      <c r="H17476">
        <v>14</v>
      </c>
      <c r="I17476" s="3">
        <v>1558.04</v>
      </c>
      <c r="J17476" s="3">
        <v>847.53</v>
      </c>
      <c r="L17476">
        <v>127</v>
      </c>
      <c r="M17476" t="s">
        <v>35617</v>
      </c>
      <c r="N17476" t="s">
        <v>625</v>
      </c>
      <c r="O17476" t="s">
        <v>31</v>
      </c>
      <c r="P17476" t="str">
        <f t="shared" si="223"/>
        <v>15108</v>
      </c>
    </row>
    <row r="17477" spans="1:16" x14ac:dyDescent="0.25">
      <c r="A17477" t="str">
        <f>"1260046L00129    00"</f>
        <v>1260046L00129    00</v>
      </c>
      <c r="B17477" t="s">
        <v>38058</v>
      </c>
      <c r="C17477" t="s">
        <v>38059</v>
      </c>
      <c r="D17477" t="s">
        <v>20</v>
      </c>
      <c r="E17477" t="s">
        <v>39</v>
      </c>
      <c r="F17477">
        <v>0</v>
      </c>
      <c r="G17477">
        <v>0</v>
      </c>
      <c r="H17477">
        <v>14</v>
      </c>
      <c r="I17477" s="3">
        <v>4312.46</v>
      </c>
      <c r="J17477" s="3">
        <v>2376.77</v>
      </c>
      <c r="L17477">
        <v>127</v>
      </c>
      <c r="M17477" t="s">
        <v>35617</v>
      </c>
      <c r="N17477" t="s">
        <v>625</v>
      </c>
      <c r="O17477" t="s">
        <v>31</v>
      </c>
      <c r="P17477" t="str">
        <f t="shared" si="223"/>
        <v>15108</v>
      </c>
    </row>
    <row r="17478" spans="1:16" x14ac:dyDescent="0.25">
      <c r="A17478" t="str">
        <f>"1260046L00141    00"</f>
        <v>1260046L00141    00</v>
      </c>
      <c r="B17478" t="s">
        <v>38060</v>
      </c>
      <c r="C17478" t="s">
        <v>38061</v>
      </c>
      <c r="D17478" t="s">
        <v>20</v>
      </c>
      <c r="E17478" t="s">
        <v>39</v>
      </c>
      <c r="F17478">
        <v>0</v>
      </c>
      <c r="G17478">
        <v>0</v>
      </c>
      <c r="H17478">
        <v>8</v>
      </c>
      <c r="I17478" s="3">
        <v>2263.54</v>
      </c>
      <c r="J17478" s="3">
        <v>1091.0899999999999</v>
      </c>
      <c r="K17478" t="s">
        <v>38062</v>
      </c>
      <c r="L17478">
        <v>2218</v>
      </c>
      <c r="M17478" t="s">
        <v>4514</v>
      </c>
      <c r="N17478" t="s">
        <v>30</v>
      </c>
      <c r="O17478" t="s">
        <v>31</v>
      </c>
      <c r="P17478" t="str">
        <f>"15214"</f>
        <v>15214</v>
      </c>
    </row>
    <row r="17479" spans="1:16" x14ac:dyDescent="0.25">
      <c r="A17479" t="str">
        <f>"1260046L00164    00"</f>
        <v>1260046L00164    00</v>
      </c>
      <c r="B17479" t="s">
        <v>38063</v>
      </c>
      <c r="C17479" t="s">
        <v>38064</v>
      </c>
      <c r="D17479" t="s">
        <v>20</v>
      </c>
      <c r="E17479" t="s">
        <v>39</v>
      </c>
      <c r="F17479">
        <v>0</v>
      </c>
      <c r="G17479">
        <v>0</v>
      </c>
      <c r="H17479">
        <v>9</v>
      </c>
      <c r="I17479" s="3">
        <v>2728.86</v>
      </c>
      <c r="J17479" s="3">
        <v>618.54</v>
      </c>
      <c r="L17479">
        <v>362</v>
      </c>
      <c r="M17479" t="s">
        <v>7864</v>
      </c>
      <c r="N17479" t="s">
        <v>30</v>
      </c>
      <c r="O17479" t="s">
        <v>31</v>
      </c>
      <c r="P17479" t="str">
        <f>"15214"</f>
        <v>15214</v>
      </c>
    </row>
    <row r="17480" spans="1:16" x14ac:dyDescent="0.25">
      <c r="A17480" t="str">
        <f>"1260046L00192    00"</f>
        <v>1260046L00192    00</v>
      </c>
      <c r="B17480" t="s">
        <v>38065</v>
      </c>
      <c r="C17480" t="s">
        <v>38066</v>
      </c>
      <c r="E17480" t="s">
        <v>39</v>
      </c>
      <c r="F17480">
        <v>0</v>
      </c>
      <c r="G17480">
        <v>0</v>
      </c>
      <c r="H17480">
        <v>1</v>
      </c>
      <c r="I17480" s="3">
        <v>809.76</v>
      </c>
      <c r="J17480" s="3">
        <v>0</v>
      </c>
      <c r="L17480">
        <v>322</v>
      </c>
      <c r="M17480" t="s">
        <v>25167</v>
      </c>
      <c r="N17480" t="s">
        <v>30</v>
      </c>
      <c r="O17480" t="s">
        <v>31</v>
      </c>
      <c r="P17480" t="str">
        <f>"15211"</f>
        <v>15211</v>
      </c>
    </row>
    <row r="17481" spans="1:16" x14ac:dyDescent="0.25">
      <c r="A17481" t="str">
        <f>"1260046L00212    00"</f>
        <v>1260046L00212    00</v>
      </c>
      <c r="B17481" t="s">
        <v>37111</v>
      </c>
      <c r="C17481" t="s">
        <v>38067</v>
      </c>
      <c r="D17481" t="s">
        <v>20</v>
      </c>
      <c r="E17481" t="s">
        <v>39</v>
      </c>
      <c r="F17481">
        <v>0</v>
      </c>
      <c r="G17481">
        <v>0</v>
      </c>
      <c r="H17481">
        <v>5</v>
      </c>
      <c r="I17481" s="3">
        <v>3774.14</v>
      </c>
      <c r="J17481" s="3">
        <v>537.48</v>
      </c>
      <c r="L17481">
        <v>2114</v>
      </c>
      <c r="M17481" t="s">
        <v>37091</v>
      </c>
      <c r="N17481" t="s">
        <v>30</v>
      </c>
      <c r="O17481" t="s">
        <v>31</v>
      </c>
      <c r="P17481" t="str">
        <f>"15214"</f>
        <v>15214</v>
      </c>
    </row>
    <row r="17482" spans="1:16" x14ac:dyDescent="0.25">
      <c r="A17482" t="str">
        <f>"1260046L00219    00"</f>
        <v>1260046L00219    00</v>
      </c>
      <c r="B17482" t="s">
        <v>38068</v>
      </c>
      <c r="C17482" t="s">
        <v>38069</v>
      </c>
      <c r="E17482" t="s">
        <v>39</v>
      </c>
      <c r="F17482">
        <v>0</v>
      </c>
      <c r="G17482">
        <v>0</v>
      </c>
      <c r="H17482">
        <v>8</v>
      </c>
      <c r="I17482" s="3">
        <v>13197.22</v>
      </c>
      <c r="J17482" s="3">
        <v>5679.29</v>
      </c>
      <c r="L17482">
        <v>161</v>
      </c>
      <c r="M17482" t="s">
        <v>38070</v>
      </c>
      <c r="N17482" t="s">
        <v>546</v>
      </c>
      <c r="O17482" t="s">
        <v>31</v>
      </c>
      <c r="P17482" t="str">
        <f>"15044"</f>
        <v>15044</v>
      </c>
    </row>
    <row r="17483" spans="1:16" x14ac:dyDescent="0.25">
      <c r="A17483" t="str">
        <f>"1260046L00344    00"</f>
        <v>1260046L00344    00</v>
      </c>
      <c r="B17483" t="s">
        <v>38071</v>
      </c>
      <c r="C17483" t="s">
        <v>38072</v>
      </c>
      <c r="E17483" t="s">
        <v>39</v>
      </c>
      <c r="F17483">
        <v>0</v>
      </c>
      <c r="G17483">
        <v>0</v>
      </c>
      <c r="H17483">
        <v>1</v>
      </c>
      <c r="I17483" s="3">
        <v>649.61</v>
      </c>
      <c r="J17483" s="3">
        <v>135.34</v>
      </c>
      <c r="K17483" t="s">
        <v>5352</v>
      </c>
      <c r="L17483">
        <v>3001</v>
      </c>
      <c r="M17483" t="s">
        <v>330</v>
      </c>
      <c r="N17483" t="s">
        <v>331</v>
      </c>
      <c r="O17483" t="s">
        <v>108</v>
      </c>
      <c r="P17483" t="str">
        <f>"75063"</f>
        <v>75063</v>
      </c>
    </row>
    <row r="17484" spans="1:16" x14ac:dyDescent="0.25">
      <c r="A17484" t="str">
        <f>"1260046M00039    00"</f>
        <v>1260046M00039    00</v>
      </c>
      <c r="B17484" t="s">
        <v>37843</v>
      </c>
      <c r="C17484" t="s">
        <v>37756</v>
      </c>
      <c r="D17484" t="s">
        <v>20</v>
      </c>
      <c r="E17484" t="s">
        <v>39</v>
      </c>
      <c r="F17484">
        <v>0</v>
      </c>
      <c r="G17484">
        <v>0</v>
      </c>
      <c r="H17484">
        <v>19</v>
      </c>
      <c r="I17484" s="3">
        <v>1346.78</v>
      </c>
      <c r="J17484" s="3">
        <v>1139.3499999999999</v>
      </c>
      <c r="K17484" t="s">
        <v>1008</v>
      </c>
      <c r="P17484" t="str">
        <f>""</f>
        <v/>
      </c>
    </row>
    <row r="17485" spans="1:16" x14ac:dyDescent="0.25">
      <c r="A17485" t="str">
        <f>"1260046M00069    00"</f>
        <v>1260046M00069    00</v>
      </c>
      <c r="B17485" t="s">
        <v>38073</v>
      </c>
      <c r="C17485" t="s">
        <v>38074</v>
      </c>
      <c r="D17485" t="s">
        <v>20</v>
      </c>
      <c r="E17485" t="s">
        <v>39</v>
      </c>
      <c r="F17485">
        <v>0</v>
      </c>
      <c r="G17485">
        <v>0</v>
      </c>
      <c r="H17485">
        <v>3</v>
      </c>
      <c r="I17485" s="3">
        <v>365.94</v>
      </c>
      <c r="J17485" s="3">
        <v>24.4</v>
      </c>
      <c r="K17485" t="s">
        <v>38075</v>
      </c>
      <c r="L17485">
        <v>2134</v>
      </c>
      <c r="M17485" t="s">
        <v>36739</v>
      </c>
      <c r="N17485" t="s">
        <v>30</v>
      </c>
      <c r="O17485" t="s">
        <v>31</v>
      </c>
      <c r="P17485" t="str">
        <f>"15214"</f>
        <v>15214</v>
      </c>
    </row>
    <row r="17486" spans="1:16" x14ac:dyDescent="0.25">
      <c r="A17486" t="str">
        <f>"1260046N00024    00"</f>
        <v>1260046N00024    00</v>
      </c>
      <c r="B17486" t="s">
        <v>38076</v>
      </c>
      <c r="C17486" t="s">
        <v>38077</v>
      </c>
      <c r="D17486" t="s">
        <v>20</v>
      </c>
      <c r="E17486" t="s">
        <v>39</v>
      </c>
      <c r="F17486">
        <v>0</v>
      </c>
      <c r="G17486">
        <v>0</v>
      </c>
      <c r="H17486">
        <v>2</v>
      </c>
      <c r="I17486" s="3">
        <v>1284.6600000000001</v>
      </c>
      <c r="J17486" s="3">
        <v>0</v>
      </c>
      <c r="L17486">
        <v>117</v>
      </c>
      <c r="M17486" t="s">
        <v>34011</v>
      </c>
      <c r="N17486" t="s">
        <v>30</v>
      </c>
      <c r="O17486" t="s">
        <v>31</v>
      </c>
      <c r="P17486" t="str">
        <f>"15214"</f>
        <v>15214</v>
      </c>
    </row>
    <row r="17487" spans="1:16" x14ac:dyDescent="0.25">
      <c r="A17487" t="str">
        <f>"1260046P00239    00"</f>
        <v>1260046P00239    00</v>
      </c>
      <c r="B17487" t="s">
        <v>38078</v>
      </c>
      <c r="C17487" t="s">
        <v>37009</v>
      </c>
      <c r="D17487" t="s">
        <v>20</v>
      </c>
      <c r="E17487" t="s">
        <v>39</v>
      </c>
      <c r="F17487">
        <v>0</v>
      </c>
      <c r="G17487">
        <v>0</v>
      </c>
      <c r="H17487">
        <v>17</v>
      </c>
      <c r="I17487" s="3">
        <v>492.41</v>
      </c>
      <c r="J17487" s="3">
        <v>643.91999999999996</v>
      </c>
      <c r="K17487" t="s">
        <v>1037</v>
      </c>
      <c r="L17487">
        <v>218</v>
      </c>
      <c r="M17487" t="s">
        <v>12155</v>
      </c>
      <c r="N17487" t="s">
        <v>546</v>
      </c>
      <c r="O17487" t="s">
        <v>31</v>
      </c>
      <c r="P17487" t="str">
        <f>"15044"</f>
        <v>15044</v>
      </c>
    </row>
    <row r="17488" spans="1:16" x14ac:dyDescent="0.25">
      <c r="A17488" t="str">
        <f>"1260047A00051    00"</f>
        <v>1260047A00051    00</v>
      </c>
      <c r="B17488" t="s">
        <v>38079</v>
      </c>
      <c r="C17488" t="s">
        <v>38080</v>
      </c>
      <c r="D17488" t="s">
        <v>20</v>
      </c>
      <c r="E17488" t="s">
        <v>39</v>
      </c>
      <c r="F17488">
        <v>0</v>
      </c>
      <c r="G17488">
        <v>0</v>
      </c>
      <c r="H17488">
        <v>2</v>
      </c>
      <c r="I17488" s="3">
        <v>232.56</v>
      </c>
      <c r="J17488" s="3">
        <v>0</v>
      </c>
      <c r="K17488" t="s">
        <v>2106</v>
      </c>
      <c r="L17488">
        <v>6053</v>
      </c>
      <c r="M17488" t="s">
        <v>2107</v>
      </c>
      <c r="N17488" t="s">
        <v>2108</v>
      </c>
      <c r="O17488" t="s">
        <v>2109</v>
      </c>
      <c r="P17488" t="str">
        <f>"84107"</f>
        <v>84107</v>
      </c>
    </row>
    <row r="17489" spans="1:16" x14ac:dyDescent="0.25">
      <c r="A17489" t="str">
        <f>"1260047A00053    00"</f>
        <v>1260047A00053    00</v>
      </c>
      <c r="B17489" t="s">
        <v>38079</v>
      </c>
      <c r="C17489" t="s">
        <v>38080</v>
      </c>
      <c r="D17489" t="s">
        <v>20</v>
      </c>
      <c r="E17489" t="s">
        <v>39</v>
      </c>
      <c r="F17489">
        <v>0</v>
      </c>
      <c r="G17489">
        <v>0</v>
      </c>
      <c r="H17489">
        <v>2</v>
      </c>
      <c r="I17489" s="3">
        <v>232.56</v>
      </c>
      <c r="J17489" s="3">
        <v>0</v>
      </c>
      <c r="K17489" t="s">
        <v>2106</v>
      </c>
      <c r="L17489">
        <v>6053</v>
      </c>
      <c r="M17489" t="s">
        <v>2107</v>
      </c>
      <c r="N17489" t="s">
        <v>2108</v>
      </c>
      <c r="O17489" t="s">
        <v>2109</v>
      </c>
      <c r="P17489" t="str">
        <f>"84107"</f>
        <v>84107</v>
      </c>
    </row>
    <row r="17490" spans="1:16" x14ac:dyDescent="0.25">
      <c r="A17490" t="str">
        <f>"1260047A00064    00"</f>
        <v>1260047A00064    00</v>
      </c>
      <c r="B17490" t="s">
        <v>38079</v>
      </c>
      <c r="C17490" t="s">
        <v>38081</v>
      </c>
      <c r="D17490" t="s">
        <v>20</v>
      </c>
      <c r="E17490" t="s">
        <v>39</v>
      </c>
      <c r="F17490">
        <v>0</v>
      </c>
      <c r="G17490">
        <v>0</v>
      </c>
      <c r="H17490">
        <v>2</v>
      </c>
      <c r="I17490" s="3">
        <v>2001.32</v>
      </c>
      <c r="J17490" s="3">
        <v>0</v>
      </c>
      <c r="K17490" t="s">
        <v>2106</v>
      </c>
      <c r="L17490">
        <v>6053</v>
      </c>
      <c r="M17490" t="s">
        <v>2107</v>
      </c>
      <c r="N17490" t="s">
        <v>2108</v>
      </c>
      <c r="O17490" t="s">
        <v>2109</v>
      </c>
      <c r="P17490" t="str">
        <f>"84107"</f>
        <v>84107</v>
      </c>
    </row>
    <row r="17491" spans="1:16" x14ac:dyDescent="0.25">
      <c r="A17491" t="str">
        <f>"1260047A00072    00"</f>
        <v>1260047A00072    00</v>
      </c>
      <c r="B17491" t="s">
        <v>38082</v>
      </c>
      <c r="C17491" t="s">
        <v>38083</v>
      </c>
      <c r="D17491" t="s">
        <v>20</v>
      </c>
      <c r="E17491" t="s">
        <v>39</v>
      </c>
      <c r="F17491">
        <v>0</v>
      </c>
      <c r="G17491">
        <v>0</v>
      </c>
      <c r="H17491">
        <v>11</v>
      </c>
      <c r="I17491" s="3">
        <v>13680.75</v>
      </c>
      <c r="J17491" s="3">
        <v>5738.29</v>
      </c>
      <c r="K17491" t="s">
        <v>38084</v>
      </c>
      <c r="L17491">
        <v>25216</v>
      </c>
      <c r="M17491" t="s">
        <v>38085</v>
      </c>
      <c r="N17491" t="s">
        <v>38086</v>
      </c>
      <c r="O17491" t="s">
        <v>6668</v>
      </c>
      <c r="P17491" t="str">
        <f>"98038"</f>
        <v>98038</v>
      </c>
    </row>
    <row r="17492" spans="1:16" x14ac:dyDescent="0.25">
      <c r="A17492" t="str">
        <f>"1260047A00098    00"</f>
        <v>1260047A00098    00</v>
      </c>
      <c r="B17492" t="s">
        <v>38087</v>
      </c>
      <c r="C17492" t="s">
        <v>38083</v>
      </c>
      <c r="D17492" t="s">
        <v>20</v>
      </c>
      <c r="E17492" t="s">
        <v>39</v>
      </c>
      <c r="F17492">
        <v>0</v>
      </c>
      <c r="G17492">
        <v>0</v>
      </c>
      <c r="H17492">
        <v>11</v>
      </c>
      <c r="I17492" s="3">
        <v>2917.42</v>
      </c>
      <c r="J17492" s="3">
        <v>1392.4</v>
      </c>
      <c r="K17492" t="s">
        <v>38084</v>
      </c>
      <c r="L17492">
        <v>25216</v>
      </c>
      <c r="M17492" t="s">
        <v>38085</v>
      </c>
      <c r="N17492" t="s">
        <v>38086</v>
      </c>
      <c r="O17492" t="s">
        <v>6668</v>
      </c>
      <c r="P17492" t="str">
        <f>"98038"</f>
        <v>98038</v>
      </c>
    </row>
    <row r="17493" spans="1:16" x14ac:dyDescent="0.25">
      <c r="A17493" t="str">
        <f>"1260047A00161    00"</f>
        <v>1260047A00161    00</v>
      </c>
      <c r="B17493" t="s">
        <v>38088</v>
      </c>
      <c r="C17493" t="s">
        <v>38089</v>
      </c>
      <c r="E17493" t="s">
        <v>39</v>
      </c>
      <c r="F17493">
        <v>0</v>
      </c>
      <c r="G17493">
        <v>0</v>
      </c>
      <c r="H17493">
        <v>1</v>
      </c>
      <c r="I17493" s="3">
        <v>259.52999999999997</v>
      </c>
      <c r="J17493" s="3">
        <v>51.9</v>
      </c>
      <c r="L17493">
        <v>1115</v>
      </c>
      <c r="M17493" t="s">
        <v>38090</v>
      </c>
      <c r="N17493" t="s">
        <v>30</v>
      </c>
      <c r="O17493" t="s">
        <v>31</v>
      </c>
      <c r="P17493" t="str">
        <f>"15212"</f>
        <v>15212</v>
      </c>
    </row>
    <row r="17494" spans="1:16" x14ac:dyDescent="0.25">
      <c r="A17494" t="str">
        <f>"1260047A00167    00"</f>
        <v>1260047A00167    00</v>
      </c>
      <c r="B17494" t="s">
        <v>38091</v>
      </c>
      <c r="C17494" t="s">
        <v>38092</v>
      </c>
      <c r="D17494" t="s">
        <v>20</v>
      </c>
      <c r="E17494" t="s">
        <v>39</v>
      </c>
      <c r="F17494">
        <v>0</v>
      </c>
      <c r="G17494">
        <v>0</v>
      </c>
      <c r="H17494">
        <v>2</v>
      </c>
      <c r="I17494" s="3">
        <v>1102.98</v>
      </c>
      <c r="J17494" s="3">
        <v>0</v>
      </c>
      <c r="L17494">
        <v>500</v>
      </c>
      <c r="M17494" t="s">
        <v>38093</v>
      </c>
      <c r="N17494" t="s">
        <v>30</v>
      </c>
      <c r="O17494" t="s">
        <v>31</v>
      </c>
      <c r="P17494" t="str">
        <f>"15212"</f>
        <v>15212</v>
      </c>
    </row>
    <row r="17495" spans="1:16" x14ac:dyDescent="0.25">
      <c r="A17495" t="str">
        <f>"1260047A00179    00"</f>
        <v>1260047A00179    00</v>
      </c>
      <c r="B17495" t="s">
        <v>38094</v>
      </c>
      <c r="C17495" t="s">
        <v>38095</v>
      </c>
      <c r="D17495" t="s">
        <v>20</v>
      </c>
      <c r="E17495" t="s">
        <v>39</v>
      </c>
      <c r="F17495">
        <v>0</v>
      </c>
      <c r="G17495">
        <v>0</v>
      </c>
      <c r="H17495">
        <v>18</v>
      </c>
      <c r="I17495" s="3">
        <v>2552.92</v>
      </c>
      <c r="J17495" s="3">
        <v>2394.37</v>
      </c>
      <c r="L17495">
        <v>1132</v>
      </c>
      <c r="M17495" t="s">
        <v>38096</v>
      </c>
      <c r="N17495" t="s">
        <v>30</v>
      </c>
      <c r="O17495" t="s">
        <v>31</v>
      </c>
      <c r="P17495" t="str">
        <f>"15212"</f>
        <v>15212</v>
      </c>
    </row>
    <row r="17496" spans="1:16" x14ac:dyDescent="0.25">
      <c r="A17496" t="str">
        <f>"1260047A00186    00"</f>
        <v>1260047A00186    00</v>
      </c>
      <c r="B17496" t="s">
        <v>38097</v>
      </c>
      <c r="C17496" t="s">
        <v>38098</v>
      </c>
      <c r="D17496" t="s">
        <v>20</v>
      </c>
      <c r="E17496" t="s">
        <v>39</v>
      </c>
      <c r="F17496">
        <v>0</v>
      </c>
      <c r="G17496">
        <v>0</v>
      </c>
      <c r="H17496">
        <v>18</v>
      </c>
      <c r="I17496" s="3">
        <v>17272.57</v>
      </c>
      <c r="J17496" s="3">
        <v>13634.98</v>
      </c>
      <c r="P17496" t="str">
        <f>""</f>
        <v/>
      </c>
    </row>
    <row r="17497" spans="1:16" x14ac:dyDescent="0.25">
      <c r="A17497" t="str">
        <f>"1260047A00191    00"</f>
        <v>1260047A00191    00</v>
      </c>
      <c r="B17497" t="s">
        <v>38099</v>
      </c>
      <c r="C17497" t="s">
        <v>38100</v>
      </c>
      <c r="D17497" t="s">
        <v>20</v>
      </c>
      <c r="E17497" t="s">
        <v>39</v>
      </c>
      <c r="F17497">
        <v>0</v>
      </c>
      <c r="G17497">
        <v>0</v>
      </c>
      <c r="H17497">
        <v>13</v>
      </c>
      <c r="I17497" s="3">
        <v>6498.46</v>
      </c>
      <c r="J17497" s="3">
        <v>3477.51</v>
      </c>
      <c r="L17497">
        <v>670</v>
      </c>
      <c r="M17497" t="s">
        <v>38101</v>
      </c>
      <c r="N17497" t="s">
        <v>38102</v>
      </c>
      <c r="O17497" t="s">
        <v>370</v>
      </c>
      <c r="P17497" t="str">
        <f>"32714"</f>
        <v>32714</v>
      </c>
    </row>
    <row r="17498" spans="1:16" x14ac:dyDescent="0.25">
      <c r="A17498" t="str">
        <f>"1260047A00195    00"</f>
        <v>1260047A00195    00</v>
      </c>
      <c r="B17498" t="s">
        <v>38103</v>
      </c>
      <c r="C17498" t="s">
        <v>38104</v>
      </c>
      <c r="D17498" t="s">
        <v>20</v>
      </c>
      <c r="E17498" t="s">
        <v>39</v>
      </c>
      <c r="F17498">
        <v>0</v>
      </c>
      <c r="G17498">
        <v>0</v>
      </c>
      <c r="H17498">
        <v>1</v>
      </c>
      <c r="I17498" s="3">
        <v>926.34</v>
      </c>
      <c r="J17498" s="3">
        <v>0</v>
      </c>
      <c r="K17498" t="s">
        <v>26229</v>
      </c>
      <c r="L17498">
        <v>74</v>
      </c>
      <c r="M17498" t="s">
        <v>26230</v>
      </c>
      <c r="N17498" t="s">
        <v>30</v>
      </c>
      <c r="O17498" t="s">
        <v>31</v>
      </c>
      <c r="P17498" t="str">
        <f>"15203"</f>
        <v>15203</v>
      </c>
    </row>
    <row r="17499" spans="1:16" x14ac:dyDescent="0.25">
      <c r="A17499" t="str">
        <f>"1260047A00199    00"</f>
        <v>1260047A00199    00</v>
      </c>
      <c r="B17499" t="s">
        <v>38105</v>
      </c>
      <c r="C17499" t="s">
        <v>38106</v>
      </c>
      <c r="D17499" t="s">
        <v>20</v>
      </c>
      <c r="E17499" t="s">
        <v>39</v>
      </c>
      <c r="F17499">
        <v>0</v>
      </c>
      <c r="G17499">
        <v>0</v>
      </c>
      <c r="H17499">
        <v>15</v>
      </c>
      <c r="I17499" s="3">
        <v>12423.81</v>
      </c>
      <c r="J17499" s="3">
        <v>7845.66</v>
      </c>
      <c r="K17499" t="s">
        <v>38107</v>
      </c>
      <c r="L17499">
        <v>931</v>
      </c>
      <c r="M17499" t="s">
        <v>38108</v>
      </c>
      <c r="N17499" t="s">
        <v>30</v>
      </c>
      <c r="O17499" t="s">
        <v>31</v>
      </c>
      <c r="P17499" t="str">
        <f>"15202"</f>
        <v>15202</v>
      </c>
    </row>
    <row r="17500" spans="1:16" x14ac:dyDescent="0.25">
      <c r="A17500" t="str">
        <f>"1260047A00220    00"</f>
        <v>1260047A00220    00</v>
      </c>
      <c r="B17500" t="s">
        <v>23799</v>
      </c>
      <c r="C17500" t="s">
        <v>38095</v>
      </c>
      <c r="D17500" t="s">
        <v>20</v>
      </c>
      <c r="E17500" t="s">
        <v>39</v>
      </c>
      <c r="F17500">
        <v>0</v>
      </c>
      <c r="G17500">
        <v>0</v>
      </c>
      <c r="H17500">
        <v>4</v>
      </c>
      <c r="I17500" s="3">
        <v>561.94000000000005</v>
      </c>
      <c r="J17500" s="3">
        <v>66.39</v>
      </c>
      <c r="K17500" t="s">
        <v>23801</v>
      </c>
      <c r="L17500">
        <v>239</v>
      </c>
      <c r="M17500" t="s">
        <v>4730</v>
      </c>
      <c r="N17500" t="s">
        <v>30</v>
      </c>
      <c r="O17500" t="s">
        <v>31</v>
      </c>
      <c r="P17500" t="str">
        <f>"15222"</f>
        <v>15222</v>
      </c>
    </row>
    <row r="17501" spans="1:16" x14ac:dyDescent="0.25">
      <c r="A17501" t="str">
        <f>"1260047A00224    00"</f>
        <v>1260047A00224    00</v>
      </c>
      <c r="B17501" t="s">
        <v>23799</v>
      </c>
      <c r="C17501" t="s">
        <v>38109</v>
      </c>
      <c r="D17501" t="s">
        <v>20</v>
      </c>
      <c r="E17501" t="s">
        <v>39</v>
      </c>
      <c r="F17501">
        <v>0</v>
      </c>
      <c r="G17501">
        <v>0</v>
      </c>
      <c r="H17501">
        <v>6</v>
      </c>
      <c r="I17501" s="3">
        <v>5779.13</v>
      </c>
      <c r="J17501" s="3">
        <v>1282.1099999999999</v>
      </c>
      <c r="K17501" t="s">
        <v>23801</v>
      </c>
      <c r="L17501">
        <v>239</v>
      </c>
      <c r="M17501" t="s">
        <v>4730</v>
      </c>
      <c r="N17501" t="s">
        <v>30</v>
      </c>
      <c r="O17501" t="s">
        <v>31</v>
      </c>
      <c r="P17501" t="str">
        <f>"15222"</f>
        <v>15222</v>
      </c>
    </row>
    <row r="17502" spans="1:16" x14ac:dyDescent="0.25">
      <c r="A17502" t="str">
        <f>"1260047A00235    00"</f>
        <v>1260047A00235    00</v>
      </c>
      <c r="B17502" t="s">
        <v>38110</v>
      </c>
      <c r="C17502" t="s">
        <v>38111</v>
      </c>
      <c r="D17502" t="s">
        <v>20</v>
      </c>
      <c r="E17502" t="s">
        <v>21</v>
      </c>
      <c r="F17502">
        <v>0</v>
      </c>
      <c r="G17502">
        <v>0</v>
      </c>
      <c r="H17502">
        <v>6</v>
      </c>
      <c r="I17502" s="3">
        <v>4010.94</v>
      </c>
      <c r="J17502" s="3">
        <v>899.58</v>
      </c>
      <c r="L17502">
        <v>910</v>
      </c>
      <c r="M17502" t="s">
        <v>38112</v>
      </c>
      <c r="N17502" t="s">
        <v>30</v>
      </c>
      <c r="O17502" t="s">
        <v>31</v>
      </c>
      <c r="P17502" t="str">
        <f>"15212"</f>
        <v>15212</v>
      </c>
    </row>
    <row r="17503" spans="1:16" x14ac:dyDescent="0.25">
      <c r="A17503" t="str">
        <f>"1260047A00254    00"</f>
        <v>1260047A00254    00</v>
      </c>
      <c r="B17503" t="s">
        <v>38113</v>
      </c>
      <c r="C17503" t="s">
        <v>38114</v>
      </c>
      <c r="D17503" t="s">
        <v>20</v>
      </c>
      <c r="E17503" t="s">
        <v>39</v>
      </c>
      <c r="F17503">
        <v>0</v>
      </c>
      <c r="G17503">
        <v>0</v>
      </c>
      <c r="H17503">
        <v>2</v>
      </c>
      <c r="I17503" s="3">
        <v>784.22</v>
      </c>
      <c r="J17503" s="3">
        <v>65.09</v>
      </c>
      <c r="L17503">
        <v>928</v>
      </c>
      <c r="M17503" t="s">
        <v>36216</v>
      </c>
      <c r="N17503" t="s">
        <v>30</v>
      </c>
      <c r="O17503" t="s">
        <v>31</v>
      </c>
      <c r="P17503" t="str">
        <f>"15212"</f>
        <v>15212</v>
      </c>
    </row>
    <row r="17504" spans="1:16" x14ac:dyDescent="0.25">
      <c r="A17504" t="str">
        <f>"1260047A00258    00"</f>
        <v>1260047A00258    00</v>
      </c>
      <c r="B17504" t="s">
        <v>38115</v>
      </c>
      <c r="C17504" t="s">
        <v>38116</v>
      </c>
      <c r="D17504" t="s">
        <v>20</v>
      </c>
      <c r="E17504" t="s">
        <v>39</v>
      </c>
      <c r="F17504">
        <v>0</v>
      </c>
      <c r="G17504">
        <v>0</v>
      </c>
      <c r="H17504">
        <v>1</v>
      </c>
      <c r="I17504" s="3">
        <v>1296.0999999999999</v>
      </c>
      <c r="J17504" s="3">
        <v>0</v>
      </c>
      <c r="L17504">
        <v>213</v>
      </c>
      <c r="M17504" t="s">
        <v>9886</v>
      </c>
      <c r="N17504" t="s">
        <v>1823</v>
      </c>
      <c r="O17504" t="s">
        <v>31</v>
      </c>
      <c r="P17504" t="str">
        <f>"15024"</f>
        <v>15024</v>
      </c>
    </row>
    <row r="17505" spans="1:16" x14ac:dyDescent="0.25">
      <c r="A17505" t="str">
        <f>"1260047A00263    00"</f>
        <v>1260047A00263    00</v>
      </c>
      <c r="B17505" t="s">
        <v>23799</v>
      </c>
      <c r="C17505" t="s">
        <v>38117</v>
      </c>
      <c r="D17505" t="s">
        <v>20</v>
      </c>
      <c r="E17505" t="s">
        <v>39</v>
      </c>
      <c r="F17505">
        <v>0</v>
      </c>
      <c r="G17505">
        <v>0</v>
      </c>
      <c r="H17505">
        <v>5</v>
      </c>
      <c r="I17505" s="3">
        <v>177.37</v>
      </c>
      <c r="J17505" s="3">
        <v>44.85</v>
      </c>
      <c r="K17505" t="s">
        <v>23801</v>
      </c>
      <c r="L17505">
        <v>239</v>
      </c>
      <c r="M17505" t="s">
        <v>4730</v>
      </c>
      <c r="N17505" t="s">
        <v>30</v>
      </c>
      <c r="O17505" t="s">
        <v>31</v>
      </c>
      <c r="P17505" t="str">
        <f>"15222"</f>
        <v>15222</v>
      </c>
    </row>
    <row r="17506" spans="1:16" x14ac:dyDescent="0.25">
      <c r="A17506" t="str">
        <f>"1260047A00265    00"</f>
        <v>1260047A00265    00</v>
      </c>
      <c r="B17506" t="s">
        <v>38118</v>
      </c>
      <c r="C17506" t="s">
        <v>38119</v>
      </c>
      <c r="D17506" t="s">
        <v>20</v>
      </c>
      <c r="E17506" t="s">
        <v>39</v>
      </c>
      <c r="F17506">
        <v>0</v>
      </c>
      <c r="G17506">
        <v>0</v>
      </c>
      <c r="H17506">
        <v>4</v>
      </c>
      <c r="I17506" s="3">
        <v>2829.88</v>
      </c>
      <c r="J17506" s="3">
        <v>0</v>
      </c>
      <c r="K17506" t="s">
        <v>38120</v>
      </c>
      <c r="L17506">
        <v>1035</v>
      </c>
      <c r="M17506" t="s">
        <v>38090</v>
      </c>
      <c r="N17506" t="s">
        <v>30</v>
      </c>
      <c r="O17506" t="s">
        <v>31</v>
      </c>
      <c r="P17506" t="str">
        <f>"15212"</f>
        <v>15212</v>
      </c>
    </row>
    <row r="17507" spans="1:16" x14ac:dyDescent="0.25">
      <c r="A17507" t="str">
        <f>"1260047A00266    00"</f>
        <v>1260047A00266    00</v>
      </c>
      <c r="B17507" t="s">
        <v>38121</v>
      </c>
      <c r="C17507" t="s">
        <v>38122</v>
      </c>
      <c r="D17507" t="s">
        <v>20</v>
      </c>
      <c r="E17507" t="s">
        <v>39</v>
      </c>
      <c r="F17507">
        <v>0</v>
      </c>
      <c r="G17507">
        <v>0</v>
      </c>
      <c r="H17507">
        <v>5</v>
      </c>
      <c r="I17507" s="3">
        <v>3473.91</v>
      </c>
      <c r="J17507" s="3">
        <v>269.44</v>
      </c>
      <c r="K17507" t="s">
        <v>38123</v>
      </c>
      <c r="L17507">
        <v>1006</v>
      </c>
      <c r="M17507" t="s">
        <v>38112</v>
      </c>
      <c r="N17507" t="s">
        <v>30</v>
      </c>
      <c r="O17507" t="s">
        <v>31</v>
      </c>
      <c r="P17507" t="str">
        <f>"15212"</f>
        <v>15212</v>
      </c>
    </row>
    <row r="17508" spans="1:16" x14ac:dyDescent="0.25">
      <c r="A17508" t="str">
        <f>"1260047A00285    00"</f>
        <v>1260047A00285    00</v>
      </c>
      <c r="B17508" t="s">
        <v>38124</v>
      </c>
      <c r="C17508" t="s">
        <v>38125</v>
      </c>
      <c r="D17508" t="s">
        <v>20</v>
      </c>
      <c r="E17508" t="s">
        <v>39</v>
      </c>
      <c r="F17508">
        <v>0</v>
      </c>
      <c r="G17508">
        <v>0</v>
      </c>
      <c r="H17508">
        <v>6</v>
      </c>
      <c r="I17508" s="3">
        <v>5460.23</v>
      </c>
      <c r="J17508" s="3">
        <v>1224.6199999999999</v>
      </c>
      <c r="L17508">
        <v>1114</v>
      </c>
      <c r="M17508" t="s">
        <v>38112</v>
      </c>
      <c r="N17508" t="s">
        <v>30</v>
      </c>
      <c r="O17508" t="s">
        <v>31</v>
      </c>
      <c r="P17508" t="str">
        <f>"15212"</f>
        <v>15212</v>
      </c>
    </row>
    <row r="17509" spans="1:16" x14ac:dyDescent="0.25">
      <c r="A17509" t="str">
        <f>"1260047A00318    00"</f>
        <v>1260047A00318    00</v>
      </c>
      <c r="B17509" t="s">
        <v>38126</v>
      </c>
      <c r="C17509" t="s">
        <v>38117</v>
      </c>
      <c r="D17509" t="s">
        <v>20</v>
      </c>
      <c r="E17509" t="s">
        <v>39</v>
      </c>
      <c r="F17509">
        <v>0</v>
      </c>
      <c r="G17509">
        <v>0</v>
      </c>
      <c r="H17509">
        <v>19</v>
      </c>
      <c r="I17509" s="3">
        <v>5573.91</v>
      </c>
      <c r="J17509" s="3">
        <v>5209.95</v>
      </c>
      <c r="L17509">
        <v>1701</v>
      </c>
      <c r="M17509" t="s">
        <v>38127</v>
      </c>
      <c r="N17509" t="s">
        <v>30</v>
      </c>
      <c r="O17509" t="s">
        <v>31</v>
      </c>
      <c r="P17509" t="str">
        <f>"15205"</f>
        <v>15205</v>
      </c>
    </row>
    <row r="17510" spans="1:16" x14ac:dyDescent="0.25">
      <c r="A17510" t="str">
        <f>"1260047B00175000100"</f>
        <v>1260047B00175000100</v>
      </c>
      <c r="B17510" t="s">
        <v>38128</v>
      </c>
      <c r="C17510" t="s">
        <v>38129</v>
      </c>
      <c r="D17510" t="s">
        <v>20</v>
      </c>
      <c r="E17510" t="s">
        <v>39</v>
      </c>
      <c r="F17510">
        <v>0</v>
      </c>
      <c r="G17510">
        <v>0</v>
      </c>
      <c r="H17510">
        <v>19</v>
      </c>
      <c r="I17510" s="3">
        <v>5300.15</v>
      </c>
      <c r="J17510" s="3">
        <v>4818.2299999999996</v>
      </c>
      <c r="P17510" t="str">
        <f>""</f>
        <v/>
      </c>
    </row>
    <row r="17511" spans="1:16" x14ac:dyDescent="0.25">
      <c r="A17511" t="str">
        <f>"1260047C00002    00"</f>
        <v>1260047C00002    00</v>
      </c>
      <c r="B17511" t="s">
        <v>32636</v>
      </c>
      <c r="C17511" t="s">
        <v>38130</v>
      </c>
      <c r="D17511" t="s">
        <v>57</v>
      </c>
      <c r="E17511" t="s">
        <v>39</v>
      </c>
      <c r="F17511">
        <v>0</v>
      </c>
      <c r="G17511">
        <v>0</v>
      </c>
      <c r="H17511">
        <v>1</v>
      </c>
      <c r="I17511" s="3">
        <v>203.51</v>
      </c>
      <c r="J17511" s="3">
        <v>0</v>
      </c>
      <c r="K17511" t="s">
        <v>32638</v>
      </c>
      <c r="L17511">
        <v>315</v>
      </c>
      <c r="M17511" t="s">
        <v>16896</v>
      </c>
      <c r="N17511" t="s">
        <v>2008</v>
      </c>
      <c r="O17511" t="s">
        <v>31</v>
      </c>
      <c r="P17511" t="str">
        <f>"16066"</f>
        <v>16066</v>
      </c>
    </row>
    <row r="17512" spans="1:16" x14ac:dyDescent="0.25">
      <c r="A17512" t="str">
        <f>"1260047C00003    00"</f>
        <v>1260047C00003    00</v>
      </c>
      <c r="B17512" t="s">
        <v>38131</v>
      </c>
      <c r="C17512" t="s">
        <v>38132</v>
      </c>
      <c r="D17512" t="s">
        <v>20</v>
      </c>
      <c r="E17512" t="s">
        <v>39</v>
      </c>
      <c r="F17512">
        <v>0</v>
      </c>
      <c r="G17512">
        <v>0</v>
      </c>
      <c r="H17512">
        <v>15</v>
      </c>
      <c r="I17512" s="3">
        <v>6752.37</v>
      </c>
      <c r="J17512" s="3">
        <v>5288.86</v>
      </c>
      <c r="K17512" t="s">
        <v>38133</v>
      </c>
      <c r="L17512">
        <v>2322</v>
      </c>
      <c r="M17512" t="s">
        <v>33466</v>
      </c>
      <c r="N17512" t="s">
        <v>30</v>
      </c>
      <c r="O17512" t="s">
        <v>31</v>
      </c>
      <c r="P17512" t="str">
        <f>"15212"</f>
        <v>15212</v>
      </c>
    </row>
    <row r="17513" spans="1:16" x14ac:dyDescent="0.25">
      <c r="A17513" t="str">
        <f>"1260047C00065    00"</f>
        <v>1260047C00065    00</v>
      </c>
      <c r="B17513" t="s">
        <v>38134</v>
      </c>
      <c r="C17513" t="s">
        <v>38135</v>
      </c>
      <c r="D17513" t="s">
        <v>20</v>
      </c>
      <c r="E17513" t="s">
        <v>39</v>
      </c>
      <c r="F17513">
        <v>0</v>
      </c>
      <c r="G17513">
        <v>0</v>
      </c>
      <c r="H17513">
        <v>13</v>
      </c>
      <c r="I17513" s="3">
        <v>6246.53</v>
      </c>
      <c r="J17513" s="3">
        <v>6157.33</v>
      </c>
      <c r="L17513">
        <v>120</v>
      </c>
      <c r="M17513" t="s">
        <v>38136</v>
      </c>
      <c r="N17513" t="s">
        <v>30</v>
      </c>
      <c r="O17513" t="s">
        <v>31</v>
      </c>
      <c r="P17513" t="str">
        <f>"15212"</f>
        <v>15212</v>
      </c>
    </row>
    <row r="17514" spans="1:16" x14ac:dyDescent="0.25">
      <c r="A17514" t="str">
        <f>"1260047C00150    00"</f>
        <v>1260047C00150    00</v>
      </c>
      <c r="B17514" t="s">
        <v>38137</v>
      </c>
      <c r="C17514" t="s">
        <v>38138</v>
      </c>
      <c r="D17514" t="s">
        <v>20</v>
      </c>
      <c r="E17514" t="s">
        <v>39</v>
      </c>
      <c r="F17514">
        <v>0</v>
      </c>
      <c r="G17514">
        <v>0</v>
      </c>
      <c r="H17514">
        <v>14</v>
      </c>
      <c r="I17514" s="3">
        <v>10479.700000000001</v>
      </c>
      <c r="J17514" s="3">
        <v>6131.76</v>
      </c>
      <c r="L17514">
        <v>1</v>
      </c>
      <c r="M17514" t="s">
        <v>35704</v>
      </c>
      <c r="N17514" t="s">
        <v>30</v>
      </c>
      <c r="O17514" t="s">
        <v>31</v>
      </c>
      <c r="P17514" t="str">
        <f>"15212"</f>
        <v>15212</v>
      </c>
    </row>
    <row r="17515" spans="1:16" x14ac:dyDescent="0.25">
      <c r="A17515" t="str">
        <f>"1260047C00152    00"</f>
        <v>1260047C00152    00</v>
      </c>
      <c r="B17515" t="s">
        <v>38137</v>
      </c>
      <c r="C17515" t="s">
        <v>35167</v>
      </c>
      <c r="D17515" t="s">
        <v>20</v>
      </c>
      <c r="E17515" t="s">
        <v>39</v>
      </c>
      <c r="F17515">
        <v>0</v>
      </c>
      <c r="G17515">
        <v>0</v>
      </c>
      <c r="H17515">
        <v>7</v>
      </c>
      <c r="I17515" s="3">
        <v>624.01</v>
      </c>
      <c r="J17515" s="3">
        <v>174.76</v>
      </c>
      <c r="L17515">
        <v>1</v>
      </c>
      <c r="M17515" t="s">
        <v>35704</v>
      </c>
      <c r="N17515" t="s">
        <v>30</v>
      </c>
      <c r="O17515" t="s">
        <v>31</v>
      </c>
      <c r="P17515" t="str">
        <f>"15212"</f>
        <v>15212</v>
      </c>
    </row>
    <row r="17516" spans="1:16" x14ac:dyDescent="0.25">
      <c r="A17516" t="str">
        <f>"1260047D00023    00"</f>
        <v>1260047D00023    00</v>
      </c>
      <c r="B17516" t="s">
        <v>38139</v>
      </c>
      <c r="C17516" t="s">
        <v>38140</v>
      </c>
      <c r="D17516" t="s">
        <v>20</v>
      </c>
      <c r="E17516" t="s">
        <v>39</v>
      </c>
      <c r="F17516">
        <v>0</v>
      </c>
      <c r="G17516">
        <v>0</v>
      </c>
      <c r="H17516">
        <v>2</v>
      </c>
      <c r="I17516" s="3">
        <v>455.15</v>
      </c>
      <c r="J17516" s="3">
        <v>0</v>
      </c>
      <c r="L17516">
        <v>2300</v>
      </c>
      <c r="M17516" t="s">
        <v>33466</v>
      </c>
      <c r="N17516" t="s">
        <v>30</v>
      </c>
      <c r="O17516" t="s">
        <v>31</v>
      </c>
      <c r="P17516" t="str">
        <f>"15212"</f>
        <v>15212</v>
      </c>
    </row>
    <row r="17517" spans="1:16" x14ac:dyDescent="0.25">
      <c r="A17517" t="str">
        <f>"1260047D00065    00"</f>
        <v>1260047D00065    00</v>
      </c>
      <c r="B17517" t="s">
        <v>38141</v>
      </c>
      <c r="C17517" t="s">
        <v>38142</v>
      </c>
      <c r="D17517" t="s">
        <v>20</v>
      </c>
      <c r="E17517" t="s">
        <v>21</v>
      </c>
      <c r="F17517">
        <v>0</v>
      </c>
      <c r="G17517">
        <v>0</v>
      </c>
      <c r="H17517">
        <v>3</v>
      </c>
      <c r="I17517" s="3">
        <v>38830.949999999997</v>
      </c>
      <c r="J17517" s="3">
        <v>2588.62</v>
      </c>
      <c r="K17517" t="s">
        <v>38143</v>
      </c>
      <c r="L17517">
        <v>1700</v>
      </c>
      <c r="M17517" t="s">
        <v>38144</v>
      </c>
      <c r="N17517" t="s">
        <v>509</v>
      </c>
      <c r="O17517" t="s">
        <v>31</v>
      </c>
      <c r="P17517" t="str">
        <f>"19103"</f>
        <v>19103</v>
      </c>
    </row>
    <row r="17518" spans="1:16" x14ac:dyDescent="0.25">
      <c r="A17518" t="str">
        <f>"1260047D00090    00"</f>
        <v>1260047D00090    00</v>
      </c>
      <c r="B17518" t="s">
        <v>38145</v>
      </c>
      <c r="C17518" t="s">
        <v>34740</v>
      </c>
      <c r="D17518" t="s">
        <v>20</v>
      </c>
      <c r="E17518" t="s">
        <v>39</v>
      </c>
      <c r="F17518">
        <v>0</v>
      </c>
      <c r="G17518">
        <v>0</v>
      </c>
      <c r="H17518">
        <v>19</v>
      </c>
      <c r="I17518" s="3">
        <v>7645.16</v>
      </c>
      <c r="J17518" s="3">
        <v>7653.45</v>
      </c>
      <c r="L17518">
        <v>609</v>
      </c>
      <c r="M17518" t="s">
        <v>34708</v>
      </c>
      <c r="N17518" t="s">
        <v>30</v>
      </c>
      <c r="O17518" t="s">
        <v>31</v>
      </c>
      <c r="P17518" t="str">
        <f>"15212"</f>
        <v>15212</v>
      </c>
    </row>
    <row r="17519" spans="1:16" x14ac:dyDescent="0.25">
      <c r="A17519" t="str">
        <f>"1260047D00100    00"</f>
        <v>1260047D00100    00</v>
      </c>
      <c r="B17519" t="s">
        <v>38146</v>
      </c>
      <c r="C17519" t="s">
        <v>34740</v>
      </c>
      <c r="D17519" t="s">
        <v>20</v>
      </c>
      <c r="E17519" t="s">
        <v>39</v>
      </c>
      <c r="F17519">
        <v>0</v>
      </c>
      <c r="G17519">
        <v>0</v>
      </c>
      <c r="H17519">
        <v>19</v>
      </c>
      <c r="I17519" s="3">
        <v>1047.1300000000001</v>
      </c>
      <c r="J17519" s="3">
        <v>1228.3800000000001</v>
      </c>
      <c r="P17519" t="str">
        <f>""</f>
        <v/>
      </c>
    </row>
    <row r="17520" spans="1:16" x14ac:dyDescent="0.25">
      <c r="A17520" t="str">
        <f>"1260047E00001    00"</f>
        <v>1260047E00001    00</v>
      </c>
      <c r="B17520" t="s">
        <v>38147</v>
      </c>
      <c r="C17520" t="s">
        <v>38117</v>
      </c>
      <c r="D17520" t="s">
        <v>20</v>
      </c>
      <c r="E17520" t="s">
        <v>39</v>
      </c>
      <c r="F17520">
        <v>0</v>
      </c>
      <c r="G17520">
        <v>0</v>
      </c>
      <c r="H17520">
        <v>19</v>
      </c>
      <c r="I17520" s="3">
        <v>7575.05</v>
      </c>
      <c r="J17520" s="3">
        <v>7989.18</v>
      </c>
      <c r="L17520">
        <v>905</v>
      </c>
      <c r="M17520" t="s">
        <v>32674</v>
      </c>
      <c r="N17520" t="s">
        <v>30</v>
      </c>
      <c r="O17520" t="s">
        <v>31</v>
      </c>
      <c r="P17520" t="str">
        <f>"15212"</f>
        <v>15212</v>
      </c>
    </row>
    <row r="17521" spans="1:16" x14ac:dyDescent="0.25">
      <c r="A17521" t="str">
        <f>"1260047E00005    00"</f>
        <v>1260047E00005    00</v>
      </c>
      <c r="B17521" t="s">
        <v>38148</v>
      </c>
      <c r="C17521" t="s">
        <v>38149</v>
      </c>
      <c r="D17521" t="s">
        <v>20</v>
      </c>
      <c r="E17521" t="s">
        <v>39</v>
      </c>
      <c r="F17521">
        <v>0</v>
      </c>
      <c r="G17521">
        <v>0</v>
      </c>
      <c r="H17521">
        <v>7</v>
      </c>
      <c r="I17521" s="3">
        <v>3076.49</v>
      </c>
      <c r="J17521" s="3">
        <v>1187.29</v>
      </c>
      <c r="L17521">
        <v>909</v>
      </c>
      <c r="M17521" t="s">
        <v>38112</v>
      </c>
      <c r="N17521" t="s">
        <v>30</v>
      </c>
      <c r="O17521" t="s">
        <v>31</v>
      </c>
      <c r="P17521" t="str">
        <f>"15212"</f>
        <v>15212</v>
      </c>
    </row>
    <row r="17522" spans="1:16" x14ac:dyDescent="0.25">
      <c r="A17522" t="str">
        <f>"1260047E00011    00"</f>
        <v>1260047E00011    00</v>
      </c>
      <c r="B17522" t="s">
        <v>38110</v>
      </c>
      <c r="C17522" t="s">
        <v>38150</v>
      </c>
      <c r="D17522" t="s">
        <v>20</v>
      </c>
      <c r="E17522" t="s">
        <v>39</v>
      </c>
      <c r="F17522">
        <v>0</v>
      </c>
      <c r="G17522">
        <v>0</v>
      </c>
      <c r="H17522">
        <v>10</v>
      </c>
      <c r="I17522" s="3">
        <v>10519.51</v>
      </c>
      <c r="J17522" s="3">
        <v>5271.56</v>
      </c>
      <c r="L17522">
        <v>913</v>
      </c>
      <c r="M17522" t="s">
        <v>38112</v>
      </c>
      <c r="N17522" t="s">
        <v>30</v>
      </c>
      <c r="O17522" t="s">
        <v>31</v>
      </c>
      <c r="P17522" t="str">
        <f>"15212"</f>
        <v>15212</v>
      </c>
    </row>
    <row r="17523" spans="1:16" x14ac:dyDescent="0.25">
      <c r="A17523" t="str">
        <f>"1260047E00012    00"</f>
        <v>1260047E00012    00</v>
      </c>
      <c r="B17523" t="s">
        <v>38151</v>
      </c>
      <c r="C17523" t="s">
        <v>38117</v>
      </c>
      <c r="D17523" t="s">
        <v>20</v>
      </c>
      <c r="E17523" t="s">
        <v>39</v>
      </c>
      <c r="F17523">
        <v>0</v>
      </c>
      <c r="G17523">
        <v>0</v>
      </c>
      <c r="H17523">
        <v>19</v>
      </c>
      <c r="I17523" s="3">
        <v>869.78</v>
      </c>
      <c r="J17523" s="3">
        <v>572.23</v>
      </c>
      <c r="K17523" t="s">
        <v>1008</v>
      </c>
      <c r="P17523" t="str">
        <f>""</f>
        <v/>
      </c>
    </row>
    <row r="17524" spans="1:16" x14ac:dyDescent="0.25">
      <c r="A17524" t="str">
        <f>"1260047E00013    00"</f>
        <v>1260047E00013    00</v>
      </c>
      <c r="B17524" t="s">
        <v>38151</v>
      </c>
      <c r="C17524" t="s">
        <v>38117</v>
      </c>
      <c r="D17524" t="s">
        <v>20</v>
      </c>
      <c r="E17524" t="s">
        <v>39</v>
      </c>
      <c r="F17524">
        <v>0</v>
      </c>
      <c r="G17524">
        <v>0</v>
      </c>
      <c r="H17524">
        <v>19</v>
      </c>
      <c r="I17524" s="3">
        <v>869.78</v>
      </c>
      <c r="J17524" s="3">
        <v>572.23</v>
      </c>
      <c r="K17524" t="s">
        <v>1008</v>
      </c>
      <c r="P17524" t="str">
        <f>""</f>
        <v/>
      </c>
    </row>
    <row r="17525" spans="1:16" x14ac:dyDescent="0.25">
      <c r="A17525" t="str">
        <f>"1260047E00014    00"</f>
        <v>1260047E00014    00</v>
      </c>
      <c r="B17525" t="s">
        <v>38152</v>
      </c>
      <c r="C17525" t="s">
        <v>38153</v>
      </c>
      <c r="D17525" t="s">
        <v>20</v>
      </c>
      <c r="E17525" t="s">
        <v>39</v>
      </c>
      <c r="F17525">
        <v>0</v>
      </c>
      <c r="G17525">
        <v>0</v>
      </c>
      <c r="H17525">
        <v>14</v>
      </c>
      <c r="I17525" s="3">
        <v>6548.74</v>
      </c>
      <c r="J17525" s="3">
        <v>4004.9</v>
      </c>
      <c r="L17525">
        <v>921</v>
      </c>
      <c r="M17525" t="s">
        <v>36216</v>
      </c>
      <c r="N17525" t="s">
        <v>30</v>
      </c>
      <c r="O17525" t="s">
        <v>31</v>
      </c>
      <c r="P17525" t="str">
        <f>"15212"</f>
        <v>15212</v>
      </c>
    </row>
    <row r="17526" spans="1:16" x14ac:dyDescent="0.25">
      <c r="A17526" t="str">
        <f>"1260047E00015    00"</f>
        <v>1260047E00015    00</v>
      </c>
      <c r="B17526" t="s">
        <v>38154</v>
      </c>
      <c r="C17526" t="s">
        <v>38155</v>
      </c>
      <c r="D17526" t="s">
        <v>20</v>
      </c>
      <c r="E17526" t="s">
        <v>39</v>
      </c>
      <c r="F17526">
        <v>0</v>
      </c>
      <c r="G17526">
        <v>0</v>
      </c>
      <c r="H17526">
        <v>9</v>
      </c>
      <c r="I17526" s="3">
        <v>3873.04</v>
      </c>
      <c r="J17526" s="3">
        <v>1349.11</v>
      </c>
      <c r="L17526">
        <v>925</v>
      </c>
      <c r="M17526" t="s">
        <v>38112</v>
      </c>
      <c r="N17526" t="s">
        <v>30</v>
      </c>
      <c r="O17526" t="s">
        <v>31</v>
      </c>
      <c r="P17526" t="str">
        <f>"15212"</f>
        <v>15212</v>
      </c>
    </row>
    <row r="17527" spans="1:16" x14ac:dyDescent="0.25">
      <c r="A17527" t="str">
        <f>"1260047E00034    00"</f>
        <v>1260047E00034    00</v>
      </c>
      <c r="B17527" t="s">
        <v>38156</v>
      </c>
      <c r="C17527" t="s">
        <v>38157</v>
      </c>
      <c r="D17527" t="s">
        <v>20</v>
      </c>
      <c r="E17527" t="s">
        <v>39</v>
      </c>
      <c r="F17527">
        <v>0</v>
      </c>
      <c r="G17527">
        <v>0</v>
      </c>
      <c r="H17527">
        <v>2</v>
      </c>
      <c r="I17527" s="3">
        <v>21.7</v>
      </c>
      <c r="J17527" s="3">
        <v>0</v>
      </c>
      <c r="L17527">
        <v>1300</v>
      </c>
      <c r="M17527" t="s">
        <v>15869</v>
      </c>
      <c r="N17527" t="s">
        <v>30</v>
      </c>
      <c r="O17527" t="s">
        <v>31</v>
      </c>
      <c r="P17527" t="str">
        <f>"15221"</f>
        <v>15221</v>
      </c>
    </row>
    <row r="17528" spans="1:16" x14ac:dyDescent="0.25">
      <c r="A17528" t="str">
        <f>"1260047E00035    00"</f>
        <v>1260047E00035    00</v>
      </c>
      <c r="B17528" t="s">
        <v>38158</v>
      </c>
      <c r="C17528" t="s">
        <v>38159</v>
      </c>
      <c r="E17528" t="s">
        <v>39</v>
      </c>
      <c r="F17528">
        <v>0</v>
      </c>
      <c r="G17528">
        <v>0</v>
      </c>
      <c r="H17528">
        <v>1</v>
      </c>
      <c r="I17528" s="3">
        <v>3419.81</v>
      </c>
      <c r="J17528" s="3">
        <v>5074.05</v>
      </c>
      <c r="L17528">
        <v>490</v>
      </c>
      <c r="M17528" t="s">
        <v>38160</v>
      </c>
      <c r="N17528" t="s">
        <v>30</v>
      </c>
      <c r="O17528" t="s">
        <v>31</v>
      </c>
      <c r="P17528" t="str">
        <f>"15229"</f>
        <v>15229</v>
      </c>
    </row>
    <row r="17529" spans="1:16" x14ac:dyDescent="0.25">
      <c r="A17529" t="str">
        <f>"1260047E00041    00"</f>
        <v>1260047E00041    00</v>
      </c>
      <c r="B17529" t="s">
        <v>38161</v>
      </c>
      <c r="C17529" t="s">
        <v>38162</v>
      </c>
      <c r="D17529" t="s">
        <v>20</v>
      </c>
      <c r="E17529" t="s">
        <v>39</v>
      </c>
      <c r="F17529">
        <v>0</v>
      </c>
      <c r="G17529">
        <v>0</v>
      </c>
      <c r="H17529">
        <v>6</v>
      </c>
      <c r="I17529" s="3">
        <v>3024.54</v>
      </c>
      <c r="J17529" s="3">
        <v>618.49</v>
      </c>
      <c r="L17529">
        <v>908</v>
      </c>
      <c r="M17529" t="s">
        <v>32674</v>
      </c>
      <c r="N17529" t="s">
        <v>30</v>
      </c>
      <c r="O17529" t="s">
        <v>31</v>
      </c>
      <c r="P17529" t="str">
        <f>"15214"</f>
        <v>15214</v>
      </c>
    </row>
    <row r="17530" spans="1:16" x14ac:dyDescent="0.25">
      <c r="A17530" t="str">
        <f>"1260047E00043    00"</f>
        <v>1260047E00043    00</v>
      </c>
      <c r="B17530" t="s">
        <v>38163</v>
      </c>
      <c r="C17530" t="s">
        <v>38164</v>
      </c>
      <c r="D17530" t="s">
        <v>20</v>
      </c>
      <c r="E17530" t="s">
        <v>39</v>
      </c>
      <c r="F17530">
        <v>0</v>
      </c>
      <c r="G17530">
        <v>0</v>
      </c>
      <c r="H17530">
        <v>19</v>
      </c>
      <c r="I17530" s="3">
        <v>9764.99</v>
      </c>
      <c r="J17530" s="3">
        <v>11515.09</v>
      </c>
      <c r="K17530" t="s">
        <v>38165</v>
      </c>
      <c r="L17530">
        <v>1235</v>
      </c>
      <c r="M17530" t="s">
        <v>38166</v>
      </c>
      <c r="N17530" t="s">
        <v>30</v>
      </c>
      <c r="O17530" t="s">
        <v>31</v>
      </c>
      <c r="P17530" t="str">
        <f>"15212"</f>
        <v>15212</v>
      </c>
    </row>
    <row r="17531" spans="1:16" x14ac:dyDescent="0.25">
      <c r="A17531" t="str">
        <f>"1260047E00045    00"</f>
        <v>1260047E00045    00</v>
      </c>
      <c r="B17531" t="s">
        <v>32672</v>
      </c>
      <c r="C17531" t="s">
        <v>38167</v>
      </c>
      <c r="D17531" t="s">
        <v>20</v>
      </c>
      <c r="E17531" t="s">
        <v>39</v>
      </c>
      <c r="F17531">
        <v>0</v>
      </c>
      <c r="G17531">
        <v>0</v>
      </c>
      <c r="H17531">
        <v>6</v>
      </c>
      <c r="I17531" s="3">
        <v>4894.6400000000003</v>
      </c>
      <c r="J17531" s="3">
        <v>1694.55</v>
      </c>
      <c r="L17531">
        <v>900</v>
      </c>
      <c r="M17531" t="s">
        <v>32674</v>
      </c>
      <c r="N17531" t="s">
        <v>30</v>
      </c>
      <c r="O17531" t="s">
        <v>31</v>
      </c>
      <c r="P17531" t="str">
        <f>"15212"</f>
        <v>15212</v>
      </c>
    </row>
    <row r="17532" spans="1:16" x14ac:dyDescent="0.25">
      <c r="A17532" t="str">
        <f>"1260047E00052    00"</f>
        <v>1260047E00052    00</v>
      </c>
      <c r="B17532" t="s">
        <v>15373</v>
      </c>
      <c r="C17532" t="s">
        <v>38168</v>
      </c>
      <c r="D17532" t="s">
        <v>20</v>
      </c>
      <c r="E17532" t="s">
        <v>39</v>
      </c>
      <c r="F17532">
        <v>0</v>
      </c>
      <c r="G17532">
        <v>0</v>
      </c>
      <c r="H17532">
        <v>8</v>
      </c>
      <c r="I17532" s="3">
        <v>2788.24</v>
      </c>
      <c r="J17532" s="3">
        <v>972.86</v>
      </c>
      <c r="L17532">
        <v>913</v>
      </c>
      <c r="M17532" t="s">
        <v>32674</v>
      </c>
      <c r="N17532" t="s">
        <v>30</v>
      </c>
      <c r="O17532" t="s">
        <v>31</v>
      </c>
      <c r="P17532" t="str">
        <f>"15212"</f>
        <v>15212</v>
      </c>
    </row>
    <row r="17533" spans="1:16" x14ac:dyDescent="0.25">
      <c r="A17533" t="str">
        <f>"1260047E00055    00"</f>
        <v>1260047E00055    00</v>
      </c>
      <c r="B17533" t="s">
        <v>38169</v>
      </c>
      <c r="C17533" t="s">
        <v>38170</v>
      </c>
      <c r="D17533" t="s">
        <v>20</v>
      </c>
      <c r="E17533" t="s">
        <v>39</v>
      </c>
      <c r="F17533">
        <v>0</v>
      </c>
      <c r="G17533">
        <v>0</v>
      </c>
      <c r="H17533">
        <v>15</v>
      </c>
      <c r="I17533" s="3">
        <v>11852.02</v>
      </c>
      <c r="J17533" s="3">
        <v>8177.41</v>
      </c>
      <c r="L17533">
        <v>1207</v>
      </c>
      <c r="M17533" t="s">
        <v>38171</v>
      </c>
      <c r="N17533" t="s">
        <v>30</v>
      </c>
      <c r="O17533" t="s">
        <v>31</v>
      </c>
      <c r="P17533" t="str">
        <f>"15219"</f>
        <v>15219</v>
      </c>
    </row>
    <row r="17534" spans="1:16" x14ac:dyDescent="0.25">
      <c r="A17534" t="str">
        <f>"1260047E00056    00"</f>
        <v>1260047E00056    00</v>
      </c>
      <c r="B17534" t="s">
        <v>38172</v>
      </c>
      <c r="C17534" t="s">
        <v>38173</v>
      </c>
      <c r="D17534" t="s">
        <v>20</v>
      </c>
      <c r="E17534" t="s">
        <v>39</v>
      </c>
      <c r="F17534">
        <v>0</v>
      </c>
      <c r="G17534">
        <v>0</v>
      </c>
      <c r="H17534">
        <v>19</v>
      </c>
      <c r="I17534" s="3">
        <v>20142.830000000002</v>
      </c>
      <c r="J17534" s="3">
        <v>20293.78</v>
      </c>
      <c r="L17534">
        <v>905</v>
      </c>
      <c r="M17534" t="s">
        <v>32674</v>
      </c>
      <c r="N17534" t="s">
        <v>30</v>
      </c>
      <c r="O17534" t="s">
        <v>31</v>
      </c>
      <c r="P17534" t="str">
        <f>"15212"</f>
        <v>15212</v>
      </c>
    </row>
    <row r="17535" spans="1:16" x14ac:dyDescent="0.25">
      <c r="A17535" t="str">
        <f>"1260047E00058    00"</f>
        <v>1260047E00058    00</v>
      </c>
      <c r="B17535" t="s">
        <v>38174</v>
      </c>
      <c r="C17535" t="s">
        <v>38175</v>
      </c>
      <c r="D17535" t="s">
        <v>20</v>
      </c>
      <c r="E17535" t="s">
        <v>39</v>
      </c>
      <c r="F17535">
        <v>0</v>
      </c>
      <c r="G17535">
        <v>0</v>
      </c>
      <c r="H17535">
        <v>5</v>
      </c>
      <c r="I17535" s="3">
        <v>1652.19</v>
      </c>
      <c r="J17535" s="3">
        <v>615.58000000000004</v>
      </c>
      <c r="L17535">
        <v>12</v>
      </c>
      <c r="M17535" t="s">
        <v>38176</v>
      </c>
      <c r="N17535" t="s">
        <v>30</v>
      </c>
      <c r="O17535" t="s">
        <v>31</v>
      </c>
      <c r="P17535" t="str">
        <f>"15212"</f>
        <v>15212</v>
      </c>
    </row>
    <row r="17536" spans="1:16" x14ac:dyDescent="0.25">
      <c r="A17536" t="str">
        <f>"1260047E00080    00"</f>
        <v>1260047E00080    00</v>
      </c>
      <c r="B17536" t="s">
        <v>38177</v>
      </c>
      <c r="C17536" t="s">
        <v>38178</v>
      </c>
      <c r="D17536" t="s">
        <v>20</v>
      </c>
      <c r="E17536" t="s">
        <v>39</v>
      </c>
      <c r="F17536">
        <v>0</v>
      </c>
      <c r="G17536">
        <v>0</v>
      </c>
      <c r="H17536">
        <v>8</v>
      </c>
      <c r="I17536" s="3">
        <v>147.54</v>
      </c>
      <c r="J17536" s="3">
        <v>66.260000000000005</v>
      </c>
      <c r="L17536">
        <v>900</v>
      </c>
      <c r="M17536" t="s">
        <v>37833</v>
      </c>
      <c r="N17536" t="s">
        <v>30</v>
      </c>
      <c r="O17536" t="s">
        <v>31</v>
      </c>
      <c r="P17536" t="str">
        <f>"15212"</f>
        <v>15212</v>
      </c>
    </row>
    <row r="17537" spans="1:16" x14ac:dyDescent="0.25">
      <c r="A17537" t="str">
        <f>"1260047E00081    00"</f>
        <v>1260047E00081    00</v>
      </c>
      <c r="B17537" t="s">
        <v>38179</v>
      </c>
      <c r="C17537" t="s">
        <v>38178</v>
      </c>
      <c r="D17537" t="s">
        <v>20</v>
      </c>
      <c r="E17537" t="s">
        <v>39</v>
      </c>
      <c r="F17537">
        <v>0</v>
      </c>
      <c r="G17537">
        <v>0</v>
      </c>
      <c r="H17537">
        <v>11</v>
      </c>
      <c r="I17537" s="3">
        <v>1742.54</v>
      </c>
      <c r="J17537" s="3">
        <v>831.6</v>
      </c>
      <c r="L17537">
        <v>900</v>
      </c>
      <c r="M17537" t="s">
        <v>37833</v>
      </c>
      <c r="N17537" t="s">
        <v>30</v>
      </c>
      <c r="O17537" t="s">
        <v>31</v>
      </c>
      <c r="P17537" t="str">
        <f>"15212"</f>
        <v>15212</v>
      </c>
    </row>
    <row r="17538" spans="1:16" x14ac:dyDescent="0.25">
      <c r="A17538" t="str">
        <f>"1260047E00082    00"</f>
        <v>1260047E00082    00</v>
      </c>
      <c r="B17538" t="s">
        <v>38180</v>
      </c>
      <c r="C17538" t="s">
        <v>38181</v>
      </c>
      <c r="D17538" t="s">
        <v>20</v>
      </c>
      <c r="E17538" t="s">
        <v>39</v>
      </c>
      <c r="F17538">
        <v>0</v>
      </c>
      <c r="G17538">
        <v>0</v>
      </c>
      <c r="H17538">
        <v>19</v>
      </c>
      <c r="I17538" s="3">
        <v>5202.13</v>
      </c>
      <c r="J17538" s="3">
        <v>4451.21</v>
      </c>
      <c r="L17538">
        <v>61</v>
      </c>
      <c r="M17538" t="s">
        <v>38182</v>
      </c>
      <c r="N17538" t="s">
        <v>30</v>
      </c>
      <c r="O17538" t="s">
        <v>31</v>
      </c>
      <c r="P17538" t="str">
        <f>"15212"</f>
        <v>15212</v>
      </c>
    </row>
    <row r="17539" spans="1:16" x14ac:dyDescent="0.25">
      <c r="A17539" t="str">
        <f>"1260047E00084    00"</f>
        <v>1260047E00084    00</v>
      </c>
      <c r="B17539" t="s">
        <v>38183</v>
      </c>
      <c r="C17539" t="s">
        <v>38184</v>
      </c>
      <c r="D17539" t="s">
        <v>20</v>
      </c>
      <c r="E17539" t="s">
        <v>39</v>
      </c>
      <c r="F17539">
        <v>0</v>
      </c>
      <c r="G17539">
        <v>0</v>
      </c>
      <c r="H17539">
        <v>1</v>
      </c>
      <c r="I17539" s="3">
        <v>289.73</v>
      </c>
      <c r="J17539" s="3">
        <v>0</v>
      </c>
      <c r="K17539" t="s">
        <v>38185</v>
      </c>
      <c r="M17539" t="s">
        <v>38186</v>
      </c>
      <c r="N17539" t="s">
        <v>509</v>
      </c>
      <c r="O17539" t="s">
        <v>31</v>
      </c>
      <c r="P17539" t="str">
        <f>"19141"</f>
        <v>19141</v>
      </c>
    </row>
    <row r="17540" spans="1:16" x14ac:dyDescent="0.25">
      <c r="A17540" t="str">
        <f>"1260047E00103    00"</f>
        <v>1260047E00103    00</v>
      </c>
      <c r="B17540" t="s">
        <v>38187</v>
      </c>
      <c r="C17540" t="s">
        <v>38188</v>
      </c>
      <c r="D17540" t="s">
        <v>20</v>
      </c>
      <c r="E17540" t="s">
        <v>39</v>
      </c>
      <c r="F17540">
        <v>0</v>
      </c>
      <c r="G17540">
        <v>0</v>
      </c>
      <c r="H17540">
        <v>2</v>
      </c>
      <c r="I17540" s="3">
        <v>322.45999999999998</v>
      </c>
      <c r="J17540" s="3">
        <v>0</v>
      </c>
      <c r="L17540">
        <v>26</v>
      </c>
      <c r="M17540" t="s">
        <v>38189</v>
      </c>
      <c r="N17540" t="s">
        <v>38190</v>
      </c>
      <c r="O17540" t="s">
        <v>6668</v>
      </c>
      <c r="P17540" t="str">
        <f>"98282"</f>
        <v>98282</v>
      </c>
    </row>
    <row r="17541" spans="1:16" x14ac:dyDescent="0.25">
      <c r="A17541" t="str">
        <f>"1260047E00114    00"</f>
        <v>1260047E00114    00</v>
      </c>
      <c r="B17541" t="s">
        <v>38191</v>
      </c>
      <c r="C17541" t="s">
        <v>38192</v>
      </c>
      <c r="D17541" t="s">
        <v>20</v>
      </c>
      <c r="E17541" t="s">
        <v>39</v>
      </c>
      <c r="F17541">
        <v>0</v>
      </c>
      <c r="G17541">
        <v>0</v>
      </c>
      <c r="H17541">
        <v>15</v>
      </c>
      <c r="I17541" s="3">
        <v>6492.9</v>
      </c>
      <c r="J17541" s="3">
        <v>3859.29</v>
      </c>
      <c r="M17541" t="s">
        <v>31648</v>
      </c>
      <c r="P17541" t="str">
        <f>""</f>
        <v/>
      </c>
    </row>
    <row r="17542" spans="1:16" x14ac:dyDescent="0.25">
      <c r="A17542" t="str">
        <f>"1260047E00115    00"</f>
        <v>1260047E00115    00</v>
      </c>
      <c r="B17542" t="s">
        <v>38193</v>
      </c>
      <c r="C17542" t="s">
        <v>38194</v>
      </c>
      <c r="D17542" t="s">
        <v>20</v>
      </c>
      <c r="E17542" t="s">
        <v>39</v>
      </c>
      <c r="F17542">
        <v>0</v>
      </c>
      <c r="G17542">
        <v>0</v>
      </c>
      <c r="H17542">
        <v>19</v>
      </c>
      <c r="I17542" s="3">
        <v>427.72</v>
      </c>
      <c r="J17542" s="3">
        <v>496.07</v>
      </c>
      <c r="L17542">
        <v>3</v>
      </c>
      <c r="M17542" t="s">
        <v>38195</v>
      </c>
      <c r="N17542" t="s">
        <v>30</v>
      </c>
      <c r="O17542" t="s">
        <v>31</v>
      </c>
      <c r="P17542" t="str">
        <f>"15212"</f>
        <v>15212</v>
      </c>
    </row>
    <row r="17543" spans="1:16" x14ac:dyDescent="0.25">
      <c r="A17543" t="str">
        <f>"1260047E00116    00"</f>
        <v>1260047E00116    00</v>
      </c>
      <c r="B17543" t="s">
        <v>38196</v>
      </c>
      <c r="C17543" t="s">
        <v>38194</v>
      </c>
      <c r="D17543" t="s">
        <v>20</v>
      </c>
      <c r="E17543" t="s">
        <v>39</v>
      </c>
      <c r="F17543">
        <v>0</v>
      </c>
      <c r="G17543">
        <v>0</v>
      </c>
      <c r="H17543">
        <v>19</v>
      </c>
      <c r="I17543" s="3">
        <v>3365.46</v>
      </c>
      <c r="J17543" s="3">
        <v>2030.01</v>
      </c>
      <c r="L17543">
        <v>252</v>
      </c>
      <c r="M17543" t="s">
        <v>38197</v>
      </c>
      <c r="N17543" t="s">
        <v>30</v>
      </c>
      <c r="O17543" t="s">
        <v>31</v>
      </c>
      <c r="P17543" t="str">
        <f>"15239"</f>
        <v>15239</v>
      </c>
    </row>
    <row r="17544" spans="1:16" x14ac:dyDescent="0.25">
      <c r="A17544" t="str">
        <f>"1260047E00126    00"</f>
        <v>1260047E00126    00</v>
      </c>
      <c r="B17544" t="s">
        <v>38198</v>
      </c>
      <c r="C17544" t="s">
        <v>38194</v>
      </c>
      <c r="D17544" t="s">
        <v>20</v>
      </c>
      <c r="E17544" t="s">
        <v>39</v>
      </c>
      <c r="F17544">
        <v>0</v>
      </c>
      <c r="G17544">
        <v>0</v>
      </c>
      <c r="H17544">
        <v>19</v>
      </c>
      <c r="I17544" s="3">
        <v>3158.5</v>
      </c>
      <c r="J17544" s="3">
        <v>3443.58</v>
      </c>
      <c r="M17544" t="s">
        <v>38199</v>
      </c>
      <c r="N17544" t="s">
        <v>30</v>
      </c>
      <c r="O17544" t="s">
        <v>31</v>
      </c>
      <c r="P17544" t="str">
        <f>"15204"</f>
        <v>15204</v>
      </c>
    </row>
    <row r="17545" spans="1:16" x14ac:dyDescent="0.25">
      <c r="A17545" t="str">
        <f>"1260047E00129    00"</f>
        <v>1260047E00129    00</v>
      </c>
      <c r="B17545" t="s">
        <v>38198</v>
      </c>
      <c r="C17545" t="s">
        <v>37832</v>
      </c>
      <c r="D17545" t="s">
        <v>20</v>
      </c>
      <c r="E17545" t="s">
        <v>39</v>
      </c>
      <c r="F17545">
        <v>0</v>
      </c>
      <c r="G17545">
        <v>0</v>
      </c>
      <c r="H17545">
        <v>19</v>
      </c>
      <c r="I17545" s="3">
        <v>6964.57</v>
      </c>
      <c r="J17545" s="3">
        <v>8016.51</v>
      </c>
      <c r="M17545" t="s">
        <v>38199</v>
      </c>
      <c r="N17545" t="s">
        <v>30</v>
      </c>
      <c r="O17545" t="s">
        <v>31</v>
      </c>
      <c r="P17545" t="str">
        <f>"15204"</f>
        <v>15204</v>
      </c>
    </row>
    <row r="17546" spans="1:16" x14ac:dyDescent="0.25">
      <c r="A17546" t="str">
        <f>"1260047E00151    00"</f>
        <v>1260047E00151    00</v>
      </c>
      <c r="B17546" t="s">
        <v>38200</v>
      </c>
      <c r="C17546" t="s">
        <v>38201</v>
      </c>
      <c r="D17546" t="s">
        <v>20</v>
      </c>
      <c r="E17546" t="s">
        <v>39</v>
      </c>
      <c r="F17546">
        <v>0</v>
      </c>
      <c r="G17546">
        <v>0</v>
      </c>
      <c r="H17546">
        <v>17</v>
      </c>
      <c r="I17546" s="3">
        <v>131.16999999999999</v>
      </c>
      <c r="J17546" s="3">
        <v>109.61</v>
      </c>
      <c r="K17546" t="s">
        <v>1037</v>
      </c>
      <c r="L17546">
        <v>3254</v>
      </c>
      <c r="M17546" t="s">
        <v>35569</v>
      </c>
      <c r="N17546" t="s">
        <v>30</v>
      </c>
      <c r="O17546" t="s">
        <v>31</v>
      </c>
      <c r="P17546" t="str">
        <f>"15214"</f>
        <v>15214</v>
      </c>
    </row>
    <row r="17547" spans="1:16" x14ac:dyDescent="0.25">
      <c r="A17547" t="str">
        <f>"1260047E00178    00"</f>
        <v>1260047E00178    00</v>
      </c>
      <c r="B17547" t="s">
        <v>38202</v>
      </c>
      <c r="C17547" t="s">
        <v>38201</v>
      </c>
      <c r="D17547" t="s">
        <v>20</v>
      </c>
      <c r="E17547" t="s">
        <v>39</v>
      </c>
      <c r="F17547">
        <v>0</v>
      </c>
      <c r="G17547">
        <v>0</v>
      </c>
      <c r="H17547">
        <v>16</v>
      </c>
      <c r="I17547" s="3">
        <v>534.77</v>
      </c>
      <c r="J17547" s="3">
        <v>306.16000000000003</v>
      </c>
      <c r="L17547">
        <v>63</v>
      </c>
      <c r="M17547" t="s">
        <v>38203</v>
      </c>
      <c r="N17547" t="s">
        <v>30</v>
      </c>
      <c r="O17547" t="s">
        <v>31</v>
      </c>
      <c r="P17547" t="str">
        <f t="shared" ref="P17547:P17558" si="224">"15212"</f>
        <v>15212</v>
      </c>
    </row>
    <row r="17548" spans="1:16" x14ac:dyDescent="0.25">
      <c r="A17548" t="str">
        <f>"1260047E00180    00"</f>
        <v>1260047E00180    00</v>
      </c>
      <c r="B17548" t="s">
        <v>38202</v>
      </c>
      <c r="C17548" t="s">
        <v>38204</v>
      </c>
      <c r="D17548" t="s">
        <v>20</v>
      </c>
      <c r="E17548" t="s">
        <v>39</v>
      </c>
      <c r="F17548">
        <v>0</v>
      </c>
      <c r="G17548">
        <v>0</v>
      </c>
      <c r="H17548">
        <v>17</v>
      </c>
      <c r="I17548" s="3">
        <v>1477.27</v>
      </c>
      <c r="J17548" s="3">
        <v>1385.91</v>
      </c>
      <c r="L17548">
        <v>63</v>
      </c>
      <c r="M17548" t="s">
        <v>38203</v>
      </c>
      <c r="N17548" t="s">
        <v>30</v>
      </c>
      <c r="O17548" t="s">
        <v>31</v>
      </c>
      <c r="P17548" t="str">
        <f t="shared" si="224"/>
        <v>15212</v>
      </c>
    </row>
    <row r="17549" spans="1:16" x14ac:dyDescent="0.25">
      <c r="A17549" t="str">
        <f>"1260047E00182    00"</f>
        <v>1260047E00182    00</v>
      </c>
      <c r="B17549" t="s">
        <v>38205</v>
      </c>
      <c r="C17549" t="s">
        <v>38206</v>
      </c>
      <c r="D17549" t="s">
        <v>20</v>
      </c>
      <c r="E17549" t="s">
        <v>39</v>
      </c>
      <c r="F17549">
        <v>0</v>
      </c>
      <c r="G17549">
        <v>0</v>
      </c>
      <c r="H17549">
        <v>17</v>
      </c>
      <c r="I17549" s="3">
        <v>7983.95</v>
      </c>
      <c r="J17549" s="3">
        <v>6481.42</v>
      </c>
      <c r="L17549">
        <v>63</v>
      </c>
      <c r="M17549" t="s">
        <v>38203</v>
      </c>
      <c r="N17549" t="s">
        <v>30</v>
      </c>
      <c r="O17549" t="s">
        <v>31</v>
      </c>
      <c r="P17549" t="str">
        <f t="shared" si="224"/>
        <v>15212</v>
      </c>
    </row>
    <row r="17550" spans="1:16" x14ac:dyDescent="0.25">
      <c r="A17550" t="str">
        <f>"1260047E00183    00"</f>
        <v>1260047E00183    00</v>
      </c>
      <c r="B17550" t="s">
        <v>38207</v>
      </c>
      <c r="C17550" t="s">
        <v>38208</v>
      </c>
      <c r="D17550" t="s">
        <v>20</v>
      </c>
      <c r="E17550" t="s">
        <v>39</v>
      </c>
      <c r="F17550">
        <v>0</v>
      </c>
      <c r="G17550">
        <v>0</v>
      </c>
      <c r="H17550">
        <v>11</v>
      </c>
      <c r="I17550" s="3">
        <v>5192.07</v>
      </c>
      <c r="J17550" s="3">
        <v>2251.73</v>
      </c>
      <c r="L17550">
        <v>67</v>
      </c>
      <c r="M17550" t="s">
        <v>38203</v>
      </c>
      <c r="N17550" t="s">
        <v>30</v>
      </c>
      <c r="O17550" t="s">
        <v>31</v>
      </c>
      <c r="P17550" t="str">
        <f t="shared" si="224"/>
        <v>15212</v>
      </c>
    </row>
    <row r="17551" spans="1:16" x14ac:dyDescent="0.25">
      <c r="A17551" t="str">
        <f>"1260047E00184    00"</f>
        <v>1260047E00184    00</v>
      </c>
      <c r="B17551" t="s">
        <v>38207</v>
      </c>
      <c r="C17551" t="s">
        <v>38201</v>
      </c>
      <c r="D17551" t="s">
        <v>20</v>
      </c>
      <c r="E17551" t="s">
        <v>39</v>
      </c>
      <c r="F17551">
        <v>0</v>
      </c>
      <c r="G17551">
        <v>0</v>
      </c>
      <c r="H17551">
        <v>6</v>
      </c>
      <c r="I17551" s="3">
        <v>234.96</v>
      </c>
      <c r="J17551" s="3">
        <v>53.61</v>
      </c>
      <c r="L17551">
        <v>67</v>
      </c>
      <c r="M17551" t="s">
        <v>38203</v>
      </c>
      <c r="N17551" t="s">
        <v>30</v>
      </c>
      <c r="O17551" t="s">
        <v>31</v>
      </c>
      <c r="P17551" t="str">
        <f t="shared" si="224"/>
        <v>15212</v>
      </c>
    </row>
    <row r="17552" spans="1:16" x14ac:dyDescent="0.25">
      <c r="A17552" t="str">
        <f>"1260047E00189    00"</f>
        <v>1260047E00189    00</v>
      </c>
      <c r="B17552" t="s">
        <v>38209</v>
      </c>
      <c r="C17552" t="s">
        <v>37832</v>
      </c>
      <c r="D17552" t="s">
        <v>20</v>
      </c>
      <c r="E17552" t="s">
        <v>39</v>
      </c>
      <c r="F17552">
        <v>0</v>
      </c>
      <c r="G17552">
        <v>0</v>
      </c>
      <c r="H17552">
        <v>18</v>
      </c>
      <c r="I17552" s="3">
        <v>293.72000000000003</v>
      </c>
      <c r="J17552" s="3">
        <v>220.76</v>
      </c>
      <c r="L17552">
        <v>76</v>
      </c>
      <c r="M17552" t="s">
        <v>37833</v>
      </c>
      <c r="N17552" t="s">
        <v>30</v>
      </c>
      <c r="O17552" t="s">
        <v>31</v>
      </c>
      <c r="P17552" t="str">
        <f t="shared" si="224"/>
        <v>15212</v>
      </c>
    </row>
    <row r="17553" spans="1:16" x14ac:dyDescent="0.25">
      <c r="A17553" t="str">
        <f>"1260047E00191    00"</f>
        <v>1260047E00191    00</v>
      </c>
      <c r="B17553" t="s">
        <v>38210</v>
      </c>
      <c r="C17553" t="s">
        <v>37832</v>
      </c>
      <c r="D17553" t="s">
        <v>20</v>
      </c>
      <c r="E17553" t="s">
        <v>39</v>
      </c>
      <c r="F17553">
        <v>0</v>
      </c>
      <c r="G17553">
        <v>0</v>
      </c>
      <c r="H17553">
        <v>19</v>
      </c>
      <c r="I17553" s="3">
        <v>338.2</v>
      </c>
      <c r="J17553" s="3">
        <v>295.10000000000002</v>
      </c>
      <c r="L17553">
        <v>75</v>
      </c>
      <c r="M17553" t="s">
        <v>37833</v>
      </c>
      <c r="N17553" t="s">
        <v>30</v>
      </c>
      <c r="O17553" t="s">
        <v>31</v>
      </c>
      <c r="P17553" t="str">
        <f t="shared" si="224"/>
        <v>15212</v>
      </c>
    </row>
    <row r="17554" spans="1:16" x14ac:dyDescent="0.25">
      <c r="A17554" t="str">
        <f>"1260047E00192    00"</f>
        <v>1260047E00192    00</v>
      </c>
      <c r="B17554" t="s">
        <v>38211</v>
      </c>
      <c r="C17554" t="s">
        <v>38212</v>
      </c>
      <c r="D17554" t="s">
        <v>20</v>
      </c>
      <c r="E17554" t="s">
        <v>39</v>
      </c>
      <c r="F17554">
        <v>0</v>
      </c>
      <c r="G17554">
        <v>0</v>
      </c>
      <c r="H17554">
        <v>3</v>
      </c>
      <c r="I17554" s="3">
        <v>360.73</v>
      </c>
      <c r="J17554" s="3">
        <v>22.02</v>
      </c>
      <c r="L17554">
        <v>921</v>
      </c>
      <c r="M17554" t="s">
        <v>37833</v>
      </c>
      <c r="N17554" t="s">
        <v>30</v>
      </c>
      <c r="O17554" t="s">
        <v>31</v>
      </c>
      <c r="P17554" t="str">
        <f t="shared" si="224"/>
        <v>15212</v>
      </c>
    </row>
    <row r="17555" spans="1:16" x14ac:dyDescent="0.25">
      <c r="A17555" t="str">
        <f>"1260047E00194    00"</f>
        <v>1260047E00194    00</v>
      </c>
      <c r="B17555" t="s">
        <v>38213</v>
      </c>
      <c r="C17555" t="s">
        <v>38214</v>
      </c>
      <c r="D17555" t="s">
        <v>20</v>
      </c>
      <c r="E17555" t="s">
        <v>39</v>
      </c>
      <c r="F17555">
        <v>0</v>
      </c>
      <c r="G17555">
        <v>0</v>
      </c>
      <c r="H17555">
        <v>19</v>
      </c>
      <c r="I17555" s="3">
        <v>14426.97</v>
      </c>
      <c r="J17555" s="3">
        <v>13482.95</v>
      </c>
      <c r="L17555">
        <v>82</v>
      </c>
      <c r="M17555" t="s">
        <v>37833</v>
      </c>
      <c r="N17555" t="s">
        <v>30</v>
      </c>
      <c r="O17555" t="s">
        <v>31</v>
      </c>
      <c r="P17555" t="str">
        <f t="shared" si="224"/>
        <v>15212</v>
      </c>
    </row>
    <row r="17556" spans="1:16" x14ac:dyDescent="0.25">
      <c r="A17556" t="str">
        <f>"1260047E00195    00"</f>
        <v>1260047E00195    00</v>
      </c>
      <c r="B17556" t="s">
        <v>38215</v>
      </c>
      <c r="C17556" t="s">
        <v>38216</v>
      </c>
      <c r="D17556" t="s">
        <v>20</v>
      </c>
      <c r="E17556" t="s">
        <v>39</v>
      </c>
      <c r="F17556">
        <v>0</v>
      </c>
      <c r="G17556">
        <v>0</v>
      </c>
      <c r="H17556">
        <v>11</v>
      </c>
      <c r="I17556" s="3">
        <v>4988.5600000000004</v>
      </c>
      <c r="J17556" s="3">
        <v>5654.3</v>
      </c>
      <c r="L17556">
        <v>12</v>
      </c>
      <c r="M17556" t="s">
        <v>38176</v>
      </c>
      <c r="N17556" t="s">
        <v>30</v>
      </c>
      <c r="O17556" t="s">
        <v>31</v>
      </c>
      <c r="P17556" t="str">
        <f t="shared" si="224"/>
        <v>15212</v>
      </c>
    </row>
    <row r="17557" spans="1:16" x14ac:dyDescent="0.25">
      <c r="A17557" t="str">
        <f>"1260047E00196    00"</f>
        <v>1260047E00196    00</v>
      </c>
      <c r="B17557" t="s">
        <v>38217</v>
      </c>
      <c r="C17557" t="s">
        <v>38218</v>
      </c>
      <c r="D17557" t="s">
        <v>20</v>
      </c>
      <c r="E17557" t="s">
        <v>39</v>
      </c>
      <c r="F17557">
        <v>0</v>
      </c>
      <c r="G17557">
        <v>0</v>
      </c>
      <c r="H17557">
        <v>15</v>
      </c>
      <c r="I17557" s="3">
        <v>8012.02</v>
      </c>
      <c r="J17557" s="3">
        <v>4727.12</v>
      </c>
      <c r="L17557">
        <v>86</v>
      </c>
      <c r="M17557" t="s">
        <v>37833</v>
      </c>
      <c r="N17557" t="s">
        <v>30</v>
      </c>
      <c r="O17557" t="s">
        <v>31</v>
      </c>
      <c r="P17557" t="str">
        <f t="shared" si="224"/>
        <v>15212</v>
      </c>
    </row>
    <row r="17558" spans="1:16" x14ac:dyDescent="0.25">
      <c r="A17558" t="str">
        <f>"1260047E00199    00"</f>
        <v>1260047E00199    00</v>
      </c>
      <c r="B17558" t="s">
        <v>38219</v>
      </c>
      <c r="C17558" t="s">
        <v>38220</v>
      </c>
      <c r="D17558" t="s">
        <v>20</v>
      </c>
      <c r="E17558" t="s">
        <v>39</v>
      </c>
      <c r="F17558">
        <v>0</v>
      </c>
      <c r="G17558">
        <v>0</v>
      </c>
      <c r="H17558">
        <v>9</v>
      </c>
      <c r="I17558" s="3">
        <v>5569.49</v>
      </c>
      <c r="J17558" s="3">
        <v>1898.33</v>
      </c>
      <c r="K17558" t="s">
        <v>38221</v>
      </c>
      <c r="L17558">
        <v>1424</v>
      </c>
      <c r="M17558" t="s">
        <v>36669</v>
      </c>
      <c r="N17558" t="s">
        <v>30</v>
      </c>
      <c r="O17558" t="s">
        <v>31</v>
      </c>
      <c r="P17558" t="str">
        <f t="shared" si="224"/>
        <v>15212</v>
      </c>
    </row>
    <row r="17559" spans="1:16" x14ac:dyDescent="0.25">
      <c r="A17559" t="str">
        <f>"1260047E00201    00"</f>
        <v>1260047E00201    00</v>
      </c>
      <c r="B17559" t="s">
        <v>38222</v>
      </c>
      <c r="C17559" t="s">
        <v>38223</v>
      </c>
      <c r="E17559" t="s">
        <v>39</v>
      </c>
      <c r="F17559">
        <v>0</v>
      </c>
      <c r="G17559">
        <v>0</v>
      </c>
      <c r="H17559">
        <v>3</v>
      </c>
      <c r="I17559" s="3">
        <v>1921.72</v>
      </c>
      <c r="J17559" s="3">
        <v>1953.68</v>
      </c>
      <c r="K17559" t="s">
        <v>4893</v>
      </c>
      <c r="L17559">
        <v>3001</v>
      </c>
      <c r="M17559" t="s">
        <v>6201</v>
      </c>
      <c r="N17559" t="s">
        <v>331</v>
      </c>
      <c r="O17559" t="s">
        <v>108</v>
      </c>
      <c r="P17559" t="str">
        <f>"75063"</f>
        <v>75063</v>
      </c>
    </row>
    <row r="17560" spans="1:16" x14ac:dyDescent="0.25">
      <c r="A17560" t="str">
        <f>"1260047E00218    00"</f>
        <v>1260047E00218    00</v>
      </c>
      <c r="B17560" t="s">
        <v>38224</v>
      </c>
      <c r="C17560" t="s">
        <v>38225</v>
      </c>
      <c r="D17560" t="s">
        <v>20</v>
      </c>
      <c r="E17560" t="s">
        <v>39</v>
      </c>
      <c r="F17560">
        <v>0</v>
      </c>
      <c r="G17560">
        <v>0</v>
      </c>
      <c r="H17560">
        <v>2</v>
      </c>
      <c r="I17560" s="3">
        <v>193.82</v>
      </c>
      <c r="J17560" s="3">
        <v>0</v>
      </c>
      <c r="K17560" t="s">
        <v>38226</v>
      </c>
      <c r="L17560">
        <v>10</v>
      </c>
      <c r="M17560" t="s">
        <v>38227</v>
      </c>
      <c r="N17560" t="s">
        <v>30</v>
      </c>
      <c r="O17560" t="s">
        <v>31</v>
      </c>
      <c r="P17560" t="str">
        <f>"15212"</f>
        <v>15212</v>
      </c>
    </row>
    <row r="17561" spans="1:16" x14ac:dyDescent="0.25">
      <c r="A17561" t="str">
        <f>"1260047E00262    00"</f>
        <v>1260047E00262    00</v>
      </c>
      <c r="B17561" t="s">
        <v>38228</v>
      </c>
      <c r="C17561" t="s">
        <v>38229</v>
      </c>
      <c r="D17561" t="s">
        <v>20</v>
      </c>
      <c r="E17561" t="s">
        <v>39</v>
      </c>
      <c r="F17561">
        <v>0</v>
      </c>
      <c r="G17561">
        <v>0</v>
      </c>
      <c r="H17561">
        <v>4</v>
      </c>
      <c r="I17561" s="3">
        <v>1012.05</v>
      </c>
      <c r="J17561" s="3">
        <v>120.79</v>
      </c>
      <c r="L17561">
        <v>74</v>
      </c>
      <c r="M17561" t="s">
        <v>38203</v>
      </c>
      <c r="N17561" t="s">
        <v>30</v>
      </c>
      <c r="O17561" t="s">
        <v>31</v>
      </c>
      <c r="P17561" t="str">
        <f>"15212"</f>
        <v>15212</v>
      </c>
    </row>
    <row r="17562" spans="1:16" x14ac:dyDescent="0.25">
      <c r="A17562" t="str">
        <f>"1260047E00267    00"</f>
        <v>1260047E00267    00</v>
      </c>
      <c r="B17562" t="s">
        <v>38230</v>
      </c>
      <c r="C17562" t="s">
        <v>38201</v>
      </c>
      <c r="D17562" t="s">
        <v>20</v>
      </c>
      <c r="E17562" t="s">
        <v>39</v>
      </c>
      <c r="F17562">
        <v>0</v>
      </c>
      <c r="G17562">
        <v>0</v>
      </c>
      <c r="H17562">
        <v>10</v>
      </c>
      <c r="I17562" s="3">
        <v>540</v>
      </c>
      <c r="J17562" s="3">
        <v>293.85000000000002</v>
      </c>
      <c r="L17562">
        <v>4122</v>
      </c>
      <c r="M17562" t="s">
        <v>38231</v>
      </c>
      <c r="N17562" t="s">
        <v>30</v>
      </c>
      <c r="O17562" t="s">
        <v>31</v>
      </c>
      <c r="P17562" t="str">
        <f>"15214"</f>
        <v>15214</v>
      </c>
    </row>
    <row r="17563" spans="1:16" x14ac:dyDescent="0.25">
      <c r="A17563" t="str">
        <f>"1260047E00268    00"</f>
        <v>1260047E00268    00</v>
      </c>
      <c r="B17563" t="s">
        <v>38230</v>
      </c>
      <c r="C17563" t="s">
        <v>38232</v>
      </c>
      <c r="D17563" t="s">
        <v>20</v>
      </c>
      <c r="E17563" t="s">
        <v>39</v>
      </c>
      <c r="F17563">
        <v>0</v>
      </c>
      <c r="G17563">
        <v>0</v>
      </c>
      <c r="H17563">
        <v>3</v>
      </c>
      <c r="I17563" s="3">
        <v>434.58</v>
      </c>
      <c r="J17563" s="3">
        <v>28.97</v>
      </c>
      <c r="L17563">
        <v>4122</v>
      </c>
      <c r="M17563" t="s">
        <v>38231</v>
      </c>
      <c r="N17563" t="s">
        <v>30</v>
      </c>
      <c r="O17563" t="s">
        <v>31</v>
      </c>
      <c r="P17563" t="str">
        <f>"15214"</f>
        <v>15214</v>
      </c>
    </row>
    <row r="17564" spans="1:16" x14ac:dyDescent="0.25">
      <c r="A17564" t="str">
        <f>"1260047E00276    00"</f>
        <v>1260047E00276    00</v>
      </c>
      <c r="B17564" t="s">
        <v>38233</v>
      </c>
      <c r="C17564" t="s">
        <v>38234</v>
      </c>
      <c r="D17564" t="s">
        <v>20</v>
      </c>
      <c r="E17564" t="s">
        <v>39</v>
      </c>
      <c r="F17564">
        <v>0</v>
      </c>
      <c r="G17564">
        <v>0</v>
      </c>
      <c r="H17564">
        <v>19</v>
      </c>
      <c r="I17564" s="3">
        <v>191.12</v>
      </c>
      <c r="J17564" s="3">
        <v>159.24</v>
      </c>
      <c r="L17564">
        <v>4</v>
      </c>
      <c r="M17564" t="s">
        <v>38176</v>
      </c>
      <c r="N17564" t="s">
        <v>30</v>
      </c>
      <c r="O17564" t="s">
        <v>31</v>
      </c>
      <c r="P17564" t="str">
        <f>"15212"</f>
        <v>15212</v>
      </c>
    </row>
    <row r="17565" spans="1:16" x14ac:dyDescent="0.25">
      <c r="A17565" t="str">
        <f>"1260047E00277    00"</f>
        <v>1260047E00277    00</v>
      </c>
      <c r="B17565" t="s">
        <v>38215</v>
      </c>
      <c r="C17565" t="s">
        <v>38234</v>
      </c>
      <c r="D17565" t="s">
        <v>20</v>
      </c>
      <c r="E17565" t="s">
        <v>39</v>
      </c>
      <c r="F17565">
        <v>0</v>
      </c>
      <c r="G17565">
        <v>0</v>
      </c>
      <c r="H17565">
        <v>2</v>
      </c>
      <c r="I17565" s="3">
        <v>38.119999999999997</v>
      </c>
      <c r="J17565" s="3">
        <v>0</v>
      </c>
      <c r="L17565">
        <v>12</v>
      </c>
      <c r="M17565" t="s">
        <v>38176</v>
      </c>
      <c r="N17565" t="s">
        <v>30</v>
      </c>
      <c r="O17565" t="s">
        <v>31</v>
      </c>
      <c r="P17565" t="str">
        <f>"15212"</f>
        <v>15212</v>
      </c>
    </row>
    <row r="17566" spans="1:16" x14ac:dyDescent="0.25">
      <c r="A17566" t="str">
        <f>"1260047E00280    00"</f>
        <v>1260047E00280    00</v>
      </c>
      <c r="B17566" t="s">
        <v>38215</v>
      </c>
      <c r="C17566" t="s">
        <v>38235</v>
      </c>
      <c r="D17566" t="s">
        <v>20</v>
      </c>
      <c r="E17566" t="s">
        <v>39</v>
      </c>
      <c r="F17566">
        <v>0</v>
      </c>
      <c r="G17566">
        <v>0</v>
      </c>
      <c r="H17566">
        <v>2</v>
      </c>
      <c r="I17566" s="3">
        <v>381.2</v>
      </c>
      <c r="J17566" s="3">
        <v>0</v>
      </c>
      <c r="L17566">
        <v>12</v>
      </c>
      <c r="M17566" t="s">
        <v>38176</v>
      </c>
      <c r="N17566" t="s">
        <v>30</v>
      </c>
      <c r="O17566" t="s">
        <v>31</v>
      </c>
      <c r="P17566" t="str">
        <f>"15212"</f>
        <v>15212</v>
      </c>
    </row>
    <row r="17567" spans="1:16" x14ac:dyDescent="0.25">
      <c r="A17567" t="str">
        <f>"1260047E00281    00"</f>
        <v>1260047E00281    00</v>
      </c>
      <c r="B17567" t="s">
        <v>38236</v>
      </c>
      <c r="C17567" t="s">
        <v>38234</v>
      </c>
      <c r="D17567" t="s">
        <v>20</v>
      </c>
      <c r="E17567" t="s">
        <v>39</v>
      </c>
      <c r="F17567">
        <v>0</v>
      </c>
      <c r="G17567">
        <v>0</v>
      </c>
      <c r="H17567">
        <v>19</v>
      </c>
      <c r="I17567" s="3">
        <v>5642.87</v>
      </c>
      <c r="J17567" s="3">
        <v>5291.78</v>
      </c>
      <c r="L17567">
        <v>3400</v>
      </c>
      <c r="M17567" t="s">
        <v>38237</v>
      </c>
      <c r="N17567" t="s">
        <v>38238</v>
      </c>
      <c r="O17567" t="s">
        <v>70</v>
      </c>
      <c r="P17567" t="str">
        <f>"48309"</f>
        <v>48309</v>
      </c>
    </row>
    <row r="17568" spans="1:16" x14ac:dyDescent="0.25">
      <c r="A17568" t="str">
        <f>"1260047E00283    00"</f>
        <v>1260047E00283    00</v>
      </c>
      <c r="B17568" t="s">
        <v>38239</v>
      </c>
      <c r="C17568" t="s">
        <v>38240</v>
      </c>
      <c r="E17568" t="s">
        <v>39</v>
      </c>
      <c r="F17568">
        <v>0</v>
      </c>
      <c r="G17568">
        <v>0</v>
      </c>
      <c r="H17568">
        <v>1</v>
      </c>
      <c r="I17568" s="3">
        <v>501.29</v>
      </c>
      <c r="J17568" s="3">
        <v>0</v>
      </c>
      <c r="L17568">
        <v>20</v>
      </c>
      <c r="M17568" t="s">
        <v>38176</v>
      </c>
      <c r="N17568" t="s">
        <v>30</v>
      </c>
      <c r="O17568" t="s">
        <v>31</v>
      </c>
      <c r="P17568" t="str">
        <f>"15212"</f>
        <v>15212</v>
      </c>
    </row>
    <row r="17569" spans="1:16" x14ac:dyDescent="0.25">
      <c r="A17569" t="str">
        <f>"1260047E00285    00"</f>
        <v>1260047E00285    00</v>
      </c>
      <c r="B17569" t="s">
        <v>38236</v>
      </c>
      <c r="C17569" t="s">
        <v>38234</v>
      </c>
      <c r="D17569" t="s">
        <v>20</v>
      </c>
      <c r="E17569" t="s">
        <v>39</v>
      </c>
      <c r="F17569">
        <v>0</v>
      </c>
      <c r="G17569">
        <v>0</v>
      </c>
      <c r="H17569">
        <v>19</v>
      </c>
      <c r="I17569" s="3">
        <v>476.59</v>
      </c>
      <c r="J17569" s="3">
        <v>310.16000000000003</v>
      </c>
      <c r="K17569" t="s">
        <v>1037</v>
      </c>
      <c r="L17569">
        <v>12</v>
      </c>
      <c r="M17569" t="s">
        <v>38176</v>
      </c>
      <c r="N17569" t="s">
        <v>30</v>
      </c>
      <c r="O17569" t="s">
        <v>31</v>
      </c>
      <c r="P17569" t="str">
        <f>"15212"</f>
        <v>15212</v>
      </c>
    </row>
    <row r="17570" spans="1:16" x14ac:dyDescent="0.25">
      <c r="A17570" t="str">
        <f>"1260047E00286    00"</f>
        <v>1260047E00286    00</v>
      </c>
      <c r="B17570" t="s">
        <v>35074</v>
      </c>
      <c r="C17570" t="s">
        <v>38234</v>
      </c>
      <c r="D17570" t="s">
        <v>20</v>
      </c>
      <c r="E17570" t="s">
        <v>39</v>
      </c>
      <c r="F17570">
        <v>0</v>
      </c>
      <c r="G17570">
        <v>0</v>
      </c>
      <c r="H17570">
        <v>19</v>
      </c>
      <c r="I17570" s="3">
        <v>526.29</v>
      </c>
      <c r="J17570" s="3">
        <v>638.13</v>
      </c>
      <c r="K17570" t="s">
        <v>1037</v>
      </c>
      <c r="L17570">
        <v>2720</v>
      </c>
      <c r="M17570" t="s">
        <v>17198</v>
      </c>
      <c r="N17570" t="s">
        <v>30</v>
      </c>
      <c r="O17570" t="s">
        <v>31</v>
      </c>
      <c r="P17570" t="str">
        <f>"15212"</f>
        <v>15212</v>
      </c>
    </row>
    <row r="17571" spans="1:16" x14ac:dyDescent="0.25">
      <c r="A17571" t="str">
        <f>"1260047E00331    00"</f>
        <v>1260047E00331    00</v>
      </c>
      <c r="B17571" t="s">
        <v>38241</v>
      </c>
      <c r="C17571" t="s">
        <v>38242</v>
      </c>
      <c r="D17571" t="s">
        <v>20</v>
      </c>
      <c r="E17571" t="s">
        <v>39</v>
      </c>
      <c r="F17571">
        <v>0</v>
      </c>
      <c r="G17571">
        <v>0</v>
      </c>
      <c r="H17571">
        <v>4</v>
      </c>
      <c r="I17571" s="3">
        <v>616.13</v>
      </c>
      <c r="J17571" s="3">
        <v>110</v>
      </c>
      <c r="L17571">
        <v>2123</v>
      </c>
      <c r="M17571" t="s">
        <v>38243</v>
      </c>
      <c r="N17571" t="s">
        <v>30</v>
      </c>
      <c r="O17571" t="s">
        <v>31</v>
      </c>
      <c r="P17571" t="str">
        <f>"15212"</f>
        <v>15212</v>
      </c>
    </row>
    <row r="17572" spans="1:16" x14ac:dyDescent="0.25">
      <c r="A17572" t="str">
        <f>"1260047F00010    00"</f>
        <v>1260047F00010    00</v>
      </c>
      <c r="B17572" t="s">
        <v>38244</v>
      </c>
      <c r="C17572" t="s">
        <v>38245</v>
      </c>
      <c r="D17572" t="s">
        <v>20</v>
      </c>
      <c r="E17572" t="s">
        <v>39</v>
      </c>
      <c r="F17572">
        <v>0</v>
      </c>
      <c r="G17572">
        <v>0</v>
      </c>
      <c r="H17572">
        <v>1</v>
      </c>
      <c r="I17572" s="3">
        <v>133.41999999999999</v>
      </c>
      <c r="J17572" s="3">
        <v>0</v>
      </c>
      <c r="K17572" t="s">
        <v>28174</v>
      </c>
      <c r="L17572">
        <v>1950</v>
      </c>
      <c r="M17572" t="s">
        <v>28175</v>
      </c>
      <c r="N17572" t="s">
        <v>422</v>
      </c>
      <c r="O17572" t="s">
        <v>423</v>
      </c>
      <c r="P17572" t="str">
        <f>"08003"</f>
        <v>08003</v>
      </c>
    </row>
    <row r="17573" spans="1:16" x14ac:dyDescent="0.25">
      <c r="A17573" t="str">
        <f>"1260047F00033    00"</f>
        <v>1260047F00033    00</v>
      </c>
      <c r="B17573" t="s">
        <v>38246</v>
      </c>
      <c r="C17573" t="s">
        <v>38247</v>
      </c>
      <c r="D17573" t="s">
        <v>20</v>
      </c>
      <c r="E17573" t="s">
        <v>39</v>
      </c>
      <c r="F17573">
        <v>0</v>
      </c>
      <c r="G17573">
        <v>0</v>
      </c>
      <c r="H17573">
        <v>6</v>
      </c>
      <c r="I17573" s="3">
        <v>3267.71</v>
      </c>
      <c r="J17573" s="3">
        <v>625.29</v>
      </c>
      <c r="L17573">
        <v>2114</v>
      </c>
      <c r="M17573" t="s">
        <v>38248</v>
      </c>
      <c r="N17573" t="s">
        <v>30</v>
      </c>
      <c r="O17573" t="s">
        <v>31</v>
      </c>
      <c r="P17573" t="str">
        <f>"15212"</f>
        <v>15212</v>
      </c>
    </row>
    <row r="17574" spans="1:16" x14ac:dyDescent="0.25">
      <c r="A17574" t="str">
        <f>"1260047F00065    00"</f>
        <v>1260047F00065    00</v>
      </c>
      <c r="B17574" t="s">
        <v>38249</v>
      </c>
      <c r="C17574" t="s">
        <v>38250</v>
      </c>
      <c r="D17574" t="s">
        <v>20</v>
      </c>
      <c r="E17574" t="s">
        <v>39</v>
      </c>
      <c r="F17574">
        <v>0</v>
      </c>
      <c r="G17574">
        <v>0</v>
      </c>
      <c r="H17574">
        <v>19</v>
      </c>
      <c r="I17574" s="3">
        <v>6601.11</v>
      </c>
      <c r="J17574" s="3">
        <v>6833.5</v>
      </c>
      <c r="P17574" t="str">
        <f>""</f>
        <v/>
      </c>
    </row>
    <row r="17575" spans="1:16" x14ac:dyDescent="0.25">
      <c r="A17575" t="str">
        <f>"1260047F00066    00"</f>
        <v>1260047F00066    00</v>
      </c>
      <c r="B17575" t="s">
        <v>32636</v>
      </c>
      <c r="C17575" t="s">
        <v>38251</v>
      </c>
      <c r="E17575" t="s">
        <v>39</v>
      </c>
      <c r="F17575">
        <v>0</v>
      </c>
      <c r="G17575">
        <v>0</v>
      </c>
      <c r="H17575">
        <v>1</v>
      </c>
      <c r="I17575" s="3">
        <v>306.58999999999997</v>
      </c>
      <c r="J17575" s="3">
        <v>0</v>
      </c>
      <c r="K17575" t="s">
        <v>32638</v>
      </c>
      <c r="L17575">
        <v>315</v>
      </c>
      <c r="M17575" t="s">
        <v>38252</v>
      </c>
      <c r="N17575" t="s">
        <v>2008</v>
      </c>
      <c r="O17575" t="s">
        <v>31</v>
      </c>
      <c r="P17575" t="str">
        <f>"16066"</f>
        <v>16066</v>
      </c>
    </row>
    <row r="17576" spans="1:16" x14ac:dyDescent="0.25">
      <c r="A17576" t="str">
        <f>"1260047F00073    00"</f>
        <v>1260047F00073    00</v>
      </c>
      <c r="B17576" t="s">
        <v>38253</v>
      </c>
      <c r="C17576" t="s">
        <v>38254</v>
      </c>
      <c r="E17576" t="s">
        <v>39</v>
      </c>
      <c r="F17576">
        <v>0</v>
      </c>
      <c r="G17576">
        <v>0</v>
      </c>
      <c r="H17576">
        <v>1</v>
      </c>
      <c r="I17576" s="3">
        <v>1286.27</v>
      </c>
      <c r="J17576" s="3">
        <v>0</v>
      </c>
      <c r="L17576">
        <v>8</v>
      </c>
      <c r="M17576" t="s">
        <v>37734</v>
      </c>
      <c r="N17576" t="s">
        <v>30</v>
      </c>
      <c r="O17576" t="s">
        <v>31</v>
      </c>
      <c r="P17576" t="str">
        <f>"15212"</f>
        <v>15212</v>
      </c>
    </row>
    <row r="17577" spans="1:16" x14ac:dyDescent="0.25">
      <c r="A17577" t="str">
        <f>"1260047F00143    00"</f>
        <v>1260047F00143    00</v>
      </c>
      <c r="B17577" t="s">
        <v>38255</v>
      </c>
      <c r="C17577" t="s">
        <v>38256</v>
      </c>
      <c r="E17577" t="s">
        <v>39</v>
      </c>
      <c r="F17577">
        <v>0</v>
      </c>
      <c r="G17577">
        <v>0</v>
      </c>
      <c r="H17577">
        <v>1</v>
      </c>
      <c r="I17577" s="3">
        <v>984.91</v>
      </c>
      <c r="J17577" s="3">
        <v>221.59</v>
      </c>
      <c r="K17577" t="s">
        <v>5718</v>
      </c>
      <c r="L17577">
        <v>26642</v>
      </c>
      <c r="M17577" t="s">
        <v>5719</v>
      </c>
      <c r="N17577" t="s">
        <v>5720</v>
      </c>
      <c r="O17577" t="s">
        <v>495</v>
      </c>
      <c r="P17577" t="str">
        <f>"92610"</f>
        <v>92610</v>
      </c>
    </row>
    <row r="17578" spans="1:16" x14ac:dyDescent="0.25">
      <c r="A17578" t="str">
        <f>"1260047F00159    00"</f>
        <v>1260047F00159    00</v>
      </c>
      <c r="B17578" t="s">
        <v>35215</v>
      </c>
      <c r="C17578" t="s">
        <v>38257</v>
      </c>
      <c r="E17578" t="s">
        <v>39</v>
      </c>
      <c r="F17578">
        <v>0</v>
      </c>
      <c r="G17578">
        <v>0</v>
      </c>
      <c r="H17578">
        <v>3</v>
      </c>
      <c r="I17578" s="3">
        <v>200.9</v>
      </c>
      <c r="J17578" s="3">
        <v>5.0199999999999996</v>
      </c>
      <c r="M17578" t="s">
        <v>34891</v>
      </c>
      <c r="N17578" t="s">
        <v>30</v>
      </c>
      <c r="O17578" t="s">
        <v>31</v>
      </c>
      <c r="P17578" t="str">
        <f>"15237"</f>
        <v>15237</v>
      </c>
    </row>
    <row r="17579" spans="1:16" x14ac:dyDescent="0.25">
      <c r="A17579" t="str">
        <f>"1260047F00206    00"</f>
        <v>1260047F00206    00</v>
      </c>
      <c r="B17579" t="s">
        <v>38258</v>
      </c>
      <c r="C17579" t="s">
        <v>38259</v>
      </c>
      <c r="E17579" t="s">
        <v>39</v>
      </c>
      <c r="F17579">
        <v>0</v>
      </c>
      <c r="G17579">
        <v>0</v>
      </c>
      <c r="H17579">
        <v>2</v>
      </c>
      <c r="I17579" s="3">
        <v>671.11</v>
      </c>
      <c r="J17579" s="3">
        <v>71.61</v>
      </c>
      <c r="K17579" t="s">
        <v>38260</v>
      </c>
      <c r="L17579">
        <v>1</v>
      </c>
      <c r="M17579" t="s">
        <v>38261</v>
      </c>
      <c r="N17579" t="s">
        <v>30</v>
      </c>
      <c r="O17579" t="s">
        <v>31</v>
      </c>
      <c r="P17579" t="str">
        <f>"15212"</f>
        <v>15212</v>
      </c>
    </row>
    <row r="17580" spans="1:16" x14ac:dyDescent="0.25">
      <c r="A17580" t="str">
        <f>"1260047F00209    00"</f>
        <v>1260047F00209    00</v>
      </c>
      <c r="B17580" t="s">
        <v>38262</v>
      </c>
      <c r="C17580" t="s">
        <v>38263</v>
      </c>
      <c r="D17580" t="s">
        <v>20</v>
      </c>
      <c r="E17580" t="s">
        <v>39</v>
      </c>
      <c r="F17580">
        <v>0</v>
      </c>
      <c r="G17580">
        <v>0</v>
      </c>
      <c r="H17580">
        <v>19</v>
      </c>
      <c r="I17580" s="3">
        <v>1070.08</v>
      </c>
      <c r="J17580" s="3">
        <v>700.67</v>
      </c>
      <c r="L17580">
        <v>3</v>
      </c>
      <c r="M17580" t="s">
        <v>38261</v>
      </c>
      <c r="N17580" t="s">
        <v>30</v>
      </c>
      <c r="O17580" t="s">
        <v>31</v>
      </c>
      <c r="P17580" t="str">
        <f>"15212"</f>
        <v>15212</v>
      </c>
    </row>
    <row r="17581" spans="1:16" x14ac:dyDescent="0.25">
      <c r="A17581" t="str">
        <f>"1260047G00009    00"</f>
        <v>1260047G00009    00</v>
      </c>
      <c r="B17581" t="s">
        <v>38244</v>
      </c>
      <c r="C17581" t="s">
        <v>38245</v>
      </c>
      <c r="D17581" t="s">
        <v>20</v>
      </c>
      <c r="E17581" t="s">
        <v>39</v>
      </c>
      <c r="F17581">
        <v>0</v>
      </c>
      <c r="G17581">
        <v>0</v>
      </c>
      <c r="H17581">
        <v>1</v>
      </c>
      <c r="I17581" s="3">
        <v>142.96</v>
      </c>
      <c r="J17581" s="3">
        <v>0</v>
      </c>
      <c r="K17581" t="s">
        <v>28174</v>
      </c>
      <c r="L17581">
        <v>1950</v>
      </c>
      <c r="M17581" t="s">
        <v>28175</v>
      </c>
      <c r="N17581" t="s">
        <v>422</v>
      </c>
      <c r="O17581" t="s">
        <v>423</v>
      </c>
      <c r="P17581" t="str">
        <f>"08003"</f>
        <v>08003</v>
      </c>
    </row>
    <row r="17582" spans="1:16" x14ac:dyDescent="0.25">
      <c r="A17582" t="str">
        <f>"1260047G00014    00"</f>
        <v>1260047G00014    00</v>
      </c>
      <c r="B17582" t="s">
        <v>38264</v>
      </c>
      <c r="C17582" t="s">
        <v>38265</v>
      </c>
      <c r="D17582" t="s">
        <v>20</v>
      </c>
      <c r="E17582" t="s">
        <v>39</v>
      </c>
      <c r="F17582">
        <v>0</v>
      </c>
      <c r="G17582">
        <v>0</v>
      </c>
      <c r="H17582">
        <v>2</v>
      </c>
      <c r="I17582" s="3">
        <v>2425.44</v>
      </c>
      <c r="J17582" s="3">
        <v>0</v>
      </c>
      <c r="K17582" t="s">
        <v>3554</v>
      </c>
      <c r="L17582">
        <v>600</v>
      </c>
      <c r="M17582" t="s">
        <v>3555</v>
      </c>
      <c r="N17582" t="s">
        <v>3556</v>
      </c>
      <c r="O17582" t="s">
        <v>31</v>
      </c>
      <c r="P17582" t="str">
        <f>"16117"</f>
        <v>16117</v>
      </c>
    </row>
    <row r="17583" spans="1:16" x14ac:dyDescent="0.25">
      <c r="A17583" t="str">
        <f>"1260047G00022    00"</f>
        <v>1260047G00022    00</v>
      </c>
      <c r="B17583" t="s">
        <v>38244</v>
      </c>
      <c r="C17583" t="s">
        <v>38266</v>
      </c>
      <c r="E17583" t="s">
        <v>39</v>
      </c>
      <c r="F17583">
        <v>0</v>
      </c>
      <c r="G17583">
        <v>0</v>
      </c>
      <c r="H17583">
        <v>1</v>
      </c>
      <c r="I17583" s="3">
        <v>17.670000000000002</v>
      </c>
      <c r="J17583" s="3">
        <v>0</v>
      </c>
      <c r="K17583" t="s">
        <v>28174</v>
      </c>
      <c r="L17583">
        <v>1950</v>
      </c>
      <c r="M17583" t="s">
        <v>28175</v>
      </c>
      <c r="N17583" t="s">
        <v>422</v>
      </c>
      <c r="O17583" t="s">
        <v>423</v>
      </c>
      <c r="P17583" t="str">
        <f>"08003"</f>
        <v>08003</v>
      </c>
    </row>
    <row r="17584" spans="1:16" x14ac:dyDescent="0.25">
      <c r="A17584" t="str">
        <f>"1260047G00080    00"</f>
        <v>1260047G00080    00</v>
      </c>
      <c r="B17584" t="s">
        <v>38267</v>
      </c>
      <c r="C17584" t="s">
        <v>38268</v>
      </c>
      <c r="E17584" t="s">
        <v>39</v>
      </c>
      <c r="F17584">
        <v>0</v>
      </c>
      <c r="G17584">
        <v>0</v>
      </c>
      <c r="H17584">
        <v>1</v>
      </c>
      <c r="I17584" s="3">
        <v>326.7</v>
      </c>
      <c r="J17584" s="3">
        <v>242.3</v>
      </c>
      <c r="L17584">
        <v>2126</v>
      </c>
      <c r="M17584" t="s">
        <v>37924</v>
      </c>
      <c r="N17584" t="s">
        <v>30</v>
      </c>
      <c r="O17584" t="s">
        <v>31</v>
      </c>
      <c r="P17584" t="str">
        <f>"15212"</f>
        <v>15212</v>
      </c>
    </row>
    <row r="17585" spans="1:16" x14ac:dyDescent="0.25">
      <c r="A17585" t="str">
        <f>"1260047G00084    00"</f>
        <v>1260047G00084    00</v>
      </c>
      <c r="B17585" t="s">
        <v>38269</v>
      </c>
      <c r="C17585" t="s">
        <v>38270</v>
      </c>
      <c r="D17585" t="s">
        <v>20</v>
      </c>
      <c r="E17585" t="s">
        <v>39</v>
      </c>
      <c r="F17585">
        <v>0</v>
      </c>
      <c r="G17585">
        <v>0</v>
      </c>
      <c r="H17585">
        <v>8</v>
      </c>
      <c r="I17585" s="3">
        <v>7631.37</v>
      </c>
      <c r="J17585" s="3">
        <v>2554.06</v>
      </c>
      <c r="L17585">
        <v>2118</v>
      </c>
      <c r="M17585" t="s">
        <v>37924</v>
      </c>
      <c r="N17585" t="s">
        <v>30</v>
      </c>
      <c r="O17585" t="s">
        <v>31</v>
      </c>
      <c r="P17585" t="str">
        <f>"15212"</f>
        <v>15212</v>
      </c>
    </row>
    <row r="17586" spans="1:16" x14ac:dyDescent="0.25">
      <c r="A17586" t="str">
        <f>"1260047G00118    00"</f>
        <v>1260047G00118    00</v>
      </c>
      <c r="B17586" t="s">
        <v>38271</v>
      </c>
      <c r="C17586" t="s">
        <v>38272</v>
      </c>
      <c r="D17586" t="s">
        <v>20</v>
      </c>
      <c r="E17586" t="s">
        <v>39</v>
      </c>
      <c r="F17586">
        <v>0</v>
      </c>
      <c r="G17586">
        <v>0</v>
      </c>
      <c r="H17586">
        <v>6</v>
      </c>
      <c r="I17586" s="3">
        <v>4359.58</v>
      </c>
      <c r="J17586" s="3">
        <v>760.63</v>
      </c>
      <c r="K17586" t="s">
        <v>38273</v>
      </c>
      <c r="L17586">
        <v>715</v>
      </c>
      <c r="M17586" t="s">
        <v>7082</v>
      </c>
      <c r="N17586" t="s">
        <v>30</v>
      </c>
      <c r="O17586" t="s">
        <v>31</v>
      </c>
      <c r="P17586" t="str">
        <f>"15226"</f>
        <v>15226</v>
      </c>
    </row>
    <row r="17587" spans="1:16" x14ac:dyDescent="0.25">
      <c r="A17587" t="str">
        <f>"1260047G00123    00"</f>
        <v>1260047G00123    00</v>
      </c>
      <c r="B17587" t="s">
        <v>38274</v>
      </c>
      <c r="C17587" t="s">
        <v>38275</v>
      </c>
      <c r="D17587" t="s">
        <v>20</v>
      </c>
      <c r="E17587" t="s">
        <v>39</v>
      </c>
      <c r="F17587">
        <v>0</v>
      </c>
      <c r="G17587">
        <v>0</v>
      </c>
      <c r="H17587">
        <v>1</v>
      </c>
      <c r="I17587" s="3">
        <v>277</v>
      </c>
      <c r="J17587" s="3">
        <v>0</v>
      </c>
      <c r="L17587">
        <v>307</v>
      </c>
      <c r="M17587" t="s">
        <v>38276</v>
      </c>
      <c r="N17587" t="s">
        <v>27944</v>
      </c>
      <c r="O17587" t="s">
        <v>31</v>
      </c>
      <c r="P17587" t="str">
        <f>"16057"</f>
        <v>16057</v>
      </c>
    </row>
    <row r="17588" spans="1:16" x14ac:dyDescent="0.25">
      <c r="A17588" t="str">
        <f>"1260047G00129    00"</f>
        <v>1260047G00129    00</v>
      </c>
      <c r="B17588" t="s">
        <v>38277</v>
      </c>
      <c r="C17588" t="s">
        <v>38278</v>
      </c>
      <c r="D17588" t="s">
        <v>20</v>
      </c>
      <c r="E17588" t="s">
        <v>39</v>
      </c>
      <c r="F17588">
        <v>0</v>
      </c>
      <c r="G17588">
        <v>0</v>
      </c>
      <c r="H17588">
        <v>1</v>
      </c>
      <c r="I17588" s="3">
        <v>3319.4</v>
      </c>
      <c r="J17588" s="3">
        <v>0</v>
      </c>
      <c r="L17588">
        <v>2225</v>
      </c>
      <c r="M17588" t="s">
        <v>35780</v>
      </c>
      <c r="N17588" t="s">
        <v>30</v>
      </c>
      <c r="O17588" t="s">
        <v>31</v>
      </c>
      <c r="P17588" t="str">
        <f>"15212"</f>
        <v>15212</v>
      </c>
    </row>
    <row r="17589" spans="1:16" x14ac:dyDescent="0.25">
      <c r="A17589" t="str">
        <f>"1260047G00149    00"</f>
        <v>1260047G00149    00</v>
      </c>
      <c r="B17589" t="s">
        <v>38279</v>
      </c>
      <c r="C17589" t="s">
        <v>38280</v>
      </c>
      <c r="E17589" t="s">
        <v>39</v>
      </c>
      <c r="F17589">
        <v>0</v>
      </c>
      <c r="G17589">
        <v>0</v>
      </c>
      <c r="H17589">
        <v>1</v>
      </c>
      <c r="I17589" s="3">
        <v>207.29</v>
      </c>
      <c r="J17589" s="3">
        <v>0</v>
      </c>
      <c r="L17589">
        <v>2140</v>
      </c>
      <c r="M17589" t="s">
        <v>35780</v>
      </c>
      <c r="N17589" t="s">
        <v>30</v>
      </c>
      <c r="O17589" t="s">
        <v>31</v>
      </c>
      <c r="P17589" t="str">
        <f>"15212"</f>
        <v>15212</v>
      </c>
    </row>
    <row r="17590" spans="1:16" x14ac:dyDescent="0.25">
      <c r="A17590" t="str">
        <f>"1260047G00168    00"</f>
        <v>1260047G00168    00</v>
      </c>
      <c r="B17590" t="s">
        <v>38281</v>
      </c>
      <c r="C17590" t="s">
        <v>38282</v>
      </c>
      <c r="D17590" t="s">
        <v>20</v>
      </c>
      <c r="E17590" t="s">
        <v>39</v>
      </c>
      <c r="F17590">
        <v>0</v>
      </c>
      <c r="G17590">
        <v>0</v>
      </c>
      <c r="H17590">
        <v>4</v>
      </c>
      <c r="I17590" s="3">
        <v>4106.25</v>
      </c>
      <c r="J17590" s="3">
        <v>723.83</v>
      </c>
      <c r="K17590" t="s">
        <v>9056</v>
      </c>
      <c r="L17590">
        <v>3001</v>
      </c>
      <c r="M17590" t="s">
        <v>404</v>
      </c>
      <c r="N17590" t="s">
        <v>331</v>
      </c>
      <c r="O17590" t="s">
        <v>108</v>
      </c>
      <c r="P17590" t="str">
        <f>"75063"</f>
        <v>75063</v>
      </c>
    </row>
    <row r="17591" spans="1:16" x14ac:dyDescent="0.25">
      <c r="A17591" t="str">
        <f>"1260047G00176    00"</f>
        <v>1260047G00176    00</v>
      </c>
      <c r="B17591" t="s">
        <v>36704</v>
      </c>
      <c r="C17591" t="s">
        <v>38283</v>
      </c>
      <c r="D17591" t="s">
        <v>20</v>
      </c>
      <c r="E17591" t="s">
        <v>39</v>
      </c>
      <c r="F17591">
        <v>0</v>
      </c>
      <c r="G17591">
        <v>0</v>
      </c>
      <c r="H17591">
        <v>11</v>
      </c>
      <c r="I17591" s="3">
        <v>586.15</v>
      </c>
      <c r="J17591" s="3">
        <v>281.35000000000002</v>
      </c>
      <c r="L17591">
        <v>1631</v>
      </c>
      <c r="M17591" t="s">
        <v>36409</v>
      </c>
      <c r="N17591" t="s">
        <v>30</v>
      </c>
      <c r="O17591" t="s">
        <v>31</v>
      </c>
      <c r="P17591" t="str">
        <f>"15212"</f>
        <v>15212</v>
      </c>
    </row>
    <row r="17592" spans="1:16" x14ac:dyDescent="0.25">
      <c r="A17592" t="str">
        <f>"1260047G00177    00"</f>
        <v>1260047G00177    00</v>
      </c>
      <c r="B17592" t="s">
        <v>38284</v>
      </c>
      <c r="C17592" t="s">
        <v>38285</v>
      </c>
      <c r="D17592" t="s">
        <v>20</v>
      </c>
      <c r="E17592" t="s">
        <v>39</v>
      </c>
      <c r="F17592">
        <v>0</v>
      </c>
      <c r="G17592">
        <v>0</v>
      </c>
      <c r="H17592">
        <v>5</v>
      </c>
      <c r="I17592" s="3">
        <v>2324.37</v>
      </c>
      <c r="J17592" s="3">
        <v>441.87</v>
      </c>
      <c r="K17592" t="s">
        <v>38286</v>
      </c>
      <c r="L17592">
        <v>1514</v>
      </c>
      <c r="M17592" t="s">
        <v>37660</v>
      </c>
      <c r="N17592" t="s">
        <v>30</v>
      </c>
      <c r="O17592" t="s">
        <v>31</v>
      </c>
      <c r="P17592" t="str">
        <f>"15212"</f>
        <v>15212</v>
      </c>
    </row>
    <row r="17593" spans="1:16" x14ac:dyDescent="0.25">
      <c r="A17593" t="str">
        <f>"1260047G00250    00"</f>
        <v>1260047G00250    00</v>
      </c>
      <c r="B17593" t="s">
        <v>38287</v>
      </c>
      <c r="C17593" t="s">
        <v>38288</v>
      </c>
      <c r="D17593" t="s">
        <v>20</v>
      </c>
      <c r="E17593" t="s">
        <v>39</v>
      </c>
      <c r="F17593">
        <v>0</v>
      </c>
      <c r="G17593">
        <v>0</v>
      </c>
      <c r="H17593">
        <v>2</v>
      </c>
      <c r="I17593" s="3">
        <v>720.48</v>
      </c>
      <c r="J17593" s="3">
        <v>0</v>
      </c>
      <c r="K17593" t="s">
        <v>38289</v>
      </c>
      <c r="L17593">
        <v>205</v>
      </c>
      <c r="M17593" t="s">
        <v>946</v>
      </c>
      <c r="N17593" t="s">
        <v>30</v>
      </c>
      <c r="O17593" t="s">
        <v>31</v>
      </c>
      <c r="P17593" t="str">
        <f>"15219"</f>
        <v>15219</v>
      </c>
    </row>
    <row r="17594" spans="1:16" x14ac:dyDescent="0.25">
      <c r="A17594" t="str">
        <f>"1260047G00282    00"</f>
        <v>1260047G00282    00</v>
      </c>
      <c r="B17594" t="s">
        <v>38290</v>
      </c>
      <c r="C17594" t="s">
        <v>38291</v>
      </c>
      <c r="D17594" t="s">
        <v>20</v>
      </c>
      <c r="E17594" t="s">
        <v>39</v>
      </c>
      <c r="F17594">
        <v>0</v>
      </c>
      <c r="G17594">
        <v>0</v>
      </c>
      <c r="H17594">
        <v>11</v>
      </c>
      <c r="I17594" s="3">
        <v>4862.5600000000004</v>
      </c>
      <c r="J17594" s="3">
        <v>2320.7199999999998</v>
      </c>
      <c r="L17594">
        <v>4</v>
      </c>
      <c r="M17594" t="s">
        <v>38292</v>
      </c>
      <c r="N17594" t="s">
        <v>30</v>
      </c>
      <c r="O17594" t="s">
        <v>31</v>
      </c>
      <c r="P17594" t="str">
        <f>"15212"</f>
        <v>15212</v>
      </c>
    </row>
    <row r="17595" spans="1:16" x14ac:dyDescent="0.25">
      <c r="A17595" t="str">
        <f>"1260047H00048    00"</f>
        <v>1260047H00048    00</v>
      </c>
      <c r="B17595" t="s">
        <v>38293</v>
      </c>
      <c r="C17595" t="s">
        <v>38294</v>
      </c>
      <c r="D17595" t="s">
        <v>20</v>
      </c>
      <c r="E17595" t="s">
        <v>39</v>
      </c>
      <c r="F17595">
        <v>0</v>
      </c>
      <c r="G17595">
        <v>0</v>
      </c>
      <c r="H17595">
        <v>1</v>
      </c>
      <c r="I17595" s="3">
        <v>583.23</v>
      </c>
      <c r="J17595" s="3">
        <v>0</v>
      </c>
      <c r="K17595" t="s">
        <v>10868</v>
      </c>
      <c r="L17595">
        <v>4425</v>
      </c>
      <c r="M17595" t="s">
        <v>10869</v>
      </c>
      <c r="N17595" t="s">
        <v>4652</v>
      </c>
      <c r="O17595" t="s">
        <v>370</v>
      </c>
      <c r="P17595" t="str">
        <f>"33146"</f>
        <v>33146</v>
      </c>
    </row>
    <row r="17596" spans="1:16" x14ac:dyDescent="0.25">
      <c r="A17596" t="str">
        <f>"1260047H00050    00"</f>
        <v>1260047H00050    00</v>
      </c>
      <c r="B17596" t="s">
        <v>38295</v>
      </c>
      <c r="C17596" t="s">
        <v>38296</v>
      </c>
      <c r="D17596" t="s">
        <v>20</v>
      </c>
      <c r="E17596" t="s">
        <v>39</v>
      </c>
      <c r="F17596">
        <v>0</v>
      </c>
      <c r="G17596">
        <v>0</v>
      </c>
      <c r="H17596">
        <v>19</v>
      </c>
      <c r="I17596" s="3">
        <v>3583.29</v>
      </c>
      <c r="J17596" s="3">
        <v>3538.5</v>
      </c>
      <c r="L17596">
        <v>415</v>
      </c>
      <c r="M17596" t="s">
        <v>34701</v>
      </c>
      <c r="N17596" t="s">
        <v>30</v>
      </c>
      <c r="O17596" t="s">
        <v>31</v>
      </c>
      <c r="P17596" t="str">
        <f>"15212"</f>
        <v>15212</v>
      </c>
    </row>
    <row r="17597" spans="1:16" x14ac:dyDescent="0.25">
      <c r="A17597" t="str">
        <f>"1260047H00103    00"</f>
        <v>1260047H00103    00</v>
      </c>
      <c r="B17597" t="s">
        <v>38297</v>
      </c>
      <c r="C17597" t="s">
        <v>38298</v>
      </c>
      <c r="D17597" t="s">
        <v>20</v>
      </c>
      <c r="E17597" t="s">
        <v>39</v>
      </c>
      <c r="F17597">
        <v>0</v>
      </c>
      <c r="G17597">
        <v>0</v>
      </c>
      <c r="H17597">
        <v>8</v>
      </c>
      <c r="I17597" s="3">
        <v>4271.8599999999997</v>
      </c>
      <c r="J17597" s="3">
        <v>1454.78</v>
      </c>
      <c r="L17597">
        <v>8878</v>
      </c>
      <c r="M17597" t="s">
        <v>38299</v>
      </c>
      <c r="N17597" t="s">
        <v>30</v>
      </c>
      <c r="O17597" t="s">
        <v>31</v>
      </c>
      <c r="P17597" t="str">
        <f>"15237"</f>
        <v>15237</v>
      </c>
    </row>
    <row r="17598" spans="1:16" x14ac:dyDescent="0.25">
      <c r="A17598" t="str">
        <f>"1260047H00131    00"</f>
        <v>1260047H00131    00</v>
      </c>
      <c r="B17598" t="s">
        <v>38300</v>
      </c>
      <c r="C17598" t="s">
        <v>38301</v>
      </c>
      <c r="D17598" t="s">
        <v>20</v>
      </c>
      <c r="E17598" t="s">
        <v>39</v>
      </c>
      <c r="F17598">
        <v>0</v>
      </c>
      <c r="G17598">
        <v>0</v>
      </c>
      <c r="H17598">
        <v>4</v>
      </c>
      <c r="I17598" s="3">
        <v>4462.87</v>
      </c>
      <c r="J17598" s="3">
        <v>0</v>
      </c>
      <c r="K17598" t="s">
        <v>38302</v>
      </c>
      <c r="L17598">
        <v>10</v>
      </c>
      <c r="M17598" t="s">
        <v>38303</v>
      </c>
      <c r="N17598" t="s">
        <v>571</v>
      </c>
      <c r="O17598" t="s">
        <v>423</v>
      </c>
      <c r="P17598" t="str">
        <f>"07112"</f>
        <v>07112</v>
      </c>
    </row>
    <row r="17599" spans="1:16" x14ac:dyDescent="0.25">
      <c r="A17599" t="str">
        <f>"1260047H00169    00"</f>
        <v>1260047H00169    00</v>
      </c>
      <c r="B17599" t="s">
        <v>38304</v>
      </c>
      <c r="C17599" t="s">
        <v>38305</v>
      </c>
      <c r="D17599" t="s">
        <v>20</v>
      </c>
      <c r="E17599" t="s">
        <v>39</v>
      </c>
      <c r="F17599">
        <v>0</v>
      </c>
      <c r="G17599">
        <v>0</v>
      </c>
      <c r="H17599">
        <v>6</v>
      </c>
      <c r="I17599" s="3">
        <v>4853.51</v>
      </c>
      <c r="J17599" s="3">
        <v>1088.55</v>
      </c>
      <c r="L17599">
        <v>2917</v>
      </c>
      <c r="M17599" t="s">
        <v>33466</v>
      </c>
      <c r="N17599" t="s">
        <v>30</v>
      </c>
      <c r="O17599" t="s">
        <v>31</v>
      </c>
      <c r="P17599" t="str">
        <f>"15212"</f>
        <v>15212</v>
      </c>
    </row>
    <row r="17600" spans="1:16" x14ac:dyDescent="0.25">
      <c r="A17600" t="str">
        <f>"1260047H00171    00"</f>
        <v>1260047H00171    00</v>
      </c>
      <c r="B17600" t="s">
        <v>38304</v>
      </c>
      <c r="C17600" t="s">
        <v>34740</v>
      </c>
      <c r="D17600" t="s">
        <v>20</v>
      </c>
      <c r="E17600" t="s">
        <v>39</v>
      </c>
      <c r="F17600">
        <v>0</v>
      </c>
      <c r="G17600">
        <v>0</v>
      </c>
      <c r="H17600">
        <v>6</v>
      </c>
      <c r="I17600" s="3">
        <v>268.42</v>
      </c>
      <c r="J17600" s="3">
        <v>61.23</v>
      </c>
      <c r="L17600">
        <v>2917</v>
      </c>
      <c r="M17600" t="s">
        <v>33466</v>
      </c>
      <c r="N17600" t="s">
        <v>30</v>
      </c>
      <c r="O17600" t="s">
        <v>31</v>
      </c>
      <c r="P17600" t="str">
        <f>"15212"</f>
        <v>15212</v>
      </c>
    </row>
    <row r="17601" spans="1:16" x14ac:dyDescent="0.25">
      <c r="A17601" t="str">
        <f>"1260047H00174    00"</f>
        <v>1260047H00174    00</v>
      </c>
      <c r="B17601" t="s">
        <v>38306</v>
      </c>
      <c r="C17601" t="s">
        <v>38307</v>
      </c>
      <c r="D17601" t="s">
        <v>20</v>
      </c>
      <c r="E17601" t="s">
        <v>39</v>
      </c>
      <c r="F17601">
        <v>0</v>
      </c>
      <c r="G17601">
        <v>0</v>
      </c>
      <c r="H17601">
        <v>7</v>
      </c>
      <c r="I17601" s="3">
        <v>523.5</v>
      </c>
      <c r="J17601" s="3">
        <v>144.25</v>
      </c>
      <c r="L17601">
        <v>1841</v>
      </c>
      <c r="M17601" t="s">
        <v>33466</v>
      </c>
      <c r="N17601" t="s">
        <v>30</v>
      </c>
      <c r="O17601" t="s">
        <v>31</v>
      </c>
      <c r="P17601" t="str">
        <f>"15212"</f>
        <v>15212</v>
      </c>
    </row>
    <row r="17602" spans="1:16" x14ac:dyDescent="0.25">
      <c r="A17602" t="str">
        <f>"1260047H00180    00"</f>
        <v>1260047H00180    00</v>
      </c>
      <c r="B17602" t="s">
        <v>38308</v>
      </c>
      <c r="C17602" t="s">
        <v>34740</v>
      </c>
      <c r="D17602" t="s">
        <v>20</v>
      </c>
      <c r="E17602" t="s">
        <v>39</v>
      </c>
      <c r="F17602">
        <v>0</v>
      </c>
      <c r="G17602">
        <v>0</v>
      </c>
      <c r="H17602">
        <v>19</v>
      </c>
      <c r="I17602" s="3">
        <v>6317.49</v>
      </c>
      <c r="J17602" s="3">
        <v>5639.35</v>
      </c>
      <c r="L17602">
        <v>4956</v>
      </c>
      <c r="M17602" t="s">
        <v>38309</v>
      </c>
      <c r="N17602" t="s">
        <v>38310</v>
      </c>
      <c r="O17602" t="s">
        <v>200</v>
      </c>
      <c r="P17602" t="str">
        <f>"14757"</f>
        <v>14757</v>
      </c>
    </row>
    <row r="17603" spans="1:16" x14ac:dyDescent="0.25">
      <c r="A17603" t="str">
        <f>"1260047H00192    00"</f>
        <v>1260047H00192    00</v>
      </c>
      <c r="B17603" t="s">
        <v>38145</v>
      </c>
      <c r="C17603" t="s">
        <v>38311</v>
      </c>
      <c r="D17603" t="s">
        <v>20</v>
      </c>
      <c r="E17603" t="s">
        <v>39</v>
      </c>
      <c r="F17603">
        <v>0</v>
      </c>
      <c r="G17603">
        <v>0</v>
      </c>
      <c r="H17603">
        <v>19</v>
      </c>
      <c r="I17603" s="3">
        <v>5544.58</v>
      </c>
      <c r="J17603" s="3">
        <v>4946.41</v>
      </c>
      <c r="L17603">
        <v>38</v>
      </c>
      <c r="M17603" t="s">
        <v>35682</v>
      </c>
      <c r="N17603" t="s">
        <v>30</v>
      </c>
      <c r="O17603" t="s">
        <v>31</v>
      </c>
      <c r="P17603" t="str">
        <f>"15214"</f>
        <v>15214</v>
      </c>
    </row>
    <row r="17604" spans="1:16" x14ac:dyDescent="0.25">
      <c r="A17604" t="str">
        <f>"1260047H00220    00"</f>
        <v>1260047H00220    00</v>
      </c>
      <c r="B17604" t="s">
        <v>38308</v>
      </c>
      <c r="C17604" t="s">
        <v>38312</v>
      </c>
      <c r="D17604" t="s">
        <v>20</v>
      </c>
      <c r="E17604" t="s">
        <v>39</v>
      </c>
      <c r="F17604">
        <v>0</v>
      </c>
      <c r="G17604">
        <v>0</v>
      </c>
      <c r="H17604">
        <v>19</v>
      </c>
      <c r="I17604" s="3">
        <v>3349.55</v>
      </c>
      <c r="J17604" s="3">
        <v>1987.53</v>
      </c>
      <c r="K17604" t="s">
        <v>38313</v>
      </c>
      <c r="L17604">
        <v>4956</v>
      </c>
      <c r="M17604" t="s">
        <v>38309</v>
      </c>
      <c r="N17604" t="s">
        <v>38310</v>
      </c>
      <c r="O17604" t="s">
        <v>200</v>
      </c>
      <c r="P17604" t="str">
        <f>"14757"</f>
        <v>14757</v>
      </c>
    </row>
    <row r="17605" spans="1:16" x14ac:dyDescent="0.25">
      <c r="A17605" t="str">
        <f>"1260047J00079    00"</f>
        <v>1260047J00079    00</v>
      </c>
      <c r="B17605" t="s">
        <v>38314</v>
      </c>
      <c r="C17605" t="s">
        <v>38234</v>
      </c>
      <c r="D17605" t="s">
        <v>20</v>
      </c>
      <c r="E17605" t="s">
        <v>39</v>
      </c>
      <c r="F17605">
        <v>0</v>
      </c>
      <c r="G17605">
        <v>0</v>
      </c>
      <c r="H17605">
        <v>19</v>
      </c>
      <c r="I17605" s="3">
        <v>320.97000000000003</v>
      </c>
      <c r="J17605" s="3">
        <v>282.08999999999997</v>
      </c>
      <c r="L17605">
        <v>916</v>
      </c>
      <c r="M17605" t="s">
        <v>38315</v>
      </c>
      <c r="N17605" t="s">
        <v>30</v>
      </c>
      <c r="O17605" t="s">
        <v>31</v>
      </c>
      <c r="P17605" t="str">
        <f>"15212"</f>
        <v>15212</v>
      </c>
    </row>
    <row r="17606" spans="1:16" x14ac:dyDescent="0.25">
      <c r="A17606" t="str">
        <f>"1260047J00080    00"</f>
        <v>1260047J00080    00</v>
      </c>
      <c r="B17606" t="s">
        <v>38174</v>
      </c>
      <c r="C17606" t="s">
        <v>38316</v>
      </c>
      <c r="D17606" t="s">
        <v>20</v>
      </c>
      <c r="E17606" t="s">
        <v>39</v>
      </c>
      <c r="F17606">
        <v>0</v>
      </c>
      <c r="G17606">
        <v>0</v>
      </c>
      <c r="H17606">
        <v>2</v>
      </c>
      <c r="I17606" s="3">
        <v>899.64</v>
      </c>
      <c r="J17606" s="3">
        <v>0</v>
      </c>
      <c r="L17606">
        <v>20</v>
      </c>
      <c r="M17606" t="s">
        <v>38176</v>
      </c>
      <c r="N17606" t="s">
        <v>30</v>
      </c>
      <c r="O17606" t="s">
        <v>31</v>
      </c>
      <c r="P17606" t="str">
        <f>"15212"</f>
        <v>15212</v>
      </c>
    </row>
    <row r="17607" spans="1:16" x14ac:dyDescent="0.25">
      <c r="A17607" t="str">
        <f>"1260047J00133    00"</f>
        <v>1260047J00133    00</v>
      </c>
      <c r="B17607" t="s">
        <v>6429</v>
      </c>
      <c r="C17607" t="s">
        <v>35573</v>
      </c>
      <c r="D17607" t="s">
        <v>20</v>
      </c>
      <c r="E17607" t="s">
        <v>39</v>
      </c>
      <c r="F17607">
        <v>0</v>
      </c>
      <c r="G17607">
        <v>0</v>
      </c>
      <c r="H17607">
        <v>17</v>
      </c>
      <c r="I17607" s="3">
        <v>1257.8</v>
      </c>
      <c r="J17607" s="3">
        <v>1502.86</v>
      </c>
      <c r="L17607">
        <v>161</v>
      </c>
      <c r="M17607" t="s">
        <v>6269</v>
      </c>
      <c r="N17607" t="s">
        <v>30</v>
      </c>
      <c r="O17607" t="s">
        <v>31</v>
      </c>
      <c r="P17607" t="str">
        <f>"15224"</f>
        <v>15224</v>
      </c>
    </row>
    <row r="17608" spans="1:16" x14ac:dyDescent="0.25">
      <c r="A17608" t="str">
        <f>"1260047J00136    00"</f>
        <v>1260047J00136    00</v>
      </c>
      <c r="B17608" t="s">
        <v>38317</v>
      </c>
      <c r="C17608" t="s">
        <v>35573</v>
      </c>
      <c r="D17608" t="s">
        <v>20</v>
      </c>
      <c r="E17608" t="s">
        <v>39</v>
      </c>
      <c r="F17608">
        <v>0</v>
      </c>
      <c r="G17608">
        <v>0</v>
      </c>
      <c r="H17608">
        <v>16</v>
      </c>
      <c r="I17608" s="3">
        <v>171.32</v>
      </c>
      <c r="J17608" s="3">
        <v>121.82</v>
      </c>
      <c r="K17608" t="s">
        <v>38318</v>
      </c>
      <c r="L17608">
        <v>177</v>
      </c>
      <c r="M17608" t="s">
        <v>31106</v>
      </c>
      <c r="N17608" t="s">
        <v>30</v>
      </c>
      <c r="O17608" t="s">
        <v>31</v>
      </c>
      <c r="P17608" t="str">
        <f>"15212"</f>
        <v>15212</v>
      </c>
    </row>
    <row r="17609" spans="1:16" x14ac:dyDescent="0.25">
      <c r="A17609" t="str">
        <f>"1260047J00137    00"</f>
        <v>1260047J00137    00</v>
      </c>
      <c r="B17609" t="s">
        <v>38319</v>
      </c>
      <c r="C17609" t="s">
        <v>35573</v>
      </c>
      <c r="D17609" t="s">
        <v>20</v>
      </c>
      <c r="E17609" t="s">
        <v>39</v>
      </c>
      <c r="F17609">
        <v>0</v>
      </c>
      <c r="G17609">
        <v>0</v>
      </c>
      <c r="H17609">
        <v>11</v>
      </c>
      <c r="I17609" s="3">
        <v>2522.5500000000002</v>
      </c>
      <c r="J17609" s="3">
        <v>1585.77</v>
      </c>
      <c r="L17609">
        <v>177</v>
      </c>
      <c r="M17609" t="s">
        <v>31106</v>
      </c>
      <c r="N17609" t="s">
        <v>30</v>
      </c>
      <c r="O17609" t="s">
        <v>31</v>
      </c>
      <c r="P17609" t="str">
        <f>"15212"</f>
        <v>15212</v>
      </c>
    </row>
    <row r="17610" spans="1:16" x14ac:dyDescent="0.25">
      <c r="A17610" t="str">
        <f>"1260047J00139    00"</f>
        <v>1260047J00139    00</v>
      </c>
      <c r="B17610" t="s">
        <v>38320</v>
      </c>
      <c r="C17610" t="s">
        <v>35573</v>
      </c>
      <c r="D17610" t="s">
        <v>20</v>
      </c>
      <c r="E17610" t="s">
        <v>39</v>
      </c>
      <c r="F17610">
        <v>0</v>
      </c>
      <c r="G17610">
        <v>0</v>
      </c>
      <c r="H17610">
        <v>19</v>
      </c>
      <c r="I17610" s="3">
        <v>4676.8</v>
      </c>
      <c r="J17610" s="3">
        <v>4242.21</v>
      </c>
      <c r="L17610">
        <v>717</v>
      </c>
      <c r="M17610" t="s">
        <v>38321</v>
      </c>
      <c r="N17610" t="s">
        <v>30</v>
      </c>
      <c r="O17610" t="s">
        <v>31</v>
      </c>
      <c r="P17610" t="str">
        <f>"15202"</f>
        <v>15202</v>
      </c>
    </row>
    <row r="17611" spans="1:16" x14ac:dyDescent="0.25">
      <c r="A17611" t="str">
        <f>"1260047J00161    00"</f>
        <v>1260047J00161    00</v>
      </c>
      <c r="B17611" t="s">
        <v>38322</v>
      </c>
      <c r="C17611" t="s">
        <v>38323</v>
      </c>
      <c r="D17611" t="s">
        <v>20</v>
      </c>
      <c r="E17611" t="s">
        <v>39</v>
      </c>
      <c r="F17611">
        <v>0</v>
      </c>
      <c r="G17611">
        <v>0</v>
      </c>
      <c r="H17611">
        <v>1</v>
      </c>
      <c r="I17611" s="3">
        <v>112.77</v>
      </c>
      <c r="J17611" s="3">
        <v>0</v>
      </c>
      <c r="L17611">
        <v>1036</v>
      </c>
      <c r="M17611" t="s">
        <v>35741</v>
      </c>
      <c r="N17611" t="s">
        <v>30</v>
      </c>
      <c r="O17611" t="s">
        <v>31</v>
      </c>
      <c r="P17611" t="str">
        <f>"15212"</f>
        <v>15212</v>
      </c>
    </row>
    <row r="17612" spans="1:16" x14ac:dyDescent="0.25">
      <c r="A17612" t="str">
        <f>"1260047J00163    00"</f>
        <v>1260047J00163    00</v>
      </c>
      <c r="B17612" t="s">
        <v>38324</v>
      </c>
      <c r="C17612" t="s">
        <v>38325</v>
      </c>
      <c r="D17612" t="s">
        <v>20</v>
      </c>
      <c r="E17612" t="s">
        <v>39</v>
      </c>
      <c r="F17612">
        <v>0</v>
      </c>
      <c r="G17612">
        <v>0</v>
      </c>
      <c r="H17612">
        <v>14</v>
      </c>
      <c r="I17612" s="3">
        <v>13402.79</v>
      </c>
      <c r="J17612" s="3">
        <v>7503.8</v>
      </c>
      <c r="L17612">
        <v>1034</v>
      </c>
      <c r="M17612" t="s">
        <v>35741</v>
      </c>
      <c r="N17612" t="s">
        <v>30</v>
      </c>
      <c r="O17612" t="s">
        <v>31</v>
      </c>
      <c r="P17612" t="str">
        <f>"15212"</f>
        <v>15212</v>
      </c>
    </row>
    <row r="17613" spans="1:16" x14ac:dyDescent="0.25">
      <c r="A17613" t="str">
        <f>"1260047J00169    00"</f>
        <v>1260047J00169    00</v>
      </c>
      <c r="B17613" t="s">
        <v>38326</v>
      </c>
      <c r="C17613" t="s">
        <v>38327</v>
      </c>
      <c r="E17613" t="s">
        <v>39</v>
      </c>
      <c r="F17613">
        <v>0</v>
      </c>
      <c r="G17613">
        <v>0</v>
      </c>
      <c r="H17613">
        <v>1</v>
      </c>
      <c r="I17613" s="3">
        <v>205.26</v>
      </c>
      <c r="J17613" s="3">
        <v>253.3</v>
      </c>
      <c r="L17613">
        <v>9210</v>
      </c>
      <c r="M17613" t="s">
        <v>614</v>
      </c>
      <c r="N17613" t="s">
        <v>13177</v>
      </c>
      <c r="O17613" t="s">
        <v>200</v>
      </c>
      <c r="P17613" t="str">
        <f>"11417"</f>
        <v>11417</v>
      </c>
    </row>
    <row r="17614" spans="1:16" x14ac:dyDescent="0.25">
      <c r="A17614" t="str">
        <f>"1260047J00178    00"</f>
        <v>1260047J00178    00</v>
      </c>
      <c r="B17614" t="s">
        <v>38328</v>
      </c>
      <c r="C17614" t="s">
        <v>35575</v>
      </c>
      <c r="D17614" t="s">
        <v>20</v>
      </c>
      <c r="E17614" t="s">
        <v>39</v>
      </c>
      <c r="F17614">
        <v>0</v>
      </c>
      <c r="G17614">
        <v>0</v>
      </c>
      <c r="H17614">
        <v>1</v>
      </c>
      <c r="I17614" s="3">
        <v>32.409999999999997</v>
      </c>
      <c r="J17614" s="3">
        <v>0</v>
      </c>
      <c r="K17614" t="s">
        <v>13487</v>
      </c>
      <c r="L17614">
        <v>8700</v>
      </c>
      <c r="M17614" t="s">
        <v>13488</v>
      </c>
      <c r="N17614" t="s">
        <v>30</v>
      </c>
      <c r="O17614" t="s">
        <v>31</v>
      </c>
      <c r="P17614" t="str">
        <f>"15237"</f>
        <v>15237</v>
      </c>
    </row>
    <row r="17615" spans="1:16" x14ac:dyDescent="0.25">
      <c r="A17615" t="str">
        <f>"1260047J00179    00"</f>
        <v>1260047J00179    00</v>
      </c>
      <c r="B17615" t="s">
        <v>38329</v>
      </c>
      <c r="C17615" t="s">
        <v>35575</v>
      </c>
      <c r="D17615" t="s">
        <v>20</v>
      </c>
      <c r="E17615" t="s">
        <v>39</v>
      </c>
      <c r="F17615">
        <v>0</v>
      </c>
      <c r="G17615">
        <v>0</v>
      </c>
      <c r="H17615">
        <v>2</v>
      </c>
      <c r="I17615" s="3">
        <v>72.44</v>
      </c>
      <c r="J17615" s="3">
        <v>0</v>
      </c>
      <c r="K17615" t="s">
        <v>38330</v>
      </c>
      <c r="M17615" t="s">
        <v>1439</v>
      </c>
      <c r="N17615" t="s">
        <v>1440</v>
      </c>
      <c r="O17615" t="s">
        <v>70</v>
      </c>
      <c r="P17615" t="str">
        <f>"48501"</f>
        <v>48501</v>
      </c>
    </row>
    <row r="17616" spans="1:16" x14ac:dyDescent="0.25">
      <c r="A17616" t="str">
        <f>"1260047J00182    00"</f>
        <v>1260047J00182    00</v>
      </c>
      <c r="B17616" t="s">
        <v>38331</v>
      </c>
      <c r="C17616" t="s">
        <v>38332</v>
      </c>
      <c r="D17616" t="s">
        <v>20</v>
      </c>
      <c r="E17616" t="s">
        <v>39</v>
      </c>
      <c r="F17616">
        <v>0</v>
      </c>
      <c r="G17616">
        <v>0</v>
      </c>
      <c r="H17616">
        <v>18</v>
      </c>
      <c r="I17616" s="3">
        <v>9217.9699999999993</v>
      </c>
      <c r="J17616" s="3">
        <v>7766.51</v>
      </c>
      <c r="L17616">
        <v>139</v>
      </c>
      <c r="M17616" t="s">
        <v>35576</v>
      </c>
      <c r="N17616" t="s">
        <v>30</v>
      </c>
      <c r="O17616" t="s">
        <v>31</v>
      </c>
      <c r="P17616" t="str">
        <f>"15212"</f>
        <v>15212</v>
      </c>
    </row>
    <row r="17617" spans="1:16" x14ac:dyDescent="0.25">
      <c r="A17617" t="str">
        <f>"1260047J00185    00"</f>
        <v>1260047J00185    00</v>
      </c>
      <c r="B17617" t="s">
        <v>38333</v>
      </c>
      <c r="C17617" t="s">
        <v>35573</v>
      </c>
      <c r="D17617" t="s">
        <v>20</v>
      </c>
      <c r="E17617" t="s">
        <v>39</v>
      </c>
      <c r="F17617">
        <v>0</v>
      </c>
      <c r="G17617">
        <v>0</v>
      </c>
      <c r="H17617">
        <v>19</v>
      </c>
      <c r="I17617" s="3">
        <v>367.5</v>
      </c>
      <c r="J17617" s="3">
        <v>329.21</v>
      </c>
      <c r="K17617" t="s">
        <v>1037</v>
      </c>
      <c r="L17617">
        <v>152</v>
      </c>
      <c r="M17617" t="s">
        <v>31106</v>
      </c>
      <c r="N17617" t="s">
        <v>30</v>
      </c>
      <c r="O17617" t="s">
        <v>31</v>
      </c>
      <c r="P17617" t="str">
        <f>"15212"</f>
        <v>15212</v>
      </c>
    </row>
    <row r="17618" spans="1:16" x14ac:dyDescent="0.25">
      <c r="A17618" t="str">
        <f>"1260047J00187    00"</f>
        <v>1260047J00187    00</v>
      </c>
      <c r="B17618" t="s">
        <v>38334</v>
      </c>
      <c r="C17618" t="s">
        <v>35573</v>
      </c>
      <c r="D17618" t="s">
        <v>20</v>
      </c>
      <c r="E17618" t="s">
        <v>39</v>
      </c>
      <c r="F17618">
        <v>0</v>
      </c>
      <c r="G17618">
        <v>0</v>
      </c>
      <c r="H17618">
        <v>17</v>
      </c>
      <c r="I17618" s="3">
        <v>334.52</v>
      </c>
      <c r="J17618" s="3">
        <v>290.22000000000003</v>
      </c>
      <c r="K17618" t="s">
        <v>38335</v>
      </c>
      <c r="L17618">
        <v>150</v>
      </c>
      <c r="M17618" t="s">
        <v>38336</v>
      </c>
      <c r="N17618" t="s">
        <v>30</v>
      </c>
      <c r="O17618" t="s">
        <v>31</v>
      </c>
      <c r="P17618" t="str">
        <f>"15212"</f>
        <v>15212</v>
      </c>
    </row>
    <row r="17619" spans="1:16" x14ac:dyDescent="0.25">
      <c r="A17619" t="str">
        <f>"1260047J00190    00"</f>
        <v>1260047J00190    00</v>
      </c>
      <c r="B17619" t="s">
        <v>38337</v>
      </c>
      <c r="C17619" t="s">
        <v>35573</v>
      </c>
      <c r="D17619" t="s">
        <v>20</v>
      </c>
      <c r="E17619" t="s">
        <v>39</v>
      </c>
      <c r="F17619">
        <v>0</v>
      </c>
      <c r="G17619">
        <v>0</v>
      </c>
      <c r="H17619">
        <v>18</v>
      </c>
      <c r="I17619" s="3">
        <v>2906.54</v>
      </c>
      <c r="J17619" s="3">
        <v>1705.09</v>
      </c>
      <c r="L17619">
        <v>210</v>
      </c>
      <c r="M17619" t="s">
        <v>38338</v>
      </c>
      <c r="N17619" t="s">
        <v>546</v>
      </c>
      <c r="O17619" t="s">
        <v>31</v>
      </c>
      <c r="P17619" t="str">
        <f>"15044"</f>
        <v>15044</v>
      </c>
    </row>
    <row r="17620" spans="1:16" x14ac:dyDescent="0.25">
      <c r="A17620" t="str">
        <f>"1260047J00192    00"</f>
        <v>1260047J00192    00</v>
      </c>
      <c r="B17620" t="s">
        <v>38339</v>
      </c>
      <c r="C17620" t="s">
        <v>35573</v>
      </c>
      <c r="D17620" t="s">
        <v>20</v>
      </c>
      <c r="E17620" t="s">
        <v>39</v>
      </c>
      <c r="F17620">
        <v>0</v>
      </c>
      <c r="G17620">
        <v>0</v>
      </c>
      <c r="H17620">
        <v>19</v>
      </c>
      <c r="I17620" s="3">
        <v>4096.99</v>
      </c>
      <c r="J17620" s="3">
        <v>2507.96</v>
      </c>
      <c r="K17620" t="s">
        <v>38340</v>
      </c>
      <c r="L17620">
        <v>3</v>
      </c>
      <c r="M17620" t="s">
        <v>38341</v>
      </c>
      <c r="N17620" t="s">
        <v>30</v>
      </c>
      <c r="O17620" t="s">
        <v>31</v>
      </c>
      <c r="P17620" t="str">
        <f>"15212"</f>
        <v>15212</v>
      </c>
    </row>
    <row r="17621" spans="1:16" x14ac:dyDescent="0.25">
      <c r="A17621" t="str">
        <f>"1260047J00194    00"</f>
        <v>1260047J00194    00</v>
      </c>
      <c r="B17621" t="s">
        <v>38342</v>
      </c>
      <c r="C17621" t="s">
        <v>35575</v>
      </c>
      <c r="D17621" t="s">
        <v>20</v>
      </c>
      <c r="E17621" t="s">
        <v>39</v>
      </c>
      <c r="F17621">
        <v>0</v>
      </c>
      <c r="G17621">
        <v>0</v>
      </c>
      <c r="H17621">
        <v>19</v>
      </c>
      <c r="I17621" s="3">
        <v>5890.1</v>
      </c>
      <c r="J17621" s="3">
        <v>5466.96</v>
      </c>
      <c r="M17621" t="s">
        <v>38343</v>
      </c>
      <c r="N17621" t="s">
        <v>666</v>
      </c>
      <c r="O17621" t="s">
        <v>31</v>
      </c>
      <c r="P17621" t="str">
        <f>"16003"</f>
        <v>16003</v>
      </c>
    </row>
    <row r="17622" spans="1:16" x14ac:dyDescent="0.25">
      <c r="A17622" t="str">
        <f>"1260047J00257    00"</f>
        <v>1260047J00257    00</v>
      </c>
      <c r="B17622" t="s">
        <v>38344</v>
      </c>
      <c r="C17622" t="s">
        <v>35575</v>
      </c>
      <c r="D17622" t="s">
        <v>20</v>
      </c>
      <c r="E17622" t="s">
        <v>39</v>
      </c>
      <c r="F17622">
        <v>0</v>
      </c>
      <c r="G17622">
        <v>0</v>
      </c>
      <c r="H17622">
        <v>19</v>
      </c>
      <c r="I17622" s="3">
        <v>5102.84</v>
      </c>
      <c r="J17622" s="3">
        <v>4533.91</v>
      </c>
      <c r="L17622">
        <v>124</v>
      </c>
      <c r="M17622" t="s">
        <v>35576</v>
      </c>
      <c r="N17622" t="s">
        <v>30</v>
      </c>
      <c r="O17622" t="s">
        <v>31</v>
      </c>
      <c r="P17622" t="str">
        <f>"15212"</f>
        <v>15212</v>
      </c>
    </row>
    <row r="17623" spans="1:16" x14ac:dyDescent="0.25">
      <c r="A17623" t="str">
        <f>"1260047J00258    00"</f>
        <v>1260047J00258    00</v>
      </c>
      <c r="B17623" t="s">
        <v>38345</v>
      </c>
      <c r="C17623" t="s">
        <v>38346</v>
      </c>
      <c r="D17623" t="s">
        <v>20</v>
      </c>
      <c r="E17623" t="s">
        <v>39</v>
      </c>
      <c r="F17623">
        <v>0</v>
      </c>
      <c r="G17623">
        <v>0</v>
      </c>
      <c r="H17623">
        <v>3</v>
      </c>
      <c r="I17623" s="3">
        <v>2132.85</v>
      </c>
      <c r="J17623" s="3">
        <v>142.19</v>
      </c>
      <c r="L17623">
        <v>126</v>
      </c>
      <c r="M17623" t="s">
        <v>35576</v>
      </c>
      <c r="N17623" t="s">
        <v>30</v>
      </c>
      <c r="O17623" t="s">
        <v>31</v>
      </c>
      <c r="P17623" t="str">
        <f>"15212"</f>
        <v>15212</v>
      </c>
    </row>
    <row r="17624" spans="1:16" x14ac:dyDescent="0.25">
      <c r="A17624" t="str">
        <f>"1260047J00259    00"</f>
        <v>1260047J00259    00</v>
      </c>
      <c r="B17624" t="s">
        <v>38345</v>
      </c>
      <c r="C17624" t="s">
        <v>35575</v>
      </c>
      <c r="D17624" t="s">
        <v>20</v>
      </c>
      <c r="E17624" t="s">
        <v>39</v>
      </c>
      <c r="F17624">
        <v>0</v>
      </c>
      <c r="G17624">
        <v>0</v>
      </c>
      <c r="H17624">
        <v>3</v>
      </c>
      <c r="I17624" s="3">
        <v>240.15</v>
      </c>
      <c r="J17624" s="3">
        <v>16.010000000000002</v>
      </c>
      <c r="L17624">
        <v>126</v>
      </c>
      <c r="M17624" t="s">
        <v>35576</v>
      </c>
      <c r="N17624" t="s">
        <v>30</v>
      </c>
      <c r="O17624" t="s">
        <v>31</v>
      </c>
      <c r="P17624" t="str">
        <f>"15212"</f>
        <v>15212</v>
      </c>
    </row>
    <row r="17625" spans="1:16" x14ac:dyDescent="0.25">
      <c r="A17625" t="str">
        <f>"1260047J00262    00"</f>
        <v>1260047J00262    00</v>
      </c>
      <c r="B17625" t="s">
        <v>38347</v>
      </c>
      <c r="C17625" t="s">
        <v>35575</v>
      </c>
      <c r="D17625" t="s">
        <v>20</v>
      </c>
      <c r="E17625" t="s">
        <v>39</v>
      </c>
      <c r="F17625">
        <v>0</v>
      </c>
      <c r="G17625">
        <v>0</v>
      </c>
      <c r="H17625">
        <v>19</v>
      </c>
      <c r="I17625" s="3">
        <v>6987.35</v>
      </c>
      <c r="J17625" s="3">
        <v>7262.47</v>
      </c>
      <c r="P17625" t="str">
        <f>""</f>
        <v/>
      </c>
    </row>
    <row r="17626" spans="1:16" x14ac:dyDescent="0.25">
      <c r="A17626" t="str">
        <f>"1260047J00269    00"</f>
        <v>1260047J00269    00</v>
      </c>
      <c r="B17626" t="s">
        <v>38348</v>
      </c>
      <c r="C17626" t="s">
        <v>38349</v>
      </c>
      <c r="D17626" t="s">
        <v>20</v>
      </c>
      <c r="E17626" t="s">
        <v>39</v>
      </c>
      <c r="F17626">
        <v>0</v>
      </c>
      <c r="G17626">
        <v>0</v>
      </c>
      <c r="H17626">
        <v>3</v>
      </c>
      <c r="I17626" s="3">
        <v>1079.48</v>
      </c>
      <c r="J17626" s="3">
        <v>83.79</v>
      </c>
      <c r="L17626">
        <v>1001</v>
      </c>
      <c r="M17626" t="s">
        <v>35741</v>
      </c>
      <c r="N17626" t="s">
        <v>30</v>
      </c>
      <c r="O17626" t="s">
        <v>31</v>
      </c>
      <c r="P17626" t="str">
        <f>"15212"</f>
        <v>15212</v>
      </c>
    </row>
    <row r="17627" spans="1:16" x14ac:dyDescent="0.25">
      <c r="A17627" t="str">
        <f>"1260047J00350    00"</f>
        <v>1260047J00350    00</v>
      </c>
      <c r="B17627" t="s">
        <v>38350</v>
      </c>
      <c r="C17627" t="s">
        <v>38351</v>
      </c>
      <c r="E17627" t="s">
        <v>39</v>
      </c>
      <c r="F17627">
        <v>0</v>
      </c>
      <c r="G17627">
        <v>0</v>
      </c>
      <c r="H17627">
        <v>1</v>
      </c>
      <c r="I17627" s="3">
        <v>272.20999999999998</v>
      </c>
      <c r="J17627" s="3">
        <v>54.45</v>
      </c>
      <c r="L17627">
        <v>1103</v>
      </c>
      <c r="M17627" t="s">
        <v>35741</v>
      </c>
      <c r="N17627" t="s">
        <v>30</v>
      </c>
      <c r="O17627" t="s">
        <v>31</v>
      </c>
      <c r="P17627" t="str">
        <f>"15212"</f>
        <v>15212</v>
      </c>
    </row>
    <row r="17628" spans="1:16" x14ac:dyDescent="0.25">
      <c r="A17628" t="str">
        <f>"1260047J00353    00"</f>
        <v>1260047J00353    00</v>
      </c>
      <c r="B17628" t="s">
        <v>38352</v>
      </c>
      <c r="C17628" t="s">
        <v>38353</v>
      </c>
      <c r="D17628" t="s">
        <v>20</v>
      </c>
      <c r="E17628" t="s">
        <v>39</v>
      </c>
      <c r="F17628">
        <v>0</v>
      </c>
      <c r="G17628">
        <v>0</v>
      </c>
      <c r="H17628">
        <v>15</v>
      </c>
      <c r="I17628" s="3">
        <v>9663.27</v>
      </c>
      <c r="J17628" s="3">
        <v>7136.36</v>
      </c>
      <c r="L17628">
        <v>126</v>
      </c>
      <c r="M17628" t="s">
        <v>38354</v>
      </c>
      <c r="N17628" t="s">
        <v>30</v>
      </c>
      <c r="O17628" t="s">
        <v>31</v>
      </c>
      <c r="P17628" t="str">
        <f>"15214"</f>
        <v>15214</v>
      </c>
    </row>
    <row r="17629" spans="1:16" x14ac:dyDescent="0.25">
      <c r="A17629" t="str">
        <f>"1260047K00111    00"</f>
        <v>1260047K00111    00</v>
      </c>
      <c r="B17629" t="s">
        <v>38355</v>
      </c>
      <c r="C17629" t="s">
        <v>38356</v>
      </c>
      <c r="D17629" t="s">
        <v>20</v>
      </c>
      <c r="E17629" t="s">
        <v>39</v>
      </c>
      <c r="F17629">
        <v>0</v>
      </c>
      <c r="G17629">
        <v>0</v>
      </c>
      <c r="H17629">
        <v>4</v>
      </c>
      <c r="I17629" s="3">
        <v>605.62</v>
      </c>
      <c r="J17629" s="3">
        <v>50.25</v>
      </c>
      <c r="L17629">
        <v>3</v>
      </c>
      <c r="M17629" t="s">
        <v>32391</v>
      </c>
      <c r="N17629" t="s">
        <v>30</v>
      </c>
      <c r="O17629" t="s">
        <v>31</v>
      </c>
      <c r="P17629" t="str">
        <f>"15205"</f>
        <v>15205</v>
      </c>
    </row>
    <row r="17630" spans="1:16" x14ac:dyDescent="0.25">
      <c r="A17630" t="str">
        <f>"1260047K00112    00"</f>
        <v>1260047K00112    00</v>
      </c>
      <c r="B17630" t="s">
        <v>38357</v>
      </c>
      <c r="C17630" t="s">
        <v>38358</v>
      </c>
      <c r="D17630" t="s">
        <v>20</v>
      </c>
      <c r="E17630" t="s">
        <v>39</v>
      </c>
      <c r="F17630">
        <v>0</v>
      </c>
      <c r="G17630">
        <v>0</v>
      </c>
      <c r="H17630">
        <v>1</v>
      </c>
      <c r="I17630" s="3">
        <v>526.05999999999995</v>
      </c>
      <c r="J17630" s="3">
        <v>0</v>
      </c>
      <c r="L17630">
        <v>56</v>
      </c>
      <c r="M17630" t="s">
        <v>35599</v>
      </c>
      <c r="N17630" t="s">
        <v>30</v>
      </c>
      <c r="O17630" t="s">
        <v>31</v>
      </c>
      <c r="P17630" t="str">
        <f>"15212"</f>
        <v>15212</v>
      </c>
    </row>
    <row r="17631" spans="1:16" x14ac:dyDescent="0.25">
      <c r="A17631" t="str">
        <f>"1260047K00114    00"</f>
        <v>1260047K00114    00</v>
      </c>
      <c r="B17631" t="s">
        <v>38357</v>
      </c>
      <c r="C17631" t="s">
        <v>35593</v>
      </c>
      <c r="D17631" t="s">
        <v>20</v>
      </c>
      <c r="E17631" t="s">
        <v>39</v>
      </c>
      <c r="F17631">
        <v>0</v>
      </c>
      <c r="G17631">
        <v>0</v>
      </c>
      <c r="H17631">
        <v>1</v>
      </c>
      <c r="I17631" s="3">
        <v>118.17</v>
      </c>
      <c r="J17631" s="3">
        <v>0</v>
      </c>
      <c r="L17631">
        <v>56</v>
      </c>
      <c r="M17631" t="s">
        <v>35599</v>
      </c>
      <c r="N17631" t="s">
        <v>30</v>
      </c>
      <c r="O17631" t="s">
        <v>31</v>
      </c>
      <c r="P17631" t="str">
        <f>"15212"</f>
        <v>15212</v>
      </c>
    </row>
    <row r="17632" spans="1:16" x14ac:dyDescent="0.25">
      <c r="A17632" t="str">
        <f>"1260047K00132    00"</f>
        <v>1260047K00132    00</v>
      </c>
      <c r="B17632" t="s">
        <v>38359</v>
      </c>
      <c r="C17632" t="s">
        <v>38360</v>
      </c>
      <c r="D17632" t="s">
        <v>20</v>
      </c>
      <c r="E17632" t="s">
        <v>39</v>
      </c>
      <c r="F17632">
        <v>0</v>
      </c>
      <c r="G17632">
        <v>0</v>
      </c>
      <c r="H17632">
        <v>17</v>
      </c>
      <c r="I17632" s="3">
        <v>13470.91</v>
      </c>
      <c r="J17632" s="3">
        <v>15524.09</v>
      </c>
      <c r="L17632">
        <v>1127</v>
      </c>
      <c r="M17632" t="s">
        <v>35741</v>
      </c>
      <c r="N17632" t="s">
        <v>30</v>
      </c>
      <c r="O17632" t="s">
        <v>31</v>
      </c>
      <c r="P17632" t="str">
        <f>"15212"</f>
        <v>15212</v>
      </c>
    </row>
    <row r="17633" spans="1:16" x14ac:dyDescent="0.25">
      <c r="A17633" t="str">
        <f>"1260047K00141    00"</f>
        <v>1260047K00141    00</v>
      </c>
      <c r="B17633" t="s">
        <v>38361</v>
      </c>
      <c r="C17633" t="s">
        <v>38362</v>
      </c>
      <c r="D17633" t="s">
        <v>57</v>
      </c>
      <c r="E17633" t="s">
        <v>39</v>
      </c>
      <c r="F17633">
        <v>0</v>
      </c>
      <c r="G17633">
        <v>0</v>
      </c>
      <c r="H17633">
        <v>1</v>
      </c>
      <c r="I17633" s="3">
        <v>507.46</v>
      </c>
      <c r="J17633" s="3">
        <v>0</v>
      </c>
      <c r="K17633" t="s">
        <v>38363</v>
      </c>
      <c r="L17633">
        <v>315</v>
      </c>
      <c r="M17633" t="s">
        <v>16896</v>
      </c>
      <c r="N17633" t="s">
        <v>2008</v>
      </c>
      <c r="O17633" t="s">
        <v>31</v>
      </c>
      <c r="P17633" t="str">
        <f>"16066"</f>
        <v>16066</v>
      </c>
    </row>
    <row r="17634" spans="1:16" x14ac:dyDescent="0.25">
      <c r="A17634" t="str">
        <f>"1260047K00143    00"</f>
        <v>1260047K00143    00</v>
      </c>
      <c r="B17634" t="s">
        <v>38364</v>
      </c>
      <c r="C17634" t="s">
        <v>38365</v>
      </c>
      <c r="D17634" t="s">
        <v>20</v>
      </c>
      <c r="E17634" t="s">
        <v>39</v>
      </c>
      <c r="F17634">
        <v>0</v>
      </c>
      <c r="G17634">
        <v>0</v>
      </c>
      <c r="H17634">
        <v>4</v>
      </c>
      <c r="I17634" s="3">
        <v>1614.13</v>
      </c>
      <c r="J17634" s="3">
        <v>68.03</v>
      </c>
      <c r="L17634">
        <v>1147</v>
      </c>
      <c r="M17634" t="s">
        <v>35741</v>
      </c>
      <c r="N17634" t="s">
        <v>30</v>
      </c>
      <c r="O17634" t="s">
        <v>31</v>
      </c>
      <c r="P17634" t="str">
        <f>"15212"</f>
        <v>15212</v>
      </c>
    </row>
    <row r="17635" spans="1:16" x14ac:dyDescent="0.25">
      <c r="A17635" t="str">
        <f>"1260047K00156    00"</f>
        <v>1260047K00156    00</v>
      </c>
      <c r="B17635" t="s">
        <v>38366</v>
      </c>
      <c r="C17635" t="s">
        <v>35581</v>
      </c>
      <c r="D17635" t="s">
        <v>20</v>
      </c>
      <c r="E17635" t="s">
        <v>39</v>
      </c>
      <c r="F17635">
        <v>0</v>
      </c>
      <c r="G17635">
        <v>0</v>
      </c>
      <c r="H17635">
        <v>7</v>
      </c>
      <c r="I17635" s="3">
        <v>1370.31</v>
      </c>
      <c r="J17635" s="3">
        <v>378.94</v>
      </c>
      <c r="L17635">
        <v>141</v>
      </c>
      <c r="M17635" t="s">
        <v>38367</v>
      </c>
      <c r="N17635" t="s">
        <v>38368</v>
      </c>
      <c r="O17635" t="s">
        <v>495</v>
      </c>
      <c r="P17635" t="str">
        <f>"90631"</f>
        <v>90631</v>
      </c>
    </row>
    <row r="17636" spans="1:16" x14ac:dyDescent="0.25">
      <c r="A17636" t="str">
        <f>"1260047K00157    00"</f>
        <v>1260047K00157    00</v>
      </c>
      <c r="B17636" t="s">
        <v>38369</v>
      </c>
      <c r="C17636" t="s">
        <v>35581</v>
      </c>
      <c r="D17636" t="s">
        <v>20</v>
      </c>
      <c r="E17636" t="s">
        <v>39</v>
      </c>
      <c r="F17636">
        <v>0</v>
      </c>
      <c r="G17636">
        <v>0</v>
      </c>
      <c r="H17636">
        <v>14</v>
      </c>
      <c r="I17636" s="3">
        <v>3124.24</v>
      </c>
      <c r="J17636" s="3">
        <v>1936.73</v>
      </c>
      <c r="L17636">
        <v>3665</v>
      </c>
      <c r="M17636" t="s">
        <v>38370</v>
      </c>
      <c r="N17636" t="s">
        <v>38371</v>
      </c>
      <c r="O17636" t="s">
        <v>370</v>
      </c>
      <c r="P17636" t="str">
        <f>"32754"</f>
        <v>32754</v>
      </c>
    </row>
    <row r="17637" spans="1:16" x14ac:dyDescent="0.25">
      <c r="A17637" t="str">
        <f>"1260047L00027    00"</f>
        <v>1260047L00027    00</v>
      </c>
      <c r="B17637" t="s">
        <v>38372</v>
      </c>
      <c r="C17637" t="s">
        <v>38373</v>
      </c>
      <c r="E17637" t="s">
        <v>39</v>
      </c>
      <c r="F17637">
        <v>0</v>
      </c>
      <c r="G17637">
        <v>0</v>
      </c>
      <c r="H17637">
        <v>7</v>
      </c>
      <c r="I17637" s="3">
        <v>3195.64</v>
      </c>
      <c r="J17637" s="3">
        <v>3181.78</v>
      </c>
      <c r="L17637">
        <v>1318</v>
      </c>
      <c r="M17637" t="s">
        <v>35741</v>
      </c>
      <c r="N17637" t="s">
        <v>30</v>
      </c>
      <c r="O17637" t="s">
        <v>31</v>
      </c>
      <c r="P17637" t="str">
        <f>"15212"</f>
        <v>15212</v>
      </c>
    </row>
    <row r="17638" spans="1:16" x14ac:dyDescent="0.25">
      <c r="A17638" t="str">
        <f>"1260047L00112    00"</f>
        <v>1260047L00112    00</v>
      </c>
      <c r="B17638" t="s">
        <v>38374</v>
      </c>
      <c r="C17638" t="s">
        <v>38375</v>
      </c>
      <c r="E17638" t="s">
        <v>21</v>
      </c>
      <c r="F17638">
        <v>0</v>
      </c>
      <c r="G17638">
        <v>0</v>
      </c>
      <c r="H17638">
        <v>4</v>
      </c>
      <c r="I17638" s="3">
        <v>1178.33</v>
      </c>
      <c r="J17638" s="3">
        <v>661.21</v>
      </c>
      <c r="K17638" t="s">
        <v>38376</v>
      </c>
      <c r="M17638" t="s">
        <v>38377</v>
      </c>
      <c r="N17638" t="s">
        <v>30</v>
      </c>
      <c r="O17638" t="s">
        <v>31</v>
      </c>
      <c r="P17638" t="str">
        <f>"15233"</f>
        <v>15233</v>
      </c>
    </row>
    <row r="17639" spans="1:16" x14ac:dyDescent="0.25">
      <c r="A17639" t="str">
        <f>"1260047L00114    00"</f>
        <v>1260047L00114    00</v>
      </c>
      <c r="B17639" t="s">
        <v>38378</v>
      </c>
      <c r="C17639" t="s">
        <v>38379</v>
      </c>
      <c r="E17639" t="s">
        <v>39</v>
      </c>
      <c r="F17639">
        <v>0</v>
      </c>
      <c r="G17639">
        <v>0</v>
      </c>
      <c r="H17639">
        <v>1</v>
      </c>
      <c r="I17639" s="3">
        <v>445.87</v>
      </c>
      <c r="J17639" s="3">
        <v>0</v>
      </c>
      <c r="L17639">
        <v>1705</v>
      </c>
      <c r="M17639" t="s">
        <v>38380</v>
      </c>
      <c r="N17639" t="s">
        <v>1282</v>
      </c>
      <c r="O17639" t="s">
        <v>108</v>
      </c>
      <c r="P17639" t="str">
        <f>"77386"</f>
        <v>77386</v>
      </c>
    </row>
    <row r="17640" spans="1:16" x14ac:dyDescent="0.25">
      <c r="A17640" t="str">
        <f>"1260047L00115    00"</f>
        <v>1260047L00115    00</v>
      </c>
      <c r="B17640" t="s">
        <v>38381</v>
      </c>
      <c r="C17640" t="s">
        <v>38382</v>
      </c>
      <c r="D17640" t="s">
        <v>20</v>
      </c>
      <c r="E17640" t="s">
        <v>39</v>
      </c>
      <c r="F17640">
        <v>0</v>
      </c>
      <c r="G17640">
        <v>0</v>
      </c>
      <c r="H17640">
        <v>5</v>
      </c>
      <c r="I17640" s="3">
        <v>2600.61</v>
      </c>
      <c r="J17640" s="3">
        <v>475.56</v>
      </c>
      <c r="L17640">
        <v>1924</v>
      </c>
      <c r="M17640" t="s">
        <v>37924</v>
      </c>
      <c r="N17640" t="s">
        <v>30</v>
      </c>
      <c r="O17640" t="s">
        <v>31</v>
      </c>
      <c r="P17640" t="str">
        <f>"15212"</f>
        <v>15212</v>
      </c>
    </row>
    <row r="17641" spans="1:16" x14ac:dyDescent="0.25">
      <c r="A17641" t="str">
        <f>"1260047L00121    00"</f>
        <v>1260047L00121    00</v>
      </c>
      <c r="B17641" t="s">
        <v>38383</v>
      </c>
      <c r="C17641" t="s">
        <v>38384</v>
      </c>
      <c r="D17641" t="s">
        <v>20</v>
      </c>
      <c r="E17641" t="s">
        <v>39</v>
      </c>
      <c r="F17641">
        <v>0</v>
      </c>
      <c r="G17641">
        <v>0</v>
      </c>
      <c r="H17641">
        <v>3</v>
      </c>
      <c r="I17641" s="3">
        <v>2230.13</v>
      </c>
      <c r="J17641" s="3">
        <v>113.06</v>
      </c>
      <c r="K17641" t="s">
        <v>38385</v>
      </c>
      <c r="L17641">
        <v>1912</v>
      </c>
      <c r="M17641" t="s">
        <v>37924</v>
      </c>
      <c r="N17641" t="s">
        <v>30</v>
      </c>
      <c r="O17641" t="s">
        <v>31</v>
      </c>
      <c r="P17641" t="str">
        <f>"15212"</f>
        <v>15212</v>
      </c>
    </row>
    <row r="17642" spans="1:16" x14ac:dyDescent="0.25">
      <c r="A17642" t="str">
        <f>"1260047L00153    00"</f>
        <v>1260047L00153    00</v>
      </c>
      <c r="B17642" t="s">
        <v>38386</v>
      </c>
      <c r="C17642" t="s">
        <v>38387</v>
      </c>
      <c r="D17642" t="s">
        <v>20</v>
      </c>
      <c r="E17642" t="s">
        <v>39</v>
      </c>
      <c r="F17642">
        <v>0</v>
      </c>
      <c r="G17642">
        <v>0</v>
      </c>
      <c r="H17642">
        <v>15</v>
      </c>
      <c r="I17642" s="3">
        <v>12331.42</v>
      </c>
      <c r="J17642" s="3">
        <v>8092.47</v>
      </c>
      <c r="L17642">
        <v>1916</v>
      </c>
      <c r="M17642" t="s">
        <v>38388</v>
      </c>
      <c r="N17642" t="s">
        <v>30</v>
      </c>
      <c r="O17642" t="s">
        <v>31</v>
      </c>
      <c r="P17642" t="str">
        <f>"15219"</f>
        <v>15219</v>
      </c>
    </row>
    <row r="17643" spans="1:16" x14ac:dyDescent="0.25">
      <c r="A17643" t="str">
        <f>"1260047L00154    00"</f>
        <v>1260047L00154    00</v>
      </c>
      <c r="B17643" t="s">
        <v>38389</v>
      </c>
      <c r="C17643" t="s">
        <v>38390</v>
      </c>
      <c r="D17643" t="s">
        <v>20</v>
      </c>
      <c r="E17643" t="s">
        <v>39</v>
      </c>
      <c r="F17643">
        <v>0</v>
      </c>
      <c r="G17643">
        <v>0</v>
      </c>
      <c r="H17643">
        <v>2</v>
      </c>
      <c r="I17643" s="3">
        <v>850.92</v>
      </c>
      <c r="J17643" s="3">
        <v>0</v>
      </c>
      <c r="K17643" t="s">
        <v>7145</v>
      </c>
      <c r="L17643">
        <v>3001</v>
      </c>
      <c r="M17643" t="s">
        <v>330</v>
      </c>
      <c r="N17643" t="s">
        <v>331</v>
      </c>
      <c r="O17643" t="s">
        <v>108</v>
      </c>
      <c r="P17643" t="str">
        <f>"75063"</f>
        <v>75063</v>
      </c>
    </row>
    <row r="17644" spans="1:16" x14ac:dyDescent="0.25">
      <c r="A17644" t="str">
        <f>"1260047L00165    00"</f>
        <v>1260047L00165    00</v>
      </c>
      <c r="B17644" t="s">
        <v>38391</v>
      </c>
      <c r="C17644" t="s">
        <v>38392</v>
      </c>
      <c r="D17644" t="s">
        <v>20</v>
      </c>
      <c r="E17644" t="s">
        <v>39</v>
      </c>
      <c r="F17644">
        <v>0</v>
      </c>
      <c r="G17644">
        <v>0</v>
      </c>
      <c r="H17644">
        <v>17</v>
      </c>
      <c r="I17644" s="3">
        <v>18049.32</v>
      </c>
      <c r="J17644" s="3">
        <v>13299.32</v>
      </c>
      <c r="K17644" t="s">
        <v>38393</v>
      </c>
      <c r="L17644">
        <v>1330</v>
      </c>
      <c r="M17644" t="s">
        <v>38394</v>
      </c>
      <c r="N17644" t="s">
        <v>30</v>
      </c>
      <c r="O17644" t="s">
        <v>31</v>
      </c>
      <c r="P17644" t="str">
        <f>"13238"</f>
        <v>13238</v>
      </c>
    </row>
    <row r="17645" spans="1:16" x14ac:dyDescent="0.25">
      <c r="A17645" t="str">
        <f>"1260047L00169    00"</f>
        <v>1260047L00169    00</v>
      </c>
      <c r="B17645" t="s">
        <v>38395</v>
      </c>
      <c r="C17645" t="s">
        <v>38396</v>
      </c>
      <c r="E17645" t="s">
        <v>39</v>
      </c>
      <c r="F17645">
        <v>0</v>
      </c>
      <c r="G17645">
        <v>0</v>
      </c>
      <c r="H17645">
        <v>1</v>
      </c>
      <c r="I17645" s="3">
        <v>503.63</v>
      </c>
      <c r="J17645" s="3">
        <v>100.72</v>
      </c>
      <c r="L17645">
        <v>1913</v>
      </c>
      <c r="M17645" t="s">
        <v>34955</v>
      </c>
      <c r="N17645" t="s">
        <v>30</v>
      </c>
      <c r="O17645" t="s">
        <v>31</v>
      </c>
      <c r="P17645" t="str">
        <f>"15212"</f>
        <v>15212</v>
      </c>
    </row>
    <row r="17646" spans="1:16" x14ac:dyDescent="0.25">
      <c r="A17646" t="str">
        <f>"1260047M00008    00"</f>
        <v>1260047M00008    00</v>
      </c>
      <c r="B17646" t="s">
        <v>38397</v>
      </c>
      <c r="C17646" t="s">
        <v>38398</v>
      </c>
      <c r="E17646" t="s">
        <v>39</v>
      </c>
      <c r="F17646">
        <v>0</v>
      </c>
      <c r="G17646">
        <v>0</v>
      </c>
      <c r="H17646">
        <v>4</v>
      </c>
      <c r="I17646" s="3">
        <v>1767.03</v>
      </c>
      <c r="J17646" s="3">
        <v>722.36</v>
      </c>
      <c r="K17646" t="s">
        <v>38399</v>
      </c>
      <c r="L17646">
        <v>3801</v>
      </c>
      <c r="M17646" t="s">
        <v>208</v>
      </c>
      <c r="N17646" t="s">
        <v>30</v>
      </c>
      <c r="O17646" t="s">
        <v>31</v>
      </c>
      <c r="P17646" t="str">
        <f>"15213"</f>
        <v>15213</v>
      </c>
    </row>
    <row r="17647" spans="1:16" x14ac:dyDescent="0.25">
      <c r="A17647" t="str">
        <f>"1260047M00011    00"</f>
        <v>1260047M00011    00</v>
      </c>
      <c r="B17647" t="s">
        <v>38400</v>
      </c>
      <c r="C17647" t="s">
        <v>38401</v>
      </c>
      <c r="D17647" t="s">
        <v>20</v>
      </c>
      <c r="E17647" t="s">
        <v>39</v>
      </c>
      <c r="F17647">
        <v>0</v>
      </c>
      <c r="G17647">
        <v>0</v>
      </c>
      <c r="H17647">
        <v>6</v>
      </c>
      <c r="I17647" s="3">
        <v>3584</v>
      </c>
      <c r="J17647" s="3">
        <v>803.81</v>
      </c>
      <c r="L17647">
        <v>619</v>
      </c>
      <c r="M17647" t="s">
        <v>38402</v>
      </c>
      <c r="N17647" t="s">
        <v>30</v>
      </c>
      <c r="O17647" t="s">
        <v>31</v>
      </c>
      <c r="P17647" t="str">
        <f>"15229"</f>
        <v>15229</v>
      </c>
    </row>
    <row r="17648" spans="1:16" x14ac:dyDescent="0.25">
      <c r="A17648" t="str">
        <f>"1260047M00016    00"</f>
        <v>1260047M00016    00</v>
      </c>
      <c r="B17648" t="s">
        <v>38403</v>
      </c>
      <c r="C17648" t="s">
        <v>38404</v>
      </c>
      <c r="D17648" t="s">
        <v>20</v>
      </c>
      <c r="E17648" t="s">
        <v>39</v>
      </c>
      <c r="F17648">
        <v>0</v>
      </c>
      <c r="G17648">
        <v>0</v>
      </c>
      <c r="H17648">
        <v>3</v>
      </c>
      <c r="I17648" s="3">
        <v>1023.54</v>
      </c>
      <c r="J17648" s="3">
        <v>68.23</v>
      </c>
      <c r="K17648" t="s">
        <v>38405</v>
      </c>
      <c r="L17648">
        <v>207</v>
      </c>
      <c r="M17648" t="s">
        <v>38406</v>
      </c>
      <c r="N17648" t="s">
        <v>30</v>
      </c>
      <c r="O17648" t="s">
        <v>31</v>
      </c>
      <c r="P17648" t="str">
        <f>"15202"</f>
        <v>15202</v>
      </c>
    </row>
    <row r="17649" spans="1:16" x14ac:dyDescent="0.25">
      <c r="A17649" t="str">
        <f>"1260047M00017    00"</f>
        <v>1260047M00017    00</v>
      </c>
      <c r="B17649" t="s">
        <v>38403</v>
      </c>
      <c r="C17649" t="s">
        <v>38407</v>
      </c>
      <c r="D17649" t="s">
        <v>20</v>
      </c>
      <c r="E17649" t="s">
        <v>39</v>
      </c>
      <c r="F17649">
        <v>0</v>
      </c>
      <c r="G17649">
        <v>0</v>
      </c>
      <c r="H17649">
        <v>3</v>
      </c>
      <c r="I17649" s="3">
        <v>1126.5</v>
      </c>
      <c r="J17649" s="3">
        <v>75.099999999999994</v>
      </c>
      <c r="K17649" t="s">
        <v>38405</v>
      </c>
      <c r="L17649">
        <v>207</v>
      </c>
      <c r="M17649" t="s">
        <v>38406</v>
      </c>
      <c r="N17649" t="s">
        <v>30</v>
      </c>
      <c r="O17649" t="s">
        <v>31</v>
      </c>
      <c r="P17649" t="str">
        <f>"15202"</f>
        <v>15202</v>
      </c>
    </row>
    <row r="17650" spans="1:16" x14ac:dyDescent="0.25">
      <c r="A17650" t="str">
        <f>"1260047M00018    00"</f>
        <v>1260047M00018    00</v>
      </c>
      <c r="B17650" t="s">
        <v>38403</v>
      </c>
      <c r="C17650" t="s">
        <v>35167</v>
      </c>
      <c r="D17650" t="s">
        <v>20</v>
      </c>
      <c r="E17650" t="s">
        <v>39</v>
      </c>
      <c r="F17650">
        <v>0</v>
      </c>
      <c r="G17650">
        <v>0</v>
      </c>
      <c r="H17650">
        <v>3</v>
      </c>
      <c r="I17650" s="3">
        <v>34.32</v>
      </c>
      <c r="J17650" s="3">
        <v>2.29</v>
      </c>
      <c r="K17650" t="s">
        <v>38405</v>
      </c>
      <c r="L17650">
        <v>207</v>
      </c>
      <c r="M17650" t="s">
        <v>38406</v>
      </c>
      <c r="N17650" t="s">
        <v>30</v>
      </c>
      <c r="O17650" t="s">
        <v>31</v>
      </c>
      <c r="P17650" t="str">
        <f>"15202"</f>
        <v>15202</v>
      </c>
    </row>
    <row r="17651" spans="1:16" x14ac:dyDescent="0.25">
      <c r="A17651" t="str">
        <f>"1260047M00030    00"</f>
        <v>1260047M00030    00</v>
      </c>
      <c r="B17651" t="s">
        <v>38408</v>
      </c>
      <c r="C17651" t="s">
        <v>38409</v>
      </c>
      <c r="D17651" t="s">
        <v>20</v>
      </c>
      <c r="E17651" t="s">
        <v>39</v>
      </c>
      <c r="F17651">
        <v>0</v>
      </c>
      <c r="G17651">
        <v>0</v>
      </c>
      <c r="H17651">
        <v>7</v>
      </c>
      <c r="I17651" s="3">
        <v>2465.8000000000002</v>
      </c>
      <c r="J17651" s="3">
        <v>559.03</v>
      </c>
      <c r="K17651" t="s">
        <v>37248</v>
      </c>
      <c r="L17651">
        <v>3001</v>
      </c>
      <c r="M17651" t="s">
        <v>330</v>
      </c>
      <c r="N17651" t="s">
        <v>331</v>
      </c>
      <c r="O17651" t="s">
        <v>108</v>
      </c>
      <c r="P17651" t="str">
        <f>"75063"</f>
        <v>75063</v>
      </c>
    </row>
    <row r="17652" spans="1:16" x14ac:dyDescent="0.25">
      <c r="A17652" t="str">
        <f>"1260047M00031    00"</f>
        <v>1260047M00031    00</v>
      </c>
      <c r="B17652" t="s">
        <v>38410</v>
      </c>
      <c r="C17652" t="s">
        <v>38411</v>
      </c>
      <c r="E17652" t="s">
        <v>21</v>
      </c>
      <c r="F17652">
        <v>0</v>
      </c>
      <c r="G17652">
        <v>0</v>
      </c>
      <c r="H17652">
        <v>1</v>
      </c>
      <c r="I17652" s="3">
        <v>269.23</v>
      </c>
      <c r="J17652" s="3">
        <v>0</v>
      </c>
      <c r="L17652">
        <v>1620</v>
      </c>
      <c r="M17652" t="s">
        <v>38412</v>
      </c>
      <c r="N17652" t="s">
        <v>30</v>
      </c>
      <c r="O17652" t="s">
        <v>31</v>
      </c>
      <c r="P17652" t="str">
        <f>"15212"</f>
        <v>15212</v>
      </c>
    </row>
    <row r="17653" spans="1:16" x14ac:dyDescent="0.25">
      <c r="A17653" t="str">
        <f>"1260047M00033    00"</f>
        <v>1260047M00033    00</v>
      </c>
      <c r="B17653" t="s">
        <v>38413</v>
      </c>
      <c r="C17653" t="s">
        <v>38414</v>
      </c>
      <c r="D17653" t="s">
        <v>20</v>
      </c>
      <c r="E17653" t="s">
        <v>39</v>
      </c>
      <c r="F17653">
        <v>0</v>
      </c>
      <c r="G17653">
        <v>0</v>
      </c>
      <c r="H17653">
        <v>2</v>
      </c>
      <c r="I17653" s="3">
        <v>2199.56</v>
      </c>
      <c r="J17653" s="3">
        <v>0</v>
      </c>
      <c r="K17653" t="s">
        <v>38415</v>
      </c>
      <c r="L17653">
        <v>113</v>
      </c>
      <c r="M17653" t="s">
        <v>38416</v>
      </c>
      <c r="N17653" t="s">
        <v>30</v>
      </c>
      <c r="O17653" t="s">
        <v>31</v>
      </c>
      <c r="P17653" t="str">
        <f>"15237"</f>
        <v>15237</v>
      </c>
    </row>
    <row r="17654" spans="1:16" x14ac:dyDescent="0.25">
      <c r="A17654" t="str">
        <f>"1260047M00094    00"</f>
        <v>1260047M00094    00</v>
      </c>
      <c r="B17654" t="s">
        <v>38417</v>
      </c>
      <c r="C17654" t="s">
        <v>38418</v>
      </c>
      <c r="D17654" t="s">
        <v>20</v>
      </c>
      <c r="E17654" t="s">
        <v>39</v>
      </c>
      <c r="F17654">
        <v>0</v>
      </c>
      <c r="G17654">
        <v>0</v>
      </c>
      <c r="H17654">
        <v>8</v>
      </c>
      <c r="I17654" s="3">
        <v>3811.49</v>
      </c>
      <c r="J17654" s="3">
        <v>1113.29</v>
      </c>
      <c r="L17654">
        <v>1602</v>
      </c>
      <c r="M17654" t="s">
        <v>33466</v>
      </c>
      <c r="N17654" t="s">
        <v>30</v>
      </c>
      <c r="O17654" t="s">
        <v>31</v>
      </c>
      <c r="P17654" t="str">
        <f>"15212"</f>
        <v>15212</v>
      </c>
    </row>
    <row r="17655" spans="1:16" x14ac:dyDescent="0.25">
      <c r="A17655" t="str">
        <f>"1260076S00008    00"</f>
        <v>1260076S00008    00</v>
      </c>
      <c r="B17655" t="s">
        <v>985</v>
      </c>
      <c r="C17655" t="s">
        <v>38419</v>
      </c>
      <c r="D17655" t="s">
        <v>20</v>
      </c>
      <c r="E17655" t="s">
        <v>39</v>
      </c>
      <c r="F17655">
        <v>0</v>
      </c>
      <c r="G17655">
        <v>0</v>
      </c>
      <c r="H17655">
        <v>7</v>
      </c>
      <c r="I17655" s="3">
        <v>4564.05</v>
      </c>
      <c r="J17655" s="3">
        <v>1257.73</v>
      </c>
      <c r="L17655">
        <v>440</v>
      </c>
      <c r="M17655" t="s">
        <v>986</v>
      </c>
      <c r="N17655" t="s">
        <v>30</v>
      </c>
      <c r="O17655" t="s">
        <v>31</v>
      </c>
      <c r="P17655" t="str">
        <f>"15214"</f>
        <v>15214</v>
      </c>
    </row>
    <row r="17656" spans="1:16" x14ac:dyDescent="0.25">
      <c r="A17656" t="str">
        <f>"1260076S00032    00"</f>
        <v>1260076S00032    00</v>
      </c>
      <c r="B17656" t="s">
        <v>38420</v>
      </c>
      <c r="C17656" t="s">
        <v>38421</v>
      </c>
      <c r="D17656" t="s">
        <v>20</v>
      </c>
      <c r="E17656" t="s">
        <v>39</v>
      </c>
      <c r="F17656">
        <v>0</v>
      </c>
      <c r="G17656">
        <v>0</v>
      </c>
      <c r="H17656">
        <v>16</v>
      </c>
      <c r="I17656" s="3">
        <v>7184.61</v>
      </c>
      <c r="J17656" s="3">
        <v>5796.53</v>
      </c>
      <c r="L17656">
        <v>441</v>
      </c>
      <c r="M17656" t="s">
        <v>986</v>
      </c>
      <c r="N17656" t="s">
        <v>30</v>
      </c>
      <c r="O17656" t="s">
        <v>31</v>
      </c>
      <c r="P17656" t="str">
        <f>"15214"</f>
        <v>15214</v>
      </c>
    </row>
    <row r="17657" spans="1:16" x14ac:dyDescent="0.25">
      <c r="A17657" t="str">
        <f>"1260076S00058    00"</f>
        <v>1260076S00058    00</v>
      </c>
      <c r="B17657" t="s">
        <v>38422</v>
      </c>
      <c r="C17657" t="s">
        <v>38423</v>
      </c>
      <c r="D17657" t="s">
        <v>20</v>
      </c>
      <c r="E17657" t="s">
        <v>39</v>
      </c>
      <c r="F17657">
        <v>0</v>
      </c>
      <c r="G17657">
        <v>0</v>
      </c>
      <c r="H17657">
        <v>19</v>
      </c>
      <c r="I17657" s="3">
        <v>10628.36</v>
      </c>
      <c r="J17657" s="3">
        <v>13228.23</v>
      </c>
      <c r="L17657">
        <v>607</v>
      </c>
      <c r="M17657" t="s">
        <v>18855</v>
      </c>
      <c r="N17657" t="s">
        <v>2008</v>
      </c>
      <c r="O17657" t="s">
        <v>31</v>
      </c>
      <c r="P17657" t="str">
        <f>"16066"</f>
        <v>16066</v>
      </c>
    </row>
    <row r="17658" spans="1:16" x14ac:dyDescent="0.25">
      <c r="A17658" t="str">
        <f>"1260076S00060    00"</f>
        <v>1260076S00060    00</v>
      </c>
      <c r="B17658" t="s">
        <v>38424</v>
      </c>
      <c r="C17658" t="s">
        <v>38425</v>
      </c>
      <c r="D17658" t="s">
        <v>20</v>
      </c>
      <c r="E17658" t="s">
        <v>39</v>
      </c>
      <c r="F17658">
        <v>0</v>
      </c>
      <c r="G17658">
        <v>0</v>
      </c>
      <c r="H17658">
        <v>19</v>
      </c>
      <c r="I17658" s="3">
        <v>646.95000000000005</v>
      </c>
      <c r="J17658" s="3">
        <v>791.86</v>
      </c>
      <c r="K17658" t="s">
        <v>1008</v>
      </c>
      <c r="P17658" t="str">
        <f>""</f>
        <v/>
      </c>
    </row>
    <row r="17659" spans="1:16" x14ac:dyDescent="0.25">
      <c r="A17659" t="str">
        <f>"1260076S00079    00"</f>
        <v>1260076S00079    00</v>
      </c>
      <c r="B17659" t="s">
        <v>38426</v>
      </c>
      <c r="C17659" t="s">
        <v>38427</v>
      </c>
      <c r="D17659" t="s">
        <v>20</v>
      </c>
      <c r="E17659" t="s">
        <v>39</v>
      </c>
      <c r="F17659">
        <v>0</v>
      </c>
      <c r="G17659">
        <v>0</v>
      </c>
      <c r="H17659">
        <v>11</v>
      </c>
      <c r="I17659" s="3">
        <v>4012.14</v>
      </c>
      <c r="J17659" s="3">
        <v>3509.69</v>
      </c>
      <c r="L17659">
        <v>420</v>
      </c>
      <c r="M17659" t="s">
        <v>38428</v>
      </c>
      <c r="N17659" t="s">
        <v>30</v>
      </c>
      <c r="O17659" t="s">
        <v>31</v>
      </c>
      <c r="P17659" t="str">
        <f>"15214"</f>
        <v>15214</v>
      </c>
    </row>
    <row r="17660" spans="1:16" x14ac:dyDescent="0.25">
      <c r="A17660" t="str">
        <f>"1260076S00088    00"</f>
        <v>1260076S00088    00</v>
      </c>
      <c r="B17660" t="s">
        <v>38429</v>
      </c>
      <c r="C17660" t="s">
        <v>38430</v>
      </c>
      <c r="D17660" t="s">
        <v>20</v>
      </c>
      <c r="E17660" t="s">
        <v>39</v>
      </c>
      <c r="F17660">
        <v>0</v>
      </c>
      <c r="G17660">
        <v>0</v>
      </c>
      <c r="H17660">
        <v>18</v>
      </c>
      <c r="I17660" s="3">
        <v>7490.89</v>
      </c>
      <c r="J17660" s="3">
        <v>6634.63</v>
      </c>
      <c r="L17660">
        <v>810</v>
      </c>
      <c r="M17660" t="s">
        <v>37770</v>
      </c>
      <c r="N17660" t="s">
        <v>37771</v>
      </c>
      <c r="O17660" t="s">
        <v>423</v>
      </c>
      <c r="P17660" t="str">
        <f>"07094"</f>
        <v>07094</v>
      </c>
    </row>
    <row r="17661" spans="1:16" x14ac:dyDescent="0.25">
      <c r="A17661" t="str">
        <f>"1260076S00089    00"</f>
        <v>1260076S00089    00</v>
      </c>
      <c r="B17661" t="s">
        <v>38431</v>
      </c>
      <c r="C17661" t="s">
        <v>38432</v>
      </c>
      <c r="E17661" t="s">
        <v>39</v>
      </c>
      <c r="F17661">
        <v>0</v>
      </c>
      <c r="G17661">
        <v>0</v>
      </c>
      <c r="H17661">
        <v>5</v>
      </c>
      <c r="I17661" s="3">
        <v>1078.72</v>
      </c>
      <c r="J17661" s="3">
        <v>1409.3</v>
      </c>
      <c r="L17661">
        <v>413</v>
      </c>
      <c r="M17661" t="s">
        <v>38428</v>
      </c>
      <c r="N17661" t="s">
        <v>30</v>
      </c>
      <c r="O17661" t="s">
        <v>31</v>
      </c>
      <c r="P17661" t="str">
        <f>"15214"</f>
        <v>15214</v>
      </c>
    </row>
    <row r="17662" spans="1:16" x14ac:dyDescent="0.25">
      <c r="A17662" t="str">
        <f>"1260077A00017    00"</f>
        <v>1260077A00017    00</v>
      </c>
      <c r="B17662" t="s">
        <v>38433</v>
      </c>
      <c r="C17662" t="s">
        <v>38434</v>
      </c>
      <c r="D17662" t="s">
        <v>33</v>
      </c>
      <c r="E17662" t="s">
        <v>39</v>
      </c>
      <c r="F17662">
        <v>0</v>
      </c>
      <c r="G17662">
        <v>0</v>
      </c>
      <c r="H17662">
        <v>11</v>
      </c>
      <c r="I17662" s="3">
        <v>4115.4399999999996</v>
      </c>
      <c r="J17662" s="3">
        <v>1487.62</v>
      </c>
      <c r="K17662" t="s">
        <v>38435</v>
      </c>
      <c r="L17662">
        <v>3440</v>
      </c>
      <c r="M17662" t="s">
        <v>34518</v>
      </c>
      <c r="N17662" t="s">
        <v>30</v>
      </c>
      <c r="O17662" t="s">
        <v>31</v>
      </c>
      <c r="P17662" t="str">
        <f>"15214"</f>
        <v>15214</v>
      </c>
    </row>
    <row r="17663" spans="1:16" x14ac:dyDescent="0.25">
      <c r="A17663" t="str">
        <f>"1260077A00073    00"</f>
        <v>1260077A00073    00</v>
      </c>
      <c r="B17663" t="s">
        <v>38436</v>
      </c>
      <c r="C17663" t="s">
        <v>38437</v>
      </c>
      <c r="D17663" t="s">
        <v>20</v>
      </c>
      <c r="E17663" t="s">
        <v>39</v>
      </c>
      <c r="F17663">
        <v>0</v>
      </c>
      <c r="G17663">
        <v>0</v>
      </c>
      <c r="H17663">
        <v>5</v>
      </c>
      <c r="I17663" s="3">
        <v>13706.15</v>
      </c>
      <c r="J17663" s="3">
        <v>2367.9299999999998</v>
      </c>
      <c r="L17663">
        <v>3352</v>
      </c>
      <c r="M17663" t="s">
        <v>34518</v>
      </c>
      <c r="N17663" t="s">
        <v>30</v>
      </c>
      <c r="O17663" t="s">
        <v>31</v>
      </c>
      <c r="P17663" t="str">
        <f>"15214"</f>
        <v>15214</v>
      </c>
    </row>
    <row r="17664" spans="1:16" x14ac:dyDescent="0.25">
      <c r="A17664" t="str">
        <f>"1260077A00118    00"</f>
        <v>1260077A00118    00</v>
      </c>
      <c r="B17664" t="s">
        <v>36837</v>
      </c>
      <c r="C17664" t="s">
        <v>38438</v>
      </c>
      <c r="D17664" t="s">
        <v>20</v>
      </c>
      <c r="E17664" t="s">
        <v>39</v>
      </c>
      <c r="F17664">
        <v>0</v>
      </c>
      <c r="G17664">
        <v>0</v>
      </c>
      <c r="H17664">
        <v>1</v>
      </c>
      <c r="I17664" s="3">
        <v>257.32</v>
      </c>
      <c r="J17664" s="3">
        <v>0</v>
      </c>
      <c r="L17664">
        <v>525</v>
      </c>
      <c r="M17664" t="s">
        <v>36276</v>
      </c>
      <c r="N17664" t="s">
        <v>30</v>
      </c>
      <c r="O17664" t="s">
        <v>31</v>
      </c>
      <c r="P17664" t="str">
        <f>"15214"</f>
        <v>15214</v>
      </c>
    </row>
    <row r="17665" spans="1:16" x14ac:dyDescent="0.25">
      <c r="A17665" t="str">
        <f>"1260077B00010    00"</f>
        <v>1260077B00010    00</v>
      </c>
      <c r="B17665" t="s">
        <v>38439</v>
      </c>
      <c r="C17665" t="s">
        <v>38440</v>
      </c>
      <c r="E17665" t="s">
        <v>39</v>
      </c>
      <c r="F17665">
        <v>0</v>
      </c>
      <c r="G17665">
        <v>0</v>
      </c>
      <c r="H17665">
        <v>1</v>
      </c>
      <c r="I17665" s="3">
        <v>1662.03</v>
      </c>
      <c r="J17665" s="3">
        <v>332.39</v>
      </c>
      <c r="L17665">
        <v>306</v>
      </c>
      <c r="M17665" t="s">
        <v>38441</v>
      </c>
      <c r="N17665" t="s">
        <v>30</v>
      </c>
      <c r="O17665" t="s">
        <v>31</v>
      </c>
      <c r="P17665" t="str">
        <f>"15222"</f>
        <v>15222</v>
      </c>
    </row>
    <row r="17666" spans="1:16" x14ac:dyDescent="0.25">
      <c r="A17666" t="str">
        <f>"1260077B00038    00"</f>
        <v>1260077B00038    00</v>
      </c>
      <c r="B17666" t="s">
        <v>38442</v>
      </c>
      <c r="C17666" t="s">
        <v>38443</v>
      </c>
      <c r="D17666" t="s">
        <v>20</v>
      </c>
      <c r="E17666" t="s">
        <v>39</v>
      </c>
      <c r="F17666">
        <v>0</v>
      </c>
      <c r="G17666">
        <v>0</v>
      </c>
      <c r="H17666">
        <v>1</v>
      </c>
      <c r="I17666" s="3">
        <v>1909.84</v>
      </c>
      <c r="J17666" s="3">
        <v>0</v>
      </c>
      <c r="K17666" t="s">
        <v>4791</v>
      </c>
      <c r="L17666">
        <v>3001</v>
      </c>
      <c r="M17666" t="s">
        <v>404</v>
      </c>
      <c r="N17666" t="s">
        <v>331</v>
      </c>
      <c r="O17666" t="s">
        <v>108</v>
      </c>
      <c r="P17666" t="str">
        <f>"75063"</f>
        <v>75063</v>
      </c>
    </row>
    <row r="17667" spans="1:16" x14ac:dyDescent="0.25">
      <c r="A17667" t="str">
        <f>"1260077B00046    00"</f>
        <v>1260077B00046    00</v>
      </c>
      <c r="B17667" t="s">
        <v>38444</v>
      </c>
      <c r="C17667" t="s">
        <v>38445</v>
      </c>
      <c r="D17667" t="s">
        <v>20</v>
      </c>
      <c r="E17667" t="s">
        <v>39</v>
      </c>
      <c r="F17667">
        <v>0</v>
      </c>
      <c r="G17667">
        <v>0</v>
      </c>
      <c r="H17667">
        <v>2</v>
      </c>
      <c r="I17667" s="3">
        <v>894.43</v>
      </c>
      <c r="J17667" s="3">
        <v>0</v>
      </c>
      <c r="L17667">
        <v>3327</v>
      </c>
      <c r="M17667" t="s">
        <v>2647</v>
      </c>
      <c r="N17667" t="s">
        <v>30</v>
      </c>
      <c r="O17667" t="s">
        <v>31</v>
      </c>
      <c r="P17667" t="str">
        <f>"15214"</f>
        <v>15214</v>
      </c>
    </row>
    <row r="17668" spans="1:16" x14ac:dyDescent="0.25">
      <c r="A17668" t="str">
        <f>"1260077B00051    00"</f>
        <v>1260077B00051    00</v>
      </c>
      <c r="B17668" t="s">
        <v>38446</v>
      </c>
      <c r="C17668" t="s">
        <v>38447</v>
      </c>
      <c r="D17668" t="s">
        <v>20</v>
      </c>
      <c r="E17668" t="s">
        <v>39</v>
      </c>
      <c r="F17668">
        <v>0</v>
      </c>
      <c r="G17668">
        <v>0</v>
      </c>
      <c r="H17668">
        <v>10</v>
      </c>
      <c r="I17668" s="3">
        <v>16460.55</v>
      </c>
      <c r="J17668" s="3">
        <v>7048.07</v>
      </c>
      <c r="L17668">
        <v>3315</v>
      </c>
      <c r="M17668" t="s">
        <v>38448</v>
      </c>
      <c r="N17668" t="s">
        <v>30</v>
      </c>
      <c r="O17668" t="s">
        <v>31</v>
      </c>
      <c r="P17668" t="str">
        <f>"15214"</f>
        <v>15214</v>
      </c>
    </row>
    <row r="17669" spans="1:16" x14ac:dyDescent="0.25">
      <c r="A17669" t="str">
        <f>"1260077B00112    00"</f>
        <v>1260077B00112    00</v>
      </c>
      <c r="B17669" t="s">
        <v>38449</v>
      </c>
      <c r="C17669" t="s">
        <v>38450</v>
      </c>
      <c r="D17669" t="s">
        <v>20</v>
      </c>
      <c r="E17669" t="s">
        <v>39</v>
      </c>
      <c r="F17669">
        <v>0</v>
      </c>
      <c r="G17669">
        <v>0</v>
      </c>
      <c r="H17669">
        <v>3</v>
      </c>
      <c r="I17669" s="3">
        <v>2138.86</v>
      </c>
      <c r="J17669" s="3">
        <v>54</v>
      </c>
      <c r="L17669">
        <v>3340</v>
      </c>
      <c r="M17669" t="s">
        <v>2647</v>
      </c>
      <c r="N17669" t="s">
        <v>30</v>
      </c>
      <c r="O17669" t="s">
        <v>31</v>
      </c>
      <c r="P17669" t="str">
        <f>"15214"</f>
        <v>15214</v>
      </c>
    </row>
    <row r="17670" spans="1:16" x14ac:dyDescent="0.25">
      <c r="A17670" t="str">
        <f>"1260077B00138    00"</f>
        <v>1260077B00138    00</v>
      </c>
      <c r="B17670" t="s">
        <v>38451</v>
      </c>
      <c r="C17670" t="s">
        <v>38452</v>
      </c>
      <c r="E17670" t="s">
        <v>39</v>
      </c>
      <c r="F17670">
        <v>0</v>
      </c>
      <c r="G17670">
        <v>0</v>
      </c>
      <c r="H17670">
        <v>1</v>
      </c>
      <c r="I17670" s="3">
        <v>966.35</v>
      </c>
      <c r="J17670" s="3">
        <v>0</v>
      </c>
      <c r="L17670">
        <v>1049</v>
      </c>
      <c r="M17670" t="s">
        <v>38453</v>
      </c>
      <c r="N17670" t="s">
        <v>30</v>
      </c>
      <c r="O17670" t="s">
        <v>31</v>
      </c>
      <c r="P17670" t="str">
        <f>"15212"</f>
        <v>15212</v>
      </c>
    </row>
    <row r="17671" spans="1:16" x14ac:dyDescent="0.25">
      <c r="A17671" t="str">
        <f>"1260077B00139    00"</f>
        <v>1260077B00139    00</v>
      </c>
      <c r="B17671" t="s">
        <v>38451</v>
      </c>
      <c r="C17671" t="s">
        <v>38454</v>
      </c>
      <c r="E17671" t="s">
        <v>39</v>
      </c>
      <c r="F17671">
        <v>0</v>
      </c>
      <c r="G17671">
        <v>0</v>
      </c>
      <c r="H17671">
        <v>1</v>
      </c>
      <c r="I17671" s="3">
        <v>979.68</v>
      </c>
      <c r="J17671" s="3">
        <v>0</v>
      </c>
      <c r="L17671">
        <v>1049</v>
      </c>
      <c r="M17671" t="s">
        <v>38453</v>
      </c>
      <c r="N17671" t="s">
        <v>30</v>
      </c>
      <c r="O17671" t="s">
        <v>31</v>
      </c>
      <c r="P17671" t="str">
        <f>"15212"</f>
        <v>15212</v>
      </c>
    </row>
    <row r="17672" spans="1:16" x14ac:dyDescent="0.25">
      <c r="A17672" t="str">
        <f>"1260077B00193    00"</f>
        <v>1260077B00193    00</v>
      </c>
      <c r="B17672" t="s">
        <v>38455</v>
      </c>
      <c r="C17672" t="s">
        <v>38456</v>
      </c>
      <c r="D17672" t="s">
        <v>20</v>
      </c>
      <c r="E17672" t="s">
        <v>39</v>
      </c>
      <c r="F17672">
        <v>0</v>
      </c>
      <c r="G17672">
        <v>0</v>
      </c>
      <c r="H17672">
        <v>14</v>
      </c>
      <c r="I17672" s="3">
        <v>4196.8500000000004</v>
      </c>
      <c r="J17672" s="3">
        <v>2396.6</v>
      </c>
      <c r="L17672">
        <v>134</v>
      </c>
      <c r="M17672" t="s">
        <v>35682</v>
      </c>
      <c r="N17672" t="s">
        <v>30</v>
      </c>
      <c r="O17672" t="s">
        <v>31</v>
      </c>
      <c r="P17672" t="str">
        <f>"15214"</f>
        <v>15214</v>
      </c>
    </row>
    <row r="17673" spans="1:16" x14ac:dyDescent="0.25">
      <c r="A17673" t="str">
        <f>"1260077B00193A   00"</f>
        <v>1260077B00193A   00</v>
      </c>
      <c r="B17673" t="s">
        <v>38457</v>
      </c>
      <c r="C17673" t="s">
        <v>38458</v>
      </c>
      <c r="D17673" t="s">
        <v>20</v>
      </c>
      <c r="E17673" t="s">
        <v>39</v>
      </c>
      <c r="F17673">
        <v>0</v>
      </c>
      <c r="G17673">
        <v>0</v>
      </c>
      <c r="H17673">
        <v>4</v>
      </c>
      <c r="I17673" s="3">
        <v>1784.01</v>
      </c>
      <c r="J17673" s="3">
        <v>120.1</v>
      </c>
      <c r="L17673">
        <v>138</v>
      </c>
      <c r="M17673" t="s">
        <v>35682</v>
      </c>
      <c r="N17673" t="s">
        <v>30</v>
      </c>
      <c r="O17673" t="s">
        <v>31</v>
      </c>
      <c r="P17673" t="str">
        <f>"15214"</f>
        <v>15214</v>
      </c>
    </row>
    <row r="17674" spans="1:16" x14ac:dyDescent="0.25">
      <c r="A17674" t="str">
        <f>"1260077B00206    00"</f>
        <v>1260077B00206    00</v>
      </c>
      <c r="B17674" t="s">
        <v>35985</v>
      </c>
      <c r="C17674" t="s">
        <v>38459</v>
      </c>
      <c r="D17674" t="s">
        <v>20</v>
      </c>
      <c r="E17674" t="s">
        <v>39</v>
      </c>
      <c r="F17674">
        <v>0</v>
      </c>
      <c r="G17674">
        <v>0</v>
      </c>
      <c r="H17674">
        <v>1</v>
      </c>
      <c r="I17674" s="3">
        <v>821.03</v>
      </c>
      <c r="J17674" s="3">
        <v>0</v>
      </c>
      <c r="M17674" t="s">
        <v>35987</v>
      </c>
      <c r="N17674" t="s">
        <v>2222</v>
      </c>
      <c r="O17674" t="s">
        <v>31</v>
      </c>
      <c r="P17674" t="str">
        <f>"15015"</f>
        <v>15015</v>
      </c>
    </row>
    <row r="17675" spans="1:16" x14ac:dyDescent="0.25">
      <c r="A17675" t="str">
        <f>"1260077B00210    00"</f>
        <v>1260077B00210    00</v>
      </c>
      <c r="B17675" t="s">
        <v>38460</v>
      </c>
      <c r="C17675" t="s">
        <v>38461</v>
      </c>
      <c r="D17675" t="s">
        <v>20</v>
      </c>
      <c r="E17675" t="s">
        <v>39</v>
      </c>
      <c r="F17675">
        <v>0</v>
      </c>
      <c r="G17675">
        <v>0</v>
      </c>
      <c r="H17675">
        <v>9</v>
      </c>
      <c r="I17675" s="3">
        <v>6602.97</v>
      </c>
      <c r="J17675" s="3">
        <v>2395.7199999999998</v>
      </c>
      <c r="L17675">
        <v>102</v>
      </c>
      <c r="M17675" t="s">
        <v>35682</v>
      </c>
      <c r="N17675" t="s">
        <v>30</v>
      </c>
      <c r="O17675" t="s">
        <v>31</v>
      </c>
      <c r="P17675" t="str">
        <f>"15214"</f>
        <v>15214</v>
      </c>
    </row>
    <row r="17676" spans="1:16" x14ac:dyDescent="0.25">
      <c r="A17676" t="str">
        <f>"1260077C00008    00"</f>
        <v>1260077C00008    00</v>
      </c>
      <c r="B17676" t="s">
        <v>38462</v>
      </c>
      <c r="C17676" t="s">
        <v>35568</v>
      </c>
      <c r="D17676" t="s">
        <v>20</v>
      </c>
      <c r="E17676" t="s">
        <v>39</v>
      </c>
      <c r="F17676">
        <v>0</v>
      </c>
      <c r="G17676">
        <v>0</v>
      </c>
      <c r="H17676">
        <v>19</v>
      </c>
      <c r="I17676" s="3">
        <v>422.25</v>
      </c>
      <c r="J17676" s="3">
        <v>448.19</v>
      </c>
      <c r="K17676" t="s">
        <v>1037</v>
      </c>
      <c r="L17676">
        <v>3243</v>
      </c>
      <c r="M17676" t="s">
        <v>35569</v>
      </c>
      <c r="N17676" t="s">
        <v>30</v>
      </c>
      <c r="O17676" t="s">
        <v>31</v>
      </c>
      <c r="P17676" t="str">
        <f>"15219"</f>
        <v>15219</v>
      </c>
    </row>
    <row r="17677" spans="1:16" x14ac:dyDescent="0.25">
      <c r="A17677" t="str">
        <f>"1260077C00013    00"</f>
        <v>1260077C00013    00</v>
      </c>
      <c r="B17677" t="s">
        <v>38463</v>
      </c>
      <c r="C17677" t="s">
        <v>35568</v>
      </c>
      <c r="D17677" t="s">
        <v>20</v>
      </c>
      <c r="E17677" t="s">
        <v>39</v>
      </c>
      <c r="F17677">
        <v>0</v>
      </c>
      <c r="G17677">
        <v>0</v>
      </c>
      <c r="H17677">
        <v>19</v>
      </c>
      <c r="I17677" s="3">
        <v>422.25</v>
      </c>
      <c r="J17677" s="3">
        <v>448.19</v>
      </c>
      <c r="K17677" t="s">
        <v>1037</v>
      </c>
      <c r="L17677">
        <v>3253</v>
      </c>
      <c r="M17677" t="s">
        <v>35569</v>
      </c>
      <c r="N17677" t="s">
        <v>30</v>
      </c>
      <c r="O17677" t="s">
        <v>31</v>
      </c>
      <c r="P17677" t="str">
        <f>"15214"</f>
        <v>15214</v>
      </c>
    </row>
    <row r="17678" spans="1:16" x14ac:dyDescent="0.25">
      <c r="A17678" t="str">
        <f>"1260077E00071    00"</f>
        <v>1260077E00071    00</v>
      </c>
      <c r="B17678" t="s">
        <v>38464</v>
      </c>
      <c r="C17678" t="s">
        <v>38465</v>
      </c>
      <c r="D17678" t="s">
        <v>20</v>
      </c>
      <c r="E17678" t="s">
        <v>39</v>
      </c>
      <c r="F17678">
        <v>0</v>
      </c>
      <c r="G17678">
        <v>0</v>
      </c>
      <c r="H17678">
        <v>4</v>
      </c>
      <c r="I17678" s="3">
        <v>2905.96</v>
      </c>
      <c r="J17678" s="3">
        <v>196.67</v>
      </c>
      <c r="K17678" t="s">
        <v>38466</v>
      </c>
      <c r="L17678">
        <v>831</v>
      </c>
      <c r="M17678" t="s">
        <v>3522</v>
      </c>
      <c r="N17678" t="s">
        <v>903</v>
      </c>
      <c r="O17678" t="s">
        <v>31</v>
      </c>
      <c r="P17678" t="str">
        <f>"15136"</f>
        <v>15136</v>
      </c>
    </row>
    <row r="17679" spans="1:16" x14ac:dyDescent="0.25">
      <c r="A17679" t="str">
        <f>"1260077E00075    00"</f>
        <v>1260077E00075    00</v>
      </c>
      <c r="B17679" t="s">
        <v>38467</v>
      </c>
      <c r="C17679" t="s">
        <v>38468</v>
      </c>
      <c r="D17679" t="s">
        <v>20</v>
      </c>
      <c r="E17679" t="s">
        <v>39</v>
      </c>
      <c r="F17679">
        <v>0</v>
      </c>
      <c r="G17679">
        <v>0</v>
      </c>
      <c r="H17679">
        <v>1</v>
      </c>
      <c r="I17679" s="3">
        <v>1263.69</v>
      </c>
      <c r="J17679" s="3">
        <v>0</v>
      </c>
      <c r="K17679" t="s">
        <v>4989</v>
      </c>
      <c r="L17679">
        <v>3001</v>
      </c>
      <c r="M17679" t="s">
        <v>330</v>
      </c>
      <c r="N17679" t="s">
        <v>331</v>
      </c>
      <c r="O17679" t="s">
        <v>108</v>
      </c>
      <c r="P17679" t="str">
        <f>"75063"</f>
        <v>75063</v>
      </c>
    </row>
    <row r="17680" spans="1:16" x14ac:dyDescent="0.25">
      <c r="A17680" t="str">
        <f>"1260077E00086    00"</f>
        <v>1260077E00086    00</v>
      </c>
      <c r="B17680" t="s">
        <v>38469</v>
      </c>
      <c r="C17680" t="s">
        <v>38470</v>
      </c>
      <c r="D17680" t="s">
        <v>20</v>
      </c>
      <c r="E17680" t="s">
        <v>39</v>
      </c>
      <c r="F17680">
        <v>0</v>
      </c>
      <c r="G17680">
        <v>0</v>
      </c>
      <c r="H17680">
        <v>3</v>
      </c>
      <c r="I17680" s="3">
        <v>3836.82</v>
      </c>
      <c r="J17680" s="3">
        <v>255.78</v>
      </c>
      <c r="L17680">
        <v>529</v>
      </c>
      <c r="M17680" t="s">
        <v>38471</v>
      </c>
      <c r="N17680" t="s">
        <v>10800</v>
      </c>
      <c r="O17680" t="s">
        <v>31</v>
      </c>
      <c r="P17680" t="str">
        <f>"15065"</f>
        <v>15065</v>
      </c>
    </row>
    <row r="17681" spans="1:16" x14ac:dyDescent="0.25">
      <c r="A17681" t="str">
        <f>"1260077E00088    00"</f>
        <v>1260077E00088    00</v>
      </c>
      <c r="B17681" t="s">
        <v>38469</v>
      </c>
      <c r="C17681" t="s">
        <v>38472</v>
      </c>
      <c r="D17681" t="s">
        <v>20</v>
      </c>
      <c r="E17681" t="s">
        <v>39</v>
      </c>
      <c r="F17681">
        <v>0</v>
      </c>
      <c r="G17681">
        <v>0</v>
      </c>
      <c r="H17681">
        <v>3</v>
      </c>
      <c r="I17681" s="3">
        <v>3173.52</v>
      </c>
      <c r="J17681" s="3">
        <v>211.56</v>
      </c>
      <c r="L17681">
        <v>529</v>
      </c>
      <c r="M17681" t="s">
        <v>38471</v>
      </c>
      <c r="N17681" t="s">
        <v>10800</v>
      </c>
      <c r="O17681" t="s">
        <v>31</v>
      </c>
      <c r="P17681" t="str">
        <f>"15065"</f>
        <v>15065</v>
      </c>
    </row>
    <row r="17682" spans="1:16" x14ac:dyDescent="0.25">
      <c r="A17682" t="str">
        <f>"1260077E00112    00"</f>
        <v>1260077E00112    00</v>
      </c>
      <c r="B17682" t="s">
        <v>38473</v>
      </c>
      <c r="C17682" t="s">
        <v>38474</v>
      </c>
      <c r="E17682" t="s">
        <v>39</v>
      </c>
      <c r="F17682">
        <v>0</v>
      </c>
      <c r="G17682">
        <v>0</v>
      </c>
      <c r="H17682">
        <v>2</v>
      </c>
      <c r="I17682" s="3">
        <v>1011.34</v>
      </c>
      <c r="J17682" s="3">
        <v>31.76</v>
      </c>
      <c r="L17682">
        <v>3121</v>
      </c>
      <c r="M17682" t="s">
        <v>34518</v>
      </c>
      <c r="N17682" t="s">
        <v>30</v>
      </c>
      <c r="O17682" t="s">
        <v>31</v>
      </c>
      <c r="P17682" t="str">
        <f>"15214"</f>
        <v>15214</v>
      </c>
    </row>
    <row r="17683" spans="1:16" x14ac:dyDescent="0.25">
      <c r="A17683" t="str">
        <f>"1260077F00031    00"</f>
        <v>1260077F00031    00</v>
      </c>
      <c r="B17683" t="s">
        <v>34812</v>
      </c>
      <c r="C17683" t="s">
        <v>38475</v>
      </c>
      <c r="D17683" t="s">
        <v>20</v>
      </c>
      <c r="E17683" t="s">
        <v>39</v>
      </c>
      <c r="F17683">
        <v>0</v>
      </c>
      <c r="G17683">
        <v>0</v>
      </c>
      <c r="H17683">
        <v>4</v>
      </c>
      <c r="I17683" s="3">
        <v>3721.72</v>
      </c>
      <c r="J17683" s="3">
        <v>609.02</v>
      </c>
      <c r="K17683" t="s">
        <v>38476</v>
      </c>
      <c r="M17683" t="s">
        <v>34814</v>
      </c>
      <c r="N17683" t="s">
        <v>30</v>
      </c>
      <c r="O17683" t="s">
        <v>31</v>
      </c>
      <c r="P17683" t="str">
        <f>"15227"</f>
        <v>15227</v>
      </c>
    </row>
    <row r="17684" spans="1:16" x14ac:dyDescent="0.25">
      <c r="A17684" t="str">
        <f>"1260077F00037    00"</f>
        <v>1260077F00037    00</v>
      </c>
      <c r="B17684" t="s">
        <v>38477</v>
      </c>
      <c r="C17684" t="s">
        <v>38478</v>
      </c>
      <c r="D17684" t="s">
        <v>20</v>
      </c>
      <c r="E17684" t="s">
        <v>39</v>
      </c>
      <c r="F17684">
        <v>0</v>
      </c>
      <c r="G17684">
        <v>0</v>
      </c>
      <c r="H17684">
        <v>4</v>
      </c>
      <c r="I17684" s="3">
        <v>2964.19</v>
      </c>
      <c r="J17684" s="3">
        <v>505.67</v>
      </c>
      <c r="L17684">
        <v>190</v>
      </c>
      <c r="M17684" t="s">
        <v>38479</v>
      </c>
      <c r="N17684" t="s">
        <v>30</v>
      </c>
      <c r="O17684" t="s">
        <v>31</v>
      </c>
      <c r="P17684" t="str">
        <f>"15237"</f>
        <v>15237</v>
      </c>
    </row>
    <row r="17685" spans="1:16" x14ac:dyDescent="0.25">
      <c r="A17685" t="str">
        <f>"1260077F00042    00"</f>
        <v>1260077F00042    00</v>
      </c>
      <c r="B17685" t="s">
        <v>38480</v>
      </c>
      <c r="C17685" t="s">
        <v>38481</v>
      </c>
      <c r="D17685" t="s">
        <v>20</v>
      </c>
      <c r="E17685" t="s">
        <v>39</v>
      </c>
      <c r="F17685">
        <v>0</v>
      </c>
      <c r="G17685">
        <v>0</v>
      </c>
      <c r="H17685">
        <v>19</v>
      </c>
      <c r="I17685" s="3">
        <v>3360.08</v>
      </c>
      <c r="J17685" s="3">
        <v>2020.27</v>
      </c>
      <c r="L17685">
        <v>3025</v>
      </c>
      <c r="M17685" t="s">
        <v>38482</v>
      </c>
      <c r="N17685" t="s">
        <v>30</v>
      </c>
      <c r="O17685" t="s">
        <v>31</v>
      </c>
      <c r="P17685" t="str">
        <f>"15214"</f>
        <v>15214</v>
      </c>
    </row>
    <row r="17686" spans="1:16" x14ac:dyDescent="0.25">
      <c r="A17686" t="str">
        <f>"1260077F00045    00"</f>
        <v>1260077F00045    00</v>
      </c>
      <c r="B17686" t="s">
        <v>38483</v>
      </c>
      <c r="C17686" t="s">
        <v>38484</v>
      </c>
      <c r="D17686" t="s">
        <v>20</v>
      </c>
      <c r="E17686" t="s">
        <v>39</v>
      </c>
      <c r="F17686">
        <v>0</v>
      </c>
      <c r="G17686">
        <v>0</v>
      </c>
      <c r="H17686">
        <v>2</v>
      </c>
      <c r="I17686" s="3">
        <v>1350.46</v>
      </c>
      <c r="J17686" s="3">
        <v>0</v>
      </c>
      <c r="K17686" t="s">
        <v>2570</v>
      </c>
      <c r="L17686">
        <v>901</v>
      </c>
      <c r="M17686" t="s">
        <v>1503</v>
      </c>
      <c r="N17686" t="s">
        <v>494</v>
      </c>
      <c r="O17686" t="s">
        <v>495</v>
      </c>
      <c r="P17686" t="str">
        <f>"91768"</f>
        <v>91768</v>
      </c>
    </row>
    <row r="17687" spans="1:16" x14ac:dyDescent="0.25">
      <c r="A17687" t="str">
        <f>"1260077F00047    00"</f>
        <v>1260077F00047    00</v>
      </c>
      <c r="B17687" t="s">
        <v>38483</v>
      </c>
      <c r="C17687" t="s">
        <v>38485</v>
      </c>
      <c r="D17687" t="s">
        <v>20</v>
      </c>
      <c r="E17687" t="s">
        <v>39</v>
      </c>
      <c r="F17687">
        <v>0</v>
      </c>
      <c r="G17687">
        <v>0</v>
      </c>
      <c r="H17687">
        <v>1</v>
      </c>
      <c r="I17687" s="3">
        <v>1204.6099999999999</v>
      </c>
      <c r="J17687" s="3">
        <v>0</v>
      </c>
      <c r="K17687" t="s">
        <v>2570</v>
      </c>
      <c r="L17687">
        <v>901</v>
      </c>
      <c r="M17687" t="s">
        <v>1503</v>
      </c>
      <c r="N17687" t="s">
        <v>494</v>
      </c>
      <c r="O17687" t="s">
        <v>495</v>
      </c>
      <c r="P17687" t="str">
        <f>"91768"</f>
        <v>91768</v>
      </c>
    </row>
    <row r="17688" spans="1:16" x14ac:dyDescent="0.25">
      <c r="A17688" t="str">
        <f>"1260077F00049    00"</f>
        <v>1260077F00049    00</v>
      </c>
      <c r="B17688" t="s">
        <v>38486</v>
      </c>
      <c r="C17688" t="s">
        <v>38487</v>
      </c>
      <c r="D17688" t="s">
        <v>20</v>
      </c>
      <c r="E17688" t="s">
        <v>39</v>
      </c>
      <c r="F17688">
        <v>0</v>
      </c>
      <c r="G17688">
        <v>0</v>
      </c>
      <c r="H17688">
        <v>2</v>
      </c>
      <c r="I17688" s="3">
        <v>308.37</v>
      </c>
      <c r="J17688" s="3">
        <v>0</v>
      </c>
      <c r="L17688">
        <v>850</v>
      </c>
      <c r="M17688" t="s">
        <v>17198</v>
      </c>
      <c r="N17688" t="s">
        <v>30</v>
      </c>
      <c r="O17688" t="s">
        <v>31</v>
      </c>
      <c r="P17688" t="str">
        <f>"15202"</f>
        <v>15202</v>
      </c>
    </row>
    <row r="17689" spans="1:16" x14ac:dyDescent="0.25">
      <c r="A17689" t="str">
        <f>"1260077F00051    00"</f>
        <v>1260077F00051    00</v>
      </c>
      <c r="B17689" t="s">
        <v>38486</v>
      </c>
      <c r="C17689" t="s">
        <v>38488</v>
      </c>
      <c r="D17689" t="s">
        <v>20</v>
      </c>
      <c r="E17689" t="s">
        <v>39</v>
      </c>
      <c r="F17689">
        <v>0</v>
      </c>
      <c r="G17689">
        <v>0</v>
      </c>
      <c r="H17689">
        <v>2</v>
      </c>
      <c r="I17689" s="3">
        <v>308.37</v>
      </c>
      <c r="J17689" s="3">
        <v>0</v>
      </c>
      <c r="L17689">
        <v>850</v>
      </c>
      <c r="M17689" t="s">
        <v>17198</v>
      </c>
      <c r="N17689" t="s">
        <v>30</v>
      </c>
      <c r="O17689" t="s">
        <v>31</v>
      </c>
      <c r="P17689" t="str">
        <f>"15202"</f>
        <v>15202</v>
      </c>
    </row>
    <row r="17690" spans="1:16" x14ac:dyDescent="0.25">
      <c r="A17690" t="str">
        <f>"1260077F00055    00"</f>
        <v>1260077F00055    00</v>
      </c>
      <c r="B17690" t="s">
        <v>38489</v>
      </c>
      <c r="C17690" t="s">
        <v>38490</v>
      </c>
      <c r="E17690" t="s">
        <v>39</v>
      </c>
      <c r="F17690">
        <v>0</v>
      </c>
      <c r="G17690">
        <v>0</v>
      </c>
      <c r="H17690">
        <v>1</v>
      </c>
      <c r="I17690" s="3">
        <v>109.31</v>
      </c>
      <c r="J17690" s="3">
        <v>21.86</v>
      </c>
      <c r="L17690">
        <v>12</v>
      </c>
      <c r="M17690" t="s">
        <v>35682</v>
      </c>
      <c r="N17690" t="s">
        <v>30</v>
      </c>
      <c r="O17690" t="s">
        <v>31</v>
      </c>
      <c r="P17690" t="str">
        <f>"15214"</f>
        <v>15214</v>
      </c>
    </row>
    <row r="17691" spans="1:16" x14ac:dyDescent="0.25">
      <c r="A17691" t="str">
        <f>"1260077F00105    00"</f>
        <v>1260077F00105    00</v>
      </c>
      <c r="B17691" t="s">
        <v>38491</v>
      </c>
      <c r="C17691" t="s">
        <v>38492</v>
      </c>
      <c r="E17691" t="s">
        <v>39</v>
      </c>
      <c r="F17691">
        <v>0</v>
      </c>
      <c r="G17691">
        <v>0</v>
      </c>
      <c r="H17691">
        <v>1</v>
      </c>
      <c r="I17691" s="3">
        <v>1617.84</v>
      </c>
      <c r="J17691" s="3">
        <v>323.56</v>
      </c>
      <c r="K17691" t="s">
        <v>403</v>
      </c>
      <c r="L17691">
        <v>3001</v>
      </c>
      <c r="M17691" t="s">
        <v>404</v>
      </c>
      <c r="N17691" t="s">
        <v>331</v>
      </c>
      <c r="O17691" t="s">
        <v>108</v>
      </c>
      <c r="P17691" t="str">
        <f>"75063"</f>
        <v>75063</v>
      </c>
    </row>
    <row r="17692" spans="1:16" x14ac:dyDescent="0.25">
      <c r="A17692" t="str">
        <f>"1260077F00121    00"</f>
        <v>1260077F00121    00</v>
      </c>
      <c r="B17692" t="s">
        <v>38493</v>
      </c>
      <c r="C17692" t="s">
        <v>38494</v>
      </c>
      <c r="D17692" t="s">
        <v>20</v>
      </c>
      <c r="E17692" t="s">
        <v>39</v>
      </c>
      <c r="F17692">
        <v>0</v>
      </c>
      <c r="G17692">
        <v>0</v>
      </c>
      <c r="H17692">
        <v>5</v>
      </c>
      <c r="I17692" s="3">
        <v>5491.07</v>
      </c>
      <c r="J17692" s="3">
        <v>1486.73</v>
      </c>
      <c r="L17692">
        <v>3417</v>
      </c>
      <c r="M17692" t="s">
        <v>2647</v>
      </c>
      <c r="N17692" t="s">
        <v>30</v>
      </c>
      <c r="O17692" t="s">
        <v>31</v>
      </c>
      <c r="P17692" t="str">
        <f>"15214"</f>
        <v>15214</v>
      </c>
    </row>
    <row r="17693" spans="1:16" x14ac:dyDescent="0.25">
      <c r="A17693" t="str">
        <f>"1260077F00125    00"</f>
        <v>1260077F00125    00</v>
      </c>
      <c r="B17693" t="s">
        <v>38495</v>
      </c>
      <c r="C17693" t="s">
        <v>38496</v>
      </c>
      <c r="D17693" t="s">
        <v>20</v>
      </c>
      <c r="E17693" t="s">
        <v>39</v>
      </c>
      <c r="F17693">
        <v>0</v>
      </c>
      <c r="G17693">
        <v>0</v>
      </c>
      <c r="H17693">
        <v>2</v>
      </c>
      <c r="I17693" s="3">
        <v>2658.92</v>
      </c>
      <c r="J17693" s="3">
        <v>319.06</v>
      </c>
      <c r="L17693">
        <v>1111</v>
      </c>
      <c r="M17693" t="s">
        <v>37088</v>
      </c>
      <c r="N17693" t="s">
        <v>30</v>
      </c>
      <c r="O17693" t="s">
        <v>31</v>
      </c>
      <c r="P17693" t="str">
        <f>"15212"</f>
        <v>15212</v>
      </c>
    </row>
    <row r="17694" spans="1:16" x14ac:dyDescent="0.25">
      <c r="A17694" t="str">
        <f>"1260077F00127    00"</f>
        <v>1260077F00127    00</v>
      </c>
      <c r="B17694" t="s">
        <v>38497</v>
      </c>
      <c r="C17694" t="s">
        <v>38498</v>
      </c>
      <c r="D17694" t="s">
        <v>20</v>
      </c>
      <c r="E17694" t="s">
        <v>39</v>
      </c>
      <c r="F17694">
        <v>0</v>
      </c>
      <c r="G17694">
        <v>0</v>
      </c>
      <c r="H17694">
        <v>1</v>
      </c>
      <c r="I17694" s="3">
        <v>1953.66</v>
      </c>
      <c r="J17694" s="3">
        <v>0</v>
      </c>
      <c r="L17694">
        <v>3903</v>
      </c>
      <c r="M17694" t="s">
        <v>38499</v>
      </c>
      <c r="N17694" t="s">
        <v>30</v>
      </c>
      <c r="O17694" t="s">
        <v>31</v>
      </c>
      <c r="P17694" t="str">
        <f>"15214"</f>
        <v>15214</v>
      </c>
    </row>
    <row r="17695" spans="1:16" x14ac:dyDescent="0.25">
      <c r="A17695" t="str">
        <f>"1260077F00141    00"</f>
        <v>1260077F00141    00</v>
      </c>
      <c r="B17695" t="s">
        <v>38500</v>
      </c>
      <c r="C17695" t="s">
        <v>38501</v>
      </c>
      <c r="D17695" t="s">
        <v>20</v>
      </c>
      <c r="E17695" t="s">
        <v>39</v>
      </c>
      <c r="F17695">
        <v>0</v>
      </c>
      <c r="G17695">
        <v>0</v>
      </c>
      <c r="H17695">
        <v>2</v>
      </c>
      <c r="I17695" s="3">
        <v>1709.3</v>
      </c>
      <c r="J17695" s="3">
        <v>0</v>
      </c>
      <c r="L17695">
        <v>19</v>
      </c>
      <c r="M17695" t="s">
        <v>35682</v>
      </c>
      <c r="N17695" t="s">
        <v>30</v>
      </c>
      <c r="O17695" t="s">
        <v>31</v>
      </c>
      <c r="P17695" t="str">
        <f>"15214"</f>
        <v>15214</v>
      </c>
    </row>
    <row r="17696" spans="1:16" x14ac:dyDescent="0.25">
      <c r="A17696" t="str">
        <f>"1260077F00151    00"</f>
        <v>1260077F00151    00</v>
      </c>
      <c r="B17696" t="s">
        <v>38502</v>
      </c>
      <c r="C17696" t="s">
        <v>38503</v>
      </c>
      <c r="D17696" t="s">
        <v>20</v>
      </c>
      <c r="E17696" t="s">
        <v>39</v>
      </c>
      <c r="F17696">
        <v>0</v>
      </c>
      <c r="G17696">
        <v>0</v>
      </c>
      <c r="H17696">
        <v>15</v>
      </c>
      <c r="I17696" s="3">
        <v>5121.6899999999996</v>
      </c>
      <c r="J17696" s="3">
        <v>3543.18</v>
      </c>
      <c r="L17696">
        <v>36</v>
      </c>
      <c r="M17696" t="s">
        <v>35682</v>
      </c>
      <c r="N17696" t="s">
        <v>30</v>
      </c>
      <c r="O17696" t="s">
        <v>31</v>
      </c>
      <c r="P17696" t="str">
        <f>"15214"</f>
        <v>15214</v>
      </c>
    </row>
    <row r="17697" spans="1:16" x14ac:dyDescent="0.25">
      <c r="A17697" t="str">
        <f>"1260077F00190    00"</f>
        <v>1260077F00190    00</v>
      </c>
      <c r="B17697" t="s">
        <v>38504</v>
      </c>
      <c r="C17697" t="s">
        <v>38505</v>
      </c>
      <c r="D17697" t="s">
        <v>20</v>
      </c>
      <c r="E17697" t="s">
        <v>39</v>
      </c>
      <c r="F17697">
        <v>0</v>
      </c>
      <c r="G17697">
        <v>0</v>
      </c>
      <c r="H17697">
        <v>3</v>
      </c>
      <c r="I17697" s="3">
        <v>133.58000000000001</v>
      </c>
      <c r="J17697" s="3">
        <v>15.8</v>
      </c>
      <c r="L17697">
        <v>2639</v>
      </c>
      <c r="M17697" t="s">
        <v>38506</v>
      </c>
      <c r="N17697" t="s">
        <v>30</v>
      </c>
      <c r="O17697" t="s">
        <v>31</v>
      </c>
      <c r="P17697" t="str">
        <f>"15214"</f>
        <v>15214</v>
      </c>
    </row>
    <row r="17698" spans="1:16" x14ac:dyDescent="0.25">
      <c r="A17698" t="str">
        <f>"1260077F00191    00"</f>
        <v>1260077F00191    00</v>
      </c>
      <c r="B17698" t="s">
        <v>38507</v>
      </c>
      <c r="C17698" t="s">
        <v>38508</v>
      </c>
      <c r="D17698" t="s">
        <v>20</v>
      </c>
      <c r="E17698" t="s">
        <v>39</v>
      </c>
      <c r="F17698">
        <v>0</v>
      </c>
      <c r="G17698">
        <v>0</v>
      </c>
      <c r="H17698">
        <v>16</v>
      </c>
      <c r="I17698" s="3">
        <v>11990.64</v>
      </c>
      <c r="J17698" s="3">
        <v>10366.91</v>
      </c>
      <c r="L17698">
        <v>2</v>
      </c>
      <c r="M17698" t="s">
        <v>38509</v>
      </c>
      <c r="N17698" t="s">
        <v>6042</v>
      </c>
      <c r="O17698" t="s">
        <v>423</v>
      </c>
      <c r="P17698" t="str">
        <f>"07753"</f>
        <v>07753</v>
      </c>
    </row>
    <row r="17699" spans="1:16" x14ac:dyDescent="0.25">
      <c r="A17699" t="str">
        <f>"1260077F00192    00"</f>
        <v>1260077F00192    00</v>
      </c>
      <c r="B17699" t="s">
        <v>38510</v>
      </c>
      <c r="C17699" t="s">
        <v>38511</v>
      </c>
      <c r="D17699" t="s">
        <v>20</v>
      </c>
      <c r="E17699" t="s">
        <v>39</v>
      </c>
      <c r="F17699">
        <v>0</v>
      </c>
      <c r="G17699">
        <v>0</v>
      </c>
      <c r="H17699">
        <v>13</v>
      </c>
      <c r="I17699" s="3">
        <v>6432.74</v>
      </c>
      <c r="J17699" s="3">
        <v>3388.23</v>
      </c>
      <c r="L17699">
        <v>52</v>
      </c>
      <c r="M17699" t="s">
        <v>12367</v>
      </c>
      <c r="N17699" t="s">
        <v>30</v>
      </c>
      <c r="O17699" t="s">
        <v>31</v>
      </c>
      <c r="P17699" t="str">
        <f>"15214"</f>
        <v>15214</v>
      </c>
    </row>
    <row r="17700" spans="1:16" x14ac:dyDescent="0.25">
      <c r="A17700" t="str">
        <f>"1260077F00193    00"</f>
        <v>1260077F00193    00</v>
      </c>
      <c r="B17700" t="s">
        <v>38512</v>
      </c>
      <c r="C17700" t="s">
        <v>38513</v>
      </c>
      <c r="D17700" t="s">
        <v>20</v>
      </c>
      <c r="E17700" t="s">
        <v>39</v>
      </c>
      <c r="F17700">
        <v>0</v>
      </c>
      <c r="G17700">
        <v>0</v>
      </c>
      <c r="H17700">
        <v>13</v>
      </c>
      <c r="I17700" s="3">
        <v>1617.75</v>
      </c>
      <c r="J17700" s="3">
        <v>2219.7800000000002</v>
      </c>
      <c r="L17700">
        <v>19069</v>
      </c>
      <c r="M17700" t="s">
        <v>38514</v>
      </c>
      <c r="N17700" t="s">
        <v>38515</v>
      </c>
      <c r="O17700" t="s">
        <v>495</v>
      </c>
      <c r="P17700" t="str">
        <f>"92508"</f>
        <v>92508</v>
      </c>
    </row>
    <row r="17701" spans="1:16" x14ac:dyDescent="0.25">
      <c r="A17701" t="str">
        <f>"1260077F00198    00"</f>
        <v>1260077F00198    00</v>
      </c>
      <c r="B17701" t="s">
        <v>38516</v>
      </c>
      <c r="C17701" t="s">
        <v>38517</v>
      </c>
      <c r="D17701" t="s">
        <v>20</v>
      </c>
      <c r="E17701" t="s">
        <v>39</v>
      </c>
      <c r="F17701">
        <v>0</v>
      </c>
      <c r="G17701">
        <v>0</v>
      </c>
      <c r="H17701">
        <v>8</v>
      </c>
      <c r="I17701" s="3">
        <v>3605.08</v>
      </c>
      <c r="J17701" s="3">
        <v>1179.94</v>
      </c>
      <c r="L17701">
        <v>44</v>
      </c>
      <c r="M17701" t="s">
        <v>12367</v>
      </c>
      <c r="N17701" t="s">
        <v>30</v>
      </c>
      <c r="O17701" t="s">
        <v>31</v>
      </c>
      <c r="P17701" t="str">
        <f>"15214"</f>
        <v>15214</v>
      </c>
    </row>
    <row r="17702" spans="1:16" x14ac:dyDescent="0.25">
      <c r="A17702" t="str">
        <f>"1260077F00226    00"</f>
        <v>1260077F00226    00</v>
      </c>
      <c r="B17702" t="s">
        <v>38518</v>
      </c>
      <c r="C17702" t="s">
        <v>38519</v>
      </c>
      <c r="D17702" t="s">
        <v>20</v>
      </c>
      <c r="E17702" t="s">
        <v>39</v>
      </c>
      <c r="F17702">
        <v>0</v>
      </c>
      <c r="G17702">
        <v>0</v>
      </c>
      <c r="H17702">
        <v>19</v>
      </c>
      <c r="I17702" s="3">
        <v>10089.709999999999</v>
      </c>
      <c r="J17702" s="3">
        <v>12193.54</v>
      </c>
      <c r="L17702">
        <v>226</v>
      </c>
      <c r="M17702" t="s">
        <v>1765</v>
      </c>
      <c r="N17702" t="s">
        <v>1766</v>
      </c>
      <c r="O17702" t="s">
        <v>31</v>
      </c>
      <c r="P17702" t="str">
        <f>"15367"</f>
        <v>15367</v>
      </c>
    </row>
    <row r="17703" spans="1:16" x14ac:dyDescent="0.25">
      <c r="A17703" t="str">
        <f>"1260077F00227    00"</f>
        <v>1260077F00227    00</v>
      </c>
      <c r="B17703" t="s">
        <v>38520</v>
      </c>
      <c r="C17703" t="s">
        <v>38519</v>
      </c>
      <c r="D17703" t="s">
        <v>20</v>
      </c>
      <c r="E17703" t="s">
        <v>39</v>
      </c>
      <c r="F17703">
        <v>0</v>
      </c>
      <c r="G17703">
        <v>0</v>
      </c>
      <c r="H17703">
        <v>13</v>
      </c>
      <c r="I17703" s="3">
        <v>954.03</v>
      </c>
      <c r="J17703" s="3">
        <v>493.15</v>
      </c>
      <c r="L17703">
        <v>306</v>
      </c>
      <c r="M17703" t="s">
        <v>38521</v>
      </c>
      <c r="N17703" t="s">
        <v>30</v>
      </c>
      <c r="O17703" t="s">
        <v>31</v>
      </c>
      <c r="P17703" t="str">
        <f>"15214"</f>
        <v>15214</v>
      </c>
    </row>
    <row r="17704" spans="1:16" x14ac:dyDescent="0.25">
      <c r="A17704" t="str">
        <f>"1260077F00229    00"</f>
        <v>1260077F00229    00</v>
      </c>
      <c r="B17704" t="s">
        <v>38520</v>
      </c>
      <c r="C17704" t="s">
        <v>38522</v>
      </c>
      <c r="D17704" t="s">
        <v>20</v>
      </c>
      <c r="E17704" t="s">
        <v>39</v>
      </c>
      <c r="F17704">
        <v>0</v>
      </c>
      <c r="G17704">
        <v>0</v>
      </c>
      <c r="H17704">
        <v>13</v>
      </c>
      <c r="I17704" s="3">
        <v>3466.24</v>
      </c>
      <c r="J17704" s="3">
        <v>2341.64</v>
      </c>
      <c r="L17704">
        <v>306</v>
      </c>
      <c r="M17704" t="s">
        <v>38521</v>
      </c>
      <c r="N17704" t="s">
        <v>30</v>
      </c>
      <c r="O17704" t="s">
        <v>31</v>
      </c>
      <c r="P17704" t="str">
        <f>"15214"</f>
        <v>15214</v>
      </c>
    </row>
    <row r="17705" spans="1:16" x14ac:dyDescent="0.25">
      <c r="A17705" t="str">
        <f>"1260077F00254    00"</f>
        <v>1260077F00254    00</v>
      </c>
      <c r="B17705" t="s">
        <v>38523</v>
      </c>
      <c r="C17705" t="s">
        <v>38481</v>
      </c>
      <c r="D17705" t="s">
        <v>20</v>
      </c>
      <c r="E17705" t="s">
        <v>39</v>
      </c>
      <c r="F17705">
        <v>0</v>
      </c>
      <c r="G17705">
        <v>0</v>
      </c>
      <c r="H17705">
        <v>19</v>
      </c>
      <c r="I17705" s="3">
        <v>3101.61</v>
      </c>
      <c r="J17705" s="3">
        <v>4097.28</v>
      </c>
      <c r="L17705">
        <v>3030</v>
      </c>
      <c r="M17705" t="s">
        <v>38482</v>
      </c>
      <c r="N17705" t="s">
        <v>30</v>
      </c>
      <c r="O17705" t="s">
        <v>31</v>
      </c>
      <c r="P17705" t="str">
        <f>"15214"</f>
        <v>15214</v>
      </c>
    </row>
    <row r="17706" spans="1:16" x14ac:dyDescent="0.25">
      <c r="A17706" t="str">
        <f>"1260077F00284    00"</f>
        <v>1260077F00284    00</v>
      </c>
      <c r="B17706" t="s">
        <v>38524</v>
      </c>
      <c r="C17706" t="s">
        <v>38525</v>
      </c>
      <c r="D17706" t="s">
        <v>20</v>
      </c>
      <c r="E17706" t="s">
        <v>39</v>
      </c>
      <c r="F17706">
        <v>0</v>
      </c>
      <c r="G17706">
        <v>0</v>
      </c>
      <c r="H17706">
        <v>9</v>
      </c>
      <c r="I17706" s="3">
        <v>8862.4</v>
      </c>
      <c r="J17706" s="3">
        <v>3345.59</v>
      </c>
      <c r="L17706">
        <v>339</v>
      </c>
      <c r="M17706" t="s">
        <v>38521</v>
      </c>
      <c r="N17706" t="s">
        <v>30</v>
      </c>
      <c r="O17706" t="s">
        <v>31</v>
      </c>
      <c r="P17706" t="str">
        <f>"15214"</f>
        <v>15214</v>
      </c>
    </row>
    <row r="17707" spans="1:16" x14ac:dyDescent="0.25">
      <c r="A17707" t="str">
        <f>"1260077G00150    00"</f>
        <v>1260077G00150    00</v>
      </c>
      <c r="B17707" t="s">
        <v>38526</v>
      </c>
      <c r="C17707" t="s">
        <v>38527</v>
      </c>
      <c r="D17707" t="s">
        <v>20</v>
      </c>
      <c r="E17707" t="s">
        <v>39</v>
      </c>
      <c r="F17707">
        <v>0</v>
      </c>
      <c r="G17707">
        <v>0</v>
      </c>
      <c r="H17707">
        <v>11</v>
      </c>
      <c r="I17707" s="3">
        <v>14683.81</v>
      </c>
      <c r="J17707" s="3">
        <v>6050.88</v>
      </c>
      <c r="L17707">
        <v>136</v>
      </c>
      <c r="M17707" t="s">
        <v>38528</v>
      </c>
      <c r="N17707" t="s">
        <v>30</v>
      </c>
      <c r="O17707" t="s">
        <v>31</v>
      </c>
      <c r="P17707" t="str">
        <f>"15214"</f>
        <v>15214</v>
      </c>
    </row>
    <row r="17708" spans="1:16" x14ac:dyDescent="0.25">
      <c r="A17708" t="str">
        <f>"1260077G00167    00"</f>
        <v>1260077G00167    00</v>
      </c>
      <c r="B17708" t="s">
        <v>38529</v>
      </c>
      <c r="C17708" t="s">
        <v>38530</v>
      </c>
      <c r="D17708" t="s">
        <v>20</v>
      </c>
      <c r="E17708" t="s">
        <v>39</v>
      </c>
      <c r="F17708">
        <v>0</v>
      </c>
      <c r="G17708">
        <v>0</v>
      </c>
      <c r="H17708">
        <v>18</v>
      </c>
      <c r="I17708" s="3">
        <v>8794.8799999999992</v>
      </c>
      <c r="J17708" s="3">
        <v>5699.37</v>
      </c>
      <c r="L17708">
        <v>130</v>
      </c>
      <c r="M17708" t="s">
        <v>38531</v>
      </c>
      <c r="N17708" t="s">
        <v>30</v>
      </c>
      <c r="O17708" t="s">
        <v>31</v>
      </c>
      <c r="P17708" t="str">
        <f>"15229"</f>
        <v>15229</v>
      </c>
    </row>
    <row r="17709" spans="1:16" x14ac:dyDescent="0.25">
      <c r="A17709" t="str">
        <f>"1260077H00200    00"</f>
        <v>1260077H00200    00</v>
      </c>
      <c r="B17709" t="s">
        <v>38532</v>
      </c>
      <c r="C17709" t="s">
        <v>38533</v>
      </c>
      <c r="E17709" t="s">
        <v>207</v>
      </c>
      <c r="F17709">
        <v>0</v>
      </c>
      <c r="G17709">
        <v>0</v>
      </c>
      <c r="H17709">
        <v>1</v>
      </c>
      <c r="I17709" s="3">
        <v>2649.34</v>
      </c>
      <c r="J17709" s="3">
        <v>0</v>
      </c>
      <c r="K17709" t="s">
        <v>38534</v>
      </c>
      <c r="L17709">
        <v>1503</v>
      </c>
      <c r="M17709" t="s">
        <v>38535</v>
      </c>
      <c r="N17709" t="s">
        <v>29099</v>
      </c>
      <c r="O17709" t="s">
        <v>495</v>
      </c>
      <c r="P17709" t="str">
        <f>"92626"</f>
        <v>92626</v>
      </c>
    </row>
    <row r="17710" spans="1:16" x14ac:dyDescent="0.25">
      <c r="A17710" t="str">
        <f>"1260077J00008    00"</f>
        <v>1260077J00008    00</v>
      </c>
      <c r="B17710" t="s">
        <v>38536</v>
      </c>
      <c r="C17710" t="s">
        <v>38537</v>
      </c>
      <c r="D17710" t="s">
        <v>20</v>
      </c>
      <c r="E17710" t="s">
        <v>39</v>
      </c>
      <c r="F17710">
        <v>0</v>
      </c>
      <c r="G17710">
        <v>0</v>
      </c>
      <c r="H17710">
        <v>1</v>
      </c>
      <c r="I17710" s="3">
        <v>1044.49</v>
      </c>
      <c r="J17710" s="3">
        <v>0</v>
      </c>
      <c r="L17710">
        <v>1854</v>
      </c>
      <c r="M17710" t="s">
        <v>38538</v>
      </c>
      <c r="N17710" t="s">
        <v>494</v>
      </c>
      <c r="O17710" t="s">
        <v>495</v>
      </c>
      <c r="P17710" t="str">
        <f>"91766"</f>
        <v>91766</v>
      </c>
    </row>
    <row r="17711" spans="1:16" x14ac:dyDescent="0.25">
      <c r="A17711" t="str">
        <f>"1260077J00009    00"</f>
        <v>1260077J00009    00</v>
      </c>
      <c r="B17711" t="s">
        <v>38539</v>
      </c>
      <c r="C17711" t="s">
        <v>36257</v>
      </c>
      <c r="D17711" t="s">
        <v>20</v>
      </c>
      <c r="E17711" t="s">
        <v>39</v>
      </c>
      <c r="F17711">
        <v>0</v>
      </c>
      <c r="G17711">
        <v>0</v>
      </c>
      <c r="H17711">
        <v>16</v>
      </c>
      <c r="I17711" s="3">
        <v>732.26</v>
      </c>
      <c r="J17711" s="3">
        <v>410.58</v>
      </c>
      <c r="K17711" t="s">
        <v>38540</v>
      </c>
      <c r="L17711">
        <v>3890</v>
      </c>
      <c r="M17711" t="s">
        <v>35569</v>
      </c>
      <c r="N17711" t="s">
        <v>30</v>
      </c>
      <c r="O17711" t="s">
        <v>31</v>
      </c>
      <c r="P17711" t="str">
        <f>"15235"</f>
        <v>15235</v>
      </c>
    </row>
    <row r="17712" spans="1:16" x14ac:dyDescent="0.25">
      <c r="A17712" t="str">
        <f>"1260077J00010    00"</f>
        <v>1260077J00010    00</v>
      </c>
      <c r="B17712" t="s">
        <v>38541</v>
      </c>
      <c r="C17712" t="s">
        <v>36257</v>
      </c>
      <c r="D17712" t="s">
        <v>20</v>
      </c>
      <c r="E17712" t="s">
        <v>39</v>
      </c>
      <c r="F17712">
        <v>0</v>
      </c>
      <c r="G17712">
        <v>0</v>
      </c>
      <c r="H17712">
        <v>19</v>
      </c>
      <c r="I17712" s="3">
        <v>4957.8599999999997</v>
      </c>
      <c r="J17712" s="3">
        <v>4949.5600000000004</v>
      </c>
      <c r="L17712">
        <v>3018</v>
      </c>
      <c r="M17712" t="s">
        <v>34518</v>
      </c>
      <c r="N17712" t="s">
        <v>30</v>
      </c>
      <c r="O17712" t="s">
        <v>31</v>
      </c>
      <c r="P17712" t="str">
        <f>"15214"</f>
        <v>15214</v>
      </c>
    </row>
    <row r="17713" spans="1:16" x14ac:dyDescent="0.25">
      <c r="A17713" t="str">
        <f>"1260077J00011    00"</f>
        <v>1260077J00011    00</v>
      </c>
      <c r="B17713" t="s">
        <v>38539</v>
      </c>
      <c r="C17713" t="s">
        <v>36257</v>
      </c>
      <c r="D17713" t="s">
        <v>20</v>
      </c>
      <c r="E17713" t="s">
        <v>39</v>
      </c>
      <c r="F17713">
        <v>0</v>
      </c>
      <c r="G17713">
        <v>0</v>
      </c>
      <c r="H17713">
        <v>17</v>
      </c>
      <c r="I17713" s="3">
        <v>3519.1</v>
      </c>
      <c r="J17713" s="3">
        <v>2673.04</v>
      </c>
      <c r="L17713">
        <v>3890</v>
      </c>
      <c r="M17713" t="s">
        <v>35569</v>
      </c>
      <c r="N17713" t="s">
        <v>30</v>
      </c>
      <c r="O17713" t="s">
        <v>31</v>
      </c>
      <c r="P17713" t="str">
        <f>"15235"</f>
        <v>15235</v>
      </c>
    </row>
    <row r="17714" spans="1:16" x14ac:dyDescent="0.25">
      <c r="A17714" t="str">
        <f>"1260077J00044    00"</f>
        <v>1260077J00044    00</v>
      </c>
      <c r="B17714" t="s">
        <v>38542</v>
      </c>
      <c r="C17714" t="s">
        <v>38543</v>
      </c>
      <c r="E17714" t="s">
        <v>39</v>
      </c>
      <c r="F17714">
        <v>0</v>
      </c>
      <c r="G17714">
        <v>0</v>
      </c>
      <c r="H17714">
        <v>2</v>
      </c>
      <c r="I17714" s="3">
        <v>174.95</v>
      </c>
      <c r="J17714" s="3">
        <v>96.8</v>
      </c>
      <c r="L17714">
        <v>3001</v>
      </c>
      <c r="M17714" t="s">
        <v>34518</v>
      </c>
      <c r="N17714" t="s">
        <v>30</v>
      </c>
      <c r="O17714" t="s">
        <v>31</v>
      </c>
      <c r="P17714" t="str">
        <f>"15214"</f>
        <v>15214</v>
      </c>
    </row>
    <row r="17715" spans="1:16" x14ac:dyDescent="0.25">
      <c r="A17715" t="str">
        <f>"1260077J00054    00"</f>
        <v>1260077J00054    00</v>
      </c>
      <c r="B17715" t="s">
        <v>38544</v>
      </c>
      <c r="C17715" t="s">
        <v>38545</v>
      </c>
      <c r="D17715" t="s">
        <v>20</v>
      </c>
      <c r="E17715" t="s">
        <v>39</v>
      </c>
      <c r="F17715">
        <v>0</v>
      </c>
      <c r="G17715">
        <v>0</v>
      </c>
      <c r="H17715">
        <v>3</v>
      </c>
      <c r="I17715" s="3">
        <v>4969.51</v>
      </c>
      <c r="J17715" s="3">
        <v>251.3</v>
      </c>
      <c r="L17715">
        <v>149</v>
      </c>
      <c r="M17715" t="s">
        <v>4167</v>
      </c>
      <c r="N17715" t="s">
        <v>30</v>
      </c>
      <c r="O17715" t="s">
        <v>31</v>
      </c>
      <c r="P17715" t="str">
        <f>"15214"</f>
        <v>15214</v>
      </c>
    </row>
    <row r="17716" spans="1:16" x14ac:dyDescent="0.25">
      <c r="A17716" t="str">
        <f>"1260077J00084    00"</f>
        <v>1260077J00084    00</v>
      </c>
      <c r="B17716" t="s">
        <v>4165</v>
      </c>
      <c r="C17716" t="s">
        <v>38546</v>
      </c>
      <c r="E17716" t="s">
        <v>39</v>
      </c>
      <c r="F17716">
        <v>0</v>
      </c>
      <c r="G17716">
        <v>0</v>
      </c>
      <c r="H17716">
        <v>3</v>
      </c>
      <c r="I17716" s="3">
        <v>1303.22</v>
      </c>
      <c r="J17716" s="3">
        <v>23.83</v>
      </c>
      <c r="L17716">
        <v>149</v>
      </c>
      <c r="M17716" t="s">
        <v>4167</v>
      </c>
      <c r="N17716" t="s">
        <v>30</v>
      </c>
      <c r="O17716" t="s">
        <v>31</v>
      </c>
      <c r="P17716" t="str">
        <f>"15214"</f>
        <v>15214</v>
      </c>
    </row>
    <row r="17717" spans="1:16" x14ac:dyDescent="0.25">
      <c r="A17717" t="str">
        <f>"1260077J00090    00"</f>
        <v>1260077J00090    00</v>
      </c>
      <c r="B17717" t="s">
        <v>38547</v>
      </c>
      <c r="C17717" t="s">
        <v>38548</v>
      </c>
      <c r="E17717" t="s">
        <v>39</v>
      </c>
      <c r="F17717">
        <v>0</v>
      </c>
      <c r="G17717">
        <v>0</v>
      </c>
      <c r="H17717">
        <v>1</v>
      </c>
      <c r="I17717" s="3">
        <v>329</v>
      </c>
      <c r="J17717" s="3">
        <v>0</v>
      </c>
      <c r="L17717">
        <v>201</v>
      </c>
      <c r="M17717" t="s">
        <v>4167</v>
      </c>
      <c r="N17717" t="s">
        <v>30</v>
      </c>
      <c r="O17717" t="s">
        <v>31</v>
      </c>
      <c r="P17717" t="str">
        <f>"15214"</f>
        <v>15214</v>
      </c>
    </row>
    <row r="17718" spans="1:16" x14ac:dyDescent="0.25">
      <c r="A17718" t="str">
        <f>"1260077J00092    00"</f>
        <v>1260077J00092    00</v>
      </c>
      <c r="B17718" t="s">
        <v>38549</v>
      </c>
      <c r="C17718" t="s">
        <v>38550</v>
      </c>
      <c r="D17718" t="s">
        <v>20</v>
      </c>
      <c r="E17718" t="s">
        <v>39</v>
      </c>
      <c r="F17718">
        <v>0</v>
      </c>
      <c r="G17718">
        <v>0</v>
      </c>
      <c r="H17718">
        <v>6</v>
      </c>
      <c r="I17718" s="3">
        <v>7406.4</v>
      </c>
      <c r="J17718" s="3">
        <v>2240.2600000000002</v>
      </c>
      <c r="L17718">
        <v>3417</v>
      </c>
      <c r="M17718" t="s">
        <v>2647</v>
      </c>
      <c r="N17718" t="s">
        <v>30</v>
      </c>
      <c r="O17718" t="s">
        <v>31</v>
      </c>
      <c r="P17718" t="str">
        <f>"15214"</f>
        <v>15214</v>
      </c>
    </row>
    <row r="17719" spans="1:16" x14ac:dyDescent="0.25">
      <c r="A17719" t="str">
        <f>"1260077J00109    00"</f>
        <v>1260077J00109    00</v>
      </c>
      <c r="B17719" t="s">
        <v>37381</v>
      </c>
      <c r="C17719" t="s">
        <v>38551</v>
      </c>
      <c r="D17719" t="s">
        <v>20</v>
      </c>
      <c r="E17719" t="s">
        <v>39</v>
      </c>
      <c r="F17719">
        <v>0</v>
      </c>
      <c r="G17719">
        <v>0</v>
      </c>
      <c r="H17719">
        <v>2</v>
      </c>
      <c r="I17719" s="3">
        <v>2973.36</v>
      </c>
      <c r="J17719" s="3">
        <v>0</v>
      </c>
      <c r="L17719">
        <v>3338</v>
      </c>
      <c r="M17719" t="s">
        <v>13961</v>
      </c>
      <c r="N17719" t="s">
        <v>30</v>
      </c>
      <c r="O17719" t="s">
        <v>31</v>
      </c>
      <c r="P17719" t="str">
        <f>"15212"</f>
        <v>15212</v>
      </c>
    </row>
    <row r="17720" spans="1:16" x14ac:dyDescent="0.25">
      <c r="A17720" t="str">
        <f>"1260077J00116    00"</f>
        <v>1260077J00116    00</v>
      </c>
      <c r="B17720" t="s">
        <v>38552</v>
      </c>
      <c r="C17720" t="s">
        <v>38553</v>
      </c>
      <c r="D17720" t="s">
        <v>20</v>
      </c>
      <c r="E17720" t="s">
        <v>39</v>
      </c>
      <c r="F17720">
        <v>0</v>
      </c>
      <c r="G17720">
        <v>0</v>
      </c>
      <c r="H17720">
        <v>6</v>
      </c>
      <c r="I17720" s="3">
        <v>8889.9599999999991</v>
      </c>
      <c r="J17720" s="3">
        <v>755.14</v>
      </c>
      <c r="L17720">
        <v>156</v>
      </c>
      <c r="M17720" t="s">
        <v>4167</v>
      </c>
      <c r="N17720" t="s">
        <v>30</v>
      </c>
      <c r="O17720" t="s">
        <v>31</v>
      </c>
      <c r="P17720" t="str">
        <f>"15214"</f>
        <v>15214</v>
      </c>
    </row>
    <row r="17721" spans="1:16" x14ac:dyDescent="0.25">
      <c r="A17721" t="str">
        <f>"1260077J00120    00"</f>
        <v>1260077J00120    00</v>
      </c>
      <c r="B17721" t="s">
        <v>38554</v>
      </c>
      <c r="C17721" t="s">
        <v>38555</v>
      </c>
      <c r="E17721" t="s">
        <v>39</v>
      </c>
      <c r="F17721">
        <v>0</v>
      </c>
      <c r="G17721">
        <v>0</v>
      </c>
      <c r="H17721">
        <v>1</v>
      </c>
      <c r="I17721" s="3">
        <v>1198.17</v>
      </c>
      <c r="J17721" s="3">
        <v>0</v>
      </c>
      <c r="K17721" t="s">
        <v>38556</v>
      </c>
      <c r="L17721">
        <v>151</v>
      </c>
      <c r="M17721" t="s">
        <v>38557</v>
      </c>
      <c r="N17721" t="s">
        <v>30</v>
      </c>
      <c r="O17721" t="s">
        <v>31</v>
      </c>
      <c r="P17721" t="str">
        <f>"15214"</f>
        <v>15214</v>
      </c>
    </row>
    <row r="17722" spans="1:16" x14ac:dyDescent="0.25">
      <c r="A17722" t="str">
        <f>"1260077J00130    00"</f>
        <v>1260077J00130    00</v>
      </c>
      <c r="B17722" t="s">
        <v>38558</v>
      </c>
      <c r="C17722" t="s">
        <v>38559</v>
      </c>
      <c r="D17722" t="s">
        <v>20</v>
      </c>
      <c r="E17722" t="s">
        <v>39</v>
      </c>
      <c r="F17722">
        <v>0</v>
      </c>
      <c r="G17722">
        <v>0</v>
      </c>
      <c r="H17722">
        <v>1</v>
      </c>
      <c r="I17722" s="3">
        <v>1119.3</v>
      </c>
      <c r="J17722" s="3">
        <v>0</v>
      </c>
      <c r="L17722">
        <v>2933</v>
      </c>
      <c r="M17722" t="s">
        <v>38557</v>
      </c>
      <c r="N17722" t="s">
        <v>30</v>
      </c>
      <c r="O17722" t="s">
        <v>31</v>
      </c>
      <c r="P17722" t="str">
        <f>"15214"</f>
        <v>15214</v>
      </c>
    </row>
    <row r="17723" spans="1:16" x14ac:dyDescent="0.25">
      <c r="A17723" t="str">
        <f>"1260077J00206    00"</f>
        <v>1260077J00206    00</v>
      </c>
      <c r="B17723" t="s">
        <v>38560</v>
      </c>
      <c r="C17723" t="s">
        <v>38561</v>
      </c>
      <c r="E17723" t="s">
        <v>39</v>
      </c>
      <c r="F17723">
        <v>0</v>
      </c>
      <c r="G17723">
        <v>0</v>
      </c>
      <c r="H17723">
        <v>1</v>
      </c>
      <c r="I17723" s="3">
        <v>5072.71</v>
      </c>
      <c r="J17723" s="3">
        <v>1394.95</v>
      </c>
      <c r="K17723" t="s">
        <v>10376</v>
      </c>
      <c r="M17723" t="s">
        <v>9730</v>
      </c>
      <c r="N17723" t="s">
        <v>9731</v>
      </c>
      <c r="O17723" t="s">
        <v>108</v>
      </c>
      <c r="P17723" t="str">
        <f>"75019"</f>
        <v>75019</v>
      </c>
    </row>
    <row r="17724" spans="1:16" x14ac:dyDescent="0.25">
      <c r="A17724" t="str">
        <f>"1260077J00211    00"</f>
        <v>1260077J00211    00</v>
      </c>
      <c r="B17724" t="s">
        <v>38562</v>
      </c>
      <c r="C17724" t="s">
        <v>38563</v>
      </c>
      <c r="E17724" t="s">
        <v>39</v>
      </c>
      <c r="F17724">
        <v>0</v>
      </c>
      <c r="G17724">
        <v>0</v>
      </c>
      <c r="H17724">
        <v>4</v>
      </c>
      <c r="I17724" s="3">
        <v>1257.0899999999999</v>
      </c>
      <c r="J17724" s="3">
        <v>514.24</v>
      </c>
      <c r="L17724">
        <v>3015</v>
      </c>
      <c r="M17724" t="s">
        <v>38564</v>
      </c>
      <c r="N17724" t="s">
        <v>30</v>
      </c>
      <c r="O17724" t="s">
        <v>31</v>
      </c>
      <c r="P17724" t="str">
        <f>"15214"</f>
        <v>15214</v>
      </c>
    </row>
    <row r="17725" spans="1:16" x14ac:dyDescent="0.25">
      <c r="A17725" t="str">
        <f>"1260077J00236    00"</f>
        <v>1260077J00236    00</v>
      </c>
      <c r="B17725" t="s">
        <v>38565</v>
      </c>
      <c r="C17725" t="s">
        <v>38566</v>
      </c>
      <c r="D17725" t="s">
        <v>20</v>
      </c>
      <c r="E17725" t="s">
        <v>39</v>
      </c>
      <c r="F17725">
        <v>0</v>
      </c>
      <c r="G17725">
        <v>0</v>
      </c>
      <c r="H17725">
        <v>1</v>
      </c>
      <c r="I17725" s="3">
        <v>1231.28</v>
      </c>
      <c r="J17725" s="3">
        <v>0</v>
      </c>
      <c r="K17725" t="s">
        <v>38567</v>
      </c>
      <c r="L17725">
        <v>1615</v>
      </c>
      <c r="M17725" t="s">
        <v>38568</v>
      </c>
      <c r="N17725" t="s">
        <v>30</v>
      </c>
      <c r="O17725" t="s">
        <v>31</v>
      </c>
      <c r="P17725" t="str">
        <f>"15216"</f>
        <v>15216</v>
      </c>
    </row>
    <row r="17726" spans="1:16" x14ac:dyDescent="0.25">
      <c r="A17726" t="str">
        <f>"1260077J00238    00"</f>
        <v>1260077J00238    00</v>
      </c>
      <c r="B17726" t="s">
        <v>38565</v>
      </c>
      <c r="C17726" t="s">
        <v>38569</v>
      </c>
      <c r="D17726" t="s">
        <v>20</v>
      </c>
      <c r="E17726" t="s">
        <v>39</v>
      </c>
      <c r="F17726">
        <v>0</v>
      </c>
      <c r="G17726">
        <v>0</v>
      </c>
      <c r="H17726">
        <v>1</v>
      </c>
      <c r="I17726" s="3">
        <v>87.68</v>
      </c>
      <c r="J17726" s="3">
        <v>0</v>
      </c>
      <c r="K17726" t="s">
        <v>38567</v>
      </c>
      <c r="L17726">
        <v>1615</v>
      </c>
      <c r="M17726" t="s">
        <v>38568</v>
      </c>
      <c r="N17726" t="s">
        <v>30</v>
      </c>
      <c r="O17726" t="s">
        <v>31</v>
      </c>
      <c r="P17726" t="str">
        <f>"15216"</f>
        <v>15216</v>
      </c>
    </row>
    <row r="17727" spans="1:16" x14ac:dyDescent="0.25">
      <c r="A17727" t="str">
        <f>"1260077J00252    00"</f>
        <v>1260077J00252    00</v>
      </c>
      <c r="B17727" t="s">
        <v>38570</v>
      </c>
      <c r="C17727" t="s">
        <v>38571</v>
      </c>
      <c r="E17727" t="s">
        <v>39</v>
      </c>
      <c r="F17727">
        <v>0</v>
      </c>
      <c r="G17727">
        <v>0</v>
      </c>
      <c r="H17727">
        <v>1</v>
      </c>
      <c r="I17727" s="3">
        <v>966.36</v>
      </c>
      <c r="J17727" s="3">
        <v>0</v>
      </c>
      <c r="K17727" t="s">
        <v>38572</v>
      </c>
      <c r="L17727">
        <v>2922</v>
      </c>
      <c r="M17727" t="s">
        <v>23132</v>
      </c>
      <c r="N17727" t="s">
        <v>30</v>
      </c>
      <c r="O17727" t="s">
        <v>31</v>
      </c>
      <c r="P17727" t="str">
        <f>"15214"</f>
        <v>15214</v>
      </c>
    </row>
    <row r="17728" spans="1:16" x14ac:dyDescent="0.25">
      <c r="A17728" t="str">
        <f>"1260077J00268000100"</f>
        <v>1260077J00268000100</v>
      </c>
      <c r="B17728" t="s">
        <v>38573</v>
      </c>
      <c r="C17728" t="s">
        <v>38574</v>
      </c>
      <c r="D17728" t="s">
        <v>20</v>
      </c>
      <c r="E17728" t="s">
        <v>39</v>
      </c>
      <c r="F17728">
        <v>0</v>
      </c>
      <c r="G17728">
        <v>0</v>
      </c>
      <c r="H17728">
        <v>3</v>
      </c>
      <c r="I17728" s="3">
        <v>1909.89</v>
      </c>
      <c r="J17728" s="3">
        <v>127.32</v>
      </c>
      <c r="K17728" t="s">
        <v>38575</v>
      </c>
      <c r="L17728">
        <v>3006</v>
      </c>
      <c r="M17728" t="s">
        <v>23132</v>
      </c>
      <c r="N17728" t="s">
        <v>30</v>
      </c>
      <c r="O17728" t="s">
        <v>31</v>
      </c>
      <c r="P17728" t="str">
        <f>"15214"</f>
        <v>15214</v>
      </c>
    </row>
    <row r="17729" spans="1:16" x14ac:dyDescent="0.25">
      <c r="A17729" t="str">
        <f>"1260077K00001    00"</f>
        <v>1260077K00001    00</v>
      </c>
      <c r="B17729" t="s">
        <v>38576</v>
      </c>
      <c r="C17729" t="s">
        <v>38577</v>
      </c>
      <c r="E17729" t="s">
        <v>39</v>
      </c>
      <c r="F17729">
        <v>0</v>
      </c>
      <c r="G17729">
        <v>0</v>
      </c>
      <c r="H17729">
        <v>2</v>
      </c>
      <c r="I17729" s="3">
        <v>355.04</v>
      </c>
      <c r="J17729" s="3">
        <v>84.62</v>
      </c>
      <c r="L17729">
        <v>5</v>
      </c>
      <c r="M17729" t="s">
        <v>38578</v>
      </c>
      <c r="N17729" t="s">
        <v>30</v>
      </c>
      <c r="O17729" t="s">
        <v>31</v>
      </c>
      <c r="P17729" t="str">
        <f>"15214"</f>
        <v>15214</v>
      </c>
    </row>
    <row r="17730" spans="1:16" x14ac:dyDescent="0.25">
      <c r="A17730" t="str">
        <f>"1260077K00002    00"</f>
        <v>1260077K00002    00</v>
      </c>
      <c r="B17730" t="s">
        <v>38579</v>
      </c>
      <c r="C17730" t="s">
        <v>38580</v>
      </c>
      <c r="D17730" t="s">
        <v>20</v>
      </c>
      <c r="E17730" t="s">
        <v>39</v>
      </c>
      <c r="F17730">
        <v>0</v>
      </c>
      <c r="G17730">
        <v>0</v>
      </c>
      <c r="H17730">
        <v>2</v>
      </c>
      <c r="I17730" s="3">
        <v>355.94</v>
      </c>
      <c r="J17730" s="3">
        <v>0</v>
      </c>
      <c r="L17730">
        <v>3009</v>
      </c>
      <c r="M17730" t="s">
        <v>38482</v>
      </c>
      <c r="N17730" t="s">
        <v>30</v>
      </c>
      <c r="O17730" t="s">
        <v>31</v>
      </c>
      <c r="P17730" t="str">
        <f>"15214"</f>
        <v>15214</v>
      </c>
    </row>
    <row r="17731" spans="1:16" x14ac:dyDescent="0.25">
      <c r="A17731" t="str">
        <f>"1260077K00003    00"</f>
        <v>1260077K00003    00</v>
      </c>
      <c r="B17731" t="s">
        <v>38581</v>
      </c>
      <c r="C17731" t="s">
        <v>38582</v>
      </c>
      <c r="D17731" t="s">
        <v>20</v>
      </c>
      <c r="E17731" t="s">
        <v>39</v>
      </c>
      <c r="F17731">
        <v>0</v>
      </c>
      <c r="G17731">
        <v>0</v>
      </c>
      <c r="H17731">
        <v>4</v>
      </c>
      <c r="I17731" s="3">
        <v>2047.47</v>
      </c>
      <c r="J17731" s="3">
        <v>277.14999999999998</v>
      </c>
      <c r="L17731">
        <v>5</v>
      </c>
      <c r="M17731" t="s">
        <v>38578</v>
      </c>
      <c r="N17731" t="s">
        <v>30</v>
      </c>
      <c r="O17731" t="s">
        <v>31</v>
      </c>
      <c r="P17731" t="str">
        <f>"15214"</f>
        <v>15214</v>
      </c>
    </row>
    <row r="17732" spans="1:16" x14ac:dyDescent="0.25">
      <c r="A17732" t="str">
        <f>"1260077K00084    00"</f>
        <v>1260077K00084    00</v>
      </c>
      <c r="B17732" t="s">
        <v>38583</v>
      </c>
      <c r="C17732" t="s">
        <v>38584</v>
      </c>
      <c r="D17732" t="s">
        <v>20</v>
      </c>
      <c r="E17732" t="s">
        <v>39</v>
      </c>
      <c r="F17732">
        <v>0</v>
      </c>
      <c r="G17732">
        <v>0</v>
      </c>
      <c r="H17732">
        <v>19</v>
      </c>
      <c r="I17732" s="3">
        <v>7193.48</v>
      </c>
      <c r="J17732" s="3">
        <v>7099.34</v>
      </c>
      <c r="K17732" t="s">
        <v>38585</v>
      </c>
      <c r="L17732">
        <v>567</v>
      </c>
      <c r="M17732" t="s">
        <v>21468</v>
      </c>
      <c r="N17732" t="s">
        <v>30</v>
      </c>
      <c r="O17732" t="s">
        <v>31</v>
      </c>
      <c r="P17732" t="str">
        <f>"15202"</f>
        <v>15202</v>
      </c>
    </row>
    <row r="17733" spans="1:16" x14ac:dyDescent="0.25">
      <c r="A17733" t="str">
        <f>"1260077K00137    00"</f>
        <v>1260077K00137    00</v>
      </c>
      <c r="B17733" t="s">
        <v>38586</v>
      </c>
      <c r="C17733" t="s">
        <v>38584</v>
      </c>
      <c r="D17733" t="s">
        <v>20</v>
      </c>
      <c r="E17733" t="s">
        <v>39</v>
      </c>
      <c r="F17733">
        <v>0</v>
      </c>
      <c r="G17733">
        <v>0</v>
      </c>
      <c r="H17733">
        <v>19</v>
      </c>
      <c r="I17733" s="3">
        <v>6700.56</v>
      </c>
      <c r="J17733" s="3">
        <v>6208.52</v>
      </c>
      <c r="L17733">
        <v>1575</v>
      </c>
      <c r="M17733" t="s">
        <v>38587</v>
      </c>
      <c r="N17733" t="s">
        <v>38588</v>
      </c>
      <c r="O17733" t="s">
        <v>370</v>
      </c>
      <c r="P17733" t="str">
        <f>"33167"</f>
        <v>33167</v>
      </c>
    </row>
    <row r="17734" spans="1:16" x14ac:dyDescent="0.25">
      <c r="A17734" t="str">
        <f>"1260077K00139    00"</f>
        <v>1260077K00139    00</v>
      </c>
      <c r="B17734" t="s">
        <v>38589</v>
      </c>
      <c r="C17734" t="s">
        <v>38584</v>
      </c>
      <c r="D17734" t="s">
        <v>20</v>
      </c>
      <c r="E17734" t="s">
        <v>39</v>
      </c>
      <c r="F17734">
        <v>0</v>
      </c>
      <c r="G17734">
        <v>0</v>
      </c>
      <c r="H17734">
        <v>19</v>
      </c>
      <c r="I17734" s="3">
        <v>5630.04</v>
      </c>
      <c r="J17734" s="3">
        <v>4427.78</v>
      </c>
      <c r="L17734">
        <v>110</v>
      </c>
      <c r="M17734" t="s">
        <v>38578</v>
      </c>
      <c r="N17734" t="s">
        <v>30</v>
      </c>
      <c r="O17734" t="s">
        <v>31</v>
      </c>
      <c r="P17734" t="str">
        <f>"15214"</f>
        <v>15214</v>
      </c>
    </row>
    <row r="17735" spans="1:16" x14ac:dyDescent="0.25">
      <c r="A17735" t="str">
        <f>"1260077K00140    00"</f>
        <v>1260077K00140    00</v>
      </c>
      <c r="B17735" t="s">
        <v>38590</v>
      </c>
      <c r="C17735" t="s">
        <v>38591</v>
      </c>
      <c r="D17735" t="s">
        <v>20</v>
      </c>
      <c r="E17735" t="s">
        <v>39</v>
      </c>
      <c r="F17735">
        <v>0</v>
      </c>
      <c r="G17735">
        <v>0</v>
      </c>
      <c r="H17735">
        <v>4</v>
      </c>
      <c r="I17735" s="3">
        <v>885.53</v>
      </c>
      <c r="J17735" s="3">
        <v>431.01</v>
      </c>
      <c r="K17735" t="s">
        <v>1722</v>
      </c>
      <c r="M17735" t="s">
        <v>1723</v>
      </c>
      <c r="N17735" t="s">
        <v>410</v>
      </c>
      <c r="O17735" t="s">
        <v>31</v>
      </c>
      <c r="P17735" t="str">
        <f>"15701"</f>
        <v>15701</v>
      </c>
    </row>
    <row r="17736" spans="1:16" x14ac:dyDescent="0.25">
      <c r="A17736" t="str">
        <f>"1260077K00144    00"</f>
        <v>1260077K00144    00</v>
      </c>
      <c r="B17736" t="s">
        <v>38592</v>
      </c>
      <c r="C17736" t="s">
        <v>38584</v>
      </c>
      <c r="D17736" t="s">
        <v>20</v>
      </c>
      <c r="E17736" t="s">
        <v>39</v>
      </c>
      <c r="F17736">
        <v>0</v>
      </c>
      <c r="G17736">
        <v>0</v>
      </c>
      <c r="H17736">
        <v>19</v>
      </c>
      <c r="I17736" s="3">
        <v>7780.7</v>
      </c>
      <c r="J17736" s="3">
        <v>7566.83</v>
      </c>
      <c r="L17736">
        <v>106</v>
      </c>
      <c r="M17736" t="s">
        <v>38578</v>
      </c>
      <c r="N17736" t="s">
        <v>30</v>
      </c>
      <c r="O17736" t="s">
        <v>31</v>
      </c>
      <c r="P17736" t="str">
        <f>"15214"</f>
        <v>15214</v>
      </c>
    </row>
    <row r="17737" spans="1:16" x14ac:dyDescent="0.25">
      <c r="A17737" t="str">
        <f>"1260077K00145    00"</f>
        <v>1260077K00145    00</v>
      </c>
      <c r="B17737" t="s">
        <v>38593</v>
      </c>
      <c r="C17737" t="s">
        <v>38594</v>
      </c>
      <c r="D17737" t="s">
        <v>20</v>
      </c>
      <c r="E17737" t="s">
        <v>39</v>
      </c>
      <c r="F17737">
        <v>0</v>
      </c>
      <c r="G17737">
        <v>0</v>
      </c>
      <c r="H17737">
        <v>12</v>
      </c>
      <c r="I17737" s="3">
        <v>7328.1</v>
      </c>
      <c r="J17737" s="3">
        <v>3854.66</v>
      </c>
      <c r="L17737">
        <v>1326</v>
      </c>
      <c r="M17737" t="s">
        <v>38595</v>
      </c>
      <c r="N17737" t="s">
        <v>295</v>
      </c>
      <c r="O17737" t="s">
        <v>31</v>
      </c>
      <c r="P17737" t="str">
        <f>"15146"</f>
        <v>15146</v>
      </c>
    </row>
    <row r="17738" spans="1:16" x14ac:dyDescent="0.25">
      <c r="A17738" t="str">
        <f>"1260077K00146    00"</f>
        <v>1260077K00146    00</v>
      </c>
      <c r="B17738" t="s">
        <v>38596</v>
      </c>
      <c r="C17738" t="s">
        <v>38584</v>
      </c>
      <c r="D17738" t="s">
        <v>20</v>
      </c>
      <c r="E17738" t="s">
        <v>39</v>
      </c>
      <c r="F17738">
        <v>0</v>
      </c>
      <c r="G17738">
        <v>0</v>
      </c>
      <c r="H17738">
        <v>19</v>
      </c>
      <c r="I17738" s="3">
        <v>7167.92</v>
      </c>
      <c r="J17738" s="3">
        <v>7086.53</v>
      </c>
      <c r="L17738">
        <v>102</v>
      </c>
      <c r="M17738" t="s">
        <v>38578</v>
      </c>
      <c r="N17738" t="s">
        <v>30</v>
      </c>
      <c r="O17738" t="s">
        <v>31</v>
      </c>
      <c r="P17738" t="str">
        <f>"15214"</f>
        <v>15214</v>
      </c>
    </row>
    <row r="17739" spans="1:16" x14ac:dyDescent="0.25">
      <c r="A17739" t="str">
        <f>"1260077K00148    00"</f>
        <v>1260077K00148    00</v>
      </c>
      <c r="B17739" t="s">
        <v>38597</v>
      </c>
      <c r="C17739" t="s">
        <v>38598</v>
      </c>
      <c r="D17739" t="s">
        <v>20</v>
      </c>
      <c r="E17739" t="s">
        <v>39</v>
      </c>
      <c r="F17739">
        <v>0</v>
      </c>
      <c r="G17739">
        <v>0</v>
      </c>
      <c r="H17739">
        <v>18</v>
      </c>
      <c r="I17739" s="3">
        <v>16071.94</v>
      </c>
      <c r="J17739" s="3">
        <v>17493.97</v>
      </c>
      <c r="L17739">
        <v>6</v>
      </c>
      <c r="M17739" t="s">
        <v>38578</v>
      </c>
      <c r="N17739" t="s">
        <v>30</v>
      </c>
      <c r="O17739" t="s">
        <v>31</v>
      </c>
      <c r="P17739" t="str">
        <f>"15214"</f>
        <v>15214</v>
      </c>
    </row>
    <row r="17740" spans="1:16" x14ac:dyDescent="0.25">
      <c r="A17740" t="str">
        <f>"1260077K00149    00"</f>
        <v>1260077K00149    00</v>
      </c>
      <c r="B17740" t="s">
        <v>38597</v>
      </c>
      <c r="C17740" t="s">
        <v>38584</v>
      </c>
      <c r="D17740" t="s">
        <v>20</v>
      </c>
      <c r="E17740" t="s">
        <v>39</v>
      </c>
      <c r="F17740">
        <v>0</v>
      </c>
      <c r="G17740">
        <v>0</v>
      </c>
      <c r="H17740">
        <v>18</v>
      </c>
      <c r="I17740" s="3">
        <v>1573.69</v>
      </c>
      <c r="J17740" s="3">
        <v>1370.24</v>
      </c>
      <c r="L17740">
        <v>6</v>
      </c>
      <c r="M17740" t="s">
        <v>38578</v>
      </c>
      <c r="N17740" t="s">
        <v>30</v>
      </c>
      <c r="O17740" t="s">
        <v>31</v>
      </c>
      <c r="P17740" t="str">
        <f>"15214"</f>
        <v>15214</v>
      </c>
    </row>
    <row r="17741" spans="1:16" x14ac:dyDescent="0.25">
      <c r="A17741" t="str">
        <f>"1260077K00150    00"</f>
        <v>1260077K00150    00</v>
      </c>
      <c r="B17741" t="s">
        <v>38597</v>
      </c>
      <c r="C17741" t="s">
        <v>38584</v>
      </c>
      <c r="D17741" t="s">
        <v>20</v>
      </c>
      <c r="E17741" t="s">
        <v>39</v>
      </c>
      <c r="F17741">
        <v>0</v>
      </c>
      <c r="G17741">
        <v>0</v>
      </c>
      <c r="H17741">
        <v>18</v>
      </c>
      <c r="I17741" s="3">
        <v>1638.58</v>
      </c>
      <c r="J17741" s="3">
        <v>1427.83</v>
      </c>
      <c r="L17741">
        <v>6</v>
      </c>
      <c r="M17741" t="s">
        <v>38578</v>
      </c>
      <c r="N17741" t="s">
        <v>30</v>
      </c>
      <c r="O17741" t="s">
        <v>31</v>
      </c>
      <c r="P17741" t="str">
        <f>"15214"</f>
        <v>15214</v>
      </c>
    </row>
    <row r="17742" spans="1:16" x14ac:dyDescent="0.25">
      <c r="A17742" t="str">
        <f>"1260077K00154    00"</f>
        <v>1260077K00154    00</v>
      </c>
      <c r="B17742" t="s">
        <v>38599</v>
      </c>
      <c r="C17742" t="s">
        <v>36257</v>
      </c>
      <c r="D17742" t="s">
        <v>20</v>
      </c>
      <c r="E17742" t="s">
        <v>39</v>
      </c>
      <c r="F17742">
        <v>0</v>
      </c>
      <c r="G17742">
        <v>0</v>
      </c>
      <c r="H17742">
        <v>17</v>
      </c>
      <c r="I17742" s="3">
        <v>5045.43</v>
      </c>
      <c r="J17742" s="3">
        <v>3524.6</v>
      </c>
      <c r="L17742">
        <v>116</v>
      </c>
      <c r="M17742" t="s">
        <v>38600</v>
      </c>
      <c r="N17742" t="s">
        <v>295</v>
      </c>
      <c r="O17742" t="s">
        <v>31</v>
      </c>
      <c r="P17742" t="str">
        <f>"15146"</f>
        <v>15146</v>
      </c>
    </row>
    <row r="17743" spans="1:16" x14ac:dyDescent="0.25">
      <c r="A17743" t="str">
        <f>"1260077K00157    00"</f>
        <v>1260077K00157    00</v>
      </c>
      <c r="B17743" t="s">
        <v>38599</v>
      </c>
      <c r="C17743" t="s">
        <v>36257</v>
      </c>
      <c r="D17743" t="s">
        <v>20</v>
      </c>
      <c r="E17743" t="s">
        <v>39</v>
      </c>
      <c r="F17743">
        <v>0</v>
      </c>
      <c r="G17743">
        <v>0</v>
      </c>
      <c r="H17743">
        <v>17</v>
      </c>
      <c r="I17743" s="3">
        <v>2284.46</v>
      </c>
      <c r="J17743" s="3">
        <v>2010.45</v>
      </c>
      <c r="L17743">
        <v>116</v>
      </c>
      <c r="M17743" t="s">
        <v>38600</v>
      </c>
      <c r="N17743" t="s">
        <v>295</v>
      </c>
      <c r="O17743" t="s">
        <v>31</v>
      </c>
      <c r="P17743" t="str">
        <f>"15146"</f>
        <v>15146</v>
      </c>
    </row>
    <row r="17744" spans="1:16" x14ac:dyDescent="0.25">
      <c r="A17744" t="str">
        <f>"1260077K00159    00"</f>
        <v>1260077K00159    00</v>
      </c>
      <c r="B17744" t="s">
        <v>38599</v>
      </c>
      <c r="C17744" t="s">
        <v>36257</v>
      </c>
      <c r="D17744" t="s">
        <v>20</v>
      </c>
      <c r="E17744" t="s">
        <v>39</v>
      </c>
      <c r="F17744">
        <v>0</v>
      </c>
      <c r="G17744">
        <v>0</v>
      </c>
      <c r="H17744">
        <v>16</v>
      </c>
      <c r="I17744" s="3">
        <v>17907.68</v>
      </c>
      <c r="J17744" s="3">
        <v>12412.68</v>
      </c>
      <c r="L17744">
        <v>116</v>
      </c>
      <c r="M17744" t="s">
        <v>38600</v>
      </c>
      <c r="N17744" t="s">
        <v>295</v>
      </c>
      <c r="O17744" t="s">
        <v>31</v>
      </c>
      <c r="P17744" t="str">
        <f>"15146"</f>
        <v>15146</v>
      </c>
    </row>
    <row r="17745" spans="1:16" x14ac:dyDescent="0.25">
      <c r="A17745" t="str">
        <f>"1260077K00253    00"</f>
        <v>1260077K00253    00</v>
      </c>
      <c r="B17745" t="s">
        <v>38601</v>
      </c>
      <c r="C17745" t="s">
        <v>38602</v>
      </c>
      <c r="E17745" t="s">
        <v>39</v>
      </c>
      <c r="F17745">
        <v>0</v>
      </c>
      <c r="G17745">
        <v>0</v>
      </c>
      <c r="H17745">
        <v>1</v>
      </c>
      <c r="I17745" s="3">
        <v>626.4</v>
      </c>
      <c r="J17745" s="3">
        <v>0</v>
      </c>
      <c r="L17745">
        <v>46</v>
      </c>
      <c r="M17745" t="s">
        <v>38603</v>
      </c>
      <c r="N17745" t="s">
        <v>30</v>
      </c>
      <c r="O17745" t="s">
        <v>31</v>
      </c>
      <c r="P17745" t="str">
        <f>"15214"</f>
        <v>15214</v>
      </c>
    </row>
    <row r="17746" spans="1:16" x14ac:dyDescent="0.25">
      <c r="A17746" t="str">
        <f>"1260077K00265    00"</f>
        <v>1260077K00265    00</v>
      </c>
      <c r="B17746" t="s">
        <v>38604</v>
      </c>
      <c r="C17746" t="s">
        <v>38605</v>
      </c>
      <c r="D17746" t="s">
        <v>20</v>
      </c>
      <c r="E17746" t="s">
        <v>39</v>
      </c>
      <c r="F17746">
        <v>0</v>
      </c>
      <c r="G17746">
        <v>0</v>
      </c>
      <c r="H17746">
        <v>7</v>
      </c>
      <c r="I17746" s="3">
        <v>6550.93</v>
      </c>
      <c r="J17746" s="3">
        <v>1861.79</v>
      </c>
      <c r="L17746">
        <v>24</v>
      </c>
      <c r="M17746" t="s">
        <v>38603</v>
      </c>
      <c r="N17746" t="s">
        <v>30</v>
      </c>
      <c r="O17746" t="s">
        <v>31</v>
      </c>
      <c r="P17746" t="str">
        <f>"15214"</f>
        <v>15214</v>
      </c>
    </row>
    <row r="17747" spans="1:16" x14ac:dyDescent="0.25">
      <c r="A17747" t="str">
        <f>"1260077K00267    00"</f>
        <v>1260077K00267    00</v>
      </c>
      <c r="B17747" t="s">
        <v>38606</v>
      </c>
      <c r="C17747" t="s">
        <v>38607</v>
      </c>
      <c r="D17747" t="s">
        <v>20</v>
      </c>
      <c r="E17747" t="s">
        <v>39</v>
      </c>
      <c r="F17747">
        <v>0</v>
      </c>
      <c r="G17747">
        <v>0</v>
      </c>
      <c r="H17747">
        <v>7</v>
      </c>
      <c r="I17747" s="3">
        <v>6055.23</v>
      </c>
      <c r="J17747" s="3">
        <v>1674.46</v>
      </c>
      <c r="K17747" t="s">
        <v>1127</v>
      </c>
      <c r="M17747" t="s">
        <v>1128</v>
      </c>
      <c r="N17747" t="s">
        <v>1129</v>
      </c>
      <c r="O17747" t="s">
        <v>108</v>
      </c>
      <c r="P17747" t="str">
        <f>"76161"</f>
        <v>76161</v>
      </c>
    </row>
    <row r="17748" spans="1:16" x14ac:dyDescent="0.25">
      <c r="A17748" t="str">
        <f>"1260077K00289    00"</f>
        <v>1260077K00289    00</v>
      </c>
      <c r="B17748" t="s">
        <v>38608</v>
      </c>
      <c r="C17748" t="s">
        <v>38609</v>
      </c>
      <c r="E17748" t="s">
        <v>39</v>
      </c>
      <c r="F17748">
        <v>0</v>
      </c>
      <c r="G17748">
        <v>0</v>
      </c>
      <c r="H17748">
        <v>1</v>
      </c>
      <c r="I17748" s="3">
        <v>173.23</v>
      </c>
      <c r="J17748" s="3">
        <v>0</v>
      </c>
      <c r="L17748">
        <v>31</v>
      </c>
      <c r="M17748" t="s">
        <v>38603</v>
      </c>
      <c r="N17748" t="s">
        <v>30</v>
      </c>
      <c r="O17748" t="s">
        <v>31</v>
      </c>
      <c r="P17748" t="str">
        <f>"15214"</f>
        <v>15214</v>
      </c>
    </row>
    <row r="17749" spans="1:16" x14ac:dyDescent="0.25">
      <c r="A17749" t="str">
        <f>"1260077K00290    00"</f>
        <v>1260077K00290    00</v>
      </c>
      <c r="B17749" t="s">
        <v>38608</v>
      </c>
      <c r="C17749" t="s">
        <v>38610</v>
      </c>
      <c r="E17749" t="s">
        <v>39</v>
      </c>
      <c r="F17749">
        <v>0</v>
      </c>
      <c r="G17749">
        <v>0</v>
      </c>
      <c r="H17749">
        <v>1</v>
      </c>
      <c r="I17749" s="3">
        <v>570.27</v>
      </c>
      <c r="J17749" s="3">
        <v>0</v>
      </c>
      <c r="L17749">
        <v>31</v>
      </c>
      <c r="M17749" t="s">
        <v>38603</v>
      </c>
      <c r="N17749" t="s">
        <v>30</v>
      </c>
      <c r="O17749" t="s">
        <v>31</v>
      </c>
      <c r="P17749" t="str">
        <f>"15214"</f>
        <v>15214</v>
      </c>
    </row>
    <row r="17750" spans="1:16" x14ac:dyDescent="0.25">
      <c r="A17750" t="str">
        <f>"1260077K00331    00"</f>
        <v>1260077K00331    00</v>
      </c>
      <c r="B17750" t="s">
        <v>38611</v>
      </c>
      <c r="C17750" t="s">
        <v>38612</v>
      </c>
      <c r="E17750" t="s">
        <v>39</v>
      </c>
      <c r="F17750">
        <v>0</v>
      </c>
      <c r="G17750">
        <v>0</v>
      </c>
      <c r="H17750">
        <v>1</v>
      </c>
      <c r="I17750" s="3">
        <v>26.42</v>
      </c>
      <c r="J17750" s="3">
        <v>0</v>
      </c>
      <c r="M17750" t="s">
        <v>38613</v>
      </c>
      <c r="N17750" t="s">
        <v>30</v>
      </c>
      <c r="O17750" t="s">
        <v>31</v>
      </c>
      <c r="P17750" t="str">
        <f>"15233"</f>
        <v>15233</v>
      </c>
    </row>
    <row r="17751" spans="1:16" x14ac:dyDescent="0.25">
      <c r="A17751" t="str">
        <f>"1260077L00066    00"</f>
        <v>1260077L00066    00</v>
      </c>
      <c r="B17751" t="s">
        <v>38614</v>
      </c>
      <c r="C17751" t="s">
        <v>35568</v>
      </c>
      <c r="D17751" t="s">
        <v>20</v>
      </c>
      <c r="E17751" t="s">
        <v>39</v>
      </c>
      <c r="F17751">
        <v>0</v>
      </c>
      <c r="G17751">
        <v>0</v>
      </c>
      <c r="H17751">
        <v>19</v>
      </c>
      <c r="I17751" s="3">
        <v>342.86</v>
      </c>
      <c r="J17751" s="3">
        <v>293.64</v>
      </c>
      <c r="K17751" t="s">
        <v>1037</v>
      </c>
      <c r="L17751">
        <v>2920</v>
      </c>
      <c r="M17751" t="s">
        <v>35569</v>
      </c>
      <c r="N17751" t="s">
        <v>30</v>
      </c>
      <c r="O17751" t="s">
        <v>31</v>
      </c>
      <c r="P17751" t="str">
        <f>"15214"</f>
        <v>15214</v>
      </c>
    </row>
    <row r="17752" spans="1:16" x14ac:dyDescent="0.25">
      <c r="A17752" t="str">
        <f>"1260077L00216    00"</f>
        <v>1260077L00216    00</v>
      </c>
      <c r="B17752" t="s">
        <v>38615</v>
      </c>
      <c r="C17752" t="s">
        <v>38616</v>
      </c>
      <c r="D17752" t="s">
        <v>20</v>
      </c>
      <c r="E17752" t="s">
        <v>39</v>
      </c>
      <c r="F17752">
        <v>0</v>
      </c>
      <c r="G17752">
        <v>0</v>
      </c>
      <c r="H17752">
        <v>3</v>
      </c>
      <c r="I17752" s="3">
        <v>2240.21</v>
      </c>
      <c r="J17752" s="3">
        <v>161.18</v>
      </c>
      <c r="K17752" t="s">
        <v>38617</v>
      </c>
      <c r="L17752">
        <v>1651</v>
      </c>
      <c r="M17752" t="s">
        <v>38618</v>
      </c>
      <c r="N17752" t="s">
        <v>30</v>
      </c>
      <c r="O17752" t="s">
        <v>31</v>
      </c>
      <c r="P17752" t="str">
        <f>"15214"</f>
        <v>15214</v>
      </c>
    </row>
    <row r="17753" spans="1:16" x14ac:dyDescent="0.25">
      <c r="A17753" t="str">
        <f>"1260077M00043    00"</f>
        <v>1260077M00043    00</v>
      </c>
      <c r="B17753" t="s">
        <v>38619</v>
      </c>
      <c r="C17753" t="s">
        <v>38620</v>
      </c>
      <c r="D17753" t="s">
        <v>20</v>
      </c>
      <c r="E17753" t="s">
        <v>39</v>
      </c>
      <c r="F17753">
        <v>0</v>
      </c>
      <c r="G17753">
        <v>0</v>
      </c>
      <c r="H17753">
        <v>19</v>
      </c>
      <c r="I17753" s="3">
        <v>16565.62</v>
      </c>
      <c r="J17753" s="3">
        <v>18254.900000000001</v>
      </c>
      <c r="P17753" t="str">
        <f>""</f>
        <v/>
      </c>
    </row>
    <row r="17754" spans="1:16" x14ac:dyDescent="0.25">
      <c r="A17754" t="str">
        <f>"1260077N00002    00"</f>
        <v>1260077N00002    00</v>
      </c>
      <c r="B17754" t="s">
        <v>37423</v>
      </c>
      <c r="C17754" t="s">
        <v>37424</v>
      </c>
      <c r="D17754" t="s">
        <v>20</v>
      </c>
      <c r="E17754" t="s">
        <v>39</v>
      </c>
      <c r="F17754">
        <v>0</v>
      </c>
      <c r="G17754">
        <v>0</v>
      </c>
      <c r="H17754">
        <v>2</v>
      </c>
      <c r="I17754" s="3">
        <v>152.47999999999999</v>
      </c>
      <c r="J17754" s="3">
        <v>0</v>
      </c>
      <c r="K17754" t="s">
        <v>762</v>
      </c>
      <c r="L17754">
        <v>6850</v>
      </c>
      <c r="M17754" t="s">
        <v>763</v>
      </c>
      <c r="N17754" t="s">
        <v>764</v>
      </c>
      <c r="O17754" t="s">
        <v>25</v>
      </c>
      <c r="P17754" t="str">
        <f>"44141"</f>
        <v>44141</v>
      </c>
    </row>
    <row r="17755" spans="1:16" x14ac:dyDescent="0.25">
      <c r="A17755" t="str">
        <f>"1260077N00003    00"</f>
        <v>1260077N00003    00</v>
      </c>
      <c r="B17755" t="s">
        <v>37423</v>
      </c>
      <c r="C17755" t="s">
        <v>37424</v>
      </c>
      <c r="D17755" t="s">
        <v>20</v>
      </c>
      <c r="E17755" t="s">
        <v>39</v>
      </c>
      <c r="F17755">
        <v>0</v>
      </c>
      <c r="G17755">
        <v>0</v>
      </c>
      <c r="H17755">
        <v>2</v>
      </c>
      <c r="I17755" s="3">
        <v>152.47999999999999</v>
      </c>
      <c r="J17755" s="3">
        <v>0</v>
      </c>
      <c r="K17755" t="s">
        <v>762</v>
      </c>
      <c r="L17755">
        <v>6850</v>
      </c>
      <c r="M17755" t="s">
        <v>763</v>
      </c>
      <c r="N17755" t="s">
        <v>764</v>
      </c>
      <c r="O17755" t="s">
        <v>25</v>
      </c>
      <c r="P17755" t="str">
        <f>"44141"</f>
        <v>44141</v>
      </c>
    </row>
    <row r="17756" spans="1:16" x14ac:dyDescent="0.25">
      <c r="A17756" t="str">
        <f>"1260077N00004    00"</f>
        <v>1260077N00004    00</v>
      </c>
      <c r="B17756" t="s">
        <v>38621</v>
      </c>
      <c r="C17756" t="s">
        <v>38622</v>
      </c>
      <c r="D17756" t="s">
        <v>20</v>
      </c>
      <c r="E17756" t="s">
        <v>39</v>
      </c>
      <c r="F17756">
        <v>0</v>
      </c>
      <c r="G17756">
        <v>0</v>
      </c>
      <c r="H17756">
        <v>1</v>
      </c>
      <c r="I17756" s="3">
        <v>383.11</v>
      </c>
      <c r="J17756" s="3">
        <v>0</v>
      </c>
      <c r="K17756" t="s">
        <v>38623</v>
      </c>
      <c r="L17756">
        <v>2276</v>
      </c>
      <c r="M17756" t="s">
        <v>3580</v>
      </c>
      <c r="N17756" t="s">
        <v>30</v>
      </c>
      <c r="O17756" t="s">
        <v>31</v>
      </c>
      <c r="P17756" t="str">
        <f>"15217"</f>
        <v>15217</v>
      </c>
    </row>
    <row r="17757" spans="1:16" x14ac:dyDescent="0.25">
      <c r="A17757" t="str">
        <f>"1260077N00006    00"</f>
        <v>1260077N00006    00</v>
      </c>
      <c r="B17757" t="s">
        <v>38624</v>
      </c>
      <c r="C17757" t="s">
        <v>38625</v>
      </c>
      <c r="D17757" t="s">
        <v>20</v>
      </c>
      <c r="E17757" t="s">
        <v>39</v>
      </c>
      <c r="F17757">
        <v>0</v>
      </c>
      <c r="G17757">
        <v>0</v>
      </c>
      <c r="H17757">
        <v>2</v>
      </c>
      <c r="I17757" s="3">
        <v>777.64</v>
      </c>
      <c r="J17757" s="3">
        <v>0</v>
      </c>
      <c r="L17757">
        <v>5015</v>
      </c>
      <c r="M17757" t="s">
        <v>5927</v>
      </c>
      <c r="N17757" t="s">
        <v>238</v>
      </c>
      <c r="O17757" t="s">
        <v>31</v>
      </c>
      <c r="P17757" t="str">
        <f>"15132"</f>
        <v>15132</v>
      </c>
    </row>
    <row r="17758" spans="1:16" x14ac:dyDescent="0.25">
      <c r="A17758" t="str">
        <f>"1260077N00020    00"</f>
        <v>1260077N00020    00</v>
      </c>
      <c r="B17758" t="s">
        <v>38626</v>
      </c>
      <c r="C17758" t="s">
        <v>38627</v>
      </c>
      <c r="D17758" t="s">
        <v>20</v>
      </c>
      <c r="E17758" t="s">
        <v>39</v>
      </c>
      <c r="F17758">
        <v>0</v>
      </c>
      <c r="G17758">
        <v>0</v>
      </c>
      <c r="H17758">
        <v>2</v>
      </c>
      <c r="I17758" s="3">
        <v>2220.98</v>
      </c>
      <c r="J17758" s="3">
        <v>0</v>
      </c>
      <c r="K17758" t="s">
        <v>881</v>
      </c>
      <c r="L17758">
        <v>3001</v>
      </c>
      <c r="M17758" t="s">
        <v>330</v>
      </c>
      <c r="N17758" t="s">
        <v>331</v>
      </c>
      <c r="O17758" t="s">
        <v>108</v>
      </c>
      <c r="P17758" t="str">
        <f>"75063"</f>
        <v>75063</v>
      </c>
    </row>
    <row r="17759" spans="1:16" x14ac:dyDescent="0.25">
      <c r="A17759" t="str">
        <f>"1260077N00022    00"</f>
        <v>1260077N00022    00</v>
      </c>
      <c r="B17759" t="s">
        <v>38628</v>
      </c>
      <c r="C17759" t="s">
        <v>38629</v>
      </c>
      <c r="D17759" t="s">
        <v>20</v>
      </c>
      <c r="E17759" t="s">
        <v>39</v>
      </c>
      <c r="F17759">
        <v>0</v>
      </c>
      <c r="G17759">
        <v>0</v>
      </c>
      <c r="H17759">
        <v>4</v>
      </c>
      <c r="I17759" s="3">
        <v>2842.52</v>
      </c>
      <c r="J17759" s="3">
        <v>177.47</v>
      </c>
      <c r="L17759">
        <v>334</v>
      </c>
      <c r="M17759" t="s">
        <v>4167</v>
      </c>
      <c r="N17759" t="s">
        <v>30</v>
      </c>
      <c r="O17759" t="s">
        <v>31</v>
      </c>
      <c r="P17759" t="str">
        <f>"15214"</f>
        <v>15214</v>
      </c>
    </row>
    <row r="17760" spans="1:16" x14ac:dyDescent="0.25">
      <c r="A17760" t="str">
        <f>"1260077N00038    00"</f>
        <v>1260077N00038    00</v>
      </c>
      <c r="B17760" t="s">
        <v>38630</v>
      </c>
      <c r="C17760" t="s">
        <v>38631</v>
      </c>
      <c r="D17760" t="s">
        <v>20</v>
      </c>
      <c r="E17760" t="s">
        <v>39</v>
      </c>
      <c r="F17760">
        <v>0</v>
      </c>
      <c r="G17760">
        <v>0</v>
      </c>
      <c r="H17760">
        <v>2</v>
      </c>
      <c r="I17760" s="3">
        <v>265.64</v>
      </c>
      <c r="J17760" s="3">
        <v>0</v>
      </c>
      <c r="L17760">
        <v>312</v>
      </c>
      <c r="M17760" t="s">
        <v>4167</v>
      </c>
      <c r="N17760" t="s">
        <v>30</v>
      </c>
      <c r="O17760" t="s">
        <v>31</v>
      </c>
      <c r="P17760" t="str">
        <f>"15214"</f>
        <v>15214</v>
      </c>
    </row>
    <row r="17761" spans="1:16" x14ac:dyDescent="0.25">
      <c r="A17761" t="str">
        <f>"1260077N00070    00"</f>
        <v>1260077N00070    00</v>
      </c>
      <c r="B17761" t="s">
        <v>38632</v>
      </c>
      <c r="C17761" t="s">
        <v>38633</v>
      </c>
      <c r="E17761" t="s">
        <v>39</v>
      </c>
      <c r="F17761">
        <v>0</v>
      </c>
      <c r="G17761">
        <v>0</v>
      </c>
      <c r="H17761">
        <v>1</v>
      </c>
      <c r="I17761" s="3">
        <v>1022.58</v>
      </c>
      <c r="J17761" s="3">
        <v>306.76</v>
      </c>
      <c r="K17761" t="s">
        <v>1135</v>
      </c>
      <c r="L17761">
        <v>3001</v>
      </c>
      <c r="M17761" t="s">
        <v>330</v>
      </c>
      <c r="N17761" t="s">
        <v>331</v>
      </c>
      <c r="O17761" t="s">
        <v>108</v>
      </c>
      <c r="P17761" t="str">
        <f>"75063"</f>
        <v>75063</v>
      </c>
    </row>
    <row r="17762" spans="1:16" x14ac:dyDescent="0.25">
      <c r="A17762" t="str">
        <f>"1260077N00090    00"</f>
        <v>1260077N00090    00</v>
      </c>
      <c r="B17762" t="s">
        <v>38634</v>
      </c>
      <c r="C17762" t="s">
        <v>38635</v>
      </c>
      <c r="E17762" t="s">
        <v>39</v>
      </c>
      <c r="F17762">
        <v>0</v>
      </c>
      <c r="G17762">
        <v>0</v>
      </c>
      <c r="H17762">
        <v>2</v>
      </c>
      <c r="I17762" s="3">
        <v>72.819999999999993</v>
      </c>
      <c r="J17762" s="3">
        <v>113.04</v>
      </c>
      <c r="K17762" t="s">
        <v>38636</v>
      </c>
      <c r="L17762">
        <v>256</v>
      </c>
      <c r="M17762" t="s">
        <v>986</v>
      </c>
      <c r="N17762" t="s">
        <v>30</v>
      </c>
      <c r="O17762" t="s">
        <v>31</v>
      </c>
      <c r="P17762" t="str">
        <f>"15214"</f>
        <v>15214</v>
      </c>
    </row>
    <row r="17763" spans="1:16" x14ac:dyDescent="0.25">
      <c r="A17763" t="str">
        <f>"1260077N00091    00"</f>
        <v>1260077N00091    00</v>
      </c>
      <c r="B17763" t="s">
        <v>38637</v>
      </c>
      <c r="C17763" t="s">
        <v>38638</v>
      </c>
      <c r="D17763" t="s">
        <v>20</v>
      </c>
      <c r="E17763" t="s">
        <v>39</v>
      </c>
      <c r="F17763">
        <v>0</v>
      </c>
      <c r="G17763">
        <v>0</v>
      </c>
      <c r="H17763">
        <v>7</v>
      </c>
      <c r="I17763" s="3">
        <v>6043.7</v>
      </c>
      <c r="J17763" s="3">
        <v>1444.37</v>
      </c>
      <c r="L17763">
        <v>252</v>
      </c>
      <c r="M17763" t="s">
        <v>986</v>
      </c>
      <c r="N17763" t="s">
        <v>30</v>
      </c>
      <c r="O17763" t="s">
        <v>31</v>
      </c>
      <c r="P17763" t="str">
        <f>"15214"</f>
        <v>15214</v>
      </c>
    </row>
    <row r="17764" spans="1:16" x14ac:dyDescent="0.25">
      <c r="A17764" t="str">
        <f>"1260077N00093    00"</f>
        <v>1260077N00093    00</v>
      </c>
      <c r="B17764" t="s">
        <v>38639</v>
      </c>
      <c r="C17764" t="s">
        <v>38640</v>
      </c>
      <c r="E17764" t="s">
        <v>39</v>
      </c>
      <c r="F17764">
        <v>0</v>
      </c>
      <c r="G17764">
        <v>0</v>
      </c>
      <c r="H17764">
        <v>1</v>
      </c>
      <c r="I17764" s="3">
        <v>44.05</v>
      </c>
      <c r="J17764" s="3">
        <v>0</v>
      </c>
      <c r="L17764">
        <v>248</v>
      </c>
      <c r="M17764" t="s">
        <v>986</v>
      </c>
      <c r="N17764" t="s">
        <v>30</v>
      </c>
      <c r="O17764" t="s">
        <v>31</v>
      </c>
      <c r="P17764" t="str">
        <f>"15214"</f>
        <v>15214</v>
      </c>
    </row>
    <row r="17765" spans="1:16" x14ac:dyDescent="0.25">
      <c r="A17765" t="str">
        <f>"1260077N00095    00"</f>
        <v>1260077N00095    00</v>
      </c>
      <c r="B17765" t="s">
        <v>38641</v>
      </c>
      <c r="C17765" t="s">
        <v>38642</v>
      </c>
      <c r="D17765" t="s">
        <v>20</v>
      </c>
      <c r="E17765" t="s">
        <v>39</v>
      </c>
      <c r="F17765">
        <v>0</v>
      </c>
      <c r="G17765">
        <v>0</v>
      </c>
      <c r="H17765">
        <v>19</v>
      </c>
      <c r="I17765" s="3">
        <v>19754.21</v>
      </c>
      <c r="J17765" s="3">
        <v>12657.47</v>
      </c>
      <c r="P17765" t="str">
        <f>""</f>
        <v/>
      </c>
    </row>
    <row r="17766" spans="1:16" x14ac:dyDescent="0.25">
      <c r="A17766" t="str">
        <f>"1260077N00096    00"</f>
        <v>1260077N00096    00</v>
      </c>
      <c r="B17766" t="s">
        <v>38643</v>
      </c>
      <c r="C17766" t="s">
        <v>38644</v>
      </c>
      <c r="D17766" t="s">
        <v>57</v>
      </c>
      <c r="E17766" t="s">
        <v>39</v>
      </c>
      <c r="F17766">
        <v>0</v>
      </c>
      <c r="G17766">
        <v>0</v>
      </c>
      <c r="H17766">
        <v>1</v>
      </c>
      <c r="I17766" s="3">
        <v>100.66</v>
      </c>
      <c r="J17766" s="3">
        <v>0</v>
      </c>
      <c r="L17766">
        <v>242</v>
      </c>
      <c r="M17766" t="s">
        <v>986</v>
      </c>
      <c r="N17766" t="s">
        <v>30</v>
      </c>
      <c r="O17766" t="s">
        <v>31</v>
      </c>
      <c r="P17766" t="str">
        <f>"15214"</f>
        <v>15214</v>
      </c>
    </row>
    <row r="17767" spans="1:16" x14ac:dyDescent="0.25">
      <c r="A17767" t="str">
        <f>"1260077N00102    00"</f>
        <v>1260077N00102    00</v>
      </c>
      <c r="B17767" t="s">
        <v>38645</v>
      </c>
      <c r="C17767" t="s">
        <v>38646</v>
      </c>
      <c r="D17767" t="s">
        <v>20</v>
      </c>
      <c r="E17767" t="s">
        <v>39</v>
      </c>
      <c r="F17767">
        <v>0</v>
      </c>
      <c r="G17767">
        <v>0</v>
      </c>
      <c r="H17767">
        <v>2</v>
      </c>
      <c r="I17767" s="3">
        <v>2043.24</v>
      </c>
      <c r="J17767" s="3">
        <v>0</v>
      </c>
      <c r="K17767" t="s">
        <v>38647</v>
      </c>
      <c r="L17767">
        <v>146</v>
      </c>
      <c r="M17767" t="s">
        <v>38648</v>
      </c>
      <c r="N17767" t="s">
        <v>38649</v>
      </c>
      <c r="O17767" t="s">
        <v>423</v>
      </c>
      <c r="P17767" t="str">
        <f>"07458"</f>
        <v>07458</v>
      </c>
    </row>
    <row r="17768" spans="1:16" x14ac:dyDescent="0.25">
      <c r="A17768" t="str">
        <f>"1260077N00111    00"</f>
        <v>1260077N00111    00</v>
      </c>
      <c r="B17768" t="s">
        <v>38650</v>
      </c>
      <c r="C17768" t="s">
        <v>38651</v>
      </c>
      <c r="E17768" t="s">
        <v>39</v>
      </c>
      <c r="F17768">
        <v>0</v>
      </c>
      <c r="G17768">
        <v>0</v>
      </c>
      <c r="H17768">
        <v>1</v>
      </c>
      <c r="I17768" s="3">
        <v>536.12</v>
      </c>
      <c r="J17768" s="3">
        <v>0</v>
      </c>
      <c r="K17768" t="s">
        <v>38652</v>
      </c>
      <c r="L17768">
        <v>259</v>
      </c>
      <c r="M17768" t="s">
        <v>986</v>
      </c>
      <c r="N17768" t="s">
        <v>30</v>
      </c>
      <c r="O17768" t="s">
        <v>31</v>
      </c>
      <c r="P17768" t="str">
        <f>"15214"</f>
        <v>15214</v>
      </c>
    </row>
    <row r="17769" spans="1:16" x14ac:dyDescent="0.25">
      <c r="A17769" t="str">
        <f>"1260077N00124    00"</f>
        <v>1260077N00124    00</v>
      </c>
      <c r="B17769" t="s">
        <v>38653</v>
      </c>
      <c r="C17769" t="s">
        <v>38654</v>
      </c>
      <c r="E17769" t="s">
        <v>39</v>
      </c>
      <c r="F17769">
        <v>0</v>
      </c>
      <c r="G17769">
        <v>0</v>
      </c>
      <c r="H17769">
        <v>2</v>
      </c>
      <c r="I17769" s="3">
        <v>900.44</v>
      </c>
      <c r="J17769" s="3">
        <v>152.4</v>
      </c>
      <c r="L17769">
        <v>222</v>
      </c>
      <c r="M17769" t="s">
        <v>26498</v>
      </c>
      <c r="N17769" t="s">
        <v>903</v>
      </c>
      <c r="O17769" t="s">
        <v>31</v>
      </c>
      <c r="P17769" t="str">
        <f>"15136"</f>
        <v>15136</v>
      </c>
    </row>
    <row r="17770" spans="1:16" x14ac:dyDescent="0.25">
      <c r="A17770" t="str">
        <f>"1260077N00129    00"</f>
        <v>1260077N00129    00</v>
      </c>
      <c r="B17770" t="s">
        <v>38655</v>
      </c>
      <c r="C17770" t="s">
        <v>38656</v>
      </c>
      <c r="D17770" t="s">
        <v>20</v>
      </c>
      <c r="E17770" t="s">
        <v>39</v>
      </c>
      <c r="F17770">
        <v>0</v>
      </c>
      <c r="G17770">
        <v>0</v>
      </c>
      <c r="H17770">
        <v>2</v>
      </c>
      <c r="I17770" s="3">
        <v>571.84</v>
      </c>
      <c r="J17770" s="3">
        <v>0</v>
      </c>
      <c r="L17770">
        <v>4004</v>
      </c>
      <c r="M17770" t="s">
        <v>14275</v>
      </c>
      <c r="N17770" t="s">
        <v>30</v>
      </c>
      <c r="O17770" t="s">
        <v>31</v>
      </c>
      <c r="P17770" t="str">
        <f>"15212"</f>
        <v>15212</v>
      </c>
    </row>
    <row r="17771" spans="1:16" x14ac:dyDescent="0.25">
      <c r="A17771" t="str">
        <f>"1260077N00158    00"</f>
        <v>1260077N00158    00</v>
      </c>
      <c r="B17771" t="s">
        <v>38657</v>
      </c>
      <c r="C17771" t="s">
        <v>38658</v>
      </c>
      <c r="E17771" t="s">
        <v>39</v>
      </c>
      <c r="F17771">
        <v>0</v>
      </c>
      <c r="G17771">
        <v>0</v>
      </c>
      <c r="H17771">
        <v>3</v>
      </c>
      <c r="I17771" s="3">
        <v>1054.26</v>
      </c>
      <c r="J17771" s="3">
        <v>436.66</v>
      </c>
      <c r="K17771" t="s">
        <v>38659</v>
      </c>
      <c r="L17771">
        <v>314</v>
      </c>
      <c r="M17771" t="s">
        <v>37027</v>
      </c>
      <c r="N17771" t="s">
        <v>30</v>
      </c>
      <c r="O17771" t="s">
        <v>31</v>
      </c>
      <c r="P17771" t="str">
        <f>"15214"</f>
        <v>15214</v>
      </c>
    </row>
    <row r="17772" spans="1:16" x14ac:dyDescent="0.25">
      <c r="A17772" t="str">
        <f>"1260077N00159    00"</f>
        <v>1260077N00159    00</v>
      </c>
      <c r="B17772" t="s">
        <v>38657</v>
      </c>
      <c r="C17772" t="s">
        <v>38660</v>
      </c>
      <c r="E17772" t="s">
        <v>39</v>
      </c>
      <c r="F17772">
        <v>0</v>
      </c>
      <c r="G17772">
        <v>0</v>
      </c>
      <c r="H17772">
        <v>7</v>
      </c>
      <c r="I17772" s="3">
        <v>456.04</v>
      </c>
      <c r="J17772" s="3">
        <v>275.88</v>
      </c>
      <c r="K17772" t="s">
        <v>38659</v>
      </c>
      <c r="L17772">
        <v>314</v>
      </c>
      <c r="M17772" t="s">
        <v>37027</v>
      </c>
      <c r="N17772" t="s">
        <v>30</v>
      </c>
      <c r="O17772" t="s">
        <v>31</v>
      </c>
      <c r="P17772" t="str">
        <f>"15214"</f>
        <v>15214</v>
      </c>
    </row>
    <row r="17773" spans="1:16" x14ac:dyDescent="0.25">
      <c r="A17773" t="str">
        <f>"1260077N00167    00"</f>
        <v>1260077N00167    00</v>
      </c>
      <c r="B17773" t="s">
        <v>38661</v>
      </c>
      <c r="C17773" t="s">
        <v>38660</v>
      </c>
      <c r="D17773" t="s">
        <v>20</v>
      </c>
      <c r="E17773" t="s">
        <v>39</v>
      </c>
      <c r="F17773">
        <v>0</v>
      </c>
      <c r="G17773">
        <v>0</v>
      </c>
      <c r="H17773">
        <v>19</v>
      </c>
      <c r="I17773" s="3">
        <v>7663.68</v>
      </c>
      <c r="J17773" s="3">
        <v>7414.36</v>
      </c>
      <c r="M17773" t="s">
        <v>38662</v>
      </c>
      <c r="N17773" t="s">
        <v>331</v>
      </c>
      <c r="O17773" t="s">
        <v>108</v>
      </c>
      <c r="P17773" t="str">
        <f>"75014"</f>
        <v>75014</v>
      </c>
    </row>
    <row r="17774" spans="1:16" x14ac:dyDescent="0.25">
      <c r="A17774" t="str">
        <f>"1260077N00180    00"</f>
        <v>1260077N00180    00</v>
      </c>
      <c r="B17774" t="s">
        <v>38663</v>
      </c>
      <c r="C17774" t="s">
        <v>38660</v>
      </c>
      <c r="D17774" t="s">
        <v>20</v>
      </c>
      <c r="E17774" t="s">
        <v>39</v>
      </c>
      <c r="F17774">
        <v>0</v>
      </c>
      <c r="G17774">
        <v>0</v>
      </c>
      <c r="H17774">
        <v>4</v>
      </c>
      <c r="I17774" s="3">
        <v>339.52</v>
      </c>
      <c r="J17774" s="3">
        <v>41.81</v>
      </c>
      <c r="L17774">
        <v>370</v>
      </c>
      <c r="M17774" t="s">
        <v>3799</v>
      </c>
      <c r="N17774" t="s">
        <v>30</v>
      </c>
      <c r="O17774" t="s">
        <v>31</v>
      </c>
      <c r="P17774" t="str">
        <f>"15237"</f>
        <v>15237</v>
      </c>
    </row>
    <row r="17775" spans="1:16" x14ac:dyDescent="0.25">
      <c r="A17775" t="str">
        <f>"1260077N00185    00"</f>
        <v>1260077N00185    00</v>
      </c>
      <c r="B17775" t="s">
        <v>38664</v>
      </c>
      <c r="C17775" t="s">
        <v>38665</v>
      </c>
      <c r="E17775" t="s">
        <v>39</v>
      </c>
      <c r="F17775">
        <v>0</v>
      </c>
      <c r="G17775">
        <v>0</v>
      </c>
      <c r="H17775">
        <v>1</v>
      </c>
      <c r="I17775" s="3">
        <v>421.72</v>
      </c>
      <c r="J17775" s="3">
        <v>94.88</v>
      </c>
      <c r="L17775">
        <v>1559</v>
      </c>
      <c r="M17775" t="s">
        <v>38666</v>
      </c>
      <c r="N17775" t="s">
        <v>30</v>
      </c>
      <c r="O17775" t="s">
        <v>31</v>
      </c>
      <c r="P17775" t="str">
        <f>"15237"</f>
        <v>15237</v>
      </c>
    </row>
    <row r="17776" spans="1:16" x14ac:dyDescent="0.25">
      <c r="A17776" t="str">
        <f>"1260077N00187    00"</f>
        <v>1260077N00187    00</v>
      </c>
      <c r="B17776" t="s">
        <v>38667</v>
      </c>
      <c r="C17776" t="s">
        <v>38668</v>
      </c>
      <c r="D17776" t="s">
        <v>20</v>
      </c>
      <c r="E17776" t="s">
        <v>39</v>
      </c>
      <c r="F17776">
        <v>0</v>
      </c>
      <c r="G17776">
        <v>0</v>
      </c>
      <c r="H17776">
        <v>9</v>
      </c>
      <c r="I17776" s="3">
        <v>7943.46</v>
      </c>
      <c r="J17776" s="3">
        <v>4535.21</v>
      </c>
      <c r="L17776">
        <v>144</v>
      </c>
      <c r="M17776" t="s">
        <v>38669</v>
      </c>
      <c r="N17776" t="s">
        <v>30</v>
      </c>
      <c r="O17776" t="s">
        <v>31</v>
      </c>
      <c r="P17776" t="str">
        <f>"15237"</f>
        <v>15237</v>
      </c>
    </row>
    <row r="17777" spans="1:16" x14ac:dyDescent="0.25">
      <c r="A17777" t="str">
        <f>"1260077N00189    00"</f>
        <v>1260077N00189    00</v>
      </c>
      <c r="B17777" t="s">
        <v>38670</v>
      </c>
      <c r="C17777" t="s">
        <v>37332</v>
      </c>
      <c r="D17777" t="s">
        <v>20</v>
      </c>
      <c r="E17777" t="s">
        <v>39</v>
      </c>
      <c r="F17777">
        <v>0</v>
      </c>
      <c r="G17777">
        <v>0</v>
      </c>
      <c r="H17777">
        <v>19</v>
      </c>
      <c r="I17777" s="3">
        <v>671.59</v>
      </c>
      <c r="J17777" s="3">
        <v>827.41</v>
      </c>
      <c r="K17777" t="s">
        <v>1037</v>
      </c>
      <c r="M17777" t="s">
        <v>38671</v>
      </c>
      <c r="N17777" t="s">
        <v>30</v>
      </c>
      <c r="O17777" t="s">
        <v>31</v>
      </c>
      <c r="P17777" t="str">
        <f>"15214"</f>
        <v>15214</v>
      </c>
    </row>
    <row r="17778" spans="1:16" x14ac:dyDescent="0.25">
      <c r="A17778" t="str">
        <f>"1260077N00207    00"</f>
        <v>1260077N00207    00</v>
      </c>
      <c r="B17778" t="s">
        <v>38672</v>
      </c>
      <c r="C17778" t="s">
        <v>38673</v>
      </c>
      <c r="D17778" t="s">
        <v>20</v>
      </c>
      <c r="E17778" t="s">
        <v>39</v>
      </c>
      <c r="F17778">
        <v>0</v>
      </c>
      <c r="G17778">
        <v>0</v>
      </c>
      <c r="H17778">
        <v>13</v>
      </c>
      <c r="I17778" s="3">
        <v>9976.09</v>
      </c>
      <c r="J17778" s="3">
        <v>5632.05</v>
      </c>
      <c r="K17778" t="s">
        <v>38674</v>
      </c>
      <c r="L17778">
        <v>2424</v>
      </c>
      <c r="M17778" t="s">
        <v>38675</v>
      </c>
      <c r="N17778" t="s">
        <v>509</v>
      </c>
      <c r="O17778" t="s">
        <v>31</v>
      </c>
      <c r="P17778" t="str">
        <f>"19132"</f>
        <v>19132</v>
      </c>
    </row>
    <row r="17779" spans="1:16" x14ac:dyDescent="0.25">
      <c r="A17779" t="str">
        <f>"1260077N00209    00"</f>
        <v>1260077N00209    00</v>
      </c>
      <c r="B17779" t="s">
        <v>38672</v>
      </c>
      <c r="C17779" t="s">
        <v>37341</v>
      </c>
      <c r="D17779" t="s">
        <v>20</v>
      </c>
      <c r="E17779" t="s">
        <v>39</v>
      </c>
      <c r="F17779">
        <v>0</v>
      </c>
      <c r="G17779">
        <v>0</v>
      </c>
      <c r="H17779">
        <v>13</v>
      </c>
      <c r="I17779" s="3">
        <v>395.82</v>
      </c>
      <c r="J17779" s="3">
        <v>238.38</v>
      </c>
      <c r="K17779" t="s">
        <v>38674</v>
      </c>
      <c r="L17779">
        <v>2424</v>
      </c>
      <c r="M17779" t="s">
        <v>38675</v>
      </c>
      <c r="N17779" t="s">
        <v>509</v>
      </c>
      <c r="O17779" t="s">
        <v>31</v>
      </c>
      <c r="P17779" t="str">
        <f>"19132"</f>
        <v>19132</v>
      </c>
    </row>
    <row r="17780" spans="1:16" x14ac:dyDescent="0.25">
      <c r="A17780" t="str">
        <f>"1260077N00224    00"</f>
        <v>1260077N00224    00</v>
      </c>
      <c r="B17780" t="s">
        <v>38676</v>
      </c>
      <c r="C17780" t="s">
        <v>38677</v>
      </c>
      <c r="D17780" t="s">
        <v>20</v>
      </c>
      <c r="E17780" t="s">
        <v>39</v>
      </c>
      <c r="F17780">
        <v>0</v>
      </c>
      <c r="G17780">
        <v>0</v>
      </c>
      <c r="H17780">
        <v>19</v>
      </c>
      <c r="I17780" s="3">
        <v>621.69000000000005</v>
      </c>
      <c r="J17780" s="3">
        <v>658.35</v>
      </c>
      <c r="L17780">
        <v>3087</v>
      </c>
      <c r="M17780" t="s">
        <v>38678</v>
      </c>
      <c r="N17780" t="s">
        <v>9197</v>
      </c>
      <c r="O17780" t="s">
        <v>70</v>
      </c>
      <c r="P17780" t="str">
        <f>"48133"</f>
        <v>48133</v>
      </c>
    </row>
    <row r="17781" spans="1:16" x14ac:dyDescent="0.25">
      <c r="A17781" t="str">
        <f>"1260077N00226    00"</f>
        <v>1260077N00226    00</v>
      </c>
      <c r="B17781" t="s">
        <v>38679</v>
      </c>
      <c r="C17781" t="s">
        <v>38680</v>
      </c>
      <c r="D17781" t="s">
        <v>20</v>
      </c>
      <c r="E17781" t="s">
        <v>39</v>
      </c>
      <c r="F17781">
        <v>0</v>
      </c>
      <c r="G17781">
        <v>0</v>
      </c>
      <c r="H17781">
        <v>5</v>
      </c>
      <c r="I17781" s="3">
        <v>3317.45</v>
      </c>
      <c r="J17781" s="3">
        <v>1212.45</v>
      </c>
      <c r="M17781" t="s">
        <v>2628</v>
      </c>
      <c r="N17781" t="s">
        <v>30</v>
      </c>
      <c r="O17781" t="s">
        <v>31</v>
      </c>
      <c r="P17781" t="str">
        <f>"15213"</f>
        <v>15213</v>
      </c>
    </row>
    <row r="17782" spans="1:16" x14ac:dyDescent="0.25">
      <c r="A17782" t="str">
        <f>"1260077N00227    00"</f>
        <v>1260077N00227    00</v>
      </c>
      <c r="B17782" t="s">
        <v>38676</v>
      </c>
      <c r="C17782" t="s">
        <v>38677</v>
      </c>
      <c r="D17782" t="s">
        <v>20</v>
      </c>
      <c r="E17782" t="s">
        <v>39</v>
      </c>
      <c r="F17782">
        <v>0</v>
      </c>
      <c r="G17782">
        <v>0</v>
      </c>
      <c r="H17782">
        <v>19</v>
      </c>
      <c r="I17782" s="3">
        <v>12864.18</v>
      </c>
      <c r="J17782" s="3">
        <v>12989.29</v>
      </c>
      <c r="L17782">
        <v>3087</v>
      </c>
      <c r="M17782" t="s">
        <v>38678</v>
      </c>
      <c r="N17782" t="s">
        <v>9197</v>
      </c>
      <c r="O17782" t="s">
        <v>70</v>
      </c>
      <c r="P17782" t="str">
        <f>"48133"</f>
        <v>48133</v>
      </c>
    </row>
    <row r="17783" spans="1:16" x14ac:dyDescent="0.25">
      <c r="A17783" t="str">
        <f>"1260077N00228    00"</f>
        <v>1260077N00228    00</v>
      </c>
      <c r="B17783" t="s">
        <v>38681</v>
      </c>
      <c r="C17783" t="s">
        <v>38682</v>
      </c>
      <c r="D17783" t="s">
        <v>20</v>
      </c>
      <c r="E17783" t="s">
        <v>39</v>
      </c>
      <c r="F17783">
        <v>0</v>
      </c>
      <c r="G17783">
        <v>0</v>
      </c>
      <c r="H17783">
        <v>1</v>
      </c>
      <c r="I17783" s="3">
        <v>699.51</v>
      </c>
      <c r="J17783" s="3">
        <v>0</v>
      </c>
      <c r="L17783">
        <v>2704</v>
      </c>
      <c r="M17783" t="s">
        <v>35190</v>
      </c>
      <c r="N17783" t="s">
        <v>30</v>
      </c>
      <c r="O17783" t="s">
        <v>31</v>
      </c>
      <c r="P17783" t="str">
        <f>"15214"</f>
        <v>15214</v>
      </c>
    </row>
    <row r="17784" spans="1:16" x14ac:dyDescent="0.25">
      <c r="A17784" t="str">
        <f>"1260077N00234    00"</f>
        <v>1260077N00234    00</v>
      </c>
      <c r="B17784" t="s">
        <v>38683</v>
      </c>
      <c r="C17784" t="s">
        <v>37341</v>
      </c>
      <c r="D17784" t="s">
        <v>20</v>
      </c>
      <c r="E17784" t="s">
        <v>39</v>
      </c>
      <c r="F17784">
        <v>0</v>
      </c>
      <c r="G17784">
        <v>0</v>
      </c>
      <c r="H17784">
        <v>19</v>
      </c>
      <c r="I17784" s="3">
        <v>610.70000000000005</v>
      </c>
      <c r="J17784" s="3">
        <v>749.47</v>
      </c>
      <c r="L17784">
        <v>181</v>
      </c>
      <c r="M17784" t="s">
        <v>38684</v>
      </c>
      <c r="N17784" t="s">
        <v>30</v>
      </c>
      <c r="O17784" t="s">
        <v>31</v>
      </c>
      <c r="P17784" t="str">
        <f>"15214"</f>
        <v>15214</v>
      </c>
    </row>
    <row r="17785" spans="1:16" x14ac:dyDescent="0.25">
      <c r="A17785" t="str">
        <f>"1260077N00235    00"</f>
        <v>1260077N00235    00</v>
      </c>
      <c r="B17785" t="s">
        <v>38685</v>
      </c>
      <c r="C17785" t="s">
        <v>37341</v>
      </c>
      <c r="D17785" t="s">
        <v>20</v>
      </c>
      <c r="E17785" t="s">
        <v>39</v>
      </c>
      <c r="F17785">
        <v>0</v>
      </c>
      <c r="G17785">
        <v>0</v>
      </c>
      <c r="H17785">
        <v>19</v>
      </c>
      <c r="I17785" s="3">
        <v>718.12</v>
      </c>
      <c r="J17785" s="3">
        <v>874.47</v>
      </c>
      <c r="L17785">
        <v>2721</v>
      </c>
      <c r="M17785" t="s">
        <v>37335</v>
      </c>
      <c r="N17785" t="s">
        <v>30</v>
      </c>
      <c r="O17785" t="s">
        <v>31</v>
      </c>
      <c r="P17785" t="str">
        <f>"15214"</f>
        <v>15214</v>
      </c>
    </row>
    <row r="17786" spans="1:16" x14ac:dyDescent="0.25">
      <c r="A17786" t="str">
        <f>"1260077N00242    00"</f>
        <v>1260077N00242    00</v>
      </c>
      <c r="B17786" t="s">
        <v>38686</v>
      </c>
      <c r="C17786" t="s">
        <v>38687</v>
      </c>
      <c r="D17786" t="s">
        <v>20</v>
      </c>
      <c r="E17786" t="s">
        <v>39</v>
      </c>
      <c r="F17786">
        <v>0</v>
      </c>
      <c r="G17786">
        <v>0</v>
      </c>
      <c r="H17786">
        <v>1</v>
      </c>
      <c r="I17786" s="3">
        <v>177.98</v>
      </c>
      <c r="J17786" s="3">
        <v>0</v>
      </c>
      <c r="L17786">
        <v>2729</v>
      </c>
      <c r="M17786" t="s">
        <v>35190</v>
      </c>
      <c r="N17786" t="s">
        <v>30</v>
      </c>
      <c r="O17786" t="s">
        <v>31</v>
      </c>
      <c r="P17786" t="str">
        <f>"15214"</f>
        <v>15214</v>
      </c>
    </row>
    <row r="17787" spans="1:16" x14ac:dyDescent="0.25">
      <c r="A17787" t="str">
        <f>"1260077N00250    00"</f>
        <v>1260077N00250    00</v>
      </c>
      <c r="B17787" t="s">
        <v>38688</v>
      </c>
      <c r="C17787" t="s">
        <v>38689</v>
      </c>
      <c r="D17787" t="s">
        <v>20</v>
      </c>
      <c r="E17787" t="s">
        <v>39</v>
      </c>
      <c r="F17787">
        <v>0</v>
      </c>
      <c r="G17787">
        <v>0</v>
      </c>
      <c r="H17787">
        <v>5</v>
      </c>
      <c r="I17787" s="3">
        <v>4846.5</v>
      </c>
      <c r="J17787" s="3">
        <v>833.95</v>
      </c>
      <c r="L17787">
        <v>9</v>
      </c>
      <c r="M17787" t="s">
        <v>38690</v>
      </c>
      <c r="N17787" t="s">
        <v>30</v>
      </c>
      <c r="O17787" t="s">
        <v>31</v>
      </c>
      <c r="P17787" t="str">
        <f>"15235"</f>
        <v>15235</v>
      </c>
    </row>
    <row r="17788" spans="1:16" x14ac:dyDescent="0.25">
      <c r="A17788" t="str">
        <f>"1260077N00252    00"</f>
        <v>1260077N00252    00</v>
      </c>
      <c r="B17788" t="s">
        <v>38691</v>
      </c>
      <c r="C17788" t="s">
        <v>38692</v>
      </c>
      <c r="D17788" t="s">
        <v>20</v>
      </c>
      <c r="E17788" t="s">
        <v>39</v>
      </c>
      <c r="F17788">
        <v>0</v>
      </c>
      <c r="G17788">
        <v>0</v>
      </c>
      <c r="H17788">
        <v>4</v>
      </c>
      <c r="I17788" s="3">
        <v>339.52</v>
      </c>
      <c r="J17788" s="3">
        <v>41.13</v>
      </c>
      <c r="K17788" t="s">
        <v>37248</v>
      </c>
      <c r="L17788">
        <v>3001</v>
      </c>
      <c r="M17788" t="s">
        <v>330</v>
      </c>
      <c r="N17788" t="s">
        <v>331</v>
      </c>
      <c r="O17788" t="s">
        <v>108</v>
      </c>
      <c r="P17788" t="str">
        <f>"75063"</f>
        <v>75063</v>
      </c>
    </row>
    <row r="17789" spans="1:16" x14ac:dyDescent="0.25">
      <c r="A17789" t="str">
        <f>"1260077N00278    00"</f>
        <v>1260077N00278    00</v>
      </c>
      <c r="B17789" t="s">
        <v>38693</v>
      </c>
      <c r="C17789" t="s">
        <v>38694</v>
      </c>
      <c r="D17789" t="s">
        <v>20</v>
      </c>
      <c r="E17789" t="s">
        <v>39</v>
      </c>
      <c r="F17789">
        <v>0</v>
      </c>
      <c r="G17789">
        <v>0</v>
      </c>
      <c r="H17789">
        <v>3</v>
      </c>
      <c r="I17789" s="3">
        <v>1612.12</v>
      </c>
      <c r="J17789" s="3">
        <v>196.61</v>
      </c>
      <c r="L17789">
        <v>124</v>
      </c>
      <c r="M17789" t="s">
        <v>38695</v>
      </c>
      <c r="N17789" t="s">
        <v>30</v>
      </c>
      <c r="O17789" t="s">
        <v>31</v>
      </c>
      <c r="P17789" t="str">
        <f>"15214"</f>
        <v>15214</v>
      </c>
    </row>
    <row r="17790" spans="1:16" x14ac:dyDescent="0.25">
      <c r="A17790" t="str">
        <f>"1260077N00286    00"</f>
        <v>1260077N00286    00</v>
      </c>
      <c r="B17790" t="s">
        <v>38696</v>
      </c>
      <c r="C17790" t="s">
        <v>38697</v>
      </c>
      <c r="D17790" t="s">
        <v>20</v>
      </c>
      <c r="E17790" t="s">
        <v>39</v>
      </c>
      <c r="F17790">
        <v>0</v>
      </c>
      <c r="G17790">
        <v>0</v>
      </c>
      <c r="H17790">
        <v>11</v>
      </c>
      <c r="I17790" s="3">
        <v>14627.87</v>
      </c>
      <c r="J17790" s="3">
        <v>6981.37</v>
      </c>
      <c r="K17790" t="s">
        <v>38698</v>
      </c>
      <c r="M17790" t="s">
        <v>38699</v>
      </c>
      <c r="N17790" t="s">
        <v>30</v>
      </c>
      <c r="O17790" t="s">
        <v>31</v>
      </c>
      <c r="P17790" t="str">
        <f>"15233"</f>
        <v>15233</v>
      </c>
    </row>
    <row r="17791" spans="1:16" x14ac:dyDescent="0.25">
      <c r="A17791" t="str">
        <f>"1260077N00305    00"</f>
        <v>1260077N00305    00</v>
      </c>
      <c r="B17791" t="s">
        <v>38700</v>
      </c>
      <c r="C17791" t="s">
        <v>38701</v>
      </c>
      <c r="D17791" t="s">
        <v>20</v>
      </c>
      <c r="E17791" t="s">
        <v>39</v>
      </c>
      <c r="F17791">
        <v>0</v>
      </c>
      <c r="G17791">
        <v>0</v>
      </c>
      <c r="H17791">
        <v>4</v>
      </c>
      <c r="I17791" s="3">
        <v>4829.8</v>
      </c>
      <c r="J17791" s="3">
        <v>20.02</v>
      </c>
      <c r="L17791">
        <v>156</v>
      </c>
      <c r="M17791" t="s">
        <v>4167</v>
      </c>
      <c r="N17791" t="s">
        <v>30</v>
      </c>
      <c r="O17791" t="s">
        <v>31</v>
      </c>
      <c r="P17791" t="str">
        <f>"15214"</f>
        <v>15214</v>
      </c>
    </row>
    <row r="17792" spans="1:16" x14ac:dyDescent="0.25">
      <c r="A17792" t="str">
        <f>"1260077N00309    00"</f>
        <v>1260077N00309    00</v>
      </c>
      <c r="B17792" t="s">
        <v>38702</v>
      </c>
      <c r="C17792" t="s">
        <v>38703</v>
      </c>
      <c r="D17792" t="s">
        <v>20</v>
      </c>
      <c r="E17792" t="s">
        <v>39</v>
      </c>
      <c r="F17792">
        <v>0</v>
      </c>
      <c r="G17792">
        <v>0</v>
      </c>
      <c r="H17792">
        <v>2</v>
      </c>
      <c r="I17792" s="3">
        <v>1828.28</v>
      </c>
      <c r="J17792" s="3">
        <v>0</v>
      </c>
      <c r="L17792">
        <v>129</v>
      </c>
      <c r="M17792" t="s">
        <v>38704</v>
      </c>
      <c r="N17792" t="s">
        <v>30</v>
      </c>
      <c r="O17792" t="s">
        <v>31</v>
      </c>
      <c r="P17792" t="str">
        <f>"15237"</f>
        <v>15237</v>
      </c>
    </row>
    <row r="17793" spans="1:16" x14ac:dyDescent="0.25">
      <c r="A17793" t="str">
        <f>"1260077N00320    00"</f>
        <v>1260077N00320    00</v>
      </c>
      <c r="B17793" t="s">
        <v>38705</v>
      </c>
      <c r="C17793" t="s">
        <v>38706</v>
      </c>
      <c r="D17793" t="s">
        <v>20</v>
      </c>
      <c r="E17793" t="s">
        <v>39</v>
      </c>
      <c r="F17793">
        <v>0</v>
      </c>
      <c r="G17793">
        <v>0</v>
      </c>
      <c r="H17793">
        <v>8</v>
      </c>
      <c r="I17793" s="3">
        <v>953.94</v>
      </c>
      <c r="J17793" s="3">
        <v>288.85000000000002</v>
      </c>
      <c r="L17793">
        <v>113</v>
      </c>
      <c r="M17793" t="s">
        <v>38428</v>
      </c>
      <c r="N17793" t="s">
        <v>30</v>
      </c>
      <c r="O17793" t="s">
        <v>31</v>
      </c>
      <c r="P17793" t="str">
        <f>"15214"</f>
        <v>15214</v>
      </c>
    </row>
    <row r="17794" spans="1:16" x14ac:dyDescent="0.25">
      <c r="A17794" t="str">
        <f>"1260077N00329    00"</f>
        <v>1260077N00329    00</v>
      </c>
      <c r="B17794" t="s">
        <v>38707</v>
      </c>
      <c r="C17794" t="s">
        <v>38708</v>
      </c>
      <c r="D17794" t="s">
        <v>20</v>
      </c>
      <c r="E17794" t="s">
        <v>39</v>
      </c>
      <c r="F17794">
        <v>0</v>
      </c>
      <c r="G17794">
        <v>0</v>
      </c>
      <c r="H17794">
        <v>18</v>
      </c>
      <c r="I17794" s="3">
        <v>24552.09</v>
      </c>
      <c r="J17794" s="3">
        <v>20515.37</v>
      </c>
      <c r="K17794" t="s">
        <v>38709</v>
      </c>
      <c r="L17794">
        <v>1114</v>
      </c>
      <c r="M17794" t="s">
        <v>38710</v>
      </c>
      <c r="N17794" t="s">
        <v>38711</v>
      </c>
      <c r="O17794" t="s">
        <v>2097</v>
      </c>
      <c r="P17794" t="str">
        <f>"37659"</f>
        <v>37659</v>
      </c>
    </row>
    <row r="17795" spans="1:16" x14ac:dyDescent="0.25">
      <c r="A17795" t="str">
        <f>"1260077N00341    00"</f>
        <v>1260077N00341    00</v>
      </c>
      <c r="B17795" t="s">
        <v>38712</v>
      </c>
      <c r="C17795" t="s">
        <v>38713</v>
      </c>
      <c r="D17795" t="s">
        <v>20</v>
      </c>
      <c r="E17795" t="s">
        <v>39</v>
      </c>
      <c r="F17795">
        <v>0</v>
      </c>
      <c r="G17795">
        <v>0</v>
      </c>
      <c r="H17795">
        <v>19</v>
      </c>
      <c r="I17795" s="3">
        <v>15156.42</v>
      </c>
      <c r="J17795" s="3">
        <v>14404.45</v>
      </c>
      <c r="L17795">
        <v>655</v>
      </c>
      <c r="M17795" t="s">
        <v>13218</v>
      </c>
      <c r="N17795" t="s">
        <v>6718</v>
      </c>
      <c r="O17795" t="s">
        <v>108</v>
      </c>
      <c r="P17795" t="str">
        <f>"77477"</f>
        <v>77477</v>
      </c>
    </row>
    <row r="17796" spans="1:16" x14ac:dyDescent="0.25">
      <c r="A17796" t="str">
        <f>"1260077N00342    00"</f>
        <v>1260077N00342    00</v>
      </c>
      <c r="B17796" t="s">
        <v>38714</v>
      </c>
      <c r="C17796" t="s">
        <v>37360</v>
      </c>
      <c r="D17796" t="s">
        <v>20</v>
      </c>
      <c r="E17796" t="s">
        <v>39</v>
      </c>
      <c r="F17796">
        <v>0</v>
      </c>
      <c r="G17796">
        <v>0</v>
      </c>
      <c r="H17796">
        <v>19</v>
      </c>
      <c r="I17796" s="3">
        <v>811.39</v>
      </c>
      <c r="J17796" s="3">
        <v>968.79</v>
      </c>
      <c r="K17796" t="s">
        <v>1037</v>
      </c>
      <c r="L17796">
        <v>2658</v>
      </c>
      <c r="M17796" t="s">
        <v>35190</v>
      </c>
      <c r="N17796" t="s">
        <v>30</v>
      </c>
      <c r="O17796" t="s">
        <v>31</v>
      </c>
      <c r="P17796" t="str">
        <f>"15214"</f>
        <v>15214</v>
      </c>
    </row>
    <row r="17797" spans="1:16" x14ac:dyDescent="0.25">
      <c r="A17797" t="str">
        <f>"1260077N00350    00"</f>
        <v>1260077N00350    00</v>
      </c>
      <c r="B17797" t="s">
        <v>38715</v>
      </c>
      <c r="C17797" t="s">
        <v>38716</v>
      </c>
      <c r="D17797" t="s">
        <v>20</v>
      </c>
      <c r="E17797" t="s">
        <v>39</v>
      </c>
      <c r="F17797">
        <v>0</v>
      </c>
      <c r="G17797">
        <v>0</v>
      </c>
      <c r="H17797">
        <v>12</v>
      </c>
      <c r="I17797" s="3">
        <v>9614.24</v>
      </c>
      <c r="J17797" s="3">
        <v>5313.9</v>
      </c>
      <c r="L17797">
        <v>2656</v>
      </c>
      <c r="M17797" t="s">
        <v>37335</v>
      </c>
      <c r="N17797" t="s">
        <v>30</v>
      </c>
      <c r="O17797" t="s">
        <v>31</v>
      </c>
      <c r="P17797" t="str">
        <f>"15214"</f>
        <v>15214</v>
      </c>
    </row>
    <row r="17798" spans="1:16" x14ac:dyDescent="0.25">
      <c r="A17798" t="str">
        <f>"1260077N00352    00"</f>
        <v>1260077N00352    00</v>
      </c>
      <c r="B17798" t="s">
        <v>38717</v>
      </c>
      <c r="C17798" t="s">
        <v>37341</v>
      </c>
      <c r="D17798" t="s">
        <v>20</v>
      </c>
      <c r="E17798" t="s">
        <v>39</v>
      </c>
      <c r="F17798">
        <v>0</v>
      </c>
      <c r="G17798">
        <v>0</v>
      </c>
      <c r="H17798">
        <v>19</v>
      </c>
      <c r="I17798" s="3">
        <v>7764.07</v>
      </c>
      <c r="J17798" s="3">
        <v>8506.16</v>
      </c>
      <c r="L17798">
        <v>3523</v>
      </c>
      <c r="M17798" t="s">
        <v>35783</v>
      </c>
      <c r="N17798" t="s">
        <v>30</v>
      </c>
      <c r="O17798" t="s">
        <v>31</v>
      </c>
      <c r="P17798" t="str">
        <f>"15212"</f>
        <v>15212</v>
      </c>
    </row>
    <row r="17799" spans="1:16" x14ac:dyDescent="0.25">
      <c r="A17799" t="str">
        <f>"1260077N00353    00"</f>
        <v>1260077N00353    00</v>
      </c>
      <c r="B17799" t="s">
        <v>38718</v>
      </c>
      <c r="C17799" t="s">
        <v>37341</v>
      </c>
      <c r="D17799" t="s">
        <v>20</v>
      </c>
      <c r="E17799" t="s">
        <v>39</v>
      </c>
      <c r="F17799">
        <v>0</v>
      </c>
      <c r="G17799">
        <v>0</v>
      </c>
      <c r="H17799">
        <v>19</v>
      </c>
      <c r="I17799" s="3">
        <v>13677.52</v>
      </c>
      <c r="J17799" s="3">
        <v>17270.43</v>
      </c>
      <c r="L17799">
        <v>238</v>
      </c>
      <c r="M17799" t="s">
        <v>38719</v>
      </c>
      <c r="N17799" t="s">
        <v>30</v>
      </c>
      <c r="O17799" t="s">
        <v>31</v>
      </c>
      <c r="P17799" t="str">
        <f>"15235"</f>
        <v>15235</v>
      </c>
    </row>
    <row r="17800" spans="1:16" x14ac:dyDescent="0.25">
      <c r="A17800" t="str">
        <f>"1260077N00356    00"</f>
        <v>1260077N00356    00</v>
      </c>
      <c r="B17800" t="s">
        <v>38720</v>
      </c>
      <c r="C17800" t="s">
        <v>38721</v>
      </c>
      <c r="D17800" t="s">
        <v>20</v>
      </c>
      <c r="E17800" t="s">
        <v>39</v>
      </c>
      <c r="F17800">
        <v>0</v>
      </c>
      <c r="G17800">
        <v>0</v>
      </c>
      <c r="H17800">
        <v>8</v>
      </c>
      <c r="I17800" s="3">
        <v>6287.92</v>
      </c>
      <c r="J17800" s="3">
        <v>2057.5100000000002</v>
      </c>
      <c r="L17800">
        <v>2328</v>
      </c>
      <c r="M17800" t="s">
        <v>2747</v>
      </c>
      <c r="N17800" t="s">
        <v>30</v>
      </c>
      <c r="O17800" t="s">
        <v>31</v>
      </c>
      <c r="P17800" t="str">
        <f>"15214"</f>
        <v>15214</v>
      </c>
    </row>
    <row r="17801" spans="1:16" x14ac:dyDescent="0.25">
      <c r="A17801" t="str">
        <f>"1260077N00357    00"</f>
        <v>1260077N00357    00</v>
      </c>
      <c r="B17801" t="s">
        <v>38722</v>
      </c>
      <c r="C17801" t="s">
        <v>38723</v>
      </c>
      <c r="D17801" t="s">
        <v>20</v>
      </c>
      <c r="E17801" t="s">
        <v>39</v>
      </c>
      <c r="F17801">
        <v>0</v>
      </c>
      <c r="G17801">
        <v>0</v>
      </c>
      <c r="H17801">
        <v>12</v>
      </c>
      <c r="I17801" s="3">
        <v>877.32</v>
      </c>
      <c r="J17801" s="3">
        <v>492.75</v>
      </c>
      <c r="L17801">
        <v>2659</v>
      </c>
      <c r="M17801" t="s">
        <v>37501</v>
      </c>
      <c r="N17801" t="s">
        <v>30</v>
      </c>
      <c r="O17801" t="s">
        <v>31</v>
      </c>
      <c r="P17801" t="str">
        <f>"15214"</f>
        <v>15214</v>
      </c>
    </row>
    <row r="17802" spans="1:16" x14ac:dyDescent="0.25">
      <c r="A17802" t="str">
        <f>"1260077N00358    00"</f>
        <v>1260077N00358    00</v>
      </c>
      <c r="B17802" t="s">
        <v>38724</v>
      </c>
      <c r="C17802" t="s">
        <v>38725</v>
      </c>
      <c r="D17802" t="s">
        <v>20</v>
      </c>
      <c r="E17802" t="s">
        <v>39</v>
      </c>
      <c r="F17802">
        <v>0</v>
      </c>
      <c r="G17802">
        <v>0</v>
      </c>
      <c r="H17802">
        <v>16</v>
      </c>
      <c r="I17802" s="3">
        <v>7032.77</v>
      </c>
      <c r="J17802" s="3">
        <v>5031.0200000000004</v>
      </c>
      <c r="L17802">
        <v>533</v>
      </c>
      <c r="M17802" t="s">
        <v>17040</v>
      </c>
      <c r="N17802" t="s">
        <v>38726</v>
      </c>
      <c r="O17802" t="s">
        <v>31</v>
      </c>
      <c r="P17802" t="str">
        <f>"15062"</f>
        <v>15062</v>
      </c>
    </row>
    <row r="17803" spans="1:16" x14ac:dyDescent="0.25">
      <c r="A17803" t="str">
        <f>"1260077N00359    00"</f>
        <v>1260077N00359    00</v>
      </c>
      <c r="B17803" t="s">
        <v>38727</v>
      </c>
      <c r="C17803" t="s">
        <v>37332</v>
      </c>
      <c r="D17803" t="s">
        <v>20</v>
      </c>
      <c r="E17803" t="s">
        <v>39</v>
      </c>
      <c r="F17803">
        <v>0</v>
      </c>
      <c r="G17803">
        <v>0</v>
      </c>
      <c r="H17803">
        <v>18</v>
      </c>
      <c r="I17803" s="3">
        <v>16325.52</v>
      </c>
      <c r="J17803" s="3">
        <v>16583.05</v>
      </c>
      <c r="L17803">
        <v>2649</v>
      </c>
      <c r="M17803" t="s">
        <v>37501</v>
      </c>
      <c r="N17803" t="s">
        <v>30</v>
      </c>
      <c r="O17803" t="s">
        <v>31</v>
      </c>
      <c r="P17803" t="str">
        <f>"15214"</f>
        <v>15214</v>
      </c>
    </row>
    <row r="17804" spans="1:16" x14ac:dyDescent="0.25">
      <c r="A17804" t="str">
        <f>"1260077P00003    00"</f>
        <v>1260077P00003    00</v>
      </c>
      <c r="B17804" t="s">
        <v>37918</v>
      </c>
      <c r="C17804" t="s">
        <v>38728</v>
      </c>
      <c r="D17804" t="s">
        <v>20</v>
      </c>
      <c r="E17804" t="s">
        <v>39</v>
      </c>
      <c r="F17804">
        <v>0</v>
      </c>
      <c r="G17804">
        <v>0</v>
      </c>
      <c r="H17804">
        <v>1</v>
      </c>
      <c r="I17804" s="3">
        <v>770.04</v>
      </c>
      <c r="J17804" s="3">
        <v>0</v>
      </c>
      <c r="L17804">
        <v>901</v>
      </c>
      <c r="M17804" t="s">
        <v>38729</v>
      </c>
      <c r="N17804" t="s">
        <v>30</v>
      </c>
      <c r="O17804" t="s">
        <v>31</v>
      </c>
      <c r="P17804" t="str">
        <f>"15221"</f>
        <v>15221</v>
      </c>
    </row>
    <row r="17805" spans="1:16" x14ac:dyDescent="0.25">
      <c r="A17805" t="str">
        <f>"1260077P00005    00"</f>
        <v>1260077P00005    00</v>
      </c>
      <c r="B17805" t="s">
        <v>38730</v>
      </c>
      <c r="C17805" t="s">
        <v>38731</v>
      </c>
      <c r="D17805" t="s">
        <v>20</v>
      </c>
      <c r="E17805" t="s">
        <v>39</v>
      </c>
      <c r="F17805">
        <v>0</v>
      </c>
      <c r="G17805">
        <v>0</v>
      </c>
      <c r="H17805">
        <v>13</v>
      </c>
      <c r="I17805" s="3">
        <v>7381.95</v>
      </c>
      <c r="J17805" s="3">
        <v>3901.95</v>
      </c>
      <c r="L17805">
        <v>1114</v>
      </c>
      <c r="M17805" t="s">
        <v>17425</v>
      </c>
      <c r="N17805" t="s">
        <v>30</v>
      </c>
      <c r="O17805" t="s">
        <v>31</v>
      </c>
      <c r="P17805" t="str">
        <f>"15233"</f>
        <v>15233</v>
      </c>
    </row>
    <row r="17806" spans="1:16" x14ac:dyDescent="0.25">
      <c r="A17806" t="str">
        <f>"1260077P00006    00"</f>
        <v>1260077P00006    00</v>
      </c>
      <c r="B17806" t="s">
        <v>38732</v>
      </c>
      <c r="C17806" t="s">
        <v>38733</v>
      </c>
      <c r="D17806" t="s">
        <v>20</v>
      </c>
      <c r="E17806" t="s">
        <v>39</v>
      </c>
      <c r="F17806">
        <v>0</v>
      </c>
      <c r="G17806">
        <v>0</v>
      </c>
      <c r="H17806">
        <v>19</v>
      </c>
      <c r="I17806" s="3">
        <v>6086.1</v>
      </c>
      <c r="J17806" s="3">
        <v>7009.32</v>
      </c>
      <c r="L17806">
        <v>226</v>
      </c>
      <c r="M17806" t="s">
        <v>986</v>
      </c>
      <c r="N17806" t="s">
        <v>30</v>
      </c>
      <c r="O17806" t="s">
        <v>31</v>
      </c>
      <c r="P17806" t="str">
        <f>"15214"</f>
        <v>15214</v>
      </c>
    </row>
    <row r="17807" spans="1:16" x14ac:dyDescent="0.25">
      <c r="A17807" t="str">
        <f>"1260077P00022    00"</f>
        <v>1260077P00022    00</v>
      </c>
      <c r="B17807" t="s">
        <v>38734</v>
      </c>
      <c r="C17807" t="s">
        <v>38735</v>
      </c>
      <c r="D17807" t="s">
        <v>20</v>
      </c>
      <c r="E17807" t="s">
        <v>39</v>
      </c>
      <c r="F17807">
        <v>0</v>
      </c>
      <c r="G17807">
        <v>0</v>
      </c>
      <c r="H17807">
        <v>1</v>
      </c>
      <c r="I17807" s="3">
        <v>933.94</v>
      </c>
      <c r="J17807" s="3">
        <v>0</v>
      </c>
      <c r="L17807">
        <v>336</v>
      </c>
      <c r="M17807" t="s">
        <v>1822</v>
      </c>
      <c r="N17807" t="s">
        <v>1823</v>
      </c>
      <c r="O17807" t="s">
        <v>31</v>
      </c>
      <c r="P17807" t="str">
        <f>"15024"</f>
        <v>15024</v>
      </c>
    </row>
    <row r="17808" spans="1:16" x14ac:dyDescent="0.25">
      <c r="A17808" t="str">
        <f>"1260077P00036    00"</f>
        <v>1260077P00036    00</v>
      </c>
      <c r="B17808" t="s">
        <v>38736</v>
      </c>
      <c r="C17808" t="s">
        <v>38737</v>
      </c>
      <c r="D17808" t="s">
        <v>20</v>
      </c>
      <c r="E17808" t="s">
        <v>39</v>
      </c>
      <c r="F17808">
        <v>0</v>
      </c>
      <c r="G17808">
        <v>0</v>
      </c>
      <c r="H17808">
        <v>1</v>
      </c>
      <c r="I17808" s="3">
        <v>409.41</v>
      </c>
      <c r="J17808" s="3">
        <v>112.58</v>
      </c>
      <c r="L17808">
        <v>134</v>
      </c>
      <c r="M17808" t="s">
        <v>986</v>
      </c>
      <c r="N17808" t="s">
        <v>30</v>
      </c>
      <c r="O17808" t="s">
        <v>31</v>
      </c>
      <c r="P17808" t="str">
        <f>"15214"</f>
        <v>15214</v>
      </c>
    </row>
    <row r="17809" spans="1:16" x14ac:dyDescent="0.25">
      <c r="A17809" t="str">
        <f>"1260077P00042    00"</f>
        <v>1260077P00042    00</v>
      </c>
      <c r="B17809" t="s">
        <v>38738</v>
      </c>
      <c r="C17809" t="s">
        <v>38739</v>
      </c>
      <c r="D17809" t="s">
        <v>20</v>
      </c>
      <c r="E17809" t="s">
        <v>39</v>
      </c>
      <c r="F17809">
        <v>0</v>
      </c>
      <c r="G17809">
        <v>0</v>
      </c>
      <c r="H17809">
        <v>1</v>
      </c>
      <c r="I17809" s="3">
        <v>26.98</v>
      </c>
      <c r="J17809" s="3">
        <v>0</v>
      </c>
      <c r="L17809">
        <v>240</v>
      </c>
      <c r="M17809" t="s">
        <v>26498</v>
      </c>
      <c r="N17809" t="s">
        <v>903</v>
      </c>
      <c r="O17809" t="s">
        <v>31</v>
      </c>
      <c r="P17809" t="str">
        <f>"15136"</f>
        <v>15136</v>
      </c>
    </row>
    <row r="17810" spans="1:16" x14ac:dyDescent="0.25">
      <c r="A17810" t="str">
        <f>"1260077P00044    00"</f>
        <v>1260077P00044    00</v>
      </c>
      <c r="B17810" t="s">
        <v>14970</v>
      </c>
      <c r="C17810" t="s">
        <v>38740</v>
      </c>
      <c r="D17810" t="s">
        <v>20</v>
      </c>
      <c r="E17810" t="s">
        <v>39</v>
      </c>
      <c r="F17810">
        <v>0</v>
      </c>
      <c r="G17810">
        <v>0</v>
      </c>
      <c r="H17810">
        <v>2</v>
      </c>
      <c r="I17810" s="3">
        <v>1351.88</v>
      </c>
      <c r="J17810" s="3">
        <v>0</v>
      </c>
      <c r="K17810" t="s">
        <v>38741</v>
      </c>
      <c r="L17810">
        <v>7212</v>
      </c>
      <c r="M17810" t="s">
        <v>11269</v>
      </c>
      <c r="N17810" t="s">
        <v>30</v>
      </c>
      <c r="O17810" t="s">
        <v>31</v>
      </c>
      <c r="P17810" t="str">
        <f>"15208"</f>
        <v>15208</v>
      </c>
    </row>
    <row r="17811" spans="1:16" x14ac:dyDescent="0.25">
      <c r="A17811" t="str">
        <f>"1260077P00048    00"</f>
        <v>1260077P00048    00</v>
      </c>
      <c r="B17811" t="s">
        <v>38742</v>
      </c>
      <c r="C17811" t="s">
        <v>38654</v>
      </c>
      <c r="D17811" t="s">
        <v>20</v>
      </c>
      <c r="E17811" t="s">
        <v>39</v>
      </c>
      <c r="F17811">
        <v>0</v>
      </c>
      <c r="G17811">
        <v>0</v>
      </c>
      <c r="H17811">
        <v>19</v>
      </c>
      <c r="I17811" s="3">
        <v>7368.65</v>
      </c>
      <c r="J17811" s="3">
        <v>7214.74</v>
      </c>
      <c r="L17811">
        <v>110</v>
      </c>
      <c r="M17811" t="s">
        <v>38743</v>
      </c>
      <c r="N17811" t="s">
        <v>30</v>
      </c>
      <c r="O17811" t="s">
        <v>31</v>
      </c>
      <c r="P17811" t="str">
        <f>"15214"</f>
        <v>15214</v>
      </c>
    </row>
    <row r="17812" spans="1:16" x14ac:dyDescent="0.25">
      <c r="A17812" t="str">
        <f>"1260077P00050    00"</f>
        <v>1260077P00050    00</v>
      </c>
      <c r="B17812" t="s">
        <v>38744</v>
      </c>
      <c r="C17812" t="s">
        <v>38745</v>
      </c>
      <c r="D17812" t="s">
        <v>20</v>
      </c>
      <c r="E17812" t="s">
        <v>39</v>
      </c>
      <c r="F17812">
        <v>0</v>
      </c>
      <c r="G17812">
        <v>0</v>
      </c>
      <c r="H17812">
        <v>1</v>
      </c>
      <c r="I17812" s="3">
        <v>1052.1300000000001</v>
      </c>
      <c r="J17812" s="3">
        <v>0</v>
      </c>
      <c r="M17812" t="s">
        <v>38746</v>
      </c>
      <c r="N17812" t="s">
        <v>38747</v>
      </c>
      <c r="O17812" t="s">
        <v>200</v>
      </c>
      <c r="P17812" t="str">
        <f>"09173"</f>
        <v>09173</v>
      </c>
    </row>
    <row r="17813" spans="1:16" x14ac:dyDescent="0.25">
      <c r="A17813" t="str">
        <f>"1260077P00052    00"</f>
        <v>1260077P00052    00</v>
      </c>
      <c r="B17813" t="s">
        <v>38748</v>
      </c>
      <c r="C17813" t="s">
        <v>38654</v>
      </c>
      <c r="D17813" t="s">
        <v>20</v>
      </c>
      <c r="E17813" t="s">
        <v>39</v>
      </c>
      <c r="F17813">
        <v>0</v>
      </c>
      <c r="G17813">
        <v>0</v>
      </c>
      <c r="H17813">
        <v>19</v>
      </c>
      <c r="I17813" s="3">
        <v>7390.59</v>
      </c>
      <c r="J17813" s="3">
        <v>7226.3</v>
      </c>
      <c r="L17813">
        <v>300</v>
      </c>
      <c r="M17813" t="s">
        <v>38749</v>
      </c>
      <c r="N17813" t="s">
        <v>30</v>
      </c>
      <c r="O17813" t="s">
        <v>31</v>
      </c>
      <c r="P17813" t="str">
        <f>"15236"</f>
        <v>15236</v>
      </c>
    </row>
    <row r="17814" spans="1:16" x14ac:dyDescent="0.25">
      <c r="A17814" t="str">
        <f>"1260077P00060    00"</f>
        <v>1260077P00060    00</v>
      </c>
      <c r="B17814" t="s">
        <v>38750</v>
      </c>
      <c r="C17814" t="s">
        <v>38751</v>
      </c>
      <c r="D17814" t="s">
        <v>20</v>
      </c>
      <c r="E17814" t="s">
        <v>39</v>
      </c>
      <c r="F17814">
        <v>0</v>
      </c>
      <c r="G17814">
        <v>0</v>
      </c>
      <c r="H17814">
        <v>8</v>
      </c>
      <c r="I17814" s="3">
        <v>103.76</v>
      </c>
      <c r="J17814" s="3">
        <v>34.29</v>
      </c>
      <c r="K17814" t="s">
        <v>38752</v>
      </c>
      <c r="L17814">
        <v>2812</v>
      </c>
      <c r="M17814" t="s">
        <v>38753</v>
      </c>
      <c r="N17814" t="s">
        <v>30</v>
      </c>
      <c r="O17814" t="s">
        <v>31</v>
      </c>
      <c r="P17814" t="str">
        <f>"15214"</f>
        <v>15214</v>
      </c>
    </row>
    <row r="17815" spans="1:16" x14ac:dyDescent="0.25">
      <c r="A17815" t="str">
        <f>"1260077P00061    00"</f>
        <v>1260077P00061    00</v>
      </c>
      <c r="B17815" t="s">
        <v>38750</v>
      </c>
      <c r="C17815" t="s">
        <v>38751</v>
      </c>
      <c r="D17815" t="s">
        <v>20</v>
      </c>
      <c r="E17815" t="s">
        <v>39</v>
      </c>
      <c r="F17815">
        <v>0</v>
      </c>
      <c r="G17815">
        <v>0</v>
      </c>
      <c r="H17815">
        <v>9</v>
      </c>
      <c r="I17815" s="3">
        <v>921.77</v>
      </c>
      <c r="J17815" s="3">
        <v>445.66</v>
      </c>
      <c r="K17815" t="s">
        <v>38752</v>
      </c>
      <c r="L17815">
        <v>2812</v>
      </c>
      <c r="M17815" t="s">
        <v>38753</v>
      </c>
      <c r="N17815" t="s">
        <v>30</v>
      </c>
      <c r="O17815" t="s">
        <v>31</v>
      </c>
      <c r="P17815" t="str">
        <f>"15214"</f>
        <v>15214</v>
      </c>
    </row>
    <row r="17816" spans="1:16" x14ac:dyDescent="0.25">
      <c r="A17816" t="str">
        <f>"1260077P00062    00"</f>
        <v>1260077P00062    00</v>
      </c>
      <c r="B17816" t="s">
        <v>38750</v>
      </c>
      <c r="C17816" t="s">
        <v>38754</v>
      </c>
      <c r="E17816" t="s">
        <v>39</v>
      </c>
      <c r="F17816">
        <v>0</v>
      </c>
      <c r="G17816">
        <v>0</v>
      </c>
      <c r="H17816">
        <v>1</v>
      </c>
      <c r="I17816" s="3">
        <v>145.19999999999999</v>
      </c>
      <c r="J17816" s="3">
        <v>100.43</v>
      </c>
      <c r="K17816" t="s">
        <v>38752</v>
      </c>
      <c r="L17816">
        <v>2812</v>
      </c>
      <c r="M17816" t="s">
        <v>38753</v>
      </c>
      <c r="N17816" t="s">
        <v>30</v>
      </c>
      <c r="O17816" t="s">
        <v>31</v>
      </c>
      <c r="P17816" t="str">
        <f>"15214"</f>
        <v>15214</v>
      </c>
    </row>
    <row r="17817" spans="1:16" x14ac:dyDescent="0.25">
      <c r="A17817" t="str">
        <f>"1260077P00063    00"</f>
        <v>1260077P00063    00</v>
      </c>
      <c r="B17817" t="s">
        <v>38755</v>
      </c>
      <c r="C17817" t="s">
        <v>38751</v>
      </c>
      <c r="D17817" t="s">
        <v>20</v>
      </c>
      <c r="E17817" t="s">
        <v>39</v>
      </c>
      <c r="F17817">
        <v>0</v>
      </c>
      <c r="G17817">
        <v>0</v>
      </c>
      <c r="H17817">
        <v>10</v>
      </c>
      <c r="I17817" s="3">
        <v>1683.14</v>
      </c>
      <c r="J17817" s="3">
        <v>720.68</v>
      </c>
      <c r="L17817">
        <v>2168</v>
      </c>
      <c r="M17817" t="s">
        <v>38756</v>
      </c>
      <c r="N17817" t="s">
        <v>939</v>
      </c>
      <c r="O17817" t="s">
        <v>200</v>
      </c>
      <c r="P17817" t="str">
        <f>"11105"</f>
        <v>11105</v>
      </c>
    </row>
    <row r="17818" spans="1:16" x14ac:dyDescent="0.25">
      <c r="A17818" t="str">
        <f>"1260077P00068    00"</f>
        <v>1260077P00068    00</v>
      </c>
      <c r="B17818" t="s">
        <v>38757</v>
      </c>
      <c r="C17818" t="s">
        <v>38758</v>
      </c>
      <c r="D17818" t="s">
        <v>20</v>
      </c>
      <c r="E17818" t="s">
        <v>39</v>
      </c>
      <c r="F17818">
        <v>0</v>
      </c>
      <c r="G17818">
        <v>0</v>
      </c>
      <c r="H17818">
        <v>3</v>
      </c>
      <c r="I17818" s="3">
        <v>2935.05</v>
      </c>
      <c r="J17818" s="3">
        <v>128.03</v>
      </c>
      <c r="L17818">
        <v>2800</v>
      </c>
      <c r="M17818" t="s">
        <v>38753</v>
      </c>
      <c r="N17818" t="s">
        <v>30</v>
      </c>
      <c r="O17818" t="s">
        <v>31</v>
      </c>
      <c r="P17818" t="str">
        <f>"15214"</f>
        <v>15214</v>
      </c>
    </row>
    <row r="17819" spans="1:16" x14ac:dyDescent="0.25">
      <c r="A17819" t="str">
        <f>"1260077P00073    00"</f>
        <v>1260077P00073    00</v>
      </c>
      <c r="B17819" t="s">
        <v>38759</v>
      </c>
      <c r="C17819" t="s">
        <v>38760</v>
      </c>
      <c r="D17819" t="s">
        <v>33</v>
      </c>
      <c r="E17819" t="s">
        <v>39</v>
      </c>
      <c r="F17819">
        <v>0</v>
      </c>
      <c r="G17819">
        <v>0</v>
      </c>
      <c r="H17819">
        <v>3</v>
      </c>
      <c r="I17819" s="3">
        <v>803.56</v>
      </c>
      <c r="J17819" s="3">
        <v>2.98</v>
      </c>
      <c r="L17819">
        <v>2720</v>
      </c>
      <c r="M17819" t="s">
        <v>38753</v>
      </c>
      <c r="N17819" t="s">
        <v>30</v>
      </c>
      <c r="O17819" t="s">
        <v>31</v>
      </c>
      <c r="P17819" t="str">
        <f>"15214"</f>
        <v>15214</v>
      </c>
    </row>
    <row r="17820" spans="1:16" x14ac:dyDescent="0.25">
      <c r="A17820" t="str">
        <f>"1260077P00075    00"</f>
        <v>1260077P00075    00</v>
      </c>
      <c r="B17820" t="s">
        <v>38761</v>
      </c>
      <c r="C17820" t="s">
        <v>38751</v>
      </c>
      <c r="D17820" t="s">
        <v>20</v>
      </c>
      <c r="E17820" t="s">
        <v>39</v>
      </c>
      <c r="F17820">
        <v>0</v>
      </c>
      <c r="G17820">
        <v>0</v>
      </c>
      <c r="H17820">
        <v>19</v>
      </c>
      <c r="I17820" s="3">
        <v>7276.02</v>
      </c>
      <c r="J17820" s="3">
        <v>7228.42</v>
      </c>
      <c r="P17820" t="str">
        <f>""</f>
        <v/>
      </c>
    </row>
    <row r="17821" spans="1:16" x14ac:dyDescent="0.25">
      <c r="A17821" t="str">
        <f>"1260077P00077    00"</f>
        <v>1260077P00077    00</v>
      </c>
      <c r="B17821" t="s">
        <v>38762</v>
      </c>
      <c r="C17821" t="s">
        <v>38751</v>
      </c>
      <c r="D17821" t="s">
        <v>20</v>
      </c>
      <c r="E17821" t="s">
        <v>39</v>
      </c>
      <c r="F17821">
        <v>0</v>
      </c>
      <c r="G17821">
        <v>0</v>
      </c>
      <c r="H17821">
        <v>19</v>
      </c>
      <c r="I17821" s="3">
        <v>7193.48</v>
      </c>
      <c r="J17821" s="3">
        <v>7099.34</v>
      </c>
      <c r="L17821">
        <v>1320</v>
      </c>
      <c r="M17821" t="s">
        <v>24755</v>
      </c>
      <c r="N17821" t="s">
        <v>30</v>
      </c>
      <c r="O17821" t="s">
        <v>31</v>
      </c>
      <c r="P17821" t="str">
        <f>"15212"</f>
        <v>15212</v>
      </c>
    </row>
    <row r="17822" spans="1:16" x14ac:dyDescent="0.25">
      <c r="A17822" t="str">
        <f>"1260077P00080    00"</f>
        <v>1260077P00080    00</v>
      </c>
      <c r="B17822" t="s">
        <v>38763</v>
      </c>
      <c r="C17822" t="s">
        <v>38751</v>
      </c>
      <c r="D17822" t="s">
        <v>20</v>
      </c>
      <c r="E17822" t="s">
        <v>39</v>
      </c>
      <c r="F17822">
        <v>0</v>
      </c>
      <c r="G17822">
        <v>0</v>
      </c>
      <c r="H17822">
        <v>16</v>
      </c>
      <c r="I17822" s="3">
        <v>9076.2999999999993</v>
      </c>
      <c r="J17822" s="3">
        <v>13023.91</v>
      </c>
      <c r="L17822">
        <v>3431</v>
      </c>
      <c r="M17822" t="s">
        <v>36883</v>
      </c>
      <c r="N17822" t="s">
        <v>30</v>
      </c>
      <c r="O17822" t="s">
        <v>31</v>
      </c>
      <c r="P17822" t="str">
        <f>"15212"</f>
        <v>15212</v>
      </c>
    </row>
    <row r="17823" spans="1:16" x14ac:dyDescent="0.25">
      <c r="A17823" t="str">
        <f>"1260077P00081    00"</f>
        <v>1260077P00081    00</v>
      </c>
      <c r="B17823" t="s">
        <v>38764</v>
      </c>
      <c r="C17823" t="s">
        <v>38751</v>
      </c>
      <c r="D17823" t="s">
        <v>20</v>
      </c>
      <c r="E17823" t="s">
        <v>39</v>
      </c>
      <c r="F17823">
        <v>0</v>
      </c>
      <c r="G17823">
        <v>0</v>
      </c>
      <c r="H17823">
        <v>19</v>
      </c>
      <c r="I17823" s="3">
        <v>6847.96</v>
      </c>
      <c r="J17823" s="3">
        <v>7482.71</v>
      </c>
      <c r="L17823">
        <v>2706</v>
      </c>
      <c r="M17823" t="s">
        <v>38753</v>
      </c>
      <c r="N17823" t="s">
        <v>30</v>
      </c>
      <c r="O17823" t="s">
        <v>31</v>
      </c>
      <c r="P17823" t="str">
        <f>"15214"</f>
        <v>15214</v>
      </c>
    </row>
    <row r="17824" spans="1:16" x14ac:dyDescent="0.25">
      <c r="A17824" t="str">
        <f>"1260077P00082    00"</f>
        <v>1260077P00082    00</v>
      </c>
      <c r="B17824" t="s">
        <v>38765</v>
      </c>
      <c r="C17824" t="s">
        <v>38766</v>
      </c>
      <c r="E17824" t="s">
        <v>39</v>
      </c>
      <c r="F17824">
        <v>0</v>
      </c>
      <c r="G17824">
        <v>0</v>
      </c>
      <c r="H17824">
        <v>6</v>
      </c>
      <c r="I17824" s="3">
        <v>4553.3500000000004</v>
      </c>
      <c r="J17824" s="3">
        <v>1329.89</v>
      </c>
      <c r="L17824">
        <v>2702</v>
      </c>
      <c r="M17824" t="s">
        <v>38753</v>
      </c>
      <c r="N17824" t="s">
        <v>30</v>
      </c>
      <c r="O17824" t="s">
        <v>31</v>
      </c>
      <c r="P17824" t="str">
        <f>"15214"</f>
        <v>15214</v>
      </c>
    </row>
    <row r="17825" spans="1:16" x14ac:dyDescent="0.25">
      <c r="A17825" t="str">
        <f>"1260077P00094    00"</f>
        <v>1260077P00094    00</v>
      </c>
      <c r="B17825" t="s">
        <v>38767</v>
      </c>
      <c r="C17825" t="s">
        <v>38768</v>
      </c>
      <c r="D17825" t="s">
        <v>20</v>
      </c>
      <c r="E17825" t="s">
        <v>39</v>
      </c>
      <c r="F17825">
        <v>0</v>
      </c>
      <c r="G17825">
        <v>0</v>
      </c>
      <c r="H17825">
        <v>13</v>
      </c>
      <c r="I17825" s="3">
        <v>7739.31</v>
      </c>
      <c r="J17825" s="3">
        <v>4881.3</v>
      </c>
      <c r="L17825">
        <v>1000</v>
      </c>
      <c r="M17825" t="s">
        <v>15891</v>
      </c>
      <c r="N17825" t="s">
        <v>30</v>
      </c>
      <c r="O17825" t="s">
        <v>31</v>
      </c>
      <c r="P17825" t="str">
        <f>"15223"</f>
        <v>15223</v>
      </c>
    </row>
    <row r="17826" spans="1:16" x14ac:dyDescent="0.25">
      <c r="A17826" t="str">
        <f>"1260077P00101    00"</f>
        <v>1260077P00101    00</v>
      </c>
      <c r="B17826" t="s">
        <v>38769</v>
      </c>
      <c r="C17826" t="s">
        <v>38751</v>
      </c>
      <c r="D17826" t="s">
        <v>20</v>
      </c>
      <c r="E17826" t="s">
        <v>39</v>
      </c>
      <c r="F17826">
        <v>0</v>
      </c>
      <c r="G17826">
        <v>0</v>
      </c>
      <c r="H17826">
        <v>19</v>
      </c>
      <c r="I17826" s="3">
        <v>4241.8599999999997</v>
      </c>
      <c r="J17826" s="3">
        <v>5774.9</v>
      </c>
      <c r="K17826" t="s">
        <v>38770</v>
      </c>
      <c r="L17826">
        <v>450</v>
      </c>
      <c r="M17826" t="s">
        <v>38771</v>
      </c>
      <c r="N17826" t="s">
        <v>38772</v>
      </c>
      <c r="O17826" t="s">
        <v>1321</v>
      </c>
      <c r="P17826" t="str">
        <f>"89027"</f>
        <v>89027</v>
      </c>
    </row>
    <row r="17827" spans="1:16" x14ac:dyDescent="0.25">
      <c r="A17827" t="str">
        <f>"1260077P00102    00"</f>
        <v>1260077P00102    00</v>
      </c>
      <c r="B17827" t="s">
        <v>38764</v>
      </c>
      <c r="C17827" t="s">
        <v>38773</v>
      </c>
      <c r="D17827" t="s">
        <v>20</v>
      </c>
      <c r="E17827" t="s">
        <v>39</v>
      </c>
      <c r="F17827">
        <v>0</v>
      </c>
      <c r="G17827">
        <v>0</v>
      </c>
      <c r="H17827">
        <v>19</v>
      </c>
      <c r="I17827" s="3">
        <v>8170.54</v>
      </c>
      <c r="J17827" s="3">
        <v>11075.21</v>
      </c>
      <c r="L17827">
        <v>2703</v>
      </c>
      <c r="M17827" t="s">
        <v>38753</v>
      </c>
      <c r="N17827" t="s">
        <v>30</v>
      </c>
      <c r="O17827" t="s">
        <v>31</v>
      </c>
      <c r="P17827" t="str">
        <f>"15214"</f>
        <v>15214</v>
      </c>
    </row>
    <row r="17828" spans="1:16" x14ac:dyDescent="0.25">
      <c r="A17828" t="str">
        <f>"1260077P00105    00"</f>
        <v>1260077P00105    00</v>
      </c>
      <c r="B17828" t="s">
        <v>38774</v>
      </c>
      <c r="C17828" t="s">
        <v>38775</v>
      </c>
      <c r="D17828" t="s">
        <v>20</v>
      </c>
      <c r="E17828" t="s">
        <v>39</v>
      </c>
      <c r="F17828">
        <v>0</v>
      </c>
      <c r="G17828">
        <v>0</v>
      </c>
      <c r="H17828">
        <v>8</v>
      </c>
      <c r="I17828" s="3">
        <v>7673.87</v>
      </c>
      <c r="J17828" s="3">
        <v>2003.47</v>
      </c>
      <c r="L17828">
        <v>246</v>
      </c>
      <c r="M17828" t="s">
        <v>36540</v>
      </c>
      <c r="N17828" t="s">
        <v>30</v>
      </c>
      <c r="O17828" t="s">
        <v>31</v>
      </c>
      <c r="P17828" t="str">
        <f>"15212"</f>
        <v>15212</v>
      </c>
    </row>
    <row r="17829" spans="1:16" x14ac:dyDescent="0.25">
      <c r="A17829" t="str">
        <f>"1260077P00111    00"</f>
        <v>1260077P00111    00</v>
      </c>
      <c r="B17829" t="s">
        <v>38776</v>
      </c>
      <c r="C17829" t="s">
        <v>38751</v>
      </c>
      <c r="D17829" t="s">
        <v>20</v>
      </c>
      <c r="E17829" t="s">
        <v>39</v>
      </c>
      <c r="F17829">
        <v>0</v>
      </c>
      <c r="G17829">
        <v>0</v>
      </c>
      <c r="H17829">
        <v>19</v>
      </c>
      <c r="I17829" s="3">
        <v>1442.77</v>
      </c>
      <c r="J17829" s="3">
        <v>1257.55</v>
      </c>
      <c r="K17829" t="s">
        <v>1037</v>
      </c>
      <c r="L17829">
        <v>104</v>
      </c>
      <c r="M17829" t="s">
        <v>38777</v>
      </c>
      <c r="N17829" t="s">
        <v>30</v>
      </c>
      <c r="O17829" t="s">
        <v>31</v>
      </c>
      <c r="P17829" t="str">
        <f>"15214"</f>
        <v>15214</v>
      </c>
    </row>
    <row r="17830" spans="1:16" x14ac:dyDescent="0.25">
      <c r="A17830" t="str">
        <f>"1260077P00112    00"</f>
        <v>1260077P00112    00</v>
      </c>
      <c r="B17830" t="s">
        <v>38778</v>
      </c>
      <c r="C17830" t="s">
        <v>38779</v>
      </c>
      <c r="D17830" t="s">
        <v>20</v>
      </c>
      <c r="E17830" t="s">
        <v>39</v>
      </c>
      <c r="F17830">
        <v>0</v>
      </c>
      <c r="G17830">
        <v>0</v>
      </c>
      <c r="H17830">
        <v>17</v>
      </c>
      <c r="I17830" s="3">
        <v>517.14</v>
      </c>
      <c r="J17830" s="3">
        <v>679.51</v>
      </c>
      <c r="K17830" t="s">
        <v>1037</v>
      </c>
      <c r="L17830">
        <v>100</v>
      </c>
      <c r="M17830" t="s">
        <v>38777</v>
      </c>
      <c r="N17830" t="s">
        <v>30</v>
      </c>
      <c r="O17830" t="s">
        <v>31</v>
      </c>
      <c r="P17830" t="str">
        <f>"15214"</f>
        <v>15214</v>
      </c>
    </row>
    <row r="17831" spans="1:16" x14ac:dyDescent="0.25">
      <c r="A17831" t="str">
        <f>"1260077P00113    00"</f>
        <v>1260077P00113    00</v>
      </c>
      <c r="B17831" t="s">
        <v>38780</v>
      </c>
      <c r="C17831" t="s">
        <v>38779</v>
      </c>
      <c r="D17831" t="s">
        <v>20</v>
      </c>
      <c r="E17831" t="s">
        <v>39</v>
      </c>
      <c r="F17831">
        <v>0</v>
      </c>
      <c r="G17831">
        <v>0</v>
      </c>
      <c r="H17831">
        <v>17</v>
      </c>
      <c r="I17831" s="3">
        <v>517.14</v>
      </c>
      <c r="J17831" s="3">
        <v>679.51</v>
      </c>
      <c r="K17831" t="s">
        <v>1037</v>
      </c>
      <c r="M17831" t="s">
        <v>38781</v>
      </c>
      <c r="N17831" t="s">
        <v>38782</v>
      </c>
      <c r="O17831" t="s">
        <v>31</v>
      </c>
      <c r="P17831" t="str">
        <f>"15021"</f>
        <v>15021</v>
      </c>
    </row>
    <row r="17832" spans="1:16" x14ac:dyDescent="0.25">
      <c r="A17832" t="str">
        <f>"1260077P00114    00"</f>
        <v>1260077P00114    00</v>
      </c>
      <c r="B17832" t="s">
        <v>38776</v>
      </c>
      <c r="C17832" t="s">
        <v>38779</v>
      </c>
      <c r="D17832" t="s">
        <v>20</v>
      </c>
      <c r="E17832" t="s">
        <v>39</v>
      </c>
      <c r="F17832">
        <v>0</v>
      </c>
      <c r="G17832">
        <v>0</v>
      </c>
      <c r="H17832">
        <v>19</v>
      </c>
      <c r="I17832" s="3">
        <v>1442.77</v>
      </c>
      <c r="J17832" s="3">
        <v>1257.55</v>
      </c>
      <c r="K17832" t="s">
        <v>1037</v>
      </c>
      <c r="L17832">
        <v>104</v>
      </c>
      <c r="M17832" t="s">
        <v>38777</v>
      </c>
      <c r="N17832" t="s">
        <v>30</v>
      </c>
      <c r="O17832" t="s">
        <v>31</v>
      </c>
      <c r="P17832" t="str">
        <f>"15214"</f>
        <v>15214</v>
      </c>
    </row>
    <row r="17833" spans="1:16" x14ac:dyDescent="0.25">
      <c r="A17833" t="str">
        <f>"1260077P00116    00"</f>
        <v>1260077P00116    00</v>
      </c>
      <c r="B17833" t="s">
        <v>38783</v>
      </c>
      <c r="C17833" t="s">
        <v>38779</v>
      </c>
      <c r="D17833" t="s">
        <v>20</v>
      </c>
      <c r="E17833" t="s">
        <v>39</v>
      </c>
      <c r="F17833">
        <v>0</v>
      </c>
      <c r="G17833">
        <v>0</v>
      </c>
      <c r="H17833">
        <v>19</v>
      </c>
      <c r="I17833" s="3">
        <v>9430.64</v>
      </c>
      <c r="J17833" s="3">
        <v>11686.56</v>
      </c>
      <c r="L17833">
        <v>231</v>
      </c>
      <c r="M17833" t="s">
        <v>38784</v>
      </c>
      <c r="N17833" t="s">
        <v>30</v>
      </c>
      <c r="O17833" t="s">
        <v>31</v>
      </c>
      <c r="P17833" t="str">
        <f>"15202"</f>
        <v>15202</v>
      </c>
    </row>
    <row r="17834" spans="1:16" x14ac:dyDescent="0.25">
      <c r="A17834" t="str">
        <f>"1260077P00118    00"</f>
        <v>1260077P00118    00</v>
      </c>
      <c r="B17834" t="s">
        <v>38785</v>
      </c>
      <c r="C17834" t="s">
        <v>38779</v>
      </c>
      <c r="D17834" t="s">
        <v>20</v>
      </c>
      <c r="E17834" t="s">
        <v>39</v>
      </c>
      <c r="F17834">
        <v>0</v>
      </c>
      <c r="G17834">
        <v>0</v>
      </c>
      <c r="H17834">
        <v>2</v>
      </c>
      <c r="I17834" s="3">
        <v>148.68</v>
      </c>
      <c r="J17834" s="3">
        <v>0</v>
      </c>
      <c r="L17834">
        <v>105</v>
      </c>
      <c r="M17834" t="s">
        <v>38777</v>
      </c>
      <c r="N17834" t="s">
        <v>30</v>
      </c>
      <c r="O17834" t="s">
        <v>31</v>
      </c>
      <c r="P17834" t="str">
        <f>"15214"</f>
        <v>15214</v>
      </c>
    </row>
    <row r="17835" spans="1:16" x14ac:dyDescent="0.25">
      <c r="A17835" t="str">
        <f>"1260077P00121    00"</f>
        <v>1260077P00121    00</v>
      </c>
      <c r="B17835" t="s">
        <v>38786</v>
      </c>
      <c r="C17835" t="s">
        <v>38779</v>
      </c>
      <c r="D17835" t="s">
        <v>20</v>
      </c>
      <c r="E17835" t="s">
        <v>39</v>
      </c>
      <c r="F17835">
        <v>0</v>
      </c>
      <c r="G17835">
        <v>0</v>
      </c>
      <c r="H17835">
        <v>19</v>
      </c>
      <c r="I17835" s="3">
        <v>7509.34</v>
      </c>
      <c r="J17835" s="3">
        <v>8577.8799999999992</v>
      </c>
      <c r="P17835" t="str">
        <f>""</f>
        <v/>
      </c>
    </row>
    <row r="17836" spans="1:16" x14ac:dyDescent="0.25">
      <c r="A17836" t="str">
        <f>"1260077P00122    00"</f>
        <v>1260077P00122    00</v>
      </c>
      <c r="B17836" t="s">
        <v>38764</v>
      </c>
      <c r="C17836" t="s">
        <v>38779</v>
      </c>
      <c r="D17836" t="s">
        <v>20</v>
      </c>
      <c r="E17836" t="s">
        <v>39</v>
      </c>
      <c r="F17836">
        <v>0</v>
      </c>
      <c r="G17836">
        <v>0</v>
      </c>
      <c r="H17836">
        <v>19</v>
      </c>
      <c r="I17836" s="3">
        <v>10092.33</v>
      </c>
      <c r="J17836" s="3">
        <v>12578.71</v>
      </c>
      <c r="L17836">
        <v>2703</v>
      </c>
      <c r="M17836" t="s">
        <v>38753</v>
      </c>
      <c r="N17836" t="s">
        <v>30</v>
      </c>
      <c r="O17836" t="s">
        <v>31</v>
      </c>
      <c r="P17836" t="str">
        <f>"15214"</f>
        <v>15214</v>
      </c>
    </row>
    <row r="17837" spans="1:16" x14ac:dyDescent="0.25">
      <c r="A17837" t="str">
        <f>"1260077P00128    00"</f>
        <v>1260077P00128    00</v>
      </c>
      <c r="B17837" t="s">
        <v>38787</v>
      </c>
      <c r="C17837" t="s">
        <v>38751</v>
      </c>
      <c r="D17837" t="s">
        <v>20</v>
      </c>
      <c r="E17837" t="s">
        <v>39</v>
      </c>
      <c r="F17837">
        <v>0</v>
      </c>
      <c r="G17837">
        <v>0</v>
      </c>
      <c r="H17837">
        <v>3</v>
      </c>
      <c r="I17837" s="3">
        <v>45.75</v>
      </c>
      <c r="J17837" s="3">
        <v>3.05</v>
      </c>
      <c r="K17837" t="s">
        <v>38788</v>
      </c>
      <c r="L17837">
        <v>2812</v>
      </c>
      <c r="M17837" t="s">
        <v>38753</v>
      </c>
      <c r="N17837" t="s">
        <v>30</v>
      </c>
      <c r="O17837" t="s">
        <v>31</v>
      </c>
      <c r="P17837" t="str">
        <f>"15214"</f>
        <v>15214</v>
      </c>
    </row>
    <row r="17838" spans="1:16" x14ac:dyDescent="0.25">
      <c r="A17838" t="str">
        <f>"1260077P00132    00"</f>
        <v>1260077P00132    00</v>
      </c>
      <c r="B17838" t="s">
        <v>38789</v>
      </c>
      <c r="C17838" t="s">
        <v>38790</v>
      </c>
      <c r="D17838" t="s">
        <v>20</v>
      </c>
      <c r="E17838" t="s">
        <v>39</v>
      </c>
      <c r="F17838">
        <v>0</v>
      </c>
      <c r="G17838">
        <v>0</v>
      </c>
      <c r="H17838">
        <v>2</v>
      </c>
      <c r="I17838" s="3">
        <v>2363.44</v>
      </c>
      <c r="J17838" s="3">
        <v>0</v>
      </c>
      <c r="K17838" t="s">
        <v>8725</v>
      </c>
      <c r="L17838">
        <v>15301</v>
      </c>
      <c r="M17838" t="s">
        <v>8726</v>
      </c>
      <c r="N17838" t="s">
        <v>8727</v>
      </c>
      <c r="O17838" t="s">
        <v>108</v>
      </c>
      <c r="P17838" t="str">
        <f>"75001"</f>
        <v>75001</v>
      </c>
    </row>
    <row r="17839" spans="1:16" x14ac:dyDescent="0.25">
      <c r="A17839" t="str">
        <f>"1260077P00134    00"</f>
        <v>1260077P00134    00</v>
      </c>
      <c r="B17839" t="s">
        <v>38791</v>
      </c>
      <c r="C17839" t="s">
        <v>38792</v>
      </c>
      <c r="D17839" t="s">
        <v>20</v>
      </c>
      <c r="E17839" t="s">
        <v>39</v>
      </c>
      <c r="F17839">
        <v>0</v>
      </c>
      <c r="G17839">
        <v>0</v>
      </c>
      <c r="H17839">
        <v>10</v>
      </c>
      <c r="I17839" s="3">
        <v>4968.8599999999997</v>
      </c>
      <c r="J17839" s="3">
        <v>1601.05</v>
      </c>
      <c r="L17839">
        <v>2159</v>
      </c>
      <c r="M17839" t="s">
        <v>34621</v>
      </c>
      <c r="N17839" t="s">
        <v>625</v>
      </c>
      <c r="O17839" t="s">
        <v>31</v>
      </c>
      <c r="P17839" t="str">
        <f>"15108"</f>
        <v>15108</v>
      </c>
    </row>
    <row r="17840" spans="1:16" x14ac:dyDescent="0.25">
      <c r="A17840" t="str">
        <f>"1260077P00142    00"</f>
        <v>1260077P00142    00</v>
      </c>
      <c r="B17840" t="s">
        <v>38793</v>
      </c>
      <c r="C17840" t="s">
        <v>38794</v>
      </c>
      <c r="D17840" t="s">
        <v>20</v>
      </c>
      <c r="E17840" t="s">
        <v>39</v>
      </c>
      <c r="F17840">
        <v>0</v>
      </c>
      <c r="G17840">
        <v>0</v>
      </c>
      <c r="H17840">
        <v>3</v>
      </c>
      <c r="I17840" s="3">
        <v>2287.2600000000002</v>
      </c>
      <c r="J17840" s="3">
        <v>152.47999999999999</v>
      </c>
      <c r="L17840">
        <v>2814</v>
      </c>
      <c r="M17840" t="s">
        <v>38795</v>
      </c>
      <c r="N17840" t="s">
        <v>30</v>
      </c>
      <c r="O17840" t="s">
        <v>31</v>
      </c>
      <c r="P17840" t="str">
        <f>"15214"</f>
        <v>15214</v>
      </c>
    </row>
    <row r="17841" spans="1:16" x14ac:dyDescent="0.25">
      <c r="A17841" t="str">
        <f>"1260077P00146    00"</f>
        <v>1260077P00146    00</v>
      </c>
      <c r="B17841" t="s">
        <v>38796</v>
      </c>
      <c r="C17841" t="s">
        <v>38797</v>
      </c>
      <c r="D17841" t="s">
        <v>20</v>
      </c>
      <c r="E17841" t="s">
        <v>39</v>
      </c>
      <c r="F17841">
        <v>0</v>
      </c>
      <c r="G17841">
        <v>0</v>
      </c>
      <c r="H17841">
        <v>19</v>
      </c>
      <c r="I17841" s="3">
        <v>11777.26</v>
      </c>
      <c r="J17841" s="3">
        <v>13924.08</v>
      </c>
      <c r="L17841">
        <v>1908</v>
      </c>
      <c r="M17841" t="s">
        <v>36282</v>
      </c>
      <c r="N17841" t="s">
        <v>30</v>
      </c>
      <c r="O17841" t="s">
        <v>31</v>
      </c>
      <c r="P17841" t="str">
        <f>"15214"</f>
        <v>15214</v>
      </c>
    </row>
    <row r="17842" spans="1:16" x14ac:dyDescent="0.25">
      <c r="A17842" t="str">
        <f>"1260077P00148    00"</f>
        <v>1260077P00148    00</v>
      </c>
      <c r="B17842" t="s">
        <v>38796</v>
      </c>
      <c r="C17842" t="s">
        <v>38797</v>
      </c>
      <c r="D17842" t="s">
        <v>20</v>
      </c>
      <c r="E17842" t="s">
        <v>39</v>
      </c>
      <c r="F17842">
        <v>0</v>
      </c>
      <c r="G17842">
        <v>0</v>
      </c>
      <c r="H17842">
        <v>19</v>
      </c>
      <c r="I17842" s="3">
        <v>1442.77</v>
      </c>
      <c r="J17842" s="3">
        <v>1257.55</v>
      </c>
      <c r="L17842">
        <v>1908</v>
      </c>
      <c r="M17842" t="s">
        <v>36282</v>
      </c>
      <c r="N17842" t="s">
        <v>30</v>
      </c>
      <c r="O17842" t="s">
        <v>31</v>
      </c>
      <c r="P17842" t="str">
        <f>"15214"</f>
        <v>15214</v>
      </c>
    </row>
    <row r="17843" spans="1:16" x14ac:dyDescent="0.25">
      <c r="A17843" t="str">
        <f>"1260077P00149    00"</f>
        <v>1260077P00149    00</v>
      </c>
      <c r="B17843" t="s">
        <v>38798</v>
      </c>
      <c r="C17843" t="s">
        <v>38799</v>
      </c>
      <c r="E17843" t="s">
        <v>39</v>
      </c>
      <c r="F17843">
        <v>0</v>
      </c>
      <c r="G17843">
        <v>0</v>
      </c>
      <c r="H17843">
        <v>2</v>
      </c>
      <c r="I17843" s="3">
        <v>55.91</v>
      </c>
      <c r="J17843" s="3">
        <v>23.82</v>
      </c>
      <c r="K17843" t="s">
        <v>38800</v>
      </c>
      <c r="L17843">
        <v>2617</v>
      </c>
      <c r="M17843" t="s">
        <v>38801</v>
      </c>
      <c r="N17843" t="s">
        <v>38802</v>
      </c>
      <c r="O17843" t="s">
        <v>5635</v>
      </c>
      <c r="P17843" t="str">
        <f>"69361"</f>
        <v>69361</v>
      </c>
    </row>
    <row r="17844" spans="1:16" x14ac:dyDescent="0.25">
      <c r="A17844" t="str">
        <f>"1260077P00154    00"</f>
        <v>1260077P00154    00</v>
      </c>
      <c r="B17844" t="s">
        <v>38803</v>
      </c>
      <c r="C17844" t="s">
        <v>38797</v>
      </c>
      <c r="D17844" t="s">
        <v>20</v>
      </c>
      <c r="E17844" t="s">
        <v>39</v>
      </c>
      <c r="F17844">
        <v>0</v>
      </c>
      <c r="G17844">
        <v>0</v>
      </c>
      <c r="H17844">
        <v>19</v>
      </c>
      <c r="I17844" s="3">
        <v>718.12</v>
      </c>
      <c r="J17844" s="3">
        <v>874.47</v>
      </c>
      <c r="K17844" t="s">
        <v>1037</v>
      </c>
      <c r="L17844">
        <v>2722</v>
      </c>
      <c r="M17844" t="s">
        <v>38795</v>
      </c>
      <c r="N17844" t="s">
        <v>30</v>
      </c>
      <c r="O17844" t="s">
        <v>31</v>
      </c>
      <c r="P17844" t="str">
        <f>"15214"</f>
        <v>15214</v>
      </c>
    </row>
    <row r="17845" spans="1:16" x14ac:dyDescent="0.25">
      <c r="A17845" t="str">
        <f>"1260077P00156    00"</f>
        <v>1260077P00156    00</v>
      </c>
      <c r="B17845" t="s">
        <v>38804</v>
      </c>
      <c r="C17845" t="s">
        <v>38797</v>
      </c>
      <c r="D17845" t="s">
        <v>20</v>
      </c>
      <c r="E17845" t="s">
        <v>39</v>
      </c>
      <c r="F17845">
        <v>0</v>
      </c>
      <c r="G17845">
        <v>0</v>
      </c>
      <c r="H17845">
        <v>19</v>
      </c>
      <c r="I17845" s="3">
        <v>718.12</v>
      </c>
      <c r="J17845" s="3">
        <v>874.47</v>
      </c>
      <c r="L17845">
        <v>1930</v>
      </c>
      <c r="M17845" t="s">
        <v>37054</v>
      </c>
      <c r="N17845" t="s">
        <v>30</v>
      </c>
      <c r="O17845" t="s">
        <v>31</v>
      </c>
      <c r="P17845" t="str">
        <f>"15214"</f>
        <v>15214</v>
      </c>
    </row>
    <row r="17846" spans="1:16" x14ac:dyDescent="0.25">
      <c r="A17846" t="str">
        <f>"1260077P00160    00"</f>
        <v>1260077P00160    00</v>
      </c>
      <c r="B17846" t="s">
        <v>38805</v>
      </c>
      <c r="C17846" t="s">
        <v>38797</v>
      </c>
      <c r="D17846" t="s">
        <v>20</v>
      </c>
      <c r="E17846" t="s">
        <v>39</v>
      </c>
      <c r="F17846">
        <v>0</v>
      </c>
      <c r="G17846">
        <v>0</v>
      </c>
      <c r="H17846">
        <v>19</v>
      </c>
      <c r="I17846" s="3">
        <v>718.12</v>
      </c>
      <c r="J17846" s="3">
        <v>874.47</v>
      </c>
      <c r="K17846" t="s">
        <v>3450</v>
      </c>
      <c r="L17846">
        <v>2712</v>
      </c>
      <c r="M17846" t="s">
        <v>38795</v>
      </c>
      <c r="N17846" t="s">
        <v>30</v>
      </c>
      <c r="O17846" t="s">
        <v>31</v>
      </c>
      <c r="P17846" t="str">
        <f>"15214"</f>
        <v>15214</v>
      </c>
    </row>
    <row r="17847" spans="1:16" x14ac:dyDescent="0.25">
      <c r="A17847" t="str">
        <f>"1260077P00161    00"</f>
        <v>1260077P00161    00</v>
      </c>
      <c r="B17847" t="s">
        <v>38806</v>
      </c>
      <c r="C17847" t="s">
        <v>38797</v>
      </c>
      <c r="D17847" t="s">
        <v>20</v>
      </c>
      <c r="E17847" t="s">
        <v>39</v>
      </c>
      <c r="F17847">
        <v>0</v>
      </c>
      <c r="G17847">
        <v>0</v>
      </c>
      <c r="H17847">
        <v>19</v>
      </c>
      <c r="I17847" s="3">
        <v>718.12</v>
      </c>
      <c r="J17847" s="3">
        <v>874.47</v>
      </c>
      <c r="K17847" t="s">
        <v>1037</v>
      </c>
      <c r="L17847">
        <v>2627</v>
      </c>
      <c r="M17847" t="s">
        <v>34518</v>
      </c>
      <c r="N17847" t="s">
        <v>30</v>
      </c>
      <c r="O17847" t="s">
        <v>31</v>
      </c>
      <c r="P17847" t="str">
        <f>"15214"</f>
        <v>15214</v>
      </c>
    </row>
    <row r="17848" spans="1:16" x14ac:dyDescent="0.25">
      <c r="A17848" t="str">
        <f>"1260077P00163    00"</f>
        <v>1260077P00163    00</v>
      </c>
      <c r="B17848" t="s">
        <v>38807</v>
      </c>
      <c r="C17848" t="s">
        <v>38797</v>
      </c>
      <c r="D17848" t="s">
        <v>20</v>
      </c>
      <c r="E17848" t="s">
        <v>39</v>
      </c>
      <c r="F17848">
        <v>0</v>
      </c>
      <c r="G17848">
        <v>0</v>
      </c>
      <c r="H17848">
        <v>19</v>
      </c>
      <c r="I17848" s="3">
        <v>718.12</v>
      </c>
      <c r="J17848" s="3">
        <v>874.47</v>
      </c>
      <c r="K17848" t="s">
        <v>1008</v>
      </c>
      <c r="P17848" t="str">
        <f>""</f>
        <v/>
      </c>
    </row>
    <row r="17849" spans="1:16" x14ac:dyDescent="0.25">
      <c r="A17849" t="str">
        <f>"1260077P00164    00"</f>
        <v>1260077P00164    00</v>
      </c>
      <c r="B17849" t="s">
        <v>38808</v>
      </c>
      <c r="C17849" t="s">
        <v>38797</v>
      </c>
      <c r="D17849" t="s">
        <v>20</v>
      </c>
      <c r="E17849" t="s">
        <v>39</v>
      </c>
      <c r="F17849">
        <v>0</v>
      </c>
      <c r="G17849">
        <v>0</v>
      </c>
      <c r="H17849">
        <v>19</v>
      </c>
      <c r="I17849" s="3">
        <v>718.12</v>
      </c>
      <c r="J17849" s="3">
        <v>874.47</v>
      </c>
      <c r="K17849" t="s">
        <v>1037</v>
      </c>
      <c r="L17849">
        <v>2700</v>
      </c>
      <c r="M17849" t="s">
        <v>38795</v>
      </c>
      <c r="N17849" t="s">
        <v>30</v>
      </c>
      <c r="O17849" t="s">
        <v>31</v>
      </c>
      <c r="P17849" t="str">
        <f>"15214"</f>
        <v>15214</v>
      </c>
    </row>
    <row r="17850" spans="1:16" x14ac:dyDescent="0.25">
      <c r="A17850" t="str">
        <f>"1260077P00169    00"</f>
        <v>1260077P00169    00</v>
      </c>
      <c r="B17850" t="s">
        <v>38809</v>
      </c>
      <c r="C17850" t="s">
        <v>38810</v>
      </c>
      <c r="D17850" t="s">
        <v>20</v>
      </c>
      <c r="E17850" t="s">
        <v>39</v>
      </c>
      <c r="F17850">
        <v>0</v>
      </c>
      <c r="G17850">
        <v>0</v>
      </c>
      <c r="H17850">
        <v>1</v>
      </c>
      <c r="I17850" s="3">
        <v>770.5</v>
      </c>
      <c r="J17850" s="3">
        <v>0</v>
      </c>
      <c r="K17850" t="s">
        <v>38811</v>
      </c>
      <c r="L17850">
        <v>2652</v>
      </c>
      <c r="M17850" t="s">
        <v>38795</v>
      </c>
      <c r="N17850" t="s">
        <v>30</v>
      </c>
      <c r="O17850" t="s">
        <v>31</v>
      </c>
      <c r="P17850" t="str">
        <f>"15214"</f>
        <v>15214</v>
      </c>
    </row>
    <row r="17851" spans="1:16" x14ac:dyDescent="0.25">
      <c r="A17851" t="str">
        <f>"1260077P00171    00"</f>
        <v>1260077P00171    00</v>
      </c>
      <c r="B17851" t="s">
        <v>38812</v>
      </c>
      <c r="C17851" t="s">
        <v>38813</v>
      </c>
      <c r="D17851" t="s">
        <v>20</v>
      </c>
      <c r="E17851" t="s">
        <v>39</v>
      </c>
      <c r="F17851">
        <v>0</v>
      </c>
      <c r="G17851">
        <v>0</v>
      </c>
      <c r="H17851">
        <v>9</v>
      </c>
      <c r="I17851" s="3">
        <v>8169.93</v>
      </c>
      <c r="J17851" s="3">
        <v>2786.21</v>
      </c>
      <c r="K17851" t="s">
        <v>38814</v>
      </c>
      <c r="N17851">
        <v>100020</v>
      </c>
      <c r="P17851" t="str">
        <f>""</f>
        <v/>
      </c>
    </row>
    <row r="17852" spans="1:16" x14ac:dyDescent="0.25">
      <c r="A17852" t="str">
        <f>"1260077P00182    00"</f>
        <v>1260077P00182    00</v>
      </c>
      <c r="B17852" t="s">
        <v>38422</v>
      </c>
      <c r="C17852" t="s">
        <v>38797</v>
      </c>
      <c r="D17852" t="s">
        <v>20</v>
      </c>
      <c r="E17852" t="s">
        <v>39</v>
      </c>
      <c r="F17852">
        <v>0</v>
      </c>
      <c r="G17852">
        <v>0</v>
      </c>
      <c r="H17852">
        <v>19</v>
      </c>
      <c r="I17852" s="3">
        <v>9737.99</v>
      </c>
      <c r="J17852" s="3">
        <v>12086.33</v>
      </c>
      <c r="L17852">
        <v>607</v>
      </c>
      <c r="M17852" t="s">
        <v>18855</v>
      </c>
      <c r="N17852" t="s">
        <v>2008</v>
      </c>
      <c r="O17852" t="s">
        <v>31</v>
      </c>
      <c r="P17852" t="str">
        <f>"16066"</f>
        <v>16066</v>
      </c>
    </row>
    <row r="17853" spans="1:16" x14ac:dyDescent="0.25">
      <c r="A17853" t="str">
        <f>"1260077P00183    00"</f>
        <v>1260077P00183    00</v>
      </c>
      <c r="B17853" t="s">
        <v>38815</v>
      </c>
      <c r="C17853" t="s">
        <v>38797</v>
      </c>
      <c r="D17853" t="s">
        <v>20</v>
      </c>
      <c r="E17853" t="s">
        <v>39</v>
      </c>
      <c r="F17853">
        <v>0</v>
      </c>
      <c r="G17853">
        <v>0</v>
      </c>
      <c r="H17853">
        <v>19</v>
      </c>
      <c r="I17853" s="3">
        <v>728.39</v>
      </c>
      <c r="J17853" s="3">
        <v>936.69</v>
      </c>
      <c r="K17853" t="s">
        <v>38816</v>
      </c>
      <c r="M17853" t="s">
        <v>38817</v>
      </c>
      <c r="N17853" t="s">
        <v>2008</v>
      </c>
      <c r="O17853" t="s">
        <v>31</v>
      </c>
      <c r="P17853" t="str">
        <f>"16066"</f>
        <v>16066</v>
      </c>
    </row>
    <row r="17854" spans="1:16" x14ac:dyDescent="0.25">
      <c r="A17854" t="str">
        <f>"1260077P00184    00"</f>
        <v>1260077P00184    00</v>
      </c>
      <c r="B17854" t="s">
        <v>38818</v>
      </c>
      <c r="C17854" t="s">
        <v>38797</v>
      </c>
      <c r="D17854" t="s">
        <v>20</v>
      </c>
      <c r="E17854" t="s">
        <v>39</v>
      </c>
      <c r="F17854">
        <v>0</v>
      </c>
      <c r="G17854">
        <v>0</v>
      </c>
      <c r="H17854">
        <v>19</v>
      </c>
      <c r="I17854" s="3">
        <v>671.59</v>
      </c>
      <c r="J17854" s="3">
        <v>827.41</v>
      </c>
      <c r="K17854" t="s">
        <v>1008</v>
      </c>
      <c r="P17854" t="str">
        <f>""</f>
        <v/>
      </c>
    </row>
    <row r="17855" spans="1:16" x14ac:dyDescent="0.25">
      <c r="A17855" t="str">
        <f>"1260077P00186    00"</f>
        <v>1260077P00186    00</v>
      </c>
      <c r="B17855" t="s">
        <v>38819</v>
      </c>
      <c r="C17855" t="s">
        <v>38797</v>
      </c>
      <c r="D17855" t="s">
        <v>20</v>
      </c>
      <c r="E17855" t="s">
        <v>39</v>
      </c>
      <c r="F17855">
        <v>0</v>
      </c>
      <c r="G17855">
        <v>0</v>
      </c>
      <c r="H17855">
        <v>19</v>
      </c>
      <c r="I17855" s="3">
        <v>718.12</v>
      </c>
      <c r="J17855" s="3">
        <v>874.47</v>
      </c>
      <c r="K17855" t="s">
        <v>1008</v>
      </c>
      <c r="P17855" t="str">
        <f>""</f>
        <v/>
      </c>
    </row>
    <row r="17856" spans="1:16" x14ac:dyDescent="0.25">
      <c r="A17856" t="str">
        <f>"1260077P00188    00"</f>
        <v>1260077P00188    00</v>
      </c>
      <c r="B17856" t="s">
        <v>38820</v>
      </c>
      <c r="C17856" t="s">
        <v>38797</v>
      </c>
      <c r="D17856" t="s">
        <v>20</v>
      </c>
      <c r="E17856" t="s">
        <v>39</v>
      </c>
      <c r="F17856">
        <v>0</v>
      </c>
      <c r="G17856">
        <v>0</v>
      </c>
      <c r="H17856">
        <v>19</v>
      </c>
      <c r="I17856" s="3">
        <v>7481.35</v>
      </c>
      <c r="J17856" s="3">
        <v>7296.5</v>
      </c>
      <c r="P17856" t="str">
        <f>""</f>
        <v/>
      </c>
    </row>
    <row r="17857" spans="1:16" x14ac:dyDescent="0.25">
      <c r="A17857" t="str">
        <f>"1260077P00190    00"</f>
        <v>1260077P00190    00</v>
      </c>
      <c r="B17857" t="s">
        <v>38821</v>
      </c>
      <c r="C17857" t="s">
        <v>38822</v>
      </c>
      <c r="D17857" t="s">
        <v>20</v>
      </c>
      <c r="E17857" t="s">
        <v>39</v>
      </c>
      <c r="F17857">
        <v>0</v>
      </c>
      <c r="G17857">
        <v>0</v>
      </c>
      <c r="H17857">
        <v>4</v>
      </c>
      <c r="I17857" s="3">
        <v>1643.91</v>
      </c>
      <c r="J17857" s="3">
        <v>112.91</v>
      </c>
      <c r="L17857">
        <v>2719</v>
      </c>
      <c r="M17857" t="s">
        <v>38795</v>
      </c>
      <c r="N17857" t="s">
        <v>30</v>
      </c>
      <c r="O17857" t="s">
        <v>31</v>
      </c>
      <c r="P17857" t="str">
        <f>"15214"</f>
        <v>15214</v>
      </c>
    </row>
    <row r="17858" spans="1:16" x14ac:dyDescent="0.25">
      <c r="A17858" t="str">
        <f>"1260077P00192    00"</f>
        <v>1260077P00192    00</v>
      </c>
      <c r="B17858" t="s">
        <v>38823</v>
      </c>
      <c r="C17858" t="s">
        <v>38824</v>
      </c>
      <c r="D17858" t="s">
        <v>20</v>
      </c>
      <c r="E17858" t="s">
        <v>39</v>
      </c>
      <c r="F17858">
        <v>0</v>
      </c>
      <c r="G17858">
        <v>0</v>
      </c>
      <c r="H17858">
        <v>13</v>
      </c>
      <c r="I17858" s="3">
        <v>7048.57</v>
      </c>
      <c r="J17858" s="3">
        <v>3929.7</v>
      </c>
      <c r="L17858">
        <v>2723</v>
      </c>
      <c r="M17858" t="s">
        <v>38795</v>
      </c>
      <c r="N17858" t="s">
        <v>30</v>
      </c>
      <c r="O17858" t="s">
        <v>31</v>
      </c>
      <c r="P17858" t="str">
        <f>"15214"</f>
        <v>15214</v>
      </c>
    </row>
    <row r="17859" spans="1:16" x14ac:dyDescent="0.25">
      <c r="A17859" t="str">
        <f>"1260077P00196    00"</f>
        <v>1260077P00196    00</v>
      </c>
      <c r="B17859" t="s">
        <v>38825</v>
      </c>
      <c r="C17859" t="s">
        <v>38797</v>
      </c>
      <c r="D17859" t="s">
        <v>20</v>
      </c>
      <c r="E17859" t="s">
        <v>39</v>
      </c>
      <c r="F17859">
        <v>0</v>
      </c>
      <c r="G17859">
        <v>0</v>
      </c>
      <c r="H17859">
        <v>19</v>
      </c>
      <c r="I17859" s="3">
        <v>718.12</v>
      </c>
      <c r="J17859" s="3">
        <v>874.47</v>
      </c>
      <c r="L17859">
        <v>925</v>
      </c>
      <c r="M17859" t="s">
        <v>38826</v>
      </c>
      <c r="N17859" t="s">
        <v>15985</v>
      </c>
      <c r="O17859" t="s">
        <v>31</v>
      </c>
      <c r="P17859" t="str">
        <f>"15137"</f>
        <v>15137</v>
      </c>
    </row>
    <row r="17860" spans="1:16" x14ac:dyDescent="0.25">
      <c r="A17860" t="str">
        <f>"1260077P00202    00"</f>
        <v>1260077P00202    00</v>
      </c>
      <c r="B17860" t="s">
        <v>38827</v>
      </c>
      <c r="C17860" t="s">
        <v>38828</v>
      </c>
      <c r="D17860" t="s">
        <v>20</v>
      </c>
      <c r="E17860" t="s">
        <v>39</v>
      </c>
      <c r="F17860">
        <v>0</v>
      </c>
      <c r="G17860">
        <v>0</v>
      </c>
      <c r="H17860">
        <v>2</v>
      </c>
      <c r="I17860" s="3">
        <v>665.21</v>
      </c>
      <c r="J17860" s="3">
        <v>241.07</v>
      </c>
      <c r="L17860">
        <v>131</v>
      </c>
      <c r="M17860" t="s">
        <v>38743</v>
      </c>
      <c r="N17860" t="s">
        <v>30</v>
      </c>
      <c r="O17860" t="s">
        <v>31</v>
      </c>
      <c r="P17860" t="str">
        <f>"15214"</f>
        <v>15214</v>
      </c>
    </row>
    <row r="17861" spans="1:16" x14ac:dyDescent="0.25">
      <c r="A17861" t="str">
        <f>"1260077P00210    00"</f>
        <v>1260077P00210    00</v>
      </c>
      <c r="B17861" t="s">
        <v>38829</v>
      </c>
      <c r="C17861" t="s">
        <v>36257</v>
      </c>
      <c r="D17861" t="s">
        <v>20</v>
      </c>
      <c r="E17861" t="s">
        <v>39</v>
      </c>
      <c r="F17861">
        <v>0</v>
      </c>
      <c r="G17861">
        <v>0</v>
      </c>
      <c r="H17861">
        <v>19</v>
      </c>
      <c r="I17861" s="3">
        <v>8033.3</v>
      </c>
      <c r="J17861" s="3">
        <v>7789.94</v>
      </c>
      <c r="P17861" t="str">
        <f>""</f>
        <v/>
      </c>
    </row>
    <row r="17862" spans="1:16" x14ac:dyDescent="0.25">
      <c r="A17862" t="str">
        <f>"1260077P00213    00"</f>
        <v>1260077P00213    00</v>
      </c>
      <c r="B17862" t="s">
        <v>36432</v>
      </c>
      <c r="C17862" t="s">
        <v>38830</v>
      </c>
      <c r="D17862" t="s">
        <v>20</v>
      </c>
      <c r="E17862" t="s">
        <v>39</v>
      </c>
      <c r="F17862">
        <v>0</v>
      </c>
      <c r="G17862">
        <v>0</v>
      </c>
      <c r="H17862">
        <v>4</v>
      </c>
      <c r="I17862" s="3">
        <v>1832.37</v>
      </c>
      <c r="J17862" s="3">
        <v>354.04</v>
      </c>
      <c r="L17862">
        <v>525</v>
      </c>
      <c r="M17862" t="s">
        <v>36276</v>
      </c>
      <c r="N17862" t="s">
        <v>30</v>
      </c>
      <c r="O17862" t="s">
        <v>31</v>
      </c>
      <c r="P17862" t="str">
        <f>"15214"</f>
        <v>15214</v>
      </c>
    </row>
    <row r="17863" spans="1:16" x14ac:dyDescent="0.25">
      <c r="A17863" t="str">
        <f>"1260077P00217    00"</f>
        <v>1260077P00217    00</v>
      </c>
      <c r="B17863" t="s">
        <v>38831</v>
      </c>
      <c r="C17863" t="s">
        <v>36257</v>
      </c>
      <c r="D17863" t="s">
        <v>20</v>
      </c>
      <c r="E17863" t="s">
        <v>39</v>
      </c>
      <c r="F17863">
        <v>0</v>
      </c>
      <c r="G17863">
        <v>0</v>
      </c>
      <c r="H17863">
        <v>19</v>
      </c>
      <c r="I17863" s="3">
        <v>17495.400000000001</v>
      </c>
      <c r="J17863" s="3">
        <v>21810.75</v>
      </c>
      <c r="M17863" t="s">
        <v>38832</v>
      </c>
      <c r="N17863" t="s">
        <v>38833</v>
      </c>
      <c r="O17863" t="s">
        <v>3263</v>
      </c>
      <c r="P17863" t="str">
        <f>"97436"</f>
        <v>97436</v>
      </c>
    </row>
    <row r="17864" spans="1:16" x14ac:dyDescent="0.25">
      <c r="A17864" t="str">
        <f>"1260077P00219    00"</f>
        <v>1260077P00219    00</v>
      </c>
      <c r="B17864" t="s">
        <v>38834</v>
      </c>
      <c r="C17864" t="s">
        <v>38835</v>
      </c>
      <c r="D17864" t="s">
        <v>20</v>
      </c>
      <c r="E17864" t="s">
        <v>39</v>
      </c>
      <c r="F17864">
        <v>0</v>
      </c>
      <c r="G17864">
        <v>0</v>
      </c>
      <c r="H17864">
        <v>5</v>
      </c>
      <c r="I17864" s="3">
        <v>1962.24</v>
      </c>
      <c r="J17864" s="3">
        <v>0</v>
      </c>
      <c r="L17864">
        <v>2808</v>
      </c>
      <c r="M17864" t="s">
        <v>34518</v>
      </c>
      <c r="N17864" t="s">
        <v>30</v>
      </c>
      <c r="O17864" t="s">
        <v>31</v>
      </c>
      <c r="P17864" t="str">
        <f>"15214"</f>
        <v>15214</v>
      </c>
    </row>
    <row r="17865" spans="1:16" x14ac:dyDescent="0.25">
      <c r="A17865" t="str">
        <f>"1260077P00226    00"</f>
        <v>1260077P00226    00</v>
      </c>
      <c r="B17865" t="s">
        <v>38836</v>
      </c>
      <c r="C17865" t="s">
        <v>36257</v>
      </c>
      <c r="D17865" t="s">
        <v>20</v>
      </c>
      <c r="E17865" t="s">
        <v>39</v>
      </c>
      <c r="F17865">
        <v>0</v>
      </c>
      <c r="G17865">
        <v>0</v>
      </c>
      <c r="H17865">
        <v>19</v>
      </c>
      <c r="I17865" s="3">
        <v>4814.43</v>
      </c>
      <c r="J17865" s="3">
        <v>3999.8</v>
      </c>
      <c r="L17865">
        <v>56</v>
      </c>
      <c r="M17865" t="s">
        <v>32535</v>
      </c>
      <c r="N17865" t="s">
        <v>30</v>
      </c>
      <c r="O17865" t="s">
        <v>31</v>
      </c>
      <c r="P17865" t="str">
        <f>"15202"</f>
        <v>15202</v>
      </c>
    </row>
    <row r="17866" spans="1:16" x14ac:dyDescent="0.25">
      <c r="A17866" t="str">
        <f>"1260077P00227    00"</f>
        <v>1260077P00227    00</v>
      </c>
      <c r="B17866" t="s">
        <v>38837</v>
      </c>
      <c r="C17866" t="s">
        <v>36257</v>
      </c>
      <c r="D17866" t="s">
        <v>20</v>
      </c>
      <c r="E17866" t="s">
        <v>39</v>
      </c>
      <c r="F17866">
        <v>0</v>
      </c>
      <c r="G17866">
        <v>0</v>
      </c>
      <c r="H17866">
        <v>19</v>
      </c>
      <c r="I17866" s="3">
        <v>11168.3</v>
      </c>
      <c r="J17866" s="3">
        <v>13454.38</v>
      </c>
      <c r="P17866" t="str">
        <f>""</f>
        <v/>
      </c>
    </row>
    <row r="17867" spans="1:16" x14ac:dyDescent="0.25">
      <c r="A17867" t="str">
        <f>"1260077P00243    00"</f>
        <v>1260077P00243    00</v>
      </c>
      <c r="B17867" t="s">
        <v>38838</v>
      </c>
      <c r="C17867" t="s">
        <v>38839</v>
      </c>
      <c r="E17867" t="s">
        <v>39</v>
      </c>
      <c r="F17867">
        <v>0</v>
      </c>
      <c r="G17867">
        <v>0</v>
      </c>
      <c r="H17867">
        <v>1</v>
      </c>
      <c r="I17867" s="3">
        <v>550.63</v>
      </c>
      <c r="J17867" s="3">
        <v>0</v>
      </c>
      <c r="L17867">
        <v>1800</v>
      </c>
      <c r="M17867" t="s">
        <v>38840</v>
      </c>
      <c r="N17867" t="s">
        <v>30</v>
      </c>
      <c r="O17867" t="s">
        <v>31</v>
      </c>
      <c r="P17867" t="str">
        <f>"15217"</f>
        <v>15217</v>
      </c>
    </row>
    <row r="17868" spans="1:16" x14ac:dyDescent="0.25">
      <c r="A17868" t="str">
        <f>"1260077P00251    00"</f>
        <v>1260077P00251    00</v>
      </c>
      <c r="B17868" t="s">
        <v>38841</v>
      </c>
      <c r="C17868" t="s">
        <v>38842</v>
      </c>
      <c r="D17868" t="s">
        <v>20</v>
      </c>
      <c r="E17868" t="s">
        <v>39</v>
      </c>
      <c r="F17868">
        <v>0</v>
      </c>
      <c r="G17868">
        <v>0</v>
      </c>
      <c r="H17868">
        <v>16</v>
      </c>
      <c r="I17868" s="3">
        <v>15521.13</v>
      </c>
      <c r="J17868" s="3">
        <v>10192.799999999999</v>
      </c>
      <c r="L17868">
        <v>3505</v>
      </c>
      <c r="M17868" t="s">
        <v>38843</v>
      </c>
      <c r="N17868" t="s">
        <v>30</v>
      </c>
      <c r="O17868" t="s">
        <v>31</v>
      </c>
      <c r="P17868" t="str">
        <f>"15212"</f>
        <v>15212</v>
      </c>
    </row>
    <row r="17869" spans="1:16" x14ac:dyDescent="0.25">
      <c r="A17869" t="str">
        <f>"1260077P00257    00"</f>
        <v>1260077P00257    00</v>
      </c>
      <c r="B17869" t="s">
        <v>38844</v>
      </c>
      <c r="C17869" t="s">
        <v>36257</v>
      </c>
      <c r="D17869" t="s">
        <v>20</v>
      </c>
      <c r="E17869" t="s">
        <v>39</v>
      </c>
      <c r="F17869">
        <v>0</v>
      </c>
      <c r="G17869">
        <v>0</v>
      </c>
      <c r="H17869">
        <v>18</v>
      </c>
      <c r="I17869" s="3">
        <v>11449.5</v>
      </c>
      <c r="J17869" s="3">
        <v>13702.55</v>
      </c>
      <c r="L17869">
        <v>2703</v>
      </c>
      <c r="M17869" t="s">
        <v>34518</v>
      </c>
      <c r="N17869" t="s">
        <v>30</v>
      </c>
      <c r="O17869" t="s">
        <v>31</v>
      </c>
      <c r="P17869" t="str">
        <f>"15214"</f>
        <v>15214</v>
      </c>
    </row>
    <row r="17870" spans="1:16" x14ac:dyDescent="0.25">
      <c r="A17870" t="str">
        <f>"1260077P00258    00"</f>
        <v>1260077P00258    00</v>
      </c>
      <c r="B17870" t="s">
        <v>38844</v>
      </c>
      <c r="C17870" t="s">
        <v>36257</v>
      </c>
      <c r="D17870" t="s">
        <v>20</v>
      </c>
      <c r="E17870" t="s">
        <v>39</v>
      </c>
      <c r="F17870">
        <v>0</v>
      </c>
      <c r="G17870">
        <v>0</v>
      </c>
      <c r="H17870">
        <v>19</v>
      </c>
      <c r="I17870" s="3">
        <v>21547.82</v>
      </c>
      <c r="J17870" s="3">
        <v>22751.33</v>
      </c>
      <c r="L17870">
        <v>2703</v>
      </c>
      <c r="M17870" t="s">
        <v>34518</v>
      </c>
      <c r="N17870" t="s">
        <v>30</v>
      </c>
      <c r="O17870" t="s">
        <v>31</v>
      </c>
      <c r="P17870" t="str">
        <f>"15214"</f>
        <v>15214</v>
      </c>
    </row>
    <row r="17871" spans="1:16" x14ac:dyDescent="0.25">
      <c r="A17871" t="str">
        <f>"1260077P00268    00"</f>
        <v>1260077P00268    00</v>
      </c>
      <c r="B17871" t="s">
        <v>38845</v>
      </c>
      <c r="C17871" t="s">
        <v>36257</v>
      </c>
      <c r="D17871" t="s">
        <v>20</v>
      </c>
      <c r="E17871" t="s">
        <v>39</v>
      </c>
      <c r="F17871">
        <v>0</v>
      </c>
      <c r="G17871">
        <v>0</v>
      </c>
      <c r="H17871">
        <v>19</v>
      </c>
      <c r="I17871" s="3">
        <v>624.94000000000005</v>
      </c>
      <c r="J17871" s="3">
        <v>780.21</v>
      </c>
      <c r="K17871" t="s">
        <v>1008</v>
      </c>
      <c r="P17871" t="str">
        <f>""</f>
        <v/>
      </c>
    </row>
    <row r="17872" spans="1:16" x14ac:dyDescent="0.25">
      <c r="A17872" t="str">
        <f>"1260077P00275    00"</f>
        <v>1260077P00275    00</v>
      </c>
      <c r="B17872" t="s">
        <v>38846</v>
      </c>
      <c r="C17872" t="s">
        <v>36257</v>
      </c>
      <c r="D17872" t="s">
        <v>20</v>
      </c>
      <c r="E17872" t="s">
        <v>39</v>
      </c>
      <c r="F17872">
        <v>0</v>
      </c>
      <c r="G17872">
        <v>0</v>
      </c>
      <c r="H17872">
        <v>15</v>
      </c>
      <c r="I17872" s="3">
        <v>2928.51</v>
      </c>
      <c r="J17872" s="3">
        <v>1657.05</v>
      </c>
      <c r="L17872">
        <v>1440</v>
      </c>
      <c r="M17872" t="s">
        <v>38847</v>
      </c>
      <c r="N17872" t="s">
        <v>28762</v>
      </c>
      <c r="O17872" t="s">
        <v>370</v>
      </c>
      <c r="P17872" t="str">
        <f>"33071"</f>
        <v>33071</v>
      </c>
    </row>
    <row r="17873" spans="1:16" x14ac:dyDescent="0.25">
      <c r="A17873" t="str">
        <f>"1260077P00277    00"</f>
        <v>1260077P00277    00</v>
      </c>
      <c r="B17873" t="s">
        <v>36934</v>
      </c>
      <c r="C17873" t="s">
        <v>38848</v>
      </c>
      <c r="E17873" t="s">
        <v>39</v>
      </c>
      <c r="F17873">
        <v>0</v>
      </c>
      <c r="G17873">
        <v>0</v>
      </c>
      <c r="H17873">
        <v>4</v>
      </c>
      <c r="I17873" s="3">
        <v>5695.37</v>
      </c>
      <c r="J17873" s="3">
        <v>6126.02</v>
      </c>
      <c r="K17873" t="s">
        <v>36936</v>
      </c>
      <c r="L17873">
        <v>1</v>
      </c>
      <c r="M17873" t="s">
        <v>38849</v>
      </c>
      <c r="N17873" t="s">
        <v>30</v>
      </c>
      <c r="O17873" t="s">
        <v>31</v>
      </c>
      <c r="P17873" t="str">
        <f>"15229"</f>
        <v>15229</v>
      </c>
    </row>
    <row r="17874" spans="1:16" x14ac:dyDescent="0.25">
      <c r="A17874" t="str">
        <f>"1260077P00280    00"</f>
        <v>1260077P00280    00</v>
      </c>
      <c r="B17874" t="s">
        <v>30666</v>
      </c>
      <c r="C17874" t="s">
        <v>38850</v>
      </c>
      <c r="E17874" t="s">
        <v>39</v>
      </c>
      <c r="F17874">
        <v>0</v>
      </c>
      <c r="G17874">
        <v>0</v>
      </c>
      <c r="H17874">
        <v>1</v>
      </c>
      <c r="I17874" s="3">
        <v>388.85</v>
      </c>
      <c r="J17874" s="3">
        <v>3.24</v>
      </c>
      <c r="K17874" t="s">
        <v>7553</v>
      </c>
      <c r="L17874">
        <v>7908</v>
      </c>
      <c r="M17874" t="s">
        <v>15200</v>
      </c>
      <c r="N17874" t="s">
        <v>30</v>
      </c>
      <c r="O17874" t="s">
        <v>31</v>
      </c>
      <c r="P17874" t="str">
        <f>"15208"</f>
        <v>15208</v>
      </c>
    </row>
    <row r="17875" spans="1:16" x14ac:dyDescent="0.25">
      <c r="A17875" t="str">
        <f>"1260077P00313    00"</f>
        <v>1260077P00313    00</v>
      </c>
      <c r="B17875" t="s">
        <v>38851</v>
      </c>
      <c r="C17875" t="s">
        <v>37485</v>
      </c>
      <c r="D17875" t="s">
        <v>20</v>
      </c>
      <c r="E17875" t="s">
        <v>39</v>
      </c>
      <c r="F17875">
        <v>0</v>
      </c>
      <c r="G17875">
        <v>0</v>
      </c>
      <c r="H17875">
        <v>18</v>
      </c>
      <c r="I17875" s="3">
        <v>830.81</v>
      </c>
      <c r="J17875" s="3">
        <v>688.25</v>
      </c>
      <c r="L17875">
        <v>431</v>
      </c>
      <c r="M17875" t="s">
        <v>13488</v>
      </c>
      <c r="N17875" t="s">
        <v>30</v>
      </c>
      <c r="O17875" t="s">
        <v>31</v>
      </c>
      <c r="P17875" t="str">
        <f>"15229"</f>
        <v>15229</v>
      </c>
    </row>
    <row r="17876" spans="1:16" x14ac:dyDescent="0.25">
      <c r="A17876" t="str">
        <f>"1260077P00314    00"</f>
        <v>1260077P00314    00</v>
      </c>
      <c r="B17876" t="s">
        <v>38851</v>
      </c>
      <c r="C17876" t="s">
        <v>37485</v>
      </c>
      <c r="D17876" t="s">
        <v>20</v>
      </c>
      <c r="E17876" t="s">
        <v>39</v>
      </c>
      <c r="F17876">
        <v>0</v>
      </c>
      <c r="G17876">
        <v>0</v>
      </c>
      <c r="H17876">
        <v>18</v>
      </c>
      <c r="I17876" s="3">
        <v>764.84</v>
      </c>
      <c r="J17876" s="3">
        <v>653.39</v>
      </c>
      <c r="L17876">
        <v>431</v>
      </c>
      <c r="M17876" t="s">
        <v>13488</v>
      </c>
      <c r="N17876" t="s">
        <v>30</v>
      </c>
      <c r="O17876" t="s">
        <v>31</v>
      </c>
      <c r="P17876" t="str">
        <f>"15229"</f>
        <v>15229</v>
      </c>
    </row>
    <row r="17877" spans="1:16" x14ac:dyDescent="0.25">
      <c r="A17877" t="str">
        <f>"1260077P00316    00"</f>
        <v>1260077P00316    00</v>
      </c>
      <c r="B17877" t="s">
        <v>38852</v>
      </c>
      <c r="C17877" t="s">
        <v>37485</v>
      </c>
      <c r="D17877" t="s">
        <v>20</v>
      </c>
      <c r="E17877" t="s">
        <v>39</v>
      </c>
      <c r="F17877">
        <v>0</v>
      </c>
      <c r="G17877">
        <v>0</v>
      </c>
      <c r="H17877">
        <v>17</v>
      </c>
      <c r="I17877" s="3">
        <v>9825.8799999999992</v>
      </c>
      <c r="J17877" s="3">
        <v>14215.94</v>
      </c>
      <c r="L17877">
        <v>2650</v>
      </c>
      <c r="M17877" t="s">
        <v>37488</v>
      </c>
      <c r="N17877" t="s">
        <v>30</v>
      </c>
      <c r="O17877" t="s">
        <v>31</v>
      </c>
      <c r="P17877" t="str">
        <f>"15214"</f>
        <v>15214</v>
      </c>
    </row>
    <row r="17878" spans="1:16" x14ac:dyDescent="0.25">
      <c r="A17878" t="str">
        <f>"1260077P00322    00"</f>
        <v>1260077P00322    00</v>
      </c>
      <c r="B17878" t="s">
        <v>38853</v>
      </c>
      <c r="C17878" t="s">
        <v>38854</v>
      </c>
      <c r="E17878" t="s">
        <v>39</v>
      </c>
      <c r="F17878">
        <v>0</v>
      </c>
      <c r="G17878">
        <v>0</v>
      </c>
      <c r="H17878">
        <v>4</v>
      </c>
      <c r="I17878" s="3">
        <v>995.43</v>
      </c>
      <c r="J17878" s="3">
        <v>197.15</v>
      </c>
      <c r="K17878" t="s">
        <v>38855</v>
      </c>
      <c r="L17878">
        <v>2655</v>
      </c>
      <c r="M17878" t="s">
        <v>37488</v>
      </c>
      <c r="N17878" t="s">
        <v>30</v>
      </c>
      <c r="O17878" t="s">
        <v>31</v>
      </c>
      <c r="P17878" t="str">
        <f>"15214"</f>
        <v>15214</v>
      </c>
    </row>
    <row r="17879" spans="1:16" x14ac:dyDescent="0.25">
      <c r="A17879" t="str">
        <f>"1260077P00326    00"</f>
        <v>1260077P00326    00</v>
      </c>
      <c r="B17879" t="s">
        <v>38856</v>
      </c>
      <c r="C17879" t="s">
        <v>37485</v>
      </c>
      <c r="D17879" t="s">
        <v>20</v>
      </c>
      <c r="E17879" t="s">
        <v>39</v>
      </c>
      <c r="F17879">
        <v>0</v>
      </c>
      <c r="G17879">
        <v>0</v>
      </c>
      <c r="H17879">
        <v>19</v>
      </c>
      <c r="I17879" s="3">
        <v>671.59</v>
      </c>
      <c r="J17879" s="3">
        <v>827.41</v>
      </c>
      <c r="L17879">
        <v>151</v>
      </c>
      <c r="M17879" t="s">
        <v>38857</v>
      </c>
      <c r="N17879" t="s">
        <v>30</v>
      </c>
      <c r="O17879" t="s">
        <v>31</v>
      </c>
      <c r="P17879" t="str">
        <f>"15201"</f>
        <v>15201</v>
      </c>
    </row>
    <row r="17880" spans="1:16" x14ac:dyDescent="0.25">
      <c r="A17880" t="str">
        <f>"1260077P00334    00"</f>
        <v>1260077P00334    00</v>
      </c>
      <c r="B17880" t="s">
        <v>38858</v>
      </c>
      <c r="C17880" t="s">
        <v>38859</v>
      </c>
      <c r="D17880" t="s">
        <v>20</v>
      </c>
      <c r="E17880" t="s">
        <v>39</v>
      </c>
      <c r="F17880">
        <v>0</v>
      </c>
      <c r="G17880">
        <v>0</v>
      </c>
      <c r="H17880">
        <v>17</v>
      </c>
      <c r="I17880" s="3">
        <v>15021.24</v>
      </c>
      <c r="J17880" s="3">
        <v>12764.08</v>
      </c>
      <c r="L17880">
        <v>7470</v>
      </c>
      <c r="M17880" t="s">
        <v>38860</v>
      </c>
      <c r="N17880" t="s">
        <v>38861</v>
      </c>
      <c r="O17880" t="s">
        <v>6668</v>
      </c>
      <c r="P17880" t="str">
        <f>"98230"</f>
        <v>98230</v>
      </c>
    </row>
    <row r="17881" spans="1:16" x14ac:dyDescent="0.25">
      <c r="A17881" t="str">
        <f>"1260077P00343    00"</f>
        <v>1260077P00343    00</v>
      </c>
      <c r="B17881" t="s">
        <v>38862</v>
      </c>
      <c r="C17881" t="s">
        <v>38863</v>
      </c>
      <c r="D17881" t="s">
        <v>20</v>
      </c>
      <c r="E17881" t="s">
        <v>39</v>
      </c>
      <c r="F17881">
        <v>0</v>
      </c>
      <c r="G17881">
        <v>0</v>
      </c>
      <c r="H17881">
        <v>1</v>
      </c>
      <c r="I17881" s="3">
        <v>152.47999999999999</v>
      </c>
      <c r="J17881" s="3">
        <v>0</v>
      </c>
      <c r="K17881" t="s">
        <v>38864</v>
      </c>
      <c r="M17881" t="s">
        <v>38865</v>
      </c>
      <c r="N17881" t="s">
        <v>30</v>
      </c>
      <c r="O17881" t="s">
        <v>31</v>
      </c>
      <c r="P17881" t="str">
        <f>"15220"</f>
        <v>15220</v>
      </c>
    </row>
    <row r="17882" spans="1:16" x14ac:dyDescent="0.25">
      <c r="A17882" t="str">
        <f>"1260077P00346    00"</f>
        <v>1260077P00346    00</v>
      </c>
      <c r="B17882" t="s">
        <v>38866</v>
      </c>
      <c r="C17882" t="s">
        <v>37332</v>
      </c>
      <c r="D17882" t="s">
        <v>20</v>
      </c>
      <c r="E17882" t="s">
        <v>39</v>
      </c>
      <c r="F17882">
        <v>0</v>
      </c>
      <c r="G17882">
        <v>0</v>
      </c>
      <c r="H17882">
        <v>19</v>
      </c>
      <c r="I17882" s="3">
        <v>7004.91</v>
      </c>
      <c r="J17882" s="3">
        <v>7577.19</v>
      </c>
      <c r="L17882">
        <v>9</v>
      </c>
      <c r="M17882" t="s">
        <v>38867</v>
      </c>
      <c r="N17882" t="s">
        <v>38868</v>
      </c>
      <c r="O17882" t="s">
        <v>423</v>
      </c>
      <c r="P17882" t="str">
        <f>"07726"</f>
        <v>07726</v>
      </c>
    </row>
    <row r="17883" spans="1:16" x14ac:dyDescent="0.25">
      <c r="A17883" t="str">
        <f>"1260077P00348    00"</f>
        <v>1260077P00348    00</v>
      </c>
      <c r="B17883" t="s">
        <v>38869</v>
      </c>
      <c r="C17883" t="s">
        <v>37485</v>
      </c>
      <c r="D17883" t="s">
        <v>20</v>
      </c>
      <c r="E17883" t="s">
        <v>39</v>
      </c>
      <c r="F17883">
        <v>0</v>
      </c>
      <c r="G17883">
        <v>0</v>
      </c>
      <c r="H17883">
        <v>19</v>
      </c>
      <c r="I17883" s="3">
        <v>17190.18</v>
      </c>
      <c r="J17883" s="3">
        <v>20814.29</v>
      </c>
      <c r="L17883">
        <v>2703</v>
      </c>
      <c r="M17883" t="s">
        <v>37488</v>
      </c>
      <c r="N17883" t="s">
        <v>30</v>
      </c>
      <c r="O17883" t="s">
        <v>31</v>
      </c>
      <c r="P17883" t="str">
        <f>"15214"</f>
        <v>15214</v>
      </c>
    </row>
    <row r="17884" spans="1:16" x14ac:dyDescent="0.25">
      <c r="A17884" t="str">
        <f>"1260077P00354    00"</f>
        <v>1260077P00354    00</v>
      </c>
      <c r="B17884" t="s">
        <v>38870</v>
      </c>
      <c r="C17884" t="s">
        <v>38871</v>
      </c>
      <c r="D17884" t="s">
        <v>20</v>
      </c>
      <c r="E17884" t="s">
        <v>39</v>
      </c>
      <c r="F17884">
        <v>0</v>
      </c>
      <c r="G17884">
        <v>0</v>
      </c>
      <c r="H17884">
        <v>18</v>
      </c>
      <c r="I17884" s="3">
        <v>17042.89</v>
      </c>
      <c r="J17884" s="3">
        <v>9882.73</v>
      </c>
      <c r="L17884">
        <v>2715</v>
      </c>
      <c r="M17884" t="s">
        <v>37488</v>
      </c>
      <c r="N17884" t="s">
        <v>30</v>
      </c>
      <c r="O17884" t="s">
        <v>31</v>
      </c>
      <c r="P17884" t="str">
        <f>"15214"</f>
        <v>15214</v>
      </c>
    </row>
    <row r="17885" spans="1:16" x14ac:dyDescent="0.25">
      <c r="A17885" t="str">
        <f>"1260077P00355    00"</f>
        <v>1260077P00355    00</v>
      </c>
      <c r="B17885" t="s">
        <v>38872</v>
      </c>
      <c r="C17885" t="s">
        <v>37485</v>
      </c>
      <c r="D17885" t="s">
        <v>20</v>
      </c>
      <c r="E17885" t="s">
        <v>39</v>
      </c>
      <c r="F17885">
        <v>0</v>
      </c>
      <c r="G17885">
        <v>0</v>
      </c>
      <c r="H17885">
        <v>19</v>
      </c>
      <c r="I17885" s="3">
        <v>752.71</v>
      </c>
      <c r="J17885" s="3">
        <v>833.31</v>
      </c>
      <c r="L17885">
        <v>1702</v>
      </c>
      <c r="M17885" t="s">
        <v>38873</v>
      </c>
      <c r="N17885" t="s">
        <v>30</v>
      </c>
      <c r="O17885" t="s">
        <v>31</v>
      </c>
      <c r="P17885" t="str">
        <f>"15214"</f>
        <v>15214</v>
      </c>
    </row>
    <row r="17886" spans="1:16" x14ac:dyDescent="0.25">
      <c r="A17886" t="str">
        <f>"1260077P00356    00"</f>
        <v>1260077P00356    00</v>
      </c>
      <c r="B17886" t="s">
        <v>38874</v>
      </c>
      <c r="C17886" t="s">
        <v>38875</v>
      </c>
      <c r="D17886" t="s">
        <v>20</v>
      </c>
      <c r="E17886" t="s">
        <v>39</v>
      </c>
      <c r="F17886">
        <v>0</v>
      </c>
      <c r="G17886">
        <v>0</v>
      </c>
      <c r="H17886">
        <v>4</v>
      </c>
      <c r="I17886" s="3">
        <v>1134.82</v>
      </c>
      <c r="J17886" s="3">
        <v>91.07</v>
      </c>
      <c r="L17886">
        <v>2725</v>
      </c>
      <c r="M17886" t="s">
        <v>37488</v>
      </c>
      <c r="N17886" t="s">
        <v>30</v>
      </c>
      <c r="O17886" t="s">
        <v>31</v>
      </c>
      <c r="P17886" t="str">
        <f>"15214"</f>
        <v>15214</v>
      </c>
    </row>
    <row r="17887" spans="1:16" x14ac:dyDescent="0.25">
      <c r="A17887" t="str">
        <f>"1260077P00357    00"</f>
        <v>1260077P00357    00</v>
      </c>
      <c r="B17887" t="s">
        <v>38876</v>
      </c>
      <c r="C17887" t="s">
        <v>38877</v>
      </c>
      <c r="D17887" t="s">
        <v>20</v>
      </c>
      <c r="E17887" t="s">
        <v>39</v>
      </c>
      <c r="F17887">
        <v>0</v>
      </c>
      <c r="G17887">
        <v>0</v>
      </c>
      <c r="H17887">
        <v>14</v>
      </c>
      <c r="I17887" s="3">
        <v>14294.53</v>
      </c>
      <c r="J17887" s="3">
        <v>9038.56</v>
      </c>
      <c r="L17887">
        <v>2123</v>
      </c>
      <c r="M17887" t="s">
        <v>8008</v>
      </c>
      <c r="N17887" t="s">
        <v>30</v>
      </c>
      <c r="O17887" t="s">
        <v>31</v>
      </c>
      <c r="P17887" t="str">
        <f>"15214"</f>
        <v>15214</v>
      </c>
    </row>
    <row r="17888" spans="1:16" x14ac:dyDescent="0.25">
      <c r="A17888" t="str">
        <f>"1260077P00358    00"</f>
        <v>1260077P00358    00</v>
      </c>
      <c r="B17888" t="s">
        <v>38878</v>
      </c>
      <c r="C17888" t="s">
        <v>38879</v>
      </c>
      <c r="D17888" t="s">
        <v>20</v>
      </c>
      <c r="E17888" t="s">
        <v>39</v>
      </c>
      <c r="F17888">
        <v>0</v>
      </c>
      <c r="G17888">
        <v>0</v>
      </c>
      <c r="H17888">
        <v>2</v>
      </c>
      <c r="I17888" s="3">
        <v>1707.96</v>
      </c>
      <c r="J17888" s="3">
        <v>409.58</v>
      </c>
      <c r="L17888">
        <v>64</v>
      </c>
      <c r="M17888" t="s">
        <v>38880</v>
      </c>
      <c r="N17888" t="s">
        <v>38881</v>
      </c>
      <c r="O17888" t="s">
        <v>3392</v>
      </c>
      <c r="P17888" t="str">
        <f>"19701"</f>
        <v>19701</v>
      </c>
    </row>
    <row r="17889" spans="1:16" x14ac:dyDescent="0.25">
      <c r="A17889" t="str">
        <f>"1260077P00359    00"</f>
        <v>1260077P00359    00</v>
      </c>
      <c r="B17889" t="s">
        <v>38882</v>
      </c>
      <c r="C17889" t="s">
        <v>38883</v>
      </c>
      <c r="D17889" t="s">
        <v>20</v>
      </c>
      <c r="E17889" t="s">
        <v>39</v>
      </c>
      <c r="F17889">
        <v>0</v>
      </c>
      <c r="G17889">
        <v>0</v>
      </c>
      <c r="H17889">
        <v>2</v>
      </c>
      <c r="I17889" s="3">
        <v>1800.42</v>
      </c>
      <c r="J17889" s="3">
        <v>0</v>
      </c>
      <c r="L17889">
        <v>2730</v>
      </c>
      <c r="M17889" t="s">
        <v>37501</v>
      </c>
      <c r="N17889" t="s">
        <v>30</v>
      </c>
      <c r="O17889" t="s">
        <v>31</v>
      </c>
      <c r="P17889" t="str">
        <f>"15214"</f>
        <v>15214</v>
      </c>
    </row>
    <row r="17890" spans="1:16" x14ac:dyDescent="0.25">
      <c r="A17890" t="str">
        <f>"1260077P00363    00"</f>
        <v>1260077P00363    00</v>
      </c>
      <c r="B17890" t="s">
        <v>38882</v>
      </c>
      <c r="C17890" t="s">
        <v>38884</v>
      </c>
      <c r="D17890" t="s">
        <v>20</v>
      </c>
      <c r="E17890" t="s">
        <v>39</v>
      </c>
      <c r="F17890">
        <v>0</v>
      </c>
      <c r="G17890">
        <v>0</v>
      </c>
      <c r="H17890">
        <v>1</v>
      </c>
      <c r="I17890" s="3">
        <v>152.5</v>
      </c>
      <c r="J17890" s="3">
        <v>0</v>
      </c>
      <c r="L17890">
        <v>2730</v>
      </c>
      <c r="M17890" t="s">
        <v>37501</v>
      </c>
      <c r="N17890" t="s">
        <v>30</v>
      </c>
      <c r="O17890" t="s">
        <v>31</v>
      </c>
      <c r="P17890" t="str">
        <f>"15214"</f>
        <v>15214</v>
      </c>
    </row>
    <row r="17891" spans="1:16" x14ac:dyDescent="0.25">
      <c r="A17891" t="str">
        <f>"1260077P00369    00"</f>
        <v>1260077P00369    00</v>
      </c>
      <c r="B17891" t="s">
        <v>38885</v>
      </c>
      <c r="C17891" t="s">
        <v>38660</v>
      </c>
      <c r="D17891" t="s">
        <v>20</v>
      </c>
      <c r="E17891" t="s">
        <v>39</v>
      </c>
      <c r="F17891">
        <v>0</v>
      </c>
      <c r="G17891">
        <v>0</v>
      </c>
      <c r="H17891">
        <v>19</v>
      </c>
      <c r="I17891" s="3">
        <v>718.12</v>
      </c>
      <c r="J17891" s="3">
        <v>874.47</v>
      </c>
      <c r="K17891" t="s">
        <v>1008</v>
      </c>
      <c r="P17891" t="str">
        <f>""</f>
        <v/>
      </c>
    </row>
    <row r="17892" spans="1:16" x14ac:dyDescent="0.25">
      <c r="A17892" t="str">
        <f>"1260077P00377    00"</f>
        <v>1260077P00377    00</v>
      </c>
      <c r="B17892" t="s">
        <v>38886</v>
      </c>
      <c r="C17892" t="s">
        <v>38887</v>
      </c>
      <c r="D17892" t="s">
        <v>20</v>
      </c>
      <c r="E17892" t="s">
        <v>39</v>
      </c>
      <c r="F17892">
        <v>0</v>
      </c>
      <c r="G17892">
        <v>0</v>
      </c>
      <c r="H17892">
        <v>4</v>
      </c>
      <c r="I17892" s="3">
        <v>4523.3900000000003</v>
      </c>
      <c r="J17892" s="3">
        <v>549.46</v>
      </c>
      <c r="M17892" t="s">
        <v>38888</v>
      </c>
      <c r="N17892" t="s">
        <v>30</v>
      </c>
      <c r="O17892" t="s">
        <v>31</v>
      </c>
      <c r="P17892" t="str">
        <f>"15233"</f>
        <v>15233</v>
      </c>
    </row>
    <row r="17893" spans="1:16" x14ac:dyDescent="0.25">
      <c r="A17893" t="str">
        <f>"1260077P00378    00"</f>
        <v>1260077P00378    00</v>
      </c>
      <c r="B17893" t="s">
        <v>38889</v>
      </c>
      <c r="C17893" t="s">
        <v>38890</v>
      </c>
      <c r="D17893" t="s">
        <v>20</v>
      </c>
      <c r="E17893" t="s">
        <v>39</v>
      </c>
      <c r="F17893">
        <v>0</v>
      </c>
      <c r="G17893">
        <v>0</v>
      </c>
      <c r="H17893">
        <v>5</v>
      </c>
      <c r="I17893" s="3">
        <v>3202.9</v>
      </c>
      <c r="J17893" s="3">
        <v>553.34</v>
      </c>
      <c r="L17893">
        <v>235</v>
      </c>
      <c r="M17893" t="s">
        <v>986</v>
      </c>
      <c r="N17893" t="s">
        <v>30</v>
      </c>
      <c r="O17893" t="s">
        <v>31</v>
      </c>
      <c r="P17893" t="str">
        <f>"15214"</f>
        <v>15214</v>
      </c>
    </row>
    <row r="17894" spans="1:16" x14ac:dyDescent="0.25">
      <c r="A17894" t="str">
        <f>"1260077P00379    00"</f>
        <v>1260077P00379    00</v>
      </c>
      <c r="B17894" t="s">
        <v>38891</v>
      </c>
      <c r="C17894" t="s">
        <v>38892</v>
      </c>
      <c r="D17894" t="s">
        <v>20</v>
      </c>
      <c r="E17894" t="s">
        <v>39</v>
      </c>
      <c r="F17894">
        <v>0</v>
      </c>
      <c r="G17894">
        <v>0</v>
      </c>
      <c r="H17894">
        <v>3</v>
      </c>
      <c r="I17894" s="3">
        <v>140.12</v>
      </c>
      <c r="J17894" s="3">
        <v>33.39</v>
      </c>
      <c r="L17894">
        <v>237</v>
      </c>
      <c r="M17894" t="s">
        <v>986</v>
      </c>
      <c r="N17894" t="s">
        <v>30</v>
      </c>
      <c r="O17894" t="s">
        <v>31</v>
      </c>
      <c r="P17894" t="str">
        <f>"15214"</f>
        <v>15214</v>
      </c>
    </row>
    <row r="17895" spans="1:16" x14ac:dyDescent="0.25">
      <c r="A17895" t="str">
        <f>"1260077R00008    00"</f>
        <v>1260077R00008    00</v>
      </c>
      <c r="B17895" t="s">
        <v>38893</v>
      </c>
      <c r="C17895" t="s">
        <v>38894</v>
      </c>
      <c r="D17895" t="s">
        <v>20</v>
      </c>
      <c r="E17895" t="s">
        <v>39</v>
      </c>
      <c r="F17895">
        <v>0</v>
      </c>
      <c r="G17895">
        <v>0</v>
      </c>
      <c r="H17895">
        <v>2</v>
      </c>
      <c r="I17895" s="3">
        <v>956.82</v>
      </c>
      <c r="J17895" s="3">
        <v>0</v>
      </c>
      <c r="L17895">
        <v>113</v>
      </c>
      <c r="M17895" t="s">
        <v>38416</v>
      </c>
      <c r="N17895" t="s">
        <v>30</v>
      </c>
      <c r="O17895" t="s">
        <v>31</v>
      </c>
      <c r="P17895" t="str">
        <f>"15237"</f>
        <v>15237</v>
      </c>
    </row>
    <row r="17896" spans="1:16" x14ac:dyDescent="0.25">
      <c r="A17896" t="str">
        <f>"1260077R00009    00"</f>
        <v>1260077R00009    00</v>
      </c>
      <c r="B17896" t="s">
        <v>38893</v>
      </c>
      <c r="C17896" t="s">
        <v>37559</v>
      </c>
      <c r="D17896" t="s">
        <v>20</v>
      </c>
      <c r="E17896" t="s">
        <v>39</v>
      </c>
      <c r="F17896">
        <v>0</v>
      </c>
      <c r="G17896">
        <v>0</v>
      </c>
      <c r="H17896">
        <v>2</v>
      </c>
      <c r="I17896" s="3">
        <v>53.36</v>
      </c>
      <c r="J17896" s="3">
        <v>0</v>
      </c>
      <c r="L17896">
        <v>113</v>
      </c>
      <c r="M17896" t="s">
        <v>38416</v>
      </c>
      <c r="N17896" t="s">
        <v>30</v>
      </c>
      <c r="O17896" t="s">
        <v>31</v>
      </c>
      <c r="P17896" t="str">
        <f>"15237"</f>
        <v>15237</v>
      </c>
    </row>
    <row r="17897" spans="1:16" x14ac:dyDescent="0.25">
      <c r="A17897" t="str">
        <f>"1260077R00020    00"</f>
        <v>1260077R00020    00</v>
      </c>
      <c r="B17897" t="s">
        <v>36081</v>
      </c>
      <c r="C17897" t="s">
        <v>38895</v>
      </c>
      <c r="D17897" t="s">
        <v>20</v>
      </c>
      <c r="E17897" t="s">
        <v>39</v>
      </c>
      <c r="F17897">
        <v>0</v>
      </c>
      <c r="G17897">
        <v>0</v>
      </c>
      <c r="H17897">
        <v>19</v>
      </c>
      <c r="I17897" s="3">
        <v>16557.75</v>
      </c>
      <c r="J17897" s="3">
        <v>17394.73</v>
      </c>
      <c r="L17897">
        <v>416</v>
      </c>
      <c r="M17897" t="s">
        <v>38896</v>
      </c>
      <c r="N17897" t="s">
        <v>30</v>
      </c>
      <c r="O17897" t="s">
        <v>31</v>
      </c>
      <c r="P17897" t="str">
        <f>"15214"</f>
        <v>15214</v>
      </c>
    </row>
    <row r="17898" spans="1:16" x14ac:dyDescent="0.25">
      <c r="A17898" t="str">
        <f>"1260077R00021    00"</f>
        <v>1260077R00021    00</v>
      </c>
      <c r="B17898" t="s">
        <v>38897</v>
      </c>
      <c r="C17898" t="s">
        <v>38898</v>
      </c>
      <c r="D17898" t="s">
        <v>20</v>
      </c>
      <c r="E17898" t="s">
        <v>39</v>
      </c>
      <c r="F17898">
        <v>0</v>
      </c>
      <c r="G17898">
        <v>0</v>
      </c>
      <c r="H17898">
        <v>19</v>
      </c>
      <c r="I17898" s="3">
        <v>7621.56</v>
      </c>
      <c r="J17898" s="3">
        <v>11760.89</v>
      </c>
      <c r="L17898">
        <v>2716</v>
      </c>
      <c r="M17898" t="s">
        <v>38899</v>
      </c>
      <c r="N17898" t="s">
        <v>30</v>
      </c>
      <c r="O17898" t="s">
        <v>31</v>
      </c>
      <c r="P17898" t="str">
        <f>"15214"</f>
        <v>15214</v>
      </c>
    </row>
    <row r="17899" spans="1:16" x14ac:dyDescent="0.25">
      <c r="A17899" t="str">
        <f>"1260077R00023    00"</f>
        <v>1260077R00023    00</v>
      </c>
      <c r="B17899" t="s">
        <v>38900</v>
      </c>
      <c r="C17899" t="s">
        <v>38898</v>
      </c>
      <c r="D17899" t="s">
        <v>20</v>
      </c>
      <c r="E17899" t="s">
        <v>39</v>
      </c>
      <c r="F17899">
        <v>0</v>
      </c>
      <c r="G17899">
        <v>0</v>
      </c>
      <c r="H17899">
        <v>19</v>
      </c>
      <c r="I17899" s="3">
        <v>3290.6</v>
      </c>
      <c r="J17899" s="3">
        <v>2204.62</v>
      </c>
      <c r="P17899" t="str">
        <f>""</f>
        <v/>
      </c>
    </row>
    <row r="17900" spans="1:16" x14ac:dyDescent="0.25">
      <c r="A17900" t="str">
        <f>"1260077R00026    00"</f>
        <v>1260077R00026    00</v>
      </c>
      <c r="B17900" t="s">
        <v>38901</v>
      </c>
      <c r="C17900" t="s">
        <v>38898</v>
      </c>
      <c r="D17900" t="s">
        <v>20</v>
      </c>
      <c r="E17900" t="s">
        <v>39</v>
      </c>
      <c r="F17900">
        <v>0</v>
      </c>
      <c r="G17900">
        <v>0</v>
      </c>
      <c r="H17900">
        <v>19</v>
      </c>
      <c r="I17900" s="3">
        <v>671.59</v>
      </c>
      <c r="J17900" s="3">
        <v>827.41</v>
      </c>
      <c r="K17900" t="s">
        <v>1037</v>
      </c>
      <c r="L17900">
        <v>2706</v>
      </c>
      <c r="M17900" t="s">
        <v>38899</v>
      </c>
      <c r="N17900" t="s">
        <v>30</v>
      </c>
      <c r="O17900" t="s">
        <v>31</v>
      </c>
      <c r="P17900" t="str">
        <f>"15214"</f>
        <v>15214</v>
      </c>
    </row>
    <row r="17901" spans="1:16" x14ac:dyDescent="0.25">
      <c r="A17901" t="str">
        <f>"1260077R00036    00"</f>
        <v>1260077R00036    00</v>
      </c>
      <c r="B17901" t="s">
        <v>38902</v>
      </c>
      <c r="C17901" t="s">
        <v>37559</v>
      </c>
      <c r="D17901" t="s">
        <v>20</v>
      </c>
      <c r="E17901" t="s">
        <v>39</v>
      </c>
      <c r="F17901">
        <v>0</v>
      </c>
      <c r="G17901">
        <v>0</v>
      </c>
      <c r="H17901">
        <v>19</v>
      </c>
      <c r="I17901" s="3">
        <v>9293.3799999999992</v>
      </c>
      <c r="J17901" s="3">
        <v>13174.86</v>
      </c>
      <c r="L17901">
        <v>4500</v>
      </c>
      <c r="M17901" t="s">
        <v>38903</v>
      </c>
      <c r="N17901" t="s">
        <v>195</v>
      </c>
      <c r="O17901" t="s">
        <v>31</v>
      </c>
      <c r="P17901" t="str">
        <f>"15101"</f>
        <v>15101</v>
      </c>
    </row>
    <row r="17902" spans="1:16" x14ac:dyDescent="0.25">
      <c r="A17902" t="str">
        <f>"1260077R00055    00"</f>
        <v>1260077R00055    00</v>
      </c>
      <c r="B17902" t="s">
        <v>38904</v>
      </c>
      <c r="C17902" t="s">
        <v>38905</v>
      </c>
      <c r="E17902" t="s">
        <v>39</v>
      </c>
      <c r="F17902">
        <v>0</v>
      </c>
      <c r="G17902">
        <v>0</v>
      </c>
      <c r="H17902">
        <v>8</v>
      </c>
      <c r="I17902" s="3">
        <v>2581.89</v>
      </c>
      <c r="J17902" s="3">
        <v>3662.57</v>
      </c>
      <c r="K17902" t="s">
        <v>38906</v>
      </c>
      <c r="L17902">
        <v>2716</v>
      </c>
      <c r="M17902" t="s">
        <v>37557</v>
      </c>
      <c r="N17902" t="s">
        <v>30</v>
      </c>
      <c r="O17902" t="s">
        <v>31</v>
      </c>
      <c r="P17902" t="str">
        <f>"15214"</f>
        <v>15214</v>
      </c>
    </row>
    <row r="17903" spans="1:16" x14ac:dyDescent="0.25">
      <c r="A17903" t="str">
        <f>"1260077R00056    00"</f>
        <v>1260077R00056    00</v>
      </c>
      <c r="B17903" t="s">
        <v>38907</v>
      </c>
      <c r="C17903" t="s">
        <v>38908</v>
      </c>
      <c r="D17903" t="s">
        <v>20</v>
      </c>
      <c r="E17903" t="s">
        <v>39</v>
      </c>
      <c r="F17903">
        <v>0</v>
      </c>
      <c r="G17903">
        <v>0</v>
      </c>
      <c r="H17903">
        <v>19</v>
      </c>
      <c r="I17903" s="3">
        <v>3039.22</v>
      </c>
      <c r="J17903" s="3">
        <v>3556.31</v>
      </c>
      <c r="L17903">
        <v>2718</v>
      </c>
      <c r="M17903" t="s">
        <v>37557</v>
      </c>
      <c r="N17903" t="s">
        <v>30</v>
      </c>
      <c r="O17903" t="s">
        <v>31</v>
      </c>
      <c r="P17903" t="str">
        <f>"15214"</f>
        <v>15214</v>
      </c>
    </row>
    <row r="17904" spans="1:16" x14ac:dyDescent="0.25">
      <c r="A17904" t="str">
        <f>"1260077R00058    00"</f>
        <v>1260077R00058    00</v>
      </c>
      <c r="B17904" t="s">
        <v>38909</v>
      </c>
      <c r="C17904" t="s">
        <v>37559</v>
      </c>
      <c r="D17904" t="s">
        <v>20</v>
      </c>
      <c r="E17904" t="s">
        <v>39</v>
      </c>
      <c r="F17904">
        <v>0</v>
      </c>
      <c r="G17904">
        <v>0</v>
      </c>
      <c r="H17904">
        <v>14</v>
      </c>
      <c r="I17904" s="3">
        <v>5480.65</v>
      </c>
      <c r="J17904" s="3">
        <v>3899.6</v>
      </c>
      <c r="L17904">
        <v>2722</v>
      </c>
      <c r="M17904" t="s">
        <v>37557</v>
      </c>
      <c r="N17904" t="s">
        <v>30</v>
      </c>
      <c r="O17904" t="s">
        <v>31</v>
      </c>
      <c r="P17904" t="str">
        <f>"15214"</f>
        <v>15214</v>
      </c>
    </row>
    <row r="17905" spans="1:16" x14ac:dyDescent="0.25">
      <c r="A17905" t="str">
        <f>"1260077S00123    00"</f>
        <v>1260077S00123    00</v>
      </c>
      <c r="B17905" t="s">
        <v>30497</v>
      </c>
      <c r="C17905" t="s">
        <v>38910</v>
      </c>
      <c r="D17905" t="s">
        <v>20</v>
      </c>
      <c r="E17905" t="s">
        <v>39</v>
      </c>
      <c r="F17905">
        <v>0</v>
      </c>
      <c r="G17905">
        <v>0</v>
      </c>
      <c r="H17905">
        <v>16</v>
      </c>
      <c r="I17905" s="3">
        <v>3965.38</v>
      </c>
      <c r="J17905" s="3">
        <v>2788.88</v>
      </c>
      <c r="M17905" t="s">
        <v>38911</v>
      </c>
      <c r="N17905" t="s">
        <v>32967</v>
      </c>
      <c r="O17905" t="s">
        <v>495</v>
      </c>
      <c r="P17905" t="str">
        <f>"92659"</f>
        <v>92659</v>
      </c>
    </row>
    <row r="17906" spans="1:16" x14ac:dyDescent="0.25">
      <c r="A17906" t="str">
        <f>"1260077S00135    00"</f>
        <v>1260077S00135    00</v>
      </c>
      <c r="B17906" t="s">
        <v>38912</v>
      </c>
      <c r="C17906" t="s">
        <v>37841</v>
      </c>
      <c r="D17906" t="s">
        <v>20</v>
      </c>
      <c r="E17906" t="s">
        <v>39</v>
      </c>
      <c r="F17906">
        <v>0</v>
      </c>
      <c r="G17906">
        <v>0</v>
      </c>
      <c r="H17906">
        <v>19</v>
      </c>
      <c r="I17906" s="3">
        <v>5642.87</v>
      </c>
      <c r="J17906" s="3">
        <v>5291.78</v>
      </c>
      <c r="K17906" t="s">
        <v>1037</v>
      </c>
      <c r="M17906" t="s">
        <v>37573</v>
      </c>
      <c r="N17906" t="s">
        <v>30</v>
      </c>
      <c r="O17906" t="s">
        <v>31</v>
      </c>
      <c r="P17906" t="str">
        <f>"15212"</f>
        <v>15212</v>
      </c>
    </row>
    <row r="17907" spans="1:16" x14ac:dyDescent="0.25">
      <c r="A17907" t="str">
        <f>"1260077S00137    00"</f>
        <v>1260077S00137    00</v>
      </c>
      <c r="B17907" t="s">
        <v>38913</v>
      </c>
      <c r="C17907" t="s">
        <v>38914</v>
      </c>
      <c r="D17907" t="s">
        <v>20</v>
      </c>
      <c r="E17907" t="s">
        <v>39</v>
      </c>
      <c r="F17907">
        <v>0</v>
      </c>
      <c r="G17907">
        <v>0</v>
      </c>
      <c r="H17907">
        <v>1</v>
      </c>
      <c r="I17907" s="3">
        <v>314.57</v>
      </c>
      <c r="J17907" s="3">
        <v>0</v>
      </c>
      <c r="K17907" t="s">
        <v>37248</v>
      </c>
      <c r="L17907">
        <v>3001</v>
      </c>
      <c r="M17907" t="s">
        <v>330</v>
      </c>
      <c r="N17907" t="s">
        <v>331</v>
      </c>
      <c r="O17907" t="s">
        <v>108</v>
      </c>
      <c r="P17907" t="str">
        <f>"75063"</f>
        <v>75063</v>
      </c>
    </row>
    <row r="17908" spans="1:16" x14ac:dyDescent="0.25">
      <c r="A17908" t="str">
        <f>"1260077S00157    00"</f>
        <v>1260077S00157    00</v>
      </c>
      <c r="B17908" t="s">
        <v>38915</v>
      </c>
      <c r="C17908" t="s">
        <v>38916</v>
      </c>
      <c r="D17908" t="s">
        <v>20</v>
      </c>
      <c r="E17908" t="s">
        <v>39</v>
      </c>
      <c r="F17908">
        <v>0</v>
      </c>
      <c r="G17908">
        <v>0</v>
      </c>
      <c r="H17908">
        <v>2</v>
      </c>
      <c r="I17908" s="3">
        <v>884.38</v>
      </c>
      <c r="J17908" s="3">
        <v>0</v>
      </c>
      <c r="L17908">
        <v>1009</v>
      </c>
      <c r="M17908" t="s">
        <v>38917</v>
      </c>
      <c r="N17908" t="s">
        <v>903</v>
      </c>
      <c r="O17908" t="s">
        <v>31</v>
      </c>
      <c r="P17908" t="str">
        <f>"15136"</f>
        <v>15136</v>
      </c>
    </row>
    <row r="17909" spans="1:16" x14ac:dyDescent="0.25">
      <c r="A17909" t="str">
        <f>"1260077S00172    00"</f>
        <v>1260077S00172    00</v>
      </c>
      <c r="B17909" t="s">
        <v>38918</v>
      </c>
      <c r="C17909" t="s">
        <v>38919</v>
      </c>
      <c r="D17909" t="s">
        <v>20</v>
      </c>
      <c r="E17909" t="s">
        <v>39</v>
      </c>
      <c r="F17909">
        <v>0</v>
      </c>
      <c r="G17909">
        <v>0</v>
      </c>
      <c r="H17909">
        <v>19</v>
      </c>
      <c r="I17909" s="3">
        <v>6166.7</v>
      </c>
      <c r="J17909" s="3">
        <v>5905.75</v>
      </c>
      <c r="P17909" t="str">
        <f>""</f>
        <v/>
      </c>
    </row>
    <row r="17910" spans="1:16" x14ac:dyDescent="0.25">
      <c r="A17910" t="str">
        <f>"1260077S00177    00"</f>
        <v>1260077S00177    00</v>
      </c>
      <c r="B17910" t="s">
        <v>38920</v>
      </c>
      <c r="C17910" t="s">
        <v>38921</v>
      </c>
      <c r="D17910" t="s">
        <v>20</v>
      </c>
      <c r="E17910" t="s">
        <v>39</v>
      </c>
      <c r="F17910">
        <v>0</v>
      </c>
      <c r="G17910">
        <v>0</v>
      </c>
      <c r="H17910">
        <v>1</v>
      </c>
      <c r="I17910" s="3">
        <v>242.06</v>
      </c>
      <c r="J17910" s="3">
        <v>0</v>
      </c>
      <c r="L17910">
        <v>204</v>
      </c>
      <c r="M17910" t="s">
        <v>37448</v>
      </c>
      <c r="N17910" t="s">
        <v>30</v>
      </c>
      <c r="O17910" t="s">
        <v>31</v>
      </c>
      <c r="P17910" t="str">
        <f t="shared" ref="P17910:P17917" si="225">"15214"</f>
        <v>15214</v>
      </c>
    </row>
    <row r="17911" spans="1:16" x14ac:dyDescent="0.25">
      <c r="A17911" t="str">
        <f>"1260077S00179    00"</f>
        <v>1260077S00179    00</v>
      </c>
      <c r="B17911" t="s">
        <v>38922</v>
      </c>
      <c r="C17911" t="s">
        <v>38923</v>
      </c>
      <c r="D17911" t="s">
        <v>20</v>
      </c>
      <c r="E17911" t="s">
        <v>39</v>
      </c>
      <c r="F17911">
        <v>0</v>
      </c>
      <c r="G17911">
        <v>0</v>
      </c>
      <c r="H17911">
        <v>1</v>
      </c>
      <c r="I17911" s="3">
        <v>272.66000000000003</v>
      </c>
      <c r="J17911" s="3">
        <v>0</v>
      </c>
      <c r="L17911">
        <v>210</v>
      </c>
      <c r="M17911" t="s">
        <v>37448</v>
      </c>
      <c r="N17911" t="s">
        <v>30</v>
      </c>
      <c r="O17911" t="s">
        <v>31</v>
      </c>
      <c r="P17911" t="str">
        <f t="shared" si="225"/>
        <v>15214</v>
      </c>
    </row>
    <row r="17912" spans="1:16" x14ac:dyDescent="0.25">
      <c r="A17912" t="str">
        <f>"1260077S00182    00"</f>
        <v>1260077S00182    00</v>
      </c>
      <c r="B17912" t="s">
        <v>38924</v>
      </c>
      <c r="C17912" t="s">
        <v>38925</v>
      </c>
      <c r="D17912" t="s">
        <v>20</v>
      </c>
      <c r="E17912" t="s">
        <v>39</v>
      </c>
      <c r="F17912">
        <v>0</v>
      </c>
      <c r="G17912">
        <v>0</v>
      </c>
      <c r="H17912">
        <v>1</v>
      </c>
      <c r="I17912" s="3">
        <v>206.03</v>
      </c>
      <c r="J17912" s="3">
        <v>0</v>
      </c>
      <c r="L17912">
        <v>210</v>
      </c>
      <c r="M17912" t="s">
        <v>37448</v>
      </c>
      <c r="N17912" t="s">
        <v>30</v>
      </c>
      <c r="O17912" t="s">
        <v>31</v>
      </c>
      <c r="P17912" t="str">
        <f t="shared" si="225"/>
        <v>15214</v>
      </c>
    </row>
    <row r="17913" spans="1:16" x14ac:dyDescent="0.25">
      <c r="A17913" t="str">
        <f>"1260077S00183    00"</f>
        <v>1260077S00183    00</v>
      </c>
      <c r="B17913" t="s">
        <v>38924</v>
      </c>
      <c r="C17913" t="s">
        <v>38926</v>
      </c>
      <c r="D17913" t="s">
        <v>20</v>
      </c>
      <c r="E17913" t="s">
        <v>39</v>
      </c>
      <c r="F17913">
        <v>0</v>
      </c>
      <c r="G17913">
        <v>0</v>
      </c>
      <c r="H17913">
        <v>1</v>
      </c>
      <c r="I17913" s="3">
        <v>307.51</v>
      </c>
      <c r="J17913" s="3">
        <v>0</v>
      </c>
      <c r="L17913">
        <v>210</v>
      </c>
      <c r="M17913" t="s">
        <v>37448</v>
      </c>
      <c r="N17913" t="s">
        <v>30</v>
      </c>
      <c r="O17913" t="s">
        <v>31</v>
      </c>
      <c r="P17913" t="str">
        <f t="shared" si="225"/>
        <v>15214</v>
      </c>
    </row>
    <row r="17914" spans="1:16" x14ac:dyDescent="0.25">
      <c r="A17914" t="str">
        <f>"1260077S00184    00"</f>
        <v>1260077S00184    00</v>
      </c>
      <c r="B17914" t="s">
        <v>38927</v>
      </c>
      <c r="C17914" t="s">
        <v>38928</v>
      </c>
      <c r="E17914" t="s">
        <v>39</v>
      </c>
      <c r="F17914">
        <v>0</v>
      </c>
      <c r="G17914">
        <v>0</v>
      </c>
      <c r="H17914">
        <v>1</v>
      </c>
      <c r="I17914" s="3">
        <v>784.93</v>
      </c>
      <c r="J17914" s="3">
        <v>0</v>
      </c>
      <c r="L17914">
        <v>210</v>
      </c>
      <c r="M17914" t="s">
        <v>37448</v>
      </c>
      <c r="N17914" t="s">
        <v>30</v>
      </c>
      <c r="O17914" t="s">
        <v>31</v>
      </c>
      <c r="P17914" t="str">
        <f t="shared" si="225"/>
        <v>15214</v>
      </c>
    </row>
    <row r="17915" spans="1:16" x14ac:dyDescent="0.25">
      <c r="A17915" t="str">
        <f>"1260077S00186    00"</f>
        <v>1260077S00186    00</v>
      </c>
      <c r="B17915" t="s">
        <v>38927</v>
      </c>
      <c r="C17915" t="s">
        <v>38928</v>
      </c>
      <c r="D17915" t="s">
        <v>20</v>
      </c>
      <c r="E17915" t="s">
        <v>39</v>
      </c>
      <c r="F17915">
        <v>0</v>
      </c>
      <c r="G17915">
        <v>0</v>
      </c>
      <c r="H17915">
        <v>1</v>
      </c>
      <c r="I17915" s="3">
        <v>138.38</v>
      </c>
      <c r="J17915" s="3">
        <v>0</v>
      </c>
      <c r="K17915" t="s">
        <v>38929</v>
      </c>
      <c r="L17915">
        <v>210</v>
      </c>
      <c r="M17915" t="s">
        <v>37448</v>
      </c>
      <c r="N17915" t="s">
        <v>30</v>
      </c>
      <c r="O17915" t="s">
        <v>31</v>
      </c>
      <c r="P17915" t="str">
        <f t="shared" si="225"/>
        <v>15214</v>
      </c>
    </row>
    <row r="17916" spans="1:16" x14ac:dyDescent="0.25">
      <c r="A17916" t="str">
        <f>"1260077S00269    00"</f>
        <v>1260077S00269    00</v>
      </c>
      <c r="B17916" t="s">
        <v>12867</v>
      </c>
      <c r="C17916" t="s">
        <v>38930</v>
      </c>
      <c r="D17916" t="s">
        <v>20</v>
      </c>
      <c r="E17916" t="s">
        <v>39</v>
      </c>
      <c r="F17916">
        <v>0</v>
      </c>
      <c r="G17916">
        <v>0</v>
      </c>
      <c r="H17916">
        <v>2</v>
      </c>
      <c r="I17916" s="3">
        <v>2252.92</v>
      </c>
      <c r="J17916" s="3">
        <v>225.29</v>
      </c>
      <c r="L17916">
        <v>2536</v>
      </c>
      <c r="M17916" t="s">
        <v>38931</v>
      </c>
      <c r="N17916" t="s">
        <v>30</v>
      </c>
      <c r="O17916" t="s">
        <v>31</v>
      </c>
      <c r="P17916" t="str">
        <f t="shared" si="225"/>
        <v>15214</v>
      </c>
    </row>
    <row r="17917" spans="1:16" x14ac:dyDescent="0.25">
      <c r="A17917" t="str">
        <f>"1260077S00282    00"</f>
        <v>1260077S00282    00</v>
      </c>
      <c r="B17917" t="s">
        <v>38932</v>
      </c>
      <c r="C17917" t="s">
        <v>38933</v>
      </c>
      <c r="D17917" t="s">
        <v>20</v>
      </c>
      <c r="E17917" t="s">
        <v>39</v>
      </c>
      <c r="F17917">
        <v>0</v>
      </c>
      <c r="G17917">
        <v>0</v>
      </c>
      <c r="H17917">
        <v>1</v>
      </c>
      <c r="I17917" s="3">
        <v>174.44</v>
      </c>
      <c r="J17917" s="3">
        <v>0</v>
      </c>
      <c r="K17917" t="s">
        <v>38934</v>
      </c>
      <c r="L17917">
        <v>2219</v>
      </c>
      <c r="M17917" t="s">
        <v>36886</v>
      </c>
      <c r="N17917" t="s">
        <v>30</v>
      </c>
      <c r="O17917" t="s">
        <v>31</v>
      </c>
      <c r="P17917" t="str">
        <f t="shared" si="225"/>
        <v>15214</v>
      </c>
    </row>
    <row r="17918" spans="1:16" x14ac:dyDescent="0.25">
      <c r="A17918" t="str">
        <f>"1260077S00283    00"</f>
        <v>1260077S00283    00</v>
      </c>
      <c r="B17918" t="s">
        <v>38935</v>
      </c>
      <c r="C17918" t="s">
        <v>38936</v>
      </c>
      <c r="E17918" t="s">
        <v>39</v>
      </c>
      <c r="F17918">
        <v>0</v>
      </c>
      <c r="G17918">
        <v>0</v>
      </c>
      <c r="H17918">
        <v>3</v>
      </c>
      <c r="I17918" s="3">
        <v>3504.06</v>
      </c>
      <c r="J17918" s="3">
        <v>90.65</v>
      </c>
      <c r="K17918" t="s">
        <v>38937</v>
      </c>
      <c r="L17918">
        <v>1404</v>
      </c>
      <c r="M17918" t="s">
        <v>33579</v>
      </c>
      <c r="N17918" t="s">
        <v>30</v>
      </c>
      <c r="O17918" t="s">
        <v>31</v>
      </c>
      <c r="P17918" t="str">
        <f>"15233"</f>
        <v>15233</v>
      </c>
    </row>
    <row r="17919" spans="1:16" x14ac:dyDescent="0.25">
      <c r="A17919" t="str">
        <f>"1260078F00007    00"</f>
        <v>1260078F00007    00</v>
      </c>
      <c r="B17919" t="s">
        <v>38938</v>
      </c>
      <c r="C17919" t="s">
        <v>38939</v>
      </c>
      <c r="D17919" t="s">
        <v>20</v>
      </c>
      <c r="E17919" t="s">
        <v>39</v>
      </c>
      <c r="F17919">
        <v>0</v>
      </c>
      <c r="G17919">
        <v>0</v>
      </c>
      <c r="H17919">
        <v>2</v>
      </c>
      <c r="I17919" s="3">
        <v>664.3</v>
      </c>
      <c r="J17919" s="3">
        <v>0</v>
      </c>
      <c r="K17919" t="s">
        <v>37248</v>
      </c>
      <c r="L17919">
        <v>3001</v>
      </c>
      <c r="M17919" t="s">
        <v>330</v>
      </c>
      <c r="N17919" t="s">
        <v>331</v>
      </c>
      <c r="O17919" t="s">
        <v>108</v>
      </c>
      <c r="P17919" t="str">
        <f>"75063"</f>
        <v>75063</v>
      </c>
    </row>
    <row r="17920" spans="1:16" x14ac:dyDescent="0.25">
      <c r="A17920" t="str">
        <f>"1260078L00015    00"</f>
        <v>1260078L00015    00</v>
      </c>
      <c r="B17920" t="s">
        <v>38940</v>
      </c>
      <c r="C17920" t="s">
        <v>38941</v>
      </c>
      <c r="D17920" t="s">
        <v>20</v>
      </c>
      <c r="E17920" t="s">
        <v>39</v>
      </c>
      <c r="F17920">
        <v>0</v>
      </c>
      <c r="G17920">
        <v>0</v>
      </c>
      <c r="H17920">
        <v>6</v>
      </c>
      <c r="I17920" s="3">
        <v>2449.2399999999998</v>
      </c>
      <c r="J17920" s="3">
        <v>549.32000000000005</v>
      </c>
      <c r="L17920">
        <v>2917</v>
      </c>
      <c r="M17920" t="s">
        <v>31552</v>
      </c>
      <c r="N17920" t="s">
        <v>30</v>
      </c>
      <c r="O17920" t="s">
        <v>31</v>
      </c>
      <c r="P17920" t="str">
        <f>"15212"</f>
        <v>15212</v>
      </c>
    </row>
    <row r="17921" spans="1:16" x14ac:dyDescent="0.25">
      <c r="A17921" t="str">
        <f>"1260078L00070    00"</f>
        <v>1260078L00070    00</v>
      </c>
      <c r="B17921" t="s">
        <v>38942</v>
      </c>
      <c r="C17921" t="s">
        <v>38943</v>
      </c>
      <c r="D17921" t="s">
        <v>20</v>
      </c>
      <c r="E17921" t="s">
        <v>39</v>
      </c>
      <c r="F17921">
        <v>0</v>
      </c>
      <c r="G17921">
        <v>0</v>
      </c>
      <c r="H17921">
        <v>19</v>
      </c>
      <c r="I17921" s="3">
        <v>9694.6</v>
      </c>
      <c r="J17921" s="3">
        <v>11494.76</v>
      </c>
      <c r="L17921">
        <v>761</v>
      </c>
      <c r="M17921" t="s">
        <v>38944</v>
      </c>
      <c r="N17921" t="s">
        <v>31159</v>
      </c>
      <c r="O17921" t="s">
        <v>70</v>
      </c>
      <c r="P17921" t="str">
        <f>"48170"</f>
        <v>48170</v>
      </c>
    </row>
    <row r="17922" spans="1:16" x14ac:dyDescent="0.25">
      <c r="A17922" t="str">
        <f>"1260078L00072    00"</f>
        <v>1260078L00072    00</v>
      </c>
      <c r="B17922" t="s">
        <v>38945</v>
      </c>
      <c r="C17922" t="s">
        <v>38943</v>
      </c>
      <c r="D17922" t="s">
        <v>20</v>
      </c>
      <c r="E17922" t="s">
        <v>39</v>
      </c>
      <c r="F17922">
        <v>0</v>
      </c>
      <c r="G17922">
        <v>0</v>
      </c>
      <c r="H17922">
        <v>19</v>
      </c>
      <c r="I17922" s="3">
        <v>5185.5</v>
      </c>
      <c r="J17922" s="3">
        <v>5651.72</v>
      </c>
      <c r="L17922">
        <v>2609</v>
      </c>
      <c r="M17922" t="s">
        <v>5079</v>
      </c>
      <c r="N17922" t="s">
        <v>30</v>
      </c>
      <c r="O17922" t="s">
        <v>31</v>
      </c>
      <c r="P17922" t="str">
        <f>"15212"</f>
        <v>15212</v>
      </c>
    </row>
    <row r="17923" spans="1:16" x14ac:dyDescent="0.25">
      <c r="A17923" t="str">
        <f>"1260078L00115    00"</f>
        <v>1260078L00115    00</v>
      </c>
      <c r="B17923" t="s">
        <v>38946</v>
      </c>
      <c r="C17923" t="s">
        <v>38947</v>
      </c>
      <c r="D17923" t="s">
        <v>20</v>
      </c>
      <c r="E17923" t="s">
        <v>39</v>
      </c>
      <c r="F17923">
        <v>0</v>
      </c>
      <c r="G17923">
        <v>0</v>
      </c>
      <c r="H17923">
        <v>19</v>
      </c>
      <c r="I17923" s="3">
        <v>4995.22</v>
      </c>
      <c r="J17923" s="3">
        <v>3935.94</v>
      </c>
      <c r="K17923" t="s">
        <v>38948</v>
      </c>
      <c r="L17923">
        <v>18</v>
      </c>
      <c r="M17923" t="s">
        <v>38949</v>
      </c>
      <c r="N17923" t="s">
        <v>38950</v>
      </c>
      <c r="O17923" t="s">
        <v>423</v>
      </c>
      <c r="P17923" t="str">
        <f>"08085"</f>
        <v>08085</v>
      </c>
    </row>
    <row r="17924" spans="1:16" x14ac:dyDescent="0.25">
      <c r="A17924" t="str">
        <f>"1260078L00150    00"</f>
        <v>1260078L00150    00</v>
      </c>
      <c r="B17924" t="s">
        <v>38946</v>
      </c>
      <c r="C17924" t="s">
        <v>38951</v>
      </c>
      <c r="D17924" t="s">
        <v>20</v>
      </c>
      <c r="E17924" t="s">
        <v>39</v>
      </c>
      <c r="F17924">
        <v>0</v>
      </c>
      <c r="G17924">
        <v>0</v>
      </c>
      <c r="H17924">
        <v>19</v>
      </c>
      <c r="I17924" s="3">
        <v>5187.1499999999996</v>
      </c>
      <c r="J17924" s="3">
        <v>4172.2700000000004</v>
      </c>
      <c r="L17924">
        <v>2871</v>
      </c>
      <c r="M17924" t="s">
        <v>9444</v>
      </c>
      <c r="N17924" t="s">
        <v>30</v>
      </c>
      <c r="O17924" t="s">
        <v>31</v>
      </c>
      <c r="P17924" t="str">
        <f>"15212"</f>
        <v>15212</v>
      </c>
    </row>
    <row r="17925" spans="1:16" x14ac:dyDescent="0.25">
      <c r="A17925" t="str">
        <f>"1260078L00171    00"</f>
        <v>1260078L00171    00</v>
      </c>
      <c r="B17925" t="s">
        <v>38952</v>
      </c>
      <c r="C17925" t="s">
        <v>34740</v>
      </c>
      <c r="D17925" t="s">
        <v>20</v>
      </c>
      <c r="E17925" t="s">
        <v>39</v>
      </c>
      <c r="F17925">
        <v>0</v>
      </c>
      <c r="G17925">
        <v>0</v>
      </c>
      <c r="H17925">
        <v>19</v>
      </c>
      <c r="I17925" s="3">
        <v>13074.01</v>
      </c>
      <c r="J17925" s="3">
        <v>16537.240000000002</v>
      </c>
      <c r="P17925" t="str">
        <f>""</f>
        <v/>
      </c>
    </row>
    <row r="17926" spans="1:16" x14ac:dyDescent="0.25">
      <c r="A17926" t="str">
        <f>"1260078L00190    00"</f>
        <v>1260078L00190    00</v>
      </c>
      <c r="B17926" t="s">
        <v>38946</v>
      </c>
      <c r="C17926" t="s">
        <v>34740</v>
      </c>
      <c r="D17926" t="s">
        <v>20</v>
      </c>
      <c r="E17926" t="s">
        <v>39</v>
      </c>
      <c r="F17926">
        <v>0</v>
      </c>
      <c r="G17926">
        <v>0</v>
      </c>
      <c r="H17926">
        <v>19</v>
      </c>
      <c r="I17926" s="3">
        <v>6033.05</v>
      </c>
      <c r="J17926" s="3">
        <v>5176.3</v>
      </c>
      <c r="L17926">
        <v>2871</v>
      </c>
      <c r="M17926" t="s">
        <v>9444</v>
      </c>
      <c r="N17926" t="s">
        <v>30</v>
      </c>
      <c r="O17926" t="s">
        <v>31</v>
      </c>
      <c r="P17926" t="str">
        <f>"15212"</f>
        <v>15212</v>
      </c>
    </row>
    <row r="17927" spans="1:16" x14ac:dyDescent="0.25">
      <c r="A17927" t="str">
        <f>"1260078L00197    00"</f>
        <v>1260078L00197    00</v>
      </c>
      <c r="B17927" t="s">
        <v>38946</v>
      </c>
      <c r="C17927" t="s">
        <v>35524</v>
      </c>
      <c r="D17927" t="s">
        <v>20</v>
      </c>
      <c r="E17927" t="s">
        <v>39</v>
      </c>
      <c r="F17927">
        <v>0</v>
      </c>
      <c r="G17927">
        <v>0</v>
      </c>
      <c r="H17927">
        <v>19</v>
      </c>
      <c r="I17927" s="3">
        <v>912.21</v>
      </c>
      <c r="J17927" s="3">
        <v>257.02999999999997</v>
      </c>
      <c r="L17927">
        <v>2871</v>
      </c>
      <c r="M17927" t="s">
        <v>9444</v>
      </c>
      <c r="N17927" t="s">
        <v>30</v>
      </c>
      <c r="O17927" t="s">
        <v>31</v>
      </c>
      <c r="P17927" t="str">
        <f>"15212"</f>
        <v>15212</v>
      </c>
    </row>
    <row r="17928" spans="1:16" x14ac:dyDescent="0.25">
      <c r="A17928" t="str">
        <f>"1260078L00212    00"</f>
        <v>1260078L00212    00</v>
      </c>
      <c r="B17928" t="s">
        <v>38946</v>
      </c>
      <c r="C17928" t="s">
        <v>34740</v>
      </c>
      <c r="D17928" t="s">
        <v>20</v>
      </c>
      <c r="E17928" t="s">
        <v>39</v>
      </c>
      <c r="F17928">
        <v>0</v>
      </c>
      <c r="G17928">
        <v>0</v>
      </c>
      <c r="H17928">
        <v>19</v>
      </c>
      <c r="I17928" s="3">
        <v>4433.53</v>
      </c>
      <c r="J17928" s="3">
        <v>4271.7700000000004</v>
      </c>
      <c r="K17928" t="s">
        <v>38948</v>
      </c>
      <c r="L17928">
        <v>18</v>
      </c>
      <c r="M17928" t="s">
        <v>38953</v>
      </c>
      <c r="N17928" t="s">
        <v>38950</v>
      </c>
      <c r="O17928" t="s">
        <v>423</v>
      </c>
      <c r="P17928" t="str">
        <f>"08085"</f>
        <v>08085</v>
      </c>
    </row>
    <row r="17929" spans="1:16" x14ac:dyDescent="0.25">
      <c r="A17929" t="str">
        <f>"1260078L00217    00"</f>
        <v>1260078L00217    00</v>
      </c>
      <c r="B17929" t="s">
        <v>38954</v>
      </c>
      <c r="C17929" t="s">
        <v>38955</v>
      </c>
      <c r="D17929" t="s">
        <v>20</v>
      </c>
      <c r="E17929" t="s">
        <v>39</v>
      </c>
      <c r="F17929">
        <v>0</v>
      </c>
      <c r="G17929">
        <v>0</v>
      </c>
      <c r="H17929">
        <v>19</v>
      </c>
      <c r="I17929" s="3">
        <v>19583.669999999998</v>
      </c>
      <c r="J17929" s="3">
        <v>24562.02</v>
      </c>
      <c r="P17929" t="str">
        <f>""</f>
        <v/>
      </c>
    </row>
    <row r="17930" spans="1:16" x14ac:dyDescent="0.25">
      <c r="A17930" t="str">
        <f>"1260078L00231    00"</f>
        <v>1260078L00231    00</v>
      </c>
      <c r="B17930" t="s">
        <v>38956</v>
      </c>
      <c r="C17930" t="s">
        <v>38957</v>
      </c>
      <c r="D17930" t="s">
        <v>20</v>
      </c>
      <c r="E17930" t="s">
        <v>39</v>
      </c>
      <c r="F17930">
        <v>0</v>
      </c>
      <c r="G17930">
        <v>0</v>
      </c>
      <c r="H17930">
        <v>19</v>
      </c>
      <c r="I17930" s="3">
        <v>4991.74</v>
      </c>
      <c r="J17930" s="3">
        <v>4092.02</v>
      </c>
      <c r="P17930" t="str">
        <f>""</f>
        <v/>
      </c>
    </row>
    <row r="17931" spans="1:16" x14ac:dyDescent="0.25">
      <c r="A17931" t="str">
        <f>"1260078L00232    00"</f>
        <v>1260078L00232    00</v>
      </c>
      <c r="B17931" t="s">
        <v>38958</v>
      </c>
      <c r="C17931" t="s">
        <v>38959</v>
      </c>
      <c r="D17931" t="s">
        <v>20</v>
      </c>
      <c r="E17931" t="s">
        <v>39</v>
      </c>
      <c r="F17931">
        <v>0</v>
      </c>
      <c r="G17931">
        <v>0</v>
      </c>
      <c r="H17931">
        <v>2</v>
      </c>
      <c r="I17931" s="3">
        <v>497.48</v>
      </c>
      <c r="J17931" s="3">
        <v>6.7</v>
      </c>
      <c r="K17931" t="s">
        <v>38960</v>
      </c>
      <c r="L17931">
        <v>705</v>
      </c>
      <c r="M17931" t="s">
        <v>15612</v>
      </c>
      <c r="N17931" t="s">
        <v>4768</v>
      </c>
      <c r="O17931" t="s">
        <v>31</v>
      </c>
      <c r="P17931" t="str">
        <f>"15137"</f>
        <v>15137</v>
      </c>
    </row>
    <row r="17932" spans="1:16" x14ac:dyDescent="0.25">
      <c r="A17932" t="str">
        <f>"1260078L00245    00"</f>
        <v>1260078L00245    00</v>
      </c>
      <c r="B17932" t="s">
        <v>38958</v>
      </c>
      <c r="C17932" t="s">
        <v>38961</v>
      </c>
      <c r="D17932" t="s">
        <v>20</v>
      </c>
      <c r="E17932" t="s">
        <v>39</v>
      </c>
      <c r="F17932">
        <v>0</v>
      </c>
      <c r="G17932">
        <v>0</v>
      </c>
      <c r="H17932">
        <v>1</v>
      </c>
      <c r="I17932" s="3">
        <v>918.71</v>
      </c>
      <c r="J17932" s="3">
        <v>0</v>
      </c>
      <c r="K17932" t="s">
        <v>38960</v>
      </c>
      <c r="L17932">
        <v>705</v>
      </c>
      <c r="M17932" t="s">
        <v>15612</v>
      </c>
      <c r="N17932" t="s">
        <v>4768</v>
      </c>
      <c r="O17932" t="s">
        <v>31</v>
      </c>
      <c r="P17932" t="str">
        <f>"15137"</f>
        <v>15137</v>
      </c>
    </row>
    <row r="17933" spans="1:16" x14ac:dyDescent="0.25">
      <c r="A17933" t="str">
        <f>"1260078L00250    00"</f>
        <v>1260078L00250    00</v>
      </c>
      <c r="B17933" t="s">
        <v>38962</v>
      </c>
      <c r="C17933" t="s">
        <v>34740</v>
      </c>
      <c r="D17933" t="s">
        <v>20</v>
      </c>
      <c r="E17933" t="s">
        <v>39</v>
      </c>
      <c r="F17933">
        <v>0</v>
      </c>
      <c r="G17933">
        <v>0</v>
      </c>
      <c r="H17933">
        <v>19</v>
      </c>
      <c r="I17933" s="3">
        <v>4304.1000000000004</v>
      </c>
      <c r="J17933" s="3">
        <v>3121.23</v>
      </c>
      <c r="L17933">
        <v>2903</v>
      </c>
      <c r="M17933" t="s">
        <v>33466</v>
      </c>
      <c r="N17933" t="s">
        <v>30</v>
      </c>
      <c r="O17933" t="s">
        <v>31</v>
      </c>
      <c r="P17933" t="str">
        <f>"15212"</f>
        <v>15212</v>
      </c>
    </row>
    <row r="17934" spans="1:16" x14ac:dyDescent="0.25">
      <c r="A17934" t="str">
        <f>"1260078L00280    00"</f>
        <v>1260078L00280    00</v>
      </c>
      <c r="B17934" t="s">
        <v>38963</v>
      </c>
      <c r="C17934" t="s">
        <v>38964</v>
      </c>
      <c r="D17934" t="s">
        <v>20</v>
      </c>
      <c r="E17934" t="s">
        <v>39</v>
      </c>
      <c r="F17934">
        <v>0</v>
      </c>
      <c r="G17934">
        <v>0</v>
      </c>
      <c r="H17934">
        <v>19</v>
      </c>
      <c r="I17934" s="3">
        <v>11747.69</v>
      </c>
      <c r="J17934" s="3">
        <v>14007.4</v>
      </c>
      <c r="L17934">
        <v>2903</v>
      </c>
      <c r="M17934" t="s">
        <v>38965</v>
      </c>
      <c r="N17934" t="s">
        <v>30</v>
      </c>
      <c r="O17934" t="s">
        <v>31</v>
      </c>
      <c r="P17934" t="str">
        <f>"15212"</f>
        <v>15212</v>
      </c>
    </row>
    <row r="17935" spans="1:16" x14ac:dyDescent="0.25">
      <c r="A17935" t="str">
        <f>"1260078R00034    00"</f>
        <v>1260078R00034    00</v>
      </c>
      <c r="B17935" t="s">
        <v>38946</v>
      </c>
      <c r="C17935" t="s">
        <v>38951</v>
      </c>
      <c r="D17935" t="s">
        <v>20</v>
      </c>
      <c r="E17935" t="s">
        <v>39</v>
      </c>
      <c r="F17935">
        <v>0</v>
      </c>
      <c r="G17935">
        <v>0</v>
      </c>
      <c r="H17935">
        <v>19</v>
      </c>
      <c r="I17935" s="3">
        <v>6716.59</v>
      </c>
      <c r="J17935" s="3">
        <v>6352.33</v>
      </c>
      <c r="K17935" t="s">
        <v>38948</v>
      </c>
      <c r="L17935">
        <v>18</v>
      </c>
      <c r="M17935" t="s">
        <v>38949</v>
      </c>
      <c r="N17935" t="s">
        <v>38950</v>
      </c>
      <c r="O17935" t="s">
        <v>423</v>
      </c>
      <c r="P17935" t="str">
        <f>"08085"</f>
        <v>08085</v>
      </c>
    </row>
    <row r="17936" spans="1:16" x14ac:dyDescent="0.25">
      <c r="A17936" t="str">
        <f>"1260078R00078    00"</f>
        <v>1260078R00078    00</v>
      </c>
      <c r="B17936" t="s">
        <v>38966</v>
      </c>
      <c r="C17936" t="s">
        <v>38967</v>
      </c>
      <c r="D17936" t="s">
        <v>20</v>
      </c>
      <c r="E17936" t="s">
        <v>39</v>
      </c>
      <c r="F17936">
        <v>0</v>
      </c>
      <c r="G17936">
        <v>0</v>
      </c>
      <c r="H17936">
        <v>5</v>
      </c>
      <c r="I17936" s="3">
        <v>3120.32</v>
      </c>
      <c r="J17936" s="3">
        <v>514.5</v>
      </c>
      <c r="L17936">
        <v>9</v>
      </c>
      <c r="M17936" t="s">
        <v>38968</v>
      </c>
      <c r="N17936" t="s">
        <v>30</v>
      </c>
      <c r="O17936" t="s">
        <v>31</v>
      </c>
      <c r="P17936" t="str">
        <f>"15212"</f>
        <v>15212</v>
      </c>
    </row>
    <row r="17937" spans="1:16" x14ac:dyDescent="0.25">
      <c r="A17937" t="str">
        <f>"1260078R00099    00"</f>
        <v>1260078R00099    00</v>
      </c>
      <c r="B17937" t="s">
        <v>38969</v>
      </c>
      <c r="C17937" t="s">
        <v>38970</v>
      </c>
      <c r="D17937" t="s">
        <v>20</v>
      </c>
      <c r="E17937" t="s">
        <v>39</v>
      </c>
      <c r="F17937">
        <v>0</v>
      </c>
      <c r="G17937">
        <v>0</v>
      </c>
      <c r="H17937">
        <v>1</v>
      </c>
      <c r="I17937" s="3">
        <v>90.39</v>
      </c>
      <c r="J17937" s="3">
        <v>0</v>
      </c>
      <c r="L17937">
        <v>2516</v>
      </c>
      <c r="M17937" t="s">
        <v>33466</v>
      </c>
      <c r="N17937" t="s">
        <v>30</v>
      </c>
      <c r="O17937" t="s">
        <v>31</v>
      </c>
      <c r="P17937" t="str">
        <f>"15212"</f>
        <v>15212</v>
      </c>
    </row>
    <row r="17938" spans="1:16" x14ac:dyDescent="0.25">
      <c r="A17938" t="str">
        <f>"1260078R00113    00"</f>
        <v>1260078R00113    00</v>
      </c>
      <c r="B17938" t="s">
        <v>38971</v>
      </c>
      <c r="C17938" t="s">
        <v>38972</v>
      </c>
      <c r="D17938" t="s">
        <v>20</v>
      </c>
      <c r="E17938" t="s">
        <v>39</v>
      </c>
      <c r="F17938">
        <v>0</v>
      </c>
      <c r="G17938">
        <v>0</v>
      </c>
      <c r="H17938">
        <v>2</v>
      </c>
      <c r="I17938" s="3">
        <v>972.08</v>
      </c>
      <c r="J17938" s="3">
        <v>0</v>
      </c>
      <c r="L17938">
        <v>41</v>
      </c>
      <c r="M17938" t="s">
        <v>36396</v>
      </c>
      <c r="N17938" t="s">
        <v>30</v>
      </c>
      <c r="O17938" t="s">
        <v>31</v>
      </c>
      <c r="P17938" t="str">
        <f>"15228"</f>
        <v>15228</v>
      </c>
    </row>
    <row r="17939" spans="1:16" x14ac:dyDescent="0.25">
      <c r="A17939" t="str">
        <f>"1260078R00136    00"</f>
        <v>1260078R00136    00</v>
      </c>
      <c r="B17939" t="s">
        <v>34838</v>
      </c>
      <c r="C17939" t="s">
        <v>34740</v>
      </c>
      <c r="D17939" t="s">
        <v>20</v>
      </c>
      <c r="E17939" t="s">
        <v>39</v>
      </c>
      <c r="F17939">
        <v>0</v>
      </c>
      <c r="G17939">
        <v>0</v>
      </c>
      <c r="H17939">
        <v>1</v>
      </c>
      <c r="I17939" s="3">
        <v>276.38</v>
      </c>
      <c r="J17939" s="3">
        <v>0</v>
      </c>
      <c r="L17939">
        <v>3691</v>
      </c>
      <c r="M17939" t="s">
        <v>31552</v>
      </c>
      <c r="N17939" t="s">
        <v>30</v>
      </c>
      <c r="O17939" t="s">
        <v>31</v>
      </c>
      <c r="P17939" t="str">
        <f>"15212"</f>
        <v>15212</v>
      </c>
    </row>
    <row r="17940" spans="1:16" x14ac:dyDescent="0.25">
      <c r="A17940" t="str">
        <f>"1260078R00180    00"</f>
        <v>1260078R00180    00</v>
      </c>
      <c r="B17940" t="s">
        <v>38973</v>
      </c>
      <c r="C17940" t="s">
        <v>38974</v>
      </c>
      <c r="E17940" t="s">
        <v>39</v>
      </c>
      <c r="F17940">
        <v>0</v>
      </c>
      <c r="G17940">
        <v>0</v>
      </c>
      <c r="H17940">
        <v>9</v>
      </c>
      <c r="I17940" s="3">
        <v>1355.29</v>
      </c>
      <c r="J17940" s="3">
        <v>732.99</v>
      </c>
      <c r="L17940">
        <v>2534</v>
      </c>
      <c r="M17940" t="s">
        <v>33466</v>
      </c>
      <c r="N17940" t="s">
        <v>30</v>
      </c>
      <c r="O17940" t="s">
        <v>31</v>
      </c>
      <c r="P17940" t="str">
        <f>"15212"</f>
        <v>15212</v>
      </c>
    </row>
    <row r="17941" spans="1:16" x14ac:dyDescent="0.25">
      <c r="A17941" t="str">
        <f>"1260115B00004    00"</f>
        <v>1260115B00004    00</v>
      </c>
      <c r="B17941" t="s">
        <v>38975</v>
      </c>
      <c r="C17941" t="s">
        <v>38976</v>
      </c>
      <c r="E17941" t="s">
        <v>39</v>
      </c>
      <c r="F17941">
        <v>0</v>
      </c>
      <c r="G17941">
        <v>0</v>
      </c>
      <c r="H17941">
        <v>1</v>
      </c>
      <c r="I17941" s="3">
        <v>99.56</v>
      </c>
      <c r="J17941" s="3">
        <v>0</v>
      </c>
      <c r="L17941">
        <v>228</v>
      </c>
      <c r="M17941" t="s">
        <v>9578</v>
      </c>
      <c r="N17941" t="s">
        <v>199</v>
      </c>
      <c r="O17941" t="s">
        <v>200</v>
      </c>
      <c r="P17941" t="str">
        <f>"10003"</f>
        <v>10003</v>
      </c>
    </row>
    <row r="17942" spans="1:16" x14ac:dyDescent="0.25">
      <c r="A17942" t="str">
        <f>"1260115B00005    00"</f>
        <v>1260115B00005    00</v>
      </c>
      <c r="B17942" t="s">
        <v>38975</v>
      </c>
      <c r="C17942" t="s">
        <v>38977</v>
      </c>
      <c r="E17942" t="s">
        <v>39</v>
      </c>
      <c r="F17942">
        <v>0</v>
      </c>
      <c r="G17942">
        <v>0</v>
      </c>
      <c r="H17942">
        <v>2</v>
      </c>
      <c r="I17942" s="3">
        <v>164.44</v>
      </c>
      <c r="J17942" s="3">
        <v>2.81</v>
      </c>
      <c r="K17942" t="s">
        <v>38978</v>
      </c>
      <c r="L17942">
        <v>228</v>
      </c>
      <c r="M17942" t="s">
        <v>9578</v>
      </c>
      <c r="N17942" t="s">
        <v>199</v>
      </c>
      <c r="O17942" t="s">
        <v>200</v>
      </c>
      <c r="P17942" t="str">
        <f>"10003"</f>
        <v>10003</v>
      </c>
    </row>
    <row r="17943" spans="1:16" x14ac:dyDescent="0.25">
      <c r="A17943" t="str">
        <f>"1260115B00027    00"</f>
        <v>1260115B00027    00</v>
      </c>
      <c r="B17943" t="s">
        <v>38979</v>
      </c>
      <c r="C17943" t="s">
        <v>38980</v>
      </c>
      <c r="D17943" t="s">
        <v>20</v>
      </c>
      <c r="E17943" t="s">
        <v>39</v>
      </c>
      <c r="F17943">
        <v>0</v>
      </c>
      <c r="G17943">
        <v>0</v>
      </c>
      <c r="H17943">
        <v>9</v>
      </c>
      <c r="I17943" s="3">
        <v>3496.92</v>
      </c>
      <c r="J17943" s="3">
        <v>1216.3</v>
      </c>
      <c r="L17943">
        <v>520</v>
      </c>
      <c r="M17943" t="s">
        <v>38981</v>
      </c>
      <c r="N17943" t="s">
        <v>30</v>
      </c>
      <c r="O17943" t="s">
        <v>31</v>
      </c>
      <c r="P17943" t="str">
        <f>"15214"</f>
        <v>15214</v>
      </c>
    </row>
    <row r="17944" spans="1:16" x14ac:dyDescent="0.25">
      <c r="A17944" t="str">
        <f>"1260115B00032    00"</f>
        <v>1260115B00032    00</v>
      </c>
      <c r="B17944" t="s">
        <v>38982</v>
      </c>
      <c r="C17944" t="s">
        <v>38983</v>
      </c>
      <c r="D17944" t="s">
        <v>20</v>
      </c>
      <c r="E17944" t="s">
        <v>39</v>
      </c>
      <c r="F17944">
        <v>0</v>
      </c>
      <c r="G17944">
        <v>0</v>
      </c>
      <c r="H17944">
        <v>5</v>
      </c>
      <c r="I17944" s="3">
        <v>7051.82</v>
      </c>
      <c r="J17944" s="3">
        <v>1248.3</v>
      </c>
      <c r="L17944">
        <v>514</v>
      </c>
      <c r="M17944" t="s">
        <v>38981</v>
      </c>
      <c r="N17944" t="s">
        <v>30</v>
      </c>
      <c r="O17944" t="s">
        <v>31</v>
      </c>
      <c r="P17944" t="str">
        <f>"15214"</f>
        <v>15214</v>
      </c>
    </row>
    <row r="17945" spans="1:16" x14ac:dyDescent="0.25">
      <c r="A17945" t="str">
        <f>"1260115B00038    00"</f>
        <v>1260115B00038    00</v>
      </c>
      <c r="B17945" t="s">
        <v>38982</v>
      </c>
      <c r="C17945" t="s">
        <v>38984</v>
      </c>
      <c r="D17945" t="s">
        <v>20</v>
      </c>
      <c r="E17945" t="s">
        <v>39</v>
      </c>
      <c r="F17945">
        <v>0</v>
      </c>
      <c r="G17945">
        <v>0</v>
      </c>
      <c r="H17945">
        <v>5</v>
      </c>
      <c r="I17945" s="3">
        <v>1890.71</v>
      </c>
      <c r="J17945" s="3">
        <v>302.33</v>
      </c>
      <c r="L17945">
        <v>514</v>
      </c>
      <c r="M17945" t="s">
        <v>38981</v>
      </c>
      <c r="N17945" t="s">
        <v>30</v>
      </c>
      <c r="O17945" t="s">
        <v>31</v>
      </c>
      <c r="P17945" t="str">
        <f>"15214"</f>
        <v>15214</v>
      </c>
    </row>
    <row r="17946" spans="1:16" x14ac:dyDescent="0.25">
      <c r="A17946" t="str">
        <f>"1260115B00046    00"</f>
        <v>1260115B00046    00</v>
      </c>
      <c r="B17946" t="s">
        <v>38985</v>
      </c>
      <c r="C17946" t="s">
        <v>38986</v>
      </c>
      <c r="D17946" t="s">
        <v>20</v>
      </c>
      <c r="E17946" t="s">
        <v>39</v>
      </c>
      <c r="F17946">
        <v>0</v>
      </c>
      <c r="G17946">
        <v>0</v>
      </c>
      <c r="H17946">
        <v>2</v>
      </c>
      <c r="I17946" s="3">
        <v>1557.96</v>
      </c>
      <c r="J17946" s="3">
        <v>0</v>
      </c>
      <c r="K17946" t="s">
        <v>38987</v>
      </c>
      <c r="L17946">
        <v>3429</v>
      </c>
      <c r="M17946" t="s">
        <v>38988</v>
      </c>
      <c r="N17946" t="s">
        <v>30</v>
      </c>
      <c r="O17946" t="s">
        <v>31</v>
      </c>
      <c r="P17946" t="str">
        <f>"15212"</f>
        <v>15212</v>
      </c>
    </row>
    <row r="17947" spans="1:16" x14ac:dyDescent="0.25">
      <c r="A17947" t="str">
        <f>"1260115B00048    00"</f>
        <v>1260115B00048    00</v>
      </c>
      <c r="B17947" t="s">
        <v>38989</v>
      </c>
      <c r="C17947" t="s">
        <v>38984</v>
      </c>
      <c r="D17947" t="s">
        <v>20</v>
      </c>
      <c r="E17947" t="s">
        <v>39</v>
      </c>
      <c r="F17947">
        <v>0</v>
      </c>
      <c r="G17947">
        <v>0</v>
      </c>
      <c r="H17947">
        <v>3</v>
      </c>
      <c r="I17947" s="3">
        <v>192.33</v>
      </c>
      <c r="J17947" s="3">
        <v>0</v>
      </c>
      <c r="L17947">
        <v>500</v>
      </c>
      <c r="M17947" t="s">
        <v>38990</v>
      </c>
      <c r="N17947" t="s">
        <v>30</v>
      </c>
      <c r="O17947" t="s">
        <v>31</v>
      </c>
      <c r="P17947" t="str">
        <f>"15214"</f>
        <v>15214</v>
      </c>
    </row>
    <row r="17948" spans="1:16" x14ac:dyDescent="0.25">
      <c r="A17948" t="str">
        <f>"1260115B00070    00"</f>
        <v>1260115B00070    00</v>
      </c>
      <c r="B17948" t="s">
        <v>38991</v>
      </c>
      <c r="C17948" t="s">
        <v>38992</v>
      </c>
      <c r="D17948" t="s">
        <v>20</v>
      </c>
      <c r="E17948" t="s">
        <v>39</v>
      </c>
      <c r="F17948">
        <v>0</v>
      </c>
      <c r="G17948">
        <v>0</v>
      </c>
      <c r="H17948">
        <v>7</v>
      </c>
      <c r="I17948" s="3">
        <v>8899.34</v>
      </c>
      <c r="J17948" s="3">
        <v>2065.31</v>
      </c>
      <c r="L17948">
        <v>515</v>
      </c>
      <c r="M17948" t="s">
        <v>38990</v>
      </c>
      <c r="N17948" t="s">
        <v>30</v>
      </c>
      <c r="O17948" t="s">
        <v>31</v>
      </c>
      <c r="P17948" t="str">
        <f>"15214"</f>
        <v>15214</v>
      </c>
    </row>
    <row r="17949" spans="1:16" x14ac:dyDescent="0.25">
      <c r="A17949" t="str">
        <f>"1260115B00117    00"</f>
        <v>1260115B00117    00</v>
      </c>
      <c r="B17949" t="s">
        <v>38993</v>
      </c>
      <c r="C17949" t="s">
        <v>38994</v>
      </c>
      <c r="D17949" t="s">
        <v>20</v>
      </c>
      <c r="E17949" t="s">
        <v>21</v>
      </c>
      <c r="F17949">
        <v>0</v>
      </c>
      <c r="G17949">
        <v>0</v>
      </c>
      <c r="H17949">
        <v>11</v>
      </c>
      <c r="I17949" s="3">
        <v>181.95</v>
      </c>
      <c r="J17949" s="3">
        <v>87.34</v>
      </c>
      <c r="P17949" t="str">
        <f>""</f>
        <v/>
      </c>
    </row>
    <row r="17950" spans="1:16" x14ac:dyDescent="0.25">
      <c r="A17950" t="str">
        <f>"1260115B00130    00"</f>
        <v>1260115B00130    00</v>
      </c>
      <c r="B17950" t="s">
        <v>38995</v>
      </c>
      <c r="C17950" t="s">
        <v>38996</v>
      </c>
      <c r="D17950" t="s">
        <v>20</v>
      </c>
      <c r="E17950" t="s">
        <v>39</v>
      </c>
      <c r="F17950">
        <v>0</v>
      </c>
      <c r="G17950">
        <v>0</v>
      </c>
      <c r="H17950">
        <v>4</v>
      </c>
      <c r="I17950" s="3">
        <v>540.87</v>
      </c>
      <c r="J17950" s="3">
        <v>60.34</v>
      </c>
      <c r="L17950">
        <v>32</v>
      </c>
      <c r="M17950" t="s">
        <v>38997</v>
      </c>
      <c r="N17950" t="s">
        <v>2059</v>
      </c>
      <c r="O17950" t="s">
        <v>31</v>
      </c>
      <c r="P17950" t="str">
        <f>"15642"</f>
        <v>15642</v>
      </c>
    </row>
    <row r="17951" spans="1:16" x14ac:dyDescent="0.25">
      <c r="A17951" t="str">
        <f>"1260115B00131    00"</f>
        <v>1260115B00131    00</v>
      </c>
      <c r="B17951" t="s">
        <v>38995</v>
      </c>
      <c r="C17951" t="s">
        <v>38998</v>
      </c>
      <c r="D17951" t="s">
        <v>20</v>
      </c>
      <c r="E17951" t="s">
        <v>39</v>
      </c>
      <c r="F17951">
        <v>0</v>
      </c>
      <c r="G17951">
        <v>0</v>
      </c>
      <c r="H17951">
        <v>4</v>
      </c>
      <c r="I17951" s="3">
        <v>2757.58</v>
      </c>
      <c r="J17951" s="3">
        <v>392.96</v>
      </c>
      <c r="L17951">
        <v>32</v>
      </c>
      <c r="M17951" t="s">
        <v>38997</v>
      </c>
      <c r="N17951" t="s">
        <v>2059</v>
      </c>
      <c r="O17951" t="s">
        <v>31</v>
      </c>
      <c r="P17951" t="str">
        <f>"15642"</f>
        <v>15642</v>
      </c>
    </row>
    <row r="17952" spans="1:16" x14ac:dyDescent="0.25">
      <c r="A17952" t="str">
        <f>"1260115B00132    00"</f>
        <v>1260115B00132    00</v>
      </c>
      <c r="B17952" t="s">
        <v>36704</v>
      </c>
      <c r="C17952" t="s">
        <v>38999</v>
      </c>
      <c r="D17952" t="s">
        <v>20</v>
      </c>
      <c r="E17952" t="s">
        <v>39</v>
      </c>
      <c r="F17952">
        <v>0</v>
      </c>
      <c r="G17952">
        <v>0</v>
      </c>
      <c r="H17952">
        <v>14</v>
      </c>
      <c r="I17952" s="3">
        <v>1159.6199999999999</v>
      </c>
      <c r="J17952" s="3">
        <v>651.91</v>
      </c>
      <c r="L17952">
        <v>1631</v>
      </c>
      <c r="M17952" t="s">
        <v>36409</v>
      </c>
      <c r="N17952" t="s">
        <v>30</v>
      </c>
      <c r="O17952" t="s">
        <v>31</v>
      </c>
      <c r="P17952" t="str">
        <f>"15212"</f>
        <v>15212</v>
      </c>
    </row>
    <row r="17953" spans="1:16" x14ac:dyDescent="0.25">
      <c r="A17953" t="str">
        <f>"1260115B00133    00"</f>
        <v>1260115B00133    00</v>
      </c>
      <c r="B17953" t="s">
        <v>36704</v>
      </c>
      <c r="C17953" t="s">
        <v>38999</v>
      </c>
      <c r="D17953" t="s">
        <v>33</v>
      </c>
      <c r="E17953" t="s">
        <v>39</v>
      </c>
      <c r="F17953">
        <v>0</v>
      </c>
      <c r="G17953">
        <v>0</v>
      </c>
      <c r="H17953">
        <v>12</v>
      </c>
      <c r="I17953" s="3">
        <v>5415.88</v>
      </c>
      <c r="J17953" s="3">
        <v>1523.55</v>
      </c>
      <c r="L17953">
        <v>1631</v>
      </c>
      <c r="M17953" t="s">
        <v>36409</v>
      </c>
      <c r="N17953" t="s">
        <v>30</v>
      </c>
      <c r="O17953" t="s">
        <v>31</v>
      </c>
      <c r="P17953" t="str">
        <f>"15212"</f>
        <v>15212</v>
      </c>
    </row>
    <row r="17954" spans="1:16" x14ac:dyDescent="0.25">
      <c r="A17954" t="str">
        <f>"1260115B00134    00"</f>
        <v>1260115B00134    00</v>
      </c>
      <c r="B17954" t="s">
        <v>39000</v>
      </c>
      <c r="C17954" t="s">
        <v>39001</v>
      </c>
      <c r="E17954" t="s">
        <v>39</v>
      </c>
      <c r="F17954">
        <v>0</v>
      </c>
      <c r="G17954">
        <v>0</v>
      </c>
      <c r="H17954">
        <v>1</v>
      </c>
      <c r="I17954" s="3">
        <v>914.88</v>
      </c>
      <c r="J17954" s="3">
        <v>0</v>
      </c>
      <c r="L17954">
        <v>505</v>
      </c>
      <c r="M17954" t="s">
        <v>38981</v>
      </c>
      <c r="N17954" t="s">
        <v>30</v>
      </c>
      <c r="O17954" t="s">
        <v>31</v>
      </c>
      <c r="P17954" t="str">
        <f>"15214"</f>
        <v>15214</v>
      </c>
    </row>
    <row r="17955" spans="1:16" x14ac:dyDescent="0.25">
      <c r="A17955" t="str">
        <f>"1260115B00159    00"</f>
        <v>1260115B00159    00</v>
      </c>
      <c r="B17955" t="s">
        <v>39002</v>
      </c>
      <c r="C17955" t="s">
        <v>38996</v>
      </c>
      <c r="D17955" t="s">
        <v>20</v>
      </c>
      <c r="E17955" t="s">
        <v>39</v>
      </c>
      <c r="F17955">
        <v>0</v>
      </c>
      <c r="G17955">
        <v>0</v>
      </c>
      <c r="H17955">
        <v>18</v>
      </c>
      <c r="I17955" s="3">
        <v>5038.42</v>
      </c>
      <c r="J17955" s="3">
        <v>6778.24</v>
      </c>
      <c r="K17955" t="s">
        <v>39003</v>
      </c>
      <c r="L17955">
        <v>557</v>
      </c>
      <c r="M17955" t="s">
        <v>39004</v>
      </c>
      <c r="N17955" t="s">
        <v>30</v>
      </c>
      <c r="O17955" t="s">
        <v>31</v>
      </c>
      <c r="P17955" t="str">
        <f>"15214"</f>
        <v>15214</v>
      </c>
    </row>
    <row r="17956" spans="1:16" x14ac:dyDescent="0.25">
      <c r="A17956" t="str">
        <f>"1260115B00167    00"</f>
        <v>1260115B00167    00</v>
      </c>
      <c r="B17956" t="s">
        <v>39005</v>
      </c>
      <c r="C17956" t="s">
        <v>39006</v>
      </c>
      <c r="D17956" t="s">
        <v>20</v>
      </c>
      <c r="E17956" t="s">
        <v>39</v>
      </c>
      <c r="F17956">
        <v>0</v>
      </c>
      <c r="G17956">
        <v>0</v>
      </c>
      <c r="H17956">
        <v>19</v>
      </c>
      <c r="I17956" s="3">
        <v>14329.96</v>
      </c>
      <c r="J17956" s="3">
        <v>12173.54</v>
      </c>
      <c r="M17956" t="s">
        <v>39007</v>
      </c>
      <c r="N17956" t="s">
        <v>30</v>
      </c>
      <c r="O17956" t="s">
        <v>31</v>
      </c>
      <c r="P17956" t="str">
        <f>"15230"</f>
        <v>15230</v>
      </c>
    </row>
    <row r="17957" spans="1:16" x14ac:dyDescent="0.25">
      <c r="A17957" t="str">
        <f>"1260115B00197    00"</f>
        <v>1260115B00197    00</v>
      </c>
      <c r="B17957" t="s">
        <v>39008</v>
      </c>
      <c r="C17957" t="s">
        <v>39009</v>
      </c>
      <c r="D17957" t="s">
        <v>20</v>
      </c>
      <c r="E17957" t="s">
        <v>39</v>
      </c>
      <c r="F17957">
        <v>0</v>
      </c>
      <c r="G17957">
        <v>0</v>
      </c>
      <c r="H17957">
        <v>6</v>
      </c>
      <c r="I17957" s="3">
        <v>2399.8000000000002</v>
      </c>
      <c r="J17957" s="3">
        <v>577.24</v>
      </c>
      <c r="L17957">
        <v>511</v>
      </c>
      <c r="M17957" t="s">
        <v>39010</v>
      </c>
      <c r="N17957" t="s">
        <v>30</v>
      </c>
      <c r="O17957" t="s">
        <v>31</v>
      </c>
      <c r="P17957" t="str">
        <f>"15214"</f>
        <v>15214</v>
      </c>
    </row>
    <row r="17958" spans="1:16" x14ac:dyDescent="0.25">
      <c r="A17958" t="str">
        <f>"1260115B00199    00"</f>
        <v>1260115B00199    00</v>
      </c>
      <c r="B17958" t="s">
        <v>39011</v>
      </c>
      <c r="C17958" t="s">
        <v>39012</v>
      </c>
      <c r="D17958" t="s">
        <v>20</v>
      </c>
      <c r="E17958" t="s">
        <v>39</v>
      </c>
      <c r="F17958">
        <v>0</v>
      </c>
      <c r="G17958">
        <v>0</v>
      </c>
      <c r="H17958">
        <v>6</v>
      </c>
      <c r="I17958" s="3">
        <v>2201.54</v>
      </c>
      <c r="J17958" s="3">
        <v>1045.1099999999999</v>
      </c>
      <c r="L17958">
        <v>345</v>
      </c>
      <c r="M17958" t="s">
        <v>39010</v>
      </c>
      <c r="N17958" t="s">
        <v>30</v>
      </c>
      <c r="O17958" t="s">
        <v>31</v>
      </c>
      <c r="P17958" t="str">
        <f>"15214"</f>
        <v>15214</v>
      </c>
    </row>
    <row r="17959" spans="1:16" x14ac:dyDescent="0.25">
      <c r="A17959" t="str">
        <f>"1260115B00221    00"</f>
        <v>1260115B00221    00</v>
      </c>
      <c r="B17959" t="s">
        <v>39013</v>
      </c>
      <c r="C17959" t="s">
        <v>39014</v>
      </c>
      <c r="D17959" t="s">
        <v>20</v>
      </c>
      <c r="E17959" t="s">
        <v>39</v>
      </c>
      <c r="F17959">
        <v>0</v>
      </c>
      <c r="G17959">
        <v>0</v>
      </c>
      <c r="H17959">
        <v>1</v>
      </c>
      <c r="I17959" s="3">
        <v>756.69</v>
      </c>
      <c r="J17959" s="3">
        <v>0</v>
      </c>
      <c r="K17959" t="s">
        <v>8393</v>
      </c>
      <c r="M17959" t="s">
        <v>8394</v>
      </c>
      <c r="N17959" t="s">
        <v>8395</v>
      </c>
      <c r="O17959" t="s">
        <v>1616</v>
      </c>
      <c r="P17959" t="str">
        <f>"57709"</f>
        <v>57709</v>
      </c>
    </row>
    <row r="17960" spans="1:16" x14ac:dyDescent="0.25">
      <c r="A17960" t="str">
        <f>"1260115B00236    00"</f>
        <v>1260115B00236    00</v>
      </c>
      <c r="B17960" t="s">
        <v>39015</v>
      </c>
      <c r="C17960" t="s">
        <v>39016</v>
      </c>
      <c r="D17960" t="s">
        <v>20</v>
      </c>
      <c r="E17960" t="s">
        <v>39</v>
      </c>
      <c r="F17960">
        <v>0</v>
      </c>
      <c r="G17960">
        <v>0</v>
      </c>
      <c r="H17960">
        <v>18</v>
      </c>
      <c r="I17960" s="3">
        <v>17350.060000000001</v>
      </c>
      <c r="J17960" s="3">
        <v>21050.84</v>
      </c>
      <c r="L17960">
        <v>3992</v>
      </c>
      <c r="M17960" t="s">
        <v>39017</v>
      </c>
      <c r="N17960" t="s">
        <v>30</v>
      </c>
      <c r="O17960" t="s">
        <v>31</v>
      </c>
      <c r="P17960" t="str">
        <f>"15214"</f>
        <v>15214</v>
      </c>
    </row>
    <row r="17961" spans="1:16" x14ac:dyDescent="0.25">
      <c r="A17961" t="str">
        <f>"1260115B00241    00"</f>
        <v>1260115B00241    00</v>
      </c>
      <c r="B17961" t="s">
        <v>39018</v>
      </c>
      <c r="C17961" t="s">
        <v>39019</v>
      </c>
      <c r="D17961" t="s">
        <v>20</v>
      </c>
      <c r="E17961" t="s">
        <v>39</v>
      </c>
      <c r="F17961">
        <v>0</v>
      </c>
      <c r="G17961">
        <v>0</v>
      </c>
      <c r="H17961">
        <v>19</v>
      </c>
      <c r="I17961" s="3">
        <v>746.3</v>
      </c>
      <c r="J17961" s="3">
        <v>574.51</v>
      </c>
      <c r="L17961">
        <v>2503</v>
      </c>
      <c r="M17961" t="s">
        <v>37195</v>
      </c>
      <c r="N17961" t="s">
        <v>321</v>
      </c>
      <c r="O17961" t="s">
        <v>31</v>
      </c>
      <c r="P17961" t="str">
        <f>"15001"</f>
        <v>15001</v>
      </c>
    </row>
    <row r="17962" spans="1:16" x14ac:dyDescent="0.25">
      <c r="A17962" t="str">
        <f>"1260115B00242    00"</f>
        <v>1260115B00242    00</v>
      </c>
      <c r="B17962" t="s">
        <v>39018</v>
      </c>
      <c r="C17962" t="s">
        <v>39019</v>
      </c>
      <c r="D17962" t="s">
        <v>20</v>
      </c>
      <c r="E17962" t="s">
        <v>39</v>
      </c>
      <c r="F17962">
        <v>0</v>
      </c>
      <c r="G17962">
        <v>0</v>
      </c>
      <c r="H17962">
        <v>19</v>
      </c>
      <c r="I17962" s="3">
        <v>6402.63</v>
      </c>
      <c r="J17962" s="3">
        <v>6702.18</v>
      </c>
      <c r="L17962">
        <v>2503</v>
      </c>
      <c r="M17962" t="s">
        <v>37195</v>
      </c>
      <c r="N17962" t="s">
        <v>321</v>
      </c>
      <c r="O17962" t="s">
        <v>31</v>
      </c>
      <c r="P17962" t="str">
        <f>"15001"</f>
        <v>15001</v>
      </c>
    </row>
    <row r="17963" spans="1:16" x14ac:dyDescent="0.25">
      <c r="A17963" t="str">
        <f>"1260115B00245    00"</f>
        <v>1260115B00245    00</v>
      </c>
      <c r="B17963" t="s">
        <v>39020</v>
      </c>
      <c r="C17963" t="s">
        <v>39021</v>
      </c>
      <c r="D17963" t="s">
        <v>20</v>
      </c>
      <c r="E17963" t="s">
        <v>39</v>
      </c>
      <c r="F17963">
        <v>0</v>
      </c>
      <c r="G17963">
        <v>0</v>
      </c>
      <c r="H17963">
        <v>3</v>
      </c>
      <c r="I17963" s="3">
        <v>554.16</v>
      </c>
      <c r="J17963" s="3">
        <v>43.93</v>
      </c>
      <c r="L17963">
        <v>3952</v>
      </c>
      <c r="M17963" t="s">
        <v>39022</v>
      </c>
      <c r="N17963" t="s">
        <v>30</v>
      </c>
      <c r="O17963" t="s">
        <v>31</v>
      </c>
      <c r="P17963" t="str">
        <f>"15214"</f>
        <v>15214</v>
      </c>
    </row>
    <row r="17964" spans="1:16" x14ac:dyDescent="0.25">
      <c r="A17964" t="str">
        <f>"1260115B00252    00"</f>
        <v>1260115B00252    00</v>
      </c>
      <c r="B17964" t="s">
        <v>944</v>
      </c>
      <c r="C17964" t="s">
        <v>39023</v>
      </c>
      <c r="E17964" t="s">
        <v>39</v>
      </c>
      <c r="F17964">
        <v>0</v>
      </c>
      <c r="G17964">
        <v>0</v>
      </c>
      <c r="H17964">
        <v>1</v>
      </c>
      <c r="I17964" s="3">
        <v>262.02999999999997</v>
      </c>
      <c r="J17964" s="3">
        <v>379.93</v>
      </c>
      <c r="L17964">
        <v>200</v>
      </c>
      <c r="M17964" t="s">
        <v>946</v>
      </c>
      <c r="N17964" t="s">
        <v>30</v>
      </c>
      <c r="O17964" t="s">
        <v>31</v>
      </c>
      <c r="P17964" t="str">
        <f>"15219"</f>
        <v>15219</v>
      </c>
    </row>
    <row r="17965" spans="1:16" x14ac:dyDescent="0.25">
      <c r="A17965" t="str">
        <f>"1260115B00269    00"</f>
        <v>1260115B00269    00</v>
      </c>
      <c r="B17965" t="s">
        <v>39024</v>
      </c>
      <c r="C17965" t="s">
        <v>39025</v>
      </c>
      <c r="D17965" t="s">
        <v>20</v>
      </c>
      <c r="E17965" t="s">
        <v>39</v>
      </c>
      <c r="F17965">
        <v>0</v>
      </c>
      <c r="G17965">
        <v>0</v>
      </c>
      <c r="H17965">
        <v>17</v>
      </c>
      <c r="I17965" s="3">
        <v>3801.46</v>
      </c>
      <c r="J17965" s="3">
        <v>3324.29</v>
      </c>
      <c r="K17965" t="s">
        <v>39026</v>
      </c>
      <c r="L17965">
        <v>3935</v>
      </c>
      <c r="M17965" t="s">
        <v>39022</v>
      </c>
      <c r="N17965" t="s">
        <v>30</v>
      </c>
      <c r="O17965" t="s">
        <v>31</v>
      </c>
      <c r="P17965" t="str">
        <f t="shared" ref="P17965:P17971" si="226">"15214"</f>
        <v>15214</v>
      </c>
    </row>
    <row r="17966" spans="1:16" x14ac:dyDescent="0.25">
      <c r="A17966" t="str">
        <f>"1260115B00272    00"</f>
        <v>1260115B00272    00</v>
      </c>
      <c r="B17966" t="s">
        <v>39024</v>
      </c>
      <c r="C17966" t="s">
        <v>39027</v>
      </c>
      <c r="D17966" t="s">
        <v>20</v>
      </c>
      <c r="E17966" t="s">
        <v>39</v>
      </c>
      <c r="F17966">
        <v>0</v>
      </c>
      <c r="G17966">
        <v>0</v>
      </c>
      <c r="H17966">
        <v>15</v>
      </c>
      <c r="I17966" s="3">
        <v>13695.87</v>
      </c>
      <c r="J17966" s="3">
        <v>8424.89</v>
      </c>
      <c r="K17966" t="s">
        <v>39026</v>
      </c>
      <c r="L17966">
        <v>3935</v>
      </c>
      <c r="M17966" t="s">
        <v>39022</v>
      </c>
      <c r="N17966" t="s">
        <v>30</v>
      </c>
      <c r="O17966" t="s">
        <v>31</v>
      </c>
      <c r="P17966" t="str">
        <f t="shared" si="226"/>
        <v>15214</v>
      </c>
    </row>
    <row r="17967" spans="1:16" x14ac:dyDescent="0.25">
      <c r="A17967" t="str">
        <f>"1260115B00281    00"</f>
        <v>1260115B00281    00</v>
      </c>
      <c r="B17967" t="s">
        <v>39028</v>
      </c>
      <c r="C17967" t="s">
        <v>39029</v>
      </c>
      <c r="D17967" t="s">
        <v>20</v>
      </c>
      <c r="E17967" t="s">
        <v>39</v>
      </c>
      <c r="F17967">
        <v>0</v>
      </c>
      <c r="G17967">
        <v>0</v>
      </c>
      <c r="H17967">
        <v>8</v>
      </c>
      <c r="I17967" s="3">
        <v>7967.61</v>
      </c>
      <c r="J17967" s="3">
        <v>2607.15</v>
      </c>
      <c r="L17967">
        <v>3903</v>
      </c>
      <c r="M17967" t="s">
        <v>39022</v>
      </c>
      <c r="N17967" t="s">
        <v>30</v>
      </c>
      <c r="O17967" t="s">
        <v>31</v>
      </c>
      <c r="P17967" t="str">
        <f t="shared" si="226"/>
        <v>15214</v>
      </c>
    </row>
    <row r="17968" spans="1:16" x14ac:dyDescent="0.25">
      <c r="A17968" t="str">
        <f>"1260115B00286    00"</f>
        <v>1260115B00286    00</v>
      </c>
      <c r="B17968" t="s">
        <v>39030</v>
      </c>
      <c r="C17968" t="s">
        <v>39031</v>
      </c>
      <c r="D17968" t="s">
        <v>20</v>
      </c>
      <c r="E17968" t="s">
        <v>39</v>
      </c>
      <c r="F17968">
        <v>0</v>
      </c>
      <c r="G17968">
        <v>0</v>
      </c>
      <c r="H17968">
        <v>4</v>
      </c>
      <c r="I17968" s="3">
        <v>1357.92</v>
      </c>
      <c r="J17968" s="3">
        <v>167.21</v>
      </c>
      <c r="K17968" t="s">
        <v>39032</v>
      </c>
      <c r="L17968">
        <v>3952</v>
      </c>
      <c r="M17968" t="s">
        <v>39022</v>
      </c>
      <c r="N17968" t="s">
        <v>30</v>
      </c>
      <c r="O17968" t="s">
        <v>31</v>
      </c>
      <c r="P17968" t="str">
        <f t="shared" si="226"/>
        <v>15214</v>
      </c>
    </row>
    <row r="17969" spans="1:16" x14ac:dyDescent="0.25">
      <c r="A17969" t="str">
        <f>"1260115B00291    00"</f>
        <v>1260115B00291    00</v>
      </c>
      <c r="B17969" t="s">
        <v>39033</v>
      </c>
      <c r="C17969" t="s">
        <v>39034</v>
      </c>
      <c r="D17969" t="s">
        <v>20</v>
      </c>
      <c r="E17969" t="s">
        <v>39</v>
      </c>
      <c r="F17969">
        <v>0</v>
      </c>
      <c r="G17969">
        <v>0</v>
      </c>
      <c r="H17969">
        <v>3</v>
      </c>
      <c r="I17969" s="3">
        <v>478.08</v>
      </c>
      <c r="J17969" s="3">
        <v>35</v>
      </c>
      <c r="L17969">
        <v>3983</v>
      </c>
      <c r="M17969" t="s">
        <v>39022</v>
      </c>
      <c r="N17969" t="s">
        <v>30</v>
      </c>
      <c r="O17969" t="s">
        <v>31</v>
      </c>
      <c r="P17969" t="str">
        <f t="shared" si="226"/>
        <v>15214</v>
      </c>
    </row>
    <row r="17970" spans="1:16" x14ac:dyDescent="0.25">
      <c r="A17970" t="str">
        <f>"1260115B00294    00"</f>
        <v>1260115B00294    00</v>
      </c>
      <c r="B17970" t="s">
        <v>39024</v>
      </c>
      <c r="C17970" t="s">
        <v>39025</v>
      </c>
      <c r="D17970" t="s">
        <v>20</v>
      </c>
      <c r="E17970" t="s">
        <v>39</v>
      </c>
      <c r="F17970">
        <v>0</v>
      </c>
      <c r="G17970">
        <v>0</v>
      </c>
      <c r="H17970">
        <v>14</v>
      </c>
      <c r="I17970" s="3">
        <v>5456.96</v>
      </c>
      <c r="J17970" s="3">
        <v>3418.29</v>
      </c>
      <c r="K17970" t="s">
        <v>39026</v>
      </c>
      <c r="L17970">
        <v>3935</v>
      </c>
      <c r="M17970" t="s">
        <v>39022</v>
      </c>
      <c r="N17970" t="s">
        <v>30</v>
      </c>
      <c r="O17970" t="s">
        <v>31</v>
      </c>
      <c r="P17970" t="str">
        <f t="shared" si="226"/>
        <v>15214</v>
      </c>
    </row>
    <row r="17971" spans="1:16" x14ac:dyDescent="0.25">
      <c r="A17971" t="str">
        <f>"1260115C00017    00"</f>
        <v>1260115C00017    00</v>
      </c>
      <c r="B17971" t="s">
        <v>39035</v>
      </c>
      <c r="C17971" t="s">
        <v>39036</v>
      </c>
      <c r="E17971" t="s">
        <v>39</v>
      </c>
      <c r="F17971">
        <v>0</v>
      </c>
      <c r="G17971">
        <v>0</v>
      </c>
      <c r="H17971">
        <v>1</v>
      </c>
      <c r="I17971" s="3">
        <v>793.14</v>
      </c>
      <c r="J17971" s="3">
        <v>0</v>
      </c>
      <c r="L17971">
        <v>4025</v>
      </c>
      <c r="M17971" t="s">
        <v>39037</v>
      </c>
      <c r="N17971" t="s">
        <v>30</v>
      </c>
      <c r="O17971" t="s">
        <v>31</v>
      </c>
      <c r="P17971" t="str">
        <f t="shared" si="226"/>
        <v>15214</v>
      </c>
    </row>
    <row r="17972" spans="1:16" x14ac:dyDescent="0.25">
      <c r="A17972" t="str">
        <f>"1260115C00074    00"</f>
        <v>1260115C00074    00</v>
      </c>
      <c r="B17972" t="s">
        <v>39038</v>
      </c>
      <c r="C17972" t="s">
        <v>39039</v>
      </c>
      <c r="D17972" t="s">
        <v>20</v>
      </c>
      <c r="E17972" t="s">
        <v>39</v>
      </c>
      <c r="F17972">
        <v>0</v>
      </c>
      <c r="G17972">
        <v>0</v>
      </c>
      <c r="H17972">
        <v>17</v>
      </c>
      <c r="I17972" s="3">
        <v>7483.68</v>
      </c>
      <c r="J17972" s="3">
        <v>6726.1</v>
      </c>
      <c r="L17972">
        <v>132</v>
      </c>
      <c r="M17972" t="s">
        <v>17146</v>
      </c>
      <c r="N17972" t="s">
        <v>1692</v>
      </c>
      <c r="O17972" t="s">
        <v>31</v>
      </c>
      <c r="P17972" t="str">
        <f>"15005"</f>
        <v>15005</v>
      </c>
    </row>
    <row r="17973" spans="1:16" x14ac:dyDescent="0.25">
      <c r="A17973" t="str">
        <f>"1260115C00076    00"</f>
        <v>1260115C00076    00</v>
      </c>
      <c r="B17973" t="s">
        <v>39040</v>
      </c>
      <c r="C17973" t="s">
        <v>39039</v>
      </c>
      <c r="D17973" t="s">
        <v>20</v>
      </c>
      <c r="E17973" t="s">
        <v>39</v>
      </c>
      <c r="F17973">
        <v>0</v>
      </c>
      <c r="G17973">
        <v>0</v>
      </c>
      <c r="H17973">
        <v>16</v>
      </c>
      <c r="I17973" s="3">
        <v>8976.9699999999993</v>
      </c>
      <c r="J17973" s="3">
        <v>8504.7000000000007</v>
      </c>
      <c r="L17973">
        <v>937</v>
      </c>
      <c r="M17973" t="s">
        <v>35617</v>
      </c>
      <c r="N17973" t="s">
        <v>625</v>
      </c>
      <c r="O17973" t="s">
        <v>31</v>
      </c>
      <c r="P17973" t="str">
        <f>"15108"</f>
        <v>15108</v>
      </c>
    </row>
    <row r="17974" spans="1:16" x14ac:dyDescent="0.25">
      <c r="A17974" t="str">
        <f>"1260115C00093    00"</f>
        <v>1260115C00093    00</v>
      </c>
      <c r="B17974" t="s">
        <v>39041</v>
      </c>
      <c r="C17974" t="s">
        <v>39042</v>
      </c>
      <c r="D17974" t="s">
        <v>20</v>
      </c>
      <c r="E17974" t="s">
        <v>39</v>
      </c>
      <c r="F17974">
        <v>0</v>
      </c>
      <c r="G17974">
        <v>0</v>
      </c>
      <c r="H17974">
        <v>1</v>
      </c>
      <c r="I17974" s="3">
        <v>1708.25</v>
      </c>
      <c r="J17974" s="3">
        <v>0</v>
      </c>
      <c r="L17974">
        <v>401</v>
      </c>
      <c r="M17974" t="s">
        <v>36989</v>
      </c>
      <c r="N17974" t="s">
        <v>30</v>
      </c>
      <c r="O17974" t="s">
        <v>31</v>
      </c>
      <c r="P17974" t="str">
        <f>"15214"</f>
        <v>15214</v>
      </c>
    </row>
    <row r="17975" spans="1:16" x14ac:dyDescent="0.25">
      <c r="A17975" t="str">
        <f>"1260115C00099    00"</f>
        <v>1260115C00099    00</v>
      </c>
      <c r="B17975" t="s">
        <v>39043</v>
      </c>
      <c r="C17975" t="s">
        <v>39044</v>
      </c>
      <c r="E17975" t="s">
        <v>39</v>
      </c>
      <c r="F17975">
        <v>0</v>
      </c>
      <c r="G17975">
        <v>0</v>
      </c>
      <c r="H17975">
        <v>1</v>
      </c>
      <c r="I17975" s="3">
        <v>52.96</v>
      </c>
      <c r="J17975" s="3">
        <v>15.89</v>
      </c>
      <c r="L17975">
        <v>1111</v>
      </c>
      <c r="M17975" t="s">
        <v>39045</v>
      </c>
      <c r="N17975" t="s">
        <v>30</v>
      </c>
      <c r="O17975" t="s">
        <v>31</v>
      </c>
      <c r="P17975" t="str">
        <f>"15227"</f>
        <v>15227</v>
      </c>
    </row>
    <row r="17976" spans="1:16" x14ac:dyDescent="0.25">
      <c r="A17976" t="str">
        <f>"1260115C00107    00"</f>
        <v>1260115C00107    00</v>
      </c>
      <c r="B17976" t="s">
        <v>39046</v>
      </c>
      <c r="C17976" t="s">
        <v>38994</v>
      </c>
      <c r="D17976" t="s">
        <v>20</v>
      </c>
      <c r="E17976" t="s">
        <v>66</v>
      </c>
      <c r="F17976">
        <v>0</v>
      </c>
      <c r="G17976">
        <v>0</v>
      </c>
      <c r="H17976">
        <v>11</v>
      </c>
      <c r="I17976" s="3">
        <v>181.95</v>
      </c>
      <c r="J17976" s="3">
        <v>87.34</v>
      </c>
      <c r="P17976" t="str">
        <f>""</f>
        <v/>
      </c>
    </row>
    <row r="17977" spans="1:16" x14ac:dyDescent="0.25">
      <c r="A17977" t="str">
        <f>"1260115C00146    00"</f>
        <v>1260115C00146    00</v>
      </c>
      <c r="B17977" t="s">
        <v>14926</v>
      </c>
      <c r="C17977" t="s">
        <v>39039</v>
      </c>
      <c r="D17977" t="s">
        <v>20</v>
      </c>
      <c r="E17977" t="s">
        <v>39</v>
      </c>
      <c r="F17977">
        <v>0</v>
      </c>
      <c r="G17977">
        <v>0</v>
      </c>
      <c r="H17977">
        <v>19</v>
      </c>
      <c r="I17977" s="3">
        <v>11042.37</v>
      </c>
      <c r="J17977" s="3">
        <v>11495.56</v>
      </c>
      <c r="L17977">
        <v>2119</v>
      </c>
      <c r="M17977" t="s">
        <v>14929</v>
      </c>
      <c r="N17977" t="s">
        <v>285</v>
      </c>
      <c r="O17977" t="s">
        <v>31</v>
      </c>
      <c r="P17977" t="str">
        <f>"15120"</f>
        <v>15120</v>
      </c>
    </row>
    <row r="17978" spans="1:16" x14ac:dyDescent="0.25">
      <c r="A17978" t="str">
        <f>"1260115C00147    00"</f>
        <v>1260115C00147    00</v>
      </c>
      <c r="B17978" t="s">
        <v>39047</v>
      </c>
      <c r="C17978" t="s">
        <v>39039</v>
      </c>
      <c r="D17978" t="s">
        <v>20</v>
      </c>
      <c r="E17978" t="s">
        <v>39</v>
      </c>
      <c r="F17978">
        <v>0</v>
      </c>
      <c r="G17978">
        <v>0</v>
      </c>
      <c r="H17978">
        <v>19</v>
      </c>
      <c r="I17978" s="3">
        <v>7829.76</v>
      </c>
      <c r="J17978" s="3">
        <v>8161.37</v>
      </c>
      <c r="L17978">
        <v>3939</v>
      </c>
      <c r="M17978" t="s">
        <v>38499</v>
      </c>
      <c r="N17978" t="s">
        <v>30</v>
      </c>
      <c r="O17978" t="s">
        <v>31</v>
      </c>
      <c r="P17978" t="str">
        <f>"15214"</f>
        <v>15214</v>
      </c>
    </row>
    <row r="17979" spans="1:16" x14ac:dyDescent="0.25">
      <c r="A17979" t="str">
        <f>"1260115C00148    00"</f>
        <v>1260115C00148    00</v>
      </c>
      <c r="B17979" t="s">
        <v>39048</v>
      </c>
      <c r="C17979" t="s">
        <v>39039</v>
      </c>
      <c r="D17979" t="s">
        <v>20</v>
      </c>
      <c r="E17979" t="s">
        <v>39</v>
      </c>
      <c r="F17979">
        <v>0</v>
      </c>
      <c r="G17979">
        <v>0</v>
      </c>
      <c r="H17979">
        <v>16</v>
      </c>
      <c r="I17979" s="3">
        <v>4795.7</v>
      </c>
      <c r="J17979" s="3">
        <v>3229.95</v>
      </c>
      <c r="M17979" t="s">
        <v>39049</v>
      </c>
      <c r="N17979" t="s">
        <v>39050</v>
      </c>
      <c r="O17979" t="s">
        <v>3263</v>
      </c>
      <c r="P17979" t="str">
        <f>"97470"</f>
        <v>97470</v>
      </c>
    </row>
    <row r="17980" spans="1:16" x14ac:dyDescent="0.25">
      <c r="A17980" t="str">
        <f>"1260115C00151    00"</f>
        <v>1260115C00151    00</v>
      </c>
      <c r="B17980" t="s">
        <v>39051</v>
      </c>
      <c r="C17980" t="s">
        <v>39052</v>
      </c>
      <c r="D17980" t="s">
        <v>20</v>
      </c>
      <c r="E17980" t="s">
        <v>39</v>
      </c>
      <c r="F17980">
        <v>0</v>
      </c>
      <c r="G17980">
        <v>0</v>
      </c>
      <c r="H17980">
        <v>2</v>
      </c>
      <c r="I17980" s="3">
        <v>671.57</v>
      </c>
      <c r="J17980" s="3">
        <v>0</v>
      </c>
      <c r="L17980">
        <v>3925</v>
      </c>
      <c r="M17980" t="s">
        <v>38499</v>
      </c>
      <c r="N17980" t="s">
        <v>30</v>
      </c>
      <c r="O17980" t="s">
        <v>31</v>
      </c>
      <c r="P17980" t="str">
        <f>"15214"</f>
        <v>15214</v>
      </c>
    </row>
    <row r="17981" spans="1:16" x14ac:dyDescent="0.25">
      <c r="A17981" t="str">
        <f>"1260115C00152    00"</f>
        <v>1260115C00152    00</v>
      </c>
      <c r="B17981" t="s">
        <v>39053</v>
      </c>
      <c r="C17981" t="s">
        <v>39039</v>
      </c>
      <c r="D17981" t="s">
        <v>20</v>
      </c>
      <c r="E17981" t="s">
        <v>39</v>
      </c>
      <c r="F17981">
        <v>0</v>
      </c>
      <c r="G17981">
        <v>0</v>
      </c>
      <c r="H17981">
        <v>15</v>
      </c>
      <c r="I17981" s="3">
        <v>7689.25</v>
      </c>
      <c r="J17981" s="3">
        <v>6844.1</v>
      </c>
      <c r="L17981">
        <v>3303</v>
      </c>
      <c r="M17981" t="s">
        <v>38988</v>
      </c>
      <c r="N17981" t="s">
        <v>30</v>
      </c>
      <c r="O17981" t="s">
        <v>31</v>
      </c>
      <c r="P17981" t="str">
        <f>"15212"</f>
        <v>15212</v>
      </c>
    </row>
    <row r="17982" spans="1:16" x14ac:dyDescent="0.25">
      <c r="A17982" t="str">
        <f>"1260115C00160    00"</f>
        <v>1260115C00160    00</v>
      </c>
      <c r="B17982" t="s">
        <v>39054</v>
      </c>
      <c r="C17982" t="s">
        <v>39039</v>
      </c>
      <c r="D17982" t="s">
        <v>20</v>
      </c>
      <c r="E17982" t="s">
        <v>39</v>
      </c>
      <c r="F17982">
        <v>0</v>
      </c>
      <c r="G17982">
        <v>0</v>
      </c>
      <c r="H17982">
        <v>5</v>
      </c>
      <c r="I17982" s="3">
        <v>84.26</v>
      </c>
      <c r="J17982" s="3">
        <v>18.18</v>
      </c>
      <c r="K17982" t="s">
        <v>39055</v>
      </c>
      <c r="L17982">
        <v>3304</v>
      </c>
      <c r="M17982" t="s">
        <v>39056</v>
      </c>
      <c r="N17982" t="s">
        <v>39057</v>
      </c>
      <c r="O17982" t="s">
        <v>36778</v>
      </c>
      <c r="P17982" t="str">
        <f>"72712"</f>
        <v>72712</v>
      </c>
    </row>
    <row r="17983" spans="1:16" x14ac:dyDescent="0.25">
      <c r="A17983" t="str">
        <f>"1260115C00162    00"</f>
        <v>1260115C00162    00</v>
      </c>
      <c r="B17983" t="s">
        <v>39058</v>
      </c>
      <c r="C17983" t="s">
        <v>39059</v>
      </c>
      <c r="E17983" t="s">
        <v>39</v>
      </c>
      <c r="F17983">
        <v>0</v>
      </c>
      <c r="G17983">
        <v>0</v>
      </c>
      <c r="H17983">
        <v>1</v>
      </c>
      <c r="I17983" s="3">
        <v>823.41</v>
      </c>
      <c r="J17983" s="3">
        <v>0</v>
      </c>
      <c r="L17983">
        <v>1708</v>
      </c>
      <c r="M17983" t="s">
        <v>39060</v>
      </c>
      <c r="N17983" t="s">
        <v>30</v>
      </c>
      <c r="O17983" t="s">
        <v>31</v>
      </c>
      <c r="P17983" t="str">
        <f>"15209"</f>
        <v>15209</v>
      </c>
    </row>
    <row r="17984" spans="1:16" x14ac:dyDescent="0.25">
      <c r="A17984" t="str">
        <f>"1260115C00172    00"</f>
        <v>1260115C00172    00</v>
      </c>
      <c r="B17984" t="s">
        <v>39061</v>
      </c>
      <c r="C17984" t="s">
        <v>39062</v>
      </c>
      <c r="D17984" t="s">
        <v>20</v>
      </c>
      <c r="E17984" t="s">
        <v>39</v>
      </c>
      <c r="F17984">
        <v>0</v>
      </c>
      <c r="G17984">
        <v>0</v>
      </c>
      <c r="H17984">
        <v>3</v>
      </c>
      <c r="I17984" s="3">
        <v>343.86</v>
      </c>
      <c r="J17984" s="3">
        <v>46.44</v>
      </c>
      <c r="K17984" t="s">
        <v>39063</v>
      </c>
      <c r="L17984">
        <v>116</v>
      </c>
      <c r="M17984" t="s">
        <v>39064</v>
      </c>
      <c r="N17984" t="s">
        <v>30</v>
      </c>
      <c r="O17984" t="s">
        <v>31</v>
      </c>
      <c r="P17984" t="str">
        <f>"15229"</f>
        <v>15229</v>
      </c>
    </row>
    <row r="17985" spans="1:16" x14ac:dyDescent="0.25">
      <c r="A17985" t="str">
        <f>"1260115C00173    00"</f>
        <v>1260115C00173    00</v>
      </c>
      <c r="B17985" t="s">
        <v>39065</v>
      </c>
      <c r="C17985" t="s">
        <v>39066</v>
      </c>
      <c r="D17985" t="s">
        <v>20</v>
      </c>
      <c r="E17985" t="s">
        <v>39</v>
      </c>
      <c r="F17985">
        <v>0</v>
      </c>
      <c r="G17985">
        <v>0</v>
      </c>
      <c r="H17985">
        <v>2</v>
      </c>
      <c r="I17985" s="3">
        <v>1368.72</v>
      </c>
      <c r="J17985" s="3">
        <v>0</v>
      </c>
      <c r="K17985" t="s">
        <v>39067</v>
      </c>
      <c r="L17985">
        <v>3433</v>
      </c>
      <c r="M17985" t="s">
        <v>39068</v>
      </c>
      <c r="N17985" t="s">
        <v>30</v>
      </c>
      <c r="O17985" t="s">
        <v>31</v>
      </c>
      <c r="P17985" t="str">
        <f>"15205"</f>
        <v>15205</v>
      </c>
    </row>
    <row r="17986" spans="1:16" x14ac:dyDescent="0.25">
      <c r="A17986" t="str">
        <f>"1260115C00183    00"</f>
        <v>1260115C00183    00</v>
      </c>
      <c r="B17986" t="s">
        <v>39069</v>
      </c>
      <c r="C17986" t="s">
        <v>39070</v>
      </c>
      <c r="D17986" t="s">
        <v>20</v>
      </c>
      <c r="E17986" t="s">
        <v>39</v>
      </c>
      <c r="F17986">
        <v>0</v>
      </c>
      <c r="G17986">
        <v>0</v>
      </c>
      <c r="H17986">
        <v>19</v>
      </c>
      <c r="I17986" s="3">
        <v>20853.34</v>
      </c>
      <c r="J17986" s="3">
        <v>21301.87</v>
      </c>
      <c r="K17986" t="s">
        <v>39071</v>
      </c>
      <c r="L17986">
        <v>4028</v>
      </c>
      <c r="M17986" t="s">
        <v>38499</v>
      </c>
      <c r="N17986" t="s">
        <v>30</v>
      </c>
      <c r="O17986" t="s">
        <v>31</v>
      </c>
      <c r="P17986" t="str">
        <f>"15214"</f>
        <v>15214</v>
      </c>
    </row>
    <row r="17987" spans="1:16" x14ac:dyDescent="0.25">
      <c r="A17987" t="str">
        <f>"1260115C00184    00"</f>
        <v>1260115C00184    00</v>
      </c>
      <c r="B17987" t="s">
        <v>39072</v>
      </c>
      <c r="C17987" t="s">
        <v>39039</v>
      </c>
      <c r="D17987" t="s">
        <v>20</v>
      </c>
      <c r="E17987" t="s">
        <v>39</v>
      </c>
      <c r="F17987">
        <v>0</v>
      </c>
      <c r="G17987">
        <v>0</v>
      </c>
      <c r="H17987">
        <v>19</v>
      </c>
      <c r="I17987" s="3">
        <v>446.89</v>
      </c>
      <c r="J17987" s="3">
        <v>483.75</v>
      </c>
      <c r="L17987">
        <v>4060</v>
      </c>
      <c r="M17987" t="s">
        <v>38499</v>
      </c>
      <c r="N17987" t="s">
        <v>30</v>
      </c>
      <c r="O17987" t="s">
        <v>31</v>
      </c>
      <c r="P17987" t="str">
        <f>"15214"</f>
        <v>15214</v>
      </c>
    </row>
    <row r="17988" spans="1:16" x14ac:dyDescent="0.25">
      <c r="A17988" t="str">
        <f>"1260115C00187    00"</f>
        <v>1260115C00187    00</v>
      </c>
      <c r="B17988" t="s">
        <v>39073</v>
      </c>
      <c r="C17988" t="s">
        <v>39074</v>
      </c>
      <c r="D17988" t="s">
        <v>20</v>
      </c>
      <c r="E17988" t="s">
        <v>39</v>
      </c>
      <c r="F17988">
        <v>0</v>
      </c>
      <c r="G17988">
        <v>0</v>
      </c>
      <c r="H17988">
        <v>6</v>
      </c>
      <c r="I17988" s="3">
        <v>4326.95</v>
      </c>
      <c r="J17988" s="3">
        <v>999.06</v>
      </c>
      <c r="L17988">
        <v>5</v>
      </c>
      <c r="M17988" t="s">
        <v>38578</v>
      </c>
      <c r="N17988" t="s">
        <v>30</v>
      </c>
      <c r="O17988" t="s">
        <v>31</v>
      </c>
      <c r="P17988" t="str">
        <f>"15214"</f>
        <v>15214</v>
      </c>
    </row>
    <row r="17989" spans="1:16" x14ac:dyDescent="0.25">
      <c r="A17989" t="str">
        <f>"1260115C00192    00"</f>
        <v>1260115C00192    00</v>
      </c>
      <c r="B17989" t="s">
        <v>39075</v>
      </c>
      <c r="C17989" t="s">
        <v>39076</v>
      </c>
      <c r="D17989" t="s">
        <v>20</v>
      </c>
      <c r="E17989" t="s">
        <v>39</v>
      </c>
      <c r="F17989">
        <v>0</v>
      </c>
      <c r="G17989">
        <v>0</v>
      </c>
      <c r="H17989">
        <v>14</v>
      </c>
      <c r="I17989" s="3">
        <v>5320.27</v>
      </c>
      <c r="J17989" s="3">
        <v>5161.5</v>
      </c>
      <c r="L17989">
        <v>258</v>
      </c>
      <c r="M17989" t="s">
        <v>36739</v>
      </c>
      <c r="N17989" t="s">
        <v>30</v>
      </c>
      <c r="O17989" t="s">
        <v>31</v>
      </c>
      <c r="P17989" t="str">
        <f>"15212"</f>
        <v>15212</v>
      </c>
    </row>
    <row r="17990" spans="1:16" x14ac:dyDescent="0.25">
      <c r="A17990" t="str">
        <f>"1260115C00207    00"</f>
        <v>1260115C00207    00</v>
      </c>
      <c r="B17990" t="s">
        <v>39077</v>
      </c>
      <c r="C17990" t="s">
        <v>39078</v>
      </c>
      <c r="D17990" t="s">
        <v>20</v>
      </c>
      <c r="E17990" t="s">
        <v>39</v>
      </c>
      <c r="F17990">
        <v>0</v>
      </c>
      <c r="G17990">
        <v>0</v>
      </c>
      <c r="H17990">
        <v>1</v>
      </c>
      <c r="I17990" s="3">
        <v>444.74</v>
      </c>
      <c r="J17990" s="3">
        <v>0</v>
      </c>
      <c r="L17990">
        <v>419</v>
      </c>
      <c r="M17990" t="s">
        <v>39079</v>
      </c>
      <c r="N17990" t="s">
        <v>30</v>
      </c>
      <c r="O17990" t="s">
        <v>31</v>
      </c>
      <c r="P17990" t="str">
        <f>"15237"</f>
        <v>15237</v>
      </c>
    </row>
    <row r="17991" spans="1:16" x14ac:dyDescent="0.25">
      <c r="A17991" t="str">
        <f>"1260115C00214    00"</f>
        <v>1260115C00214    00</v>
      </c>
      <c r="B17991" t="s">
        <v>39080</v>
      </c>
      <c r="C17991" t="s">
        <v>39076</v>
      </c>
      <c r="D17991" t="s">
        <v>20</v>
      </c>
      <c r="E17991" t="s">
        <v>39</v>
      </c>
      <c r="F17991">
        <v>0</v>
      </c>
      <c r="G17991">
        <v>0</v>
      </c>
      <c r="H17991">
        <v>19</v>
      </c>
      <c r="I17991" s="3">
        <v>6642.03</v>
      </c>
      <c r="J17991" s="3">
        <v>7354.51</v>
      </c>
      <c r="K17991" t="s">
        <v>39081</v>
      </c>
      <c r="L17991">
        <v>295</v>
      </c>
      <c r="M17991" t="s">
        <v>39082</v>
      </c>
      <c r="N17991" t="s">
        <v>30</v>
      </c>
      <c r="O17991" t="s">
        <v>31</v>
      </c>
      <c r="P17991" t="str">
        <f>"15223"</f>
        <v>15223</v>
      </c>
    </row>
    <row r="17992" spans="1:16" x14ac:dyDescent="0.25">
      <c r="A17992" t="str">
        <f>"1260115C00219    00"</f>
        <v>1260115C00219    00</v>
      </c>
      <c r="B17992" t="s">
        <v>39083</v>
      </c>
      <c r="C17992" t="s">
        <v>39084</v>
      </c>
      <c r="D17992" t="s">
        <v>20</v>
      </c>
      <c r="E17992" t="s">
        <v>39</v>
      </c>
      <c r="F17992">
        <v>0</v>
      </c>
      <c r="G17992">
        <v>0</v>
      </c>
      <c r="H17992">
        <v>4</v>
      </c>
      <c r="I17992" s="3">
        <v>1169.5999999999999</v>
      </c>
      <c r="J17992" s="3">
        <v>134.56</v>
      </c>
      <c r="L17992">
        <v>3913</v>
      </c>
      <c r="M17992" t="s">
        <v>39085</v>
      </c>
      <c r="N17992" t="s">
        <v>30</v>
      </c>
      <c r="O17992" t="s">
        <v>31</v>
      </c>
      <c r="P17992" t="str">
        <f>"15214"</f>
        <v>15214</v>
      </c>
    </row>
    <row r="17993" spans="1:16" x14ac:dyDescent="0.25">
      <c r="A17993" t="str">
        <f>"1260115C00221    00"</f>
        <v>1260115C00221    00</v>
      </c>
      <c r="B17993" t="s">
        <v>39086</v>
      </c>
      <c r="C17993" t="s">
        <v>39076</v>
      </c>
      <c r="D17993" t="s">
        <v>20</v>
      </c>
      <c r="E17993" t="s">
        <v>39</v>
      </c>
      <c r="F17993">
        <v>0</v>
      </c>
      <c r="G17993">
        <v>0</v>
      </c>
      <c r="H17993">
        <v>13</v>
      </c>
      <c r="I17993" s="3">
        <v>4937.05</v>
      </c>
      <c r="J17993" s="3">
        <v>4706.28</v>
      </c>
      <c r="L17993">
        <v>3911</v>
      </c>
      <c r="M17993" t="s">
        <v>39085</v>
      </c>
      <c r="N17993" t="s">
        <v>30</v>
      </c>
      <c r="O17993" t="s">
        <v>31</v>
      </c>
      <c r="P17993" t="str">
        <f>"15214"</f>
        <v>15214</v>
      </c>
    </row>
    <row r="17994" spans="1:16" x14ac:dyDescent="0.25">
      <c r="A17994" t="str">
        <f>"1260115C00224    00"</f>
        <v>1260115C00224    00</v>
      </c>
      <c r="B17994" t="s">
        <v>39087</v>
      </c>
      <c r="C17994" t="s">
        <v>39039</v>
      </c>
      <c r="D17994" t="s">
        <v>20</v>
      </c>
      <c r="E17994" t="s">
        <v>39</v>
      </c>
      <c r="F17994">
        <v>0</v>
      </c>
      <c r="G17994">
        <v>0</v>
      </c>
      <c r="H17994">
        <v>19</v>
      </c>
      <c r="I17994" s="3">
        <v>10276.469999999999</v>
      </c>
      <c r="J17994" s="3">
        <v>10772.19</v>
      </c>
      <c r="K17994" t="s">
        <v>39088</v>
      </c>
      <c r="L17994">
        <v>114</v>
      </c>
      <c r="M17994" t="s">
        <v>10776</v>
      </c>
      <c r="N17994" t="s">
        <v>30</v>
      </c>
      <c r="O17994" t="s">
        <v>31</v>
      </c>
      <c r="P17994" t="str">
        <f>"15229"</f>
        <v>15229</v>
      </c>
    </row>
    <row r="17995" spans="1:16" x14ac:dyDescent="0.25">
      <c r="A17995" t="str">
        <f>"1260115D00071    00"</f>
        <v>1260115D00071    00</v>
      </c>
      <c r="B17995" t="s">
        <v>39089</v>
      </c>
      <c r="C17995" t="s">
        <v>39090</v>
      </c>
      <c r="D17995" t="s">
        <v>20</v>
      </c>
      <c r="E17995" t="s">
        <v>39</v>
      </c>
      <c r="F17995">
        <v>0</v>
      </c>
      <c r="G17995">
        <v>0</v>
      </c>
      <c r="H17995">
        <v>6</v>
      </c>
      <c r="I17995" s="3">
        <v>6310.8</v>
      </c>
      <c r="J17995" s="3">
        <v>1803.83</v>
      </c>
      <c r="L17995">
        <v>4008</v>
      </c>
      <c r="M17995" t="s">
        <v>39091</v>
      </c>
      <c r="N17995" t="s">
        <v>30</v>
      </c>
      <c r="O17995" t="s">
        <v>31</v>
      </c>
      <c r="P17995" t="str">
        <f>"15214"</f>
        <v>15214</v>
      </c>
    </row>
    <row r="17996" spans="1:16" x14ac:dyDescent="0.25">
      <c r="A17996" t="str">
        <f>"1260115D00093    02"</f>
        <v>1260115D00093    02</v>
      </c>
      <c r="B17996" t="s">
        <v>39092</v>
      </c>
      <c r="C17996" t="s">
        <v>39093</v>
      </c>
      <c r="D17996" t="s">
        <v>20</v>
      </c>
      <c r="E17996" t="s">
        <v>21</v>
      </c>
      <c r="F17996">
        <v>0</v>
      </c>
      <c r="G17996">
        <v>0</v>
      </c>
      <c r="H17996">
        <v>9</v>
      </c>
      <c r="I17996" s="3">
        <v>88722.83</v>
      </c>
      <c r="J17996" s="3">
        <v>33595.31</v>
      </c>
      <c r="K17996" t="s">
        <v>39094</v>
      </c>
      <c r="M17996" t="s">
        <v>39095</v>
      </c>
      <c r="N17996" t="s">
        <v>30</v>
      </c>
      <c r="O17996" t="s">
        <v>31</v>
      </c>
      <c r="P17996" t="str">
        <f>"15233"</f>
        <v>15233</v>
      </c>
    </row>
    <row r="17997" spans="1:16" x14ac:dyDescent="0.25">
      <c r="A17997" t="str">
        <f>"1260115D00135    00"</f>
        <v>1260115D00135    00</v>
      </c>
      <c r="B17997" t="s">
        <v>39096</v>
      </c>
      <c r="C17997" t="s">
        <v>39097</v>
      </c>
      <c r="D17997" t="s">
        <v>20</v>
      </c>
      <c r="E17997" t="s">
        <v>39</v>
      </c>
      <c r="F17997">
        <v>0</v>
      </c>
      <c r="G17997">
        <v>0</v>
      </c>
      <c r="H17997">
        <v>3</v>
      </c>
      <c r="I17997" s="3">
        <v>797.06</v>
      </c>
      <c r="J17997" s="3">
        <v>143.86000000000001</v>
      </c>
      <c r="K17997" t="s">
        <v>35025</v>
      </c>
      <c r="L17997">
        <v>1319</v>
      </c>
      <c r="M17997" t="s">
        <v>35026</v>
      </c>
      <c r="N17997" t="s">
        <v>30</v>
      </c>
      <c r="O17997" t="s">
        <v>31</v>
      </c>
      <c r="P17997" t="str">
        <f>"15233"</f>
        <v>15233</v>
      </c>
    </row>
    <row r="17998" spans="1:16" x14ac:dyDescent="0.25">
      <c r="A17998" t="str">
        <f>"1260115D00141    00"</f>
        <v>1260115D00141    00</v>
      </c>
      <c r="B17998" t="s">
        <v>38676</v>
      </c>
      <c r="C17998" t="s">
        <v>39098</v>
      </c>
      <c r="D17998" t="s">
        <v>20</v>
      </c>
      <c r="E17998" t="s">
        <v>39</v>
      </c>
      <c r="F17998">
        <v>0</v>
      </c>
      <c r="G17998">
        <v>0</v>
      </c>
      <c r="H17998">
        <v>19</v>
      </c>
      <c r="I17998" s="3">
        <v>1267.72</v>
      </c>
      <c r="J17998" s="3">
        <v>1698.05</v>
      </c>
      <c r="K17998" t="s">
        <v>39099</v>
      </c>
      <c r="M17998" t="s">
        <v>39100</v>
      </c>
      <c r="N17998" t="s">
        <v>39101</v>
      </c>
      <c r="P17998" t="str">
        <f>""</f>
        <v/>
      </c>
    </row>
    <row r="17999" spans="1:16" x14ac:dyDescent="0.25">
      <c r="A17999" t="str">
        <f>"1260115D00142    00"</f>
        <v>1260115D00142    00</v>
      </c>
      <c r="B17999" t="s">
        <v>39102</v>
      </c>
      <c r="C17999" t="s">
        <v>39098</v>
      </c>
      <c r="D17999" t="s">
        <v>20</v>
      </c>
      <c r="E17999" t="s">
        <v>39</v>
      </c>
      <c r="F17999">
        <v>0</v>
      </c>
      <c r="G17999">
        <v>0</v>
      </c>
      <c r="H17999">
        <v>18</v>
      </c>
      <c r="I17999" s="3">
        <v>463.5</v>
      </c>
      <c r="J17999" s="3">
        <v>449.47</v>
      </c>
      <c r="L17999">
        <v>1126</v>
      </c>
      <c r="M17999" t="s">
        <v>28700</v>
      </c>
      <c r="N17999" t="s">
        <v>903</v>
      </c>
      <c r="O17999" t="s">
        <v>31</v>
      </c>
      <c r="P17999" t="str">
        <f>"15136"</f>
        <v>15136</v>
      </c>
    </row>
    <row r="18000" spans="1:16" x14ac:dyDescent="0.25">
      <c r="A18000" t="str">
        <f>"1260115D00147    00"</f>
        <v>1260115D00147    00</v>
      </c>
      <c r="B18000" t="s">
        <v>39103</v>
      </c>
      <c r="C18000" t="s">
        <v>39104</v>
      </c>
      <c r="D18000" t="s">
        <v>20</v>
      </c>
      <c r="E18000" t="s">
        <v>39</v>
      </c>
      <c r="F18000">
        <v>0</v>
      </c>
      <c r="G18000">
        <v>0</v>
      </c>
      <c r="H18000">
        <v>6</v>
      </c>
      <c r="I18000" s="3">
        <v>11246.31</v>
      </c>
      <c r="J18000" s="3">
        <v>2522.31</v>
      </c>
      <c r="L18000">
        <v>124</v>
      </c>
      <c r="M18000" t="s">
        <v>9203</v>
      </c>
      <c r="N18000" t="s">
        <v>30</v>
      </c>
      <c r="O18000" t="s">
        <v>31</v>
      </c>
      <c r="P18000" t="str">
        <f>"15235"</f>
        <v>15235</v>
      </c>
    </row>
    <row r="18001" spans="1:16" x14ac:dyDescent="0.25">
      <c r="A18001" t="str">
        <f>"1260115D00159    00"</f>
        <v>1260115D00159    00</v>
      </c>
      <c r="B18001" t="s">
        <v>39105</v>
      </c>
      <c r="C18001" t="s">
        <v>39098</v>
      </c>
      <c r="D18001" t="s">
        <v>20</v>
      </c>
      <c r="E18001" t="s">
        <v>21</v>
      </c>
      <c r="F18001">
        <v>0</v>
      </c>
      <c r="G18001">
        <v>0</v>
      </c>
      <c r="H18001">
        <v>4</v>
      </c>
      <c r="I18001" s="3">
        <v>271.60000000000002</v>
      </c>
      <c r="J18001" s="3">
        <v>33.450000000000003</v>
      </c>
      <c r="K18001" t="s">
        <v>35025</v>
      </c>
      <c r="L18001">
        <v>1319</v>
      </c>
      <c r="M18001" t="s">
        <v>35026</v>
      </c>
      <c r="N18001" t="s">
        <v>30</v>
      </c>
      <c r="O18001" t="s">
        <v>31</v>
      </c>
      <c r="P18001" t="str">
        <f>"15233"</f>
        <v>15233</v>
      </c>
    </row>
    <row r="18002" spans="1:16" x14ac:dyDescent="0.25">
      <c r="A18002" t="str">
        <f>"1260115D00172    00"</f>
        <v>1260115D00172    00</v>
      </c>
      <c r="B18002" t="s">
        <v>218</v>
      </c>
      <c r="C18002" t="s">
        <v>39098</v>
      </c>
      <c r="E18002" t="s">
        <v>21</v>
      </c>
      <c r="F18002">
        <v>0</v>
      </c>
      <c r="G18002">
        <v>0</v>
      </c>
      <c r="H18002">
        <v>10</v>
      </c>
      <c r="I18002" s="3">
        <v>17846.48</v>
      </c>
      <c r="J18002" s="3">
        <v>15705.93</v>
      </c>
      <c r="K18002" t="s">
        <v>220</v>
      </c>
      <c r="L18002">
        <v>412</v>
      </c>
      <c r="M18002" t="s">
        <v>221</v>
      </c>
      <c r="N18002" t="s">
        <v>30</v>
      </c>
      <c r="O18002" t="s">
        <v>31</v>
      </c>
      <c r="P18002" t="str">
        <f>"15219"</f>
        <v>15219</v>
      </c>
    </row>
    <row r="18003" spans="1:16" x14ac:dyDescent="0.25">
      <c r="A18003" t="str">
        <f>"1260115D00193    00"</f>
        <v>1260115D00193    00</v>
      </c>
      <c r="B18003" t="s">
        <v>39106</v>
      </c>
      <c r="C18003" t="s">
        <v>39107</v>
      </c>
      <c r="D18003" t="s">
        <v>20</v>
      </c>
      <c r="E18003" t="s">
        <v>21</v>
      </c>
      <c r="F18003">
        <v>0</v>
      </c>
      <c r="G18003">
        <v>0</v>
      </c>
      <c r="H18003">
        <v>8</v>
      </c>
      <c r="I18003" s="3">
        <v>33243.519999999997</v>
      </c>
      <c r="J18003" s="3">
        <v>10867.81</v>
      </c>
      <c r="L18003">
        <v>120</v>
      </c>
      <c r="M18003" t="s">
        <v>15488</v>
      </c>
      <c r="N18003" t="s">
        <v>2008</v>
      </c>
      <c r="O18003" t="s">
        <v>31</v>
      </c>
      <c r="P18003" t="str">
        <f>"16066"</f>
        <v>16066</v>
      </c>
    </row>
    <row r="18004" spans="1:16" x14ac:dyDescent="0.25">
      <c r="A18004" t="str">
        <f>"1260115D00202    00"</f>
        <v>1260115D00202    00</v>
      </c>
      <c r="B18004" t="s">
        <v>39108</v>
      </c>
      <c r="C18004" t="s">
        <v>39109</v>
      </c>
      <c r="D18004" t="s">
        <v>20</v>
      </c>
      <c r="E18004" t="s">
        <v>39</v>
      </c>
      <c r="F18004">
        <v>0</v>
      </c>
      <c r="G18004">
        <v>0</v>
      </c>
      <c r="H18004">
        <v>6</v>
      </c>
      <c r="I18004" s="3">
        <v>5763.48</v>
      </c>
      <c r="J18004" s="3">
        <v>1443</v>
      </c>
      <c r="L18004">
        <v>118</v>
      </c>
      <c r="M18004" t="s">
        <v>39110</v>
      </c>
      <c r="N18004" t="s">
        <v>35298</v>
      </c>
      <c r="O18004" t="s">
        <v>31</v>
      </c>
      <c r="P18004" t="str">
        <f>"16056"</f>
        <v>16056</v>
      </c>
    </row>
    <row r="18005" spans="1:16" x14ac:dyDescent="0.25">
      <c r="A18005" t="str">
        <f>"1260115D00205    00"</f>
        <v>1260115D00205    00</v>
      </c>
      <c r="B18005" t="s">
        <v>39111</v>
      </c>
      <c r="C18005" t="s">
        <v>39112</v>
      </c>
      <c r="E18005" t="s">
        <v>39</v>
      </c>
      <c r="F18005">
        <v>0</v>
      </c>
      <c r="G18005">
        <v>0</v>
      </c>
      <c r="H18005">
        <v>3</v>
      </c>
      <c r="I18005" s="3">
        <v>487.2</v>
      </c>
      <c r="J18005" s="3">
        <v>5.38</v>
      </c>
      <c r="M18005" t="s">
        <v>39113</v>
      </c>
      <c r="N18005" t="s">
        <v>39114</v>
      </c>
      <c r="O18005" t="s">
        <v>31</v>
      </c>
      <c r="P18005" t="str">
        <f>"16133"</f>
        <v>16133</v>
      </c>
    </row>
    <row r="18006" spans="1:16" x14ac:dyDescent="0.25">
      <c r="A18006" t="str">
        <f>"1260115D00210    00"</f>
        <v>1260115D00210    00</v>
      </c>
      <c r="B18006" t="s">
        <v>39115</v>
      </c>
      <c r="C18006" t="s">
        <v>39116</v>
      </c>
      <c r="D18006" t="s">
        <v>20</v>
      </c>
      <c r="E18006" t="s">
        <v>39</v>
      </c>
      <c r="F18006">
        <v>0</v>
      </c>
      <c r="G18006">
        <v>0</v>
      </c>
      <c r="H18006">
        <v>3</v>
      </c>
      <c r="I18006" s="3">
        <v>2326.0100000000002</v>
      </c>
      <c r="J18006" s="3">
        <v>166.89</v>
      </c>
      <c r="K18006" t="s">
        <v>39117</v>
      </c>
      <c r="L18006">
        <v>3830</v>
      </c>
      <c r="M18006" t="s">
        <v>39118</v>
      </c>
      <c r="N18006" t="s">
        <v>30</v>
      </c>
      <c r="O18006" t="s">
        <v>31</v>
      </c>
      <c r="P18006" t="str">
        <f>"15214"</f>
        <v>15214</v>
      </c>
    </row>
    <row r="18007" spans="1:16" x14ac:dyDescent="0.25">
      <c r="A18007" t="str">
        <f>"1260115D00225    00"</f>
        <v>1260115D00225    00</v>
      </c>
      <c r="B18007" t="s">
        <v>39119</v>
      </c>
      <c r="C18007" t="s">
        <v>39120</v>
      </c>
      <c r="D18007" t="s">
        <v>20</v>
      </c>
      <c r="E18007" t="s">
        <v>39</v>
      </c>
      <c r="F18007">
        <v>0</v>
      </c>
      <c r="G18007">
        <v>0</v>
      </c>
      <c r="H18007">
        <v>1</v>
      </c>
      <c r="I18007" s="3">
        <v>597.04</v>
      </c>
      <c r="J18007" s="3">
        <v>0</v>
      </c>
      <c r="K18007" t="s">
        <v>391</v>
      </c>
      <c r="L18007">
        <v>1</v>
      </c>
      <c r="M18007" t="s">
        <v>392</v>
      </c>
      <c r="N18007" t="s">
        <v>393</v>
      </c>
      <c r="O18007" t="s">
        <v>394</v>
      </c>
      <c r="P18007" t="str">
        <f>"50328"</f>
        <v>50328</v>
      </c>
    </row>
    <row r="18008" spans="1:16" x14ac:dyDescent="0.25">
      <c r="A18008" t="str">
        <f>"1260115D00237    00"</f>
        <v>1260115D00237    00</v>
      </c>
      <c r="B18008" t="s">
        <v>39096</v>
      </c>
      <c r="C18008" t="s">
        <v>39121</v>
      </c>
      <c r="D18008" t="s">
        <v>20</v>
      </c>
      <c r="E18008" t="s">
        <v>21</v>
      </c>
      <c r="F18008">
        <v>0</v>
      </c>
      <c r="G18008">
        <v>0</v>
      </c>
      <c r="H18008">
        <v>2</v>
      </c>
      <c r="I18008" s="3">
        <v>4383.84</v>
      </c>
      <c r="J18008" s="3">
        <v>0</v>
      </c>
      <c r="K18008" t="s">
        <v>35025</v>
      </c>
      <c r="L18008">
        <v>1319</v>
      </c>
      <c r="M18008" t="s">
        <v>35026</v>
      </c>
      <c r="N18008" t="s">
        <v>30</v>
      </c>
      <c r="O18008" t="s">
        <v>31</v>
      </c>
      <c r="P18008" t="str">
        <f>"15233"</f>
        <v>15233</v>
      </c>
    </row>
    <row r="18009" spans="1:16" x14ac:dyDescent="0.25">
      <c r="A18009" t="str">
        <f>"1260115D00239    00"</f>
        <v>1260115D00239    00</v>
      </c>
      <c r="B18009" t="s">
        <v>39105</v>
      </c>
      <c r="C18009" t="s">
        <v>39122</v>
      </c>
      <c r="D18009" t="s">
        <v>20</v>
      </c>
      <c r="E18009" t="s">
        <v>21</v>
      </c>
      <c r="F18009">
        <v>0</v>
      </c>
      <c r="G18009">
        <v>0</v>
      </c>
      <c r="H18009">
        <v>2</v>
      </c>
      <c r="I18009" s="3">
        <v>7117.05</v>
      </c>
      <c r="J18009" s="3">
        <v>0</v>
      </c>
      <c r="K18009" t="s">
        <v>35025</v>
      </c>
      <c r="L18009">
        <v>1319</v>
      </c>
      <c r="M18009" t="s">
        <v>35026</v>
      </c>
      <c r="N18009" t="s">
        <v>30</v>
      </c>
      <c r="O18009" t="s">
        <v>31</v>
      </c>
      <c r="P18009" t="str">
        <f>"15233"</f>
        <v>15233</v>
      </c>
    </row>
    <row r="18010" spans="1:16" x14ac:dyDescent="0.25">
      <c r="A18010" t="str">
        <f>"1260115D00249    00"</f>
        <v>1260115D00249    00</v>
      </c>
      <c r="B18010" t="s">
        <v>39123</v>
      </c>
      <c r="C18010" t="s">
        <v>39124</v>
      </c>
      <c r="E18010" t="s">
        <v>39</v>
      </c>
      <c r="F18010">
        <v>0</v>
      </c>
      <c r="G18010">
        <v>0</v>
      </c>
      <c r="H18010">
        <v>2</v>
      </c>
      <c r="I18010" s="3">
        <v>700.76</v>
      </c>
      <c r="J18010" s="3">
        <v>469.33</v>
      </c>
      <c r="L18010">
        <v>3945</v>
      </c>
      <c r="M18010" t="s">
        <v>34518</v>
      </c>
      <c r="N18010" t="s">
        <v>30</v>
      </c>
      <c r="O18010" t="s">
        <v>31</v>
      </c>
      <c r="P18010" t="str">
        <f>"15214"</f>
        <v>15214</v>
      </c>
    </row>
    <row r="18011" spans="1:16" x14ac:dyDescent="0.25">
      <c r="A18011" t="str">
        <f>"1260115D00251    00"</f>
        <v>1260115D00251    00</v>
      </c>
      <c r="B18011" t="s">
        <v>39125</v>
      </c>
      <c r="C18011" t="s">
        <v>39126</v>
      </c>
      <c r="E18011" t="s">
        <v>39</v>
      </c>
      <c r="F18011">
        <v>0</v>
      </c>
      <c r="G18011">
        <v>0</v>
      </c>
      <c r="H18011">
        <v>3</v>
      </c>
      <c r="I18011" s="3">
        <v>2684.98</v>
      </c>
      <c r="J18011" s="3">
        <v>960.93</v>
      </c>
      <c r="L18011">
        <v>12328</v>
      </c>
      <c r="M18011" t="s">
        <v>39127</v>
      </c>
      <c r="N18011" t="s">
        <v>23567</v>
      </c>
      <c r="O18011" t="s">
        <v>108</v>
      </c>
      <c r="P18011" t="str">
        <f>"75035"</f>
        <v>75035</v>
      </c>
    </row>
    <row r="18012" spans="1:16" x14ac:dyDescent="0.25">
      <c r="A18012" t="str">
        <f>"1260115D00282    00"</f>
        <v>1260115D00282    00</v>
      </c>
      <c r="B18012" t="s">
        <v>39128</v>
      </c>
      <c r="C18012" t="s">
        <v>39129</v>
      </c>
      <c r="D18012" t="s">
        <v>20</v>
      </c>
      <c r="E18012" t="s">
        <v>39</v>
      </c>
      <c r="F18012">
        <v>0</v>
      </c>
      <c r="G18012">
        <v>0</v>
      </c>
      <c r="H18012">
        <v>2</v>
      </c>
      <c r="I18012" s="3">
        <v>672.71</v>
      </c>
      <c r="J18012" s="3">
        <v>0</v>
      </c>
      <c r="M18012" t="s">
        <v>39130</v>
      </c>
      <c r="N18012" t="s">
        <v>1067</v>
      </c>
      <c r="O18012" t="s">
        <v>31</v>
      </c>
      <c r="P18012" t="str">
        <f>"15143"</f>
        <v>15143</v>
      </c>
    </row>
    <row r="18013" spans="1:16" x14ac:dyDescent="0.25">
      <c r="A18013" t="str">
        <f>"1260115D00285    00"</f>
        <v>1260115D00285    00</v>
      </c>
      <c r="B18013" t="s">
        <v>39131</v>
      </c>
      <c r="C18013" t="s">
        <v>39132</v>
      </c>
      <c r="D18013" t="s">
        <v>20</v>
      </c>
      <c r="E18013" t="s">
        <v>39</v>
      </c>
      <c r="F18013">
        <v>0</v>
      </c>
      <c r="G18013">
        <v>0</v>
      </c>
      <c r="H18013">
        <v>13</v>
      </c>
      <c r="I18013" s="3">
        <v>4113.22</v>
      </c>
      <c r="J18013" s="3">
        <v>2191.21</v>
      </c>
      <c r="L18013">
        <v>22</v>
      </c>
      <c r="M18013" t="s">
        <v>39133</v>
      </c>
      <c r="N18013" t="s">
        <v>30</v>
      </c>
      <c r="O18013" t="s">
        <v>31</v>
      </c>
      <c r="P18013" t="str">
        <f>"15214"</f>
        <v>15214</v>
      </c>
    </row>
    <row r="18014" spans="1:16" x14ac:dyDescent="0.25">
      <c r="A18014" t="str">
        <f>"1260115D00292    00"</f>
        <v>1260115D00292    00</v>
      </c>
      <c r="B18014" t="s">
        <v>39096</v>
      </c>
      <c r="C18014" t="s">
        <v>39134</v>
      </c>
      <c r="D18014" t="s">
        <v>20</v>
      </c>
      <c r="E18014" t="s">
        <v>21</v>
      </c>
      <c r="F18014">
        <v>0</v>
      </c>
      <c r="G18014">
        <v>0</v>
      </c>
      <c r="H18014">
        <v>2</v>
      </c>
      <c r="I18014" s="3">
        <v>968.28</v>
      </c>
      <c r="J18014" s="3">
        <v>0</v>
      </c>
      <c r="K18014" t="s">
        <v>35025</v>
      </c>
      <c r="L18014">
        <v>1319</v>
      </c>
      <c r="M18014" t="s">
        <v>35026</v>
      </c>
      <c r="N18014" t="s">
        <v>30</v>
      </c>
      <c r="O18014" t="s">
        <v>31</v>
      </c>
      <c r="P18014" t="str">
        <f>"15233"</f>
        <v>15233</v>
      </c>
    </row>
    <row r="18015" spans="1:16" x14ac:dyDescent="0.25">
      <c r="A18015" t="str">
        <f>"1260115F00194    00"</f>
        <v>1260115F00194    00</v>
      </c>
      <c r="B18015" t="s">
        <v>39135</v>
      </c>
      <c r="C18015" t="s">
        <v>39136</v>
      </c>
      <c r="D18015" t="s">
        <v>20</v>
      </c>
      <c r="E18015" t="s">
        <v>39</v>
      </c>
      <c r="F18015">
        <v>0</v>
      </c>
      <c r="G18015">
        <v>0</v>
      </c>
      <c r="H18015">
        <v>13</v>
      </c>
      <c r="I18015" s="3">
        <v>1099.0999999999999</v>
      </c>
      <c r="J18015" s="3">
        <v>586.59</v>
      </c>
      <c r="L18015">
        <v>3901</v>
      </c>
      <c r="M18015" t="s">
        <v>39022</v>
      </c>
      <c r="N18015" t="s">
        <v>30</v>
      </c>
      <c r="O18015" t="s">
        <v>31</v>
      </c>
      <c r="P18015" t="str">
        <f>"15214"</f>
        <v>15214</v>
      </c>
    </row>
    <row r="18016" spans="1:16" x14ac:dyDescent="0.25">
      <c r="A18016" t="str">
        <f>"1260115F00204    00"</f>
        <v>1260115F00204    00</v>
      </c>
      <c r="B18016" t="s">
        <v>39137</v>
      </c>
      <c r="C18016" t="s">
        <v>39025</v>
      </c>
      <c r="D18016" t="s">
        <v>20</v>
      </c>
      <c r="E18016" t="s">
        <v>39</v>
      </c>
      <c r="F18016">
        <v>0</v>
      </c>
      <c r="G18016">
        <v>0</v>
      </c>
      <c r="H18016">
        <v>19</v>
      </c>
      <c r="I18016" s="3">
        <v>9239.14</v>
      </c>
      <c r="J18016" s="3">
        <v>6915.61</v>
      </c>
      <c r="L18016">
        <v>3903</v>
      </c>
      <c r="M18016" t="s">
        <v>39022</v>
      </c>
      <c r="N18016" t="s">
        <v>30</v>
      </c>
      <c r="O18016" t="s">
        <v>31</v>
      </c>
      <c r="P18016" t="str">
        <f>"15214"</f>
        <v>15214</v>
      </c>
    </row>
    <row r="18017" spans="1:16" x14ac:dyDescent="0.25">
      <c r="A18017" t="str">
        <f>"1260115F00211    01"</f>
        <v>1260115F00211    01</v>
      </c>
      <c r="B18017" t="s">
        <v>39024</v>
      </c>
      <c r="C18017" t="s">
        <v>39138</v>
      </c>
      <c r="D18017" t="s">
        <v>20</v>
      </c>
      <c r="E18017" t="s">
        <v>39</v>
      </c>
      <c r="F18017">
        <v>0</v>
      </c>
      <c r="G18017">
        <v>0</v>
      </c>
      <c r="H18017">
        <v>19</v>
      </c>
      <c r="I18017" s="3">
        <v>6326.32</v>
      </c>
      <c r="J18017" s="3">
        <v>6494.69</v>
      </c>
      <c r="K18017" t="s">
        <v>39026</v>
      </c>
      <c r="L18017">
        <v>3903</v>
      </c>
      <c r="M18017" t="s">
        <v>39022</v>
      </c>
      <c r="N18017" t="s">
        <v>30</v>
      </c>
      <c r="O18017" t="s">
        <v>31</v>
      </c>
      <c r="P18017" t="str">
        <f>"15241"</f>
        <v>15241</v>
      </c>
    </row>
    <row r="18018" spans="1:16" x14ac:dyDescent="0.25">
      <c r="A18018" t="str">
        <f>"1260115F00235    00"</f>
        <v>1260115F00235    00</v>
      </c>
      <c r="B18018" t="s">
        <v>39139</v>
      </c>
      <c r="C18018" t="s">
        <v>39140</v>
      </c>
      <c r="D18018" t="s">
        <v>20</v>
      </c>
      <c r="E18018" t="s">
        <v>39</v>
      </c>
      <c r="F18018">
        <v>0</v>
      </c>
      <c r="G18018">
        <v>0</v>
      </c>
      <c r="H18018">
        <v>3</v>
      </c>
      <c r="I18018" s="3">
        <v>7353.42</v>
      </c>
      <c r="J18018" s="3">
        <v>490.21</v>
      </c>
      <c r="K18018" t="s">
        <v>5141</v>
      </c>
      <c r="L18018">
        <v>1</v>
      </c>
      <c r="M18018" t="s">
        <v>5142</v>
      </c>
      <c r="N18018" t="s">
        <v>5143</v>
      </c>
      <c r="O18018" t="s">
        <v>3486</v>
      </c>
      <c r="P18018" t="str">
        <f>"60047"</f>
        <v>60047</v>
      </c>
    </row>
    <row r="18019" spans="1:16" x14ac:dyDescent="0.25">
      <c r="A18019" t="str">
        <f>"1260115F00240    00"</f>
        <v>1260115F00240    00</v>
      </c>
      <c r="B18019" t="s">
        <v>39141</v>
      </c>
      <c r="C18019" t="s">
        <v>39142</v>
      </c>
      <c r="E18019" t="s">
        <v>39</v>
      </c>
      <c r="F18019">
        <v>0</v>
      </c>
      <c r="G18019">
        <v>0</v>
      </c>
      <c r="H18019">
        <v>1</v>
      </c>
      <c r="I18019" s="3">
        <v>120.02</v>
      </c>
      <c r="J18019" s="3">
        <v>119.02</v>
      </c>
      <c r="L18019">
        <v>1300</v>
      </c>
      <c r="M18019" t="s">
        <v>13961</v>
      </c>
      <c r="N18019" t="s">
        <v>30</v>
      </c>
      <c r="O18019" t="s">
        <v>31</v>
      </c>
      <c r="P18019" t="str">
        <f>"15233"</f>
        <v>15233</v>
      </c>
    </row>
    <row r="18020" spans="1:16" x14ac:dyDescent="0.25">
      <c r="A18020" t="str">
        <f>"1260115G00013    00"</f>
        <v>1260115G00013    00</v>
      </c>
      <c r="B18020" t="s">
        <v>39143</v>
      </c>
      <c r="C18020" t="s">
        <v>39039</v>
      </c>
      <c r="D18020" t="s">
        <v>20</v>
      </c>
      <c r="E18020" t="s">
        <v>39</v>
      </c>
      <c r="F18020">
        <v>0</v>
      </c>
      <c r="G18020">
        <v>0</v>
      </c>
      <c r="H18020">
        <v>18</v>
      </c>
      <c r="I18020" s="3">
        <v>13831.01</v>
      </c>
      <c r="J18020" s="3">
        <v>14377.42</v>
      </c>
      <c r="L18020">
        <v>1631</v>
      </c>
      <c r="M18020" t="s">
        <v>36409</v>
      </c>
      <c r="N18020" t="s">
        <v>30</v>
      </c>
      <c r="O18020" t="s">
        <v>31</v>
      </c>
      <c r="P18020" t="str">
        <f>"15212"</f>
        <v>15212</v>
      </c>
    </row>
    <row r="18021" spans="1:16" x14ac:dyDescent="0.25">
      <c r="A18021" t="str">
        <f>"1260115G00015A   00"</f>
        <v>1260115G00015A   00</v>
      </c>
      <c r="B18021" t="s">
        <v>39144</v>
      </c>
      <c r="C18021" t="s">
        <v>39145</v>
      </c>
      <c r="E18021" t="s">
        <v>39</v>
      </c>
      <c r="F18021">
        <v>0</v>
      </c>
      <c r="G18021">
        <v>0</v>
      </c>
      <c r="H18021">
        <v>1</v>
      </c>
      <c r="I18021" s="3">
        <v>384.38</v>
      </c>
      <c r="J18021" s="3">
        <v>0</v>
      </c>
      <c r="K18021" t="s">
        <v>1135</v>
      </c>
      <c r="L18021">
        <v>3001</v>
      </c>
      <c r="M18021" t="s">
        <v>330</v>
      </c>
      <c r="N18021" t="s">
        <v>331</v>
      </c>
      <c r="O18021" t="s">
        <v>108</v>
      </c>
      <c r="P18021" t="str">
        <f>"75063"</f>
        <v>75063</v>
      </c>
    </row>
    <row r="18022" spans="1:16" x14ac:dyDescent="0.25">
      <c r="A18022" t="str">
        <f>"1260115G00023    00"</f>
        <v>1260115G00023    00</v>
      </c>
      <c r="B18022" t="s">
        <v>39146</v>
      </c>
      <c r="C18022" t="s">
        <v>39147</v>
      </c>
      <c r="E18022" t="s">
        <v>39</v>
      </c>
      <c r="F18022">
        <v>0</v>
      </c>
      <c r="G18022">
        <v>0</v>
      </c>
      <c r="H18022">
        <v>1</v>
      </c>
      <c r="I18022" s="3">
        <v>285.67</v>
      </c>
      <c r="J18022" s="3">
        <v>57.13</v>
      </c>
      <c r="L18022">
        <v>2245</v>
      </c>
      <c r="M18022" t="s">
        <v>39148</v>
      </c>
      <c r="N18022" t="s">
        <v>1067</v>
      </c>
      <c r="O18022" t="s">
        <v>31</v>
      </c>
      <c r="P18022" t="str">
        <f>"15143"</f>
        <v>15143</v>
      </c>
    </row>
    <row r="18023" spans="1:16" x14ac:dyDescent="0.25">
      <c r="A18023" t="str">
        <f>"1260115G00026    00"</f>
        <v>1260115G00026    00</v>
      </c>
      <c r="B18023" t="s">
        <v>39149</v>
      </c>
      <c r="C18023" t="s">
        <v>39150</v>
      </c>
      <c r="D18023" t="s">
        <v>20</v>
      </c>
      <c r="E18023" t="s">
        <v>39</v>
      </c>
      <c r="F18023">
        <v>0</v>
      </c>
      <c r="G18023">
        <v>0</v>
      </c>
      <c r="H18023">
        <v>2</v>
      </c>
      <c r="I18023" s="3">
        <v>1642.98</v>
      </c>
      <c r="J18023" s="3">
        <v>0</v>
      </c>
      <c r="L18023">
        <v>3912</v>
      </c>
      <c r="M18023" t="s">
        <v>38499</v>
      </c>
      <c r="N18023" t="s">
        <v>30</v>
      </c>
      <c r="O18023" t="s">
        <v>31</v>
      </c>
      <c r="P18023" t="str">
        <f>"15214"</f>
        <v>15214</v>
      </c>
    </row>
    <row r="18024" spans="1:16" x14ac:dyDescent="0.25">
      <c r="A18024" t="str">
        <f>"1260115G00028    00"</f>
        <v>1260115G00028    00</v>
      </c>
      <c r="B18024" t="s">
        <v>39151</v>
      </c>
      <c r="C18024" t="s">
        <v>39152</v>
      </c>
      <c r="D18024" t="s">
        <v>20</v>
      </c>
      <c r="E18024" t="s">
        <v>39</v>
      </c>
      <c r="F18024">
        <v>0</v>
      </c>
      <c r="G18024">
        <v>0</v>
      </c>
      <c r="H18024">
        <v>8</v>
      </c>
      <c r="I18024" s="3">
        <v>3240.1</v>
      </c>
      <c r="J18024" s="3">
        <v>303.14</v>
      </c>
      <c r="M18024" t="s">
        <v>39153</v>
      </c>
      <c r="N18024" t="s">
        <v>36460</v>
      </c>
      <c r="O18024" t="s">
        <v>31</v>
      </c>
      <c r="P18024" t="str">
        <f>"15127"</f>
        <v>15127</v>
      </c>
    </row>
    <row r="18025" spans="1:16" x14ac:dyDescent="0.25">
      <c r="A18025" t="str">
        <f>"1260115G00031    00"</f>
        <v>1260115G00031    00</v>
      </c>
      <c r="B18025" t="s">
        <v>21146</v>
      </c>
      <c r="C18025" t="s">
        <v>39154</v>
      </c>
      <c r="E18025" t="s">
        <v>39</v>
      </c>
      <c r="F18025">
        <v>0</v>
      </c>
      <c r="G18025">
        <v>0</v>
      </c>
      <c r="H18025">
        <v>1</v>
      </c>
      <c r="I18025" s="3">
        <v>747.18</v>
      </c>
      <c r="J18025" s="3">
        <v>0</v>
      </c>
      <c r="K18025" t="s">
        <v>21148</v>
      </c>
      <c r="M18025" t="s">
        <v>6556</v>
      </c>
      <c r="N18025" t="s">
        <v>30</v>
      </c>
      <c r="O18025" t="s">
        <v>31</v>
      </c>
      <c r="P18025" t="str">
        <f>"15201"</f>
        <v>15201</v>
      </c>
    </row>
    <row r="18026" spans="1:16" x14ac:dyDescent="0.25">
      <c r="A18026" t="str">
        <f>"1260115H00005    00"</f>
        <v>1260115H00005    00</v>
      </c>
      <c r="B18026" t="s">
        <v>39155</v>
      </c>
      <c r="C18026" t="s">
        <v>39156</v>
      </c>
      <c r="D18026" t="s">
        <v>20</v>
      </c>
      <c r="E18026" t="s">
        <v>39</v>
      </c>
      <c r="F18026">
        <v>0</v>
      </c>
      <c r="G18026">
        <v>0</v>
      </c>
      <c r="H18026">
        <v>1</v>
      </c>
      <c r="I18026" s="3">
        <v>955.39</v>
      </c>
      <c r="J18026" s="3">
        <v>0</v>
      </c>
      <c r="K18026" t="s">
        <v>417</v>
      </c>
      <c r="L18026">
        <v>3001</v>
      </c>
      <c r="M18026" t="s">
        <v>330</v>
      </c>
      <c r="N18026" t="s">
        <v>331</v>
      </c>
      <c r="O18026" t="s">
        <v>108</v>
      </c>
      <c r="P18026" t="str">
        <f>"75063"</f>
        <v>75063</v>
      </c>
    </row>
    <row r="18027" spans="1:16" x14ac:dyDescent="0.25">
      <c r="A18027" t="str">
        <f>"1260115H00032    00"</f>
        <v>1260115H00032    00</v>
      </c>
      <c r="B18027" t="s">
        <v>39157</v>
      </c>
      <c r="C18027" t="s">
        <v>39158</v>
      </c>
      <c r="D18027" t="s">
        <v>20</v>
      </c>
      <c r="E18027" t="s">
        <v>21</v>
      </c>
      <c r="F18027">
        <v>0</v>
      </c>
      <c r="G18027">
        <v>0</v>
      </c>
      <c r="H18027">
        <v>3</v>
      </c>
      <c r="I18027" s="3">
        <v>13343.88</v>
      </c>
      <c r="J18027" s="3">
        <v>195.73</v>
      </c>
      <c r="L18027">
        <v>8070</v>
      </c>
      <c r="M18027" t="s">
        <v>2874</v>
      </c>
      <c r="N18027" t="s">
        <v>30</v>
      </c>
      <c r="O18027" t="s">
        <v>31</v>
      </c>
      <c r="P18027" t="str">
        <f>"15237"</f>
        <v>15237</v>
      </c>
    </row>
    <row r="18028" spans="1:16" x14ac:dyDescent="0.25">
      <c r="A18028" t="str">
        <f>"1260115H00036    00"</f>
        <v>1260115H00036    00</v>
      </c>
      <c r="B18028" t="s">
        <v>34471</v>
      </c>
      <c r="C18028" t="s">
        <v>39159</v>
      </c>
      <c r="E18028" t="s">
        <v>21</v>
      </c>
      <c r="F18028">
        <v>0</v>
      </c>
      <c r="G18028">
        <v>0</v>
      </c>
      <c r="H18028">
        <v>1</v>
      </c>
      <c r="I18028" s="3">
        <v>1620.1</v>
      </c>
      <c r="J18028" s="3">
        <v>0</v>
      </c>
      <c r="K18028" t="s">
        <v>4801</v>
      </c>
      <c r="L18028">
        <v>1</v>
      </c>
      <c r="M18028" t="s">
        <v>4802</v>
      </c>
      <c r="N18028" t="s">
        <v>4803</v>
      </c>
      <c r="O18028" t="s">
        <v>554</v>
      </c>
      <c r="P18028" t="str">
        <f>"26003"</f>
        <v>26003</v>
      </c>
    </row>
    <row r="18029" spans="1:16" x14ac:dyDescent="0.25">
      <c r="A18029" t="str">
        <f>"1260115H00045    00"</f>
        <v>1260115H00045    00</v>
      </c>
      <c r="B18029" t="s">
        <v>39160</v>
      </c>
      <c r="C18029" t="s">
        <v>36257</v>
      </c>
      <c r="D18029" t="s">
        <v>20</v>
      </c>
      <c r="E18029" t="s">
        <v>39</v>
      </c>
      <c r="F18029">
        <v>0</v>
      </c>
      <c r="G18029">
        <v>0</v>
      </c>
      <c r="H18029">
        <v>11</v>
      </c>
      <c r="I18029" s="3">
        <v>4072.36</v>
      </c>
      <c r="J18029" s="3">
        <v>1943.56</v>
      </c>
      <c r="L18029">
        <v>3254</v>
      </c>
      <c r="M18029" t="s">
        <v>39161</v>
      </c>
      <c r="N18029" t="s">
        <v>546</v>
      </c>
      <c r="O18029" t="s">
        <v>31</v>
      </c>
      <c r="P18029" t="str">
        <f>"15044"</f>
        <v>15044</v>
      </c>
    </row>
    <row r="18030" spans="1:16" x14ac:dyDescent="0.25">
      <c r="A18030" t="str">
        <f>"1260115H00049    00"</f>
        <v>1260115H00049    00</v>
      </c>
      <c r="B18030" t="s">
        <v>39162</v>
      </c>
      <c r="C18030" t="s">
        <v>39163</v>
      </c>
      <c r="E18030" t="s">
        <v>39</v>
      </c>
      <c r="F18030">
        <v>0</v>
      </c>
      <c r="G18030">
        <v>0</v>
      </c>
      <c r="H18030">
        <v>2</v>
      </c>
      <c r="I18030" s="3">
        <v>2570.98</v>
      </c>
      <c r="J18030" s="3">
        <v>64.28</v>
      </c>
      <c r="K18030" t="s">
        <v>39164</v>
      </c>
      <c r="L18030">
        <v>211</v>
      </c>
      <c r="M18030" t="s">
        <v>37371</v>
      </c>
      <c r="N18030" t="s">
        <v>22151</v>
      </c>
      <c r="O18030" t="s">
        <v>31</v>
      </c>
      <c r="P18030" t="str">
        <f>"16063"</f>
        <v>16063</v>
      </c>
    </row>
    <row r="18031" spans="1:16" x14ac:dyDescent="0.25">
      <c r="A18031" t="str">
        <f>"1260115H00066    00"</f>
        <v>1260115H00066    00</v>
      </c>
      <c r="B18031" t="s">
        <v>39165</v>
      </c>
      <c r="C18031" t="s">
        <v>39166</v>
      </c>
      <c r="D18031" t="s">
        <v>20</v>
      </c>
      <c r="E18031" t="s">
        <v>39</v>
      </c>
      <c r="F18031">
        <v>0</v>
      </c>
      <c r="G18031">
        <v>0</v>
      </c>
      <c r="H18031">
        <v>2</v>
      </c>
      <c r="I18031" s="3">
        <v>1899.64</v>
      </c>
      <c r="J18031" s="3">
        <v>389.87</v>
      </c>
      <c r="L18031">
        <v>3851</v>
      </c>
      <c r="M18031" t="s">
        <v>34518</v>
      </c>
      <c r="N18031" t="s">
        <v>30</v>
      </c>
      <c r="O18031" t="s">
        <v>31</v>
      </c>
      <c r="P18031" t="str">
        <f>"15214"</f>
        <v>15214</v>
      </c>
    </row>
    <row r="18032" spans="1:16" x14ac:dyDescent="0.25">
      <c r="A18032" t="str">
        <f>"1260115H00093    00"</f>
        <v>1260115H00093    00</v>
      </c>
      <c r="B18032" t="s">
        <v>39167</v>
      </c>
      <c r="C18032" t="s">
        <v>39168</v>
      </c>
      <c r="D18032" t="s">
        <v>20</v>
      </c>
      <c r="E18032" t="s">
        <v>39</v>
      </c>
      <c r="F18032">
        <v>0</v>
      </c>
      <c r="G18032">
        <v>0</v>
      </c>
      <c r="H18032">
        <v>5</v>
      </c>
      <c r="I18032" s="3">
        <v>4645.21</v>
      </c>
      <c r="J18032" s="3">
        <v>696.69</v>
      </c>
      <c r="L18032">
        <v>125</v>
      </c>
      <c r="M18032" t="s">
        <v>39169</v>
      </c>
      <c r="N18032" t="s">
        <v>30</v>
      </c>
      <c r="O18032" t="s">
        <v>31</v>
      </c>
      <c r="P18032" t="str">
        <f>"15214"</f>
        <v>15214</v>
      </c>
    </row>
    <row r="18033" spans="1:16" x14ac:dyDescent="0.25">
      <c r="A18033" t="str">
        <f>"1260115H00095    00"</f>
        <v>1260115H00095    00</v>
      </c>
      <c r="B18033" t="s">
        <v>39170</v>
      </c>
      <c r="C18033" t="s">
        <v>39171</v>
      </c>
      <c r="D18033" t="s">
        <v>20</v>
      </c>
      <c r="E18033" t="s">
        <v>39</v>
      </c>
      <c r="F18033">
        <v>0</v>
      </c>
      <c r="G18033">
        <v>0</v>
      </c>
      <c r="H18033">
        <v>13</v>
      </c>
      <c r="I18033" s="3">
        <v>6855.54</v>
      </c>
      <c r="J18033" s="3">
        <v>4171.3500000000004</v>
      </c>
      <c r="L18033">
        <v>4039</v>
      </c>
      <c r="M18033" t="s">
        <v>38499</v>
      </c>
      <c r="N18033" t="s">
        <v>30</v>
      </c>
      <c r="O18033" t="s">
        <v>31</v>
      </c>
      <c r="P18033" t="str">
        <f>"15214"</f>
        <v>15214</v>
      </c>
    </row>
    <row r="18034" spans="1:16" x14ac:dyDescent="0.25">
      <c r="A18034" t="str">
        <f>"1260115H00166    00"</f>
        <v>1260115H00166    00</v>
      </c>
      <c r="B18034" t="s">
        <v>39172</v>
      </c>
      <c r="C18034" t="s">
        <v>39173</v>
      </c>
      <c r="D18034" t="s">
        <v>20</v>
      </c>
      <c r="E18034" t="s">
        <v>39</v>
      </c>
      <c r="F18034">
        <v>0</v>
      </c>
      <c r="G18034">
        <v>0</v>
      </c>
      <c r="H18034">
        <v>2</v>
      </c>
      <c r="I18034" s="3">
        <v>1502.94</v>
      </c>
      <c r="J18034" s="3">
        <v>0</v>
      </c>
      <c r="L18034">
        <v>37</v>
      </c>
      <c r="M18034" t="s">
        <v>39174</v>
      </c>
      <c r="N18034" t="s">
        <v>30</v>
      </c>
      <c r="O18034" t="s">
        <v>31</v>
      </c>
      <c r="P18034" t="str">
        <f>"15214"</f>
        <v>15214</v>
      </c>
    </row>
    <row r="18035" spans="1:16" x14ac:dyDescent="0.25">
      <c r="A18035" t="str">
        <f>"1260115H00186    00"</f>
        <v>1260115H00186    00</v>
      </c>
      <c r="B18035" t="s">
        <v>39175</v>
      </c>
      <c r="C18035" t="s">
        <v>39176</v>
      </c>
      <c r="D18035" t="s">
        <v>20</v>
      </c>
      <c r="E18035" t="s">
        <v>39</v>
      </c>
      <c r="F18035">
        <v>0</v>
      </c>
      <c r="G18035">
        <v>0</v>
      </c>
      <c r="H18035">
        <v>12</v>
      </c>
      <c r="I18035" s="3">
        <v>3705</v>
      </c>
      <c r="J18035" s="3">
        <v>2003.19</v>
      </c>
      <c r="L18035">
        <v>201</v>
      </c>
      <c r="M18035" t="s">
        <v>39177</v>
      </c>
      <c r="N18035" t="s">
        <v>30</v>
      </c>
      <c r="O18035" t="s">
        <v>31</v>
      </c>
      <c r="P18035" t="str">
        <f>"15237"</f>
        <v>15237</v>
      </c>
    </row>
    <row r="18036" spans="1:16" x14ac:dyDescent="0.25">
      <c r="A18036" t="str">
        <f>"1260115H00187    00"</f>
        <v>1260115H00187    00</v>
      </c>
      <c r="B18036" t="s">
        <v>39178</v>
      </c>
      <c r="C18036" t="s">
        <v>39179</v>
      </c>
      <c r="D18036" t="s">
        <v>20</v>
      </c>
      <c r="E18036" t="s">
        <v>39</v>
      </c>
      <c r="F18036">
        <v>0</v>
      </c>
      <c r="G18036">
        <v>0</v>
      </c>
      <c r="H18036">
        <v>10</v>
      </c>
      <c r="I18036" s="3">
        <v>7029.59</v>
      </c>
      <c r="J18036" s="3">
        <v>2892.69</v>
      </c>
      <c r="L18036">
        <v>76</v>
      </c>
      <c r="M18036" t="s">
        <v>39180</v>
      </c>
      <c r="N18036" t="s">
        <v>30</v>
      </c>
      <c r="O18036" t="s">
        <v>31</v>
      </c>
      <c r="P18036" t="str">
        <f>"15214"</f>
        <v>15214</v>
      </c>
    </row>
    <row r="18037" spans="1:16" x14ac:dyDescent="0.25">
      <c r="A18037" t="str">
        <f>"1260115H00235    00"</f>
        <v>1260115H00235    00</v>
      </c>
      <c r="B18037" t="s">
        <v>38549</v>
      </c>
      <c r="C18037" t="s">
        <v>39181</v>
      </c>
      <c r="D18037" t="s">
        <v>20</v>
      </c>
      <c r="E18037" t="s">
        <v>39</v>
      </c>
      <c r="F18037">
        <v>0</v>
      </c>
      <c r="G18037">
        <v>0</v>
      </c>
      <c r="H18037">
        <v>9</v>
      </c>
      <c r="I18037" s="3">
        <v>7178.69</v>
      </c>
      <c r="J18037" s="3">
        <v>2573.67</v>
      </c>
      <c r="K18037" t="s">
        <v>39182</v>
      </c>
      <c r="L18037">
        <v>11545</v>
      </c>
      <c r="M18037" t="s">
        <v>39183</v>
      </c>
      <c r="N18037" t="s">
        <v>8912</v>
      </c>
      <c r="O18037" t="s">
        <v>495</v>
      </c>
      <c r="P18037" t="str">
        <f>"92126"</f>
        <v>92126</v>
      </c>
    </row>
    <row r="18038" spans="1:16" x14ac:dyDescent="0.25">
      <c r="A18038" t="str">
        <f>"1260115H00298    00"</f>
        <v>1260115H00298    00</v>
      </c>
      <c r="B18038" t="s">
        <v>39184</v>
      </c>
      <c r="C18038" t="s">
        <v>39185</v>
      </c>
      <c r="D18038" t="s">
        <v>20</v>
      </c>
      <c r="E18038" t="s">
        <v>39</v>
      </c>
      <c r="F18038">
        <v>0</v>
      </c>
      <c r="G18038">
        <v>0</v>
      </c>
      <c r="H18038">
        <v>1</v>
      </c>
      <c r="I18038" s="3">
        <v>585.61</v>
      </c>
      <c r="J18038" s="3">
        <v>0</v>
      </c>
      <c r="L18038">
        <v>25</v>
      </c>
      <c r="M18038" t="s">
        <v>39186</v>
      </c>
      <c r="N18038" t="s">
        <v>30</v>
      </c>
      <c r="O18038" t="s">
        <v>31</v>
      </c>
      <c r="P18038" t="str">
        <f>"15214"</f>
        <v>15214</v>
      </c>
    </row>
    <row r="18039" spans="1:16" x14ac:dyDescent="0.25">
      <c r="A18039" t="str">
        <f>"1260115H00312    00"</f>
        <v>1260115H00312    00</v>
      </c>
      <c r="B18039" t="s">
        <v>39187</v>
      </c>
      <c r="C18039" t="s">
        <v>39176</v>
      </c>
      <c r="D18039" t="s">
        <v>20</v>
      </c>
      <c r="E18039" t="s">
        <v>39</v>
      </c>
      <c r="F18039">
        <v>0</v>
      </c>
      <c r="G18039">
        <v>0</v>
      </c>
      <c r="H18039">
        <v>18</v>
      </c>
      <c r="I18039" s="3">
        <v>10737.23</v>
      </c>
      <c r="J18039" s="3">
        <v>9822.39</v>
      </c>
      <c r="L18039">
        <v>63</v>
      </c>
      <c r="M18039" t="s">
        <v>39186</v>
      </c>
      <c r="N18039" t="s">
        <v>30</v>
      </c>
      <c r="O18039" t="s">
        <v>31</v>
      </c>
      <c r="P18039" t="str">
        <f>"15214"</f>
        <v>15214</v>
      </c>
    </row>
    <row r="18040" spans="1:16" x14ac:dyDescent="0.25">
      <c r="A18040" t="str">
        <f>"1260115H00314    00"</f>
        <v>1260115H00314    00</v>
      </c>
      <c r="B18040" t="s">
        <v>39188</v>
      </c>
      <c r="C18040" t="s">
        <v>39176</v>
      </c>
      <c r="D18040" t="s">
        <v>20</v>
      </c>
      <c r="E18040" t="s">
        <v>39</v>
      </c>
      <c r="F18040">
        <v>0</v>
      </c>
      <c r="G18040">
        <v>0</v>
      </c>
      <c r="H18040">
        <v>10</v>
      </c>
      <c r="I18040" s="3">
        <v>6402.1</v>
      </c>
      <c r="J18040" s="3">
        <v>3439.27</v>
      </c>
      <c r="L18040">
        <v>59</v>
      </c>
      <c r="M18040" t="s">
        <v>39186</v>
      </c>
      <c r="N18040" t="s">
        <v>30</v>
      </c>
      <c r="O18040" t="s">
        <v>31</v>
      </c>
      <c r="P18040" t="str">
        <f>"15214"</f>
        <v>15214</v>
      </c>
    </row>
    <row r="18041" spans="1:16" x14ac:dyDescent="0.25">
      <c r="A18041" t="str">
        <f>"1260115H00319    00"</f>
        <v>1260115H00319    00</v>
      </c>
      <c r="B18041" t="s">
        <v>39189</v>
      </c>
      <c r="C18041" t="s">
        <v>39190</v>
      </c>
      <c r="D18041" t="s">
        <v>20</v>
      </c>
      <c r="E18041" t="s">
        <v>39</v>
      </c>
      <c r="F18041">
        <v>0</v>
      </c>
      <c r="G18041">
        <v>0</v>
      </c>
      <c r="H18041">
        <v>2</v>
      </c>
      <c r="I18041" s="3">
        <v>51.69</v>
      </c>
      <c r="J18041" s="3">
        <v>1.47</v>
      </c>
      <c r="L18041">
        <v>634</v>
      </c>
      <c r="M18041" t="s">
        <v>37737</v>
      </c>
      <c r="N18041" t="s">
        <v>30</v>
      </c>
      <c r="O18041" t="s">
        <v>31</v>
      </c>
      <c r="P18041" t="str">
        <f>"15212"</f>
        <v>15212</v>
      </c>
    </row>
    <row r="18042" spans="1:16" x14ac:dyDescent="0.25">
      <c r="A18042" t="str">
        <f>"1260115H00321    00"</f>
        <v>1260115H00321    00</v>
      </c>
      <c r="B18042" t="s">
        <v>39191</v>
      </c>
      <c r="C18042" t="s">
        <v>39192</v>
      </c>
      <c r="D18042" t="s">
        <v>20</v>
      </c>
      <c r="E18042" t="s">
        <v>39</v>
      </c>
      <c r="F18042">
        <v>0</v>
      </c>
      <c r="G18042">
        <v>0</v>
      </c>
      <c r="H18042">
        <v>4</v>
      </c>
      <c r="I18042" s="3">
        <v>2992.14</v>
      </c>
      <c r="J18042" s="3">
        <v>353.46</v>
      </c>
      <c r="L18042">
        <v>47</v>
      </c>
      <c r="M18042" t="s">
        <v>39186</v>
      </c>
      <c r="N18042" t="s">
        <v>30</v>
      </c>
      <c r="O18042" t="s">
        <v>31</v>
      </c>
      <c r="P18042" t="str">
        <f>"15214"</f>
        <v>15214</v>
      </c>
    </row>
    <row r="18043" spans="1:16" x14ac:dyDescent="0.25">
      <c r="A18043" t="str">
        <f>"1260115K00107    00"</f>
        <v>1260115K00107    00</v>
      </c>
      <c r="B18043" t="s">
        <v>39193</v>
      </c>
      <c r="C18043" t="s">
        <v>39194</v>
      </c>
      <c r="D18043" t="s">
        <v>20</v>
      </c>
      <c r="E18043" t="s">
        <v>39</v>
      </c>
      <c r="F18043">
        <v>0</v>
      </c>
      <c r="G18043">
        <v>0</v>
      </c>
      <c r="H18043">
        <v>9</v>
      </c>
      <c r="I18043" s="3">
        <v>3795.28</v>
      </c>
      <c r="J18043" s="3">
        <v>1602.49</v>
      </c>
      <c r="L18043">
        <v>3214</v>
      </c>
      <c r="M18043" t="s">
        <v>39195</v>
      </c>
      <c r="N18043" t="s">
        <v>30</v>
      </c>
      <c r="O18043" t="s">
        <v>31</v>
      </c>
      <c r="P18043" t="str">
        <f>"15212"</f>
        <v>15212</v>
      </c>
    </row>
    <row r="18044" spans="1:16" x14ac:dyDescent="0.25">
      <c r="A18044" t="str">
        <f>"1260115M00101    00"</f>
        <v>1260115M00101    00</v>
      </c>
      <c r="B18044" t="s">
        <v>39196</v>
      </c>
      <c r="C18044" t="s">
        <v>39197</v>
      </c>
      <c r="E18044" t="s">
        <v>39</v>
      </c>
      <c r="F18044">
        <v>0</v>
      </c>
      <c r="G18044">
        <v>0</v>
      </c>
      <c r="H18044">
        <v>2</v>
      </c>
      <c r="I18044" s="3">
        <v>4700.22</v>
      </c>
      <c r="J18044" s="3">
        <v>195.83</v>
      </c>
      <c r="K18044" t="s">
        <v>39198</v>
      </c>
      <c r="L18044">
        <v>3333</v>
      </c>
      <c r="M18044" t="s">
        <v>39199</v>
      </c>
      <c r="N18044" t="s">
        <v>36860</v>
      </c>
      <c r="O18044" t="s">
        <v>70</v>
      </c>
      <c r="P18044" t="str">
        <f>"49546"</f>
        <v>49546</v>
      </c>
    </row>
    <row r="18045" spans="1:16" x14ac:dyDescent="0.25">
      <c r="A18045" t="str">
        <f>"1260115M00105    00"</f>
        <v>1260115M00105    00</v>
      </c>
      <c r="B18045" t="s">
        <v>39200</v>
      </c>
      <c r="C18045" t="s">
        <v>39201</v>
      </c>
      <c r="E18045" t="s">
        <v>39</v>
      </c>
      <c r="F18045">
        <v>0</v>
      </c>
      <c r="G18045">
        <v>0</v>
      </c>
      <c r="H18045">
        <v>2</v>
      </c>
      <c r="I18045" s="3">
        <v>5405.42</v>
      </c>
      <c r="J18045" s="3">
        <v>67.56</v>
      </c>
      <c r="K18045" t="s">
        <v>881</v>
      </c>
      <c r="L18045">
        <v>3001</v>
      </c>
      <c r="M18045" t="s">
        <v>330</v>
      </c>
      <c r="N18045" t="s">
        <v>331</v>
      </c>
      <c r="O18045" t="s">
        <v>108</v>
      </c>
      <c r="P18045" t="str">
        <f>"75063"</f>
        <v>75063</v>
      </c>
    </row>
    <row r="18046" spans="1:16" x14ac:dyDescent="0.25">
      <c r="A18046" t="str">
        <f>"1260115M00108    00"</f>
        <v>1260115M00108    00</v>
      </c>
      <c r="B18046" t="s">
        <v>39202</v>
      </c>
      <c r="C18046" t="s">
        <v>39203</v>
      </c>
      <c r="D18046" t="s">
        <v>20</v>
      </c>
      <c r="E18046" t="s">
        <v>39</v>
      </c>
      <c r="F18046">
        <v>0</v>
      </c>
      <c r="G18046">
        <v>0</v>
      </c>
      <c r="H18046">
        <v>3</v>
      </c>
      <c r="I18046" s="3">
        <v>273.64999999999998</v>
      </c>
      <c r="J18046" s="3">
        <v>29.47</v>
      </c>
      <c r="L18046">
        <v>3651</v>
      </c>
      <c r="M18046" t="s">
        <v>34518</v>
      </c>
      <c r="N18046" t="s">
        <v>30</v>
      </c>
      <c r="O18046" t="s">
        <v>31</v>
      </c>
      <c r="P18046" t="str">
        <f>"15214"</f>
        <v>15214</v>
      </c>
    </row>
    <row r="18047" spans="1:16" x14ac:dyDescent="0.25">
      <c r="A18047" t="str">
        <f>"1260115P00156    00"</f>
        <v>1260115P00156    00</v>
      </c>
      <c r="B18047" t="s">
        <v>39204</v>
      </c>
      <c r="C18047" t="s">
        <v>39205</v>
      </c>
      <c r="D18047" t="s">
        <v>20</v>
      </c>
      <c r="E18047" t="s">
        <v>39</v>
      </c>
      <c r="F18047">
        <v>0</v>
      </c>
      <c r="G18047">
        <v>0</v>
      </c>
      <c r="H18047">
        <v>13</v>
      </c>
      <c r="I18047" s="3">
        <v>15966.67</v>
      </c>
      <c r="J18047" s="3">
        <v>8406.57</v>
      </c>
      <c r="L18047">
        <v>706</v>
      </c>
      <c r="M18047" t="s">
        <v>37737</v>
      </c>
      <c r="N18047" t="s">
        <v>30</v>
      </c>
      <c r="O18047" t="s">
        <v>31</v>
      </c>
      <c r="P18047" t="str">
        <f>"15212"</f>
        <v>15212</v>
      </c>
    </row>
    <row r="18048" spans="1:16" x14ac:dyDescent="0.25">
      <c r="A18048" t="str">
        <f>"1260115S00076    00"</f>
        <v>1260115S00076    00</v>
      </c>
      <c r="B18048" t="s">
        <v>38439</v>
      </c>
      <c r="C18048" t="s">
        <v>39206</v>
      </c>
      <c r="E18048" t="s">
        <v>21</v>
      </c>
      <c r="F18048">
        <v>0</v>
      </c>
      <c r="G18048">
        <v>0</v>
      </c>
      <c r="H18048">
        <v>1</v>
      </c>
      <c r="I18048" s="3">
        <v>4161.46</v>
      </c>
      <c r="J18048" s="3">
        <v>1317.74</v>
      </c>
      <c r="L18048">
        <v>306</v>
      </c>
      <c r="M18048" t="s">
        <v>35361</v>
      </c>
      <c r="N18048" t="s">
        <v>30</v>
      </c>
      <c r="O18048" t="s">
        <v>31</v>
      </c>
      <c r="P18048" t="str">
        <f>"15222"</f>
        <v>15222</v>
      </c>
    </row>
    <row r="18049" spans="1:16" x14ac:dyDescent="0.25">
      <c r="A18049" t="str">
        <f>"1260115S00080    00"</f>
        <v>1260115S00080    00</v>
      </c>
      <c r="B18049" t="s">
        <v>38439</v>
      </c>
      <c r="C18049" t="s">
        <v>39207</v>
      </c>
      <c r="E18049" t="s">
        <v>39</v>
      </c>
      <c r="F18049">
        <v>0</v>
      </c>
      <c r="G18049">
        <v>0</v>
      </c>
      <c r="H18049">
        <v>1</v>
      </c>
      <c r="I18049" s="3">
        <v>383.12</v>
      </c>
      <c r="J18049" s="3">
        <v>76.62</v>
      </c>
      <c r="L18049">
        <v>306</v>
      </c>
      <c r="M18049" t="s">
        <v>38441</v>
      </c>
      <c r="N18049" t="s">
        <v>30</v>
      </c>
      <c r="O18049" t="s">
        <v>31</v>
      </c>
      <c r="P18049" t="str">
        <f>"15222"</f>
        <v>15222</v>
      </c>
    </row>
    <row r="18050" spans="1:16" x14ac:dyDescent="0.25">
      <c r="A18050" t="str">
        <f>"1260115S00094    00"</f>
        <v>1260115S00094    00</v>
      </c>
      <c r="B18050" t="s">
        <v>39208</v>
      </c>
      <c r="C18050" t="s">
        <v>39209</v>
      </c>
      <c r="E18050" t="s">
        <v>39</v>
      </c>
      <c r="F18050">
        <v>0</v>
      </c>
      <c r="G18050">
        <v>0</v>
      </c>
      <c r="H18050">
        <v>2</v>
      </c>
      <c r="I18050" s="3">
        <v>7897.5</v>
      </c>
      <c r="J18050" s="3">
        <v>0</v>
      </c>
      <c r="K18050" t="s">
        <v>39210</v>
      </c>
      <c r="L18050">
        <v>61</v>
      </c>
      <c r="M18050" t="s">
        <v>39211</v>
      </c>
      <c r="N18050" t="s">
        <v>30</v>
      </c>
      <c r="O18050" t="s">
        <v>31</v>
      </c>
      <c r="P18050" t="str">
        <f>"15214"</f>
        <v>15214</v>
      </c>
    </row>
    <row r="18051" spans="1:16" x14ac:dyDescent="0.25">
      <c r="A18051" t="str">
        <f>"1260116A00065    00"</f>
        <v>1260116A00065    00</v>
      </c>
      <c r="B18051" t="s">
        <v>39212</v>
      </c>
      <c r="C18051" t="s">
        <v>39213</v>
      </c>
      <c r="D18051" t="s">
        <v>20</v>
      </c>
      <c r="E18051" t="s">
        <v>39</v>
      </c>
      <c r="F18051">
        <v>0</v>
      </c>
      <c r="G18051">
        <v>0</v>
      </c>
      <c r="H18051">
        <v>1</v>
      </c>
      <c r="I18051" s="3">
        <v>2228.12</v>
      </c>
      <c r="J18051" s="3">
        <v>0</v>
      </c>
      <c r="K18051" t="s">
        <v>5141</v>
      </c>
      <c r="L18051">
        <v>1</v>
      </c>
      <c r="M18051" t="s">
        <v>5142</v>
      </c>
      <c r="N18051" t="s">
        <v>5143</v>
      </c>
      <c r="O18051" t="s">
        <v>3486</v>
      </c>
      <c r="P18051" t="str">
        <f>"60047"</f>
        <v>60047</v>
      </c>
    </row>
    <row r="18052" spans="1:16" x14ac:dyDescent="0.25">
      <c r="A18052" t="str">
        <f>"1260116A00152    00"</f>
        <v>1260116A00152    00</v>
      </c>
      <c r="B18052" t="s">
        <v>39214</v>
      </c>
      <c r="C18052" t="s">
        <v>39215</v>
      </c>
      <c r="D18052" t="s">
        <v>20</v>
      </c>
      <c r="E18052" t="s">
        <v>21</v>
      </c>
      <c r="F18052">
        <v>0</v>
      </c>
      <c r="G18052">
        <v>0</v>
      </c>
      <c r="H18052">
        <v>2</v>
      </c>
      <c r="I18052" s="3">
        <v>10510.88</v>
      </c>
      <c r="J18052" s="3">
        <v>0</v>
      </c>
      <c r="K18052" t="s">
        <v>39216</v>
      </c>
      <c r="L18052">
        <v>3275</v>
      </c>
      <c r="M18052" t="s">
        <v>33443</v>
      </c>
      <c r="N18052" t="s">
        <v>30</v>
      </c>
      <c r="O18052" t="s">
        <v>31</v>
      </c>
      <c r="P18052" t="str">
        <f>"15204"</f>
        <v>15204</v>
      </c>
    </row>
    <row r="18053" spans="1:16" x14ac:dyDescent="0.25">
      <c r="A18053" t="str">
        <f>"1260116A00167    00"</f>
        <v>1260116A00167    00</v>
      </c>
      <c r="B18053" t="s">
        <v>39217</v>
      </c>
      <c r="C18053" t="s">
        <v>39218</v>
      </c>
      <c r="D18053" t="s">
        <v>20</v>
      </c>
      <c r="E18053" t="s">
        <v>39</v>
      </c>
      <c r="F18053">
        <v>0</v>
      </c>
      <c r="G18053">
        <v>0</v>
      </c>
      <c r="H18053">
        <v>1</v>
      </c>
      <c r="I18053" s="3">
        <v>1500.03</v>
      </c>
      <c r="J18053" s="3">
        <v>0</v>
      </c>
      <c r="L18053">
        <v>225</v>
      </c>
      <c r="M18053" t="s">
        <v>39219</v>
      </c>
      <c r="N18053" t="s">
        <v>30</v>
      </c>
      <c r="O18053" t="s">
        <v>31</v>
      </c>
      <c r="P18053" t="str">
        <f>"15214"</f>
        <v>15214</v>
      </c>
    </row>
    <row r="18054" spans="1:16" x14ac:dyDescent="0.25">
      <c r="A18054" t="str">
        <f>"1260116A00192    00"</f>
        <v>1260116A00192    00</v>
      </c>
      <c r="B18054" t="s">
        <v>39220</v>
      </c>
      <c r="C18054" t="s">
        <v>39221</v>
      </c>
      <c r="D18054" t="s">
        <v>20</v>
      </c>
      <c r="E18054" t="s">
        <v>39</v>
      </c>
      <c r="F18054">
        <v>0</v>
      </c>
      <c r="G18054">
        <v>0</v>
      </c>
      <c r="H18054">
        <v>1</v>
      </c>
      <c r="I18054" s="3">
        <v>1435.23</v>
      </c>
      <c r="J18054" s="3">
        <v>287.04000000000002</v>
      </c>
      <c r="M18054" t="s">
        <v>35987</v>
      </c>
      <c r="N18054" t="s">
        <v>2222</v>
      </c>
      <c r="O18054" t="s">
        <v>31</v>
      </c>
      <c r="P18054" t="str">
        <f>"15015"</f>
        <v>15015</v>
      </c>
    </row>
    <row r="18055" spans="1:16" x14ac:dyDescent="0.25">
      <c r="A18055" t="str">
        <f>"1260116A00201    00"</f>
        <v>1260116A00201    00</v>
      </c>
      <c r="B18055" t="s">
        <v>39222</v>
      </c>
      <c r="C18055" t="s">
        <v>39098</v>
      </c>
      <c r="D18055" t="s">
        <v>20</v>
      </c>
      <c r="E18055" t="s">
        <v>39</v>
      </c>
      <c r="F18055">
        <v>0</v>
      </c>
      <c r="G18055">
        <v>0</v>
      </c>
      <c r="H18055">
        <v>18</v>
      </c>
      <c r="I18055" s="3">
        <v>8481.69</v>
      </c>
      <c r="J18055" s="3">
        <v>8924.02</v>
      </c>
      <c r="L18055">
        <v>572</v>
      </c>
      <c r="M18055" t="s">
        <v>39223</v>
      </c>
      <c r="N18055" t="s">
        <v>20750</v>
      </c>
      <c r="O18055" t="s">
        <v>1413</v>
      </c>
      <c r="P18055" t="str">
        <f>"27520"</f>
        <v>27520</v>
      </c>
    </row>
    <row r="18056" spans="1:16" x14ac:dyDescent="0.25">
      <c r="A18056" t="str">
        <f>"1260116A00202    00"</f>
        <v>1260116A00202    00</v>
      </c>
      <c r="B18056" t="s">
        <v>39224</v>
      </c>
      <c r="C18056" t="s">
        <v>39225</v>
      </c>
      <c r="E18056" t="s">
        <v>39</v>
      </c>
      <c r="F18056">
        <v>0</v>
      </c>
      <c r="G18056">
        <v>0</v>
      </c>
      <c r="H18056">
        <v>1</v>
      </c>
      <c r="I18056" s="3">
        <v>283.97000000000003</v>
      </c>
      <c r="J18056" s="3">
        <v>0</v>
      </c>
      <c r="L18056">
        <v>222</v>
      </c>
      <c r="M18056" t="s">
        <v>37578</v>
      </c>
      <c r="N18056" t="s">
        <v>30</v>
      </c>
      <c r="O18056" t="s">
        <v>31</v>
      </c>
      <c r="P18056" t="str">
        <f>"15214"</f>
        <v>15214</v>
      </c>
    </row>
    <row r="18057" spans="1:16" x14ac:dyDescent="0.25">
      <c r="A18057" t="str">
        <f>"1260116A00203    00"</f>
        <v>1260116A00203    00</v>
      </c>
      <c r="B18057" t="s">
        <v>39226</v>
      </c>
      <c r="C18057" t="s">
        <v>39227</v>
      </c>
      <c r="D18057" t="s">
        <v>20</v>
      </c>
      <c r="E18057" t="s">
        <v>39</v>
      </c>
      <c r="F18057">
        <v>0</v>
      </c>
      <c r="G18057">
        <v>0</v>
      </c>
      <c r="H18057">
        <v>4</v>
      </c>
      <c r="I18057" s="3">
        <v>3174.3</v>
      </c>
      <c r="J18057" s="3">
        <v>374.98</v>
      </c>
      <c r="K18057" t="s">
        <v>39228</v>
      </c>
      <c r="L18057">
        <v>101</v>
      </c>
      <c r="M18057" t="s">
        <v>39229</v>
      </c>
      <c r="N18057" t="s">
        <v>149</v>
      </c>
      <c r="O18057" t="s">
        <v>31</v>
      </c>
      <c r="P18057" t="str">
        <f>"15106"</f>
        <v>15106</v>
      </c>
    </row>
    <row r="18058" spans="1:16" x14ac:dyDescent="0.25">
      <c r="A18058" t="str">
        <f>"1260116A00205    00"</f>
        <v>1260116A00205    00</v>
      </c>
      <c r="B18058" t="s">
        <v>39230</v>
      </c>
      <c r="C18058" t="s">
        <v>39231</v>
      </c>
      <c r="D18058" t="s">
        <v>20</v>
      </c>
      <c r="E18058" t="s">
        <v>39</v>
      </c>
      <c r="F18058">
        <v>0</v>
      </c>
      <c r="G18058">
        <v>0</v>
      </c>
      <c r="H18058">
        <v>1</v>
      </c>
      <c r="I18058" s="3">
        <v>1580.08</v>
      </c>
      <c r="J18058" s="3">
        <v>0</v>
      </c>
      <c r="K18058" t="s">
        <v>39232</v>
      </c>
      <c r="L18058">
        <v>108</v>
      </c>
      <c r="M18058" t="s">
        <v>17290</v>
      </c>
      <c r="N18058" t="s">
        <v>30</v>
      </c>
      <c r="O18058" t="s">
        <v>31</v>
      </c>
      <c r="P18058" t="str">
        <f>"15214"</f>
        <v>15214</v>
      </c>
    </row>
    <row r="18059" spans="1:16" x14ac:dyDescent="0.25">
      <c r="A18059" t="str">
        <f>"1260116A00268    00"</f>
        <v>1260116A00268    00</v>
      </c>
      <c r="B18059" t="s">
        <v>39105</v>
      </c>
      <c r="C18059" t="s">
        <v>39233</v>
      </c>
      <c r="D18059" t="s">
        <v>20</v>
      </c>
      <c r="E18059" t="s">
        <v>39</v>
      </c>
      <c r="F18059">
        <v>0</v>
      </c>
      <c r="G18059">
        <v>0</v>
      </c>
      <c r="H18059">
        <v>2</v>
      </c>
      <c r="I18059" s="3">
        <v>1067.3599999999999</v>
      </c>
      <c r="J18059" s="3">
        <v>0</v>
      </c>
      <c r="K18059" t="s">
        <v>35025</v>
      </c>
      <c r="L18059">
        <v>1319</v>
      </c>
      <c r="M18059" t="s">
        <v>35026</v>
      </c>
      <c r="N18059" t="s">
        <v>30</v>
      </c>
      <c r="O18059" t="s">
        <v>31</v>
      </c>
      <c r="P18059" t="str">
        <f>"15233"</f>
        <v>15233</v>
      </c>
    </row>
    <row r="18060" spans="1:16" x14ac:dyDescent="0.25">
      <c r="A18060" t="str">
        <f>"1260116A00276    00"</f>
        <v>1260116A00276    00</v>
      </c>
      <c r="B18060" t="s">
        <v>39234</v>
      </c>
      <c r="C18060" t="s">
        <v>39235</v>
      </c>
      <c r="E18060" t="s">
        <v>39</v>
      </c>
      <c r="F18060">
        <v>0</v>
      </c>
      <c r="G18060">
        <v>0</v>
      </c>
      <c r="H18060">
        <v>2</v>
      </c>
      <c r="I18060" s="3">
        <v>2182.23</v>
      </c>
      <c r="J18060" s="3">
        <v>517.62</v>
      </c>
      <c r="K18060" t="s">
        <v>408</v>
      </c>
      <c r="M18060" t="s">
        <v>409</v>
      </c>
      <c r="N18060" t="s">
        <v>410</v>
      </c>
      <c r="O18060" t="s">
        <v>31</v>
      </c>
      <c r="P18060" t="str">
        <f>"15701"</f>
        <v>15701</v>
      </c>
    </row>
    <row r="18061" spans="1:16" x14ac:dyDescent="0.25">
      <c r="A18061" t="str">
        <f>"1260116A00283    00"</f>
        <v>1260116A00283    00</v>
      </c>
      <c r="B18061" t="s">
        <v>39236</v>
      </c>
      <c r="C18061" t="s">
        <v>39237</v>
      </c>
      <c r="D18061" t="s">
        <v>20</v>
      </c>
      <c r="E18061" t="s">
        <v>39</v>
      </c>
      <c r="F18061">
        <v>0</v>
      </c>
      <c r="G18061">
        <v>0</v>
      </c>
      <c r="H18061">
        <v>6</v>
      </c>
      <c r="I18061" s="3">
        <v>3921.1</v>
      </c>
      <c r="J18061" s="3">
        <v>879.42</v>
      </c>
      <c r="K18061" t="s">
        <v>39238</v>
      </c>
      <c r="L18061">
        <v>701</v>
      </c>
      <c r="M18061" t="s">
        <v>39239</v>
      </c>
      <c r="N18061" t="s">
        <v>8502</v>
      </c>
      <c r="O18061" t="s">
        <v>3486</v>
      </c>
      <c r="P18061" t="str">
        <f>"60148"</f>
        <v>60148</v>
      </c>
    </row>
    <row r="18062" spans="1:16" x14ac:dyDescent="0.25">
      <c r="A18062" t="str">
        <f>"1260116A00287    00"</f>
        <v>1260116A00287    00</v>
      </c>
      <c r="B18062" t="s">
        <v>39240</v>
      </c>
      <c r="C18062" t="s">
        <v>39241</v>
      </c>
      <c r="D18062" t="s">
        <v>20</v>
      </c>
      <c r="E18062" t="s">
        <v>39</v>
      </c>
      <c r="F18062">
        <v>0</v>
      </c>
      <c r="G18062">
        <v>0</v>
      </c>
      <c r="H18062">
        <v>2</v>
      </c>
      <c r="I18062" s="3">
        <v>1261.8</v>
      </c>
      <c r="J18062" s="3">
        <v>0</v>
      </c>
      <c r="K18062" t="s">
        <v>35025</v>
      </c>
      <c r="L18062">
        <v>1319</v>
      </c>
      <c r="M18062" t="s">
        <v>35026</v>
      </c>
      <c r="N18062" t="s">
        <v>30</v>
      </c>
      <c r="O18062" t="s">
        <v>31</v>
      </c>
      <c r="P18062" t="str">
        <f>"15233"</f>
        <v>15233</v>
      </c>
    </row>
    <row r="18063" spans="1:16" x14ac:dyDescent="0.25">
      <c r="A18063" t="str">
        <f>"1260116A00288    00"</f>
        <v>1260116A00288    00</v>
      </c>
      <c r="B18063" t="s">
        <v>38539</v>
      </c>
      <c r="C18063" t="s">
        <v>39242</v>
      </c>
      <c r="D18063" t="s">
        <v>20</v>
      </c>
      <c r="E18063" t="s">
        <v>39</v>
      </c>
      <c r="F18063">
        <v>0</v>
      </c>
      <c r="G18063">
        <v>0</v>
      </c>
      <c r="H18063">
        <v>4</v>
      </c>
      <c r="I18063" s="3">
        <v>58.69</v>
      </c>
      <c r="J18063" s="3">
        <v>8.3699999999999992</v>
      </c>
      <c r="K18063" t="s">
        <v>35025</v>
      </c>
      <c r="L18063">
        <v>1319</v>
      </c>
      <c r="M18063" t="s">
        <v>35026</v>
      </c>
      <c r="N18063" t="s">
        <v>30</v>
      </c>
      <c r="O18063" t="s">
        <v>31</v>
      </c>
      <c r="P18063" t="str">
        <f>"15233"</f>
        <v>15233</v>
      </c>
    </row>
    <row r="18064" spans="1:16" x14ac:dyDescent="0.25">
      <c r="A18064" t="str">
        <f>"1260116A00289    00"</f>
        <v>1260116A00289    00</v>
      </c>
      <c r="B18064" t="s">
        <v>39240</v>
      </c>
      <c r="C18064" t="s">
        <v>39243</v>
      </c>
      <c r="D18064" t="s">
        <v>20</v>
      </c>
      <c r="E18064" t="s">
        <v>39</v>
      </c>
      <c r="F18064">
        <v>0</v>
      </c>
      <c r="G18064">
        <v>0</v>
      </c>
      <c r="H18064">
        <v>2</v>
      </c>
      <c r="I18064" s="3">
        <v>327.86</v>
      </c>
      <c r="J18064" s="3">
        <v>0</v>
      </c>
      <c r="K18064" t="s">
        <v>35025</v>
      </c>
      <c r="L18064">
        <v>1319</v>
      </c>
      <c r="M18064" t="s">
        <v>35026</v>
      </c>
      <c r="N18064" t="s">
        <v>30</v>
      </c>
      <c r="O18064" t="s">
        <v>31</v>
      </c>
      <c r="P18064" t="str">
        <f>"15233"</f>
        <v>15233</v>
      </c>
    </row>
    <row r="18065" spans="1:16" x14ac:dyDescent="0.25">
      <c r="A18065" t="str">
        <f>"1260116A00293    00"</f>
        <v>1260116A00293    00</v>
      </c>
      <c r="B18065" t="s">
        <v>39096</v>
      </c>
      <c r="C18065" t="s">
        <v>39242</v>
      </c>
      <c r="D18065" t="s">
        <v>20</v>
      </c>
      <c r="E18065" t="s">
        <v>39</v>
      </c>
      <c r="F18065">
        <v>0</v>
      </c>
      <c r="G18065">
        <v>0</v>
      </c>
      <c r="H18065">
        <v>4</v>
      </c>
      <c r="I18065" s="3">
        <v>58.69</v>
      </c>
      <c r="J18065" s="3">
        <v>8.23</v>
      </c>
      <c r="K18065" t="s">
        <v>35025</v>
      </c>
      <c r="L18065">
        <v>1319</v>
      </c>
      <c r="M18065" t="s">
        <v>35026</v>
      </c>
      <c r="N18065" t="s">
        <v>30</v>
      </c>
      <c r="O18065" t="s">
        <v>31</v>
      </c>
      <c r="P18065" t="str">
        <f>"15233"</f>
        <v>15233</v>
      </c>
    </row>
    <row r="18066" spans="1:16" x14ac:dyDescent="0.25">
      <c r="A18066" t="str">
        <f>"1260116A00294    00"</f>
        <v>1260116A00294    00</v>
      </c>
      <c r="B18066" t="s">
        <v>38539</v>
      </c>
      <c r="C18066" t="s">
        <v>39242</v>
      </c>
      <c r="D18066" t="s">
        <v>20</v>
      </c>
      <c r="E18066" t="s">
        <v>39</v>
      </c>
      <c r="F18066">
        <v>0</v>
      </c>
      <c r="G18066">
        <v>0</v>
      </c>
      <c r="H18066">
        <v>16</v>
      </c>
      <c r="I18066" s="3">
        <v>3510.73</v>
      </c>
      <c r="J18066" s="3">
        <v>2022.42</v>
      </c>
      <c r="L18066">
        <v>3890</v>
      </c>
      <c r="M18066" t="s">
        <v>35569</v>
      </c>
      <c r="N18066" t="s">
        <v>30</v>
      </c>
      <c r="O18066" t="s">
        <v>31</v>
      </c>
      <c r="P18066" t="str">
        <f>"15214"</f>
        <v>15214</v>
      </c>
    </row>
    <row r="18067" spans="1:16" x14ac:dyDescent="0.25">
      <c r="A18067" t="str">
        <f>"1260116A00295    00"</f>
        <v>1260116A00295    00</v>
      </c>
      <c r="B18067" t="s">
        <v>39244</v>
      </c>
      <c r="C18067" t="s">
        <v>39245</v>
      </c>
      <c r="D18067" t="s">
        <v>20</v>
      </c>
      <c r="E18067" t="s">
        <v>39</v>
      </c>
      <c r="F18067">
        <v>0</v>
      </c>
      <c r="G18067">
        <v>0</v>
      </c>
      <c r="H18067">
        <v>11</v>
      </c>
      <c r="I18067" s="3">
        <v>11568.56</v>
      </c>
      <c r="J18067" s="3">
        <v>5521.27</v>
      </c>
      <c r="K18067" t="s">
        <v>39246</v>
      </c>
      <c r="L18067">
        <v>20</v>
      </c>
      <c r="M18067" t="s">
        <v>39247</v>
      </c>
      <c r="N18067" t="s">
        <v>30</v>
      </c>
      <c r="O18067" t="s">
        <v>31</v>
      </c>
      <c r="P18067" t="str">
        <f>"15241"</f>
        <v>15241</v>
      </c>
    </row>
    <row r="18068" spans="1:16" x14ac:dyDescent="0.25">
      <c r="A18068" t="str">
        <f>"1260116A00297    00"</f>
        <v>1260116A00297    00</v>
      </c>
      <c r="B18068" t="s">
        <v>39248</v>
      </c>
      <c r="C18068" t="s">
        <v>39249</v>
      </c>
      <c r="E18068" t="s">
        <v>39</v>
      </c>
      <c r="F18068">
        <v>0</v>
      </c>
      <c r="G18068">
        <v>0</v>
      </c>
      <c r="H18068">
        <v>1</v>
      </c>
      <c r="I18068" s="3">
        <v>292.16000000000003</v>
      </c>
      <c r="J18068" s="3">
        <v>82.77</v>
      </c>
      <c r="L18068">
        <v>39</v>
      </c>
      <c r="M18068" t="s">
        <v>39211</v>
      </c>
      <c r="N18068" t="s">
        <v>30</v>
      </c>
      <c r="O18068" t="s">
        <v>31</v>
      </c>
      <c r="P18068" t="str">
        <f>"15214"</f>
        <v>15214</v>
      </c>
    </row>
    <row r="18069" spans="1:16" x14ac:dyDescent="0.25">
      <c r="A18069" t="str">
        <f>"1260116B00095    00"</f>
        <v>1260116B00095    00</v>
      </c>
      <c r="B18069" t="s">
        <v>39250</v>
      </c>
      <c r="C18069" t="s">
        <v>39251</v>
      </c>
      <c r="E18069" t="s">
        <v>39</v>
      </c>
      <c r="F18069">
        <v>0</v>
      </c>
      <c r="G18069">
        <v>0</v>
      </c>
      <c r="H18069">
        <v>1</v>
      </c>
      <c r="I18069" s="3">
        <v>19.32</v>
      </c>
      <c r="J18069" s="3">
        <v>0.48</v>
      </c>
      <c r="K18069" t="s">
        <v>39252</v>
      </c>
      <c r="L18069">
        <v>3827</v>
      </c>
      <c r="M18069" t="s">
        <v>36921</v>
      </c>
      <c r="N18069" t="s">
        <v>30</v>
      </c>
      <c r="O18069" t="s">
        <v>31</v>
      </c>
      <c r="P18069" t="str">
        <f>"15214"</f>
        <v>15214</v>
      </c>
    </row>
    <row r="18070" spans="1:16" x14ac:dyDescent="0.25">
      <c r="A18070" t="str">
        <f>"1260116B00119    00"</f>
        <v>1260116B00119    00</v>
      </c>
      <c r="B18070" t="s">
        <v>39253</v>
      </c>
      <c r="C18070" t="s">
        <v>39254</v>
      </c>
      <c r="D18070" t="s">
        <v>20</v>
      </c>
      <c r="E18070" t="s">
        <v>39</v>
      </c>
      <c r="F18070">
        <v>0</v>
      </c>
      <c r="G18070">
        <v>0</v>
      </c>
      <c r="H18070">
        <v>2</v>
      </c>
      <c r="I18070" s="3">
        <v>3576.78</v>
      </c>
      <c r="J18070" s="3">
        <v>321.08999999999997</v>
      </c>
      <c r="L18070">
        <v>3911</v>
      </c>
      <c r="M18070" t="s">
        <v>36921</v>
      </c>
      <c r="N18070" t="s">
        <v>30</v>
      </c>
      <c r="O18070" t="s">
        <v>31</v>
      </c>
      <c r="P18070" t="str">
        <f>"15214"</f>
        <v>15214</v>
      </c>
    </row>
    <row r="18071" spans="1:16" x14ac:dyDescent="0.25">
      <c r="A18071" t="str">
        <f>"1260116C00055    00"</f>
        <v>1260116C00055    00</v>
      </c>
      <c r="B18071" t="s">
        <v>39255</v>
      </c>
      <c r="C18071" t="s">
        <v>39256</v>
      </c>
      <c r="D18071" t="s">
        <v>20</v>
      </c>
      <c r="E18071" t="s">
        <v>39</v>
      </c>
      <c r="F18071">
        <v>0</v>
      </c>
      <c r="G18071">
        <v>0</v>
      </c>
      <c r="H18071">
        <v>19</v>
      </c>
      <c r="I18071" s="3">
        <v>375.31</v>
      </c>
      <c r="J18071" s="3">
        <v>343.5</v>
      </c>
      <c r="L18071">
        <v>4442</v>
      </c>
      <c r="M18071" t="s">
        <v>38903</v>
      </c>
      <c r="N18071" t="s">
        <v>195</v>
      </c>
      <c r="O18071" t="s">
        <v>31</v>
      </c>
      <c r="P18071" t="str">
        <f>"15101"</f>
        <v>15101</v>
      </c>
    </row>
    <row r="18072" spans="1:16" x14ac:dyDescent="0.25">
      <c r="A18072" t="str">
        <f>"1260116E00008    00"</f>
        <v>1260116E00008    00</v>
      </c>
      <c r="B18072" t="s">
        <v>39257</v>
      </c>
      <c r="C18072" t="s">
        <v>39258</v>
      </c>
      <c r="D18072" t="s">
        <v>20</v>
      </c>
      <c r="E18072" t="s">
        <v>39</v>
      </c>
      <c r="F18072">
        <v>0</v>
      </c>
      <c r="G18072">
        <v>0</v>
      </c>
      <c r="H18072">
        <v>2</v>
      </c>
      <c r="I18072" s="3">
        <v>353.68</v>
      </c>
      <c r="J18072" s="3">
        <v>40.01</v>
      </c>
      <c r="L18072">
        <v>1310</v>
      </c>
      <c r="M18072" t="s">
        <v>12774</v>
      </c>
      <c r="N18072" t="s">
        <v>30</v>
      </c>
      <c r="O18072" t="s">
        <v>31</v>
      </c>
      <c r="P18072" t="str">
        <f>"15233"</f>
        <v>15233</v>
      </c>
    </row>
    <row r="18073" spans="1:16" x14ac:dyDescent="0.25">
      <c r="A18073" t="str">
        <f>"1260116E00010    00"</f>
        <v>1260116E00010    00</v>
      </c>
      <c r="B18073" t="s">
        <v>38539</v>
      </c>
      <c r="C18073" t="s">
        <v>39242</v>
      </c>
      <c r="D18073" t="s">
        <v>20</v>
      </c>
      <c r="E18073" t="s">
        <v>39</v>
      </c>
      <c r="F18073">
        <v>0</v>
      </c>
      <c r="G18073">
        <v>0</v>
      </c>
      <c r="H18073">
        <v>17</v>
      </c>
      <c r="I18073" s="3">
        <v>5883.97</v>
      </c>
      <c r="J18073" s="3">
        <v>4519.7</v>
      </c>
      <c r="K18073" t="s">
        <v>38540</v>
      </c>
      <c r="L18073">
        <v>3890</v>
      </c>
      <c r="M18073" t="s">
        <v>35569</v>
      </c>
      <c r="N18073" t="s">
        <v>30</v>
      </c>
      <c r="O18073" t="s">
        <v>31</v>
      </c>
      <c r="P18073" t="str">
        <f>"15235"</f>
        <v>15235</v>
      </c>
    </row>
    <row r="18074" spans="1:16" x14ac:dyDescent="0.25">
      <c r="A18074" t="str">
        <f>"1260116E00027    00"</f>
        <v>1260116E00027    00</v>
      </c>
      <c r="B18074" t="s">
        <v>39259</v>
      </c>
      <c r="C18074" t="s">
        <v>39260</v>
      </c>
      <c r="D18074" t="s">
        <v>20</v>
      </c>
      <c r="E18074" t="s">
        <v>39</v>
      </c>
      <c r="F18074">
        <v>0</v>
      </c>
      <c r="G18074">
        <v>0</v>
      </c>
      <c r="H18074">
        <v>1</v>
      </c>
      <c r="I18074" s="3">
        <v>1324.68</v>
      </c>
      <c r="J18074" s="3">
        <v>0</v>
      </c>
      <c r="L18074">
        <v>5350</v>
      </c>
      <c r="M18074" t="s">
        <v>39261</v>
      </c>
      <c r="N18074" t="s">
        <v>24</v>
      </c>
      <c r="O18074" t="s">
        <v>25</v>
      </c>
      <c r="P18074" t="str">
        <f>"43232"</f>
        <v>43232</v>
      </c>
    </row>
    <row r="18075" spans="1:16" x14ac:dyDescent="0.25">
      <c r="A18075" t="str">
        <f>"1260116E00036    00"</f>
        <v>1260116E00036    00</v>
      </c>
      <c r="B18075" t="s">
        <v>39262</v>
      </c>
      <c r="C18075" t="s">
        <v>39263</v>
      </c>
      <c r="D18075" t="s">
        <v>20</v>
      </c>
      <c r="E18075" t="s">
        <v>39</v>
      </c>
      <c r="F18075">
        <v>0</v>
      </c>
      <c r="G18075">
        <v>0</v>
      </c>
      <c r="H18075">
        <v>2</v>
      </c>
      <c r="I18075" s="3">
        <v>3305.04</v>
      </c>
      <c r="J18075" s="3">
        <v>0</v>
      </c>
      <c r="K18075" t="s">
        <v>39264</v>
      </c>
      <c r="L18075">
        <v>3646</v>
      </c>
      <c r="M18075" t="s">
        <v>39118</v>
      </c>
      <c r="N18075" t="s">
        <v>30</v>
      </c>
      <c r="O18075" t="s">
        <v>31</v>
      </c>
      <c r="P18075" t="str">
        <f>"15214"</f>
        <v>15214</v>
      </c>
    </row>
    <row r="18076" spans="1:16" x14ac:dyDescent="0.25">
      <c r="A18076" t="str">
        <f>"1260116E00047    00"</f>
        <v>1260116E00047    00</v>
      </c>
      <c r="B18076" t="s">
        <v>39265</v>
      </c>
      <c r="C18076" t="s">
        <v>39266</v>
      </c>
      <c r="D18076" t="s">
        <v>20</v>
      </c>
      <c r="E18076" t="s">
        <v>39</v>
      </c>
      <c r="F18076">
        <v>0</v>
      </c>
      <c r="G18076">
        <v>0</v>
      </c>
      <c r="H18076">
        <v>1</v>
      </c>
      <c r="I18076" s="3">
        <v>587.52</v>
      </c>
      <c r="J18076" s="3">
        <v>0</v>
      </c>
      <c r="K18076" t="s">
        <v>39267</v>
      </c>
      <c r="L18076">
        <v>3651</v>
      </c>
      <c r="M18076" t="s">
        <v>39268</v>
      </c>
      <c r="N18076" t="s">
        <v>30</v>
      </c>
      <c r="O18076" t="s">
        <v>31</v>
      </c>
      <c r="P18076" t="str">
        <f>"15214"</f>
        <v>15214</v>
      </c>
    </row>
    <row r="18077" spans="1:16" x14ac:dyDescent="0.25">
      <c r="A18077" t="str">
        <f>"1260116E00073    00"</f>
        <v>1260116E00073    00</v>
      </c>
      <c r="B18077" t="s">
        <v>39269</v>
      </c>
      <c r="C18077" t="s">
        <v>39270</v>
      </c>
      <c r="D18077" t="s">
        <v>20</v>
      </c>
      <c r="E18077" t="s">
        <v>39</v>
      </c>
      <c r="F18077">
        <v>0</v>
      </c>
      <c r="G18077">
        <v>0</v>
      </c>
      <c r="H18077">
        <v>1</v>
      </c>
      <c r="I18077" s="3">
        <v>1200.8</v>
      </c>
      <c r="J18077" s="3">
        <v>0</v>
      </c>
      <c r="L18077">
        <v>2057</v>
      </c>
      <c r="M18077" t="s">
        <v>39271</v>
      </c>
      <c r="N18077" t="s">
        <v>39272</v>
      </c>
      <c r="O18077" t="s">
        <v>495</v>
      </c>
      <c r="P18077" t="str">
        <f>"94523"</f>
        <v>94523</v>
      </c>
    </row>
    <row r="18078" spans="1:16" x14ac:dyDescent="0.25">
      <c r="A18078" t="str">
        <f>"1260116E00075    00"</f>
        <v>1260116E00075    00</v>
      </c>
      <c r="B18078" t="s">
        <v>39273</v>
      </c>
      <c r="C18078" t="s">
        <v>39274</v>
      </c>
      <c r="E18078" t="s">
        <v>39</v>
      </c>
      <c r="F18078">
        <v>0</v>
      </c>
      <c r="G18078">
        <v>0</v>
      </c>
      <c r="H18078">
        <v>1</v>
      </c>
      <c r="I18078" s="3">
        <v>592.03</v>
      </c>
      <c r="J18078" s="3">
        <v>0</v>
      </c>
      <c r="K18078" t="s">
        <v>1030</v>
      </c>
      <c r="M18078" t="s">
        <v>1031</v>
      </c>
      <c r="N18078" t="s">
        <v>1032</v>
      </c>
      <c r="O18078" t="s">
        <v>25</v>
      </c>
      <c r="P18078" t="str">
        <f>"44711"</f>
        <v>44711</v>
      </c>
    </row>
    <row r="18079" spans="1:16" x14ac:dyDescent="0.25">
      <c r="A18079" t="str">
        <f>"1260116E00105    00"</f>
        <v>1260116E00105    00</v>
      </c>
      <c r="B18079" t="s">
        <v>39275</v>
      </c>
      <c r="C18079" t="s">
        <v>39276</v>
      </c>
      <c r="D18079" t="s">
        <v>20</v>
      </c>
      <c r="E18079" t="s">
        <v>39</v>
      </c>
      <c r="F18079">
        <v>0</v>
      </c>
      <c r="G18079">
        <v>0</v>
      </c>
      <c r="H18079">
        <v>2</v>
      </c>
      <c r="I18079" s="3">
        <v>1224.6600000000001</v>
      </c>
      <c r="J18079" s="3">
        <v>0</v>
      </c>
      <c r="L18079">
        <v>3832</v>
      </c>
      <c r="M18079" t="s">
        <v>35569</v>
      </c>
      <c r="N18079" t="s">
        <v>30</v>
      </c>
      <c r="O18079" t="s">
        <v>31</v>
      </c>
      <c r="P18079" t="str">
        <f>"15214"</f>
        <v>15214</v>
      </c>
    </row>
    <row r="18080" spans="1:16" x14ac:dyDescent="0.25">
      <c r="A18080" t="str">
        <f>"1260116E00128    00"</f>
        <v>1260116E00128    00</v>
      </c>
      <c r="B18080" t="s">
        <v>39277</v>
      </c>
      <c r="C18080" t="s">
        <v>39278</v>
      </c>
      <c r="D18080" t="s">
        <v>20</v>
      </c>
      <c r="E18080" t="s">
        <v>39</v>
      </c>
      <c r="F18080">
        <v>0</v>
      </c>
      <c r="G18080">
        <v>0</v>
      </c>
      <c r="H18080">
        <v>4</v>
      </c>
      <c r="I18080" s="3">
        <v>2392.15</v>
      </c>
      <c r="J18080" s="3">
        <v>282.58999999999997</v>
      </c>
      <c r="L18080">
        <v>116</v>
      </c>
      <c r="M18080" t="s">
        <v>39279</v>
      </c>
      <c r="N18080" t="s">
        <v>30</v>
      </c>
      <c r="O18080" t="s">
        <v>31</v>
      </c>
      <c r="P18080" t="str">
        <f>"15229"</f>
        <v>15229</v>
      </c>
    </row>
    <row r="18081" spans="1:16" x14ac:dyDescent="0.25">
      <c r="A18081" t="str">
        <f>"1260116E00129    00"</f>
        <v>1260116E00129    00</v>
      </c>
      <c r="B18081" t="s">
        <v>39280</v>
      </c>
      <c r="C18081" t="s">
        <v>39281</v>
      </c>
      <c r="D18081" t="s">
        <v>20</v>
      </c>
      <c r="E18081" t="s">
        <v>39</v>
      </c>
      <c r="F18081">
        <v>0</v>
      </c>
      <c r="G18081">
        <v>0</v>
      </c>
      <c r="H18081">
        <v>17</v>
      </c>
      <c r="I18081" s="3">
        <v>17304.98</v>
      </c>
      <c r="J18081" s="3">
        <v>13323.46</v>
      </c>
      <c r="L18081">
        <v>169</v>
      </c>
      <c r="M18081" t="s">
        <v>24838</v>
      </c>
      <c r="N18081" t="s">
        <v>30</v>
      </c>
      <c r="O18081" t="s">
        <v>31</v>
      </c>
      <c r="P18081" t="str">
        <f>"15223"</f>
        <v>15223</v>
      </c>
    </row>
    <row r="18082" spans="1:16" x14ac:dyDescent="0.25">
      <c r="A18082" t="str">
        <f>"1260116E00151    00"</f>
        <v>1260116E00151    00</v>
      </c>
      <c r="B18082" t="s">
        <v>39282</v>
      </c>
      <c r="C18082" t="s">
        <v>39283</v>
      </c>
      <c r="D18082" t="s">
        <v>20</v>
      </c>
      <c r="E18082" t="s">
        <v>39</v>
      </c>
      <c r="F18082">
        <v>0</v>
      </c>
      <c r="G18082">
        <v>0</v>
      </c>
      <c r="H18082">
        <v>2</v>
      </c>
      <c r="I18082" s="3">
        <v>692.06</v>
      </c>
      <c r="J18082" s="3">
        <v>0</v>
      </c>
      <c r="L18082">
        <v>3732</v>
      </c>
      <c r="M18082" t="s">
        <v>35569</v>
      </c>
      <c r="N18082" t="s">
        <v>30</v>
      </c>
      <c r="O18082" t="s">
        <v>31</v>
      </c>
      <c r="P18082" t="str">
        <f>"15214"</f>
        <v>15214</v>
      </c>
    </row>
    <row r="18083" spans="1:16" x14ac:dyDescent="0.25">
      <c r="A18083" t="str">
        <f>"1260116E00152    00"</f>
        <v>1260116E00152    00</v>
      </c>
      <c r="B18083" t="s">
        <v>39284</v>
      </c>
      <c r="C18083" t="s">
        <v>39285</v>
      </c>
      <c r="D18083" t="s">
        <v>20</v>
      </c>
      <c r="E18083" t="s">
        <v>39</v>
      </c>
      <c r="F18083">
        <v>0</v>
      </c>
      <c r="G18083">
        <v>0</v>
      </c>
      <c r="H18083">
        <v>4</v>
      </c>
      <c r="I18083" s="3">
        <v>2080.7600000000002</v>
      </c>
      <c r="J18083" s="3">
        <v>156.04</v>
      </c>
      <c r="L18083">
        <v>3730</v>
      </c>
      <c r="M18083" t="s">
        <v>35569</v>
      </c>
      <c r="N18083" t="s">
        <v>30</v>
      </c>
      <c r="O18083" t="s">
        <v>31</v>
      </c>
      <c r="P18083" t="str">
        <f>"15214"</f>
        <v>15214</v>
      </c>
    </row>
    <row r="18084" spans="1:16" x14ac:dyDescent="0.25">
      <c r="A18084" t="str">
        <f>"1260116E00164    00"</f>
        <v>1260116E00164    00</v>
      </c>
      <c r="B18084" t="s">
        <v>39286</v>
      </c>
      <c r="C18084" t="s">
        <v>35568</v>
      </c>
      <c r="D18084" t="s">
        <v>20</v>
      </c>
      <c r="E18084" t="s">
        <v>39</v>
      </c>
      <c r="F18084">
        <v>0</v>
      </c>
      <c r="G18084">
        <v>0</v>
      </c>
      <c r="H18084">
        <v>19</v>
      </c>
      <c r="I18084" s="3">
        <v>4804.99</v>
      </c>
      <c r="J18084" s="3">
        <v>2877.52</v>
      </c>
      <c r="L18084">
        <v>2018</v>
      </c>
      <c r="M18084" t="s">
        <v>39287</v>
      </c>
      <c r="N18084" t="s">
        <v>30</v>
      </c>
      <c r="O18084" t="s">
        <v>31</v>
      </c>
      <c r="P18084" t="str">
        <f>"15218"</f>
        <v>15218</v>
      </c>
    </row>
    <row r="18085" spans="1:16" x14ac:dyDescent="0.25">
      <c r="A18085" t="str">
        <f>"1260116E00174    00"</f>
        <v>1260116E00174    00</v>
      </c>
      <c r="B18085" t="s">
        <v>39288</v>
      </c>
      <c r="C18085" t="s">
        <v>39289</v>
      </c>
      <c r="D18085" t="s">
        <v>20</v>
      </c>
      <c r="E18085" t="s">
        <v>39</v>
      </c>
      <c r="F18085">
        <v>0</v>
      </c>
      <c r="G18085">
        <v>0</v>
      </c>
      <c r="H18085">
        <v>1</v>
      </c>
      <c r="I18085" s="3">
        <v>280.37</v>
      </c>
      <c r="J18085" s="3">
        <v>0</v>
      </c>
      <c r="K18085" t="s">
        <v>39290</v>
      </c>
      <c r="L18085">
        <v>3793</v>
      </c>
      <c r="M18085" t="s">
        <v>35569</v>
      </c>
      <c r="N18085" t="s">
        <v>30</v>
      </c>
      <c r="O18085" t="s">
        <v>31</v>
      </c>
      <c r="P18085" t="str">
        <f t="shared" ref="P18085:P18093" si="227">"15214"</f>
        <v>15214</v>
      </c>
    </row>
    <row r="18086" spans="1:16" x14ac:dyDescent="0.25">
      <c r="A18086" t="str">
        <f>"1260116E00219    00"</f>
        <v>1260116E00219    00</v>
      </c>
      <c r="B18086" t="s">
        <v>39291</v>
      </c>
      <c r="C18086" t="s">
        <v>39292</v>
      </c>
      <c r="E18086" t="s">
        <v>39</v>
      </c>
      <c r="F18086">
        <v>0</v>
      </c>
      <c r="G18086">
        <v>0</v>
      </c>
      <c r="H18086">
        <v>2</v>
      </c>
      <c r="I18086" s="3">
        <v>971.89</v>
      </c>
      <c r="J18086" s="3">
        <v>1127.94</v>
      </c>
      <c r="L18086">
        <v>16</v>
      </c>
      <c r="M18086" t="s">
        <v>39293</v>
      </c>
      <c r="N18086" t="s">
        <v>30</v>
      </c>
      <c r="O18086" t="s">
        <v>31</v>
      </c>
      <c r="P18086" t="str">
        <f t="shared" si="227"/>
        <v>15214</v>
      </c>
    </row>
    <row r="18087" spans="1:16" x14ac:dyDescent="0.25">
      <c r="A18087" t="str">
        <f>"1260116E00222    00"</f>
        <v>1260116E00222    00</v>
      </c>
      <c r="B18087" t="s">
        <v>39294</v>
      </c>
      <c r="C18087" t="s">
        <v>39295</v>
      </c>
      <c r="D18087" t="s">
        <v>20</v>
      </c>
      <c r="E18087" t="s">
        <v>39</v>
      </c>
      <c r="F18087">
        <v>0</v>
      </c>
      <c r="G18087">
        <v>0</v>
      </c>
      <c r="H18087">
        <v>9</v>
      </c>
      <c r="I18087" s="3">
        <v>6628.04</v>
      </c>
      <c r="J18087" s="3">
        <v>2955.4</v>
      </c>
      <c r="L18087">
        <v>20</v>
      </c>
      <c r="M18087" t="s">
        <v>39293</v>
      </c>
      <c r="N18087" t="s">
        <v>30</v>
      </c>
      <c r="O18087" t="s">
        <v>31</v>
      </c>
      <c r="P18087" t="str">
        <f t="shared" si="227"/>
        <v>15214</v>
      </c>
    </row>
    <row r="18088" spans="1:16" x14ac:dyDescent="0.25">
      <c r="A18088" t="str">
        <f>"1260116E00223    00"</f>
        <v>1260116E00223    00</v>
      </c>
      <c r="B18088" t="s">
        <v>39296</v>
      </c>
      <c r="C18088" t="s">
        <v>39297</v>
      </c>
      <c r="E18088" t="s">
        <v>39</v>
      </c>
      <c r="F18088">
        <v>0</v>
      </c>
      <c r="G18088">
        <v>0</v>
      </c>
      <c r="H18088">
        <v>5</v>
      </c>
      <c r="I18088" s="3">
        <v>720.98</v>
      </c>
      <c r="J18088" s="3">
        <v>314.64999999999998</v>
      </c>
      <c r="L18088">
        <v>20</v>
      </c>
      <c r="M18088" t="s">
        <v>39293</v>
      </c>
      <c r="N18088" t="s">
        <v>30</v>
      </c>
      <c r="O18088" t="s">
        <v>31</v>
      </c>
      <c r="P18088" t="str">
        <f t="shared" si="227"/>
        <v>15214</v>
      </c>
    </row>
    <row r="18089" spans="1:16" x14ac:dyDescent="0.25">
      <c r="A18089" t="str">
        <f>"1260116E00225    00"</f>
        <v>1260116E00225    00</v>
      </c>
      <c r="B18089" t="s">
        <v>39298</v>
      </c>
      <c r="C18089" t="s">
        <v>39299</v>
      </c>
      <c r="D18089" t="s">
        <v>20</v>
      </c>
      <c r="E18089" t="s">
        <v>39</v>
      </c>
      <c r="F18089">
        <v>0</v>
      </c>
      <c r="G18089">
        <v>0</v>
      </c>
      <c r="H18089">
        <v>13</v>
      </c>
      <c r="I18089" s="3">
        <v>1288.92</v>
      </c>
      <c r="J18089" s="3">
        <v>686.23</v>
      </c>
      <c r="L18089">
        <v>3795</v>
      </c>
      <c r="M18089" t="s">
        <v>35569</v>
      </c>
      <c r="N18089" t="s">
        <v>30</v>
      </c>
      <c r="O18089" t="s">
        <v>31</v>
      </c>
      <c r="P18089" t="str">
        <f t="shared" si="227"/>
        <v>15214</v>
      </c>
    </row>
    <row r="18090" spans="1:16" x14ac:dyDescent="0.25">
      <c r="A18090" t="str">
        <f>"1260116E00255    00"</f>
        <v>1260116E00255    00</v>
      </c>
      <c r="B18090" t="s">
        <v>39300</v>
      </c>
      <c r="C18090" t="s">
        <v>39301</v>
      </c>
      <c r="D18090" t="s">
        <v>20</v>
      </c>
      <c r="E18090" t="s">
        <v>39</v>
      </c>
      <c r="F18090">
        <v>0</v>
      </c>
      <c r="G18090">
        <v>0</v>
      </c>
      <c r="H18090">
        <v>8</v>
      </c>
      <c r="I18090" s="3">
        <v>3802.67</v>
      </c>
      <c r="J18090" s="3">
        <v>1424.81</v>
      </c>
      <c r="L18090">
        <v>133</v>
      </c>
      <c r="M18090" t="s">
        <v>39293</v>
      </c>
      <c r="N18090" t="s">
        <v>30</v>
      </c>
      <c r="O18090" t="s">
        <v>31</v>
      </c>
      <c r="P18090" t="str">
        <f t="shared" si="227"/>
        <v>15214</v>
      </c>
    </row>
    <row r="18091" spans="1:16" x14ac:dyDescent="0.25">
      <c r="A18091" t="str">
        <f>"1260116E00266    00"</f>
        <v>1260116E00266    00</v>
      </c>
      <c r="B18091" t="s">
        <v>39302</v>
      </c>
      <c r="C18091" t="s">
        <v>39303</v>
      </c>
      <c r="D18091" t="s">
        <v>20</v>
      </c>
      <c r="E18091" t="s">
        <v>39</v>
      </c>
      <c r="F18091">
        <v>0</v>
      </c>
      <c r="G18091">
        <v>0</v>
      </c>
      <c r="H18091">
        <v>10</v>
      </c>
      <c r="I18091" s="3">
        <v>9683.4</v>
      </c>
      <c r="J18091" s="3">
        <v>3399.1</v>
      </c>
      <c r="L18091">
        <v>109</v>
      </c>
      <c r="M18091" t="s">
        <v>39293</v>
      </c>
      <c r="N18091" t="s">
        <v>30</v>
      </c>
      <c r="O18091" t="s">
        <v>31</v>
      </c>
      <c r="P18091" t="str">
        <f t="shared" si="227"/>
        <v>15214</v>
      </c>
    </row>
    <row r="18092" spans="1:16" x14ac:dyDescent="0.25">
      <c r="A18092" t="str">
        <f>"1260116E00268    00"</f>
        <v>1260116E00268    00</v>
      </c>
      <c r="B18092" t="s">
        <v>39304</v>
      </c>
      <c r="C18092" t="s">
        <v>39303</v>
      </c>
      <c r="D18092" t="s">
        <v>20</v>
      </c>
      <c r="E18092" t="s">
        <v>39</v>
      </c>
      <c r="F18092">
        <v>0</v>
      </c>
      <c r="G18092">
        <v>0</v>
      </c>
      <c r="H18092">
        <v>11</v>
      </c>
      <c r="I18092" s="3">
        <v>3309.43</v>
      </c>
      <c r="J18092" s="3">
        <v>1094.47</v>
      </c>
      <c r="L18092">
        <v>109</v>
      </c>
      <c r="M18092" t="s">
        <v>39293</v>
      </c>
      <c r="N18092" t="s">
        <v>30</v>
      </c>
      <c r="O18092" t="s">
        <v>31</v>
      </c>
      <c r="P18092" t="str">
        <f t="shared" si="227"/>
        <v>15214</v>
      </c>
    </row>
    <row r="18093" spans="1:16" x14ac:dyDescent="0.25">
      <c r="A18093" t="str">
        <f>"1260116E00286    00"</f>
        <v>1260116E00286    00</v>
      </c>
      <c r="B18093" t="s">
        <v>39305</v>
      </c>
      <c r="C18093" t="s">
        <v>39306</v>
      </c>
      <c r="D18093" t="s">
        <v>20</v>
      </c>
      <c r="E18093" t="s">
        <v>39</v>
      </c>
      <c r="F18093">
        <v>0</v>
      </c>
      <c r="G18093">
        <v>0</v>
      </c>
      <c r="H18093">
        <v>2</v>
      </c>
      <c r="I18093" s="3">
        <v>4529.66</v>
      </c>
      <c r="J18093" s="3">
        <v>0</v>
      </c>
      <c r="L18093">
        <v>2025</v>
      </c>
      <c r="M18093" t="s">
        <v>34518</v>
      </c>
      <c r="N18093" t="s">
        <v>30</v>
      </c>
      <c r="O18093" t="s">
        <v>31</v>
      </c>
      <c r="P18093" t="str">
        <f t="shared" si="227"/>
        <v>15214</v>
      </c>
    </row>
    <row r="18094" spans="1:16" x14ac:dyDescent="0.25">
      <c r="A18094" t="str">
        <f>"1260116E00291    00"</f>
        <v>1260116E00291    00</v>
      </c>
      <c r="B18094" t="s">
        <v>39307</v>
      </c>
      <c r="C18094" t="s">
        <v>39308</v>
      </c>
      <c r="D18094" t="s">
        <v>57</v>
      </c>
      <c r="E18094" t="s">
        <v>39</v>
      </c>
      <c r="F18094">
        <v>0</v>
      </c>
      <c r="G18094">
        <v>0</v>
      </c>
      <c r="H18094">
        <v>1</v>
      </c>
      <c r="I18094" s="3">
        <v>378.47</v>
      </c>
      <c r="J18094" s="3">
        <v>384.77</v>
      </c>
      <c r="K18094" t="s">
        <v>6851</v>
      </c>
      <c r="L18094">
        <v>3001</v>
      </c>
      <c r="M18094" t="s">
        <v>330</v>
      </c>
      <c r="N18094" t="s">
        <v>331</v>
      </c>
      <c r="O18094" t="s">
        <v>108</v>
      </c>
      <c r="P18094" t="str">
        <f>"75063"</f>
        <v>75063</v>
      </c>
    </row>
    <row r="18095" spans="1:16" x14ac:dyDescent="0.25">
      <c r="A18095" t="str">
        <f>"1260116E00297    00"</f>
        <v>1260116E00297    00</v>
      </c>
      <c r="B18095" t="s">
        <v>39309</v>
      </c>
      <c r="C18095" t="s">
        <v>39310</v>
      </c>
      <c r="D18095" t="s">
        <v>20</v>
      </c>
      <c r="E18095" t="s">
        <v>39</v>
      </c>
      <c r="F18095">
        <v>0</v>
      </c>
      <c r="G18095">
        <v>0</v>
      </c>
      <c r="H18095">
        <v>7</v>
      </c>
      <c r="I18095" s="3">
        <v>12638</v>
      </c>
      <c r="J18095" s="3">
        <v>3435.31</v>
      </c>
      <c r="L18095">
        <v>24</v>
      </c>
      <c r="M18095" t="s">
        <v>39311</v>
      </c>
      <c r="N18095" t="s">
        <v>30</v>
      </c>
      <c r="O18095" t="s">
        <v>31</v>
      </c>
      <c r="P18095" t="str">
        <f>"15214"</f>
        <v>15214</v>
      </c>
    </row>
    <row r="18096" spans="1:16" x14ac:dyDescent="0.25">
      <c r="A18096" t="str">
        <f>"1260116E00301    00"</f>
        <v>1260116E00301    00</v>
      </c>
      <c r="B18096" t="s">
        <v>39312</v>
      </c>
      <c r="C18096" t="s">
        <v>39313</v>
      </c>
      <c r="D18096" t="s">
        <v>20</v>
      </c>
      <c r="E18096" t="s">
        <v>39</v>
      </c>
      <c r="F18096">
        <v>0</v>
      </c>
      <c r="G18096">
        <v>0</v>
      </c>
      <c r="H18096">
        <v>1</v>
      </c>
      <c r="I18096" s="3">
        <v>1129.94</v>
      </c>
      <c r="J18096" s="3">
        <v>0</v>
      </c>
      <c r="K18096" t="s">
        <v>725</v>
      </c>
      <c r="L18096">
        <v>1301</v>
      </c>
      <c r="M18096" t="s">
        <v>722</v>
      </c>
      <c r="N18096" t="s">
        <v>30</v>
      </c>
      <c r="O18096" t="s">
        <v>31</v>
      </c>
      <c r="P18096" t="str">
        <f>"15211"</f>
        <v>15211</v>
      </c>
    </row>
    <row r="18097" spans="1:16" x14ac:dyDescent="0.25">
      <c r="A18097" t="str">
        <f>"1260116E00309    00"</f>
        <v>1260116E00309    00</v>
      </c>
      <c r="B18097" t="s">
        <v>39314</v>
      </c>
      <c r="C18097" t="s">
        <v>39315</v>
      </c>
      <c r="E18097" t="s">
        <v>39</v>
      </c>
      <c r="F18097">
        <v>0</v>
      </c>
      <c r="G18097">
        <v>0</v>
      </c>
      <c r="H18097">
        <v>1</v>
      </c>
      <c r="I18097" s="3">
        <v>1067.22</v>
      </c>
      <c r="J18097" s="3">
        <v>915.99</v>
      </c>
      <c r="K18097" t="s">
        <v>1135</v>
      </c>
      <c r="L18097">
        <v>3001</v>
      </c>
      <c r="M18097" t="s">
        <v>330</v>
      </c>
      <c r="N18097" t="s">
        <v>331</v>
      </c>
      <c r="O18097" t="s">
        <v>108</v>
      </c>
      <c r="P18097" t="str">
        <f>"75063"</f>
        <v>75063</v>
      </c>
    </row>
    <row r="18098" spans="1:16" x14ac:dyDescent="0.25">
      <c r="A18098" t="str">
        <f>"1260116E00317    00"</f>
        <v>1260116E00317    00</v>
      </c>
      <c r="B18098" t="s">
        <v>39316</v>
      </c>
      <c r="C18098" t="s">
        <v>39317</v>
      </c>
      <c r="D18098" t="s">
        <v>20</v>
      </c>
      <c r="E18098" t="s">
        <v>39</v>
      </c>
      <c r="F18098">
        <v>0</v>
      </c>
      <c r="G18098">
        <v>0</v>
      </c>
      <c r="H18098">
        <v>7</v>
      </c>
      <c r="I18098" s="3">
        <v>10674.91</v>
      </c>
      <c r="J18098" s="3">
        <v>2951.94</v>
      </c>
      <c r="L18098">
        <v>304</v>
      </c>
      <c r="M18098" t="s">
        <v>39311</v>
      </c>
      <c r="N18098" t="s">
        <v>30</v>
      </c>
      <c r="O18098" t="s">
        <v>31</v>
      </c>
      <c r="P18098" t="str">
        <f>"15214"</f>
        <v>15214</v>
      </c>
    </row>
    <row r="18099" spans="1:16" x14ac:dyDescent="0.25">
      <c r="A18099" t="str">
        <f>"1260116E00318    00"</f>
        <v>1260116E00318    00</v>
      </c>
      <c r="B18099" t="s">
        <v>39318</v>
      </c>
      <c r="C18099" t="s">
        <v>39319</v>
      </c>
      <c r="E18099" t="s">
        <v>39</v>
      </c>
      <c r="F18099">
        <v>0</v>
      </c>
      <c r="G18099">
        <v>0</v>
      </c>
      <c r="H18099">
        <v>1</v>
      </c>
      <c r="I18099" s="3">
        <v>780.14</v>
      </c>
      <c r="J18099" s="3">
        <v>214.52</v>
      </c>
      <c r="L18099">
        <v>308</v>
      </c>
      <c r="M18099" t="s">
        <v>39311</v>
      </c>
      <c r="N18099" t="s">
        <v>30</v>
      </c>
      <c r="O18099" t="s">
        <v>31</v>
      </c>
      <c r="P18099" t="str">
        <f>"15214"</f>
        <v>15214</v>
      </c>
    </row>
    <row r="18100" spans="1:16" x14ac:dyDescent="0.25">
      <c r="A18100" t="str">
        <f>"1260116E00323    00"</f>
        <v>1260116E00323    00</v>
      </c>
      <c r="B18100" t="s">
        <v>39320</v>
      </c>
      <c r="C18100" t="s">
        <v>39321</v>
      </c>
      <c r="D18100" t="s">
        <v>20</v>
      </c>
      <c r="E18100" t="s">
        <v>39</v>
      </c>
      <c r="F18100">
        <v>0</v>
      </c>
      <c r="G18100">
        <v>0</v>
      </c>
      <c r="H18100">
        <v>19</v>
      </c>
      <c r="I18100" s="3">
        <v>9663.18</v>
      </c>
      <c r="J18100" s="3">
        <v>9594.73</v>
      </c>
      <c r="L18100">
        <v>314</v>
      </c>
      <c r="M18100" t="s">
        <v>39311</v>
      </c>
      <c r="N18100" t="s">
        <v>30</v>
      </c>
      <c r="O18100" t="s">
        <v>31</v>
      </c>
      <c r="P18100" t="str">
        <f>"15214"</f>
        <v>15214</v>
      </c>
    </row>
    <row r="18101" spans="1:16" x14ac:dyDescent="0.25">
      <c r="A18101" t="str">
        <f>"1260116F00008    00"</f>
        <v>1260116F00008    00</v>
      </c>
      <c r="B18101" t="s">
        <v>39322</v>
      </c>
      <c r="C18101" t="s">
        <v>39323</v>
      </c>
      <c r="D18101" t="s">
        <v>20</v>
      </c>
      <c r="E18101" t="s">
        <v>39</v>
      </c>
      <c r="F18101">
        <v>0</v>
      </c>
      <c r="G18101">
        <v>0</v>
      </c>
      <c r="H18101">
        <v>3</v>
      </c>
      <c r="I18101" s="3">
        <v>97.23</v>
      </c>
      <c r="J18101" s="3">
        <v>6.49</v>
      </c>
      <c r="K18101" t="s">
        <v>1632</v>
      </c>
      <c r="L18101">
        <v>3001</v>
      </c>
      <c r="M18101" t="s">
        <v>330</v>
      </c>
      <c r="N18101" t="s">
        <v>331</v>
      </c>
      <c r="O18101" t="s">
        <v>108</v>
      </c>
      <c r="P18101" t="str">
        <f>"75063"</f>
        <v>75063</v>
      </c>
    </row>
    <row r="18102" spans="1:16" x14ac:dyDescent="0.25">
      <c r="A18102" t="str">
        <f>"1260116F00112    00"</f>
        <v>1260116F00112    00</v>
      </c>
      <c r="B18102" t="s">
        <v>39324</v>
      </c>
      <c r="C18102" t="s">
        <v>39325</v>
      </c>
      <c r="D18102" t="s">
        <v>20</v>
      </c>
      <c r="E18102" t="s">
        <v>39</v>
      </c>
      <c r="F18102">
        <v>0</v>
      </c>
      <c r="G18102">
        <v>0</v>
      </c>
      <c r="H18102">
        <v>19</v>
      </c>
      <c r="I18102" s="3">
        <v>7791</v>
      </c>
      <c r="J18102" s="3">
        <v>7098.52</v>
      </c>
      <c r="P18102" t="str">
        <f>""</f>
        <v/>
      </c>
    </row>
    <row r="18103" spans="1:16" x14ac:dyDescent="0.25">
      <c r="A18103" t="str">
        <f>"1260116F00267    00"</f>
        <v>1260116F00267    00</v>
      </c>
      <c r="B18103" t="s">
        <v>39326</v>
      </c>
      <c r="C18103" t="s">
        <v>39327</v>
      </c>
      <c r="D18103" t="s">
        <v>20</v>
      </c>
      <c r="E18103" t="s">
        <v>39</v>
      </c>
      <c r="F18103">
        <v>0</v>
      </c>
      <c r="G18103">
        <v>0</v>
      </c>
      <c r="H18103">
        <v>12</v>
      </c>
      <c r="I18103" s="3">
        <v>395.22</v>
      </c>
      <c r="J18103" s="3">
        <v>208.94</v>
      </c>
      <c r="L18103">
        <v>3719</v>
      </c>
      <c r="M18103" t="s">
        <v>39328</v>
      </c>
      <c r="N18103" t="s">
        <v>30</v>
      </c>
      <c r="O18103" t="s">
        <v>31</v>
      </c>
      <c r="P18103" t="str">
        <f>"15214"</f>
        <v>15214</v>
      </c>
    </row>
    <row r="18104" spans="1:16" x14ac:dyDescent="0.25">
      <c r="A18104" t="str">
        <f>"1260116F00316    00"</f>
        <v>1260116F00316    00</v>
      </c>
      <c r="B18104" t="s">
        <v>39329</v>
      </c>
      <c r="C18104" t="s">
        <v>39330</v>
      </c>
      <c r="D18104" t="s">
        <v>20</v>
      </c>
      <c r="E18104" t="s">
        <v>39</v>
      </c>
      <c r="F18104">
        <v>0</v>
      </c>
      <c r="G18104">
        <v>0</v>
      </c>
      <c r="H18104">
        <v>3</v>
      </c>
      <c r="I18104" s="3">
        <v>224.42</v>
      </c>
      <c r="J18104" s="3">
        <v>16.97</v>
      </c>
      <c r="L18104">
        <v>253</v>
      </c>
      <c r="M18104" t="s">
        <v>39331</v>
      </c>
      <c r="N18104" t="s">
        <v>30</v>
      </c>
      <c r="O18104" t="s">
        <v>31</v>
      </c>
      <c r="P18104" t="str">
        <f>"15214"</f>
        <v>15214</v>
      </c>
    </row>
    <row r="18105" spans="1:16" x14ac:dyDescent="0.25">
      <c r="A18105" t="str">
        <f>"1260116G00082    00"</f>
        <v>1260116G00082    00</v>
      </c>
      <c r="B18105" t="s">
        <v>39332</v>
      </c>
      <c r="C18105" t="s">
        <v>39333</v>
      </c>
      <c r="D18105" t="s">
        <v>20</v>
      </c>
      <c r="E18105" t="s">
        <v>39</v>
      </c>
      <c r="F18105">
        <v>0</v>
      </c>
      <c r="G18105">
        <v>0</v>
      </c>
      <c r="H18105">
        <v>19</v>
      </c>
      <c r="I18105" s="3">
        <v>1025.48</v>
      </c>
      <c r="J18105" s="3">
        <v>1036.97</v>
      </c>
      <c r="K18105" t="s">
        <v>1008</v>
      </c>
      <c r="P18105" t="str">
        <f>""</f>
        <v/>
      </c>
    </row>
    <row r="18106" spans="1:16" x14ac:dyDescent="0.25">
      <c r="A18106" t="str">
        <f>"1260116G00084    00"</f>
        <v>1260116G00084    00</v>
      </c>
      <c r="B18106" t="s">
        <v>39334</v>
      </c>
      <c r="C18106" t="s">
        <v>39333</v>
      </c>
      <c r="D18106" t="s">
        <v>20</v>
      </c>
      <c r="E18106" t="s">
        <v>39</v>
      </c>
      <c r="F18106">
        <v>0</v>
      </c>
      <c r="G18106">
        <v>0</v>
      </c>
      <c r="H18106">
        <v>19</v>
      </c>
      <c r="I18106" s="3">
        <v>1025.48</v>
      </c>
      <c r="J18106" s="3">
        <v>1036.97</v>
      </c>
      <c r="K18106" t="s">
        <v>1037</v>
      </c>
      <c r="L18106">
        <v>114</v>
      </c>
      <c r="M18106" t="s">
        <v>39335</v>
      </c>
      <c r="N18106" t="s">
        <v>39336</v>
      </c>
      <c r="O18106" t="s">
        <v>370</v>
      </c>
      <c r="P18106" t="str">
        <f>"33525"</f>
        <v>33525</v>
      </c>
    </row>
    <row r="18107" spans="1:16" x14ac:dyDescent="0.25">
      <c r="A18107" t="str">
        <f>"1260116G00096    00"</f>
        <v>1260116G00096    00</v>
      </c>
      <c r="B18107" t="s">
        <v>39337</v>
      </c>
      <c r="C18107" t="s">
        <v>39338</v>
      </c>
      <c r="D18107" t="s">
        <v>20</v>
      </c>
      <c r="E18107" t="s">
        <v>39</v>
      </c>
      <c r="F18107">
        <v>0</v>
      </c>
      <c r="G18107">
        <v>0</v>
      </c>
      <c r="H18107">
        <v>1</v>
      </c>
      <c r="I18107" s="3">
        <v>541</v>
      </c>
      <c r="J18107" s="3">
        <v>0</v>
      </c>
      <c r="L18107">
        <v>287</v>
      </c>
      <c r="M18107" t="s">
        <v>39339</v>
      </c>
      <c r="N18107" t="s">
        <v>30</v>
      </c>
      <c r="O18107" t="s">
        <v>31</v>
      </c>
      <c r="P18107" t="str">
        <f>"15214"</f>
        <v>15214</v>
      </c>
    </row>
    <row r="18108" spans="1:16" x14ac:dyDescent="0.25">
      <c r="A18108" t="str">
        <f>"1260116G00264    00"</f>
        <v>1260116G00264    00</v>
      </c>
      <c r="B18108" t="s">
        <v>39340</v>
      </c>
      <c r="C18108" t="s">
        <v>39341</v>
      </c>
      <c r="D18108" t="s">
        <v>20</v>
      </c>
      <c r="E18108" t="s">
        <v>39</v>
      </c>
      <c r="F18108">
        <v>0</v>
      </c>
      <c r="G18108">
        <v>0</v>
      </c>
      <c r="H18108">
        <v>6</v>
      </c>
      <c r="I18108" s="3">
        <v>9323.1</v>
      </c>
      <c r="J18108" s="3">
        <v>223.18</v>
      </c>
      <c r="L18108">
        <v>3431</v>
      </c>
      <c r="M18108" t="s">
        <v>2647</v>
      </c>
      <c r="N18108" t="s">
        <v>30</v>
      </c>
      <c r="O18108" t="s">
        <v>31</v>
      </c>
      <c r="P18108" t="str">
        <f>"15214"</f>
        <v>15214</v>
      </c>
    </row>
    <row r="18109" spans="1:16" x14ac:dyDescent="0.25">
      <c r="A18109" t="str">
        <f>"1260116J00009    00"</f>
        <v>1260116J00009    00</v>
      </c>
      <c r="B18109" t="s">
        <v>39342</v>
      </c>
      <c r="C18109" t="s">
        <v>39343</v>
      </c>
      <c r="E18109" t="s">
        <v>39</v>
      </c>
      <c r="F18109">
        <v>0</v>
      </c>
      <c r="G18109">
        <v>0</v>
      </c>
      <c r="H18109">
        <v>1</v>
      </c>
      <c r="I18109" s="3">
        <v>645.42999999999995</v>
      </c>
      <c r="J18109" s="3">
        <v>917.01</v>
      </c>
      <c r="L18109">
        <v>135</v>
      </c>
      <c r="M18109" t="s">
        <v>39311</v>
      </c>
      <c r="N18109" t="s">
        <v>30</v>
      </c>
      <c r="O18109" t="s">
        <v>31</v>
      </c>
      <c r="P18109" t="str">
        <f>"15214"</f>
        <v>15214</v>
      </c>
    </row>
    <row r="18110" spans="1:16" x14ac:dyDescent="0.25">
      <c r="A18110" t="str">
        <f>"1260116J00013    00"</f>
        <v>1260116J00013    00</v>
      </c>
      <c r="B18110" t="s">
        <v>39344</v>
      </c>
      <c r="C18110" t="s">
        <v>39345</v>
      </c>
      <c r="D18110" t="s">
        <v>20</v>
      </c>
      <c r="E18110" t="s">
        <v>39</v>
      </c>
      <c r="F18110">
        <v>0</v>
      </c>
      <c r="G18110">
        <v>0</v>
      </c>
      <c r="H18110">
        <v>3</v>
      </c>
      <c r="I18110" s="3">
        <v>2541.58</v>
      </c>
      <c r="J18110" s="3">
        <v>125.17</v>
      </c>
      <c r="K18110" t="s">
        <v>39346</v>
      </c>
      <c r="L18110">
        <v>127</v>
      </c>
      <c r="M18110" t="s">
        <v>39311</v>
      </c>
      <c r="N18110" t="s">
        <v>30</v>
      </c>
      <c r="O18110" t="s">
        <v>31</v>
      </c>
      <c r="P18110" t="str">
        <f>"15214"</f>
        <v>15214</v>
      </c>
    </row>
    <row r="18111" spans="1:16" x14ac:dyDescent="0.25">
      <c r="A18111" t="str">
        <f>"1260116J00015    00"</f>
        <v>1260116J00015    00</v>
      </c>
      <c r="B18111" t="s">
        <v>39347</v>
      </c>
      <c r="C18111" t="s">
        <v>39348</v>
      </c>
      <c r="E18111" t="s">
        <v>39</v>
      </c>
      <c r="F18111">
        <v>0</v>
      </c>
      <c r="G18111">
        <v>0</v>
      </c>
      <c r="H18111">
        <v>1</v>
      </c>
      <c r="I18111" s="3">
        <v>2522.16</v>
      </c>
      <c r="J18111" s="3">
        <v>0</v>
      </c>
      <c r="L18111">
        <v>125</v>
      </c>
      <c r="M18111" t="s">
        <v>39311</v>
      </c>
      <c r="N18111" t="s">
        <v>30</v>
      </c>
      <c r="O18111" t="s">
        <v>31</v>
      </c>
      <c r="P18111" t="str">
        <f>"15214"</f>
        <v>15214</v>
      </c>
    </row>
    <row r="18112" spans="1:16" x14ac:dyDescent="0.25">
      <c r="A18112" t="str">
        <f>"1260116J00029    00"</f>
        <v>1260116J00029    00</v>
      </c>
      <c r="B18112" t="s">
        <v>39349</v>
      </c>
      <c r="C18112" t="s">
        <v>39350</v>
      </c>
      <c r="D18112" t="s">
        <v>20</v>
      </c>
      <c r="E18112" t="s">
        <v>39</v>
      </c>
      <c r="F18112">
        <v>0</v>
      </c>
      <c r="G18112">
        <v>0</v>
      </c>
      <c r="H18112">
        <v>1</v>
      </c>
      <c r="I18112" s="3">
        <v>263.02999999999997</v>
      </c>
      <c r="J18112" s="3">
        <v>0</v>
      </c>
      <c r="K18112" t="s">
        <v>8725</v>
      </c>
      <c r="L18112">
        <v>15301</v>
      </c>
      <c r="M18112" t="s">
        <v>8726</v>
      </c>
      <c r="N18112" t="s">
        <v>8727</v>
      </c>
      <c r="O18112" t="s">
        <v>108</v>
      </c>
      <c r="P18112" t="str">
        <f>"75001"</f>
        <v>75001</v>
      </c>
    </row>
    <row r="18113" spans="1:16" x14ac:dyDescent="0.25">
      <c r="A18113" t="str">
        <f>"1260116J00031    00"</f>
        <v>1260116J00031    00</v>
      </c>
      <c r="B18113" t="s">
        <v>39349</v>
      </c>
      <c r="C18113" t="s">
        <v>39351</v>
      </c>
      <c r="D18113" t="s">
        <v>20</v>
      </c>
      <c r="E18113" t="s">
        <v>39</v>
      </c>
      <c r="F18113">
        <v>0</v>
      </c>
      <c r="G18113">
        <v>0</v>
      </c>
      <c r="H18113">
        <v>1</v>
      </c>
      <c r="I18113" s="3">
        <v>2258.62</v>
      </c>
      <c r="J18113" s="3">
        <v>0</v>
      </c>
      <c r="K18113" t="s">
        <v>8725</v>
      </c>
      <c r="L18113">
        <v>15301</v>
      </c>
      <c r="M18113" t="s">
        <v>8726</v>
      </c>
      <c r="N18113" t="s">
        <v>8727</v>
      </c>
      <c r="O18113" t="s">
        <v>108</v>
      </c>
      <c r="P18113" t="str">
        <f>"75001"</f>
        <v>75001</v>
      </c>
    </row>
    <row r="18114" spans="1:16" x14ac:dyDescent="0.25">
      <c r="A18114" t="str">
        <f>"1260116J00056    00"</f>
        <v>1260116J00056    00</v>
      </c>
      <c r="B18114" t="s">
        <v>39352</v>
      </c>
      <c r="C18114" t="s">
        <v>39353</v>
      </c>
      <c r="D18114" t="s">
        <v>20</v>
      </c>
      <c r="E18114" t="s">
        <v>39</v>
      </c>
      <c r="F18114">
        <v>0</v>
      </c>
      <c r="G18114">
        <v>0</v>
      </c>
      <c r="H18114">
        <v>7</v>
      </c>
      <c r="I18114" s="3">
        <v>9435.25</v>
      </c>
      <c r="J18114" s="3">
        <v>277.33</v>
      </c>
      <c r="L18114">
        <v>24</v>
      </c>
      <c r="M18114" t="s">
        <v>38354</v>
      </c>
      <c r="N18114" t="s">
        <v>30</v>
      </c>
      <c r="O18114" t="s">
        <v>31</v>
      </c>
      <c r="P18114" t="str">
        <f>"15214"</f>
        <v>15214</v>
      </c>
    </row>
    <row r="18115" spans="1:16" x14ac:dyDescent="0.25">
      <c r="A18115" t="str">
        <f>"1260116J00086    00"</f>
        <v>1260116J00086    00</v>
      </c>
      <c r="B18115" t="s">
        <v>39354</v>
      </c>
      <c r="C18115" t="s">
        <v>39355</v>
      </c>
      <c r="D18115" t="s">
        <v>20</v>
      </c>
      <c r="E18115" t="s">
        <v>39</v>
      </c>
      <c r="F18115">
        <v>0</v>
      </c>
      <c r="G18115">
        <v>0</v>
      </c>
      <c r="H18115">
        <v>2</v>
      </c>
      <c r="I18115" s="3">
        <v>2574.08</v>
      </c>
      <c r="J18115" s="3">
        <v>0</v>
      </c>
      <c r="L18115">
        <v>326</v>
      </c>
      <c r="M18115" t="s">
        <v>38354</v>
      </c>
      <c r="N18115" t="s">
        <v>30</v>
      </c>
      <c r="O18115" t="s">
        <v>31</v>
      </c>
      <c r="P18115" t="str">
        <f>"15214"</f>
        <v>15214</v>
      </c>
    </row>
    <row r="18116" spans="1:16" x14ac:dyDescent="0.25">
      <c r="A18116" t="str">
        <f>"1260116J00091    00"</f>
        <v>1260116J00091    00</v>
      </c>
      <c r="B18116" t="s">
        <v>39356</v>
      </c>
      <c r="C18116" t="s">
        <v>39357</v>
      </c>
      <c r="D18116" t="s">
        <v>20</v>
      </c>
      <c r="E18116" t="s">
        <v>39</v>
      </c>
      <c r="F18116">
        <v>0</v>
      </c>
      <c r="G18116">
        <v>0</v>
      </c>
      <c r="H18116">
        <v>19</v>
      </c>
      <c r="I18116" s="3">
        <v>8052.77</v>
      </c>
      <c r="J18116" s="3">
        <v>7649.3</v>
      </c>
      <c r="L18116">
        <v>1733</v>
      </c>
      <c r="M18116" t="s">
        <v>39358</v>
      </c>
      <c r="N18116" t="s">
        <v>5797</v>
      </c>
      <c r="O18116" t="s">
        <v>200</v>
      </c>
      <c r="P18116" t="str">
        <f>"11213"</f>
        <v>11213</v>
      </c>
    </row>
    <row r="18117" spans="1:16" x14ac:dyDescent="0.25">
      <c r="A18117" t="str">
        <f>"1260116J00106    00"</f>
        <v>1260116J00106    00</v>
      </c>
      <c r="B18117" t="s">
        <v>39359</v>
      </c>
      <c r="C18117" t="s">
        <v>39360</v>
      </c>
      <c r="E18117" t="s">
        <v>39</v>
      </c>
      <c r="F18117">
        <v>0</v>
      </c>
      <c r="G18117">
        <v>0</v>
      </c>
      <c r="H18117">
        <v>6</v>
      </c>
      <c r="I18117" s="3">
        <v>7832.11</v>
      </c>
      <c r="J18117" s="3">
        <v>10370.73</v>
      </c>
      <c r="M18117" t="s">
        <v>39361</v>
      </c>
      <c r="N18117" t="s">
        <v>30</v>
      </c>
      <c r="O18117" t="s">
        <v>31</v>
      </c>
      <c r="P18117" t="str">
        <f>"15224"</f>
        <v>15224</v>
      </c>
    </row>
    <row r="18118" spans="1:16" x14ac:dyDescent="0.25">
      <c r="A18118" t="str">
        <f>"1260116J00114    00"</f>
        <v>1260116J00114    00</v>
      </c>
      <c r="B18118" t="s">
        <v>39362</v>
      </c>
      <c r="C18118" t="s">
        <v>39363</v>
      </c>
      <c r="D18118" t="s">
        <v>20</v>
      </c>
      <c r="E18118" t="s">
        <v>39</v>
      </c>
      <c r="F18118">
        <v>0</v>
      </c>
      <c r="G18118">
        <v>0</v>
      </c>
      <c r="H18118">
        <v>2</v>
      </c>
      <c r="I18118" s="3">
        <v>2132.0700000000002</v>
      </c>
      <c r="J18118" s="3">
        <v>0</v>
      </c>
      <c r="L18118">
        <v>131</v>
      </c>
      <c r="M18118" t="s">
        <v>39364</v>
      </c>
      <c r="N18118" t="s">
        <v>30</v>
      </c>
      <c r="O18118" t="s">
        <v>31</v>
      </c>
      <c r="P18118" t="str">
        <f>"15212"</f>
        <v>15212</v>
      </c>
    </row>
    <row r="18119" spans="1:16" x14ac:dyDescent="0.25">
      <c r="A18119" t="str">
        <f>"1260116J00121    00"</f>
        <v>1260116J00121    00</v>
      </c>
      <c r="B18119" t="s">
        <v>36934</v>
      </c>
      <c r="C18119" t="s">
        <v>39365</v>
      </c>
      <c r="E18119" t="s">
        <v>39</v>
      </c>
      <c r="F18119">
        <v>0</v>
      </c>
      <c r="G18119">
        <v>0</v>
      </c>
      <c r="H18119">
        <v>6</v>
      </c>
      <c r="I18119" s="3">
        <v>10347.5</v>
      </c>
      <c r="J18119" s="3">
        <v>12286.82</v>
      </c>
      <c r="K18119" t="s">
        <v>36936</v>
      </c>
      <c r="L18119">
        <v>1</v>
      </c>
      <c r="M18119" t="s">
        <v>38849</v>
      </c>
      <c r="N18119" t="s">
        <v>30</v>
      </c>
      <c r="O18119" t="s">
        <v>31</v>
      </c>
      <c r="P18119" t="str">
        <f>"15229"</f>
        <v>15229</v>
      </c>
    </row>
    <row r="18120" spans="1:16" x14ac:dyDescent="0.25">
      <c r="A18120" t="str">
        <f>"1260116J00123    00"</f>
        <v>1260116J00123    00</v>
      </c>
      <c r="B18120" t="s">
        <v>39366</v>
      </c>
      <c r="C18120" t="s">
        <v>39367</v>
      </c>
      <c r="E18120" t="s">
        <v>39</v>
      </c>
      <c r="F18120">
        <v>0</v>
      </c>
      <c r="G18120">
        <v>0</v>
      </c>
      <c r="H18120">
        <v>14</v>
      </c>
      <c r="I18120" s="3">
        <v>14750.26</v>
      </c>
      <c r="J18120" s="3">
        <v>15849.74</v>
      </c>
      <c r="K18120" t="s">
        <v>39368</v>
      </c>
      <c r="L18120">
        <v>2316</v>
      </c>
      <c r="M18120" t="s">
        <v>34518</v>
      </c>
      <c r="N18120" t="s">
        <v>30</v>
      </c>
      <c r="O18120" t="s">
        <v>31</v>
      </c>
      <c r="P18120" t="str">
        <f>"15214"</f>
        <v>15214</v>
      </c>
    </row>
    <row r="18121" spans="1:16" x14ac:dyDescent="0.25">
      <c r="A18121" t="str">
        <f>"1260116J00127    00"</f>
        <v>1260116J00127    00</v>
      </c>
      <c r="B18121" t="s">
        <v>39230</v>
      </c>
      <c r="C18121" t="s">
        <v>39369</v>
      </c>
      <c r="D18121" t="s">
        <v>20</v>
      </c>
      <c r="E18121" t="s">
        <v>39</v>
      </c>
      <c r="F18121">
        <v>0</v>
      </c>
      <c r="G18121">
        <v>0</v>
      </c>
      <c r="H18121">
        <v>1</v>
      </c>
      <c r="I18121" s="3">
        <v>1976.53</v>
      </c>
      <c r="J18121" s="3">
        <v>0</v>
      </c>
      <c r="K18121" t="s">
        <v>39232</v>
      </c>
      <c r="L18121">
        <v>108</v>
      </c>
      <c r="M18121" t="s">
        <v>17290</v>
      </c>
      <c r="N18121" t="s">
        <v>30</v>
      </c>
      <c r="O18121" t="s">
        <v>31</v>
      </c>
      <c r="P18121" t="str">
        <f>"15214"</f>
        <v>15214</v>
      </c>
    </row>
    <row r="18122" spans="1:16" x14ac:dyDescent="0.25">
      <c r="A18122" t="str">
        <f>"1260116J00233    00"</f>
        <v>1260116J00233    00</v>
      </c>
      <c r="B18122" t="s">
        <v>12867</v>
      </c>
      <c r="C18122" t="s">
        <v>39370</v>
      </c>
      <c r="D18122" t="s">
        <v>20</v>
      </c>
      <c r="E18122" t="s">
        <v>39</v>
      </c>
      <c r="F18122">
        <v>0</v>
      </c>
      <c r="G18122">
        <v>0</v>
      </c>
      <c r="H18122">
        <v>14</v>
      </c>
      <c r="I18122" s="3">
        <v>7727.74</v>
      </c>
      <c r="J18122" s="3">
        <v>5304.64</v>
      </c>
      <c r="K18122" t="s">
        <v>12868</v>
      </c>
      <c r="L18122">
        <v>1000</v>
      </c>
      <c r="M18122" t="s">
        <v>614</v>
      </c>
      <c r="N18122" t="s">
        <v>30</v>
      </c>
      <c r="O18122" t="s">
        <v>31</v>
      </c>
      <c r="P18122" t="str">
        <f>"15222"</f>
        <v>15222</v>
      </c>
    </row>
    <row r="18123" spans="1:16" x14ac:dyDescent="0.25">
      <c r="A18123" t="str">
        <f>"1260116J00240    00"</f>
        <v>1260116J00240    00</v>
      </c>
      <c r="B18123" t="s">
        <v>39371</v>
      </c>
      <c r="C18123" t="s">
        <v>39372</v>
      </c>
      <c r="D18123" t="s">
        <v>20</v>
      </c>
      <c r="E18123" t="s">
        <v>39</v>
      </c>
      <c r="F18123">
        <v>0</v>
      </c>
      <c r="G18123">
        <v>0</v>
      </c>
      <c r="H18123">
        <v>1</v>
      </c>
      <c r="I18123" s="3">
        <v>3042.57</v>
      </c>
      <c r="J18123" s="3">
        <v>0</v>
      </c>
      <c r="K18123" t="s">
        <v>1435</v>
      </c>
      <c r="M18123" t="s">
        <v>271</v>
      </c>
      <c r="N18123" t="s">
        <v>272</v>
      </c>
      <c r="O18123" t="s">
        <v>273</v>
      </c>
      <c r="P18123" t="str">
        <f>"29603"</f>
        <v>29603</v>
      </c>
    </row>
    <row r="18124" spans="1:16" x14ac:dyDescent="0.25">
      <c r="A18124" t="str">
        <f>"1260116J00242    00"</f>
        <v>1260116J00242    00</v>
      </c>
      <c r="B18124" t="s">
        <v>39373</v>
      </c>
      <c r="C18124" t="s">
        <v>39374</v>
      </c>
      <c r="D18124" t="s">
        <v>20</v>
      </c>
      <c r="E18124" t="s">
        <v>39</v>
      </c>
      <c r="F18124">
        <v>0</v>
      </c>
      <c r="G18124">
        <v>0</v>
      </c>
      <c r="H18124">
        <v>2</v>
      </c>
      <c r="I18124" s="3">
        <v>1339</v>
      </c>
      <c r="J18124" s="3">
        <v>0</v>
      </c>
      <c r="L18124">
        <v>3510</v>
      </c>
      <c r="M18124" t="s">
        <v>34518</v>
      </c>
      <c r="N18124" t="s">
        <v>30</v>
      </c>
      <c r="O18124" t="s">
        <v>31</v>
      </c>
      <c r="P18124" t="str">
        <f>"15214"</f>
        <v>15214</v>
      </c>
    </row>
    <row r="18125" spans="1:16" x14ac:dyDescent="0.25">
      <c r="A18125" t="str">
        <f>"1260116J00244    00"</f>
        <v>1260116J00244    00</v>
      </c>
      <c r="B18125" t="s">
        <v>39375</v>
      </c>
      <c r="C18125" t="s">
        <v>39376</v>
      </c>
      <c r="D18125" t="s">
        <v>20</v>
      </c>
      <c r="E18125" t="s">
        <v>39</v>
      </c>
      <c r="F18125">
        <v>0</v>
      </c>
      <c r="G18125">
        <v>0</v>
      </c>
      <c r="H18125">
        <v>5</v>
      </c>
      <c r="I18125" s="3">
        <v>8647.57</v>
      </c>
      <c r="J18125" s="3">
        <v>1493.99</v>
      </c>
      <c r="L18125">
        <v>1224</v>
      </c>
      <c r="M18125" t="s">
        <v>39377</v>
      </c>
      <c r="N18125" t="s">
        <v>1210</v>
      </c>
      <c r="O18125" t="s">
        <v>495</v>
      </c>
      <c r="P18125" t="str">
        <f>"94122"</f>
        <v>94122</v>
      </c>
    </row>
    <row r="18126" spans="1:16" x14ac:dyDescent="0.25">
      <c r="A18126" t="str">
        <f>"1260116J00277    00"</f>
        <v>1260116J00277    00</v>
      </c>
      <c r="B18126" t="s">
        <v>39378</v>
      </c>
      <c r="C18126" t="s">
        <v>39379</v>
      </c>
      <c r="D18126" t="s">
        <v>20</v>
      </c>
      <c r="E18126" t="s">
        <v>39</v>
      </c>
      <c r="F18126">
        <v>0</v>
      </c>
      <c r="G18126">
        <v>0</v>
      </c>
      <c r="H18126">
        <v>19</v>
      </c>
      <c r="I18126" s="3">
        <v>17724.259999999998</v>
      </c>
      <c r="J18126" s="3">
        <v>17108.73</v>
      </c>
      <c r="L18126">
        <v>206</v>
      </c>
      <c r="M18126" t="s">
        <v>39380</v>
      </c>
      <c r="N18126" t="s">
        <v>30</v>
      </c>
      <c r="O18126" t="s">
        <v>31</v>
      </c>
      <c r="P18126" t="str">
        <f>"15214"</f>
        <v>15214</v>
      </c>
    </row>
    <row r="18127" spans="1:16" x14ac:dyDescent="0.25">
      <c r="A18127" t="str">
        <f>"1260116J00294    00"</f>
        <v>1260116J00294    00</v>
      </c>
      <c r="B18127" t="s">
        <v>39381</v>
      </c>
      <c r="C18127" t="s">
        <v>39379</v>
      </c>
      <c r="D18127" t="s">
        <v>57</v>
      </c>
      <c r="E18127" t="s">
        <v>39</v>
      </c>
      <c r="F18127">
        <v>0</v>
      </c>
      <c r="G18127">
        <v>0</v>
      </c>
      <c r="H18127">
        <v>6</v>
      </c>
      <c r="I18127" s="3">
        <v>1745.92</v>
      </c>
      <c r="J18127" s="3">
        <v>436.48</v>
      </c>
      <c r="L18127">
        <v>817</v>
      </c>
      <c r="M18127" t="s">
        <v>39382</v>
      </c>
      <c r="N18127" t="s">
        <v>30</v>
      </c>
      <c r="O18127" t="s">
        <v>31</v>
      </c>
      <c r="P18127" t="str">
        <f>"15212"</f>
        <v>15212</v>
      </c>
    </row>
    <row r="18128" spans="1:16" x14ac:dyDescent="0.25">
      <c r="A18128" t="str">
        <f>"1260116J00297    00"</f>
        <v>1260116J00297    00</v>
      </c>
      <c r="B18128" t="s">
        <v>39383</v>
      </c>
      <c r="C18128" t="s">
        <v>39384</v>
      </c>
      <c r="E18128" t="s">
        <v>39</v>
      </c>
      <c r="F18128">
        <v>0</v>
      </c>
      <c r="G18128">
        <v>0</v>
      </c>
      <c r="H18128">
        <v>1</v>
      </c>
      <c r="I18128" s="3">
        <v>690.85</v>
      </c>
      <c r="J18128" s="3">
        <v>0</v>
      </c>
      <c r="M18128" t="s">
        <v>39385</v>
      </c>
      <c r="N18128" t="s">
        <v>30</v>
      </c>
      <c r="O18128" t="s">
        <v>31</v>
      </c>
      <c r="P18128" t="str">
        <f>"15237"</f>
        <v>15237</v>
      </c>
    </row>
    <row r="18129" spans="1:16" x14ac:dyDescent="0.25">
      <c r="A18129" t="str">
        <f>"1260116J00308    00"</f>
        <v>1260116J00308    00</v>
      </c>
      <c r="B18129" t="s">
        <v>9290</v>
      </c>
      <c r="C18129" t="s">
        <v>39386</v>
      </c>
      <c r="D18129" t="s">
        <v>20</v>
      </c>
      <c r="E18129" t="s">
        <v>39</v>
      </c>
      <c r="F18129">
        <v>0</v>
      </c>
      <c r="G18129">
        <v>0</v>
      </c>
      <c r="H18129">
        <v>8</v>
      </c>
      <c r="I18129" s="3">
        <v>9825.85</v>
      </c>
      <c r="J18129" s="3">
        <v>3215.18</v>
      </c>
      <c r="L18129">
        <v>414</v>
      </c>
      <c r="M18129" t="s">
        <v>9292</v>
      </c>
      <c r="N18129" t="s">
        <v>30</v>
      </c>
      <c r="O18129" t="s">
        <v>31</v>
      </c>
      <c r="P18129" t="str">
        <f>"15219"</f>
        <v>15219</v>
      </c>
    </row>
    <row r="18130" spans="1:16" x14ac:dyDescent="0.25">
      <c r="A18130" t="str">
        <f>"1260116J00329    00"</f>
        <v>1260116J00329    00</v>
      </c>
      <c r="B18130" t="s">
        <v>39387</v>
      </c>
      <c r="C18130" t="s">
        <v>39388</v>
      </c>
      <c r="D18130" t="s">
        <v>20</v>
      </c>
      <c r="E18130" t="s">
        <v>39</v>
      </c>
      <c r="F18130">
        <v>0</v>
      </c>
      <c r="G18130">
        <v>0</v>
      </c>
      <c r="H18130">
        <v>4</v>
      </c>
      <c r="I18130" s="3">
        <v>4641.99</v>
      </c>
      <c r="J18130" s="3">
        <v>569.1</v>
      </c>
      <c r="L18130">
        <v>209</v>
      </c>
      <c r="M18130" t="s">
        <v>39380</v>
      </c>
      <c r="N18130" t="s">
        <v>30</v>
      </c>
      <c r="O18130" t="s">
        <v>31</v>
      </c>
      <c r="P18130" t="str">
        <f>"15214"</f>
        <v>15214</v>
      </c>
    </row>
    <row r="18131" spans="1:16" x14ac:dyDescent="0.25">
      <c r="A18131" t="str">
        <f>"1260116J00331    00"</f>
        <v>1260116J00331    00</v>
      </c>
      <c r="B18131" t="s">
        <v>38712</v>
      </c>
      <c r="C18131" t="s">
        <v>39379</v>
      </c>
      <c r="D18131" t="s">
        <v>20</v>
      </c>
      <c r="E18131" t="s">
        <v>39</v>
      </c>
      <c r="F18131">
        <v>0</v>
      </c>
      <c r="G18131">
        <v>0</v>
      </c>
      <c r="H18131">
        <v>17</v>
      </c>
      <c r="I18131" s="3">
        <v>4783.55</v>
      </c>
      <c r="J18131" s="3">
        <v>4057.53</v>
      </c>
      <c r="L18131">
        <v>655</v>
      </c>
      <c r="M18131" t="s">
        <v>13218</v>
      </c>
      <c r="N18131" t="s">
        <v>6718</v>
      </c>
      <c r="O18131" t="s">
        <v>108</v>
      </c>
      <c r="P18131" t="str">
        <f>"77477"</f>
        <v>77477</v>
      </c>
    </row>
    <row r="18132" spans="1:16" x14ac:dyDescent="0.25">
      <c r="A18132" t="str">
        <f>"1260116J00332    00"</f>
        <v>1260116J00332    00</v>
      </c>
      <c r="B18132" t="s">
        <v>36432</v>
      </c>
      <c r="C18132" t="s">
        <v>39389</v>
      </c>
      <c r="D18132" t="s">
        <v>20</v>
      </c>
      <c r="E18132" t="s">
        <v>39</v>
      </c>
      <c r="F18132">
        <v>0</v>
      </c>
      <c r="G18132">
        <v>0</v>
      </c>
      <c r="H18132">
        <v>3</v>
      </c>
      <c r="I18132" s="3">
        <v>1422.21</v>
      </c>
      <c r="J18132" s="3">
        <v>204.3</v>
      </c>
      <c r="L18132">
        <v>525</v>
      </c>
      <c r="M18132" t="s">
        <v>36276</v>
      </c>
      <c r="N18132" t="s">
        <v>30</v>
      </c>
      <c r="O18132" t="s">
        <v>31</v>
      </c>
      <c r="P18132" t="str">
        <f>"15214"</f>
        <v>15214</v>
      </c>
    </row>
    <row r="18133" spans="1:16" x14ac:dyDescent="0.25">
      <c r="A18133" t="str">
        <f>"1260116J00384    00"</f>
        <v>1260116J00384    00</v>
      </c>
      <c r="B18133" t="s">
        <v>39390</v>
      </c>
      <c r="C18133" t="s">
        <v>38503</v>
      </c>
      <c r="D18133" t="s">
        <v>20</v>
      </c>
      <c r="E18133" t="s">
        <v>39</v>
      </c>
      <c r="F18133">
        <v>0</v>
      </c>
      <c r="G18133">
        <v>0</v>
      </c>
      <c r="H18133">
        <v>19</v>
      </c>
      <c r="I18133" s="3">
        <v>8175.25</v>
      </c>
      <c r="J18133" s="3">
        <v>7728.48</v>
      </c>
      <c r="L18133">
        <v>157</v>
      </c>
      <c r="M18133" t="s">
        <v>39391</v>
      </c>
      <c r="N18133" t="s">
        <v>30</v>
      </c>
      <c r="O18133" t="s">
        <v>31</v>
      </c>
      <c r="P18133" t="str">
        <f>"15209"</f>
        <v>15209</v>
      </c>
    </row>
    <row r="18134" spans="1:16" x14ac:dyDescent="0.25">
      <c r="A18134" t="str">
        <f>"1260116J00386    00"</f>
        <v>1260116J00386    00</v>
      </c>
      <c r="B18134" t="s">
        <v>21146</v>
      </c>
      <c r="C18134" t="s">
        <v>39392</v>
      </c>
      <c r="E18134" t="s">
        <v>21</v>
      </c>
      <c r="F18134">
        <v>0</v>
      </c>
      <c r="G18134">
        <v>0</v>
      </c>
      <c r="H18134">
        <v>1</v>
      </c>
      <c r="I18134" s="3">
        <v>2731.31</v>
      </c>
      <c r="J18134" s="3">
        <v>0</v>
      </c>
      <c r="K18134" t="s">
        <v>21148</v>
      </c>
      <c r="M18134" t="s">
        <v>6556</v>
      </c>
      <c r="N18134" t="s">
        <v>30</v>
      </c>
      <c r="O18134" t="s">
        <v>31</v>
      </c>
      <c r="P18134" t="str">
        <f>"15201"</f>
        <v>15201</v>
      </c>
    </row>
    <row r="18135" spans="1:16" x14ac:dyDescent="0.25">
      <c r="A18135" t="str">
        <f>"1260116J00392    00"</f>
        <v>1260116J00392    00</v>
      </c>
      <c r="B18135" t="s">
        <v>39393</v>
      </c>
      <c r="C18135" t="s">
        <v>38503</v>
      </c>
      <c r="D18135" t="s">
        <v>20</v>
      </c>
      <c r="E18135" t="s">
        <v>39</v>
      </c>
      <c r="F18135">
        <v>0</v>
      </c>
      <c r="G18135">
        <v>0</v>
      </c>
      <c r="H18135">
        <v>16</v>
      </c>
      <c r="I18135" s="3">
        <v>14495.83</v>
      </c>
      <c r="J18135" s="3">
        <v>13998.64</v>
      </c>
      <c r="L18135">
        <v>600</v>
      </c>
      <c r="M18135" t="s">
        <v>39394</v>
      </c>
      <c r="N18135" t="s">
        <v>29099</v>
      </c>
      <c r="O18135" t="s">
        <v>495</v>
      </c>
      <c r="P18135" t="str">
        <f>"92626"</f>
        <v>92626</v>
      </c>
    </row>
    <row r="18136" spans="1:16" x14ac:dyDescent="0.25">
      <c r="A18136" t="str">
        <f>"1260116K00001    00"</f>
        <v>1260116K00001    00</v>
      </c>
      <c r="B18136" t="s">
        <v>39395</v>
      </c>
      <c r="C18136" t="s">
        <v>38503</v>
      </c>
      <c r="D18136" t="s">
        <v>20</v>
      </c>
      <c r="E18136" t="s">
        <v>39</v>
      </c>
      <c r="F18136">
        <v>0</v>
      </c>
      <c r="G18136">
        <v>0</v>
      </c>
      <c r="H18136">
        <v>16</v>
      </c>
      <c r="I18136" s="3">
        <v>9379.52</v>
      </c>
      <c r="J18136" s="3">
        <v>7917.57</v>
      </c>
      <c r="L18136">
        <v>63</v>
      </c>
      <c r="M18136" t="s">
        <v>39396</v>
      </c>
      <c r="N18136" t="s">
        <v>571</v>
      </c>
      <c r="O18136" t="s">
        <v>423</v>
      </c>
      <c r="P18136" t="str">
        <f>"07112"</f>
        <v>07112</v>
      </c>
    </row>
    <row r="18137" spans="1:16" x14ac:dyDescent="0.25">
      <c r="A18137" t="str">
        <f>"1260116K00011    00"</f>
        <v>1260116K00011    00</v>
      </c>
      <c r="B18137" t="s">
        <v>39397</v>
      </c>
      <c r="C18137" t="s">
        <v>38503</v>
      </c>
      <c r="D18137" t="s">
        <v>20</v>
      </c>
      <c r="E18137" t="s">
        <v>39</v>
      </c>
      <c r="F18137">
        <v>0</v>
      </c>
      <c r="G18137">
        <v>0</v>
      </c>
      <c r="H18137">
        <v>19</v>
      </c>
      <c r="I18137" s="3">
        <v>8580.06</v>
      </c>
      <c r="J18137" s="3">
        <v>8235.43</v>
      </c>
      <c r="P18137" t="str">
        <f>""</f>
        <v/>
      </c>
    </row>
    <row r="18138" spans="1:16" x14ac:dyDescent="0.25">
      <c r="A18138" t="str">
        <f>"1260116K00025    00"</f>
        <v>1260116K00025    00</v>
      </c>
      <c r="B18138" t="s">
        <v>39398</v>
      </c>
      <c r="C18138" t="s">
        <v>39379</v>
      </c>
      <c r="D18138" t="s">
        <v>20</v>
      </c>
      <c r="E18138" t="s">
        <v>39</v>
      </c>
      <c r="F18138">
        <v>0</v>
      </c>
      <c r="G18138">
        <v>0</v>
      </c>
      <c r="H18138">
        <v>19</v>
      </c>
      <c r="I18138" s="3">
        <v>6167.23</v>
      </c>
      <c r="J18138" s="3">
        <v>5602.34</v>
      </c>
      <c r="L18138">
        <v>401</v>
      </c>
      <c r="M18138" t="s">
        <v>39380</v>
      </c>
      <c r="N18138" t="s">
        <v>30</v>
      </c>
      <c r="O18138" t="s">
        <v>31</v>
      </c>
      <c r="P18138" t="str">
        <f>"15214"</f>
        <v>15214</v>
      </c>
    </row>
    <row r="18139" spans="1:16" x14ac:dyDescent="0.25">
      <c r="A18139" t="str">
        <f>"1260116K00031    00"</f>
        <v>1260116K00031    00</v>
      </c>
      <c r="B18139" t="s">
        <v>39399</v>
      </c>
      <c r="C18139" t="s">
        <v>39400</v>
      </c>
      <c r="E18139" t="s">
        <v>39</v>
      </c>
      <c r="F18139">
        <v>0</v>
      </c>
      <c r="G18139">
        <v>0</v>
      </c>
      <c r="H18139">
        <v>5</v>
      </c>
      <c r="I18139" s="3">
        <v>2028.27</v>
      </c>
      <c r="J18139" s="3">
        <v>2174.4499999999998</v>
      </c>
      <c r="L18139">
        <v>461</v>
      </c>
      <c r="M18139" t="s">
        <v>39401</v>
      </c>
      <c r="N18139" t="s">
        <v>285</v>
      </c>
      <c r="O18139" t="s">
        <v>31</v>
      </c>
      <c r="P18139" t="str">
        <f>"15120"</f>
        <v>15120</v>
      </c>
    </row>
    <row r="18140" spans="1:16" x14ac:dyDescent="0.25">
      <c r="A18140" t="str">
        <f>"1260116K00038    00"</f>
        <v>1260116K00038    00</v>
      </c>
      <c r="B18140" t="s">
        <v>39402</v>
      </c>
      <c r="C18140" t="s">
        <v>39403</v>
      </c>
      <c r="D18140" t="s">
        <v>20</v>
      </c>
      <c r="E18140" t="s">
        <v>39</v>
      </c>
      <c r="F18140">
        <v>0</v>
      </c>
      <c r="G18140">
        <v>0</v>
      </c>
      <c r="H18140">
        <v>19</v>
      </c>
      <c r="I18140" s="3">
        <v>6560.35</v>
      </c>
      <c r="J18140" s="3">
        <v>6067.15</v>
      </c>
      <c r="L18140">
        <v>2800</v>
      </c>
      <c r="M18140" t="s">
        <v>39404</v>
      </c>
      <c r="N18140" t="s">
        <v>39405</v>
      </c>
      <c r="O18140" t="s">
        <v>108</v>
      </c>
      <c r="P18140" t="str">
        <f>"75020"</f>
        <v>75020</v>
      </c>
    </row>
    <row r="18141" spans="1:16" x14ac:dyDescent="0.25">
      <c r="A18141" t="str">
        <f>"1260116K00249    00"</f>
        <v>1260116K00249    00</v>
      </c>
      <c r="B18141" t="s">
        <v>39406</v>
      </c>
      <c r="C18141" t="s">
        <v>39407</v>
      </c>
      <c r="E18141" t="s">
        <v>39</v>
      </c>
      <c r="F18141">
        <v>0</v>
      </c>
      <c r="G18141">
        <v>0</v>
      </c>
      <c r="H18141">
        <v>1</v>
      </c>
      <c r="I18141" s="3">
        <v>179.8</v>
      </c>
      <c r="J18141" s="3">
        <v>0</v>
      </c>
      <c r="L18141">
        <v>430</v>
      </c>
      <c r="M18141" t="s">
        <v>39380</v>
      </c>
      <c r="N18141" t="s">
        <v>30</v>
      </c>
      <c r="O18141" t="s">
        <v>31</v>
      </c>
      <c r="P18141" t="str">
        <f>"15214"</f>
        <v>15214</v>
      </c>
    </row>
    <row r="18142" spans="1:16" x14ac:dyDescent="0.25">
      <c r="A18142" t="str">
        <f>"1260116K00257    00"</f>
        <v>1260116K00257    00</v>
      </c>
      <c r="B18142" t="s">
        <v>39408</v>
      </c>
      <c r="C18142" t="s">
        <v>39409</v>
      </c>
      <c r="D18142" t="s">
        <v>20</v>
      </c>
      <c r="E18142" t="s">
        <v>39</v>
      </c>
      <c r="F18142">
        <v>0</v>
      </c>
      <c r="G18142">
        <v>0</v>
      </c>
      <c r="H18142">
        <v>3</v>
      </c>
      <c r="I18142" s="3">
        <v>243.49</v>
      </c>
      <c r="J18142" s="3">
        <v>4.45</v>
      </c>
      <c r="L18142">
        <v>406</v>
      </c>
      <c r="M18142" t="s">
        <v>39380</v>
      </c>
      <c r="N18142" t="s">
        <v>30</v>
      </c>
      <c r="O18142" t="s">
        <v>31</v>
      </c>
      <c r="P18142" t="str">
        <f>"15214"</f>
        <v>15214</v>
      </c>
    </row>
    <row r="18143" spans="1:16" x14ac:dyDescent="0.25">
      <c r="A18143" t="str">
        <f>"1260116K00316    00"</f>
        <v>1260116K00316    00</v>
      </c>
      <c r="B18143" t="s">
        <v>39410</v>
      </c>
      <c r="C18143" t="s">
        <v>39411</v>
      </c>
      <c r="D18143" t="s">
        <v>20</v>
      </c>
      <c r="E18143" t="s">
        <v>39</v>
      </c>
      <c r="F18143">
        <v>0</v>
      </c>
      <c r="G18143">
        <v>0</v>
      </c>
      <c r="H18143">
        <v>14</v>
      </c>
      <c r="I18143" s="3">
        <v>10134.23</v>
      </c>
      <c r="J18143" s="3">
        <v>6483.22</v>
      </c>
      <c r="L18143">
        <v>431</v>
      </c>
      <c r="M18143" t="s">
        <v>38354</v>
      </c>
      <c r="N18143" t="s">
        <v>30</v>
      </c>
      <c r="O18143" t="s">
        <v>31</v>
      </c>
      <c r="P18143" t="str">
        <f>"15214"</f>
        <v>15214</v>
      </c>
    </row>
    <row r="18144" spans="1:16" x14ac:dyDescent="0.25">
      <c r="A18144" t="str">
        <f>"1260116L00065    00"</f>
        <v>1260116L00065    00</v>
      </c>
      <c r="B18144" t="s">
        <v>39412</v>
      </c>
      <c r="C18144" t="s">
        <v>39413</v>
      </c>
      <c r="D18144" t="s">
        <v>20</v>
      </c>
      <c r="E18144" t="s">
        <v>39</v>
      </c>
      <c r="F18144">
        <v>0</v>
      </c>
      <c r="G18144">
        <v>0</v>
      </c>
      <c r="H18144">
        <v>1</v>
      </c>
      <c r="I18144" s="3">
        <v>55.28</v>
      </c>
      <c r="J18144" s="3">
        <v>0</v>
      </c>
      <c r="L18144">
        <v>3603</v>
      </c>
      <c r="M18144" t="s">
        <v>37934</v>
      </c>
      <c r="N18144" t="s">
        <v>30</v>
      </c>
      <c r="O18144" t="s">
        <v>31</v>
      </c>
      <c r="P18144" t="str">
        <f>"15214"</f>
        <v>15214</v>
      </c>
    </row>
    <row r="18145" spans="1:16" x14ac:dyDescent="0.25">
      <c r="A18145" t="str">
        <f>"1260116L00072    00"</f>
        <v>1260116L00072    00</v>
      </c>
      <c r="B18145" t="s">
        <v>39412</v>
      </c>
      <c r="C18145" t="s">
        <v>39414</v>
      </c>
      <c r="E18145" t="s">
        <v>39</v>
      </c>
      <c r="F18145">
        <v>0</v>
      </c>
      <c r="G18145">
        <v>0</v>
      </c>
      <c r="H18145">
        <v>1</v>
      </c>
      <c r="I18145" s="3">
        <v>70.790000000000006</v>
      </c>
      <c r="J18145" s="3">
        <v>33.630000000000003</v>
      </c>
      <c r="K18145" t="s">
        <v>728</v>
      </c>
      <c r="L18145">
        <v>3001</v>
      </c>
      <c r="M18145" t="s">
        <v>330</v>
      </c>
      <c r="N18145" t="s">
        <v>331</v>
      </c>
      <c r="O18145" t="s">
        <v>108</v>
      </c>
      <c r="P18145" t="str">
        <f>"75063"</f>
        <v>75063</v>
      </c>
    </row>
    <row r="18146" spans="1:16" x14ac:dyDescent="0.25">
      <c r="A18146" t="str">
        <f>"1260116L00151    00"</f>
        <v>1260116L00151    00</v>
      </c>
      <c r="B18146" t="s">
        <v>39415</v>
      </c>
      <c r="C18146" t="s">
        <v>39333</v>
      </c>
      <c r="D18146" t="s">
        <v>20</v>
      </c>
      <c r="E18146" t="s">
        <v>39</v>
      </c>
      <c r="F18146">
        <v>0</v>
      </c>
      <c r="G18146">
        <v>0</v>
      </c>
      <c r="H18146">
        <v>6</v>
      </c>
      <c r="I18146" s="3">
        <v>1550.44</v>
      </c>
      <c r="J18146" s="3">
        <v>347.75</v>
      </c>
      <c r="L18146">
        <v>3500</v>
      </c>
      <c r="M18146" t="s">
        <v>37934</v>
      </c>
      <c r="N18146" t="s">
        <v>30</v>
      </c>
      <c r="O18146" t="s">
        <v>31</v>
      </c>
      <c r="P18146" t="str">
        <f>"15214"</f>
        <v>15214</v>
      </c>
    </row>
    <row r="18147" spans="1:16" x14ac:dyDescent="0.25">
      <c r="A18147" t="str">
        <f>"1260116L00166    00"</f>
        <v>1260116L00166    00</v>
      </c>
      <c r="B18147" t="s">
        <v>39416</v>
      </c>
      <c r="C18147" t="s">
        <v>39417</v>
      </c>
      <c r="D18147" t="s">
        <v>20</v>
      </c>
      <c r="E18147" t="s">
        <v>39</v>
      </c>
      <c r="F18147">
        <v>0</v>
      </c>
      <c r="G18147">
        <v>0</v>
      </c>
      <c r="H18147">
        <v>11</v>
      </c>
      <c r="I18147" s="3">
        <v>13320.35</v>
      </c>
      <c r="J18147" s="3">
        <v>5328.8</v>
      </c>
      <c r="L18147">
        <v>3523</v>
      </c>
      <c r="M18147" t="s">
        <v>37934</v>
      </c>
      <c r="N18147" t="s">
        <v>30</v>
      </c>
      <c r="O18147" t="s">
        <v>31</v>
      </c>
      <c r="P18147" t="str">
        <f>"15214"</f>
        <v>15214</v>
      </c>
    </row>
    <row r="18148" spans="1:16" x14ac:dyDescent="0.25">
      <c r="A18148" t="str">
        <f>"1260116L00172    00"</f>
        <v>1260116L00172    00</v>
      </c>
      <c r="B18148" t="s">
        <v>39418</v>
      </c>
      <c r="C18148" t="s">
        <v>39419</v>
      </c>
      <c r="D18148" t="s">
        <v>20</v>
      </c>
      <c r="E18148" t="s">
        <v>39</v>
      </c>
      <c r="F18148">
        <v>0</v>
      </c>
      <c r="G18148">
        <v>0</v>
      </c>
      <c r="H18148">
        <v>2</v>
      </c>
      <c r="I18148" s="3">
        <v>3481.34</v>
      </c>
      <c r="J18148" s="3">
        <v>0</v>
      </c>
      <c r="K18148" t="s">
        <v>759</v>
      </c>
      <c r="L18148">
        <v>3001</v>
      </c>
      <c r="M18148" t="s">
        <v>404</v>
      </c>
      <c r="N18148" t="s">
        <v>331</v>
      </c>
      <c r="O18148" t="s">
        <v>108</v>
      </c>
      <c r="P18148" t="str">
        <f>"75063"</f>
        <v>75063</v>
      </c>
    </row>
    <row r="18149" spans="1:16" x14ac:dyDescent="0.25">
      <c r="A18149" t="str">
        <f>"1260116L00215    00"</f>
        <v>1260116L00215    00</v>
      </c>
      <c r="B18149" t="s">
        <v>39420</v>
      </c>
      <c r="C18149" t="s">
        <v>39421</v>
      </c>
      <c r="D18149" t="s">
        <v>20</v>
      </c>
      <c r="E18149" t="s">
        <v>39</v>
      </c>
      <c r="F18149">
        <v>0</v>
      </c>
      <c r="G18149">
        <v>0</v>
      </c>
      <c r="H18149">
        <v>1</v>
      </c>
      <c r="I18149" s="3">
        <v>240.01</v>
      </c>
      <c r="J18149" s="3">
        <v>0</v>
      </c>
      <c r="L18149">
        <v>3552</v>
      </c>
      <c r="M18149" t="s">
        <v>39422</v>
      </c>
      <c r="N18149" t="s">
        <v>30</v>
      </c>
      <c r="O18149" t="s">
        <v>31</v>
      </c>
      <c r="P18149" t="str">
        <f>"15214"</f>
        <v>15214</v>
      </c>
    </row>
    <row r="18150" spans="1:16" x14ac:dyDescent="0.25">
      <c r="A18150" t="str">
        <f>"1260116L00235    00"</f>
        <v>1260116L00235    00</v>
      </c>
      <c r="B18150" t="s">
        <v>39423</v>
      </c>
      <c r="C18150" t="s">
        <v>39424</v>
      </c>
      <c r="D18150" t="s">
        <v>20</v>
      </c>
      <c r="E18150" t="s">
        <v>39</v>
      </c>
      <c r="F18150">
        <v>0</v>
      </c>
      <c r="G18150">
        <v>0</v>
      </c>
      <c r="H18150">
        <v>11</v>
      </c>
      <c r="I18150" s="3">
        <v>5373.93</v>
      </c>
      <c r="J18150" s="3">
        <v>2747.16</v>
      </c>
      <c r="M18150" t="s">
        <v>39425</v>
      </c>
      <c r="N18150" t="s">
        <v>30</v>
      </c>
      <c r="O18150" t="s">
        <v>31</v>
      </c>
      <c r="P18150" t="str">
        <f>"15233"</f>
        <v>15233</v>
      </c>
    </row>
    <row r="18151" spans="1:16" x14ac:dyDescent="0.25">
      <c r="A18151" t="str">
        <f>"1260116L00271    00"</f>
        <v>1260116L00271    00</v>
      </c>
      <c r="B18151" t="s">
        <v>39426</v>
      </c>
      <c r="C18151" t="s">
        <v>39427</v>
      </c>
      <c r="D18151" t="s">
        <v>20</v>
      </c>
      <c r="E18151" t="s">
        <v>39</v>
      </c>
      <c r="F18151">
        <v>0</v>
      </c>
      <c r="G18151">
        <v>0</v>
      </c>
      <c r="H18151">
        <v>19</v>
      </c>
      <c r="I18151" s="3">
        <v>3088.98</v>
      </c>
      <c r="J18151" s="3">
        <v>1899.76</v>
      </c>
      <c r="L18151">
        <v>521</v>
      </c>
      <c r="M18151" t="s">
        <v>39428</v>
      </c>
      <c r="N18151" t="s">
        <v>295</v>
      </c>
      <c r="O18151" t="s">
        <v>31</v>
      </c>
      <c r="P18151" t="str">
        <f>"15146"</f>
        <v>15146</v>
      </c>
    </row>
    <row r="18152" spans="1:16" x14ac:dyDescent="0.25">
      <c r="A18152" t="str">
        <f>"1260116N00019    00"</f>
        <v>1260116N00019    00</v>
      </c>
      <c r="B18152" t="s">
        <v>38433</v>
      </c>
      <c r="C18152" t="s">
        <v>39429</v>
      </c>
      <c r="D18152" t="s">
        <v>20</v>
      </c>
      <c r="E18152" t="s">
        <v>39</v>
      </c>
      <c r="F18152">
        <v>0</v>
      </c>
      <c r="G18152">
        <v>0</v>
      </c>
      <c r="H18152">
        <v>2</v>
      </c>
      <c r="I18152" s="3">
        <v>2668.4</v>
      </c>
      <c r="J18152" s="3">
        <v>0</v>
      </c>
      <c r="L18152">
        <v>3340</v>
      </c>
      <c r="M18152" t="s">
        <v>34518</v>
      </c>
      <c r="N18152" t="s">
        <v>30</v>
      </c>
      <c r="O18152" t="s">
        <v>31</v>
      </c>
      <c r="P18152" t="str">
        <f>"15214"</f>
        <v>15214</v>
      </c>
    </row>
    <row r="18153" spans="1:16" x14ac:dyDescent="0.25">
      <c r="A18153" t="str">
        <f>"1260116N00021    00"</f>
        <v>1260116N00021    00</v>
      </c>
      <c r="B18153" t="s">
        <v>38433</v>
      </c>
      <c r="C18153" t="s">
        <v>39430</v>
      </c>
      <c r="D18153" t="s">
        <v>20</v>
      </c>
      <c r="E18153" t="s">
        <v>39</v>
      </c>
      <c r="F18153">
        <v>0</v>
      </c>
      <c r="G18153">
        <v>0</v>
      </c>
      <c r="H18153">
        <v>2</v>
      </c>
      <c r="I18153" s="3">
        <v>2725.6</v>
      </c>
      <c r="J18153" s="3">
        <v>0</v>
      </c>
      <c r="K18153" t="s">
        <v>38435</v>
      </c>
      <c r="L18153">
        <v>906</v>
      </c>
      <c r="M18153" t="s">
        <v>16085</v>
      </c>
      <c r="N18153" t="s">
        <v>30</v>
      </c>
      <c r="O18153" t="s">
        <v>31</v>
      </c>
      <c r="P18153" t="str">
        <f>"15212"</f>
        <v>15212</v>
      </c>
    </row>
    <row r="18154" spans="1:16" x14ac:dyDescent="0.25">
      <c r="A18154" t="str">
        <f>"1260116N00023    00"</f>
        <v>1260116N00023    00</v>
      </c>
      <c r="B18154" t="s">
        <v>39431</v>
      </c>
      <c r="C18154" t="s">
        <v>39432</v>
      </c>
      <c r="D18154" t="s">
        <v>20</v>
      </c>
      <c r="E18154" t="s">
        <v>39</v>
      </c>
      <c r="F18154">
        <v>0</v>
      </c>
      <c r="G18154">
        <v>0</v>
      </c>
      <c r="H18154">
        <v>7</v>
      </c>
      <c r="I18154" s="3">
        <v>6483.39</v>
      </c>
      <c r="J18154" s="3">
        <v>1482.49</v>
      </c>
      <c r="L18154">
        <v>3433</v>
      </c>
      <c r="M18154" t="s">
        <v>38448</v>
      </c>
      <c r="N18154" t="s">
        <v>30</v>
      </c>
      <c r="O18154" t="s">
        <v>31</v>
      </c>
      <c r="P18154" t="str">
        <f>"15214"</f>
        <v>15214</v>
      </c>
    </row>
    <row r="18155" spans="1:16" x14ac:dyDescent="0.25">
      <c r="A18155" t="str">
        <f>"1260116N00058    00"</f>
        <v>1260116N00058    00</v>
      </c>
      <c r="B18155" t="s">
        <v>39433</v>
      </c>
      <c r="C18155" t="s">
        <v>39434</v>
      </c>
      <c r="E18155" t="s">
        <v>21</v>
      </c>
      <c r="F18155">
        <v>0</v>
      </c>
      <c r="G18155">
        <v>0</v>
      </c>
      <c r="H18155">
        <v>9</v>
      </c>
      <c r="I18155" s="3">
        <v>25910.61</v>
      </c>
      <c r="J18155" s="3">
        <v>26331.77</v>
      </c>
      <c r="L18155">
        <v>3370</v>
      </c>
      <c r="M18155" t="s">
        <v>34518</v>
      </c>
      <c r="N18155" t="s">
        <v>30</v>
      </c>
      <c r="O18155" t="s">
        <v>31</v>
      </c>
      <c r="P18155" t="str">
        <f>"15214"</f>
        <v>15214</v>
      </c>
    </row>
    <row r="18156" spans="1:16" x14ac:dyDescent="0.25">
      <c r="A18156" t="str">
        <f>"1260116N00075    00"</f>
        <v>1260116N00075    00</v>
      </c>
      <c r="B18156" t="s">
        <v>39435</v>
      </c>
      <c r="C18156" t="s">
        <v>39436</v>
      </c>
      <c r="D18156" t="s">
        <v>20</v>
      </c>
      <c r="E18156" t="s">
        <v>39</v>
      </c>
      <c r="F18156">
        <v>0</v>
      </c>
      <c r="G18156">
        <v>0</v>
      </c>
      <c r="H18156">
        <v>1</v>
      </c>
      <c r="I18156" s="3">
        <v>1553.4</v>
      </c>
      <c r="J18156" s="3">
        <v>0</v>
      </c>
      <c r="L18156">
        <v>122</v>
      </c>
      <c r="M18156" t="s">
        <v>39437</v>
      </c>
      <c r="N18156" t="s">
        <v>30</v>
      </c>
      <c r="O18156" t="s">
        <v>31</v>
      </c>
      <c r="P18156" t="str">
        <f>"15202"</f>
        <v>15202</v>
      </c>
    </row>
    <row r="18157" spans="1:16" x14ac:dyDescent="0.25">
      <c r="A18157" t="str">
        <f>"1260116N00079    00"</f>
        <v>1260116N00079    00</v>
      </c>
      <c r="B18157" t="s">
        <v>39438</v>
      </c>
      <c r="C18157" t="s">
        <v>39439</v>
      </c>
      <c r="D18157" t="s">
        <v>20</v>
      </c>
      <c r="E18157" t="s">
        <v>39</v>
      </c>
      <c r="F18157">
        <v>0</v>
      </c>
      <c r="G18157">
        <v>0</v>
      </c>
      <c r="H18157">
        <v>4</v>
      </c>
      <c r="I18157" s="3">
        <v>2624.47</v>
      </c>
      <c r="J18157" s="3">
        <v>180.26</v>
      </c>
      <c r="L18157">
        <v>3436</v>
      </c>
      <c r="M18157" t="s">
        <v>34518</v>
      </c>
      <c r="N18157" t="s">
        <v>30</v>
      </c>
      <c r="O18157" t="s">
        <v>31</v>
      </c>
      <c r="P18157" t="str">
        <f>"15214"</f>
        <v>15214</v>
      </c>
    </row>
    <row r="18158" spans="1:16" x14ac:dyDescent="0.25">
      <c r="A18158" t="str">
        <f>"1260116N00082    00"</f>
        <v>1260116N00082    00</v>
      </c>
      <c r="B18158" t="s">
        <v>39440</v>
      </c>
      <c r="C18158" t="s">
        <v>39441</v>
      </c>
      <c r="E18158" t="s">
        <v>39</v>
      </c>
      <c r="F18158">
        <v>0</v>
      </c>
      <c r="G18158">
        <v>0</v>
      </c>
      <c r="H18158">
        <v>1</v>
      </c>
      <c r="I18158" s="3">
        <v>1282.8599999999999</v>
      </c>
      <c r="J18158" s="3">
        <v>0</v>
      </c>
      <c r="K18158" t="s">
        <v>39442</v>
      </c>
      <c r="L18158">
        <v>3442</v>
      </c>
      <c r="M18158" t="s">
        <v>34518</v>
      </c>
      <c r="N18158" t="s">
        <v>30</v>
      </c>
      <c r="O18158" t="s">
        <v>31</v>
      </c>
      <c r="P18158" t="str">
        <f>"15214"</f>
        <v>15214</v>
      </c>
    </row>
    <row r="18159" spans="1:16" x14ac:dyDescent="0.25">
      <c r="A18159" t="str">
        <f>"1260116N00089    00"</f>
        <v>1260116N00089    00</v>
      </c>
      <c r="B18159" t="s">
        <v>38696</v>
      </c>
      <c r="C18159" t="s">
        <v>39443</v>
      </c>
      <c r="D18159" t="s">
        <v>20</v>
      </c>
      <c r="E18159" t="s">
        <v>39</v>
      </c>
      <c r="F18159">
        <v>0</v>
      </c>
      <c r="G18159">
        <v>0</v>
      </c>
      <c r="H18159">
        <v>10</v>
      </c>
      <c r="I18159" s="3">
        <v>14894.68</v>
      </c>
      <c r="J18159" s="3">
        <v>7222.72</v>
      </c>
      <c r="K18159" t="s">
        <v>38021</v>
      </c>
      <c r="L18159">
        <v>1433</v>
      </c>
      <c r="M18159" t="s">
        <v>38022</v>
      </c>
      <c r="N18159" t="s">
        <v>30</v>
      </c>
      <c r="O18159" t="s">
        <v>31</v>
      </c>
      <c r="P18159" t="str">
        <f>"15212"</f>
        <v>15212</v>
      </c>
    </row>
    <row r="18160" spans="1:16" x14ac:dyDescent="0.25">
      <c r="A18160" t="str">
        <f>"1260116N00103    00"</f>
        <v>1260116N00103    00</v>
      </c>
      <c r="B18160" t="s">
        <v>39444</v>
      </c>
      <c r="C18160" t="s">
        <v>39445</v>
      </c>
      <c r="D18160" t="s">
        <v>20</v>
      </c>
      <c r="E18160" t="s">
        <v>39</v>
      </c>
      <c r="F18160">
        <v>0</v>
      </c>
      <c r="G18160">
        <v>0</v>
      </c>
      <c r="H18160">
        <v>2</v>
      </c>
      <c r="I18160" s="3">
        <v>2817.1</v>
      </c>
      <c r="J18160" s="3">
        <v>0</v>
      </c>
      <c r="K18160" t="s">
        <v>39446</v>
      </c>
      <c r="L18160">
        <v>117</v>
      </c>
      <c r="M18160" t="s">
        <v>34011</v>
      </c>
      <c r="N18160" t="s">
        <v>30</v>
      </c>
      <c r="O18160" t="s">
        <v>31</v>
      </c>
      <c r="P18160" t="str">
        <f>"15214"</f>
        <v>15214</v>
      </c>
    </row>
    <row r="18161" spans="1:16" x14ac:dyDescent="0.25">
      <c r="A18161" t="str">
        <f>"1260116N00105    00"</f>
        <v>1260116N00105    00</v>
      </c>
      <c r="B18161" t="s">
        <v>39447</v>
      </c>
      <c r="C18161" t="s">
        <v>39448</v>
      </c>
      <c r="E18161" t="s">
        <v>39</v>
      </c>
      <c r="F18161">
        <v>0</v>
      </c>
      <c r="G18161">
        <v>0</v>
      </c>
      <c r="H18161">
        <v>1</v>
      </c>
      <c r="I18161" s="3">
        <v>636.09</v>
      </c>
      <c r="J18161" s="3">
        <v>0</v>
      </c>
      <c r="L18161">
        <v>6206</v>
      </c>
      <c r="M18161" t="s">
        <v>39449</v>
      </c>
      <c r="N18161" t="s">
        <v>39450</v>
      </c>
      <c r="O18161" t="s">
        <v>1184</v>
      </c>
      <c r="P18161" t="str">
        <f>"20744"</f>
        <v>20744</v>
      </c>
    </row>
    <row r="18162" spans="1:16" x14ac:dyDescent="0.25">
      <c r="A18162" t="str">
        <f>"1260116N00108    00"</f>
        <v>1260116N00108    00</v>
      </c>
      <c r="B18162" t="s">
        <v>39451</v>
      </c>
      <c r="C18162" t="s">
        <v>39452</v>
      </c>
      <c r="D18162" t="s">
        <v>20</v>
      </c>
      <c r="E18162" t="s">
        <v>39</v>
      </c>
      <c r="F18162">
        <v>0</v>
      </c>
      <c r="G18162">
        <v>0</v>
      </c>
      <c r="H18162">
        <v>4</v>
      </c>
      <c r="I18162" s="3">
        <v>3654.77</v>
      </c>
      <c r="J18162" s="3">
        <v>452.48</v>
      </c>
      <c r="L18162">
        <v>255</v>
      </c>
      <c r="M18162" t="s">
        <v>35682</v>
      </c>
      <c r="N18162" t="s">
        <v>30</v>
      </c>
      <c r="O18162" t="s">
        <v>31</v>
      </c>
      <c r="P18162" t="str">
        <f>"15214"</f>
        <v>15214</v>
      </c>
    </row>
    <row r="18163" spans="1:16" x14ac:dyDescent="0.25">
      <c r="A18163" t="str">
        <f>"1260116N00136    00"</f>
        <v>1260116N00136    00</v>
      </c>
      <c r="B18163" t="s">
        <v>39453</v>
      </c>
      <c r="C18163" t="s">
        <v>39454</v>
      </c>
      <c r="D18163" t="s">
        <v>20</v>
      </c>
      <c r="E18163" t="s">
        <v>39</v>
      </c>
      <c r="F18163">
        <v>0</v>
      </c>
      <c r="G18163">
        <v>0</v>
      </c>
      <c r="H18163">
        <v>1</v>
      </c>
      <c r="I18163" s="3">
        <v>669.92</v>
      </c>
      <c r="J18163" s="3">
        <v>189.8</v>
      </c>
      <c r="L18163">
        <v>39</v>
      </c>
      <c r="M18163" t="s">
        <v>39211</v>
      </c>
      <c r="N18163" t="s">
        <v>30</v>
      </c>
      <c r="O18163" t="s">
        <v>31</v>
      </c>
      <c r="P18163" t="str">
        <f>"15214"</f>
        <v>15214</v>
      </c>
    </row>
    <row r="18164" spans="1:16" x14ac:dyDescent="0.25">
      <c r="A18164" t="str">
        <f>"1260116N00143    00"</f>
        <v>1260116N00143    00</v>
      </c>
      <c r="B18164" t="s">
        <v>39455</v>
      </c>
      <c r="C18164" t="s">
        <v>39456</v>
      </c>
      <c r="D18164" t="s">
        <v>20</v>
      </c>
      <c r="E18164" t="s">
        <v>39</v>
      </c>
      <c r="F18164">
        <v>0</v>
      </c>
      <c r="G18164">
        <v>0</v>
      </c>
      <c r="H18164">
        <v>4</v>
      </c>
      <c r="I18164" s="3">
        <v>6613.62</v>
      </c>
      <c r="J18164" s="3">
        <v>778.16</v>
      </c>
      <c r="L18164">
        <v>146</v>
      </c>
      <c r="M18164" t="s">
        <v>39457</v>
      </c>
      <c r="N18164" t="s">
        <v>30</v>
      </c>
      <c r="O18164" t="s">
        <v>31</v>
      </c>
      <c r="P18164" t="str">
        <f>"15229"</f>
        <v>15229</v>
      </c>
    </row>
    <row r="18165" spans="1:16" x14ac:dyDescent="0.25">
      <c r="A18165" t="str">
        <f>"1260116N00145    00"</f>
        <v>1260116N00145    00</v>
      </c>
      <c r="B18165" t="s">
        <v>39453</v>
      </c>
      <c r="C18165" t="s">
        <v>39458</v>
      </c>
      <c r="D18165" t="s">
        <v>20</v>
      </c>
      <c r="E18165" t="s">
        <v>39</v>
      </c>
      <c r="F18165">
        <v>0</v>
      </c>
      <c r="G18165">
        <v>0</v>
      </c>
      <c r="H18165">
        <v>1</v>
      </c>
      <c r="I18165" s="3">
        <v>1440.73</v>
      </c>
      <c r="J18165" s="3">
        <v>408.19</v>
      </c>
      <c r="L18165">
        <v>39</v>
      </c>
      <c r="M18165" t="s">
        <v>39211</v>
      </c>
      <c r="N18165" t="s">
        <v>30</v>
      </c>
      <c r="O18165" t="s">
        <v>31</v>
      </c>
      <c r="P18165" t="str">
        <f>"15214"</f>
        <v>15214</v>
      </c>
    </row>
    <row r="18166" spans="1:16" x14ac:dyDescent="0.25">
      <c r="A18166" t="str">
        <f>"1260116P00004    00"</f>
        <v>1260116P00004    00</v>
      </c>
      <c r="B18166" t="s">
        <v>39459</v>
      </c>
      <c r="C18166" t="s">
        <v>39460</v>
      </c>
      <c r="E18166" t="s">
        <v>39</v>
      </c>
      <c r="F18166">
        <v>0</v>
      </c>
      <c r="G18166">
        <v>0</v>
      </c>
      <c r="H18166">
        <v>1</v>
      </c>
      <c r="I18166" s="3">
        <v>320.82</v>
      </c>
      <c r="J18166" s="3">
        <v>72.17</v>
      </c>
      <c r="L18166">
        <v>3445</v>
      </c>
      <c r="M18166" t="s">
        <v>38448</v>
      </c>
      <c r="N18166" t="s">
        <v>30</v>
      </c>
      <c r="O18166" t="s">
        <v>31</v>
      </c>
      <c r="P18166" t="str">
        <f>"15214"</f>
        <v>15214</v>
      </c>
    </row>
    <row r="18167" spans="1:16" x14ac:dyDescent="0.25">
      <c r="A18167" t="str">
        <f>"1260116P00006    00"</f>
        <v>1260116P00006    00</v>
      </c>
      <c r="B18167" t="s">
        <v>39459</v>
      </c>
      <c r="C18167" t="s">
        <v>39460</v>
      </c>
      <c r="E18167" t="s">
        <v>39</v>
      </c>
      <c r="F18167">
        <v>0</v>
      </c>
      <c r="G18167">
        <v>0</v>
      </c>
      <c r="H18167">
        <v>1</v>
      </c>
      <c r="I18167" s="3">
        <v>3536.27</v>
      </c>
      <c r="J18167" s="3">
        <v>795.63</v>
      </c>
      <c r="K18167" t="s">
        <v>37248</v>
      </c>
      <c r="L18167">
        <v>3001</v>
      </c>
      <c r="M18167" t="s">
        <v>330</v>
      </c>
      <c r="N18167" t="s">
        <v>331</v>
      </c>
      <c r="O18167" t="s">
        <v>108</v>
      </c>
      <c r="P18167" t="str">
        <f>"75063"</f>
        <v>75063</v>
      </c>
    </row>
    <row r="18168" spans="1:16" x14ac:dyDescent="0.25">
      <c r="A18168" t="str">
        <f>"1260116P00013    00"</f>
        <v>1260116P00013    00</v>
      </c>
      <c r="B18168" t="s">
        <v>39461</v>
      </c>
      <c r="C18168" t="s">
        <v>39462</v>
      </c>
      <c r="D18168" t="s">
        <v>20</v>
      </c>
      <c r="E18168" t="s">
        <v>39</v>
      </c>
      <c r="F18168">
        <v>0</v>
      </c>
      <c r="G18168">
        <v>0</v>
      </c>
      <c r="H18168">
        <v>1</v>
      </c>
      <c r="I18168" s="3">
        <v>1469.54</v>
      </c>
      <c r="J18168" s="3">
        <v>0</v>
      </c>
      <c r="K18168" t="s">
        <v>37248</v>
      </c>
      <c r="L18168">
        <v>3001</v>
      </c>
      <c r="M18168" t="s">
        <v>330</v>
      </c>
      <c r="N18168" t="s">
        <v>331</v>
      </c>
      <c r="O18168" t="s">
        <v>108</v>
      </c>
      <c r="P18168" t="str">
        <f>"75063"</f>
        <v>75063</v>
      </c>
    </row>
    <row r="18169" spans="1:16" x14ac:dyDescent="0.25">
      <c r="A18169" t="str">
        <f>"1260116P00015    00"</f>
        <v>1260116P00015    00</v>
      </c>
      <c r="B18169" t="s">
        <v>39463</v>
      </c>
      <c r="C18169" t="s">
        <v>39464</v>
      </c>
      <c r="D18169" t="s">
        <v>20</v>
      </c>
      <c r="E18169" t="s">
        <v>39</v>
      </c>
      <c r="F18169">
        <v>0</v>
      </c>
      <c r="G18169">
        <v>0</v>
      </c>
      <c r="H18169">
        <v>1</v>
      </c>
      <c r="I18169" s="3">
        <v>970.62</v>
      </c>
      <c r="J18169" s="3">
        <v>0</v>
      </c>
      <c r="K18169" t="s">
        <v>759</v>
      </c>
      <c r="L18169">
        <v>3001</v>
      </c>
      <c r="M18169" t="s">
        <v>404</v>
      </c>
      <c r="N18169" t="s">
        <v>331</v>
      </c>
      <c r="O18169" t="s">
        <v>108</v>
      </c>
      <c r="P18169" t="str">
        <f>"75063"</f>
        <v>75063</v>
      </c>
    </row>
    <row r="18170" spans="1:16" x14ac:dyDescent="0.25">
      <c r="A18170" t="str">
        <f>"1260116P00016    00"</f>
        <v>1260116P00016    00</v>
      </c>
      <c r="B18170" t="s">
        <v>39465</v>
      </c>
      <c r="C18170" t="s">
        <v>39466</v>
      </c>
      <c r="D18170" t="s">
        <v>20</v>
      </c>
      <c r="E18170" t="s">
        <v>39</v>
      </c>
      <c r="F18170">
        <v>0</v>
      </c>
      <c r="G18170">
        <v>0</v>
      </c>
      <c r="H18170">
        <v>4</v>
      </c>
      <c r="I18170" s="3">
        <v>1558.7</v>
      </c>
      <c r="J18170" s="3">
        <v>79.59</v>
      </c>
      <c r="L18170">
        <v>3350</v>
      </c>
      <c r="M18170" t="s">
        <v>39467</v>
      </c>
      <c r="N18170" t="s">
        <v>30</v>
      </c>
      <c r="O18170" t="s">
        <v>31</v>
      </c>
      <c r="P18170" t="str">
        <f>"15214"</f>
        <v>15214</v>
      </c>
    </row>
    <row r="18171" spans="1:16" x14ac:dyDescent="0.25">
      <c r="A18171" t="str">
        <f>"1260116P00029    00"</f>
        <v>1260116P00029    00</v>
      </c>
      <c r="B18171" t="s">
        <v>39468</v>
      </c>
      <c r="C18171" t="s">
        <v>39469</v>
      </c>
      <c r="D18171" t="s">
        <v>20</v>
      </c>
      <c r="E18171" t="s">
        <v>39</v>
      </c>
      <c r="F18171">
        <v>0</v>
      </c>
      <c r="G18171">
        <v>0</v>
      </c>
      <c r="H18171">
        <v>12</v>
      </c>
      <c r="I18171" s="3">
        <v>14904.06</v>
      </c>
      <c r="J18171" s="3">
        <v>7825.32</v>
      </c>
      <c r="L18171">
        <v>3361</v>
      </c>
      <c r="M18171" t="s">
        <v>2647</v>
      </c>
      <c r="N18171" t="s">
        <v>30</v>
      </c>
      <c r="O18171" t="s">
        <v>31</v>
      </c>
      <c r="P18171" t="str">
        <f>"15214"</f>
        <v>15214</v>
      </c>
    </row>
    <row r="18172" spans="1:16" x14ac:dyDescent="0.25">
      <c r="A18172" t="str">
        <f>"1260116P00039    00"</f>
        <v>1260116P00039    00</v>
      </c>
      <c r="B18172" t="s">
        <v>39470</v>
      </c>
      <c r="C18172" t="s">
        <v>39471</v>
      </c>
      <c r="D18172" t="s">
        <v>20</v>
      </c>
      <c r="E18172" t="s">
        <v>39</v>
      </c>
      <c r="F18172">
        <v>0</v>
      </c>
      <c r="G18172">
        <v>0</v>
      </c>
      <c r="H18172">
        <v>1</v>
      </c>
      <c r="I18172" s="3">
        <v>639</v>
      </c>
      <c r="J18172" s="3">
        <v>0</v>
      </c>
      <c r="L18172">
        <v>3417</v>
      </c>
      <c r="M18172" t="s">
        <v>2647</v>
      </c>
      <c r="N18172" t="s">
        <v>30</v>
      </c>
      <c r="O18172" t="s">
        <v>31</v>
      </c>
      <c r="P18172" t="str">
        <f>"15214"</f>
        <v>15214</v>
      </c>
    </row>
    <row r="18173" spans="1:16" x14ac:dyDescent="0.25">
      <c r="A18173" t="str">
        <f>"1260116P00073    00"</f>
        <v>1260116P00073    00</v>
      </c>
      <c r="B18173" t="s">
        <v>39472</v>
      </c>
      <c r="C18173" t="s">
        <v>39473</v>
      </c>
      <c r="D18173" t="s">
        <v>20</v>
      </c>
      <c r="E18173" t="s">
        <v>39</v>
      </c>
      <c r="F18173">
        <v>0</v>
      </c>
      <c r="G18173">
        <v>0</v>
      </c>
      <c r="H18173">
        <v>2</v>
      </c>
      <c r="I18173" s="3">
        <v>1591.75</v>
      </c>
      <c r="J18173" s="3">
        <v>310.37</v>
      </c>
      <c r="L18173">
        <v>3452</v>
      </c>
      <c r="M18173" t="s">
        <v>2647</v>
      </c>
      <c r="N18173" t="s">
        <v>30</v>
      </c>
      <c r="O18173" t="s">
        <v>31</v>
      </c>
      <c r="P18173" t="str">
        <f>"15214"</f>
        <v>15214</v>
      </c>
    </row>
    <row r="18174" spans="1:16" x14ac:dyDescent="0.25">
      <c r="A18174" t="str">
        <f>"1260116P00151    00"</f>
        <v>1260116P00151    00</v>
      </c>
      <c r="B18174" t="s">
        <v>39474</v>
      </c>
      <c r="C18174" t="s">
        <v>39475</v>
      </c>
      <c r="E18174" t="s">
        <v>39</v>
      </c>
      <c r="F18174">
        <v>0</v>
      </c>
      <c r="G18174">
        <v>0</v>
      </c>
      <c r="H18174">
        <v>3</v>
      </c>
      <c r="I18174" s="3">
        <v>4164.68</v>
      </c>
      <c r="J18174" s="3">
        <v>4843.12</v>
      </c>
      <c r="L18174">
        <v>633</v>
      </c>
      <c r="M18174" t="s">
        <v>39476</v>
      </c>
      <c r="N18174" t="s">
        <v>11160</v>
      </c>
      <c r="O18174" t="s">
        <v>31</v>
      </c>
      <c r="P18174" t="str">
        <f>"15045"</f>
        <v>15045</v>
      </c>
    </row>
    <row r="18175" spans="1:16" x14ac:dyDescent="0.25">
      <c r="A18175" t="str">
        <f>"1260116P00158    00"</f>
        <v>1260116P00158    00</v>
      </c>
      <c r="B18175" t="s">
        <v>39477</v>
      </c>
      <c r="C18175" t="s">
        <v>39478</v>
      </c>
      <c r="D18175" t="s">
        <v>20</v>
      </c>
      <c r="E18175" t="s">
        <v>39</v>
      </c>
      <c r="F18175">
        <v>0</v>
      </c>
      <c r="G18175">
        <v>0</v>
      </c>
      <c r="H18175">
        <v>1</v>
      </c>
      <c r="I18175" s="3">
        <v>1439.04</v>
      </c>
      <c r="J18175" s="3">
        <v>0</v>
      </c>
      <c r="L18175">
        <v>233</v>
      </c>
      <c r="M18175" t="s">
        <v>35682</v>
      </c>
      <c r="N18175" t="s">
        <v>30</v>
      </c>
      <c r="O18175" t="s">
        <v>31</v>
      </c>
      <c r="P18175" t="str">
        <f>"15214"</f>
        <v>15214</v>
      </c>
    </row>
    <row r="18176" spans="1:16" x14ac:dyDescent="0.25">
      <c r="A18176" t="str">
        <f>"1260116P00168    00"</f>
        <v>1260116P00168    00</v>
      </c>
      <c r="B18176" t="s">
        <v>39479</v>
      </c>
      <c r="C18176" t="s">
        <v>39480</v>
      </c>
      <c r="D18176" t="s">
        <v>20</v>
      </c>
      <c r="E18176" t="s">
        <v>39</v>
      </c>
      <c r="F18176">
        <v>0</v>
      </c>
      <c r="G18176">
        <v>0</v>
      </c>
      <c r="H18176">
        <v>1</v>
      </c>
      <c r="I18176" s="3">
        <v>525.86</v>
      </c>
      <c r="J18176" s="3">
        <v>0</v>
      </c>
      <c r="L18176">
        <v>211</v>
      </c>
      <c r="M18176" t="s">
        <v>35682</v>
      </c>
      <c r="N18176" t="s">
        <v>30</v>
      </c>
      <c r="O18176" t="s">
        <v>31</v>
      </c>
      <c r="P18176" t="str">
        <f>"15214"</f>
        <v>15214</v>
      </c>
    </row>
    <row r="18177" spans="1:16" x14ac:dyDescent="0.25">
      <c r="A18177" t="str">
        <f>"1260116P00181    00"</f>
        <v>1260116P00181    00</v>
      </c>
      <c r="B18177" t="s">
        <v>39481</v>
      </c>
      <c r="C18177" t="s">
        <v>39482</v>
      </c>
      <c r="D18177" t="s">
        <v>20</v>
      </c>
      <c r="E18177" t="s">
        <v>39</v>
      </c>
      <c r="F18177">
        <v>0</v>
      </c>
      <c r="G18177">
        <v>0</v>
      </c>
      <c r="H18177">
        <v>18</v>
      </c>
      <c r="I18177" s="3">
        <v>25941.45</v>
      </c>
      <c r="J18177" s="3">
        <v>21662.85</v>
      </c>
      <c r="L18177">
        <v>399</v>
      </c>
      <c r="M18177" t="s">
        <v>39483</v>
      </c>
      <c r="N18177" t="s">
        <v>39484</v>
      </c>
      <c r="O18177" t="s">
        <v>31</v>
      </c>
      <c r="P18177" t="str">
        <f>"15459"</f>
        <v>15459</v>
      </c>
    </row>
    <row r="18178" spans="1:16" x14ac:dyDescent="0.25">
      <c r="A18178" t="str">
        <f>"1260116P00228    00"</f>
        <v>1260116P00228    00</v>
      </c>
      <c r="B18178" t="s">
        <v>39485</v>
      </c>
      <c r="C18178" t="s">
        <v>38503</v>
      </c>
      <c r="D18178" t="s">
        <v>20</v>
      </c>
      <c r="E18178" t="s">
        <v>39</v>
      </c>
      <c r="F18178">
        <v>0</v>
      </c>
      <c r="G18178">
        <v>0</v>
      </c>
      <c r="H18178">
        <v>17</v>
      </c>
      <c r="I18178" s="3">
        <v>9542.23</v>
      </c>
      <c r="J18178" s="3">
        <v>7911.26</v>
      </c>
      <c r="L18178">
        <v>1232</v>
      </c>
      <c r="M18178" t="s">
        <v>39486</v>
      </c>
      <c r="N18178" t="s">
        <v>30</v>
      </c>
      <c r="O18178" t="s">
        <v>31</v>
      </c>
      <c r="P18178" t="str">
        <f>"15212"</f>
        <v>15212</v>
      </c>
    </row>
    <row r="18179" spans="1:16" x14ac:dyDescent="0.25">
      <c r="A18179" t="str">
        <f>"1260116P00242    00"</f>
        <v>1260116P00242    00</v>
      </c>
      <c r="B18179" t="s">
        <v>39487</v>
      </c>
      <c r="C18179" t="s">
        <v>39488</v>
      </c>
      <c r="D18179" t="s">
        <v>20</v>
      </c>
      <c r="E18179" t="s">
        <v>39</v>
      </c>
      <c r="F18179">
        <v>0</v>
      </c>
      <c r="G18179">
        <v>0</v>
      </c>
      <c r="H18179">
        <v>16</v>
      </c>
      <c r="I18179" s="3">
        <v>8835.7099999999991</v>
      </c>
      <c r="J18179" s="3">
        <v>8114.63</v>
      </c>
      <c r="L18179">
        <v>432</v>
      </c>
      <c r="M18179" t="s">
        <v>39489</v>
      </c>
      <c r="N18179" t="s">
        <v>30</v>
      </c>
      <c r="O18179" t="s">
        <v>31</v>
      </c>
      <c r="P18179" t="str">
        <f>"15214"</f>
        <v>15214</v>
      </c>
    </row>
    <row r="18180" spans="1:16" x14ac:dyDescent="0.25">
      <c r="A18180" t="str">
        <f>"1260116P00246    00"</f>
        <v>1260116P00246    00</v>
      </c>
      <c r="B18180" t="s">
        <v>39490</v>
      </c>
      <c r="C18180" t="s">
        <v>39491</v>
      </c>
      <c r="D18180" t="s">
        <v>20</v>
      </c>
      <c r="E18180" t="s">
        <v>39</v>
      </c>
      <c r="F18180">
        <v>0</v>
      </c>
      <c r="G18180">
        <v>0</v>
      </c>
      <c r="H18180">
        <v>19</v>
      </c>
      <c r="I18180" s="3">
        <v>454.24</v>
      </c>
      <c r="J18180" s="3">
        <v>494.75</v>
      </c>
      <c r="L18180">
        <v>160</v>
      </c>
      <c r="M18180" t="s">
        <v>35682</v>
      </c>
      <c r="N18180" t="s">
        <v>30</v>
      </c>
      <c r="O18180" t="s">
        <v>31</v>
      </c>
      <c r="P18180" t="str">
        <f>"15214"</f>
        <v>15214</v>
      </c>
    </row>
    <row r="18181" spans="1:16" x14ac:dyDescent="0.25">
      <c r="A18181" t="str">
        <f>"1260116P00247    00"</f>
        <v>1260116P00247    00</v>
      </c>
      <c r="B18181" t="s">
        <v>23856</v>
      </c>
      <c r="C18181" t="s">
        <v>39492</v>
      </c>
      <c r="D18181" t="s">
        <v>20</v>
      </c>
      <c r="E18181" t="s">
        <v>39</v>
      </c>
      <c r="F18181">
        <v>0</v>
      </c>
      <c r="G18181">
        <v>0</v>
      </c>
      <c r="H18181">
        <v>19</v>
      </c>
      <c r="I18181" s="3">
        <v>10980.39</v>
      </c>
      <c r="J18181" s="3">
        <v>11880.82</v>
      </c>
      <c r="M18181" t="s">
        <v>39493</v>
      </c>
      <c r="N18181" t="s">
        <v>23858</v>
      </c>
      <c r="O18181" t="s">
        <v>31</v>
      </c>
      <c r="P18181" t="str">
        <f>"16424"</f>
        <v>16424</v>
      </c>
    </row>
    <row r="18182" spans="1:16" x14ac:dyDescent="0.25">
      <c r="A18182" t="str">
        <f>"1260116R00008    00"</f>
        <v>1260116R00008    00</v>
      </c>
      <c r="B18182" t="s">
        <v>39494</v>
      </c>
      <c r="C18182" t="s">
        <v>35568</v>
      </c>
      <c r="D18182" t="s">
        <v>20</v>
      </c>
      <c r="E18182" t="s">
        <v>39</v>
      </c>
      <c r="F18182">
        <v>0</v>
      </c>
      <c r="G18182">
        <v>0</v>
      </c>
      <c r="H18182">
        <v>19</v>
      </c>
      <c r="I18182" s="3">
        <v>493.54</v>
      </c>
      <c r="J18182" s="3">
        <v>530.78</v>
      </c>
      <c r="K18182" t="s">
        <v>1037</v>
      </c>
      <c r="L18182">
        <v>33423</v>
      </c>
      <c r="M18182" t="s">
        <v>35569</v>
      </c>
      <c r="N18182" t="s">
        <v>30</v>
      </c>
      <c r="O18182" t="s">
        <v>31</v>
      </c>
      <c r="P18182" t="str">
        <f>"15214"</f>
        <v>15214</v>
      </c>
    </row>
    <row r="18183" spans="1:16" x14ac:dyDescent="0.25">
      <c r="A18183" t="str">
        <f>"1260116R00118    00"</f>
        <v>1260116R00118    00</v>
      </c>
      <c r="B18183" t="s">
        <v>29824</v>
      </c>
      <c r="C18183" t="s">
        <v>39495</v>
      </c>
      <c r="D18183" t="s">
        <v>20</v>
      </c>
      <c r="E18183" t="s">
        <v>39</v>
      </c>
      <c r="F18183">
        <v>0</v>
      </c>
      <c r="G18183">
        <v>0</v>
      </c>
      <c r="H18183">
        <v>14</v>
      </c>
      <c r="I18183" s="3">
        <v>12625.57</v>
      </c>
      <c r="J18183" s="3">
        <v>7251.89</v>
      </c>
      <c r="K18183" t="s">
        <v>39496</v>
      </c>
      <c r="L18183">
        <v>1215</v>
      </c>
      <c r="M18183" t="s">
        <v>39497</v>
      </c>
      <c r="N18183" t="s">
        <v>30</v>
      </c>
      <c r="O18183" t="s">
        <v>31</v>
      </c>
      <c r="P18183" t="str">
        <f>"15235"</f>
        <v>15235</v>
      </c>
    </row>
    <row r="18184" spans="1:16" x14ac:dyDescent="0.25">
      <c r="A18184" t="str">
        <f>"1260116R00125    00"</f>
        <v>1260116R00125    00</v>
      </c>
      <c r="B18184" t="s">
        <v>39498</v>
      </c>
      <c r="C18184" t="s">
        <v>39499</v>
      </c>
      <c r="E18184" t="s">
        <v>39</v>
      </c>
      <c r="F18184">
        <v>0</v>
      </c>
      <c r="G18184">
        <v>0</v>
      </c>
      <c r="H18184">
        <v>1</v>
      </c>
      <c r="I18184" s="3">
        <v>962.48</v>
      </c>
      <c r="J18184" s="3">
        <v>0</v>
      </c>
      <c r="L18184">
        <v>2901</v>
      </c>
      <c r="M18184" t="s">
        <v>37451</v>
      </c>
      <c r="N18184" t="s">
        <v>30</v>
      </c>
      <c r="O18184" t="s">
        <v>31</v>
      </c>
      <c r="P18184" t="str">
        <f>"15212"</f>
        <v>15212</v>
      </c>
    </row>
    <row r="18185" spans="1:16" x14ac:dyDescent="0.25">
      <c r="A18185" t="str">
        <f>"1260116R00218    00"</f>
        <v>1260116R00218    00</v>
      </c>
      <c r="B18185" t="s">
        <v>39500</v>
      </c>
      <c r="C18185" t="s">
        <v>39501</v>
      </c>
      <c r="D18185" t="s">
        <v>20</v>
      </c>
      <c r="E18185" t="s">
        <v>39</v>
      </c>
      <c r="F18185">
        <v>0</v>
      </c>
      <c r="G18185">
        <v>0</v>
      </c>
      <c r="H18185">
        <v>19</v>
      </c>
      <c r="I18185" s="3">
        <v>8564.42</v>
      </c>
      <c r="J18185" s="3">
        <v>5890.19</v>
      </c>
      <c r="L18185">
        <v>227</v>
      </c>
      <c r="M18185" t="s">
        <v>39502</v>
      </c>
      <c r="N18185" t="s">
        <v>30</v>
      </c>
      <c r="O18185" t="s">
        <v>31</v>
      </c>
      <c r="P18185" t="str">
        <f t="shared" ref="P18185:P18192" si="228">"15214"</f>
        <v>15214</v>
      </c>
    </row>
    <row r="18186" spans="1:16" x14ac:dyDescent="0.25">
      <c r="A18186" t="str">
        <f>"1260116R00244    00"</f>
        <v>1260116R00244    00</v>
      </c>
      <c r="B18186" t="s">
        <v>39503</v>
      </c>
      <c r="C18186" t="s">
        <v>39504</v>
      </c>
      <c r="D18186" t="s">
        <v>20</v>
      </c>
      <c r="E18186" t="s">
        <v>39</v>
      </c>
      <c r="F18186">
        <v>0</v>
      </c>
      <c r="G18186">
        <v>0</v>
      </c>
      <c r="H18186">
        <v>4</v>
      </c>
      <c r="I18186" s="3">
        <v>4046.73</v>
      </c>
      <c r="J18186" s="3">
        <v>503.91</v>
      </c>
      <c r="L18186">
        <v>3415</v>
      </c>
      <c r="M18186" t="s">
        <v>37934</v>
      </c>
      <c r="N18186" t="s">
        <v>30</v>
      </c>
      <c r="O18186" t="s">
        <v>31</v>
      </c>
      <c r="P18186" t="str">
        <f t="shared" si="228"/>
        <v>15214</v>
      </c>
    </row>
    <row r="18187" spans="1:16" x14ac:dyDescent="0.25">
      <c r="A18187" t="str">
        <f>"1260116R00246    00"</f>
        <v>1260116R00246    00</v>
      </c>
      <c r="B18187" t="s">
        <v>39505</v>
      </c>
      <c r="C18187" t="s">
        <v>39506</v>
      </c>
      <c r="D18187" t="s">
        <v>20</v>
      </c>
      <c r="E18187" t="s">
        <v>39</v>
      </c>
      <c r="F18187">
        <v>0</v>
      </c>
      <c r="G18187">
        <v>0</v>
      </c>
      <c r="H18187">
        <v>2</v>
      </c>
      <c r="I18187" s="3">
        <v>1449.58</v>
      </c>
      <c r="J18187" s="3">
        <v>0</v>
      </c>
      <c r="L18187">
        <v>3405</v>
      </c>
      <c r="M18187" t="s">
        <v>37934</v>
      </c>
      <c r="N18187" t="s">
        <v>30</v>
      </c>
      <c r="O18187" t="s">
        <v>31</v>
      </c>
      <c r="P18187" t="str">
        <f t="shared" si="228"/>
        <v>15214</v>
      </c>
    </row>
    <row r="18188" spans="1:16" x14ac:dyDescent="0.25">
      <c r="A18188" t="str">
        <f>"1260116R00273    00"</f>
        <v>1260116R00273    00</v>
      </c>
      <c r="B18188" t="s">
        <v>39507</v>
      </c>
      <c r="C18188" t="s">
        <v>39501</v>
      </c>
      <c r="D18188" t="s">
        <v>20</v>
      </c>
      <c r="E18188" t="s">
        <v>39</v>
      </c>
      <c r="F18188">
        <v>0</v>
      </c>
      <c r="G18188">
        <v>0</v>
      </c>
      <c r="H18188">
        <v>19</v>
      </c>
      <c r="I18188" s="3">
        <v>9299.82</v>
      </c>
      <c r="J18188" s="3">
        <v>8185.33</v>
      </c>
      <c r="L18188">
        <v>253</v>
      </c>
      <c r="M18188" t="s">
        <v>2462</v>
      </c>
      <c r="N18188" t="s">
        <v>30</v>
      </c>
      <c r="O18188" t="s">
        <v>31</v>
      </c>
      <c r="P18188" t="str">
        <f t="shared" si="228"/>
        <v>15214</v>
      </c>
    </row>
    <row r="18189" spans="1:16" x14ac:dyDescent="0.25">
      <c r="A18189" t="str">
        <f>"1260116R00275    00"</f>
        <v>1260116R00275    00</v>
      </c>
      <c r="B18189" t="s">
        <v>39508</v>
      </c>
      <c r="C18189" t="s">
        <v>39509</v>
      </c>
      <c r="D18189" t="s">
        <v>20</v>
      </c>
      <c r="E18189" t="s">
        <v>39</v>
      </c>
      <c r="F18189">
        <v>0</v>
      </c>
      <c r="G18189">
        <v>0</v>
      </c>
      <c r="H18189">
        <v>1</v>
      </c>
      <c r="I18189" s="3">
        <v>587.04999999999995</v>
      </c>
      <c r="J18189" s="3">
        <v>0</v>
      </c>
      <c r="K18189" t="s">
        <v>39510</v>
      </c>
      <c r="L18189">
        <v>243</v>
      </c>
      <c r="M18189" t="s">
        <v>2462</v>
      </c>
      <c r="N18189" t="s">
        <v>30</v>
      </c>
      <c r="O18189" t="s">
        <v>31</v>
      </c>
      <c r="P18189" t="str">
        <f t="shared" si="228"/>
        <v>15214</v>
      </c>
    </row>
    <row r="18190" spans="1:16" x14ac:dyDescent="0.25">
      <c r="A18190" t="str">
        <f>"1260116R00277    00"</f>
        <v>1260116R00277    00</v>
      </c>
      <c r="B18190" t="s">
        <v>39508</v>
      </c>
      <c r="C18190" t="s">
        <v>39509</v>
      </c>
      <c r="D18190" t="s">
        <v>20</v>
      </c>
      <c r="E18190" t="s">
        <v>39</v>
      </c>
      <c r="F18190">
        <v>0</v>
      </c>
      <c r="G18190">
        <v>0</v>
      </c>
      <c r="H18190">
        <v>1</v>
      </c>
      <c r="I18190" s="3">
        <v>1145.52</v>
      </c>
      <c r="J18190" s="3">
        <v>0</v>
      </c>
      <c r="K18190" t="s">
        <v>39510</v>
      </c>
      <c r="L18190">
        <v>243</v>
      </c>
      <c r="M18190" t="s">
        <v>2462</v>
      </c>
      <c r="N18190" t="s">
        <v>30</v>
      </c>
      <c r="O18190" t="s">
        <v>31</v>
      </c>
      <c r="P18190" t="str">
        <f t="shared" si="228"/>
        <v>15214</v>
      </c>
    </row>
    <row r="18191" spans="1:16" x14ac:dyDescent="0.25">
      <c r="A18191" t="str">
        <f>"1260116R00300    00"</f>
        <v>1260116R00300    00</v>
      </c>
      <c r="B18191" t="s">
        <v>39511</v>
      </c>
      <c r="C18191" t="s">
        <v>39512</v>
      </c>
      <c r="D18191" t="s">
        <v>20</v>
      </c>
      <c r="E18191" t="s">
        <v>39</v>
      </c>
      <c r="F18191">
        <v>0</v>
      </c>
      <c r="G18191">
        <v>0</v>
      </c>
      <c r="H18191">
        <v>19</v>
      </c>
      <c r="I18191" s="3">
        <v>5851.98</v>
      </c>
      <c r="J18191" s="3">
        <v>4747.59</v>
      </c>
      <c r="L18191">
        <v>3410</v>
      </c>
      <c r="M18191" t="s">
        <v>39513</v>
      </c>
      <c r="N18191" t="s">
        <v>30</v>
      </c>
      <c r="O18191" t="s">
        <v>31</v>
      </c>
      <c r="P18191" t="str">
        <f t="shared" si="228"/>
        <v>15214</v>
      </c>
    </row>
    <row r="18192" spans="1:16" x14ac:dyDescent="0.25">
      <c r="A18192" t="str">
        <f>"1260116S00002    00"</f>
        <v>1260116S00002    00</v>
      </c>
      <c r="B18192" t="s">
        <v>39514</v>
      </c>
      <c r="C18192" t="s">
        <v>39515</v>
      </c>
      <c r="E18192" t="s">
        <v>39</v>
      </c>
      <c r="F18192">
        <v>0</v>
      </c>
      <c r="G18192">
        <v>0</v>
      </c>
      <c r="H18192">
        <v>4</v>
      </c>
      <c r="I18192" s="3">
        <v>1705.81</v>
      </c>
      <c r="J18192" s="3">
        <v>540.82000000000005</v>
      </c>
      <c r="L18192">
        <v>3432</v>
      </c>
      <c r="M18192" t="s">
        <v>37934</v>
      </c>
      <c r="N18192" t="s">
        <v>30</v>
      </c>
      <c r="O18192" t="s">
        <v>31</v>
      </c>
      <c r="P18192" t="str">
        <f t="shared" si="228"/>
        <v>15214</v>
      </c>
    </row>
    <row r="18193" spans="1:16" x14ac:dyDescent="0.25">
      <c r="A18193" t="str">
        <f>"1260116S00003    00"</f>
        <v>1260116S00003    00</v>
      </c>
      <c r="B18193" t="s">
        <v>39516</v>
      </c>
      <c r="C18193" t="s">
        <v>39333</v>
      </c>
      <c r="D18193" t="s">
        <v>20</v>
      </c>
      <c r="E18193" t="s">
        <v>39</v>
      </c>
      <c r="F18193">
        <v>0</v>
      </c>
      <c r="G18193">
        <v>0</v>
      </c>
      <c r="H18193">
        <v>19</v>
      </c>
      <c r="I18193" s="3">
        <v>968.59</v>
      </c>
      <c r="J18193" s="3">
        <v>941.1</v>
      </c>
      <c r="L18193">
        <v>1333</v>
      </c>
      <c r="M18193" t="s">
        <v>39517</v>
      </c>
      <c r="N18193" t="s">
        <v>30</v>
      </c>
      <c r="O18193" t="s">
        <v>31</v>
      </c>
      <c r="P18193" t="str">
        <f>"15212"</f>
        <v>15212</v>
      </c>
    </row>
    <row r="18194" spans="1:16" x14ac:dyDescent="0.25">
      <c r="A18194" t="str">
        <f>"1260116S00005    00"</f>
        <v>1260116S00005    00</v>
      </c>
      <c r="B18194" t="s">
        <v>39518</v>
      </c>
      <c r="C18194" t="s">
        <v>39519</v>
      </c>
      <c r="D18194" t="s">
        <v>20</v>
      </c>
      <c r="E18194" t="s">
        <v>39</v>
      </c>
      <c r="F18194">
        <v>0</v>
      </c>
      <c r="G18194">
        <v>0</v>
      </c>
      <c r="H18194">
        <v>1</v>
      </c>
      <c r="I18194" s="3">
        <v>1122.42</v>
      </c>
      <c r="J18194" s="3">
        <v>0</v>
      </c>
      <c r="L18194">
        <v>3426</v>
      </c>
      <c r="M18194" t="s">
        <v>37934</v>
      </c>
      <c r="N18194" t="s">
        <v>30</v>
      </c>
      <c r="O18194" t="s">
        <v>31</v>
      </c>
      <c r="P18194" t="str">
        <f>"15214"</f>
        <v>15214</v>
      </c>
    </row>
    <row r="18195" spans="1:16" x14ac:dyDescent="0.25">
      <c r="A18195" t="str">
        <f>"1260116S00020    00"</f>
        <v>1260116S00020    00</v>
      </c>
      <c r="B18195" t="s">
        <v>39520</v>
      </c>
      <c r="C18195" t="s">
        <v>39521</v>
      </c>
      <c r="D18195" t="s">
        <v>20</v>
      </c>
      <c r="E18195" t="s">
        <v>39</v>
      </c>
      <c r="F18195">
        <v>0</v>
      </c>
      <c r="G18195">
        <v>0</v>
      </c>
      <c r="H18195">
        <v>19</v>
      </c>
      <c r="I18195" s="3">
        <v>12426.38</v>
      </c>
      <c r="J18195" s="3">
        <v>11341.53</v>
      </c>
      <c r="P18195" t="str">
        <f>""</f>
        <v/>
      </c>
    </row>
    <row r="18196" spans="1:16" x14ac:dyDescent="0.25">
      <c r="A18196" t="str">
        <f>"1260116S00032    00"</f>
        <v>1260116S00032    00</v>
      </c>
      <c r="B18196" t="s">
        <v>39522</v>
      </c>
      <c r="C18196" t="s">
        <v>39523</v>
      </c>
      <c r="D18196" t="s">
        <v>20</v>
      </c>
      <c r="E18196" t="s">
        <v>39</v>
      </c>
      <c r="F18196">
        <v>0</v>
      </c>
      <c r="G18196">
        <v>0</v>
      </c>
      <c r="H18196">
        <v>3</v>
      </c>
      <c r="I18196" s="3">
        <v>1059.32</v>
      </c>
      <c r="J18196" s="3">
        <v>83.48</v>
      </c>
      <c r="L18196">
        <v>230</v>
      </c>
      <c r="M18196" t="s">
        <v>2462</v>
      </c>
      <c r="N18196" t="s">
        <v>30</v>
      </c>
      <c r="O18196" t="s">
        <v>31</v>
      </c>
      <c r="P18196" t="str">
        <f>"15214"</f>
        <v>15214</v>
      </c>
    </row>
    <row r="18197" spans="1:16" x14ac:dyDescent="0.25">
      <c r="A18197" t="str">
        <f>"1260162H00011    00"</f>
        <v>1260162H00011    00</v>
      </c>
      <c r="B18197" t="s">
        <v>39524</v>
      </c>
      <c r="C18197" t="s">
        <v>39525</v>
      </c>
      <c r="D18197" t="s">
        <v>20</v>
      </c>
      <c r="E18197" t="s">
        <v>39</v>
      </c>
      <c r="F18197">
        <v>0</v>
      </c>
      <c r="G18197">
        <v>0</v>
      </c>
      <c r="H18197">
        <v>1</v>
      </c>
      <c r="I18197" s="3">
        <v>339.93</v>
      </c>
      <c r="J18197" s="3">
        <v>0</v>
      </c>
      <c r="K18197" t="s">
        <v>39526</v>
      </c>
      <c r="L18197">
        <v>108</v>
      </c>
      <c r="M18197" t="s">
        <v>39527</v>
      </c>
      <c r="N18197" t="s">
        <v>30</v>
      </c>
      <c r="O18197" t="s">
        <v>31</v>
      </c>
      <c r="P18197" t="str">
        <f>"15214"</f>
        <v>15214</v>
      </c>
    </row>
    <row r="18198" spans="1:16" x14ac:dyDescent="0.25">
      <c r="A18198" t="str">
        <f>"1260162H00063    00"</f>
        <v>1260162H00063    00</v>
      </c>
      <c r="B18198" t="s">
        <v>39528</v>
      </c>
      <c r="C18198" t="s">
        <v>39529</v>
      </c>
      <c r="D18198" t="s">
        <v>20</v>
      </c>
      <c r="E18198" t="s">
        <v>39</v>
      </c>
      <c r="F18198">
        <v>0</v>
      </c>
      <c r="G18198">
        <v>0</v>
      </c>
      <c r="H18198">
        <v>3</v>
      </c>
      <c r="I18198" s="3">
        <v>1405.4</v>
      </c>
      <c r="J18198" s="3">
        <v>0</v>
      </c>
      <c r="L18198">
        <v>106</v>
      </c>
      <c r="M18198" t="s">
        <v>39530</v>
      </c>
      <c r="N18198" t="s">
        <v>30</v>
      </c>
      <c r="O18198" t="s">
        <v>31</v>
      </c>
      <c r="P18198" t="str">
        <f>"15214"</f>
        <v>15214</v>
      </c>
    </row>
    <row r="18199" spans="1:16" x14ac:dyDescent="0.25">
      <c r="A18199" t="str">
        <f>"1260162H00099    00"</f>
        <v>1260162H00099    00</v>
      </c>
      <c r="B18199" t="s">
        <v>39531</v>
      </c>
      <c r="C18199" t="s">
        <v>39532</v>
      </c>
      <c r="D18199" t="s">
        <v>20</v>
      </c>
      <c r="E18199" t="s">
        <v>39</v>
      </c>
      <c r="F18199">
        <v>0</v>
      </c>
      <c r="G18199">
        <v>0</v>
      </c>
      <c r="H18199">
        <v>3</v>
      </c>
      <c r="I18199" s="3">
        <v>7336.23</v>
      </c>
      <c r="J18199" s="3">
        <v>163.03</v>
      </c>
      <c r="K18199" t="s">
        <v>484</v>
      </c>
      <c r="L18199">
        <v>3001</v>
      </c>
      <c r="M18199" t="s">
        <v>330</v>
      </c>
      <c r="N18199" t="s">
        <v>331</v>
      </c>
      <c r="O18199" t="s">
        <v>108</v>
      </c>
      <c r="P18199" t="str">
        <f>"75063"</f>
        <v>75063</v>
      </c>
    </row>
    <row r="18200" spans="1:16" x14ac:dyDescent="0.25">
      <c r="A18200" t="str">
        <f>"1260162H00100    00"</f>
        <v>1260162H00100    00</v>
      </c>
      <c r="B18200" t="s">
        <v>7699</v>
      </c>
      <c r="C18200" t="s">
        <v>39533</v>
      </c>
      <c r="D18200" t="s">
        <v>20</v>
      </c>
      <c r="E18200" t="s">
        <v>39</v>
      </c>
      <c r="F18200">
        <v>0</v>
      </c>
      <c r="G18200">
        <v>0</v>
      </c>
      <c r="H18200">
        <v>1</v>
      </c>
      <c r="I18200" s="3">
        <v>985.41</v>
      </c>
      <c r="J18200" s="3">
        <v>0</v>
      </c>
      <c r="L18200">
        <v>518</v>
      </c>
      <c r="M18200" t="s">
        <v>5746</v>
      </c>
      <c r="N18200" t="s">
        <v>30</v>
      </c>
      <c r="O18200" t="s">
        <v>31</v>
      </c>
      <c r="P18200" t="str">
        <f>"15206"</f>
        <v>15206</v>
      </c>
    </row>
    <row r="18201" spans="1:16" x14ac:dyDescent="0.25">
      <c r="A18201" t="str">
        <f>"1260162H00101    00"</f>
        <v>1260162H00101    00</v>
      </c>
      <c r="B18201" t="s">
        <v>7699</v>
      </c>
      <c r="C18201" t="s">
        <v>39534</v>
      </c>
      <c r="D18201" t="s">
        <v>20</v>
      </c>
      <c r="E18201" t="s">
        <v>39</v>
      </c>
      <c r="F18201">
        <v>0</v>
      </c>
      <c r="G18201">
        <v>0</v>
      </c>
      <c r="H18201">
        <v>2</v>
      </c>
      <c r="I18201" s="3">
        <v>965.65</v>
      </c>
      <c r="J18201" s="3">
        <v>0</v>
      </c>
      <c r="L18201">
        <v>518</v>
      </c>
      <c r="M18201" t="s">
        <v>5746</v>
      </c>
      <c r="N18201" t="s">
        <v>30</v>
      </c>
      <c r="O18201" t="s">
        <v>31</v>
      </c>
      <c r="P18201" t="str">
        <f>"15206"</f>
        <v>15206</v>
      </c>
    </row>
    <row r="18202" spans="1:16" x14ac:dyDescent="0.25">
      <c r="A18202" t="str">
        <f>"1260162H00115    00"</f>
        <v>1260162H00115    00</v>
      </c>
      <c r="B18202" t="s">
        <v>36432</v>
      </c>
      <c r="C18202" t="s">
        <v>39535</v>
      </c>
      <c r="D18202" t="s">
        <v>20</v>
      </c>
      <c r="E18202" t="s">
        <v>39</v>
      </c>
      <c r="F18202">
        <v>0</v>
      </c>
      <c r="G18202">
        <v>0</v>
      </c>
      <c r="H18202">
        <v>3</v>
      </c>
      <c r="I18202" s="3">
        <v>2184.11</v>
      </c>
      <c r="J18202" s="3">
        <v>313.77</v>
      </c>
      <c r="L18202">
        <v>525</v>
      </c>
      <c r="M18202" t="s">
        <v>36276</v>
      </c>
      <c r="N18202" t="s">
        <v>30</v>
      </c>
      <c r="O18202" t="s">
        <v>31</v>
      </c>
      <c r="P18202" t="str">
        <f>"15214"</f>
        <v>15214</v>
      </c>
    </row>
    <row r="18203" spans="1:16" x14ac:dyDescent="0.25">
      <c r="A18203" t="str">
        <f>"1260162K00030    00"</f>
        <v>1260162K00030    00</v>
      </c>
      <c r="B18203" t="s">
        <v>1294</v>
      </c>
      <c r="C18203" t="s">
        <v>39536</v>
      </c>
      <c r="D18203" t="s">
        <v>20</v>
      </c>
      <c r="E18203" t="s">
        <v>39</v>
      </c>
      <c r="F18203">
        <v>0</v>
      </c>
      <c r="G18203">
        <v>0</v>
      </c>
      <c r="H18203">
        <v>19</v>
      </c>
      <c r="I18203" s="3">
        <v>562.23</v>
      </c>
      <c r="J18203" s="3">
        <v>589.65</v>
      </c>
      <c r="K18203" t="s">
        <v>1037</v>
      </c>
      <c r="M18203" t="s">
        <v>39537</v>
      </c>
      <c r="N18203" t="s">
        <v>30</v>
      </c>
      <c r="O18203" t="s">
        <v>31</v>
      </c>
      <c r="P18203" t="str">
        <f>"15210"</f>
        <v>15210</v>
      </c>
    </row>
    <row r="18204" spans="1:16" x14ac:dyDescent="0.25">
      <c r="A18204" t="str">
        <f>"1260162K00072    00"</f>
        <v>1260162K00072    00</v>
      </c>
      <c r="B18204" t="s">
        <v>39538</v>
      </c>
      <c r="C18204" t="s">
        <v>39539</v>
      </c>
      <c r="E18204" t="s">
        <v>39</v>
      </c>
      <c r="F18204">
        <v>0</v>
      </c>
      <c r="G18204">
        <v>0</v>
      </c>
      <c r="H18204">
        <v>2</v>
      </c>
      <c r="I18204" s="3">
        <v>818.18</v>
      </c>
      <c r="J18204" s="3">
        <v>519.94000000000005</v>
      </c>
      <c r="L18204">
        <v>116</v>
      </c>
      <c r="M18204" t="s">
        <v>39540</v>
      </c>
      <c r="N18204" t="s">
        <v>30</v>
      </c>
      <c r="O18204" t="s">
        <v>31</v>
      </c>
      <c r="P18204" t="str">
        <f>"15214"</f>
        <v>15214</v>
      </c>
    </row>
    <row r="18205" spans="1:16" x14ac:dyDescent="0.25">
      <c r="A18205" t="str">
        <f>"1260162K00098    00"</f>
        <v>1260162K00098    00</v>
      </c>
      <c r="B18205" t="s">
        <v>39541</v>
      </c>
      <c r="C18205" t="s">
        <v>39542</v>
      </c>
      <c r="D18205" t="s">
        <v>20</v>
      </c>
      <c r="E18205" t="s">
        <v>39</v>
      </c>
      <c r="F18205">
        <v>0</v>
      </c>
      <c r="G18205">
        <v>0</v>
      </c>
      <c r="H18205">
        <v>1</v>
      </c>
      <c r="I18205" s="3">
        <v>211.58</v>
      </c>
      <c r="J18205" s="3">
        <v>0</v>
      </c>
      <c r="K18205" t="s">
        <v>4801</v>
      </c>
      <c r="L18205">
        <v>1</v>
      </c>
      <c r="M18205" t="s">
        <v>4802</v>
      </c>
      <c r="N18205" t="s">
        <v>4803</v>
      </c>
      <c r="O18205" t="s">
        <v>554</v>
      </c>
      <c r="P18205" t="str">
        <f>"26003"</f>
        <v>26003</v>
      </c>
    </row>
    <row r="18206" spans="1:16" x14ac:dyDescent="0.25">
      <c r="A18206" t="str">
        <f>"1260162K00112    00"</f>
        <v>1260162K00112    00</v>
      </c>
      <c r="B18206" t="s">
        <v>39543</v>
      </c>
      <c r="C18206" t="s">
        <v>39544</v>
      </c>
      <c r="D18206" t="s">
        <v>20</v>
      </c>
      <c r="E18206" t="s">
        <v>39</v>
      </c>
      <c r="F18206">
        <v>0</v>
      </c>
      <c r="G18206">
        <v>0</v>
      </c>
      <c r="H18206">
        <v>2</v>
      </c>
      <c r="I18206" s="3">
        <v>2500.66</v>
      </c>
      <c r="J18206" s="3">
        <v>0</v>
      </c>
      <c r="L18206">
        <v>212</v>
      </c>
      <c r="M18206" t="s">
        <v>17290</v>
      </c>
      <c r="N18206" t="s">
        <v>30</v>
      </c>
      <c r="O18206" t="s">
        <v>31</v>
      </c>
      <c r="P18206" t="str">
        <f>"15214"</f>
        <v>15214</v>
      </c>
    </row>
    <row r="18207" spans="1:16" x14ac:dyDescent="0.25">
      <c r="A18207" t="str">
        <f>"1260162K00356    00"</f>
        <v>1260162K00356    00</v>
      </c>
      <c r="B18207" t="s">
        <v>39545</v>
      </c>
      <c r="C18207" t="s">
        <v>39546</v>
      </c>
      <c r="D18207" t="s">
        <v>20</v>
      </c>
      <c r="E18207" t="s">
        <v>39</v>
      </c>
      <c r="F18207">
        <v>0</v>
      </c>
      <c r="G18207">
        <v>0</v>
      </c>
      <c r="H18207">
        <v>19</v>
      </c>
      <c r="I18207" s="3">
        <v>1028.3800000000001</v>
      </c>
      <c r="J18207" s="3">
        <v>1061.1099999999999</v>
      </c>
      <c r="K18207" t="s">
        <v>39547</v>
      </c>
      <c r="L18207">
        <v>2440</v>
      </c>
      <c r="M18207" t="s">
        <v>39548</v>
      </c>
      <c r="N18207" t="s">
        <v>30</v>
      </c>
      <c r="O18207" t="s">
        <v>31</v>
      </c>
      <c r="P18207" t="str">
        <f>"15205"</f>
        <v>15205</v>
      </c>
    </row>
    <row r="18208" spans="1:16" x14ac:dyDescent="0.25">
      <c r="A18208" t="str">
        <f>"1260162L00048    00"</f>
        <v>1260162L00048    00</v>
      </c>
      <c r="B18208" t="s">
        <v>39549</v>
      </c>
      <c r="C18208" t="s">
        <v>39550</v>
      </c>
      <c r="E18208" t="s">
        <v>39</v>
      </c>
      <c r="F18208">
        <v>0</v>
      </c>
      <c r="G18208">
        <v>0</v>
      </c>
      <c r="H18208">
        <v>1</v>
      </c>
      <c r="I18208" s="3">
        <v>828.14</v>
      </c>
      <c r="J18208" s="3">
        <v>0</v>
      </c>
      <c r="L18208">
        <v>9885</v>
      </c>
      <c r="M18208" t="s">
        <v>39551</v>
      </c>
      <c r="N18208" t="s">
        <v>2176</v>
      </c>
      <c r="O18208" t="s">
        <v>273</v>
      </c>
      <c r="P18208" t="str">
        <f>"29579"</f>
        <v>29579</v>
      </c>
    </row>
    <row r="18209" spans="1:16" x14ac:dyDescent="0.25">
      <c r="A18209" t="str">
        <f>"1260162L00062    00"</f>
        <v>1260162L00062    00</v>
      </c>
      <c r="B18209" t="s">
        <v>39552</v>
      </c>
      <c r="C18209" t="s">
        <v>39553</v>
      </c>
      <c r="D18209" t="s">
        <v>20</v>
      </c>
      <c r="E18209" t="s">
        <v>39</v>
      </c>
      <c r="F18209">
        <v>0</v>
      </c>
      <c r="G18209">
        <v>0</v>
      </c>
      <c r="H18209">
        <v>1</v>
      </c>
      <c r="I18209" s="3">
        <v>1033.52</v>
      </c>
      <c r="J18209" s="3">
        <v>0</v>
      </c>
      <c r="K18209" t="s">
        <v>39554</v>
      </c>
      <c r="L18209">
        <v>101</v>
      </c>
      <c r="M18209" t="s">
        <v>17290</v>
      </c>
      <c r="N18209" t="s">
        <v>30</v>
      </c>
      <c r="O18209" t="s">
        <v>31</v>
      </c>
      <c r="P18209" t="str">
        <f>"15214"</f>
        <v>15214</v>
      </c>
    </row>
    <row r="18210" spans="1:16" x14ac:dyDescent="0.25">
      <c r="A18210" t="str">
        <f>"1260162L00072    00"</f>
        <v>1260162L00072    00</v>
      </c>
      <c r="B18210" t="s">
        <v>39230</v>
      </c>
      <c r="C18210" t="s">
        <v>39555</v>
      </c>
      <c r="D18210" t="s">
        <v>20</v>
      </c>
      <c r="E18210" t="s">
        <v>39</v>
      </c>
      <c r="F18210">
        <v>0</v>
      </c>
      <c r="G18210">
        <v>0</v>
      </c>
      <c r="H18210">
        <v>1</v>
      </c>
      <c r="I18210" s="3">
        <v>1187.92</v>
      </c>
      <c r="J18210" s="3">
        <v>0</v>
      </c>
      <c r="K18210" t="s">
        <v>445</v>
      </c>
      <c r="L18210">
        <v>1</v>
      </c>
      <c r="M18210" t="s">
        <v>1163</v>
      </c>
      <c r="N18210" t="s">
        <v>1164</v>
      </c>
      <c r="O18210" t="s">
        <v>108</v>
      </c>
      <c r="P18210" t="str">
        <f>"76262"</f>
        <v>76262</v>
      </c>
    </row>
    <row r="18211" spans="1:16" x14ac:dyDescent="0.25">
      <c r="A18211" t="str">
        <f>"1260162M00062    00"</f>
        <v>1260162M00062    00</v>
      </c>
      <c r="B18211" t="s">
        <v>39556</v>
      </c>
      <c r="C18211" t="s">
        <v>39557</v>
      </c>
      <c r="D18211" t="s">
        <v>20</v>
      </c>
      <c r="E18211" t="s">
        <v>39</v>
      </c>
      <c r="F18211">
        <v>0</v>
      </c>
      <c r="G18211">
        <v>0</v>
      </c>
      <c r="H18211">
        <v>5</v>
      </c>
      <c r="I18211" s="3">
        <v>3584.53</v>
      </c>
      <c r="J18211" s="3">
        <v>786.39</v>
      </c>
      <c r="L18211">
        <v>4234</v>
      </c>
      <c r="M18211" t="s">
        <v>34518</v>
      </c>
      <c r="N18211" t="s">
        <v>30</v>
      </c>
      <c r="O18211" t="s">
        <v>31</v>
      </c>
      <c r="P18211" t="str">
        <f>"15214"</f>
        <v>15214</v>
      </c>
    </row>
    <row r="18212" spans="1:16" x14ac:dyDescent="0.25">
      <c r="A18212" t="str">
        <f>"1260162M00150    00"</f>
        <v>1260162M00150    00</v>
      </c>
      <c r="B18212" t="s">
        <v>39558</v>
      </c>
      <c r="C18212" t="s">
        <v>39559</v>
      </c>
      <c r="D18212" t="s">
        <v>20</v>
      </c>
      <c r="E18212" t="s">
        <v>39</v>
      </c>
      <c r="F18212">
        <v>0</v>
      </c>
      <c r="G18212">
        <v>0</v>
      </c>
      <c r="H18212">
        <v>19</v>
      </c>
      <c r="I18212" s="3">
        <v>254.78</v>
      </c>
      <c r="J18212" s="3">
        <v>212.33</v>
      </c>
      <c r="K18212" t="s">
        <v>1008</v>
      </c>
      <c r="P18212" t="str">
        <f>""</f>
        <v/>
      </c>
    </row>
    <row r="18213" spans="1:16" x14ac:dyDescent="0.25">
      <c r="A18213" t="str">
        <f>"1260162M00325    00"</f>
        <v>1260162M00325    00</v>
      </c>
      <c r="B18213" t="s">
        <v>39560</v>
      </c>
      <c r="C18213" t="s">
        <v>39561</v>
      </c>
      <c r="D18213" t="s">
        <v>20</v>
      </c>
      <c r="E18213" t="s">
        <v>39</v>
      </c>
      <c r="F18213">
        <v>0</v>
      </c>
      <c r="G18213">
        <v>0</v>
      </c>
      <c r="H18213">
        <v>1</v>
      </c>
      <c r="I18213" s="3">
        <v>285.89999999999998</v>
      </c>
      <c r="J18213" s="3">
        <v>0</v>
      </c>
      <c r="L18213">
        <v>5232</v>
      </c>
      <c r="M18213" t="s">
        <v>841</v>
      </c>
      <c r="N18213" t="s">
        <v>30</v>
      </c>
      <c r="O18213" t="s">
        <v>31</v>
      </c>
      <c r="P18213" t="str">
        <f>"15201"</f>
        <v>15201</v>
      </c>
    </row>
    <row r="18214" spans="1:16" x14ac:dyDescent="0.25">
      <c r="A18214" t="str">
        <f>"1260162P00027    00"</f>
        <v>1260162P00027    00</v>
      </c>
      <c r="B18214" t="s">
        <v>39562</v>
      </c>
      <c r="C18214" t="s">
        <v>39536</v>
      </c>
      <c r="D18214" t="s">
        <v>20</v>
      </c>
      <c r="E18214" t="s">
        <v>39</v>
      </c>
      <c r="F18214">
        <v>0</v>
      </c>
      <c r="G18214">
        <v>0</v>
      </c>
      <c r="H18214">
        <v>2</v>
      </c>
      <c r="I18214" s="3">
        <v>139.35</v>
      </c>
      <c r="J18214" s="3">
        <v>0</v>
      </c>
      <c r="L18214">
        <v>127</v>
      </c>
      <c r="M18214" t="s">
        <v>39563</v>
      </c>
      <c r="N18214" t="s">
        <v>30</v>
      </c>
      <c r="O18214" t="s">
        <v>31</v>
      </c>
      <c r="P18214" t="str">
        <f>"15214"</f>
        <v>15214</v>
      </c>
    </row>
    <row r="18215" spans="1:16" x14ac:dyDescent="0.25">
      <c r="A18215" t="str">
        <f>"1260162P00069    00"</f>
        <v>1260162P00069    00</v>
      </c>
      <c r="B18215" t="s">
        <v>39564</v>
      </c>
      <c r="C18215" t="s">
        <v>39565</v>
      </c>
      <c r="D18215" t="s">
        <v>20</v>
      </c>
      <c r="E18215" t="s">
        <v>39</v>
      </c>
      <c r="F18215">
        <v>0</v>
      </c>
      <c r="G18215">
        <v>0</v>
      </c>
      <c r="H18215">
        <v>9</v>
      </c>
      <c r="I18215" s="3">
        <v>2594.12</v>
      </c>
      <c r="J18215" s="3">
        <v>950.81</v>
      </c>
      <c r="L18215">
        <v>308</v>
      </c>
      <c r="M18215" t="s">
        <v>39566</v>
      </c>
      <c r="N18215" t="s">
        <v>30</v>
      </c>
      <c r="O18215" t="s">
        <v>31</v>
      </c>
      <c r="P18215" t="str">
        <f>"15214"</f>
        <v>15214</v>
      </c>
    </row>
    <row r="18216" spans="1:16" x14ac:dyDescent="0.25">
      <c r="A18216" t="str">
        <f>"1260162P00086    00"</f>
        <v>1260162P00086    00</v>
      </c>
      <c r="B18216" t="s">
        <v>39567</v>
      </c>
      <c r="C18216" t="s">
        <v>39568</v>
      </c>
      <c r="D18216" t="s">
        <v>20</v>
      </c>
      <c r="E18216" t="s">
        <v>39</v>
      </c>
      <c r="F18216">
        <v>0</v>
      </c>
      <c r="G18216">
        <v>0</v>
      </c>
      <c r="H18216">
        <v>11</v>
      </c>
      <c r="I18216" s="3">
        <v>3565.78</v>
      </c>
      <c r="J18216" s="3">
        <v>1701.82</v>
      </c>
      <c r="L18216">
        <v>159</v>
      </c>
      <c r="M18216" t="s">
        <v>39569</v>
      </c>
      <c r="N18216" t="s">
        <v>30</v>
      </c>
      <c r="O18216" t="s">
        <v>31</v>
      </c>
      <c r="P18216" t="str">
        <f>"15214"</f>
        <v>15214</v>
      </c>
    </row>
    <row r="18217" spans="1:16" x14ac:dyDescent="0.25">
      <c r="A18217" t="str">
        <f>"1260162P00087    00"</f>
        <v>1260162P00087    00</v>
      </c>
      <c r="B18217" t="s">
        <v>39570</v>
      </c>
      <c r="C18217" t="s">
        <v>38977</v>
      </c>
      <c r="D18217" t="s">
        <v>20</v>
      </c>
      <c r="E18217" t="s">
        <v>39</v>
      </c>
      <c r="F18217">
        <v>0</v>
      </c>
      <c r="G18217">
        <v>0</v>
      </c>
      <c r="H18217">
        <v>11</v>
      </c>
      <c r="I18217" s="3">
        <v>181.95</v>
      </c>
      <c r="J18217" s="3">
        <v>87.34</v>
      </c>
      <c r="K18217" t="s">
        <v>39571</v>
      </c>
      <c r="L18217">
        <v>310</v>
      </c>
      <c r="M18217" t="s">
        <v>39572</v>
      </c>
      <c r="N18217" t="s">
        <v>30</v>
      </c>
      <c r="O18217" t="s">
        <v>31</v>
      </c>
      <c r="P18217" t="str">
        <f>"15219"</f>
        <v>15219</v>
      </c>
    </row>
    <row r="18218" spans="1:16" x14ac:dyDescent="0.25">
      <c r="A18218" t="str">
        <f>"1260162P00099    00"</f>
        <v>1260162P00099    00</v>
      </c>
      <c r="B18218" t="s">
        <v>39573</v>
      </c>
      <c r="C18218" t="s">
        <v>39574</v>
      </c>
      <c r="D18218" t="s">
        <v>20</v>
      </c>
      <c r="E18218" t="s">
        <v>39</v>
      </c>
      <c r="F18218">
        <v>0</v>
      </c>
      <c r="G18218">
        <v>0</v>
      </c>
      <c r="H18218">
        <v>4</v>
      </c>
      <c r="I18218" s="3">
        <v>2318.21</v>
      </c>
      <c r="J18218" s="3">
        <v>294.60000000000002</v>
      </c>
      <c r="L18218">
        <v>149</v>
      </c>
      <c r="M18218" t="s">
        <v>39569</v>
      </c>
      <c r="N18218" t="s">
        <v>30</v>
      </c>
      <c r="O18218" t="s">
        <v>31</v>
      </c>
      <c r="P18218" t="str">
        <f t="shared" ref="P18218:P18223" si="229">"15214"</f>
        <v>15214</v>
      </c>
    </row>
    <row r="18219" spans="1:16" x14ac:dyDescent="0.25">
      <c r="A18219" t="str">
        <f>"1260162P00104    00"</f>
        <v>1260162P00104    00</v>
      </c>
      <c r="B18219" t="s">
        <v>39575</v>
      </c>
      <c r="C18219" t="s">
        <v>38977</v>
      </c>
      <c r="D18219" t="s">
        <v>20</v>
      </c>
      <c r="E18219" t="s">
        <v>39</v>
      </c>
      <c r="F18219">
        <v>0</v>
      </c>
      <c r="G18219">
        <v>0</v>
      </c>
      <c r="H18219">
        <v>5</v>
      </c>
      <c r="I18219" s="3">
        <v>471</v>
      </c>
      <c r="J18219" s="3">
        <v>81.37</v>
      </c>
      <c r="L18219">
        <v>613</v>
      </c>
      <c r="M18219" t="s">
        <v>39569</v>
      </c>
      <c r="N18219" t="s">
        <v>30</v>
      </c>
      <c r="O18219" t="s">
        <v>31</v>
      </c>
      <c r="P18219" t="str">
        <f t="shared" si="229"/>
        <v>15214</v>
      </c>
    </row>
    <row r="18220" spans="1:16" x14ac:dyDescent="0.25">
      <c r="A18220" t="str">
        <f>"1260162P00105    00"</f>
        <v>1260162P00105    00</v>
      </c>
      <c r="B18220" t="s">
        <v>39575</v>
      </c>
      <c r="C18220" t="s">
        <v>38996</v>
      </c>
      <c r="D18220" t="s">
        <v>20</v>
      </c>
      <c r="E18220" t="s">
        <v>39</v>
      </c>
      <c r="F18220">
        <v>0</v>
      </c>
      <c r="G18220">
        <v>0</v>
      </c>
      <c r="H18220">
        <v>5</v>
      </c>
      <c r="I18220" s="3">
        <v>84.36</v>
      </c>
      <c r="J18220" s="3">
        <v>14.94</v>
      </c>
      <c r="L18220">
        <v>613</v>
      </c>
      <c r="M18220" t="s">
        <v>39569</v>
      </c>
      <c r="N18220" t="s">
        <v>30</v>
      </c>
      <c r="O18220" t="s">
        <v>31</v>
      </c>
      <c r="P18220" t="str">
        <f t="shared" si="229"/>
        <v>15214</v>
      </c>
    </row>
    <row r="18221" spans="1:16" x14ac:dyDescent="0.25">
      <c r="A18221" t="str">
        <f>"1260162P00106    00"</f>
        <v>1260162P00106    00</v>
      </c>
      <c r="B18221" t="s">
        <v>39575</v>
      </c>
      <c r="C18221" t="s">
        <v>39576</v>
      </c>
      <c r="D18221" t="s">
        <v>20</v>
      </c>
      <c r="E18221" t="s">
        <v>39</v>
      </c>
      <c r="F18221">
        <v>0</v>
      </c>
      <c r="G18221">
        <v>0</v>
      </c>
      <c r="H18221">
        <v>8</v>
      </c>
      <c r="I18221" s="3">
        <v>3857.73</v>
      </c>
      <c r="J18221" s="3">
        <v>1375.91</v>
      </c>
      <c r="L18221">
        <v>613</v>
      </c>
      <c r="M18221" t="s">
        <v>39569</v>
      </c>
      <c r="N18221" t="s">
        <v>30</v>
      </c>
      <c r="O18221" t="s">
        <v>31</v>
      </c>
      <c r="P18221" t="str">
        <f t="shared" si="229"/>
        <v>15214</v>
      </c>
    </row>
    <row r="18222" spans="1:16" x14ac:dyDescent="0.25">
      <c r="A18222" t="str">
        <f>"1260162P00153    00"</f>
        <v>1260162P00153    00</v>
      </c>
      <c r="B18222" t="s">
        <v>39577</v>
      </c>
      <c r="C18222" t="s">
        <v>39565</v>
      </c>
      <c r="D18222" t="s">
        <v>20</v>
      </c>
      <c r="E18222" t="s">
        <v>39</v>
      </c>
      <c r="F18222">
        <v>0</v>
      </c>
      <c r="G18222">
        <v>0</v>
      </c>
      <c r="H18222">
        <v>2</v>
      </c>
      <c r="I18222" s="3">
        <v>30.68</v>
      </c>
      <c r="J18222" s="3">
        <v>0</v>
      </c>
      <c r="L18222">
        <v>631</v>
      </c>
      <c r="M18222" t="s">
        <v>39566</v>
      </c>
      <c r="N18222" t="s">
        <v>30</v>
      </c>
      <c r="O18222" t="s">
        <v>31</v>
      </c>
      <c r="P18222" t="str">
        <f t="shared" si="229"/>
        <v>15214</v>
      </c>
    </row>
    <row r="18223" spans="1:16" x14ac:dyDescent="0.25">
      <c r="A18223" t="str">
        <f>"1260162R00037    00"</f>
        <v>1260162R00037    00</v>
      </c>
      <c r="B18223" t="s">
        <v>39578</v>
      </c>
      <c r="C18223" t="s">
        <v>39579</v>
      </c>
      <c r="D18223" t="s">
        <v>20</v>
      </c>
      <c r="E18223" t="s">
        <v>39</v>
      </c>
      <c r="F18223">
        <v>0</v>
      </c>
      <c r="G18223">
        <v>0</v>
      </c>
      <c r="H18223">
        <v>1</v>
      </c>
      <c r="I18223" s="3">
        <v>494.12</v>
      </c>
      <c r="J18223" s="3">
        <v>0</v>
      </c>
      <c r="K18223" t="s">
        <v>39580</v>
      </c>
      <c r="L18223">
        <v>36</v>
      </c>
      <c r="M18223" t="s">
        <v>39540</v>
      </c>
      <c r="N18223" t="s">
        <v>30</v>
      </c>
      <c r="O18223" t="s">
        <v>31</v>
      </c>
      <c r="P18223" t="str">
        <f t="shared" si="229"/>
        <v>15214</v>
      </c>
    </row>
    <row r="18224" spans="1:16" x14ac:dyDescent="0.25">
      <c r="A18224" t="str">
        <f>"1260162R00057    00"</f>
        <v>1260162R00057    00</v>
      </c>
      <c r="B18224" t="s">
        <v>39581</v>
      </c>
      <c r="C18224" t="s">
        <v>39582</v>
      </c>
      <c r="D18224" t="s">
        <v>20</v>
      </c>
      <c r="E18224" t="s">
        <v>39</v>
      </c>
      <c r="F18224">
        <v>0</v>
      </c>
      <c r="G18224">
        <v>0</v>
      </c>
      <c r="H18224">
        <v>1</v>
      </c>
      <c r="I18224" s="3">
        <v>777.65</v>
      </c>
      <c r="J18224" s="3">
        <v>0</v>
      </c>
      <c r="L18224">
        <v>16</v>
      </c>
      <c r="M18224" t="s">
        <v>9531</v>
      </c>
      <c r="N18224" t="s">
        <v>30</v>
      </c>
      <c r="O18224" t="s">
        <v>31</v>
      </c>
      <c r="P18224" t="str">
        <f>"15205"</f>
        <v>15205</v>
      </c>
    </row>
    <row r="18225" spans="1:16" x14ac:dyDescent="0.25">
      <c r="A18225" t="str">
        <f>"1260162R00062    00"</f>
        <v>1260162R00062    00</v>
      </c>
      <c r="B18225" t="s">
        <v>39583</v>
      </c>
      <c r="C18225" t="s">
        <v>39584</v>
      </c>
      <c r="D18225" t="s">
        <v>20</v>
      </c>
      <c r="E18225" t="s">
        <v>39</v>
      </c>
      <c r="F18225">
        <v>0</v>
      </c>
      <c r="G18225">
        <v>0</v>
      </c>
      <c r="H18225">
        <v>6</v>
      </c>
      <c r="I18225" s="3">
        <v>4084.4</v>
      </c>
      <c r="J18225" s="3">
        <v>1217.6600000000001</v>
      </c>
      <c r="L18225">
        <v>37</v>
      </c>
      <c r="M18225" t="s">
        <v>39540</v>
      </c>
      <c r="N18225" t="s">
        <v>30</v>
      </c>
      <c r="O18225" t="s">
        <v>31</v>
      </c>
      <c r="P18225" t="str">
        <f>"15214"</f>
        <v>15214</v>
      </c>
    </row>
    <row r="18226" spans="1:16" x14ac:dyDescent="0.25">
      <c r="A18226" t="str">
        <f>"1260162R00084    00"</f>
        <v>1260162R00084    00</v>
      </c>
      <c r="B18226" t="s">
        <v>39585</v>
      </c>
      <c r="C18226" t="s">
        <v>39565</v>
      </c>
      <c r="D18226" t="s">
        <v>20</v>
      </c>
      <c r="E18226" t="s">
        <v>39</v>
      </c>
      <c r="F18226">
        <v>0</v>
      </c>
      <c r="G18226">
        <v>0</v>
      </c>
      <c r="H18226">
        <v>10</v>
      </c>
      <c r="I18226" s="3">
        <v>2597.5700000000002</v>
      </c>
      <c r="J18226" s="3">
        <v>1252.6500000000001</v>
      </c>
      <c r="L18226">
        <v>29449</v>
      </c>
      <c r="M18226" t="s">
        <v>39586</v>
      </c>
      <c r="N18226" t="s">
        <v>39587</v>
      </c>
      <c r="O18226" t="s">
        <v>1184</v>
      </c>
      <c r="P18226" t="str">
        <f>"20622"</f>
        <v>20622</v>
      </c>
    </row>
    <row r="18227" spans="1:16" x14ac:dyDescent="0.25">
      <c r="A18227" t="str">
        <f>"1260162R00085    00"</f>
        <v>1260162R00085    00</v>
      </c>
      <c r="B18227" t="s">
        <v>39588</v>
      </c>
      <c r="C18227" t="s">
        <v>39589</v>
      </c>
      <c r="D18227" t="s">
        <v>20</v>
      </c>
      <c r="E18227" t="s">
        <v>39</v>
      </c>
      <c r="F18227">
        <v>0</v>
      </c>
      <c r="G18227">
        <v>0</v>
      </c>
      <c r="H18227">
        <v>5</v>
      </c>
      <c r="I18227" s="3">
        <v>3800.71</v>
      </c>
      <c r="J18227" s="3">
        <v>687.13</v>
      </c>
      <c r="K18227" t="s">
        <v>39590</v>
      </c>
      <c r="L18227">
        <v>1414</v>
      </c>
      <c r="M18227" t="s">
        <v>39591</v>
      </c>
      <c r="N18227" t="s">
        <v>30</v>
      </c>
      <c r="O18227" t="s">
        <v>31</v>
      </c>
      <c r="P18227" t="str">
        <f>"15233"</f>
        <v>15233</v>
      </c>
    </row>
    <row r="18228" spans="1:16" x14ac:dyDescent="0.25">
      <c r="A18228" t="str">
        <f>"1260162R00087    00"</f>
        <v>1260162R00087    00</v>
      </c>
      <c r="B18228" t="s">
        <v>39588</v>
      </c>
      <c r="C18228" t="s">
        <v>39565</v>
      </c>
      <c r="D18228" t="s">
        <v>20</v>
      </c>
      <c r="E18228" t="s">
        <v>39</v>
      </c>
      <c r="F18228">
        <v>0</v>
      </c>
      <c r="G18228">
        <v>0</v>
      </c>
      <c r="H18228">
        <v>5</v>
      </c>
      <c r="I18228" s="3">
        <v>565.20000000000005</v>
      </c>
      <c r="J18228" s="3">
        <v>97.64</v>
      </c>
      <c r="L18228">
        <v>329</v>
      </c>
      <c r="M18228" t="s">
        <v>39566</v>
      </c>
      <c r="N18228" t="s">
        <v>30</v>
      </c>
      <c r="O18228" t="s">
        <v>31</v>
      </c>
      <c r="P18228" t="str">
        <f>"15214"</f>
        <v>15214</v>
      </c>
    </row>
    <row r="18229" spans="1:16" x14ac:dyDescent="0.25">
      <c r="A18229" t="str">
        <f>"1260162R00129    00"</f>
        <v>1260162R00129    00</v>
      </c>
      <c r="B18229" t="s">
        <v>39592</v>
      </c>
      <c r="C18229" t="s">
        <v>38984</v>
      </c>
      <c r="D18229" t="s">
        <v>20</v>
      </c>
      <c r="E18229" t="s">
        <v>39</v>
      </c>
      <c r="F18229">
        <v>0</v>
      </c>
      <c r="G18229">
        <v>0</v>
      </c>
      <c r="H18229">
        <v>16</v>
      </c>
      <c r="I18229" s="3">
        <v>10489.87</v>
      </c>
      <c r="J18229" s="3">
        <v>9720.5400000000009</v>
      </c>
      <c r="L18229">
        <v>427</v>
      </c>
      <c r="M18229" t="s">
        <v>39593</v>
      </c>
      <c r="N18229" t="s">
        <v>31072</v>
      </c>
      <c r="O18229" t="s">
        <v>25</v>
      </c>
      <c r="P18229" t="str">
        <f>"43952"</f>
        <v>43952</v>
      </c>
    </row>
    <row r="18230" spans="1:16" x14ac:dyDescent="0.25">
      <c r="A18230" t="str">
        <f>"1260162R00166    00"</f>
        <v>1260162R00166    00</v>
      </c>
      <c r="B18230" t="s">
        <v>39594</v>
      </c>
      <c r="C18230" t="s">
        <v>39595</v>
      </c>
      <c r="E18230" t="s">
        <v>21</v>
      </c>
      <c r="F18230">
        <v>0</v>
      </c>
      <c r="G18230">
        <v>0</v>
      </c>
      <c r="H18230">
        <v>2</v>
      </c>
      <c r="I18230" s="3">
        <v>24374.85</v>
      </c>
      <c r="J18230" s="3">
        <v>21865.21</v>
      </c>
      <c r="L18230">
        <v>2704</v>
      </c>
      <c r="M18230" t="s">
        <v>37375</v>
      </c>
      <c r="N18230" t="s">
        <v>30</v>
      </c>
      <c r="O18230" t="s">
        <v>31</v>
      </c>
      <c r="P18230" t="str">
        <f>"15214"</f>
        <v>15214</v>
      </c>
    </row>
    <row r="18231" spans="1:16" x14ac:dyDescent="0.25">
      <c r="A18231" t="str">
        <f>"1260162R00190    00"</f>
        <v>1260162R00190    00</v>
      </c>
      <c r="B18231" t="s">
        <v>39596</v>
      </c>
      <c r="C18231" t="s">
        <v>39597</v>
      </c>
      <c r="E18231" t="s">
        <v>39</v>
      </c>
      <c r="F18231">
        <v>0</v>
      </c>
      <c r="G18231">
        <v>0</v>
      </c>
      <c r="H18231">
        <v>1</v>
      </c>
      <c r="I18231" s="3">
        <v>46.7</v>
      </c>
      <c r="J18231" s="3">
        <v>0</v>
      </c>
      <c r="K18231" t="s">
        <v>37248</v>
      </c>
      <c r="L18231">
        <v>3001</v>
      </c>
      <c r="M18231" t="s">
        <v>330</v>
      </c>
      <c r="N18231" t="s">
        <v>331</v>
      </c>
      <c r="O18231" t="s">
        <v>108</v>
      </c>
      <c r="P18231" t="str">
        <f>"75063"</f>
        <v>75063</v>
      </c>
    </row>
    <row r="18232" spans="1:16" x14ac:dyDescent="0.25">
      <c r="A18232" t="str">
        <f>"1260162R00200    00"</f>
        <v>1260162R00200    00</v>
      </c>
      <c r="B18232" t="s">
        <v>39598</v>
      </c>
      <c r="C18232" t="s">
        <v>39599</v>
      </c>
      <c r="E18232" t="s">
        <v>39</v>
      </c>
      <c r="F18232">
        <v>0</v>
      </c>
      <c r="G18232">
        <v>0</v>
      </c>
      <c r="H18232">
        <v>2</v>
      </c>
      <c r="I18232" s="3">
        <v>1214.28</v>
      </c>
      <c r="J18232" s="3">
        <v>130.29</v>
      </c>
      <c r="L18232">
        <v>402</v>
      </c>
      <c r="M18232" t="s">
        <v>38990</v>
      </c>
      <c r="N18232" t="s">
        <v>30</v>
      </c>
      <c r="O18232" t="s">
        <v>31</v>
      </c>
      <c r="P18232" t="str">
        <f>"15214"</f>
        <v>15214</v>
      </c>
    </row>
    <row r="18233" spans="1:16" x14ac:dyDescent="0.25">
      <c r="A18233" t="str">
        <f>"1260162R00208    00"</f>
        <v>1260162R00208    00</v>
      </c>
      <c r="B18233" t="s">
        <v>39600</v>
      </c>
      <c r="C18233" t="s">
        <v>39601</v>
      </c>
      <c r="E18233" t="s">
        <v>39</v>
      </c>
      <c r="F18233">
        <v>0</v>
      </c>
      <c r="G18233">
        <v>0</v>
      </c>
      <c r="H18233">
        <v>2</v>
      </c>
      <c r="I18233" s="3">
        <v>2735.58</v>
      </c>
      <c r="J18233" s="3">
        <v>356.91</v>
      </c>
      <c r="K18233" t="s">
        <v>39602</v>
      </c>
      <c r="L18233">
        <v>694</v>
      </c>
      <c r="M18233" t="s">
        <v>39603</v>
      </c>
      <c r="N18233" t="s">
        <v>12899</v>
      </c>
      <c r="O18233" t="s">
        <v>31</v>
      </c>
      <c r="P18233" t="str">
        <f>"15148"</f>
        <v>15148</v>
      </c>
    </row>
    <row r="18234" spans="1:16" x14ac:dyDescent="0.25">
      <c r="A18234" t="str">
        <f>"1260162R00211    00"</f>
        <v>1260162R00211    00</v>
      </c>
      <c r="B18234" t="s">
        <v>39604</v>
      </c>
      <c r="C18234" t="s">
        <v>39605</v>
      </c>
      <c r="D18234" t="s">
        <v>20</v>
      </c>
      <c r="E18234" t="s">
        <v>39</v>
      </c>
      <c r="F18234">
        <v>0</v>
      </c>
      <c r="G18234">
        <v>0</v>
      </c>
      <c r="H18234">
        <v>5</v>
      </c>
      <c r="I18234" s="3">
        <v>6047.73</v>
      </c>
      <c r="J18234" s="3">
        <v>179.99</v>
      </c>
      <c r="K18234" t="s">
        <v>37248</v>
      </c>
      <c r="L18234">
        <v>3001</v>
      </c>
      <c r="M18234" t="s">
        <v>330</v>
      </c>
      <c r="N18234" t="s">
        <v>331</v>
      </c>
      <c r="O18234" t="s">
        <v>108</v>
      </c>
      <c r="P18234" t="str">
        <f>"75063"</f>
        <v>75063</v>
      </c>
    </row>
    <row r="18235" spans="1:16" x14ac:dyDescent="0.25">
      <c r="A18235" t="str">
        <f>"1260162R00223    00"</f>
        <v>1260162R00223    00</v>
      </c>
      <c r="B18235" t="s">
        <v>39606</v>
      </c>
      <c r="C18235" t="s">
        <v>39607</v>
      </c>
      <c r="D18235" t="s">
        <v>20</v>
      </c>
      <c r="E18235" t="s">
        <v>21</v>
      </c>
      <c r="F18235">
        <v>0</v>
      </c>
      <c r="G18235">
        <v>0</v>
      </c>
      <c r="H18235">
        <v>2</v>
      </c>
      <c r="I18235" s="3">
        <v>4078.88</v>
      </c>
      <c r="J18235" s="3">
        <v>0</v>
      </c>
      <c r="K18235" t="s">
        <v>36090</v>
      </c>
      <c r="L18235">
        <v>117</v>
      </c>
      <c r="M18235" t="s">
        <v>34011</v>
      </c>
      <c r="N18235" t="s">
        <v>30</v>
      </c>
      <c r="O18235" t="s">
        <v>31</v>
      </c>
      <c r="P18235" t="str">
        <f>"15214"</f>
        <v>15214</v>
      </c>
    </row>
    <row r="18236" spans="1:16" x14ac:dyDescent="0.25">
      <c r="A18236" t="str">
        <f>"1260162R00250    00"</f>
        <v>1260162R00250    00</v>
      </c>
      <c r="B18236" t="s">
        <v>39608</v>
      </c>
      <c r="C18236" t="s">
        <v>36257</v>
      </c>
      <c r="D18236" t="s">
        <v>20</v>
      </c>
      <c r="E18236" t="s">
        <v>39</v>
      </c>
      <c r="F18236">
        <v>0</v>
      </c>
      <c r="G18236">
        <v>0</v>
      </c>
      <c r="H18236">
        <v>4</v>
      </c>
      <c r="I18236" s="3">
        <v>1526.45</v>
      </c>
      <c r="J18236" s="3">
        <v>180.31</v>
      </c>
      <c r="L18236">
        <v>4029</v>
      </c>
      <c r="M18236" t="s">
        <v>39091</v>
      </c>
      <c r="N18236" t="s">
        <v>30</v>
      </c>
      <c r="O18236" t="s">
        <v>31</v>
      </c>
      <c r="P18236" t="str">
        <f>"15214"</f>
        <v>15214</v>
      </c>
    </row>
    <row r="18237" spans="1:16" x14ac:dyDescent="0.25">
      <c r="A18237" t="str">
        <f>"1260162R00253    00"</f>
        <v>1260162R00253    00</v>
      </c>
      <c r="B18237" t="s">
        <v>2246</v>
      </c>
      <c r="C18237" t="s">
        <v>39609</v>
      </c>
      <c r="E18237" t="s">
        <v>39</v>
      </c>
      <c r="F18237">
        <v>0</v>
      </c>
      <c r="G18237">
        <v>0</v>
      </c>
      <c r="H18237">
        <v>1</v>
      </c>
      <c r="I18237" s="3">
        <v>534.79</v>
      </c>
      <c r="J18237" s="3">
        <v>0</v>
      </c>
      <c r="K18237" t="s">
        <v>2248</v>
      </c>
      <c r="M18237" t="s">
        <v>2249</v>
      </c>
      <c r="N18237" t="s">
        <v>30</v>
      </c>
      <c r="O18237" t="s">
        <v>31</v>
      </c>
      <c r="P18237" t="str">
        <f>"15237"</f>
        <v>15237</v>
      </c>
    </row>
    <row r="18238" spans="1:16" x14ac:dyDescent="0.25">
      <c r="A18238" t="str">
        <f>"1260162R00258    00"</f>
        <v>1260162R00258    00</v>
      </c>
      <c r="B18238" t="s">
        <v>37085</v>
      </c>
      <c r="C18238" t="s">
        <v>39610</v>
      </c>
      <c r="D18238" t="s">
        <v>20</v>
      </c>
      <c r="E18238" t="s">
        <v>39</v>
      </c>
      <c r="F18238">
        <v>0</v>
      </c>
      <c r="G18238">
        <v>0</v>
      </c>
      <c r="H18238">
        <v>4</v>
      </c>
      <c r="I18238" s="3">
        <v>3518.59</v>
      </c>
      <c r="J18238" s="3">
        <v>236.24</v>
      </c>
      <c r="K18238" t="s">
        <v>37087</v>
      </c>
      <c r="L18238">
        <v>1128</v>
      </c>
      <c r="M18238" t="s">
        <v>37088</v>
      </c>
      <c r="N18238" t="s">
        <v>30</v>
      </c>
      <c r="O18238" t="s">
        <v>31</v>
      </c>
      <c r="P18238" t="str">
        <f>"15212"</f>
        <v>15212</v>
      </c>
    </row>
    <row r="18239" spans="1:16" x14ac:dyDescent="0.25">
      <c r="A18239" t="str">
        <f>"1260162R00294    00"</f>
        <v>1260162R00294    00</v>
      </c>
      <c r="B18239" t="s">
        <v>39611</v>
      </c>
      <c r="C18239" t="s">
        <v>39612</v>
      </c>
      <c r="D18239" t="s">
        <v>20</v>
      </c>
      <c r="E18239" t="s">
        <v>39</v>
      </c>
      <c r="F18239">
        <v>0</v>
      </c>
      <c r="G18239">
        <v>0</v>
      </c>
      <c r="H18239">
        <v>4</v>
      </c>
      <c r="I18239" s="3">
        <v>3189.56</v>
      </c>
      <c r="J18239" s="3">
        <v>376.77</v>
      </c>
      <c r="K18239" t="s">
        <v>39613</v>
      </c>
      <c r="L18239">
        <v>4133</v>
      </c>
      <c r="M18239" t="s">
        <v>39091</v>
      </c>
      <c r="N18239" t="s">
        <v>30</v>
      </c>
      <c r="O18239" t="s">
        <v>31</v>
      </c>
      <c r="P18239" t="str">
        <f>"15214"</f>
        <v>15214</v>
      </c>
    </row>
    <row r="18240" spans="1:16" x14ac:dyDescent="0.25">
      <c r="A18240" t="str">
        <f>"1260162R00298    00"</f>
        <v>1260162R00298    00</v>
      </c>
      <c r="B18240" t="s">
        <v>39614</v>
      </c>
      <c r="C18240" t="s">
        <v>39615</v>
      </c>
      <c r="D18240" t="s">
        <v>20</v>
      </c>
      <c r="E18240" t="s">
        <v>39</v>
      </c>
      <c r="F18240">
        <v>0</v>
      </c>
      <c r="G18240">
        <v>0</v>
      </c>
      <c r="H18240">
        <v>3</v>
      </c>
      <c r="I18240" s="3">
        <v>2939.13</v>
      </c>
      <c r="J18240" s="3">
        <v>195.93</v>
      </c>
      <c r="L18240">
        <v>4129</v>
      </c>
      <c r="M18240" t="s">
        <v>39091</v>
      </c>
      <c r="N18240" t="s">
        <v>30</v>
      </c>
      <c r="O18240" t="s">
        <v>31</v>
      </c>
      <c r="P18240" t="str">
        <f>"15214"</f>
        <v>15214</v>
      </c>
    </row>
    <row r="18241" spans="1:16" x14ac:dyDescent="0.25">
      <c r="A18241" t="str">
        <f>"1260162R00308    00"</f>
        <v>1260162R00308    00</v>
      </c>
      <c r="B18241" t="s">
        <v>39616</v>
      </c>
      <c r="C18241" t="s">
        <v>39617</v>
      </c>
      <c r="D18241" t="s">
        <v>20</v>
      </c>
      <c r="E18241" t="s">
        <v>39</v>
      </c>
      <c r="F18241">
        <v>0</v>
      </c>
      <c r="G18241">
        <v>0</v>
      </c>
      <c r="H18241">
        <v>7</v>
      </c>
      <c r="I18241" s="3">
        <v>3650.7</v>
      </c>
      <c r="J18241" s="3">
        <v>0</v>
      </c>
      <c r="K18241" t="s">
        <v>39618</v>
      </c>
      <c r="L18241">
        <v>600</v>
      </c>
      <c r="M18241" t="s">
        <v>39619</v>
      </c>
      <c r="N18241" t="s">
        <v>30</v>
      </c>
      <c r="O18241" t="s">
        <v>31</v>
      </c>
      <c r="P18241" t="str">
        <f>"15219"</f>
        <v>15219</v>
      </c>
    </row>
    <row r="18242" spans="1:16" x14ac:dyDescent="0.25">
      <c r="A18242" t="str">
        <f>"1260162R00344    00"</f>
        <v>1260162R00344    00</v>
      </c>
      <c r="B18242" t="s">
        <v>39620</v>
      </c>
      <c r="C18242" t="s">
        <v>39621</v>
      </c>
      <c r="D18242" t="s">
        <v>20</v>
      </c>
      <c r="E18242" t="s">
        <v>39</v>
      </c>
      <c r="F18242">
        <v>0</v>
      </c>
      <c r="G18242">
        <v>0</v>
      </c>
      <c r="H18242">
        <v>5</v>
      </c>
      <c r="I18242" s="3">
        <v>2529.11</v>
      </c>
      <c r="J18242" s="3">
        <v>396.78</v>
      </c>
      <c r="L18242">
        <v>4110</v>
      </c>
      <c r="M18242" t="s">
        <v>39091</v>
      </c>
      <c r="N18242" t="s">
        <v>30</v>
      </c>
      <c r="O18242" t="s">
        <v>31</v>
      </c>
      <c r="P18242" t="str">
        <f>"15214"</f>
        <v>15214</v>
      </c>
    </row>
    <row r="18243" spans="1:16" x14ac:dyDescent="0.25">
      <c r="A18243" t="str">
        <f>"1260162R00349    00"</f>
        <v>1260162R00349    00</v>
      </c>
      <c r="B18243" t="s">
        <v>39622</v>
      </c>
      <c r="C18243" t="s">
        <v>39623</v>
      </c>
      <c r="D18243" t="s">
        <v>20</v>
      </c>
      <c r="E18243" t="s">
        <v>39</v>
      </c>
      <c r="F18243">
        <v>0</v>
      </c>
      <c r="G18243">
        <v>0</v>
      </c>
      <c r="H18243">
        <v>1</v>
      </c>
      <c r="I18243" s="3">
        <v>844.82</v>
      </c>
      <c r="J18243" s="3">
        <v>0</v>
      </c>
      <c r="K18243" t="s">
        <v>39624</v>
      </c>
      <c r="L18243">
        <v>4120</v>
      </c>
      <c r="M18243" t="s">
        <v>39091</v>
      </c>
      <c r="N18243" t="s">
        <v>30</v>
      </c>
      <c r="O18243" t="s">
        <v>31</v>
      </c>
      <c r="P18243" t="str">
        <f>"15214"</f>
        <v>15214</v>
      </c>
    </row>
    <row r="18244" spans="1:16" x14ac:dyDescent="0.25">
      <c r="A18244" t="str">
        <f>"1260162S00075    00"</f>
        <v>1260162S00075    00</v>
      </c>
      <c r="B18244" t="s">
        <v>39625</v>
      </c>
      <c r="C18244" t="s">
        <v>39626</v>
      </c>
      <c r="D18244" t="s">
        <v>20</v>
      </c>
      <c r="E18244" t="s">
        <v>207</v>
      </c>
      <c r="F18244">
        <v>0</v>
      </c>
      <c r="G18244">
        <v>0</v>
      </c>
      <c r="H18244">
        <v>11</v>
      </c>
      <c r="I18244" s="3">
        <v>222.41</v>
      </c>
      <c r="J18244" s="3">
        <v>106.74</v>
      </c>
      <c r="K18244" t="s">
        <v>39627</v>
      </c>
      <c r="L18244">
        <v>414</v>
      </c>
      <c r="M18244" t="s">
        <v>39628</v>
      </c>
      <c r="N18244" t="s">
        <v>30</v>
      </c>
      <c r="O18244" t="s">
        <v>31</v>
      </c>
      <c r="P18244" t="str">
        <f t="shared" ref="P18244:P18252" si="230">"15219"</f>
        <v>15219</v>
      </c>
    </row>
    <row r="18245" spans="1:16" x14ac:dyDescent="0.25">
      <c r="A18245" t="str">
        <f>"1260162S00079    00"</f>
        <v>1260162S00079    00</v>
      </c>
      <c r="B18245" t="s">
        <v>39625</v>
      </c>
      <c r="C18245" t="s">
        <v>39626</v>
      </c>
      <c r="D18245" t="s">
        <v>20</v>
      </c>
      <c r="E18245" t="s">
        <v>207</v>
      </c>
      <c r="F18245">
        <v>0</v>
      </c>
      <c r="G18245">
        <v>0</v>
      </c>
      <c r="H18245">
        <v>11</v>
      </c>
      <c r="I18245" s="3">
        <v>707.43</v>
      </c>
      <c r="J18245" s="3">
        <v>339.57</v>
      </c>
      <c r="K18245" t="s">
        <v>39627</v>
      </c>
      <c r="L18245">
        <v>414</v>
      </c>
      <c r="M18245" t="s">
        <v>39629</v>
      </c>
      <c r="N18245" t="s">
        <v>30</v>
      </c>
      <c r="O18245" t="s">
        <v>31</v>
      </c>
      <c r="P18245" t="str">
        <f t="shared" si="230"/>
        <v>15219</v>
      </c>
    </row>
    <row r="18246" spans="1:16" x14ac:dyDescent="0.25">
      <c r="A18246" t="str">
        <f>"1260162S00081    00"</f>
        <v>1260162S00081    00</v>
      </c>
      <c r="B18246" t="s">
        <v>39625</v>
      </c>
      <c r="C18246" t="s">
        <v>39626</v>
      </c>
      <c r="D18246" t="s">
        <v>20</v>
      </c>
      <c r="E18246" t="s">
        <v>207</v>
      </c>
      <c r="F18246">
        <v>0</v>
      </c>
      <c r="G18246">
        <v>0</v>
      </c>
      <c r="H18246">
        <v>11</v>
      </c>
      <c r="I18246" s="3">
        <v>282.92</v>
      </c>
      <c r="J18246" s="3">
        <v>135.79</v>
      </c>
      <c r="K18246" t="s">
        <v>39627</v>
      </c>
      <c r="L18246">
        <v>414</v>
      </c>
      <c r="M18246" t="s">
        <v>39629</v>
      </c>
      <c r="N18246" t="s">
        <v>30</v>
      </c>
      <c r="O18246" t="s">
        <v>31</v>
      </c>
      <c r="P18246" t="str">
        <f t="shared" si="230"/>
        <v>15219</v>
      </c>
    </row>
    <row r="18247" spans="1:16" x14ac:dyDescent="0.25">
      <c r="A18247" t="str">
        <f>"1260162S00084    00"</f>
        <v>1260162S00084    00</v>
      </c>
      <c r="B18247" t="s">
        <v>39625</v>
      </c>
      <c r="C18247" t="s">
        <v>39626</v>
      </c>
      <c r="D18247" t="s">
        <v>20</v>
      </c>
      <c r="E18247" t="s">
        <v>207</v>
      </c>
      <c r="F18247">
        <v>0</v>
      </c>
      <c r="G18247">
        <v>0</v>
      </c>
      <c r="H18247">
        <v>11</v>
      </c>
      <c r="I18247" s="3">
        <v>545.74</v>
      </c>
      <c r="J18247" s="3">
        <v>261.97000000000003</v>
      </c>
      <c r="K18247" t="s">
        <v>39627</v>
      </c>
      <c r="L18247">
        <v>414</v>
      </c>
      <c r="M18247" t="s">
        <v>39629</v>
      </c>
      <c r="N18247" t="s">
        <v>30</v>
      </c>
      <c r="O18247" t="s">
        <v>31</v>
      </c>
      <c r="P18247" t="str">
        <f t="shared" si="230"/>
        <v>15219</v>
      </c>
    </row>
    <row r="18248" spans="1:16" x14ac:dyDescent="0.25">
      <c r="A18248" t="str">
        <f>"1260162S00086    00"</f>
        <v>1260162S00086    00</v>
      </c>
      <c r="B18248" t="s">
        <v>39625</v>
      </c>
      <c r="C18248" t="s">
        <v>39626</v>
      </c>
      <c r="D18248" t="s">
        <v>20</v>
      </c>
      <c r="E18248" t="s">
        <v>207</v>
      </c>
      <c r="F18248">
        <v>0</v>
      </c>
      <c r="G18248">
        <v>0</v>
      </c>
      <c r="H18248">
        <v>11</v>
      </c>
      <c r="I18248" s="3">
        <v>282.92</v>
      </c>
      <c r="J18248" s="3">
        <v>135.79</v>
      </c>
      <c r="K18248" t="s">
        <v>39627</v>
      </c>
      <c r="L18248">
        <v>414</v>
      </c>
      <c r="M18248" t="s">
        <v>39628</v>
      </c>
      <c r="N18248" t="s">
        <v>30</v>
      </c>
      <c r="O18248" t="s">
        <v>31</v>
      </c>
      <c r="P18248" t="str">
        <f t="shared" si="230"/>
        <v>15219</v>
      </c>
    </row>
    <row r="18249" spans="1:16" x14ac:dyDescent="0.25">
      <c r="A18249" t="str">
        <f>"1260162S00088    00"</f>
        <v>1260162S00088    00</v>
      </c>
      <c r="B18249" t="s">
        <v>39625</v>
      </c>
      <c r="C18249" t="s">
        <v>39630</v>
      </c>
      <c r="D18249" t="s">
        <v>20</v>
      </c>
      <c r="E18249" t="s">
        <v>207</v>
      </c>
      <c r="F18249">
        <v>0</v>
      </c>
      <c r="G18249">
        <v>0</v>
      </c>
      <c r="H18249">
        <v>11</v>
      </c>
      <c r="I18249" s="3">
        <v>53506.71</v>
      </c>
      <c r="J18249" s="3">
        <v>25536.92</v>
      </c>
      <c r="K18249" t="s">
        <v>39627</v>
      </c>
      <c r="L18249">
        <v>414</v>
      </c>
      <c r="M18249" t="s">
        <v>39628</v>
      </c>
      <c r="N18249" t="s">
        <v>30</v>
      </c>
      <c r="O18249" t="s">
        <v>31</v>
      </c>
      <c r="P18249" t="str">
        <f t="shared" si="230"/>
        <v>15219</v>
      </c>
    </row>
    <row r="18250" spans="1:16" x14ac:dyDescent="0.25">
      <c r="A18250" t="str">
        <f>"1260162S00090    00"</f>
        <v>1260162S00090    00</v>
      </c>
      <c r="B18250" t="s">
        <v>39625</v>
      </c>
      <c r="C18250" t="s">
        <v>39630</v>
      </c>
      <c r="D18250" t="s">
        <v>20</v>
      </c>
      <c r="E18250" t="s">
        <v>207</v>
      </c>
      <c r="F18250">
        <v>0</v>
      </c>
      <c r="G18250">
        <v>0</v>
      </c>
      <c r="H18250">
        <v>11</v>
      </c>
      <c r="I18250" s="3">
        <v>282.92</v>
      </c>
      <c r="J18250" s="3">
        <v>135.79</v>
      </c>
      <c r="K18250" t="s">
        <v>39627</v>
      </c>
      <c r="L18250">
        <v>414</v>
      </c>
      <c r="M18250" t="s">
        <v>39628</v>
      </c>
      <c r="N18250" t="s">
        <v>30</v>
      </c>
      <c r="O18250" t="s">
        <v>31</v>
      </c>
      <c r="P18250" t="str">
        <f t="shared" si="230"/>
        <v>15219</v>
      </c>
    </row>
    <row r="18251" spans="1:16" x14ac:dyDescent="0.25">
      <c r="A18251" t="str">
        <f>"1260162S00092    00"</f>
        <v>1260162S00092    00</v>
      </c>
      <c r="B18251" t="s">
        <v>39625</v>
      </c>
      <c r="C18251" t="s">
        <v>39631</v>
      </c>
      <c r="D18251" t="s">
        <v>20</v>
      </c>
      <c r="E18251" t="s">
        <v>207</v>
      </c>
      <c r="F18251">
        <v>0</v>
      </c>
      <c r="G18251">
        <v>0</v>
      </c>
      <c r="H18251">
        <v>11</v>
      </c>
      <c r="I18251" s="3">
        <v>282.92</v>
      </c>
      <c r="J18251" s="3">
        <v>135.79</v>
      </c>
      <c r="K18251" t="s">
        <v>39632</v>
      </c>
      <c r="L18251">
        <v>414</v>
      </c>
      <c r="M18251" t="s">
        <v>39628</v>
      </c>
      <c r="N18251" t="s">
        <v>30</v>
      </c>
      <c r="O18251" t="s">
        <v>31</v>
      </c>
      <c r="P18251" t="str">
        <f t="shared" si="230"/>
        <v>15219</v>
      </c>
    </row>
    <row r="18252" spans="1:16" x14ac:dyDescent="0.25">
      <c r="A18252" t="str">
        <f>"1260162S00094    00"</f>
        <v>1260162S00094    00</v>
      </c>
      <c r="B18252" t="s">
        <v>39625</v>
      </c>
      <c r="C18252" t="s">
        <v>39631</v>
      </c>
      <c r="D18252" t="s">
        <v>20</v>
      </c>
      <c r="E18252" t="s">
        <v>21</v>
      </c>
      <c r="F18252">
        <v>0</v>
      </c>
      <c r="G18252">
        <v>0</v>
      </c>
      <c r="H18252">
        <v>11</v>
      </c>
      <c r="I18252" s="3">
        <v>282.92</v>
      </c>
      <c r="J18252" s="3">
        <v>135.79</v>
      </c>
      <c r="K18252" t="s">
        <v>39632</v>
      </c>
      <c r="L18252">
        <v>414</v>
      </c>
      <c r="M18252" t="s">
        <v>39628</v>
      </c>
      <c r="N18252" t="s">
        <v>30</v>
      </c>
      <c r="O18252" t="s">
        <v>31</v>
      </c>
      <c r="P18252" t="str">
        <f t="shared" si="230"/>
        <v>15219</v>
      </c>
    </row>
    <row r="18253" spans="1:16" x14ac:dyDescent="0.25">
      <c r="A18253" t="str">
        <f>"1260162S00134    00"</f>
        <v>1260162S00134    00</v>
      </c>
      <c r="B18253" t="s">
        <v>39633</v>
      </c>
      <c r="C18253" t="s">
        <v>39634</v>
      </c>
      <c r="D18253" t="s">
        <v>20</v>
      </c>
      <c r="E18253" t="s">
        <v>39</v>
      </c>
      <c r="F18253">
        <v>0</v>
      </c>
      <c r="G18253">
        <v>0</v>
      </c>
      <c r="H18253">
        <v>1</v>
      </c>
      <c r="I18253" s="3">
        <v>715.21</v>
      </c>
      <c r="J18253" s="3">
        <v>0</v>
      </c>
      <c r="K18253" t="s">
        <v>1632</v>
      </c>
      <c r="L18253">
        <v>3001</v>
      </c>
      <c r="M18253" t="s">
        <v>330</v>
      </c>
      <c r="N18253" t="s">
        <v>331</v>
      </c>
      <c r="O18253" t="s">
        <v>108</v>
      </c>
      <c r="P18253" t="str">
        <f>"75063"</f>
        <v>75063</v>
      </c>
    </row>
    <row r="18254" spans="1:16" x14ac:dyDescent="0.25">
      <c r="A18254" t="str">
        <f>"1260162S00136    00"</f>
        <v>1260162S00136    00</v>
      </c>
      <c r="B18254" t="s">
        <v>39635</v>
      </c>
      <c r="C18254" t="s">
        <v>39636</v>
      </c>
      <c r="E18254" t="s">
        <v>39</v>
      </c>
      <c r="F18254">
        <v>0</v>
      </c>
      <c r="G18254">
        <v>0</v>
      </c>
      <c r="H18254">
        <v>1</v>
      </c>
      <c r="I18254" s="3">
        <v>317.16000000000003</v>
      </c>
      <c r="J18254" s="3">
        <v>0</v>
      </c>
      <c r="K18254" t="s">
        <v>39637</v>
      </c>
      <c r="L18254">
        <v>850</v>
      </c>
      <c r="M18254" t="s">
        <v>17198</v>
      </c>
      <c r="N18254" t="s">
        <v>30</v>
      </c>
      <c r="O18254" t="s">
        <v>31</v>
      </c>
      <c r="P18254" t="str">
        <f>"15202"</f>
        <v>15202</v>
      </c>
    </row>
    <row r="18255" spans="1:16" x14ac:dyDescent="0.25">
      <c r="A18255" t="str">
        <f>"1260162S00160    00"</f>
        <v>1260162S00160    00</v>
      </c>
      <c r="B18255" t="s">
        <v>39638</v>
      </c>
      <c r="C18255" t="s">
        <v>39631</v>
      </c>
      <c r="D18255" t="s">
        <v>20</v>
      </c>
      <c r="E18255" t="s">
        <v>39</v>
      </c>
      <c r="F18255">
        <v>0</v>
      </c>
      <c r="G18255">
        <v>0</v>
      </c>
      <c r="H18255">
        <v>6</v>
      </c>
      <c r="I18255" s="3">
        <v>350.69</v>
      </c>
      <c r="J18255" s="3">
        <v>36.270000000000003</v>
      </c>
      <c r="L18255">
        <v>20</v>
      </c>
      <c r="M18255" t="s">
        <v>39639</v>
      </c>
      <c r="N18255" t="s">
        <v>30</v>
      </c>
      <c r="O18255" t="s">
        <v>31</v>
      </c>
      <c r="P18255" t="str">
        <f>"15214"</f>
        <v>15214</v>
      </c>
    </row>
    <row r="18256" spans="1:16" x14ac:dyDescent="0.25">
      <c r="A18256" t="str">
        <f>"1260162S00163    00"</f>
        <v>1260162S00163    00</v>
      </c>
      <c r="B18256" t="s">
        <v>39625</v>
      </c>
      <c r="C18256" t="s">
        <v>39626</v>
      </c>
      <c r="D18256" t="s">
        <v>20</v>
      </c>
      <c r="E18256" t="s">
        <v>207</v>
      </c>
      <c r="F18256">
        <v>0</v>
      </c>
      <c r="G18256">
        <v>0</v>
      </c>
      <c r="H18256">
        <v>11</v>
      </c>
      <c r="I18256" s="3">
        <v>202.1</v>
      </c>
      <c r="J18256" s="3">
        <v>97</v>
      </c>
      <c r="K18256" t="s">
        <v>39632</v>
      </c>
      <c r="L18256">
        <v>414</v>
      </c>
      <c r="M18256" t="s">
        <v>39628</v>
      </c>
      <c r="N18256" t="s">
        <v>30</v>
      </c>
      <c r="O18256" t="s">
        <v>31</v>
      </c>
      <c r="P18256" t="str">
        <f>"15219"</f>
        <v>15219</v>
      </c>
    </row>
    <row r="18257" spans="1:16" x14ac:dyDescent="0.25">
      <c r="A18257" t="str">
        <f>"1260162S00164    00"</f>
        <v>1260162S00164    00</v>
      </c>
      <c r="B18257" t="s">
        <v>39625</v>
      </c>
      <c r="C18257" t="s">
        <v>39626</v>
      </c>
      <c r="D18257" t="s">
        <v>20</v>
      </c>
      <c r="E18257" t="s">
        <v>207</v>
      </c>
      <c r="F18257">
        <v>0</v>
      </c>
      <c r="G18257">
        <v>0</v>
      </c>
      <c r="H18257">
        <v>11</v>
      </c>
      <c r="I18257" s="3">
        <v>202.1</v>
      </c>
      <c r="J18257" s="3">
        <v>97</v>
      </c>
      <c r="K18257" t="s">
        <v>39632</v>
      </c>
      <c r="L18257">
        <v>414</v>
      </c>
      <c r="M18257" t="s">
        <v>39628</v>
      </c>
      <c r="N18257" t="s">
        <v>30</v>
      </c>
      <c r="O18257" t="s">
        <v>31</v>
      </c>
      <c r="P18257" t="str">
        <f>"15219"</f>
        <v>15219</v>
      </c>
    </row>
    <row r="18258" spans="1:16" x14ac:dyDescent="0.25">
      <c r="A18258" t="str">
        <f>"1260162S00165    00"</f>
        <v>1260162S00165    00</v>
      </c>
      <c r="B18258" t="s">
        <v>39625</v>
      </c>
      <c r="C18258" t="s">
        <v>39626</v>
      </c>
      <c r="D18258" t="s">
        <v>20</v>
      </c>
      <c r="E18258" t="s">
        <v>207</v>
      </c>
      <c r="F18258">
        <v>0</v>
      </c>
      <c r="G18258">
        <v>0</v>
      </c>
      <c r="H18258">
        <v>11</v>
      </c>
      <c r="I18258" s="3">
        <v>161.69</v>
      </c>
      <c r="J18258" s="3">
        <v>77.61</v>
      </c>
      <c r="K18258" t="s">
        <v>39632</v>
      </c>
      <c r="L18258">
        <v>414</v>
      </c>
      <c r="M18258" t="s">
        <v>39628</v>
      </c>
      <c r="N18258" t="s">
        <v>30</v>
      </c>
      <c r="O18258" t="s">
        <v>31</v>
      </c>
      <c r="P18258" t="str">
        <f>"15219"</f>
        <v>15219</v>
      </c>
    </row>
    <row r="18259" spans="1:16" x14ac:dyDescent="0.25">
      <c r="A18259" t="str">
        <f>"1260162S00166    00"</f>
        <v>1260162S00166    00</v>
      </c>
      <c r="B18259" t="s">
        <v>39625</v>
      </c>
      <c r="C18259" t="s">
        <v>39626</v>
      </c>
      <c r="D18259" t="s">
        <v>20</v>
      </c>
      <c r="E18259" t="s">
        <v>207</v>
      </c>
      <c r="F18259">
        <v>0</v>
      </c>
      <c r="G18259">
        <v>0</v>
      </c>
      <c r="H18259">
        <v>11</v>
      </c>
      <c r="I18259" s="3">
        <v>303.23</v>
      </c>
      <c r="J18259" s="3">
        <v>145.58000000000001</v>
      </c>
      <c r="K18259" t="s">
        <v>39632</v>
      </c>
      <c r="L18259">
        <v>414</v>
      </c>
      <c r="M18259" t="s">
        <v>39628</v>
      </c>
      <c r="N18259" t="s">
        <v>30</v>
      </c>
      <c r="O18259" t="s">
        <v>31</v>
      </c>
      <c r="P18259" t="str">
        <f>"15219"</f>
        <v>15219</v>
      </c>
    </row>
    <row r="18260" spans="1:16" x14ac:dyDescent="0.25">
      <c r="A18260" t="str">
        <f>"1260162S00175    00"</f>
        <v>1260162S00175    00</v>
      </c>
      <c r="B18260" t="s">
        <v>39638</v>
      </c>
      <c r="C18260" t="s">
        <v>39640</v>
      </c>
      <c r="D18260" t="s">
        <v>20</v>
      </c>
      <c r="E18260" t="s">
        <v>39</v>
      </c>
      <c r="F18260">
        <v>0</v>
      </c>
      <c r="G18260">
        <v>0</v>
      </c>
      <c r="H18260">
        <v>7</v>
      </c>
      <c r="I18260" s="3">
        <v>2767.69</v>
      </c>
      <c r="J18260" s="3">
        <v>276.68</v>
      </c>
      <c r="L18260">
        <v>20</v>
      </c>
      <c r="M18260" t="s">
        <v>39639</v>
      </c>
      <c r="N18260" t="s">
        <v>30</v>
      </c>
      <c r="O18260" t="s">
        <v>31</v>
      </c>
      <c r="P18260" t="str">
        <f>"15214"</f>
        <v>15214</v>
      </c>
    </row>
    <row r="18261" spans="1:16" x14ac:dyDescent="0.25">
      <c r="A18261" t="str">
        <f>"1260162S00181    00"</f>
        <v>1260162S00181    00</v>
      </c>
      <c r="B18261" t="s">
        <v>39641</v>
      </c>
      <c r="C18261" t="s">
        <v>39642</v>
      </c>
      <c r="D18261" t="s">
        <v>20</v>
      </c>
      <c r="E18261" t="s">
        <v>39</v>
      </c>
      <c r="F18261">
        <v>0</v>
      </c>
      <c r="G18261">
        <v>0</v>
      </c>
      <c r="H18261">
        <v>1</v>
      </c>
      <c r="I18261" s="3">
        <v>384.06</v>
      </c>
      <c r="J18261" s="3">
        <v>0</v>
      </c>
      <c r="L18261">
        <v>34</v>
      </c>
      <c r="M18261" t="s">
        <v>39639</v>
      </c>
      <c r="N18261" t="s">
        <v>30</v>
      </c>
      <c r="O18261" t="s">
        <v>31</v>
      </c>
      <c r="P18261" t="str">
        <f>"15214"</f>
        <v>15214</v>
      </c>
    </row>
    <row r="18262" spans="1:16" x14ac:dyDescent="0.25">
      <c r="A18262" t="str">
        <f>"1260162S00286    00"</f>
        <v>1260162S00286    00</v>
      </c>
      <c r="B18262" t="s">
        <v>39643</v>
      </c>
      <c r="C18262" t="s">
        <v>39644</v>
      </c>
      <c r="E18262" t="s">
        <v>39</v>
      </c>
      <c r="F18262">
        <v>0</v>
      </c>
      <c r="G18262">
        <v>0</v>
      </c>
      <c r="H18262">
        <v>1</v>
      </c>
      <c r="I18262" s="3">
        <v>22.64</v>
      </c>
      <c r="J18262" s="3">
        <v>9.06</v>
      </c>
      <c r="L18262">
        <v>17</v>
      </c>
      <c r="M18262" t="s">
        <v>39645</v>
      </c>
      <c r="N18262" t="s">
        <v>39646</v>
      </c>
      <c r="P18262" t="str">
        <f>""</f>
        <v/>
      </c>
    </row>
    <row r="18263" spans="1:16" x14ac:dyDescent="0.25">
      <c r="A18263" t="str">
        <f>"1260162S00290    00"</f>
        <v>1260162S00290    00</v>
      </c>
      <c r="B18263" t="s">
        <v>39647</v>
      </c>
      <c r="C18263" t="s">
        <v>39648</v>
      </c>
      <c r="D18263" t="s">
        <v>20</v>
      </c>
      <c r="E18263" t="s">
        <v>39</v>
      </c>
      <c r="F18263">
        <v>0</v>
      </c>
      <c r="G18263">
        <v>0</v>
      </c>
      <c r="H18263">
        <v>1</v>
      </c>
      <c r="I18263" s="3">
        <v>1010.18</v>
      </c>
      <c r="J18263" s="3">
        <v>0</v>
      </c>
      <c r="L18263">
        <v>1611</v>
      </c>
      <c r="M18263" t="s">
        <v>39649</v>
      </c>
      <c r="N18263" t="s">
        <v>30</v>
      </c>
      <c r="O18263" t="s">
        <v>31</v>
      </c>
      <c r="P18263" t="str">
        <f>"15237"</f>
        <v>15237</v>
      </c>
    </row>
    <row r="18264" spans="1:16" x14ac:dyDescent="0.25">
      <c r="A18264" t="str">
        <f>"1260162S00292    00"</f>
        <v>1260162S00292    00</v>
      </c>
      <c r="B18264" t="s">
        <v>39650</v>
      </c>
      <c r="C18264" t="s">
        <v>39651</v>
      </c>
      <c r="D18264" t="s">
        <v>20</v>
      </c>
      <c r="E18264" t="s">
        <v>39</v>
      </c>
      <c r="F18264">
        <v>0</v>
      </c>
      <c r="G18264">
        <v>0</v>
      </c>
      <c r="H18264">
        <v>12</v>
      </c>
      <c r="I18264" s="3">
        <v>8636.92</v>
      </c>
      <c r="J18264" s="3">
        <v>4624.3999999999996</v>
      </c>
      <c r="L18264">
        <v>4063</v>
      </c>
      <c r="M18264" t="s">
        <v>39652</v>
      </c>
      <c r="N18264" t="s">
        <v>30</v>
      </c>
      <c r="O18264" t="s">
        <v>31</v>
      </c>
      <c r="P18264" t="str">
        <f>"15214"</f>
        <v>15214</v>
      </c>
    </row>
    <row r="18265" spans="1:16" x14ac:dyDescent="0.25">
      <c r="A18265" t="str">
        <f>"1260162S00359    00"</f>
        <v>1260162S00359    00</v>
      </c>
      <c r="B18265" t="s">
        <v>39653</v>
      </c>
      <c r="C18265" t="s">
        <v>39654</v>
      </c>
      <c r="D18265" t="s">
        <v>20</v>
      </c>
      <c r="E18265" t="s">
        <v>39</v>
      </c>
      <c r="F18265">
        <v>0</v>
      </c>
      <c r="G18265">
        <v>0</v>
      </c>
      <c r="H18265">
        <v>3</v>
      </c>
      <c r="I18265" s="3">
        <v>2877.7</v>
      </c>
      <c r="J18265" s="3">
        <v>133.34</v>
      </c>
      <c r="M18265" t="s">
        <v>39655</v>
      </c>
      <c r="N18265" t="s">
        <v>285</v>
      </c>
      <c r="O18265" t="s">
        <v>31</v>
      </c>
      <c r="P18265" t="str">
        <f>"15120"</f>
        <v>15120</v>
      </c>
    </row>
    <row r="18266" spans="1:16" x14ac:dyDescent="0.25">
      <c r="A18266" t="str">
        <f>"1260163A00029    00"</f>
        <v>1260163A00029    00</v>
      </c>
      <c r="B18266" t="s">
        <v>39656</v>
      </c>
      <c r="C18266" t="s">
        <v>39657</v>
      </c>
      <c r="E18266" t="s">
        <v>39</v>
      </c>
      <c r="F18266">
        <v>0</v>
      </c>
      <c r="G18266">
        <v>0</v>
      </c>
      <c r="H18266">
        <v>1</v>
      </c>
      <c r="I18266" s="3">
        <v>554.79</v>
      </c>
      <c r="J18266" s="3">
        <v>552.20000000000005</v>
      </c>
      <c r="L18266">
        <v>16</v>
      </c>
      <c r="M18266" t="s">
        <v>39658</v>
      </c>
      <c r="N18266" t="s">
        <v>30</v>
      </c>
      <c r="O18266" t="s">
        <v>31</v>
      </c>
      <c r="P18266" t="str">
        <f>"15212"</f>
        <v>15212</v>
      </c>
    </row>
    <row r="18267" spans="1:16" x14ac:dyDescent="0.25">
      <c r="A18267" t="str">
        <f>"1260163A00040    00"</f>
        <v>1260163A00040    00</v>
      </c>
      <c r="B18267" t="s">
        <v>39659</v>
      </c>
      <c r="C18267" t="s">
        <v>39660</v>
      </c>
      <c r="E18267" t="s">
        <v>39</v>
      </c>
      <c r="F18267">
        <v>0</v>
      </c>
      <c r="G18267">
        <v>0</v>
      </c>
      <c r="H18267">
        <v>1</v>
      </c>
      <c r="I18267" s="3">
        <v>470.46</v>
      </c>
      <c r="J18267" s="3">
        <v>0</v>
      </c>
      <c r="K18267" t="s">
        <v>39661</v>
      </c>
      <c r="L18267">
        <v>834</v>
      </c>
      <c r="M18267" t="s">
        <v>39662</v>
      </c>
      <c r="N18267" t="s">
        <v>509</v>
      </c>
      <c r="O18267" t="s">
        <v>31</v>
      </c>
      <c r="P18267" t="str">
        <f>"19126"</f>
        <v>19126</v>
      </c>
    </row>
    <row r="18268" spans="1:16" x14ac:dyDescent="0.25">
      <c r="A18268" t="str">
        <f>"1260163A00044    00"</f>
        <v>1260163A00044    00</v>
      </c>
      <c r="B18268" t="s">
        <v>39663</v>
      </c>
      <c r="C18268" t="s">
        <v>39664</v>
      </c>
      <c r="D18268" t="s">
        <v>20</v>
      </c>
      <c r="E18268" t="s">
        <v>39</v>
      </c>
      <c r="F18268">
        <v>0</v>
      </c>
      <c r="G18268">
        <v>0</v>
      </c>
      <c r="H18268">
        <v>6</v>
      </c>
      <c r="I18268" s="3">
        <v>3404.27</v>
      </c>
      <c r="J18268" s="3">
        <v>763.5</v>
      </c>
      <c r="L18268">
        <v>152</v>
      </c>
      <c r="M18268" t="s">
        <v>39665</v>
      </c>
      <c r="N18268" t="s">
        <v>30</v>
      </c>
      <c r="O18268" t="s">
        <v>31</v>
      </c>
      <c r="P18268" t="str">
        <f>"15214"</f>
        <v>15214</v>
      </c>
    </row>
    <row r="18269" spans="1:16" x14ac:dyDescent="0.25">
      <c r="A18269" t="str">
        <f>"1260163B00037    00"</f>
        <v>1260163B00037    00</v>
      </c>
      <c r="B18269" t="s">
        <v>39666</v>
      </c>
      <c r="C18269" t="s">
        <v>39667</v>
      </c>
      <c r="E18269" t="s">
        <v>39</v>
      </c>
      <c r="F18269">
        <v>0</v>
      </c>
      <c r="G18269">
        <v>0</v>
      </c>
      <c r="H18269">
        <v>3</v>
      </c>
      <c r="I18269" s="3">
        <v>504.72</v>
      </c>
      <c r="J18269" s="3">
        <v>146.47999999999999</v>
      </c>
      <c r="K18269" t="s">
        <v>28174</v>
      </c>
      <c r="L18269">
        <v>1950</v>
      </c>
      <c r="M18269" t="s">
        <v>28175</v>
      </c>
      <c r="N18269" t="s">
        <v>422</v>
      </c>
      <c r="O18269" t="s">
        <v>423</v>
      </c>
      <c r="P18269" t="str">
        <f>"08003"</f>
        <v>08003</v>
      </c>
    </row>
    <row r="18270" spans="1:16" x14ac:dyDescent="0.25">
      <c r="A18270" t="str">
        <f>"1260163E00029    00"</f>
        <v>1260163E00029    00</v>
      </c>
      <c r="B18270" t="s">
        <v>39668</v>
      </c>
      <c r="C18270" t="s">
        <v>39669</v>
      </c>
      <c r="D18270" t="s">
        <v>20</v>
      </c>
      <c r="E18270" t="s">
        <v>39</v>
      </c>
      <c r="F18270">
        <v>0</v>
      </c>
      <c r="G18270">
        <v>0</v>
      </c>
      <c r="H18270">
        <v>1</v>
      </c>
      <c r="I18270" s="3">
        <v>1349.45</v>
      </c>
      <c r="J18270" s="3">
        <v>0</v>
      </c>
      <c r="L18270">
        <v>159</v>
      </c>
      <c r="M18270" t="s">
        <v>39670</v>
      </c>
      <c r="N18270" t="s">
        <v>30</v>
      </c>
      <c r="O18270" t="s">
        <v>31</v>
      </c>
      <c r="P18270" t="str">
        <f>"15214"</f>
        <v>15214</v>
      </c>
    </row>
    <row r="18271" spans="1:16" x14ac:dyDescent="0.25">
      <c r="A18271" t="str">
        <f>"1260163E00066000100"</f>
        <v>1260163E00066000100</v>
      </c>
      <c r="B18271" t="s">
        <v>39671</v>
      </c>
      <c r="C18271" t="s">
        <v>39672</v>
      </c>
      <c r="E18271" t="s">
        <v>39</v>
      </c>
      <c r="F18271">
        <v>0</v>
      </c>
      <c r="G18271">
        <v>0</v>
      </c>
      <c r="H18271">
        <v>1</v>
      </c>
      <c r="I18271" s="3">
        <v>45.82</v>
      </c>
      <c r="J18271" s="3">
        <v>0</v>
      </c>
      <c r="L18271">
        <v>4455</v>
      </c>
      <c r="M18271" t="s">
        <v>39673</v>
      </c>
      <c r="N18271" t="s">
        <v>30</v>
      </c>
      <c r="O18271" t="s">
        <v>31</v>
      </c>
      <c r="P18271" t="str">
        <f>"15214"</f>
        <v>15214</v>
      </c>
    </row>
    <row r="18272" spans="1:16" x14ac:dyDescent="0.25">
      <c r="A18272" t="str">
        <f>"1260163E00110    00"</f>
        <v>1260163E00110    00</v>
      </c>
      <c r="B18272" t="s">
        <v>39674</v>
      </c>
      <c r="C18272" t="s">
        <v>39675</v>
      </c>
      <c r="E18272" t="s">
        <v>39</v>
      </c>
      <c r="F18272">
        <v>0</v>
      </c>
      <c r="G18272">
        <v>0</v>
      </c>
      <c r="H18272">
        <v>1</v>
      </c>
      <c r="I18272" s="3">
        <v>322.76</v>
      </c>
      <c r="J18272" s="3">
        <v>158.68</v>
      </c>
      <c r="K18272" t="s">
        <v>2302</v>
      </c>
      <c r="L18272">
        <v>3001</v>
      </c>
      <c r="M18272" t="s">
        <v>330</v>
      </c>
      <c r="N18272" t="s">
        <v>331</v>
      </c>
      <c r="O18272" t="s">
        <v>108</v>
      </c>
      <c r="P18272" t="str">
        <f>"75063"</f>
        <v>75063</v>
      </c>
    </row>
    <row r="18273" spans="1:16" x14ac:dyDescent="0.25">
      <c r="A18273" t="str">
        <f>"1260163E00116    00"</f>
        <v>1260163E00116    00</v>
      </c>
      <c r="B18273" t="s">
        <v>39676</v>
      </c>
      <c r="C18273" t="s">
        <v>39677</v>
      </c>
      <c r="D18273" t="s">
        <v>20</v>
      </c>
      <c r="E18273" t="s">
        <v>39</v>
      </c>
      <c r="F18273">
        <v>0</v>
      </c>
      <c r="G18273">
        <v>0</v>
      </c>
      <c r="H18273">
        <v>1</v>
      </c>
      <c r="I18273" s="3">
        <v>972.06</v>
      </c>
      <c r="J18273" s="3">
        <v>0</v>
      </c>
      <c r="L18273">
        <v>2206</v>
      </c>
      <c r="M18273" t="s">
        <v>39678</v>
      </c>
      <c r="N18273" t="s">
        <v>1067</v>
      </c>
      <c r="O18273" t="s">
        <v>31</v>
      </c>
      <c r="P18273" t="str">
        <f>"15143"</f>
        <v>15143</v>
      </c>
    </row>
    <row r="18274" spans="1:16" x14ac:dyDescent="0.25">
      <c r="A18274" t="str">
        <f>"1260163E00117    00"</f>
        <v>1260163E00117    00</v>
      </c>
      <c r="B18274" t="s">
        <v>39679</v>
      </c>
      <c r="C18274" t="s">
        <v>39680</v>
      </c>
      <c r="D18274" t="s">
        <v>20</v>
      </c>
      <c r="E18274" t="s">
        <v>39</v>
      </c>
      <c r="F18274">
        <v>0</v>
      </c>
      <c r="G18274">
        <v>0</v>
      </c>
      <c r="H18274">
        <v>2</v>
      </c>
      <c r="I18274" s="3">
        <v>911.29</v>
      </c>
      <c r="J18274" s="3">
        <v>0</v>
      </c>
      <c r="L18274">
        <v>2206</v>
      </c>
      <c r="M18274" t="s">
        <v>39678</v>
      </c>
      <c r="N18274" t="s">
        <v>1067</v>
      </c>
      <c r="O18274" t="s">
        <v>31</v>
      </c>
      <c r="P18274" t="str">
        <f>"15143"</f>
        <v>15143</v>
      </c>
    </row>
    <row r="18275" spans="1:16" x14ac:dyDescent="0.25">
      <c r="A18275" t="str">
        <f>"1260163E00121    00"</f>
        <v>1260163E00121    00</v>
      </c>
      <c r="B18275" t="s">
        <v>39681</v>
      </c>
      <c r="C18275" t="s">
        <v>39682</v>
      </c>
      <c r="D18275" t="s">
        <v>20</v>
      </c>
      <c r="E18275" t="s">
        <v>39</v>
      </c>
      <c r="F18275">
        <v>0</v>
      </c>
      <c r="G18275">
        <v>0</v>
      </c>
      <c r="H18275">
        <v>3</v>
      </c>
      <c r="I18275" s="3">
        <v>1279.58</v>
      </c>
      <c r="J18275" s="3">
        <v>97.14</v>
      </c>
      <c r="K18275" t="s">
        <v>39683</v>
      </c>
      <c r="L18275">
        <v>109</v>
      </c>
      <c r="M18275" t="s">
        <v>39684</v>
      </c>
      <c r="N18275" t="s">
        <v>25890</v>
      </c>
      <c r="O18275" t="s">
        <v>31</v>
      </c>
      <c r="P18275" t="str">
        <f>"15144"</f>
        <v>15144</v>
      </c>
    </row>
    <row r="18276" spans="1:16" x14ac:dyDescent="0.25">
      <c r="A18276" t="str">
        <f>"1260163E00124    00"</f>
        <v>1260163E00124    00</v>
      </c>
      <c r="B18276" t="s">
        <v>39685</v>
      </c>
      <c r="C18276" t="s">
        <v>39686</v>
      </c>
      <c r="D18276" t="s">
        <v>20</v>
      </c>
      <c r="E18276" t="s">
        <v>39</v>
      </c>
      <c r="F18276">
        <v>0</v>
      </c>
      <c r="G18276">
        <v>0</v>
      </c>
      <c r="H18276">
        <v>2</v>
      </c>
      <c r="I18276" s="3">
        <v>1579.18</v>
      </c>
      <c r="J18276" s="3">
        <v>0</v>
      </c>
      <c r="K18276" t="s">
        <v>39687</v>
      </c>
      <c r="L18276">
        <v>4487</v>
      </c>
      <c r="M18276" t="s">
        <v>39688</v>
      </c>
      <c r="N18276" t="s">
        <v>30</v>
      </c>
      <c r="O18276" t="s">
        <v>31</v>
      </c>
      <c r="P18276" t="str">
        <f>"15214"</f>
        <v>15214</v>
      </c>
    </row>
    <row r="18277" spans="1:16" x14ac:dyDescent="0.25">
      <c r="A18277" t="str">
        <f>"1260163E00145    00"</f>
        <v>1260163E00145    00</v>
      </c>
      <c r="B18277" t="s">
        <v>39689</v>
      </c>
      <c r="C18277" t="s">
        <v>39690</v>
      </c>
      <c r="E18277" t="s">
        <v>39</v>
      </c>
      <c r="F18277">
        <v>0</v>
      </c>
      <c r="G18277">
        <v>0</v>
      </c>
      <c r="H18277">
        <v>1</v>
      </c>
      <c r="I18277" s="3">
        <v>293.93</v>
      </c>
      <c r="J18277" s="3">
        <v>80.83</v>
      </c>
      <c r="L18277">
        <v>4464</v>
      </c>
      <c r="M18277" t="s">
        <v>39688</v>
      </c>
      <c r="N18277" t="s">
        <v>30</v>
      </c>
      <c r="O18277" t="s">
        <v>31</v>
      </c>
      <c r="P18277" t="str">
        <f>"15214"</f>
        <v>15214</v>
      </c>
    </row>
    <row r="18278" spans="1:16" x14ac:dyDescent="0.25">
      <c r="A18278" t="str">
        <f>"1260163F00027    00"</f>
        <v>1260163F00027    00</v>
      </c>
      <c r="B18278" t="s">
        <v>39691</v>
      </c>
      <c r="C18278" t="s">
        <v>39692</v>
      </c>
      <c r="D18278" t="s">
        <v>20</v>
      </c>
      <c r="E18278" t="s">
        <v>39</v>
      </c>
      <c r="F18278">
        <v>0</v>
      </c>
      <c r="G18278">
        <v>0</v>
      </c>
      <c r="H18278">
        <v>19</v>
      </c>
      <c r="I18278" s="3">
        <v>5743.92</v>
      </c>
      <c r="J18278" s="3">
        <v>6766.16</v>
      </c>
      <c r="L18278">
        <v>1626</v>
      </c>
      <c r="M18278" t="s">
        <v>39693</v>
      </c>
      <c r="N18278" t="s">
        <v>39694</v>
      </c>
      <c r="O18278" t="s">
        <v>370</v>
      </c>
      <c r="P18278" t="str">
        <f>"32796"</f>
        <v>32796</v>
      </c>
    </row>
    <row r="18279" spans="1:16" x14ac:dyDescent="0.25">
      <c r="A18279" t="str">
        <f>"1260163F00029    00"</f>
        <v>1260163F00029    00</v>
      </c>
      <c r="B18279" t="s">
        <v>39691</v>
      </c>
      <c r="C18279" t="s">
        <v>39695</v>
      </c>
      <c r="D18279" t="s">
        <v>20</v>
      </c>
      <c r="E18279" t="s">
        <v>39</v>
      </c>
      <c r="F18279">
        <v>0</v>
      </c>
      <c r="G18279">
        <v>0</v>
      </c>
      <c r="H18279">
        <v>19</v>
      </c>
      <c r="I18279" s="3">
        <v>6436.63</v>
      </c>
      <c r="J18279" s="3">
        <v>7220.76</v>
      </c>
      <c r="L18279">
        <v>1626</v>
      </c>
      <c r="M18279" t="s">
        <v>39693</v>
      </c>
      <c r="N18279" t="s">
        <v>39694</v>
      </c>
      <c r="O18279" t="s">
        <v>370</v>
      </c>
      <c r="P18279" t="str">
        <f>"32796"</f>
        <v>32796</v>
      </c>
    </row>
    <row r="18280" spans="1:16" x14ac:dyDescent="0.25">
      <c r="A18280" t="str">
        <f>"1260163F00052    00"</f>
        <v>1260163F00052    00</v>
      </c>
      <c r="B18280" t="s">
        <v>39696</v>
      </c>
      <c r="C18280" t="s">
        <v>39697</v>
      </c>
      <c r="D18280" t="s">
        <v>20</v>
      </c>
      <c r="E18280" t="s">
        <v>39</v>
      </c>
      <c r="F18280">
        <v>0</v>
      </c>
      <c r="G18280">
        <v>0</v>
      </c>
      <c r="H18280">
        <v>5</v>
      </c>
      <c r="I18280" s="3">
        <v>6692.49</v>
      </c>
      <c r="J18280" s="3">
        <v>1196.69</v>
      </c>
      <c r="L18280">
        <v>4449</v>
      </c>
      <c r="M18280" t="s">
        <v>39698</v>
      </c>
      <c r="N18280" t="s">
        <v>30</v>
      </c>
      <c r="O18280" t="s">
        <v>31</v>
      </c>
      <c r="P18280" t="str">
        <f>"15214"</f>
        <v>15214</v>
      </c>
    </row>
    <row r="18281" spans="1:16" x14ac:dyDescent="0.25">
      <c r="A18281" t="str">
        <f>"1260163F00108    00"</f>
        <v>1260163F00108    00</v>
      </c>
      <c r="B18281" t="s">
        <v>39699</v>
      </c>
      <c r="C18281" t="s">
        <v>39700</v>
      </c>
      <c r="D18281" t="s">
        <v>57</v>
      </c>
      <c r="E18281" t="s">
        <v>39</v>
      </c>
      <c r="F18281">
        <v>0</v>
      </c>
      <c r="G18281">
        <v>0</v>
      </c>
      <c r="H18281">
        <v>1</v>
      </c>
      <c r="I18281" s="3">
        <v>103.27</v>
      </c>
      <c r="J18281" s="3">
        <v>0</v>
      </c>
      <c r="L18281">
        <v>4456</v>
      </c>
      <c r="M18281" t="s">
        <v>39698</v>
      </c>
      <c r="N18281" t="s">
        <v>30</v>
      </c>
      <c r="O18281" t="s">
        <v>31</v>
      </c>
      <c r="P18281" t="str">
        <f>"15214"</f>
        <v>15214</v>
      </c>
    </row>
    <row r="18282" spans="1:16" x14ac:dyDescent="0.25">
      <c r="A18282" t="str">
        <f>"1260163F00182    00"</f>
        <v>1260163F00182    00</v>
      </c>
      <c r="B18282" t="s">
        <v>39701</v>
      </c>
      <c r="C18282" t="s">
        <v>39702</v>
      </c>
      <c r="D18282" t="s">
        <v>20</v>
      </c>
      <c r="E18282" t="s">
        <v>39</v>
      </c>
      <c r="F18282">
        <v>0</v>
      </c>
      <c r="G18282">
        <v>0</v>
      </c>
      <c r="H18282">
        <v>1</v>
      </c>
      <c r="I18282" s="3">
        <v>1395.67</v>
      </c>
      <c r="J18282" s="3">
        <v>0</v>
      </c>
      <c r="L18282">
        <v>4437</v>
      </c>
      <c r="M18282" t="s">
        <v>39703</v>
      </c>
      <c r="N18282" t="s">
        <v>30</v>
      </c>
      <c r="O18282" t="s">
        <v>31</v>
      </c>
      <c r="P18282" t="str">
        <f>"15214"</f>
        <v>15214</v>
      </c>
    </row>
    <row r="18283" spans="1:16" x14ac:dyDescent="0.25">
      <c r="A18283" t="str">
        <f>"1260163F00297    00"</f>
        <v>1260163F00297    00</v>
      </c>
      <c r="B18283" t="s">
        <v>39704</v>
      </c>
      <c r="C18283" t="s">
        <v>39705</v>
      </c>
      <c r="D18283" t="s">
        <v>20</v>
      </c>
      <c r="E18283" t="s">
        <v>39</v>
      </c>
      <c r="F18283">
        <v>0</v>
      </c>
      <c r="G18283">
        <v>0</v>
      </c>
      <c r="H18283">
        <v>1</v>
      </c>
      <c r="I18283" s="3">
        <v>1575.98</v>
      </c>
      <c r="J18283" s="3">
        <v>0</v>
      </c>
      <c r="L18283">
        <v>403</v>
      </c>
      <c r="M18283" t="s">
        <v>39670</v>
      </c>
      <c r="N18283" t="s">
        <v>30</v>
      </c>
      <c r="O18283" t="s">
        <v>31</v>
      </c>
      <c r="P18283" t="str">
        <f>"15214"</f>
        <v>15214</v>
      </c>
    </row>
    <row r="18284" spans="1:16" x14ac:dyDescent="0.25">
      <c r="A18284" t="str">
        <f>"1260163G00050    00"</f>
        <v>1260163G00050    00</v>
      </c>
      <c r="B18284" t="s">
        <v>39706</v>
      </c>
      <c r="C18284" t="s">
        <v>39707</v>
      </c>
      <c r="E18284" t="s">
        <v>39</v>
      </c>
      <c r="F18284">
        <v>0</v>
      </c>
      <c r="G18284">
        <v>0</v>
      </c>
      <c r="H18284">
        <v>1</v>
      </c>
      <c r="I18284" s="3">
        <v>90.75</v>
      </c>
      <c r="J18284" s="3">
        <v>80.16</v>
      </c>
      <c r="L18284">
        <v>99</v>
      </c>
      <c r="M18284" t="s">
        <v>39708</v>
      </c>
      <c r="N18284" t="s">
        <v>2222</v>
      </c>
      <c r="O18284" t="s">
        <v>31</v>
      </c>
      <c r="P18284" t="str">
        <f>"15015"</f>
        <v>15015</v>
      </c>
    </row>
    <row r="18285" spans="1:16" x14ac:dyDescent="0.25">
      <c r="A18285" t="str">
        <f>"1260163G00069    00"</f>
        <v>1260163G00069    00</v>
      </c>
      <c r="B18285" t="s">
        <v>39709</v>
      </c>
      <c r="C18285" t="s">
        <v>39710</v>
      </c>
      <c r="D18285" t="s">
        <v>20</v>
      </c>
      <c r="E18285" t="s">
        <v>39</v>
      </c>
      <c r="F18285">
        <v>0</v>
      </c>
      <c r="G18285">
        <v>0</v>
      </c>
      <c r="H18285">
        <v>2</v>
      </c>
      <c r="I18285" s="3">
        <v>1870.98</v>
      </c>
      <c r="J18285" s="3">
        <v>0</v>
      </c>
      <c r="L18285">
        <v>4632</v>
      </c>
      <c r="M18285" t="s">
        <v>39711</v>
      </c>
      <c r="N18285" t="s">
        <v>30</v>
      </c>
      <c r="O18285" t="s">
        <v>31</v>
      </c>
      <c r="P18285" t="str">
        <f>"15214"</f>
        <v>15214</v>
      </c>
    </row>
    <row r="18286" spans="1:16" x14ac:dyDescent="0.25">
      <c r="A18286" t="str">
        <f>"1260163J00322    00"</f>
        <v>1260163J00322    00</v>
      </c>
      <c r="B18286" t="s">
        <v>39712</v>
      </c>
      <c r="C18286" t="s">
        <v>39713</v>
      </c>
      <c r="D18286" t="s">
        <v>20</v>
      </c>
      <c r="E18286" t="s">
        <v>39</v>
      </c>
      <c r="F18286">
        <v>0</v>
      </c>
      <c r="G18286">
        <v>0</v>
      </c>
      <c r="H18286">
        <v>2</v>
      </c>
      <c r="I18286" s="3">
        <v>1461.28</v>
      </c>
      <c r="J18286" s="3">
        <v>0</v>
      </c>
      <c r="L18286">
        <v>110</v>
      </c>
      <c r="M18286" t="s">
        <v>39714</v>
      </c>
      <c r="N18286" t="s">
        <v>30</v>
      </c>
      <c r="O18286" t="s">
        <v>31</v>
      </c>
      <c r="P18286" t="str">
        <f>"15229"</f>
        <v>15229</v>
      </c>
    </row>
    <row r="18287" spans="1:16" x14ac:dyDescent="0.25">
      <c r="A18287" t="str">
        <f>"1260163L00023    00"</f>
        <v>1260163L00023    00</v>
      </c>
      <c r="B18287" t="s">
        <v>39715</v>
      </c>
      <c r="C18287" t="s">
        <v>39716</v>
      </c>
      <c r="D18287" t="s">
        <v>20</v>
      </c>
      <c r="E18287" t="s">
        <v>39</v>
      </c>
      <c r="F18287">
        <v>0</v>
      </c>
      <c r="G18287">
        <v>0</v>
      </c>
      <c r="H18287">
        <v>19</v>
      </c>
      <c r="I18287" s="3">
        <v>3986.95</v>
      </c>
      <c r="J18287" s="3">
        <v>5504.31</v>
      </c>
      <c r="P18287" t="str">
        <f>""</f>
        <v/>
      </c>
    </row>
    <row r="18288" spans="1:16" x14ac:dyDescent="0.25">
      <c r="A18288" t="str">
        <f>"1260163L00031    00"</f>
        <v>1260163L00031    00</v>
      </c>
      <c r="B18288" t="s">
        <v>39717</v>
      </c>
      <c r="C18288" t="s">
        <v>39718</v>
      </c>
      <c r="D18288" t="s">
        <v>20</v>
      </c>
      <c r="E18288" t="s">
        <v>39</v>
      </c>
      <c r="F18288">
        <v>0</v>
      </c>
      <c r="G18288">
        <v>0</v>
      </c>
      <c r="H18288">
        <v>5</v>
      </c>
      <c r="I18288" s="3">
        <v>2696.29</v>
      </c>
      <c r="J18288" s="3">
        <v>423.51</v>
      </c>
      <c r="K18288" t="s">
        <v>39719</v>
      </c>
      <c r="L18288">
        <v>164</v>
      </c>
      <c r="M18288" t="s">
        <v>15347</v>
      </c>
      <c r="N18288" t="s">
        <v>30</v>
      </c>
      <c r="O18288" t="s">
        <v>31</v>
      </c>
      <c r="P18288" t="str">
        <f>"15229"</f>
        <v>15229</v>
      </c>
    </row>
    <row r="18289" spans="1:16" x14ac:dyDescent="0.25">
      <c r="A18289" t="str">
        <f>"1260163L00064    00"</f>
        <v>1260163L00064    00</v>
      </c>
      <c r="B18289" t="s">
        <v>39720</v>
      </c>
      <c r="C18289" t="s">
        <v>39561</v>
      </c>
      <c r="D18289" t="s">
        <v>20</v>
      </c>
      <c r="E18289" t="s">
        <v>39</v>
      </c>
      <c r="F18289">
        <v>0</v>
      </c>
      <c r="G18289">
        <v>0</v>
      </c>
      <c r="H18289">
        <v>19</v>
      </c>
      <c r="I18289" s="3">
        <v>2818.24</v>
      </c>
      <c r="J18289" s="3">
        <v>2429.83</v>
      </c>
      <c r="K18289" t="s">
        <v>39721</v>
      </c>
      <c r="L18289">
        <v>116</v>
      </c>
      <c r="M18289" t="s">
        <v>39722</v>
      </c>
      <c r="N18289" t="s">
        <v>30</v>
      </c>
      <c r="O18289" t="s">
        <v>31</v>
      </c>
      <c r="P18289" t="str">
        <f>"15212"</f>
        <v>15212</v>
      </c>
    </row>
    <row r="18290" spans="1:16" x14ac:dyDescent="0.25">
      <c r="A18290" t="str">
        <f>"1260163L00120    00"</f>
        <v>1260163L00120    00</v>
      </c>
      <c r="B18290" t="s">
        <v>39723</v>
      </c>
      <c r="C18290" t="s">
        <v>39724</v>
      </c>
      <c r="D18290" t="s">
        <v>20</v>
      </c>
      <c r="E18290" t="s">
        <v>39</v>
      </c>
      <c r="F18290">
        <v>0</v>
      </c>
      <c r="G18290">
        <v>0</v>
      </c>
      <c r="H18290">
        <v>1</v>
      </c>
      <c r="I18290" s="3">
        <v>35.96</v>
      </c>
      <c r="J18290" s="3">
        <v>0.3</v>
      </c>
      <c r="K18290" t="s">
        <v>1135</v>
      </c>
      <c r="L18290">
        <v>3001</v>
      </c>
      <c r="M18290" t="s">
        <v>330</v>
      </c>
      <c r="N18290" t="s">
        <v>331</v>
      </c>
      <c r="O18290" t="s">
        <v>108</v>
      </c>
      <c r="P18290" t="str">
        <f>"75063"</f>
        <v>75063</v>
      </c>
    </row>
    <row r="18291" spans="1:16" x14ac:dyDescent="0.25">
      <c r="A18291" t="str">
        <f>"1260163L00140    00"</f>
        <v>1260163L00140    00</v>
      </c>
      <c r="B18291" t="s">
        <v>39725</v>
      </c>
      <c r="C18291" t="s">
        <v>39726</v>
      </c>
      <c r="E18291" t="s">
        <v>39</v>
      </c>
      <c r="F18291">
        <v>0</v>
      </c>
      <c r="G18291">
        <v>0</v>
      </c>
      <c r="H18291">
        <v>1</v>
      </c>
      <c r="I18291" s="3">
        <v>1126.97</v>
      </c>
      <c r="J18291" s="3">
        <v>0</v>
      </c>
      <c r="L18291">
        <v>4300</v>
      </c>
      <c r="M18291" t="s">
        <v>39727</v>
      </c>
      <c r="N18291" t="s">
        <v>30</v>
      </c>
      <c r="O18291" t="s">
        <v>31</v>
      </c>
      <c r="P18291" t="str">
        <f>"15214"</f>
        <v>15214</v>
      </c>
    </row>
    <row r="18292" spans="1:16" x14ac:dyDescent="0.25">
      <c r="A18292" t="str">
        <f>"1260163L00152    00"</f>
        <v>1260163L00152    00</v>
      </c>
      <c r="B18292" t="s">
        <v>39728</v>
      </c>
      <c r="C18292" t="s">
        <v>39729</v>
      </c>
      <c r="E18292" t="s">
        <v>39</v>
      </c>
      <c r="F18292">
        <v>0</v>
      </c>
      <c r="G18292">
        <v>0</v>
      </c>
      <c r="H18292">
        <v>1</v>
      </c>
      <c r="I18292" s="3">
        <v>409.94</v>
      </c>
      <c r="J18292" s="3">
        <v>0</v>
      </c>
      <c r="L18292">
        <v>4638</v>
      </c>
      <c r="M18292" t="s">
        <v>39711</v>
      </c>
      <c r="N18292" t="s">
        <v>30</v>
      </c>
      <c r="O18292" t="s">
        <v>31</v>
      </c>
      <c r="P18292" t="str">
        <f>"15214"</f>
        <v>15214</v>
      </c>
    </row>
    <row r="18293" spans="1:16" x14ac:dyDescent="0.25">
      <c r="A18293" t="str">
        <f>"1260163N00052    00"</f>
        <v>1260163N00052    00</v>
      </c>
      <c r="B18293" t="s">
        <v>39730</v>
      </c>
      <c r="C18293" t="s">
        <v>39731</v>
      </c>
      <c r="D18293" t="s">
        <v>20</v>
      </c>
      <c r="E18293" t="s">
        <v>39</v>
      </c>
      <c r="F18293">
        <v>0</v>
      </c>
      <c r="G18293">
        <v>0</v>
      </c>
      <c r="H18293">
        <v>1</v>
      </c>
      <c r="I18293" s="3">
        <v>1557.21</v>
      </c>
      <c r="J18293" s="3">
        <v>0</v>
      </c>
      <c r="K18293" t="s">
        <v>39732</v>
      </c>
      <c r="L18293">
        <v>720</v>
      </c>
      <c r="M18293" t="s">
        <v>39733</v>
      </c>
      <c r="N18293" t="s">
        <v>17877</v>
      </c>
      <c r="O18293" t="s">
        <v>31</v>
      </c>
      <c r="P18293" t="str">
        <f>"19611"</f>
        <v>19611</v>
      </c>
    </row>
    <row r="18294" spans="1:16" x14ac:dyDescent="0.25">
      <c r="A18294" t="str">
        <f>"1260163N00094    00"</f>
        <v>1260163N00094    00</v>
      </c>
      <c r="B18294" t="s">
        <v>39734</v>
      </c>
      <c r="C18294" t="s">
        <v>39735</v>
      </c>
      <c r="D18294" t="s">
        <v>20</v>
      </c>
      <c r="E18294" t="s">
        <v>39</v>
      </c>
      <c r="F18294">
        <v>0</v>
      </c>
      <c r="G18294">
        <v>0</v>
      </c>
      <c r="H18294">
        <v>13</v>
      </c>
      <c r="I18294" s="3">
        <v>4866.4799999999996</v>
      </c>
      <c r="J18294" s="3">
        <v>2749.92</v>
      </c>
      <c r="L18294">
        <v>1980</v>
      </c>
      <c r="M18294" t="s">
        <v>39736</v>
      </c>
      <c r="N18294" t="s">
        <v>39737</v>
      </c>
      <c r="O18294" t="s">
        <v>25</v>
      </c>
      <c r="P18294" t="str">
        <f>"44413"</f>
        <v>44413</v>
      </c>
    </row>
    <row r="18295" spans="1:16" x14ac:dyDescent="0.25">
      <c r="A18295" t="str">
        <f>"1260163N00215    00"</f>
        <v>1260163N00215    00</v>
      </c>
      <c r="B18295" t="s">
        <v>39738</v>
      </c>
      <c r="C18295" t="s">
        <v>39739</v>
      </c>
      <c r="D18295" t="s">
        <v>20</v>
      </c>
      <c r="E18295" t="s">
        <v>39</v>
      </c>
      <c r="F18295">
        <v>0</v>
      </c>
      <c r="G18295">
        <v>0</v>
      </c>
      <c r="H18295">
        <v>1</v>
      </c>
      <c r="I18295" s="3">
        <v>45.74</v>
      </c>
      <c r="J18295" s="3">
        <v>0</v>
      </c>
      <c r="K18295" t="s">
        <v>39740</v>
      </c>
      <c r="L18295">
        <v>11102</v>
      </c>
      <c r="M18295" t="s">
        <v>39741</v>
      </c>
      <c r="N18295" t="s">
        <v>39742</v>
      </c>
      <c r="O18295" t="s">
        <v>70</v>
      </c>
      <c r="P18295" t="str">
        <f>"48430"</f>
        <v>48430</v>
      </c>
    </row>
    <row r="18296" spans="1:16" x14ac:dyDescent="0.25">
      <c r="A18296" t="str">
        <f>"1260163P00029    00"</f>
        <v>1260163P00029    00</v>
      </c>
      <c r="B18296" t="s">
        <v>39743</v>
      </c>
      <c r="C18296" t="s">
        <v>39744</v>
      </c>
      <c r="D18296" t="s">
        <v>20</v>
      </c>
      <c r="E18296" t="s">
        <v>39</v>
      </c>
      <c r="F18296">
        <v>0</v>
      </c>
      <c r="G18296">
        <v>0</v>
      </c>
      <c r="H18296">
        <v>1</v>
      </c>
      <c r="I18296" s="3">
        <v>300</v>
      </c>
      <c r="J18296" s="3">
        <v>0</v>
      </c>
      <c r="K18296" t="s">
        <v>39745</v>
      </c>
      <c r="L18296">
        <v>3961</v>
      </c>
      <c r="M18296" t="s">
        <v>36921</v>
      </c>
      <c r="N18296" t="s">
        <v>30</v>
      </c>
      <c r="O18296" t="s">
        <v>31</v>
      </c>
      <c r="P18296" t="str">
        <f>"15214"</f>
        <v>15214</v>
      </c>
    </row>
    <row r="18297" spans="1:16" x14ac:dyDescent="0.25">
      <c r="A18297" t="str">
        <f>"1260163P00093    00"</f>
        <v>1260163P00093    00</v>
      </c>
      <c r="B18297" t="s">
        <v>39746</v>
      </c>
      <c r="C18297" t="s">
        <v>39747</v>
      </c>
      <c r="D18297" t="s">
        <v>20</v>
      </c>
      <c r="E18297" t="s">
        <v>39</v>
      </c>
      <c r="F18297">
        <v>0</v>
      </c>
      <c r="G18297">
        <v>0</v>
      </c>
      <c r="H18297">
        <v>19</v>
      </c>
      <c r="I18297" s="3">
        <v>254.78</v>
      </c>
      <c r="J18297" s="3">
        <v>212.33</v>
      </c>
      <c r="K18297" t="s">
        <v>1037</v>
      </c>
      <c r="L18297">
        <v>3904</v>
      </c>
      <c r="M18297" t="s">
        <v>39748</v>
      </c>
      <c r="N18297" t="s">
        <v>30</v>
      </c>
      <c r="O18297" t="s">
        <v>31</v>
      </c>
      <c r="P18297" t="str">
        <f>"15214"</f>
        <v>15214</v>
      </c>
    </row>
    <row r="18298" spans="1:16" x14ac:dyDescent="0.25">
      <c r="A18298" t="str">
        <f>"1260163P00300    00"</f>
        <v>1260163P00300    00</v>
      </c>
      <c r="B18298" t="s">
        <v>39749</v>
      </c>
      <c r="C18298" t="s">
        <v>39750</v>
      </c>
      <c r="E18298" t="s">
        <v>39</v>
      </c>
      <c r="F18298">
        <v>0</v>
      </c>
      <c r="G18298">
        <v>0</v>
      </c>
      <c r="H18298">
        <v>1</v>
      </c>
      <c r="I18298" s="3">
        <v>1542.75</v>
      </c>
      <c r="J18298" s="3">
        <v>1234.1500000000001</v>
      </c>
      <c r="L18298">
        <v>4172</v>
      </c>
      <c r="M18298" t="s">
        <v>39751</v>
      </c>
      <c r="N18298" t="s">
        <v>30</v>
      </c>
      <c r="O18298" t="s">
        <v>31</v>
      </c>
      <c r="P18298" t="str">
        <f>"15214"</f>
        <v>15214</v>
      </c>
    </row>
    <row r="18299" spans="1:16" x14ac:dyDescent="0.25">
      <c r="A18299" t="str">
        <f>"1260163R00001    00"</f>
        <v>1260163R00001    00</v>
      </c>
      <c r="B18299" t="s">
        <v>39752</v>
      </c>
      <c r="C18299" t="s">
        <v>39753</v>
      </c>
      <c r="D18299" t="s">
        <v>20</v>
      </c>
      <c r="E18299" t="s">
        <v>39</v>
      </c>
      <c r="F18299">
        <v>0</v>
      </c>
      <c r="G18299">
        <v>0</v>
      </c>
      <c r="H18299">
        <v>2</v>
      </c>
      <c r="I18299" s="3">
        <v>2162.38</v>
      </c>
      <c r="J18299" s="3">
        <v>0</v>
      </c>
      <c r="K18299" t="s">
        <v>39754</v>
      </c>
      <c r="L18299">
        <v>4200</v>
      </c>
      <c r="M18299" t="s">
        <v>36921</v>
      </c>
      <c r="N18299" t="s">
        <v>30</v>
      </c>
      <c r="O18299" t="s">
        <v>31</v>
      </c>
      <c r="P18299" t="str">
        <f>"15214"</f>
        <v>15214</v>
      </c>
    </row>
    <row r="18300" spans="1:16" x14ac:dyDescent="0.25">
      <c r="A18300" t="str">
        <f>"1270044C00100    00"</f>
        <v>1270044C00100    00</v>
      </c>
      <c r="B18300" t="s">
        <v>39755</v>
      </c>
      <c r="C18300" t="s">
        <v>39756</v>
      </c>
      <c r="E18300" t="s">
        <v>290</v>
      </c>
      <c r="F18300">
        <v>0</v>
      </c>
      <c r="G18300">
        <v>0</v>
      </c>
      <c r="H18300">
        <v>2</v>
      </c>
      <c r="I18300" s="3">
        <v>730867.12</v>
      </c>
      <c r="J18300" s="3">
        <v>27406.42</v>
      </c>
      <c r="L18300">
        <v>11440</v>
      </c>
      <c r="M18300" t="s">
        <v>39757</v>
      </c>
      <c r="N18300" t="s">
        <v>8912</v>
      </c>
      <c r="O18300" t="s">
        <v>495</v>
      </c>
      <c r="P18300" t="str">
        <f>"92127"</f>
        <v>92127</v>
      </c>
    </row>
    <row r="18301" spans="1:16" x14ac:dyDescent="0.25">
      <c r="A18301" t="str">
        <f>"1270044C00144    00"</f>
        <v>1270044C00144    00</v>
      </c>
      <c r="B18301" t="s">
        <v>836</v>
      </c>
      <c r="C18301" t="s">
        <v>39758</v>
      </c>
      <c r="D18301" t="s">
        <v>20</v>
      </c>
      <c r="E18301" t="s">
        <v>21</v>
      </c>
      <c r="F18301">
        <v>0</v>
      </c>
      <c r="G18301">
        <v>0</v>
      </c>
      <c r="H18301">
        <v>1</v>
      </c>
      <c r="I18301" s="3">
        <v>381.2</v>
      </c>
      <c r="J18301" s="3">
        <v>0</v>
      </c>
      <c r="K18301" t="s">
        <v>34588</v>
      </c>
      <c r="L18301">
        <v>1251</v>
      </c>
      <c r="M18301" t="s">
        <v>34589</v>
      </c>
      <c r="N18301" t="s">
        <v>30</v>
      </c>
      <c r="O18301" t="s">
        <v>31</v>
      </c>
      <c r="P18301" t="str">
        <f>"15222"</f>
        <v>15222</v>
      </c>
    </row>
    <row r="18302" spans="1:16" x14ac:dyDescent="0.25">
      <c r="A18302" t="str">
        <f>"1270044C00243    00"</f>
        <v>1270044C00243    00</v>
      </c>
      <c r="B18302" t="s">
        <v>39759</v>
      </c>
      <c r="C18302" t="s">
        <v>39760</v>
      </c>
      <c r="D18302" t="s">
        <v>20</v>
      </c>
      <c r="E18302" t="s">
        <v>39</v>
      </c>
      <c r="F18302">
        <v>0</v>
      </c>
      <c r="G18302">
        <v>0</v>
      </c>
      <c r="H18302">
        <v>13</v>
      </c>
      <c r="I18302" s="3">
        <v>4749.78</v>
      </c>
      <c r="J18302" s="3">
        <v>5066.55</v>
      </c>
      <c r="L18302">
        <v>3017</v>
      </c>
      <c r="M18302" t="s">
        <v>39761</v>
      </c>
      <c r="N18302" t="s">
        <v>30</v>
      </c>
      <c r="O18302" t="s">
        <v>31</v>
      </c>
      <c r="P18302" t="str">
        <f>"15212"</f>
        <v>15212</v>
      </c>
    </row>
    <row r="18303" spans="1:16" x14ac:dyDescent="0.25">
      <c r="A18303" t="str">
        <f>"1270044C00244    00"</f>
        <v>1270044C00244    00</v>
      </c>
      <c r="B18303" t="s">
        <v>39762</v>
      </c>
      <c r="C18303" t="s">
        <v>39763</v>
      </c>
      <c r="D18303" t="s">
        <v>20</v>
      </c>
      <c r="E18303" t="s">
        <v>21</v>
      </c>
      <c r="F18303">
        <v>0</v>
      </c>
      <c r="G18303">
        <v>0</v>
      </c>
      <c r="H18303">
        <v>7</v>
      </c>
      <c r="I18303" s="3">
        <v>6412.98</v>
      </c>
      <c r="J18303" s="3">
        <v>2180.3000000000002</v>
      </c>
      <c r="K18303" t="s">
        <v>39764</v>
      </c>
      <c r="L18303">
        <v>3136</v>
      </c>
      <c r="M18303" t="s">
        <v>37050</v>
      </c>
      <c r="N18303" t="s">
        <v>30</v>
      </c>
      <c r="O18303" t="s">
        <v>31</v>
      </c>
      <c r="P18303" t="str">
        <f>"15212"</f>
        <v>15212</v>
      </c>
    </row>
    <row r="18304" spans="1:16" x14ac:dyDescent="0.25">
      <c r="A18304" t="str">
        <f>"1270044C00300    01"</f>
        <v>1270044C00300    01</v>
      </c>
      <c r="B18304" t="s">
        <v>836</v>
      </c>
      <c r="C18304" t="s">
        <v>39758</v>
      </c>
      <c r="D18304" t="s">
        <v>20</v>
      </c>
      <c r="E18304" t="s">
        <v>21</v>
      </c>
      <c r="F18304">
        <v>0</v>
      </c>
      <c r="G18304">
        <v>0</v>
      </c>
      <c r="H18304">
        <v>1</v>
      </c>
      <c r="I18304" s="3">
        <v>20.98</v>
      </c>
      <c r="J18304" s="3">
        <v>0</v>
      </c>
      <c r="K18304" t="s">
        <v>34588</v>
      </c>
      <c r="L18304">
        <v>1251</v>
      </c>
      <c r="M18304" t="s">
        <v>34589</v>
      </c>
      <c r="N18304" t="s">
        <v>30</v>
      </c>
      <c r="O18304" t="s">
        <v>31</v>
      </c>
      <c r="P18304" t="str">
        <f>"15222"</f>
        <v>15222</v>
      </c>
    </row>
    <row r="18305" spans="1:16" x14ac:dyDescent="0.25">
      <c r="A18305" t="str">
        <f>"1270044D00006    00"</f>
        <v>1270044D00006    00</v>
      </c>
      <c r="B18305" t="s">
        <v>39765</v>
      </c>
      <c r="C18305" t="s">
        <v>39766</v>
      </c>
      <c r="D18305" t="s">
        <v>20</v>
      </c>
      <c r="E18305" t="s">
        <v>39</v>
      </c>
      <c r="F18305">
        <v>0</v>
      </c>
      <c r="G18305">
        <v>0</v>
      </c>
      <c r="H18305">
        <v>7</v>
      </c>
      <c r="I18305" s="3">
        <v>5329.77</v>
      </c>
      <c r="J18305" s="3">
        <v>1158.97</v>
      </c>
      <c r="L18305">
        <v>918</v>
      </c>
      <c r="M18305" t="s">
        <v>4776</v>
      </c>
      <c r="N18305" t="s">
        <v>30</v>
      </c>
      <c r="O18305" t="s">
        <v>31</v>
      </c>
      <c r="P18305" t="str">
        <f>"15212"</f>
        <v>15212</v>
      </c>
    </row>
    <row r="18306" spans="1:16" x14ac:dyDescent="0.25">
      <c r="A18306" t="str">
        <f>"1270044D00021    00"</f>
        <v>1270044D00021    00</v>
      </c>
      <c r="B18306" t="s">
        <v>39767</v>
      </c>
      <c r="C18306" t="s">
        <v>39768</v>
      </c>
      <c r="E18306" t="s">
        <v>39</v>
      </c>
      <c r="F18306">
        <v>0</v>
      </c>
      <c r="G18306">
        <v>0</v>
      </c>
      <c r="H18306">
        <v>1</v>
      </c>
      <c r="I18306" s="3">
        <v>728.09</v>
      </c>
      <c r="J18306" s="3">
        <v>145.62</v>
      </c>
      <c r="L18306">
        <v>1950</v>
      </c>
      <c r="M18306" t="s">
        <v>39769</v>
      </c>
      <c r="N18306" t="s">
        <v>7090</v>
      </c>
      <c r="O18306" t="s">
        <v>495</v>
      </c>
      <c r="P18306" t="str">
        <f>"92801"</f>
        <v>92801</v>
      </c>
    </row>
    <row r="18307" spans="1:16" x14ac:dyDescent="0.25">
      <c r="A18307" t="str">
        <f>"1270044D00023    00"</f>
        <v>1270044D00023    00</v>
      </c>
      <c r="B18307" t="s">
        <v>39770</v>
      </c>
      <c r="C18307" t="s">
        <v>39771</v>
      </c>
      <c r="D18307" t="s">
        <v>20</v>
      </c>
      <c r="E18307" t="s">
        <v>39</v>
      </c>
      <c r="F18307">
        <v>0</v>
      </c>
      <c r="G18307">
        <v>0</v>
      </c>
      <c r="H18307">
        <v>19</v>
      </c>
      <c r="I18307" s="3">
        <v>5519.16</v>
      </c>
      <c r="J18307" s="3">
        <v>4730.42</v>
      </c>
      <c r="K18307" t="s">
        <v>39772</v>
      </c>
      <c r="L18307">
        <v>513</v>
      </c>
      <c r="M18307" t="s">
        <v>39773</v>
      </c>
      <c r="N18307" t="s">
        <v>30</v>
      </c>
      <c r="O18307" t="s">
        <v>31</v>
      </c>
      <c r="P18307" t="str">
        <f>"15205"</f>
        <v>15205</v>
      </c>
    </row>
    <row r="18308" spans="1:16" x14ac:dyDescent="0.25">
      <c r="A18308" t="str">
        <f>"1270044D00025    00"</f>
        <v>1270044D00025    00</v>
      </c>
      <c r="B18308" t="s">
        <v>39774</v>
      </c>
      <c r="C18308" t="s">
        <v>39775</v>
      </c>
      <c r="D18308" t="s">
        <v>20</v>
      </c>
      <c r="E18308" t="s">
        <v>39</v>
      </c>
      <c r="F18308">
        <v>0</v>
      </c>
      <c r="G18308">
        <v>0</v>
      </c>
      <c r="H18308">
        <v>19</v>
      </c>
      <c r="I18308" s="3">
        <v>5742.6</v>
      </c>
      <c r="J18308" s="3">
        <v>4743.63</v>
      </c>
      <c r="L18308">
        <v>2966</v>
      </c>
      <c r="M18308" t="s">
        <v>39776</v>
      </c>
      <c r="N18308" t="s">
        <v>30</v>
      </c>
      <c r="O18308" t="s">
        <v>31</v>
      </c>
      <c r="P18308" t="str">
        <f>"15216"</f>
        <v>15216</v>
      </c>
    </row>
    <row r="18309" spans="1:16" x14ac:dyDescent="0.25">
      <c r="A18309" t="str">
        <f>"1270044D00026    00"</f>
        <v>1270044D00026    00</v>
      </c>
      <c r="B18309" t="s">
        <v>39777</v>
      </c>
      <c r="C18309" t="s">
        <v>39778</v>
      </c>
      <c r="D18309" t="s">
        <v>20</v>
      </c>
      <c r="E18309" t="s">
        <v>39</v>
      </c>
      <c r="F18309">
        <v>0</v>
      </c>
      <c r="G18309">
        <v>0</v>
      </c>
      <c r="H18309">
        <v>19</v>
      </c>
      <c r="I18309" s="3">
        <v>14151.57</v>
      </c>
      <c r="J18309" s="3">
        <v>14843.54</v>
      </c>
      <c r="L18309">
        <v>5243</v>
      </c>
      <c r="M18309" t="s">
        <v>1473</v>
      </c>
      <c r="N18309" t="s">
        <v>12463</v>
      </c>
      <c r="O18309" t="s">
        <v>31</v>
      </c>
      <c r="P18309" t="str">
        <f>"15142"</f>
        <v>15142</v>
      </c>
    </row>
    <row r="18310" spans="1:16" x14ac:dyDescent="0.25">
      <c r="A18310" t="str">
        <f>"1270044D00027    00"</f>
        <v>1270044D00027    00</v>
      </c>
      <c r="B18310" t="s">
        <v>39779</v>
      </c>
      <c r="C18310" t="s">
        <v>39780</v>
      </c>
      <c r="D18310" t="s">
        <v>20</v>
      </c>
      <c r="E18310" t="s">
        <v>39</v>
      </c>
      <c r="F18310">
        <v>0</v>
      </c>
      <c r="G18310">
        <v>0</v>
      </c>
      <c r="H18310">
        <v>5</v>
      </c>
      <c r="I18310" s="3">
        <v>225.3</v>
      </c>
      <c r="J18310" s="3">
        <v>44.8</v>
      </c>
      <c r="L18310">
        <v>1416</v>
      </c>
      <c r="M18310" t="s">
        <v>13152</v>
      </c>
      <c r="N18310" t="s">
        <v>30</v>
      </c>
      <c r="O18310" t="s">
        <v>31</v>
      </c>
      <c r="P18310" t="str">
        <f>"15212"</f>
        <v>15212</v>
      </c>
    </row>
    <row r="18311" spans="1:16" x14ac:dyDescent="0.25">
      <c r="A18311" t="str">
        <f>"1270044D00029    00"</f>
        <v>1270044D00029    00</v>
      </c>
      <c r="B18311" t="s">
        <v>39781</v>
      </c>
      <c r="C18311" t="s">
        <v>39775</v>
      </c>
      <c r="D18311" t="s">
        <v>20</v>
      </c>
      <c r="E18311" t="s">
        <v>39</v>
      </c>
      <c r="F18311">
        <v>0</v>
      </c>
      <c r="G18311">
        <v>0</v>
      </c>
      <c r="H18311">
        <v>19</v>
      </c>
      <c r="I18311" s="3">
        <v>7777.94</v>
      </c>
      <c r="J18311" s="3">
        <v>8578.9</v>
      </c>
      <c r="L18311">
        <v>1420</v>
      </c>
      <c r="M18311" t="s">
        <v>13152</v>
      </c>
      <c r="N18311" t="s">
        <v>30</v>
      </c>
      <c r="O18311" t="s">
        <v>31</v>
      </c>
      <c r="P18311" t="str">
        <f>"15212"</f>
        <v>15212</v>
      </c>
    </row>
    <row r="18312" spans="1:16" x14ac:dyDescent="0.25">
      <c r="A18312" t="str">
        <f>"1270044D00030    00"</f>
        <v>1270044D00030    00</v>
      </c>
      <c r="B18312" t="s">
        <v>39782</v>
      </c>
      <c r="C18312" t="s">
        <v>39783</v>
      </c>
      <c r="E18312" t="s">
        <v>39</v>
      </c>
      <c r="F18312">
        <v>0</v>
      </c>
      <c r="G18312">
        <v>0</v>
      </c>
      <c r="H18312">
        <v>1</v>
      </c>
      <c r="I18312" s="3">
        <v>163</v>
      </c>
      <c r="J18312" s="3">
        <v>32.61</v>
      </c>
      <c r="K18312" t="s">
        <v>4781</v>
      </c>
      <c r="L18312">
        <v>111</v>
      </c>
      <c r="M18312" t="s">
        <v>4782</v>
      </c>
      <c r="N18312" t="s">
        <v>4783</v>
      </c>
      <c r="O18312" t="s">
        <v>4784</v>
      </c>
      <c r="P18312" t="str">
        <f>"63146"</f>
        <v>63146</v>
      </c>
    </row>
    <row r="18313" spans="1:16" x14ac:dyDescent="0.25">
      <c r="A18313" t="str">
        <f>"1270044D00031    00"</f>
        <v>1270044D00031    00</v>
      </c>
      <c r="B18313" t="s">
        <v>26982</v>
      </c>
      <c r="C18313" t="s">
        <v>39784</v>
      </c>
      <c r="D18313" t="s">
        <v>20</v>
      </c>
      <c r="E18313" t="s">
        <v>39</v>
      </c>
      <c r="F18313">
        <v>0</v>
      </c>
      <c r="G18313">
        <v>0</v>
      </c>
      <c r="H18313">
        <v>13</v>
      </c>
      <c r="I18313" s="3">
        <v>13783.94</v>
      </c>
      <c r="J18313" s="3">
        <v>8112.53</v>
      </c>
      <c r="L18313">
        <v>361</v>
      </c>
      <c r="M18313" t="s">
        <v>26983</v>
      </c>
      <c r="N18313" t="s">
        <v>18135</v>
      </c>
      <c r="O18313" t="s">
        <v>31</v>
      </c>
      <c r="P18313" t="str">
        <f>"19013"</f>
        <v>19013</v>
      </c>
    </row>
    <row r="18314" spans="1:16" x14ac:dyDescent="0.25">
      <c r="A18314" t="str">
        <f>"1270044D00032    00"</f>
        <v>1270044D00032    00</v>
      </c>
      <c r="B18314" t="s">
        <v>26982</v>
      </c>
      <c r="C18314" t="s">
        <v>39775</v>
      </c>
      <c r="D18314" t="s">
        <v>20</v>
      </c>
      <c r="E18314" t="s">
        <v>39</v>
      </c>
      <c r="F18314">
        <v>0</v>
      </c>
      <c r="G18314">
        <v>0</v>
      </c>
      <c r="H18314">
        <v>13</v>
      </c>
      <c r="I18314" s="3">
        <v>3955.16</v>
      </c>
      <c r="J18314" s="3">
        <v>2276.5500000000002</v>
      </c>
      <c r="L18314">
        <v>361</v>
      </c>
      <c r="M18314" t="s">
        <v>26983</v>
      </c>
      <c r="N18314" t="s">
        <v>18135</v>
      </c>
      <c r="O18314" t="s">
        <v>31</v>
      </c>
      <c r="P18314" t="str">
        <f>"19013"</f>
        <v>19013</v>
      </c>
    </row>
    <row r="18315" spans="1:16" x14ac:dyDescent="0.25">
      <c r="A18315" t="str">
        <f>"1270044D00033    00"</f>
        <v>1270044D00033    00</v>
      </c>
      <c r="B18315" t="s">
        <v>39785</v>
      </c>
      <c r="C18315" t="s">
        <v>39775</v>
      </c>
      <c r="D18315" t="s">
        <v>20</v>
      </c>
      <c r="E18315" t="s">
        <v>39</v>
      </c>
      <c r="F18315">
        <v>0</v>
      </c>
      <c r="G18315">
        <v>0</v>
      </c>
      <c r="H18315">
        <v>19</v>
      </c>
      <c r="I18315" s="3">
        <v>10478.549999999999</v>
      </c>
      <c r="J18315" s="3">
        <v>12008.17</v>
      </c>
      <c r="L18315">
        <v>1428</v>
      </c>
      <c r="M18315" t="s">
        <v>13152</v>
      </c>
      <c r="N18315" t="s">
        <v>30</v>
      </c>
      <c r="O18315" t="s">
        <v>31</v>
      </c>
      <c r="P18315" t="str">
        <f>"15212"</f>
        <v>15212</v>
      </c>
    </row>
    <row r="18316" spans="1:16" x14ac:dyDescent="0.25">
      <c r="A18316" t="str">
        <f>"1270044D00034    00"</f>
        <v>1270044D00034    00</v>
      </c>
      <c r="B18316" t="s">
        <v>39786</v>
      </c>
      <c r="C18316" t="s">
        <v>39787</v>
      </c>
      <c r="D18316" t="s">
        <v>20</v>
      </c>
      <c r="E18316" t="s">
        <v>39</v>
      </c>
      <c r="F18316">
        <v>0</v>
      </c>
      <c r="G18316">
        <v>0</v>
      </c>
      <c r="H18316">
        <v>2</v>
      </c>
      <c r="I18316" s="3">
        <v>762.4</v>
      </c>
      <c r="J18316" s="3">
        <v>0</v>
      </c>
      <c r="L18316">
        <v>363</v>
      </c>
      <c r="M18316" t="s">
        <v>17834</v>
      </c>
      <c r="N18316" t="s">
        <v>30</v>
      </c>
      <c r="O18316" t="s">
        <v>31</v>
      </c>
      <c r="P18316" t="str">
        <f>"15235"</f>
        <v>15235</v>
      </c>
    </row>
    <row r="18317" spans="1:16" x14ac:dyDescent="0.25">
      <c r="A18317" t="str">
        <f>"1270044D00035    00"</f>
        <v>1270044D00035    00</v>
      </c>
      <c r="B18317" t="s">
        <v>39788</v>
      </c>
      <c r="C18317" t="s">
        <v>39789</v>
      </c>
      <c r="D18317" t="s">
        <v>20</v>
      </c>
      <c r="E18317" t="s">
        <v>39</v>
      </c>
      <c r="F18317">
        <v>0</v>
      </c>
      <c r="G18317">
        <v>0</v>
      </c>
      <c r="H18317">
        <v>18</v>
      </c>
      <c r="I18317" s="3">
        <v>17731.759999999998</v>
      </c>
      <c r="J18317" s="3">
        <v>15162.62</v>
      </c>
      <c r="L18317">
        <v>19</v>
      </c>
      <c r="M18317" t="s">
        <v>39790</v>
      </c>
      <c r="N18317" t="s">
        <v>28465</v>
      </c>
      <c r="O18317" t="s">
        <v>423</v>
      </c>
      <c r="P18317" t="str">
        <f>"07644"</f>
        <v>07644</v>
      </c>
    </row>
    <row r="18318" spans="1:16" x14ac:dyDescent="0.25">
      <c r="A18318" t="str">
        <f>"1270044D00047    00"</f>
        <v>1270044D00047    00</v>
      </c>
      <c r="B18318" t="s">
        <v>39791</v>
      </c>
      <c r="C18318" t="s">
        <v>39775</v>
      </c>
      <c r="D18318" t="s">
        <v>20</v>
      </c>
      <c r="E18318" t="s">
        <v>39</v>
      </c>
      <c r="F18318">
        <v>0</v>
      </c>
      <c r="G18318">
        <v>0</v>
      </c>
      <c r="H18318">
        <v>19</v>
      </c>
      <c r="I18318" s="3">
        <v>6841.74</v>
      </c>
      <c r="J18318" s="3">
        <v>6012.57</v>
      </c>
      <c r="M18318" t="s">
        <v>39792</v>
      </c>
      <c r="N18318" t="s">
        <v>30</v>
      </c>
      <c r="O18318" t="s">
        <v>31</v>
      </c>
      <c r="P18318" t="str">
        <f>"15233"</f>
        <v>15233</v>
      </c>
    </row>
    <row r="18319" spans="1:16" x14ac:dyDescent="0.25">
      <c r="A18319" t="str">
        <f>"1270044D00050    00"</f>
        <v>1270044D00050    00</v>
      </c>
      <c r="B18319" t="s">
        <v>38893</v>
      </c>
      <c r="C18319" t="s">
        <v>39775</v>
      </c>
      <c r="D18319" t="s">
        <v>20</v>
      </c>
      <c r="E18319" t="s">
        <v>39</v>
      </c>
      <c r="F18319">
        <v>0</v>
      </c>
      <c r="G18319">
        <v>0</v>
      </c>
      <c r="H18319">
        <v>1</v>
      </c>
      <c r="I18319" s="3">
        <v>22.55</v>
      </c>
      <c r="J18319" s="3">
        <v>0</v>
      </c>
      <c r="L18319">
        <v>113</v>
      </c>
      <c r="M18319" t="s">
        <v>38416</v>
      </c>
      <c r="N18319" t="s">
        <v>30</v>
      </c>
      <c r="O18319" t="s">
        <v>31</v>
      </c>
      <c r="P18319" t="str">
        <f>"15237"</f>
        <v>15237</v>
      </c>
    </row>
    <row r="18320" spans="1:16" x14ac:dyDescent="0.25">
      <c r="A18320" t="str">
        <f>"1270044D00054    00"</f>
        <v>1270044D00054    00</v>
      </c>
      <c r="B18320" t="s">
        <v>38893</v>
      </c>
      <c r="C18320" t="s">
        <v>39793</v>
      </c>
      <c r="D18320" t="s">
        <v>20</v>
      </c>
      <c r="E18320" t="s">
        <v>39</v>
      </c>
      <c r="F18320">
        <v>0</v>
      </c>
      <c r="G18320">
        <v>0</v>
      </c>
      <c r="H18320">
        <v>1</v>
      </c>
      <c r="I18320" s="3">
        <v>291.10000000000002</v>
      </c>
      <c r="J18320" s="3">
        <v>0</v>
      </c>
      <c r="L18320">
        <v>113</v>
      </c>
      <c r="M18320" t="s">
        <v>38416</v>
      </c>
      <c r="N18320" t="s">
        <v>30</v>
      </c>
      <c r="O18320" t="s">
        <v>31</v>
      </c>
      <c r="P18320" t="str">
        <f>"15237"</f>
        <v>15237</v>
      </c>
    </row>
    <row r="18321" spans="1:16" x14ac:dyDescent="0.25">
      <c r="A18321" t="str">
        <f>"1270044D00055    00"</f>
        <v>1270044D00055    00</v>
      </c>
      <c r="B18321" t="s">
        <v>39794</v>
      </c>
      <c r="C18321" t="s">
        <v>39795</v>
      </c>
      <c r="D18321" t="s">
        <v>20</v>
      </c>
      <c r="E18321" t="s">
        <v>39</v>
      </c>
      <c r="F18321">
        <v>0</v>
      </c>
      <c r="G18321">
        <v>0</v>
      </c>
      <c r="H18321">
        <v>11</v>
      </c>
      <c r="I18321" s="3">
        <v>5122.95</v>
      </c>
      <c r="J18321" s="3">
        <v>3729.74</v>
      </c>
      <c r="L18321">
        <v>835</v>
      </c>
      <c r="M18321" t="s">
        <v>21716</v>
      </c>
      <c r="N18321" t="s">
        <v>30</v>
      </c>
      <c r="O18321" t="s">
        <v>31</v>
      </c>
      <c r="P18321" t="str">
        <f>"15207"</f>
        <v>15207</v>
      </c>
    </row>
    <row r="18322" spans="1:16" x14ac:dyDescent="0.25">
      <c r="A18322" t="str">
        <f>"1270044D00057    00"</f>
        <v>1270044D00057    00</v>
      </c>
      <c r="B18322" t="s">
        <v>39796</v>
      </c>
      <c r="C18322" t="s">
        <v>39797</v>
      </c>
      <c r="D18322" t="s">
        <v>20</v>
      </c>
      <c r="E18322" t="s">
        <v>39</v>
      </c>
      <c r="F18322">
        <v>0</v>
      </c>
      <c r="G18322">
        <v>0</v>
      </c>
      <c r="H18322">
        <v>5</v>
      </c>
      <c r="I18322" s="3">
        <v>951.49</v>
      </c>
      <c r="J18322" s="3">
        <v>164.4</v>
      </c>
      <c r="L18322">
        <v>3121</v>
      </c>
      <c r="M18322" t="s">
        <v>39798</v>
      </c>
      <c r="N18322" t="s">
        <v>30</v>
      </c>
      <c r="O18322" t="s">
        <v>31</v>
      </c>
      <c r="P18322" t="str">
        <f>"15212"</f>
        <v>15212</v>
      </c>
    </row>
    <row r="18323" spans="1:16" x14ac:dyDescent="0.25">
      <c r="A18323" t="str">
        <f>"1270044D00058    00"</f>
        <v>1270044D00058    00</v>
      </c>
      <c r="B18323" t="s">
        <v>39796</v>
      </c>
      <c r="C18323" t="s">
        <v>39799</v>
      </c>
      <c r="D18323" t="s">
        <v>20</v>
      </c>
      <c r="E18323" t="s">
        <v>39</v>
      </c>
      <c r="F18323">
        <v>0</v>
      </c>
      <c r="G18323">
        <v>0</v>
      </c>
      <c r="H18323">
        <v>3</v>
      </c>
      <c r="I18323" s="3">
        <v>697.65</v>
      </c>
      <c r="J18323" s="3">
        <v>46.51</v>
      </c>
      <c r="L18323">
        <v>3121</v>
      </c>
      <c r="M18323" t="s">
        <v>39798</v>
      </c>
      <c r="N18323" t="s">
        <v>30</v>
      </c>
      <c r="O18323" t="s">
        <v>31</v>
      </c>
      <c r="P18323" t="str">
        <f>"15212"</f>
        <v>15212</v>
      </c>
    </row>
    <row r="18324" spans="1:16" x14ac:dyDescent="0.25">
      <c r="A18324" t="str">
        <f>"1270044D00060    00"</f>
        <v>1270044D00060    00</v>
      </c>
      <c r="B18324" t="s">
        <v>39800</v>
      </c>
      <c r="C18324" t="s">
        <v>39801</v>
      </c>
      <c r="D18324" t="s">
        <v>20</v>
      </c>
      <c r="E18324" t="s">
        <v>39</v>
      </c>
      <c r="F18324">
        <v>0</v>
      </c>
      <c r="G18324">
        <v>0</v>
      </c>
      <c r="H18324">
        <v>19</v>
      </c>
      <c r="I18324" s="3">
        <v>14657.33</v>
      </c>
      <c r="J18324" s="3">
        <v>14485.86</v>
      </c>
      <c r="L18324">
        <v>3007</v>
      </c>
      <c r="M18324" t="s">
        <v>39802</v>
      </c>
      <c r="N18324" t="s">
        <v>30</v>
      </c>
      <c r="O18324" t="s">
        <v>31</v>
      </c>
      <c r="P18324" t="str">
        <f>"15212"</f>
        <v>15212</v>
      </c>
    </row>
    <row r="18325" spans="1:16" x14ac:dyDescent="0.25">
      <c r="A18325" t="str">
        <f>"1270044D00062    00"</f>
        <v>1270044D00062    00</v>
      </c>
      <c r="B18325" t="s">
        <v>39803</v>
      </c>
      <c r="C18325" t="s">
        <v>39804</v>
      </c>
      <c r="D18325" t="s">
        <v>20</v>
      </c>
      <c r="E18325" t="s">
        <v>39</v>
      </c>
      <c r="F18325">
        <v>0</v>
      </c>
      <c r="G18325">
        <v>0</v>
      </c>
      <c r="H18325">
        <v>8</v>
      </c>
      <c r="I18325" s="3">
        <v>2527.1799999999998</v>
      </c>
      <c r="J18325" s="3">
        <v>826.93</v>
      </c>
      <c r="L18325">
        <v>1604</v>
      </c>
      <c r="M18325" t="s">
        <v>13152</v>
      </c>
      <c r="N18325" t="s">
        <v>30</v>
      </c>
      <c r="O18325" t="s">
        <v>31</v>
      </c>
      <c r="P18325" t="str">
        <f>"15212"</f>
        <v>15212</v>
      </c>
    </row>
    <row r="18326" spans="1:16" x14ac:dyDescent="0.25">
      <c r="A18326" t="str">
        <f>"1270044D00064    00"</f>
        <v>1270044D00064    00</v>
      </c>
      <c r="B18326" t="s">
        <v>39803</v>
      </c>
      <c r="C18326" t="s">
        <v>39805</v>
      </c>
      <c r="D18326" t="s">
        <v>20</v>
      </c>
      <c r="E18326" t="s">
        <v>39</v>
      </c>
      <c r="F18326">
        <v>0</v>
      </c>
      <c r="G18326">
        <v>0</v>
      </c>
      <c r="H18326">
        <v>12</v>
      </c>
      <c r="I18326" s="3">
        <v>2271.75</v>
      </c>
      <c r="J18326" s="3">
        <v>1142.1400000000001</v>
      </c>
      <c r="L18326">
        <v>2724</v>
      </c>
      <c r="M18326" t="s">
        <v>38899</v>
      </c>
      <c r="N18326" t="s">
        <v>30</v>
      </c>
      <c r="O18326" t="s">
        <v>31</v>
      </c>
      <c r="P18326" t="str">
        <f>"15214"</f>
        <v>15214</v>
      </c>
    </row>
    <row r="18327" spans="1:16" x14ac:dyDescent="0.25">
      <c r="A18327" t="str">
        <f>"1270044D00087    00"</f>
        <v>1270044D00087    00</v>
      </c>
      <c r="B18327" t="s">
        <v>39806</v>
      </c>
      <c r="C18327" t="s">
        <v>39760</v>
      </c>
      <c r="D18327" t="s">
        <v>20</v>
      </c>
      <c r="E18327" t="s">
        <v>39</v>
      </c>
      <c r="F18327">
        <v>0</v>
      </c>
      <c r="G18327">
        <v>0</v>
      </c>
      <c r="H18327">
        <v>19</v>
      </c>
      <c r="I18327" s="3">
        <v>4815.6899999999996</v>
      </c>
      <c r="J18327" s="3">
        <v>5307.85</v>
      </c>
      <c r="K18327" t="s">
        <v>39807</v>
      </c>
      <c r="L18327">
        <v>3016</v>
      </c>
      <c r="M18327" t="s">
        <v>39761</v>
      </c>
      <c r="N18327" t="s">
        <v>30</v>
      </c>
      <c r="O18327" t="s">
        <v>31</v>
      </c>
      <c r="P18327" t="str">
        <f>"15212"</f>
        <v>15212</v>
      </c>
    </row>
    <row r="18328" spans="1:16" x14ac:dyDescent="0.25">
      <c r="A18328" t="str">
        <f>"1270044D00094    00"</f>
        <v>1270044D00094    00</v>
      </c>
      <c r="B18328" t="s">
        <v>39808</v>
      </c>
      <c r="C18328" t="s">
        <v>39775</v>
      </c>
      <c r="D18328" t="s">
        <v>20</v>
      </c>
      <c r="E18328" t="s">
        <v>39</v>
      </c>
      <c r="F18328">
        <v>0</v>
      </c>
      <c r="G18328">
        <v>0</v>
      </c>
      <c r="H18328">
        <v>19</v>
      </c>
      <c r="I18328" s="3">
        <v>7226.56</v>
      </c>
      <c r="J18328" s="3">
        <v>6282.24</v>
      </c>
      <c r="K18328" t="s">
        <v>39809</v>
      </c>
      <c r="L18328">
        <v>3917</v>
      </c>
      <c r="M18328" t="s">
        <v>39810</v>
      </c>
      <c r="N18328" t="s">
        <v>30</v>
      </c>
      <c r="O18328" t="s">
        <v>31</v>
      </c>
      <c r="P18328" t="str">
        <f>"15212"</f>
        <v>15212</v>
      </c>
    </row>
    <row r="18329" spans="1:16" x14ac:dyDescent="0.25">
      <c r="A18329" t="str">
        <f>"1270044D00101    00"</f>
        <v>1270044D00101    00</v>
      </c>
      <c r="B18329" t="s">
        <v>39811</v>
      </c>
      <c r="C18329" t="s">
        <v>39812</v>
      </c>
      <c r="D18329" t="s">
        <v>20</v>
      </c>
      <c r="E18329" t="s">
        <v>39</v>
      </c>
      <c r="F18329">
        <v>0</v>
      </c>
      <c r="G18329">
        <v>0</v>
      </c>
      <c r="H18329">
        <v>19</v>
      </c>
      <c r="I18329" s="3">
        <v>802.31</v>
      </c>
      <c r="J18329" s="3">
        <v>820.26</v>
      </c>
      <c r="K18329" t="s">
        <v>1008</v>
      </c>
      <c r="P18329" t="str">
        <f>""</f>
        <v/>
      </c>
    </row>
    <row r="18330" spans="1:16" x14ac:dyDescent="0.25">
      <c r="A18330" t="str">
        <f>"1270044D00102    00"</f>
        <v>1270044D00102    00</v>
      </c>
      <c r="B18330" t="s">
        <v>39813</v>
      </c>
      <c r="C18330" t="s">
        <v>39812</v>
      </c>
      <c r="D18330" t="s">
        <v>20</v>
      </c>
      <c r="E18330" t="s">
        <v>39</v>
      </c>
      <c r="F18330">
        <v>0</v>
      </c>
      <c r="G18330">
        <v>0</v>
      </c>
      <c r="H18330">
        <v>19</v>
      </c>
      <c r="I18330" s="3">
        <v>929.73</v>
      </c>
      <c r="J18330" s="3">
        <v>918.88</v>
      </c>
      <c r="K18330" t="s">
        <v>1008</v>
      </c>
      <c r="P18330" t="str">
        <f>""</f>
        <v/>
      </c>
    </row>
    <row r="18331" spans="1:16" x14ac:dyDescent="0.25">
      <c r="A18331" t="str">
        <f>"1270044D00105    00"</f>
        <v>1270044D00105    00</v>
      </c>
      <c r="B18331" t="s">
        <v>39814</v>
      </c>
      <c r="C18331" t="s">
        <v>39815</v>
      </c>
      <c r="D18331" t="s">
        <v>20</v>
      </c>
      <c r="E18331" t="s">
        <v>39</v>
      </c>
      <c r="F18331">
        <v>0</v>
      </c>
      <c r="G18331">
        <v>0</v>
      </c>
      <c r="H18331">
        <v>7</v>
      </c>
      <c r="I18331" s="3">
        <v>354.45</v>
      </c>
      <c r="J18331" s="3">
        <v>138.41</v>
      </c>
      <c r="L18331">
        <v>620</v>
      </c>
      <c r="M18331" t="s">
        <v>39816</v>
      </c>
      <c r="N18331" t="s">
        <v>30</v>
      </c>
      <c r="O18331" t="s">
        <v>31</v>
      </c>
      <c r="P18331" t="str">
        <f>"15212"</f>
        <v>15212</v>
      </c>
    </row>
    <row r="18332" spans="1:16" x14ac:dyDescent="0.25">
      <c r="A18332" t="str">
        <f>"1270044D00120    00"</f>
        <v>1270044D00120    00</v>
      </c>
      <c r="B18332" t="s">
        <v>38413</v>
      </c>
      <c r="C18332" t="s">
        <v>39817</v>
      </c>
      <c r="D18332" t="s">
        <v>20</v>
      </c>
      <c r="E18332" t="s">
        <v>39</v>
      </c>
      <c r="F18332">
        <v>0</v>
      </c>
      <c r="G18332">
        <v>0</v>
      </c>
      <c r="H18332">
        <v>2</v>
      </c>
      <c r="I18332" s="3">
        <v>993.62</v>
      </c>
      <c r="J18332" s="3">
        <v>0</v>
      </c>
      <c r="L18332">
        <v>219</v>
      </c>
      <c r="M18332" t="s">
        <v>39818</v>
      </c>
      <c r="N18332" t="s">
        <v>30</v>
      </c>
      <c r="O18332" t="s">
        <v>31</v>
      </c>
      <c r="P18332" t="str">
        <f>"15237"</f>
        <v>15237</v>
      </c>
    </row>
    <row r="18333" spans="1:16" x14ac:dyDescent="0.25">
      <c r="A18333" t="str">
        <f>"1270044D00122    00"</f>
        <v>1270044D00122    00</v>
      </c>
      <c r="B18333" t="s">
        <v>39819</v>
      </c>
      <c r="C18333" t="s">
        <v>39775</v>
      </c>
      <c r="D18333" t="s">
        <v>20</v>
      </c>
      <c r="E18333" t="s">
        <v>39</v>
      </c>
      <c r="F18333">
        <v>0</v>
      </c>
      <c r="G18333">
        <v>0</v>
      </c>
      <c r="H18333">
        <v>15</v>
      </c>
      <c r="I18333" s="3">
        <v>4561.03</v>
      </c>
      <c r="J18333" s="3">
        <v>2955.42</v>
      </c>
      <c r="L18333">
        <v>7</v>
      </c>
      <c r="M18333" t="s">
        <v>39820</v>
      </c>
      <c r="N18333" t="s">
        <v>39821</v>
      </c>
      <c r="O18333" t="s">
        <v>31</v>
      </c>
      <c r="P18333" t="str">
        <f>"15046"</f>
        <v>15046</v>
      </c>
    </row>
    <row r="18334" spans="1:16" x14ac:dyDescent="0.25">
      <c r="A18334" t="str">
        <f>"1270044D00123    00"</f>
        <v>1270044D00123    00</v>
      </c>
      <c r="B18334" t="s">
        <v>39819</v>
      </c>
      <c r="C18334" t="s">
        <v>39775</v>
      </c>
      <c r="D18334" t="s">
        <v>20</v>
      </c>
      <c r="E18334" t="s">
        <v>39</v>
      </c>
      <c r="F18334">
        <v>0</v>
      </c>
      <c r="G18334">
        <v>0</v>
      </c>
      <c r="H18334">
        <v>15</v>
      </c>
      <c r="I18334" s="3">
        <v>506.46</v>
      </c>
      <c r="J18334" s="3">
        <v>350.76</v>
      </c>
      <c r="L18334">
        <v>7</v>
      </c>
      <c r="M18334" t="s">
        <v>39822</v>
      </c>
      <c r="N18334" t="s">
        <v>39821</v>
      </c>
      <c r="O18334" t="s">
        <v>31</v>
      </c>
      <c r="P18334" t="str">
        <f>"15046"</f>
        <v>15046</v>
      </c>
    </row>
    <row r="18335" spans="1:16" x14ac:dyDescent="0.25">
      <c r="A18335" t="str">
        <f>"1270044D00124    00"</f>
        <v>1270044D00124    00</v>
      </c>
      <c r="B18335" t="s">
        <v>39819</v>
      </c>
      <c r="C18335" t="s">
        <v>39775</v>
      </c>
      <c r="D18335" t="s">
        <v>20</v>
      </c>
      <c r="E18335" t="s">
        <v>39</v>
      </c>
      <c r="F18335">
        <v>0</v>
      </c>
      <c r="G18335">
        <v>0</v>
      </c>
      <c r="H18335">
        <v>15</v>
      </c>
      <c r="I18335" s="3">
        <v>1329.21</v>
      </c>
      <c r="J18335" s="3">
        <v>804.7</v>
      </c>
      <c r="L18335">
        <v>7</v>
      </c>
      <c r="M18335" t="s">
        <v>39820</v>
      </c>
      <c r="N18335" t="s">
        <v>39821</v>
      </c>
      <c r="O18335" t="s">
        <v>31</v>
      </c>
      <c r="P18335" t="str">
        <f>"15046"</f>
        <v>15046</v>
      </c>
    </row>
    <row r="18336" spans="1:16" x14ac:dyDescent="0.25">
      <c r="A18336" t="str">
        <f>"1270044D00125    00"</f>
        <v>1270044D00125    00</v>
      </c>
      <c r="B18336" t="s">
        <v>39823</v>
      </c>
      <c r="C18336" t="s">
        <v>39824</v>
      </c>
      <c r="D18336" t="s">
        <v>20</v>
      </c>
      <c r="E18336" t="s">
        <v>39</v>
      </c>
      <c r="F18336">
        <v>0</v>
      </c>
      <c r="G18336">
        <v>0</v>
      </c>
      <c r="H18336">
        <v>16</v>
      </c>
      <c r="I18336" s="3">
        <v>13792.9</v>
      </c>
      <c r="J18336" s="3">
        <v>9667.52</v>
      </c>
      <c r="K18336" t="s">
        <v>39825</v>
      </c>
      <c r="L18336">
        <v>204</v>
      </c>
      <c r="M18336" t="s">
        <v>26498</v>
      </c>
      <c r="N18336" t="s">
        <v>903</v>
      </c>
      <c r="O18336" t="s">
        <v>31</v>
      </c>
      <c r="P18336" t="str">
        <f>"15136"</f>
        <v>15136</v>
      </c>
    </row>
    <row r="18337" spans="1:16" x14ac:dyDescent="0.25">
      <c r="A18337" t="str">
        <f>"1270044D00132    00"</f>
        <v>1270044D00132    00</v>
      </c>
      <c r="B18337" t="s">
        <v>39826</v>
      </c>
      <c r="C18337" t="s">
        <v>39827</v>
      </c>
      <c r="D18337" t="s">
        <v>20</v>
      </c>
      <c r="E18337" t="s">
        <v>39</v>
      </c>
      <c r="F18337">
        <v>0</v>
      </c>
      <c r="G18337">
        <v>0</v>
      </c>
      <c r="H18337">
        <v>10</v>
      </c>
      <c r="I18337" s="3">
        <v>859.6</v>
      </c>
      <c r="J18337" s="3">
        <v>366.82</v>
      </c>
      <c r="L18337">
        <v>1519</v>
      </c>
      <c r="M18337" t="s">
        <v>13152</v>
      </c>
      <c r="N18337" t="s">
        <v>30</v>
      </c>
      <c r="O18337" t="s">
        <v>31</v>
      </c>
      <c r="P18337" t="str">
        <f>"15212"</f>
        <v>15212</v>
      </c>
    </row>
    <row r="18338" spans="1:16" x14ac:dyDescent="0.25">
      <c r="A18338" t="str">
        <f>"1270044D00133    00"</f>
        <v>1270044D00133    00</v>
      </c>
      <c r="B18338" t="s">
        <v>39828</v>
      </c>
      <c r="C18338" t="s">
        <v>39775</v>
      </c>
      <c r="D18338" t="s">
        <v>20</v>
      </c>
      <c r="E18338" t="s">
        <v>39</v>
      </c>
      <c r="F18338">
        <v>0</v>
      </c>
      <c r="G18338">
        <v>0</v>
      </c>
      <c r="H18338">
        <v>19</v>
      </c>
      <c r="I18338" s="3">
        <v>10157.26</v>
      </c>
      <c r="J18338" s="3">
        <v>13738.47</v>
      </c>
      <c r="L18338">
        <v>1517</v>
      </c>
      <c r="M18338" t="s">
        <v>13152</v>
      </c>
      <c r="N18338" t="s">
        <v>30</v>
      </c>
      <c r="O18338" t="s">
        <v>31</v>
      </c>
      <c r="P18338" t="str">
        <f>"15212"</f>
        <v>15212</v>
      </c>
    </row>
    <row r="18339" spans="1:16" x14ac:dyDescent="0.25">
      <c r="A18339" t="str">
        <f>"1270044D00134    00"</f>
        <v>1270044D00134    00</v>
      </c>
      <c r="B18339" t="s">
        <v>39829</v>
      </c>
      <c r="C18339" t="s">
        <v>39830</v>
      </c>
      <c r="D18339" t="s">
        <v>20</v>
      </c>
      <c r="E18339" t="s">
        <v>39</v>
      </c>
      <c r="F18339">
        <v>0</v>
      </c>
      <c r="G18339">
        <v>0</v>
      </c>
      <c r="H18339">
        <v>11</v>
      </c>
      <c r="I18339" s="3">
        <v>5120.04</v>
      </c>
      <c r="J18339" s="3">
        <v>2305.4499999999998</v>
      </c>
      <c r="L18339">
        <v>2438</v>
      </c>
      <c r="M18339" t="s">
        <v>3522</v>
      </c>
      <c r="N18339" t="s">
        <v>30</v>
      </c>
      <c r="O18339" t="s">
        <v>31</v>
      </c>
      <c r="P18339" t="str">
        <f>"15226"</f>
        <v>15226</v>
      </c>
    </row>
    <row r="18340" spans="1:16" x14ac:dyDescent="0.25">
      <c r="A18340" t="str">
        <f>"1270044D00139    00"</f>
        <v>1270044D00139    00</v>
      </c>
      <c r="B18340" t="s">
        <v>39831</v>
      </c>
      <c r="C18340" t="s">
        <v>39832</v>
      </c>
      <c r="D18340" t="s">
        <v>20</v>
      </c>
      <c r="E18340" t="s">
        <v>39</v>
      </c>
      <c r="F18340">
        <v>0</v>
      </c>
      <c r="G18340">
        <v>0</v>
      </c>
      <c r="H18340">
        <v>11</v>
      </c>
      <c r="I18340" s="3">
        <v>7962.27</v>
      </c>
      <c r="J18340" s="3">
        <v>3800.09</v>
      </c>
      <c r="L18340">
        <v>1505</v>
      </c>
      <c r="M18340" t="s">
        <v>13152</v>
      </c>
      <c r="N18340" t="s">
        <v>30</v>
      </c>
      <c r="O18340" t="s">
        <v>31</v>
      </c>
      <c r="P18340" t="str">
        <f>"15212"</f>
        <v>15212</v>
      </c>
    </row>
    <row r="18341" spans="1:16" x14ac:dyDescent="0.25">
      <c r="A18341" t="str">
        <f>"1270044D00145    00"</f>
        <v>1270044D00145    00</v>
      </c>
      <c r="B18341" t="s">
        <v>39833</v>
      </c>
      <c r="C18341" t="s">
        <v>39834</v>
      </c>
      <c r="D18341" t="s">
        <v>20</v>
      </c>
      <c r="E18341" t="s">
        <v>39</v>
      </c>
      <c r="F18341">
        <v>0</v>
      </c>
      <c r="G18341">
        <v>0</v>
      </c>
      <c r="H18341">
        <v>2</v>
      </c>
      <c r="I18341" s="3">
        <v>356.5</v>
      </c>
      <c r="J18341" s="3">
        <v>0</v>
      </c>
      <c r="L18341">
        <v>131</v>
      </c>
      <c r="M18341" t="s">
        <v>39364</v>
      </c>
      <c r="N18341" t="s">
        <v>30</v>
      </c>
      <c r="O18341" t="s">
        <v>31</v>
      </c>
      <c r="P18341" t="str">
        <f>"15212"</f>
        <v>15212</v>
      </c>
    </row>
    <row r="18342" spans="1:16" x14ac:dyDescent="0.25">
      <c r="A18342" t="str">
        <f>"1270044D00153    00"</f>
        <v>1270044D00153    00</v>
      </c>
      <c r="B18342" t="s">
        <v>39835</v>
      </c>
      <c r="C18342" t="s">
        <v>39775</v>
      </c>
      <c r="D18342" t="s">
        <v>20</v>
      </c>
      <c r="E18342" t="s">
        <v>39</v>
      </c>
      <c r="F18342">
        <v>0</v>
      </c>
      <c r="G18342">
        <v>0</v>
      </c>
      <c r="H18342">
        <v>19</v>
      </c>
      <c r="I18342" s="3">
        <v>1498.18</v>
      </c>
      <c r="J18342" s="3">
        <v>1157.51</v>
      </c>
      <c r="K18342" t="s">
        <v>39836</v>
      </c>
      <c r="L18342">
        <v>1588</v>
      </c>
      <c r="M18342" t="s">
        <v>39837</v>
      </c>
      <c r="N18342" t="s">
        <v>212</v>
      </c>
      <c r="O18342" t="s">
        <v>25</v>
      </c>
      <c r="P18342" t="str">
        <f>"44106"</f>
        <v>44106</v>
      </c>
    </row>
    <row r="18343" spans="1:16" x14ac:dyDescent="0.25">
      <c r="A18343" t="str">
        <f>"1270044D00164    00"</f>
        <v>1270044D00164    00</v>
      </c>
      <c r="B18343" t="s">
        <v>39838</v>
      </c>
      <c r="C18343" t="s">
        <v>39839</v>
      </c>
      <c r="D18343" t="s">
        <v>20</v>
      </c>
      <c r="E18343" t="s">
        <v>39</v>
      </c>
      <c r="F18343">
        <v>0</v>
      </c>
      <c r="G18343">
        <v>0</v>
      </c>
      <c r="H18343">
        <v>19</v>
      </c>
      <c r="I18343" s="3">
        <v>5149.05</v>
      </c>
      <c r="J18343" s="3">
        <v>4721.6099999999997</v>
      </c>
      <c r="L18343">
        <v>1500</v>
      </c>
      <c r="M18343" t="s">
        <v>39840</v>
      </c>
      <c r="N18343" t="s">
        <v>30</v>
      </c>
      <c r="O18343" t="s">
        <v>31</v>
      </c>
      <c r="P18343" t="str">
        <f>"15212"</f>
        <v>15212</v>
      </c>
    </row>
    <row r="18344" spans="1:16" x14ac:dyDescent="0.25">
      <c r="A18344" t="str">
        <f>"1270044D00165    00"</f>
        <v>1270044D00165    00</v>
      </c>
      <c r="B18344" t="s">
        <v>39841</v>
      </c>
      <c r="C18344" t="s">
        <v>39839</v>
      </c>
      <c r="D18344" t="s">
        <v>20</v>
      </c>
      <c r="E18344" t="s">
        <v>39</v>
      </c>
      <c r="F18344">
        <v>0</v>
      </c>
      <c r="G18344">
        <v>0</v>
      </c>
      <c r="H18344">
        <v>17</v>
      </c>
      <c r="I18344" s="3">
        <v>2324.7199999999998</v>
      </c>
      <c r="J18344" s="3">
        <v>3205.47</v>
      </c>
      <c r="P18344" t="str">
        <f>""</f>
        <v/>
      </c>
    </row>
    <row r="18345" spans="1:16" x14ac:dyDescent="0.25">
      <c r="A18345" t="str">
        <f>"1270044D00169    00"</f>
        <v>1270044D00169    00</v>
      </c>
      <c r="B18345" t="s">
        <v>39842</v>
      </c>
      <c r="C18345" t="s">
        <v>39843</v>
      </c>
      <c r="D18345" t="s">
        <v>20</v>
      </c>
      <c r="E18345" t="s">
        <v>39</v>
      </c>
      <c r="F18345">
        <v>0</v>
      </c>
      <c r="G18345">
        <v>0</v>
      </c>
      <c r="H18345">
        <v>10</v>
      </c>
      <c r="I18345" s="3">
        <v>3387.63</v>
      </c>
      <c r="J18345" s="3">
        <v>1767.84</v>
      </c>
      <c r="L18345">
        <v>1508</v>
      </c>
      <c r="M18345" t="s">
        <v>39840</v>
      </c>
      <c r="N18345" t="s">
        <v>30</v>
      </c>
      <c r="O18345" t="s">
        <v>31</v>
      </c>
      <c r="P18345" t="str">
        <f>"15212"</f>
        <v>15212</v>
      </c>
    </row>
    <row r="18346" spans="1:16" x14ac:dyDescent="0.25">
      <c r="A18346" t="str">
        <f>"1270044D00172    00"</f>
        <v>1270044D00172    00</v>
      </c>
      <c r="B18346" t="s">
        <v>39844</v>
      </c>
      <c r="C18346" t="s">
        <v>39845</v>
      </c>
      <c r="D18346" t="s">
        <v>20</v>
      </c>
      <c r="E18346" t="s">
        <v>39</v>
      </c>
      <c r="F18346">
        <v>0</v>
      </c>
      <c r="G18346">
        <v>0</v>
      </c>
      <c r="H18346">
        <v>10</v>
      </c>
      <c r="I18346" s="3">
        <v>10123.33</v>
      </c>
      <c r="J18346" s="3">
        <v>7337.6</v>
      </c>
      <c r="L18346">
        <v>1512</v>
      </c>
      <c r="M18346" t="s">
        <v>39840</v>
      </c>
      <c r="N18346" t="s">
        <v>30</v>
      </c>
      <c r="O18346" t="s">
        <v>31</v>
      </c>
      <c r="P18346" t="str">
        <f>"15212"</f>
        <v>15212</v>
      </c>
    </row>
    <row r="18347" spans="1:16" x14ac:dyDescent="0.25">
      <c r="A18347" t="str">
        <f>"1270044D00173    00"</f>
        <v>1270044D00173    00</v>
      </c>
      <c r="B18347" t="s">
        <v>39846</v>
      </c>
      <c r="C18347" t="s">
        <v>39839</v>
      </c>
      <c r="D18347" t="s">
        <v>20</v>
      </c>
      <c r="E18347" t="s">
        <v>39</v>
      </c>
      <c r="F18347">
        <v>0</v>
      </c>
      <c r="G18347">
        <v>0</v>
      </c>
      <c r="H18347">
        <v>11</v>
      </c>
      <c r="I18347" s="3">
        <v>2785.43</v>
      </c>
      <c r="J18347" s="3">
        <v>3635.16</v>
      </c>
      <c r="L18347">
        <v>1516</v>
      </c>
      <c r="M18347" t="s">
        <v>39840</v>
      </c>
      <c r="N18347" t="s">
        <v>30</v>
      </c>
      <c r="O18347" t="s">
        <v>31</v>
      </c>
      <c r="P18347" t="str">
        <f>"15212"</f>
        <v>15212</v>
      </c>
    </row>
    <row r="18348" spans="1:16" x14ac:dyDescent="0.25">
      <c r="A18348" t="str">
        <f>"1270044D00173A   00"</f>
        <v>1270044D00173A   00</v>
      </c>
      <c r="B18348" t="s">
        <v>39847</v>
      </c>
      <c r="C18348" t="s">
        <v>39839</v>
      </c>
      <c r="D18348" t="s">
        <v>20</v>
      </c>
      <c r="E18348" t="s">
        <v>39</v>
      </c>
      <c r="F18348">
        <v>0</v>
      </c>
      <c r="G18348">
        <v>0</v>
      </c>
      <c r="H18348">
        <v>17</v>
      </c>
      <c r="I18348" s="3">
        <v>7642.12</v>
      </c>
      <c r="J18348" s="3">
        <v>10331.07</v>
      </c>
      <c r="L18348">
        <v>1516</v>
      </c>
      <c r="M18348" t="s">
        <v>39840</v>
      </c>
      <c r="N18348" t="s">
        <v>30</v>
      </c>
      <c r="O18348" t="s">
        <v>31</v>
      </c>
      <c r="P18348" t="str">
        <f>"15212"</f>
        <v>15212</v>
      </c>
    </row>
    <row r="18349" spans="1:16" x14ac:dyDescent="0.25">
      <c r="A18349" t="str">
        <f>"1270044D00174    00"</f>
        <v>1270044D00174    00</v>
      </c>
      <c r="B18349" t="s">
        <v>39848</v>
      </c>
      <c r="C18349" t="s">
        <v>39849</v>
      </c>
      <c r="D18349" t="s">
        <v>20</v>
      </c>
      <c r="E18349" t="s">
        <v>39</v>
      </c>
      <c r="F18349">
        <v>0</v>
      </c>
      <c r="G18349">
        <v>0</v>
      </c>
      <c r="H18349">
        <v>19</v>
      </c>
      <c r="I18349" s="3">
        <v>13159.9</v>
      </c>
      <c r="J18349" s="3">
        <v>12094.84</v>
      </c>
      <c r="K18349" t="s">
        <v>39850</v>
      </c>
      <c r="L18349">
        <v>1520</v>
      </c>
      <c r="M18349" t="s">
        <v>39840</v>
      </c>
      <c r="N18349" t="s">
        <v>30</v>
      </c>
      <c r="O18349" t="s">
        <v>31</v>
      </c>
      <c r="P18349" t="str">
        <f>"15212"</f>
        <v>15212</v>
      </c>
    </row>
    <row r="18350" spans="1:16" x14ac:dyDescent="0.25">
      <c r="A18350" t="str">
        <f>"1270044D00175    00"</f>
        <v>1270044D00175    00</v>
      </c>
      <c r="B18350" t="s">
        <v>39851</v>
      </c>
      <c r="C18350" t="s">
        <v>39852</v>
      </c>
      <c r="D18350" t="s">
        <v>20</v>
      </c>
      <c r="E18350" t="s">
        <v>39</v>
      </c>
      <c r="F18350">
        <v>0</v>
      </c>
      <c r="G18350">
        <v>0</v>
      </c>
      <c r="H18350">
        <v>4</v>
      </c>
      <c r="I18350" s="3">
        <v>2536.46</v>
      </c>
      <c r="J18350" s="3">
        <v>52.65</v>
      </c>
      <c r="K18350" t="s">
        <v>39853</v>
      </c>
      <c r="L18350">
        <v>4141</v>
      </c>
      <c r="M18350" t="s">
        <v>39854</v>
      </c>
      <c r="N18350" t="s">
        <v>30</v>
      </c>
      <c r="O18350" t="s">
        <v>31</v>
      </c>
      <c r="P18350" t="str">
        <f>"15217"</f>
        <v>15217</v>
      </c>
    </row>
    <row r="18351" spans="1:16" x14ac:dyDescent="0.25">
      <c r="A18351" t="str">
        <f>"1270044D00177    00"</f>
        <v>1270044D00177    00</v>
      </c>
      <c r="B18351" t="s">
        <v>39855</v>
      </c>
      <c r="C18351" t="s">
        <v>39839</v>
      </c>
      <c r="D18351" t="s">
        <v>20</v>
      </c>
      <c r="E18351" t="s">
        <v>39</v>
      </c>
      <c r="F18351">
        <v>0</v>
      </c>
      <c r="G18351">
        <v>0</v>
      </c>
      <c r="H18351">
        <v>11</v>
      </c>
      <c r="I18351" s="3">
        <v>322.8</v>
      </c>
      <c r="J18351" s="3">
        <v>237.54</v>
      </c>
      <c r="L18351">
        <v>320</v>
      </c>
      <c r="M18351" t="s">
        <v>39856</v>
      </c>
      <c r="N18351" t="s">
        <v>666</v>
      </c>
      <c r="O18351" t="s">
        <v>31</v>
      </c>
      <c r="P18351" t="str">
        <f>"16001"</f>
        <v>16001</v>
      </c>
    </row>
    <row r="18352" spans="1:16" x14ac:dyDescent="0.25">
      <c r="A18352" t="str">
        <f>"1270044D00179    00"</f>
        <v>1270044D00179    00</v>
      </c>
      <c r="B18352" t="s">
        <v>39857</v>
      </c>
      <c r="C18352" t="s">
        <v>39858</v>
      </c>
      <c r="D18352" t="s">
        <v>20</v>
      </c>
      <c r="E18352" t="s">
        <v>39</v>
      </c>
      <c r="F18352">
        <v>0</v>
      </c>
      <c r="G18352">
        <v>0</v>
      </c>
      <c r="H18352">
        <v>5</v>
      </c>
      <c r="I18352" s="3">
        <v>1932.84</v>
      </c>
      <c r="J18352" s="3">
        <v>330.94</v>
      </c>
      <c r="L18352">
        <v>1532</v>
      </c>
      <c r="M18352" t="s">
        <v>39840</v>
      </c>
      <c r="N18352" t="s">
        <v>30</v>
      </c>
      <c r="O18352" t="s">
        <v>31</v>
      </c>
      <c r="P18352" t="str">
        <f>"15212"</f>
        <v>15212</v>
      </c>
    </row>
    <row r="18353" spans="1:16" x14ac:dyDescent="0.25">
      <c r="A18353" t="str">
        <f>"1270044D00180    00"</f>
        <v>1270044D00180    00</v>
      </c>
      <c r="B18353" t="s">
        <v>39859</v>
      </c>
      <c r="C18353" t="s">
        <v>39839</v>
      </c>
      <c r="D18353" t="s">
        <v>20</v>
      </c>
      <c r="E18353" t="s">
        <v>39</v>
      </c>
      <c r="F18353">
        <v>0</v>
      </c>
      <c r="G18353">
        <v>0</v>
      </c>
      <c r="H18353">
        <v>17</v>
      </c>
      <c r="I18353" s="3">
        <v>5126</v>
      </c>
      <c r="J18353" s="3">
        <v>6005.27</v>
      </c>
      <c r="L18353">
        <v>131</v>
      </c>
      <c r="M18353" t="s">
        <v>3295</v>
      </c>
      <c r="N18353" t="s">
        <v>30</v>
      </c>
      <c r="O18353" t="s">
        <v>31</v>
      </c>
      <c r="P18353" t="str">
        <f>"15210"</f>
        <v>15210</v>
      </c>
    </row>
    <row r="18354" spans="1:16" x14ac:dyDescent="0.25">
      <c r="A18354" t="str">
        <f>"1270044D00181    00"</f>
        <v>1270044D00181    00</v>
      </c>
      <c r="B18354" t="s">
        <v>39860</v>
      </c>
      <c r="C18354" t="s">
        <v>39839</v>
      </c>
      <c r="D18354" t="s">
        <v>20</v>
      </c>
      <c r="E18354" t="s">
        <v>39</v>
      </c>
      <c r="F18354">
        <v>0</v>
      </c>
      <c r="G18354">
        <v>0</v>
      </c>
      <c r="H18354">
        <v>17</v>
      </c>
      <c r="I18354" s="3">
        <v>2164.3000000000002</v>
      </c>
      <c r="J18354" s="3">
        <v>2247.84</v>
      </c>
      <c r="L18354">
        <v>1538</v>
      </c>
      <c r="M18354" t="s">
        <v>39840</v>
      </c>
      <c r="N18354" t="s">
        <v>30</v>
      </c>
      <c r="O18354" t="s">
        <v>31</v>
      </c>
      <c r="P18354" t="str">
        <f>"15212"</f>
        <v>15212</v>
      </c>
    </row>
    <row r="18355" spans="1:16" x14ac:dyDescent="0.25">
      <c r="A18355" t="str">
        <f>"1270044D00182    00"</f>
        <v>1270044D00182    00</v>
      </c>
      <c r="B18355" t="s">
        <v>39861</v>
      </c>
      <c r="C18355" t="s">
        <v>39862</v>
      </c>
      <c r="D18355" t="s">
        <v>20</v>
      </c>
      <c r="E18355" t="s">
        <v>39</v>
      </c>
      <c r="F18355">
        <v>0</v>
      </c>
      <c r="G18355">
        <v>0</v>
      </c>
      <c r="H18355">
        <v>12</v>
      </c>
      <c r="I18355" s="3">
        <v>2706.46</v>
      </c>
      <c r="J18355" s="3">
        <v>1441.05</v>
      </c>
      <c r="K18355" t="s">
        <v>39863</v>
      </c>
      <c r="L18355">
        <v>301</v>
      </c>
      <c r="M18355" t="s">
        <v>39864</v>
      </c>
      <c r="N18355" t="s">
        <v>24193</v>
      </c>
      <c r="O18355" t="s">
        <v>31</v>
      </c>
      <c r="P18355" t="str">
        <f>"17403"</f>
        <v>17403</v>
      </c>
    </row>
    <row r="18356" spans="1:16" x14ac:dyDescent="0.25">
      <c r="A18356" t="str">
        <f>"1270044D00183    00"</f>
        <v>1270044D00183    00</v>
      </c>
      <c r="B18356" t="s">
        <v>39865</v>
      </c>
      <c r="C18356" t="s">
        <v>39866</v>
      </c>
      <c r="D18356" t="s">
        <v>20</v>
      </c>
      <c r="E18356" t="s">
        <v>39</v>
      </c>
      <c r="F18356">
        <v>0</v>
      </c>
      <c r="G18356">
        <v>0</v>
      </c>
      <c r="H18356">
        <v>13</v>
      </c>
      <c r="I18356" s="3">
        <v>4107.1899999999996</v>
      </c>
      <c r="J18356" s="3">
        <v>2758.87</v>
      </c>
      <c r="K18356" t="s">
        <v>39867</v>
      </c>
      <c r="L18356">
        <v>1542</v>
      </c>
      <c r="M18356" t="s">
        <v>39840</v>
      </c>
      <c r="N18356" t="s">
        <v>30</v>
      </c>
      <c r="O18356" t="s">
        <v>31</v>
      </c>
      <c r="P18356" t="str">
        <f>"15212"</f>
        <v>15212</v>
      </c>
    </row>
    <row r="18357" spans="1:16" x14ac:dyDescent="0.25">
      <c r="A18357" t="str">
        <f>"1270044D00197    00"</f>
        <v>1270044D00197    00</v>
      </c>
      <c r="B18357" t="s">
        <v>39808</v>
      </c>
      <c r="C18357" t="s">
        <v>39760</v>
      </c>
      <c r="D18357" t="s">
        <v>20</v>
      </c>
      <c r="E18357" t="s">
        <v>39</v>
      </c>
      <c r="F18357">
        <v>0</v>
      </c>
      <c r="G18357">
        <v>0</v>
      </c>
      <c r="H18357">
        <v>19</v>
      </c>
      <c r="I18357" s="3">
        <v>1385.21</v>
      </c>
      <c r="J18357" s="3">
        <v>1114.71</v>
      </c>
      <c r="K18357" t="s">
        <v>39809</v>
      </c>
      <c r="L18357">
        <v>3917</v>
      </c>
      <c r="M18357" t="s">
        <v>39810</v>
      </c>
      <c r="N18357" t="s">
        <v>30</v>
      </c>
      <c r="O18357" t="s">
        <v>31</v>
      </c>
      <c r="P18357" t="str">
        <f>"15212"</f>
        <v>15212</v>
      </c>
    </row>
    <row r="18358" spans="1:16" x14ac:dyDescent="0.25">
      <c r="A18358" t="str">
        <f>"1270044D00201    00"</f>
        <v>1270044D00201    00</v>
      </c>
      <c r="B18358" t="s">
        <v>39868</v>
      </c>
      <c r="C18358" t="s">
        <v>39869</v>
      </c>
      <c r="D18358" t="s">
        <v>20</v>
      </c>
      <c r="E18358" t="s">
        <v>39</v>
      </c>
      <c r="F18358">
        <v>0</v>
      </c>
      <c r="G18358">
        <v>0</v>
      </c>
      <c r="H18358">
        <v>19</v>
      </c>
      <c r="I18358" s="3">
        <v>14290.58</v>
      </c>
      <c r="J18358" s="3">
        <v>14260.82</v>
      </c>
      <c r="L18358">
        <v>102</v>
      </c>
      <c r="M18358" t="s">
        <v>39870</v>
      </c>
      <c r="N18358" t="s">
        <v>39871</v>
      </c>
      <c r="O18358" t="s">
        <v>31</v>
      </c>
      <c r="P18358" t="str">
        <f>"16033"</f>
        <v>16033</v>
      </c>
    </row>
    <row r="18359" spans="1:16" x14ac:dyDescent="0.25">
      <c r="A18359" t="str">
        <f>"1270044D00225    00"</f>
        <v>1270044D00225    00</v>
      </c>
      <c r="B18359" t="s">
        <v>39872</v>
      </c>
      <c r="C18359" t="s">
        <v>39873</v>
      </c>
      <c r="D18359" t="s">
        <v>20</v>
      </c>
      <c r="E18359" t="s">
        <v>39</v>
      </c>
      <c r="F18359">
        <v>0</v>
      </c>
      <c r="G18359">
        <v>0</v>
      </c>
      <c r="H18359">
        <v>19</v>
      </c>
      <c r="I18359" s="3">
        <v>10858.74</v>
      </c>
      <c r="J18359" s="3">
        <v>9786.2999999999993</v>
      </c>
      <c r="L18359">
        <v>1660</v>
      </c>
      <c r="M18359" t="s">
        <v>39874</v>
      </c>
      <c r="N18359" t="s">
        <v>30</v>
      </c>
      <c r="O18359" t="s">
        <v>31</v>
      </c>
      <c r="P18359" t="str">
        <f>"15212"</f>
        <v>15212</v>
      </c>
    </row>
    <row r="18360" spans="1:16" x14ac:dyDescent="0.25">
      <c r="A18360" t="str">
        <f>"1270044D00229    00"</f>
        <v>1270044D00229    00</v>
      </c>
      <c r="B18360" t="s">
        <v>39875</v>
      </c>
      <c r="C18360" t="s">
        <v>39876</v>
      </c>
      <c r="E18360" t="s">
        <v>39</v>
      </c>
      <c r="F18360">
        <v>0</v>
      </c>
      <c r="G18360">
        <v>0</v>
      </c>
      <c r="H18360">
        <v>4</v>
      </c>
      <c r="I18360" s="3">
        <v>1552.88</v>
      </c>
      <c r="J18360" s="3">
        <v>1255.25</v>
      </c>
      <c r="L18360">
        <v>2901</v>
      </c>
      <c r="M18360" t="s">
        <v>17198</v>
      </c>
      <c r="N18360" t="s">
        <v>30</v>
      </c>
      <c r="O18360" t="s">
        <v>31</v>
      </c>
      <c r="P18360" t="str">
        <f>"15212"</f>
        <v>15212</v>
      </c>
    </row>
    <row r="18361" spans="1:16" x14ac:dyDescent="0.25">
      <c r="A18361" t="str">
        <f>"1270044D00230    00"</f>
        <v>1270044D00230    00</v>
      </c>
      <c r="B18361" t="s">
        <v>39877</v>
      </c>
      <c r="C18361" t="s">
        <v>39878</v>
      </c>
      <c r="D18361" t="s">
        <v>20</v>
      </c>
      <c r="E18361" t="s">
        <v>39</v>
      </c>
      <c r="F18361">
        <v>0</v>
      </c>
      <c r="G18361">
        <v>0</v>
      </c>
      <c r="H18361">
        <v>10</v>
      </c>
      <c r="I18361" s="3">
        <v>7305.6</v>
      </c>
      <c r="J18361" s="3">
        <v>3128.12</v>
      </c>
      <c r="L18361">
        <v>161</v>
      </c>
      <c r="M18361" t="s">
        <v>39879</v>
      </c>
      <c r="N18361" t="s">
        <v>39880</v>
      </c>
      <c r="O18361" t="s">
        <v>31</v>
      </c>
      <c r="P18361" t="str">
        <f>"18969"</f>
        <v>18969</v>
      </c>
    </row>
    <row r="18362" spans="1:16" x14ac:dyDescent="0.25">
      <c r="A18362" t="str">
        <f>"1270044D00231    00"</f>
        <v>1270044D00231    00</v>
      </c>
      <c r="B18362" t="s">
        <v>39877</v>
      </c>
      <c r="C18362" t="s">
        <v>39881</v>
      </c>
      <c r="D18362" t="s">
        <v>20</v>
      </c>
      <c r="E18362" t="s">
        <v>39</v>
      </c>
      <c r="F18362">
        <v>0</v>
      </c>
      <c r="G18362">
        <v>0</v>
      </c>
      <c r="H18362">
        <v>10</v>
      </c>
      <c r="I18362" s="3">
        <v>9728.5400000000009</v>
      </c>
      <c r="J18362" s="3">
        <v>4165.55</v>
      </c>
      <c r="L18362">
        <v>161</v>
      </c>
      <c r="M18362" t="s">
        <v>39879</v>
      </c>
      <c r="N18362" t="s">
        <v>39880</v>
      </c>
      <c r="O18362" t="s">
        <v>31</v>
      </c>
      <c r="P18362" t="str">
        <f>"18969"</f>
        <v>18969</v>
      </c>
    </row>
    <row r="18363" spans="1:16" x14ac:dyDescent="0.25">
      <c r="A18363" t="str">
        <f>"1270044D00239    00"</f>
        <v>1270044D00239    00</v>
      </c>
      <c r="B18363" t="s">
        <v>39882</v>
      </c>
      <c r="C18363" t="s">
        <v>39883</v>
      </c>
      <c r="D18363" t="s">
        <v>20</v>
      </c>
      <c r="E18363" t="s">
        <v>39</v>
      </c>
      <c r="F18363">
        <v>0</v>
      </c>
      <c r="G18363">
        <v>0</v>
      </c>
      <c r="H18363">
        <v>1</v>
      </c>
      <c r="I18363" s="3">
        <v>581.34</v>
      </c>
      <c r="J18363" s="3">
        <v>0</v>
      </c>
      <c r="K18363" t="s">
        <v>39884</v>
      </c>
      <c r="L18363">
        <v>3619</v>
      </c>
      <c r="M18363" t="s">
        <v>38988</v>
      </c>
      <c r="N18363" t="s">
        <v>30</v>
      </c>
      <c r="O18363" t="s">
        <v>31</v>
      </c>
      <c r="P18363" t="str">
        <f>"15212"</f>
        <v>15212</v>
      </c>
    </row>
    <row r="18364" spans="1:16" x14ac:dyDescent="0.25">
      <c r="A18364" t="str">
        <f>"1270044D00242    00"</f>
        <v>1270044D00242    00</v>
      </c>
      <c r="B18364" t="s">
        <v>39885</v>
      </c>
      <c r="C18364" t="s">
        <v>39886</v>
      </c>
      <c r="D18364" t="s">
        <v>20</v>
      </c>
      <c r="E18364" t="s">
        <v>39</v>
      </c>
      <c r="F18364">
        <v>0</v>
      </c>
      <c r="G18364">
        <v>0</v>
      </c>
      <c r="H18364">
        <v>1</v>
      </c>
      <c r="I18364" s="3">
        <v>495.58</v>
      </c>
      <c r="J18364" s="3">
        <v>0</v>
      </c>
      <c r="K18364" t="s">
        <v>32411</v>
      </c>
      <c r="L18364">
        <v>3030</v>
      </c>
      <c r="M18364" t="s">
        <v>21885</v>
      </c>
      <c r="N18364" t="s">
        <v>6603</v>
      </c>
      <c r="O18364" t="s">
        <v>31</v>
      </c>
      <c r="P18364" t="str">
        <f>"15122"</f>
        <v>15122</v>
      </c>
    </row>
    <row r="18365" spans="1:16" x14ac:dyDescent="0.25">
      <c r="A18365" t="str">
        <f>"1270044D00247    00"</f>
        <v>1270044D00247    00</v>
      </c>
      <c r="B18365" t="s">
        <v>39887</v>
      </c>
      <c r="C18365" t="s">
        <v>33625</v>
      </c>
      <c r="D18365" t="s">
        <v>20</v>
      </c>
      <c r="E18365" t="s">
        <v>39</v>
      </c>
      <c r="F18365">
        <v>0</v>
      </c>
      <c r="G18365">
        <v>0</v>
      </c>
      <c r="H18365">
        <v>19</v>
      </c>
      <c r="I18365" s="3">
        <v>6287.81</v>
      </c>
      <c r="J18365" s="3">
        <v>5315.24</v>
      </c>
      <c r="L18365">
        <v>579</v>
      </c>
      <c r="M18365" t="s">
        <v>39888</v>
      </c>
      <c r="N18365" t="s">
        <v>30</v>
      </c>
      <c r="O18365" t="s">
        <v>31</v>
      </c>
      <c r="P18365" t="str">
        <f>"15202"</f>
        <v>15202</v>
      </c>
    </row>
    <row r="18366" spans="1:16" x14ac:dyDescent="0.25">
      <c r="A18366" t="str">
        <f>"1270044D00253    00"</f>
        <v>1270044D00253    00</v>
      </c>
      <c r="B18366" t="s">
        <v>39889</v>
      </c>
      <c r="C18366" t="s">
        <v>39839</v>
      </c>
      <c r="D18366" t="s">
        <v>20</v>
      </c>
      <c r="E18366" t="s">
        <v>39</v>
      </c>
      <c r="F18366">
        <v>0</v>
      </c>
      <c r="G18366">
        <v>0</v>
      </c>
      <c r="H18366">
        <v>19</v>
      </c>
      <c r="I18366" s="3">
        <v>6459.69</v>
      </c>
      <c r="J18366" s="3">
        <v>5744</v>
      </c>
      <c r="K18366" t="s">
        <v>39890</v>
      </c>
      <c r="L18366">
        <v>1600</v>
      </c>
      <c r="M18366" t="s">
        <v>39891</v>
      </c>
      <c r="N18366" t="s">
        <v>30</v>
      </c>
      <c r="O18366" t="s">
        <v>31</v>
      </c>
      <c r="P18366" t="str">
        <f>"15227"</f>
        <v>15227</v>
      </c>
    </row>
    <row r="18367" spans="1:16" x14ac:dyDescent="0.25">
      <c r="A18367" t="str">
        <f>"1270044D00255    00"</f>
        <v>1270044D00255    00</v>
      </c>
      <c r="B18367" t="s">
        <v>39892</v>
      </c>
      <c r="C18367" t="s">
        <v>39839</v>
      </c>
      <c r="D18367" t="s">
        <v>20</v>
      </c>
      <c r="E18367" t="s">
        <v>39</v>
      </c>
      <c r="F18367">
        <v>0</v>
      </c>
      <c r="G18367">
        <v>0</v>
      </c>
      <c r="H18367">
        <v>19</v>
      </c>
      <c r="I18367" s="3">
        <v>8911.08</v>
      </c>
      <c r="J18367" s="3">
        <v>12649.62</v>
      </c>
      <c r="L18367">
        <v>75</v>
      </c>
      <c r="M18367" t="s">
        <v>39893</v>
      </c>
      <c r="N18367" t="s">
        <v>526</v>
      </c>
      <c r="O18367" t="s">
        <v>31</v>
      </c>
      <c r="P18367" t="str">
        <f>"15301"</f>
        <v>15301</v>
      </c>
    </row>
    <row r="18368" spans="1:16" x14ac:dyDescent="0.25">
      <c r="A18368" t="str">
        <f>"1270044D00260    00"</f>
        <v>1270044D00260    00</v>
      </c>
      <c r="B18368" t="s">
        <v>39894</v>
      </c>
      <c r="C18368" t="s">
        <v>39839</v>
      </c>
      <c r="D18368" t="s">
        <v>20</v>
      </c>
      <c r="E18368" t="s">
        <v>39</v>
      </c>
      <c r="F18368">
        <v>0</v>
      </c>
      <c r="G18368">
        <v>0</v>
      </c>
      <c r="H18368">
        <v>19</v>
      </c>
      <c r="I18368" s="3">
        <v>572.94000000000005</v>
      </c>
      <c r="J18368" s="3">
        <v>685.28</v>
      </c>
      <c r="K18368" t="s">
        <v>1008</v>
      </c>
      <c r="P18368" t="str">
        <f>""</f>
        <v/>
      </c>
    </row>
    <row r="18369" spans="1:16" x14ac:dyDescent="0.25">
      <c r="A18369" t="str">
        <f>"1270044D00261    00"</f>
        <v>1270044D00261    00</v>
      </c>
      <c r="B18369" t="s">
        <v>39895</v>
      </c>
      <c r="C18369" t="s">
        <v>39839</v>
      </c>
      <c r="D18369" t="s">
        <v>20</v>
      </c>
      <c r="E18369" t="s">
        <v>39</v>
      </c>
      <c r="F18369">
        <v>0</v>
      </c>
      <c r="G18369">
        <v>0</v>
      </c>
      <c r="H18369">
        <v>7</v>
      </c>
      <c r="I18369" s="3">
        <v>91.05</v>
      </c>
      <c r="J18369" s="3">
        <v>25.5</v>
      </c>
      <c r="K18369" t="s">
        <v>39896</v>
      </c>
      <c r="L18369">
        <v>2365</v>
      </c>
      <c r="M18369" t="s">
        <v>39897</v>
      </c>
      <c r="N18369" t="s">
        <v>4652</v>
      </c>
      <c r="O18369" t="s">
        <v>370</v>
      </c>
      <c r="P18369" t="str">
        <f>"33133"</f>
        <v>33133</v>
      </c>
    </row>
    <row r="18370" spans="1:16" x14ac:dyDescent="0.25">
      <c r="A18370" t="str">
        <f>"1270044D00262    00"</f>
        <v>1270044D00262    00</v>
      </c>
      <c r="B18370" t="s">
        <v>39898</v>
      </c>
      <c r="C18370" t="s">
        <v>39899</v>
      </c>
      <c r="D18370" t="s">
        <v>20</v>
      </c>
      <c r="E18370" t="s">
        <v>39</v>
      </c>
      <c r="F18370">
        <v>0</v>
      </c>
      <c r="G18370">
        <v>0</v>
      </c>
      <c r="H18370">
        <v>1</v>
      </c>
      <c r="I18370" s="3">
        <v>404.09</v>
      </c>
      <c r="J18370" s="3">
        <v>0</v>
      </c>
      <c r="K18370" t="s">
        <v>39900</v>
      </c>
      <c r="L18370">
        <v>10238</v>
      </c>
      <c r="M18370" t="s">
        <v>11939</v>
      </c>
      <c r="N18370" t="s">
        <v>30</v>
      </c>
      <c r="O18370" t="s">
        <v>31</v>
      </c>
      <c r="P18370" t="str">
        <f>"15235"</f>
        <v>15235</v>
      </c>
    </row>
    <row r="18371" spans="1:16" x14ac:dyDescent="0.25">
      <c r="A18371" t="str">
        <f>"1270044D00263    00"</f>
        <v>1270044D00263    00</v>
      </c>
      <c r="B18371" t="s">
        <v>39901</v>
      </c>
      <c r="C18371" t="s">
        <v>39839</v>
      </c>
      <c r="D18371" t="s">
        <v>20</v>
      </c>
      <c r="E18371" t="s">
        <v>39</v>
      </c>
      <c r="F18371">
        <v>0</v>
      </c>
      <c r="G18371">
        <v>0</v>
      </c>
      <c r="H18371">
        <v>19</v>
      </c>
      <c r="I18371" s="3">
        <v>4081.66</v>
      </c>
      <c r="J18371" s="3">
        <v>5313.51</v>
      </c>
      <c r="L18371">
        <v>1525</v>
      </c>
      <c r="M18371" t="s">
        <v>39840</v>
      </c>
      <c r="N18371" t="s">
        <v>30</v>
      </c>
      <c r="O18371" t="s">
        <v>31</v>
      </c>
      <c r="P18371" t="str">
        <f>"15212"</f>
        <v>15212</v>
      </c>
    </row>
    <row r="18372" spans="1:16" x14ac:dyDescent="0.25">
      <c r="A18372" t="str">
        <f>"1270044D00264    00"</f>
        <v>1270044D00264    00</v>
      </c>
      <c r="B18372" t="s">
        <v>39901</v>
      </c>
      <c r="C18372" t="s">
        <v>39839</v>
      </c>
      <c r="D18372" t="s">
        <v>20</v>
      </c>
      <c r="E18372" t="s">
        <v>39</v>
      </c>
      <c r="F18372">
        <v>0</v>
      </c>
      <c r="G18372">
        <v>0</v>
      </c>
      <c r="H18372">
        <v>18</v>
      </c>
      <c r="I18372" s="3">
        <v>874.09</v>
      </c>
      <c r="J18372" s="3">
        <v>671.83</v>
      </c>
      <c r="L18372">
        <v>1503</v>
      </c>
      <c r="M18372" t="s">
        <v>39902</v>
      </c>
      <c r="N18372" t="s">
        <v>30</v>
      </c>
      <c r="O18372" t="s">
        <v>31</v>
      </c>
      <c r="P18372" t="str">
        <f>"15237"</f>
        <v>15237</v>
      </c>
    </row>
    <row r="18373" spans="1:16" x14ac:dyDescent="0.25">
      <c r="A18373" t="str">
        <f>"1270044D00265    00"</f>
        <v>1270044D00265    00</v>
      </c>
      <c r="B18373" t="s">
        <v>39844</v>
      </c>
      <c r="C18373" t="s">
        <v>39839</v>
      </c>
      <c r="D18373" t="s">
        <v>20</v>
      </c>
      <c r="E18373" t="s">
        <v>39</v>
      </c>
      <c r="F18373">
        <v>0</v>
      </c>
      <c r="G18373">
        <v>0</v>
      </c>
      <c r="H18373">
        <v>4</v>
      </c>
      <c r="I18373" s="3">
        <v>384.36</v>
      </c>
      <c r="J18373" s="3">
        <v>96.65</v>
      </c>
      <c r="L18373">
        <v>1512</v>
      </c>
      <c r="M18373" t="s">
        <v>39840</v>
      </c>
      <c r="N18373" t="s">
        <v>30</v>
      </c>
      <c r="O18373" t="s">
        <v>31</v>
      </c>
      <c r="P18373" t="str">
        <f>"15212"</f>
        <v>15212</v>
      </c>
    </row>
    <row r="18374" spans="1:16" x14ac:dyDescent="0.25">
      <c r="A18374" t="str">
        <f>"1270044D00266    00"</f>
        <v>1270044D00266    00</v>
      </c>
      <c r="B18374" t="s">
        <v>39903</v>
      </c>
      <c r="C18374" t="s">
        <v>39839</v>
      </c>
      <c r="D18374" t="s">
        <v>20</v>
      </c>
      <c r="E18374" t="s">
        <v>39</v>
      </c>
      <c r="F18374">
        <v>0</v>
      </c>
      <c r="G18374">
        <v>0</v>
      </c>
      <c r="H18374">
        <v>19</v>
      </c>
      <c r="I18374" s="3">
        <v>3590.85</v>
      </c>
      <c r="J18374" s="3">
        <v>2294.88</v>
      </c>
      <c r="K18374" t="s">
        <v>1008</v>
      </c>
      <c r="P18374" t="str">
        <f>""</f>
        <v/>
      </c>
    </row>
    <row r="18375" spans="1:16" x14ac:dyDescent="0.25">
      <c r="A18375" t="str">
        <f>"1270044D00268    00"</f>
        <v>1270044D00268    00</v>
      </c>
      <c r="B18375" t="s">
        <v>39904</v>
      </c>
      <c r="C18375" t="s">
        <v>39905</v>
      </c>
      <c r="D18375" t="s">
        <v>20</v>
      </c>
      <c r="E18375" t="s">
        <v>39</v>
      </c>
      <c r="F18375">
        <v>0</v>
      </c>
      <c r="G18375">
        <v>0</v>
      </c>
      <c r="H18375">
        <v>12</v>
      </c>
      <c r="I18375" s="3">
        <v>6713.25</v>
      </c>
      <c r="J18375" s="3">
        <v>3432.38</v>
      </c>
      <c r="L18375">
        <v>725</v>
      </c>
      <c r="M18375" t="s">
        <v>39906</v>
      </c>
      <c r="N18375" t="s">
        <v>30</v>
      </c>
      <c r="O18375" t="s">
        <v>31</v>
      </c>
      <c r="P18375" t="str">
        <f>"15235"</f>
        <v>15235</v>
      </c>
    </row>
    <row r="18376" spans="1:16" x14ac:dyDescent="0.25">
      <c r="A18376" t="str">
        <f>"1270044D00269    00"</f>
        <v>1270044D00269    00</v>
      </c>
      <c r="B18376" t="s">
        <v>39907</v>
      </c>
      <c r="C18376" t="s">
        <v>39839</v>
      </c>
      <c r="D18376" t="s">
        <v>20</v>
      </c>
      <c r="E18376" t="s">
        <v>39</v>
      </c>
      <c r="F18376">
        <v>0</v>
      </c>
      <c r="G18376">
        <v>0</v>
      </c>
      <c r="H18376">
        <v>14</v>
      </c>
      <c r="I18376" s="3">
        <v>1191.7</v>
      </c>
      <c r="J18376" s="3">
        <v>1324.86</v>
      </c>
      <c r="L18376">
        <v>3815</v>
      </c>
      <c r="M18376" t="s">
        <v>39908</v>
      </c>
      <c r="N18376" t="s">
        <v>30</v>
      </c>
      <c r="O18376" t="s">
        <v>31</v>
      </c>
      <c r="P18376" t="str">
        <f>"15212"</f>
        <v>15212</v>
      </c>
    </row>
    <row r="18377" spans="1:16" x14ac:dyDescent="0.25">
      <c r="A18377" t="str">
        <f>"1270044D00275    00"</f>
        <v>1270044D00275    00</v>
      </c>
      <c r="B18377" t="s">
        <v>39909</v>
      </c>
      <c r="C18377" t="s">
        <v>39910</v>
      </c>
      <c r="D18377" t="s">
        <v>20</v>
      </c>
      <c r="E18377" t="s">
        <v>39</v>
      </c>
      <c r="F18377">
        <v>0</v>
      </c>
      <c r="G18377">
        <v>0</v>
      </c>
      <c r="H18377">
        <v>2</v>
      </c>
      <c r="I18377" s="3">
        <v>17.59</v>
      </c>
      <c r="J18377" s="3">
        <v>0</v>
      </c>
      <c r="L18377">
        <v>2901</v>
      </c>
      <c r="M18377" t="s">
        <v>37451</v>
      </c>
      <c r="N18377" t="s">
        <v>30</v>
      </c>
      <c r="O18377" t="s">
        <v>31</v>
      </c>
      <c r="P18377" t="str">
        <f>"15212"</f>
        <v>15212</v>
      </c>
    </row>
    <row r="18378" spans="1:16" x14ac:dyDescent="0.25">
      <c r="A18378" t="str">
        <f>"1270044D00299    00"</f>
        <v>1270044D00299    00</v>
      </c>
      <c r="B18378" t="s">
        <v>39909</v>
      </c>
      <c r="C18378" t="s">
        <v>39911</v>
      </c>
      <c r="D18378" t="s">
        <v>20</v>
      </c>
      <c r="E18378" t="s">
        <v>39</v>
      </c>
      <c r="F18378">
        <v>0</v>
      </c>
      <c r="G18378">
        <v>0</v>
      </c>
      <c r="H18378">
        <v>2</v>
      </c>
      <c r="I18378" s="3">
        <v>595.01</v>
      </c>
      <c r="J18378" s="3">
        <v>0</v>
      </c>
      <c r="L18378">
        <v>2901</v>
      </c>
      <c r="M18378" t="s">
        <v>37451</v>
      </c>
      <c r="N18378" t="s">
        <v>30</v>
      </c>
      <c r="O18378" t="s">
        <v>31</v>
      </c>
      <c r="P18378" t="str">
        <f>"15212"</f>
        <v>15212</v>
      </c>
    </row>
    <row r="18379" spans="1:16" x14ac:dyDescent="0.25">
      <c r="A18379" t="str">
        <f>"1270044D00316    00"</f>
        <v>1270044D00316    00</v>
      </c>
      <c r="B18379" t="s">
        <v>39616</v>
      </c>
      <c r="C18379" t="s">
        <v>39912</v>
      </c>
      <c r="D18379" t="s">
        <v>20</v>
      </c>
      <c r="E18379" t="s">
        <v>39</v>
      </c>
      <c r="F18379">
        <v>0</v>
      </c>
      <c r="G18379">
        <v>0</v>
      </c>
      <c r="H18379">
        <v>8</v>
      </c>
      <c r="I18379" s="3">
        <v>7923.46</v>
      </c>
      <c r="J18379" s="3">
        <v>2763.84</v>
      </c>
      <c r="K18379" t="s">
        <v>39618</v>
      </c>
      <c r="L18379">
        <v>2907</v>
      </c>
      <c r="M18379" t="s">
        <v>37451</v>
      </c>
      <c r="N18379" t="s">
        <v>30</v>
      </c>
      <c r="O18379" t="s">
        <v>31</v>
      </c>
      <c r="P18379" t="str">
        <f>"15212"</f>
        <v>15212</v>
      </c>
    </row>
    <row r="18380" spans="1:16" x14ac:dyDescent="0.25">
      <c r="A18380" t="str">
        <f>"1270044D00342    00"</f>
        <v>1270044D00342    00</v>
      </c>
      <c r="B18380" t="s">
        <v>39913</v>
      </c>
      <c r="C18380" t="s">
        <v>39914</v>
      </c>
      <c r="E18380" t="s">
        <v>39</v>
      </c>
      <c r="F18380">
        <v>0</v>
      </c>
      <c r="G18380">
        <v>0</v>
      </c>
      <c r="H18380">
        <v>1</v>
      </c>
      <c r="I18380" s="3">
        <v>867.16</v>
      </c>
      <c r="J18380" s="3">
        <v>0</v>
      </c>
      <c r="L18380">
        <v>2901</v>
      </c>
      <c r="M18380" t="s">
        <v>37451</v>
      </c>
      <c r="N18380" t="s">
        <v>30</v>
      </c>
      <c r="O18380" t="s">
        <v>31</v>
      </c>
      <c r="P18380" t="str">
        <f>"15212"</f>
        <v>15212</v>
      </c>
    </row>
    <row r="18381" spans="1:16" x14ac:dyDescent="0.25">
      <c r="A18381" t="str">
        <f>"1270044H00015    00"</f>
        <v>1270044H00015    00</v>
      </c>
      <c r="B18381" t="s">
        <v>39915</v>
      </c>
      <c r="C18381" t="s">
        <v>39916</v>
      </c>
      <c r="E18381" t="s">
        <v>39</v>
      </c>
      <c r="F18381">
        <v>0</v>
      </c>
      <c r="G18381">
        <v>0</v>
      </c>
      <c r="H18381">
        <v>1</v>
      </c>
      <c r="I18381" s="3">
        <v>196.14</v>
      </c>
      <c r="J18381" s="3">
        <v>39.229999999999997</v>
      </c>
      <c r="K18381" t="s">
        <v>1427</v>
      </c>
      <c r="L18381">
        <v>3001</v>
      </c>
      <c r="M18381" t="s">
        <v>330</v>
      </c>
      <c r="N18381" t="s">
        <v>331</v>
      </c>
      <c r="O18381" t="s">
        <v>108</v>
      </c>
      <c r="P18381" t="str">
        <f>"75063"</f>
        <v>75063</v>
      </c>
    </row>
    <row r="18382" spans="1:16" x14ac:dyDescent="0.25">
      <c r="A18382" t="str">
        <f>"1270044H00018    00"</f>
        <v>1270044H00018    00</v>
      </c>
      <c r="B18382" t="s">
        <v>39917</v>
      </c>
      <c r="C18382" t="s">
        <v>39918</v>
      </c>
      <c r="E18382" t="s">
        <v>39</v>
      </c>
      <c r="F18382">
        <v>0</v>
      </c>
      <c r="G18382">
        <v>0</v>
      </c>
      <c r="H18382">
        <v>6</v>
      </c>
      <c r="I18382" s="3">
        <v>3631.76</v>
      </c>
      <c r="J18382" s="3">
        <v>3226.15</v>
      </c>
      <c r="L18382">
        <v>1436</v>
      </c>
      <c r="M18382" t="s">
        <v>39919</v>
      </c>
      <c r="N18382" t="s">
        <v>30</v>
      </c>
      <c r="O18382" t="s">
        <v>31</v>
      </c>
      <c r="P18382" t="str">
        <f>"15212"</f>
        <v>15212</v>
      </c>
    </row>
    <row r="18383" spans="1:16" x14ac:dyDescent="0.25">
      <c r="A18383" t="str">
        <f>"1270044H00029    00"</f>
        <v>1270044H00029    00</v>
      </c>
      <c r="B18383" t="s">
        <v>39920</v>
      </c>
      <c r="C18383" t="s">
        <v>39921</v>
      </c>
      <c r="D18383" t="s">
        <v>20</v>
      </c>
      <c r="E18383" t="s">
        <v>39</v>
      </c>
      <c r="F18383">
        <v>0</v>
      </c>
      <c r="G18383">
        <v>0</v>
      </c>
      <c r="H18383">
        <v>6</v>
      </c>
      <c r="I18383" s="3">
        <v>3825.73</v>
      </c>
      <c r="J18383" s="3">
        <v>946.37</v>
      </c>
      <c r="L18383">
        <v>3115</v>
      </c>
      <c r="M18383" t="s">
        <v>39922</v>
      </c>
      <c r="N18383" t="s">
        <v>25890</v>
      </c>
      <c r="O18383" t="s">
        <v>1184</v>
      </c>
      <c r="P18383" t="str">
        <f>"20774"</f>
        <v>20774</v>
      </c>
    </row>
    <row r="18384" spans="1:16" x14ac:dyDescent="0.25">
      <c r="A18384" t="str">
        <f>"1270044H00040    00"</f>
        <v>1270044H00040    00</v>
      </c>
      <c r="B18384" t="s">
        <v>39923</v>
      </c>
      <c r="C18384" t="s">
        <v>39924</v>
      </c>
      <c r="D18384" t="s">
        <v>20</v>
      </c>
      <c r="E18384" t="s">
        <v>39</v>
      </c>
      <c r="F18384">
        <v>0</v>
      </c>
      <c r="G18384">
        <v>0</v>
      </c>
      <c r="H18384">
        <v>2</v>
      </c>
      <c r="I18384" s="3">
        <v>1547.7</v>
      </c>
      <c r="J18384" s="3">
        <v>0</v>
      </c>
      <c r="L18384">
        <v>2220</v>
      </c>
      <c r="M18384" t="s">
        <v>39925</v>
      </c>
      <c r="N18384" t="s">
        <v>31475</v>
      </c>
      <c r="O18384" t="s">
        <v>31</v>
      </c>
      <c r="P18384" t="str">
        <f>"15010"</f>
        <v>15010</v>
      </c>
    </row>
    <row r="18385" spans="1:16" x14ac:dyDescent="0.25">
      <c r="A18385" t="str">
        <f>"1270044H00048    00"</f>
        <v>1270044H00048    00</v>
      </c>
      <c r="B18385" t="s">
        <v>39926</v>
      </c>
      <c r="C18385" t="s">
        <v>39927</v>
      </c>
      <c r="D18385" t="s">
        <v>20</v>
      </c>
      <c r="E18385" t="s">
        <v>39</v>
      </c>
      <c r="F18385">
        <v>0</v>
      </c>
      <c r="G18385">
        <v>0</v>
      </c>
      <c r="H18385">
        <v>7</v>
      </c>
      <c r="I18385" s="3">
        <v>2401.1799999999998</v>
      </c>
      <c r="J18385" s="3">
        <v>664</v>
      </c>
      <c r="L18385">
        <v>921</v>
      </c>
      <c r="M18385" t="s">
        <v>39928</v>
      </c>
      <c r="N18385" t="s">
        <v>1823</v>
      </c>
      <c r="O18385" t="s">
        <v>31</v>
      </c>
      <c r="P18385" t="str">
        <f>"15024"</f>
        <v>15024</v>
      </c>
    </row>
    <row r="18386" spans="1:16" x14ac:dyDescent="0.25">
      <c r="A18386" t="str">
        <f>"1270044H00051    00"</f>
        <v>1270044H00051    00</v>
      </c>
      <c r="B18386" t="s">
        <v>39929</v>
      </c>
      <c r="C18386" t="s">
        <v>39930</v>
      </c>
      <c r="D18386" t="s">
        <v>20</v>
      </c>
      <c r="E18386" t="s">
        <v>39</v>
      </c>
      <c r="F18386">
        <v>0</v>
      </c>
      <c r="G18386">
        <v>0</v>
      </c>
      <c r="H18386">
        <v>4</v>
      </c>
      <c r="I18386" s="3">
        <v>1604.47</v>
      </c>
      <c r="J18386" s="3">
        <v>315.05</v>
      </c>
      <c r="L18386">
        <v>17</v>
      </c>
      <c r="M18386" t="s">
        <v>37451</v>
      </c>
      <c r="N18386" t="s">
        <v>30</v>
      </c>
      <c r="O18386" t="s">
        <v>31</v>
      </c>
      <c r="P18386" t="str">
        <f>"15212"</f>
        <v>15212</v>
      </c>
    </row>
    <row r="18387" spans="1:16" x14ac:dyDescent="0.25">
      <c r="A18387" t="str">
        <f>"1270044H00059    00"</f>
        <v>1270044H00059    00</v>
      </c>
      <c r="B18387" t="s">
        <v>39931</v>
      </c>
      <c r="C18387" t="s">
        <v>39932</v>
      </c>
      <c r="D18387" t="s">
        <v>20</v>
      </c>
      <c r="E18387" t="s">
        <v>39</v>
      </c>
      <c r="F18387">
        <v>0</v>
      </c>
      <c r="G18387">
        <v>0</v>
      </c>
      <c r="H18387">
        <v>19</v>
      </c>
      <c r="I18387" s="3">
        <v>5432.88</v>
      </c>
      <c r="J18387" s="3">
        <v>7424.46</v>
      </c>
      <c r="L18387">
        <v>25</v>
      </c>
      <c r="M18387" t="s">
        <v>39933</v>
      </c>
      <c r="N18387" t="s">
        <v>30</v>
      </c>
      <c r="O18387" t="s">
        <v>31</v>
      </c>
      <c r="P18387" t="str">
        <f>"15202"</f>
        <v>15202</v>
      </c>
    </row>
    <row r="18388" spans="1:16" x14ac:dyDescent="0.25">
      <c r="A18388" t="str">
        <f>"1270044H00060    00"</f>
        <v>1270044H00060    00</v>
      </c>
      <c r="B18388" t="s">
        <v>39934</v>
      </c>
      <c r="C18388" t="s">
        <v>39932</v>
      </c>
      <c r="D18388" t="s">
        <v>20</v>
      </c>
      <c r="E18388" t="s">
        <v>39</v>
      </c>
      <c r="F18388">
        <v>0</v>
      </c>
      <c r="G18388">
        <v>0</v>
      </c>
      <c r="H18388">
        <v>14</v>
      </c>
      <c r="I18388" s="3">
        <v>1850.95</v>
      </c>
      <c r="J18388" s="3">
        <v>2031.25</v>
      </c>
      <c r="L18388">
        <v>5213</v>
      </c>
      <c r="M18388" t="s">
        <v>39935</v>
      </c>
      <c r="N18388" t="s">
        <v>26823</v>
      </c>
      <c r="O18388" t="s">
        <v>495</v>
      </c>
      <c r="P18388" t="str">
        <f>"90808"</f>
        <v>90808</v>
      </c>
    </row>
    <row r="18389" spans="1:16" x14ac:dyDescent="0.25">
      <c r="A18389" t="str">
        <f>"1270044H00061    00"</f>
        <v>1270044H00061    00</v>
      </c>
      <c r="B18389" t="s">
        <v>39936</v>
      </c>
      <c r="C18389" t="s">
        <v>39932</v>
      </c>
      <c r="D18389" t="s">
        <v>20</v>
      </c>
      <c r="E18389" t="s">
        <v>39</v>
      </c>
      <c r="F18389">
        <v>0</v>
      </c>
      <c r="G18389">
        <v>0</v>
      </c>
      <c r="H18389">
        <v>19</v>
      </c>
      <c r="I18389" s="3">
        <v>5290.63</v>
      </c>
      <c r="J18389" s="3">
        <v>7660.3</v>
      </c>
      <c r="L18389">
        <v>2600</v>
      </c>
      <c r="M18389" t="s">
        <v>39937</v>
      </c>
      <c r="N18389" t="s">
        <v>30</v>
      </c>
      <c r="O18389" t="s">
        <v>31</v>
      </c>
      <c r="P18389" t="str">
        <f>"15212"</f>
        <v>15212</v>
      </c>
    </row>
    <row r="18390" spans="1:16" x14ac:dyDescent="0.25">
      <c r="A18390" t="str">
        <f>"1270044H00064    00"</f>
        <v>1270044H00064    00</v>
      </c>
      <c r="B18390" t="s">
        <v>39938</v>
      </c>
      <c r="C18390" t="s">
        <v>39939</v>
      </c>
      <c r="D18390" t="s">
        <v>20</v>
      </c>
      <c r="E18390" t="s">
        <v>39</v>
      </c>
      <c r="F18390">
        <v>0</v>
      </c>
      <c r="G18390">
        <v>0</v>
      </c>
      <c r="H18390">
        <v>8</v>
      </c>
      <c r="I18390" s="3">
        <v>1202.28</v>
      </c>
      <c r="J18390" s="3">
        <v>348.85</v>
      </c>
      <c r="L18390">
        <v>2669</v>
      </c>
      <c r="M18390" t="s">
        <v>39937</v>
      </c>
      <c r="N18390" t="s">
        <v>30</v>
      </c>
      <c r="O18390" t="s">
        <v>31</v>
      </c>
      <c r="P18390" t="str">
        <f>"15212"</f>
        <v>15212</v>
      </c>
    </row>
    <row r="18391" spans="1:16" x14ac:dyDescent="0.25">
      <c r="A18391" t="str">
        <f>"1270044H00079    00"</f>
        <v>1270044H00079    00</v>
      </c>
      <c r="B18391" t="s">
        <v>39940</v>
      </c>
      <c r="C18391" t="s">
        <v>39941</v>
      </c>
      <c r="D18391" t="s">
        <v>20</v>
      </c>
      <c r="E18391" t="s">
        <v>39</v>
      </c>
      <c r="F18391">
        <v>0</v>
      </c>
      <c r="G18391">
        <v>0</v>
      </c>
      <c r="H18391">
        <v>4</v>
      </c>
      <c r="I18391" s="3">
        <v>851.69</v>
      </c>
      <c r="J18391" s="3">
        <v>57.54</v>
      </c>
      <c r="L18391">
        <v>1505</v>
      </c>
      <c r="M18391" t="s">
        <v>13728</v>
      </c>
      <c r="N18391" t="s">
        <v>30</v>
      </c>
      <c r="O18391" t="s">
        <v>31</v>
      </c>
      <c r="P18391" t="str">
        <f>"15212"</f>
        <v>15212</v>
      </c>
    </row>
    <row r="18392" spans="1:16" x14ac:dyDescent="0.25">
      <c r="A18392" t="str">
        <f>"1270044H00087    00"</f>
        <v>1270044H00087    00</v>
      </c>
      <c r="B18392" t="s">
        <v>39942</v>
      </c>
      <c r="C18392" t="s">
        <v>39943</v>
      </c>
      <c r="D18392" t="s">
        <v>20</v>
      </c>
      <c r="E18392" t="s">
        <v>39</v>
      </c>
      <c r="F18392">
        <v>0</v>
      </c>
      <c r="G18392">
        <v>0</v>
      </c>
      <c r="H18392">
        <v>3</v>
      </c>
      <c r="I18392" s="3">
        <v>1041.97</v>
      </c>
      <c r="J18392" s="3">
        <v>52.1</v>
      </c>
      <c r="K18392" t="s">
        <v>39944</v>
      </c>
      <c r="L18392">
        <v>803</v>
      </c>
      <c r="M18392" t="s">
        <v>23387</v>
      </c>
      <c r="N18392" t="s">
        <v>24071</v>
      </c>
      <c r="O18392" t="s">
        <v>31</v>
      </c>
      <c r="P18392" t="str">
        <f>"15042"</f>
        <v>15042</v>
      </c>
    </row>
    <row r="18393" spans="1:16" x14ac:dyDescent="0.25">
      <c r="A18393" t="str">
        <f>"1270044H00095    00"</f>
        <v>1270044H00095    00</v>
      </c>
      <c r="B18393" t="s">
        <v>39945</v>
      </c>
      <c r="C18393" t="s">
        <v>39943</v>
      </c>
      <c r="D18393" t="s">
        <v>20</v>
      </c>
      <c r="E18393" t="s">
        <v>39</v>
      </c>
      <c r="F18393">
        <v>0</v>
      </c>
      <c r="G18393">
        <v>0</v>
      </c>
      <c r="H18393">
        <v>19</v>
      </c>
      <c r="I18393" s="3">
        <v>619.55999999999995</v>
      </c>
      <c r="J18393" s="3">
        <v>732.44</v>
      </c>
      <c r="K18393" t="s">
        <v>1008</v>
      </c>
      <c r="P18393" t="str">
        <f>""</f>
        <v/>
      </c>
    </row>
    <row r="18394" spans="1:16" x14ac:dyDescent="0.25">
      <c r="A18394" t="str">
        <f>"1270044H00110    00"</f>
        <v>1270044H00110    00</v>
      </c>
      <c r="B18394" t="s">
        <v>39946</v>
      </c>
      <c r="C18394" t="s">
        <v>39947</v>
      </c>
      <c r="D18394" t="s">
        <v>20</v>
      </c>
      <c r="E18394" t="s">
        <v>39</v>
      </c>
      <c r="F18394">
        <v>0</v>
      </c>
      <c r="G18394">
        <v>0</v>
      </c>
      <c r="H18394">
        <v>12</v>
      </c>
      <c r="I18394" s="3">
        <v>5699.99</v>
      </c>
      <c r="J18394" s="3">
        <v>3098.7</v>
      </c>
      <c r="L18394">
        <v>1500</v>
      </c>
      <c r="M18394" t="s">
        <v>13728</v>
      </c>
      <c r="N18394" t="s">
        <v>30</v>
      </c>
      <c r="O18394" t="s">
        <v>31</v>
      </c>
      <c r="P18394" t="str">
        <f t="shared" ref="P18394:P18400" si="231">"15212"</f>
        <v>15212</v>
      </c>
    </row>
    <row r="18395" spans="1:16" x14ac:dyDescent="0.25">
      <c r="A18395" t="str">
        <f>"1270044H00112    00"</f>
        <v>1270044H00112    00</v>
      </c>
      <c r="B18395" t="s">
        <v>39948</v>
      </c>
      <c r="C18395" t="s">
        <v>39949</v>
      </c>
      <c r="D18395" t="s">
        <v>20</v>
      </c>
      <c r="E18395" t="s">
        <v>39</v>
      </c>
      <c r="F18395">
        <v>0</v>
      </c>
      <c r="G18395">
        <v>0</v>
      </c>
      <c r="H18395">
        <v>2</v>
      </c>
      <c r="I18395" s="3">
        <v>1997.48</v>
      </c>
      <c r="J18395" s="3">
        <v>0</v>
      </c>
      <c r="L18395">
        <v>2711</v>
      </c>
      <c r="M18395" t="s">
        <v>37451</v>
      </c>
      <c r="N18395" t="s">
        <v>30</v>
      </c>
      <c r="O18395" t="s">
        <v>31</v>
      </c>
      <c r="P18395" t="str">
        <f t="shared" si="231"/>
        <v>15212</v>
      </c>
    </row>
    <row r="18396" spans="1:16" x14ac:dyDescent="0.25">
      <c r="A18396" t="str">
        <f>"1270044H00123    00"</f>
        <v>1270044H00123    00</v>
      </c>
      <c r="B18396" t="s">
        <v>39950</v>
      </c>
      <c r="C18396" t="s">
        <v>39951</v>
      </c>
      <c r="D18396" t="s">
        <v>20</v>
      </c>
      <c r="E18396" t="s">
        <v>39</v>
      </c>
      <c r="F18396">
        <v>0</v>
      </c>
      <c r="G18396">
        <v>0</v>
      </c>
      <c r="H18396">
        <v>1</v>
      </c>
      <c r="I18396" s="3">
        <v>1185.53</v>
      </c>
      <c r="J18396" s="3">
        <v>0</v>
      </c>
      <c r="L18396">
        <v>2819</v>
      </c>
      <c r="M18396" t="s">
        <v>37451</v>
      </c>
      <c r="N18396" t="s">
        <v>30</v>
      </c>
      <c r="O18396" t="s">
        <v>31</v>
      </c>
      <c r="P18396" t="str">
        <f t="shared" si="231"/>
        <v>15212</v>
      </c>
    </row>
    <row r="18397" spans="1:16" x14ac:dyDescent="0.25">
      <c r="A18397" t="str">
        <f>"1270044H00130    00"</f>
        <v>1270044H00130    00</v>
      </c>
      <c r="B18397" t="s">
        <v>39952</v>
      </c>
      <c r="C18397" t="s">
        <v>39953</v>
      </c>
      <c r="E18397" t="s">
        <v>39</v>
      </c>
      <c r="F18397">
        <v>0</v>
      </c>
      <c r="G18397">
        <v>0</v>
      </c>
      <c r="H18397">
        <v>3</v>
      </c>
      <c r="I18397" s="3">
        <v>851.71</v>
      </c>
      <c r="J18397" s="3">
        <v>11.38</v>
      </c>
      <c r="L18397">
        <v>2811</v>
      </c>
      <c r="M18397" t="s">
        <v>39954</v>
      </c>
      <c r="N18397" t="s">
        <v>30</v>
      </c>
      <c r="O18397" t="s">
        <v>31</v>
      </c>
      <c r="P18397" t="str">
        <f t="shared" si="231"/>
        <v>15212</v>
      </c>
    </row>
    <row r="18398" spans="1:16" x14ac:dyDescent="0.25">
      <c r="A18398" t="str">
        <f>"1270044H00136    00"</f>
        <v>1270044H00136    00</v>
      </c>
      <c r="B18398" t="s">
        <v>39955</v>
      </c>
      <c r="C18398" t="s">
        <v>39956</v>
      </c>
      <c r="D18398" t="s">
        <v>20</v>
      </c>
      <c r="E18398" t="s">
        <v>39</v>
      </c>
      <c r="F18398">
        <v>0</v>
      </c>
      <c r="G18398">
        <v>0</v>
      </c>
      <c r="H18398">
        <v>8</v>
      </c>
      <c r="I18398" s="3">
        <v>9987.39</v>
      </c>
      <c r="J18398" s="3">
        <v>3261.88</v>
      </c>
      <c r="L18398">
        <v>2816</v>
      </c>
      <c r="M18398" t="s">
        <v>39954</v>
      </c>
      <c r="N18398" t="s">
        <v>30</v>
      </c>
      <c r="O18398" t="s">
        <v>31</v>
      </c>
      <c r="P18398" t="str">
        <f t="shared" si="231"/>
        <v>15212</v>
      </c>
    </row>
    <row r="18399" spans="1:16" x14ac:dyDescent="0.25">
      <c r="A18399" t="str">
        <f>"1270044H00145    00"</f>
        <v>1270044H00145    00</v>
      </c>
      <c r="B18399" t="s">
        <v>39957</v>
      </c>
      <c r="C18399" t="s">
        <v>39958</v>
      </c>
      <c r="D18399" t="s">
        <v>20</v>
      </c>
      <c r="E18399" t="s">
        <v>39</v>
      </c>
      <c r="F18399">
        <v>0</v>
      </c>
      <c r="G18399">
        <v>0</v>
      </c>
      <c r="H18399">
        <v>19</v>
      </c>
      <c r="I18399" s="3">
        <v>8738.74</v>
      </c>
      <c r="J18399" s="3">
        <v>8137.69</v>
      </c>
      <c r="L18399">
        <v>6</v>
      </c>
      <c r="M18399" t="s">
        <v>39959</v>
      </c>
      <c r="N18399" t="s">
        <v>30</v>
      </c>
      <c r="O18399" t="s">
        <v>31</v>
      </c>
      <c r="P18399" t="str">
        <f t="shared" si="231"/>
        <v>15212</v>
      </c>
    </row>
    <row r="18400" spans="1:16" x14ac:dyDescent="0.25">
      <c r="A18400" t="str">
        <f>"1270044H00149    00"</f>
        <v>1270044H00149    00</v>
      </c>
      <c r="B18400" t="s">
        <v>39952</v>
      </c>
      <c r="C18400" t="s">
        <v>39960</v>
      </c>
      <c r="E18400" t="s">
        <v>39</v>
      </c>
      <c r="F18400">
        <v>0</v>
      </c>
      <c r="G18400">
        <v>0</v>
      </c>
      <c r="H18400">
        <v>1</v>
      </c>
      <c r="I18400" s="3">
        <v>281.93</v>
      </c>
      <c r="J18400" s="3">
        <v>0</v>
      </c>
      <c r="L18400">
        <v>2811</v>
      </c>
      <c r="M18400" t="s">
        <v>39954</v>
      </c>
      <c r="N18400" t="s">
        <v>30</v>
      </c>
      <c r="O18400" t="s">
        <v>31</v>
      </c>
      <c r="P18400" t="str">
        <f t="shared" si="231"/>
        <v>15212</v>
      </c>
    </row>
    <row r="18401" spans="1:16" x14ac:dyDescent="0.25">
      <c r="A18401" t="str">
        <f>"1270044H00158    00"</f>
        <v>1270044H00158    00</v>
      </c>
      <c r="B18401" t="s">
        <v>39961</v>
      </c>
      <c r="C18401" t="s">
        <v>39953</v>
      </c>
      <c r="D18401" t="s">
        <v>20</v>
      </c>
      <c r="E18401" t="s">
        <v>39</v>
      </c>
      <c r="F18401">
        <v>0</v>
      </c>
      <c r="G18401">
        <v>0</v>
      </c>
      <c r="H18401">
        <v>19</v>
      </c>
      <c r="I18401" s="3">
        <v>6783.92</v>
      </c>
      <c r="J18401" s="3">
        <v>6797.07</v>
      </c>
      <c r="P18401" t="str">
        <f>""</f>
        <v/>
      </c>
    </row>
    <row r="18402" spans="1:16" x14ac:dyDescent="0.25">
      <c r="A18402" t="str">
        <f>"1270044H00162    00"</f>
        <v>1270044H00162    00</v>
      </c>
      <c r="B18402" t="s">
        <v>39962</v>
      </c>
      <c r="C18402" t="s">
        <v>39963</v>
      </c>
      <c r="D18402" t="s">
        <v>20</v>
      </c>
      <c r="E18402" t="s">
        <v>39</v>
      </c>
      <c r="F18402">
        <v>0</v>
      </c>
      <c r="G18402">
        <v>0</v>
      </c>
      <c r="H18402">
        <v>14</v>
      </c>
      <c r="I18402" s="3">
        <v>6712.58</v>
      </c>
      <c r="J18402" s="3">
        <v>4211.92</v>
      </c>
      <c r="L18402">
        <v>2707</v>
      </c>
      <c r="M18402" t="s">
        <v>39954</v>
      </c>
      <c r="N18402" t="s">
        <v>30</v>
      </c>
      <c r="O18402" t="s">
        <v>31</v>
      </c>
      <c r="P18402" t="str">
        <f>"15212"</f>
        <v>15212</v>
      </c>
    </row>
    <row r="18403" spans="1:16" x14ac:dyDescent="0.25">
      <c r="A18403" t="str">
        <f>"1270044H00187    00"</f>
        <v>1270044H00187    00</v>
      </c>
      <c r="B18403" t="s">
        <v>34080</v>
      </c>
      <c r="C18403" t="s">
        <v>39964</v>
      </c>
      <c r="D18403" t="s">
        <v>20</v>
      </c>
      <c r="E18403" t="s">
        <v>39</v>
      </c>
      <c r="F18403">
        <v>0</v>
      </c>
      <c r="G18403">
        <v>0</v>
      </c>
      <c r="H18403">
        <v>3</v>
      </c>
      <c r="I18403" s="3">
        <v>1692.6</v>
      </c>
      <c r="J18403" s="3">
        <v>112.83</v>
      </c>
      <c r="K18403" t="s">
        <v>34082</v>
      </c>
      <c r="L18403">
        <v>1306</v>
      </c>
      <c r="M18403" t="s">
        <v>39965</v>
      </c>
      <c r="N18403" t="s">
        <v>1210</v>
      </c>
      <c r="O18403" t="s">
        <v>495</v>
      </c>
      <c r="P18403" t="str">
        <f>"94127"</f>
        <v>94127</v>
      </c>
    </row>
    <row r="18404" spans="1:16" x14ac:dyDescent="0.25">
      <c r="A18404" t="str">
        <f>"1270044H00200    00"</f>
        <v>1270044H00200    00</v>
      </c>
      <c r="B18404" t="s">
        <v>39966</v>
      </c>
      <c r="C18404" t="s">
        <v>39967</v>
      </c>
      <c r="E18404" t="s">
        <v>39</v>
      </c>
      <c r="F18404">
        <v>0</v>
      </c>
      <c r="G18404">
        <v>0</v>
      </c>
      <c r="H18404">
        <v>1</v>
      </c>
      <c r="I18404" s="3">
        <v>170.92</v>
      </c>
      <c r="J18404" s="3">
        <v>0</v>
      </c>
      <c r="L18404">
        <v>2811</v>
      </c>
      <c r="M18404" t="s">
        <v>39954</v>
      </c>
      <c r="N18404" t="s">
        <v>30</v>
      </c>
      <c r="O18404" t="s">
        <v>31</v>
      </c>
      <c r="P18404" t="str">
        <f>"15212"</f>
        <v>15212</v>
      </c>
    </row>
    <row r="18405" spans="1:16" x14ac:dyDescent="0.25">
      <c r="A18405" t="str">
        <f>"1270044H00205    00"</f>
        <v>1270044H00205    00</v>
      </c>
      <c r="B18405" t="s">
        <v>39968</v>
      </c>
      <c r="C18405" t="s">
        <v>39969</v>
      </c>
      <c r="D18405" t="s">
        <v>20</v>
      </c>
      <c r="E18405" t="s">
        <v>39</v>
      </c>
      <c r="F18405">
        <v>0</v>
      </c>
      <c r="G18405">
        <v>0</v>
      </c>
      <c r="H18405">
        <v>17</v>
      </c>
      <c r="I18405" s="3">
        <v>5153.22</v>
      </c>
      <c r="J18405" s="3">
        <v>7428.18</v>
      </c>
      <c r="K18405" t="s">
        <v>39970</v>
      </c>
      <c r="L18405">
        <v>111</v>
      </c>
      <c r="M18405" t="s">
        <v>39971</v>
      </c>
      <c r="N18405" t="s">
        <v>4150</v>
      </c>
      <c r="O18405" t="s">
        <v>31</v>
      </c>
      <c r="P18405" t="str">
        <f>"15116"</f>
        <v>15116</v>
      </c>
    </row>
    <row r="18406" spans="1:16" x14ac:dyDescent="0.25">
      <c r="A18406" t="str">
        <f>"1270044H00207    00"</f>
        <v>1270044H00207    00</v>
      </c>
      <c r="B18406" t="s">
        <v>39972</v>
      </c>
      <c r="C18406" t="s">
        <v>39973</v>
      </c>
      <c r="D18406" t="s">
        <v>20</v>
      </c>
      <c r="E18406" t="s">
        <v>39</v>
      </c>
      <c r="F18406">
        <v>0</v>
      </c>
      <c r="G18406">
        <v>0</v>
      </c>
      <c r="H18406">
        <v>17</v>
      </c>
      <c r="I18406" s="3">
        <v>2761.09</v>
      </c>
      <c r="J18406" s="3">
        <v>3912.67</v>
      </c>
      <c r="P18406" t="str">
        <f>""</f>
        <v/>
      </c>
    </row>
    <row r="18407" spans="1:16" x14ac:dyDescent="0.25">
      <c r="A18407" t="str">
        <f>"1270044H00225    00"</f>
        <v>1270044H00225    00</v>
      </c>
      <c r="B18407" t="s">
        <v>39974</v>
      </c>
      <c r="C18407" t="s">
        <v>39973</v>
      </c>
      <c r="D18407" t="s">
        <v>20</v>
      </c>
      <c r="E18407" t="s">
        <v>39</v>
      </c>
      <c r="F18407">
        <v>0</v>
      </c>
      <c r="G18407">
        <v>0</v>
      </c>
      <c r="H18407">
        <v>17</v>
      </c>
      <c r="I18407" s="3">
        <v>6176.38</v>
      </c>
      <c r="J18407" s="3">
        <v>9035.74</v>
      </c>
      <c r="K18407" t="s">
        <v>1008</v>
      </c>
      <c r="P18407" t="str">
        <f>""</f>
        <v/>
      </c>
    </row>
    <row r="18408" spans="1:16" x14ac:dyDescent="0.25">
      <c r="A18408" t="str">
        <f>"1270044H00233    00"</f>
        <v>1270044H00233    00</v>
      </c>
      <c r="B18408" t="s">
        <v>39975</v>
      </c>
      <c r="C18408" t="s">
        <v>39976</v>
      </c>
      <c r="D18408" t="s">
        <v>20</v>
      </c>
      <c r="E18408" t="s">
        <v>39</v>
      </c>
      <c r="F18408">
        <v>0</v>
      </c>
      <c r="G18408">
        <v>0</v>
      </c>
      <c r="H18408">
        <v>16</v>
      </c>
      <c r="I18408" s="3">
        <v>16793.29</v>
      </c>
      <c r="J18408" s="3">
        <v>13322.21</v>
      </c>
      <c r="L18408">
        <v>947</v>
      </c>
      <c r="M18408" t="s">
        <v>39977</v>
      </c>
      <c r="N18408" t="s">
        <v>30</v>
      </c>
      <c r="O18408" t="s">
        <v>31</v>
      </c>
      <c r="P18408" t="str">
        <f>"15243"</f>
        <v>15243</v>
      </c>
    </row>
    <row r="18409" spans="1:16" x14ac:dyDescent="0.25">
      <c r="A18409" t="str">
        <f>"1270044H00242    01"</f>
        <v>1270044H00242    01</v>
      </c>
      <c r="B18409" t="s">
        <v>39978</v>
      </c>
      <c r="C18409" t="s">
        <v>39979</v>
      </c>
      <c r="D18409" t="s">
        <v>20</v>
      </c>
      <c r="E18409" t="s">
        <v>21</v>
      </c>
      <c r="F18409">
        <v>0</v>
      </c>
      <c r="G18409">
        <v>0</v>
      </c>
      <c r="H18409">
        <v>1</v>
      </c>
      <c r="I18409" s="3">
        <v>17964.82</v>
      </c>
      <c r="J18409" s="3">
        <v>0</v>
      </c>
      <c r="K18409" t="s">
        <v>39980</v>
      </c>
      <c r="L18409">
        <v>2326</v>
      </c>
      <c r="M18409" t="s">
        <v>39981</v>
      </c>
      <c r="N18409" t="s">
        <v>195</v>
      </c>
      <c r="O18409" t="s">
        <v>31</v>
      </c>
      <c r="P18409" t="str">
        <f>"15101"</f>
        <v>15101</v>
      </c>
    </row>
    <row r="18410" spans="1:16" x14ac:dyDescent="0.25">
      <c r="A18410" t="str">
        <f>"1270044H00244    00"</f>
        <v>1270044H00244    00</v>
      </c>
      <c r="B18410" t="s">
        <v>39982</v>
      </c>
      <c r="C18410" t="s">
        <v>39983</v>
      </c>
      <c r="D18410" t="s">
        <v>20</v>
      </c>
      <c r="E18410" t="s">
        <v>39</v>
      </c>
      <c r="F18410">
        <v>0</v>
      </c>
      <c r="G18410">
        <v>0</v>
      </c>
      <c r="H18410">
        <v>2</v>
      </c>
      <c r="I18410" s="3">
        <v>2580.7399999999998</v>
      </c>
      <c r="J18410" s="3">
        <v>0</v>
      </c>
      <c r="K18410" t="s">
        <v>39984</v>
      </c>
      <c r="L18410">
        <v>510</v>
      </c>
      <c r="M18410" t="s">
        <v>30668</v>
      </c>
      <c r="N18410" t="s">
        <v>30</v>
      </c>
      <c r="O18410" t="s">
        <v>31</v>
      </c>
      <c r="P18410" t="str">
        <f>"15212"</f>
        <v>15212</v>
      </c>
    </row>
    <row r="18411" spans="1:16" x14ac:dyDescent="0.25">
      <c r="A18411" t="str">
        <f>"1270044H00245    00"</f>
        <v>1270044H00245    00</v>
      </c>
      <c r="B18411" t="s">
        <v>39985</v>
      </c>
      <c r="C18411" t="s">
        <v>39986</v>
      </c>
      <c r="D18411" t="s">
        <v>20</v>
      </c>
      <c r="E18411" t="s">
        <v>39</v>
      </c>
      <c r="F18411">
        <v>0</v>
      </c>
      <c r="G18411">
        <v>0</v>
      </c>
      <c r="H18411">
        <v>19</v>
      </c>
      <c r="I18411" s="3">
        <v>10494.61</v>
      </c>
      <c r="J18411" s="3">
        <v>9788.74</v>
      </c>
      <c r="L18411">
        <v>2125</v>
      </c>
      <c r="M18411" t="s">
        <v>39987</v>
      </c>
      <c r="N18411" t="s">
        <v>39988</v>
      </c>
      <c r="O18411" t="s">
        <v>2097</v>
      </c>
      <c r="P18411" t="str">
        <f>"37876"</f>
        <v>37876</v>
      </c>
    </row>
    <row r="18412" spans="1:16" x14ac:dyDescent="0.25">
      <c r="A18412" t="str">
        <f>"1270044H00250    00"</f>
        <v>1270044H00250    00</v>
      </c>
      <c r="B18412" t="s">
        <v>39989</v>
      </c>
      <c r="C18412" t="s">
        <v>39990</v>
      </c>
      <c r="D18412" t="s">
        <v>20</v>
      </c>
      <c r="E18412" t="s">
        <v>39</v>
      </c>
      <c r="F18412">
        <v>0</v>
      </c>
      <c r="G18412">
        <v>0</v>
      </c>
      <c r="H18412">
        <v>2</v>
      </c>
      <c r="I18412" s="3">
        <v>1429.75</v>
      </c>
      <c r="J18412" s="3">
        <v>0</v>
      </c>
      <c r="K18412" t="s">
        <v>8521</v>
      </c>
      <c r="L18412">
        <v>3001</v>
      </c>
      <c r="M18412" t="s">
        <v>330</v>
      </c>
      <c r="N18412" t="s">
        <v>331</v>
      </c>
      <c r="O18412" t="s">
        <v>108</v>
      </c>
      <c r="P18412" t="str">
        <f>"75063"</f>
        <v>75063</v>
      </c>
    </row>
    <row r="18413" spans="1:16" x14ac:dyDescent="0.25">
      <c r="A18413" t="str">
        <f>"1270044H00255    00"</f>
        <v>1270044H00255    00</v>
      </c>
      <c r="B18413" t="s">
        <v>39991</v>
      </c>
      <c r="C18413" t="s">
        <v>33625</v>
      </c>
      <c r="D18413" t="s">
        <v>20</v>
      </c>
      <c r="E18413" t="s">
        <v>39</v>
      </c>
      <c r="F18413">
        <v>0</v>
      </c>
      <c r="G18413">
        <v>0</v>
      </c>
      <c r="H18413">
        <v>19</v>
      </c>
      <c r="I18413" s="3">
        <v>8587.6299999999992</v>
      </c>
      <c r="J18413" s="3">
        <v>9881.74</v>
      </c>
      <c r="L18413">
        <v>2800</v>
      </c>
      <c r="M18413" t="s">
        <v>17198</v>
      </c>
      <c r="N18413" t="s">
        <v>30</v>
      </c>
      <c r="O18413" t="s">
        <v>31</v>
      </c>
      <c r="P18413" t="str">
        <f>"15212"</f>
        <v>15212</v>
      </c>
    </row>
    <row r="18414" spans="1:16" x14ac:dyDescent="0.25">
      <c r="A18414" t="str">
        <f>"1270044H00256    00"</f>
        <v>1270044H00256    00</v>
      </c>
      <c r="B18414" t="s">
        <v>39992</v>
      </c>
      <c r="C18414" t="s">
        <v>33625</v>
      </c>
      <c r="D18414" t="s">
        <v>20</v>
      </c>
      <c r="E18414" t="s">
        <v>39</v>
      </c>
      <c r="F18414">
        <v>0</v>
      </c>
      <c r="G18414">
        <v>0</v>
      </c>
      <c r="H18414">
        <v>8</v>
      </c>
      <c r="I18414" s="3">
        <v>2020.85</v>
      </c>
      <c r="J18414" s="3">
        <v>862.19</v>
      </c>
      <c r="L18414">
        <v>2802</v>
      </c>
      <c r="M18414" t="s">
        <v>17198</v>
      </c>
      <c r="N18414" t="s">
        <v>30</v>
      </c>
      <c r="O18414" t="s">
        <v>31</v>
      </c>
      <c r="P18414" t="str">
        <f>"15212"</f>
        <v>15212</v>
      </c>
    </row>
    <row r="18415" spans="1:16" x14ac:dyDescent="0.25">
      <c r="A18415" t="str">
        <f>"1270044H00257    00"</f>
        <v>1270044H00257    00</v>
      </c>
      <c r="B18415" t="s">
        <v>39993</v>
      </c>
      <c r="C18415" t="s">
        <v>39994</v>
      </c>
      <c r="D18415" t="s">
        <v>20</v>
      </c>
      <c r="E18415" t="s">
        <v>39</v>
      </c>
      <c r="F18415">
        <v>0</v>
      </c>
      <c r="G18415">
        <v>0</v>
      </c>
      <c r="H18415">
        <v>13</v>
      </c>
      <c r="I18415" s="3">
        <v>2245.42</v>
      </c>
      <c r="J18415" s="3">
        <v>1168.8</v>
      </c>
      <c r="L18415">
        <v>2804</v>
      </c>
      <c r="M18415" t="s">
        <v>17198</v>
      </c>
      <c r="N18415" t="s">
        <v>30</v>
      </c>
      <c r="O18415" t="s">
        <v>31</v>
      </c>
      <c r="P18415" t="str">
        <f>"15212"</f>
        <v>15212</v>
      </c>
    </row>
    <row r="18416" spans="1:16" x14ac:dyDescent="0.25">
      <c r="A18416" t="str">
        <f>"1270044H00258    00"</f>
        <v>1270044H00258    00</v>
      </c>
      <c r="B18416" t="s">
        <v>39995</v>
      </c>
      <c r="C18416" t="s">
        <v>39996</v>
      </c>
      <c r="E18416" t="s">
        <v>39</v>
      </c>
      <c r="F18416">
        <v>0</v>
      </c>
      <c r="G18416">
        <v>0</v>
      </c>
      <c r="H18416">
        <v>1</v>
      </c>
      <c r="I18416" s="3">
        <v>106.61</v>
      </c>
      <c r="J18416" s="3">
        <v>0</v>
      </c>
      <c r="K18416" t="s">
        <v>39997</v>
      </c>
      <c r="L18416">
        <v>723</v>
      </c>
      <c r="M18416" t="s">
        <v>16208</v>
      </c>
      <c r="N18416" t="s">
        <v>30</v>
      </c>
      <c r="O18416" t="s">
        <v>31</v>
      </c>
      <c r="P18416" t="str">
        <f>"15221"</f>
        <v>15221</v>
      </c>
    </row>
    <row r="18417" spans="1:16" x14ac:dyDescent="0.25">
      <c r="A18417" t="str">
        <f>"1270044H00261    00"</f>
        <v>1270044H00261    00</v>
      </c>
      <c r="B18417" t="s">
        <v>39998</v>
      </c>
      <c r="C18417" t="s">
        <v>39999</v>
      </c>
      <c r="D18417" t="s">
        <v>20</v>
      </c>
      <c r="E18417" t="s">
        <v>39</v>
      </c>
      <c r="F18417">
        <v>0</v>
      </c>
      <c r="G18417">
        <v>0</v>
      </c>
      <c r="H18417">
        <v>17</v>
      </c>
      <c r="I18417" s="3">
        <v>13378.39</v>
      </c>
      <c r="J18417" s="3">
        <v>11234.91</v>
      </c>
      <c r="L18417">
        <v>1200</v>
      </c>
      <c r="M18417" t="s">
        <v>29911</v>
      </c>
      <c r="N18417" t="s">
        <v>40000</v>
      </c>
      <c r="O18417" t="s">
        <v>8605</v>
      </c>
      <c r="P18417" t="str">
        <f>"54023"</f>
        <v>54023</v>
      </c>
    </row>
    <row r="18418" spans="1:16" x14ac:dyDescent="0.25">
      <c r="A18418" t="str">
        <f>"1270044H00266    00"</f>
        <v>1270044H00266    00</v>
      </c>
      <c r="B18418" t="s">
        <v>40001</v>
      </c>
      <c r="C18418" t="s">
        <v>40002</v>
      </c>
      <c r="D18418" t="s">
        <v>20</v>
      </c>
      <c r="E18418" t="s">
        <v>39</v>
      </c>
      <c r="F18418">
        <v>0</v>
      </c>
      <c r="G18418">
        <v>0</v>
      </c>
      <c r="H18418">
        <v>5</v>
      </c>
      <c r="I18418" s="3">
        <v>3033.23</v>
      </c>
      <c r="J18418" s="3">
        <v>524.03</v>
      </c>
      <c r="L18418">
        <v>600</v>
      </c>
      <c r="M18418" t="s">
        <v>39619</v>
      </c>
      <c r="N18418" t="s">
        <v>30</v>
      </c>
      <c r="O18418" t="s">
        <v>31</v>
      </c>
      <c r="P18418" t="str">
        <f>"15219"</f>
        <v>15219</v>
      </c>
    </row>
    <row r="18419" spans="1:16" x14ac:dyDescent="0.25">
      <c r="A18419" t="str">
        <f>"1270044H00269    00"</f>
        <v>1270044H00269    00</v>
      </c>
      <c r="B18419" t="s">
        <v>40003</v>
      </c>
      <c r="C18419" t="s">
        <v>40004</v>
      </c>
      <c r="D18419" t="s">
        <v>20</v>
      </c>
      <c r="E18419" t="s">
        <v>39</v>
      </c>
      <c r="F18419">
        <v>0</v>
      </c>
      <c r="G18419">
        <v>0</v>
      </c>
      <c r="H18419">
        <v>7</v>
      </c>
      <c r="I18419" s="3">
        <v>1453.01</v>
      </c>
      <c r="J18419" s="3">
        <v>429.66</v>
      </c>
      <c r="L18419">
        <v>2824</v>
      </c>
      <c r="M18419" t="s">
        <v>17198</v>
      </c>
      <c r="N18419" t="s">
        <v>30</v>
      </c>
      <c r="O18419" t="s">
        <v>31</v>
      </c>
      <c r="P18419" t="str">
        <f>"15212"</f>
        <v>15212</v>
      </c>
    </row>
    <row r="18420" spans="1:16" x14ac:dyDescent="0.25">
      <c r="A18420" t="str">
        <f>"1270044H00270    00"</f>
        <v>1270044H00270    00</v>
      </c>
      <c r="B18420" t="s">
        <v>40005</v>
      </c>
      <c r="C18420" t="s">
        <v>40006</v>
      </c>
      <c r="D18420" t="s">
        <v>20</v>
      </c>
      <c r="E18420" t="s">
        <v>39</v>
      </c>
      <c r="F18420">
        <v>0</v>
      </c>
      <c r="G18420">
        <v>0</v>
      </c>
      <c r="H18420">
        <v>7</v>
      </c>
      <c r="I18420" s="3">
        <v>4479.87</v>
      </c>
      <c r="J18420" s="3">
        <v>1186.42</v>
      </c>
      <c r="L18420">
        <v>2832</v>
      </c>
      <c r="M18420" t="s">
        <v>17198</v>
      </c>
      <c r="N18420" t="s">
        <v>30</v>
      </c>
      <c r="O18420" t="s">
        <v>31</v>
      </c>
      <c r="P18420" t="str">
        <f>"15212"</f>
        <v>15212</v>
      </c>
    </row>
    <row r="18421" spans="1:16" x14ac:dyDescent="0.25">
      <c r="A18421" t="str">
        <f>"1270044H00271    00"</f>
        <v>1270044H00271    00</v>
      </c>
      <c r="B18421" t="s">
        <v>40007</v>
      </c>
      <c r="C18421" t="s">
        <v>40008</v>
      </c>
      <c r="E18421" t="s">
        <v>39</v>
      </c>
      <c r="F18421">
        <v>0</v>
      </c>
      <c r="G18421">
        <v>0</v>
      </c>
      <c r="H18421">
        <v>1</v>
      </c>
      <c r="I18421" s="3">
        <v>909.17</v>
      </c>
      <c r="J18421" s="3">
        <v>0</v>
      </c>
      <c r="L18421">
        <v>2834</v>
      </c>
      <c r="M18421" t="s">
        <v>17198</v>
      </c>
      <c r="N18421" t="s">
        <v>30</v>
      </c>
      <c r="O18421" t="s">
        <v>31</v>
      </c>
      <c r="P18421" t="str">
        <f>"15212"</f>
        <v>15212</v>
      </c>
    </row>
    <row r="18422" spans="1:16" x14ac:dyDescent="0.25">
      <c r="A18422" t="str">
        <f>"1270044H00273    00"</f>
        <v>1270044H00273    00</v>
      </c>
      <c r="B18422" t="s">
        <v>40009</v>
      </c>
      <c r="C18422" t="s">
        <v>40010</v>
      </c>
      <c r="D18422" t="s">
        <v>20</v>
      </c>
      <c r="E18422" t="s">
        <v>39</v>
      </c>
      <c r="F18422">
        <v>0</v>
      </c>
      <c r="G18422">
        <v>0</v>
      </c>
      <c r="H18422">
        <v>16</v>
      </c>
      <c r="I18422" s="3">
        <v>7959.94</v>
      </c>
      <c r="J18422" s="3">
        <v>6457</v>
      </c>
      <c r="L18422">
        <v>9247</v>
      </c>
      <c r="M18422" t="s">
        <v>13875</v>
      </c>
      <c r="N18422" t="s">
        <v>30</v>
      </c>
      <c r="O18422" t="s">
        <v>31</v>
      </c>
      <c r="P18422" t="str">
        <f>"15237"</f>
        <v>15237</v>
      </c>
    </row>
    <row r="18423" spans="1:16" x14ac:dyDescent="0.25">
      <c r="A18423" t="str">
        <f>"1270044H00274    00"</f>
        <v>1270044H00274    00</v>
      </c>
      <c r="B18423" t="s">
        <v>40011</v>
      </c>
      <c r="C18423" t="s">
        <v>33625</v>
      </c>
      <c r="E18423" t="s">
        <v>39</v>
      </c>
      <c r="F18423">
        <v>0</v>
      </c>
      <c r="G18423">
        <v>0</v>
      </c>
      <c r="H18423">
        <v>3</v>
      </c>
      <c r="I18423" s="3">
        <v>147.47</v>
      </c>
      <c r="J18423" s="3">
        <v>30.97</v>
      </c>
      <c r="L18423">
        <v>20</v>
      </c>
      <c r="M18423" t="s">
        <v>40012</v>
      </c>
      <c r="N18423" t="s">
        <v>636</v>
      </c>
      <c r="O18423" t="s">
        <v>31</v>
      </c>
      <c r="P18423" t="str">
        <f>"15104"</f>
        <v>15104</v>
      </c>
    </row>
    <row r="18424" spans="1:16" x14ac:dyDescent="0.25">
      <c r="A18424" t="str">
        <f>"1270044H00275    00"</f>
        <v>1270044H00275    00</v>
      </c>
      <c r="B18424" t="s">
        <v>40013</v>
      </c>
      <c r="C18424" t="s">
        <v>33625</v>
      </c>
      <c r="E18424" t="s">
        <v>39</v>
      </c>
      <c r="F18424">
        <v>0</v>
      </c>
      <c r="G18424">
        <v>0</v>
      </c>
      <c r="H18424">
        <v>5</v>
      </c>
      <c r="I18424" s="3">
        <v>312.01</v>
      </c>
      <c r="J18424" s="3">
        <v>147.69999999999999</v>
      </c>
      <c r="L18424">
        <v>20</v>
      </c>
      <c r="M18424" t="s">
        <v>40014</v>
      </c>
      <c r="N18424" t="s">
        <v>636</v>
      </c>
      <c r="O18424" t="s">
        <v>31</v>
      </c>
      <c r="P18424" t="str">
        <f>"15104"</f>
        <v>15104</v>
      </c>
    </row>
    <row r="18425" spans="1:16" x14ac:dyDescent="0.25">
      <c r="A18425" t="str">
        <f>"1270044H00276    00"</f>
        <v>1270044H00276    00</v>
      </c>
      <c r="B18425" t="s">
        <v>40011</v>
      </c>
      <c r="C18425" t="s">
        <v>33625</v>
      </c>
      <c r="E18425" t="s">
        <v>39</v>
      </c>
      <c r="F18425">
        <v>0</v>
      </c>
      <c r="G18425">
        <v>0</v>
      </c>
      <c r="H18425">
        <v>3</v>
      </c>
      <c r="I18425" s="3">
        <v>147.47</v>
      </c>
      <c r="J18425" s="3">
        <v>30.97</v>
      </c>
      <c r="L18425">
        <v>20</v>
      </c>
      <c r="M18425" t="s">
        <v>40014</v>
      </c>
      <c r="N18425" t="s">
        <v>636</v>
      </c>
      <c r="O18425" t="s">
        <v>31</v>
      </c>
      <c r="P18425" t="str">
        <f>"15104"</f>
        <v>15104</v>
      </c>
    </row>
    <row r="18426" spans="1:16" x14ac:dyDescent="0.25">
      <c r="A18426" t="str">
        <f>"1270044H00277    00"</f>
        <v>1270044H00277    00</v>
      </c>
      <c r="B18426" t="s">
        <v>40011</v>
      </c>
      <c r="C18426" t="s">
        <v>40015</v>
      </c>
      <c r="E18426" t="s">
        <v>21</v>
      </c>
      <c r="F18426">
        <v>0</v>
      </c>
      <c r="G18426">
        <v>0</v>
      </c>
      <c r="H18426">
        <v>3</v>
      </c>
      <c r="I18426" s="3">
        <v>2785.78</v>
      </c>
      <c r="J18426" s="3">
        <v>558.09</v>
      </c>
      <c r="L18426">
        <v>20</v>
      </c>
      <c r="M18426" t="s">
        <v>40014</v>
      </c>
      <c r="N18426" t="s">
        <v>636</v>
      </c>
      <c r="O18426" t="s">
        <v>31</v>
      </c>
      <c r="P18426" t="str">
        <f>"15104"</f>
        <v>15104</v>
      </c>
    </row>
    <row r="18427" spans="1:16" x14ac:dyDescent="0.25">
      <c r="A18427" t="str">
        <f>"1270044H00278    00"</f>
        <v>1270044H00278    00</v>
      </c>
      <c r="B18427" t="s">
        <v>40016</v>
      </c>
      <c r="C18427" t="s">
        <v>40017</v>
      </c>
      <c r="D18427" t="s">
        <v>20</v>
      </c>
      <c r="E18427" t="s">
        <v>39</v>
      </c>
      <c r="F18427">
        <v>0</v>
      </c>
      <c r="G18427">
        <v>0</v>
      </c>
      <c r="H18427">
        <v>4</v>
      </c>
      <c r="I18427" s="3">
        <v>47.95</v>
      </c>
      <c r="J18427" s="3">
        <v>5.87</v>
      </c>
      <c r="K18427" t="s">
        <v>40018</v>
      </c>
      <c r="L18427">
        <v>2825</v>
      </c>
      <c r="M18427" t="s">
        <v>17198</v>
      </c>
      <c r="N18427" t="s">
        <v>30</v>
      </c>
      <c r="O18427" t="s">
        <v>31</v>
      </c>
      <c r="P18427" t="str">
        <f>"15212"</f>
        <v>15212</v>
      </c>
    </row>
    <row r="18428" spans="1:16" x14ac:dyDescent="0.25">
      <c r="A18428" t="str">
        <f>"1270044M00009    00"</f>
        <v>1270044M00009    00</v>
      </c>
      <c r="B18428" t="s">
        <v>40019</v>
      </c>
      <c r="C18428" t="s">
        <v>39927</v>
      </c>
      <c r="D18428" t="s">
        <v>20</v>
      </c>
      <c r="E18428" t="s">
        <v>39</v>
      </c>
      <c r="F18428">
        <v>0</v>
      </c>
      <c r="G18428">
        <v>0</v>
      </c>
      <c r="H18428">
        <v>19</v>
      </c>
      <c r="I18428" s="3">
        <v>7105.8</v>
      </c>
      <c r="J18428" s="3">
        <v>6151.46</v>
      </c>
      <c r="L18428">
        <v>1525</v>
      </c>
      <c r="M18428" t="s">
        <v>19127</v>
      </c>
      <c r="N18428" t="s">
        <v>30</v>
      </c>
      <c r="O18428" t="s">
        <v>31</v>
      </c>
      <c r="P18428" t="str">
        <f>"15212"</f>
        <v>15212</v>
      </c>
    </row>
    <row r="18429" spans="1:16" x14ac:dyDescent="0.25">
      <c r="A18429" t="str">
        <f>"1270044M00012    00"</f>
        <v>1270044M00012    00</v>
      </c>
      <c r="B18429" t="s">
        <v>40020</v>
      </c>
      <c r="C18429" t="s">
        <v>39927</v>
      </c>
      <c r="D18429" t="s">
        <v>20</v>
      </c>
      <c r="E18429" t="s">
        <v>39</v>
      </c>
      <c r="F18429">
        <v>0</v>
      </c>
      <c r="G18429">
        <v>0</v>
      </c>
      <c r="H18429">
        <v>19</v>
      </c>
      <c r="I18429" s="3">
        <v>7234.46</v>
      </c>
      <c r="J18429" s="3">
        <v>6244.35</v>
      </c>
      <c r="L18429">
        <v>2036</v>
      </c>
      <c r="M18429" t="s">
        <v>40021</v>
      </c>
      <c r="N18429" t="s">
        <v>30</v>
      </c>
      <c r="O18429" t="s">
        <v>31</v>
      </c>
      <c r="P18429" t="str">
        <f>"15217"</f>
        <v>15217</v>
      </c>
    </row>
    <row r="18430" spans="1:16" x14ac:dyDescent="0.25">
      <c r="A18430" t="str">
        <f>"1270044M00019    00"</f>
        <v>1270044M00019    00</v>
      </c>
      <c r="B18430" t="s">
        <v>37758</v>
      </c>
      <c r="C18430" t="s">
        <v>40022</v>
      </c>
      <c r="E18430" t="s">
        <v>39</v>
      </c>
      <c r="F18430">
        <v>0</v>
      </c>
      <c r="G18430">
        <v>0</v>
      </c>
      <c r="H18430">
        <v>1</v>
      </c>
      <c r="I18430" s="3">
        <v>364.05</v>
      </c>
      <c r="J18430" s="3">
        <v>0</v>
      </c>
      <c r="K18430" t="s">
        <v>37760</v>
      </c>
      <c r="M18430" t="s">
        <v>37761</v>
      </c>
      <c r="N18430" t="s">
        <v>30</v>
      </c>
      <c r="O18430" t="s">
        <v>31</v>
      </c>
      <c r="P18430" t="str">
        <f>"15233"</f>
        <v>15233</v>
      </c>
    </row>
    <row r="18431" spans="1:16" x14ac:dyDescent="0.25">
      <c r="A18431" t="str">
        <f>"1270044M00022    00"</f>
        <v>1270044M00022    00</v>
      </c>
      <c r="B18431" t="s">
        <v>40023</v>
      </c>
      <c r="C18431" t="s">
        <v>40024</v>
      </c>
      <c r="D18431" t="s">
        <v>20</v>
      </c>
      <c r="E18431" t="s">
        <v>39</v>
      </c>
      <c r="F18431">
        <v>0</v>
      </c>
      <c r="G18431">
        <v>0</v>
      </c>
      <c r="H18431">
        <v>19</v>
      </c>
      <c r="I18431" s="3">
        <v>1568.84</v>
      </c>
      <c r="J18431" s="3">
        <v>1253.8</v>
      </c>
      <c r="L18431">
        <v>1201</v>
      </c>
      <c r="M18431" t="s">
        <v>31927</v>
      </c>
      <c r="N18431" t="s">
        <v>30</v>
      </c>
      <c r="O18431" t="s">
        <v>31</v>
      </c>
      <c r="P18431" t="str">
        <f>"15204"</f>
        <v>15204</v>
      </c>
    </row>
    <row r="18432" spans="1:16" x14ac:dyDescent="0.25">
      <c r="A18432" t="str">
        <f>"1270044M00022A   00"</f>
        <v>1270044M00022A   00</v>
      </c>
      <c r="B18432" t="s">
        <v>40023</v>
      </c>
      <c r="C18432" t="s">
        <v>40024</v>
      </c>
      <c r="D18432" t="s">
        <v>20</v>
      </c>
      <c r="E18432" t="s">
        <v>39</v>
      </c>
      <c r="F18432">
        <v>0</v>
      </c>
      <c r="G18432">
        <v>0</v>
      </c>
      <c r="H18432">
        <v>19</v>
      </c>
      <c r="I18432" s="3">
        <v>1475.91</v>
      </c>
      <c r="J18432" s="3">
        <v>1185.17</v>
      </c>
      <c r="L18432">
        <v>1201</v>
      </c>
      <c r="M18432" t="s">
        <v>31927</v>
      </c>
      <c r="N18432" t="s">
        <v>30</v>
      </c>
      <c r="O18432" t="s">
        <v>31</v>
      </c>
      <c r="P18432" t="str">
        <f>"15204"</f>
        <v>15204</v>
      </c>
    </row>
    <row r="18433" spans="1:16" x14ac:dyDescent="0.25">
      <c r="A18433" t="str">
        <f>"1270044M00023    00"</f>
        <v>1270044M00023    00</v>
      </c>
      <c r="B18433" t="s">
        <v>40023</v>
      </c>
      <c r="C18433" t="s">
        <v>40024</v>
      </c>
      <c r="D18433" t="s">
        <v>20</v>
      </c>
      <c r="E18433" t="s">
        <v>39</v>
      </c>
      <c r="F18433">
        <v>0</v>
      </c>
      <c r="G18433">
        <v>0</v>
      </c>
      <c r="H18433">
        <v>19</v>
      </c>
      <c r="I18433" s="3">
        <v>1453.9</v>
      </c>
      <c r="J18433" s="3">
        <v>1173.54</v>
      </c>
      <c r="L18433">
        <v>1201</v>
      </c>
      <c r="M18433" t="s">
        <v>31927</v>
      </c>
      <c r="N18433" t="s">
        <v>30</v>
      </c>
      <c r="O18433" t="s">
        <v>31</v>
      </c>
      <c r="P18433" t="str">
        <f>"15204"</f>
        <v>15204</v>
      </c>
    </row>
    <row r="18434" spans="1:16" x14ac:dyDescent="0.25">
      <c r="A18434" t="str">
        <f>"1270044M00024    00"</f>
        <v>1270044M00024    00</v>
      </c>
      <c r="B18434" t="s">
        <v>40019</v>
      </c>
      <c r="C18434" t="s">
        <v>40024</v>
      </c>
      <c r="D18434" t="s">
        <v>20</v>
      </c>
      <c r="E18434" t="s">
        <v>39</v>
      </c>
      <c r="F18434">
        <v>0</v>
      </c>
      <c r="G18434">
        <v>0</v>
      </c>
      <c r="H18434">
        <v>19</v>
      </c>
      <c r="I18434" s="3">
        <v>1432.01</v>
      </c>
      <c r="J18434" s="3">
        <v>1161.96</v>
      </c>
      <c r="L18434">
        <v>1525</v>
      </c>
      <c r="M18434" t="s">
        <v>19127</v>
      </c>
      <c r="N18434" t="s">
        <v>30</v>
      </c>
      <c r="O18434" t="s">
        <v>31</v>
      </c>
      <c r="P18434" t="str">
        <f t="shared" ref="P18434:P18441" si="232">"15212"</f>
        <v>15212</v>
      </c>
    </row>
    <row r="18435" spans="1:16" x14ac:dyDescent="0.25">
      <c r="A18435" t="str">
        <f>"1270044M00025    00"</f>
        <v>1270044M00025    00</v>
      </c>
      <c r="B18435" t="s">
        <v>40025</v>
      </c>
      <c r="C18435" t="s">
        <v>40024</v>
      </c>
      <c r="D18435" t="s">
        <v>20</v>
      </c>
      <c r="E18435" t="s">
        <v>39</v>
      </c>
      <c r="F18435">
        <v>0</v>
      </c>
      <c r="G18435">
        <v>0</v>
      </c>
      <c r="H18435">
        <v>13</v>
      </c>
      <c r="I18435" s="3">
        <v>873.98</v>
      </c>
      <c r="J18435" s="3">
        <v>1098.8900000000001</v>
      </c>
      <c r="L18435">
        <v>4021</v>
      </c>
      <c r="M18435" t="s">
        <v>40026</v>
      </c>
      <c r="N18435" t="s">
        <v>30</v>
      </c>
      <c r="O18435" t="s">
        <v>31</v>
      </c>
      <c r="P18435" t="str">
        <f t="shared" si="232"/>
        <v>15212</v>
      </c>
    </row>
    <row r="18436" spans="1:16" x14ac:dyDescent="0.25">
      <c r="A18436" t="str">
        <f>"1270044M00038    00"</f>
        <v>1270044M00038    00</v>
      </c>
      <c r="B18436" t="s">
        <v>40027</v>
      </c>
      <c r="C18436" t="s">
        <v>40028</v>
      </c>
      <c r="E18436" t="s">
        <v>39</v>
      </c>
      <c r="F18436">
        <v>0</v>
      </c>
      <c r="G18436">
        <v>0</v>
      </c>
      <c r="H18436">
        <v>3</v>
      </c>
      <c r="I18436" s="3">
        <v>1889.85</v>
      </c>
      <c r="J18436" s="3">
        <v>1812.65</v>
      </c>
      <c r="L18436">
        <v>1537</v>
      </c>
      <c r="M18436" t="s">
        <v>13728</v>
      </c>
      <c r="N18436" t="s">
        <v>30</v>
      </c>
      <c r="O18436" t="s">
        <v>31</v>
      </c>
      <c r="P18436" t="str">
        <f t="shared" si="232"/>
        <v>15212</v>
      </c>
    </row>
    <row r="18437" spans="1:16" x14ac:dyDescent="0.25">
      <c r="A18437" t="str">
        <f>"1270044M00053    00"</f>
        <v>1270044M00053    00</v>
      </c>
      <c r="B18437" t="s">
        <v>40029</v>
      </c>
      <c r="C18437" t="s">
        <v>40030</v>
      </c>
      <c r="D18437" t="s">
        <v>20</v>
      </c>
      <c r="E18437" t="s">
        <v>39</v>
      </c>
      <c r="F18437">
        <v>0</v>
      </c>
      <c r="G18437">
        <v>0</v>
      </c>
      <c r="H18437">
        <v>4</v>
      </c>
      <c r="I18437" s="3">
        <v>837.4</v>
      </c>
      <c r="J18437" s="3">
        <v>103.12</v>
      </c>
      <c r="L18437">
        <v>2628</v>
      </c>
      <c r="M18437" t="s">
        <v>17198</v>
      </c>
      <c r="N18437" t="s">
        <v>30</v>
      </c>
      <c r="O18437" t="s">
        <v>31</v>
      </c>
      <c r="P18437" t="str">
        <f t="shared" si="232"/>
        <v>15212</v>
      </c>
    </row>
    <row r="18438" spans="1:16" x14ac:dyDescent="0.25">
      <c r="A18438" t="str">
        <f>"1270044M00056    00"</f>
        <v>1270044M00056    00</v>
      </c>
      <c r="B18438" t="s">
        <v>40029</v>
      </c>
      <c r="C18438" t="s">
        <v>40030</v>
      </c>
      <c r="D18438" t="s">
        <v>20</v>
      </c>
      <c r="E18438" t="s">
        <v>39</v>
      </c>
      <c r="F18438">
        <v>0</v>
      </c>
      <c r="G18438">
        <v>0</v>
      </c>
      <c r="H18438">
        <v>4</v>
      </c>
      <c r="I18438" s="3">
        <v>3738.64</v>
      </c>
      <c r="J18438" s="3">
        <v>481.28</v>
      </c>
      <c r="L18438">
        <v>2628</v>
      </c>
      <c r="M18438" t="s">
        <v>17198</v>
      </c>
      <c r="N18438" t="s">
        <v>30</v>
      </c>
      <c r="O18438" t="s">
        <v>31</v>
      </c>
      <c r="P18438" t="str">
        <f t="shared" si="232"/>
        <v>15212</v>
      </c>
    </row>
    <row r="18439" spans="1:16" x14ac:dyDescent="0.25">
      <c r="A18439" t="str">
        <f>"1270044M00057    00"</f>
        <v>1270044M00057    00</v>
      </c>
      <c r="B18439" t="s">
        <v>40031</v>
      </c>
      <c r="C18439" t="s">
        <v>40032</v>
      </c>
      <c r="D18439" t="s">
        <v>20</v>
      </c>
      <c r="E18439" t="s">
        <v>39</v>
      </c>
      <c r="F18439">
        <v>0</v>
      </c>
      <c r="G18439">
        <v>0</v>
      </c>
      <c r="H18439">
        <v>1</v>
      </c>
      <c r="I18439" s="3">
        <v>446</v>
      </c>
      <c r="J18439" s="3">
        <v>0</v>
      </c>
      <c r="L18439">
        <v>2622</v>
      </c>
      <c r="M18439" t="s">
        <v>17198</v>
      </c>
      <c r="N18439" t="s">
        <v>30</v>
      </c>
      <c r="O18439" t="s">
        <v>31</v>
      </c>
      <c r="P18439" t="str">
        <f t="shared" si="232"/>
        <v>15212</v>
      </c>
    </row>
    <row r="18440" spans="1:16" x14ac:dyDescent="0.25">
      <c r="A18440" t="str">
        <f>"1270044M00059    00"</f>
        <v>1270044M00059    00</v>
      </c>
      <c r="B18440" t="s">
        <v>40031</v>
      </c>
      <c r="C18440" t="s">
        <v>40033</v>
      </c>
      <c r="D18440" t="s">
        <v>20</v>
      </c>
      <c r="E18440" t="s">
        <v>39</v>
      </c>
      <c r="F18440">
        <v>0</v>
      </c>
      <c r="G18440">
        <v>0</v>
      </c>
      <c r="H18440">
        <v>1</v>
      </c>
      <c r="I18440" s="3">
        <v>415.51</v>
      </c>
      <c r="J18440" s="3">
        <v>0</v>
      </c>
      <c r="L18440">
        <v>2620</v>
      </c>
      <c r="M18440" t="s">
        <v>17198</v>
      </c>
      <c r="N18440" t="s">
        <v>30</v>
      </c>
      <c r="O18440" t="s">
        <v>31</v>
      </c>
      <c r="P18440" t="str">
        <f t="shared" si="232"/>
        <v>15212</v>
      </c>
    </row>
    <row r="18441" spans="1:16" x14ac:dyDescent="0.25">
      <c r="A18441" t="str">
        <f>"1270044M00062    00"</f>
        <v>1270044M00062    00</v>
      </c>
      <c r="B18441" t="s">
        <v>40034</v>
      </c>
      <c r="C18441" t="s">
        <v>40035</v>
      </c>
      <c r="D18441" t="s">
        <v>20</v>
      </c>
      <c r="E18441" t="s">
        <v>39</v>
      </c>
      <c r="F18441">
        <v>0</v>
      </c>
      <c r="G18441">
        <v>0</v>
      </c>
      <c r="H18441">
        <v>1</v>
      </c>
      <c r="I18441" s="3">
        <v>631.34</v>
      </c>
      <c r="J18441" s="3">
        <v>0</v>
      </c>
      <c r="L18441">
        <v>2614</v>
      </c>
      <c r="M18441" t="s">
        <v>17198</v>
      </c>
      <c r="N18441" t="s">
        <v>30</v>
      </c>
      <c r="O18441" t="s">
        <v>31</v>
      </c>
      <c r="P18441" t="str">
        <f t="shared" si="232"/>
        <v>15212</v>
      </c>
    </row>
    <row r="18442" spans="1:16" x14ac:dyDescent="0.25">
      <c r="A18442" t="str">
        <f>"1270044M00110    00"</f>
        <v>1270044M00110    00</v>
      </c>
      <c r="B18442" t="s">
        <v>37057</v>
      </c>
      <c r="C18442" t="s">
        <v>40036</v>
      </c>
      <c r="D18442" t="s">
        <v>20</v>
      </c>
      <c r="E18442" t="s">
        <v>39</v>
      </c>
      <c r="F18442">
        <v>0</v>
      </c>
      <c r="G18442">
        <v>0</v>
      </c>
      <c r="H18442">
        <v>1</v>
      </c>
      <c r="I18442" s="3">
        <v>734.45</v>
      </c>
      <c r="J18442" s="3">
        <v>0</v>
      </c>
      <c r="K18442" t="s">
        <v>40037</v>
      </c>
      <c r="L18442">
        <v>3166</v>
      </c>
      <c r="M18442" t="s">
        <v>37060</v>
      </c>
      <c r="N18442" t="s">
        <v>10447</v>
      </c>
      <c r="O18442" t="s">
        <v>200</v>
      </c>
      <c r="P18442" t="str">
        <f>"10469"</f>
        <v>10469</v>
      </c>
    </row>
    <row r="18443" spans="1:16" x14ac:dyDescent="0.25">
      <c r="A18443" t="str">
        <f>"1270044S00220    00"</f>
        <v>1270044S00220    00</v>
      </c>
      <c r="B18443" t="s">
        <v>40038</v>
      </c>
      <c r="C18443" t="s">
        <v>40039</v>
      </c>
      <c r="E18443" t="s">
        <v>290</v>
      </c>
      <c r="F18443">
        <v>0</v>
      </c>
      <c r="G18443">
        <v>0</v>
      </c>
      <c r="H18443">
        <v>2</v>
      </c>
      <c r="I18443" s="3">
        <v>9728.4</v>
      </c>
      <c r="J18443" s="3">
        <v>6728.54</v>
      </c>
      <c r="K18443" t="s">
        <v>40040</v>
      </c>
      <c r="L18443">
        <v>501</v>
      </c>
      <c r="M18443" t="s">
        <v>40041</v>
      </c>
      <c r="N18443" t="s">
        <v>30</v>
      </c>
      <c r="O18443" t="s">
        <v>31</v>
      </c>
      <c r="P18443" t="str">
        <f>"15212"</f>
        <v>15212</v>
      </c>
    </row>
    <row r="18444" spans="1:16" x14ac:dyDescent="0.25">
      <c r="A18444" t="str">
        <f>"1270044S00250    00"</f>
        <v>1270044S00250    00</v>
      </c>
      <c r="B18444" t="s">
        <v>836</v>
      </c>
      <c r="C18444" t="s">
        <v>40042</v>
      </c>
      <c r="D18444" t="s">
        <v>20</v>
      </c>
      <c r="E18444" t="s">
        <v>21</v>
      </c>
      <c r="F18444">
        <v>0</v>
      </c>
      <c r="G18444">
        <v>0</v>
      </c>
      <c r="H18444">
        <v>1</v>
      </c>
      <c r="I18444" s="3">
        <v>1143.5999999999999</v>
      </c>
      <c r="J18444" s="3">
        <v>0</v>
      </c>
      <c r="K18444" t="s">
        <v>34588</v>
      </c>
      <c r="L18444">
        <v>1251</v>
      </c>
      <c r="M18444" t="s">
        <v>34589</v>
      </c>
      <c r="N18444" t="s">
        <v>30</v>
      </c>
      <c r="O18444" t="s">
        <v>31</v>
      </c>
      <c r="P18444" t="str">
        <f>"15222"</f>
        <v>15222</v>
      </c>
    </row>
    <row r="18445" spans="1:16" x14ac:dyDescent="0.25">
      <c r="A18445" t="str">
        <f>"1270045A00015    00"</f>
        <v>1270045A00015    00</v>
      </c>
      <c r="B18445" t="s">
        <v>40043</v>
      </c>
      <c r="C18445" t="s">
        <v>40044</v>
      </c>
      <c r="D18445" t="s">
        <v>20</v>
      </c>
      <c r="E18445" t="s">
        <v>39</v>
      </c>
      <c r="F18445">
        <v>0</v>
      </c>
      <c r="G18445">
        <v>0</v>
      </c>
      <c r="H18445">
        <v>4</v>
      </c>
      <c r="I18445" s="3">
        <v>1803.66</v>
      </c>
      <c r="J18445" s="3">
        <v>330.4</v>
      </c>
      <c r="L18445">
        <v>1416</v>
      </c>
      <c r="M18445" t="s">
        <v>40045</v>
      </c>
      <c r="N18445" t="s">
        <v>30</v>
      </c>
      <c r="O18445" t="s">
        <v>31</v>
      </c>
      <c r="P18445" t="str">
        <f>"15212"</f>
        <v>15212</v>
      </c>
    </row>
    <row r="18446" spans="1:16" x14ac:dyDescent="0.25">
      <c r="A18446" t="str">
        <f>"1270045A00017    00"</f>
        <v>1270045A00017    00</v>
      </c>
      <c r="B18446" t="s">
        <v>40046</v>
      </c>
      <c r="C18446" t="s">
        <v>40047</v>
      </c>
      <c r="E18446" t="s">
        <v>39</v>
      </c>
      <c r="F18446">
        <v>0</v>
      </c>
      <c r="G18446">
        <v>0</v>
      </c>
      <c r="H18446">
        <v>1</v>
      </c>
      <c r="I18446" s="3">
        <v>865.34</v>
      </c>
      <c r="J18446" s="3">
        <v>0</v>
      </c>
      <c r="L18446">
        <v>322</v>
      </c>
      <c r="M18446" t="s">
        <v>40048</v>
      </c>
      <c r="N18446" t="s">
        <v>149</v>
      </c>
      <c r="O18446" t="s">
        <v>31</v>
      </c>
      <c r="P18446" t="str">
        <f>"15106"</f>
        <v>15106</v>
      </c>
    </row>
    <row r="18447" spans="1:16" x14ac:dyDescent="0.25">
      <c r="A18447" t="str">
        <f>"1270045A00023    00"</f>
        <v>1270045A00023    00</v>
      </c>
      <c r="B18447" t="s">
        <v>40049</v>
      </c>
      <c r="C18447" t="s">
        <v>40050</v>
      </c>
      <c r="D18447" t="s">
        <v>20</v>
      </c>
      <c r="E18447" t="s">
        <v>39</v>
      </c>
      <c r="F18447">
        <v>0</v>
      </c>
      <c r="G18447">
        <v>0</v>
      </c>
      <c r="H18447">
        <v>1</v>
      </c>
      <c r="I18447" s="3">
        <v>215.84</v>
      </c>
      <c r="J18447" s="3">
        <v>0</v>
      </c>
      <c r="L18447">
        <v>2905</v>
      </c>
      <c r="M18447" t="s">
        <v>40051</v>
      </c>
      <c r="N18447" t="s">
        <v>30</v>
      </c>
      <c r="O18447" t="s">
        <v>31</v>
      </c>
      <c r="P18447" t="str">
        <f>"15212"</f>
        <v>15212</v>
      </c>
    </row>
    <row r="18448" spans="1:16" x14ac:dyDescent="0.25">
      <c r="A18448" t="str">
        <f>"1270045A00026    00"</f>
        <v>1270045A00026    00</v>
      </c>
      <c r="B18448" t="s">
        <v>40046</v>
      </c>
      <c r="C18448" t="s">
        <v>39839</v>
      </c>
      <c r="E18448" t="s">
        <v>39</v>
      </c>
      <c r="F18448">
        <v>0</v>
      </c>
      <c r="G18448">
        <v>0</v>
      </c>
      <c r="H18448">
        <v>1</v>
      </c>
      <c r="I18448" s="3">
        <v>710.95</v>
      </c>
      <c r="J18448" s="3">
        <v>0</v>
      </c>
      <c r="L18448">
        <v>322</v>
      </c>
      <c r="M18448" t="s">
        <v>40048</v>
      </c>
      <c r="N18448" t="s">
        <v>149</v>
      </c>
      <c r="O18448" t="s">
        <v>31</v>
      </c>
      <c r="P18448" t="str">
        <f>"15106"</f>
        <v>15106</v>
      </c>
    </row>
    <row r="18449" spans="1:16" x14ac:dyDescent="0.25">
      <c r="A18449" t="str">
        <f>"1270045A00048    00"</f>
        <v>1270045A00048    00</v>
      </c>
      <c r="B18449" t="s">
        <v>29347</v>
      </c>
      <c r="C18449" t="s">
        <v>40052</v>
      </c>
      <c r="E18449" t="s">
        <v>39</v>
      </c>
      <c r="F18449">
        <v>0</v>
      </c>
      <c r="G18449">
        <v>0</v>
      </c>
      <c r="H18449">
        <v>2</v>
      </c>
      <c r="I18449" s="3">
        <v>1171.92</v>
      </c>
      <c r="J18449" s="3">
        <v>815.2</v>
      </c>
      <c r="K18449" t="s">
        <v>29349</v>
      </c>
      <c r="L18449">
        <v>4101</v>
      </c>
      <c r="M18449" t="s">
        <v>339</v>
      </c>
      <c r="N18449" t="s">
        <v>30</v>
      </c>
      <c r="O18449" t="s">
        <v>31</v>
      </c>
      <c r="P18449" t="str">
        <f>"15227"</f>
        <v>15227</v>
      </c>
    </row>
    <row r="18450" spans="1:16" x14ac:dyDescent="0.25">
      <c r="A18450" t="str">
        <f>"1270045A00076    00"</f>
        <v>1270045A00076    00</v>
      </c>
      <c r="B18450" t="s">
        <v>40053</v>
      </c>
      <c r="C18450" t="s">
        <v>40054</v>
      </c>
      <c r="D18450" t="s">
        <v>20</v>
      </c>
      <c r="E18450" t="s">
        <v>39</v>
      </c>
      <c r="F18450">
        <v>0</v>
      </c>
      <c r="G18450">
        <v>0</v>
      </c>
      <c r="H18450">
        <v>2</v>
      </c>
      <c r="I18450" s="3">
        <v>88.1</v>
      </c>
      <c r="J18450" s="3">
        <v>0</v>
      </c>
      <c r="L18450">
        <v>3001</v>
      </c>
      <c r="M18450" t="s">
        <v>40055</v>
      </c>
      <c r="N18450" t="s">
        <v>30</v>
      </c>
      <c r="O18450" t="s">
        <v>31</v>
      </c>
      <c r="P18450" t="str">
        <f>"15212"</f>
        <v>15212</v>
      </c>
    </row>
    <row r="18451" spans="1:16" x14ac:dyDescent="0.25">
      <c r="A18451" t="str">
        <f>"1270045A00079    00"</f>
        <v>1270045A00079    00</v>
      </c>
      <c r="B18451" t="s">
        <v>40056</v>
      </c>
      <c r="C18451" t="s">
        <v>40057</v>
      </c>
      <c r="D18451" t="s">
        <v>20</v>
      </c>
      <c r="E18451" t="s">
        <v>39</v>
      </c>
      <c r="F18451">
        <v>0</v>
      </c>
      <c r="G18451">
        <v>0</v>
      </c>
      <c r="H18451">
        <v>5</v>
      </c>
      <c r="I18451" s="3">
        <v>5755.69</v>
      </c>
      <c r="J18451" s="3">
        <v>994.37</v>
      </c>
      <c r="K18451" t="s">
        <v>40058</v>
      </c>
      <c r="L18451">
        <v>3006</v>
      </c>
      <c r="M18451" t="s">
        <v>36012</v>
      </c>
      <c r="N18451" t="s">
        <v>30</v>
      </c>
      <c r="O18451" t="s">
        <v>31</v>
      </c>
      <c r="P18451" t="str">
        <f>"15212"</f>
        <v>15212</v>
      </c>
    </row>
    <row r="18452" spans="1:16" x14ac:dyDescent="0.25">
      <c r="A18452" t="str">
        <f>"1270045A00092    00"</f>
        <v>1270045A00092    00</v>
      </c>
      <c r="B18452" t="s">
        <v>40059</v>
      </c>
      <c r="C18452" t="s">
        <v>40060</v>
      </c>
      <c r="D18452" t="s">
        <v>20</v>
      </c>
      <c r="E18452" t="s">
        <v>39</v>
      </c>
      <c r="F18452">
        <v>0</v>
      </c>
      <c r="G18452">
        <v>0</v>
      </c>
      <c r="H18452">
        <v>16</v>
      </c>
      <c r="I18452" s="3">
        <v>8100.45</v>
      </c>
      <c r="J18452" s="3">
        <v>5358.37</v>
      </c>
      <c r="L18452">
        <v>2913</v>
      </c>
      <c r="M18452" t="s">
        <v>40061</v>
      </c>
      <c r="N18452" t="s">
        <v>30</v>
      </c>
      <c r="O18452" t="s">
        <v>31</v>
      </c>
      <c r="P18452" t="str">
        <f>"15212"</f>
        <v>15212</v>
      </c>
    </row>
    <row r="18453" spans="1:16" x14ac:dyDescent="0.25">
      <c r="A18453" t="str">
        <f>"1270045A00093    00"</f>
        <v>1270045A00093    00</v>
      </c>
      <c r="B18453" t="s">
        <v>40062</v>
      </c>
      <c r="C18453" t="s">
        <v>40063</v>
      </c>
      <c r="D18453" t="s">
        <v>20</v>
      </c>
      <c r="E18453" t="s">
        <v>39</v>
      </c>
      <c r="F18453">
        <v>0</v>
      </c>
      <c r="G18453">
        <v>0</v>
      </c>
      <c r="H18453">
        <v>11</v>
      </c>
      <c r="I18453" s="3">
        <v>10280.17</v>
      </c>
      <c r="J18453" s="3">
        <v>4436.8900000000003</v>
      </c>
      <c r="L18453">
        <v>433</v>
      </c>
      <c r="M18453" t="s">
        <v>37136</v>
      </c>
      <c r="N18453" t="s">
        <v>30</v>
      </c>
      <c r="O18453" t="s">
        <v>31</v>
      </c>
      <c r="P18453" t="str">
        <f>"15202"</f>
        <v>15202</v>
      </c>
    </row>
    <row r="18454" spans="1:16" x14ac:dyDescent="0.25">
      <c r="A18454" t="str">
        <f>"1270045A00095    00"</f>
        <v>1270045A00095    00</v>
      </c>
      <c r="B18454" t="s">
        <v>40064</v>
      </c>
      <c r="C18454" t="s">
        <v>40065</v>
      </c>
      <c r="D18454" t="s">
        <v>20</v>
      </c>
      <c r="E18454" t="s">
        <v>39</v>
      </c>
      <c r="F18454">
        <v>0</v>
      </c>
      <c r="G18454">
        <v>0</v>
      </c>
      <c r="H18454">
        <v>6</v>
      </c>
      <c r="I18454" s="3">
        <v>1010.91</v>
      </c>
      <c r="J18454" s="3">
        <v>21.15</v>
      </c>
      <c r="L18454">
        <v>284</v>
      </c>
      <c r="M18454" t="s">
        <v>40066</v>
      </c>
      <c r="N18454" t="s">
        <v>30</v>
      </c>
      <c r="O18454" t="s">
        <v>31</v>
      </c>
      <c r="P18454" t="str">
        <f>"15237"</f>
        <v>15237</v>
      </c>
    </row>
    <row r="18455" spans="1:16" x14ac:dyDescent="0.25">
      <c r="A18455" t="str">
        <f>"1270045A00098    00"</f>
        <v>1270045A00098    00</v>
      </c>
      <c r="B18455" t="s">
        <v>40067</v>
      </c>
      <c r="C18455" t="s">
        <v>40068</v>
      </c>
      <c r="D18455" t="s">
        <v>20</v>
      </c>
      <c r="E18455" t="s">
        <v>39</v>
      </c>
      <c r="F18455">
        <v>0</v>
      </c>
      <c r="G18455">
        <v>0</v>
      </c>
      <c r="H18455">
        <v>19</v>
      </c>
      <c r="I18455" s="3">
        <v>6994.17</v>
      </c>
      <c r="J18455" s="3">
        <v>6453.76</v>
      </c>
      <c r="L18455">
        <v>1402</v>
      </c>
      <c r="M18455" t="s">
        <v>13152</v>
      </c>
      <c r="N18455" t="s">
        <v>30</v>
      </c>
      <c r="O18455" t="s">
        <v>31</v>
      </c>
      <c r="P18455" t="str">
        <f>"15212"</f>
        <v>15212</v>
      </c>
    </row>
    <row r="18456" spans="1:16" x14ac:dyDescent="0.25">
      <c r="A18456" t="str">
        <f>"1270045A00107    00"</f>
        <v>1270045A00107    00</v>
      </c>
      <c r="B18456" t="s">
        <v>40069</v>
      </c>
      <c r="C18456" t="s">
        <v>40070</v>
      </c>
      <c r="D18456" t="s">
        <v>20</v>
      </c>
      <c r="E18456" t="s">
        <v>39</v>
      </c>
      <c r="F18456">
        <v>0</v>
      </c>
      <c r="G18456">
        <v>0</v>
      </c>
      <c r="H18456">
        <v>1</v>
      </c>
      <c r="I18456" s="3">
        <v>293.48</v>
      </c>
      <c r="J18456" s="3">
        <v>0</v>
      </c>
      <c r="K18456" t="s">
        <v>40071</v>
      </c>
      <c r="L18456">
        <v>2906</v>
      </c>
      <c r="M18456" t="s">
        <v>40051</v>
      </c>
      <c r="N18456" t="s">
        <v>30</v>
      </c>
      <c r="O18456" t="s">
        <v>31</v>
      </c>
      <c r="P18456" t="str">
        <f>"15212"</f>
        <v>15212</v>
      </c>
    </row>
    <row r="18457" spans="1:16" x14ac:dyDescent="0.25">
      <c r="A18457" t="str">
        <f>"1270045A00111    00"</f>
        <v>1270045A00111    00</v>
      </c>
      <c r="B18457" t="s">
        <v>40072</v>
      </c>
      <c r="C18457" t="s">
        <v>40068</v>
      </c>
      <c r="D18457" t="s">
        <v>20</v>
      </c>
      <c r="E18457" t="s">
        <v>39</v>
      </c>
      <c r="F18457">
        <v>0</v>
      </c>
      <c r="G18457">
        <v>0</v>
      </c>
      <c r="H18457">
        <v>5</v>
      </c>
      <c r="I18457" s="3">
        <v>1188.76</v>
      </c>
      <c r="J18457" s="3">
        <v>296.18</v>
      </c>
      <c r="L18457">
        <v>9080</v>
      </c>
      <c r="M18457" t="s">
        <v>40073</v>
      </c>
      <c r="N18457" t="s">
        <v>1358</v>
      </c>
      <c r="O18457" t="s">
        <v>495</v>
      </c>
      <c r="P18457" t="str">
        <f>"90630"</f>
        <v>90630</v>
      </c>
    </row>
    <row r="18458" spans="1:16" x14ac:dyDescent="0.25">
      <c r="A18458" t="str">
        <f>"1270045A00132    00"</f>
        <v>1270045A00132    00</v>
      </c>
      <c r="B18458" t="s">
        <v>40074</v>
      </c>
      <c r="C18458" t="s">
        <v>40075</v>
      </c>
      <c r="D18458" t="s">
        <v>20</v>
      </c>
      <c r="E18458" t="s">
        <v>39</v>
      </c>
      <c r="F18458">
        <v>0</v>
      </c>
      <c r="G18458">
        <v>0</v>
      </c>
      <c r="H18458">
        <v>1</v>
      </c>
      <c r="I18458" s="3">
        <v>633.26</v>
      </c>
      <c r="J18458" s="3">
        <v>0</v>
      </c>
      <c r="K18458" t="s">
        <v>710</v>
      </c>
      <c r="L18458">
        <v>4140</v>
      </c>
      <c r="M18458" t="s">
        <v>711</v>
      </c>
      <c r="N18458" t="s">
        <v>712</v>
      </c>
      <c r="O18458" t="s">
        <v>31</v>
      </c>
      <c r="P18458" t="str">
        <f>"16148"</f>
        <v>16148</v>
      </c>
    </row>
    <row r="18459" spans="1:16" x14ac:dyDescent="0.25">
      <c r="A18459" t="str">
        <f>"1270045A00134    00"</f>
        <v>1270045A00134    00</v>
      </c>
      <c r="B18459" t="s">
        <v>40076</v>
      </c>
      <c r="C18459" t="s">
        <v>40068</v>
      </c>
      <c r="D18459" t="s">
        <v>20</v>
      </c>
      <c r="E18459" t="s">
        <v>39</v>
      </c>
      <c r="F18459">
        <v>0</v>
      </c>
      <c r="G18459">
        <v>0</v>
      </c>
      <c r="H18459">
        <v>16</v>
      </c>
      <c r="I18459" s="3">
        <v>7073.41</v>
      </c>
      <c r="J18459" s="3">
        <v>6736.66</v>
      </c>
      <c r="L18459">
        <v>7</v>
      </c>
      <c r="M18459" t="s">
        <v>40077</v>
      </c>
      <c r="N18459" t="s">
        <v>40078</v>
      </c>
      <c r="O18459" t="s">
        <v>606</v>
      </c>
      <c r="P18459" t="str">
        <f>"30458"</f>
        <v>30458</v>
      </c>
    </row>
    <row r="18460" spans="1:16" x14ac:dyDescent="0.25">
      <c r="A18460" t="str">
        <f>"1270045A00135    00"</f>
        <v>1270045A00135    00</v>
      </c>
      <c r="B18460" t="s">
        <v>40079</v>
      </c>
      <c r="C18460" t="s">
        <v>40080</v>
      </c>
      <c r="D18460" t="s">
        <v>20</v>
      </c>
      <c r="E18460" t="s">
        <v>39</v>
      </c>
      <c r="F18460">
        <v>0</v>
      </c>
      <c r="G18460">
        <v>0</v>
      </c>
      <c r="H18460">
        <v>11</v>
      </c>
      <c r="I18460" s="3">
        <v>10251.58</v>
      </c>
      <c r="J18460" s="3">
        <v>4892.71</v>
      </c>
      <c r="K18460" t="s">
        <v>40081</v>
      </c>
      <c r="L18460">
        <v>2906</v>
      </c>
      <c r="M18460" t="s">
        <v>36012</v>
      </c>
      <c r="N18460" t="s">
        <v>30</v>
      </c>
      <c r="O18460" t="s">
        <v>31</v>
      </c>
      <c r="P18460" t="str">
        <f>"15212"</f>
        <v>15212</v>
      </c>
    </row>
    <row r="18461" spans="1:16" x14ac:dyDescent="0.25">
      <c r="A18461" t="str">
        <f>"1270045A00137    00"</f>
        <v>1270045A00137    00</v>
      </c>
      <c r="B18461" t="s">
        <v>40082</v>
      </c>
      <c r="C18461" t="s">
        <v>40083</v>
      </c>
      <c r="E18461" t="s">
        <v>39</v>
      </c>
      <c r="F18461">
        <v>0</v>
      </c>
      <c r="G18461">
        <v>0</v>
      </c>
      <c r="H18461">
        <v>3</v>
      </c>
      <c r="I18461" s="3">
        <v>2630.26</v>
      </c>
      <c r="J18461" s="3">
        <v>1816.06</v>
      </c>
      <c r="K18461" t="s">
        <v>40084</v>
      </c>
      <c r="L18461">
        <v>2909</v>
      </c>
      <c r="M18461" t="s">
        <v>40055</v>
      </c>
      <c r="N18461" t="s">
        <v>30</v>
      </c>
      <c r="O18461" t="s">
        <v>31</v>
      </c>
      <c r="P18461" t="str">
        <f>"15212"</f>
        <v>15212</v>
      </c>
    </row>
    <row r="18462" spans="1:16" x14ac:dyDescent="0.25">
      <c r="A18462" t="str">
        <f>"1270045A00138    00"</f>
        <v>1270045A00138    00</v>
      </c>
      <c r="B18462" t="s">
        <v>40085</v>
      </c>
      <c r="C18462" t="s">
        <v>40086</v>
      </c>
      <c r="D18462" t="s">
        <v>20</v>
      </c>
      <c r="E18462" t="s">
        <v>39</v>
      </c>
      <c r="F18462">
        <v>0</v>
      </c>
      <c r="G18462">
        <v>0</v>
      </c>
      <c r="H18462">
        <v>14</v>
      </c>
      <c r="I18462" s="3">
        <v>3434.34</v>
      </c>
      <c r="J18462" s="3">
        <v>2069.7199999999998</v>
      </c>
      <c r="L18462">
        <v>2911</v>
      </c>
      <c r="M18462" t="s">
        <v>40055</v>
      </c>
      <c r="N18462" t="s">
        <v>30</v>
      </c>
      <c r="O18462" t="s">
        <v>31</v>
      </c>
      <c r="P18462" t="str">
        <f>"15212"</f>
        <v>15212</v>
      </c>
    </row>
    <row r="18463" spans="1:16" x14ac:dyDescent="0.25">
      <c r="A18463" t="str">
        <f>"1270045A00150    00"</f>
        <v>1270045A00150    00</v>
      </c>
      <c r="B18463" t="s">
        <v>40087</v>
      </c>
      <c r="C18463" t="s">
        <v>40088</v>
      </c>
      <c r="D18463" t="s">
        <v>20</v>
      </c>
      <c r="E18463" t="s">
        <v>39</v>
      </c>
      <c r="F18463">
        <v>0</v>
      </c>
      <c r="G18463">
        <v>0</v>
      </c>
      <c r="H18463">
        <v>6</v>
      </c>
      <c r="I18463" s="3">
        <v>401.28</v>
      </c>
      <c r="J18463" s="3">
        <v>397.03</v>
      </c>
      <c r="L18463">
        <v>435</v>
      </c>
      <c r="M18463" t="s">
        <v>32081</v>
      </c>
      <c r="N18463" t="s">
        <v>30</v>
      </c>
      <c r="O18463" t="s">
        <v>31</v>
      </c>
      <c r="P18463" t="str">
        <f>"15204"</f>
        <v>15204</v>
      </c>
    </row>
    <row r="18464" spans="1:16" x14ac:dyDescent="0.25">
      <c r="A18464" t="str">
        <f>"1270045A00160    00"</f>
        <v>1270045A00160    00</v>
      </c>
      <c r="B18464" t="s">
        <v>40089</v>
      </c>
      <c r="C18464" t="s">
        <v>40090</v>
      </c>
      <c r="D18464" t="s">
        <v>20</v>
      </c>
      <c r="E18464" t="s">
        <v>39</v>
      </c>
      <c r="F18464">
        <v>0</v>
      </c>
      <c r="G18464">
        <v>0</v>
      </c>
      <c r="H18464">
        <v>4</v>
      </c>
      <c r="I18464" s="3">
        <v>6096.37</v>
      </c>
      <c r="J18464" s="3">
        <v>1943.46</v>
      </c>
      <c r="L18464">
        <v>2909</v>
      </c>
      <c r="M18464" t="s">
        <v>35783</v>
      </c>
      <c r="N18464" t="s">
        <v>30</v>
      </c>
      <c r="O18464" t="s">
        <v>31</v>
      </c>
      <c r="P18464" t="str">
        <f>"15212"</f>
        <v>15212</v>
      </c>
    </row>
    <row r="18465" spans="1:16" x14ac:dyDescent="0.25">
      <c r="A18465" t="str">
        <f>"1270045A00164    00"</f>
        <v>1270045A00164    00</v>
      </c>
      <c r="B18465" t="s">
        <v>40091</v>
      </c>
      <c r="C18465" t="s">
        <v>40092</v>
      </c>
      <c r="D18465" t="s">
        <v>20</v>
      </c>
      <c r="E18465" t="s">
        <v>39</v>
      </c>
      <c r="F18465">
        <v>0</v>
      </c>
      <c r="G18465">
        <v>0</v>
      </c>
      <c r="H18465">
        <v>3</v>
      </c>
      <c r="I18465" s="3">
        <v>2835.95</v>
      </c>
      <c r="J18465" s="3">
        <v>154.34</v>
      </c>
      <c r="L18465">
        <v>2901</v>
      </c>
      <c r="M18465" t="s">
        <v>35783</v>
      </c>
      <c r="N18465" t="s">
        <v>30</v>
      </c>
      <c r="O18465" t="s">
        <v>31</v>
      </c>
      <c r="P18465" t="str">
        <f>"15212"</f>
        <v>15212</v>
      </c>
    </row>
    <row r="18466" spans="1:16" x14ac:dyDescent="0.25">
      <c r="A18466" t="str">
        <f>"1270045A00166    00"</f>
        <v>1270045A00166    00</v>
      </c>
      <c r="B18466" t="s">
        <v>40093</v>
      </c>
      <c r="C18466" t="s">
        <v>40094</v>
      </c>
      <c r="D18466" t="s">
        <v>20</v>
      </c>
      <c r="E18466" t="s">
        <v>207</v>
      </c>
      <c r="F18466">
        <v>0</v>
      </c>
      <c r="G18466">
        <v>0</v>
      </c>
      <c r="H18466">
        <v>3</v>
      </c>
      <c r="I18466" s="3">
        <v>3354.73</v>
      </c>
      <c r="J18466" s="3">
        <v>0</v>
      </c>
      <c r="K18466" t="s">
        <v>40095</v>
      </c>
      <c r="L18466">
        <v>1119</v>
      </c>
      <c r="M18466" t="s">
        <v>40096</v>
      </c>
      <c r="N18466" t="s">
        <v>321</v>
      </c>
      <c r="O18466" t="s">
        <v>31</v>
      </c>
      <c r="P18466" t="str">
        <f>"15001"</f>
        <v>15001</v>
      </c>
    </row>
    <row r="18467" spans="1:16" x14ac:dyDescent="0.25">
      <c r="A18467" t="str">
        <f>"1270045A00182B   00"</f>
        <v>1270045A00182B   00</v>
      </c>
      <c r="B18467" t="s">
        <v>40097</v>
      </c>
      <c r="C18467" t="s">
        <v>40098</v>
      </c>
      <c r="D18467" t="s">
        <v>20</v>
      </c>
      <c r="E18467" t="s">
        <v>39</v>
      </c>
      <c r="F18467">
        <v>0</v>
      </c>
      <c r="G18467">
        <v>0</v>
      </c>
      <c r="H18467">
        <v>4</v>
      </c>
      <c r="I18467" s="3">
        <v>1478.64</v>
      </c>
      <c r="J18467" s="3">
        <v>217.86</v>
      </c>
      <c r="M18467" t="s">
        <v>19315</v>
      </c>
      <c r="N18467" t="s">
        <v>30</v>
      </c>
      <c r="O18467" t="s">
        <v>31</v>
      </c>
      <c r="P18467" t="str">
        <f>"15217"</f>
        <v>15217</v>
      </c>
    </row>
    <row r="18468" spans="1:16" x14ac:dyDescent="0.25">
      <c r="A18468" t="str">
        <f>"1270045A00187    00"</f>
        <v>1270045A00187    00</v>
      </c>
      <c r="B18468" t="s">
        <v>12867</v>
      </c>
      <c r="C18468" t="s">
        <v>40088</v>
      </c>
      <c r="D18468" t="s">
        <v>20</v>
      </c>
      <c r="E18468" t="s">
        <v>39</v>
      </c>
      <c r="F18468">
        <v>0</v>
      </c>
      <c r="G18468">
        <v>0</v>
      </c>
      <c r="H18468">
        <v>17</v>
      </c>
      <c r="I18468" s="3">
        <v>10631.9</v>
      </c>
      <c r="J18468" s="3">
        <v>11304.35</v>
      </c>
      <c r="K18468" t="s">
        <v>40099</v>
      </c>
      <c r="L18468">
        <v>127</v>
      </c>
      <c r="M18468" t="s">
        <v>40100</v>
      </c>
      <c r="N18468" t="s">
        <v>39871</v>
      </c>
      <c r="O18468" t="s">
        <v>31</v>
      </c>
      <c r="P18468" t="str">
        <f>"16033"</f>
        <v>16033</v>
      </c>
    </row>
    <row r="18469" spans="1:16" x14ac:dyDescent="0.25">
      <c r="A18469" t="str">
        <f>"1270045A00188    00"</f>
        <v>1270045A00188    00</v>
      </c>
      <c r="B18469" t="s">
        <v>39616</v>
      </c>
      <c r="C18469" t="s">
        <v>40101</v>
      </c>
      <c r="D18469" t="s">
        <v>20</v>
      </c>
      <c r="E18469" t="s">
        <v>21</v>
      </c>
      <c r="F18469">
        <v>0</v>
      </c>
      <c r="G18469">
        <v>0</v>
      </c>
      <c r="H18469">
        <v>7</v>
      </c>
      <c r="I18469" s="3">
        <v>2656.2</v>
      </c>
      <c r="J18469" s="3">
        <v>1255.43</v>
      </c>
      <c r="K18469" t="s">
        <v>39618</v>
      </c>
      <c r="L18469">
        <v>2</v>
      </c>
      <c r="M18469" t="s">
        <v>40102</v>
      </c>
      <c r="N18469" t="s">
        <v>30</v>
      </c>
      <c r="O18469" t="s">
        <v>31</v>
      </c>
      <c r="P18469" t="str">
        <f>"15212"</f>
        <v>15212</v>
      </c>
    </row>
    <row r="18470" spans="1:16" x14ac:dyDescent="0.25">
      <c r="A18470" t="str">
        <f>"1270045A00189    00"</f>
        <v>1270045A00189    00</v>
      </c>
      <c r="B18470" t="s">
        <v>40103</v>
      </c>
      <c r="C18470" t="s">
        <v>40104</v>
      </c>
      <c r="E18470" t="s">
        <v>39</v>
      </c>
      <c r="F18470">
        <v>0</v>
      </c>
      <c r="G18470">
        <v>0</v>
      </c>
      <c r="H18470">
        <v>3</v>
      </c>
      <c r="I18470" s="3">
        <v>595.77</v>
      </c>
      <c r="J18470" s="3">
        <v>83.2</v>
      </c>
      <c r="L18470">
        <v>1830</v>
      </c>
      <c r="M18470" t="s">
        <v>32125</v>
      </c>
      <c r="N18470" t="s">
        <v>30</v>
      </c>
      <c r="O18470" t="s">
        <v>31</v>
      </c>
      <c r="P18470" t="str">
        <f>"15212"</f>
        <v>15212</v>
      </c>
    </row>
    <row r="18471" spans="1:16" x14ac:dyDescent="0.25">
      <c r="A18471" t="str">
        <f>"1270045A00199    00"</f>
        <v>1270045A00199    00</v>
      </c>
      <c r="B18471" t="s">
        <v>40105</v>
      </c>
      <c r="C18471" t="s">
        <v>40106</v>
      </c>
      <c r="D18471" t="s">
        <v>20</v>
      </c>
      <c r="E18471" t="s">
        <v>39</v>
      </c>
      <c r="F18471">
        <v>0</v>
      </c>
      <c r="G18471">
        <v>0</v>
      </c>
      <c r="H18471">
        <v>17</v>
      </c>
      <c r="I18471" s="3">
        <v>5443.47</v>
      </c>
      <c r="J18471" s="3">
        <v>7153.97</v>
      </c>
      <c r="L18471">
        <v>2917</v>
      </c>
      <c r="M18471" t="s">
        <v>40107</v>
      </c>
      <c r="N18471" t="s">
        <v>30</v>
      </c>
      <c r="O18471" t="s">
        <v>31</v>
      </c>
      <c r="P18471" t="str">
        <f>"15212"</f>
        <v>15212</v>
      </c>
    </row>
    <row r="18472" spans="1:16" x14ac:dyDescent="0.25">
      <c r="A18472" t="str">
        <f>"1270045A00200    00"</f>
        <v>1270045A00200    00</v>
      </c>
      <c r="B18472" t="s">
        <v>40108</v>
      </c>
      <c r="C18472" t="s">
        <v>40109</v>
      </c>
      <c r="D18472" t="s">
        <v>20</v>
      </c>
      <c r="E18472" t="s">
        <v>39</v>
      </c>
      <c r="F18472">
        <v>0</v>
      </c>
      <c r="G18472">
        <v>0</v>
      </c>
      <c r="H18472">
        <v>11</v>
      </c>
      <c r="I18472" s="3">
        <v>5571.58</v>
      </c>
      <c r="J18472" s="3">
        <v>2659.1</v>
      </c>
      <c r="L18472">
        <v>100</v>
      </c>
      <c r="M18472" t="s">
        <v>40110</v>
      </c>
      <c r="N18472" t="s">
        <v>30</v>
      </c>
      <c r="O18472" t="s">
        <v>31</v>
      </c>
      <c r="P18472" t="str">
        <f>"15235"</f>
        <v>15235</v>
      </c>
    </row>
    <row r="18473" spans="1:16" x14ac:dyDescent="0.25">
      <c r="A18473" t="str">
        <f>"1270045A00202A   00"</f>
        <v>1270045A00202A   00</v>
      </c>
      <c r="B18473" t="s">
        <v>40111</v>
      </c>
      <c r="C18473" t="s">
        <v>40112</v>
      </c>
      <c r="D18473" t="s">
        <v>20</v>
      </c>
      <c r="E18473" t="s">
        <v>39</v>
      </c>
      <c r="F18473">
        <v>0</v>
      </c>
      <c r="G18473">
        <v>0</v>
      </c>
      <c r="H18473">
        <v>1</v>
      </c>
      <c r="I18473" s="3">
        <v>356.43</v>
      </c>
      <c r="J18473" s="3">
        <v>0</v>
      </c>
      <c r="K18473" t="s">
        <v>40113</v>
      </c>
      <c r="L18473">
        <v>343</v>
      </c>
      <c r="M18473" t="s">
        <v>12785</v>
      </c>
      <c r="N18473" t="s">
        <v>8991</v>
      </c>
      <c r="O18473" t="s">
        <v>31</v>
      </c>
      <c r="P18473" t="str">
        <f>"15145"</f>
        <v>15145</v>
      </c>
    </row>
    <row r="18474" spans="1:16" x14ac:dyDescent="0.25">
      <c r="A18474" t="str">
        <f>"1270045A00208    00"</f>
        <v>1270045A00208    00</v>
      </c>
      <c r="B18474" t="s">
        <v>40114</v>
      </c>
      <c r="C18474" t="s">
        <v>40115</v>
      </c>
      <c r="D18474" t="s">
        <v>20</v>
      </c>
      <c r="E18474" t="s">
        <v>39</v>
      </c>
      <c r="F18474">
        <v>0</v>
      </c>
      <c r="G18474">
        <v>0</v>
      </c>
      <c r="H18474">
        <v>15</v>
      </c>
      <c r="I18474" s="3">
        <v>13865.71</v>
      </c>
      <c r="J18474" s="3">
        <v>8936.2099999999991</v>
      </c>
      <c r="L18474">
        <v>9302</v>
      </c>
      <c r="M18474" t="s">
        <v>40116</v>
      </c>
      <c r="N18474" t="s">
        <v>5797</v>
      </c>
      <c r="O18474" t="s">
        <v>200</v>
      </c>
      <c r="P18474" t="str">
        <f>"11212"</f>
        <v>11212</v>
      </c>
    </row>
    <row r="18475" spans="1:16" x14ac:dyDescent="0.25">
      <c r="A18475" t="str">
        <f>"1270045A00211    00"</f>
        <v>1270045A00211    00</v>
      </c>
      <c r="B18475" t="s">
        <v>40117</v>
      </c>
      <c r="C18475" t="s">
        <v>40088</v>
      </c>
      <c r="D18475" t="s">
        <v>20</v>
      </c>
      <c r="E18475" t="s">
        <v>39</v>
      </c>
      <c r="F18475">
        <v>0</v>
      </c>
      <c r="G18475">
        <v>0</v>
      </c>
      <c r="H18475">
        <v>16</v>
      </c>
      <c r="I18475" s="3">
        <v>5381.18</v>
      </c>
      <c r="J18475" s="3">
        <v>3816.93</v>
      </c>
      <c r="L18475">
        <v>3915</v>
      </c>
      <c r="M18475" t="s">
        <v>40118</v>
      </c>
      <c r="N18475" t="s">
        <v>26823</v>
      </c>
      <c r="O18475" t="s">
        <v>495</v>
      </c>
      <c r="P18475" t="str">
        <f>"90807"</f>
        <v>90807</v>
      </c>
    </row>
    <row r="18476" spans="1:16" x14ac:dyDescent="0.25">
      <c r="A18476" t="str">
        <f>"1270045A00218    00"</f>
        <v>1270045A00218    00</v>
      </c>
      <c r="B18476" t="s">
        <v>40119</v>
      </c>
      <c r="C18476" t="s">
        <v>40120</v>
      </c>
      <c r="D18476" t="s">
        <v>20</v>
      </c>
      <c r="E18476" t="s">
        <v>39</v>
      </c>
      <c r="F18476">
        <v>0</v>
      </c>
      <c r="G18476">
        <v>0</v>
      </c>
      <c r="H18476">
        <v>7</v>
      </c>
      <c r="I18476" s="3">
        <v>2415.63</v>
      </c>
      <c r="J18476" s="3">
        <v>656.73</v>
      </c>
      <c r="L18476">
        <v>3005</v>
      </c>
      <c r="M18476" t="s">
        <v>40107</v>
      </c>
      <c r="N18476" t="s">
        <v>30</v>
      </c>
      <c r="O18476" t="s">
        <v>31</v>
      </c>
      <c r="P18476" t="str">
        <f>"15212"</f>
        <v>15212</v>
      </c>
    </row>
    <row r="18477" spans="1:16" x14ac:dyDescent="0.25">
      <c r="A18477" t="str">
        <f>"1270045A00233    00"</f>
        <v>1270045A00233    00</v>
      </c>
      <c r="B18477" t="s">
        <v>40121</v>
      </c>
      <c r="C18477" t="s">
        <v>40122</v>
      </c>
      <c r="E18477" t="s">
        <v>39</v>
      </c>
      <c r="F18477">
        <v>0</v>
      </c>
      <c r="G18477">
        <v>0</v>
      </c>
      <c r="H18477">
        <v>1</v>
      </c>
      <c r="I18477" s="3">
        <v>109.59</v>
      </c>
      <c r="J18477" s="3">
        <v>32.880000000000003</v>
      </c>
      <c r="L18477">
        <v>2913</v>
      </c>
      <c r="M18477" t="s">
        <v>40107</v>
      </c>
      <c r="N18477" t="s">
        <v>30</v>
      </c>
      <c r="O18477" t="s">
        <v>31</v>
      </c>
      <c r="P18477" t="str">
        <f>"15212"</f>
        <v>15212</v>
      </c>
    </row>
    <row r="18478" spans="1:16" x14ac:dyDescent="0.25">
      <c r="A18478" t="str">
        <f>"1270045A00237    00"</f>
        <v>1270045A00237    00</v>
      </c>
      <c r="B18478" t="s">
        <v>40123</v>
      </c>
      <c r="C18478" t="s">
        <v>40122</v>
      </c>
      <c r="D18478" t="s">
        <v>20</v>
      </c>
      <c r="E18478" t="s">
        <v>39</v>
      </c>
      <c r="F18478">
        <v>0</v>
      </c>
      <c r="G18478">
        <v>0</v>
      </c>
      <c r="H18478">
        <v>19</v>
      </c>
      <c r="I18478" s="3">
        <v>7676.97</v>
      </c>
      <c r="J18478" s="3">
        <v>9841.7800000000007</v>
      </c>
      <c r="L18478">
        <v>2819</v>
      </c>
      <c r="M18478" t="s">
        <v>40107</v>
      </c>
      <c r="N18478" t="s">
        <v>30</v>
      </c>
      <c r="O18478" t="s">
        <v>31</v>
      </c>
      <c r="P18478" t="str">
        <f>"15212"</f>
        <v>15212</v>
      </c>
    </row>
    <row r="18479" spans="1:16" x14ac:dyDescent="0.25">
      <c r="A18479" t="str">
        <f>"1270045A00238    00"</f>
        <v>1270045A00238    00</v>
      </c>
      <c r="B18479" t="s">
        <v>40123</v>
      </c>
      <c r="C18479" t="s">
        <v>40122</v>
      </c>
      <c r="D18479" t="s">
        <v>20</v>
      </c>
      <c r="E18479" t="s">
        <v>39</v>
      </c>
      <c r="F18479">
        <v>0</v>
      </c>
      <c r="G18479">
        <v>0</v>
      </c>
      <c r="H18479">
        <v>17</v>
      </c>
      <c r="I18479" s="3">
        <v>994.51</v>
      </c>
      <c r="J18479" s="3">
        <v>696.32</v>
      </c>
      <c r="L18479">
        <v>2817</v>
      </c>
      <c r="M18479" t="s">
        <v>40107</v>
      </c>
      <c r="N18479" t="s">
        <v>30</v>
      </c>
      <c r="O18479" t="s">
        <v>31</v>
      </c>
      <c r="P18479" t="str">
        <f>"15212"</f>
        <v>15212</v>
      </c>
    </row>
    <row r="18480" spans="1:16" x14ac:dyDescent="0.25">
      <c r="A18480" t="str">
        <f>"1270045A00240    00"</f>
        <v>1270045A00240    00</v>
      </c>
      <c r="B18480" t="s">
        <v>40124</v>
      </c>
      <c r="C18480" t="s">
        <v>40122</v>
      </c>
      <c r="D18480" t="s">
        <v>20</v>
      </c>
      <c r="E18480" t="s">
        <v>39</v>
      </c>
      <c r="F18480">
        <v>0</v>
      </c>
      <c r="G18480">
        <v>0</v>
      </c>
      <c r="H18480">
        <v>14</v>
      </c>
      <c r="I18480" s="3">
        <v>2415.35</v>
      </c>
      <c r="J18480" s="3">
        <v>3066.55</v>
      </c>
      <c r="L18480">
        <v>2811</v>
      </c>
      <c r="M18480" t="s">
        <v>40107</v>
      </c>
      <c r="N18480" t="s">
        <v>30</v>
      </c>
      <c r="O18480" t="s">
        <v>31</v>
      </c>
      <c r="P18480" t="str">
        <f>"15212"</f>
        <v>15212</v>
      </c>
    </row>
    <row r="18481" spans="1:16" x14ac:dyDescent="0.25">
      <c r="A18481" t="str">
        <f>"1270045A00249    00"</f>
        <v>1270045A00249    00</v>
      </c>
      <c r="B18481" t="s">
        <v>39089</v>
      </c>
      <c r="C18481" t="s">
        <v>40125</v>
      </c>
      <c r="D18481" t="s">
        <v>20</v>
      </c>
      <c r="E18481" t="s">
        <v>39</v>
      </c>
      <c r="F18481">
        <v>0</v>
      </c>
      <c r="G18481">
        <v>0</v>
      </c>
      <c r="H18481">
        <v>6</v>
      </c>
      <c r="I18481" s="3">
        <v>3082.73</v>
      </c>
      <c r="J18481" s="3">
        <v>764.16</v>
      </c>
      <c r="L18481">
        <v>4008</v>
      </c>
      <c r="M18481" t="s">
        <v>39091</v>
      </c>
      <c r="N18481" t="s">
        <v>30</v>
      </c>
      <c r="O18481" t="s">
        <v>31</v>
      </c>
      <c r="P18481" t="str">
        <f>"15214"</f>
        <v>15214</v>
      </c>
    </row>
    <row r="18482" spans="1:16" x14ac:dyDescent="0.25">
      <c r="A18482" t="str">
        <f>"1270045A00258    00"</f>
        <v>1270045A00258    00</v>
      </c>
      <c r="B18482" t="s">
        <v>40126</v>
      </c>
      <c r="C18482" t="s">
        <v>40127</v>
      </c>
      <c r="E18482" t="s">
        <v>39</v>
      </c>
      <c r="F18482">
        <v>0</v>
      </c>
      <c r="G18482">
        <v>0</v>
      </c>
      <c r="H18482">
        <v>1</v>
      </c>
      <c r="I18482" s="3">
        <v>612.95000000000005</v>
      </c>
      <c r="J18482" s="3">
        <v>0</v>
      </c>
      <c r="K18482" t="s">
        <v>40128</v>
      </c>
      <c r="L18482">
        <v>300</v>
      </c>
      <c r="M18482" t="s">
        <v>40129</v>
      </c>
      <c r="N18482" t="s">
        <v>30</v>
      </c>
      <c r="O18482" t="s">
        <v>31</v>
      </c>
      <c r="P18482" t="str">
        <f>"15212"</f>
        <v>15212</v>
      </c>
    </row>
    <row r="18483" spans="1:16" x14ac:dyDescent="0.25">
      <c r="A18483" t="str">
        <f>"1270045A00263    00"</f>
        <v>1270045A00263    00</v>
      </c>
      <c r="B18483" t="s">
        <v>944</v>
      </c>
      <c r="C18483" t="s">
        <v>40130</v>
      </c>
      <c r="E18483" t="s">
        <v>39</v>
      </c>
      <c r="F18483">
        <v>0</v>
      </c>
      <c r="G18483">
        <v>0</v>
      </c>
      <c r="H18483">
        <v>1</v>
      </c>
      <c r="I18483" s="3">
        <v>44.5</v>
      </c>
      <c r="J18483" s="3">
        <v>57.11</v>
      </c>
      <c r="L18483">
        <v>200</v>
      </c>
      <c r="M18483" t="s">
        <v>946</v>
      </c>
      <c r="N18483" t="s">
        <v>30</v>
      </c>
      <c r="O18483" t="s">
        <v>31</v>
      </c>
      <c r="P18483" t="str">
        <f>"15219"</f>
        <v>15219</v>
      </c>
    </row>
    <row r="18484" spans="1:16" x14ac:dyDescent="0.25">
      <c r="A18484" t="str">
        <f>"1270045A00266    00"</f>
        <v>1270045A00266    00</v>
      </c>
      <c r="B18484" t="s">
        <v>944</v>
      </c>
      <c r="C18484" t="s">
        <v>40131</v>
      </c>
      <c r="E18484" t="s">
        <v>39</v>
      </c>
      <c r="F18484">
        <v>0</v>
      </c>
      <c r="G18484">
        <v>0</v>
      </c>
      <c r="H18484">
        <v>2</v>
      </c>
      <c r="I18484" s="3">
        <v>1772.87</v>
      </c>
      <c r="J18484" s="3">
        <v>2273.17</v>
      </c>
      <c r="L18484">
        <v>200</v>
      </c>
      <c r="M18484" t="s">
        <v>946</v>
      </c>
      <c r="N18484" t="s">
        <v>30</v>
      </c>
      <c r="O18484" t="s">
        <v>31</v>
      </c>
      <c r="P18484" t="str">
        <f>"15219"</f>
        <v>15219</v>
      </c>
    </row>
    <row r="18485" spans="1:16" x14ac:dyDescent="0.25">
      <c r="A18485" t="str">
        <f>"1270045A00267    00"</f>
        <v>1270045A00267    00</v>
      </c>
      <c r="B18485" t="s">
        <v>40132</v>
      </c>
      <c r="C18485" t="s">
        <v>40133</v>
      </c>
      <c r="D18485" t="s">
        <v>20</v>
      </c>
      <c r="E18485" t="s">
        <v>39</v>
      </c>
      <c r="F18485">
        <v>0</v>
      </c>
      <c r="G18485">
        <v>0</v>
      </c>
      <c r="H18485">
        <v>2</v>
      </c>
      <c r="I18485" s="3">
        <v>1399.38</v>
      </c>
      <c r="J18485" s="3">
        <v>190.89</v>
      </c>
      <c r="K18485" t="s">
        <v>40134</v>
      </c>
      <c r="L18485">
        <v>1256</v>
      </c>
      <c r="M18485" t="s">
        <v>39919</v>
      </c>
      <c r="N18485" t="s">
        <v>30</v>
      </c>
      <c r="O18485" t="s">
        <v>31</v>
      </c>
      <c r="P18485" t="str">
        <f>"15212"</f>
        <v>15212</v>
      </c>
    </row>
    <row r="18486" spans="1:16" x14ac:dyDescent="0.25">
      <c r="A18486" t="str">
        <f>"1270045A00268    00"</f>
        <v>1270045A00268    00</v>
      </c>
      <c r="B18486" t="s">
        <v>40135</v>
      </c>
      <c r="C18486" t="s">
        <v>40136</v>
      </c>
      <c r="D18486" t="s">
        <v>20</v>
      </c>
      <c r="E18486" t="s">
        <v>39</v>
      </c>
      <c r="F18486">
        <v>0</v>
      </c>
      <c r="G18486">
        <v>0</v>
      </c>
      <c r="H18486">
        <v>1</v>
      </c>
      <c r="I18486" s="3">
        <v>143.61000000000001</v>
      </c>
      <c r="J18486" s="3">
        <v>0</v>
      </c>
      <c r="L18486">
        <v>1256</v>
      </c>
      <c r="M18486" t="s">
        <v>39919</v>
      </c>
      <c r="N18486" t="s">
        <v>30</v>
      </c>
      <c r="O18486" t="s">
        <v>31</v>
      </c>
      <c r="P18486" t="str">
        <f>"15212"</f>
        <v>15212</v>
      </c>
    </row>
    <row r="18487" spans="1:16" x14ac:dyDescent="0.25">
      <c r="A18487" t="str">
        <f>"1270045A00269    00"</f>
        <v>1270045A00269    00</v>
      </c>
      <c r="B18487" t="s">
        <v>40137</v>
      </c>
      <c r="C18487" t="s">
        <v>40138</v>
      </c>
      <c r="D18487" t="s">
        <v>20</v>
      </c>
      <c r="E18487" t="s">
        <v>39</v>
      </c>
      <c r="F18487">
        <v>0</v>
      </c>
      <c r="G18487">
        <v>0</v>
      </c>
      <c r="H18487">
        <v>19</v>
      </c>
      <c r="I18487" s="3">
        <v>10283.56</v>
      </c>
      <c r="J18487" s="3">
        <v>10178.99</v>
      </c>
      <c r="K18487" t="s">
        <v>40139</v>
      </c>
      <c r="L18487">
        <v>2717</v>
      </c>
      <c r="M18487" t="s">
        <v>16754</v>
      </c>
      <c r="N18487" t="s">
        <v>30</v>
      </c>
      <c r="O18487" t="s">
        <v>31</v>
      </c>
      <c r="P18487" t="str">
        <f>"15217"</f>
        <v>15217</v>
      </c>
    </row>
    <row r="18488" spans="1:16" x14ac:dyDescent="0.25">
      <c r="A18488" t="str">
        <f>"1270045A00271    00"</f>
        <v>1270045A00271    00</v>
      </c>
      <c r="B18488" t="s">
        <v>40140</v>
      </c>
      <c r="C18488" t="s">
        <v>40122</v>
      </c>
      <c r="D18488" t="s">
        <v>20</v>
      </c>
      <c r="E18488" t="s">
        <v>39</v>
      </c>
      <c r="F18488">
        <v>0</v>
      </c>
      <c r="G18488">
        <v>0</v>
      </c>
      <c r="H18488">
        <v>19</v>
      </c>
      <c r="I18488" s="3">
        <v>5666.56</v>
      </c>
      <c r="J18488" s="3">
        <v>4920.88</v>
      </c>
      <c r="L18488">
        <v>332</v>
      </c>
      <c r="M18488" t="s">
        <v>2277</v>
      </c>
      <c r="N18488" t="s">
        <v>546</v>
      </c>
      <c r="O18488" t="s">
        <v>31</v>
      </c>
      <c r="P18488" t="str">
        <f>"15044"</f>
        <v>15044</v>
      </c>
    </row>
    <row r="18489" spans="1:16" x14ac:dyDescent="0.25">
      <c r="A18489" t="str">
        <f>"1270045A00282    00"</f>
        <v>1270045A00282    00</v>
      </c>
      <c r="B18489" t="s">
        <v>40141</v>
      </c>
      <c r="C18489" t="s">
        <v>40122</v>
      </c>
      <c r="D18489" t="s">
        <v>20</v>
      </c>
      <c r="E18489" t="s">
        <v>39</v>
      </c>
      <c r="F18489">
        <v>0</v>
      </c>
      <c r="G18489">
        <v>0</v>
      </c>
      <c r="H18489">
        <v>17</v>
      </c>
      <c r="I18489" s="3">
        <v>7179.69</v>
      </c>
      <c r="J18489" s="3">
        <v>6131.62</v>
      </c>
      <c r="L18489">
        <v>8525</v>
      </c>
      <c r="M18489" t="s">
        <v>40142</v>
      </c>
      <c r="N18489" t="s">
        <v>40143</v>
      </c>
      <c r="O18489" t="s">
        <v>200</v>
      </c>
      <c r="P18489" t="str">
        <f>"11379"</f>
        <v>11379</v>
      </c>
    </row>
    <row r="18490" spans="1:16" x14ac:dyDescent="0.25">
      <c r="A18490" t="str">
        <f>"1270045A00302    00"</f>
        <v>1270045A00302    00</v>
      </c>
      <c r="B18490" t="s">
        <v>40144</v>
      </c>
      <c r="C18490" t="s">
        <v>40145</v>
      </c>
      <c r="D18490" t="s">
        <v>20</v>
      </c>
      <c r="E18490" t="s">
        <v>39</v>
      </c>
      <c r="F18490">
        <v>0</v>
      </c>
      <c r="G18490">
        <v>0</v>
      </c>
      <c r="H18490">
        <v>18</v>
      </c>
      <c r="I18490" s="3">
        <v>24045.49</v>
      </c>
      <c r="J18490" s="3">
        <v>19743.16</v>
      </c>
      <c r="L18490">
        <v>2907</v>
      </c>
      <c r="M18490" t="s">
        <v>40146</v>
      </c>
      <c r="N18490" t="s">
        <v>30</v>
      </c>
      <c r="O18490" t="s">
        <v>31</v>
      </c>
      <c r="P18490" t="str">
        <f>"15212"</f>
        <v>15212</v>
      </c>
    </row>
    <row r="18491" spans="1:16" x14ac:dyDescent="0.25">
      <c r="A18491" t="str">
        <f>"1270045A00309    00"</f>
        <v>1270045A00309    00</v>
      </c>
      <c r="B18491" t="s">
        <v>40147</v>
      </c>
      <c r="C18491" t="s">
        <v>40148</v>
      </c>
      <c r="D18491" t="s">
        <v>20</v>
      </c>
      <c r="E18491" t="s">
        <v>39</v>
      </c>
      <c r="F18491">
        <v>0</v>
      </c>
      <c r="G18491">
        <v>0</v>
      </c>
      <c r="H18491">
        <v>5</v>
      </c>
      <c r="I18491" s="3">
        <v>3528.77</v>
      </c>
      <c r="J18491" s="3">
        <v>852.28</v>
      </c>
      <c r="L18491">
        <v>9969</v>
      </c>
      <c r="M18491" t="s">
        <v>7407</v>
      </c>
      <c r="N18491" t="s">
        <v>139</v>
      </c>
      <c r="O18491" t="s">
        <v>31</v>
      </c>
      <c r="P18491" t="str">
        <f>"15090"</f>
        <v>15090</v>
      </c>
    </row>
    <row r="18492" spans="1:16" x14ac:dyDescent="0.25">
      <c r="A18492" t="str">
        <f>"1270045A00312    00"</f>
        <v>1270045A00312    00</v>
      </c>
      <c r="B18492" t="s">
        <v>40149</v>
      </c>
      <c r="C18492" t="s">
        <v>40150</v>
      </c>
      <c r="D18492" t="s">
        <v>20</v>
      </c>
      <c r="E18492" t="s">
        <v>39</v>
      </c>
      <c r="F18492">
        <v>0</v>
      </c>
      <c r="G18492">
        <v>0</v>
      </c>
      <c r="H18492">
        <v>5</v>
      </c>
      <c r="I18492" s="3">
        <v>3216.83</v>
      </c>
      <c r="J18492" s="3">
        <v>560.5</v>
      </c>
      <c r="L18492">
        <v>2145</v>
      </c>
      <c r="M18492" t="s">
        <v>40151</v>
      </c>
      <c r="N18492" t="s">
        <v>30</v>
      </c>
      <c r="O18492" t="s">
        <v>31</v>
      </c>
      <c r="P18492" t="str">
        <f>"15221"</f>
        <v>15221</v>
      </c>
    </row>
    <row r="18493" spans="1:16" x14ac:dyDescent="0.25">
      <c r="A18493" t="str">
        <f>"1270045A00313    00"</f>
        <v>1270045A00313    00</v>
      </c>
      <c r="B18493" t="s">
        <v>40152</v>
      </c>
      <c r="C18493" t="s">
        <v>40153</v>
      </c>
      <c r="D18493" t="s">
        <v>20</v>
      </c>
      <c r="E18493" t="s">
        <v>39</v>
      </c>
      <c r="F18493">
        <v>0</v>
      </c>
      <c r="G18493">
        <v>0</v>
      </c>
      <c r="H18493">
        <v>10</v>
      </c>
      <c r="I18493" s="3">
        <v>6843.15</v>
      </c>
      <c r="J18493" s="3">
        <v>2930.1</v>
      </c>
      <c r="L18493">
        <v>1900</v>
      </c>
      <c r="M18493" t="s">
        <v>40154</v>
      </c>
      <c r="N18493" t="s">
        <v>18302</v>
      </c>
      <c r="O18493" t="s">
        <v>31</v>
      </c>
      <c r="P18493" t="str">
        <f>"15027"</f>
        <v>15027</v>
      </c>
    </row>
    <row r="18494" spans="1:16" x14ac:dyDescent="0.25">
      <c r="A18494" t="str">
        <f>"1270045A00331    00"</f>
        <v>1270045A00331    00</v>
      </c>
      <c r="B18494" t="s">
        <v>40155</v>
      </c>
      <c r="C18494" t="s">
        <v>40156</v>
      </c>
      <c r="D18494" t="s">
        <v>20</v>
      </c>
      <c r="E18494" t="s">
        <v>39</v>
      </c>
      <c r="F18494">
        <v>0</v>
      </c>
      <c r="G18494">
        <v>0</v>
      </c>
      <c r="H18494">
        <v>2</v>
      </c>
      <c r="I18494" s="3">
        <v>1007.31</v>
      </c>
      <c r="J18494" s="3">
        <v>0.21</v>
      </c>
      <c r="L18494">
        <v>2912</v>
      </c>
      <c r="M18494" t="s">
        <v>40146</v>
      </c>
      <c r="N18494" t="s">
        <v>30</v>
      </c>
      <c r="O18494" t="s">
        <v>31</v>
      </c>
      <c r="P18494" t="str">
        <f>"15212"</f>
        <v>15212</v>
      </c>
    </row>
    <row r="18495" spans="1:16" x14ac:dyDescent="0.25">
      <c r="A18495" t="str">
        <f>"1270045A00335    00"</f>
        <v>1270045A00335    00</v>
      </c>
      <c r="B18495" t="s">
        <v>40157</v>
      </c>
      <c r="C18495" t="s">
        <v>40158</v>
      </c>
      <c r="E18495" t="s">
        <v>39</v>
      </c>
      <c r="F18495">
        <v>0</v>
      </c>
      <c r="G18495">
        <v>0</v>
      </c>
      <c r="H18495">
        <v>7</v>
      </c>
      <c r="I18495" s="3">
        <v>7033.58</v>
      </c>
      <c r="J18495" s="3">
        <v>5697.36</v>
      </c>
      <c r="M18495" t="s">
        <v>40159</v>
      </c>
      <c r="N18495" t="s">
        <v>30</v>
      </c>
      <c r="O18495" t="s">
        <v>31</v>
      </c>
      <c r="P18495" t="str">
        <f>"15238"</f>
        <v>15238</v>
      </c>
    </row>
    <row r="18496" spans="1:16" x14ac:dyDescent="0.25">
      <c r="A18496" t="str">
        <f>"1270045A00343    00"</f>
        <v>1270045A00343    00</v>
      </c>
      <c r="B18496" t="s">
        <v>40160</v>
      </c>
      <c r="C18496" t="s">
        <v>40161</v>
      </c>
      <c r="D18496" t="s">
        <v>20</v>
      </c>
      <c r="E18496" t="s">
        <v>39</v>
      </c>
      <c r="F18496">
        <v>0</v>
      </c>
      <c r="G18496">
        <v>0</v>
      </c>
      <c r="H18496">
        <v>1</v>
      </c>
      <c r="I18496" s="3">
        <v>649.96</v>
      </c>
      <c r="J18496" s="3">
        <v>0</v>
      </c>
      <c r="L18496">
        <v>3007</v>
      </c>
      <c r="M18496" t="s">
        <v>40162</v>
      </c>
      <c r="N18496" t="s">
        <v>30</v>
      </c>
      <c r="O18496" t="s">
        <v>31</v>
      </c>
      <c r="P18496" t="str">
        <f>"15212"</f>
        <v>15212</v>
      </c>
    </row>
    <row r="18497" spans="1:16" x14ac:dyDescent="0.25">
      <c r="A18497" t="str">
        <f>"1270045A00347    00"</f>
        <v>1270045A00347    00</v>
      </c>
      <c r="B18497" t="s">
        <v>40163</v>
      </c>
      <c r="C18497" t="s">
        <v>40164</v>
      </c>
      <c r="D18497" t="s">
        <v>20</v>
      </c>
      <c r="E18497" t="s">
        <v>39</v>
      </c>
      <c r="F18497">
        <v>0</v>
      </c>
      <c r="G18497">
        <v>0</v>
      </c>
      <c r="H18497">
        <v>2</v>
      </c>
      <c r="I18497" s="3">
        <v>1143.5999999999999</v>
      </c>
      <c r="J18497" s="3">
        <v>114.36</v>
      </c>
      <c r="K18497" t="s">
        <v>40165</v>
      </c>
      <c r="L18497">
        <v>221</v>
      </c>
      <c r="M18497" t="s">
        <v>40166</v>
      </c>
      <c r="N18497" t="s">
        <v>30</v>
      </c>
      <c r="O18497" t="s">
        <v>31</v>
      </c>
      <c r="P18497" t="str">
        <f>"15241"</f>
        <v>15241</v>
      </c>
    </row>
    <row r="18498" spans="1:16" x14ac:dyDescent="0.25">
      <c r="A18498" t="str">
        <f>"1270045A00383    00"</f>
        <v>1270045A00383    00</v>
      </c>
      <c r="B18498" t="s">
        <v>40167</v>
      </c>
      <c r="C18498" t="s">
        <v>40168</v>
      </c>
      <c r="D18498" t="s">
        <v>20</v>
      </c>
      <c r="E18498" t="s">
        <v>39</v>
      </c>
      <c r="F18498">
        <v>0</v>
      </c>
      <c r="G18498">
        <v>0</v>
      </c>
      <c r="H18498">
        <v>19</v>
      </c>
      <c r="I18498" s="3">
        <v>7515.11</v>
      </c>
      <c r="J18498" s="3">
        <v>7748.71</v>
      </c>
      <c r="L18498">
        <v>2927</v>
      </c>
      <c r="M18498" t="s">
        <v>40162</v>
      </c>
      <c r="N18498" t="s">
        <v>30</v>
      </c>
      <c r="O18498" t="s">
        <v>31</v>
      </c>
      <c r="P18498" t="str">
        <f>"15212"</f>
        <v>15212</v>
      </c>
    </row>
    <row r="18499" spans="1:16" x14ac:dyDescent="0.25">
      <c r="A18499" t="str">
        <f>"1270045A00385    00"</f>
        <v>1270045A00385    00</v>
      </c>
      <c r="B18499" t="s">
        <v>40169</v>
      </c>
      <c r="C18499" t="s">
        <v>40170</v>
      </c>
      <c r="D18499" t="s">
        <v>20</v>
      </c>
      <c r="E18499" t="s">
        <v>39</v>
      </c>
      <c r="F18499">
        <v>0</v>
      </c>
      <c r="G18499">
        <v>0</v>
      </c>
      <c r="H18499">
        <v>18</v>
      </c>
      <c r="I18499" s="3">
        <v>9366.48</v>
      </c>
      <c r="J18499" s="3">
        <v>7971.24</v>
      </c>
      <c r="M18499" t="s">
        <v>40171</v>
      </c>
      <c r="N18499" t="s">
        <v>903</v>
      </c>
      <c r="O18499" t="s">
        <v>31</v>
      </c>
      <c r="P18499" t="str">
        <f>"15136"</f>
        <v>15136</v>
      </c>
    </row>
    <row r="18500" spans="1:16" x14ac:dyDescent="0.25">
      <c r="A18500" t="str">
        <f>"1270045A00386    00"</f>
        <v>1270045A00386    00</v>
      </c>
      <c r="B18500" t="s">
        <v>40172</v>
      </c>
      <c r="C18500" t="s">
        <v>40168</v>
      </c>
      <c r="D18500" t="s">
        <v>20</v>
      </c>
      <c r="E18500" t="s">
        <v>39</v>
      </c>
      <c r="F18500">
        <v>0</v>
      </c>
      <c r="G18500">
        <v>0</v>
      </c>
      <c r="H18500">
        <v>19</v>
      </c>
      <c r="I18500" s="3">
        <v>7483.58</v>
      </c>
      <c r="J18500" s="3">
        <v>6756.31</v>
      </c>
      <c r="K18500" t="s">
        <v>1008</v>
      </c>
      <c r="P18500" t="str">
        <f>""</f>
        <v/>
      </c>
    </row>
    <row r="18501" spans="1:16" x14ac:dyDescent="0.25">
      <c r="A18501" t="str">
        <f>"1270045A00390    00"</f>
        <v>1270045A00390    00</v>
      </c>
      <c r="B18501" t="s">
        <v>40173</v>
      </c>
      <c r="C18501" t="s">
        <v>40174</v>
      </c>
      <c r="D18501" t="s">
        <v>20</v>
      </c>
      <c r="E18501" t="s">
        <v>39</v>
      </c>
      <c r="F18501">
        <v>0</v>
      </c>
      <c r="G18501">
        <v>0</v>
      </c>
      <c r="H18501">
        <v>14</v>
      </c>
      <c r="I18501" s="3">
        <v>13034.73</v>
      </c>
      <c r="J18501" s="3">
        <v>5797.99</v>
      </c>
      <c r="K18501" t="s">
        <v>40175</v>
      </c>
      <c r="L18501">
        <v>3006</v>
      </c>
      <c r="M18501" t="s">
        <v>40176</v>
      </c>
      <c r="N18501" t="s">
        <v>30</v>
      </c>
      <c r="O18501" t="s">
        <v>31</v>
      </c>
      <c r="P18501" t="str">
        <f>"15212"</f>
        <v>15212</v>
      </c>
    </row>
    <row r="18502" spans="1:16" x14ac:dyDescent="0.25">
      <c r="A18502" t="str">
        <f>"1270045B00013    00"</f>
        <v>1270045B00013    00</v>
      </c>
      <c r="B18502" t="s">
        <v>40177</v>
      </c>
      <c r="C18502" t="s">
        <v>40178</v>
      </c>
      <c r="E18502" t="s">
        <v>39</v>
      </c>
      <c r="F18502">
        <v>0</v>
      </c>
      <c r="G18502">
        <v>0</v>
      </c>
      <c r="H18502">
        <v>1</v>
      </c>
      <c r="I18502" s="3">
        <v>562.79999999999995</v>
      </c>
      <c r="J18502" s="3">
        <v>0</v>
      </c>
      <c r="L18502">
        <v>3030</v>
      </c>
      <c r="M18502" t="s">
        <v>21885</v>
      </c>
      <c r="N18502" t="s">
        <v>6603</v>
      </c>
      <c r="O18502" t="s">
        <v>31</v>
      </c>
      <c r="P18502" t="str">
        <f>"15122"</f>
        <v>15122</v>
      </c>
    </row>
    <row r="18503" spans="1:16" x14ac:dyDescent="0.25">
      <c r="A18503" t="str">
        <f>"1270045B00015    00"</f>
        <v>1270045B00015    00</v>
      </c>
      <c r="B18503" t="s">
        <v>40179</v>
      </c>
      <c r="C18503" t="s">
        <v>40180</v>
      </c>
      <c r="D18503" t="s">
        <v>20</v>
      </c>
      <c r="E18503" t="s">
        <v>39</v>
      </c>
      <c r="F18503">
        <v>0</v>
      </c>
      <c r="G18503">
        <v>0</v>
      </c>
      <c r="H18503">
        <v>7</v>
      </c>
      <c r="I18503" s="3">
        <v>5494.13</v>
      </c>
      <c r="J18503" s="3">
        <v>1519.3</v>
      </c>
      <c r="K18503" t="s">
        <v>40181</v>
      </c>
      <c r="L18503">
        <v>2808</v>
      </c>
      <c r="M18503" t="s">
        <v>40162</v>
      </c>
      <c r="N18503" t="s">
        <v>30</v>
      </c>
      <c r="O18503" t="s">
        <v>31</v>
      </c>
      <c r="P18503" t="str">
        <f>"15212"</f>
        <v>15212</v>
      </c>
    </row>
    <row r="18504" spans="1:16" x14ac:dyDescent="0.25">
      <c r="A18504" t="str">
        <f>"1270045B00024    00"</f>
        <v>1270045B00024    00</v>
      </c>
      <c r="B18504" t="s">
        <v>40182</v>
      </c>
      <c r="C18504" t="s">
        <v>40183</v>
      </c>
      <c r="D18504" t="s">
        <v>20</v>
      </c>
      <c r="E18504" t="s">
        <v>39</v>
      </c>
      <c r="F18504">
        <v>0</v>
      </c>
      <c r="G18504">
        <v>0</v>
      </c>
      <c r="H18504">
        <v>1</v>
      </c>
      <c r="I18504" s="3">
        <v>395.01</v>
      </c>
      <c r="J18504" s="3">
        <v>0</v>
      </c>
      <c r="K18504" t="s">
        <v>1502</v>
      </c>
      <c r="L18504">
        <v>901</v>
      </c>
      <c r="M18504" t="s">
        <v>1503</v>
      </c>
      <c r="N18504" t="s">
        <v>494</v>
      </c>
      <c r="O18504" t="s">
        <v>495</v>
      </c>
      <c r="P18504" t="str">
        <f>"91768"</f>
        <v>91768</v>
      </c>
    </row>
    <row r="18505" spans="1:16" x14ac:dyDescent="0.25">
      <c r="A18505" t="str">
        <f>"1270045B00032    00"</f>
        <v>1270045B00032    00</v>
      </c>
      <c r="B18505" t="s">
        <v>23856</v>
      </c>
      <c r="C18505" t="s">
        <v>40184</v>
      </c>
      <c r="D18505" t="s">
        <v>20</v>
      </c>
      <c r="E18505" t="s">
        <v>39</v>
      </c>
      <c r="F18505">
        <v>0</v>
      </c>
      <c r="G18505">
        <v>0</v>
      </c>
      <c r="H18505">
        <v>19</v>
      </c>
      <c r="I18505" s="3">
        <v>18311.189999999999</v>
      </c>
      <c r="J18505" s="3">
        <v>22623.37</v>
      </c>
      <c r="M18505" t="s">
        <v>39493</v>
      </c>
      <c r="N18505" t="s">
        <v>23858</v>
      </c>
      <c r="O18505" t="s">
        <v>31</v>
      </c>
      <c r="P18505" t="str">
        <f>"16424"</f>
        <v>16424</v>
      </c>
    </row>
    <row r="18506" spans="1:16" x14ac:dyDescent="0.25">
      <c r="A18506" t="str">
        <f>"1270045B00034    00"</f>
        <v>1270045B00034    00</v>
      </c>
      <c r="B18506" t="s">
        <v>40185</v>
      </c>
      <c r="C18506" t="s">
        <v>40184</v>
      </c>
      <c r="D18506" t="s">
        <v>20</v>
      </c>
      <c r="E18506" t="s">
        <v>39</v>
      </c>
      <c r="F18506">
        <v>0</v>
      </c>
      <c r="G18506">
        <v>0</v>
      </c>
      <c r="H18506">
        <v>19</v>
      </c>
      <c r="I18506" s="3">
        <v>6974.89</v>
      </c>
      <c r="J18506" s="3">
        <v>6254.13</v>
      </c>
      <c r="L18506">
        <v>1107</v>
      </c>
      <c r="M18506" t="s">
        <v>40186</v>
      </c>
      <c r="N18506" t="s">
        <v>30</v>
      </c>
      <c r="O18506" t="s">
        <v>31</v>
      </c>
      <c r="P18506" t="str">
        <f>"15212"</f>
        <v>15212</v>
      </c>
    </row>
    <row r="18507" spans="1:16" x14ac:dyDescent="0.25">
      <c r="A18507" t="str">
        <f>"1270045B00036    00"</f>
        <v>1270045B00036    00</v>
      </c>
      <c r="B18507" t="s">
        <v>40187</v>
      </c>
      <c r="C18507" t="s">
        <v>40188</v>
      </c>
      <c r="D18507" t="s">
        <v>20</v>
      </c>
      <c r="E18507" t="s">
        <v>39</v>
      </c>
      <c r="F18507">
        <v>0</v>
      </c>
      <c r="G18507">
        <v>0</v>
      </c>
      <c r="H18507">
        <v>18</v>
      </c>
      <c r="I18507" s="3">
        <v>7033.34</v>
      </c>
      <c r="J18507" s="3">
        <v>9150.8700000000008</v>
      </c>
      <c r="L18507">
        <v>1107</v>
      </c>
      <c r="M18507" t="s">
        <v>40186</v>
      </c>
      <c r="N18507" t="s">
        <v>30</v>
      </c>
      <c r="O18507" t="s">
        <v>31</v>
      </c>
      <c r="P18507" t="str">
        <f>"15212"</f>
        <v>15212</v>
      </c>
    </row>
    <row r="18508" spans="1:16" x14ac:dyDescent="0.25">
      <c r="A18508" t="str">
        <f>"1270045B00037    00"</f>
        <v>1270045B00037    00</v>
      </c>
      <c r="B18508" t="s">
        <v>40189</v>
      </c>
      <c r="C18508" t="s">
        <v>40190</v>
      </c>
      <c r="D18508" t="s">
        <v>20</v>
      </c>
      <c r="E18508" t="s">
        <v>39</v>
      </c>
      <c r="F18508">
        <v>0</v>
      </c>
      <c r="G18508">
        <v>0</v>
      </c>
      <c r="H18508">
        <v>10</v>
      </c>
      <c r="I18508" s="3">
        <v>7782.12</v>
      </c>
      <c r="J18508" s="3">
        <v>4099.84</v>
      </c>
      <c r="L18508">
        <v>5919</v>
      </c>
      <c r="M18508" t="s">
        <v>40191</v>
      </c>
      <c r="N18508" t="s">
        <v>9653</v>
      </c>
      <c r="O18508" t="s">
        <v>31</v>
      </c>
      <c r="P18508" t="str">
        <f>"15632"</f>
        <v>15632</v>
      </c>
    </row>
    <row r="18509" spans="1:16" x14ac:dyDescent="0.25">
      <c r="A18509" t="str">
        <f>"1270045B00038    00"</f>
        <v>1270045B00038    00</v>
      </c>
      <c r="B18509" t="s">
        <v>23856</v>
      </c>
      <c r="C18509" t="s">
        <v>40192</v>
      </c>
      <c r="D18509" t="s">
        <v>20</v>
      </c>
      <c r="E18509" t="s">
        <v>39</v>
      </c>
      <c r="F18509">
        <v>0</v>
      </c>
      <c r="G18509">
        <v>0</v>
      </c>
      <c r="H18509">
        <v>19</v>
      </c>
      <c r="I18509" s="3">
        <v>20318.43</v>
      </c>
      <c r="J18509" s="3">
        <v>19641.97</v>
      </c>
      <c r="M18509" t="s">
        <v>39493</v>
      </c>
      <c r="N18509" t="s">
        <v>23858</v>
      </c>
      <c r="O18509" t="s">
        <v>31</v>
      </c>
      <c r="P18509" t="str">
        <f>"16424"</f>
        <v>16424</v>
      </c>
    </row>
    <row r="18510" spans="1:16" x14ac:dyDescent="0.25">
      <c r="A18510" t="str">
        <f>"1270045B00042    00"</f>
        <v>1270045B00042    00</v>
      </c>
      <c r="B18510" t="s">
        <v>23856</v>
      </c>
      <c r="C18510" t="s">
        <v>40184</v>
      </c>
      <c r="D18510" t="s">
        <v>20</v>
      </c>
      <c r="E18510" t="s">
        <v>39</v>
      </c>
      <c r="F18510">
        <v>0</v>
      </c>
      <c r="G18510">
        <v>0</v>
      </c>
      <c r="H18510">
        <v>19</v>
      </c>
      <c r="I18510" s="3">
        <v>8857.2199999999993</v>
      </c>
      <c r="J18510" s="3">
        <v>9971.61</v>
      </c>
      <c r="M18510" t="s">
        <v>39493</v>
      </c>
      <c r="N18510" t="s">
        <v>23858</v>
      </c>
      <c r="O18510" t="s">
        <v>31</v>
      </c>
      <c r="P18510" t="str">
        <f>"16424"</f>
        <v>16424</v>
      </c>
    </row>
    <row r="18511" spans="1:16" x14ac:dyDescent="0.25">
      <c r="A18511" t="str">
        <f>"1270045B00050    00"</f>
        <v>1270045B00050    00</v>
      </c>
      <c r="B18511" t="s">
        <v>40193</v>
      </c>
      <c r="C18511" t="s">
        <v>40194</v>
      </c>
      <c r="D18511" t="s">
        <v>20</v>
      </c>
      <c r="E18511" t="s">
        <v>39</v>
      </c>
      <c r="F18511">
        <v>0</v>
      </c>
      <c r="G18511">
        <v>0</v>
      </c>
      <c r="H18511">
        <v>10</v>
      </c>
      <c r="I18511" s="3">
        <v>9321.68</v>
      </c>
      <c r="J18511" s="3">
        <v>3837.76</v>
      </c>
      <c r="L18511">
        <v>2817</v>
      </c>
      <c r="M18511" t="s">
        <v>40195</v>
      </c>
      <c r="N18511" t="s">
        <v>30</v>
      </c>
      <c r="O18511" t="s">
        <v>31</v>
      </c>
      <c r="P18511" t="str">
        <f>"15212"</f>
        <v>15212</v>
      </c>
    </row>
    <row r="18512" spans="1:16" x14ac:dyDescent="0.25">
      <c r="A18512" t="str">
        <f>"1270045B00053    00"</f>
        <v>1270045B00053    00</v>
      </c>
      <c r="B18512" t="s">
        <v>40196</v>
      </c>
      <c r="C18512" t="s">
        <v>40184</v>
      </c>
      <c r="D18512" t="s">
        <v>20</v>
      </c>
      <c r="E18512" t="s">
        <v>39</v>
      </c>
      <c r="F18512">
        <v>0</v>
      </c>
      <c r="G18512">
        <v>0</v>
      </c>
      <c r="H18512">
        <v>19</v>
      </c>
      <c r="I18512" s="3">
        <v>5327.5</v>
      </c>
      <c r="J18512" s="3">
        <v>4942.8900000000003</v>
      </c>
      <c r="L18512">
        <v>0</v>
      </c>
      <c r="M18512" t="s">
        <v>40197</v>
      </c>
      <c r="N18512" t="s">
        <v>30</v>
      </c>
      <c r="O18512" t="s">
        <v>31</v>
      </c>
      <c r="P18512" t="str">
        <f>"15206"</f>
        <v>15206</v>
      </c>
    </row>
    <row r="18513" spans="1:16" x14ac:dyDescent="0.25">
      <c r="A18513" t="str">
        <f>"1270045B00056    00"</f>
        <v>1270045B00056    00</v>
      </c>
      <c r="B18513" t="s">
        <v>40198</v>
      </c>
      <c r="C18513" t="s">
        <v>40199</v>
      </c>
      <c r="D18513" t="s">
        <v>20</v>
      </c>
      <c r="E18513" t="s">
        <v>39</v>
      </c>
      <c r="F18513">
        <v>0</v>
      </c>
      <c r="G18513">
        <v>0</v>
      </c>
      <c r="H18513">
        <v>13</v>
      </c>
      <c r="I18513" s="3">
        <v>12780.15</v>
      </c>
      <c r="J18513" s="3">
        <v>7618.58</v>
      </c>
      <c r="L18513">
        <v>411</v>
      </c>
      <c r="M18513" t="s">
        <v>3307</v>
      </c>
      <c r="N18513" t="s">
        <v>12899</v>
      </c>
      <c r="O18513" t="s">
        <v>31</v>
      </c>
      <c r="P18513" t="str">
        <f>"15148"</f>
        <v>15148</v>
      </c>
    </row>
    <row r="18514" spans="1:16" x14ac:dyDescent="0.25">
      <c r="A18514" t="str">
        <f>"1270045B00062    00"</f>
        <v>1270045B00062    00</v>
      </c>
      <c r="B18514" t="s">
        <v>40200</v>
      </c>
      <c r="C18514" t="s">
        <v>40201</v>
      </c>
      <c r="D18514" t="s">
        <v>20</v>
      </c>
      <c r="E18514" t="s">
        <v>39</v>
      </c>
      <c r="F18514">
        <v>0</v>
      </c>
      <c r="G18514">
        <v>0</v>
      </c>
      <c r="H18514">
        <v>3</v>
      </c>
      <c r="I18514" s="3">
        <v>1846.92</v>
      </c>
      <c r="J18514" s="3">
        <v>123.12</v>
      </c>
      <c r="L18514">
        <v>1205</v>
      </c>
      <c r="M18514" t="s">
        <v>39919</v>
      </c>
      <c r="N18514" t="s">
        <v>30</v>
      </c>
      <c r="O18514" t="s">
        <v>31</v>
      </c>
      <c r="P18514" t="str">
        <f>"15212"</f>
        <v>15212</v>
      </c>
    </row>
    <row r="18515" spans="1:16" x14ac:dyDescent="0.25">
      <c r="A18515" t="str">
        <f>"1270045B00069    00"</f>
        <v>1270045B00069    00</v>
      </c>
      <c r="B18515" t="s">
        <v>40202</v>
      </c>
      <c r="C18515" t="s">
        <v>40203</v>
      </c>
      <c r="D18515" t="s">
        <v>20</v>
      </c>
      <c r="E18515" t="s">
        <v>39</v>
      </c>
      <c r="F18515">
        <v>0</v>
      </c>
      <c r="G18515">
        <v>0</v>
      </c>
      <c r="H18515">
        <v>2</v>
      </c>
      <c r="I18515" s="3">
        <v>953</v>
      </c>
      <c r="J18515" s="3">
        <v>0</v>
      </c>
      <c r="N18515" t="s">
        <v>40204</v>
      </c>
      <c r="P18515" t="str">
        <f>""</f>
        <v/>
      </c>
    </row>
    <row r="18516" spans="1:16" x14ac:dyDescent="0.25">
      <c r="A18516" t="str">
        <f>"1270045B00073    00"</f>
        <v>1270045B00073    00</v>
      </c>
      <c r="B18516" t="s">
        <v>4047</v>
      </c>
      <c r="C18516" t="s">
        <v>40205</v>
      </c>
      <c r="E18516" t="s">
        <v>39</v>
      </c>
      <c r="F18516">
        <v>0</v>
      </c>
      <c r="G18516">
        <v>0</v>
      </c>
      <c r="H18516">
        <v>2</v>
      </c>
      <c r="I18516" s="3">
        <v>249.74</v>
      </c>
      <c r="J18516" s="3">
        <v>1.87</v>
      </c>
      <c r="K18516" t="s">
        <v>1094</v>
      </c>
      <c r="L18516">
        <v>412</v>
      </c>
      <c r="M18516" t="s">
        <v>36</v>
      </c>
      <c r="N18516" t="s">
        <v>30</v>
      </c>
      <c r="O18516" t="s">
        <v>31</v>
      </c>
      <c r="P18516" t="str">
        <f>"15219"</f>
        <v>15219</v>
      </c>
    </row>
    <row r="18517" spans="1:16" x14ac:dyDescent="0.25">
      <c r="A18517" t="str">
        <f>"1270045B00088    00"</f>
        <v>1270045B00088    00</v>
      </c>
      <c r="B18517" t="s">
        <v>35363</v>
      </c>
      <c r="C18517" t="s">
        <v>40206</v>
      </c>
      <c r="D18517" t="s">
        <v>20</v>
      </c>
      <c r="E18517" t="s">
        <v>39</v>
      </c>
      <c r="F18517">
        <v>0</v>
      </c>
      <c r="G18517">
        <v>0</v>
      </c>
      <c r="H18517">
        <v>4</v>
      </c>
      <c r="I18517" s="3">
        <v>1795.5</v>
      </c>
      <c r="J18517" s="3">
        <v>120.87</v>
      </c>
      <c r="L18517">
        <v>834</v>
      </c>
      <c r="M18517" t="s">
        <v>40207</v>
      </c>
      <c r="N18517" t="s">
        <v>509</v>
      </c>
      <c r="O18517" t="s">
        <v>31</v>
      </c>
      <c r="P18517" t="str">
        <f>"19126"</f>
        <v>19126</v>
      </c>
    </row>
    <row r="18518" spans="1:16" x14ac:dyDescent="0.25">
      <c r="A18518" t="str">
        <f>"1270045B00088A   00"</f>
        <v>1270045B00088A   00</v>
      </c>
      <c r="B18518" t="s">
        <v>40208</v>
      </c>
      <c r="C18518" t="s">
        <v>40209</v>
      </c>
      <c r="E18518" t="s">
        <v>39</v>
      </c>
      <c r="F18518">
        <v>0</v>
      </c>
      <c r="G18518">
        <v>0</v>
      </c>
      <c r="H18518">
        <v>2</v>
      </c>
      <c r="I18518" s="3">
        <v>653.96</v>
      </c>
      <c r="J18518" s="3">
        <v>13.63</v>
      </c>
      <c r="K18518" t="s">
        <v>32409</v>
      </c>
      <c r="L18518">
        <v>2940</v>
      </c>
      <c r="M18518" t="s">
        <v>31608</v>
      </c>
      <c r="N18518" t="s">
        <v>30</v>
      </c>
      <c r="O18518" t="s">
        <v>31</v>
      </c>
      <c r="P18518" t="str">
        <f>"15204"</f>
        <v>15204</v>
      </c>
    </row>
    <row r="18519" spans="1:16" x14ac:dyDescent="0.25">
      <c r="A18519" t="str">
        <f>"1270045B00120    00"</f>
        <v>1270045B00120    00</v>
      </c>
      <c r="B18519" t="s">
        <v>40210</v>
      </c>
      <c r="C18519" t="s">
        <v>40211</v>
      </c>
      <c r="D18519" t="s">
        <v>20</v>
      </c>
      <c r="E18519" t="s">
        <v>39</v>
      </c>
      <c r="F18519">
        <v>0</v>
      </c>
      <c r="G18519">
        <v>0</v>
      </c>
      <c r="H18519">
        <v>19</v>
      </c>
      <c r="I18519" s="3">
        <v>6901.75</v>
      </c>
      <c r="J18519" s="3">
        <v>6195.48</v>
      </c>
      <c r="K18519" t="s">
        <v>40212</v>
      </c>
      <c r="L18519">
        <v>417</v>
      </c>
      <c r="M18519" t="s">
        <v>2789</v>
      </c>
      <c r="N18519" t="s">
        <v>30</v>
      </c>
      <c r="O18519" t="s">
        <v>31</v>
      </c>
      <c r="P18519" t="str">
        <f>"15202"</f>
        <v>15202</v>
      </c>
    </row>
    <row r="18520" spans="1:16" x14ac:dyDescent="0.25">
      <c r="A18520" t="str">
        <f>"1270045B00121    00"</f>
        <v>1270045B00121    00</v>
      </c>
      <c r="B18520" t="s">
        <v>40213</v>
      </c>
      <c r="C18520" t="s">
        <v>40214</v>
      </c>
      <c r="D18520" t="s">
        <v>20</v>
      </c>
      <c r="E18520" t="s">
        <v>39</v>
      </c>
      <c r="F18520">
        <v>0</v>
      </c>
      <c r="G18520">
        <v>0</v>
      </c>
      <c r="H18520">
        <v>19</v>
      </c>
      <c r="I18520" s="3">
        <v>23669.05</v>
      </c>
      <c r="J18520" s="3">
        <v>24232.83</v>
      </c>
      <c r="M18520" t="s">
        <v>21995</v>
      </c>
      <c r="N18520" t="s">
        <v>30</v>
      </c>
      <c r="O18520" t="s">
        <v>31</v>
      </c>
      <c r="P18520" t="str">
        <f>"15232"</f>
        <v>15232</v>
      </c>
    </row>
    <row r="18521" spans="1:16" x14ac:dyDescent="0.25">
      <c r="A18521" t="str">
        <f>"1270045B00122    00"</f>
        <v>1270045B00122    00</v>
      </c>
      <c r="B18521" t="s">
        <v>40215</v>
      </c>
      <c r="C18521" t="s">
        <v>40216</v>
      </c>
      <c r="D18521" t="s">
        <v>20</v>
      </c>
      <c r="E18521" t="s">
        <v>39</v>
      </c>
      <c r="F18521">
        <v>0</v>
      </c>
      <c r="G18521">
        <v>0</v>
      </c>
      <c r="H18521">
        <v>19</v>
      </c>
      <c r="I18521" s="3">
        <v>24140.63</v>
      </c>
      <c r="J18521" s="3">
        <v>23569.4</v>
      </c>
      <c r="K18521" t="s">
        <v>40217</v>
      </c>
      <c r="L18521">
        <v>2719</v>
      </c>
      <c r="M18521" t="s">
        <v>40218</v>
      </c>
      <c r="N18521" t="s">
        <v>30</v>
      </c>
      <c r="O18521" t="s">
        <v>31</v>
      </c>
      <c r="P18521" t="str">
        <f>"15212"</f>
        <v>15212</v>
      </c>
    </row>
    <row r="18522" spans="1:16" x14ac:dyDescent="0.25">
      <c r="A18522" t="str">
        <f>"1270045B00127    00"</f>
        <v>1270045B00127    00</v>
      </c>
      <c r="B18522" t="s">
        <v>40219</v>
      </c>
      <c r="C18522" t="s">
        <v>40220</v>
      </c>
      <c r="D18522" t="s">
        <v>20</v>
      </c>
      <c r="E18522" t="s">
        <v>39</v>
      </c>
      <c r="F18522">
        <v>0</v>
      </c>
      <c r="G18522">
        <v>0</v>
      </c>
      <c r="H18522">
        <v>7</v>
      </c>
      <c r="I18522" s="3">
        <v>4959.6099999999997</v>
      </c>
      <c r="J18522" s="3">
        <v>1328.24</v>
      </c>
      <c r="L18522">
        <v>2803</v>
      </c>
      <c r="M18522" t="s">
        <v>14371</v>
      </c>
      <c r="N18522" t="s">
        <v>30</v>
      </c>
      <c r="O18522" t="s">
        <v>31</v>
      </c>
      <c r="P18522" t="str">
        <f>"15212"</f>
        <v>15212</v>
      </c>
    </row>
    <row r="18523" spans="1:16" x14ac:dyDescent="0.25">
      <c r="A18523" t="str">
        <f>"1270045B00130    00"</f>
        <v>1270045B00130    00</v>
      </c>
      <c r="B18523" t="s">
        <v>40221</v>
      </c>
      <c r="C18523" t="s">
        <v>40222</v>
      </c>
      <c r="D18523" t="s">
        <v>20</v>
      </c>
      <c r="E18523" t="s">
        <v>39</v>
      </c>
      <c r="F18523">
        <v>0</v>
      </c>
      <c r="G18523">
        <v>0</v>
      </c>
      <c r="H18523">
        <v>4</v>
      </c>
      <c r="I18523" s="3">
        <v>1182.74</v>
      </c>
      <c r="J18523" s="3">
        <v>230.82</v>
      </c>
      <c r="L18523">
        <v>2218</v>
      </c>
      <c r="M18523" t="s">
        <v>36886</v>
      </c>
      <c r="N18523" t="s">
        <v>30</v>
      </c>
      <c r="O18523" t="s">
        <v>31</v>
      </c>
      <c r="P18523" t="str">
        <f>"15214"</f>
        <v>15214</v>
      </c>
    </row>
    <row r="18524" spans="1:16" x14ac:dyDescent="0.25">
      <c r="A18524" t="str">
        <f>"1270045B00131    00"</f>
        <v>1270045B00131    00</v>
      </c>
      <c r="B18524" t="s">
        <v>40223</v>
      </c>
      <c r="C18524" t="s">
        <v>40224</v>
      </c>
      <c r="D18524" t="s">
        <v>20</v>
      </c>
      <c r="E18524" t="s">
        <v>39</v>
      </c>
      <c r="F18524">
        <v>0</v>
      </c>
      <c r="G18524">
        <v>0</v>
      </c>
      <c r="H18524">
        <v>14</v>
      </c>
      <c r="I18524" s="3">
        <v>4423.99</v>
      </c>
      <c r="J18524" s="3">
        <v>3157.21</v>
      </c>
      <c r="L18524">
        <v>2813</v>
      </c>
      <c r="M18524" t="s">
        <v>14371</v>
      </c>
      <c r="N18524" t="s">
        <v>30</v>
      </c>
      <c r="O18524" t="s">
        <v>31</v>
      </c>
      <c r="P18524" t="str">
        <f>"15212"</f>
        <v>15212</v>
      </c>
    </row>
    <row r="18525" spans="1:16" x14ac:dyDescent="0.25">
      <c r="A18525" t="str">
        <f>"1270045B00175    00"</f>
        <v>1270045B00175    00</v>
      </c>
      <c r="B18525" t="s">
        <v>40225</v>
      </c>
      <c r="C18525" t="s">
        <v>40226</v>
      </c>
      <c r="D18525" t="s">
        <v>20</v>
      </c>
      <c r="E18525" t="s">
        <v>39</v>
      </c>
      <c r="F18525">
        <v>0</v>
      </c>
      <c r="G18525">
        <v>0</v>
      </c>
      <c r="H18525">
        <v>16</v>
      </c>
      <c r="I18525" s="3">
        <v>11022.37</v>
      </c>
      <c r="J18525" s="3">
        <v>9274.4</v>
      </c>
      <c r="L18525">
        <v>68</v>
      </c>
      <c r="M18525" t="s">
        <v>40227</v>
      </c>
      <c r="N18525" t="s">
        <v>30</v>
      </c>
      <c r="O18525" t="s">
        <v>31</v>
      </c>
      <c r="P18525" t="str">
        <f>"15202"</f>
        <v>15202</v>
      </c>
    </row>
    <row r="18526" spans="1:16" x14ac:dyDescent="0.25">
      <c r="A18526" t="str">
        <f>"1270045B00187    00"</f>
        <v>1270045B00187    00</v>
      </c>
      <c r="B18526" t="s">
        <v>40228</v>
      </c>
      <c r="C18526" t="s">
        <v>40229</v>
      </c>
      <c r="D18526" t="s">
        <v>20</v>
      </c>
      <c r="E18526" t="s">
        <v>39</v>
      </c>
      <c r="F18526">
        <v>0</v>
      </c>
      <c r="G18526">
        <v>0</v>
      </c>
      <c r="H18526">
        <v>7</v>
      </c>
      <c r="I18526" s="3">
        <v>2917.96</v>
      </c>
      <c r="J18526" s="3">
        <v>2521.15</v>
      </c>
      <c r="L18526">
        <v>2020</v>
      </c>
      <c r="M18526" t="s">
        <v>35842</v>
      </c>
      <c r="N18526" t="s">
        <v>30</v>
      </c>
      <c r="O18526" t="s">
        <v>31</v>
      </c>
      <c r="P18526" t="str">
        <f>"15212"</f>
        <v>15212</v>
      </c>
    </row>
    <row r="18527" spans="1:16" x14ac:dyDescent="0.25">
      <c r="A18527" t="str">
        <f>"1270045B00189    00"</f>
        <v>1270045B00189    00</v>
      </c>
      <c r="B18527" t="s">
        <v>40230</v>
      </c>
      <c r="C18527" t="s">
        <v>40231</v>
      </c>
      <c r="D18527" t="s">
        <v>20</v>
      </c>
      <c r="E18527" t="s">
        <v>39</v>
      </c>
      <c r="F18527">
        <v>0</v>
      </c>
      <c r="G18527">
        <v>0</v>
      </c>
      <c r="H18527">
        <v>3</v>
      </c>
      <c r="I18527" s="3">
        <v>489.08</v>
      </c>
      <c r="J18527" s="3">
        <v>36.15</v>
      </c>
      <c r="L18527">
        <v>2800</v>
      </c>
      <c r="M18527" t="s">
        <v>14371</v>
      </c>
      <c r="N18527" t="s">
        <v>30</v>
      </c>
      <c r="O18527" t="s">
        <v>31</v>
      </c>
      <c r="P18527" t="str">
        <f>"15212"</f>
        <v>15212</v>
      </c>
    </row>
    <row r="18528" spans="1:16" x14ac:dyDescent="0.25">
      <c r="A18528" t="str">
        <f>"1270045B00215    00"</f>
        <v>1270045B00215    00</v>
      </c>
      <c r="B18528" t="s">
        <v>40232</v>
      </c>
      <c r="C18528" t="s">
        <v>36064</v>
      </c>
      <c r="E18528" t="s">
        <v>39</v>
      </c>
      <c r="F18528">
        <v>0</v>
      </c>
      <c r="G18528">
        <v>0</v>
      </c>
      <c r="H18528">
        <v>8</v>
      </c>
      <c r="I18528" s="3">
        <v>205.15</v>
      </c>
      <c r="J18528" s="3">
        <v>233.94</v>
      </c>
      <c r="L18528">
        <v>1324</v>
      </c>
      <c r="M18528" t="s">
        <v>40233</v>
      </c>
      <c r="N18528" t="s">
        <v>195</v>
      </c>
      <c r="O18528" t="s">
        <v>31</v>
      </c>
      <c r="P18528" t="str">
        <f>"15101"</f>
        <v>15101</v>
      </c>
    </row>
    <row r="18529" spans="1:16" x14ac:dyDescent="0.25">
      <c r="A18529" t="str">
        <f>"1270045B00217    00"</f>
        <v>1270045B00217    00</v>
      </c>
      <c r="B18529" t="s">
        <v>40234</v>
      </c>
      <c r="C18529" t="s">
        <v>40235</v>
      </c>
      <c r="E18529" t="s">
        <v>39</v>
      </c>
      <c r="F18529">
        <v>0</v>
      </c>
      <c r="G18529">
        <v>0</v>
      </c>
      <c r="H18529">
        <v>7</v>
      </c>
      <c r="I18529" s="3">
        <v>12212.06</v>
      </c>
      <c r="J18529" s="3">
        <v>17757.41</v>
      </c>
      <c r="M18529" t="s">
        <v>40236</v>
      </c>
      <c r="N18529" t="s">
        <v>40237</v>
      </c>
      <c r="O18529" t="s">
        <v>31</v>
      </c>
      <c r="P18529" t="str">
        <f>"15108"</f>
        <v>15108</v>
      </c>
    </row>
    <row r="18530" spans="1:16" x14ac:dyDescent="0.25">
      <c r="A18530" t="str">
        <f>"1270045B00227    00"</f>
        <v>1270045B00227    00</v>
      </c>
      <c r="B18530" t="s">
        <v>40238</v>
      </c>
      <c r="C18530" t="s">
        <v>40239</v>
      </c>
      <c r="D18530" t="s">
        <v>20</v>
      </c>
      <c r="E18530" t="s">
        <v>39</v>
      </c>
      <c r="F18530">
        <v>0</v>
      </c>
      <c r="G18530">
        <v>0</v>
      </c>
      <c r="H18530">
        <v>17</v>
      </c>
      <c r="I18530" s="3">
        <v>12266.01</v>
      </c>
      <c r="J18530" s="3">
        <v>9074.3799999999992</v>
      </c>
      <c r="L18530">
        <v>23690</v>
      </c>
      <c r="M18530" t="s">
        <v>40240</v>
      </c>
      <c r="N18530" t="s">
        <v>7755</v>
      </c>
      <c r="O18530" t="s">
        <v>495</v>
      </c>
      <c r="P18530" t="str">
        <f>"92557"</f>
        <v>92557</v>
      </c>
    </row>
    <row r="18531" spans="1:16" x14ac:dyDescent="0.25">
      <c r="A18531" t="str">
        <f>"1270045B00229    00"</f>
        <v>1270045B00229    00</v>
      </c>
      <c r="B18531" t="s">
        <v>40241</v>
      </c>
      <c r="C18531" t="s">
        <v>40242</v>
      </c>
      <c r="E18531" t="s">
        <v>39</v>
      </c>
      <c r="F18531">
        <v>0</v>
      </c>
      <c r="G18531">
        <v>0</v>
      </c>
      <c r="H18531">
        <v>4</v>
      </c>
      <c r="I18531" s="3">
        <v>2278.39</v>
      </c>
      <c r="J18531" s="3">
        <v>356.41</v>
      </c>
      <c r="K18531" t="s">
        <v>35025</v>
      </c>
      <c r="L18531">
        <v>1319</v>
      </c>
      <c r="M18531" t="s">
        <v>35026</v>
      </c>
      <c r="N18531" t="s">
        <v>30</v>
      </c>
      <c r="O18531" t="s">
        <v>31</v>
      </c>
      <c r="P18531" t="str">
        <f>"15233"</f>
        <v>15233</v>
      </c>
    </row>
    <row r="18532" spans="1:16" x14ac:dyDescent="0.25">
      <c r="A18532" t="str">
        <f>"1270045E00021    00"</f>
        <v>1270045E00021    00</v>
      </c>
      <c r="B18532" t="s">
        <v>40243</v>
      </c>
      <c r="C18532" t="s">
        <v>40244</v>
      </c>
      <c r="D18532" t="s">
        <v>20</v>
      </c>
      <c r="E18532" t="s">
        <v>39</v>
      </c>
      <c r="F18532">
        <v>0</v>
      </c>
      <c r="G18532">
        <v>0</v>
      </c>
      <c r="H18532">
        <v>6</v>
      </c>
      <c r="I18532" s="3">
        <v>1374.8</v>
      </c>
      <c r="J18532" s="3">
        <v>337.86</v>
      </c>
      <c r="K18532" t="s">
        <v>9056</v>
      </c>
      <c r="L18532">
        <v>3001</v>
      </c>
      <c r="M18532" t="s">
        <v>404</v>
      </c>
      <c r="N18532" t="s">
        <v>331</v>
      </c>
      <c r="O18532" t="s">
        <v>108</v>
      </c>
      <c r="P18532" t="str">
        <f>"75063"</f>
        <v>75063</v>
      </c>
    </row>
    <row r="18533" spans="1:16" x14ac:dyDescent="0.25">
      <c r="A18533" t="str">
        <f>"1270045E00023    00"</f>
        <v>1270045E00023    00</v>
      </c>
      <c r="B18533" t="s">
        <v>40245</v>
      </c>
      <c r="C18533" t="s">
        <v>40246</v>
      </c>
      <c r="D18533" t="s">
        <v>20</v>
      </c>
      <c r="E18533" t="s">
        <v>39</v>
      </c>
      <c r="F18533">
        <v>0</v>
      </c>
      <c r="G18533">
        <v>0</v>
      </c>
      <c r="H18533">
        <v>19</v>
      </c>
      <c r="I18533" s="3">
        <v>20526.64</v>
      </c>
      <c r="J18533" s="3">
        <v>19550.02</v>
      </c>
      <c r="L18533">
        <v>1445</v>
      </c>
      <c r="M18533" t="s">
        <v>35751</v>
      </c>
      <c r="N18533" t="s">
        <v>30</v>
      </c>
      <c r="O18533" t="s">
        <v>31</v>
      </c>
      <c r="P18533" t="str">
        <f>"15212"</f>
        <v>15212</v>
      </c>
    </row>
    <row r="18534" spans="1:16" x14ac:dyDescent="0.25">
      <c r="A18534" t="str">
        <f>"1270045E00024    00"</f>
        <v>1270045E00024    00</v>
      </c>
      <c r="B18534" t="s">
        <v>40247</v>
      </c>
      <c r="C18534" t="s">
        <v>40248</v>
      </c>
      <c r="D18534" t="s">
        <v>20</v>
      </c>
      <c r="E18534" t="s">
        <v>39</v>
      </c>
      <c r="F18534">
        <v>0</v>
      </c>
      <c r="G18534">
        <v>0</v>
      </c>
      <c r="H18534">
        <v>2</v>
      </c>
      <c r="I18534" s="3">
        <v>1098.8599999999999</v>
      </c>
      <c r="J18534" s="3">
        <v>0</v>
      </c>
      <c r="K18534" t="s">
        <v>445</v>
      </c>
      <c r="L18534">
        <v>1</v>
      </c>
      <c r="M18534" t="s">
        <v>1163</v>
      </c>
      <c r="N18534" t="s">
        <v>1164</v>
      </c>
      <c r="O18534" t="s">
        <v>108</v>
      </c>
      <c r="P18534" t="str">
        <f>"76262"</f>
        <v>76262</v>
      </c>
    </row>
    <row r="18535" spans="1:16" x14ac:dyDescent="0.25">
      <c r="A18535" t="str">
        <f>"1270045E00043    00"</f>
        <v>1270045E00043    00</v>
      </c>
      <c r="B18535" t="s">
        <v>40093</v>
      </c>
      <c r="C18535" t="s">
        <v>40088</v>
      </c>
      <c r="D18535" t="s">
        <v>20</v>
      </c>
      <c r="E18535" t="s">
        <v>207</v>
      </c>
      <c r="F18535">
        <v>0</v>
      </c>
      <c r="G18535">
        <v>0</v>
      </c>
      <c r="H18535">
        <v>3</v>
      </c>
      <c r="I18535" s="3">
        <v>1052.0999999999999</v>
      </c>
      <c r="J18535" s="3">
        <v>70.14</v>
      </c>
      <c r="K18535" t="s">
        <v>40095</v>
      </c>
      <c r="L18535">
        <v>1119</v>
      </c>
      <c r="M18535" t="s">
        <v>40096</v>
      </c>
      <c r="N18535" t="s">
        <v>321</v>
      </c>
      <c r="O18535" t="s">
        <v>31</v>
      </c>
      <c r="P18535" t="str">
        <f>"15001"</f>
        <v>15001</v>
      </c>
    </row>
    <row r="18536" spans="1:16" x14ac:dyDescent="0.25">
      <c r="A18536" t="str">
        <f>"1270045E00046    00"</f>
        <v>1270045E00046    00</v>
      </c>
      <c r="B18536" t="s">
        <v>40249</v>
      </c>
      <c r="C18536" t="s">
        <v>40250</v>
      </c>
      <c r="D18536" t="s">
        <v>20</v>
      </c>
      <c r="E18536" t="s">
        <v>21</v>
      </c>
      <c r="F18536">
        <v>0</v>
      </c>
      <c r="G18536">
        <v>0</v>
      </c>
      <c r="H18536">
        <v>1</v>
      </c>
      <c r="I18536" s="3">
        <v>1338.01</v>
      </c>
      <c r="J18536" s="3">
        <v>0</v>
      </c>
      <c r="K18536" t="s">
        <v>40251</v>
      </c>
      <c r="L18536">
        <v>114</v>
      </c>
      <c r="M18536" t="s">
        <v>40252</v>
      </c>
      <c r="N18536" t="s">
        <v>295</v>
      </c>
      <c r="O18536" t="s">
        <v>31</v>
      </c>
      <c r="P18536" t="str">
        <f>"15146"</f>
        <v>15146</v>
      </c>
    </row>
    <row r="18537" spans="1:16" x14ac:dyDescent="0.25">
      <c r="A18537" t="str">
        <f>"1270045E00050    00"</f>
        <v>1270045E00050    00</v>
      </c>
      <c r="B18537" t="s">
        <v>40253</v>
      </c>
      <c r="C18537" t="s">
        <v>40254</v>
      </c>
      <c r="E18537" t="s">
        <v>39</v>
      </c>
      <c r="F18537">
        <v>0</v>
      </c>
      <c r="G18537">
        <v>0</v>
      </c>
      <c r="H18537">
        <v>1</v>
      </c>
      <c r="I18537" s="3">
        <v>469.82</v>
      </c>
      <c r="J18537" s="3">
        <v>0</v>
      </c>
      <c r="K18537" t="s">
        <v>36821</v>
      </c>
      <c r="L18537">
        <v>1310</v>
      </c>
      <c r="M18537" t="s">
        <v>13728</v>
      </c>
      <c r="N18537" t="s">
        <v>30</v>
      </c>
      <c r="O18537" t="s">
        <v>31</v>
      </c>
      <c r="P18537" t="str">
        <f>"15212"</f>
        <v>15212</v>
      </c>
    </row>
    <row r="18538" spans="1:16" x14ac:dyDescent="0.25">
      <c r="A18538" t="str">
        <f>"1270045E00081    00"</f>
        <v>1270045E00081    00</v>
      </c>
      <c r="B18538" t="s">
        <v>40255</v>
      </c>
      <c r="C18538" t="s">
        <v>40256</v>
      </c>
      <c r="D18538" t="s">
        <v>20</v>
      </c>
      <c r="E18538" t="s">
        <v>39</v>
      </c>
      <c r="F18538">
        <v>0</v>
      </c>
      <c r="G18538">
        <v>0</v>
      </c>
      <c r="H18538">
        <v>4</v>
      </c>
      <c r="I18538" s="3">
        <v>2075.21</v>
      </c>
      <c r="J18538" s="3">
        <v>265.89999999999998</v>
      </c>
      <c r="L18538">
        <v>1423</v>
      </c>
      <c r="M18538" t="s">
        <v>13728</v>
      </c>
      <c r="N18538" t="s">
        <v>30</v>
      </c>
      <c r="O18538" t="s">
        <v>31</v>
      </c>
      <c r="P18538" t="str">
        <f>"15212"</f>
        <v>15212</v>
      </c>
    </row>
    <row r="18539" spans="1:16" x14ac:dyDescent="0.25">
      <c r="A18539" t="str">
        <f>"1270045E00085    00"</f>
        <v>1270045E00085    00</v>
      </c>
      <c r="B18539" t="s">
        <v>40257</v>
      </c>
      <c r="C18539" t="s">
        <v>40258</v>
      </c>
      <c r="D18539" t="s">
        <v>20</v>
      </c>
      <c r="E18539" t="s">
        <v>39</v>
      </c>
      <c r="F18539">
        <v>0</v>
      </c>
      <c r="G18539">
        <v>0</v>
      </c>
      <c r="H18539">
        <v>2</v>
      </c>
      <c r="I18539" s="3">
        <v>2473.42</v>
      </c>
      <c r="J18539" s="3">
        <v>41.2</v>
      </c>
      <c r="K18539" t="s">
        <v>40259</v>
      </c>
      <c r="L18539">
        <v>503</v>
      </c>
      <c r="M18539" t="s">
        <v>19840</v>
      </c>
      <c r="N18539" t="s">
        <v>8991</v>
      </c>
      <c r="O18539" t="s">
        <v>31</v>
      </c>
      <c r="P18539" t="str">
        <f>"15145"</f>
        <v>15145</v>
      </c>
    </row>
    <row r="18540" spans="1:16" x14ac:dyDescent="0.25">
      <c r="A18540" t="str">
        <f>"1270045E00094    00"</f>
        <v>1270045E00094    00</v>
      </c>
      <c r="B18540" t="s">
        <v>40260</v>
      </c>
      <c r="C18540" t="s">
        <v>40261</v>
      </c>
      <c r="E18540" t="s">
        <v>39</v>
      </c>
      <c r="F18540">
        <v>0</v>
      </c>
      <c r="G18540">
        <v>0</v>
      </c>
      <c r="H18540">
        <v>1</v>
      </c>
      <c r="I18540" s="3">
        <v>1633.45</v>
      </c>
      <c r="J18540" s="3">
        <v>0</v>
      </c>
      <c r="K18540" t="s">
        <v>1108</v>
      </c>
      <c r="L18540">
        <v>8241</v>
      </c>
      <c r="M18540" t="s">
        <v>1109</v>
      </c>
      <c r="N18540" t="s">
        <v>1110</v>
      </c>
      <c r="O18540" t="s">
        <v>25</v>
      </c>
      <c r="P18540" t="str">
        <f>"44136"</f>
        <v>44136</v>
      </c>
    </row>
    <row r="18541" spans="1:16" x14ac:dyDescent="0.25">
      <c r="A18541" t="str">
        <f>"1270045E00110    00"</f>
        <v>1270045E00110    00</v>
      </c>
      <c r="B18541" t="s">
        <v>21146</v>
      </c>
      <c r="C18541" t="s">
        <v>40262</v>
      </c>
      <c r="E18541" t="s">
        <v>39</v>
      </c>
      <c r="F18541">
        <v>0</v>
      </c>
      <c r="G18541">
        <v>0</v>
      </c>
      <c r="H18541">
        <v>1</v>
      </c>
      <c r="I18541" s="3">
        <v>1467.62</v>
      </c>
      <c r="J18541" s="3">
        <v>0</v>
      </c>
      <c r="K18541" t="s">
        <v>21148</v>
      </c>
      <c r="M18541" t="s">
        <v>6556</v>
      </c>
      <c r="N18541" t="s">
        <v>30</v>
      </c>
      <c r="O18541" t="s">
        <v>31</v>
      </c>
      <c r="P18541" t="str">
        <f>"15201"</f>
        <v>15201</v>
      </c>
    </row>
    <row r="18542" spans="1:16" x14ac:dyDescent="0.25">
      <c r="A18542" t="str">
        <f>"1270045E00114    00"</f>
        <v>1270045E00114    00</v>
      </c>
      <c r="B18542" t="s">
        <v>40263</v>
      </c>
      <c r="C18542" t="s">
        <v>40264</v>
      </c>
      <c r="D18542" t="s">
        <v>20</v>
      </c>
      <c r="E18542" t="s">
        <v>39</v>
      </c>
      <c r="F18542">
        <v>0</v>
      </c>
      <c r="G18542">
        <v>0</v>
      </c>
      <c r="H18542">
        <v>11</v>
      </c>
      <c r="I18542" s="3">
        <v>3545.58</v>
      </c>
      <c r="J18542" s="3">
        <v>1692.18</v>
      </c>
      <c r="L18542">
        <v>1314</v>
      </c>
      <c r="M18542" t="s">
        <v>40265</v>
      </c>
      <c r="N18542" t="s">
        <v>30</v>
      </c>
      <c r="O18542" t="s">
        <v>31</v>
      </c>
      <c r="P18542" t="str">
        <f>"15212"</f>
        <v>15212</v>
      </c>
    </row>
    <row r="18543" spans="1:16" x14ac:dyDescent="0.25">
      <c r="A18543" t="str">
        <f>"1270045E00115    00"</f>
        <v>1270045E00115    00</v>
      </c>
      <c r="B18543" t="s">
        <v>40266</v>
      </c>
      <c r="C18543" t="s">
        <v>40267</v>
      </c>
      <c r="D18543" t="s">
        <v>20</v>
      </c>
      <c r="E18543" t="s">
        <v>39</v>
      </c>
      <c r="F18543">
        <v>0</v>
      </c>
      <c r="G18543">
        <v>0</v>
      </c>
      <c r="H18543">
        <v>9</v>
      </c>
      <c r="I18543" s="3">
        <v>6629.27</v>
      </c>
      <c r="J18543" s="3">
        <v>2541.21</v>
      </c>
      <c r="L18543">
        <v>1314</v>
      </c>
      <c r="M18543" t="s">
        <v>40265</v>
      </c>
      <c r="N18543" t="s">
        <v>30</v>
      </c>
      <c r="O18543" t="s">
        <v>31</v>
      </c>
      <c r="P18543" t="str">
        <f>"15212"</f>
        <v>15212</v>
      </c>
    </row>
    <row r="18544" spans="1:16" x14ac:dyDescent="0.25">
      <c r="A18544" t="str">
        <f>"1270045E00142    00"</f>
        <v>1270045E00142    00</v>
      </c>
      <c r="B18544" t="s">
        <v>40268</v>
      </c>
      <c r="C18544" t="s">
        <v>40269</v>
      </c>
      <c r="D18544" t="s">
        <v>20</v>
      </c>
      <c r="E18544" t="s">
        <v>39</v>
      </c>
      <c r="F18544">
        <v>0</v>
      </c>
      <c r="G18544">
        <v>0</v>
      </c>
      <c r="H18544">
        <v>18</v>
      </c>
      <c r="I18544" s="3">
        <v>18091.18</v>
      </c>
      <c r="J18544" s="3">
        <v>18737.39</v>
      </c>
      <c r="L18544">
        <v>1764</v>
      </c>
      <c r="M18544" t="s">
        <v>40270</v>
      </c>
      <c r="N18544" t="s">
        <v>40271</v>
      </c>
      <c r="O18544" t="s">
        <v>495</v>
      </c>
      <c r="P18544" t="str">
        <f>"94541"</f>
        <v>94541</v>
      </c>
    </row>
    <row r="18545" spans="1:16" x14ac:dyDescent="0.25">
      <c r="A18545" t="str">
        <f>"1270045E00143    00"</f>
        <v>1270045E00143    00</v>
      </c>
      <c r="B18545" t="s">
        <v>40272</v>
      </c>
      <c r="C18545" t="s">
        <v>40273</v>
      </c>
      <c r="D18545" t="s">
        <v>20</v>
      </c>
      <c r="E18545" t="s">
        <v>39</v>
      </c>
      <c r="F18545">
        <v>0</v>
      </c>
      <c r="G18545">
        <v>0</v>
      </c>
      <c r="H18545">
        <v>2</v>
      </c>
      <c r="I18545" s="3">
        <v>1397.16</v>
      </c>
      <c r="J18545" s="3">
        <v>0</v>
      </c>
      <c r="K18545" t="s">
        <v>40274</v>
      </c>
      <c r="L18545">
        <v>1437</v>
      </c>
      <c r="M18545" t="s">
        <v>40275</v>
      </c>
      <c r="N18545" t="s">
        <v>30</v>
      </c>
      <c r="O18545" t="s">
        <v>31</v>
      </c>
      <c r="P18545" t="str">
        <f>"15212"</f>
        <v>15212</v>
      </c>
    </row>
    <row r="18546" spans="1:16" x14ac:dyDescent="0.25">
      <c r="A18546" t="str">
        <f>"1270045E00145    00"</f>
        <v>1270045E00145    00</v>
      </c>
      <c r="B18546" t="s">
        <v>26065</v>
      </c>
      <c r="C18546" t="s">
        <v>40276</v>
      </c>
      <c r="D18546" t="s">
        <v>20</v>
      </c>
      <c r="E18546" t="s">
        <v>39</v>
      </c>
      <c r="F18546">
        <v>0</v>
      </c>
      <c r="G18546">
        <v>0</v>
      </c>
      <c r="H18546">
        <v>2</v>
      </c>
      <c r="I18546" s="3">
        <v>457.48</v>
      </c>
      <c r="J18546" s="3">
        <v>0</v>
      </c>
      <c r="L18546">
        <v>14532</v>
      </c>
      <c r="M18546" t="s">
        <v>26067</v>
      </c>
      <c r="N18546" t="s">
        <v>13177</v>
      </c>
      <c r="O18546" t="s">
        <v>200</v>
      </c>
      <c r="P18546" t="str">
        <f>"11436"</f>
        <v>11436</v>
      </c>
    </row>
    <row r="18547" spans="1:16" x14ac:dyDescent="0.25">
      <c r="A18547" t="str">
        <f>"1270045E00183    00"</f>
        <v>1270045E00183    00</v>
      </c>
      <c r="B18547" t="s">
        <v>40277</v>
      </c>
      <c r="C18547" t="s">
        <v>40278</v>
      </c>
      <c r="E18547" t="s">
        <v>39</v>
      </c>
      <c r="F18547">
        <v>0</v>
      </c>
      <c r="G18547">
        <v>0</v>
      </c>
      <c r="H18547">
        <v>1</v>
      </c>
      <c r="I18547" s="3">
        <v>44.08</v>
      </c>
      <c r="J18547" s="3">
        <v>0</v>
      </c>
      <c r="K18547" t="s">
        <v>40279</v>
      </c>
      <c r="L18547">
        <v>1304</v>
      </c>
      <c r="M18547" t="s">
        <v>19127</v>
      </c>
      <c r="N18547" t="s">
        <v>30</v>
      </c>
      <c r="O18547" t="s">
        <v>31</v>
      </c>
      <c r="P18547" t="str">
        <f>"15212"</f>
        <v>15212</v>
      </c>
    </row>
    <row r="18548" spans="1:16" x14ac:dyDescent="0.25">
      <c r="A18548" t="str">
        <f>"1270045E00189    00"</f>
        <v>1270045E00189    00</v>
      </c>
      <c r="B18548" t="s">
        <v>40280</v>
      </c>
      <c r="C18548" t="s">
        <v>40281</v>
      </c>
      <c r="D18548" t="s">
        <v>20</v>
      </c>
      <c r="E18548" t="s">
        <v>39</v>
      </c>
      <c r="F18548">
        <v>0</v>
      </c>
      <c r="G18548">
        <v>0</v>
      </c>
      <c r="H18548">
        <v>2</v>
      </c>
      <c r="I18548" s="3">
        <v>40.72</v>
      </c>
      <c r="J18548" s="3">
        <v>0</v>
      </c>
      <c r="M18548" t="s">
        <v>40282</v>
      </c>
      <c r="N18548" t="s">
        <v>30</v>
      </c>
      <c r="O18548" t="s">
        <v>31</v>
      </c>
      <c r="P18548" t="str">
        <f>"15244"</f>
        <v>15244</v>
      </c>
    </row>
    <row r="18549" spans="1:16" x14ac:dyDescent="0.25">
      <c r="A18549" t="str">
        <f>"1270045E00190    00"</f>
        <v>1270045E00190    00</v>
      </c>
      <c r="B18549" t="s">
        <v>40283</v>
      </c>
      <c r="C18549" t="s">
        <v>40284</v>
      </c>
      <c r="D18549" t="s">
        <v>20</v>
      </c>
      <c r="E18549" t="s">
        <v>39</v>
      </c>
      <c r="F18549">
        <v>0</v>
      </c>
      <c r="G18549">
        <v>0</v>
      </c>
      <c r="H18549">
        <v>4</v>
      </c>
      <c r="I18549" s="3">
        <v>432.49</v>
      </c>
      <c r="J18549" s="3">
        <v>38.299999999999997</v>
      </c>
      <c r="L18549">
        <v>1312</v>
      </c>
      <c r="M18549" t="s">
        <v>19127</v>
      </c>
      <c r="N18549" t="s">
        <v>30</v>
      </c>
      <c r="O18549" t="s">
        <v>31</v>
      </c>
      <c r="P18549" t="str">
        <f>"15212"</f>
        <v>15212</v>
      </c>
    </row>
    <row r="18550" spans="1:16" x14ac:dyDescent="0.25">
      <c r="A18550" t="str">
        <f>"1270045E00192    00"</f>
        <v>1270045E00192    00</v>
      </c>
      <c r="B18550" t="s">
        <v>40285</v>
      </c>
      <c r="C18550" t="s">
        <v>40286</v>
      </c>
      <c r="D18550" t="s">
        <v>20</v>
      </c>
      <c r="E18550" t="s">
        <v>39</v>
      </c>
      <c r="F18550">
        <v>0</v>
      </c>
      <c r="G18550">
        <v>0</v>
      </c>
      <c r="H18550">
        <v>2</v>
      </c>
      <c r="I18550" s="3">
        <v>1017.27</v>
      </c>
      <c r="J18550" s="3">
        <v>0</v>
      </c>
      <c r="L18550">
        <v>333</v>
      </c>
      <c r="M18550" t="s">
        <v>38669</v>
      </c>
      <c r="N18550" t="s">
        <v>30</v>
      </c>
      <c r="O18550" t="s">
        <v>31</v>
      </c>
      <c r="P18550" t="str">
        <f>"15237"</f>
        <v>15237</v>
      </c>
    </row>
    <row r="18551" spans="1:16" x14ac:dyDescent="0.25">
      <c r="A18551" t="str">
        <f>"1270045E00194    00"</f>
        <v>1270045E00194    00</v>
      </c>
      <c r="B18551" t="s">
        <v>40287</v>
      </c>
      <c r="C18551" t="s">
        <v>40288</v>
      </c>
      <c r="D18551" t="s">
        <v>20</v>
      </c>
      <c r="E18551" t="s">
        <v>39</v>
      </c>
      <c r="F18551">
        <v>0</v>
      </c>
      <c r="G18551">
        <v>0</v>
      </c>
      <c r="H18551">
        <v>3</v>
      </c>
      <c r="I18551" s="3">
        <v>3623.28</v>
      </c>
      <c r="J18551" s="3">
        <v>166.57</v>
      </c>
      <c r="L18551">
        <v>1322</v>
      </c>
      <c r="M18551" t="s">
        <v>19127</v>
      </c>
      <c r="N18551" t="s">
        <v>30</v>
      </c>
      <c r="O18551" t="s">
        <v>31</v>
      </c>
      <c r="P18551" t="str">
        <f>"15212"</f>
        <v>15212</v>
      </c>
    </row>
    <row r="18552" spans="1:16" x14ac:dyDescent="0.25">
      <c r="A18552" t="str">
        <f>"1270045E00199    00"</f>
        <v>1270045E00199    00</v>
      </c>
      <c r="B18552" t="s">
        <v>40202</v>
      </c>
      <c r="C18552" t="s">
        <v>40289</v>
      </c>
      <c r="D18552" t="s">
        <v>20</v>
      </c>
      <c r="E18552" t="s">
        <v>39</v>
      </c>
      <c r="F18552">
        <v>0</v>
      </c>
      <c r="G18552">
        <v>0</v>
      </c>
      <c r="H18552">
        <v>2</v>
      </c>
      <c r="I18552" s="3">
        <v>953</v>
      </c>
      <c r="J18552" s="3">
        <v>0</v>
      </c>
      <c r="L18552">
        <v>1554</v>
      </c>
      <c r="M18552" t="s">
        <v>40290</v>
      </c>
      <c r="N18552" t="s">
        <v>40291</v>
      </c>
      <c r="P18552" t="str">
        <f>""</f>
        <v/>
      </c>
    </row>
    <row r="18553" spans="1:16" x14ac:dyDescent="0.25">
      <c r="A18553" t="str">
        <f>"1270045E00215    00"</f>
        <v>1270045E00215    00</v>
      </c>
      <c r="B18553" t="s">
        <v>40292</v>
      </c>
      <c r="C18553" t="s">
        <v>40293</v>
      </c>
      <c r="D18553" t="s">
        <v>20</v>
      </c>
      <c r="E18553" t="s">
        <v>39</v>
      </c>
      <c r="F18553">
        <v>0</v>
      </c>
      <c r="G18553">
        <v>0</v>
      </c>
      <c r="H18553">
        <v>9</v>
      </c>
      <c r="I18553" s="3">
        <v>8714.9699999999993</v>
      </c>
      <c r="J18553" s="3">
        <v>3690.84</v>
      </c>
      <c r="L18553">
        <v>1250</v>
      </c>
      <c r="M18553" t="s">
        <v>27532</v>
      </c>
      <c r="N18553" t="s">
        <v>30</v>
      </c>
      <c r="O18553" t="s">
        <v>31</v>
      </c>
      <c r="P18553" t="str">
        <f>"15212"</f>
        <v>15212</v>
      </c>
    </row>
    <row r="18554" spans="1:16" x14ac:dyDescent="0.25">
      <c r="A18554" t="str">
        <f>"1270045E00252    00"</f>
        <v>1270045E00252    00</v>
      </c>
      <c r="B18554" t="s">
        <v>40294</v>
      </c>
      <c r="C18554" t="s">
        <v>40295</v>
      </c>
      <c r="D18554" t="s">
        <v>20</v>
      </c>
      <c r="E18554" t="s">
        <v>39</v>
      </c>
      <c r="F18554">
        <v>0</v>
      </c>
      <c r="G18554">
        <v>0</v>
      </c>
      <c r="H18554">
        <v>2</v>
      </c>
      <c r="I18554" s="3">
        <v>2143.23</v>
      </c>
      <c r="J18554" s="3">
        <v>0</v>
      </c>
      <c r="K18554" t="s">
        <v>40296</v>
      </c>
      <c r="L18554">
        <v>8200</v>
      </c>
      <c r="M18554" t="s">
        <v>31332</v>
      </c>
      <c r="N18554" t="s">
        <v>30</v>
      </c>
      <c r="O18554" t="s">
        <v>31</v>
      </c>
      <c r="P18554" t="str">
        <f>"15237"</f>
        <v>15237</v>
      </c>
    </row>
    <row r="18555" spans="1:16" x14ac:dyDescent="0.25">
      <c r="A18555" t="str">
        <f>"1270045E00269    00"</f>
        <v>1270045E00269    00</v>
      </c>
      <c r="B18555" t="s">
        <v>40297</v>
      </c>
      <c r="C18555" t="s">
        <v>40298</v>
      </c>
      <c r="D18555" t="s">
        <v>20</v>
      </c>
      <c r="E18555" t="s">
        <v>39</v>
      </c>
      <c r="F18555">
        <v>0</v>
      </c>
      <c r="G18555">
        <v>0</v>
      </c>
      <c r="H18555">
        <v>2</v>
      </c>
      <c r="I18555" s="3">
        <v>287.22000000000003</v>
      </c>
      <c r="J18555" s="3">
        <v>0</v>
      </c>
      <c r="K18555" t="s">
        <v>2570</v>
      </c>
      <c r="L18555">
        <v>901</v>
      </c>
      <c r="M18555" t="s">
        <v>1503</v>
      </c>
      <c r="N18555" t="s">
        <v>494</v>
      </c>
      <c r="O18555" t="s">
        <v>495</v>
      </c>
      <c r="P18555" t="str">
        <f>"91768"</f>
        <v>91768</v>
      </c>
    </row>
    <row r="18556" spans="1:16" x14ac:dyDescent="0.25">
      <c r="A18556" t="str">
        <f>"1270045E00275    00"</f>
        <v>1270045E00275    00</v>
      </c>
      <c r="B18556" t="s">
        <v>40299</v>
      </c>
      <c r="C18556" t="s">
        <v>40300</v>
      </c>
      <c r="E18556" t="s">
        <v>39</v>
      </c>
      <c r="F18556">
        <v>0</v>
      </c>
      <c r="G18556">
        <v>0</v>
      </c>
      <c r="H18556">
        <v>1</v>
      </c>
      <c r="I18556" s="3">
        <v>1501.95</v>
      </c>
      <c r="J18556" s="3">
        <v>0</v>
      </c>
      <c r="K18556" t="s">
        <v>40301</v>
      </c>
      <c r="L18556">
        <v>40</v>
      </c>
      <c r="M18556" t="s">
        <v>40302</v>
      </c>
      <c r="N18556" t="s">
        <v>20997</v>
      </c>
      <c r="O18556" t="s">
        <v>200</v>
      </c>
      <c r="P18556" t="str">
        <f>"10801"</f>
        <v>10801</v>
      </c>
    </row>
    <row r="18557" spans="1:16" x14ac:dyDescent="0.25">
      <c r="A18557" t="str">
        <f>"1270045E00276    00"</f>
        <v>1270045E00276    00</v>
      </c>
      <c r="B18557" t="s">
        <v>40303</v>
      </c>
      <c r="C18557" t="s">
        <v>40304</v>
      </c>
      <c r="E18557" t="s">
        <v>39</v>
      </c>
      <c r="F18557">
        <v>0</v>
      </c>
      <c r="G18557">
        <v>0</v>
      </c>
      <c r="H18557">
        <v>1</v>
      </c>
      <c r="I18557" s="3">
        <v>91.29</v>
      </c>
      <c r="J18557" s="3">
        <v>80.64</v>
      </c>
      <c r="L18557">
        <v>1240</v>
      </c>
      <c r="M18557" t="s">
        <v>19127</v>
      </c>
      <c r="N18557" t="s">
        <v>30</v>
      </c>
      <c r="O18557" t="s">
        <v>31</v>
      </c>
      <c r="P18557" t="str">
        <f>"15212"</f>
        <v>15212</v>
      </c>
    </row>
    <row r="18558" spans="1:16" x14ac:dyDescent="0.25">
      <c r="A18558" t="str">
        <f>"1270045E00284    00"</f>
        <v>1270045E00284    00</v>
      </c>
      <c r="B18558" t="s">
        <v>40305</v>
      </c>
      <c r="C18558" t="s">
        <v>40306</v>
      </c>
      <c r="D18558" t="s">
        <v>20</v>
      </c>
      <c r="E18558" t="s">
        <v>39</v>
      </c>
      <c r="F18558">
        <v>0</v>
      </c>
      <c r="G18558">
        <v>0</v>
      </c>
      <c r="H18558">
        <v>15</v>
      </c>
      <c r="I18558" s="3">
        <v>4150.4799999999996</v>
      </c>
      <c r="J18558" s="3">
        <v>2736.7</v>
      </c>
      <c r="L18558">
        <v>1256</v>
      </c>
      <c r="M18558" t="s">
        <v>19127</v>
      </c>
      <c r="N18558" t="s">
        <v>30</v>
      </c>
      <c r="O18558" t="s">
        <v>31</v>
      </c>
      <c r="P18558" t="str">
        <f>"15212"</f>
        <v>15212</v>
      </c>
    </row>
    <row r="18559" spans="1:16" x14ac:dyDescent="0.25">
      <c r="A18559" t="str">
        <f>"1270045E00287    00"</f>
        <v>1270045E00287    00</v>
      </c>
      <c r="B18559" t="s">
        <v>40307</v>
      </c>
      <c r="C18559" t="s">
        <v>40308</v>
      </c>
      <c r="D18559" t="s">
        <v>20</v>
      </c>
      <c r="E18559" t="s">
        <v>39</v>
      </c>
      <c r="F18559">
        <v>0</v>
      </c>
      <c r="G18559">
        <v>0</v>
      </c>
      <c r="H18559">
        <v>16</v>
      </c>
      <c r="I18559" s="3">
        <v>26426.43</v>
      </c>
      <c r="J18559" s="3">
        <v>20089.2</v>
      </c>
      <c r="K18559" t="s">
        <v>40309</v>
      </c>
      <c r="L18559">
        <v>21</v>
      </c>
      <c r="M18559" t="s">
        <v>40310</v>
      </c>
      <c r="N18559" t="s">
        <v>40311</v>
      </c>
      <c r="O18559" t="s">
        <v>200</v>
      </c>
      <c r="P18559" t="str">
        <f>"11550"</f>
        <v>11550</v>
      </c>
    </row>
    <row r="18560" spans="1:16" x14ac:dyDescent="0.25">
      <c r="A18560" t="str">
        <f>"1270045E00293    00"</f>
        <v>1270045E00293    00</v>
      </c>
      <c r="B18560" t="s">
        <v>40312</v>
      </c>
      <c r="C18560" t="s">
        <v>40313</v>
      </c>
      <c r="D18560" t="s">
        <v>20</v>
      </c>
      <c r="E18560" t="s">
        <v>39</v>
      </c>
      <c r="F18560">
        <v>0</v>
      </c>
      <c r="G18560">
        <v>0</v>
      </c>
      <c r="H18560">
        <v>5</v>
      </c>
      <c r="I18560" s="3">
        <v>2562.33</v>
      </c>
      <c r="J18560" s="3">
        <v>442.68</v>
      </c>
      <c r="K18560" t="s">
        <v>557</v>
      </c>
      <c r="L18560">
        <v>3001</v>
      </c>
      <c r="M18560" t="s">
        <v>330</v>
      </c>
      <c r="N18560" t="s">
        <v>331</v>
      </c>
      <c r="O18560" t="s">
        <v>108</v>
      </c>
      <c r="P18560" t="str">
        <f>"75063"</f>
        <v>75063</v>
      </c>
    </row>
    <row r="18561" spans="1:16" x14ac:dyDescent="0.25">
      <c r="A18561" t="str">
        <f>"1270045E00297    00"</f>
        <v>1270045E00297    00</v>
      </c>
      <c r="B18561" t="s">
        <v>40314</v>
      </c>
      <c r="C18561" t="s">
        <v>40315</v>
      </c>
      <c r="D18561" t="s">
        <v>20</v>
      </c>
      <c r="E18561" t="s">
        <v>39</v>
      </c>
      <c r="F18561">
        <v>0</v>
      </c>
      <c r="G18561">
        <v>0</v>
      </c>
      <c r="H18561">
        <v>15</v>
      </c>
      <c r="I18561" s="3">
        <v>7733.4</v>
      </c>
      <c r="J18561" s="3">
        <v>5322.06</v>
      </c>
      <c r="M18561" t="s">
        <v>39113</v>
      </c>
      <c r="N18561" t="s">
        <v>39114</v>
      </c>
      <c r="O18561" t="s">
        <v>31</v>
      </c>
      <c r="P18561" t="str">
        <f>"16133"</f>
        <v>16133</v>
      </c>
    </row>
    <row r="18562" spans="1:16" x14ac:dyDescent="0.25">
      <c r="A18562" t="str">
        <f>"1270045E00299    00"</f>
        <v>1270045E00299    00</v>
      </c>
      <c r="B18562" t="s">
        <v>37758</v>
      </c>
      <c r="C18562" t="s">
        <v>40316</v>
      </c>
      <c r="E18562" t="s">
        <v>39</v>
      </c>
      <c r="F18562">
        <v>0</v>
      </c>
      <c r="G18562">
        <v>0</v>
      </c>
      <c r="H18562">
        <v>1</v>
      </c>
      <c r="I18562" s="3">
        <v>985.41</v>
      </c>
      <c r="J18562" s="3">
        <v>0</v>
      </c>
      <c r="M18562" t="s">
        <v>37761</v>
      </c>
      <c r="N18562" t="s">
        <v>30</v>
      </c>
      <c r="O18562" t="s">
        <v>31</v>
      </c>
      <c r="P18562" t="str">
        <f>"15233"</f>
        <v>15233</v>
      </c>
    </row>
    <row r="18563" spans="1:16" x14ac:dyDescent="0.25">
      <c r="A18563" t="str">
        <f>"1270045E00301    00"</f>
        <v>1270045E00301    00</v>
      </c>
      <c r="B18563" t="s">
        <v>40317</v>
      </c>
      <c r="C18563" t="s">
        <v>40318</v>
      </c>
      <c r="D18563" t="s">
        <v>20</v>
      </c>
      <c r="E18563" t="s">
        <v>39</v>
      </c>
      <c r="F18563">
        <v>0</v>
      </c>
      <c r="G18563">
        <v>0</v>
      </c>
      <c r="H18563">
        <v>4</v>
      </c>
      <c r="I18563" s="3">
        <v>1083.1400000000001</v>
      </c>
      <c r="J18563" s="3">
        <v>6.99</v>
      </c>
      <c r="L18563">
        <v>2616</v>
      </c>
      <c r="M18563" t="s">
        <v>35783</v>
      </c>
      <c r="N18563" t="s">
        <v>30</v>
      </c>
      <c r="O18563" t="s">
        <v>31</v>
      </c>
      <c r="P18563" t="str">
        <f>"15212"</f>
        <v>15212</v>
      </c>
    </row>
    <row r="18564" spans="1:16" x14ac:dyDescent="0.25">
      <c r="A18564" t="str">
        <f>"1270045E00302    00"</f>
        <v>1270045E00302    00</v>
      </c>
      <c r="B18564" t="s">
        <v>40319</v>
      </c>
      <c r="C18564" t="s">
        <v>40320</v>
      </c>
      <c r="D18564" t="s">
        <v>20</v>
      </c>
      <c r="E18564" t="s">
        <v>39</v>
      </c>
      <c r="F18564">
        <v>0</v>
      </c>
      <c r="G18564">
        <v>0</v>
      </c>
      <c r="H18564">
        <v>11</v>
      </c>
      <c r="I18564" s="3">
        <v>6224.68</v>
      </c>
      <c r="J18564" s="3">
        <v>3065.57</v>
      </c>
      <c r="L18564">
        <v>2618</v>
      </c>
      <c r="M18564" t="s">
        <v>40321</v>
      </c>
      <c r="N18564" t="s">
        <v>30</v>
      </c>
      <c r="O18564" t="s">
        <v>31</v>
      </c>
      <c r="P18564" t="str">
        <f>"15212"</f>
        <v>15212</v>
      </c>
    </row>
    <row r="18565" spans="1:16" x14ac:dyDescent="0.25">
      <c r="A18565" t="str">
        <f>"1270045E00303    00"</f>
        <v>1270045E00303    00</v>
      </c>
      <c r="B18565" t="s">
        <v>40322</v>
      </c>
      <c r="C18565" t="s">
        <v>40323</v>
      </c>
      <c r="D18565" t="s">
        <v>20</v>
      </c>
      <c r="E18565" t="s">
        <v>39</v>
      </c>
      <c r="F18565">
        <v>0</v>
      </c>
      <c r="G18565">
        <v>0</v>
      </c>
      <c r="H18565">
        <v>1</v>
      </c>
      <c r="I18565" s="3">
        <v>473.16</v>
      </c>
      <c r="J18565" s="3">
        <v>0</v>
      </c>
      <c r="K18565" t="s">
        <v>1030</v>
      </c>
      <c r="M18565" t="s">
        <v>1031</v>
      </c>
      <c r="N18565" t="s">
        <v>1032</v>
      </c>
      <c r="O18565" t="s">
        <v>25</v>
      </c>
      <c r="P18565" t="str">
        <f>"44711"</f>
        <v>44711</v>
      </c>
    </row>
    <row r="18566" spans="1:16" x14ac:dyDescent="0.25">
      <c r="A18566" t="str">
        <f>"1270045E00308    00"</f>
        <v>1270045E00308    00</v>
      </c>
      <c r="B18566" t="s">
        <v>40324</v>
      </c>
      <c r="C18566" t="s">
        <v>40325</v>
      </c>
      <c r="D18566" t="s">
        <v>20</v>
      </c>
      <c r="E18566" t="s">
        <v>39</v>
      </c>
      <c r="F18566">
        <v>0</v>
      </c>
      <c r="G18566">
        <v>0</v>
      </c>
      <c r="H18566">
        <v>4</v>
      </c>
      <c r="I18566" s="3">
        <v>2809.69</v>
      </c>
      <c r="J18566" s="3">
        <v>224.1</v>
      </c>
      <c r="L18566">
        <v>1263</v>
      </c>
      <c r="M18566" t="s">
        <v>13728</v>
      </c>
      <c r="N18566" t="s">
        <v>30</v>
      </c>
      <c r="O18566" t="s">
        <v>31</v>
      </c>
      <c r="P18566" t="str">
        <f>"15212"</f>
        <v>15212</v>
      </c>
    </row>
    <row r="18567" spans="1:16" x14ac:dyDescent="0.25">
      <c r="A18567" t="str">
        <f>"1270045E00327    00"</f>
        <v>1270045E00327    00</v>
      </c>
      <c r="B18567" t="s">
        <v>40326</v>
      </c>
      <c r="C18567" t="s">
        <v>40327</v>
      </c>
      <c r="D18567" t="s">
        <v>20</v>
      </c>
      <c r="E18567" t="s">
        <v>39</v>
      </c>
      <c r="F18567">
        <v>0</v>
      </c>
      <c r="G18567">
        <v>0</v>
      </c>
      <c r="H18567">
        <v>4</v>
      </c>
      <c r="I18567" s="3">
        <v>3241.61</v>
      </c>
      <c r="J18567" s="3">
        <v>348.64</v>
      </c>
      <c r="L18567">
        <v>1244</v>
      </c>
      <c r="M18567" t="s">
        <v>13728</v>
      </c>
      <c r="N18567" t="s">
        <v>30</v>
      </c>
      <c r="O18567" t="s">
        <v>31</v>
      </c>
      <c r="P18567" t="str">
        <f>"15212"</f>
        <v>15212</v>
      </c>
    </row>
    <row r="18568" spans="1:16" x14ac:dyDescent="0.25">
      <c r="A18568" t="str">
        <f>"1270045E00328    00"</f>
        <v>1270045E00328    00</v>
      </c>
      <c r="B18568" t="s">
        <v>4047</v>
      </c>
      <c r="C18568" t="s">
        <v>40328</v>
      </c>
      <c r="E18568" t="s">
        <v>39</v>
      </c>
      <c r="F18568">
        <v>0</v>
      </c>
      <c r="G18568">
        <v>0</v>
      </c>
      <c r="H18568">
        <v>2</v>
      </c>
      <c r="I18568" s="3">
        <v>113.04</v>
      </c>
      <c r="J18568" s="3">
        <v>1.03</v>
      </c>
      <c r="K18568" t="s">
        <v>1094</v>
      </c>
      <c r="L18568">
        <v>412</v>
      </c>
      <c r="M18568" t="s">
        <v>36</v>
      </c>
      <c r="N18568" t="s">
        <v>30</v>
      </c>
      <c r="O18568" t="s">
        <v>31</v>
      </c>
      <c r="P18568" t="str">
        <f>"15219"</f>
        <v>15219</v>
      </c>
    </row>
    <row r="18569" spans="1:16" x14ac:dyDescent="0.25">
      <c r="A18569" t="str">
        <f>"1270045E00329    00"</f>
        <v>1270045E00329    00</v>
      </c>
      <c r="B18569" t="s">
        <v>37134</v>
      </c>
      <c r="C18569" t="s">
        <v>40329</v>
      </c>
      <c r="D18569" t="s">
        <v>20</v>
      </c>
      <c r="E18569" t="s">
        <v>39</v>
      </c>
      <c r="F18569">
        <v>0</v>
      </c>
      <c r="G18569">
        <v>0</v>
      </c>
      <c r="H18569">
        <v>10</v>
      </c>
      <c r="I18569" s="3">
        <v>3699</v>
      </c>
      <c r="J18569" s="3">
        <v>1583.84</v>
      </c>
      <c r="L18569">
        <v>433</v>
      </c>
      <c r="M18569" t="s">
        <v>37136</v>
      </c>
      <c r="N18569" t="s">
        <v>30</v>
      </c>
      <c r="O18569" t="s">
        <v>31</v>
      </c>
      <c r="P18569" t="str">
        <f>"15202"</f>
        <v>15202</v>
      </c>
    </row>
    <row r="18570" spans="1:16" x14ac:dyDescent="0.25">
      <c r="A18570" t="str">
        <f>"1270045E00331    00"</f>
        <v>1270045E00331    00</v>
      </c>
      <c r="B18570" t="s">
        <v>40241</v>
      </c>
      <c r="C18570" t="s">
        <v>40330</v>
      </c>
      <c r="E18570" t="s">
        <v>39</v>
      </c>
      <c r="F18570">
        <v>0</v>
      </c>
      <c r="G18570">
        <v>0</v>
      </c>
      <c r="H18570">
        <v>2</v>
      </c>
      <c r="I18570" s="3">
        <v>79.680000000000007</v>
      </c>
      <c r="J18570" s="3">
        <v>15.47</v>
      </c>
      <c r="K18570" t="s">
        <v>40331</v>
      </c>
      <c r="M18570" t="s">
        <v>40332</v>
      </c>
      <c r="N18570" t="s">
        <v>30</v>
      </c>
      <c r="O18570" t="s">
        <v>31</v>
      </c>
      <c r="P18570" t="str">
        <f>"15236"</f>
        <v>15236</v>
      </c>
    </row>
    <row r="18571" spans="1:16" x14ac:dyDescent="0.25">
      <c r="A18571" t="str">
        <f>"1270045E00333    00"</f>
        <v>1270045E00333    00</v>
      </c>
      <c r="B18571" t="s">
        <v>40241</v>
      </c>
      <c r="C18571" t="s">
        <v>40333</v>
      </c>
      <c r="E18571" t="s">
        <v>39</v>
      </c>
      <c r="F18571">
        <v>0</v>
      </c>
      <c r="G18571">
        <v>0</v>
      </c>
      <c r="H18571">
        <v>1</v>
      </c>
      <c r="I18571" s="3">
        <v>277.77999999999997</v>
      </c>
      <c r="J18571" s="3">
        <v>0</v>
      </c>
      <c r="K18571" t="s">
        <v>35025</v>
      </c>
      <c r="L18571">
        <v>1319</v>
      </c>
      <c r="M18571" t="s">
        <v>35026</v>
      </c>
      <c r="N18571" t="s">
        <v>30</v>
      </c>
      <c r="O18571" t="s">
        <v>31</v>
      </c>
      <c r="P18571" t="str">
        <f>"15233"</f>
        <v>15233</v>
      </c>
    </row>
    <row r="18572" spans="1:16" x14ac:dyDescent="0.25">
      <c r="A18572" t="str">
        <f>"1270045E00352    00"</f>
        <v>1270045E00352    00</v>
      </c>
      <c r="B18572" t="s">
        <v>40334</v>
      </c>
      <c r="C18572" t="s">
        <v>40335</v>
      </c>
      <c r="D18572" t="s">
        <v>20</v>
      </c>
      <c r="E18572" t="s">
        <v>39</v>
      </c>
      <c r="F18572">
        <v>0</v>
      </c>
      <c r="G18572">
        <v>0</v>
      </c>
      <c r="H18572">
        <v>19</v>
      </c>
      <c r="I18572" s="3">
        <v>10742.21</v>
      </c>
      <c r="J18572" s="3">
        <v>11863.2</v>
      </c>
      <c r="L18572">
        <v>811</v>
      </c>
      <c r="M18572" t="s">
        <v>30729</v>
      </c>
      <c r="N18572" t="s">
        <v>30</v>
      </c>
      <c r="O18572" t="s">
        <v>31</v>
      </c>
      <c r="P18572" t="str">
        <f>"15220"</f>
        <v>15220</v>
      </c>
    </row>
    <row r="18573" spans="1:16" x14ac:dyDescent="0.25">
      <c r="A18573" t="str">
        <f>"1270045F00008    00"</f>
        <v>1270045F00008    00</v>
      </c>
      <c r="B18573" t="s">
        <v>4047</v>
      </c>
      <c r="C18573" t="s">
        <v>40336</v>
      </c>
      <c r="E18573" t="s">
        <v>39</v>
      </c>
      <c r="F18573">
        <v>0</v>
      </c>
      <c r="G18573">
        <v>0</v>
      </c>
      <c r="H18573">
        <v>2</v>
      </c>
      <c r="I18573" s="3">
        <v>78.349999999999994</v>
      </c>
      <c r="J18573" s="3">
        <v>1.24</v>
      </c>
      <c r="K18573" t="s">
        <v>1094</v>
      </c>
      <c r="L18573">
        <v>412</v>
      </c>
      <c r="M18573" t="s">
        <v>36</v>
      </c>
      <c r="N18573" t="s">
        <v>30</v>
      </c>
      <c r="O18573" t="s">
        <v>31</v>
      </c>
      <c r="P18573" t="str">
        <f>"15219"</f>
        <v>15219</v>
      </c>
    </row>
    <row r="18574" spans="1:16" x14ac:dyDescent="0.25">
      <c r="A18574" t="str">
        <f>"1270045F00010    00"</f>
        <v>1270045F00010    00</v>
      </c>
      <c r="B18574" t="s">
        <v>40337</v>
      </c>
      <c r="C18574" t="s">
        <v>39943</v>
      </c>
      <c r="E18574" t="s">
        <v>39</v>
      </c>
      <c r="F18574">
        <v>0</v>
      </c>
      <c r="G18574">
        <v>0</v>
      </c>
      <c r="H18574">
        <v>2</v>
      </c>
      <c r="I18574" s="3">
        <v>91.48</v>
      </c>
      <c r="J18574" s="3">
        <v>9.15</v>
      </c>
      <c r="K18574" t="s">
        <v>8324</v>
      </c>
      <c r="L18574">
        <v>11452</v>
      </c>
      <c r="M18574" t="s">
        <v>8325</v>
      </c>
      <c r="N18574" t="s">
        <v>8326</v>
      </c>
      <c r="O18574" t="s">
        <v>495</v>
      </c>
      <c r="P18574" t="str">
        <f>"90720"</f>
        <v>90720</v>
      </c>
    </row>
    <row r="18575" spans="1:16" x14ac:dyDescent="0.25">
      <c r="A18575" t="str">
        <f>"1270045F00022    00"</f>
        <v>1270045F00022    00</v>
      </c>
      <c r="B18575" t="s">
        <v>4047</v>
      </c>
      <c r="C18575" t="s">
        <v>40338</v>
      </c>
      <c r="E18575" t="s">
        <v>39</v>
      </c>
      <c r="F18575">
        <v>0</v>
      </c>
      <c r="G18575">
        <v>0</v>
      </c>
      <c r="H18575">
        <v>2</v>
      </c>
      <c r="I18575" s="3">
        <v>141.41999999999999</v>
      </c>
      <c r="J18575" s="3">
        <v>2.3199999999999998</v>
      </c>
      <c r="K18575" t="s">
        <v>1094</v>
      </c>
      <c r="L18575">
        <v>412</v>
      </c>
      <c r="M18575" t="s">
        <v>36</v>
      </c>
      <c r="N18575" t="s">
        <v>30</v>
      </c>
      <c r="O18575" t="s">
        <v>31</v>
      </c>
      <c r="P18575" t="str">
        <f>"15219"</f>
        <v>15219</v>
      </c>
    </row>
    <row r="18576" spans="1:16" x14ac:dyDescent="0.25">
      <c r="A18576" t="str">
        <f>"1270045F00027    00"</f>
        <v>1270045F00027    00</v>
      </c>
      <c r="B18576" t="s">
        <v>40339</v>
      </c>
      <c r="C18576" t="s">
        <v>40340</v>
      </c>
      <c r="D18576" t="s">
        <v>20</v>
      </c>
      <c r="E18576" t="s">
        <v>39</v>
      </c>
      <c r="F18576">
        <v>0</v>
      </c>
      <c r="G18576">
        <v>0</v>
      </c>
      <c r="H18576">
        <v>2</v>
      </c>
      <c r="I18576" s="3">
        <v>1610.6</v>
      </c>
      <c r="J18576" s="3">
        <v>0</v>
      </c>
      <c r="K18576" t="s">
        <v>40341</v>
      </c>
      <c r="L18576">
        <v>504</v>
      </c>
      <c r="M18576" t="s">
        <v>40342</v>
      </c>
      <c r="N18576" t="s">
        <v>30</v>
      </c>
      <c r="O18576" t="s">
        <v>31</v>
      </c>
      <c r="P18576" t="str">
        <f>"15221"</f>
        <v>15221</v>
      </c>
    </row>
    <row r="18577" spans="1:16" x14ac:dyDescent="0.25">
      <c r="A18577" t="str">
        <f>"1270045F00028    00"</f>
        <v>1270045F00028    00</v>
      </c>
      <c r="B18577" t="s">
        <v>40343</v>
      </c>
      <c r="C18577" t="s">
        <v>40344</v>
      </c>
      <c r="D18577" t="s">
        <v>20</v>
      </c>
      <c r="E18577" t="s">
        <v>39</v>
      </c>
      <c r="F18577">
        <v>0</v>
      </c>
      <c r="G18577">
        <v>0</v>
      </c>
      <c r="H18577">
        <v>11</v>
      </c>
      <c r="I18577" s="3">
        <v>5750.44</v>
      </c>
      <c r="J18577" s="3">
        <v>2633.98</v>
      </c>
      <c r="L18577">
        <v>1225</v>
      </c>
      <c r="M18577" t="s">
        <v>13728</v>
      </c>
      <c r="N18577" t="s">
        <v>30</v>
      </c>
      <c r="O18577" t="s">
        <v>31</v>
      </c>
      <c r="P18577" t="str">
        <f>"15212"</f>
        <v>15212</v>
      </c>
    </row>
    <row r="18578" spans="1:16" x14ac:dyDescent="0.25">
      <c r="A18578" t="str">
        <f>"1270045F00055    00"</f>
        <v>1270045F00055    00</v>
      </c>
      <c r="B18578" t="s">
        <v>40345</v>
      </c>
      <c r="C18578" t="s">
        <v>40346</v>
      </c>
      <c r="D18578" t="s">
        <v>20</v>
      </c>
      <c r="E18578" t="s">
        <v>39</v>
      </c>
      <c r="F18578">
        <v>0</v>
      </c>
      <c r="G18578">
        <v>0</v>
      </c>
      <c r="H18578">
        <v>19</v>
      </c>
      <c r="I18578" s="3">
        <v>526.29</v>
      </c>
      <c r="J18578" s="3">
        <v>638.13</v>
      </c>
      <c r="K18578" t="s">
        <v>40347</v>
      </c>
      <c r="L18578">
        <v>9217</v>
      </c>
      <c r="M18578" t="s">
        <v>40348</v>
      </c>
      <c r="N18578" t="s">
        <v>30</v>
      </c>
      <c r="O18578" t="s">
        <v>31</v>
      </c>
      <c r="P18578" t="str">
        <f>"15237"</f>
        <v>15237</v>
      </c>
    </row>
    <row r="18579" spans="1:16" x14ac:dyDescent="0.25">
      <c r="A18579" t="str">
        <f>"1270045F00060    00"</f>
        <v>1270045F00060    00</v>
      </c>
      <c r="B18579" t="s">
        <v>40349</v>
      </c>
      <c r="C18579" t="s">
        <v>40350</v>
      </c>
      <c r="E18579" t="s">
        <v>39</v>
      </c>
      <c r="F18579">
        <v>0</v>
      </c>
      <c r="G18579">
        <v>0</v>
      </c>
      <c r="H18579">
        <v>2</v>
      </c>
      <c r="I18579" s="3">
        <v>1312.47</v>
      </c>
      <c r="J18579" s="3">
        <v>0</v>
      </c>
      <c r="K18579" t="s">
        <v>40351</v>
      </c>
      <c r="L18579">
        <v>534</v>
      </c>
      <c r="M18579" t="s">
        <v>40352</v>
      </c>
      <c r="N18579" t="s">
        <v>30</v>
      </c>
      <c r="O18579" t="s">
        <v>31</v>
      </c>
      <c r="P18579" t="str">
        <f>"15237"</f>
        <v>15237</v>
      </c>
    </row>
    <row r="18580" spans="1:16" x14ac:dyDescent="0.25">
      <c r="A18580" t="str">
        <f>"1270045F00139    00"</f>
        <v>1270045F00139    00</v>
      </c>
      <c r="B18580" t="s">
        <v>40353</v>
      </c>
      <c r="C18580" t="s">
        <v>40354</v>
      </c>
      <c r="D18580" t="s">
        <v>20</v>
      </c>
      <c r="E18580" t="s">
        <v>21</v>
      </c>
      <c r="F18580">
        <v>0</v>
      </c>
      <c r="G18580">
        <v>0</v>
      </c>
      <c r="H18580">
        <v>2</v>
      </c>
      <c r="I18580" s="3">
        <v>4246.6000000000004</v>
      </c>
      <c r="J18580" s="3">
        <v>0</v>
      </c>
      <c r="K18580" t="s">
        <v>36090</v>
      </c>
      <c r="L18580">
        <v>117</v>
      </c>
      <c r="M18580" t="s">
        <v>40355</v>
      </c>
      <c r="N18580" t="s">
        <v>30</v>
      </c>
      <c r="O18580" t="s">
        <v>31</v>
      </c>
      <c r="P18580" t="str">
        <f>"15214"</f>
        <v>15214</v>
      </c>
    </row>
    <row r="18581" spans="1:16" x14ac:dyDescent="0.25">
      <c r="A18581" t="str">
        <f>"1270045F00145    00"</f>
        <v>1270045F00145    00</v>
      </c>
      <c r="B18581" t="s">
        <v>40356</v>
      </c>
      <c r="C18581" t="s">
        <v>40357</v>
      </c>
      <c r="D18581" t="s">
        <v>20</v>
      </c>
      <c r="E18581" t="s">
        <v>39</v>
      </c>
      <c r="F18581">
        <v>0</v>
      </c>
      <c r="G18581">
        <v>0</v>
      </c>
      <c r="H18581">
        <v>4</v>
      </c>
      <c r="I18581" s="3">
        <v>5572.37</v>
      </c>
      <c r="J18581" s="3">
        <v>834.22</v>
      </c>
      <c r="L18581">
        <v>1238</v>
      </c>
      <c r="M18581" t="s">
        <v>27532</v>
      </c>
      <c r="N18581" t="s">
        <v>30</v>
      </c>
      <c r="O18581" t="s">
        <v>31</v>
      </c>
      <c r="P18581" t="str">
        <f>"15212"</f>
        <v>15212</v>
      </c>
    </row>
    <row r="18582" spans="1:16" x14ac:dyDescent="0.25">
      <c r="A18582" t="str">
        <f>"1270045F00154    00"</f>
        <v>1270045F00154    00</v>
      </c>
      <c r="B18582" t="s">
        <v>40358</v>
      </c>
      <c r="C18582" t="s">
        <v>40359</v>
      </c>
      <c r="E18582" t="s">
        <v>39</v>
      </c>
      <c r="F18582">
        <v>0</v>
      </c>
      <c r="G18582">
        <v>0</v>
      </c>
      <c r="H18582">
        <v>1</v>
      </c>
      <c r="I18582" s="3">
        <v>459.2</v>
      </c>
      <c r="J18582" s="3">
        <v>0</v>
      </c>
      <c r="L18582">
        <v>111</v>
      </c>
      <c r="M18582" t="s">
        <v>40360</v>
      </c>
      <c r="N18582" t="s">
        <v>30</v>
      </c>
      <c r="O18582" t="s">
        <v>31</v>
      </c>
      <c r="P18582" t="str">
        <f>"15237"</f>
        <v>15237</v>
      </c>
    </row>
    <row r="18583" spans="1:16" x14ac:dyDescent="0.25">
      <c r="A18583" t="str">
        <f>"1270045F00167    00"</f>
        <v>1270045F00167    00</v>
      </c>
      <c r="B18583" t="s">
        <v>40361</v>
      </c>
      <c r="C18583" t="s">
        <v>40362</v>
      </c>
      <c r="D18583" t="s">
        <v>20</v>
      </c>
      <c r="E18583" t="s">
        <v>39</v>
      </c>
      <c r="F18583">
        <v>0</v>
      </c>
      <c r="G18583">
        <v>0</v>
      </c>
      <c r="H18583">
        <v>19</v>
      </c>
      <c r="I18583" s="3">
        <v>19587.43</v>
      </c>
      <c r="J18583" s="3">
        <v>17362.84</v>
      </c>
      <c r="N18583" t="s">
        <v>30</v>
      </c>
      <c r="O18583" t="s">
        <v>31</v>
      </c>
      <c r="P18583" t="str">
        <f>"15212"</f>
        <v>15212</v>
      </c>
    </row>
    <row r="18584" spans="1:16" x14ac:dyDescent="0.25">
      <c r="A18584" t="str">
        <f>"1270045F00187    00"</f>
        <v>1270045F00187    00</v>
      </c>
      <c r="B18584" t="s">
        <v>40363</v>
      </c>
      <c r="C18584" t="s">
        <v>40364</v>
      </c>
      <c r="D18584" t="s">
        <v>20</v>
      </c>
      <c r="E18584" t="s">
        <v>39</v>
      </c>
      <c r="F18584">
        <v>0</v>
      </c>
      <c r="G18584">
        <v>0</v>
      </c>
      <c r="H18584">
        <v>1</v>
      </c>
      <c r="I18584" s="3">
        <v>482.68</v>
      </c>
      <c r="J18584" s="3">
        <v>0</v>
      </c>
      <c r="L18584">
        <v>1116</v>
      </c>
      <c r="M18584" t="s">
        <v>27532</v>
      </c>
      <c r="N18584" t="s">
        <v>30</v>
      </c>
      <c r="O18584" t="s">
        <v>31</v>
      </c>
      <c r="P18584" t="str">
        <f>"15212"</f>
        <v>15212</v>
      </c>
    </row>
    <row r="18585" spans="1:16" x14ac:dyDescent="0.25">
      <c r="A18585" t="str">
        <f>"1270045F00188    00"</f>
        <v>1270045F00188    00</v>
      </c>
      <c r="B18585" t="s">
        <v>40365</v>
      </c>
      <c r="C18585" t="s">
        <v>40366</v>
      </c>
      <c r="D18585" t="s">
        <v>20</v>
      </c>
      <c r="E18585" t="s">
        <v>39</v>
      </c>
      <c r="F18585">
        <v>0</v>
      </c>
      <c r="G18585">
        <v>0</v>
      </c>
      <c r="H18585">
        <v>3</v>
      </c>
      <c r="I18585" s="3">
        <v>1125.23</v>
      </c>
      <c r="J18585" s="3">
        <v>86.84</v>
      </c>
      <c r="K18585" t="s">
        <v>417</v>
      </c>
      <c r="L18585">
        <v>3001</v>
      </c>
      <c r="M18585" t="s">
        <v>330</v>
      </c>
      <c r="N18585" t="s">
        <v>331</v>
      </c>
      <c r="O18585" t="s">
        <v>108</v>
      </c>
      <c r="P18585" t="str">
        <f>"75063"</f>
        <v>75063</v>
      </c>
    </row>
    <row r="18586" spans="1:16" x14ac:dyDescent="0.25">
      <c r="A18586" t="str">
        <f>"1270045F00265    00"</f>
        <v>1270045F00265    00</v>
      </c>
      <c r="B18586" t="s">
        <v>40367</v>
      </c>
      <c r="C18586" t="s">
        <v>40368</v>
      </c>
      <c r="D18586" t="s">
        <v>20</v>
      </c>
      <c r="E18586" t="s">
        <v>39</v>
      </c>
      <c r="F18586">
        <v>0</v>
      </c>
      <c r="G18586">
        <v>0</v>
      </c>
      <c r="H18586">
        <v>2</v>
      </c>
      <c r="I18586" s="3">
        <v>1404.34</v>
      </c>
      <c r="J18586" s="3">
        <v>209.21</v>
      </c>
      <c r="L18586">
        <v>2651</v>
      </c>
      <c r="M18586" t="s">
        <v>14371</v>
      </c>
      <c r="N18586" t="s">
        <v>30</v>
      </c>
      <c r="O18586" t="s">
        <v>31</v>
      </c>
      <c r="P18586" t="str">
        <f>"15212"</f>
        <v>15212</v>
      </c>
    </row>
    <row r="18587" spans="1:16" x14ac:dyDescent="0.25">
      <c r="A18587" t="str">
        <f>"1270045F00285    00"</f>
        <v>1270045F00285    00</v>
      </c>
      <c r="B18587" t="s">
        <v>40369</v>
      </c>
      <c r="C18587" t="s">
        <v>40370</v>
      </c>
      <c r="D18587" t="s">
        <v>20</v>
      </c>
      <c r="E18587" t="s">
        <v>39</v>
      </c>
      <c r="F18587">
        <v>0</v>
      </c>
      <c r="G18587">
        <v>0</v>
      </c>
      <c r="H18587">
        <v>2</v>
      </c>
      <c r="I18587" s="3">
        <v>1054.68</v>
      </c>
      <c r="J18587" s="3">
        <v>0</v>
      </c>
      <c r="L18587">
        <v>2625</v>
      </c>
      <c r="M18587" t="s">
        <v>13961</v>
      </c>
      <c r="N18587" t="s">
        <v>30</v>
      </c>
      <c r="O18587" t="s">
        <v>31</v>
      </c>
      <c r="P18587" t="str">
        <f>"15212"</f>
        <v>15212</v>
      </c>
    </row>
    <row r="18588" spans="1:16" x14ac:dyDescent="0.25">
      <c r="A18588" t="str">
        <f>"1270045F00302    00"</f>
        <v>1270045F00302    00</v>
      </c>
      <c r="B18588" t="s">
        <v>40371</v>
      </c>
      <c r="C18588" t="s">
        <v>36064</v>
      </c>
      <c r="D18588" t="s">
        <v>20</v>
      </c>
      <c r="E18588" t="s">
        <v>39</v>
      </c>
      <c r="F18588">
        <v>0</v>
      </c>
      <c r="G18588">
        <v>0</v>
      </c>
      <c r="H18588">
        <v>11</v>
      </c>
      <c r="I18588" s="3">
        <v>2747.31</v>
      </c>
      <c r="J18588" s="3">
        <v>2388.91</v>
      </c>
      <c r="L18588">
        <v>2927</v>
      </c>
      <c r="M18588" t="s">
        <v>40372</v>
      </c>
      <c r="N18588" t="s">
        <v>30</v>
      </c>
      <c r="O18588" t="s">
        <v>31</v>
      </c>
      <c r="P18588" t="str">
        <f>"15212"</f>
        <v>15212</v>
      </c>
    </row>
    <row r="18589" spans="1:16" x14ac:dyDescent="0.25">
      <c r="A18589" t="str">
        <f>"1270045J00023    00"</f>
        <v>1270045J00023    00</v>
      </c>
      <c r="B18589" t="s">
        <v>40373</v>
      </c>
      <c r="C18589" t="s">
        <v>40374</v>
      </c>
      <c r="E18589" t="s">
        <v>39</v>
      </c>
      <c r="F18589">
        <v>0</v>
      </c>
      <c r="G18589">
        <v>0</v>
      </c>
      <c r="H18589">
        <v>1</v>
      </c>
      <c r="I18589" s="3">
        <v>618.9</v>
      </c>
      <c r="J18589" s="3">
        <v>428.06</v>
      </c>
      <c r="K18589" t="s">
        <v>40375</v>
      </c>
      <c r="L18589">
        <v>1514</v>
      </c>
      <c r="M18589" t="s">
        <v>19127</v>
      </c>
      <c r="N18589" t="s">
        <v>30</v>
      </c>
      <c r="O18589" t="s">
        <v>31</v>
      </c>
      <c r="P18589" t="str">
        <f>"15212"</f>
        <v>15212</v>
      </c>
    </row>
    <row r="18590" spans="1:16" x14ac:dyDescent="0.25">
      <c r="A18590" t="str">
        <f>"1270045J00024    00"</f>
        <v>1270045J00024    00</v>
      </c>
      <c r="B18590" t="s">
        <v>3296</v>
      </c>
      <c r="C18590" t="s">
        <v>40376</v>
      </c>
      <c r="E18590" t="s">
        <v>39</v>
      </c>
      <c r="F18590">
        <v>0</v>
      </c>
      <c r="G18590">
        <v>0</v>
      </c>
      <c r="H18590">
        <v>1</v>
      </c>
      <c r="I18590" s="3">
        <v>20</v>
      </c>
      <c r="J18590" s="3">
        <v>6</v>
      </c>
      <c r="K18590" t="s">
        <v>40377</v>
      </c>
      <c r="M18590" t="s">
        <v>40378</v>
      </c>
      <c r="N18590" t="s">
        <v>30</v>
      </c>
      <c r="O18590" t="s">
        <v>31</v>
      </c>
      <c r="P18590" t="str">
        <f>"15233"</f>
        <v>15233</v>
      </c>
    </row>
    <row r="18591" spans="1:16" x14ac:dyDescent="0.25">
      <c r="A18591" t="str">
        <f>"1270045J00036    00"</f>
        <v>1270045J00036    00</v>
      </c>
      <c r="B18591" t="s">
        <v>39616</v>
      </c>
      <c r="C18591" t="s">
        <v>40379</v>
      </c>
      <c r="D18591" t="s">
        <v>20</v>
      </c>
      <c r="E18591" t="s">
        <v>21</v>
      </c>
      <c r="F18591">
        <v>0</v>
      </c>
      <c r="G18591">
        <v>0</v>
      </c>
      <c r="H18591">
        <v>5</v>
      </c>
      <c r="I18591" s="3">
        <v>8539.09</v>
      </c>
      <c r="J18591" s="3">
        <v>1627.45</v>
      </c>
      <c r="L18591">
        <v>600</v>
      </c>
      <c r="M18591" t="s">
        <v>40380</v>
      </c>
      <c r="N18591" t="s">
        <v>30</v>
      </c>
      <c r="O18591" t="s">
        <v>31</v>
      </c>
      <c r="P18591" t="str">
        <f>"15219"</f>
        <v>15219</v>
      </c>
    </row>
    <row r="18592" spans="1:16" x14ac:dyDescent="0.25">
      <c r="A18592" t="str">
        <f>"1270045J00090    00"</f>
        <v>1270045J00090    00</v>
      </c>
      <c r="B18592" t="s">
        <v>40381</v>
      </c>
      <c r="C18592" t="s">
        <v>40382</v>
      </c>
      <c r="D18592" t="s">
        <v>20</v>
      </c>
      <c r="E18592" t="s">
        <v>39</v>
      </c>
      <c r="F18592">
        <v>0</v>
      </c>
      <c r="G18592">
        <v>0</v>
      </c>
      <c r="H18592">
        <v>3</v>
      </c>
      <c r="I18592" s="3">
        <v>261.19</v>
      </c>
      <c r="J18592" s="3">
        <v>0</v>
      </c>
      <c r="K18592" t="s">
        <v>40383</v>
      </c>
      <c r="L18592">
        <v>2020</v>
      </c>
      <c r="M18592" t="s">
        <v>24535</v>
      </c>
      <c r="N18592" t="s">
        <v>30</v>
      </c>
      <c r="O18592" t="s">
        <v>31</v>
      </c>
      <c r="P18592" t="str">
        <f>"15203"</f>
        <v>15203</v>
      </c>
    </row>
    <row r="18593" spans="1:16" x14ac:dyDescent="0.25">
      <c r="A18593" t="str">
        <f>"1270045J00091    00"</f>
        <v>1270045J00091    00</v>
      </c>
      <c r="B18593" t="s">
        <v>40381</v>
      </c>
      <c r="C18593" t="s">
        <v>40384</v>
      </c>
      <c r="E18593" t="s">
        <v>39</v>
      </c>
      <c r="F18593">
        <v>0</v>
      </c>
      <c r="G18593">
        <v>0</v>
      </c>
      <c r="H18593">
        <v>1</v>
      </c>
      <c r="I18593" s="3">
        <v>455.1</v>
      </c>
      <c r="J18593" s="3">
        <v>0</v>
      </c>
      <c r="K18593" t="s">
        <v>40383</v>
      </c>
      <c r="L18593">
        <v>8031</v>
      </c>
      <c r="M18593" t="s">
        <v>40385</v>
      </c>
      <c r="N18593" t="s">
        <v>28762</v>
      </c>
      <c r="O18593" t="s">
        <v>370</v>
      </c>
      <c r="P18593" t="str">
        <f>"33076"</f>
        <v>33076</v>
      </c>
    </row>
    <row r="18594" spans="1:16" x14ac:dyDescent="0.25">
      <c r="A18594" t="str">
        <f>"1270045J00106    00"</f>
        <v>1270045J00106    00</v>
      </c>
      <c r="B18594" t="s">
        <v>31747</v>
      </c>
      <c r="C18594" t="s">
        <v>40386</v>
      </c>
      <c r="D18594" t="s">
        <v>20</v>
      </c>
      <c r="E18594" t="s">
        <v>39</v>
      </c>
      <c r="F18594">
        <v>0</v>
      </c>
      <c r="G18594">
        <v>0</v>
      </c>
      <c r="H18594">
        <v>2</v>
      </c>
      <c r="I18594" s="3">
        <v>1376.16</v>
      </c>
      <c r="J18594" s="3">
        <v>0</v>
      </c>
      <c r="L18594">
        <v>8615</v>
      </c>
      <c r="M18594" t="s">
        <v>31749</v>
      </c>
      <c r="N18594" t="s">
        <v>31750</v>
      </c>
      <c r="O18594" t="s">
        <v>495</v>
      </c>
      <c r="P18594" t="str">
        <f>"92037"</f>
        <v>92037</v>
      </c>
    </row>
    <row r="18595" spans="1:16" x14ac:dyDescent="0.25">
      <c r="A18595" t="str">
        <f>"1270045J00149B   00"</f>
        <v>1270045J00149B   00</v>
      </c>
      <c r="B18595" t="s">
        <v>40387</v>
      </c>
      <c r="C18595" t="s">
        <v>40388</v>
      </c>
      <c r="D18595" t="s">
        <v>20</v>
      </c>
      <c r="E18595" t="s">
        <v>39</v>
      </c>
      <c r="F18595">
        <v>0</v>
      </c>
      <c r="G18595">
        <v>0</v>
      </c>
      <c r="H18595">
        <v>2</v>
      </c>
      <c r="I18595" s="3">
        <v>880.71</v>
      </c>
      <c r="J18595" s="3">
        <v>0</v>
      </c>
      <c r="L18595">
        <v>131</v>
      </c>
      <c r="M18595" t="s">
        <v>39364</v>
      </c>
      <c r="N18595" t="s">
        <v>30</v>
      </c>
      <c r="O18595" t="s">
        <v>31</v>
      </c>
      <c r="P18595" t="str">
        <f>"15212"</f>
        <v>15212</v>
      </c>
    </row>
    <row r="18596" spans="1:16" x14ac:dyDescent="0.25">
      <c r="A18596" t="str">
        <f>"1270045J00154    00"</f>
        <v>1270045J00154    00</v>
      </c>
      <c r="B18596" t="s">
        <v>40389</v>
      </c>
      <c r="C18596" t="s">
        <v>40390</v>
      </c>
      <c r="D18596" t="s">
        <v>20</v>
      </c>
      <c r="E18596" t="s">
        <v>39</v>
      </c>
      <c r="F18596">
        <v>0</v>
      </c>
      <c r="G18596">
        <v>0</v>
      </c>
      <c r="H18596">
        <v>6</v>
      </c>
      <c r="I18596" s="3">
        <v>3326.87</v>
      </c>
      <c r="J18596" s="3">
        <v>602.53</v>
      </c>
      <c r="K18596" t="s">
        <v>40391</v>
      </c>
      <c r="L18596">
        <v>322</v>
      </c>
      <c r="M18596" t="s">
        <v>40392</v>
      </c>
      <c r="N18596" t="s">
        <v>295</v>
      </c>
      <c r="O18596" t="s">
        <v>31</v>
      </c>
      <c r="P18596" t="str">
        <f>"15146"</f>
        <v>15146</v>
      </c>
    </row>
    <row r="18597" spans="1:16" x14ac:dyDescent="0.25">
      <c r="A18597" t="str">
        <f>"1270045J00168    00"</f>
        <v>1270045J00168    00</v>
      </c>
      <c r="B18597" t="s">
        <v>40393</v>
      </c>
      <c r="C18597" t="s">
        <v>40394</v>
      </c>
      <c r="E18597" t="s">
        <v>39</v>
      </c>
      <c r="F18597">
        <v>0</v>
      </c>
      <c r="G18597">
        <v>0</v>
      </c>
      <c r="H18597">
        <v>1</v>
      </c>
      <c r="I18597" s="3">
        <v>1153.75</v>
      </c>
      <c r="J18597" s="3">
        <v>317.27</v>
      </c>
      <c r="L18597">
        <v>1309</v>
      </c>
      <c r="M18597" t="s">
        <v>40395</v>
      </c>
      <c r="N18597" t="s">
        <v>30</v>
      </c>
      <c r="O18597" t="s">
        <v>31</v>
      </c>
      <c r="P18597" t="str">
        <f>"15212"</f>
        <v>15212</v>
      </c>
    </row>
    <row r="18598" spans="1:16" x14ac:dyDescent="0.25">
      <c r="A18598" t="str">
        <f>"1270045J00184    00"</f>
        <v>1270045J00184    00</v>
      </c>
      <c r="B18598" t="s">
        <v>40396</v>
      </c>
      <c r="C18598" t="s">
        <v>40397</v>
      </c>
      <c r="E18598" t="s">
        <v>39</v>
      </c>
      <c r="F18598">
        <v>0</v>
      </c>
      <c r="G18598">
        <v>0</v>
      </c>
      <c r="H18598">
        <v>1</v>
      </c>
      <c r="I18598" s="3">
        <v>29.82</v>
      </c>
      <c r="J18598" s="3">
        <v>0.25</v>
      </c>
      <c r="L18598">
        <v>2470</v>
      </c>
      <c r="M18598" t="s">
        <v>40398</v>
      </c>
      <c r="N18598" t="s">
        <v>30</v>
      </c>
      <c r="O18598" t="s">
        <v>31</v>
      </c>
      <c r="P18598" t="str">
        <f>"15212"</f>
        <v>15212</v>
      </c>
    </row>
    <row r="18599" spans="1:16" x14ac:dyDescent="0.25">
      <c r="A18599" t="str">
        <f>"1270045J00187    00"</f>
        <v>1270045J00187    00</v>
      </c>
      <c r="B18599" t="s">
        <v>40399</v>
      </c>
      <c r="C18599" t="s">
        <v>40400</v>
      </c>
      <c r="D18599" t="s">
        <v>20</v>
      </c>
      <c r="E18599" t="s">
        <v>39</v>
      </c>
      <c r="F18599">
        <v>0</v>
      </c>
      <c r="G18599">
        <v>0</v>
      </c>
      <c r="H18599">
        <v>4</v>
      </c>
      <c r="I18599" s="3">
        <v>982.51</v>
      </c>
      <c r="J18599" s="3">
        <v>51.07</v>
      </c>
      <c r="K18599" t="s">
        <v>40401</v>
      </c>
      <c r="L18599">
        <v>2476</v>
      </c>
      <c r="M18599" t="s">
        <v>40402</v>
      </c>
      <c r="N18599" t="s">
        <v>30</v>
      </c>
      <c r="O18599" t="s">
        <v>31</v>
      </c>
      <c r="P18599" t="str">
        <f>"15212"</f>
        <v>15212</v>
      </c>
    </row>
    <row r="18600" spans="1:16" x14ac:dyDescent="0.25">
      <c r="A18600" t="str">
        <f>"1270045J00201    00"</f>
        <v>1270045J00201    00</v>
      </c>
      <c r="B18600" t="s">
        <v>40396</v>
      </c>
      <c r="C18600" t="s">
        <v>40403</v>
      </c>
      <c r="E18600" t="s">
        <v>39</v>
      </c>
      <c r="F18600">
        <v>0</v>
      </c>
      <c r="G18600">
        <v>0</v>
      </c>
      <c r="H18600">
        <v>9</v>
      </c>
      <c r="I18600" s="3">
        <v>812.76</v>
      </c>
      <c r="J18600" s="3">
        <v>429.35</v>
      </c>
      <c r="L18600">
        <v>2470</v>
      </c>
      <c r="M18600" t="s">
        <v>40402</v>
      </c>
      <c r="N18600" t="s">
        <v>30</v>
      </c>
      <c r="O18600" t="s">
        <v>31</v>
      </c>
      <c r="P18600" t="str">
        <f>"15212"</f>
        <v>15212</v>
      </c>
    </row>
    <row r="18601" spans="1:16" x14ac:dyDescent="0.25">
      <c r="A18601" t="str">
        <f>"1270045J00207    00"</f>
        <v>1270045J00207    00</v>
      </c>
      <c r="B18601" t="s">
        <v>40404</v>
      </c>
      <c r="C18601" t="s">
        <v>40405</v>
      </c>
      <c r="E18601" t="s">
        <v>39</v>
      </c>
      <c r="F18601">
        <v>0</v>
      </c>
      <c r="G18601">
        <v>0</v>
      </c>
      <c r="H18601">
        <v>1</v>
      </c>
      <c r="I18601" s="3">
        <v>646.66</v>
      </c>
      <c r="J18601" s="3">
        <v>0</v>
      </c>
      <c r="K18601" t="s">
        <v>557</v>
      </c>
      <c r="L18601">
        <v>3001</v>
      </c>
      <c r="M18601" t="s">
        <v>330</v>
      </c>
      <c r="N18601" t="s">
        <v>331</v>
      </c>
      <c r="O18601" t="s">
        <v>108</v>
      </c>
      <c r="P18601" t="str">
        <f>"75063"</f>
        <v>75063</v>
      </c>
    </row>
    <row r="18602" spans="1:16" x14ac:dyDescent="0.25">
      <c r="A18602" t="str">
        <f>"1270045J00210    00"</f>
        <v>1270045J00210    00</v>
      </c>
      <c r="B18602" t="s">
        <v>40406</v>
      </c>
      <c r="C18602" t="s">
        <v>40407</v>
      </c>
      <c r="D18602" t="s">
        <v>20</v>
      </c>
      <c r="E18602" t="s">
        <v>39</v>
      </c>
      <c r="F18602">
        <v>0</v>
      </c>
      <c r="G18602">
        <v>0</v>
      </c>
      <c r="H18602">
        <v>2</v>
      </c>
      <c r="I18602" s="3">
        <v>603.55999999999995</v>
      </c>
      <c r="J18602" s="3">
        <v>0</v>
      </c>
      <c r="K18602" t="s">
        <v>40408</v>
      </c>
      <c r="L18602">
        <v>1324</v>
      </c>
      <c r="M18602" t="s">
        <v>40395</v>
      </c>
      <c r="N18602" t="s">
        <v>30</v>
      </c>
      <c r="O18602" t="s">
        <v>31</v>
      </c>
      <c r="P18602" t="str">
        <f>"15212"</f>
        <v>15212</v>
      </c>
    </row>
    <row r="18603" spans="1:16" x14ac:dyDescent="0.25">
      <c r="A18603" t="str">
        <f>"1270045J00216    00"</f>
        <v>1270045J00216    00</v>
      </c>
      <c r="B18603" t="s">
        <v>40409</v>
      </c>
      <c r="C18603" t="s">
        <v>40410</v>
      </c>
      <c r="D18603" t="s">
        <v>20</v>
      </c>
      <c r="E18603" t="s">
        <v>39</v>
      </c>
      <c r="F18603">
        <v>0</v>
      </c>
      <c r="G18603">
        <v>0</v>
      </c>
      <c r="H18603">
        <v>3</v>
      </c>
      <c r="I18603" s="3">
        <v>3049.46</v>
      </c>
      <c r="J18603" s="3">
        <v>144.9</v>
      </c>
      <c r="L18603">
        <v>1306</v>
      </c>
      <c r="M18603" t="s">
        <v>40395</v>
      </c>
      <c r="N18603" t="s">
        <v>30</v>
      </c>
      <c r="O18603" t="s">
        <v>31</v>
      </c>
      <c r="P18603" t="str">
        <f>"15212"</f>
        <v>15212</v>
      </c>
    </row>
    <row r="18604" spans="1:16" x14ac:dyDescent="0.25">
      <c r="A18604" t="str">
        <f>"1270045J00237    00"</f>
        <v>1270045J00237    00</v>
      </c>
      <c r="B18604" t="s">
        <v>40411</v>
      </c>
      <c r="C18604" t="s">
        <v>40412</v>
      </c>
      <c r="E18604" t="s">
        <v>39</v>
      </c>
      <c r="F18604">
        <v>0</v>
      </c>
      <c r="G18604">
        <v>0</v>
      </c>
      <c r="H18604">
        <v>1</v>
      </c>
      <c r="I18604" s="3">
        <v>477.5</v>
      </c>
      <c r="J18604" s="3">
        <v>0</v>
      </c>
      <c r="K18604" t="s">
        <v>27531</v>
      </c>
      <c r="L18604">
        <v>1313</v>
      </c>
      <c r="M18604" t="s">
        <v>27532</v>
      </c>
      <c r="N18604" t="s">
        <v>30</v>
      </c>
      <c r="O18604" t="s">
        <v>31</v>
      </c>
      <c r="P18604" t="str">
        <f>"15212"</f>
        <v>15212</v>
      </c>
    </row>
    <row r="18605" spans="1:16" x14ac:dyDescent="0.25">
      <c r="A18605" t="str">
        <f>"1270045J00249    00"</f>
        <v>1270045J00249    00</v>
      </c>
      <c r="B18605" t="s">
        <v>40413</v>
      </c>
      <c r="C18605" t="s">
        <v>40414</v>
      </c>
      <c r="D18605" t="s">
        <v>20</v>
      </c>
      <c r="E18605" t="s">
        <v>39</v>
      </c>
      <c r="F18605">
        <v>0</v>
      </c>
      <c r="G18605">
        <v>0</v>
      </c>
      <c r="H18605">
        <v>2</v>
      </c>
      <c r="I18605" s="3">
        <v>1006.42</v>
      </c>
      <c r="J18605" s="3">
        <v>0</v>
      </c>
      <c r="K18605" t="s">
        <v>40415</v>
      </c>
      <c r="L18605">
        <v>2616</v>
      </c>
      <c r="M18605" t="s">
        <v>40416</v>
      </c>
      <c r="N18605" t="s">
        <v>4150</v>
      </c>
      <c r="O18605" t="s">
        <v>31</v>
      </c>
      <c r="P18605" t="str">
        <f>"15116"</f>
        <v>15116</v>
      </c>
    </row>
    <row r="18606" spans="1:16" x14ac:dyDescent="0.25">
      <c r="A18606" t="str">
        <f>"1270045J00266    00"</f>
        <v>1270045J00266    00</v>
      </c>
      <c r="B18606" t="s">
        <v>40417</v>
      </c>
      <c r="C18606" t="s">
        <v>40418</v>
      </c>
      <c r="D18606" t="s">
        <v>20</v>
      </c>
      <c r="E18606" t="s">
        <v>39</v>
      </c>
      <c r="F18606">
        <v>0</v>
      </c>
      <c r="G18606">
        <v>0</v>
      </c>
      <c r="H18606">
        <v>4</v>
      </c>
      <c r="I18606" s="3">
        <v>2903.11</v>
      </c>
      <c r="J18606" s="3">
        <v>248.64</v>
      </c>
      <c r="L18606">
        <v>1423</v>
      </c>
      <c r="M18606" t="s">
        <v>27532</v>
      </c>
      <c r="N18606" t="s">
        <v>30</v>
      </c>
      <c r="O18606" t="s">
        <v>31</v>
      </c>
      <c r="P18606" t="str">
        <f>"15212"</f>
        <v>15212</v>
      </c>
    </row>
    <row r="18607" spans="1:16" x14ac:dyDescent="0.25">
      <c r="A18607" t="str">
        <f>"1270045J00288    00"</f>
        <v>1270045J00288    00</v>
      </c>
      <c r="B18607" t="s">
        <v>40419</v>
      </c>
      <c r="C18607" t="s">
        <v>40420</v>
      </c>
      <c r="D18607" t="s">
        <v>20</v>
      </c>
      <c r="E18607" t="s">
        <v>39</v>
      </c>
      <c r="F18607">
        <v>0</v>
      </c>
      <c r="G18607">
        <v>0</v>
      </c>
      <c r="H18607">
        <v>2</v>
      </c>
      <c r="I18607" s="3">
        <v>1627.74</v>
      </c>
      <c r="J18607" s="3">
        <v>0</v>
      </c>
      <c r="K18607" t="s">
        <v>40415</v>
      </c>
      <c r="L18607">
        <v>2616</v>
      </c>
      <c r="M18607" t="s">
        <v>40416</v>
      </c>
      <c r="N18607" t="s">
        <v>4150</v>
      </c>
      <c r="O18607" t="s">
        <v>31</v>
      </c>
      <c r="P18607" t="str">
        <f>"15116"</f>
        <v>15116</v>
      </c>
    </row>
    <row r="18608" spans="1:16" x14ac:dyDescent="0.25">
      <c r="A18608" t="str">
        <f>"1270045J00296    00"</f>
        <v>1270045J00296    00</v>
      </c>
      <c r="B18608" t="s">
        <v>40421</v>
      </c>
      <c r="C18608" t="s">
        <v>40422</v>
      </c>
      <c r="D18608" t="s">
        <v>20</v>
      </c>
      <c r="E18608" t="s">
        <v>39</v>
      </c>
      <c r="F18608">
        <v>0</v>
      </c>
      <c r="G18608">
        <v>0</v>
      </c>
      <c r="H18608">
        <v>4</v>
      </c>
      <c r="I18608" s="3">
        <v>3155.12</v>
      </c>
      <c r="J18608" s="3">
        <v>0</v>
      </c>
      <c r="K18608" t="s">
        <v>40423</v>
      </c>
      <c r="L18608">
        <v>1396</v>
      </c>
      <c r="M18608" t="s">
        <v>27532</v>
      </c>
      <c r="N18608" t="s">
        <v>30</v>
      </c>
      <c r="O18608" t="s">
        <v>31</v>
      </c>
      <c r="P18608" t="str">
        <f>"15212"</f>
        <v>15212</v>
      </c>
    </row>
    <row r="18609" spans="1:16" x14ac:dyDescent="0.25">
      <c r="A18609" t="str">
        <f>"1270045J00299    00"</f>
        <v>1270045J00299    00</v>
      </c>
      <c r="B18609" t="s">
        <v>40424</v>
      </c>
      <c r="C18609" t="s">
        <v>40425</v>
      </c>
      <c r="D18609" t="s">
        <v>20</v>
      </c>
      <c r="E18609" t="s">
        <v>39</v>
      </c>
      <c r="F18609">
        <v>0</v>
      </c>
      <c r="G18609">
        <v>0</v>
      </c>
      <c r="H18609">
        <v>2</v>
      </c>
      <c r="I18609" s="3">
        <v>190.6</v>
      </c>
      <c r="J18609" s="3">
        <v>0</v>
      </c>
      <c r="K18609" t="s">
        <v>728</v>
      </c>
      <c r="L18609">
        <v>3001</v>
      </c>
      <c r="M18609" t="s">
        <v>330</v>
      </c>
      <c r="N18609" t="s">
        <v>331</v>
      </c>
      <c r="O18609" t="s">
        <v>108</v>
      </c>
      <c r="P18609" t="str">
        <f>"75063"</f>
        <v>75063</v>
      </c>
    </row>
    <row r="18610" spans="1:16" x14ac:dyDescent="0.25">
      <c r="A18610" t="str">
        <f>"1270045J00301    00"</f>
        <v>1270045J00301    00</v>
      </c>
      <c r="B18610" t="s">
        <v>40426</v>
      </c>
      <c r="C18610" t="s">
        <v>40427</v>
      </c>
      <c r="D18610" t="s">
        <v>20</v>
      </c>
      <c r="E18610" t="s">
        <v>39</v>
      </c>
      <c r="F18610">
        <v>0</v>
      </c>
      <c r="G18610">
        <v>0</v>
      </c>
      <c r="H18610">
        <v>2</v>
      </c>
      <c r="I18610" s="3">
        <v>2044.42</v>
      </c>
      <c r="J18610" s="3">
        <v>0</v>
      </c>
      <c r="L18610">
        <v>1316</v>
      </c>
      <c r="M18610" t="s">
        <v>27532</v>
      </c>
      <c r="N18610" t="s">
        <v>30</v>
      </c>
      <c r="O18610" t="s">
        <v>31</v>
      </c>
      <c r="P18610" t="str">
        <f>"15212"</f>
        <v>15212</v>
      </c>
    </row>
    <row r="18611" spans="1:16" x14ac:dyDescent="0.25">
      <c r="A18611" t="str">
        <f>"1270045K00002    00"</f>
        <v>1270045K00002    00</v>
      </c>
      <c r="B18611" t="s">
        <v>40428</v>
      </c>
      <c r="C18611" t="s">
        <v>40429</v>
      </c>
      <c r="D18611" t="s">
        <v>20</v>
      </c>
      <c r="E18611" t="s">
        <v>39</v>
      </c>
      <c r="F18611">
        <v>0</v>
      </c>
      <c r="G18611">
        <v>0</v>
      </c>
      <c r="H18611">
        <v>1</v>
      </c>
      <c r="I18611" s="3">
        <v>1142.18</v>
      </c>
      <c r="J18611" s="3">
        <v>0</v>
      </c>
      <c r="L18611">
        <v>1251</v>
      </c>
      <c r="M18611" t="s">
        <v>27532</v>
      </c>
      <c r="N18611" t="s">
        <v>30</v>
      </c>
      <c r="O18611" t="s">
        <v>31</v>
      </c>
      <c r="P18611" t="str">
        <f>"15212"</f>
        <v>15212</v>
      </c>
    </row>
    <row r="18612" spans="1:16" x14ac:dyDescent="0.25">
      <c r="A18612" t="str">
        <f>"1270045K00007    00"</f>
        <v>1270045K00007    00</v>
      </c>
      <c r="B18612" t="s">
        <v>40430</v>
      </c>
      <c r="C18612" t="s">
        <v>40431</v>
      </c>
      <c r="E18612" t="s">
        <v>39</v>
      </c>
      <c r="F18612">
        <v>0</v>
      </c>
      <c r="G18612">
        <v>0</v>
      </c>
      <c r="H18612">
        <v>1</v>
      </c>
      <c r="I18612" s="3">
        <v>827.69</v>
      </c>
      <c r="J18612" s="3">
        <v>496.59</v>
      </c>
      <c r="L18612">
        <v>1231</v>
      </c>
      <c r="M18612" t="s">
        <v>27532</v>
      </c>
      <c r="N18612" t="s">
        <v>30</v>
      </c>
      <c r="O18612" t="s">
        <v>31</v>
      </c>
      <c r="P18612" t="str">
        <f>"15212"</f>
        <v>15212</v>
      </c>
    </row>
    <row r="18613" spans="1:16" x14ac:dyDescent="0.25">
      <c r="A18613" t="str">
        <f>"1270045K00021    00"</f>
        <v>1270045K00021    00</v>
      </c>
      <c r="B18613" t="s">
        <v>4108</v>
      </c>
      <c r="C18613" t="s">
        <v>40432</v>
      </c>
      <c r="D18613" t="s">
        <v>20</v>
      </c>
      <c r="E18613" t="s">
        <v>39</v>
      </c>
      <c r="F18613">
        <v>0</v>
      </c>
      <c r="G18613">
        <v>0</v>
      </c>
      <c r="H18613">
        <v>2</v>
      </c>
      <c r="I18613" s="3">
        <v>929.01</v>
      </c>
      <c r="J18613" s="3">
        <v>0</v>
      </c>
      <c r="L18613">
        <v>4735</v>
      </c>
      <c r="M18613" t="s">
        <v>841</v>
      </c>
      <c r="N18613" t="s">
        <v>30</v>
      </c>
      <c r="O18613" t="s">
        <v>31</v>
      </c>
      <c r="P18613" t="str">
        <f>"15201"</f>
        <v>15201</v>
      </c>
    </row>
    <row r="18614" spans="1:16" x14ac:dyDescent="0.25">
      <c r="A18614" t="str">
        <f>"1270045K00024    00"</f>
        <v>1270045K00024    00</v>
      </c>
      <c r="B18614" t="s">
        <v>40433</v>
      </c>
      <c r="C18614" t="s">
        <v>40434</v>
      </c>
      <c r="D18614" t="s">
        <v>20</v>
      </c>
      <c r="E18614" t="s">
        <v>39</v>
      </c>
      <c r="F18614">
        <v>0</v>
      </c>
      <c r="G18614">
        <v>0</v>
      </c>
      <c r="H18614">
        <v>2</v>
      </c>
      <c r="I18614" s="3">
        <v>1158.08</v>
      </c>
      <c r="J18614" s="3">
        <v>0</v>
      </c>
      <c r="L18614">
        <v>1116</v>
      </c>
      <c r="M18614" t="s">
        <v>40395</v>
      </c>
      <c r="N18614" t="s">
        <v>30</v>
      </c>
      <c r="O18614" t="s">
        <v>31</v>
      </c>
      <c r="P18614" t="str">
        <f>"15212"</f>
        <v>15212</v>
      </c>
    </row>
    <row r="18615" spans="1:16" x14ac:dyDescent="0.25">
      <c r="A18615" t="str">
        <f>"1270045K00026    00"</f>
        <v>1270045K00026    00</v>
      </c>
      <c r="B18615" t="s">
        <v>40435</v>
      </c>
      <c r="C18615" t="s">
        <v>40436</v>
      </c>
      <c r="D18615" t="s">
        <v>20</v>
      </c>
      <c r="E18615" t="s">
        <v>39</v>
      </c>
      <c r="F18615">
        <v>0</v>
      </c>
      <c r="G18615">
        <v>0</v>
      </c>
      <c r="H18615">
        <v>2</v>
      </c>
      <c r="I18615" s="3">
        <v>2450.35</v>
      </c>
      <c r="J18615" s="3">
        <v>0</v>
      </c>
      <c r="K18615" t="s">
        <v>40437</v>
      </c>
      <c r="L18615">
        <v>17</v>
      </c>
      <c r="M18615" t="s">
        <v>13274</v>
      </c>
      <c r="N18615" t="s">
        <v>30</v>
      </c>
      <c r="O18615" t="s">
        <v>31</v>
      </c>
      <c r="P18615" t="str">
        <f>"15223"</f>
        <v>15223</v>
      </c>
    </row>
    <row r="18616" spans="1:16" x14ac:dyDescent="0.25">
      <c r="A18616" t="str">
        <f>"1270045K00051    00"</f>
        <v>1270045K00051    00</v>
      </c>
      <c r="B18616" t="s">
        <v>40438</v>
      </c>
      <c r="C18616" t="s">
        <v>40439</v>
      </c>
      <c r="E18616" t="s">
        <v>39</v>
      </c>
      <c r="F18616">
        <v>0</v>
      </c>
      <c r="G18616">
        <v>0</v>
      </c>
      <c r="H18616">
        <v>1</v>
      </c>
      <c r="I18616" s="3">
        <v>126.44</v>
      </c>
      <c r="J18616" s="3">
        <v>0</v>
      </c>
      <c r="L18616">
        <v>1261</v>
      </c>
      <c r="M18616" t="s">
        <v>40395</v>
      </c>
      <c r="N18616" t="s">
        <v>30</v>
      </c>
      <c r="O18616" t="s">
        <v>31</v>
      </c>
      <c r="P18616" t="str">
        <f>"15212"</f>
        <v>15212</v>
      </c>
    </row>
    <row r="18617" spans="1:16" x14ac:dyDescent="0.25">
      <c r="A18617" t="str">
        <f>"1270045K00074    00"</f>
        <v>1270045K00074    00</v>
      </c>
      <c r="B18617" t="s">
        <v>40440</v>
      </c>
      <c r="C18617" t="s">
        <v>40441</v>
      </c>
      <c r="D18617" t="s">
        <v>20</v>
      </c>
      <c r="E18617" t="s">
        <v>39</v>
      </c>
      <c r="F18617">
        <v>0</v>
      </c>
      <c r="G18617">
        <v>0</v>
      </c>
      <c r="H18617">
        <v>15</v>
      </c>
      <c r="I18617" s="3">
        <v>13260.03</v>
      </c>
      <c r="J18617" s="3">
        <v>9057</v>
      </c>
      <c r="L18617">
        <v>1155</v>
      </c>
      <c r="M18617" t="s">
        <v>40442</v>
      </c>
      <c r="N18617" t="s">
        <v>30</v>
      </c>
      <c r="O18617" t="s">
        <v>31</v>
      </c>
      <c r="P18617" t="str">
        <f>"15212"</f>
        <v>15212</v>
      </c>
    </row>
    <row r="18618" spans="1:16" x14ac:dyDescent="0.25">
      <c r="A18618" t="str">
        <f>"1270045K00084    00"</f>
        <v>1270045K00084    00</v>
      </c>
      <c r="B18618" t="s">
        <v>40443</v>
      </c>
      <c r="C18618" t="s">
        <v>40444</v>
      </c>
      <c r="D18618" t="s">
        <v>20</v>
      </c>
      <c r="E18618" t="s">
        <v>39</v>
      </c>
      <c r="F18618">
        <v>0</v>
      </c>
      <c r="G18618">
        <v>0</v>
      </c>
      <c r="H18618">
        <v>9</v>
      </c>
      <c r="I18618" s="3">
        <v>23.6</v>
      </c>
      <c r="J18618" s="3">
        <v>29.88</v>
      </c>
      <c r="L18618">
        <v>480</v>
      </c>
      <c r="M18618" t="s">
        <v>40445</v>
      </c>
      <c r="N18618" t="s">
        <v>40446</v>
      </c>
      <c r="O18618" t="s">
        <v>31</v>
      </c>
      <c r="P18618" t="str">
        <f>"16428"</f>
        <v>16428</v>
      </c>
    </row>
    <row r="18619" spans="1:16" x14ac:dyDescent="0.25">
      <c r="A18619" t="str">
        <f>"1270045K00152    00"</f>
        <v>1270045K00152    00</v>
      </c>
      <c r="B18619" t="s">
        <v>40447</v>
      </c>
      <c r="C18619" t="s">
        <v>40448</v>
      </c>
      <c r="D18619" t="s">
        <v>20</v>
      </c>
      <c r="E18619" t="s">
        <v>39</v>
      </c>
      <c r="F18619">
        <v>0</v>
      </c>
      <c r="G18619">
        <v>0</v>
      </c>
      <c r="H18619">
        <v>3</v>
      </c>
      <c r="I18619" s="3">
        <v>1011.24</v>
      </c>
      <c r="J18619" s="3">
        <v>73.53</v>
      </c>
      <c r="K18619" t="s">
        <v>40449</v>
      </c>
      <c r="L18619">
        <v>1165</v>
      </c>
      <c r="M18619" t="s">
        <v>40450</v>
      </c>
      <c r="N18619" t="s">
        <v>30</v>
      </c>
      <c r="O18619" t="s">
        <v>31</v>
      </c>
      <c r="P18619" t="str">
        <f>"15212"</f>
        <v>15212</v>
      </c>
    </row>
    <row r="18620" spans="1:16" x14ac:dyDescent="0.25">
      <c r="A18620" t="str">
        <f>"1270045K00161    00"</f>
        <v>1270045K00161    00</v>
      </c>
      <c r="B18620" t="s">
        <v>40451</v>
      </c>
      <c r="C18620" t="s">
        <v>40452</v>
      </c>
      <c r="E18620" t="s">
        <v>39</v>
      </c>
      <c r="F18620">
        <v>0</v>
      </c>
      <c r="G18620">
        <v>0</v>
      </c>
      <c r="H18620">
        <v>1</v>
      </c>
      <c r="I18620" s="3">
        <v>795.4</v>
      </c>
      <c r="J18620" s="3">
        <v>0</v>
      </c>
      <c r="L18620">
        <v>3441</v>
      </c>
      <c r="M18620" t="s">
        <v>40453</v>
      </c>
      <c r="N18620" t="s">
        <v>30</v>
      </c>
      <c r="O18620" t="s">
        <v>31</v>
      </c>
      <c r="P18620" t="str">
        <f>"15205"</f>
        <v>15205</v>
      </c>
    </row>
    <row r="18621" spans="1:16" x14ac:dyDescent="0.25">
      <c r="A18621" t="str">
        <f>"1270045K00163    00"</f>
        <v>1270045K00163    00</v>
      </c>
      <c r="B18621" t="s">
        <v>40451</v>
      </c>
      <c r="C18621" t="s">
        <v>40454</v>
      </c>
      <c r="E18621" t="s">
        <v>39</v>
      </c>
      <c r="F18621">
        <v>0</v>
      </c>
      <c r="G18621">
        <v>0</v>
      </c>
      <c r="H18621">
        <v>1</v>
      </c>
      <c r="I18621" s="3">
        <v>55.28</v>
      </c>
      <c r="J18621" s="3">
        <v>0</v>
      </c>
      <c r="L18621">
        <v>3441</v>
      </c>
      <c r="M18621" t="s">
        <v>40453</v>
      </c>
      <c r="N18621" t="s">
        <v>30</v>
      </c>
      <c r="O18621" t="s">
        <v>31</v>
      </c>
      <c r="P18621" t="str">
        <f>"15205"</f>
        <v>15205</v>
      </c>
    </row>
    <row r="18622" spans="1:16" x14ac:dyDescent="0.25">
      <c r="A18622" t="str">
        <f>"1270045K00171    00"</f>
        <v>1270045K00171    00</v>
      </c>
      <c r="B18622" t="s">
        <v>40455</v>
      </c>
      <c r="C18622" t="s">
        <v>40456</v>
      </c>
      <c r="D18622" t="s">
        <v>20</v>
      </c>
      <c r="E18622" t="s">
        <v>39</v>
      </c>
      <c r="F18622">
        <v>0</v>
      </c>
      <c r="G18622">
        <v>0</v>
      </c>
      <c r="H18622">
        <v>2</v>
      </c>
      <c r="I18622" s="3">
        <v>864.13</v>
      </c>
      <c r="J18622" s="3">
        <v>129.34</v>
      </c>
      <c r="L18622">
        <v>1134</v>
      </c>
      <c r="M18622" t="s">
        <v>4167</v>
      </c>
      <c r="N18622" t="s">
        <v>30</v>
      </c>
      <c r="O18622" t="s">
        <v>31</v>
      </c>
      <c r="P18622" t="str">
        <f>"15212"</f>
        <v>15212</v>
      </c>
    </row>
    <row r="18623" spans="1:16" x14ac:dyDescent="0.25">
      <c r="A18623" t="str">
        <f>"1270045K00206    00"</f>
        <v>1270045K00206    00</v>
      </c>
      <c r="B18623" t="s">
        <v>40457</v>
      </c>
      <c r="C18623" t="s">
        <v>40458</v>
      </c>
      <c r="D18623" t="s">
        <v>20</v>
      </c>
      <c r="E18623" t="s">
        <v>39</v>
      </c>
      <c r="F18623">
        <v>0</v>
      </c>
      <c r="G18623">
        <v>0</v>
      </c>
      <c r="H18623">
        <v>5</v>
      </c>
      <c r="I18623" s="3">
        <v>5538.97</v>
      </c>
      <c r="J18623" s="3">
        <v>956.93</v>
      </c>
      <c r="L18623">
        <v>305</v>
      </c>
      <c r="M18623" t="s">
        <v>40459</v>
      </c>
      <c r="N18623" t="s">
        <v>17496</v>
      </c>
      <c r="O18623" t="s">
        <v>423</v>
      </c>
      <c r="P18623" t="str">
        <f>"08205"</f>
        <v>08205</v>
      </c>
    </row>
    <row r="18624" spans="1:16" x14ac:dyDescent="0.25">
      <c r="A18624" t="str">
        <f>"1270045K00211    00"</f>
        <v>1270045K00211    00</v>
      </c>
      <c r="B18624" t="s">
        <v>40460</v>
      </c>
      <c r="C18624" t="s">
        <v>40461</v>
      </c>
      <c r="D18624" t="s">
        <v>20</v>
      </c>
      <c r="E18624" t="s">
        <v>39</v>
      </c>
      <c r="F18624">
        <v>0</v>
      </c>
      <c r="G18624">
        <v>0</v>
      </c>
      <c r="H18624">
        <v>2</v>
      </c>
      <c r="I18624" s="3">
        <v>2062.3000000000002</v>
      </c>
      <c r="J18624" s="3">
        <v>0</v>
      </c>
      <c r="L18624">
        <v>26</v>
      </c>
      <c r="M18624" t="s">
        <v>5024</v>
      </c>
      <c r="N18624" t="s">
        <v>12392</v>
      </c>
      <c r="O18624" t="s">
        <v>31</v>
      </c>
      <c r="P18624" t="str">
        <f>"15666"</f>
        <v>15666</v>
      </c>
    </row>
    <row r="18625" spans="1:16" x14ac:dyDescent="0.25">
      <c r="A18625" t="str">
        <f>"1270045K00218    00"</f>
        <v>1270045K00218    00</v>
      </c>
      <c r="B18625" t="s">
        <v>40462</v>
      </c>
      <c r="C18625" t="s">
        <v>40463</v>
      </c>
      <c r="D18625" t="s">
        <v>20</v>
      </c>
      <c r="E18625" t="s">
        <v>39</v>
      </c>
      <c r="F18625">
        <v>0</v>
      </c>
      <c r="G18625">
        <v>0</v>
      </c>
      <c r="H18625">
        <v>6</v>
      </c>
      <c r="I18625" s="3">
        <v>3555.44</v>
      </c>
      <c r="J18625" s="3">
        <v>791.63</v>
      </c>
      <c r="L18625">
        <v>2404</v>
      </c>
      <c r="M18625" t="s">
        <v>40464</v>
      </c>
      <c r="N18625" t="s">
        <v>30</v>
      </c>
      <c r="O18625" t="s">
        <v>31</v>
      </c>
      <c r="P18625" t="str">
        <f>"15212"</f>
        <v>15212</v>
      </c>
    </row>
    <row r="18626" spans="1:16" x14ac:dyDescent="0.25">
      <c r="A18626" t="str">
        <f>"1270045K00226    00"</f>
        <v>1270045K00226    00</v>
      </c>
      <c r="B18626" t="s">
        <v>40465</v>
      </c>
      <c r="C18626" t="s">
        <v>40466</v>
      </c>
      <c r="D18626" t="s">
        <v>20</v>
      </c>
      <c r="E18626" t="s">
        <v>39</v>
      </c>
      <c r="F18626">
        <v>0</v>
      </c>
      <c r="G18626">
        <v>0</v>
      </c>
      <c r="H18626">
        <v>2</v>
      </c>
      <c r="I18626" s="3">
        <v>2135.9</v>
      </c>
      <c r="J18626" s="3">
        <v>0</v>
      </c>
      <c r="L18626">
        <v>1125</v>
      </c>
      <c r="M18626" t="s">
        <v>3297</v>
      </c>
      <c r="N18626" t="s">
        <v>30</v>
      </c>
      <c r="O18626" t="s">
        <v>31</v>
      </c>
      <c r="P18626" t="str">
        <f>"15212"</f>
        <v>15212</v>
      </c>
    </row>
    <row r="18627" spans="1:16" x14ac:dyDescent="0.25">
      <c r="A18627" t="str">
        <f>"1270045K00234    00"</f>
        <v>1270045K00234    00</v>
      </c>
      <c r="B18627" t="s">
        <v>40467</v>
      </c>
      <c r="C18627" t="s">
        <v>40468</v>
      </c>
      <c r="D18627" t="s">
        <v>20</v>
      </c>
      <c r="E18627" t="s">
        <v>39</v>
      </c>
      <c r="F18627">
        <v>0</v>
      </c>
      <c r="G18627">
        <v>0</v>
      </c>
      <c r="H18627">
        <v>5</v>
      </c>
      <c r="I18627" s="3">
        <v>6339.72</v>
      </c>
      <c r="J18627" s="3">
        <v>1095.28</v>
      </c>
      <c r="K18627" t="s">
        <v>9056</v>
      </c>
      <c r="L18627">
        <v>3001</v>
      </c>
      <c r="M18627" t="s">
        <v>404</v>
      </c>
      <c r="N18627" t="s">
        <v>331</v>
      </c>
      <c r="O18627" t="s">
        <v>108</v>
      </c>
      <c r="P18627" t="str">
        <f>"75063"</f>
        <v>75063</v>
      </c>
    </row>
    <row r="18628" spans="1:16" x14ac:dyDescent="0.25">
      <c r="A18628" t="str">
        <f>"1270045K00237    00"</f>
        <v>1270045K00237    00</v>
      </c>
      <c r="B18628" t="s">
        <v>40469</v>
      </c>
      <c r="C18628" t="s">
        <v>40470</v>
      </c>
      <c r="D18628" t="s">
        <v>20</v>
      </c>
      <c r="E18628" t="s">
        <v>39</v>
      </c>
      <c r="F18628">
        <v>0</v>
      </c>
      <c r="G18628">
        <v>0</v>
      </c>
      <c r="H18628">
        <v>3</v>
      </c>
      <c r="I18628" s="3">
        <v>2251.64</v>
      </c>
      <c r="J18628" s="3">
        <v>161.94</v>
      </c>
      <c r="K18628" t="s">
        <v>9056</v>
      </c>
      <c r="L18628">
        <v>3001</v>
      </c>
      <c r="M18628" t="s">
        <v>404</v>
      </c>
      <c r="N18628" t="s">
        <v>331</v>
      </c>
      <c r="O18628" t="s">
        <v>108</v>
      </c>
      <c r="P18628" t="str">
        <f>"75063"</f>
        <v>75063</v>
      </c>
    </row>
    <row r="18629" spans="1:16" x14ac:dyDescent="0.25">
      <c r="A18629" t="str">
        <f>"1270045K00249    00"</f>
        <v>1270045K00249    00</v>
      </c>
      <c r="B18629" t="s">
        <v>30007</v>
      </c>
      <c r="C18629" t="s">
        <v>40471</v>
      </c>
      <c r="D18629" t="s">
        <v>20</v>
      </c>
      <c r="E18629" t="s">
        <v>39</v>
      </c>
      <c r="F18629">
        <v>0</v>
      </c>
      <c r="G18629">
        <v>0</v>
      </c>
      <c r="H18629">
        <v>1</v>
      </c>
      <c r="I18629" s="3">
        <v>1364.69</v>
      </c>
      <c r="J18629" s="3">
        <v>272.92</v>
      </c>
      <c r="L18629">
        <v>2435</v>
      </c>
      <c r="M18629" t="s">
        <v>13961</v>
      </c>
      <c r="N18629" t="s">
        <v>30</v>
      </c>
      <c r="O18629" t="s">
        <v>31</v>
      </c>
      <c r="P18629" t="str">
        <f>"15212"</f>
        <v>15212</v>
      </c>
    </row>
    <row r="18630" spans="1:16" x14ac:dyDescent="0.25">
      <c r="A18630" t="str">
        <f>"1270045K00256    00"</f>
        <v>1270045K00256    00</v>
      </c>
      <c r="B18630" t="s">
        <v>40472</v>
      </c>
      <c r="C18630" t="s">
        <v>40473</v>
      </c>
      <c r="D18630" t="s">
        <v>20</v>
      </c>
      <c r="E18630" t="s">
        <v>39</v>
      </c>
      <c r="F18630">
        <v>0</v>
      </c>
      <c r="G18630">
        <v>0</v>
      </c>
      <c r="H18630">
        <v>1</v>
      </c>
      <c r="I18630" s="3">
        <v>1246.53</v>
      </c>
      <c r="J18630" s="3">
        <v>0</v>
      </c>
      <c r="K18630" t="s">
        <v>40474</v>
      </c>
      <c r="M18630" t="s">
        <v>40475</v>
      </c>
      <c r="N18630" t="s">
        <v>107</v>
      </c>
      <c r="O18630" t="s">
        <v>108</v>
      </c>
      <c r="P18630" t="str">
        <f>"75312"</f>
        <v>75312</v>
      </c>
    </row>
    <row r="18631" spans="1:16" x14ac:dyDescent="0.25">
      <c r="A18631" t="str">
        <f>"1270045N00003    00"</f>
        <v>1270045N00003    00</v>
      </c>
      <c r="B18631" t="s">
        <v>38712</v>
      </c>
      <c r="C18631" t="s">
        <v>40476</v>
      </c>
      <c r="D18631" t="s">
        <v>20</v>
      </c>
      <c r="E18631" t="s">
        <v>39</v>
      </c>
      <c r="F18631">
        <v>0</v>
      </c>
      <c r="G18631">
        <v>0</v>
      </c>
      <c r="H18631">
        <v>17</v>
      </c>
      <c r="I18631" s="3">
        <v>4241.72</v>
      </c>
      <c r="J18631" s="3">
        <v>6670.1</v>
      </c>
      <c r="L18631">
        <v>655</v>
      </c>
      <c r="M18631" t="s">
        <v>13218</v>
      </c>
      <c r="N18631" t="s">
        <v>6718</v>
      </c>
      <c r="O18631" t="s">
        <v>108</v>
      </c>
      <c r="P18631" t="str">
        <f>"77477"</f>
        <v>77477</v>
      </c>
    </row>
    <row r="18632" spans="1:16" x14ac:dyDescent="0.25">
      <c r="A18632" t="str">
        <f>"1270045N00004    00"</f>
        <v>1270045N00004    00</v>
      </c>
      <c r="B18632" t="s">
        <v>25853</v>
      </c>
      <c r="C18632" t="s">
        <v>40477</v>
      </c>
      <c r="D18632" t="s">
        <v>20</v>
      </c>
      <c r="E18632" t="s">
        <v>39</v>
      </c>
      <c r="F18632">
        <v>0</v>
      </c>
      <c r="G18632">
        <v>0</v>
      </c>
      <c r="H18632">
        <v>2</v>
      </c>
      <c r="I18632" s="3">
        <v>876.76</v>
      </c>
      <c r="J18632" s="3">
        <v>0</v>
      </c>
      <c r="K18632" t="s">
        <v>25855</v>
      </c>
      <c r="L18632">
        <v>1420</v>
      </c>
      <c r="M18632" t="s">
        <v>14151</v>
      </c>
      <c r="N18632" t="s">
        <v>30</v>
      </c>
      <c r="O18632" t="s">
        <v>31</v>
      </c>
      <c r="P18632" t="str">
        <f>"15212"</f>
        <v>15212</v>
      </c>
    </row>
    <row r="18633" spans="1:16" x14ac:dyDescent="0.25">
      <c r="A18633" t="str">
        <f>"1270045N00005    00"</f>
        <v>1270045N00005    00</v>
      </c>
      <c r="B18633" t="s">
        <v>40478</v>
      </c>
      <c r="C18633" t="s">
        <v>40476</v>
      </c>
      <c r="D18633" t="s">
        <v>20</v>
      </c>
      <c r="E18633" t="s">
        <v>39</v>
      </c>
      <c r="F18633">
        <v>0</v>
      </c>
      <c r="G18633">
        <v>0</v>
      </c>
      <c r="H18633">
        <v>19</v>
      </c>
      <c r="I18633" s="3">
        <v>860.68</v>
      </c>
      <c r="J18633" s="3">
        <v>1039.82</v>
      </c>
      <c r="K18633" t="s">
        <v>40479</v>
      </c>
      <c r="L18633">
        <v>284</v>
      </c>
      <c r="M18633" t="s">
        <v>40480</v>
      </c>
      <c r="N18633" t="s">
        <v>10293</v>
      </c>
      <c r="O18633" t="s">
        <v>31</v>
      </c>
      <c r="P18633" t="str">
        <f>"15074"</f>
        <v>15074</v>
      </c>
    </row>
    <row r="18634" spans="1:16" x14ac:dyDescent="0.25">
      <c r="A18634" t="str">
        <f>"1270045N00008    00"</f>
        <v>1270045N00008    00</v>
      </c>
      <c r="B18634" t="s">
        <v>40481</v>
      </c>
      <c r="C18634" t="s">
        <v>40482</v>
      </c>
      <c r="D18634" t="s">
        <v>20</v>
      </c>
      <c r="E18634" t="s">
        <v>39</v>
      </c>
      <c r="F18634">
        <v>0</v>
      </c>
      <c r="G18634">
        <v>0</v>
      </c>
      <c r="H18634">
        <v>2</v>
      </c>
      <c r="I18634" s="3">
        <v>269.58</v>
      </c>
      <c r="J18634" s="3">
        <v>0</v>
      </c>
      <c r="L18634">
        <v>1322</v>
      </c>
      <c r="M18634" t="s">
        <v>40483</v>
      </c>
      <c r="N18634" t="s">
        <v>30</v>
      </c>
      <c r="O18634" t="s">
        <v>31</v>
      </c>
      <c r="P18634" t="str">
        <f>"15212"</f>
        <v>15212</v>
      </c>
    </row>
    <row r="18635" spans="1:16" x14ac:dyDescent="0.25">
      <c r="A18635" t="str">
        <f>"1270045N00009    00"</f>
        <v>1270045N00009    00</v>
      </c>
      <c r="B18635" t="s">
        <v>40484</v>
      </c>
      <c r="C18635" t="s">
        <v>40485</v>
      </c>
      <c r="D18635" t="s">
        <v>20</v>
      </c>
      <c r="E18635" t="s">
        <v>39</v>
      </c>
      <c r="F18635">
        <v>0</v>
      </c>
      <c r="G18635">
        <v>0</v>
      </c>
      <c r="H18635">
        <v>3</v>
      </c>
      <c r="I18635" s="3">
        <v>343.42</v>
      </c>
      <c r="J18635" s="3">
        <v>26.77</v>
      </c>
      <c r="L18635">
        <v>1320</v>
      </c>
      <c r="M18635" t="s">
        <v>40483</v>
      </c>
      <c r="N18635" t="s">
        <v>30</v>
      </c>
      <c r="O18635" t="s">
        <v>31</v>
      </c>
      <c r="P18635" t="str">
        <f>"15212"</f>
        <v>15212</v>
      </c>
    </row>
    <row r="18636" spans="1:16" x14ac:dyDescent="0.25">
      <c r="A18636" t="str">
        <f>"1270045N00010    00"</f>
        <v>1270045N00010    00</v>
      </c>
      <c r="B18636" t="s">
        <v>40486</v>
      </c>
      <c r="C18636" t="s">
        <v>40487</v>
      </c>
      <c r="D18636" t="s">
        <v>20</v>
      </c>
      <c r="E18636" t="s">
        <v>39</v>
      </c>
      <c r="F18636">
        <v>0</v>
      </c>
      <c r="G18636">
        <v>0</v>
      </c>
      <c r="H18636">
        <v>14</v>
      </c>
      <c r="I18636" s="3">
        <v>4308.03</v>
      </c>
      <c r="J18636" s="3">
        <v>2033.24</v>
      </c>
      <c r="L18636">
        <v>1318</v>
      </c>
      <c r="M18636" t="s">
        <v>40483</v>
      </c>
      <c r="N18636" t="s">
        <v>30</v>
      </c>
      <c r="O18636" t="s">
        <v>31</v>
      </c>
      <c r="P18636" t="str">
        <f>"15212"</f>
        <v>15212</v>
      </c>
    </row>
    <row r="18637" spans="1:16" x14ac:dyDescent="0.25">
      <c r="A18637" t="str">
        <f>"1270045N00011    00"</f>
        <v>1270045N00011    00</v>
      </c>
      <c r="B18637" t="s">
        <v>40488</v>
      </c>
      <c r="C18637" t="s">
        <v>40476</v>
      </c>
      <c r="D18637" t="s">
        <v>20</v>
      </c>
      <c r="E18637" t="s">
        <v>39</v>
      </c>
      <c r="F18637">
        <v>0</v>
      </c>
      <c r="G18637">
        <v>0</v>
      </c>
      <c r="H18637">
        <v>19</v>
      </c>
      <c r="I18637" s="3">
        <v>9026.9500000000007</v>
      </c>
      <c r="J18637" s="3">
        <v>10899.28</v>
      </c>
      <c r="K18637" t="s">
        <v>40489</v>
      </c>
      <c r="L18637">
        <v>149</v>
      </c>
      <c r="M18637" t="s">
        <v>40490</v>
      </c>
      <c r="N18637" t="s">
        <v>27944</v>
      </c>
      <c r="O18637" t="s">
        <v>31</v>
      </c>
      <c r="P18637" t="str">
        <f>"16057"</f>
        <v>16057</v>
      </c>
    </row>
    <row r="18638" spans="1:16" x14ac:dyDescent="0.25">
      <c r="A18638" t="str">
        <f>"1270045N00012    00"</f>
        <v>1270045N00012    00</v>
      </c>
      <c r="B18638" t="s">
        <v>40491</v>
      </c>
      <c r="C18638" t="s">
        <v>40492</v>
      </c>
      <c r="D18638" t="s">
        <v>20</v>
      </c>
      <c r="E18638" t="s">
        <v>39</v>
      </c>
      <c r="F18638">
        <v>0</v>
      </c>
      <c r="G18638">
        <v>0</v>
      </c>
      <c r="H18638">
        <v>19</v>
      </c>
      <c r="I18638" s="3">
        <v>9319.83</v>
      </c>
      <c r="J18638" s="3">
        <v>8488.14</v>
      </c>
      <c r="L18638">
        <v>1314</v>
      </c>
      <c r="M18638" t="s">
        <v>40483</v>
      </c>
      <c r="N18638" t="s">
        <v>30</v>
      </c>
      <c r="O18638" t="s">
        <v>31</v>
      </c>
      <c r="P18638" t="str">
        <f>"15212"</f>
        <v>15212</v>
      </c>
    </row>
    <row r="18639" spans="1:16" x14ac:dyDescent="0.25">
      <c r="A18639" t="str">
        <f>"1270045N00014    00"</f>
        <v>1270045N00014    00</v>
      </c>
      <c r="B18639" t="s">
        <v>40493</v>
      </c>
      <c r="C18639" t="s">
        <v>40494</v>
      </c>
      <c r="D18639" t="s">
        <v>20</v>
      </c>
      <c r="E18639" t="s">
        <v>39</v>
      </c>
      <c r="F18639">
        <v>0</v>
      </c>
      <c r="G18639">
        <v>0</v>
      </c>
      <c r="H18639">
        <v>19</v>
      </c>
      <c r="I18639" s="3">
        <v>14505.29</v>
      </c>
      <c r="J18639" s="3">
        <v>14782.39</v>
      </c>
      <c r="L18639">
        <v>1314</v>
      </c>
      <c r="M18639" t="s">
        <v>40483</v>
      </c>
      <c r="N18639" t="s">
        <v>30</v>
      </c>
      <c r="O18639" t="s">
        <v>31</v>
      </c>
      <c r="P18639" t="str">
        <f>"15212"</f>
        <v>15212</v>
      </c>
    </row>
    <row r="18640" spans="1:16" x14ac:dyDescent="0.25">
      <c r="A18640" t="str">
        <f>"1270045N00016    00"</f>
        <v>1270045N00016    00</v>
      </c>
      <c r="B18640" t="s">
        <v>40495</v>
      </c>
      <c r="C18640" t="s">
        <v>40496</v>
      </c>
      <c r="D18640" t="s">
        <v>20</v>
      </c>
      <c r="E18640" t="s">
        <v>39</v>
      </c>
      <c r="F18640">
        <v>0</v>
      </c>
      <c r="G18640">
        <v>0</v>
      </c>
      <c r="H18640">
        <v>8</v>
      </c>
      <c r="I18640" s="3">
        <v>766.96</v>
      </c>
      <c r="J18640" s="3">
        <v>250.06</v>
      </c>
      <c r="K18640" t="s">
        <v>40497</v>
      </c>
      <c r="L18640">
        <v>1302</v>
      </c>
      <c r="M18640" t="s">
        <v>40483</v>
      </c>
      <c r="N18640" t="s">
        <v>30</v>
      </c>
      <c r="O18640" t="s">
        <v>31</v>
      </c>
      <c r="P18640" t="str">
        <f>"15212"</f>
        <v>15212</v>
      </c>
    </row>
    <row r="18641" spans="1:16" x14ac:dyDescent="0.25">
      <c r="A18641" t="str">
        <f>"1270045N00019    00"</f>
        <v>1270045N00019    00</v>
      </c>
      <c r="B18641" t="s">
        <v>40498</v>
      </c>
      <c r="C18641" t="s">
        <v>40382</v>
      </c>
      <c r="D18641" t="s">
        <v>20</v>
      </c>
      <c r="E18641" t="s">
        <v>39</v>
      </c>
      <c r="F18641">
        <v>0</v>
      </c>
      <c r="G18641">
        <v>0</v>
      </c>
      <c r="H18641">
        <v>19</v>
      </c>
      <c r="I18641" s="3">
        <v>9055.27</v>
      </c>
      <c r="J18641" s="3">
        <v>8983.6</v>
      </c>
      <c r="L18641">
        <v>4026</v>
      </c>
      <c r="M18641" t="s">
        <v>40499</v>
      </c>
      <c r="N18641" t="s">
        <v>546</v>
      </c>
      <c r="O18641" t="s">
        <v>31</v>
      </c>
      <c r="P18641" t="str">
        <f>"15044"</f>
        <v>15044</v>
      </c>
    </row>
    <row r="18642" spans="1:16" x14ac:dyDescent="0.25">
      <c r="A18642" t="str">
        <f>"1270045N00025    00"</f>
        <v>1270045N00025    00</v>
      </c>
      <c r="B18642" t="s">
        <v>40500</v>
      </c>
      <c r="C18642" t="s">
        <v>40501</v>
      </c>
      <c r="D18642" t="s">
        <v>20</v>
      </c>
      <c r="E18642" t="s">
        <v>39</v>
      </c>
      <c r="F18642">
        <v>0</v>
      </c>
      <c r="G18642">
        <v>0</v>
      </c>
      <c r="H18642">
        <v>3</v>
      </c>
      <c r="I18642" s="3">
        <v>599.12</v>
      </c>
      <c r="J18642" s="3">
        <v>47.58</v>
      </c>
      <c r="K18642" t="s">
        <v>40502</v>
      </c>
      <c r="L18642">
        <v>141</v>
      </c>
      <c r="M18642" t="s">
        <v>40503</v>
      </c>
      <c r="N18642" t="s">
        <v>30</v>
      </c>
      <c r="O18642" t="s">
        <v>31</v>
      </c>
      <c r="P18642" t="str">
        <f>"15210"</f>
        <v>15210</v>
      </c>
    </row>
    <row r="18643" spans="1:16" x14ac:dyDescent="0.25">
      <c r="A18643" t="str">
        <f>"1270045N00031    00"</f>
        <v>1270045N00031    00</v>
      </c>
      <c r="B18643" t="s">
        <v>40504</v>
      </c>
      <c r="C18643" t="s">
        <v>40505</v>
      </c>
      <c r="D18643" t="s">
        <v>20</v>
      </c>
      <c r="E18643" t="s">
        <v>39</v>
      </c>
      <c r="F18643">
        <v>0</v>
      </c>
      <c r="G18643">
        <v>0</v>
      </c>
      <c r="H18643">
        <v>18</v>
      </c>
      <c r="I18643" s="3">
        <v>6300.09</v>
      </c>
      <c r="J18643" s="3">
        <v>4994.75</v>
      </c>
      <c r="L18643">
        <v>102</v>
      </c>
      <c r="M18643" t="s">
        <v>40506</v>
      </c>
      <c r="N18643" t="s">
        <v>666</v>
      </c>
      <c r="O18643" t="s">
        <v>31</v>
      </c>
      <c r="P18643" t="str">
        <f>"16002"</f>
        <v>16002</v>
      </c>
    </row>
    <row r="18644" spans="1:16" x14ac:dyDescent="0.25">
      <c r="A18644" t="str">
        <f>"1270045N00032    00"</f>
        <v>1270045N00032    00</v>
      </c>
      <c r="B18644" t="s">
        <v>40507</v>
      </c>
      <c r="C18644" t="s">
        <v>40476</v>
      </c>
      <c r="D18644" t="s">
        <v>20</v>
      </c>
      <c r="E18644" t="s">
        <v>39</v>
      </c>
      <c r="F18644">
        <v>0</v>
      </c>
      <c r="G18644">
        <v>0</v>
      </c>
      <c r="H18644">
        <v>18</v>
      </c>
      <c r="I18644" s="3">
        <v>3941.97</v>
      </c>
      <c r="J18644" s="3">
        <v>2522.65</v>
      </c>
      <c r="L18644">
        <v>102</v>
      </c>
      <c r="M18644" t="s">
        <v>40506</v>
      </c>
      <c r="N18644" t="s">
        <v>666</v>
      </c>
      <c r="O18644" t="s">
        <v>31</v>
      </c>
      <c r="P18644" t="str">
        <f>"16002"</f>
        <v>16002</v>
      </c>
    </row>
    <row r="18645" spans="1:16" x14ac:dyDescent="0.25">
      <c r="A18645" t="str">
        <f>"1270045N00035    00"</f>
        <v>1270045N00035    00</v>
      </c>
      <c r="B18645" t="s">
        <v>40508</v>
      </c>
      <c r="C18645" t="s">
        <v>40476</v>
      </c>
      <c r="D18645" t="s">
        <v>20</v>
      </c>
      <c r="E18645" t="s">
        <v>39</v>
      </c>
      <c r="F18645">
        <v>0</v>
      </c>
      <c r="G18645">
        <v>0</v>
      </c>
      <c r="H18645">
        <v>13</v>
      </c>
      <c r="I18645" s="3">
        <v>185.44</v>
      </c>
      <c r="J18645" s="3">
        <v>162</v>
      </c>
      <c r="M18645" t="s">
        <v>40483</v>
      </c>
      <c r="N18645" t="s">
        <v>30</v>
      </c>
      <c r="O18645" t="s">
        <v>31</v>
      </c>
      <c r="P18645" t="str">
        <f>"15212"</f>
        <v>15212</v>
      </c>
    </row>
    <row r="18646" spans="1:16" x14ac:dyDescent="0.25">
      <c r="A18646" t="str">
        <f>"1270045N00037    00"</f>
        <v>1270045N00037    00</v>
      </c>
      <c r="B18646" t="s">
        <v>40509</v>
      </c>
      <c r="C18646" t="s">
        <v>40510</v>
      </c>
      <c r="D18646" t="s">
        <v>20</v>
      </c>
      <c r="E18646" t="s">
        <v>39</v>
      </c>
      <c r="F18646">
        <v>0</v>
      </c>
      <c r="G18646">
        <v>0</v>
      </c>
      <c r="H18646">
        <v>19</v>
      </c>
      <c r="I18646" s="3">
        <v>10447.31</v>
      </c>
      <c r="J18646" s="3">
        <v>11001.85</v>
      </c>
      <c r="L18646">
        <v>312</v>
      </c>
      <c r="M18646" t="s">
        <v>40511</v>
      </c>
      <c r="N18646" t="s">
        <v>30</v>
      </c>
      <c r="O18646" t="s">
        <v>31</v>
      </c>
      <c r="P18646" t="str">
        <f>"15238"</f>
        <v>15238</v>
      </c>
    </row>
    <row r="18647" spans="1:16" x14ac:dyDescent="0.25">
      <c r="A18647" t="str">
        <f>"1270045N00038    00"</f>
        <v>1270045N00038    00</v>
      </c>
      <c r="B18647" t="s">
        <v>40512</v>
      </c>
      <c r="C18647" t="s">
        <v>40510</v>
      </c>
      <c r="D18647" t="s">
        <v>20</v>
      </c>
      <c r="E18647" t="s">
        <v>39</v>
      </c>
      <c r="F18647">
        <v>0</v>
      </c>
      <c r="G18647">
        <v>0</v>
      </c>
      <c r="H18647">
        <v>16</v>
      </c>
      <c r="I18647" s="3">
        <v>2493.16</v>
      </c>
      <c r="J18647" s="3">
        <v>3596.88</v>
      </c>
      <c r="K18647" t="s">
        <v>40513</v>
      </c>
      <c r="L18647">
        <v>2358</v>
      </c>
      <c r="M18647" t="s">
        <v>40514</v>
      </c>
      <c r="N18647" t="s">
        <v>30</v>
      </c>
      <c r="O18647" t="s">
        <v>31</v>
      </c>
      <c r="P18647" t="str">
        <f>"15212"</f>
        <v>15212</v>
      </c>
    </row>
    <row r="18648" spans="1:16" x14ac:dyDescent="0.25">
      <c r="A18648" t="str">
        <f>"1270045N00039    00"</f>
        <v>1270045N00039    00</v>
      </c>
      <c r="B18648" t="s">
        <v>40515</v>
      </c>
      <c r="C18648" t="s">
        <v>40516</v>
      </c>
      <c r="D18648" t="s">
        <v>20</v>
      </c>
      <c r="E18648" t="s">
        <v>39</v>
      </c>
      <c r="F18648">
        <v>0</v>
      </c>
      <c r="G18648">
        <v>0</v>
      </c>
      <c r="H18648">
        <v>4</v>
      </c>
      <c r="I18648" s="3">
        <v>264.04000000000002</v>
      </c>
      <c r="J18648" s="3">
        <v>51.29</v>
      </c>
      <c r="L18648">
        <v>2356</v>
      </c>
      <c r="M18648" t="s">
        <v>40517</v>
      </c>
      <c r="N18648" t="s">
        <v>30</v>
      </c>
      <c r="O18648" t="s">
        <v>31</v>
      </c>
      <c r="P18648" t="str">
        <f>"15212"</f>
        <v>15212</v>
      </c>
    </row>
    <row r="18649" spans="1:16" x14ac:dyDescent="0.25">
      <c r="A18649" t="str">
        <f>"1270045N00041    00"</f>
        <v>1270045N00041    00</v>
      </c>
      <c r="B18649" t="s">
        <v>40518</v>
      </c>
      <c r="C18649" t="s">
        <v>40510</v>
      </c>
      <c r="D18649" t="s">
        <v>20</v>
      </c>
      <c r="E18649" t="s">
        <v>39</v>
      </c>
      <c r="F18649">
        <v>0</v>
      </c>
      <c r="G18649">
        <v>0</v>
      </c>
      <c r="H18649">
        <v>17</v>
      </c>
      <c r="I18649" s="3">
        <v>6847.04</v>
      </c>
      <c r="J18649" s="3">
        <v>10051.43</v>
      </c>
      <c r="L18649">
        <v>2352</v>
      </c>
      <c r="M18649" t="s">
        <v>40517</v>
      </c>
      <c r="N18649" t="s">
        <v>30</v>
      </c>
      <c r="O18649" t="s">
        <v>31</v>
      </c>
      <c r="P18649" t="str">
        <f>"15212"</f>
        <v>15212</v>
      </c>
    </row>
    <row r="18650" spans="1:16" x14ac:dyDescent="0.25">
      <c r="A18650" t="str">
        <f>"1270045N00042    00"</f>
        <v>1270045N00042    00</v>
      </c>
      <c r="B18650" t="s">
        <v>40519</v>
      </c>
      <c r="C18650" t="s">
        <v>40520</v>
      </c>
      <c r="D18650" t="s">
        <v>20</v>
      </c>
      <c r="E18650" t="s">
        <v>39</v>
      </c>
      <c r="F18650">
        <v>0</v>
      </c>
      <c r="G18650">
        <v>0</v>
      </c>
      <c r="H18650">
        <v>19</v>
      </c>
      <c r="I18650" s="3">
        <v>11026.76</v>
      </c>
      <c r="J18650" s="3">
        <v>13784.59</v>
      </c>
      <c r="L18650">
        <v>1314</v>
      </c>
      <c r="M18650" t="s">
        <v>40483</v>
      </c>
      <c r="N18650" t="s">
        <v>30</v>
      </c>
      <c r="O18650" t="s">
        <v>31</v>
      </c>
      <c r="P18650" t="str">
        <f>"15212"</f>
        <v>15212</v>
      </c>
    </row>
    <row r="18651" spans="1:16" x14ac:dyDescent="0.25">
      <c r="A18651" t="str">
        <f>"1270045N00045    00"</f>
        <v>1270045N00045    00</v>
      </c>
      <c r="B18651" t="s">
        <v>40521</v>
      </c>
      <c r="C18651" t="s">
        <v>40510</v>
      </c>
      <c r="D18651" t="s">
        <v>20</v>
      </c>
      <c r="E18651" t="s">
        <v>39</v>
      </c>
      <c r="F18651">
        <v>0</v>
      </c>
      <c r="G18651">
        <v>0</v>
      </c>
      <c r="H18651">
        <v>17</v>
      </c>
      <c r="I18651" s="3">
        <v>4441.8599999999997</v>
      </c>
      <c r="J18651" s="3">
        <v>3296.45</v>
      </c>
      <c r="L18651">
        <v>29</v>
      </c>
      <c r="M18651" t="s">
        <v>40522</v>
      </c>
      <c r="N18651" t="s">
        <v>625</v>
      </c>
      <c r="O18651" t="s">
        <v>31</v>
      </c>
      <c r="P18651" t="str">
        <f>"15108"</f>
        <v>15108</v>
      </c>
    </row>
    <row r="18652" spans="1:16" x14ac:dyDescent="0.25">
      <c r="A18652" t="str">
        <f>"1270045N00046    00"</f>
        <v>1270045N00046    00</v>
      </c>
      <c r="B18652" t="s">
        <v>35222</v>
      </c>
      <c r="C18652" t="s">
        <v>40523</v>
      </c>
      <c r="D18652" t="s">
        <v>20</v>
      </c>
      <c r="E18652" t="s">
        <v>39</v>
      </c>
      <c r="F18652">
        <v>0</v>
      </c>
      <c r="G18652">
        <v>0</v>
      </c>
      <c r="H18652">
        <v>14</v>
      </c>
      <c r="I18652" s="3">
        <v>11479.99</v>
      </c>
      <c r="J18652" s="3">
        <v>7456.51</v>
      </c>
      <c r="L18652">
        <v>2344</v>
      </c>
      <c r="M18652" t="s">
        <v>40517</v>
      </c>
      <c r="N18652" t="s">
        <v>30</v>
      </c>
      <c r="O18652" t="s">
        <v>31</v>
      </c>
      <c r="P18652" t="str">
        <f>"15212"</f>
        <v>15212</v>
      </c>
    </row>
    <row r="18653" spans="1:16" x14ac:dyDescent="0.25">
      <c r="A18653" t="str">
        <f>"1270045N00047    00"</f>
        <v>1270045N00047    00</v>
      </c>
      <c r="B18653" t="s">
        <v>35222</v>
      </c>
      <c r="C18653" t="s">
        <v>40524</v>
      </c>
      <c r="D18653" t="s">
        <v>20</v>
      </c>
      <c r="E18653" t="s">
        <v>39</v>
      </c>
      <c r="F18653">
        <v>0</v>
      </c>
      <c r="G18653">
        <v>0</v>
      </c>
      <c r="H18653">
        <v>14</v>
      </c>
      <c r="I18653" s="3">
        <v>7268.57</v>
      </c>
      <c r="J18653" s="3">
        <v>4539.26</v>
      </c>
      <c r="L18653">
        <v>2342</v>
      </c>
      <c r="M18653" t="s">
        <v>40517</v>
      </c>
      <c r="N18653" t="s">
        <v>30</v>
      </c>
      <c r="O18653" t="s">
        <v>31</v>
      </c>
      <c r="P18653" t="str">
        <f>"15212"</f>
        <v>15212</v>
      </c>
    </row>
    <row r="18654" spans="1:16" x14ac:dyDescent="0.25">
      <c r="A18654" t="str">
        <f>"1270045N00048    00"</f>
        <v>1270045N00048    00</v>
      </c>
      <c r="B18654" t="s">
        <v>40525</v>
      </c>
      <c r="C18654" t="s">
        <v>40510</v>
      </c>
      <c r="D18654" t="s">
        <v>20</v>
      </c>
      <c r="E18654" t="s">
        <v>39</v>
      </c>
      <c r="F18654">
        <v>0</v>
      </c>
      <c r="G18654">
        <v>0</v>
      </c>
      <c r="H18654">
        <v>19</v>
      </c>
      <c r="I18654" s="3">
        <v>698.95</v>
      </c>
      <c r="J18654" s="3">
        <v>886.92</v>
      </c>
      <c r="K18654" t="s">
        <v>1037</v>
      </c>
      <c r="L18654">
        <v>315</v>
      </c>
      <c r="M18654" t="s">
        <v>30949</v>
      </c>
      <c r="N18654" t="s">
        <v>6941</v>
      </c>
      <c r="O18654" t="s">
        <v>31</v>
      </c>
      <c r="P18654" t="str">
        <f>"15003"</f>
        <v>15003</v>
      </c>
    </row>
    <row r="18655" spans="1:16" x14ac:dyDescent="0.25">
      <c r="A18655" t="str">
        <f>"1270045N00049    00"</f>
        <v>1270045N00049    00</v>
      </c>
      <c r="B18655" t="s">
        <v>40526</v>
      </c>
      <c r="C18655" t="s">
        <v>40510</v>
      </c>
      <c r="D18655" t="s">
        <v>20</v>
      </c>
      <c r="E18655" t="s">
        <v>39</v>
      </c>
      <c r="F18655">
        <v>0</v>
      </c>
      <c r="G18655">
        <v>0</v>
      </c>
      <c r="H18655">
        <v>19</v>
      </c>
      <c r="I18655" s="3">
        <v>745.6</v>
      </c>
      <c r="J18655" s="3">
        <v>934.03</v>
      </c>
      <c r="L18655">
        <v>2340</v>
      </c>
      <c r="M18655" t="s">
        <v>17198</v>
      </c>
      <c r="N18655" t="s">
        <v>30</v>
      </c>
      <c r="O18655" t="s">
        <v>31</v>
      </c>
      <c r="P18655" t="str">
        <f>"15212"</f>
        <v>15212</v>
      </c>
    </row>
    <row r="18656" spans="1:16" x14ac:dyDescent="0.25">
      <c r="A18656" t="str">
        <f>"1270045N00051    00"</f>
        <v>1270045N00051    00</v>
      </c>
      <c r="B18656" t="s">
        <v>40527</v>
      </c>
      <c r="C18656" t="s">
        <v>40528</v>
      </c>
      <c r="D18656" t="s">
        <v>20</v>
      </c>
      <c r="E18656" t="s">
        <v>39</v>
      </c>
      <c r="F18656">
        <v>0</v>
      </c>
      <c r="G18656">
        <v>0</v>
      </c>
      <c r="H18656">
        <v>19</v>
      </c>
      <c r="I18656" s="3">
        <v>14951.67</v>
      </c>
      <c r="J18656" s="3">
        <v>15172.48</v>
      </c>
      <c r="M18656" t="s">
        <v>40529</v>
      </c>
      <c r="N18656" t="s">
        <v>30</v>
      </c>
      <c r="O18656" t="s">
        <v>31</v>
      </c>
      <c r="P18656" t="str">
        <f>"15233"</f>
        <v>15233</v>
      </c>
    </row>
    <row r="18657" spans="1:16" x14ac:dyDescent="0.25">
      <c r="A18657" t="str">
        <f>"1270045N00055    00"</f>
        <v>1270045N00055    00</v>
      </c>
      <c r="B18657" t="s">
        <v>40530</v>
      </c>
      <c r="C18657" t="s">
        <v>40531</v>
      </c>
      <c r="E18657" t="s">
        <v>39</v>
      </c>
      <c r="F18657">
        <v>0</v>
      </c>
      <c r="G18657">
        <v>0</v>
      </c>
      <c r="H18657">
        <v>3</v>
      </c>
      <c r="I18657" s="3">
        <v>2007.73</v>
      </c>
      <c r="J18657" s="3">
        <v>2456.21</v>
      </c>
      <c r="L18657">
        <v>1322</v>
      </c>
      <c r="M18657" t="s">
        <v>40532</v>
      </c>
      <c r="N18657" t="s">
        <v>30</v>
      </c>
      <c r="O18657" t="s">
        <v>31</v>
      </c>
      <c r="P18657" t="str">
        <f>"15212"</f>
        <v>15212</v>
      </c>
    </row>
    <row r="18658" spans="1:16" x14ac:dyDescent="0.25">
      <c r="A18658" t="str">
        <f>"1270045N00057    00"</f>
        <v>1270045N00057    00</v>
      </c>
      <c r="B18658" t="s">
        <v>40533</v>
      </c>
      <c r="C18658" t="s">
        <v>40534</v>
      </c>
      <c r="D18658" t="s">
        <v>20</v>
      </c>
      <c r="E18658" t="s">
        <v>39</v>
      </c>
      <c r="F18658">
        <v>0</v>
      </c>
      <c r="G18658">
        <v>0</v>
      </c>
      <c r="H18658">
        <v>19</v>
      </c>
      <c r="I18658" s="3">
        <v>720.96</v>
      </c>
      <c r="J18658" s="3">
        <v>898.57</v>
      </c>
      <c r="K18658" t="s">
        <v>1037</v>
      </c>
      <c r="L18658">
        <v>1313</v>
      </c>
      <c r="M18658" t="s">
        <v>40535</v>
      </c>
      <c r="N18658" t="s">
        <v>30</v>
      </c>
      <c r="O18658" t="s">
        <v>31</v>
      </c>
      <c r="P18658" t="str">
        <f>"15212"</f>
        <v>15212</v>
      </c>
    </row>
    <row r="18659" spans="1:16" x14ac:dyDescent="0.25">
      <c r="A18659" t="str">
        <f>"1270045N00058    00"</f>
        <v>1270045N00058    00</v>
      </c>
      <c r="B18659" t="s">
        <v>40493</v>
      </c>
      <c r="C18659" t="s">
        <v>40536</v>
      </c>
      <c r="D18659" t="s">
        <v>20</v>
      </c>
      <c r="E18659" t="s">
        <v>39</v>
      </c>
      <c r="F18659">
        <v>0</v>
      </c>
      <c r="G18659">
        <v>0</v>
      </c>
      <c r="H18659">
        <v>19</v>
      </c>
      <c r="I18659" s="3">
        <v>6659.56</v>
      </c>
      <c r="J18659" s="3">
        <v>9500.5300000000007</v>
      </c>
      <c r="L18659">
        <v>1308</v>
      </c>
      <c r="M18659" t="s">
        <v>40483</v>
      </c>
      <c r="N18659" t="s">
        <v>30</v>
      </c>
      <c r="O18659" t="s">
        <v>31</v>
      </c>
      <c r="P18659" t="str">
        <f>"15212"</f>
        <v>15212</v>
      </c>
    </row>
    <row r="18660" spans="1:16" x14ac:dyDescent="0.25">
      <c r="A18660" t="str">
        <f>"1270045N00059    00"</f>
        <v>1270045N00059    00</v>
      </c>
      <c r="B18660" t="s">
        <v>40537</v>
      </c>
      <c r="C18660" t="s">
        <v>40538</v>
      </c>
      <c r="D18660" t="s">
        <v>20</v>
      </c>
      <c r="E18660" t="s">
        <v>39</v>
      </c>
      <c r="F18660">
        <v>0</v>
      </c>
      <c r="G18660">
        <v>0</v>
      </c>
      <c r="H18660">
        <v>3</v>
      </c>
      <c r="I18660" s="3">
        <v>3309.44</v>
      </c>
      <c r="J18660" s="3">
        <v>263.29000000000002</v>
      </c>
      <c r="L18660">
        <v>1338</v>
      </c>
      <c r="M18660" t="s">
        <v>4167</v>
      </c>
      <c r="N18660" t="s">
        <v>30</v>
      </c>
      <c r="O18660" t="s">
        <v>31</v>
      </c>
      <c r="P18660" t="str">
        <f>"15212"</f>
        <v>15212</v>
      </c>
    </row>
    <row r="18661" spans="1:16" x14ac:dyDescent="0.25">
      <c r="A18661" t="str">
        <f>"1270045N00061    00"</f>
        <v>1270045N00061    00</v>
      </c>
      <c r="B18661" t="s">
        <v>40539</v>
      </c>
      <c r="C18661" t="s">
        <v>40540</v>
      </c>
      <c r="D18661" t="s">
        <v>20</v>
      </c>
      <c r="E18661" t="s">
        <v>39</v>
      </c>
      <c r="F18661">
        <v>0</v>
      </c>
      <c r="G18661">
        <v>0</v>
      </c>
      <c r="H18661">
        <v>2</v>
      </c>
      <c r="I18661" s="3">
        <v>741.38</v>
      </c>
      <c r="J18661" s="3">
        <v>0</v>
      </c>
      <c r="L18661">
        <v>1334</v>
      </c>
      <c r="M18661" t="s">
        <v>4167</v>
      </c>
      <c r="N18661" t="s">
        <v>30</v>
      </c>
      <c r="O18661" t="s">
        <v>31</v>
      </c>
      <c r="P18661" t="str">
        <f>"15212"</f>
        <v>15212</v>
      </c>
    </row>
    <row r="18662" spans="1:16" x14ac:dyDescent="0.25">
      <c r="A18662" t="str">
        <f>"1270045N00063    00"</f>
        <v>1270045N00063    00</v>
      </c>
      <c r="B18662" t="s">
        <v>40541</v>
      </c>
      <c r="C18662" t="s">
        <v>40542</v>
      </c>
      <c r="D18662" t="s">
        <v>20</v>
      </c>
      <c r="E18662" t="s">
        <v>39</v>
      </c>
      <c r="F18662">
        <v>0</v>
      </c>
      <c r="G18662">
        <v>0</v>
      </c>
      <c r="H18662">
        <v>5</v>
      </c>
      <c r="I18662" s="3">
        <v>409.35</v>
      </c>
      <c r="J18662" s="3">
        <v>70.569999999999993</v>
      </c>
      <c r="L18662">
        <v>3632</v>
      </c>
      <c r="M18662" t="s">
        <v>40543</v>
      </c>
      <c r="N18662" t="s">
        <v>6603</v>
      </c>
      <c r="O18662" t="s">
        <v>31</v>
      </c>
      <c r="P18662" t="str">
        <f>"15122"</f>
        <v>15122</v>
      </c>
    </row>
    <row r="18663" spans="1:16" x14ac:dyDescent="0.25">
      <c r="A18663" t="str">
        <f>"1270045N00065    00"</f>
        <v>1270045N00065    00</v>
      </c>
      <c r="B18663" t="s">
        <v>40544</v>
      </c>
      <c r="C18663" t="s">
        <v>40545</v>
      </c>
      <c r="D18663" t="s">
        <v>20</v>
      </c>
      <c r="E18663" t="s">
        <v>39</v>
      </c>
      <c r="F18663">
        <v>0</v>
      </c>
      <c r="G18663">
        <v>0</v>
      </c>
      <c r="H18663">
        <v>18</v>
      </c>
      <c r="I18663" s="3">
        <v>4851.58</v>
      </c>
      <c r="J18663" s="3">
        <v>6255.86</v>
      </c>
      <c r="L18663">
        <v>1330</v>
      </c>
      <c r="M18663" t="s">
        <v>4167</v>
      </c>
      <c r="N18663" t="s">
        <v>30</v>
      </c>
      <c r="O18663" t="s">
        <v>31</v>
      </c>
      <c r="P18663" t="str">
        <f>"15212"</f>
        <v>15212</v>
      </c>
    </row>
    <row r="18664" spans="1:16" x14ac:dyDescent="0.25">
      <c r="A18664" t="str">
        <f>"1270045N00066    00"</f>
        <v>1270045N00066    00</v>
      </c>
      <c r="B18664" t="s">
        <v>40546</v>
      </c>
      <c r="C18664" t="s">
        <v>40545</v>
      </c>
      <c r="D18664" t="s">
        <v>20</v>
      </c>
      <c r="E18664" t="s">
        <v>39</v>
      </c>
      <c r="F18664">
        <v>0</v>
      </c>
      <c r="G18664">
        <v>0</v>
      </c>
      <c r="H18664">
        <v>19</v>
      </c>
      <c r="I18664" s="3">
        <v>7574.34</v>
      </c>
      <c r="J18664" s="3">
        <v>8612.42</v>
      </c>
      <c r="P18664" t="str">
        <f>""</f>
        <v/>
      </c>
    </row>
    <row r="18665" spans="1:16" x14ac:dyDescent="0.25">
      <c r="A18665" t="str">
        <f>"1270045N00067    00"</f>
        <v>1270045N00067    00</v>
      </c>
      <c r="B18665" t="s">
        <v>40546</v>
      </c>
      <c r="C18665" t="s">
        <v>40545</v>
      </c>
      <c r="D18665" t="s">
        <v>20</v>
      </c>
      <c r="E18665" t="s">
        <v>39</v>
      </c>
      <c r="F18665">
        <v>0</v>
      </c>
      <c r="G18665">
        <v>0</v>
      </c>
      <c r="H18665">
        <v>19</v>
      </c>
      <c r="I18665" s="3">
        <v>7455.32</v>
      </c>
      <c r="J18665" s="3">
        <v>8185.11</v>
      </c>
      <c r="L18665">
        <v>1326</v>
      </c>
      <c r="M18665" t="s">
        <v>4167</v>
      </c>
      <c r="N18665" t="s">
        <v>30</v>
      </c>
      <c r="O18665" t="s">
        <v>31</v>
      </c>
      <c r="P18665" t="str">
        <f>"15212"</f>
        <v>15212</v>
      </c>
    </row>
    <row r="18666" spans="1:16" x14ac:dyDescent="0.25">
      <c r="A18666" t="str">
        <f>"1270045N00069    00"</f>
        <v>1270045N00069    00</v>
      </c>
      <c r="B18666" t="s">
        <v>40547</v>
      </c>
      <c r="C18666" t="s">
        <v>38569</v>
      </c>
      <c r="D18666" t="s">
        <v>20</v>
      </c>
      <c r="E18666" t="s">
        <v>39</v>
      </c>
      <c r="F18666">
        <v>0</v>
      </c>
      <c r="G18666">
        <v>0</v>
      </c>
      <c r="H18666">
        <v>19</v>
      </c>
      <c r="I18666" s="3">
        <v>838.79</v>
      </c>
      <c r="J18666" s="3">
        <v>1028.27</v>
      </c>
      <c r="P18666" t="str">
        <f>""</f>
        <v/>
      </c>
    </row>
    <row r="18667" spans="1:16" x14ac:dyDescent="0.25">
      <c r="A18667" t="str">
        <f>"1270045N00070    00"</f>
        <v>1270045N00070    00</v>
      </c>
      <c r="B18667" t="s">
        <v>40548</v>
      </c>
      <c r="C18667" t="s">
        <v>38569</v>
      </c>
      <c r="D18667" t="s">
        <v>20</v>
      </c>
      <c r="E18667" t="s">
        <v>39</v>
      </c>
      <c r="F18667">
        <v>0</v>
      </c>
      <c r="G18667">
        <v>0</v>
      </c>
      <c r="H18667">
        <v>19</v>
      </c>
      <c r="I18667" s="3">
        <v>8152.53</v>
      </c>
      <c r="J18667" s="3">
        <v>8867.23</v>
      </c>
      <c r="L18667">
        <v>1318</v>
      </c>
      <c r="M18667" t="s">
        <v>4167</v>
      </c>
      <c r="N18667" t="s">
        <v>30</v>
      </c>
      <c r="O18667" t="s">
        <v>31</v>
      </c>
      <c r="P18667" t="str">
        <f>"15212"</f>
        <v>15212</v>
      </c>
    </row>
    <row r="18668" spans="1:16" x14ac:dyDescent="0.25">
      <c r="A18668" t="str">
        <f>"1270045N00071    00"</f>
        <v>1270045N00071    00</v>
      </c>
      <c r="B18668" t="s">
        <v>40549</v>
      </c>
      <c r="C18668" t="s">
        <v>38569</v>
      </c>
      <c r="D18668" t="s">
        <v>20</v>
      </c>
      <c r="E18668" t="s">
        <v>39</v>
      </c>
      <c r="F18668">
        <v>0</v>
      </c>
      <c r="G18668">
        <v>0</v>
      </c>
      <c r="H18668">
        <v>14</v>
      </c>
      <c r="I18668" s="3">
        <v>2874.8</v>
      </c>
      <c r="J18668" s="3">
        <v>3015.07</v>
      </c>
      <c r="K18668" t="s">
        <v>40550</v>
      </c>
      <c r="L18668">
        <v>1254</v>
      </c>
      <c r="M18668" t="s">
        <v>19127</v>
      </c>
      <c r="N18668" t="s">
        <v>30</v>
      </c>
      <c r="O18668" t="s">
        <v>31</v>
      </c>
      <c r="P18668" t="str">
        <f>"15212"</f>
        <v>15212</v>
      </c>
    </row>
    <row r="18669" spans="1:16" x14ac:dyDescent="0.25">
      <c r="A18669" t="str">
        <f>"1270045N00072    00"</f>
        <v>1270045N00072    00</v>
      </c>
      <c r="B18669" t="s">
        <v>40551</v>
      </c>
      <c r="C18669" t="s">
        <v>40552</v>
      </c>
      <c r="D18669" t="s">
        <v>20</v>
      </c>
      <c r="E18669" t="s">
        <v>39</v>
      </c>
      <c r="F18669">
        <v>0</v>
      </c>
      <c r="G18669">
        <v>0</v>
      </c>
      <c r="H18669">
        <v>6</v>
      </c>
      <c r="I18669" s="3">
        <v>100.7</v>
      </c>
      <c r="J18669" s="3">
        <v>22.97</v>
      </c>
      <c r="K18669" t="s">
        <v>40553</v>
      </c>
      <c r="L18669">
        <v>543</v>
      </c>
      <c r="M18669" t="s">
        <v>27254</v>
      </c>
      <c r="N18669" t="s">
        <v>30</v>
      </c>
      <c r="O18669" t="s">
        <v>31</v>
      </c>
      <c r="P18669" t="str">
        <f>"15202"</f>
        <v>15202</v>
      </c>
    </row>
    <row r="18670" spans="1:16" x14ac:dyDescent="0.25">
      <c r="A18670" t="str">
        <f>"1270045N00073    00"</f>
        <v>1270045N00073    00</v>
      </c>
      <c r="B18670" t="s">
        <v>14349</v>
      </c>
      <c r="C18670" t="s">
        <v>40554</v>
      </c>
      <c r="D18670" t="s">
        <v>20</v>
      </c>
      <c r="E18670" t="s">
        <v>39</v>
      </c>
      <c r="F18670">
        <v>0</v>
      </c>
      <c r="G18670">
        <v>0</v>
      </c>
      <c r="H18670">
        <v>16</v>
      </c>
      <c r="I18670" s="3">
        <v>8660.9699999999993</v>
      </c>
      <c r="J18670" s="3">
        <v>6600.34</v>
      </c>
      <c r="L18670">
        <v>12302</v>
      </c>
      <c r="M18670" t="s">
        <v>40555</v>
      </c>
      <c r="N18670" t="s">
        <v>40556</v>
      </c>
      <c r="O18670" t="s">
        <v>692</v>
      </c>
      <c r="P18670" t="str">
        <f>"20136"</f>
        <v>20136</v>
      </c>
    </row>
    <row r="18671" spans="1:16" x14ac:dyDescent="0.25">
      <c r="A18671" t="str">
        <f>"1270045N00075    00"</f>
        <v>1270045N00075    00</v>
      </c>
      <c r="B18671" t="s">
        <v>40557</v>
      </c>
      <c r="C18671" t="s">
        <v>40558</v>
      </c>
      <c r="D18671" t="s">
        <v>20</v>
      </c>
      <c r="E18671" t="s">
        <v>39</v>
      </c>
      <c r="F18671">
        <v>0</v>
      </c>
      <c r="G18671">
        <v>0</v>
      </c>
      <c r="H18671">
        <v>6</v>
      </c>
      <c r="I18671" s="3">
        <v>363.02</v>
      </c>
      <c r="J18671" s="3">
        <v>81.150000000000006</v>
      </c>
      <c r="L18671">
        <v>1313</v>
      </c>
      <c r="M18671" t="s">
        <v>40532</v>
      </c>
      <c r="N18671" t="s">
        <v>30</v>
      </c>
      <c r="O18671" t="s">
        <v>31</v>
      </c>
      <c r="P18671" t="str">
        <f>"15212"</f>
        <v>15212</v>
      </c>
    </row>
    <row r="18672" spans="1:16" x14ac:dyDescent="0.25">
      <c r="A18672" t="str">
        <f>"1270045N00099    00"</f>
        <v>1270045N00099    00</v>
      </c>
      <c r="B18672" t="s">
        <v>40559</v>
      </c>
      <c r="C18672" t="s">
        <v>33635</v>
      </c>
      <c r="D18672" t="s">
        <v>20</v>
      </c>
      <c r="E18672" t="s">
        <v>21</v>
      </c>
      <c r="F18672">
        <v>0</v>
      </c>
      <c r="G18672">
        <v>0</v>
      </c>
      <c r="H18672">
        <v>17</v>
      </c>
      <c r="I18672" s="3">
        <v>591.05999999999995</v>
      </c>
      <c r="J18672" s="3">
        <v>786.05</v>
      </c>
      <c r="K18672" t="s">
        <v>1037</v>
      </c>
      <c r="L18672">
        <v>6311</v>
      </c>
      <c r="M18672" t="s">
        <v>9086</v>
      </c>
      <c r="N18672" t="s">
        <v>30</v>
      </c>
      <c r="O18672" t="s">
        <v>31</v>
      </c>
      <c r="P18672" t="str">
        <f>"15206"</f>
        <v>15206</v>
      </c>
    </row>
    <row r="18673" spans="1:16" x14ac:dyDescent="0.25">
      <c r="A18673" t="str">
        <f>"1270045N00113    00"</f>
        <v>1270045N00113    00</v>
      </c>
      <c r="B18673" t="s">
        <v>40560</v>
      </c>
      <c r="C18673" t="s">
        <v>38569</v>
      </c>
      <c r="D18673" t="s">
        <v>20</v>
      </c>
      <c r="E18673" t="s">
        <v>39</v>
      </c>
      <c r="F18673">
        <v>0</v>
      </c>
      <c r="G18673">
        <v>0</v>
      </c>
      <c r="H18673">
        <v>19</v>
      </c>
      <c r="I18673" s="3">
        <v>698.95</v>
      </c>
      <c r="J18673" s="3">
        <v>886.46</v>
      </c>
      <c r="L18673">
        <v>619</v>
      </c>
      <c r="M18673" t="s">
        <v>3522</v>
      </c>
      <c r="N18673" t="s">
        <v>40561</v>
      </c>
      <c r="O18673" t="s">
        <v>31</v>
      </c>
      <c r="P18673" t="str">
        <f>"15136"</f>
        <v>15136</v>
      </c>
    </row>
    <row r="18674" spans="1:16" x14ac:dyDescent="0.25">
      <c r="A18674" t="str">
        <f>"1270045N00115    00"</f>
        <v>1270045N00115    00</v>
      </c>
      <c r="B18674" t="s">
        <v>40562</v>
      </c>
      <c r="C18674" t="s">
        <v>40563</v>
      </c>
      <c r="D18674" t="s">
        <v>20</v>
      </c>
      <c r="E18674" t="s">
        <v>39</v>
      </c>
      <c r="F18674">
        <v>0</v>
      </c>
      <c r="G18674">
        <v>0</v>
      </c>
      <c r="H18674">
        <v>2</v>
      </c>
      <c r="I18674" s="3">
        <v>109.26</v>
      </c>
      <c r="J18674" s="3">
        <v>0</v>
      </c>
      <c r="L18674">
        <v>1402</v>
      </c>
      <c r="M18674" t="s">
        <v>4167</v>
      </c>
      <c r="N18674" t="s">
        <v>30</v>
      </c>
      <c r="O18674" t="s">
        <v>31</v>
      </c>
      <c r="P18674" t="str">
        <f>"15212"</f>
        <v>15212</v>
      </c>
    </row>
    <row r="18675" spans="1:16" x14ac:dyDescent="0.25">
      <c r="A18675" t="str">
        <f>"1270045N00116    00"</f>
        <v>1270045N00116    00</v>
      </c>
      <c r="B18675" t="s">
        <v>40564</v>
      </c>
      <c r="C18675" t="s">
        <v>40565</v>
      </c>
      <c r="D18675" t="s">
        <v>20</v>
      </c>
      <c r="E18675" t="s">
        <v>39</v>
      </c>
      <c r="F18675">
        <v>0</v>
      </c>
      <c r="G18675">
        <v>0</v>
      </c>
      <c r="H18675">
        <v>3</v>
      </c>
      <c r="I18675" s="3">
        <v>2819.01</v>
      </c>
      <c r="J18675" s="3">
        <v>187.93</v>
      </c>
      <c r="K18675" t="s">
        <v>40566</v>
      </c>
      <c r="L18675">
        <v>68</v>
      </c>
      <c r="M18675" t="s">
        <v>36223</v>
      </c>
      <c r="N18675" t="s">
        <v>30</v>
      </c>
      <c r="O18675" t="s">
        <v>31</v>
      </c>
      <c r="P18675" t="str">
        <f>"15229"</f>
        <v>15229</v>
      </c>
    </row>
    <row r="18676" spans="1:16" x14ac:dyDescent="0.25">
      <c r="A18676" t="str">
        <f>"1270045N00119    00"</f>
        <v>1270045N00119    00</v>
      </c>
      <c r="B18676" t="s">
        <v>30497</v>
      </c>
      <c r="C18676" t="s">
        <v>40510</v>
      </c>
      <c r="D18676" t="s">
        <v>20</v>
      </c>
      <c r="E18676" t="s">
        <v>39</v>
      </c>
      <c r="F18676">
        <v>0</v>
      </c>
      <c r="G18676">
        <v>0</v>
      </c>
      <c r="H18676">
        <v>15</v>
      </c>
      <c r="I18676" s="3">
        <v>2203.02</v>
      </c>
      <c r="J18676" s="3">
        <v>1325.44</v>
      </c>
      <c r="L18676">
        <v>1</v>
      </c>
      <c r="M18676" t="s">
        <v>30499</v>
      </c>
      <c r="N18676" t="s">
        <v>16695</v>
      </c>
      <c r="O18676" t="s">
        <v>495</v>
      </c>
      <c r="P18676" t="str">
        <f>"92618"</f>
        <v>92618</v>
      </c>
    </row>
    <row r="18677" spans="1:16" x14ac:dyDescent="0.25">
      <c r="A18677" t="str">
        <f>"1270045N00120    00"</f>
        <v>1270045N00120    00</v>
      </c>
      <c r="B18677" t="s">
        <v>30497</v>
      </c>
      <c r="C18677" t="s">
        <v>40510</v>
      </c>
      <c r="D18677" t="s">
        <v>20</v>
      </c>
      <c r="E18677" t="s">
        <v>39</v>
      </c>
      <c r="F18677">
        <v>0</v>
      </c>
      <c r="G18677">
        <v>0</v>
      </c>
      <c r="H18677">
        <v>15</v>
      </c>
      <c r="I18677" s="3">
        <v>1173.51</v>
      </c>
      <c r="J18677" s="3">
        <v>758.76</v>
      </c>
      <c r="M18677" t="s">
        <v>40567</v>
      </c>
      <c r="N18677" t="s">
        <v>16695</v>
      </c>
      <c r="O18677" t="s">
        <v>495</v>
      </c>
      <c r="P18677" t="str">
        <f>"92623"</f>
        <v>92623</v>
      </c>
    </row>
    <row r="18678" spans="1:16" x14ac:dyDescent="0.25">
      <c r="A18678" t="str">
        <f>"1270045N00124    00"</f>
        <v>1270045N00124    00</v>
      </c>
      <c r="B18678" t="s">
        <v>37134</v>
      </c>
      <c r="C18678" t="s">
        <v>40568</v>
      </c>
      <c r="D18678" t="s">
        <v>20</v>
      </c>
      <c r="E18678" t="s">
        <v>39</v>
      </c>
      <c r="F18678">
        <v>0</v>
      </c>
      <c r="G18678">
        <v>0</v>
      </c>
      <c r="H18678">
        <v>10</v>
      </c>
      <c r="I18678" s="3">
        <v>2774.25</v>
      </c>
      <c r="J18678" s="3">
        <v>1187.8900000000001</v>
      </c>
      <c r="L18678">
        <v>433</v>
      </c>
      <c r="M18678" t="s">
        <v>37136</v>
      </c>
      <c r="N18678" t="s">
        <v>30</v>
      </c>
      <c r="O18678" t="s">
        <v>31</v>
      </c>
      <c r="P18678" t="str">
        <f>"15202"</f>
        <v>15202</v>
      </c>
    </row>
    <row r="18679" spans="1:16" x14ac:dyDescent="0.25">
      <c r="A18679" t="str">
        <f>"1270045N00126    00"</f>
        <v>1270045N00126    00</v>
      </c>
      <c r="B18679" t="s">
        <v>40569</v>
      </c>
      <c r="C18679" t="s">
        <v>40570</v>
      </c>
      <c r="D18679" t="s">
        <v>20</v>
      </c>
      <c r="E18679" t="s">
        <v>39</v>
      </c>
      <c r="F18679">
        <v>0</v>
      </c>
      <c r="G18679">
        <v>0</v>
      </c>
      <c r="H18679">
        <v>2</v>
      </c>
      <c r="I18679" s="3">
        <v>1090.28</v>
      </c>
      <c r="J18679" s="3">
        <v>0</v>
      </c>
      <c r="K18679" t="s">
        <v>40571</v>
      </c>
      <c r="L18679">
        <v>212</v>
      </c>
      <c r="M18679" t="s">
        <v>37578</v>
      </c>
      <c r="N18679" t="s">
        <v>30</v>
      </c>
      <c r="O18679" t="s">
        <v>31</v>
      </c>
      <c r="P18679" t="str">
        <f>"15214"</f>
        <v>15214</v>
      </c>
    </row>
    <row r="18680" spans="1:16" x14ac:dyDescent="0.25">
      <c r="A18680" t="str">
        <f>"1270045N00131    00"</f>
        <v>1270045N00131    00</v>
      </c>
      <c r="B18680" t="s">
        <v>40572</v>
      </c>
      <c r="C18680" t="s">
        <v>40573</v>
      </c>
      <c r="D18680" t="s">
        <v>20</v>
      </c>
      <c r="E18680" t="s">
        <v>39</v>
      </c>
      <c r="F18680">
        <v>0</v>
      </c>
      <c r="G18680">
        <v>0</v>
      </c>
      <c r="H18680">
        <v>19</v>
      </c>
      <c r="I18680" s="3">
        <v>4222.99</v>
      </c>
      <c r="J18680" s="3">
        <v>6066.93</v>
      </c>
      <c r="L18680">
        <v>4425</v>
      </c>
      <c r="M18680" t="s">
        <v>10869</v>
      </c>
      <c r="N18680" t="s">
        <v>40574</v>
      </c>
      <c r="O18680" t="s">
        <v>370</v>
      </c>
      <c r="P18680" t="str">
        <f>"33146"</f>
        <v>33146</v>
      </c>
    </row>
    <row r="18681" spans="1:16" x14ac:dyDescent="0.25">
      <c r="A18681" t="str">
        <f>"1270045N00134    00"</f>
        <v>1270045N00134    00</v>
      </c>
      <c r="B18681" t="s">
        <v>40519</v>
      </c>
      <c r="C18681" t="s">
        <v>40510</v>
      </c>
      <c r="D18681" t="s">
        <v>20</v>
      </c>
      <c r="E18681" t="s">
        <v>39</v>
      </c>
      <c r="F18681">
        <v>0</v>
      </c>
      <c r="G18681">
        <v>0</v>
      </c>
      <c r="H18681">
        <v>19</v>
      </c>
      <c r="I18681" s="3">
        <v>745.6</v>
      </c>
      <c r="J18681" s="3">
        <v>934.03</v>
      </c>
      <c r="K18681" t="s">
        <v>40575</v>
      </c>
      <c r="L18681">
        <v>1314</v>
      </c>
      <c r="M18681" t="s">
        <v>40483</v>
      </c>
      <c r="N18681" t="s">
        <v>30</v>
      </c>
      <c r="O18681" t="s">
        <v>31</v>
      </c>
      <c r="P18681" t="str">
        <f>"15212"</f>
        <v>15212</v>
      </c>
    </row>
    <row r="18682" spans="1:16" x14ac:dyDescent="0.25">
      <c r="A18682" t="str">
        <f>"1270045N00139    00"</f>
        <v>1270045N00139    00</v>
      </c>
      <c r="B18682" t="s">
        <v>40576</v>
      </c>
      <c r="C18682" t="s">
        <v>40577</v>
      </c>
      <c r="D18682" t="s">
        <v>20</v>
      </c>
      <c r="E18682" t="s">
        <v>39</v>
      </c>
      <c r="F18682">
        <v>0</v>
      </c>
      <c r="G18682">
        <v>0</v>
      </c>
      <c r="H18682">
        <v>19</v>
      </c>
      <c r="I18682" s="3">
        <v>15403.07</v>
      </c>
      <c r="J18682" s="3">
        <v>15357.05</v>
      </c>
      <c r="L18682">
        <v>138</v>
      </c>
      <c r="M18682" t="s">
        <v>40578</v>
      </c>
      <c r="N18682" t="s">
        <v>40579</v>
      </c>
      <c r="O18682" t="s">
        <v>31</v>
      </c>
      <c r="P18682" t="str">
        <f>"15229"</f>
        <v>15229</v>
      </c>
    </row>
    <row r="18683" spans="1:16" x14ac:dyDescent="0.25">
      <c r="A18683" t="str">
        <f>"1270045N00144    00"</f>
        <v>1270045N00144    00</v>
      </c>
      <c r="B18683" t="s">
        <v>40580</v>
      </c>
      <c r="C18683" t="s">
        <v>40581</v>
      </c>
      <c r="D18683" t="s">
        <v>20</v>
      </c>
      <c r="E18683" t="s">
        <v>39</v>
      </c>
      <c r="F18683">
        <v>0</v>
      </c>
      <c r="G18683">
        <v>0</v>
      </c>
      <c r="H18683">
        <v>16</v>
      </c>
      <c r="I18683" s="3">
        <v>6471.86</v>
      </c>
      <c r="J18683" s="3">
        <v>4971</v>
      </c>
      <c r="L18683">
        <v>41</v>
      </c>
      <c r="M18683" t="s">
        <v>40582</v>
      </c>
      <c r="N18683" t="s">
        <v>30</v>
      </c>
      <c r="O18683" t="s">
        <v>31</v>
      </c>
      <c r="P18683" t="str">
        <f>"15229"</f>
        <v>15229</v>
      </c>
    </row>
    <row r="18684" spans="1:16" x14ac:dyDescent="0.25">
      <c r="A18684" t="str">
        <f>"1270045N00144A   00"</f>
        <v>1270045N00144A   00</v>
      </c>
      <c r="B18684" t="s">
        <v>40583</v>
      </c>
      <c r="C18684" t="s">
        <v>40584</v>
      </c>
      <c r="D18684" t="s">
        <v>20</v>
      </c>
      <c r="E18684" t="s">
        <v>39</v>
      </c>
      <c r="F18684">
        <v>0</v>
      </c>
      <c r="G18684">
        <v>0</v>
      </c>
      <c r="H18684">
        <v>13</v>
      </c>
      <c r="I18684" s="3">
        <v>5586.14</v>
      </c>
      <c r="J18684" s="3">
        <v>3792.82</v>
      </c>
      <c r="L18684">
        <v>41</v>
      </c>
      <c r="M18684" t="s">
        <v>40585</v>
      </c>
      <c r="N18684" t="s">
        <v>30</v>
      </c>
      <c r="O18684" t="s">
        <v>31</v>
      </c>
      <c r="P18684" t="str">
        <f>"15229"</f>
        <v>15229</v>
      </c>
    </row>
    <row r="18685" spans="1:16" x14ac:dyDescent="0.25">
      <c r="A18685" t="str">
        <f>"1270045N00145000100"</f>
        <v>1270045N00145000100</v>
      </c>
      <c r="B18685" t="s">
        <v>40586</v>
      </c>
      <c r="C18685" t="s">
        <v>40573</v>
      </c>
      <c r="D18685" t="s">
        <v>20</v>
      </c>
      <c r="E18685" t="s">
        <v>39</v>
      </c>
      <c r="F18685">
        <v>0</v>
      </c>
      <c r="G18685">
        <v>0</v>
      </c>
      <c r="H18685">
        <v>17</v>
      </c>
      <c r="I18685" s="3">
        <v>615.70000000000005</v>
      </c>
      <c r="J18685" s="3">
        <v>821.54</v>
      </c>
      <c r="K18685" t="s">
        <v>1037</v>
      </c>
      <c r="L18685">
        <v>2321</v>
      </c>
      <c r="M18685" t="s">
        <v>40587</v>
      </c>
      <c r="N18685" t="s">
        <v>30</v>
      </c>
      <c r="O18685" t="s">
        <v>31</v>
      </c>
      <c r="P18685" t="str">
        <f>"15212"</f>
        <v>15212</v>
      </c>
    </row>
    <row r="18686" spans="1:16" x14ac:dyDescent="0.25">
      <c r="A18686" t="str">
        <f>"1270045N00154    00"</f>
        <v>1270045N00154    00</v>
      </c>
      <c r="B18686" t="s">
        <v>40588</v>
      </c>
      <c r="C18686" t="s">
        <v>33621</v>
      </c>
      <c r="D18686" t="s">
        <v>20</v>
      </c>
      <c r="E18686" t="s">
        <v>39</v>
      </c>
      <c r="F18686">
        <v>0</v>
      </c>
      <c r="G18686">
        <v>0</v>
      </c>
      <c r="H18686">
        <v>17</v>
      </c>
      <c r="I18686" s="3">
        <v>8026.12</v>
      </c>
      <c r="J18686" s="3">
        <v>11084.15</v>
      </c>
      <c r="M18686" t="s">
        <v>40589</v>
      </c>
      <c r="N18686" t="s">
        <v>31750</v>
      </c>
      <c r="O18686" t="s">
        <v>495</v>
      </c>
      <c r="P18686" t="str">
        <f>"92038"</f>
        <v>92038</v>
      </c>
    </row>
    <row r="18687" spans="1:16" x14ac:dyDescent="0.25">
      <c r="A18687" t="str">
        <f>"1270045N00164    00"</f>
        <v>1270045N00164    00</v>
      </c>
      <c r="B18687" t="s">
        <v>40590</v>
      </c>
      <c r="C18687" t="s">
        <v>40591</v>
      </c>
      <c r="D18687" t="s">
        <v>20</v>
      </c>
      <c r="E18687" t="s">
        <v>39</v>
      </c>
      <c r="F18687">
        <v>0</v>
      </c>
      <c r="G18687">
        <v>0</v>
      </c>
      <c r="H18687">
        <v>18</v>
      </c>
      <c r="I18687" s="3">
        <v>12555.28</v>
      </c>
      <c r="J18687" s="3">
        <v>10459.19</v>
      </c>
      <c r="L18687">
        <v>305</v>
      </c>
      <c r="M18687" t="s">
        <v>40592</v>
      </c>
      <c r="N18687" t="s">
        <v>30</v>
      </c>
      <c r="O18687" t="s">
        <v>31</v>
      </c>
      <c r="P18687" t="str">
        <f>"15237"</f>
        <v>15237</v>
      </c>
    </row>
    <row r="18688" spans="1:16" x14ac:dyDescent="0.25">
      <c r="A18688" t="str">
        <f>"1270045N00165    00"</f>
        <v>1270045N00165    00</v>
      </c>
      <c r="B18688" t="s">
        <v>40593</v>
      </c>
      <c r="C18688" t="s">
        <v>40594</v>
      </c>
      <c r="D18688" t="s">
        <v>20</v>
      </c>
      <c r="E18688" t="s">
        <v>39</v>
      </c>
      <c r="F18688">
        <v>0</v>
      </c>
      <c r="G18688">
        <v>0</v>
      </c>
      <c r="H18688">
        <v>8</v>
      </c>
      <c r="I18688" s="3">
        <v>3120.49</v>
      </c>
      <c r="J18688" s="3">
        <v>909.88</v>
      </c>
      <c r="M18688" t="s">
        <v>40595</v>
      </c>
      <c r="N18688" t="s">
        <v>23649</v>
      </c>
      <c r="O18688" t="s">
        <v>9696</v>
      </c>
      <c r="P18688" t="str">
        <f>"46268"</f>
        <v>46268</v>
      </c>
    </row>
    <row r="18689" spans="1:16" x14ac:dyDescent="0.25">
      <c r="A18689" t="str">
        <f>"1270045N00177    00"</f>
        <v>1270045N00177    00</v>
      </c>
      <c r="B18689" t="s">
        <v>40596</v>
      </c>
      <c r="C18689" t="s">
        <v>40476</v>
      </c>
      <c r="D18689" t="s">
        <v>20</v>
      </c>
      <c r="E18689" t="s">
        <v>39</v>
      </c>
      <c r="F18689">
        <v>0</v>
      </c>
      <c r="G18689">
        <v>0</v>
      </c>
      <c r="H18689">
        <v>19</v>
      </c>
      <c r="I18689" s="3">
        <v>6752</v>
      </c>
      <c r="J18689" s="3">
        <v>6483.7</v>
      </c>
      <c r="L18689">
        <v>5141</v>
      </c>
      <c r="M18689" t="s">
        <v>25318</v>
      </c>
      <c r="N18689" t="s">
        <v>22225</v>
      </c>
      <c r="O18689" t="s">
        <v>31</v>
      </c>
      <c r="P18689" t="str">
        <f>"15332"</f>
        <v>15332</v>
      </c>
    </row>
    <row r="18690" spans="1:16" x14ac:dyDescent="0.25">
      <c r="A18690" t="str">
        <f>"1270045N00178    00"</f>
        <v>1270045N00178    00</v>
      </c>
      <c r="B18690" t="s">
        <v>40597</v>
      </c>
      <c r="C18690" t="s">
        <v>40476</v>
      </c>
      <c r="D18690" t="s">
        <v>20</v>
      </c>
      <c r="E18690" t="s">
        <v>39</v>
      </c>
      <c r="F18690">
        <v>0</v>
      </c>
      <c r="G18690">
        <v>0</v>
      </c>
      <c r="H18690">
        <v>19</v>
      </c>
      <c r="I18690" s="3">
        <v>8425.2900000000009</v>
      </c>
      <c r="J18690" s="3">
        <v>9744.7099999999991</v>
      </c>
      <c r="L18690">
        <v>7008</v>
      </c>
      <c r="M18690" t="s">
        <v>40598</v>
      </c>
      <c r="N18690" t="s">
        <v>3681</v>
      </c>
      <c r="O18690" t="s">
        <v>273</v>
      </c>
      <c r="P18690" t="str">
        <f>"29223"</f>
        <v>29223</v>
      </c>
    </row>
    <row r="18691" spans="1:16" x14ac:dyDescent="0.25">
      <c r="A18691" t="str">
        <f>"1270045N00179    00"</f>
        <v>1270045N00179    00</v>
      </c>
      <c r="B18691" t="s">
        <v>40599</v>
      </c>
      <c r="C18691" t="s">
        <v>40600</v>
      </c>
      <c r="D18691" t="s">
        <v>20</v>
      </c>
      <c r="E18691" t="s">
        <v>39</v>
      </c>
      <c r="F18691">
        <v>0</v>
      </c>
      <c r="G18691">
        <v>0</v>
      </c>
      <c r="H18691">
        <v>4</v>
      </c>
      <c r="I18691" s="3">
        <v>140.69</v>
      </c>
      <c r="J18691" s="3">
        <v>11.52</v>
      </c>
      <c r="L18691">
        <v>141</v>
      </c>
      <c r="M18691" t="s">
        <v>16500</v>
      </c>
      <c r="N18691" t="s">
        <v>30</v>
      </c>
      <c r="O18691" t="s">
        <v>31</v>
      </c>
      <c r="P18691" t="str">
        <f>"15235"</f>
        <v>15235</v>
      </c>
    </row>
    <row r="18692" spans="1:16" x14ac:dyDescent="0.25">
      <c r="A18692" t="str">
        <f>"1270045N00180    00"</f>
        <v>1270045N00180    00</v>
      </c>
      <c r="B18692" t="s">
        <v>40601</v>
      </c>
      <c r="C18692" t="s">
        <v>40602</v>
      </c>
      <c r="D18692" t="s">
        <v>20</v>
      </c>
      <c r="E18692" t="s">
        <v>39</v>
      </c>
      <c r="F18692">
        <v>0</v>
      </c>
      <c r="G18692">
        <v>0</v>
      </c>
      <c r="H18692">
        <v>19</v>
      </c>
      <c r="I18692" s="3">
        <v>7114.43</v>
      </c>
      <c r="J18692" s="3">
        <v>9829.6</v>
      </c>
      <c r="K18692" t="s">
        <v>1008</v>
      </c>
      <c r="P18692" t="str">
        <f>""</f>
        <v/>
      </c>
    </row>
    <row r="18693" spans="1:16" x14ac:dyDescent="0.25">
      <c r="A18693" t="str">
        <f>"1270045N00181    00"</f>
        <v>1270045N00181    00</v>
      </c>
      <c r="B18693" t="s">
        <v>40603</v>
      </c>
      <c r="C18693" t="s">
        <v>40604</v>
      </c>
      <c r="D18693" t="s">
        <v>20</v>
      </c>
      <c r="E18693" t="s">
        <v>39</v>
      </c>
      <c r="F18693">
        <v>0</v>
      </c>
      <c r="G18693">
        <v>0</v>
      </c>
      <c r="H18693">
        <v>19</v>
      </c>
      <c r="I18693" s="3">
        <v>13633.35</v>
      </c>
      <c r="J18693" s="3">
        <v>15315.12</v>
      </c>
      <c r="L18693">
        <v>1400</v>
      </c>
      <c r="M18693" t="s">
        <v>40483</v>
      </c>
      <c r="N18693" t="s">
        <v>30</v>
      </c>
      <c r="O18693" t="s">
        <v>31</v>
      </c>
      <c r="P18693" t="str">
        <f>"15212"</f>
        <v>15212</v>
      </c>
    </row>
    <row r="18694" spans="1:16" x14ac:dyDescent="0.25">
      <c r="A18694" t="str">
        <f>"1270045N00197    00"</f>
        <v>1270045N00197    00</v>
      </c>
      <c r="B18694" t="s">
        <v>40605</v>
      </c>
      <c r="C18694" t="s">
        <v>40606</v>
      </c>
      <c r="D18694" t="s">
        <v>20</v>
      </c>
      <c r="E18694" t="s">
        <v>39</v>
      </c>
      <c r="F18694">
        <v>0</v>
      </c>
      <c r="G18694">
        <v>0</v>
      </c>
      <c r="H18694">
        <v>17</v>
      </c>
      <c r="I18694" s="3">
        <v>615.70000000000005</v>
      </c>
      <c r="J18694" s="3">
        <v>821.54</v>
      </c>
      <c r="K18694" t="s">
        <v>1008</v>
      </c>
      <c r="P18694" t="str">
        <f>""</f>
        <v/>
      </c>
    </row>
    <row r="18695" spans="1:16" x14ac:dyDescent="0.25">
      <c r="A18695" t="str">
        <f>"1270045N00213    00"</f>
        <v>1270045N00213    00</v>
      </c>
      <c r="B18695" t="s">
        <v>40607</v>
      </c>
      <c r="C18695" t="s">
        <v>33621</v>
      </c>
      <c r="E18695" t="s">
        <v>39</v>
      </c>
      <c r="F18695">
        <v>0</v>
      </c>
      <c r="G18695">
        <v>0</v>
      </c>
      <c r="H18695">
        <v>1</v>
      </c>
      <c r="I18695" s="3">
        <v>44.94</v>
      </c>
      <c r="J18695" s="3">
        <v>0</v>
      </c>
      <c r="L18695">
        <v>62</v>
      </c>
      <c r="M18695" t="s">
        <v>37030</v>
      </c>
      <c r="N18695" t="s">
        <v>30</v>
      </c>
      <c r="O18695" t="s">
        <v>31</v>
      </c>
      <c r="P18695" t="str">
        <f>"15222"</f>
        <v>15222</v>
      </c>
    </row>
    <row r="18696" spans="1:16" x14ac:dyDescent="0.25">
      <c r="A18696" t="str">
        <f>"1270045N00214    00"</f>
        <v>1270045N00214    00</v>
      </c>
      <c r="B18696" t="s">
        <v>40607</v>
      </c>
      <c r="C18696" t="s">
        <v>33621</v>
      </c>
      <c r="E18696" t="s">
        <v>39</v>
      </c>
      <c r="F18696">
        <v>0</v>
      </c>
      <c r="G18696">
        <v>0</v>
      </c>
      <c r="H18696">
        <v>1</v>
      </c>
      <c r="I18696" s="3">
        <v>44.94</v>
      </c>
      <c r="J18696" s="3">
        <v>0</v>
      </c>
      <c r="L18696">
        <v>62</v>
      </c>
      <c r="M18696" t="s">
        <v>37030</v>
      </c>
      <c r="N18696" t="s">
        <v>30</v>
      </c>
      <c r="O18696" t="s">
        <v>31</v>
      </c>
      <c r="P18696" t="str">
        <f>"15202"</f>
        <v>15202</v>
      </c>
    </row>
    <row r="18697" spans="1:16" x14ac:dyDescent="0.25">
      <c r="A18697" t="str">
        <f>"1270045N00215    00"</f>
        <v>1270045N00215    00</v>
      </c>
      <c r="B18697" t="s">
        <v>40608</v>
      </c>
      <c r="C18697" t="s">
        <v>40606</v>
      </c>
      <c r="D18697" t="s">
        <v>20</v>
      </c>
      <c r="E18697" t="s">
        <v>39</v>
      </c>
      <c r="F18697">
        <v>0</v>
      </c>
      <c r="G18697">
        <v>0</v>
      </c>
      <c r="H18697">
        <v>19</v>
      </c>
      <c r="I18697" s="3">
        <v>12964.68</v>
      </c>
      <c r="J18697" s="3">
        <v>15640.09</v>
      </c>
      <c r="L18697">
        <v>2356</v>
      </c>
      <c r="M18697" t="s">
        <v>33622</v>
      </c>
      <c r="N18697" t="s">
        <v>30</v>
      </c>
      <c r="O18697" t="s">
        <v>31</v>
      </c>
      <c r="P18697" t="str">
        <f>"15212"</f>
        <v>15212</v>
      </c>
    </row>
    <row r="18698" spans="1:16" x14ac:dyDescent="0.25">
      <c r="A18698" t="str">
        <f>"1270045N00221    00"</f>
        <v>1270045N00221    00</v>
      </c>
      <c r="B18698" t="s">
        <v>40609</v>
      </c>
      <c r="C18698" t="s">
        <v>40610</v>
      </c>
      <c r="D18698" t="s">
        <v>20</v>
      </c>
      <c r="E18698" t="s">
        <v>39</v>
      </c>
      <c r="F18698">
        <v>0</v>
      </c>
      <c r="G18698">
        <v>0</v>
      </c>
      <c r="H18698">
        <v>19</v>
      </c>
      <c r="I18698" s="3">
        <v>16038.01</v>
      </c>
      <c r="J18698" s="3">
        <v>17472.48</v>
      </c>
      <c r="L18698">
        <v>1717</v>
      </c>
      <c r="M18698" t="s">
        <v>1695</v>
      </c>
      <c r="N18698" t="s">
        <v>30</v>
      </c>
      <c r="O18698" t="s">
        <v>31</v>
      </c>
      <c r="P18698" t="str">
        <f>"15217"</f>
        <v>15217</v>
      </c>
    </row>
    <row r="18699" spans="1:16" x14ac:dyDescent="0.25">
      <c r="A18699" t="str">
        <f>"1270045N00223    00"</f>
        <v>1270045N00223    00</v>
      </c>
      <c r="B18699" t="s">
        <v>40611</v>
      </c>
      <c r="C18699" t="s">
        <v>40612</v>
      </c>
      <c r="D18699" t="s">
        <v>20</v>
      </c>
      <c r="E18699" t="s">
        <v>39</v>
      </c>
      <c r="F18699">
        <v>0</v>
      </c>
      <c r="G18699">
        <v>0</v>
      </c>
      <c r="H18699">
        <v>10</v>
      </c>
      <c r="I18699" s="3">
        <v>4180.8999999999996</v>
      </c>
      <c r="J18699" s="3">
        <v>2387.0300000000002</v>
      </c>
      <c r="L18699">
        <v>2343</v>
      </c>
      <c r="M18699" t="s">
        <v>33622</v>
      </c>
      <c r="N18699" t="s">
        <v>30</v>
      </c>
      <c r="O18699" t="s">
        <v>31</v>
      </c>
      <c r="P18699" t="str">
        <f>"15212"</f>
        <v>15212</v>
      </c>
    </row>
    <row r="18700" spans="1:16" x14ac:dyDescent="0.25">
      <c r="A18700" t="str">
        <f>"1270045N00224    00"</f>
        <v>1270045N00224    00</v>
      </c>
      <c r="B18700" t="s">
        <v>40613</v>
      </c>
      <c r="C18700" t="s">
        <v>40614</v>
      </c>
      <c r="D18700" t="s">
        <v>20</v>
      </c>
      <c r="E18700" t="s">
        <v>39</v>
      </c>
      <c r="F18700">
        <v>0</v>
      </c>
      <c r="G18700">
        <v>0</v>
      </c>
      <c r="H18700">
        <v>16</v>
      </c>
      <c r="I18700" s="3">
        <v>9711.1299999999992</v>
      </c>
      <c r="J18700" s="3">
        <v>8225.9699999999993</v>
      </c>
      <c r="L18700">
        <v>337</v>
      </c>
      <c r="M18700" t="s">
        <v>40615</v>
      </c>
      <c r="N18700" t="s">
        <v>1067</v>
      </c>
      <c r="O18700" t="s">
        <v>31</v>
      </c>
      <c r="P18700" t="str">
        <f>"15143"</f>
        <v>15143</v>
      </c>
    </row>
    <row r="18701" spans="1:16" x14ac:dyDescent="0.25">
      <c r="A18701" t="str">
        <f>"1270045N00228    00"</f>
        <v>1270045N00228    00</v>
      </c>
      <c r="B18701" t="s">
        <v>40616</v>
      </c>
      <c r="C18701" t="s">
        <v>40617</v>
      </c>
      <c r="D18701" t="s">
        <v>20</v>
      </c>
      <c r="E18701" t="s">
        <v>39</v>
      </c>
      <c r="F18701">
        <v>0</v>
      </c>
      <c r="G18701">
        <v>0</v>
      </c>
      <c r="H18701">
        <v>11</v>
      </c>
      <c r="I18701" s="3">
        <v>1897.42</v>
      </c>
      <c r="J18701" s="3">
        <v>907.64</v>
      </c>
      <c r="L18701">
        <v>18938</v>
      </c>
      <c r="M18701" t="s">
        <v>40618</v>
      </c>
      <c r="N18701" t="s">
        <v>40619</v>
      </c>
      <c r="O18701" t="s">
        <v>70</v>
      </c>
      <c r="P18701" t="str">
        <f>"48066"</f>
        <v>48066</v>
      </c>
    </row>
    <row r="18702" spans="1:16" x14ac:dyDescent="0.25">
      <c r="A18702" t="str">
        <f>"1270045N00229    00"</f>
        <v>1270045N00229    00</v>
      </c>
      <c r="B18702" t="s">
        <v>40620</v>
      </c>
      <c r="C18702" t="s">
        <v>40621</v>
      </c>
      <c r="D18702" t="s">
        <v>20</v>
      </c>
      <c r="E18702" t="s">
        <v>39</v>
      </c>
      <c r="F18702">
        <v>0</v>
      </c>
      <c r="G18702">
        <v>0</v>
      </c>
      <c r="H18702">
        <v>19</v>
      </c>
      <c r="I18702" s="3">
        <v>14693.53</v>
      </c>
      <c r="J18702" s="3">
        <v>14901.38</v>
      </c>
      <c r="L18702">
        <v>2325</v>
      </c>
      <c r="M18702" t="s">
        <v>33622</v>
      </c>
      <c r="N18702" t="s">
        <v>30</v>
      </c>
      <c r="O18702" t="s">
        <v>31</v>
      </c>
      <c r="P18702" t="str">
        <f>"15212"</f>
        <v>15212</v>
      </c>
    </row>
    <row r="18703" spans="1:16" x14ac:dyDescent="0.25">
      <c r="A18703" t="str">
        <f>"1270045N00231    00"</f>
        <v>1270045N00231    00</v>
      </c>
      <c r="B18703" t="s">
        <v>40622</v>
      </c>
      <c r="C18703" t="s">
        <v>40623</v>
      </c>
      <c r="D18703" t="s">
        <v>20</v>
      </c>
      <c r="E18703" t="s">
        <v>39</v>
      </c>
      <c r="F18703">
        <v>0</v>
      </c>
      <c r="G18703">
        <v>0</v>
      </c>
      <c r="H18703">
        <v>19</v>
      </c>
      <c r="I18703" s="3">
        <v>11870.6</v>
      </c>
      <c r="J18703" s="3">
        <v>13620.73</v>
      </c>
      <c r="L18703">
        <v>2320</v>
      </c>
      <c r="M18703" t="s">
        <v>40624</v>
      </c>
      <c r="N18703" t="s">
        <v>30</v>
      </c>
      <c r="O18703" t="s">
        <v>31</v>
      </c>
      <c r="P18703" t="str">
        <f>"15212"</f>
        <v>15212</v>
      </c>
    </row>
    <row r="18704" spans="1:16" x14ac:dyDescent="0.25">
      <c r="A18704" t="str">
        <f>"1270045N00231A   00"</f>
        <v>1270045N00231A   00</v>
      </c>
      <c r="B18704" t="s">
        <v>40625</v>
      </c>
      <c r="C18704" t="s">
        <v>40626</v>
      </c>
      <c r="D18704" t="s">
        <v>20</v>
      </c>
      <c r="E18704" t="s">
        <v>39</v>
      </c>
      <c r="F18704">
        <v>0</v>
      </c>
      <c r="G18704">
        <v>0</v>
      </c>
      <c r="H18704">
        <v>13</v>
      </c>
      <c r="I18704" s="3">
        <v>544.04</v>
      </c>
      <c r="J18704" s="3">
        <v>509.06</v>
      </c>
      <c r="L18704">
        <v>2557</v>
      </c>
      <c r="M18704" t="s">
        <v>40627</v>
      </c>
      <c r="N18704" t="s">
        <v>23858</v>
      </c>
      <c r="O18704" t="s">
        <v>31</v>
      </c>
      <c r="P18704" t="str">
        <f>"16424"</f>
        <v>16424</v>
      </c>
    </row>
    <row r="18705" spans="1:16" x14ac:dyDescent="0.25">
      <c r="A18705" t="str">
        <f>"1270045N00238    00"</f>
        <v>1270045N00238    00</v>
      </c>
      <c r="B18705" t="s">
        <v>37758</v>
      </c>
      <c r="C18705" t="s">
        <v>40628</v>
      </c>
      <c r="E18705" t="s">
        <v>39</v>
      </c>
      <c r="F18705">
        <v>0</v>
      </c>
      <c r="G18705">
        <v>0</v>
      </c>
      <c r="H18705">
        <v>1</v>
      </c>
      <c r="I18705" s="3">
        <v>444.11</v>
      </c>
      <c r="J18705" s="3">
        <v>0</v>
      </c>
      <c r="M18705" t="s">
        <v>37761</v>
      </c>
      <c r="N18705" t="s">
        <v>30</v>
      </c>
      <c r="O18705" t="s">
        <v>31</v>
      </c>
      <c r="P18705" t="str">
        <f>"15233"</f>
        <v>15233</v>
      </c>
    </row>
    <row r="18706" spans="1:16" x14ac:dyDescent="0.25">
      <c r="A18706" t="str">
        <f>"1270045N00258    00"</f>
        <v>1270045N00258    00</v>
      </c>
      <c r="B18706" t="s">
        <v>40629</v>
      </c>
      <c r="C18706" t="s">
        <v>40606</v>
      </c>
      <c r="D18706" t="s">
        <v>20</v>
      </c>
      <c r="E18706" t="s">
        <v>39</v>
      </c>
      <c r="F18706">
        <v>0</v>
      </c>
      <c r="G18706">
        <v>0</v>
      </c>
      <c r="H18706">
        <v>17</v>
      </c>
      <c r="I18706" s="3">
        <v>7507.35</v>
      </c>
      <c r="J18706" s="3">
        <v>10533.18</v>
      </c>
      <c r="P18706" t="str">
        <f>""</f>
        <v/>
      </c>
    </row>
    <row r="18707" spans="1:16" x14ac:dyDescent="0.25">
      <c r="A18707" t="str">
        <f>"1270045N00259    00"</f>
        <v>1270045N00259    00</v>
      </c>
      <c r="B18707" t="s">
        <v>40630</v>
      </c>
      <c r="C18707" t="s">
        <v>40606</v>
      </c>
      <c r="D18707" t="s">
        <v>20</v>
      </c>
      <c r="E18707" t="s">
        <v>39</v>
      </c>
      <c r="F18707">
        <v>0</v>
      </c>
      <c r="G18707">
        <v>0</v>
      </c>
      <c r="H18707">
        <v>17</v>
      </c>
      <c r="I18707" s="3">
        <v>1171.1300000000001</v>
      </c>
      <c r="J18707" s="3">
        <v>1526.18</v>
      </c>
      <c r="L18707">
        <v>2346</v>
      </c>
      <c r="M18707" t="s">
        <v>40624</v>
      </c>
      <c r="N18707" t="s">
        <v>30</v>
      </c>
      <c r="O18707" t="s">
        <v>31</v>
      </c>
      <c r="P18707" t="str">
        <f>"15212"</f>
        <v>15212</v>
      </c>
    </row>
    <row r="18708" spans="1:16" x14ac:dyDescent="0.25">
      <c r="A18708" t="str">
        <f>"1270045N00283    00"</f>
        <v>1270045N00283    00</v>
      </c>
      <c r="B18708" t="s">
        <v>40631</v>
      </c>
      <c r="C18708" t="s">
        <v>40632</v>
      </c>
      <c r="D18708" t="s">
        <v>20</v>
      </c>
      <c r="E18708" t="s">
        <v>39</v>
      </c>
      <c r="F18708">
        <v>0</v>
      </c>
      <c r="G18708">
        <v>0</v>
      </c>
      <c r="H18708">
        <v>3</v>
      </c>
      <c r="I18708" s="3">
        <v>29.1</v>
      </c>
      <c r="J18708" s="3">
        <v>1.94</v>
      </c>
      <c r="K18708" t="s">
        <v>40633</v>
      </c>
      <c r="L18708">
        <v>1411</v>
      </c>
      <c r="M18708" t="s">
        <v>40483</v>
      </c>
      <c r="N18708" t="s">
        <v>30</v>
      </c>
      <c r="O18708" t="s">
        <v>31</v>
      </c>
      <c r="P18708" t="str">
        <f>"15212"</f>
        <v>15212</v>
      </c>
    </row>
    <row r="18709" spans="1:16" x14ac:dyDescent="0.25">
      <c r="A18709" t="str">
        <f>"1270045N00285    00"</f>
        <v>1270045N00285    00</v>
      </c>
      <c r="B18709" t="s">
        <v>40009</v>
      </c>
      <c r="C18709" t="s">
        <v>40634</v>
      </c>
      <c r="D18709" t="s">
        <v>20</v>
      </c>
      <c r="E18709" t="s">
        <v>39</v>
      </c>
      <c r="F18709">
        <v>0</v>
      </c>
      <c r="G18709">
        <v>0</v>
      </c>
      <c r="H18709">
        <v>12</v>
      </c>
      <c r="I18709" s="3">
        <v>3345.08</v>
      </c>
      <c r="J18709" s="3">
        <v>1759.54</v>
      </c>
      <c r="L18709">
        <v>9247</v>
      </c>
      <c r="M18709" t="s">
        <v>13875</v>
      </c>
      <c r="N18709" t="s">
        <v>30</v>
      </c>
      <c r="O18709" t="s">
        <v>31</v>
      </c>
      <c r="P18709" t="str">
        <f>"15237"</f>
        <v>15237</v>
      </c>
    </row>
    <row r="18710" spans="1:16" x14ac:dyDescent="0.25">
      <c r="A18710" t="str">
        <f>"1270045N00301    00"</f>
        <v>1270045N00301    00</v>
      </c>
      <c r="B18710" t="s">
        <v>40635</v>
      </c>
      <c r="C18710" t="s">
        <v>33625</v>
      </c>
      <c r="D18710" t="s">
        <v>20</v>
      </c>
      <c r="E18710" t="s">
        <v>39</v>
      </c>
      <c r="F18710">
        <v>0</v>
      </c>
      <c r="G18710">
        <v>0</v>
      </c>
      <c r="H18710">
        <v>17</v>
      </c>
      <c r="I18710" s="3">
        <v>56.38</v>
      </c>
      <c r="J18710" s="3">
        <v>49.83</v>
      </c>
      <c r="L18710">
        <v>1170</v>
      </c>
      <c r="M18710" t="s">
        <v>40636</v>
      </c>
      <c r="N18710" t="s">
        <v>30</v>
      </c>
      <c r="O18710" t="s">
        <v>31</v>
      </c>
      <c r="P18710" t="str">
        <f>"15243"</f>
        <v>15243</v>
      </c>
    </row>
    <row r="18711" spans="1:16" x14ac:dyDescent="0.25">
      <c r="A18711" t="str">
        <f>"1270045N00304    00"</f>
        <v>1270045N00304    00</v>
      </c>
      <c r="B18711" t="s">
        <v>40637</v>
      </c>
      <c r="C18711" t="s">
        <v>40638</v>
      </c>
      <c r="D18711" t="s">
        <v>20</v>
      </c>
      <c r="E18711" t="s">
        <v>39</v>
      </c>
      <c r="F18711">
        <v>0</v>
      </c>
      <c r="G18711">
        <v>0</v>
      </c>
      <c r="H18711">
        <v>6</v>
      </c>
      <c r="I18711" s="3">
        <v>1798.82</v>
      </c>
      <c r="J18711" s="3">
        <v>374.09</v>
      </c>
      <c r="K18711" t="s">
        <v>40639</v>
      </c>
      <c r="L18711">
        <v>273</v>
      </c>
      <c r="M18711" t="s">
        <v>36363</v>
      </c>
      <c r="N18711" t="s">
        <v>36364</v>
      </c>
      <c r="O18711" t="s">
        <v>180</v>
      </c>
      <c r="P18711" t="str">
        <f>"81611"</f>
        <v>81611</v>
      </c>
    </row>
    <row r="18712" spans="1:16" x14ac:dyDescent="0.25">
      <c r="A18712" t="str">
        <f>"1270045N00305    00"</f>
        <v>1270045N00305    00</v>
      </c>
      <c r="B18712" t="s">
        <v>32100</v>
      </c>
      <c r="C18712" t="s">
        <v>40640</v>
      </c>
      <c r="D18712" t="s">
        <v>20</v>
      </c>
      <c r="E18712" t="s">
        <v>39</v>
      </c>
      <c r="F18712">
        <v>0</v>
      </c>
      <c r="G18712">
        <v>0</v>
      </c>
      <c r="H18712">
        <v>18</v>
      </c>
      <c r="I18712" s="3">
        <v>27692.82</v>
      </c>
      <c r="J18712" s="3">
        <v>23552.42</v>
      </c>
      <c r="K18712" t="s">
        <v>40641</v>
      </c>
      <c r="L18712">
        <v>1389</v>
      </c>
      <c r="M18712" t="s">
        <v>40642</v>
      </c>
      <c r="N18712" t="s">
        <v>30</v>
      </c>
      <c r="O18712" t="s">
        <v>31</v>
      </c>
      <c r="P18712" t="str">
        <f>"15221"</f>
        <v>15221</v>
      </c>
    </row>
    <row r="18713" spans="1:16" x14ac:dyDescent="0.25">
      <c r="A18713" t="str">
        <f>"1270045N00311    00"</f>
        <v>1270045N00311    00</v>
      </c>
      <c r="B18713" t="s">
        <v>40643</v>
      </c>
      <c r="C18713" t="s">
        <v>40606</v>
      </c>
      <c r="D18713" t="s">
        <v>20</v>
      </c>
      <c r="E18713" t="s">
        <v>39</v>
      </c>
      <c r="F18713">
        <v>0</v>
      </c>
      <c r="G18713">
        <v>0</v>
      </c>
      <c r="H18713">
        <v>17</v>
      </c>
      <c r="I18713" s="3">
        <v>3892.11</v>
      </c>
      <c r="J18713" s="3">
        <v>5508.24</v>
      </c>
      <c r="L18713">
        <v>50</v>
      </c>
      <c r="M18713" t="s">
        <v>37325</v>
      </c>
      <c r="N18713" t="s">
        <v>30</v>
      </c>
      <c r="O18713" t="s">
        <v>31</v>
      </c>
      <c r="P18713" t="str">
        <f>"15214"</f>
        <v>15214</v>
      </c>
    </row>
    <row r="18714" spans="1:16" x14ac:dyDescent="0.25">
      <c r="A18714" t="str">
        <f>"1270045N00311A   00"</f>
        <v>1270045N00311A   00</v>
      </c>
      <c r="B18714" t="s">
        <v>40644</v>
      </c>
      <c r="C18714" t="s">
        <v>40645</v>
      </c>
      <c r="D18714" t="s">
        <v>20</v>
      </c>
      <c r="E18714" t="s">
        <v>39</v>
      </c>
      <c r="F18714">
        <v>0</v>
      </c>
      <c r="G18714">
        <v>0</v>
      </c>
      <c r="H18714">
        <v>13</v>
      </c>
      <c r="I18714" s="3">
        <v>3257.39</v>
      </c>
      <c r="J18714" s="3">
        <v>1956.47</v>
      </c>
      <c r="L18714">
        <v>2108</v>
      </c>
      <c r="M18714" t="s">
        <v>40646</v>
      </c>
      <c r="N18714" t="s">
        <v>30</v>
      </c>
      <c r="O18714" t="s">
        <v>31</v>
      </c>
      <c r="P18714" t="str">
        <f>"15221"</f>
        <v>15221</v>
      </c>
    </row>
    <row r="18715" spans="1:16" x14ac:dyDescent="0.25">
      <c r="A18715" t="str">
        <f>"1270045N00318    00"</f>
        <v>1270045N00318    00</v>
      </c>
      <c r="B18715" t="s">
        <v>40647</v>
      </c>
      <c r="C18715" t="s">
        <v>40648</v>
      </c>
      <c r="D18715" t="s">
        <v>20</v>
      </c>
      <c r="E18715" t="s">
        <v>39</v>
      </c>
      <c r="F18715">
        <v>0</v>
      </c>
      <c r="G18715">
        <v>0</v>
      </c>
      <c r="H18715">
        <v>8</v>
      </c>
      <c r="I18715" s="3">
        <v>11895.36</v>
      </c>
      <c r="J18715" s="3">
        <v>3597.55</v>
      </c>
      <c r="L18715">
        <v>622</v>
      </c>
      <c r="M18715" t="s">
        <v>40649</v>
      </c>
      <c r="N18715" t="s">
        <v>30</v>
      </c>
      <c r="O18715" t="s">
        <v>31</v>
      </c>
      <c r="P18715" t="str">
        <f>"15219"</f>
        <v>15219</v>
      </c>
    </row>
    <row r="18716" spans="1:16" x14ac:dyDescent="0.25">
      <c r="A18716" t="str">
        <f>"1270045N00320    00"</f>
        <v>1270045N00320    00</v>
      </c>
      <c r="B18716" t="s">
        <v>40650</v>
      </c>
      <c r="C18716" t="s">
        <v>40651</v>
      </c>
      <c r="D18716" t="s">
        <v>20</v>
      </c>
      <c r="E18716" t="s">
        <v>39</v>
      </c>
      <c r="F18716">
        <v>0</v>
      </c>
      <c r="G18716">
        <v>0</v>
      </c>
      <c r="H18716">
        <v>4</v>
      </c>
      <c r="I18716" s="3">
        <v>835.34</v>
      </c>
      <c r="J18716" s="3">
        <v>98.68</v>
      </c>
      <c r="L18716">
        <v>630</v>
      </c>
      <c r="M18716" t="s">
        <v>40652</v>
      </c>
      <c r="N18716" t="s">
        <v>1067</v>
      </c>
      <c r="O18716" t="s">
        <v>31</v>
      </c>
      <c r="P18716" t="str">
        <f>"15143"</f>
        <v>15143</v>
      </c>
    </row>
    <row r="18717" spans="1:16" x14ac:dyDescent="0.25">
      <c r="A18717" t="str">
        <f>"1270045N00322    00"</f>
        <v>1270045N00322    00</v>
      </c>
      <c r="B18717" t="s">
        <v>40653</v>
      </c>
      <c r="C18717" t="s">
        <v>33625</v>
      </c>
      <c r="E18717" t="s">
        <v>39</v>
      </c>
      <c r="F18717">
        <v>0</v>
      </c>
      <c r="G18717">
        <v>0</v>
      </c>
      <c r="H18717">
        <v>1</v>
      </c>
      <c r="I18717" s="3">
        <v>368.45</v>
      </c>
      <c r="J18717" s="3">
        <v>325.45999999999998</v>
      </c>
      <c r="L18717">
        <v>300</v>
      </c>
      <c r="M18717" t="s">
        <v>4950</v>
      </c>
      <c r="N18717" t="s">
        <v>30</v>
      </c>
      <c r="O18717" t="s">
        <v>31</v>
      </c>
      <c r="P18717" t="str">
        <f>"15235"</f>
        <v>15235</v>
      </c>
    </row>
    <row r="18718" spans="1:16" x14ac:dyDescent="0.25">
      <c r="A18718" t="str">
        <f>"1270045N00325    00"</f>
        <v>1270045N00325    00</v>
      </c>
      <c r="B18718" t="s">
        <v>40654</v>
      </c>
      <c r="C18718" t="s">
        <v>33625</v>
      </c>
      <c r="D18718" t="s">
        <v>20</v>
      </c>
      <c r="E18718" t="s">
        <v>39</v>
      </c>
      <c r="F18718">
        <v>0</v>
      </c>
      <c r="G18718">
        <v>0</v>
      </c>
      <c r="H18718">
        <v>19</v>
      </c>
      <c r="I18718" s="3">
        <v>6347.69</v>
      </c>
      <c r="J18718" s="3">
        <v>5482.06</v>
      </c>
      <c r="L18718">
        <v>2426</v>
      </c>
      <c r="M18718" t="s">
        <v>17198</v>
      </c>
      <c r="N18718" t="s">
        <v>30</v>
      </c>
      <c r="O18718" t="s">
        <v>31</v>
      </c>
      <c r="P18718" t="str">
        <f>"15212"</f>
        <v>15212</v>
      </c>
    </row>
    <row r="18719" spans="1:16" x14ac:dyDescent="0.25">
      <c r="A18719" t="str">
        <f>"1270045N00326    00"</f>
        <v>1270045N00326    00</v>
      </c>
      <c r="B18719" t="s">
        <v>40655</v>
      </c>
      <c r="C18719" t="s">
        <v>40656</v>
      </c>
      <c r="D18719" t="s">
        <v>20</v>
      </c>
      <c r="E18719" t="s">
        <v>39</v>
      </c>
      <c r="F18719">
        <v>0</v>
      </c>
      <c r="G18719">
        <v>0</v>
      </c>
      <c r="H18719">
        <v>17</v>
      </c>
      <c r="I18719" s="3">
        <v>16055.83</v>
      </c>
      <c r="J18719" s="3">
        <v>12273.83</v>
      </c>
      <c r="L18719">
        <v>516</v>
      </c>
      <c r="M18719" t="s">
        <v>36140</v>
      </c>
      <c r="N18719" t="s">
        <v>40657</v>
      </c>
      <c r="O18719" t="s">
        <v>31</v>
      </c>
      <c r="P18719" t="str">
        <f>"16403"</f>
        <v>16403</v>
      </c>
    </row>
    <row r="18720" spans="1:16" x14ac:dyDescent="0.25">
      <c r="A18720" t="str">
        <f>"1270045P00183    00"</f>
        <v>1270045P00183    00</v>
      </c>
      <c r="B18720" t="s">
        <v>40658</v>
      </c>
      <c r="C18720" t="s">
        <v>40659</v>
      </c>
      <c r="D18720" t="s">
        <v>20</v>
      </c>
      <c r="E18720" t="s">
        <v>39</v>
      </c>
      <c r="F18720">
        <v>0</v>
      </c>
      <c r="G18720">
        <v>0</v>
      </c>
      <c r="H18720">
        <v>2</v>
      </c>
      <c r="I18720" s="3">
        <v>1299.6300000000001</v>
      </c>
      <c r="J18720" s="3">
        <v>0</v>
      </c>
      <c r="K18720" t="s">
        <v>40660</v>
      </c>
      <c r="L18720">
        <v>353</v>
      </c>
      <c r="M18720" t="s">
        <v>40661</v>
      </c>
      <c r="N18720" t="s">
        <v>40662</v>
      </c>
      <c r="O18720" t="s">
        <v>31</v>
      </c>
      <c r="P18720" t="str">
        <f>"16145"</f>
        <v>16145</v>
      </c>
    </row>
    <row r="18721" spans="1:16" x14ac:dyDescent="0.25">
      <c r="A18721" t="str">
        <f>"1270045P00190    00"</f>
        <v>1270045P00190    00</v>
      </c>
      <c r="B18721" t="s">
        <v>1965</v>
      </c>
      <c r="C18721" t="s">
        <v>40663</v>
      </c>
      <c r="D18721" t="s">
        <v>20</v>
      </c>
      <c r="E18721" t="s">
        <v>39</v>
      </c>
      <c r="F18721">
        <v>0</v>
      </c>
      <c r="G18721">
        <v>0</v>
      </c>
      <c r="H18721">
        <v>5</v>
      </c>
      <c r="I18721" s="3">
        <v>6509.29</v>
      </c>
      <c r="J18721" s="3">
        <v>1124.58</v>
      </c>
      <c r="L18721">
        <v>1556</v>
      </c>
      <c r="M18721" t="s">
        <v>14332</v>
      </c>
      <c r="N18721" t="s">
        <v>30</v>
      </c>
      <c r="O18721" t="s">
        <v>31</v>
      </c>
      <c r="P18721" t="str">
        <f>"15216"</f>
        <v>15216</v>
      </c>
    </row>
    <row r="18722" spans="1:16" x14ac:dyDescent="0.25">
      <c r="A18722" t="str">
        <f>"1270045P00196    00"</f>
        <v>1270045P00196    00</v>
      </c>
      <c r="B18722" t="s">
        <v>40664</v>
      </c>
      <c r="C18722" t="s">
        <v>40665</v>
      </c>
      <c r="D18722" t="s">
        <v>20</v>
      </c>
      <c r="E18722" t="s">
        <v>39</v>
      </c>
      <c r="F18722">
        <v>0</v>
      </c>
      <c r="G18722">
        <v>0</v>
      </c>
      <c r="H18722">
        <v>15</v>
      </c>
      <c r="I18722" s="3">
        <v>10974.43</v>
      </c>
      <c r="J18722" s="3">
        <v>8253.27</v>
      </c>
      <c r="L18722">
        <v>1211</v>
      </c>
      <c r="M18722" t="s">
        <v>4167</v>
      </c>
      <c r="N18722" t="s">
        <v>30</v>
      </c>
      <c r="O18722" t="s">
        <v>31</v>
      </c>
      <c r="P18722" t="str">
        <f>"15212"</f>
        <v>15212</v>
      </c>
    </row>
    <row r="18723" spans="1:16" x14ac:dyDescent="0.25">
      <c r="A18723" t="str">
        <f>"1270075B00039    00"</f>
        <v>1270075B00039    00</v>
      </c>
      <c r="B18723" t="s">
        <v>40666</v>
      </c>
      <c r="C18723" t="s">
        <v>40667</v>
      </c>
      <c r="D18723" t="s">
        <v>20</v>
      </c>
      <c r="E18723" t="s">
        <v>39</v>
      </c>
      <c r="F18723">
        <v>0</v>
      </c>
      <c r="G18723">
        <v>0</v>
      </c>
      <c r="H18723">
        <v>3</v>
      </c>
      <c r="I18723" s="3">
        <v>3453.66</v>
      </c>
      <c r="J18723" s="3">
        <v>134.47</v>
      </c>
      <c r="L18723">
        <v>3593</v>
      </c>
      <c r="M18723" t="s">
        <v>40668</v>
      </c>
      <c r="N18723" t="s">
        <v>30</v>
      </c>
      <c r="O18723" t="s">
        <v>31</v>
      </c>
      <c r="P18723" t="str">
        <f>"15212"</f>
        <v>15212</v>
      </c>
    </row>
    <row r="18724" spans="1:16" x14ac:dyDescent="0.25">
      <c r="A18724" t="str">
        <f>"1270075B00043    00"</f>
        <v>1270075B00043    00</v>
      </c>
      <c r="B18724" t="s">
        <v>40669</v>
      </c>
      <c r="C18724" t="s">
        <v>40670</v>
      </c>
      <c r="D18724" t="s">
        <v>20</v>
      </c>
      <c r="E18724" t="s">
        <v>39</v>
      </c>
      <c r="F18724">
        <v>0</v>
      </c>
      <c r="G18724">
        <v>0</v>
      </c>
      <c r="H18724">
        <v>5</v>
      </c>
      <c r="I18724" s="3">
        <v>3321.52</v>
      </c>
      <c r="J18724" s="3">
        <v>1000.49</v>
      </c>
      <c r="L18724">
        <v>3585</v>
      </c>
      <c r="M18724" t="s">
        <v>40668</v>
      </c>
      <c r="N18724" t="s">
        <v>30</v>
      </c>
      <c r="O18724" t="s">
        <v>31</v>
      </c>
      <c r="P18724" t="str">
        <f>"15212"</f>
        <v>15212</v>
      </c>
    </row>
    <row r="18725" spans="1:16" x14ac:dyDescent="0.25">
      <c r="A18725" t="str">
        <f>"1270075B00044    00"</f>
        <v>1270075B00044    00</v>
      </c>
      <c r="B18725" t="s">
        <v>40671</v>
      </c>
      <c r="C18725" t="s">
        <v>40672</v>
      </c>
      <c r="D18725" t="s">
        <v>20</v>
      </c>
      <c r="E18725" t="s">
        <v>39</v>
      </c>
      <c r="F18725">
        <v>0</v>
      </c>
      <c r="G18725">
        <v>0</v>
      </c>
      <c r="H18725">
        <v>4</v>
      </c>
      <c r="I18725" s="3">
        <v>4047.18</v>
      </c>
      <c r="J18725" s="3">
        <v>483.11</v>
      </c>
      <c r="L18725">
        <v>1102</v>
      </c>
      <c r="M18725" t="s">
        <v>40673</v>
      </c>
      <c r="N18725" t="s">
        <v>30</v>
      </c>
      <c r="O18725" t="s">
        <v>31</v>
      </c>
      <c r="P18725" t="str">
        <f>"15226"</f>
        <v>15226</v>
      </c>
    </row>
    <row r="18726" spans="1:16" x14ac:dyDescent="0.25">
      <c r="A18726" t="str">
        <f>"1270075B00050    00"</f>
        <v>1270075B00050    00</v>
      </c>
      <c r="B18726" t="s">
        <v>40674</v>
      </c>
      <c r="C18726" t="s">
        <v>40675</v>
      </c>
      <c r="E18726" t="s">
        <v>39</v>
      </c>
      <c r="F18726">
        <v>0</v>
      </c>
      <c r="G18726">
        <v>0</v>
      </c>
      <c r="H18726">
        <v>1</v>
      </c>
      <c r="I18726" s="3">
        <v>142.84</v>
      </c>
      <c r="J18726" s="3">
        <v>28.58</v>
      </c>
      <c r="L18726">
        <v>3561</v>
      </c>
      <c r="M18726" t="s">
        <v>40668</v>
      </c>
      <c r="N18726" t="s">
        <v>30</v>
      </c>
      <c r="O18726" t="s">
        <v>31</v>
      </c>
      <c r="P18726" t="str">
        <f>"15212"</f>
        <v>15212</v>
      </c>
    </row>
    <row r="18727" spans="1:16" x14ac:dyDescent="0.25">
      <c r="A18727" t="str">
        <f>"1270075B00053    00"</f>
        <v>1270075B00053    00</v>
      </c>
      <c r="B18727" t="s">
        <v>40676</v>
      </c>
      <c r="C18727" t="s">
        <v>40677</v>
      </c>
      <c r="D18727" t="s">
        <v>20</v>
      </c>
      <c r="E18727" t="s">
        <v>39</v>
      </c>
      <c r="F18727">
        <v>0</v>
      </c>
      <c r="G18727">
        <v>0</v>
      </c>
      <c r="H18727">
        <v>3</v>
      </c>
      <c r="I18727" s="3">
        <v>4168.47</v>
      </c>
      <c r="J18727" s="3">
        <v>277.89</v>
      </c>
      <c r="L18727">
        <v>3823</v>
      </c>
      <c r="M18727" t="s">
        <v>37050</v>
      </c>
      <c r="N18727" t="s">
        <v>30</v>
      </c>
      <c r="O18727" t="s">
        <v>31</v>
      </c>
      <c r="P18727" t="str">
        <f>"15212"</f>
        <v>15212</v>
      </c>
    </row>
    <row r="18728" spans="1:16" x14ac:dyDescent="0.25">
      <c r="A18728" t="str">
        <f>"1270075B00085    00"</f>
        <v>1270075B00085    00</v>
      </c>
      <c r="B18728" t="s">
        <v>40678</v>
      </c>
      <c r="C18728" t="s">
        <v>40679</v>
      </c>
      <c r="D18728" t="s">
        <v>20</v>
      </c>
      <c r="E18728" t="s">
        <v>39</v>
      </c>
      <c r="F18728">
        <v>0</v>
      </c>
      <c r="G18728">
        <v>0</v>
      </c>
      <c r="H18728">
        <v>19</v>
      </c>
      <c r="I18728" s="3">
        <v>885.32</v>
      </c>
      <c r="J18728" s="3">
        <v>1074.72</v>
      </c>
      <c r="L18728">
        <v>3266</v>
      </c>
      <c r="M18728" t="s">
        <v>40680</v>
      </c>
      <c r="N18728" t="s">
        <v>30</v>
      </c>
      <c r="O18728" t="s">
        <v>31</v>
      </c>
      <c r="P18728" t="str">
        <f>"15212"</f>
        <v>15212</v>
      </c>
    </row>
    <row r="18729" spans="1:16" x14ac:dyDescent="0.25">
      <c r="A18729" t="str">
        <f>"1270075B00087    00"</f>
        <v>1270075B00087    00</v>
      </c>
      <c r="B18729" t="s">
        <v>40681</v>
      </c>
      <c r="C18729" t="s">
        <v>40679</v>
      </c>
      <c r="D18729" t="s">
        <v>20</v>
      </c>
      <c r="E18729" t="s">
        <v>39</v>
      </c>
      <c r="F18729">
        <v>0</v>
      </c>
      <c r="G18729">
        <v>0</v>
      </c>
      <c r="H18729">
        <v>2</v>
      </c>
      <c r="I18729" s="3">
        <v>789.1</v>
      </c>
      <c r="J18729" s="3">
        <v>0</v>
      </c>
      <c r="L18729">
        <v>3771</v>
      </c>
      <c r="M18729" t="s">
        <v>5097</v>
      </c>
      <c r="N18729" t="s">
        <v>30</v>
      </c>
      <c r="O18729" t="s">
        <v>31</v>
      </c>
      <c r="P18729" t="str">
        <f>"15204"</f>
        <v>15204</v>
      </c>
    </row>
    <row r="18730" spans="1:16" x14ac:dyDescent="0.25">
      <c r="A18730" t="str">
        <f>"1270075B00128    00"</f>
        <v>1270075B00128    00</v>
      </c>
      <c r="B18730" t="s">
        <v>37651</v>
      </c>
      <c r="C18730" t="s">
        <v>40682</v>
      </c>
      <c r="D18730" t="s">
        <v>20</v>
      </c>
      <c r="E18730" t="s">
        <v>39</v>
      </c>
      <c r="F18730">
        <v>0</v>
      </c>
      <c r="G18730">
        <v>0</v>
      </c>
      <c r="H18730">
        <v>2</v>
      </c>
      <c r="I18730" s="3">
        <v>392.66</v>
      </c>
      <c r="J18730" s="3">
        <v>0</v>
      </c>
      <c r="K18730" t="s">
        <v>37652</v>
      </c>
      <c r="L18730">
        <v>3727</v>
      </c>
      <c r="M18730" t="s">
        <v>34518</v>
      </c>
      <c r="N18730" t="s">
        <v>30</v>
      </c>
      <c r="O18730" t="s">
        <v>31</v>
      </c>
      <c r="P18730" t="str">
        <f>"15214"</f>
        <v>15214</v>
      </c>
    </row>
    <row r="18731" spans="1:16" x14ac:dyDescent="0.25">
      <c r="A18731" t="str">
        <f>"1270075B00176    00"</f>
        <v>1270075B00176    00</v>
      </c>
      <c r="B18731" t="s">
        <v>40683</v>
      </c>
      <c r="C18731" t="s">
        <v>40684</v>
      </c>
      <c r="D18731" t="s">
        <v>20</v>
      </c>
      <c r="E18731" t="s">
        <v>39</v>
      </c>
      <c r="F18731">
        <v>0</v>
      </c>
      <c r="G18731">
        <v>0</v>
      </c>
      <c r="H18731">
        <v>2</v>
      </c>
      <c r="I18731" s="3">
        <v>95.32</v>
      </c>
      <c r="J18731" s="3">
        <v>9.5399999999999991</v>
      </c>
      <c r="L18731">
        <v>1024</v>
      </c>
      <c r="M18731" t="s">
        <v>40685</v>
      </c>
      <c r="N18731" t="s">
        <v>30</v>
      </c>
      <c r="O18731" t="s">
        <v>31</v>
      </c>
      <c r="P18731" t="str">
        <f>"15212"</f>
        <v>15212</v>
      </c>
    </row>
    <row r="18732" spans="1:16" x14ac:dyDescent="0.25">
      <c r="A18732" t="str">
        <f>"1270075B00178    00"</f>
        <v>1270075B00178    00</v>
      </c>
      <c r="B18732" t="s">
        <v>40683</v>
      </c>
      <c r="C18732" t="s">
        <v>40686</v>
      </c>
      <c r="D18732" t="s">
        <v>20</v>
      </c>
      <c r="E18732" t="s">
        <v>39</v>
      </c>
      <c r="F18732">
        <v>0</v>
      </c>
      <c r="G18732">
        <v>0</v>
      </c>
      <c r="H18732">
        <v>2</v>
      </c>
      <c r="I18732" s="3">
        <v>457.44</v>
      </c>
      <c r="J18732" s="3">
        <v>45.74</v>
      </c>
      <c r="L18732">
        <v>1024</v>
      </c>
      <c r="M18732" t="s">
        <v>40685</v>
      </c>
      <c r="N18732" t="s">
        <v>30</v>
      </c>
      <c r="O18732" t="s">
        <v>31</v>
      </c>
      <c r="P18732" t="str">
        <f>"15212"</f>
        <v>15212</v>
      </c>
    </row>
    <row r="18733" spans="1:16" x14ac:dyDescent="0.25">
      <c r="A18733" t="str">
        <f>"1270075B00185    00"</f>
        <v>1270075B00185    00</v>
      </c>
      <c r="B18733" t="s">
        <v>40687</v>
      </c>
      <c r="C18733" t="s">
        <v>40688</v>
      </c>
      <c r="D18733" t="s">
        <v>20</v>
      </c>
      <c r="E18733" t="s">
        <v>39</v>
      </c>
      <c r="F18733">
        <v>0</v>
      </c>
      <c r="G18733">
        <v>0</v>
      </c>
      <c r="H18733">
        <v>4</v>
      </c>
      <c r="I18733" s="3">
        <v>1898.5</v>
      </c>
      <c r="J18733" s="3">
        <v>224.27</v>
      </c>
      <c r="L18733">
        <v>1743</v>
      </c>
      <c r="M18733" t="s">
        <v>40689</v>
      </c>
      <c r="N18733" t="s">
        <v>30</v>
      </c>
      <c r="O18733" t="s">
        <v>31</v>
      </c>
      <c r="P18733" t="str">
        <f>"15212"</f>
        <v>15212</v>
      </c>
    </row>
    <row r="18734" spans="1:16" x14ac:dyDescent="0.25">
      <c r="A18734" t="str">
        <f>"1270075B00235    00"</f>
        <v>1270075B00235    00</v>
      </c>
      <c r="B18734" t="s">
        <v>22936</v>
      </c>
      <c r="C18734" t="s">
        <v>40690</v>
      </c>
      <c r="D18734" t="s">
        <v>20</v>
      </c>
      <c r="E18734" t="s">
        <v>39</v>
      </c>
      <c r="F18734">
        <v>0</v>
      </c>
      <c r="G18734">
        <v>0</v>
      </c>
      <c r="H18734">
        <v>2</v>
      </c>
      <c r="I18734" s="3">
        <v>1414.28</v>
      </c>
      <c r="J18734" s="3">
        <v>0</v>
      </c>
      <c r="L18734">
        <v>6097</v>
      </c>
      <c r="M18734" t="s">
        <v>22938</v>
      </c>
      <c r="N18734" t="s">
        <v>1320</v>
      </c>
      <c r="O18734" t="s">
        <v>1321</v>
      </c>
      <c r="P18734" t="str">
        <f>"89149"</f>
        <v>89149</v>
      </c>
    </row>
    <row r="18735" spans="1:16" x14ac:dyDescent="0.25">
      <c r="A18735" t="str">
        <f>"1270075B00237    00"</f>
        <v>1270075B00237    00</v>
      </c>
      <c r="B18735" t="s">
        <v>40691</v>
      </c>
      <c r="C18735" t="s">
        <v>40692</v>
      </c>
      <c r="D18735" t="s">
        <v>20</v>
      </c>
      <c r="E18735" t="s">
        <v>39</v>
      </c>
      <c r="F18735">
        <v>0</v>
      </c>
      <c r="G18735">
        <v>0</v>
      </c>
      <c r="H18735">
        <v>1</v>
      </c>
      <c r="I18735" s="3">
        <v>1177.93</v>
      </c>
      <c r="J18735" s="3">
        <v>0</v>
      </c>
      <c r="K18735" t="s">
        <v>8419</v>
      </c>
      <c r="M18735" t="s">
        <v>1128</v>
      </c>
      <c r="N18735" t="s">
        <v>1129</v>
      </c>
      <c r="O18735" t="s">
        <v>108</v>
      </c>
      <c r="P18735" t="str">
        <f>"76161"</f>
        <v>76161</v>
      </c>
    </row>
    <row r="18736" spans="1:16" x14ac:dyDescent="0.25">
      <c r="A18736" t="str">
        <f>"1270075B00238    00"</f>
        <v>1270075B00238    00</v>
      </c>
      <c r="B18736" t="s">
        <v>40693</v>
      </c>
      <c r="C18736" t="s">
        <v>40694</v>
      </c>
      <c r="D18736" t="s">
        <v>20</v>
      </c>
      <c r="E18736" t="s">
        <v>39</v>
      </c>
      <c r="F18736">
        <v>0</v>
      </c>
      <c r="G18736">
        <v>0</v>
      </c>
      <c r="H18736">
        <v>19</v>
      </c>
      <c r="I18736" s="3">
        <v>7591.4</v>
      </c>
      <c r="J18736" s="3">
        <v>9400.89</v>
      </c>
      <c r="L18736">
        <v>118</v>
      </c>
      <c r="M18736" t="s">
        <v>23583</v>
      </c>
      <c r="N18736" t="s">
        <v>31475</v>
      </c>
      <c r="O18736" t="s">
        <v>31</v>
      </c>
      <c r="P18736" t="str">
        <f>"15010"</f>
        <v>15010</v>
      </c>
    </row>
    <row r="18737" spans="1:16" x14ac:dyDescent="0.25">
      <c r="A18737" t="str">
        <f>"1270075B00270    00"</f>
        <v>1270075B00270    00</v>
      </c>
      <c r="B18737" t="s">
        <v>40695</v>
      </c>
      <c r="C18737" t="s">
        <v>40696</v>
      </c>
      <c r="E18737" t="s">
        <v>39</v>
      </c>
      <c r="F18737">
        <v>0</v>
      </c>
      <c r="G18737">
        <v>0</v>
      </c>
      <c r="H18737">
        <v>1</v>
      </c>
      <c r="I18737" s="3">
        <v>289.85000000000002</v>
      </c>
      <c r="J18737" s="3">
        <v>0</v>
      </c>
      <c r="L18737">
        <v>1614</v>
      </c>
      <c r="M18737" t="s">
        <v>40697</v>
      </c>
      <c r="N18737" t="s">
        <v>30</v>
      </c>
      <c r="O18737" t="s">
        <v>31</v>
      </c>
      <c r="P18737" t="str">
        <f>"15212"</f>
        <v>15212</v>
      </c>
    </row>
    <row r="18738" spans="1:16" x14ac:dyDescent="0.25">
      <c r="A18738" t="str">
        <f>"1270075B00275    00"</f>
        <v>1270075B00275    00</v>
      </c>
      <c r="B18738" t="s">
        <v>39248</v>
      </c>
      <c r="C18738" t="s">
        <v>40698</v>
      </c>
      <c r="D18738" t="s">
        <v>20</v>
      </c>
      <c r="E18738" t="s">
        <v>39</v>
      </c>
      <c r="F18738">
        <v>0</v>
      </c>
      <c r="G18738">
        <v>0</v>
      </c>
      <c r="H18738">
        <v>1</v>
      </c>
      <c r="I18738" s="3">
        <v>706.67</v>
      </c>
      <c r="J18738" s="3">
        <v>200.21</v>
      </c>
      <c r="L18738">
        <v>39</v>
      </c>
      <c r="M18738" t="s">
        <v>39211</v>
      </c>
      <c r="N18738" t="s">
        <v>30</v>
      </c>
      <c r="O18738" t="s">
        <v>31</v>
      </c>
      <c r="P18738" t="str">
        <f>"15214"</f>
        <v>15214</v>
      </c>
    </row>
    <row r="18739" spans="1:16" x14ac:dyDescent="0.25">
      <c r="A18739" t="str">
        <f>"1270075B00276    00"</f>
        <v>1270075B00276    00</v>
      </c>
      <c r="B18739" t="s">
        <v>40699</v>
      </c>
      <c r="C18739" t="s">
        <v>40700</v>
      </c>
      <c r="D18739" t="s">
        <v>20</v>
      </c>
      <c r="E18739" t="s">
        <v>39</v>
      </c>
      <c r="F18739">
        <v>0</v>
      </c>
      <c r="G18739">
        <v>0</v>
      </c>
      <c r="H18739">
        <v>2</v>
      </c>
      <c r="I18739" s="3">
        <v>1479.92</v>
      </c>
      <c r="J18739" s="3">
        <v>0</v>
      </c>
      <c r="L18739">
        <v>131</v>
      </c>
      <c r="M18739" t="s">
        <v>39364</v>
      </c>
      <c r="N18739" t="s">
        <v>30</v>
      </c>
      <c r="O18739" t="s">
        <v>31</v>
      </c>
      <c r="P18739" t="str">
        <f>"15212"</f>
        <v>15212</v>
      </c>
    </row>
    <row r="18740" spans="1:16" x14ac:dyDescent="0.25">
      <c r="A18740" t="str">
        <f>"1270075B00277    00"</f>
        <v>1270075B00277    00</v>
      </c>
      <c r="B18740" t="s">
        <v>40387</v>
      </c>
      <c r="C18740" t="s">
        <v>40701</v>
      </c>
      <c r="D18740" t="s">
        <v>20</v>
      </c>
      <c r="E18740" t="s">
        <v>39</v>
      </c>
      <c r="F18740">
        <v>0</v>
      </c>
      <c r="G18740">
        <v>0</v>
      </c>
      <c r="H18740">
        <v>2</v>
      </c>
      <c r="I18740" s="3">
        <v>1022.84</v>
      </c>
      <c r="J18740" s="3">
        <v>0</v>
      </c>
      <c r="L18740">
        <v>131</v>
      </c>
      <c r="M18740" t="s">
        <v>39364</v>
      </c>
      <c r="N18740" t="s">
        <v>30</v>
      </c>
      <c r="O18740" t="s">
        <v>31</v>
      </c>
      <c r="P18740" t="str">
        <f>"15212"</f>
        <v>15212</v>
      </c>
    </row>
    <row r="18741" spans="1:16" x14ac:dyDescent="0.25">
      <c r="A18741" t="str">
        <f>"1270075B00280    00"</f>
        <v>1270075B00280    00</v>
      </c>
      <c r="B18741" t="s">
        <v>40702</v>
      </c>
      <c r="C18741" t="s">
        <v>40703</v>
      </c>
      <c r="D18741" t="s">
        <v>20</v>
      </c>
      <c r="E18741" t="s">
        <v>39</v>
      </c>
      <c r="F18741">
        <v>0</v>
      </c>
      <c r="G18741">
        <v>0</v>
      </c>
      <c r="H18741">
        <v>7</v>
      </c>
      <c r="I18741" s="3">
        <v>4345.72</v>
      </c>
      <c r="J18741" s="3">
        <v>1201.73</v>
      </c>
      <c r="L18741">
        <v>1816</v>
      </c>
      <c r="M18741" t="s">
        <v>35751</v>
      </c>
      <c r="N18741" t="s">
        <v>30</v>
      </c>
      <c r="O18741" t="s">
        <v>31</v>
      </c>
      <c r="P18741" t="str">
        <f>"15212"</f>
        <v>15212</v>
      </c>
    </row>
    <row r="18742" spans="1:16" x14ac:dyDescent="0.25">
      <c r="A18742" t="str">
        <f>"1270075B00284    00"</f>
        <v>1270075B00284    00</v>
      </c>
      <c r="B18742" t="s">
        <v>40704</v>
      </c>
      <c r="C18742" t="s">
        <v>40705</v>
      </c>
      <c r="D18742" t="s">
        <v>20</v>
      </c>
      <c r="E18742" t="s">
        <v>39</v>
      </c>
      <c r="F18742">
        <v>0</v>
      </c>
      <c r="G18742">
        <v>0</v>
      </c>
      <c r="H18742">
        <v>5</v>
      </c>
      <c r="I18742" s="3">
        <v>3014.5</v>
      </c>
      <c r="J18742" s="3">
        <v>520.79</v>
      </c>
      <c r="L18742">
        <v>246</v>
      </c>
      <c r="M18742" t="s">
        <v>40706</v>
      </c>
      <c r="N18742" t="s">
        <v>30</v>
      </c>
      <c r="O18742" t="s">
        <v>31</v>
      </c>
      <c r="P18742" t="str">
        <f>"15229"</f>
        <v>15229</v>
      </c>
    </row>
    <row r="18743" spans="1:16" x14ac:dyDescent="0.25">
      <c r="A18743" t="str">
        <f>"1270075B00288    00"</f>
        <v>1270075B00288    00</v>
      </c>
      <c r="B18743" t="s">
        <v>40707</v>
      </c>
      <c r="C18743" t="s">
        <v>40708</v>
      </c>
      <c r="D18743" t="s">
        <v>20</v>
      </c>
      <c r="E18743" t="s">
        <v>39</v>
      </c>
      <c r="F18743">
        <v>0</v>
      </c>
      <c r="G18743">
        <v>0</v>
      </c>
      <c r="H18743">
        <v>14</v>
      </c>
      <c r="I18743" s="3">
        <v>8218.34</v>
      </c>
      <c r="J18743" s="3">
        <v>5282.75</v>
      </c>
      <c r="L18743">
        <v>1811</v>
      </c>
      <c r="M18743" t="s">
        <v>40709</v>
      </c>
      <c r="N18743" t="s">
        <v>30</v>
      </c>
      <c r="O18743" t="s">
        <v>31</v>
      </c>
      <c r="P18743" t="str">
        <f>"15212"</f>
        <v>15212</v>
      </c>
    </row>
    <row r="18744" spans="1:16" x14ac:dyDescent="0.25">
      <c r="A18744" t="str">
        <f>"1270075B00290    00"</f>
        <v>1270075B00290    00</v>
      </c>
      <c r="B18744" t="s">
        <v>40710</v>
      </c>
      <c r="C18744" t="s">
        <v>40711</v>
      </c>
      <c r="D18744" t="s">
        <v>20</v>
      </c>
      <c r="E18744" t="s">
        <v>39</v>
      </c>
      <c r="F18744">
        <v>0</v>
      </c>
      <c r="G18744">
        <v>0</v>
      </c>
      <c r="H18744">
        <v>1</v>
      </c>
      <c r="I18744" s="3">
        <v>527.97</v>
      </c>
      <c r="J18744" s="3">
        <v>0</v>
      </c>
      <c r="L18744">
        <v>1809</v>
      </c>
      <c r="M18744" t="s">
        <v>40709</v>
      </c>
      <c r="N18744" t="s">
        <v>30</v>
      </c>
      <c r="O18744" t="s">
        <v>31</v>
      </c>
      <c r="P18744" t="str">
        <f>"15212"</f>
        <v>15212</v>
      </c>
    </row>
    <row r="18745" spans="1:16" x14ac:dyDescent="0.25">
      <c r="A18745" t="str">
        <f>"1270075B00301    00"</f>
        <v>1270075B00301    00</v>
      </c>
      <c r="B18745" t="s">
        <v>40712</v>
      </c>
      <c r="C18745" t="s">
        <v>40713</v>
      </c>
      <c r="D18745" t="s">
        <v>20</v>
      </c>
      <c r="E18745" t="s">
        <v>207</v>
      </c>
      <c r="F18745">
        <v>0</v>
      </c>
      <c r="G18745">
        <v>0</v>
      </c>
      <c r="H18745">
        <v>3</v>
      </c>
      <c r="I18745" s="3">
        <v>45.75</v>
      </c>
      <c r="J18745" s="3">
        <v>3.05</v>
      </c>
      <c r="L18745">
        <v>3634</v>
      </c>
      <c r="M18745" t="s">
        <v>40714</v>
      </c>
      <c r="N18745" t="s">
        <v>30</v>
      </c>
      <c r="O18745" t="s">
        <v>31</v>
      </c>
      <c r="P18745" t="str">
        <f>"15212"</f>
        <v>15212</v>
      </c>
    </row>
    <row r="18746" spans="1:16" x14ac:dyDescent="0.25">
      <c r="A18746" t="str">
        <f>"1270075B00302    00"</f>
        <v>1270075B00302    00</v>
      </c>
      <c r="B18746" t="s">
        <v>40712</v>
      </c>
      <c r="C18746" t="s">
        <v>40713</v>
      </c>
      <c r="D18746" t="s">
        <v>20</v>
      </c>
      <c r="E18746" t="s">
        <v>39</v>
      </c>
      <c r="F18746">
        <v>0</v>
      </c>
      <c r="G18746">
        <v>0</v>
      </c>
      <c r="H18746">
        <v>3</v>
      </c>
      <c r="I18746" s="3">
        <v>74.37</v>
      </c>
      <c r="J18746" s="3">
        <v>4.97</v>
      </c>
      <c r="L18746">
        <v>3634</v>
      </c>
      <c r="M18746" t="s">
        <v>40714</v>
      </c>
      <c r="N18746" t="s">
        <v>30</v>
      </c>
      <c r="O18746" t="s">
        <v>31</v>
      </c>
      <c r="P18746" t="str">
        <f>"15212"</f>
        <v>15212</v>
      </c>
    </row>
    <row r="18747" spans="1:16" x14ac:dyDescent="0.25">
      <c r="A18747" t="str">
        <f>"1270075B00320    00"</f>
        <v>1270075B00320    00</v>
      </c>
      <c r="B18747" t="s">
        <v>40712</v>
      </c>
      <c r="C18747" t="s">
        <v>40715</v>
      </c>
      <c r="D18747" t="s">
        <v>20</v>
      </c>
      <c r="E18747" t="s">
        <v>21</v>
      </c>
      <c r="F18747">
        <v>0</v>
      </c>
      <c r="G18747">
        <v>0</v>
      </c>
      <c r="H18747">
        <v>4</v>
      </c>
      <c r="I18747" s="3">
        <v>25725.119999999999</v>
      </c>
      <c r="J18747" s="3">
        <v>3167.78</v>
      </c>
      <c r="L18747">
        <v>3634</v>
      </c>
      <c r="M18747" t="s">
        <v>40714</v>
      </c>
      <c r="N18747" t="s">
        <v>30</v>
      </c>
      <c r="O18747" t="s">
        <v>31</v>
      </c>
      <c r="P18747" t="str">
        <f>"15212"</f>
        <v>15212</v>
      </c>
    </row>
    <row r="18748" spans="1:16" x14ac:dyDescent="0.25">
      <c r="A18748" t="str">
        <f>"1270075B00339    00"</f>
        <v>1270075B00339    00</v>
      </c>
      <c r="B18748" t="s">
        <v>40716</v>
      </c>
      <c r="C18748" t="s">
        <v>40717</v>
      </c>
      <c r="D18748" t="s">
        <v>20</v>
      </c>
      <c r="E18748" t="s">
        <v>21</v>
      </c>
      <c r="F18748">
        <v>0</v>
      </c>
      <c r="G18748">
        <v>0</v>
      </c>
      <c r="H18748">
        <v>1</v>
      </c>
      <c r="I18748" s="3">
        <v>943.48</v>
      </c>
      <c r="J18748" s="3">
        <v>0</v>
      </c>
      <c r="K18748" t="s">
        <v>40718</v>
      </c>
      <c r="L18748">
        <v>4736</v>
      </c>
      <c r="M18748" t="s">
        <v>6318</v>
      </c>
      <c r="N18748" t="s">
        <v>30</v>
      </c>
      <c r="O18748" t="s">
        <v>31</v>
      </c>
      <c r="P18748" t="str">
        <f>"15224"</f>
        <v>15224</v>
      </c>
    </row>
    <row r="18749" spans="1:16" x14ac:dyDescent="0.25">
      <c r="A18749" t="str">
        <f>"1270075B00360    00"</f>
        <v>1270075B00360    00</v>
      </c>
      <c r="B18749" t="s">
        <v>40719</v>
      </c>
      <c r="C18749" t="s">
        <v>40720</v>
      </c>
      <c r="E18749" t="s">
        <v>39</v>
      </c>
      <c r="F18749">
        <v>0</v>
      </c>
      <c r="G18749">
        <v>0</v>
      </c>
      <c r="H18749">
        <v>2</v>
      </c>
      <c r="I18749" s="3">
        <v>4349.5200000000004</v>
      </c>
      <c r="J18749" s="3">
        <v>181.22</v>
      </c>
      <c r="K18749" t="s">
        <v>21024</v>
      </c>
      <c r="L18749">
        <v>3001</v>
      </c>
      <c r="M18749" t="s">
        <v>330</v>
      </c>
      <c r="N18749" t="s">
        <v>331</v>
      </c>
      <c r="O18749" t="s">
        <v>108</v>
      </c>
      <c r="P18749" t="str">
        <f>"75063"</f>
        <v>75063</v>
      </c>
    </row>
    <row r="18750" spans="1:16" x14ac:dyDescent="0.25">
      <c r="A18750" t="str">
        <f>"1270075C00002    00"</f>
        <v>1270075C00002    00</v>
      </c>
      <c r="B18750" t="s">
        <v>28953</v>
      </c>
      <c r="C18750" t="s">
        <v>40721</v>
      </c>
      <c r="E18750" t="s">
        <v>39</v>
      </c>
      <c r="F18750">
        <v>0</v>
      </c>
      <c r="G18750">
        <v>0</v>
      </c>
      <c r="H18750">
        <v>1</v>
      </c>
      <c r="I18750" s="3">
        <v>571.79999999999995</v>
      </c>
      <c r="J18750" s="3">
        <v>114.36</v>
      </c>
      <c r="K18750" t="s">
        <v>4424</v>
      </c>
      <c r="L18750">
        <v>3001</v>
      </c>
      <c r="M18750" t="s">
        <v>330</v>
      </c>
      <c r="N18750" t="s">
        <v>331</v>
      </c>
      <c r="O18750" t="s">
        <v>108</v>
      </c>
      <c r="P18750" t="str">
        <f>"75063"</f>
        <v>75063</v>
      </c>
    </row>
    <row r="18751" spans="1:16" x14ac:dyDescent="0.25">
      <c r="A18751" t="str">
        <f>"1270075C00028    00"</f>
        <v>1270075C00028    00</v>
      </c>
      <c r="B18751" t="s">
        <v>40722</v>
      </c>
      <c r="C18751" t="s">
        <v>40723</v>
      </c>
      <c r="D18751" t="s">
        <v>20</v>
      </c>
      <c r="E18751" t="s">
        <v>21</v>
      </c>
      <c r="F18751">
        <v>0</v>
      </c>
      <c r="G18751">
        <v>0</v>
      </c>
      <c r="H18751">
        <v>4</v>
      </c>
      <c r="I18751" s="3">
        <v>3599.54</v>
      </c>
      <c r="J18751" s="3">
        <v>425.21</v>
      </c>
      <c r="K18751" t="s">
        <v>40724</v>
      </c>
      <c r="L18751">
        <v>100</v>
      </c>
      <c r="M18751" t="s">
        <v>40110</v>
      </c>
      <c r="N18751" t="s">
        <v>30</v>
      </c>
      <c r="O18751" t="s">
        <v>31</v>
      </c>
      <c r="P18751" t="str">
        <f>"15235"</f>
        <v>15235</v>
      </c>
    </row>
    <row r="18752" spans="1:16" x14ac:dyDescent="0.25">
      <c r="A18752" t="str">
        <f>"1270075C00030    00"</f>
        <v>1270075C00030    00</v>
      </c>
      <c r="B18752" t="s">
        <v>40722</v>
      </c>
      <c r="C18752" t="s">
        <v>40725</v>
      </c>
      <c r="D18752" t="s">
        <v>20</v>
      </c>
      <c r="E18752" t="s">
        <v>21</v>
      </c>
      <c r="F18752">
        <v>0</v>
      </c>
      <c r="G18752">
        <v>0</v>
      </c>
      <c r="H18752">
        <v>2</v>
      </c>
      <c r="I18752" s="3">
        <v>3818.92</v>
      </c>
      <c r="J18752" s="3">
        <v>0</v>
      </c>
      <c r="L18752">
        <v>3552</v>
      </c>
      <c r="M18752" t="s">
        <v>17198</v>
      </c>
      <c r="N18752" t="s">
        <v>30</v>
      </c>
      <c r="O18752" t="s">
        <v>31</v>
      </c>
      <c r="P18752" t="str">
        <f>"15212"</f>
        <v>15212</v>
      </c>
    </row>
    <row r="18753" spans="1:16" x14ac:dyDescent="0.25">
      <c r="A18753" t="str">
        <f>"1270075C00035    00"</f>
        <v>1270075C00035    00</v>
      </c>
      <c r="B18753" t="s">
        <v>40722</v>
      </c>
      <c r="C18753" t="s">
        <v>40726</v>
      </c>
      <c r="D18753" t="s">
        <v>20</v>
      </c>
      <c r="E18753" t="s">
        <v>21</v>
      </c>
      <c r="F18753">
        <v>0</v>
      </c>
      <c r="G18753">
        <v>0</v>
      </c>
      <c r="H18753">
        <v>2</v>
      </c>
      <c r="I18753" s="3">
        <v>3480.97</v>
      </c>
      <c r="J18753" s="3">
        <v>0</v>
      </c>
      <c r="L18753">
        <v>3552</v>
      </c>
      <c r="M18753" t="s">
        <v>17198</v>
      </c>
      <c r="N18753" t="s">
        <v>30</v>
      </c>
      <c r="O18753" t="s">
        <v>31</v>
      </c>
      <c r="P18753" t="str">
        <f>"15212"</f>
        <v>15212</v>
      </c>
    </row>
    <row r="18754" spans="1:16" x14ac:dyDescent="0.25">
      <c r="A18754" t="str">
        <f>"1270075C00064    00"</f>
        <v>1270075C00064    00</v>
      </c>
      <c r="B18754" t="s">
        <v>40727</v>
      </c>
      <c r="C18754" t="s">
        <v>40728</v>
      </c>
      <c r="D18754" t="s">
        <v>20</v>
      </c>
      <c r="E18754" t="s">
        <v>39</v>
      </c>
      <c r="F18754">
        <v>0</v>
      </c>
      <c r="G18754">
        <v>0</v>
      </c>
      <c r="H18754">
        <v>15</v>
      </c>
      <c r="I18754" s="3">
        <v>12659.87</v>
      </c>
      <c r="J18754" s="3">
        <v>7344.5</v>
      </c>
      <c r="K18754" t="s">
        <v>40729</v>
      </c>
      <c r="L18754">
        <v>4812</v>
      </c>
      <c r="M18754" t="s">
        <v>40730</v>
      </c>
      <c r="N18754" t="s">
        <v>40731</v>
      </c>
      <c r="O18754" t="s">
        <v>370</v>
      </c>
      <c r="P18754" t="str">
        <f>"33458"</f>
        <v>33458</v>
      </c>
    </row>
    <row r="18755" spans="1:16" x14ac:dyDescent="0.25">
      <c r="A18755" t="str">
        <f>"1270075C00066    00"</f>
        <v>1270075C00066    00</v>
      </c>
      <c r="B18755" t="s">
        <v>40732</v>
      </c>
      <c r="C18755" t="s">
        <v>40733</v>
      </c>
      <c r="D18755" t="s">
        <v>20</v>
      </c>
      <c r="E18755" t="s">
        <v>39</v>
      </c>
      <c r="F18755">
        <v>0</v>
      </c>
      <c r="G18755">
        <v>0</v>
      </c>
      <c r="H18755">
        <v>1</v>
      </c>
      <c r="I18755" s="3">
        <v>1488.59</v>
      </c>
      <c r="J18755" s="3">
        <v>0</v>
      </c>
      <c r="L18755">
        <v>626</v>
      </c>
      <c r="M18755" t="s">
        <v>24894</v>
      </c>
      <c r="N18755" t="s">
        <v>30</v>
      </c>
      <c r="O18755" t="s">
        <v>31</v>
      </c>
      <c r="P18755" t="str">
        <f>"15210"</f>
        <v>15210</v>
      </c>
    </row>
    <row r="18756" spans="1:16" x14ac:dyDescent="0.25">
      <c r="A18756" t="str">
        <f>"1270075C00067    00"</f>
        <v>1270075C00067    00</v>
      </c>
      <c r="B18756" t="s">
        <v>40734</v>
      </c>
      <c r="C18756" t="s">
        <v>40735</v>
      </c>
      <c r="D18756" t="s">
        <v>20</v>
      </c>
      <c r="E18756" t="s">
        <v>39</v>
      </c>
      <c r="F18756">
        <v>0</v>
      </c>
      <c r="G18756">
        <v>0</v>
      </c>
      <c r="H18756">
        <v>12</v>
      </c>
      <c r="I18756" s="3">
        <v>6404.23</v>
      </c>
      <c r="J18756" s="3">
        <v>4430.09</v>
      </c>
      <c r="K18756" t="s">
        <v>40736</v>
      </c>
      <c r="L18756">
        <v>4812</v>
      </c>
      <c r="M18756" t="s">
        <v>40737</v>
      </c>
      <c r="N18756" t="s">
        <v>40731</v>
      </c>
      <c r="O18756" t="s">
        <v>370</v>
      </c>
      <c r="P18756" t="str">
        <f>"33458"</f>
        <v>33458</v>
      </c>
    </row>
    <row r="18757" spans="1:16" x14ac:dyDescent="0.25">
      <c r="A18757" t="str">
        <f>"1270075C00144    00"</f>
        <v>1270075C00144    00</v>
      </c>
      <c r="B18757" t="s">
        <v>40738</v>
      </c>
      <c r="C18757" t="s">
        <v>40739</v>
      </c>
      <c r="D18757" t="s">
        <v>20</v>
      </c>
      <c r="E18757" t="s">
        <v>39</v>
      </c>
      <c r="F18757">
        <v>0</v>
      </c>
      <c r="G18757">
        <v>0</v>
      </c>
      <c r="H18757">
        <v>2</v>
      </c>
      <c r="I18757" s="3">
        <v>3283.12</v>
      </c>
      <c r="J18757" s="3">
        <v>0</v>
      </c>
      <c r="L18757">
        <v>3619</v>
      </c>
      <c r="M18757" t="s">
        <v>38988</v>
      </c>
      <c r="N18757" t="s">
        <v>30</v>
      </c>
      <c r="O18757" t="s">
        <v>31</v>
      </c>
      <c r="P18757" t="str">
        <f>"15212"</f>
        <v>15212</v>
      </c>
    </row>
    <row r="18758" spans="1:16" x14ac:dyDescent="0.25">
      <c r="A18758" t="str">
        <f>"1270075C00187    00"</f>
        <v>1270075C00187    00</v>
      </c>
      <c r="B18758" t="s">
        <v>40740</v>
      </c>
      <c r="C18758" t="s">
        <v>40741</v>
      </c>
      <c r="D18758" t="s">
        <v>20</v>
      </c>
      <c r="E18758" t="s">
        <v>39</v>
      </c>
      <c r="F18758">
        <v>0</v>
      </c>
      <c r="G18758">
        <v>0</v>
      </c>
      <c r="H18758">
        <v>4</v>
      </c>
      <c r="I18758" s="3">
        <v>6945.48</v>
      </c>
      <c r="J18758" s="3">
        <v>0</v>
      </c>
      <c r="K18758" t="s">
        <v>40742</v>
      </c>
      <c r="L18758">
        <v>1437</v>
      </c>
      <c r="M18758" t="s">
        <v>40743</v>
      </c>
      <c r="N18758" t="s">
        <v>30</v>
      </c>
      <c r="O18758" t="s">
        <v>31</v>
      </c>
      <c r="P18758" t="str">
        <f>"15212"</f>
        <v>15212</v>
      </c>
    </row>
    <row r="18759" spans="1:16" x14ac:dyDescent="0.25">
      <c r="A18759" t="str">
        <f>"1270075C00198    00"</f>
        <v>1270075C00198    00</v>
      </c>
      <c r="B18759" t="s">
        <v>40744</v>
      </c>
      <c r="C18759" t="s">
        <v>40745</v>
      </c>
      <c r="E18759" t="s">
        <v>39</v>
      </c>
      <c r="F18759">
        <v>0</v>
      </c>
      <c r="G18759">
        <v>0</v>
      </c>
      <c r="H18759">
        <v>1</v>
      </c>
      <c r="I18759" s="3">
        <v>183.72</v>
      </c>
      <c r="J18759" s="3">
        <v>0</v>
      </c>
      <c r="L18759">
        <v>1507</v>
      </c>
      <c r="M18759" t="s">
        <v>40743</v>
      </c>
      <c r="N18759" t="s">
        <v>30</v>
      </c>
      <c r="O18759" t="s">
        <v>31</v>
      </c>
      <c r="P18759" t="str">
        <f>"15212"</f>
        <v>15212</v>
      </c>
    </row>
    <row r="18760" spans="1:16" x14ac:dyDescent="0.25">
      <c r="A18760" t="str">
        <f>"1270075C00229    00"</f>
        <v>1270075C00229    00</v>
      </c>
      <c r="B18760" t="s">
        <v>40746</v>
      </c>
      <c r="C18760" t="s">
        <v>40747</v>
      </c>
      <c r="D18760" t="s">
        <v>20</v>
      </c>
      <c r="E18760" t="s">
        <v>39</v>
      </c>
      <c r="F18760">
        <v>0</v>
      </c>
      <c r="G18760">
        <v>0</v>
      </c>
      <c r="H18760">
        <v>19</v>
      </c>
      <c r="I18760" s="3">
        <v>20539.79</v>
      </c>
      <c r="J18760" s="3">
        <v>19105.830000000002</v>
      </c>
      <c r="L18760">
        <v>246</v>
      </c>
      <c r="M18760" t="s">
        <v>40748</v>
      </c>
      <c r="N18760" t="s">
        <v>30</v>
      </c>
      <c r="O18760" t="s">
        <v>31</v>
      </c>
      <c r="P18760" t="str">
        <f>"15229"</f>
        <v>15229</v>
      </c>
    </row>
    <row r="18761" spans="1:16" x14ac:dyDescent="0.25">
      <c r="A18761" t="str">
        <f>"1270075C00233    00"</f>
        <v>1270075C00233    00</v>
      </c>
      <c r="B18761" t="s">
        <v>40749</v>
      </c>
      <c r="C18761" t="s">
        <v>40750</v>
      </c>
      <c r="E18761" t="s">
        <v>39</v>
      </c>
      <c r="F18761">
        <v>0</v>
      </c>
      <c r="G18761">
        <v>0</v>
      </c>
      <c r="H18761">
        <v>8</v>
      </c>
      <c r="I18761" s="3">
        <v>6296.89</v>
      </c>
      <c r="J18761" s="3">
        <v>8203.32</v>
      </c>
      <c r="L18761">
        <v>633</v>
      </c>
      <c r="M18761" t="s">
        <v>39476</v>
      </c>
      <c r="N18761" t="s">
        <v>11160</v>
      </c>
      <c r="O18761" t="s">
        <v>31</v>
      </c>
      <c r="P18761" t="str">
        <f>"15045"</f>
        <v>15045</v>
      </c>
    </row>
    <row r="18762" spans="1:16" x14ac:dyDescent="0.25">
      <c r="A18762" t="str">
        <f>"1270075C00234    00"</f>
        <v>1270075C00234    00</v>
      </c>
      <c r="B18762" t="s">
        <v>40751</v>
      </c>
      <c r="C18762" t="s">
        <v>40752</v>
      </c>
      <c r="D18762" t="s">
        <v>20</v>
      </c>
      <c r="E18762" t="s">
        <v>39</v>
      </c>
      <c r="F18762">
        <v>0</v>
      </c>
      <c r="G18762">
        <v>0</v>
      </c>
      <c r="H18762">
        <v>2</v>
      </c>
      <c r="I18762" s="3">
        <v>1407.45</v>
      </c>
      <c r="J18762" s="3">
        <v>0</v>
      </c>
      <c r="L18762">
        <v>6</v>
      </c>
      <c r="M18762" t="s">
        <v>40753</v>
      </c>
      <c r="N18762" t="s">
        <v>30</v>
      </c>
      <c r="O18762" t="s">
        <v>31</v>
      </c>
      <c r="P18762" t="str">
        <f>"15213"</f>
        <v>15213</v>
      </c>
    </row>
    <row r="18763" spans="1:16" x14ac:dyDescent="0.25">
      <c r="A18763" t="str">
        <f>"1270075C00235    00"</f>
        <v>1270075C00235    00</v>
      </c>
      <c r="B18763" t="s">
        <v>40754</v>
      </c>
      <c r="C18763" t="s">
        <v>40755</v>
      </c>
      <c r="D18763" t="s">
        <v>20</v>
      </c>
      <c r="E18763" t="s">
        <v>39</v>
      </c>
      <c r="F18763">
        <v>0</v>
      </c>
      <c r="G18763">
        <v>0</v>
      </c>
      <c r="H18763">
        <v>10</v>
      </c>
      <c r="I18763" s="3">
        <v>5232.9799999999996</v>
      </c>
      <c r="J18763" s="3">
        <v>2426.77</v>
      </c>
      <c r="L18763">
        <v>1506</v>
      </c>
      <c r="M18763" t="s">
        <v>35751</v>
      </c>
      <c r="N18763" t="s">
        <v>30</v>
      </c>
      <c r="O18763" t="s">
        <v>31</v>
      </c>
      <c r="P18763" t="str">
        <f>"15212"</f>
        <v>15212</v>
      </c>
    </row>
    <row r="18764" spans="1:16" x14ac:dyDescent="0.25">
      <c r="A18764" t="str">
        <f>"1270075C00238    00"</f>
        <v>1270075C00238    00</v>
      </c>
      <c r="B18764" t="s">
        <v>8046</v>
      </c>
      <c r="C18764" t="s">
        <v>40756</v>
      </c>
      <c r="E18764" t="s">
        <v>39</v>
      </c>
      <c r="F18764">
        <v>0</v>
      </c>
      <c r="G18764">
        <v>0</v>
      </c>
      <c r="H18764">
        <v>15</v>
      </c>
      <c r="I18764" s="3">
        <v>16131.06</v>
      </c>
      <c r="J18764" s="3">
        <v>20118.900000000001</v>
      </c>
      <c r="L18764">
        <v>4101</v>
      </c>
      <c r="M18764" t="s">
        <v>8048</v>
      </c>
      <c r="N18764" t="s">
        <v>30</v>
      </c>
      <c r="O18764" t="s">
        <v>31</v>
      </c>
      <c r="P18764" t="str">
        <f>"15227"</f>
        <v>15227</v>
      </c>
    </row>
    <row r="18765" spans="1:16" x14ac:dyDescent="0.25">
      <c r="A18765" t="str">
        <f>"1270075C00270    00"</f>
        <v>1270075C00270    00</v>
      </c>
      <c r="B18765" t="s">
        <v>40757</v>
      </c>
      <c r="C18765" t="s">
        <v>40758</v>
      </c>
      <c r="D18765" t="s">
        <v>20</v>
      </c>
      <c r="E18765" t="s">
        <v>39</v>
      </c>
      <c r="F18765">
        <v>0</v>
      </c>
      <c r="G18765">
        <v>0</v>
      </c>
      <c r="H18765">
        <v>1</v>
      </c>
      <c r="I18765" s="3">
        <v>995.41</v>
      </c>
      <c r="J18765" s="3">
        <v>0</v>
      </c>
      <c r="K18765" t="s">
        <v>2106</v>
      </c>
      <c r="L18765">
        <v>6053</v>
      </c>
      <c r="M18765" t="s">
        <v>2107</v>
      </c>
      <c r="N18765" t="s">
        <v>2108</v>
      </c>
      <c r="O18765" t="s">
        <v>2109</v>
      </c>
      <c r="P18765" t="str">
        <f>"84107"</f>
        <v>84107</v>
      </c>
    </row>
    <row r="18766" spans="1:16" x14ac:dyDescent="0.25">
      <c r="A18766" t="str">
        <f>"1270075C00280    00"</f>
        <v>1270075C00280    00</v>
      </c>
      <c r="B18766" t="s">
        <v>40759</v>
      </c>
      <c r="C18766" t="s">
        <v>40760</v>
      </c>
      <c r="D18766" t="s">
        <v>20</v>
      </c>
      <c r="E18766" t="s">
        <v>39</v>
      </c>
      <c r="F18766">
        <v>0</v>
      </c>
      <c r="G18766">
        <v>0</v>
      </c>
      <c r="H18766">
        <v>4</v>
      </c>
      <c r="I18766" s="3">
        <v>3721.06</v>
      </c>
      <c r="J18766" s="3">
        <v>439.56</v>
      </c>
      <c r="K18766" t="s">
        <v>40761</v>
      </c>
      <c r="L18766">
        <v>100</v>
      </c>
      <c r="M18766" t="s">
        <v>40110</v>
      </c>
      <c r="N18766" t="s">
        <v>30</v>
      </c>
      <c r="O18766" t="s">
        <v>31</v>
      </c>
      <c r="P18766" t="str">
        <f>"15235"</f>
        <v>15235</v>
      </c>
    </row>
    <row r="18767" spans="1:16" x14ac:dyDescent="0.25">
      <c r="A18767" t="str">
        <f>"1270075C00282A   00"</f>
        <v>1270075C00282A   00</v>
      </c>
      <c r="B18767" t="s">
        <v>40762</v>
      </c>
      <c r="C18767" t="s">
        <v>40763</v>
      </c>
      <c r="D18767" t="s">
        <v>20</v>
      </c>
      <c r="E18767" t="s">
        <v>39</v>
      </c>
      <c r="F18767">
        <v>0</v>
      </c>
      <c r="G18767">
        <v>0</v>
      </c>
      <c r="H18767">
        <v>8</v>
      </c>
      <c r="I18767" s="3">
        <v>7260.01</v>
      </c>
      <c r="J18767" s="3">
        <v>5682.15</v>
      </c>
      <c r="L18767">
        <v>100</v>
      </c>
      <c r="M18767" t="s">
        <v>40110</v>
      </c>
      <c r="N18767" t="s">
        <v>30</v>
      </c>
      <c r="O18767" t="s">
        <v>31</v>
      </c>
      <c r="P18767" t="str">
        <f>"15235"</f>
        <v>15235</v>
      </c>
    </row>
    <row r="18768" spans="1:16" x14ac:dyDescent="0.25">
      <c r="A18768" t="str">
        <f>"1270075C00282B   00"</f>
        <v>1270075C00282B   00</v>
      </c>
      <c r="B18768" t="s">
        <v>40764</v>
      </c>
      <c r="C18768" t="s">
        <v>40765</v>
      </c>
      <c r="D18768" t="s">
        <v>20</v>
      </c>
      <c r="E18768" t="s">
        <v>39</v>
      </c>
      <c r="F18768">
        <v>0</v>
      </c>
      <c r="G18768">
        <v>0</v>
      </c>
      <c r="H18768">
        <v>12</v>
      </c>
      <c r="I18768" s="3">
        <v>10197.16</v>
      </c>
      <c r="J18768" s="3">
        <v>8170.43</v>
      </c>
      <c r="L18768">
        <v>100</v>
      </c>
      <c r="M18768" t="s">
        <v>40766</v>
      </c>
      <c r="N18768" t="s">
        <v>30</v>
      </c>
      <c r="O18768" t="s">
        <v>31</v>
      </c>
      <c r="P18768" t="str">
        <f>"15235"</f>
        <v>15235</v>
      </c>
    </row>
    <row r="18769" spans="1:16" x14ac:dyDescent="0.25">
      <c r="A18769" t="str">
        <f>"1270075C00283    00"</f>
        <v>1270075C00283    00</v>
      </c>
      <c r="B18769" t="s">
        <v>40767</v>
      </c>
      <c r="C18769" t="s">
        <v>40768</v>
      </c>
      <c r="D18769" t="s">
        <v>20</v>
      </c>
      <c r="E18769" t="s">
        <v>39</v>
      </c>
      <c r="F18769">
        <v>0</v>
      </c>
      <c r="G18769">
        <v>0</v>
      </c>
      <c r="H18769">
        <v>3</v>
      </c>
      <c r="I18769" s="3">
        <v>1273.82</v>
      </c>
      <c r="J18769" s="3">
        <v>187.39</v>
      </c>
      <c r="K18769" t="s">
        <v>8122</v>
      </c>
      <c r="L18769">
        <v>999</v>
      </c>
      <c r="M18769" t="s">
        <v>8123</v>
      </c>
      <c r="N18769" t="s">
        <v>8124</v>
      </c>
      <c r="O18769" t="s">
        <v>658</v>
      </c>
      <c r="P18769" t="str">
        <f>"73118"</f>
        <v>73118</v>
      </c>
    </row>
    <row r="18770" spans="1:16" x14ac:dyDescent="0.25">
      <c r="A18770" t="str">
        <f>"1270075C00291    00"</f>
        <v>1270075C00291    00</v>
      </c>
      <c r="B18770" t="s">
        <v>40769</v>
      </c>
      <c r="C18770" t="s">
        <v>40770</v>
      </c>
      <c r="D18770" t="s">
        <v>20</v>
      </c>
      <c r="E18770" t="s">
        <v>39</v>
      </c>
      <c r="F18770">
        <v>0</v>
      </c>
      <c r="G18770">
        <v>0</v>
      </c>
      <c r="H18770">
        <v>2</v>
      </c>
      <c r="I18770" s="3">
        <v>3236.4</v>
      </c>
      <c r="J18770" s="3">
        <v>0</v>
      </c>
      <c r="L18770">
        <v>19</v>
      </c>
      <c r="M18770" t="s">
        <v>35682</v>
      </c>
      <c r="N18770" t="s">
        <v>30</v>
      </c>
      <c r="O18770" t="s">
        <v>31</v>
      </c>
      <c r="P18770" t="str">
        <f>"15214"</f>
        <v>15214</v>
      </c>
    </row>
    <row r="18771" spans="1:16" x14ac:dyDescent="0.25">
      <c r="A18771" t="str">
        <f>"1270075C00325    00"</f>
        <v>1270075C00325    00</v>
      </c>
      <c r="B18771" t="s">
        <v>40771</v>
      </c>
      <c r="C18771" t="s">
        <v>40772</v>
      </c>
      <c r="E18771" t="s">
        <v>39</v>
      </c>
      <c r="F18771">
        <v>0</v>
      </c>
      <c r="G18771">
        <v>0</v>
      </c>
      <c r="H18771">
        <v>1</v>
      </c>
      <c r="I18771" s="3">
        <v>599.12</v>
      </c>
      <c r="J18771" s="3">
        <v>414.38</v>
      </c>
      <c r="K18771" t="s">
        <v>8521</v>
      </c>
      <c r="L18771">
        <v>3001</v>
      </c>
      <c r="M18771" t="s">
        <v>330</v>
      </c>
      <c r="N18771" t="s">
        <v>331</v>
      </c>
      <c r="O18771" t="s">
        <v>108</v>
      </c>
      <c r="P18771" t="str">
        <f>"75063"</f>
        <v>75063</v>
      </c>
    </row>
    <row r="18772" spans="1:16" x14ac:dyDescent="0.25">
      <c r="A18772" t="str">
        <f>"1270075D00084    00"</f>
        <v>1270075D00084    00</v>
      </c>
      <c r="B18772" t="s">
        <v>40773</v>
      </c>
      <c r="C18772" t="s">
        <v>40774</v>
      </c>
      <c r="D18772" t="s">
        <v>20</v>
      </c>
      <c r="E18772" t="s">
        <v>39</v>
      </c>
      <c r="F18772">
        <v>0</v>
      </c>
      <c r="G18772">
        <v>0</v>
      </c>
      <c r="H18772">
        <v>1</v>
      </c>
      <c r="I18772" s="3">
        <v>2342.9299999999998</v>
      </c>
      <c r="J18772" s="3">
        <v>0</v>
      </c>
      <c r="L18772">
        <v>3528</v>
      </c>
      <c r="M18772" t="s">
        <v>37050</v>
      </c>
      <c r="N18772" t="s">
        <v>30</v>
      </c>
      <c r="O18772" t="s">
        <v>31</v>
      </c>
      <c r="P18772" t="str">
        <f>"15212"</f>
        <v>15212</v>
      </c>
    </row>
    <row r="18773" spans="1:16" x14ac:dyDescent="0.25">
      <c r="A18773" t="str">
        <f>"1270075D00147    00"</f>
        <v>1270075D00147    00</v>
      </c>
      <c r="B18773" t="s">
        <v>40775</v>
      </c>
      <c r="C18773" t="s">
        <v>40088</v>
      </c>
      <c r="D18773" t="s">
        <v>20</v>
      </c>
      <c r="E18773" t="s">
        <v>39</v>
      </c>
      <c r="F18773">
        <v>0</v>
      </c>
      <c r="G18773">
        <v>0</v>
      </c>
      <c r="H18773">
        <v>18</v>
      </c>
      <c r="I18773" s="3">
        <v>7748.78</v>
      </c>
      <c r="J18773" s="3">
        <v>5810.81</v>
      </c>
      <c r="K18773" t="s">
        <v>40776</v>
      </c>
      <c r="L18773">
        <v>3466</v>
      </c>
      <c r="M18773" t="s">
        <v>1695</v>
      </c>
      <c r="N18773" t="s">
        <v>30</v>
      </c>
      <c r="O18773" t="s">
        <v>31</v>
      </c>
      <c r="P18773" t="str">
        <f>"15217"</f>
        <v>15217</v>
      </c>
    </row>
    <row r="18774" spans="1:16" x14ac:dyDescent="0.25">
      <c r="A18774" t="str">
        <f>"1270075D00162    00"</f>
        <v>1270075D00162    00</v>
      </c>
      <c r="B18774" t="s">
        <v>40777</v>
      </c>
      <c r="C18774" t="s">
        <v>40778</v>
      </c>
      <c r="D18774" t="s">
        <v>20</v>
      </c>
      <c r="E18774" t="s">
        <v>39</v>
      </c>
      <c r="F18774">
        <v>0</v>
      </c>
      <c r="G18774">
        <v>0</v>
      </c>
      <c r="H18774">
        <v>6</v>
      </c>
      <c r="I18774" s="3">
        <v>8850.6200000000008</v>
      </c>
      <c r="J18774" s="3">
        <v>2026.46</v>
      </c>
      <c r="L18774">
        <v>9</v>
      </c>
      <c r="M18774" t="s">
        <v>40779</v>
      </c>
      <c r="N18774" t="s">
        <v>40780</v>
      </c>
      <c r="O18774" t="s">
        <v>423</v>
      </c>
      <c r="P18774" t="str">
        <f>"08820"</f>
        <v>08820</v>
      </c>
    </row>
    <row r="18775" spans="1:16" x14ac:dyDescent="0.25">
      <c r="A18775" t="str">
        <f>"1270075D00168    00"</f>
        <v>1270075D00168    00</v>
      </c>
      <c r="B18775" t="s">
        <v>40781</v>
      </c>
      <c r="C18775" t="s">
        <v>40782</v>
      </c>
      <c r="D18775" t="s">
        <v>20</v>
      </c>
      <c r="E18775" t="s">
        <v>39</v>
      </c>
      <c r="F18775">
        <v>0</v>
      </c>
      <c r="G18775">
        <v>0</v>
      </c>
      <c r="H18775">
        <v>2</v>
      </c>
      <c r="I18775" s="3">
        <v>2706.2</v>
      </c>
      <c r="J18775" s="3">
        <v>0</v>
      </c>
      <c r="K18775" t="s">
        <v>40783</v>
      </c>
      <c r="L18775">
        <v>3512</v>
      </c>
      <c r="M18775" t="s">
        <v>35783</v>
      </c>
      <c r="N18775" t="s">
        <v>30</v>
      </c>
      <c r="O18775" t="s">
        <v>31</v>
      </c>
      <c r="P18775" t="str">
        <f>"15212"</f>
        <v>15212</v>
      </c>
    </row>
    <row r="18776" spans="1:16" x14ac:dyDescent="0.25">
      <c r="A18776" t="str">
        <f>"1270075D00222    00"</f>
        <v>1270075D00222    00</v>
      </c>
      <c r="B18776" t="s">
        <v>40784</v>
      </c>
      <c r="C18776" t="s">
        <v>40785</v>
      </c>
      <c r="E18776" t="s">
        <v>39</v>
      </c>
      <c r="F18776">
        <v>0</v>
      </c>
      <c r="G18776">
        <v>0</v>
      </c>
      <c r="H18776">
        <v>2</v>
      </c>
      <c r="I18776" s="3">
        <v>4664.5</v>
      </c>
      <c r="J18776" s="3">
        <v>298.44</v>
      </c>
      <c r="K18776" t="s">
        <v>5432</v>
      </c>
      <c r="L18776">
        <v>3001</v>
      </c>
      <c r="M18776" t="s">
        <v>330</v>
      </c>
      <c r="N18776" t="s">
        <v>331</v>
      </c>
      <c r="O18776" t="s">
        <v>108</v>
      </c>
      <c r="P18776" t="str">
        <f>"75063"</f>
        <v>75063</v>
      </c>
    </row>
    <row r="18777" spans="1:16" x14ac:dyDescent="0.25">
      <c r="A18777" t="str">
        <f>"1270075D00230    00"</f>
        <v>1270075D00230    00</v>
      </c>
      <c r="B18777" t="s">
        <v>40786</v>
      </c>
      <c r="C18777" t="s">
        <v>40787</v>
      </c>
      <c r="E18777" t="s">
        <v>39</v>
      </c>
      <c r="F18777">
        <v>0</v>
      </c>
      <c r="G18777">
        <v>0</v>
      </c>
      <c r="H18777">
        <v>2</v>
      </c>
      <c r="I18777" s="3">
        <v>3773.88</v>
      </c>
      <c r="J18777" s="3">
        <v>157.22999999999999</v>
      </c>
      <c r="K18777" t="s">
        <v>40788</v>
      </c>
      <c r="L18777">
        <v>3537</v>
      </c>
      <c r="M18777" t="s">
        <v>40789</v>
      </c>
      <c r="N18777" t="s">
        <v>30</v>
      </c>
      <c r="O18777" t="s">
        <v>31</v>
      </c>
      <c r="P18777" t="str">
        <f>"15212"</f>
        <v>15212</v>
      </c>
    </row>
    <row r="18778" spans="1:16" x14ac:dyDescent="0.25">
      <c r="A18778" t="str">
        <f>"1270075D00252    00"</f>
        <v>1270075D00252    00</v>
      </c>
      <c r="B18778" t="s">
        <v>40790</v>
      </c>
      <c r="C18778" t="s">
        <v>40791</v>
      </c>
      <c r="D18778" t="s">
        <v>20</v>
      </c>
      <c r="E18778" t="s">
        <v>39</v>
      </c>
      <c r="F18778">
        <v>0</v>
      </c>
      <c r="G18778">
        <v>0</v>
      </c>
      <c r="H18778">
        <v>1</v>
      </c>
      <c r="I18778" s="3">
        <v>1020.23</v>
      </c>
      <c r="J18778" s="3">
        <v>0</v>
      </c>
      <c r="L18778">
        <v>3510</v>
      </c>
      <c r="M18778" t="s">
        <v>40789</v>
      </c>
      <c r="N18778" t="s">
        <v>30</v>
      </c>
      <c r="O18778" t="s">
        <v>31</v>
      </c>
      <c r="P18778" t="str">
        <f>"15212"</f>
        <v>15212</v>
      </c>
    </row>
    <row r="18779" spans="1:16" x14ac:dyDescent="0.25">
      <c r="A18779" t="str">
        <f>"1270075D00260    00"</f>
        <v>1270075D00260    00</v>
      </c>
      <c r="B18779" t="s">
        <v>40792</v>
      </c>
      <c r="C18779" t="s">
        <v>40793</v>
      </c>
      <c r="E18779" t="s">
        <v>39</v>
      </c>
      <c r="F18779">
        <v>0</v>
      </c>
      <c r="G18779">
        <v>0</v>
      </c>
      <c r="H18779">
        <v>1</v>
      </c>
      <c r="I18779" s="3">
        <v>1654.41</v>
      </c>
      <c r="J18779" s="3">
        <v>330.87</v>
      </c>
      <c r="K18779" t="s">
        <v>484</v>
      </c>
      <c r="L18779">
        <v>3001</v>
      </c>
      <c r="M18779" t="s">
        <v>330</v>
      </c>
      <c r="N18779" t="s">
        <v>331</v>
      </c>
      <c r="O18779" t="s">
        <v>108</v>
      </c>
      <c r="P18779" t="str">
        <f>"75063"</f>
        <v>75063</v>
      </c>
    </row>
    <row r="18780" spans="1:16" x14ac:dyDescent="0.25">
      <c r="A18780" t="str">
        <f>"1270075D00266    00"</f>
        <v>1270075D00266    00</v>
      </c>
      <c r="B18780" t="s">
        <v>40794</v>
      </c>
      <c r="C18780" t="s">
        <v>40795</v>
      </c>
      <c r="D18780" t="s">
        <v>20</v>
      </c>
      <c r="E18780" t="s">
        <v>39</v>
      </c>
      <c r="F18780">
        <v>0</v>
      </c>
      <c r="G18780">
        <v>0</v>
      </c>
      <c r="H18780">
        <v>3</v>
      </c>
      <c r="I18780" s="3">
        <v>10040.82</v>
      </c>
      <c r="J18780" s="3">
        <v>83.67</v>
      </c>
      <c r="K18780" t="s">
        <v>5692</v>
      </c>
      <c r="L18780">
        <v>3001</v>
      </c>
      <c r="M18780" t="s">
        <v>330</v>
      </c>
      <c r="N18780" t="s">
        <v>331</v>
      </c>
      <c r="O18780" t="s">
        <v>108</v>
      </c>
      <c r="P18780" t="str">
        <f>"75063"</f>
        <v>75063</v>
      </c>
    </row>
    <row r="18781" spans="1:16" x14ac:dyDescent="0.25">
      <c r="A18781" t="str">
        <f>"1270075D00276    00"</f>
        <v>1270075D00276    00</v>
      </c>
      <c r="B18781" t="s">
        <v>40796</v>
      </c>
      <c r="C18781" t="s">
        <v>40797</v>
      </c>
      <c r="D18781" t="s">
        <v>20</v>
      </c>
      <c r="E18781" t="s">
        <v>39</v>
      </c>
      <c r="F18781">
        <v>0</v>
      </c>
      <c r="G18781">
        <v>0</v>
      </c>
      <c r="H18781">
        <v>1</v>
      </c>
      <c r="I18781" s="3">
        <v>628.4</v>
      </c>
      <c r="J18781" s="3">
        <v>0</v>
      </c>
      <c r="K18781" t="s">
        <v>40798</v>
      </c>
      <c r="M18781" t="s">
        <v>31227</v>
      </c>
      <c r="N18781" t="s">
        <v>31228</v>
      </c>
      <c r="O18781" t="s">
        <v>1269</v>
      </c>
      <c r="P18781" t="str">
        <f>"06066"</f>
        <v>06066</v>
      </c>
    </row>
    <row r="18782" spans="1:16" x14ac:dyDescent="0.25">
      <c r="A18782" t="str">
        <f>"1270075D00290    00"</f>
        <v>1270075D00290    00</v>
      </c>
      <c r="B18782" t="s">
        <v>40799</v>
      </c>
      <c r="C18782" t="s">
        <v>40800</v>
      </c>
      <c r="E18782" t="s">
        <v>39</v>
      </c>
      <c r="F18782">
        <v>0</v>
      </c>
      <c r="G18782">
        <v>0</v>
      </c>
      <c r="H18782">
        <v>1</v>
      </c>
      <c r="I18782" s="3">
        <v>1383.89</v>
      </c>
      <c r="J18782" s="3">
        <v>415.15</v>
      </c>
      <c r="K18782" t="s">
        <v>5073</v>
      </c>
      <c r="L18782">
        <v>3001</v>
      </c>
      <c r="M18782" t="s">
        <v>330</v>
      </c>
      <c r="N18782" t="s">
        <v>331</v>
      </c>
      <c r="O18782" t="s">
        <v>108</v>
      </c>
      <c r="P18782" t="str">
        <f>"75063"</f>
        <v>75063</v>
      </c>
    </row>
    <row r="18783" spans="1:16" x14ac:dyDescent="0.25">
      <c r="A18783" t="str">
        <f>"1270075D00303    00"</f>
        <v>1270075D00303    00</v>
      </c>
      <c r="B18783" t="s">
        <v>40801</v>
      </c>
      <c r="C18783" t="s">
        <v>40802</v>
      </c>
      <c r="D18783" t="s">
        <v>20</v>
      </c>
      <c r="E18783" t="s">
        <v>39</v>
      </c>
      <c r="F18783">
        <v>0</v>
      </c>
      <c r="G18783">
        <v>0</v>
      </c>
      <c r="H18783">
        <v>2</v>
      </c>
      <c r="I18783" s="3">
        <v>1411.68</v>
      </c>
      <c r="J18783" s="3">
        <v>0</v>
      </c>
      <c r="L18783">
        <v>3578</v>
      </c>
      <c r="M18783" t="s">
        <v>13961</v>
      </c>
      <c r="N18783" t="s">
        <v>30</v>
      </c>
      <c r="O18783" t="s">
        <v>31</v>
      </c>
      <c r="P18783" t="str">
        <f>"15212"</f>
        <v>15212</v>
      </c>
    </row>
    <row r="18784" spans="1:16" x14ac:dyDescent="0.25">
      <c r="A18784" t="str">
        <f>"1270075F00007    00"</f>
        <v>1270075F00007    00</v>
      </c>
      <c r="B18784" t="s">
        <v>40803</v>
      </c>
      <c r="C18784" t="s">
        <v>40804</v>
      </c>
      <c r="D18784" t="s">
        <v>20</v>
      </c>
      <c r="E18784" t="s">
        <v>39</v>
      </c>
      <c r="F18784">
        <v>0</v>
      </c>
      <c r="G18784">
        <v>0</v>
      </c>
      <c r="H18784">
        <v>3</v>
      </c>
      <c r="I18784" s="3">
        <v>3637.38</v>
      </c>
      <c r="J18784" s="3">
        <v>0</v>
      </c>
      <c r="K18784" t="s">
        <v>40805</v>
      </c>
      <c r="L18784">
        <v>1062</v>
      </c>
      <c r="M18784" t="s">
        <v>40806</v>
      </c>
      <c r="N18784" t="s">
        <v>40807</v>
      </c>
      <c r="O18784" t="s">
        <v>31</v>
      </c>
      <c r="P18784" t="str">
        <f>"19010"</f>
        <v>19010</v>
      </c>
    </row>
    <row r="18785" spans="1:16" x14ac:dyDescent="0.25">
      <c r="A18785" t="str">
        <f>"1270075F00077    00"</f>
        <v>1270075F00077    00</v>
      </c>
      <c r="B18785" t="s">
        <v>40808</v>
      </c>
      <c r="C18785" t="s">
        <v>40809</v>
      </c>
      <c r="D18785" t="s">
        <v>20</v>
      </c>
      <c r="E18785" t="s">
        <v>21</v>
      </c>
      <c r="F18785">
        <v>0</v>
      </c>
      <c r="G18785">
        <v>0</v>
      </c>
      <c r="H18785">
        <v>3</v>
      </c>
      <c r="I18785" s="3">
        <v>73682.16</v>
      </c>
      <c r="J18785" s="3">
        <v>613.99</v>
      </c>
      <c r="K18785" t="s">
        <v>40810</v>
      </c>
      <c r="L18785">
        <v>3505</v>
      </c>
      <c r="M18785" t="s">
        <v>40811</v>
      </c>
      <c r="N18785" t="s">
        <v>30</v>
      </c>
      <c r="O18785" t="s">
        <v>31</v>
      </c>
      <c r="P18785" t="str">
        <f>"15212"</f>
        <v>15212</v>
      </c>
    </row>
    <row r="18786" spans="1:16" x14ac:dyDescent="0.25">
      <c r="A18786" t="str">
        <f>"1270075G00038    00"</f>
        <v>1270075G00038    00</v>
      </c>
      <c r="B18786" t="s">
        <v>40812</v>
      </c>
      <c r="C18786" t="s">
        <v>40813</v>
      </c>
      <c r="E18786" t="s">
        <v>39</v>
      </c>
      <c r="F18786">
        <v>0</v>
      </c>
      <c r="G18786">
        <v>0</v>
      </c>
      <c r="H18786">
        <v>1</v>
      </c>
      <c r="I18786" s="3">
        <v>1156.6099999999999</v>
      </c>
      <c r="J18786" s="3">
        <v>231.31</v>
      </c>
      <c r="K18786" t="s">
        <v>40814</v>
      </c>
      <c r="L18786">
        <v>3455</v>
      </c>
      <c r="M18786" t="s">
        <v>17198</v>
      </c>
      <c r="N18786" t="s">
        <v>30</v>
      </c>
      <c r="O18786" t="s">
        <v>31</v>
      </c>
      <c r="P18786" t="str">
        <f>"15212"</f>
        <v>15212</v>
      </c>
    </row>
    <row r="18787" spans="1:16" x14ac:dyDescent="0.25">
      <c r="A18787" t="str">
        <f>"1270075G00055    00"</f>
        <v>1270075G00055    00</v>
      </c>
      <c r="B18787" t="s">
        <v>40815</v>
      </c>
      <c r="C18787" t="s">
        <v>40816</v>
      </c>
      <c r="D18787" t="s">
        <v>20</v>
      </c>
      <c r="E18787" t="s">
        <v>39</v>
      </c>
      <c r="F18787">
        <v>0</v>
      </c>
      <c r="G18787">
        <v>0</v>
      </c>
      <c r="H18787">
        <v>9</v>
      </c>
      <c r="I18787" s="3">
        <v>5230.01</v>
      </c>
      <c r="J18787" s="3">
        <v>2308.8000000000002</v>
      </c>
      <c r="M18787" t="s">
        <v>40817</v>
      </c>
      <c r="N18787" t="s">
        <v>541</v>
      </c>
      <c r="O18787" t="s">
        <v>31</v>
      </c>
      <c r="P18787" t="str">
        <f>"15071"</f>
        <v>15071</v>
      </c>
    </row>
    <row r="18788" spans="1:16" x14ac:dyDescent="0.25">
      <c r="A18788" t="str">
        <f>"1270075G00057    00"</f>
        <v>1270075G00057    00</v>
      </c>
      <c r="B18788" t="s">
        <v>40818</v>
      </c>
      <c r="C18788" t="s">
        <v>40819</v>
      </c>
      <c r="D18788" t="s">
        <v>20</v>
      </c>
      <c r="E18788" t="s">
        <v>39</v>
      </c>
      <c r="F18788">
        <v>0</v>
      </c>
      <c r="G18788">
        <v>0</v>
      </c>
      <c r="H18788">
        <v>1</v>
      </c>
      <c r="I18788" s="3">
        <v>1229.3800000000001</v>
      </c>
      <c r="J18788" s="3">
        <v>0</v>
      </c>
      <c r="L18788">
        <v>3538</v>
      </c>
      <c r="M18788" t="s">
        <v>17198</v>
      </c>
      <c r="N18788" t="s">
        <v>30</v>
      </c>
      <c r="O18788" t="s">
        <v>31</v>
      </c>
      <c r="P18788" t="str">
        <f>"15212"</f>
        <v>15212</v>
      </c>
    </row>
    <row r="18789" spans="1:16" x14ac:dyDescent="0.25">
      <c r="A18789" t="str">
        <f>"1270075G00059    00"</f>
        <v>1270075G00059    00</v>
      </c>
      <c r="B18789" t="s">
        <v>40820</v>
      </c>
      <c r="C18789" t="s">
        <v>40821</v>
      </c>
      <c r="E18789" t="s">
        <v>39</v>
      </c>
      <c r="F18789">
        <v>0</v>
      </c>
      <c r="G18789">
        <v>0</v>
      </c>
      <c r="H18789">
        <v>3</v>
      </c>
      <c r="I18789" s="3">
        <v>1512.33</v>
      </c>
      <c r="J18789" s="3">
        <v>174.12</v>
      </c>
      <c r="L18789">
        <v>3536</v>
      </c>
      <c r="M18789" t="s">
        <v>17198</v>
      </c>
      <c r="N18789" t="s">
        <v>30</v>
      </c>
      <c r="O18789" t="s">
        <v>31</v>
      </c>
      <c r="P18789" t="str">
        <f>"15212"</f>
        <v>15212</v>
      </c>
    </row>
    <row r="18790" spans="1:16" x14ac:dyDescent="0.25">
      <c r="A18790" t="str">
        <f>"1270075G00075    00"</f>
        <v>1270075G00075    00</v>
      </c>
      <c r="B18790" t="s">
        <v>40822</v>
      </c>
      <c r="C18790" t="s">
        <v>40823</v>
      </c>
      <c r="E18790" t="s">
        <v>39</v>
      </c>
      <c r="F18790">
        <v>0</v>
      </c>
      <c r="G18790">
        <v>0</v>
      </c>
      <c r="H18790">
        <v>1</v>
      </c>
      <c r="I18790" s="3">
        <v>523.32000000000005</v>
      </c>
      <c r="J18790" s="3">
        <v>0</v>
      </c>
      <c r="K18790" t="s">
        <v>40824</v>
      </c>
      <c r="L18790">
        <v>3500</v>
      </c>
      <c r="M18790" t="s">
        <v>17198</v>
      </c>
      <c r="N18790" t="s">
        <v>30</v>
      </c>
      <c r="O18790" t="s">
        <v>31</v>
      </c>
      <c r="P18790" t="str">
        <f>"15212"</f>
        <v>15212</v>
      </c>
    </row>
    <row r="18791" spans="1:16" x14ac:dyDescent="0.25">
      <c r="A18791" t="str">
        <f>"1270075G00129    00"</f>
        <v>1270075G00129    00</v>
      </c>
      <c r="B18791" t="s">
        <v>40825</v>
      </c>
      <c r="C18791" t="s">
        <v>40826</v>
      </c>
      <c r="E18791" t="s">
        <v>39</v>
      </c>
      <c r="F18791">
        <v>0</v>
      </c>
      <c r="G18791">
        <v>0</v>
      </c>
      <c r="H18791">
        <v>5</v>
      </c>
      <c r="I18791" s="3">
        <v>1145.54</v>
      </c>
      <c r="J18791" s="3">
        <v>449.72</v>
      </c>
      <c r="L18791">
        <v>3518</v>
      </c>
      <c r="M18791" t="s">
        <v>40827</v>
      </c>
      <c r="N18791" t="s">
        <v>30</v>
      </c>
      <c r="O18791" t="s">
        <v>31</v>
      </c>
      <c r="P18791" t="str">
        <f>"15212"</f>
        <v>15212</v>
      </c>
    </row>
    <row r="18792" spans="1:16" x14ac:dyDescent="0.25">
      <c r="A18792" t="str">
        <f>"1270075G00130    00"</f>
        <v>1270075G00130    00</v>
      </c>
      <c r="B18792" t="s">
        <v>40828</v>
      </c>
      <c r="C18792" t="s">
        <v>40829</v>
      </c>
      <c r="E18792" t="s">
        <v>39</v>
      </c>
      <c r="F18792">
        <v>0</v>
      </c>
      <c r="G18792">
        <v>0</v>
      </c>
      <c r="H18792">
        <v>9</v>
      </c>
      <c r="I18792" s="3">
        <v>6703.86</v>
      </c>
      <c r="J18792" s="3">
        <v>8303.1</v>
      </c>
      <c r="K18792" t="s">
        <v>40830</v>
      </c>
      <c r="L18792">
        <v>301</v>
      </c>
      <c r="M18792" t="s">
        <v>40831</v>
      </c>
      <c r="N18792" t="s">
        <v>3919</v>
      </c>
      <c r="O18792" t="s">
        <v>370</v>
      </c>
      <c r="P18792" t="str">
        <f>"32202"</f>
        <v>32202</v>
      </c>
    </row>
    <row r="18793" spans="1:16" x14ac:dyDescent="0.25">
      <c r="A18793" t="str">
        <f>"1270075G00159    00"</f>
        <v>1270075G00159    00</v>
      </c>
      <c r="B18793" t="s">
        <v>40832</v>
      </c>
      <c r="C18793" t="s">
        <v>40833</v>
      </c>
      <c r="D18793" t="s">
        <v>20</v>
      </c>
      <c r="E18793" t="s">
        <v>39</v>
      </c>
      <c r="F18793">
        <v>0</v>
      </c>
      <c r="G18793">
        <v>0</v>
      </c>
      <c r="H18793">
        <v>1</v>
      </c>
      <c r="I18793" s="3">
        <v>1313.25</v>
      </c>
      <c r="J18793" s="3">
        <v>0</v>
      </c>
      <c r="L18793">
        <v>405</v>
      </c>
      <c r="M18793" t="s">
        <v>40834</v>
      </c>
      <c r="N18793" t="s">
        <v>903</v>
      </c>
      <c r="O18793" t="s">
        <v>31</v>
      </c>
      <c r="P18793" t="str">
        <f>"15136"</f>
        <v>15136</v>
      </c>
    </row>
    <row r="18794" spans="1:16" x14ac:dyDescent="0.25">
      <c r="A18794" t="str">
        <f>"1270075G00220    00"</f>
        <v>1270075G00220    00</v>
      </c>
      <c r="B18794" t="s">
        <v>40835</v>
      </c>
      <c r="C18794" t="s">
        <v>40836</v>
      </c>
      <c r="D18794" t="s">
        <v>20</v>
      </c>
      <c r="E18794" t="s">
        <v>39</v>
      </c>
      <c r="F18794">
        <v>0</v>
      </c>
      <c r="G18794">
        <v>0</v>
      </c>
      <c r="H18794">
        <v>3</v>
      </c>
      <c r="I18794" s="3">
        <v>3413.67</v>
      </c>
      <c r="J18794" s="3">
        <v>227.57</v>
      </c>
      <c r="L18794">
        <v>10989</v>
      </c>
      <c r="M18794" t="s">
        <v>11939</v>
      </c>
      <c r="N18794" t="s">
        <v>30</v>
      </c>
      <c r="O18794" t="s">
        <v>31</v>
      </c>
      <c r="P18794" t="str">
        <f>"15235"</f>
        <v>15235</v>
      </c>
    </row>
    <row r="18795" spans="1:16" x14ac:dyDescent="0.25">
      <c r="A18795" t="str">
        <f>"1270075G00237    00"</f>
        <v>1270075G00237    00</v>
      </c>
      <c r="B18795" t="s">
        <v>40837</v>
      </c>
      <c r="C18795" t="s">
        <v>40838</v>
      </c>
      <c r="D18795" t="s">
        <v>20</v>
      </c>
      <c r="E18795" t="s">
        <v>39</v>
      </c>
      <c r="F18795">
        <v>0</v>
      </c>
      <c r="G18795">
        <v>0</v>
      </c>
      <c r="H18795">
        <v>2</v>
      </c>
      <c r="I18795" s="3">
        <v>1867.06</v>
      </c>
      <c r="J18795" s="3">
        <v>0</v>
      </c>
      <c r="L18795">
        <v>6699</v>
      </c>
      <c r="M18795" t="s">
        <v>40839</v>
      </c>
      <c r="N18795" t="s">
        <v>40840</v>
      </c>
      <c r="O18795" t="s">
        <v>692</v>
      </c>
      <c r="P18795" t="str">
        <f>"23061"</f>
        <v>23061</v>
      </c>
    </row>
    <row r="18796" spans="1:16" x14ac:dyDescent="0.25">
      <c r="A18796" t="str">
        <f>"1270075G00251    00"</f>
        <v>1270075G00251    00</v>
      </c>
      <c r="B18796" t="s">
        <v>40841</v>
      </c>
      <c r="C18796" t="s">
        <v>40842</v>
      </c>
      <c r="D18796" t="s">
        <v>20</v>
      </c>
      <c r="E18796" t="s">
        <v>39</v>
      </c>
      <c r="F18796">
        <v>0</v>
      </c>
      <c r="G18796">
        <v>0</v>
      </c>
      <c r="H18796">
        <v>2</v>
      </c>
      <c r="I18796" s="3">
        <v>153.32</v>
      </c>
      <c r="J18796" s="3">
        <v>0</v>
      </c>
      <c r="L18796">
        <v>3420</v>
      </c>
      <c r="M18796" t="s">
        <v>38988</v>
      </c>
      <c r="N18796" t="s">
        <v>30</v>
      </c>
      <c r="O18796" t="s">
        <v>31</v>
      </c>
      <c r="P18796" t="str">
        <f>"15212"</f>
        <v>15212</v>
      </c>
    </row>
    <row r="18797" spans="1:16" x14ac:dyDescent="0.25">
      <c r="A18797" t="str">
        <f>"1270075G00258    00"</f>
        <v>1270075G00258    00</v>
      </c>
      <c r="B18797" t="s">
        <v>40843</v>
      </c>
      <c r="C18797" t="s">
        <v>40844</v>
      </c>
      <c r="D18797" t="s">
        <v>20</v>
      </c>
      <c r="E18797" t="s">
        <v>39</v>
      </c>
      <c r="F18797">
        <v>0</v>
      </c>
      <c r="G18797">
        <v>0</v>
      </c>
      <c r="H18797">
        <v>2</v>
      </c>
      <c r="I18797" s="3">
        <v>371.06</v>
      </c>
      <c r="J18797" s="3">
        <v>0</v>
      </c>
      <c r="K18797" t="s">
        <v>40845</v>
      </c>
      <c r="L18797">
        <v>1324</v>
      </c>
      <c r="M18797" t="s">
        <v>40233</v>
      </c>
      <c r="N18797" t="s">
        <v>195</v>
      </c>
      <c r="O18797" t="s">
        <v>31</v>
      </c>
      <c r="P18797" t="str">
        <f>"15101"</f>
        <v>15101</v>
      </c>
    </row>
    <row r="18798" spans="1:16" x14ac:dyDescent="0.25">
      <c r="A18798" t="str">
        <f>"1270075G00261    00"</f>
        <v>1270075G00261    00</v>
      </c>
      <c r="B18798" t="s">
        <v>40846</v>
      </c>
      <c r="C18798" t="s">
        <v>40847</v>
      </c>
      <c r="D18798" t="s">
        <v>20</v>
      </c>
      <c r="E18798" t="s">
        <v>39</v>
      </c>
      <c r="F18798">
        <v>0</v>
      </c>
      <c r="G18798">
        <v>0</v>
      </c>
      <c r="H18798">
        <v>19</v>
      </c>
      <c r="I18798" s="3">
        <v>11367.46</v>
      </c>
      <c r="J18798" s="3">
        <v>11544.63</v>
      </c>
      <c r="L18798">
        <v>1119</v>
      </c>
      <c r="M18798" t="s">
        <v>40848</v>
      </c>
      <c r="N18798" t="s">
        <v>30</v>
      </c>
      <c r="O18798" t="s">
        <v>31</v>
      </c>
      <c r="P18798" t="str">
        <f>"15212"</f>
        <v>15212</v>
      </c>
    </row>
    <row r="18799" spans="1:16" x14ac:dyDescent="0.25">
      <c r="A18799" t="str">
        <f>"1270075G00273    00"</f>
        <v>1270075G00273    00</v>
      </c>
      <c r="B18799" t="s">
        <v>40849</v>
      </c>
      <c r="C18799" t="s">
        <v>40850</v>
      </c>
      <c r="D18799" t="s">
        <v>20</v>
      </c>
      <c r="E18799" t="s">
        <v>39</v>
      </c>
      <c r="F18799">
        <v>0</v>
      </c>
      <c r="G18799">
        <v>0</v>
      </c>
      <c r="H18799">
        <v>19</v>
      </c>
      <c r="I18799" s="3">
        <v>616.84</v>
      </c>
      <c r="J18799" s="3">
        <v>708.49</v>
      </c>
      <c r="K18799" t="s">
        <v>40851</v>
      </c>
      <c r="L18799">
        <v>3435</v>
      </c>
      <c r="M18799" t="s">
        <v>36883</v>
      </c>
      <c r="N18799" t="s">
        <v>30</v>
      </c>
      <c r="O18799" t="s">
        <v>31</v>
      </c>
      <c r="P18799" t="str">
        <f>"15212"</f>
        <v>15212</v>
      </c>
    </row>
    <row r="18800" spans="1:16" x14ac:dyDescent="0.25">
      <c r="A18800" t="str">
        <f>"1270075G00275    00"</f>
        <v>1270075G00275    00</v>
      </c>
      <c r="B18800" t="s">
        <v>40852</v>
      </c>
      <c r="C18800" t="s">
        <v>40853</v>
      </c>
      <c r="D18800" t="s">
        <v>20</v>
      </c>
      <c r="E18800" t="s">
        <v>39</v>
      </c>
      <c r="F18800">
        <v>0</v>
      </c>
      <c r="G18800">
        <v>0</v>
      </c>
      <c r="H18800">
        <v>2</v>
      </c>
      <c r="I18800" s="3">
        <v>300.07</v>
      </c>
      <c r="J18800" s="3">
        <v>22.64</v>
      </c>
      <c r="L18800">
        <v>3431</v>
      </c>
      <c r="M18800" t="s">
        <v>36883</v>
      </c>
      <c r="N18800" t="s">
        <v>30</v>
      </c>
      <c r="O18800" t="s">
        <v>31</v>
      </c>
      <c r="P18800" t="str">
        <f>"15212"</f>
        <v>15212</v>
      </c>
    </row>
    <row r="18801" spans="1:16" x14ac:dyDescent="0.25">
      <c r="A18801" t="str">
        <f>"1270075G00292    00"</f>
        <v>1270075G00292    00</v>
      </c>
      <c r="B18801" t="s">
        <v>40854</v>
      </c>
      <c r="C18801" t="s">
        <v>40855</v>
      </c>
      <c r="D18801" t="s">
        <v>20</v>
      </c>
      <c r="E18801" t="s">
        <v>39</v>
      </c>
      <c r="F18801">
        <v>0</v>
      </c>
      <c r="G18801">
        <v>0</v>
      </c>
      <c r="H18801">
        <v>5</v>
      </c>
      <c r="I18801" s="3">
        <v>1757.69</v>
      </c>
      <c r="J18801" s="3">
        <v>333.67</v>
      </c>
      <c r="L18801">
        <v>3432</v>
      </c>
      <c r="M18801" t="s">
        <v>36883</v>
      </c>
      <c r="N18801" t="s">
        <v>30</v>
      </c>
      <c r="O18801" t="s">
        <v>31</v>
      </c>
      <c r="P18801" t="str">
        <f>"15212"</f>
        <v>15212</v>
      </c>
    </row>
    <row r="18802" spans="1:16" x14ac:dyDescent="0.25">
      <c r="A18802" t="str">
        <f>"1270075G00300    00"</f>
        <v>1270075G00300    00</v>
      </c>
      <c r="B18802" t="s">
        <v>40856</v>
      </c>
      <c r="C18802" t="s">
        <v>40857</v>
      </c>
      <c r="D18802" t="s">
        <v>20</v>
      </c>
      <c r="E18802" t="s">
        <v>39</v>
      </c>
      <c r="F18802">
        <v>0</v>
      </c>
      <c r="G18802">
        <v>0</v>
      </c>
      <c r="H18802">
        <v>6</v>
      </c>
      <c r="I18802" s="3">
        <v>3186.25</v>
      </c>
      <c r="J18802" s="3">
        <v>753.62</v>
      </c>
      <c r="L18802">
        <v>810</v>
      </c>
      <c r="M18802" t="s">
        <v>40858</v>
      </c>
      <c r="N18802" t="s">
        <v>11160</v>
      </c>
      <c r="O18802" t="s">
        <v>31</v>
      </c>
      <c r="P18802" t="str">
        <f>"15045"</f>
        <v>15045</v>
      </c>
    </row>
    <row r="18803" spans="1:16" x14ac:dyDescent="0.25">
      <c r="A18803" t="str">
        <f>"1270075G00301    00"</f>
        <v>1270075G00301    00</v>
      </c>
      <c r="B18803" t="s">
        <v>40856</v>
      </c>
      <c r="C18803" t="s">
        <v>40850</v>
      </c>
      <c r="D18803" t="s">
        <v>20</v>
      </c>
      <c r="E18803" t="s">
        <v>39</v>
      </c>
      <c r="F18803">
        <v>0</v>
      </c>
      <c r="G18803">
        <v>0</v>
      </c>
      <c r="H18803">
        <v>6</v>
      </c>
      <c r="I18803" s="3">
        <v>290.83</v>
      </c>
      <c r="J18803" s="3">
        <v>66.34</v>
      </c>
      <c r="L18803">
        <v>810</v>
      </c>
      <c r="M18803" t="s">
        <v>40858</v>
      </c>
      <c r="N18803" t="s">
        <v>11160</v>
      </c>
      <c r="O18803" t="s">
        <v>31</v>
      </c>
      <c r="P18803" t="str">
        <f>"15045"</f>
        <v>15045</v>
      </c>
    </row>
    <row r="18804" spans="1:16" x14ac:dyDescent="0.25">
      <c r="A18804" t="str">
        <f>"1270075G00316    00"</f>
        <v>1270075G00316    00</v>
      </c>
      <c r="B18804" t="s">
        <v>39248</v>
      </c>
      <c r="C18804" t="s">
        <v>40859</v>
      </c>
      <c r="D18804" t="s">
        <v>20</v>
      </c>
      <c r="E18804" t="s">
        <v>39</v>
      </c>
      <c r="F18804">
        <v>0</v>
      </c>
      <c r="G18804">
        <v>0</v>
      </c>
      <c r="H18804">
        <v>1</v>
      </c>
      <c r="I18804" s="3">
        <v>452.85</v>
      </c>
      <c r="J18804" s="3">
        <v>128.30000000000001</v>
      </c>
      <c r="L18804">
        <v>39</v>
      </c>
      <c r="M18804" t="s">
        <v>39211</v>
      </c>
      <c r="N18804" t="s">
        <v>30</v>
      </c>
      <c r="O18804" t="s">
        <v>31</v>
      </c>
      <c r="P18804" t="str">
        <f>"15214"</f>
        <v>15214</v>
      </c>
    </row>
    <row r="18805" spans="1:16" x14ac:dyDescent="0.25">
      <c r="A18805" t="str">
        <f>"1270075G00317    00"</f>
        <v>1270075G00317    00</v>
      </c>
      <c r="B18805" t="s">
        <v>40860</v>
      </c>
      <c r="C18805" t="s">
        <v>40861</v>
      </c>
      <c r="D18805" t="s">
        <v>20</v>
      </c>
      <c r="E18805" t="s">
        <v>39</v>
      </c>
      <c r="F18805">
        <v>0</v>
      </c>
      <c r="G18805">
        <v>0</v>
      </c>
      <c r="H18805">
        <v>2</v>
      </c>
      <c r="I18805" s="3">
        <v>825.1</v>
      </c>
      <c r="J18805" s="3">
        <v>0</v>
      </c>
      <c r="L18805">
        <v>1554</v>
      </c>
      <c r="M18805" t="s">
        <v>40862</v>
      </c>
      <c r="N18805" t="s">
        <v>30</v>
      </c>
      <c r="O18805" t="s">
        <v>31</v>
      </c>
      <c r="P18805" t="str">
        <f>"15212"</f>
        <v>15212</v>
      </c>
    </row>
    <row r="18806" spans="1:16" x14ac:dyDescent="0.25">
      <c r="A18806" t="str">
        <f>"1270075G00320    00"</f>
        <v>1270075G00320    00</v>
      </c>
      <c r="B18806" t="s">
        <v>39040</v>
      </c>
      <c r="C18806" t="s">
        <v>40863</v>
      </c>
      <c r="D18806" t="s">
        <v>20</v>
      </c>
      <c r="E18806" t="s">
        <v>39</v>
      </c>
      <c r="F18806">
        <v>0</v>
      </c>
      <c r="G18806">
        <v>0</v>
      </c>
      <c r="H18806">
        <v>17</v>
      </c>
      <c r="I18806" s="3">
        <v>13837.09</v>
      </c>
      <c r="J18806" s="3">
        <v>10619.64</v>
      </c>
      <c r="L18806">
        <v>937</v>
      </c>
      <c r="M18806" t="s">
        <v>35617</v>
      </c>
      <c r="N18806" t="s">
        <v>625</v>
      </c>
      <c r="O18806" t="s">
        <v>31</v>
      </c>
      <c r="P18806" t="str">
        <f>"15108"</f>
        <v>15108</v>
      </c>
    </row>
    <row r="18807" spans="1:16" x14ac:dyDescent="0.25">
      <c r="A18807" t="str">
        <f>"1270075G00322    00"</f>
        <v>1270075G00322    00</v>
      </c>
      <c r="B18807" t="s">
        <v>40864</v>
      </c>
      <c r="C18807" t="s">
        <v>40865</v>
      </c>
      <c r="D18807" t="s">
        <v>20</v>
      </c>
      <c r="E18807" t="s">
        <v>39</v>
      </c>
      <c r="F18807">
        <v>0</v>
      </c>
      <c r="G18807">
        <v>0</v>
      </c>
      <c r="H18807">
        <v>1</v>
      </c>
      <c r="I18807" s="3">
        <v>846.28</v>
      </c>
      <c r="J18807" s="3">
        <v>0</v>
      </c>
      <c r="L18807">
        <v>3234</v>
      </c>
      <c r="M18807" t="s">
        <v>37050</v>
      </c>
      <c r="N18807" t="s">
        <v>30</v>
      </c>
      <c r="O18807" t="s">
        <v>31</v>
      </c>
      <c r="P18807" t="str">
        <f>"15212"</f>
        <v>15212</v>
      </c>
    </row>
    <row r="18808" spans="1:16" x14ac:dyDescent="0.25">
      <c r="A18808" t="str">
        <f>"1270075G00330    00"</f>
        <v>1270075G00330    00</v>
      </c>
      <c r="B18808" t="s">
        <v>40866</v>
      </c>
      <c r="C18808" t="s">
        <v>40867</v>
      </c>
      <c r="D18808" t="s">
        <v>20</v>
      </c>
      <c r="E18808" t="s">
        <v>39</v>
      </c>
      <c r="F18808">
        <v>0</v>
      </c>
      <c r="G18808">
        <v>0</v>
      </c>
      <c r="H18808">
        <v>3</v>
      </c>
      <c r="I18808" s="3">
        <v>2285.91</v>
      </c>
      <c r="J18808" s="3">
        <v>186.1</v>
      </c>
      <c r="L18808">
        <v>3502</v>
      </c>
      <c r="M18808" t="s">
        <v>38988</v>
      </c>
      <c r="N18808" t="s">
        <v>30</v>
      </c>
      <c r="O18808" t="s">
        <v>31</v>
      </c>
      <c r="P18808" t="str">
        <f>"15212"</f>
        <v>15212</v>
      </c>
    </row>
    <row r="18809" spans="1:16" x14ac:dyDescent="0.25">
      <c r="A18809" t="str">
        <f>"1270075H00023    00"</f>
        <v>1270075H00023    00</v>
      </c>
      <c r="B18809" t="s">
        <v>40868</v>
      </c>
      <c r="C18809" t="s">
        <v>40869</v>
      </c>
      <c r="E18809" t="s">
        <v>39</v>
      </c>
      <c r="F18809">
        <v>0</v>
      </c>
      <c r="G18809">
        <v>0</v>
      </c>
      <c r="H18809">
        <v>2</v>
      </c>
      <c r="I18809" s="3">
        <v>505.74</v>
      </c>
      <c r="J18809" s="3">
        <v>154.79</v>
      </c>
      <c r="L18809">
        <v>3469</v>
      </c>
      <c r="M18809" t="s">
        <v>37050</v>
      </c>
      <c r="N18809" t="s">
        <v>30</v>
      </c>
      <c r="O18809" t="s">
        <v>31</v>
      </c>
      <c r="P18809" t="str">
        <f>"15212"</f>
        <v>15212</v>
      </c>
    </row>
    <row r="18810" spans="1:16" x14ac:dyDescent="0.25">
      <c r="A18810" t="str">
        <f>"1270075H00083    00"</f>
        <v>1270075H00083    00</v>
      </c>
      <c r="B18810" t="s">
        <v>40870</v>
      </c>
      <c r="C18810" t="s">
        <v>40871</v>
      </c>
      <c r="D18810" t="s">
        <v>20</v>
      </c>
      <c r="E18810" t="s">
        <v>39</v>
      </c>
      <c r="F18810">
        <v>0</v>
      </c>
      <c r="G18810">
        <v>0</v>
      </c>
      <c r="H18810">
        <v>19</v>
      </c>
      <c r="I18810" s="3">
        <v>7662.77</v>
      </c>
      <c r="J18810" s="3">
        <v>6850.04</v>
      </c>
      <c r="L18810">
        <v>1036</v>
      </c>
      <c r="M18810" t="s">
        <v>40872</v>
      </c>
      <c r="N18810" t="s">
        <v>30</v>
      </c>
      <c r="O18810" t="s">
        <v>31</v>
      </c>
      <c r="P18810" t="str">
        <f>"15212"</f>
        <v>15212</v>
      </c>
    </row>
    <row r="18811" spans="1:16" x14ac:dyDescent="0.25">
      <c r="A18811" t="str">
        <f>"1270075H00088    00"</f>
        <v>1270075H00088    00</v>
      </c>
      <c r="B18811" t="s">
        <v>40873</v>
      </c>
      <c r="C18811" t="s">
        <v>40871</v>
      </c>
      <c r="D18811" t="s">
        <v>20</v>
      </c>
      <c r="E18811" t="s">
        <v>39</v>
      </c>
      <c r="F18811">
        <v>0</v>
      </c>
      <c r="G18811">
        <v>0</v>
      </c>
      <c r="H18811">
        <v>16</v>
      </c>
      <c r="I18811" s="3">
        <v>10187</v>
      </c>
      <c r="J18811" s="3">
        <v>9329.2800000000007</v>
      </c>
      <c r="L18811">
        <v>615</v>
      </c>
      <c r="M18811" t="s">
        <v>40874</v>
      </c>
      <c r="N18811" t="s">
        <v>3827</v>
      </c>
      <c r="O18811" t="s">
        <v>70</v>
      </c>
      <c r="P18811" t="str">
        <f>"48226"</f>
        <v>48226</v>
      </c>
    </row>
    <row r="18812" spans="1:16" x14ac:dyDescent="0.25">
      <c r="A18812" t="str">
        <f>"1270075H00096    00"</f>
        <v>1270075H00096    00</v>
      </c>
      <c r="B18812" t="s">
        <v>40875</v>
      </c>
      <c r="C18812" t="s">
        <v>40876</v>
      </c>
      <c r="D18812" t="s">
        <v>20</v>
      </c>
      <c r="E18812" t="s">
        <v>39</v>
      </c>
      <c r="F18812">
        <v>0</v>
      </c>
      <c r="G18812">
        <v>0</v>
      </c>
      <c r="H18812">
        <v>1</v>
      </c>
      <c r="I18812" s="3">
        <v>852.47</v>
      </c>
      <c r="J18812" s="3">
        <v>0</v>
      </c>
      <c r="L18812">
        <v>3450</v>
      </c>
      <c r="M18812" t="s">
        <v>40877</v>
      </c>
      <c r="N18812" t="s">
        <v>30</v>
      </c>
      <c r="O18812" t="s">
        <v>31</v>
      </c>
      <c r="P18812" t="str">
        <f>"15212"</f>
        <v>15212</v>
      </c>
    </row>
    <row r="18813" spans="1:16" x14ac:dyDescent="0.25">
      <c r="A18813" t="str">
        <f>"1270075H00128    00"</f>
        <v>1270075H00128    00</v>
      </c>
      <c r="B18813" t="s">
        <v>40878</v>
      </c>
      <c r="C18813" t="s">
        <v>40879</v>
      </c>
      <c r="D18813" t="s">
        <v>20</v>
      </c>
      <c r="E18813" t="s">
        <v>39</v>
      </c>
      <c r="F18813">
        <v>0</v>
      </c>
      <c r="G18813">
        <v>0</v>
      </c>
      <c r="H18813">
        <v>5</v>
      </c>
      <c r="I18813" s="3">
        <v>1108.7</v>
      </c>
      <c r="J18813" s="3">
        <v>156.30000000000001</v>
      </c>
      <c r="L18813">
        <v>3416</v>
      </c>
      <c r="M18813" t="s">
        <v>40880</v>
      </c>
      <c r="N18813" t="s">
        <v>30</v>
      </c>
      <c r="O18813" t="s">
        <v>31</v>
      </c>
      <c r="P18813" t="str">
        <f>"15212"</f>
        <v>15212</v>
      </c>
    </row>
    <row r="18814" spans="1:16" x14ac:dyDescent="0.25">
      <c r="A18814" t="str">
        <f>"1270075H00152    00"</f>
        <v>1270075H00152    00</v>
      </c>
      <c r="B18814" t="s">
        <v>40881</v>
      </c>
      <c r="C18814" t="s">
        <v>40882</v>
      </c>
      <c r="D18814" t="s">
        <v>20</v>
      </c>
      <c r="E18814" t="s">
        <v>39</v>
      </c>
      <c r="F18814">
        <v>0</v>
      </c>
      <c r="G18814">
        <v>0</v>
      </c>
      <c r="H18814">
        <v>1</v>
      </c>
      <c r="I18814" s="3">
        <v>190.31</v>
      </c>
      <c r="J18814" s="3">
        <v>0</v>
      </c>
      <c r="K18814" t="s">
        <v>24736</v>
      </c>
      <c r="L18814">
        <v>901</v>
      </c>
      <c r="M18814" t="s">
        <v>1503</v>
      </c>
      <c r="N18814" t="s">
        <v>494</v>
      </c>
      <c r="O18814" t="s">
        <v>495</v>
      </c>
      <c r="P18814" t="str">
        <f>"91768"</f>
        <v>91768</v>
      </c>
    </row>
    <row r="18815" spans="1:16" x14ac:dyDescent="0.25">
      <c r="A18815" t="str">
        <f>"1270075H00153    00"</f>
        <v>1270075H00153    00</v>
      </c>
      <c r="B18815" t="s">
        <v>40883</v>
      </c>
      <c r="C18815" t="s">
        <v>40884</v>
      </c>
      <c r="D18815" t="s">
        <v>20</v>
      </c>
      <c r="E18815" t="s">
        <v>39</v>
      </c>
      <c r="F18815">
        <v>0</v>
      </c>
      <c r="G18815">
        <v>0</v>
      </c>
      <c r="H18815">
        <v>8</v>
      </c>
      <c r="I18815" s="3">
        <v>8591.98</v>
      </c>
      <c r="J18815" s="3">
        <v>2811.41</v>
      </c>
      <c r="L18815">
        <v>3350</v>
      </c>
      <c r="M18815" t="s">
        <v>40885</v>
      </c>
      <c r="N18815" t="s">
        <v>26823</v>
      </c>
      <c r="O18815" t="s">
        <v>495</v>
      </c>
      <c r="P18815" t="str">
        <f>"90804"</f>
        <v>90804</v>
      </c>
    </row>
    <row r="18816" spans="1:16" x14ac:dyDescent="0.25">
      <c r="A18816" t="str">
        <f>"1270075H00156    00"</f>
        <v>1270075H00156    00</v>
      </c>
      <c r="B18816" t="s">
        <v>40886</v>
      </c>
      <c r="C18816" t="s">
        <v>40887</v>
      </c>
      <c r="D18816" t="s">
        <v>20</v>
      </c>
      <c r="E18816" t="s">
        <v>39</v>
      </c>
      <c r="F18816">
        <v>0</v>
      </c>
      <c r="G18816">
        <v>0</v>
      </c>
      <c r="H18816">
        <v>2</v>
      </c>
      <c r="I18816" s="3">
        <v>6861.6</v>
      </c>
      <c r="J18816" s="3">
        <v>0</v>
      </c>
      <c r="K18816" t="s">
        <v>400</v>
      </c>
      <c r="L18816">
        <v>3001</v>
      </c>
      <c r="M18816" t="s">
        <v>330</v>
      </c>
      <c r="N18816" t="s">
        <v>331</v>
      </c>
      <c r="O18816" t="s">
        <v>108</v>
      </c>
      <c r="P18816" t="str">
        <f>"75063"</f>
        <v>75063</v>
      </c>
    </row>
    <row r="18817" spans="1:16" x14ac:dyDescent="0.25">
      <c r="A18817" t="str">
        <f>"1270075H00171    00"</f>
        <v>1270075H00171    00</v>
      </c>
      <c r="B18817" t="s">
        <v>40888</v>
      </c>
      <c r="C18817" t="s">
        <v>40889</v>
      </c>
      <c r="D18817" t="s">
        <v>20</v>
      </c>
      <c r="E18817" t="s">
        <v>39</v>
      </c>
      <c r="F18817">
        <v>0</v>
      </c>
      <c r="G18817">
        <v>0</v>
      </c>
      <c r="H18817">
        <v>1</v>
      </c>
      <c r="I18817" s="3">
        <v>377.86</v>
      </c>
      <c r="J18817" s="3">
        <v>0</v>
      </c>
      <c r="L18817">
        <v>3408</v>
      </c>
      <c r="M18817" t="s">
        <v>40890</v>
      </c>
      <c r="N18817" t="s">
        <v>30</v>
      </c>
      <c r="O18817" t="s">
        <v>31</v>
      </c>
      <c r="P18817" t="str">
        <f>"15212"</f>
        <v>15212</v>
      </c>
    </row>
    <row r="18818" spans="1:16" x14ac:dyDescent="0.25">
      <c r="A18818" t="str">
        <f>"1270075H00173    00"</f>
        <v>1270075H00173    00</v>
      </c>
      <c r="B18818" t="s">
        <v>40891</v>
      </c>
      <c r="C18818" t="s">
        <v>40892</v>
      </c>
      <c r="E18818" t="s">
        <v>39</v>
      </c>
      <c r="F18818">
        <v>0</v>
      </c>
      <c r="G18818">
        <v>0</v>
      </c>
      <c r="H18818">
        <v>1</v>
      </c>
      <c r="I18818" s="3">
        <v>792.33</v>
      </c>
      <c r="J18818" s="3">
        <v>0</v>
      </c>
      <c r="K18818" t="s">
        <v>1030</v>
      </c>
      <c r="M18818" t="s">
        <v>1031</v>
      </c>
      <c r="N18818" t="s">
        <v>1032</v>
      </c>
      <c r="O18818" t="s">
        <v>25</v>
      </c>
      <c r="P18818" t="str">
        <f>"44711"</f>
        <v>44711</v>
      </c>
    </row>
    <row r="18819" spans="1:16" x14ac:dyDescent="0.25">
      <c r="A18819" t="str">
        <f>"1270075H00174    00"</f>
        <v>1270075H00174    00</v>
      </c>
      <c r="B18819" t="s">
        <v>40893</v>
      </c>
      <c r="C18819" t="s">
        <v>40894</v>
      </c>
      <c r="E18819" t="s">
        <v>39</v>
      </c>
      <c r="F18819">
        <v>0</v>
      </c>
      <c r="G18819">
        <v>0</v>
      </c>
      <c r="H18819">
        <v>2</v>
      </c>
      <c r="I18819" s="3">
        <v>1174.01</v>
      </c>
      <c r="J18819" s="3">
        <v>53.34</v>
      </c>
      <c r="L18819">
        <v>1513</v>
      </c>
      <c r="M18819" t="s">
        <v>39902</v>
      </c>
      <c r="N18819" t="s">
        <v>30</v>
      </c>
      <c r="O18819" t="s">
        <v>31</v>
      </c>
      <c r="P18819" t="str">
        <f>"15237"</f>
        <v>15237</v>
      </c>
    </row>
    <row r="18820" spans="1:16" x14ac:dyDescent="0.25">
      <c r="A18820" t="str">
        <f>"1270075H00179    00"</f>
        <v>1270075H00179    00</v>
      </c>
      <c r="B18820" t="s">
        <v>40895</v>
      </c>
      <c r="C18820" t="s">
        <v>40896</v>
      </c>
      <c r="D18820" t="s">
        <v>20</v>
      </c>
      <c r="E18820" t="s">
        <v>39</v>
      </c>
      <c r="F18820">
        <v>0</v>
      </c>
      <c r="G18820">
        <v>0</v>
      </c>
      <c r="H18820">
        <v>1</v>
      </c>
      <c r="I18820" s="3">
        <v>2222.42</v>
      </c>
      <c r="J18820" s="3">
        <v>0</v>
      </c>
      <c r="K18820" t="s">
        <v>400</v>
      </c>
      <c r="L18820">
        <v>3001</v>
      </c>
      <c r="M18820" t="s">
        <v>330</v>
      </c>
      <c r="N18820" t="s">
        <v>331</v>
      </c>
      <c r="O18820" t="s">
        <v>108</v>
      </c>
      <c r="P18820" t="str">
        <f>"75063"</f>
        <v>75063</v>
      </c>
    </row>
    <row r="18821" spans="1:16" x14ac:dyDescent="0.25">
      <c r="A18821" t="str">
        <f>"1270075H00190    00"</f>
        <v>1270075H00190    00</v>
      </c>
      <c r="B18821" t="s">
        <v>40897</v>
      </c>
      <c r="C18821" t="s">
        <v>40898</v>
      </c>
      <c r="D18821" t="s">
        <v>20</v>
      </c>
      <c r="E18821" t="s">
        <v>39</v>
      </c>
      <c r="F18821">
        <v>0</v>
      </c>
      <c r="G18821">
        <v>0</v>
      </c>
      <c r="H18821">
        <v>12</v>
      </c>
      <c r="I18821" s="3">
        <v>13951.94</v>
      </c>
      <c r="J18821" s="3">
        <v>6883.57</v>
      </c>
      <c r="L18821">
        <v>720</v>
      </c>
      <c r="M18821" t="s">
        <v>825</v>
      </c>
      <c r="N18821" t="s">
        <v>826</v>
      </c>
      <c r="O18821" t="s">
        <v>31</v>
      </c>
      <c r="P18821" t="str">
        <f>"15601"</f>
        <v>15601</v>
      </c>
    </row>
    <row r="18822" spans="1:16" x14ac:dyDescent="0.25">
      <c r="A18822" t="str">
        <f>"1270075H00196    00"</f>
        <v>1270075H00196    00</v>
      </c>
      <c r="B18822" t="s">
        <v>40899</v>
      </c>
      <c r="C18822" t="s">
        <v>40900</v>
      </c>
      <c r="D18822" t="s">
        <v>20</v>
      </c>
      <c r="E18822" t="s">
        <v>39</v>
      </c>
      <c r="F18822">
        <v>0</v>
      </c>
      <c r="G18822">
        <v>0</v>
      </c>
      <c r="H18822">
        <v>13</v>
      </c>
      <c r="I18822" s="3">
        <v>20217.97</v>
      </c>
      <c r="J18822" s="3">
        <v>14224.21</v>
      </c>
      <c r="L18822">
        <v>3460</v>
      </c>
      <c r="M18822" t="s">
        <v>40890</v>
      </c>
      <c r="N18822" t="s">
        <v>30</v>
      </c>
      <c r="O18822" t="s">
        <v>31</v>
      </c>
      <c r="P18822" t="str">
        <f>"15212"</f>
        <v>15212</v>
      </c>
    </row>
    <row r="18823" spans="1:16" x14ac:dyDescent="0.25">
      <c r="A18823" t="str">
        <f>"1270075H00202    00"</f>
        <v>1270075H00202    00</v>
      </c>
      <c r="B18823" t="s">
        <v>40901</v>
      </c>
      <c r="C18823" t="s">
        <v>40902</v>
      </c>
      <c r="D18823" t="s">
        <v>20</v>
      </c>
      <c r="E18823" t="s">
        <v>39</v>
      </c>
      <c r="F18823">
        <v>0</v>
      </c>
      <c r="G18823">
        <v>0</v>
      </c>
      <c r="H18823">
        <v>2</v>
      </c>
      <c r="I18823" s="3">
        <v>1620.15</v>
      </c>
      <c r="J18823" s="3">
        <v>0</v>
      </c>
      <c r="K18823" t="s">
        <v>9056</v>
      </c>
      <c r="L18823">
        <v>3001</v>
      </c>
      <c r="M18823" t="s">
        <v>404</v>
      </c>
      <c r="N18823" t="s">
        <v>331</v>
      </c>
      <c r="O18823" t="s">
        <v>108</v>
      </c>
      <c r="P18823" t="str">
        <f>"75063"</f>
        <v>75063</v>
      </c>
    </row>
    <row r="18824" spans="1:16" x14ac:dyDescent="0.25">
      <c r="A18824" t="str">
        <f>"1270075H00215    00"</f>
        <v>1270075H00215    00</v>
      </c>
      <c r="B18824" t="s">
        <v>40903</v>
      </c>
      <c r="C18824" t="s">
        <v>40904</v>
      </c>
      <c r="D18824" t="s">
        <v>20</v>
      </c>
      <c r="E18824" t="s">
        <v>39</v>
      </c>
      <c r="F18824">
        <v>0</v>
      </c>
      <c r="G18824">
        <v>0</v>
      </c>
      <c r="H18824">
        <v>2</v>
      </c>
      <c r="I18824" s="3">
        <v>1912.66</v>
      </c>
      <c r="J18824" s="3">
        <v>0</v>
      </c>
      <c r="M18824" t="s">
        <v>35987</v>
      </c>
      <c r="N18824" t="s">
        <v>2222</v>
      </c>
      <c r="O18824" t="s">
        <v>31</v>
      </c>
      <c r="P18824" t="str">
        <f>"15015"</f>
        <v>15015</v>
      </c>
    </row>
    <row r="18825" spans="1:16" x14ac:dyDescent="0.25">
      <c r="A18825" t="str">
        <f>"1270075H00217    00"</f>
        <v>1270075H00217    00</v>
      </c>
      <c r="B18825" t="s">
        <v>40905</v>
      </c>
      <c r="C18825" t="s">
        <v>40906</v>
      </c>
      <c r="D18825" t="s">
        <v>20</v>
      </c>
      <c r="E18825" t="s">
        <v>39</v>
      </c>
      <c r="F18825">
        <v>0</v>
      </c>
      <c r="G18825">
        <v>0</v>
      </c>
      <c r="H18825">
        <v>2</v>
      </c>
      <c r="I18825" s="3">
        <v>1979.65</v>
      </c>
      <c r="J18825" s="3">
        <v>0</v>
      </c>
      <c r="K18825" t="s">
        <v>40907</v>
      </c>
      <c r="L18825">
        <v>3463</v>
      </c>
      <c r="M18825" t="s">
        <v>35783</v>
      </c>
      <c r="N18825" t="s">
        <v>30</v>
      </c>
      <c r="O18825" t="s">
        <v>31</v>
      </c>
      <c r="P18825" t="str">
        <f>"15212"</f>
        <v>15212</v>
      </c>
    </row>
    <row r="18826" spans="1:16" x14ac:dyDescent="0.25">
      <c r="A18826" t="str">
        <f>"1270075H00260    00"</f>
        <v>1270075H00260    00</v>
      </c>
      <c r="B18826" t="s">
        <v>40908</v>
      </c>
      <c r="C18826" t="s">
        <v>40909</v>
      </c>
      <c r="E18826" t="s">
        <v>39</v>
      </c>
      <c r="F18826">
        <v>0</v>
      </c>
      <c r="G18826">
        <v>0</v>
      </c>
      <c r="H18826">
        <v>1</v>
      </c>
      <c r="I18826" s="3">
        <v>2824.69</v>
      </c>
      <c r="J18826" s="3">
        <v>0</v>
      </c>
      <c r="K18826" t="s">
        <v>40910</v>
      </c>
      <c r="L18826">
        <v>3406</v>
      </c>
      <c r="M18826" t="s">
        <v>35783</v>
      </c>
      <c r="N18826" t="s">
        <v>30</v>
      </c>
      <c r="O18826" t="s">
        <v>31</v>
      </c>
      <c r="P18826" t="str">
        <f>"15212"</f>
        <v>15212</v>
      </c>
    </row>
    <row r="18827" spans="1:16" x14ac:dyDescent="0.25">
      <c r="A18827" t="str">
        <f>"1270075H00270    00"</f>
        <v>1270075H00270    00</v>
      </c>
      <c r="B18827" t="s">
        <v>40911</v>
      </c>
      <c r="C18827" t="s">
        <v>40912</v>
      </c>
      <c r="E18827" t="s">
        <v>39</v>
      </c>
      <c r="F18827">
        <v>0</v>
      </c>
      <c r="G18827">
        <v>0</v>
      </c>
      <c r="H18827">
        <v>2</v>
      </c>
      <c r="I18827" s="3">
        <v>696.74</v>
      </c>
      <c r="J18827" s="3">
        <v>38.840000000000003</v>
      </c>
      <c r="K18827" t="s">
        <v>1135</v>
      </c>
      <c r="L18827">
        <v>3001</v>
      </c>
      <c r="M18827" t="s">
        <v>330</v>
      </c>
      <c r="N18827" t="s">
        <v>331</v>
      </c>
      <c r="O18827" t="s">
        <v>108</v>
      </c>
      <c r="P18827" t="str">
        <f>"75063"</f>
        <v>75063</v>
      </c>
    </row>
    <row r="18828" spans="1:16" x14ac:dyDescent="0.25">
      <c r="A18828" t="str">
        <f>"1270075H00303    00"</f>
        <v>1270075H00303    00</v>
      </c>
      <c r="B18828" t="s">
        <v>40913</v>
      </c>
      <c r="C18828" t="s">
        <v>40914</v>
      </c>
      <c r="E18828" t="s">
        <v>39</v>
      </c>
      <c r="F18828">
        <v>0</v>
      </c>
      <c r="G18828">
        <v>0</v>
      </c>
      <c r="H18828">
        <v>1</v>
      </c>
      <c r="I18828" s="3">
        <v>976.47</v>
      </c>
      <c r="J18828" s="3">
        <v>838.09</v>
      </c>
      <c r="K18828" t="s">
        <v>759</v>
      </c>
      <c r="L18828">
        <v>3001</v>
      </c>
      <c r="M18828" t="s">
        <v>404</v>
      </c>
      <c r="N18828" t="s">
        <v>331</v>
      </c>
      <c r="O18828" t="s">
        <v>108</v>
      </c>
      <c r="P18828" t="str">
        <f>"75063"</f>
        <v>75063</v>
      </c>
    </row>
    <row r="18829" spans="1:16" x14ac:dyDescent="0.25">
      <c r="A18829" t="str">
        <f>"1270075H00326    00"</f>
        <v>1270075H00326    00</v>
      </c>
      <c r="B18829" t="s">
        <v>40915</v>
      </c>
      <c r="C18829" t="s">
        <v>40916</v>
      </c>
      <c r="E18829" t="s">
        <v>39</v>
      </c>
      <c r="F18829">
        <v>0</v>
      </c>
      <c r="G18829">
        <v>0</v>
      </c>
      <c r="H18829">
        <v>1</v>
      </c>
      <c r="I18829" s="3">
        <v>257.69</v>
      </c>
      <c r="J18829" s="3">
        <v>51.53</v>
      </c>
      <c r="K18829" t="s">
        <v>557</v>
      </c>
      <c r="L18829">
        <v>3001</v>
      </c>
      <c r="M18829" t="s">
        <v>330</v>
      </c>
      <c r="N18829" t="s">
        <v>331</v>
      </c>
      <c r="O18829" t="s">
        <v>108</v>
      </c>
      <c r="P18829" t="str">
        <f>"75063"</f>
        <v>75063</v>
      </c>
    </row>
    <row r="18830" spans="1:16" x14ac:dyDescent="0.25">
      <c r="A18830" t="str">
        <f>"1270075L00083    00"</f>
        <v>1270075L00083    00</v>
      </c>
      <c r="B18830" t="s">
        <v>40917</v>
      </c>
      <c r="C18830" t="s">
        <v>40918</v>
      </c>
      <c r="E18830" t="s">
        <v>39</v>
      </c>
      <c r="F18830">
        <v>0</v>
      </c>
      <c r="G18830">
        <v>0</v>
      </c>
      <c r="H18830">
        <v>10</v>
      </c>
      <c r="I18830" s="3">
        <v>8150.11</v>
      </c>
      <c r="J18830" s="3">
        <v>5657.77</v>
      </c>
      <c r="L18830">
        <v>1618</v>
      </c>
      <c r="M18830" t="s">
        <v>40919</v>
      </c>
      <c r="N18830" t="s">
        <v>30</v>
      </c>
      <c r="O18830" t="s">
        <v>31</v>
      </c>
      <c r="P18830" t="str">
        <f>"15212"</f>
        <v>15212</v>
      </c>
    </row>
    <row r="18831" spans="1:16" x14ac:dyDescent="0.25">
      <c r="A18831" t="str">
        <f>"1270075L00088    00"</f>
        <v>1270075L00088    00</v>
      </c>
      <c r="B18831" t="s">
        <v>3482</v>
      </c>
      <c r="C18831" t="s">
        <v>40920</v>
      </c>
      <c r="D18831" t="s">
        <v>20</v>
      </c>
      <c r="E18831" t="s">
        <v>39</v>
      </c>
      <c r="F18831">
        <v>0</v>
      </c>
      <c r="G18831">
        <v>0</v>
      </c>
      <c r="H18831">
        <v>19</v>
      </c>
      <c r="I18831" s="3">
        <v>4813.2</v>
      </c>
      <c r="J18831" s="3">
        <v>2909.68</v>
      </c>
      <c r="K18831" t="s">
        <v>3483</v>
      </c>
      <c r="L18831">
        <v>3265</v>
      </c>
      <c r="M18831" t="s">
        <v>34767</v>
      </c>
      <c r="N18831" t="s">
        <v>30</v>
      </c>
      <c r="O18831" t="s">
        <v>31</v>
      </c>
      <c r="P18831" t="str">
        <f>"15212"</f>
        <v>15212</v>
      </c>
    </row>
    <row r="18832" spans="1:16" x14ac:dyDescent="0.25">
      <c r="A18832" t="str">
        <f>"1270075L00093    00"</f>
        <v>1270075L00093    00</v>
      </c>
      <c r="B18832" t="s">
        <v>40921</v>
      </c>
      <c r="C18832" t="s">
        <v>40922</v>
      </c>
      <c r="D18832" t="s">
        <v>20</v>
      </c>
      <c r="E18832" t="s">
        <v>39</v>
      </c>
      <c r="F18832">
        <v>0</v>
      </c>
      <c r="G18832">
        <v>0</v>
      </c>
      <c r="H18832">
        <v>16</v>
      </c>
      <c r="I18832" s="3">
        <v>3316.48</v>
      </c>
      <c r="J18832" s="3">
        <v>3813.56</v>
      </c>
      <c r="L18832">
        <v>880</v>
      </c>
      <c r="M18832" t="s">
        <v>40923</v>
      </c>
      <c r="N18832" t="s">
        <v>21557</v>
      </c>
      <c r="O18832" t="s">
        <v>31</v>
      </c>
      <c r="P18832" t="str">
        <f>"15063"</f>
        <v>15063</v>
      </c>
    </row>
    <row r="18833" spans="1:16" x14ac:dyDescent="0.25">
      <c r="A18833" t="str">
        <f>"1270075L00099    00"</f>
        <v>1270075L00099    00</v>
      </c>
      <c r="B18833" t="s">
        <v>40924</v>
      </c>
      <c r="C18833" t="s">
        <v>40925</v>
      </c>
      <c r="D18833" t="s">
        <v>20</v>
      </c>
      <c r="E18833" t="s">
        <v>39</v>
      </c>
      <c r="F18833">
        <v>0</v>
      </c>
      <c r="G18833">
        <v>0</v>
      </c>
      <c r="H18833">
        <v>14</v>
      </c>
      <c r="I18833" s="3">
        <v>291.61</v>
      </c>
      <c r="J18833" s="3">
        <v>220.35</v>
      </c>
      <c r="L18833">
        <v>164</v>
      </c>
      <c r="M18833" t="s">
        <v>40926</v>
      </c>
      <c r="N18833" t="s">
        <v>30</v>
      </c>
      <c r="O18833" t="s">
        <v>31</v>
      </c>
      <c r="P18833" t="str">
        <f>"15214"</f>
        <v>15214</v>
      </c>
    </row>
    <row r="18834" spans="1:16" x14ac:dyDescent="0.25">
      <c r="A18834" t="str">
        <f>"1270075L00103    00"</f>
        <v>1270075L00103    00</v>
      </c>
      <c r="B18834" t="s">
        <v>40927</v>
      </c>
      <c r="C18834" t="s">
        <v>40925</v>
      </c>
      <c r="D18834" t="s">
        <v>20</v>
      </c>
      <c r="E18834" t="s">
        <v>39</v>
      </c>
      <c r="F18834">
        <v>0</v>
      </c>
      <c r="G18834">
        <v>0</v>
      </c>
      <c r="H18834">
        <v>17</v>
      </c>
      <c r="I18834" s="3">
        <v>400.27</v>
      </c>
      <c r="J18834" s="3">
        <v>527.44000000000005</v>
      </c>
      <c r="K18834" t="s">
        <v>40928</v>
      </c>
      <c r="L18834">
        <v>1609</v>
      </c>
      <c r="M18834" t="s">
        <v>40929</v>
      </c>
      <c r="N18834" t="s">
        <v>30</v>
      </c>
      <c r="O18834" t="s">
        <v>31</v>
      </c>
      <c r="P18834" t="str">
        <f>"15212"</f>
        <v>15212</v>
      </c>
    </row>
    <row r="18835" spans="1:16" x14ac:dyDescent="0.25">
      <c r="A18835" t="str">
        <f>"1270075L00104    00"</f>
        <v>1270075L00104    00</v>
      </c>
      <c r="B18835" t="s">
        <v>36234</v>
      </c>
      <c r="C18835" t="s">
        <v>40925</v>
      </c>
      <c r="D18835" t="s">
        <v>20</v>
      </c>
      <c r="E18835" t="s">
        <v>39</v>
      </c>
      <c r="F18835">
        <v>0</v>
      </c>
      <c r="G18835">
        <v>0</v>
      </c>
      <c r="H18835">
        <v>16</v>
      </c>
      <c r="I18835" s="3">
        <v>251.15</v>
      </c>
      <c r="J18835" s="3">
        <v>303.58999999999997</v>
      </c>
      <c r="L18835">
        <v>820</v>
      </c>
      <c r="M18835" t="s">
        <v>40930</v>
      </c>
      <c r="N18835" t="s">
        <v>625</v>
      </c>
      <c r="O18835" t="s">
        <v>31</v>
      </c>
      <c r="P18835" t="str">
        <f>"15108"</f>
        <v>15108</v>
      </c>
    </row>
    <row r="18836" spans="1:16" x14ac:dyDescent="0.25">
      <c r="A18836" t="str">
        <f>"1270075L00109    00"</f>
        <v>1270075L00109    00</v>
      </c>
      <c r="B18836" t="s">
        <v>40931</v>
      </c>
      <c r="C18836" t="s">
        <v>40932</v>
      </c>
      <c r="D18836" t="s">
        <v>20</v>
      </c>
      <c r="E18836" t="s">
        <v>39</v>
      </c>
      <c r="F18836">
        <v>0</v>
      </c>
      <c r="G18836">
        <v>0</v>
      </c>
      <c r="H18836">
        <v>4</v>
      </c>
      <c r="I18836" s="3">
        <v>30.16</v>
      </c>
      <c r="J18836" s="3">
        <v>3.71</v>
      </c>
      <c r="M18836" t="s">
        <v>40933</v>
      </c>
      <c r="N18836" t="s">
        <v>30</v>
      </c>
      <c r="O18836" t="s">
        <v>31</v>
      </c>
      <c r="P18836" t="str">
        <f>"15218"</f>
        <v>15218</v>
      </c>
    </row>
    <row r="18837" spans="1:16" x14ac:dyDescent="0.25">
      <c r="A18837" t="str">
        <f>"1270075L00111    00"</f>
        <v>1270075L00111    00</v>
      </c>
      <c r="B18837" t="s">
        <v>40934</v>
      </c>
      <c r="C18837" t="s">
        <v>40925</v>
      </c>
      <c r="D18837" t="s">
        <v>20</v>
      </c>
      <c r="E18837" t="s">
        <v>39</v>
      </c>
      <c r="F18837">
        <v>0</v>
      </c>
      <c r="G18837">
        <v>0</v>
      </c>
      <c r="H18837">
        <v>12</v>
      </c>
      <c r="I18837" s="3">
        <v>100.9</v>
      </c>
      <c r="J18837" s="3">
        <v>99.23</v>
      </c>
      <c r="L18837">
        <v>1623</v>
      </c>
      <c r="M18837" t="s">
        <v>40929</v>
      </c>
      <c r="N18837" t="s">
        <v>30</v>
      </c>
      <c r="O18837" t="s">
        <v>31</v>
      </c>
      <c r="P18837" t="str">
        <f>"15212"</f>
        <v>15212</v>
      </c>
    </row>
    <row r="18838" spans="1:16" x14ac:dyDescent="0.25">
      <c r="A18838" t="str">
        <f>"1270075L00120    00"</f>
        <v>1270075L00120    00</v>
      </c>
      <c r="B18838" t="s">
        <v>40935</v>
      </c>
      <c r="C18838" t="s">
        <v>40936</v>
      </c>
      <c r="E18838" t="s">
        <v>39</v>
      </c>
      <c r="F18838">
        <v>0</v>
      </c>
      <c r="G18838">
        <v>0</v>
      </c>
      <c r="H18838">
        <v>1</v>
      </c>
      <c r="I18838" s="3">
        <v>378.83</v>
      </c>
      <c r="J18838" s="3">
        <v>0</v>
      </c>
      <c r="L18838">
        <v>1609</v>
      </c>
      <c r="M18838" t="s">
        <v>40929</v>
      </c>
      <c r="N18838" t="s">
        <v>30</v>
      </c>
      <c r="O18838" t="s">
        <v>31</v>
      </c>
      <c r="P18838" t="str">
        <f>"15212"</f>
        <v>15212</v>
      </c>
    </row>
    <row r="18839" spans="1:16" x14ac:dyDescent="0.25">
      <c r="A18839" t="str">
        <f>"1270075L00121    00"</f>
        <v>1270075L00121    00</v>
      </c>
      <c r="B18839" t="s">
        <v>1997</v>
      </c>
      <c r="C18839" t="s">
        <v>40937</v>
      </c>
      <c r="E18839" t="s">
        <v>39</v>
      </c>
      <c r="F18839">
        <v>0</v>
      </c>
      <c r="G18839">
        <v>0</v>
      </c>
      <c r="H18839">
        <v>11</v>
      </c>
      <c r="I18839" s="3">
        <v>13467.1</v>
      </c>
      <c r="J18839" s="3">
        <v>15023.54</v>
      </c>
      <c r="K18839" t="s">
        <v>2361</v>
      </c>
      <c r="L18839">
        <v>412</v>
      </c>
      <c r="M18839" t="s">
        <v>221</v>
      </c>
      <c r="N18839" t="s">
        <v>30</v>
      </c>
      <c r="O18839" t="s">
        <v>31</v>
      </c>
      <c r="P18839" t="str">
        <f>"15219"</f>
        <v>15219</v>
      </c>
    </row>
    <row r="18840" spans="1:16" x14ac:dyDescent="0.25">
      <c r="A18840" t="str">
        <f>"1270075L00123    00"</f>
        <v>1270075L00123    00</v>
      </c>
      <c r="B18840" t="s">
        <v>40938</v>
      </c>
      <c r="C18840" t="s">
        <v>40939</v>
      </c>
      <c r="D18840" t="s">
        <v>20</v>
      </c>
      <c r="E18840" t="s">
        <v>39</v>
      </c>
      <c r="F18840">
        <v>0</v>
      </c>
      <c r="G18840">
        <v>0</v>
      </c>
      <c r="H18840">
        <v>1</v>
      </c>
      <c r="I18840" s="3">
        <v>246.19</v>
      </c>
      <c r="J18840" s="3">
        <v>0</v>
      </c>
      <c r="L18840">
        <v>1615</v>
      </c>
      <c r="M18840" t="s">
        <v>40929</v>
      </c>
      <c r="N18840" t="s">
        <v>30</v>
      </c>
      <c r="O18840" t="s">
        <v>31</v>
      </c>
      <c r="P18840" t="str">
        <f t="shared" ref="P18840:P18847" si="233">"15212"</f>
        <v>15212</v>
      </c>
    </row>
    <row r="18841" spans="1:16" x14ac:dyDescent="0.25">
      <c r="A18841" t="str">
        <f>"1270075L00124    00"</f>
        <v>1270075L00124    00</v>
      </c>
      <c r="B18841" t="s">
        <v>40940</v>
      </c>
      <c r="C18841" t="s">
        <v>40941</v>
      </c>
      <c r="D18841" t="s">
        <v>20</v>
      </c>
      <c r="E18841" t="s">
        <v>39</v>
      </c>
      <c r="F18841">
        <v>0</v>
      </c>
      <c r="G18841">
        <v>0</v>
      </c>
      <c r="H18841">
        <v>1</v>
      </c>
      <c r="I18841" s="3">
        <v>116.29</v>
      </c>
      <c r="J18841" s="3">
        <v>0</v>
      </c>
      <c r="L18841">
        <v>1617</v>
      </c>
      <c r="M18841" t="s">
        <v>40929</v>
      </c>
      <c r="N18841" t="s">
        <v>30</v>
      </c>
      <c r="O18841" t="s">
        <v>31</v>
      </c>
      <c r="P18841" t="str">
        <f t="shared" si="233"/>
        <v>15212</v>
      </c>
    </row>
    <row r="18842" spans="1:16" x14ac:dyDescent="0.25">
      <c r="A18842" t="str">
        <f>"1270075L00127    00"</f>
        <v>1270075L00127    00</v>
      </c>
      <c r="B18842" t="s">
        <v>40934</v>
      </c>
      <c r="C18842" t="s">
        <v>40942</v>
      </c>
      <c r="D18842" t="s">
        <v>20</v>
      </c>
      <c r="E18842" t="s">
        <v>39</v>
      </c>
      <c r="F18842">
        <v>0</v>
      </c>
      <c r="G18842">
        <v>0</v>
      </c>
      <c r="H18842">
        <v>17</v>
      </c>
      <c r="I18842" s="3">
        <v>13061.77</v>
      </c>
      <c r="J18842" s="3">
        <v>11456.11</v>
      </c>
      <c r="L18842">
        <v>1623</v>
      </c>
      <c r="M18842" t="s">
        <v>40929</v>
      </c>
      <c r="N18842" t="s">
        <v>30</v>
      </c>
      <c r="O18842" t="s">
        <v>31</v>
      </c>
      <c r="P18842" t="str">
        <f t="shared" si="233"/>
        <v>15212</v>
      </c>
    </row>
    <row r="18843" spans="1:16" x14ac:dyDescent="0.25">
      <c r="A18843" t="str">
        <f>"1270075L00129    00"</f>
        <v>1270075L00129    00</v>
      </c>
      <c r="B18843" t="s">
        <v>40943</v>
      </c>
      <c r="C18843" t="s">
        <v>40944</v>
      </c>
      <c r="E18843" t="s">
        <v>39</v>
      </c>
      <c r="F18843">
        <v>0</v>
      </c>
      <c r="G18843">
        <v>0</v>
      </c>
      <c r="H18843">
        <v>1</v>
      </c>
      <c r="I18843" s="3">
        <v>878.31</v>
      </c>
      <c r="J18843" s="3">
        <v>175.65</v>
      </c>
      <c r="L18843">
        <v>1625</v>
      </c>
      <c r="M18843" t="s">
        <v>40929</v>
      </c>
      <c r="N18843" t="s">
        <v>30</v>
      </c>
      <c r="O18843" t="s">
        <v>31</v>
      </c>
      <c r="P18843" t="str">
        <f t="shared" si="233"/>
        <v>15212</v>
      </c>
    </row>
    <row r="18844" spans="1:16" x14ac:dyDescent="0.25">
      <c r="A18844" t="str">
        <f>"1270075L00131    00"</f>
        <v>1270075L00131    00</v>
      </c>
      <c r="B18844" t="s">
        <v>40945</v>
      </c>
      <c r="C18844" t="s">
        <v>40946</v>
      </c>
      <c r="E18844" t="s">
        <v>39</v>
      </c>
      <c r="F18844">
        <v>0</v>
      </c>
      <c r="G18844">
        <v>0</v>
      </c>
      <c r="H18844">
        <v>8</v>
      </c>
      <c r="I18844" s="3">
        <v>7493.44</v>
      </c>
      <c r="J18844" s="3">
        <v>8891.4599999999991</v>
      </c>
      <c r="K18844" t="s">
        <v>40947</v>
      </c>
      <c r="L18844">
        <v>1627</v>
      </c>
      <c r="M18844" t="s">
        <v>40929</v>
      </c>
      <c r="N18844" t="s">
        <v>30</v>
      </c>
      <c r="O18844" t="s">
        <v>31</v>
      </c>
      <c r="P18844" t="str">
        <f t="shared" si="233"/>
        <v>15212</v>
      </c>
    </row>
    <row r="18845" spans="1:16" x14ac:dyDescent="0.25">
      <c r="A18845" t="str">
        <f>"1270075L00140    00"</f>
        <v>1270075L00140    00</v>
      </c>
      <c r="B18845" t="s">
        <v>40948</v>
      </c>
      <c r="C18845" t="s">
        <v>40949</v>
      </c>
      <c r="D18845" t="s">
        <v>20</v>
      </c>
      <c r="E18845" t="s">
        <v>21</v>
      </c>
      <c r="F18845">
        <v>0</v>
      </c>
      <c r="G18845">
        <v>0</v>
      </c>
      <c r="H18845">
        <v>1</v>
      </c>
      <c r="I18845" s="3">
        <v>392.4</v>
      </c>
      <c r="J18845" s="3">
        <v>0</v>
      </c>
      <c r="K18845" t="s">
        <v>40950</v>
      </c>
      <c r="L18845">
        <v>3250</v>
      </c>
      <c r="M18845" t="s">
        <v>17198</v>
      </c>
      <c r="N18845" t="s">
        <v>30</v>
      </c>
      <c r="O18845" t="s">
        <v>31</v>
      </c>
      <c r="P18845" t="str">
        <f t="shared" si="233"/>
        <v>15212</v>
      </c>
    </row>
    <row r="18846" spans="1:16" x14ac:dyDescent="0.25">
      <c r="A18846" t="str">
        <f>"1270075L00177    00"</f>
        <v>1270075L00177    00</v>
      </c>
      <c r="B18846" t="s">
        <v>40951</v>
      </c>
      <c r="C18846" t="s">
        <v>40952</v>
      </c>
      <c r="D18846" t="s">
        <v>20</v>
      </c>
      <c r="E18846" t="s">
        <v>39</v>
      </c>
      <c r="F18846">
        <v>0</v>
      </c>
      <c r="G18846">
        <v>0</v>
      </c>
      <c r="H18846">
        <v>16</v>
      </c>
      <c r="I18846" s="3">
        <v>16611.23</v>
      </c>
      <c r="J18846" s="3">
        <v>14631.06</v>
      </c>
      <c r="L18846">
        <v>1623</v>
      </c>
      <c r="M18846" t="s">
        <v>40953</v>
      </c>
      <c r="N18846" t="s">
        <v>30</v>
      </c>
      <c r="O18846" t="s">
        <v>31</v>
      </c>
      <c r="P18846" t="str">
        <f t="shared" si="233"/>
        <v>15212</v>
      </c>
    </row>
    <row r="18847" spans="1:16" x14ac:dyDescent="0.25">
      <c r="A18847" t="str">
        <f>"1270075L00241    00"</f>
        <v>1270075L00241    00</v>
      </c>
      <c r="B18847" t="s">
        <v>40317</v>
      </c>
      <c r="C18847" t="s">
        <v>40847</v>
      </c>
      <c r="D18847" t="s">
        <v>20</v>
      </c>
      <c r="E18847" t="s">
        <v>39</v>
      </c>
      <c r="F18847">
        <v>0</v>
      </c>
      <c r="G18847">
        <v>0</v>
      </c>
      <c r="H18847">
        <v>3</v>
      </c>
      <c r="I18847" s="3">
        <v>45.11</v>
      </c>
      <c r="J18847" s="3">
        <v>4.38</v>
      </c>
      <c r="L18847">
        <v>2616</v>
      </c>
      <c r="M18847" t="s">
        <v>35783</v>
      </c>
      <c r="N18847" t="s">
        <v>30</v>
      </c>
      <c r="O18847" t="s">
        <v>31</v>
      </c>
      <c r="P18847" t="str">
        <f t="shared" si="233"/>
        <v>15212</v>
      </c>
    </row>
    <row r="18848" spans="1:16" x14ac:dyDescent="0.25">
      <c r="A18848" t="str">
        <f>"1270075L00242    00"</f>
        <v>1270075L00242    00</v>
      </c>
      <c r="B18848" t="s">
        <v>5095</v>
      </c>
      <c r="C18848" t="s">
        <v>40847</v>
      </c>
      <c r="D18848" t="s">
        <v>20</v>
      </c>
      <c r="E18848" t="s">
        <v>39</v>
      </c>
      <c r="F18848">
        <v>0</v>
      </c>
      <c r="G18848">
        <v>0</v>
      </c>
      <c r="H18848">
        <v>2</v>
      </c>
      <c r="I18848" s="3">
        <v>30.5</v>
      </c>
      <c r="J18848" s="3">
        <v>0</v>
      </c>
      <c r="L18848">
        <v>3771</v>
      </c>
      <c r="M18848" t="s">
        <v>5097</v>
      </c>
      <c r="N18848" t="s">
        <v>30</v>
      </c>
      <c r="O18848" t="s">
        <v>31</v>
      </c>
      <c r="P18848" t="str">
        <f>"15204"</f>
        <v>15204</v>
      </c>
    </row>
    <row r="18849" spans="1:16" x14ac:dyDescent="0.25">
      <c r="A18849" t="str">
        <f>"1270075L00244    00"</f>
        <v>1270075L00244    00</v>
      </c>
      <c r="B18849" t="s">
        <v>40954</v>
      </c>
      <c r="C18849" t="s">
        <v>40955</v>
      </c>
      <c r="D18849" t="s">
        <v>20</v>
      </c>
      <c r="E18849" t="s">
        <v>39</v>
      </c>
      <c r="F18849">
        <v>0</v>
      </c>
      <c r="G18849">
        <v>0</v>
      </c>
      <c r="H18849">
        <v>2</v>
      </c>
      <c r="I18849" s="3">
        <v>303.45999999999998</v>
      </c>
      <c r="J18849" s="3">
        <v>0</v>
      </c>
      <c r="L18849">
        <v>3313</v>
      </c>
      <c r="M18849" t="s">
        <v>38988</v>
      </c>
      <c r="N18849" t="s">
        <v>30</v>
      </c>
      <c r="O18849" t="s">
        <v>31</v>
      </c>
      <c r="P18849" t="str">
        <f>"15212"</f>
        <v>15212</v>
      </c>
    </row>
    <row r="18850" spans="1:16" x14ac:dyDescent="0.25">
      <c r="A18850" t="str">
        <f>"1270075L00245    00"</f>
        <v>1270075L00245    00</v>
      </c>
      <c r="B18850" t="s">
        <v>40956</v>
      </c>
      <c r="C18850" t="s">
        <v>40847</v>
      </c>
      <c r="D18850" t="s">
        <v>20</v>
      </c>
      <c r="E18850" t="s">
        <v>39</v>
      </c>
      <c r="F18850">
        <v>0</v>
      </c>
      <c r="G18850">
        <v>0</v>
      </c>
      <c r="H18850">
        <v>13</v>
      </c>
      <c r="I18850" s="3">
        <v>3475.53</v>
      </c>
      <c r="J18850" s="3">
        <v>1885.14</v>
      </c>
      <c r="L18850">
        <v>1512</v>
      </c>
      <c r="M18850" t="s">
        <v>39840</v>
      </c>
      <c r="N18850" t="s">
        <v>30</v>
      </c>
      <c r="O18850" t="s">
        <v>31</v>
      </c>
      <c r="P18850" t="str">
        <f>"15212"</f>
        <v>15212</v>
      </c>
    </row>
    <row r="18851" spans="1:16" x14ac:dyDescent="0.25">
      <c r="A18851" t="str">
        <f>"1270075L00264    00"</f>
        <v>1270075L00264    00</v>
      </c>
      <c r="B18851" t="s">
        <v>40957</v>
      </c>
      <c r="C18851" t="s">
        <v>40958</v>
      </c>
      <c r="D18851" t="s">
        <v>20</v>
      </c>
      <c r="E18851" t="s">
        <v>39</v>
      </c>
      <c r="F18851">
        <v>0</v>
      </c>
      <c r="G18851">
        <v>0</v>
      </c>
      <c r="H18851">
        <v>1</v>
      </c>
      <c r="I18851" s="3">
        <v>202.63</v>
      </c>
      <c r="J18851" s="3">
        <v>0</v>
      </c>
      <c r="K18851" t="s">
        <v>9056</v>
      </c>
      <c r="L18851">
        <v>3001</v>
      </c>
      <c r="M18851" t="s">
        <v>404</v>
      </c>
      <c r="N18851" t="s">
        <v>331</v>
      </c>
      <c r="O18851" t="s">
        <v>108</v>
      </c>
      <c r="P18851" t="str">
        <f>"75063"</f>
        <v>75063</v>
      </c>
    </row>
    <row r="18852" spans="1:16" x14ac:dyDescent="0.25">
      <c r="A18852" t="str">
        <f>"1270075L00281    00"</f>
        <v>1270075L00281    00</v>
      </c>
      <c r="B18852" t="s">
        <v>40959</v>
      </c>
      <c r="C18852" t="s">
        <v>40960</v>
      </c>
      <c r="D18852" t="s">
        <v>20</v>
      </c>
      <c r="E18852" t="s">
        <v>39</v>
      </c>
      <c r="F18852">
        <v>0</v>
      </c>
      <c r="G18852">
        <v>0</v>
      </c>
      <c r="H18852">
        <v>1</v>
      </c>
      <c r="I18852" s="3">
        <v>661.84</v>
      </c>
      <c r="J18852" s="3">
        <v>0</v>
      </c>
      <c r="L18852">
        <v>3324</v>
      </c>
      <c r="M18852" t="s">
        <v>38988</v>
      </c>
      <c r="N18852" t="s">
        <v>30</v>
      </c>
      <c r="O18852" t="s">
        <v>31</v>
      </c>
      <c r="P18852" t="str">
        <f>"15212"</f>
        <v>15212</v>
      </c>
    </row>
    <row r="18853" spans="1:16" x14ac:dyDescent="0.25">
      <c r="A18853" t="str">
        <f>"1270075L00284    00"</f>
        <v>1270075L00284    00</v>
      </c>
      <c r="B18853" t="s">
        <v>40961</v>
      </c>
      <c r="C18853" t="s">
        <v>40962</v>
      </c>
      <c r="D18853" t="s">
        <v>20</v>
      </c>
      <c r="E18853" t="s">
        <v>39</v>
      </c>
      <c r="F18853">
        <v>0</v>
      </c>
      <c r="G18853">
        <v>0</v>
      </c>
      <c r="H18853">
        <v>2</v>
      </c>
      <c r="I18853" s="3">
        <v>1113.1199999999999</v>
      </c>
      <c r="J18853" s="3">
        <v>0</v>
      </c>
      <c r="K18853" t="s">
        <v>34884</v>
      </c>
      <c r="L18853">
        <v>431</v>
      </c>
      <c r="M18853" t="s">
        <v>34885</v>
      </c>
      <c r="N18853" t="s">
        <v>30</v>
      </c>
      <c r="O18853" t="s">
        <v>31</v>
      </c>
      <c r="P18853" t="str">
        <f>"15237"</f>
        <v>15237</v>
      </c>
    </row>
    <row r="18854" spans="1:16" x14ac:dyDescent="0.25">
      <c r="A18854" t="str">
        <f>"1270075L00294    00"</f>
        <v>1270075L00294    00</v>
      </c>
      <c r="B18854" t="s">
        <v>40963</v>
      </c>
      <c r="C18854" t="s">
        <v>40964</v>
      </c>
      <c r="D18854" t="s">
        <v>20</v>
      </c>
      <c r="E18854" t="s">
        <v>39</v>
      </c>
      <c r="F18854">
        <v>0</v>
      </c>
      <c r="G18854">
        <v>0</v>
      </c>
      <c r="H18854">
        <v>17</v>
      </c>
      <c r="I18854" s="3">
        <v>3868.73</v>
      </c>
      <c r="J18854" s="3">
        <v>4350.8900000000003</v>
      </c>
      <c r="L18854">
        <v>2500</v>
      </c>
      <c r="M18854" t="s">
        <v>40965</v>
      </c>
      <c r="N18854" t="s">
        <v>238</v>
      </c>
      <c r="O18854" t="s">
        <v>31</v>
      </c>
      <c r="P18854" t="str">
        <f>"15132"</f>
        <v>15132</v>
      </c>
    </row>
    <row r="18855" spans="1:16" x14ac:dyDescent="0.25">
      <c r="A18855" t="str">
        <f>"1270075L00313    00"</f>
        <v>1270075L00313    00</v>
      </c>
      <c r="B18855" t="s">
        <v>40966</v>
      </c>
      <c r="C18855" t="s">
        <v>40967</v>
      </c>
      <c r="E18855" t="s">
        <v>39</v>
      </c>
      <c r="F18855">
        <v>0</v>
      </c>
      <c r="G18855">
        <v>0</v>
      </c>
      <c r="H18855">
        <v>1</v>
      </c>
      <c r="I18855" s="3">
        <v>765.58</v>
      </c>
      <c r="J18855" s="3">
        <v>443.65</v>
      </c>
      <c r="L18855">
        <v>3328</v>
      </c>
      <c r="M18855" t="s">
        <v>40968</v>
      </c>
      <c r="N18855" t="s">
        <v>30</v>
      </c>
      <c r="O18855" t="s">
        <v>31</v>
      </c>
      <c r="P18855" t="str">
        <f>"15212"</f>
        <v>15212</v>
      </c>
    </row>
    <row r="18856" spans="1:16" x14ac:dyDescent="0.25">
      <c r="A18856" t="str">
        <f>"1270075M00004    00"</f>
        <v>1270075M00004    00</v>
      </c>
      <c r="B18856" t="s">
        <v>40969</v>
      </c>
      <c r="C18856" t="s">
        <v>40970</v>
      </c>
      <c r="D18856" t="s">
        <v>20</v>
      </c>
      <c r="E18856" t="s">
        <v>39</v>
      </c>
      <c r="F18856">
        <v>0</v>
      </c>
      <c r="G18856">
        <v>0</v>
      </c>
      <c r="H18856">
        <v>2</v>
      </c>
      <c r="I18856" s="3">
        <v>352.42</v>
      </c>
      <c r="J18856" s="3">
        <v>0</v>
      </c>
      <c r="L18856">
        <v>3275</v>
      </c>
      <c r="M18856" t="s">
        <v>34767</v>
      </c>
      <c r="N18856" t="s">
        <v>30</v>
      </c>
      <c r="O18856" t="s">
        <v>31</v>
      </c>
      <c r="P18856" t="str">
        <f>"15212"</f>
        <v>15212</v>
      </c>
    </row>
    <row r="18857" spans="1:16" x14ac:dyDescent="0.25">
      <c r="A18857" t="str">
        <f>"1270075M00011    00"</f>
        <v>1270075M00011    00</v>
      </c>
      <c r="B18857" t="s">
        <v>40971</v>
      </c>
      <c r="C18857" t="s">
        <v>40922</v>
      </c>
      <c r="D18857" t="s">
        <v>20</v>
      </c>
      <c r="E18857" t="s">
        <v>39</v>
      </c>
      <c r="F18857">
        <v>0</v>
      </c>
      <c r="G18857">
        <v>0</v>
      </c>
      <c r="H18857">
        <v>19</v>
      </c>
      <c r="I18857" s="3">
        <v>843.32</v>
      </c>
      <c r="J18857" s="3">
        <v>756.12</v>
      </c>
      <c r="L18857">
        <v>3521</v>
      </c>
      <c r="M18857" t="s">
        <v>17198</v>
      </c>
      <c r="N18857" t="s">
        <v>30</v>
      </c>
      <c r="O18857" t="s">
        <v>31</v>
      </c>
      <c r="P18857" t="str">
        <f>"15212"</f>
        <v>15212</v>
      </c>
    </row>
    <row r="18858" spans="1:16" x14ac:dyDescent="0.25">
      <c r="A18858" t="str">
        <f>"1270075M00012    00"</f>
        <v>1270075M00012    00</v>
      </c>
      <c r="B18858" t="s">
        <v>40972</v>
      </c>
      <c r="C18858" t="s">
        <v>40973</v>
      </c>
      <c r="D18858" t="s">
        <v>20</v>
      </c>
      <c r="E18858" t="s">
        <v>39</v>
      </c>
      <c r="F18858">
        <v>0</v>
      </c>
      <c r="G18858">
        <v>0</v>
      </c>
      <c r="H18858">
        <v>8</v>
      </c>
      <c r="I18858" s="3">
        <v>5738.05</v>
      </c>
      <c r="J18858" s="3">
        <v>2305.4</v>
      </c>
      <c r="K18858" t="s">
        <v>40974</v>
      </c>
      <c r="L18858">
        <v>10120</v>
      </c>
      <c r="M18858" t="s">
        <v>40975</v>
      </c>
      <c r="N18858" t="s">
        <v>40976</v>
      </c>
      <c r="O18858" t="s">
        <v>108</v>
      </c>
      <c r="P18858" t="str">
        <f>"75801"</f>
        <v>75801</v>
      </c>
    </row>
    <row r="18859" spans="1:16" x14ac:dyDescent="0.25">
      <c r="A18859" t="str">
        <f>"1270075M00016    00"</f>
        <v>1270075M00016    00</v>
      </c>
      <c r="B18859" t="s">
        <v>40977</v>
      </c>
      <c r="C18859" t="s">
        <v>40978</v>
      </c>
      <c r="D18859" t="s">
        <v>20</v>
      </c>
      <c r="E18859" t="s">
        <v>39</v>
      </c>
      <c r="F18859">
        <v>0</v>
      </c>
      <c r="G18859">
        <v>0</v>
      </c>
      <c r="H18859">
        <v>5</v>
      </c>
      <c r="I18859" s="3">
        <v>2461.4699999999998</v>
      </c>
      <c r="J18859" s="3">
        <v>527.03</v>
      </c>
      <c r="L18859">
        <v>3232</v>
      </c>
      <c r="M18859" t="s">
        <v>40680</v>
      </c>
      <c r="N18859" t="s">
        <v>30</v>
      </c>
      <c r="O18859" t="s">
        <v>31</v>
      </c>
      <c r="P18859" t="str">
        <f>"15212"</f>
        <v>15212</v>
      </c>
    </row>
    <row r="18860" spans="1:16" x14ac:dyDescent="0.25">
      <c r="A18860" t="str">
        <f>"1270075M00057    00"</f>
        <v>1270075M00057    00</v>
      </c>
      <c r="B18860" t="s">
        <v>26492</v>
      </c>
      <c r="C18860" t="s">
        <v>40979</v>
      </c>
      <c r="D18860" t="s">
        <v>20</v>
      </c>
      <c r="E18860" t="s">
        <v>39</v>
      </c>
      <c r="F18860">
        <v>0</v>
      </c>
      <c r="G18860">
        <v>0</v>
      </c>
      <c r="H18860">
        <v>2</v>
      </c>
      <c r="I18860" s="3">
        <v>968.24</v>
      </c>
      <c r="J18860" s="3">
        <v>0</v>
      </c>
      <c r="L18860">
        <v>239</v>
      </c>
      <c r="M18860" t="s">
        <v>4730</v>
      </c>
      <c r="N18860" t="s">
        <v>30</v>
      </c>
      <c r="O18860" t="s">
        <v>31</v>
      </c>
      <c r="P18860" t="str">
        <f>"15222"</f>
        <v>15222</v>
      </c>
    </row>
    <row r="18861" spans="1:16" x14ac:dyDescent="0.25">
      <c r="A18861" t="str">
        <f>"1270075M00066    00"</f>
        <v>1270075M00066    00</v>
      </c>
      <c r="B18861" t="s">
        <v>40980</v>
      </c>
      <c r="C18861" t="s">
        <v>40981</v>
      </c>
      <c r="D18861" t="s">
        <v>20</v>
      </c>
      <c r="E18861" t="s">
        <v>39</v>
      </c>
      <c r="F18861">
        <v>0</v>
      </c>
      <c r="G18861">
        <v>0</v>
      </c>
      <c r="H18861">
        <v>2</v>
      </c>
      <c r="I18861" s="3">
        <v>20.52</v>
      </c>
      <c r="J18861" s="3">
        <v>0</v>
      </c>
      <c r="L18861">
        <v>1516</v>
      </c>
      <c r="M18861" t="s">
        <v>40929</v>
      </c>
      <c r="N18861" t="s">
        <v>30</v>
      </c>
      <c r="O18861" t="s">
        <v>31</v>
      </c>
      <c r="P18861" t="str">
        <f>"15212"</f>
        <v>15212</v>
      </c>
    </row>
    <row r="18862" spans="1:16" x14ac:dyDescent="0.25">
      <c r="A18862" t="str">
        <f>"1270075M00069    00"</f>
        <v>1270075M00069    00</v>
      </c>
      <c r="B18862" t="s">
        <v>40980</v>
      </c>
      <c r="C18862" t="s">
        <v>40925</v>
      </c>
      <c r="E18862" t="s">
        <v>39</v>
      </c>
      <c r="F18862">
        <v>0</v>
      </c>
      <c r="G18862">
        <v>0</v>
      </c>
      <c r="H18862">
        <v>1</v>
      </c>
      <c r="I18862" s="3">
        <v>89.59</v>
      </c>
      <c r="J18862" s="3">
        <v>17.93</v>
      </c>
      <c r="L18862">
        <v>1516</v>
      </c>
      <c r="M18862" t="s">
        <v>40929</v>
      </c>
      <c r="N18862" t="s">
        <v>30</v>
      </c>
      <c r="O18862" t="s">
        <v>31</v>
      </c>
      <c r="P18862" t="str">
        <f>"15212"</f>
        <v>15212</v>
      </c>
    </row>
    <row r="18863" spans="1:16" x14ac:dyDescent="0.25">
      <c r="A18863" t="str">
        <f>"1270075M00073    00"</f>
        <v>1270075M00073    00</v>
      </c>
      <c r="B18863" t="s">
        <v>40982</v>
      </c>
      <c r="C18863" t="s">
        <v>40983</v>
      </c>
      <c r="E18863" t="s">
        <v>39</v>
      </c>
      <c r="F18863">
        <v>0</v>
      </c>
      <c r="G18863">
        <v>0</v>
      </c>
      <c r="H18863">
        <v>1</v>
      </c>
      <c r="I18863" s="3">
        <v>650.38</v>
      </c>
      <c r="J18863" s="3">
        <v>650.36</v>
      </c>
      <c r="K18863" t="s">
        <v>9056</v>
      </c>
      <c r="L18863">
        <v>3001</v>
      </c>
      <c r="M18863" t="s">
        <v>404</v>
      </c>
      <c r="N18863" t="s">
        <v>331</v>
      </c>
      <c r="O18863" t="s">
        <v>108</v>
      </c>
      <c r="P18863" t="str">
        <f>"75063"</f>
        <v>75063</v>
      </c>
    </row>
    <row r="18864" spans="1:16" x14ac:dyDescent="0.25">
      <c r="A18864" t="str">
        <f>"1270075M00077    00"</f>
        <v>1270075M00077    00</v>
      </c>
      <c r="B18864" t="s">
        <v>40984</v>
      </c>
      <c r="C18864" t="s">
        <v>40985</v>
      </c>
      <c r="E18864" t="s">
        <v>39</v>
      </c>
      <c r="F18864">
        <v>0</v>
      </c>
      <c r="G18864">
        <v>0</v>
      </c>
      <c r="H18864">
        <v>6</v>
      </c>
      <c r="I18864" s="3">
        <v>6133.4</v>
      </c>
      <c r="J18864" s="3">
        <v>8111.73</v>
      </c>
      <c r="L18864">
        <v>490</v>
      </c>
      <c r="M18864" t="s">
        <v>4261</v>
      </c>
      <c r="N18864" t="s">
        <v>30</v>
      </c>
      <c r="O18864" t="s">
        <v>31</v>
      </c>
      <c r="P18864" t="str">
        <f>"15229"</f>
        <v>15229</v>
      </c>
    </row>
    <row r="18865" spans="1:16" x14ac:dyDescent="0.25">
      <c r="A18865" t="str">
        <f>"1270075M00078    00"</f>
        <v>1270075M00078    00</v>
      </c>
      <c r="B18865" t="s">
        <v>38352</v>
      </c>
      <c r="C18865" t="s">
        <v>40986</v>
      </c>
      <c r="D18865" t="s">
        <v>20</v>
      </c>
      <c r="E18865" t="s">
        <v>39</v>
      </c>
      <c r="F18865">
        <v>0</v>
      </c>
      <c r="G18865">
        <v>0</v>
      </c>
      <c r="H18865">
        <v>17</v>
      </c>
      <c r="I18865" s="3">
        <v>14064.64</v>
      </c>
      <c r="J18865" s="3">
        <v>11544.12</v>
      </c>
      <c r="L18865">
        <v>126</v>
      </c>
      <c r="M18865" t="s">
        <v>38354</v>
      </c>
      <c r="N18865" t="s">
        <v>30</v>
      </c>
      <c r="O18865" t="s">
        <v>31</v>
      </c>
      <c r="P18865" t="str">
        <f>"15214"</f>
        <v>15214</v>
      </c>
    </row>
    <row r="18866" spans="1:16" x14ac:dyDescent="0.25">
      <c r="A18866" t="str">
        <f>"1270075M00131    00"</f>
        <v>1270075M00131    00</v>
      </c>
      <c r="B18866" t="s">
        <v>40987</v>
      </c>
      <c r="C18866" t="s">
        <v>40988</v>
      </c>
      <c r="D18866" t="s">
        <v>20</v>
      </c>
      <c r="E18866" t="s">
        <v>39</v>
      </c>
      <c r="F18866">
        <v>0</v>
      </c>
      <c r="G18866">
        <v>0</v>
      </c>
      <c r="H18866">
        <v>7</v>
      </c>
      <c r="I18866" s="3">
        <v>6434.4</v>
      </c>
      <c r="J18866" s="3">
        <v>2004.41</v>
      </c>
      <c r="L18866">
        <v>515</v>
      </c>
      <c r="M18866" t="s">
        <v>40989</v>
      </c>
      <c r="N18866" t="s">
        <v>11731</v>
      </c>
      <c r="O18866" t="s">
        <v>370</v>
      </c>
      <c r="P18866" t="str">
        <f>"33305"</f>
        <v>33305</v>
      </c>
    </row>
    <row r="18867" spans="1:16" x14ac:dyDescent="0.25">
      <c r="A18867" t="str">
        <f>"1270075M00150    00"</f>
        <v>1270075M00150    00</v>
      </c>
      <c r="B18867" t="s">
        <v>40990</v>
      </c>
      <c r="C18867" t="s">
        <v>40991</v>
      </c>
      <c r="D18867" t="s">
        <v>20</v>
      </c>
      <c r="E18867" t="s">
        <v>39</v>
      </c>
      <c r="F18867">
        <v>0</v>
      </c>
      <c r="G18867">
        <v>0</v>
      </c>
      <c r="H18867">
        <v>2</v>
      </c>
      <c r="I18867" s="3">
        <v>1791.64</v>
      </c>
      <c r="J18867" s="3">
        <v>0</v>
      </c>
      <c r="K18867" t="s">
        <v>40992</v>
      </c>
      <c r="L18867">
        <v>732</v>
      </c>
      <c r="M18867" t="s">
        <v>32741</v>
      </c>
      <c r="N18867" t="s">
        <v>149</v>
      </c>
      <c r="O18867" t="s">
        <v>31</v>
      </c>
      <c r="P18867" t="str">
        <f>"15106"</f>
        <v>15106</v>
      </c>
    </row>
    <row r="18868" spans="1:16" x14ac:dyDescent="0.25">
      <c r="A18868" t="str">
        <f>"1270075M00155    00"</f>
        <v>1270075M00155    00</v>
      </c>
      <c r="B18868" t="s">
        <v>40993</v>
      </c>
      <c r="C18868" t="s">
        <v>40994</v>
      </c>
      <c r="D18868" t="s">
        <v>20</v>
      </c>
      <c r="E18868" t="s">
        <v>39</v>
      </c>
      <c r="F18868">
        <v>0</v>
      </c>
      <c r="G18868">
        <v>0</v>
      </c>
      <c r="H18868">
        <v>3</v>
      </c>
      <c r="I18868" s="3">
        <v>602.78</v>
      </c>
      <c r="J18868" s="3">
        <v>47.96</v>
      </c>
      <c r="L18868">
        <v>1444</v>
      </c>
      <c r="M18868" t="s">
        <v>40880</v>
      </c>
      <c r="N18868" t="s">
        <v>30</v>
      </c>
      <c r="O18868" t="s">
        <v>31</v>
      </c>
      <c r="P18868" t="str">
        <f>"15212"</f>
        <v>15212</v>
      </c>
    </row>
    <row r="18869" spans="1:16" x14ac:dyDescent="0.25">
      <c r="A18869" t="str">
        <f>"1270075M00172    00"</f>
        <v>1270075M00172    00</v>
      </c>
      <c r="B18869" t="s">
        <v>40995</v>
      </c>
      <c r="C18869" t="s">
        <v>40996</v>
      </c>
      <c r="D18869" t="s">
        <v>20</v>
      </c>
      <c r="E18869" t="s">
        <v>39</v>
      </c>
      <c r="F18869">
        <v>0</v>
      </c>
      <c r="G18869">
        <v>0</v>
      </c>
      <c r="H18869">
        <v>11</v>
      </c>
      <c r="I18869" s="3">
        <v>3520.9</v>
      </c>
      <c r="J18869" s="3">
        <v>1283.6500000000001</v>
      </c>
      <c r="K18869" t="s">
        <v>40997</v>
      </c>
      <c r="L18869">
        <v>1419</v>
      </c>
      <c r="M18869" t="s">
        <v>40998</v>
      </c>
      <c r="N18869" t="s">
        <v>30</v>
      </c>
      <c r="O18869" t="s">
        <v>31</v>
      </c>
      <c r="P18869" t="str">
        <f>"15212"</f>
        <v>15212</v>
      </c>
    </row>
    <row r="18870" spans="1:16" x14ac:dyDescent="0.25">
      <c r="A18870" t="str">
        <f>"1270075M00177    00"</f>
        <v>1270075M00177    00</v>
      </c>
      <c r="B18870" t="s">
        <v>40999</v>
      </c>
      <c r="C18870" t="s">
        <v>41000</v>
      </c>
      <c r="D18870" t="s">
        <v>57</v>
      </c>
      <c r="E18870" t="s">
        <v>39</v>
      </c>
      <c r="F18870">
        <v>0</v>
      </c>
      <c r="G18870">
        <v>0</v>
      </c>
      <c r="H18870">
        <v>1</v>
      </c>
      <c r="I18870" s="3">
        <v>255.5</v>
      </c>
      <c r="J18870" s="3">
        <v>0</v>
      </c>
      <c r="L18870">
        <v>1407</v>
      </c>
      <c r="M18870" t="s">
        <v>40998</v>
      </c>
      <c r="N18870" t="s">
        <v>30</v>
      </c>
      <c r="O18870" t="s">
        <v>31</v>
      </c>
      <c r="P18870" t="str">
        <f>"15212"</f>
        <v>15212</v>
      </c>
    </row>
    <row r="18871" spans="1:16" x14ac:dyDescent="0.25">
      <c r="A18871" t="str">
        <f>"1270075M00202    00"</f>
        <v>1270075M00202    00</v>
      </c>
      <c r="B18871" t="s">
        <v>41001</v>
      </c>
      <c r="C18871" t="s">
        <v>41002</v>
      </c>
      <c r="D18871" t="s">
        <v>20</v>
      </c>
      <c r="E18871" t="s">
        <v>39</v>
      </c>
      <c r="F18871">
        <v>0</v>
      </c>
      <c r="G18871">
        <v>0</v>
      </c>
      <c r="H18871">
        <v>12</v>
      </c>
      <c r="I18871" s="3">
        <v>2921.48</v>
      </c>
      <c r="J18871" s="3">
        <v>1420.46</v>
      </c>
      <c r="L18871">
        <v>1601</v>
      </c>
      <c r="M18871" t="s">
        <v>41003</v>
      </c>
      <c r="N18871" t="s">
        <v>30</v>
      </c>
      <c r="O18871" t="s">
        <v>31</v>
      </c>
      <c r="P18871" t="str">
        <f>"15221"</f>
        <v>15221</v>
      </c>
    </row>
    <row r="18872" spans="1:16" x14ac:dyDescent="0.25">
      <c r="A18872" t="str">
        <f>"1270075M00204    00"</f>
        <v>1270075M00204    00</v>
      </c>
      <c r="B18872" t="s">
        <v>41004</v>
      </c>
      <c r="C18872" t="s">
        <v>41002</v>
      </c>
      <c r="D18872" t="s">
        <v>20</v>
      </c>
      <c r="E18872" t="s">
        <v>39</v>
      </c>
      <c r="F18872">
        <v>0</v>
      </c>
      <c r="G18872">
        <v>0</v>
      </c>
      <c r="H18872">
        <v>19</v>
      </c>
      <c r="I18872" s="3">
        <v>5454.96</v>
      </c>
      <c r="J18872" s="3">
        <v>5497.61</v>
      </c>
      <c r="L18872">
        <v>3152</v>
      </c>
      <c r="M18872" t="s">
        <v>41005</v>
      </c>
      <c r="N18872" t="s">
        <v>30</v>
      </c>
      <c r="O18872" t="s">
        <v>31</v>
      </c>
      <c r="P18872" t="str">
        <f>"15212"</f>
        <v>15212</v>
      </c>
    </row>
    <row r="18873" spans="1:16" x14ac:dyDescent="0.25">
      <c r="A18873" t="str">
        <f>"1270075M00207    00"</f>
        <v>1270075M00207    00</v>
      </c>
      <c r="B18873" t="s">
        <v>41006</v>
      </c>
      <c r="C18873" t="s">
        <v>41007</v>
      </c>
      <c r="D18873" t="s">
        <v>20</v>
      </c>
      <c r="E18873" t="s">
        <v>39</v>
      </c>
      <c r="F18873">
        <v>0</v>
      </c>
      <c r="G18873">
        <v>0</v>
      </c>
      <c r="H18873">
        <v>4</v>
      </c>
      <c r="I18873" s="3">
        <v>2118.69</v>
      </c>
      <c r="J18873" s="3">
        <v>171.64</v>
      </c>
      <c r="L18873">
        <v>3321</v>
      </c>
      <c r="M18873" t="s">
        <v>41008</v>
      </c>
      <c r="N18873" t="s">
        <v>30</v>
      </c>
      <c r="O18873" t="s">
        <v>31</v>
      </c>
      <c r="P18873" t="str">
        <f>"15212"</f>
        <v>15212</v>
      </c>
    </row>
    <row r="18874" spans="1:16" x14ac:dyDescent="0.25">
      <c r="A18874" t="str">
        <f>"1270075M00261    00"</f>
        <v>1270075M00261    00</v>
      </c>
      <c r="B18874" t="s">
        <v>41009</v>
      </c>
      <c r="C18874" t="s">
        <v>41010</v>
      </c>
      <c r="D18874" t="s">
        <v>20</v>
      </c>
      <c r="E18874" t="s">
        <v>39</v>
      </c>
      <c r="F18874">
        <v>0</v>
      </c>
      <c r="G18874">
        <v>0</v>
      </c>
      <c r="H18874">
        <v>9</v>
      </c>
      <c r="I18874" s="3">
        <v>462.14</v>
      </c>
      <c r="J18874" s="3">
        <v>311.58999999999997</v>
      </c>
      <c r="L18874">
        <v>1263</v>
      </c>
      <c r="M18874" t="s">
        <v>13728</v>
      </c>
      <c r="N18874" t="s">
        <v>30</v>
      </c>
      <c r="O18874" t="s">
        <v>31</v>
      </c>
      <c r="P18874" t="str">
        <f>"15212"</f>
        <v>15212</v>
      </c>
    </row>
    <row r="18875" spans="1:16" x14ac:dyDescent="0.25">
      <c r="A18875" t="str">
        <f>"1270075M00262    00"</f>
        <v>1270075M00262    00</v>
      </c>
      <c r="B18875" t="s">
        <v>41011</v>
      </c>
      <c r="C18875" t="s">
        <v>41010</v>
      </c>
      <c r="D18875" t="s">
        <v>20</v>
      </c>
      <c r="E18875" t="s">
        <v>39</v>
      </c>
      <c r="F18875">
        <v>0</v>
      </c>
      <c r="G18875">
        <v>0</v>
      </c>
      <c r="H18875">
        <v>9</v>
      </c>
      <c r="I18875" s="3">
        <v>3054.53</v>
      </c>
      <c r="J18875" s="3">
        <v>1484.27</v>
      </c>
      <c r="L18875">
        <v>435</v>
      </c>
      <c r="M18875" t="s">
        <v>32081</v>
      </c>
      <c r="N18875" t="s">
        <v>30</v>
      </c>
      <c r="O18875" t="s">
        <v>31</v>
      </c>
      <c r="P18875" t="str">
        <f>"15204"</f>
        <v>15204</v>
      </c>
    </row>
    <row r="18876" spans="1:16" x14ac:dyDescent="0.25">
      <c r="A18876" t="str">
        <f>"1270075M00263    00"</f>
        <v>1270075M00263    00</v>
      </c>
      <c r="B18876" t="s">
        <v>38019</v>
      </c>
      <c r="C18876" t="s">
        <v>41012</v>
      </c>
      <c r="D18876" t="s">
        <v>20</v>
      </c>
      <c r="E18876" t="s">
        <v>39</v>
      </c>
      <c r="F18876">
        <v>0</v>
      </c>
      <c r="G18876">
        <v>0</v>
      </c>
      <c r="H18876">
        <v>10</v>
      </c>
      <c r="I18876" s="3">
        <v>4553.26</v>
      </c>
      <c r="J18876" s="3">
        <v>2207.9499999999998</v>
      </c>
      <c r="K18876" t="s">
        <v>38021</v>
      </c>
      <c r="L18876">
        <v>1433</v>
      </c>
      <c r="M18876" t="s">
        <v>37737</v>
      </c>
      <c r="N18876" t="s">
        <v>30</v>
      </c>
      <c r="O18876" t="s">
        <v>31</v>
      </c>
      <c r="P18876" t="str">
        <f>"15212"</f>
        <v>15212</v>
      </c>
    </row>
    <row r="18877" spans="1:16" x14ac:dyDescent="0.25">
      <c r="A18877" t="str">
        <f>"1270075M00263A   00"</f>
        <v>1270075M00263A   00</v>
      </c>
      <c r="B18877" t="s">
        <v>41013</v>
      </c>
      <c r="C18877" t="s">
        <v>41014</v>
      </c>
      <c r="D18877" t="s">
        <v>20</v>
      </c>
      <c r="E18877" t="s">
        <v>39</v>
      </c>
      <c r="F18877">
        <v>0</v>
      </c>
      <c r="G18877">
        <v>0</v>
      </c>
      <c r="H18877">
        <v>5</v>
      </c>
      <c r="I18877" s="3">
        <v>2070.02</v>
      </c>
      <c r="J18877" s="3">
        <v>311.66000000000003</v>
      </c>
      <c r="L18877">
        <v>1900</v>
      </c>
      <c r="M18877" t="s">
        <v>40154</v>
      </c>
      <c r="N18877" t="s">
        <v>18302</v>
      </c>
      <c r="O18877" t="s">
        <v>31</v>
      </c>
      <c r="P18877" t="str">
        <f>"15027"</f>
        <v>15027</v>
      </c>
    </row>
    <row r="18878" spans="1:16" x14ac:dyDescent="0.25">
      <c r="A18878" t="str">
        <f>"1270075M00264A   00"</f>
        <v>1270075M00264A   00</v>
      </c>
      <c r="B18878" t="s">
        <v>41015</v>
      </c>
      <c r="C18878" t="s">
        <v>41016</v>
      </c>
      <c r="D18878" t="s">
        <v>20</v>
      </c>
      <c r="E18878" t="s">
        <v>39</v>
      </c>
      <c r="F18878">
        <v>0</v>
      </c>
      <c r="G18878">
        <v>0</v>
      </c>
      <c r="H18878">
        <v>15</v>
      </c>
      <c r="I18878" s="3">
        <v>7346.93</v>
      </c>
      <c r="J18878" s="3">
        <v>4641.93</v>
      </c>
      <c r="L18878">
        <v>416</v>
      </c>
      <c r="M18878" t="s">
        <v>41017</v>
      </c>
      <c r="N18878" t="s">
        <v>30</v>
      </c>
      <c r="O18878" t="s">
        <v>31</v>
      </c>
      <c r="P18878" t="str">
        <f>"15210"</f>
        <v>15210</v>
      </c>
    </row>
    <row r="18879" spans="1:16" x14ac:dyDescent="0.25">
      <c r="A18879" t="str">
        <f>"1270075M00265    00"</f>
        <v>1270075M00265    00</v>
      </c>
      <c r="B18879" t="s">
        <v>41018</v>
      </c>
      <c r="C18879" t="s">
        <v>41010</v>
      </c>
      <c r="D18879" t="s">
        <v>20</v>
      </c>
      <c r="E18879" t="s">
        <v>39</v>
      </c>
      <c r="F18879">
        <v>0</v>
      </c>
      <c r="G18879">
        <v>0</v>
      </c>
      <c r="H18879">
        <v>8</v>
      </c>
      <c r="I18879" s="3">
        <v>2214.9299999999998</v>
      </c>
      <c r="J18879" s="3">
        <v>724.76</v>
      </c>
      <c r="L18879">
        <v>1143</v>
      </c>
      <c r="M18879" t="s">
        <v>40872</v>
      </c>
      <c r="N18879" t="s">
        <v>30</v>
      </c>
      <c r="O18879" t="s">
        <v>31</v>
      </c>
      <c r="P18879" t="str">
        <f>"15212"</f>
        <v>15212</v>
      </c>
    </row>
    <row r="18880" spans="1:16" x14ac:dyDescent="0.25">
      <c r="A18880" t="str">
        <f>"1270075M00269    00"</f>
        <v>1270075M00269    00</v>
      </c>
      <c r="B18880" t="s">
        <v>41019</v>
      </c>
      <c r="C18880" t="s">
        <v>41010</v>
      </c>
      <c r="D18880" t="s">
        <v>20</v>
      </c>
      <c r="E18880" t="s">
        <v>39</v>
      </c>
      <c r="F18880">
        <v>0</v>
      </c>
      <c r="G18880">
        <v>0</v>
      </c>
      <c r="H18880">
        <v>19</v>
      </c>
      <c r="I18880" s="3">
        <v>11808.25</v>
      </c>
      <c r="J18880" s="3">
        <v>13909.49</v>
      </c>
      <c r="L18880">
        <v>1934</v>
      </c>
      <c r="M18880" t="s">
        <v>36311</v>
      </c>
      <c r="N18880" t="s">
        <v>30</v>
      </c>
      <c r="O18880" t="s">
        <v>31</v>
      </c>
      <c r="P18880" t="str">
        <f>"15214"</f>
        <v>15214</v>
      </c>
    </row>
    <row r="18881" spans="1:16" x14ac:dyDescent="0.25">
      <c r="A18881" t="str">
        <f>"1270075M00278    00"</f>
        <v>1270075M00278    00</v>
      </c>
      <c r="B18881" t="s">
        <v>38696</v>
      </c>
      <c r="C18881" t="s">
        <v>41020</v>
      </c>
      <c r="D18881" t="s">
        <v>20</v>
      </c>
      <c r="E18881" t="s">
        <v>21</v>
      </c>
      <c r="F18881">
        <v>0</v>
      </c>
      <c r="G18881">
        <v>0</v>
      </c>
      <c r="H18881">
        <v>7</v>
      </c>
      <c r="I18881" s="3">
        <v>5144.93</v>
      </c>
      <c r="J18881" s="3">
        <v>1125.81</v>
      </c>
      <c r="K18881" t="s">
        <v>41021</v>
      </c>
      <c r="L18881">
        <v>1433</v>
      </c>
      <c r="M18881" t="s">
        <v>37737</v>
      </c>
      <c r="N18881" t="s">
        <v>30</v>
      </c>
      <c r="O18881" t="s">
        <v>31</v>
      </c>
      <c r="P18881" t="str">
        <f>"15212"</f>
        <v>15212</v>
      </c>
    </row>
    <row r="18882" spans="1:16" x14ac:dyDescent="0.25">
      <c r="A18882" t="str">
        <f>"1270075M00282    00"</f>
        <v>1270075M00282    00</v>
      </c>
      <c r="B18882" t="s">
        <v>41022</v>
      </c>
      <c r="C18882" t="s">
        <v>41010</v>
      </c>
      <c r="D18882" t="s">
        <v>20</v>
      </c>
      <c r="E18882" t="s">
        <v>39</v>
      </c>
      <c r="F18882">
        <v>0</v>
      </c>
      <c r="G18882">
        <v>0</v>
      </c>
      <c r="H18882">
        <v>4</v>
      </c>
      <c r="I18882" s="3">
        <v>21.8</v>
      </c>
      <c r="J18882" s="3">
        <v>16.22</v>
      </c>
      <c r="L18882">
        <v>3523</v>
      </c>
      <c r="M18882" t="s">
        <v>35783</v>
      </c>
      <c r="N18882" t="s">
        <v>30</v>
      </c>
      <c r="O18882" t="s">
        <v>31</v>
      </c>
      <c r="P18882" t="str">
        <f>"15212"</f>
        <v>15212</v>
      </c>
    </row>
    <row r="18883" spans="1:16" x14ac:dyDescent="0.25">
      <c r="A18883" t="str">
        <f>"1270075M00292    00"</f>
        <v>1270075M00292    00</v>
      </c>
      <c r="B18883" t="s">
        <v>41023</v>
      </c>
      <c r="C18883" t="s">
        <v>41024</v>
      </c>
      <c r="E18883" t="s">
        <v>39</v>
      </c>
      <c r="F18883">
        <v>0</v>
      </c>
      <c r="G18883">
        <v>0</v>
      </c>
      <c r="H18883">
        <v>3</v>
      </c>
      <c r="I18883" s="3">
        <v>836.78</v>
      </c>
      <c r="J18883" s="3">
        <v>810.52</v>
      </c>
      <c r="L18883">
        <v>3216</v>
      </c>
      <c r="M18883" t="s">
        <v>37050</v>
      </c>
      <c r="N18883" t="s">
        <v>30</v>
      </c>
      <c r="O18883" t="s">
        <v>31</v>
      </c>
      <c r="P18883" t="str">
        <f>"15212"</f>
        <v>15212</v>
      </c>
    </row>
    <row r="18884" spans="1:16" x14ac:dyDescent="0.25">
      <c r="A18884" t="str">
        <f>"1270075M00300    00"</f>
        <v>1270075M00300    00</v>
      </c>
      <c r="B18884" t="s">
        <v>21146</v>
      </c>
      <c r="C18884" t="s">
        <v>41025</v>
      </c>
      <c r="E18884" t="s">
        <v>39</v>
      </c>
      <c r="F18884">
        <v>0</v>
      </c>
      <c r="G18884">
        <v>0</v>
      </c>
      <c r="H18884">
        <v>1</v>
      </c>
      <c r="I18884" s="3">
        <v>720.46</v>
      </c>
      <c r="J18884" s="3">
        <v>0</v>
      </c>
      <c r="K18884" t="s">
        <v>21148</v>
      </c>
      <c r="M18884" t="s">
        <v>6556</v>
      </c>
      <c r="N18884" t="s">
        <v>30</v>
      </c>
      <c r="O18884" t="s">
        <v>31</v>
      </c>
      <c r="P18884" t="str">
        <f>"15201"</f>
        <v>15201</v>
      </c>
    </row>
    <row r="18885" spans="1:16" x14ac:dyDescent="0.25">
      <c r="A18885" t="str">
        <f>"1270075M00329    00"</f>
        <v>1270075M00329    00</v>
      </c>
      <c r="B18885" t="s">
        <v>41026</v>
      </c>
      <c r="C18885" t="s">
        <v>41027</v>
      </c>
      <c r="D18885" t="s">
        <v>20</v>
      </c>
      <c r="E18885" t="s">
        <v>39</v>
      </c>
      <c r="F18885">
        <v>0</v>
      </c>
      <c r="G18885">
        <v>0</v>
      </c>
      <c r="H18885">
        <v>17</v>
      </c>
      <c r="I18885" s="3">
        <v>443.13</v>
      </c>
      <c r="J18885" s="3">
        <v>571.88</v>
      </c>
      <c r="L18885">
        <v>120</v>
      </c>
      <c r="M18885" t="s">
        <v>41028</v>
      </c>
      <c r="N18885" t="s">
        <v>30</v>
      </c>
      <c r="O18885" t="s">
        <v>31</v>
      </c>
      <c r="P18885" t="str">
        <f>"15212"</f>
        <v>15212</v>
      </c>
    </row>
    <row r="18886" spans="1:16" x14ac:dyDescent="0.25">
      <c r="A18886" t="str">
        <f>"1270075M00339    00"</f>
        <v>1270075M00339    00</v>
      </c>
      <c r="B18886" t="s">
        <v>41029</v>
      </c>
      <c r="C18886" t="s">
        <v>41030</v>
      </c>
      <c r="D18886" t="s">
        <v>20</v>
      </c>
      <c r="E18886" t="s">
        <v>39</v>
      </c>
      <c r="F18886">
        <v>0</v>
      </c>
      <c r="G18886">
        <v>0</v>
      </c>
      <c r="H18886">
        <v>19</v>
      </c>
      <c r="I18886" s="3">
        <v>17242.900000000001</v>
      </c>
      <c r="J18886" s="3">
        <v>18537.3</v>
      </c>
      <c r="L18886">
        <v>490</v>
      </c>
      <c r="M18886" t="s">
        <v>41031</v>
      </c>
      <c r="N18886" t="s">
        <v>410</v>
      </c>
      <c r="O18886" t="s">
        <v>31</v>
      </c>
      <c r="P18886" t="str">
        <f>"15701"</f>
        <v>15701</v>
      </c>
    </row>
    <row r="18887" spans="1:16" x14ac:dyDescent="0.25">
      <c r="A18887" t="str">
        <f>"1270075R00003    00"</f>
        <v>1270075R00003    00</v>
      </c>
      <c r="B18887" t="s">
        <v>41032</v>
      </c>
      <c r="C18887" t="s">
        <v>41033</v>
      </c>
      <c r="D18887" t="s">
        <v>20</v>
      </c>
      <c r="E18887" t="s">
        <v>39</v>
      </c>
      <c r="F18887">
        <v>0</v>
      </c>
      <c r="G18887">
        <v>0</v>
      </c>
      <c r="H18887">
        <v>7</v>
      </c>
      <c r="I18887" s="3">
        <v>9805.09</v>
      </c>
      <c r="J18887" s="3">
        <v>2582.0300000000002</v>
      </c>
      <c r="L18887">
        <v>1143</v>
      </c>
      <c r="M18887" t="s">
        <v>40872</v>
      </c>
      <c r="N18887" t="s">
        <v>30</v>
      </c>
      <c r="O18887" t="s">
        <v>31</v>
      </c>
      <c r="P18887" t="str">
        <f>"15212"</f>
        <v>15212</v>
      </c>
    </row>
    <row r="18888" spans="1:16" x14ac:dyDescent="0.25">
      <c r="A18888" t="str">
        <f>"1270075R00007    00"</f>
        <v>1270075R00007    00</v>
      </c>
      <c r="B18888" t="s">
        <v>41034</v>
      </c>
      <c r="C18888" t="s">
        <v>41035</v>
      </c>
      <c r="E18888" t="s">
        <v>39</v>
      </c>
      <c r="F18888">
        <v>0</v>
      </c>
      <c r="G18888">
        <v>0</v>
      </c>
      <c r="H18888">
        <v>1</v>
      </c>
      <c r="I18888" s="3">
        <v>137.34</v>
      </c>
      <c r="J18888" s="3">
        <v>0</v>
      </c>
      <c r="K18888" t="s">
        <v>41036</v>
      </c>
      <c r="L18888">
        <v>7215</v>
      </c>
      <c r="M18888" t="s">
        <v>10079</v>
      </c>
      <c r="N18888" t="s">
        <v>10080</v>
      </c>
      <c r="O18888" t="s">
        <v>370</v>
      </c>
      <c r="P18888" t="str">
        <f>"33572"</f>
        <v>33572</v>
      </c>
    </row>
    <row r="18889" spans="1:16" x14ac:dyDescent="0.25">
      <c r="A18889" t="str">
        <f>"1270075R00013    00"</f>
        <v>1270075R00013    00</v>
      </c>
      <c r="B18889" t="s">
        <v>41037</v>
      </c>
      <c r="C18889" t="s">
        <v>41038</v>
      </c>
      <c r="D18889" t="s">
        <v>20</v>
      </c>
      <c r="E18889" t="s">
        <v>39</v>
      </c>
      <c r="F18889">
        <v>0</v>
      </c>
      <c r="G18889">
        <v>0</v>
      </c>
      <c r="H18889">
        <v>4</v>
      </c>
      <c r="I18889" s="3">
        <v>808.49</v>
      </c>
      <c r="J18889" s="3">
        <v>75.7</v>
      </c>
      <c r="L18889">
        <v>3241</v>
      </c>
      <c r="M18889" t="s">
        <v>34767</v>
      </c>
      <c r="N18889" t="s">
        <v>30</v>
      </c>
      <c r="O18889" t="s">
        <v>31</v>
      </c>
      <c r="P18889" t="str">
        <f>"15212"</f>
        <v>15212</v>
      </c>
    </row>
    <row r="18890" spans="1:16" x14ac:dyDescent="0.25">
      <c r="A18890" t="str">
        <f>"1270075R00074    00"</f>
        <v>1270075R00074    00</v>
      </c>
      <c r="B18890" t="s">
        <v>41039</v>
      </c>
      <c r="C18890" t="s">
        <v>41040</v>
      </c>
      <c r="D18890" t="s">
        <v>20</v>
      </c>
      <c r="E18890" t="s">
        <v>39</v>
      </c>
      <c r="F18890">
        <v>0</v>
      </c>
      <c r="G18890">
        <v>0</v>
      </c>
      <c r="H18890">
        <v>2</v>
      </c>
      <c r="I18890" s="3">
        <v>1758.63</v>
      </c>
      <c r="J18890" s="3">
        <v>0</v>
      </c>
      <c r="L18890">
        <v>3222</v>
      </c>
      <c r="M18890" t="s">
        <v>17198</v>
      </c>
      <c r="N18890" t="s">
        <v>30</v>
      </c>
      <c r="O18890" t="s">
        <v>31</v>
      </c>
      <c r="P18890" t="str">
        <f>"15212"</f>
        <v>15212</v>
      </c>
    </row>
    <row r="18891" spans="1:16" x14ac:dyDescent="0.25">
      <c r="A18891" t="str">
        <f>"1270075R00083    00"</f>
        <v>1270075R00083    00</v>
      </c>
      <c r="B18891" t="s">
        <v>41041</v>
      </c>
      <c r="C18891" t="s">
        <v>41042</v>
      </c>
      <c r="D18891" t="s">
        <v>20</v>
      </c>
      <c r="E18891" t="s">
        <v>21</v>
      </c>
      <c r="F18891">
        <v>0</v>
      </c>
      <c r="G18891">
        <v>0</v>
      </c>
      <c r="H18891">
        <v>3</v>
      </c>
      <c r="I18891" s="3">
        <v>5718</v>
      </c>
      <c r="J18891" s="3">
        <v>381.18</v>
      </c>
      <c r="L18891">
        <v>3200</v>
      </c>
      <c r="M18891" t="s">
        <v>17198</v>
      </c>
      <c r="N18891" t="s">
        <v>30</v>
      </c>
      <c r="O18891" t="s">
        <v>31</v>
      </c>
      <c r="P18891" t="str">
        <f>"15212"</f>
        <v>15212</v>
      </c>
    </row>
    <row r="18892" spans="1:16" x14ac:dyDescent="0.25">
      <c r="A18892" t="str">
        <f>"1270075R00090    00"</f>
        <v>1270075R00090    00</v>
      </c>
      <c r="B18892" t="s">
        <v>41043</v>
      </c>
      <c r="C18892" t="s">
        <v>41044</v>
      </c>
      <c r="D18892" t="s">
        <v>20</v>
      </c>
      <c r="E18892" t="s">
        <v>39</v>
      </c>
      <c r="F18892">
        <v>0</v>
      </c>
      <c r="G18892">
        <v>0</v>
      </c>
      <c r="H18892">
        <v>17</v>
      </c>
      <c r="I18892" s="3">
        <v>9985.11</v>
      </c>
      <c r="J18892" s="3">
        <v>8209.67</v>
      </c>
      <c r="M18892" t="s">
        <v>41045</v>
      </c>
      <c r="N18892" t="s">
        <v>30</v>
      </c>
      <c r="O18892" t="s">
        <v>31</v>
      </c>
      <c r="P18892" t="str">
        <f>"15233"</f>
        <v>15233</v>
      </c>
    </row>
    <row r="18893" spans="1:16" x14ac:dyDescent="0.25">
      <c r="A18893" t="str">
        <f>"1270075R00094    00"</f>
        <v>1270075R00094    00</v>
      </c>
      <c r="B18893" t="s">
        <v>41046</v>
      </c>
      <c r="C18893" t="s">
        <v>41047</v>
      </c>
      <c r="D18893" t="s">
        <v>20</v>
      </c>
      <c r="E18893" t="s">
        <v>39</v>
      </c>
      <c r="F18893">
        <v>0</v>
      </c>
      <c r="G18893">
        <v>0</v>
      </c>
      <c r="H18893">
        <v>1</v>
      </c>
      <c r="I18893" s="3">
        <v>747.63</v>
      </c>
      <c r="J18893" s="3">
        <v>0</v>
      </c>
      <c r="K18893" t="s">
        <v>41048</v>
      </c>
      <c r="L18893">
        <v>3232</v>
      </c>
      <c r="M18893" t="s">
        <v>34767</v>
      </c>
      <c r="N18893" t="s">
        <v>30</v>
      </c>
      <c r="O18893" t="s">
        <v>31</v>
      </c>
      <c r="P18893" t="str">
        <f>"15212"</f>
        <v>15212</v>
      </c>
    </row>
    <row r="18894" spans="1:16" x14ac:dyDescent="0.25">
      <c r="A18894" t="str">
        <f>"1270075R00099    00"</f>
        <v>1270075R00099    00</v>
      </c>
      <c r="B18894" t="s">
        <v>41049</v>
      </c>
      <c r="C18894" t="s">
        <v>41050</v>
      </c>
      <c r="E18894" t="s">
        <v>39</v>
      </c>
      <c r="F18894">
        <v>0</v>
      </c>
      <c r="G18894">
        <v>0</v>
      </c>
      <c r="H18894">
        <v>2</v>
      </c>
      <c r="I18894" s="3">
        <v>399.12</v>
      </c>
      <c r="J18894" s="3">
        <v>152.30000000000001</v>
      </c>
      <c r="L18894">
        <v>3158</v>
      </c>
      <c r="M18894" t="s">
        <v>41051</v>
      </c>
      <c r="N18894" t="s">
        <v>30</v>
      </c>
      <c r="O18894" t="s">
        <v>31</v>
      </c>
      <c r="P18894" t="str">
        <f>"15212"</f>
        <v>15212</v>
      </c>
    </row>
    <row r="18895" spans="1:16" x14ac:dyDescent="0.25">
      <c r="A18895" t="str">
        <f>"1270075R00100    00"</f>
        <v>1270075R00100    00</v>
      </c>
      <c r="B18895" t="s">
        <v>41052</v>
      </c>
      <c r="C18895" t="s">
        <v>41053</v>
      </c>
      <c r="D18895" t="s">
        <v>20</v>
      </c>
      <c r="E18895" t="s">
        <v>39</v>
      </c>
      <c r="F18895">
        <v>0</v>
      </c>
      <c r="G18895">
        <v>0</v>
      </c>
      <c r="H18895">
        <v>7</v>
      </c>
      <c r="I18895" s="3">
        <v>3160.86</v>
      </c>
      <c r="J18895" s="3">
        <v>712.48</v>
      </c>
      <c r="L18895">
        <v>3158</v>
      </c>
      <c r="M18895" t="s">
        <v>41051</v>
      </c>
      <c r="N18895" t="s">
        <v>30</v>
      </c>
      <c r="O18895" t="s">
        <v>31</v>
      </c>
      <c r="P18895" t="str">
        <f>"15212"</f>
        <v>15212</v>
      </c>
    </row>
    <row r="18896" spans="1:16" x14ac:dyDescent="0.25">
      <c r="A18896" t="str">
        <f>"1270075R00103    00"</f>
        <v>1270075R00103    00</v>
      </c>
      <c r="B18896" t="s">
        <v>41043</v>
      </c>
      <c r="C18896" t="s">
        <v>41054</v>
      </c>
      <c r="D18896" t="s">
        <v>20</v>
      </c>
      <c r="E18896" t="s">
        <v>39</v>
      </c>
      <c r="F18896">
        <v>0</v>
      </c>
      <c r="G18896">
        <v>0</v>
      </c>
      <c r="H18896">
        <v>14</v>
      </c>
      <c r="I18896" s="3">
        <v>7178.29</v>
      </c>
      <c r="J18896" s="3">
        <v>4988.49</v>
      </c>
      <c r="M18896" t="s">
        <v>41045</v>
      </c>
      <c r="N18896" t="s">
        <v>30</v>
      </c>
      <c r="O18896" t="s">
        <v>31</v>
      </c>
      <c r="P18896" t="str">
        <f>"15233"</f>
        <v>15233</v>
      </c>
    </row>
    <row r="18897" spans="1:16" x14ac:dyDescent="0.25">
      <c r="A18897" t="str">
        <f>"1270075R00104    00"</f>
        <v>1270075R00104    00</v>
      </c>
      <c r="B18897" t="s">
        <v>41055</v>
      </c>
      <c r="C18897" t="s">
        <v>41056</v>
      </c>
      <c r="D18897" t="s">
        <v>20</v>
      </c>
      <c r="E18897" t="s">
        <v>39</v>
      </c>
      <c r="F18897">
        <v>0</v>
      </c>
      <c r="G18897">
        <v>0</v>
      </c>
      <c r="H18897">
        <v>15</v>
      </c>
      <c r="I18897" s="3">
        <v>6368.67</v>
      </c>
      <c r="J18897" s="3">
        <v>7793.31</v>
      </c>
      <c r="L18897">
        <v>336</v>
      </c>
      <c r="M18897" t="s">
        <v>41057</v>
      </c>
      <c r="N18897" t="s">
        <v>30</v>
      </c>
      <c r="O18897" t="s">
        <v>31</v>
      </c>
      <c r="P18897" t="str">
        <f>"15229"</f>
        <v>15229</v>
      </c>
    </row>
    <row r="18898" spans="1:16" x14ac:dyDescent="0.25">
      <c r="A18898" t="str">
        <f>"1270075R00105    00"</f>
        <v>1270075R00105    00</v>
      </c>
      <c r="B18898" t="s">
        <v>35222</v>
      </c>
      <c r="C18898" t="s">
        <v>41058</v>
      </c>
      <c r="D18898" t="s">
        <v>20</v>
      </c>
      <c r="E18898" t="s">
        <v>39</v>
      </c>
      <c r="F18898">
        <v>0</v>
      </c>
      <c r="G18898">
        <v>0</v>
      </c>
      <c r="H18898">
        <v>11</v>
      </c>
      <c r="I18898" s="3">
        <v>4153.38</v>
      </c>
      <c r="J18898" s="3">
        <v>1982.26</v>
      </c>
      <c r="L18898">
        <v>2344</v>
      </c>
      <c r="M18898" t="s">
        <v>40517</v>
      </c>
      <c r="N18898" t="s">
        <v>30</v>
      </c>
      <c r="O18898" t="s">
        <v>31</v>
      </c>
      <c r="P18898" t="str">
        <f t="shared" ref="P18898:P18903" si="234">"15212"</f>
        <v>15212</v>
      </c>
    </row>
    <row r="18899" spans="1:16" x14ac:dyDescent="0.25">
      <c r="A18899" t="str">
        <f>"1270075R00106    00"</f>
        <v>1270075R00106    00</v>
      </c>
      <c r="B18899" t="s">
        <v>41059</v>
      </c>
      <c r="C18899" t="s">
        <v>41060</v>
      </c>
      <c r="D18899" t="s">
        <v>20</v>
      </c>
      <c r="E18899" t="s">
        <v>39</v>
      </c>
      <c r="F18899">
        <v>0</v>
      </c>
      <c r="G18899">
        <v>0</v>
      </c>
      <c r="H18899">
        <v>3</v>
      </c>
      <c r="I18899" s="3">
        <v>1115.04</v>
      </c>
      <c r="J18899" s="3">
        <v>74.33</v>
      </c>
      <c r="L18899">
        <v>3134</v>
      </c>
      <c r="M18899" t="s">
        <v>41061</v>
      </c>
      <c r="N18899" t="s">
        <v>30</v>
      </c>
      <c r="O18899" t="s">
        <v>31</v>
      </c>
      <c r="P18899" t="str">
        <f t="shared" si="234"/>
        <v>15212</v>
      </c>
    </row>
    <row r="18900" spans="1:16" x14ac:dyDescent="0.25">
      <c r="A18900" t="str">
        <f>"1270075R00107    00"</f>
        <v>1270075R00107    00</v>
      </c>
      <c r="B18900" t="s">
        <v>41062</v>
      </c>
      <c r="C18900" t="s">
        <v>41063</v>
      </c>
      <c r="D18900" t="s">
        <v>20</v>
      </c>
      <c r="E18900" t="s">
        <v>39</v>
      </c>
      <c r="F18900">
        <v>0</v>
      </c>
      <c r="G18900">
        <v>0</v>
      </c>
      <c r="H18900">
        <v>3</v>
      </c>
      <c r="I18900" s="3">
        <v>392.75</v>
      </c>
      <c r="J18900" s="3">
        <v>24.98</v>
      </c>
      <c r="L18900">
        <v>3140</v>
      </c>
      <c r="M18900" t="s">
        <v>41051</v>
      </c>
      <c r="N18900" t="s">
        <v>30</v>
      </c>
      <c r="O18900" t="s">
        <v>31</v>
      </c>
      <c r="P18900" t="str">
        <f t="shared" si="234"/>
        <v>15212</v>
      </c>
    </row>
    <row r="18901" spans="1:16" x14ac:dyDescent="0.25">
      <c r="A18901" t="str">
        <f>"1270075R00110    00"</f>
        <v>1270075R00110    00</v>
      </c>
      <c r="B18901" t="s">
        <v>41064</v>
      </c>
      <c r="C18901" t="s">
        <v>41065</v>
      </c>
      <c r="D18901" t="s">
        <v>20</v>
      </c>
      <c r="E18901" t="s">
        <v>39</v>
      </c>
      <c r="F18901">
        <v>0</v>
      </c>
      <c r="G18901">
        <v>0</v>
      </c>
      <c r="H18901">
        <v>5</v>
      </c>
      <c r="I18901" s="3">
        <v>349.72</v>
      </c>
      <c r="J18901" s="3">
        <v>79.97</v>
      </c>
      <c r="L18901">
        <v>3134</v>
      </c>
      <c r="M18901" t="s">
        <v>41051</v>
      </c>
      <c r="N18901" t="s">
        <v>30</v>
      </c>
      <c r="O18901" t="s">
        <v>31</v>
      </c>
      <c r="P18901" t="str">
        <f t="shared" si="234"/>
        <v>15212</v>
      </c>
    </row>
    <row r="18902" spans="1:16" x14ac:dyDescent="0.25">
      <c r="A18902" t="str">
        <f>"1270075R00112    00"</f>
        <v>1270075R00112    00</v>
      </c>
      <c r="B18902" t="s">
        <v>41064</v>
      </c>
      <c r="C18902" t="s">
        <v>41066</v>
      </c>
      <c r="D18902" t="s">
        <v>20</v>
      </c>
      <c r="E18902" t="s">
        <v>39</v>
      </c>
      <c r="F18902">
        <v>0</v>
      </c>
      <c r="G18902">
        <v>0</v>
      </c>
      <c r="H18902">
        <v>5</v>
      </c>
      <c r="I18902" s="3">
        <v>2622.9</v>
      </c>
      <c r="J18902" s="3">
        <v>599.86</v>
      </c>
      <c r="L18902">
        <v>3134</v>
      </c>
      <c r="M18902" t="s">
        <v>41051</v>
      </c>
      <c r="N18902" t="s">
        <v>30</v>
      </c>
      <c r="O18902" t="s">
        <v>31</v>
      </c>
      <c r="P18902" t="str">
        <f t="shared" si="234"/>
        <v>15212</v>
      </c>
    </row>
    <row r="18903" spans="1:16" x14ac:dyDescent="0.25">
      <c r="A18903" t="str">
        <f>"1270075R00113    00"</f>
        <v>1270075R00113    00</v>
      </c>
      <c r="B18903" t="s">
        <v>35222</v>
      </c>
      <c r="C18903" t="s">
        <v>41067</v>
      </c>
      <c r="D18903" t="s">
        <v>20</v>
      </c>
      <c r="E18903" t="s">
        <v>39</v>
      </c>
      <c r="F18903">
        <v>0</v>
      </c>
      <c r="G18903">
        <v>0</v>
      </c>
      <c r="H18903">
        <v>14</v>
      </c>
      <c r="I18903" s="3">
        <v>9090.58</v>
      </c>
      <c r="J18903" s="3">
        <v>6066.95</v>
      </c>
      <c r="L18903">
        <v>2344</v>
      </c>
      <c r="M18903" t="s">
        <v>40517</v>
      </c>
      <c r="N18903" t="s">
        <v>30</v>
      </c>
      <c r="O18903" t="s">
        <v>31</v>
      </c>
      <c r="P18903" t="str">
        <f t="shared" si="234"/>
        <v>15212</v>
      </c>
    </row>
    <row r="18904" spans="1:16" x14ac:dyDescent="0.25">
      <c r="A18904" t="str">
        <f>"1270075S00007    00"</f>
        <v>1270075S00007    00</v>
      </c>
      <c r="B18904" t="s">
        <v>41068</v>
      </c>
      <c r="C18904" t="s">
        <v>41069</v>
      </c>
      <c r="D18904" t="s">
        <v>20</v>
      </c>
      <c r="E18904" t="s">
        <v>39</v>
      </c>
      <c r="F18904">
        <v>0</v>
      </c>
      <c r="G18904">
        <v>0</v>
      </c>
      <c r="H18904">
        <v>2</v>
      </c>
      <c r="I18904" s="3">
        <v>1087.24</v>
      </c>
      <c r="J18904" s="3">
        <v>0</v>
      </c>
      <c r="M18904" t="s">
        <v>17433</v>
      </c>
      <c r="N18904" t="s">
        <v>295</v>
      </c>
      <c r="O18904" t="s">
        <v>31</v>
      </c>
      <c r="P18904" t="str">
        <f>"15146"</f>
        <v>15146</v>
      </c>
    </row>
    <row r="18905" spans="1:16" x14ac:dyDescent="0.25">
      <c r="A18905" t="str">
        <f>"1270075S00028    00"</f>
        <v>1270075S00028    00</v>
      </c>
      <c r="B18905" t="s">
        <v>41070</v>
      </c>
      <c r="C18905" t="s">
        <v>41071</v>
      </c>
      <c r="D18905" t="s">
        <v>20</v>
      </c>
      <c r="E18905" t="s">
        <v>39</v>
      </c>
      <c r="F18905">
        <v>0</v>
      </c>
      <c r="G18905">
        <v>0</v>
      </c>
      <c r="H18905">
        <v>6</v>
      </c>
      <c r="I18905" s="3">
        <v>134.21</v>
      </c>
      <c r="J18905" s="3">
        <v>30.62</v>
      </c>
      <c r="K18905" t="s">
        <v>41072</v>
      </c>
      <c r="M18905" t="s">
        <v>35137</v>
      </c>
      <c r="N18905" t="s">
        <v>30</v>
      </c>
      <c r="O18905" t="s">
        <v>31</v>
      </c>
      <c r="P18905" t="str">
        <f>"15217"</f>
        <v>15217</v>
      </c>
    </row>
    <row r="18906" spans="1:16" x14ac:dyDescent="0.25">
      <c r="A18906" t="str">
        <f>"1270075S00033    00"</f>
        <v>1270075S00033    00</v>
      </c>
      <c r="B18906" t="s">
        <v>41046</v>
      </c>
      <c r="C18906" t="s">
        <v>41071</v>
      </c>
      <c r="D18906" t="s">
        <v>20</v>
      </c>
      <c r="E18906" t="s">
        <v>39</v>
      </c>
      <c r="F18906">
        <v>0</v>
      </c>
      <c r="G18906">
        <v>0</v>
      </c>
      <c r="H18906">
        <v>4</v>
      </c>
      <c r="I18906" s="3">
        <v>558.41999999999996</v>
      </c>
      <c r="J18906" s="3">
        <v>49.86</v>
      </c>
      <c r="K18906" t="s">
        <v>5432</v>
      </c>
      <c r="L18906">
        <v>3001</v>
      </c>
      <c r="M18906" t="s">
        <v>330</v>
      </c>
      <c r="N18906" t="s">
        <v>331</v>
      </c>
      <c r="O18906" t="s">
        <v>108</v>
      </c>
      <c r="P18906" t="str">
        <f>"75063"</f>
        <v>75063</v>
      </c>
    </row>
    <row r="18907" spans="1:16" x14ac:dyDescent="0.25">
      <c r="A18907" t="str">
        <f>"1270075S00067    00"</f>
        <v>1270075S00067    00</v>
      </c>
      <c r="B18907" t="s">
        <v>41059</v>
      </c>
      <c r="C18907" t="s">
        <v>41073</v>
      </c>
      <c r="D18907" t="s">
        <v>20</v>
      </c>
      <c r="E18907" t="s">
        <v>39</v>
      </c>
      <c r="F18907">
        <v>0</v>
      </c>
      <c r="G18907">
        <v>0</v>
      </c>
      <c r="H18907">
        <v>8</v>
      </c>
      <c r="I18907" s="3">
        <v>4816.3</v>
      </c>
      <c r="J18907" s="3">
        <v>1749.68</v>
      </c>
      <c r="K18907" t="s">
        <v>41074</v>
      </c>
      <c r="L18907">
        <v>3134</v>
      </c>
      <c r="M18907" t="s">
        <v>41051</v>
      </c>
      <c r="N18907" t="s">
        <v>30</v>
      </c>
      <c r="O18907" t="s">
        <v>31</v>
      </c>
      <c r="P18907" t="str">
        <f>"15212"</f>
        <v>15212</v>
      </c>
    </row>
    <row r="18908" spans="1:16" x14ac:dyDescent="0.25">
      <c r="A18908" t="str">
        <f>"1270075S00078    00"</f>
        <v>1270075S00078    00</v>
      </c>
      <c r="B18908" t="s">
        <v>41075</v>
      </c>
      <c r="C18908" t="s">
        <v>41076</v>
      </c>
      <c r="D18908" t="s">
        <v>20</v>
      </c>
      <c r="E18908" t="s">
        <v>39</v>
      </c>
      <c r="F18908">
        <v>0</v>
      </c>
      <c r="G18908">
        <v>0</v>
      </c>
      <c r="H18908">
        <v>2</v>
      </c>
      <c r="I18908" s="3">
        <v>418.08</v>
      </c>
      <c r="J18908" s="3">
        <v>0</v>
      </c>
      <c r="K18908" t="s">
        <v>41077</v>
      </c>
      <c r="L18908">
        <v>3722</v>
      </c>
      <c r="M18908" t="s">
        <v>17198</v>
      </c>
      <c r="N18908" t="s">
        <v>30</v>
      </c>
      <c r="O18908" t="s">
        <v>31</v>
      </c>
      <c r="P18908" t="str">
        <f>"15212"</f>
        <v>15212</v>
      </c>
    </row>
    <row r="18909" spans="1:16" x14ac:dyDescent="0.25">
      <c r="A18909" t="str">
        <f>"1270075S00108    00"</f>
        <v>1270075S00108    00</v>
      </c>
      <c r="B18909" t="s">
        <v>41078</v>
      </c>
      <c r="C18909" t="s">
        <v>40871</v>
      </c>
      <c r="D18909" t="s">
        <v>20</v>
      </c>
      <c r="E18909" t="s">
        <v>21</v>
      </c>
      <c r="F18909">
        <v>0</v>
      </c>
      <c r="G18909">
        <v>0</v>
      </c>
      <c r="H18909">
        <v>14</v>
      </c>
      <c r="I18909" s="3">
        <v>23209.35</v>
      </c>
      <c r="J18909" s="3">
        <v>16141.79</v>
      </c>
      <c r="L18909">
        <v>530</v>
      </c>
      <c r="M18909" t="s">
        <v>34411</v>
      </c>
      <c r="N18909" t="s">
        <v>30</v>
      </c>
      <c r="O18909" t="s">
        <v>31</v>
      </c>
      <c r="P18909" t="str">
        <f>"15212"</f>
        <v>15212</v>
      </c>
    </row>
    <row r="18910" spans="1:16" x14ac:dyDescent="0.25">
      <c r="A18910" t="str">
        <f>"1270075S00123    00"</f>
        <v>1270075S00123    00</v>
      </c>
      <c r="B18910" t="s">
        <v>41079</v>
      </c>
      <c r="C18910" t="s">
        <v>41080</v>
      </c>
      <c r="D18910" t="s">
        <v>33</v>
      </c>
      <c r="E18910" t="s">
        <v>21</v>
      </c>
      <c r="F18910">
        <v>0</v>
      </c>
      <c r="G18910">
        <v>0</v>
      </c>
      <c r="H18910">
        <v>4</v>
      </c>
      <c r="I18910" s="3">
        <v>4126.4799999999996</v>
      </c>
      <c r="J18910" s="3">
        <v>34.39</v>
      </c>
      <c r="K18910" t="s">
        <v>41081</v>
      </c>
      <c r="L18910">
        <v>2333</v>
      </c>
      <c r="M18910" t="s">
        <v>4514</v>
      </c>
      <c r="N18910" t="s">
        <v>30</v>
      </c>
      <c r="O18910" t="s">
        <v>31</v>
      </c>
      <c r="P18910" t="str">
        <f>"15214"</f>
        <v>15214</v>
      </c>
    </row>
    <row r="18911" spans="1:16" x14ac:dyDescent="0.25">
      <c r="A18911" t="str">
        <f>"1270075S00130    00"</f>
        <v>1270075S00130    00</v>
      </c>
      <c r="B18911" t="s">
        <v>41082</v>
      </c>
      <c r="C18911" t="s">
        <v>41083</v>
      </c>
      <c r="D18911" t="s">
        <v>20</v>
      </c>
      <c r="E18911" t="s">
        <v>21</v>
      </c>
      <c r="F18911">
        <v>0</v>
      </c>
      <c r="G18911">
        <v>0</v>
      </c>
      <c r="H18911">
        <v>3</v>
      </c>
      <c r="I18911" s="3">
        <v>1778.31</v>
      </c>
      <c r="J18911" s="3">
        <v>118.55</v>
      </c>
      <c r="K18911" t="s">
        <v>4801</v>
      </c>
      <c r="L18911">
        <v>1</v>
      </c>
      <c r="M18911" t="s">
        <v>4802</v>
      </c>
      <c r="N18911" t="s">
        <v>4803</v>
      </c>
      <c r="O18911" t="s">
        <v>554</v>
      </c>
      <c r="P18911" t="str">
        <f>"26003"</f>
        <v>26003</v>
      </c>
    </row>
    <row r="18912" spans="1:16" x14ac:dyDescent="0.25">
      <c r="A18912" t="str">
        <f>"1270075S00131    00"</f>
        <v>1270075S00131    00</v>
      </c>
      <c r="B18912" t="s">
        <v>41082</v>
      </c>
      <c r="C18912" t="s">
        <v>41083</v>
      </c>
      <c r="D18912" t="s">
        <v>20</v>
      </c>
      <c r="E18912" t="s">
        <v>39</v>
      </c>
      <c r="F18912">
        <v>0</v>
      </c>
      <c r="G18912">
        <v>0</v>
      </c>
      <c r="H18912">
        <v>3</v>
      </c>
      <c r="I18912" s="3">
        <v>200.16</v>
      </c>
      <c r="J18912" s="3">
        <v>13.35</v>
      </c>
      <c r="K18912" t="s">
        <v>4801</v>
      </c>
      <c r="L18912">
        <v>1</v>
      </c>
      <c r="M18912" t="s">
        <v>4802</v>
      </c>
      <c r="N18912" t="s">
        <v>4803</v>
      </c>
      <c r="O18912" t="s">
        <v>554</v>
      </c>
      <c r="P18912" t="str">
        <f>"26003"</f>
        <v>26003</v>
      </c>
    </row>
    <row r="18913" spans="1:16" x14ac:dyDescent="0.25">
      <c r="A18913" t="str">
        <f>"1270075S00133    00"</f>
        <v>1270075S00133    00</v>
      </c>
      <c r="B18913" t="s">
        <v>41082</v>
      </c>
      <c r="C18913" t="s">
        <v>41083</v>
      </c>
      <c r="D18913" t="s">
        <v>20</v>
      </c>
      <c r="E18913" t="s">
        <v>39</v>
      </c>
      <c r="F18913">
        <v>0</v>
      </c>
      <c r="G18913">
        <v>0</v>
      </c>
      <c r="H18913">
        <v>2</v>
      </c>
      <c r="I18913" s="3">
        <v>255.42</v>
      </c>
      <c r="J18913" s="3">
        <v>0</v>
      </c>
      <c r="K18913" t="s">
        <v>4801</v>
      </c>
      <c r="L18913">
        <v>1</v>
      </c>
      <c r="M18913" t="s">
        <v>4802</v>
      </c>
      <c r="N18913" t="s">
        <v>4803</v>
      </c>
      <c r="O18913" t="s">
        <v>554</v>
      </c>
      <c r="P18913" t="str">
        <f>"26003"</f>
        <v>26003</v>
      </c>
    </row>
    <row r="18914" spans="1:16" x14ac:dyDescent="0.25">
      <c r="A18914" t="str">
        <f>"1270075S00134    00"</f>
        <v>1270075S00134    00</v>
      </c>
      <c r="B18914" t="s">
        <v>41084</v>
      </c>
      <c r="C18914" t="s">
        <v>40871</v>
      </c>
      <c r="D18914" t="s">
        <v>20</v>
      </c>
      <c r="E18914" t="s">
        <v>39</v>
      </c>
      <c r="F18914">
        <v>0</v>
      </c>
      <c r="G18914">
        <v>0</v>
      </c>
      <c r="H18914">
        <v>19</v>
      </c>
      <c r="I18914" s="3">
        <v>572.94000000000005</v>
      </c>
      <c r="J18914" s="3">
        <v>685.28</v>
      </c>
      <c r="L18914">
        <v>3340</v>
      </c>
      <c r="M18914" t="s">
        <v>13961</v>
      </c>
      <c r="N18914" t="s">
        <v>30</v>
      </c>
      <c r="O18914" t="s">
        <v>31</v>
      </c>
      <c r="P18914" t="str">
        <f>"15212"</f>
        <v>15212</v>
      </c>
    </row>
    <row r="18915" spans="1:16" x14ac:dyDescent="0.25">
      <c r="A18915" t="str">
        <f>"1270075S00135    00"</f>
        <v>1270075S00135    00</v>
      </c>
      <c r="B18915" t="s">
        <v>41085</v>
      </c>
      <c r="C18915" t="s">
        <v>40871</v>
      </c>
      <c r="D18915" t="s">
        <v>20</v>
      </c>
      <c r="E18915" t="s">
        <v>39</v>
      </c>
      <c r="F18915">
        <v>0</v>
      </c>
      <c r="G18915">
        <v>0</v>
      </c>
      <c r="H18915">
        <v>19</v>
      </c>
      <c r="I18915" s="3">
        <v>666.21</v>
      </c>
      <c r="J18915" s="3">
        <v>779.55</v>
      </c>
      <c r="K18915" t="s">
        <v>1008</v>
      </c>
      <c r="P18915" t="str">
        <f>""</f>
        <v/>
      </c>
    </row>
    <row r="18916" spans="1:16" x14ac:dyDescent="0.25">
      <c r="A18916" t="str">
        <f>"1270075S00138    00"</f>
        <v>1270075S00138    00</v>
      </c>
      <c r="B18916" t="s">
        <v>41086</v>
      </c>
      <c r="C18916" t="s">
        <v>40871</v>
      </c>
      <c r="D18916" t="s">
        <v>20</v>
      </c>
      <c r="E18916" t="s">
        <v>39</v>
      </c>
      <c r="F18916">
        <v>0</v>
      </c>
      <c r="G18916">
        <v>0</v>
      </c>
      <c r="H18916">
        <v>19</v>
      </c>
      <c r="I18916" s="3">
        <v>597.66999999999996</v>
      </c>
      <c r="J18916" s="3">
        <v>720.87</v>
      </c>
      <c r="K18916" t="s">
        <v>1037</v>
      </c>
      <c r="L18916">
        <v>3154</v>
      </c>
      <c r="M18916" t="s">
        <v>37050</v>
      </c>
      <c r="N18916" t="s">
        <v>30</v>
      </c>
      <c r="O18916" t="s">
        <v>31</v>
      </c>
      <c r="P18916" t="str">
        <f>"15212"</f>
        <v>15212</v>
      </c>
    </row>
    <row r="18917" spans="1:16" x14ac:dyDescent="0.25">
      <c r="A18917" t="str">
        <f>"1270075S00139    00"</f>
        <v>1270075S00139    00</v>
      </c>
      <c r="B18917" t="s">
        <v>41087</v>
      </c>
      <c r="C18917" t="s">
        <v>40871</v>
      </c>
      <c r="D18917" t="s">
        <v>20</v>
      </c>
      <c r="E18917" t="s">
        <v>21</v>
      </c>
      <c r="F18917">
        <v>0</v>
      </c>
      <c r="G18917">
        <v>0</v>
      </c>
      <c r="H18917">
        <v>19</v>
      </c>
      <c r="I18917" s="3">
        <v>4560.8999999999996</v>
      </c>
      <c r="J18917" s="3">
        <v>3008.08</v>
      </c>
      <c r="P18917" t="str">
        <f>""</f>
        <v/>
      </c>
    </row>
    <row r="18918" spans="1:16" x14ac:dyDescent="0.25">
      <c r="A18918" t="str">
        <f>"1270075S00140    00"</f>
        <v>1270075S00140    00</v>
      </c>
      <c r="B18918" t="s">
        <v>41088</v>
      </c>
      <c r="C18918" t="s">
        <v>40871</v>
      </c>
      <c r="D18918" t="s">
        <v>20</v>
      </c>
      <c r="E18918" t="s">
        <v>39</v>
      </c>
      <c r="F18918">
        <v>0</v>
      </c>
      <c r="G18918">
        <v>0</v>
      </c>
      <c r="H18918">
        <v>3</v>
      </c>
      <c r="I18918" s="3">
        <v>45.99</v>
      </c>
      <c r="J18918" s="3">
        <v>1.56</v>
      </c>
      <c r="K18918" t="s">
        <v>41089</v>
      </c>
      <c r="L18918">
        <v>1321</v>
      </c>
      <c r="M18918" t="s">
        <v>41090</v>
      </c>
      <c r="N18918" t="s">
        <v>1004</v>
      </c>
      <c r="O18918" t="s">
        <v>1005</v>
      </c>
      <c r="P18918" t="str">
        <f>"85024"</f>
        <v>85024</v>
      </c>
    </row>
    <row r="18919" spans="1:16" x14ac:dyDescent="0.25">
      <c r="A18919" t="str">
        <f>"1270075S00146    00"</f>
        <v>1270075S00146    00</v>
      </c>
      <c r="B18919" t="s">
        <v>41091</v>
      </c>
      <c r="C18919" t="s">
        <v>41092</v>
      </c>
      <c r="D18919" t="s">
        <v>20</v>
      </c>
      <c r="E18919" t="s">
        <v>39</v>
      </c>
      <c r="F18919">
        <v>0</v>
      </c>
      <c r="G18919">
        <v>0</v>
      </c>
      <c r="H18919">
        <v>2</v>
      </c>
      <c r="I18919" s="3">
        <v>1326.6</v>
      </c>
      <c r="J18919" s="3">
        <v>0</v>
      </c>
      <c r="L18919">
        <v>1225</v>
      </c>
      <c r="M18919" t="s">
        <v>41093</v>
      </c>
      <c r="N18919" t="s">
        <v>30</v>
      </c>
      <c r="O18919" t="s">
        <v>31</v>
      </c>
      <c r="P18919" t="str">
        <f t="shared" ref="P18919:P18924" si="235">"15212"</f>
        <v>15212</v>
      </c>
    </row>
    <row r="18920" spans="1:16" x14ac:dyDescent="0.25">
      <c r="A18920" t="str">
        <f>"1270075S00148    00"</f>
        <v>1270075S00148    00</v>
      </c>
      <c r="B18920" t="s">
        <v>41094</v>
      </c>
      <c r="C18920" t="s">
        <v>41095</v>
      </c>
      <c r="D18920" t="s">
        <v>20</v>
      </c>
      <c r="E18920" t="s">
        <v>39</v>
      </c>
      <c r="F18920">
        <v>0</v>
      </c>
      <c r="G18920">
        <v>0</v>
      </c>
      <c r="H18920">
        <v>7</v>
      </c>
      <c r="I18920" s="3">
        <v>1035.1500000000001</v>
      </c>
      <c r="J18920" s="3">
        <v>292.56</v>
      </c>
      <c r="L18920">
        <v>3136</v>
      </c>
      <c r="M18920" t="s">
        <v>37050</v>
      </c>
      <c r="N18920" t="s">
        <v>30</v>
      </c>
      <c r="O18920" t="s">
        <v>31</v>
      </c>
      <c r="P18920" t="str">
        <f t="shared" si="235"/>
        <v>15212</v>
      </c>
    </row>
    <row r="18921" spans="1:16" x14ac:dyDescent="0.25">
      <c r="A18921" t="str">
        <f>"1270075S00150    00"</f>
        <v>1270075S00150    00</v>
      </c>
      <c r="B18921" t="s">
        <v>41096</v>
      </c>
      <c r="C18921" t="s">
        <v>41095</v>
      </c>
      <c r="D18921" t="s">
        <v>20</v>
      </c>
      <c r="E18921" t="s">
        <v>39</v>
      </c>
      <c r="F18921">
        <v>0</v>
      </c>
      <c r="G18921">
        <v>0</v>
      </c>
      <c r="H18921">
        <v>6</v>
      </c>
      <c r="I18921" s="3">
        <v>151.08000000000001</v>
      </c>
      <c r="J18921" s="3">
        <v>48.91</v>
      </c>
      <c r="L18921">
        <v>3136</v>
      </c>
      <c r="M18921" t="s">
        <v>37050</v>
      </c>
      <c r="N18921" t="s">
        <v>30</v>
      </c>
      <c r="O18921" t="s">
        <v>31</v>
      </c>
      <c r="P18921" t="str">
        <f t="shared" si="235"/>
        <v>15212</v>
      </c>
    </row>
    <row r="18922" spans="1:16" x14ac:dyDescent="0.25">
      <c r="A18922" t="str">
        <f>"1270075S00160    00"</f>
        <v>1270075S00160    00</v>
      </c>
      <c r="B18922" t="s">
        <v>41097</v>
      </c>
      <c r="C18922" t="s">
        <v>41098</v>
      </c>
      <c r="D18922" t="s">
        <v>20</v>
      </c>
      <c r="E18922" t="s">
        <v>39</v>
      </c>
      <c r="F18922">
        <v>0</v>
      </c>
      <c r="G18922">
        <v>0</v>
      </c>
      <c r="H18922">
        <v>11</v>
      </c>
      <c r="I18922" s="3">
        <v>3508.24</v>
      </c>
      <c r="J18922" s="3">
        <v>1824.63</v>
      </c>
      <c r="L18922">
        <v>3145</v>
      </c>
      <c r="M18922" t="s">
        <v>41028</v>
      </c>
      <c r="N18922" t="s">
        <v>30</v>
      </c>
      <c r="O18922" t="s">
        <v>31</v>
      </c>
      <c r="P18922" t="str">
        <f t="shared" si="235"/>
        <v>15212</v>
      </c>
    </row>
    <row r="18923" spans="1:16" x14ac:dyDescent="0.25">
      <c r="A18923" t="str">
        <f>"1270075S00175    00"</f>
        <v>1270075S00175    00</v>
      </c>
      <c r="B18923" t="s">
        <v>41099</v>
      </c>
      <c r="C18923" t="s">
        <v>41100</v>
      </c>
      <c r="D18923" t="s">
        <v>20</v>
      </c>
      <c r="E18923" t="s">
        <v>39</v>
      </c>
      <c r="F18923">
        <v>0</v>
      </c>
      <c r="G18923">
        <v>0</v>
      </c>
      <c r="H18923">
        <v>8</v>
      </c>
      <c r="I18923" s="3">
        <v>3735.91</v>
      </c>
      <c r="J18923" s="3">
        <v>1230.07</v>
      </c>
      <c r="K18923" t="s">
        <v>41101</v>
      </c>
      <c r="L18923">
        <v>1540</v>
      </c>
      <c r="M18923" t="s">
        <v>39802</v>
      </c>
      <c r="N18923" t="s">
        <v>30</v>
      </c>
      <c r="O18923" t="s">
        <v>31</v>
      </c>
      <c r="P18923" t="str">
        <f t="shared" si="235"/>
        <v>15212</v>
      </c>
    </row>
    <row r="18924" spans="1:16" x14ac:dyDescent="0.25">
      <c r="A18924" t="str">
        <f>"1270075S00178    00"</f>
        <v>1270075S00178    00</v>
      </c>
      <c r="B18924" t="s">
        <v>41102</v>
      </c>
      <c r="C18924" t="s">
        <v>39775</v>
      </c>
      <c r="D18924" t="s">
        <v>20</v>
      </c>
      <c r="E18924" t="s">
        <v>39</v>
      </c>
      <c r="F18924">
        <v>0</v>
      </c>
      <c r="G18924">
        <v>0</v>
      </c>
      <c r="H18924">
        <v>13</v>
      </c>
      <c r="I18924" s="3">
        <v>4380.99</v>
      </c>
      <c r="J18924" s="3">
        <v>2320.67</v>
      </c>
      <c r="L18924">
        <v>3148</v>
      </c>
      <c r="M18924" t="s">
        <v>41028</v>
      </c>
      <c r="N18924" t="s">
        <v>30</v>
      </c>
      <c r="O18924" t="s">
        <v>31</v>
      </c>
      <c r="P18924" t="str">
        <f t="shared" si="235"/>
        <v>15212</v>
      </c>
    </row>
    <row r="18925" spans="1:16" x14ac:dyDescent="0.25">
      <c r="A18925" t="str">
        <f>"1270075S00180    00"</f>
        <v>1270075S00180    00</v>
      </c>
      <c r="B18925" t="s">
        <v>41103</v>
      </c>
      <c r="C18925" t="s">
        <v>41104</v>
      </c>
      <c r="D18925" t="s">
        <v>20</v>
      </c>
      <c r="E18925" t="s">
        <v>39</v>
      </c>
      <c r="F18925">
        <v>0</v>
      </c>
      <c r="G18925">
        <v>0</v>
      </c>
      <c r="H18925">
        <v>19</v>
      </c>
      <c r="I18925" s="3">
        <v>13854.62</v>
      </c>
      <c r="J18925" s="3">
        <v>14506.48</v>
      </c>
      <c r="P18925" t="str">
        <f>""</f>
        <v/>
      </c>
    </row>
    <row r="18926" spans="1:16" x14ac:dyDescent="0.25">
      <c r="A18926" t="str">
        <f>"1270075S00181    00"</f>
        <v>1270075S00181    00</v>
      </c>
      <c r="B18926" t="s">
        <v>41102</v>
      </c>
      <c r="C18926" t="s">
        <v>41105</v>
      </c>
      <c r="D18926" t="s">
        <v>20</v>
      </c>
      <c r="E18926" t="s">
        <v>39</v>
      </c>
      <c r="F18926">
        <v>0</v>
      </c>
      <c r="G18926">
        <v>0</v>
      </c>
      <c r="H18926">
        <v>13</v>
      </c>
      <c r="I18926" s="3">
        <v>1868.88</v>
      </c>
      <c r="J18926" s="3">
        <v>1293.5999999999999</v>
      </c>
      <c r="L18926">
        <v>3148</v>
      </c>
      <c r="M18926" t="s">
        <v>41028</v>
      </c>
      <c r="N18926" t="s">
        <v>30</v>
      </c>
      <c r="O18926" t="s">
        <v>31</v>
      </c>
      <c r="P18926" t="str">
        <f>"15212"</f>
        <v>15212</v>
      </c>
    </row>
    <row r="18927" spans="1:16" x14ac:dyDescent="0.25">
      <c r="A18927" t="str">
        <f>"1270075S00183    00"</f>
        <v>1270075S00183    00</v>
      </c>
      <c r="B18927" t="s">
        <v>41106</v>
      </c>
      <c r="C18927" t="s">
        <v>41107</v>
      </c>
      <c r="D18927" t="s">
        <v>20</v>
      </c>
      <c r="E18927" t="s">
        <v>39</v>
      </c>
      <c r="F18927">
        <v>0</v>
      </c>
      <c r="G18927">
        <v>0</v>
      </c>
      <c r="H18927">
        <v>19</v>
      </c>
      <c r="I18927" s="3">
        <v>6812.71</v>
      </c>
      <c r="J18927" s="3">
        <v>5696.42</v>
      </c>
      <c r="L18927">
        <v>3145</v>
      </c>
      <c r="M18927" t="s">
        <v>41028</v>
      </c>
      <c r="N18927" t="s">
        <v>30</v>
      </c>
      <c r="O18927" t="s">
        <v>31</v>
      </c>
      <c r="P18927" t="str">
        <f>"15212"</f>
        <v>15212</v>
      </c>
    </row>
    <row r="18928" spans="1:16" x14ac:dyDescent="0.25">
      <c r="A18928" t="str">
        <f>"1270075S00187    00"</f>
        <v>1270075S00187    00</v>
      </c>
      <c r="B18928" t="s">
        <v>41108</v>
      </c>
      <c r="C18928" t="s">
        <v>41109</v>
      </c>
      <c r="E18928" t="s">
        <v>39</v>
      </c>
      <c r="F18928">
        <v>0</v>
      </c>
      <c r="G18928">
        <v>0</v>
      </c>
      <c r="H18928">
        <v>3</v>
      </c>
      <c r="I18928" s="3">
        <v>1029.27</v>
      </c>
      <c r="J18928" s="3">
        <v>378.39</v>
      </c>
      <c r="L18928">
        <v>96</v>
      </c>
      <c r="M18928" t="s">
        <v>41028</v>
      </c>
      <c r="N18928" t="s">
        <v>30</v>
      </c>
      <c r="O18928" t="s">
        <v>31</v>
      </c>
      <c r="P18928" t="str">
        <f>"15212"</f>
        <v>15212</v>
      </c>
    </row>
    <row r="18929" spans="1:16" x14ac:dyDescent="0.25">
      <c r="A18929" t="str">
        <f>"1270075S00188    00"</f>
        <v>1270075S00188    00</v>
      </c>
      <c r="B18929" t="s">
        <v>41110</v>
      </c>
      <c r="C18929" t="s">
        <v>41027</v>
      </c>
      <c r="D18929" t="s">
        <v>20</v>
      </c>
      <c r="E18929" t="s">
        <v>39</v>
      </c>
      <c r="F18929">
        <v>0</v>
      </c>
      <c r="G18929">
        <v>0</v>
      </c>
      <c r="H18929">
        <v>10</v>
      </c>
      <c r="I18929" s="3">
        <v>3648.99</v>
      </c>
      <c r="J18929" s="3">
        <v>1473.86</v>
      </c>
      <c r="L18929">
        <v>21</v>
      </c>
      <c r="M18929" t="s">
        <v>5832</v>
      </c>
      <c r="N18929" t="s">
        <v>30</v>
      </c>
      <c r="O18929" t="s">
        <v>31</v>
      </c>
      <c r="P18929" t="str">
        <f>"15209"</f>
        <v>15209</v>
      </c>
    </row>
    <row r="18930" spans="1:16" x14ac:dyDescent="0.25">
      <c r="A18930" t="str">
        <f>"1270075S00202    00"</f>
        <v>1270075S00202    00</v>
      </c>
      <c r="B18930" t="s">
        <v>41111</v>
      </c>
      <c r="C18930" t="s">
        <v>41027</v>
      </c>
      <c r="D18930" t="s">
        <v>20</v>
      </c>
      <c r="E18930" t="s">
        <v>39</v>
      </c>
      <c r="F18930">
        <v>0</v>
      </c>
      <c r="G18930">
        <v>0</v>
      </c>
      <c r="H18930">
        <v>18</v>
      </c>
      <c r="I18930" s="3">
        <v>2545.5</v>
      </c>
      <c r="J18930" s="3">
        <v>1873.32</v>
      </c>
      <c r="K18930" t="s">
        <v>41112</v>
      </c>
      <c r="L18930">
        <v>5435</v>
      </c>
      <c r="M18930" t="s">
        <v>41113</v>
      </c>
      <c r="N18930" t="s">
        <v>41114</v>
      </c>
      <c r="O18930" t="s">
        <v>370</v>
      </c>
      <c r="P18930" t="str">
        <f>"34655"</f>
        <v>34655</v>
      </c>
    </row>
    <row r="18931" spans="1:16" x14ac:dyDescent="0.25">
      <c r="A18931" t="str">
        <f>"1270075S00207    00"</f>
        <v>1270075S00207    00</v>
      </c>
      <c r="B18931" t="s">
        <v>41115</v>
      </c>
      <c r="C18931" t="s">
        <v>41027</v>
      </c>
      <c r="D18931" t="s">
        <v>20</v>
      </c>
      <c r="E18931" t="s">
        <v>39</v>
      </c>
      <c r="F18931">
        <v>0</v>
      </c>
      <c r="G18931">
        <v>0</v>
      </c>
      <c r="H18931">
        <v>19</v>
      </c>
      <c r="I18931" s="3">
        <v>545.54999999999995</v>
      </c>
      <c r="J18931" s="3">
        <v>625.73</v>
      </c>
      <c r="L18931">
        <v>138</v>
      </c>
      <c r="M18931" t="s">
        <v>41116</v>
      </c>
      <c r="N18931" t="s">
        <v>30</v>
      </c>
      <c r="O18931" t="s">
        <v>31</v>
      </c>
      <c r="P18931" t="str">
        <f>"15212"</f>
        <v>15212</v>
      </c>
    </row>
    <row r="18932" spans="1:16" x14ac:dyDescent="0.25">
      <c r="A18932" t="str">
        <f>"1270075S00212    00"</f>
        <v>1270075S00212    00</v>
      </c>
      <c r="B18932" t="s">
        <v>41117</v>
      </c>
      <c r="C18932" t="s">
        <v>41118</v>
      </c>
      <c r="D18932" t="s">
        <v>20</v>
      </c>
      <c r="E18932" t="s">
        <v>39</v>
      </c>
      <c r="F18932">
        <v>0</v>
      </c>
      <c r="G18932">
        <v>0</v>
      </c>
      <c r="H18932">
        <v>8</v>
      </c>
      <c r="I18932" s="3">
        <v>1150.53</v>
      </c>
      <c r="J18932" s="3">
        <v>1054.54</v>
      </c>
      <c r="L18932">
        <v>3210</v>
      </c>
      <c r="M18932" t="s">
        <v>41028</v>
      </c>
      <c r="N18932" t="s">
        <v>30</v>
      </c>
      <c r="O18932" t="s">
        <v>31</v>
      </c>
      <c r="P18932" t="str">
        <f>"15212"</f>
        <v>15212</v>
      </c>
    </row>
    <row r="18933" spans="1:16" x14ac:dyDescent="0.25">
      <c r="A18933" t="str">
        <f>"1270075S00215    00"</f>
        <v>1270075S00215    00</v>
      </c>
      <c r="B18933" t="s">
        <v>41119</v>
      </c>
      <c r="C18933" t="s">
        <v>41120</v>
      </c>
      <c r="D18933" t="s">
        <v>20</v>
      </c>
      <c r="E18933" t="s">
        <v>39</v>
      </c>
      <c r="F18933">
        <v>0</v>
      </c>
      <c r="G18933">
        <v>0</v>
      </c>
      <c r="H18933">
        <v>16</v>
      </c>
      <c r="I18933" s="3">
        <v>9991.86</v>
      </c>
      <c r="J18933" s="3">
        <v>8295.06</v>
      </c>
      <c r="K18933" t="s">
        <v>41121</v>
      </c>
      <c r="L18933">
        <v>3214</v>
      </c>
      <c r="M18933" t="s">
        <v>41028</v>
      </c>
      <c r="N18933" t="s">
        <v>30</v>
      </c>
      <c r="O18933" t="s">
        <v>31</v>
      </c>
      <c r="P18933" t="str">
        <f>"15212"</f>
        <v>15212</v>
      </c>
    </row>
    <row r="18934" spans="1:16" x14ac:dyDescent="0.25">
      <c r="A18934" t="str">
        <f>"1270075S00216    00"</f>
        <v>1270075S00216    00</v>
      </c>
      <c r="B18934" t="s">
        <v>41122</v>
      </c>
      <c r="C18934" t="s">
        <v>41027</v>
      </c>
      <c r="D18934" t="s">
        <v>20</v>
      </c>
      <c r="E18934" t="s">
        <v>39</v>
      </c>
      <c r="F18934">
        <v>0</v>
      </c>
      <c r="G18934">
        <v>0</v>
      </c>
      <c r="H18934">
        <v>19</v>
      </c>
      <c r="I18934" s="3">
        <v>619.55999999999995</v>
      </c>
      <c r="J18934" s="3">
        <v>732.44</v>
      </c>
      <c r="K18934" t="s">
        <v>1008</v>
      </c>
      <c r="P18934" t="str">
        <f>""</f>
        <v/>
      </c>
    </row>
    <row r="18935" spans="1:16" x14ac:dyDescent="0.25">
      <c r="A18935" t="str">
        <f>"1270075S00220    00"</f>
        <v>1270075S00220    00</v>
      </c>
      <c r="B18935" t="s">
        <v>41123</v>
      </c>
      <c r="C18935" t="s">
        <v>41124</v>
      </c>
      <c r="D18935" t="s">
        <v>20</v>
      </c>
      <c r="E18935" t="s">
        <v>39</v>
      </c>
      <c r="F18935">
        <v>0</v>
      </c>
      <c r="G18935">
        <v>0</v>
      </c>
      <c r="H18935">
        <v>19</v>
      </c>
      <c r="I18935" s="3">
        <v>12414.21</v>
      </c>
      <c r="J18935" s="3">
        <v>12484.34</v>
      </c>
      <c r="L18935">
        <v>3721</v>
      </c>
      <c r="M18935" t="s">
        <v>41125</v>
      </c>
      <c r="N18935" t="s">
        <v>195</v>
      </c>
      <c r="O18935" t="s">
        <v>31</v>
      </c>
      <c r="P18935" t="str">
        <f>"15101"</f>
        <v>15101</v>
      </c>
    </row>
    <row r="18936" spans="1:16" x14ac:dyDescent="0.25">
      <c r="A18936" t="str">
        <f>"1270075S00222    00"</f>
        <v>1270075S00222    00</v>
      </c>
      <c r="B18936" t="s">
        <v>40123</v>
      </c>
      <c r="C18936" t="s">
        <v>41126</v>
      </c>
      <c r="D18936" t="s">
        <v>20</v>
      </c>
      <c r="E18936" t="s">
        <v>39</v>
      </c>
      <c r="F18936">
        <v>0</v>
      </c>
      <c r="G18936">
        <v>0</v>
      </c>
      <c r="H18936">
        <v>19</v>
      </c>
      <c r="I18936" s="3">
        <v>5465.86</v>
      </c>
      <c r="J18936" s="3">
        <v>3580.46</v>
      </c>
      <c r="L18936">
        <v>2819</v>
      </c>
      <c r="M18936" t="s">
        <v>40107</v>
      </c>
      <c r="N18936" t="s">
        <v>30</v>
      </c>
      <c r="O18936" t="s">
        <v>31</v>
      </c>
      <c r="P18936" t="str">
        <f>"15212"</f>
        <v>15212</v>
      </c>
    </row>
    <row r="18937" spans="1:16" x14ac:dyDescent="0.25">
      <c r="A18937" t="str">
        <f>"1270075S00224    00"</f>
        <v>1270075S00224    00</v>
      </c>
      <c r="B18937" t="s">
        <v>41127</v>
      </c>
      <c r="C18937" t="s">
        <v>41128</v>
      </c>
      <c r="E18937" t="s">
        <v>39</v>
      </c>
      <c r="F18937">
        <v>0</v>
      </c>
      <c r="G18937">
        <v>0</v>
      </c>
      <c r="H18937">
        <v>1</v>
      </c>
      <c r="I18937" s="3">
        <v>767.73</v>
      </c>
      <c r="J18937" s="3">
        <v>0</v>
      </c>
      <c r="K18937" t="s">
        <v>41129</v>
      </c>
      <c r="L18937">
        <v>2318</v>
      </c>
      <c r="M18937" t="s">
        <v>41130</v>
      </c>
      <c r="N18937" t="s">
        <v>5166</v>
      </c>
      <c r="O18937" t="s">
        <v>1413</v>
      </c>
      <c r="P18937" t="str">
        <f>"27614"</f>
        <v>27614</v>
      </c>
    </row>
    <row r="18938" spans="1:16" x14ac:dyDescent="0.25">
      <c r="A18938" t="str">
        <f>"1270075S00228    00"</f>
        <v>1270075S00228    00</v>
      </c>
      <c r="B18938" t="s">
        <v>41131</v>
      </c>
      <c r="C18938" t="s">
        <v>41132</v>
      </c>
      <c r="D18938" t="s">
        <v>20</v>
      </c>
      <c r="E18938" t="s">
        <v>39</v>
      </c>
      <c r="F18938">
        <v>0</v>
      </c>
      <c r="G18938">
        <v>0</v>
      </c>
      <c r="H18938">
        <v>2</v>
      </c>
      <c r="I18938" s="3">
        <v>1120.74</v>
      </c>
      <c r="J18938" s="3">
        <v>0</v>
      </c>
      <c r="K18938" t="s">
        <v>41133</v>
      </c>
      <c r="L18938">
        <v>1338</v>
      </c>
      <c r="M18938" t="s">
        <v>39802</v>
      </c>
      <c r="N18938" t="s">
        <v>30</v>
      </c>
      <c r="O18938" t="s">
        <v>31</v>
      </c>
      <c r="P18938" t="str">
        <f>"15212"</f>
        <v>15212</v>
      </c>
    </row>
    <row r="18939" spans="1:16" x14ac:dyDescent="0.25">
      <c r="A18939" t="str">
        <f>"1270075S00254    00"</f>
        <v>1270075S00254    00</v>
      </c>
      <c r="B18939" t="s">
        <v>41134</v>
      </c>
      <c r="C18939" t="s">
        <v>39797</v>
      </c>
      <c r="D18939" t="s">
        <v>20</v>
      </c>
      <c r="E18939" t="s">
        <v>39</v>
      </c>
      <c r="F18939">
        <v>0</v>
      </c>
      <c r="G18939">
        <v>0</v>
      </c>
      <c r="H18939">
        <v>15</v>
      </c>
      <c r="I18939" s="3">
        <v>5874.27</v>
      </c>
      <c r="J18939" s="3">
        <v>5675.65</v>
      </c>
      <c r="L18939">
        <v>1432</v>
      </c>
      <c r="M18939" t="s">
        <v>39802</v>
      </c>
      <c r="N18939" t="s">
        <v>30</v>
      </c>
      <c r="O18939" t="s">
        <v>31</v>
      </c>
      <c r="P18939" t="str">
        <f>"15212"</f>
        <v>15212</v>
      </c>
    </row>
    <row r="18940" spans="1:16" x14ac:dyDescent="0.25">
      <c r="A18940" t="str">
        <f>"1270075S00256    00"</f>
        <v>1270075S00256    00</v>
      </c>
      <c r="B18940" t="s">
        <v>41135</v>
      </c>
      <c r="C18940" t="s">
        <v>39797</v>
      </c>
      <c r="D18940" t="s">
        <v>20</v>
      </c>
      <c r="E18940" t="s">
        <v>39</v>
      </c>
      <c r="F18940">
        <v>0</v>
      </c>
      <c r="G18940">
        <v>0</v>
      </c>
      <c r="H18940">
        <v>19</v>
      </c>
      <c r="I18940" s="3">
        <v>8873.5499999999993</v>
      </c>
      <c r="J18940" s="3">
        <v>9538.7999999999993</v>
      </c>
      <c r="L18940">
        <v>355</v>
      </c>
      <c r="M18940" t="s">
        <v>22443</v>
      </c>
      <c r="N18940" t="s">
        <v>903</v>
      </c>
      <c r="O18940" t="s">
        <v>31</v>
      </c>
      <c r="P18940" t="str">
        <f>"15136"</f>
        <v>15136</v>
      </c>
    </row>
    <row r="18941" spans="1:16" x14ac:dyDescent="0.25">
      <c r="A18941" t="str">
        <f>"1270075S00259    00"</f>
        <v>1270075S00259    00</v>
      </c>
      <c r="B18941" t="s">
        <v>41136</v>
      </c>
      <c r="C18941" t="s">
        <v>41137</v>
      </c>
      <c r="D18941" t="s">
        <v>20</v>
      </c>
      <c r="E18941" t="s">
        <v>39</v>
      </c>
      <c r="F18941">
        <v>0</v>
      </c>
      <c r="G18941">
        <v>0</v>
      </c>
      <c r="H18941">
        <v>18</v>
      </c>
      <c r="I18941" s="3">
        <v>14839.06</v>
      </c>
      <c r="J18941" s="3">
        <v>10849.42</v>
      </c>
      <c r="L18941">
        <v>932</v>
      </c>
      <c r="M18941" t="s">
        <v>1493</v>
      </c>
      <c r="N18941" t="s">
        <v>30</v>
      </c>
      <c r="O18941" t="s">
        <v>31</v>
      </c>
      <c r="P18941" t="str">
        <f>"15234"</f>
        <v>15234</v>
      </c>
    </row>
    <row r="18942" spans="1:16" x14ac:dyDescent="0.25">
      <c r="A18942" t="str">
        <f>"1270075S00268    00"</f>
        <v>1270075S00268    00</v>
      </c>
      <c r="B18942" t="s">
        <v>41138</v>
      </c>
      <c r="C18942" t="s">
        <v>41139</v>
      </c>
      <c r="D18942" t="s">
        <v>20</v>
      </c>
      <c r="E18942" t="s">
        <v>39</v>
      </c>
      <c r="F18942">
        <v>0</v>
      </c>
      <c r="G18942">
        <v>0</v>
      </c>
      <c r="H18942">
        <v>2</v>
      </c>
      <c r="I18942" s="3">
        <v>206.16</v>
      </c>
      <c r="J18942" s="3">
        <v>0</v>
      </c>
      <c r="L18942">
        <v>1456</v>
      </c>
      <c r="M18942" t="s">
        <v>39802</v>
      </c>
      <c r="N18942" t="s">
        <v>30</v>
      </c>
      <c r="O18942" t="s">
        <v>31</v>
      </c>
      <c r="P18942" t="str">
        <f>"15212"</f>
        <v>15212</v>
      </c>
    </row>
    <row r="18943" spans="1:16" x14ac:dyDescent="0.25">
      <c r="A18943" t="str">
        <f>"1270075S00272    00"</f>
        <v>1270075S00272    00</v>
      </c>
      <c r="B18943" t="s">
        <v>41140</v>
      </c>
      <c r="C18943" t="s">
        <v>39797</v>
      </c>
      <c r="D18943" t="s">
        <v>20</v>
      </c>
      <c r="E18943" t="s">
        <v>39</v>
      </c>
      <c r="F18943">
        <v>0</v>
      </c>
      <c r="G18943">
        <v>0</v>
      </c>
      <c r="H18943">
        <v>19</v>
      </c>
      <c r="I18943" s="3">
        <v>10563.12</v>
      </c>
      <c r="J18943" s="3">
        <v>12475.67</v>
      </c>
      <c r="K18943" t="s">
        <v>1008</v>
      </c>
      <c r="P18943" t="str">
        <f>""</f>
        <v/>
      </c>
    </row>
    <row r="18944" spans="1:16" x14ac:dyDescent="0.25">
      <c r="A18944" t="str">
        <f>"1270075S00275    00"</f>
        <v>1270075S00275    00</v>
      </c>
      <c r="B18944" t="s">
        <v>34763</v>
      </c>
      <c r="C18944" t="s">
        <v>39797</v>
      </c>
      <c r="D18944" t="s">
        <v>20</v>
      </c>
      <c r="E18944" t="s">
        <v>39</v>
      </c>
      <c r="F18944">
        <v>0</v>
      </c>
      <c r="G18944">
        <v>0</v>
      </c>
      <c r="H18944">
        <v>18</v>
      </c>
      <c r="I18944" s="3">
        <v>4089.36</v>
      </c>
      <c r="J18944" s="3">
        <v>3458.47</v>
      </c>
      <c r="L18944">
        <v>115</v>
      </c>
      <c r="M18944" t="s">
        <v>41141</v>
      </c>
      <c r="N18944" t="s">
        <v>30</v>
      </c>
      <c r="O18944" t="s">
        <v>31</v>
      </c>
      <c r="P18944" t="str">
        <f>"15223"</f>
        <v>15223</v>
      </c>
    </row>
    <row r="18945" spans="1:16" x14ac:dyDescent="0.25">
      <c r="A18945" t="str">
        <f>"1270075S00276    00"</f>
        <v>1270075S00276    00</v>
      </c>
      <c r="B18945" t="s">
        <v>34763</v>
      </c>
      <c r="C18945" t="s">
        <v>39797</v>
      </c>
      <c r="D18945" t="s">
        <v>20</v>
      </c>
      <c r="E18945" t="s">
        <v>39</v>
      </c>
      <c r="F18945">
        <v>0</v>
      </c>
      <c r="G18945">
        <v>0</v>
      </c>
      <c r="H18945">
        <v>19</v>
      </c>
      <c r="I18945" s="3">
        <v>1013.76</v>
      </c>
      <c r="J18945" s="3">
        <v>759.89</v>
      </c>
      <c r="L18945">
        <v>115</v>
      </c>
      <c r="M18945" t="s">
        <v>41141</v>
      </c>
      <c r="N18945" t="s">
        <v>30</v>
      </c>
      <c r="O18945" t="s">
        <v>31</v>
      </c>
      <c r="P18945" t="str">
        <f>"15223"</f>
        <v>15223</v>
      </c>
    </row>
    <row r="18946" spans="1:16" x14ac:dyDescent="0.25">
      <c r="A18946" t="str">
        <f>"1270075S00280    00"</f>
        <v>1270075S00280    00</v>
      </c>
      <c r="B18946" t="s">
        <v>41142</v>
      </c>
      <c r="C18946" t="s">
        <v>41143</v>
      </c>
      <c r="D18946" t="s">
        <v>20</v>
      </c>
      <c r="E18946" t="s">
        <v>39</v>
      </c>
      <c r="F18946">
        <v>0</v>
      </c>
      <c r="G18946">
        <v>0</v>
      </c>
      <c r="H18946">
        <v>1</v>
      </c>
      <c r="I18946" s="3">
        <v>369.76</v>
      </c>
      <c r="J18946" s="3">
        <v>0</v>
      </c>
      <c r="K18946" t="s">
        <v>41144</v>
      </c>
      <c r="L18946">
        <v>1514</v>
      </c>
      <c r="M18946" t="s">
        <v>39802</v>
      </c>
      <c r="N18946" t="s">
        <v>30</v>
      </c>
      <c r="O18946" t="s">
        <v>31</v>
      </c>
      <c r="P18946" t="str">
        <f>"15212"</f>
        <v>15212</v>
      </c>
    </row>
    <row r="18947" spans="1:16" x14ac:dyDescent="0.25">
      <c r="A18947" t="str">
        <f>"1270075S00293    00"</f>
        <v>1270075S00293    00</v>
      </c>
      <c r="B18947" t="s">
        <v>41145</v>
      </c>
      <c r="C18947" t="s">
        <v>41146</v>
      </c>
      <c r="D18947" t="s">
        <v>20</v>
      </c>
      <c r="E18947" t="s">
        <v>39</v>
      </c>
      <c r="F18947">
        <v>0</v>
      </c>
      <c r="G18947">
        <v>0</v>
      </c>
      <c r="H18947">
        <v>12</v>
      </c>
      <c r="I18947" s="3">
        <v>1158.3399999999999</v>
      </c>
      <c r="J18947" s="3">
        <v>604.76</v>
      </c>
      <c r="L18947">
        <v>930</v>
      </c>
      <c r="M18947" t="s">
        <v>41147</v>
      </c>
      <c r="N18947" t="s">
        <v>30</v>
      </c>
      <c r="O18947" t="s">
        <v>31</v>
      </c>
      <c r="P18947" t="str">
        <f>"15233"</f>
        <v>15233</v>
      </c>
    </row>
    <row r="18948" spans="1:16" x14ac:dyDescent="0.25">
      <c r="A18948" t="str">
        <f>"1270075S00295    00"</f>
        <v>1270075S00295    00</v>
      </c>
      <c r="B18948" t="s">
        <v>39796</v>
      </c>
      <c r="C18948" t="s">
        <v>39799</v>
      </c>
      <c r="D18948" t="s">
        <v>20</v>
      </c>
      <c r="E18948" t="s">
        <v>39</v>
      </c>
      <c r="F18948">
        <v>0</v>
      </c>
      <c r="G18948">
        <v>0</v>
      </c>
      <c r="H18948">
        <v>5</v>
      </c>
      <c r="I18948" s="3">
        <v>1761.58</v>
      </c>
      <c r="J18948" s="3">
        <v>304.35000000000002</v>
      </c>
      <c r="L18948">
        <v>3121</v>
      </c>
      <c r="M18948" t="s">
        <v>39798</v>
      </c>
      <c r="N18948" t="s">
        <v>30</v>
      </c>
      <c r="O18948" t="s">
        <v>31</v>
      </c>
      <c r="P18948" t="str">
        <f>"15212"</f>
        <v>15212</v>
      </c>
    </row>
    <row r="18949" spans="1:16" x14ac:dyDescent="0.25">
      <c r="A18949" t="str">
        <f>"1270075S00296    00"</f>
        <v>1270075S00296    00</v>
      </c>
      <c r="B18949" t="s">
        <v>39796</v>
      </c>
      <c r="C18949" t="s">
        <v>39799</v>
      </c>
      <c r="D18949" t="s">
        <v>20</v>
      </c>
      <c r="E18949" t="s">
        <v>39</v>
      </c>
      <c r="F18949">
        <v>0</v>
      </c>
      <c r="G18949">
        <v>0</v>
      </c>
      <c r="H18949">
        <v>9</v>
      </c>
      <c r="I18949" s="3">
        <v>5487.77</v>
      </c>
      <c r="J18949" s="3">
        <v>2077.98</v>
      </c>
      <c r="L18949">
        <v>3121</v>
      </c>
      <c r="M18949" t="s">
        <v>39798</v>
      </c>
      <c r="N18949" t="s">
        <v>30</v>
      </c>
      <c r="O18949" t="s">
        <v>31</v>
      </c>
      <c r="P18949" t="str">
        <f>"15212"</f>
        <v>15212</v>
      </c>
    </row>
    <row r="18950" spans="1:16" x14ac:dyDescent="0.25">
      <c r="A18950" t="str">
        <f>"1270075S00299    00"</f>
        <v>1270075S00299    00</v>
      </c>
      <c r="B18950" t="s">
        <v>20814</v>
      </c>
      <c r="C18950" t="s">
        <v>41148</v>
      </c>
      <c r="D18950" t="s">
        <v>20</v>
      </c>
      <c r="E18950" t="s">
        <v>39</v>
      </c>
      <c r="F18950">
        <v>0</v>
      </c>
      <c r="G18950">
        <v>0</v>
      </c>
      <c r="H18950">
        <v>6</v>
      </c>
      <c r="I18950" s="3">
        <v>3404.27</v>
      </c>
      <c r="J18950" s="3">
        <v>763.5</v>
      </c>
      <c r="L18950">
        <v>911</v>
      </c>
      <c r="M18950" t="s">
        <v>20816</v>
      </c>
      <c r="N18950" t="s">
        <v>30</v>
      </c>
      <c r="O18950" t="s">
        <v>31</v>
      </c>
      <c r="P18950" t="str">
        <f>"15210"</f>
        <v>15210</v>
      </c>
    </row>
    <row r="18951" spans="1:16" x14ac:dyDescent="0.25">
      <c r="A18951" t="str">
        <f>"1270075S00324    00"</f>
        <v>1270075S00324    00</v>
      </c>
      <c r="B18951" t="s">
        <v>41149</v>
      </c>
      <c r="C18951" t="s">
        <v>41150</v>
      </c>
      <c r="D18951" t="s">
        <v>20</v>
      </c>
      <c r="E18951" t="s">
        <v>39</v>
      </c>
      <c r="F18951">
        <v>0</v>
      </c>
      <c r="G18951">
        <v>0</v>
      </c>
      <c r="H18951">
        <v>1</v>
      </c>
      <c r="I18951" s="3">
        <v>246.19</v>
      </c>
      <c r="J18951" s="3">
        <v>0</v>
      </c>
      <c r="L18951">
        <v>1348</v>
      </c>
      <c r="M18951" t="s">
        <v>41151</v>
      </c>
      <c r="N18951" t="s">
        <v>30</v>
      </c>
      <c r="O18951" t="s">
        <v>31</v>
      </c>
      <c r="P18951" t="str">
        <f>"15212"</f>
        <v>15212</v>
      </c>
    </row>
    <row r="18952" spans="1:16" x14ac:dyDescent="0.25">
      <c r="A18952" t="str">
        <f>"1270075S00329    00"</f>
        <v>1270075S00329    00</v>
      </c>
      <c r="B18952" t="s">
        <v>41152</v>
      </c>
      <c r="C18952" t="s">
        <v>41153</v>
      </c>
      <c r="E18952" t="s">
        <v>39</v>
      </c>
      <c r="F18952">
        <v>0</v>
      </c>
      <c r="G18952">
        <v>0</v>
      </c>
      <c r="H18952">
        <v>10</v>
      </c>
      <c r="I18952" s="3">
        <v>11763.06</v>
      </c>
      <c r="J18952" s="3">
        <v>17153.25</v>
      </c>
      <c r="L18952">
        <v>1366</v>
      </c>
      <c r="M18952" t="s">
        <v>41151</v>
      </c>
      <c r="N18952" t="s">
        <v>30</v>
      </c>
      <c r="O18952" t="s">
        <v>31</v>
      </c>
      <c r="P18952" t="str">
        <f>"15212"</f>
        <v>15212</v>
      </c>
    </row>
    <row r="18953" spans="1:16" x14ac:dyDescent="0.25">
      <c r="A18953" t="str">
        <f>"1270075S00335    00"</f>
        <v>1270075S00335    00</v>
      </c>
      <c r="B18953" t="s">
        <v>41154</v>
      </c>
      <c r="C18953" t="s">
        <v>39797</v>
      </c>
      <c r="D18953" t="s">
        <v>20</v>
      </c>
      <c r="E18953" t="s">
        <v>39</v>
      </c>
      <c r="F18953">
        <v>0</v>
      </c>
      <c r="G18953">
        <v>0</v>
      </c>
      <c r="H18953">
        <v>19</v>
      </c>
      <c r="I18953" s="3">
        <v>6971.94</v>
      </c>
      <c r="J18953" s="3">
        <v>5878.15</v>
      </c>
      <c r="K18953" t="s">
        <v>41155</v>
      </c>
      <c r="L18953">
        <v>285</v>
      </c>
      <c r="M18953" t="s">
        <v>41156</v>
      </c>
      <c r="N18953" t="s">
        <v>41157</v>
      </c>
      <c r="O18953" t="s">
        <v>273</v>
      </c>
      <c r="P18953" t="str">
        <f>"29588"</f>
        <v>29588</v>
      </c>
    </row>
    <row r="18954" spans="1:16" x14ac:dyDescent="0.25">
      <c r="A18954" t="str">
        <f>"1270075S00352    00"</f>
        <v>1270075S00352    00</v>
      </c>
      <c r="B18954" t="s">
        <v>41158</v>
      </c>
      <c r="C18954" t="s">
        <v>39797</v>
      </c>
      <c r="D18954" t="s">
        <v>20</v>
      </c>
      <c r="E18954" t="s">
        <v>39</v>
      </c>
      <c r="F18954">
        <v>0</v>
      </c>
      <c r="G18954">
        <v>0</v>
      </c>
      <c r="H18954">
        <v>2</v>
      </c>
      <c r="I18954" s="3">
        <v>827.22</v>
      </c>
      <c r="J18954" s="3">
        <v>0</v>
      </c>
      <c r="L18954">
        <v>557</v>
      </c>
      <c r="M18954" t="s">
        <v>11623</v>
      </c>
      <c r="N18954" t="s">
        <v>30</v>
      </c>
      <c r="O18954" t="s">
        <v>31</v>
      </c>
      <c r="P18954" t="str">
        <f>"15208"</f>
        <v>15208</v>
      </c>
    </row>
    <row r="18955" spans="1:16" x14ac:dyDescent="0.25">
      <c r="A18955" t="str">
        <f>"1270075S00359    00"</f>
        <v>1270075S00359    00</v>
      </c>
      <c r="B18955" t="s">
        <v>41159</v>
      </c>
      <c r="C18955" t="s">
        <v>41160</v>
      </c>
      <c r="E18955" t="s">
        <v>39</v>
      </c>
      <c r="F18955">
        <v>0</v>
      </c>
      <c r="G18955">
        <v>0</v>
      </c>
      <c r="H18955">
        <v>1</v>
      </c>
      <c r="I18955" s="3">
        <v>482.07</v>
      </c>
      <c r="J18955" s="3">
        <v>192.82</v>
      </c>
      <c r="K18955" t="s">
        <v>41161</v>
      </c>
      <c r="L18955">
        <v>7613</v>
      </c>
      <c r="M18955" t="s">
        <v>18316</v>
      </c>
      <c r="N18955" t="s">
        <v>35230</v>
      </c>
      <c r="O18955" t="s">
        <v>108</v>
      </c>
      <c r="P18955" t="str">
        <f>"76227"</f>
        <v>76227</v>
      </c>
    </row>
    <row r="18956" spans="1:16" x14ac:dyDescent="0.25">
      <c r="A18956" t="str">
        <f>"1270075S00360    00"</f>
        <v>1270075S00360    00</v>
      </c>
      <c r="B18956" t="s">
        <v>41162</v>
      </c>
      <c r="C18956" t="s">
        <v>41163</v>
      </c>
      <c r="D18956" t="s">
        <v>20</v>
      </c>
      <c r="E18956" t="s">
        <v>39</v>
      </c>
      <c r="F18956">
        <v>0</v>
      </c>
      <c r="G18956">
        <v>0</v>
      </c>
      <c r="H18956">
        <v>14</v>
      </c>
      <c r="I18956" s="3">
        <v>8456.07</v>
      </c>
      <c r="J18956" s="3">
        <v>4911.26</v>
      </c>
      <c r="L18956">
        <v>3001</v>
      </c>
      <c r="M18956" t="s">
        <v>28582</v>
      </c>
      <c r="N18956" t="s">
        <v>30</v>
      </c>
      <c r="O18956" t="s">
        <v>31</v>
      </c>
      <c r="P18956" t="str">
        <f>"15227"</f>
        <v>15227</v>
      </c>
    </row>
    <row r="18957" spans="1:16" x14ac:dyDescent="0.25">
      <c r="A18957" t="str">
        <f>"1270075S00366    00"</f>
        <v>1270075S00366    00</v>
      </c>
      <c r="B18957" t="s">
        <v>41154</v>
      </c>
      <c r="C18957" t="s">
        <v>39797</v>
      </c>
      <c r="D18957" t="s">
        <v>20</v>
      </c>
      <c r="E18957" t="s">
        <v>39</v>
      </c>
      <c r="F18957">
        <v>0</v>
      </c>
      <c r="G18957">
        <v>0</v>
      </c>
      <c r="H18957">
        <v>19</v>
      </c>
      <c r="I18957" s="3">
        <v>7327.87</v>
      </c>
      <c r="J18957" s="3">
        <v>6448.3</v>
      </c>
      <c r="K18957" t="s">
        <v>41155</v>
      </c>
      <c r="L18957">
        <v>285</v>
      </c>
      <c r="M18957" t="s">
        <v>41156</v>
      </c>
      <c r="N18957" t="s">
        <v>41157</v>
      </c>
      <c r="O18957" t="s">
        <v>273</v>
      </c>
      <c r="P18957" t="str">
        <f>"29588"</f>
        <v>29588</v>
      </c>
    </row>
    <row r="18958" spans="1:16" x14ac:dyDescent="0.25">
      <c r="A18958" t="str">
        <f>"1270075S00370    00"</f>
        <v>1270075S00370    00</v>
      </c>
      <c r="B18958" t="s">
        <v>41154</v>
      </c>
      <c r="C18958" t="s">
        <v>39797</v>
      </c>
      <c r="D18958" t="s">
        <v>20</v>
      </c>
      <c r="E18958" t="s">
        <v>39</v>
      </c>
      <c r="F18958">
        <v>0</v>
      </c>
      <c r="G18958">
        <v>0</v>
      </c>
      <c r="H18958">
        <v>19</v>
      </c>
      <c r="I18958" s="3">
        <v>8187.14</v>
      </c>
      <c r="J18958" s="3">
        <v>7464.12</v>
      </c>
      <c r="K18958" t="s">
        <v>41155</v>
      </c>
      <c r="L18958">
        <v>285</v>
      </c>
      <c r="M18958" t="s">
        <v>41156</v>
      </c>
      <c r="N18958" t="s">
        <v>41157</v>
      </c>
      <c r="O18958" t="s">
        <v>273</v>
      </c>
      <c r="P18958" t="str">
        <f>"29588"</f>
        <v>29588</v>
      </c>
    </row>
    <row r="18959" spans="1:16" x14ac:dyDescent="0.25">
      <c r="A18959" t="str">
        <f>"1270076A00048    00"</f>
        <v>1270076A00048    00</v>
      </c>
      <c r="B18959" t="s">
        <v>41164</v>
      </c>
      <c r="C18959" t="s">
        <v>41165</v>
      </c>
      <c r="D18959" t="s">
        <v>57</v>
      </c>
      <c r="E18959" t="s">
        <v>39</v>
      </c>
      <c r="F18959">
        <v>0</v>
      </c>
      <c r="G18959">
        <v>0</v>
      </c>
      <c r="H18959">
        <v>1</v>
      </c>
      <c r="I18959" s="3">
        <v>645.78</v>
      </c>
      <c r="J18959" s="3">
        <v>0</v>
      </c>
      <c r="K18959" t="s">
        <v>41166</v>
      </c>
      <c r="L18959">
        <v>1103</v>
      </c>
      <c r="M18959" t="s">
        <v>35751</v>
      </c>
      <c r="N18959" t="s">
        <v>30</v>
      </c>
      <c r="O18959" t="s">
        <v>31</v>
      </c>
      <c r="P18959" t="str">
        <f>"15212"</f>
        <v>15212</v>
      </c>
    </row>
    <row r="18960" spans="1:16" x14ac:dyDescent="0.25">
      <c r="A18960" t="str">
        <f>"1270076A00093    00"</f>
        <v>1270076A00093    00</v>
      </c>
      <c r="B18960" t="s">
        <v>41167</v>
      </c>
      <c r="C18960" t="s">
        <v>41168</v>
      </c>
      <c r="D18960" t="s">
        <v>20</v>
      </c>
      <c r="E18960" t="s">
        <v>39</v>
      </c>
      <c r="F18960">
        <v>0</v>
      </c>
      <c r="G18960">
        <v>0</v>
      </c>
      <c r="H18960">
        <v>7</v>
      </c>
      <c r="I18960" s="3">
        <v>2610</v>
      </c>
      <c r="J18960" s="3">
        <v>721.76</v>
      </c>
      <c r="L18960">
        <v>10489</v>
      </c>
      <c r="M18960" t="s">
        <v>41169</v>
      </c>
      <c r="N18960" t="s">
        <v>264</v>
      </c>
      <c r="O18960" t="s">
        <v>25</v>
      </c>
      <c r="P18960" t="str">
        <f>"45249"</f>
        <v>45249</v>
      </c>
    </row>
    <row r="18961" spans="1:16" x14ac:dyDescent="0.25">
      <c r="A18961" t="str">
        <f>"1270076A00108    00"</f>
        <v>1270076A00108    00</v>
      </c>
      <c r="B18961" t="s">
        <v>41170</v>
      </c>
      <c r="C18961" t="s">
        <v>41171</v>
      </c>
      <c r="D18961" t="s">
        <v>20</v>
      </c>
      <c r="E18961" t="s">
        <v>39</v>
      </c>
      <c r="F18961">
        <v>0</v>
      </c>
      <c r="G18961">
        <v>0</v>
      </c>
      <c r="H18961">
        <v>3</v>
      </c>
      <c r="I18961" s="3">
        <v>2747.72</v>
      </c>
      <c r="J18961" s="3">
        <v>195</v>
      </c>
      <c r="L18961">
        <v>1108</v>
      </c>
      <c r="M18961" t="s">
        <v>37088</v>
      </c>
      <c r="N18961" t="s">
        <v>30</v>
      </c>
      <c r="O18961" t="s">
        <v>31</v>
      </c>
      <c r="P18961" t="str">
        <f>"15212"</f>
        <v>15212</v>
      </c>
    </row>
    <row r="18962" spans="1:16" x14ac:dyDescent="0.25">
      <c r="A18962" t="str">
        <f>"1270076A00112    00"</f>
        <v>1270076A00112    00</v>
      </c>
      <c r="B18962" t="s">
        <v>41172</v>
      </c>
      <c r="C18962" t="s">
        <v>41173</v>
      </c>
      <c r="D18962" t="s">
        <v>20</v>
      </c>
      <c r="E18962" t="s">
        <v>39</v>
      </c>
      <c r="F18962">
        <v>0</v>
      </c>
      <c r="G18962">
        <v>0</v>
      </c>
      <c r="H18962">
        <v>1</v>
      </c>
      <c r="I18962" s="3">
        <v>1488.6</v>
      </c>
      <c r="J18962" s="3">
        <v>0</v>
      </c>
      <c r="L18962">
        <v>1111</v>
      </c>
      <c r="M18962" t="s">
        <v>37088</v>
      </c>
      <c r="N18962" t="s">
        <v>30</v>
      </c>
      <c r="O18962" t="s">
        <v>31</v>
      </c>
      <c r="P18962" t="str">
        <f>"15212"</f>
        <v>15212</v>
      </c>
    </row>
    <row r="18963" spans="1:16" x14ac:dyDescent="0.25">
      <c r="A18963" t="str">
        <f>"1270076A00124    00"</f>
        <v>1270076A00124    00</v>
      </c>
      <c r="B18963" t="s">
        <v>41174</v>
      </c>
      <c r="C18963" t="s">
        <v>41175</v>
      </c>
      <c r="D18963" t="s">
        <v>20</v>
      </c>
      <c r="E18963" t="s">
        <v>39</v>
      </c>
      <c r="F18963">
        <v>0</v>
      </c>
      <c r="G18963">
        <v>0</v>
      </c>
      <c r="H18963">
        <v>8</v>
      </c>
      <c r="I18963" s="3">
        <v>4753.45</v>
      </c>
      <c r="J18963" s="3">
        <v>1912.65</v>
      </c>
      <c r="L18963">
        <v>3550</v>
      </c>
      <c r="M18963" t="s">
        <v>41176</v>
      </c>
      <c r="N18963" t="s">
        <v>30</v>
      </c>
      <c r="O18963" t="s">
        <v>31</v>
      </c>
      <c r="P18963" t="str">
        <f>"15212"</f>
        <v>15212</v>
      </c>
    </row>
    <row r="18964" spans="1:16" x14ac:dyDescent="0.25">
      <c r="A18964" t="str">
        <f>"1270076A00156    00"</f>
        <v>1270076A00156    00</v>
      </c>
      <c r="B18964" t="s">
        <v>41177</v>
      </c>
      <c r="C18964" t="s">
        <v>41178</v>
      </c>
      <c r="E18964" t="s">
        <v>39</v>
      </c>
      <c r="F18964">
        <v>0</v>
      </c>
      <c r="G18964">
        <v>0</v>
      </c>
      <c r="H18964">
        <v>2</v>
      </c>
      <c r="I18964" s="3">
        <v>7646.88</v>
      </c>
      <c r="J18964" s="3">
        <v>95.58</v>
      </c>
      <c r="K18964" t="s">
        <v>4989</v>
      </c>
      <c r="L18964">
        <v>3001</v>
      </c>
      <c r="M18964" t="s">
        <v>330</v>
      </c>
      <c r="N18964" t="s">
        <v>331</v>
      </c>
      <c r="O18964" t="s">
        <v>108</v>
      </c>
      <c r="P18964" t="str">
        <f>"75063"</f>
        <v>75063</v>
      </c>
    </row>
    <row r="18965" spans="1:16" x14ac:dyDescent="0.25">
      <c r="A18965" t="str">
        <f>"1270076A00158    00"</f>
        <v>1270076A00158    00</v>
      </c>
      <c r="B18965" t="s">
        <v>41179</v>
      </c>
      <c r="C18965" t="s">
        <v>41180</v>
      </c>
      <c r="D18965" t="s">
        <v>20</v>
      </c>
      <c r="E18965" t="s">
        <v>39</v>
      </c>
      <c r="F18965">
        <v>0</v>
      </c>
      <c r="G18965">
        <v>0</v>
      </c>
      <c r="H18965">
        <v>2</v>
      </c>
      <c r="I18965" s="3">
        <v>274.45999999999998</v>
      </c>
      <c r="J18965" s="3">
        <v>0</v>
      </c>
      <c r="L18965">
        <v>3530</v>
      </c>
      <c r="M18965" t="s">
        <v>41181</v>
      </c>
      <c r="N18965" t="s">
        <v>30</v>
      </c>
      <c r="O18965" t="s">
        <v>31</v>
      </c>
      <c r="P18965" t="str">
        <f>"15212"</f>
        <v>15212</v>
      </c>
    </row>
    <row r="18966" spans="1:16" x14ac:dyDescent="0.25">
      <c r="A18966" t="str">
        <f>"1270076A00164    00"</f>
        <v>1270076A00164    00</v>
      </c>
      <c r="B18966" t="s">
        <v>41179</v>
      </c>
      <c r="C18966" t="s">
        <v>41182</v>
      </c>
      <c r="D18966" t="s">
        <v>20</v>
      </c>
      <c r="E18966" t="s">
        <v>39</v>
      </c>
      <c r="F18966">
        <v>0</v>
      </c>
      <c r="G18966">
        <v>0</v>
      </c>
      <c r="H18966">
        <v>2</v>
      </c>
      <c r="I18966" s="3">
        <v>1335.2</v>
      </c>
      <c r="J18966" s="3">
        <v>0</v>
      </c>
      <c r="L18966">
        <v>3530</v>
      </c>
      <c r="M18966" t="s">
        <v>41181</v>
      </c>
      <c r="N18966" t="s">
        <v>30</v>
      </c>
      <c r="O18966" t="s">
        <v>31</v>
      </c>
      <c r="P18966" t="str">
        <f>"15212"</f>
        <v>15212</v>
      </c>
    </row>
    <row r="18967" spans="1:16" x14ac:dyDescent="0.25">
      <c r="A18967" t="str">
        <f>"1270076A00168    00"</f>
        <v>1270076A00168    00</v>
      </c>
      <c r="B18967" t="s">
        <v>41183</v>
      </c>
      <c r="C18967" t="s">
        <v>41184</v>
      </c>
      <c r="D18967" t="s">
        <v>20</v>
      </c>
      <c r="E18967" t="s">
        <v>39</v>
      </c>
      <c r="F18967">
        <v>0</v>
      </c>
      <c r="G18967">
        <v>0</v>
      </c>
      <c r="H18967">
        <v>19</v>
      </c>
      <c r="I18967" s="3">
        <v>27054.18</v>
      </c>
      <c r="J18967" s="3">
        <v>24919.75</v>
      </c>
      <c r="K18967" t="s">
        <v>41185</v>
      </c>
      <c r="L18967">
        <v>3516</v>
      </c>
      <c r="M18967" t="s">
        <v>41181</v>
      </c>
      <c r="N18967" t="s">
        <v>30</v>
      </c>
      <c r="O18967" t="s">
        <v>31</v>
      </c>
      <c r="P18967" t="str">
        <f>"15212"</f>
        <v>15212</v>
      </c>
    </row>
    <row r="18968" spans="1:16" x14ac:dyDescent="0.25">
      <c r="A18968" t="str">
        <f>"1270076A00172    00"</f>
        <v>1270076A00172    00</v>
      </c>
      <c r="B18968" t="s">
        <v>41186</v>
      </c>
      <c r="C18968" t="s">
        <v>41187</v>
      </c>
      <c r="D18968" t="s">
        <v>20</v>
      </c>
      <c r="E18968" t="s">
        <v>39</v>
      </c>
      <c r="F18968">
        <v>0</v>
      </c>
      <c r="G18968">
        <v>0</v>
      </c>
      <c r="H18968">
        <v>2</v>
      </c>
      <c r="I18968" s="3">
        <v>1443.53</v>
      </c>
      <c r="J18968" s="3">
        <v>0.61</v>
      </c>
      <c r="L18968">
        <v>3500</v>
      </c>
      <c r="M18968" t="s">
        <v>41181</v>
      </c>
      <c r="N18968" t="s">
        <v>30</v>
      </c>
      <c r="O18968" t="s">
        <v>31</v>
      </c>
      <c r="P18968" t="str">
        <f>"15212"</f>
        <v>15212</v>
      </c>
    </row>
    <row r="18969" spans="1:16" x14ac:dyDescent="0.25">
      <c r="A18969" t="str">
        <f>"1270076A00199    00"</f>
        <v>1270076A00199    00</v>
      </c>
      <c r="B18969" t="s">
        <v>41188</v>
      </c>
      <c r="C18969" t="s">
        <v>41189</v>
      </c>
      <c r="D18969" t="s">
        <v>20</v>
      </c>
      <c r="E18969" t="s">
        <v>39</v>
      </c>
      <c r="F18969">
        <v>0</v>
      </c>
      <c r="G18969">
        <v>0</v>
      </c>
      <c r="H18969">
        <v>2</v>
      </c>
      <c r="I18969" s="3">
        <v>2823.28</v>
      </c>
      <c r="J18969" s="3">
        <v>0</v>
      </c>
      <c r="K18969" t="s">
        <v>8393</v>
      </c>
      <c r="M18969" t="s">
        <v>8394</v>
      </c>
      <c r="N18969" t="s">
        <v>8395</v>
      </c>
      <c r="O18969" t="s">
        <v>1616</v>
      </c>
      <c r="P18969" t="str">
        <f>"57709"</f>
        <v>57709</v>
      </c>
    </row>
    <row r="18970" spans="1:16" x14ac:dyDescent="0.25">
      <c r="A18970" t="str">
        <f>"1270076A00222    00"</f>
        <v>1270076A00222    00</v>
      </c>
      <c r="B18970" t="s">
        <v>35985</v>
      </c>
      <c r="C18970" t="s">
        <v>41190</v>
      </c>
      <c r="D18970" t="s">
        <v>20</v>
      </c>
      <c r="E18970" t="s">
        <v>39</v>
      </c>
      <c r="F18970">
        <v>0</v>
      </c>
      <c r="G18970">
        <v>0</v>
      </c>
      <c r="H18970">
        <v>1</v>
      </c>
      <c r="I18970" s="3">
        <v>734.93</v>
      </c>
      <c r="J18970" s="3">
        <v>0</v>
      </c>
      <c r="M18970" t="s">
        <v>35987</v>
      </c>
      <c r="N18970" t="s">
        <v>2222</v>
      </c>
      <c r="O18970" t="s">
        <v>31</v>
      </c>
      <c r="P18970" t="str">
        <f>"15015"</f>
        <v>15015</v>
      </c>
    </row>
    <row r="18971" spans="1:16" x14ac:dyDescent="0.25">
      <c r="A18971" t="str">
        <f>"1270076A00224    00"</f>
        <v>1270076A00224    00</v>
      </c>
      <c r="B18971" t="s">
        <v>41191</v>
      </c>
      <c r="C18971" t="s">
        <v>41192</v>
      </c>
      <c r="D18971" t="s">
        <v>20</v>
      </c>
      <c r="E18971" t="s">
        <v>39</v>
      </c>
      <c r="F18971">
        <v>0</v>
      </c>
      <c r="G18971">
        <v>0</v>
      </c>
      <c r="H18971">
        <v>3</v>
      </c>
      <c r="I18971" s="3">
        <v>2932.72</v>
      </c>
      <c r="J18971" s="3">
        <v>146.63</v>
      </c>
      <c r="K18971" t="s">
        <v>41193</v>
      </c>
      <c r="L18971">
        <v>8398</v>
      </c>
      <c r="M18971" t="s">
        <v>41194</v>
      </c>
      <c r="N18971" t="s">
        <v>41195</v>
      </c>
      <c r="O18971" t="s">
        <v>370</v>
      </c>
      <c r="P18971" t="str">
        <f>"33065"</f>
        <v>33065</v>
      </c>
    </row>
    <row r="18972" spans="1:16" x14ac:dyDescent="0.25">
      <c r="A18972" t="str">
        <f>"1270076A00226    00"</f>
        <v>1270076A00226    00</v>
      </c>
      <c r="B18972" t="s">
        <v>41196</v>
      </c>
      <c r="C18972" t="s">
        <v>41197</v>
      </c>
      <c r="D18972" t="s">
        <v>20</v>
      </c>
      <c r="E18972" t="s">
        <v>39</v>
      </c>
      <c r="F18972">
        <v>0</v>
      </c>
      <c r="G18972">
        <v>0</v>
      </c>
      <c r="H18972">
        <v>14</v>
      </c>
      <c r="I18972" s="3">
        <v>21811.279999999999</v>
      </c>
      <c r="J18972" s="3">
        <v>13591.99</v>
      </c>
      <c r="L18972">
        <v>1009</v>
      </c>
      <c r="M18972" t="s">
        <v>35190</v>
      </c>
      <c r="N18972" t="s">
        <v>30</v>
      </c>
      <c r="O18972" t="s">
        <v>31</v>
      </c>
      <c r="P18972" t="str">
        <f>"15202"</f>
        <v>15202</v>
      </c>
    </row>
    <row r="18973" spans="1:16" x14ac:dyDescent="0.25">
      <c r="A18973" t="str">
        <f>"1270076A00246    00"</f>
        <v>1270076A00246    00</v>
      </c>
      <c r="B18973" t="s">
        <v>41198</v>
      </c>
      <c r="C18973" t="s">
        <v>41199</v>
      </c>
      <c r="D18973" t="s">
        <v>20</v>
      </c>
      <c r="E18973" t="s">
        <v>39</v>
      </c>
      <c r="F18973">
        <v>0</v>
      </c>
      <c r="G18973">
        <v>0</v>
      </c>
      <c r="H18973">
        <v>19</v>
      </c>
      <c r="I18973" s="3">
        <v>6891.74</v>
      </c>
      <c r="J18973" s="3">
        <v>5903.59</v>
      </c>
      <c r="P18973" t="str">
        <f>""</f>
        <v/>
      </c>
    </row>
    <row r="18974" spans="1:16" x14ac:dyDescent="0.25">
      <c r="A18974" t="str">
        <f>"1270076A00270    00"</f>
        <v>1270076A00270    00</v>
      </c>
      <c r="B18974" t="s">
        <v>41200</v>
      </c>
      <c r="C18974" t="s">
        <v>41201</v>
      </c>
      <c r="D18974" t="s">
        <v>20</v>
      </c>
      <c r="E18974" t="s">
        <v>39</v>
      </c>
      <c r="F18974">
        <v>0</v>
      </c>
      <c r="G18974">
        <v>0</v>
      </c>
      <c r="H18974">
        <v>3</v>
      </c>
      <c r="I18974" s="3">
        <v>6735.81</v>
      </c>
      <c r="J18974" s="3">
        <v>187.1</v>
      </c>
      <c r="K18974" t="s">
        <v>4801</v>
      </c>
      <c r="L18974">
        <v>1</v>
      </c>
      <c r="M18974" t="s">
        <v>4802</v>
      </c>
      <c r="N18974" t="s">
        <v>4803</v>
      </c>
      <c r="O18974" t="s">
        <v>554</v>
      </c>
      <c r="P18974" t="str">
        <f>"26003"</f>
        <v>26003</v>
      </c>
    </row>
    <row r="18975" spans="1:16" x14ac:dyDescent="0.25">
      <c r="A18975" t="str">
        <f>"1270076B00030    00"</f>
        <v>1270076B00030    00</v>
      </c>
      <c r="B18975" t="s">
        <v>41202</v>
      </c>
      <c r="C18975" t="s">
        <v>41010</v>
      </c>
      <c r="D18975" t="s">
        <v>20</v>
      </c>
      <c r="E18975" t="s">
        <v>39</v>
      </c>
      <c r="F18975">
        <v>0</v>
      </c>
      <c r="G18975">
        <v>0</v>
      </c>
      <c r="H18975">
        <v>5</v>
      </c>
      <c r="I18975" s="3">
        <v>2571.7199999999998</v>
      </c>
      <c r="J18975" s="3">
        <v>444.3</v>
      </c>
      <c r="L18975">
        <v>25</v>
      </c>
      <c r="M18975" t="s">
        <v>41203</v>
      </c>
      <c r="N18975" t="s">
        <v>149</v>
      </c>
      <c r="O18975" t="s">
        <v>31</v>
      </c>
      <c r="P18975" t="str">
        <f>"15106"</f>
        <v>15106</v>
      </c>
    </row>
    <row r="18976" spans="1:16" x14ac:dyDescent="0.25">
      <c r="A18976" t="str">
        <f>"1270076B00105    00"</f>
        <v>1270076B00105    00</v>
      </c>
      <c r="B18976" t="s">
        <v>41204</v>
      </c>
      <c r="C18976" t="s">
        <v>41205</v>
      </c>
      <c r="D18976" t="s">
        <v>20</v>
      </c>
      <c r="E18976" t="s">
        <v>39</v>
      </c>
      <c r="F18976">
        <v>0</v>
      </c>
      <c r="G18976">
        <v>0</v>
      </c>
      <c r="H18976">
        <v>1</v>
      </c>
      <c r="I18976" s="3">
        <v>334.03</v>
      </c>
      <c r="J18976" s="3">
        <v>0</v>
      </c>
      <c r="K18976" t="s">
        <v>417</v>
      </c>
      <c r="L18976">
        <v>3001</v>
      </c>
      <c r="M18976" t="s">
        <v>330</v>
      </c>
      <c r="N18976" t="s">
        <v>331</v>
      </c>
      <c r="O18976" t="s">
        <v>108</v>
      </c>
      <c r="P18976" t="str">
        <f>"75063"</f>
        <v>75063</v>
      </c>
    </row>
    <row r="18977" spans="1:16" x14ac:dyDescent="0.25">
      <c r="A18977" t="str">
        <f>"1270076B00107    00"</f>
        <v>1270076B00107    00</v>
      </c>
      <c r="B18977" t="s">
        <v>31998</v>
      </c>
      <c r="C18977" t="s">
        <v>41206</v>
      </c>
      <c r="D18977" t="s">
        <v>20</v>
      </c>
      <c r="E18977" t="s">
        <v>39</v>
      </c>
      <c r="F18977">
        <v>0</v>
      </c>
      <c r="G18977">
        <v>0</v>
      </c>
      <c r="H18977">
        <v>1</v>
      </c>
      <c r="I18977" s="3">
        <v>602.29999999999995</v>
      </c>
      <c r="J18977" s="3">
        <v>0</v>
      </c>
      <c r="K18977" t="s">
        <v>32000</v>
      </c>
      <c r="L18977">
        <v>126</v>
      </c>
      <c r="M18977" t="s">
        <v>32001</v>
      </c>
      <c r="N18977" t="s">
        <v>30</v>
      </c>
      <c r="O18977" t="s">
        <v>31</v>
      </c>
      <c r="P18977" t="str">
        <f>"15237"</f>
        <v>15237</v>
      </c>
    </row>
    <row r="18978" spans="1:16" x14ac:dyDescent="0.25">
      <c r="A18978" t="str">
        <f>"1270076B00109    00"</f>
        <v>1270076B00109    00</v>
      </c>
      <c r="B18978" t="s">
        <v>41207</v>
      </c>
      <c r="C18978" t="s">
        <v>41208</v>
      </c>
      <c r="D18978" t="s">
        <v>20</v>
      </c>
      <c r="E18978" t="s">
        <v>39</v>
      </c>
      <c r="F18978">
        <v>0</v>
      </c>
      <c r="G18978">
        <v>0</v>
      </c>
      <c r="H18978">
        <v>1</v>
      </c>
      <c r="I18978" s="3">
        <v>30.84</v>
      </c>
      <c r="J18978" s="3">
        <v>0</v>
      </c>
      <c r="L18978">
        <v>959</v>
      </c>
      <c r="M18978" t="s">
        <v>37737</v>
      </c>
      <c r="N18978" t="s">
        <v>30</v>
      </c>
      <c r="O18978" t="s">
        <v>31</v>
      </c>
      <c r="P18978" t="str">
        <f>"15212"</f>
        <v>15212</v>
      </c>
    </row>
    <row r="18979" spans="1:16" x14ac:dyDescent="0.25">
      <c r="A18979" t="str">
        <f>"1270076B00111    00"</f>
        <v>1270076B00111    00</v>
      </c>
      <c r="B18979" t="s">
        <v>41209</v>
      </c>
      <c r="C18979" t="s">
        <v>41210</v>
      </c>
      <c r="D18979" t="s">
        <v>20</v>
      </c>
      <c r="E18979" t="s">
        <v>39</v>
      </c>
      <c r="F18979">
        <v>0</v>
      </c>
      <c r="G18979">
        <v>0</v>
      </c>
      <c r="H18979">
        <v>5</v>
      </c>
      <c r="I18979" s="3">
        <v>1901.45</v>
      </c>
      <c r="J18979" s="3">
        <v>206.7</v>
      </c>
      <c r="L18979">
        <v>955</v>
      </c>
      <c r="M18979" t="s">
        <v>37737</v>
      </c>
      <c r="N18979" t="s">
        <v>30</v>
      </c>
      <c r="O18979" t="s">
        <v>31</v>
      </c>
      <c r="P18979" t="str">
        <f>"15212"</f>
        <v>15212</v>
      </c>
    </row>
    <row r="18980" spans="1:16" x14ac:dyDescent="0.25">
      <c r="A18980" t="str">
        <f>"1270076B00124    00"</f>
        <v>1270076B00124    00</v>
      </c>
      <c r="B18980" t="s">
        <v>41211</v>
      </c>
      <c r="C18980" t="s">
        <v>41212</v>
      </c>
      <c r="E18980" t="s">
        <v>39</v>
      </c>
      <c r="F18980">
        <v>0</v>
      </c>
      <c r="G18980">
        <v>0</v>
      </c>
      <c r="H18980">
        <v>2</v>
      </c>
      <c r="I18980" s="3">
        <v>169.58</v>
      </c>
      <c r="J18980" s="3">
        <v>51.08</v>
      </c>
      <c r="L18980">
        <v>814</v>
      </c>
      <c r="M18980" t="s">
        <v>37737</v>
      </c>
      <c r="N18980" t="s">
        <v>30</v>
      </c>
      <c r="O18980" t="s">
        <v>31</v>
      </c>
      <c r="P18980" t="str">
        <f>"15212"</f>
        <v>15212</v>
      </c>
    </row>
    <row r="18981" spans="1:16" x14ac:dyDescent="0.25">
      <c r="A18981" t="str">
        <f>"1270076B00147    00"</f>
        <v>1270076B00147    00</v>
      </c>
      <c r="B18981" t="s">
        <v>41213</v>
      </c>
      <c r="C18981" t="s">
        <v>41214</v>
      </c>
      <c r="D18981" t="s">
        <v>20</v>
      </c>
      <c r="E18981" t="s">
        <v>39</v>
      </c>
      <c r="F18981">
        <v>0</v>
      </c>
      <c r="G18981">
        <v>0</v>
      </c>
      <c r="H18981">
        <v>3</v>
      </c>
      <c r="I18981" s="3">
        <v>2430.1799999999998</v>
      </c>
      <c r="J18981" s="3">
        <v>162.01</v>
      </c>
      <c r="L18981">
        <v>208</v>
      </c>
      <c r="M18981" t="s">
        <v>41215</v>
      </c>
      <c r="N18981" t="s">
        <v>321</v>
      </c>
      <c r="O18981" t="s">
        <v>31</v>
      </c>
      <c r="P18981" t="str">
        <f>"15001"</f>
        <v>15001</v>
      </c>
    </row>
    <row r="18982" spans="1:16" x14ac:dyDescent="0.25">
      <c r="A18982" t="str">
        <f>"1270076B00153    00"</f>
        <v>1270076B00153    00</v>
      </c>
      <c r="B18982" t="s">
        <v>41216</v>
      </c>
      <c r="C18982" t="s">
        <v>41010</v>
      </c>
      <c r="D18982" t="s">
        <v>20</v>
      </c>
      <c r="E18982" t="s">
        <v>39</v>
      </c>
      <c r="F18982">
        <v>0</v>
      </c>
      <c r="G18982">
        <v>0</v>
      </c>
      <c r="H18982">
        <v>19</v>
      </c>
      <c r="I18982" s="3">
        <v>5999.05</v>
      </c>
      <c r="J18982" s="3">
        <v>5140.78</v>
      </c>
      <c r="L18982">
        <v>2108</v>
      </c>
      <c r="M18982" t="s">
        <v>33703</v>
      </c>
      <c r="N18982" t="s">
        <v>30</v>
      </c>
      <c r="O18982" t="s">
        <v>31</v>
      </c>
      <c r="P18982" t="str">
        <f>"15212"</f>
        <v>15212</v>
      </c>
    </row>
    <row r="18983" spans="1:16" x14ac:dyDescent="0.25">
      <c r="A18983" t="str">
        <f>"1270076B00161    00"</f>
        <v>1270076B00161    00</v>
      </c>
      <c r="B18983" t="s">
        <v>41217</v>
      </c>
      <c r="C18983" t="s">
        <v>41218</v>
      </c>
      <c r="D18983" t="s">
        <v>20</v>
      </c>
      <c r="E18983" t="s">
        <v>39</v>
      </c>
      <c r="F18983">
        <v>0</v>
      </c>
      <c r="G18983">
        <v>0</v>
      </c>
      <c r="H18983">
        <v>19</v>
      </c>
      <c r="I18983" s="3">
        <v>6263.98</v>
      </c>
      <c r="J18983" s="3">
        <v>5099.71</v>
      </c>
      <c r="P18983" t="str">
        <f>""</f>
        <v/>
      </c>
    </row>
    <row r="18984" spans="1:16" x14ac:dyDescent="0.25">
      <c r="A18984" t="str">
        <f>"1270076B00164    00"</f>
        <v>1270076B00164    00</v>
      </c>
      <c r="B18984" t="s">
        <v>41219</v>
      </c>
      <c r="C18984" t="s">
        <v>41220</v>
      </c>
      <c r="D18984" t="s">
        <v>20</v>
      </c>
      <c r="E18984" t="s">
        <v>39</v>
      </c>
      <c r="F18984">
        <v>0</v>
      </c>
      <c r="G18984">
        <v>0</v>
      </c>
      <c r="H18984">
        <v>17</v>
      </c>
      <c r="I18984" s="3">
        <v>6518.09</v>
      </c>
      <c r="J18984" s="3">
        <v>6677.26</v>
      </c>
      <c r="L18984">
        <v>3503</v>
      </c>
      <c r="M18984" t="s">
        <v>41221</v>
      </c>
      <c r="N18984" t="s">
        <v>30</v>
      </c>
      <c r="O18984" t="s">
        <v>31</v>
      </c>
      <c r="P18984" t="str">
        <f>"15212"</f>
        <v>15212</v>
      </c>
    </row>
    <row r="18985" spans="1:16" x14ac:dyDescent="0.25">
      <c r="A18985" t="str">
        <f>"1270076B00168    00"</f>
        <v>1270076B00168    00</v>
      </c>
      <c r="B18985" t="s">
        <v>41219</v>
      </c>
      <c r="C18985" t="s">
        <v>41218</v>
      </c>
      <c r="D18985" t="s">
        <v>20</v>
      </c>
      <c r="E18985" t="s">
        <v>39</v>
      </c>
      <c r="F18985">
        <v>0</v>
      </c>
      <c r="G18985">
        <v>0</v>
      </c>
      <c r="H18985">
        <v>13</v>
      </c>
      <c r="I18985" s="3">
        <v>4506.45</v>
      </c>
      <c r="J18985" s="3">
        <v>2410.61</v>
      </c>
      <c r="L18985">
        <v>3503</v>
      </c>
      <c r="M18985" t="s">
        <v>41221</v>
      </c>
      <c r="N18985" t="s">
        <v>30</v>
      </c>
      <c r="O18985" t="s">
        <v>31</v>
      </c>
      <c r="P18985" t="str">
        <f>"15212"</f>
        <v>15212</v>
      </c>
    </row>
    <row r="18986" spans="1:16" x14ac:dyDescent="0.25">
      <c r="A18986" t="str">
        <f>"1270076B00201    00"</f>
        <v>1270076B00201    00</v>
      </c>
      <c r="B18986" t="s">
        <v>41222</v>
      </c>
      <c r="C18986" t="s">
        <v>41223</v>
      </c>
      <c r="D18986" t="s">
        <v>20</v>
      </c>
      <c r="E18986" t="s">
        <v>39</v>
      </c>
      <c r="F18986">
        <v>0</v>
      </c>
      <c r="G18986">
        <v>0</v>
      </c>
      <c r="H18986">
        <v>3</v>
      </c>
      <c r="I18986" s="3">
        <v>526.04999999999995</v>
      </c>
      <c r="J18986" s="3">
        <v>35.07</v>
      </c>
      <c r="K18986" t="s">
        <v>25159</v>
      </c>
      <c r="L18986">
        <v>3001</v>
      </c>
      <c r="M18986" t="s">
        <v>330</v>
      </c>
      <c r="N18986" t="s">
        <v>331</v>
      </c>
      <c r="O18986" t="s">
        <v>108</v>
      </c>
      <c r="P18986" t="str">
        <f>"75063"</f>
        <v>75063</v>
      </c>
    </row>
    <row r="18987" spans="1:16" x14ac:dyDescent="0.25">
      <c r="A18987" t="str">
        <f>"1270076E00002    00"</f>
        <v>1270076E00002    00</v>
      </c>
      <c r="B18987" t="s">
        <v>41224</v>
      </c>
      <c r="C18987" t="s">
        <v>41225</v>
      </c>
      <c r="D18987" t="s">
        <v>20</v>
      </c>
      <c r="E18987" t="s">
        <v>39</v>
      </c>
      <c r="F18987">
        <v>0</v>
      </c>
      <c r="G18987">
        <v>0</v>
      </c>
      <c r="H18987">
        <v>19</v>
      </c>
      <c r="I18987" s="3">
        <v>1715.97</v>
      </c>
      <c r="J18987" s="3">
        <v>2031.91</v>
      </c>
      <c r="L18987">
        <v>807</v>
      </c>
      <c r="M18987" t="s">
        <v>41226</v>
      </c>
      <c r="N18987" t="s">
        <v>2008</v>
      </c>
      <c r="O18987" t="s">
        <v>31</v>
      </c>
      <c r="P18987" t="str">
        <f>"16066"</f>
        <v>16066</v>
      </c>
    </row>
    <row r="18988" spans="1:16" x14ac:dyDescent="0.25">
      <c r="A18988" t="str">
        <f>"1270076E00018    00"</f>
        <v>1270076E00018    00</v>
      </c>
      <c r="B18988" t="s">
        <v>41227</v>
      </c>
      <c r="C18988" t="s">
        <v>41228</v>
      </c>
      <c r="E18988" t="s">
        <v>21</v>
      </c>
      <c r="F18988">
        <v>0</v>
      </c>
      <c r="G18988">
        <v>0</v>
      </c>
      <c r="H18988">
        <v>1</v>
      </c>
      <c r="I18988" s="3">
        <v>703.16</v>
      </c>
      <c r="J18988" s="3">
        <v>853.77</v>
      </c>
      <c r="K18988" t="s">
        <v>41229</v>
      </c>
      <c r="L18988">
        <v>1642</v>
      </c>
      <c r="M18988" t="s">
        <v>41230</v>
      </c>
      <c r="N18988" t="s">
        <v>30</v>
      </c>
      <c r="O18988" t="s">
        <v>31</v>
      </c>
      <c r="P18988" t="str">
        <f>"15237"</f>
        <v>15237</v>
      </c>
    </row>
    <row r="18989" spans="1:16" x14ac:dyDescent="0.25">
      <c r="A18989" t="str">
        <f>"1270076E00020    00"</f>
        <v>1270076E00020    00</v>
      </c>
      <c r="B18989" t="s">
        <v>41231</v>
      </c>
      <c r="C18989" t="s">
        <v>41232</v>
      </c>
      <c r="E18989" t="s">
        <v>39</v>
      </c>
      <c r="F18989">
        <v>0</v>
      </c>
      <c r="G18989">
        <v>0</v>
      </c>
      <c r="H18989">
        <v>1</v>
      </c>
      <c r="I18989" s="3">
        <v>675.48</v>
      </c>
      <c r="J18989" s="3">
        <v>0</v>
      </c>
      <c r="L18989">
        <v>1113</v>
      </c>
      <c r="M18989" t="s">
        <v>37737</v>
      </c>
      <c r="N18989" t="s">
        <v>30</v>
      </c>
      <c r="O18989" t="s">
        <v>31</v>
      </c>
      <c r="P18989" t="str">
        <f>"15212"</f>
        <v>15212</v>
      </c>
    </row>
    <row r="18990" spans="1:16" x14ac:dyDescent="0.25">
      <c r="A18990" t="str">
        <f>"1270076E00026    00"</f>
        <v>1270076E00026    00</v>
      </c>
      <c r="B18990" t="s">
        <v>41233</v>
      </c>
      <c r="C18990" t="s">
        <v>41234</v>
      </c>
      <c r="D18990" t="s">
        <v>20</v>
      </c>
      <c r="E18990" t="s">
        <v>39</v>
      </c>
      <c r="F18990">
        <v>0</v>
      </c>
      <c r="G18990">
        <v>0</v>
      </c>
      <c r="H18990">
        <v>2</v>
      </c>
      <c r="I18990" s="3">
        <v>979.7</v>
      </c>
      <c r="J18990" s="3">
        <v>0</v>
      </c>
      <c r="L18990">
        <v>219</v>
      </c>
      <c r="M18990" t="s">
        <v>39818</v>
      </c>
      <c r="N18990" t="s">
        <v>30</v>
      </c>
      <c r="O18990" t="s">
        <v>31</v>
      </c>
      <c r="P18990" t="str">
        <f>"15237"</f>
        <v>15237</v>
      </c>
    </row>
    <row r="18991" spans="1:16" x14ac:dyDescent="0.25">
      <c r="A18991" t="str">
        <f>"1270076E00027    00"</f>
        <v>1270076E00027    00</v>
      </c>
      <c r="B18991" t="s">
        <v>41235</v>
      </c>
      <c r="C18991" t="s">
        <v>41236</v>
      </c>
      <c r="D18991" t="s">
        <v>20</v>
      </c>
      <c r="E18991" t="s">
        <v>39</v>
      </c>
      <c r="F18991">
        <v>0</v>
      </c>
      <c r="G18991">
        <v>0</v>
      </c>
      <c r="H18991">
        <v>19</v>
      </c>
      <c r="I18991" s="3">
        <v>12397.31</v>
      </c>
      <c r="J18991" s="3">
        <v>12462.35</v>
      </c>
      <c r="L18991">
        <v>1158</v>
      </c>
      <c r="M18991" t="s">
        <v>35751</v>
      </c>
      <c r="N18991" t="s">
        <v>30</v>
      </c>
      <c r="O18991" t="s">
        <v>31</v>
      </c>
      <c r="P18991" t="str">
        <f>"15212"</f>
        <v>15212</v>
      </c>
    </row>
    <row r="18992" spans="1:16" x14ac:dyDescent="0.25">
      <c r="A18992" t="str">
        <f>"1270076E00039    00"</f>
        <v>1270076E00039    00</v>
      </c>
      <c r="B18992" t="s">
        <v>41237</v>
      </c>
      <c r="C18992" t="s">
        <v>41238</v>
      </c>
      <c r="D18992" t="s">
        <v>20</v>
      </c>
      <c r="E18992" t="s">
        <v>39</v>
      </c>
      <c r="F18992">
        <v>0</v>
      </c>
      <c r="G18992">
        <v>0</v>
      </c>
      <c r="H18992">
        <v>1</v>
      </c>
      <c r="I18992" s="3">
        <v>145.77000000000001</v>
      </c>
      <c r="J18992" s="3">
        <v>0</v>
      </c>
      <c r="L18992">
        <v>3416</v>
      </c>
      <c r="M18992" t="s">
        <v>41239</v>
      </c>
      <c r="N18992" t="s">
        <v>30</v>
      </c>
      <c r="O18992" t="s">
        <v>31</v>
      </c>
      <c r="P18992" t="str">
        <f>"15212"</f>
        <v>15212</v>
      </c>
    </row>
    <row r="18993" spans="1:16" x14ac:dyDescent="0.25">
      <c r="A18993" t="str">
        <f>"1270076E00041    00"</f>
        <v>1270076E00041    00</v>
      </c>
      <c r="B18993" t="s">
        <v>41240</v>
      </c>
      <c r="C18993" t="s">
        <v>41241</v>
      </c>
      <c r="E18993" t="s">
        <v>39</v>
      </c>
      <c r="F18993">
        <v>0</v>
      </c>
      <c r="G18993">
        <v>0</v>
      </c>
      <c r="H18993">
        <v>1</v>
      </c>
      <c r="I18993" s="3">
        <v>953</v>
      </c>
      <c r="J18993" s="3">
        <v>0</v>
      </c>
      <c r="L18993">
        <v>3422</v>
      </c>
      <c r="M18993" t="s">
        <v>41242</v>
      </c>
      <c r="N18993" t="s">
        <v>30</v>
      </c>
      <c r="O18993" t="s">
        <v>31</v>
      </c>
      <c r="P18993" t="str">
        <f>"15212"</f>
        <v>15212</v>
      </c>
    </row>
    <row r="18994" spans="1:16" x14ac:dyDescent="0.25">
      <c r="A18994" t="str">
        <f>"1270076E00066    00"</f>
        <v>1270076E00066    00</v>
      </c>
      <c r="B18994" t="s">
        <v>30497</v>
      </c>
      <c r="C18994" t="s">
        <v>41243</v>
      </c>
      <c r="D18994" t="s">
        <v>20</v>
      </c>
      <c r="E18994" t="s">
        <v>39</v>
      </c>
      <c r="F18994">
        <v>0</v>
      </c>
      <c r="G18994">
        <v>0</v>
      </c>
      <c r="H18994">
        <v>15</v>
      </c>
      <c r="I18994" s="3">
        <v>4778.3100000000004</v>
      </c>
      <c r="J18994" s="3">
        <v>3057.33</v>
      </c>
      <c r="M18994" t="s">
        <v>40567</v>
      </c>
      <c r="N18994" t="s">
        <v>16695</v>
      </c>
      <c r="O18994" t="s">
        <v>495</v>
      </c>
      <c r="P18994" t="str">
        <f>"92623"</f>
        <v>92623</v>
      </c>
    </row>
    <row r="18995" spans="1:16" x14ac:dyDescent="0.25">
      <c r="A18995" t="str">
        <f>"1270076E00072    00"</f>
        <v>1270076E00072    00</v>
      </c>
      <c r="B18995" t="s">
        <v>41244</v>
      </c>
      <c r="C18995" t="s">
        <v>41245</v>
      </c>
      <c r="D18995" t="s">
        <v>20</v>
      </c>
      <c r="E18995" t="s">
        <v>39</v>
      </c>
      <c r="F18995">
        <v>0</v>
      </c>
      <c r="G18995">
        <v>0</v>
      </c>
      <c r="H18995">
        <v>12</v>
      </c>
      <c r="I18995" s="3">
        <v>3918.55</v>
      </c>
      <c r="J18995" s="3">
        <v>1999.76</v>
      </c>
      <c r="K18995" t="s">
        <v>41246</v>
      </c>
      <c r="L18995">
        <v>805</v>
      </c>
      <c r="M18995" t="s">
        <v>41247</v>
      </c>
      <c r="N18995" t="s">
        <v>1067</v>
      </c>
      <c r="O18995" t="s">
        <v>31</v>
      </c>
      <c r="P18995" t="str">
        <f>"15143"</f>
        <v>15143</v>
      </c>
    </row>
    <row r="18996" spans="1:16" x14ac:dyDescent="0.25">
      <c r="A18996" t="str">
        <f>"1270076E00089A   00"</f>
        <v>1270076E00089A   00</v>
      </c>
      <c r="B18996" t="s">
        <v>41248</v>
      </c>
      <c r="C18996" t="s">
        <v>41249</v>
      </c>
      <c r="D18996" t="s">
        <v>20</v>
      </c>
      <c r="E18996" t="s">
        <v>39</v>
      </c>
      <c r="F18996">
        <v>0</v>
      </c>
      <c r="G18996">
        <v>0</v>
      </c>
      <c r="H18996">
        <v>1</v>
      </c>
      <c r="I18996" s="3">
        <v>315</v>
      </c>
      <c r="J18996" s="3">
        <v>0</v>
      </c>
      <c r="L18996">
        <v>3443</v>
      </c>
      <c r="M18996" t="s">
        <v>41176</v>
      </c>
      <c r="N18996" t="s">
        <v>30</v>
      </c>
      <c r="O18996" t="s">
        <v>31</v>
      </c>
      <c r="P18996" t="str">
        <f>"15212"</f>
        <v>15212</v>
      </c>
    </row>
    <row r="18997" spans="1:16" x14ac:dyDescent="0.25">
      <c r="A18997" t="str">
        <f>"1270076E00091    00"</f>
        <v>1270076E00091    00</v>
      </c>
      <c r="B18997" t="s">
        <v>41250</v>
      </c>
      <c r="C18997" t="s">
        <v>41251</v>
      </c>
      <c r="D18997" t="s">
        <v>20</v>
      </c>
      <c r="E18997" t="s">
        <v>39</v>
      </c>
      <c r="F18997">
        <v>0</v>
      </c>
      <c r="G18997">
        <v>0</v>
      </c>
      <c r="H18997">
        <v>1</v>
      </c>
      <c r="I18997" s="3">
        <v>940.12</v>
      </c>
      <c r="J18997" s="3">
        <v>0</v>
      </c>
      <c r="L18997">
        <v>3445</v>
      </c>
      <c r="M18997" t="s">
        <v>41176</v>
      </c>
      <c r="N18997" t="s">
        <v>30</v>
      </c>
      <c r="O18997" t="s">
        <v>31</v>
      </c>
      <c r="P18997" t="str">
        <f>"15212"</f>
        <v>15212</v>
      </c>
    </row>
    <row r="18998" spans="1:16" x14ac:dyDescent="0.25">
      <c r="A18998" t="str">
        <f>"1270076E00096    00"</f>
        <v>1270076E00096    00</v>
      </c>
      <c r="B18998" t="s">
        <v>41252</v>
      </c>
      <c r="C18998" t="s">
        <v>41245</v>
      </c>
      <c r="E18998" t="s">
        <v>39</v>
      </c>
      <c r="F18998">
        <v>0</v>
      </c>
      <c r="G18998">
        <v>0</v>
      </c>
      <c r="H18998">
        <v>2</v>
      </c>
      <c r="I18998" s="3">
        <v>242.63</v>
      </c>
      <c r="J18998" s="3">
        <v>151.18</v>
      </c>
      <c r="L18998">
        <v>3459</v>
      </c>
      <c r="M18998" t="s">
        <v>41242</v>
      </c>
      <c r="N18998" t="s">
        <v>30</v>
      </c>
      <c r="O18998" t="s">
        <v>31</v>
      </c>
      <c r="P18998" t="str">
        <f>"15212"</f>
        <v>15212</v>
      </c>
    </row>
    <row r="18999" spans="1:16" x14ac:dyDescent="0.25">
      <c r="A18999" t="str">
        <f>"1270076E00104    00"</f>
        <v>1270076E00104    00</v>
      </c>
      <c r="B18999" t="s">
        <v>41253</v>
      </c>
      <c r="C18999" t="s">
        <v>41243</v>
      </c>
      <c r="D18999" t="s">
        <v>20</v>
      </c>
      <c r="E18999" t="s">
        <v>39</v>
      </c>
      <c r="F18999">
        <v>0</v>
      </c>
      <c r="G18999">
        <v>0</v>
      </c>
      <c r="H18999">
        <v>19</v>
      </c>
      <c r="I18999" s="3">
        <v>6592.68</v>
      </c>
      <c r="J18999" s="3">
        <v>6197.39</v>
      </c>
      <c r="K18999" t="s">
        <v>41254</v>
      </c>
      <c r="L18999">
        <v>5621</v>
      </c>
      <c r="M18999" t="s">
        <v>18814</v>
      </c>
      <c r="N18999" t="s">
        <v>30</v>
      </c>
      <c r="O18999" t="s">
        <v>31</v>
      </c>
      <c r="P18999" t="str">
        <f>"15217"</f>
        <v>15217</v>
      </c>
    </row>
    <row r="19000" spans="1:16" x14ac:dyDescent="0.25">
      <c r="A19000" t="str">
        <f>"1270076E00176    00"</f>
        <v>1270076E00176    00</v>
      </c>
      <c r="B19000" t="s">
        <v>41255</v>
      </c>
      <c r="C19000" t="s">
        <v>41256</v>
      </c>
      <c r="D19000" t="s">
        <v>20</v>
      </c>
      <c r="E19000" t="s">
        <v>39</v>
      </c>
      <c r="F19000">
        <v>0</v>
      </c>
      <c r="G19000">
        <v>0</v>
      </c>
      <c r="H19000">
        <v>16</v>
      </c>
      <c r="I19000" s="3">
        <v>11381.95</v>
      </c>
      <c r="J19000" s="3">
        <v>10752.24</v>
      </c>
      <c r="L19000">
        <v>3327</v>
      </c>
      <c r="M19000" t="s">
        <v>41239</v>
      </c>
      <c r="N19000" t="s">
        <v>30</v>
      </c>
      <c r="O19000" t="s">
        <v>31</v>
      </c>
      <c r="P19000" t="str">
        <f>"15212"</f>
        <v>15212</v>
      </c>
    </row>
    <row r="19001" spans="1:16" x14ac:dyDescent="0.25">
      <c r="A19001" t="str">
        <f>"1270076E00177    00"</f>
        <v>1270076E00177    00</v>
      </c>
      <c r="B19001" t="s">
        <v>41257</v>
      </c>
      <c r="C19001" t="s">
        <v>41243</v>
      </c>
      <c r="D19001" t="s">
        <v>20</v>
      </c>
      <c r="E19001" t="s">
        <v>39</v>
      </c>
      <c r="F19001">
        <v>0</v>
      </c>
      <c r="G19001">
        <v>0</v>
      </c>
      <c r="H19001">
        <v>15</v>
      </c>
      <c r="I19001" s="3">
        <v>1604.7</v>
      </c>
      <c r="J19001" s="3">
        <v>1811.73</v>
      </c>
      <c r="L19001">
        <v>3416</v>
      </c>
      <c r="M19001" t="s">
        <v>40880</v>
      </c>
      <c r="N19001" t="s">
        <v>30</v>
      </c>
      <c r="O19001" t="s">
        <v>31</v>
      </c>
      <c r="P19001" t="str">
        <f>"15212"</f>
        <v>15212</v>
      </c>
    </row>
    <row r="19002" spans="1:16" x14ac:dyDescent="0.25">
      <c r="A19002" t="str">
        <f>"1270076E00178    00"</f>
        <v>1270076E00178    00</v>
      </c>
      <c r="B19002" t="s">
        <v>37381</v>
      </c>
      <c r="C19002" t="s">
        <v>41258</v>
      </c>
      <c r="D19002" t="s">
        <v>20</v>
      </c>
      <c r="E19002" t="s">
        <v>39</v>
      </c>
      <c r="F19002">
        <v>0</v>
      </c>
      <c r="G19002">
        <v>0</v>
      </c>
      <c r="H19002">
        <v>2</v>
      </c>
      <c r="I19002" s="3">
        <v>580.41999999999996</v>
      </c>
      <c r="J19002" s="3">
        <v>0</v>
      </c>
      <c r="L19002">
        <v>3338</v>
      </c>
      <c r="M19002" t="s">
        <v>13961</v>
      </c>
      <c r="N19002" t="s">
        <v>30</v>
      </c>
      <c r="O19002" t="s">
        <v>31</v>
      </c>
      <c r="P19002" t="str">
        <f>"15212"</f>
        <v>15212</v>
      </c>
    </row>
    <row r="19003" spans="1:16" x14ac:dyDescent="0.25">
      <c r="A19003" t="str">
        <f>"1270076E00180    00"</f>
        <v>1270076E00180    00</v>
      </c>
      <c r="B19003" t="s">
        <v>41259</v>
      </c>
      <c r="C19003" t="s">
        <v>41260</v>
      </c>
      <c r="D19003" t="s">
        <v>20</v>
      </c>
      <c r="E19003" t="s">
        <v>39</v>
      </c>
      <c r="F19003">
        <v>0</v>
      </c>
      <c r="G19003">
        <v>0</v>
      </c>
      <c r="H19003">
        <v>3</v>
      </c>
      <c r="I19003" s="3">
        <v>5866.73</v>
      </c>
      <c r="J19003" s="3">
        <v>254.64</v>
      </c>
      <c r="L19003">
        <v>1150</v>
      </c>
      <c r="M19003" t="s">
        <v>20800</v>
      </c>
      <c r="N19003" t="s">
        <v>163</v>
      </c>
      <c r="O19003" t="s">
        <v>31</v>
      </c>
      <c r="P19003" t="str">
        <f>"19406"</f>
        <v>19406</v>
      </c>
    </row>
    <row r="19004" spans="1:16" x14ac:dyDescent="0.25">
      <c r="A19004" t="str">
        <f>"1270076E00236    00"</f>
        <v>1270076E00236    00</v>
      </c>
      <c r="B19004" t="s">
        <v>41261</v>
      </c>
      <c r="C19004" t="s">
        <v>41262</v>
      </c>
      <c r="D19004" t="s">
        <v>20</v>
      </c>
      <c r="E19004" t="s">
        <v>39</v>
      </c>
      <c r="F19004">
        <v>0</v>
      </c>
      <c r="G19004">
        <v>0</v>
      </c>
      <c r="H19004">
        <v>1</v>
      </c>
      <c r="I19004" s="3">
        <v>776.2</v>
      </c>
      <c r="J19004" s="3">
        <v>0</v>
      </c>
      <c r="K19004" t="s">
        <v>1632</v>
      </c>
      <c r="L19004">
        <v>3001</v>
      </c>
      <c r="M19004" t="s">
        <v>330</v>
      </c>
      <c r="N19004" t="s">
        <v>331</v>
      </c>
      <c r="O19004" t="s">
        <v>108</v>
      </c>
      <c r="P19004" t="str">
        <f>"75063"</f>
        <v>75063</v>
      </c>
    </row>
    <row r="19005" spans="1:16" x14ac:dyDescent="0.25">
      <c r="A19005" t="str">
        <f>"1270076F00003    00"</f>
        <v>1270076F00003    00</v>
      </c>
      <c r="B19005" t="s">
        <v>30534</v>
      </c>
      <c r="C19005" t="s">
        <v>41245</v>
      </c>
      <c r="D19005" t="s">
        <v>20</v>
      </c>
      <c r="E19005" t="s">
        <v>39</v>
      </c>
      <c r="F19005">
        <v>0</v>
      </c>
      <c r="G19005">
        <v>0</v>
      </c>
      <c r="H19005">
        <v>19</v>
      </c>
      <c r="I19005" s="3">
        <v>3150.84</v>
      </c>
      <c r="J19005" s="3">
        <v>2627.78</v>
      </c>
      <c r="K19005" t="s">
        <v>30532</v>
      </c>
      <c r="L19005">
        <v>988</v>
      </c>
      <c r="M19005" t="s">
        <v>30533</v>
      </c>
      <c r="N19005" t="s">
        <v>30</v>
      </c>
      <c r="O19005" t="s">
        <v>31</v>
      </c>
      <c r="P19005" t="str">
        <f>"15237"</f>
        <v>15237</v>
      </c>
    </row>
    <row r="19006" spans="1:16" x14ac:dyDescent="0.25">
      <c r="A19006" t="str">
        <f>"1270076F00004    00"</f>
        <v>1270076F00004    00</v>
      </c>
      <c r="B19006" t="s">
        <v>30534</v>
      </c>
      <c r="C19006" t="s">
        <v>41245</v>
      </c>
      <c r="D19006" t="s">
        <v>20</v>
      </c>
      <c r="E19006" t="s">
        <v>39</v>
      </c>
      <c r="F19006">
        <v>0</v>
      </c>
      <c r="G19006">
        <v>0</v>
      </c>
      <c r="H19006">
        <v>19</v>
      </c>
      <c r="I19006" s="3">
        <v>5505.56</v>
      </c>
      <c r="J19006" s="3">
        <v>3866.39</v>
      </c>
      <c r="K19006" t="s">
        <v>41263</v>
      </c>
      <c r="L19006">
        <v>988</v>
      </c>
      <c r="M19006" t="s">
        <v>13488</v>
      </c>
      <c r="N19006" t="s">
        <v>30</v>
      </c>
      <c r="O19006" t="s">
        <v>31</v>
      </c>
      <c r="P19006" t="str">
        <f>"15237"</f>
        <v>15237</v>
      </c>
    </row>
    <row r="19007" spans="1:16" x14ac:dyDescent="0.25">
      <c r="A19007" t="str">
        <f>"1270076F00005    00"</f>
        <v>1270076F00005    00</v>
      </c>
      <c r="B19007" t="s">
        <v>30534</v>
      </c>
      <c r="C19007" t="s">
        <v>41245</v>
      </c>
      <c r="D19007" t="s">
        <v>20</v>
      </c>
      <c r="E19007" t="s">
        <v>39</v>
      </c>
      <c r="F19007">
        <v>0</v>
      </c>
      <c r="G19007">
        <v>0</v>
      </c>
      <c r="H19007">
        <v>19</v>
      </c>
      <c r="I19007" s="3">
        <v>5527.44</v>
      </c>
      <c r="J19007" s="3">
        <v>3877.91</v>
      </c>
      <c r="K19007" t="s">
        <v>41263</v>
      </c>
      <c r="L19007">
        <v>988</v>
      </c>
      <c r="M19007" t="s">
        <v>13488</v>
      </c>
      <c r="N19007" t="s">
        <v>30</v>
      </c>
      <c r="O19007" t="s">
        <v>31</v>
      </c>
      <c r="P19007" t="str">
        <f>"15237"</f>
        <v>15237</v>
      </c>
    </row>
    <row r="19008" spans="1:16" x14ac:dyDescent="0.25">
      <c r="A19008" t="str">
        <f>"1270076F00014    00"</f>
        <v>1270076F00014    00</v>
      </c>
      <c r="B19008" t="s">
        <v>41264</v>
      </c>
      <c r="C19008" t="s">
        <v>41265</v>
      </c>
      <c r="E19008" t="s">
        <v>39</v>
      </c>
      <c r="F19008">
        <v>0</v>
      </c>
      <c r="G19008">
        <v>0</v>
      </c>
      <c r="H19008">
        <v>2</v>
      </c>
      <c r="I19008" s="3">
        <v>496.23</v>
      </c>
      <c r="J19008" s="3">
        <v>130.19</v>
      </c>
      <c r="L19008">
        <v>28</v>
      </c>
      <c r="M19008" t="s">
        <v>36496</v>
      </c>
      <c r="N19008" t="s">
        <v>1823</v>
      </c>
      <c r="O19008" t="s">
        <v>31</v>
      </c>
      <c r="P19008" t="str">
        <f>"15024"</f>
        <v>15024</v>
      </c>
    </row>
    <row r="19009" spans="1:16" x14ac:dyDescent="0.25">
      <c r="A19009" t="str">
        <f>"1270076F00029    00"</f>
        <v>1270076F00029    00</v>
      </c>
      <c r="B19009" t="s">
        <v>41266</v>
      </c>
      <c r="C19009" t="s">
        <v>41267</v>
      </c>
      <c r="D19009" t="s">
        <v>20</v>
      </c>
      <c r="E19009" t="s">
        <v>39</v>
      </c>
      <c r="F19009">
        <v>0</v>
      </c>
      <c r="G19009">
        <v>0</v>
      </c>
      <c r="H19009">
        <v>2</v>
      </c>
      <c r="I19009" s="3">
        <v>2195.7600000000002</v>
      </c>
      <c r="J19009" s="3">
        <v>0</v>
      </c>
      <c r="K19009" t="s">
        <v>41268</v>
      </c>
      <c r="L19009">
        <v>417</v>
      </c>
      <c r="M19009" t="s">
        <v>41269</v>
      </c>
      <c r="N19009" t="s">
        <v>3391</v>
      </c>
      <c r="O19009" t="s">
        <v>3392</v>
      </c>
      <c r="P19009" t="str">
        <f>"19801"</f>
        <v>19801</v>
      </c>
    </row>
    <row r="19010" spans="1:16" x14ac:dyDescent="0.25">
      <c r="A19010" t="str">
        <f>"1270076F00041    00"</f>
        <v>1270076F00041    00</v>
      </c>
      <c r="B19010" t="s">
        <v>41013</v>
      </c>
      <c r="C19010" t="s">
        <v>41270</v>
      </c>
      <c r="D19010" t="s">
        <v>20</v>
      </c>
      <c r="E19010" t="s">
        <v>39</v>
      </c>
      <c r="F19010">
        <v>0</v>
      </c>
      <c r="G19010">
        <v>0</v>
      </c>
      <c r="H19010">
        <v>5</v>
      </c>
      <c r="I19010" s="3">
        <v>2595.5300000000002</v>
      </c>
      <c r="J19010" s="3">
        <v>459.64</v>
      </c>
      <c r="L19010">
        <v>1110</v>
      </c>
      <c r="M19010" t="s">
        <v>35751</v>
      </c>
      <c r="N19010" t="s">
        <v>30</v>
      </c>
      <c r="O19010" t="s">
        <v>31</v>
      </c>
      <c r="P19010" t="str">
        <f>"15212"</f>
        <v>15212</v>
      </c>
    </row>
    <row r="19011" spans="1:16" x14ac:dyDescent="0.25">
      <c r="A19011" t="str">
        <f>"1270076F00043    00"</f>
        <v>1270076F00043    00</v>
      </c>
      <c r="B19011" t="s">
        <v>41271</v>
      </c>
      <c r="C19011" t="s">
        <v>41272</v>
      </c>
      <c r="D19011" t="s">
        <v>20</v>
      </c>
      <c r="E19011" t="s">
        <v>39</v>
      </c>
      <c r="F19011">
        <v>0</v>
      </c>
      <c r="G19011">
        <v>0</v>
      </c>
      <c r="H19011">
        <v>4</v>
      </c>
      <c r="I19011" s="3">
        <v>1102.25</v>
      </c>
      <c r="J19011" s="3">
        <v>117.29</v>
      </c>
      <c r="L19011">
        <v>1025</v>
      </c>
      <c r="M19011" t="s">
        <v>41273</v>
      </c>
      <c r="N19011" t="s">
        <v>30</v>
      </c>
      <c r="O19011" t="s">
        <v>31</v>
      </c>
      <c r="P19011" t="str">
        <f>"15212"</f>
        <v>15212</v>
      </c>
    </row>
    <row r="19012" spans="1:16" x14ac:dyDescent="0.25">
      <c r="A19012" t="str">
        <f>"1270076F00044    00"</f>
        <v>1270076F00044    00</v>
      </c>
      <c r="B19012" t="s">
        <v>41271</v>
      </c>
      <c r="C19012" t="s">
        <v>41274</v>
      </c>
      <c r="D19012" t="s">
        <v>20</v>
      </c>
      <c r="E19012" t="s">
        <v>39</v>
      </c>
      <c r="F19012">
        <v>0</v>
      </c>
      <c r="G19012">
        <v>0</v>
      </c>
      <c r="H19012">
        <v>3</v>
      </c>
      <c r="I19012" s="3">
        <v>1050.51</v>
      </c>
      <c r="J19012" s="3">
        <v>102.75</v>
      </c>
      <c r="L19012">
        <v>1025</v>
      </c>
      <c r="M19012" t="s">
        <v>37737</v>
      </c>
      <c r="N19012" t="s">
        <v>30</v>
      </c>
      <c r="O19012" t="s">
        <v>31</v>
      </c>
      <c r="P19012" t="str">
        <f>"15212"</f>
        <v>15212</v>
      </c>
    </row>
    <row r="19013" spans="1:16" x14ac:dyDescent="0.25">
      <c r="A19013" t="str">
        <f>"1270076F00053    00"</f>
        <v>1270076F00053    00</v>
      </c>
      <c r="B19013" t="s">
        <v>34802</v>
      </c>
      <c r="C19013" t="s">
        <v>41275</v>
      </c>
      <c r="D19013" t="s">
        <v>20</v>
      </c>
      <c r="E19013" t="s">
        <v>39</v>
      </c>
      <c r="F19013">
        <v>0</v>
      </c>
      <c r="G19013">
        <v>0</v>
      </c>
      <c r="H19013">
        <v>4</v>
      </c>
      <c r="I19013" s="3">
        <v>4062.83</v>
      </c>
      <c r="J19013" s="3">
        <v>479.94</v>
      </c>
      <c r="K19013" t="s">
        <v>27799</v>
      </c>
      <c r="L19013">
        <v>512</v>
      </c>
      <c r="M19013" t="s">
        <v>3126</v>
      </c>
      <c r="N19013" t="s">
        <v>30</v>
      </c>
      <c r="O19013" t="s">
        <v>31</v>
      </c>
      <c r="P19013" t="str">
        <f>"15219"</f>
        <v>15219</v>
      </c>
    </row>
    <row r="19014" spans="1:16" x14ac:dyDescent="0.25">
      <c r="A19014" t="str">
        <f>"1270076F00076    00"</f>
        <v>1270076F00076    00</v>
      </c>
      <c r="B19014" t="s">
        <v>41276</v>
      </c>
      <c r="C19014" t="s">
        <v>41277</v>
      </c>
      <c r="D19014" t="s">
        <v>20</v>
      </c>
      <c r="E19014" t="s">
        <v>39</v>
      </c>
      <c r="F19014">
        <v>0</v>
      </c>
      <c r="G19014">
        <v>0</v>
      </c>
      <c r="H19014">
        <v>18</v>
      </c>
      <c r="I19014" s="3">
        <v>8844.15</v>
      </c>
      <c r="J19014" s="3">
        <v>9147.0499999999993</v>
      </c>
      <c r="L19014">
        <v>812</v>
      </c>
      <c r="M19014" t="s">
        <v>12929</v>
      </c>
      <c r="N19014" t="s">
        <v>30</v>
      </c>
      <c r="O19014" t="s">
        <v>31</v>
      </c>
      <c r="P19014" t="str">
        <f>"15221"</f>
        <v>15221</v>
      </c>
    </row>
    <row r="19015" spans="1:16" x14ac:dyDescent="0.25">
      <c r="A19015" t="str">
        <f>"1270076F00077    00"</f>
        <v>1270076F00077    00</v>
      </c>
      <c r="B19015" t="s">
        <v>41276</v>
      </c>
      <c r="C19015" t="s">
        <v>41277</v>
      </c>
      <c r="D19015" t="s">
        <v>20</v>
      </c>
      <c r="E19015" t="s">
        <v>39</v>
      </c>
      <c r="F19015">
        <v>0</v>
      </c>
      <c r="G19015">
        <v>0</v>
      </c>
      <c r="H19015">
        <v>19</v>
      </c>
      <c r="I19015" s="3">
        <v>1656.84</v>
      </c>
      <c r="J19015" s="3">
        <v>1298.96</v>
      </c>
      <c r="L19015">
        <v>812</v>
      </c>
      <c r="M19015" t="s">
        <v>12929</v>
      </c>
      <c r="N19015" t="s">
        <v>30</v>
      </c>
      <c r="O19015" t="s">
        <v>31</v>
      </c>
      <c r="P19015" t="str">
        <f>"15221"</f>
        <v>15221</v>
      </c>
    </row>
    <row r="19016" spans="1:16" x14ac:dyDescent="0.25">
      <c r="A19016" t="str">
        <f>"1270076F00116    00"</f>
        <v>1270076F00116    00</v>
      </c>
      <c r="B19016" t="s">
        <v>37001</v>
      </c>
      <c r="C19016" t="s">
        <v>41278</v>
      </c>
      <c r="E19016" t="s">
        <v>39</v>
      </c>
      <c r="F19016">
        <v>0</v>
      </c>
      <c r="G19016">
        <v>0</v>
      </c>
      <c r="H19016">
        <v>1</v>
      </c>
      <c r="I19016" s="3">
        <v>562.65</v>
      </c>
      <c r="J19016" s="3">
        <v>389.15</v>
      </c>
      <c r="L19016">
        <v>920</v>
      </c>
      <c r="M19016" t="s">
        <v>16085</v>
      </c>
      <c r="N19016" t="s">
        <v>30</v>
      </c>
      <c r="O19016" t="s">
        <v>31</v>
      </c>
      <c r="P19016" t="str">
        <f>"15212"</f>
        <v>15212</v>
      </c>
    </row>
    <row r="19017" spans="1:16" x14ac:dyDescent="0.25">
      <c r="A19017" t="str">
        <f>"1270076F00117    00"</f>
        <v>1270076F00117    00</v>
      </c>
      <c r="B19017" t="s">
        <v>41279</v>
      </c>
      <c r="C19017" t="s">
        <v>41280</v>
      </c>
      <c r="D19017" t="s">
        <v>20</v>
      </c>
      <c r="E19017" t="s">
        <v>39</v>
      </c>
      <c r="F19017">
        <v>0</v>
      </c>
      <c r="G19017">
        <v>0</v>
      </c>
      <c r="H19017">
        <v>3</v>
      </c>
      <c r="I19017" s="3">
        <v>2768.16</v>
      </c>
      <c r="J19017" s="3">
        <v>181.9</v>
      </c>
      <c r="L19017">
        <v>1005</v>
      </c>
      <c r="M19017" t="s">
        <v>40186</v>
      </c>
      <c r="N19017" t="s">
        <v>30</v>
      </c>
      <c r="O19017" t="s">
        <v>31</v>
      </c>
      <c r="P19017" t="str">
        <f>"15212"</f>
        <v>15212</v>
      </c>
    </row>
    <row r="19018" spans="1:16" x14ac:dyDescent="0.25">
      <c r="A19018" t="str">
        <f>"1270076F00118    00"</f>
        <v>1270076F00118    00</v>
      </c>
      <c r="B19018" t="s">
        <v>41281</v>
      </c>
      <c r="C19018" t="s">
        <v>41282</v>
      </c>
      <c r="E19018" t="s">
        <v>39</v>
      </c>
      <c r="F19018">
        <v>0</v>
      </c>
      <c r="G19018">
        <v>0</v>
      </c>
      <c r="H19018">
        <v>18</v>
      </c>
      <c r="I19018" s="3">
        <v>9374.5</v>
      </c>
      <c r="J19018" s="3">
        <v>10721.48</v>
      </c>
      <c r="L19018">
        <v>925</v>
      </c>
      <c r="M19018" t="s">
        <v>41283</v>
      </c>
      <c r="N19018" t="s">
        <v>30</v>
      </c>
      <c r="O19018" t="s">
        <v>31</v>
      </c>
      <c r="P19018" t="str">
        <f>"15202"</f>
        <v>15202</v>
      </c>
    </row>
    <row r="19019" spans="1:16" x14ac:dyDescent="0.25">
      <c r="A19019" t="str">
        <f>"1270076F00119    00"</f>
        <v>1270076F00119    00</v>
      </c>
      <c r="B19019" t="s">
        <v>41284</v>
      </c>
      <c r="C19019" t="s">
        <v>41282</v>
      </c>
      <c r="D19019" t="s">
        <v>20</v>
      </c>
      <c r="E19019" t="s">
        <v>39</v>
      </c>
      <c r="F19019">
        <v>0</v>
      </c>
      <c r="G19019">
        <v>0</v>
      </c>
      <c r="H19019">
        <v>19</v>
      </c>
      <c r="I19019" s="3">
        <v>9345.2900000000009</v>
      </c>
      <c r="J19019" s="3">
        <v>10064.5</v>
      </c>
      <c r="L19019">
        <v>1215</v>
      </c>
      <c r="M19019" t="s">
        <v>41285</v>
      </c>
      <c r="N19019" t="s">
        <v>30</v>
      </c>
      <c r="O19019" t="s">
        <v>31</v>
      </c>
      <c r="P19019" t="str">
        <f>"15212"</f>
        <v>15212</v>
      </c>
    </row>
    <row r="19020" spans="1:16" x14ac:dyDescent="0.25">
      <c r="A19020" t="str">
        <f>"1270076F00121    00"</f>
        <v>1270076F00121    00</v>
      </c>
      <c r="B19020" t="s">
        <v>41286</v>
      </c>
      <c r="C19020" t="s">
        <v>41282</v>
      </c>
      <c r="D19020" t="s">
        <v>20</v>
      </c>
      <c r="E19020" t="s">
        <v>39</v>
      </c>
      <c r="F19020">
        <v>0</v>
      </c>
      <c r="G19020">
        <v>0</v>
      </c>
      <c r="H19020">
        <v>19</v>
      </c>
      <c r="I19020" s="3">
        <v>5017.68</v>
      </c>
      <c r="J19020" s="3">
        <v>3203.29</v>
      </c>
      <c r="L19020">
        <v>1019</v>
      </c>
      <c r="M19020" t="s">
        <v>40186</v>
      </c>
      <c r="N19020" t="s">
        <v>30</v>
      </c>
      <c r="O19020" t="s">
        <v>31</v>
      </c>
      <c r="P19020" t="str">
        <f>"15212"</f>
        <v>15212</v>
      </c>
    </row>
    <row r="19021" spans="1:16" x14ac:dyDescent="0.25">
      <c r="A19021" t="str">
        <f>"1270076F00123    00"</f>
        <v>1270076F00123    00</v>
      </c>
      <c r="B19021" t="s">
        <v>41287</v>
      </c>
      <c r="C19021" t="s">
        <v>41282</v>
      </c>
      <c r="D19021" t="s">
        <v>20</v>
      </c>
      <c r="E19021" t="s">
        <v>39</v>
      </c>
      <c r="F19021">
        <v>0</v>
      </c>
      <c r="G19021">
        <v>0</v>
      </c>
      <c r="H19021">
        <v>13</v>
      </c>
      <c r="I19021" s="3">
        <v>4293.79</v>
      </c>
      <c r="J19021" s="3">
        <v>2417.38</v>
      </c>
      <c r="L19021">
        <v>8914</v>
      </c>
      <c r="M19021" t="s">
        <v>12341</v>
      </c>
      <c r="N19021" t="s">
        <v>30</v>
      </c>
      <c r="O19021" t="s">
        <v>31</v>
      </c>
      <c r="P19021" t="str">
        <f>"15235"</f>
        <v>15235</v>
      </c>
    </row>
    <row r="19022" spans="1:16" x14ac:dyDescent="0.25">
      <c r="A19022" t="str">
        <f>"1270076F00213    00"</f>
        <v>1270076F00213    00</v>
      </c>
      <c r="B19022" t="s">
        <v>41288</v>
      </c>
      <c r="C19022" t="s">
        <v>41289</v>
      </c>
      <c r="D19022" t="s">
        <v>20</v>
      </c>
      <c r="E19022" t="s">
        <v>39</v>
      </c>
      <c r="F19022">
        <v>0</v>
      </c>
      <c r="G19022">
        <v>0</v>
      </c>
      <c r="H19022">
        <v>2</v>
      </c>
      <c r="I19022" s="3">
        <v>274.86</v>
      </c>
      <c r="J19022" s="3">
        <v>0</v>
      </c>
      <c r="L19022">
        <v>1037</v>
      </c>
      <c r="M19022" t="s">
        <v>41290</v>
      </c>
      <c r="N19022" t="s">
        <v>30</v>
      </c>
      <c r="O19022" t="s">
        <v>31</v>
      </c>
      <c r="P19022" t="str">
        <f>"15212"</f>
        <v>15212</v>
      </c>
    </row>
    <row r="19023" spans="1:16" x14ac:dyDescent="0.25">
      <c r="A19023" t="str">
        <f>"1270076J00034    00"</f>
        <v>1270076J00034    00</v>
      </c>
      <c r="B19023" t="s">
        <v>41291</v>
      </c>
      <c r="C19023" t="s">
        <v>41292</v>
      </c>
      <c r="E19023" t="s">
        <v>21</v>
      </c>
      <c r="F19023">
        <v>0</v>
      </c>
      <c r="G19023">
        <v>0</v>
      </c>
      <c r="H19023">
        <v>9</v>
      </c>
      <c r="I19023" s="3">
        <v>2900.14</v>
      </c>
      <c r="J19023" s="3">
        <v>1611.02</v>
      </c>
      <c r="L19023">
        <v>109</v>
      </c>
      <c r="M19023" t="s">
        <v>41293</v>
      </c>
      <c r="N19023" t="s">
        <v>30</v>
      </c>
      <c r="O19023" t="s">
        <v>31</v>
      </c>
      <c r="P19023" t="str">
        <f>"15214"</f>
        <v>15214</v>
      </c>
    </row>
    <row r="19024" spans="1:16" x14ac:dyDescent="0.25">
      <c r="A19024" t="str">
        <f>"1270076J00044    00"</f>
        <v>1270076J00044    00</v>
      </c>
      <c r="B19024" t="s">
        <v>41294</v>
      </c>
      <c r="C19024" t="s">
        <v>41295</v>
      </c>
      <c r="D19024" t="s">
        <v>20</v>
      </c>
      <c r="E19024" t="s">
        <v>39</v>
      </c>
      <c r="F19024">
        <v>0</v>
      </c>
      <c r="G19024">
        <v>0</v>
      </c>
      <c r="H19024">
        <v>13</v>
      </c>
      <c r="I19024" s="3">
        <v>2905.23</v>
      </c>
      <c r="J19024" s="3">
        <v>2139.42</v>
      </c>
      <c r="L19024">
        <v>1220</v>
      </c>
      <c r="M19024" t="s">
        <v>37737</v>
      </c>
      <c r="N19024" t="s">
        <v>30</v>
      </c>
      <c r="O19024" t="s">
        <v>31</v>
      </c>
      <c r="P19024" t="str">
        <f>"15212"</f>
        <v>15212</v>
      </c>
    </row>
    <row r="19025" spans="1:16" x14ac:dyDescent="0.25">
      <c r="A19025" t="str">
        <f>"1270076J00046    00"</f>
        <v>1270076J00046    00</v>
      </c>
      <c r="B19025" t="s">
        <v>41296</v>
      </c>
      <c r="C19025" t="s">
        <v>41297</v>
      </c>
      <c r="D19025" t="s">
        <v>20</v>
      </c>
      <c r="E19025" t="s">
        <v>21</v>
      </c>
      <c r="F19025">
        <v>0</v>
      </c>
      <c r="G19025">
        <v>0</v>
      </c>
      <c r="H19025">
        <v>2</v>
      </c>
      <c r="I19025" s="3">
        <v>5813.32</v>
      </c>
      <c r="J19025" s="3">
        <v>0</v>
      </c>
      <c r="K19025" t="s">
        <v>41298</v>
      </c>
      <c r="L19025">
        <v>1213</v>
      </c>
      <c r="M19025" t="s">
        <v>41299</v>
      </c>
      <c r="N19025" t="s">
        <v>636</v>
      </c>
      <c r="O19025" t="s">
        <v>31</v>
      </c>
      <c r="P19025" t="str">
        <f>"15104"</f>
        <v>15104</v>
      </c>
    </row>
    <row r="19026" spans="1:16" x14ac:dyDescent="0.25">
      <c r="A19026" t="str">
        <f>"1270076J00051    00"</f>
        <v>1270076J00051    00</v>
      </c>
      <c r="B19026" t="s">
        <v>41296</v>
      </c>
      <c r="C19026" t="s">
        <v>41010</v>
      </c>
      <c r="D19026" t="s">
        <v>20</v>
      </c>
      <c r="E19026" t="s">
        <v>21</v>
      </c>
      <c r="F19026">
        <v>0</v>
      </c>
      <c r="G19026">
        <v>0</v>
      </c>
      <c r="H19026">
        <v>2</v>
      </c>
      <c r="I19026" s="3">
        <v>125.82</v>
      </c>
      <c r="J19026" s="3">
        <v>0</v>
      </c>
      <c r="K19026" t="s">
        <v>41298</v>
      </c>
      <c r="L19026">
        <v>1213</v>
      </c>
      <c r="M19026" t="s">
        <v>41299</v>
      </c>
      <c r="N19026" t="s">
        <v>636</v>
      </c>
      <c r="O19026" t="s">
        <v>31</v>
      </c>
      <c r="P19026" t="str">
        <f>"15104"</f>
        <v>15104</v>
      </c>
    </row>
    <row r="19027" spans="1:16" x14ac:dyDescent="0.25">
      <c r="A19027" t="str">
        <f>"1270076J00057    00"</f>
        <v>1270076J00057    00</v>
      </c>
      <c r="B19027" t="s">
        <v>41296</v>
      </c>
      <c r="C19027" t="s">
        <v>41010</v>
      </c>
      <c r="D19027" t="s">
        <v>20</v>
      </c>
      <c r="E19027" t="s">
        <v>21</v>
      </c>
      <c r="F19027">
        <v>0</v>
      </c>
      <c r="G19027">
        <v>0</v>
      </c>
      <c r="H19027">
        <v>2</v>
      </c>
      <c r="I19027" s="3">
        <v>152.47999999999999</v>
      </c>
      <c r="J19027" s="3">
        <v>0</v>
      </c>
      <c r="K19027" t="s">
        <v>41298</v>
      </c>
      <c r="L19027">
        <v>1213</v>
      </c>
      <c r="M19027" t="s">
        <v>41299</v>
      </c>
      <c r="N19027" t="s">
        <v>636</v>
      </c>
      <c r="O19027" t="s">
        <v>31</v>
      </c>
      <c r="P19027" t="str">
        <f>"15104"</f>
        <v>15104</v>
      </c>
    </row>
    <row r="19028" spans="1:16" x14ac:dyDescent="0.25">
      <c r="A19028" t="str">
        <f>"1270076J00075    00"</f>
        <v>1270076J00075    00</v>
      </c>
      <c r="B19028" t="s">
        <v>41300</v>
      </c>
      <c r="C19028" t="s">
        <v>41301</v>
      </c>
      <c r="D19028" t="s">
        <v>20</v>
      </c>
      <c r="E19028" t="s">
        <v>39</v>
      </c>
      <c r="F19028">
        <v>0</v>
      </c>
      <c r="G19028">
        <v>0</v>
      </c>
      <c r="H19028">
        <v>15</v>
      </c>
      <c r="I19028" s="3">
        <v>10035.91</v>
      </c>
      <c r="J19028" s="3">
        <v>11983.62</v>
      </c>
      <c r="K19028" t="s">
        <v>41302</v>
      </c>
      <c r="L19028">
        <v>2469</v>
      </c>
      <c r="M19028" t="s">
        <v>3799</v>
      </c>
      <c r="N19028" t="s">
        <v>1067</v>
      </c>
      <c r="O19028" t="s">
        <v>31</v>
      </c>
      <c r="P19028" t="str">
        <f>"15143"</f>
        <v>15143</v>
      </c>
    </row>
    <row r="19029" spans="1:16" x14ac:dyDescent="0.25">
      <c r="A19029" t="str">
        <f>"1270076J00079    00"</f>
        <v>1270076J00079    00</v>
      </c>
      <c r="B19029" t="s">
        <v>39128</v>
      </c>
      <c r="C19029" t="s">
        <v>41303</v>
      </c>
      <c r="D19029" t="s">
        <v>20</v>
      </c>
      <c r="E19029" t="s">
        <v>39</v>
      </c>
      <c r="F19029">
        <v>0</v>
      </c>
      <c r="G19029">
        <v>0</v>
      </c>
      <c r="H19029">
        <v>2</v>
      </c>
      <c r="I19029" s="3">
        <v>517.39</v>
      </c>
      <c r="J19029" s="3">
        <v>0</v>
      </c>
      <c r="M19029" t="s">
        <v>39130</v>
      </c>
      <c r="N19029" t="s">
        <v>1067</v>
      </c>
      <c r="O19029" t="s">
        <v>31</v>
      </c>
      <c r="P19029" t="str">
        <f>"15143"</f>
        <v>15143</v>
      </c>
    </row>
    <row r="19030" spans="1:16" x14ac:dyDescent="0.25">
      <c r="A19030" t="str">
        <f>"1270076J00104    00"</f>
        <v>1270076J00104    00</v>
      </c>
      <c r="B19030" t="s">
        <v>41304</v>
      </c>
      <c r="C19030" t="s">
        <v>41305</v>
      </c>
      <c r="D19030" t="s">
        <v>20</v>
      </c>
      <c r="E19030" t="s">
        <v>39</v>
      </c>
      <c r="F19030">
        <v>0</v>
      </c>
      <c r="G19030">
        <v>0</v>
      </c>
      <c r="H19030">
        <v>18</v>
      </c>
      <c r="I19030" s="3">
        <v>11675.06</v>
      </c>
      <c r="J19030" s="3">
        <v>10175.35</v>
      </c>
      <c r="L19030">
        <v>3243</v>
      </c>
      <c r="M19030" t="s">
        <v>41306</v>
      </c>
      <c r="N19030" t="s">
        <v>9669</v>
      </c>
      <c r="O19030" t="s">
        <v>31</v>
      </c>
      <c r="P19030" t="str">
        <f>"16105"</f>
        <v>16105</v>
      </c>
    </row>
    <row r="19031" spans="1:16" x14ac:dyDescent="0.25">
      <c r="A19031" t="str">
        <f>"1270076J00106    00"</f>
        <v>1270076J00106    00</v>
      </c>
      <c r="B19031" t="s">
        <v>41307</v>
      </c>
      <c r="C19031" t="s">
        <v>41308</v>
      </c>
      <c r="D19031" t="s">
        <v>20</v>
      </c>
      <c r="E19031" t="s">
        <v>39</v>
      </c>
      <c r="F19031">
        <v>0</v>
      </c>
      <c r="G19031">
        <v>0</v>
      </c>
      <c r="H19031">
        <v>19</v>
      </c>
      <c r="I19031" s="3">
        <v>7258</v>
      </c>
      <c r="J19031" s="3">
        <v>6749.86</v>
      </c>
      <c r="L19031">
        <v>3227</v>
      </c>
      <c r="M19031" t="s">
        <v>39195</v>
      </c>
      <c r="N19031" t="s">
        <v>30</v>
      </c>
      <c r="O19031" t="s">
        <v>31</v>
      </c>
      <c r="P19031" t="str">
        <f t="shared" ref="P19031:P19036" si="236">"15212"</f>
        <v>15212</v>
      </c>
    </row>
    <row r="19032" spans="1:16" x14ac:dyDescent="0.25">
      <c r="A19032" t="str">
        <f>"1270076J00109    00"</f>
        <v>1270076J00109    00</v>
      </c>
      <c r="B19032" t="s">
        <v>41309</v>
      </c>
      <c r="C19032" t="s">
        <v>41310</v>
      </c>
      <c r="D19032" t="s">
        <v>20</v>
      </c>
      <c r="E19032" t="s">
        <v>39</v>
      </c>
      <c r="F19032">
        <v>0</v>
      </c>
      <c r="G19032">
        <v>0</v>
      </c>
      <c r="H19032">
        <v>1</v>
      </c>
      <c r="I19032" s="3">
        <v>980.71</v>
      </c>
      <c r="J19032" s="3">
        <v>0</v>
      </c>
      <c r="K19032" t="s">
        <v>41311</v>
      </c>
      <c r="L19032">
        <v>3817</v>
      </c>
      <c r="M19032" t="s">
        <v>41312</v>
      </c>
      <c r="N19032" t="s">
        <v>30</v>
      </c>
      <c r="O19032" t="s">
        <v>31</v>
      </c>
      <c r="P19032" t="str">
        <f t="shared" si="236"/>
        <v>15212</v>
      </c>
    </row>
    <row r="19033" spans="1:16" x14ac:dyDescent="0.25">
      <c r="A19033" t="str">
        <f>"1270076J00114    00"</f>
        <v>1270076J00114    00</v>
      </c>
      <c r="B19033" t="s">
        <v>41313</v>
      </c>
      <c r="C19033" t="s">
        <v>41314</v>
      </c>
      <c r="E19033" t="s">
        <v>39</v>
      </c>
      <c r="F19033">
        <v>0</v>
      </c>
      <c r="G19033">
        <v>0</v>
      </c>
      <c r="H19033">
        <v>16</v>
      </c>
      <c r="I19033" s="3">
        <v>9208.86</v>
      </c>
      <c r="J19033" s="3">
        <v>9259.2199999999993</v>
      </c>
      <c r="K19033" t="s">
        <v>41315</v>
      </c>
      <c r="L19033">
        <v>5</v>
      </c>
      <c r="M19033" t="s">
        <v>41316</v>
      </c>
      <c r="N19033" t="s">
        <v>30</v>
      </c>
      <c r="O19033" t="s">
        <v>31</v>
      </c>
      <c r="P19033" t="str">
        <f t="shared" si="236"/>
        <v>15212</v>
      </c>
    </row>
    <row r="19034" spans="1:16" x14ac:dyDescent="0.25">
      <c r="A19034" t="str">
        <f>"1270076J00130    00"</f>
        <v>1270076J00130    00</v>
      </c>
      <c r="B19034" t="s">
        <v>41317</v>
      </c>
      <c r="C19034" t="s">
        <v>41318</v>
      </c>
      <c r="D19034" t="s">
        <v>20</v>
      </c>
      <c r="E19034" t="s">
        <v>39</v>
      </c>
      <c r="F19034">
        <v>0</v>
      </c>
      <c r="G19034">
        <v>0</v>
      </c>
      <c r="H19034">
        <v>5</v>
      </c>
      <c r="I19034" s="3">
        <v>1597.56</v>
      </c>
      <c r="J19034" s="3">
        <v>306.02</v>
      </c>
      <c r="L19034">
        <v>3141</v>
      </c>
      <c r="M19034" t="s">
        <v>41319</v>
      </c>
      <c r="N19034" t="s">
        <v>30</v>
      </c>
      <c r="O19034" t="s">
        <v>31</v>
      </c>
      <c r="P19034" t="str">
        <f t="shared" si="236"/>
        <v>15212</v>
      </c>
    </row>
    <row r="19035" spans="1:16" x14ac:dyDescent="0.25">
      <c r="A19035" t="str">
        <f>"1270076J00140    00"</f>
        <v>1270076J00140    00</v>
      </c>
      <c r="B19035" t="s">
        <v>41320</v>
      </c>
      <c r="C19035" t="s">
        <v>41321</v>
      </c>
      <c r="E19035" t="s">
        <v>39</v>
      </c>
      <c r="F19035">
        <v>0</v>
      </c>
      <c r="G19035">
        <v>0</v>
      </c>
      <c r="H19035">
        <v>14</v>
      </c>
      <c r="I19035" s="3">
        <v>2514.88</v>
      </c>
      <c r="J19035" s="3">
        <v>1852.8</v>
      </c>
      <c r="K19035" t="s">
        <v>41322</v>
      </c>
      <c r="L19035">
        <v>3154</v>
      </c>
      <c r="M19035" t="s">
        <v>41323</v>
      </c>
      <c r="N19035" t="s">
        <v>30</v>
      </c>
      <c r="O19035" t="s">
        <v>31</v>
      </c>
      <c r="P19035" t="str">
        <f t="shared" si="236"/>
        <v>15212</v>
      </c>
    </row>
    <row r="19036" spans="1:16" x14ac:dyDescent="0.25">
      <c r="A19036" t="str">
        <f>"1270076J00175    00"</f>
        <v>1270076J00175    00</v>
      </c>
      <c r="B19036" t="s">
        <v>41255</v>
      </c>
      <c r="C19036" t="s">
        <v>41324</v>
      </c>
      <c r="D19036" t="s">
        <v>20</v>
      </c>
      <c r="E19036" t="s">
        <v>39</v>
      </c>
      <c r="F19036">
        <v>0</v>
      </c>
      <c r="G19036">
        <v>0</v>
      </c>
      <c r="H19036">
        <v>12</v>
      </c>
      <c r="I19036" s="3">
        <v>6873</v>
      </c>
      <c r="J19036" s="3">
        <v>3487.89</v>
      </c>
      <c r="L19036">
        <v>1217</v>
      </c>
      <c r="M19036" t="s">
        <v>37737</v>
      </c>
      <c r="N19036" t="s">
        <v>30</v>
      </c>
      <c r="O19036" t="s">
        <v>31</v>
      </c>
      <c r="P19036" t="str">
        <f t="shared" si="236"/>
        <v>15212</v>
      </c>
    </row>
    <row r="19037" spans="1:16" x14ac:dyDescent="0.25">
      <c r="A19037" t="str">
        <f>"1270076J00191    00"</f>
        <v>1270076J00191    00</v>
      </c>
      <c r="B19037" t="s">
        <v>41325</v>
      </c>
      <c r="C19037" t="s">
        <v>41326</v>
      </c>
      <c r="E19037" t="s">
        <v>21</v>
      </c>
      <c r="F19037">
        <v>0</v>
      </c>
      <c r="G19037">
        <v>0</v>
      </c>
      <c r="H19037">
        <v>3</v>
      </c>
      <c r="I19037" s="3">
        <v>42927.81</v>
      </c>
      <c r="J19037" s="3">
        <v>13593.29</v>
      </c>
      <c r="K19037" t="s">
        <v>41327</v>
      </c>
      <c r="L19037">
        <v>500</v>
      </c>
      <c r="M19037" t="s">
        <v>41328</v>
      </c>
      <c r="N19037" t="s">
        <v>14095</v>
      </c>
      <c r="O19037" t="s">
        <v>692</v>
      </c>
      <c r="P19037" t="str">
        <f>"23320"</f>
        <v>23320</v>
      </c>
    </row>
    <row r="19038" spans="1:16" x14ac:dyDescent="0.25">
      <c r="A19038" t="str">
        <f>"1270076J00197    00"</f>
        <v>1270076J00197    00</v>
      </c>
      <c r="B19038" t="s">
        <v>41329</v>
      </c>
      <c r="C19038" t="s">
        <v>41330</v>
      </c>
      <c r="D19038" t="s">
        <v>20</v>
      </c>
      <c r="E19038" t="s">
        <v>21</v>
      </c>
      <c r="F19038">
        <v>0</v>
      </c>
      <c r="G19038">
        <v>0</v>
      </c>
      <c r="H19038">
        <v>2</v>
      </c>
      <c r="I19038" s="3">
        <v>4452.42</v>
      </c>
      <c r="J19038" s="3">
        <v>0</v>
      </c>
      <c r="L19038">
        <v>528</v>
      </c>
      <c r="M19038" t="s">
        <v>26459</v>
      </c>
      <c r="N19038" t="s">
        <v>30</v>
      </c>
      <c r="O19038" t="s">
        <v>31</v>
      </c>
      <c r="P19038" t="str">
        <f>"15214"</f>
        <v>15214</v>
      </c>
    </row>
    <row r="19039" spans="1:16" x14ac:dyDescent="0.25">
      <c r="A19039" t="str">
        <f>"1270076J00211    00"</f>
        <v>1270076J00211    00</v>
      </c>
      <c r="B19039" t="s">
        <v>41331</v>
      </c>
      <c r="C19039" t="s">
        <v>41332</v>
      </c>
      <c r="D19039" t="s">
        <v>20</v>
      </c>
      <c r="E19039" t="s">
        <v>39</v>
      </c>
      <c r="F19039">
        <v>0</v>
      </c>
      <c r="G19039">
        <v>0</v>
      </c>
      <c r="H19039">
        <v>3</v>
      </c>
      <c r="I19039" s="3">
        <v>2515.92</v>
      </c>
      <c r="J19039" s="3">
        <v>167.73</v>
      </c>
      <c r="L19039">
        <v>219</v>
      </c>
      <c r="M19039" t="s">
        <v>39818</v>
      </c>
      <c r="N19039" t="s">
        <v>30</v>
      </c>
      <c r="O19039" t="s">
        <v>31</v>
      </c>
      <c r="P19039" t="str">
        <f>"15237"</f>
        <v>15237</v>
      </c>
    </row>
    <row r="19040" spans="1:16" x14ac:dyDescent="0.25">
      <c r="A19040" t="str">
        <f>"1270076J00212    00"</f>
        <v>1270076J00212    00</v>
      </c>
      <c r="B19040" t="s">
        <v>41333</v>
      </c>
      <c r="C19040" t="s">
        <v>41334</v>
      </c>
      <c r="D19040" t="s">
        <v>20</v>
      </c>
      <c r="E19040" t="s">
        <v>39</v>
      </c>
      <c r="F19040">
        <v>0</v>
      </c>
      <c r="G19040">
        <v>0</v>
      </c>
      <c r="H19040">
        <v>1</v>
      </c>
      <c r="I19040" s="3">
        <v>518.28</v>
      </c>
      <c r="J19040" s="3">
        <v>0</v>
      </c>
      <c r="L19040">
        <v>3937</v>
      </c>
      <c r="M19040" t="s">
        <v>8048</v>
      </c>
      <c r="N19040" t="s">
        <v>30</v>
      </c>
      <c r="O19040" t="s">
        <v>31</v>
      </c>
      <c r="P19040" t="str">
        <f>"15227"</f>
        <v>15227</v>
      </c>
    </row>
    <row r="19041" spans="1:16" x14ac:dyDescent="0.25">
      <c r="A19041" t="str">
        <f>"1270076J00222    00"</f>
        <v>1270076J00222    00</v>
      </c>
      <c r="B19041" t="s">
        <v>32963</v>
      </c>
      <c r="C19041" t="s">
        <v>41335</v>
      </c>
      <c r="D19041" t="s">
        <v>20</v>
      </c>
      <c r="E19041" t="s">
        <v>21</v>
      </c>
      <c r="F19041">
        <v>0</v>
      </c>
      <c r="G19041">
        <v>0</v>
      </c>
      <c r="H19041">
        <v>3</v>
      </c>
      <c r="I19041" s="3">
        <v>10961.43</v>
      </c>
      <c r="J19041" s="3">
        <v>30.45</v>
      </c>
      <c r="M19041" t="s">
        <v>41336</v>
      </c>
      <c r="N19041" t="s">
        <v>30</v>
      </c>
      <c r="O19041" t="s">
        <v>31</v>
      </c>
      <c r="P19041" t="str">
        <f>"15233"</f>
        <v>15233</v>
      </c>
    </row>
    <row r="19042" spans="1:16" x14ac:dyDescent="0.25">
      <c r="A19042" t="str">
        <f>"1270076J00225    00"</f>
        <v>1270076J00225    00</v>
      </c>
      <c r="B19042" t="s">
        <v>41337</v>
      </c>
      <c r="C19042" t="s">
        <v>41338</v>
      </c>
      <c r="D19042" t="s">
        <v>20</v>
      </c>
      <c r="E19042" t="s">
        <v>39</v>
      </c>
      <c r="F19042">
        <v>0</v>
      </c>
      <c r="G19042">
        <v>0</v>
      </c>
      <c r="H19042">
        <v>10</v>
      </c>
      <c r="I19042" s="3">
        <v>4685.57</v>
      </c>
      <c r="J19042" s="3">
        <v>2955.84</v>
      </c>
      <c r="L19042">
        <v>3149</v>
      </c>
      <c r="M19042" t="s">
        <v>13961</v>
      </c>
      <c r="N19042" t="s">
        <v>30</v>
      </c>
      <c r="O19042" t="s">
        <v>31</v>
      </c>
      <c r="P19042" t="str">
        <f>"15212"</f>
        <v>15212</v>
      </c>
    </row>
    <row r="19043" spans="1:16" x14ac:dyDescent="0.25">
      <c r="A19043" t="str">
        <f>"1270076J00227    00"</f>
        <v>1270076J00227    00</v>
      </c>
      <c r="B19043" t="s">
        <v>41339</v>
      </c>
      <c r="C19043" t="s">
        <v>40168</v>
      </c>
      <c r="D19043" t="s">
        <v>20</v>
      </c>
      <c r="E19043" t="s">
        <v>39</v>
      </c>
      <c r="F19043">
        <v>0</v>
      </c>
      <c r="G19043">
        <v>0</v>
      </c>
      <c r="H19043">
        <v>9</v>
      </c>
      <c r="I19043" s="3">
        <v>116.47</v>
      </c>
      <c r="J19043" s="3">
        <v>44.45</v>
      </c>
      <c r="L19043">
        <v>103</v>
      </c>
      <c r="M19043" t="s">
        <v>41340</v>
      </c>
      <c r="N19043" t="s">
        <v>1928</v>
      </c>
      <c r="O19043" t="s">
        <v>31</v>
      </c>
      <c r="P19043" t="str">
        <f>"15317"</f>
        <v>15317</v>
      </c>
    </row>
    <row r="19044" spans="1:16" x14ac:dyDescent="0.25">
      <c r="A19044" t="str">
        <f>"1270076J00229    00"</f>
        <v>1270076J00229    00</v>
      </c>
      <c r="B19044" t="s">
        <v>41341</v>
      </c>
      <c r="C19044" t="s">
        <v>40168</v>
      </c>
      <c r="D19044" t="s">
        <v>20</v>
      </c>
      <c r="E19044" t="s">
        <v>39</v>
      </c>
      <c r="F19044">
        <v>0</v>
      </c>
      <c r="G19044">
        <v>0</v>
      </c>
      <c r="H19044">
        <v>19</v>
      </c>
      <c r="I19044" s="3">
        <v>6321.66</v>
      </c>
      <c r="J19044" s="3">
        <v>5783.69</v>
      </c>
      <c r="L19044">
        <v>242</v>
      </c>
      <c r="M19044" t="s">
        <v>41342</v>
      </c>
      <c r="N19044" t="s">
        <v>30</v>
      </c>
      <c r="O19044" t="s">
        <v>31</v>
      </c>
      <c r="P19044" t="str">
        <f>"15237"</f>
        <v>15237</v>
      </c>
    </row>
    <row r="19045" spans="1:16" x14ac:dyDescent="0.25">
      <c r="A19045" t="str">
        <f>"1270076J00231    00"</f>
        <v>1270076J00231    00</v>
      </c>
      <c r="B19045" t="s">
        <v>37758</v>
      </c>
      <c r="C19045" t="s">
        <v>40168</v>
      </c>
      <c r="E19045" t="s">
        <v>39</v>
      </c>
      <c r="F19045">
        <v>0</v>
      </c>
      <c r="G19045">
        <v>0</v>
      </c>
      <c r="H19045">
        <v>1</v>
      </c>
      <c r="I19045" s="3">
        <v>385.01</v>
      </c>
      <c r="J19045" s="3">
        <v>0</v>
      </c>
      <c r="M19045" t="s">
        <v>37761</v>
      </c>
      <c r="N19045" t="s">
        <v>30</v>
      </c>
      <c r="O19045" t="s">
        <v>31</v>
      </c>
      <c r="P19045" t="str">
        <f>"15233"</f>
        <v>15233</v>
      </c>
    </row>
    <row r="19046" spans="1:16" x14ac:dyDescent="0.25">
      <c r="A19046" t="str">
        <f>"1270076J00233    00"</f>
        <v>1270076J00233    00</v>
      </c>
      <c r="B19046" t="s">
        <v>37758</v>
      </c>
      <c r="C19046" t="s">
        <v>41343</v>
      </c>
      <c r="E19046" t="s">
        <v>39</v>
      </c>
      <c r="F19046">
        <v>0</v>
      </c>
      <c r="G19046">
        <v>0</v>
      </c>
      <c r="H19046">
        <v>1</v>
      </c>
      <c r="I19046" s="3">
        <v>943.48</v>
      </c>
      <c r="J19046" s="3">
        <v>0</v>
      </c>
      <c r="M19046" t="s">
        <v>37761</v>
      </c>
      <c r="N19046" t="s">
        <v>30</v>
      </c>
      <c r="O19046" t="s">
        <v>31</v>
      </c>
      <c r="P19046" t="str">
        <f>"15233"</f>
        <v>15233</v>
      </c>
    </row>
    <row r="19047" spans="1:16" x14ac:dyDescent="0.25">
      <c r="A19047" t="str">
        <f>"1270076J00255    00"</f>
        <v>1270076J00255    00</v>
      </c>
      <c r="B19047" t="s">
        <v>41344</v>
      </c>
      <c r="C19047" t="s">
        <v>41345</v>
      </c>
      <c r="D19047" t="s">
        <v>20</v>
      </c>
      <c r="E19047" t="s">
        <v>39</v>
      </c>
      <c r="F19047">
        <v>0</v>
      </c>
      <c r="G19047">
        <v>0</v>
      </c>
      <c r="H19047">
        <v>1</v>
      </c>
      <c r="I19047" s="3">
        <v>301.62</v>
      </c>
      <c r="J19047" s="3">
        <v>0</v>
      </c>
      <c r="K19047" t="s">
        <v>6184</v>
      </c>
      <c r="L19047">
        <v>901</v>
      </c>
      <c r="M19047" t="s">
        <v>1503</v>
      </c>
      <c r="N19047" t="s">
        <v>494</v>
      </c>
      <c r="O19047" t="s">
        <v>495</v>
      </c>
      <c r="P19047" t="str">
        <f>"91768"</f>
        <v>91768</v>
      </c>
    </row>
    <row r="19048" spans="1:16" x14ac:dyDescent="0.25">
      <c r="A19048" t="str">
        <f>"1270076J00256    00"</f>
        <v>1270076J00256    00</v>
      </c>
      <c r="B19048" t="s">
        <v>41127</v>
      </c>
      <c r="C19048" t="s">
        <v>41346</v>
      </c>
      <c r="E19048" t="s">
        <v>39</v>
      </c>
      <c r="F19048">
        <v>0</v>
      </c>
      <c r="G19048">
        <v>0</v>
      </c>
      <c r="H19048">
        <v>1</v>
      </c>
      <c r="I19048" s="3">
        <v>385.41</v>
      </c>
      <c r="J19048" s="3">
        <v>0</v>
      </c>
      <c r="K19048" t="s">
        <v>41129</v>
      </c>
      <c r="L19048">
        <v>2318</v>
      </c>
      <c r="M19048" t="s">
        <v>41130</v>
      </c>
      <c r="N19048" t="s">
        <v>5166</v>
      </c>
      <c r="O19048" t="s">
        <v>1413</v>
      </c>
      <c r="P19048" t="str">
        <f>"27614"</f>
        <v>27614</v>
      </c>
    </row>
    <row r="19049" spans="1:16" x14ac:dyDescent="0.25">
      <c r="A19049" t="str">
        <f>"1270076J00257    00"</f>
        <v>1270076J00257    00</v>
      </c>
      <c r="B19049" t="s">
        <v>41347</v>
      </c>
      <c r="C19049" t="s">
        <v>41348</v>
      </c>
      <c r="D19049" t="s">
        <v>20</v>
      </c>
      <c r="E19049" t="s">
        <v>39</v>
      </c>
      <c r="F19049">
        <v>0</v>
      </c>
      <c r="G19049">
        <v>0</v>
      </c>
      <c r="H19049">
        <v>19</v>
      </c>
      <c r="I19049" s="3">
        <v>18818.509999999998</v>
      </c>
      <c r="J19049" s="3">
        <v>19402.349999999999</v>
      </c>
      <c r="L19049">
        <v>2016</v>
      </c>
      <c r="M19049" t="s">
        <v>41349</v>
      </c>
      <c r="N19049" t="s">
        <v>5166</v>
      </c>
      <c r="O19049" t="s">
        <v>1413</v>
      </c>
      <c r="P19049" t="str">
        <f>"27609"</f>
        <v>27609</v>
      </c>
    </row>
    <row r="19050" spans="1:16" x14ac:dyDescent="0.25">
      <c r="A19050" t="str">
        <f>"1270076J00281    00"</f>
        <v>1270076J00281    00</v>
      </c>
      <c r="B19050" t="s">
        <v>41350</v>
      </c>
      <c r="C19050" t="s">
        <v>36064</v>
      </c>
      <c r="D19050" t="s">
        <v>20</v>
      </c>
      <c r="E19050" t="s">
        <v>21</v>
      </c>
      <c r="F19050">
        <v>0</v>
      </c>
      <c r="G19050">
        <v>0</v>
      </c>
      <c r="H19050">
        <v>19</v>
      </c>
      <c r="I19050" s="3">
        <v>11695.29</v>
      </c>
      <c r="J19050" s="3">
        <v>6986.46</v>
      </c>
      <c r="P19050" t="str">
        <f>""</f>
        <v/>
      </c>
    </row>
    <row r="19051" spans="1:16" x14ac:dyDescent="0.25">
      <c r="A19051" t="str">
        <f>"1270076J00283    00"</f>
        <v>1270076J00283    00</v>
      </c>
      <c r="B19051" t="s">
        <v>41351</v>
      </c>
      <c r="C19051" t="s">
        <v>41352</v>
      </c>
      <c r="D19051" t="s">
        <v>20</v>
      </c>
      <c r="E19051" t="s">
        <v>39</v>
      </c>
      <c r="F19051">
        <v>0</v>
      </c>
      <c r="G19051">
        <v>0</v>
      </c>
      <c r="H19051">
        <v>1</v>
      </c>
      <c r="I19051" s="3">
        <v>57.18</v>
      </c>
      <c r="J19051" s="3">
        <v>0</v>
      </c>
      <c r="L19051">
        <v>3146</v>
      </c>
      <c r="M19051" t="s">
        <v>41353</v>
      </c>
      <c r="N19051" t="s">
        <v>30</v>
      </c>
      <c r="O19051" t="s">
        <v>31</v>
      </c>
      <c r="P19051" t="str">
        <f>"15212"</f>
        <v>15212</v>
      </c>
    </row>
    <row r="19052" spans="1:16" x14ac:dyDescent="0.25">
      <c r="A19052" t="str">
        <f>"1270076J00285    00"</f>
        <v>1270076J00285    00</v>
      </c>
      <c r="B19052" t="s">
        <v>41354</v>
      </c>
      <c r="C19052" t="s">
        <v>41355</v>
      </c>
      <c r="D19052" t="s">
        <v>20</v>
      </c>
      <c r="E19052" t="s">
        <v>39</v>
      </c>
      <c r="F19052">
        <v>0</v>
      </c>
      <c r="G19052">
        <v>0</v>
      </c>
      <c r="H19052">
        <v>19</v>
      </c>
      <c r="I19052" s="3">
        <v>3554.16</v>
      </c>
      <c r="J19052" s="3">
        <v>5131.54</v>
      </c>
      <c r="L19052">
        <v>4</v>
      </c>
      <c r="M19052" t="s">
        <v>41356</v>
      </c>
      <c r="N19052" t="s">
        <v>30</v>
      </c>
      <c r="O19052" t="s">
        <v>31</v>
      </c>
      <c r="P19052" t="str">
        <f>"15212"</f>
        <v>15212</v>
      </c>
    </row>
    <row r="19053" spans="1:16" x14ac:dyDescent="0.25">
      <c r="A19053" t="str">
        <f>"1270076J00286    00"</f>
        <v>1270076J00286    00</v>
      </c>
      <c r="B19053" t="s">
        <v>41337</v>
      </c>
      <c r="C19053" t="s">
        <v>41357</v>
      </c>
      <c r="D19053" t="s">
        <v>20</v>
      </c>
      <c r="E19053" t="s">
        <v>39</v>
      </c>
      <c r="F19053">
        <v>0</v>
      </c>
      <c r="G19053">
        <v>0</v>
      </c>
      <c r="H19053">
        <v>19</v>
      </c>
      <c r="I19053" s="3">
        <v>8029.26</v>
      </c>
      <c r="J19053" s="3">
        <v>6809.49</v>
      </c>
      <c r="L19053">
        <v>1257</v>
      </c>
      <c r="M19053" t="s">
        <v>40395</v>
      </c>
      <c r="N19053" t="s">
        <v>30</v>
      </c>
      <c r="O19053" t="s">
        <v>31</v>
      </c>
      <c r="P19053" t="str">
        <f>"15212"</f>
        <v>15212</v>
      </c>
    </row>
    <row r="19054" spans="1:16" x14ac:dyDescent="0.25">
      <c r="A19054" t="str">
        <f>"1270076J00287    00"</f>
        <v>1270076J00287    00</v>
      </c>
      <c r="B19054" t="s">
        <v>36842</v>
      </c>
      <c r="C19054" t="s">
        <v>41358</v>
      </c>
      <c r="D19054" t="s">
        <v>20</v>
      </c>
      <c r="E19054" t="s">
        <v>39</v>
      </c>
      <c r="F19054">
        <v>0</v>
      </c>
      <c r="G19054">
        <v>0</v>
      </c>
      <c r="H19054">
        <v>6</v>
      </c>
      <c r="I19054" s="3">
        <v>1696.56</v>
      </c>
      <c r="J19054" s="3">
        <v>380.51</v>
      </c>
      <c r="L19054">
        <v>516</v>
      </c>
      <c r="M19054" t="s">
        <v>36844</v>
      </c>
      <c r="N19054" t="s">
        <v>36845</v>
      </c>
      <c r="O19054" t="s">
        <v>423</v>
      </c>
      <c r="P19054" t="str">
        <f>"08879"</f>
        <v>08879</v>
      </c>
    </row>
    <row r="19055" spans="1:16" x14ac:dyDescent="0.25">
      <c r="A19055" t="str">
        <f>"1270076J00293    00"</f>
        <v>1270076J00293    00</v>
      </c>
      <c r="B19055" t="s">
        <v>41359</v>
      </c>
      <c r="C19055" t="s">
        <v>41360</v>
      </c>
      <c r="D19055" t="s">
        <v>20</v>
      </c>
      <c r="E19055" t="s">
        <v>39</v>
      </c>
      <c r="F19055">
        <v>0</v>
      </c>
      <c r="G19055">
        <v>0</v>
      </c>
      <c r="H19055">
        <v>12</v>
      </c>
      <c r="I19055" s="3">
        <v>2554.1999999999998</v>
      </c>
      <c r="J19055" s="3">
        <v>2034.64</v>
      </c>
      <c r="L19055">
        <v>20</v>
      </c>
      <c r="M19055" t="s">
        <v>41356</v>
      </c>
      <c r="N19055" t="s">
        <v>30</v>
      </c>
      <c r="O19055" t="s">
        <v>31</v>
      </c>
      <c r="P19055" t="str">
        <f>"15212"</f>
        <v>15212</v>
      </c>
    </row>
    <row r="19056" spans="1:16" x14ac:dyDescent="0.25">
      <c r="A19056" t="str">
        <f>"1270076J00294    00"</f>
        <v>1270076J00294    00</v>
      </c>
      <c r="B19056" t="s">
        <v>41361</v>
      </c>
      <c r="C19056" t="s">
        <v>41362</v>
      </c>
      <c r="D19056" t="s">
        <v>20</v>
      </c>
      <c r="E19056" t="s">
        <v>39</v>
      </c>
      <c r="F19056">
        <v>0</v>
      </c>
      <c r="G19056">
        <v>0</v>
      </c>
      <c r="H19056">
        <v>18</v>
      </c>
      <c r="I19056" s="3">
        <v>15694.04</v>
      </c>
      <c r="J19056" s="3">
        <v>15965.93</v>
      </c>
      <c r="L19056">
        <v>22</v>
      </c>
      <c r="M19056" t="s">
        <v>41356</v>
      </c>
      <c r="N19056" t="s">
        <v>30</v>
      </c>
      <c r="O19056" t="s">
        <v>31</v>
      </c>
      <c r="P19056" t="str">
        <f>"15212"</f>
        <v>15212</v>
      </c>
    </row>
    <row r="19057" spans="1:16" x14ac:dyDescent="0.25">
      <c r="A19057" t="str">
        <f>"1270076J00300    00"</f>
        <v>1270076J00300    00</v>
      </c>
      <c r="B19057" t="s">
        <v>41363</v>
      </c>
      <c r="C19057" t="s">
        <v>41364</v>
      </c>
      <c r="D19057" t="s">
        <v>20</v>
      </c>
      <c r="E19057" t="s">
        <v>39</v>
      </c>
      <c r="F19057">
        <v>0</v>
      </c>
      <c r="G19057">
        <v>0</v>
      </c>
      <c r="H19057">
        <v>1</v>
      </c>
      <c r="I19057" s="3">
        <v>665.21</v>
      </c>
      <c r="J19057" s="3">
        <v>0</v>
      </c>
      <c r="L19057">
        <v>118</v>
      </c>
      <c r="M19057" t="s">
        <v>41365</v>
      </c>
      <c r="N19057" t="s">
        <v>30</v>
      </c>
      <c r="O19057" t="s">
        <v>31</v>
      </c>
      <c r="P19057" t="str">
        <f>"15214"</f>
        <v>15214</v>
      </c>
    </row>
    <row r="19058" spans="1:16" x14ac:dyDescent="0.25">
      <c r="A19058" t="str">
        <f>"1270076J00304    00"</f>
        <v>1270076J00304    00</v>
      </c>
      <c r="B19058" t="s">
        <v>41366</v>
      </c>
      <c r="C19058" t="s">
        <v>41367</v>
      </c>
      <c r="E19058" t="s">
        <v>39</v>
      </c>
      <c r="F19058">
        <v>0</v>
      </c>
      <c r="G19058">
        <v>0</v>
      </c>
      <c r="H19058">
        <v>5</v>
      </c>
      <c r="I19058" s="3">
        <v>1752.1</v>
      </c>
      <c r="J19058" s="3">
        <v>2346.7399999999998</v>
      </c>
      <c r="K19058" t="s">
        <v>400</v>
      </c>
      <c r="L19058">
        <v>3001</v>
      </c>
      <c r="M19058" t="s">
        <v>330</v>
      </c>
      <c r="N19058" t="s">
        <v>331</v>
      </c>
      <c r="O19058" t="s">
        <v>108</v>
      </c>
      <c r="P19058" t="str">
        <f>"75063"</f>
        <v>75063</v>
      </c>
    </row>
    <row r="19059" spans="1:16" x14ac:dyDescent="0.25">
      <c r="A19059" t="str">
        <f>"1270076J00315    00"</f>
        <v>1270076J00315    00</v>
      </c>
      <c r="B19059" t="s">
        <v>41368</v>
      </c>
      <c r="C19059" t="s">
        <v>39797</v>
      </c>
      <c r="D19059" t="s">
        <v>20</v>
      </c>
      <c r="E19059" t="s">
        <v>39</v>
      </c>
      <c r="F19059">
        <v>0</v>
      </c>
      <c r="G19059">
        <v>0</v>
      </c>
      <c r="H19059">
        <v>16</v>
      </c>
      <c r="I19059" s="3">
        <v>8553.2199999999993</v>
      </c>
      <c r="J19059" s="3">
        <v>7569.65</v>
      </c>
      <c r="K19059" t="s">
        <v>41369</v>
      </c>
      <c r="L19059">
        <v>1308</v>
      </c>
      <c r="M19059" t="s">
        <v>41370</v>
      </c>
      <c r="N19059" t="s">
        <v>30</v>
      </c>
      <c r="O19059" t="s">
        <v>31</v>
      </c>
      <c r="P19059" t="str">
        <f>"15212"</f>
        <v>15212</v>
      </c>
    </row>
    <row r="19060" spans="1:16" x14ac:dyDescent="0.25">
      <c r="A19060" t="str">
        <f>"1270076J00317    00"</f>
        <v>1270076J00317    00</v>
      </c>
      <c r="B19060" t="s">
        <v>41371</v>
      </c>
      <c r="C19060" t="s">
        <v>41358</v>
      </c>
      <c r="D19060" t="s">
        <v>20</v>
      </c>
      <c r="E19060" t="s">
        <v>39</v>
      </c>
      <c r="F19060">
        <v>0</v>
      </c>
      <c r="G19060">
        <v>0</v>
      </c>
      <c r="H19060">
        <v>6</v>
      </c>
      <c r="I19060" s="3">
        <v>257.32</v>
      </c>
      <c r="J19060" s="3">
        <v>58.73</v>
      </c>
      <c r="K19060" t="s">
        <v>41372</v>
      </c>
      <c r="L19060">
        <v>1</v>
      </c>
      <c r="M19060" t="s">
        <v>41373</v>
      </c>
      <c r="N19060" t="s">
        <v>30</v>
      </c>
      <c r="O19060" t="s">
        <v>31</v>
      </c>
      <c r="P19060" t="str">
        <f>"15212"</f>
        <v>15212</v>
      </c>
    </row>
    <row r="19061" spans="1:16" x14ac:dyDescent="0.25">
      <c r="A19061" t="str">
        <f>"1270076J00318    00"</f>
        <v>1270076J00318    00</v>
      </c>
      <c r="B19061" t="s">
        <v>41374</v>
      </c>
      <c r="C19061" t="s">
        <v>41375</v>
      </c>
      <c r="D19061" t="s">
        <v>20</v>
      </c>
      <c r="E19061" t="s">
        <v>39</v>
      </c>
      <c r="F19061">
        <v>0</v>
      </c>
      <c r="G19061">
        <v>0</v>
      </c>
      <c r="H19061">
        <v>6</v>
      </c>
      <c r="I19061" s="3">
        <v>2646.96</v>
      </c>
      <c r="J19061" s="3">
        <v>632.66999999999996</v>
      </c>
      <c r="L19061">
        <v>1</v>
      </c>
      <c r="M19061" t="s">
        <v>41373</v>
      </c>
      <c r="N19061" t="s">
        <v>30</v>
      </c>
      <c r="O19061" t="s">
        <v>31</v>
      </c>
      <c r="P19061" t="str">
        <f>"15212"</f>
        <v>15212</v>
      </c>
    </row>
    <row r="19062" spans="1:16" x14ac:dyDescent="0.25">
      <c r="A19062" t="str">
        <f>"1270076J00333    00"</f>
        <v>1270076J00333    00</v>
      </c>
      <c r="B19062" t="s">
        <v>41376</v>
      </c>
      <c r="C19062" t="s">
        <v>41377</v>
      </c>
      <c r="D19062" t="s">
        <v>20</v>
      </c>
      <c r="E19062" t="s">
        <v>39</v>
      </c>
      <c r="F19062">
        <v>0</v>
      </c>
      <c r="G19062">
        <v>0</v>
      </c>
      <c r="H19062">
        <v>19</v>
      </c>
      <c r="I19062" s="3">
        <v>10669.54</v>
      </c>
      <c r="J19062" s="3">
        <v>10052.68</v>
      </c>
      <c r="M19062" t="s">
        <v>41378</v>
      </c>
      <c r="N19062" t="s">
        <v>30</v>
      </c>
      <c r="O19062" t="s">
        <v>31</v>
      </c>
      <c r="P19062" t="str">
        <f>"15205"</f>
        <v>15205</v>
      </c>
    </row>
    <row r="19063" spans="1:16" x14ac:dyDescent="0.25">
      <c r="A19063" t="str">
        <f>"1270076J00334    00"</f>
        <v>1270076J00334    00</v>
      </c>
      <c r="B19063" t="s">
        <v>41379</v>
      </c>
      <c r="C19063" t="s">
        <v>41358</v>
      </c>
      <c r="D19063" t="s">
        <v>20</v>
      </c>
      <c r="E19063" t="s">
        <v>39</v>
      </c>
      <c r="F19063">
        <v>0</v>
      </c>
      <c r="G19063">
        <v>0</v>
      </c>
      <c r="H19063">
        <v>14</v>
      </c>
      <c r="I19063" s="3">
        <v>3682.62</v>
      </c>
      <c r="J19063" s="3">
        <v>2173.34</v>
      </c>
      <c r="L19063">
        <v>105</v>
      </c>
      <c r="M19063" t="s">
        <v>41380</v>
      </c>
      <c r="N19063" t="s">
        <v>11008</v>
      </c>
      <c r="O19063" t="s">
        <v>370</v>
      </c>
      <c r="P19063" t="str">
        <f>"32080"</f>
        <v>32080</v>
      </c>
    </row>
    <row r="19064" spans="1:16" x14ac:dyDescent="0.25">
      <c r="A19064" t="str">
        <f>"1270076J00336    00"</f>
        <v>1270076J00336    00</v>
      </c>
      <c r="B19064" t="s">
        <v>41381</v>
      </c>
      <c r="C19064" t="s">
        <v>41382</v>
      </c>
      <c r="D19064" t="s">
        <v>20</v>
      </c>
      <c r="E19064" t="s">
        <v>39</v>
      </c>
      <c r="F19064">
        <v>0</v>
      </c>
      <c r="G19064">
        <v>0</v>
      </c>
      <c r="H19064">
        <v>8</v>
      </c>
      <c r="I19064" s="3">
        <v>2259.4699999999998</v>
      </c>
      <c r="J19064" s="3">
        <v>739.33</v>
      </c>
      <c r="L19064">
        <v>3906</v>
      </c>
      <c r="M19064" t="s">
        <v>38499</v>
      </c>
      <c r="N19064" t="s">
        <v>30</v>
      </c>
      <c r="O19064" t="s">
        <v>31</v>
      </c>
      <c r="P19064" t="str">
        <f>"15214"</f>
        <v>15214</v>
      </c>
    </row>
    <row r="19065" spans="1:16" x14ac:dyDescent="0.25">
      <c r="A19065" t="str">
        <f>"1270076J00337    00"</f>
        <v>1270076J00337    00</v>
      </c>
      <c r="B19065" t="s">
        <v>41383</v>
      </c>
      <c r="C19065" t="s">
        <v>41384</v>
      </c>
      <c r="D19065" t="s">
        <v>20</v>
      </c>
      <c r="E19065" t="s">
        <v>39</v>
      </c>
      <c r="F19065">
        <v>0</v>
      </c>
      <c r="G19065">
        <v>0</v>
      </c>
      <c r="H19065">
        <v>5</v>
      </c>
      <c r="I19065" s="3">
        <v>1281.42</v>
      </c>
      <c r="J19065" s="3">
        <v>1674.51</v>
      </c>
      <c r="L19065">
        <v>17</v>
      </c>
      <c r="M19065" t="s">
        <v>41356</v>
      </c>
      <c r="N19065" t="s">
        <v>30</v>
      </c>
      <c r="O19065" t="s">
        <v>31</v>
      </c>
      <c r="P19065" t="str">
        <f>"15212"</f>
        <v>15212</v>
      </c>
    </row>
    <row r="19066" spans="1:16" x14ac:dyDescent="0.25">
      <c r="A19066" t="str">
        <f>"1270076J00338    00"</f>
        <v>1270076J00338    00</v>
      </c>
      <c r="B19066" t="s">
        <v>40971</v>
      </c>
      <c r="C19066" t="s">
        <v>41358</v>
      </c>
      <c r="D19066" t="s">
        <v>20</v>
      </c>
      <c r="E19066" t="s">
        <v>39</v>
      </c>
      <c r="F19066">
        <v>0</v>
      </c>
      <c r="G19066">
        <v>0</v>
      </c>
      <c r="H19066">
        <v>5</v>
      </c>
      <c r="I19066" s="3">
        <v>84.36</v>
      </c>
      <c r="J19066" s="3">
        <v>14.94</v>
      </c>
      <c r="L19066">
        <v>3521</v>
      </c>
      <c r="M19066" t="s">
        <v>17198</v>
      </c>
      <c r="N19066" t="s">
        <v>30</v>
      </c>
      <c r="O19066" t="s">
        <v>31</v>
      </c>
      <c r="P19066" t="str">
        <f>"15212"</f>
        <v>15212</v>
      </c>
    </row>
    <row r="19067" spans="1:16" x14ac:dyDescent="0.25">
      <c r="A19067" t="str">
        <f>"1270076J00340    00"</f>
        <v>1270076J00340    00</v>
      </c>
      <c r="B19067" t="s">
        <v>41385</v>
      </c>
      <c r="C19067" t="s">
        <v>41358</v>
      </c>
      <c r="D19067" t="s">
        <v>20</v>
      </c>
      <c r="E19067" t="s">
        <v>39</v>
      </c>
      <c r="F19067">
        <v>0</v>
      </c>
      <c r="G19067">
        <v>0</v>
      </c>
      <c r="H19067">
        <v>6</v>
      </c>
      <c r="I19067" s="3">
        <v>100.7</v>
      </c>
      <c r="J19067" s="3">
        <v>22.97</v>
      </c>
      <c r="K19067" t="s">
        <v>41386</v>
      </c>
      <c r="L19067">
        <v>5</v>
      </c>
      <c r="M19067" t="s">
        <v>41356</v>
      </c>
      <c r="N19067" t="s">
        <v>30</v>
      </c>
      <c r="O19067" t="s">
        <v>31</v>
      </c>
      <c r="P19067" t="str">
        <f>"15212"</f>
        <v>15212</v>
      </c>
    </row>
    <row r="19068" spans="1:16" x14ac:dyDescent="0.25">
      <c r="A19068" t="str">
        <f>"1270076J00341    00"</f>
        <v>1270076J00341    00</v>
      </c>
      <c r="B19068" t="s">
        <v>41385</v>
      </c>
      <c r="C19068" t="s">
        <v>41358</v>
      </c>
      <c r="D19068" t="s">
        <v>20</v>
      </c>
      <c r="E19068" t="s">
        <v>39</v>
      </c>
      <c r="F19068">
        <v>0</v>
      </c>
      <c r="G19068">
        <v>0</v>
      </c>
      <c r="H19068">
        <v>6</v>
      </c>
      <c r="I19068" s="3">
        <v>167.83</v>
      </c>
      <c r="J19068" s="3">
        <v>38.299999999999997</v>
      </c>
      <c r="K19068" t="s">
        <v>41386</v>
      </c>
      <c r="L19068">
        <v>5</v>
      </c>
      <c r="M19068" t="s">
        <v>41356</v>
      </c>
      <c r="N19068" t="s">
        <v>30</v>
      </c>
      <c r="O19068" t="s">
        <v>31</v>
      </c>
      <c r="P19068" t="str">
        <f>"15212"</f>
        <v>15212</v>
      </c>
    </row>
    <row r="19069" spans="1:16" x14ac:dyDescent="0.25">
      <c r="A19069" t="str">
        <f>"1270076J00343    00"</f>
        <v>1270076J00343    00</v>
      </c>
      <c r="B19069" t="s">
        <v>41387</v>
      </c>
      <c r="C19069" t="s">
        <v>41388</v>
      </c>
      <c r="D19069" t="s">
        <v>20</v>
      </c>
      <c r="E19069" t="s">
        <v>39</v>
      </c>
      <c r="F19069">
        <v>0</v>
      </c>
      <c r="G19069">
        <v>0</v>
      </c>
      <c r="H19069">
        <v>15</v>
      </c>
      <c r="I19069" s="3">
        <v>2483.67</v>
      </c>
      <c r="J19069" s="3">
        <v>1413.1</v>
      </c>
      <c r="L19069">
        <v>5</v>
      </c>
      <c r="M19069" t="s">
        <v>41356</v>
      </c>
      <c r="N19069" t="s">
        <v>30</v>
      </c>
      <c r="O19069" t="s">
        <v>31</v>
      </c>
      <c r="P19069" t="str">
        <f>"15212"</f>
        <v>15212</v>
      </c>
    </row>
    <row r="19070" spans="1:16" x14ac:dyDescent="0.25">
      <c r="A19070" t="str">
        <f>"1270076J00347    00"</f>
        <v>1270076J00347    00</v>
      </c>
      <c r="B19070" t="s">
        <v>41389</v>
      </c>
      <c r="C19070" t="s">
        <v>41390</v>
      </c>
      <c r="D19070" t="s">
        <v>20</v>
      </c>
      <c r="E19070" t="s">
        <v>21</v>
      </c>
      <c r="F19070">
        <v>0</v>
      </c>
      <c r="G19070">
        <v>0</v>
      </c>
      <c r="H19070">
        <v>2</v>
      </c>
      <c r="I19070" s="3">
        <v>2421.91</v>
      </c>
      <c r="J19070" s="3">
        <v>0</v>
      </c>
      <c r="L19070">
        <v>114</v>
      </c>
      <c r="M19070" t="s">
        <v>41391</v>
      </c>
      <c r="N19070" t="s">
        <v>30</v>
      </c>
      <c r="O19070" t="s">
        <v>31</v>
      </c>
      <c r="P19070" t="str">
        <f>"15209"</f>
        <v>15209</v>
      </c>
    </row>
    <row r="19071" spans="1:16" x14ac:dyDescent="0.25">
      <c r="A19071" t="str">
        <f>"1270076J00350    00"</f>
        <v>1270076J00350    00</v>
      </c>
      <c r="B19071" t="s">
        <v>41392</v>
      </c>
      <c r="C19071" t="s">
        <v>41393</v>
      </c>
      <c r="D19071" t="s">
        <v>20</v>
      </c>
      <c r="E19071" t="s">
        <v>39</v>
      </c>
      <c r="F19071">
        <v>0</v>
      </c>
      <c r="G19071">
        <v>0</v>
      </c>
      <c r="H19071">
        <v>1</v>
      </c>
      <c r="I19071" s="3">
        <v>733.82</v>
      </c>
      <c r="J19071" s="3">
        <v>0</v>
      </c>
      <c r="K19071" t="s">
        <v>41394</v>
      </c>
      <c r="L19071">
        <v>3338</v>
      </c>
      <c r="M19071" t="s">
        <v>41028</v>
      </c>
      <c r="N19071" t="s">
        <v>30</v>
      </c>
      <c r="O19071" t="s">
        <v>31</v>
      </c>
      <c r="P19071" t="str">
        <f>"15212"</f>
        <v>15212</v>
      </c>
    </row>
    <row r="19072" spans="1:16" x14ac:dyDescent="0.25">
      <c r="A19072" t="str">
        <f>"1270076J00354    00"</f>
        <v>1270076J00354    00</v>
      </c>
      <c r="B19072" t="s">
        <v>41395</v>
      </c>
      <c r="C19072" t="s">
        <v>41396</v>
      </c>
      <c r="D19072" t="s">
        <v>20</v>
      </c>
      <c r="E19072" t="s">
        <v>39</v>
      </c>
      <c r="F19072">
        <v>0</v>
      </c>
      <c r="G19072">
        <v>0</v>
      </c>
      <c r="H19072">
        <v>13</v>
      </c>
      <c r="I19072" s="3">
        <v>6030.6</v>
      </c>
      <c r="J19072" s="3">
        <v>3546.27</v>
      </c>
      <c r="K19072" t="s">
        <v>41397</v>
      </c>
      <c r="L19072">
        <v>221</v>
      </c>
      <c r="M19072" t="s">
        <v>41398</v>
      </c>
      <c r="N19072" t="s">
        <v>30</v>
      </c>
      <c r="O19072" t="s">
        <v>31</v>
      </c>
      <c r="P19072" t="str">
        <f>"15202"</f>
        <v>15202</v>
      </c>
    </row>
    <row r="19073" spans="1:16" x14ac:dyDescent="0.25">
      <c r="A19073" t="str">
        <f>"1270076J00355    00"</f>
        <v>1270076J00355    00</v>
      </c>
      <c r="B19073" t="s">
        <v>41399</v>
      </c>
      <c r="C19073" t="s">
        <v>41027</v>
      </c>
      <c r="D19073" t="s">
        <v>20</v>
      </c>
      <c r="E19073" t="s">
        <v>39</v>
      </c>
      <c r="F19073">
        <v>0</v>
      </c>
      <c r="G19073">
        <v>0</v>
      </c>
      <c r="H19073">
        <v>12</v>
      </c>
      <c r="I19073" s="3">
        <v>587.05999999999995</v>
      </c>
      <c r="J19073" s="3">
        <v>633.49</v>
      </c>
      <c r="L19073">
        <v>3640</v>
      </c>
      <c r="M19073" t="s">
        <v>13961</v>
      </c>
      <c r="N19073" t="s">
        <v>30</v>
      </c>
      <c r="O19073" t="s">
        <v>31</v>
      </c>
      <c r="P19073" t="str">
        <f>"15212"</f>
        <v>15212</v>
      </c>
    </row>
    <row r="19074" spans="1:16" x14ac:dyDescent="0.25">
      <c r="A19074" t="str">
        <f>"1270076J00358    00"</f>
        <v>1270076J00358    00</v>
      </c>
      <c r="B19074" t="s">
        <v>41400</v>
      </c>
      <c r="C19074" t="s">
        <v>41401</v>
      </c>
      <c r="D19074" t="s">
        <v>20</v>
      </c>
      <c r="E19074" t="s">
        <v>39</v>
      </c>
      <c r="F19074">
        <v>0</v>
      </c>
      <c r="G19074">
        <v>0</v>
      </c>
      <c r="H19074">
        <v>19</v>
      </c>
      <c r="I19074" s="3">
        <v>10025.58</v>
      </c>
      <c r="J19074" s="3">
        <v>12275.54</v>
      </c>
      <c r="P19074" t="str">
        <f>""</f>
        <v/>
      </c>
    </row>
    <row r="19075" spans="1:16" x14ac:dyDescent="0.25">
      <c r="A19075" t="str">
        <f>"1270076J00359    00"</f>
        <v>1270076J00359    00</v>
      </c>
      <c r="B19075" t="s">
        <v>41402</v>
      </c>
      <c r="C19075" t="s">
        <v>41403</v>
      </c>
      <c r="D19075" t="s">
        <v>20</v>
      </c>
      <c r="E19075" t="s">
        <v>39</v>
      </c>
      <c r="F19075">
        <v>0</v>
      </c>
      <c r="G19075">
        <v>0</v>
      </c>
      <c r="H19075">
        <v>8</v>
      </c>
      <c r="I19075" s="3">
        <v>4320.29</v>
      </c>
      <c r="J19075" s="3">
        <v>1368.31</v>
      </c>
      <c r="L19075">
        <v>147</v>
      </c>
      <c r="M19075" t="s">
        <v>41028</v>
      </c>
      <c r="N19075" t="s">
        <v>30</v>
      </c>
      <c r="O19075" t="s">
        <v>31</v>
      </c>
      <c r="P19075" t="str">
        <f>"15212"</f>
        <v>15212</v>
      </c>
    </row>
    <row r="19076" spans="1:16" x14ac:dyDescent="0.25">
      <c r="A19076" t="str">
        <f>"1270076J00381    00"</f>
        <v>1270076J00381    00</v>
      </c>
      <c r="B19076" t="s">
        <v>41404</v>
      </c>
      <c r="C19076" t="s">
        <v>41405</v>
      </c>
      <c r="D19076" t="s">
        <v>20</v>
      </c>
      <c r="E19076" t="s">
        <v>39</v>
      </c>
      <c r="F19076">
        <v>0</v>
      </c>
      <c r="G19076">
        <v>0</v>
      </c>
      <c r="H19076">
        <v>5</v>
      </c>
      <c r="I19076" s="3">
        <v>3155.75</v>
      </c>
      <c r="J19076" s="3">
        <v>545.20000000000005</v>
      </c>
      <c r="L19076">
        <v>1315</v>
      </c>
      <c r="M19076" t="s">
        <v>37737</v>
      </c>
      <c r="N19076" t="s">
        <v>30</v>
      </c>
      <c r="O19076" t="s">
        <v>31</v>
      </c>
      <c r="P19076" t="str">
        <f>"15212"</f>
        <v>15212</v>
      </c>
    </row>
    <row r="19077" spans="1:16" x14ac:dyDescent="0.25">
      <c r="A19077" t="str">
        <f>"1270076J00382    00"</f>
        <v>1270076J00382    00</v>
      </c>
      <c r="B19077" t="s">
        <v>41406</v>
      </c>
      <c r="C19077" t="s">
        <v>41407</v>
      </c>
      <c r="D19077" t="s">
        <v>20</v>
      </c>
      <c r="E19077" t="s">
        <v>39</v>
      </c>
      <c r="F19077">
        <v>0</v>
      </c>
      <c r="G19077">
        <v>0</v>
      </c>
      <c r="H19077">
        <v>18</v>
      </c>
      <c r="I19077" s="3">
        <v>8624.84</v>
      </c>
      <c r="J19077" s="3">
        <v>8099.54</v>
      </c>
      <c r="L19077">
        <v>88</v>
      </c>
      <c r="M19077" t="s">
        <v>41408</v>
      </c>
      <c r="N19077" t="s">
        <v>30</v>
      </c>
      <c r="O19077" t="s">
        <v>31</v>
      </c>
      <c r="P19077" t="str">
        <f>"15202"</f>
        <v>15202</v>
      </c>
    </row>
    <row r="19078" spans="1:16" x14ac:dyDescent="0.25">
      <c r="A19078" t="str">
        <f>"1270076J00383    00"</f>
        <v>1270076J00383    00</v>
      </c>
      <c r="B19078" t="s">
        <v>39128</v>
      </c>
      <c r="C19078" t="s">
        <v>41409</v>
      </c>
      <c r="D19078" t="s">
        <v>20</v>
      </c>
      <c r="E19078" t="s">
        <v>39</v>
      </c>
      <c r="F19078">
        <v>0</v>
      </c>
      <c r="G19078">
        <v>0</v>
      </c>
      <c r="H19078">
        <v>2</v>
      </c>
      <c r="I19078" s="3">
        <v>922.06</v>
      </c>
      <c r="J19078" s="3">
        <v>0</v>
      </c>
      <c r="M19078" t="s">
        <v>39130</v>
      </c>
      <c r="N19078" t="s">
        <v>1067</v>
      </c>
      <c r="O19078" t="s">
        <v>31</v>
      </c>
      <c r="P19078" t="str">
        <f>"15143"</f>
        <v>15143</v>
      </c>
    </row>
    <row r="19079" spans="1:16" x14ac:dyDescent="0.25">
      <c r="A19079" t="str">
        <f>"1270076J00385    00"</f>
        <v>1270076J00385    00</v>
      </c>
      <c r="B19079" t="s">
        <v>39128</v>
      </c>
      <c r="C19079" t="s">
        <v>41410</v>
      </c>
      <c r="D19079" t="s">
        <v>20</v>
      </c>
      <c r="E19079" t="s">
        <v>39</v>
      </c>
      <c r="F19079">
        <v>0</v>
      </c>
      <c r="G19079">
        <v>0</v>
      </c>
      <c r="H19079">
        <v>2</v>
      </c>
      <c r="I19079" s="3">
        <v>423.38</v>
      </c>
      <c r="J19079" s="3">
        <v>0</v>
      </c>
      <c r="M19079" t="s">
        <v>39130</v>
      </c>
      <c r="N19079" t="s">
        <v>1067</v>
      </c>
      <c r="O19079" t="s">
        <v>31</v>
      </c>
      <c r="P19079" t="str">
        <f>"15143"</f>
        <v>15143</v>
      </c>
    </row>
    <row r="19080" spans="1:16" x14ac:dyDescent="0.25">
      <c r="A19080" t="str">
        <f>"1270076K00002    00"</f>
        <v>1270076K00002    00</v>
      </c>
      <c r="B19080" t="s">
        <v>41411</v>
      </c>
      <c r="C19080" t="s">
        <v>41412</v>
      </c>
      <c r="D19080" t="s">
        <v>20</v>
      </c>
      <c r="E19080" t="s">
        <v>39</v>
      </c>
      <c r="F19080">
        <v>0</v>
      </c>
      <c r="G19080">
        <v>0</v>
      </c>
      <c r="H19080">
        <v>14</v>
      </c>
      <c r="I19080" s="3">
        <v>8706.44</v>
      </c>
      <c r="J19080" s="3">
        <v>5251.6</v>
      </c>
      <c r="L19080">
        <v>247</v>
      </c>
      <c r="M19080" t="s">
        <v>26253</v>
      </c>
      <c r="N19080" t="s">
        <v>30</v>
      </c>
      <c r="O19080" t="s">
        <v>31</v>
      </c>
      <c r="P19080" t="str">
        <f>"15211"</f>
        <v>15211</v>
      </c>
    </row>
    <row r="19081" spans="1:16" x14ac:dyDescent="0.25">
      <c r="A19081" t="str">
        <f>"1270076K00036    00"</f>
        <v>1270076K00036    00</v>
      </c>
      <c r="B19081" t="s">
        <v>41413</v>
      </c>
      <c r="C19081" t="s">
        <v>41414</v>
      </c>
      <c r="E19081" t="s">
        <v>39</v>
      </c>
      <c r="F19081">
        <v>0</v>
      </c>
      <c r="G19081">
        <v>0</v>
      </c>
      <c r="H19081">
        <v>1</v>
      </c>
      <c r="I19081" s="3">
        <v>42.65</v>
      </c>
      <c r="J19081" s="3">
        <v>12.79</v>
      </c>
      <c r="L19081">
        <v>945</v>
      </c>
      <c r="M19081" t="s">
        <v>4776</v>
      </c>
      <c r="N19081" t="s">
        <v>30</v>
      </c>
      <c r="O19081" t="s">
        <v>31</v>
      </c>
      <c r="P19081" t="str">
        <f>"15212"</f>
        <v>15212</v>
      </c>
    </row>
    <row r="19082" spans="1:16" x14ac:dyDescent="0.25">
      <c r="A19082" t="str">
        <f>"1270076K00061    00"</f>
        <v>1270076K00061    00</v>
      </c>
      <c r="B19082" t="s">
        <v>41415</v>
      </c>
      <c r="C19082" t="s">
        <v>41416</v>
      </c>
      <c r="D19082" t="s">
        <v>20</v>
      </c>
      <c r="E19082" t="s">
        <v>39</v>
      </c>
      <c r="F19082">
        <v>0</v>
      </c>
      <c r="G19082">
        <v>0</v>
      </c>
      <c r="H19082">
        <v>3</v>
      </c>
      <c r="I19082" s="3">
        <v>1948.55</v>
      </c>
      <c r="J19082" s="3">
        <v>141.72999999999999</v>
      </c>
      <c r="K19082" t="s">
        <v>41417</v>
      </c>
      <c r="L19082">
        <v>7604</v>
      </c>
      <c r="M19082" t="s">
        <v>16367</v>
      </c>
      <c r="N19082" t="s">
        <v>30</v>
      </c>
      <c r="O19082" t="s">
        <v>31</v>
      </c>
      <c r="P19082" t="str">
        <f>"15208"</f>
        <v>15208</v>
      </c>
    </row>
    <row r="19083" spans="1:16" x14ac:dyDescent="0.25">
      <c r="A19083" t="str">
        <f>"1270076K00070    00"</f>
        <v>1270076K00070    00</v>
      </c>
      <c r="B19083" t="s">
        <v>41418</v>
      </c>
      <c r="C19083" t="s">
        <v>41419</v>
      </c>
      <c r="D19083" t="s">
        <v>20</v>
      </c>
      <c r="E19083" t="s">
        <v>290</v>
      </c>
      <c r="F19083">
        <v>0</v>
      </c>
      <c r="G19083">
        <v>0</v>
      </c>
      <c r="H19083">
        <v>11</v>
      </c>
      <c r="I19083" s="3">
        <v>11420.94</v>
      </c>
      <c r="J19083" s="3">
        <v>8215.44</v>
      </c>
      <c r="L19083">
        <v>33</v>
      </c>
      <c r="M19083" t="s">
        <v>41420</v>
      </c>
      <c r="N19083" t="s">
        <v>30</v>
      </c>
      <c r="O19083" t="s">
        <v>31</v>
      </c>
      <c r="P19083" t="str">
        <f>"15229"</f>
        <v>15229</v>
      </c>
    </row>
    <row r="19084" spans="1:16" x14ac:dyDescent="0.25">
      <c r="A19084" t="str">
        <f>"1270076K00073    00"</f>
        <v>1270076K00073    00</v>
      </c>
      <c r="B19084" t="s">
        <v>41421</v>
      </c>
      <c r="C19084" t="s">
        <v>41422</v>
      </c>
      <c r="D19084" t="s">
        <v>20</v>
      </c>
      <c r="E19084" t="s">
        <v>39</v>
      </c>
      <c r="F19084">
        <v>0</v>
      </c>
      <c r="G19084">
        <v>0</v>
      </c>
      <c r="H19084">
        <v>1</v>
      </c>
      <c r="I19084" s="3">
        <v>530.34</v>
      </c>
      <c r="J19084" s="3">
        <v>0</v>
      </c>
      <c r="K19084" t="s">
        <v>391</v>
      </c>
      <c r="L19084">
        <v>1</v>
      </c>
      <c r="M19084" t="s">
        <v>392</v>
      </c>
      <c r="N19084" t="s">
        <v>393</v>
      </c>
      <c r="O19084" t="s">
        <v>394</v>
      </c>
      <c r="P19084" t="str">
        <f>"50328"</f>
        <v>50328</v>
      </c>
    </row>
    <row r="19085" spans="1:16" x14ac:dyDescent="0.25">
      <c r="A19085" t="str">
        <f>"1270076K00077    00"</f>
        <v>1270076K00077    00</v>
      </c>
      <c r="B19085" t="s">
        <v>25732</v>
      </c>
      <c r="C19085" t="s">
        <v>41423</v>
      </c>
      <c r="D19085" t="s">
        <v>20</v>
      </c>
      <c r="E19085" t="s">
        <v>39</v>
      </c>
      <c r="F19085">
        <v>0</v>
      </c>
      <c r="G19085">
        <v>0</v>
      </c>
      <c r="H19085">
        <v>10</v>
      </c>
      <c r="I19085" s="3">
        <v>6658.35</v>
      </c>
      <c r="J19085" s="3">
        <v>2850.98</v>
      </c>
      <c r="L19085">
        <v>715</v>
      </c>
      <c r="M19085" t="s">
        <v>25734</v>
      </c>
      <c r="N19085" t="s">
        <v>25735</v>
      </c>
      <c r="O19085" t="s">
        <v>31</v>
      </c>
      <c r="P19085" t="str">
        <f>"19401"</f>
        <v>19401</v>
      </c>
    </row>
    <row r="19086" spans="1:16" x14ac:dyDescent="0.25">
      <c r="A19086" t="str">
        <f>"1270076K00079    00"</f>
        <v>1270076K00079    00</v>
      </c>
      <c r="B19086" t="s">
        <v>41424</v>
      </c>
      <c r="C19086" t="s">
        <v>41425</v>
      </c>
      <c r="D19086" t="s">
        <v>20</v>
      </c>
      <c r="E19086" t="s">
        <v>39</v>
      </c>
      <c r="F19086">
        <v>0</v>
      </c>
      <c r="G19086">
        <v>0</v>
      </c>
      <c r="H19086">
        <v>14</v>
      </c>
      <c r="I19086" s="3">
        <v>17337.32</v>
      </c>
      <c r="J19086" s="3">
        <v>9934.27</v>
      </c>
      <c r="L19086">
        <v>1536</v>
      </c>
      <c r="M19086" t="s">
        <v>11413</v>
      </c>
      <c r="N19086" t="s">
        <v>30</v>
      </c>
      <c r="O19086" t="s">
        <v>31</v>
      </c>
      <c r="P19086" t="str">
        <f>"15212"</f>
        <v>15212</v>
      </c>
    </row>
    <row r="19087" spans="1:16" x14ac:dyDescent="0.25">
      <c r="A19087" t="str">
        <f>"1270076K00083    00"</f>
        <v>1270076K00083    00</v>
      </c>
      <c r="B19087" t="s">
        <v>41233</v>
      </c>
      <c r="C19087" t="s">
        <v>41426</v>
      </c>
      <c r="D19087" t="s">
        <v>20</v>
      </c>
      <c r="E19087" t="s">
        <v>39</v>
      </c>
      <c r="F19087">
        <v>0</v>
      </c>
      <c r="G19087">
        <v>0</v>
      </c>
      <c r="H19087">
        <v>2</v>
      </c>
      <c r="I19087" s="3">
        <v>1620.12</v>
      </c>
      <c r="J19087" s="3">
        <v>0</v>
      </c>
      <c r="L19087">
        <v>219</v>
      </c>
      <c r="M19087" t="s">
        <v>39818</v>
      </c>
      <c r="N19087" t="s">
        <v>30</v>
      </c>
      <c r="O19087" t="s">
        <v>31</v>
      </c>
      <c r="P19087" t="str">
        <f>"15237"</f>
        <v>15237</v>
      </c>
    </row>
    <row r="19088" spans="1:16" x14ac:dyDescent="0.25">
      <c r="A19088" t="str">
        <f>"1270076K00084    00"</f>
        <v>1270076K00084    00</v>
      </c>
      <c r="B19088" t="s">
        <v>41427</v>
      </c>
      <c r="C19088" t="s">
        <v>41428</v>
      </c>
      <c r="D19088" t="s">
        <v>20</v>
      </c>
      <c r="E19088" t="s">
        <v>39</v>
      </c>
      <c r="F19088">
        <v>0</v>
      </c>
      <c r="G19088">
        <v>0</v>
      </c>
      <c r="H19088">
        <v>2</v>
      </c>
      <c r="I19088" s="3">
        <v>2096.6</v>
      </c>
      <c r="J19088" s="3">
        <v>0</v>
      </c>
      <c r="L19088">
        <v>219</v>
      </c>
      <c r="M19088" t="s">
        <v>39818</v>
      </c>
      <c r="N19088" t="s">
        <v>30</v>
      </c>
      <c r="O19088" t="s">
        <v>31</v>
      </c>
      <c r="P19088" t="str">
        <f>"15237"</f>
        <v>15237</v>
      </c>
    </row>
    <row r="19089" spans="1:16" x14ac:dyDescent="0.25">
      <c r="A19089" t="str">
        <f>"1270076K00087    00"</f>
        <v>1270076K00087    00</v>
      </c>
      <c r="B19089" t="s">
        <v>41429</v>
      </c>
      <c r="C19089" t="s">
        <v>41430</v>
      </c>
      <c r="D19089" t="s">
        <v>20</v>
      </c>
      <c r="E19089" t="s">
        <v>39</v>
      </c>
      <c r="F19089">
        <v>0</v>
      </c>
      <c r="G19089">
        <v>0</v>
      </c>
      <c r="H19089">
        <v>1</v>
      </c>
      <c r="I19089" s="3">
        <v>246.19</v>
      </c>
      <c r="J19089" s="3">
        <v>0</v>
      </c>
      <c r="L19089">
        <v>1109</v>
      </c>
      <c r="M19089" t="s">
        <v>4776</v>
      </c>
      <c r="N19089" t="s">
        <v>30</v>
      </c>
      <c r="O19089" t="s">
        <v>31</v>
      </c>
      <c r="P19089" t="str">
        <f>"15212"</f>
        <v>15212</v>
      </c>
    </row>
    <row r="19090" spans="1:16" x14ac:dyDescent="0.25">
      <c r="A19090" t="str">
        <f>"1270076K00088    00"</f>
        <v>1270076K00088    00</v>
      </c>
      <c r="B19090" t="s">
        <v>39485</v>
      </c>
      <c r="C19090" t="s">
        <v>41431</v>
      </c>
      <c r="D19090" t="s">
        <v>20</v>
      </c>
      <c r="E19090" t="s">
        <v>39</v>
      </c>
      <c r="F19090">
        <v>0</v>
      </c>
      <c r="G19090">
        <v>0</v>
      </c>
      <c r="H19090">
        <v>2</v>
      </c>
      <c r="I19090" s="3">
        <v>132.72</v>
      </c>
      <c r="J19090" s="3">
        <v>16.36</v>
      </c>
      <c r="L19090">
        <v>1113</v>
      </c>
      <c r="M19090" t="s">
        <v>4776</v>
      </c>
      <c r="N19090" t="s">
        <v>30</v>
      </c>
      <c r="O19090" t="s">
        <v>31</v>
      </c>
      <c r="P19090" t="str">
        <f>"15212"</f>
        <v>15212</v>
      </c>
    </row>
    <row r="19091" spans="1:16" x14ac:dyDescent="0.25">
      <c r="A19091" t="str">
        <f>"1270076K00089    00"</f>
        <v>1270076K00089    00</v>
      </c>
      <c r="B19091" t="s">
        <v>39485</v>
      </c>
      <c r="C19091" t="s">
        <v>41431</v>
      </c>
      <c r="D19091" t="s">
        <v>20</v>
      </c>
      <c r="E19091" t="s">
        <v>39</v>
      </c>
      <c r="F19091">
        <v>0</v>
      </c>
      <c r="G19091">
        <v>0</v>
      </c>
      <c r="H19091">
        <v>6</v>
      </c>
      <c r="I19091" s="3">
        <v>102.72</v>
      </c>
      <c r="J19091" s="3">
        <v>23.34</v>
      </c>
      <c r="L19091">
        <v>1113</v>
      </c>
      <c r="M19091" t="s">
        <v>4776</v>
      </c>
      <c r="N19091" t="s">
        <v>30</v>
      </c>
      <c r="O19091" t="s">
        <v>31</v>
      </c>
      <c r="P19091" t="str">
        <f>"15212"</f>
        <v>15212</v>
      </c>
    </row>
    <row r="19092" spans="1:16" x14ac:dyDescent="0.25">
      <c r="A19092" t="str">
        <f>"1270076K00090    00"</f>
        <v>1270076K00090    00</v>
      </c>
      <c r="B19092" t="s">
        <v>41432</v>
      </c>
      <c r="C19092" t="s">
        <v>41433</v>
      </c>
      <c r="D19092" t="s">
        <v>20</v>
      </c>
      <c r="E19092" t="s">
        <v>39</v>
      </c>
      <c r="F19092">
        <v>0</v>
      </c>
      <c r="G19092">
        <v>0</v>
      </c>
      <c r="H19092">
        <v>16</v>
      </c>
      <c r="I19092" s="3">
        <v>8365.68</v>
      </c>
      <c r="J19092" s="3">
        <v>8182.42</v>
      </c>
      <c r="L19092">
        <v>3469</v>
      </c>
      <c r="M19092" t="s">
        <v>37050</v>
      </c>
      <c r="N19092" t="s">
        <v>30</v>
      </c>
      <c r="O19092" t="s">
        <v>31</v>
      </c>
      <c r="P19092" t="str">
        <f>"15212"</f>
        <v>15212</v>
      </c>
    </row>
    <row r="19093" spans="1:16" x14ac:dyDescent="0.25">
      <c r="A19093" t="str">
        <f>"1270076K00091    00"</f>
        <v>1270076K00091    00</v>
      </c>
      <c r="B19093" t="s">
        <v>41434</v>
      </c>
      <c r="C19093" t="s">
        <v>41433</v>
      </c>
      <c r="D19093" t="s">
        <v>20</v>
      </c>
      <c r="E19093" t="s">
        <v>39</v>
      </c>
      <c r="F19093">
        <v>0</v>
      </c>
      <c r="G19093">
        <v>0</v>
      </c>
      <c r="H19093">
        <v>17</v>
      </c>
      <c r="I19093" s="3">
        <v>9333.44</v>
      </c>
      <c r="J19093" s="3">
        <v>9850.1</v>
      </c>
      <c r="L19093">
        <v>38</v>
      </c>
      <c r="M19093" t="s">
        <v>41435</v>
      </c>
      <c r="N19093" t="s">
        <v>11934</v>
      </c>
      <c r="O19093" t="s">
        <v>554</v>
      </c>
      <c r="P19093" t="str">
        <f>"25414"</f>
        <v>25414</v>
      </c>
    </row>
    <row r="19094" spans="1:16" x14ac:dyDescent="0.25">
      <c r="A19094" t="str">
        <f>"1270076K00092    00"</f>
        <v>1270076K00092    00</v>
      </c>
      <c r="B19094" t="s">
        <v>41436</v>
      </c>
      <c r="C19094" t="s">
        <v>41433</v>
      </c>
      <c r="D19094" t="s">
        <v>20</v>
      </c>
      <c r="E19094" t="s">
        <v>39</v>
      </c>
      <c r="F19094">
        <v>0</v>
      </c>
      <c r="G19094">
        <v>0</v>
      </c>
      <c r="H19094">
        <v>19</v>
      </c>
      <c r="I19094" s="3">
        <v>8549.73</v>
      </c>
      <c r="J19094" s="3">
        <v>11330.17</v>
      </c>
      <c r="K19094" t="s">
        <v>41437</v>
      </c>
      <c r="L19094">
        <v>1119</v>
      </c>
      <c r="M19094" t="s">
        <v>4776</v>
      </c>
      <c r="N19094" t="s">
        <v>30</v>
      </c>
      <c r="O19094" t="s">
        <v>31</v>
      </c>
      <c r="P19094" t="str">
        <f>"15212"</f>
        <v>15212</v>
      </c>
    </row>
    <row r="19095" spans="1:16" x14ac:dyDescent="0.25">
      <c r="A19095" t="str">
        <f>"1270076K00102    00"</f>
        <v>1270076K00102    00</v>
      </c>
      <c r="B19095" t="s">
        <v>41438</v>
      </c>
      <c r="C19095" t="s">
        <v>41439</v>
      </c>
      <c r="D19095" t="s">
        <v>20</v>
      </c>
      <c r="E19095" t="s">
        <v>39</v>
      </c>
      <c r="F19095">
        <v>0</v>
      </c>
      <c r="G19095">
        <v>0</v>
      </c>
      <c r="H19095">
        <v>1</v>
      </c>
      <c r="I19095" s="3">
        <v>505.1</v>
      </c>
      <c r="J19095" s="3">
        <v>0</v>
      </c>
      <c r="K19095" t="s">
        <v>41440</v>
      </c>
      <c r="L19095">
        <v>3207</v>
      </c>
      <c r="M19095" t="s">
        <v>39195</v>
      </c>
      <c r="N19095" t="s">
        <v>30</v>
      </c>
      <c r="O19095" t="s">
        <v>31</v>
      </c>
      <c r="P19095" t="str">
        <f>"15212"</f>
        <v>15212</v>
      </c>
    </row>
    <row r="19096" spans="1:16" x14ac:dyDescent="0.25">
      <c r="A19096" t="str">
        <f>"1270076K00103    00"</f>
        <v>1270076K00103    00</v>
      </c>
      <c r="B19096" t="s">
        <v>41441</v>
      </c>
      <c r="C19096" t="s">
        <v>41442</v>
      </c>
      <c r="D19096" t="s">
        <v>20</v>
      </c>
      <c r="E19096" t="s">
        <v>39</v>
      </c>
      <c r="F19096">
        <v>0</v>
      </c>
      <c r="G19096">
        <v>0</v>
      </c>
      <c r="H19096">
        <v>2</v>
      </c>
      <c r="I19096" s="3">
        <v>224.94</v>
      </c>
      <c r="J19096" s="3">
        <v>0</v>
      </c>
      <c r="K19096" t="s">
        <v>41443</v>
      </c>
      <c r="L19096">
        <v>3611</v>
      </c>
      <c r="M19096" t="s">
        <v>41444</v>
      </c>
      <c r="N19096" t="s">
        <v>1745</v>
      </c>
      <c r="O19096" t="s">
        <v>495</v>
      </c>
      <c r="P19096" t="str">
        <f>"92704"</f>
        <v>92704</v>
      </c>
    </row>
    <row r="19097" spans="1:16" x14ac:dyDescent="0.25">
      <c r="A19097" t="str">
        <f>"1270076K00106    00"</f>
        <v>1270076K00106    00</v>
      </c>
      <c r="B19097" t="s">
        <v>41445</v>
      </c>
      <c r="C19097" t="s">
        <v>41446</v>
      </c>
      <c r="D19097" t="s">
        <v>20</v>
      </c>
      <c r="E19097" t="s">
        <v>39</v>
      </c>
      <c r="F19097">
        <v>0</v>
      </c>
      <c r="G19097">
        <v>0</v>
      </c>
      <c r="H19097">
        <v>1</v>
      </c>
      <c r="I19097" s="3">
        <v>731.91</v>
      </c>
      <c r="J19097" s="3">
        <v>0</v>
      </c>
      <c r="K19097" t="s">
        <v>41447</v>
      </c>
      <c r="L19097">
        <v>3227</v>
      </c>
      <c r="M19097" t="s">
        <v>41448</v>
      </c>
      <c r="N19097" t="s">
        <v>40731</v>
      </c>
      <c r="O19097" t="s">
        <v>370</v>
      </c>
      <c r="P19097" t="str">
        <f>"33458"</f>
        <v>33458</v>
      </c>
    </row>
    <row r="19098" spans="1:16" x14ac:dyDescent="0.25">
      <c r="A19098" t="str">
        <f>"1270076K00108    00"</f>
        <v>1270076K00108    00</v>
      </c>
      <c r="B19098" t="s">
        <v>41449</v>
      </c>
      <c r="C19098" t="s">
        <v>41450</v>
      </c>
      <c r="D19098" t="s">
        <v>20</v>
      </c>
      <c r="E19098" t="s">
        <v>21</v>
      </c>
      <c r="F19098">
        <v>0</v>
      </c>
      <c r="G19098">
        <v>0</v>
      </c>
      <c r="H19098">
        <v>3</v>
      </c>
      <c r="I19098" s="3">
        <v>2606.63</v>
      </c>
      <c r="J19098" s="3">
        <v>288.38</v>
      </c>
      <c r="L19098">
        <v>3219</v>
      </c>
      <c r="M19098" t="s">
        <v>39195</v>
      </c>
      <c r="N19098" t="s">
        <v>30</v>
      </c>
      <c r="O19098" t="s">
        <v>31</v>
      </c>
      <c r="P19098" t="str">
        <f>"15212"</f>
        <v>15212</v>
      </c>
    </row>
    <row r="19099" spans="1:16" x14ac:dyDescent="0.25">
      <c r="A19099" t="str">
        <f>"1270076K00119    00"</f>
        <v>1270076K00119    00</v>
      </c>
      <c r="B19099" t="s">
        <v>41451</v>
      </c>
      <c r="C19099" t="s">
        <v>41452</v>
      </c>
      <c r="D19099" t="s">
        <v>20</v>
      </c>
      <c r="E19099" t="s">
        <v>39</v>
      </c>
      <c r="F19099">
        <v>0</v>
      </c>
      <c r="G19099">
        <v>0</v>
      </c>
      <c r="H19099">
        <v>1</v>
      </c>
      <c r="I19099" s="3">
        <v>236.81</v>
      </c>
      <c r="J19099" s="3">
        <v>0</v>
      </c>
      <c r="L19099">
        <v>3220</v>
      </c>
      <c r="M19099" t="s">
        <v>39195</v>
      </c>
      <c r="N19099" t="s">
        <v>30</v>
      </c>
      <c r="O19099" t="s">
        <v>31</v>
      </c>
      <c r="P19099" t="str">
        <f>"15212"</f>
        <v>15212</v>
      </c>
    </row>
    <row r="19100" spans="1:16" x14ac:dyDescent="0.25">
      <c r="A19100" t="str">
        <f>"1270076K00132    00"</f>
        <v>1270076K00132    00</v>
      </c>
      <c r="B19100" t="s">
        <v>41453</v>
      </c>
      <c r="C19100" t="s">
        <v>41454</v>
      </c>
      <c r="D19100" t="s">
        <v>20</v>
      </c>
      <c r="E19100" t="s">
        <v>39</v>
      </c>
      <c r="F19100">
        <v>0</v>
      </c>
      <c r="G19100">
        <v>0</v>
      </c>
      <c r="H19100">
        <v>15</v>
      </c>
      <c r="I19100" s="3">
        <v>12852.2</v>
      </c>
      <c r="J19100" s="3">
        <v>7975.74</v>
      </c>
      <c r="L19100">
        <v>745</v>
      </c>
      <c r="M19100" t="s">
        <v>37879</v>
      </c>
      <c r="N19100" t="s">
        <v>2008</v>
      </c>
      <c r="O19100" t="s">
        <v>31</v>
      </c>
      <c r="P19100" t="str">
        <f>"16066"</f>
        <v>16066</v>
      </c>
    </row>
    <row r="19101" spans="1:16" x14ac:dyDescent="0.25">
      <c r="A19101" t="str">
        <f>"1270076K00141    00"</f>
        <v>1270076K00141    00</v>
      </c>
      <c r="B19101" t="s">
        <v>41455</v>
      </c>
      <c r="C19101" t="s">
        <v>41456</v>
      </c>
      <c r="D19101" t="s">
        <v>20</v>
      </c>
      <c r="E19101" t="s">
        <v>39</v>
      </c>
      <c r="F19101">
        <v>0</v>
      </c>
      <c r="G19101">
        <v>0</v>
      </c>
      <c r="H19101">
        <v>8</v>
      </c>
      <c r="I19101" s="3">
        <v>2986.3</v>
      </c>
      <c r="J19101" s="3">
        <v>1323.49</v>
      </c>
      <c r="L19101">
        <v>1028</v>
      </c>
      <c r="M19101" t="s">
        <v>4776</v>
      </c>
      <c r="N19101" t="s">
        <v>30</v>
      </c>
      <c r="O19101" t="s">
        <v>31</v>
      </c>
      <c r="P19101" t="str">
        <f>"15212"</f>
        <v>15212</v>
      </c>
    </row>
    <row r="19102" spans="1:16" x14ac:dyDescent="0.25">
      <c r="A19102" t="str">
        <f>"1270076K00143    00"</f>
        <v>1270076K00143    00</v>
      </c>
      <c r="B19102" t="s">
        <v>41457</v>
      </c>
      <c r="C19102" t="s">
        <v>41458</v>
      </c>
      <c r="D19102" t="s">
        <v>20</v>
      </c>
      <c r="E19102" t="s">
        <v>39</v>
      </c>
      <c r="F19102">
        <v>0</v>
      </c>
      <c r="G19102">
        <v>0</v>
      </c>
      <c r="H19102">
        <v>6</v>
      </c>
      <c r="I19102" s="3">
        <v>4999.63</v>
      </c>
      <c r="J19102" s="3">
        <v>1121.3</v>
      </c>
      <c r="L19102">
        <v>16</v>
      </c>
      <c r="M19102" t="s">
        <v>41459</v>
      </c>
      <c r="N19102" t="s">
        <v>6718</v>
      </c>
      <c r="O19102" t="s">
        <v>692</v>
      </c>
      <c r="P19102" t="str">
        <f>"22554"</f>
        <v>22554</v>
      </c>
    </row>
    <row r="19103" spans="1:16" x14ac:dyDescent="0.25">
      <c r="A19103" t="str">
        <f>"1270076K00144    00"</f>
        <v>1270076K00144    00</v>
      </c>
      <c r="B19103" t="s">
        <v>41460</v>
      </c>
      <c r="C19103" t="s">
        <v>41461</v>
      </c>
      <c r="D19103" t="s">
        <v>20</v>
      </c>
      <c r="E19103" t="s">
        <v>39</v>
      </c>
      <c r="F19103">
        <v>0</v>
      </c>
      <c r="G19103">
        <v>0</v>
      </c>
      <c r="H19103">
        <v>6</v>
      </c>
      <c r="I19103" s="3">
        <v>2317.02</v>
      </c>
      <c r="J19103" s="3">
        <v>633.69000000000005</v>
      </c>
      <c r="L19103">
        <v>16</v>
      </c>
      <c r="M19103" t="s">
        <v>41459</v>
      </c>
      <c r="N19103" t="s">
        <v>6718</v>
      </c>
      <c r="O19103" t="s">
        <v>692</v>
      </c>
      <c r="P19103" t="str">
        <f>"22554"</f>
        <v>22554</v>
      </c>
    </row>
    <row r="19104" spans="1:16" x14ac:dyDescent="0.25">
      <c r="A19104" t="str">
        <f>"1270076K00145    00"</f>
        <v>1270076K00145    00</v>
      </c>
      <c r="B19104" t="s">
        <v>41462</v>
      </c>
      <c r="C19104" t="s">
        <v>41433</v>
      </c>
      <c r="D19104" t="s">
        <v>20</v>
      </c>
      <c r="E19104" t="s">
        <v>39</v>
      </c>
      <c r="F19104">
        <v>0</v>
      </c>
      <c r="G19104">
        <v>0</v>
      </c>
      <c r="H19104">
        <v>19</v>
      </c>
      <c r="I19104" s="3">
        <v>520.9</v>
      </c>
      <c r="J19104" s="3">
        <v>590.28</v>
      </c>
      <c r="K19104" t="s">
        <v>1008</v>
      </c>
      <c r="P19104" t="str">
        <f>""</f>
        <v/>
      </c>
    </row>
    <row r="19105" spans="1:16" x14ac:dyDescent="0.25">
      <c r="A19105" t="str">
        <f>"1270076K00146    00"</f>
        <v>1270076K00146    00</v>
      </c>
      <c r="B19105" t="s">
        <v>41463</v>
      </c>
      <c r="C19105" t="s">
        <v>41433</v>
      </c>
      <c r="D19105" t="s">
        <v>20</v>
      </c>
      <c r="E19105" t="s">
        <v>39</v>
      </c>
      <c r="F19105">
        <v>0</v>
      </c>
      <c r="G19105">
        <v>0</v>
      </c>
      <c r="H19105">
        <v>19</v>
      </c>
      <c r="I19105" s="3">
        <v>10103.43</v>
      </c>
      <c r="J19105" s="3">
        <v>10288.530000000001</v>
      </c>
      <c r="K19105" t="s">
        <v>41464</v>
      </c>
      <c r="L19105">
        <v>1</v>
      </c>
      <c r="M19105" t="s">
        <v>41465</v>
      </c>
      <c r="N19105" t="s">
        <v>30</v>
      </c>
      <c r="O19105" t="s">
        <v>31</v>
      </c>
      <c r="P19105" t="str">
        <f>"15237"</f>
        <v>15237</v>
      </c>
    </row>
    <row r="19106" spans="1:16" x14ac:dyDescent="0.25">
      <c r="A19106" t="str">
        <f>"1270076K00198    00"</f>
        <v>1270076K00198    00</v>
      </c>
      <c r="B19106" t="s">
        <v>41466</v>
      </c>
      <c r="C19106" t="s">
        <v>41467</v>
      </c>
      <c r="D19106" t="s">
        <v>20</v>
      </c>
      <c r="E19106" t="s">
        <v>39</v>
      </c>
      <c r="F19106">
        <v>0</v>
      </c>
      <c r="G19106">
        <v>0</v>
      </c>
      <c r="H19106">
        <v>18</v>
      </c>
      <c r="I19106" s="3">
        <v>6199.45</v>
      </c>
      <c r="J19106" s="3">
        <v>5990.06</v>
      </c>
      <c r="L19106">
        <v>121</v>
      </c>
      <c r="M19106" t="s">
        <v>41420</v>
      </c>
      <c r="N19106" t="s">
        <v>30</v>
      </c>
      <c r="O19106" t="s">
        <v>31</v>
      </c>
      <c r="P19106" t="str">
        <f>"15229"</f>
        <v>15229</v>
      </c>
    </row>
    <row r="19107" spans="1:16" x14ac:dyDescent="0.25">
      <c r="A19107" t="str">
        <f>"1270076K00201    00"</f>
        <v>1270076K00201    00</v>
      </c>
      <c r="B19107" t="s">
        <v>41468</v>
      </c>
      <c r="C19107" t="s">
        <v>41469</v>
      </c>
      <c r="D19107" t="s">
        <v>20</v>
      </c>
      <c r="E19107" t="s">
        <v>39</v>
      </c>
      <c r="F19107">
        <v>0</v>
      </c>
      <c r="G19107">
        <v>0</v>
      </c>
      <c r="H19107">
        <v>19</v>
      </c>
      <c r="I19107" s="3">
        <v>15303.96</v>
      </c>
      <c r="J19107" s="3">
        <v>15160.08</v>
      </c>
      <c r="P19107" t="str">
        <f>""</f>
        <v/>
      </c>
    </row>
    <row r="19108" spans="1:16" x14ac:dyDescent="0.25">
      <c r="A19108" t="str">
        <f>"1270076K00211    00"</f>
        <v>1270076K00211    00</v>
      </c>
      <c r="B19108" t="s">
        <v>41470</v>
      </c>
      <c r="C19108" t="s">
        <v>41471</v>
      </c>
      <c r="D19108" t="s">
        <v>20</v>
      </c>
      <c r="E19108" t="s">
        <v>39</v>
      </c>
      <c r="F19108">
        <v>0</v>
      </c>
      <c r="G19108">
        <v>0</v>
      </c>
      <c r="H19108">
        <v>7</v>
      </c>
      <c r="I19108" s="3">
        <v>2557.8200000000002</v>
      </c>
      <c r="J19108" s="3">
        <v>707.3</v>
      </c>
      <c r="L19108">
        <v>1512</v>
      </c>
      <c r="M19108" t="s">
        <v>41472</v>
      </c>
      <c r="N19108" t="s">
        <v>10800</v>
      </c>
      <c r="O19108" t="s">
        <v>31</v>
      </c>
      <c r="P19108" t="str">
        <f>"15065"</f>
        <v>15065</v>
      </c>
    </row>
    <row r="19109" spans="1:16" x14ac:dyDescent="0.25">
      <c r="A19109" t="str">
        <f>"1270076K00213    00"</f>
        <v>1270076K00213    00</v>
      </c>
      <c r="B19109" t="s">
        <v>41473</v>
      </c>
      <c r="C19109" t="s">
        <v>41474</v>
      </c>
      <c r="D19109" t="s">
        <v>20</v>
      </c>
      <c r="E19109" t="s">
        <v>39</v>
      </c>
      <c r="F19109">
        <v>0</v>
      </c>
      <c r="G19109">
        <v>0</v>
      </c>
      <c r="H19109">
        <v>1</v>
      </c>
      <c r="I19109" s="3">
        <v>829.12</v>
      </c>
      <c r="J19109" s="3">
        <v>0</v>
      </c>
      <c r="L19109">
        <v>159</v>
      </c>
      <c r="M19109" t="s">
        <v>41475</v>
      </c>
      <c r="N19109" t="s">
        <v>30</v>
      </c>
      <c r="O19109" t="s">
        <v>31</v>
      </c>
      <c r="P19109" t="str">
        <f>"15237"</f>
        <v>15237</v>
      </c>
    </row>
    <row r="19110" spans="1:16" x14ac:dyDescent="0.25">
      <c r="A19110" t="str">
        <f>"1270076K00218    00"</f>
        <v>1270076K00218    00</v>
      </c>
      <c r="B19110" t="s">
        <v>41476</v>
      </c>
      <c r="C19110" t="s">
        <v>41477</v>
      </c>
      <c r="D19110" t="s">
        <v>20</v>
      </c>
      <c r="E19110" t="s">
        <v>39</v>
      </c>
      <c r="F19110">
        <v>0</v>
      </c>
      <c r="G19110">
        <v>0</v>
      </c>
      <c r="H19110">
        <v>17</v>
      </c>
      <c r="I19110" s="3">
        <v>8527.42</v>
      </c>
      <c r="J19110" s="3">
        <v>9514.3799999999992</v>
      </c>
      <c r="L19110">
        <v>2027</v>
      </c>
      <c r="M19110" t="s">
        <v>41478</v>
      </c>
      <c r="N19110" t="s">
        <v>2534</v>
      </c>
      <c r="O19110" t="s">
        <v>1184</v>
      </c>
      <c r="P19110" t="str">
        <f>"21244"</f>
        <v>21244</v>
      </c>
    </row>
    <row r="19111" spans="1:16" x14ac:dyDescent="0.25">
      <c r="A19111" t="str">
        <f>"1270076K00222    00"</f>
        <v>1270076K00222    00</v>
      </c>
      <c r="B19111" t="s">
        <v>38893</v>
      </c>
      <c r="C19111" t="s">
        <v>41479</v>
      </c>
      <c r="D19111" t="s">
        <v>20</v>
      </c>
      <c r="E19111" t="s">
        <v>39</v>
      </c>
      <c r="F19111">
        <v>0</v>
      </c>
      <c r="G19111">
        <v>0</v>
      </c>
      <c r="H19111">
        <v>1</v>
      </c>
      <c r="I19111" s="3">
        <v>716.68</v>
      </c>
      <c r="J19111" s="3">
        <v>0</v>
      </c>
      <c r="L19111">
        <v>113</v>
      </c>
      <c r="M19111" t="s">
        <v>41480</v>
      </c>
      <c r="N19111" t="s">
        <v>30</v>
      </c>
      <c r="O19111" t="s">
        <v>31</v>
      </c>
      <c r="P19111" t="str">
        <f>"15237"</f>
        <v>15237</v>
      </c>
    </row>
    <row r="19112" spans="1:16" x14ac:dyDescent="0.25">
      <c r="A19112" t="str">
        <f>"1270076K00224    00"</f>
        <v>1270076K00224    00</v>
      </c>
      <c r="B19112" t="s">
        <v>41481</v>
      </c>
      <c r="C19112" t="s">
        <v>41482</v>
      </c>
      <c r="D19112" t="s">
        <v>20</v>
      </c>
      <c r="E19112" t="s">
        <v>39</v>
      </c>
      <c r="F19112">
        <v>0</v>
      </c>
      <c r="G19112">
        <v>0</v>
      </c>
      <c r="H19112">
        <v>5</v>
      </c>
      <c r="I19112" s="3">
        <v>838.41</v>
      </c>
      <c r="J19112" s="3">
        <v>144.84</v>
      </c>
      <c r="K19112" t="s">
        <v>41483</v>
      </c>
      <c r="L19112">
        <v>3229</v>
      </c>
      <c r="M19112" t="s">
        <v>41484</v>
      </c>
      <c r="N19112" t="s">
        <v>30</v>
      </c>
      <c r="O19112" t="s">
        <v>31</v>
      </c>
      <c r="P19112" t="str">
        <f>"15212"</f>
        <v>15212</v>
      </c>
    </row>
    <row r="19113" spans="1:16" x14ac:dyDescent="0.25">
      <c r="A19113" t="str">
        <f>"1270076K00224A   00"</f>
        <v>1270076K00224A   00</v>
      </c>
      <c r="B19113" t="s">
        <v>41485</v>
      </c>
      <c r="C19113" t="s">
        <v>41486</v>
      </c>
      <c r="D19113" t="s">
        <v>20</v>
      </c>
      <c r="E19113" t="s">
        <v>39</v>
      </c>
      <c r="F19113">
        <v>0</v>
      </c>
      <c r="G19113">
        <v>0</v>
      </c>
      <c r="H19113">
        <v>5</v>
      </c>
      <c r="I19113" s="3">
        <v>112.43</v>
      </c>
      <c r="J19113" s="3">
        <v>19.91</v>
      </c>
      <c r="L19113">
        <v>719</v>
      </c>
      <c r="M19113" t="s">
        <v>41487</v>
      </c>
      <c r="N19113" t="s">
        <v>1353</v>
      </c>
      <c r="O19113" t="s">
        <v>31</v>
      </c>
      <c r="P19113" t="str">
        <f>"15085"</f>
        <v>15085</v>
      </c>
    </row>
    <row r="19114" spans="1:16" x14ac:dyDescent="0.25">
      <c r="A19114" t="str">
        <f>"1270076K00224B   00"</f>
        <v>1270076K00224B   00</v>
      </c>
      <c r="B19114" t="s">
        <v>41485</v>
      </c>
      <c r="C19114" t="s">
        <v>41486</v>
      </c>
      <c r="D19114" t="s">
        <v>20</v>
      </c>
      <c r="E19114" t="s">
        <v>39</v>
      </c>
      <c r="F19114">
        <v>0</v>
      </c>
      <c r="G19114">
        <v>0</v>
      </c>
      <c r="H19114">
        <v>6</v>
      </c>
      <c r="I19114" s="3">
        <v>2213.34</v>
      </c>
      <c r="J19114" s="3">
        <v>496.39</v>
      </c>
      <c r="L19114">
        <v>719</v>
      </c>
      <c r="M19114" t="s">
        <v>41487</v>
      </c>
      <c r="N19114" t="s">
        <v>1353</v>
      </c>
      <c r="O19114" t="s">
        <v>31</v>
      </c>
      <c r="P19114" t="str">
        <f>"15085"</f>
        <v>15085</v>
      </c>
    </row>
    <row r="19115" spans="1:16" x14ac:dyDescent="0.25">
      <c r="A19115" t="str">
        <f>"1270076K00225    00"</f>
        <v>1270076K00225    00</v>
      </c>
      <c r="B19115" t="s">
        <v>41485</v>
      </c>
      <c r="C19115" t="s">
        <v>41486</v>
      </c>
      <c r="D19115" t="s">
        <v>20</v>
      </c>
      <c r="E19115" t="s">
        <v>39</v>
      </c>
      <c r="F19115">
        <v>0</v>
      </c>
      <c r="G19115">
        <v>0</v>
      </c>
      <c r="H19115">
        <v>6</v>
      </c>
      <c r="I19115" s="3">
        <v>2213.34</v>
      </c>
      <c r="J19115" s="3">
        <v>496.39</v>
      </c>
      <c r="L19115">
        <v>719</v>
      </c>
      <c r="M19115" t="s">
        <v>41487</v>
      </c>
      <c r="N19115" t="s">
        <v>1353</v>
      </c>
      <c r="O19115" t="s">
        <v>31</v>
      </c>
      <c r="P19115" t="str">
        <f>"15085"</f>
        <v>15085</v>
      </c>
    </row>
    <row r="19116" spans="1:16" x14ac:dyDescent="0.25">
      <c r="A19116" t="str">
        <f>"1270076K00227    00"</f>
        <v>1270076K00227    00</v>
      </c>
      <c r="B19116" t="s">
        <v>41488</v>
      </c>
      <c r="C19116" t="s">
        <v>41489</v>
      </c>
      <c r="D19116" t="s">
        <v>20</v>
      </c>
      <c r="E19116" t="s">
        <v>39</v>
      </c>
      <c r="F19116">
        <v>0</v>
      </c>
      <c r="G19116">
        <v>0</v>
      </c>
      <c r="H19116">
        <v>19</v>
      </c>
      <c r="I19116" s="3">
        <v>18501.099999999999</v>
      </c>
      <c r="J19116" s="3">
        <v>16723.669999999998</v>
      </c>
      <c r="L19116">
        <v>4101</v>
      </c>
      <c r="M19116" t="s">
        <v>41490</v>
      </c>
      <c r="N19116" t="s">
        <v>546</v>
      </c>
      <c r="O19116" t="s">
        <v>31</v>
      </c>
      <c r="P19116" t="str">
        <f>"15044"</f>
        <v>15044</v>
      </c>
    </row>
    <row r="19117" spans="1:16" x14ac:dyDescent="0.25">
      <c r="A19117" t="str">
        <f>"1270076K00231    00"</f>
        <v>1270076K00231    00</v>
      </c>
      <c r="B19117" t="s">
        <v>41491</v>
      </c>
      <c r="C19117" t="s">
        <v>41492</v>
      </c>
      <c r="D19117" t="s">
        <v>20</v>
      </c>
      <c r="E19117" t="s">
        <v>39</v>
      </c>
      <c r="F19117">
        <v>0</v>
      </c>
      <c r="G19117">
        <v>0</v>
      </c>
      <c r="H19117">
        <v>19</v>
      </c>
      <c r="I19117" s="3">
        <v>781.28</v>
      </c>
      <c r="J19117" s="3">
        <v>885.41</v>
      </c>
      <c r="L19117">
        <v>216</v>
      </c>
      <c r="M19117" t="s">
        <v>22611</v>
      </c>
      <c r="N19117" t="s">
        <v>903</v>
      </c>
      <c r="O19117" t="s">
        <v>31</v>
      </c>
      <c r="P19117" t="str">
        <f>"15136"</f>
        <v>15136</v>
      </c>
    </row>
    <row r="19118" spans="1:16" x14ac:dyDescent="0.25">
      <c r="A19118" t="str">
        <f>"1270076K00236    00"</f>
        <v>1270076K00236    00</v>
      </c>
      <c r="B19118" t="s">
        <v>41493</v>
      </c>
      <c r="C19118" t="s">
        <v>41492</v>
      </c>
      <c r="D19118" t="s">
        <v>20</v>
      </c>
      <c r="E19118" t="s">
        <v>39</v>
      </c>
      <c r="F19118">
        <v>0</v>
      </c>
      <c r="G19118">
        <v>0</v>
      </c>
      <c r="H19118">
        <v>19</v>
      </c>
      <c r="I19118" s="3">
        <v>6963.23</v>
      </c>
      <c r="J19118" s="3">
        <v>5986.25</v>
      </c>
      <c r="P19118" t="str">
        <f>""</f>
        <v/>
      </c>
    </row>
    <row r="19119" spans="1:16" x14ac:dyDescent="0.25">
      <c r="A19119" t="str">
        <f>"1270076K00237    00"</f>
        <v>1270076K00237    00</v>
      </c>
      <c r="B19119" t="s">
        <v>41333</v>
      </c>
      <c r="C19119" t="s">
        <v>41494</v>
      </c>
      <c r="D19119" t="s">
        <v>20</v>
      </c>
      <c r="E19119" t="s">
        <v>39</v>
      </c>
      <c r="F19119">
        <v>0</v>
      </c>
      <c r="G19119">
        <v>0</v>
      </c>
      <c r="H19119">
        <v>1</v>
      </c>
      <c r="I19119" s="3">
        <v>495.56</v>
      </c>
      <c r="J19119" s="3">
        <v>0</v>
      </c>
      <c r="L19119">
        <v>3937</v>
      </c>
      <c r="M19119" t="s">
        <v>8048</v>
      </c>
      <c r="N19119" t="s">
        <v>30</v>
      </c>
      <c r="O19119" t="s">
        <v>31</v>
      </c>
      <c r="P19119" t="str">
        <f>"15227"</f>
        <v>15227</v>
      </c>
    </row>
    <row r="19120" spans="1:16" x14ac:dyDescent="0.25">
      <c r="A19120" t="str">
        <f>"1270076K00242    00"</f>
        <v>1270076K00242    00</v>
      </c>
      <c r="B19120" t="s">
        <v>41495</v>
      </c>
      <c r="C19120" t="s">
        <v>41496</v>
      </c>
      <c r="D19120" t="s">
        <v>20</v>
      </c>
      <c r="E19120" t="s">
        <v>39</v>
      </c>
      <c r="F19120">
        <v>0</v>
      </c>
      <c r="G19120">
        <v>0</v>
      </c>
      <c r="H19120">
        <v>1</v>
      </c>
      <c r="I19120" s="3">
        <v>834.85</v>
      </c>
      <c r="J19120" s="3">
        <v>0</v>
      </c>
      <c r="L19120">
        <v>5542</v>
      </c>
      <c r="M19120" t="s">
        <v>10354</v>
      </c>
      <c r="N19120" t="s">
        <v>30</v>
      </c>
      <c r="O19120" t="s">
        <v>31</v>
      </c>
      <c r="P19120" t="str">
        <f>"15206"</f>
        <v>15206</v>
      </c>
    </row>
    <row r="19121" spans="1:16" x14ac:dyDescent="0.25">
      <c r="A19121" t="str">
        <f>"1270076K00243    00"</f>
        <v>1270076K00243    00</v>
      </c>
      <c r="B19121" t="s">
        <v>41497</v>
      </c>
      <c r="C19121" t="s">
        <v>41498</v>
      </c>
      <c r="D19121" t="s">
        <v>20</v>
      </c>
      <c r="E19121" t="s">
        <v>39</v>
      </c>
      <c r="F19121">
        <v>0</v>
      </c>
      <c r="G19121">
        <v>0</v>
      </c>
      <c r="H19121">
        <v>5</v>
      </c>
      <c r="I19121" s="3">
        <v>2473.7600000000002</v>
      </c>
      <c r="J19121" s="3">
        <v>628.98</v>
      </c>
      <c r="L19121">
        <v>3469</v>
      </c>
      <c r="M19121" t="s">
        <v>37050</v>
      </c>
      <c r="N19121" t="s">
        <v>30</v>
      </c>
      <c r="O19121" t="s">
        <v>31</v>
      </c>
      <c r="P19121" t="str">
        <f>"15212"</f>
        <v>15212</v>
      </c>
    </row>
    <row r="19122" spans="1:16" x14ac:dyDescent="0.25">
      <c r="A19122" t="str">
        <f>"1270076K00244    00"</f>
        <v>1270076K00244    00</v>
      </c>
      <c r="B19122" t="s">
        <v>41499</v>
      </c>
      <c r="C19122" t="s">
        <v>41500</v>
      </c>
      <c r="D19122" t="s">
        <v>20</v>
      </c>
      <c r="E19122" t="s">
        <v>39</v>
      </c>
      <c r="F19122">
        <v>0</v>
      </c>
      <c r="G19122">
        <v>0</v>
      </c>
      <c r="H19122">
        <v>17</v>
      </c>
      <c r="I19122" s="3">
        <v>7751.13</v>
      </c>
      <c r="J19122" s="3">
        <v>5352</v>
      </c>
      <c r="L19122">
        <v>1026</v>
      </c>
      <c r="M19122" t="s">
        <v>7942</v>
      </c>
      <c r="N19122" t="s">
        <v>30</v>
      </c>
      <c r="O19122" t="s">
        <v>31</v>
      </c>
      <c r="P19122" t="str">
        <f>"15212"</f>
        <v>15212</v>
      </c>
    </row>
    <row r="19123" spans="1:16" x14ac:dyDescent="0.25">
      <c r="A19123" t="str">
        <f>"1270076K00247    00"</f>
        <v>1270076K00247    00</v>
      </c>
      <c r="B19123" t="s">
        <v>38464</v>
      </c>
      <c r="C19123" t="s">
        <v>41501</v>
      </c>
      <c r="D19123" t="s">
        <v>20</v>
      </c>
      <c r="E19123" t="s">
        <v>39</v>
      </c>
      <c r="F19123">
        <v>0</v>
      </c>
      <c r="G19123">
        <v>0</v>
      </c>
      <c r="H19123">
        <v>8</v>
      </c>
      <c r="I19123" s="3">
        <v>2641.1</v>
      </c>
      <c r="J19123" s="3">
        <v>581.85</v>
      </c>
      <c r="K19123" t="s">
        <v>38466</v>
      </c>
      <c r="L19123">
        <v>831</v>
      </c>
      <c r="M19123" t="s">
        <v>3522</v>
      </c>
      <c r="N19123" t="s">
        <v>903</v>
      </c>
      <c r="O19123" t="s">
        <v>31</v>
      </c>
      <c r="P19123" t="str">
        <f>"15136"</f>
        <v>15136</v>
      </c>
    </row>
    <row r="19124" spans="1:16" x14ac:dyDescent="0.25">
      <c r="A19124" t="str">
        <f>"1270076K00248    00"</f>
        <v>1270076K00248    00</v>
      </c>
      <c r="B19124" t="s">
        <v>41502</v>
      </c>
      <c r="C19124" t="s">
        <v>41503</v>
      </c>
      <c r="D19124" t="s">
        <v>20</v>
      </c>
      <c r="E19124" t="s">
        <v>39</v>
      </c>
      <c r="F19124">
        <v>0</v>
      </c>
      <c r="G19124">
        <v>0</v>
      </c>
      <c r="H19124">
        <v>2</v>
      </c>
      <c r="I19124" s="3">
        <v>983.92</v>
      </c>
      <c r="J19124" s="3">
        <v>116.47</v>
      </c>
      <c r="L19124">
        <v>177</v>
      </c>
      <c r="M19124" t="s">
        <v>38684</v>
      </c>
      <c r="N19124" t="s">
        <v>30</v>
      </c>
      <c r="O19124" t="s">
        <v>31</v>
      </c>
      <c r="P19124" t="str">
        <f>"15214"</f>
        <v>15214</v>
      </c>
    </row>
    <row r="19125" spans="1:16" x14ac:dyDescent="0.25">
      <c r="A19125" t="str">
        <f>"1270076K00256    00"</f>
        <v>1270076K00256    00</v>
      </c>
      <c r="B19125" t="s">
        <v>41504</v>
      </c>
      <c r="C19125" t="s">
        <v>41505</v>
      </c>
      <c r="D19125" t="s">
        <v>20</v>
      </c>
      <c r="E19125" t="s">
        <v>39</v>
      </c>
      <c r="F19125">
        <v>0</v>
      </c>
      <c r="G19125">
        <v>0</v>
      </c>
      <c r="H19125">
        <v>19</v>
      </c>
      <c r="I19125" s="3">
        <v>13145.15</v>
      </c>
      <c r="J19125" s="3">
        <v>11425.42</v>
      </c>
      <c r="L19125">
        <v>2813</v>
      </c>
      <c r="M19125" t="s">
        <v>14371</v>
      </c>
      <c r="N19125" t="s">
        <v>30</v>
      </c>
      <c r="O19125" t="s">
        <v>31</v>
      </c>
      <c r="P19125" t="str">
        <f>"15212"</f>
        <v>15212</v>
      </c>
    </row>
    <row r="19126" spans="1:16" x14ac:dyDescent="0.25">
      <c r="A19126" t="str">
        <f>"1270076K00259    00"</f>
        <v>1270076K00259    00</v>
      </c>
      <c r="B19126" t="s">
        <v>19313</v>
      </c>
      <c r="C19126" t="s">
        <v>41506</v>
      </c>
      <c r="D19126" t="s">
        <v>20</v>
      </c>
      <c r="E19126" t="s">
        <v>39</v>
      </c>
      <c r="F19126">
        <v>0</v>
      </c>
      <c r="G19126">
        <v>0</v>
      </c>
      <c r="H19126">
        <v>4</v>
      </c>
      <c r="I19126" s="3">
        <v>2746.12</v>
      </c>
      <c r="J19126" s="3">
        <v>338.15</v>
      </c>
      <c r="M19126" t="s">
        <v>19315</v>
      </c>
      <c r="N19126" t="s">
        <v>30</v>
      </c>
      <c r="O19126" t="s">
        <v>31</v>
      </c>
      <c r="P19126" t="str">
        <f>"15217"</f>
        <v>15217</v>
      </c>
    </row>
    <row r="19127" spans="1:16" x14ac:dyDescent="0.25">
      <c r="A19127" t="str">
        <f>"1270076K00313    00"</f>
        <v>1270076K00313    00</v>
      </c>
      <c r="B19127" t="s">
        <v>41507</v>
      </c>
      <c r="C19127" t="s">
        <v>41508</v>
      </c>
      <c r="D19127" t="s">
        <v>20</v>
      </c>
      <c r="E19127" t="s">
        <v>39</v>
      </c>
      <c r="F19127">
        <v>0</v>
      </c>
      <c r="G19127">
        <v>0</v>
      </c>
      <c r="H19127">
        <v>12</v>
      </c>
      <c r="I19127" s="3">
        <v>3797.62</v>
      </c>
      <c r="J19127" s="3">
        <v>1819.68</v>
      </c>
      <c r="K19127" t="s">
        <v>41509</v>
      </c>
      <c r="L19127">
        <v>9301</v>
      </c>
      <c r="M19127" t="s">
        <v>41510</v>
      </c>
      <c r="N19127" t="s">
        <v>41511</v>
      </c>
      <c r="O19127" t="s">
        <v>108</v>
      </c>
      <c r="P19127" t="str">
        <f>"76901"</f>
        <v>76901</v>
      </c>
    </row>
    <row r="19128" spans="1:16" x14ac:dyDescent="0.25">
      <c r="A19128" t="str">
        <f>"1270076K00316    00"</f>
        <v>1270076K00316    00</v>
      </c>
      <c r="B19128" t="s">
        <v>41512</v>
      </c>
      <c r="C19128" t="s">
        <v>41513</v>
      </c>
      <c r="D19128" t="s">
        <v>20</v>
      </c>
      <c r="E19128" t="s">
        <v>39</v>
      </c>
      <c r="F19128">
        <v>0</v>
      </c>
      <c r="G19128">
        <v>0</v>
      </c>
      <c r="H19128">
        <v>5</v>
      </c>
      <c r="I19128" s="3">
        <v>1997.13</v>
      </c>
      <c r="J19128" s="3">
        <v>39.64</v>
      </c>
      <c r="L19128">
        <v>159</v>
      </c>
      <c r="M19128" t="s">
        <v>40066</v>
      </c>
      <c r="N19128" t="s">
        <v>30</v>
      </c>
      <c r="O19128" t="s">
        <v>31</v>
      </c>
      <c r="P19128" t="str">
        <f>"15237"</f>
        <v>15237</v>
      </c>
    </row>
    <row r="19129" spans="1:16" x14ac:dyDescent="0.25">
      <c r="A19129" t="str">
        <f>"1270076K00318    00"</f>
        <v>1270076K00318    00</v>
      </c>
      <c r="B19129" t="s">
        <v>41481</v>
      </c>
      <c r="C19129" t="s">
        <v>41514</v>
      </c>
      <c r="D19129" t="s">
        <v>20</v>
      </c>
      <c r="E19129" t="s">
        <v>39</v>
      </c>
      <c r="F19129">
        <v>0</v>
      </c>
      <c r="G19129">
        <v>0</v>
      </c>
      <c r="H19129">
        <v>5</v>
      </c>
      <c r="I19129" s="3">
        <v>3636.14</v>
      </c>
      <c r="J19129" s="3">
        <v>628.19000000000005</v>
      </c>
      <c r="K19129" t="s">
        <v>41515</v>
      </c>
      <c r="L19129">
        <v>3229</v>
      </c>
      <c r="M19129" t="s">
        <v>41484</v>
      </c>
      <c r="N19129" t="s">
        <v>30</v>
      </c>
      <c r="O19129" t="s">
        <v>31</v>
      </c>
      <c r="P19129" t="str">
        <f>"15212"</f>
        <v>15212</v>
      </c>
    </row>
    <row r="19130" spans="1:16" x14ac:dyDescent="0.25">
      <c r="A19130" t="str">
        <f>"1270076K00319    00"</f>
        <v>1270076K00319    00</v>
      </c>
      <c r="B19130" t="s">
        <v>41516</v>
      </c>
      <c r="C19130" t="s">
        <v>41517</v>
      </c>
      <c r="D19130" t="s">
        <v>20</v>
      </c>
      <c r="E19130" t="s">
        <v>39</v>
      </c>
      <c r="F19130">
        <v>0</v>
      </c>
      <c r="G19130">
        <v>0</v>
      </c>
      <c r="H19130">
        <v>19</v>
      </c>
      <c r="I19130" s="3">
        <v>20226.97</v>
      </c>
      <c r="J19130" s="3">
        <v>19556.330000000002</v>
      </c>
      <c r="L19130">
        <v>219</v>
      </c>
      <c r="M19130" t="s">
        <v>41518</v>
      </c>
      <c r="N19130" t="s">
        <v>2008</v>
      </c>
      <c r="O19130" t="s">
        <v>31</v>
      </c>
      <c r="P19130" t="str">
        <f>"16066"</f>
        <v>16066</v>
      </c>
    </row>
    <row r="19131" spans="1:16" x14ac:dyDescent="0.25">
      <c r="A19131" t="str">
        <f>"1270076K00342    00"</f>
        <v>1270076K00342    00</v>
      </c>
      <c r="B19131" t="s">
        <v>41519</v>
      </c>
      <c r="C19131" t="s">
        <v>41520</v>
      </c>
      <c r="D19131" t="s">
        <v>20</v>
      </c>
      <c r="E19131" t="s">
        <v>39</v>
      </c>
      <c r="F19131">
        <v>0</v>
      </c>
      <c r="G19131">
        <v>0</v>
      </c>
      <c r="H19131">
        <v>15</v>
      </c>
      <c r="I19131" s="3">
        <v>17793.32</v>
      </c>
      <c r="J19131" s="3">
        <v>11998.77</v>
      </c>
      <c r="L19131">
        <v>181</v>
      </c>
      <c r="M19131" t="s">
        <v>25646</v>
      </c>
      <c r="N19131" t="s">
        <v>41521</v>
      </c>
      <c r="O19131" t="s">
        <v>31</v>
      </c>
      <c r="P19131" t="str">
        <f>"16226"</f>
        <v>16226</v>
      </c>
    </row>
    <row r="19132" spans="1:16" x14ac:dyDescent="0.25">
      <c r="A19132" t="str">
        <f>"1270076L00052    00"</f>
        <v>1270076L00052    00</v>
      </c>
      <c r="B19132" t="s">
        <v>38052</v>
      </c>
      <c r="C19132" t="s">
        <v>41522</v>
      </c>
      <c r="D19132" t="s">
        <v>20</v>
      </c>
      <c r="E19132" t="s">
        <v>39</v>
      </c>
      <c r="F19132">
        <v>0</v>
      </c>
      <c r="G19132">
        <v>0</v>
      </c>
      <c r="H19132">
        <v>2</v>
      </c>
      <c r="I19132" s="3">
        <v>1978.44</v>
      </c>
      <c r="J19132" s="3">
        <v>0</v>
      </c>
      <c r="L19132">
        <v>850</v>
      </c>
      <c r="M19132" t="s">
        <v>7942</v>
      </c>
      <c r="N19132" t="s">
        <v>30</v>
      </c>
      <c r="O19132" t="s">
        <v>31</v>
      </c>
      <c r="P19132" t="str">
        <f>"15212"</f>
        <v>15212</v>
      </c>
    </row>
    <row r="19133" spans="1:16" x14ac:dyDescent="0.25">
      <c r="A19133" t="str">
        <f>"1270076L00102    00"</f>
        <v>1270076L00102    00</v>
      </c>
      <c r="B19133" t="s">
        <v>41523</v>
      </c>
      <c r="C19133" t="s">
        <v>41524</v>
      </c>
      <c r="D19133" t="s">
        <v>20</v>
      </c>
      <c r="E19133" t="s">
        <v>39</v>
      </c>
      <c r="F19133">
        <v>0</v>
      </c>
      <c r="G19133">
        <v>0</v>
      </c>
      <c r="H19133">
        <v>4</v>
      </c>
      <c r="I19133" s="3">
        <v>829.83</v>
      </c>
      <c r="J19133" s="3">
        <v>261.68</v>
      </c>
      <c r="L19133">
        <v>840</v>
      </c>
      <c r="M19133" t="s">
        <v>4776</v>
      </c>
      <c r="N19133" t="s">
        <v>30</v>
      </c>
      <c r="O19133" t="s">
        <v>31</v>
      </c>
      <c r="P19133" t="str">
        <f>"15212"</f>
        <v>15212</v>
      </c>
    </row>
    <row r="19134" spans="1:16" x14ac:dyDescent="0.25">
      <c r="A19134" t="str">
        <f>"1270076L00103    00"</f>
        <v>1270076L00103    00</v>
      </c>
      <c r="B19134" t="s">
        <v>41525</v>
      </c>
      <c r="C19134" t="s">
        <v>41526</v>
      </c>
      <c r="D19134" t="s">
        <v>20</v>
      </c>
      <c r="E19134" t="s">
        <v>39</v>
      </c>
      <c r="F19134">
        <v>0</v>
      </c>
      <c r="G19134">
        <v>0</v>
      </c>
      <c r="H19134">
        <v>5</v>
      </c>
      <c r="I19134" s="3">
        <v>2831.65</v>
      </c>
      <c r="J19134" s="3">
        <v>519.20000000000005</v>
      </c>
      <c r="L19134">
        <v>842</v>
      </c>
      <c r="M19134" t="s">
        <v>4776</v>
      </c>
      <c r="N19134" t="s">
        <v>30</v>
      </c>
      <c r="O19134" t="s">
        <v>31</v>
      </c>
      <c r="P19134" t="str">
        <f>"15212"</f>
        <v>15212</v>
      </c>
    </row>
    <row r="19135" spans="1:16" x14ac:dyDescent="0.25">
      <c r="A19135" t="str">
        <f>"1270076L00106    00"</f>
        <v>1270076L00106    00</v>
      </c>
      <c r="B19135" t="s">
        <v>41527</v>
      </c>
      <c r="C19135" t="s">
        <v>41528</v>
      </c>
      <c r="E19135" t="s">
        <v>39</v>
      </c>
      <c r="F19135">
        <v>0</v>
      </c>
      <c r="G19135">
        <v>0</v>
      </c>
      <c r="H19135">
        <v>2</v>
      </c>
      <c r="I19135" s="3">
        <v>722.45</v>
      </c>
      <c r="J19135" s="3">
        <v>149.19999999999999</v>
      </c>
      <c r="L19135">
        <v>1300</v>
      </c>
      <c r="M19135" t="s">
        <v>20388</v>
      </c>
      <c r="N19135" t="s">
        <v>30</v>
      </c>
      <c r="O19135" t="s">
        <v>31</v>
      </c>
      <c r="P19135" t="str">
        <f>"15218"</f>
        <v>15218</v>
      </c>
    </row>
    <row r="19136" spans="1:16" x14ac:dyDescent="0.25">
      <c r="A19136" t="str">
        <f>"1270076L00115    01"</f>
        <v>1270076L00115    01</v>
      </c>
      <c r="B19136" t="s">
        <v>41529</v>
      </c>
      <c r="C19136" t="s">
        <v>41530</v>
      </c>
      <c r="D19136" t="s">
        <v>20</v>
      </c>
      <c r="E19136" t="s">
        <v>39</v>
      </c>
      <c r="F19136">
        <v>0</v>
      </c>
      <c r="G19136">
        <v>0</v>
      </c>
      <c r="H19136">
        <v>1</v>
      </c>
      <c r="I19136" s="3">
        <v>1317.53</v>
      </c>
      <c r="J19136" s="3">
        <v>0</v>
      </c>
      <c r="K19136" t="s">
        <v>41531</v>
      </c>
      <c r="L19136">
        <v>900</v>
      </c>
      <c r="M19136" t="s">
        <v>4776</v>
      </c>
      <c r="N19136" t="s">
        <v>30</v>
      </c>
      <c r="O19136" t="s">
        <v>31</v>
      </c>
      <c r="P19136" t="str">
        <f>"15212"</f>
        <v>15212</v>
      </c>
    </row>
    <row r="19137" spans="1:16" x14ac:dyDescent="0.25">
      <c r="A19137" t="str">
        <f>"1270076L00119    00"</f>
        <v>1270076L00119    00</v>
      </c>
      <c r="B19137" t="s">
        <v>41532</v>
      </c>
      <c r="C19137" t="s">
        <v>41533</v>
      </c>
      <c r="E19137" t="s">
        <v>39</v>
      </c>
      <c r="F19137">
        <v>0</v>
      </c>
      <c r="G19137">
        <v>0</v>
      </c>
      <c r="H19137">
        <v>1</v>
      </c>
      <c r="I19137" s="3">
        <v>215.85</v>
      </c>
      <c r="J19137" s="3">
        <v>0</v>
      </c>
      <c r="L19137">
        <v>922</v>
      </c>
      <c r="M19137" t="s">
        <v>4776</v>
      </c>
      <c r="N19137" t="s">
        <v>30</v>
      </c>
      <c r="O19137" t="s">
        <v>31</v>
      </c>
      <c r="P19137" t="str">
        <f>"15212"</f>
        <v>15212</v>
      </c>
    </row>
    <row r="19138" spans="1:16" x14ac:dyDescent="0.25">
      <c r="A19138" t="str">
        <f>"1270076L00122    00"</f>
        <v>1270076L00122    00</v>
      </c>
      <c r="B19138" t="s">
        <v>26982</v>
      </c>
      <c r="C19138" t="s">
        <v>41433</v>
      </c>
      <c r="D19138" t="s">
        <v>20</v>
      </c>
      <c r="E19138" t="s">
        <v>39</v>
      </c>
      <c r="F19138">
        <v>0</v>
      </c>
      <c r="G19138">
        <v>0</v>
      </c>
      <c r="H19138">
        <v>13</v>
      </c>
      <c r="I19138" s="3">
        <v>7046.96</v>
      </c>
      <c r="J19138" s="3">
        <v>4687.91</v>
      </c>
      <c r="L19138">
        <v>361</v>
      </c>
      <c r="M19138" t="s">
        <v>26983</v>
      </c>
      <c r="N19138" t="s">
        <v>18135</v>
      </c>
      <c r="O19138" t="s">
        <v>31</v>
      </c>
      <c r="P19138" t="str">
        <f>"19013"</f>
        <v>19013</v>
      </c>
    </row>
    <row r="19139" spans="1:16" x14ac:dyDescent="0.25">
      <c r="A19139" t="str">
        <f>"1270076L00123    00"</f>
        <v>1270076L00123    00</v>
      </c>
      <c r="B19139" t="s">
        <v>41233</v>
      </c>
      <c r="C19139" t="s">
        <v>41534</v>
      </c>
      <c r="D19139" t="s">
        <v>20</v>
      </c>
      <c r="E19139" t="s">
        <v>39</v>
      </c>
      <c r="F19139">
        <v>0</v>
      </c>
      <c r="G19139">
        <v>0</v>
      </c>
      <c r="H19139">
        <v>2</v>
      </c>
      <c r="I19139" s="3">
        <v>2157.64</v>
      </c>
      <c r="J19139" s="3">
        <v>0</v>
      </c>
      <c r="L19139">
        <v>219</v>
      </c>
      <c r="M19139" t="s">
        <v>39818</v>
      </c>
      <c r="N19139" t="s">
        <v>30</v>
      </c>
      <c r="O19139" t="s">
        <v>31</v>
      </c>
      <c r="P19139" t="str">
        <f>"15237"</f>
        <v>15237</v>
      </c>
    </row>
    <row r="19140" spans="1:16" x14ac:dyDescent="0.25">
      <c r="A19140" t="str">
        <f>"1270076L00152    00"</f>
        <v>1270076L00152    00</v>
      </c>
      <c r="B19140" t="s">
        <v>41535</v>
      </c>
      <c r="C19140" t="s">
        <v>41536</v>
      </c>
      <c r="E19140" t="s">
        <v>39</v>
      </c>
      <c r="F19140">
        <v>0</v>
      </c>
      <c r="G19140">
        <v>0</v>
      </c>
      <c r="H19140">
        <v>1</v>
      </c>
      <c r="I19140" s="3">
        <v>37.81</v>
      </c>
      <c r="J19140" s="3">
        <v>0</v>
      </c>
      <c r="K19140" t="s">
        <v>41537</v>
      </c>
      <c r="L19140">
        <v>1113</v>
      </c>
      <c r="M19140" t="s">
        <v>41538</v>
      </c>
      <c r="N19140" t="s">
        <v>30</v>
      </c>
      <c r="O19140" t="s">
        <v>31</v>
      </c>
      <c r="P19140" t="str">
        <f>"15212"</f>
        <v>15212</v>
      </c>
    </row>
    <row r="19141" spans="1:16" x14ac:dyDescent="0.25">
      <c r="A19141" t="str">
        <f>"1270076L00163    00"</f>
        <v>1270076L00163    00</v>
      </c>
      <c r="B19141" t="s">
        <v>41539</v>
      </c>
      <c r="C19141" t="s">
        <v>41540</v>
      </c>
      <c r="D19141" t="s">
        <v>20</v>
      </c>
      <c r="E19141" t="s">
        <v>39</v>
      </c>
      <c r="F19141">
        <v>0</v>
      </c>
      <c r="G19141">
        <v>0</v>
      </c>
      <c r="H19141">
        <v>12</v>
      </c>
      <c r="I19141" s="3">
        <v>7467.13</v>
      </c>
      <c r="J19141" s="3">
        <v>3540.83</v>
      </c>
      <c r="L19141">
        <v>2</v>
      </c>
      <c r="M19141" t="s">
        <v>32434</v>
      </c>
      <c r="N19141" t="s">
        <v>903</v>
      </c>
      <c r="O19141" t="s">
        <v>31</v>
      </c>
      <c r="P19141" t="str">
        <f>"15136"</f>
        <v>15136</v>
      </c>
    </row>
    <row r="19142" spans="1:16" x14ac:dyDescent="0.25">
      <c r="A19142" t="str">
        <f>"1270076L00164    00"</f>
        <v>1270076L00164    00</v>
      </c>
      <c r="B19142" t="s">
        <v>41541</v>
      </c>
      <c r="C19142" t="s">
        <v>41542</v>
      </c>
      <c r="D19142" t="s">
        <v>20</v>
      </c>
      <c r="E19142" t="s">
        <v>39</v>
      </c>
      <c r="F19142">
        <v>0</v>
      </c>
      <c r="G19142">
        <v>0</v>
      </c>
      <c r="H19142">
        <v>19</v>
      </c>
      <c r="I19142" s="3">
        <v>7899.83</v>
      </c>
      <c r="J19142" s="3">
        <v>7461.97</v>
      </c>
      <c r="P19142" t="str">
        <f>""</f>
        <v/>
      </c>
    </row>
    <row r="19143" spans="1:16" x14ac:dyDescent="0.25">
      <c r="A19143" t="str">
        <f>"1270076L00166    00"</f>
        <v>1270076L00166    00</v>
      </c>
      <c r="B19143" t="s">
        <v>41543</v>
      </c>
      <c r="C19143" t="s">
        <v>41544</v>
      </c>
      <c r="D19143" t="s">
        <v>20</v>
      </c>
      <c r="E19143" t="s">
        <v>39</v>
      </c>
      <c r="F19143">
        <v>0</v>
      </c>
      <c r="G19143">
        <v>0</v>
      </c>
      <c r="H19143">
        <v>7</v>
      </c>
      <c r="I19143" s="3">
        <v>4269.91</v>
      </c>
      <c r="J19143" s="3">
        <v>1296.2</v>
      </c>
      <c r="L19143">
        <v>4004</v>
      </c>
      <c r="M19143" t="s">
        <v>14275</v>
      </c>
      <c r="N19143" t="s">
        <v>30</v>
      </c>
      <c r="O19143" t="s">
        <v>31</v>
      </c>
      <c r="P19143" t="str">
        <f>"15212"</f>
        <v>15212</v>
      </c>
    </row>
    <row r="19144" spans="1:16" x14ac:dyDescent="0.25">
      <c r="A19144" t="str">
        <f>"1270076L00167    00"</f>
        <v>1270076L00167    00</v>
      </c>
      <c r="B19144" t="s">
        <v>41545</v>
      </c>
      <c r="C19144" t="s">
        <v>41542</v>
      </c>
      <c r="D19144" t="s">
        <v>20</v>
      </c>
      <c r="E19144" t="s">
        <v>39</v>
      </c>
      <c r="F19144">
        <v>0</v>
      </c>
      <c r="G19144">
        <v>0</v>
      </c>
      <c r="H19144">
        <v>6</v>
      </c>
      <c r="I19144" s="3">
        <v>559.25</v>
      </c>
      <c r="J19144" s="3">
        <v>127.57</v>
      </c>
      <c r="L19144">
        <v>4004</v>
      </c>
      <c r="M19144" t="s">
        <v>41546</v>
      </c>
      <c r="N19144" t="s">
        <v>30</v>
      </c>
      <c r="O19144" t="s">
        <v>31</v>
      </c>
      <c r="P19144" t="str">
        <f>"15212"</f>
        <v>15212</v>
      </c>
    </row>
    <row r="19145" spans="1:16" x14ac:dyDescent="0.25">
      <c r="A19145" t="str">
        <f>"1270076L00173    00"</f>
        <v>1270076L00173    00</v>
      </c>
      <c r="B19145" t="s">
        <v>37038</v>
      </c>
      <c r="C19145" t="s">
        <v>41547</v>
      </c>
      <c r="D19145" t="s">
        <v>20</v>
      </c>
      <c r="E19145" t="s">
        <v>39</v>
      </c>
      <c r="F19145">
        <v>0</v>
      </c>
      <c r="G19145">
        <v>0</v>
      </c>
      <c r="H19145">
        <v>19</v>
      </c>
      <c r="I19145" s="3">
        <v>17852.63</v>
      </c>
      <c r="J19145" s="3">
        <v>18705.79</v>
      </c>
      <c r="L19145">
        <v>2790</v>
      </c>
      <c r="M19145" t="s">
        <v>23974</v>
      </c>
      <c r="N19145" t="s">
        <v>23975</v>
      </c>
      <c r="O19145" t="s">
        <v>1321</v>
      </c>
      <c r="P19145" t="str">
        <f>"89502"</f>
        <v>89502</v>
      </c>
    </row>
    <row r="19146" spans="1:16" x14ac:dyDescent="0.25">
      <c r="A19146" t="str">
        <f>"1270076L00176    00"</f>
        <v>1270076L00176    00</v>
      </c>
      <c r="B19146" t="s">
        <v>41548</v>
      </c>
      <c r="C19146" t="s">
        <v>41542</v>
      </c>
      <c r="D19146" t="s">
        <v>20</v>
      </c>
      <c r="E19146" t="s">
        <v>39</v>
      </c>
      <c r="F19146">
        <v>0</v>
      </c>
      <c r="G19146">
        <v>0</v>
      </c>
      <c r="H19146">
        <v>2</v>
      </c>
      <c r="I19146" s="3">
        <v>266.83999999999997</v>
      </c>
      <c r="J19146" s="3">
        <v>0</v>
      </c>
      <c r="K19146" t="s">
        <v>400</v>
      </c>
      <c r="L19146">
        <v>3001</v>
      </c>
      <c r="M19146" t="s">
        <v>330</v>
      </c>
      <c r="N19146" t="s">
        <v>331</v>
      </c>
      <c r="O19146" t="s">
        <v>108</v>
      </c>
      <c r="P19146" t="str">
        <f>"75063"</f>
        <v>75063</v>
      </c>
    </row>
    <row r="19147" spans="1:16" x14ac:dyDescent="0.25">
      <c r="A19147" t="str">
        <f>"1270076L00182    00"</f>
        <v>1270076L00182    00</v>
      </c>
      <c r="B19147" t="s">
        <v>41549</v>
      </c>
      <c r="C19147" t="s">
        <v>41550</v>
      </c>
      <c r="E19147" t="s">
        <v>39</v>
      </c>
      <c r="F19147">
        <v>0</v>
      </c>
      <c r="G19147">
        <v>0</v>
      </c>
      <c r="H19147">
        <v>1</v>
      </c>
      <c r="I19147" s="3">
        <v>220.25</v>
      </c>
      <c r="J19147" s="3">
        <v>0</v>
      </c>
      <c r="K19147" t="s">
        <v>41551</v>
      </c>
      <c r="L19147">
        <v>947</v>
      </c>
      <c r="M19147" t="s">
        <v>37251</v>
      </c>
      <c r="N19147" t="s">
        <v>30</v>
      </c>
      <c r="O19147" t="s">
        <v>31</v>
      </c>
      <c r="P19147" t="str">
        <f>"15212"</f>
        <v>15212</v>
      </c>
    </row>
    <row r="19148" spans="1:16" x14ac:dyDescent="0.25">
      <c r="A19148" t="str">
        <f>"1270076L00186    00"</f>
        <v>1270076L00186    00</v>
      </c>
      <c r="B19148" t="s">
        <v>41552</v>
      </c>
      <c r="C19148" t="s">
        <v>41542</v>
      </c>
      <c r="E19148" t="s">
        <v>39</v>
      </c>
      <c r="F19148">
        <v>0</v>
      </c>
      <c r="G19148">
        <v>0</v>
      </c>
      <c r="H19148">
        <v>2</v>
      </c>
      <c r="I19148" s="3">
        <v>162.41</v>
      </c>
      <c r="J19148" s="3">
        <v>32.53</v>
      </c>
      <c r="L19148">
        <v>495</v>
      </c>
      <c r="M19148" t="s">
        <v>4261</v>
      </c>
      <c r="N19148" t="s">
        <v>30</v>
      </c>
      <c r="O19148" t="s">
        <v>31</v>
      </c>
      <c r="P19148" t="str">
        <f>"15229"</f>
        <v>15229</v>
      </c>
    </row>
    <row r="19149" spans="1:16" x14ac:dyDescent="0.25">
      <c r="A19149" t="str">
        <f>"1270076N00001    00"</f>
        <v>1270076N00001    00</v>
      </c>
      <c r="B19149" t="s">
        <v>41553</v>
      </c>
      <c r="C19149" t="s">
        <v>41554</v>
      </c>
      <c r="D19149" t="s">
        <v>20</v>
      </c>
      <c r="E19149" t="s">
        <v>39</v>
      </c>
      <c r="F19149">
        <v>0</v>
      </c>
      <c r="G19149">
        <v>0</v>
      </c>
      <c r="H19149">
        <v>17</v>
      </c>
      <c r="I19149" s="3">
        <v>12417.6</v>
      </c>
      <c r="J19149" s="3">
        <v>9624.7000000000007</v>
      </c>
      <c r="L19149">
        <v>9005</v>
      </c>
      <c r="M19149" t="s">
        <v>41555</v>
      </c>
      <c r="N19149" t="s">
        <v>1320</v>
      </c>
      <c r="O19149" t="s">
        <v>1321</v>
      </c>
      <c r="P19149" t="str">
        <f>"89117"</f>
        <v>89117</v>
      </c>
    </row>
    <row r="19150" spans="1:16" x14ac:dyDescent="0.25">
      <c r="A19150" t="str">
        <f>"1270076N00003    00"</f>
        <v>1270076N00003    00</v>
      </c>
      <c r="B19150" t="s">
        <v>41556</v>
      </c>
      <c r="C19150" t="s">
        <v>41557</v>
      </c>
      <c r="D19150" t="s">
        <v>20</v>
      </c>
      <c r="E19150" t="s">
        <v>39</v>
      </c>
      <c r="F19150">
        <v>0</v>
      </c>
      <c r="G19150">
        <v>0</v>
      </c>
      <c r="H19150">
        <v>2</v>
      </c>
      <c r="I19150" s="3">
        <v>914.88</v>
      </c>
      <c r="J19150" s="3">
        <v>0</v>
      </c>
      <c r="K19150" t="s">
        <v>41558</v>
      </c>
      <c r="L19150">
        <v>2200</v>
      </c>
      <c r="M19150" t="s">
        <v>41559</v>
      </c>
      <c r="N19150" t="s">
        <v>41560</v>
      </c>
      <c r="O19150" t="s">
        <v>6668</v>
      </c>
      <c r="P19150" t="str">
        <f>"98665"</f>
        <v>98665</v>
      </c>
    </row>
    <row r="19151" spans="1:16" x14ac:dyDescent="0.25">
      <c r="A19151" t="str">
        <f>"1270076N00004    00"</f>
        <v>1270076N00004    00</v>
      </c>
      <c r="B19151" t="s">
        <v>41561</v>
      </c>
      <c r="C19151" t="s">
        <v>41562</v>
      </c>
      <c r="D19151" t="s">
        <v>20</v>
      </c>
      <c r="E19151" t="s">
        <v>39</v>
      </c>
      <c r="F19151">
        <v>0</v>
      </c>
      <c r="G19151">
        <v>0</v>
      </c>
      <c r="H19151">
        <v>7</v>
      </c>
      <c r="I19151" s="3">
        <v>1905.35</v>
      </c>
      <c r="J19151" s="3">
        <v>542.27</v>
      </c>
      <c r="L19151">
        <v>1339</v>
      </c>
      <c r="M19151" t="s">
        <v>39802</v>
      </c>
      <c r="N19151" t="s">
        <v>30</v>
      </c>
      <c r="O19151" t="s">
        <v>31</v>
      </c>
      <c r="P19151" t="str">
        <f>"15212"</f>
        <v>15212</v>
      </c>
    </row>
    <row r="19152" spans="1:16" x14ac:dyDescent="0.25">
      <c r="A19152" t="str">
        <f>"1270076N00006    00"</f>
        <v>1270076N00006    00</v>
      </c>
      <c r="B19152" t="s">
        <v>41563</v>
      </c>
      <c r="C19152" t="s">
        <v>41564</v>
      </c>
      <c r="D19152" t="s">
        <v>20</v>
      </c>
      <c r="E19152" t="s">
        <v>39</v>
      </c>
      <c r="F19152">
        <v>0</v>
      </c>
      <c r="G19152">
        <v>0</v>
      </c>
      <c r="H19152">
        <v>19</v>
      </c>
      <c r="I19152" s="3">
        <v>14108.98</v>
      </c>
      <c r="J19152" s="3">
        <v>15470.96</v>
      </c>
      <c r="L19152">
        <v>225</v>
      </c>
      <c r="M19152" t="s">
        <v>41565</v>
      </c>
      <c r="N19152" t="s">
        <v>36889</v>
      </c>
      <c r="O19152" t="s">
        <v>31</v>
      </c>
      <c r="P19152" t="str">
        <f>"15320"</f>
        <v>15320</v>
      </c>
    </row>
    <row r="19153" spans="1:16" x14ac:dyDescent="0.25">
      <c r="A19153" t="str">
        <f>"1270076N00007    00"</f>
        <v>1270076N00007    00</v>
      </c>
      <c r="B19153" t="s">
        <v>11162</v>
      </c>
      <c r="C19153" t="s">
        <v>41566</v>
      </c>
      <c r="D19153" t="s">
        <v>20</v>
      </c>
      <c r="E19153" t="s">
        <v>39</v>
      </c>
      <c r="F19153">
        <v>0</v>
      </c>
      <c r="G19153">
        <v>0</v>
      </c>
      <c r="H19153">
        <v>1</v>
      </c>
      <c r="I19153" s="3">
        <v>918.69</v>
      </c>
      <c r="J19153" s="3">
        <v>0</v>
      </c>
      <c r="L19153">
        <v>511</v>
      </c>
      <c r="M19153" t="s">
        <v>11164</v>
      </c>
      <c r="N19153" t="s">
        <v>22282</v>
      </c>
      <c r="O19153" t="s">
        <v>606</v>
      </c>
      <c r="P19153" t="str">
        <f>"30189"</f>
        <v>30189</v>
      </c>
    </row>
    <row r="19154" spans="1:16" x14ac:dyDescent="0.25">
      <c r="A19154" t="str">
        <f>"1270076N00011    00"</f>
        <v>1270076N00011    00</v>
      </c>
      <c r="B19154" t="s">
        <v>11162</v>
      </c>
      <c r="C19154" t="s">
        <v>41567</v>
      </c>
      <c r="D19154" t="s">
        <v>20</v>
      </c>
      <c r="E19154" t="s">
        <v>39</v>
      </c>
      <c r="F19154">
        <v>0</v>
      </c>
      <c r="G19154">
        <v>0</v>
      </c>
      <c r="H19154">
        <v>1</v>
      </c>
      <c r="I19154" s="3">
        <v>183</v>
      </c>
      <c r="J19154" s="3">
        <v>0</v>
      </c>
      <c r="L19154">
        <v>511</v>
      </c>
      <c r="M19154" t="s">
        <v>11164</v>
      </c>
      <c r="N19154" t="s">
        <v>22282</v>
      </c>
      <c r="O19154" t="s">
        <v>606</v>
      </c>
      <c r="P19154" t="str">
        <f>"30189"</f>
        <v>30189</v>
      </c>
    </row>
    <row r="19155" spans="1:16" x14ac:dyDescent="0.25">
      <c r="A19155" t="str">
        <f>"1270076N00013    00"</f>
        <v>1270076N00013    00</v>
      </c>
      <c r="B19155" t="s">
        <v>23389</v>
      </c>
      <c r="C19155" t="s">
        <v>41568</v>
      </c>
      <c r="D19155" t="s">
        <v>20</v>
      </c>
      <c r="E19155" t="s">
        <v>39</v>
      </c>
      <c r="F19155">
        <v>0</v>
      </c>
      <c r="G19155">
        <v>0</v>
      </c>
      <c r="H19155">
        <v>13</v>
      </c>
      <c r="I19155" s="3">
        <v>11841.3</v>
      </c>
      <c r="J19155" s="3">
        <v>6672.62</v>
      </c>
      <c r="L19155">
        <v>4433</v>
      </c>
      <c r="M19155" t="s">
        <v>41569</v>
      </c>
      <c r="N19155" t="s">
        <v>41570</v>
      </c>
      <c r="O19155" t="s">
        <v>495</v>
      </c>
      <c r="P19155" t="str">
        <f>"95054"</f>
        <v>95054</v>
      </c>
    </row>
    <row r="19156" spans="1:16" x14ac:dyDescent="0.25">
      <c r="A19156" t="str">
        <f>"1270076N00016    00"</f>
        <v>1270076N00016    00</v>
      </c>
      <c r="B19156" t="s">
        <v>41571</v>
      </c>
      <c r="C19156" t="s">
        <v>41572</v>
      </c>
      <c r="D19156" t="s">
        <v>20</v>
      </c>
      <c r="E19156" t="s">
        <v>39</v>
      </c>
      <c r="F19156">
        <v>0</v>
      </c>
      <c r="G19156">
        <v>0</v>
      </c>
      <c r="H19156">
        <v>11</v>
      </c>
      <c r="I19156" s="3">
        <v>6179.38</v>
      </c>
      <c r="J19156" s="3">
        <v>2949.2</v>
      </c>
      <c r="L19156">
        <v>125</v>
      </c>
      <c r="M19156" t="s">
        <v>41573</v>
      </c>
      <c r="N19156" t="s">
        <v>30</v>
      </c>
      <c r="O19156" t="s">
        <v>31</v>
      </c>
      <c r="P19156" t="str">
        <f>"15229"</f>
        <v>15229</v>
      </c>
    </row>
    <row r="19157" spans="1:16" x14ac:dyDescent="0.25">
      <c r="A19157" t="str">
        <f>"1270076N00018    00"</f>
        <v>1270076N00018    00</v>
      </c>
      <c r="B19157" t="s">
        <v>41574</v>
      </c>
      <c r="C19157" t="s">
        <v>40088</v>
      </c>
      <c r="D19157" t="s">
        <v>20</v>
      </c>
      <c r="E19157" t="s">
        <v>39</v>
      </c>
      <c r="F19157">
        <v>0</v>
      </c>
      <c r="G19157">
        <v>0</v>
      </c>
      <c r="H19157">
        <v>19</v>
      </c>
      <c r="I19157" s="3">
        <v>7618.95</v>
      </c>
      <c r="J19157" s="3">
        <v>7685.74</v>
      </c>
      <c r="L19157">
        <v>944</v>
      </c>
      <c r="M19157" t="s">
        <v>41575</v>
      </c>
      <c r="N19157" t="s">
        <v>23649</v>
      </c>
      <c r="O19157" t="s">
        <v>9696</v>
      </c>
      <c r="P19157" t="str">
        <f>"46231"</f>
        <v>46231</v>
      </c>
    </row>
    <row r="19158" spans="1:16" x14ac:dyDescent="0.25">
      <c r="A19158" t="str">
        <f>"1270076N00023    00"</f>
        <v>1270076N00023    00</v>
      </c>
      <c r="B19158" t="s">
        <v>41576</v>
      </c>
      <c r="C19158" t="s">
        <v>41577</v>
      </c>
      <c r="D19158" t="s">
        <v>20</v>
      </c>
      <c r="E19158" t="s">
        <v>39</v>
      </c>
      <c r="F19158">
        <v>0</v>
      </c>
      <c r="G19158">
        <v>0</v>
      </c>
      <c r="H19158">
        <v>17</v>
      </c>
      <c r="I19158" s="3">
        <v>13318.29</v>
      </c>
      <c r="J19158" s="3">
        <v>9679.68</v>
      </c>
      <c r="L19158">
        <v>1995</v>
      </c>
      <c r="M19158" t="s">
        <v>41578</v>
      </c>
      <c r="N19158" t="s">
        <v>41579</v>
      </c>
      <c r="O19158" t="s">
        <v>1005</v>
      </c>
      <c r="P19158" t="str">
        <f>"85224"</f>
        <v>85224</v>
      </c>
    </row>
    <row r="19159" spans="1:16" x14ac:dyDescent="0.25">
      <c r="A19159" t="str">
        <f>"1270076N00024A   00"</f>
        <v>1270076N00024A   00</v>
      </c>
      <c r="B19159" t="s">
        <v>41580</v>
      </c>
      <c r="C19159" t="s">
        <v>41581</v>
      </c>
      <c r="D19159" t="s">
        <v>20</v>
      </c>
      <c r="E19159" t="s">
        <v>39</v>
      </c>
      <c r="F19159">
        <v>0</v>
      </c>
      <c r="G19159">
        <v>0</v>
      </c>
      <c r="H19159">
        <v>19</v>
      </c>
      <c r="I19159" s="3">
        <v>11033.71</v>
      </c>
      <c r="J19159" s="3">
        <v>12052.62</v>
      </c>
      <c r="K19159" t="s">
        <v>41582</v>
      </c>
      <c r="L19159">
        <v>2579</v>
      </c>
      <c r="M19159" t="s">
        <v>41583</v>
      </c>
      <c r="N19159" t="s">
        <v>139</v>
      </c>
      <c r="O19159" t="s">
        <v>31</v>
      </c>
      <c r="P19159" t="str">
        <f>"15090"</f>
        <v>15090</v>
      </c>
    </row>
    <row r="19160" spans="1:16" x14ac:dyDescent="0.25">
      <c r="A19160" t="str">
        <f>"1270076N00024B   00"</f>
        <v>1270076N00024B   00</v>
      </c>
      <c r="B19160" t="s">
        <v>41584</v>
      </c>
      <c r="C19160" t="s">
        <v>41585</v>
      </c>
      <c r="D19160" t="s">
        <v>20</v>
      </c>
      <c r="E19160" t="s">
        <v>39</v>
      </c>
      <c r="F19160">
        <v>0</v>
      </c>
      <c r="G19160">
        <v>0</v>
      </c>
      <c r="H19160">
        <v>1</v>
      </c>
      <c r="I19160" s="3">
        <v>371.68</v>
      </c>
      <c r="J19160" s="3">
        <v>0</v>
      </c>
      <c r="K19160" t="s">
        <v>41586</v>
      </c>
      <c r="L19160">
        <v>607</v>
      </c>
      <c r="M19160" t="s">
        <v>2931</v>
      </c>
      <c r="N19160" t="s">
        <v>30</v>
      </c>
      <c r="O19160" t="s">
        <v>31</v>
      </c>
      <c r="P19160" t="str">
        <f>"15219"</f>
        <v>15219</v>
      </c>
    </row>
    <row r="19161" spans="1:16" x14ac:dyDescent="0.25">
      <c r="A19161" t="str">
        <f>"1270076N00024H   00"</f>
        <v>1270076N00024H   00</v>
      </c>
      <c r="B19161" t="s">
        <v>41587</v>
      </c>
      <c r="C19161" t="s">
        <v>41588</v>
      </c>
      <c r="D19161" t="s">
        <v>20</v>
      </c>
      <c r="E19161" t="s">
        <v>39</v>
      </c>
      <c r="F19161">
        <v>0</v>
      </c>
      <c r="G19161">
        <v>0</v>
      </c>
      <c r="H19161">
        <v>19</v>
      </c>
      <c r="I19161" s="3">
        <v>4063.09</v>
      </c>
      <c r="J19161" s="3">
        <v>3377.93</v>
      </c>
      <c r="L19161">
        <v>411</v>
      </c>
      <c r="M19161" t="s">
        <v>41589</v>
      </c>
      <c r="N19161" t="s">
        <v>30</v>
      </c>
      <c r="O19161" t="s">
        <v>31</v>
      </c>
      <c r="P19161" t="str">
        <f>"15237"</f>
        <v>15237</v>
      </c>
    </row>
    <row r="19162" spans="1:16" x14ac:dyDescent="0.25">
      <c r="A19162" t="str">
        <f>"1270076N00024J   00"</f>
        <v>1270076N00024J   00</v>
      </c>
      <c r="B19162" t="s">
        <v>41590</v>
      </c>
      <c r="C19162" t="s">
        <v>41588</v>
      </c>
      <c r="D19162" t="s">
        <v>20</v>
      </c>
      <c r="E19162" t="s">
        <v>39</v>
      </c>
      <c r="F19162">
        <v>0</v>
      </c>
      <c r="G19162">
        <v>0</v>
      </c>
      <c r="H19162">
        <v>19</v>
      </c>
      <c r="I19162" s="3">
        <v>3989.07</v>
      </c>
      <c r="J19162" s="3">
        <v>3271.29</v>
      </c>
      <c r="P19162" t="str">
        <f>""</f>
        <v/>
      </c>
    </row>
    <row r="19163" spans="1:16" x14ac:dyDescent="0.25">
      <c r="A19163" t="str">
        <f>"1270076N00024K   00"</f>
        <v>1270076N00024K   00</v>
      </c>
      <c r="B19163" t="s">
        <v>41591</v>
      </c>
      <c r="C19163" t="s">
        <v>41588</v>
      </c>
      <c r="D19163" t="s">
        <v>20</v>
      </c>
      <c r="E19163" t="s">
        <v>39</v>
      </c>
      <c r="F19163">
        <v>0</v>
      </c>
      <c r="G19163">
        <v>0</v>
      </c>
      <c r="H19163">
        <v>19</v>
      </c>
      <c r="I19163" s="3">
        <v>4241.67</v>
      </c>
      <c r="J19163" s="3">
        <v>3494.47</v>
      </c>
      <c r="P19163" t="str">
        <f>""</f>
        <v/>
      </c>
    </row>
    <row r="19164" spans="1:16" x14ac:dyDescent="0.25">
      <c r="A19164" t="str">
        <f>"1270076N00027    00"</f>
        <v>1270076N00027    00</v>
      </c>
      <c r="B19164" t="s">
        <v>41592</v>
      </c>
      <c r="C19164" t="s">
        <v>40088</v>
      </c>
      <c r="D19164" t="s">
        <v>20</v>
      </c>
      <c r="E19164" t="s">
        <v>39</v>
      </c>
      <c r="F19164">
        <v>0</v>
      </c>
      <c r="G19164">
        <v>0</v>
      </c>
      <c r="H19164">
        <v>14</v>
      </c>
      <c r="I19164" s="3">
        <v>1911.4</v>
      </c>
      <c r="J19164" s="3">
        <v>2466.09</v>
      </c>
      <c r="K19164" t="s">
        <v>41593</v>
      </c>
      <c r="L19164">
        <v>3480</v>
      </c>
      <c r="M19164" t="s">
        <v>23236</v>
      </c>
      <c r="N19164" t="s">
        <v>285</v>
      </c>
      <c r="O19164" t="s">
        <v>31</v>
      </c>
      <c r="P19164" t="str">
        <f>"15120"</f>
        <v>15120</v>
      </c>
    </row>
    <row r="19165" spans="1:16" x14ac:dyDescent="0.25">
      <c r="A19165" t="str">
        <f>"1270076N00027A   00"</f>
        <v>1270076N00027A   00</v>
      </c>
      <c r="B19165" t="s">
        <v>41594</v>
      </c>
      <c r="C19165" t="s">
        <v>40088</v>
      </c>
      <c r="D19165" t="s">
        <v>20</v>
      </c>
      <c r="E19165" t="s">
        <v>39</v>
      </c>
      <c r="F19165">
        <v>0</v>
      </c>
      <c r="G19165">
        <v>0</v>
      </c>
      <c r="H19165">
        <v>17</v>
      </c>
      <c r="I19165" s="3">
        <v>4293.46</v>
      </c>
      <c r="J19165" s="3">
        <v>6410.52</v>
      </c>
      <c r="K19165" t="s">
        <v>41595</v>
      </c>
      <c r="L19165">
        <v>240</v>
      </c>
      <c r="M19165" t="s">
        <v>11269</v>
      </c>
      <c r="N19165" t="s">
        <v>30</v>
      </c>
      <c r="O19165" t="s">
        <v>31</v>
      </c>
      <c r="P19165" t="str">
        <f>"15218"</f>
        <v>15218</v>
      </c>
    </row>
    <row r="19166" spans="1:16" x14ac:dyDescent="0.25">
      <c r="A19166" t="str">
        <f>"1270076N00027B   00"</f>
        <v>1270076N00027B   00</v>
      </c>
      <c r="B19166" t="s">
        <v>41596</v>
      </c>
      <c r="C19166" t="s">
        <v>40088</v>
      </c>
      <c r="D19166" t="s">
        <v>20</v>
      </c>
      <c r="E19166" t="s">
        <v>39</v>
      </c>
      <c r="F19166">
        <v>0</v>
      </c>
      <c r="G19166">
        <v>0</v>
      </c>
      <c r="H19166">
        <v>12</v>
      </c>
      <c r="I19166" s="3">
        <v>508.07</v>
      </c>
      <c r="J19166" s="3">
        <v>668.64</v>
      </c>
      <c r="K19166" t="s">
        <v>41597</v>
      </c>
      <c r="L19166">
        <v>1322</v>
      </c>
      <c r="M19166" t="s">
        <v>41598</v>
      </c>
      <c r="N19166" t="s">
        <v>30</v>
      </c>
      <c r="O19166" t="s">
        <v>31</v>
      </c>
      <c r="P19166" t="str">
        <f>"15212"</f>
        <v>15212</v>
      </c>
    </row>
    <row r="19167" spans="1:16" x14ac:dyDescent="0.25">
      <c r="A19167" t="str">
        <f>"1270076N00027C   00"</f>
        <v>1270076N00027C   00</v>
      </c>
      <c r="B19167" t="s">
        <v>41587</v>
      </c>
      <c r="C19167" t="s">
        <v>40088</v>
      </c>
      <c r="D19167" t="s">
        <v>20</v>
      </c>
      <c r="E19167" t="s">
        <v>39</v>
      </c>
      <c r="F19167">
        <v>0</v>
      </c>
      <c r="G19167">
        <v>0</v>
      </c>
      <c r="H19167">
        <v>17</v>
      </c>
      <c r="I19167" s="3">
        <v>4881.79</v>
      </c>
      <c r="J19167" s="3">
        <v>7322.39</v>
      </c>
      <c r="L19167">
        <v>411</v>
      </c>
      <c r="M19167" t="s">
        <v>41589</v>
      </c>
      <c r="N19167" t="s">
        <v>30</v>
      </c>
      <c r="O19167" t="s">
        <v>31</v>
      </c>
      <c r="P19167" t="str">
        <f>"15237"</f>
        <v>15237</v>
      </c>
    </row>
    <row r="19168" spans="1:16" x14ac:dyDescent="0.25">
      <c r="A19168" t="str">
        <f>"1270076N00027D   00"</f>
        <v>1270076N00027D   00</v>
      </c>
      <c r="B19168" t="s">
        <v>41587</v>
      </c>
      <c r="C19168" t="s">
        <v>40088</v>
      </c>
      <c r="D19168" t="s">
        <v>20</v>
      </c>
      <c r="E19168" t="s">
        <v>39</v>
      </c>
      <c r="F19168">
        <v>0</v>
      </c>
      <c r="G19168">
        <v>0</v>
      </c>
      <c r="H19168">
        <v>17</v>
      </c>
      <c r="I19168" s="3">
        <v>4293.46</v>
      </c>
      <c r="J19168" s="3">
        <v>6410.52</v>
      </c>
      <c r="L19168">
        <v>411</v>
      </c>
      <c r="M19168" t="s">
        <v>41589</v>
      </c>
      <c r="N19168" t="s">
        <v>30</v>
      </c>
      <c r="O19168" t="s">
        <v>31</v>
      </c>
      <c r="P19168" t="str">
        <f>"15237"</f>
        <v>15237</v>
      </c>
    </row>
    <row r="19169" spans="1:16" x14ac:dyDescent="0.25">
      <c r="A19169" t="str">
        <f>"1270076N00027F   00"</f>
        <v>1270076N00027F   00</v>
      </c>
      <c r="B19169" t="s">
        <v>41587</v>
      </c>
      <c r="C19169" t="s">
        <v>40088</v>
      </c>
      <c r="D19169" t="s">
        <v>20</v>
      </c>
      <c r="E19169" t="s">
        <v>39</v>
      </c>
      <c r="F19169">
        <v>0</v>
      </c>
      <c r="G19169">
        <v>0</v>
      </c>
      <c r="H19169">
        <v>17</v>
      </c>
      <c r="I19169" s="3">
        <v>5999.35</v>
      </c>
      <c r="J19169" s="3">
        <v>8886.33</v>
      </c>
      <c r="L19169">
        <v>411</v>
      </c>
      <c r="M19169" t="s">
        <v>41589</v>
      </c>
      <c r="N19169" t="s">
        <v>30</v>
      </c>
      <c r="O19169" t="s">
        <v>31</v>
      </c>
      <c r="P19169" t="str">
        <f>"15237"</f>
        <v>15237</v>
      </c>
    </row>
    <row r="19170" spans="1:16" x14ac:dyDescent="0.25">
      <c r="A19170" t="str">
        <f>"1270076N00027G   00"</f>
        <v>1270076N00027G   00</v>
      </c>
      <c r="B19170" t="s">
        <v>41599</v>
      </c>
      <c r="C19170" t="s">
        <v>40088</v>
      </c>
      <c r="D19170" t="s">
        <v>20</v>
      </c>
      <c r="E19170" t="s">
        <v>39</v>
      </c>
      <c r="F19170">
        <v>0</v>
      </c>
      <c r="G19170">
        <v>0</v>
      </c>
      <c r="H19170">
        <v>8</v>
      </c>
      <c r="I19170" s="3">
        <v>2660.88</v>
      </c>
      <c r="J19170" s="3">
        <v>870.68</v>
      </c>
      <c r="L19170">
        <v>518</v>
      </c>
      <c r="M19170" t="s">
        <v>7837</v>
      </c>
      <c r="N19170" t="s">
        <v>149</v>
      </c>
      <c r="O19170" t="s">
        <v>31</v>
      </c>
      <c r="P19170" t="str">
        <f>"15106"</f>
        <v>15106</v>
      </c>
    </row>
    <row r="19171" spans="1:16" x14ac:dyDescent="0.25">
      <c r="A19171" t="str">
        <f>"1270076N00031    00"</f>
        <v>1270076N00031    00</v>
      </c>
      <c r="B19171" t="s">
        <v>41600</v>
      </c>
      <c r="C19171" t="s">
        <v>40088</v>
      </c>
      <c r="D19171" t="s">
        <v>20</v>
      </c>
      <c r="E19171" t="s">
        <v>39</v>
      </c>
      <c r="F19171">
        <v>0</v>
      </c>
      <c r="G19171">
        <v>0</v>
      </c>
      <c r="H19171">
        <v>18</v>
      </c>
      <c r="I19171" s="3">
        <v>542.80999999999995</v>
      </c>
      <c r="J19171" s="3">
        <v>570.39</v>
      </c>
      <c r="L19171">
        <v>1322</v>
      </c>
      <c r="M19171" t="s">
        <v>41598</v>
      </c>
      <c r="N19171" t="s">
        <v>30</v>
      </c>
      <c r="O19171" t="s">
        <v>31</v>
      </c>
      <c r="P19171" t="str">
        <f>"15212"</f>
        <v>15212</v>
      </c>
    </row>
    <row r="19172" spans="1:16" x14ac:dyDescent="0.25">
      <c r="A19172" t="str">
        <f>"1270076N00033    00"</f>
        <v>1270076N00033    00</v>
      </c>
      <c r="B19172" t="s">
        <v>41600</v>
      </c>
      <c r="C19172" t="s">
        <v>40088</v>
      </c>
      <c r="D19172" t="s">
        <v>20</v>
      </c>
      <c r="E19172" t="s">
        <v>39</v>
      </c>
      <c r="F19172">
        <v>0</v>
      </c>
      <c r="G19172">
        <v>0</v>
      </c>
      <c r="H19172">
        <v>18</v>
      </c>
      <c r="I19172" s="3">
        <v>3115.54</v>
      </c>
      <c r="J19172" s="3">
        <v>4250.88</v>
      </c>
      <c r="L19172">
        <v>1322</v>
      </c>
      <c r="M19172" t="s">
        <v>41598</v>
      </c>
      <c r="N19172" t="s">
        <v>30</v>
      </c>
      <c r="O19172" t="s">
        <v>31</v>
      </c>
      <c r="P19172" t="str">
        <f>"15212"</f>
        <v>15212</v>
      </c>
    </row>
    <row r="19173" spans="1:16" x14ac:dyDescent="0.25">
      <c r="A19173" t="str">
        <f>"1270076N00034    00"</f>
        <v>1270076N00034    00</v>
      </c>
      <c r="B19173" t="s">
        <v>41601</v>
      </c>
      <c r="C19173" t="s">
        <v>41602</v>
      </c>
      <c r="D19173" t="s">
        <v>20</v>
      </c>
      <c r="E19173" t="s">
        <v>21</v>
      </c>
      <c r="F19173">
        <v>0</v>
      </c>
      <c r="G19173">
        <v>0</v>
      </c>
      <c r="H19173">
        <v>19</v>
      </c>
      <c r="I19173" s="3">
        <v>9938.61</v>
      </c>
      <c r="J19173" s="3">
        <v>9106.31</v>
      </c>
      <c r="L19173">
        <v>3121</v>
      </c>
      <c r="M19173" t="s">
        <v>35783</v>
      </c>
      <c r="N19173" t="s">
        <v>30</v>
      </c>
      <c r="O19173" t="s">
        <v>31</v>
      </c>
      <c r="P19173" t="str">
        <f>"15212"</f>
        <v>15212</v>
      </c>
    </row>
    <row r="19174" spans="1:16" x14ac:dyDescent="0.25">
      <c r="A19174" t="str">
        <f>"1270076N00035    00"</f>
        <v>1270076N00035    00</v>
      </c>
      <c r="B19174" t="s">
        <v>41603</v>
      </c>
      <c r="C19174" t="s">
        <v>41604</v>
      </c>
      <c r="D19174" t="s">
        <v>20</v>
      </c>
      <c r="E19174" t="s">
        <v>39</v>
      </c>
      <c r="F19174">
        <v>0</v>
      </c>
      <c r="G19174">
        <v>0</v>
      </c>
      <c r="H19174">
        <v>1</v>
      </c>
      <c r="I19174" s="3">
        <v>1105.5</v>
      </c>
      <c r="J19174" s="3">
        <v>0</v>
      </c>
      <c r="L19174">
        <v>2834</v>
      </c>
      <c r="M19174" t="s">
        <v>854</v>
      </c>
      <c r="N19174" t="s">
        <v>30</v>
      </c>
      <c r="O19174" t="s">
        <v>31</v>
      </c>
      <c r="P19174" t="str">
        <f>"15219"</f>
        <v>15219</v>
      </c>
    </row>
    <row r="19175" spans="1:16" x14ac:dyDescent="0.25">
      <c r="A19175" t="str">
        <f>"1270076N00042    00"</f>
        <v>1270076N00042    00</v>
      </c>
      <c r="B19175" t="s">
        <v>41605</v>
      </c>
      <c r="C19175" t="s">
        <v>41606</v>
      </c>
      <c r="E19175" t="s">
        <v>39</v>
      </c>
      <c r="F19175">
        <v>0</v>
      </c>
      <c r="G19175">
        <v>0</v>
      </c>
      <c r="H19175">
        <v>6</v>
      </c>
      <c r="I19175" s="3">
        <v>3425.51</v>
      </c>
      <c r="J19175" s="3">
        <v>2600.79</v>
      </c>
      <c r="K19175" t="s">
        <v>41607</v>
      </c>
      <c r="L19175">
        <v>736</v>
      </c>
      <c r="M19175" t="s">
        <v>41608</v>
      </c>
      <c r="N19175" t="s">
        <v>36460</v>
      </c>
      <c r="O19175" t="s">
        <v>31</v>
      </c>
      <c r="P19175" t="str">
        <f>"15127"</f>
        <v>15127</v>
      </c>
    </row>
    <row r="19176" spans="1:16" x14ac:dyDescent="0.25">
      <c r="A19176" t="str">
        <f>"1270076N00044    00"</f>
        <v>1270076N00044    00</v>
      </c>
      <c r="B19176" t="s">
        <v>41609</v>
      </c>
      <c r="C19176" t="s">
        <v>41610</v>
      </c>
      <c r="D19176" t="s">
        <v>20</v>
      </c>
      <c r="E19176" t="s">
        <v>39</v>
      </c>
      <c r="F19176">
        <v>0</v>
      </c>
      <c r="G19176">
        <v>0</v>
      </c>
      <c r="H19176">
        <v>13</v>
      </c>
      <c r="I19176" s="3">
        <v>8191.44</v>
      </c>
      <c r="J19176" s="3">
        <v>4697.67</v>
      </c>
      <c r="L19176">
        <v>1316</v>
      </c>
      <c r="M19176" t="s">
        <v>41598</v>
      </c>
      <c r="N19176" t="s">
        <v>30</v>
      </c>
      <c r="O19176" t="s">
        <v>31</v>
      </c>
      <c r="P19176" t="str">
        <f>"15212"</f>
        <v>15212</v>
      </c>
    </row>
    <row r="19177" spans="1:16" x14ac:dyDescent="0.25">
      <c r="A19177" t="str">
        <f>"1270076N00046    00"</f>
        <v>1270076N00046    00</v>
      </c>
      <c r="B19177" t="s">
        <v>38413</v>
      </c>
      <c r="C19177" t="s">
        <v>41611</v>
      </c>
      <c r="D19177" t="s">
        <v>20</v>
      </c>
      <c r="E19177" t="s">
        <v>39</v>
      </c>
      <c r="F19177">
        <v>0</v>
      </c>
      <c r="G19177">
        <v>0</v>
      </c>
      <c r="H19177">
        <v>2</v>
      </c>
      <c r="I19177" s="3">
        <v>1113.1400000000001</v>
      </c>
      <c r="J19177" s="3">
        <v>0</v>
      </c>
      <c r="L19177">
        <v>219</v>
      </c>
      <c r="M19177" t="s">
        <v>39818</v>
      </c>
      <c r="N19177" t="s">
        <v>30</v>
      </c>
      <c r="O19177" t="s">
        <v>31</v>
      </c>
      <c r="P19177" t="str">
        <f>"15237"</f>
        <v>15237</v>
      </c>
    </row>
    <row r="19178" spans="1:16" x14ac:dyDescent="0.25">
      <c r="A19178" t="str">
        <f>"1270076N00047    00"</f>
        <v>1270076N00047    00</v>
      </c>
      <c r="B19178" t="s">
        <v>41600</v>
      </c>
      <c r="C19178" t="s">
        <v>41612</v>
      </c>
      <c r="D19178" t="s">
        <v>20</v>
      </c>
      <c r="E19178" t="s">
        <v>39</v>
      </c>
      <c r="F19178">
        <v>0</v>
      </c>
      <c r="G19178">
        <v>0</v>
      </c>
      <c r="H19178">
        <v>14</v>
      </c>
      <c r="I19178" s="3">
        <v>4677.5</v>
      </c>
      <c r="J19178" s="3">
        <v>2161.7600000000002</v>
      </c>
      <c r="L19178">
        <v>1322</v>
      </c>
      <c r="M19178" t="s">
        <v>41598</v>
      </c>
      <c r="N19178" t="s">
        <v>30</v>
      </c>
      <c r="O19178" t="s">
        <v>31</v>
      </c>
      <c r="P19178" t="str">
        <f>"15212"</f>
        <v>15212</v>
      </c>
    </row>
    <row r="19179" spans="1:16" x14ac:dyDescent="0.25">
      <c r="A19179" t="str">
        <f>"1270076N00048    00"</f>
        <v>1270076N00048    00</v>
      </c>
      <c r="B19179" t="s">
        <v>41600</v>
      </c>
      <c r="C19179" t="s">
        <v>41613</v>
      </c>
      <c r="D19179" t="s">
        <v>20</v>
      </c>
      <c r="E19179" t="s">
        <v>39</v>
      </c>
      <c r="F19179">
        <v>0</v>
      </c>
      <c r="G19179">
        <v>0</v>
      </c>
      <c r="H19179">
        <v>10</v>
      </c>
      <c r="I19179" s="3">
        <v>1051.6199999999999</v>
      </c>
      <c r="J19179" s="3">
        <v>460.51</v>
      </c>
      <c r="L19179">
        <v>1322</v>
      </c>
      <c r="M19179" t="s">
        <v>41598</v>
      </c>
      <c r="N19179" t="s">
        <v>30</v>
      </c>
      <c r="O19179" t="s">
        <v>31</v>
      </c>
      <c r="P19179" t="str">
        <f>"15212"</f>
        <v>15212</v>
      </c>
    </row>
    <row r="19180" spans="1:16" x14ac:dyDescent="0.25">
      <c r="A19180" t="str">
        <f>"1270076N00052    00"</f>
        <v>1270076N00052    00</v>
      </c>
      <c r="B19180" t="s">
        <v>41614</v>
      </c>
      <c r="C19180" t="s">
        <v>41615</v>
      </c>
      <c r="D19180" t="s">
        <v>20</v>
      </c>
      <c r="E19180" t="s">
        <v>39</v>
      </c>
      <c r="F19180">
        <v>0</v>
      </c>
      <c r="G19180">
        <v>0</v>
      </c>
      <c r="H19180">
        <v>19</v>
      </c>
      <c r="I19180" s="3">
        <v>7485.28</v>
      </c>
      <c r="J19180" s="3">
        <v>8078.6</v>
      </c>
      <c r="K19180" t="s">
        <v>41616</v>
      </c>
      <c r="L19180">
        <v>1322</v>
      </c>
      <c r="M19180" t="s">
        <v>41598</v>
      </c>
      <c r="N19180" t="s">
        <v>30</v>
      </c>
      <c r="O19180" t="s">
        <v>31</v>
      </c>
      <c r="P19180" t="str">
        <f>"15212"</f>
        <v>15212</v>
      </c>
    </row>
    <row r="19181" spans="1:16" x14ac:dyDescent="0.25">
      <c r="A19181" t="str">
        <f>"1270076N00057    00"</f>
        <v>1270076N00057    00</v>
      </c>
      <c r="B19181" t="s">
        <v>41617</v>
      </c>
      <c r="C19181" t="s">
        <v>41618</v>
      </c>
      <c r="E19181" t="s">
        <v>39</v>
      </c>
      <c r="F19181">
        <v>0</v>
      </c>
      <c r="G19181">
        <v>0</v>
      </c>
      <c r="H19181">
        <v>3</v>
      </c>
      <c r="I19181" s="3">
        <v>646.39</v>
      </c>
      <c r="J19181" s="3">
        <v>10.199999999999999</v>
      </c>
      <c r="K19181" t="s">
        <v>41619</v>
      </c>
      <c r="L19181">
        <v>633</v>
      </c>
      <c r="M19181" t="s">
        <v>39476</v>
      </c>
      <c r="N19181" t="s">
        <v>11160</v>
      </c>
      <c r="O19181" t="s">
        <v>31</v>
      </c>
      <c r="P19181" t="str">
        <f>"15045"</f>
        <v>15045</v>
      </c>
    </row>
    <row r="19182" spans="1:16" x14ac:dyDescent="0.25">
      <c r="A19182" t="str">
        <f>"1270076N00058    00"</f>
        <v>1270076N00058    00</v>
      </c>
      <c r="B19182" t="s">
        <v>40734</v>
      </c>
      <c r="C19182" t="s">
        <v>41620</v>
      </c>
      <c r="D19182" t="s">
        <v>20</v>
      </c>
      <c r="E19182" t="s">
        <v>39</v>
      </c>
      <c r="F19182">
        <v>0</v>
      </c>
      <c r="G19182">
        <v>0</v>
      </c>
      <c r="H19182">
        <v>5</v>
      </c>
      <c r="I19182" s="3">
        <v>4634.63</v>
      </c>
      <c r="J19182" s="3">
        <v>800.7</v>
      </c>
      <c r="K19182" t="s">
        <v>40736</v>
      </c>
      <c r="L19182">
        <v>4812</v>
      </c>
      <c r="M19182" t="s">
        <v>40730</v>
      </c>
      <c r="N19182" t="s">
        <v>40731</v>
      </c>
      <c r="O19182" t="s">
        <v>370</v>
      </c>
      <c r="P19182" t="str">
        <f>"33458"</f>
        <v>33458</v>
      </c>
    </row>
    <row r="19183" spans="1:16" x14ac:dyDescent="0.25">
      <c r="A19183" t="str">
        <f>"1270076N00084    00"</f>
        <v>1270076N00084    00</v>
      </c>
      <c r="B19183" t="s">
        <v>41621</v>
      </c>
      <c r="C19183" t="s">
        <v>41622</v>
      </c>
      <c r="D19183" t="s">
        <v>20</v>
      </c>
      <c r="E19183" t="s">
        <v>39</v>
      </c>
      <c r="F19183">
        <v>0</v>
      </c>
      <c r="G19183">
        <v>0</v>
      </c>
      <c r="H19183">
        <v>1</v>
      </c>
      <c r="I19183" s="3">
        <v>488.41</v>
      </c>
      <c r="J19183" s="3">
        <v>0</v>
      </c>
      <c r="L19183">
        <v>3041</v>
      </c>
      <c r="M19183" t="s">
        <v>35783</v>
      </c>
      <c r="N19183" t="s">
        <v>30</v>
      </c>
      <c r="O19183" t="s">
        <v>31</v>
      </c>
      <c r="P19183" t="str">
        <f>"15212"</f>
        <v>15212</v>
      </c>
    </row>
    <row r="19184" spans="1:16" x14ac:dyDescent="0.25">
      <c r="A19184" t="str">
        <f>"1270076N00092    00"</f>
        <v>1270076N00092    00</v>
      </c>
      <c r="B19184" t="s">
        <v>41623</v>
      </c>
      <c r="C19184" t="s">
        <v>41624</v>
      </c>
      <c r="D19184" t="s">
        <v>20</v>
      </c>
      <c r="E19184" t="s">
        <v>39</v>
      </c>
      <c r="F19184">
        <v>0</v>
      </c>
      <c r="G19184">
        <v>0</v>
      </c>
      <c r="H19184">
        <v>1</v>
      </c>
      <c r="I19184" s="3">
        <v>581.38</v>
      </c>
      <c r="J19184" s="3">
        <v>0</v>
      </c>
      <c r="L19184">
        <v>3029</v>
      </c>
      <c r="M19184" t="s">
        <v>35783</v>
      </c>
      <c r="N19184" t="s">
        <v>30</v>
      </c>
      <c r="O19184" t="s">
        <v>31</v>
      </c>
      <c r="P19184" t="str">
        <f>"15212"</f>
        <v>15212</v>
      </c>
    </row>
    <row r="19185" spans="1:16" x14ac:dyDescent="0.25">
      <c r="A19185" t="str">
        <f>"1270076N00124    00"</f>
        <v>1270076N00124    00</v>
      </c>
      <c r="B19185" t="s">
        <v>41614</v>
      </c>
      <c r="C19185" t="s">
        <v>40088</v>
      </c>
      <c r="D19185" t="s">
        <v>20</v>
      </c>
      <c r="E19185" t="s">
        <v>39</v>
      </c>
      <c r="F19185">
        <v>0</v>
      </c>
      <c r="G19185">
        <v>0</v>
      </c>
      <c r="H19185">
        <v>2</v>
      </c>
      <c r="I19185" s="3">
        <v>773.86</v>
      </c>
      <c r="J19185" s="3">
        <v>0</v>
      </c>
      <c r="K19185" t="s">
        <v>41616</v>
      </c>
      <c r="L19185">
        <v>1330</v>
      </c>
      <c r="M19185" t="s">
        <v>41598</v>
      </c>
      <c r="N19185" t="s">
        <v>30</v>
      </c>
      <c r="O19185" t="s">
        <v>31</v>
      </c>
      <c r="P19185" t="str">
        <f>"15212"</f>
        <v>15212</v>
      </c>
    </row>
    <row r="19186" spans="1:16" x14ac:dyDescent="0.25">
      <c r="A19186" t="str">
        <f>"1270076N00133    00"</f>
        <v>1270076N00133    00</v>
      </c>
      <c r="B19186" t="s">
        <v>41625</v>
      </c>
      <c r="C19186" t="s">
        <v>40088</v>
      </c>
      <c r="D19186" t="s">
        <v>20</v>
      </c>
      <c r="E19186" t="s">
        <v>39</v>
      </c>
      <c r="F19186">
        <v>0</v>
      </c>
      <c r="G19186">
        <v>0</v>
      </c>
      <c r="H19186">
        <v>1</v>
      </c>
      <c r="I19186" s="3">
        <v>93.4</v>
      </c>
      <c r="J19186" s="3">
        <v>0</v>
      </c>
      <c r="L19186">
        <v>3118</v>
      </c>
      <c r="M19186" t="s">
        <v>35783</v>
      </c>
      <c r="N19186" t="s">
        <v>30</v>
      </c>
      <c r="O19186" t="s">
        <v>31</v>
      </c>
      <c r="P19186" t="str">
        <f>"15212"</f>
        <v>15212</v>
      </c>
    </row>
    <row r="19187" spans="1:16" x14ac:dyDescent="0.25">
      <c r="A19187" t="str">
        <f>"1270076N00136    00"</f>
        <v>1270076N00136    00</v>
      </c>
      <c r="B19187" t="s">
        <v>41626</v>
      </c>
      <c r="C19187" t="s">
        <v>41627</v>
      </c>
      <c r="D19187" t="s">
        <v>20</v>
      </c>
      <c r="E19187" t="s">
        <v>39</v>
      </c>
      <c r="F19187">
        <v>0</v>
      </c>
      <c r="G19187">
        <v>0</v>
      </c>
      <c r="H19187">
        <v>19</v>
      </c>
      <c r="I19187" s="3">
        <v>11743.25</v>
      </c>
      <c r="J19187" s="3">
        <v>9181.17</v>
      </c>
      <c r="L19187">
        <v>104</v>
      </c>
      <c r="M19187" t="s">
        <v>41628</v>
      </c>
      <c r="N19187" t="s">
        <v>32066</v>
      </c>
      <c r="O19187" t="s">
        <v>31</v>
      </c>
      <c r="P19187" t="str">
        <f>"16201"</f>
        <v>16201</v>
      </c>
    </row>
    <row r="19188" spans="1:16" x14ac:dyDescent="0.25">
      <c r="A19188" t="str">
        <f>"1270076N00137    00"</f>
        <v>1270076N00137    00</v>
      </c>
      <c r="B19188" t="s">
        <v>41629</v>
      </c>
      <c r="C19188" t="s">
        <v>40088</v>
      </c>
      <c r="D19188" t="s">
        <v>20</v>
      </c>
      <c r="E19188" t="s">
        <v>39</v>
      </c>
      <c r="F19188">
        <v>0</v>
      </c>
      <c r="G19188">
        <v>0</v>
      </c>
      <c r="H19188">
        <v>19</v>
      </c>
      <c r="I19188" s="3">
        <v>10809.13</v>
      </c>
      <c r="J19188" s="3">
        <v>7943.2</v>
      </c>
      <c r="L19188">
        <v>104</v>
      </c>
      <c r="M19188" t="s">
        <v>41628</v>
      </c>
      <c r="N19188" t="s">
        <v>32066</v>
      </c>
      <c r="O19188" t="s">
        <v>31</v>
      </c>
      <c r="P19188" t="str">
        <f>"16201"</f>
        <v>16201</v>
      </c>
    </row>
    <row r="19189" spans="1:16" x14ac:dyDescent="0.25">
      <c r="A19189" t="str">
        <f>"1270076N00139    00"</f>
        <v>1270076N00139    00</v>
      </c>
      <c r="B19189" t="s">
        <v>41630</v>
      </c>
      <c r="C19189" t="s">
        <v>41631</v>
      </c>
      <c r="D19189" t="s">
        <v>20</v>
      </c>
      <c r="E19189" t="s">
        <v>39</v>
      </c>
      <c r="F19189">
        <v>0</v>
      </c>
      <c r="G19189">
        <v>0</v>
      </c>
      <c r="H19189">
        <v>15</v>
      </c>
      <c r="I19189" s="3">
        <v>7398.52</v>
      </c>
      <c r="J19189" s="3">
        <v>4932.68</v>
      </c>
      <c r="L19189">
        <v>3128</v>
      </c>
      <c r="M19189" t="s">
        <v>35783</v>
      </c>
      <c r="N19189" t="s">
        <v>30</v>
      </c>
      <c r="O19189" t="s">
        <v>31</v>
      </c>
      <c r="P19189" t="str">
        <f>"15212"</f>
        <v>15212</v>
      </c>
    </row>
    <row r="19190" spans="1:16" x14ac:dyDescent="0.25">
      <c r="A19190" t="str">
        <f>"1270076N00142    00"</f>
        <v>1270076N00142    00</v>
      </c>
      <c r="B19190" t="s">
        <v>41632</v>
      </c>
      <c r="C19190" t="s">
        <v>41633</v>
      </c>
      <c r="E19190" t="s">
        <v>39</v>
      </c>
      <c r="F19190">
        <v>0</v>
      </c>
      <c r="G19190">
        <v>0</v>
      </c>
      <c r="H19190">
        <v>1</v>
      </c>
      <c r="I19190" s="3">
        <v>1022.43</v>
      </c>
      <c r="J19190" s="3">
        <v>281.14999999999998</v>
      </c>
      <c r="L19190">
        <v>3136</v>
      </c>
      <c r="M19190" t="s">
        <v>41634</v>
      </c>
      <c r="N19190" t="s">
        <v>30</v>
      </c>
      <c r="O19190" t="s">
        <v>31</v>
      </c>
      <c r="P19190" t="str">
        <f>"15212"</f>
        <v>15212</v>
      </c>
    </row>
    <row r="19191" spans="1:16" x14ac:dyDescent="0.25">
      <c r="A19191" t="str">
        <f>"1270076N00144    00"</f>
        <v>1270076N00144    00</v>
      </c>
      <c r="B19191" t="s">
        <v>41635</v>
      </c>
      <c r="C19191" t="s">
        <v>41636</v>
      </c>
      <c r="D19191" t="s">
        <v>20</v>
      </c>
      <c r="E19191" t="s">
        <v>39</v>
      </c>
      <c r="F19191">
        <v>0</v>
      </c>
      <c r="G19191">
        <v>0</v>
      </c>
      <c r="H19191">
        <v>3</v>
      </c>
      <c r="I19191" s="3">
        <v>880.56</v>
      </c>
      <c r="J19191" s="3">
        <v>58.7</v>
      </c>
      <c r="L19191">
        <v>3146</v>
      </c>
      <c r="M19191" t="s">
        <v>35783</v>
      </c>
      <c r="N19191" t="s">
        <v>30</v>
      </c>
      <c r="O19191" t="s">
        <v>31</v>
      </c>
      <c r="P19191" t="str">
        <f>"15212"</f>
        <v>15212</v>
      </c>
    </row>
    <row r="19192" spans="1:16" x14ac:dyDescent="0.25">
      <c r="A19192" t="str">
        <f>"1270076N00145    00"</f>
        <v>1270076N00145    00</v>
      </c>
      <c r="B19192" t="s">
        <v>41637</v>
      </c>
      <c r="C19192" t="s">
        <v>41636</v>
      </c>
      <c r="D19192" t="s">
        <v>20</v>
      </c>
      <c r="E19192" t="s">
        <v>39</v>
      </c>
      <c r="F19192">
        <v>0</v>
      </c>
      <c r="G19192">
        <v>0</v>
      </c>
      <c r="H19192">
        <v>3</v>
      </c>
      <c r="I19192" s="3">
        <v>892.02</v>
      </c>
      <c r="J19192" s="3">
        <v>59.47</v>
      </c>
      <c r="L19192">
        <v>3146</v>
      </c>
      <c r="M19192" t="s">
        <v>35783</v>
      </c>
      <c r="N19192" t="s">
        <v>30</v>
      </c>
      <c r="O19192" t="s">
        <v>31</v>
      </c>
      <c r="P19192" t="str">
        <f>"15212"</f>
        <v>15212</v>
      </c>
    </row>
    <row r="19193" spans="1:16" x14ac:dyDescent="0.25">
      <c r="A19193" t="str">
        <f>"1270076N00146    00"</f>
        <v>1270076N00146    00</v>
      </c>
      <c r="B19193" t="s">
        <v>41638</v>
      </c>
      <c r="C19193" t="s">
        <v>41636</v>
      </c>
      <c r="D19193" t="s">
        <v>20</v>
      </c>
      <c r="E19193" t="s">
        <v>39</v>
      </c>
      <c r="F19193">
        <v>0</v>
      </c>
      <c r="G19193">
        <v>0</v>
      </c>
      <c r="H19193">
        <v>3</v>
      </c>
      <c r="I19193" s="3">
        <v>907.88</v>
      </c>
      <c r="J19193" s="3">
        <v>72.349999999999994</v>
      </c>
      <c r="K19193" t="s">
        <v>6184</v>
      </c>
      <c r="L19193">
        <v>901</v>
      </c>
      <c r="M19193" t="s">
        <v>1503</v>
      </c>
      <c r="N19193" t="s">
        <v>494</v>
      </c>
      <c r="O19193" t="s">
        <v>495</v>
      </c>
      <c r="P19193" t="str">
        <f>"91768"</f>
        <v>91768</v>
      </c>
    </row>
    <row r="19194" spans="1:16" x14ac:dyDescent="0.25">
      <c r="A19194" t="str">
        <f>"1270076N00185    00"</f>
        <v>1270076N00185    00</v>
      </c>
      <c r="B19194" t="s">
        <v>41639</v>
      </c>
      <c r="C19194" t="s">
        <v>40122</v>
      </c>
      <c r="D19194" t="s">
        <v>20</v>
      </c>
      <c r="E19194" t="s">
        <v>39</v>
      </c>
      <c r="F19194">
        <v>0</v>
      </c>
      <c r="G19194">
        <v>0</v>
      </c>
      <c r="H19194">
        <v>15</v>
      </c>
      <c r="I19194" s="3">
        <v>7108.14</v>
      </c>
      <c r="J19194" s="3">
        <v>6867.32</v>
      </c>
      <c r="K19194" t="s">
        <v>41640</v>
      </c>
      <c r="L19194">
        <v>1869</v>
      </c>
      <c r="M19194" t="s">
        <v>41641</v>
      </c>
      <c r="N19194" t="s">
        <v>30</v>
      </c>
      <c r="O19194" t="s">
        <v>31</v>
      </c>
      <c r="P19194" t="str">
        <f>"15212"</f>
        <v>15212</v>
      </c>
    </row>
    <row r="19195" spans="1:16" x14ac:dyDescent="0.25">
      <c r="A19195" t="str">
        <f>"1270076N00195    00"</f>
        <v>1270076N00195    00</v>
      </c>
      <c r="B19195" t="s">
        <v>41642</v>
      </c>
      <c r="C19195" t="s">
        <v>41643</v>
      </c>
      <c r="D19195" t="s">
        <v>20</v>
      </c>
      <c r="E19195" t="s">
        <v>39</v>
      </c>
      <c r="F19195">
        <v>0</v>
      </c>
      <c r="G19195">
        <v>0</v>
      </c>
      <c r="H19195">
        <v>4</v>
      </c>
      <c r="I19195" s="3">
        <v>2138.2800000000002</v>
      </c>
      <c r="J19195" s="3">
        <v>145.13999999999999</v>
      </c>
      <c r="K19195" t="s">
        <v>41644</v>
      </c>
      <c r="L19195">
        <v>3044</v>
      </c>
      <c r="M19195" t="s">
        <v>40107</v>
      </c>
      <c r="N19195" t="s">
        <v>30</v>
      </c>
      <c r="O19195" t="s">
        <v>31</v>
      </c>
      <c r="P19195" t="str">
        <f>"15212"</f>
        <v>15212</v>
      </c>
    </row>
    <row r="19196" spans="1:16" x14ac:dyDescent="0.25">
      <c r="A19196" t="str">
        <f>"1270076N00196    00"</f>
        <v>1270076N00196    00</v>
      </c>
      <c r="B19196" t="s">
        <v>41645</v>
      </c>
      <c r="C19196" t="s">
        <v>41646</v>
      </c>
      <c r="D19196" t="s">
        <v>20</v>
      </c>
      <c r="E19196" t="s">
        <v>39</v>
      </c>
      <c r="F19196">
        <v>0</v>
      </c>
      <c r="G19196">
        <v>0</v>
      </c>
      <c r="H19196">
        <v>10</v>
      </c>
      <c r="I19196" s="3">
        <v>2633.31</v>
      </c>
      <c r="J19196" s="3">
        <v>1201.27</v>
      </c>
      <c r="L19196">
        <v>3046</v>
      </c>
      <c r="M19196" t="s">
        <v>40107</v>
      </c>
      <c r="N19196" t="s">
        <v>30</v>
      </c>
      <c r="O19196" t="s">
        <v>31</v>
      </c>
      <c r="P19196" t="str">
        <f>"15212"</f>
        <v>15212</v>
      </c>
    </row>
    <row r="19197" spans="1:16" x14ac:dyDescent="0.25">
      <c r="A19197" t="str">
        <f>"1270076N00197    00"</f>
        <v>1270076N00197    00</v>
      </c>
      <c r="B19197" t="s">
        <v>41647</v>
      </c>
      <c r="C19197" t="s">
        <v>41648</v>
      </c>
      <c r="E19197" t="s">
        <v>39</v>
      </c>
      <c r="F19197">
        <v>0</v>
      </c>
      <c r="G19197">
        <v>0</v>
      </c>
      <c r="H19197">
        <v>1</v>
      </c>
      <c r="I19197" s="3">
        <v>328</v>
      </c>
      <c r="J19197" s="3">
        <v>0</v>
      </c>
      <c r="L19197">
        <v>33</v>
      </c>
      <c r="M19197" t="s">
        <v>41649</v>
      </c>
      <c r="N19197" t="s">
        <v>903</v>
      </c>
      <c r="O19197" t="s">
        <v>31</v>
      </c>
      <c r="P19197" t="str">
        <f>"15136"</f>
        <v>15136</v>
      </c>
    </row>
    <row r="19198" spans="1:16" x14ac:dyDescent="0.25">
      <c r="A19198" t="str">
        <f>"1270076N00200    00"</f>
        <v>1270076N00200    00</v>
      </c>
      <c r="B19198" t="s">
        <v>41650</v>
      </c>
      <c r="C19198" t="s">
        <v>41651</v>
      </c>
      <c r="D19198" t="s">
        <v>20</v>
      </c>
      <c r="E19198" t="s">
        <v>39</v>
      </c>
      <c r="F19198">
        <v>0</v>
      </c>
      <c r="G19198">
        <v>0</v>
      </c>
      <c r="H19198">
        <v>19</v>
      </c>
      <c r="I19198" s="3">
        <v>13575.48</v>
      </c>
      <c r="J19198" s="3">
        <v>8416.4599999999991</v>
      </c>
      <c r="K19198" t="s">
        <v>41597</v>
      </c>
      <c r="L19198">
        <v>1322</v>
      </c>
      <c r="M19198" t="s">
        <v>41598</v>
      </c>
      <c r="N19198" t="s">
        <v>30</v>
      </c>
      <c r="O19198" t="s">
        <v>31</v>
      </c>
      <c r="P19198" t="str">
        <f>"15212"</f>
        <v>15212</v>
      </c>
    </row>
    <row r="19199" spans="1:16" x14ac:dyDescent="0.25">
      <c r="A19199" t="str">
        <f>"1270076N00206    00"</f>
        <v>1270076N00206    00</v>
      </c>
      <c r="B19199" t="s">
        <v>41652</v>
      </c>
      <c r="C19199" t="s">
        <v>41653</v>
      </c>
      <c r="D19199" t="s">
        <v>20</v>
      </c>
      <c r="E19199" t="s">
        <v>39</v>
      </c>
      <c r="F19199">
        <v>0</v>
      </c>
      <c r="G19199">
        <v>0</v>
      </c>
      <c r="H19199">
        <v>2</v>
      </c>
      <c r="I19199" s="3">
        <v>789.59</v>
      </c>
      <c r="J19199" s="3">
        <v>0</v>
      </c>
      <c r="K19199" t="s">
        <v>41654</v>
      </c>
      <c r="L19199">
        <v>239</v>
      </c>
      <c r="M19199" t="s">
        <v>14476</v>
      </c>
      <c r="N19199" t="s">
        <v>30</v>
      </c>
      <c r="O19199" t="s">
        <v>31</v>
      </c>
      <c r="P19199" t="str">
        <f>"15212"</f>
        <v>15212</v>
      </c>
    </row>
    <row r="19200" spans="1:16" x14ac:dyDescent="0.25">
      <c r="A19200" t="str">
        <f>"1270076N00209    00"</f>
        <v>1270076N00209    00</v>
      </c>
      <c r="B19200" t="s">
        <v>41655</v>
      </c>
      <c r="C19200" t="s">
        <v>41656</v>
      </c>
      <c r="E19200" t="s">
        <v>39</v>
      </c>
      <c r="F19200">
        <v>0</v>
      </c>
      <c r="G19200">
        <v>0</v>
      </c>
      <c r="H19200">
        <v>3</v>
      </c>
      <c r="I19200" s="3">
        <v>595.51</v>
      </c>
      <c r="J19200" s="3">
        <v>5.32</v>
      </c>
      <c r="K19200" t="s">
        <v>41657</v>
      </c>
      <c r="L19200">
        <v>513</v>
      </c>
      <c r="M19200" t="s">
        <v>13875</v>
      </c>
      <c r="N19200" t="s">
        <v>30</v>
      </c>
      <c r="O19200" t="s">
        <v>31</v>
      </c>
      <c r="P19200" t="str">
        <f>"15209"</f>
        <v>15209</v>
      </c>
    </row>
    <row r="19201" spans="1:16" x14ac:dyDescent="0.25">
      <c r="A19201" t="str">
        <f>"1270076N00210    00"</f>
        <v>1270076N00210    00</v>
      </c>
      <c r="B19201" t="s">
        <v>41658</v>
      </c>
      <c r="C19201" t="s">
        <v>41659</v>
      </c>
      <c r="D19201" t="s">
        <v>20</v>
      </c>
      <c r="E19201" t="s">
        <v>39</v>
      </c>
      <c r="F19201">
        <v>0</v>
      </c>
      <c r="G19201">
        <v>0</v>
      </c>
      <c r="H19201">
        <v>13</v>
      </c>
      <c r="I19201" s="3">
        <v>8039.44</v>
      </c>
      <c r="J19201" s="3">
        <v>4419.3500000000004</v>
      </c>
      <c r="L19201">
        <v>3118</v>
      </c>
      <c r="M19201" t="s">
        <v>40107</v>
      </c>
      <c r="N19201" t="s">
        <v>30</v>
      </c>
      <c r="O19201" t="s">
        <v>31</v>
      </c>
      <c r="P19201" t="str">
        <f>"15212"</f>
        <v>15212</v>
      </c>
    </row>
    <row r="19202" spans="1:16" x14ac:dyDescent="0.25">
      <c r="A19202" t="str">
        <f>"1270076N00212    00"</f>
        <v>1270076N00212    00</v>
      </c>
      <c r="B19202" t="s">
        <v>41660</v>
      </c>
      <c r="C19202" t="s">
        <v>41661</v>
      </c>
      <c r="D19202" t="s">
        <v>20</v>
      </c>
      <c r="E19202" t="s">
        <v>39</v>
      </c>
      <c r="F19202">
        <v>0</v>
      </c>
      <c r="G19202">
        <v>0</v>
      </c>
      <c r="H19202">
        <v>16</v>
      </c>
      <c r="I19202" s="3">
        <v>10366.99</v>
      </c>
      <c r="J19202" s="3">
        <v>6869.66</v>
      </c>
      <c r="L19202">
        <v>12302</v>
      </c>
      <c r="M19202" t="s">
        <v>40555</v>
      </c>
      <c r="N19202" t="s">
        <v>40556</v>
      </c>
      <c r="O19202" t="s">
        <v>692</v>
      </c>
      <c r="P19202" t="str">
        <f>"20136"</f>
        <v>20136</v>
      </c>
    </row>
    <row r="19203" spans="1:16" x14ac:dyDescent="0.25">
      <c r="A19203" t="str">
        <f>"1270076N00213    00"</f>
        <v>1270076N00213    00</v>
      </c>
      <c r="B19203" t="s">
        <v>8322</v>
      </c>
      <c r="C19203" t="s">
        <v>41662</v>
      </c>
      <c r="E19203" t="s">
        <v>39</v>
      </c>
      <c r="F19203">
        <v>0</v>
      </c>
      <c r="G19203">
        <v>0</v>
      </c>
      <c r="H19203">
        <v>1</v>
      </c>
      <c r="I19203" s="3">
        <v>804.07</v>
      </c>
      <c r="J19203" s="3">
        <v>0</v>
      </c>
      <c r="K19203" t="s">
        <v>8324</v>
      </c>
      <c r="L19203">
        <v>11452</v>
      </c>
      <c r="M19203" t="s">
        <v>8325</v>
      </c>
      <c r="N19203" t="s">
        <v>8326</v>
      </c>
      <c r="O19203" t="s">
        <v>495</v>
      </c>
      <c r="P19203" t="str">
        <f>"90720"</f>
        <v>90720</v>
      </c>
    </row>
    <row r="19204" spans="1:16" x14ac:dyDescent="0.25">
      <c r="A19204" t="str">
        <f>"1270076N00215    00"</f>
        <v>1270076N00215    00</v>
      </c>
      <c r="B19204" t="s">
        <v>41663</v>
      </c>
      <c r="C19204" t="s">
        <v>41664</v>
      </c>
      <c r="D19204" t="s">
        <v>20</v>
      </c>
      <c r="E19204" t="s">
        <v>39</v>
      </c>
      <c r="F19204">
        <v>0</v>
      </c>
      <c r="G19204">
        <v>0</v>
      </c>
      <c r="H19204">
        <v>19</v>
      </c>
      <c r="I19204" s="3">
        <v>14569.28</v>
      </c>
      <c r="J19204" s="3">
        <v>11565.56</v>
      </c>
      <c r="L19204">
        <v>3150</v>
      </c>
      <c r="M19204" t="s">
        <v>41353</v>
      </c>
      <c r="N19204" t="s">
        <v>30</v>
      </c>
      <c r="O19204" t="s">
        <v>31</v>
      </c>
      <c r="P19204" t="str">
        <f>"15212"</f>
        <v>15212</v>
      </c>
    </row>
    <row r="19205" spans="1:16" x14ac:dyDescent="0.25">
      <c r="A19205" t="str">
        <f>"1270076N00260    00"</f>
        <v>1270076N00260    00</v>
      </c>
      <c r="B19205" t="s">
        <v>41665</v>
      </c>
      <c r="C19205" t="s">
        <v>40168</v>
      </c>
      <c r="D19205" t="s">
        <v>20</v>
      </c>
      <c r="E19205" t="s">
        <v>39</v>
      </c>
      <c r="F19205">
        <v>0</v>
      </c>
      <c r="G19205">
        <v>0</v>
      </c>
      <c r="H19205">
        <v>18</v>
      </c>
      <c r="I19205" s="3">
        <v>501.38</v>
      </c>
      <c r="J19205" s="3">
        <v>514.08000000000004</v>
      </c>
      <c r="L19205">
        <v>3110</v>
      </c>
      <c r="M19205" t="s">
        <v>41319</v>
      </c>
      <c r="N19205" t="s">
        <v>30</v>
      </c>
      <c r="O19205" t="s">
        <v>31</v>
      </c>
      <c r="P19205" t="str">
        <f>"15212"</f>
        <v>15212</v>
      </c>
    </row>
    <row r="19206" spans="1:16" x14ac:dyDescent="0.25">
      <c r="A19206" t="str">
        <f>"1270076N00261    00"</f>
        <v>1270076N00261    00</v>
      </c>
      <c r="B19206" t="s">
        <v>41666</v>
      </c>
      <c r="C19206" t="s">
        <v>40168</v>
      </c>
      <c r="D19206" t="s">
        <v>20</v>
      </c>
      <c r="E19206" t="s">
        <v>39</v>
      </c>
      <c r="F19206">
        <v>0</v>
      </c>
      <c r="G19206">
        <v>0</v>
      </c>
      <c r="H19206">
        <v>18</v>
      </c>
      <c r="I19206" s="3">
        <v>501.38</v>
      </c>
      <c r="J19206" s="3">
        <v>514.08000000000004</v>
      </c>
      <c r="L19206">
        <v>3110</v>
      </c>
      <c r="M19206" t="s">
        <v>41319</v>
      </c>
      <c r="N19206" t="s">
        <v>30</v>
      </c>
      <c r="O19206" t="s">
        <v>31</v>
      </c>
      <c r="P19206" t="str">
        <f>"15212"</f>
        <v>15212</v>
      </c>
    </row>
    <row r="19207" spans="1:16" x14ac:dyDescent="0.25">
      <c r="A19207" t="str">
        <f>"1270076N00262    00"</f>
        <v>1270076N00262    00</v>
      </c>
      <c r="B19207" t="s">
        <v>41667</v>
      </c>
      <c r="C19207" t="s">
        <v>40168</v>
      </c>
      <c r="D19207" t="s">
        <v>20</v>
      </c>
      <c r="E19207" t="s">
        <v>39</v>
      </c>
      <c r="F19207">
        <v>0</v>
      </c>
      <c r="G19207">
        <v>0</v>
      </c>
      <c r="H19207">
        <v>19</v>
      </c>
      <c r="I19207" s="3">
        <v>6357.31</v>
      </c>
      <c r="J19207" s="3">
        <v>8775.36</v>
      </c>
      <c r="L19207">
        <v>3131</v>
      </c>
      <c r="M19207" t="s">
        <v>40162</v>
      </c>
      <c r="N19207" t="s">
        <v>30</v>
      </c>
      <c r="O19207" t="s">
        <v>31</v>
      </c>
      <c r="P19207" t="str">
        <f>"15212"</f>
        <v>15212</v>
      </c>
    </row>
    <row r="19208" spans="1:16" x14ac:dyDescent="0.25">
      <c r="A19208" t="str">
        <f>"1270076N00269    00"</f>
        <v>1270076N00269    00</v>
      </c>
      <c r="B19208" t="s">
        <v>41668</v>
      </c>
      <c r="C19208" t="s">
        <v>41669</v>
      </c>
      <c r="D19208" t="s">
        <v>20</v>
      </c>
      <c r="E19208" t="s">
        <v>39</v>
      </c>
      <c r="F19208">
        <v>0</v>
      </c>
      <c r="G19208">
        <v>0</v>
      </c>
      <c r="H19208">
        <v>12</v>
      </c>
      <c r="I19208" s="3">
        <v>8151.49</v>
      </c>
      <c r="J19208" s="3">
        <v>4095.62</v>
      </c>
      <c r="K19208" t="s">
        <v>41670</v>
      </c>
      <c r="L19208">
        <v>417</v>
      </c>
      <c r="M19208" t="s">
        <v>2777</v>
      </c>
      <c r="N19208" t="s">
        <v>30</v>
      </c>
      <c r="O19208" t="s">
        <v>31</v>
      </c>
      <c r="P19208" t="str">
        <f>"15235"</f>
        <v>15235</v>
      </c>
    </row>
    <row r="19209" spans="1:16" x14ac:dyDescent="0.25">
      <c r="A19209" t="str">
        <f>"1270076N00271    00"</f>
        <v>1270076N00271    00</v>
      </c>
      <c r="B19209" t="s">
        <v>41671</v>
      </c>
      <c r="C19209" t="s">
        <v>40168</v>
      </c>
      <c r="D19209" t="s">
        <v>20</v>
      </c>
      <c r="E19209" t="s">
        <v>39</v>
      </c>
      <c r="F19209">
        <v>0</v>
      </c>
      <c r="G19209">
        <v>0</v>
      </c>
      <c r="H19209">
        <v>11</v>
      </c>
      <c r="I19209" s="3">
        <v>202.1</v>
      </c>
      <c r="J19209" s="3">
        <v>97</v>
      </c>
      <c r="M19209" t="s">
        <v>35137</v>
      </c>
      <c r="N19209" t="s">
        <v>30</v>
      </c>
      <c r="O19209" t="s">
        <v>31</v>
      </c>
      <c r="P19209" t="str">
        <f>"15217"</f>
        <v>15217</v>
      </c>
    </row>
    <row r="19210" spans="1:16" x14ac:dyDescent="0.25">
      <c r="A19210" t="str">
        <f>"1270076N00280    00"</f>
        <v>1270076N00280    00</v>
      </c>
      <c r="B19210" t="s">
        <v>41672</v>
      </c>
      <c r="C19210" t="s">
        <v>41673</v>
      </c>
      <c r="E19210" t="s">
        <v>39</v>
      </c>
      <c r="F19210">
        <v>0</v>
      </c>
      <c r="G19210">
        <v>0</v>
      </c>
      <c r="H19210">
        <v>4</v>
      </c>
      <c r="I19210" s="3">
        <v>3770.39</v>
      </c>
      <c r="J19210" s="3">
        <v>4771.46</v>
      </c>
      <c r="L19210">
        <v>3049</v>
      </c>
      <c r="M19210" t="s">
        <v>40162</v>
      </c>
      <c r="N19210" t="s">
        <v>30</v>
      </c>
      <c r="O19210" t="s">
        <v>31</v>
      </c>
      <c r="P19210" t="str">
        <f>"15212"</f>
        <v>15212</v>
      </c>
    </row>
    <row r="19211" spans="1:16" x14ac:dyDescent="0.25">
      <c r="A19211" t="str">
        <f>"1270076N00281    00"</f>
        <v>1270076N00281    00</v>
      </c>
      <c r="B19211" t="s">
        <v>41674</v>
      </c>
      <c r="C19211" t="s">
        <v>40168</v>
      </c>
      <c r="D19211" t="s">
        <v>20</v>
      </c>
      <c r="E19211" t="s">
        <v>39</v>
      </c>
      <c r="F19211">
        <v>0</v>
      </c>
      <c r="G19211">
        <v>0</v>
      </c>
      <c r="H19211">
        <v>16</v>
      </c>
      <c r="I19211" s="3">
        <v>5621.92</v>
      </c>
      <c r="J19211" s="3">
        <v>5496.93</v>
      </c>
      <c r="K19211" t="s">
        <v>41675</v>
      </c>
      <c r="L19211">
        <v>3047</v>
      </c>
      <c r="M19211" t="s">
        <v>40162</v>
      </c>
      <c r="N19211" t="s">
        <v>30</v>
      </c>
      <c r="O19211" t="s">
        <v>31</v>
      </c>
      <c r="P19211" t="str">
        <f>"15212"</f>
        <v>15212</v>
      </c>
    </row>
    <row r="19212" spans="1:16" x14ac:dyDescent="0.25">
      <c r="A19212" t="str">
        <f>"1270076N00283    00"</f>
        <v>1270076N00283    00</v>
      </c>
      <c r="B19212" t="s">
        <v>41676</v>
      </c>
      <c r="C19212" t="s">
        <v>41677</v>
      </c>
      <c r="D19212" t="s">
        <v>20</v>
      </c>
      <c r="E19212" t="s">
        <v>39</v>
      </c>
      <c r="F19212">
        <v>0</v>
      </c>
      <c r="G19212">
        <v>0</v>
      </c>
      <c r="H19212">
        <v>19</v>
      </c>
      <c r="I19212" s="3">
        <v>10763.48</v>
      </c>
      <c r="J19212" s="3">
        <v>9914.15</v>
      </c>
      <c r="L19212">
        <v>3043</v>
      </c>
      <c r="M19212" t="s">
        <v>40162</v>
      </c>
      <c r="N19212" t="s">
        <v>30</v>
      </c>
      <c r="O19212" t="s">
        <v>31</v>
      </c>
      <c r="P19212" t="str">
        <f>"15212"</f>
        <v>15212</v>
      </c>
    </row>
    <row r="19213" spans="1:16" x14ac:dyDescent="0.25">
      <c r="A19213" t="str">
        <f>"1270076N00291    00"</f>
        <v>1270076N00291    00</v>
      </c>
      <c r="B19213" t="s">
        <v>41678</v>
      </c>
      <c r="C19213" t="s">
        <v>41679</v>
      </c>
      <c r="D19213" t="s">
        <v>20</v>
      </c>
      <c r="E19213" t="s">
        <v>39</v>
      </c>
      <c r="F19213">
        <v>0</v>
      </c>
      <c r="G19213">
        <v>0</v>
      </c>
      <c r="H19213">
        <v>19</v>
      </c>
      <c r="I19213" s="3">
        <v>13175.57</v>
      </c>
      <c r="J19213" s="3">
        <v>13471.33</v>
      </c>
      <c r="L19213">
        <v>3021</v>
      </c>
      <c r="M19213" t="s">
        <v>40162</v>
      </c>
      <c r="N19213" t="s">
        <v>30</v>
      </c>
      <c r="O19213" t="s">
        <v>31</v>
      </c>
      <c r="P19213" t="str">
        <f>"15212"</f>
        <v>15212</v>
      </c>
    </row>
    <row r="19214" spans="1:16" x14ac:dyDescent="0.25">
      <c r="A19214" t="str">
        <f>"1270076N00292    00"</f>
        <v>1270076N00292    00</v>
      </c>
      <c r="B19214" t="s">
        <v>41680</v>
      </c>
      <c r="C19214" t="s">
        <v>40168</v>
      </c>
      <c r="D19214" t="s">
        <v>20</v>
      </c>
      <c r="E19214" t="s">
        <v>39</v>
      </c>
      <c r="F19214">
        <v>0</v>
      </c>
      <c r="G19214">
        <v>0</v>
      </c>
      <c r="H19214">
        <v>19</v>
      </c>
      <c r="I19214" s="3">
        <v>638.73</v>
      </c>
      <c r="J19214" s="3">
        <v>720.04</v>
      </c>
      <c r="K19214" t="s">
        <v>1008</v>
      </c>
      <c r="P19214" t="str">
        <f>""</f>
        <v/>
      </c>
    </row>
    <row r="19215" spans="1:16" x14ac:dyDescent="0.25">
      <c r="A19215" t="str">
        <f>"1270076N00299    00"</f>
        <v>1270076N00299    00</v>
      </c>
      <c r="B19215" t="s">
        <v>13756</v>
      </c>
      <c r="C19215" t="s">
        <v>41681</v>
      </c>
      <c r="E19215" t="s">
        <v>39</v>
      </c>
      <c r="F19215">
        <v>0</v>
      </c>
      <c r="G19215">
        <v>0</v>
      </c>
      <c r="H19215">
        <v>4</v>
      </c>
      <c r="I19215" s="3">
        <v>1624.12</v>
      </c>
      <c r="J19215" s="3">
        <v>35.74</v>
      </c>
      <c r="K19215" t="s">
        <v>13758</v>
      </c>
      <c r="L19215">
        <v>1800</v>
      </c>
      <c r="M19215" t="s">
        <v>16754</v>
      </c>
      <c r="N19215" t="s">
        <v>30</v>
      </c>
      <c r="O19215" t="s">
        <v>31</v>
      </c>
      <c r="P19215" t="str">
        <f>"15217"</f>
        <v>15217</v>
      </c>
    </row>
    <row r="19216" spans="1:16" x14ac:dyDescent="0.25">
      <c r="A19216" t="str">
        <f>"1270076N00300    00"</f>
        <v>1270076N00300    00</v>
      </c>
      <c r="B19216" t="s">
        <v>41682</v>
      </c>
      <c r="C19216" t="s">
        <v>40168</v>
      </c>
      <c r="D19216" t="s">
        <v>20</v>
      </c>
      <c r="E19216" t="s">
        <v>39</v>
      </c>
      <c r="F19216">
        <v>0</v>
      </c>
      <c r="G19216">
        <v>0</v>
      </c>
      <c r="H19216">
        <v>19</v>
      </c>
      <c r="I19216" s="3">
        <v>4494.2</v>
      </c>
      <c r="J19216" s="3">
        <v>2901.97</v>
      </c>
      <c r="K19216" t="s">
        <v>1008</v>
      </c>
      <c r="P19216" t="str">
        <f>""</f>
        <v/>
      </c>
    </row>
    <row r="19217" spans="1:16" x14ac:dyDescent="0.25">
      <c r="A19217" t="str">
        <f>"1270076N00301    00"</f>
        <v>1270076N00301    00</v>
      </c>
      <c r="B19217" t="s">
        <v>40160</v>
      </c>
      <c r="C19217" t="s">
        <v>41683</v>
      </c>
      <c r="D19217" t="s">
        <v>20</v>
      </c>
      <c r="E19217" t="s">
        <v>39</v>
      </c>
      <c r="F19217">
        <v>0</v>
      </c>
      <c r="G19217">
        <v>0</v>
      </c>
      <c r="H19217">
        <v>1</v>
      </c>
      <c r="I19217" s="3">
        <v>298.5</v>
      </c>
      <c r="J19217" s="3">
        <v>0</v>
      </c>
      <c r="K19217" t="s">
        <v>41684</v>
      </c>
      <c r="L19217">
        <v>1276</v>
      </c>
      <c r="M19217" t="s">
        <v>41685</v>
      </c>
      <c r="N19217" t="s">
        <v>39821</v>
      </c>
      <c r="O19217" t="s">
        <v>31</v>
      </c>
      <c r="P19217" t="str">
        <f>"15046"</f>
        <v>15046</v>
      </c>
    </row>
    <row r="19218" spans="1:16" x14ac:dyDescent="0.25">
      <c r="A19218" t="str">
        <f>"1270076N00303    00"</f>
        <v>1270076N00303    00</v>
      </c>
      <c r="B19218" t="s">
        <v>41686</v>
      </c>
      <c r="C19218" t="s">
        <v>40168</v>
      </c>
      <c r="D19218" t="s">
        <v>20</v>
      </c>
      <c r="E19218" t="s">
        <v>39</v>
      </c>
      <c r="F19218">
        <v>0</v>
      </c>
      <c r="G19218">
        <v>0</v>
      </c>
      <c r="H19218">
        <v>18</v>
      </c>
      <c r="I19218" s="3">
        <v>2637.29</v>
      </c>
      <c r="J19218" s="3">
        <v>3386.72</v>
      </c>
      <c r="L19218">
        <v>235</v>
      </c>
      <c r="M19218" t="s">
        <v>41687</v>
      </c>
      <c r="N19218" t="s">
        <v>1183</v>
      </c>
      <c r="O19218" t="s">
        <v>1184</v>
      </c>
      <c r="P19218" t="str">
        <f>"20774"</f>
        <v>20774</v>
      </c>
    </row>
    <row r="19219" spans="1:16" x14ac:dyDescent="0.25">
      <c r="A19219" t="str">
        <f>"1270076N00306    00"</f>
        <v>1270076N00306    00</v>
      </c>
      <c r="B19219" t="s">
        <v>41688</v>
      </c>
      <c r="C19219" t="s">
        <v>40168</v>
      </c>
      <c r="D19219" t="s">
        <v>20</v>
      </c>
      <c r="E19219" t="s">
        <v>39</v>
      </c>
      <c r="F19219">
        <v>0</v>
      </c>
      <c r="G19219">
        <v>0</v>
      </c>
      <c r="H19219">
        <v>19</v>
      </c>
      <c r="I19219" s="3">
        <v>9042.39</v>
      </c>
      <c r="J19219" s="3">
        <v>10062.129999999999</v>
      </c>
      <c r="L19219">
        <v>2725</v>
      </c>
      <c r="M19219" t="s">
        <v>15633</v>
      </c>
      <c r="N19219" t="s">
        <v>30</v>
      </c>
      <c r="O19219" t="s">
        <v>31</v>
      </c>
      <c r="P19219" t="str">
        <f>"15204"</f>
        <v>15204</v>
      </c>
    </row>
    <row r="19220" spans="1:16" x14ac:dyDescent="0.25">
      <c r="A19220" t="str">
        <f>"1270076N00307    00"</f>
        <v>1270076N00307    00</v>
      </c>
      <c r="B19220" t="s">
        <v>41689</v>
      </c>
      <c r="C19220" t="s">
        <v>41690</v>
      </c>
      <c r="D19220" t="s">
        <v>20</v>
      </c>
      <c r="E19220" t="s">
        <v>39</v>
      </c>
      <c r="F19220">
        <v>0</v>
      </c>
      <c r="G19220">
        <v>0</v>
      </c>
      <c r="H19220">
        <v>2</v>
      </c>
      <c r="I19220" s="3">
        <v>1257.54</v>
      </c>
      <c r="J19220" s="3">
        <v>0</v>
      </c>
      <c r="L19220">
        <v>3031</v>
      </c>
      <c r="M19220" t="s">
        <v>40176</v>
      </c>
      <c r="N19220" t="s">
        <v>30</v>
      </c>
      <c r="O19220" t="s">
        <v>31</v>
      </c>
      <c r="P19220" t="str">
        <f>"15212"</f>
        <v>15212</v>
      </c>
    </row>
    <row r="19221" spans="1:16" x14ac:dyDescent="0.25">
      <c r="A19221" t="str">
        <f>"1270076N00309    00"</f>
        <v>1270076N00309    00</v>
      </c>
      <c r="B19221" t="s">
        <v>41689</v>
      </c>
      <c r="C19221" t="s">
        <v>41691</v>
      </c>
      <c r="D19221" t="s">
        <v>20</v>
      </c>
      <c r="E19221" t="s">
        <v>39</v>
      </c>
      <c r="F19221">
        <v>0</v>
      </c>
      <c r="G19221">
        <v>0</v>
      </c>
      <c r="H19221">
        <v>2</v>
      </c>
      <c r="I19221" s="3">
        <v>765.82</v>
      </c>
      <c r="J19221" s="3">
        <v>0</v>
      </c>
      <c r="L19221">
        <v>3031</v>
      </c>
      <c r="M19221" t="s">
        <v>40176</v>
      </c>
      <c r="N19221" t="s">
        <v>30</v>
      </c>
      <c r="O19221" t="s">
        <v>31</v>
      </c>
      <c r="P19221" t="str">
        <f>"15212"</f>
        <v>15212</v>
      </c>
    </row>
    <row r="19222" spans="1:16" x14ac:dyDescent="0.25">
      <c r="A19222" t="str">
        <f>"1270076N00311    00"</f>
        <v>1270076N00311    00</v>
      </c>
      <c r="B19222" t="s">
        <v>41127</v>
      </c>
      <c r="C19222" t="s">
        <v>41692</v>
      </c>
      <c r="E19222" t="s">
        <v>39</v>
      </c>
      <c r="F19222">
        <v>0</v>
      </c>
      <c r="G19222">
        <v>0</v>
      </c>
      <c r="H19222">
        <v>1</v>
      </c>
      <c r="I19222" s="3">
        <v>684.26</v>
      </c>
      <c r="J19222" s="3">
        <v>0</v>
      </c>
      <c r="K19222" t="s">
        <v>41129</v>
      </c>
      <c r="L19222">
        <v>2318</v>
      </c>
      <c r="M19222" t="s">
        <v>41130</v>
      </c>
      <c r="N19222" t="s">
        <v>5166</v>
      </c>
      <c r="O19222" t="s">
        <v>1413</v>
      </c>
      <c r="P19222" t="str">
        <f>"27614"</f>
        <v>27614</v>
      </c>
    </row>
    <row r="19223" spans="1:16" x14ac:dyDescent="0.25">
      <c r="A19223" t="str">
        <f>"1270076N00316    00"</f>
        <v>1270076N00316    00</v>
      </c>
      <c r="B19223" t="s">
        <v>41693</v>
      </c>
      <c r="C19223" t="s">
        <v>40168</v>
      </c>
      <c r="D19223" t="s">
        <v>20</v>
      </c>
      <c r="E19223" t="s">
        <v>39</v>
      </c>
      <c r="F19223">
        <v>0</v>
      </c>
      <c r="G19223">
        <v>0</v>
      </c>
      <c r="H19223">
        <v>15</v>
      </c>
      <c r="I19223" s="3">
        <v>3764.69</v>
      </c>
      <c r="J19223" s="3">
        <v>2096.91</v>
      </c>
      <c r="L19223">
        <v>2547</v>
      </c>
      <c r="M19223" t="s">
        <v>41694</v>
      </c>
      <c r="N19223" t="s">
        <v>1067</v>
      </c>
      <c r="O19223" t="s">
        <v>31</v>
      </c>
      <c r="P19223" t="str">
        <f>"15143"</f>
        <v>15143</v>
      </c>
    </row>
    <row r="19224" spans="1:16" x14ac:dyDescent="0.25">
      <c r="A19224" t="str">
        <f>"1270076N00317    00"</f>
        <v>1270076N00317    00</v>
      </c>
      <c r="B19224" t="s">
        <v>41695</v>
      </c>
      <c r="C19224" t="s">
        <v>41696</v>
      </c>
      <c r="D19224" t="s">
        <v>20</v>
      </c>
      <c r="E19224" t="s">
        <v>39</v>
      </c>
      <c r="F19224">
        <v>0</v>
      </c>
      <c r="G19224">
        <v>0</v>
      </c>
      <c r="H19224">
        <v>6</v>
      </c>
      <c r="I19224" s="3">
        <v>932.39</v>
      </c>
      <c r="J19224" s="3">
        <v>179.03</v>
      </c>
      <c r="L19224">
        <v>2547</v>
      </c>
      <c r="M19224" t="s">
        <v>41694</v>
      </c>
      <c r="N19224" t="s">
        <v>1067</v>
      </c>
      <c r="O19224" t="s">
        <v>31</v>
      </c>
      <c r="P19224" t="str">
        <f>"15143"</f>
        <v>15143</v>
      </c>
    </row>
    <row r="19225" spans="1:16" x14ac:dyDescent="0.25">
      <c r="A19225" t="str">
        <f>"1270076N00319    00"</f>
        <v>1270076N00319    00</v>
      </c>
      <c r="B19225" t="s">
        <v>41697</v>
      </c>
      <c r="C19225" t="s">
        <v>41698</v>
      </c>
      <c r="D19225" t="s">
        <v>20</v>
      </c>
      <c r="E19225" t="s">
        <v>66</v>
      </c>
      <c r="F19225">
        <v>0</v>
      </c>
      <c r="G19225">
        <v>0</v>
      </c>
      <c r="H19225">
        <v>3</v>
      </c>
      <c r="I19225" s="3">
        <v>8239.68</v>
      </c>
      <c r="J19225" s="3">
        <v>549.29</v>
      </c>
      <c r="K19225" t="s">
        <v>41699</v>
      </c>
      <c r="L19225">
        <v>3030</v>
      </c>
      <c r="M19225" t="s">
        <v>21885</v>
      </c>
      <c r="N19225" t="s">
        <v>6603</v>
      </c>
      <c r="O19225" t="s">
        <v>31</v>
      </c>
      <c r="P19225" t="str">
        <f>"15122"</f>
        <v>15122</v>
      </c>
    </row>
    <row r="19226" spans="1:16" x14ac:dyDescent="0.25">
      <c r="A19226" t="str">
        <f>"1270076N00330    00"</f>
        <v>1270076N00330    00</v>
      </c>
      <c r="B19226" t="s">
        <v>38352</v>
      </c>
      <c r="C19226" t="s">
        <v>41700</v>
      </c>
      <c r="D19226" t="s">
        <v>20</v>
      </c>
      <c r="E19226" t="s">
        <v>39</v>
      </c>
      <c r="F19226">
        <v>0</v>
      </c>
      <c r="G19226">
        <v>0</v>
      </c>
      <c r="H19226">
        <v>17</v>
      </c>
      <c r="I19226" s="3">
        <v>11713.32</v>
      </c>
      <c r="J19226" s="3">
        <v>9094.58</v>
      </c>
      <c r="L19226">
        <v>126</v>
      </c>
      <c r="M19226" t="s">
        <v>38354</v>
      </c>
      <c r="N19226" t="s">
        <v>30</v>
      </c>
      <c r="O19226" t="s">
        <v>31</v>
      </c>
      <c r="P19226" t="str">
        <f>"15214"</f>
        <v>15214</v>
      </c>
    </row>
    <row r="19227" spans="1:16" x14ac:dyDescent="0.25">
      <c r="A19227" t="str">
        <f>"1270076N00336    00"</f>
        <v>1270076N00336    00</v>
      </c>
      <c r="B19227" t="s">
        <v>41701</v>
      </c>
      <c r="C19227" t="s">
        <v>41702</v>
      </c>
      <c r="D19227" t="s">
        <v>20</v>
      </c>
      <c r="E19227" t="s">
        <v>21</v>
      </c>
      <c r="F19227">
        <v>0</v>
      </c>
      <c r="G19227">
        <v>0</v>
      </c>
      <c r="H19227">
        <v>1</v>
      </c>
      <c r="I19227" s="3">
        <v>1036.8800000000001</v>
      </c>
      <c r="J19227" s="3">
        <v>0</v>
      </c>
      <c r="L19227">
        <v>835</v>
      </c>
      <c r="M19227" t="s">
        <v>3968</v>
      </c>
      <c r="N19227" t="s">
        <v>1046</v>
      </c>
      <c r="O19227" t="s">
        <v>31</v>
      </c>
      <c r="P19227" t="str">
        <f>"15147"</f>
        <v>15147</v>
      </c>
    </row>
    <row r="19228" spans="1:16" x14ac:dyDescent="0.25">
      <c r="A19228" t="str">
        <f>"1270076N00337    00"</f>
        <v>1270076N00337    00</v>
      </c>
      <c r="B19228" t="s">
        <v>41701</v>
      </c>
      <c r="C19228" t="s">
        <v>41702</v>
      </c>
      <c r="D19228" t="s">
        <v>20</v>
      </c>
      <c r="E19228" t="s">
        <v>21</v>
      </c>
      <c r="F19228">
        <v>0</v>
      </c>
      <c r="G19228">
        <v>0</v>
      </c>
      <c r="H19228">
        <v>1</v>
      </c>
      <c r="I19228" s="3">
        <v>794.81</v>
      </c>
      <c r="J19228" s="3">
        <v>0</v>
      </c>
      <c r="L19228">
        <v>835</v>
      </c>
      <c r="M19228" t="s">
        <v>3968</v>
      </c>
      <c r="N19228" t="s">
        <v>1046</v>
      </c>
      <c r="O19228" t="s">
        <v>31</v>
      </c>
      <c r="P19228" t="str">
        <f>"15147"</f>
        <v>15147</v>
      </c>
    </row>
    <row r="19229" spans="1:16" x14ac:dyDescent="0.25">
      <c r="A19229" t="str">
        <f>"1270076N00337000100"</f>
        <v>1270076N00337000100</v>
      </c>
      <c r="B19229" t="s">
        <v>41701</v>
      </c>
      <c r="C19229" t="s">
        <v>41702</v>
      </c>
      <c r="D19229" t="s">
        <v>20</v>
      </c>
      <c r="E19229" t="s">
        <v>21</v>
      </c>
      <c r="F19229">
        <v>0</v>
      </c>
      <c r="G19229">
        <v>0</v>
      </c>
      <c r="H19229">
        <v>1</v>
      </c>
      <c r="I19229" s="3">
        <v>1256.07</v>
      </c>
      <c r="J19229" s="3">
        <v>0</v>
      </c>
      <c r="L19229">
        <v>835</v>
      </c>
      <c r="M19229" t="s">
        <v>3968</v>
      </c>
      <c r="N19229" t="s">
        <v>1046</v>
      </c>
      <c r="O19229" t="s">
        <v>31</v>
      </c>
      <c r="P19229" t="str">
        <f>"15147"</f>
        <v>15147</v>
      </c>
    </row>
    <row r="19230" spans="1:16" x14ac:dyDescent="0.25">
      <c r="A19230" t="str">
        <f>"1270076N00367    00"</f>
        <v>1270076N00367    00</v>
      </c>
      <c r="B19230" t="s">
        <v>41703</v>
      </c>
      <c r="C19230" t="s">
        <v>41704</v>
      </c>
      <c r="D19230" t="s">
        <v>20</v>
      </c>
      <c r="E19230" t="s">
        <v>39</v>
      </c>
      <c r="F19230">
        <v>0</v>
      </c>
      <c r="G19230">
        <v>0</v>
      </c>
      <c r="H19230">
        <v>2</v>
      </c>
      <c r="I19230" s="3">
        <v>818.11</v>
      </c>
      <c r="J19230" s="3">
        <v>0</v>
      </c>
      <c r="L19230">
        <v>3772</v>
      </c>
      <c r="M19230" t="s">
        <v>27548</v>
      </c>
      <c r="N19230" t="s">
        <v>30</v>
      </c>
      <c r="O19230" t="s">
        <v>31</v>
      </c>
      <c r="P19230" t="str">
        <f>"15204"</f>
        <v>15204</v>
      </c>
    </row>
    <row r="19231" spans="1:16" x14ac:dyDescent="0.25">
      <c r="A19231" t="str">
        <f>"1270076N00371    00"</f>
        <v>1270076N00371    00</v>
      </c>
      <c r="B19231" t="s">
        <v>41705</v>
      </c>
      <c r="C19231" t="s">
        <v>40184</v>
      </c>
      <c r="D19231" t="s">
        <v>20</v>
      </c>
      <c r="E19231" t="s">
        <v>39</v>
      </c>
      <c r="F19231">
        <v>0</v>
      </c>
      <c r="G19231">
        <v>0</v>
      </c>
      <c r="H19231">
        <v>19</v>
      </c>
      <c r="I19231" s="3">
        <v>8478.83</v>
      </c>
      <c r="J19231" s="3">
        <v>8970.49</v>
      </c>
      <c r="K19231" t="s">
        <v>41706</v>
      </c>
      <c r="L19231">
        <v>3032</v>
      </c>
      <c r="M19231" t="s">
        <v>41707</v>
      </c>
      <c r="N19231" t="s">
        <v>30</v>
      </c>
      <c r="O19231" t="s">
        <v>31</v>
      </c>
      <c r="P19231" t="str">
        <f>"15212"</f>
        <v>15212</v>
      </c>
    </row>
    <row r="19232" spans="1:16" x14ac:dyDescent="0.25">
      <c r="A19232" t="str">
        <f>"1270076N00373A   00"</f>
        <v>1270076N00373A   00</v>
      </c>
      <c r="B19232" t="s">
        <v>41689</v>
      </c>
      <c r="C19232" t="s">
        <v>41708</v>
      </c>
      <c r="D19232" t="s">
        <v>20</v>
      </c>
      <c r="E19232" t="s">
        <v>39</v>
      </c>
      <c r="F19232">
        <v>0</v>
      </c>
      <c r="G19232">
        <v>0</v>
      </c>
      <c r="H19232">
        <v>1</v>
      </c>
      <c r="I19232" s="3">
        <v>99.11</v>
      </c>
      <c r="J19232" s="3">
        <v>0</v>
      </c>
      <c r="L19232">
        <v>3031</v>
      </c>
      <c r="M19232" t="s">
        <v>40176</v>
      </c>
      <c r="N19232" t="s">
        <v>30</v>
      </c>
      <c r="O19232" t="s">
        <v>31</v>
      </c>
      <c r="P19232" t="str">
        <f>"15212"</f>
        <v>15212</v>
      </c>
    </row>
    <row r="19233" spans="1:16" x14ac:dyDescent="0.25">
      <c r="A19233" t="str">
        <f>"1270076N00374    00"</f>
        <v>1270076N00374    00</v>
      </c>
      <c r="B19233" t="s">
        <v>41709</v>
      </c>
      <c r="C19233" t="s">
        <v>41708</v>
      </c>
      <c r="D19233" t="s">
        <v>20</v>
      </c>
      <c r="E19233" t="s">
        <v>39</v>
      </c>
      <c r="F19233">
        <v>0</v>
      </c>
      <c r="G19233">
        <v>0</v>
      </c>
      <c r="H19233">
        <v>1</v>
      </c>
      <c r="I19233" s="3">
        <v>125.8</v>
      </c>
      <c r="J19233" s="3">
        <v>0</v>
      </c>
      <c r="L19233">
        <v>3035</v>
      </c>
      <c r="M19233" t="s">
        <v>40176</v>
      </c>
      <c r="N19233" t="s">
        <v>30</v>
      </c>
      <c r="O19233" t="s">
        <v>31</v>
      </c>
      <c r="P19233" t="str">
        <f>"15212"</f>
        <v>15212</v>
      </c>
    </row>
    <row r="19234" spans="1:16" x14ac:dyDescent="0.25">
      <c r="A19234" t="str">
        <f>"1270076N00377    00"</f>
        <v>1270076N00377    00</v>
      </c>
      <c r="B19234" t="s">
        <v>41710</v>
      </c>
      <c r="C19234" t="s">
        <v>41711</v>
      </c>
      <c r="D19234" t="s">
        <v>20</v>
      </c>
      <c r="E19234" t="s">
        <v>39</v>
      </c>
      <c r="F19234">
        <v>0</v>
      </c>
      <c r="G19234">
        <v>0</v>
      </c>
      <c r="H19234">
        <v>6</v>
      </c>
      <c r="I19234" s="3">
        <v>5041.84</v>
      </c>
      <c r="J19234" s="3">
        <v>898.71</v>
      </c>
      <c r="L19234">
        <v>642</v>
      </c>
      <c r="M19234" t="s">
        <v>3007</v>
      </c>
      <c r="N19234" t="s">
        <v>30</v>
      </c>
      <c r="O19234" t="s">
        <v>31</v>
      </c>
      <c r="P19234" t="str">
        <f>"15235"</f>
        <v>15235</v>
      </c>
    </row>
    <row r="19235" spans="1:16" x14ac:dyDescent="0.25">
      <c r="A19235" t="str">
        <f>"1270076N00384    00"</f>
        <v>1270076N00384    00</v>
      </c>
      <c r="B19235" t="s">
        <v>41712</v>
      </c>
      <c r="C19235" t="s">
        <v>41713</v>
      </c>
      <c r="D19235" t="s">
        <v>20</v>
      </c>
      <c r="E19235" t="s">
        <v>21</v>
      </c>
      <c r="F19235">
        <v>0</v>
      </c>
      <c r="G19235">
        <v>0</v>
      </c>
      <c r="H19235">
        <v>12</v>
      </c>
      <c r="I19235" s="3">
        <v>29091.919999999998</v>
      </c>
      <c r="J19235" s="3">
        <v>15302.65</v>
      </c>
      <c r="L19235">
        <v>3100</v>
      </c>
      <c r="M19235" t="s">
        <v>13961</v>
      </c>
      <c r="N19235" t="s">
        <v>30</v>
      </c>
      <c r="O19235" t="s">
        <v>31</v>
      </c>
      <c r="P19235" t="str">
        <f>"15212"</f>
        <v>15212</v>
      </c>
    </row>
    <row r="19236" spans="1:16" x14ac:dyDescent="0.25">
      <c r="A19236" t="str">
        <f>"1270076N00387    00"</f>
        <v>1270076N00387    00</v>
      </c>
      <c r="B19236" t="s">
        <v>41714</v>
      </c>
      <c r="C19236" t="s">
        <v>41715</v>
      </c>
      <c r="D19236" t="s">
        <v>20</v>
      </c>
      <c r="E19236" t="s">
        <v>39</v>
      </c>
      <c r="F19236">
        <v>0</v>
      </c>
      <c r="G19236">
        <v>0</v>
      </c>
      <c r="H19236">
        <v>1</v>
      </c>
      <c r="I19236" s="3">
        <v>1202.7</v>
      </c>
      <c r="J19236" s="3">
        <v>0</v>
      </c>
      <c r="K19236" t="s">
        <v>41716</v>
      </c>
      <c r="L19236">
        <v>3110</v>
      </c>
      <c r="M19236" t="s">
        <v>13961</v>
      </c>
      <c r="N19236" t="s">
        <v>30</v>
      </c>
      <c r="O19236" t="s">
        <v>31</v>
      </c>
      <c r="P19236" t="str">
        <f>"15212"</f>
        <v>15212</v>
      </c>
    </row>
    <row r="19237" spans="1:16" x14ac:dyDescent="0.25">
      <c r="A19237" t="str">
        <f>"1270076N00388    00"</f>
        <v>1270076N00388    00</v>
      </c>
      <c r="B19237" t="s">
        <v>39128</v>
      </c>
      <c r="C19237" t="s">
        <v>41717</v>
      </c>
      <c r="D19237" t="s">
        <v>20</v>
      </c>
      <c r="E19237" t="s">
        <v>21</v>
      </c>
      <c r="F19237">
        <v>0</v>
      </c>
      <c r="G19237">
        <v>0</v>
      </c>
      <c r="H19237">
        <v>2</v>
      </c>
      <c r="I19237" s="3">
        <v>672.71</v>
      </c>
      <c r="J19237" s="3">
        <v>0</v>
      </c>
      <c r="M19237" t="s">
        <v>39130</v>
      </c>
      <c r="N19237" t="s">
        <v>1067</v>
      </c>
      <c r="O19237" t="s">
        <v>31</v>
      </c>
      <c r="P19237" t="str">
        <f>"15143"</f>
        <v>15143</v>
      </c>
    </row>
    <row r="19238" spans="1:16" x14ac:dyDescent="0.25">
      <c r="A19238" t="str">
        <f>"1270076N00394    00"</f>
        <v>1270076N00394    00</v>
      </c>
      <c r="B19238" t="s">
        <v>41718</v>
      </c>
      <c r="C19238" t="s">
        <v>41719</v>
      </c>
      <c r="D19238" t="s">
        <v>20</v>
      </c>
      <c r="E19238" t="s">
        <v>39</v>
      </c>
      <c r="F19238">
        <v>0</v>
      </c>
      <c r="G19238">
        <v>0</v>
      </c>
      <c r="H19238">
        <v>2</v>
      </c>
      <c r="I19238" s="3">
        <v>324.04000000000002</v>
      </c>
      <c r="J19238" s="3">
        <v>0</v>
      </c>
      <c r="L19238">
        <v>557</v>
      </c>
      <c r="M19238" t="s">
        <v>11623</v>
      </c>
      <c r="N19238" t="s">
        <v>30</v>
      </c>
      <c r="O19238" t="s">
        <v>31</v>
      </c>
      <c r="P19238" t="str">
        <f>"15208"</f>
        <v>15208</v>
      </c>
    </row>
    <row r="19239" spans="1:16" x14ac:dyDescent="0.25">
      <c r="A19239" t="str">
        <f>"1270076P00008    00"</f>
        <v>1270076P00008    00</v>
      </c>
      <c r="B19239" t="s">
        <v>41720</v>
      </c>
      <c r="C19239" t="s">
        <v>41721</v>
      </c>
      <c r="E19239" t="s">
        <v>39</v>
      </c>
      <c r="F19239">
        <v>0</v>
      </c>
      <c r="G19239">
        <v>0</v>
      </c>
      <c r="H19239">
        <v>7</v>
      </c>
      <c r="I19239" s="3">
        <v>3696.52</v>
      </c>
      <c r="J19239" s="3">
        <v>5057.5</v>
      </c>
      <c r="L19239">
        <v>1001</v>
      </c>
      <c r="M19239" t="s">
        <v>37251</v>
      </c>
      <c r="N19239" t="s">
        <v>30</v>
      </c>
      <c r="O19239" t="s">
        <v>31</v>
      </c>
      <c r="P19239" t="str">
        <f>"15212"</f>
        <v>15212</v>
      </c>
    </row>
    <row r="19240" spans="1:16" x14ac:dyDescent="0.25">
      <c r="A19240" t="str">
        <f>"1270076P00011    00"</f>
        <v>1270076P00011    00</v>
      </c>
      <c r="B19240" t="s">
        <v>41722</v>
      </c>
      <c r="C19240" t="s">
        <v>41723</v>
      </c>
      <c r="D19240" t="s">
        <v>20</v>
      </c>
      <c r="E19240" t="s">
        <v>39</v>
      </c>
      <c r="F19240">
        <v>0</v>
      </c>
      <c r="G19240">
        <v>0</v>
      </c>
      <c r="H19240">
        <v>12</v>
      </c>
      <c r="I19240" s="3">
        <v>5190.45</v>
      </c>
      <c r="J19240" s="3">
        <v>1700.33</v>
      </c>
      <c r="L19240">
        <v>1007</v>
      </c>
      <c r="M19240" t="s">
        <v>37251</v>
      </c>
      <c r="N19240" t="s">
        <v>30</v>
      </c>
      <c r="O19240" t="s">
        <v>31</v>
      </c>
      <c r="P19240" t="str">
        <f>"15212"</f>
        <v>15212</v>
      </c>
    </row>
    <row r="19241" spans="1:16" x14ac:dyDescent="0.25">
      <c r="A19241" t="str">
        <f>"1270076P00017    00"</f>
        <v>1270076P00017    00</v>
      </c>
      <c r="B19241" t="s">
        <v>41724</v>
      </c>
      <c r="C19241" t="s">
        <v>41542</v>
      </c>
      <c r="D19241" t="s">
        <v>20</v>
      </c>
      <c r="E19241" t="s">
        <v>39</v>
      </c>
      <c r="F19241">
        <v>0</v>
      </c>
      <c r="G19241">
        <v>0</v>
      </c>
      <c r="H19241">
        <v>19</v>
      </c>
      <c r="I19241" s="3">
        <v>8780.8700000000008</v>
      </c>
      <c r="J19241" s="3">
        <v>8454.56</v>
      </c>
      <c r="L19241">
        <v>1011</v>
      </c>
      <c r="M19241" t="s">
        <v>37251</v>
      </c>
      <c r="N19241" t="s">
        <v>30</v>
      </c>
      <c r="O19241" t="s">
        <v>31</v>
      </c>
      <c r="P19241" t="str">
        <f>"15212"</f>
        <v>15212</v>
      </c>
    </row>
    <row r="19242" spans="1:16" x14ac:dyDescent="0.25">
      <c r="A19242" t="str">
        <f>"1270076P00027    00"</f>
        <v>1270076P00027    00</v>
      </c>
      <c r="B19242" t="s">
        <v>41725</v>
      </c>
      <c r="C19242" t="s">
        <v>41726</v>
      </c>
      <c r="D19242" t="s">
        <v>20</v>
      </c>
      <c r="E19242" t="s">
        <v>39</v>
      </c>
      <c r="F19242">
        <v>0</v>
      </c>
      <c r="G19242">
        <v>0</v>
      </c>
      <c r="H19242">
        <v>5</v>
      </c>
      <c r="I19242" s="3">
        <v>3155.75</v>
      </c>
      <c r="J19242" s="3">
        <v>545.20000000000005</v>
      </c>
      <c r="L19242">
        <v>1023</v>
      </c>
      <c r="M19242" t="s">
        <v>37251</v>
      </c>
      <c r="N19242" t="s">
        <v>30</v>
      </c>
      <c r="O19242" t="s">
        <v>31</v>
      </c>
      <c r="P19242" t="str">
        <f>"15212"</f>
        <v>15212</v>
      </c>
    </row>
    <row r="19243" spans="1:16" x14ac:dyDescent="0.25">
      <c r="A19243" t="str">
        <f>"1270076P00034    00"</f>
        <v>1270076P00034    00</v>
      </c>
      <c r="B19243" t="s">
        <v>37758</v>
      </c>
      <c r="C19243" t="s">
        <v>41727</v>
      </c>
      <c r="E19243" t="s">
        <v>39</v>
      </c>
      <c r="F19243">
        <v>0</v>
      </c>
      <c r="G19243">
        <v>0</v>
      </c>
      <c r="H19243">
        <v>1</v>
      </c>
      <c r="I19243" s="3">
        <v>613.76</v>
      </c>
      <c r="J19243" s="3">
        <v>0</v>
      </c>
      <c r="M19243" t="s">
        <v>37761</v>
      </c>
      <c r="N19243" t="s">
        <v>30</v>
      </c>
      <c r="O19243" t="s">
        <v>31</v>
      </c>
      <c r="P19243" t="str">
        <f>"15233"</f>
        <v>15233</v>
      </c>
    </row>
    <row r="19244" spans="1:16" x14ac:dyDescent="0.25">
      <c r="A19244" t="str">
        <f>"1270076P00042    00"</f>
        <v>1270076P00042    00</v>
      </c>
      <c r="B19244" t="s">
        <v>41728</v>
      </c>
      <c r="C19244" t="s">
        <v>41729</v>
      </c>
      <c r="D19244" t="s">
        <v>20</v>
      </c>
      <c r="E19244" t="s">
        <v>39</v>
      </c>
      <c r="F19244">
        <v>0</v>
      </c>
      <c r="G19244">
        <v>0</v>
      </c>
      <c r="H19244">
        <v>17</v>
      </c>
      <c r="I19244" s="3">
        <v>11907.79</v>
      </c>
      <c r="J19244" s="3">
        <v>9856.08</v>
      </c>
      <c r="L19244">
        <v>1907</v>
      </c>
      <c r="M19244" t="s">
        <v>41730</v>
      </c>
      <c r="N19244" t="s">
        <v>422</v>
      </c>
      <c r="O19244" t="s">
        <v>423</v>
      </c>
      <c r="P19244" t="str">
        <f>"08002"</f>
        <v>08002</v>
      </c>
    </row>
    <row r="19245" spans="1:16" x14ac:dyDescent="0.25">
      <c r="A19245" t="str">
        <f>"1270076P00044    00"</f>
        <v>1270076P00044    00</v>
      </c>
      <c r="B19245" t="s">
        <v>41731</v>
      </c>
      <c r="C19245" t="s">
        <v>41542</v>
      </c>
      <c r="D19245" t="s">
        <v>20</v>
      </c>
      <c r="E19245" t="s">
        <v>39</v>
      </c>
      <c r="F19245">
        <v>0</v>
      </c>
      <c r="G19245">
        <v>0</v>
      </c>
      <c r="H19245">
        <v>19</v>
      </c>
      <c r="I19245" s="3">
        <v>2912.95</v>
      </c>
      <c r="J19245" s="3">
        <v>3833.83</v>
      </c>
      <c r="L19245">
        <v>6507</v>
      </c>
      <c r="M19245" t="s">
        <v>41732</v>
      </c>
      <c r="N19245" t="s">
        <v>212</v>
      </c>
      <c r="O19245" t="s">
        <v>25</v>
      </c>
      <c r="P19245" t="str">
        <f>"44142"</f>
        <v>44142</v>
      </c>
    </row>
    <row r="19246" spans="1:16" x14ac:dyDescent="0.25">
      <c r="A19246" t="str">
        <f>"1270076P00046    00"</f>
        <v>1270076P00046    00</v>
      </c>
      <c r="B19246" t="s">
        <v>36344</v>
      </c>
      <c r="C19246" t="s">
        <v>41733</v>
      </c>
      <c r="D19246" t="s">
        <v>20</v>
      </c>
      <c r="E19246" t="s">
        <v>39</v>
      </c>
      <c r="F19246">
        <v>0</v>
      </c>
      <c r="G19246">
        <v>0</v>
      </c>
      <c r="H19246">
        <v>6</v>
      </c>
      <c r="I19246" s="3">
        <v>4392.96</v>
      </c>
      <c r="J19246" s="3">
        <v>985.24</v>
      </c>
      <c r="K19246" t="s">
        <v>41734</v>
      </c>
      <c r="M19246" t="s">
        <v>41735</v>
      </c>
      <c r="N19246" t="s">
        <v>30</v>
      </c>
      <c r="O19246" t="s">
        <v>31</v>
      </c>
      <c r="P19246" t="str">
        <f>"15233"</f>
        <v>15233</v>
      </c>
    </row>
    <row r="19247" spans="1:16" x14ac:dyDescent="0.25">
      <c r="A19247" t="str">
        <f>"1270076P00053    00"</f>
        <v>1270076P00053    00</v>
      </c>
      <c r="B19247" t="s">
        <v>41736</v>
      </c>
      <c r="C19247" t="s">
        <v>41737</v>
      </c>
      <c r="E19247" t="s">
        <v>39</v>
      </c>
      <c r="F19247">
        <v>0</v>
      </c>
      <c r="G19247">
        <v>0</v>
      </c>
      <c r="H19247">
        <v>1</v>
      </c>
      <c r="I19247" s="3">
        <v>351.23</v>
      </c>
      <c r="J19247" s="3">
        <v>0</v>
      </c>
      <c r="L19247">
        <v>1051</v>
      </c>
      <c r="M19247" t="s">
        <v>37251</v>
      </c>
      <c r="N19247" t="s">
        <v>30</v>
      </c>
      <c r="O19247" t="s">
        <v>31</v>
      </c>
      <c r="P19247" t="str">
        <f>"15212"</f>
        <v>15212</v>
      </c>
    </row>
    <row r="19248" spans="1:16" x14ac:dyDescent="0.25">
      <c r="A19248" t="str">
        <f>"1270076P00056    00"</f>
        <v>1270076P00056    00</v>
      </c>
      <c r="B19248" t="s">
        <v>36344</v>
      </c>
      <c r="C19248" t="s">
        <v>41738</v>
      </c>
      <c r="D19248" t="s">
        <v>20</v>
      </c>
      <c r="E19248" t="s">
        <v>39</v>
      </c>
      <c r="F19248">
        <v>0</v>
      </c>
      <c r="G19248">
        <v>0</v>
      </c>
      <c r="H19248">
        <v>6</v>
      </c>
      <c r="I19248" s="3">
        <v>1618.02</v>
      </c>
      <c r="J19248" s="3">
        <v>284.85000000000002</v>
      </c>
      <c r="K19248" t="s">
        <v>41734</v>
      </c>
      <c r="M19248" t="s">
        <v>41735</v>
      </c>
      <c r="N19248" t="s">
        <v>30</v>
      </c>
      <c r="O19248" t="s">
        <v>31</v>
      </c>
      <c r="P19248" t="str">
        <f>"15233"</f>
        <v>15233</v>
      </c>
    </row>
    <row r="19249" spans="1:16" x14ac:dyDescent="0.25">
      <c r="A19249" t="str">
        <f>"1270076P00058    00"</f>
        <v>1270076P00058    00</v>
      </c>
      <c r="B19249" t="s">
        <v>36344</v>
      </c>
      <c r="C19249" t="s">
        <v>41542</v>
      </c>
      <c r="D19249" t="s">
        <v>20</v>
      </c>
      <c r="E19249" t="s">
        <v>39</v>
      </c>
      <c r="F19249">
        <v>0</v>
      </c>
      <c r="G19249">
        <v>0</v>
      </c>
      <c r="H19249">
        <v>6</v>
      </c>
      <c r="I19249" s="3">
        <v>651.64</v>
      </c>
      <c r="J19249" s="3">
        <v>146.15</v>
      </c>
      <c r="K19249" t="s">
        <v>41734</v>
      </c>
      <c r="M19249" t="s">
        <v>41739</v>
      </c>
      <c r="N19249" t="s">
        <v>30</v>
      </c>
      <c r="O19249" t="s">
        <v>31</v>
      </c>
      <c r="P19249" t="str">
        <f>"15233"</f>
        <v>15233</v>
      </c>
    </row>
    <row r="19250" spans="1:16" x14ac:dyDescent="0.25">
      <c r="A19250" t="str">
        <f>"1270076P00060    00"</f>
        <v>1270076P00060    00</v>
      </c>
      <c r="B19250" t="s">
        <v>36344</v>
      </c>
      <c r="C19250" t="s">
        <v>41740</v>
      </c>
      <c r="D19250" t="s">
        <v>20</v>
      </c>
      <c r="E19250" t="s">
        <v>39</v>
      </c>
      <c r="F19250">
        <v>0</v>
      </c>
      <c r="G19250">
        <v>0</v>
      </c>
      <c r="H19250">
        <v>6</v>
      </c>
      <c r="I19250" s="3">
        <v>4359.3</v>
      </c>
      <c r="J19250" s="3">
        <v>977.69</v>
      </c>
      <c r="K19250" t="s">
        <v>41734</v>
      </c>
      <c r="M19250" t="s">
        <v>41739</v>
      </c>
      <c r="N19250" t="s">
        <v>30</v>
      </c>
      <c r="O19250" t="s">
        <v>31</v>
      </c>
      <c r="P19250" t="str">
        <f>"15233"</f>
        <v>15233</v>
      </c>
    </row>
    <row r="19251" spans="1:16" x14ac:dyDescent="0.25">
      <c r="A19251" t="str">
        <f>"1270076P00062    00"</f>
        <v>1270076P00062    00</v>
      </c>
      <c r="B19251" t="s">
        <v>41741</v>
      </c>
      <c r="C19251" t="s">
        <v>41742</v>
      </c>
      <c r="D19251" t="s">
        <v>20</v>
      </c>
      <c r="E19251" t="s">
        <v>39</v>
      </c>
      <c r="F19251">
        <v>0</v>
      </c>
      <c r="G19251">
        <v>0</v>
      </c>
      <c r="H19251">
        <v>6</v>
      </c>
      <c r="I19251" s="3">
        <v>2397.2600000000002</v>
      </c>
      <c r="J19251" s="3">
        <v>465.96</v>
      </c>
      <c r="K19251" t="s">
        <v>41743</v>
      </c>
      <c r="M19251" t="s">
        <v>41735</v>
      </c>
      <c r="N19251" t="s">
        <v>30</v>
      </c>
      <c r="O19251" t="s">
        <v>31</v>
      </c>
      <c r="P19251" t="str">
        <f>"15233"</f>
        <v>15233</v>
      </c>
    </row>
    <row r="19252" spans="1:16" x14ac:dyDescent="0.25">
      <c r="A19252" t="str">
        <f>"1270076P00066    00"</f>
        <v>1270076P00066    00</v>
      </c>
      <c r="B19252" t="s">
        <v>41741</v>
      </c>
      <c r="C19252" t="s">
        <v>41742</v>
      </c>
      <c r="D19252" t="s">
        <v>20</v>
      </c>
      <c r="E19252" t="s">
        <v>39</v>
      </c>
      <c r="F19252">
        <v>0</v>
      </c>
      <c r="G19252">
        <v>0</v>
      </c>
      <c r="H19252">
        <v>6</v>
      </c>
      <c r="I19252" s="3">
        <v>2281.7199999999998</v>
      </c>
      <c r="J19252" s="3">
        <v>520.54</v>
      </c>
      <c r="K19252" t="s">
        <v>41743</v>
      </c>
      <c r="M19252" t="s">
        <v>41735</v>
      </c>
      <c r="N19252" t="s">
        <v>30</v>
      </c>
      <c r="O19252" t="s">
        <v>31</v>
      </c>
      <c r="P19252" t="str">
        <f>"15233"</f>
        <v>15233</v>
      </c>
    </row>
    <row r="19253" spans="1:16" x14ac:dyDescent="0.25">
      <c r="A19253" t="str">
        <f>"1270076P00069    00"</f>
        <v>1270076P00069    00</v>
      </c>
      <c r="B19253" t="s">
        <v>41545</v>
      </c>
      <c r="C19253" t="s">
        <v>41744</v>
      </c>
      <c r="D19253" t="s">
        <v>20</v>
      </c>
      <c r="E19253" t="s">
        <v>39</v>
      </c>
      <c r="F19253">
        <v>0</v>
      </c>
      <c r="G19253">
        <v>0</v>
      </c>
      <c r="H19253">
        <v>6</v>
      </c>
      <c r="I19253" s="3">
        <v>6062.42</v>
      </c>
      <c r="J19253" s="3">
        <v>1383.04</v>
      </c>
      <c r="L19253">
        <v>4004</v>
      </c>
      <c r="M19253" t="s">
        <v>41546</v>
      </c>
      <c r="N19253" t="s">
        <v>30</v>
      </c>
      <c r="O19253" t="s">
        <v>31</v>
      </c>
      <c r="P19253" t="str">
        <f>"15212"</f>
        <v>15212</v>
      </c>
    </row>
    <row r="19254" spans="1:16" x14ac:dyDescent="0.25">
      <c r="A19254" t="str">
        <f>"1270076P00072    00"</f>
        <v>1270076P00072    00</v>
      </c>
      <c r="B19254" t="s">
        <v>41745</v>
      </c>
      <c r="C19254" t="s">
        <v>41746</v>
      </c>
      <c r="D19254" t="s">
        <v>20</v>
      </c>
      <c r="E19254" t="s">
        <v>39</v>
      </c>
      <c r="F19254">
        <v>0</v>
      </c>
      <c r="G19254">
        <v>0</v>
      </c>
      <c r="H19254">
        <v>12</v>
      </c>
      <c r="I19254" s="3">
        <v>1068.82</v>
      </c>
      <c r="J19254" s="3">
        <v>1213.21</v>
      </c>
      <c r="L19254">
        <v>1101</v>
      </c>
      <c r="M19254" t="s">
        <v>37251</v>
      </c>
      <c r="N19254" t="s">
        <v>30</v>
      </c>
      <c r="O19254" t="s">
        <v>31</v>
      </c>
      <c r="P19254" t="str">
        <f>"15212"</f>
        <v>15212</v>
      </c>
    </row>
    <row r="19255" spans="1:16" x14ac:dyDescent="0.25">
      <c r="A19255" t="str">
        <f>"1270076P00074    00"</f>
        <v>1270076P00074    00</v>
      </c>
      <c r="B19255" t="s">
        <v>41745</v>
      </c>
      <c r="C19255" t="s">
        <v>41747</v>
      </c>
      <c r="E19255" t="s">
        <v>39</v>
      </c>
      <c r="F19255">
        <v>0</v>
      </c>
      <c r="G19255">
        <v>0</v>
      </c>
      <c r="H19255">
        <v>2</v>
      </c>
      <c r="I19255" s="3">
        <v>1186.93</v>
      </c>
      <c r="J19255" s="3">
        <v>1191.3599999999999</v>
      </c>
      <c r="L19255">
        <v>1101</v>
      </c>
      <c r="M19255" t="s">
        <v>37251</v>
      </c>
      <c r="N19255" t="s">
        <v>30</v>
      </c>
      <c r="O19255" t="s">
        <v>31</v>
      </c>
      <c r="P19255" t="str">
        <f>"15212"</f>
        <v>15212</v>
      </c>
    </row>
    <row r="19256" spans="1:16" x14ac:dyDescent="0.25">
      <c r="A19256" t="str">
        <f>"1270076P00076    00"</f>
        <v>1270076P00076    00</v>
      </c>
      <c r="B19256" t="s">
        <v>41748</v>
      </c>
      <c r="C19256" t="s">
        <v>41749</v>
      </c>
      <c r="D19256" t="s">
        <v>20</v>
      </c>
      <c r="E19256" t="s">
        <v>39</v>
      </c>
      <c r="F19256">
        <v>0</v>
      </c>
      <c r="G19256">
        <v>0</v>
      </c>
      <c r="H19256">
        <v>7</v>
      </c>
      <c r="I19256" s="3">
        <v>5426.04</v>
      </c>
      <c r="J19256" s="3">
        <v>1415.15</v>
      </c>
      <c r="L19256">
        <v>1103</v>
      </c>
      <c r="M19256" t="s">
        <v>37251</v>
      </c>
      <c r="N19256" t="s">
        <v>30</v>
      </c>
      <c r="O19256" t="s">
        <v>31</v>
      </c>
      <c r="P19256" t="str">
        <f>"15212"</f>
        <v>15212</v>
      </c>
    </row>
    <row r="19257" spans="1:16" x14ac:dyDescent="0.25">
      <c r="A19257" t="str">
        <f>"1270076P00079    00"</f>
        <v>1270076P00079    00</v>
      </c>
      <c r="B19257" t="s">
        <v>41750</v>
      </c>
      <c r="C19257" t="s">
        <v>41751</v>
      </c>
      <c r="D19257" t="s">
        <v>20</v>
      </c>
      <c r="E19257" t="s">
        <v>39</v>
      </c>
      <c r="F19257">
        <v>0</v>
      </c>
      <c r="G19257">
        <v>0</v>
      </c>
      <c r="H19257">
        <v>19</v>
      </c>
      <c r="I19257" s="3">
        <v>7088.77</v>
      </c>
      <c r="J19257" s="3">
        <v>8001.64</v>
      </c>
      <c r="L19257">
        <v>3114</v>
      </c>
      <c r="M19257" t="s">
        <v>41752</v>
      </c>
      <c r="N19257" t="s">
        <v>30</v>
      </c>
      <c r="O19257" t="s">
        <v>31</v>
      </c>
      <c r="P19257" t="str">
        <f>"15212"</f>
        <v>15212</v>
      </c>
    </row>
    <row r="19258" spans="1:16" x14ac:dyDescent="0.25">
      <c r="A19258" t="str">
        <f>"1270076P00081    00"</f>
        <v>1270076P00081    00</v>
      </c>
      <c r="B19258" t="s">
        <v>41753</v>
      </c>
      <c r="C19258" t="s">
        <v>41754</v>
      </c>
      <c r="D19258" t="s">
        <v>20</v>
      </c>
      <c r="E19258" t="s">
        <v>207</v>
      </c>
      <c r="F19258">
        <v>0</v>
      </c>
      <c r="G19258">
        <v>0</v>
      </c>
      <c r="H19258">
        <v>1</v>
      </c>
      <c r="I19258" s="3">
        <v>274.45999999999998</v>
      </c>
      <c r="J19258" s="3">
        <v>0</v>
      </c>
      <c r="L19258">
        <v>353</v>
      </c>
      <c r="M19258" t="s">
        <v>40661</v>
      </c>
      <c r="N19258" t="s">
        <v>40662</v>
      </c>
      <c r="O19258" t="s">
        <v>31</v>
      </c>
      <c r="P19258" t="str">
        <f>"16145"</f>
        <v>16145</v>
      </c>
    </row>
    <row r="19259" spans="1:16" x14ac:dyDescent="0.25">
      <c r="A19259" t="str">
        <f>"1270076P00084    00"</f>
        <v>1270076P00084    00</v>
      </c>
      <c r="B19259" t="s">
        <v>41750</v>
      </c>
      <c r="C19259" t="s">
        <v>41755</v>
      </c>
      <c r="D19259" t="s">
        <v>20</v>
      </c>
      <c r="E19259" t="s">
        <v>39</v>
      </c>
      <c r="F19259">
        <v>0</v>
      </c>
      <c r="G19259">
        <v>0</v>
      </c>
      <c r="H19259">
        <v>4</v>
      </c>
      <c r="I19259" s="3">
        <v>2860.47</v>
      </c>
      <c r="J19259" s="3">
        <v>316.07</v>
      </c>
      <c r="L19259">
        <v>3120</v>
      </c>
      <c r="M19259" t="s">
        <v>41756</v>
      </c>
      <c r="N19259" t="s">
        <v>30</v>
      </c>
      <c r="O19259" t="s">
        <v>31</v>
      </c>
      <c r="P19259" t="str">
        <f>"15212"</f>
        <v>15212</v>
      </c>
    </row>
    <row r="19260" spans="1:16" x14ac:dyDescent="0.25">
      <c r="A19260" t="str">
        <f>"1270076P00087    00"</f>
        <v>1270076P00087    00</v>
      </c>
      <c r="B19260" t="s">
        <v>41757</v>
      </c>
      <c r="C19260" t="s">
        <v>41754</v>
      </c>
      <c r="D19260" t="s">
        <v>20</v>
      </c>
      <c r="E19260" t="s">
        <v>39</v>
      </c>
      <c r="F19260">
        <v>0</v>
      </c>
      <c r="G19260">
        <v>0</v>
      </c>
      <c r="H19260">
        <v>16</v>
      </c>
      <c r="I19260" s="3">
        <v>4960.76</v>
      </c>
      <c r="J19260" s="3">
        <v>3471.58</v>
      </c>
      <c r="L19260">
        <v>3102</v>
      </c>
      <c r="M19260" t="s">
        <v>41319</v>
      </c>
      <c r="N19260" t="s">
        <v>30</v>
      </c>
      <c r="O19260" t="s">
        <v>31</v>
      </c>
      <c r="P19260" t="str">
        <f>"15212"</f>
        <v>15212</v>
      </c>
    </row>
    <row r="19261" spans="1:16" x14ac:dyDescent="0.25">
      <c r="A19261" t="str">
        <f>"1270076P00096    00"</f>
        <v>1270076P00096    00</v>
      </c>
      <c r="B19261" t="s">
        <v>41758</v>
      </c>
      <c r="C19261" t="s">
        <v>41759</v>
      </c>
      <c r="D19261" t="s">
        <v>20</v>
      </c>
      <c r="E19261" t="s">
        <v>39</v>
      </c>
      <c r="F19261">
        <v>0</v>
      </c>
      <c r="G19261">
        <v>0</v>
      </c>
      <c r="H19261">
        <v>1</v>
      </c>
      <c r="I19261" s="3">
        <v>947.29</v>
      </c>
      <c r="J19261" s="3">
        <v>0</v>
      </c>
      <c r="K19261" t="s">
        <v>41760</v>
      </c>
      <c r="L19261">
        <v>353</v>
      </c>
      <c r="M19261" t="s">
        <v>40661</v>
      </c>
      <c r="N19261" t="s">
        <v>40662</v>
      </c>
      <c r="O19261" t="s">
        <v>31</v>
      </c>
      <c r="P19261" t="str">
        <f>"16145"</f>
        <v>16145</v>
      </c>
    </row>
    <row r="19262" spans="1:16" x14ac:dyDescent="0.25">
      <c r="A19262" t="str">
        <f>"1270076P00097    00"</f>
        <v>1270076P00097    00</v>
      </c>
      <c r="B19262" t="s">
        <v>41758</v>
      </c>
      <c r="C19262" t="s">
        <v>41754</v>
      </c>
      <c r="D19262" t="s">
        <v>20</v>
      </c>
      <c r="E19262" t="s">
        <v>39</v>
      </c>
      <c r="F19262">
        <v>0</v>
      </c>
      <c r="G19262">
        <v>0</v>
      </c>
      <c r="H19262">
        <v>1</v>
      </c>
      <c r="I19262" s="3">
        <v>43.85</v>
      </c>
      <c r="J19262" s="3">
        <v>0</v>
      </c>
      <c r="L19262">
        <v>353</v>
      </c>
      <c r="M19262" t="s">
        <v>40661</v>
      </c>
      <c r="N19262" t="s">
        <v>40662</v>
      </c>
      <c r="O19262" t="s">
        <v>31</v>
      </c>
      <c r="P19262" t="str">
        <f>"16145"</f>
        <v>16145</v>
      </c>
    </row>
    <row r="19263" spans="1:16" x14ac:dyDescent="0.25">
      <c r="A19263" t="str">
        <f>"1270076P00103    00"</f>
        <v>1270076P00103    00</v>
      </c>
      <c r="B19263" t="s">
        <v>41761</v>
      </c>
      <c r="C19263" t="s">
        <v>41762</v>
      </c>
      <c r="E19263" t="s">
        <v>39</v>
      </c>
      <c r="F19263">
        <v>0</v>
      </c>
      <c r="G19263">
        <v>0</v>
      </c>
      <c r="H19263">
        <v>18</v>
      </c>
      <c r="I19263" s="3">
        <v>6324.99</v>
      </c>
      <c r="J19263" s="3">
        <v>8887.56</v>
      </c>
      <c r="L19263">
        <v>3116</v>
      </c>
      <c r="M19263" t="s">
        <v>41319</v>
      </c>
      <c r="N19263" t="s">
        <v>30</v>
      </c>
      <c r="O19263" t="s">
        <v>31</v>
      </c>
      <c r="P19263" t="str">
        <f>"15212"</f>
        <v>15212</v>
      </c>
    </row>
    <row r="19264" spans="1:16" x14ac:dyDescent="0.25">
      <c r="A19264" t="str">
        <f>"1270076P00104    00"</f>
        <v>1270076P00104    00</v>
      </c>
      <c r="B19264" t="s">
        <v>41763</v>
      </c>
      <c r="C19264" t="s">
        <v>41764</v>
      </c>
      <c r="D19264" t="s">
        <v>20</v>
      </c>
      <c r="E19264" t="s">
        <v>39</v>
      </c>
      <c r="F19264">
        <v>0</v>
      </c>
      <c r="G19264">
        <v>0</v>
      </c>
      <c r="H19264">
        <v>19</v>
      </c>
      <c r="I19264" s="3">
        <v>638.73</v>
      </c>
      <c r="J19264" s="3">
        <v>720.04</v>
      </c>
      <c r="L19264">
        <v>614</v>
      </c>
      <c r="M19264" t="s">
        <v>41765</v>
      </c>
      <c r="N19264" t="s">
        <v>826</v>
      </c>
      <c r="O19264" t="s">
        <v>31</v>
      </c>
      <c r="P19264" t="str">
        <f>"15601"</f>
        <v>15601</v>
      </c>
    </row>
    <row r="19265" spans="1:16" x14ac:dyDescent="0.25">
      <c r="A19265" t="str">
        <f>"1270076P00107    00"</f>
        <v>1270076P00107    00</v>
      </c>
      <c r="B19265" t="s">
        <v>41766</v>
      </c>
      <c r="C19265" t="s">
        <v>41764</v>
      </c>
      <c r="D19265" t="s">
        <v>20</v>
      </c>
      <c r="E19265" t="s">
        <v>39</v>
      </c>
      <c r="F19265">
        <v>0</v>
      </c>
      <c r="G19265">
        <v>0</v>
      </c>
      <c r="H19265">
        <v>16</v>
      </c>
      <c r="I19265" s="3">
        <v>5607.63</v>
      </c>
      <c r="J19265" s="3">
        <v>4799.72</v>
      </c>
      <c r="L19265">
        <v>110</v>
      </c>
      <c r="M19265" t="s">
        <v>41767</v>
      </c>
      <c r="N19265" t="s">
        <v>30</v>
      </c>
      <c r="O19265" t="s">
        <v>31</v>
      </c>
      <c r="P19265" t="str">
        <f>"15220"</f>
        <v>15220</v>
      </c>
    </row>
    <row r="19266" spans="1:16" x14ac:dyDescent="0.25">
      <c r="A19266" t="str">
        <f>"1270076P00108    00"</f>
        <v>1270076P00108    00</v>
      </c>
      <c r="B19266" t="s">
        <v>41768</v>
      </c>
      <c r="C19266" t="s">
        <v>41769</v>
      </c>
      <c r="D19266" t="s">
        <v>20</v>
      </c>
      <c r="E19266" t="s">
        <v>39</v>
      </c>
      <c r="F19266">
        <v>0</v>
      </c>
      <c r="G19266">
        <v>0</v>
      </c>
      <c r="H19266">
        <v>5</v>
      </c>
      <c r="I19266" s="3">
        <v>283.10000000000002</v>
      </c>
      <c r="J19266" s="3">
        <v>48.82</v>
      </c>
      <c r="L19266">
        <v>3104</v>
      </c>
      <c r="M19266" t="s">
        <v>41319</v>
      </c>
      <c r="N19266" t="s">
        <v>30</v>
      </c>
      <c r="O19266" t="s">
        <v>31</v>
      </c>
      <c r="P19266" t="str">
        <f>"15212"</f>
        <v>15212</v>
      </c>
    </row>
    <row r="19267" spans="1:16" x14ac:dyDescent="0.25">
      <c r="A19267" t="str">
        <f>"1270076P00109    00"</f>
        <v>1270076P00109    00</v>
      </c>
      <c r="B19267" t="s">
        <v>41770</v>
      </c>
      <c r="C19267" t="s">
        <v>41769</v>
      </c>
      <c r="D19267" t="s">
        <v>20</v>
      </c>
      <c r="E19267" t="s">
        <v>39</v>
      </c>
      <c r="F19267">
        <v>0</v>
      </c>
      <c r="G19267">
        <v>0</v>
      </c>
      <c r="H19267">
        <v>5</v>
      </c>
      <c r="I19267" s="3">
        <v>348.4</v>
      </c>
      <c r="J19267" s="3">
        <v>60.07</v>
      </c>
      <c r="L19267">
        <v>3104</v>
      </c>
      <c r="M19267" t="s">
        <v>41319</v>
      </c>
      <c r="N19267" t="s">
        <v>30</v>
      </c>
      <c r="O19267" t="s">
        <v>31</v>
      </c>
      <c r="P19267" t="str">
        <f>"15212"</f>
        <v>15212</v>
      </c>
    </row>
    <row r="19268" spans="1:16" x14ac:dyDescent="0.25">
      <c r="A19268" t="str">
        <f>"1270076P00110    00"</f>
        <v>1270076P00110    00</v>
      </c>
      <c r="B19268" t="s">
        <v>34765</v>
      </c>
      <c r="C19268" t="s">
        <v>41771</v>
      </c>
      <c r="D19268" t="s">
        <v>20</v>
      </c>
      <c r="E19268" t="s">
        <v>39</v>
      </c>
      <c r="F19268">
        <v>0</v>
      </c>
      <c r="G19268">
        <v>0</v>
      </c>
      <c r="H19268">
        <v>11</v>
      </c>
      <c r="I19268" s="3">
        <v>404.36</v>
      </c>
      <c r="J19268" s="3">
        <v>194.09</v>
      </c>
      <c r="L19268">
        <v>3370</v>
      </c>
      <c r="M19268" t="s">
        <v>34518</v>
      </c>
      <c r="N19268" t="s">
        <v>30</v>
      </c>
      <c r="O19268" t="s">
        <v>31</v>
      </c>
      <c r="P19268" t="str">
        <f>"15214"</f>
        <v>15214</v>
      </c>
    </row>
    <row r="19269" spans="1:16" x14ac:dyDescent="0.25">
      <c r="A19269" t="str">
        <f>"1270076P00117    00"</f>
        <v>1270076P00117    00</v>
      </c>
      <c r="B19269" t="s">
        <v>41772</v>
      </c>
      <c r="C19269" t="s">
        <v>40184</v>
      </c>
      <c r="D19269" t="s">
        <v>20</v>
      </c>
      <c r="E19269" t="s">
        <v>39</v>
      </c>
      <c r="F19269">
        <v>0</v>
      </c>
      <c r="G19269">
        <v>0</v>
      </c>
      <c r="H19269">
        <v>18</v>
      </c>
      <c r="I19269" s="3">
        <v>6954.65</v>
      </c>
      <c r="J19269" s="3">
        <v>6625.14</v>
      </c>
      <c r="L19269">
        <v>231</v>
      </c>
      <c r="M19269" t="s">
        <v>41773</v>
      </c>
      <c r="N19269" t="s">
        <v>30</v>
      </c>
      <c r="O19269" t="s">
        <v>31</v>
      </c>
      <c r="P19269" t="str">
        <f>"15205"</f>
        <v>15205</v>
      </c>
    </row>
    <row r="19270" spans="1:16" x14ac:dyDescent="0.25">
      <c r="A19270" t="str">
        <f>"1270076P00118    00"</f>
        <v>1270076P00118    00</v>
      </c>
      <c r="B19270" t="s">
        <v>40637</v>
      </c>
      <c r="C19270" t="s">
        <v>41774</v>
      </c>
      <c r="D19270" t="s">
        <v>20</v>
      </c>
      <c r="E19270" t="s">
        <v>39</v>
      </c>
      <c r="F19270">
        <v>0</v>
      </c>
      <c r="G19270">
        <v>0</v>
      </c>
      <c r="H19270">
        <v>6</v>
      </c>
      <c r="I19270" s="3">
        <v>5054.8599999999997</v>
      </c>
      <c r="J19270" s="3">
        <v>1016.8</v>
      </c>
      <c r="K19270" t="s">
        <v>40639</v>
      </c>
      <c r="L19270">
        <v>273</v>
      </c>
      <c r="M19270" t="s">
        <v>36363</v>
      </c>
      <c r="N19270" t="s">
        <v>36364</v>
      </c>
      <c r="O19270" t="s">
        <v>180</v>
      </c>
      <c r="P19270" t="str">
        <f>"81611"</f>
        <v>81611</v>
      </c>
    </row>
    <row r="19271" spans="1:16" x14ac:dyDescent="0.25">
      <c r="A19271" t="str">
        <f>"1270076P00119    00"</f>
        <v>1270076P00119    00</v>
      </c>
      <c r="B19271" t="s">
        <v>5095</v>
      </c>
      <c r="C19271" t="s">
        <v>41775</v>
      </c>
      <c r="D19271" t="s">
        <v>20</v>
      </c>
      <c r="E19271" t="s">
        <v>39</v>
      </c>
      <c r="F19271">
        <v>0</v>
      </c>
      <c r="G19271">
        <v>0</v>
      </c>
      <c r="H19271">
        <v>2</v>
      </c>
      <c r="I19271" s="3">
        <v>1151.26</v>
      </c>
      <c r="J19271" s="3">
        <v>0</v>
      </c>
      <c r="L19271">
        <v>3771</v>
      </c>
      <c r="M19271" t="s">
        <v>5097</v>
      </c>
      <c r="N19271" t="s">
        <v>30</v>
      </c>
      <c r="O19271" t="s">
        <v>31</v>
      </c>
      <c r="P19271" t="str">
        <f>"15204"</f>
        <v>15204</v>
      </c>
    </row>
    <row r="19272" spans="1:16" x14ac:dyDescent="0.25">
      <c r="A19272" t="str">
        <f>"1270076R00004    00"</f>
        <v>1270076R00004    00</v>
      </c>
      <c r="B19272" t="s">
        <v>41776</v>
      </c>
      <c r="C19272" t="s">
        <v>41542</v>
      </c>
      <c r="D19272" t="s">
        <v>20</v>
      </c>
      <c r="E19272" t="s">
        <v>39</v>
      </c>
      <c r="F19272">
        <v>0</v>
      </c>
      <c r="G19272">
        <v>0</v>
      </c>
      <c r="H19272">
        <v>19</v>
      </c>
      <c r="I19272" s="3">
        <v>7492.6</v>
      </c>
      <c r="J19272" s="3">
        <v>6791</v>
      </c>
      <c r="L19272">
        <v>931</v>
      </c>
      <c r="M19272" t="s">
        <v>37251</v>
      </c>
      <c r="N19272" t="s">
        <v>30</v>
      </c>
      <c r="O19272" t="s">
        <v>31</v>
      </c>
      <c r="P19272" t="str">
        <f>"15212"</f>
        <v>15212</v>
      </c>
    </row>
    <row r="19273" spans="1:16" x14ac:dyDescent="0.25">
      <c r="A19273" t="str">
        <f>"1270076R00006    00"</f>
        <v>1270076R00006    00</v>
      </c>
      <c r="B19273" t="s">
        <v>41777</v>
      </c>
      <c r="C19273" t="s">
        <v>41778</v>
      </c>
      <c r="D19273" t="s">
        <v>20</v>
      </c>
      <c r="E19273" t="s">
        <v>39</v>
      </c>
      <c r="F19273">
        <v>0</v>
      </c>
      <c r="G19273">
        <v>0</v>
      </c>
      <c r="H19273">
        <v>13</v>
      </c>
      <c r="I19273" s="3">
        <v>8818.01</v>
      </c>
      <c r="J19273" s="3">
        <v>5118.21</v>
      </c>
      <c r="L19273">
        <v>929</v>
      </c>
      <c r="M19273" t="s">
        <v>37251</v>
      </c>
      <c r="N19273" t="s">
        <v>30</v>
      </c>
      <c r="O19273" t="s">
        <v>31</v>
      </c>
      <c r="P19273" t="str">
        <f>"15212"</f>
        <v>15212</v>
      </c>
    </row>
    <row r="19274" spans="1:16" x14ac:dyDescent="0.25">
      <c r="A19274" t="str">
        <f>"1270076R00008    00"</f>
        <v>1270076R00008    00</v>
      </c>
      <c r="B19274" t="s">
        <v>41779</v>
      </c>
      <c r="C19274" t="s">
        <v>41780</v>
      </c>
      <c r="D19274" t="s">
        <v>20</v>
      </c>
      <c r="E19274" t="s">
        <v>39</v>
      </c>
      <c r="F19274">
        <v>0</v>
      </c>
      <c r="G19274">
        <v>0</v>
      </c>
      <c r="H19274">
        <v>3</v>
      </c>
      <c r="I19274" s="3">
        <v>1852.68</v>
      </c>
      <c r="J19274" s="3">
        <v>123.51</v>
      </c>
      <c r="L19274">
        <v>2718</v>
      </c>
      <c r="M19274" t="s">
        <v>3777</v>
      </c>
      <c r="N19274" t="s">
        <v>30</v>
      </c>
      <c r="O19274" t="s">
        <v>31</v>
      </c>
      <c r="P19274" t="str">
        <f>"15226"</f>
        <v>15226</v>
      </c>
    </row>
    <row r="19275" spans="1:16" x14ac:dyDescent="0.25">
      <c r="A19275" t="str">
        <f>"1270114C00016    00"</f>
        <v>1270114C00016    00</v>
      </c>
      <c r="B19275" t="s">
        <v>41781</v>
      </c>
      <c r="C19275" t="s">
        <v>41782</v>
      </c>
      <c r="E19275" t="s">
        <v>39</v>
      </c>
      <c r="F19275">
        <v>0</v>
      </c>
      <c r="G19275">
        <v>0</v>
      </c>
      <c r="H19275">
        <v>1</v>
      </c>
      <c r="I19275" s="3">
        <v>636.08000000000004</v>
      </c>
      <c r="J19275" s="3">
        <v>0</v>
      </c>
      <c r="K19275" t="s">
        <v>8985</v>
      </c>
      <c r="M19275" t="s">
        <v>8986</v>
      </c>
      <c r="N19275" t="s">
        <v>8987</v>
      </c>
      <c r="O19275" t="s">
        <v>495</v>
      </c>
      <c r="P19275" t="str">
        <f>"90660"</f>
        <v>90660</v>
      </c>
    </row>
    <row r="19276" spans="1:16" x14ac:dyDescent="0.25">
      <c r="A19276" t="str">
        <f>"1270114C00022    00"</f>
        <v>1270114C00022    00</v>
      </c>
      <c r="B19276" t="s">
        <v>34642</v>
      </c>
      <c r="C19276" t="s">
        <v>41783</v>
      </c>
      <c r="D19276" t="s">
        <v>20</v>
      </c>
      <c r="E19276" t="s">
        <v>39</v>
      </c>
      <c r="F19276">
        <v>0</v>
      </c>
      <c r="G19276">
        <v>0</v>
      </c>
      <c r="H19276">
        <v>1</v>
      </c>
      <c r="I19276" s="3">
        <v>1780.22</v>
      </c>
      <c r="J19276" s="3">
        <v>0</v>
      </c>
      <c r="L19276">
        <v>101</v>
      </c>
      <c r="M19276" t="s">
        <v>34644</v>
      </c>
      <c r="N19276" t="s">
        <v>30</v>
      </c>
      <c r="O19276" t="s">
        <v>31</v>
      </c>
      <c r="P19276" t="str">
        <f>"15237"</f>
        <v>15237</v>
      </c>
    </row>
    <row r="19277" spans="1:16" x14ac:dyDescent="0.25">
      <c r="A19277" t="str">
        <f>"1270114C00094    00"</f>
        <v>1270114C00094    00</v>
      </c>
      <c r="B19277" t="s">
        <v>41784</v>
      </c>
      <c r="C19277" t="s">
        <v>41785</v>
      </c>
      <c r="D19277" t="s">
        <v>20</v>
      </c>
      <c r="E19277" t="s">
        <v>39</v>
      </c>
      <c r="F19277">
        <v>0</v>
      </c>
      <c r="G19277">
        <v>0</v>
      </c>
      <c r="H19277">
        <v>2</v>
      </c>
      <c r="I19277" s="3">
        <v>2284.4</v>
      </c>
      <c r="J19277" s="3">
        <v>0</v>
      </c>
      <c r="L19277">
        <v>1508</v>
      </c>
      <c r="M19277" t="s">
        <v>41786</v>
      </c>
      <c r="N19277" t="s">
        <v>30</v>
      </c>
      <c r="O19277" t="s">
        <v>31</v>
      </c>
      <c r="P19277" t="str">
        <f>"15212"</f>
        <v>15212</v>
      </c>
    </row>
    <row r="19278" spans="1:16" x14ac:dyDescent="0.25">
      <c r="A19278" t="str">
        <f>"1270114D00120    00"</f>
        <v>1270114D00120    00</v>
      </c>
      <c r="B19278" t="s">
        <v>41787</v>
      </c>
      <c r="C19278" t="s">
        <v>41788</v>
      </c>
      <c r="D19278" t="s">
        <v>20</v>
      </c>
      <c r="E19278" t="s">
        <v>39</v>
      </c>
      <c r="F19278">
        <v>0</v>
      </c>
      <c r="G19278">
        <v>0</v>
      </c>
      <c r="H19278">
        <v>1</v>
      </c>
      <c r="I19278" s="3">
        <v>1738.75</v>
      </c>
      <c r="J19278" s="3">
        <v>0</v>
      </c>
      <c r="K19278" t="s">
        <v>2302</v>
      </c>
      <c r="L19278">
        <v>3001</v>
      </c>
      <c r="M19278" t="s">
        <v>330</v>
      </c>
      <c r="N19278" t="s">
        <v>331</v>
      </c>
      <c r="O19278" t="s">
        <v>108</v>
      </c>
      <c r="P19278" t="str">
        <f>"75063"</f>
        <v>75063</v>
      </c>
    </row>
    <row r="19279" spans="1:16" x14ac:dyDescent="0.25">
      <c r="A19279" t="str">
        <f>"1270114D00194    00"</f>
        <v>1270114D00194    00</v>
      </c>
      <c r="B19279" t="s">
        <v>41789</v>
      </c>
      <c r="C19279" t="s">
        <v>41790</v>
      </c>
      <c r="D19279" t="s">
        <v>20</v>
      </c>
      <c r="E19279" t="s">
        <v>39</v>
      </c>
      <c r="F19279">
        <v>0</v>
      </c>
      <c r="G19279">
        <v>0</v>
      </c>
      <c r="H19279">
        <v>4</v>
      </c>
      <c r="I19279" s="3">
        <v>4285.2</v>
      </c>
      <c r="J19279" s="3">
        <v>450.41</v>
      </c>
      <c r="L19279">
        <v>1256</v>
      </c>
      <c r="M19279" t="s">
        <v>41093</v>
      </c>
      <c r="N19279" t="s">
        <v>30</v>
      </c>
      <c r="O19279" t="s">
        <v>31</v>
      </c>
      <c r="P19279" t="str">
        <f>"15212"</f>
        <v>15212</v>
      </c>
    </row>
    <row r="19280" spans="1:16" x14ac:dyDescent="0.25">
      <c r="A19280" t="str">
        <f>"1270114F00058    00"</f>
        <v>1270114F00058    00</v>
      </c>
      <c r="B19280" t="s">
        <v>41791</v>
      </c>
      <c r="C19280" t="s">
        <v>41792</v>
      </c>
      <c r="E19280" t="s">
        <v>39</v>
      </c>
      <c r="F19280">
        <v>0</v>
      </c>
      <c r="G19280">
        <v>0</v>
      </c>
      <c r="H19280">
        <v>1</v>
      </c>
      <c r="I19280" s="3">
        <v>378.47</v>
      </c>
      <c r="J19280" s="3">
        <v>384.77</v>
      </c>
      <c r="K19280" t="s">
        <v>881</v>
      </c>
      <c r="L19280">
        <v>3001</v>
      </c>
      <c r="M19280" t="s">
        <v>330</v>
      </c>
      <c r="N19280" t="s">
        <v>331</v>
      </c>
      <c r="O19280" t="s">
        <v>108</v>
      </c>
      <c r="P19280" t="str">
        <f>"75063"</f>
        <v>75063</v>
      </c>
    </row>
    <row r="19281" spans="1:16" x14ac:dyDescent="0.25">
      <c r="A19281" t="str">
        <f>"1270114F00069    00"</f>
        <v>1270114F00069    00</v>
      </c>
      <c r="B19281" t="s">
        <v>41793</v>
      </c>
      <c r="C19281" t="s">
        <v>41794</v>
      </c>
      <c r="E19281" t="s">
        <v>39</v>
      </c>
      <c r="F19281">
        <v>0</v>
      </c>
      <c r="G19281">
        <v>0</v>
      </c>
      <c r="H19281">
        <v>1</v>
      </c>
      <c r="I19281" s="3">
        <v>740.06</v>
      </c>
      <c r="J19281" s="3">
        <v>0</v>
      </c>
      <c r="K19281" t="s">
        <v>41795</v>
      </c>
      <c r="L19281">
        <v>4001</v>
      </c>
      <c r="M19281" t="s">
        <v>13961</v>
      </c>
      <c r="N19281" t="s">
        <v>30</v>
      </c>
      <c r="O19281" t="s">
        <v>31</v>
      </c>
      <c r="P19281" t="str">
        <f>"15212"</f>
        <v>15212</v>
      </c>
    </row>
    <row r="19282" spans="1:16" x14ac:dyDescent="0.25">
      <c r="A19282" t="str">
        <f>"1270114F00104    00"</f>
        <v>1270114F00104    00</v>
      </c>
      <c r="B19282" t="s">
        <v>41796</v>
      </c>
      <c r="C19282" t="s">
        <v>41797</v>
      </c>
      <c r="D19282" t="s">
        <v>20</v>
      </c>
      <c r="E19282" t="s">
        <v>39</v>
      </c>
      <c r="F19282">
        <v>0</v>
      </c>
      <c r="G19282">
        <v>0</v>
      </c>
      <c r="H19282">
        <v>3</v>
      </c>
      <c r="I19282" s="3">
        <v>258.31</v>
      </c>
      <c r="J19282" s="3">
        <v>1.96</v>
      </c>
      <c r="L19282">
        <v>4059</v>
      </c>
      <c r="M19282" t="s">
        <v>41798</v>
      </c>
      <c r="N19282" t="s">
        <v>30</v>
      </c>
      <c r="O19282" t="s">
        <v>31</v>
      </c>
      <c r="P19282" t="str">
        <f>"15212"</f>
        <v>15212</v>
      </c>
    </row>
    <row r="19283" spans="1:16" x14ac:dyDescent="0.25">
      <c r="A19283" t="str">
        <f>"1270114F00106    00"</f>
        <v>1270114F00106    00</v>
      </c>
      <c r="B19283" t="s">
        <v>41796</v>
      </c>
      <c r="C19283" t="s">
        <v>41799</v>
      </c>
      <c r="D19283" t="s">
        <v>20</v>
      </c>
      <c r="E19283" t="s">
        <v>39</v>
      </c>
      <c r="F19283">
        <v>0</v>
      </c>
      <c r="G19283">
        <v>0</v>
      </c>
      <c r="H19283">
        <v>3</v>
      </c>
      <c r="I19283" s="3">
        <v>2258.58</v>
      </c>
      <c r="J19283" s="3">
        <v>19.03</v>
      </c>
      <c r="L19283">
        <v>4059</v>
      </c>
      <c r="M19283" t="s">
        <v>41798</v>
      </c>
      <c r="N19283" t="s">
        <v>30</v>
      </c>
      <c r="O19283" t="s">
        <v>31</v>
      </c>
      <c r="P19283" t="str">
        <f>"15212"</f>
        <v>15212</v>
      </c>
    </row>
    <row r="19284" spans="1:16" x14ac:dyDescent="0.25">
      <c r="A19284" t="str">
        <f>"1270114F00194    00"</f>
        <v>1270114F00194    00</v>
      </c>
      <c r="B19284" t="s">
        <v>41800</v>
      </c>
      <c r="C19284" t="s">
        <v>41801</v>
      </c>
      <c r="D19284" t="s">
        <v>20</v>
      </c>
      <c r="E19284" t="s">
        <v>39</v>
      </c>
      <c r="F19284">
        <v>0</v>
      </c>
      <c r="G19284">
        <v>0</v>
      </c>
      <c r="H19284">
        <v>6</v>
      </c>
      <c r="I19284" s="3">
        <v>7887.31</v>
      </c>
      <c r="J19284" s="3">
        <v>1838.76</v>
      </c>
      <c r="L19284">
        <v>4004</v>
      </c>
      <c r="M19284" t="s">
        <v>41546</v>
      </c>
      <c r="N19284" t="s">
        <v>30</v>
      </c>
      <c r="O19284" t="s">
        <v>31</v>
      </c>
      <c r="P19284" t="str">
        <f>"15212"</f>
        <v>15212</v>
      </c>
    </row>
    <row r="19285" spans="1:16" x14ac:dyDescent="0.25">
      <c r="A19285" t="str">
        <f>"1270114F00295    00"</f>
        <v>1270114F00295    00</v>
      </c>
      <c r="B19285" t="s">
        <v>41802</v>
      </c>
      <c r="C19285" t="s">
        <v>41803</v>
      </c>
      <c r="D19285" t="s">
        <v>20</v>
      </c>
      <c r="E19285" t="s">
        <v>39</v>
      </c>
      <c r="F19285">
        <v>0</v>
      </c>
      <c r="G19285">
        <v>0</v>
      </c>
      <c r="H19285">
        <v>4</v>
      </c>
      <c r="I19285" s="3">
        <v>4999.79</v>
      </c>
      <c r="J19285" s="3">
        <v>589.89</v>
      </c>
      <c r="L19285">
        <v>3122</v>
      </c>
      <c r="M19285" t="s">
        <v>32564</v>
      </c>
      <c r="N19285" t="s">
        <v>30</v>
      </c>
      <c r="O19285" t="s">
        <v>31</v>
      </c>
      <c r="P19285" t="str">
        <f>"15204"</f>
        <v>15204</v>
      </c>
    </row>
    <row r="19286" spans="1:16" x14ac:dyDescent="0.25">
      <c r="A19286" t="str">
        <f>"1270114F00319    00"</f>
        <v>1270114F00319    00</v>
      </c>
      <c r="B19286" t="s">
        <v>41804</v>
      </c>
      <c r="C19286" t="s">
        <v>41805</v>
      </c>
      <c r="D19286" t="s">
        <v>20</v>
      </c>
      <c r="E19286" t="s">
        <v>39</v>
      </c>
      <c r="F19286">
        <v>0</v>
      </c>
      <c r="G19286">
        <v>0</v>
      </c>
      <c r="H19286">
        <v>1</v>
      </c>
      <c r="I19286" s="3">
        <v>109.32</v>
      </c>
      <c r="J19286" s="3">
        <v>0</v>
      </c>
      <c r="K19286" t="s">
        <v>41806</v>
      </c>
      <c r="L19286">
        <v>571</v>
      </c>
      <c r="M19286" t="s">
        <v>41807</v>
      </c>
      <c r="N19286" t="s">
        <v>30</v>
      </c>
      <c r="O19286" t="s">
        <v>31</v>
      </c>
      <c r="P19286" t="str">
        <f>"15220"</f>
        <v>15220</v>
      </c>
    </row>
    <row r="19287" spans="1:16" x14ac:dyDescent="0.25">
      <c r="A19287" t="str">
        <f>"1270114F00326    00"</f>
        <v>1270114F00326    00</v>
      </c>
      <c r="B19287" t="s">
        <v>41808</v>
      </c>
      <c r="C19287" t="s">
        <v>41809</v>
      </c>
      <c r="D19287" t="s">
        <v>20</v>
      </c>
      <c r="E19287" t="s">
        <v>39</v>
      </c>
      <c r="F19287">
        <v>0</v>
      </c>
      <c r="G19287">
        <v>0</v>
      </c>
      <c r="H19287">
        <v>4</v>
      </c>
      <c r="I19287" s="3">
        <v>3216.19</v>
      </c>
      <c r="J19287" s="3">
        <v>262.83999999999997</v>
      </c>
      <c r="L19287">
        <v>1802</v>
      </c>
      <c r="M19287" t="s">
        <v>32125</v>
      </c>
      <c r="N19287" t="s">
        <v>30</v>
      </c>
      <c r="O19287" t="s">
        <v>31</v>
      </c>
      <c r="P19287" t="str">
        <f>"15212"</f>
        <v>15212</v>
      </c>
    </row>
    <row r="19288" spans="1:16" x14ac:dyDescent="0.25">
      <c r="A19288" t="str">
        <f>"1270114G00022    00"</f>
        <v>1270114G00022    00</v>
      </c>
      <c r="B19288" t="s">
        <v>41810</v>
      </c>
      <c r="C19288" t="s">
        <v>41811</v>
      </c>
      <c r="D19288" t="s">
        <v>20</v>
      </c>
      <c r="E19288" t="s">
        <v>21</v>
      </c>
      <c r="F19288">
        <v>0</v>
      </c>
      <c r="G19288">
        <v>0</v>
      </c>
      <c r="H19288">
        <v>3</v>
      </c>
      <c r="I19288" s="3">
        <v>62.91</v>
      </c>
      <c r="J19288" s="3">
        <v>4.2</v>
      </c>
      <c r="K19288" t="s">
        <v>41812</v>
      </c>
      <c r="L19288">
        <v>3960</v>
      </c>
      <c r="M19288" t="s">
        <v>39810</v>
      </c>
      <c r="N19288" t="s">
        <v>30</v>
      </c>
      <c r="O19288" t="s">
        <v>31</v>
      </c>
      <c r="P19288" t="str">
        <f>"15212"</f>
        <v>15212</v>
      </c>
    </row>
    <row r="19289" spans="1:16" x14ac:dyDescent="0.25">
      <c r="A19289" t="str">
        <f>"1270114G00023    00"</f>
        <v>1270114G00023    00</v>
      </c>
      <c r="B19289" t="s">
        <v>41810</v>
      </c>
      <c r="C19289" t="s">
        <v>41811</v>
      </c>
      <c r="D19289" t="s">
        <v>20</v>
      </c>
      <c r="E19289" t="s">
        <v>21</v>
      </c>
      <c r="F19289">
        <v>0</v>
      </c>
      <c r="G19289">
        <v>0</v>
      </c>
      <c r="H19289">
        <v>3</v>
      </c>
      <c r="I19289" s="3">
        <v>2487.36</v>
      </c>
      <c r="J19289" s="3">
        <v>165.82</v>
      </c>
      <c r="K19289" t="s">
        <v>41812</v>
      </c>
      <c r="L19289">
        <v>3960</v>
      </c>
      <c r="M19289" t="s">
        <v>39810</v>
      </c>
      <c r="N19289" t="s">
        <v>30</v>
      </c>
      <c r="O19289" t="s">
        <v>31</v>
      </c>
      <c r="P19289" t="str">
        <f>"15212"</f>
        <v>15212</v>
      </c>
    </row>
    <row r="19290" spans="1:16" x14ac:dyDescent="0.25">
      <c r="A19290" t="str">
        <f>"1270114G00066    00"</f>
        <v>1270114G00066    00</v>
      </c>
      <c r="B19290" t="s">
        <v>41813</v>
      </c>
      <c r="C19290" t="s">
        <v>41814</v>
      </c>
      <c r="D19290" t="s">
        <v>20</v>
      </c>
      <c r="E19290" t="s">
        <v>39</v>
      </c>
      <c r="F19290">
        <v>0</v>
      </c>
      <c r="G19290">
        <v>0</v>
      </c>
      <c r="H19290">
        <v>2</v>
      </c>
      <c r="I19290" s="3">
        <v>1906</v>
      </c>
      <c r="J19290" s="3">
        <v>0</v>
      </c>
      <c r="K19290" t="s">
        <v>41815</v>
      </c>
      <c r="L19290">
        <v>202</v>
      </c>
      <c r="M19290" t="s">
        <v>2136</v>
      </c>
      <c r="N19290" t="s">
        <v>30</v>
      </c>
      <c r="O19290" t="s">
        <v>31</v>
      </c>
      <c r="P19290" t="str">
        <f>"15228"</f>
        <v>15228</v>
      </c>
    </row>
    <row r="19291" spans="1:16" x14ac:dyDescent="0.25">
      <c r="A19291" t="str">
        <f>"1270114G00098    00"</f>
        <v>1270114G00098    00</v>
      </c>
      <c r="B19291" t="s">
        <v>41816</v>
      </c>
      <c r="C19291" t="s">
        <v>41817</v>
      </c>
      <c r="D19291" t="s">
        <v>20</v>
      </c>
      <c r="E19291" t="s">
        <v>39</v>
      </c>
      <c r="F19291">
        <v>0</v>
      </c>
      <c r="G19291">
        <v>0</v>
      </c>
      <c r="H19291">
        <v>13</v>
      </c>
      <c r="I19291" s="3">
        <v>25965.05</v>
      </c>
      <c r="J19291" s="3">
        <v>14844.73</v>
      </c>
      <c r="L19291">
        <v>3930</v>
      </c>
      <c r="M19291" t="s">
        <v>13961</v>
      </c>
      <c r="N19291" t="s">
        <v>30</v>
      </c>
      <c r="O19291" t="s">
        <v>31</v>
      </c>
      <c r="P19291" t="str">
        <f>"15212"</f>
        <v>15212</v>
      </c>
    </row>
    <row r="19292" spans="1:16" x14ac:dyDescent="0.25">
      <c r="A19292" t="str">
        <f>"1270114G00112    00"</f>
        <v>1270114G00112    00</v>
      </c>
      <c r="B19292" t="s">
        <v>41818</v>
      </c>
      <c r="C19292" t="s">
        <v>41819</v>
      </c>
      <c r="D19292" t="s">
        <v>20</v>
      </c>
      <c r="E19292" t="s">
        <v>21</v>
      </c>
      <c r="F19292">
        <v>0</v>
      </c>
      <c r="G19292">
        <v>0</v>
      </c>
      <c r="H19292">
        <v>1</v>
      </c>
      <c r="I19292" s="3">
        <v>1612.49</v>
      </c>
      <c r="J19292" s="3">
        <v>0</v>
      </c>
      <c r="L19292">
        <v>101</v>
      </c>
      <c r="M19292" t="s">
        <v>34644</v>
      </c>
      <c r="N19292" t="s">
        <v>30</v>
      </c>
      <c r="O19292" t="s">
        <v>31</v>
      </c>
      <c r="P19292" t="str">
        <f>"15237"</f>
        <v>15237</v>
      </c>
    </row>
    <row r="19293" spans="1:16" x14ac:dyDescent="0.25">
      <c r="A19293" t="str">
        <f>"1270114G00122    00"</f>
        <v>1270114G00122    00</v>
      </c>
      <c r="B19293" t="s">
        <v>41820</v>
      </c>
      <c r="C19293" t="s">
        <v>41821</v>
      </c>
      <c r="D19293" t="s">
        <v>20</v>
      </c>
      <c r="E19293" t="s">
        <v>39</v>
      </c>
      <c r="F19293">
        <v>0</v>
      </c>
      <c r="G19293">
        <v>0</v>
      </c>
      <c r="H19293">
        <v>2</v>
      </c>
      <c r="I19293" s="3">
        <v>1998.48</v>
      </c>
      <c r="J19293" s="3">
        <v>0</v>
      </c>
      <c r="L19293">
        <v>3912</v>
      </c>
      <c r="M19293" t="s">
        <v>35496</v>
      </c>
      <c r="N19293" t="s">
        <v>30</v>
      </c>
      <c r="O19293" t="s">
        <v>31</v>
      </c>
      <c r="P19293" t="str">
        <f t="shared" ref="P19293:P19305" si="237">"15212"</f>
        <v>15212</v>
      </c>
    </row>
    <row r="19294" spans="1:16" x14ac:dyDescent="0.25">
      <c r="A19294" t="str">
        <f>"1270114G00152    00"</f>
        <v>1270114G00152    00</v>
      </c>
      <c r="B19294" t="s">
        <v>41822</v>
      </c>
      <c r="C19294" t="s">
        <v>41823</v>
      </c>
      <c r="D19294" t="s">
        <v>57</v>
      </c>
      <c r="E19294" t="s">
        <v>39</v>
      </c>
      <c r="F19294">
        <v>0</v>
      </c>
      <c r="G19294">
        <v>0</v>
      </c>
      <c r="H19294">
        <v>1</v>
      </c>
      <c r="I19294" s="3">
        <v>1302.8</v>
      </c>
      <c r="J19294" s="3">
        <v>0</v>
      </c>
      <c r="L19294">
        <v>3951</v>
      </c>
      <c r="M19294" t="s">
        <v>39810</v>
      </c>
      <c r="N19294" t="s">
        <v>30</v>
      </c>
      <c r="O19294" t="s">
        <v>31</v>
      </c>
      <c r="P19294" t="str">
        <f t="shared" si="237"/>
        <v>15212</v>
      </c>
    </row>
    <row r="19295" spans="1:16" x14ac:dyDescent="0.25">
      <c r="A19295" t="str">
        <f>"1270114G00154    00"</f>
        <v>1270114G00154    00</v>
      </c>
      <c r="B19295" t="s">
        <v>41824</v>
      </c>
      <c r="C19295" t="s">
        <v>41825</v>
      </c>
      <c r="D19295" t="s">
        <v>20</v>
      </c>
      <c r="E19295" t="s">
        <v>39</v>
      </c>
      <c r="F19295">
        <v>0</v>
      </c>
      <c r="G19295">
        <v>0</v>
      </c>
      <c r="H19295">
        <v>6</v>
      </c>
      <c r="I19295" s="3">
        <v>9236.7999999999993</v>
      </c>
      <c r="J19295" s="3">
        <v>1834.5</v>
      </c>
      <c r="L19295">
        <v>3955</v>
      </c>
      <c r="M19295" t="s">
        <v>39810</v>
      </c>
      <c r="N19295" t="s">
        <v>30</v>
      </c>
      <c r="O19295" t="s">
        <v>31</v>
      </c>
      <c r="P19295" t="str">
        <f t="shared" si="237"/>
        <v>15212</v>
      </c>
    </row>
    <row r="19296" spans="1:16" x14ac:dyDescent="0.25">
      <c r="A19296" t="str">
        <f>"1270114G00168    00"</f>
        <v>1270114G00168    00</v>
      </c>
      <c r="B19296" t="s">
        <v>41826</v>
      </c>
      <c r="C19296" t="s">
        <v>41827</v>
      </c>
      <c r="D19296" t="s">
        <v>20</v>
      </c>
      <c r="E19296" t="s">
        <v>39</v>
      </c>
      <c r="F19296">
        <v>0</v>
      </c>
      <c r="G19296">
        <v>0</v>
      </c>
      <c r="H19296">
        <v>2</v>
      </c>
      <c r="I19296" s="3">
        <v>52.61</v>
      </c>
      <c r="J19296" s="3">
        <v>0</v>
      </c>
      <c r="L19296">
        <v>4003</v>
      </c>
      <c r="M19296" t="s">
        <v>39810</v>
      </c>
      <c r="N19296" t="s">
        <v>30</v>
      </c>
      <c r="O19296" t="s">
        <v>31</v>
      </c>
      <c r="P19296" t="str">
        <f t="shared" si="237"/>
        <v>15212</v>
      </c>
    </row>
    <row r="19297" spans="1:16" x14ac:dyDescent="0.25">
      <c r="A19297" t="str">
        <f>"1270114G00189    00"</f>
        <v>1270114G00189    00</v>
      </c>
      <c r="B19297" t="s">
        <v>41828</v>
      </c>
      <c r="C19297" t="s">
        <v>41829</v>
      </c>
      <c r="E19297" t="s">
        <v>39</v>
      </c>
      <c r="F19297">
        <v>0</v>
      </c>
      <c r="G19297">
        <v>0</v>
      </c>
      <c r="H19297">
        <v>1</v>
      </c>
      <c r="I19297" s="3">
        <v>589.85</v>
      </c>
      <c r="J19297" s="3">
        <v>132.71</v>
      </c>
      <c r="L19297">
        <v>4015</v>
      </c>
      <c r="M19297" t="s">
        <v>41830</v>
      </c>
      <c r="N19297" t="s">
        <v>30</v>
      </c>
      <c r="O19297" t="s">
        <v>31</v>
      </c>
      <c r="P19297" t="str">
        <f t="shared" si="237"/>
        <v>15212</v>
      </c>
    </row>
    <row r="19298" spans="1:16" x14ac:dyDescent="0.25">
      <c r="A19298" t="str">
        <f>"1270114G00198    00"</f>
        <v>1270114G00198    00</v>
      </c>
      <c r="B19298" t="s">
        <v>41831</v>
      </c>
      <c r="C19298" t="s">
        <v>41832</v>
      </c>
      <c r="D19298" t="s">
        <v>20</v>
      </c>
      <c r="E19298" t="s">
        <v>39</v>
      </c>
      <c r="F19298">
        <v>0</v>
      </c>
      <c r="G19298">
        <v>0</v>
      </c>
      <c r="H19298">
        <v>9</v>
      </c>
      <c r="I19298" s="3">
        <v>15792.06</v>
      </c>
      <c r="J19298" s="3">
        <v>5756.78</v>
      </c>
      <c r="L19298">
        <v>3915</v>
      </c>
      <c r="M19298" t="s">
        <v>41830</v>
      </c>
      <c r="N19298" t="s">
        <v>30</v>
      </c>
      <c r="O19298" t="s">
        <v>31</v>
      </c>
      <c r="P19298" t="str">
        <f t="shared" si="237"/>
        <v>15212</v>
      </c>
    </row>
    <row r="19299" spans="1:16" x14ac:dyDescent="0.25">
      <c r="A19299" t="str">
        <f>"1270114G00199    00"</f>
        <v>1270114G00199    00</v>
      </c>
      <c r="B19299" t="s">
        <v>41831</v>
      </c>
      <c r="C19299" t="s">
        <v>41833</v>
      </c>
      <c r="D19299" t="s">
        <v>20</v>
      </c>
      <c r="E19299" t="s">
        <v>39</v>
      </c>
      <c r="F19299">
        <v>0</v>
      </c>
      <c r="G19299">
        <v>0</v>
      </c>
      <c r="H19299">
        <v>9</v>
      </c>
      <c r="I19299" s="3">
        <v>1017.57</v>
      </c>
      <c r="J19299" s="3">
        <v>428.66</v>
      </c>
      <c r="L19299">
        <v>3915</v>
      </c>
      <c r="M19299" t="s">
        <v>41830</v>
      </c>
      <c r="N19299" t="s">
        <v>30</v>
      </c>
      <c r="O19299" t="s">
        <v>31</v>
      </c>
      <c r="P19299" t="str">
        <f t="shared" si="237"/>
        <v>15212</v>
      </c>
    </row>
    <row r="19300" spans="1:16" x14ac:dyDescent="0.25">
      <c r="A19300" t="str">
        <f>"1270114G00219    00"</f>
        <v>1270114G00219    00</v>
      </c>
      <c r="B19300" t="s">
        <v>41810</v>
      </c>
      <c r="C19300" t="s">
        <v>41834</v>
      </c>
      <c r="D19300" t="s">
        <v>20</v>
      </c>
      <c r="E19300" t="s">
        <v>39</v>
      </c>
      <c r="F19300">
        <v>0</v>
      </c>
      <c r="G19300">
        <v>0</v>
      </c>
      <c r="H19300">
        <v>3</v>
      </c>
      <c r="I19300" s="3">
        <v>3996.9</v>
      </c>
      <c r="J19300" s="3">
        <v>266.45</v>
      </c>
      <c r="K19300" t="s">
        <v>41812</v>
      </c>
      <c r="L19300">
        <v>3960</v>
      </c>
      <c r="M19300" t="s">
        <v>39810</v>
      </c>
      <c r="N19300" t="s">
        <v>30</v>
      </c>
      <c r="O19300" t="s">
        <v>31</v>
      </c>
      <c r="P19300" t="str">
        <f t="shared" si="237"/>
        <v>15212</v>
      </c>
    </row>
    <row r="19301" spans="1:16" x14ac:dyDescent="0.25">
      <c r="A19301" t="str">
        <f>"1270114G00301    00"</f>
        <v>1270114G00301    00</v>
      </c>
      <c r="B19301" t="s">
        <v>41835</v>
      </c>
      <c r="C19301" t="s">
        <v>41836</v>
      </c>
      <c r="D19301" t="s">
        <v>20</v>
      </c>
      <c r="E19301" t="s">
        <v>39</v>
      </c>
      <c r="F19301">
        <v>0</v>
      </c>
      <c r="G19301">
        <v>0</v>
      </c>
      <c r="H19301">
        <v>6</v>
      </c>
      <c r="I19301" s="3">
        <v>7539.2</v>
      </c>
      <c r="J19301" s="3">
        <v>2116.54</v>
      </c>
      <c r="L19301">
        <v>3924</v>
      </c>
      <c r="M19301" t="s">
        <v>35496</v>
      </c>
      <c r="N19301" t="s">
        <v>30</v>
      </c>
      <c r="O19301" t="s">
        <v>31</v>
      </c>
      <c r="P19301" t="str">
        <f t="shared" si="237"/>
        <v>15212</v>
      </c>
    </row>
    <row r="19302" spans="1:16" x14ac:dyDescent="0.25">
      <c r="A19302" t="str">
        <f>"1270114H00005    00"</f>
        <v>1270114H00005    00</v>
      </c>
      <c r="B19302" t="s">
        <v>41837</v>
      </c>
      <c r="C19302" t="s">
        <v>41838</v>
      </c>
      <c r="D19302" t="s">
        <v>20</v>
      </c>
      <c r="E19302" t="s">
        <v>39</v>
      </c>
      <c r="F19302">
        <v>0</v>
      </c>
      <c r="G19302">
        <v>0</v>
      </c>
      <c r="H19302">
        <v>1</v>
      </c>
      <c r="I19302" s="3">
        <v>299.33</v>
      </c>
      <c r="J19302" s="3">
        <v>0</v>
      </c>
      <c r="K19302" t="s">
        <v>41839</v>
      </c>
      <c r="L19302">
        <v>3952</v>
      </c>
      <c r="M19302" t="s">
        <v>41840</v>
      </c>
      <c r="N19302" t="s">
        <v>30</v>
      </c>
      <c r="O19302" t="s">
        <v>31</v>
      </c>
      <c r="P19302" t="str">
        <f t="shared" si="237"/>
        <v>15212</v>
      </c>
    </row>
    <row r="19303" spans="1:16" x14ac:dyDescent="0.25">
      <c r="A19303" t="str">
        <f>"1270114H00006    00"</f>
        <v>1270114H00006    00</v>
      </c>
      <c r="B19303" t="s">
        <v>41837</v>
      </c>
      <c r="C19303" t="s">
        <v>41838</v>
      </c>
      <c r="D19303" t="s">
        <v>20</v>
      </c>
      <c r="E19303" t="s">
        <v>39</v>
      </c>
      <c r="F19303">
        <v>0</v>
      </c>
      <c r="G19303">
        <v>0</v>
      </c>
      <c r="H19303">
        <v>1</v>
      </c>
      <c r="I19303" s="3">
        <v>1079.0999999999999</v>
      </c>
      <c r="J19303" s="3">
        <v>0</v>
      </c>
      <c r="K19303" t="s">
        <v>41839</v>
      </c>
      <c r="L19303">
        <v>3952</v>
      </c>
      <c r="M19303" t="s">
        <v>41840</v>
      </c>
      <c r="N19303" t="s">
        <v>30</v>
      </c>
      <c r="O19303" t="s">
        <v>31</v>
      </c>
      <c r="P19303" t="str">
        <f t="shared" si="237"/>
        <v>15212</v>
      </c>
    </row>
    <row r="19304" spans="1:16" x14ac:dyDescent="0.25">
      <c r="A19304" t="str">
        <f>"1270114H00292    00"</f>
        <v>1270114H00292    00</v>
      </c>
      <c r="B19304" t="s">
        <v>41841</v>
      </c>
      <c r="C19304" t="s">
        <v>41842</v>
      </c>
      <c r="D19304" t="s">
        <v>20</v>
      </c>
      <c r="E19304" t="s">
        <v>39</v>
      </c>
      <c r="F19304">
        <v>0</v>
      </c>
      <c r="G19304">
        <v>0</v>
      </c>
      <c r="H19304">
        <v>10</v>
      </c>
      <c r="I19304" s="3">
        <v>7508.63</v>
      </c>
      <c r="J19304" s="3">
        <v>3291.99</v>
      </c>
      <c r="L19304">
        <v>1117</v>
      </c>
      <c r="M19304" t="s">
        <v>37875</v>
      </c>
      <c r="N19304" t="s">
        <v>30</v>
      </c>
      <c r="O19304" t="s">
        <v>31</v>
      </c>
      <c r="P19304" t="str">
        <f t="shared" si="237"/>
        <v>15212</v>
      </c>
    </row>
    <row r="19305" spans="1:16" x14ac:dyDescent="0.25">
      <c r="A19305" t="str">
        <f>"1270114H00303    00"</f>
        <v>1270114H00303    00</v>
      </c>
      <c r="B19305" t="s">
        <v>41843</v>
      </c>
      <c r="C19305" t="s">
        <v>41844</v>
      </c>
      <c r="D19305" t="s">
        <v>20</v>
      </c>
      <c r="E19305" t="s">
        <v>39</v>
      </c>
      <c r="F19305">
        <v>0</v>
      </c>
      <c r="G19305">
        <v>0</v>
      </c>
      <c r="H19305">
        <v>3</v>
      </c>
      <c r="I19305" s="3">
        <v>2933.37</v>
      </c>
      <c r="J19305" s="3">
        <v>195.55</v>
      </c>
      <c r="L19305">
        <v>3827</v>
      </c>
      <c r="M19305" t="s">
        <v>41845</v>
      </c>
      <c r="N19305" t="s">
        <v>30</v>
      </c>
      <c r="O19305" t="s">
        <v>31</v>
      </c>
      <c r="P19305" t="str">
        <f t="shared" si="237"/>
        <v>15212</v>
      </c>
    </row>
    <row r="19306" spans="1:16" x14ac:dyDescent="0.25">
      <c r="A19306" t="str">
        <f>"1270114H00304    00"</f>
        <v>1270114H00304    00</v>
      </c>
      <c r="B19306" t="s">
        <v>41846</v>
      </c>
      <c r="C19306" t="s">
        <v>41847</v>
      </c>
      <c r="E19306" t="s">
        <v>39</v>
      </c>
      <c r="F19306">
        <v>0</v>
      </c>
      <c r="G19306">
        <v>0</v>
      </c>
      <c r="H19306">
        <v>1</v>
      </c>
      <c r="I19306" s="3">
        <v>920.15</v>
      </c>
      <c r="J19306" s="3">
        <v>935.45</v>
      </c>
      <c r="L19306">
        <v>222</v>
      </c>
      <c r="M19306" t="s">
        <v>41848</v>
      </c>
      <c r="N19306" t="s">
        <v>625</v>
      </c>
      <c r="O19306" t="s">
        <v>31</v>
      </c>
      <c r="P19306" t="str">
        <f>"15108"</f>
        <v>15108</v>
      </c>
    </row>
    <row r="19307" spans="1:16" x14ac:dyDescent="0.25">
      <c r="A19307" t="str">
        <f>"1270114H00307    00"</f>
        <v>1270114H00307    00</v>
      </c>
      <c r="B19307" t="s">
        <v>41849</v>
      </c>
      <c r="C19307" t="s">
        <v>41850</v>
      </c>
      <c r="E19307" t="s">
        <v>39</v>
      </c>
      <c r="F19307">
        <v>0</v>
      </c>
      <c r="G19307">
        <v>0</v>
      </c>
      <c r="H19307">
        <v>1</v>
      </c>
      <c r="I19307" s="3">
        <v>957.34</v>
      </c>
      <c r="J19307" s="3">
        <v>0</v>
      </c>
      <c r="L19307">
        <v>1009</v>
      </c>
      <c r="M19307" t="s">
        <v>37875</v>
      </c>
      <c r="N19307" t="s">
        <v>30</v>
      </c>
      <c r="O19307" t="s">
        <v>31</v>
      </c>
      <c r="P19307" t="str">
        <f>"15212"</f>
        <v>15212</v>
      </c>
    </row>
    <row r="19308" spans="1:16" x14ac:dyDescent="0.25">
      <c r="A19308" t="str">
        <f>"1270114H00323    00"</f>
        <v>1270114H00323    00</v>
      </c>
      <c r="B19308" t="s">
        <v>41851</v>
      </c>
      <c r="C19308" t="s">
        <v>41852</v>
      </c>
      <c r="E19308" t="s">
        <v>39</v>
      </c>
      <c r="F19308">
        <v>0</v>
      </c>
      <c r="G19308">
        <v>0</v>
      </c>
      <c r="H19308">
        <v>1</v>
      </c>
      <c r="I19308" s="3">
        <v>482.12</v>
      </c>
      <c r="J19308" s="3">
        <v>0</v>
      </c>
      <c r="K19308" t="s">
        <v>41853</v>
      </c>
      <c r="M19308" t="s">
        <v>438</v>
      </c>
      <c r="N19308" t="s">
        <v>1766</v>
      </c>
      <c r="O19308" t="s">
        <v>31</v>
      </c>
      <c r="P19308" t="str">
        <f>"15367"</f>
        <v>15367</v>
      </c>
    </row>
    <row r="19309" spans="1:16" x14ac:dyDescent="0.25">
      <c r="A19309" t="str">
        <f>"1270114H00326    00"</f>
        <v>1270114H00326    00</v>
      </c>
      <c r="B19309" t="s">
        <v>41851</v>
      </c>
      <c r="C19309" t="s">
        <v>41854</v>
      </c>
      <c r="D19309" t="s">
        <v>20</v>
      </c>
      <c r="E19309" t="s">
        <v>39</v>
      </c>
      <c r="F19309">
        <v>0</v>
      </c>
      <c r="G19309">
        <v>0</v>
      </c>
      <c r="H19309">
        <v>2</v>
      </c>
      <c r="I19309" s="3">
        <v>71.95</v>
      </c>
      <c r="J19309" s="3">
        <v>0</v>
      </c>
      <c r="M19309" t="s">
        <v>41855</v>
      </c>
      <c r="N19309" t="s">
        <v>1766</v>
      </c>
      <c r="O19309" t="s">
        <v>31</v>
      </c>
      <c r="P19309" t="str">
        <f>"15367"</f>
        <v>15367</v>
      </c>
    </row>
    <row r="19310" spans="1:16" x14ac:dyDescent="0.25">
      <c r="A19310" t="str">
        <f>"1270114H00332    00"</f>
        <v>1270114H00332    00</v>
      </c>
      <c r="B19310" t="s">
        <v>41856</v>
      </c>
      <c r="C19310" t="s">
        <v>41857</v>
      </c>
      <c r="D19310" t="s">
        <v>20</v>
      </c>
      <c r="E19310" t="s">
        <v>39</v>
      </c>
      <c r="F19310">
        <v>0</v>
      </c>
      <c r="G19310">
        <v>0</v>
      </c>
      <c r="H19310">
        <v>19</v>
      </c>
      <c r="I19310" s="3">
        <v>11000.49</v>
      </c>
      <c r="J19310" s="3">
        <v>10817.13</v>
      </c>
      <c r="L19310">
        <v>107</v>
      </c>
      <c r="M19310" t="s">
        <v>41858</v>
      </c>
      <c r="N19310" t="s">
        <v>38102</v>
      </c>
      <c r="O19310" t="s">
        <v>370</v>
      </c>
      <c r="P19310" t="str">
        <f>"32701"</f>
        <v>32701</v>
      </c>
    </row>
    <row r="19311" spans="1:16" x14ac:dyDescent="0.25">
      <c r="A19311" t="str">
        <f>"1270114J00059    00"</f>
        <v>1270114J00059    00</v>
      </c>
      <c r="B19311" t="s">
        <v>8467</v>
      </c>
      <c r="C19311" t="s">
        <v>41859</v>
      </c>
      <c r="D19311" t="s">
        <v>20</v>
      </c>
      <c r="E19311" t="s">
        <v>39</v>
      </c>
      <c r="F19311">
        <v>0</v>
      </c>
      <c r="G19311">
        <v>0</v>
      </c>
      <c r="H19311">
        <v>1</v>
      </c>
      <c r="I19311" s="3">
        <v>1118.83</v>
      </c>
      <c r="J19311" s="3">
        <v>0</v>
      </c>
      <c r="K19311" t="s">
        <v>8469</v>
      </c>
      <c r="L19311">
        <v>202</v>
      </c>
      <c r="M19311" t="s">
        <v>2136</v>
      </c>
      <c r="N19311" t="s">
        <v>30</v>
      </c>
      <c r="O19311" t="s">
        <v>31</v>
      </c>
      <c r="P19311" t="str">
        <f>"15228"</f>
        <v>15228</v>
      </c>
    </row>
    <row r="19312" spans="1:16" x14ac:dyDescent="0.25">
      <c r="A19312" t="str">
        <f>"1270114K00009    00"</f>
        <v>1270114K00009    00</v>
      </c>
      <c r="B19312" t="s">
        <v>340</v>
      </c>
      <c r="C19312" t="s">
        <v>41860</v>
      </c>
      <c r="D19312" t="s">
        <v>20</v>
      </c>
      <c r="E19312" t="s">
        <v>39</v>
      </c>
      <c r="F19312">
        <v>0</v>
      </c>
      <c r="G19312">
        <v>0</v>
      </c>
      <c r="H19312">
        <v>1</v>
      </c>
      <c r="I19312" s="3">
        <v>718.49</v>
      </c>
      <c r="J19312" s="3">
        <v>0</v>
      </c>
      <c r="L19312">
        <v>320</v>
      </c>
      <c r="M19312" t="s">
        <v>41861</v>
      </c>
      <c r="N19312" t="s">
        <v>30</v>
      </c>
      <c r="O19312" t="s">
        <v>31</v>
      </c>
      <c r="P19312" t="str">
        <f>"15222"</f>
        <v>15222</v>
      </c>
    </row>
    <row r="19313" spans="1:16" x14ac:dyDescent="0.25">
      <c r="A19313" t="str">
        <f>"1270114K00113    00"</f>
        <v>1270114K00113    00</v>
      </c>
      <c r="B19313" t="s">
        <v>41862</v>
      </c>
      <c r="C19313" t="s">
        <v>41863</v>
      </c>
      <c r="D19313" t="s">
        <v>20</v>
      </c>
      <c r="E19313" t="s">
        <v>39</v>
      </c>
      <c r="F19313">
        <v>0</v>
      </c>
      <c r="G19313">
        <v>0</v>
      </c>
      <c r="H19313">
        <v>1</v>
      </c>
      <c r="I19313" s="3">
        <v>772.39</v>
      </c>
      <c r="J19313" s="3">
        <v>0</v>
      </c>
      <c r="L19313">
        <v>4011</v>
      </c>
      <c r="M19313" t="s">
        <v>40026</v>
      </c>
      <c r="N19313" t="s">
        <v>30</v>
      </c>
      <c r="O19313" t="s">
        <v>31</v>
      </c>
      <c r="P19313" t="str">
        <f>"15212"</f>
        <v>15212</v>
      </c>
    </row>
    <row r="19314" spans="1:16" x14ac:dyDescent="0.25">
      <c r="A19314" t="str">
        <f>"1270114K00114    00"</f>
        <v>1270114K00114    00</v>
      </c>
      <c r="B19314" t="s">
        <v>41864</v>
      </c>
      <c r="C19314" t="s">
        <v>41865</v>
      </c>
      <c r="E19314" t="s">
        <v>39</v>
      </c>
      <c r="F19314">
        <v>0</v>
      </c>
      <c r="G19314">
        <v>0</v>
      </c>
      <c r="H19314">
        <v>5</v>
      </c>
      <c r="I19314" s="3">
        <v>7444.55</v>
      </c>
      <c r="J19314" s="3">
        <v>2010.78</v>
      </c>
      <c r="L19314">
        <v>2459</v>
      </c>
      <c r="M19314" t="s">
        <v>41866</v>
      </c>
      <c r="N19314" t="s">
        <v>41867</v>
      </c>
      <c r="O19314" t="s">
        <v>495</v>
      </c>
      <c r="P19314" t="str">
        <f>"93036"</f>
        <v>93036</v>
      </c>
    </row>
    <row r="19315" spans="1:16" x14ac:dyDescent="0.25">
      <c r="A19315" t="str">
        <f>"1270114K00118    00"</f>
        <v>1270114K00118    00</v>
      </c>
      <c r="B19315" t="s">
        <v>41868</v>
      </c>
      <c r="C19315" t="s">
        <v>41869</v>
      </c>
      <c r="D19315" t="s">
        <v>20</v>
      </c>
      <c r="E19315" t="s">
        <v>39</v>
      </c>
      <c r="F19315">
        <v>0</v>
      </c>
      <c r="G19315">
        <v>0</v>
      </c>
      <c r="H19315">
        <v>1</v>
      </c>
      <c r="I19315" s="3">
        <v>393.1</v>
      </c>
      <c r="J19315" s="3">
        <v>0</v>
      </c>
      <c r="K19315" t="s">
        <v>41870</v>
      </c>
      <c r="L19315">
        <v>4021</v>
      </c>
      <c r="M19315" t="s">
        <v>40026</v>
      </c>
      <c r="N19315" t="s">
        <v>30</v>
      </c>
      <c r="O19315" t="s">
        <v>31</v>
      </c>
      <c r="P19315" t="str">
        <f>"15212"</f>
        <v>15212</v>
      </c>
    </row>
    <row r="19316" spans="1:16" x14ac:dyDescent="0.25">
      <c r="A19316" t="str">
        <f>"1270114K00131    00"</f>
        <v>1270114K00131    00</v>
      </c>
      <c r="B19316" t="s">
        <v>41871</v>
      </c>
      <c r="C19316" t="s">
        <v>41872</v>
      </c>
      <c r="D19316" t="s">
        <v>20</v>
      </c>
      <c r="E19316" t="s">
        <v>39</v>
      </c>
      <c r="F19316">
        <v>0</v>
      </c>
      <c r="G19316">
        <v>0</v>
      </c>
      <c r="H19316">
        <v>8</v>
      </c>
      <c r="I19316" s="3">
        <v>4363.1899999999996</v>
      </c>
      <c r="J19316" s="3">
        <v>3651.21</v>
      </c>
      <c r="L19316">
        <v>144</v>
      </c>
      <c r="M19316" t="s">
        <v>38669</v>
      </c>
      <c r="N19316" t="s">
        <v>30</v>
      </c>
      <c r="O19316" t="s">
        <v>31</v>
      </c>
      <c r="P19316" t="str">
        <f>"15237"</f>
        <v>15237</v>
      </c>
    </row>
    <row r="19317" spans="1:16" x14ac:dyDescent="0.25">
      <c r="A19317" t="str">
        <f>"1270114K00134    00"</f>
        <v>1270114K00134    00</v>
      </c>
      <c r="B19317" t="s">
        <v>41873</v>
      </c>
      <c r="C19317" t="s">
        <v>41874</v>
      </c>
      <c r="D19317" t="s">
        <v>20</v>
      </c>
      <c r="E19317" t="s">
        <v>39</v>
      </c>
      <c r="F19317">
        <v>0</v>
      </c>
      <c r="G19317">
        <v>0</v>
      </c>
      <c r="H19317">
        <v>3</v>
      </c>
      <c r="I19317" s="3">
        <v>3381.83</v>
      </c>
      <c r="J19317" s="3">
        <v>150.21</v>
      </c>
      <c r="K19317" t="s">
        <v>40502</v>
      </c>
      <c r="L19317">
        <v>141</v>
      </c>
      <c r="M19317" t="s">
        <v>40503</v>
      </c>
      <c r="N19317" t="s">
        <v>30</v>
      </c>
      <c r="O19317" t="s">
        <v>31</v>
      </c>
      <c r="P19317" t="str">
        <f>"15210"</f>
        <v>15210</v>
      </c>
    </row>
    <row r="19318" spans="1:16" x14ac:dyDescent="0.25">
      <c r="A19318" t="str">
        <f>"1270114K00136    00"</f>
        <v>1270114K00136    00</v>
      </c>
      <c r="B19318" t="s">
        <v>41875</v>
      </c>
      <c r="C19318" t="s">
        <v>41876</v>
      </c>
      <c r="D19318" t="s">
        <v>20</v>
      </c>
      <c r="E19318" t="s">
        <v>39</v>
      </c>
      <c r="F19318">
        <v>0</v>
      </c>
      <c r="G19318">
        <v>0</v>
      </c>
      <c r="H19318">
        <v>8</v>
      </c>
      <c r="I19318" s="3">
        <v>13809.68</v>
      </c>
      <c r="J19318" s="3">
        <v>4518.76</v>
      </c>
      <c r="L19318">
        <v>1256</v>
      </c>
      <c r="M19318" t="s">
        <v>39919</v>
      </c>
      <c r="N19318" t="s">
        <v>30</v>
      </c>
      <c r="O19318" t="s">
        <v>31</v>
      </c>
      <c r="P19318" t="str">
        <f>"15212"</f>
        <v>15212</v>
      </c>
    </row>
    <row r="19319" spans="1:16" x14ac:dyDescent="0.25">
      <c r="A19319" t="str">
        <f>"1270114K00139    00"</f>
        <v>1270114K00139    00</v>
      </c>
      <c r="B19319" t="s">
        <v>41877</v>
      </c>
      <c r="C19319" t="s">
        <v>41878</v>
      </c>
      <c r="D19319" t="s">
        <v>20</v>
      </c>
      <c r="E19319" t="s">
        <v>39</v>
      </c>
      <c r="F19319">
        <v>0</v>
      </c>
      <c r="G19319">
        <v>0</v>
      </c>
      <c r="H19319">
        <v>1</v>
      </c>
      <c r="I19319" s="3">
        <v>850.1</v>
      </c>
      <c r="J19319" s="3">
        <v>0</v>
      </c>
      <c r="K19319" t="s">
        <v>19193</v>
      </c>
      <c r="L19319">
        <v>2437</v>
      </c>
      <c r="M19319" t="s">
        <v>20268</v>
      </c>
      <c r="N19319" t="s">
        <v>30</v>
      </c>
      <c r="O19319" t="s">
        <v>31</v>
      </c>
      <c r="P19319" t="str">
        <f>"15217"</f>
        <v>15217</v>
      </c>
    </row>
    <row r="19320" spans="1:16" x14ac:dyDescent="0.25">
      <c r="A19320" t="str">
        <f>"1270114K00140    00"</f>
        <v>1270114K00140    00</v>
      </c>
      <c r="B19320" t="s">
        <v>41877</v>
      </c>
      <c r="C19320" t="s">
        <v>41879</v>
      </c>
      <c r="D19320" t="s">
        <v>20</v>
      </c>
      <c r="E19320" t="s">
        <v>39</v>
      </c>
      <c r="F19320">
        <v>0</v>
      </c>
      <c r="G19320">
        <v>0</v>
      </c>
      <c r="H19320">
        <v>1</v>
      </c>
      <c r="I19320" s="3">
        <v>503.18</v>
      </c>
      <c r="J19320" s="3">
        <v>0</v>
      </c>
      <c r="K19320" t="s">
        <v>19193</v>
      </c>
      <c r="L19320">
        <v>2437</v>
      </c>
      <c r="M19320" t="s">
        <v>20268</v>
      </c>
      <c r="N19320" t="s">
        <v>30</v>
      </c>
      <c r="O19320" t="s">
        <v>31</v>
      </c>
      <c r="P19320" t="str">
        <f>"15217"</f>
        <v>15217</v>
      </c>
    </row>
    <row r="19321" spans="1:16" x14ac:dyDescent="0.25">
      <c r="A19321" t="str">
        <f>"1270114K00171    00"</f>
        <v>1270114K00171    00</v>
      </c>
      <c r="B19321" t="s">
        <v>13726</v>
      </c>
      <c r="C19321" t="s">
        <v>41880</v>
      </c>
      <c r="D19321" t="s">
        <v>20</v>
      </c>
      <c r="E19321" t="s">
        <v>39</v>
      </c>
      <c r="F19321">
        <v>0</v>
      </c>
      <c r="G19321">
        <v>0</v>
      </c>
      <c r="H19321">
        <v>3</v>
      </c>
      <c r="I19321" s="3">
        <v>2197.0500000000002</v>
      </c>
      <c r="J19321" s="3">
        <v>0</v>
      </c>
      <c r="L19321">
        <v>1316</v>
      </c>
      <c r="M19321" t="s">
        <v>9507</v>
      </c>
      <c r="N19321" t="s">
        <v>30</v>
      </c>
      <c r="O19321" t="s">
        <v>31</v>
      </c>
      <c r="P19321" t="str">
        <f>"15206"</f>
        <v>15206</v>
      </c>
    </row>
    <row r="19322" spans="1:16" x14ac:dyDescent="0.25">
      <c r="A19322" t="str">
        <f>"1270114K00175    00"</f>
        <v>1270114K00175    00</v>
      </c>
      <c r="B19322" t="s">
        <v>41881</v>
      </c>
      <c r="C19322" t="s">
        <v>33625</v>
      </c>
      <c r="D19322" t="s">
        <v>20</v>
      </c>
      <c r="E19322" t="s">
        <v>39</v>
      </c>
      <c r="F19322">
        <v>0</v>
      </c>
      <c r="G19322">
        <v>0</v>
      </c>
      <c r="H19322">
        <v>1</v>
      </c>
      <c r="I19322" s="3">
        <v>22.87</v>
      </c>
      <c r="J19322" s="3">
        <v>0</v>
      </c>
      <c r="L19322">
        <v>1338</v>
      </c>
      <c r="M19322" t="s">
        <v>13967</v>
      </c>
      <c r="N19322" t="s">
        <v>30</v>
      </c>
      <c r="O19322" t="s">
        <v>31</v>
      </c>
      <c r="P19322" t="str">
        <f>"15243"</f>
        <v>15243</v>
      </c>
    </row>
    <row r="19323" spans="1:16" x14ac:dyDescent="0.25">
      <c r="A19323" t="str">
        <f>"1270114K00181    00"</f>
        <v>1270114K00181    00</v>
      </c>
      <c r="B19323" t="s">
        <v>41882</v>
      </c>
      <c r="C19323" t="s">
        <v>41883</v>
      </c>
      <c r="D19323" t="s">
        <v>20</v>
      </c>
      <c r="E19323" t="s">
        <v>21</v>
      </c>
      <c r="F19323">
        <v>0</v>
      </c>
      <c r="G19323">
        <v>0</v>
      </c>
      <c r="H19323">
        <v>3</v>
      </c>
      <c r="I19323" s="3">
        <v>13606.95</v>
      </c>
      <c r="J19323" s="3">
        <v>1005.75</v>
      </c>
      <c r="L19323">
        <v>8</v>
      </c>
      <c r="M19323" t="s">
        <v>41884</v>
      </c>
      <c r="N19323" t="s">
        <v>903</v>
      </c>
      <c r="O19323" t="s">
        <v>31</v>
      </c>
      <c r="P19323" t="str">
        <f>"15136"</f>
        <v>15136</v>
      </c>
    </row>
    <row r="19324" spans="1:16" x14ac:dyDescent="0.25">
      <c r="A19324" t="str">
        <f>"1270114K00182    00"</f>
        <v>1270114K00182    00</v>
      </c>
      <c r="B19324" t="s">
        <v>41885</v>
      </c>
      <c r="C19324" t="s">
        <v>33625</v>
      </c>
      <c r="D19324" t="s">
        <v>20</v>
      </c>
      <c r="E19324" t="s">
        <v>39</v>
      </c>
      <c r="F19324">
        <v>0</v>
      </c>
      <c r="G19324">
        <v>0</v>
      </c>
      <c r="H19324">
        <v>2</v>
      </c>
      <c r="I19324" s="3">
        <v>842.48</v>
      </c>
      <c r="J19324" s="3">
        <v>0</v>
      </c>
      <c r="K19324" t="s">
        <v>41886</v>
      </c>
      <c r="L19324">
        <v>8</v>
      </c>
      <c r="M19324" t="s">
        <v>41887</v>
      </c>
      <c r="N19324" t="s">
        <v>903</v>
      </c>
      <c r="O19324" t="s">
        <v>31</v>
      </c>
      <c r="P19324" t="str">
        <f>"15136"</f>
        <v>15136</v>
      </c>
    </row>
    <row r="19325" spans="1:16" x14ac:dyDescent="0.25">
      <c r="A19325" t="str">
        <f>"1270114K00200    00"</f>
        <v>1270114K00200    00</v>
      </c>
      <c r="B19325" t="s">
        <v>41877</v>
      </c>
      <c r="C19325" t="s">
        <v>41888</v>
      </c>
      <c r="D19325" t="s">
        <v>20</v>
      </c>
      <c r="E19325" t="s">
        <v>21</v>
      </c>
      <c r="F19325">
        <v>0</v>
      </c>
      <c r="G19325">
        <v>0</v>
      </c>
      <c r="H19325">
        <v>1</v>
      </c>
      <c r="I19325" s="3">
        <v>287.82</v>
      </c>
      <c r="J19325" s="3">
        <v>0</v>
      </c>
      <c r="K19325" t="s">
        <v>19193</v>
      </c>
      <c r="L19325">
        <v>2437</v>
      </c>
      <c r="M19325" t="s">
        <v>20268</v>
      </c>
      <c r="N19325" t="s">
        <v>30</v>
      </c>
      <c r="O19325" t="s">
        <v>31</v>
      </c>
      <c r="P19325" t="str">
        <f>"15217"</f>
        <v>15217</v>
      </c>
    </row>
    <row r="19326" spans="1:16" x14ac:dyDescent="0.25">
      <c r="A19326" t="str">
        <f>"1270114K00202    00"</f>
        <v>1270114K00202    00</v>
      </c>
      <c r="B19326" t="s">
        <v>41877</v>
      </c>
      <c r="C19326" t="s">
        <v>41888</v>
      </c>
      <c r="D19326" t="s">
        <v>20</v>
      </c>
      <c r="E19326" t="s">
        <v>21</v>
      </c>
      <c r="F19326">
        <v>0</v>
      </c>
      <c r="G19326">
        <v>0</v>
      </c>
      <c r="H19326">
        <v>1</v>
      </c>
      <c r="I19326" s="3">
        <v>6766.32</v>
      </c>
      <c r="J19326" s="3">
        <v>0</v>
      </c>
      <c r="K19326" t="s">
        <v>19193</v>
      </c>
      <c r="L19326">
        <v>2437</v>
      </c>
      <c r="M19326" t="s">
        <v>20268</v>
      </c>
      <c r="N19326" t="s">
        <v>30</v>
      </c>
      <c r="O19326" t="s">
        <v>31</v>
      </c>
      <c r="P19326" t="str">
        <f>"15217"</f>
        <v>15217</v>
      </c>
    </row>
    <row r="19327" spans="1:16" x14ac:dyDescent="0.25">
      <c r="A19327" t="str">
        <f>"1270114K00216    00"</f>
        <v>1270114K00216    00</v>
      </c>
      <c r="B19327" t="s">
        <v>41889</v>
      </c>
      <c r="C19327" t="s">
        <v>41890</v>
      </c>
      <c r="D19327" t="s">
        <v>20</v>
      </c>
      <c r="E19327" t="s">
        <v>39</v>
      </c>
      <c r="F19327">
        <v>0</v>
      </c>
      <c r="G19327">
        <v>0</v>
      </c>
      <c r="H19327">
        <v>2</v>
      </c>
      <c r="I19327" s="3">
        <v>2224.06</v>
      </c>
      <c r="J19327" s="3">
        <v>0</v>
      </c>
      <c r="K19327" t="s">
        <v>41891</v>
      </c>
      <c r="M19327" t="s">
        <v>41892</v>
      </c>
      <c r="N19327" t="s">
        <v>30</v>
      </c>
      <c r="O19327" t="s">
        <v>31</v>
      </c>
      <c r="P19327" t="str">
        <f>"15202"</f>
        <v>15202</v>
      </c>
    </row>
    <row r="19328" spans="1:16" x14ac:dyDescent="0.25">
      <c r="A19328" t="str">
        <f>"1270114K00232    00"</f>
        <v>1270114K00232    00</v>
      </c>
      <c r="B19328" t="s">
        <v>41893</v>
      </c>
      <c r="C19328" t="s">
        <v>41894</v>
      </c>
      <c r="D19328" t="s">
        <v>20</v>
      </c>
      <c r="E19328" t="s">
        <v>39</v>
      </c>
      <c r="F19328">
        <v>0</v>
      </c>
      <c r="G19328">
        <v>0</v>
      </c>
      <c r="H19328">
        <v>1</v>
      </c>
      <c r="I19328" s="3">
        <v>1947.95</v>
      </c>
      <c r="J19328" s="3">
        <v>0</v>
      </c>
      <c r="K19328" t="s">
        <v>6184</v>
      </c>
      <c r="L19328">
        <v>901</v>
      </c>
      <c r="M19328" t="s">
        <v>1503</v>
      </c>
      <c r="N19328" t="s">
        <v>494</v>
      </c>
      <c r="O19328" t="s">
        <v>495</v>
      </c>
      <c r="P19328" t="str">
        <f>"91768"</f>
        <v>91768</v>
      </c>
    </row>
    <row r="19329" spans="1:16" x14ac:dyDescent="0.25">
      <c r="A19329" t="str">
        <f>"1270114K00276    00"</f>
        <v>1270114K00276    00</v>
      </c>
      <c r="B19329" t="s">
        <v>41895</v>
      </c>
      <c r="C19329" t="s">
        <v>41896</v>
      </c>
      <c r="D19329" t="s">
        <v>20</v>
      </c>
      <c r="E19329" t="s">
        <v>39</v>
      </c>
      <c r="F19329">
        <v>0</v>
      </c>
      <c r="G19329">
        <v>0</v>
      </c>
      <c r="H19329">
        <v>10</v>
      </c>
      <c r="I19329" s="3">
        <v>8243.51</v>
      </c>
      <c r="J19329" s="3">
        <v>3300.21</v>
      </c>
      <c r="L19329">
        <v>1861</v>
      </c>
      <c r="M19329" t="s">
        <v>41897</v>
      </c>
      <c r="N19329" t="s">
        <v>30</v>
      </c>
      <c r="O19329" t="s">
        <v>31</v>
      </c>
      <c r="P19329" t="str">
        <f>"15212"</f>
        <v>15212</v>
      </c>
    </row>
    <row r="19330" spans="1:16" x14ac:dyDescent="0.25">
      <c r="A19330" t="str">
        <f>"1270114K00282    00"</f>
        <v>1270114K00282    00</v>
      </c>
      <c r="B19330" t="s">
        <v>41898</v>
      </c>
      <c r="C19330" t="s">
        <v>41899</v>
      </c>
      <c r="D19330" t="s">
        <v>20</v>
      </c>
      <c r="E19330" t="s">
        <v>39</v>
      </c>
      <c r="F19330">
        <v>0</v>
      </c>
      <c r="G19330">
        <v>0</v>
      </c>
      <c r="H19330">
        <v>3</v>
      </c>
      <c r="I19330" s="3">
        <v>7816.53</v>
      </c>
      <c r="J19330" s="3">
        <v>173.7</v>
      </c>
      <c r="K19330" t="s">
        <v>5352</v>
      </c>
      <c r="L19330">
        <v>3001</v>
      </c>
      <c r="M19330" t="s">
        <v>330</v>
      </c>
      <c r="N19330" t="s">
        <v>331</v>
      </c>
      <c r="O19330" t="s">
        <v>108</v>
      </c>
      <c r="P19330" t="str">
        <f>"75063"</f>
        <v>75063</v>
      </c>
    </row>
    <row r="19331" spans="1:16" x14ac:dyDescent="0.25">
      <c r="A19331" t="str">
        <f>"1270114K00294    00"</f>
        <v>1270114K00294    00</v>
      </c>
      <c r="B19331" t="s">
        <v>41900</v>
      </c>
      <c r="C19331" t="s">
        <v>41901</v>
      </c>
      <c r="D19331" t="s">
        <v>20</v>
      </c>
      <c r="E19331" t="s">
        <v>39</v>
      </c>
      <c r="F19331">
        <v>0</v>
      </c>
      <c r="G19331">
        <v>0</v>
      </c>
      <c r="H19331">
        <v>2</v>
      </c>
      <c r="I19331" s="3">
        <v>3644.39</v>
      </c>
      <c r="J19331" s="3">
        <v>349.09</v>
      </c>
      <c r="L19331">
        <v>1852</v>
      </c>
      <c r="M19331" t="s">
        <v>41902</v>
      </c>
      <c r="N19331" t="s">
        <v>30</v>
      </c>
      <c r="O19331" t="s">
        <v>31</v>
      </c>
      <c r="P19331" t="str">
        <f>"15212"</f>
        <v>15212</v>
      </c>
    </row>
    <row r="19332" spans="1:16" x14ac:dyDescent="0.25">
      <c r="A19332" t="str">
        <f>"1270114K00300    00"</f>
        <v>1270114K00300    00</v>
      </c>
      <c r="B19332" t="s">
        <v>41903</v>
      </c>
      <c r="C19332" t="s">
        <v>41904</v>
      </c>
      <c r="D19332" t="s">
        <v>20</v>
      </c>
      <c r="E19332" t="s">
        <v>39</v>
      </c>
      <c r="F19332">
        <v>0</v>
      </c>
      <c r="G19332">
        <v>0</v>
      </c>
      <c r="H19332">
        <v>1</v>
      </c>
      <c r="I19332" s="3">
        <v>2140.92</v>
      </c>
      <c r="J19332" s="3">
        <v>0</v>
      </c>
      <c r="K19332" t="s">
        <v>41905</v>
      </c>
      <c r="L19332">
        <v>1506</v>
      </c>
      <c r="M19332" t="s">
        <v>14332</v>
      </c>
      <c r="N19332" t="s">
        <v>30</v>
      </c>
      <c r="O19332" t="s">
        <v>31</v>
      </c>
      <c r="P19332" t="str">
        <f>"15216"</f>
        <v>15216</v>
      </c>
    </row>
    <row r="19333" spans="1:16" x14ac:dyDescent="0.25">
      <c r="A19333" t="str">
        <f>"1270114L00003    00"</f>
        <v>1270114L00003    00</v>
      </c>
      <c r="B19333" t="s">
        <v>41906</v>
      </c>
      <c r="C19333" t="s">
        <v>41907</v>
      </c>
      <c r="D19333" t="s">
        <v>20</v>
      </c>
      <c r="E19333" t="s">
        <v>39</v>
      </c>
      <c r="F19333">
        <v>0</v>
      </c>
      <c r="G19333">
        <v>0</v>
      </c>
      <c r="H19333">
        <v>2</v>
      </c>
      <c r="I19333" s="3">
        <v>2776.13</v>
      </c>
      <c r="J19333" s="3">
        <v>0</v>
      </c>
      <c r="L19333">
        <v>3928</v>
      </c>
      <c r="M19333" t="s">
        <v>37050</v>
      </c>
      <c r="N19333" t="s">
        <v>30</v>
      </c>
      <c r="O19333" t="s">
        <v>31</v>
      </c>
      <c r="P19333" t="str">
        <f>"15212"</f>
        <v>15212</v>
      </c>
    </row>
    <row r="19334" spans="1:16" x14ac:dyDescent="0.25">
      <c r="A19334" t="str">
        <f>"1270114L00005    00"</f>
        <v>1270114L00005    00</v>
      </c>
      <c r="B19334" t="s">
        <v>41908</v>
      </c>
      <c r="C19334" t="s">
        <v>41909</v>
      </c>
      <c r="E19334" t="s">
        <v>39</v>
      </c>
      <c r="F19334">
        <v>0</v>
      </c>
      <c r="G19334">
        <v>0</v>
      </c>
      <c r="H19334">
        <v>1</v>
      </c>
      <c r="I19334" s="3">
        <v>708.32</v>
      </c>
      <c r="J19334" s="3">
        <v>0</v>
      </c>
      <c r="K19334" t="s">
        <v>881</v>
      </c>
      <c r="L19334">
        <v>3001</v>
      </c>
      <c r="M19334" t="s">
        <v>330</v>
      </c>
      <c r="N19334" t="s">
        <v>331</v>
      </c>
      <c r="O19334" t="s">
        <v>108</v>
      </c>
      <c r="P19334" t="str">
        <f>"75063"</f>
        <v>75063</v>
      </c>
    </row>
    <row r="19335" spans="1:16" x14ac:dyDescent="0.25">
      <c r="A19335" t="str">
        <f>"1270114L00024    00"</f>
        <v>1270114L00024    00</v>
      </c>
      <c r="B19335" t="s">
        <v>39833</v>
      </c>
      <c r="C19335" t="s">
        <v>41910</v>
      </c>
      <c r="D19335" t="s">
        <v>20</v>
      </c>
      <c r="E19335" t="s">
        <v>39</v>
      </c>
      <c r="F19335">
        <v>0</v>
      </c>
      <c r="G19335">
        <v>0</v>
      </c>
      <c r="H19335">
        <v>1</v>
      </c>
      <c r="I19335" s="3">
        <v>1772.58</v>
      </c>
      <c r="J19335" s="3">
        <v>0</v>
      </c>
      <c r="L19335">
        <v>131</v>
      </c>
      <c r="M19335" t="s">
        <v>39364</v>
      </c>
      <c r="N19335" t="s">
        <v>30</v>
      </c>
      <c r="O19335" t="s">
        <v>31</v>
      </c>
      <c r="P19335" t="str">
        <f>"15212"</f>
        <v>15212</v>
      </c>
    </row>
    <row r="19336" spans="1:16" x14ac:dyDescent="0.25">
      <c r="A19336" t="str">
        <f>"1270114L00040    00"</f>
        <v>1270114L00040    00</v>
      </c>
      <c r="B19336" t="s">
        <v>41911</v>
      </c>
      <c r="C19336" t="s">
        <v>41912</v>
      </c>
      <c r="D19336" t="s">
        <v>20</v>
      </c>
      <c r="E19336" t="s">
        <v>39</v>
      </c>
      <c r="F19336">
        <v>0</v>
      </c>
      <c r="G19336">
        <v>0</v>
      </c>
      <c r="H19336">
        <v>2</v>
      </c>
      <c r="I19336" s="3">
        <v>967.35</v>
      </c>
      <c r="J19336" s="3">
        <v>0</v>
      </c>
      <c r="L19336">
        <v>3945</v>
      </c>
      <c r="M19336" t="s">
        <v>37050</v>
      </c>
      <c r="N19336" t="s">
        <v>30</v>
      </c>
      <c r="O19336" t="s">
        <v>31</v>
      </c>
      <c r="P19336" t="str">
        <f>"15212"</f>
        <v>15212</v>
      </c>
    </row>
    <row r="19337" spans="1:16" x14ac:dyDescent="0.25">
      <c r="A19337" t="str">
        <f>"1270114L00042    00"</f>
        <v>1270114L00042    00</v>
      </c>
      <c r="B19337" t="s">
        <v>41913</v>
      </c>
      <c r="C19337" t="s">
        <v>41914</v>
      </c>
      <c r="D19337" t="s">
        <v>20</v>
      </c>
      <c r="E19337" t="s">
        <v>39</v>
      </c>
      <c r="F19337">
        <v>0</v>
      </c>
      <c r="G19337">
        <v>0</v>
      </c>
      <c r="H19337">
        <v>2</v>
      </c>
      <c r="I19337" s="3">
        <v>1650.11</v>
      </c>
      <c r="J19337" s="3">
        <v>0</v>
      </c>
      <c r="K19337" t="s">
        <v>41915</v>
      </c>
      <c r="L19337">
        <v>3949</v>
      </c>
      <c r="M19337" t="s">
        <v>37050</v>
      </c>
      <c r="N19337" t="s">
        <v>30</v>
      </c>
      <c r="O19337" t="s">
        <v>31</v>
      </c>
      <c r="P19337" t="str">
        <f>"15212"</f>
        <v>15212</v>
      </c>
    </row>
    <row r="19338" spans="1:16" x14ac:dyDescent="0.25">
      <c r="A19338" t="str">
        <f>"1270114L00077    00"</f>
        <v>1270114L00077    00</v>
      </c>
      <c r="B19338" t="s">
        <v>41916</v>
      </c>
      <c r="C19338" t="s">
        <v>41917</v>
      </c>
      <c r="D19338" t="s">
        <v>20</v>
      </c>
      <c r="E19338" t="s">
        <v>39</v>
      </c>
      <c r="F19338">
        <v>0</v>
      </c>
      <c r="G19338">
        <v>0</v>
      </c>
      <c r="H19338">
        <v>8</v>
      </c>
      <c r="I19338" s="3">
        <v>4587.8</v>
      </c>
      <c r="J19338" s="3">
        <v>1428.27</v>
      </c>
      <c r="L19338">
        <v>3924</v>
      </c>
      <c r="M19338" t="s">
        <v>41918</v>
      </c>
      <c r="N19338" t="s">
        <v>30</v>
      </c>
      <c r="O19338" t="s">
        <v>31</v>
      </c>
      <c r="P19338" t="str">
        <f>"15212"</f>
        <v>15212</v>
      </c>
    </row>
    <row r="19339" spans="1:16" x14ac:dyDescent="0.25">
      <c r="A19339" t="str">
        <f>"1270114L00107    00"</f>
        <v>1270114L00107    00</v>
      </c>
      <c r="B19339" t="s">
        <v>41919</v>
      </c>
      <c r="C19339" t="s">
        <v>41920</v>
      </c>
      <c r="E19339" t="s">
        <v>39</v>
      </c>
      <c r="F19339">
        <v>0</v>
      </c>
      <c r="G19339">
        <v>0</v>
      </c>
      <c r="H19339">
        <v>1</v>
      </c>
      <c r="I19339" s="3">
        <v>500</v>
      </c>
      <c r="J19339" s="3">
        <v>345.81</v>
      </c>
      <c r="K19339" t="s">
        <v>1435</v>
      </c>
      <c r="M19339" t="s">
        <v>271</v>
      </c>
      <c r="N19339" t="s">
        <v>272</v>
      </c>
      <c r="O19339" t="s">
        <v>273</v>
      </c>
      <c r="P19339" t="str">
        <f>"29603"</f>
        <v>29603</v>
      </c>
    </row>
    <row r="19340" spans="1:16" x14ac:dyDescent="0.25">
      <c r="A19340" t="str">
        <f>"1270114L00127    00"</f>
        <v>1270114L00127    00</v>
      </c>
      <c r="B19340" t="s">
        <v>944</v>
      </c>
      <c r="C19340" t="s">
        <v>41921</v>
      </c>
      <c r="E19340" t="s">
        <v>39</v>
      </c>
      <c r="F19340">
        <v>0</v>
      </c>
      <c r="G19340">
        <v>0</v>
      </c>
      <c r="H19340">
        <v>6</v>
      </c>
      <c r="I19340" s="3">
        <v>10805.93</v>
      </c>
      <c r="J19340" s="3">
        <v>13340.25</v>
      </c>
      <c r="L19340">
        <v>200</v>
      </c>
      <c r="M19340" t="s">
        <v>946</v>
      </c>
      <c r="N19340" t="s">
        <v>30</v>
      </c>
      <c r="O19340" t="s">
        <v>31</v>
      </c>
      <c r="P19340" t="str">
        <f>"15219"</f>
        <v>15219</v>
      </c>
    </row>
    <row r="19341" spans="1:16" x14ac:dyDescent="0.25">
      <c r="A19341" t="str">
        <f>"1270114L00144    00"</f>
        <v>1270114L00144    00</v>
      </c>
      <c r="B19341" t="s">
        <v>41922</v>
      </c>
      <c r="C19341" t="s">
        <v>41923</v>
      </c>
      <c r="D19341" t="s">
        <v>20</v>
      </c>
      <c r="E19341" t="s">
        <v>39</v>
      </c>
      <c r="F19341">
        <v>0</v>
      </c>
      <c r="G19341">
        <v>0</v>
      </c>
      <c r="H19341">
        <v>1</v>
      </c>
      <c r="I19341" s="3">
        <v>1433.61</v>
      </c>
      <c r="J19341" s="3">
        <v>0</v>
      </c>
      <c r="L19341">
        <v>3828</v>
      </c>
      <c r="M19341" t="s">
        <v>17198</v>
      </c>
      <c r="N19341" t="s">
        <v>30</v>
      </c>
      <c r="O19341" t="s">
        <v>31</v>
      </c>
      <c r="P19341" t="str">
        <f>"15212"</f>
        <v>15212</v>
      </c>
    </row>
    <row r="19342" spans="1:16" x14ac:dyDescent="0.25">
      <c r="A19342" t="str">
        <f>"1270114L00178    00"</f>
        <v>1270114L00178    00</v>
      </c>
      <c r="B19342" t="s">
        <v>41924</v>
      </c>
      <c r="C19342" t="s">
        <v>41925</v>
      </c>
      <c r="D19342" t="s">
        <v>20</v>
      </c>
      <c r="E19342" t="s">
        <v>39</v>
      </c>
      <c r="F19342">
        <v>0</v>
      </c>
      <c r="G19342">
        <v>0</v>
      </c>
      <c r="H19342">
        <v>12</v>
      </c>
      <c r="I19342" s="3">
        <v>12103.85</v>
      </c>
      <c r="J19342" s="3">
        <v>6467.17</v>
      </c>
      <c r="L19342">
        <v>3823</v>
      </c>
      <c r="M19342" t="s">
        <v>17198</v>
      </c>
      <c r="N19342" t="s">
        <v>30</v>
      </c>
      <c r="O19342" t="s">
        <v>31</v>
      </c>
      <c r="P19342" t="str">
        <f>"15212"</f>
        <v>15212</v>
      </c>
    </row>
    <row r="19343" spans="1:16" x14ac:dyDescent="0.25">
      <c r="A19343" t="str">
        <f>"1270114L00248    00"</f>
        <v>1270114L00248    00</v>
      </c>
      <c r="B19343" t="s">
        <v>37381</v>
      </c>
      <c r="C19343" t="s">
        <v>41926</v>
      </c>
      <c r="D19343" t="s">
        <v>20</v>
      </c>
      <c r="E19343" t="s">
        <v>39</v>
      </c>
      <c r="F19343">
        <v>0</v>
      </c>
      <c r="G19343">
        <v>0</v>
      </c>
      <c r="H19343">
        <v>2</v>
      </c>
      <c r="I19343" s="3">
        <v>2733.22</v>
      </c>
      <c r="J19343" s="3">
        <v>0</v>
      </c>
      <c r="K19343" t="s">
        <v>37383</v>
      </c>
      <c r="L19343">
        <v>3338</v>
      </c>
      <c r="M19343" t="s">
        <v>13961</v>
      </c>
      <c r="N19343" t="s">
        <v>30</v>
      </c>
      <c r="O19343" t="s">
        <v>31</v>
      </c>
      <c r="P19343" t="str">
        <f>"15212"</f>
        <v>15212</v>
      </c>
    </row>
    <row r="19344" spans="1:16" x14ac:dyDescent="0.25">
      <c r="A19344" t="str">
        <f>"1270114L00309    00"</f>
        <v>1270114L00309    00</v>
      </c>
      <c r="B19344" t="s">
        <v>41927</v>
      </c>
      <c r="C19344" t="s">
        <v>41928</v>
      </c>
      <c r="D19344" t="s">
        <v>20</v>
      </c>
      <c r="E19344" t="s">
        <v>39</v>
      </c>
      <c r="F19344">
        <v>0</v>
      </c>
      <c r="G19344">
        <v>0</v>
      </c>
      <c r="H19344">
        <v>2</v>
      </c>
      <c r="I19344" s="3">
        <v>2470</v>
      </c>
      <c r="J19344" s="3">
        <v>0</v>
      </c>
      <c r="L19344">
        <v>1418</v>
      </c>
      <c r="M19344" t="s">
        <v>37875</v>
      </c>
      <c r="N19344" t="s">
        <v>30</v>
      </c>
      <c r="O19344" t="s">
        <v>31</v>
      </c>
      <c r="P19344" t="str">
        <f>"15212"</f>
        <v>15212</v>
      </c>
    </row>
    <row r="19345" spans="1:16" x14ac:dyDescent="0.25">
      <c r="A19345" t="str">
        <f>"1270114L00314    00"</f>
        <v>1270114L00314    00</v>
      </c>
      <c r="B19345" t="s">
        <v>41929</v>
      </c>
      <c r="C19345" t="s">
        <v>41930</v>
      </c>
      <c r="D19345" t="s">
        <v>20</v>
      </c>
      <c r="E19345" t="s">
        <v>39</v>
      </c>
      <c r="F19345">
        <v>0</v>
      </c>
      <c r="G19345">
        <v>0</v>
      </c>
      <c r="H19345">
        <v>4</v>
      </c>
      <c r="I19345" s="3">
        <v>3013.47</v>
      </c>
      <c r="J19345" s="3">
        <v>470.64</v>
      </c>
      <c r="K19345" t="s">
        <v>41931</v>
      </c>
      <c r="L19345">
        <v>364</v>
      </c>
      <c r="M19345" t="s">
        <v>41932</v>
      </c>
      <c r="N19345" t="s">
        <v>30</v>
      </c>
      <c r="O19345" t="s">
        <v>31</v>
      </c>
      <c r="P19345" t="str">
        <f>"15229"</f>
        <v>15229</v>
      </c>
    </row>
    <row r="19346" spans="1:16" x14ac:dyDescent="0.25">
      <c r="A19346" t="str">
        <f>"1270114L00320    00"</f>
        <v>1270114L00320    00</v>
      </c>
      <c r="B19346" t="s">
        <v>41933</v>
      </c>
      <c r="C19346" t="s">
        <v>41934</v>
      </c>
      <c r="D19346" t="s">
        <v>57</v>
      </c>
      <c r="E19346" t="s">
        <v>39</v>
      </c>
      <c r="F19346">
        <v>0</v>
      </c>
      <c r="G19346">
        <v>0</v>
      </c>
      <c r="H19346">
        <v>1</v>
      </c>
      <c r="I19346" s="3">
        <v>860.74</v>
      </c>
      <c r="J19346" s="3">
        <v>0</v>
      </c>
      <c r="L19346">
        <v>3815</v>
      </c>
      <c r="M19346" t="s">
        <v>37050</v>
      </c>
      <c r="N19346" t="s">
        <v>30</v>
      </c>
      <c r="O19346" t="s">
        <v>31</v>
      </c>
      <c r="P19346" t="str">
        <f>"15212"</f>
        <v>15212</v>
      </c>
    </row>
    <row r="19347" spans="1:16" x14ac:dyDescent="0.25">
      <c r="A19347" t="str">
        <f>"1270114L00324    00"</f>
        <v>1270114L00324    00</v>
      </c>
      <c r="B19347" t="s">
        <v>41935</v>
      </c>
      <c r="C19347" t="s">
        <v>41936</v>
      </c>
      <c r="D19347" t="s">
        <v>20</v>
      </c>
      <c r="E19347" t="s">
        <v>39</v>
      </c>
      <c r="F19347">
        <v>0</v>
      </c>
      <c r="G19347">
        <v>0</v>
      </c>
      <c r="H19347">
        <v>4</v>
      </c>
      <c r="I19347" s="3">
        <v>2702.67</v>
      </c>
      <c r="J19347" s="3">
        <v>223.29</v>
      </c>
      <c r="K19347" t="s">
        <v>41937</v>
      </c>
      <c r="L19347">
        <v>3823</v>
      </c>
      <c r="M19347" t="s">
        <v>37050</v>
      </c>
      <c r="N19347" t="s">
        <v>30</v>
      </c>
      <c r="O19347" t="s">
        <v>31</v>
      </c>
      <c r="P19347" t="str">
        <f>"15212"</f>
        <v>15212</v>
      </c>
    </row>
    <row r="19348" spans="1:16" x14ac:dyDescent="0.25">
      <c r="A19348" t="str">
        <f>"1270114M00037    00"</f>
        <v>1270114M00037    00</v>
      </c>
      <c r="B19348" t="s">
        <v>29798</v>
      </c>
      <c r="C19348" t="s">
        <v>41938</v>
      </c>
      <c r="D19348" t="s">
        <v>20</v>
      </c>
      <c r="E19348" t="s">
        <v>39</v>
      </c>
      <c r="F19348">
        <v>0</v>
      </c>
      <c r="G19348">
        <v>0</v>
      </c>
      <c r="H19348">
        <v>3</v>
      </c>
      <c r="I19348" s="3">
        <v>3694.12</v>
      </c>
      <c r="J19348" s="3">
        <v>420.29</v>
      </c>
      <c r="K19348" t="s">
        <v>29086</v>
      </c>
      <c r="L19348">
        <v>1150</v>
      </c>
      <c r="M19348" t="s">
        <v>20800</v>
      </c>
      <c r="N19348" t="s">
        <v>163</v>
      </c>
      <c r="O19348" t="s">
        <v>31</v>
      </c>
      <c r="P19348" t="str">
        <f>"19406"</f>
        <v>19406</v>
      </c>
    </row>
    <row r="19349" spans="1:16" x14ac:dyDescent="0.25">
      <c r="A19349" t="str">
        <f>"1270114M00055    00"</f>
        <v>1270114M00055    00</v>
      </c>
      <c r="B19349" t="s">
        <v>41939</v>
      </c>
      <c r="C19349" t="s">
        <v>41940</v>
      </c>
      <c r="D19349" t="s">
        <v>20</v>
      </c>
      <c r="E19349" t="s">
        <v>39</v>
      </c>
      <c r="F19349">
        <v>0</v>
      </c>
      <c r="G19349">
        <v>0</v>
      </c>
      <c r="H19349">
        <v>1</v>
      </c>
      <c r="I19349" s="3">
        <v>2655.52</v>
      </c>
      <c r="J19349" s="3">
        <v>0</v>
      </c>
      <c r="K19349" t="s">
        <v>41941</v>
      </c>
      <c r="L19349">
        <v>1584</v>
      </c>
      <c r="M19349" t="s">
        <v>41942</v>
      </c>
      <c r="N19349" t="s">
        <v>3425</v>
      </c>
      <c r="O19349" t="s">
        <v>5057</v>
      </c>
      <c r="P19349" t="str">
        <f>"04864"</f>
        <v>04864</v>
      </c>
    </row>
    <row r="19350" spans="1:16" x14ac:dyDescent="0.25">
      <c r="A19350" t="str">
        <f>"1270114M00101    00"</f>
        <v>1270114M00101    00</v>
      </c>
      <c r="B19350" t="s">
        <v>41309</v>
      </c>
      <c r="C19350" t="s">
        <v>41943</v>
      </c>
      <c r="D19350" t="s">
        <v>20</v>
      </c>
      <c r="E19350" t="s">
        <v>39</v>
      </c>
      <c r="F19350">
        <v>0</v>
      </c>
      <c r="G19350">
        <v>0</v>
      </c>
      <c r="H19350">
        <v>1</v>
      </c>
      <c r="I19350" s="3">
        <v>1672.16</v>
      </c>
      <c r="J19350" s="3">
        <v>0</v>
      </c>
      <c r="K19350" t="s">
        <v>41311</v>
      </c>
      <c r="L19350">
        <v>3817</v>
      </c>
      <c r="M19350" t="s">
        <v>41312</v>
      </c>
      <c r="N19350" t="s">
        <v>30</v>
      </c>
      <c r="O19350" t="s">
        <v>31</v>
      </c>
      <c r="P19350" t="str">
        <f>"15212"</f>
        <v>15212</v>
      </c>
    </row>
    <row r="19351" spans="1:16" x14ac:dyDescent="0.25">
      <c r="A19351" t="str">
        <f>"1270114M00145    00"</f>
        <v>1270114M00145    00</v>
      </c>
      <c r="B19351" t="s">
        <v>36221</v>
      </c>
      <c r="C19351" t="s">
        <v>41944</v>
      </c>
      <c r="D19351" t="s">
        <v>20</v>
      </c>
      <c r="E19351" t="s">
        <v>39</v>
      </c>
      <c r="F19351">
        <v>0</v>
      </c>
      <c r="G19351">
        <v>0</v>
      </c>
      <c r="H19351">
        <v>2</v>
      </c>
      <c r="I19351" s="3">
        <v>919.74</v>
      </c>
      <c r="J19351" s="3">
        <v>0</v>
      </c>
      <c r="L19351">
        <v>68</v>
      </c>
      <c r="M19351" t="s">
        <v>36223</v>
      </c>
      <c r="N19351" t="s">
        <v>30</v>
      </c>
      <c r="O19351" t="s">
        <v>31</v>
      </c>
      <c r="P19351" t="str">
        <f>"15229"</f>
        <v>15229</v>
      </c>
    </row>
    <row r="19352" spans="1:16" x14ac:dyDescent="0.25">
      <c r="A19352" t="str">
        <f>"1270114M00145A   00"</f>
        <v>1270114M00145A   00</v>
      </c>
      <c r="B19352" t="s">
        <v>41945</v>
      </c>
      <c r="C19352" t="s">
        <v>41946</v>
      </c>
      <c r="D19352" t="s">
        <v>20</v>
      </c>
      <c r="E19352" t="s">
        <v>39</v>
      </c>
      <c r="F19352">
        <v>0</v>
      </c>
      <c r="G19352">
        <v>0</v>
      </c>
      <c r="H19352">
        <v>8</v>
      </c>
      <c r="I19352" s="3">
        <v>5663.65</v>
      </c>
      <c r="J19352" s="3">
        <v>1853.25</v>
      </c>
      <c r="K19352" t="s">
        <v>41947</v>
      </c>
      <c r="L19352">
        <v>1240</v>
      </c>
      <c r="M19352" t="s">
        <v>41948</v>
      </c>
      <c r="N19352" t="s">
        <v>30</v>
      </c>
      <c r="O19352" t="s">
        <v>31</v>
      </c>
      <c r="P19352" t="str">
        <f>"15212"</f>
        <v>15212</v>
      </c>
    </row>
    <row r="19353" spans="1:16" x14ac:dyDescent="0.25">
      <c r="A19353" t="str">
        <f>"1270114M00147    00"</f>
        <v>1270114M00147    00</v>
      </c>
      <c r="B19353" t="s">
        <v>41949</v>
      </c>
      <c r="C19353" t="s">
        <v>41950</v>
      </c>
      <c r="D19353" t="s">
        <v>20</v>
      </c>
      <c r="E19353" t="s">
        <v>39</v>
      </c>
      <c r="F19353">
        <v>0</v>
      </c>
      <c r="G19353">
        <v>0</v>
      </c>
      <c r="H19353">
        <v>3</v>
      </c>
      <c r="I19353" s="3">
        <v>5488.04</v>
      </c>
      <c r="J19353" s="3">
        <v>377.69</v>
      </c>
      <c r="L19353">
        <v>1234</v>
      </c>
      <c r="M19353" t="s">
        <v>37875</v>
      </c>
      <c r="N19353" t="s">
        <v>30</v>
      </c>
      <c r="O19353" t="s">
        <v>31</v>
      </c>
      <c r="P19353" t="str">
        <f>"15212"</f>
        <v>15212</v>
      </c>
    </row>
    <row r="19354" spans="1:16" x14ac:dyDescent="0.25">
      <c r="A19354" t="str">
        <f>"1270114M00163    00"</f>
        <v>1270114M00163    00</v>
      </c>
      <c r="B19354" t="s">
        <v>41951</v>
      </c>
      <c r="C19354" t="s">
        <v>41952</v>
      </c>
      <c r="E19354" t="s">
        <v>39</v>
      </c>
      <c r="F19354">
        <v>0</v>
      </c>
      <c r="G19354">
        <v>0</v>
      </c>
      <c r="H19354">
        <v>1</v>
      </c>
      <c r="I19354" s="3">
        <v>479.16</v>
      </c>
      <c r="J19354" s="3">
        <v>423.24</v>
      </c>
      <c r="L19354">
        <v>203</v>
      </c>
      <c r="M19354" t="s">
        <v>41953</v>
      </c>
      <c r="N19354" t="s">
        <v>4150</v>
      </c>
      <c r="O19354" t="s">
        <v>31</v>
      </c>
      <c r="P19354" t="str">
        <f>"15116"</f>
        <v>15116</v>
      </c>
    </row>
    <row r="19355" spans="1:16" x14ac:dyDescent="0.25">
      <c r="A19355" t="str">
        <f>"1270114M00212    00"</f>
        <v>1270114M00212    00</v>
      </c>
      <c r="B19355" t="s">
        <v>41954</v>
      </c>
      <c r="C19355" t="s">
        <v>41955</v>
      </c>
      <c r="D19355" t="s">
        <v>20</v>
      </c>
      <c r="E19355" t="s">
        <v>39</v>
      </c>
      <c r="F19355">
        <v>0</v>
      </c>
      <c r="G19355">
        <v>0</v>
      </c>
      <c r="H19355">
        <v>10</v>
      </c>
      <c r="I19355" s="3">
        <v>8006.23</v>
      </c>
      <c r="J19355" s="3">
        <v>3229.04</v>
      </c>
      <c r="L19355">
        <v>3824</v>
      </c>
      <c r="M19355" t="s">
        <v>41956</v>
      </c>
      <c r="N19355" t="s">
        <v>30</v>
      </c>
      <c r="O19355" t="s">
        <v>31</v>
      </c>
      <c r="P19355" t="str">
        <f>"15212"</f>
        <v>15212</v>
      </c>
    </row>
    <row r="19356" spans="1:16" x14ac:dyDescent="0.25">
      <c r="A19356" t="str">
        <f>"1270114M00271    00"</f>
        <v>1270114M00271    00</v>
      </c>
      <c r="B19356" t="s">
        <v>41957</v>
      </c>
      <c r="C19356" t="s">
        <v>41958</v>
      </c>
      <c r="D19356" t="s">
        <v>20</v>
      </c>
      <c r="E19356" t="s">
        <v>39</v>
      </c>
      <c r="F19356">
        <v>0</v>
      </c>
      <c r="G19356">
        <v>0</v>
      </c>
      <c r="H19356">
        <v>1</v>
      </c>
      <c r="I19356" s="3">
        <v>1170.31</v>
      </c>
      <c r="J19356" s="3">
        <v>0</v>
      </c>
      <c r="K19356" t="s">
        <v>41959</v>
      </c>
      <c r="L19356">
        <v>800</v>
      </c>
      <c r="M19356" t="s">
        <v>7378</v>
      </c>
      <c r="N19356" t="s">
        <v>7293</v>
      </c>
      <c r="O19356" t="s">
        <v>200</v>
      </c>
      <c r="P19356" t="str">
        <f>"10573"</f>
        <v>10573</v>
      </c>
    </row>
    <row r="19357" spans="1:16" x14ac:dyDescent="0.25">
      <c r="A19357" t="str">
        <f>"1270114M00272    00"</f>
        <v>1270114M00272    00</v>
      </c>
      <c r="B19357" t="s">
        <v>41960</v>
      </c>
      <c r="C19357" t="s">
        <v>41961</v>
      </c>
      <c r="D19357" t="s">
        <v>20</v>
      </c>
      <c r="E19357" t="s">
        <v>39</v>
      </c>
      <c r="F19357">
        <v>0</v>
      </c>
      <c r="G19357">
        <v>0</v>
      </c>
      <c r="H19357">
        <v>1</v>
      </c>
      <c r="I19357" s="3">
        <v>1158.8699999999999</v>
      </c>
      <c r="J19357" s="3">
        <v>0</v>
      </c>
      <c r="L19357">
        <v>3175</v>
      </c>
      <c r="M19357" t="s">
        <v>41962</v>
      </c>
      <c r="N19357" t="s">
        <v>195</v>
      </c>
      <c r="O19357" t="s">
        <v>31</v>
      </c>
      <c r="P19357" t="str">
        <f>"15101"</f>
        <v>15101</v>
      </c>
    </row>
    <row r="19358" spans="1:16" x14ac:dyDescent="0.25">
      <c r="A19358" t="str">
        <f>"1270114M00310    00"</f>
        <v>1270114M00310    00</v>
      </c>
      <c r="B19358" t="s">
        <v>41963</v>
      </c>
      <c r="C19358" t="s">
        <v>41964</v>
      </c>
      <c r="E19358" t="s">
        <v>39</v>
      </c>
      <c r="F19358">
        <v>0</v>
      </c>
      <c r="G19358">
        <v>0</v>
      </c>
      <c r="H19358">
        <v>1</v>
      </c>
      <c r="I19358" s="3">
        <v>1066.4000000000001</v>
      </c>
      <c r="J19358" s="3">
        <v>426.54</v>
      </c>
      <c r="K19358" t="s">
        <v>41161</v>
      </c>
      <c r="L19358">
        <v>7613</v>
      </c>
      <c r="M19358" t="s">
        <v>35229</v>
      </c>
      <c r="N19358" t="s">
        <v>35230</v>
      </c>
      <c r="O19358" t="s">
        <v>108</v>
      </c>
      <c r="P19358" t="str">
        <f>"76227"</f>
        <v>76227</v>
      </c>
    </row>
    <row r="19359" spans="1:16" x14ac:dyDescent="0.25">
      <c r="A19359" t="str">
        <f>"1270114M00311    00"</f>
        <v>1270114M00311    00</v>
      </c>
      <c r="B19359" t="s">
        <v>41965</v>
      </c>
      <c r="C19359" t="s">
        <v>41966</v>
      </c>
      <c r="E19359" t="s">
        <v>39</v>
      </c>
      <c r="F19359">
        <v>0</v>
      </c>
      <c r="G19359">
        <v>0</v>
      </c>
      <c r="H19359">
        <v>11</v>
      </c>
      <c r="I19359" s="3">
        <v>6411.01</v>
      </c>
      <c r="J19359" s="3">
        <v>4417.16</v>
      </c>
      <c r="L19359">
        <v>1228</v>
      </c>
      <c r="M19359" t="s">
        <v>41967</v>
      </c>
      <c r="N19359" t="s">
        <v>30</v>
      </c>
      <c r="O19359" t="s">
        <v>31</v>
      </c>
      <c r="P19359" t="str">
        <f>"15212"</f>
        <v>15212</v>
      </c>
    </row>
    <row r="19360" spans="1:16" x14ac:dyDescent="0.25">
      <c r="A19360" t="str">
        <f>"1270114N00021    00"</f>
        <v>1270114N00021    00</v>
      </c>
      <c r="B19360" t="s">
        <v>40903</v>
      </c>
      <c r="C19360" t="s">
        <v>41968</v>
      </c>
      <c r="E19360" t="s">
        <v>39</v>
      </c>
      <c r="F19360">
        <v>0</v>
      </c>
      <c r="G19360">
        <v>0</v>
      </c>
      <c r="H19360">
        <v>1</v>
      </c>
      <c r="I19360" s="3">
        <v>1244.6199999999999</v>
      </c>
      <c r="J19360" s="3">
        <v>248.92</v>
      </c>
      <c r="L19360">
        <v>99</v>
      </c>
      <c r="M19360" t="s">
        <v>39708</v>
      </c>
      <c r="N19360" t="s">
        <v>2222</v>
      </c>
      <c r="O19360" t="s">
        <v>31</v>
      </c>
      <c r="P19360" t="str">
        <f>"15015"</f>
        <v>15015</v>
      </c>
    </row>
    <row r="19361" spans="1:16" x14ac:dyDescent="0.25">
      <c r="A19361" t="str">
        <f>"1270114N00038    00"</f>
        <v>1270114N00038    00</v>
      </c>
      <c r="B19361" t="s">
        <v>41969</v>
      </c>
      <c r="C19361" t="s">
        <v>41970</v>
      </c>
      <c r="D19361" t="s">
        <v>20</v>
      </c>
      <c r="E19361" t="s">
        <v>39</v>
      </c>
      <c r="F19361">
        <v>0</v>
      </c>
      <c r="G19361">
        <v>0</v>
      </c>
      <c r="H19361">
        <v>2</v>
      </c>
      <c r="I19361" s="3">
        <v>1221.5899999999999</v>
      </c>
      <c r="J19361" s="3">
        <v>0</v>
      </c>
      <c r="K19361" t="s">
        <v>41971</v>
      </c>
      <c r="L19361">
        <v>901</v>
      </c>
      <c r="M19361" t="s">
        <v>1503</v>
      </c>
      <c r="N19361" t="s">
        <v>494</v>
      </c>
      <c r="O19361" t="s">
        <v>495</v>
      </c>
      <c r="P19361" t="str">
        <f>"91768"</f>
        <v>91768</v>
      </c>
    </row>
    <row r="19362" spans="1:16" x14ac:dyDescent="0.25">
      <c r="A19362" t="str">
        <f>"1270114N00182    00"</f>
        <v>1270114N00182    00</v>
      </c>
      <c r="B19362" t="s">
        <v>41972</v>
      </c>
      <c r="C19362" t="s">
        <v>41973</v>
      </c>
      <c r="D19362" t="s">
        <v>20</v>
      </c>
      <c r="E19362" t="s">
        <v>66</v>
      </c>
      <c r="F19362">
        <v>0</v>
      </c>
      <c r="G19362">
        <v>0</v>
      </c>
      <c r="H19362">
        <v>2</v>
      </c>
      <c r="I19362" s="3">
        <v>13890.92</v>
      </c>
      <c r="J19362" s="3">
        <v>0</v>
      </c>
      <c r="K19362" t="s">
        <v>41974</v>
      </c>
      <c r="M19362" t="s">
        <v>10286</v>
      </c>
      <c r="N19362" t="s">
        <v>30</v>
      </c>
      <c r="O19362" t="s">
        <v>31</v>
      </c>
      <c r="P19362" t="str">
        <f>"15217"</f>
        <v>15217</v>
      </c>
    </row>
    <row r="19363" spans="1:16" x14ac:dyDescent="0.25">
      <c r="A19363" t="str">
        <f>"1270114N00200    00"</f>
        <v>1270114N00200    00</v>
      </c>
      <c r="B19363" t="s">
        <v>41972</v>
      </c>
      <c r="C19363" t="s">
        <v>41975</v>
      </c>
      <c r="D19363" t="s">
        <v>20</v>
      </c>
      <c r="E19363" t="s">
        <v>66</v>
      </c>
      <c r="F19363">
        <v>0</v>
      </c>
      <c r="G19363">
        <v>0</v>
      </c>
      <c r="H19363">
        <v>2</v>
      </c>
      <c r="I19363" s="3">
        <v>12968.46</v>
      </c>
      <c r="J19363" s="3">
        <v>0</v>
      </c>
      <c r="K19363" t="s">
        <v>41974</v>
      </c>
      <c r="M19363" t="s">
        <v>10286</v>
      </c>
      <c r="N19363" t="s">
        <v>30</v>
      </c>
      <c r="O19363" t="s">
        <v>31</v>
      </c>
      <c r="P19363" t="str">
        <f>"15217"</f>
        <v>15217</v>
      </c>
    </row>
    <row r="19364" spans="1:16" x14ac:dyDescent="0.25">
      <c r="A19364" t="str">
        <f>"1270114N00274    00"</f>
        <v>1270114N00274    00</v>
      </c>
      <c r="B19364" t="s">
        <v>41972</v>
      </c>
      <c r="C19364" t="s">
        <v>41976</v>
      </c>
      <c r="D19364" t="s">
        <v>20</v>
      </c>
      <c r="E19364" t="s">
        <v>39</v>
      </c>
      <c r="F19364">
        <v>0</v>
      </c>
      <c r="G19364">
        <v>0</v>
      </c>
      <c r="H19364">
        <v>2</v>
      </c>
      <c r="I19364" s="3">
        <v>1067.3599999999999</v>
      </c>
      <c r="J19364" s="3">
        <v>0</v>
      </c>
      <c r="M19364" t="s">
        <v>10286</v>
      </c>
      <c r="N19364" t="s">
        <v>30</v>
      </c>
      <c r="O19364" t="s">
        <v>31</v>
      </c>
      <c r="P19364" t="str">
        <f>"15217"</f>
        <v>15217</v>
      </c>
    </row>
    <row r="19365" spans="1:16" x14ac:dyDescent="0.25">
      <c r="A19365" t="str">
        <f>"1270114P00002    00"</f>
        <v>1270114P00002    00</v>
      </c>
      <c r="B19365" t="s">
        <v>41977</v>
      </c>
      <c r="C19365" t="s">
        <v>41978</v>
      </c>
      <c r="E19365" t="s">
        <v>39</v>
      </c>
      <c r="F19365">
        <v>0</v>
      </c>
      <c r="G19365">
        <v>0</v>
      </c>
      <c r="H19365">
        <v>7</v>
      </c>
      <c r="I19365" s="3">
        <v>7179.9</v>
      </c>
      <c r="J19365" s="3">
        <v>426.73</v>
      </c>
      <c r="L19365">
        <v>3843</v>
      </c>
      <c r="M19365" t="s">
        <v>11682</v>
      </c>
      <c r="N19365" t="s">
        <v>30</v>
      </c>
      <c r="O19365" t="s">
        <v>31</v>
      </c>
      <c r="P19365" t="str">
        <f>"15212"</f>
        <v>15212</v>
      </c>
    </row>
    <row r="19366" spans="1:16" x14ac:dyDescent="0.25">
      <c r="A19366" t="str">
        <f>"1270114P00012    00"</f>
        <v>1270114P00012    00</v>
      </c>
      <c r="B19366" t="s">
        <v>41979</v>
      </c>
      <c r="C19366" t="s">
        <v>41980</v>
      </c>
      <c r="D19366" t="s">
        <v>20</v>
      </c>
      <c r="E19366" t="s">
        <v>39</v>
      </c>
      <c r="F19366">
        <v>0</v>
      </c>
      <c r="G19366">
        <v>0</v>
      </c>
      <c r="H19366">
        <v>3</v>
      </c>
      <c r="I19366" s="3">
        <v>4259.4799999999996</v>
      </c>
      <c r="J19366" s="3">
        <v>684.81</v>
      </c>
      <c r="K19366" t="s">
        <v>41981</v>
      </c>
      <c r="L19366">
        <v>3842</v>
      </c>
      <c r="M19366" t="s">
        <v>11682</v>
      </c>
      <c r="N19366" t="s">
        <v>30</v>
      </c>
      <c r="O19366" t="s">
        <v>31</v>
      </c>
      <c r="P19366" t="str">
        <f>"15212"</f>
        <v>15212</v>
      </c>
    </row>
    <row r="19367" spans="1:16" x14ac:dyDescent="0.25">
      <c r="A19367" t="str">
        <f>"1270114P00078    00"</f>
        <v>1270114P00078    00</v>
      </c>
      <c r="B19367" t="s">
        <v>41982</v>
      </c>
      <c r="C19367" t="s">
        <v>41983</v>
      </c>
      <c r="D19367" t="s">
        <v>20</v>
      </c>
      <c r="E19367" t="s">
        <v>39</v>
      </c>
      <c r="F19367">
        <v>0</v>
      </c>
      <c r="G19367">
        <v>0</v>
      </c>
      <c r="H19367">
        <v>2</v>
      </c>
      <c r="I19367" s="3">
        <v>3473.72</v>
      </c>
      <c r="J19367" s="3">
        <v>0</v>
      </c>
      <c r="L19367">
        <v>2020</v>
      </c>
      <c r="M19367" t="s">
        <v>40848</v>
      </c>
      <c r="N19367" t="s">
        <v>30</v>
      </c>
      <c r="O19367" t="s">
        <v>31</v>
      </c>
      <c r="P19367" t="str">
        <f>"15212"</f>
        <v>15212</v>
      </c>
    </row>
    <row r="19368" spans="1:16" x14ac:dyDescent="0.25">
      <c r="A19368" t="str">
        <f>"1270114P00126    00"</f>
        <v>1270114P00126    00</v>
      </c>
      <c r="B19368" t="s">
        <v>41984</v>
      </c>
      <c r="C19368" t="s">
        <v>41985</v>
      </c>
      <c r="E19368" t="s">
        <v>39</v>
      </c>
      <c r="F19368">
        <v>0</v>
      </c>
      <c r="G19368">
        <v>0</v>
      </c>
      <c r="H19368">
        <v>1</v>
      </c>
      <c r="I19368" s="3">
        <v>991.65</v>
      </c>
      <c r="J19368" s="3">
        <v>0</v>
      </c>
      <c r="K19368" t="s">
        <v>41986</v>
      </c>
      <c r="L19368">
        <v>1807</v>
      </c>
      <c r="M19368" t="s">
        <v>40848</v>
      </c>
      <c r="N19368" t="s">
        <v>30</v>
      </c>
      <c r="O19368" t="s">
        <v>31</v>
      </c>
      <c r="P19368" t="str">
        <f>"15212"</f>
        <v>15212</v>
      </c>
    </row>
    <row r="19369" spans="1:16" x14ac:dyDescent="0.25">
      <c r="A19369" t="str">
        <f>"1270114P00153    00"</f>
        <v>1270114P00153    00</v>
      </c>
      <c r="B19369" t="s">
        <v>944</v>
      </c>
      <c r="C19369" t="s">
        <v>33625</v>
      </c>
      <c r="E19369" t="s">
        <v>39</v>
      </c>
      <c r="F19369">
        <v>0</v>
      </c>
      <c r="G19369">
        <v>0</v>
      </c>
      <c r="H19369">
        <v>2</v>
      </c>
      <c r="I19369" s="3">
        <v>2514.5</v>
      </c>
      <c r="J19369" s="3">
        <v>3224.09</v>
      </c>
      <c r="L19369">
        <v>200</v>
      </c>
      <c r="M19369" t="s">
        <v>946</v>
      </c>
      <c r="N19369" t="s">
        <v>30</v>
      </c>
      <c r="O19369" t="s">
        <v>31</v>
      </c>
      <c r="P19369" t="str">
        <f>"15219"</f>
        <v>15219</v>
      </c>
    </row>
    <row r="19370" spans="1:16" x14ac:dyDescent="0.25">
      <c r="A19370" t="str">
        <f>"1270114P00162    00"</f>
        <v>1270114P00162    00</v>
      </c>
      <c r="B19370" t="s">
        <v>40903</v>
      </c>
      <c r="C19370" t="s">
        <v>41987</v>
      </c>
      <c r="E19370" t="s">
        <v>39</v>
      </c>
      <c r="F19370">
        <v>0</v>
      </c>
      <c r="G19370">
        <v>0</v>
      </c>
      <c r="H19370">
        <v>2</v>
      </c>
      <c r="I19370" s="3">
        <v>4079.98</v>
      </c>
      <c r="J19370" s="3">
        <v>530.61</v>
      </c>
      <c r="M19370" t="s">
        <v>41988</v>
      </c>
      <c r="N19370" t="s">
        <v>2222</v>
      </c>
      <c r="O19370" t="s">
        <v>31</v>
      </c>
      <c r="P19370" t="str">
        <f>"15015"</f>
        <v>15015</v>
      </c>
    </row>
    <row r="19371" spans="1:16" x14ac:dyDescent="0.25">
      <c r="A19371" t="str">
        <f>"1270114P00184    00"</f>
        <v>1270114P00184    00</v>
      </c>
      <c r="B19371" t="s">
        <v>41989</v>
      </c>
      <c r="C19371" t="s">
        <v>41990</v>
      </c>
      <c r="D19371" t="s">
        <v>20</v>
      </c>
      <c r="E19371" t="s">
        <v>39</v>
      </c>
      <c r="F19371">
        <v>0</v>
      </c>
      <c r="G19371">
        <v>0</v>
      </c>
      <c r="H19371">
        <v>1</v>
      </c>
      <c r="I19371" s="3">
        <v>1359.44</v>
      </c>
      <c r="J19371" s="3">
        <v>0</v>
      </c>
      <c r="K19371" t="s">
        <v>41991</v>
      </c>
      <c r="L19371">
        <v>1908</v>
      </c>
      <c r="M19371" t="s">
        <v>40848</v>
      </c>
      <c r="N19371" t="s">
        <v>30</v>
      </c>
      <c r="O19371" t="s">
        <v>31</v>
      </c>
      <c r="P19371" t="str">
        <f>"15212"</f>
        <v>15212</v>
      </c>
    </row>
    <row r="19372" spans="1:16" x14ac:dyDescent="0.25">
      <c r="A19372" t="str">
        <f>"1270114P00244    00"</f>
        <v>1270114P00244    00</v>
      </c>
      <c r="B19372" t="s">
        <v>41992</v>
      </c>
      <c r="C19372" t="s">
        <v>41993</v>
      </c>
      <c r="E19372" t="s">
        <v>39</v>
      </c>
      <c r="F19372">
        <v>0</v>
      </c>
      <c r="G19372">
        <v>0</v>
      </c>
      <c r="H19372">
        <v>2</v>
      </c>
      <c r="I19372" s="3">
        <v>4197.04</v>
      </c>
      <c r="J19372" s="3">
        <v>139.9</v>
      </c>
      <c r="K19372" t="s">
        <v>4801</v>
      </c>
      <c r="L19372">
        <v>1</v>
      </c>
      <c r="M19372" t="s">
        <v>4802</v>
      </c>
      <c r="N19372" t="s">
        <v>4803</v>
      </c>
      <c r="O19372" t="s">
        <v>554</v>
      </c>
      <c r="P19372" t="str">
        <f>"26003"</f>
        <v>26003</v>
      </c>
    </row>
    <row r="19373" spans="1:16" x14ac:dyDescent="0.25">
      <c r="A19373" t="str">
        <f>"1270114P00286    00"</f>
        <v>1270114P00286    00</v>
      </c>
      <c r="B19373" t="s">
        <v>41994</v>
      </c>
      <c r="C19373" t="s">
        <v>41995</v>
      </c>
      <c r="E19373" t="s">
        <v>39</v>
      </c>
      <c r="F19373">
        <v>0</v>
      </c>
      <c r="G19373">
        <v>0</v>
      </c>
      <c r="H19373">
        <v>2</v>
      </c>
      <c r="I19373" s="3">
        <v>1023.26</v>
      </c>
      <c r="J19373" s="3">
        <v>8.57</v>
      </c>
      <c r="K19373" t="s">
        <v>10517</v>
      </c>
      <c r="L19373">
        <v>14501</v>
      </c>
      <c r="M19373" t="s">
        <v>10518</v>
      </c>
      <c r="N19373" t="s">
        <v>10519</v>
      </c>
      <c r="O19373" t="s">
        <v>692</v>
      </c>
      <c r="P19373" t="str">
        <f>"20151"</f>
        <v>20151</v>
      </c>
    </row>
    <row r="19374" spans="1:16" x14ac:dyDescent="0.25">
      <c r="A19374" t="str">
        <f>"1270114P00330    00"</f>
        <v>1270114P00330    00</v>
      </c>
      <c r="B19374" t="s">
        <v>36343</v>
      </c>
      <c r="C19374" t="s">
        <v>41996</v>
      </c>
      <c r="D19374" t="s">
        <v>20</v>
      </c>
      <c r="E19374" t="s">
        <v>39</v>
      </c>
      <c r="F19374">
        <v>0</v>
      </c>
      <c r="G19374">
        <v>0</v>
      </c>
      <c r="H19374">
        <v>2</v>
      </c>
      <c r="I19374" s="3">
        <v>1848.68</v>
      </c>
      <c r="J19374" s="3">
        <v>0</v>
      </c>
      <c r="L19374">
        <v>1712</v>
      </c>
      <c r="M19374" t="s">
        <v>41997</v>
      </c>
      <c r="N19374" t="s">
        <v>30</v>
      </c>
      <c r="O19374" t="s">
        <v>31</v>
      </c>
      <c r="P19374" t="str">
        <f>"15212"</f>
        <v>15212</v>
      </c>
    </row>
    <row r="19375" spans="1:16" x14ac:dyDescent="0.25">
      <c r="A19375" t="str">
        <f>"1270114P00347    00"</f>
        <v>1270114P00347    00</v>
      </c>
      <c r="B19375" t="s">
        <v>7141</v>
      </c>
      <c r="C19375" t="s">
        <v>41998</v>
      </c>
      <c r="E19375" t="s">
        <v>39</v>
      </c>
      <c r="F19375">
        <v>0</v>
      </c>
      <c r="G19375">
        <v>0</v>
      </c>
      <c r="H19375">
        <v>1</v>
      </c>
      <c r="I19375" s="3">
        <v>285.89999999999998</v>
      </c>
      <c r="J19375" s="3">
        <v>0</v>
      </c>
      <c r="K19375" t="s">
        <v>2962</v>
      </c>
      <c r="L19375">
        <v>412</v>
      </c>
      <c r="M19375" t="s">
        <v>20436</v>
      </c>
      <c r="N19375" t="s">
        <v>30</v>
      </c>
      <c r="O19375" t="s">
        <v>31</v>
      </c>
      <c r="P19375" t="str">
        <f>"15219"</f>
        <v>15219</v>
      </c>
    </row>
    <row r="19376" spans="1:16" x14ac:dyDescent="0.25">
      <c r="A19376" t="str">
        <f>"1270114R00026    00"</f>
        <v>1270114R00026    00</v>
      </c>
      <c r="B19376" t="s">
        <v>41810</v>
      </c>
      <c r="C19376" t="s">
        <v>41999</v>
      </c>
      <c r="D19376" t="s">
        <v>20</v>
      </c>
      <c r="E19376" t="s">
        <v>21</v>
      </c>
      <c r="F19376">
        <v>0</v>
      </c>
      <c r="G19376">
        <v>0</v>
      </c>
      <c r="H19376">
        <v>3</v>
      </c>
      <c r="I19376" s="3">
        <v>4448.6099999999997</v>
      </c>
      <c r="J19376" s="3">
        <v>296.56</v>
      </c>
      <c r="L19376">
        <v>3778</v>
      </c>
      <c r="M19376" t="s">
        <v>17198</v>
      </c>
      <c r="N19376" t="s">
        <v>30</v>
      </c>
      <c r="O19376" t="s">
        <v>31</v>
      </c>
      <c r="P19376" t="str">
        <f>"15212"</f>
        <v>15212</v>
      </c>
    </row>
    <row r="19377" spans="1:16" x14ac:dyDescent="0.25">
      <c r="A19377" t="str">
        <f>"1270114R00030    00"</f>
        <v>1270114R00030    00</v>
      </c>
      <c r="B19377" t="s">
        <v>41810</v>
      </c>
      <c r="C19377" t="s">
        <v>41999</v>
      </c>
      <c r="D19377" t="s">
        <v>20</v>
      </c>
      <c r="E19377" t="s">
        <v>21</v>
      </c>
      <c r="F19377">
        <v>0</v>
      </c>
      <c r="G19377">
        <v>0</v>
      </c>
      <c r="H19377">
        <v>3</v>
      </c>
      <c r="I19377" s="3">
        <v>2270.0700000000002</v>
      </c>
      <c r="J19377" s="3">
        <v>151.33000000000001</v>
      </c>
      <c r="L19377">
        <v>3778</v>
      </c>
      <c r="M19377" t="s">
        <v>17198</v>
      </c>
      <c r="N19377" t="s">
        <v>30</v>
      </c>
      <c r="O19377" t="s">
        <v>31</v>
      </c>
      <c r="P19377" t="str">
        <f>"15212"</f>
        <v>15212</v>
      </c>
    </row>
    <row r="19378" spans="1:16" x14ac:dyDescent="0.25">
      <c r="A19378" t="str">
        <f>"1270114R00032    00"</f>
        <v>1270114R00032    00</v>
      </c>
      <c r="B19378" t="s">
        <v>42000</v>
      </c>
      <c r="C19378" t="s">
        <v>42001</v>
      </c>
      <c r="D19378" t="s">
        <v>20</v>
      </c>
      <c r="E19378" t="s">
        <v>39</v>
      </c>
      <c r="F19378">
        <v>0</v>
      </c>
      <c r="G19378">
        <v>0</v>
      </c>
      <c r="H19378">
        <v>2</v>
      </c>
      <c r="I19378" s="3">
        <v>1455.69</v>
      </c>
      <c r="J19378" s="3">
        <v>0</v>
      </c>
      <c r="K19378" t="s">
        <v>445</v>
      </c>
      <c r="L19378">
        <v>1</v>
      </c>
      <c r="M19378" t="s">
        <v>1163</v>
      </c>
      <c r="N19378" t="s">
        <v>1164</v>
      </c>
      <c r="O19378" t="s">
        <v>108</v>
      </c>
      <c r="P19378" t="str">
        <f>"76262"</f>
        <v>76262</v>
      </c>
    </row>
    <row r="19379" spans="1:16" x14ac:dyDescent="0.25">
      <c r="A19379" t="str">
        <f>"1270114R00034    00"</f>
        <v>1270114R00034    00</v>
      </c>
      <c r="B19379" t="s">
        <v>42002</v>
      </c>
      <c r="C19379" t="s">
        <v>42003</v>
      </c>
      <c r="D19379" t="s">
        <v>20</v>
      </c>
      <c r="E19379" t="s">
        <v>39</v>
      </c>
      <c r="F19379">
        <v>0</v>
      </c>
      <c r="G19379">
        <v>0</v>
      </c>
      <c r="H19379">
        <v>5</v>
      </c>
      <c r="I19379" s="3">
        <v>4301.04</v>
      </c>
      <c r="J19379" s="3">
        <v>773.06</v>
      </c>
      <c r="L19379">
        <v>1477</v>
      </c>
      <c r="M19379" t="s">
        <v>37875</v>
      </c>
      <c r="N19379" t="s">
        <v>30</v>
      </c>
      <c r="O19379" t="s">
        <v>31</v>
      </c>
      <c r="P19379" t="str">
        <f t="shared" ref="P19379:P19388" si="238">"15212"</f>
        <v>15212</v>
      </c>
    </row>
    <row r="19380" spans="1:16" x14ac:dyDescent="0.25">
      <c r="A19380" t="str">
        <f>"1270114R00037    00"</f>
        <v>1270114R00037    00</v>
      </c>
      <c r="B19380" t="s">
        <v>42004</v>
      </c>
      <c r="C19380" t="s">
        <v>42005</v>
      </c>
      <c r="D19380" t="s">
        <v>20</v>
      </c>
      <c r="E19380" t="s">
        <v>39</v>
      </c>
      <c r="F19380">
        <v>0</v>
      </c>
      <c r="G19380">
        <v>0</v>
      </c>
      <c r="H19380">
        <v>1</v>
      </c>
      <c r="I19380" s="3">
        <v>317.83</v>
      </c>
      <c r="J19380" s="3">
        <v>0</v>
      </c>
      <c r="K19380" t="s">
        <v>42006</v>
      </c>
      <c r="L19380">
        <v>1469</v>
      </c>
      <c r="M19380" t="s">
        <v>37875</v>
      </c>
      <c r="N19380" t="s">
        <v>30</v>
      </c>
      <c r="O19380" t="s">
        <v>31</v>
      </c>
      <c r="P19380" t="str">
        <f t="shared" si="238"/>
        <v>15212</v>
      </c>
    </row>
    <row r="19381" spans="1:16" x14ac:dyDescent="0.25">
      <c r="A19381" t="str">
        <f>"1270114R00157    00"</f>
        <v>1270114R00157    00</v>
      </c>
      <c r="B19381" t="s">
        <v>42007</v>
      </c>
      <c r="C19381" t="s">
        <v>42008</v>
      </c>
      <c r="D19381" t="s">
        <v>20</v>
      </c>
      <c r="E19381" t="s">
        <v>39</v>
      </c>
      <c r="F19381">
        <v>0</v>
      </c>
      <c r="G19381">
        <v>0</v>
      </c>
      <c r="H19381">
        <v>19</v>
      </c>
      <c r="I19381" s="3">
        <v>12027.35</v>
      </c>
      <c r="J19381" s="3">
        <v>11987.68</v>
      </c>
      <c r="L19381">
        <v>3724</v>
      </c>
      <c r="M19381" t="s">
        <v>17198</v>
      </c>
      <c r="N19381" t="s">
        <v>30</v>
      </c>
      <c r="O19381" t="s">
        <v>31</v>
      </c>
      <c r="P19381" t="str">
        <f t="shared" si="238"/>
        <v>15212</v>
      </c>
    </row>
    <row r="19382" spans="1:16" x14ac:dyDescent="0.25">
      <c r="A19382" t="str">
        <f>"1270114R00246    00"</f>
        <v>1270114R00246    00</v>
      </c>
      <c r="B19382" t="s">
        <v>42009</v>
      </c>
      <c r="C19382" t="s">
        <v>42010</v>
      </c>
      <c r="D19382" t="s">
        <v>20</v>
      </c>
      <c r="E19382" t="s">
        <v>39</v>
      </c>
      <c r="F19382">
        <v>0</v>
      </c>
      <c r="G19382">
        <v>0</v>
      </c>
      <c r="H19382">
        <v>1</v>
      </c>
      <c r="I19382" s="3">
        <v>2808</v>
      </c>
      <c r="J19382" s="3">
        <v>0</v>
      </c>
      <c r="L19382">
        <v>1514</v>
      </c>
      <c r="M19382" t="s">
        <v>40848</v>
      </c>
      <c r="N19382" t="s">
        <v>30</v>
      </c>
      <c r="O19382" t="s">
        <v>31</v>
      </c>
      <c r="P19382" t="str">
        <f t="shared" si="238"/>
        <v>15212</v>
      </c>
    </row>
    <row r="19383" spans="1:16" x14ac:dyDescent="0.25">
      <c r="A19383" t="str">
        <f>"1270114R00252    00"</f>
        <v>1270114R00252    00</v>
      </c>
      <c r="B19383" t="s">
        <v>42011</v>
      </c>
      <c r="C19383" t="s">
        <v>42012</v>
      </c>
      <c r="E19383" t="s">
        <v>39</v>
      </c>
      <c r="F19383">
        <v>0</v>
      </c>
      <c r="G19383">
        <v>0</v>
      </c>
      <c r="H19383">
        <v>1</v>
      </c>
      <c r="I19383" s="3">
        <v>722.42</v>
      </c>
      <c r="J19383" s="3">
        <v>0</v>
      </c>
      <c r="L19383">
        <v>1524</v>
      </c>
      <c r="M19383" t="s">
        <v>40848</v>
      </c>
      <c r="N19383" t="s">
        <v>30</v>
      </c>
      <c r="O19383" t="s">
        <v>31</v>
      </c>
      <c r="P19383" t="str">
        <f t="shared" si="238"/>
        <v>15212</v>
      </c>
    </row>
    <row r="19384" spans="1:16" x14ac:dyDescent="0.25">
      <c r="A19384" t="str">
        <f>"1270114R00255    00"</f>
        <v>1270114R00255    00</v>
      </c>
      <c r="B19384" t="s">
        <v>42013</v>
      </c>
      <c r="C19384" t="s">
        <v>42014</v>
      </c>
      <c r="D19384" t="s">
        <v>20</v>
      </c>
      <c r="E19384" t="s">
        <v>39</v>
      </c>
      <c r="F19384">
        <v>0</v>
      </c>
      <c r="G19384">
        <v>0</v>
      </c>
      <c r="H19384">
        <v>5</v>
      </c>
      <c r="I19384" s="3">
        <v>14010.42</v>
      </c>
      <c r="J19384" s="3">
        <v>2101.27</v>
      </c>
      <c r="L19384">
        <v>1528</v>
      </c>
      <c r="M19384" t="s">
        <v>40848</v>
      </c>
      <c r="N19384" t="s">
        <v>30</v>
      </c>
      <c r="O19384" t="s">
        <v>31</v>
      </c>
      <c r="P19384" t="str">
        <f t="shared" si="238"/>
        <v>15212</v>
      </c>
    </row>
    <row r="19385" spans="1:16" x14ac:dyDescent="0.25">
      <c r="A19385" t="str">
        <f>"1270114R00287    00"</f>
        <v>1270114R00287    00</v>
      </c>
      <c r="B19385" t="s">
        <v>42015</v>
      </c>
      <c r="C19385" t="s">
        <v>42016</v>
      </c>
      <c r="D19385" t="s">
        <v>20</v>
      </c>
      <c r="E19385" t="s">
        <v>39</v>
      </c>
      <c r="F19385">
        <v>0</v>
      </c>
      <c r="G19385">
        <v>0</v>
      </c>
      <c r="H19385">
        <v>2</v>
      </c>
      <c r="I19385" s="3">
        <v>2757.1</v>
      </c>
      <c r="J19385" s="3">
        <v>0</v>
      </c>
      <c r="L19385">
        <v>1525</v>
      </c>
      <c r="M19385" t="s">
        <v>40848</v>
      </c>
      <c r="N19385" t="s">
        <v>30</v>
      </c>
      <c r="O19385" t="s">
        <v>31</v>
      </c>
      <c r="P19385" t="str">
        <f t="shared" si="238"/>
        <v>15212</v>
      </c>
    </row>
    <row r="19386" spans="1:16" x14ac:dyDescent="0.25">
      <c r="A19386" t="str">
        <f>"1270114R00338    00"</f>
        <v>1270114R00338    00</v>
      </c>
      <c r="B19386" t="s">
        <v>42017</v>
      </c>
      <c r="C19386" t="s">
        <v>42018</v>
      </c>
      <c r="D19386" t="s">
        <v>20</v>
      </c>
      <c r="E19386" t="s">
        <v>39</v>
      </c>
      <c r="F19386">
        <v>0</v>
      </c>
      <c r="G19386">
        <v>0</v>
      </c>
      <c r="H19386">
        <v>1</v>
      </c>
      <c r="I19386" s="3">
        <v>1353.74</v>
      </c>
      <c r="J19386" s="3">
        <v>0</v>
      </c>
      <c r="L19386">
        <v>1432</v>
      </c>
      <c r="M19386" t="s">
        <v>40743</v>
      </c>
      <c r="N19386" t="s">
        <v>30</v>
      </c>
      <c r="O19386" t="s">
        <v>31</v>
      </c>
      <c r="P19386" t="str">
        <f t="shared" si="238"/>
        <v>15212</v>
      </c>
    </row>
    <row r="19387" spans="1:16" x14ac:dyDescent="0.25">
      <c r="A19387" t="str">
        <f>"1270114S00009    00"</f>
        <v>1270114S00009    00</v>
      </c>
      <c r="B19387" t="s">
        <v>42019</v>
      </c>
      <c r="C19387" t="s">
        <v>42020</v>
      </c>
      <c r="D19387" t="s">
        <v>20</v>
      </c>
      <c r="E19387" t="s">
        <v>39</v>
      </c>
      <c r="F19387">
        <v>0</v>
      </c>
      <c r="G19387">
        <v>0</v>
      </c>
      <c r="H19387">
        <v>1</v>
      </c>
      <c r="I19387" s="3">
        <v>1826.42</v>
      </c>
      <c r="J19387" s="3">
        <v>0</v>
      </c>
      <c r="L19387">
        <v>1400</v>
      </c>
      <c r="M19387" t="s">
        <v>40848</v>
      </c>
      <c r="N19387" t="s">
        <v>30</v>
      </c>
      <c r="O19387" t="s">
        <v>31</v>
      </c>
      <c r="P19387" t="str">
        <f t="shared" si="238"/>
        <v>15212</v>
      </c>
    </row>
    <row r="19388" spans="1:16" x14ac:dyDescent="0.25">
      <c r="A19388" t="str">
        <f>"1270114S00042    00"</f>
        <v>1270114S00042    00</v>
      </c>
      <c r="B19388" t="s">
        <v>42021</v>
      </c>
      <c r="C19388" t="s">
        <v>42022</v>
      </c>
      <c r="E19388" t="s">
        <v>39</v>
      </c>
      <c r="F19388">
        <v>0</v>
      </c>
      <c r="G19388">
        <v>0</v>
      </c>
      <c r="H19388">
        <v>1</v>
      </c>
      <c r="I19388" s="3">
        <v>1876.03</v>
      </c>
      <c r="J19388" s="3">
        <v>0</v>
      </c>
      <c r="L19388">
        <v>1320</v>
      </c>
      <c r="M19388" t="s">
        <v>40743</v>
      </c>
      <c r="N19388" t="s">
        <v>30</v>
      </c>
      <c r="O19388" t="s">
        <v>31</v>
      </c>
      <c r="P19388" t="str">
        <f t="shared" si="238"/>
        <v>15212</v>
      </c>
    </row>
    <row r="19389" spans="1:16" x14ac:dyDescent="0.25">
      <c r="A19389" t="str">
        <f>"1270114S00048    00"</f>
        <v>1270114S00048    00</v>
      </c>
      <c r="B19389" t="s">
        <v>42023</v>
      </c>
      <c r="C19389" t="s">
        <v>42024</v>
      </c>
      <c r="D19389" t="s">
        <v>20</v>
      </c>
      <c r="E19389" t="s">
        <v>39</v>
      </c>
      <c r="F19389">
        <v>0</v>
      </c>
      <c r="G19389">
        <v>0</v>
      </c>
      <c r="H19389">
        <v>1</v>
      </c>
      <c r="I19389" s="3">
        <v>258.41000000000003</v>
      </c>
      <c r="J19389" s="3">
        <v>2.15</v>
      </c>
      <c r="K19389" t="s">
        <v>5432</v>
      </c>
      <c r="L19389">
        <v>3001</v>
      </c>
      <c r="M19389" t="s">
        <v>330</v>
      </c>
      <c r="N19389" t="s">
        <v>331</v>
      </c>
      <c r="O19389" t="s">
        <v>108</v>
      </c>
      <c r="P19389" t="str">
        <f>"75063"</f>
        <v>75063</v>
      </c>
    </row>
    <row r="19390" spans="1:16" x14ac:dyDescent="0.25">
      <c r="A19390" t="str">
        <f>"1270114S00094    00"</f>
        <v>1270114S00094    00</v>
      </c>
      <c r="B19390" t="s">
        <v>42025</v>
      </c>
      <c r="C19390" t="s">
        <v>42026</v>
      </c>
      <c r="D19390" t="s">
        <v>20</v>
      </c>
      <c r="E19390" t="s">
        <v>39</v>
      </c>
      <c r="F19390">
        <v>0</v>
      </c>
      <c r="G19390">
        <v>0</v>
      </c>
      <c r="H19390">
        <v>1</v>
      </c>
      <c r="I19390" s="3">
        <v>181.46</v>
      </c>
      <c r="J19390" s="3">
        <v>0</v>
      </c>
      <c r="K19390" t="s">
        <v>42027</v>
      </c>
      <c r="L19390">
        <v>3713</v>
      </c>
      <c r="M19390" t="s">
        <v>13961</v>
      </c>
      <c r="N19390" t="s">
        <v>30</v>
      </c>
      <c r="O19390" t="s">
        <v>31</v>
      </c>
      <c r="P19390" t="str">
        <f>"15212"</f>
        <v>15212</v>
      </c>
    </row>
    <row r="19391" spans="1:16" x14ac:dyDescent="0.25">
      <c r="A19391" t="str">
        <f>"1270114S00165    00"</f>
        <v>1270114S00165    00</v>
      </c>
      <c r="B19391" t="s">
        <v>42028</v>
      </c>
      <c r="C19391" t="s">
        <v>42029</v>
      </c>
      <c r="D19391" t="s">
        <v>20</v>
      </c>
      <c r="E19391" t="s">
        <v>39</v>
      </c>
      <c r="F19391">
        <v>0</v>
      </c>
      <c r="G19391">
        <v>0</v>
      </c>
      <c r="H19391">
        <v>10</v>
      </c>
      <c r="I19391" s="3">
        <v>13693.26</v>
      </c>
      <c r="J19391" s="3">
        <v>5346.37</v>
      </c>
      <c r="K19391" t="s">
        <v>42030</v>
      </c>
      <c r="L19391">
        <v>738</v>
      </c>
      <c r="M19391" t="s">
        <v>3385</v>
      </c>
      <c r="N19391" t="s">
        <v>30</v>
      </c>
      <c r="O19391" t="s">
        <v>31</v>
      </c>
      <c r="P19391" t="str">
        <f>"15209"</f>
        <v>15209</v>
      </c>
    </row>
    <row r="19392" spans="1:16" x14ac:dyDescent="0.25">
      <c r="A19392" t="str">
        <f>"1270114S00170    00"</f>
        <v>1270114S00170    00</v>
      </c>
      <c r="B19392" t="s">
        <v>42031</v>
      </c>
      <c r="C19392" t="s">
        <v>42032</v>
      </c>
      <c r="D19392" t="s">
        <v>20</v>
      </c>
      <c r="E19392" t="s">
        <v>39</v>
      </c>
      <c r="F19392">
        <v>0</v>
      </c>
      <c r="G19392">
        <v>0</v>
      </c>
      <c r="H19392">
        <v>6</v>
      </c>
      <c r="I19392" s="3">
        <v>7574.5</v>
      </c>
      <c r="J19392" s="3">
        <v>1370.79</v>
      </c>
      <c r="L19392">
        <v>683</v>
      </c>
      <c r="M19392" t="s">
        <v>42033</v>
      </c>
      <c r="N19392" t="s">
        <v>1046</v>
      </c>
      <c r="O19392" t="s">
        <v>31</v>
      </c>
      <c r="P19392" t="str">
        <f>"15147"</f>
        <v>15147</v>
      </c>
    </row>
    <row r="19393" spans="1:16" x14ac:dyDescent="0.25">
      <c r="A19393" t="str">
        <f>"1270114S00184    00"</f>
        <v>1270114S00184    00</v>
      </c>
      <c r="B19393" t="s">
        <v>42034</v>
      </c>
      <c r="C19393" t="s">
        <v>41952</v>
      </c>
      <c r="D19393" t="s">
        <v>20</v>
      </c>
      <c r="E19393" t="s">
        <v>39</v>
      </c>
      <c r="F19393">
        <v>0</v>
      </c>
      <c r="G19393">
        <v>0</v>
      </c>
      <c r="H19393">
        <v>7</v>
      </c>
      <c r="I19393" s="3">
        <v>130</v>
      </c>
      <c r="J19393" s="3">
        <v>36.39</v>
      </c>
      <c r="K19393" t="s">
        <v>42035</v>
      </c>
      <c r="L19393">
        <v>3712</v>
      </c>
      <c r="M19393" t="s">
        <v>41956</v>
      </c>
      <c r="N19393" t="s">
        <v>30</v>
      </c>
      <c r="O19393" t="s">
        <v>31</v>
      </c>
      <c r="P19393" t="str">
        <f>"15212"</f>
        <v>15212</v>
      </c>
    </row>
    <row r="19394" spans="1:16" x14ac:dyDescent="0.25">
      <c r="A19394" t="str">
        <f>"1270114S00214    00"</f>
        <v>1270114S00214    00</v>
      </c>
      <c r="B19394" t="s">
        <v>42036</v>
      </c>
      <c r="C19394" t="s">
        <v>42037</v>
      </c>
      <c r="E19394" t="s">
        <v>39</v>
      </c>
      <c r="F19394">
        <v>0</v>
      </c>
      <c r="G19394">
        <v>0</v>
      </c>
      <c r="H19394">
        <v>1</v>
      </c>
      <c r="I19394" s="3">
        <v>359.05</v>
      </c>
      <c r="J19394" s="3">
        <v>80.78</v>
      </c>
      <c r="L19394">
        <v>1209</v>
      </c>
      <c r="M19394" t="s">
        <v>40848</v>
      </c>
      <c r="N19394" t="s">
        <v>30</v>
      </c>
      <c r="O19394" t="s">
        <v>31</v>
      </c>
      <c r="P19394" t="str">
        <f>"15212"</f>
        <v>15212</v>
      </c>
    </row>
    <row r="19395" spans="1:16" x14ac:dyDescent="0.25">
      <c r="A19395" t="str">
        <f>"1270114S00220    00"</f>
        <v>1270114S00220    00</v>
      </c>
      <c r="B19395" t="s">
        <v>42038</v>
      </c>
      <c r="C19395" t="s">
        <v>42039</v>
      </c>
      <c r="D19395" t="s">
        <v>20</v>
      </c>
      <c r="E19395" t="s">
        <v>39</v>
      </c>
      <c r="F19395">
        <v>0</v>
      </c>
      <c r="G19395">
        <v>0</v>
      </c>
      <c r="H19395">
        <v>2</v>
      </c>
      <c r="I19395" s="3">
        <v>1695.38</v>
      </c>
      <c r="J19395" s="3">
        <v>0</v>
      </c>
      <c r="K19395" t="s">
        <v>42040</v>
      </c>
      <c r="L19395">
        <v>1223</v>
      </c>
      <c r="M19395" t="s">
        <v>40848</v>
      </c>
      <c r="N19395" t="s">
        <v>30</v>
      </c>
      <c r="O19395" t="s">
        <v>31</v>
      </c>
      <c r="P19395" t="str">
        <f>"15212"</f>
        <v>15212</v>
      </c>
    </row>
    <row r="19396" spans="1:16" x14ac:dyDescent="0.25">
      <c r="A19396" t="str">
        <f>"1270114S00226    00"</f>
        <v>1270114S00226    00</v>
      </c>
      <c r="B19396" t="s">
        <v>42041</v>
      </c>
      <c r="C19396" t="s">
        <v>42042</v>
      </c>
      <c r="D19396" t="s">
        <v>20</v>
      </c>
      <c r="E19396" t="s">
        <v>39</v>
      </c>
      <c r="F19396">
        <v>0</v>
      </c>
      <c r="G19396">
        <v>0</v>
      </c>
      <c r="H19396">
        <v>2</v>
      </c>
      <c r="I19396" s="3">
        <v>1020.08</v>
      </c>
      <c r="J19396" s="3">
        <v>0</v>
      </c>
      <c r="K19396" t="s">
        <v>26974</v>
      </c>
      <c r="L19396">
        <v>414</v>
      </c>
      <c r="M19396" t="s">
        <v>3295</v>
      </c>
      <c r="N19396" t="s">
        <v>30</v>
      </c>
      <c r="O19396" t="s">
        <v>31</v>
      </c>
      <c r="P19396" t="str">
        <f>"15210"</f>
        <v>15210</v>
      </c>
    </row>
    <row r="19397" spans="1:16" x14ac:dyDescent="0.25">
      <c r="A19397" t="str">
        <f>"1270114S00241    00"</f>
        <v>1270114S00241    00</v>
      </c>
      <c r="B19397" t="s">
        <v>42043</v>
      </c>
      <c r="C19397" t="s">
        <v>42044</v>
      </c>
      <c r="D19397" t="s">
        <v>20</v>
      </c>
      <c r="E19397" t="s">
        <v>39</v>
      </c>
      <c r="F19397">
        <v>0</v>
      </c>
      <c r="G19397">
        <v>0</v>
      </c>
      <c r="H19397">
        <v>2</v>
      </c>
      <c r="I19397" s="3">
        <v>1522.02</v>
      </c>
      <c r="J19397" s="3">
        <v>0</v>
      </c>
      <c r="L19397">
        <v>1261</v>
      </c>
      <c r="M19397" t="s">
        <v>40848</v>
      </c>
      <c r="N19397" t="s">
        <v>30</v>
      </c>
      <c r="O19397" t="s">
        <v>31</v>
      </c>
      <c r="P19397" t="str">
        <f>"15212"</f>
        <v>15212</v>
      </c>
    </row>
    <row r="19398" spans="1:16" x14ac:dyDescent="0.25">
      <c r="A19398" t="str">
        <f>"1270114S00245    00"</f>
        <v>1270114S00245    00</v>
      </c>
      <c r="B19398" t="s">
        <v>42045</v>
      </c>
      <c r="C19398" t="s">
        <v>42046</v>
      </c>
      <c r="D19398" t="s">
        <v>20</v>
      </c>
      <c r="E19398" t="s">
        <v>39</v>
      </c>
      <c r="F19398">
        <v>0</v>
      </c>
      <c r="G19398">
        <v>0</v>
      </c>
      <c r="H19398">
        <v>2</v>
      </c>
      <c r="I19398" s="3">
        <v>1382.38</v>
      </c>
      <c r="J19398" s="3">
        <v>3.45</v>
      </c>
      <c r="K19398" t="s">
        <v>42047</v>
      </c>
      <c r="L19398">
        <v>3648</v>
      </c>
      <c r="M19398" t="s">
        <v>13961</v>
      </c>
      <c r="N19398" t="s">
        <v>30</v>
      </c>
      <c r="O19398" t="s">
        <v>31</v>
      </c>
      <c r="P19398" t="str">
        <f>"15212"</f>
        <v>15212</v>
      </c>
    </row>
    <row r="19399" spans="1:16" x14ac:dyDescent="0.25">
      <c r="A19399" t="str">
        <f>"1270114S00300    00"</f>
        <v>1270114S00300    00</v>
      </c>
      <c r="B19399" t="s">
        <v>42048</v>
      </c>
      <c r="C19399" t="s">
        <v>42049</v>
      </c>
      <c r="D19399" t="s">
        <v>20</v>
      </c>
      <c r="E19399" t="s">
        <v>39</v>
      </c>
      <c r="F19399">
        <v>0</v>
      </c>
      <c r="G19399">
        <v>0</v>
      </c>
      <c r="H19399">
        <v>4</v>
      </c>
      <c r="I19399" s="3">
        <v>571.08000000000004</v>
      </c>
      <c r="J19399" s="3">
        <v>94.71</v>
      </c>
      <c r="L19399">
        <v>3604</v>
      </c>
      <c r="M19399" t="s">
        <v>13961</v>
      </c>
      <c r="N19399" t="s">
        <v>30</v>
      </c>
      <c r="O19399" t="s">
        <v>31</v>
      </c>
      <c r="P19399" t="str">
        <f>"15212"</f>
        <v>15212</v>
      </c>
    </row>
    <row r="19400" spans="1:16" x14ac:dyDescent="0.25">
      <c r="A19400" t="str">
        <f>"1270114S00308    00"</f>
        <v>1270114S00308    00</v>
      </c>
      <c r="B19400" t="s">
        <v>42050</v>
      </c>
      <c r="C19400" t="s">
        <v>42051</v>
      </c>
      <c r="D19400" t="s">
        <v>20</v>
      </c>
      <c r="E19400" t="s">
        <v>39</v>
      </c>
      <c r="F19400">
        <v>0</v>
      </c>
      <c r="G19400">
        <v>0</v>
      </c>
      <c r="H19400">
        <v>2</v>
      </c>
      <c r="I19400" s="3">
        <v>3214.54</v>
      </c>
      <c r="J19400" s="3">
        <v>0</v>
      </c>
      <c r="L19400">
        <v>1216</v>
      </c>
      <c r="M19400" t="s">
        <v>35751</v>
      </c>
      <c r="N19400" t="s">
        <v>30</v>
      </c>
      <c r="O19400" t="s">
        <v>31</v>
      </c>
      <c r="P19400" t="str">
        <f>"15212"</f>
        <v>15212</v>
      </c>
    </row>
    <row r="19401" spans="1:16" x14ac:dyDescent="0.25">
      <c r="A19401" t="str">
        <f>"1270115A00027    00"</f>
        <v>1270115A00027    00</v>
      </c>
      <c r="B19401" t="s">
        <v>42052</v>
      </c>
      <c r="C19401" t="s">
        <v>42053</v>
      </c>
      <c r="D19401" t="s">
        <v>20</v>
      </c>
      <c r="E19401" t="s">
        <v>39</v>
      </c>
      <c r="F19401">
        <v>0</v>
      </c>
      <c r="G19401">
        <v>0</v>
      </c>
      <c r="H19401">
        <v>13</v>
      </c>
      <c r="I19401" s="3">
        <v>6267.46</v>
      </c>
      <c r="J19401" s="3">
        <v>3622.46</v>
      </c>
      <c r="L19401">
        <v>213</v>
      </c>
      <c r="M19401" t="s">
        <v>42054</v>
      </c>
      <c r="N19401" t="s">
        <v>30297</v>
      </c>
      <c r="O19401" t="s">
        <v>31</v>
      </c>
      <c r="P19401" t="str">
        <f>"16038"</f>
        <v>16038</v>
      </c>
    </row>
    <row r="19402" spans="1:16" x14ac:dyDescent="0.25">
      <c r="A19402" t="str">
        <f>"1270115A00053    00"</f>
        <v>1270115A00053    00</v>
      </c>
      <c r="B19402" t="s">
        <v>42055</v>
      </c>
      <c r="C19402" t="s">
        <v>42056</v>
      </c>
      <c r="E19402" t="s">
        <v>39</v>
      </c>
      <c r="F19402">
        <v>0</v>
      </c>
      <c r="G19402">
        <v>0</v>
      </c>
      <c r="H19402">
        <v>3</v>
      </c>
      <c r="I19402" s="3">
        <v>182.7</v>
      </c>
      <c r="J19402" s="3">
        <v>1.01</v>
      </c>
      <c r="M19402" t="s">
        <v>438</v>
      </c>
      <c r="N19402" t="s">
        <v>1766</v>
      </c>
      <c r="O19402" t="s">
        <v>31</v>
      </c>
      <c r="P19402" t="str">
        <f>"15367"</f>
        <v>15367</v>
      </c>
    </row>
    <row r="19403" spans="1:16" x14ac:dyDescent="0.25">
      <c r="A19403" t="str">
        <f>"1270115A00115    00"</f>
        <v>1270115A00115    00</v>
      </c>
      <c r="B19403" t="s">
        <v>42057</v>
      </c>
      <c r="C19403" t="s">
        <v>42058</v>
      </c>
      <c r="D19403" t="s">
        <v>20</v>
      </c>
      <c r="E19403" t="s">
        <v>39</v>
      </c>
      <c r="F19403">
        <v>0</v>
      </c>
      <c r="G19403">
        <v>0</v>
      </c>
      <c r="H19403">
        <v>2</v>
      </c>
      <c r="I19403" s="3">
        <v>1096.46</v>
      </c>
      <c r="J19403" s="3">
        <v>0</v>
      </c>
      <c r="L19403">
        <v>1040</v>
      </c>
      <c r="M19403" t="s">
        <v>40685</v>
      </c>
      <c r="N19403" t="s">
        <v>30</v>
      </c>
      <c r="O19403" t="s">
        <v>31</v>
      </c>
      <c r="P19403" t="str">
        <f>"15212"</f>
        <v>15212</v>
      </c>
    </row>
    <row r="19404" spans="1:16" x14ac:dyDescent="0.25">
      <c r="A19404" t="str">
        <f>"1270115A00118    00"</f>
        <v>1270115A00118    00</v>
      </c>
      <c r="B19404" t="s">
        <v>42059</v>
      </c>
      <c r="C19404" t="s">
        <v>42060</v>
      </c>
      <c r="D19404" t="s">
        <v>20</v>
      </c>
      <c r="E19404" t="s">
        <v>39</v>
      </c>
      <c r="F19404">
        <v>0</v>
      </c>
      <c r="G19404">
        <v>0</v>
      </c>
      <c r="H19404">
        <v>2</v>
      </c>
      <c r="I19404" s="3">
        <v>179.74</v>
      </c>
      <c r="J19404" s="3">
        <v>0</v>
      </c>
      <c r="L19404">
        <v>440</v>
      </c>
      <c r="M19404" t="s">
        <v>42061</v>
      </c>
      <c r="N19404" t="s">
        <v>30</v>
      </c>
      <c r="O19404" t="s">
        <v>31</v>
      </c>
      <c r="P19404" t="str">
        <f>"15229"</f>
        <v>15229</v>
      </c>
    </row>
    <row r="19405" spans="1:16" x14ac:dyDescent="0.25">
      <c r="A19405" t="str">
        <f>"1270115A00120    00"</f>
        <v>1270115A00120    00</v>
      </c>
      <c r="B19405" t="s">
        <v>42062</v>
      </c>
      <c r="C19405" t="s">
        <v>42063</v>
      </c>
      <c r="D19405" t="s">
        <v>20</v>
      </c>
      <c r="E19405" t="s">
        <v>39</v>
      </c>
      <c r="F19405">
        <v>0</v>
      </c>
      <c r="G19405">
        <v>0</v>
      </c>
      <c r="H19405">
        <v>19</v>
      </c>
      <c r="I19405" s="3">
        <v>674.22</v>
      </c>
      <c r="J19405" s="3">
        <v>851.25</v>
      </c>
      <c r="L19405">
        <v>1024</v>
      </c>
      <c r="M19405" t="s">
        <v>40685</v>
      </c>
      <c r="N19405" t="s">
        <v>30</v>
      </c>
      <c r="O19405" t="s">
        <v>31</v>
      </c>
      <c r="P19405" t="str">
        <f>"15212"</f>
        <v>15212</v>
      </c>
    </row>
    <row r="19406" spans="1:16" x14ac:dyDescent="0.25">
      <c r="A19406" t="str">
        <f>"1270115A00190    00"</f>
        <v>1270115A00190    00</v>
      </c>
      <c r="B19406" t="s">
        <v>42064</v>
      </c>
      <c r="C19406" t="s">
        <v>42065</v>
      </c>
      <c r="D19406" t="s">
        <v>20</v>
      </c>
      <c r="E19406" t="s">
        <v>39</v>
      </c>
      <c r="F19406">
        <v>0</v>
      </c>
      <c r="G19406">
        <v>0</v>
      </c>
      <c r="H19406">
        <v>19</v>
      </c>
      <c r="I19406" s="3">
        <v>10016.23</v>
      </c>
      <c r="J19406" s="3">
        <v>10163.93</v>
      </c>
      <c r="K19406" t="s">
        <v>42066</v>
      </c>
      <c r="M19406" t="s">
        <v>42067</v>
      </c>
      <c r="N19406" t="s">
        <v>30</v>
      </c>
      <c r="O19406" t="s">
        <v>31</v>
      </c>
      <c r="P19406" t="str">
        <f>"15233"</f>
        <v>15233</v>
      </c>
    </row>
    <row r="19407" spans="1:16" x14ac:dyDescent="0.25">
      <c r="A19407" t="str">
        <f>"1270115A00192    00"</f>
        <v>1270115A00192    00</v>
      </c>
      <c r="B19407" t="s">
        <v>42068</v>
      </c>
      <c r="C19407" t="s">
        <v>42069</v>
      </c>
      <c r="E19407" t="s">
        <v>39</v>
      </c>
      <c r="F19407">
        <v>0</v>
      </c>
      <c r="G19407">
        <v>0</v>
      </c>
      <c r="H19407">
        <v>2</v>
      </c>
      <c r="I19407" s="3">
        <v>32.4</v>
      </c>
      <c r="J19407" s="3">
        <v>39.96</v>
      </c>
      <c r="L19407">
        <v>947</v>
      </c>
      <c r="M19407" t="s">
        <v>40442</v>
      </c>
      <c r="N19407" t="s">
        <v>30</v>
      </c>
      <c r="O19407" t="s">
        <v>31</v>
      </c>
      <c r="P19407" t="str">
        <f>"15212"</f>
        <v>15212</v>
      </c>
    </row>
    <row r="19408" spans="1:16" x14ac:dyDescent="0.25">
      <c r="A19408" t="str">
        <f>"1270115A00195    00"</f>
        <v>1270115A00195    00</v>
      </c>
      <c r="B19408" t="s">
        <v>42070</v>
      </c>
      <c r="C19408" t="s">
        <v>42065</v>
      </c>
      <c r="D19408" t="s">
        <v>20</v>
      </c>
      <c r="E19408" t="s">
        <v>39</v>
      </c>
      <c r="F19408">
        <v>0</v>
      </c>
      <c r="G19408">
        <v>0</v>
      </c>
      <c r="H19408">
        <v>14</v>
      </c>
      <c r="I19408" s="3">
        <v>3132.2</v>
      </c>
      <c r="J19408" s="3">
        <v>1808.4</v>
      </c>
      <c r="L19408">
        <v>947</v>
      </c>
      <c r="M19408" t="s">
        <v>40442</v>
      </c>
      <c r="N19408" t="s">
        <v>30</v>
      </c>
      <c r="O19408" t="s">
        <v>31</v>
      </c>
      <c r="P19408" t="str">
        <f>"15212"</f>
        <v>15212</v>
      </c>
    </row>
    <row r="19409" spans="1:16" x14ac:dyDescent="0.25">
      <c r="A19409" t="str">
        <f>"1270115A00213    00"</f>
        <v>1270115A00213    00</v>
      </c>
      <c r="B19409" t="s">
        <v>42071</v>
      </c>
      <c r="C19409" t="s">
        <v>42065</v>
      </c>
      <c r="D19409" t="s">
        <v>20</v>
      </c>
      <c r="E19409" t="s">
        <v>39</v>
      </c>
      <c r="F19409">
        <v>0</v>
      </c>
      <c r="G19409">
        <v>0</v>
      </c>
      <c r="H19409">
        <v>1</v>
      </c>
      <c r="I19409" s="3">
        <v>402.18</v>
      </c>
      <c r="J19409" s="3">
        <v>0</v>
      </c>
      <c r="L19409">
        <v>1109</v>
      </c>
      <c r="M19409" t="s">
        <v>42072</v>
      </c>
      <c r="N19409" t="s">
        <v>30</v>
      </c>
      <c r="O19409" t="s">
        <v>31</v>
      </c>
      <c r="P19409" t="str">
        <f>"15212"</f>
        <v>15212</v>
      </c>
    </row>
    <row r="19410" spans="1:16" x14ac:dyDescent="0.25">
      <c r="A19410" t="str">
        <f>"1270115A00225    00"</f>
        <v>1270115A00225    00</v>
      </c>
      <c r="B19410" t="s">
        <v>42073</v>
      </c>
      <c r="C19410" t="s">
        <v>42065</v>
      </c>
      <c r="D19410" t="s">
        <v>20</v>
      </c>
      <c r="E19410" t="s">
        <v>39</v>
      </c>
      <c r="F19410">
        <v>0</v>
      </c>
      <c r="G19410">
        <v>0</v>
      </c>
      <c r="H19410">
        <v>19</v>
      </c>
      <c r="I19410" s="3">
        <v>3061.89</v>
      </c>
      <c r="J19410" s="3">
        <v>4554.2700000000004</v>
      </c>
      <c r="L19410">
        <v>8711</v>
      </c>
      <c r="M19410" t="s">
        <v>42074</v>
      </c>
      <c r="N19410" t="s">
        <v>30</v>
      </c>
      <c r="O19410" t="s">
        <v>31</v>
      </c>
      <c r="P19410" t="str">
        <f>"15237"</f>
        <v>15237</v>
      </c>
    </row>
    <row r="19411" spans="1:16" x14ac:dyDescent="0.25">
      <c r="A19411" t="str">
        <f>"1270115A00241    00"</f>
        <v>1270115A00241    00</v>
      </c>
      <c r="B19411" t="s">
        <v>42075</v>
      </c>
      <c r="C19411" t="s">
        <v>42076</v>
      </c>
      <c r="D19411" t="s">
        <v>20</v>
      </c>
      <c r="E19411" t="s">
        <v>39</v>
      </c>
      <c r="F19411">
        <v>0</v>
      </c>
      <c r="G19411">
        <v>0</v>
      </c>
      <c r="H19411">
        <v>10</v>
      </c>
      <c r="I19411" s="3">
        <v>555.57000000000005</v>
      </c>
      <c r="J19411" s="3">
        <v>375.7</v>
      </c>
      <c r="L19411">
        <v>32</v>
      </c>
      <c r="M19411" t="s">
        <v>40442</v>
      </c>
      <c r="N19411" t="s">
        <v>30</v>
      </c>
      <c r="O19411" t="s">
        <v>31</v>
      </c>
      <c r="P19411" t="str">
        <f>"15212"</f>
        <v>15212</v>
      </c>
    </row>
    <row r="19412" spans="1:16" x14ac:dyDescent="0.25">
      <c r="A19412" t="str">
        <f>"1270115A00245    00"</f>
        <v>1270115A00245    00</v>
      </c>
      <c r="B19412" t="s">
        <v>42077</v>
      </c>
      <c r="C19412" t="s">
        <v>42065</v>
      </c>
      <c r="E19412" t="s">
        <v>39</v>
      </c>
      <c r="F19412">
        <v>0</v>
      </c>
      <c r="G19412">
        <v>0</v>
      </c>
      <c r="H19412">
        <v>2</v>
      </c>
      <c r="I19412" s="3">
        <v>72.599999999999994</v>
      </c>
      <c r="J19412" s="3">
        <v>49.92</v>
      </c>
      <c r="K19412" t="s">
        <v>42078</v>
      </c>
      <c r="L19412">
        <v>940</v>
      </c>
      <c r="M19412" t="s">
        <v>40442</v>
      </c>
      <c r="N19412" t="s">
        <v>30</v>
      </c>
      <c r="O19412" t="s">
        <v>31</v>
      </c>
      <c r="P19412" t="str">
        <f>"15212"</f>
        <v>15212</v>
      </c>
    </row>
    <row r="19413" spans="1:16" x14ac:dyDescent="0.25">
      <c r="A19413" t="str">
        <f>"1270115E00194    00"</f>
        <v>1270115E00194    00</v>
      </c>
      <c r="B19413" t="s">
        <v>42079</v>
      </c>
      <c r="C19413" t="s">
        <v>42080</v>
      </c>
      <c r="D19413" t="s">
        <v>20</v>
      </c>
      <c r="E19413" t="s">
        <v>39</v>
      </c>
      <c r="F19413">
        <v>0</v>
      </c>
      <c r="G19413">
        <v>0</v>
      </c>
      <c r="H19413">
        <v>15</v>
      </c>
      <c r="I19413" s="3">
        <v>13546.53</v>
      </c>
      <c r="J19413" s="3">
        <v>8957.01</v>
      </c>
      <c r="L19413">
        <v>223</v>
      </c>
      <c r="M19413" t="s">
        <v>39079</v>
      </c>
      <c r="N19413" t="s">
        <v>30</v>
      </c>
      <c r="O19413" t="s">
        <v>31</v>
      </c>
      <c r="P19413" t="str">
        <f>"15237"</f>
        <v>15237</v>
      </c>
    </row>
    <row r="19414" spans="1:16" x14ac:dyDescent="0.25">
      <c r="A19414" t="str">
        <f>"1270115E00200    00"</f>
        <v>1270115E00200    00</v>
      </c>
      <c r="B19414" t="s">
        <v>42081</v>
      </c>
      <c r="C19414" t="s">
        <v>42082</v>
      </c>
      <c r="D19414" t="s">
        <v>20</v>
      </c>
      <c r="E19414" t="s">
        <v>39</v>
      </c>
      <c r="F19414">
        <v>0</v>
      </c>
      <c r="G19414">
        <v>0</v>
      </c>
      <c r="H19414">
        <v>4</v>
      </c>
      <c r="I19414" s="3">
        <v>3847.24</v>
      </c>
      <c r="J19414" s="3">
        <v>833.25</v>
      </c>
      <c r="K19414" t="s">
        <v>42083</v>
      </c>
      <c r="L19414">
        <v>117</v>
      </c>
      <c r="M19414" t="s">
        <v>34011</v>
      </c>
      <c r="N19414" t="s">
        <v>30</v>
      </c>
      <c r="O19414" t="s">
        <v>31</v>
      </c>
      <c r="P19414" t="str">
        <f>"15214"</f>
        <v>15214</v>
      </c>
    </row>
    <row r="19415" spans="1:16" x14ac:dyDescent="0.25">
      <c r="A19415" t="str">
        <f>"1270115F00275    00"</f>
        <v>1270115F00275    00</v>
      </c>
      <c r="B19415" t="s">
        <v>39141</v>
      </c>
      <c r="C19415" t="s">
        <v>39142</v>
      </c>
      <c r="E19415" t="s">
        <v>39</v>
      </c>
      <c r="F19415">
        <v>0</v>
      </c>
      <c r="G19415">
        <v>0</v>
      </c>
      <c r="H19415">
        <v>1</v>
      </c>
      <c r="I19415" s="3">
        <v>61.78</v>
      </c>
      <c r="J19415" s="3">
        <v>61.26</v>
      </c>
      <c r="L19415">
        <v>1300</v>
      </c>
      <c r="M19415" t="s">
        <v>13961</v>
      </c>
      <c r="N19415" t="s">
        <v>30</v>
      </c>
      <c r="O19415" t="s">
        <v>31</v>
      </c>
      <c r="P19415" t="str">
        <f>"15233"</f>
        <v>15233</v>
      </c>
    </row>
    <row r="19416" spans="1:16" x14ac:dyDescent="0.25">
      <c r="A19416" t="str">
        <f>"1270115F00279    00"</f>
        <v>1270115F00279    00</v>
      </c>
      <c r="B19416" t="s">
        <v>42084</v>
      </c>
      <c r="C19416" t="s">
        <v>42085</v>
      </c>
      <c r="D19416" t="s">
        <v>20</v>
      </c>
      <c r="E19416" t="s">
        <v>39</v>
      </c>
      <c r="F19416">
        <v>0</v>
      </c>
      <c r="G19416">
        <v>0</v>
      </c>
      <c r="H19416">
        <v>1</v>
      </c>
      <c r="I19416" s="3">
        <v>742.07</v>
      </c>
      <c r="J19416" s="3">
        <v>0</v>
      </c>
      <c r="K19416" t="s">
        <v>42086</v>
      </c>
      <c r="L19416">
        <v>118</v>
      </c>
      <c r="M19416" t="s">
        <v>42087</v>
      </c>
      <c r="N19416" t="s">
        <v>30</v>
      </c>
      <c r="O19416" t="s">
        <v>31</v>
      </c>
      <c r="P19416" t="str">
        <f>"15212"</f>
        <v>15212</v>
      </c>
    </row>
    <row r="19417" spans="1:16" x14ac:dyDescent="0.25">
      <c r="A19417" t="str">
        <f>"1270115K00213    00"</f>
        <v>1270115K00213    00</v>
      </c>
      <c r="B19417" t="s">
        <v>36277</v>
      </c>
      <c r="C19417" t="s">
        <v>42088</v>
      </c>
      <c r="D19417" t="s">
        <v>20</v>
      </c>
      <c r="E19417" t="s">
        <v>39</v>
      </c>
      <c r="F19417">
        <v>0</v>
      </c>
      <c r="G19417">
        <v>0</v>
      </c>
      <c r="H19417">
        <v>4</v>
      </c>
      <c r="I19417" s="3">
        <v>9932.92</v>
      </c>
      <c r="J19417" s="3">
        <v>1173.3499999999999</v>
      </c>
      <c r="K19417" t="s">
        <v>417</v>
      </c>
      <c r="L19417">
        <v>3001</v>
      </c>
      <c r="M19417" t="s">
        <v>330</v>
      </c>
      <c r="N19417" t="s">
        <v>331</v>
      </c>
      <c r="O19417" t="s">
        <v>108</v>
      </c>
      <c r="P19417" t="str">
        <f>"75063"</f>
        <v>75063</v>
      </c>
    </row>
    <row r="19418" spans="1:16" x14ac:dyDescent="0.25">
      <c r="A19418" t="str">
        <f>"1270115K00215    00"</f>
        <v>1270115K00215    00</v>
      </c>
      <c r="B19418" t="s">
        <v>36277</v>
      </c>
      <c r="C19418" t="s">
        <v>39142</v>
      </c>
      <c r="D19418" t="s">
        <v>20</v>
      </c>
      <c r="E19418" t="s">
        <v>39</v>
      </c>
      <c r="F19418">
        <v>0</v>
      </c>
      <c r="G19418">
        <v>0</v>
      </c>
      <c r="H19418">
        <v>4</v>
      </c>
      <c r="I19418" s="3">
        <v>1010.05</v>
      </c>
      <c r="J19418" s="3">
        <v>119.32</v>
      </c>
      <c r="K19418" t="s">
        <v>42089</v>
      </c>
      <c r="L19418">
        <v>2101</v>
      </c>
      <c r="M19418" t="s">
        <v>42090</v>
      </c>
      <c r="N19418" t="s">
        <v>30</v>
      </c>
      <c r="O19418" t="s">
        <v>31</v>
      </c>
      <c r="P19418" t="str">
        <f>"15220"</f>
        <v>15220</v>
      </c>
    </row>
    <row r="19419" spans="1:16" x14ac:dyDescent="0.25">
      <c r="A19419" t="str">
        <f>"1270115K00226    00"</f>
        <v>1270115K00226    00</v>
      </c>
      <c r="B19419" t="s">
        <v>42091</v>
      </c>
      <c r="C19419" t="s">
        <v>42092</v>
      </c>
      <c r="E19419" t="s">
        <v>39</v>
      </c>
      <c r="F19419">
        <v>0</v>
      </c>
      <c r="G19419">
        <v>0</v>
      </c>
      <c r="H19419">
        <v>1</v>
      </c>
      <c r="I19419" s="3">
        <v>971.75</v>
      </c>
      <c r="J19419" s="3">
        <v>0</v>
      </c>
      <c r="K19419" t="s">
        <v>42093</v>
      </c>
      <c r="L19419">
        <v>309</v>
      </c>
      <c r="M19419" t="s">
        <v>36279</v>
      </c>
      <c r="N19419" t="s">
        <v>30</v>
      </c>
      <c r="O19419" t="s">
        <v>31</v>
      </c>
      <c r="P19419" t="str">
        <f>"15212"</f>
        <v>15212</v>
      </c>
    </row>
    <row r="19420" spans="1:16" x14ac:dyDescent="0.25">
      <c r="A19420" t="str">
        <f>"1270115N00022    00"</f>
        <v>1270115N00022    00</v>
      </c>
      <c r="B19420" t="s">
        <v>42094</v>
      </c>
      <c r="C19420" t="s">
        <v>42095</v>
      </c>
      <c r="D19420" t="s">
        <v>20</v>
      </c>
      <c r="E19420" t="s">
        <v>39</v>
      </c>
      <c r="F19420">
        <v>0</v>
      </c>
      <c r="G19420">
        <v>0</v>
      </c>
      <c r="H19420">
        <v>2</v>
      </c>
      <c r="I19420" s="3">
        <v>73.849999999999994</v>
      </c>
      <c r="J19420" s="3">
        <v>12.57</v>
      </c>
      <c r="K19420" t="s">
        <v>42096</v>
      </c>
      <c r="L19420">
        <v>3634</v>
      </c>
      <c r="M19420" t="s">
        <v>42097</v>
      </c>
      <c r="N19420" t="s">
        <v>30</v>
      </c>
      <c r="O19420" t="s">
        <v>31</v>
      </c>
      <c r="P19420" t="str">
        <f>"15212"</f>
        <v>15212</v>
      </c>
    </row>
    <row r="19421" spans="1:16" x14ac:dyDescent="0.25">
      <c r="A19421" t="str">
        <f>"1270115N00024    00"</f>
        <v>1270115N00024    00</v>
      </c>
      <c r="B19421" t="s">
        <v>42094</v>
      </c>
      <c r="C19421" t="s">
        <v>42098</v>
      </c>
      <c r="D19421" t="s">
        <v>20</v>
      </c>
      <c r="E19421" t="s">
        <v>39</v>
      </c>
      <c r="F19421">
        <v>0</v>
      </c>
      <c r="G19421">
        <v>0</v>
      </c>
      <c r="H19421">
        <v>3</v>
      </c>
      <c r="I19421" s="3">
        <v>520.48</v>
      </c>
      <c r="J19421" s="3">
        <v>3.91</v>
      </c>
      <c r="K19421" t="s">
        <v>42096</v>
      </c>
      <c r="L19421">
        <v>3634</v>
      </c>
      <c r="M19421" t="s">
        <v>42097</v>
      </c>
      <c r="N19421" t="s">
        <v>30</v>
      </c>
      <c r="O19421" t="s">
        <v>31</v>
      </c>
      <c r="P19421" t="str">
        <f>"15212"</f>
        <v>15212</v>
      </c>
    </row>
    <row r="19422" spans="1:16" x14ac:dyDescent="0.25">
      <c r="A19422" t="str">
        <f>"1270115N00057    00"</f>
        <v>1270115N00057    00</v>
      </c>
      <c r="B19422" t="s">
        <v>42099</v>
      </c>
      <c r="C19422" t="s">
        <v>42100</v>
      </c>
      <c r="D19422" t="s">
        <v>20</v>
      </c>
      <c r="E19422" t="s">
        <v>39</v>
      </c>
      <c r="F19422">
        <v>0</v>
      </c>
      <c r="G19422">
        <v>0</v>
      </c>
      <c r="H19422">
        <v>3</v>
      </c>
      <c r="I19422" s="3">
        <v>3172.13</v>
      </c>
      <c r="J19422" s="3">
        <v>100.56</v>
      </c>
      <c r="K19422" t="s">
        <v>7350</v>
      </c>
      <c r="L19422">
        <v>3001</v>
      </c>
      <c r="M19422" t="s">
        <v>330</v>
      </c>
      <c r="N19422" t="s">
        <v>331</v>
      </c>
      <c r="O19422" t="s">
        <v>108</v>
      </c>
      <c r="P19422" t="str">
        <f>"75063"</f>
        <v>75063</v>
      </c>
    </row>
    <row r="19423" spans="1:16" x14ac:dyDescent="0.25">
      <c r="A19423" t="str">
        <f>"1270115N00112    00"</f>
        <v>1270115N00112    00</v>
      </c>
      <c r="B19423" t="s">
        <v>42101</v>
      </c>
      <c r="C19423" t="s">
        <v>42102</v>
      </c>
      <c r="E19423" t="s">
        <v>39</v>
      </c>
      <c r="F19423">
        <v>0</v>
      </c>
      <c r="G19423">
        <v>0</v>
      </c>
      <c r="H19423">
        <v>1</v>
      </c>
      <c r="I19423" s="3">
        <v>489.48</v>
      </c>
      <c r="J19423" s="3">
        <v>0</v>
      </c>
      <c r="L19423">
        <v>1141</v>
      </c>
      <c r="M19423" t="s">
        <v>42103</v>
      </c>
      <c r="N19423" t="s">
        <v>30</v>
      </c>
      <c r="O19423" t="s">
        <v>31</v>
      </c>
      <c r="P19423" t="str">
        <f t="shared" ref="P19423:P19431" si="239">"15212"</f>
        <v>15212</v>
      </c>
    </row>
    <row r="19424" spans="1:16" x14ac:dyDescent="0.25">
      <c r="A19424" t="str">
        <f>"1270115N00124    00"</f>
        <v>1270115N00124    00</v>
      </c>
      <c r="B19424" t="s">
        <v>42104</v>
      </c>
      <c r="C19424" t="s">
        <v>42105</v>
      </c>
      <c r="D19424" t="s">
        <v>20</v>
      </c>
      <c r="E19424" t="s">
        <v>39</v>
      </c>
      <c r="F19424">
        <v>0</v>
      </c>
      <c r="G19424">
        <v>0</v>
      </c>
      <c r="H19424">
        <v>4</v>
      </c>
      <c r="I19424" s="3">
        <v>714.16</v>
      </c>
      <c r="J19424" s="3">
        <v>78.89</v>
      </c>
      <c r="L19424">
        <v>1121</v>
      </c>
      <c r="M19424" t="s">
        <v>42103</v>
      </c>
      <c r="N19424" t="s">
        <v>30</v>
      </c>
      <c r="O19424" t="s">
        <v>31</v>
      </c>
      <c r="P19424" t="str">
        <f t="shared" si="239"/>
        <v>15212</v>
      </c>
    </row>
    <row r="19425" spans="1:16" x14ac:dyDescent="0.25">
      <c r="A19425" t="str">
        <f>"1270115N00154    00"</f>
        <v>1270115N00154    00</v>
      </c>
      <c r="B19425" t="s">
        <v>42106</v>
      </c>
      <c r="C19425" t="s">
        <v>42107</v>
      </c>
      <c r="D19425" t="s">
        <v>20</v>
      </c>
      <c r="E19425" t="s">
        <v>39</v>
      </c>
      <c r="F19425">
        <v>0</v>
      </c>
      <c r="G19425">
        <v>0</v>
      </c>
      <c r="H19425">
        <v>4</v>
      </c>
      <c r="I19425" s="3">
        <v>4254.6400000000003</v>
      </c>
      <c r="J19425" s="3">
        <v>523.34</v>
      </c>
      <c r="L19425">
        <v>3617</v>
      </c>
      <c r="M19425" t="s">
        <v>42097</v>
      </c>
      <c r="N19425" t="s">
        <v>30</v>
      </c>
      <c r="O19425" t="s">
        <v>31</v>
      </c>
      <c r="P19425" t="str">
        <f t="shared" si="239"/>
        <v>15212</v>
      </c>
    </row>
    <row r="19426" spans="1:16" x14ac:dyDescent="0.25">
      <c r="A19426" t="str">
        <f>"1270115N00184    00"</f>
        <v>1270115N00184    00</v>
      </c>
      <c r="B19426" t="s">
        <v>42108</v>
      </c>
      <c r="C19426" t="s">
        <v>42109</v>
      </c>
      <c r="D19426" t="s">
        <v>20</v>
      </c>
      <c r="E19426" t="s">
        <v>39</v>
      </c>
      <c r="F19426">
        <v>0</v>
      </c>
      <c r="G19426">
        <v>0</v>
      </c>
      <c r="H19426">
        <v>1</v>
      </c>
      <c r="I19426" s="3">
        <v>47.19</v>
      </c>
      <c r="J19426" s="3">
        <v>0</v>
      </c>
      <c r="L19426">
        <v>3614</v>
      </c>
      <c r="M19426" t="s">
        <v>42110</v>
      </c>
      <c r="N19426" t="s">
        <v>30</v>
      </c>
      <c r="O19426" t="s">
        <v>31</v>
      </c>
      <c r="P19426" t="str">
        <f t="shared" si="239"/>
        <v>15212</v>
      </c>
    </row>
    <row r="19427" spans="1:16" x14ac:dyDescent="0.25">
      <c r="A19427" t="str">
        <f>"1270115N00252    00"</f>
        <v>1270115N00252    00</v>
      </c>
      <c r="B19427" t="s">
        <v>42111</v>
      </c>
      <c r="C19427" t="s">
        <v>42112</v>
      </c>
      <c r="D19427" t="s">
        <v>20</v>
      </c>
      <c r="E19427" t="s">
        <v>39</v>
      </c>
      <c r="F19427">
        <v>0</v>
      </c>
      <c r="G19427">
        <v>0</v>
      </c>
      <c r="H19427">
        <v>1</v>
      </c>
      <c r="I19427" s="3">
        <v>995.4</v>
      </c>
      <c r="J19427" s="3">
        <v>0</v>
      </c>
      <c r="L19427">
        <v>1109</v>
      </c>
      <c r="M19427" t="s">
        <v>40848</v>
      </c>
      <c r="N19427" t="s">
        <v>30</v>
      </c>
      <c r="O19427" t="s">
        <v>31</v>
      </c>
      <c r="P19427" t="str">
        <f t="shared" si="239"/>
        <v>15212</v>
      </c>
    </row>
    <row r="19428" spans="1:16" x14ac:dyDescent="0.25">
      <c r="A19428" t="str">
        <f>"1270115N00266    00"</f>
        <v>1270115N00266    00</v>
      </c>
      <c r="B19428" t="s">
        <v>42113</v>
      </c>
      <c r="C19428" t="s">
        <v>42114</v>
      </c>
      <c r="E19428" t="s">
        <v>39</v>
      </c>
      <c r="F19428">
        <v>0</v>
      </c>
      <c r="G19428">
        <v>0</v>
      </c>
      <c r="H19428">
        <v>2</v>
      </c>
      <c r="I19428" s="3">
        <v>297.26</v>
      </c>
      <c r="J19428" s="3">
        <v>1.24</v>
      </c>
      <c r="L19428">
        <v>1103</v>
      </c>
      <c r="M19428" t="s">
        <v>42115</v>
      </c>
      <c r="N19428" t="s">
        <v>30</v>
      </c>
      <c r="O19428" t="s">
        <v>31</v>
      </c>
      <c r="P19428" t="str">
        <f t="shared" si="239"/>
        <v>15212</v>
      </c>
    </row>
    <row r="19429" spans="1:16" x14ac:dyDescent="0.25">
      <c r="A19429" t="str">
        <f>"1270115N00276    00"</f>
        <v>1270115N00276    00</v>
      </c>
      <c r="B19429" t="s">
        <v>42116</v>
      </c>
      <c r="C19429" t="s">
        <v>42117</v>
      </c>
      <c r="D19429" t="s">
        <v>20</v>
      </c>
      <c r="E19429" t="s">
        <v>39</v>
      </c>
      <c r="F19429">
        <v>0</v>
      </c>
      <c r="G19429">
        <v>0</v>
      </c>
      <c r="H19429">
        <v>3</v>
      </c>
      <c r="I19429" s="3">
        <v>3315.17</v>
      </c>
      <c r="J19429" s="3">
        <v>232.83</v>
      </c>
      <c r="L19429">
        <v>1126</v>
      </c>
      <c r="M19429" t="s">
        <v>40848</v>
      </c>
      <c r="N19429" t="s">
        <v>30</v>
      </c>
      <c r="O19429" t="s">
        <v>31</v>
      </c>
      <c r="P19429" t="str">
        <f t="shared" si="239"/>
        <v>15212</v>
      </c>
    </row>
    <row r="19430" spans="1:16" x14ac:dyDescent="0.25">
      <c r="A19430" t="str">
        <f>"1270115N00280    00"</f>
        <v>1270115N00280    00</v>
      </c>
      <c r="B19430" t="s">
        <v>42118</v>
      </c>
      <c r="C19430" t="s">
        <v>42119</v>
      </c>
      <c r="E19430" t="s">
        <v>39</v>
      </c>
      <c r="F19430">
        <v>0</v>
      </c>
      <c r="G19430">
        <v>0</v>
      </c>
      <c r="H19430">
        <v>2</v>
      </c>
      <c r="I19430" s="3">
        <v>2098.7800000000002</v>
      </c>
      <c r="J19430" s="3">
        <v>522.16</v>
      </c>
      <c r="L19430">
        <v>1134</v>
      </c>
      <c r="M19430" t="s">
        <v>40848</v>
      </c>
      <c r="N19430" t="s">
        <v>30</v>
      </c>
      <c r="O19430" t="s">
        <v>31</v>
      </c>
      <c r="P19430" t="str">
        <f t="shared" si="239"/>
        <v>15212</v>
      </c>
    </row>
    <row r="19431" spans="1:16" x14ac:dyDescent="0.25">
      <c r="A19431" t="str">
        <f>"1270115N00308    00"</f>
        <v>1270115N00308    00</v>
      </c>
      <c r="B19431" t="s">
        <v>42120</v>
      </c>
      <c r="C19431" t="s">
        <v>42121</v>
      </c>
      <c r="E19431" t="s">
        <v>39</v>
      </c>
      <c r="F19431">
        <v>0</v>
      </c>
      <c r="G19431">
        <v>0</v>
      </c>
      <c r="H19431">
        <v>4</v>
      </c>
      <c r="I19431" s="3">
        <v>4425.49</v>
      </c>
      <c r="J19431" s="3">
        <v>1396.93</v>
      </c>
      <c r="L19431">
        <v>1157</v>
      </c>
      <c r="M19431" t="s">
        <v>42115</v>
      </c>
      <c r="N19431" t="s">
        <v>30</v>
      </c>
      <c r="O19431" t="s">
        <v>31</v>
      </c>
      <c r="P19431" t="str">
        <f t="shared" si="239"/>
        <v>15212</v>
      </c>
    </row>
    <row r="19432" spans="1:16" x14ac:dyDescent="0.25">
      <c r="A19432" t="str">
        <f>"1270115P00006    00"</f>
        <v>1270115P00006    00</v>
      </c>
      <c r="B19432" t="s">
        <v>42122</v>
      </c>
      <c r="C19432" t="s">
        <v>42123</v>
      </c>
      <c r="E19432" t="s">
        <v>39</v>
      </c>
      <c r="F19432">
        <v>0</v>
      </c>
      <c r="G19432">
        <v>0</v>
      </c>
      <c r="H19432">
        <v>1</v>
      </c>
      <c r="I19432" s="3">
        <v>14.13</v>
      </c>
      <c r="J19432" s="3">
        <v>4.24</v>
      </c>
      <c r="K19432" t="s">
        <v>2302</v>
      </c>
      <c r="L19432">
        <v>3001</v>
      </c>
      <c r="M19432" t="s">
        <v>330</v>
      </c>
      <c r="N19432" t="s">
        <v>331</v>
      </c>
      <c r="O19432" t="s">
        <v>108</v>
      </c>
      <c r="P19432" t="str">
        <f>"75063"</f>
        <v>75063</v>
      </c>
    </row>
    <row r="19433" spans="1:16" x14ac:dyDescent="0.25">
      <c r="A19433" t="str">
        <f>"1270115P00050    00"</f>
        <v>1270115P00050    00</v>
      </c>
      <c r="B19433" t="s">
        <v>42124</v>
      </c>
      <c r="C19433" t="s">
        <v>42125</v>
      </c>
      <c r="E19433" t="s">
        <v>39</v>
      </c>
      <c r="F19433">
        <v>0</v>
      </c>
      <c r="G19433">
        <v>0</v>
      </c>
      <c r="H19433">
        <v>1</v>
      </c>
      <c r="I19433" s="3">
        <v>938.98</v>
      </c>
      <c r="J19433" s="3">
        <v>931.12</v>
      </c>
      <c r="K19433" t="s">
        <v>2302</v>
      </c>
      <c r="L19433">
        <v>3001</v>
      </c>
      <c r="M19433" t="s">
        <v>330</v>
      </c>
      <c r="N19433" t="s">
        <v>331</v>
      </c>
      <c r="O19433" t="s">
        <v>108</v>
      </c>
      <c r="P19433" t="str">
        <f>"75063"</f>
        <v>75063</v>
      </c>
    </row>
    <row r="19434" spans="1:16" x14ac:dyDescent="0.25">
      <c r="A19434" t="str">
        <f>"1270115P00114    00"</f>
        <v>1270115P00114    00</v>
      </c>
      <c r="B19434" t="s">
        <v>42126</v>
      </c>
      <c r="C19434" t="s">
        <v>42127</v>
      </c>
      <c r="D19434" t="s">
        <v>20</v>
      </c>
      <c r="E19434" t="s">
        <v>39</v>
      </c>
      <c r="F19434">
        <v>0</v>
      </c>
      <c r="G19434">
        <v>0</v>
      </c>
      <c r="H19434">
        <v>2</v>
      </c>
      <c r="I19434" s="3">
        <v>2277.89</v>
      </c>
      <c r="J19434" s="3">
        <v>0</v>
      </c>
      <c r="K19434" t="s">
        <v>22509</v>
      </c>
      <c r="L19434">
        <v>3001</v>
      </c>
      <c r="M19434" t="s">
        <v>330</v>
      </c>
      <c r="N19434" t="s">
        <v>331</v>
      </c>
      <c r="O19434" t="s">
        <v>108</v>
      </c>
      <c r="P19434" t="str">
        <f>"75063"</f>
        <v>75063</v>
      </c>
    </row>
    <row r="19435" spans="1:16" x14ac:dyDescent="0.25">
      <c r="A19435" t="str">
        <f>"1270115P00128    00"</f>
        <v>1270115P00128    00</v>
      </c>
      <c r="B19435" t="s">
        <v>41202</v>
      </c>
      <c r="C19435" t="s">
        <v>42128</v>
      </c>
      <c r="D19435" t="s">
        <v>20</v>
      </c>
      <c r="E19435" t="s">
        <v>39</v>
      </c>
      <c r="F19435">
        <v>0</v>
      </c>
      <c r="G19435">
        <v>0</v>
      </c>
      <c r="H19435">
        <v>5</v>
      </c>
      <c r="I19435" s="3">
        <v>6970.8</v>
      </c>
      <c r="J19435" s="3">
        <v>1204.29</v>
      </c>
      <c r="L19435">
        <v>25</v>
      </c>
      <c r="M19435" t="s">
        <v>41203</v>
      </c>
      <c r="N19435" t="s">
        <v>149</v>
      </c>
      <c r="O19435" t="s">
        <v>31</v>
      </c>
      <c r="P19435" t="str">
        <f>"15106"</f>
        <v>15106</v>
      </c>
    </row>
    <row r="19436" spans="1:16" x14ac:dyDescent="0.25">
      <c r="A19436" t="str">
        <f>"1270115P00136    00"</f>
        <v>1270115P00136    00</v>
      </c>
      <c r="B19436" t="s">
        <v>42129</v>
      </c>
      <c r="C19436" t="s">
        <v>42130</v>
      </c>
      <c r="D19436" t="s">
        <v>20</v>
      </c>
      <c r="E19436" t="s">
        <v>39</v>
      </c>
      <c r="F19436">
        <v>0</v>
      </c>
      <c r="G19436">
        <v>0</v>
      </c>
      <c r="H19436">
        <v>7</v>
      </c>
      <c r="I19436" s="3">
        <v>8030.3</v>
      </c>
      <c r="J19436" s="3">
        <v>952.94</v>
      </c>
      <c r="K19436" t="s">
        <v>42131</v>
      </c>
      <c r="L19436">
        <v>716</v>
      </c>
      <c r="M19436" t="s">
        <v>37737</v>
      </c>
      <c r="N19436" t="s">
        <v>30</v>
      </c>
      <c r="O19436" t="s">
        <v>31</v>
      </c>
      <c r="P19436" t="str">
        <f>"15212"</f>
        <v>15212</v>
      </c>
    </row>
    <row r="19437" spans="1:16" x14ac:dyDescent="0.25">
      <c r="A19437" t="str">
        <f>"1270115P00140    00"</f>
        <v>1270115P00140    00</v>
      </c>
      <c r="B19437" t="s">
        <v>42132</v>
      </c>
      <c r="C19437" t="s">
        <v>42133</v>
      </c>
      <c r="D19437" t="s">
        <v>20</v>
      </c>
      <c r="E19437" t="s">
        <v>39</v>
      </c>
      <c r="F19437">
        <v>0</v>
      </c>
      <c r="G19437">
        <v>0</v>
      </c>
      <c r="H19437">
        <v>2</v>
      </c>
      <c r="I19437" s="3">
        <v>1304.72</v>
      </c>
      <c r="J19437" s="3">
        <v>0</v>
      </c>
      <c r="K19437" t="s">
        <v>417</v>
      </c>
      <c r="L19437">
        <v>3001</v>
      </c>
      <c r="M19437" t="s">
        <v>330</v>
      </c>
      <c r="N19437" t="s">
        <v>331</v>
      </c>
      <c r="O19437" t="s">
        <v>108</v>
      </c>
      <c r="P19437" t="str">
        <f>"75063"</f>
        <v>75063</v>
      </c>
    </row>
    <row r="19438" spans="1:16" x14ac:dyDescent="0.25">
      <c r="A19438" t="str">
        <f>"1270115P00144    00"</f>
        <v>1270115P00144    00</v>
      </c>
      <c r="B19438" t="s">
        <v>42134</v>
      </c>
      <c r="C19438" t="s">
        <v>42135</v>
      </c>
      <c r="D19438" t="s">
        <v>20</v>
      </c>
      <c r="E19438" t="s">
        <v>39</v>
      </c>
      <c r="F19438">
        <v>0</v>
      </c>
      <c r="G19438">
        <v>0</v>
      </c>
      <c r="H19438">
        <v>13</v>
      </c>
      <c r="I19438" s="3">
        <v>20435.849999999999</v>
      </c>
      <c r="J19438" s="3">
        <v>11927.78</v>
      </c>
      <c r="L19438">
        <v>714</v>
      </c>
      <c r="M19438" t="s">
        <v>37737</v>
      </c>
      <c r="N19438" t="s">
        <v>30</v>
      </c>
      <c r="O19438" t="s">
        <v>31</v>
      </c>
      <c r="P19438" t="str">
        <f>"15212"</f>
        <v>15212</v>
      </c>
    </row>
    <row r="19439" spans="1:16" x14ac:dyDescent="0.25">
      <c r="A19439" t="str">
        <f>"1270115P00160    00"</f>
        <v>1270115P00160    00</v>
      </c>
      <c r="B19439" t="s">
        <v>42134</v>
      </c>
      <c r="C19439" t="s">
        <v>42136</v>
      </c>
      <c r="D19439" t="s">
        <v>20</v>
      </c>
      <c r="E19439" t="s">
        <v>39</v>
      </c>
      <c r="F19439">
        <v>0</v>
      </c>
      <c r="G19439">
        <v>0</v>
      </c>
      <c r="H19439">
        <v>6</v>
      </c>
      <c r="I19439" s="3">
        <v>6084.61</v>
      </c>
      <c r="J19439" s="3">
        <v>1127.1400000000001</v>
      </c>
      <c r="L19439">
        <v>714</v>
      </c>
      <c r="M19439" t="s">
        <v>42137</v>
      </c>
      <c r="N19439" t="s">
        <v>30</v>
      </c>
      <c r="O19439" t="s">
        <v>31</v>
      </c>
      <c r="P19439" t="str">
        <f>"15212"</f>
        <v>15212</v>
      </c>
    </row>
    <row r="19440" spans="1:16" x14ac:dyDescent="0.25">
      <c r="A19440" t="str">
        <f>"1280018A00013    00"</f>
        <v>1280018A00013    00</v>
      </c>
      <c r="B19440" t="s">
        <v>42138</v>
      </c>
      <c r="C19440" t="s">
        <v>42139</v>
      </c>
      <c r="D19440" t="s">
        <v>20</v>
      </c>
      <c r="E19440" t="s">
        <v>39</v>
      </c>
      <c r="F19440">
        <v>0</v>
      </c>
      <c r="G19440">
        <v>0</v>
      </c>
      <c r="H19440">
        <v>4</v>
      </c>
      <c r="I19440" s="3">
        <v>301.76</v>
      </c>
      <c r="J19440" s="3">
        <v>37.159999999999997</v>
      </c>
      <c r="L19440">
        <v>1329</v>
      </c>
      <c r="M19440" t="s">
        <v>42140</v>
      </c>
      <c r="N19440" t="s">
        <v>30</v>
      </c>
      <c r="O19440" t="s">
        <v>31</v>
      </c>
      <c r="P19440" t="str">
        <f>"15205"</f>
        <v>15205</v>
      </c>
    </row>
    <row r="19441" spans="1:16" x14ac:dyDescent="0.25">
      <c r="A19441" t="str">
        <f>"1280018A00014    00"</f>
        <v>1280018A00014    00</v>
      </c>
      <c r="B19441" t="s">
        <v>42138</v>
      </c>
      <c r="C19441" t="s">
        <v>42141</v>
      </c>
      <c r="D19441" t="s">
        <v>20</v>
      </c>
      <c r="E19441" t="s">
        <v>39</v>
      </c>
      <c r="F19441">
        <v>0</v>
      </c>
      <c r="G19441">
        <v>0</v>
      </c>
      <c r="H19441">
        <v>5</v>
      </c>
      <c r="I19441" s="3">
        <v>3657</v>
      </c>
      <c r="J19441" s="3">
        <v>719.89</v>
      </c>
      <c r="L19441">
        <v>1329</v>
      </c>
      <c r="M19441" t="s">
        <v>42140</v>
      </c>
      <c r="N19441" t="s">
        <v>30</v>
      </c>
      <c r="O19441" t="s">
        <v>31</v>
      </c>
      <c r="P19441" t="str">
        <f>"15205"</f>
        <v>15205</v>
      </c>
    </row>
    <row r="19442" spans="1:16" x14ac:dyDescent="0.25">
      <c r="A19442" t="str">
        <f>"1280018A00073    00"</f>
        <v>1280018A00073    00</v>
      </c>
      <c r="B19442" t="s">
        <v>42142</v>
      </c>
      <c r="C19442" t="s">
        <v>42143</v>
      </c>
      <c r="D19442" t="s">
        <v>20</v>
      </c>
      <c r="E19442" t="s">
        <v>39</v>
      </c>
      <c r="F19442">
        <v>0</v>
      </c>
      <c r="G19442">
        <v>0</v>
      </c>
      <c r="H19442">
        <v>1</v>
      </c>
      <c r="I19442" s="3">
        <v>76.239999999999995</v>
      </c>
      <c r="J19442" s="3">
        <v>0</v>
      </c>
      <c r="K19442" t="s">
        <v>7692</v>
      </c>
      <c r="L19442">
        <v>88</v>
      </c>
      <c r="M19442" t="s">
        <v>7693</v>
      </c>
      <c r="N19442" t="s">
        <v>7694</v>
      </c>
      <c r="O19442" t="s">
        <v>7695</v>
      </c>
      <c r="P19442" t="str">
        <f>"40601"</f>
        <v>40601</v>
      </c>
    </row>
    <row r="19443" spans="1:16" x14ac:dyDescent="0.25">
      <c r="A19443" t="str">
        <f>"1280018A00105    00"</f>
        <v>1280018A00105    00</v>
      </c>
      <c r="B19443" t="s">
        <v>42144</v>
      </c>
      <c r="C19443" t="s">
        <v>42145</v>
      </c>
      <c r="D19443" t="s">
        <v>20</v>
      </c>
      <c r="E19443" t="s">
        <v>39</v>
      </c>
      <c r="F19443">
        <v>0</v>
      </c>
      <c r="G19443">
        <v>0</v>
      </c>
      <c r="H19443">
        <v>1</v>
      </c>
      <c r="I19443" s="3">
        <v>304.95999999999998</v>
      </c>
      <c r="J19443" s="3">
        <v>0</v>
      </c>
      <c r="L19443">
        <v>1409</v>
      </c>
      <c r="M19443" t="s">
        <v>42146</v>
      </c>
      <c r="N19443" t="s">
        <v>30</v>
      </c>
      <c r="O19443" t="s">
        <v>31</v>
      </c>
      <c r="P19443" t="str">
        <f>"15205"</f>
        <v>15205</v>
      </c>
    </row>
    <row r="19444" spans="1:16" x14ac:dyDescent="0.25">
      <c r="A19444" t="str">
        <f>"1280018A00109    00"</f>
        <v>1280018A00109    00</v>
      </c>
      <c r="B19444" t="s">
        <v>42144</v>
      </c>
      <c r="C19444" t="s">
        <v>42147</v>
      </c>
      <c r="D19444" t="s">
        <v>20</v>
      </c>
      <c r="E19444" t="s">
        <v>39</v>
      </c>
      <c r="F19444">
        <v>0</v>
      </c>
      <c r="G19444">
        <v>0</v>
      </c>
      <c r="H19444">
        <v>1</v>
      </c>
      <c r="I19444" s="3">
        <v>304.95999999999998</v>
      </c>
      <c r="J19444" s="3">
        <v>0</v>
      </c>
      <c r="L19444">
        <v>1409</v>
      </c>
      <c r="M19444" t="s">
        <v>42146</v>
      </c>
      <c r="N19444" t="s">
        <v>30</v>
      </c>
      <c r="O19444" t="s">
        <v>31</v>
      </c>
      <c r="P19444" t="str">
        <f>"15205"</f>
        <v>15205</v>
      </c>
    </row>
    <row r="19445" spans="1:16" x14ac:dyDescent="0.25">
      <c r="A19445" t="str">
        <f>"1280018A00172    01"</f>
        <v>1280018A00172    01</v>
      </c>
      <c r="B19445" t="s">
        <v>42148</v>
      </c>
      <c r="C19445" t="s">
        <v>42149</v>
      </c>
      <c r="D19445" t="s">
        <v>20</v>
      </c>
      <c r="E19445" t="s">
        <v>39</v>
      </c>
      <c r="F19445">
        <v>0</v>
      </c>
      <c r="G19445">
        <v>0</v>
      </c>
      <c r="H19445">
        <v>4</v>
      </c>
      <c r="I19445" s="3">
        <v>277.12</v>
      </c>
      <c r="J19445" s="3">
        <v>44.28</v>
      </c>
      <c r="L19445">
        <v>1221</v>
      </c>
      <c r="M19445" t="s">
        <v>42150</v>
      </c>
      <c r="N19445" t="s">
        <v>30</v>
      </c>
      <c r="O19445" t="s">
        <v>31</v>
      </c>
      <c r="P19445" t="str">
        <f>"15205"</f>
        <v>15205</v>
      </c>
    </row>
    <row r="19446" spans="1:16" x14ac:dyDescent="0.25">
      <c r="A19446" t="str">
        <f>"1280018A00186    00"</f>
        <v>1280018A00186    00</v>
      </c>
      <c r="B19446" t="s">
        <v>42151</v>
      </c>
      <c r="C19446" t="s">
        <v>42152</v>
      </c>
      <c r="D19446" t="s">
        <v>20</v>
      </c>
      <c r="E19446" t="s">
        <v>39</v>
      </c>
      <c r="F19446">
        <v>0</v>
      </c>
      <c r="G19446">
        <v>0</v>
      </c>
      <c r="H19446">
        <v>15</v>
      </c>
      <c r="I19446" s="3">
        <v>20718.189999999999</v>
      </c>
      <c r="J19446" s="3">
        <v>14452.11</v>
      </c>
      <c r="L19446">
        <v>53</v>
      </c>
      <c r="M19446" t="s">
        <v>42153</v>
      </c>
      <c r="N19446" t="s">
        <v>171</v>
      </c>
      <c r="O19446" t="s">
        <v>31</v>
      </c>
      <c r="P19446" t="str">
        <f>"15057"</f>
        <v>15057</v>
      </c>
    </row>
    <row r="19447" spans="1:16" x14ac:dyDescent="0.25">
      <c r="A19447" t="str">
        <f>"1280018A00190    00"</f>
        <v>1280018A00190    00</v>
      </c>
      <c r="B19447" t="s">
        <v>42154</v>
      </c>
      <c r="C19447" t="s">
        <v>42155</v>
      </c>
      <c r="E19447" t="s">
        <v>39</v>
      </c>
      <c r="F19447">
        <v>0</v>
      </c>
      <c r="G19447">
        <v>0</v>
      </c>
      <c r="H19447">
        <v>1</v>
      </c>
      <c r="I19447" s="3">
        <v>330.73</v>
      </c>
      <c r="J19447" s="3">
        <v>90.95</v>
      </c>
      <c r="K19447" t="s">
        <v>391</v>
      </c>
      <c r="L19447">
        <v>1</v>
      </c>
      <c r="M19447" t="s">
        <v>392</v>
      </c>
      <c r="N19447" t="s">
        <v>393</v>
      </c>
      <c r="O19447" t="s">
        <v>394</v>
      </c>
      <c r="P19447" t="str">
        <f>"50328"</f>
        <v>50328</v>
      </c>
    </row>
    <row r="19448" spans="1:16" x14ac:dyDescent="0.25">
      <c r="A19448" t="str">
        <f>"1280018A00202    00"</f>
        <v>1280018A00202    00</v>
      </c>
      <c r="B19448" t="s">
        <v>42156</v>
      </c>
      <c r="C19448" t="s">
        <v>42157</v>
      </c>
      <c r="D19448" t="s">
        <v>20</v>
      </c>
      <c r="E19448" t="s">
        <v>39</v>
      </c>
      <c r="F19448">
        <v>0</v>
      </c>
      <c r="G19448">
        <v>0</v>
      </c>
      <c r="H19448">
        <v>3</v>
      </c>
      <c r="I19448" s="3">
        <v>3926.69</v>
      </c>
      <c r="J19448" s="3">
        <v>67.45</v>
      </c>
      <c r="L19448">
        <v>305</v>
      </c>
      <c r="M19448" t="s">
        <v>42158</v>
      </c>
      <c r="N19448" t="s">
        <v>30</v>
      </c>
      <c r="O19448" t="s">
        <v>31</v>
      </c>
      <c r="P19448" t="str">
        <f>"15205"</f>
        <v>15205</v>
      </c>
    </row>
    <row r="19449" spans="1:16" x14ac:dyDescent="0.25">
      <c r="A19449" t="str">
        <f>"1280018A00274    00"</f>
        <v>1280018A00274    00</v>
      </c>
      <c r="B19449" t="s">
        <v>42159</v>
      </c>
      <c r="C19449" t="s">
        <v>42160</v>
      </c>
      <c r="E19449" t="s">
        <v>39</v>
      </c>
      <c r="F19449">
        <v>0</v>
      </c>
      <c r="G19449">
        <v>0</v>
      </c>
      <c r="H19449">
        <v>1</v>
      </c>
      <c r="I19449" s="3">
        <v>111.24</v>
      </c>
      <c r="J19449" s="3">
        <v>149.24</v>
      </c>
      <c r="K19449" t="s">
        <v>391</v>
      </c>
      <c r="L19449">
        <v>1</v>
      </c>
      <c r="M19449" t="s">
        <v>392</v>
      </c>
      <c r="N19449" t="s">
        <v>393</v>
      </c>
      <c r="O19449" t="s">
        <v>394</v>
      </c>
      <c r="P19449" t="str">
        <f>"50328"</f>
        <v>50328</v>
      </c>
    </row>
    <row r="19450" spans="1:16" x14ac:dyDescent="0.25">
      <c r="A19450" t="str">
        <f>"1280018A00278    00"</f>
        <v>1280018A00278    00</v>
      </c>
      <c r="B19450" t="s">
        <v>42161</v>
      </c>
      <c r="C19450" t="s">
        <v>42162</v>
      </c>
      <c r="D19450" t="s">
        <v>20</v>
      </c>
      <c r="E19450" t="s">
        <v>39</v>
      </c>
      <c r="F19450">
        <v>0</v>
      </c>
      <c r="G19450">
        <v>0</v>
      </c>
      <c r="H19450">
        <v>1</v>
      </c>
      <c r="I19450" s="3">
        <v>982.05</v>
      </c>
      <c r="J19450" s="3">
        <v>0</v>
      </c>
      <c r="L19450">
        <v>1127</v>
      </c>
      <c r="M19450" t="s">
        <v>42163</v>
      </c>
      <c r="N19450" t="s">
        <v>30</v>
      </c>
      <c r="O19450" t="s">
        <v>31</v>
      </c>
      <c r="P19450" t="str">
        <f>"15220"</f>
        <v>15220</v>
      </c>
    </row>
    <row r="19451" spans="1:16" x14ac:dyDescent="0.25">
      <c r="A19451" t="str">
        <f>"1280018A00286    00"</f>
        <v>1280018A00286    00</v>
      </c>
      <c r="B19451" t="s">
        <v>42164</v>
      </c>
      <c r="C19451" t="s">
        <v>42165</v>
      </c>
      <c r="D19451" t="s">
        <v>33</v>
      </c>
      <c r="E19451" t="s">
        <v>39</v>
      </c>
      <c r="F19451">
        <v>0</v>
      </c>
      <c r="G19451">
        <v>0</v>
      </c>
      <c r="H19451">
        <v>1</v>
      </c>
      <c r="I19451" s="3">
        <v>158.94999999999999</v>
      </c>
      <c r="J19451" s="3">
        <v>6.62</v>
      </c>
      <c r="K19451" t="s">
        <v>42166</v>
      </c>
      <c r="L19451">
        <v>1175</v>
      </c>
      <c r="M19451" t="s">
        <v>42163</v>
      </c>
      <c r="N19451" t="s">
        <v>30</v>
      </c>
      <c r="O19451" t="s">
        <v>31</v>
      </c>
      <c r="P19451" t="str">
        <f>"15220"</f>
        <v>15220</v>
      </c>
    </row>
    <row r="19452" spans="1:16" x14ac:dyDescent="0.25">
      <c r="A19452" t="str">
        <f>"1280018A00288    00"</f>
        <v>1280018A00288    00</v>
      </c>
      <c r="B19452" t="s">
        <v>42164</v>
      </c>
      <c r="C19452" t="s">
        <v>42165</v>
      </c>
      <c r="D19452" t="s">
        <v>33</v>
      </c>
      <c r="E19452" t="s">
        <v>39</v>
      </c>
      <c r="F19452">
        <v>0</v>
      </c>
      <c r="G19452">
        <v>0</v>
      </c>
      <c r="H19452">
        <v>1</v>
      </c>
      <c r="I19452" s="3">
        <v>2391.4</v>
      </c>
      <c r="J19452" s="3">
        <v>99.64</v>
      </c>
      <c r="K19452" t="s">
        <v>42166</v>
      </c>
      <c r="L19452">
        <v>1175</v>
      </c>
      <c r="M19452" t="s">
        <v>42163</v>
      </c>
      <c r="N19452" t="s">
        <v>30</v>
      </c>
      <c r="O19452" t="s">
        <v>31</v>
      </c>
      <c r="P19452" t="str">
        <f>"15220"</f>
        <v>15220</v>
      </c>
    </row>
    <row r="19453" spans="1:16" x14ac:dyDescent="0.25">
      <c r="A19453" t="str">
        <f>"1280018A00290    00"</f>
        <v>1280018A00290    00</v>
      </c>
      <c r="B19453" t="s">
        <v>42164</v>
      </c>
      <c r="C19453" t="s">
        <v>42165</v>
      </c>
      <c r="E19453" t="s">
        <v>39</v>
      </c>
      <c r="F19453">
        <v>0</v>
      </c>
      <c r="G19453">
        <v>0</v>
      </c>
      <c r="H19453">
        <v>1</v>
      </c>
      <c r="I19453" s="3">
        <v>166.75</v>
      </c>
      <c r="J19453" s="3">
        <v>6.95</v>
      </c>
      <c r="K19453" t="s">
        <v>42166</v>
      </c>
      <c r="L19453">
        <v>1175</v>
      </c>
      <c r="M19453" t="s">
        <v>42163</v>
      </c>
      <c r="N19453" t="s">
        <v>30</v>
      </c>
      <c r="O19453" t="s">
        <v>31</v>
      </c>
      <c r="P19453" t="str">
        <f>"15220"</f>
        <v>15220</v>
      </c>
    </row>
    <row r="19454" spans="1:16" x14ac:dyDescent="0.25">
      <c r="A19454" t="str">
        <f>"1280018A00317    00"</f>
        <v>1280018A00317    00</v>
      </c>
      <c r="B19454" t="s">
        <v>42167</v>
      </c>
      <c r="C19454" t="s">
        <v>42168</v>
      </c>
      <c r="E19454" t="s">
        <v>39</v>
      </c>
      <c r="F19454">
        <v>0</v>
      </c>
      <c r="G19454">
        <v>0</v>
      </c>
      <c r="H19454">
        <v>1</v>
      </c>
      <c r="I19454" s="3">
        <v>947.43</v>
      </c>
      <c r="J19454" s="3">
        <v>821.08</v>
      </c>
      <c r="K19454" t="s">
        <v>563</v>
      </c>
      <c r="L19454">
        <v>3001</v>
      </c>
      <c r="M19454" t="s">
        <v>330</v>
      </c>
      <c r="N19454" t="s">
        <v>331</v>
      </c>
      <c r="O19454" t="s">
        <v>108</v>
      </c>
      <c r="P19454" t="str">
        <f>"75063"</f>
        <v>75063</v>
      </c>
    </row>
    <row r="19455" spans="1:16" x14ac:dyDescent="0.25">
      <c r="A19455" t="str">
        <f>"1280018A00329    00"</f>
        <v>1280018A00329    00</v>
      </c>
      <c r="B19455" t="s">
        <v>42169</v>
      </c>
      <c r="C19455" t="s">
        <v>42170</v>
      </c>
      <c r="D19455" t="s">
        <v>20</v>
      </c>
      <c r="E19455" t="s">
        <v>39</v>
      </c>
      <c r="F19455">
        <v>0</v>
      </c>
      <c r="G19455">
        <v>0</v>
      </c>
      <c r="H19455">
        <v>19</v>
      </c>
      <c r="I19455" s="3">
        <v>6741.71</v>
      </c>
      <c r="J19455" s="3">
        <v>6792.25</v>
      </c>
      <c r="M19455" t="s">
        <v>42171</v>
      </c>
      <c r="N19455" t="s">
        <v>1928</v>
      </c>
      <c r="O19455" t="s">
        <v>31</v>
      </c>
      <c r="P19455" t="str">
        <f>"15317"</f>
        <v>15317</v>
      </c>
    </row>
    <row r="19456" spans="1:16" x14ac:dyDescent="0.25">
      <c r="A19456" t="str">
        <f>"1280018B00155    00"</f>
        <v>1280018B00155    00</v>
      </c>
      <c r="B19456" t="s">
        <v>42169</v>
      </c>
      <c r="C19456" t="s">
        <v>42172</v>
      </c>
      <c r="D19456" t="s">
        <v>20</v>
      </c>
      <c r="E19456" t="s">
        <v>39</v>
      </c>
      <c r="F19456">
        <v>0</v>
      </c>
      <c r="G19456">
        <v>0</v>
      </c>
      <c r="H19456">
        <v>19</v>
      </c>
      <c r="I19456" s="3">
        <v>14214.54</v>
      </c>
      <c r="J19456" s="3">
        <v>14033.61</v>
      </c>
      <c r="K19456" t="s">
        <v>42173</v>
      </c>
      <c r="L19456">
        <v>3901</v>
      </c>
      <c r="M19456" t="s">
        <v>475</v>
      </c>
      <c r="N19456" t="s">
        <v>1928</v>
      </c>
      <c r="O19456" t="s">
        <v>31</v>
      </c>
      <c r="P19456" t="str">
        <f>"15317"</f>
        <v>15317</v>
      </c>
    </row>
    <row r="19457" spans="1:16" x14ac:dyDescent="0.25">
      <c r="A19457" t="str">
        <f>"1280018E00032    00"</f>
        <v>1280018E00032    00</v>
      </c>
      <c r="B19457" t="s">
        <v>42174</v>
      </c>
      <c r="C19457" t="s">
        <v>42175</v>
      </c>
      <c r="D19457" t="s">
        <v>20</v>
      </c>
      <c r="E19457" t="s">
        <v>39</v>
      </c>
      <c r="F19457">
        <v>0</v>
      </c>
      <c r="G19457">
        <v>0</v>
      </c>
      <c r="H19457">
        <v>2</v>
      </c>
      <c r="I19457" s="3">
        <v>982.36</v>
      </c>
      <c r="J19457" s="3">
        <v>0</v>
      </c>
      <c r="L19457">
        <v>1901</v>
      </c>
      <c r="M19457" t="s">
        <v>31012</v>
      </c>
      <c r="N19457" t="s">
        <v>30</v>
      </c>
      <c r="O19457" t="s">
        <v>31</v>
      </c>
      <c r="P19457" t="str">
        <f>"15205"</f>
        <v>15205</v>
      </c>
    </row>
    <row r="19458" spans="1:16" x14ac:dyDescent="0.25">
      <c r="A19458" t="str">
        <f>"1280018E00082    00"</f>
        <v>1280018E00082    00</v>
      </c>
      <c r="B19458" t="s">
        <v>42176</v>
      </c>
      <c r="C19458" t="s">
        <v>42143</v>
      </c>
      <c r="D19458" t="s">
        <v>20</v>
      </c>
      <c r="E19458" t="s">
        <v>39</v>
      </c>
      <c r="F19458">
        <v>0</v>
      </c>
      <c r="G19458">
        <v>0</v>
      </c>
      <c r="H19458">
        <v>13</v>
      </c>
      <c r="I19458" s="3">
        <v>944.98</v>
      </c>
      <c r="J19458" s="3">
        <v>543.27</v>
      </c>
      <c r="L19458">
        <v>135</v>
      </c>
      <c r="M19458" t="s">
        <v>42177</v>
      </c>
      <c r="N19458" t="s">
        <v>42178</v>
      </c>
      <c r="O19458" t="s">
        <v>31</v>
      </c>
      <c r="P19458" t="str">
        <f>"16055"</f>
        <v>16055</v>
      </c>
    </row>
    <row r="19459" spans="1:16" x14ac:dyDescent="0.25">
      <c r="A19459" t="str">
        <f>"1280018E00155    00"</f>
        <v>1280018E00155    00</v>
      </c>
      <c r="B19459" t="s">
        <v>42179</v>
      </c>
      <c r="C19459" t="s">
        <v>42147</v>
      </c>
      <c r="D19459" t="s">
        <v>20</v>
      </c>
      <c r="E19459" t="s">
        <v>39</v>
      </c>
      <c r="F19459">
        <v>0</v>
      </c>
      <c r="G19459">
        <v>0</v>
      </c>
      <c r="H19459">
        <v>1</v>
      </c>
      <c r="I19459" s="3">
        <v>1695.37</v>
      </c>
      <c r="J19459" s="3">
        <v>0</v>
      </c>
      <c r="L19459">
        <v>1536</v>
      </c>
      <c r="M19459" t="s">
        <v>28652</v>
      </c>
      <c r="N19459" t="s">
        <v>30</v>
      </c>
      <c r="O19459" t="s">
        <v>31</v>
      </c>
      <c r="P19459" t="str">
        <f>"15216"</f>
        <v>15216</v>
      </c>
    </row>
    <row r="19460" spans="1:16" x14ac:dyDescent="0.25">
      <c r="A19460" t="str">
        <f>"1280018E00179    00"</f>
        <v>1280018E00179    00</v>
      </c>
      <c r="B19460" t="s">
        <v>42180</v>
      </c>
      <c r="C19460" t="s">
        <v>42181</v>
      </c>
      <c r="D19460" t="s">
        <v>20</v>
      </c>
      <c r="E19460" t="s">
        <v>39</v>
      </c>
      <c r="F19460">
        <v>0</v>
      </c>
      <c r="G19460">
        <v>0</v>
      </c>
      <c r="H19460">
        <v>1</v>
      </c>
      <c r="I19460" s="3">
        <v>5119.99</v>
      </c>
      <c r="J19460" s="3">
        <v>0</v>
      </c>
      <c r="K19460" t="s">
        <v>42182</v>
      </c>
      <c r="L19460">
        <v>3001</v>
      </c>
      <c r="M19460" t="s">
        <v>330</v>
      </c>
      <c r="N19460" t="s">
        <v>331</v>
      </c>
      <c r="O19460" t="s">
        <v>108</v>
      </c>
      <c r="P19460" t="str">
        <f>"75063"</f>
        <v>75063</v>
      </c>
    </row>
    <row r="19461" spans="1:16" x14ac:dyDescent="0.25">
      <c r="A19461" t="str">
        <f>"1280018E00308    00"</f>
        <v>1280018E00308    00</v>
      </c>
      <c r="B19461" t="s">
        <v>42183</v>
      </c>
      <c r="C19461" t="s">
        <v>42184</v>
      </c>
      <c r="D19461" t="s">
        <v>20</v>
      </c>
      <c r="E19461" t="s">
        <v>39</v>
      </c>
      <c r="F19461">
        <v>0</v>
      </c>
      <c r="G19461">
        <v>0</v>
      </c>
      <c r="H19461">
        <v>4</v>
      </c>
      <c r="I19461" s="3">
        <v>4778.51</v>
      </c>
      <c r="J19461" s="3">
        <v>514.26</v>
      </c>
      <c r="L19461">
        <v>1945</v>
      </c>
      <c r="M19461" t="s">
        <v>31012</v>
      </c>
      <c r="N19461" t="s">
        <v>30</v>
      </c>
      <c r="O19461" t="s">
        <v>31</v>
      </c>
      <c r="P19461" t="str">
        <f>"15205"</f>
        <v>15205</v>
      </c>
    </row>
    <row r="19462" spans="1:16" x14ac:dyDescent="0.25">
      <c r="A19462" t="str">
        <f>"1280018E00318    00"</f>
        <v>1280018E00318    00</v>
      </c>
      <c r="B19462" t="s">
        <v>42185</v>
      </c>
      <c r="C19462" t="s">
        <v>42186</v>
      </c>
      <c r="E19462" t="s">
        <v>39</v>
      </c>
      <c r="F19462">
        <v>0</v>
      </c>
      <c r="G19462">
        <v>0</v>
      </c>
      <c r="H19462">
        <v>1</v>
      </c>
      <c r="I19462" s="3">
        <v>29.49</v>
      </c>
      <c r="J19462" s="3">
        <v>17.690000000000001</v>
      </c>
      <c r="L19462">
        <v>2007</v>
      </c>
      <c r="M19462" t="s">
        <v>42187</v>
      </c>
      <c r="N19462" t="s">
        <v>30</v>
      </c>
      <c r="O19462" t="s">
        <v>31</v>
      </c>
      <c r="P19462" t="str">
        <f>"15205"</f>
        <v>15205</v>
      </c>
    </row>
    <row r="19463" spans="1:16" x14ac:dyDescent="0.25">
      <c r="A19463" t="str">
        <f>"1280018F00004    00"</f>
        <v>1280018F00004    00</v>
      </c>
      <c r="B19463" t="s">
        <v>42188</v>
      </c>
      <c r="C19463" t="s">
        <v>42170</v>
      </c>
      <c r="D19463" t="s">
        <v>20</v>
      </c>
      <c r="E19463" t="s">
        <v>39</v>
      </c>
      <c r="F19463">
        <v>0</v>
      </c>
      <c r="G19463">
        <v>0</v>
      </c>
      <c r="H19463">
        <v>19</v>
      </c>
      <c r="I19463" s="3">
        <v>7085.86</v>
      </c>
      <c r="J19463" s="3">
        <v>6908.09</v>
      </c>
      <c r="L19463">
        <v>60</v>
      </c>
      <c r="M19463" t="s">
        <v>42189</v>
      </c>
      <c r="N19463" t="s">
        <v>30</v>
      </c>
      <c r="O19463" t="s">
        <v>31</v>
      </c>
      <c r="P19463" t="str">
        <f>"15205"</f>
        <v>15205</v>
      </c>
    </row>
    <row r="19464" spans="1:16" x14ac:dyDescent="0.25">
      <c r="A19464" t="str">
        <f>"1280018F00120    00"</f>
        <v>1280018F00120    00</v>
      </c>
      <c r="B19464" t="s">
        <v>42190</v>
      </c>
      <c r="C19464" t="s">
        <v>42170</v>
      </c>
      <c r="D19464" t="s">
        <v>20</v>
      </c>
      <c r="E19464" t="s">
        <v>39</v>
      </c>
      <c r="F19464">
        <v>0</v>
      </c>
      <c r="G19464">
        <v>0</v>
      </c>
      <c r="H19464">
        <v>19</v>
      </c>
      <c r="I19464" s="3">
        <v>8826.44</v>
      </c>
      <c r="J19464" s="3">
        <v>10996.97</v>
      </c>
      <c r="L19464">
        <v>3705</v>
      </c>
      <c r="M19464" t="s">
        <v>2154</v>
      </c>
      <c r="N19464" t="s">
        <v>30</v>
      </c>
      <c r="O19464" t="s">
        <v>31</v>
      </c>
      <c r="P19464" t="str">
        <f>"15213"</f>
        <v>15213</v>
      </c>
    </row>
    <row r="19465" spans="1:16" x14ac:dyDescent="0.25">
      <c r="A19465" t="str">
        <f>"1280018J00023    00"</f>
        <v>1280018J00023    00</v>
      </c>
      <c r="B19465" t="s">
        <v>42191</v>
      </c>
      <c r="C19465" t="s">
        <v>42192</v>
      </c>
      <c r="D19465" t="s">
        <v>20</v>
      </c>
      <c r="E19465" t="s">
        <v>39</v>
      </c>
      <c r="F19465">
        <v>0</v>
      </c>
      <c r="G19465">
        <v>0</v>
      </c>
      <c r="H19465">
        <v>5</v>
      </c>
      <c r="I19465" s="3">
        <v>8831.14</v>
      </c>
      <c r="J19465" s="3">
        <v>1547.75</v>
      </c>
      <c r="K19465" t="s">
        <v>42193</v>
      </c>
      <c r="L19465">
        <v>2016</v>
      </c>
      <c r="M19465" t="s">
        <v>42194</v>
      </c>
      <c r="N19465" t="s">
        <v>30</v>
      </c>
      <c r="O19465" t="s">
        <v>31</v>
      </c>
      <c r="P19465" t="str">
        <f>"15205"</f>
        <v>15205</v>
      </c>
    </row>
    <row r="19466" spans="1:16" x14ac:dyDescent="0.25">
      <c r="A19466" t="str">
        <f>"1280018J00134    00"</f>
        <v>1280018J00134    00</v>
      </c>
      <c r="B19466" t="s">
        <v>42195</v>
      </c>
      <c r="C19466" t="s">
        <v>42196</v>
      </c>
      <c r="D19466" t="s">
        <v>20</v>
      </c>
      <c r="E19466" t="s">
        <v>39</v>
      </c>
      <c r="F19466">
        <v>0</v>
      </c>
      <c r="G19466">
        <v>0</v>
      </c>
      <c r="H19466">
        <v>1</v>
      </c>
      <c r="I19466" s="3">
        <v>12192.11</v>
      </c>
      <c r="J19466" s="3">
        <v>0</v>
      </c>
      <c r="L19466">
        <v>1106</v>
      </c>
      <c r="M19466" t="s">
        <v>42197</v>
      </c>
      <c r="N19466" t="s">
        <v>30</v>
      </c>
      <c r="O19466" t="s">
        <v>31</v>
      </c>
      <c r="P19466" t="str">
        <f>"15205"</f>
        <v>15205</v>
      </c>
    </row>
    <row r="19467" spans="1:16" x14ac:dyDescent="0.25">
      <c r="A19467" t="str">
        <f>"1280018J00228    00"</f>
        <v>1280018J00228    00</v>
      </c>
      <c r="B19467" t="s">
        <v>42198</v>
      </c>
      <c r="C19467" t="s">
        <v>42199</v>
      </c>
      <c r="E19467" t="s">
        <v>39</v>
      </c>
      <c r="F19467">
        <v>0</v>
      </c>
      <c r="G19467">
        <v>0</v>
      </c>
      <c r="H19467">
        <v>1</v>
      </c>
      <c r="I19467" s="3">
        <v>944.28</v>
      </c>
      <c r="J19467" s="3">
        <v>0</v>
      </c>
      <c r="K19467" t="s">
        <v>391</v>
      </c>
      <c r="L19467">
        <v>1</v>
      </c>
      <c r="M19467" t="s">
        <v>392</v>
      </c>
      <c r="N19467" t="s">
        <v>393</v>
      </c>
      <c r="O19467" t="s">
        <v>394</v>
      </c>
      <c r="P19467" t="str">
        <f>"50328"</f>
        <v>50328</v>
      </c>
    </row>
    <row r="19468" spans="1:16" x14ac:dyDescent="0.25">
      <c r="A19468" t="str">
        <f>"1280018J00268    00"</f>
        <v>1280018J00268    00</v>
      </c>
      <c r="B19468" t="s">
        <v>42200</v>
      </c>
      <c r="C19468" t="s">
        <v>42201</v>
      </c>
      <c r="D19468" t="s">
        <v>20</v>
      </c>
      <c r="E19468" t="s">
        <v>39</v>
      </c>
      <c r="F19468">
        <v>0</v>
      </c>
      <c r="G19468">
        <v>0</v>
      </c>
      <c r="H19468">
        <v>15</v>
      </c>
      <c r="I19468" s="3">
        <v>24911.48</v>
      </c>
      <c r="J19468" s="3">
        <v>16953.41</v>
      </c>
      <c r="L19468">
        <v>2082</v>
      </c>
      <c r="M19468" t="s">
        <v>42187</v>
      </c>
      <c r="N19468" t="s">
        <v>30</v>
      </c>
      <c r="O19468" t="s">
        <v>31</v>
      </c>
      <c r="P19468" t="str">
        <f>"15205"</f>
        <v>15205</v>
      </c>
    </row>
    <row r="19469" spans="1:16" x14ac:dyDescent="0.25">
      <c r="A19469" t="str">
        <f>"1280019A00186    00"</f>
        <v>1280019A00186    00</v>
      </c>
      <c r="B19469" t="s">
        <v>42202</v>
      </c>
      <c r="C19469" t="s">
        <v>42203</v>
      </c>
      <c r="D19469" t="s">
        <v>20</v>
      </c>
      <c r="E19469" t="s">
        <v>39</v>
      </c>
      <c r="F19469">
        <v>0</v>
      </c>
      <c r="G19469">
        <v>0</v>
      </c>
      <c r="H19469">
        <v>1</v>
      </c>
      <c r="I19469" s="3">
        <v>1930.79</v>
      </c>
      <c r="J19469" s="3">
        <v>0</v>
      </c>
      <c r="K19469" t="s">
        <v>1632</v>
      </c>
      <c r="M19469" t="s">
        <v>1633</v>
      </c>
      <c r="N19469" t="s">
        <v>1634</v>
      </c>
      <c r="O19469" t="s">
        <v>25</v>
      </c>
      <c r="P19469" t="str">
        <f>"45401"</f>
        <v>45401</v>
      </c>
    </row>
    <row r="19470" spans="1:16" x14ac:dyDescent="0.25">
      <c r="A19470" t="str">
        <f>"1280019E00016    00"</f>
        <v>1280019E00016    00</v>
      </c>
      <c r="B19470" t="s">
        <v>42204</v>
      </c>
      <c r="C19470" t="s">
        <v>42205</v>
      </c>
      <c r="E19470" t="s">
        <v>39</v>
      </c>
      <c r="F19470">
        <v>0</v>
      </c>
      <c r="G19470">
        <v>0</v>
      </c>
      <c r="H19470">
        <v>1</v>
      </c>
      <c r="I19470" s="3">
        <v>22.03</v>
      </c>
      <c r="J19470" s="3">
        <v>0</v>
      </c>
      <c r="L19470">
        <v>1441</v>
      </c>
      <c r="M19470" t="s">
        <v>30601</v>
      </c>
      <c r="N19470" t="s">
        <v>30</v>
      </c>
      <c r="O19470" t="s">
        <v>31</v>
      </c>
      <c r="P19470" t="str">
        <f t="shared" ref="P19470:P19476" si="240">"15220"</f>
        <v>15220</v>
      </c>
    </row>
    <row r="19471" spans="1:16" x14ac:dyDescent="0.25">
      <c r="A19471" t="str">
        <f>"1280019E00024    00"</f>
        <v>1280019E00024    00</v>
      </c>
      <c r="B19471" t="s">
        <v>42206</v>
      </c>
      <c r="C19471" t="s">
        <v>42207</v>
      </c>
      <c r="D19471" t="s">
        <v>20</v>
      </c>
      <c r="E19471" t="s">
        <v>39</v>
      </c>
      <c r="F19471">
        <v>0</v>
      </c>
      <c r="G19471">
        <v>0</v>
      </c>
      <c r="H19471">
        <v>2</v>
      </c>
      <c r="I19471" s="3">
        <v>768.52</v>
      </c>
      <c r="J19471" s="3">
        <v>0</v>
      </c>
      <c r="L19471">
        <v>1441</v>
      </c>
      <c r="M19471" t="s">
        <v>30601</v>
      </c>
      <c r="N19471" t="s">
        <v>30</v>
      </c>
      <c r="O19471" t="s">
        <v>31</v>
      </c>
      <c r="P19471" t="str">
        <f t="shared" si="240"/>
        <v>15220</v>
      </c>
    </row>
    <row r="19472" spans="1:16" x14ac:dyDescent="0.25">
      <c r="A19472" t="str">
        <f>"1280019E00026    00"</f>
        <v>1280019E00026    00</v>
      </c>
      <c r="B19472" t="s">
        <v>42208</v>
      </c>
      <c r="C19472" t="s">
        <v>42209</v>
      </c>
      <c r="E19472" t="s">
        <v>39</v>
      </c>
      <c r="F19472">
        <v>0</v>
      </c>
      <c r="G19472">
        <v>0</v>
      </c>
      <c r="H19472">
        <v>1</v>
      </c>
      <c r="I19472" s="3">
        <v>142.72</v>
      </c>
      <c r="J19472" s="3">
        <v>0</v>
      </c>
      <c r="L19472">
        <v>1440</v>
      </c>
      <c r="M19472" t="s">
        <v>30601</v>
      </c>
      <c r="N19472" t="s">
        <v>30</v>
      </c>
      <c r="O19472" t="s">
        <v>31</v>
      </c>
      <c r="P19472" t="str">
        <f t="shared" si="240"/>
        <v>15220</v>
      </c>
    </row>
    <row r="19473" spans="1:16" x14ac:dyDescent="0.25">
      <c r="A19473" t="str">
        <f>"1280019E00038    00"</f>
        <v>1280019E00038    00</v>
      </c>
      <c r="B19473" t="s">
        <v>42210</v>
      </c>
      <c r="C19473" t="s">
        <v>42211</v>
      </c>
      <c r="E19473" t="s">
        <v>39</v>
      </c>
      <c r="F19473">
        <v>0</v>
      </c>
      <c r="G19473">
        <v>0</v>
      </c>
      <c r="H19473">
        <v>1</v>
      </c>
      <c r="I19473" s="3">
        <v>510.98</v>
      </c>
      <c r="J19473" s="3">
        <v>0</v>
      </c>
      <c r="L19473">
        <v>1440</v>
      </c>
      <c r="M19473" t="s">
        <v>30601</v>
      </c>
      <c r="N19473" t="s">
        <v>30</v>
      </c>
      <c r="O19473" t="s">
        <v>31</v>
      </c>
      <c r="P19473" t="str">
        <f t="shared" si="240"/>
        <v>15220</v>
      </c>
    </row>
    <row r="19474" spans="1:16" x14ac:dyDescent="0.25">
      <c r="A19474" t="str">
        <f>"1280019E00048    00"</f>
        <v>1280019E00048    00</v>
      </c>
      <c r="B19474" t="s">
        <v>42212</v>
      </c>
      <c r="C19474" t="s">
        <v>42213</v>
      </c>
      <c r="D19474" t="s">
        <v>20</v>
      </c>
      <c r="E19474" t="s">
        <v>39</v>
      </c>
      <c r="F19474">
        <v>0</v>
      </c>
      <c r="G19474">
        <v>0</v>
      </c>
      <c r="H19474">
        <v>2</v>
      </c>
      <c r="I19474" s="3">
        <v>1472.42</v>
      </c>
      <c r="J19474" s="3">
        <v>0</v>
      </c>
      <c r="L19474">
        <v>1426</v>
      </c>
      <c r="M19474" t="s">
        <v>30601</v>
      </c>
      <c r="N19474" t="s">
        <v>30</v>
      </c>
      <c r="O19474" t="s">
        <v>31</v>
      </c>
      <c r="P19474" t="str">
        <f t="shared" si="240"/>
        <v>15220</v>
      </c>
    </row>
    <row r="19475" spans="1:16" x14ac:dyDescent="0.25">
      <c r="A19475" t="str">
        <f>"1280019E00050    00"</f>
        <v>1280019E00050    00</v>
      </c>
      <c r="B19475" t="s">
        <v>42214</v>
      </c>
      <c r="C19475" t="s">
        <v>42215</v>
      </c>
      <c r="D19475" t="s">
        <v>20</v>
      </c>
      <c r="E19475" t="s">
        <v>39</v>
      </c>
      <c r="F19475">
        <v>0</v>
      </c>
      <c r="G19475">
        <v>0</v>
      </c>
      <c r="H19475">
        <v>2</v>
      </c>
      <c r="I19475" s="3">
        <v>55.74</v>
      </c>
      <c r="J19475" s="3">
        <v>0</v>
      </c>
      <c r="L19475">
        <v>1426</v>
      </c>
      <c r="M19475" t="s">
        <v>30601</v>
      </c>
      <c r="N19475" t="s">
        <v>30</v>
      </c>
      <c r="O19475" t="s">
        <v>31</v>
      </c>
      <c r="P19475" t="str">
        <f t="shared" si="240"/>
        <v>15220</v>
      </c>
    </row>
    <row r="19476" spans="1:16" x14ac:dyDescent="0.25">
      <c r="A19476" t="str">
        <f>"1280019E00138    00"</f>
        <v>1280019E00138    00</v>
      </c>
      <c r="B19476" t="s">
        <v>42216</v>
      </c>
      <c r="C19476" t="s">
        <v>42217</v>
      </c>
      <c r="E19476" t="s">
        <v>39</v>
      </c>
      <c r="F19476">
        <v>0</v>
      </c>
      <c r="G19476">
        <v>0</v>
      </c>
      <c r="H19476">
        <v>1</v>
      </c>
      <c r="I19476" s="3">
        <v>199.32</v>
      </c>
      <c r="J19476" s="3">
        <v>0</v>
      </c>
      <c r="L19476">
        <v>1425</v>
      </c>
      <c r="M19476" t="s">
        <v>30601</v>
      </c>
      <c r="N19476" t="s">
        <v>30</v>
      </c>
      <c r="O19476" t="s">
        <v>31</v>
      </c>
      <c r="P19476" t="str">
        <f t="shared" si="240"/>
        <v>15220</v>
      </c>
    </row>
    <row r="19477" spans="1:16" x14ac:dyDescent="0.25">
      <c r="A19477" t="str">
        <f>"1280019E00201    00"</f>
        <v>1280019E00201    00</v>
      </c>
      <c r="B19477" t="s">
        <v>42218</v>
      </c>
      <c r="C19477" t="s">
        <v>42219</v>
      </c>
      <c r="D19477" t="s">
        <v>20</v>
      </c>
      <c r="E19477" t="s">
        <v>39</v>
      </c>
      <c r="F19477">
        <v>0</v>
      </c>
      <c r="G19477">
        <v>0</v>
      </c>
      <c r="H19477">
        <v>11</v>
      </c>
      <c r="I19477" s="3">
        <v>16298.52</v>
      </c>
      <c r="J19477" s="3">
        <v>7219.86</v>
      </c>
      <c r="L19477">
        <v>1576</v>
      </c>
      <c r="M19477" t="s">
        <v>30925</v>
      </c>
      <c r="N19477" t="s">
        <v>30</v>
      </c>
      <c r="O19477" t="s">
        <v>31</v>
      </c>
      <c r="P19477" t="str">
        <f t="shared" ref="P19477:P19482" si="241">"15205"</f>
        <v>15205</v>
      </c>
    </row>
    <row r="19478" spans="1:16" x14ac:dyDescent="0.25">
      <c r="A19478" t="str">
        <f>"1280019E00204    00"</f>
        <v>1280019E00204    00</v>
      </c>
      <c r="B19478" t="s">
        <v>42218</v>
      </c>
      <c r="C19478" t="s">
        <v>42220</v>
      </c>
      <c r="D19478" t="s">
        <v>20</v>
      </c>
      <c r="E19478" t="s">
        <v>39</v>
      </c>
      <c r="F19478">
        <v>0</v>
      </c>
      <c r="G19478">
        <v>0</v>
      </c>
      <c r="H19478">
        <v>7</v>
      </c>
      <c r="I19478" s="3">
        <v>2153.31</v>
      </c>
      <c r="J19478" s="3">
        <v>595.45000000000005</v>
      </c>
      <c r="K19478" t="s">
        <v>42221</v>
      </c>
      <c r="L19478">
        <v>1576</v>
      </c>
      <c r="M19478" t="s">
        <v>30925</v>
      </c>
      <c r="N19478" t="s">
        <v>30</v>
      </c>
      <c r="O19478" t="s">
        <v>31</v>
      </c>
      <c r="P19478" t="str">
        <f t="shared" si="241"/>
        <v>15205</v>
      </c>
    </row>
    <row r="19479" spans="1:16" x14ac:dyDescent="0.25">
      <c r="A19479" t="str">
        <f>"1280019J00236    00"</f>
        <v>1280019J00236    00</v>
      </c>
      <c r="B19479" t="s">
        <v>42222</v>
      </c>
      <c r="C19479" t="s">
        <v>42223</v>
      </c>
      <c r="E19479" t="s">
        <v>39</v>
      </c>
      <c r="F19479">
        <v>0</v>
      </c>
      <c r="G19479">
        <v>0</v>
      </c>
      <c r="H19479">
        <v>1</v>
      </c>
      <c r="I19479" s="3">
        <v>1494.3</v>
      </c>
      <c r="J19479" s="3">
        <v>0</v>
      </c>
      <c r="K19479" t="s">
        <v>42224</v>
      </c>
      <c r="L19479">
        <v>1242</v>
      </c>
      <c r="M19479" t="s">
        <v>42225</v>
      </c>
      <c r="N19479" t="s">
        <v>30</v>
      </c>
      <c r="O19479" t="s">
        <v>31</v>
      </c>
      <c r="P19479" t="str">
        <f t="shared" si="241"/>
        <v>15205</v>
      </c>
    </row>
    <row r="19480" spans="1:16" x14ac:dyDescent="0.25">
      <c r="A19480" t="str">
        <f>"1280019J00245    00"</f>
        <v>1280019J00245    00</v>
      </c>
      <c r="B19480" t="s">
        <v>42226</v>
      </c>
      <c r="C19480" t="s">
        <v>42227</v>
      </c>
      <c r="D19480" t="s">
        <v>20</v>
      </c>
      <c r="E19480" t="s">
        <v>39</v>
      </c>
      <c r="F19480">
        <v>0</v>
      </c>
      <c r="G19480">
        <v>0</v>
      </c>
      <c r="H19480">
        <v>2</v>
      </c>
      <c r="I19480" s="3">
        <v>1281.3599999999999</v>
      </c>
      <c r="J19480" s="3">
        <v>0</v>
      </c>
      <c r="L19480">
        <v>1266</v>
      </c>
      <c r="M19480" t="s">
        <v>42225</v>
      </c>
      <c r="N19480" t="s">
        <v>30</v>
      </c>
      <c r="O19480" t="s">
        <v>31</v>
      </c>
      <c r="P19480" t="str">
        <f t="shared" si="241"/>
        <v>15205</v>
      </c>
    </row>
    <row r="19481" spans="1:16" x14ac:dyDescent="0.25">
      <c r="A19481" t="str">
        <f>"1280019N00024    00"</f>
        <v>1280019N00024    00</v>
      </c>
      <c r="B19481" t="s">
        <v>42228</v>
      </c>
      <c r="C19481" t="s">
        <v>42229</v>
      </c>
      <c r="D19481" t="s">
        <v>20</v>
      </c>
      <c r="E19481" t="s">
        <v>39</v>
      </c>
      <c r="F19481">
        <v>0</v>
      </c>
      <c r="G19481">
        <v>0</v>
      </c>
      <c r="H19481">
        <v>3</v>
      </c>
      <c r="I19481" s="3">
        <v>3352.06</v>
      </c>
      <c r="J19481" s="3">
        <v>200</v>
      </c>
      <c r="L19481">
        <v>1321</v>
      </c>
      <c r="M19481" t="s">
        <v>42230</v>
      </c>
      <c r="N19481" t="s">
        <v>30</v>
      </c>
      <c r="O19481" t="s">
        <v>31</v>
      </c>
      <c r="P19481" t="str">
        <f t="shared" si="241"/>
        <v>15205</v>
      </c>
    </row>
    <row r="19482" spans="1:16" x14ac:dyDescent="0.25">
      <c r="A19482" t="str">
        <f>"1280019N00050    00"</f>
        <v>1280019N00050    00</v>
      </c>
      <c r="B19482" t="s">
        <v>42231</v>
      </c>
      <c r="C19482" t="s">
        <v>42232</v>
      </c>
      <c r="E19482" t="s">
        <v>39</v>
      </c>
      <c r="F19482">
        <v>0</v>
      </c>
      <c r="G19482">
        <v>0</v>
      </c>
      <c r="H19482">
        <v>1</v>
      </c>
      <c r="I19482" s="3">
        <v>247.88</v>
      </c>
      <c r="J19482" s="3">
        <v>318.10000000000002</v>
      </c>
      <c r="L19482">
        <v>1330</v>
      </c>
      <c r="M19482" t="s">
        <v>23839</v>
      </c>
      <c r="N19482" t="s">
        <v>30</v>
      </c>
      <c r="O19482" t="s">
        <v>31</v>
      </c>
      <c r="P19482" t="str">
        <f t="shared" si="241"/>
        <v>15205</v>
      </c>
    </row>
    <row r="19483" spans="1:16" x14ac:dyDescent="0.25">
      <c r="A19483" t="str">
        <f>"1280019N00051    00"</f>
        <v>1280019N00051    00</v>
      </c>
      <c r="B19483" t="s">
        <v>42233</v>
      </c>
      <c r="C19483" t="s">
        <v>42234</v>
      </c>
      <c r="D19483" t="s">
        <v>20</v>
      </c>
      <c r="E19483" t="s">
        <v>39</v>
      </c>
      <c r="F19483">
        <v>0</v>
      </c>
      <c r="G19483">
        <v>0</v>
      </c>
      <c r="H19483">
        <v>1</v>
      </c>
      <c r="I19483" s="3">
        <v>991.14</v>
      </c>
      <c r="J19483" s="3">
        <v>0</v>
      </c>
      <c r="K19483" t="s">
        <v>42235</v>
      </c>
      <c r="L19483">
        <v>2504</v>
      </c>
      <c r="M19483" t="s">
        <v>42236</v>
      </c>
      <c r="N19483" t="s">
        <v>42237</v>
      </c>
      <c r="O19483" t="s">
        <v>108</v>
      </c>
      <c r="P19483" t="str">
        <f>"76543"</f>
        <v>76543</v>
      </c>
    </row>
    <row r="19484" spans="1:16" x14ac:dyDescent="0.25">
      <c r="A19484" t="str">
        <f>"1280019N00076    00"</f>
        <v>1280019N00076    00</v>
      </c>
      <c r="B19484" t="s">
        <v>42238</v>
      </c>
      <c r="C19484" t="s">
        <v>42239</v>
      </c>
      <c r="D19484" t="s">
        <v>20</v>
      </c>
      <c r="E19484" t="s">
        <v>39</v>
      </c>
      <c r="F19484">
        <v>0</v>
      </c>
      <c r="G19484">
        <v>0</v>
      </c>
      <c r="H19484">
        <v>2</v>
      </c>
      <c r="I19484" s="3">
        <v>4036.92</v>
      </c>
      <c r="J19484" s="3">
        <v>0</v>
      </c>
      <c r="K19484" t="s">
        <v>42240</v>
      </c>
      <c r="L19484">
        <v>2312</v>
      </c>
      <c r="M19484" t="s">
        <v>28464</v>
      </c>
      <c r="N19484" t="s">
        <v>28465</v>
      </c>
      <c r="O19484" t="s">
        <v>495</v>
      </c>
      <c r="P19484" t="str">
        <f>"95242"</f>
        <v>95242</v>
      </c>
    </row>
    <row r="19485" spans="1:16" x14ac:dyDescent="0.25">
      <c r="A19485" t="str">
        <f>"1280019N00106    00"</f>
        <v>1280019N00106    00</v>
      </c>
      <c r="B19485" t="s">
        <v>42241</v>
      </c>
      <c r="C19485" t="s">
        <v>42242</v>
      </c>
      <c r="D19485" t="s">
        <v>20</v>
      </c>
      <c r="E19485" t="s">
        <v>39</v>
      </c>
      <c r="F19485">
        <v>0</v>
      </c>
      <c r="G19485">
        <v>0</v>
      </c>
      <c r="H19485">
        <v>6</v>
      </c>
      <c r="I19485" s="3">
        <v>7589.13</v>
      </c>
      <c r="J19485" s="3">
        <v>2311.2600000000002</v>
      </c>
      <c r="L19485">
        <v>1843</v>
      </c>
      <c r="M19485" t="s">
        <v>42243</v>
      </c>
      <c r="N19485" t="s">
        <v>30</v>
      </c>
      <c r="O19485" t="s">
        <v>31</v>
      </c>
      <c r="P19485" t="str">
        <f>"15205"</f>
        <v>15205</v>
      </c>
    </row>
    <row r="19486" spans="1:16" x14ac:dyDescent="0.25">
      <c r="A19486" t="str">
        <f>"1280019N00109    00"</f>
        <v>1280019N00109    00</v>
      </c>
      <c r="B19486" t="s">
        <v>42244</v>
      </c>
      <c r="C19486" t="s">
        <v>42245</v>
      </c>
      <c r="D19486" t="s">
        <v>20</v>
      </c>
      <c r="E19486" t="s">
        <v>39</v>
      </c>
      <c r="F19486">
        <v>0</v>
      </c>
      <c r="G19486">
        <v>0</v>
      </c>
      <c r="H19486">
        <v>6</v>
      </c>
      <c r="I19486" s="3">
        <v>7106.63</v>
      </c>
      <c r="J19486" s="3">
        <v>1996.06</v>
      </c>
      <c r="L19486">
        <v>231</v>
      </c>
      <c r="M19486" t="s">
        <v>42158</v>
      </c>
      <c r="N19486" t="s">
        <v>30</v>
      </c>
      <c r="O19486" t="s">
        <v>31</v>
      </c>
      <c r="P19486" t="str">
        <f>"15205"</f>
        <v>15205</v>
      </c>
    </row>
    <row r="19487" spans="1:16" x14ac:dyDescent="0.25">
      <c r="A19487" t="str">
        <f>"1280019N00111    00"</f>
        <v>1280019N00111    00</v>
      </c>
      <c r="B19487" t="s">
        <v>42246</v>
      </c>
      <c r="C19487" t="s">
        <v>42247</v>
      </c>
      <c r="E19487" t="s">
        <v>39</v>
      </c>
      <c r="F19487">
        <v>0</v>
      </c>
      <c r="G19487">
        <v>0</v>
      </c>
      <c r="H19487">
        <v>1</v>
      </c>
      <c r="I19487" s="3">
        <v>791.67</v>
      </c>
      <c r="J19487" s="3">
        <v>0</v>
      </c>
      <c r="K19487" t="s">
        <v>42248</v>
      </c>
      <c r="L19487">
        <v>4607</v>
      </c>
      <c r="M19487" t="s">
        <v>42249</v>
      </c>
      <c r="N19487" t="s">
        <v>3934</v>
      </c>
      <c r="O19487" t="s">
        <v>31</v>
      </c>
      <c r="P19487" t="str">
        <f>"15102"</f>
        <v>15102</v>
      </c>
    </row>
    <row r="19488" spans="1:16" x14ac:dyDescent="0.25">
      <c r="A19488" t="str">
        <f>"1280019N00118    00"</f>
        <v>1280019N00118    00</v>
      </c>
      <c r="B19488" t="s">
        <v>22208</v>
      </c>
      <c r="C19488" t="s">
        <v>42250</v>
      </c>
      <c r="D19488" t="s">
        <v>20</v>
      </c>
      <c r="E19488" t="s">
        <v>39</v>
      </c>
      <c r="F19488">
        <v>0</v>
      </c>
      <c r="G19488">
        <v>0</v>
      </c>
      <c r="H19488">
        <v>3</v>
      </c>
      <c r="I19488" s="3">
        <v>2212.89</v>
      </c>
      <c r="J19488" s="3">
        <v>147.52000000000001</v>
      </c>
      <c r="L19488">
        <v>1386</v>
      </c>
      <c r="M19488" t="s">
        <v>22210</v>
      </c>
      <c r="N19488" t="s">
        <v>22211</v>
      </c>
      <c r="O19488" t="s">
        <v>370</v>
      </c>
      <c r="P19488" t="str">
        <f>"34952"</f>
        <v>34952</v>
      </c>
    </row>
    <row r="19489" spans="1:16" x14ac:dyDescent="0.25">
      <c r="A19489" t="str">
        <f>"1280019N00137    00"</f>
        <v>1280019N00137    00</v>
      </c>
      <c r="B19489" t="s">
        <v>42251</v>
      </c>
      <c r="C19489" t="s">
        <v>42252</v>
      </c>
      <c r="E19489" t="s">
        <v>39</v>
      </c>
      <c r="F19489">
        <v>0</v>
      </c>
      <c r="G19489">
        <v>0</v>
      </c>
      <c r="H19489">
        <v>2</v>
      </c>
      <c r="I19489" s="3">
        <v>859.29</v>
      </c>
      <c r="J19489" s="3">
        <v>331.1</v>
      </c>
      <c r="L19489">
        <v>213</v>
      </c>
      <c r="M19489" t="s">
        <v>42158</v>
      </c>
      <c r="N19489" t="s">
        <v>30</v>
      </c>
      <c r="O19489" t="s">
        <v>31</v>
      </c>
      <c r="P19489" t="str">
        <f>"15205"</f>
        <v>15205</v>
      </c>
    </row>
    <row r="19490" spans="1:16" x14ac:dyDescent="0.25">
      <c r="A19490" t="str">
        <f>"1280019N00140    00"</f>
        <v>1280019N00140    00</v>
      </c>
      <c r="B19490" t="s">
        <v>42253</v>
      </c>
      <c r="C19490" t="s">
        <v>42254</v>
      </c>
      <c r="E19490" t="s">
        <v>39</v>
      </c>
      <c r="F19490">
        <v>0</v>
      </c>
      <c r="G19490">
        <v>0</v>
      </c>
      <c r="H19490">
        <v>1</v>
      </c>
      <c r="I19490" s="3">
        <v>1067.18</v>
      </c>
      <c r="J19490" s="3">
        <v>213.41</v>
      </c>
      <c r="L19490">
        <v>213</v>
      </c>
      <c r="M19490" t="s">
        <v>42158</v>
      </c>
      <c r="N19490" t="s">
        <v>30</v>
      </c>
      <c r="O19490" t="s">
        <v>31</v>
      </c>
      <c r="P19490" t="str">
        <f>"15205"</f>
        <v>15205</v>
      </c>
    </row>
    <row r="19491" spans="1:16" x14ac:dyDescent="0.25">
      <c r="A19491" t="str">
        <f>"1280019N00164    00"</f>
        <v>1280019N00164    00</v>
      </c>
      <c r="B19491" t="s">
        <v>42255</v>
      </c>
      <c r="C19491" t="s">
        <v>42256</v>
      </c>
      <c r="E19491" t="s">
        <v>39</v>
      </c>
      <c r="F19491">
        <v>0</v>
      </c>
      <c r="G19491">
        <v>0</v>
      </c>
      <c r="H19491">
        <v>1</v>
      </c>
      <c r="I19491" s="3">
        <v>287.79000000000002</v>
      </c>
      <c r="J19491" s="3">
        <v>0</v>
      </c>
      <c r="L19491">
        <v>1200</v>
      </c>
      <c r="M19491" t="s">
        <v>42230</v>
      </c>
      <c r="N19491" t="s">
        <v>30</v>
      </c>
      <c r="O19491" t="s">
        <v>31</v>
      </c>
      <c r="P19491" t="str">
        <f>"15205"</f>
        <v>15205</v>
      </c>
    </row>
    <row r="19492" spans="1:16" x14ac:dyDescent="0.25">
      <c r="A19492" t="str">
        <f>"1280019N00176    00"</f>
        <v>1280019N00176    00</v>
      </c>
      <c r="B19492" t="s">
        <v>42257</v>
      </c>
      <c r="C19492" t="s">
        <v>42258</v>
      </c>
      <c r="D19492" t="s">
        <v>20</v>
      </c>
      <c r="E19492" t="s">
        <v>39</v>
      </c>
      <c r="F19492">
        <v>0</v>
      </c>
      <c r="G19492">
        <v>0</v>
      </c>
      <c r="H19492">
        <v>2</v>
      </c>
      <c r="I19492" s="3">
        <v>2138.54</v>
      </c>
      <c r="J19492" s="3">
        <v>0</v>
      </c>
      <c r="L19492">
        <v>1224</v>
      </c>
      <c r="M19492" t="s">
        <v>42230</v>
      </c>
      <c r="N19492" t="s">
        <v>30</v>
      </c>
      <c r="O19492" t="s">
        <v>31</v>
      </c>
      <c r="P19492" t="str">
        <f>"15205"</f>
        <v>15205</v>
      </c>
    </row>
    <row r="19493" spans="1:16" x14ac:dyDescent="0.25">
      <c r="A19493" t="str">
        <f>"1280019N00178    00"</f>
        <v>1280019N00178    00</v>
      </c>
      <c r="B19493" t="s">
        <v>42259</v>
      </c>
      <c r="C19493" t="s">
        <v>42260</v>
      </c>
      <c r="D19493" t="s">
        <v>57</v>
      </c>
      <c r="E19493" t="s">
        <v>39</v>
      </c>
      <c r="F19493">
        <v>0</v>
      </c>
      <c r="G19493">
        <v>0</v>
      </c>
      <c r="H19493">
        <v>1</v>
      </c>
      <c r="I19493" s="3">
        <v>315.26</v>
      </c>
      <c r="J19493" s="3">
        <v>0</v>
      </c>
      <c r="L19493">
        <v>1234</v>
      </c>
      <c r="M19493" t="s">
        <v>42230</v>
      </c>
      <c r="N19493" t="s">
        <v>30</v>
      </c>
      <c r="O19493" t="s">
        <v>31</v>
      </c>
      <c r="P19493" t="str">
        <f>"15205"</f>
        <v>15205</v>
      </c>
    </row>
    <row r="19494" spans="1:16" x14ac:dyDescent="0.25">
      <c r="A19494" t="str">
        <f>"1280019N00207    00"</f>
        <v>1280019N00207    00</v>
      </c>
      <c r="B19494" t="s">
        <v>42261</v>
      </c>
      <c r="C19494" t="s">
        <v>42262</v>
      </c>
      <c r="D19494" t="s">
        <v>20</v>
      </c>
      <c r="E19494" t="s">
        <v>39</v>
      </c>
      <c r="F19494">
        <v>0</v>
      </c>
      <c r="G19494">
        <v>0</v>
      </c>
      <c r="H19494">
        <v>8</v>
      </c>
      <c r="I19494" s="3">
        <v>12593.3</v>
      </c>
      <c r="J19494" s="3">
        <v>3974.45</v>
      </c>
      <c r="L19494">
        <v>1201</v>
      </c>
      <c r="M19494" t="s">
        <v>42225</v>
      </c>
      <c r="N19494" t="s">
        <v>30</v>
      </c>
      <c r="O19494" t="s">
        <v>31</v>
      </c>
      <c r="P19494" t="str">
        <f>"15220"</f>
        <v>15220</v>
      </c>
    </row>
    <row r="19495" spans="1:16" x14ac:dyDescent="0.25">
      <c r="A19495" t="str">
        <f>"1280020J00103    00"</f>
        <v>1280020J00103    00</v>
      </c>
      <c r="B19495" t="s">
        <v>42263</v>
      </c>
      <c r="C19495" t="s">
        <v>31299</v>
      </c>
      <c r="D19495" t="s">
        <v>20</v>
      </c>
      <c r="E19495" t="s">
        <v>39</v>
      </c>
      <c r="F19495">
        <v>0</v>
      </c>
      <c r="G19495">
        <v>0</v>
      </c>
      <c r="H19495">
        <v>19</v>
      </c>
      <c r="I19495" s="3">
        <v>3075.9</v>
      </c>
      <c r="J19495" s="3">
        <v>3470.52</v>
      </c>
      <c r="M19495" t="s">
        <v>42264</v>
      </c>
      <c r="N19495" t="s">
        <v>26323</v>
      </c>
      <c r="O19495" t="s">
        <v>31</v>
      </c>
      <c r="P19495" t="str">
        <f>"15026"</f>
        <v>15026</v>
      </c>
    </row>
    <row r="19496" spans="1:16" x14ac:dyDescent="0.25">
      <c r="A19496" t="str">
        <f>"1280020J00104    00"</f>
        <v>1280020J00104    00</v>
      </c>
      <c r="B19496" t="s">
        <v>42263</v>
      </c>
      <c r="C19496" t="s">
        <v>31299</v>
      </c>
      <c r="D19496" t="s">
        <v>20</v>
      </c>
      <c r="E19496" t="s">
        <v>39</v>
      </c>
      <c r="F19496">
        <v>0</v>
      </c>
      <c r="G19496">
        <v>0</v>
      </c>
      <c r="H19496">
        <v>19</v>
      </c>
      <c r="I19496" s="3">
        <v>3075.9</v>
      </c>
      <c r="J19496" s="3">
        <v>3470.52</v>
      </c>
      <c r="M19496" t="s">
        <v>42264</v>
      </c>
      <c r="N19496" t="s">
        <v>26323</v>
      </c>
      <c r="O19496" t="s">
        <v>31</v>
      </c>
      <c r="P19496" t="str">
        <f>"15026"</f>
        <v>15026</v>
      </c>
    </row>
    <row r="19497" spans="1:16" x14ac:dyDescent="0.25">
      <c r="A19497" t="str">
        <f>"1280020J00106    00"</f>
        <v>1280020J00106    00</v>
      </c>
      <c r="B19497" t="s">
        <v>42263</v>
      </c>
      <c r="C19497" t="s">
        <v>31299</v>
      </c>
      <c r="D19497" t="s">
        <v>20</v>
      </c>
      <c r="E19497" t="s">
        <v>39</v>
      </c>
      <c r="F19497">
        <v>0</v>
      </c>
      <c r="G19497">
        <v>0</v>
      </c>
      <c r="H19497">
        <v>19</v>
      </c>
      <c r="I19497" s="3">
        <v>3927.9</v>
      </c>
      <c r="J19497" s="3">
        <v>4028.68</v>
      </c>
      <c r="M19497" t="s">
        <v>42264</v>
      </c>
      <c r="N19497" t="s">
        <v>26323</v>
      </c>
      <c r="O19497" t="s">
        <v>31</v>
      </c>
      <c r="P19497" t="str">
        <f>"15026"</f>
        <v>15026</v>
      </c>
    </row>
    <row r="19498" spans="1:16" x14ac:dyDescent="0.25">
      <c r="A19498" t="str">
        <f>"1280020J00220    00"</f>
        <v>1280020J00220    00</v>
      </c>
      <c r="B19498" t="s">
        <v>42265</v>
      </c>
      <c r="C19498" t="s">
        <v>42266</v>
      </c>
      <c r="E19498" t="s">
        <v>39</v>
      </c>
      <c r="F19498">
        <v>0</v>
      </c>
      <c r="G19498">
        <v>0</v>
      </c>
      <c r="H19498">
        <v>1</v>
      </c>
      <c r="I19498" s="3">
        <v>395.67</v>
      </c>
      <c r="J19498" s="3">
        <v>194.53</v>
      </c>
      <c r="L19498">
        <v>1289</v>
      </c>
      <c r="M19498" t="s">
        <v>42267</v>
      </c>
      <c r="N19498" t="s">
        <v>30</v>
      </c>
      <c r="O19498" t="s">
        <v>31</v>
      </c>
      <c r="P19498" t="str">
        <f>"15220"</f>
        <v>15220</v>
      </c>
    </row>
    <row r="19499" spans="1:16" x14ac:dyDescent="0.25">
      <c r="A19499" t="str">
        <f>"1280020J00230    00"</f>
        <v>1280020J00230    00</v>
      </c>
      <c r="B19499" t="s">
        <v>944</v>
      </c>
      <c r="C19499" t="s">
        <v>42268</v>
      </c>
      <c r="E19499" t="s">
        <v>39</v>
      </c>
      <c r="F19499">
        <v>0</v>
      </c>
      <c r="G19499">
        <v>0</v>
      </c>
      <c r="H19499">
        <v>1</v>
      </c>
      <c r="I19499" s="3">
        <v>2190.1999999999998</v>
      </c>
      <c r="J19499" s="3">
        <v>3394.67</v>
      </c>
      <c r="L19499">
        <v>200</v>
      </c>
      <c r="M19499" t="s">
        <v>946</v>
      </c>
      <c r="N19499" t="s">
        <v>30</v>
      </c>
      <c r="O19499" t="s">
        <v>31</v>
      </c>
      <c r="P19499" t="str">
        <f>"15219"</f>
        <v>15219</v>
      </c>
    </row>
    <row r="19500" spans="1:16" x14ac:dyDescent="0.25">
      <c r="A19500" t="str">
        <f>"1280020J00231    00"</f>
        <v>1280020J00231    00</v>
      </c>
      <c r="B19500" t="s">
        <v>944</v>
      </c>
      <c r="C19500" t="s">
        <v>42268</v>
      </c>
      <c r="E19500" t="s">
        <v>39</v>
      </c>
      <c r="F19500">
        <v>0</v>
      </c>
      <c r="G19500">
        <v>0</v>
      </c>
      <c r="H19500">
        <v>7</v>
      </c>
      <c r="I19500" s="3">
        <v>502.23</v>
      </c>
      <c r="J19500" s="3">
        <v>630.96</v>
      </c>
      <c r="L19500">
        <v>200</v>
      </c>
      <c r="M19500" t="s">
        <v>946</v>
      </c>
      <c r="N19500" t="s">
        <v>30</v>
      </c>
      <c r="O19500" t="s">
        <v>31</v>
      </c>
      <c r="P19500" t="str">
        <f>"15219"</f>
        <v>15219</v>
      </c>
    </row>
    <row r="19501" spans="1:16" x14ac:dyDescent="0.25">
      <c r="A19501" t="str">
        <f>"1280020J00236    00"</f>
        <v>1280020J00236    00</v>
      </c>
      <c r="B19501" t="s">
        <v>42269</v>
      </c>
      <c r="C19501" t="s">
        <v>42270</v>
      </c>
      <c r="D19501" t="s">
        <v>20</v>
      </c>
      <c r="E19501" t="s">
        <v>39</v>
      </c>
      <c r="F19501">
        <v>0</v>
      </c>
      <c r="G19501">
        <v>0</v>
      </c>
      <c r="H19501">
        <v>3</v>
      </c>
      <c r="I19501" s="3">
        <v>2366</v>
      </c>
      <c r="J19501" s="3">
        <v>169.56</v>
      </c>
      <c r="K19501" t="s">
        <v>42271</v>
      </c>
      <c r="L19501">
        <v>1329</v>
      </c>
      <c r="M19501" t="s">
        <v>42267</v>
      </c>
      <c r="N19501" t="s">
        <v>30</v>
      </c>
      <c r="O19501" t="s">
        <v>31</v>
      </c>
      <c r="P19501" t="str">
        <f>"15220"</f>
        <v>15220</v>
      </c>
    </row>
    <row r="19502" spans="1:16" x14ac:dyDescent="0.25">
      <c r="A19502" t="str">
        <f>"1280020J00305    00"</f>
        <v>1280020J00305    00</v>
      </c>
      <c r="B19502" t="s">
        <v>42272</v>
      </c>
      <c r="C19502" t="s">
        <v>42273</v>
      </c>
      <c r="D19502" t="s">
        <v>20</v>
      </c>
      <c r="E19502" t="s">
        <v>39</v>
      </c>
      <c r="F19502">
        <v>0</v>
      </c>
      <c r="G19502">
        <v>0</v>
      </c>
      <c r="H19502">
        <v>2</v>
      </c>
      <c r="I19502" s="3">
        <v>1784.56</v>
      </c>
      <c r="J19502" s="3">
        <v>0</v>
      </c>
      <c r="L19502">
        <v>1422</v>
      </c>
      <c r="M19502" t="s">
        <v>42274</v>
      </c>
      <c r="N19502" t="s">
        <v>30</v>
      </c>
      <c r="O19502" t="s">
        <v>31</v>
      </c>
      <c r="P19502" t="str">
        <f>"15220"</f>
        <v>15220</v>
      </c>
    </row>
    <row r="19503" spans="1:16" x14ac:dyDescent="0.25">
      <c r="A19503" t="str">
        <f>"1280020N00010    00"</f>
        <v>1280020N00010    00</v>
      </c>
      <c r="B19503" t="s">
        <v>42275</v>
      </c>
      <c r="C19503" t="s">
        <v>42276</v>
      </c>
      <c r="D19503" t="s">
        <v>20</v>
      </c>
      <c r="E19503" t="s">
        <v>39</v>
      </c>
      <c r="F19503">
        <v>0</v>
      </c>
      <c r="G19503">
        <v>0</v>
      </c>
      <c r="H19503">
        <v>2</v>
      </c>
      <c r="I19503" s="3">
        <v>4906.08</v>
      </c>
      <c r="J19503" s="3">
        <v>0</v>
      </c>
      <c r="K19503" t="s">
        <v>42277</v>
      </c>
      <c r="L19503">
        <v>212</v>
      </c>
      <c r="M19503" t="s">
        <v>42278</v>
      </c>
      <c r="N19503" t="s">
        <v>30</v>
      </c>
      <c r="O19503" t="s">
        <v>31</v>
      </c>
      <c r="P19503" t="str">
        <f>"15205"</f>
        <v>15205</v>
      </c>
    </row>
    <row r="19504" spans="1:16" x14ac:dyDescent="0.25">
      <c r="A19504" t="str">
        <f>"1280020N00046    00"</f>
        <v>1280020N00046    00</v>
      </c>
      <c r="B19504" t="s">
        <v>42279</v>
      </c>
      <c r="C19504" t="s">
        <v>42280</v>
      </c>
      <c r="E19504" t="s">
        <v>39</v>
      </c>
      <c r="F19504">
        <v>0</v>
      </c>
      <c r="G19504">
        <v>0</v>
      </c>
      <c r="H19504">
        <v>3</v>
      </c>
      <c r="I19504" s="3">
        <v>1525.56</v>
      </c>
      <c r="J19504" s="3">
        <v>8.43</v>
      </c>
      <c r="K19504" t="s">
        <v>42281</v>
      </c>
      <c r="L19504">
        <v>1026</v>
      </c>
      <c r="M19504" t="s">
        <v>42282</v>
      </c>
      <c r="N19504" t="s">
        <v>30</v>
      </c>
      <c r="O19504" t="s">
        <v>31</v>
      </c>
      <c r="P19504" t="str">
        <f>"15220"</f>
        <v>15220</v>
      </c>
    </row>
    <row r="19505" spans="1:16" x14ac:dyDescent="0.25">
      <c r="A19505" t="str">
        <f>"1280039C00060    00"</f>
        <v>1280039C00060    00</v>
      </c>
      <c r="B19505" t="s">
        <v>42144</v>
      </c>
      <c r="C19505" t="s">
        <v>42283</v>
      </c>
      <c r="D19505" t="s">
        <v>20</v>
      </c>
      <c r="E19505" t="s">
        <v>39</v>
      </c>
      <c r="F19505">
        <v>0</v>
      </c>
      <c r="G19505">
        <v>0</v>
      </c>
      <c r="H19505">
        <v>1</v>
      </c>
      <c r="I19505" s="3">
        <v>539.83000000000004</v>
      </c>
      <c r="J19505" s="3">
        <v>0</v>
      </c>
      <c r="L19505">
        <v>1409</v>
      </c>
      <c r="M19505" t="s">
        <v>42146</v>
      </c>
      <c r="N19505" t="s">
        <v>30</v>
      </c>
      <c r="O19505" t="s">
        <v>31</v>
      </c>
      <c r="P19505" t="str">
        <f>"15205"</f>
        <v>15205</v>
      </c>
    </row>
    <row r="19506" spans="1:16" x14ac:dyDescent="0.25">
      <c r="A19506" t="str">
        <f>"1280039C00127    00"</f>
        <v>1280039C00127    00</v>
      </c>
      <c r="B19506" t="s">
        <v>42284</v>
      </c>
      <c r="C19506" t="s">
        <v>42285</v>
      </c>
      <c r="E19506" t="s">
        <v>39</v>
      </c>
      <c r="F19506">
        <v>0</v>
      </c>
      <c r="G19506">
        <v>0</v>
      </c>
      <c r="H19506">
        <v>1</v>
      </c>
      <c r="I19506" s="3">
        <v>473.39</v>
      </c>
      <c r="J19506" s="3">
        <v>0</v>
      </c>
      <c r="L19506">
        <v>1462</v>
      </c>
      <c r="M19506" t="s">
        <v>42286</v>
      </c>
      <c r="N19506" t="s">
        <v>30</v>
      </c>
      <c r="O19506" t="s">
        <v>31</v>
      </c>
      <c r="P19506" t="str">
        <f>"15205"</f>
        <v>15205</v>
      </c>
    </row>
    <row r="19507" spans="1:16" x14ac:dyDescent="0.25">
      <c r="A19507" t="str">
        <f>"1280039C00169    00"</f>
        <v>1280039C00169    00</v>
      </c>
      <c r="B19507" t="s">
        <v>42287</v>
      </c>
      <c r="C19507" t="s">
        <v>42288</v>
      </c>
      <c r="D19507" t="s">
        <v>20</v>
      </c>
      <c r="E19507" t="s">
        <v>39</v>
      </c>
      <c r="F19507">
        <v>0</v>
      </c>
      <c r="G19507">
        <v>0</v>
      </c>
      <c r="H19507">
        <v>19</v>
      </c>
      <c r="I19507" s="3">
        <v>723.59</v>
      </c>
      <c r="J19507" s="3">
        <v>922.38</v>
      </c>
      <c r="K19507" t="s">
        <v>1037</v>
      </c>
      <c r="L19507">
        <v>16</v>
      </c>
      <c r="M19507" t="s">
        <v>42289</v>
      </c>
      <c r="N19507" t="s">
        <v>30</v>
      </c>
      <c r="O19507" t="s">
        <v>31</v>
      </c>
      <c r="P19507" t="str">
        <f>"15228"</f>
        <v>15228</v>
      </c>
    </row>
    <row r="19508" spans="1:16" x14ac:dyDescent="0.25">
      <c r="A19508" t="str">
        <f>"1280039C00296    00"</f>
        <v>1280039C00296    00</v>
      </c>
      <c r="B19508" t="s">
        <v>42290</v>
      </c>
      <c r="C19508" t="s">
        <v>42291</v>
      </c>
      <c r="E19508" t="s">
        <v>39</v>
      </c>
      <c r="F19508">
        <v>0</v>
      </c>
      <c r="G19508">
        <v>0</v>
      </c>
      <c r="H19508">
        <v>1</v>
      </c>
      <c r="I19508" s="3">
        <v>438.04</v>
      </c>
      <c r="J19508" s="3">
        <v>0</v>
      </c>
      <c r="K19508" t="s">
        <v>42292</v>
      </c>
      <c r="L19508">
        <v>1080</v>
      </c>
      <c r="M19508" t="s">
        <v>24940</v>
      </c>
      <c r="N19508" t="s">
        <v>30</v>
      </c>
      <c r="O19508" t="s">
        <v>31</v>
      </c>
      <c r="P19508" t="str">
        <f>"15220"</f>
        <v>15220</v>
      </c>
    </row>
    <row r="19509" spans="1:16" x14ac:dyDescent="0.25">
      <c r="A19509" t="str">
        <f>"1280039C00300    00"</f>
        <v>1280039C00300    00</v>
      </c>
      <c r="B19509" t="s">
        <v>42293</v>
      </c>
      <c r="C19509" t="s">
        <v>42294</v>
      </c>
      <c r="D19509" t="s">
        <v>20</v>
      </c>
      <c r="E19509" t="s">
        <v>39</v>
      </c>
      <c r="F19509">
        <v>0</v>
      </c>
      <c r="G19509">
        <v>0</v>
      </c>
      <c r="H19509">
        <v>2</v>
      </c>
      <c r="I19509" s="3">
        <v>1784.56</v>
      </c>
      <c r="J19509" s="3">
        <v>0</v>
      </c>
      <c r="K19509" t="s">
        <v>1632</v>
      </c>
      <c r="L19509">
        <v>3001</v>
      </c>
      <c r="M19509" t="s">
        <v>330</v>
      </c>
      <c r="N19509" t="s">
        <v>331</v>
      </c>
      <c r="O19509" t="s">
        <v>108</v>
      </c>
      <c r="P19509" t="str">
        <f>"75063"</f>
        <v>75063</v>
      </c>
    </row>
    <row r="19510" spans="1:16" x14ac:dyDescent="0.25">
      <c r="A19510" t="str">
        <f>"1280039D00334    00"</f>
        <v>1280039D00334    00</v>
      </c>
      <c r="B19510" t="s">
        <v>42295</v>
      </c>
      <c r="C19510" t="s">
        <v>42296</v>
      </c>
      <c r="D19510" t="s">
        <v>20</v>
      </c>
      <c r="E19510" t="s">
        <v>39</v>
      </c>
      <c r="F19510">
        <v>0</v>
      </c>
      <c r="G19510">
        <v>0</v>
      </c>
      <c r="H19510">
        <v>2</v>
      </c>
      <c r="I19510" s="3">
        <v>1872.68</v>
      </c>
      <c r="J19510" s="3">
        <v>0</v>
      </c>
      <c r="L19510">
        <v>2134</v>
      </c>
      <c r="M19510" t="s">
        <v>30925</v>
      </c>
      <c r="N19510" t="s">
        <v>30</v>
      </c>
      <c r="O19510" t="s">
        <v>31</v>
      </c>
      <c r="P19510" t="str">
        <f>"15205"</f>
        <v>15205</v>
      </c>
    </row>
    <row r="19511" spans="1:16" x14ac:dyDescent="0.25">
      <c r="A19511" t="str">
        <f>"1280039D00390    00"</f>
        <v>1280039D00390    00</v>
      </c>
      <c r="B19511" t="s">
        <v>42297</v>
      </c>
      <c r="C19511" t="s">
        <v>42298</v>
      </c>
      <c r="D19511" t="s">
        <v>20</v>
      </c>
      <c r="E19511" t="s">
        <v>39</v>
      </c>
      <c r="F19511">
        <v>0</v>
      </c>
      <c r="G19511">
        <v>0</v>
      </c>
      <c r="H19511">
        <v>2</v>
      </c>
      <c r="I19511" s="3">
        <v>1413.87</v>
      </c>
      <c r="J19511" s="3">
        <v>0</v>
      </c>
      <c r="L19511">
        <v>1350</v>
      </c>
      <c r="M19511" t="s">
        <v>42286</v>
      </c>
      <c r="N19511" t="s">
        <v>30</v>
      </c>
      <c r="O19511" t="s">
        <v>31</v>
      </c>
      <c r="P19511" t="str">
        <f>"15205"</f>
        <v>15205</v>
      </c>
    </row>
    <row r="19512" spans="1:16" x14ac:dyDescent="0.25">
      <c r="A19512" t="str">
        <f>"1280039E00002    00"</f>
        <v>1280039E00002    00</v>
      </c>
      <c r="B19512" t="s">
        <v>42299</v>
      </c>
      <c r="C19512" t="s">
        <v>42300</v>
      </c>
      <c r="E19512" t="s">
        <v>39</v>
      </c>
      <c r="F19512">
        <v>0</v>
      </c>
      <c r="G19512">
        <v>0</v>
      </c>
      <c r="H19512">
        <v>1</v>
      </c>
      <c r="I19512" s="3">
        <v>496.88</v>
      </c>
      <c r="J19512" s="3">
        <v>0</v>
      </c>
      <c r="K19512" t="s">
        <v>42301</v>
      </c>
      <c r="M19512" t="s">
        <v>42302</v>
      </c>
      <c r="N19512" t="s">
        <v>32041</v>
      </c>
      <c r="O19512" t="s">
        <v>31</v>
      </c>
      <c r="P19512" t="str">
        <f>"15064"</f>
        <v>15064</v>
      </c>
    </row>
    <row r="19513" spans="1:16" x14ac:dyDescent="0.25">
      <c r="A19513" t="str">
        <f>"1280039E00007    00"</f>
        <v>1280039E00007    00</v>
      </c>
      <c r="B19513" t="s">
        <v>42303</v>
      </c>
      <c r="C19513" t="s">
        <v>42304</v>
      </c>
      <c r="E19513" t="s">
        <v>39</v>
      </c>
      <c r="F19513">
        <v>0</v>
      </c>
      <c r="G19513">
        <v>0</v>
      </c>
      <c r="H19513">
        <v>1</v>
      </c>
      <c r="I19513" s="3">
        <v>304.92</v>
      </c>
      <c r="J19513" s="3">
        <v>0</v>
      </c>
      <c r="K19513" t="s">
        <v>23118</v>
      </c>
      <c r="L19513">
        <v>5000</v>
      </c>
      <c r="M19513" t="s">
        <v>23566</v>
      </c>
      <c r="N19513" t="s">
        <v>23567</v>
      </c>
      <c r="O19513" t="s">
        <v>108</v>
      </c>
      <c r="P19513" t="str">
        <f>"75033"</f>
        <v>75033</v>
      </c>
    </row>
    <row r="19514" spans="1:16" x14ac:dyDescent="0.25">
      <c r="A19514" t="str">
        <f>"1280039E00008    00"</f>
        <v>1280039E00008    00</v>
      </c>
      <c r="B19514" t="s">
        <v>42305</v>
      </c>
      <c r="C19514" t="s">
        <v>42306</v>
      </c>
      <c r="D19514" t="s">
        <v>20</v>
      </c>
      <c r="E19514" t="s">
        <v>39</v>
      </c>
      <c r="F19514">
        <v>0</v>
      </c>
      <c r="G19514">
        <v>0</v>
      </c>
      <c r="H19514">
        <v>1</v>
      </c>
      <c r="I19514" s="3">
        <v>1370.43</v>
      </c>
      <c r="J19514" s="3">
        <v>0</v>
      </c>
      <c r="L19514">
        <v>219</v>
      </c>
      <c r="M19514" t="s">
        <v>42307</v>
      </c>
      <c r="N19514" t="s">
        <v>30</v>
      </c>
      <c r="O19514" t="s">
        <v>31</v>
      </c>
      <c r="P19514" t="str">
        <f>"15229"</f>
        <v>15229</v>
      </c>
    </row>
    <row r="19515" spans="1:16" x14ac:dyDescent="0.25">
      <c r="A19515" t="str">
        <f>"1280039E00025    00"</f>
        <v>1280039E00025    00</v>
      </c>
      <c r="B19515" t="s">
        <v>42308</v>
      </c>
      <c r="C19515" t="s">
        <v>42309</v>
      </c>
      <c r="D19515" t="s">
        <v>20</v>
      </c>
      <c r="E19515" t="s">
        <v>39</v>
      </c>
      <c r="F19515">
        <v>0</v>
      </c>
      <c r="G19515">
        <v>0</v>
      </c>
      <c r="H19515">
        <v>2</v>
      </c>
      <c r="I19515" s="3">
        <v>1316.41</v>
      </c>
      <c r="J19515" s="3">
        <v>0</v>
      </c>
      <c r="L19515">
        <v>122</v>
      </c>
      <c r="M19515" t="s">
        <v>42310</v>
      </c>
      <c r="N19515" t="s">
        <v>30</v>
      </c>
      <c r="O19515" t="s">
        <v>31</v>
      </c>
      <c r="P19515" t="str">
        <f>"15205"</f>
        <v>15205</v>
      </c>
    </row>
    <row r="19516" spans="1:16" x14ac:dyDescent="0.25">
      <c r="A19516" t="str">
        <f>"1280039E00033    00"</f>
        <v>1280039E00033    00</v>
      </c>
      <c r="B19516" t="s">
        <v>42311</v>
      </c>
      <c r="C19516" t="s">
        <v>42312</v>
      </c>
      <c r="D19516" t="s">
        <v>20</v>
      </c>
      <c r="E19516" t="s">
        <v>39</v>
      </c>
      <c r="F19516">
        <v>0</v>
      </c>
      <c r="G19516">
        <v>0</v>
      </c>
      <c r="H19516">
        <v>19</v>
      </c>
      <c r="I19516" s="3">
        <v>2247.62</v>
      </c>
      <c r="J19516" s="3">
        <v>1668.74</v>
      </c>
      <c r="L19516">
        <v>136</v>
      </c>
      <c r="M19516" t="s">
        <v>42310</v>
      </c>
      <c r="N19516" t="s">
        <v>30</v>
      </c>
      <c r="O19516" t="s">
        <v>31</v>
      </c>
      <c r="P19516" t="str">
        <f>"15205"</f>
        <v>15205</v>
      </c>
    </row>
    <row r="19517" spans="1:16" x14ac:dyDescent="0.25">
      <c r="A19517" t="str">
        <f>"1280039E00033A   00"</f>
        <v>1280039E00033A   00</v>
      </c>
      <c r="B19517" t="s">
        <v>42311</v>
      </c>
      <c r="C19517" t="s">
        <v>42312</v>
      </c>
      <c r="D19517" t="s">
        <v>20</v>
      </c>
      <c r="E19517" t="s">
        <v>39</v>
      </c>
      <c r="F19517">
        <v>0</v>
      </c>
      <c r="G19517">
        <v>0</v>
      </c>
      <c r="H19517">
        <v>19</v>
      </c>
      <c r="I19517" s="3">
        <v>23286.7</v>
      </c>
      <c r="J19517" s="3">
        <v>22369.41</v>
      </c>
      <c r="L19517">
        <v>136</v>
      </c>
      <c r="M19517" t="s">
        <v>42310</v>
      </c>
      <c r="N19517" t="s">
        <v>30</v>
      </c>
      <c r="O19517" t="s">
        <v>31</v>
      </c>
      <c r="P19517" t="str">
        <f>"15205"</f>
        <v>15205</v>
      </c>
    </row>
    <row r="19518" spans="1:16" x14ac:dyDescent="0.25">
      <c r="A19518" t="str">
        <f>"1280039E00035    00"</f>
        <v>1280039E00035    00</v>
      </c>
      <c r="B19518" t="s">
        <v>42313</v>
      </c>
      <c r="C19518" t="s">
        <v>42314</v>
      </c>
      <c r="D19518" t="s">
        <v>20</v>
      </c>
      <c r="E19518" t="s">
        <v>39</v>
      </c>
      <c r="F19518">
        <v>0</v>
      </c>
      <c r="G19518">
        <v>0</v>
      </c>
      <c r="H19518">
        <v>16</v>
      </c>
      <c r="I19518" s="3">
        <v>15613.68</v>
      </c>
      <c r="J19518" s="3">
        <v>13868.63</v>
      </c>
      <c r="M19518" t="s">
        <v>42315</v>
      </c>
      <c r="N19518" t="s">
        <v>42316</v>
      </c>
      <c r="O19518" t="s">
        <v>31</v>
      </c>
      <c r="P19518" t="str">
        <f>"15347"</f>
        <v>15347</v>
      </c>
    </row>
    <row r="19519" spans="1:16" x14ac:dyDescent="0.25">
      <c r="A19519" t="str">
        <f>"1280039E00037    00"</f>
        <v>1280039E00037    00</v>
      </c>
      <c r="B19519" t="s">
        <v>42313</v>
      </c>
      <c r="C19519" t="s">
        <v>42317</v>
      </c>
      <c r="D19519" t="s">
        <v>20</v>
      </c>
      <c r="E19519" t="s">
        <v>39</v>
      </c>
      <c r="F19519">
        <v>0</v>
      </c>
      <c r="G19519">
        <v>0</v>
      </c>
      <c r="H19519">
        <v>14</v>
      </c>
      <c r="I19519" s="3">
        <v>1533.54</v>
      </c>
      <c r="J19519" s="3">
        <v>845.55</v>
      </c>
      <c r="M19519" t="s">
        <v>42315</v>
      </c>
      <c r="N19519" t="s">
        <v>42316</v>
      </c>
      <c r="O19519" t="s">
        <v>31</v>
      </c>
      <c r="P19519" t="str">
        <f>"15347"</f>
        <v>15347</v>
      </c>
    </row>
    <row r="19520" spans="1:16" x14ac:dyDescent="0.25">
      <c r="A19520" t="str">
        <f>"1280039E00038    00"</f>
        <v>1280039E00038    00</v>
      </c>
      <c r="B19520" t="s">
        <v>42318</v>
      </c>
      <c r="C19520" t="s">
        <v>42317</v>
      </c>
      <c r="D19520" t="s">
        <v>20</v>
      </c>
      <c r="E19520" t="s">
        <v>39</v>
      </c>
      <c r="F19520">
        <v>0</v>
      </c>
      <c r="G19520">
        <v>0</v>
      </c>
      <c r="H19520">
        <v>19</v>
      </c>
      <c r="I19520" s="3">
        <v>3193.84</v>
      </c>
      <c r="J19520" s="3">
        <v>2266.56</v>
      </c>
      <c r="L19520">
        <v>616</v>
      </c>
      <c r="M19520" t="s">
        <v>42319</v>
      </c>
      <c r="N19520" t="s">
        <v>149</v>
      </c>
      <c r="O19520" t="s">
        <v>31</v>
      </c>
      <c r="P19520" t="str">
        <f>"15106"</f>
        <v>15106</v>
      </c>
    </row>
    <row r="19521" spans="1:16" x14ac:dyDescent="0.25">
      <c r="A19521" t="str">
        <f>"1280039E00040    00"</f>
        <v>1280039E00040    00</v>
      </c>
      <c r="B19521" t="s">
        <v>42313</v>
      </c>
      <c r="C19521" t="s">
        <v>42317</v>
      </c>
      <c r="D19521" t="s">
        <v>20</v>
      </c>
      <c r="E19521" t="s">
        <v>39</v>
      </c>
      <c r="F19521">
        <v>0</v>
      </c>
      <c r="G19521">
        <v>0</v>
      </c>
      <c r="H19521">
        <v>14</v>
      </c>
      <c r="I19521" s="3">
        <v>2712.15</v>
      </c>
      <c r="J19521" s="3">
        <v>1592.37</v>
      </c>
      <c r="M19521" t="s">
        <v>42315</v>
      </c>
      <c r="N19521" t="s">
        <v>42316</v>
      </c>
      <c r="O19521" t="s">
        <v>31</v>
      </c>
      <c r="P19521" t="str">
        <f>"15347"</f>
        <v>15347</v>
      </c>
    </row>
    <row r="19522" spans="1:16" x14ac:dyDescent="0.25">
      <c r="A19522" t="str">
        <f>"1280039E00095    00"</f>
        <v>1280039E00095    00</v>
      </c>
      <c r="B19522" t="s">
        <v>42320</v>
      </c>
      <c r="C19522" t="s">
        <v>42321</v>
      </c>
      <c r="D19522" t="s">
        <v>20</v>
      </c>
      <c r="E19522" t="s">
        <v>39</v>
      </c>
      <c r="F19522">
        <v>0</v>
      </c>
      <c r="G19522">
        <v>0</v>
      </c>
      <c r="H19522">
        <v>11</v>
      </c>
      <c r="I19522" s="3">
        <v>5432.8</v>
      </c>
      <c r="J19522" s="3">
        <v>1990.82</v>
      </c>
      <c r="L19522">
        <v>270</v>
      </c>
      <c r="M19522" t="s">
        <v>40834</v>
      </c>
      <c r="N19522" t="s">
        <v>903</v>
      </c>
      <c r="O19522" t="s">
        <v>31</v>
      </c>
      <c r="P19522" t="str">
        <f>"15136"</f>
        <v>15136</v>
      </c>
    </row>
    <row r="19523" spans="1:16" x14ac:dyDescent="0.25">
      <c r="A19523" t="str">
        <f>"1280039E00096    00"</f>
        <v>1280039E00096    00</v>
      </c>
      <c r="B19523" t="s">
        <v>42322</v>
      </c>
      <c r="C19523" t="s">
        <v>42323</v>
      </c>
      <c r="D19523" t="s">
        <v>20</v>
      </c>
      <c r="E19523" t="s">
        <v>39</v>
      </c>
      <c r="F19523">
        <v>0</v>
      </c>
      <c r="G19523">
        <v>0</v>
      </c>
      <c r="H19523">
        <v>3</v>
      </c>
      <c r="I19523" s="3">
        <v>4688.82</v>
      </c>
      <c r="J19523" s="3">
        <v>312.58</v>
      </c>
      <c r="L19523">
        <v>104</v>
      </c>
      <c r="M19523" t="s">
        <v>3585</v>
      </c>
      <c r="N19523" t="s">
        <v>1067</v>
      </c>
      <c r="O19523" t="s">
        <v>31</v>
      </c>
      <c r="P19523" t="str">
        <f>"15143"</f>
        <v>15143</v>
      </c>
    </row>
    <row r="19524" spans="1:16" x14ac:dyDescent="0.25">
      <c r="A19524" t="str">
        <f>"1280039H00072    00"</f>
        <v>1280039H00072    00</v>
      </c>
      <c r="B19524" t="s">
        <v>42324</v>
      </c>
      <c r="C19524" t="s">
        <v>42325</v>
      </c>
      <c r="D19524" t="s">
        <v>20</v>
      </c>
      <c r="E19524" t="s">
        <v>39</v>
      </c>
      <c r="F19524">
        <v>0</v>
      </c>
      <c r="G19524">
        <v>0</v>
      </c>
      <c r="H19524">
        <v>1</v>
      </c>
      <c r="I19524" s="3">
        <v>1220.1500000000001</v>
      </c>
      <c r="J19524" s="3">
        <v>0</v>
      </c>
      <c r="K19524" t="s">
        <v>42326</v>
      </c>
      <c r="L19524">
        <v>137</v>
      </c>
      <c r="M19524" t="s">
        <v>42327</v>
      </c>
      <c r="N19524" t="s">
        <v>30</v>
      </c>
      <c r="O19524" t="s">
        <v>31</v>
      </c>
      <c r="P19524" t="str">
        <f>"15205"</f>
        <v>15205</v>
      </c>
    </row>
    <row r="19525" spans="1:16" x14ac:dyDescent="0.25">
      <c r="A19525" t="str">
        <f>"1280039H00073    00"</f>
        <v>1280039H00073    00</v>
      </c>
      <c r="B19525" t="s">
        <v>42328</v>
      </c>
      <c r="C19525" t="s">
        <v>42329</v>
      </c>
      <c r="D19525" t="s">
        <v>20</v>
      </c>
      <c r="E19525" t="s">
        <v>39</v>
      </c>
      <c r="F19525">
        <v>0</v>
      </c>
      <c r="G19525">
        <v>0</v>
      </c>
      <c r="H19525">
        <v>4</v>
      </c>
      <c r="I19525" s="3">
        <v>2895.37</v>
      </c>
      <c r="J19525" s="3">
        <v>225.45</v>
      </c>
      <c r="L19525">
        <v>131</v>
      </c>
      <c r="M19525" t="s">
        <v>42327</v>
      </c>
      <c r="N19525" t="s">
        <v>30</v>
      </c>
      <c r="O19525" t="s">
        <v>31</v>
      </c>
      <c r="P19525" t="str">
        <f>"15205"</f>
        <v>15205</v>
      </c>
    </row>
    <row r="19526" spans="1:16" x14ac:dyDescent="0.25">
      <c r="A19526" t="str">
        <f>"1280039J00003    00"</f>
        <v>1280039J00003    00</v>
      </c>
      <c r="B19526" t="s">
        <v>42330</v>
      </c>
      <c r="C19526" t="s">
        <v>42331</v>
      </c>
      <c r="D19526" t="s">
        <v>20</v>
      </c>
      <c r="E19526" t="s">
        <v>39</v>
      </c>
      <c r="F19526">
        <v>0</v>
      </c>
      <c r="G19526">
        <v>0</v>
      </c>
      <c r="H19526">
        <v>15</v>
      </c>
      <c r="I19526" s="3">
        <v>315.98</v>
      </c>
      <c r="J19526" s="3">
        <v>238.98</v>
      </c>
      <c r="K19526" t="s">
        <v>42332</v>
      </c>
      <c r="P19526" t="str">
        <f>""</f>
        <v/>
      </c>
    </row>
    <row r="19527" spans="1:16" x14ac:dyDescent="0.25">
      <c r="A19527" t="str">
        <f>"1280039J00043    00"</f>
        <v>1280039J00043    00</v>
      </c>
      <c r="B19527" t="s">
        <v>42333</v>
      </c>
      <c r="C19527" t="s">
        <v>42334</v>
      </c>
      <c r="D19527" t="s">
        <v>20</v>
      </c>
      <c r="E19527" t="s">
        <v>39</v>
      </c>
      <c r="F19527">
        <v>0</v>
      </c>
      <c r="G19527">
        <v>0</v>
      </c>
      <c r="H19527">
        <v>1</v>
      </c>
      <c r="I19527" s="3">
        <v>974.42</v>
      </c>
      <c r="J19527" s="3">
        <v>0</v>
      </c>
      <c r="K19527" t="s">
        <v>42335</v>
      </c>
      <c r="L19527">
        <v>4251</v>
      </c>
      <c r="M19527" t="s">
        <v>42336</v>
      </c>
      <c r="N19527" t="s">
        <v>42337</v>
      </c>
      <c r="O19527" t="s">
        <v>370</v>
      </c>
      <c r="P19527" t="str">
        <f>"34134"</f>
        <v>34134</v>
      </c>
    </row>
    <row r="19528" spans="1:16" x14ac:dyDescent="0.25">
      <c r="A19528" t="str">
        <f>"1280039J00056    00"</f>
        <v>1280039J00056    00</v>
      </c>
      <c r="B19528" t="s">
        <v>42338</v>
      </c>
      <c r="C19528" t="s">
        <v>42339</v>
      </c>
      <c r="D19528" t="s">
        <v>20</v>
      </c>
      <c r="E19528" t="s">
        <v>39</v>
      </c>
      <c r="F19528">
        <v>0</v>
      </c>
      <c r="G19528">
        <v>0</v>
      </c>
      <c r="H19528">
        <v>2</v>
      </c>
      <c r="I19528" s="3">
        <v>2367.2800000000002</v>
      </c>
      <c r="J19528" s="3">
        <v>0</v>
      </c>
      <c r="K19528" t="s">
        <v>42182</v>
      </c>
      <c r="L19528">
        <v>3001</v>
      </c>
      <c r="M19528" t="s">
        <v>330</v>
      </c>
      <c r="N19528" t="s">
        <v>331</v>
      </c>
      <c r="O19528" t="s">
        <v>108</v>
      </c>
      <c r="P19528" t="str">
        <f>"75063"</f>
        <v>75063</v>
      </c>
    </row>
    <row r="19529" spans="1:16" x14ac:dyDescent="0.25">
      <c r="A19529" t="str">
        <f>"1280039J00080    00"</f>
        <v>1280039J00080    00</v>
      </c>
      <c r="B19529" t="s">
        <v>42340</v>
      </c>
      <c r="C19529" t="s">
        <v>42341</v>
      </c>
      <c r="E19529" t="s">
        <v>39</v>
      </c>
      <c r="F19529">
        <v>0</v>
      </c>
      <c r="G19529">
        <v>0</v>
      </c>
      <c r="H19529">
        <v>3</v>
      </c>
      <c r="I19529" s="3">
        <v>956.84</v>
      </c>
      <c r="J19529" s="3">
        <v>478.62</v>
      </c>
      <c r="L19529">
        <v>109</v>
      </c>
      <c r="M19529" t="s">
        <v>42342</v>
      </c>
      <c r="N19529" t="s">
        <v>30</v>
      </c>
      <c r="O19529" t="s">
        <v>31</v>
      </c>
      <c r="P19529" t="str">
        <f>"15204"</f>
        <v>15204</v>
      </c>
    </row>
    <row r="19530" spans="1:16" x14ac:dyDescent="0.25">
      <c r="A19530" t="str">
        <f>"1280039J00100    00"</f>
        <v>1280039J00100    00</v>
      </c>
      <c r="B19530" t="s">
        <v>42343</v>
      </c>
      <c r="C19530" t="s">
        <v>42344</v>
      </c>
      <c r="D19530" t="s">
        <v>20</v>
      </c>
      <c r="E19530" t="s">
        <v>39</v>
      </c>
      <c r="F19530">
        <v>0</v>
      </c>
      <c r="G19530">
        <v>0</v>
      </c>
      <c r="H19530">
        <v>3</v>
      </c>
      <c r="I19530" s="3">
        <v>4843.17</v>
      </c>
      <c r="J19530" s="3">
        <v>322.87</v>
      </c>
      <c r="L19530">
        <v>192</v>
      </c>
      <c r="M19530" t="s">
        <v>42345</v>
      </c>
      <c r="N19530" t="s">
        <v>30</v>
      </c>
      <c r="O19530" t="s">
        <v>31</v>
      </c>
      <c r="P19530" t="str">
        <f>"15205"</f>
        <v>15205</v>
      </c>
    </row>
    <row r="19531" spans="1:16" x14ac:dyDescent="0.25">
      <c r="A19531" t="str">
        <f>"1280039J00102    00"</f>
        <v>1280039J00102    00</v>
      </c>
      <c r="B19531" t="s">
        <v>42343</v>
      </c>
      <c r="C19531" t="s">
        <v>42346</v>
      </c>
      <c r="D19531" t="s">
        <v>20</v>
      </c>
      <c r="E19531" t="s">
        <v>39</v>
      </c>
      <c r="F19531">
        <v>0</v>
      </c>
      <c r="G19531">
        <v>0</v>
      </c>
      <c r="H19531">
        <v>3</v>
      </c>
      <c r="I19531" s="3">
        <v>263.04000000000002</v>
      </c>
      <c r="J19531" s="3">
        <v>17.54</v>
      </c>
      <c r="K19531" t="s">
        <v>710</v>
      </c>
      <c r="L19531">
        <v>4140</v>
      </c>
      <c r="M19531" t="s">
        <v>711</v>
      </c>
      <c r="N19531" t="s">
        <v>712</v>
      </c>
      <c r="O19531" t="s">
        <v>31</v>
      </c>
      <c r="P19531" t="str">
        <f>"16148"</f>
        <v>16148</v>
      </c>
    </row>
    <row r="19532" spans="1:16" x14ac:dyDescent="0.25">
      <c r="A19532" t="str">
        <f>"1280039J00103    00"</f>
        <v>1280039J00103    00</v>
      </c>
      <c r="B19532" t="s">
        <v>42347</v>
      </c>
      <c r="C19532" t="s">
        <v>42348</v>
      </c>
      <c r="D19532" t="s">
        <v>20</v>
      </c>
      <c r="E19532" t="s">
        <v>39</v>
      </c>
      <c r="F19532">
        <v>0</v>
      </c>
      <c r="G19532">
        <v>0</v>
      </c>
      <c r="H19532">
        <v>1</v>
      </c>
      <c r="I19532" s="3">
        <v>890.59</v>
      </c>
      <c r="J19532" s="3">
        <v>0</v>
      </c>
      <c r="M19532" t="s">
        <v>42349</v>
      </c>
      <c r="N19532" t="s">
        <v>30</v>
      </c>
      <c r="O19532" t="s">
        <v>31</v>
      </c>
      <c r="P19532" t="str">
        <f>"15205"</f>
        <v>15205</v>
      </c>
    </row>
    <row r="19533" spans="1:16" x14ac:dyDescent="0.25">
      <c r="A19533" t="str">
        <f>"1280039J00119    00"</f>
        <v>1280039J00119    00</v>
      </c>
      <c r="B19533" t="s">
        <v>42350</v>
      </c>
      <c r="C19533" t="s">
        <v>42346</v>
      </c>
      <c r="E19533" t="s">
        <v>39</v>
      </c>
      <c r="F19533">
        <v>0</v>
      </c>
      <c r="G19533">
        <v>0</v>
      </c>
      <c r="H19533">
        <v>2</v>
      </c>
      <c r="I19533" s="3">
        <v>184.67</v>
      </c>
      <c r="J19533" s="3">
        <v>24.03</v>
      </c>
      <c r="L19533">
        <v>95</v>
      </c>
      <c r="M19533" t="s">
        <v>42351</v>
      </c>
      <c r="N19533" t="s">
        <v>42352</v>
      </c>
      <c r="O19533" t="s">
        <v>31</v>
      </c>
      <c r="P19533" t="str">
        <f>"19053"</f>
        <v>19053</v>
      </c>
    </row>
    <row r="19534" spans="1:16" x14ac:dyDescent="0.25">
      <c r="A19534" t="str">
        <f>"1280039J00127    00"</f>
        <v>1280039J00127    00</v>
      </c>
      <c r="B19534" t="s">
        <v>42353</v>
      </c>
      <c r="C19534" t="s">
        <v>42346</v>
      </c>
      <c r="D19534" t="s">
        <v>20</v>
      </c>
      <c r="E19534" t="s">
        <v>39</v>
      </c>
      <c r="F19534">
        <v>0</v>
      </c>
      <c r="G19534">
        <v>0</v>
      </c>
      <c r="H19534">
        <v>19</v>
      </c>
      <c r="I19534" s="3">
        <v>7467.15</v>
      </c>
      <c r="J19534" s="3">
        <v>6025.42</v>
      </c>
      <c r="L19534">
        <v>531</v>
      </c>
      <c r="M19534" t="s">
        <v>42354</v>
      </c>
      <c r="N19534" t="s">
        <v>30</v>
      </c>
      <c r="O19534" t="s">
        <v>31</v>
      </c>
      <c r="P19534" t="str">
        <f>"15243"</f>
        <v>15243</v>
      </c>
    </row>
    <row r="19535" spans="1:16" x14ac:dyDescent="0.25">
      <c r="A19535" t="str">
        <f>"1280039J00147    00"</f>
        <v>1280039J00147    00</v>
      </c>
      <c r="B19535" t="s">
        <v>42355</v>
      </c>
      <c r="C19535" t="s">
        <v>42317</v>
      </c>
      <c r="D19535" t="s">
        <v>20</v>
      </c>
      <c r="E19535" t="s">
        <v>39</v>
      </c>
      <c r="F19535">
        <v>0</v>
      </c>
      <c r="G19535">
        <v>0</v>
      </c>
      <c r="H19535">
        <v>19</v>
      </c>
      <c r="I19535" s="3">
        <v>732</v>
      </c>
      <c r="J19535" s="3">
        <v>814.34</v>
      </c>
      <c r="M19535" t="s">
        <v>42356</v>
      </c>
      <c r="N19535" t="s">
        <v>42357</v>
      </c>
      <c r="O19535" t="s">
        <v>370</v>
      </c>
      <c r="P19535" t="str">
        <f>"32193"</f>
        <v>32193</v>
      </c>
    </row>
    <row r="19536" spans="1:16" x14ac:dyDescent="0.25">
      <c r="A19536" t="str">
        <f>"1280039J00171    00"</f>
        <v>1280039J00171    00</v>
      </c>
      <c r="B19536" t="s">
        <v>42358</v>
      </c>
      <c r="C19536" t="s">
        <v>42359</v>
      </c>
      <c r="D19536" t="s">
        <v>20</v>
      </c>
      <c r="E19536" t="s">
        <v>39</v>
      </c>
      <c r="F19536">
        <v>0</v>
      </c>
      <c r="G19536">
        <v>0</v>
      </c>
      <c r="H19536">
        <v>19</v>
      </c>
      <c r="I19536" s="3">
        <v>981.58</v>
      </c>
      <c r="J19536" s="3">
        <v>1013.79</v>
      </c>
      <c r="K19536" t="s">
        <v>1037</v>
      </c>
      <c r="M19536" t="s">
        <v>42360</v>
      </c>
      <c r="N19536" t="s">
        <v>42361</v>
      </c>
      <c r="O19536" t="s">
        <v>423</v>
      </c>
      <c r="P19536" t="str">
        <f>"08046"</f>
        <v>08046</v>
      </c>
    </row>
    <row r="19537" spans="1:16" x14ac:dyDescent="0.25">
      <c r="A19537" t="str">
        <f>"1280039J00181    00"</f>
        <v>1280039J00181    00</v>
      </c>
      <c r="B19537" t="s">
        <v>42362</v>
      </c>
      <c r="C19537" t="s">
        <v>42363</v>
      </c>
      <c r="D19537" t="s">
        <v>20</v>
      </c>
      <c r="E19537" t="s">
        <v>39</v>
      </c>
      <c r="F19537">
        <v>0</v>
      </c>
      <c r="G19537">
        <v>0</v>
      </c>
      <c r="H19537">
        <v>3</v>
      </c>
      <c r="I19537" s="3">
        <v>2441.15</v>
      </c>
      <c r="J19537" s="3">
        <v>77.3</v>
      </c>
      <c r="L19537">
        <v>311</v>
      </c>
      <c r="M19537" t="s">
        <v>42364</v>
      </c>
      <c r="N19537" t="s">
        <v>30</v>
      </c>
      <c r="O19537" t="s">
        <v>31</v>
      </c>
      <c r="P19537" t="str">
        <f>"15220"</f>
        <v>15220</v>
      </c>
    </row>
    <row r="19538" spans="1:16" x14ac:dyDescent="0.25">
      <c r="A19538" t="str">
        <f>"1280039J00183    00"</f>
        <v>1280039J00183    00</v>
      </c>
      <c r="B19538" t="s">
        <v>42365</v>
      </c>
      <c r="C19538" t="s">
        <v>42359</v>
      </c>
      <c r="D19538" t="s">
        <v>20</v>
      </c>
      <c r="E19538" t="s">
        <v>39</v>
      </c>
      <c r="F19538">
        <v>0</v>
      </c>
      <c r="G19538">
        <v>0</v>
      </c>
      <c r="H19538">
        <v>19</v>
      </c>
      <c r="I19538" s="3">
        <v>3743.44</v>
      </c>
      <c r="J19538" s="3">
        <v>4993.1899999999996</v>
      </c>
      <c r="L19538">
        <v>312</v>
      </c>
      <c r="M19538" t="s">
        <v>42364</v>
      </c>
      <c r="N19538" t="s">
        <v>30</v>
      </c>
      <c r="O19538" t="s">
        <v>31</v>
      </c>
      <c r="P19538" t="str">
        <f t="shared" ref="P19538:P19546" si="242">"15205"</f>
        <v>15205</v>
      </c>
    </row>
    <row r="19539" spans="1:16" x14ac:dyDescent="0.25">
      <c r="A19539" t="str">
        <f>"1280039J00205    00"</f>
        <v>1280039J00205    00</v>
      </c>
      <c r="B19539" t="s">
        <v>42366</v>
      </c>
      <c r="C19539" t="s">
        <v>42367</v>
      </c>
      <c r="D19539" t="s">
        <v>20</v>
      </c>
      <c r="E19539" t="s">
        <v>39</v>
      </c>
      <c r="F19539">
        <v>0</v>
      </c>
      <c r="G19539">
        <v>0</v>
      </c>
      <c r="H19539">
        <v>1</v>
      </c>
      <c r="I19539" s="3">
        <v>334.49</v>
      </c>
      <c r="J19539" s="3">
        <v>0</v>
      </c>
      <c r="L19539">
        <v>2608</v>
      </c>
      <c r="M19539" t="s">
        <v>30925</v>
      </c>
      <c r="N19539" t="s">
        <v>30</v>
      </c>
      <c r="O19539" t="s">
        <v>31</v>
      </c>
      <c r="P19539" t="str">
        <f t="shared" si="242"/>
        <v>15205</v>
      </c>
    </row>
    <row r="19540" spans="1:16" x14ac:dyDescent="0.25">
      <c r="A19540" t="str">
        <f>"1280039J00268    00"</f>
        <v>1280039J00268    00</v>
      </c>
      <c r="B19540" t="s">
        <v>42368</v>
      </c>
      <c r="C19540" t="s">
        <v>42317</v>
      </c>
      <c r="D19540" t="s">
        <v>20</v>
      </c>
      <c r="E19540" t="s">
        <v>39</v>
      </c>
      <c r="F19540">
        <v>0</v>
      </c>
      <c r="G19540">
        <v>0</v>
      </c>
      <c r="H19540">
        <v>19</v>
      </c>
      <c r="I19540" s="3">
        <v>16763.68</v>
      </c>
      <c r="J19540" s="3">
        <v>19795.95</v>
      </c>
      <c r="L19540">
        <v>317</v>
      </c>
      <c r="M19540" t="s">
        <v>42310</v>
      </c>
      <c r="N19540" t="s">
        <v>30</v>
      </c>
      <c r="O19540" t="s">
        <v>31</v>
      </c>
      <c r="P19540" t="str">
        <f t="shared" si="242"/>
        <v>15205</v>
      </c>
    </row>
    <row r="19541" spans="1:16" x14ac:dyDescent="0.25">
      <c r="A19541" t="str">
        <f>"1280039J00269    00"</f>
        <v>1280039J00269    00</v>
      </c>
      <c r="B19541" t="s">
        <v>42369</v>
      </c>
      <c r="C19541" t="s">
        <v>42370</v>
      </c>
      <c r="D19541" t="s">
        <v>20</v>
      </c>
      <c r="E19541" t="s">
        <v>39</v>
      </c>
      <c r="F19541">
        <v>0</v>
      </c>
      <c r="G19541">
        <v>0</v>
      </c>
      <c r="H19541">
        <v>2</v>
      </c>
      <c r="I19541" s="3">
        <v>22.3</v>
      </c>
      <c r="J19541" s="3">
        <v>0</v>
      </c>
      <c r="L19541">
        <v>22</v>
      </c>
      <c r="M19541" t="s">
        <v>42371</v>
      </c>
      <c r="N19541" t="s">
        <v>30</v>
      </c>
      <c r="O19541" t="s">
        <v>31</v>
      </c>
      <c r="P19541" t="str">
        <f t="shared" si="242"/>
        <v>15205</v>
      </c>
    </row>
    <row r="19542" spans="1:16" x14ac:dyDescent="0.25">
      <c r="A19542" t="str">
        <f>"1280039J00270    00"</f>
        <v>1280039J00270    00</v>
      </c>
      <c r="B19542" t="s">
        <v>42372</v>
      </c>
      <c r="C19542" t="s">
        <v>42370</v>
      </c>
      <c r="D19542" t="s">
        <v>57</v>
      </c>
      <c r="E19542" t="s">
        <v>39</v>
      </c>
      <c r="F19542">
        <v>0</v>
      </c>
      <c r="G19542">
        <v>0</v>
      </c>
      <c r="H19542">
        <v>1</v>
      </c>
      <c r="I19542" s="3">
        <v>304.83</v>
      </c>
      <c r="J19542" s="3">
        <v>0</v>
      </c>
      <c r="L19542">
        <v>22</v>
      </c>
      <c r="M19542" t="s">
        <v>42371</v>
      </c>
      <c r="N19542" t="s">
        <v>30</v>
      </c>
      <c r="O19542" t="s">
        <v>31</v>
      </c>
      <c r="P19542" t="str">
        <f t="shared" si="242"/>
        <v>15205</v>
      </c>
    </row>
    <row r="19543" spans="1:16" x14ac:dyDescent="0.25">
      <c r="A19543" t="str">
        <f>"1280039J00271    00"</f>
        <v>1280039J00271    00</v>
      </c>
      <c r="B19543" t="s">
        <v>42373</v>
      </c>
      <c r="C19543" t="s">
        <v>42374</v>
      </c>
      <c r="D19543" t="s">
        <v>20</v>
      </c>
      <c r="E19543" t="s">
        <v>39</v>
      </c>
      <c r="F19543">
        <v>0</v>
      </c>
      <c r="G19543">
        <v>0</v>
      </c>
      <c r="H19543">
        <v>1</v>
      </c>
      <c r="I19543" s="3">
        <v>700</v>
      </c>
      <c r="J19543" s="3">
        <v>0</v>
      </c>
      <c r="L19543">
        <v>79</v>
      </c>
      <c r="M19543" t="s">
        <v>30578</v>
      </c>
      <c r="N19543" t="s">
        <v>30</v>
      </c>
      <c r="O19543" t="s">
        <v>31</v>
      </c>
      <c r="P19543" t="str">
        <f t="shared" si="242"/>
        <v>15205</v>
      </c>
    </row>
    <row r="19544" spans="1:16" x14ac:dyDescent="0.25">
      <c r="A19544" t="str">
        <f>"1280039J00273    00"</f>
        <v>1280039J00273    00</v>
      </c>
      <c r="B19544" t="s">
        <v>42375</v>
      </c>
      <c r="C19544" t="s">
        <v>42370</v>
      </c>
      <c r="E19544" t="s">
        <v>39</v>
      </c>
      <c r="F19544">
        <v>0</v>
      </c>
      <c r="G19544">
        <v>0</v>
      </c>
      <c r="H19544">
        <v>1</v>
      </c>
      <c r="I19544" s="3">
        <v>65.19</v>
      </c>
      <c r="J19544" s="3">
        <v>0</v>
      </c>
      <c r="L19544">
        <v>22</v>
      </c>
      <c r="M19544" t="s">
        <v>42371</v>
      </c>
      <c r="N19544" t="s">
        <v>30</v>
      </c>
      <c r="O19544" t="s">
        <v>31</v>
      </c>
      <c r="P19544" t="str">
        <f t="shared" si="242"/>
        <v>15205</v>
      </c>
    </row>
    <row r="19545" spans="1:16" x14ac:dyDescent="0.25">
      <c r="A19545" t="str">
        <f>"1280039J00275    00"</f>
        <v>1280039J00275    00</v>
      </c>
      <c r="B19545" t="s">
        <v>42375</v>
      </c>
      <c r="C19545" t="s">
        <v>42317</v>
      </c>
      <c r="D19545" t="s">
        <v>20</v>
      </c>
      <c r="E19545" t="s">
        <v>39</v>
      </c>
      <c r="F19545">
        <v>0</v>
      </c>
      <c r="G19545">
        <v>0</v>
      </c>
      <c r="H19545">
        <v>2</v>
      </c>
      <c r="I19545" s="3">
        <v>164.44</v>
      </c>
      <c r="J19545" s="3">
        <v>0</v>
      </c>
      <c r="L19545">
        <v>22</v>
      </c>
      <c r="M19545" t="s">
        <v>42371</v>
      </c>
      <c r="N19545" t="s">
        <v>30</v>
      </c>
      <c r="O19545" t="s">
        <v>31</v>
      </c>
      <c r="P19545" t="str">
        <f t="shared" si="242"/>
        <v>15205</v>
      </c>
    </row>
    <row r="19546" spans="1:16" x14ac:dyDescent="0.25">
      <c r="A19546" t="str">
        <f>"1280039J00277    00"</f>
        <v>1280039J00277    00</v>
      </c>
      <c r="B19546" t="s">
        <v>42376</v>
      </c>
      <c r="C19546" t="s">
        <v>42317</v>
      </c>
      <c r="D19546" t="s">
        <v>20</v>
      </c>
      <c r="E19546" t="s">
        <v>39</v>
      </c>
      <c r="F19546">
        <v>0</v>
      </c>
      <c r="G19546">
        <v>0</v>
      </c>
      <c r="H19546">
        <v>8</v>
      </c>
      <c r="I19546" s="3">
        <v>1670.36</v>
      </c>
      <c r="J19546" s="3">
        <v>462.46</v>
      </c>
      <c r="L19546">
        <v>1326</v>
      </c>
      <c r="M19546" t="s">
        <v>42230</v>
      </c>
      <c r="N19546" t="s">
        <v>30</v>
      </c>
      <c r="O19546" t="s">
        <v>31</v>
      </c>
      <c r="P19546" t="str">
        <f t="shared" si="242"/>
        <v>15205</v>
      </c>
    </row>
    <row r="19547" spans="1:16" x14ac:dyDescent="0.25">
      <c r="A19547" t="str">
        <f>"1280039K00122    00"</f>
        <v>1280039K00122    00</v>
      </c>
      <c r="B19547" t="s">
        <v>42377</v>
      </c>
      <c r="C19547" t="s">
        <v>42378</v>
      </c>
      <c r="D19547" t="s">
        <v>20</v>
      </c>
      <c r="E19547" t="s">
        <v>21</v>
      </c>
      <c r="F19547">
        <v>0</v>
      </c>
      <c r="G19547">
        <v>0</v>
      </c>
      <c r="H19547">
        <v>17</v>
      </c>
      <c r="I19547" s="3">
        <v>264.23</v>
      </c>
      <c r="J19547" s="3">
        <v>298.63</v>
      </c>
      <c r="L19547">
        <v>612</v>
      </c>
      <c r="M19547" t="s">
        <v>42379</v>
      </c>
      <c r="N19547" t="s">
        <v>30</v>
      </c>
      <c r="O19547" t="s">
        <v>31</v>
      </c>
      <c r="P19547" t="str">
        <f>"15208"</f>
        <v>15208</v>
      </c>
    </row>
    <row r="19548" spans="1:16" x14ac:dyDescent="0.25">
      <c r="A19548" t="str">
        <f>"1280039K00500    00"</f>
        <v>1280039K00500    00</v>
      </c>
      <c r="B19548" t="s">
        <v>42380</v>
      </c>
      <c r="C19548" t="s">
        <v>42381</v>
      </c>
      <c r="D19548" t="s">
        <v>20</v>
      </c>
      <c r="E19548" t="s">
        <v>39</v>
      </c>
      <c r="F19548">
        <v>0</v>
      </c>
      <c r="G19548">
        <v>0</v>
      </c>
      <c r="H19548">
        <v>19</v>
      </c>
      <c r="I19548" s="3">
        <v>19199.36</v>
      </c>
      <c r="J19548" s="3">
        <v>20476.21</v>
      </c>
      <c r="L19548">
        <v>505</v>
      </c>
      <c r="M19548" t="s">
        <v>42382</v>
      </c>
      <c r="N19548" t="s">
        <v>30</v>
      </c>
      <c r="O19548" t="s">
        <v>31</v>
      </c>
      <c r="P19548" t="str">
        <f>"15219"</f>
        <v>15219</v>
      </c>
    </row>
    <row r="19549" spans="1:16" x14ac:dyDescent="0.25">
      <c r="A19549" t="str">
        <f>"1280039L00410    00"</f>
        <v>1280039L00410    00</v>
      </c>
      <c r="B19549" t="s">
        <v>42383</v>
      </c>
      <c r="C19549" t="s">
        <v>42384</v>
      </c>
      <c r="D19549" t="s">
        <v>20</v>
      </c>
      <c r="E19549" t="s">
        <v>21</v>
      </c>
      <c r="F19549">
        <v>0</v>
      </c>
      <c r="G19549">
        <v>0</v>
      </c>
      <c r="H19549">
        <v>2</v>
      </c>
      <c r="I19549" s="3">
        <v>2157.44</v>
      </c>
      <c r="J19549" s="3">
        <v>0</v>
      </c>
      <c r="L19549">
        <v>2320</v>
      </c>
      <c r="M19549" t="s">
        <v>30925</v>
      </c>
      <c r="N19549" t="s">
        <v>30</v>
      </c>
      <c r="O19549" t="s">
        <v>31</v>
      </c>
      <c r="P19549" t="str">
        <f>"15205"</f>
        <v>15205</v>
      </c>
    </row>
    <row r="19550" spans="1:16" x14ac:dyDescent="0.25">
      <c r="A19550" t="str">
        <f>"1280039M00092    00"</f>
        <v>1280039M00092    00</v>
      </c>
      <c r="B19550" t="s">
        <v>42385</v>
      </c>
      <c r="C19550" t="s">
        <v>42170</v>
      </c>
      <c r="D19550" t="s">
        <v>20</v>
      </c>
      <c r="E19550" t="s">
        <v>39</v>
      </c>
      <c r="F19550">
        <v>0</v>
      </c>
      <c r="G19550">
        <v>0</v>
      </c>
      <c r="H19550">
        <v>2</v>
      </c>
      <c r="I19550" s="3">
        <v>261.52</v>
      </c>
      <c r="J19550" s="3">
        <v>0</v>
      </c>
      <c r="L19550">
        <v>2069</v>
      </c>
      <c r="M19550" t="s">
        <v>31012</v>
      </c>
      <c r="N19550" t="s">
        <v>30</v>
      </c>
      <c r="O19550" t="s">
        <v>31</v>
      </c>
      <c r="P19550" t="str">
        <f>"15205"</f>
        <v>15205</v>
      </c>
    </row>
    <row r="19551" spans="1:16" x14ac:dyDescent="0.25">
      <c r="A19551" t="str">
        <f>"1280039M00094    00"</f>
        <v>1280039M00094    00</v>
      </c>
      <c r="B19551" t="s">
        <v>42386</v>
      </c>
      <c r="C19551" t="s">
        <v>42170</v>
      </c>
      <c r="D19551" t="s">
        <v>20</v>
      </c>
      <c r="E19551" t="s">
        <v>39</v>
      </c>
      <c r="F19551">
        <v>0</v>
      </c>
      <c r="G19551">
        <v>0</v>
      </c>
      <c r="H19551">
        <v>4</v>
      </c>
      <c r="I19551" s="3">
        <v>1229.72</v>
      </c>
      <c r="J19551" s="3">
        <v>151.41999999999999</v>
      </c>
      <c r="L19551">
        <v>2061</v>
      </c>
      <c r="M19551" t="s">
        <v>31012</v>
      </c>
      <c r="N19551" t="s">
        <v>30</v>
      </c>
      <c r="O19551" t="s">
        <v>31</v>
      </c>
      <c r="P19551" t="str">
        <f>"15205"</f>
        <v>15205</v>
      </c>
    </row>
    <row r="19552" spans="1:16" x14ac:dyDescent="0.25">
      <c r="A19552" t="str">
        <f>"1280039M00104    00"</f>
        <v>1280039M00104    00</v>
      </c>
      <c r="B19552" t="s">
        <v>42387</v>
      </c>
      <c r="C19552" t="s">
        <v>42388</v>
      </c>
      <c r="D19552" t="s">
        <v>20</v>
      </c>
      <c r="E19552" t="s">
        <v>39</v>
      </c>
      <c r="F19552">
        <v>0</v>
      </c>
      <c r="G19552">
        <v>0</v>
      </c>
      <c r="H19552">
        <v>3</v>
      </c>
      <c r="I19552" s="3">
        <v>3931.06</v>
      </c>
      <c r="J19552" s="3">
        <v>231.73</v>
      </c>
      <c r="L19552">
        <v>2069</v>
      </c>
      <c r="M19552" t="s">
        <v>31012</v>
      </c>
      <c r="N19552" t="s">
        <v>30</v>
      </c>
      <c r="O19552" t="s">
        <v>31</v>
      </c>
      <c r="P19552" t="str">
        <f>"15205"</f>
        <v>15205</v>
      </c>
    </row>
    <row r="19553" spans="1:16" x14ac:dyDescent="0.25">
      <c r="A19553" t="str">
        <f>"1280040B00100    00"</f>
        <v>1280040B00100    00</v>
      </c>
      <c r="B19553" t="s">
        <v>42389</v>
      </c>
      <c r="C19553" t="s">
        <v>42390</v>
      </c>
      <c r="D19553" t="s">
        <v>20</v>
      </c>
      <c r="E19553" t="s">
        <v>39</v>
      </c>
      <c r="F19553">
        <v>0</v>
      </c>
      <c r="G19553">
        <v>0</v>
      </c>
      <c r="H19553">
        <v>19</v>
      </c>
      <c r="I19553" s="3">
        <v>444.26</v>
      </c>
      <c r="J19553" s="3">
        <v>459.83</v>
      </c>
      <c r="K19553" t="s">
        <v>1037</v>
      </c>
      <c r="L19553">
        <v>44</v>
      </c>
      <c r="M19553" t="s">
        <v>42391</v>
      </c>
      <c r="N19553" t="s">
        <v>3435</v>
      </c>
      <c r="O19553" t="s">
        <v>31</v>
      </c>
      <c r="P19553" t="str">
        <f>"15104"</f>
        <v>15104</v>
      </c>
    </row>
    <row r="19554" spans="1:16" x14ac:dyDescent="0.25">
      <c r="A19554" t="str">
        <f>"1280040B00101    00"</f>
        <v>1280040B00101    00</v>
      </c>
      <c r="B19554" t="s">
        <v>42392</v>
      </c>
      <c r="C19554" t="s">
        <v>42390</v>
      </c>
      <c r="D19554" t="s">
        <v>20</v>
      </c>
      <c r="E19554" t="s">
        <v>39</v>
      </c>
      <c r="F19554">
        <v>0</v>
      </c>
      <c r="G19554">
        <v>0</v>
      </c>
      <c r="H19554">
        <v>19</v>
      </c>
      <c r="I19554" s="3">
        <v>444.26</v>
      </c>
      <c r="J19554" s="3">
        <v>459.83</v>
      </c>
      <c r="K19554" t="s">
        <v>1037</v>
      </c>
      <c r="M19554" t="s">
        <v>2515</v>
      </c>
      <c r="N19554" t="s">
        <v>42393</v>
      </c>
      <c r="O19554" t="s">
        <v>31</v>
      </c>
      <c r="P19554" t="str">
        <f>"15445"</f>
        <v>15445</v>
      </c>
    </row>
    <row r="19555" spans="1:16" x14ac:dyDescent="0.25">
      <c r="A19555" t="str">
        <f>"1280040B00132    00"</f>
        <v>1280040B00132    00</v>
      </c>
      <c r="B19555" t="s">
        <v>42394</v>
      </c>
      <c r="C19555" t="s">
        <v>30464</v>
      </c>
      <c r="D19555" t="s">
        <v>20</v>
      </c>
      <c r="E19555" t="s">
        <v>39</v>
      </c>
      <c r="F19555">
        <v>0</v>
      </c>
      <c r="G19555">
        <v>0</v>
      </c>
      <c r="H19555">
        <v>19</v>
      </c>
      <c r="I19555" s="3">
        <v>468.9</v>
      </c>
      <c r="J19555" s="3">
        <v>495.39</v>
      </c>
      <c r="K19555" t="s">
        <v>1037</v>
      </c>
      <c r="L19555">
        <v>11031</v>
      </c>
      <c r="M19555" t="s">
        <v>42395</v>
      </c>
      <c r="N19555" t="s">
        <v>42396</v>
      </c>
      <c r="O19555" t="s">
        <v>1005</v>
      </c>
      <c r="P19555" t="str">
        <f>"85351"</f>
        <v>85351</v>
      </c>
    </row>
    <row r="19556" spans="1:16" x14ac:dyDescent="0.25">
      <c r="A19556" t="str">
        <f>"1280040B00188    00"</f>
        <v>1280040B00188    00</v>
      </c>
      <c r="B19556" t="s">
        <v>42397</v>
      </c>
      <c r="C19556" t="s">
        <v>42398</v>
      </c>
      <c r="D19556" t="s">
        <v>20</v>
      </c>
      <c r="E19556" t="s">
        <v>39</v>
      </c>
      <c r="F19556">
        <v>0</v>
      </c>
      <c r="G19556">
        <v>0</v>
      </c>
      <c r="H19556">
        <v>1</v>
      </c>
      <c r="I19556" s="3">
        <v>1601.04</v>
      </c>
      <c r="J19556" s="3">
        <v>0</v>
      </c>
      <c r="K19556" t="s">
        <v>42399</v>
      </c>
      <c r="L19556">
        <v>213</v>
      </c>
      <c r="M19556" t="s">
        <v>500</v>
      </c>
      <c r="N19556" t="s">
        <v>30</v>
      </c>
      <c r="O19556" t="s">
        <v>31</v>
      </c>
      <c r="P19556" t="str">
        <f>"15222"</f>
        <v>15222</v>
      </c>
    </row>
    <row r="19557" spans="1:16" x14ac:dyDescent="0.25">
      <c r="A19557" t="str">
        <f>"1280040C00084    00"</f>
        <v>1280040C00084    00</v>
      </c>
      <c r="B19557" t="s">
        <v>42400</v>
      </c>
      <c r="C19557" t="s">
        <v>42401</v>
      </c>
      <c r="D19557" t="s">
        <v>20</v>
      </c>
      <c r="E19557" t="s">
        <v>39</v>
      </c>
      <c r="F19557">
        <v>0</v>
      </c>
      <c r="G19557">
        <v>0</v>
      </c>
      <c r="H19557">
        <v>3</v>
      </c>
      <c r="I19557" s="3">
        <v>2265.7199999999998</v>
      </c>
      <c r="J19557" s="3">
        <v>210.23</v>
      </c>
      <c r="L19557">
        <v>109</v>
      </c>
      <c r="M19557" t="s">
        <v>42402</v>
      </c>
      <c r="N19557" t="s">
        <v>30</v>
      </c>
      <c r="O19557" t="s">
        <v>31</v>
      </c>
      <c r="P19557" t="str">
        <f>"15205"</f>
        <v>15205</v>
      </c>
    </row>
    <row r="19558" spans="1:16" x14ac:dyDescent="0.25">
      <c r="A19558" t="str">
        <f>"1280040C00090    00"</f>
        <v>1280040C00090    00</v>
      </c>
      <c r="B19558" t="s">
        <v>944</v>
      </c>
      <c r="C19558" t="s">
        <v>42403</v>
      </c>
      <c r="E19558" t="s">
        <v>39</v>
      </c>
      <c r="F19558">
        <v>0</v>
      </c>
      <c r="G19558">
        <v>0</v>
      </c>
      <c r="H19558">
        <v>6</v>
      </c>
      <c r="I19558" s="3">
        <v>239.32</v>
      </c>
      <c r="J19558" s="3">
        <v>276.64999999999998</v>
      </c>
      <c r="L19558">
        <v>200</v>
      </c>
      <c r="M19558" t="s">
        <v>946</v>
      </c>
      <c r="N19558" t="s">
        <v>30</v>
      </c>
      <c r="O19558" t="s">
        <v>31</v>
      </c>
      <c r="P19558" t="str">
        <f>"15219"</f>
        <v>15219</v>
      </c>
    </row>
    <row r="19559" spans="1:16" x14ac:dyDescent="0.25">
      <c r="A19559" t="str">
        <f>"1280040C00100    00"</f>
        <v>1280040C00100    00</v>
      </c>
      <c r="B19559" t="s">
        <v>42404</v>
      </c>
      <c r="C19559" t="s">
        <v>42405</v>
      </c>
      <c r="D19559" t="s">
        <v>20</v>
      </c>
      <c r="E19559" t="s">
        <v>39</v>
      </c>
      <c r="F19559">
        <v>0</v>
      </c>
      <c r="G19559">
        <v>0</v>
      </c>
      <c r="H19559">
        <v>3</v>
      </c>
      <c r="I19559" s="3">
        <v>228.72</v>
      </c>
      <c r="J19559" s="3">
        <v>15.25</v>
      </c>
      <c r="L19559">
        <v>114</v>
      </c>
      <c r="M19559" t="s">
        <v>42406</v>
      </c>
      <c r="N19559" t="s">
        <v>30</v>
      </c>
      <c r="O19559" t="s">
        <v>31</v>
      </c>
      <c r="P19559" t="str">
        <f>"15205"</f>
        <v>15205</v>
      </c>
    </row>
    <row r="19560" spans="1:16" x14ac:dyDescent="0.25">
      <c r="A19560" t="str">
        <f>"1280040C00113    00"</f>
        <v>1280040C00113    00</v>
      </c>
      <c r="B19560" t="s">
        <v>30681</v>
      </c>
      <c r="C19560" t="s">
        <v>42407</v>
      </c>
      <c r="D19560" t="s">
        <v>20</v>
      </c>
      <c r="E19560" t="s">
        <v>39</v>
      </c>
      <c r="F19560">
        <v>0</v>
      </c>
      <c r="G19560">
        <v>0</v>
      </c>
      <c r="H19560">
        <v>3</v>
      </c>
      <c r="I19560" s="3">
        <v>1409.24</v>
      </c>
      <c r="J19560" s="3">
        <v>7.35</v>
      </c>
      <c r="L19560">
        <v>506</v>
      </c>
      <c r="M19560" t="s">
        <v>30683</v>
      </c>
      <c r="N19560" t="s">
        <v>30</v>
      </c>
      <c r="O19560" t="s">
        <v>31</v>
      </c>
      <c r="P19560" t="str">
        <f>"15205"</f>
        <v>15205</v>
      </c>
    </row>
    <row r="19561" spans="1:16" x14ac:dyDescent="0.25">
      <c r="A19561" t="str">
        <f>"1280040C00115    00"</f>
        <v>1280040C00115    00</v>
      </c>
      <c r="B19561" t="s">
        <v>42408</v>
      </c>
      <c r="C19561" t="s">
        <v>42409</v>
      </c>
      <c r="E19561" t="s">
        <v>39</v>
      </c>
      <c r="F19561">
        <v>0</v>
      </c>
      <c r="G19561">
        <v>0</v>
      </c>
      <c r="H19561">
        <v>1</v>
      </c>
      <c r="I19561" s="3">
        <v>818.98</v>
      </c>
      <c r="J19561" s="3">
        <v>0</v>
      </c>
      <c r="K19561" t="s">
        <v>42410</v>
      </c>
      <c r="L19561">
        <v>1580</v>
      </c>
      <c r="M19561" t="s">
        <v>42411</v>
      </c>
      <c r="N19561" t="s">
        <v>30</v>
      </c>
      <c r="O19561" t="s">
        <v>31</v>
      </c>
      <c r="P19561" t="str">
        <f>"15205"</f>
        <v>15205</v>
      </c>
    </row>
    <row r="19562" spans="1:16" x14ac:dyDescent="0.25">
      <c r="A19562" t="str">
        <f>"1280040C00169    00"</f>
        <v>1280040C00169    00</v>
      </c>
      <c r="B19562" t="s">
        <v>42412</v>
      </c>
      <c r="C19562" t="s">
        <v>42413</v>
      </c>
      <c r="D19562" t="s">
        <v>20</v>
      </c>
      <c r="E19562" t="s">
        <v>39</v>
      </c>
      <c r="F19562">
        <v>0</v>
      </c>
      <c r="G19562">
        <v>0</v>
      </c>
      <c r="H19562">
        <v>17</v>
      </c>
      <c r="I19562" s="3">
        <v>7405.43</v>
      </c>
      <c r="J19562" s="3">
        <v>7332.77</v>
      </c>
      <c r="L19562">
        <v>448</v>
      </c>
      <c r="M19562" t="s">
        <v>28793</v>
      </c>
      <c r="N19562" t="s">
        <v>149</v>
      </c>
      <c r="O19562" t="s">
        <v>31</v>
      </c>
      <c r="P19562" t="str">
        <f>"15106"</f>
        <v>15106</v>
      </c>
    </row>
    <row r="19563" spans="1:16" x14ac:dyDescent="0.25">
      <c r="A19563" t="str">
        <f>"1280040C00181    00"</f>
        <v>1280040C00181    00</v>
      </c>
      <c r="B19563" t="s">
        <v>42414</v>
      </c>
      <c r="C19563" t="s">
        <v>42413</v>
      </c>
      <c r="D19563" t="s">
        <v>20</v>
      </c>
      <c r="E19563" t="s">
        <v>39</v>
      </c>
      <c r="F19563">
        <v>0</v>
      </c>
      <c r="G19563">
        <v>0</v>
      </c>
      <c r="H19563">
        <v>17</v>
      </c>
      <c r="I19563" s="3">
        <v>264.23</v>
      </c>
      <c r="J19563" s="3">
        <v>298.63</v>
      </c>
      <c r="L19563">
        <v>23</v>
      </c>
      <c r="M19563" t="s">
        <v>42415</v>
      </c>
      <c r="N19563" t="s">
        <v>30</v>
      </c>
      <c r="O19563" t="s">
        <v>31</v>
      </c>
      <c r="P19563" t="str">
        <f>"15205"</f>
        <v>15205</v>
      </c>
    </row>
    <row r="19564" spans="1:16" x14ac:dyDescent="0.25">
      <c r="A19564" t="str">
        <f>"1280040C00186    00"</f>
        <v>1280040C00186    00</v>
      </c>
      <c r="B19564" t="s">
        <v>42416</v>
      </c>
      <c r="C19564" t="s">
        <v>42417</v>
      </c>
      <c r="E19564" t="s">
        <v>39</v>
      </c>
      <c r="F19564">
        <v>0</v>
      </c>
      <c r="G19564">
        <v>0</v>
      </c>
      <c r="H19564">
        <v>8</v>
      </c>
      <c r="I19564" s="3">
        <v>9050.7099999999991</v>
      </c>
      <c r="J19564" s="3">
        <v>4098.01</v>
      </c>
      <c r="L19564">
        <v>135</v>
      </c>
      <c r="M19564" t="s">
        <v>28488</v>
      </c>
      <c r="N19564" t="s">
        <v>30</v>
      </c>
      <c r="O19564" t="s">
        <v>31</v>
      </c>
      <c r="P19564" t="str">
        <f>"15205"</f>
        <v>15205</v>
      </c>
    </row>
    <row r="19565" spans="1:16" x14ac:dyDescent="0.25">
      <c r="A19565" t="str">
        <f>"1280040C00205    00"</f>
        <v>1280040C00205    00</v>
      </c>
      <c r="B19565" t="s">
        <v>31415</v>
      </c>
      <c r="C19565" t="s">
        <v>42418</v>
      </c>
      <c r="D19565" t="s">
        <v>20</v>
      </c>
      <c r="E19565" t="s">
        <v>39</v>
      </c>
      <c r="F19565">
        <v>0</v>
      </c>
      <c r="G19565">
        <v>0</v>
      </c>
      <c r="H19565">
        <v>2</v>
      </c>
      <c r="I19565" s="3">
        <v>3015.32</v>
      </c>
      <c r="J19565" s="3">
        <v>0</v>
      </c>
      <c r="L19565">
        <v>1554</v>
      </c>
      <c r="M19565" t="s">
        <v>30601</v>
      </c>
      <c r="N19565" t="s">
        <v>30</v>
      </c>
      <c r="O19565" t="s">
        <v>31</v>
      </c>
      <c r="P19565" t="str">
        <f>"15205"</f>
        <v>15205</v>
      </c>
    </row>
    <row r="19566" spans="1:16" x14ac:dyDescent="0.25">
      <c r="A19566" t="str">
        <f>"1280040C00208    00"</f>
        <v>1280040C00208    00</v>
      </c>
      <c r="B19566" t="s">
        <v>42419</v>
      </c>
      <c r="C19566" t="s">
        <v>42420</v>
      </c>
      <c r="D19566" t="s">
        <v>20</v>
      </c>
      <c r="E19566" t="s">
        <v>39</v>
      </c>
      <c r="F19566">
        <v>0</v>
      </c>
      <c r="G19566">
        <v>0</v>
      </c>
      <c r="H19566">
        <v>3</v>
      </c>
      <c r="I19566" s="3">
        <v>3619.53</v>
      </c>
      <c r="J19566" s="3">
        <v>241.3</v>
      </c>
      <c r="K19566" t="s">
        <v>42421</v>
      </c>
      <c r="L19566">
        <v>1251</v>
      </c>
      <c r="M19566" t="s">
        <v>42422</v>
      </c>
      <c r="N19566" t="s">
        <v>30</v>
      </c>
      <c r="O19566" t="s">
        <v>31</v>
      </c>
      <c r="P19566" t="str">
        <f>"15205"</f>
        <v>15205</v>
      </c>
    </row>
    <row r="19567" spans="1:16" x14ac:dyDescent="0.25">
      <c r="A19567" t="str">
        <f>"1280040C00212    00"</f>
        <v>1280040C00212    00</v>
      </c>
      <c r="B19567" t="s">
        <v>42423</v>
      </c>
      <c r="C19567" t="s">
        <v>42390</v>
      </c>
      <c r="D19567" t="s">
        <v>20</v>
      </c>
      <c r="E19567" t="s">
        <v>39</v>
      </c>
      <c r="F19567">
        <v>0</v>
      </c>
      <c r="G19567">
        <v>0</v>
      </c>
      <c r="H19567">
        <v>16</v>
      </c>
      <c r="I19567" s="3">
        <v>296.55</v>
      </c>
      <c r="J19567" s="3">
        <v>234.9</v>
      </c>
      <c r="K19567" t="s">
        <v>42424</v>
      </c>
      <c r="L19567">
        <v>2533</v>
      </c>
      <c r="M19567" t="s">
        <v>42425</v>
      </c>
      <c r="N19567" t="s">
        <v>27088</v>
      </c>
      <c r="O19567" t="s">
        <v>1321</v>
      </c>
      <c r="P19567" t="str">
        <f>"89706"</f>
        <v>89706</v>
      </c>
    </row>
    <row r="19568" spans="1:16" x14ac:dyDescent="0.25">
      <c r="A19568" t="str">
        <f>"1280040C00253    00"</f>
        <v>1280040C00253    00</v>
      </c>
      <c r="B19568" t="s">
        <v>42426</v>
      </c>
      <c r="C19568" t="s">
        <v>42390</v>
      </c>
      <c r="D19568" t="s">
        <v>20</v>
      </c>
      <c r="E19568" t="s">
        <v>39</v>
      </c>
      <c r="F19568">
        <v>0</v>
      </c>
      <c r="G19568">
        <v>0</v>
      </c>
      <c r="H19568">
        <v>15</v>
      </c>
      <c r="I19568" s="3">
        <v>491.02</v>
      </c>
      <c r="J19568" s="3">
        <v>298.36</v>
      </c>
      <c r="K19568" t="s">
        <v>42427</v>
      </c>
      <c r="L19568">
        <v>216</v>
      </c>
      <c r="M19568" t="s">
        <v>42422</v>
      </c>
      <c r="N19568" t="s">
        <v>30</v>
      </c>
      <c r="O19568" t="s">
        <v>31</v>
      </c>
      <c r="P19568" t="str">
        <f>"15205"</f>
        <v>15205</v>
      </c>
    </row>
    <row r="19569" spans="1:16" x14ac:dyDescent="0.25">
      <c r="A19569" t="str">
        <f>"1280040C00255    00"</f>
        <v>1280040C00255    00</v>
      </c>
      <c r="B19569" t="s">
        <v>42426</v>
      </c>
      <c r="C19569" t="s">
        <v>42428</v>
      </c>
      <c r="D19569" t="s">
        <v>20</v>
      </c>
      <c r="E19569" t="s">
        <v>39</v>
      </c>
      <c r="F19569">
        <v>0</v>
      </c>
      <c r="G19569">
        <v>0</v>
      </c>
      <c r="H19569">
        <v>15</v>
      </c>
      <c r="I19569" s="3">
        <v>9415.66</v>
      </c>
      <c r="J19569" s="3">
        <v>6040.71</v>
      </c>
      <c r="L19569">
        <v>216</v>
      </c>
      <c r="M19569" t="s">
        <v>42422</v>
      </c>
      <c r="N19569" t="s">
        <v>30</v>
      </c>
      <c r="O19569" t="s">
        <v>31</v>
      </c>
      <c r="P19569" t="str">
        <f>"15205"</f>
        <v>15205</v>
      </c>
    </row>
    <row r="19570" spans="1:16" x14ac:dyDescent="0.25">
      <c r="A19570" t="str">
        <f>"1280040C00257    00"</f>
        <v>1280040C00257    00</v>
      </c>
      <c r="B19570" t="s">
        <v>42429</v>
      </c>
      <c r="C19570" t="s">
        <v>42390</v>
      </c>
      <c r="D19570" t="s">
        <v>20</v>
      </c>
      <c r="E19570" t="s">
        <v>39</v>
      </c>
      <c r="F19570">
        <v>0</v>
      </c>
      <c r="G19570">
        <v>0</v>
      </c>
      <c r="H19570">
        <v>15</v>
      </c>
      <c r="I19570" s="3">
        <v>3647.02</v>
      </c>
      <c r="J19570" s="3">
        <v>2012.79</v>
      </c>
      <c r="L19570">
        <v>216</v>
      </c>
      <c r="M19570" t="s">
        <v>42422</v>
      </c>
      <c r="N19570" t="s">
        <v>30</v>
      </c>
      <c r="O19570" t="s">
        <v>31</v>
      </c>
      <c r="P19570" t="str">
        <f>"15205"</f>
        <v>15205</v>
      </c>
    </row>
    <row r="19571" spans="1:16" x14ac:dyDescent="0.25">
      <c r="A19571" t="str">
        <f>"1280040C00277    00"</f>
        <v>1280040C00277    00</v>
      </c>
      <c r="B19571" t="s">
        <v>42430</v>
      </c>
      <c r="C19571" t="s">
        <v>42431</v>
      </c>
      <c r="D19571" t="s">
        <v>33</v>
      </c>
      <c r="E19571" t="s">
        <v>39</v>
      </c>
      <c r="F19571">
        <v>0</v>
      </c>
      <c r="G19571">
        <v>0</v>
      </c>
      <c r="H19571">
        <v>1</v>
      </c>
      <c r="I19571" s="3">
        <v>767.6</v>
      </c>
      <c r="J19571" s="3">
        <v>12.79</v>
      </c>
      <c r="K19571" t="s">
        <v>18002</v>
      </c>
      <c r="L19571">
        <v>75</v>
      </c>
      <c r="M19571" t="s">
        <v>42432</v>
      </c>
      <c r="N19571" t="s">
        <v>272</v>
      </c>
      <c r="O19571" t="s">
        <v>273</v>
      </c>
      <c r="P19571" t="str">
        <f>"29601"</f>
        <v>29601</v>
      </c>
    </row>
    <row r="19572" spans="1:16" x14ac:dyDescent="0.25">
      <c r="A19572" t="str">
        <f>"1280040C00278    00"</f>
        <v>1280040C00278    00</v>
      </c>
      <c r="B19572" t="s">
        <v>42430</v>
      </c>
      <c r="C19572" t="s">
        <v>42215</v>
      </c>
      <c r="D19572" t="s">
        <v>33</v>
      </c>
      <c r="E19572" t="s">
        <v>39</v>
      </c>
      <c r="F19572">
        <v>0</v>
      </c>
      <c r="G19572">
        <v>0</v>
      </c>
      <c r="H19572">
        <v>1</v>
      </c>
      <c r="I19572" s="3">
        <v>57.71</v>
      </c>
      <c r="J19572" s="3">
        <v>0.96</v>
      </c>
      <c r="K19572" t="s">
        <v>18002</v>
      </c>
      <c r="L19572">
        <v>75</v>
      </c>
      <c r="M19572" t="s">
        <v>42432</v>
      </c>
      <c r="N19572" t="s">
        <v>272</v>
      </c>
      <c r="O19572" t="s">
        <v>273</v>
      </c>
      <c r="P19572" t="str">
        <f>"29601"</f>
        <v>29601</v>
      </c>
    </row>
    <row r="19573" spans="1:16" x14ac:dyDescent="0.25">
      <c r="A19573" t="str">
        <f>"1280040C00305    00"</f>
        <v>1280040C00305    00</v>
      </c>
      <c r="B19573" t="s">
        <v>4535</v>
      </c>
      <c r="C19573" t="s">
        <v>42433</v>
      </c>
      <c r="D19573" t="s">
        <v>20</v>
      </c>
      <c r="E19573" t="s">
        <v>39</v>
      </c>
      <c r="F19573">
        <v>0</v>
      </c>
      <c r="G19573">
        <v>0</v>
      </c>
      <c r="H19573">
        <v>1</v>
      </c>
      <c r="I19573" s="3">
        <v>932.05</v>
      </c>
      <c r="J19573" s="3">
        <v>0</v>
      </c>
      <c r="L19573">
        <v>1185</v>
      </c>
      <c r="M19573" t="s">
        <v>4537</v>
      </c>
      <c r="N19573" t="s">
        <v>30</v>
      </c>
      <c r="O19573" t="s">
        <v>31</v>
      </c>
      <c r="P19573" t="str">
        <f>"15220"</f>
        <v>15220</v>
      </c>
    </row>
    <row r="19574" spans="1:16" x14ac:dyDescent="0.25">
      <c r="A19574" t="str">
        <f>"1280040C00330    00"</f>
        <v>1280040C00330    00</v>
      </c>
      <c r="B19574" t="s">
        <v>42434</v>
      </c>
      <c r="C19574" t="s">
        <v>42435</v>
      </c>
      <c r="E19574" t="s">
        <v>39</v>
      </c>
      <c r="F19574">
        <v>0</v>
      </c>
      <c r="G19574">
        <v>0</v>
      </c>
      <c r="H19574">
        <v>1</v>
      </c>
      <c r="I19574" s="3">
        <v>1389.48</v>
      </c>
      <c r="J19574" s="3">
        <v>0</v>
      </c>
      <c r="L19574">
        <v>1642</v>
      </c>
      <c r="M19574" t="s">
        <v>26023</v>
      </c>
      <c r="N19574" t="s">
        <v>30</v>
      </c>
      <c r="O19574" t="s">
        <v>31</v>
      </c>
      <c r="P19574" t="str">
        <f>"15205"</f>
        <v>15205</v>
      </c>
    </row>
    <row r="19575" spans="1:16" x14ac:dyDescent="0.25">
      <c r="A19575" t="str">
        <f>"1280040D00013    00"</f>
        <v>1280040D00013    00</v>
      </c>
      <c r="B19575" t="s">
        <v>42436</v>
      </c>
      <c r="C19575" t="s">
        <v>42215</v>
      </c>
      <c r="D19575" t="s">
        <v>20</v>
      </c>
      <c r="E19575" t="s">
        <v>39</v>
      </c>
      <c r="F19575">
        <v>0</v>
      </c>
      <c r="G19575">
        <v>0</v>
      </c>
      <c r="H19575">
        <v>10</v>
      </c>
      <c r="I19575" s="3">
        <v>166.06</v>
      </c>
      <c r="J19575" s="3">
        <v>71.58</v>
      </c>
      <c r="K19575" t="s">
        <v>42437</v>
      </c>
      <c r="L19575">
        <v>1246</v>
      </c>
      <c r="M19575" t="s">
        <v>28923</v>
      </c>
      <c r="N19575" t="s">
        <v>2943</v>
      </c>
      <c r="O19575" t="s">
        <v>31</v>
      </c>
      <c r="P19575" t="str">
        <f>"15025"</f>
        <v>15025</v>
      </c>
    </row>
    <row r="19576" spans="1:16" x14ac:dyDescent="0.25">
      <c r="A19576" t="str">
        <f>"1280040D00032    00"</f>
        <v>1280040D00032    00</v>
      </c>
      <c r="B19576" t="s">
        <v>42438</v>
      </c>
      <c r="C19576" t="s">
        <v>42439</v>
      </c>
      <c r="D19576" t="s">
        <v>20</v>
      </c>
      <c r="E19576" t="s">
        <v>39</v>
      </c>
      <c r="F19576">
        <v>0</v>
      </c>
      <c r="G19576">
        <v>0</v>
      </c>
      <c r="H19576">
        <v>2</v>
      </c>
      <c r="I19576" s="3">
        <v>1069.96</v>
      </c>
      <c r="J19576" s="3">
        <v>0</v>
      </c>
      <c r="L19576">
        <v>1556</v>
      </c>
      <c r="M19576" t="s">
        <v>30601</v>
      </c>
      <c r="N19576" t="s">
        <v>30</v>
      </c>
      <c r="O19576" t="s">
        <v>31</v>
      </c>
      <c r="P19576" t="str">
        <f>"15205"</f>
        <v>15205</v>
      </c>
    </row>
    <row r="19577" spans="1:16" x14ac:dyDescent="0.25">
      <c r="A19577" t="str">
        <f>"1280040D00034    00"</f>
        <v>1280040D00034    00</v>
      </c>
      <c r="B19577" t="s">
        <v>31415</v>
      </c>
      <c r="C19577" t="s">
        <v>42440</v>
      </c>
      <c r="D19577" t="s">
        <v>20</v>
      </c>
      <c r="E19577" t="s">
        <v>39</v>
      </c>
      <c r="F19577">
        <v>0</v>
      </c>
      <c r="G19577">
        <v>0</v>
      </c>
      <c r="H19577">
        <v>3</v>
      </c>
      <c r="I19577" s="3">
        <v>3096.89</v>
      </c>
      <c r="J19577" s="3">
        <v>99.41</v>
      </c>
      <c r="L19577">
        <v>1554</v>
      </c>
      <c r="M19577" t="s">
        <v>30601</v>
      </c>
      <c r="N19577" t="s">
        <v>30</v>
      </c>
      <c r="O19577" t="s">
        <v>31</v>
      </c>
      <c r="P19577" t="str">
        <f>"15205"</f>
        <v>15205</v>
      </c>
    </row>
    <row r="19578" spans="1:16" x14ac:dyDescent="0.25">
      <c r="A19578" t="str">
        <f>"1280040D00094    00"</f>
        <v>1280040D00094    00</v>
      </c>
      <c r="B19578" t="s">
        <v>42441</v>
      </c>
      <c r="C19578" t="s">
        <v>42442</v>
      </c>
      <c r="D19578" t="s">
        <v>20</v>
      </c>
      <c r="E19578" t="s">
        <v>39</v>
      </c>
      <c r="F19578">
        <v>0</v>
      </c>
      <c r="G19578">
        <v>0</v>
      </c>
      <c r="H19578">
        <v>19</v>
      </c>
      <c r="I19578" s="3">
        <v>7342.81</v>
      </c>
      <c r="J19578" s="3">
        <v>6795.03</v>
      </c>
      <c r="L19578">
        <v>418</v>
      </c>
      <c r="M19578" t="s">
        <v>9455</v>
      </c>
      <c r="N19578" t="s">
        <v>30</v>
      </c>
      <c r="O19578" t="s">
        <v>31</v>
      </c>
      <c r="P19578" t="str">
        <f>"15205"</f>
        <v>15205</v>
      </c>
    </row>
    <row r="19579" spans="1:16" x14ac:dyDescent="0.25">
      <c r="A19579" t="str">
        <f>"1280040D00099    00"</f>
        <v>1280040D00099    00</v>
      </c>
      <c r="B19579" t="s">
        <v>42443</v>
      </c>
      <c r="C19579" t="s">
        <v>42444</v>
      </c>
      <c r="E19579" t="s">
        <v>39</v>
      </c>
      <c r="F19579">
        <v>0</v>
      </c>
      <c r="G19579">
        <v>0</v>
      </c>
      <c r="H19579">
        <v>2</v>
      </c>
      <c r="I19579" s="3">
        <v>936.18</v>
      </c>
      <c r="J19579" s="3">
        <v>78.87</v>
      </c>
      <c r="K19579" t="s">
        <v>42445</v>
      </c>
      <c r="L19579">
        <v>1582</v>
      </c>
      <c r="M19579" t="s">
        <v>30795</v>
      </c>
      <c r="N19579" t="s">
        <v>30</v>
      </c>
      <c r="O19579" t="s">
        <v>31</v>
      </c>
      <c r="P19579" t="str">
        <f>"15205"</f>
        <v>15205</v>
      </c>
    </row>
    <row r="19580" spans="1:16" x14ac:dyDescent="0.25">
      <c r="A19580" t="str">
        <f>"1280040D00114    00"</f>
        <v>1280040D00114    00</v>
      </c>
      <c r="B19580" t="s">
        <v>8294</v>
      </c>
      <c r="C19580" t="s">
        <v>42446</v>
      </c>
      <c r="D19580" t="s">
        <v>20</v>
      </c>
      <c r="E19580" t="s">
        <v>39</v>
      </c>
      <c r="F19580">
        <v>0</v>
      </c>
      <c r="G19580">
        <v>0</v>
      </c>
      <c r="H19580">
        <v>3</v>
      </c>
      <c r="I19580" s="3">
        <v>2931.76</v>
      </c>
      <c r="J19580" s="3">
        <v>174.07</v>
      </c>
      <c r="L19580">
        <v>303</v>
      </c>
      <c r="M19580" t="s">
        <v>8296</v>
      </c>
      <c r="N19580" t="s">
        <v>30</v>
      </c>
      <c r="O19580" t="s">
        <v>31</v>
      </c>
      <c r="P19580" t="str">
        <f>"15211"</f>
        <v>15211</v>
      </c>
    </row>
    <row r="19581" spans="1:16" x14ac:dyDescent="0.25">
      <c r="A19581" t="str">
        <f>"1280040D00116    00"</f>
        <v>1280040D00116    00</v>
      </c>
      <c r="B19581" t="s">
        <v>42447</v>
      </c>
      <c r="C19581" t="s">
        <v>42448</v>
      </c>
      <c r="D19581" t="s">
        <v>20</v>
      </c>
      <c r="E19581" t="s">
        <v>39</v>
      </c>
      <c r="F19581">
        <v>0</v>
      </c>
      <c r="G19581">
        <v>0</v>
      </c>
      <c r="H19581">
        <v>1</v>
      </c>
      <c r="I19581" s="3">
        <v>1275.1199999999999</v>
      </c>
      <c r="J19581" s="3">
        <v>0</v>
      </c>
      <c r="K19581" t="s">
        <v>42449</v>
      </c>
      <c r="L19581">
        <v>3325</v>
      </c>
      <c r="M19581" t="s">
        <v>9782</v>
      </c>
      <c r="N19581" t="s">
        <v>30</v>
      </c>
      <c r="O19581" t="s">
        <v>31</v>
      </c>
      <c r="P19581" t="str">
        <f>"15227"</f>
        <v>15227</v>
      </c>
    </row>
    <row r="19582" spans="1:16" x14ac:dyDescent="0.25">
      <c r="A19582" t="str">
        <f>"1280040D00120    00"</f>
        <v>1280040D00120    00</v>
      </c>
      <c r="B19582" t="s">
        <v>42450</v>
      </c>
      <c r="C19582" t="s">
        <v>42451</v>
      </c>
      <c r="D19582" t="s">
        <v>20</v>
      </c>
      <c r="E19582" t="s">
        <v>39</v>
      </c>
      <c r="F19582">
        <v>0</v>
      </c>
      <c r="G19582">
        <v>0</v>
      </c>
      <c r="H19582">
        <v>3</v>
      </c>
      <c r="I19582" s="3">
        <v>2263.14</v>
      </c>
      <c r="J19582" s="3">
        <v>8.7899999999999991</v>
      </c>
      <c r="K19582" t="s">
        <v>42452</v>
      </c>
      <c r="L19582">
        <v>5347</v>
      </c>
      <c r="M19582" t="s">
        <v>32218</v>
      </c>
      <c r="N19582" t="s">
        <v>3934</v>
      </c>
      <c r="O19582" t="s">
        <v>31</v>
      </c>
      <c r="P19582" t="str">
        <f>"15102"</f>
        <v>15102</v>
      </c>
    </row>
    <row r="19583" spans="1:16" x14ac:dyDescent="0.25">
      <c r="A19583" t="str">
        <f>"1280040D00122    00"</f>
        <v>1280040D00122    00</v>
      </c>
      <c r="B19583" t="s">
        <v>42453</v>
      </c>
      <c r="C19583" t="s">
        <v>42442</v>
      </c>
      <c r="D19583" t="s">
        <v>20</v>
      </c>
      <c r="E19583" t="s">
        <v>39</v>
      </c>
      <c r="F19583">
        <v>0</v>
      </c>
      <c r="G19583">
        <v>0</v>
      </c>
      <c r="H19583">
        <v>3</v>
      </c>
      <c r="I19583" s="3">
        <v>228.72</v>
      </c>
      <c r="J19583" s="3">
        <v>15.25</v>
      </c>
      <c r="K19583" t="s">
        <v>42452</v>
      </c>
      <c r="L19583">
        <v>206</v>
      </c>
      <c r="M19583" t="s">
        <v>42454</v>
      </c>
      <c r="N19583" t="s">
        <v>30</v>
      </c>
      <c r="O19583" t="s">
        <v>31</v>
      </c>
      <c r="P19583" t="str">
        <f>"15216"</f>
        <v>15216</v>
      </c>
    </row>
    <row r="19584" spans="1:16" x14ac:dyDescent="0.25">
      <c r="A19584" t="str">
        <f>"1280040D00124    00"</f>
        <v>1280040D00124    00</v>
      </c>
      <c r="B19584" t="s">
        <v>42455</v>
      </c>
      <c r="C19584" t="s">
        <v>42442</v>
      </c>
      <c r="D19584" t="s">
        <v>20</v>
      </c>
      <c r="E19584" t="s">
        <v>39</v>
      </c>
      <c r="F19584">
        <v>0</v>
      </c>
      <c r="G19584">
        <v>0</v>
      </c>
      <c r="H19584">
        <v>2</v>
      </c>
      <c r="I19584" s="3">
        <v>152.47999999999999</v>
      </c>
      <c r="J19584" s="3">
        <v>0</v>
      </c>
      <c r="K19584" t="s">
        <v>42452</v>
      </c>
      <c r="L19584">
        <v>5347</v>
      </c>
      <c r="M19584" t="s">
        <v>32218</v>
      </c>
      <c r="N19584" t="s">
        <v>3934</v>
      </c>
      <c r="O19584" t="s">
        <v>31</v>
      </c>
      <c r="P19584" t="str">
        <f>"15102"</f>
        <v>15102</v>
      </c>
    </row>
    <row r="19585" spans="1:16" x14ac:dyDescent="0.25">
      <c r="A19585" t="str">
        <f>"1280040D00126    00"</f>
        <v>1280040D00126    00</v>
      </c>
      <c r="B19585" t="s">
        <v>30793</v>
      </c>
      <c r="C19585" t="s">
        <v>42442</v>
      </c>
      <c r="D19585" t="s">
        <v>20</v>
      </c>
      <c r="E19585" t="s">
        <v>39</v>
      </c>
      <c r="F19585">
        <v>0</v>
      </c>
      <c r="G19585">
        <v>0</v>
      </c>
      <c r="H19585">
        <v>2</v>
      </c>
      <c r="I19585" s="3">
        <v>152.47999999999999</v>
      </c>
      <c r="J19585" s="3">
        <v>0</v>
      </c>
      <c r="L19585">
        <v>1527</v>
      </c>
      <c r="M19585" t="s">
        <v>30795</v>
      </c>
      <c r="N19585" t="s">
        <v>30</v>
      </c>
      <c r="O19585" t="s">
        <v>31</v>
      </c>
      <c r="P19585" t="str">
        <f>"15205"</f>
        <v>15205</v>
      </c>
    </row>
    <row r="19586" spans="1:16" x14ac:dyDescent="0.25">
      <c r="A19586" t="str">
        <f>"1280040D00130    00"</f>
        <v>1280040D00130    00</v>
      </c>
      <c r="B19586" t="s">
        <v>30793</v>
      </c>
      <c r="C19586" t="s">
        <v>42456</v>
      </c>
      <c r="D19586" t="s">
        <v>20</v>
      </c>
      <c r="E19586" t="s">
        <v>39</v>
      </c>
      <c r="F19586">
        <v>0</v>
      </c>
      <c r="G19586">
        <v>0</v>
      </c>
      <c r="H19586">
        <v>2</v>
      </c>
      <c r="I19586" s="3">
        <v>3122.06</v>
      </c>
      <c r="J19586" s="3">
        <v>0</v>
      </c>
      <c r="L19586">
        <v>1527</v>
      </c>
      <c r="M19586" t="s">
        <v>30795</v>
      </c>
      <c r="N19586" t="s">
        <v>30</v>
      </c>
      <c r="O19586" t="s">
        <v>31</v>
      </c>
      <c r="P19586" t="str">
        <f>"15205"</f>
        <v>15205</v>
      </c>
    </row>
    <row r="19587" spans="1:16" x14ac:dyDescent="0.25">
      <c r="A19587" t="str">
        <f>"1280040D00183    00"</f>
        <v>1280040D00183    00</v>
      </c>
      <c r="B19587" t="s">
        <v>8297</v>
      </c>
      <c r="C19587" t="s">
        <v>42457</v>
      </c>
      <c r="D19587" t="s">
        <v>20</v>
      </c>
      <c r="E19587" t="s">
        <v>39</v>
      </c>
      <c r="F19587">
        <v>0</v>
      </c>
      <c r="G19587">
        <v>0</v>
      </c>
      <c r="H19587">
        <v>3</v>
      </c>
      <c r="I19587" s="3">
        <v>1973.3</v>
      </c>
      <c r="J19587" s="3">
        <v>117.16</v>
      </c>
      <c r="L19587">
        <v>303</v>
      </c>
      <c r="M19587" t="s">
        <v>8296</v>
      </c>
      <c r="N19587" t="s">
        <v>30</v>
      </c>
      <c r="O19587" t="s">
        <v>31</v>
      </c>
      <c r="P19587" t="str">
        <f>"15211"</f>
        <v>15211</v>
      </c>
    </row>
    <row r="19588" spans="1:16" x14ac:dyDescent="0.25">
      <c r="A19588" t="str">
        <f>"1280040D00262    00"</f>
        <v>1280040D00262    00</v>
      </c>
      <c r="B19588" t="s">
        <v>42458</v>
      </c>
      <c r="C19588" t="s">
        <v>42459</v>
      </c>
      <c r="D19588" t="s">
        <v>20</v>
      </c>
      <c r="E19588" t="s">
        <v>39</v>
      </c>
      <c r="F19588">
        <v>0</v>
      </c>
      <c r="G19588">
        <v>0</v>
      </c>
      <c r="H19588">
        <v>2</v>
      </c>
      <c r="I19588" s="3">
        <v>1749.72</v>
      </c>
      <c r="J19588" s="3">
        <v>0</v>
      </c>
      <c r="L19588">
        <v>25</v>
      </c>
      <c r="M19588" t="s">
        <v>1826</v>
      </c>
      <c r="N19588" t="s">
        <v>149</v>
      </c>
      <c r="O19588" t="s">
        <v>31</v>
      </c>
      <c r="P19588" t="str">
        <f>"15106"</f>
        <v>15106</v>
      </c>
    </row>
    <row r="19589" spans="1:16" x14ac:dyDescent="0.25">
      <c r="A19589" t="str">
        <f>"1280040D00293    00"</f>
        <v>1280040D00293    00</v>
      </c>
      <c r="B19589" t="s">
        <v>42460</v>
      </c>
      <c r="C19589" t="s">
        <v>42461</v>
      </c>
      <c r="D19589" t="s">
        <v>20</v>
      </c>
      <c r="E19589" t="s">
        <v>39</v>
      </c>
      <c r="F19589">
        <v>0</v>
      </c>
      <c r="G19589">
        <v>0</v>
      </c>
      <c r="H19589">
        <v>1</v>
      </c>
      <c r="I19589" s="3">
        <v>43.85</v>
      </c>
      <c r="J19589" s="3">
        <v>0</v>
      </c>
      <c r="K19589" t="s">
        <v>42462</v>
      </c>
      <c r="M19589" t="s">
        <v>1439</v>
      </c>
      <c r="N19589" t="s">
        <v>1440</v>
      </c>
      <c r="O19589" t="s">
        <v>70</v>
      </c>
      <c r="P19589" t="str">
        <f>"48501"</f>
        <v>48501</v>
      </c>
    </row>
    <row r="19590" spans="1:16" x14ac:dyDescent="0.25">
      <c r="A19590" t="str">
        <f>"1280040D00305    00"</f>
        <v>1280040D00305    00</v>
      </c>
      <c r="B19590" t="s">
        <v>42463</v>
      </c>
      <c r="C19590" t="s">
        <v>42464</v>
      </c>
      <c r="D19590" t="s">
        <v>20</v>
      </c>
      <c r="E19590" t="s">
        <v>39</v>
      </c>
      <c r="F19590">
        <v>0</v>
      </c>
      <c r="G19590">
        <v>0</v>
      </c>
      <c r="H19590">
        <v>1</v>
      </c>
      <c r="I19590" s="3">
        <v>1277.04</v>
      </c>
      <c r="J19590" s="3">
        <v>0</v>
      </c>
      <c r="L19590">
        <v>1151</v>
      </c>
      <c r="M19590" t="s">
        <v>42465</v>
      </c>
      <c r="N19590" t="s">
        <v>38588</v>
      </c>
      <c r="O19590" t="s">
        <v>370</v>
      </c>
      <c r="P19590" t="str">
        <f>"33161"</f>
        <v>33161</v>
      </c>
    </row>
    <row r="19591" spans="1:16" x14ac:dyDescent="0.25">
      <c r="A19591" t="str">
        <f>"1280040F00005    00"</f>
        <v>1280040F00005    00</v>
      </c>
      <c r="B19591" t="s">
        <v>42466</v>
      </c>
      <c r="C19591" t="s">
        <v>42405</v>
      </c>
      <c r="D19591" t="s">
        <v>20</v>
      </c>
      <c r="E19591" t="s">
        <v>39</v>
      </c>
      <c r="F19591">
        <v>0</v>
      </c>
      <c r="G19591">
        <v>0</v>
      </c>
      <c r="H19591">
        <v>19</v>
      </c>
      <c r="I19591" s="3">
        <v>1174.1099999999999</v>
      </c>
      <c r="J19591" s="3">
        <v>890.58</v>
      </c>
      <c r="L19591">
        <v>160</v>
      </c>
      <c r="M19591" t="s">
        <v>2373</v>
      </c>
      <c r="N19591" t="s">
        <v>30</v>
      </c>
      <c r="O19591" t="s">
        <v>31</v>
      </c>
      <c r="P19591" t="str">
        <f>"15205"</f>
        <v>15205</v>
      </c>
    </row>
    <row r="19592" spans="1:16" x14ac:dyDescent="0.25">
      <c r="A19592" t="str">
        <f>"1280040F00006    00"</f>
        <v>1280040F00006    00</v>
      </c>
      <c r="B19592" t="s">
        <v>42466</v>
      </c>
      <c r="C19592" t="s">
        <v>42405</v>
      </c>
      <c r="D19592" t="s">
        <v>20</v>
      </c>
      <c r="E19592" t="s">
        <v>39</v>
      </c>
      <c r="F19592">
        <v>0</v>
      </c>
      <c r="G19592">
        <v>0</v>
      </c>
      <c r="H19592">
        <v>19</v>
      </c>
      <c r="I19592" s="3">
        <v>1174.1099999999999</v>
      </c>
      <c r="J19592" s="3">
        <v>890.58</v>
      </c>
      <c r="L19592">
        <v>160</v>
      </c>
      <c r="M19592" t="s">
        <v>2373</v>
      </c>
      <c r="N19592" t="s">
        <v>30</v>
      </c>
      <c r="O19592" t="s">
        <v>31</v>
      </c>
      <c r="P19592" t="str">
        <f>"15205"</f>
        <v>15205</v>
      </c>
    </row>
    <row r="19593" spans="1:16" x14ac:dyDescent="0.25">
      <c r="A19593" t="str">
        <f>"1280040F00012    00"</f>
        <v>1280040F00012    00</v>
      </c>
      <c r="B19593" t="s">
        <v>42467</v>
      </c>
      <c r="C19593" t="s">
        <v>42468</v>
      </c>
      <c r="D19593" t="s">
        <v>20</v>
      </c>
      <c r="E19593" t="s">
        <v>39</v>
      </c>
      <c r="F19593">
        <v>0</v>
      </c>
      <c r="G19593">
        <v>0</v>
      </c>
      <c r="H19593">
        <v>5</v>
      </c>
      <c r="I19593" s="3">
        <v>6296.63</v>
      </c>
      <c r="J19593" s="3">
        <v>1115.06</v>
      </c>
      <c r="L19593">
        <v>1573</v>
      </c>
      <c r="M19593" t="s">
        <v>2373</v>
      </c>
      <c r="N19593" t="s">
        <v>30</v>
      </c>
      <c r="O19593" t="s">
        <v>31</v>
      </c>
      <c r="P19593" t="str">
        <f>"15205"</f>
        <v>15205</v>
      </c>
    </row>
    <row r="19594" spans="1:16" x14ac:dyDescent="0.25">
      <c r="A19594" t="str">
        <f>"1280040F00029    00"</f>
        <v>1280040F00029    00</v>
      </c>
      <c r="B19594" t="s">
        <v>42469</v>
      </c>
      <c r="C19594" t="s">
        <v>42470</v>
      </c>
      <c r="E19594" t="s">
        <v>39</v>
      </c>
      <c r="F19594">
        <v>0</v>
      </c>
      <c r="G19594">
        <v>0</v>
      </c>
      <c r="H19594">
        <v>3</v>
      </c>
      <c r="I19594" s="3">
        <v>225.52</v>
      </c>
      <c r="J19594" s="3">
        <v>37.159999999999997</v>
      </c>
      <c r="K19594" t="s">
        <v>426</v>
      </c>
      <c r="L19594">
        <v>2570</v>
      </c>
      <c r="M19594" t="s">
        <v>427</v>
      </c>
      <c r="N19594" t="s">
        <v>30</v>
      </c>
      <c r="O19594" t="s">
        <v>31</v>
      </c>
      <c r="P19594" t="str">
        <f>"15241"</f>
        <v>15241</v>
      </c>
    </row>
    <row r="19595" spans="1:16" x14ac:dyDescent="0.25">
      <c r="A19595" t="str">
        <f>"1280040F00030    00"</f>
        <v>1280040F00030    00</v>
      </c>
      <c r="B19595" t="s">
        <v>42469</v>
      </c>
      <c r="C19595" t="s">
        <v>42470</v>
      </c>
      <c r="E19595" t="s">
        <v>39</v>
      </c>
      <c r="F19595">
        <v>0</v>
      </c>
      <c r="G19595">
        <v>0</v>
      </c>
      <c r="H19595">
        <v>1</v>
      </c>
      <c r="I19595" s="3">
        <v>1658.22</v>
      </c>
      <c r="J19595" s="3">
        <v>0</v>
      </c>
      <c r="K19595" t="s">
        <v>426</v>
      </c>
      <c r="L19595">
        <v>2570</v>
      </c>
      <c r="M19595" t="s">
        <v>427</v>
      </c>
      <c r="N19595" t="s">
        <v>30</v>
      </c>
      <c r="O19595" t="s">
        <v>31</v>
      </c>
      <c r="P19595" t="str">
        <f>"15241"</f>
        <v>15241</v>
      </c>
    </row>
    <row r="19596" spans="1:16" x14ac:dyDescent="0.25">
      <c r="A19596" t="str">
        <f>"1280040F00051    00"</f>
        <v>1280040F00051    00</v>
      </c>
      <c r="B19596" t="s">
        <v>42471</v>
      </c>
      <c r="C19596" t="s">
        <v>42472</v>
      </c>
      <c r="E19596" t="s">
        <v>39</v>
      </c>
      <c r="F19596">
        <v>0</v>
      </c>
      <c r="G19596">
        <v>0</v>
      </c>
      <c r="H19596">
        <v>1</v>
      </c>
      <c r="I19596" s="3">
        <v>873.95</v>
      </c>
      <c r="J19596" s="3">
        <v>888.48</v>
      </c>
      <c r="K19596" t="s">
        <v>33096</v>
      </c>
      <c r="M19596" t="s">
        <v>33097</v>
      </c>
      <c r="N19596" t="s">
        <v>30</v>
      </c>
      <c r="O19596" t="s">
        <v>31</v>
      </c>
      <c r="P19596" t="str">
        <f>"15205"</f>
        <v>15205</v>
      </c>
    </row>
    <row r="19597" spans="1:16" x14ac:dyDescent="0.25">
      <c r="A19597" t="str">
        <f>"1280040F00056    00"</f>
        <v>1280040F00056    00</v>
      </c>
      <c r="B19597" t="s">
        <v>42473</v>
      </c>
      <c r="C19597" t="s">
        <v>42474</v>
      </c>
      <c r="D19597" t="s">
        <v>20</v>
      </c>
      <c r="E19597" t="s">
        <v>39</v>
      </c>
      <c r="F19597">
        <v>0</v>
      </c>
      <c r="G19597">
        <v>0</v>
      </c>
      <c r="H19597">
        <v>1</v>
      </c>
      <c r="I19597" s="3">
        <v>1244.6300000000001</v>
      </c>
      <c r="J19597" s="3">
        <v>0</v>
      </c>
      <c r="K19597" t="s">
        <v>25220</v>
      </c>
      <c r="L19597">
        <v>18</v>
      </c>
      <c r="M19597" t="s">
        <v>7116</v>
      </c>
      <c r="N19597" t="s">
        <v>30</v>
      </c>
      <c r="O19597" t="s">
        <v>31</v>
      </c>
      <c r="P19597" t="str">
        <f>"15211"</f>
        <v>15211</v>
      </c>
    </row>
    <row r="19598" spans="1:16" x14ac:dyDescent="0.25">
      <c r="A19598" t="str">
        <f>"1280040F00069    00"</f>
        <v>1280040F00069    00</v>
      </c>
      <c r="B19598" t="s">
        <v>42475</v>
      </c>
      <c r="C19598" t="s">
        <v>42476</v>
      </c>
      <c r="D19598" t="s">
        <v>20</v>
      </c>
      <c r="E19598" t="s">
        <v>39</v>
      </c>
      <c r="F19598">
        <v>0</v>
      </c>
      <c r="G19598">
        <v>0</v>
      </c>
      <c r="H19598">
        <v>1</v>
      </c>
      <c r="I19598" s="3">
        <v>951.56</v>
      </c>
      <c r="J19598" s="3">
        <v>0</v>
      </c>
      <c r="K19598" t="s">
        <v>8393</v>
      </c>
      <c r="M19598" t="s">
        <v>8394</v>
      </c>
      <c r="N19598" t="s">
        <v>8395</v>
      </c>
      <c r="O19598" t="s">
        <v>1616</v>
      </c>
      <c r="P19598" t="str">
        <f>"57709"</f>
        <v>57709</v>
      </c>
    </row>
    <row r="19599" spans="1:16" x14ac:dyDescent="0.25">
      <c r="A19599" t="str">
        <f>"1280040F00075    00"</f>
        <v>1280040F00075    00</v>
      </c>
      <c r="B19599" t="s">
        <v>42477</v>
      </c>
      <c r="C19599" t="s">
        <v>42478</v>
      </c>
      <c r="E19599" t="s">
        <v>39</v>
      </c>
      <c r="F19599">
        <v>0</v>
      </c>
      <c r="G19599">
        <v>0</v>
      </c>
      <c r="H19599">
        <v>2</v>
      </c>
      <c r="I19599" s="3">
        <v>1808.79</v>
      </c>
      <c r="J19599" s="3">
        <v>1990.24</v>
      </c>
      <c r="L19599">
        <v>1569</v>
      </c>
      <c r="M19599" t="s">
        <v>42411</v>
      </c>
      <c r="N19599" t="s">
        <v>30</v>
      </c>
      <c r="O19599" t="s">
        <v>31</v>
      </c>
      <c r="P19599" t="str">
        <f>"15205"</f>
        <v>15205</v>
      </c>
    </row>
    <row r="19600" spans="1:16" x14ac:dyDescent="0.25">
      <c r="A19600" t="str">
        <f>"1280040F00120    00"</f>
        <v>1280040F00120    00</v>
      </c>
      <c r="B19600" t="s">
        <v>42479</v>
      </c>
      <c r="C19600" t="s">
        <v>42480</v>
      </c>
      <c r="D19600" t="s">
        <v>20</v>
      </c>
      <c r="E19600" t="s">
        <v>39</v>
      </c>
      <c r="F19600">
        <v>0</v>
      </c>
      <c r="G19600">
        <v>0</v>
      </c>
      <c r="H19600">
        <v>19</v>
      </c>
      <c r="I19600" s="3">
        <v>444.24</v>
      </c>
      <c r="J19600" s="3">
        <v>459.81</v>
      </c>
      <c r="L19600">
        <v>7126</v>
      </c>
      <c r="M19600" t="s">
        <v>42481</v>
      </c>
      <c r="N19600" t="s">
        <v>42482</v>
      </c>
      <c r="O19600" t="s">
        <v>370</v>
      </c>
      <c r="P19600" t="str">
        <f>"33956"</f>
        <v>33956</v>
      </c>
    </row>
    <row r="19601" spans="1:16" x14ac:dyDescent="0.25">
      <c r="A19601" t="str">
        <f>"1280040F00123    00"</f>
        <v>1280040F00123    00</v>
      </c>
      <c r="B19601" t="s">
        <v>42479</v>
      </c>
      <c r="C19601" t="s">
        <v>42480</v>
      </c>
      <c r="D19601" t="s">
        <v>20</v>
      </c>
      <c r="E19601" t="s">
        <v>39</v>
      </c>
      <c r="F19601">
        <v>0</v>
      </c>
      <c r="G19601">
        <v>0</v>
      </c>
      <c r="H19601">
        <v>19</v>
      </c>
      <c r="I19601" s="3">
        <v>1124.83</v>
      </c>
      <c r="J19601" s="3">
        <v>819.63</v>
      </c>
      <c r="L19601">
        <v>7126</v>
      </c>
      <c r="M19601" t="s">
        <v>42481</v>
      </c>
      <c r="N19601" t="s">
        <v>42482</v>
      </c>
      <c r="O19601" t="s">
        <v>370</v>
      </c>
      <c r="P19601" t="str">
        <f>"33956"</f>
        <v>33956</v>
      </c>
    </row>
    <row r="19602" spans="1:16" x14ac:dyDescent="0.25">
      <c r="A19602" t="str">
        <f>"1280040F00126    00"</f>
        <v>1280040F00126    00</v>
      </c>
      <c r="B19602" t="s">
        <v>42483</v>
      </c>
      <c r="C19602" t="s">
        <v>42480</v>
      </c>
      <c r="D19602" t="s">
        <v>20</v>
      </c>
      <c r="E19602" t="s">
        <v>39</v>
      </c>
      <c r="F19602">
        <v>0</v>
      </c>
      <c r="G19602">
        <v>0</v>
      </c>
      <c r="H19602">
        <v>12</v>
      </c>
      <c r="I19602" s="3">
        <v>5329.89</v>
      </c>
      <c r="J19602" s="3">
        <v>5130.32</v>
      </c>
      <c r="L19602">
        <v>1616</v>
      </c>
      <c r="M19602" t="s">
        <v>42484</v>
      </c>
      <c r="N19602" t="s">
        <v>30</v>
      </c>
      <c r="O19602" t="s">
        <v>31</v>
      </c>
      <c r="P19602" t="str">
        <f>"15205"</f>
        <v>15205</v>
      </c>
    </row>
    <row r="19603" spans="1:16" x14ac:dyDescent="0.25">
      <c r="A19603" t="str">
        <f>"1280040F00131    00"</f>
        <v>1280040F00131    00</v>
      </c>
      <c r="B19603" t="s">
        <v>42485</v>
      </c>
      <c r="C19603" t="s">
        <v>42486</v>
      </c>
      <c r="D19603" t="s">
        <v>20</v>
      </c>
      <c r="E19603" t="s">
        <v>39</v>
      </c>
      <c r="F19603">
        <v>0</v>
      </c>
      <c r="G19603">
        <v>0</v>
      </c>
      <c r="H19603">
        <v>5</v>
      </c>
      <c r="I19603" s="3">
        <v>1662.88</v>
      </c>
      <c r="J19603" s="3">
        <v>292.13</v>
      </c>
      <c r="L19603">
        <v>1610</v>
      </c>
      <c r="M19603" t="s">
        <v>42484</v>
      </c>
      <c r="N19603" t="s">
        <v>30</v>
      </c>
      <c r="O19603" t="s">
        <v>31</v>
      </c>
      <c r="P19603" t="str">
        <f>"15205"</f>
        <v>15205</v>
      </c>
    </row>
    <row r="19604" spans="1:16" x14ac:dyDescent="0.25">
      <c r="A19604" t="str">
        <f>"1280040F00132    00"</f>
        <v>1280040F00132    00</v>
      </c>
      <c r="B19604" t="s">
        <v>42485</v>
      </c>
      <c r="C19604" t="s">
        <v>42486</v>
      </c>
      <c r="D19604" t="s">
        <v>20</v>
      </c>
      <c r="E19604" t="s">
        <v>39</v>
      </c>
      <c r="F19604">
        <v>0</v>
      </c>
      <c r="G19604">
        <v>0</v>
      </c>
      <c r="H19604">
        <v>2</v>
      </c>
      <c r="I19604" s="3">
        <v>152.47999999999999</v>
      </c>
      <c r="J19604" s="3">
        <v>0</v>
      </c>
      <c r="L19604">
        <v>1610</v>
      </c>
      <c r="M19604" t="s">
        <v>42484</v>
      </c>
      <c r="N19604" t="s">
        <v>30</v>
      </c>
      <c r="O19604" t="s">
        <v>31</v>
      </c>
      <c r="P19604" t="str">
        <f>"15205"</f>
        <v>15205</v>
      </c>
    </row>
    <row r="19605" spans="1:16" x14ac:dyDescent="0.25">
      <c r="A19605" t="str">
        <f>"1280040F00150    00"</f>
        <v>1280040F00150    00</v>
      </c>
      <c r="B19605" t="s">
        <v>42487</v>
      </c>
      <c r="C19605" t="s">
        <v>42480</v>
      </c>
      <c r="D19605" t="s">
        <v>20</v>
      </c>
      <c r="E19605" t="s">
        <v>39</v>
      </c>
      <c r="F19605">
        <v>0</v>
      </c>
      <c r="G19605">
        <v>0</v>
      </c>
      <c r="H19605">
        <v>2</v>
      </c>
      <c r="I19605" s="3">
        <v>25.09</v>
      </c>
      <c r="J19605" s="3">
        <v>0</v>
      </c>
      <c r="L19605">
        <v>132</v>
      </c>
      <c r="M19605" t="s">
        <v>42488</v>
      </c>
      <c r="N19605" t="s">
        <v>30</v>
      </c>
      <c r="O19605" t="s">
        <v>31</v>
      </c>
      <c r="P19605" t="str">
        <f>"15205"</f>
        <v>15205</v>
      </c>
    </row>
    <row r="19606" spans="1:16" x14ac:dyDescent="0.25">
      <c r="A19606" t="str">
        <f>"1280040F00156    00"</f>
        <v>1280040F00156    00</v>
      </c>
      <c r="B19606" t="s">
        <v>42489</v>
      </c>
      <c r="C19606" t="s">
        <v>42480</v>
      </c>
      <c r="D19606" t="s">
        <v>20</v>
      </c>
      <c r="E19606" t="s">
        <v>39</v>
      </c>
      <c r="F19606">
        <v>0</v>
      </c>
      <c r="G19606">
        <v>0</v>
      </c>
      <c r="H19606">
        <v>17</v>
      </c>
      <c r="I19606" s="3">
        <v>923.99</v>
      </c>
      <c r="J19606" s="3">
        <v>562.72</v>
      </c>
      <c r="L19606">
        <v>43</v>
      </c>
      <c r="M19606" t="s">
        <v>24943</v>
      </c>
      <c r="N19606" t="s">
        <v>903</v>
      </c>
      <c r="O19606" t="s">
        <v>31</v>
      </c>
      <c r="P19606" t="str">
        <f>"15136"</f>
        <v>15136</v>
      </c>
    </row>
    <row r="19607" spans="1:16" x14ac:dyDescent="0.25">
      <c r="A19607" t="str">
        <f>"1280040F00157    00"</f>
        <v>1280040F00157    00</v>
      </c>
      <c r="B19607" t="s">
        <v>42490</v>
      </c>
      <c r="C19607" t="s">
        <v>42491</v>
      </c>
      <c r="D19607" t="s">
        <v>20</v>
      </c>
      <c r="E19607" t="s">
        <v>39</v>
      </c>
      <c r="F19607">
        <v>0</v>
      </c>
      <c r="G19607">
        <v>0</v>
      </c>
      <c r="H19607">
        <v>6</v>
      </c>
      <c r="I19607" s="3">
        <v>9496.84</v>
      </c>
      <c r="J19607" s="3">
        <v>2051.6999999999998</v>
      </c>
      <c r="L19607">
        <v>43</v>
      </c>
      <c r="M19607" t="s">
        <v>24943</v>
      </c>
      <c r="N19607" t="s">
        <v>903</v>
      </c>
      <c r="O19607" t="s">
        <v>31</v>
      </c>
      <c r="P19607" t="str">
        <f>"15136"</f>
        <v>15136</v>
      </c>
    </row>
    <row r="19608" spans="1:16" x14ac:dyDescent="0.25">
      <c r="A19608" t="str">
        <f>"1280040F00158    00"</f>
        <v>1280040F00158    00</v>
      </c>
      <c r="B19608" t="s">
        <v>42489</v>
      </c>
      <c r="C19608" t="s">
        <v>42480</v>
      </c>
      <c r="D19608" t="s">
        <v>20</v>
      </c>
      <c r="E19608" t="s">
        <v>39</v>
      </c>
      <c r="F19608">
        <v>0</v>
      </c>
      <c r="G19608">
        <v>0</v>
      </c>
      <c r="H19608">
        <v>17</v>
      </c>
      <c r="I19608" s="3">
        <v>922.78</v>
      </c>
      <c r="J19608" s="3">
        <v>560.65</v>
      </c>
      <c r="L19608">
        <v>43</v>
      </c>
      <c r="M19608" t="s">
        <v>24943</v>
      </c>
      <c r="N19608" t="s">
        <v>903</v>
      </c>
      <c r="O19608" t="s">
        <v>31</v>
      </c>
      <c r="P19608" t="str">
        <f>"15136"</f>
        <v>15136</v>
      </c>
    </row>
    <row r="19609" spans="1:16" x14ac:dyDescent="0.25">
      <c r="A19609" t="str">
        <f>"1280040G00005    00"</f>
        <v>1280040G00005    00</v>
      </c>
      <c r="B19609" t="s">
        <v>30681</v>
      </c>
      <c r="C19609" t="s">
        <v>42492</v>
      </c>
      <c r="D19609" t="s">
        <v>20</v>
      </c>
      <c r="E19609" t="s">
        <v>39</v>
      </c>
      <c r="F19609">
        <v>0</v>
      </c>
      <c r="G19609">
        <v>0</v>
      </c>
      <c r="H19609">
        <v>3</v>
      </c>
      <c r="I19609" s="3">
        <v>1931</v>
      </c>
      <c r="J19609" s="3">
        <v>7.5</v>
      </c>
      <c r="L19609">
        <v>506</v>
      </c>
      <c r="M19609" t="s">
        <v>30683</v>
      </c>
      <c r="N19609" t="s">
        <v>30</v>
      </c>
      <c r="O19609" t="s">
        <v>31</v>
      </c>
      <c r="P19609" t="str">
        <f>"15205"</f>
        <v>15205</v>
      </c>
    </row>
    <row r="19610" spans="1:16" x14ac:dyDescent="0.25">
      <c r="A19610" t="str">
        <f>"1280040G00019    00"</f>
        <v>1280040G00019    00</v>
      </c>
      <c r="B19610" t="s">
        <v>42493</v>
      </c>
      <c r="C19610" t="s">
        <v>42494</v>
      </c>
      <c r="E19610" t="s">
        <v>39</v>
      </c>
      <c r="F19610">
        <v>0</v>
      </c>
      <c r="G19610">
        <v>0</v>
      </c>
      <c r="H19610">
        <v>2</v>
      </c>
      <c r="I19610" s="3">
        <v>647.04</v>
      </c>
      <c r="J19610" s="3">
        <v>78.84</v>
      </c>
      <c r="L19610">
        <v>1538</v>
      </c>
      <c r="M19610" t="s">
        <v>42411</v>
      </c>
      <c r="N19610" t="s">
        <v>30</v>
      </c>
      <c r="O19610" t="s">
        <v>31</v>
      </c>
      <c r="P19610" t="str">
        <f>"15205"</f>
        <v>15205</v>
      </c>
    </row>
    <row r="19611" spans="1:16" x14ac:dyDescent="0.25">
      <c r="A19611" t="str">
        <f>"1280040G00047    00"</f>
        <v>1280040G00047    00</v>
      </c>
      <c r="B19611" t="s">
        <v>42495</v>
      </c>
      <c r="C19611" t="s">
        <v>42496</v>
      </c>
      <c r="D19611" t="s">
        <v>20</v>
      </c>
      <c r="E19611" t="s">
        <v>39</v>
      </c>
      <c r="F19611">
        <v>0</v>
      </c>
      <c r="G19611">
        <v>0</v>
      </c>
      <c r="H19611">
        <v>6</v>
      </c>
      <c r="I19611" s="3">
        <v>8578.25</v>
      </c>
      <c r="J19611" s="3">
        <v>1834.22</v>
      </c>
      <c r="L19611">
        <v>43</v>
      </c>
      <c r="M19611" t="s">
        <v>24943</v>
      </c>
      <c r="N19611" t="s">
        <v>903</v>
      </c>
      <c r="O19611" t="s">
        <v>31</v>
      </c>
      <c r="P19611" t="str">
        <f>"15136"</f>
        <v>15136</v>
      </c>
    </row>
    <row r="19612" spans="1:16" x14ac:dyDescent="0.25">
      <c r="A19612" t="str">
        <f>"1280040G00056    00"</f>
        <v>1280040G00056    00</v>
      </c>
      <c r="B19612" t="s">
        <v>42497</v>
      </c>
      <c r="C19612" t="s">
        <v>42498</v>
      </c>
      <c r="D19612" t="s">
        <v>20</v>
      </c>
      <c r="E19612" t="s">
        <v>39</v>
      </c>
      <c r="F19612">
        <v>0</v>
      </c>
      <c r="G19612">
        <v>0</v>
      </c>
      <c r="H19612">
        <v>10</v>
      </c>
      <c r="I19612" s="3">
        <v>19084.09</v>
      </c>
      <c r="J19612" s="3">
        <v>8254.49</v>
      </c>
      <c r="L19612">
        <v>1547</v>
      </c>
      <c r="M19612" t="s">
        <v>2373</v>
      </c>
      <c r="N19612" t="s">
        <v>30</v>
      </c>
      <c r="O19612" t="s">
        <v>31</v>
      </c>
      <c r="P19612" t="str">
        <f>"15205"</f>
        <v>15205</v>
      </c>
    </row>
    <row r="19613" spans="1:16" x14ac:dyDescent="0.25">
      <c r="A19613" t="str">
        <f>"1280040G00076    00"</f>
        <v>1280040G00076    00</v>
      </c>
      <c r="B19613" t="s">
        <v>42499</v>
      </c>
      <c r="C19613" t="s">
        <v>42500</v>
      </c>
      <c r="D19613" t="s">
        <v>20</v>
      </c>
      <c r="E19613" t="s">
        <v>39</v>
      </c>
      <c r="F19613">
        <v>0</v>
      </c>
      <c r="G19613">
        <v>0</v>
      </c>
      <c r="H19613">
        <v>3</v>
      </c>
      <c r="I19613" s="3">
        <v>4522.9799999999996</v>
      </c>
      <c r="J19613" s="3">
        <v>301.52</v>
      </c>
      <c r="K19613" t="s">
        <v>391</v>
      </c>
      <c r="L19613">
        <v>1</v>
      </c>
      <c r="M19613" t="s">
        <v>392</v>
      </c>
      <c r="N19613" t="s">
        <v>393</v>
      </c>
      <c r="O19613" t="s">
        <v>394</v>
      </c>
      <c r="P19613" t="str">
        <f>"50328"</f>
        <v>50328</v>
      </c>
    </row>
    <row r="19614" spans="1:16" x14ac:dyDescent="0.25">
      <c r="A19614" t="str">
        <f>"1280040G00088    00"</f>
        <v>1280040G00088    00</v>
      </c>
      <c r="B19614" t="s">
        <v>42501</v>
      </c>
      <c r="C19614" t="s">
        <v>42502</v>
      </c>
      <c r="D19614" t="s">
        <v>20</v>
      </c>
      <c r="E19614" t="s">
        <v>39</v>
      </c>
      <c r="F19614">
        <v>0</v>
      </c>
      <c r="G19614">
        <v>0</v>
      </c>
      <c r="H19614">
        <v>2</v>
      </c>
      <c r="I19614" s="3">
        <v>937.38</v>
      </c>
      <c r="J19614" s="3">
        <v>9.77</v>
      </c>
      <c r="L19614">
        <v>1229</v>
      </c>
      <c r="M19614" t="s">
        <v>42402</v>
      </c>
      <c r="N19614" t="s">
        <v>30</v>
      </c>
      <c r="O19614" t="s">
        <v>31</v>
      </c>
      <c r="P19614" t="str">
        <f>"15205"</f>
        <v>15205</v>
      </c>
    </row>
    <row r="19615" spans="1:16" x14ac:dyDescent="0.25">
      <c r="A19615" t="str">
        <f>"1280040G00134    00"</f>
        <v>1280040G00134    00</v>
      </c>
      <c r="B19615" t="s">
        <v>42503</v>
      </c>
      <c r="C19615" t="s">
        <v>42504</v>
      </c>
      <c r="E19615" t="s">
        <v>39</v>
      </c>
      <c r="F19615">
        <v>0</v>
      </c>
      <c r="G19615">
        <v>0</v>
      </c>
      <c r="H19615">
        <v>5</v>
      </c>
      <c r="I19615" s="3">
        <v>9373.89</v>
      </c>
      <c r="J19615" s="3">
        <v>10665.39</v>
      </c>
      <c r="L19615">
        <v>2436</v>
      </c>
      <c r="M19615" t="s">
        <v>34619</v>
      </c>
      <c r="N19615" t="s">
        <v>30</v>
      </c>
      <c r="O19615" t="s">
        <v>31</v>
      </c>
      <c r="P19615" t="str">
        <f>"15241"</f>
        <v>15241</v>
      </c>
    </row>
    <row r="19616" spans="1:16" x14ac:dyDescent="0.25">
      <c r="A19616" t="str">
        <f>"1280040G00138    00"</f>
        <v>1280040G00138    00</v>
      </c>
      <c r="B19616" t="s">
        <v>33262</v>
      </c>
      <c r="C19616" t="s">
        <v>42505</v>
      </c>
      <c r="D19616" t="s">
        <v>20</v>
      </c>
      <c r="E19616" t="s">
        <v>39</v>
      </c>
      <c r="F19616">
        <v>0</v>
      </c>
      <c r="G19616">
        <v>0</v>
      </c>
      <c r="H19616">
        <v>2</v>
      </c>
      <c r="I19616" s="3">
        <v>2900.96</v>
      </c>
      <c r="J19616" s="3">
        <v>0</v>
      </c>
      <c r="L19616">
        <v>2010</v>
      </c>
      <c r="M19616" t="s">
        <v>33084</v>
      </c>
      <c r="N19616" t="s">
        <v>195</v>
      </c>
      <c r="O19616" t="s">
        <v>31</v>
      </c>
      <c r="P19616" t="str">
        <f>"15101"</f>
        <v>15101</v>
      </c>
    </row>
    <row r="19617" spans="1:16" x14ac:dyDescent="0.25">
      <c r="A19617" t="str">
        <f>"1280040G00143    00"</f>
        <v>1280040G00143    00</v>
      </c>
      <c r="B19617" t="s">
        <v>42506</v>
      </c>
      <c r="C19617" t="s">
        <v>42507</v>
      </c>
      <c r="D19617" t="s">
        <v>20</v>
      </c>
      <c r="E19617" t="s">
        <v>39</v>
      </c>
      <c r="F19617">
        <v>0</v>
      </c>
      <c r="G19617">
        <v>0</v>
      </c>
      <c r="H19617">
        <v>7</v>
      </c>
      <c r="I19617" s="3">
        <v>14845.99</v>
      </c>
      <c r="J19617" s="3">
        <v>4157.6000000000004</v>
      </c>
      <c r="L19617">
        <v>1224</v>
      </c>
      <c r="M19617" t="s">
        <v>42508</v>
      </c>
      <c r="N19617" t="s">
        <v>30</v>
      </c>
      <c r="O19617" t="s">
        <v>31</v>
      </c>
      <c r="P19617" t="str">
        <f>"15205"</f>
        <v>15205</v>
      </c>
    </row>
    <row r="19618" spans="1:16" x14ac:dyDescent="0.25">
      <c r="A19618" t="str">
        <f>"1280040G00156    00"</f>
        <v>1280040G00156    00</v>
      </c>
      <c r="B19618" t="s">
        <v>42509</v>
      </c>
      <c r="C19618" t="s">
        <v>42510</v>
      </c>
      <c r="D19618" t="s">
        <v>57</v>
      </c>
      <c r="E19618" t="s">
        <v>39</v>
      </c>
      <c r="F19618">
        <v>0</v>
      </c>
      <c r="G19618">
        <v>0</v>
      </c>
      <c r="H19618">
        <v>1</v>
      </c>
      <c r="I19618" s="3">
        <v>790.28</v>
      </c>
      <c r="J19618" s="3">
        <v>0</v>
      </c>
      <c r="K19618" t="s">
        <v>42511</v>
      </c>
      <c r="L19618">
        <v>226</v>
      </c>
      <c r="M19618" t="s">
        <v>184</v>
      </c>
      <c r="N19618" t="s">
        <v>30</v>
      </c>
      <c r="O19618" t="s">
        <v>31</v>
      </c>
      <c r="P19618" t="str">
        <f>"15241"</f>
        <v>15241</v>
      </c>
    </row>
    <row r="19619" spans="1:16" x14ac:dyDescent="0.25">
      <c r="A19619" t="str">
        <f>"1280040G00167    00"</f>
        <v>1280040G00167    00</v>
      </c>
      <c r="B19619" t="s">
        <v>42512</v>
      </c>
      <c r="C19619" t="s">
        <v>42513</v>
      </c>
      <c r="D19619" t="s">
        <v>20</v>
      </c>
      <c r="E19619" t="s">
        <v>39</v>
      </c>
      <c r="F19619">
        <v>0</v>
      </c>
      <c r="G19619">
        <v>0</v>
      </c>
      <c r="H19619">
        <v>1</v>
      </c>
      <c r="I19619" s="3">
        <v>953</v>
      </c>
      <c r="J19619" s="3">
        <v>0</v>
      </c>
      <c r="K19619" t="s">
        <v>1632</v>
      </c>
      <c r="L19619">
        <v>3001</v>
      </c>
      <c r="M19619" t="s">
        <v>330</v>
      </c>
      <c r="N19619" t="s">
        <v>331</v>
      </c>
      <c r="O19619" t="s">
        <v>108</v>
      </c>
      <c r="P19619" t="str">
        <f>"75063"</f>
        <v>75063</v>
      </c>
    </row>
    <row r="19620" spans="1:16" x14ac:dyDescent="0.25">
      <c r="A19620" t="str">
        <f>"1280040G00189    00"</f>
        <v>1280040G00189    00</v>
      </c>
      <c r="B19620" t="s">
        <v>42514</v>
      </c>
      <c r="C19620" t="s">
        <v>42515</v>
      </c>
      <c r="D19620" t="s">
        <v>20</v>
      </c>
      <c r="E19620" t="s">
        <v>39</v>
      </c>
      <c r="F19620">
        <v>0</v>
      </c>
      <c r="G19620">
        <v>0</v>
      </c>
      <c r="H19620">
        <v>1</v>
      </c>
      <c r="I19620" s="3">
        <v>31.7</v>
      </c>
      <c r="J19620" s="3">
        <v>0</v>
      </c>
      <c r="L19620">
        <v>12</v>
      </c>
      <c r="M19620" t="s">
        <v>42508</v>
      </c>
      <c r="N19620" t="s">
        <v>30</v>
      </c>
      <c r="O19620" t="s">
        <v>31</v>
      </c>
      <c r="P19620" t="str">
        <f>"15205"</f>
        <v>15205</v>
      </c>
    </row>
    <row r="19621" spans="1:16" x14ac:dyDescent="0.25">
      <c r="A19621" t="str">
        <f>"1280040G00197A   00"</f>
        <v>1280040G00197A   00</v>
      </c>
      <c r="B19621" t="s">
        <v>42516</v>
      </c>
      <c r="C19621" t="s">
        <v>42517</v>
      </c>
      <c r="E19621" t="s">
        <v>39</v>
      </c>
      <c r="F19621">
        <v>0</v>
      </c>
      <c r="G19621">
        <v>0</v>
      </c>
      <c r="H19621">
        <v>1</v>
      </c>
      <c r="I19621" s="3">
        <v>424.85</v>
      </c>
      <c r="J19621" s="3">
        <v>0</v>
      </c>
      <c r="K19621" t="s">
        <v>42518</v>
      </c>
      <c r="L19621">
        <v>822</v>
      </c>
      <c r="M19621" t="s">
        <v>20532</v>
      </c>
      <c r="N19621" t="s">
        <v>30</v>
      </c>
      <c r="O19621" t="s">
        <v>31</v>
      </c>
      <c r="P19621" t="str">
        <f>"15221"</f>
        <v>15221</v>
      </c>
    </row>
    <row r="19622" spans="1:16" x14ac:dyDescent="0.25">
      <c r="A19622" t="str">
        <f>"1280040G00203    00"</f>
        <v>1280040G00203    00</v>
      </c>
      <c r="B19622" t="s">
        <v>42519</v>
      </c>
      <c r="C19622" t="s">
        <v>42520</v>
      </c>
      <c r="D19622" t="s">
        <v>20</v>
      </c>
      <c r="E19622" t="s">
        <v>39</v>
      </c>
      <c r="F19622">
        <v>0</v>
      </c>
      <c r="G19622">
        <v>0</v>
      </c>
      <c r="H19622">
        <v>13</v>
      </c>
      <c r="I19622" s="3">
        <v>13015.51</v>
      </c>
      <c r="J19622" s="3">
        <v>6852.67</v>
      </c>
      <c r="K19622" t="s">
        <v>42521</v>
      </c>
      <c r="L19622">
        <v>16</v>
      </c>
      <c r="M19622" t="s">
        <v>42522</v>
      </c>
      <c r="N19622" t="s">
        <v>3681</v>
      </c>
      <c r="O19622" t="s">
        <v>273</v>
      </c>
      <c r="P19622" t="str">
        <f>"29201"</f>
        <v>29201</v>
      </c>
    </row>
    <row r="19623" spans="1:16" x14ac:dyDescent="0.25">
      <c r="A19623" t="str">
        <f>"1280040G00220    00"</f>
        <v>1280040G00220    00</v>
      </c>
      <c r="B19623" t="s">
        <v>42523</v>
      </c>
      <c r="C19623" t="s">
        <v>42524</v>
      </c>
      <c r="D19623" t="s">
        <v>20</v>
      </c>
      <c r="E19623" t="s">
        <v>39</v>
      </c>
      <c r="F19623">
        <v>0</v>
      </c>
      <c r="G19623">
        <v>0</v>
      </c>
      <c r="H19623">
        <v>2</v>
      </c>
      <c r="I19623" s="3">
        <v>190.6</v>
      </c>
      <c r="J19623" s="3">
        <v>0</v>
      </c>
      <c r="L19623">
        <v>63</v>
      </c>
      <c r="M19623" t="s">
        <v>42525</v>
      </c>
      <c r="N19623" t="s">
        <v>42526</v>
      </c>
      <c r="O19623" t="s">
        <v>370</v>
      </c>
      <c r="P19623" t="str">
        <f>"32137"</f>
        <v>32137</v>
      </c>
    </row>
    <row r="19624" spans="1:16" x14ac:dyDescent="0.25">
      <c r="A19624" t="str">
        <f>"1280040G00256    00"</f>
        <v>1280040G00256    00</v>
      </c>
      <c r="B19624" t="s">
        <v>30681</v>
      </c>
      <c r="C19624" t="s">
        <v>42527</v>
      </c>
      <c r="D19624" t="s">
        <v>20</v>
      </c>
      <c r="E19624" t="s">
        <v>39</v>
      </c>
      <c r="F19624">
        <v>0</v>
      </c>
      <c r="G19624">
        <v>0</v>
      </c>
      <c r="H19624">
        <v>3</v>
      </c>
      <c r="I19624" s="3">
        <v>1544.8</v>
      </c>
      <c r="J19624" s="3">
        <v>6</v>
      </c>
      <c r="L19624">
        <v>506</v>
      </c>
      <c r="M19624" t="s">
        <v>30683</v>
      </c>
      <c r="N19624" t="s">
        <v>30</v>
      </c>
      <c r="O19624" t="s">
        <v>31</v>
      </c>
      <c r="P19624" t="str">
        <f t="shared" ref="P19624:P19629" si="243">"15205"</f>
        <v>15205</v>
      </c>
    </row>
    <row r="19625" spans="1:16" x14ac:dyDescent="0.25">
      <c r="A19625" t="str">
        <f>"1280040G00257    00"</f>
        <v>1280040G00257    00</v>
      </c>
      <c r="B19625" t="s">
        <v>30681</v>
      </c>
      <c r="C19625" t="s">
        <v>42528</v>
      </c>
      <c r="D19625" t="s">
        <v>20</v>
      </c>
      <c r="E19625" t="s">
        <v>39</v>
      </c>
      <c r="F19625">
        <v>0</v>
      </c>
      <c r="G19625">
        <v>0</v>
      </c>
      <c r="H19625">
        <v>2</v>
      </c>
      <c r="I19625" s="3">
        <v>152.47999999999999</v>
      </c>
      <c r="J19625" s="3">
        <v>0</v>
      </c>
      <c r="L19625">
        <v>506</v>
      </c>
      <c r="M19625" t="s">
        <v>30683</v>
      </c>
      <c r="N19625" t="s">
        <v>30</v>
      </c>
      <c r="O19625" t="s">
        <v>31</v>
      </c>
      <c r="P19625" t="str">
        <f t="shared" si="243"/>
        <v>15205</v>
      </c>
    </row>
    <row r="19626" spans="1:16" x14ac:dyDescent="0.25">
      <c r="A19626" t="str">
        <f>"1280040G00273    00"</f>
        <v>1280040G00273    00</v>
      </c>
      <c r="B19626" t="s">
        <v>42529</v>
      </c>
      <c r="C19626" t="s">
        <v>42530</v>
      </c>
      <c r="D19626" t="s">
        <v>20</v>
      </c>
      <c r="E19626" t="s">
        <v>39</v>
      </c>
      <c r="F19626">
        <v>0</v>
      </c>
      <c r="G19626">
        <v>0</v>
      </c>
      <c r="H19626">
        <v>18</v>
      </c>
      <c r="I19626" s="3">
        <v>27682.54</v>
      </c>
      <c r="J19626" s="3">
        <v>20393.03</v>
      </c>
      <c r="L19626">
        <v>4</v>
      </c>
      <c r="M19626" t="s">
        <v>32500</v>
      </c>
      <c r="N19626" t="s">
        <v>30</v>
      </c>
      <c r="O19626" t="s">
        <v>31</v>
      </c>
      <c r="P19626" t="str">
        <f t="shared" si="243"/>
        <v>15205</v>
      </c>
    </row>
    <row r="19627" spans="1:16" x14ac:dyDescent="0.25">
      <c r="A19627" t="str">
        <f>"1280040G00277    00"</f>
        <v>1280040G00277    00</v>
      </c>
      <c r="B19627" t="s">
        <v>30793</v>
      </c>
      <c r="C19627" t="s">
        <v>42531</v>
      </c>
      <c r="E19627" t="s">
        <v>39</v>
      </c>
      <c r="F19627">
        <v>0</v>
      </c>
      <c r="G19627">
        <v>0</v>
      </c>
      <c r="H19627">
        <v>1</v>
      </c>
      <c r="I19627" s="3">
        <v>439.73</v>
      </c>
      <c r="J19627" s="3">
        <v>0</v>
      </c>
      <c r="L19627">
        <v>1527</v>
      </c>
      <c r="M19627" t="s">
        <v>30795</v>
      </c>
      <c r="N19627" t="s">
        <v>30</v>
      </c>
      <c r="O19627" t="s">
        <v>31</v>
      </c>
      <c r="P19627" t="str">
        <f t="shared" si="243"/>
        <v>15205</v>
      </c>
    </row>
    <row r="19628" spans="1:16" x14ac:dyDescent="0.25">
      <c r="A19628" t="str">
        <f>"1280040G00309    00"</f>
        <v>1280040G00309    00</v>
      </c>
      <c r="B19628" t="s">
        <v>42532</v>
      </c>
      <c r="C19628" t="s">
        <v>42533</v>
      </c>
      <c r="D19628" t="s">
        <v>20</v>
      </c>
      <c r="E19628" t="s">
        <v>39</v>
      </c>
      <c r="F19628">
        <v>0</v>
      </c>
      <c r="G19628">
        <v>0</v>
      </c>
      <c r="H19628">
        <v>2</v>
      </c>
      <c r="I19628" s="3">
        <v>2435.88</v>
      </c>
      <c r="J19628" s="3">
        <v>0</v>
      </c>
      <c r="L19628">
        <v>1246</v>
      </c>
      <c r="M19628" t="s">
        <v>15694</v>
      </c>
      <c r="N19628" t="s">
        <v>30</v>
      </c>
      <c r="O19628" t="s">
        <v>31</v>
      </c>
      <c r="P19628" t="str">
        <f t="shared" si="243"/>
        <v>15205</v>
      </c>
    </row>
    <row r="19629" spans="1:16" x14ac:dyDescent="0.25">
      <c r="A19629" t="str">
        <f>"1280040G00312    00"</f>
        <v>1280040G00312    00</v>
      </c>
      <c r="B19629" t="s">
        <v>42534</v>
      </c>
      <c r="C19629" t="s">
        <v>42535</v>
      </c>
      <c r="D19629" t="s">
        <v>20</v>
      </c>
      <c r="E19629" t="s">
        <v>39</v>
      </c>
      <c r="F19629">
        <v>0</v>
      </c>
      <c r="G19629">
        <v>0</v>
      </c>
      <c r="H19629">
        <v>1</v>
      </c>
      <c r="I19629" s="3">
        <v>457.87</v>
      </c>
      <c r="J19629" s="3">
        <v>0</v>
      </c>
      <c r="L19629">
        <v>1255</v>
      </c>
      <c r="M19629" t="s">
        <v>15694</v>
      </c>
      <c r="N19629" t="s">
        <v>30</v>
      </c>
      <c r="O19629" t="s">
        <v>31</v>
      </c>
      <c r="P19629" t="str">
        <f t="shared" si="243"/>
        <v>15205</v>
      </c>
    </row>
    <row r="19630" spans="1:16" x14ac:dyDescent="0.25">
      <c r="A19630" t="str">
        <f>"1280040G00336    00"</f>
        <v>1280040G00336    00</v>
      </c>
      <c r="B19630" t="s">
        <v>42536</v>
      </c>
      <c r="C19630" t="s">
        <v>42537</v>
      </c>
      <c r="D19630" t="s">
        <v>20</v>
      </c>
      <c r="E19630" t="s">
        <v>39</v>
      </c>
      <c r="F19630">
        <v>0</v>
      </c>
      <c r="G19630">
        <v>0</v>
      </c>
      <c r="H19630">
        <v>2</v>
      </c>
      <c r="I19630" s="3">
        <v>3026.72</v>
      </c>
      <c r="J19630" s="3">
        <v>0</v>
      </c>
      <c r="K19630" t="s">
        <v>42538</v>
      </c>
      <c r="L19630">
        <v>5701</v>
      </c>
      <c r="M19630" t="s">
        <v>42539</v>
      </c>
      <c r="N19630" t="s">
        <v>30</v>
      </c>
      <c r="O19630" t="s">
        <v>31</v>
      </c>
      <c r="P19630" t="str">
        <f>"15206"</f>
        <v>15206</v>
      </c>
    </row>
    <row r="19631" spans="1:16" x14ac:dyDescent="0.25">
      <c r="A19631" t="str">
        <f>"1280040G00340    00"</f>
        <v>1280040G00340    00</v>
      </c>
      <c r="B19631" t="s">
        <v>31960</v>
      </c>
      <c r="C19631" t="s">
        <v>42540</v>
      </c>
      <c r="E19631" t="s">
        <v>21</v>
      </c>
      <c r="F19631">
        <v>0</v>
      </c>
      <c r="G19631">
        <v>0</v>
      </c>
      <c r="H19631">
        <v>1</v>
      </c>
      <c r="I19631" s="3">
        <v>791.05</v>
      </c>
      <c r="J19631" s="3">
        <v>388.92</v>
      </c>
      <c r="L19631">
        <v>3122</v>
      </c>
      <c r="M19631" t="s">
        <v>16891</v>
      </c>
      <c r="N19631" t="s">
        <v>30</v>
      </c>
      <c r="O19631" t="s">
        <v>31</v>
      </c>
      <c r="P19631" t="str">
        <f>"15204"</f>
        <v>15204</v>
      </c>
    </row>
    <row r="19632" spans="1:16" x14ac:dyDescent="0.25">
      <c r="A19632" t="str">
        <f>"1280040H00002    00"</f>
        <v>1280040H00002    00</v>
      </c>
      <c r="B19632" t="s">
        <v>42541</v>
      </c>
      <c r="C19632" t="s">
        <v>42542</v>
      </c>
      <c r="D19632" t="s">
        <v>20</v>
      </c>
      <c r="E19632" t="s">
        <v>39</v>
      </c>
      <c r="F19632">
        <v>0</v>
      </c>
      <c r="G19632">
        <v>0</v>
      </c>
      <c r="H19632">
        <v>5</v>
      </c>
      <c r="I19632" s="3">
        <v>4696.72</v>
      </c>
      <c r="J19632" s="3">
        <v>841.42</v>
      </c>
      <c r="L19632">
        <v>1212</v>
      </c>
      <c r="M19632" t="s">
        <v>31084</v>
      </c>
      <c r="N19632" t="s">
        <v>30</v>
      </c>
      <c r="O19632" t="s">
        <v>31</v>
      </c>
      <c r="P19632" t="str">
        <f>"15220"</f>
        <v>15220</v>
      </c>
    </row>
    <row r="19633" spans="1:16" x14ac:dyDescent="0.25">
      <c r="A19633" t="str">
        <f>"1280040H00004    00"</f>
        <v>1280040H00004    00</v>
      </c>
      <c r="B19633" t="s">
        <v>35724</v>
      </c>
      <c r="C19633" t="s">
        <v>42528</v>
      </c>
      <c r="D19633" t="s">
        <v>20</v>
      </c>
      <c r="E19633" t="s">
        <v>39</v>
      </c>
      <c r="F19633">
        <v>0</v>
      </c>
      <c r="G19633">
        <v>0</v>
      </c>
      <c r="H19633">
        <v>2</v>
      </c>
      <c r="I19633" s="3">
        <v>38.119999999999997</v>
      </c>
      <c r="J19633" s="3">
        <v>0</v>
      </c>
      <c r="K19633" t="s">
        <v>42543</v>
      </c>
      <c r="N19633" t="s">
        <v>35729</v>
      </c>
      <c r="P19633" t="str">
        <f>""</f>
        <v/>
      </c>
    </row>
    <row r="19634" spans="1:16" x14ac:dyDescent="0.25">
      <c r="A19634" t="str">
        <f>"1280040H00012    00"</f>
        <v>1280040H00012    00</v>
      </c>
      <c r="B19634" t="s">
        <v>42544</v>
      </c>
      <c r="C19634" t="s">
        <v>42528</v>
      </c>
      <c r="D19634" t="s">
        <v>20</v>
      </c>
      <c r="E19634" t="s">
        <v>39</v>
      </c>
      <c r="F19634">
        <v>0</v>
      </c>
      <c r="G19634">
        <v>0</v>
      </c>
      <c r="H19634">
        <v>5</v>
      </c>
      <c r="I19634" s="3">
        <v>84.36</v>
      </c>
      <c r="J19634" s="3">
        <v>14.94</v>
      </c>
      <c r="K19634" t="s">
        <v>42545</v>
      </c>
      <c r="L19634">
        <v>65</v>
      </c>
      <c r="M19634" t="s">
        <v>42546</v>
      </c>
      <c r="N19634" t="s">
        <v>26823</v>
      </c>
      <c r="O19634" t="s">
        <v>495</v>
      </c>
      <c r="P19634" t="str">
        <f>"90802"</f>
        <v>90802</v>
      </c>
    </row>
    <row r="19635" spans="1:16" x14ac:dyDescent="0.25">
      <c r="A19635" t="str">
        <f>"1280040H00015    00"</f>
        <v>1280040H00015    00</v>
      </c>
      <c r="B19635" t="s">
        <v>42547</v>
      </c>
      <c r="C19635" t="s">
        <v>42528</v>
      </c>
      <c r="D19635" t="s">
        <v>20</v>
      </c>
      <c r="E19635" t="s">
        <v>39</v>
      </c>
      <c r="F19635">
        <v>0</v>
      </c>
      <c r="G19635">
        <v>0</v>
      </c>
      <c r="H19635">
        <v>1</v>
      </c>
      <c r="I19635" s="3">
        <v>228.72</v>
      </c>
      <c r="J19635" s="3">
        <v>0</v>
      </c>
      <c r="K19635" t="s">
        <v>42548</v>
      </c>
      <c r="L19635">
        <v>140</v>
      </c>
      <c r="M19635" t="s">
        <v>32500</v>
      </c>
      <c r="N19635" t="s">
        <v>30</v>
      </c>
      <c r="O19635" t="s">
        <v>31</v>
      </c>
      <c r="P19635" t="str">
        <f>"15205"</f>
        <v>15205</v>
      </c>
    </row>
    <row r="19636" spans="1:16" x14ac:dyDescent="0.25">
      <c r="A19636" t="str">
        <f>"1280040H00025    00"</f>
        <v>1280040H00025    00</v>
      </c>
      <c r="B19636" t="s">
        <v>42549</v>
      </c>
      <c r="C19636" t="s">
        <v>42550</v>
      </c>
      <c r="D19636" t="s">
        <v>20</v>
      </c>
      <c r="E19636" t="s">
        <v>39</v>
      </c>
      <c r="F19636">
        <v>0</v>
      </c>
      <c r="G19636">
        <v>0</v>
      </c>
      <c r="H19636">
        <v>1</v>
      </c>
      <c r="I19636" s="3">
        <v>856.91</v>
      </c>
      <c r="J19636" s="3">
        <v>0</v>
      </c>
      <c r="K19636" t="s">
        <v>881</v>
      </c>
      <c r="L19636">
        <v>3001</v>
      </c>
      <c r="M19636" t="s">
        <v>330</v>
      </c>
      <c r="N19636" t="s">
        <v>331</v>
      </c>
      <c r="O19636" t="s">
        <v>108</v>
      </c>
      <c r="P19636" t="str">
        <f>"75063"</f>
        <v>75063</v>
      </c>
    </row>
    <row r="19637" spans="1:16" x14ac:dyDescent="0.25">
      <c r="A19637" t="str">
        <f>"1280040H00044    00"</f>
        <v>1280040H00044    00</v>
      </c>
      <c r="B19637" t="s">
        <v>42551</v>
      </c>
      <c r="C19637" t="s">
        <v>42552</v>
      </c>
      <c r="D19637" t="s">
        <v>20</v>
      </c>
      <c r="E19637" t="s">
        <v>39</v>
      </c>
      <c r="F19637">
        <v>0</v>
      </c>
      <c r="G19637">
        <v>0</v>
      </c>
      <c r="H19637">
        <v>2</v>
      </c>
      <c r="I19637" s="3">
        <v>2512.12</v>
      </c>
      <c r="J19637" s="3">
        <v>0</v>
      </c>
      <c r="L19637">
        <v>1527</v>
      </c>
      <c r="M19637" t="s">
        <v>30795</v>
      </c>
      <c r="N19637" t="s">
        <v>30</v>
      </c>
      <c r="O19637" t="s">
        <v>31</v>
      </c>
      <c r="P19637" t="str">
        <f>"15205"</f>
        <v>15205</v>
      </c>
    </row>
    <row r="19638" spans="1:16" x14ac:dyDescent="0.25">
      <c r="A19638" t="str">
        <f>"1280040H00065    00"</f>
        <v>1280040H00065    00</v>
      </c>
      <c r="B19638" t="s">
        <v>23499</v>
      </c>
      <c r="C19638" t="s">
        <v>42553</v>
      </c>
      <c r="D19638" t="s">
        <v>20</v>
      </c>
      <c r="E19638" t="s">
        <v>39</v>
      </c>
      <c r="F19638">
        <v>0</v>
      </c>
      <c r="G19638">
        <v>0</v>
      </c>
      <c r="H19638">
        <v>2</v>
      </c>
      <c r="I19638" s="3">
        <v>3083.94</v>
      </c>
      <c r="J19638" s="3">
        <v>0</v>
      </c>
      <c r="K19638" t="s">
        <v>23501</v>
      </c>
      <c r="L19638">
        <v>825</v>
      </c>
      <c r="M19638" t="s">
        <v>11611</v>
      </c>
      <c r="N19638" t="s">
        <v>30</v>
      </c>
      <c r="O19638" t="s">
        <v>31</v>
      </c>
      <c r="P19638" t="str">
        <f>"15211"</f>
        <v>15211</v>
      </c>
    </row>
    <row r="19639" spans="1:16" x14ac:dyDescent="0.25">
      <c r="A19639" t="str">
        <f>"1280040H00069    00"</f>
        <v>1280040H00069    00</v>
      </c>
      <c r="B19639" t="s">
        <v>42554</v>
      </c>
      <c r="C19639" t="s">
        <v>42555</v>
      </c>
      <c r="D19639" t="s">
        <v>20</v>
      </c>
      <c r="E19639" t="s">
        <v>39</v>
      </c>
      <c r="F19639">
        <v>0</v>
      </c>
      <c r="G19639">
        <v>0</v>
      </c>
      <c r="H19639">
        <v>1</v>
      </c>
      <c r="I19639" s="3">
        <v>1315.16</v>
      </c>
      <c r="J19639" s="3">
        <v>0</v>
      </c>
      <c r="L19639">
        <v>1513</v>
      </c>
      <c r="M19639" t="s">
        <v>42556</v>
      </c>
      <c r="N19639" t="s">
        <v>30</v>
      </c>
      <c r="O19639" t="s">
        <v>31</v>
      </c>
      <c r="P19639" t="str">
        <f>"15205"</f>
        <v>15205</v>
      </c>
    </row>
    <row r="19640" spans="1:16" x14ac:dyDescent="0.25">
      <c r="A19640" t="str">
        <f>"1280040H00077    00"</f>
        <v>1280040H00077    00</v>
      </c>
      <c r="B19640" t="s">
        <v>5026</v>
      </c>
      <c r="C19640" t="s">
        <v>42557</v>
      </c>
      <c r="D19640" t="s">
        <v>20</v>
      </c>
      <c r="E19640" t="s">
        <v>39</v>
      </c>
      <c r="F19640">
        <v>0</v>
      </c>
      <c r="G19640">
        <v>0</v>
      </c>
      <c r="H19640">
        <v>3</v>
      </c>
      <c r="I19640" s="3">
        <v>2781.66</v>
      </c>
      <c r="J19640" s="3">
        <v>486.91</v>
      </c>
      <c r="M19640" t="s">
        <v>42558</v>
      </c>
      <c r="N19640" t="s">
        <v>30</v>
      </c>
      <c r="O19640" t="s">
        <v>31</v>
      </c>
      <c r="P19640" t="str">
        <f>"15201"</f>
        <v>15201</v>
      </c>
    </row>
    <row r="19641" spans="1:16" x14ac:dyDescent="0.25">
      <c r="A19641" t="str">
        <f>"1280040H00083    00"</f>
        <v>1280040H00083    00</v>
      </c>
      <c r="B19641" t="s">
        <v>42512</v>
      </c>
      <c r="C19641" t="s">
        <v>42559</v>
      </c>
      <c r="E19641" t="s">
        <v>39</v>
      </c>
      <c r="F19641">
        <v>0</v>
      </c>
      <c r="G19641">
        <v>0</v>
      </c>
      <c r="H19641">
        <v>1</v>
      </c>
      <c r="I19641" s="3">
        <v>324.04000000000002</v>
      </c>
      <c r="J19641" s="3">
        <v>0</v>
      </c>
      <c r="L19641">
        <v>1105</v>
      </c>
      <c r="M19641" t="s">
        <v>42560</v>
      </c>
      <c r="N19641" t="s">
        <v>42561</v>
      </c>
      <c r="O19641" t="s">
        <v>370</v>
      </c>
      <c r="P19641" t="str">
        <f>"32168"</f>
        <v>32168</v>
      </c>
    </row>
    <row r="19642" spans="1:16" x14ac:dyDescent="0.25">
      <c r="A19642" t="str">
        <f>"1280040H00087    00"</f>
        <v>1280040H00087    00</v>
      </c>
      <c r="B19642" t="s">
        <v>42562</v>
      </c>
      <c r="C19642" t="s">
        <v>42563</v>
      </c>
      <c r="D19642" t="s">
        <v>20</v>
      </c>
      <c r="E19642" t="s">
        <v>39</v>
      </c>
      <c r="F19642">
        <v>0</v>
      </c>
      <c r="G19642">
        <v>0</v>
      </c>
      <c r="H19642">
        <v>3</v>
      </c>
      <c r="I19642" s="3">
        <v>3453.66</v>
      </c>
      <c r="J19642" s="3">
        <v>230.24</v>
      </c>
      <c r="L19642">
        <v>3439</v>
      </c>
      <c r="M19642" t="s">
        <v>3457</v>
      </c>
      <c r="N19642" t="s">
        <v>30</v>
      </c>
      <c r="O19642" t="s">
        <v>31</v>
      </c>
      <c r="P19642" t="str">
        <f>"15219"</f>
        <v>15219</v>
      </c>
    </row>
    <row r="19643" spans="1:16" x14ac:dyDescent="0.25">
      <c r="A19643" t="str">
        <f>"1280040H00088    00"</f>
        <v>1280040H00088    00</v>
      </c>
      <c r="B19643" t="s">
        <v>42562</v>
      </c>
      <c r="C19643" t="s">
        <v>42564</v>
      </c>
      <c r="D19643" t="s">
        <v>20</v>
      </c>
      <c r="E19643" t="s">
        <v>39</v>
      </c>
      <c r="F19643">
        <v>0</v>
      </c>
      <c r="G19643">
        <v>0</v>
      </c>
      <c r="H19643">
        <v>3</v>
      </c>
      <c r="I19643" s="3">
        <v>51.48</v>
      </c>
      <c r="J19643" s="3">
        <v>3.44</v>
      </c>
      <c r="L19643">
        <v>3439</v>
      </c>
      <c r="M19643" t="s">
        <v>3457</v>
      </c>
      <c r="N19643" t="s">
        <v>30</v>
      </c>
      <c r="O19643" t="s">
        <v>31</v>
      </c>
      <c r="P19643" t="str">
        <f>"15219"</f>
        <v>15219</v>
      </c>
    </row>
    <row r="19644" spans="1:16" x14ac:dyDescent="0.25">
      <c r="A19644" t="str">
        <f>"1280040H00170    00"</f>
        <v>1280040H00170    00</v>
      </c>
      <c r="B19644" t="s">
        <v>42565</v>
      </c>
      <c r="C19644" t="s">
        <v>42566</v>
      </c>
      <c r="D19644" t="s">
        <v>20</v>
      </c>
      <c r="E19644" t="s">
        <v>39</v>
      </c>
      <c r="F19644">
        <v>0</v>
      </c>
      <c r="G19644">
        <v>0</v>
      </c>
      <c r="H19644">
        <v>2</v>
      </c>
      <c r="I19644" s="3">
        <v>481.32</v>
      </c>
      <c r="J19644" s="3">
        <v>0</v>
      </c>
      <c r="L19644">
        <v>115</v>
      </c>
      <c r="M19644" t="s">
        <v>30601</v>
      </c>
      <c r="N19644" t="s">
        <v>30</v>
      </c>
      <c r="O19644" t="s">
        <v>31</v>
      </c>
      <c r="P19644" t="str">
        <f>"15205"</f>
        <v>15205</v>
      </c>
    </row>
    <row r="19645" spans="1:16" x14ac:dyDescent="0.25">
      <c r="A19645" t="str">
        <f>"1280040H00193    00"</f>
        <v>1280040H00193    00</v>
      </c>
      <c r="B19645" t="s">
        <v>42567</v>
      </c>
      <c r="C19645" t="s">
        <v>42568</v>
      </c>
      <c r="D19645" t="s">
        <v>20</v>
      </c>
      <c r="E19645" t="s">
        <v>39</v>
      </c>
      <c r="F19645">
        <v>0</v>
      </c>
      <c r="G19645">
        <v>0</v>
      </c>
      <c r="H19645">
        <v>11</v>
      </c>
      <c r="I19645" s="3">
        <v>5133.25</v>
      </c>
      <c r="J19645" s="3">
        <v>3220.26</v>
      </c>
      <c r="L19645">
        <v>34</v>
      </c>
      <c r="M19645" t="s">
        <v>42556</v>
      </c>
      <c r="N19645" t="s">
        <v>30</v>
      </c>
      <c r="O19645" t="s">
        <v>31</v>
      </c>
      <c r="P19645" t="str">
        <f>"15205"</f>
        <v>15205</v>
      </c>
    </row>
    <row r="19646" spans="1:16" x14ac:dyDescent="0.25">
      <c r="A19646" t="str">
        <f>"1280040H00238    00"</f>
        <v>1280040H00238    00</v>
      </c>
      <c r="B19646" t="s">
        <v>42569</v>
      </c>
      <c r="C19646" t="s">
        <v>42442</v>
      </c>
      <c r="D19646" t="s">
        <v>20</v>
      </c>
      <c r="E19646" t="s">
        <v>39</v>
      </c>
      <c r="F19646">
        <v>0</v>
      </c>
      <c r="G19646">
        <v>0</v>
      </c>
      <c r="H19646">
        <v>19</v>
      </c>
      <c r="I19646" s="3">
        <v>5395.03</v>
      </c>
      <c r="J19646" s="3">
        <v>4552.3100000000004</v>
      </c>
      <c r="P19646" t="str">
        <f>""</f>
        <v/>
      </c>
    </row>
    <row r="19647" spans="1:16" x14ac:dyDescent="0.25">
      <c r="A19647" t="str">
        <f>"1280040H00240    00"</f>
        <v>1280040H00240    00</v>
      </c>
      <c r="B19647" t="s">
        <v>42570</v>
      </c>
      <c r="C19647" t="s">
        <v>42571</v>
      </c>
      <c r="E19647" t="s">
        <v>39</v>
      </c>
      <c r="F19647">
        <v>0</v>
      </c>
      <c r="G19647">
        <v>0</v>
      </c>
      <c r="H19647">
        <v>1</v>
      </c>
      <c r="I19647" s="3">
        <v>15.77</v>
      </c>
      <c r="J19647" s="3">
        <v>9.4600000000000009</v>
      </c>
      <c r="L19647">
        <v>1140</v>
      </c>
      <c r="M19647" t="s">
        <v>42572</v>
      </c>
      <c r="N19647" t="s">
        <v>42573</v>
      </c>
      <c r="O19647" t="s">
        <v>108</v>
      </c>
      <c r="P19647" t="str">
        <f>"78641"</f>
        <v>78641</v>
      </c>
    </row>
    <row r="19648" spans="1:16" x14ac:dyDescent="0.25">
      <c r="A19648" t="str">
        <f>"1280040H00269    00"</f>
        <v>1280040H00269    00</v>
      </c>
      <c r="B19648" t="s">
        <v>42574</v>
      </c>
      <c r="C19648" t="s">
        <v>42575</v>
      </c>
      <c r="D19648" t="s">
        <v>20</v>
      </c>
      <c r="E19648" t="s">
        <v>39</v>
      </c>
      <c r="F19648">
        <v>0</v>
      </c>
      <c r="G19648">
        <v>0</v>
      </c>
      <c r="H19648">
        <v>1</v>
      </c>
      <c r="I19648" s="3">
        <v>1277.02</v>
      </c>
      <c r="J19648" s="3">
        <v>0</v>
      </c>
      <c r="L19648">
        <v>1482</v>
      </c>
      <c r="M19648" t="s">
        <v>30601</v>
      </c>
      <c r="N19648" t="s">
        <v>30</v>
      </c>
      <c r="O19648" t="s">
        <v>31</v>
      </c>
      <c r="P19648" t="str">
        <f>"15205"</f>
        <v>15205</v>
      </c>
    </row>
    <row r="19649" spans="1:16" x14ac:dyDescent="0.25">
      <c r="A19649" t="str">
        <f>"1280040H00273    00"</f>
        <v>1280040H00273    00</v>
      </c>
      <c r="B19649" t="s">
        <v>30845</v>
      </c>
      <c r="C19649" t="s">
        <v>42576</v>
      </c>
      <c r="D19649" t="s">
        <v>20</v>
      </c>
      <c r="E19649" t="s">
        <v>39</v>
      </c>
      <c r="F19649">
        <v>0</v>
      </c>
      <c r="G19649">
        <v>0</v>
      </c>
      <c r="H19649">
        <v>15</v>
      </c>
      <c r="I19649" s="3">
        <v>23048.7</v>
      </c>
      <c r="J19649" s="3">
        <v>15642.39</v>
      </c>
      <c r="L19649">
        <v>531</v>
      </c>
      <c r="M19649" t="s">
        <v>4758</v>
      </c>
      <c r="N19649" t="s">
        <v>149</v>
      </c>
      <c r="O19649" t="s">
        <v>31</v>
      </c>
      <c r="P19649" t="str">
        <f>"15106"</f>
        <v>15106</v>
      </c>
    </row>
    <row r="19650" spans="1:16" x14ac:dyDescent="0.25">
      <c r="A19650" t="str">
        <f>"1280040L00078    00"</f>
        <v>1280040L00078    00</v>
      </c>
      <c r="B19650" t="s">
        <v>42577</v>
      </c>
      <c r="C19650" t="s">
        <v>42578</v>
      </c>
      <c r="D19650" t="s">
        <v>20</v>
      </c>
      <c r="E19650" t="s">
        <v>39</v>
      </c>
      <c r="F19650">
        <v>0</v>
      </c>
      <c r="G19650">
        <v>0</v>
      </c>
      <c r="H19650">
        <v>7</v>
      </c>
      <c r="I19650" s="3">
        <v>12527.94</v>
      </c>
      <c r="J19650" s="3">
        <v>2756.39</v>
      </c>
      <c r="L19650">
        <v>119</v>
      </c>
      <c r="M19650" t="s">
        <v>39773</v>
      </c>
      <c r="N19650" t="s">
        <v>42579</v>
      </c>
      <c r="O19650" t="s">
        <v>31</v>
      </c>
      <c r="P19650" t="str">
        <f t="shared" ref="P19650:P19659" si="244">"15205"</f>
        <v>15205</v>
      </c>
    </row>
    <row r="19651" spans="1:16" x14ac:dyDescent="0.25">
      <c r="A19651" t="str">
        <f>"1280040L00103    00"</f>
        <v>1280040L00103    00</v>
      </c>
      <c r="B19651" t="s">
        <v>42580</v>
      </c>
      <c r="C19651" t="s">
        <v>42581</v>
      </c>
      <c r="D19651" t="s">
        <v>20</v>
      </c>
      <c r="E19651" t="s">
        <v>39</v>
      </c>
      <c r="F19651">
        <v>0</v>
      </c>
      <c r="G19651">
        <v>0</v>
      </c>
      <c r="H19651">
        <v>5</v>
      </c>
      <c r="I19651" s="3">
        <v>2518.39</v>
      </c>
      <c r="J19651" s="3">
        <v>465.48</v>
      </c>
      <c r="L19651">
        <v>1424</v>
      </c>
      <c r="M19651" t="s">
        <v>42582</v>
      </c>
      <c r="N19651" t="s">
        <v>30</v>
      </c>
      <c r="O19651" t="s">
        <v>31</v>
      </c>
      <c r="P19651" t="str">
        <f t="shared" si="244"/>
        <v>15205</v>
      </c>
    </row>
    <row r="19652" spans="1:16" x14ac:dyDescent="0.25">
      <c r="A19652" t="str">
        <f>"1280040L00157    00"</f>
        <v>1280040L00157    00</v>
      </c>
      <c r="B19652" t="s">
        <v>42583</v>
      </c>
      <c r="C19652" t="s">
        <v>42584</v>
      </c>
      <c r="D19652" t="s">
        <v>20</v>
      </c>
      <c r="E19652" t="s">
        <v>39</v>
      </c>
      <c r="F19652">
        <v>0</v>
      </c>
      <c r="G19652">
        <v>0</v>
      </c>
      <c r="H19652">
        <v>15</v>
      </c>
      <c r="I19652" s="3">
        <v>2162.92</v>
      </c>
      <c r="J19652" s="3">
        <v>1405.83</v>
      </c>
      <c r="K19652" t="s">
        <v>42585</v>
      </c>
      <c r="L19652">
        <v>1419</v>
      </c>
      <c r="M19652" t="s">
        <v>42582</v>
      </c>
      <c r="N19652" t="s">
        <v>30</v>
      </c>
      <c r="O19652" t="s">
        <v>31</v>
      </c>
      <c r="P19652" t="str">
        <f t="shared" si="244"/>
        <v>15205</v>
      </c>
    </row>
    <row r="19653" spans="1:16" x14ac:dyDescent="0.25">
      <c r="A19653" t="str">
        <f>"1280040L00159    00"</f>
        <v>1280040L00159    00</v>
      </c>
      <c r="B19653" t="s">
        <v>42586</v>
      </c>
      <c r="C19653" t="s">
        <v>42584</v>
      </c>
      <c r="D19653" t="s">
        <v>20</v>
      </c>
      <c r="E19653" t="s">
        <v>39</v>
      </c>
      <c r="F19653">
        <v>0</v>
      </c>
      <c r="G19653">
        <v>0</v>
      </c>
      <c r="H19653">
        <v>15</v>
      </c>
      <c r="I19653" s="3">
        <v>6017.96</v>
      </c>
      <c r="J19653" s="3">
        <v>4947.1099999999997</v>
      </c>
      <c r="L19653">
        <v>1415</v>
      </c>
      <c r="M19653" t="s">
        <v>42582</v>
      </c>
      <c r="N19653" t="s">
        <v>30</v>
      </c>
      <c r="O19653" t="s">
        <v>31</v>
      </c>
      <c r="P19653" t="str">
        <f t="shared" si="244"/>
        <v>15205</v>
      </c>
    </row>
    <row r="19654" spans="1:16" x14ac:dyDescent="0.25">
      <c r="A19654" t="str">
        <f>"1280040L00160    00"</f>
        <v>1280040L00160    00</v>
      </c>
      <c r="B19654" t="s">
        <v>42587</v>
      </c>
      <c r="C19654" t="s">
        <v>42584</v>
      </c>
      <c r="D19654" t="s">
        <v>20</v>
      </c>
      <c r="E19654" t="s">
        <v>39</v>
      </c>
      <c r="F19654">
        <v>0</v>
      </c>
      <c r="G19654">
        <v>0</v>
      </c>
      <c r="H19654">
        <v>19</v>
      </c>
      <c r="I19654" s="3">
        <v>3321.63</v>
      </c>
      <c r="J19654" s="3">
        <v>2414.89</v>
      </c>
      <c r="L19654">
        <v>1413</v>
      </c>
      <c r="M19654" t="s">
        <v>42582</v>
      </c>
      <c r="N19654" t="s">
        <v>30</v>
      </c>
      <c r="O19654" t="s">
        <v>31</v>
      </c>
      <c r="P19654" t="str">
        <f t="shared" si="244"/>
        <v>15205</v>
      </c>
    </row>
    <row r="19655" spans="1:16" x14ac:dyDescent="0.25">
      <c r="A19655" t="str">
        <f>"1280040L00175    00"</f>
        <v>1280040L00175    00</v>
      </c>
      <c r="B19655" t="s">
        <v>42588</v>
      </c>
      <c r="C19655" t="s">
        <v>42589</v>
      </c>
      <c r="E19655" t="s">
        <v>39</v>
      </c>
      <c r="F19655">
        <v>0</v>
      </c>
      <c r="G19655">
        <v>0</v>
      </c>
      <c r="H19655">
        <v>1</v>
      </c>
      <c r="I19655" s="3">
        <v>45.66</v>
      </c>
      <c r="J19655" s="3">
        <v>0.38</v>
      </c>
      <c r="L19655">
        <v>1412</v>
      </c>
      <c r="M19655" t="s">
        <v>29081</v>
      </c>
      <c r="N19655" t="s">
        <v>30</v>
      </c>
      <c r="O19655" t="s">
        <v>31</v>
      </c>
      <c r="P19655" t="str">
        <f t="shared" si="244"/>
        <v>15205</v>
      </c>
    </row>
    <row r="19656" spans="1:16" x14ac:dyDescent="0.25">
      <c r="A19656" t="str">
        <f>"1280040L00181    00"</f>
        <v>1280040L00181    00</v>
      </c>
      <c r="B19656" t="s">
        <v>42590</v>
      </c>
      <c r="C19656" t="s">
        <v>42591</v>
      </c>
      <c r="D19656" t="s">
        <v>20</v>
      </c>
      <c r="E19656" t="s">
        <v>39</v>
      </c>
      <c r="F19656">
        <v>0</v>
      </c>
      <c r="G19656">
        <v>0</v>
      </c>
      <c r="H19656">
        <v>3</v>
      </c>
      <c r="I19656" s="3">
        <v>5876.87</v>
      </c>
      <c r="J19656" s="3">
        <v>403.61</v>
      </c>
      <c r="L19656">
        <v>1420</v>
      </c>
      <c r="M19656" t="s">
        <v>29081</v>
      </c>
      <c r="N19656" t="s">
        <v>30</v>
      </c>
      <c r="O19656" t="s">
        <v>31</v>
      </c>
      <c r="P19656" t="str">
        <f t="shared" si="244"/>
        <v>15205</v>
      </c>
    </row>
    <row r="19657" spans="1:16" x14ac:dyDescent="0.25">
      <c r="A19657" t="str">
        <f>"1280040L00237    00"</f>
        <v>1280040L00237    00</v>
      </c>
      <c r="B19657" t="s">
        <v>42592</v>
      </c>
      <c r="C19657" t="s">
        <v>42593</v>
      </c>
      <c r="E19657" t="s">
        <v>39</v>
      </c>
      <c r="F19657">
        <v>0</v>
      </c>
      <c r="G19657">
        <v>0</v>
      </c>
      <c r="H19657">
        <v>1</v>
      </c>
      <c r="I19657" s="3">
        <v>87.91</v>
      </c>
      <c r="J19657" s="3">
        <v>0</v>
      </c>
      <c r="L19657">
        <v>1419</v>
      </c>
      <c r="M19657" t="s">
        <v>29081</v>
      </c>
      <c r="N19657" t="s">
        <v>30</v>
      </c>
      <c r="O19657" t="s">
        <v>31</v>
      </c>
      <c r="P19657" t="str">
        <f t="shared" si="244"/>
        <v>15205</v>
      </c>
    </row>
    <row r="19658" spans="1:16" x14ac:dyDescent="0.25">
      <c r="A19658" t="str">
        <f>"1280040L00320    00"</f>
        <v>1280040L00320    00</v>
      </c>
      <c r="B19658" t="s">
        <v>42594</v>
      </c>
      <c r="C19658" t="s">
        <v>42595</v>
      </c>
      <c r="D19658" t="s">
        <v>20</v>
      </c>
      <c r="E19658" t="s">
        <v>39</v>
      </c>
      <c r="F19658">
        <v>0</v>
      </c>
      <c r="G19658">
        <v>0</v>
      </c>
      <c r="H19658">
        <v>5</v>
      </c>
      <c r="I19658" s="3">
        <v>3697.35</v>
      </c>
      <c r="J19658" s="3">
        <v>645.65</v>
      </c>
      <c r="K19658" t="s">
        <v>42596</v>
      </c>
      <c r="L19658">
        <v>1356</v>
      </c>
      <c r="M19658" t="s">
        <v>42582</v>
      </c>
      <c r="N19658" t="s">
        <v>30</v>
      </c>
      <c r="O19658" t="s">
        <v>31</v>
      </c>
      <c r="P19658" t="str">
        <f t="shared" si="244"/>
        <v>15205</v>
      </c>
    </row>
    <row r="19659" spans="1:16" x14ac:dyDescent="0.25">
      <c r="A19659" t="str">
        <f>"1280040L00332    00"</f>
        <v>1280040L00332    00</v>
      </c>
      <c r="B19659" t="s">
        <v>42597</v>
      </c>
      <c r="C19659" t="s">
        <v>42598</v>
      </c>
      <c r="D19659" t="s">
        <v>20</v>
      </c>
      <c r="E19659" t="s">
        <v>39</v>
      </c>
      <c r="F19659">
        <v>0</v>
      </c>
      <c r="G19659">
        <v>0</v>
      </c>
      <c r="H19659">
        <v>3</v>
      </c>
      <c r="I19659" s="3">
        <v>3325.55</v>
      </c>
      <c r="J19659" s="3">
        <v>158.88</v>
      </c>
      <c r="L19659">
        <v>1347</v>
      </c>
      <c r="M19659" t="s">
        <v>42582</v>
      </c>
      <c r="N19659" t="s">
        <v>30</v>
      </c>
      <c r="O19659" t="s">
        <v>31</v>
      </c>
      <c r="P19659" t="str">
        <f t="shared" si="244"/>
        <v>15205</v>
      </c>
    </row>
    <row r="19660" spans="1:16" x14ac:dyDescent="0.25">
      <c r="A19660" t="str">
        <f>"1280040L00358    00"</f>
        <v>1280040L00358    00</v>
      </c>
      <c r="B19660" t="s">
        <v>42599</v>
      </c>
      <c r="C19660" t="s">
        <v>42600</v>
      </c>
      <c r="D19660" t="s">
        <v>20</v>
      </c>
      <c r="E19660" t="s">
        <v>39</v>
      </c>
      <c r="F19660">
        <v>0</v>
      </c>
      <c r="G19660">
        <v>0</v>
      </c>
      <c r="H19660">
        <v>2</v>
      </c>
      <c r="I19660" s="3">
        <v>2748.48</v>
      </c>
      <c r="J19660" s="3">
        <v>0</v>
      </c>
      <c r="K19660" t="s">
        <v>42601</v>
      </c>
      <c r="L19660">
        <v>724</v>
      </c>
      <c r="M19660" t="s">
        <v>42602</v>
      </c>
      <c r="N19660" t="s">
        <v>22038</v>
      </c>
      <c r="O19660" t="s">
        <v>25</v>
      </c>
      <c r="P19660" t="str">
        <f>"44512"</f>
        <v>44512</v>
      </c>
    </row>
    <row r="19661" spans="1:16" x14ac:dyDescent="0.25">
      <c r="A19661" t="str">
        <f>"1280040M00010    00"</f>
        <v>1280040M00010    00</v>
      </c>
      <c r="B19661" t="s">
        <v>42603</v>
      </c>
      <c r="C19661" t="s">
        <v>42604</v>
      </c>
      <c r="D19661" t="s">
        <v>20</v>
      </c>
      <c r="E19661" t="s">
        <v>39</v>
      </c>
      <c r="F19661">
        <v>0</v>
      </c>
      <c r="G19661">
        <v>0</v>
      </c>
      <c r="H19661">
        <v>2</v>
      </c>
      <c r="I19661" s="3">
        <v>1236.08</v>
      </c>
      <c r="J19661" s="3">
        <v>0</v>
      </c>
      <c r="L19661">
        <v>1316</v>
      </c>
      <c r="M19661" t="s">
        <v>42582</v>
      </c>
      <c r="N19661" t="s">
        <v>30</v>
      </c>
      <c r="O19661" t="s">
        <v>31</v>
      </c>
      <c r="P19661" t="str">
        <f>"15205"</f>
        <v>15205</v>
      </c>
    </row>
    <row r="19662" spans="1:16" x14ac:dyDescent="0.25">
      <c r="A19662" t="str">
        <f>"1280040M00051    00"</f>
        <v>1280040M00051    00</v>
      </c>
      <c r="B19662" t="s">
        <v>42605</v>
      </c>
      <c r="C19662" t="s">
        <v>42606</v>
      </c>
      <c r="E19662" t="s">
        <v>39</v>
      </c>
      <c r="F19662">
        <v>0</v>
      </c>
      <c r="G19662">
        <v>0</v>
      </c>
      <c r="H19662">
        <v>2</v>
      </c>
      <c r="I19662" s="3">
        <v>2591.08</v>
      </c>
      <c r="J19662" s="3">
        <v>988.57</v>
      </c>
      <c r="L19662">
        <v>714</v>
      </c>
      <c r="M19662" t="s">
        <v>38479</v>
      </c>
      <c r="N19662" t="s">
        <v>30</v>
      </c>
      <c r="O19662" t="s">
        <v>31</v>
      </c>
      <c r="P19662" t="str">
        <f>"15202"</f>
        <v>15202</v>
      </c>
    </row>
    <row r="19663" spans="1:16" x14ac:dyDescent="0.25">
      <c r="A19663" t="str">
        <f>"1280040M00148    00"</f>
        <v>1280040M00148    00</v>
      </c>
      <c r="B19663" t="s">
        <v>42607</v>
      </c>
      <c r="C19663" t="s">
        <v>42608</v>
      </c>
      <c r="D19663" t="s">
        <v>20</v>
      </c>
      <c r="E19663" t="s">
        <v>39</v>
      </c>
      <c r="F19663">
        <v>0</v>
      </c>
      <c r="G19663">
        <v>0</v>
      </c>
      <c r="H19663">
        <v>15</v>
      </c>
      <c r="I19663" s="3">
        <v>21339.279999999999</v>
      </c>
      <c r="J19663" s="3">
        <v>13011.56</v>
      </c>
      <c r="L19663">
        <v>1300</v>
      </c>
      <c r="M19663" t="s">
        <v>42609</v>
      </c>
      <c r="N19663" t="s">
        <v>30</v>
      </c>
      <c r="O19663" t="s">
        <v>31</v>
      </c>
      <c r="P19663" t="str">
        <f>"15205"</f>
        <v>15205</v>
      </c>
    </row>
    <row r="19664" spans="1:16" x14ac:dyDescent="0.25">
      <c r="A19664" t="str">
        <f>"1280040M00211    00"</f>
        <v>1280040M00211    00</v>
      </c>
      <c r="B19664" t="s">
        <v>30958</v>
      </c>
      <c r="C19664" t="s">
        <v>42610</v>
      </c>
      <c r="D19664" t="s">
        <v>20</v>
      </c>
      <c r="E19664" t="s">
        <v>39</v>
      </c>
      <c r="F19664">
        <v>0</v>
      </c>
      <c r="G19664">
        <v>0</v>
      </c>
      <c r="H19664">
        <v>1</v>
      </c>
      <c r="I19664" s="3">
        <v>911.07</v>
      </c>
      <c r="J19664" s="3">
        <v>0</v>
      </c>
      <c r="L19664">
        <v>270</v>
      </c>
      <c r="M19664" t="s">
        <v>42609</v>
      </c>
      <c r="N19664" t="s">
        <v>30</v>
      </c>
      <c r="O19664" t="s">
        <v>31</v>
      </c>
      <c r="P19664" t="str">
        <f>"15205"</f>
        <v>15205</v>
      </c>
    </row>
    <row r="19665" spans="1:16" x14ac:dyDescent="0.25">
      <c r="A19665" t="str">
        <f>"1280040M00277    00"</f>
        <v>1280040M00277    00</v>
      </c>
      <c r="B19665" t="s">
        <v>42611</v>
      </c>
      <c r="C19665" t="s">
        <v>42612</v>
      </c>
      <c r="D19665" t="s">
        <v>20</v>
      </c>
      <c r="E19665" t="s">
        <v>21</v>
      </c>
      <c r="F19665">
        <v>0</v>
      </c>
      <c r="G19665">
        <v>0</v>
      </c>
      <c r="H19665">
        <v>1</v>
      </c>
      <c r="I19665" s="3">
        <v>1894.56</v>
      </c>
      <c r="J19665" s="3">
        <v>0</v>
      </c>
      <c r="K19665" t="s">
        <v>42613</v>
      </c>
      <c r="L19665">
        <v>202</v>
      </c>
      <c r="M19665" t="s">
        <v>42614</v>
      </c>
      <c r="N19665" t="s">
        <v>903</v>
      </c>
      <c r="O19665" t="s">
        <v>31</v>
      </c>
      <c r="P19665" t="str">
        <f>"15136"</f>
        <v>15136</v>
      </c>
    </row>
    <row r="19666" spans="1:16" x14ac:dyDescent="0.25">
      <c r="A19666" t="str">
        <f>"1280040R00052    00"</f>
        <v>1280040R00052    00</v>
      </c>
      <c r="B19666" t="s">
        <v>42615</v>
      </c>
      <c r="C19666" t="s">
        <v>42616</v>
      </c>
      <c r="E19666" t="s">
        <v>39</v>
      </c>
      <c r="F19666">
        <v>0</v>
      </c>
      <c r="G19666">
        <v>0</v>
      </c>
      <c r="H19666">
        <v>12</v>
      </c>
      <c r="I19666" s="3">
        <v>14459.73</v>
      </c>
      <c r="J19666" s="3">
        <v>18955.8</v>
      </c>
      <c r="K19666" t="s">
        <v>42617</v>
      </c>
      <c r="L19666">
        <v>600</v>
      </c>
      <c r="M19666" t="s">
        <v>22435</v>
      </c>
      <c r="N19666" t="s">
        <v>21130</v>
      </c>
      <c r="O19666" t="s">
        <v>31</v>
      </c>
      <c r="P19666" t="str">
        <f>"15120"</f>
        <v>15120</v>
      </c>
    </row>
    <row r="19667" spans="1:16" x14ac:dyDescent="0.25">
      <c r="A19667" t="str">
        <f>"1280040R00122    00"</f>
        <v>1280040R00122    00</v>
      </c>
      <c r="B19667" t="s">
        <v>42618</v>
      </c>
      <c r="C19667" t="s">
        <v>42619</v>
      </c>
      <c r="E19667" t="s">
        <v>39</v>
      </c>
      <c r="F19667">
        <v>0</v>
      </c>
      <c r="G19667">
        <v>0</v>
      </c>
      <c r="H19667">
        <v>1</v>
      </c>
      <c r="I19667" s="3">
        <v>76.239999999999995</v>
      </c>
      <c r="J19667" s="3">
        <v>0</v>
      </c>
      <c r="K19667" t="s">
        <v>400</v>
      </c>
      <c r="L19667">
        <v>3001</v>
      </c>
      <c r="M19667" t="s">
        <v>330</v>
      </c>
      <c r="N19667" t="s">
        <v>331</v>
      </c>
      <c r="O19667" t="s">
        <v>108</v>
      </c>
      <c r="P19667" t="str">
        <f>"75063"</f>
        <v>75063</v>
      </c>
    </row>
    <row r="19668" spans="1:16" x14ac:dyDescent="0.25">
      <c r="A19668" t="str">
        <f>"1280040R00155    00"</f>
        <v>1280040R00155    00</v>
      </c>
      <c r="B19668" t="s">
        <v>42620</v>
      </c>
      <c r="C19668" t="s">
        <v>42619</v>
      </c>
      <c r="D19668" t="s">
        <v>20</v>
      </c>
      <c r="E19668" t="s">
        <v>39</v>
      </c>
      <c r="F19668">
        <v>0</v>
      </c>
      <c r="G19668">
        <v>0</v>
      </c>
      <c r="H19668">
        <v>1</v>
      </c>
      <c r="I19668" s="3">
        <v>89.59</v>
      </c>
      <c r="J19668" s="3">
        <v>0</v>
      </c>
      <c r="L19668">
        <v>142</v>
      </c>
      <c r="M19668" t="s">
        <v>42621</v>
      </c>
      <c r="N19668" t="s">
        <v>30</v>
      </c>
      <c r="O19668" t="s">
        <v>31</v>
      </c>
      <c r="P19668" t="str">
        <f>"15205"</f>
        <v>15205</v>
      </c>
    </row>
    <row r="19669" spans="1:16" x14ac:dyDescent="0.25">
      <c r="A19669" t="str">
        <f>"1280040R00158    00"</f>
        <v>1280040R00158    00</v>
      </c>
      <c r="B19669" t="s">
        <v>42622</v>
      </c>
      <c r="C19669" t="s">
        <v>42623</v>
      </c>
      <c r="D19669" t="s">
        <v>20</v>
      </c>
      <c r="E19669" t="s">
        <v>39</v>
      </c>
      <c r="F19669">
        <v>0</v>
      </c>
      <c r="G19669">
        <v>0</v>
      </c>
      <c r="H19669">
        <v>2</v>
      </c>
      <c r="I19669" s="3">
        <v>1523.08</v>
      </c>
      <c r="J19669" s="3">
        <v>161.18</v>
      </c>
      <c r="L19669">
        <v>140</v>
      </c>
      <c r="M19669" t="s">
        <v>42621</v>
      </c>
      <c r="N19669" t="s">
        <v>30</v>
      </c>
      <c r="O19669" t="s">
        <v>31</v>
      </c>
      <c r="P19669" t="str">
        <f>"15205"</f>
        <v>15205</v>
      </c>
    </row>
    <row r="19670" spans="1:16" x14ac:dyDescent="0.25">
      <c r="A19670" t="str">
        <f>"1280040R00177    00"</f>
        <v>1280040R00177    00</v>
      </c>
      <c r="B19670" t="s">
        <v>42624</v>
      </c>
      <c r="C19670" t="s">
        <v>42619</v>
      </c>
      <c r="E19670" t="s">
        <v>39</v>
      </c>
      <c r="F19670">
        <v>0</v>
      </c>
      <c r="G19670">
        <v>0</v>
      </c>
      <c r="H19670">
        <v>5</v>
      </c>
      <c r="I19670" s="3">
        <v>340.88</v>
      </c>
      <c r="J19670" s="3">
        <v>4.53</v>
      </c>
      <c r="K19670" t="s">
        <v>42625</v>
      </c>
      <c r="L19670">
        <v>1410</v>
      </c>
      <c r="M19670" t="s">
        <v>42621</v>
      </c>
      <c r="N19670" t="s">
        <v>30</v>
      </c>
      <c r="O19670" t="s">
        <v>31</v>
      </c>
      <c r="P19670" t="str">
        <f>"15205"</f>
        <v>15205</v>
      </c>
    </row>
    <row r="19671" spans="1:16" x14ac:dyDescent="0.25">
      <c r="A19671" t="str">
        <f>"1280040R00196000100"</f>
        <v>1280040R00196000100</v>
      </c>
      <c r="B19671" t="s">
        <v>42626</v>
      </c>
      <c r="C19671" t="s">
        <v>42627</v>
      </c>
      <c r="D19671" t="s">
        <v>20</v>
      </c>
      <c r="E19671" t="s">
        <v>39</v>
      </c>
      <c r="F19671">
        <v>0</v>
      </c>
      <c r="G19671">
        <v>0</v>
      </c>
      <c r="H19671">
        <v>17</v>
      </c>
      <c r="I19671" s="3">
        <v>615.70000000000005</v>
      </c>
      <c r="J19671" s="3">
        <v>821.54</v>
      </c>
      <c r="K19671" t="s">
        <v>1008</v>
      </c>
      <c r="P19671" t="str">
        <f>""</f>
        <v/>
      </c>
    </row>
    <row r="19672" spans="1:16" x14ac:dyDescent="0.25">
      <c r="A19672" t="str">
        <f>"1280040R00196000300"</f>
        <v>1280040R00196000300</v>
      </c>
      <c r="B19672" t="s">
        <v>42628</v>
      </c>
      <c r="C19672" t="s">
        <v>42627</v>
      </c>
      <c r="D19672" t="s">
        <v>20</v>
      </c>
      <c r="E19672" t="s">
        <v>39</v>
      </c>
      <c r="F19672">
        <v>0</v>
      </c>
      <c r="G19672">
        <v>0</v>
      </c>
      <c r="H19672">
        <v>17</v>
      </c>
      <c r="I19672" s="3">
        <v>453.9</v>
      </c>
      <c r="J19672" s="3">
        <v>595.94000000000005</v>
      </c>
      <c r="L19672">
        <v>111</v>
      </c>
      <c r="M19672" t="s">
        <v>42629</v>
      </c>
      <c r="N19672" t="s">
        <v>30</v>
      </c>
      <c r="O19672" t="s">
        <v>31</v>
      </c>
      <c r="P19672" t="str">
        <f>"15220"</f>
        <v>15220</v>
      </c>
    </row>
    <row r="19673" spans="1:16" x14ac:dyDescent="0.25">
      <c r="A19673" t="str">
        <f>"1280040R00196000600"</f>
        <v>1280040R00196000600</v>
      </c>
      <c r="B19673" t="s">
        <v>42630</v>
      </c>
      <c r="C19673" t="s">
        <v>42627</v>
      </c>
      <c r="D19673" t="s">
        <v>20</v>
      </c>
      <c r="E19673" t="s">
        <v>39</v>
      </c>
      <c r="F19673">
        <v>0</v>
      </c>
      <c r="G19673">
        <v>0</v>
      </c>
      <c r="H19673">
        <v>17</v>
      </c>
      <c r="I19673" s="3">
        <v>615.70000000000005</v>
      </c>
      <c r="J19673" s="3">
        <v>821.54</v>
      </c>
      <c r="K19673" t="s">
        <v>1037</v>
      </c>
      <c r="M19673" t="s">
        <v>30840</v>
      </c>
      <c r="N19673" t="s">
        <v>30</v>
      </c>
      <c r="O19673" t="s">
        <v>31</v>
      </c>
      <c r="P19673" t="str">
        <f>"15205"</f>
        <v>15205</v>
      </c>
    </row>
    <row r="19674" spans="1:16" x14ac:dyDescent="0.25">
      <c r="A19674" t="str">
        <f>"1280040R00213    00"</f>
        <v>1280040R00213    00</v>
      </c>
      <c r="B19674" t="s">
        <v>42631</v>
      </c>
      <c r="C19674" t="s">
        <v>42632</v>
      </c>
      <c r="E19674" t="s">
        <v>39</v>
      </c>
      <c r="F19674">
        <v>0</v>
      </c>
      <c r="G19674">
        <v>0</v>
      </c>
      <c r="H19674">
        <v>1</v>
      </c>
      <c r="I19674" s="3">
        <v>800.52</v>
      </c>
      <c r="J19674" s="3">
        <v>0</v>
      </c>
      <c r="L19674">
        <v>239</v>
      </c>
      <c r="M19674" t="s">
        <v>42633</v>
      </c>
      <c r="N19674" t="s">
        <v>30</v>
      </c>
      <c r="O19674" t="s">
        <v>31</v>
      </c>
      <c r="P19674" t="str">
        <f>"15222"</f>
        <v>15222</v>
      </c>
    </row>
    <row r="19675" spans="1:16" x14ac:dyDescent="0.25">
      <c r="A19675" t="str">
        <f>"1280040R00217    00"</f>
        <v>1280040R00217    00</v>
      </c>
      <c r="B19675" t="s">
        <v>42634</v>
      </c>
      <c r="C19675" t="s">
        <v>42635</v>
      </c>
      <c r="D19675" t="s">
        <v>20</v>
      </c>
      <c r="E19675" t="s">
        <v>39</v>
      </c>
      <c r="F19675">
        <v>0</v>
      </c>
      <c r="G19675">
        <v>0</v>
      </c>
      <c r="H19675">
        <v>1</v>
      </c>
      <c r="I19675" s="3">
        <v>894.38</v>
      </c>
      <c r="J19675" s="3">
        <v>0</v>
      </c>
      <c r="L19675">
        <v>1450</v>
      </c>
      <c r="M19675" t="s">
        <v>30840</v>
      </c>
      <c r="N19675" t="s">
        <v>30</v>
      </c>
      <c r="O19675" t="s">
        <v>31</v>
      </c>
      <c r="P19675" t="str">
        <f t="shared" ref="P19675:P19680" si="245">"15205"</f>
        <v>15205</v>
      </c>
    </row>
    <row r="19676" spans="1:16" x14ac:dyDescent="0.25">
      <c r="A19676" t="str">
        <f>"1280040R00220    00"</f>
        <v>1280040R00220    00</v>
      </c>
      <c r="B19676" t="s">
        <v>42636</v>
      </c>
      <c r="C19676" t="s">
        <v>42627</v>
      </c>
      <c r="D19676" t="s">
        <v>20</v>
      </c>
      <c r="E19676" t="s">
        <v>39</v>
      </c>
      <c r="F19676">
        <v>0</v>
      </c>
      <c r="G19676">
        <v>0</v>
      </c>
      <c r="H19676">
        <v>19</v>
      </c>
      <c r="I19676" s="3">
        <v>19787.04</v>
      </c>
      <c r="J19676" s="3">
        <v>26521.21</v>
      </c>
      <c r="L19676">
        <v>1471</v>
      </c>
      <c r="M19676" t="s">
        <v>42637</v>
      </c>
      <c r="N19676" t="s">
        <v>30</v>
      </c>
      <c r="O19676" t="s">
        <v>31</v>
      </c>
      <c r="P19676" t="str">
        <f t="shared" si="245"/>
        <v>15205</v>
      </c>
    </row>
    <row r="19677" spans="1:16" x14ac:dyDescent="0.25">
      <c r="A19677" t="str">
        <f>"1280040R00222    00"</f>
        <v>1280040R00222    00</v>
      </c>
      <c r="B19677" t="s">
        <v>42638</v>
      </c>
      <c r="C19677" t="s">
        <v>42627</v>
      </c>
      <c r="D19677" t="s">
        <v>20</v>
      </c>
      <c r="E19677" t="s">
        <v>39</v>
      </c>
      <c r="F19677">
        <v>0</v>
      </c>
      <c r="G19677">
        <v>0</v>
      </c>
      <c r="H19677">
        <v>10</v>
      </c>
      <c r="I19677" s="3">
        <v>7424.54</v>
      </c>
      <c r="J19677" s="3">
        <v>3461.61</v>
      </c>
      <c r="L19677">
        <v>2443</v>
      </c>
      <c r="M19677" t="s">
        <v>42637</v>
      </c>
      <c r="N19677" t="s">
        <v>30</v>
      </c>
      <c r="O19677" t="s">
        <v>31</v>
      </c>
      <c r="P19677" t="str">
        <f t="shared" si="245"/>
        <v>15205</v>
      </c>
    </row>
    <row r="19678" spans="1:16" x14ac:dyDescent="0.25">
      <c r="A19678" t="str">
        <f>"1280040R00234    00"</f>
        <v>1280040R00234    00</v>
      </c>
      <c r="B19678" t="s">
        <v>42639</v>
      </c>
      <c r="C19678" t="s">
        <v>42627</v>
      </c>
      <c r="E19678" t="s">
        <v>39</v>
      </c>
      <c r="F19678">
        <v>0</v>
      </c>
      <c r="G19678">
        <v>0</v>
      </c>
      <c r="H19678">
        <v>3</v>
      </c>
      <c r="I19678" s="3">
        <v>114.92</v>
      </c>
      <c r="J19678" s="3">
        <v>24.56</v>
      </c>
      <c r="L19678">
        <v>1406</v>
      </c>
      <c r="M19678" t="s">
        <v>30840</v>
      </c>
      <c r="N19678" t="s">
        <v>30</v>
      </c>
      <c r="O19678" t="s">
        <v>31</v>
      </c>
      <c r="P19678" t="str">
        <f t="shared" si="245"/>
        <v>15205</v>
      </c>
    </row>
    <row r="19679" spans="1:16" x14ac:dyDescent="0.25">
      <c r="A19679" t="str">
        <f>"1280040R00235    00"</f>
        <v>1280040R00235    00</v>
      </c>
      <c r="B19679" t="s">
        <v>42639</v>
      </c>
      <c r="C19679" t="s">
        <v>42640</v>
      </c>
      <c r="D19679" t="s">
        <v>20</v>
      </c>
      <c r="E19679" t="s">
        <v>39</v>
      </c>
      <c r="F19679">
        <v>0</v>
      </c>
      <c r="G19679">
        <v>0</v>
      </c>
      <c r="H19679">
        <v>2</v>
      </c>
      <c r="I19679" s="3">
        <v>1035.27</v>
      </c>
      <c r="J19679" s="3">
        <v>0</v>
      </c>
      <c r="L19679">
        <v>1406</v>
      </c>
      <c r="M19679" t="s">
        <v>30840</v>
      </c>
      <c r="N19679" t="s">
        <v>30</v>
      </c>
      <c r="O19679" t="s">
        <v>31</v>
      </c>
      <c r="P19679" t="str">
        <f t="shared" si="245"/>
        <v>15205</v>
      </c>
    </row>
    <row r="19680" spans="1:16" x14ac:dyDescent="0.25">
      <c r="A19680" t="str">
        <f>"1280040R00297    00"</f>
        <v>1280040R00297    00</v>
      </c>
      <c r="B19680" t="s">
        <v>42641</v>
      </c>
      <c r="C19680" t="s">
        <v>42642</v>
      </c>
      <c r="D19680" t="s">
        <v>20</v>
      </c>
      <c r="E19680" t="s">
        <v>39</v>
      </c>
      <c r="F19680">
        <v>0</v>
      </c>
      <c r="G19680">
        <v>0</v>
      </c>
      <c r="H19680">
        <v>1</v>
      </c>
      <c r="I19680" s="3">
        <v>984.98</v>
      </c>
      <c r="J19680" s="3">
        <v>0</v>
      </c>
      <c r="K19680" t="s">
        <v>42643</v>
      </c>
      <c r="L19680">
        <v>1434</v>
      </c>
      <c r="M19680" t="s">
        <v>42637</v>
      </c>
      <c r="N19680" t="s">
        <v>30</v>
      </c>
      <c r="O19680" t="s">
        <v>31</v>
      </c>
      <c r="P19680" t="str">
        <f t="shared" si="245"/>
        <v>15205</v>
      </c>
    </row>
    <row r="19681" spans="1:16" x14ac:dyDescent="0.25">
      <c r="A19681" t="str">
        <f>"1280040S00014    00"</f>
        <v>1280040S00014    00</v>
      </c>
      <c r="B19681" t="s">
        <v>42644</v>
      </c>
      <c r="C19681" t="s">
        <v>42143</v>
      </c>
      <c r="D19681" t="s">
        <v>20</v>
      </c>
      <c r="E19681" t="s">
        <v>39</v>
      </c>
      <c r="F19681">
        <v>0</v>
      </c>
      <c r="G19681">
        <v>0</v>
      </c>
      <c r="H19681">
        <v>2</v>
      </c>
      <c r="I19681" s="3">
        <v>30.5</v>
      </c>
      <c r="J19681" s="3">
        <v>0</v>
      </c>
      <c r="L19681">
        <v>2001</v>
      </c>
      <c r="M19681" t="s">
        <v>42645</v>
      </c>
      <c r="N19681" t="s">
        <v>4318</v>
      </c>
      <c r="O19681" t="s">
        <v>31</v>
      </c>
      <c r="P19681" t="str">
        <f>"16046"</f>
        <v>16046</v>
      </c>
    </row>
    <row r="19682" spans="1:16" x14ac:dyDescent="0.25">
      <c r="A19682" t="str">
        <f>"1280040S00015    00"</f>
        <v>1280040S00015    00</v>
      </c>
      <c r="B19682" t="s">
        <v>42644</v>
      </c>
      <c r="C19682" t="s">
        <v>42646</v>
      </c>
      <c r="D19682" t="s">
        <v>20</v>
      </c>
      <c r="E19682" t="s">
        <v>39</v>
      </c>
      <c r="F19682">
        <v>0</v>
      </c>
      <c r="G19682">
        <v>0</v>
      </c>
      <c r="H19682">
        <v>2</v>
      </c>
      <c r="I19682" s="3">
        <v>1612.5</v>
      </c>
      <c r="J19682" s="3">
        <v>0</v>
      </c>
      <c r="L19682">
        <v>2001</v>
      </c>
      <c r="M19682" t="s">
        <v>42645</v>
      </c>
      <c r="N19682" t="s">
        <v>4318</v>
      </c>
      <c r="O19682" t="s">
        <v>31</v>
      </c>
      <c r="P19682" t="str">
        <f>"16046"</f>
        <v>16046</v>
      </c>
    </row>
    <row r="19683" spans="1:16" x14ac:dyDescent="0.25">
      <c r="A19683" t="str">
        <f>"1280040S00020    00"</f>
        <v>1280040S00020    00</v>
      </c>
      <c r="B19683" t="s">
        <v>42647</v>
      </c>
      <c r="C19683" t="s">
        <v>42648</v>
      </c>
      <c r="D19683" t="s">
        <v>20</v>
      </c>
      <c r="E19683" t="s">
        <v>39</v>
      </c>
      <c r="F19683">
        <v>0</v>
      </c>
      <c r="G19683">
        <v>0</v>
      </c>
      <c r="H19683">
        <v>1</v>
      </c>
      <c r="I19683" s="3">
        <v>1414.25</v>
      </c>
      <c r="J19683" s="3">
        <v>0</v>
      </c>
      <c r="L19683">
        <v>2109</v>
      </c>
      <c r="M19683" t="s">
        <v>42649</v>
      </c>
      <c r="N19683" t="s">
        <v>3934</v>
      </c>
      <c r="O19683" t="s">
        <v>31</v>
      </c>
      <c r="P19683" t="str">
        <f>"15102"</f>
        <v>15102</v>
      </c>
    </row>
    <row r="19684" spans="1:16" x14ac:dyDescent="0.25">
      <c r="A19684" t="str">
        <f>"1280040S00039    00"</f>
        <v>1280040S00039    00</v>
      </c>
      <c r="B19684" t="s">
        <v>42650</v>
      </c>
      <c r="C19684" t="s">
        <v>42651</v>
      </c>
      <c r="D19684" t="s">
        <v>20</v>
      </c>
      <c r="E19684" t="s">
        <v>39</v>
      </c>
      <c r="F19684">
        <v>0</v>
      </c>
      <c r="G19684">
        <v>0</v>
      </c>
      <c r="H19684">
        <v>1</v>
      </c>
      <c r="I19684" s="3">
        <v>245.88</v>
      </c>
      <c r="J19684" s="3">
        <v>0</v>
      </c>
      <c r="L19684">
        <v>1326</v>
      </c>
      <c r="M19684" t="s">
        <v>42230</v>
      </c>
      <c r="N19684" t="s">
        <v>30</v>
      </c>
      <c r="O19684" t="s">
        <v>31</v>
      </c>
      <c r="P19684" t="str">
        <f>"15205"</f>
        <v>15205</v>
      </c>
    </row>
    <row r="19685" spans="1:16" x14ac:dyDescent="0.25">
      <c r="A19685" t="str">
        <f>"1280040S00076    00"</f>
        <v>1280040S00076    00</v>
      </c>
      <c r="B19685" t="s">
        <v>42652</v>
      </c>
      <c r="C19685" t="s">
        <v>30924</v>
      </c>
      <c r="D19685" t="s">
        <v>20</v>
      </c>
      <c r="E19685" t="s">
        <v>39</v>
      </c>
      <c r="F19685">
        <v>0</v>
      </c>
      <c r="G19685">
        <v>0</v>
      </c>
      <c r="H19685">
        <v>17</v>
      </c>
      <c r="I19685" s="3">
        <v>6792.76</v>
      </c>
      <c r="J19685" s="3">
        <v>8016.25</v>
      </c>
      <c r="K19685" t="s">
        <v>42653</v>
      </c>
      <c r="L19685">
        <v>1600</v>
      </c>
      <c r="M19685" t="s">
        <v>42654</v>
      </c>
      <c r="N19685" t="s">
        <v>149</v>
      </c>
      <c r="O19685" t="s">
        <v>31</v>
      </c>
      <c r="P19685" t="str">
        <f>"15106"</f>
        <v>15106</v>
      </c>
    </row>
    <row r="19686" spans="1:16" x14ac:dyDescent="0.25">
      <c r="A19686" t="str">
        <f>"1280040S00088    00"</f>
        <v>1280040S00088    00</v>
      </c>
      <c r="B19686" t="s">
        <v>42655</v>
      </c>
      <c r="C19686" t="s">
        <v>42656</v>
      </c>
      <c r="E19686" t="s">
        <v>39</v>
      </c>
      <c r="F19686">
        <v>0</v>
      </c>
      <c r="G19686">
        <v>0</v>
      </c>
      <c r="H19686">
        <v>1</v>
      </c>
      <c r="I19686" s="3">
        <v>1579.72</v>
      </c>
      <c r="J19686" s="3">
        <v>315.93</v>
      </c>
      <c r="L19686">
        <v>1926</v>
      </c>
      <c r="M19686" t="s">
        <v>30925</v>
      </c>
      <c r="N19686" t="s">
        <v>30</v>
      </c>
      <c r="O19686" t="s">
        <v>31</v>
      </c>
      <c r="P19686" t="str">
        <f>"15205"</f>
        <v>15205</v>
      </c>
    </row>
    <row r="19687" spans="1:16" x14ac:dyDescent="0.25">
      <c r="A19687" t="str">
        <f>"1280040S00119    00"</f>
        <v>1280040S00119    00</v>
      </c>
      <c r="B19687" t="s">
        <v>42657</v>
      </c>
      <c r="C19687" t="s">
        <v>42658</v>
      </c>
      <c r="E19687" t="s">
        <v>39</v>
      </c>
      <c r="F19687">
        <v>0</v>
      </c>
      <c r="G19687">
        <v>0</v>
      </c>
      <c r="H19687">
        <v>1</v>
      </c>
      <c r="I19687" s="3">
        <v>1364.03</v>
      </c>
      <c r="J19687" s="3">
        <v>375.09</v>
      </c>
      <c r="K19687" t="s">
        <v>5718</v>
      </c>
      <c r="L19687">
        <v>26642</v>
      </c>
      <c r="M19687" t="s">
        <v>5719</v>
      </c>
      <c r="N19687" t="s">
        <v>5720</v>
      </c>
      <c r="O19687" t="s">
        <v>495</v>
      </c>
      <c r="P19687" t="str">
        <f>"92610"</f>
        <v>92610</v>
      </c>
    </row>
    <row r="19688" spans="1:16" x14ac:dyDescent="0.25">
      <c r="A19688" t="str">
        <f>"1280040S00140    00"</f>
        <v>1280040S00140    00</v>
      </c>
      <c r="B19688" t="s">
        <v>42659</v>
      </c>
      <c r="C19688" t="s">
        <v>42660</v>
      </c>
      <c r="D19688" t="s">
        <v>20</v>
      </c>
      <c r="E19688" t="s">
        <v>39</v>
      </c>
      <c r="F19688">
        <v>0</v>
      </c>
      <c r="G19688">
        <v>0</v>
      </c>
      <c r="H19688">
        <v>5</v>
      </c>
      <c r="I19688" s="3">
        <v>5124.72</v>
      </c>
      <c r="J19688" s="3">
        <v>783.83</v>
      </c>
      <c r="L19688">
        <v>82</v>
      </c>
      <c r="M19688" t="s">
        <v>42661</v>
      </c>
      <c r="N19688" t="s">
        <v>30</v>
      </c>
      <c r="O19688" t="s">
        <v>31</v>
      </c>
      <c r="P19688" t="str">
        <f>"15205"</f>
        <v>15205</v>
      </c>
    </row>
    <row r="19689" spans="1:16" x14ac:dyDescent="0.25">
      <c r="A19689" t="str">
        <f>"1280040S00160    00"</f>
        <v>1280040S00160    00</v>
      </c>
      <c r="B19689" t="s">
        <v>42662</v>
      </c>
      <c r="C19689" t="s">
        <v>42663</v>
      </c>
      <c r="E19689" t="s">
        <v>39</v>
      </c>
      <c r="F19689">
        <v>0</v>
      </c>
      <c r="G19689">
        <v>0</v>
      </c>
      <c r="H19689">
        <v>1</v>
      </c>
      <c r="I19689" s="3">
        <v>361.87</v>
      </c>
      <c r="J19689" s="3">
        <v>72.37</v>
      </c>
      <c r="K19689" t="s">
        <v>5172</v>
      </c>
      <c r="L19689">
        <v>439</v>
      </c>
      <c r="M19689" t="s">
        <v>4776</v>
      </c>
      <c r="N19689" t="s">
        <v>5173</v>
      </c>
      <c r="O19689" t="s">
        <v>423</v>
      </c>
      <c r="P19689" t="str">
        <f>"08628"</f>
        <v>08628</v>
      </c>
    </row>
    <row r="19690" spans="1:16" x14ac:dyDescent="0.25">
      <c r="A19690" t="str">
        <f>"1280040S00161    00"</f>
        <v>1280040S00161    00</v>
      </c>
      <c r="B19690" t="s">
        <v>42664</v>
      </c>
      <c r="C19690" t="s">
        <v>42665</v>
      </c>
      <c r="D19690" t="s">
        <v>20</v>
      </c>
      <c r="E19690" t="s">
        <v>39</v>
      </c>
      <c r="F19690">
        <v>0</v>
      </c>
      <c r="G19690">
        <v>0</v>
      </c>
      <c r="H19690">
        <v>17</v>
      </c>
      <c r="I19690" s="3">
        <v>554.44000000000005</v>
      </c>
      <c r="J19690" s="3">
        <v>766.07</v>
      </c>
      <c r="K19690" t="s">
        <v>1008</v>
      </c>
      <c r="P19690" t="str">
        <f>""</f>
        <v/>
      </c>
    </row>
    <row r="19691" spans="1:16" x14ac:dyDescent="0.25">
      <c r="A19691" t="str">
        <f>"1280040S00162    00"</f>
        <v>1280040S00162    00</v>
      </c>
      <c r="B19691" t="s">
        <v>42666</v>
      </c>
      <c r="C19691" t="s">
        <v>42667</v>
      </c>
      <c r="D19691" t="s">
        <v>20</v>
      </c>
      <c r="E19691" t="s">
        <v>39</v>
      </c>
      <c r="F19691">
        <v>0</v>
      </c>
      <c r="G19691">
        <v>0</v>
      </c>
      <c r="H19691">
        <v>2</v>
      </c>
      <c r="I19691" s="3">
        <v>1695.38</v>
      </c>
      <c r="J19691" s="3">
        <v>0</v>
      </c>
      <c r="L19691">
        <v>1331</v>
      </c>
      <c r="M19691" t="s">
        <v>42668</v>
      </c>
      <c r="N19691" t="s">
        <v>30</v>
      </c>
      <c r="O19691" t="s">
        <v>31</v>
      </c>
      <c r="P19691" t="str">
        <f>"15205"</f>
        <v>15205</v>
      </c>
    </row>
    <row r="19692" spans="1:16" x14ac:dyDescent="0.25">
      <c r="A19692" t="str">
        <f>"1280040S00214    00"</f>
        <v>1280040S00214    00</v>
      </c>
      <c r="B19692" t="s">
        <v>42669</v>
      </c>
      <c r="C19692" t="s">
        <v>42670</v>
      </c>
      <c r="D19692" t="s">
        <v>20</v>
      </c>
      <c r="E19692" t="s">
        <v>39</v>
      </c>
      <c r="F19692">
        <v>0</v>
      </c>
      <c r="G19692">
        <v>0</v>
      </c>
      <c r="H19692">
        <v>2</v>
      </c>
      <c r="I19692" s="3">
        <v>1362.79</v>
      </c>
      <c r="J19692" s="3">
        <v>0</v>
      </c>
      <c r="K19692" t="s">
        <v>42671</v>
      </c>
      <c r="L19692">
        <v>179</v>
      </c>
      <c r="M19692" t="s">
        <v>42672</v>
      </c>
      <c r="N19692" t="s">
        <v>3556</v>
      </c>
      <c r="O19692" t="s">
        <v>31</v>
      </c>
      <c r="P19692" t="str">
        <f>"16117"</f>
        <v>16117</v>
      </c>
    </row>
    <row r="19693" spans="1:16" x14ac:dyDescent="0.25">
      <c r="A19693" t="str">
        <f>"1280040S00222    00"</f>
        <v>1280040S00222    00</v>
      </c>
      <c r="B19693" t="s">
        <v>42673</v>
      </c>
      <c r="C19693" t="s">
        <v>42674</v>
      </c>
      <c r="D19693" t="s">
        <v>20</v>
      </c>
      <c r="E19693" t="s">
        <v>39</v>
      </c>
      <c r="F19693">
        <v>0</v>
      </c>
      <c r="G19693">
        <v>0</v>
      </c>
      <c r="H19693">
        <v>1</v>
      </c>
      <c r="I19693" s="3">
        <v>266.45999999999998</v>
      </c>
      <c r="J19693" s="3">
        <v>0</v>
      </c>
      <c r="L19693">
        <v>1228</v>
      </c>
      <c r="M19693" t="s">
        <v>42146</v>
      </c>
      <c r="N19693" t="s">
        <v>30</v>
      </c>
      <c r="O19693" t="s">
        <v>31</v>
      </c>
      <c r="P19693" t="str">
        <f>"15205"</f>
        <v>15205</v>
      </c>
    </row>
    <row r="19694" spans="1:16" x14ac:dyDescent="0.25">
      <c r="A19694" t="str">
        <f>"1280040S00246    00"</f>
        <v>1280040S00246    00</v>
      </c>
      <c r="B19694" t="s">
        <v>42675</v>
      </c>
      <c r="C19694" t="s">
        <v>42676</v>
      </c>
      <c r="D19694" t="s">
        <v>20</v>
      </c>
      <c r="E19694" t="s">
        <v>39</v>
      </c>
      <c r="F19694">
        <v>0</v>
      </c>
      <c r="G19694">
        <v>0</v>
      </c>
      <c r="H19694">
        <v>3</v>
      </c>
      <c r="I19694" s="3">
        <v>2823.46</v>
      </c>
      <c r="J19694" s="3">
        <v>190.14</v>
      </c>
      <c r="L19694">
        <v>1336</v>
      </c>
      <c r="M19694" t="s">
        <v>42146</v>
      </c>
      <c r="N19694" t="s">
        <v>30</v>
      </c>
      <c r="O19694" t="s">
        <v>31</v>
      </c>
      <c r="P19694" t="str">
        <f>"15205"</f>
        <v>15205</v>
      </c>
    </row>
    <row r="19695" spans="1:16" x14ac:dyDescent="0.25">
      <c r="A19695" t="str">
        <f>"1280040S00254    00"</f>
        <v>1280040S00254    00</v>
      </c>
      <c r="B19695" t="s">
        <v>42677</v>
      </c>
      <c r="C19695" t="s">
        <v>42678</v>
      </c>
      <c r="D19695" t="s">
        <v>20</v>
      </c>
      <c r="E19695" t="s">
        <v>39</v>
      </c>
      <c r="F19695">
        <v>0</v>
      </c>
      <c r="G19695">
        <v>0</v>
      </c>
      <c r="H19695">
        <v>8</v>
      </c>
      <c r="I19695" s="3">
        <v>4174.2299999999996</v>
      </c>
      <c r="J19695" s="3">
        <v>1374.24</v>
      </c>
      <c r="L19695">
        <v>1345</v>
      </c>
      <c r="M19695" t="s">
        <v>42146</v>
      </c>
      <c r="N19695" t="s">
        <v>30</v>
      </c>
      <c r="O19695" t="s">
        <v>31</v>
      </c>
      <c r="P19695" t="str">
        <f>"15205"</f>
        <v>15205</v>
      </c>
    </row>
    <row r="19696" spans="1:16" x14ac:dyDescent="0.25">
      <c r="A19696" t="str">
        <f>"1280040S00260    00"</f>
        <v>1280040S00260    00</v>
      </c>
      <c r="B19696" t="s">
        <v>42679</v>
      </c>
      <c r="C19696" t="s">
        <v>42680</v>
      </c>
      <c r="D19696" t="s">
        <v>20</v>
      </c>
      <c r="E19696" t="s">
        <v>39</v>
      </c>
      <c r="F19696">
        <v>0</v>
      </c>
      <c r="G19696">
        <v>0</v>
      </c>
      <c r="H19696">
        <v>1</v>
      </c>
      <c r="I19696" s="3">
        <v>915.35</v>
      </c>
      <c r="J19696" s="3">
        <v>0</v>
      </c>
      <c r="L19696">
        <v>1325</v>
      </c>
      <c r="M19696" t="s">
        <v>42146</v>
      </c>
      <c r="N19696" t="s">
        <v>30</v>
      </c>
      <c r="O19696" t="s">
        <v>31</v>
      </c>
      <c r="P19696" t="str">
        <f>"15205"</f>
        <v>15205</v>
      </c>
    </row>
    <row r="19697" spans="1:16" x14ac:dyDescent="0.25">
      <c r="A19697" t="str">
        <f>"1280041B00301    00"</f>
        <v>1280041B00301    00</v>
      </c>
      <c r="B19697" t="s">
        <v>42681</v>
      </c>
      <c r="C19697" t="s">
        <v>42682</v>
      </c>
      <c r="D19697" t="s">
        <v>20</v>
      </c>
      <c r="E19697" t="s">
        <v>39</v>
      </c>
      <c r="F19697">
        <v>0</v>
      </c>
      <c r="G19697">
        <v>0</v>
      </c>
      <c r="H19697">
        <v>1</v>
      </c>
      <c r="I19697" s="3">
        <v>135.34</v>
      </c>
      <c r="J19697" s="3">
        <v>0</v>
      </c>
      <c r="K19697" t="s">
        <v>42683</v>
      </c>
      <c r="L19697">
        <v>21</v>
      </c>
      <c r="M19697" t="s">
        <v>42684</v>
      </c>
      <c r="N19697" t="s">
        <v>6603</v>
      </c>
      <c r="O19697" t="s">
        <v>31</v>
      </c>
      <c r="P19697" t="str">
        <f>"15122"</f>
        <v>15122</v>
      </c>
    </row>
    <row r="19698" spans="1:16" x14ac:dyDescent="0.25">
      <c r="A19698" t="str">
        <f>"1280041B00324    00"</f>
        <v>1280041B00324    00</v>
      </c>
      <c r="B19698" t="s">
        <v>42685</v>
      </c>
      <c r="C19698" t="s">
        <v>42686</v>
      </c>
      <c r="D19698" t="s">
        <v>57</v>
      </c>
      <c r="E19698" t="s">
        <v>39</v>
      </c>
      <c r="F19698">
        <v>0</v>
      </c>
      <c r="G19698">
        <v>0</v>
      </c>
      <c r="H19698">
        <v>1</v>
      </c>
      <c r="I19698" s="3">
        <v>546.69000000000005</v>
      </c>
      <c r="J19698" s="3">
        <v>0</v>
      </c>
      <c r="L19698">
        <v>1231</v>
      </c>
      <c r="M19698" t="s">
        <v>21221</v>
      </c>
      <c r="N19698" t="s">
        <v>30</v>
      </c>
      <c r="O19698" t="s">
        <v>31</v>
      </c>
      <c r="P19698" t="str">
        <f>"15204"</f>
        <v>15204</v>
      </c>
    </row>
    <row r="19699" spans="1:16" x14ac:dyDescent="0.25">
      <c r="A19699" t="str">
        <f>"1280041B00351    00"</f>
        <v>1280041B00351    00</v>
      </c>
      <c r="B19699" t="s">
        <v>42687</v>
      </c>
      <c r="C19699" t="s">
        <v>42688</v>
      </c>
      <c r="D19699" t="s">
        <v>20</v>
      </c>
      <c r="E19699" t="s">
        <v>39</v>
      </c>
      <c r="F19699">
        <v>0</v>
      </c>
      <c r="G19699">
        <v>0</v>
      </c>
      <c r="H19699">
        <v>1</v>
      </c>
      <c r="I19699" s="3">
        <v>1181.72</v>
      </c>
      <c r="J19699" s="3">
        <v>0</v>
      </c>
      <c r="L19699">
        <v>1256</v>
      </c>
      <c r="M19699" t="s">
        <v>30861</v>
      </c>
      <c r="N19699" t="s">
        <v>30</v>
      </c>
      <c r="O19699" t="s">
        <v>31</v>
      </c>
      <c r="P19699" t="str">
        <f>"15204"</f>
        <v>15204</v>
      </c>
    </row>
    <row r="19700" spans="1:16" x14ac:dyDescent="0.25">
      <c r="A19700" t="str">
        <f>"1280041C00149    00"</f>
        <v>1280041C00149    00</v>
      </c>
      <c r="B19700" t="s">
        <v>42689</v>
      </c>
      <c r="C19700" t="s">
        <v>42682</v>
      </c>
      <c r="D19700" t="s">
        <v>20</v>
      </c>
      <c r="E19700" t="s">
        <v>39</v>
      </c>
      <c r="F19700">
        <v>0</v>
      </c>
      <c r="G19700">
        <v>0</v>
      </c>
      <c r="H19700">
        <v>17</v>
      </c>
      <c r="I19700" s="3">
        <v>4382.03</v>
      </c>
      <c r="J19700" s="3">
        <v>2929.38</v>
      </c>
      <c r="L19700">
        <v>943</v>
      </c>
      <c r="M19700" t="s">
        <v>42690</v>
      </c>
      <c r="N19700" t="s">
        <v>30</v>
      </c>
      <c r="O19700" t="s">
        <v>31</v>
      </c>
      <c r="P19700" t="str">
        <f>"15234"</f>
        <v>15234</v>
      </c>
    </row>
    <row r="19701" spans="1:16" x14ac:dyDescent="0.25">
      <c r="A19701" t="str">
        <f>"1280041C00168    00"</f>
        <v>1280041C00168    00</v>
      </c>
      <c r="B19701" t="s">
        <v>42691</v>
      </c>
      <c r="C19701" t="s">
        <v>42692</v>
      </c>
      <c r="D19701" t="s">
        <v>20</v>
      </c>
      <c r="E19701" t="s">
        <v>39</v>
      </c>
      <c r="F19701">
        <v>0</v>
      </c>
      <c r="G19701">
        <v>0</v>
      </c>
      <c r="H19701">
        <v>6</v>
      </c>
      <c r="I19701" s="3">
        <v>595.52</v>
      </c>
      <c r="J19701" s="3">
        <v>133.57</v>
      </c>
      <c r="L19701">
        <v>1213</v>
      </c>
      <c r="M19701" t="s">
        <v>30861</v>
      </c>
      <c r="N19701" t="s">
        <v>30</v>
      </c>
      <c r="O19701" t="s">
        <v>31</v>
      </c>
      <c r="P19701" t="str">
        <f t="shared" ref="P19701:P19706" si="246">"15204"</f>
        <v>15204</v>
      </c>
    </row>
    <row r="19702" spans="1:16" x14ac:dyDescent="0.25">
      <c r="A19702" t="str">
        <f>"1280041C00169    00"</f>
        <v>1280041C00169    00</v>
      </c>
      <c r="B19702" t="s">
        <v>42691</v>
      </c>
      <c r="C19702" t="s">
        <v>42693</v>
      </c>
      <c r="D19702" t="s">
        <v>20</v>
      </c>
      <c r="E19702" t="s">
        <v>39</v>
      </c>
      <c r="F19702">
        <v>0</v>
      </c>
      <c r="G19702">
        <v>0</v>
      </c>
      <c r="H19702">
        <v>13</v>
      </c>
      <c r="I19702" s="3">
        <v>5403.87</v>
      </c>
      <c r="J19702" s="3">
        <v>2835.83</v>
      </c>
      <c r="L19702">
        <v>1213</v>
      </c>
      <c r="M19702" t="s">
        <v>30861</v>
      </c>
      <c r="N19702" t="s">
        <v>30</v>
      </c>
      <c r="O19702" t="s">
        <v>31</v>
      </c>
      <c r="P19702" t="str">
        <f t="shared" si="246"/>
        <v>15204</v>
      </c>
    </row>
    <row r="19703" spans="1:16" x14ac:dyDescent="0.25">
      <c r="A19703" t="str">
        <f>"1280041C00173    00"</f>
        <v>1280041C00173    00</v>
      </c>
      <c r="B19703" t="s">
        <v>42694</v>
      </c>
      <c r="C19703" t="s">
        <v>42695</v>
      </c>
      <c r="E19703" t="s">
        <v>39</v>
      </c>
      <c r="F19703">
        <v>0</v>
      </c>
      <c r="G19703">
        <v>0</v>
      </c>
      <c r="H19703">
        <v>2</v>
      </c>
      <c r="I19703" s="3">
        <v>1343.92</v>
      </c>
      <c r="J19703" s="3">
        <v>452.42</v>
      </c>
      <c r="L19703">
        <v>1201</v>
      </c>
      <c r="M19703" t="s">
        <v>30861</v>
      </c>
      <c r="N19703" t="s">
        <v>30</v>
      </c>
      <c r="O19703" t="s">
        <v>31</v>
      </c>
      <c r="P19703" t="str">
        <f t="shared" si="246"/>
        <v>15204</v>
      </c>
    </row>
    <row r="19704" spans="1:16" x14ac:dyDescent="0.25">
      <c r="A19704" t="str">
        <f>"1280041C00185    00"</f>
        <v>1280041C00185    00</v>
      </c>
      <c r="B19704" t="s">
        <v>32995</v>
      </c>
      <c r="C19704" t="s">
        <v>42696</v>
      </c>
      <c r="D19704" t="s">
        <v>20</v>
      </c>
      <c r="E19704" t="s">
        <v>39</v>
      </c>
      <c r="F19704">
        <v>0</v>
      </c>
      <c r="G19704">
        <v>0</v>
      </c>
      <c r="H19704">
        <v>2</v>
      </c>
      <c r="I19704" s="3">
        <v>1588.46</v>
      </c>
      <c r="J19704" s="3">
        <v>40.94</v>
      </c>
      <c r="L19704">
        <v>2864</v>
      </c>
      <c r="M19704" t="s">
        <v>42697</v>
      </c>
      <c r="N19704" t="s">
        <v>30</v>
      </c>
      <c r="O19704" t="s">
        <v>31</v>
      </c>
      <c r="P19704" t="str">
        <f t="shared" si="246"/>
        <v>15204</v>
      </c>
    </row>
    <row r="19705" spans="1:16" x14ac:dyDescent="0.25">
      <c r="A19705" t="str">
        <f>"1280041E00155    00"</f>
        <v>1280041E00155    00</v>
      </c>
      <c r="B19705" t="s">
        <v>42698</v>
      </c>
      <c r="C19705" t="s">
        <v>42699</v>
      </c>
      <c r="D19705" t="s">
        <v>20</v>
      </c>
      <c r="E19705" t="s">
        <v>39</v>
      </c>
      <c r="F19705">
        <v>0</v>
      </c>
      <c r="G19705">
        <v>0</v>
      </c>
      <c r="H19705">
        <v>2</v>
      </c>
      <c r="I19705" s="3">
        <v>724.69</v>
      </c>
      <c r="J19705" s="3">
        <v>7.41</v>
      </c>
      <c r="K19705" t="s">
        <v>42700</v>
      </c>
      <c r="L19705">
        <v>2911</v>
      </c>
      <c r="M19705" t="s">
        <v>8510</v>
      </c>
      <c r="N19705" t="s">
        <v>30</v>
      </c>
      <c r="O19705" t="s">
        <v>31</v>
      </c>
      <c r="P19705" t="str">
        <f t="shared" si="246"/>
        <v>15204</v>
      </c>
    </row>
    <row r="19706" spans="1:16" x14ac:dyDescent="0.25">
      <c r="A19706" t="str">
        <f>"1280041E00184    00"</f>
        <v>1280041E00184    00</v>
      </c>
      <c r="B19706" t="s">
        <v>42701</v>
      </c>
      <c r="C19706" t="s">
        <v>33382</v>
      </c>
      <c r="D19706" t="s">
        <v>20</v>
      </c>
      <c r="E19706" t="s">
        <v>39</v>
      </c>
      <c r="F19706">
        <v>0</v>
      </c>
      <c r="G19706">
        <v>0</v>
      </c>
      <c r="H19706">
        <v>13</v>
      </c>
      <c r="I19706" s="3">
        <v>2306.35</v>
      </c>
      <c r="J19706" s="3">
        <v>1381.66</v>
      </c>
      <c r="L19706">
        <v>3039</v>
      </c>
      <c r="M19706" t="s">
        <v>1394</v>
      </c>
      <c r="N19706" t="s">
        <v>30</v>
      </c>
      <c r="O19706" t="s">
        <v>31</v>
      </c>
      <c r="P19706" t="str">
        <f t="shared" si="246"/>
        <v>15204</v>
      </c>
    </row>
    <row r="19707" spans="1:16" x14ac:dyDescent="0.25">
      <c r="A19707" t="str">
        <f>"1280041E00230    00"</f>
        <v>1280041E00230    00</v>
      </c>
      <c r="B19707" t="s">
        <v>42702</v>
      </c>
      <c r="C19707" t="s">
        <v>42703</v>
      </c>
      <c r="D19707" t="s">
        <v>20</v>
      </c>
      <c r="E19707" t="s">
        <v>39</v>
      </c>
      <c r="F19707">
        <v>0</v>
      </c>
      <c r="G19707">
        <v>0</v>
      </c>
      <c r="H19707">
        <v>11</v>
      </c>
      <c r="I19707" s="3">
        <v>1593.5</v>
      </c>
      <c r="J19707" s="3">
        <v>735.99</v>
      </c>
      <c r="L19707">
        <v>2440</v>
      </c>
      <c r="M19707" t="s">
        <v>42704</v>
      </c>
      <c r="N19707" t="s">
        <v>30</v>
      </c>
      <c r="O19707" t="s">
        <v>31</v>
      </c>
      <c r="P19707" t="str">
        <f>"15205"</f>
        <v>15205</v>
      </c>
    </row>
    <row r="19708" spans="1:16" x14ac:dyDescent="0.25">
      <c r="A19708" t="str">
        <f>"1280041E00232    00"</f>
        <v>1280041E00232    00</v>
      </c>
      <c r="B19708" t="s">
        <v>42705</v>
      </c>
      <c r="C19708" t="s">
        <v>42706</v>
      </c>
      <c r="D19708" t="s">
        <v>20</v>
      </c>
      <c r="E19708" t="s">
        <v>39</v>
      </c>
      <c r="F19708">
        <v>0</v>
      </c>
      <c r="G19708">
        <v>0</v>
      </c>
      <c r="H19708">
        <v>6</v>
      </c>
      <c r="I19708" s="3">
        <v>2688.89</v>
      </c>
      <c r="J19708" s="3">
        <v>723.7</v>
      </c>
      <c r="L19708">
        <v>1</v>
      </c>
      <c r="M19708" t="s">
        <v>42707</v>
      </c>
      <c r="N19708" t="s">
        <v>30</v>
      </c>
      <c r="O19708" t="s">
        <v>31</v>
      </c>
      <c r="P19708" t="str">
        <f>"15205"</f>
        <v>15205</v>
      </c>
    </row>
    <row r="19709" spans="1:16" x14ac:dyDescent="0.25">
      <c r="A19709" t="str">
        <f>"1280041E00233    00"</f>
        <v>1280041E00233    00</v>
      </c>
      <c r="B19709" t="s">
        <v>42708</v>
      </c>
      <c r="C19709" t="s">
        <v>42709</v>
      </c>
      <c r="E19709" t="s">
        <v>39</v>
      </c>
      <c r="F19709">
        <v>0</v>
      </c>
      <c r="G19709">
        <v>0</v>
      </c>
      <c r="H19709">
        <v>1</v>
      </c>
      <c r="I19709" s="3">
        <v>548.25</v>
      </c>
      <c r="J19709" s="3">
        <v>0</v>
      </c>
      <c r="K19709" t="s">
        <v>4801</v>
      </c>
      <c r="L19709">
        <v>1</v>
      </c>
      <c r="M19709" t="s">
        <v>4802</v>
      </c>
      <c r="N19709" t="s">
        <v>4803</v>
      </c>
      <c r="O19709" t="s">
        <v>554</v>
      </c>
      <c r="P19709" t="str">
        <f>"26003"</f>
        <v>26003</v>
      </c>
    </row>
    <row r="19710" spans="1:16" x14ac:dyDescent="0.25">
      <c r="A19710" t="str">
        <f>"1280041E00235    00"</f>
        <v>1280041E00235    00</v>
      </c>
      <c r="B19710" t="s">
        <v>19745</v>
      </c>
      <c r="C19710" t="s">
        <v>42710</v>
      </c>
      <c r="D19710" t="s">
        <v>20</v>
      </c>
      <c r="E19710" t="s">
        <v>39</v>
      </c>
      <c r="F19710">
        <v>0</v>
      </c>
      <c r="G19710">
        <v>0</v>
      </c>
      <c r="H19710">
        <v>4</v>
      </c>
      <c r="I19710" s="3">
        <v>4981.68</v>
      </c>
      <c r="J19710" s="3">
        <v>588.47</v>
      </c>
      <c r="L19710">
        <v>58</v>
      </c>
      <c r="M19710" t="s">
        <v>17744</v>
      </c>
      <c r="N19710" t="s">
        <v>30</v>
      </c>
      <c r="O19710" t="s">
        <v>31</v>
      </c>
      <c r="P19710" t="str">
        <f>"15235"</f>
        <v>15235</v>
      </c>
    </row>
    <row r="19711" spans="1:16" x14ac:dyDescent="0.25">
      <c r="A19711" t="str">
        <f>"1280041E002461   00"</f>
        <v>1280041E002461   00</v>
      </c>
      <c r="B19711" t="s">
        <v>42711</v>
      </c>
      <c r="C19711" t="s">
        <v>42712</v>
      </c>
      <c r="D19711" t="s">
        <v>20</v>
      </c>
      <c r="E19711" t="s">
        <v>39</v>
      </c>
      <c r="F19711">
        <v>0</v>
      </c>
      <c r="G19711">
        <v>0</v>
      </c>
      <c r="H19711">
        <v>3</v>
      </c>
      <c r="I19711" s="3">
        <v>1817.09</v>
      </c>
      <c r="J19711" s="3">
        <v>132.97</v>
      </c>
      <c r="L19711">
        <v>12</v>
      </c>
      <c r="M19711" t="s">
        <v>42707</v>
      </c>
      <c r="N19711" t="s">
        <v>30</v>
      </c>
      <c r="O19711" t="s">
        <v>31</v>
      </c>
      <c r="P19711" t="str">
        <f>"15205"</f>
        <v>15205</v>
      </c>
    </row>
    <row r="19712" spans="1:16" x14ac:dyDescent="0.25">
      <c r="A19712" t="str">
        <f>"1280041F00096    00"</f>
        <v>1280041F00096    00</v>
      </c>
      <c r="B19712" t="s">
        <v>42713</v>
      </c>
      <c r="C19712" t="s">
        <v>42714</v>
      </c>
      <c r="D19712" t="s">
        <v>57</v>
      </c>
      <c r="E19712" t="s">
        <v>39</v>
      </c>
      <c r="F19712">
        <v>0</v>
      </c>
      <c r="G19712">
        <v>0</v>
      </c>
      <c r="H19712">
        <v>1</v>
      </c>
      <c r="I19712" s="3">
        <v>979.45</v>
      </c>
      <c r="J19712" s="3">
        <v>220.37</v>
      </c>
      <c r="L19712">
        <v>17716</v>
      </c>
      <c r="M19712" t="s">
        <v>29967</v>
      </c>
      <c r="N19712" t="s">
        <v>29968</v>
      </c>
      <c r="O19712" t="s">
        <v>658</v>
      </c>
      <c r="P19712" t="str">
        <f>"73012"</f>
        <v>73012</v>
      </c>
    </row>
    <row r="19713" spans="1:16" x14ac:dyDescent="0.25">
      <c r="A19713" t="str">
        <f>"1280041F00103    00"</f>
        <v>1280041F00103    00</v>
      </c>
      <c r="B19713" t="s">
        <v>944</v>
      </c>
      <c r="C19713" t="s">
        <v>42715</v>
      </c>
      <c r="E19713" t="s">
        <v>39</v>
      </c>
      <c r="F19713">
        <v>0</v>
      </c>
      <c r="G19713">
        <v>0</v>
      </c>
      <c r="H19713">
        <v>1</v>
      </c>
      <c r="I19713" s="3">
        <v>1483.2</v>
      </c>
      <c r="J19713" s="3">
        <v>2298.87</v>
      </c>
      <c r="L19713">
        <v>200</v>
      </c>
      <c r="M19713" t="s">
        <v>946</v>
      </c>
      <c r="N19713" t="s">
        <v>30</v>
      </c>
      <c r="O19713" t="s">
        <v>31</v>
      </c>
      <c r="P19713" t="str">
        <f>"15219"</f>
        <v>15219</v>
      </c>
    </row>
    <row r="19714" spans="1:16" x14ac:dyDescent="0.25">
      <c r="A19714" t="str">
        <f>"1280041F00157    00"</f>
        <v>1280041F00157    00</v>
      </c>
      <c r="B19714" t="s">
        <v>42716</v>
      </c>
      <c r="C19714" t="s">
        <v>42717</v>
      </c>
      <c r="D19714" t="s">
        <v>20</v>
      </c>
      <c r="E19714" t="s">
        <v>39</v>
      </c>
      <c r="F19714">
        <v>0</v>
      </c>
      <c r="G19714">
        <v>0</v>
      </c>
      <c r="H19714">
        <v>1</v>
      </c>
      <c r="I19714" s="3">
        <v>1197.44</v>
      </c>
      <c r="J19714" s="3">
        <v>0</v>
      </c>
      <c r="L19714">
        <v>1235</v>
      </c>
      <c r="M19714" t="s">
        <v>42718</v>
      </c>
      <c r="N19714" t="s">
        <v>30</v>
      </c>
      <c r="O19714" t="s">
        <v>31</v>
      </c>
      <c r="P19714" t="str">
        <f>"15204"</f>
        <v>15204</v>
      </c>
    </row>
    <row r="19715" spans="1:16" x14ac:dyDescent="0.25">
      <c r="A19715" t="str">
        <f>"1280041F00166    00"</f>
        <v>1280041F00166    00</v>
      </c>
      <c r="B19715" t="s">
        <v>42719</v>
      </c>
      <c r="C19715" t="s">
        <v>42720</v>
      </c>
      <c r="D19715" t="s">
        <v>20</v>
      </c>
      <c r="E19715" t="s">
        <v>39</v>
      </c>
      <c r="F19715">
        <v>0</v>
      </c>
      <c r="G19715">
        <v>0</v>
      </c>
      <c r="H19715">
        <v>2</v>
      </c>
      <c r="I19715" s="3">
        <v>1129.6500000000001</v>
      </c>
      <c r="J19715" s="3">
        <v>0</v>
      </c>
      <c r="K19715" t="s">
        <v>42721</v>
      </c>
      <c r="L19715">
        <v>1254</v>
      </c>
      <c r="M19715" t="s">
        <v>31974</v>
      </c>
      <c r="N19715" t="s">
        <v>30</v>
      </c>
      <c r="O19715" t="s">
        <v>31</v>
      </c>
      <c r="P19715" t="str">
        <f>"15204"</f>
        <v>15204</v>
      </c>
    </row>
    <row r="19716" spans="1:16" x14ac:dyDescent="0.25">
      <c r="A19716" t="str">
        <f>"1280041F00219    00"</f>
        <v>1280041F00219    00</v>
      </c>
      <c r="B19716" t="s">
        <v>42722</v>
      </c>
      <c r="C19716" t="s">
        <v>42723</v>
      </c>
      <c r="D19716" t="s">
        <v>20</v>
      </c>
      <c r="E19716" t="s">
        <v>39</v>
      </c>
      <c r="F19716">
        <v>0</v>
      </c>
      <c r="G19716">
        <v>0</v>
      </c>
      <c r="H19716">
        <v>2</v>
      </c>
      <c r="I19716" s="3">
        <v>1770.66</v>
      </c>
      <c r="J19716" s="3">
        <v>0</v>
      </c>
      <c r="K19716" t="s">
        <v>5141</v>
      </c>
      <c r="L19716">
        <v>1</v>
      </c>
      <c r="M19716" t="s">
        <v>5142</v>
      </c>
      <c r="N19716" t="s">
        <v>5143</v>
      </c>
      <c r="O19716" t="s">
        <v>3486</v>
      </c>
      <c r="P19716" t="str">
        <f>"60047"</f>
        <v>60047</v>
      </c>
    </row>
    <row r="19717" spans="1:16" x14ac:dyDescent="0.25">
      <c r="A19717" t="str">
        <f>"1280041F00287    00"</f>
        <v>1280041F00287    00</v>
      </c>
      <c r="B19717" t="s">
        <v>42724</v>
      </c>
      <c r="C19717" t="s">
        <v>42725</v>
      </c>
      <c r="D19717" t="s">
        <v>20</v>
      </c>
      <c r="E19717" t="s">
        <v>39</v>
      </c>
      <c r="F19717">
        <v>0</v>
      </c>
      <c r="G19717">
        <v>0</v>
      </c>
      <c r="H19717">
        <v>5</v>
      </c>
      <c r="I19717" s="3">
        <v>5484.94</v>
      </c>
      <c r="J19717" s="3">
        <v>696.47</v>
      </c>
      <c r="K19717" t="s">
        <v>42726</v>
      </c>
      <c r="L19717">
        <v>1317</v>
      </c>
      <c r="M19717" t="s">
        <v>42727</v>
      </c>
      <c r="N19717" t="s">
        <v>30</v>
      </c>
      <c r="O19717" t="s">
        <v>31</v>
      </c>
      <c r="P19717" t="str">
        <f>"15204"</f>
        <v>15204</v>
      </c>
    </row>
    <row r="19718" spans="1:16" x14ac:dyDescent="0.25">
      <c r="A19718" t="str">
        <f>"1280041F00289    00"</f>
        <v>1280041F00289    00</v>
      </c>
      <c r="B19718" t="s">
        <v>944</v>
      </c>
      <c r="C19718" t="s">
        <v>42728</v>
      </c>
      <c r="E19718" t="s">
        <v>39</v>
      </c>
      <c r="F19718">
        <v>0</v>
      </c>
      <c r="G19718">
        <v>0</v>
      </c>
      <c r="H19718">
        <v>1</v>
      </c>
      <c r="I19718" s="3">
        <v>1060.49</v>
      </c>
      <c r="J19718" s="3">
        <v>1643.69</v>
      </c>
      <c r="L19718">
        <v>200</v>
      </c>
      <c r="M19718" t="s">
        <v>946</v>
      </c>
      <c r="N19718" t="s">
        <v>30</v>
      </c>
      <c r="O19718" t="s">
        <v>31</v>
      </c>
      <c r="P19718" t="str">
        <f>"15219"</f>
        <v>15219</v>
      </c>
    </row>
    <row r="19719" spans="1:16" x14ac:dyDescent="0.25">
      <c r="A19719" t="str">
        <f>"1280041G00043    00"</f>
        <v>1280041G00043    00</v>
      </c>
      <c r="B19719" t="s">
        <v>42729</v>
      </c>
      <c r="C19719" t="s">
        <v>42730</v>
      </c>
      <c r="D19719" t="s">
        <v>20</v>
      </c>
      <c r="E19719" t="s">
        <v>39</v>
      </c>
      <c r="F19719">
        <v>0</v>
      </c>
      <c r="G19719">
        <v>0</v>
      </c>
      <c r="H19719">
        <v>3</v>
      </c>
      <c r="I19719" s="3">
        <v>537.54</v>
      </c>
      <c r="J19719" s="3">
        <v>35.83</v>
      </c>
      <c r="K19719" t="s">
        <v>1108</v>
      </c>
      <c r="L19719">
        <v>8241</v>
      </c>
      <c r="M19719" t="s">
        <v>1109</v>
      </c>
      <c r="N19719" t="s">
        <v>1110</v>
      </c>
      <c r="O19719" t="s">
        <v>25</v>
      </c>
      <c r="P19719" t="str">
        <f>"44136"</f>
        <v>44136</v>
      </c>
    </row>
    <row r="19720" spans="1:16" x14ac:dyDescent="0.25">
      <c r="A19720" t="str">
        <f>"1280041G00205    00"</f>
        <v>1280041G00205    00</v>
      </c>
      <c r="B19720" t="s">
        <v>42731</v>
      </c>
      <c r="C19720" t="s">
        <v>42732</v>
      </c>
      <c r="D19720" t="s">
        <v>20</v>
      </c>
      <c r="E19720" t="s">
        <v>39</v>
      </c>
      <c r="F19720">
        <v>0</v>
      </c>
      <c r="G19720">
        <v>0</v>
      </c>
      <c r="H19720">
        <v>1</v>
      </c>
      <c r="I19720" s="3">
        <v>296.95</v>
      </c>
      <c r="J19720" s="3">
        <v>0</v>
      </c>
      <c r="L19720">
        <v>2820</v>
      </c>
      <c r="M19720" t="s">
        <v>42697</v>
      </c>
      <c r="N19720" t="s">
        <v>30</v>
      </c>
      <c r="O19720" t="s">
        <v>31</v>
      </c>
      <c r="P19720" t="str">
        <f>"15204"</f>
        <v>15204</v>
      </c>
    </row>
    <row r="19721" spans="1:16" x14ac:dyDescent="0.25">
      <c r="A19721" t="str">
        <f>"1280041G00290    00"</f>
        <v>1280041G00290    00</v>
      </c>
      <c r="B19721" t="s">
        <v>42733</v>
      </c>
      <c r="C19721" t="s">
        <v>42734</v>
      </c>
      <c r="D19721" t="s">
        <v>20</v>
      </c>
      <c r="E19721" t="s">
        <v>39</v>
      </c>
      <c r="F19721">
        <v>0</v>
      </c>
      <c r="G19721">
        <v>0</v>
      </c>
      <c r="H19721">
        <v>4</v>
      </c>
      <c r="I19721" s="3">
        <v>100.75</v>
      </c>
      <c r="J19721" s="3">
        <v>12.34</v>
      </c>
      <c r="L19721">
        <v>390</v>
      </c>
      <c r="M19721" t="s">
        <v>32037</v>
      </c>
      <c r="N19721" t="s">
        <v>30</v>
      </c>
      <c r="O19721" t="s">
        <v>31</v>
      </c>
      <c r="P19721" t="str">
        <f>"15204"</f>
        <v>15204</v>
      </c>
    </row>
    <row r="19722" spans="1:16" x14ac:dyDescent="0.25">
      <c r="A19722" t="str">
        <f>"1280041G00321    00"</f>
        <v>1280041G00321    00</v>
      </c>
      <c r="B19722" t="s">
        <v>42735</v>
      </c>
      <c r="C19722" t="s">
        <v>42736</v>
      </c>
      <c r="E19722" t="s">
        <v>39</v>
      </c>
      <c r="F19722">
        <v>0</v>
      </c>
      <c r="G19722">
        <v>0</v>
      </c>
      <c r="H19722">
        <v>1</v>
      </c>
      <c r="I19722" s="3">
        <v>80.34</v>
      </c>
      <c r="J19722" s="3">
        <v>24.1</v>
      </c>
      <c r="L19722">
        <v>502</v>
      </c>
      <c r="M19722" t="s">
        <v>42737</v>
      </c>
      <c r="N19722" t="s">
        <v>2943</v>
      </c>
      <c r="O19722" t="s">
        <v>31</v>
      </c>
      <c r="P19722" t="str">
        <f>"15025"</f>
        <v>15025</v>
      </c>
    </row>
    <row r="19723" spans="1:16" x14ac:dyDescent="0.25">
      <c r="A19723" t="str">
        <f>"1280041H00043    00"</f>
        <v>1280041H00043    00</v>
      </c>
      <c r="B19723" t="s">
        <v>42738</v>
      </c>
      <c r="C19723" t="s">
        <v>42736</v>
      </c>
      <c r="D19723" t="s">
        <v>33</v>
      </c>
      <c r="E19723" t="s">
        <v>39</v>
      </c>
      <c r="F19723">
        <v>0</v>
      </c>
      <c r="G19723">
        <v>0</v>
      </c>
      <c r="H19723">
        <v>5</v>
      </c>
      <c r="I19723" s="3">
        <v>136.97999999999999</v>
      </c>
      <c r="J19723" s="3">
        <v>5.54</v>
      </c>
      <c r="K19723" t="s">
        <v>42739</v>
      </c>
      <c r="L19723">
        <v>22</v>
      </c>
      <c r="M19723" t="s">
        <v>42740</v>
      </c>
      <c r="N19723" t="s">
        <v>914</v>
      </c>
      <c r="O19723" t="s">
        <v>200</v>
      </c>
      <c r="P19723" t="str">
        <f>"10952"</f>
        <v>10952</v>
      </c>
    </row>
    <row r="19724" spans="1:16" x14ac:dyDescent="0.25">
      <c r="A19724" t="str">
        <f>"1280041H00071    00"</f>
        <v>1280041H00071    00</v>
      </c>
      <c r="B19724" t="s">
        <v>42741</v>
      </c>
      <c r="C19724" t="s">
        <v>42742</v>
      </c>
      <c r="D19724" t="s">
        <v>20</v>
      </c>
      <c r="E19724" t="s">
        <v>39</v>
      </c>
      <c r="F19724">
        <v>0</v>
      </c>
      <c r="G19724">
        <v>0</v>
      </c>
      <c r="H19724">
        <v>7</v>
      </c>
      <c r="I19724" s="3">
        <v>6976.95</v>
      </c>
      <c r="J19724" s="3">
        <v>1590.67</v>
      </c>
      <c r="L19724">
        <v>3001</v>
      </c>
      <c r="M19724" t="s">
        <v>15633</v>
      </c>
      <c r="N19724" t="s">
        <v>30</v>
      </c>
      <c r="O19724" t="s">
        <v>31</v>
      </c>
      <c r="P19724" t="str">
        <f>"15204"</f>
        <v>15204</v>
      </c>
    </row>
    <row r="19725" spans="1:16" x14ac:dyDescent="0.25">
      <c r="A19725" t="str">
        <f>"1280041H00100    00"</f>
        <v>1280041H00100    00</v>
      </c>
      <c r="B19725" t="s">
        <v>42743</v>
      </c>
      <c r="C19725" t="s">
        <v>42744</v>
      </c>
      <c r="D19725" t="s">
        <v>20</v>
      </c>
      <c r="E19725" t="s">
        <v>39</v>
      </c>
      <c r="F19725">
        <v>0</v>
      </c>
      <c r="G19725">
        <v>0</v>
      </c>
      <c r="H19725">
        <v>5</v>
      </c>
      <c r="I19725" s="3">
        <v>574.69000000000005</v>
      </c>
      <c r="J19725" s="3">
        <v>99.29</v>
      </c>
      <c r="K19725" t="s">
        <v>42745</v>
      </c>
      <c r="L19725">
        <v>925</v>
      </c>
      <c r="M19725" t="s">
        <v>42746</v>
      </c>
      <c r="N19725" t="s">
        <v>903</v>
      </c>
      <c r="O19725" t="s">
        <v>31</v>
      </c>
      <c r="P19725" t="str">
        <f>"15136"</f>
        <v>15136</v>
      </c>
    </row>
    <row r="19726" spans="1:16" x14ac:dyDescent="0.25">
      <c r="A19726" t="str">
        <f>"1280041H00101    00"</f>
        <v>1280041H00101    00</v>
      </c>
      <c r="B19726" t="s">
        <v>42743</v>
      </c>
      <c r="C19726" t="s">
        <v>42744</v>
      </c>
      <c r="D19726" t="s">
        <v>20</v>
      </c>
      <c r="E19726" t="s">
        <v>39</v>
      </c>
      <c r="F19726">
        <v>0</v>
      </c>
      <c r="G19726">
        <v>0</v>
      </c>
      <c r="H19726">
        <v>5</v>
      </c>
      <c r="I19726" s="3">
        <v>772.43</v>
      </c>
      <c r="J19726" s="3">
        <v>133.44</v>
      </c>
      <c r="K19726" t="s">
        <v>42747</v>
      </c>
      <c r="L19726">
        <v>925</v>
      </c>
      <c r="M19726" t="s">
        <v>24333</v>
      </c>
      <c r="N19726" t="s">
        <v>903</v>
      </c>
      <c r="O19726" t="s">
        <v>31</v>
      </c>
      <c r="P19726" t="str">
        <f>"15136"</f>
        <v>15136</v>
      </c>
    </row>
    <row r="19727" spans="1:16" x14ac:dyDescent="0.25">
      <c r="A19727" t="str">
        <f>"1280041H00146    00"</f>
        <v>1280041H00146    00</v>
      </c>
      <c r="B19727" t="s">
        <v>42748</v>
      </c>
      <c r="C19727" t="s">
        <v>42749</v>
      </c>
      <c r="D19727" t="s">
        <v>20</v>
      </c>
      <c r="E19727" t="s">
        <v>39</v>
      </c>
      <c r="F19727">
        <v>0</v>
      </c>
      <c r="G19727">
        <v>0</v>
      </c>
      <c r="H19727">
        <v>2</v>
      </c>
      <c r="I19727" s="3">
        <v>1730.68</v>
      </c>
      <c r="J19727" s="3">
        <v>0</v>
      </c>
      <c r="K19727" t="s">
        <v>42750</v>
      </c>
      <c r="L19727">
        <v>842</v>
      </c>
      <c r="M19727" t="s">
        <v>42267</v>
      </c>
      <c r="N19727" t="s">
        <v>30</v>
      </c>
      <c r="O19727" t="s">
        <v>31</v>
      </c>
      <c r="P19727" t="str">
        <f>"15204"</f>
        <v>15204</v>
      </c>
    </row>
    <row r="19728" spans="1:16" x14ac:dyDescent="0.25">
      <c r="A19728" t="str">
        <f>"1280041H00149    00"</f>
        <v>1280041H00149    00</v>
      </c>
      <c r="B19728" t="s">
        <v>42748</v>
      </c>
      <c r="C19728" t="s">
        <v>42751</v>
      </c>
      <c r="D19728" t="s">
        <v>20</v>
      </c>
      <c r="E19728" t="s">
        <v>39</v>
      </c>
      <c r="F19728">
        <v>0</v>
      </c>
      <c r="G19728">
        <v>0</v>
      </c>
      <c r="H19728">
        <v>2</v>
      </c>
      <c r="I19728" s="3">
        <v>617.54</v>
      </c>
      <c r="J19728" s="3">
        <v>0</v>
      </c>
      <c r="L19728">
        <v>842</v>
      </c>
      <c r="M19728" t="s">
        <v>42267</v>
      </c>
      <c r="N19728" t="s">
        <v>30</v>
      </c>
      <c r="O19728" t="s">
        <v>31</v>
      </c>
      <c r="P19728" t="str">
        <f>"15204"</f>
        <v>15204</v>
      </c>
    </row>
    <row r="19729" spans="1:16" x14ac:dyDescent="0.25">
      <c r="A19729" t="str">
        <f>"1280041K00087    00"</f>
        <v>1280041K00087    00</v>
      </c>
      <c r="B19729" t="s">
        <v>42752</v>
      </c>
      <c r="C19729" t="s">
        <v>42753</v>
      </c>
      <c r="D19729" t="s">
        <v>7100</v>
      </c>
      <c r="E19729" t="s">
        <v>39</v>
      </c>
      <c r="F19729">
        <v>0</v>
      </c>
      <c r="G19729">
        <v>0</v>
      </c>
      <c r="H19729">
        <v>1</v>
      </c>
      <c r="I19729" s="3">
        <v>863.43</v>
      </c>
      <c r="J19729" s="3">
        <v>0</v>
      </c>
      <c r="K19729" t="s">
        <v>4989</v>
      </c>
      <c r="L19729">
        <v>3001</v>
      </c>
      <c r="M19729" t="s">
        <v>330</v>
      </c>
      <c r="N19729" t="s">
        <v>331</v>
      </c>
      <c r="O19729" t="s">
        <v>108</v>
      </c>
      <c r="P19729" t="str">
        <f>"75063"</f>
        <v>75063</v>
      </c>
    </row>
    <row r="19730" spans="1:16" x14ac:dyDescent="0.25">
      <c r="A19730" t="str">
        <f>"1280041K00095    00"</f>
        <v>1280041K00095    00</v>
      </c>
      <c r="B19730" t="s">
        <v>42754</v>
      </c>
      <c r="C19730" t="s">
        <v>42744</v>
      </c>
      <c r="D19730" t="s">
        <v>20</v>
      </c>
      <c r="E19730" t="s">
        <v>39</v>
      </c>
      <c r="F19730">
        <v>0</v>
      </c>
      <c r="G19730">
        <v>0</v>
      </c>
      <c r="H19730">
        <v>19</v>
      </c>
      <c r="I19730" s="3">
        <v>4002.39</v>
      </c>
      <c r="J19730" s="3">
        <v>2430.65</v>
      </c>
      <c r="K19730" t="s">
        <v>1008</v>
      </c>
      <c r="P19730" t="str">
        <f>""</f>
        <v/>
      </c>
    </row>
    <row r="19731" spans="1:16" x14ac:dyDescent="0.25">
      <c r="A19731" t="str">
        <f>"1280041K00162    00"</f>
        <v>1280041K00162    00</v>
      </c>
      <c r="B19731" t="s">
        <v>42755</v>
      </c>
      <c r="C19731" t="s">
        <v>42756</v>
      </c>
      <c r="D19731" t="s">
        <v>20</v>
      </c>
      <c r="E19731" t="s">
        <v>39</v>
      </c>
      <c r="F19731">
        <v>0</v>
      </c>
      <c r="G19731">
        <v>0</v>
      </c>
      <c r="H19731">
        <v>1</v>
      </c>
      <c r="I19731" s="3">
        <v>666.82</v>
      </c>
      <c r="J19731" s="3">
        <v>0</v>
      </c>
      <c r="L19731">
        <v>1700</v>
      </c>
      <c r="M19731" t="s">
        <v>42757</v>
      </c>
      <c r="N19731" t="s">
        <v>30</v>
      </c>
      <c r="O19731" t="s">
        <v>31</v>
      </c>
      <c r="P19731" t="str">
        <f>"15204"</f>
        <v>15204</v>
      </c>
    </row>
    <row r="19732" spans="1:16" x14ac:dyDescent="0.25">
      <c r="A19732" t="str">
        <f>"1280041K00168    00"</f>
        <v>1280041K00168    00</v>
      </c>
      <c r="B19732" t="s">
        <v>42758</v>
      </c>
      <c r="C19732" t="s">
        <v>42759</v>
      </c>
      <c r="D19732" t="s">
        <v>20</v>
      </c>
      <c r="E19732" t="s">
        <v>39</v>
      </c>
      <c r="F19732">
        <v>0</v>
      </c>
      <c r="G19732">
        <v>0</v>
      </c>
      <c r="H19732">
        <v>4</v>
      </c>
      <c r="I19732" s="3">
        <v>6262.64</v>
      </c>
      <c r="J19732" s="3">
        <v>783.91</v>
      </c>
      <c r="L19732">
        <v>1724</v>
      </c>
      <c r="M19732" t="s">
        <v>42757</v>
      </c>
      <c r="N19732" t="s">
        <v>30</v>
      </c>
      <c r="O19732" t="s">
        <v>31</v>
      </c>
      <c r="P19732" t="str">
        <f>"15204"</f>
        <v>15204</v>
      </c>
    </row>
    <row r="19733" spans="1:16" x14ac:dyDescent="0.25">
      <c r="A19733" t="str">
        <f>"1280041K00183    00"</f>
        <v>1280041K00183    00</v>
      </c>
      <c r="B19733" t="s">
        <v>42760</v>
      </c>
      <c r="C19733" t="s">
        <v>42761</v>
      </c>
      <c r="D19733" t="s">
        <v>20</v>
      </c>
      <c r="E19733" t="s">
        <v>39</v>
      </c>
      <c r="F19733">
        <v>0</v>
      </c>
      <c r="G19733">
        <v>0</v>
      </c>
      <c r="H19733">
        <v>2</v>
      </c>
      <c r="I19733" s="3">
        <v>2123.69</v>
      </c>
      <c r="J19733" s="3">
        <v>0</v>
      </c>
      <c r="L19733">
        <v>1725</v>
      </c>
      <c r="M19733" t="s">
        <v>42757</v>
      </c>
      <c r="N19733" t="s">
        <v>30</v>
      </c>
      <c r="O19733" t="s">
        <v>31</v>
      </c>
      <c r="P19733" t="str">
        <f>"15204"</f>
        <v>15204</v>
      </c>
    </row>
    <row r="19734" spans="1:16" x14ac:dyDescent="0.25">
      <c r="A19734" t="str">
        <f>"1280041K00255    00"</f>
        <v>1280041K00255    00</v>
      </c>
      <c r="B19734" t="s">
        <v>42762</v>
      </c>
      <c r="C19734" t="s">
        <v>33382</v>
      </c>
      <c r="D19734" t="s">
        <v>20</v>
      </c>
      <c r="E19734" t="s">
        <v>39</v>
      </c>
      <c r="F19734">
        <v>0</v>
      </c>
      <c r="G19734">
        <v>0</v>
      </c>
      <c r="H19734">
        <v>2</v>
      </c>
      <c r="I19734" s="3">
        <v>80.83</v>
      </c>
      <c r="J19734" s="3">
        <v>0</v>
      </c>
      <c r="K19734" t="s">
        <v>42763</v>
      </c>
      <c r="L19734">
        <v>2830</v>
      </c>
      <c r="M19734" t="s">
        <v>1394</v>
      </c>
      <c r="N19734" t="s">
        <v>30</v>
      </c>
      <c r="O19734" t="s">
        <v>31</v>
      </c>
      <c r="P19734" t="str">
        <f>"15204"</f>
        <v>15204</v>
      </c>
    </row>
    <row r="19735" spans="1:16" x14ac:dyDescent="0.25">
      <c r="A19735" t="str">
        <f>"1280041K00258    00"</f>
        <v>1280041K00258    00</v>
      </c>
      <c r="B19735" t="s">
        <v>42764</v>
      </c>
      <c r="C19735" t="s">
        <v>42765</v>
      </c>
      <c r="D19735" t="s">
        <v>20</v>
      </c>
      <c r="E19735" t="s">
        <v>39</v>
      </c>
      <c r="F19735">
        <v>0</v>
      </c>
      <c r="G19735">
        <v>0</v>
      </c>
      <c r="H19735">
        <v>7</v>
      </c>
      <c r="I19735" s="3">
        <v>5224.09</v>
      </c>
      <c r="J19735" s="3">
        <v>1350.35</v>
      </c>
      <c r="L19735">
        <v>2834</v>
      </c>
      <c r="M19735" t="s">
        <v>1394</v>
      </c>
      <c r="N19735" t="s">
        <v>30</v>
      </c>
      <c r="O19735" t="s">
        <v>31</v>
      </c>
      <c r="P19735" t="str">
        <f>"15204"</f>
        <v>15204</v>
      </c>
    </row>
    <row r="19736" spans="1:16" x14ac:dyDescent="0.25">
      <c r="A19736" t="str">
        <f>"1280041R00031    00"</f>
        <v>1280041R00031    00</v>
      </c>
      <c r="B19736" t="s">
        <v>42766</v>
      </c>
      <c r="C19736" t="s">
        <v>42767</v>
      </c>
      <c r="D19736" t="s">
        <v>20</v>
      </c>
      <c r="E19736" t="s">
        <v>39</v>
      </c>
      <c r="F19736">
        <v>0</v>
      </c>
      <c r="G19736">
        <v>0</v>
      </c>
      <c r="H19736">
        <v>1</v>
      </c>
      <c r="I19736" s="3">
        <v>1362.8</v>
      </c>
      <c r="J19736" s="3">
        <v>0</v>
      </c>
      <c r="K19736" t="s">
        <v>42768</v>
      </c>
      <c r="L19736">
        <v>701</v>
      </c>
      <c r="M19736" t="s">
        <v>9622</v>
      </c>
      <c r="N19736" t="s">
        <v>9623</v>
      </c>
      <c r="O19736" t="s">
        <v>9624</v>
      </c>
      <c r="P19736" t="str">
        <f>"83814"</f>
        <v>83814</v>
      </c>
    </row>
    <row r="19737" spans="1:16" x14ac:dyDescent="0.25">
      <c r="A19737" t="str">
        <f>"1280041R00075    00"</f>
        <v>1280041R00075    00</v>
      </c>
      <c r="B19737" t="s">
        <v>42769</v>
      </c>
      <c r="C19737" t="s">
        <v>42770</v>
      </c>
      <c r="D19737" t="s">
        <v>20</v>
      </c>
      <c r="E19737" t="s">
        <v>39</v>
      </c>
      <c r="F19737">
        <v>0</v>
      </c>
      <c r="G19737">
        <v>0</v>
      </c>
      <c r="H19737">
        <v>11</v>
      </c>
      <c r="I19737" s="3">
        <v>11962.05</v>
      </c>
      <c r="J19737" s="3">
        <v>5624.34</v>
      </c>
      <c r="K19737" t="s">
        <v>42771</v>
      </c>
      <c r="L19737">
        <v>1655</v>
      </c>
      <c r="M19737" t="s">
        <v>24940</v>
      </c>
      <c r="N19737" t="s">
        <v>30</v>
      </c>
      <c r="O19737" t="s">
        <v>31</v>
      </c>
      <c r="P19737" t="str">
        <f>"15205"</f>
        <v>15205</v>
      </c>
    </row>
    <row r="19738" spans="1:16" x14ac:dyDescent="0.25">
      <c r="A19738" t="str">
        <f>"1280041R00234    00"</f>
        <v>1280041R00234    00</v>
      </c>
      <c r="B19738" t="s">
        <v>42772</v>
      </c>
      <c r="C19738" t="s">
        <v>42773</v>
      </c>
      <c r="D19738" t="s">
        <v>20</v>
      </c>
      <c r="E19738" t="s">
        <v>39</v>
      </c>
      <c r="F19738">
        <v>0</v>
      </c>
      <c r="G19738">
        <v>0</v>
      </c>
      <c r="H19738">
        <v>1</v>
      </c>
      <c r="I19738" s="3">
        <v>1124.54</v>
      </c>
      <c r="J19738" s="3">
        <v>0</v>
      </c>
      <c r="L19738">
        <v>15</v>
      </c>
      <c r="M19738" t="s">
        <v>36068</v>
      </c>
      <c r="N19738" t="s">
        <v>30</v>
      </c>
      <c r="O19738" t="s">
        <v>31</v>
      </c>
      <c r="P19738" t="str">
        <f>"15205"</f>
        <v>15205</v>
      </c>
    </row>
    <row r="19739" spans="1:16" x14ac:dyDescent="0.25">
      <c r="A19739" t="str">
        <f>"1280041S00139    00"</f>
        <v>1280041S00139    00</v>
      </c>
      <c r="B19739" t="s">
        <v>944</v>
      </c>
      <c r="C19739" t="s">
        <v>42774</v>
      </c>
      <c r="E19739" t="s">
        <v>39</v>
      </c>
      <c r="F19739">
        <v>0</v>
      </c>
      <c r="G19739">
        <v>0</v>
      </c>
      <c r="H19739">
        <v>6</v>
      </c>
      <c r="I19739" s="3">
        <v>239.32</v>
      </c>
      <c r="J19739" s="3">
        <v>276.64999999999998</v>
      </c>
      <c r="L19739">
        <v>200</v>
      </c>
      <c r="M19739" t="s">
        <v>946</v>
      </c>
      <c r="N19739" t="s">
        <v>30</v>
      </c>
      <c r="O19739" t="s">
        <v>31</v>
      </c>
      <c r="P19739" t="str">
        <f>"15219"</f>
        <v>15219</v>
      </c>
    </row>
    <row r="19740" spans="1:16" x14ac:dyDescent="0.25">
      <c r="A19740" t="str">
        <f>"1280041S00353    00"</f>
        <v>1280041S00353    00</v>
      </c>
      <c r="B19740" t="s">
        <v>42775</v>
      </c>
      <c r="C19740" t="s">
        <v>42776</v>
      </c>
      <c r="D19740" t="s">
        <v>20</v>
      </c>
      <c r="E19740" t="s">
        <v>39</v>
      </c>
      <c r="F19740">
        <v>0</v>
      </c>
      <c r="G19740">
        <v>0</v>
      </c>
      <c r="H19740">
        <v>2</v>
      </c>
      <c r="I19740" s="3">
        <v>451.49</v>
      </c>
      <c r="J19740" s="3">
        <v>0</v>
      </c>
      <c r="K19740" t="s">
        <v>881</v>
      </c>
      <c r="L19740">
        <v>3001</v>
      </c>
      <c r="M19740" t="s">
        <v>330</v>
      </c>
      <c r="N19740" t="s">
        <v>331</v>
      </c>
      <c r="O19740" t="s">
        <v>108</v>
      </c>
      <c r="P19740" t="str">
        <f>"75063"</f>
        <v>75063</v>
      </c>
    </row>
    <row r="19741" spans="1:16" x14ac:dyDescent="0.25">
      <c r="A19741" t="str">
        <f>"1280066C00014    00"</f>
        <v>1280066C00014    00</v>
      </c>
      <c r="B19741" t="s">
        <v>42777</v>
      </c>
      <c r="C19741" t="s">
        <v>42778</v>
      </c>
      <c r="D19741" t="s">
        <v>20</v>
      </c>
      <c r="E19741" t="s">
        <v>39</v>
      </c>
      <c r="F19741">
        <v>0</v>
      </c>
      <c r="G19741">
        <v>0</v>
      </c>
      <c r="H19741">
        <v>16</v>
      </c>
      <c r="I19741" s="3">
        <v>13137.52</v>
      </c>
      <c r="J19741" s="3">
        <v>10432.879999999999</v>
      </c>
      <c r="L19741">
        <v>11316</v>
      </c>
      <c r="M19741" t="s">
        <v>42779</v>
      </c>
      <c r="N19741" t="s">
        <v>2096</v>
      </c>
      <c r="O19741" t="s">
        <v>2097</v>
      </c>
      <c r="P19741" t="str">
        <f>"37932"</f>
        <v>37932</v>
      </c>
    </row>
    <row r="19742" spans="1:16" x14ac:dyDescent="0.25">
      <c r="A19742" t="str">
        <f>"1280067D00090    00"</f>
        <v>1280067D00090    00</v>
      </c>
      <c r="B19742" t="s">
        <v>42780</v>
      </c>
      <c r="C19742" t="s">
        <v>42781</v>
      </c>
      <c r="D19742" t="s">
        <v>20</v>
      </c>
      <c r="E19742" t="s">
        <v>39</v>
      </c>
      <c r="F19742">
        <v>0</v>
      </c>
      <c r="G19742">
        <v>0</v>
      </c>
      <c r="H19742">
        <v>1</v>
      </c>
      <c r="I19742" s="3">
        <v>545.14</v>
      </c>
      <c r="J19742" s="3">
        <v>0</v>
      </c>
      <c r="L19742">
        <v>1</v>
      </c>
      <c r="M19742" t="s">
        <v>42782</v>
      </c>
      <c r="N19742" t="s">
        <v>30</v>
      </c>
      <c r="O19742" t="s">
        <v>31</v>
      </c>
      <c r="P19742" t="str">
        <f>"15205"</f>
        <v>15205</v>
      </c>
    </row>
    <row r="19743" spans="1:16" x14ac:dyDescent="0.25">
      <c r="A19743" t="str">
        <f>"1280067K00012    00"</f>
        <v>1280067K00012    00</v>
      </c>
      <c r="B19743" t="s">
        <v>42783</v>
      </c>
      <c r="C19743" t="s">
        <v>42784</v>
      </c>
      <c r="E19743" t="s">
        <v>290</v>
      </c>
      <c r="F19743">
        <v>0</v>
      </c>
      <c r="G19743">
        <v>0</v>
      </c>
      <c r="H19743">
        <v>1</v>
      </c>
      <c r="I19743" s="3">
        <v>41.73</v>
      </c>
      <c r="J19743" s="3">
        <v>0</v>
      </c>
      <c r="K19743" t="s">
        <v>42785</v>
      </c>
      <c r="L19743">
        <v>112</v>
      </c>
      <c r="M19743" t="s">
        <v>42786</v>
      </c>
      <c r="N19743" t="s">
        <v>1928</v>
      </c>
      <c r="O19743" t="s">
        <v>31</v>
      </c>
      <c r="P19743" t="str">
        <f>"15317"</f>
        <v>15317</v>
      </c>
    </row>
    <row r="19744" spans="1:16" x14ac:dyDescent="0.25">
      <c r="A19744" t="str">
        <f>"1280067K00067    00"</f>
        <v>1280067K00067    00</v>
      </c>
      <c r="B19744" t="s">
        <v>42787</v>
      </c>
      <c r="C19744" t="s">
        <v>42788</v>
      </c>
      <c r="D19744" t="s">
        <v>20</v>
      </c>
      <c r="E19744" t="s">
        <v>39</v>
      </c>
      <c r="F19744">
        <v>0</v>
      </c>
      <c r="G19744">
        <v>0</v>
      </c>
      <c r="H19744">
        <v>2</v>
      </c>
      <c r="I19744" s="3">
        <v>994.54</v>
      </c>
      <c r="J19744" s="3">
        <v>0</v>
      </c>
      <c r="L19744">
        <v>1813</v>
      </c>
      <c r="M19744" t="s">
        <v>42789</v>
      </c>
      <c r="N19744" t="s">
        <v>149</v>
      </c>
      <c r="O19744" t="s">
        <v>31</v>
      </c>
      <c r="P19744" t="str">
        <f t="shared" ref="P19744:P19750" si="247">"15106"</f>
        <v>15106</v>
      </c>
    </row>
    <row r="19745" spans="1:16" x14ac:dyDescent="0.25">
      <c r="A19745" t="str">
        <f>"1280067K00176    00"</f>
        <v>1280067K00176    00</v>
      </c>
      <c r="B19745" t="s">
        <v>42790</v>
      </c>
      <c r="C19745" t="s">
        <v>42791</v>
      </c>
      <c r="D19745" t="s">
        <v>20</v>
      </c>
      <c r="E19745" t="s">
        <v>39</v>
      </c>
      <c r="F19745">
        <v>0</v>
      </c>
      <c r="G19745">
        <v>0</v>
      </c>
      <c r="H19745">
        <v>4</v>
      </c>
      <c r="I19745" s="3">
        <v>2555.23</v>
      </c>
      <c r="J19745" s="3">
        <v>235.62</v>
      </c>
      <c r="L19745">
        <v>820</v>
      </c>
      <c r="M19745" t="s">
        <v>42792</v>
      </c>
      <c r="N19745" t="s">
        <v>149</v>
      </c>
      <c r="O19745" t="s">
        <v>31</v>
      </c>
      <c r="P19745" t="str">
        <f t="shared" si="247"/>
        <v>15106</v>
      </c>
    </row>
    <row r="19746" spans="1:16" x14ac:dyDescent="0.25">
      <c r="A19746" t="str">
        <f>"1280067L00056    00"</f>
        <v>1280067L00056    00</v>
      </c>
      <c r="B19746" t="s">
        <v>42793</v>
      </c>
      <c r="C19746" t="s">
        <v>42794</v>
      </c>
      <c r="D19746" t="s">
        <v>20</v>
      </c>
      <c r="E19746" t="s">
        <v>39</v>
      </c>
      <c r="F19746">
        <v>0</v>
      </c>
      <c r="G19746">
        <v>0</v>
      </c>
      <c r="H19746">
        <v>5</v>
      </c>
      <c r="I19746" s="3">
        <v>144.52000000000001</v>
      </c>
      <c r="J19746" s="3">
        <v>21.47</v>
      </c>
      <c r="L19746">
        <v>1111</v>
      </c>
      <c r="M19746" t="s">
        <v>35258</v>
      </c>
      <c r="N19746" t="s">
        <v>149</v>
      </c>
      <c r="O19746" t="s">
        <v>31</v>
      </c>
      <c r="P19746" t="str">
        <f t="shared" si="247"/>
        <v>15106</v>
      </c>
    </row>
    <row r="19747" spans="1:16" x14ac:dyDescent="0.25">
      <c r="A19747" t="str">
        <f>"1280067L00084    00"</f>
        <v>1280067L00084    00</v>
      </c>
      <c r="B19747" t="s">
        <v>42795</v>
      </c>
      <c r="C19747" t="s">
        <v>42796</v>
      </c>
      <c r="D19747" t="s">
        <v>20</v>
      </c>
      <c r="E19747" t="s">
        <v>39</v>
      </c>
      <c r="F19747">
        <v>0</v>
      </c>
      <c r="G19747">
        <v>0</v>
      </c>
      <c r="H19747">
        <v>3</v>
      </c>
      <c r="I19747" s="3">
        <v>1675.41</v>
      </c>
      <c r="J19747" s="3">
        <v>111.69</v>
      </c>
      <c r="K19747" t="s">
        <v>42797</v>
      </c>
      <c r="L19747">
        <v>1012</v>
      </c>
      <c r="M19747" t="s">
        <v>21533</v>
      </c>
      <c r="N19747" t="s">
        <v>149</v>
      </c>
      <c r="O19747" t="s">
        <v>31</v>
      </c>
      <c r="P19747" t="str">
        <f t="shared" si="247"/>
        <v>15106</v>
      </c>
    </row>
    <row r="19748" spans="1:16" x14ac:dyDescent="0.25">
      <c r="A19748" t="str">
        <f>"1280067L00135    00"</f>
        <v>1280067L00135    00</v>
      </c>
      <c r="B19748" t="s">
        <v>42798</v>
      </c>
      <c r="C19748" t="s">
        <v>42799</v>
      </c>
      <c r="D19748" t="s">
        <v>20</v>
      </c>
      <c r="E19748" t="s">
        <v>39</v>
      </c>
      <c r="F19748">
        <v>0</v>
      </c>
      <c r="G19748">
        <v>0</v>
      </c>
      <c r="H19748">
        <v>7</v>
      </c>
      <c r="I19748" s="3">
        <v>5258.29</v>
      </c>
      <c r="J19748" s="3">
        <v>1220.95</v>
      </c>
      <c r="K19748" t="s">
        <v>42800</v>
      </c>
      <c r="L19748">
        <v>223</v>
      </c>
      <c r="M19748" t="s">
        <v>42789</v>
      </c>
      <c r="N19748" t="s">
        <v>149</v>
      </c>
      <c r="O19748" t="s">
        <v>31</v>
      </c>
      <c r="P19748" t="str">
        <f t="shared" si="247"/>
        <v>15106</v>
      </c>
    </row>
    <row r="19749" spans="1:16" x14ac:dyDescent="0.25">
      <c r="A19749" t="str">
        <f>"1280067L00151    00"</f>
        <v>1280067L00151    00</v>
      </c>
      <c r="B19749" t="s">
        <v>42801</v>
      </c>
      <c r="C19749" t="s">
        <v>42802</v>
      </c>
      <c r="D19749" t="s">
        <v>20</v>
      </c>
      <c r="E19749" t="s">
        <v>39</v>
      </c>
      <c r="F19749">
        <v>0</v>
      </c>
      <c r="G19749">
        <v>0</v>
      </c>
      <c r="H19749">
        <v>2</v>
      </c>
      <c r="I19749" s="3">
        <v>2329.94</v>
      </c>
      <c r="J19749" s="3">
        <v>0</v>
      </c>
      <c r="L19749">
        <v>717</v>
      </c>
      <c r="M19749" t="s">
        <v>42803</v>
      </c>
      <c r="N19749" t="s">
        <v>149</v>
      </c>
      <c r="O19749" t="s">
        <v>31</v>
      </c>
      <c r="P19749" t="str">
        <f t="shared" si="247"/>
        <v>15106</v>
      </c>
    </row>
    <row r="19750" spans="1:16" x14ac:dyDescent="0.25">
      <c r="A19750" t="str">
        <f>"1280067P00078    00"</f>
        <v>1280067P00078    00</v>
      </c>
      <c r="B19750" t="s">
        <v>42804</v>
      </c>
      <c r="C19750" t="s">
        <v>42805</v>
      </c>
      <c r="D19750" t="s">
        <v>20</v>
      </c>
      <c r="E19750" t="s">
        <v>39</v>
      </c>
      <c r="F19750">
        <v>0</v>
      </c>
      <c r="G19750">
        <v>0</v>
      </c>
      <c r="H19750">
        <v>9</v>
      </c>
      <c r="I19750" s="3">
        <v>1816.89</v>
      </c>
      <c r="J19750" s="3">
        <v>622.49</v>
      </c>
      <c r="L19750">
        <v>805</v>
      </c>
      <c r="M19750" t="s">
        <v>42806</v>
      </c>
      <c r="N19750" t="s">
        <v>42807</v>
      </c>
      <c r="O19750" t="s">
        <v>31</v>
      </c>
      <c r="P19750" t="str">
        <f t="shared" si="247"/>
        <v>15106</v>
      </c>
    </row>
    <row r="19751" spans="1:16" x14ac:dyDescent="0.25">
      <c r="A19751" t="str">
        <f>"1280067P00089    00"</f>
        <v>1280067P00089    00</v>
      </c>
      <c r="B19751" t="s">
        <v>42808</v>
      </c>
      <c r="C19751" t="s">
        <v>42809</v>
      </c>
      <c r="D19751" t="s">
        <v>20</v>
      </c>
      <c r="E19751" t="s">
        <v>39</v>
      </c>
      <c r="F19751">
        <v>0</v>
      </c>
      <c r="G19751">
        <v>0</v>
      </c>
      <c r="H19751">
        <v>2</v>
      </c>
      <c r="I19751" s="3">
        <v>144.86000000000001</v>
      </c>
      <c r="J19751" s="3">
        <v>0</v>
      </c>
      <c r="K19751" t="s">
        <v>42810</v>
      </c>
      <c r="L19751">
        <v>202</v>
      </c>
      <c r="M19751" t="s">
        <v>42811</v>
      </c>
      <c r="N19751" t="s">
        <v>541</v>
      </c>
      <c r="O19751" t="s">
        <v>31</v>
      </c>
      <c r="P19751" t="str">
        <f>"15071"</f>
        <v>15071</v>
      </c>
    </row>
    <row r="19752" spans="1:16" x14ac:dyDescent="0.25">
      <c r="A19752" t="str">
        <f>"1280067P00095    00"</f>
        <v>1280067P00095    00</v>
      </c>
      <c r="B19752" t="s">
        <v>42812</v>
      </c>
      <c r="C19752" t="s">
        <v>42813</v>
      </c>
      <c r="E19752" t="s">
        <v>39</v>
      </c>
      <c r="F19752">
        <v>0</v>
      </c>
      <c r="G19752">
        <v>0</v>
      </c>
      <c r="H19752">
        <v>1</v>
      </c>
      <c r="I19752" s="3">
        <v>196.17</v>
      </c>
      <c r="J19752" s="3">
        <v>0</v>
      </c>
      <c r="L19752">
        <v>804</v>
      </c>
      <c r="M19752" t="s">
        <v>35258</v>
      </c>
      <c r="N19752" t="s">
        <v>149</v>
      </c>
      <c r="O19752" t="s">
        <v>31</v>
      </c>
      <c r="P19752" t="str">
        <f>"15106"</f>
        <v>15106</v>
      </c>
    </row>
    <row r="19753" spans="1:16" x14ac:dyDescent="0.25">
      <c r="A19753" t="str">
        <f>"1280067P00286    00"</f>
        <v>1280067P00286    00</v>
      </c>
      <c r="B19753" t="s">
        <v>42814</v>
      </c>
      <c r="C19753" t="s">
        <v>42815</v>
      </c>
      <c r="D19753" t="s">
        <v>20</v>
      </c>
      <c r="E19753" t="s">
        <v>39</v>
      </c>
      <c r="F19753">
        <v>0</v>
      </c>
      <c r="G19753">
        <v>0</v>
      </c>
      <c r="H19753">
        <v>19</v>
      </c>
      <c r="I19753" s="3">
        <v>7739.99</v>
      </c>
      <c r="J19753" s="3">
        <v>9083.3799999999992</v>
      </c>
      <c r="L19753">
        <v>812</v>
      </c>
      <c r="M19753" t="s">
        <v>21533</v>
      </c>
      <c r="N19753" t="s">
        <v>149</v>
      </c>
      <c r="O19753" t="s">
        <v>31</v>
      </c>
      <c r="P19753" t="str">
        <f>"15106"</f>
        <v>15106</v>
      </c>
    </row>
    <row r="19754" spans="1:16" x14ac:dyDescent="0.25">
      <c r="A19754" t="str">
        <f>"1280067R00001    00"</f>
        <v>1280067R00001    00</v>
      </c>
      <c r="B19754" t="s">
        <v>42816</v>
      </c>
      <c r="C19754" t="s">
        <v>42817</v>
      </c>
      <c r="D19754" t="s">
        <v>20</v>
      </c>
      <c r="E19754" t="s">
        <v>39</v>
      </c>
      <c r="F19754">
        <v>0</v>
      </c>
      <c r="G19754">
        <v>0</v>
      </c>
      <c r="H19754">
        <v>2</v>
      </c>
      <c r="I19754" s="3">
        <v>1736.32</v>
      </c>
      <c r="J19754" s="3">
        <v>0</v>
      </c>
      <c r="L19754">
        <v>574</v>
      </c>
      <c r="M19754" t="s">
        <v>30434</v>
      </c>
      <c r="N19754" t="s">
        <v>30</v>
      </c>
      <c r="O19754" t="s">
        <v>31</v>
      </c>
      <c r="P19754" t="str">
        <f>"15220"</f>
        <v>15220</v>
      </c>
    </row>
    <row r="19755" spans="1:16" x14ac:dyDescent="0.25">
      <c r="A19755" t="str">
        <f>"1280067R00004    00"</f>
        <v>1280067R00004    00</v>
      </c>
      <c r="B19755" t="s">
        <v>42818</v>
      </c>
      <c r="C19755" t="s">
        <v>42819</v>
      </c>
      <c r="D19755" t="s">
        <v>20</v>
      </c>
      <c r="E19755" t="s">
        <v>39</v>
      </c>
      <c r="F19755">
        <v>0</v>
      </c>
      <c r="G19755">
        <v>0</v>
      </c>
      <c r="H19755">
        <v>1</v>
      </c>
      <c r="I19755" s="3">
        <v>292.08</v>
      </c>
      <c r="J19755" s="3">
        <v>0</v>
      </c>
      <c r="L19755">
        <v>904</v>
      </c>
      <c r="M19755" t="s">
        <v>35258</v>
      </c>
      <c r="N19755" t="s">
        <v>149</v>
      </c>
      <c r="O19755" t="s">
        <v>31</v>
      </c>
      <c r="P19755" t="str">
        <f>"15106"</f>
        <v>15106</v>
      </c>
    </row>
    <row r="19756" spans="1:16" x14ac:dyDescent="0.25">
      <c r="A19756" t="str">
        <f>"1280067R00024    00"</f>
        <v>1280067R00024    00</v>
      </c>
      <c r="B19756" t="s">
        <v>42820</v>
      </c>
      <c r="C19756" t="s">
        <v>42821</v>
      </c>
      <c r="D19756" t="s">
        <v>20</v>
      </c>
      <c r="E19756" t="s">
        <v>39</v>
      </c>
      <c r="F19756">
        <v>0</v>
      </c>
      <c r="G19756">
        <v>0</v>
      </c>
      <c r="H19756">
        <v>2</v>
      </c>
      <c r="I19756" s="3">
        <v>1117.8900000000001</v>
      </c>
      <c r="J19756" s="3">
        <v>0</v>
      </c>
      <c r="L19756">
        <v>6001</v>
      </c>
      <c r="M19756" t="s">
        <v>42822</v>
      </c>
      <c r="N19756" t="s">
        <v>3934</v>
      </c>
      <c r="O19756" t="s">
        <v>31</v>
      </c>
      <c r="P19756" t="str">
        <f>"15102"</f>
        <v>15102</v>
      </c>
    </row>
    <row r="19757" spans="1:16" x14ac:dyDescent="0.25">
      <c r="A19757" t="str">
        <f>"1280067R00050    00"</f>
        <v>1280067R00050    00</v>
      </c>
      <c r="B19757" t="s">
        <v>42823</v>
      </c>
      <c r="C19757" t="s">
        <v>42824</v>
      </c>
      <c r="D19757" t="s">
        <v>20</v>
      </c>
      <c r="E19757" t="s">
        <v>39</v>
      </c>
      <c r="F19757">
        <v>0</v>
      </c>
      <c r="G19757">
        <v>0</v>
      </c>
      <c r="H19757">
        <v>4</v>
      </c>
      <c r="I19757" s="3">
        <v>1109.56</v>
      </c>
      <c r="J19757" s="3">
        <v>94.17</v>
      </c>
      <c r="L19757">
        <v>812</v>
      </c>
      <c r="M19757" t="s">
        <v>42825</v>
      </c>
      <c r="N19757" t="s">
        <v>149</v>
      </c>
      <c r="O19757" t="s">
        <v>31</v>
      </c>
      <c r="P19757" t="str">
        <f>"15106"</f>
        <v>15106</v>
      </c>
    </row>
    <row r="19758" spans="1:16" x14ac:dyDescent="0.25">
      <c r="A19758" t="str">
        <f>"1280067R00057    00"</f>
        <v>1280067R00057    00</v>
      </c>
      <c r="B19758" t="s">
        <v>42826</v>
      </c>
      <c r="C19758" t="s">
        <v>42827</v>
      </c>
      <c r="D19758" t="s">
        <v>20</v>
      </c>
      <c r="E19758" t="s">
        <v>39</v>
      </c>
      <c r="F19758">
        <v>0</v>
      </c>
      <c r="G19758">
        <v>0</v>
      </c>
      <c r="H19758">
        <v>2</v>
      </c>
      <c r="I19758" s="3">
        <v>340.61</v>
      </c>
      <c r="J19758" s="3">
        <v>0.02</v>
      </c>
      <c r="L19758">
        <v>3017</v>
      </c>
      <c r="M19758" t="s">
        <v>42828</v>
      </c>
      <c r="N19758" t="s">
        <v>149</v>
      </c>
      <c r="O19758" t="s">
        <v>31</v>
      </c>
      <c r="P19758" t="str">
        <f>"15106"</f>
        <v>15106</v>
      </c>
    </row>
    <row r="19759" spans="1:16" x14ac:dyDescent="0.25">
      <c r="A19759" t="str">
        <f>"1280067R00082    00"</f>
        <v>1280067R00082    00</v>
      </c>
      <c r="B19759" t="s">
        <v>42829</v>
      </c>
      <c r="C19759" t="s">
        <v>42830</v>
      </c>
      <c r="D19759" t="s">
        <v>20</v>
      </c>
      <c r="E19759" t="s">
        <v>39</v>
      </c>
      <c r="F19759">
        <v>0</v>
      </c>
      <c r="G19759">
        <v>0</v>
      </c>
      <c r="H19759">
        <v>5</v>
      </c>
      <c r="I19759" s="3">
        <v>6066.61</v>
      </c>
      <c r="J19759" s="3">
        <v>1048.0899999999999</v>
      </c>
      <c r="L19759">
        <v>2652</v>
      </c>
      <c r="M19759" t="s">
        <v>2837</v>
      </c>
      <c r="N19759" t="s">
        <v>30</v>
      </c>
      <c r="O19759" t="s">
        <v>31</v>
      </c>
      <c r="P19759" t="str">
        <f>"15226"</f>
        <v>15226</v>
      </c>
    </row>
    <row r="19760" spans="1:16" x14ac:dyDescent="0.25">
      <c r="A19760" t="str">
        <f>"1280067R00165    00"</f>
        <v>1280067R00165    00</v>
      </c>
      <c r="B19760" t="s">
        <v>29347</v>
      </c>
      <c r="C19760" t="s">
        <v>42831</v>
      </c>
      <c r="E19760" t="s">
        <v>39</v>
      </c>
      <c r="F19760">
        <v>0</v>
      </c>
      <c r="G19760">
        <v>0</v>
      </c>
      <c r="H19760">
        <v>7</v>
      </c>
      <c r="I19760" s="3">
        <v>8038.04</v>
      </c>
      <c r="J19760" s="3">
        <v>10039.31</v>
      </c>
      <c r="K19760" t="s">
        <v>29349</v>
      </c>
      <c r="L19760">
        <v>4101</v>
      </c>
      <c r="M19760" t="s">
        <v>339</v>
      </c>
      <c r="N19760" t="s">
        <v>30</v>
      </c>
      <c r="O19760" t="s">
        <v>31</v>
      </c>
      <c r="P19760" t="str">
        <f>"15227"</f>
        <v>15227</v>
      </c>
    </row>
    <row r="19761" spans="1:16" x14ac:dyDescent="0.25">
      <c r="A19761" t="str">
        <f>"1280067R00173    00"</f>
        <v>1280067R00173    00</v>
      </c>
      <c r="B19761" t="s">
        <v>42832</v>
      </c>
      <c r="C19761" t="s">
        <v>42833</v>
      </c>
      <c r="E19761" t="s">
        <v>39</v>
      </c>
      <c r="F19761">
        <v>0</v>
      </c>
      <c r="G19761">
        <v>0</v>
      </c>
      <c r="H19761">
        <v>2</v>
      </c>
      <c r="I19761" s="3">
        <v>886.08</v>
      </c>
      <c r="J19761" s="3">
        <v>6.79</v>
      </c>
      <c r="L19761">
        <v>85</v>
      </c>
      <c r="M19761" t="s">
        <v>30805</v>
      </c>
      <c r="N19761" t="s">
        <v>30</v>
      </c>
      <c r="O19761" t="s">
        <v>31</v>
      </c>
      <c r="P19761" t="str">
        <f>"15205"</f>
        <v>15205</v>
      </c>
    </row>
    <row r="19762" spans="1:16" x14ac:dyDescent="0.25">
      <c r="A19762" t="str">
        <f>"1280067R00210    00"</f>
        <v>1280067R00210    00</v>
      </c>
      <c r="B19762" t="s">
        <v>42834</v>
      </c>
      <c r="C19762" t="s">
        <v>42835</v>
      </c>
      <c r="D19762" t="s">
        <v>20</v>
      </c>
      <c r="E19762" t="s">
        <v>39</v>
      </c>
      <c r="F19762">
        <v>0</v>
      </c>
      <c r="G19762">
        <v>0</v>
      </c>
      <c r="H19762">
        <v>1</v>
      </c>
      <c r="I19762" s="3">
        <v>20</v>
      </c>
      <c r="J19762" s="3">
        <v>0</v>
      </c>
      <c r="L19762">
        <v>1090</v>
      </c>
      <c r="M19762" t="s">
        <v>42836</v>
      </c>
      <c r="N19762" t="s">
        <v>541</v>
      </c>
      <c r="O19762" t="s">
        <v>31</v>
      </c>
      <c r="P19762" t="str">
        <f>"15071"</f>
        <v>15071</v>
      </c>
    </row>
    <row r="19763" spans="1:16" x14ac:dyDescent="0.25">
      <c r="A19763" t="str">
        <f>"1280067R00225    00"</f>
        <v>1280067R00225    00</v>
      </c>
      <c r="B19763" t="s">
        <v>42837</v>
      </c>
      <c r="C19763" t="s">
        <v>30924</v>
      </c>
      <c r="D19763" t="s">
        <v>20</v>
      </c>
      <c r="E19763" t="s">
        <v>39</v>
      </c>
      <c r="F19763">
        <v>0</v>
      </c>
      <c r="G19763">
        <v>0</v>
      </c>
      <c r="H19763">
        <v>19</v>
      </c>
      <c r="I19763" s="3">
        <v>5006.08</v>
      </c>
      <c r="J19763" s="3">
        <v>4595.83</v>
      </c>
      <c r="K19763" t="s">
        <v>1037</v>
      </c>
      <c r="L19763">
        <v>311</v>
      </c>
      <c r="M19763" t="s">
        <v>42838</v>
      </c>
      <c r="N19763" t="s">
        <v>21557</v>
      </c>
      <c r="O19763" t="s">
        <v>31</v>
      </c>
      <c r="P19763" t="str">
        <f>"15063"</f>
        <v>15063</v>
      </c>
    </row>
    <row r="19764" spans="1:16" x14ac:dyDescent="0.25">
      <c r="A19764" t="str">
        <f>"1280068H00083    00"</f>
        <v>1280068H00083    00</v>
      </c>
      <c r="B19764" t="s">
        <v>42839</v>
      </c>
      <c r="C19764" t="s">
        <v>42840</v>
      </c>
      <c r="E19764" t="s">
        <v>39</v>
      </c>
      <c r="F19764">
        <v>0</v>
      </c>
      <c r="G19764">
        <v>0</v>
      </c>
      <c r="H19764">
        <v>1</v>
      </c>
      <c r="I19764" s="3">
        <v>763.83</v>
      </c>
      <c r="J19764" s="3">
        <v>0</v>
      </c>
      <c r="L19764">
        <v>1843</v>
      </c>
      <c r="M19764" t="s">
        <v>38127</v>
      </c>
      <c r="N19764" t="s">
        <v>30</v>
      </c>
      <c r="O19764" t="s">
        <v>31</v>
      </c>
      <c r="P19764" t="str">
        <f>"15205"</f>
        <v>15205</v>
      </c>
    </row>
    <row r="19765" spans="1:16" x14ac:dyDescent="0.25">
      <c r="A19765" t="str">
        <f>"1280068H00220    00"</f>
        <v>1280068H00220    00</v>
      </c>
      <c r="B19765" t="s">
        <v>42841</v>
      </c>
      <c r="C19765" t="s">
        <v>42842</v>
      </c>
      <c r="E19765" t="s">
        <v>39</v>
      </c>
      <c r="F19765">
        <v>0</v>
      </c>
      <c r="G19765">
        <v>0</v>
      </c>
      <c r="H19765">
        <v>1</v>
      </c>
      <c r="I19765" s="3">
        <v>1144.1300000000001</v>
      </c>
      <c r="J19765" s="3">
        <v>0</v>
      </c>
      <c r="K19765" t="s">
        <v>484</v>
      </c>
      <c r="L19765">
        <v>3001</v>
      </c>
      <c r="M19765" t="s">
        <v>330</v>
      </c>
      <c r="N19765" t="s">
        <v>331</v>
      </c>
      <c r="O19765" t="s">
        <v>108</v>
      </c>
      <c r="P19765" t="str">
        <f>"75063"</f>
        <v>75063</v>
      </c>
    </row>
    <row r="19766" spans="1:16" x14ac:dyDescent="0.25">
      <c r="A19766" t="str">
        <f>"1280068H00270    00"</f>
        <v>1280068H00270    00</v>
      </c>
      <c r="B19766" t="s">
        <v>42843</v>
      </c>
      <c r="C19766" t="s">
        <v>42844</v>
      </c>
      <c r="D19766" t="s">
        <v>57</v>
      </c>
      <c r="E19766" t="s">
        <v>39</v>
      </c>
      <c r="F19766">
        <v>0</v>
      </c>
      <c r="G19766">
        <v>0</v>
      </c>
      <c r="H19766">
        <v>1</v>
      </c>
      <c r="I19766" s="3">
        <v>437.3</v>
      </c>
      <c r="J19766" s="3">
        <v>0</v>
      </c>
      <c r="L19766">
        <v>149</v>
      </c>
      <c r="M19766" t="s">
        <v>42845</v>
      </c>
      <c r="N19766" t="s">
        <v>30</v>
      </c>
      <c r="O19766" t="s">
        <v>31</v>
      </c>
      <c r="P19766" t="str">
        <f>"15205"</f>
        <v>15205</v>
      </c>
    </row>
    <row r="19767" spans="1:16" x14ac:dyDescent="0.25">
      <c r="A19767" t="str">
        <f>"1280068M00002    00"</f>
        <v>1280068M00002    00</v>
      </c>
      <c r="B19767" t="s">
        <v>42846</v>
      </c>
      <c r="C19767" t="s">
        <v>42847</v>
      </c>
      <c r="D19767" t="s">
        <v>20</v>
      </c>
      <c r="E19767" t="s">
        <v>39</v>
      </c>
      <c r="F19767">
        <v>0</v>
      </c>
      <c r="G19767">
        <v>0</v>
      </c>
      <c r="H19767">
        <v>2</v>
      </c>
      <c r="I19767" s="3">
        <v>1899.38</v>
      </c>
      <c r="J19767" s="3">
        <v>0</v>
      </c>
      <c r="K19767" t="s">
        <v>42848</v>
      </c>
      <c r="L19767">
        <v>41</v>
      </c>
      <c r="M19767" t="s">
        <v>42849</v>
      </c>
      <c r="N19767" t="s">
        <v>30</v>
      </c>
      <c r="O19767" t="s">
        <v>31</v>
      </c>
      <c r="P19767" t="str">
        <f>"15205"</f>
        <v>15205</v>
      </c>
    </row>
    <row r="19768" spans="1:16" x14ac:dyDescent="0.25">
      <c r="A19768" t="str">
        <f>"1280068M00008    00"</f>
        <v>1280068M00008    00</v>
      </c>
      <c r="B19768" t="s">
        <v>42850</v>
      </c>
      <c r="C19768" t="s">
        <v>42851</v>
      </c>
      <c r="D19768" t="s">
        <v>20</v>
      </c>
      <c r="E19768" t="s">
        <v>39</v>
      </c>
      <c r="F19768">
        <v>0</v>
      </c>
      <c r="G19768">
        <v>0</v>
      </c>
      <c r="H19768">
        <v>1</v>
      </c>
      <c r="I19768" s="3">
        <v>1287.01</v>
      </c>
      <c r="J19768" s="3">
        <v>0</v>
      </c>
      <c r="K19768" t="s">
        <v>42852</v>
      </c>
      <c r="L19768">
        <v>58</v>
      </c>
      <c r="M19768" t="s">
        <v>42849</v>
      </c>
      <c r="N19768" t="s">
        <v>30</v>
      </c>
      <c r="O19768" t="s">
        <v>31</v>
      </c>
      <c r="P19768" t="str">
        <f>"15205"</f>
        <v>15205</v>
      </c>
    </row>
    <row r="19769" spans="1:16" x14ac:dyDescent="0.25">
      <c r="A19769" t="str">
        <f>"1280068S00080    00"</f>
        <v>1280068S00080    00</v>
      </c>
      <c r="B19769" t="s">
        <v>42853</v>
      </c>
      <c r="C19769" t="s">
        <v>42854</v>
      </c>
      <c r="D19769" t="s">
        <v>20</v>
      </c>
      <c r="E19769" t="s">
        <v>39</v>
      </c>
      <c r="F19769">
        <v>0</v>
      </c>
      <c r="G19769">
        <v>0</v>
      </c>
      <c r="H19769">
        <v>1</v>
      </c>
      <c r="I19769" s="3">
        <v>1686.82</v>
      </c>
      <c r="J19769" s="3">
        <v>0</v>
      </c>
      <c r="L19769">
        <v>1657</v>
      </c>
      <c r="M19769" t="s">
        <v>27850</v>
      </c>
      <c r="N19769" t="s">
        <v>30</v>
      </c>
      <c r="O19769" t="s">
        <v>31</v>
      </c>
      <c r="P19769" t="str">
        <f>"15205"</f>
        <v>15205</v>
      </c>
    </row>
    <row r="19770" spans="1:16" x14ac:dyDescent="0.25">
      <c r="A19770" t="str">
        <f>"1280068S00175    00"</f>
        <v>1280068S00175    00</v>
      </c>
      <c r="B19770" t="s">
        <v>42855</v>
      </c>
      <c r="C19770" t="s">
        <v>42856</v>
      </c>
      <c r="E19770" t="s">
        <v>39</v>
      </c>
      <c r="F19770">
        <v>0</v>
      </c>
      <c r="G19770">
        <v>0</v>
      </c>
      <c r="H19770">
        <v>1</v>
      </c>
      <c r="I19770" s="3">
        <v>833.69</v>
      </c>
      <c r="J19770" s="3">
        <v>0</v>
      </c>
      <c r="L19770">
        <v>2450</v>
      </c>
      <c r="M19770" t="s">
        <v>42857</v>
      </c>
      <c r="N19770" t="s">
        <v>30</v>
      </c>
      <c r="O19770" t="s">
        <v>31</v>
      </c>
      <c r="P19770" t="str">
        <f>"15205"</f>
        <v>15205</v>
      </c>
    </row>
    <row r="19771" spans="1:16" x14ac:dyDescent="0.25">
      <c r="A19771" t="str">
        <f>"1280068S00236    00"</f>
        <v>1280068S00236    00</v>
      </c>
      <c r="B19771" t="s">
        <v>42858</v>
      </c>
      <c r="C19771" t="s">
        <v>42859</v>
      </c>
      <c r="E19771" t="s">
        <v>39</v>
      </c>
      <c r="F19771">
        <v>0</v>
      </c>
      <c r="G19771">
        <v>0</v>
      </c>
      <c r="H19771">
        <v>1</v>
      </c>
      <c r="I19771" s="3">
        <v>860.31</v>
      </c>
      <c r="J19771" s="3">
        <v>638.03</v>
      </c>
      <c r="K19771" t="s">
        <v>7145</v>
      </c>
      <c r="L19771">
        <v>3001</v>
      </c>
      <c r="M19771" t="s">
        <v>330</v>
      </c>
      <c r="N19771" t="s">
        <v>331</v>
      </c>
      <c r="O19771" t="s">
        <v>108</v>
      </c>
      <c r="P19771" t="str">
        <f>"75063"</f>
        <v>75063</v>
      </c>
    </row>
    <row r="19772" spans="1:16" x14ac:dyDescent="0.25">
      <c r="A19772" t="str">
        <f>"1280070B00122    00"</f>
        <v>1280070B00122    00</v>
      </c>
      <c r="B19772" t="s">
        <v>42860</v>
      </c>
      <c r="C19772" t="s">
        <v>42861</v>
      </c>
      <c r="E19772" t="s">
        <v>39</v>
      </c>
      <c r="F19772">
        <v>0</v>
      </c>
      <c r="G19772">
        <v>0</v>
      </c>
      <c r="H19772">
        <v>1</v>
      </c>
      <c r="I19772" s="3">
        <v>171.54</v>
      </c>
      <c r="J19772" s="3">
        <v>0</v>
      </c>
      <c r="K19772" t="s">
        <v>42862</v>
      </c>
      <c r="L19772">
        <v>1000</v>
      </c>
      <c r="M19772" t="s">
        <v>17198</v>
      </c>
      <c r="N19772" t="s">
        <v>30</v>
      </c>
      <c r="O19772" t="s">
        <v>31</v>
      </c>
      <c r="P19772" t="str">
        <f>"15202"</f>
        <v>15202</v>
      </c>
    </row>
    <row r="19773" spans="1:16" x14ac:dyDescent="0.25">
      <c r="A19773" t="str">
        <f>"1280070B00124    00"</f>
        <v>1280070B00124    00</v>
      </c>
      <c r="B19773" t="s">
        <v>42860</v>
      </c>
      <c r="C19773" t="s">
        <v>42861</v>
      </c>
      <c r="E19773" t="s">
        <v>39</v>
      </c>
      <c r="F19773">
        <v>0</v>
      </c>
      <c r="G19773">
        <v>0</v>
      </c>
      <c r="H19773">
        <v>1</v>
      </c>
      <c r="I19773" s="3">
        <v>162.02000000000001</v>
      </c>
      <c r="J19773" s="3">
        <v>0</v>
      </c>
      <c r="K19773" t="s">
        <v>42862</v>
      </c>
      <c r="L19773">
        <v>1000</v>
      </c>
      <c r="M19773" t="s">
        <v>17198</v>
      </c>
      <c r="N19773" t="s">
        <v>30</v>
      </c>
      <c r="O19773" t="s">
        <v>31</v>
      </c>
      <c r="P19773" t="str">
        <f>"15202"</f>
        <v>15202</v>
      </c>
    </row>
    <row r="19774" spans="1:16" x14ac:dyDescent="0.25">
      <c r="A19774" t="str">
        <f>"1280070B00164    00"</f>
        <v>1280070B00164    00</v>
      </c>
      <c r="B19774" t="s">
        <v>42863</v>
      </c>
      <c r="C19774" t="s">
        <v>42864</v>
      </c>
      <c r="D19774" t="s">
        <v>20</v>
      </c>
      <c r="E19774" t="s">
        <v>39</v>
      </c>
      <c r="F19774">
        <v>0</v>
      </c>
      <c r="G19774">
        <v>0</v>
      </c>
      <c r="H19774">
        <v>8</v>
      </c>
      <c r="I19774" s="3">
        <v>2357.7399999999998</v>
      </c>
      <c r="J19774" s="3">
        <v>715.18</v>
      </c>
      <c r="K19774" t="s">
        <v>42865</v>
      </c>
      <c r="M19774" t="s">
        <v>42866</v>
      </c>
      <c r="N19774" t="s">
        <v>30</v>
      </c>
      <c r="O19774" t="s">
        <v>31</v>
      </c>
      <c r="P19774" t="str">
        <f>"15205"</f>
        <v>15205</v>
      </c>
    </row>
    <row r="19775" spans="1:16" x14ac:dyDescent="0.25">
      <c r="A19775" t="str">
        <f>"1280070B00265    00"</f>
        <v>1280070B00265    00</v>
      </c>
      <c r="B19775" t="s">
        <v>29057</v>
      </c>
      <c r="C19775" t="s">
        <v>42867</v>
      </c>
      <c r="D19775" t="s">
        <v>20</v>
      </c>
      <c r="E19775" t="s">
        <v>21</v>
      </c>
      <c r="F19775">
        <v>0</v>
      </c>
      <c r="G19775">
        <v>0</v>
      </c>
      <c r="H19775">
        <v>19</v>
      </c>
      <c r="I19775" s="3">
        <v>7673.92</v>
      </c>
      <c r="J19775" s="3">
        <v>7352.69</v>
      </c>
      <c r="P19775" t="str">
        <f>""</f>
        <v/>
      </c>
    </row>
    <row r="19776" spans="1:16" x14ac:dyDescent="0.25">
      <c r="A19776" t="str">
        <f>"1280070B00350    00"</f>
        <v>1280070B00350    00</v>
      </c>
      <c r="B19776" t="s">
        <v>42868</v>
      </c>
      <c r="C19776" t="s">
        <v>42869</v>
      </c>
      <c r="E19776" t="s">
        <v>21</v>
      </c>
      <c r="F19776">
        <v>0</v>
      </c>
      <c r="G19776">
        <v>0</v>
      </c>
      <c r="H19776">
        <v>1</v>
      </c>
      <c r="I19776" s="3">
        <v>11.36</v>
      </c>
      <c r="J19776" s="3">
        <v>0</v>
      </c>
      <c r="L19776">
        <v>2005</v>
      </c>
      <c r="M19776" t="s">
        <v>15627</v>
      </c>
      <c r="N19776" t="s">
        <v>30</v>
      </c>
      <c r="O19776" t="s">
        <v>31</v>
      </c>
      <c r="P19776" t="str">
        <f>"15235"</f>
        <v>15235</v>
      </c>
    </row>
    <row r="19777" spans="1:16" x14ac:dyDescent="0.25">
      <c r="A19777" t="str">
        <f>"1280070C00012    00"</f>
        <v>1280070C00012    00</v>
      </c>
      <c r="B19777" t="s">
        <v>42870</v>
      </c>
      <c r="C19777" t="s">
        <v>33382</v>
      </c>
      <c r="E19777" t="s">
        <v>39</v>
      </c>
      <c r="F19777">
        <v>0</v>
      </c>
      <c r="G19777">
        <v>0</v>
      </c>
      <c r="H19777">
        <v>1</v>
      </c>
      <c r="I19777" s="3">
        <v>96.79</v>
      </c>
      <c r="J19777" s="3">
        <v>38.72</v>
      </c>
      <c r="L19777">
        <v>3415</v>
      </c>
      <c r="M19777" t="s">
        <v>1394</v>
      </c>
      <c r="N19777" t="s">
        <v>30</v>
      </c>
      <c r="O19777" t="s">
        <v>31</v>
      </c>
      <c r="P19777" t="str">
        <f>"15204"</f>
        <v>15204</v>
      </c>
    </row>
    <row r="19778" spans="1:16" x14ac:dyDescent="0.25">
      <c r="A19778" t="str">
        <f>"1280070C00025    00"</f>
        <v>1280070C00025    00</v>
      </c>
      <c r="B19778" t="s">
        <v>42871</v>
      </c>
      <c r="C19778" t="s">
        <v>42872</v>
      </c>
      <c r="D19778" t="s">
        <v>33</v>
      </c>
      <c r="E19778" t="s">
        <v>39</v>
      </c>
      <c r="F19778">
        <v>0</v>
      </c>
      <c r="G19778">
        <v>0</v>
      </c>
      <c r="H19778">
        <v>1</v>
      </c>
      <c r="I19778" s="3">
        <v>800.41</v>
      </c>
      <c r="J19778" s="3">
        <v>13.34</v>
      </c>
      <c r="K19778" t="s">
        <v>42873</v>
      </c>
      <c r="L19778">
        <v>6135</v>
      </c>
      <c r="M19778" t="s">
        <v>8048</v>
      </c>
      <c r="N19778" t="s">
        <v>30</v>
      </c>
      <c r="O19778" t="s">
        <v>31</v>
      </c>
      <c r="P19778" t="str">
        <f>"15236"</f>
        <v>15236</v>
      </c>
    </row>
    <row r="19779" spans="1:16" x14ac:dyDescent="0.25">
      <c r="A19779" t="str">
        <f>"1280070C00027    00"</f>
        <v>1280070C00027    00</v>
      </c>
      <c r="B19779" t="s">
        <v>42874</v>
      </c>
      <c r="C19779" t="s">
        <v>42875</v>
      </c>
      <c r="D19779" t="s">
        <v>20</v>
      </c>
      <c r="E19779" t="s">
        <v>39</v>
      </c>
      <c r="F19779">
        <v>0</v>
      </c>
      <c r="G19779">
        <v>0</v>
      </c>
      <c r="H19779">
        <v>3</v>
      </c>
      <c r="I19779" s="3">
        <v>4968.96</v>
      </c>
      <c r="J19779" s="3">
        <v>331.26</v>
      </c>
      <c r="K19779" t="s">
        <v>42876</v>
      </c>
      <c r="L19779">
        <v>3418</v>
      </c>
      <c r="M19779" t="s">
        <v>42877</v>
      </c>
      <c r="N19779" t="s">
        <v>30</v>
      </c>
      <c r="O19779" t="s">
        <v>31</v>
      </c>
      <c r="P19779" t="str">
        <f>"15204"</f>
        <v>15204</v>
      </c>
    </row>
    <row r="19780" spans="1:16" x14ac:dyDescent="0.25">
      <c r="A19780" t="str">
        <f>"1280070C00031    00"</f>
        <v>1280070C00031    00</v>
      </c>
      <c r="B19780" t="s">
        <v>40551</v>
      </c>
      <c r="C19780" t="s">
        <v>42878</v>
      </c>
      <c r="D19780" t="s">
        <v>20</v>
      </c>
      <c r="E19780" t="s">
        <v>39</v>
      </c>
      <c r="F19780">
        <v>0</v>
      </c>
      <c r="G19780">
        <v>0</v>
      </c>
      <c r="H19780">
        <v>3</v>
      </c>
      <c r="I19780" s="3">
        <v>4620.18</v>
      </c>
      <c r="J19780" s="3">
        <v>308</v>
      </c>
      <c r="K19780" t="s">
        <v>40553</v>
      </c>
      <c r="L19780">
        <v>3426</v>
      </c>
      <c r="M19780" t="s">
        <v>42877</v>
      </c>
      <c r="N19780" t="s">
        <v>30</v>
      </c>
      <c r="O19780" t="s">
        <v>31</v>
      </c>
      <c r="P19780" t="str">
        <f>"15204"</f>
        <v>15204</v>
      </c>
    </row>
    <row r="19781" spans="1:16" x14ac:dyDescent="0.25">
      <c r="A19781" t="str">
        <f>"1280070C00032    00"</f>
        <v>1280070C00032    00</v>
      </c>
      <c r="B19781" t="s">
        <v>42879</v>
      </c>
      <c r="C19781" t="s">
        <v>42880</v>
      </c>
      <c r="D19781" t="s">
        <v>20</v>
      </c>
      <c r="E19781" t="s">
        <v>39</v>
      </c>
      <c r="F19781">
        <v>0</v>
      </c>
      <c r="G19781">
        <v>0</v>
      </c>
      <c r="H19781">
        <v>7</v>
      </c>
      <c r="I19781" s="3">
        <v>3991.71</v>
      </c>
      <c r="J19781" s="3">
        <v>1456.05</v>
      </c>
      <c r="K19781" t="s">
        <v>42881</v>
      </c>
      <c r="L19781">
        <v>3432</v>
      </c>
      <c r="M19781" t="s">
        <v>42877</v>
      </c>
      <c r="N19781" t="s">
        <v>30</v>
      </c>
      <c r="O19781" t="s">
        <v>31</v>
      </c>
      <c r="P19781" t="str">
        <f>"15204"</f>
        <v>15204</v>
      </c>
    </row>
    <row r="19782" spans="1:16" x14ac:dyDescent="0.25">
      <c r="A19782" t="str">
        <f>"1280070C00055    00"</f>
        <v>1280070C00055    00</v>
      </c>
      <c r="B19782" t="s">
        <v>42882</v>
      </c>
      <c r="C19782" t="s">
        <v>42883</v>
      </c>
      <c r="D19782" t="s">
        <v>20</v>
      </c>
      <c r="E19782" t="s">
        <v>39</v>
      </c>
      <c r="F19782">
        <v>0</v>
      </c>
      <c r="G19782">
        <v>0</v>
      </c>
      <c r="H19782">
        <v>1</v>
      </c>
      <c r="I19782" s="3">
        <v>857.72</v>
      </c>
      <c r="J19782" s="3">
        <v>0</v>
      </c>
      <c r="M19782" t="s">
        <v>42884</v>
      </c>
      <c r="N19782" t="s">
        <v>36460</v>
      </c>
      <c r="O19782" t="s">
        <v>31</v>
      </c>
      <c r="P19782" t="str">
        <f>"15127"</f>
        <v>15127</v>
      </c>
    </row>
    <row r="19783" spans="1:16" x14ac:dyDescent="0.25">
      <c r="A19783" t="str">
        <f>"1280070C00057    00"</f>
        <v>1280070C00057    00</v>
      </c>
      <c r="B19783" t="s">
        <v>42885</v>
      </c>
      <c r="C19783" t="s">
        <v>42886</v>
      </c>
      <c r="D19783" t="s">
        <v>20</v>
      </c>
      <c r="E19783" t="s">
        <v>39</v>
      </c>
      <c r="F19783">
        <v>0</v>
      </c>
      <c r="G19783">
        <v>0</v>
      </c>
      <c r="H19783">
        <v>19</v>
      </c>
      <c r="I19783" s="3">
        <v>12022.06</v>
      </c>
      <c r="J19783" s="3">
        <v>10529.55</v>
      </c>
      <c r="L19783">
        <v>3401</v>
      </c>
      <c r="M19783" t="s">
        <v>42877</v>
      </c>
      <c r="N19783" t="s">
        <v>30</v>
      </c>
      <c r="O19783" t="s">
        <v>31</v>
      </c>
      <c r="P19783" t="str">
        <f>"15204"</f>
        <v>15204</v>
      </c>
    </row>
    <row r="19784" spans="1:16" x14ac:dyDescent="0.25">
      <c r="A19784" t="str">
        <f>"1280070C00111    00"</f>
        <v>1280070C00111    00</v>
      </c>
      <c r="B19784" t="s">
        <v>42887</v>
      </c>
      <c r="C19784" t="s">
        <v>42888</v>
      </c>
      <c r="D19784" t="s">
        <v>20</v>
      </c>
      <c r="E19784" t="s">
        <v>39</v>
      </c>
      <c r="F19784">
        <v>0</v>
      </c>
      <c r="G19784">
        <v>0</v>
      </c>
      <c r="H19784">
        <v>3</v>
      </c>
      <c r="I19784" s="3">
        <v>4397.16</v>
      </c>
      <c r="J19784" s="3">
        <v>293.14</v>
      </c>
      <c r="L19784">
        <v>3447</v>
      </c>
      <c r="M19784" t="s">
        <v>32593</v>
      </c>
      <c r="N19784" t="s">
        <v>30</v>
      </c>
      <c r="O19784" t="s">
        <v>31</v>
      </c>
      <c r="P19784" t="str">
        <f>"15204"</f>
        <v>15204</v>
      </c>
    </row>
    <row r="19785" spans="1:16" x14ac:dyDescent="0.25">
      <c r="A19785" t="str">
        <f>"1280070C00121    00"</f>
        <v>1280070C00121    00</v>
      </c>
      <c r="B19785" t="s">
        <v>42889</v>
      </c>
      <c r="C19785" t="s">
        <v>42890</v>
      </c>
      <c r="D19785" t="s">
        <v>20</v>
      </c>
      <c r="E19785" t="s">
        <v>39</v>
      </c>
      <c r="F19785">
        <v>0</v>
      </c>
      <c r="G19785">
        <v>0</v>
      </c>
      <c r="H19785">
        <v>12</v>
      </c>
      <c r="I19785" s="3">
        <v>15652</v>
      </c>
      <c r="J19785" s="3">
        <v>7336.16</v>
      </c>
      <c r="L19785">
        <v>3429</v>
      </c>
      <c r="M19785" t="s">
        <v>32593</v>
      </c>
      <c r="N19785" t="s">
        <v>30</v>
      </c>
      <c r="O19785" t="s">
        <v>31</v>
      </c>
      <c r="P19785" t="str">
        <f>"15204"</f>
        <v>15204</v>
      </c>
    </row>
    <row r="19786" spans="1:16" x14ac:dyDescent="0.25">
      <c r="A19786" t="str">
        <f>"1280070C00202    00"</f>
        <v>1280070C00202    00</v>
      </c>
      <c r="B19786" t="s">
        <v>42891</v>
      </c>
      <c r="C19786" t="s">
        <v>42892</v>
      </c>
      <c r="D19786" t="s">
        <v>20</v>
      </c>
      <c r="E19786" t="s">
        <v>39</v>
      </c>
      <c r="F19786">
        <v>0</v>
      </c>
      <c r="G19786">
        <v>0</v>
      </c>
      <c r="H19786">
        <v>2</v>
      </c>
      <c r="I19786" s="3">
        <v>1826.53</v>
      </c>
      <c r="J19786" s="3">
        <v>0</v>
      </c>
      <c r="L19786">
        <v>3336</v>
      </c>
      <c r="M19786" t="s">
        <v>42893</v>
      </c>
      <c r="N19786" t="s">
        <v>30</v>
      </c>
      <c r="O19786" t="s">
        <v>31</v>
      </c>
      <c r="P19786" t="str">
        <f>"15204"</f>
        <v>15204</v>
      </c>
    </row>
    <row r="19787" spans="1:16" x14ac:dyDescent="0.25">
      <c r="A19787" t="str">
        <f>"1280070D00261    00"</f>
        <v>1280070D00261    00</v>
      </c>
      <c r="B19787" t="s">
        <v>42894</v>
      </c>
      <c r="C19787" t="s">
        <v>42895</v>
      </c>
      <c r="E19787" t="s">
        <v>39</v>
      </c>
      <c r="F19787">
        <v>0</v>
      </c>
      <c r="G19787">
        <v>0</v>
      </c>
      <c r="H19787">
        <v>1</v>
      </c>
      <c r="I19787" s="3">
        <v>20.76</v>
      </c>
      <c r="J19787" s="3">
        <v>10.199999999999999</v>
      </c>
      <c r="K19787" t="s">
        <v>1632</v>
      </c>
      <c r="L19787">
        <v>3001</v>
      </c>
      <c r="M19787" t="s">
        <v>330</v>
      </c>
      <c r="N19787" t="s">
        <v>331</v>
      </c>
      <c r="O19787" t="s">
        <v>108</v>
      </c>
      <c r="P19787" t="str">
        <f>"75063"</f>
        <v>75063</v>
      </c>
    </row>
    <row r="19788" spans="1:16" x14ac:dyDescent="0.25">
      <c r="A19788" t="str">
        <f>"1280070E00020    00"</f>
        <v>1280070E00020    00</v>
      </c>
      <c r="B19788" t="s">
        <v>42896</v>
      </c>
      <c r="C19788" t="s">
        <v>42897</v>
      </c>
      <c r="D19788" t="s">
        <v>20</v>
      </c>
      <c r="E19788" t="s">
        <v>39</v>
      </c>
      <c r="F19788">
        <v>0</v>
      </c>
      <c r="G19788">
        <v>0</v>
      </c>
      <c r="H19788">
        <v>3</v>
      </c>
      <c r="I19788" s="3">
        <v>1132.73</v>
      </c>
      <c r="J19788" s="3">
        <v>64.099999999999994</v>
      </c>
      <c r="L19788">
        <v>25</v>
      </c>
      <c r="M19788" t="s">
        <v>1826</v>
      </c>
      <c r="N19788" t="s">
        <v>149</v>
      </c>
      <c r="O19788" t="s">
        <v>31</v>
      </c>
      <c r="P19788" t="str">
        <f>"15106"</f>
        <v>15106</v>
      </c>
    </row>
    <row r="19789" spans="1:16" x14ac:dyDescent="0.25">
      <c r="A19789" t="str">
        <f>"1280070E00022    00"</f>
        <v>1280070E00022    00</v>
      </c>
      <c r="B19789" t="s">
        <v>42898</v>
      </c>
      <c r="C19789" t="s">
        <v>42899</v>
      </c>
      <c r="E19789" t="s">
        <v>39</v>
      </c>
      <c r="F19789">
        <v>0</v>
      </c>
      <c r="G19789">
        <v>0</v>
      </c>
      <c r="H19789">
        <v>4</v>
      </c>
      <c r="I19789" s="3">
        <v>367.63</v>
      </c>
      <c r="J19789" s="3">
        <v>147.68</v>
      </c>
      <c r="L19789">
        <v>523</v>
      </c>
      <c r="M19789" t="s">
        <v>42900</v>
      </c>
      <c r="N19789" t="s">
        <v>30</v>
      </c>
      <c r="O19789" t="s">
        <v>31</v>
      </c>
      <c r="P19789" t="str">
        <f>"15205"</f>
        <v>15205</v>
      </c>
    </row>
    <row r="19790" spans="1:16" x14ac:dyDescent="0.25">
      <c r="A19790" t="str">
        <f>"1280070E00029    00"</f>
        <v>1280070E00029    00</v>
      </c>
      <c r="B19790" t="s">
        <v>16751</v>
      </c>
      <c r="C19790" t="s">
        <v>42901</v>
      </c>
      <c r="E19790" t="s">
        <v>39</v>
      </c>
      <c r="F19790">
        <v>0</v>
      </c>
      <c r="G19790">
        <v>0</v>
      </c>
      <c r="H19790">
        <v>1</v>
      </c>
      <c r="I19790" s="3">
        <v>385.4</v>
      </c>
      <c r="J19790" s="3">
        <v>0</v>
      </c>
      <c r="K19790" t="s">
        <v>16753</v>
      </c>
      <c r="L19790">
        <v>1800</v>
      </c>
      <c r="M19790" t="s">
        <v>42902</v>
      </c>
      <c r="N19790" t="s">
        <v>30</v>
      </c>
      <c r="O19790" t="s">
        <v>31</v>
      </c>
      <c r="P19790" t="str">
        <f>"15217"</f>
        <v>15217</v>
      </c>
    </row>
    <row r="19791" spans="1:16" x14ac:dyDescent="0.25">
      <c r="A19791" t="str">
        <f>"1280070E00030    00"</f>
        <v>1280070E00030    00</v>
      </c>
      <c r="B19791" t="s">
        <v>42903</v>
      </c>
      <c r="C19791" t="s">
        <v>42904</v>
      </c>
      <c r="D19791" t="s">
        <v>20</v>
      </c>
      <c r="E19791" t="s">
        <v>39</v>
      </c>
      <c r="F19791">
        <v>0</v>
      </c>
      <c r="G19791">
        <v>0</v>
      </c>
      <c r="H19791">
        <v>3</v>
      </c>
      <c r="I19791" s="3">
        <v>628.47</v>
      </c>
      <c r="J19791" s="3">
        <v>50.63</v>
      </c>
      <c r="K19791" t="s">
        <v>9056</v>
      </c>
      <c r="L19791">
        <v>3001</v>
      </c>
      <c r="M19791" t="s">
        <v>404</v>
      </c>
      <c r="N19791" t="s">
        <v>331</v>
      </c>
      <c r="O19791" t="s">
        <v>108</v>
      </c>
      <c r="P19791" t="str">
        <f>"75063"</f>
        <v>75063</v>
      </c>
    </row>
    <row r="19792" spans="1:16" x14ac:dyDescent="0.25">
      <c r="A19792" t="str">
        <f>"1280070E00032    00"</f>
        <v>1280070E00032    00</v>
      </c>
      <c r="B19792" t="s">
        <v>42905</v>
      </c>
      <c r="C19792" t="s">
        <v>42906</v>
      </c>
      <c r="D19792" t="s">
        <v>20</v>
      </c>
      <c r="E19792" t="s">
        <v>39</v>
      </c>
      <c r="F19792">
        <v>0</v>
      </c>
      <c r="G19792">
        <v>0</v>
      </c>
      <c r="H19792">
        <v>2</v>
      </c>
      <c r="I19792" s="3">
        <v>259.04000000000002</v>
      </c>
      <c r="J19792" s="3">
        <v>0</v>
      </c>
      <c r="L19792">
        <v>503</v>
      </c>
      <c r="M19792" t="s">
        <v>42900</v>
      </c>
      <c r="N19792" t="s">
        <v>30</v>
      </c>
      <c r="O19792" t="s">
        <v>31</v>
      </c>
      <c r="P19792" t="str">
        <f t="shared" ref="P19792:P19799" si="248">"15205"</f>
        <v>15205</v>
      </c>
    </row>
    <row r="19793" spans="1:16" x14ac:dyDescent="0.25">
      <c r="A19793" t="str">
        <f>"1280070E00033    00"</f>
        <v>1280070E00033    00</v>
      </c>
      <c r="B19793" t="s">
        <v>31415</v>
      </c>
      <c r="C19793" t="s">
        <v>42907</v>
      </c>
      <c r="D19793" t="s">
        <v>20</v>
      </c>
      <c r="E19793" t="s">
        <v>39</v>
      </c>
      <c r="F19793">
        <v>0</v>
      </c>
      <c r="G19793">
        <v>0</v>
      </c>
      <c r="H19793">
        <v>2</v>
      </c>
      <c r="I19793" s="3">
        <v>1278.07</v>
      </c>
      <c r="J19793" s="3">
        <v>0</v>
      </c>
      <c r="L19793">
        <v>1554</v>
      </c>
      <c r="M19793" t="s">
        <v>30601</v>
      </c>
      <c r="N19793" t="s">
        <v>30</v>
      </c>
      <c r="O19793" t="s">
        <v>31</v>
      </c>
      <c r="P19793" t="str">
        <f t="shared" si="248"/>
        <v>15205</v>
      </c>
    </row>
    <row r="19794" spans="1:16" x14ac:dyDescent="0.25">
      <c r="A19794" t="str">
        <f>"1280070E00035    00"</f>
        <v>1280070E00035    00</v>
      </c>
      <c r="B19794" t="s">
        <v>42908</v>
      </c>
      <c r="C19794" t="s">
        <v>42909</v>
      </c>
      <c r="D19794" t="s">
        <v>20</v>
      </c>
      <c r="E19794" t="s">
        <v>39</v>
      </c>
      <c r="F19794">
        <v>0</v>
      </c>
      <c r="G19794">
        <v>0</v>
      </c>
      <c r="H19794">
        <v>2</v>
      </c>
      <c r="I19794" s="3">
        <v>1086.93</v>
      </c>
      <c r="J19794" s="3">
        <v>0</v>
      </c>
      <c r="L19794">
        <v>422</v>
      </c>
      <c r="M19794" t="s">
        <v>42900</v>
      </c>
      <c r="N19794" t="s">
        <v>30</v>
      </c>
      <c r="O19794" t="s">
        <v>31</v>
      </c>
      <c r="P19794" t="str">
        <f t="shared" si="248"/>
        <v>15205</v>
      </c>
    </row>
    <row r="19795" spans="1:16" x14ac:dyDescent="0.25">
      <c r="A19795" t="str">
        <f>"1280070E00036    00"</f>
        <v>1280070E00036    00</v>
      </c>
      <c r="B19795" t="s">
        <v>42910</v>
      </c>
      <c r="C19795" t="s">
        <v>42911</v>
      </c>
      <c r="D19795" t="s">
        <v>20</v>
      </c>
      <c r="E19795" t="s">
        <v>39</v>
      </c>
      <c r="F19795">
        <v>0</v>
      </c>
      <c r="G19795">
        <v>0</v>
      </c>
      <c r="H19795">
        <v>1</v>
      </c>
      <c r="I19795" s="3">
        <v>574.16999999999996</v>
      </c>
      <c r="J19795" s="3">
        <v>0</v>
      </c>
      <c r="K19795" t="s">
        <v>42912</v>
      </c>
      <c r="L19795">
        <v>424</v>
      </c>
      <c r="M19795" t="s">
        <v>42900</v>
      </c>
      <c r="N19795" t="s">
        <v>30</v>
      </c>
      <c r="O19795" t="s">
        <v>31</v>
      </c>
      <c r="P19795" t="str">
        <f t="shared" si="248"/>
        <v>15205</v>
      </c>
    </row>
    <row r="19796" spans="1:16" x14ac:dyDescent="0.25">
      <c r="A19796" t="str">
        <f>"1280070E00050    00"</f>
        <v>1280070E00050    00</v>
      </c>
      <c r="B19796" t="s">
        <v>42913</v>
      </c>
      <c r="C19796" t="s">
        <v>42914</v>
      </c>
      <c r="E19796" t="s">
        <v>39</v>
      </c>
      <c r="F19796">
        <v>0</v>
      </c>
      <c r="G19796">
        <v>0</v>
      </c>
      <c r="H19796">
        <v>1</v>
      </c>
      <c r="I19796" s="3">
        <v>114.89</v>
      </c>
      <c r="J19796" s="3">
        <v>0</v>
      </c>
      <c r="L19796">
        <v>522</v>
      </c>
      <c r="M19796" t="s">
        <v>42900</v>
      </c>
      <c r="N19796" t="s">
        <v>30</v>
      </c>
      <c r="O19796" t="s">
        <v>31</v>
      </c>
      <c r="P19796" t="str">
        <f t="shared" si="248"/>
        <v>15205</v>
      </c>
    </row>
    <row r="19797" spans="1:16" x14ac:dyDescent="0.25">
      <c r="A19797" t="str">
        <f>"1280070E00051    00"</f>
        <v>1280070E00051    00</v>
      </c>
      <c r="B19797" t="s">
        <v>42915</v>
      </c>
      <c r="C19797" t="s">
        <v>42916</v>
      </c>
      <c r="D19797" t="s">
        <v>20</v>
      </c>
      <c r="E19797" t="s">
        <v>39</v>
      </c>
      <c r="F19797">
        <v>0</v>
      </c>
      <c r="G19797">
        <v>0</v>
      </c>
      <c r="H19797">
        <v>2</v>
      </c>
      <c r="I19797" s="3">
        <v>866.78</v>
      </c>
      <c r="J19797" s="3">
        <v>0</v>
      </c>
      <c r="L19797">
        <v>524</v>
      </c>
      <c r="M19797" t="s">
        <v>42900</v>
      </c>
      <c r="N19797" t="s">
        <v>30</v>
      </c>
      <c r="O19797" t="s">
        <v>31</v>
      </c>
      <c r="P19797" t="str">
        <f t="shared" si="248"/>
        <v>15205</v>
      </c>
    </row>
    <row r="19798" spans="1:16" x14ac:dyDescent="0.25">
      <c r="A19798" t="str">
        <f>"1280070E00052    00"</f>
        <v>1280070E00052    00</v>
      </c>
      <c r="B19798" t="s">
        <v>42915</v>
      </c>
      <c r="C19798" t="s">
        <v>42916</v>
      </c>
      <c r="E19798" t="s">
        <v>39</v>
      </c>
      <c r="F19798">
        <v>0</v>
      </c>
      <c r="G19798">
        <v>0</v>
      </c>
      <c r="H19798">
        <v>1</v>
      </c>
      <c r="I19798" s="3">
        <v>40.53</v>
      </c>
      <c r="J19798" s="3">
        <v>0</v>
      </c>
      <c r="K19798" t="s">
        <v>42917</v>
      </c>
      <c r="L19798">
        <v>524</v>
      </c>
      <c r="M19798" t="s">
        <v>42900</v>
      </c>
      <c r="N19798" t="s">
        <v>30</v>
      </c>
      <c r="O19798" t="s">
        <v>31</v>
      </c>
      <c r="P19798" t="str">
        <f t="shared" si="248"/>
        <v>15205</v>
      </c>
    </row>
    <row r="19799" spans="1:16" x14ac:dyDescent="0.25">
      <c r="A19799" t="str">
        <f>"1280070E00068    00"</f>
        <v>1280070E00068    00</v>
      </c>
      <c r="B19799" t="s">
        <v>42918</v>
      </c>
      <c r="C19799" t="s">
        <v>42919</v>
      </c>
      <c r="D19799" t="s">
        <v>20</v>
      </c>
      <c r="E19799" t="s">
        <v>39</v>
      </c>
      <c r="F19799">
        <v>0</v>
      </c>
      <c r="G19799">
        <v>0</v>
      </c>
      <c r="H19799">
        <v>6</v>
      </c>
      <c r="I19799" s="3">
        <v>1720.06</v>
      </c>
      <c r="J19799" s="3">
        <v>368.2</v>
      </c>
      <c r="L19799">
        <v>424</v>
      </c>
      <c r="M19799" t="s">
        <v>42900</v>
      </c>
      <c r="N19799" t="s">
        <v>30</v>
      </c>
      <c r="O19799" t="s">
        <v>31</v>
      </c>
      <c r="P19799" t="str">
        <f t="shared" si="248"/>
        <v>15205</v>
      </c>
    </row>
    <row r="19800" spans="1:16" x14ac:dyDescent="0.25">
      <c r="A19800" t="str">
        <f>"1280070E00071    00"</f>
        <v>1280070E00071    00</v>
      </c>
      <c r="B19800" t="s">
        <v>42920</v>
      </c>
      <c r="C19800" t="s">
        <v>42919</v>
      </c>
      <c r="E19800" t="s">
        <v>39</v>
      </c>
      <c r="F19800">
        <v>0</v>
      </c>
      <c r="G19800">
        <v>0</v>
      </c>
      <c r="H19800">
        <v>1</v>
      </c>
      <c r="I19800" s="3">
        <v>12.3</v>
      </c>
      <c r="J19800" s="3">
        <v>0</v>
      </c>
      <c r="K19800" t="s">
        <v>42921</v>
      </c>
      <c r="L19800">
        <v>10</v>
      </c>
      <c r="M19800" t="s">
        <v>42922</v>
      </c>
      <c r="N19800" t="s">
        <v>12126</v>
      </c>
      <c r="O19800" t="s">
        <v>423</v>
      </c>
      <c r="P19800" t="str">
        <f>"07042"</f>
        <v>07042</v>
      </c>
    </row>
    <row r="19801" spans="1:16" x14ac:dyDescent="0.25">
      <c r="A19801" t="str">
        <f>"1280070G00306    00"</f>
        <v>1280070G00306    00</v>
      </c>
      <c r="B19801" t="s">
        <v>42923</v>
      </c>
      <c r="C19801" t="s">
        <v>42924</v>
      </c>
      <c r="E19801" t="s">
        <v>39</v>
      </c>
      <c r="F19801">
        <v>0</v>
      </c>
      <c r="G19801">
        <v>0</v>
      </c>
      <c r="H19801">
        <v>4</v>
      </c>
      <c r="I19801" s="3">
        <v>7522.55</v>
      </c>
      <c r="J19801" s="3">
        <v>2436.29</v>
      </c>
      <c r="L19801">
        <v>3351</v>
      </c>
      <c r="M19801" t="s">
        <v>42893</v>
      </c>
      <c r="N19801" t="s">
        <v>30</v>
      </c>
      <c r="O19801" t="s">
        <v>31</v>
      </c>
      <c r="P19801" t="str">
        <f>"15204"</f>
        <v>15204</v>
      </c>
    </row>
    <row r="19802" spans="1:16" x14ac:dyDescent="0.25">
      <c r="A19802" t="str">
        <f>"1280070H00014    00"</f>
        <v>1280070H00014    00</v>
      </c>
      <c r="B19802" t="s">
        <v>42925</v>
      </c>
      <c r="C19802" t="s">
        <v>33382</v>
      </c>
      <c r="D19802" t="s">
        <v>20</v>
      </c>
      <c r="E19802" t="s">
        <v>39</v>
      </c>
      <c r="F19802">
        <v>0</v>
      </c>
      <c r="G19802">
        <v>0</v>
      </c>
      <c r="H19802">
        <v>1</v>
      </c>
      <c r="I19802" s="3">
        <v>345</v>
      </c>
      <c r="J19802" s="3">
        <v>0</v>
      </c>
      <c r="L19802">
        <v>3125</v>
      </c>
      <c r="M19802" t="s">
        <v>1394</v>
      </c>
      <c r="N19802" t="s">
        <v>30</v>
      </c>
      <c r="O19802" t="s">
        <v>31</v>
      </c>
      <c r="P19802" t="str">
        <f>"15204"</f>
        <v>15204</v>
      </c>
    </row>
    <row r="19803" spans="1:16" x14ac:dyDescent="0.25">
      <c r="A19803" t="str">
        <f>"1280070H00035    00"</f>
        <v>1280070H00035    00</v>
      </c>
      <c r="B19803" t="s">
        <v>42926</v>
      </c>
      <c r="C19803" t="s">
        <v>42927</v>
      </c>
      <c r="D19803" t="s">
        <v>20</v>
      </c>
      <c r="E19803" t="s">
        <v>39</v>
      </c>
      <c r="F19803">
        <v>0</v>
      </c>
      <c r="G19803">
        <v>0</v>
      </c>
      <c r="H19803">
        <v>2</v>
      </c>
      <c r="I19803" s="3">
        <v>2107.0300000000002</v>
      </c>
      <c r="J19803" s="3">
        <v>205.95</v>
      </c>
      <c r="L19803">
        <v>3208</v>
      </c>
      <c r="M19803" t="s">
        <v>30587</v>
      </c>
      <c r="N19803" t="s">
        <v>30</v>
      </c>
      <c r="O19803" t="s">
        <v>31</v>
      </c>
      <c r="P19803" t="str">
        <f>"15204"</f>
        <v>15204</v>
      </c>
    </row>
    <row r="19804" spans="1:16" x14ac:dyDescent="0.25">
      <c r="A19804" t="str">
        <f>"1280070H00037    00"</f>
        <v>1280070H00037    00</v>
      </c>
      <c r="B19804" t="s">
        <v>42928</v>
      </c>
      <c r="C19804" t="s">
        <v>42929</v>
      </c>
      <c r="D19804" t="s">
        <v>20</v>
      </c>
      <c r="E19804" t="s">
        <v>39</v>
      </c>
      <c r="F19804">
        <v>0</v>
      </c>
      <c r="G19804">
        <v>0</v>
      </c>
      <c r="H19804">
        <v>19</v>
      </c>
      <c r="I19804" s="3">
        <v>6795.27</v>
      </c>
      <c r="J19804" s="3">
        <v>6529.61</v>
      </c>
      <c r="P19804" t="str">
        <f>""</f>
        <v/>
      </c>
    </row>
    <row r="19805" spans="1:16" x14ac:dyDescent="0.25">
      <c r="A19805" t="str">
        <f>"1280070H00042    00"</f>
        <v>1280070H00042    00</v>
      </c>
      <c r="B19805" t="s">
        <v>42930</v>
      </c>
      <c r="C19805" t="s">
        <v>42931</v>
      </c>
      <c r="D19805" t="s">
        <v>20</v>
      </c>
      <c r="E19805" t="s">
        <v>39</v>
      </c>
      <c r="F19805">
        <v>0</v>
      </c>
      <c r="G19805">
        <v>0</v>
      </c>
      <c r="H19805">
        <v>1</v>
      </c>
      <c r="I19805" s="3">
        <v>1797.37</v>
      </c>
      <c r="J19805" s="3">
        <v>0</v>
      </c>
      <c r="L19805">
        <v>136</v>
      </c>
      <c r="M19805" t="s">
        <v>42932</v>
      </c>
      <c r="N19805" t="s">
        <v>42933</v>
      </c>
      <c r="O19805" t="s">
        <v>495</v>
      </c>
      <c r="P19805" t="str">
        <f>"93950"</f>
        <v>93950</v>
      </c>
    </row>
    <row r="19806" spans="1:16" x14ac:dyDescent="0.25">
      <c r="A19806" t="str">
        <f>"1280070H00051    00"</f>
        <v>1280070H00051    00</v>
      </c>
      <c r="B19806" t="s">
        <v>42934</v>
      </c>
      <c r="C19806" t="s">
        <v>42935</v>
      </c>
      <c r="D19806" t="s">
        <v>20</v>
      </c>
      <c r="E19806" t="s">
        <v>39</v>
      </c>
      <c r="F19806">
        <v>0</v>
      </c>
      <c r="G19806">
        <v>0</v>
      </c>
      <c r="H19806">
        <v>19</v>
      </c>
      <c r="I19806" s="3">
        <v>41879.81</v>
      </c>
      <c r="J19806" s="3">
        <v>40572.67</v>
      </c>
      <c r="L19806">
        <v>94</v>
      </c>
      <c r="M19806" t="s">
        <v>21221</v>
      </c>
      <c r="N19806" t="s">
        <v>30</v>
      </c>
      <c r="O19806" t="s">
        <v>31</v>
      </c>
      <c r="P19806" t="str">
        <f>"15205"</f>
        <v>15205</v>
      </c>
    </row>
    <row r="19807" spans="1:16" x14ac:dyDescent="0.25">
      <c r="A19807" t="str">
        <f>"1280070J00035    00"</f>
        <v>1280070J00035    00</v>
      </c>
      <c r="B19807" t="s">
        <v>42936</v>
      </c>
      <c r="C19807" t="s">
        <v>42937</v>
      </c>
      <c r="D19807" t="s">
        <v>20</v>
      </c>
      <c r="E19807" t="s">
        <v>39</v>
      </c>
      <c r="F19807">
        <v>0</v>
      </c>
      <c r="G19807">
        <v>0</v>
      </c>
      <c r="H19807">
        <v>2</v>
      </c>
      <c r="I19807" s="3">
        <v>1097.8599999999999</v>
      </c>
      <c r="J19807" s="3">
        <v>0</v>
      </c>
      <c r="L19807">
        <v>404</v>
      </c>
      <c r="M19807" t="s">
        <v>42900</v>
      </c>
      <c r="N19807" t="s">
        <v>30</v>
      </c>
      <c r="O19807" t="s">
        <v>31</v>
      </c>
      <c r="P19807" t="str">
        <f>"15205"</f>
        <v>15205</v>
      </c>
    </row>
    <row r="19808" spans="1:16" x14ac:dyDescent="0.25">
      <c r="A19808" t="str">
        <f>"1280070J00038    00"</f>
        <v>1280070J00038    00</v>
      </c>
      <c r="B19808" t="s">
        <v>42938</v>
      </c>
      <c r="C19808" t="s">
        <v>42939</v>
      </c>
      <c r="D19808" t="s">
        <v>20</v>
      </c>
      <c r="E19808" t="s">
        <v>39</v>
      </c>
      <c r="F19808">
        <v>0</v>
      </c>
      <c r="G19808">
        <v>0</v>
      </c>
      <c r="H19808">
        <v>7</v>
      </c>
      <c r="I19808" s="3">
        <v>1018.68</v>
      </c>
      <c r="J19808" s="3">
        <v>277.75</v>
      </c>
      <c r="K19808" t="s">
        <v>42940</v>
      </c>
      <c r="L19808">
        <v>410</v>
      </c>
      <c r="M19808" t="s">
        <v>42900</v>
      </c>
      <c r="N19808" t="s">
        <v>30</v>
      </c>
      <c r="O19808" t="s">
        <v>31</v>
      </c>
      <c r="P19808" t="str">
        <f>"15205"</f>
        <v>15205</v>
      </c>
    </row>
    <row r="19809" spans="1:16" x14ac:dyDescent="0.25">
      <c r="A19809" t="str">
        <f>"1280070J00040    00"</f>
        <v>1280070J00040    00</v>
      </c>
      <c r="B19809" t="s">
        <v>42941</v>
      </c>
      <c r="C19809" t="s">
        <v>42942</v>
      </c>
      <c r="E19809" t="s">
        <v>39</v>
      </c>
      <c r="F19809">
        <v>0</v>
      </c>
      <c r="G19809">
        <v>0</v>
      </c>
      <c r="H19809">
        <v>10</v>
      </c>
      <c r="I19809" s="3">
        <v>6092.98</v>
      </c>
      <c r="J19809" s="3">
        <v>8555.67</v>
      </c>
      <c r="K19809" t="s">
        <v>42943</v>
      </c>
      <c r="L19809">
        <v>412</v>
      </c>
      <c r="M19809" t="s">
        <v>42900</v>
      </c>
      <c r="N19809" t="s">
        <v>30</v>
      </c>
      <c r="O19809" t="s">
        <v>31</v>
      </c>
      <c r="P19809" t="str">
        <f>"15205"</f>
        <v>15205</v>
      </c>
    </row>
    <row r="19810" spans="1:16" x14ac:dyDescent="0.25">
      <c r="A19810" t="str">
        <f>"1280070J00043    00"</f>
        <v>1280070J00043    00</v>
      </c>
      <c r="B19810" t="s">
        <v>42920</v>
      </c>
      <c r="C19810" t="s">
        <v>42944</v>
      </c>
      <c r="D19810" t="s">
        <v>57</v>
      </c>
      <c r="E19810" t="s">
        <v>39</v>
      </c>
      <c r="F19810">
        <v>0</v>
      </c>
      <c r="G19810">
        <v>0</v>
      </c>
      <c r="H19810">
        <v>1</v>
      </c>
      <c r="I19810" s="3">
        <v>76.88</v>
      </c>
      <c r="J19810" s="3">
        <v>0</v>
      </c>
      <c r="L19810">
        <v>10</v>
      </c>
      <c r="M19810" t="s">
        <v>42922</v>
      </c>
      <c r="N19810" t="s">
        <v>12126</v>
      </c>
      <c r="O19810" t="s">
        <v>423</v>
      </c>
      <c r="P19810" t="str">
        <f>"07042"</f>
        <v>07042</v>
      </c>
    </row>
    <row r="19811" spans="1:16" x14ac:dyDescent="0.25">
      <c r="A19811" t="str">
        <f>"1280070J00050    00"</f>
        <v>1280070J00050    00</v>
      </c>
      <c r="B19811" t="s">
        <v>42945</v>
      </c>
      <c r="C19811" t="s">
        <v>42946</v>
      </c>
      <c r="E19811" t="s">
        <v>39</v>
      </c>
      <c r="F19811">
        <v>0</v>
      </c>
      <c r="G19811">
        <v>0</v>
      </c>
      <c r="H19811">
        <v>2</v>
      </c>
      <c r="I19811" s="3">
        <v>951.53</v>
      </c>
      <c r="J19811" s="3">
        <v>169.21</v>
      </c>
      <c r="K19811" t="s">
        <v>42947</v>
      </c>
      <c r="L19811">
        <v>3708</v>
      </c>
      <c r="M19811" t="s">
        <v>42948</v>
      </c>
      <c r="N19811" t="s">
        <v>17179</v>
      </c>
      <c r="O19811" t="s">
        <v>1184</v>
      </c>
      <c r="P19811" t="str">
        <f>"20748"</f>
        <v>20748</v>
      </c>
    </row>
    <row r="19812" spans="1:16" x14ac:dyDescent="0.25">
      <c r="A19812" t="str">
        <f>"1280070J00052    00"</f>
        <v>1280070J00052    00</v>
      </c>
      <c r="B19812" t="s">
        <v>42949</v>
      </c>
      <c r="C19812" t="s">
        <v>42950</v>
      </c>
      <c r="D19812" t="s">
        <v>20</v>
      </c>
      <c r="E19812" t="s">
        <v>39</v>
      </c>
      <c r="F19812">
        <v>0</v>
      </c>
      <c r="G19812">
        <v>0</v>
      </c>
      <c r="H19812">
        <v>3</v>
      </c>
      <c r="I19812" s="3">
        <v>1366.13</v>
      </c>
      <c r="J19812" s="3">
        <v>174.9</v>
      </c>
      <c r="L19812">
        <v>6587</v>
      </c>
      <c r="M19812" t="s">
        <v>11291</v>
      </c>
      <c r="N19812" t="s">
        <v>30</v>
      </c>
      <c r="O19812" t="s">
        <v>31</v>
      </c>
      <c r="P19812" t="str">
        <f>"15206"</f>
        <v>15206</v>
      </c>
    </row>
    <row r="19813" spans="1:16" x14ac:dyDescent="0.25">
      <c r="A19813" t="str">
        <f>"1280070J00053    00"</f>
        <v>1280070J00053    00</v>
      </c>
      <c r="B19813" t="s">
        <v>42951</v>
      </c>
      <c r="C19813" t="s">
        <v>42952</v>
      </c>
      <c r="E19813" t="s">
        <v>39</v>
      </c>
      <c r="F19813">
        <v>0</v>
      </c>
      <c r="G19813">
        <v>0</v>
      </c>
      <c r="H19813">
        <v>3</v>
      </c>
      <c r="I19813" s="3">
        <v>549.73</v>
      </c>
      <c r="J19813" s="3">
        <v>220.77</v>
      </c>
      <c r="L19813">
        <v>318</v>
      </c>
      <c r="M19813" t="s">
        <v>21599</v>
      </c>
      <c r="N19813" t="s">
        <v>30</v>
      </c>
      <c r="O19813" t="s">
        <v>31</v>
      </c>
      <c r="P19813" t="str">
        <f>"15207"</f>
        <v>15207</v>
      </c>
    </row>
    <row r="19814" spans="1:16" x14ac:dyDescent="0.25">
      <c r="A19814" t="str">
        <f>"1280070J00054    00"</f>
        <v>1280070J00054    00</v>
      </c>
      <c r="B19814" t="s">
        <v>42951</v>
      </c>
      <c r="C19814" t="s">
        <v>42952</v>
      </c>
      <c r="E19814" t="s">
        <v>39</v>
      </c>
      <c r="F19814">
        <v>0</v>
      </c>
      <c r="G19814">
        <v>0</v>
      </c>
      <c r="H19814">
        <v>3</v>
      </c>
      <c r="I19814" s="3">
        <v>233.2</v>
      </c>
      <c r="J19814" s="3">
        <v>95.42</v>
      </c>
      <c r="L19814">
        <v>318</v>
      </c>
      <c r="M19814" t="s">
        <v>21599</v>
      </c>
      <c r="N19814" t="s">
        <v>30</v>
      </c>
      <c r="O19814" t="s">
        <v>31</v>
      </c>
      <c r="P19814" t="str">
        <f>"15207"</f>
        <v>15207</v>
      </c>
    </row>
    <row r="19815" spans="1:16" x14ac:dyDescent="0.25">
      <c r="A19815" t="str">
        <f>"1280070J00067    00"</f>
        <v>1280070J00067    00</v>
      </c>
      <c r="B19815" t="s">
        <v>42953</v>
      </c>
      <c r="C19815" t="s">
        <v>42954</v>
      </c>
      <c r="D19815" t="s">
        <v>20</v>
      </c>
      <c r="E19815" t="s">
        <v>39</v>
      </c>
      <c r="F19815">
        <v>0</v>
      </c>
      <c r="G19815">
        <v>0</v>
      </c>
      <c r="H19815">
        <v>6</v>
      </c>
      <c r="I19815" s="3">
        <v>4874.58</v>
      </c>
      <c r="J19815" s="3">
        <v>935.05</v>
      </c>
      <c r="L19815">
        <v>521</v>
      </c>
      <c r="M19815" t="s">
        <v>42955</v>
      </c>
      <c r="N19815" t="s">
        <v>139</v>
      </c>
      <c r="O19815" t="s">
        <v>31</v>
      </c>
      <c r="P19815" t="str">
        <f>"15090"</f>
        <v>15090</v>
      </c>
    </row>
    <row r="19816" spans="1:16" x14ac:dyDescent="0.25">
      <c r="A19816" t="str">
        <f>"1280070J00071    00"</f>
        <v>1280070J00071    00</v>
      </c>
      <c r="B19816" t="s">
        <v>42956</v>
      </c>
      <c r="C19816" t="s">
        <v>42957</v>
      </c>
      <c r="D19816" t="s">
        <v>20</v>
      </c>
      <c r="E19816" t="s">
        <v>39</v>
      </c>
      <c r="F19816">
        <v>0</v>
      </c>
      <c r="G19816">
        <v>0</v>
      </c>
      <c r="H19816">
        <v>1</v>
      </c>
      <c r="I19816" s="3">
        <v>518.65</v>
      </c>
      <c r="J19816" s="3">
        <v>0</v>
      </c>
      <c r="K19816" t="s">
        <v>42958</v>
      </c>
      <c r="L19816">
        <v>820</v>
      </c>
      <c r="M19816" t="s">
        <v>2462</v>
      </c>
      <c r="N19816" t="s">
        <v>30</v>
      </c>
      <c r="O19816" t="s">
        <v>31</v>
      </c>
      <c r="P19816" t="str">
        <f>"15214"</f>
        <v>15214</v>
      </c>
    </row>
    <row r="19817" spans="1:16" x14ac:dyDescent="0.25">
      <c r="A19817" t="str">
        <f>"1280070J00077    00"</f>
        <v>1280070J00077    00</v>
      </c>
      <c r="B19817" t="s">
        <v>42959</v>
      </c>
      <c r="C19817" t="s">
        <v>42960</v>
      </c>
      <c r="D19817" t="s">
        <v>20</v>
      </c>
      <c r="E19817" t="s">
        <v>39</v>
      </c>
      <c r="F19817">
        <v>0</v>
      </c>
      <c r="G19817">
        <v>0</v>
      </c>
      <c r="H19817">
        <v>17</v>
      </c>
      <c r="I19817" s="3">
        <v>17225.93</v>
      </c>
      <c r="J19817" s="3">
        <v>15295.9</v>
      </c>
      <c r="K19817" t="s">
        <v>42961</v>
      </c>
      <c r="L19817">
        <v>502</v>
      </c>
      <c r="M19817" t="s">
        <v>40453</v>
      </c>
      <c r="N19817" t="s">
        <v>30</v>
      </c>
      <c r="O19817" t="s">
        <v>31</v>
      </c>
      <c r="P19817" t="str">
        <f>"15205"</f>
        <v>15205</v>
      </c>
    </row>
    <row r="19818" spans="1:16" x14ac:dyDescent="0.25">
      <c r="A19818" t="str">
        <f>"1280070J00127    00"</f>
        <v>1280070J00127    00</v>
      </c>
      <c r="B19818" t="s">
        <v>42962</v>
      </c>
      <c r="C19818" t="s">
        <v>42963</v>
      </c>
      <c r="E19818" t="s">
        <v>39</v>
      </c>
      <c r="F19818">
        <v>0</v>
      </c>
      <c r="G19818">
        <v>0</v>
      </c>
      <c r="H19818">
        <v>1</v>
      </c>
      <c r="I19818" s="3">
        <v>380.6</v>
      </c>
      <c r="J19818" s="3">
        <v>0</v>
      </c>
      <c r="L19818">
        <v>3371</v>
      </c>
      <c r="M19818" t="s">
        <v>40453</v>
      </c>
      <c r="N19818" t="s">
        <v>30</v>
      </c>
      <c r="O19818" t="s">
        <v>31</v>
      </c>
      <c r="P19818" t="str">
        <f>"15205"</f>
        <v>15205</v>
      </c>
    </row>
    <row r="19819" spans="1:16" x14ac:dyDescent="0.25">
      <c r="A19819" t="str">
        <f>"1280070J00157    00"</f>
        <v>1280070J00157    00</v>
      </c>
      <c r="B19819" t="s">
        <v>42964</v>
      </c>
      <c r="C19819" t="s">
        <v>42965</v>
      </c>
      <c r="E19819" t="s">
        <v>39</v>
      </c>
      <c r="F19819">
        <v>0</v>
      </c>
      <c r="G19819">
        <v>0</v>
      </c>
      <c r="H19819">
        <v>1</v>
      </c>
      <c r="I19819" s="3">
        <v>987.08</v>
      </c>
      <c r="J19819" s="3">
        <v>0</v>
      </c>
      <c r="L19819">
        <v>3429</v>
      </c>
      <c r="M19819" t="s">
        <v>40453</v>
      </c>
      <c r="N19819" t="s">
        <v>30</v>
      </c>
      <c r="O19819" t="s">
        <v>31</v>
      </c>
      <c r="P19819" t="str">
        <f>"15205"</f>
        <v>15205</v>
      </c>
    </row>
    <row r="19820" spans="1:16" x14ac:dyDescent="0.25">
      <c r="A19820" t="str">
        <f>"1280070J00159    00"</f>
        <v>1280070J00159    00</v>
      </c>
      <c r="B19820" t="s">
        <v>42966</v>
      </c>
      <c r="C19820" t="s">
        <v>42967</v>
      </c>
      <c r="D19820" t="s">
        <v>20</v>
      </c>
      <c r="E19820" t="s">
        <v>39</v>
      </c>
      <c r="F19820">
        <v>0</v>
      </c>
      <c r="G19820">
        <v>0</v>
      </c>
      <c r="H19820">
        <v>2</v>
      </c>
      <c r="I19820" s="3">
        <v>2448.3000000000002</v>
      </c>
      <c r="J19820" s="3">
        <v>0</v>
      </c>
      <c r="K19820" t="s">
        <v>42968</v>
      </c>
      <c r="L19820">
        <v>9537</v>
      </c>
      <c r="M19820" t="s">
        <v>32004</v>
      </c>
      <c r="N19820" t="s">
        <v>42969</v>
      </c>
      <c r="O19820" t="s">
        <v>692</v>
      </c>
      <c r="P19820" t="str">
        <f>"23832"</f>
        <v>23832</v>
      </c>
    </row>
    <row r="19821" spans="1:16" x14ac:dyDescent="0.25">
      <c r="A19821" t="str">
        <f>"1280070J00169    00"</f>
        <v>1280070J00169    00</v>
      </c>
      <c r="B19821" t="s">
        <v>42970</v>
      </c>
      <c r="C19821" t="s">
        <v>42971</v>
      </c>
      <c r="D19821" t="s">
        <v>20</v>
      </c>
      <c r="E19821" t="s">
        <v>39</v>
      </c>
      <c r="F19821">
        <v>0</v>
      </c>
      <c r="G19821">
        <v>0</v>
      </c>
      <c r="H19821">
        <v>5</v>
      </c>
      <c r="I19821" s="3">
        <v>5471.07</v>
      </c>
      <c r="J19821" s="3">
        <v>522.02</v>
      </c>
      <c r="L19821">
        <v>2027</v>
      </c>
      <c r="M19821" t="s">
        <v>42972</v>
      </c>
      <c r="N19821" t="s">
        <v>30</v>
      </c>
      <c r="O19821" t="s">
        <v>31</v>
      </c>
      <c r="P19821" t="str">
        <f>"15205"</f>
        <v>15205</v>
      </c>
    </row>
    <row r="19822" spans="1:16" x14ac:dyDescent="0.25">
      <c r="A19822" t="str">
        <f>"1280070J00277    00"</f>
        <v>1280070J00277    00</v>
      </c>
      <c r="B19822" t="s">
        <v>42973</v>
      </c>
      <c r="C19822" t="s">
        <v>42974</v>
      </c>
      <c r="D19822" t="s">
        <v>20</v>
      </c>
      <c r="E19822" t="s">
        <v>39</v>
      </c>
      <c r="F19822">
        <v>0</v>
      </c>
      <c r="G19822">
        <v>0</v>
      </c>
      <c r="H19822">
        <v>7</v>
      </c>
      <c r="I19822" s="3">
        <v>1425.81</v>
      </c>
      <c r="J19822" s="3">
        <v>925.19</v>
      </c>
      <c r="L19822">
        <v>2049</v>
      </c>
      <c r="M19822" t="s">
        <v>30623</v>
      </c>
      <c r="N19822" t="s">
        <v>30</v>
      </c>
      <c r="O19822" t="s">
        <v>31</v>
      </c>
      <c r="P19822" t="str">
        <f>"15205"</f>
        <v>15205</v>
      </c>
    </row>
    <row r="19823" spans="1:16" x14ac:dyDescent="0.25">
      <c r="A19823" t="str">
        <f>"1280070K00070    00"</f>
        <v>1280070K00070    00</v>
      </c>
      <c r="B19823" t="s">
        <v>42975</v>
      </c>
      <c r="C19823" t="s">
        <v>42960</v>
      </c>
      <c r="D19823" t="s">
        <v>20</v>
      </c>
      <c r="E19823" t="s">
        <v>39</v>
      </c>
      <c r="F19823">
        <v>0</v>
      </c>
      <c r="G19823">
        <v>0</v>
      </c>
      <c r="H19823">
        <v>17</v>
      </c>
      <c r="I19823" s="3">
        <v>131.16999999999999</v>
      </c>
      <c r="J19823" s="3">
        <v>109.61</v>
      </c>
      <c r="K19823" t="s">
        <v>42976</v>
      </c>
      <c r="L19823">
        <v>927</v>
      </c>
      <c r="M19823" t="s">
        <v>42977</v>
      </c>
      <c r="N19823" t="s">
        <v>11322</v>
      </c>
      <c r="O19823" t="s">
        <v>31</v>
      </c>
      <c r="P19823" t="str">
        <f>"18101"</f>
        <v>18101</v>
      </c>
    </row>
    <row r="19824" spans="1:16" x14ac:dyDescent="0.25">
      <c r="A19824" t="str">
        <f>"1280071A00026    00"</f>
        <v>1280071A00026    00</v>
      </c>
      <c r="B19824" t="s">
        <v>42978</v>
      </c>
      <c r="C19824" t="s">
        <v>42979</v>
      </c>
      <c r="D19824" t="s">
        <v>20</v>
      </c>
      <c r="E19824" t="s">
        <v>39</v>
      </c>
      <c r="F19824">
        <v>0</v>
      </c>
      <c r="G19824">
        <v>0</v>
      </c>
      <c r="H19824">
        <v>2</v>
      </c>
      <c r="I19824" s="3">
        <v>1714.02</v>
      </c>
      <c r="J19824" s="3">
        <v>0</v>
      </c>
      <c r="L19824">
        <v>1105</v>
      </c>
      <c r="M19824" t="s">
        <v>32027</v>
      </c>
      <c r="N19824" t="s">
        <v>903</v>
      </c>
      <c r="O19824" t="s">
        <v>31</v>
      </c>
      <c r="P19824" t="str">
        <f>"15136"</f>
        <v>15136</v>
      </c>
    </row>
    <row r="19825" spans="1:16" x14ac:dyDescent="0.25">
      <c r="A19825" t="str">
        <f>"1280071A00060    00"</f>
        <v>1280071A00060    00</v>
      </c>
      <c r="B19825" t="s">
        <v>42980</v>
      </c>
      <c r="C19825" t="s">
        <v>42981</v>
      </c>
      <c r="E19825" t="s">
        <v>39</v>
      </c>
      <c r="F19825">
        <v>0</v>
      </c>
      <c r="G19825">
        <v>0</v>
      </c>
      <c r="H19825">
        <v>1</v>
      </c>
      <c r="I19825" s="3">
        <v>496.6</v>
      </c>
      <c r="J19825" s="3">
        <v>198.63</v>
      </c>
      <c r="L19825">
        <v>3895</v>
      </c>
      <c r="M19825" t="s">
        <v>42982</v>
      </c>
      <c r="N19825" t="s">
        <v>30</v>
      </c>
      <c r="O19825" t="s">
        <v>31</v>
      </c>
      <c r="P19825" t="str">
        <f>"15204"</f>
        <v>15204</v>
      </c>
    </row>
    <row r="19826" spans="1:16" x14ac:dyDescent="0.25">
      <c r="A19826" t="str">
        <f>"1280071B00090    00"</f>
        <v>1280071B00090    00</v>
      </c>
      <c r="B19826" t="s">
        <v>42983</v>
      </c>
      <c r="C19826" t="s">
        <v>42984</v>
      </c>
      <c r="D19826" t="s">
        <v>20</v>
      </c>
      <c r="E19826" t="s">
        <v>39</v>
      </c>
      <c r="F19826">
        <v>0</v>
      </c>
      <c r="G19826">
        <v>0</v>
      </c>
      <c r="H19826">
        <v>1</v>
      </c>
      <c r="I19826" s="3">
        <v>507.38</v>
      </c>
      <c r="J19826" s="3">
        <v>0</v>
      </c>
      <c r="L19826">
        <v>513</v>
      </c>
      <c r="M19826" t="s">
        <v>17625</v>
      </c>
      <c r="N19826" t="s">
        <v>30</v>
      </c>
      <c r="O19826" t="s">
        <v>31</v>
      </c>
      <c r="P19826" t="str">
        <f>"15205"</f>
        <v>15205</v>
      </c>
    </row>
    <row r="19827" spans="1:16" x14ac:dyDescent="0.25">
      <c r="A19827" t="str">
        <f>"1280071B00186    00"</f>
        <v>1280071B00186    00</v>
      </c>
      <c r="B19827" t="s">
        <v>42985</v>
      </c>
      <c r="C19827" t="s">
        <v>42986</v>
      </c>
      <c r="D19827" t="s">
        <v>20</v>
      </c>
      <c r="E19827" t="s">
        <v>39</v>
      </c>
      <c r="F19827">
        <v>0</v>
      </c>
      <c r="G19827">
        <v>0</v>
      </c>
      <c r="H19827">
        <v>2</v>
      </c>
      <c r="I19827" s="3">
        <v>1655.42</v>
      </c>
      <c r="J19827" s="3">
        <v>0</v>
      </c>
      <c r="L19827">
        <v>3896</v>
      </c>
      <c r="M19827" t="s">
        <v>8750</v>
      </c>
      <c r="N19827" t="s">
        <v>30</v>
      </c>
      <c r="O19827" t="s">
        <v>31</v>
      </c>
      <c r="P19827" t="str">
        <f>"15204"</f>
        <v>15204</v>
      </c>
    </row>
    <row r="19828" spans="1:16" x14ac:dyDescent="0.25">
      <c r="A19828" t="str">
        <f>"1280071B00234    00"</f>
        <v>1280071B00234    00</v>
      </c>
      <c r="B19828" t="s">
        <v>42987</v>
      </c>
      <c r="C19828" t="s">
        <v>42988</v>
      </c>
      <c r="E19828" t="s">
        <v>39</v>
      </c>
      <c r="F19828">
        <v>0</v>
      </c>
      <c r="G19828">
        <v>0</v>
      </c>
      <c r="H19828">
        <v>2</v>
      </c>
      <c r="I19828" s="3">
        <v>1245.1400000000001</v>
      </c>
      <c r="J19828" s="3">
        <v>296.93</v>
      </c>
      <c r="K19828" t="s">
        <v>42989</v>
      </c>
      <c r="L19828">
        <v>3865</v>
      </c>
      <c r="M19828" t="s">
        <v>8750</v>
      </c>
      <c r="N19828" t="s">
        <v>30</v>
      </c>
      <c r="O19828" t="s">
        <v>31</v>
      </c>
      <c r="P19828" t="str">
        <f>"15204"</f>
        <v>15204</v>
      </c>
    </row>
    <row r="19829" spans="1:16" x14ac:dyDescent="0.25">
      <c r="A19829" t="str">
        <f>"1280071C00002    00"</f>
        <v>1280071C00002    00</v>
      </c>
      <c r="B19829" t="s">
        <v>42990</v>
      </c>
      <c r="C19829" t="s">
        <v>42991</v>
      </c>
      <c r="E19829" t="s">
        <v>39</v>
      </c>
      <c r="F19829">
        <v>0</v>
      </c>
      <c r="G19829">
        <v>0</v>
      </c>
      <c r="H19829">
        <v>1</v>
      </c>
      <c r="I19829" s="3">
        <v>1245.1600000000001</v>
      </c>
      <c r="J19829" s="3">
        <v>0</v>
      </c>
      <c r="L19829">
        <v>3713</v>
      </c>
      <c r="M19829" t="s">
        <v>42992</v>
      </c>
      <c r="N19829" t="s">
        <v>30</v>
      </c>
      <c r="O19829" t="s">
        <v>31</v>
      </c>
      <c r="P19829" t="str">
        <f>"15204"</f>
        <v>15204</v>
      </c>
    </row>
    <row r="19830" spans="1:16" x14ac:dyDescent="0.25">
      <c r="A19830" t="str">
        <f>"1280071C00004    00"</f>
        <v>1280071C00004    00</v>
      </c>
      <c r="B19830" t="s">
        <v>42993</v>
      </c>
      <c r="C19830" t="s">
        <v>42994</v>
      </c>
      <c r="E19830" t="s">
        <v>39</v>
      </c>
      <c r="F19830">
        <v>0</v>
      </c>
      <c r="G19830">
        <v>0</v>
      </c>
      <c r="H19830">
        <v>3</v>
      </c>
      <c r="I19830" s="3">
        <v>3386.02</v>
      </c>
      <c r="J19830" s="3">
        <v>661.51</v>
      </c>
      <c r="L19830">
        <v>3719</v>
      </c>
      <c r="M19830" t="s">
        <v>42992</v>
      </c>
      <c r="N19830" t="s">
        <v>30</v>
      </c>
      <c r="O19830" t="s">
        <v>31</v>
      </c>
      <c r="P19830" t="str">
        <f>"15204"</f>
        <v>15204</v>
      </c>
    </row>
    <row r="19831" spans="1:16" x14ac:dyDescent="0.25">
      <c r="A19831" t="str">
        <f>"1280071C00042    00"</f>
        <v>1280071C00042    00</v>
      </c>
      <c r="B19831" t="s">
        <v>42995</v>
      </c>
      <c r="C19831" t="s">
        <v>42996</v>
      </c>
      <c r="D19831" t="s">
        <v>20</v>
      </c>
      <c r="E19831" t="s">
        <v>39</v>
      </c>
      <c r="F19831">
        <v>0</v>
      </c>
      <c r="G19831">
        <v>0</v>
      </c>
      <c r="H19831">
        <v>9</v>
      </c>
      <c r="I19831" s="3">
        <v>9113.75</v>
      </c>
      <c r="J19831" s="3">
        <v>5575.64</v>
      </c>
      <c r="L19831">
        <v>3703</v>
      </c>
      <c r="M19831" t="s">
        <v>1394</v>
      </c>
      <c r="N19831" t="s">
        <v>30</v>
      </c>
      <c r="O19831" t="s">
        <v>31</v>
      </c>
      <c r="P19831" t="str">
        <f>"15204"</f>
        <v>15204</v>
      </c>
    </row>
    <row r="19832" spans="1:16" x14ac:dyDescent="0.25">
      <c r="A19832" t="str">
        <f>"1280071E00007    00"</f>
        <v>1280071E00007    00</v>
      </c>
      <c r="B19832" t="s">
        <v>41162</v>
      </c>
      <c r="C19832" t="s">
        <v>42997</v>
      </c>
      <c r="D19832" t="s">
        <v>20</v>
      </c>
      <c r="E19832" t="s">
        <v>39</v>
      </c>
      <c r="F19832">
        <v>0</v>
      </c>
      <c r="G19832">
        <v>0</v>
      </c>
      <c r="H19832">
        <v>7</v>
      </c>
      <c r="I19832" s="3">
        <v>8965.4</v>
      </c>
      <c r="J19832" s="3">
        <v>2479.2199999999998</v>
      </c>
      <c r="L19832">
        <v>814</v>
      </c>
      <c r="M19832" t="s">
        <v>23798</v>
      </c>
      <c r="N19832" t="s">
        <v>903</v>
      </c>
      <c r="O19832" t="s">
        <v>31</v>
      </c>
      <c r="P19832" t="str">
        <f>"15136"</f>
        <v>15136</v>
      </c>
    </row>
    <row r="19833" spans="1:16" x14ac:dyDescent="0.25">
      <c r="A19833" t="str">
        <f>"1280071E00032    00"</f>
        <v>1280071E00032    00</v>
      </c>
      <c r="B19833" t="s">
        <v>42998</v>
      </c>
      <c r="C19833" t="s">
        <v>42999</v>
      </c>
      <c r="D19833" t="s">
        <v>20</v>
      </c>
      <c r="E19833" t="s">
        <v>39</v>
      </c>
      <c r="F19833">
        <v>0</v>
      </c>
      <c r="G19833">
        <v>0</v>
      </c>
      <c r="H19833">
        <v>3</v>
      </c>
      <c r="I19833" s="3">
        <v>3751.08</v>
      </c>
      <c r="J19833" s="3">
        <v>250.06</v>
      </c>
      <c r="K19833" t="s">
        <v>43000</v>
      </c>
      <c r="L19833">
        <v>1418</v>
      </c>
      <c r="M19833" t="s">
        <v>32543</v>
      </c>
      <c r="N19833" t="s">
        <v>30</v>
      </c>
      <c r="O19833" t="s">
        <v>31</v>
      </c>
      <c r="P19833" t="str">
        <f>"15204"</f>
        <v>15204</v>
      </c>
    </row>
    <row r="19834" spans="1:16" x14ac:dyDescent="0.25">
      <c r="A19834" t="str">
        <f>"1280071E00056    00"</f>
        <v>1280071E00056    00</v>
      </c>
      <c r="B19834" t="s">
        <v>43001</v>
      </c>
      <c r="C19834" t="s">
        <v>43002</v>
      </c>
      <c r="E19834" t="s">
        <v>39</v>
      </c>
      <c r="F19834">
        <v>0</v>
      </c>
      <c r="G19834">
        <v>0</v>
      </c>
      <c r="H19834">
        <v>2</v>
      </c>
      <c r="I19834" s="3">
        <v>2417.52</v>
      </c>
      <c r="J19834" s="3">
        <v>122.11</v>
      </c>
      <c r="L19834">
        <v>823</v>
      </c>
      <c r="M19834" t="s">
        <v>14713</v>
      </c>
      <c r="N19834" t="s">
        <v>30</v>
      </c>
      <c r="O19834" t="s">
        <v>31</v>
      </c>
      <c r="P19834" t="str">
        <f>"15210"</f>
        <v>15210</v>
      </c>
    </row>
    <row r="19835" spans="1:16" x14ac:dyDescent="0.25">
      <c r="A19835" t="str">
        <f>"1280071E00088    00"</f>
        <v>1280071E00088    00</v>
      </c>
      <c r="B19835" t="s">
        <v>43003</v>
      </c>
      <c r="C19835" t="s">
        <v>43004</v>
      </c>
      <c r="E19835" t="s">
        <v>39</v>
      </c>
      <c r="F19835">
        <v>0</v>
      </c>
      <c r="G19835">
        <v>0</v>
      </c>
      <c r="H19835">
        <v>1</v>
      </c>
      <c r="I19835" s="3">
        <v>992.96</v>
      </c>
      <c r="J19835" s="3">
        <v>182.04</v>
      </c>
      <c r="L19835">
        <v>3768</v>
      </c>
      <c r="M19835" t="s">
        <v>8750</v>
      </c>
      <c r="N19835" t="s">
        <v>30</v>
      </c>
      <c r="O19835" t="s">
        <v>31</v>
      </c>
      <c r="P19835" t="str">
        <f>"15204"</f>
        <v>15204</v>
      </c>
    </row>
    <row r="19836" spans="1:16" x14ac:dyDescent="0.25">
      <c r="A19836" t="str">
        <f>"1280071E00155    00"</f>
        <v>1280071E00155    00</v>
      </c>
      <c r="B19836" t="s">
        <v>43005</v>
      </c>
      <c r="C19836" t="s">
        <v>43006</v>
      </c>
      <c r="E19836" t="s">
        <v>39</v>
      </c>
      <c r="F19836">
        <v>0</v>
      </c>
      <c r="G19836">
        <v>0</v>
      </c>
      <c r="H19836">
        <v>1</v>
      </c>
      <c r="I19836" s="3">
        <v>1493.68</v>
      </c>
      <c r="J19836" s="3">
        <v>336.07</v>
      </c>
      <c r="K19836" t="s">
        <v>881</v>
      </c>
      <c r="L19836">
        <v>3001</v>
      </c>
      <c r="M19836" t="s">
        <v>330</v>
      </c>
      <c r="N19836" t="s">
        <v>331</v>
      </c>
      <c r="O19836" t="s">
        <v>108</v>
      </c>
      <c r="P19836" t="str">
        <f>"75063"</f>
        <v>75063</v>
      </c>
    </row>
    <row r="19837" spans="1:16" x14ac:dyDescent="0.25">
      <c r="A19837" t="str">
        <f>"1280071E00194    00"</f>
        <v>1280071E00194    00</v>
      </c>
      <c r="B19837" t="s">
        <v>43007</v>
      </c>
      <c r="C19837" t="s">
        <v>43008</v>
      </c>
      <c r="E19837" t="s">
        <v>39</v>
      </c>
      <c r="F19837">
        <v>0</v>
      </c>
      <c r="G19837">
        <v>0</v>
      </c>
      <c r="H19837">
        <v>1</v>
      </c>
      <c r="I19837" s="3">
        <v>28.48</v>
      </c>
      <c r="J19837" s="3">
        <v>6.41</v>
      </c>
      <c r="L19837">
        <v>3749</v>
      </c>
      <c r="M19837" t="s">
        <v>42982</v>
      </c>
      <c r="N19837" t="s">
        <v>30</v>
      </c>
      <c r="O19837" t="s">
        <v>31</v>
      </c>
      <c r="P19837" t="str">
        <f>"15204"</f>
        <v>15204</v>
      </c>
    </row>
    <row r="19838" spans="1:16" x14ac:dyDescent="0.25">
      <c r="A19838" t="str">
        <f>"1280071F00032    00"</f>
        <v>1280071F00032    00</v>
      </c>
      <c r="B19838" t="s">
        <v>43009</v>
      </c>
      <c r="C19838" t="s">
        <v>43010</v>
      </c>
      <c r="D19838" t="s">
        <v>20</v>
      </c>
      <c r="E19838" t="s">
        <v>39</v>
      </c>
      <c r="F19838">
        <v>0</v>
      </c>
      <c r="G19838">
        <v>0</v>
      </c>
      <c r="H19838">
        <v>2</v>
      </c>
      <c r="I19838" s="3">
        <v>1479.9</v>
      </c>
      <c r="J19838" s="3">
        <v>0</v>
      </c>
      <c r="L19838">
        <v>3831</v>
      </c>
      <c r="M19838" t="s">
        <v>5097</v>
      </c>
      <c r="N19838" t="s">
        <v>30</v>
      </c>
      <c r="O19838" t="s">
        <v>31</v>
      </c>
      <c r="P19838" t="str">
        <f>"15204"</f>
        <v>15204</v>
      </c>
    </row>
    <row r="19839" spans="1:16" x14ac:dyDescent="0.25">
      <c r="A19839" t="str">
        <f>"1280071F00036    00"</f>
        <v>1280071F00036    00</v>
      </c>
      <c r="B19839" t="s">
        <v>43011</v>
      </c>
      <c r="C19839" t="s">
        <v>43012</v>
      </c>
      <c r="D19839" t="s">
        <v>20</v>
      </c>
      <c r="E19839" t="s">
        <v>39</v>
      </c>
      <c r="F19839">
        <v>0</v>
      </c>
      <c r="G19839">
        <v>0</v>
      </c>
      <c r="H19839">
        <v>2</v>
      </c>
      <c r="I19839" s="3">
        <v>308.8</v>
      </c>
      <c r="J19839" s="3">
        <v>0</v>
      </c>
      <c r="L19839">
        <v>3831</v>
      </c>
      <c r="M19839" t="s">
        <v>5097</v>
      </c>
      <c r="N19839" t="s">
        <v>30</v>
      </c>
      <c r="O19839" t="s">
        <v>31</v>
      </c>
      <c r="P19839" t="str">
        <f>"15204"</f>
        <v>15204</v>
      </c>
    </row>
    <row r="19840" spans="1:16" x14ac:dyDescent="0.25">
      <c r="A19840" t="str">
        <f>"1280071F00095    00"</f>
        <v>1280071F00095    00</v>
      </c>
      <c r="B19840" t="s">
        <v>43013</v>
      </c>
      <c r="C19840" t="s">
        <v>43014</v>
      </c>
      <c r="E19840" t="s">
        <v>39</v>
      </c>
      <c r="F19840">
        <v>0</v>
      </c>
      <c r="G19840">
        <v>0</v>
      </c>
      <c r="H19840">
        <v>1</v>
      </c>
      <c r="I19840" s="3">
        <v>1367.69</v>
      </c>
      <c r="J19840" s="3">
        <v>250.73</v>
      </c>
      <c r="K19840" t="s">
        <v>43015</v>
      </c>
      <c r="L19840">
        <v>2700</v>
      </c>
      <c r="M19840" t="s">
        <v>33393</v>
      </c>
      <c r="N19840" t="s">
        <v>24</v>
      </c>
      <c r="O19840" t="s">
        <v>25</v>
      </c>
      <c r="P19840" t="str">
        <f>"43231"</f>
        <v>43231</v>
      </c>
    </row>
    <row r="19841" spans="1:16" x14ac:dyDescent="0.25">
      <c r="A19841" t="str">
        <f>"1280071F00099    00"</f>
        <v>1280071F00099    00</v>
      </c>
      <c r="B19841" t="s">
        <v>43016</v>
      </c>
      <c r="C19841" t="s">
        <v>43017</v>
      </c>
      <c r="D19841" t="s">
        <v>20</v>
      </c>
      <c r="E19841" t="s">
        <v>39</v>
      </c>
      <c r="F19841">
        <v>0</v>
      </c>
      <c r="G19841">
        <v>0</v>
      </c>
      <c r="H19841">
        <v>2</v>
      </c>
      <c r="I19841" s="3">
        <v>1436.13</v>
      </c>
      <c r="J19841" s="3">
        <v>0</v>
      </c>
      <c r="L19841">
        <v>1578</v>
      </c>
      <c r="M19841" t="s">
        <v>43018</v>
      </c>
      <c r="N19841" t="s">
        <v>30</v>
      </c>
      <c r="O19841" t="s">
        <v>31</v>
      </c>
      <c r="P19841" t="str">
        <f>"15204"</f>
        <v>15204</v>
      </c>
    </row>
    <row r="19842" spans="1:16" x14ac:dyDescent="0.25">
      <c r="A19842" t="str">
        <f>"1280071F00109    00"</f>
        <v>1280071F00109    00</v>
      </c>
      <c r="B19842" t="s">
        <v>43019</v>
      </c>
      <c r="C19842" t="s">
        <v>43020</v>
      </c>
      <c r="D19842" t="s">
        <v>20</v>
      </c>
      <c r="E19842" t="s">
        <v>39</v>
      </c>
      <c r="F19842">
        <v>0</v>
      </c>
      <c r="G19842">
        <v>0</v>
      </c>
      <c r="H19842">
        <v>1</v>
      </c>
      <c r="I19842" s="3">
        <v>1287.01</v>
      </c>
      <c r="J19842" s="3">
        <v>0</v>
      </c>
      <c r="K19842" t="s">
        <v>43021</v>
      </c>
      <c r="L19842">
        <v>1560</v>
      </c>
      <c r="M19842" t="s">
        <v>43018</v>
      </c>
      <c r="N19842" t="s">
        <v>30</v>
      </c>
      <c r="O19842" t="s">
        <v>31</v>
      </c>
      <c r="P19842" t="str">
        <f>"15204"</f>
        <v>15204</v>
      </c>
    </row>
    <row r="19843" spans="1:16" x14ac:dyDescent="0.25">
      <c r="A19843" t="str">
        <f>"1280071F00110    00"</f>
        <v>1280071F00110    00</v>
      </c>
      <c r="B19843" t="s">
        <v>33339</v>
      </c>
      <c r="C19843" t="s">
        <v>43022</v>
      </c>
      <c r="D19843" t="s">
        <v>20</v>
      </c>
      <c r="E19843" t="s">
        <v>21</v>
      </c>
      <c r="F19843">
        <v>0</v>
      </c>
      <c r="G19843">
        <v>0</v>
      </c>
      <c r="H19843">
        <v>1</v>
      </c>
      <c r="I19843" s="3">
        <v>928.65</v>
      </c>
      <c r="J19843" s="3">
        <v>0</v>
      </c>
      <c r="L19843">
        <v>1235</v>
      </c>
      <c r="M19843" t="s">
        <v>28159</v>
      </c>
      <c r="N19843" t="s">
        <v>30</v>
      </c>
      <c r="O19843" t="s">
        <v>31</v>
      </c>
      <c r="P19843" t="str">
        <f>"15233"</f>
        <v>15233</v>
      </c>
    </row>
    <row r="19844" spans="1:16" x14ac:dyDescent="0.25">
      <c r="A19844" t="str">
        <f>"1280071F00149    00"</f>
        <v>1280071F00149    00</v>
      </c>
      <c r="B19844" t="s">
        <v>43023</v>
      </c>
      <c r="C19844" t="s">
        <v>43024</v>
      </c>
      <c r="D19844" t="s">
        <v>20</v>
      </c>
      <c r="E19844" t="s">
        <v>39</v>
      </c>
      <c r="F19844">
        <v>0</v>
      </c>
      <c r="G19844">
        <v>0</v>
      </c>
      <c r="H19844">
        <v>19</v>
      </c>
      <c r="I19844" s="3">
        <v>1600.81</v>
      </c>
      <c r="J19844" s="3">
        <v>1925.94</v>
      </c>
      <c r="L19844">
        <v>1555</v>
      </c>
      <c r="M19844" t="s">
        <v>43018</v>
      </c>
      <c r="N19844" t="s">
        <v>30</v>
      </c>
      <c r="O19844" t="s">
        <v>31</v>
      </c>
      <c r="P19844" t="str">
        <f>"15204"</f>
        <v>15204</v>
      </c>
    </row>
    <row r="19845" spans="1:16" x14ac:dyDescent="0.25">
      <c r="A19845" t="str">
        <f>"1280071F00193    00"</f>
        <v>1280071F00193    00</v>
      </c>
      <c r="B19845" t="s">
        <v>43025</v>
      </c>
      <c r="C19845" t="s">
        <v>43026</v>
      </c>
      <c r="D19845" t="s">
        <v>20</v>
      </c>
      <c r="E19845" t="s">
        <v>39</v>
      </c>
      <c r="F19845">
        <v>0</v>
      </c>
      <c r="G19845">
        <v>0</v>
      </c>
      <c r="H19845">
        <v>3</v>
      </c>
      <c r="I19845" s="3">
        <v>583.23</v>
      </c>
      <c r="J19845" s="3">
        <v>38.880000000000003</v>
      </c>
      <c r="L19845">
        <v>3832</v>
      </c>
      <c r="M19845" t="s">
        <v>5097</v>
      </c>
      <c r="N19845" t="s">
        <v>30</v>
      </c>
      <c r="O19845" t="s">
        <v>31</v>
      </c>
      <c r="P19845" t="str">
        <f>"15204"</f>
        <v>15204</v>
      </c>
    </row>
    <row r="19846" spans="1:16" x14ac:dyDescent="0.25">
      <c r="A19846" t="str">
        <f>"1280071F00197    00"</f>
        <v>1280071F00197    00</v>
      </c>
      <c r="B19846" t="s">
        <v>42983</v>
      </c>
      <c r="C19846" t="s">
        <v>43027</v>
      </c>
      <c r="D19846" t="s">
        <v>20</v>
      </c>
      <c r="E19846" t="s">
        <v>39</v>
      </c>
      <c r="F19846">
        <v>0</v>
      </c>
      <c r="G19846">
        <v>0</v>
      </c>
      <c r="H19846">
        <v>1</v>
      </c>
      <c r="I19846" s="3">
        <v>636.53</v>
      </c>
      <c r="J19846" s="3">
        <v>0</v>
      </c>
      <c r="L19846">
        <v>513</v>
      </c>
      <c r="M19846" t="s">
        <v>17625</v>
      </c>
      <c r="N19846" t="s">
        <v>30</v>
      </c>
      <c r="O19846" t="s">
        <v>31</v>
      </c>
      <c r="P19846" t="str">
        <f>"15205"</f>
        <v>15205</v>
      </c>
    </row>
    <row r="19847" spans="1:16" x14ac:dyDescent="0.25">
      <c r="A19847" t="str">
        <f>"1280071F00199    00"</f>
        <v>1280071F00199    00</v>
      </c>
      <c r="B19847" t="s">
        <v>43028</v>
      </c>
      <c r="C19847" t="s">
        <v>43029</v>
      </c>
      <c r="D19847" t="s">
        <v>20</v>
      </c>
      <c r="E19847" t="s">
        <v>39</v>
      </c>
      <c r="F19847">
        <v>0</v>
      </c>
      <c r="G19847">
        <v>0</v>
      </c>
      <c r="H19847">
        <v>3</v>
      </c>
      <c r="I19847" s="3">
        <v>1548.29</v>
      </c>
      <c r="J19847" s="3">
        <v>115.05</v>
      </c>
      <c r="L19847">
        <v>3820</v>
      </c>
      <c r="M19847" t="s">
        <v>5097</v>
      </c>
      <c r="N19847" t="s">
        <v>30</v>
      </c>
      <c r="O19847" t="s">
        <v>31</v>
      </c>
      <c r="P19847" t="str">
        <f>"15204"</f>
        <v>15204</v>
      </c>
    </row>
    <row r="19848" spans="1:16" x14ac:dyDescent="0.25">
      <c r="A19848" t="str">
        <f>"1280071F00207    00"</f>
        <v>1280071F00207    00</v>
      </c>
      <c r="B19848" t="s">
        <v>43030</v>
      </c>
      <c r="C19848" t="s">
        <v>43031</v>
      </c>
      <c r="D19848" t="s">
        <v>20</v>
      </c>
      <c r="E19848" t="s">
        <v>39</v>
      </c>
      <c r="F19848">
        <v>0</v>
      </c>
      <c r="G19848">
        <v>0</v>
      </c>
      <c r="H19848">
        <v>3</v>
      </c>
      <c r="I19848" s="3">
        <v>3856.47</v>
      </c>
      <c r="J19848" s="3">
        <v>608.20000000000005</v>
      </c>
      <c r="K19848" t="s">
        <v>43032</v>
      </c>
      <c r="L19848">
        <v>3804</v>
      </c>
      <c r="M19848" t="s">
        <v>43033</v>
      </c>
      <c r="N19848" t="s">
        <v>30</v>
      </c>
      <c r="O19848" t="s">
        <v>31</v>
      </c>
      <c r="P19848" t="str">
        <f>"15204"</f>
        <v>15204</v>
      </c>
    </row>
    <row r="19849" spans="1:16" x14ac:dyDescent="0.25">
      <c r="A19849" t="str">
        <f>"1280071F00250    00"</f>
        <v>1280071F00250    00</v>
      </c>
      <c r="B19849" t="s">
        <v>43034</v>
      </c>
      <c r="C19849" t="s">
        <v>43035</v>
      </c>
      <c r="E19849" t="s">
        <v>21</v>
      </c>
      <c r="F19849">
        <v>0</v>
      </c>
      <c r="G19849">
        <v>0</v>
      </c>
      <c r="H19849">
        <v>1</v>
      </c>
      <c r="I19849" s="3">
        <v>89.48</v>
      </c>
      <c r="J19849" s="3">
        <v>26.85</v>
      </c>
      <c r="K19849" t="s">
        <v>43036</v>
      </c>
      <c r="L19849">
        <v>1030</v>
      </c>
      <c r="M19849" t="s">
        <v>25874</v>
      </c>
      <c r="N19849" t="s">
        <v>903</v>
      </c>
      <c r="O19849" t="s">
        <v>31</v>
      </c>
      <c r="P19849" t="str">
        <f>"15136"</f>
        <v>15136</v>
      </c>
    </row>
    <row r="19850" spans="1:16" x14ac:dyDescent="0.25">
      <c r="A19850" t="str">
        <f>"1280071F00266    00"</f>
        <v>1280071F00266    00</v>
      </c>
      <c r="B19850" t="s">
        <v>43037</v>
      </c>
      <c r="C19850" t="s">
        <v>43038</v>
      </c>
      <c r="D19850" t="s">
        <v>20</v>
      </c>
      <c r="E19850" t="s">
        <v>39</v>
      </c>
      <c r="F19850">
        <v>0</v>
      </c>
      <c r="G19850">
        <v>0</v>
      </c>
      <c r="H19850">
        <v>5</v>
      </c>
      <c r="I19850" s="3">
        <v>1507.52</v>
      </c>
      <c r="J19850" s="3">
        <v>151.16</v>
      </c>
      <c r="L19850">
        <v>3808</v>
      </c>
      <c r="M19850" t="s">
        <v>16891</v>
      </c>
      <c r="N19850" t="s">
        <v>30</v>
      </c>
      <c r="O19850" t="s">
        <v>31</v>
      </c>
      <c r="P19850" t="str">
        <f>"15204"</f>
        <v>15204</v>
      </c>
    </row>
    <row r="19851" spans="1:16" x14ac:dyDescent="0.25">
      <c r="A19851" t="str">
        <f>"1280071F00308    00"</f>
        <v>1280071F00308    00</v>
      </c>
      <c r="B19851" t="s">
        <v>43039</v>
      </c>
      <c r="C19851" t="s">
        <v>43040</v>
      </c>
      <c r="E19851" t="s">
        <v>39</v>
      </c>
      <c r="F19851">
        <v>0</v>
      </c>
      <c r="G19851">
        <v>0</v>
      </c>
      <c r="H19851">
        <v>5</v>
      </c>
      <c r="I19851" s="3">
        <v>956.59</v>
      </c>
      <c r="J19851" s="3">
        <v>218.7</v>
      </c>
      <c r="K19851" t="s">
        <v>43041</v>
      </c>
      <c r="L19851">
        <v>720</v>
      </c>
      <c r="M19851" t="s">
        <v>43042</v>
      </c>
      <c r="N19851" t="s">
        <v>30</v>
      </c>
      <c r="O19851" t="s">
        <v>31</v>
      </c>
      <c r="P19851" t="str">
        <f>"15219"</f>
        <v>15219</v>
      </c>
    </row>
    <row r="19852" spans="1:16" x14ac:dyDescent="0.25">
      <c r="A19852" t="str">
        <f>"1280071F00329    00"</f>
        <v>1280071F00329    00</v>
      </c>
      <c r="B19852" t="s">
        <v>43043</v>
      </c>
      <c r="C19852" t="s">
        <v>43044</v>
      </c>
      <c r="D19852" t="s">
        <v>20</v>
      </c>
      <c r="E19852" t="s">
        <v>39</v>
      </c>
      <c r="F19852">
        <v>0</v>
      </c>
      <c r="G19852">
        <v>0</v>
      </c>
      <c r="H19852">
        <v>4</v>
      </c>
      <c r="I19852" s="3">
        <v>2697.7</v>
      </c>
      <c r="J19852" s="3">
        <v>206.83</v>
      </c>
      <c r="L19852">
        <v>3800</v>
      </c>
      <c r="M19852" t="s">
        <v>4324</v>
      </c>
      <c r="N19852" t="s">
        <v>30</v>
      </c>
      <c r="O19852" t="s">
        <v>31</v>
      </c>
      <c r="P19852" t="str">
        <f>"15204"</f>
        <v>15204</v>
      </c>
    </row>
    <row r="19853" spans="1:16" x14ac:dyDescent="0.25">
      <c r="A19853" t="str">
        <f>"1280071G00091    00"</f>
        <v>1280071G00091    00</v>
      </c>
      <c r="B19853" t="s">
        <v>43045</v>
      </c>
      <c r="C19853" t="s">
        <v>43046</v>
      </c>
      <c r="D19853" t="s">
        <v>20</v>
      </c>
      <c r="E19853" t="s">
        <v>39</v>
      </c>
      <c r="F19853">
        <v>0</v>
      </c>
      <c r="G19853">
        <v>0</v>
      </c>
      <c r="H19853">
        <v>2</v>
      </c>
      <c r="I19853" s="3">
        <v>1047.1600000000001</v>
      </c>
      <c r="J19853" s="3">
        <v>0</v>
      </c>
      <c r="K19853" t="s">
        <v>43047</v>
      </c>
      <c r="L19853">
        <v>3619</v>
      </c>
      <c r="M19853" t="s">
        <v>1394</v>
      </c>
      <c r="N19853" t="s">
        <v>30</v>
      </c>
      <c r="O19853" t="s">
        <v>31</v>
      </c>
      <c r="P19853" t="str">
        <f>"15204"</f>
        <v>15204</v>
      </c>
    </row>
    <row r="19854" spans="1:16" x14ac:dyDescent="0.25">
      <c r="A19854" t="str">
        <f>"1280071G00130    00"</f>
        <v>1280071G00130    00</v>
      </c>
      <c r="B19854" t="s">
        <v>43048</v>
      </c>
      <c r="C19854" t="s">
        <v>43049</v>
      </c>
      <c r="D19854" t="s">
        <v>20</v>
      </c>
      <c r="E19854" t="s">
        <v>39</v>
      </c>
      <c r="F19854">
        <v>0</v>
      </c>
      <c r="G19854">
        <v>0</v>
      </c>
      <c r="H19854">
        <v>4</v>
      </c>
      <c r="I19854" s="3">
        <v>875.01</v>
      </c>
      <c r="J19854" s="3">
        <v>15.82</v>
      </c>
      <c r="L19854">
        <v>3673</v>
      </c>
      <c r="M19854" t="s">
        <v>1394</v>
      </c>
      <c r="N19854" t="s">
        <v>30</v>
      </c>
      <c r="O19854" t="s">
        <v>31</v>
      </c>
      <c r="P19854" t="str">
        <f>"15204"</f>
        <v>15204</v>
      </c>
    </row>
    <row r="19855" spans="1:16" x14ac:dyDescent="0.25">
      <c r="A19855" t="str">
        <f>"1280071G00133    00"</f>
        <v>1280071G00133    00</v>
      </c>
      <c r="B19855" t="s">
        <v>43050</v>
      </c>
      <c r="C19855" t="s">
        <v>43051</v>
      </c>
      <c r="D19855" t="s">
        <v>20</v>
      </c>
      <c r="E19855" t="s">
        <v>39</v>
      </c>
      <c r="F19855">
        <v>0</v>
      </c>
      <c r="G19855">
        <v>0</v>
      </c>
      <c r="H19855">
        <v>7</v>
      </c>
      <c r="I19855" s="3">
        <v>5190.25</v>
      </c>
      <c r="J19855" s="3">
        <v>1341.22</v>
      </c>
      <c r="L19855">
        <v>812</v>
      </c>
      <c r="M19855" t="s">
        <v>43052</v>
      </c>
      <c r="N19855" t="s">
        <v>30</v>
      </c>
      <c r="O19855" t="s">
        <v>31</v>
      </c>
      <c r="P19855" t="str">
        <f>"15219"</f>
        <v>15219</v>
      </c>
    </row>
    <row r="19856" spans="1:16" x14ac:dyDescent="0.25">
      <c r="A19856" t="str">
        <f>"1280071J00075    00"</f>
        <v>1280071J00075    00</v>
      </c>
      <c r="B19856" t="s">
        <v>43053</v>
      </c>
      <c r="C19856" t="s">
        <v>43054</v>
      </c>
      <c r="D19856" t="s">
        <v>20</v>
      </c>
      <c r="E19856" t="s">
        <v>39</v>
      </c>
      <c r="F19856">
        <v>0</v>
      </c>
      <c r="G19856">
        <v>0</v>
      </c>
      <c r="H19856">
        <v>1</v>
      </c>
      <c r="I19856" s="3">
        <v>600</v>
      </c>
      <c r="J19856" s="3">
        <v>0</v>
      </c>
      <c r="K19856" t="s">
        <v>43055</v>
      </c>
      <c r="L19856">
        <v>3713</v>
      </c>
      <c r="M19856" t="s">
        <v>5097</v>
      </c>
      <c r="N19856" t="s">
        <v>30</v>
      </c>
      <c r="O19856" t="s">
        <v>31</v>
      </c>
      <c r="P19856" t="str">
        <f>"15204"</f>
        <v>15204</v>
      </c>
    </row>
    <row r="19857" spans="1:16" x14ac:dyDescent="0.25">
      <c r="A19857" t="str">
        <f>"1280071J00077    00"</f>
        <v>1280071J00077    00</v>
      </c>
      <c r="B19857" t="s">
        <v>43056</v>
      </c>
      <c r="C19857" t="s">
        <v>43057</v>
      </c>
      <c r="D19857" t="s">
        <v>20</v>
      </c>
      <c r="E19857" t="s">
        <v>39</v>
      </c>
      <c r="F19857">
        <v>0</v>
      </c>
      <c r="G19857">
        <v>0</v>
      </c>
      <c r="H19857">
        <v>9</v>
      </c>
      <c r="I19857" s="3">
        <v>5459.58</v>
      </c>
      <c r="J19857" s="3">
        <v>2477.2399999999998</v>
      </c>
      <c r="L19857">
        <v>3717</v>
      </c>
      <c r="M19857" t="s">
        <v>43058</v>
      </c>
      <c r="N19857" t="s">
        <v>30</v>
      </c>
      <c r="O19857" t="s">
        <v>31</v>
      </c>
      <c r="P19857" t="str">
        <f>"15204"</f>
        <v>15204</v>
      </c>
    </row>
    <row r="19858" spans="1:16" x14ac:dyDescent="0.25">
      <c r="A19858" t="str">
        <f>"1280071J00098    00"</f>
        <v>1280071J00098    00</v>
      </c>
      <c r="B19858" t="s">
        <v>43059</v>
      </c>
      <c r="C19858" t="s">
        <v>43060</v>
      </c>
      <c r="E19858" t="s">
        <v>39</v>
      </c>
      <c r="F19858">
        <v>0</v>
      </c>
      <c r="G19858">
        <v>0</v>
      </c>
      <c r="H19858">
        <v>1</v>
      </c>
      <c r="I19858" s="3">
        <v>1329.35</v>
      </c>
      <c r="J19858" s="3">
        <v>531.72</v>
      </c>
      <c r="K19858" t="s">
        <v>391</v>
      </c>
      <c r="L19858">
        <v>1</v>
      </c>
      <c r="M19858" t="s">
        <v>392</v>
      </c>
      <c r="N19858" t="s">
        <v>393</v>
      </c>
      <c r="O19858" t="s">
        <v>394</v>
      </c>
      <c r="P19858" t="str">
        <f>"50328"</f>
        <v>50328</v>
      </c>
    </row>
    <row r="19859" spans="1:16" x14ac:dyDescent="0.25">
      <c r="A19859" t="str">
        <f>"1280071J00099    00"</f>
        <v>1280071J00099    00</v>
      </c>
      <c r="B19859" t="s">
        <v>32811</v>
      </c>
      <c r="C19859" t="s">
        <v>43061</v>
      </c>
      <c r="D19859" t="s">
        <v>20</v>
      </c>
      <c r="E19859" t="s">
        <v>39</v>
      </c>
      <c r="F19859">
        <v>0</v>
      </c>
      <c r="G19859">
        <v>0</v>
      </c>
      <c r="H19859">
        <v>2</v>
      </c>
      <c r="I19859" s="3">
        <v>2252.9</v>
      </c>
      <c r="J19859" s="3">
        <v>0</v>
      </c>
      <c r="L19859">
        <v>102</v>
      </c>
      <c r="M19859" t="s">
        <v>32813</v>
      </c>
      <c r="N19859" t="s">
        <v>903</v>
      </c>
      <c r="O19859" t="s">
        <v>31</v>
      </c>
      <c r="P19859" t="str">
        <f>"15136"</f>
        <v>15136</v>
      </c>
    </row>
    <row r="19860" spans="1:16" x14ac:dyDescent="0.25">
      <c r="A19860" t="str">
        <f>"1280071J00175    00"</f>
        <v>1280071J00175    00</v>
      </c>
      <c r="B19860" t="s">
        <v>43062</v>
      </c>
      <c r="C19860" t="s">
        <v>43063</v>
      </c>
      <c r="D19860" t="s">
        <v>20</v>
      </c>
      <c r="E19860" t="s">
        <v>39</v>
      </c>
      <c r="F19860">
        <v>0</v>
      </c>
      <c r="G19860">
        <v>0</v>
      </c>
      <c r="H19860">
        <v>1</v>
      </c>
      <c r="I19860" s="3">
        <v>388.82</v>
      </c>
      <c r="J19860" s="3">
        <v>0</v>
      </c>
      <c r="L19860">
        <v>3638</v>
      </c>
      <c r="M19860" t="s">
        <v>5097</v>
      </c>
      <c r="N19860" t="s">
        <v>30</v>
      </c>
      <c r="O19860" t="s">
        <v>31</v>
      </c>
      <c r="P19860" t="str">
        <f>"15204"</f>
        <v>15204</v>
      </c>
    </row>
    <row r="19861" spans="1:16" x14ac:dyDescent="0.25">
      <c r="A19861" t="str">
        <f>"1280071K00004    00"</f>
        <v>1280071K00004    00</v>
      </c>
      <c r="B19861" t="s">
        <v>944</v>
      </c>
      <c r="C19861" t="s">
        <v>43064</v>
      </c>
      <c r="E19861" t="s">
        <v>39</v>
      </c>
      <c r="F19861">
        <v>0</v>
      </c>
      <c r="G19861">
        <v>0</v>
      </c>
      <c r="H19861">
        <v>7</v>
      </c>
      <c r="I19861" s="3">
        <v>9005.4</v>
      </c>
      <c r="J19861" s="3">
        <v>11592.81</v>
      </c>
      <c r="L19861">
        <v>200</v>
      </c>
      <c r="M19861" t="s">
        <v>946</v>
      </c>
      <c r="N19861" t="s">
        <v>30</v>
      </c>
      <c r="O19861" t="s">
        <v>31</v>
      </c>
      <c r="P19861" t="str">
        <f>"15219"</f>
        <v>15219</v>
      </c>
    </row>
    <row r="19862" spans="1:16" x14ac:dyDescent="0.25">
      <c r="A19862" t="str">
        <f>"1280071K00168    00"</f>
        <v>1280071K00168    00</v>
      </c>
      <c r="B19862" t="s">
        <v>43065</v>
      </c>
      <c r="C19862" t="s">
        <v>43063</v>
      </c>
      <c r="D19862" t="s">
        <v>20</v>
      </c>
      <c r="E19862" t="s">
        <v>39</v>
      </c>
      <c r="F19862">
        <v>0</v>
      </c>
      <c r="G19862">
        <v>0</v>
      </c>
      <c r="H19862">
        <v>6</v>
      </c>
      <c r="I19862" s="3">
        <v>1640.33</v>
      </c>
      <c r="J19862" s="3">
        <v>367.9</v>
      </c>
      <c r="L19862">
        <v>1230</v>
      </c>
      <c r="M19862" t="s">
        <v>927</v>
      </c>
      <c r="N19862" t="s">
        <v>903</v>
      </c>
      <c r="O19862" t="s">
        <v>31</v>
      </c>
      <c r="P19862" t="str">
        <f>"15136"</f>
        <v>15136</v>
      </c>
    </row>
    <row r="19863" spans="1:16" x14ac:dyDescent="0.25">
      <c r="A19863" t="str">
        <f>"1280071K00172    00"</f>
        <v>1280071K00172    00</v>
      </c>
      <c r="B19863" t="s">
        <v>43066</v>
      </c>
      <c r="C19863" t="s">
        <v>43063</v>
      </c>
      <c r="D19863" t="s">
        <v>20</v>
      </c>
      <c r="E19863" t="s">
        <v>39</v>
      </c>
      <c r="F19863">
        <v>0</v>
      </c>
      <c r="G19863">
        <v>0</v>
      </c>
      <c r="H19863">
        <v>19</v>
      </c>
      <c r="I19863" s="3">
        <v>6381.39</v>
      </c>
      <c r="J19863" s="3">
        <v>5973.56</v>
      </c>
      <c r="P19863" t="str">
        <f>""</f>
        <v/>
      </c>
    </row>
    <row r="19864" spans="1:16" x14ac:dyDescent="0.25">
      <c r="A19864" t="str">
        <f>"1280071K00187    00"</f>
        <v>1280071K00187    00</v>
      </c>
      <c r="B19864" t="s">
        <v>43067</v>
      </c>
      <c r="C19864" t="s">
        <v>43068</v>
      </c>
      <c r="D19864" t="s">
        <v>20</v>
      </c>
      <c r="E19864" t="s">
        <v>39</v>
      </c>
      <c r="F19864">
        <v>0</v>
      </c>
      <c r="G19864">
        <v>0</v>
      </c>
      <c r="H19864">
        <v>2</v>
      </c>
      <c r="I19864" s="3">
        <v>1353.98</v>
      </c>
      <c r="J19864" s="3">
        <v>45.14</v>
      </c>
      <c r="K19864" t="s">
        <v>43069</v>
      </c>
      <c r="L19864">
        <v>1601</v>
      </c>
      <c r="M19864" t="s">
        <v>32221</v>
      </c>
      <c r="N19864" t="s">
        <v>30</v>
      </c>
      <c r="O19864" t="s">
        <v>31</v>
      </c>
      <c r="P19864" t="str">
        <f>"15204"</f>
        <v>15204</v>
      </c>
    </row>
    <row r="19865" spans="1:16" x14ac:dyDescent="0.25">
      <c r="A19865" t="str">
        <f>"1280071K00191    00"</f>
        <v>1280071K00191    00</v>
      </c>
      <c r="B19865" t="s">
        <v>25564</v>
      </c>
      <c r="C19865" t="s">
        <v>43070</v>
      </c>
      <c r="D19865" t="s">
        <v>20</v>
      </c>
      <c r="E19865" t="s">
        <v>39</v>
      </c>
      <c r="F19865">
        <v>0</v>
      </c>
      <c r="G19865">
        <v>0</v>
      </c>
      <c r="H19865">
        <v>9</v>
      </c>
      <c r="I19865" s="3">
        <v>4370.1499999999996</v>
      </c>
      <c r="J19865" s="3">
        <v>1654.78</v>
      </c>
      <c r="K19865" t="s">
        <v>25566</v>
      </c>
      <c r="L19865">
        <v>614</v>
      </c>
      <c r="M19865" t="s">
        <v>25567</v>
      </c>
      <c r="N19865" t="s">
        <v>30</v>
      </c>
      <c r="O19865" t="s">
        <v>31</v>
      </c>
      <c r="P19865" t="str">
        <f>"15220"</f>
        <v>15220</v>
      </c>
    </row>
    <row r="19866" spans="1:16" x14ac:dyDescent="0.25">
      <c r="A19866" t="str">
        <f>"1280071K00193    00"</f>
        <v>1280071K00193    00</v>
      </c>
      <c r="B19866" t="s">
        <v>42698</v>
      </c>
      <c r="C19866" t="s">
        <v>43063</v>
      </c>
      <c r="D19866" t="s">
        <v>20</v>
      </c>
      <c r="E19866" t="s">
        <v>39</v>
      </c>
      <c r="F19866">
        <v>0</v>
      </c>
      <c r="G19866">
        <v>0</v>
      </c>
      <c r="H19866">
        <v>18</v>
      </c>
      <c r="I19866" s="3">
        <v>5807.14</v>
      </c>
      <c r="J19866" s="3">
        <v>5571.91</v>
      </c>
      <c r="L19866">
        <v>2911</v>
      </c>
      <c r="M19866" t="s">
        <v>1394</v>
      </c>
      <c r="N19866" t="s">
        <v>30</v>
      </c>
      <c r="O19866" t="s">
        <v>31</v>
      </c>
      <c r="P19866" t="str">
        <f>"15204"</f>
        <v>15204</v>
      </c>
    </row>
    <row r="19867" spans="1:16" x14ac:dyDescent="0.25">
      <c r="A19867" t="str">
        <f>"1280071K00195    00"</f>
        <v>1280071K00195    00</v>
      </c>
      <c r="B19867" t="s">
        <v>43071</v>
      </c>
      <c r="C19867" t="s">
        <v>43072</v>
      </c>
      <c r="D19867" t="s">
        <v>20</v>
      </c>
      <c r="E19867" t="s">
        <v>39</v>
      </c>
      <c r="F19867">
        <v>0</v>
      </c>
      <c r="G19867">
        <v>0</v>
      </c>
      <c r="H19867">
        <v>15</v>
      </c>
      <c r="I19867" s="3">
        <v>14344.24</v>
      </c>
      <c r="J19867" s="3">
        <v>10548.08</v>
      </c>
      <c r="L19867">
        <v>1575</v>
      </c>
      <c r="M19867" t="s">
        <v>32221</v>
      </c>
      <c r="N19867" t="s">
        <v>30</v>
      </c>
      <c r="O19867" t="s">
        <v>31</v>
      </c>
      <c r="P19867" t="str">
        <f>"15204"</f>
        <v>15204</v>
      </c>
    </row>
    <row r="19868" spans="1:16" x14ac:dyDescent="0.25">
      <c r="A19868" t="str">
        <f>"1280071K00235    00"</f>
        <v>1280071K00235    00</v>
      </c>
      <c r="B19868" t="s">
        <v>43073</v>
      </c>
      <c r="C19868" t="s">
        <v>43074</v>
      </c>
      <c r="D19868" t="s">
        <v>20</v>
      </c>
      <c r="E19868" t="s">
        <v>39</v>
      </c>
      <c r="F19868">
        <v>0</v>
      </c>
      <c r="G19868">
        <v>0</v>
      </c>
      <c r="H19868">
        <v>18</v>
      </c>
      <c r="I19868" s="3">
        <v>4014.28</v>
      </c>
      <c r="J19868" s="3">
        <v>2256.23</v>
      </c>
      <c r="L19868">
        <v>300</v>
      </c>
      <c r="M19868" t="s">
        <v>43075</v>
      </c>
      <c r="N19868" t="s">
        <v>30</v>
      </c>
      <c r="O19868" t="s">
        <v>31</v>
      </c>
      <c r="P19868" t="str">
        <f>"15205"</f>
        <v>15205</v>
      </c>
    </row>
    <row r="19869" spans="1:16" x14ac:dyDescent="0.25">
      <c r="A19869" t="str">
        <f>"1280071K00244    00"</f>
        <v>1280071K00244    00</v>
      </c>
      <c r="B19869" t="s">
        <v>43076</v>
      </c>
      <c r="C19869" t="s">
        <v>43077</v>
      </c>
      <c r="D19869" t="s">
        <v>20</v>
      </c>
      <c r="E19869" t="s">
        <v>39</v>
      </c>
      <c r="F19869">
        <v>0</v>
      </c>
      <c r="G19869">
        <v>0</v>
      </c>
      <c r="H19869">
        <v>9</v>
      </c>
      <c r="I19869" s="3">
        <v>282.77</v>
      </c>
      <c r="J19869" s="3">
        <v>107.96</v>
      </c>
      <c r="L19869">
        <v>1918</v>
      </c>
      <c r="M19869" t="s">
        <v>43078</v>
      </c>
      <c r="N19869" t="s">
        <v>1320</v>
      </c>
      <c r="O19869" t="s">
        <v>1321</v>
      </c>
      <c r="P19869" t="str">
        <f>"89119"</f>
        <v>89119</v>
      </c>
    </row>
    <row r="19870" spans="1:16" x14ac:dyDescent="0.25">
      <c r="A19870" t="str">
        <f>"1280071L00018    00"</f>
        <v>1280071L00018    00</v>
      </c>
      <c r="B19870" t="s">
        <v>43079</v>
      </c>
      <c r="C19870" t="s">
        <v>43080</v>
      </c>
      <c r="D19870" t="s">
        <v>20</v>
      </c>
      <c r="E19870" t="s">
        <v>39</v>
      </c>
      <c r="F19870">
        <v>0</v>
      </c>
      <c r="G19870">
        <v>0</v>
      </c>
      <c r="H19870">
        <v>6</v>
      </c>
      <c r="I19870" s="3">
        <v>6853.46</v>
      </c>
      <c r="J19870" s="3">
        <v>1537.09</v>
      </c>
      <c r="L19870">
        <v>1521</v>
      </c>
      <c r="M19870" t="s">
        <v>32221</v>
      </c>
      <c r="N19870" t="s">
        <v>30</v>
      </c>
      <c r="O19870" t="s">
        <v>31</v>
      </c>
      <c r="P19870" t="str">
        <f>"15204"</f>
        <v>15204</v>
      </c>
    </row>
    <row r="19871" spans="1:16" x14ac:dyDescent="0.25">
      <c r="A19871" t="str">
        <f>"1280071L00020    00"</f>
        <v>1280071L00020    00</v>
      </c>
      <c r="B19871" t="s">
        <v>43081</v>
      </c>
      <c r="C19871" t="s">
        <v>43082</v>
      </c>
      <c r="D19871" t="s">
        <v>20</v>
      </c>
      <c r="E19871" t="s">
        <v>39</v>
      </c>
      <c r="F19871">
        <v>0</v>
      </c>
      <c r="G19871">
        <v>0</v>
      </c>
      <c r="H19871">
        <v>3</v>
      </c>
      <c r="I19871" s="3">
        <v>1747.35</v>
      </c>
      <c r="J19871" s="3">
        <v>9.24</v>
      </c>
      <c r="L19871">
        <v>1519</v>
      </c>
      <c r="M19871" t="s">
        <v>32221</v>
      </c>
      <c r="N19871" t="s">
        <v>30</v>
      </c>
      <c r="O19871" t="s">
        <v>31</v>
      </c>
      <c r="P19871" t="str">
        <f>"15204"</f>
        <v>15204</v>
      </c>
    </row>
    <row r="19872" spans="1:16" x14ac:dyDescent="0.25">
      <c r="A19872" t="str">
        <f>"1280071L00026    00"</f>
        <v>1280071L00026    00</v>
      </c>
      <c r="B19872" t="s">
        <v>43083</v>
      </c>
      <c r="C19872" t="s">
        <v>43084</v>
      </c>
      <c r="E19872" t="s">
        <v>39</v>
      </c>
      <c r="F19872">
        <v>0</v>
      </c>
      <c r="G19872">
        <v>0</v>
      </c>
      <c r="H19872">
        <v>1</v>
      </c>
      <c r="I19872" s="3">
        <v>192.92</v>
      </c>
      <c r="J19872" s="3">
        <v>0</v>
      </c>
      <c r="K19872" t="s">
        <v>43085</v>
      </c>
      <c r="L19872">
        <v>1513</v>
      </c>
      <c r="M19872" t="s">
        <v>32221</v>
      </c>
      <c r="N19872" t="s">
        <v>30</v>
      </c>
      <c r="O19872" t="s">
        <v>31</v>
      </c>
      <c r="P19872" t="str">
        <f>"15204"</f>
        <v>15204</v>
      </c>
    </row>
    <row r="19873" spans="1:16" x14ac:dyDescent="0.25">
      <c r="A19873" t="str">
        <f>"1280071L00028    00"</f>
        <v>1280071L00028    00</v>
      </c>
      <c r="B19873" t="s">
        <v>43086</v>
      </c>
      <c r="C19873" t="s">
        <v>43087</v>
      </c>
      <c r="D19873" t="s">
        <v>20</v>
      </c>
      <c r="E19873" t="s">
        <v>39</v>
      </c>
      <c r="F19873">
        <v>0</v>
      </c>
      <c r="G19873">
        <v>0</v>
      </c>
      <c r="H19873">
        <v>2</v>
      </c>
      <c r="I19873" s="3">
        <v>1172.8900000000001</v>
      </c>
      <c r="J19873" s="3">
        <v>0</v>
      </c>
      <c r="L19873">
        <v>1511</v>
      </c>
      <c r="M19873" t="s">
        <v>32221</v>
      </c>
      <c r="N19873" t="s">
        <v>30</v>
      </c>
      <c r="O19873" t="s">
        <v>31</v>
      </c>
      <c r="P19873" t="str">
        <f>"15204"</f>
        <v>15204</v>
      </c>
    </row>
    <row r="19874" spans="1:16" x14ac:dyDescent="0.25">
      <c r="A19874" t="str">
        <f>"1280071L00042    00"</f>
        <v>1280071L00042    00</v>
      </c>
      <c r="B19874" t="s">
        <v>43088</v>
      </c>
      <c r="C19874" t="s">
        <v>43089</v>
      </c>
      <c r="D19874" t="s">
        <v>20</v>
      </c>
      <c r="E19874" t="s">
        <v>39</v>
      </c>
      <c r="F19874">
        <v>0</v>
      </c>
      <c r="G19874">
        <v>0</v>
      </c>
      <c r="H19874">
        <v>1</v>
      </c>
      <c r="I19874" s="3">
        <v>889.48</v>
      </c>
      <c r="J19874" s="3">
        <v>0</v>
      </c>
      <c r="L19874">
        <v>1008</v>
      </c>
      <c r="M19874" t="s">
        <v>43090</v>
      </c>
      <c r="N19874" t="s">
        <v>30850</v>
      </c>
      <c r="O19874" t="s">
        <v>31</v>
      </c>
      <c r="P19874" t="str">
        <f>"15061"</f>
        <v>15061</v>
      </c>
    </row>
    <row r="19875" spans="1:16" x14ac:dyDescent="0.25">
      <c r="A19875" t="str">
        <f>"1280071L00046    00"</f>
        <v>1280071L00046    00</v>
      </c>
      <c r="B19875" t="s">
        <v>43091</v>
      </c>
      <c r="C19875" t="s">
        <v>43092</v>
      </c>
      <c r="E19875" t="s">
        <v>39</v>
      </c>
      <c r="F19875">
        <v>0</v>
      </c>
      <c r="G19875">
        <v>0</v>
      </c>
      <c r="H19875">
        <v>1</v>
      </c>
      <c r="I19875" s="3">
        <v>108.12</v>
      </c>
      <c r="J19875" s="3">
        <v>21.62</v>
      </c>
      <c r="L19875">
        <v>7504</v>
      </c>
      <c r="M19875" t="s">
        <v>5815</v>
      </c>
      <c r="N19875" t="s">
        <v>541</v>
      </c>
      <c r="O19875" t="s">
        <v>31</v>
      </c>
      <c r="P19875" t="str">
        <f>"15071"</f>
        <v>15071</v>
      </c>
    </row>
    <row r="19876" spans="1:16" x14ac:dyDescent="0.25">
      <c r="A19876" t="str">
        <f>"1280071L00056    00"</f>
        <v>1280071L00056    00</v>
      </c>
      <c r="B19876" t="s">
        <v>43093</v>
      </c>
      <c r="C19876" t="s">
        <v>43094</v>
      </c>
      <c r="D19876" t="s">
        <v>20</v>
      </c>
      <c r="E19876" t="s">
        <v>39</v>
      </c>
      <c r="F19876">
        <v>0</v>
      </c>
      <c r="G19876">
        <v>0</v>
      </c>
      <c r="H19876">
        <v>4</v>
      </c>
      <c r="I19876" s="3">
        <v>3410.64</v>
      </c>
      <c r="J19876" s="3">
        <v>140.15</v>
      </c>
      <c r="L19876">
        <v>1396</v>
      </c>
      <c r="M19876" t="s">
        <v>32543</v>
      </c>
      <c r="N19876" t="s">
        <v>30</v>
      </c>
      <c r="O19876" t="s">
        <v>31</v>
      </c>
      <c r="P19876" t="str">
        <f>"15204"</f>
        <v>15204</v>
      </c>
    </row>
    <row r="19877" spans="1:16" x14ac:dyDescent="0.25">
      <c r="A19877" t="str">
        <f>"1280071N00282    00"</f>
        <v>1280071N00282    00</v>
      </c>
      <c r="B19877" t="s">
        <v>43095</v>
      </c>
      <c r="C19877" t="s">
        <v>43096</v>
      </c>
      <c r="E19877" t="s">
        <v>290</v>
      </c>
      <c r="F19877">
        <v>0</v>
      </c>
      <c r="G19877">
        <v>0</v>
      </c>
      <c r="H19877">
        <v>15</v>
      </c>
      <c r="I19877" s="3">
        <v>229530.74</v>
      </c>
      <c r="J19877" s="3">
        <v>265791.81</v>
      </c>
      <c r="K19877" t="s">
        <v>43097</v>
      </c>
      <c r="L19877">
        <v>2060</v>
      </c>
      <c r="M19877" t="s">
        <v>43098</v>
      </c>
      <c r="N19877" t="s">
        <v>30</v>
      </c>
      <c r="O19877" t="s">
        <v>31</v>
      </c>
      <c r="P19877" t="str">
        <f>"15241"</f>
        <v>15241</v>
      </c>
    </row>
    <row r="19878" spans="1:16" x14ac:dyDescent="0.25">
      <c r="A19878" t="str">
        <f>"1280071R00060    00"</f>
        <v>1280071R00060    00</v>
      </c>
      <c r="B19878" t="s">
        <v>43099</v>
      </c>
      <c r="C19878" t="s">
        <v>33382</v>
      </c>
      <c r="D19878" t="s">
        <v>33</v>
      </c>
      <c r="E19878" t="s">
        <v>39</v>
      </c>
      <c r="F19878">
        <v>0</v>
      </c>
      <c r="G19878">
        <v>0</v>
      </c>
      <c r="H19878">
        <v>17</v>
      </c>
      <c r="I19878" s="3">
        <v>4220.21</v>
      </c>
      <c r="J19878" s="3">
        <v>4409.29</v>
      </c>
      <c r="L19878">
        <v>3441</v>
      </c>
      <c r="M19878" t="s">
        <v>1394</v>
      </c>
      <c r="N19878" t="s">
        <v>30</v>
      </c>
      <c r="O19878" t="s">
        <v>31</v>
      </c>
      <c r="P19878" t="str">
        <f>"15204"</f>
        <v>15204</v>
      </c>
    </row>
    <row r="19879" spans="1:16" x14ac:dyDescent="0.25">
      <c r="A19879" t="str">
        <f>"1280071R00180    00"</f>
        <v>1280071R00180    00</v>
      </c>
      <c r="B19879" t="s">
        <v>31345</v>
      </c>
      <c r="C19879" t="s">
        <v>43100</v>
      </c>
      <c r="D19879" t="s">
        <v>20</v>
      </c>
      <c r="E19879" t="s">
        <v>39</v>
      </c>
      <c r="F19879">
        <v>0</v>
      </c>
      <c r="G19879">
        <v>0</v>
      </c>
      <c r="H19879">
        <v>1</v>
      </c>
      <c r="I19879" s="3">
        <v>1564.83</v>
      </c>
      <c r="J19879" s="3">
        <v>0</v>
      </c>
      <c r="K19879" t="s">
        <v>31347</v>
      </c>
      <c r="M19879" t="s">
        <v>31348</v>
      </c>
      <c r="N19879" t="s">
        <v>321</v>
      </c>
      <c r="O19879" t="s">
        <v>31</v>
      </c>
      <c r="P19879" t="str">
        <f>"15001"</f>
        <v>15001</v>
      </c>
    </row>
    <row r="19880" spans="1:16" x14ac:dyDescent="0.25">
      <c r="A19880" t="str">
        <f>"1280071R00181    00"</f>
        <v>1280071R00181    00</v>
      </c>
      <c r="B19880" t="s">
        <v>31345</v>
      </c>
      <c r="C19880" t="s">
        <v>43101</v>
      </c>
      <c r="D19880" t="s">
        <v>20</v>
      </c>
      <c r="E19880" t="s">
        <v>39</v>
      </c>
      <c r="F19880">
        <v>0</v>
      </c>
      <c r="G19880">
        <v>0</v>
      </c>
      <c r="H19880">
        <v>1</v>
      </c>
      <c r="I19880" s="3">
        <v>1568.65</v>
      </c>
      <c r="J19880" s="3">
        <v>0</v>
      </c>
      <c r="K19880" t="s">
        <v>31347</v>
      </c>
      <c r="M19880" t="s">
        <v>31348</v>
      </c>
      <c r="N19880" t="s">
        <v>321</v>
      </c>
      <c r="O19880" t="s">
        <v>31</v>
      </c>
      <c r="P19880" t="str">
        <f>"15001"</f>
        <v>15001</v>
      </c>
    </row>
    <row r="19881" spans="1:16" x14ac:dyDescent="0.25">
      <c r="A19881" t="str">
        <f>"1280072P00200    02"</f>
        <v>1280072P00200    02</v>
      </c>
      <c r="B19881" t="s">
        <v>30466</v>
      </c>
      <c r="C19881" t="s">
        <v>43102</v>
      </c>
      <c r="D19881" t="s">
        <v>20</v>
      </c>
      <c r="E19881" t="s">
        <v>207</v>
      </c>
      <c r="F19881">
        <v>0</v>
      </c>
      <c r="G19881">
        <v>0</v>
      </c>
      <c r="H19881">
        <v>11</v>
      </c>
      <c r="I19881" s="3">
        <v>13391.96</v>
      </c>
      <c r="J19881" s="3">
        <v>6391.52</v>
      </c>
      <c r="L19881">
        <v>300</v>
      </c>
      <c r="M19881" t="s">
        <v>614</v>
      </c>
      <c r="N19881" t="s">
        <v>30</v>
      </c>
      <c r="O19881" t="s">
        <v>31</v>
      </c>
      <c r="P19881" t="str">
        <f>"15222"</f>
        <v>15222</v>
      </c>
    </row>
    <row r="19882" spans="1:16" x14ac:dyDescent="0.25">
      <c r="A19882" t="str">
        <f>"1280107C00285    00"</f>
        <v>1280107C00285    00</v>
      </c>
      <c r="B19882" t="s">
        <v>43103</v>
      </c>
      <c r="C19882" t="s">
        <v>43104</v>
      </c>
      <c r="E19882" t="s">
        <v>21</v>
      </c>
      <c r="F19882">
        <v>0</v>
      </c>
      <c r="G19882">
        <v>0</v>
      </c>
      <c r="H19882">
        <v>7</v>
      </c>
      <c r="I19882" s="3">
        <v>6397.56</v>
      </c>
      <c r="J19882" s="3">
        <v>6503.91</v>
      </c>
      <c r="K19882" t="s">
        <v>603</v>
      </c>
      <c r="L19882">
        <v>650</v>
      </c>
      <c r="M19882" t="s">
        <v>604</v>
      </c>
      <c r="N19882" t="s">
        <v>605</v>
      </c>
      <c r="O19882" t="s">
        <v>606</v>
      </c>
      <c r="P19882" t="str">
        <f>"30308"</f>
        <v>30308</v>
      </c>
    </row>
    <row r="19883" spans="1:16" x14ac:dyDescent="0.25">
      <c r="A19883" t="str">
        <f>"1280107M00017    00"</f>
        <v>1280107M00017    00</v>
      </c>
      <c r="B19883" t="s">
        <v>43105</v>
      </c>
      <c r="C19883" t="s">
        <v>43106</v>
      </c>
      <c r="D19883" t="s">
        <v>20</v>
      </c>
      <c r="E19883" t="s">
        <v>39</v>
      </c>
      <c r="F19883">
        <v>0</v>
      </c>
      <c r="G19883">
        <v>0</v>
      </c>
      <c r="H19883">
        <v>6</v>
      </c>
      <c r="I19883" s="3">
        <v>2520.5500000000002</v>
      </c>
      <c r="J19883" s="3">
        <v>533.47</v>
      </c>
      <c r="L19883">
        <v>2027</v>
      </c>
      <c r="M19883" t="s">
        <v>42972</v>
      </c>
      <c r="N19883" t="s">
        <v>30</v>
      </c>
      <c r="O19883" t="s">
        <v>31</v>
      </c>
      <c r="P19883" t="str">
        <f>"15205"</f>
        <v>15205</v>
      </c>
    </row>
    <row r="19884" spans="1:16" x14ac:dyDescent="0.25">
      <c r="A19884" t="str">
        <f>"1280107M00027    00"</f>
        <v>1280107M00027    00</v>
      </c>
      <c r="B19884" t="s">
        <v>43107</v>
      </c>
      <c r="C19884" t="s">
        <v>43108</v>
      </c>
      <c r="E19884" t="s">
        <v>39</v>
      </c>
      <c r="F19884">
        <v>0</v>
      </c>
      <c r="G19884">
        <v>0</v>
      </c>
      <c r="H19884">
        <v>1</v>
      </c>
      <c r="I19884" s="3">
        <v>132.26</v>
      </c>
      <c r="J19884" s="3">
        <v>65.02</v>
      </c>
      <c r="L19884">
        <v>3149</v>
      </c>
      <c r="M19884" t="s">
        <v>32635</v>
      </c>
      <c r="N19884" t="s">
        <v>30</v>
      </c>
      <c r="O19884" t="s">
        <v>31</v>
      </c>
      <c r="P19884" t="str">
        <f>"15204"</f>
        <v>15204</v>
      </c>
    </row>
    <row r="19885" spans="1:16" x14ac:dyDescent="0.25">
      <c r="A19885" t="str">
        <f>"1280107M00035    00"</f>
        <v>1280107M00035    00</v>
      </c>
      <c r="B19885" t="s">
        <v>43109</v>
      </c>
      <c r="C19885" t="s">
        <v>43110</v>
      </c>
      <c r="D19885" t="s">
        <v>20</v>
      </c>
      <c r="E19885" t="s">
        <v>39</v>
      </c>
      <c r="F19885">
        <v>0</v>
      </c>
      <c r="G19885">
        <v>0</v>
      </c>
      <c r="H19885">
        <v>2</v>
      </c>
      <c r="I19885" s="3">
        <v>1513.38</v>
      </c>
      <c r="J19885" s="3">
        <v>0</v>
      </c>
      <c r="L19885">
        <v>2050</v>
      </c>
      <c r="M19885" t="s">
        <v>30623</v>
      </c>
      <c r="N19885" t="s">
        <v>30</v>
      </c>
      <c r="O19885" t="s">
        <v>31</v>
      </c>
      <c r="P19885" t="str">
        <f>"15205"</f>
        <v>15205</v>
      </c>
    </row>
    <row r="19886" spans="1:16" x14ac:dyDescent="0.25">
      <c r="A19886" t="str">
        <f>"1280107M00085    00"</f>
        <v>1280107M00085    00</v>
      </c>
      <c r="B19886" t="s">
        <v>43111</v>
      </c>
      <c r="C19886" t="s">
        <v>43112</v>
      </c>
      <c r="D19886" t="s">
        <v>20</v>
      </c>
      <c r="E19886" t="s">
        <v>39</v>
      </c>
      <c r="F19886">
        <v>0</v>
      </c>
      <c r="G19886">
        <v>0</v>
      </c>
      <c r="H19886">
        <v>1</v>
      </c>
      <c r="I19886" s="3">
        <v>379.91</v>
      </c>
      <c r="J19886" s="3">
        <v>0</v>
      </c>
      <c r="K19886" t="s">
        <v>43113</v>
      </c>
      <c r="L19886">
        <v>2125</v>
      </c>
      <c r="M19886" t="s">
        <v>30623</v>
      </c>
      <c r="N19886" t="s">
        <v>30</v>
      </c>
      <c r="O19886" t="s">
        <v>31</v>
      </c>
      <c r="P19886" t="str">
        <f>"15205"</f>
        <v>15205</v>
      </c>
    </row>
    <row r="19887" spans="1:16" x14ac:dyDescent="0.25">
      <c r="A19887" t="str">
        <f>"1280107S00192    00"</f>
        <v>1280107S00192    00</v>
      </c>
      <c r="B19887" t="s">
        <v>43114</v>
      </c>
      <c r="C19887" t="s">
        <v>43115</v>
      </c>
      <c r="D19887" t="s">
        <v>20</v>
      </c>
      <c r="E19887" t="s">
        <v>39</v>
      </c>
      <c r="F19887">
        <v>0</v>
      </c>
      <c r="G19887">
        <v>0</v>
      </c>
      <c r="H19887">
        <v>1</v>
      </c>
      <c r="I19887" s="3">
        <v>930.15</v>
      </c>
      <c r="J19887" s="3">
        <v>0</v>
      </c>
      <c r="K19887" t="s">
        <v>43116</v>
      </c>
      <c r="M19887" t="s">
        <v>43117</v>
      </c>
      <c r="N19887" t="s">
        <v>25906</v>
      </c>
      <c r="O19887" t="s">
        <v>108</v>
      </c>
      <c r="P19887" t="str">
        <f>"75071"</f>
        <v>75071</v>
      </c>
    </row>
    <row r="19888" spans="1:16" x14ac:dyDescent="0.25">
      <c r="A19888" t="str">
        <f>"1280108R00060    00"</f>
        <v>1280108R00060    00</v>
      </c>
      <c r="B19888" t="s">
        <v>43118</v>
      </c>
      <c r="C19888" t="s">
        <v>43119</v>
      </c>
      <c r="D19888" t="s">
        <v>20</v>
      </c>
      <c r="E19888" t="s">
        <v>207</v>
      </c>
      <c r="F19888">
        <v>0</v>
      </c>
      <c r="G19888">
        <v>0</v>
      </c>
      <c r="H19888">
        <v>19</v>
      </c>
      <c r="I19888" s="3">
        <v>13323.68</v>
      </c>
      <c r="J19888" s="3">
        <v>11148.43</v>
      </c>
      <c r="M19888" t="s">
        <v>43120</v>
      </c>
      <c r="N19888" t="s">
        <v>30</v>
      </c>
      <c r="O19888" t="s">
        <v>31</v>
      </c>
      <c r="P19888" t="str">
        <f>"15205"</f>
        <v>15205</v>
      </c>
    </row>
    <row r="19889" spans="1:16" x14ac:dyDescent="0.25">
      <c r="A19889" t="str">
        <f>"1288000T00064    00"</f>
        <v>1288000T00064    00</v>
      </c>
      <c r="B19889" t="s">
        <v>43121</v>
      </c>
      <c r="C19889" t="s">
        <v>43122</v>
      </c>
      <c r="E19889" t="s">
        <v>39</v>
      </c>
      <c r="F19889">
        <v>0</v>
      </c>
      <c r="G19889">
        <v>0</v>
      </c>
      <c r="H19889">
        <v>1</v>
      </c>
      <c r="I19889" s="3">
        <v>224.62</v>
      </c>
      <c r="J19889" s="3">
        <v>272.72000000000003</v>
      </c>
      <c r="L19889">
        <v>106</v>
      </c>
      <c r="M19889" t="s">
        <v>43123</v>
      </c>
      <c r="N19889" t="s">
        <v>30</v>
      </c>
      <c r="O19889" t="s">
        <v>31</v>
      </c>
      <c r="P19889" t="str">
        <f>"15205"</f>
        <v>15205</v>
      </c>
    </row>
    <row r="19890" spans="1:16" x14ac:dyDescent="0.25">
      <c r="A19890" t="str">
        <f>"1288000T00065    00"</f>
        <v>1288000T00065    00</v>
      </c>
      <c r="B19890" t="s">
        <v>43124</v>
      </c>
      <c r="C19890" t="s">
        <v>43125</v>
      </c>
      <c r="D19890" t="s">
        <v>20</v>
      </c>
      <c r="E19890" t="s">
        <v>39</v>
      </c>
      <c r="F19890">
        <v>0</v>
      </c>
      <c r="G19890">
        <v>0</v>
      </c>
      <c r="H19890">
        <v>6</v>
      </c>
      <c r="I19890" s="3">
        <v>329.17</v>
      </c>
      <c r="J19890" s="3">
        <v>76.22</v>
      </c>
      <c r="L19890">
        <v>106</v>
      </c>
      <c r="M19890" t="s">
        <v>43126</v>
      </c>
      <c r="N19890" t="s">
        <v>30</v>
      </c>
      <c r="O19890" t="s">
        <v>31</v>
      </c>
      <c r="P19890" t="str">
        <f>"15205"</f>
        <v>15205</v>
      </c>
    </row>
    <row r="19891" spans="1:16" x14ac:dyDescent="0.25">
      <c r="A19891" t="str">
        <f>"1288000T00071    00"</f>
        <v>1288000T00071    00</v>
      </c>
      <c r="B19891" t="s">
        <v>43127</v>
      </c>
      <c r="C19891" t="s">
        <v>43128</v>
      </c>
      <c r="E19891" t="s">
        <v>39</v>
      </c>
      <c r="F19891">
        <v>0</v>
      </c>
      <c r="G19891">
        <v>0</v>
      </c>
      <c r="H19891">
        <v>18</v>
      </c>
      <c r="I19891" s="3">
        <v>1805.29</v>
      </c>
      <c r="J19891" s="3">
        <v>2040.63</v>
      </c>
      <c r="L19891">
        <v>106</v>
      </c>
      <c r="M19891" t="s">
        <v>43129</v>
      </c>
      <c r="N19891" t="s">
        <v>30</v>
      </c>
      <c r="O19891" t="s">
        <v>31</v>
      </c>
      <c r="P19891" t="str">
        <f>"15205"</f>
        <v>15205</v>
      </c>
    </row>
    <row r="19892" spans="1:16" x14ac:dyDescent="0.25">
      <c r="A19892" t="str">
        <f>"1288000T00073    00"</f>
        <v>1288000T00073    00</v>
      </c>
      <c r="B19892" t="s">
        <v>43130</v>
      </c>
      <c r="C19892" t="s">
        <v>43122</v>
      </c>
      <c r="E19892" t="s">
        <v>39</v>
      </c>
      <c r="F19892">
        <v>0</v>
      </c>
      <c r="G19892">
        <v>0</v>
      </c>
      <c r="H19892">
        <v>1</v>
      </c>
      <c r="I19892" s="3">
        <v>214.85</v>
      </c>
      <c r="J19892" s="3">
        <v>260.86</v>
      </c>
      <c r="L19892">
        <v>106</v>
      </c>
      <c r="M19892" t="s">
        <v>21221</v>
      </c>
      <c r="N19892" t="s">
        <v>30</v>
      </c>
      <c r="O19892" t="s">
        <v>31</v>
      </c>
      <c r="P19892" t="str">
        <f>"15205"</f>
        <v>15205</v>
      </c>
    </row>
    <row r="19893" spans="1:16" x14ac:dyDescent="0.25">
      <c r="A19893" t="str">
        <f>"1288000T00074    00"</f>
        <v>1288000T00074    00</v>
      </c>
      <c r="B19893" t="s">
        <v>43121</v>
      </c>
      <c r="C19893" t="s">
        <v>43131</v>
      </c>
      <c r="D19893" t="s">
        <v>20</v>
      </c>
      <c r="E19893" t="s">
        <v>39</v>
      </c>
      <c r="F19893">
        <v>0</v>
      </c>
      <c r="G19893">
        <v>0</v>
      </c>
      <c r="H19893">
        <v>16</v>
      </c>
      <c r="I19893" s="3">
        <v>848.86</v>
      </c>
      <c r="J19893" s="3">
        <v>737.79</v>
      </c>
      <c r="L19893">
        <v>15518</v>
      </c>
      <c r="M19893" t="s">
        <v>43132</v>
      </c>
      <c r="N19893" t="s">
        <v>43133</v>
      </c>
      <c r="O19893" t="s">
        <v>692</v>
      </c>
      <c r="P19893" t="str">
        <f>"23120"</f>
        <v>23120</v>
      </c>
    </row>
    <row r="19894" spans="1:16" x14ac:dyDescent="0.25">
      <c r="A19894" t="str">
        <f>"1288000T00075    00"</f>
        <v>1288000T00075    00</v>
      </c>
      <c r="B19894" t="s">
        <v>43134</v>
      </c>
      <c r="C19894" t="s">
        <v>43135</v>
      </c>
      <c r="D19894" t="s">
        <v>20</v>
      </c>
      <c r="E19894" t="s">
        <v>39</v>
      </c>
      <c r="F19894">
        <v>0</v>
      </c>
      <c r="G19894">
        <v>0</v>
      </c>
      <c r="H19894">
        <v>4</v>
      </c>
      <c r="I19894" s="3">
        <v>238.49</v>
      </c>
      <c r="J19894" s="3">
        <v>46.08</v>
      </c>
      <c r="L19894">
        <v>106</v>
      </c>
      <c r="M19894" t="s">
        <v>43136</v>
      </c>
      <c r="N19894" t="s">
        <v>30</v>
      </c>
      <c r="O19894" t="s">
        <v>31</v>
      </c>
      <c r="P19894" t="str">
        <f>"15205"</f>
        <v>15205</v>
      </c>
    </row>
    <row r="19895" spans="1:16" x14ac:dyDescent="0.25">
      <c r="A19895" t="str">
        <f>"1288000T00077    00"</f>
        <v>1288000T00077    00</v>
      </c>
      <c r="B19895" t="s">
        <v>43137</v>
      </c>
      <c r="C19895" t="s">
        <v>43138</v>
      </c>
      <c r="D19895" t="s">
        <v>20</v>
      </c>
      <c r="E19895" t="s">
        <v>39</v>
      </c>
      <c r="F19895">
        <v>0</v>
      </c>
      <c r="G19895">
        <v>0</v>
      </c>
      <c r="H19895">
        <v>2</v>
      </c>
      <c r="I19895" s="3">
        <v>80.08</v>
      </c>
      <c r="J19895" s="3">
        <v>0</v>
      </c>
      <c r="L19895">
        <v>106</v>
      </c>
      <c r="M19895" t="s">
        <v>43139</v>
      </c>
      <c r="N19895" t="s">
        <v>30</v>
      </c>
      <c r="O19895" t="s">
        <v>31</v>
      </c>
      <c r="P19895" t="str">
        <f>"15205"</f>
        <v>15205</v>
      </c>
    </row>
    <row r="19896" spans="1:16" x14ac:dyDescent="0.25">
      <c r="A19896" t="str">
        <f>"1288000T00081    00"</f>
        <v>1288000T00081    00</v>
      </c>
      <c r="B19896" t="s">
        <v>43140</v>
      </c>
      <c r="C19896" t="s">
        <v>43141</v>
      </c>
      <c r="D19896" t="s">
        <v>20</v>
      </c>
      <c r="E19896" t="s">
        <v>39</v>
      </c>
      <c r="F19896">
        <v>0</v>
      </c>
      <c r="G19896">
        <v>0</v>
      </c>
      <c r="H19896">
        <v>18</v>
      </c>
      <c r="I19896" s="3">
        <v>1399.1</v>
      </c>
      <c r="J19896" s="3">
        <v>1316.42</v>
      </c>
      <c r="L19896">
        <v>3011</v>
      </c>
      <c r="M19896" t="s">
        <v>43142</v>
      </c>
      <c r="N19896" t="s">
        <v>30</v>
      </c>
      <c r="O19896" t="s">
        <v>31</v>
      </c>
      <c r="P19896" t="str">
        <f>"15227"</f>
        <v>15227</v>
      </c>
    </row>
    <row r="19897" spans="1:16" x14ac:dyDescent="0.25">
      <c r="A19897" t="str">
        <f>"1288000T00084    00"</f>
        <v>1288000T00084    00</v>
      </c>
      <c r="B19897" t="s">
        <v>43143</v>
      </c>
      <c r="C19897" t="s">
        <v>43144</v>
      </c>
      <c r="D19897" t="s">
        <v>20</v>
      </c>
      <c r="E19897" t="s">
        <v>39</v>
      </c>
      <c r="F19897">
        <v>0</v>
      </c>
      <c r="G19897">
        <v>0</v>
      </c>
      <c r="H19897">
        <v>1</v>
      </c>
      <c r="I19897" s="3">
        <v>64.8</v>
      </c>
      <c r="J19897" s="3">
        <v>0</v>
      </c>
      <c r="L19897">
        <v>205</v>
      </c>
      <c r="M19897" t="s">
        <v>40453</v>
      </c>
      <c r="N19897" t="s">
        <v>30</v>
      </c>
      <c r="O19897" t="s">
        <v>31</v>
      </c>
      <c r="P19897" t="str">
        <f>"15205"</f>
        <v>15205</v>
      </c>
    </row>
    <row r="19898" spans="1:16" x14ac:dyDescent="0.25">
      <c r="A19898" t="str">
        <f>"1288000T03553    00"</f>
        <v>1288000T03553    00</v>
      </c>
      <c r="B19898" t="s">
        <v>43145</v>
      </c>
      <c r="C19898" t="s">
        <v>43146</v>
      </c>
      <c r="D19898" t="s">
        <v>20</v>
      </c>
      <c r="E19898" t="s">
        <v>39</v>
      </c>
      <c r="F19898">
        <v>0</v>
      </c>
      <c r="G19898">
        <v>0</v>
      </c>
      <c r="H19898">
        <v>4</v>
      </c>
      <c r="I19898" s="3">
        <v>271.60000000000002</v>
      </c>
      <c r="J19898" s="3">
        <v>33.450000000000003</v>
      </c>
      <c r="L19898">
        <v>106</v>
      </c>
      <c r="M19898" t="s">
        <v>43147</v>
      </c>
      <c r="N19898" t="s">
        <v>30</v>
      </c>
      <c r="O19898" t="s">
        <v>31</v>
      </c>
      <c r="P19898" t="str">
        <f>"15205"</f>
        <v>15205</v>
      </c>
    </row>
    <row r="19899" spans="1:16" x14ac:dyDescent="0.25">
      <c r="A19899" t="str">
        <f>"1288000T03600    00"</f>
        <v>1288000T03600    00</v>
      </c>
      <c r="B19899" t="s">
        <v>43148</v>
      </c>
      <c r="C19899" t="s">
        <v>43149</v>
      </c>
      <c r="E19899" t="s">
        <v>39</v>
      </c>
      <c r="F19899">
        <v>0</v>
      </c>
      <c r="G19899">
        <v>0</v>
      </c>
      <c r="H19899">
        <v>2</v>
      </c>
      <c r="I19899" s="3">
        <v>613.14</v>
      </c>
      <c r="J19899" s="3">
        <v>839.27</v>
      </c>
      <c r="L19899">
        <v>106</v>
      </c>
      <c r="M19899" t="s">
        <v>43150</v>
      </c>
      <c r="N19899" t="s">
        <v>30</v>
      </c>
      <c r="O19899" t="s">
        <v>31</v>
      </c>
      <c r="P19899" t="str">
        <f>"15205"</f>
        <v>15205</v>
      </c>
    </row>
    <row r="19900" spans="1:16" x14ac:dyDescent="0.25">
      <c r="A19900" t="str">
        <f>"1288000T03717    00"</f>
        <v>1288000T03717    00</v>
      </c>
      <c r="B19900" t="s">
        <v>43151</v>
      </c>
      <c r="C19900" t="s">
        <v>43152</v>
      </c>
      <c r="D19900" t="s">
        <v>20</v>
      </c>
      <c r="E19900" t="s">
        <v>39</v>
      </c>
      <c r="F19900">
        <v>0</v>
      </c>
      <c r="G19900">
        <v>0</v>
      </c>
      <c r="H19900">
        <v>1</v>
      </c>
      <c r="I19900" s="3">
        <v>36.22</v>
      </c>
      <c r="J19900" s="3">
        <v>0</v>
      </c>
      <c r="L19900">
        <v>617</v>
      </c>
      <c r="M19900" t="s">
        <v>43153</v>
      </c>
      <c r="N19900" t="s">
        <v>1474</v>
      </c>
      <c r="O19900" t="s">
        <v>31</v>
      </c>
      <c r="P19900" t="str">
        <f>"15017"</f>
        <v>15017</v>
      </c>
    </row>
    <row r="19901" spans="1:16" x14ac:dyDescent="0.25">
      <c r="A19901" t="str">
        <f>"1288000T04230    00"</f>
        <v>1288000T04230    00</v>
      </c>
      <c r="B19901" t="s">
        <v>43154</v>
      </c>
      <c r="C19901" t="s">
        <v>43155</v>
      </c>
      <c r="D19901" t="s">
        <v>20</v>
      </c>
      <c r="E19901" t="s">
        <v>39</v>
      </c>
      <c r="F19901">
        <v>0</v>
      </c>
      <c r="G19901">
        <v>0</v>
      </c>
      <c r="H19901">
        <v>2</v>
      </c>
      <c r="I19901" s="3">
        <v>102.94</v>
      </c>
      <c r="J19901" s="3">
        <v>0</v>
      </c>
      <c r="L19901">
        <v>106</v>
      </c>
      <c r="M19901" t="s">
        <v>21221</v>
      </c>
      <c r="N19901" t="s">
        <v>30</v>
      </c>
      <c r="O19901" t="s">
        <v>31</v>
      </c>
      <c r="P19901" t="str">
        <f>"15205"</f>
        <v>15205</v>
      </c>
    </row>
    <row r="19902" spans="1:16" x14ac:dyDescent="0.25">
      <c r="A19902" t="str">
        <f>"1288000T04396    00"</f>
        <v>1288000T04396    00</v>
      </c>
      <c r="B19902" t="s">
        <v>43156</v>
      </c>
      <c r="C19902" t="s">
        <v>43157</v>
      </c>
      <c r="D19902" t="s">
        <v>20</v>
      </c>
      <c r="E19902" t="s">
        <v>39</v>
      </c>
      <c r="F19902">
        <v>0</v>
      </c>
      <c r="G19902">
        <v>0</v>
      </c>
      <c r="H19902">
        <v>18</v>
      </c>
      <c r="I19902" s="3">
        <v>809.92</v>
      </c>
      <c r="J19902" s="3">
        <v>754.35</v>
      </c>
      <c r="L19902">
        <v>106</v>
      </c>
      <c r="M19902" t="s">
        <v>43158</v>
      </c>
      <c r="N19902" t="s">
        <v>30</v>
      </c>
      <c r="O19902" t="s">
        <v>31</v>
      </c>
      <c r="P19902" t="str">
        <f>"15205"</f>
        <v>15205</v>
      </c>
    </row>
    <row r="19903" spans="1:16" x14ac:dyDescent="0.25">
      <c r="A19903" t="str">
        <f>"1290032N00060    00"</f>
        <v>1290032N00060    00</v>
      </c>
      <c r="B19903" t="s">
        <v>13709</v>
      </c>
      <c r="C19903" t="s">
        <v>43159</v>
      </c>
      <c r="D19903" t="s">
        <v>20</v>
      </c>
      <c r="E19903" t="s">
        <v>39</v>
      </c>
      <c r="F19903">
        <v>0</v>
      </c>
      <c r="G19903">
        <v>0</v>
      </c>
      <c r="H19903">
        <v>17</v>
      </c>
      <c r="I19903" s="3">
        <v>8831.34</v>
      </c>
      <c r="J19903" s="3">
        <v>7142.33</v>
      </c>
      <c r="M19903" t="s">
        <v>30732</v>
      </c>
      <c r="N19903" t="s">
        <v>30</v>
      </c>
      <c r="O19903" t="s">
        <v>31</v>
      </c>
      <c r="P19903" t="str">
        <f>"15235"</f>
        <v>15235</v>
      </c>
    </row>
    <row r="19904" spans="1:16" x14ac:dyDescent="0.25">
      <c r="A19904" t="str">
        <f>"1290032N00065    00"</f>
        <v>1290032N00065    00</v>
      </c>
      <c r="B19904" t="s">
        <v>43160</v>
      </c>
      <c r="C19904" t="s">
        <v>43159</v>
      </c>
      <c r="D19904" t="s">
        <v>20</v>
      </c>
      <c r="E19904" t="s">
        <v>39</v>
      </c>
      <c r="F19904">
        <v>0</v>
      </c>
      <c r="G19904">
        <v>0</v>
      </c>
      <c r="H19904">
        <v>18</v>
      </c>
      <c r="I19904" s="3">
        <v>13033.74</v>
      </c>
      <c r="J19904" s="3">
        <v>14453.55</v>
      </c>
      <c r="K19904" t="s">
        <v>43161</v>
      </c>
      <c r="L19904">
        <v>2571</v>
      </c>
      <c r="M19904" t="s">
        <v>43162</v>
      </c>
      <c r="N19904" t="s">
        <v>15078</v>
      </c>
      <c r="O19904" t="s">
        <v>1413</v>
      </c>
      <c r="P19904" t="str">
        <f>"28601"</f>
        <v>28601</v>
      </c>
    </row>
    <row r="19905" spans="1:16" x14ac:dyDescent="0.25">
      <c r="A19905" t="str">
        <f>"1290032N00166    00"</f>
        <v>1290032N00166    00</v>
      </c>
      <c r="B19905" t="s">
        <v>43163</v>
      </c>
      <c r="C19905" t="s">
        <v>43164</v>
      </c>
      <c r="E19905" t="s">
        <v>39</v>
      </c>
      <c r="F19905">
        <v>0</v>
      </c>
      <c r="G19905">
        <v>0</v>
      </c>
      <c r="H19905">
        <v>1</v>
      </c>
      <c r="I19905" s="3">
        <v>1082.6099999999999</v>
      </c>
      <c r="J19905" s="3">
        <v>0</v>
      </c>
      <c r="L19905">
        <v>134</v>
      </c>
      <c r="M19905" t="s">
        <v>43165</v>
      </c>
      <c r="N19905" t="s">
        <v>30</v>
      </c>
      <c r="O19905" t="s">
        <v>31</v>
      </c>
      <c r="P19905" t="str">
        <f>"15206"</f>
        <v>15206</v>
      </c>
    </row>
    <row r="19906" spans="1:16" x14ac:dyDescent="0.25">
      <c r="A19906" t="str">
        <f>"1290032N00174    00"</f>
        <v>1290032N00174    00</v>
      </c>
      <c r="B19906" t="s">
        <v>43166</v>
      </c>
      <c r="C19906" t="s">
        <v>43167</v>
      </c>
      <c r="D19906" t="s">
        <v>20</v>
      </c>
      <c r="E19906" t="s">
        <v>39</v>
      </c>
      <c r="F19906">
        <v>0</v>
      </c>
      <c r="G19906">
        <v>0</v>
      </c>
      <c r="H19906">
        <v>1</v>
      </c>
      <c r="I19906" s="3">
        <v>1641.07</v>
      </c>
      <c r="J19906" s="3">
        <v>0</v>
      </c>
      <c r="L19906">
        <v>2781</v>
      </c>
      <c r="M19906" t="s">
        <v>35036</v>
      </c>
      <c r="N19906" t="s">
        <v>3934</v>
      </c>
      <c r="O19906" t="s">
        <v>31</v>
      </c>
      <c r="P19906" t="str">
        <f>"15102"</f>
        <v>15102</v>
      </c>
    </row>
    <row r="19907" spans="1:16" x14ac:dyDescent="0.25">
      <c r="A19907" t="str">
        <f>"1290032N00175    00"</f>
        <v>1290032N00175    00</v>
      </c>
      <c r="B19907" t="s">
        <v>43168</v>
      </c>
      <c r="C19907" t="s">
        <v>43169</v>
      </c>
      <c r="D19907" t="s">
        <v>20</v>
      </c>
      <c r="E19907" t="s">
        <v>39</v>
      </c>
      <c r="F19907">
        <v>0</v>
      </c>
      <c r="G19907">
        <v>0</v>
      </c>
      <c r="H19907">
        <v>2</v>
      </c>
      <c r="I19907" s="3">
        <v>213.48</v>
      </c>
      <c r="J19907" s="3">
        <v>0</v>
      </c>
      <c r="K19907" t="s">
        <v>728</v>
      </c>
      <c r="L19907">
        <v>3001</v>
      </c>
      <c r="M19907" t="s">
        <v>330</v>
      </c>
      <c r="N19907" t="s">
        <v>331</v>
      </c>
      <c r="O19907" t="s">
        <v>108</v>
      </c>
      <c r="P19907" t="str">
        <f>"75063"</f>
        <v>75063</v>
      </c>
    </row>
    <row r="19908" spans="1:16" x14ac:dyDescent="0.25">
      <c r="A19908" t="str">
        <f>"1290032N00176    00"</f>
        <v>1290032N00176    00</v>
      </c>
      <c r="B19908" t="s">
        <v>43168</v>
      </c>
      <c r="C19908" t="s">
        <v>43169</v>
      </c>
      <c r="D19908" t="s">
        <v>20</v>
      </c>
      <c r="E19908" t="s">
        <v>39</v>
      </c>
      <c r="F19908">
        <v>0</v>
      </c>
      <c r="G19908">
        <v>0</v>
      </c>
      <c r="H19908">
        <v>2</v>
      </c>
      <c r="I19908" s="3">
        <v>2501.6799999999998</v>
      </c>
      <c r="J19908" s="3">
        <v>0</v>
      </c>
      <c r="K19908" t="s">
        <v>728</v>
      </c>
      <c r="L19908">
        <v>3001</v>
      </c>
      <c r="M19908" t="s">
        <v>330</v>
      </c>
      <c r="N19908" t="s">
        <v>331</v>
      </c>
      <c r="O19908" t="s">
        <v>108</v>
      </c>
      <c r="P19908" t="str">
        <f>"75063"</f>
        <v>75063</v>
      </c>
    </row>
    <row r="19909" spans="1:16" x14ac:dyDescent="0.25">
      <c r="A19909" t="str">
        <f>"1290032N00244    00"</f>
        <v>1290032N00244    00</v>
      </c>
      <c r="B19909" t="s">
        <v>43170</v>
      </c>
      <c r="C19909" t="s">
        <v>43171</v>
      </c>
      <c r="D19909" t="s">
        <v>20</v>
      </c>
      <c r="E19909" t="s">
        <v>39</v>
      </c>
      <c r="F19909">
        <v>0</v>
      </c>
      <c r="G19909">
        <v>0</v>
      </c>
      <c r="H19909">
        <v>2</v>
      </c>
      <c r="I19909" s="3">
        <v>789.62</v>
      </c>
      <c r="J19909" s="3">
        <v>0</v>
      </c>
      <c r="L19909">
        <v>411</v>
      </c>
      <c r="M19909" t="s">
        <v>24747</v>
      </c>
      <c r="N19909" t="s">
        <v>30</v>
      </c>
      <c r="O19909" t="s">
        <v>31</v>
      </c>
      <c r="P19909" t="str">
        <f>"15210"</f>
        <v>15210</v>
      </c>
    </row>
    <row r="19910" spans="1:16" x14ac:dyDescent="0.25">
      <c r="A19910" t="str">
        <f>"1290032N00245    00"</f>
        <v>1290032N00245    00</v>
      </c>
      <c r="B19910" t="s">
        <v>43172</v>
      </c>
      <c r="C19910" t="s">
        <v>43173</v>
      </c>
      <c r="E19910" t="s">
        <v>39</v>
      </c>
      <c r="F19910">
        <v>0</v>
      </c>
      <c r="G19910">
        <v>0</v>
      </c>
      <c r="H19910">
        <v>1</v>
      </c>
      <c r="I19910" s="3">
        <v>411.43</v>
      </c>
      <c r="J19910" s="3">
        <v>0</v>
      </c>
      <c r="L19910">
        <v>409</v>
      </c>
      <c r="M19910" t="s">
        <v>24747</v>
      </c>
      <c r="N19910" t="s">
        <v>30</v>
      </c>
      <c r="O19910" t="s">
        <v>31</v>
      </c>
      <c r="P19910" t="str">
        <f>"15210"</f>
        <v>15210</v>
      </c>
    </row>
    <row r="19911" spans="1:16" x14ac:dyDescent="0.25">
      <c r="A19911" t="str">
        <f>"1290032N00249    00"</f>
        <v>1290032N00249    00</v>
      </c>
      <c r="B19911" t="s">
        <v>43174</v>
      </c>
      <c r="C19911" t="s">
        <v>43175</v>
      </c>
      <c r="D19911" t="s">
        <v>20</v>
      </c>
      <c r="E19911" t="s">
        <v>39</v>
      </c>
      <c r="F19911">
        <v>0</v>
      </c>
      <c r="G19911">
        <v>0</v>
      </c>
      <c r="H19911">
        <v>4</v>
      </c>
      <c r="I19911" s="3">
        <v>5771.52</v>
      </c>
      <c r="J19911" s="3">
        <v>0</v>
      </c>
      <c r="K19911" t="s">
        <v>43176</v>
      </c>
      <c r="L19911">
        <v>401</v>
      </c>
      <c r="M19911" t="s">
        <v>24747</v>
      </c>
      <c r="N19911" t="s">
        <v>30</v>
      </c>
      <c r="O19911" t="s">
        <v>31</v>
      </c>
      <c r="P19911" t="str">
        <f>"15210"</f>
        <v>15210</v>
      </c>
    </row>
    <row r="19912" spans="1:16" x14ac:dyDescent="0.25">
      <c r="A19912" t="str">
        <f>"1290032N00313    00"</f>
        <v>1290032N00313    00</v>
      </c>
      <c r="B19912" t="s">
        <v>43177</v>
      </c>
      <c r="C19912" t="s">
        <v>43178</v>
      </c>
      <c r="E19912" t="s">
        <v>39</v>
      </c>
      <c r="F19912">
        <v>0</v>
      </c>
      <c r="G19912">
        <v>0</v>
      </c>
      <c r="H19912">
        <v>1</v>
      </c>
      <c r="I19912" s="3">
        <v>569.32000000000005</v>
      </c>
      <c r="J19912" s="3">
        <v>170.8</v>
      </c>
      <c r="K19912" t="s">
        <v>43179</v>
      </c>
      <c r="L19912">
        <v>408</v>
      </c>
      <c r="M19912" t="s">
        <v>43180</v>
      </c>
      <c r="N19912" t="s">
        <v>30</v>
      </c>
      <c r="O19912" t="s">
        <v>31</v>
      </c>
      <c r="P19912" t="str">
        <f>"15210"</f>
        <v>15210</v>
      </c>
    </row>
    <row r="19913" spans="1:16" x14ac:dyDescent="0.25">
      <c r="A19913" t="str">
        <f>"1290032N00315    00"</f>
        <v>1290032N00315    00</v>
      </c>
      <c r="B19913" t="s">
        <v>43181</v>
      </c>
      <c r="C19913" t="s">
        <v>43182</v>
      </c>
      <c r="D19913" t="s">
        <v>20</v>
      </c>
      <c r="E19913" t="s">
        <v>39</v>
      </c>
      <c r="F19913">
        <v>0</v>
      </c>
      <c r="G19913">
        <v>0</v>
      </c>
      <c r="H19913">
        <v>14</v>
      </c>
      <c r="I19913" s="3">
        <v>7407.08</v>
      </c>
      <c r="J19913" s="3">
        <v>3779.92</v>
      </c>
      <c r="L19913">
        <v>912</v>
      </c>
      <c r="M19913" t="s">
        <v>43183</v>
      </c>
      <c r="N19913" t="s">
        <v>8181</v>
      </c>
      <c r="O19913" t="s">
        <v>31</v>
      </c>
      <c r="P19913" t="str">
        <f>"15110"</f>
        <v>15110</v>
      </c>
    </row>
    <row r="19914" spans="1:16" x14ac:dyDescent="0.25">
      <c r="A19914" t="str">
        <f>"1290032N00333    00"</f>
        <v>1290032N00333    00</v>
      </c>
      <c r="B19914" t="s">
        <v>43184</v>
      </c>
      <c r="C19914" t="s">
        <v>43185</v>
      </c>
      <c r="D19914" t="s">
        <v>20</v>
      </c>
      <c r="E19914" t="s">
        <v>39</v>
      </c>
      <c r="F19914">
        <v>0</v>
      </c>
      <c r="G19914">
        <v>0</v>
      </c>
      <c r="H19914">
        <v>1</v>
      </c>
      <c r="I19914" s="3">
        <v>381.2</v>
      </c>
      <c r="J19914" s="3">
        <v>0</v>
      </c>
      <c r="L19914">
        <v>154</v>
      </c>
      <c r="M19914" t="s">
        <v>22141</v>
      </c>
      <c r="N19914" t="s">
        <v>30</v>
      </c>
      <c r="O19914" t="s">
        <v>31</v>
      </c>
      <c r="P19914" t="str">
        <f>"15236"</f>
        <v>15236</v>
      </c>
    </row>
    <row r="19915" spans="1:16" x14ac:dyDescent="0.25">
      <c r="A19915" t="str">
        <f>"1290032P00006    00"</f>
        <v>1290032P00006    00</v>
      </c>
      <c r="B19915" t="s">
        <v>43186</v>
      </c>
      <c r="C19915" t="s">
        <v>43187</v>
      </c>
      <c r="E19915" t="s">
        <v>39</v>
      </c>
      <c r="F19915">
        <v>0</v>
      </c>
      <c r="G19915">
        <v>0</v>
      </c>
      <c r="H19915">
        <v>4</v>
      </c>
      <c r="I19915" s="3">
        <v>321</v>
      </c>
      <c r="J19915" s="3">
        <v>71.37</v>
      </c>
      <c r="L19915">
        <v>640</v>
      </c>
      <c r="M19915" t="s">
        <v>43180</v>
      </c>
      <c r="N19915" t="s">
        <v>30</v>
      </c>
      <c r="O19915" t="s">
        <v>31</v>
      </c>
      <c r="P19915" t="str">
        <f>"15210"</f>
        <v>15210</v>
      </c>
    </row>
    <row r="19916" spans="1:16" x14ac:dyDescent="0.25">
      <c r="A19916" t="str">
        <f>"1290032P00011    00"</f>
        <v>1290032P00011    00</v>
      </c>
      <c r="B19916" t="s">
        <v>43188</v>
      </c>
      <c r="C19916" t="s">
        <v>43187</v>
      </c>
      <c r="D19916" t="s">
        <v>20</v>
      </c>
      <c r="E19916" t="s">
        <v>39</v>
      </c>
      <c r="F19916">
        <v>0</v>
      </c>
      <c r="G19916">
        <v>0</v>
      </c>
      <c r="H19916">
        <v>19</v>
      </c>
      <c r="I19916" s="3">
        <v>7602.96</v>
      </c>
      <c r="J19916" s="3">
        <v>8074.32</v>
      </c>
      <c r="M19916" t="s">
        <v>43189</v>
      </c>
      <c r="N19916" t="s">
        <v>30</v>
      </c>
      <c r="O19916" t="s">
        <v>31</v>
      </c>
      <c r="P19916" t="str">
        <f>"15210"</f>
        <v>15210</v>
      </c>
    </row>
    <row r="19917" spans="1:16" x14ac:dyDescent="0.25">
      <c r="A19917" t="str">
        <f>"1290033K00238    00"</f>
        <v>1290033K00238    00</v>
      </c>
      <c r="B19917" t="s">
        <v>43190</v>
      </c>
      <c r="C19917" t="s">
        <v>43191</v>
      </c>
      <c r="D19917" t="s">
        <v>20</v>
      </c>
      <c r="E19917" t="s">
        <v>39</v>
      </c>
      <c r="F19917">
        <v>0</v>
      </c>
      <c r="G19917">
        <v>0</v>
      </c>
      <c r="H19917">
        <v>4</v>
      </c>
      <c r="I19917" s="3">
        <v>2416.9</v>
      </c>
      <c r="J19917" s="3">
        <v>164.7</v>
      </c>
      <c r="L19917">
        <v>4607</v>
      </c>
      <c r="M19917" t="s">
        <v>43192</v>
      </c>
      <c r="N19917" t="s">
        <v>3934</v>
      </c>
      <c r="O19917" t="s">
        <v>31</v>
      </c>
      <c r="P19917" t="str">
        <f>"15102"</f>
        <v>15102</v>
      </c>
    </row>
    <row r="19918" spans="1:16" x14ac:dyDescent="0.25">
      <c r="A19918" t="str">
        <f>"1290033K00240    00"</f>
        <v>1290033K00240    00</v>
      </c>
      <c r="B19918" t="s">
        <v>43193</v>
      </c>
      <c r="C19918" t="s">
        <v>43194</v>
      </c>
      <c r="D19918" t="s">
        <v>20</v>
      </c>
      <c r="E19918" t="s">
        <v>39</v>
      </c>
      <c r="F19918">
        <v>0</v>
      </c>
      <c r="G19918">
        <v>0</v>
      </c>
      <c r="H19918">
        <v>2</v>
      </c>
      <c r="I19918" s="3">
        <v>2041.02</v>
      </c>
      <c r="J19918" s="3">
        <v>128.4</v>
      </c>
      <c r="L19918">
        <v>655</v>
      </c>
      <c r="M19918" t="s">
        <v>43195</v>
      </c>
      <c r="N19918" t="s">
        <v>5797</v>
      </c>
      <c r="O19918" t="s">
        <v>200</v>
      </c>
      <c r="P19918" t="str">
        <f>"11212"</f>
        <v>11212</v>
      </c>
    </row>
    <row r="19919" spans="1:16" x14ac:dyDescent="0.25">
      <c r="A19919" t="str">
        <f>"1290033K00261    00"</f>
        <v>1290033K00261    00</v>
      </c>
      <c r="B19919" t="s">
        <v>25558</v>
      </c>
      <c r="C19919" t="s">
        <v>43196</v>
      </c>
      <c r="D19919" t="s">
        <v>20</v>
      </c>
      <c r="E19919" t="s">
        <v>39</v>
      </c>
      <c r="F19919">
        <v>0</v>
      </c>
      <c r="G19919">
        <v>0</v>
      </c>
      <c r="H19919">
        <v>2</v>
      </c>
      <c r="I19919" s="3">
        <v>19.079999999999998</v>
      </c>
      <c r="J19919" s="3">
        <v>0</v>
      </c>
      <c r="L19919">
        <v>800</v>
      </c>
      <c r="M19919" t="s">
        <v>1070</v>
      </c>
      <c r="N19919" t="s">
        <v>30</v>
      </c>
      <c r="O19919" t="s">
        <v>31</v>
      </c>
      <c r="P19919" t="str">
        <f>"15219"</f>
        <v>15219</v>
      </c>
    </row>
    <row r="19920" spans="1:16" x14ac:dyDescent="0.25">
      <c r="A19920" t="str">
        <f>"1290033P00077    00"</f>
        <v>1290033P00077    00</v>
      </c>
      <c r="B19920" t="s">
        <v>23499</v>
      </c>
      <c r="C19920" t="s">
        <v>43197</v>
      </c>
      <c r="D19920" t="s">
        <v>20</v>
      </c>
      <c r="E19920" t="s">
        <v>39</v>
      </c>
      <c r="F19920">
        <v>0</v>
      </c>
      <c r="G19920">
        <v>0</v>
      </c>
      <c r="H19920">
        <v>1</v>
      </c>
      <c r="I19920" s="3">
        <v>1719.21</v>
      </c>
      <c r="J19920" s="3">
        <v>0</v>
      </c>
      <c r="K19920" t="s">
        <v>23501</v>
      </c>
      <c r="L19920">
        <v>825</v>
      </c>
      <c r="M19920" t="s">
        <v>11611</v>
      </c>
      <c r="N19920" t="s">
        <v>30</v>
      </c>
      <c r="O19920" t="s">
        <v>31</v>
      </c>
      <c r="P19920" t="str">
        <f>"15211"</f>
        <v>15211</v>
      </c>
    </row>
    <row r="19921" spans="1:16" x14ac:dyDescent="0.25">
      <c r="A19921" t="str">
        <f>"1290033P00086    00"</f>
        <v>1290033P00086    00</v>
      </c>
      <c r="B19921" t="s">
        <v>43198</v>
      </c>
      <c r="C19921" t="s">
        <v>43199</v>
      </c>
      <c r="D19921" t="s">
        <v>20</v>
      </c>
      <c r="E19921" t="s">
        <v>21</v>
      </c>
      <c r="F19921">
        <v>0</v>
      </c>
      <c r="G19921">
        <v>0</v>
      </c>
      <c r="H19921">
        <v>4</v>
      </c>
      <c r="I19921" s="3">
        <v>16256.18</v>
      </c>
      <c r="J19921" s="3">
        <v>1992.2</v>
      </c>
      <c r="L19921">
        <v>175</v>
      </c>
      <c r="M19921" t="s">
        <v>43200</v>
      </c>
      <c r="N19921" t="s">
        <v>30</v>
      </c>
      <c r="O19921" t="s">
        <v>31</v>
      </c>
      <c r="P19921" t="str">
        <f>"15227"</f>
        <v>15227</v>
      </c>
    </row>
    <row r="19922" spans="1:16" x14ac:dyDescent="0.25">
      <c r="A19922" t="str">
        <f>"1290033P00087    00"</f>
        <v>1290033P00087    00</v>
      </c>
      <c r="B19922" t="s">
        <v>43201</v>
      </c>
      <c r="C19922" t="s">
        <v>43202</v>
      </c>
      <c r="D19922" t="s">
        <v>20</v>
      </c>
      <c r="E19922" t="s">
        <v>21</v>
      </c>
      <c r="F19922">
        <v>0</v>
      </c>
      <c r="G19922">
        <v>0</v>
      </c>
      <c r="H19922">
        <v>1</v>
      </c>
      <c r="I19922" s="3">
        <v>2310.0700000000002</v>
      </c>
      <c r="J19922" s="3">
        <v>0</v>
      </c>
      <c r="L19922">
        <v>1038</v>
      </c>
      <c r="M19922" t="s">
        <v>8048</v>
      </c>
      <c r="N19922" t="s">
        <v>30</v>
      </c>
      <c r="O19922" t="s">
        <v>31</v>
      </c>
      <c r="P19922" t="str">
        <f>"15210"</f>
        <v>15210</v>
      </c>
    </row>
    <row r="19923" spans="1:16" x14ac:dyDescent="0.25">
      <c r="A19923" t="str">
        <f>"1290033P00236    00"</f>
        <v>1290033P00236    00</v>
      </c>
      <c r="B19923" t="s">
        <v>43203</v>
      </c>
      <c r="C19923" t="s">
        <v>43204</v>
      </c>
      <c r="D19923" t="s">
        <v>20</v>
      </c>
      <c r="E19923" t="s">
        <v>39</v>
      </c>
      <c r="F19923">
        <v>0</v>
      </c>
      <c r="G19923">
        <v>0</v>
      </c>
      <c r="H19923">
        <v>8</v>
      </c>
      <c r="I19923" s="3">
        <v>1977.12</v>
      </c>
      <c r="J19923" s="3">
        <v>646.92999999999995</v>
      </c>
      <c r="L19923">
        <v>273</v>
      </c>
      <c r="M19923" t="s">
        <v>43205</v>
      </c>
      <c r="N19923" t="s">
        <v>30</v>
      </c>
      <c r="O19923" t="s">
        <v>31</v>
      </c>
      <c r="P19923" t="str">
        <f>"15241"</f>
        <v>15241</v>
      </c>
    </row>
    <row r="19924" spans="1:16" x14ac:dyDescent="0.25">
      <c r="A19924" t="str">
        <f>"1290033P00242    00"</f>
        <v>1290033P00242    00</v>
      </c>
      <c r="B19924" t="s">
        <v>43206</v>
      </c>
      <c r="C19924" t="s">
        <v>43207</v>
      </c>
      <c r="D19924" t="s">
        <v>20</v>
      </c>
      <c r="E19924" t="s">
        <v>39</v>
      </c>
      <c r="F19924">
        <v>0</v>
      </c>
      <c r="G19924">
        <v>0</v>
      </c>
      <c r="H19924">
        <v>4</v>
      </c>
      <c r="I19924" s="3">
        <v>2389.9299999999998</v>
      </c>
      <c r="J19924" s="3">
        <v>393.81</v>
      </c>
      <c r="L19924">
        <v>20</v>
      </c>
      <c r="M19924" t="s">
        <v>43208</v>
      </c>
      <c r="N19924" t="s">
        <v>30</v>
      </c>
      <c r="O19924" t="s">
        <v>31</v>
      </c>
      <c r="P19924" t="str">
        <f>"15210"</f>
        <v>15210</v>
      </c>
    </row>
    <row r="19925" spans="1:16" x14ac:dyDescent="0.25">
      <c r="A19925" t="str">
        <f>"1290033P00245    00"</f>
        <v>1290033P00245    00</v>
      </c>
      <c r="B19925" t="s">
        <v>27190</v>
      </c>
      <c r="C19925" t="s">
        <v>43209</v>
      </c>
      <c r="D19925" t="s">
        <v>20</v>
      </c>
      <c r="E19925" t="s">
        <v>39</v>
      </c>
      <c r="F19925">
        <v>0</v>
      </c>
      <c r="G19925">
        <v>0</v>
      </c>
      <c r="H19925">
        <v>2</v>
      </c>
      <c r="I19925" s="3">
        <v>1055.94</v>
      </c>
      <c r="J19925" s="3">
        <v>0</v>
      </c>
      <c r="L19925">
        <v>415</v>
      </c>
      <c r="M19925" t="s">
        <v>22783</v>
      </c>
      <c r="N19925" t="s">
        <v>30</v>
      </c>
      <c r="O19925" t="s">
        <v>31</v>
      </c>
      <c r="P19925" t="str">
        <f>"15211"</f>
        <v>15211</v>
      </c>
    </row>
    <row r="19926" spans="1:16" x14ac:dyDescent="0.25">
      <c r="A19926" t="str">
        <f>"1290033P00325    00"</f>
        <v>1290033P00325    00</v>
      </c>
      <c r="B19926" t="s">
        <v>43210</v>
      </c>
      <c r="C19926" t="s">
        <v>43211</v>
      </c>
      <c r="D19926" t="s">
        <v>20</v>
      </c>
      <c r="E19926" t="s">
        <v>39</v>
      </c>
      <c r="F19926">
        <v>0</v>
      </c>
      <c r="G19926">
        <v>0</v>
      </c>
      <c r="H19926">
        <v>1</v>
      </c>
      <c r="I19926" s="3">
        <v>249.32</v>
      </c>
      <c r="J19926" s="3">
        <v>0</v>
      </c>
      <c r="L19926">
        <v>18</v>
      </c>
      <c r="M19926" t="s">
        <v>43212</v>
      </c>
      <c r="N19926" t="s">
        <v>30</v>
      </c>
      <c r="O19926" t="s">
        <v>31</v>
      </c>
      <c r="P19926" t="str">
        <f>"15210"</f>
        <v>15210</v>
      </c>
    </row>
    <row r="19927" spans="1:16" x14ac:dyDescent="0.25">
      <c r="A19927" t="str">
        <f>"1290033P00330    00"</f>
        <v>1290033P00330    00</v>
      </c>
      <c r="B19927" t="s">
        <v>43213</v>
      </c>
      <c r="C19927" t="s">
        <v>43214</v>
      </c>
      <c r="D19927" t="s">
        <v>20</v>
      </c>
      <c r="E19927" t="s">
        <v>39</v>
      </c>
      <c r="F19927">
        <v>0</v>
      </c>
      <c r="G19927">
        <v>0</v>
      </c>
      <c r="H19927">
        <v>3</v>
      </c>
      <c r="I19927" s="3">
        <v>2590.2600000000002</v>
      </c>
      <c r="J19927" s="3">
        <v>172.68</v>
      </c>
      <c r="K19927" t="s">
        <v>43215</v>
      </c>
      <c r="L19927">
        <v>136</v>
      </c>
      <c r="M19927" t="s">
        <v>43216</v>
      </c>
      <c r="N19927" t="s">
        <v>30</v>
      </c>
      <c r="O19927" t="s">
        <v>31</v>
      </c>
      <c r="P19927" t="str">
        <f>"15235"</f>
        <v>15235</v>
      </c>
    </row>
    <row r="19928" spans="1:16" x14ac:dyDescent="0.25">
      <c r="A19928" t="str">
        <f>"1290033P00333    00"</f>
        <v>1290033P00333    00</v>
      </c>
      <c r="B19928" t="s">
        <v>43217</v>
      </c>
      <c r="C19928" t="s">
        <v>43218</v>
      </c>
      <c r="D19928" t="s">
        <v>20</v>
      </c>
      <c r="E19928" t="s">
        <v>39</v>
      </c>
      <c r="F19928">
        <v>0</v>
      </c>
      <c r="G19928">
        <v>0</v>
      </c>
      <c r="H19928">
        <v>11</v>
      </c>
      <c r="I19928" s="3">
        <v>5386.32</v>
      </c>
      <c r="J19928" s="3">
        <v>3099.35</v>
      </c>
      <c r="L19928">
        <v>2922</v>
      </c>
      <c r="M19928" t="s">
        <v>43219</v>
      </c>
      <c r="N19928" t="s">
        <v>43220</v>
      </c>
      <c r="O19928" t="s">
        <v>31</v>
      </c>
      <c r="P19928" t="str">
        <f>"17584"</f>
        <v>17584</v>
      </c>
    </row>
    <row r="19929" spans="1:16" x14ac:dyDescent="0.25">
      <c r="A19929" t="str">
        <f>"1290033R00060    00"</f>
        <v>1290033R00060    00</v>
      </c>
      <c r="B19929" t="s">
        <v>43221</v>
      </c>
      <c r="C19929" t="s">
        <v>43222</v>
      </c>
      <c r="D19929" t="s">
        <v>20</v>
      </c>
      <c r="E19929" t="s">
        <v>39</v>
      </c>
      <c r="F19929">
        <v>0</v>
      </c>
      <c r="G19929">
        <v>0</v>
      </c>
      <c r="H19929">
        <v>1</v>
      </c>
      <c r="I19929" s="3">
        <v>989.23</v>
      </c>
      <c r="J19929" s="3">
        <v>0</v>
      </c>
      <c r="K19929" t="s">
        <v>43223</v>
      </c>
      <c r="L19929">
        <v>512</v>
      </c>
      <c r="M19929" t="s">
        <v>10052</v>
      </c>
      <c r="N19929" t="s">
        <v>30</v>
      </c>
      <c r="O19929" t="s">
        <v>31</v>
      </c>
      <c r="P19929" t="str">
        <f>"15209"</f>
        <v>15209</v>
      </c>
    </row>
    <row r="19930" spans="1:16" x14ac:dyDescent="0.25">
      <c r="A19930" t="str">
        <f>"1290033R00124    00"</f>
        <v>1290033R00124    00</v>
      </c>
      <c r="B19930" t="s">
        <v>43224</v>
      </c>
      <c r="C19930" t="s">
        <v>43225</v>
      </c>
      <c r="D19930" t="s">
        <v>20</v>
      </c>
      <c r="E19930" t="s">
        <v>39</v>
      </c>
      <c r="F19930">
        <v>0</v>
      </c>
      <c r="G19930">
        <v>0</v>
      </c>
      <c r="H19930">
        <v>6</v>
      </c>
      <c r="I19930" s="3">
        <v>13049.65</v>
      </c>
      <c r="J19930" s="3">
        <v>4225.84</v>
      </c>
      <c r="K19930" t="s">
        <v>43226</v>
      </c>
      <c r="L19930">
        <v>1035</v>
      </c>
      <c r="M19930" t="s">
        <v>8048</v>
      </c>
      <c r="N19930" t="s">
        <v>30</v>
      </c>
      <c r="O19930" t="s">
        <v>31</v>
      </c>
      <c r="P19930" t="str">
        <f>"15210"</f>
        <v>15210</v>
      </c>
    </row>
    <row r="19931" spans="1:16" x14ac:dyDescent="0.25">
      <c r="A19931" t="str">
        <f>"1290033R00130    00"</f>
        <v>1290033R00130    00</v>
      </c>
      <c r="B19931" t="s">
        <v>43227</v>
      </c>
      <c r="C19931" t="s">
        <v>43228</v>
      </c>
      <c r="E19931" t="s">
        <v>39</v>
      </c>
      <c r="F19931">
        <v>0</v>
      </c>
      <c r="G19931">
        <v>0</v>
      </c>
      <c r="H19931">
        <v>3</v>
      </c>
      <c r="I19931" s="3">
        <v>6472.85</v>
      </c>
      <c r="J19931" s="3">
        <v>1034.67</v>
      </c>
      <c r="K19931" t="s">
        <v>43229</v>
      </c>
      <c r="L19931">
        <v>15</v>
      </c>
      <c r="M19931" t="s">
        <v>3015</v>
      </c>
      <c r="N19931" t="s">
        <v>30</v>
      </c>
      <c r="O19931" t="s">
        <v>31</v>
      </c>
      <c r="P19931" t="str">
        <f>"15210"</f>
        <v>15210</v>
      </c>
    </row>
    <row r="19932" spans="1:16" x14ac:dyDescent="0.25">
      <c r="A19932" t="str">
        <f>"1290033R00156    00"</f>
        <v>1290033R00156    00</v>
      </c>
      <c r="B19932" t="s">
        <v>29079</v>
      </c>
      <c r="C19932" t="s">
        <v>43230</v>
      </c>
      <c r="E19932" t="s">
        <v>39</v>
      </c>
      <c r="F19932">
        <v>0</v>
      </c>
      <c r="G19932">
        <v>0</v>
      </c>
      <c r="H19932">
        <v>1</v>
      </c>
      <c r="I19932" s="3">
        <v>700.4</v>
      </c>
      <c r="J19932" s="3">
        <v>0</v>
      </c>
      <c r="L19932">
        <v>1412</v>
      </c>
      <c r="M19932" t="s">
        <v>29081</v>
      </c>
      <c r="N19932" t="s">
        <v>30</v>
      </c>
      <c r="O19932" t="s">
        <v>31</v>
      </c>
      <c r="P19932" t="str">
        <f>"15205"</f>
        <v>15205</v>
      </c>
    </row>
    <row r="19933" spans="1:16" x14ac:dyDescent="0.25">
      <c r="A19933" t="str">
        <f>"1290033R00238    00"</f>
        <v>1290033R00238    00</v>
      </c>
      <c r="B19933" t="s">
        <v>43231</v>
      </c>
      <c r="C19933" t="s">
        <v>43159</v>
      </c>
      <c r="D19933" t="s">
        <v>20</v>
      </c>
      <c r="E19933" t="s">
        <v>39</v>
      </c>
      <c r="F19933">
        <v>0</v>
      </c>
      <c r="G19933">
        <v>0</v>
      </c>
      <c r="H19933">
        <v>19</v>
      </c>
      <c r="I19933" s="3">
        <v>4339.6499999999996</v>
      </c>
      <c r="J19933" s="3">
        <v>3200.74</v>
      </c>
      <c r="L19933">
        <v>116</v>
      </c>
      <c r="M19933" t="s">
        <v>43232</v>
      </c>
      <c r="N19933" t="s">
        <v>30</v>
      </c>
      <c r="O19933" t="s">
        <v>31</v>
      </c>
      <c r="P19933" t="str">
        <f>"15227"</f>
        <v>15227</v>
      </c>
    </row>
    <row r="19934" spans="1:16" x14ac:dyDescent="0.25">
      <c r="A19934" t="str">
        <f>"1290033R00243    00"</f>
        <v>1290033R00243    00</v>
      </c>
      <c r="B19934" t="s">
        <v>43233</v>
      </c>
      <c r="C19934" t="s">
        <v>43234</v>
      </c>
      <c r="E19934" t="s">
        <v>39</v>
      </c>
      <c r="F19934">
        <v>0</v>
      </c>
      <c r="G19934">
        <v>0</v>
      </c>
      <c r="H19934">
        <v>1</v>
      </c>
      <c r="I19934" s="3">
        <v>237.9</v>
      </c>
      <c r="J19934" s="3">
        <v>0</v>
      </c>
      <c r="K19934" t="s">
        <v>25097</v>
      </c>
      <c r="L19934">
        <v>500</v>
      </c>
      <c r="M19934" t="s">
        <v>25098</v>
      </c>
      <c r="N19934" t="s">
        <v>25099</v>
      </c>
      <c r="O19934" t="s">
        <v>1413</v>
      </c>
      <c r="P19934" t="str">
        <f>"27330"</f>
        <v>27330</v>
      </c>
    </row>
    <row r="19935" spans="1:16" x14ac:dyDescent="0.25">
      <c r="A19935" t="str">
        <f>"1290033R00244    00"</f>
        <v>1290033R00244    00</v>
      </c>
      <c r="B19935" t="s">
        <v>23813</v>
      </c>
      <c r="C19935" t="s">
        <v>43235</v>
      </c>
      <c r="D19935" t="s">
        <v>20</v>
      </c>
      <c r="E19935" t="s">
        <v>39</v>
      </c>
      <c r="F19935">
        <v>0</v>
      </c>
      <c r="G19935">
        <v>0</v>
      </c>
      <c r="H19935">
        <v>4</v>
      </c>
      <c r="I19935" s="3">
        <v>3040.24</v>
      </c>
      <c r="J19935" s="3">
        <v>374.37</v>
      </c>
      <c r="K19935" t="s">
        <v>23815</v>
      </c>
      <c r="L19935">
        <v>131</v>
      </c>
      <c r="M19935" t="s">
        <v>43180</v>
      </c>
      <c r="N19935" t="s">
        <v>30</v>
      </c>
      <c r="O19935" t="s">
        <v>31</v>
      </c>
      <c r="P19935" t="str">
        <f>"15210"</f>
        <v>15210</v>
      </c>
    </row>
    <row r="19936" spans="1:16" x14ac:dyDescent="0.25">
      <c r="A19936" t="str">
        <f>"1290033R00280    00"</f>
        <v>1290033R00280    00</v>
      </c>
      <c r="B19936" t="s">
        <v>43236</v>
      </c>
      <c r="C19936" t="s">
        <v>43237</v>
      </c>
      <c r="D19936" t="s">
        <v>20</v>
      </c>
      <c r="E19936" t="s">
        <v>39</v>
      </c>
      <c r="F19936">
        <v>0</v>
      </c>
      <c r="G19936">
        <v>0</v>
      </c>
      <c r="H19936">
        <v>9</v>
      </c>
      <c r="I19936" s="3">
        <v>6309.12</v>
      </c>
      <c r="J19936" s="3">
        <v>2236.0300000000002</v>
      </c>
      <c r="L19936">
        <v>342</v>
      </c>
      <c r="M19936" t="s">
        <v>43238</v>
      </c>
      <c r="N19936" t="s">
        <v>30</v>
      </c>
      <c r="O19936" t="s">
        <v>31</v>
      </c>
      <c r="P19936" t="str">
        <f>"15210"</f>
        <v>15210</v>
      </c>
    </row>
    <row r="19937" spans="1:16" x14ac:dyDescent="0.25">
      <c r="A19937" t="str">
        <f>"1290033R00331    00"</f>
        <v>1290033R00331    00</v>
      </c>
      <c r="B19937" t="s">
        <v>43239</v>
      </c>
      <c r="C19937" t="s">
        <v>43240</v>
      </c>
      <c r="D19937" t="s">
        <v>20</v>
      </c>
      <c r="E19937" t="s">
        <v>39</v>
      </c>
      <c r="F19937">
        <v>0</v>
      </c>
      <c r="G19937">
        <v>0</v>
      </c>
      <c r="H19937">
        <v>19</v>
      </c>
      <c r="I19937" s="3">
        <v>19162.349999999999</v>
      </c>
      <c r="J19937" s="3">
        <v>11937.62</v>
      </c>
      <c r="L19937">
        <v>1141</v>
      </c>
      <c r="M19937" t="s">
        <v>8048</v>
      </c>
      <c r="N19937" t="s">
        <v>30</v>
      </c>
      <c r="O19937" t="s">
        <v>31</v>
      </c>
      <c r="P19937" t="str">
        <f>"15210"</f>
        <v>15210</v>
      </c>
    </row>
    <row r="19938" spans="1:16" x14ac:dyDescent="0.25">
      <c r="A19938" t="str">
        <f>"1290033R00337    00"</f>
        <v>1290033R00337    00</v>
      </c>
      <c r="B19938" t="s">
        <v>43241</v>
      </c>
      <c r="C19938" t="s">
        <v>43242</v>
      </c>
      <c r="D19938" t="s">
        <v>20</v>
      </c>
      <c r="E19938" t="s">
        <v>21</v>
      </c>
      <c r="F19938">
        <v>0</v>
      </c>
      <c r="G19938">
        <v>0</v>
      </c>
      <c r="H19938">
        <v>19</v>
      </c>
      <c r="I19938" s="3">
        <v>29243.4</v>
      </c>
      <c r="J19938" s="3">
        <v>27293.49</v>
      </c>
      <c r="K19938" t="s">
        <v>14239</v>
      </c>
      <c r="L19938">
        <v>204</v>
      </c>
      <c r="M19938" t="s">
        <v>7241</v>
      </c>
      <c r="N19938" t="s">
        <v>30</v>
      </c>
      <c r="O19938" t="s">
        <v>31</v>
      </c>
      <c r="P19938" t="str">
        <f>"15206"</f>
        <v>15206</v>
      </c>
    </row>
    <row r="19939" spans="1:16" x14ac:dyDescent="0.25">
      <c r="A19939" t="str">
        <f>"1290033R00338    00"</f>
        <v>1290033R00338    00</v>
      </c>
      <c r="B19939" t="s">
        <v>43243</v>
      </c>
      <c r="C19939" t="s">
        <v>43244</v>
      </c>
      <c r="E19939" t="s">
        <v>21</v>
      </c>
      <c r="F19939">
        <v>0</v>
      </c>
      <c r="G19939">
        <v>0</v>
      </c>
      <c r="H19939">
        <v>1</v>
      </c>
      <c r="I19939" s="3">
        <v>691.88</v>
      </c>
      <c r="J19939" s="3">
        <v>0</v>
      </c>
      <c r="K19939" t="s">
        <v>43245</v>
      </c>
      <c r="L19939">
        <v>669</v>
      </c>
      <c r="M19939" t="s">
        <v>43246</v>
      </c>
      <c r="N19939" t="s">
        <v>1766</v>
      </c>
      <c r="O19939" t="s">
        <v>31</v>
      </c>
      <c r="P19939" t="str">
        <f>"15367"</f>
        <v>15367</v>
      </c>
    </row>
    <row r="19940" spans="1:16" x14ac:dyDescent="0.25">
      <c r="A19940" t="str">
        <f>"1290033R00341    00"</f>
        <v>1290033R00341    00</v>
      </c>
      <c r="B19940" t="s">
        <v>43247</v>
      </c>
      <c r="C19940" t="s">
        <v>43248</v>
      </c>
      <c r="D19940" t="s">
        <v>20</v>
      </c>
      <c r="E19940" t="s">
        <v>21</v>
      </c>
      <c r="F19940">
        <v>0</v>
      </c>
      <c r="G19940">
        <v>0</v>
      </c>
      <c r="H19940">
        <v>1</v>
      </c>
      <c r="I19940" s="3">
        <v>1080.71</v>
      </c>
      <c r="J19940" s="3">
        <v>0</v>
      </c>
      <c r="L19940">
        <v>1128</v>
      </c>
      <c r="M19940" t="s">
        <v>8048</v>
      </c>
      <c r="N19940" t="s">
        <v>30</v>
      </c>
      <c r="O19940" t="s">
        <v>31</v>
      </c>
      <c r="P19940" t="str">
        <f>"15210"</f>
        <v>15210</v>
      </c>
    </row>
    <row r="19941" spans="1:16" x14ac:dyDescent="0.25">
      <c r="A19941" t="str">
        <f>"1290033R00359    00"</f>
        <v>1290033R00359    00</v>
      </c>
      <c r="B19941" t="s">
        <v>43249</v>
      </c>
      <c r="C19941" t="s">
        <v>43250</v>
      </c>
      <c r="D19941" t="s">
        <v>20</v>
      </c>
      <c r="E19941" t="s">
        <v>39</v>
      </c>
      <c r="F19941">
        <v>0</v>
      </c>
      <c r="G19941">
        <v>0</v>
      </c>
      <c r="H19941">
        <v>9</v>
      </c>
      <c r="I19941" s="3">
        <v>1378.48</v>
      </c>
      <c r="J19941" s="3">
        <v>1135.3499999999999</v>
      </c>
      <c r="K19941" t="s">
        <v>43251</v>
      </c>
      <c r="L19941">
        <v>6563</v>
      </c>
      <c r="M19941" t="s">
        <v>43252</v>
      </c>
      <c r="N19941" t="s">
        <v>12873</v>
      </c>
      <c r="O19941" t="s">
        <v>370</v>
      </c>
      <c r="P19941" t="str">
        <f>"32809"</f>
        <v>32809</v>
      </c>
    </row>
    <row r="19942" spans="1:16" x14ac:dyDescent="0.25">
      <c r="A19942" t="str">
        <f>"1290033S00012    00"</f>
        <v>1290033S00012    00</v>
      </c>
      <c r="B19942" t="s">
        <v>43253</v>
      </c>
      <c r="C19942" t="s">
        <v>43254</v>
      </c>
      <c r="E19942" t="s">
        <v>39</v>
      </c>
      <c r="F19942">
        <v>0</v>
      </c>
      <c r="G19942">
        <v>0</v>
      </c>
      <c r="H19942">
        <v>4</v>
      </c>
      <c r="I19942" s="3">
        <v>3166.73</v>
      </c>
      <c r="J19942" s="3">
        <v>3370.03</v>
      </c>
      <c r="K19942" t="s">
        <v>43255</v>
      </c>
      <c r="L19942">
        <v>907</v>
      </c>
      <c r="M19942" t="s">
        <v>43256</v>
      </c>
      <c r="N19942" t="s">
        <v>43257</v>
      </c>
      <c r="O19942" t="s">
        <v>25</v>
      </c>
      <c r="P19942" t="str">
        <f>"44408"</f>
        <v>44408</v>
      </c>
    </row>
    <row r="19943" spans="1:16" x14ac:dyDescent="0.25">
      <c r="A19943" t="str">
        <f>"1290033S00014    00"</f>
        <v>1290033S00014    00</v>
      </c>
      <c r="B19943" t="s">
        <v>43258</v>
      </c>
      <c r="C19943" t="s">
        <v>43259</v>
      </c>
      <c r="D19943" t="s">
        <v>20</v>
      </c>
      <c r="E19943" t="s">
        <v>39</v>
      </c>
      <c r="F19943">
        <v>0</v>
      </c>
      <c r="G19943">
        <v>0</v>
      </c>
      <c r="H19943">
        <v>1</v>
      </c>
      <c r="I19943" s="3">
        <v>297.47000000000003</v>
      </c>
      <c r="J19943" s="3">
        <v>0</v>
      </c>
      <c r="L19943">
        <v>154</v>
      </c>
      <c r="M19943" t="s">
        <v>3015</v>
      </c>
      <c r="N19943" t="s">
        <v>30</v>
      </c>
      <c r="O19943" t="s">
        <v>31</v>
      </c>
      <c r="P19943" t="str">
        <f>"15210"</f>
        <v>15210</v>
      </c>
    </row>
    <row r="19944" spans="1:16" x14ac:dyDescent="0.25">
      <c r="A19944" t="str">
        <f>"1290033S00024    00"</f>
        <v>1290033S00024    00</v>
      </c>
      <c r="B19944" t="s">
        <v>43260</v>
      </c>
      <c r="C19944" t="s">
        <v>43261</v>
      </c>
      <c r="E19944" t="s">
        <v>39</v>
      </c>
      <c r="F19944">
        <v>0</v>
      </c>
      <c r="G19944">
        <v>0</v>
      </c>
      <c r="H19944">
        <v>5</v>
      </c>
      <c r="I19944" s="3">
        <v>5261.6</v>
      </c>
      <c r="J19944" s="3">
        <v>3988.37</v>
      </c>
      <c r="L19944">
        <v>2567</v>
      </c>
      <c r="M19944" t="s">
        <v>43262</v>
      </c>
      <c r="N19944" t="s">
        <v>30</v>
      </c>
      <c r="O19944" t="s">
        <v>31</v>
      </c>
      <c r="P19944" t="str">
        <f>"15241"</f>
        <v>15241</v>
      </c>
    </row>
    <row r="19945" spans="1:16" x14ac:dyDescent="0.25">
      <c r="A19945" t="str">
        <f>"1290033S00048    00"</f>
        <v>1290033S00048    00</v>
      </c>
      <c r="B19945" t="s">
        <v>20674</v>
      </c>
      <c r="C19945" t="s">
        <v>43263</v>
      </c>
      <c r="D19945" t="s">
        <v>20</v>
      </c>
      <c r="E19945" t="s">
        <v>39</v>
      </c>
      <c r="F19945">
        <v>0</v>
      </c>
      <c r="G19945">
        <v>0</v>
      </c>
      <c r="H19945">
        <v>2</v>
      </c>
      <c r="I19945" s="3">
        <v>2313.9</v>
      </c>
      <c r="J19945" s="3">
        <v>0</v>
      </c>
      <c r="L19945">
        <v>124</v>
      </c>
      <c r="M19945" t="s">
        <v>43264</v>
      </c>
      <c r="N19945" t="s">
        <v>30</v>
      </c>
      <c r="O19945" t="s">
        <v>31</v>
      </c>
      <c r="P19945" t="str">
        <f>"15210"</f>
        <v>15210</v>
      </c>
    </row>
    <row r="19946" spans="1:16" x14ac:dyDescent="0.25">
      <c r="A19946" t="str">
        <f>"1290033S00210    00"</f>
        <v>1290033S00210    00</v>
      </c>
      <c r="B19946" t="s">
        <v>43265</v>
      </c>
      <c r="C19946" t="s">
        <v>43266</v>
      </c>
      <c r="D19946" t="s">
        <v>20</v>
      </c>
      <c r="E19946" t="s">
        <v>39</v>
      </c>
      <c r="F19946">
        <v>0</v>
      </c>
      <c r="G19946">
        <v>0</v>
      </c>
      <c r="H19946">
        <v>2</v>
      </c>
      <c r="I19946" s="3">
        <v>2792.21</v>
      </c>
      <c r="J19946" s="3">
        <v>0</v>
      </c>
      <c r="L19946">
        <v>51</v>
      </c>
      <c r="M19946" t="s">
        <v>43267</v>
      </c>
      <c r="N19946" t="s">
        <v>30</v>
      </c>
      <c r="O19946" t="s">
        <v>31</v>
      </c>
      <c r="P19946" t="str">
        <f>"15210"</f>
        <v>15210</v>
      </c>
    </row>
    <row r="19947" spans="1:16" x14ac:dyDescent="0.25">
      <c r="A19947" t="str">
        <f>"1290033S00221    00"</f>
        <v>1290033S00221    00</v>
      </c>
      <c r="B19947" t="s">
        <v>43268</v>
      </c>
      <c r="C19947" t="s">
        <v>43269</v>
      </c>
      <c r="D19947" t="s">
        <v>20</v>
      </c>
      <c r="E19947" t="s">
        <v>39</v>
      </c>
      <c r="F19947">
        <v>0</v>
      </c>
      <c r="G19947">
        <v>0</v>
      </c>
      <c r="H19947">
        <v>2</v>
      </c>
      <c r="I19947" s="3">
        <v>1715.4</v>
      </c>
      <c r="J19947" s="3">
        <v>0</v>
      </c>
      <c r="L19947">
        <v>722</v>
      </c>
      <c r="M19947" t="s">
        <v>43270</v>
      </c>
      <c r="N19947" t="s">
        <v>30</v>
      </c>
      <c r="O19947" t="s">
        <v>31</v>
      </c>
      <c r="P19947" t="str">
        <f>"15234"</f>
        <v>15234</v>
      </c>
    </row>
    <row r="19948" spans="1:16" x14ac:dyDescent="0.25">
      <c r="A19948" t="str">
        <f>"1290033S00227    00"</f>
        <v>1290033S00227    00</v>
      </c>
      <c r="B19948" t="s">
        <v>43271</v>
      </c>
      <c r="C19948" t="s">
        <v>43272</v>
      </c>
      <c r="D19948" t="s">
        <v>20</v>
      </c>
      <c r="E19948" t="s">
        <v>39</v>
      </c>
      <c r="F19948">
        <v>0</v>
      </c>
      <c r="G19948">
        <v>0</v>
      </c>
      <c r="H19948">
        <v>2</v>
      </c>
      <c r="I19948" s="3">
        <v>1076.47</v>
      </c>
      <c r="J19948" s="3">
        <v>10.56</v>
      </c>
      <c r="L19948">
        <v>13</v>
      </c>
      <c r="M19948" t="s">
        <v>43267</v>
      </c>
      <c r="N19948" t="s">
        <v>30</v>
      </c>
      <c r="O19948" t="s">
        <v>31</v>
      </c>
      <c r="P19948" t="str">
        <f>"15210"</f>
        <v>15210</v>
      </c>
    </row>
    <row r="19949" spans="1:16" x14ac:dyDescent="0.25">
      <c r="A19949" t="str">
        <f>"1290033S00245    00"</f>
        <v>1290033S00245    00</v>
      </c>
      <c r="B19949" t="s">
        <v>43273</v>
      </c>
      <c r="C19949" t="s">
        <v>43274</v>
      </c>
      <c r="D19949" t="s">
        <v>20</v>
      </c>
      <c r="E19949" t="s">
        <v>39</v>
      </c>
      <c r="F19949">
        <v>0</v>
      </c>
      <c r="G19949">
        <v>0</v>
      </c>
      <c r="H19949">
        <v>3</v>
      </c>
      <c r="I19949" s="3">
        <v>1892.67</v>
      </c>
      <c r="J19949" s="3">
        <v>126.17</v>
      </c>
      <c r="L19949">
        <v>1211</v>
      </c>
      <c r="M19949" t="s">
        <v>23831</v>
      </c>
      <c r="N19949" t="s">
        <v>30</v>
      </c>
      <c r="O19949" t="s">
        <v>31</v>
      </c>
      <c r="P19949" t="str">
        <f>"15210"</f>
        <v>15210</v>
      </c>
    </row>
    <row r="19950" spans="1:16" x14ac:dyDescent="0.25">
      <c r="A19950" t="str">
        <f>"1290033S00251    00"</f>
        <v>1290033S00251    00</v>
      </c>
      <c r="B19950" t="s">
        <v>43275</v>
      </c>
      <c r="C19950" t="s">
        <v>43276</v>
      </c>
      <c r="E19950" t="s">
        <v>39</v>
      </c>
      <c r="F19950">
        <v>0</v>
      </c>
      <c r="G19950">
        <v>0</v>
      </c>
      <c r="H19950">
        <v>1</v>
      </c>
      <c r="I19950" s="3">
        <v>853.89</v>
      </c>
      <c r="J19950" s="3">
        <v>0</v>
      </c>
      <c r="K19950" t="s">
        <v>43277</v>
      </c>
      <c r="L19950">
        <v>108</v>
      </c>
      <c r="M19950" t="s">
        <v>43278</v>
      </c>
      <c r="N19950" t="s">
        <v>1766</v>
      </c>
      <c r="O19950" t="s">
        <v>31</v>
      </c>
      <c r="P19950" t="str">
        <f>"15367"</f>
        <v>15367</v>
      </c>
    </row>
    <row r="19951" spans="1:16" x14ac:dyDescent="0.25">
      <c r="A19951" t="str">
        <f>"1290033S00255    00"</f>
        <v>1290033S00255    00</v>
      </c>
      <c r="B19951" t="s">
        <v>24004</v>
      </c>
      <c r="C19951" t="s">
        <v>43279</v>
      </c>
      <c r="D19951" t="s">
        <v>20</v>
      </c>
      <c r="E19951" t="s">
        <v>39</v>
      </c>
      <c r="F19951">
        <v>0</v>
      </c>
      <c r="G19951">
        <v>0</v>
      </c>
      <c r="H19951">
        <v>1</v>
      </c>
      <c r="I19951" s="3">
        <v>471.5</v>
      </c>
      <c r="J19951" s="3">
        <v>0</v>
      </c>
      <c r="M19951" t="s">
        <v>24006</v>
      </c>
      <c r="N19951" t="s">
        <v>30</v>
      </c>
      <c r="O19951" t="s">
        <v>31</v>
      </c>
      <c r="P19951" t="str">
        <f>"15236"</f>
        <v>15236</v>
      </c>
    </row>
    <row r="19952" spans="1:16" x14ac:dyDescent="0.25">
      <c r="A19952" t="str">
        <f>"1290033S00256    00"</f>
        <v>1290033S00256    00</v>
      </c>
      <c r="B19952" t="s">
        <v>43280</v>
      </c>
      <c r="C19952" t="s">
        <v>43281</v>
      </c>
      <c r="D19952" t="s">
        <v>20</v>
      </c>
      <c r="E19952" t="s">
        <v>39</v>
      </c>
      <c r="F19952">
        <v>0</v>
      </c>
      <c r="G19952">
        <v>0</v>
      </c>
      <c r="H19952">
        <v>13</v>
      </c>
      <c r="I19952" s="3">
        <v>11135.75</v>
      </c>
      <c r="J19952" s="3">
        <v>6234.64</v>
      </c>
      <c r="L19952">
        <v>20</v>
      </c>
      <c r="M19952" t="s">
        <v>43282</v>
      </c>
      <c r="N19952" t="s">
        <v>30</v>
      </c>
      <c r="O19952" t="s">
        <v>31</v>
      </c>
      <c r="P19952" t="str">
        <f>"15210"</f>
        <v>15210</v>
      </c>
    </row>
    <row r="19953" spans="1:16" x14ac:dyDescent="0.25">
      <c r="A19953" t="str">
        <f>"1290033S00258    00"</f>
        <v>1290033S00258    00</v>
      </c>
      <c r="B19953" t="s">
        <v>43283</v>
      </c>
      <c r="C19953" t="s">
        <v>43284</v>
      </c>
      <c r="D19953" t="s">
        <v>20</v>
      </c>
      <c r="E19953" t="s">
        <v>39</v>
      </c>
      <c r="F19953">
        <v>0</v>
      </c>
      <c r="G19953">
        <v>0</v>
      </c>
      <c r="H19953">
        <v>5</v>
      </c>
      <c r="I19953" s="3">
        <v>3675.43</v>
      </c>
      <c r="J19953" s="3">
        <v>451.8</v>
      </c>
      <c r="L19953">
        <v>24</v>
      </c>
      <c r="M19953" t="s">
        <v>43285</v>
      </c>
      <c r="N19953" t="s">
        <v>30</v>
      </c>
      <c r="O19953" t="s">
        <v>31</v>
      </c>
      <c r="P19953" t="str">
        <f>"15210"</f>
        <v>15210</v>
      </c>
    </row>
    <row r="19954" spans="1:16" x14ac:dyDescent="0.25">
      <c r="A19954" t="str">
        <f>"1290033S00306    00"</f>
        <v>1290033S00306    00</v>
      </c>
      <c r="B19954" t="s">
        <v>33888</v>
      </c>
      <c r="C19954" t="s">
        <v>43286</v>
      </c>
      <c r="D19954" t="s">
        <v>20</v>
      </c>
      <c r="E19954" t="s">
        <v>39</v>
      </c>
      <c r="F19954">
        <v>0</v>
      </c>
      <c r="G19954">
        <v>0</v>
      </c>
      <c r="H19954">
        <v>1</v>
      </c>
      <c r="I19954" s="3">
        <v>472.71</v>
      </c>
      <c r="J19954" s="3">
        <v>0</v>
      </c>
      <c r="M19954" t="s">
        <v>25695</v>
      </c>
      <c r="N19954" t="s">
        <v>30</v>
      </c>
      <c r="O19954" t="s">
        <v>31</v>
      </c>
      <c r="P19954" t="str">
        <f>"15210"</f>
        <v>15210</v>
      </c>
    </row>
    <row r="19955" spans="1:16" x14ac:dyDescent="0.25">
      <c r="A19955" t="str">
        <f>"1290033S00317    00"</f>
        <v>1290033S00317    00</v>
      </c>
      <c r="B19955" t="s">
        <v>43287</v>
      </c>
      <c r="C19955" t="s">
        <v>43288</v>
      </c>
      <c r="D19955" t="s">
        <v>20</v>
      </c>
      <c r="E19955" t="s">
        <v>39</v>
      </c>
      <c r="F19955">
        <v>0</v>
      </c>
      <c r="G19955">
        <v>0</v>
      </c>
      <c r="H19955">
        <v>1</v>
      </c>
      <c r="I19955" s="3">
        <v>353.4</v>
      </c>
      <c r="J19955" s="3">
        <v>0</v>
      </c>
      <c r="L19955">
        <v>333</v>
      </c>
      <c r="M19955" t="s">
        <v>43289</v>
      </c>
      <c r="N19955" t="s">
        <v>30</v>
      </c>
      <c r="O19955" t="s">
        <v>31</v>
      </c>
      <c r="P19955" t="str">
        <f>"15210"</f>
        <v>15210</v>
      </c>
    </row>
    <row r="19956" spans="1:16" x14ac:dyDescent="0.25">
      <c r="A19956" t="str">
        <f>"1290033S00331    00"</f>
        <v>1290033S00331    00</v>
      </c>
      <c r="B19956" t="s">
        <v>43290</v>
      </c>
      <c r="C19956" t="s">
        <v>43291</v>
      </c>
      <c r="E19956" t="s">
        <v>39</v>
      </c>
      <c r="F19956">
        <v>0</v>
      </c>
      <c r="G19956">
        <v>0</v>
      </c>
      <c r="H19956">
        <v>1</v>
      </c>
      <c r="I19956" s="3">
        <v>1107.3900000000001</v>
      </c>
      <c r="J19956" s="3">
        <v>0</v>
      </c>
      <c r="L19956">
        <v>338</v>
      </c>
      <c r="M19956" t="s">
        <v>43289</v>
      </c>
      <c r="N19956" t="s">
        <v>30</v>
      </c>
      <c r="O19956" t="s">
        <v>31</v>
      </c>
      <c r="P19956" t="str">
        <f>"15210"</f>
        <v>15210</v>
      </c>
    </row>
    <row r="19957" spans="1:16" x14ac:dyDescent="0.25">
      <c r="A19957" t="str">
        <f>"1290059A00020    00"</f>
        <v>1290059A00020    00</v>
      </c>
      <c r="B19957" t="s">
        <v>43292</v>
      </c>
      <c r="C19957" t="s">
        <v>43293</v>
      </c>
      <c r="D19957" t="s">
        <v>20</v>
      </c>
      <c r="E19957" t="s">
        <v>39</v>
      </c>
      <c r="F19957">
        <v>0</v>
      </c>
      <c r="G19957">
        <v>0</v>
      </c>
      <c r="H19957">
        <v>2</v>
      </c>
      <c r="I19957" s="3">
        <v>3049.6</v>
      </c>
      <c r="J19957" s="3">
        <v>304.94</v>
      </c>
      <c r="L19957">
        <v>2450</v>
      </c>
      <c r="M19957" t="s">
        <v>43294</v>
      </c>
      <c r="N19957" t="s">
        <v>43295</v>
      </c>
      <c r="O19957" t="s">
        <v>25</v>
      </c>
      <c r="P19957" t="str">
        <f>"43920"</f>
        <v>43920</v>
      </c>
    </row>
    <row r="19958" spans="1:16" x14ac:dyDescent="0.25">
      <c r="A19958" t="str">
        <f>"1290059A00022    00"</f>
        <v>1290059A00022    00</v>
      </c>
      <c r="B19958" t="s">
        <v>43296</v>
      </c>
      <c r="C19958" t="s">
        <v>43297</v>
      </c>
      <c r="D19958" t="s">
        <v>20</v>
      </c>
      <c r="E19958" t="s">
        <v>39</v>
      </c>
      <c r="F19958">
        <v>0</v>
      </c>
      <c r="G19958">
        <v>0</v>
      </c>
      <c r="H19958">
        <v>7</v>
      </c>
      <c r="I19958" s="3">
        <v>7791.35</v>
      </c>
      <c r="J19958" s="3">
        <v>1764.03</v>
      </c>
      <c r="L19958">
        <v>341</v>
      </c>
      <c r="M19958" t="s">
        <v>24747</v>
      </c>
      <c r="N19958" t="s">
        <v>30</v>
      </c>
      <c r="O19958" t="s">
        <v>31</v>
      </c>
      <c r="P19958" t="str">
        <f>"15210"</f>
        <v>15210</v>
      </c>
    </row>
    <row r="19959" spans="1:16" x14ac:dyDescent="0.25">
      <c r="A19959" t="str">
        <f>"1290059A00031    00"</f>
        <v>1290059A00031    00</v>
      </c>
      <c r="B19959" t="s">
        <v>43298</v>
      </c>
      <c r="C19959" t="s">
        <v>43299</v>
      </c>
      <c r="D19959" t="s">
        <v>20</v>
      </c>
      <c r="E19959" t="s">
        <v>39</v>
      </c>
      <c r="F19959">
        <v>0</v>
      </c>
      <c r="G19959">
        <v>0</v>
      </c>
      <c r="H19959">
        <v>11</v>
      </c>
      <c r="I19959" s="3">
        <v>201.41</v>
      </c>
      <c r="J19959" s="3">
        <v>105.16</v>
      </c>
      <c r="L19959">
        <v>334</v>
      </c>
      <c r="M19959" t="s">
        <v>24747</v>
      </c>
      <c r="N19959" t="s">
        <v>30</v>
      </c>
      <c r="O19959" t="s">
        <v>31</v>
      </c>
      <c r="P19959" t="str">
        <f>"15210"</f>
        <v>15210</v>
      </c>
    </row>
    <row r="19960" spans="1:16" x14ac:dyDescent="0.25">
      <c r="A19960" t="str">
        <f>"1290059A00053    00"</f>
        <v>1290059A00053    00</v>
      </c>
      <c r="B19960" t="s">
        <v>43300</v>
      </c>
      <c r="C19960" t="s">
        <v>43301</v>
      </c>
      <c r="D19960" t="s">
        <v>20</v>
      </c>
      <c r="E19960" t="s">
        <v>39</v>
      </c>
      <c r="F19960">
        <v>0</v>
      </c>
      <c r="G19960">
        <v>0</v>
      </c>
      <c r="H19960">
        <v>2</v>
      </c>
      <c r="I19960" s="3">
        <v>1191.33</v>
      </c>
      <c r="J19960" s="3">
        <v>400.99</v>
      </c>
      <c r="L19960">
        <v>410</v>
      </c>
      <c r="M19960" t="s">
        <v>24747</v>
      </c>
      <c r="N19960" t="s">
        <v>30</v>
      </c>
      <c r="O19960" t="s">
        <v>31</v>
      </c>
      <c r="P19960" t="str">
        <f>"15210"</f>
        <v>15210</v>
      </c>
    </row>
    <row r="19961" spans="1:16" x14ac:dyDescent="0.25">
      <c r="A19961" t="str">
        <f>"1290059A00058    00"</f>
        <v>1290059A00058    00</v>
      </c>
      <c r="B19961" t="s">
        <v>43302</v>
      </c>
      <c r="C19961" t="s">
        <v>43303</v>
      </c>
      <c r="E19961" t="s">
        <v>39</v>
      </c>
      <c r="F19961">
        <v>0</v>
      </c>
      <c r="G19961">
        <v>0</v>
      </c>
      <c r="H19961">
        <v>1</v>
      </c>
      <c r="I19961" s="3">
        <v>316.62</v>
      </c>
      <c r="J19961" s="3">
        <v>63.32</v>
      </c>
      <c r="K19961" t="s">
        <v>9056</v>
      </c>
      <c r="L19961">
        <v>3001</v>
      </c>
      <c r="M19961" t="s">
        <v>404</v>
      </c>
      <c r="N19961" t="s">
        <v>331</v>
      </c>
      <c r="O19961" t="s">
        <v>108</v>
      </c>
      <c r="P19961" t="str">
        <f>"75063"</f>
        <v>75063</v>
      </c>
    </row>
    <row r="19962" spans="1:16" x14ac:dyDescent="0.25">
      <c r="A19962" t="str">
        <f>"1290059A00130    00"</f>
        <v>1290059A00130    00</v>
      </c>
      <c r="B19962" t="s">
        <v>43304</v>
      </c>
      <c r="C19962" t="s">
        <v>43305</v>
      </c>
      <c r="E19962" t="s">
        <v>39</v>
      </c>
      <c r="F19962">
        <v>0</v>
      </c>
      <c r="G19962">
        <v>0</v>
      </c>
      <c r="H19962">
        <v>3</v>
      </c>
      <c r="I19962" s="3">
        <v>2855.37</v>
      </c>
      <c r="J19962" s="3">
        <v>450.32</v>
      </c>
      <c r="K19962" t="s">
        <v>43306</v>
      </c>
      <c r="L19962">
        <v>507</v>
      </c>
      <c r="M19962" t="s">
        <v>43307</v>
      </c>
      <c r="N19962" t="s">
        <v>30</v>
      </c>
      <c r="O19962" t="s">
        <v>31</v>
      </c>
      <c r="P19962" t="str">
        <f>"15210"</f>
        <v>15210</v>
      </c>
    </row>
    <row r="19963" spans="1:16" x14ac:dyDescent="0.25">
      <c r="A19963" t="str">
        <f>"1290059A00152    00"</f>
        <v>1290059A00152    00</v>
      </c>
      <c r="B19963" t="s">
        <v>43308</v>
      </c>
      <c r="C19963" t="s">
        <v>43309</v>
      </c>
      <c r="E19963" t="s">
        <v>39</v>
      </c>
      <c r="F19963">
        <v>0</v>
      </c>
      <c r="G19963">
        <v>0</v>
      </c>
      <c r="H19963">
        <v>3</v>
      </c>
      <c r="I19963" s="3">
        <v>2735.2</v>
      </c>
      <c r="J19963" s="3">
        <v>799.49</v>
      </c>
      <c r="L19963">
        <v>357</v>
      </c>
      <c r="M19963" t="s">
        <v>43307</v>
      </c>
      <c r="N19963" t="s">
        <v>30</v>
      </c>
      <c r="O19963" t="s">
        <v>31</v>
      </c>
      <c r="P19963" t="str">
        <f>"15210"</f>
        <v>15210</v>
      </c>
    </row>
    <row r="19964" spans="1:16" x14ac:dyDescent="0.25">
      <c r="A19964" t="str">
        <f>"1290059A00159    00"</f>
        <v>1290059A00159    00</v>
      </c>
      <c r="B19964" t="s">
        <v>43310</v>
      </c>
      <c r="C19964" t="s">
        <v>43311</v>
      </c>
      <c r="D19964" t="s">
        <v>20</v>
      </c>
      <c r="E19964" t="s">
        <v>39</v>
      </c>
      <c r="F19964">
        <v>0</v>
      </c>
      <c r="G19964">
        <v>0</v>
      </c>
      <c r="H19964">
        <v>2</v>
      </c>
      <c r="I19964" s="3">
        <v>889.85</v>
      </c>
      <c r="J19964" s="3">
        <v>0</v>
      </c>
      <c r="K19964" t="s">
        <v>43312</v>
      </c>
      <c r="L19964">
        <v>339</v>
      </c>
      <c r="M19964" t="s">
        <v>43307</v>
      </c>
      <c r="N19964" t="s">
        <v>30</v>
      </c>
      <c r="O19964" t="s">
        <v>31</v>
      </c>
      <c r="P19964" t="str">
        <f>"15210"</f>
        <v>15210</v>
      </c>
    </row>
    <row r="19965" spans="1:16" x14ac:dyDescent="0.25">
      <c r="A19965" t="str">
        <f>"1290059A00160    00"</f>
        <v>1290059A00160    00</v>
      </c>
      <c r="B19965" t="s">
        <v>43313</v>
      </c>
      <c r="C19965" t="s">
        <v>43314</v>
      </c>
      <c r="D19965" t="s">
        <v>20</v>
      </c>
      <c r="E19965" t="s">
        <v>39</v>
      </c>
      <c r="F19965">
        <v>0</v>
      </c>
      <c r="G19965">
        <v>0</v>
      </c>
      <c r="H19965">
        <v>1</v>
      </c>
      <c r="I19965" s="3">
        <v>399.99</v>
      </c>
      <c r="J19965" s="3">
        <v>3.33</v>
      </c>
      <c r="K19965" t="s">
        <v>13944</v>
      </c>
      <c r="M19965" t="s">
        <v>13945</v>
      </c>
      <c r="N19965" t="s">
        <v>13946</v>
      </c>
      <c r="O19965" t="s">
        <v>1005</v>
      </c>
      <c r="P19965" t="str">
        <f>"85261"</f>
        <v>85261</v>
      </c>
    </row>
    <row r="19966" spans="1:16" x14ac:dyDescent="0.25">
      <c r="A19966" t="str">
        <f>"1290059A00210    00"</f>
        <v>1290059A00210    00</v>
      </c>
      <c r="B19966" t="s">
        <v>43315</v>
      </c>
      <c r="C19966" t="s">
        <v>43316</v>
      </c>
      <c r="D19966" t="s">
        <v>20</v>
      </c>
      <c r="E19966" t="s">
        <v>39</v>
      </c>
      <c r="F19966">
        <v>0</v>
      </c>
      <c r="G19966">
        <v>0</v>
      </c>
      <c r="H19966">
        <v>1</v>
      </c>
      <c r="I19966" s="3">
        <v>1095.96</v>
      </c>
      <c r="J19966" s="3">
        <v>0</v>
      </c>
      <c r="K19966" t="s">
        <v>43317</v>
      </c>
      <c r="L19966">
        <v>1317</v>
      </c>
      <c r="M19966" t="s">
        <v>43318</v>
      </c>
      <c r="N19966" t="s">
        <v>509</v>
      </c>
      <c r="O19966" t="s">
        <v>31</v>
      </c>
      <c r="P19966" t="str">
        <f>"19146"</f>
        <v>19146</v>
      </c>
    </row>
    <row r="19967" spans="1:16" x14ac:dyDescent="0.25">
      <c r="A19967" t="str">
        <f>"1290059B00005    00"</f>
        <v>1290059B00005    00</v>
      </c>
      <c r="B19967" t="s">
        <v>43319</v>
      </c>
      <c r="C19967" t="s">
        <v>43320</v>
      </c>
      <c r="D19967" t="s">
        <v>20</v>
      </c>
      <c r="E19967" t="s">
        <v>39</v>
      </c>
      <c r="F19967">
        <v>0</v>
      </c>
      <c r="G19967">
        <v>0</v>
      </c>
      <c r="H19967">
        <v>19</v>
      </c>
      <c r="I19967" s="3">
        <v>458.11</v>
      </c>
      <c r="J19967" s="3">
        <v>399.61</v>
      </c>
      <c r="K19967" t="s">
        <v>1008</v>
      </c>
      <c r="P19967" t="str">
        <f>""</f>
        <v/>
      </c>
    </row>
    <row r="19968" spans="1:16" x14ac:dyDescent="0.25">
      <c r="A19968" t="str">
        <f>"1290059E00007    00"</f>
        <v>1290059E00007    00</v>
      </c>
      <c r="B19968" t="s">
        <v>43321</v>
      </c>
      <c r="C19968" t="s">
        <v>43322</v>
      </c>
      <c r="D19968" t="s">
        <v>20</v>
      </c>
      <c r="E19968" t="s">
        <v>39</v>
      </c>
      <c r="F19968">
        <v>0</v>
      </c>
      <c r="G19968">
        <v>0</v>
      </c>
      <c r="H19968">
        <v>17</v>
      </c>
      <c r="I19968" s="3">
        <v>74.790000000000006</v>
      </c>
      <c r="J19968" s="3">
        <v>59.9</v>
      </c>
      <c r="K19968" t="s">
        <v>1008</v>
      </c>
      <c r="P19968" t="str">
        <f>""</f>
        <v/>
      </c>
    </row>
    <row r="19969" spans="1:16" x14ac:dyDescent="0.25">
      <c r="A19969" t="str">
        <f>"1290059E00010    00"</f>
        <v>1290059E00010    00</v>
      </c>
      <c r="B19969" t="s">
        <v>43323</v>
      </c>
      <c r="C19969" t="s">
        <v>43324</v>
      </c>
      <c r="D19969" t="s">
        <v>20</v>
      </c>
      <c r="E19969" t="s">
        <v>39</v>
      </c>
      <c r="F19969">
        <v>0</v>
      </c>
      <c r="G19969">
        <v>0</v>
      </c>
      <c r="H19969">
        <v>3</v>
      </c>
      <c r="I19969" s="3">
        <v>645.67999999999995</v>
      </c>
      <c r="J19969" s="3">
        <v>54.88</v>
      </c>
      <c r="K19969" t="s">
        <v>43325</v>
      </c>
      <c r="L19969">
        <v>1607</v>
      </c>
      <c r="M19969" t="s">
        <v>43326</v>
      </c>
      <c r="N19969" t="s">
        <v>30</v>
      </c>
      <c r="O19969" t="s">
        <v>31</v>
      </c>
      <c r="P19969" t="str">
        <f>"15210"</f>
        <v>15210</v>
      </c>
    </row>
    <row r="19970" spans="1:16" x14ac:dyDescent="0.25">
      <c r="A19970" t="str">
        <f>"1290059E00013    00"</f>
        <v>1290059E00013    00</v>
      </c>
      <c r="B19970" t="s">
        <v>43327</v>
      </c>
      <c r="C19970" t="s">
        <v>43328</v>
      </c>
      <c r="E19970" t="s">
        <v>39</v>
      </c>
      <c r="F19970">
        <v>0</v>
      </c>
      <c r="G19970">
        <v>0</v>
      </c>
      <c r="H19970">
        <v>1</v>
      </c>
      <c r="I19970" s="3">
        <v>25.56</v>
      </c>
      <c r="J19970" s="3">
        <v>7.66</v>
      </c>
      <c r="K19970" t="s">
        <v>400</v>
      </c>
      <c r="L19970">
        <v>3001</v>
      </c>
      <c r="M19970" t="s">
        <v>330</v>
      </c>
      <c r="N19970" t="s">
        <v>331</v>
      </c>
      <c r="O19970" t="s">
        <v>108</v>
      </c>
      <c r="P19970" t="str">
        <f>"75063"</f>
        <v>75063</v>
      </c>
    </row>
    <row r="19971" spans="1:16" x14ac:dyDescent="0.25">
      <c r="A19971" t="str">
        <f>"1290059E00038    00"</f>
        <v>1290059E00038    00</v>
      </c>
      <c r="B19971" t="s">
        <v>1965</v>
      </c>
      <c r="C19971" t="s">
        <v>43329</v>
      </c>
      <c r="D19971" t="s">
        <v>20</v>
      </c>
      <c r="E19971" t="s">
        <v>39</v>
      </c>
      <c r="F19971">
        <v>0</v>
      </c>
      <c r="G19971">
        <v>0</v>
      </c>
      <c r="H19971">
        <v>9</v>
      </c>
      <c r="I19971" s="3">
        <v>5967.02</v>
      </c>
      <c r="J19971" s="3">
        <v>2416.19</v>
      </c>
      <c r="L19971">
        <v>1556</v>
      </c>
      <c r="M19971" t="s">
        <v>14332</v>
      </c>
      <c r="N19971" t="s">
        <v>30</v>
      </c>
      <c r="O19971" t="s">
        <v>31</v>
      </c>
      <c r="P19971" t="str">
        <f>"15216"</f>
        <v>15216</v>
      </c>
    </row>
    <row r="19972" spans="1:16" x14ac:dyDescent="0.25">
      <c r="A19972" t="str">
        <f>"1290059E00086    00"</f>
        <v>1290059E00086    00</v>
      </c>
      <c r="B19972" t="s">
        <v>43330</v>
      </c>
      <c r="C19972" t="s">
        <v>43331</v>
      </c>
      <c r="D19972" t="s">
        <v>20</v>
      </c>
      <c r="E19972" t="s">
        <v>39</v>
      </c>
      <c r="F19972">
        <v>0</v>
      </c>
      <c r="G19972">
        <v>0</v>
      </c>
      <c r="H19972">
        <v>2</v>
      </c>
      <c r="I19972" s="3">
        <v>2252.9</v>
      </c>
      <c r="J19972" s="3">
        <v>0</v>
      </c>
      <c r="K19972" t="s">
        <v>43332</v>
      </c>
      <c r="L19972">
        <v>2372</v>
      </c>
      <c r="M19972" t="s">
        <v>43333</v>
      </c>
      <c r="N19972" t="s">
        <v>30</v>
      </c>
      <c r="O19972" t="s">
        <v>31</v>
      </c>
      <c r="P19972" t="str">
        <f>"15237"</f>
        <v>15237</v>
      </c>
    </row>
    <row r="19973" spans="1:16" x14ac:dyDescent="0.25">
      <c r="A19973" t="str">
        <f>"1290059J00010    00"</f>
        <v>1290059J00010    00</v>
      </c>
      <c r="B19973" t="s">
        <v>43334</v>
      </c>
      <c r="C19973" t="s">
        <v>43335</v>
      </c>
      <c r="D19973" t="s">
        <v>20</v>
      </c>
      <c r="E19973" t="s">
        <v>39</v>
      </c>
      <c r="F19973">
        <v>0</v>
      </c>
      <c r="G19973">
        <v>0</v>
      </c>
      <c r="H19973">
        <v>15</v>
      </c>
      <c r="I19973" s="3">
        <v>9598.7000000000007</v>
      </c>
      <c r="J19973" s="3">
        <v>6255.25</v>
      </c>
      <c r="K19973" t="s">
        <v>43336</v>
      </c>
      <c r="L19973">
        <v>1303</v>
      </c>
      <c r="M19973" t="s">
        <v>1931</v>
      </c>
      <c r="N19973" t="s">
        <v>30</v>
      </c>
      <c r="O19973" t="s">
        <v>31</v>
      </c>
      <c r="P19973" t="str">
        <f>"15237"</f>
        <v>15237</v>
      </c>
    </row>
    <row r="19974" spans="1:16" x14ac:dyDescent="0.25">
      <c r="A19974" t="str">
        <f>"1290059J00018    00"</f>
        <v>1290059J00018    00</v>
      </c>
      <c r="B19974" t="s">
        <v>43337</v>
      </c>
      <c r="C19974" t="s">
        <v>43338</v>
      </c>
      <c r="D19974" t="s">
        <v>20</v>
      </c>
      <c r="E19974" t="s">
        <v>39</v>
      </c>
      <c r="F19974">
        <v>0</v>
      </c>
      <c r="G19974">
        <v>0</v>
      </c>
      <c r="H19974">
        <v>1</v>
      </c>
      <c r="I19974" s="3">
        <v>179.16</v>
      </c>
      <c r="J19974" s="3">
        <v>0</v>
      </c>
      <c r="K19974" t="s">
        <v>43339</v>
      </c>
      <c r="L19974">
        <v>342</v>
      </c>
      <c r="M19974" t="s">
        <v>43238</v>
      </c>
      <c r="N19974" t="s">
        <v>30</v>
      </c>
      <c r="O19974" t="s">
        <v>31</v>
      </c>
      <c r="P19974" t="str">
        <f>"15210"</f>
        <v>15210</v>
      </c>
    </row>
    <row r="19975" spans="1:16" x14ac:dyDescent="0.25">
      <c r="A19975" t="str">
        <f>"1290059J00019    00"</f>
        <v>1290059J00019    00</v>
      </c>
      <c r="B19975" t="s">
        <v>43337</v>
      </c>
      <c r="C19975" t="s">
        <v>43340</v>
      </c>
      <c r="D19975" t="s">
        <v>20</v>
      </c>
      <c r="E19975" t="s">
        <v>39</v>
      </c>
      <c r="F19975">
        <v>0</v>
      </c>
      <c r="G19975">
        <v>0</v>
      </c>
      <c r="H19975">
        <v>1</v>
      </c>
      <c r="I19975" s="3">
        <v>609.91999999999996</v>
      </c>
      <c r="J19975" s="3">
        <v>0</v>
      </c>
      <c r="K19975" t="s">
        <v>43339</v>
      </c>
      <c r="L19975">
        <v>342</v>
      </c>
      <c r="M19975" t="s">
        <v>43238</v>
      </c>
      <c r="N19975" t="s">
        <v>30</v>
      </c>
      <c r="O19975" t="s">
        <v>31</v>
      </c>
      <c r="P19975" t="str">
        <f>"15210"</f>
        <v>15210</v>
      </c>
    </row>
    <row r="19976" spans="1:16" x14ac:dyDescent="0.25">
      <c r="A19976" t="str">
        <f>"1290059J00020    00"</f>
        <v>1290059J00020    00</v>
      </c>
      <c r="B19976" t="s">
        <v>43337</v>
      </c>
      <c r="C19976" t="s">
        <v>43338</v>
      </c>
      <c r="D19976" t="s">
        <v>20</v>
      </c>
      <c r="E19976" t="s">
        <v>39</v>
      </c>
      <c r="F19976">
        <v>0</v>
      </c>
      <c r="G19976">
        <v>0</v>
      </c>
      <c r="H19976">
        <v>1</v>
      </c>
      <c r="I19976" s="3">
        <v>249.7</v>
      </c>
      <c r="J19976" s="3">
        <v>0</v>
      </c>
      <c r="K19976" t="s">
        <v>43339</v>
      </c>
      <c r="L19976">
        <v>342</v>
      </c>
      <c r="M19976" t="s">
        <v>43238</v>
      </c>
      <c r="N19976" t="s">
        <v>30</v>
      </c>
      <c r="O19976" t="s">
        <v>31</v>
      </c>
      <c r="P19976" t="str">
        <f>"15210"</f>
        <v>15210</v>
      </c>
    </row>
    <row r="19977" spans="1:16" x14ac:dyDescent="0.25">
      <c r="A19977" t="str">
        <f>"1290059J00041    00"</f>
        <v>1290059J00041    00</v>
      </c>
      <c r="B19977" t="s">
        <v>43337</v>
      </c>
      <c r="C19977" t="s">
        <v>43341</v>
      </c>
      <c r="D19977" t="s">
        <v>20</v>
      </c>
      <c r="E19977" t="s">
        <v>39</v>
      </c>
      <c r="F19977">
        <v>0</v>
      </c>
      <c r="G19977">
        <v>0</v>
      </c>
      <c r="H19977">
        <v>1</v>
      </c>
      <c r="I19977" s="3">
        <v>45.74</v>
      </c>
      <c r="J19977" s="3">
        <v>0</v>
      </c>
      <c r="K19977" t="s">
        <v>43339</v>
      </c>
      <c r="L19977">
        <v>342</v>
      </c>
      <c r="M19977" t="s">
        <v>43238</v>
      </c>
      <c r="N19977" t="s">
        <v>30</v>
      </c>
      <c r="O19977" t="s">
        <v>31</v>
      </c>
      <c r="P19977" t="str">
        <f>"15210"</f>
        <v>15210</v>
      </c>
    </row>
    <row r="19978" spans="1:16" x14ac:dyDescent="0.25">
      <c r="A19978" t="str">
        <f>"1290059J00099    00"</f>
        <v>1290059J00099    00</v>
      </c>
      <c r="B19978" t="s">
        <v>43342</v>
      </c>
      <c r="C19978" t="s">
        <v>43343</v>
      </c>
      <c r="D19978" t="s">
        <v>20</v>
      </c>
      <c r="E19978" t="s">
        <v>39</v>
      </c>
      <c r="F19978">
        <v>0</v>
      </c>
      <c r="G19978">
        <v>0</v>
      </c>
      <c r="H19978">
        <v>1</v>
      </c>
      <c r="I19978" s="3">
        <v>953</v>
      </c>
      <c r="J19978" s="3">
        <v>0</v>
      </c>
      <c r="K19978" t="s">
        <v>43344</v>
      </c>
      <c r="L19978">
        <v>322</v>
      </c>
      <c r="M19978" t="s">
        <v>1377</v>
      </c>
      <c r="N19978" t="s">
        <v>30</v>
      </c>
      <c r="O19978" t="s">
        <v>31</v>
      </c>
      <c r="P19978" t="str">
        <f>"15210"</f>
        <v>15210</v>
      </c>
    </row>
    <row r="19979" spans="1:16" x14ac:dyDescent="0.25">
      <c r="A19979" t="str">
        <f>"1290059J00137    00"</f>
        <v>1290059J00137    00</v>
      </c>
      <c r="B19979" t="s">
        <v>43345</v>
      </c>
      <c r="C19979" t="s">
        <v>43346</v>
      </c>
      <c r="D19979" t="s">
        <v>20</v>
      </c>
      <c r="E19979" t="s">
        <v>39</v>
      </c>
      <c r="F19979">
        <v>0</v>
      </c>
      <c r="G19979">
        <v>0</v>
      </c>
      <c r="H19979">
        <v>4</v>
      </c>
      <c r="I19979" s="3">
        <v>6193.67</v>
      </c>
      <c r="J19979" s="3">
        <v>726.73</v>
      </c>
      <c r="L19979">
        <v>112</v>
      </c>
      <c r="M19979" t="s">
        <v>43347</v>
      </c>
      <c r="N19979" t="s">
        <v>903</v>
      </c>
      <c r="O19979" t="s">
        <v>31</v>
      </c>
      <c r="P19979" t="str">
        <f>"15136"</f>
        <v>15136</v>
      </c>
    </row>
    <row r="19980" spans="1:16" x14ac:dyDescent="0.25">
      <c r="A19980" t="str">
        <f>"1290059J00153    00"</f>
        <v>1290059J00153    00</v>
      </c>
      <c r="B19980" t="s">
        <v>20650</v>
      </c>
      <c r="C19980" t="s">
        <v>43348</v>
      </c>
      <c r="D19980" t="s">
        <v>20</v>
      </c>
      <c r="E19980" t="s">
        <v>39</v>
      </c>
      <c r="F19980">
        <v>0</v>
      </c>
      <c r="G19980">
        <v>0</v>
      </c>
      <c r="H19980">
        <v>2</v>
      </c>
      <c r="I19980" s="3">
        <v>925.66</v>
      </c>
      <c r="J19980" s="3">
        <v>636.37</v>
      </c>
      <c r="L19980">
        <v>4105</v>
      </c>
      <c r="M19980" t="s">
        <v>18283</v>
      </c>
      <c r="N19980" t="s">
        <v>30</v>
      </c>
      <c r="O19980" t="s">
        <v>31</v>
      </c>
      <c r="P19980" t="str">
        <f>"15217"</f>
        <v>15217</v>
      </c>
    </row>
    <row r="19981" spans="1:16" x14ac:dyDescent="0.25">
      <c r="A19981" t="str">
        <f>"1290059J00156    00"</f>
        <v>1290059J00156    00</v>
      </c>
      <c r="B19981" t="s">
        <v>43349</v>
      </c>
      <c r="C19981" t="s">
        <v>43350</v>
      </c>
      <c r="D19981" t="s">
        <v>20</v>
      </c>
      <c r="E19981" t="s">
        <v>39</v>
      </c>
      <c r="F19981">
        <v>0</v>
      </c>
      <c r="G19981">
        <v>0</v>
      </c>
      <c r="H19981">
        <v>1</v>
      </c>
      <c r="I19981" s="3">
        <v>762.4</v>
      </c>
      <c r="J19981" s="3">
        <v>0</v>
      </c>
      <c r="N19981" t="s">
        <v>43351</v>
      </c>
      <c r="P19981" t="str">
        <f>""</f>
        <v/>
      </c>
    </row>
    <row r="19982" spans="1:16" x14ac:dyDescent="0.25">
      <c r="A19982" t="str">
        <f>"1290059J00157    00"</f>
        <v>1290059J00157    00</v>
      </c>
      <c r="B19982" t="s">
        <v>43349</v>
      </c>
      <c r="C19982" t="s">
        <v>43352</v>
      </c>
      <c r="D19982" t="s">
        <v>20</v>
      </c>
      <c r="E19982" t="s">
        <v>39</v>
      </c>
      <c r="F19982">
        <v>0</v>
      </c>
      <c r="G19982">
        <v>0</v>
      </c>
      <c r="H19982">
        <v>1</v>
      </c>
      <c r="I19982" s="3">
        <v>19.059999999999999</v>
      </c>
      <c r="J19982" s="3">
        <v>0</v>
      </c>
      <c r="K19982" t="s">
        <v>43353</v>
      </c>
      <c r="N19982" t="s">
        <v>43351</v>
      </c>
      <c r="P19982" t="str">
        <f>""</f>
        <v/>
      </c>
    </row>
    <row r="19983" spans="1:16" x14ac:dyDescent="0.25">
      <c r="A19983" t="str">
        <f>"1290059J00194    00"</f>
        <v>1290059J00194    00</v>
      </c>
      <c r="B19983" t="s">
        <v>43354</v>
      </c>
      <c r="C19983" t="s">
        <v>43341</v>
      </c>
      <c r="D19983" t="s">
        <v>20</v>
      </c>
      <c r="E19983" t="s">
        <v>39</v>
      </c>
      <c r="F19983">
        <v>0</v>
      </c>
      <c r="G19983">
        <v>0</v>
      </c>
      <c r="H19983">
        <v>4</v>
      </c>
      <c r="I19983" s="3">
        <v>75.44</v>
      </c>
      <c r="J19983" s="3">
        <v>0.94</v>
      </c>
      <c r="L19983">
        <v>316</v>
      </c>
      <c r="M19983" t="s">
        <v>43355</v>
      </c>
      <c r="N19983" t="s">
        <v>30</v>
      </c>
      <c r="O19983" t="s">
        <v>31</v>
      </c>
      <c r="P19983" t="str">
        <f>"15210"</f>
        <v>15210</v>
      </c>
    </row>
    <row r="19984" spans="1:16" x14ac:dyDescent="0.25">
      <c r="A19984" t="str">
        <f>"1290059J00195    00"</f>
        <v>1290059J00195    00</v>
      </c>
      <c r="B19984" t="s">
        <v>43354</v>
      </c>
      <c r="C19984" t="s">
        <v>43356</v>
      </c>
      <c r="D19984" t="s">
        <v>20</v>
      </c>
      <c r="E19984" t="s">
        <v>39</v>
      </c>
      <c r="F19984">
        <v>0</v>
      </c>
      <c r="G19984">
        <v>0</v>
      </c>
      <c r="H19984">
        <v>3</v>
      </c>
      <c r="I19984" s="3">
        <v>2709.08</v>
      </c>
      <c r="J19984" s="3">
        <v>24.06</v>
      </c>
      <c r="L19984">
        <v>316</v>
      </c>
      <c r="M19984" t="s">
        <v>43355</v>
      </c>
      <c r="N19984" t="s">
        <v>30</v>
      </c>
      <c r="O19984" t="s">
        <v>31</v>
      </c>
      <c r="P19984" t="str">
        <f>"15210"</f>
        <v>15210</v>
      </c>
    </row>
    <row r="19985" spans="1:16" x14ac:dyDescent="0.25">
      <c r="A19985" t="str">
        <f>"1290059J00280    00"</f>
        <v>1290059J00280    00</v>
      </c>
      <c r="B19985" t="s">
        <v>43357</v>
      </c>
      <c r="C19985" t="s">
        <v>43358</v>
      </c>
      <c r="D19985" t="s">
        <v>20</v>
      </c>
      <c r="E19985" t="s">
        <v>39</v>
      </c>
      <c r="F19985">
        <v>0</v>
      </c>
      <c r="G19985">
        <v>0</v>
      </c>
      <c r="H19985">
        <v>1</v>
      </c>
      <c r="I19985" s="3">
        <v>747.62</v>
      </c>
      <c r="J19985" s="3">
        <v>0</v>
      </c>
      <c r="K19985" t="s">
        <v>43359</v>
      </c>
      <c r="L19985">
        <v>315</v>
      </c>
      <c r="M19985" t="s">
        <v>25448</v>
      </c>
      <c r="N19985" t="s">
        <v>30</v>
      </c>
      <c r="O19985" t="s">
        <v>31</v>
      </c>
      <c r="P19985" t="str">
        <f>"15210"</f>
        <v>15210</v>
      </c>
    </row>
    <row r="19986" spans="1:16" x14ac:dyDescent="0.25">
      <c r="A19986" t="str">
        <f>"1290059N00005    00"</f>
        <v>1290059N00005    00</v>
      </c>
      <c r="B19986" t="s">
        <v>43360</v>
      </c>
      <c r="C19986" t="s">
        <v>43361</v>
      </c>
      <c r="E19986" t="s">
        <v>39</v>
      </c>
      <c r="F19986">
        <v>0</v>
      </c>
      <c r="G19986">
        <v>0</v>
      </c>
      <c r="H19986">
        <v>1</v>
      </c>
      <c r="I19986" s="3">
        <v>499.39</v>
      </c>
      <c r="J19986" s="3">
        <v>0</v>
      </c>
      <c r="K19986" t="s">
        <v>43362</v>
      </c>
      <c r="L19986">
        <v>540</v>
      </c>
      <c r="M19986" t="s">
        <v>43363</v>
      </c>
      <c r="N19986" t="s">
        <v>30</v>
      </c>
      <c r="O19986" t="s">
        <v>31</v>
      </c>
      <c r="P19986" t="str">
        <f>"15213"</f>
        <v>15213</v>
      </c>
    </row>
    <row r="19987" spans="1:16" x14ac:dyDescent="0.25">
      <c r="A19987" t="str">
        <f>"1290059N00041    00"</f>
        <v>1290059N00041    00</v>
      </c>
      <c r="B19987" t="s">
        <v>43364</v>
      </c>
      <c r="C19987" t="s">
        <v>43365</v>
      </c>
      <c r="D19987" t="s">
        <v>20</v>
      </c>
      <c r="E19987" t="s">
        <v>39</v>
      </c>
      <c r="F19987">
        <v>0</v>
      </c>
      <c r="G19987">
        <v>0</v>
      </c>
      <c r="H19987">
        <v>2</v>
      </c>
      <c r="I19987" s="3">
        <v>30.5</v>
      </c>
      <c r="J19987" s="3">
        <v>0</v>
      </c>
      <c r="K19987" t="s">
        <v>8521</v>
      </c>
      <c r="L19987">
        <v>3001</v>
      </c>
      <c r="M19987" t="s">
        <v>330</v>
      </c>
      <c r="N19987" t="s">
        <v>331</v>
      </c>
      <c r="O19987" t="s">
        <v>108</v>
      </c>
      <c r="P19987" t="str">
        <f>"75063"</f>
        <v>75063</v>
      </c>
    </row>
    <row r="19988" spans="1:16" x14ac:dyDescent="0.25">
      <c r="A19988" t="str">
        <f>"1290059N00132    00"</f>
        <v>1290059N00132    00</v>
      </c>
      <c r="B19988" t="s">
        <v>43366</v>
      </c>
      <c r="C19988" t="s">
        <v>43367</v>
      </c>
      <c r="D19988" t="s">
        <v>20</v>
      </c>
      <c r="E19988" t="s">
        <v>39</v>
      </c>
      <c r="F19988">
        <v>0</v>
      </c>
      <c r="G19988">
        <v>0</v>
      </c>
      <c r="H19988">
        <v>1</v>
      </c>
      <c r="I19988" s="3">
        <v>350.71</v>
      </c>
      <c r="J19988" s="3">
        <v>0</v>
      </c>
      <c r="K19988" t="s">
        <v>23127</v>
      </c>
      <c r="L19988">
        <v>901</v>
      </c>
      <c r="M19988" t="s">
        <v>6264</v>
      </c>
      <c r="N19988" t="s">
        <v>30</v>
      </c>
      <c r="O19988" t="s">
        <v>31</v>
      </c>
      <c r="P19988" t="str">
        <f>"15203"</f>
        <v>15203</v>
      </c>
    </row>
    <row r="19989" spans="1:16" x14ac:dyDescent="0.25">
      <c r="A19989" t="str">
        <f>"1290059N00139    00"</f>
        <v>1290059N00139    00</v>
      </c>
      <c r="B19989" t="s">
        <v>43368</v>
      </c>
      <c r="C19989" t="s">
        <v>43369</v>
      </c>
      <c r="D19989" t="s">
        <v>20</v>
      </c>
      <c r="E19989" t="s">
        <v>39</v>
      </c>
      <c r="F19989">
        <v>0</v>
      </c>
      <c r="G19989">
        <v>0</v>
      </c>
      <c r="H19989">
        <v>6</v>
      </c>
      <c r="I19989" s="3">
        <v>3186.14</v>
      </c>
      <c r="J19989" s="3">
        <v>753.6</v>
      </c>
      <c r="K19989" t="s">
        <v>1127</v>
      </c>
      <c r="M19989" t="s">
        <v>1128</v>
      </c>
      <c r="N19989" t="s">
        <v>1129</v>
      </c>
      <c r="O19989" t="s">
        <v>108</v>
      </c>
      <c r="P19989" t="str">
        <f>"76161"</f>
        <v>76161</v>
      </c>
    </row>
    <row r="19990" spans="1:16" x14ac:dyDescent="0.25">
      <c r="A19990" t="str">
        <f>"1290059N00180    00"</f>
        <v>1290059N00180    00</v>
      </c>
      <c r="B19990" t="s">
        <v>43370</v>
      </c>
      <c r="C19990" t="s">
        <v>43371</v>
      </c>
      <c r="D19990" t="s">
        <v>20</v>
      </c>
      <c r="E19990" t="s">
        <v>39</v>
      </c>
      <c r="F19990">
        <v>0</v>
      </c>
      <c r="G19990">
        <v>0</v>
      </c>
      <c r="H19990">
        <v>19</v>
      </c>
      <c r="I19990" s="3">
        <v>6593.35</v>
      </c>
      <c r="J19990" s="3">
        <v>6260.55</v>
      </c>
      <c r="K19990" t="s">
        <v>1008</v>
      </c>
      <c r="P19990" t="str">
        <f>""</f>
        <v/>
      </c>
    </row>
    <row r="19991" spans="1:16" x14ac:dyDescent="0.25">
      <c r="A19991" t="str">
        <f>"1290059N00222    00"</f>
        <v>1290059N00222    00</v>
      </c>
      <c r="B19991" t="s">
        <v>43372</v>
      </c>
      <c r="C19991" t="s">
        <v>43373</v>
      </c>
      <c r="D19991" t="s">
        <v>20</v>
      </c>
      <c r="E19991" t="s">
        <v>39</v>
      </c>
      <c r="F19991">
        <v>0</v>
      </c>
      <c r="G19991">
        <v>0</v>
      </c>
      <c r="H19991">
        <v>13</v>
      </c>
      <c r="I19991" s="3">
        <v>3174.48</v>
      </c>
      <c r="J19991" s="3">
        <v>1909.16</v>
      </c>
      <c r="L19991">
        <v>2017</v>
      </c>
      <c r="M19991" t="s">
        <v>43374</v>
      </c>
      <c r="N19991" t="s">
        <v>30</v>
      </c>
      <c r="O19991" t="s">
        <v>31</v>
      </c>
      <c r="P19991" t="str">
        <f>"15210"</f>
        <v>15210</v>
      </c>
    </row>
    <row r="19992" spans="1:16" x14ac:dyDescent="0.25">
      <c r="A19992" t="str">
        <f>"1290059N00350    00"</f>
        <v>1290059N00350    00</v>
      </c>
      <c r="B19992" t="s">
        <v>43375</v>
      </c>
      <c r="C19992" t="s">
        <v>43376</v>
      </c>
      <c r="D19992" t="s">
        <v>20</v>
      </c>
      <c r="E19992" t="s">
        <v>39</v>
      </c>
      <c r="F19992">
        <v>0</v>
      </c>
      <c r="G19992">
        <v>0</v>
      </c>
      <c r="H19992">
        <v>7</v>
      </c>
      <c r="I19992" s="3">
        <v>2166.3200000000002</v>
      </c>
      <c r="J19992" s="3">
        <v>599.05999999999995</v>
      </c>
      <c r="L19992">
        <v>342</v>
      </c>
      <c r="M19992" t="s">
        <v>43238</v>
      </c>
      <c r="N19992" t="s">
        <v>30</v>
      </c>
      <c r="O19992" t="s">
        <v>31</v>
      </c>
      <c r="P19992" t="str">
        <f>"15210"</f>
        <v>15210</v>
      </c>
    </row>
    <row r="19993" spans="1:16" x14ac:dyDescent="0.25">
      <c r="A19993" t="str">
        <f>"1290059N00355    00"</f>
        <v>1290059N00355    00</v>
      </c>
      <c r="B19993" t="s">
        <v>43375</v>
      </c>
      <c r="C19993" t="s">
        <v>43376</v>
      </c>
      <c r="D19993" t="s">
        <v>20</v>
      </c>
      <c r="E19993" t="s">
        <v>39</v>
      </c>
      <c r="F19993">
        <v>0</v>
      </c>
      <c r="G19993">
        <v>0</v>
      </c>
      <c r="H19993">
        <v>8</v>
      </c>
      <c r="I19993" s="3">
        <v>9067.7800000000007</v>
      </c>
      <c r="J19993" s="3">
        <v>3087.05</v>
      </c>
      <c r="L19993">
        <v>342</v>
      </c>
      <c r="M19993" t="s">
        <v>43238</v>
      </c>
      <c r="N19993" t="s">
        <v>30</v>
      </c>
      <c r="O19993" t="s">
        <v>31</v>
      </c>
      <c r="P19993" t="str">
        <f>"15210"</f>
        <v>15210</v>
      </c>
    </row>
    <row r="19994" spans="1:16" x14ac:dyDescent="0.25">
      <c r="A19994" t="str">
        <f>"1290060A00176    00"</f>
        <v>1290060A00176    00</v>
      </c>
      <c r="B19994" t="s">
        <v>43377</v>
      </c>
      <c r="C19994" t="s">
        <v>43378</v>
      </c>
      <c r="D19994" t="s">
        <v>20</v>
      </c>
      <c r="E19994" t="s">
        <v>39</v>
      </c>
      <c r="F19994">
        <v>0</v>
      </c>
      <c r="G19994">
        <v>0</v>
      </c>
      <c r="H19994">
        <v>11</v>
      </c>
      <c r="I19994" s="3">
        <v>549.64</v>
      </c>
      <c r="J19994" s="3">
        <v>307.2</v>
      </c>
      <c r="L19994">
        <v>185</v>
      </c>
      <c r="M19994" t="s">
        <v>43379</v>
      </c>
      <c r="N19994" t="s">
        <v>30</v>
      </c>
      <c r="O19994" t="s">
        <v>31</v>
      </c>
      <c r="P19994" t="str">
        <f>"15210"</f>
        <v>15210</v>
      </c>
    </row>
    <row r="19995" spans="1:16" x14ac:dyDescent="0.25">
      <c r="A19995" t="str">
        <f>"1290060A00269    00"</f>
        <v>1290060A00269    00</v>
      </c>
      <c r="B19995" t="s">
        <v>43380</v>
      </c>
      <c r="C19995" t="s">
        <v>43381</v>
      </c>
      <c r="D19995" t="s">
        <v>20</v>
      </c>
      <c r="E19995" t="s">
        <v>39</v>
      </c>
      <c r="F19995">
        <v>0</v>
      </c>
      <c r="G19995">
        <v>0</v>
      </c>
      <c r="H19995">
        <v>6</v>
      </c>
      <c r="I19995" s="3">
        <v>4134.4799999999996</v>
      </c>
      <c r="J19995" s="3">
        <v>1278.67</v>
      </c>
      <c r="L19995">
        <v>870</v>
      </c>
      <c r="M19995" t="s">
        <v>43382</v>
      </c>
      <c r="N19995" t="s">
        <v>30</v>
      </c>
      <c r="O19995" t="s">
        <v>31</v>
      </c>
      <c r="P19995" t="str">
        <f>"15216"</f>
        <v>15216</v>
      </c>
    </row>
    <row r="19996" spans="1:16" x14ac:dyDescent="0.25">
      <c r="A19996" t="str">
        <f>"1290060A00270    00"</f>
        <v>1290060A00270    00</v>
      </c>
      <c r="B19996" t="s">
        <v>43383</v>
      </c>
      <c r="C19996" t="s">
        <v>43384</v>
      </c>
      <c r="D19996" t="s">
        <v>20</v>
      </c>
      <c r="E19996" t="s">
        <v>39</v>
      </c>
      <c r="F19996">
        <v>0</v>
      </c>
      <c r="G19996">
        <v>0</v>
      </c>
      <c r="H19996">
        <v>14</v>
      </c>
      <c r="I19996" s="3">
        <v>4046.25</v>
      </c>
      <c r="J19996" s="3">
        <v>2652.23</v>
      </c>
      <c r="M19996" t="s">
        <v>26796</v>
      </c>
      <c r="N19996" t="s">
        <v>31521</v>
      </c>
      <c r="O19996" t="s">
        <v>31</v>
      </c>
      <c r="P19996" t="str">
        <f>"19006"</f>
        <v>19006</v>
      </c>
    </row>
    <row r="19997" spans="1:16" x14ac:dyDescent="0.25">
      <c r="A19997" t="str">
        <f>"1290060A00277    00"</f>
        <v>1290060A00277    00</v>
      </c>
      <c r="B19997" t="s">
        <v>43385</v>
      </c>
      <c r="C19997" t="s">
        <v>43386</v>
      </c>
      <c r="D19997" t="s">
        <v>20</v>
      </c>
      <c r="E19997" t="s">
        <v>39</v>
      </c>
      <c r="F19997">
        <v>0</v>
      </c>
      <c r="G19997">
        <v>0</v>
      </c>
      <c r="H19997">
        <v>19</v>
      </c>
      <c r="I19997" s="3">
        <v>13755.18</v>
      </c>
      <c r="J19997" s="3">
        <v>16904.3</v>
      </c>
      <c r="L19997">
        <v>302</v>
      </c>
      <c r="M19997" t="s">
        <v>43387</v>
      </c>
      <c r="N19997" t="s">
        <v>6298</v>
      </c>
      <c r="O19997" t="s">
        <v>31</v>
      </c>
      <c r="P19997" t="str">
        <f>"15012"</f>
        <v>15012</v>
      </c>
    </row>
    <row r="19998" spans="1:16" x14ac:dyDescent="0.25">
      <c r="A19998" t="str">
        <f>"1290060A00281    00"</f>
        <v>1290060A00281    00</v>
      </c>
      <c r="B19998" t="s">
        <v>43388</v>
      </c>
      <c r="C19998" t="s">
        <v>43389</v>
      </c>
      <c r="E19998" t="s">
        <v>39</v>
      </c>
      <c r="F19998">
        <v>0</v>
      </c>
      <c r="G19998">
        <v>0</v>
      </c>
      <c r="H19998">
        <v>4</v>
      </c>
      <c r="I19998" s="3">
        <v>2416.9699999999998</v>
      </c>
      <c r="J19998" s="3">
        <v>2010.01</v>
      </c>
      <c r="K19998" t="s">
        <v>43390</v>
      </c>
      <c r="L19998">
        <v>718</v>
      </c>
      <c r="M19998" t="s">
        <v>24044</v>
      </c>
      <c r="N19998" t="s">
        <v>30</v>
      </c>
      <c r="O19998" t="s">
        <v>31</v>
      </c>
      <c r="P19998" t="str">
        <f>"15226"</f>
        <v>15226</v>
      </c>
    </row>
    <row r="19999" spans="1:16" x14ac:dyDescent="0.25">
      <c r="A19999" t="str">
        <f>"1290060A00285    00"</f>
        <v>1290060A00285    00</v>
      </c>
      <c r="B19999" t="s">
        <v>43391</v>
      </c>
      <c r="C19999" t="s">
        <v>43392</v>
      </c>
      <c r="D19999" t="s">
        <v>20</v>
      </c>
      <c r="E19999" t="s">
        <v>39</v>
      </c>
      <c r="F19999">
        <v>0</v>
      </c>
      <c r="G19999">
        <v>0</v>
      </c>
      <c r="H19999">
        <v>4</v>
      </c>
      <c r="I19999" s="3">
        <v>2979.92</v>
      </c>
      <c r="J19999" s="3">
        <v>439.07</v>
      </c>
      <c r="L19999">
        <v>870</v>
      </c>
      <c r="M19999" t="s">
        <v>43382</v>
      </c>
      <c r="N19999" t="s">
        <v>30</v>
      </c>
      <c r="O19999" t="s">
        <v>31</v>
      </c>
      <c r="P19999" t="str">
        <f>"15216"</f>
        <v>15216</v>
      </c>
    </row>
    <row r="20000" spans="1:16" x14ac:dyDescent="0.25">
      <c r="A20000" t="str">
        <f>"1290060B00005    00"</f>
        <v>1290060B00005    00</v>
      </c>
      <c r="B20000" t="s">
        <v>43393</v>
      </c>
      <c r="C20000" t="s">
        <v>43378</v>
      </c>
      <c r="D20000" t="s">
        <v>20</v>
      </c>
      <c r="E20000" t="s">
        <v>39</v>
      </c>
      <c r="F20000">
        <v>0</v>
      </c>
      <c r="G20000">
        <v>0</v>
      </c>
      <c r="H20000">
        <v>19</v>
      </c>
      <c r="I20000" s="3">
        <v>5530.02</v>
      </c>
      <c r="J20000" s="3">
        <v>4998.8900000000003</v>
      </c>
      <c r="L20000">
        <v>125</v>
      </c>
      <c r="M20000" t="s">
        <v>43379</v>
      </c>
      <c r="N20000" t="s">
        <v>30</v>
      </c>
      <c r="O20000" t="s">
        <v>31</v>
      </c>
      <c r="P20000" t="str">
        <f>"15210"</f>
        <v>15210</v>
      </c>
    </row>
    <row r="20001" spans="1:16" x14ac:dyDescent="0.25">
      <c r="A20001" t="str">
        <f>"1290060B00010    00"</f>
        <v>1290060B00010    00</v>
      </c>
      <c r="B20001" t="s">
        <v>43393</v>
      </c>
      <c r="C20001" t="s">
        <v>43378</v>
      </c>
      <c r="D20001" t="s">
        <v>20</v>
      </c>
      <c r="E20001" t="s">
        <v>39</v>
      </c>
      <c r="F20001">
        <v>0</v>
      </c>
      <c r="G20001">
        <v>0</v>
      </c>
      <c r="H20001">
        <v>19</v>
      </c>
      <c r="I20001" s="3">
        <v>5269.68</v>
      </c>
      <c r="J20001" s="3">
        <v>4706.55</v>
      </c>
      <c r="L20001">
        <v>125</v>
      </c>
      <c r="M20001" t="s">
        <v>43379</v>
      </c>
      <c r="N20001" t="s">
        <v>30</v>
      </c>
      <c r="O20001" t="s">
        <v>31</v>
      </c>
      <c r="P20001" t="str">
        <f>"15210"</f>
        <v>15210</v>
      </c>
    </row>
    <row r="20002" spans="1:16" x14ac:dyDescent="0.25">
      <c r="A20002" t="str">
        <f>"1290060B00013    00"</f>
        <v>1290060B00013    00</v>
      </c>
      <c r="B20002" t="s">
        <v>43393</v>
      </c>
      <c r="C20002" t="s">
        <v>43378</v>
      </c>
      <c r="D20002" t="s">
        <v>20</v>
      </c>
      <c r="E20002" t="s">
        <v>39</v>
      </c>
      <c r="F20002">
        <v>0</v>
      </c>
      <c r="G20002">
        <v>0</v>
      </c>
      <c r="H20002">
        <v>15</v>
      </c>
      <c r="I20002" s="3">
        <v>704.33</v>
      </c>
      <c r="J20002" s="3">
        <v>479.55</v>
      </c>
      <c r="L20002">
        <v>125</v>
      </c>
      <c r="M20002" t="s">
        <v>43379</v>
      </c>
      <c r="N20002" t="s">
        <v>30</v>
      </c>
      <c r="O20002" t="s">
        <v>31</v>
      </c>
      <c r="P20002" t="str">
        <f>"15210"</f>
        <v>15210</v>
      </c>
    </row>
    <row r="20003" spans="1:16" x14ac:dyDescent="0.25">
      <c r="A20003" t="str">
        <f>"1290060B00033    00"</f>
        <v>1290060B00033    00</v>
      </c>
      <c r="B20003" t="s">
        <v>43394</v>
      </c>
      <c r="C20003" t="s">
        <v>43378</v>
      </c>
      <c r="E20003" t="s">
        <v>39</v>
      </c>
      <c r="F20003">
        <v>0</v>
      </c>
      <c r="G20003">
        <v>0</v>
      </c>
      <c r="H20003">
        <v>1</v>
      </c>
      <c r="I20003" s="3">
        <v>17.98</v>
      </c>
      <c r="J20003" s="3">
        <v>20.68</v>
      </c>
      <c r="L20003">
        <v>192</v>
      </c>
      <c r="M20003" t="s">
        <v>43395</v>
      </c>
      <c r="N20003" t="s">
        <v>4768</v>
      </c>
      <c r="O20003" t="s">
        <v>31</v>
      </c>
      <c r="P20003" t="str">
        <f>"15137"</f>
        <v>15137</v>
      </c>
    </row>
    <row r="20004" spans="1:16" x14ac:dyDescent="0.25">
      <c r="A20004" t="str">
        <f>"1290060B00055    00"</f>
        <v>1290060B00055    00</v>
      </c>
      <c r="B20004" t="s">
        <v>43396</v>
      </c>
      <c r="C20004" t="s">
        <v>43378</v>
      </c>
      <c r="D20004" t="s">
        <v>20</v>
      </c>
      <c r="E20004" t="s">
        <v>39</v>
      </c>
      <c r="F20004">
        <v>0</v>
      </c>
      <c r="G20004">
        <v>0</v>
      </c>
      <c r="H20004">
        <v>19</v>
      </c>
      <c r="I20004" s="3">
        <v>5885.97</v>
      </c>
      <c r="J20004" s="3">
        <v>6531.42</v>
      </c>
      <c r="K20004" t="s">
        <v>43397</v>
      </c>
      <c r="L20004">
        <v>170</v>
      </c>
      <c r="M20004" t="s">
        <v>43379</v>
      </c>
      <c r="N20004" t="s">
        <v>30</v>
      </c>
      <c r="O20004" t="s">
        <v>31</v>
      </c>
      <c r="P20004" t="str">
        <f>"15210"</f>
        <v>15210</v>
      </c>
    </row>
    <row r="20005" spans="1:16" x14ac:dyDescent="0.25">
      <c r="A20005" t="str">
        <f>"1290060B00056    00"</f>
        <v>1290060B00056    00</v>
      </c>
      <c r="B20005" t="s">
        <v>43398</v>
      </c>
      <c r="C20005" t="s">
        <v>43378</v>
      </c>
      <c r="D20005" t="s">
        <v>20</v>
      </c>
      <c r="E20005" t="s">
        <v>39</v>
      </c>
      <c r="F20005">
        <v>0</v>
      </c>
      <c r="G20005">
        <v>0</v>
      </c>
      <c r="H20005">
        <v>19</v>
      </c>
      <c r="I20005" s="3">
        <v>422.65</v>
      </c>
      <c r="J20005" s="3">
        <v>433.11</v>
      </c>
      <c r="L20005">
        <v>3751</v>
      </c>
      <c r="M20005" t="s">
        <v>43399</v>
      </c>
      <c r="N20005" t="s">
        <v>30</v>
      </c>
      <c r="O20005" t="s">
        <v>31</v>
      </c>
      <c r="P20005" t="str">
        <f>"15227"</f>
        <v>15227</v>
      </c>
    </row>
    <row r="20006" spans="1:16" x14ac:dyDescent="0.25">
      <c r="A20006" t="str">
        <f>"1290060B00081    00"</f>
        <v>1290060B00081    00</v>
      </c>
      <c r="B20006" t="s">
        <v>43394</v>
      </c>
      <c r="C20006" t="s">
        <v>43250</v>
      </c>
      <c r="E20006" t="s">
        <v>39</v>
      </c>
      <c r="F20006">
        <v>0</v>
      </c>
      <c r="G20006">
        <v>0</v>
      </c>
      <c r="H20006">
        <v>1</v>
      </c>
      <c r="I20006" s="3">
        <v>17.98</v>
      </c>
      <c r="J20006" s="3">
        <v>20.68</v>
      </c>
      <c r="L20006">
        <v>192</v>
      </c>
      <c r="M20006" t="s">
        <v>43395</v>
      </c>
      <c r="N20006" t="s">
        <v>4768</v>
      </c>
      <c r="O20006" t="s">
        <v>31</v>
      </c>
      <c r="P20006" t="str">
        <f>"15137"</f>
        <v>15137</v>
      </c>
    </row>
    <row r="20007" spans="1:16" x14ac:dyDescent="0.25">
      <c r="A20007" t="str">
        <f>"1290060B00086    00"</f>
        <v>1290060B00086    00</v>
      </c>
      <c r="B20007" t="s">
        <v>43400</v>
      </c>
      <c r="C20007" t="s">
        <v>43401</v>
      </c>
      <c r="D20007" t="s">
        <v>20</v>
      </c>
      <c r="E20007" t="s">
        <v>39</v>
      </c>
      <c r="F20007">
        <v>0</v>
      </c>
      <c r="G20007">
        <v>0</v>
      </c>
      <c r="H20007">
        <v>19</v>
      </c>
      <c r="I20007" s="3">
        <v>13062.53</v>
      </c>
      <c r="J20007" s="3">
        <v>16401.78</v>
      </c>
      <c r="L20007">
        <v>110</v>
      </c>
      <c r="M20007" t="s">
        <v>43212</v>
      </c>
      <c r="N20007" t="s">
        <v>30</v>
      </c>
      <c r="O20007" t="s">
        <v>31</v>
      </c>
      <c r="P20007" t="str">
        <f>"15210"</f>
        <v>15210</v>
      </c>
    </row>
    <row r="20008" spans="1:16" x14ac:dyDescent="0.25">
      <c r="A20008" t="str">
        <f>"1290060B00087    00"</f>
        <v>1290060B00087    00</v>
      </c>
      <c r="B20008" t="s">
        <v>43402</v>
      </c>
      <c r="C20008" t="s">
        <v>43403</v>
      </c>
      <c r="D20008" t="s">
        <v>20</v>
      </c>
      <c r="E20008" t="s">
        <v>39</v>
      </c>
      <c r="F20008">
        <v>0</v>
      </c>
      <c r="G20008">
        <v>0</v>
      </c>
      <c r="H20008">
        <v>17</v>
      </c>
      <c r="I20008" s="3">
        <v>10622.72</v>
      </c>
      <c r="J20008" s="3">
        <v>10481.549999999999</v>
      </c>
      <c r="L20008">
        <v>176</v>
      </c>
      <c r="M20008" t="s">
        <v>43404</v>
      </c>
      <c r="N20008" t="s">
        <v>526</v>
      </c>
      <c r="O20008" t="s">
        <v>31</v>
      </c>
      <c r="P20008" t="str">
        <f>"15301"</f>
        <v>15301</v>
      </c>
    </row>
    <row r="20009" spans="1:16" x14ac:dyDescent="0.25">
      <c r="A20009" t="str">
        <f>"1290060B00088    00"</f>
        <v>1290060B00088    00</v>
      </c>
      <c r="B20009" t="s">
        <v>43405</v>
      </c>
      <c r="C20009" t="s">
        <v>43406</v>
      </c>
      <c r="D20009" t="s">
        <v>20</v>
      </c>
      <c r="E20009" t="s">
        <v>39</v>
      </c>
      <c r="F20009">
        <v>0</v>
      </c>
      <c r="G20009">
        <v>0</v>
      </c>
      <c r="H20009">
        <v>2</v>
      </c>
      <c r="I20009" s="3">
        <v>1334.24</v>
      </c>
      <c r="J20009" s="3">
        <v>0</v>
      </c>
      <c r="L20009">
        <v>239</v>
      </c>
      <c r="M20009" t="s">
        <v>4730</v>
      </c>
      <c r="N20009" t="s">
        <v>30</v>
      </c>
      <c r="O20009" t="s">
        <v>31</v>
      </c>
      <c r="P20009" t="str">
        <f>"15222"</f>
        <v>15222</v>
      </c>
    </row>
    <row r="20010" spans="1:16" x14ac:dyDescent="0.25">
      <c r="A20010" t="str">
        <f>"1290060B00091    00"</f>
        <v>1290060B00091    00</v>
      </c>
      <c r="B20010" t="s">
        <v>43407</v>
      </c>
      <c r="C20010" t="s">
        <v>43408</v>
      </c>
      <c r="D20010" t="s">
        <v>20</v>
      </c>
      <c r="E20010" t="s">
        <v>39</v>
      </c>
      <c r="F20010">
        <v>0</v>
      </c>
      <c r="G20010">
        <v>0</v>
      </c>
      <c r="H20010">
        <v>2</v>
      </c>
      <c r="I20010" s="3">
        <v>1181.76</v>
      </c>
      <c r="J20010" s="3">
        <v>0</v>
      </c>
      <c r="L20010">
        <v>103</v>
      </c>
      <c r="M20010" t="s">
        <v>43409</v>
      </c>
      <c r="N20010" t="s">
        <v>30</v>
      </c>
      <c r="O20010" t="s">
        <v>31</v>
      </c>
      <c r="P20010" t="str">
        <f>"15229"</f>
        <v>15229</v>
      </c>
    </row>
    <row r="20011" spans="1:16" x14ac:dyDescent="0.25">
      <c r="A20011" t="str">
        <f>"1290060B00095    00"</f>
        <v>1290060B00095    00</v>
      </c>
      <c r="B20011" t="s">
        <v>43410</v>
      </c>
      <c r="C20011" t="s">
        <v>43250</v>
      </c>
      <c r="E20011" t="s">
        <v>39</v>
      </c>
      <c r="F20011">
        <v>0</v>
      </c>
      <c r="G20011">
        <v>0</v>
      </c>
      <c r="H20011">
        <v>1</v>
      </c>
      <c r="I20011" s="3">
        <v>45.12</v>
      </c>
      <c r="J20011" s="3">
        <v>0</v>
      </c>
      <c r="K20011" t="s">
        <v>43411</v>
      </c>
      <c r="L20011">
        <v>1812</v>
      </c>
      <c r="M20011" t="s">
        <v>1484</v>
      </c>
      <c r="N20011" t="s">
        <v>30</v>
      </c>
      <c r="O20011" t="s">
        <v>31</v>
      </c>
      <c r="P20011" t="str">
        <f>"15203"</f>
        <v>15203</v>
      </c>
    </row>
    <row r="20012" spans="1:16" x14ac:dyDescent="0.25">
      <c r="A20012" t="str">
        <f>"1290060B00100    00"</f>
        <v>1290060B00100    00</v>
      </c>
      <c r="B20012" t="s">
        <v>43412</v>
      </c>
      <c r="C20012" t="s">
        <v>43413</v>
      </c>
      <c r="D20012" t="s">
        <v>20</v>
      </c>
      <c r="E20012" t="s">
        <v>39</v>
      </c>
      <c r="F20012">
        <v>0</v>
      </c>
      <c r="G20012">
        <v>0</v>
      </c>
      <c r="H20012">
        <v>5</v>
      </c>
      <c r="I20012" s="3">
        <v>891.88</v>
      </c>
      <c r="J20012" s="3">
        <v>402.91</v>
      </c>
      <c r="L20012">
        <v>33</v>
      </c>
      <c r="M20012" t="s">
        <v>43212</v>
      </c>
      <c r="N20012" t="s">
        <v>30</v>
      </c>
      <c r="O20012" t="s">
        <v>31</v>
      </c>
      <c r="P20012" t="str">
        <f>"15210"</f>
        <v>15210</v>
      </c>
    </row>
    <row r="20013" spans="1:16" x14ac:dyDescent="0.25">
      <c r="A20013" t="str">
        <f>"1290060B00103    00"</f>
        <v>1290060B00103    00</v>
      </c>
      <c r="B20013" t="s">
        <v>43414</v>
      </c>
      <c r="C20013" t="s">
        <v>43415</v>
      </c>
      <c r="D20013" t="s">
        <v>20</v>
      </c>
      <c r="E20013" t="s">
        <v>39</v>
      </c>
      <c r="F20013">
        <v>0</v>
      </c>
      <c r="G20013">
        <v>0</v>
      </c>
      <c r="H20013">
        <v>2</v>
      </c>
      <c r="I20013" s="3">
        <v>2542.62</v>
      </c>
      <c r="J20013" s="3">
        <v>0</v>
      </c>
      <c r="L20013">
        <v>1150</v>
      </c>
      <c r="M20013" t="s">
        <v>43416</v>
      </c>
      <c r="N20013" t="s">
        <v>163</v>
      </c>
      <c r="O20013" t="s">
        <v>31</v>
      </c>
      <c r="P20013" t="str">
        <f>"19406"</f>
        <v>19406</v>
      </c>
    </row>
    <row r="20014" spans="1:16" x14ac:dyDescent="0.25">
      <c r="A20014" t="str">
        <f>"1290060B00104    00"</f>
        <v>1290060B00104    00</v>
      </c>
      <c r="B20014" t="s">
        <v>43417</v>
      </c>
      <c r="C20014" t="s">
        <v>43418</v>
      </c>
      <c r="D20014" t="s">
        <v>20</v>
      </c>
      <c r="E20014" t="s">
        <v>39</v>
      </c>
      <c r="F20014">
        <v>0</v>
      </c>
      <c r="G20014">
        <v>0</v>
      </c>
      <c r="H20014">
        <v>13</v>
      </c>
      <c r="I20014" s="3">
        <v>6438.57</v>
      </c>
      <c r="J20014" s="3">
        <v>3088.63</v>
      </c>
      <c r="L20014">
        <v>114</v>
      </c>
      <c r="M20014" t="s">
        <v>43419</v>
      </c>
      <c r="N20014" t="s">
        <v>691</v>
      </c>
      <c r="O20014" t="s">
        <v>5635</v>
      </c>
      <c r="P20014" t="str">
        <f>"68701"</f>
        <v>68701</v>
      </c>
    </row>
    <row r="20015" spans="1:16" x14ac:dyDescent="0.25">
      <c r="A20015" t="str">
        <f>"1290060B00106    00"</f>
        <v>1290060B00106    00</v>
      </c>
      <c r="B20015" t="s">
        <v>43420</v>
      </c>
      <c r="C20015" t="s">
        <v>43421</v>
      </c>
      <c r="D20015" t="s">
        <v>20</v>
      </c>
      <c r="E20015" t="s">
        <v>39</v>
      </c>
      <c r="F20015">
        <v>0</v>
      </c>
      <c r="G20015">
        <v>0</v>
      </c>
      <c r="H20015">
        <v>5</v>
      </c>
      <c r="I20015" s="3">
        <v>3029.39</v>
      </c>
      <c r="J20015" s="3">
        <v>553.39</v>
      </c>
      <c r="L20015">
        <v>23</v>
      </c>
      <c r="M20015" t="s">
        <v>43212</v>
      </c>
      <c r="N20015" t="s">
        <v>30</v>
      </c>
      <c r="O20015" t="s">
        <v>31</v>
      </c>
      <c r="P20015" t="str">
        <f>"15210"</f>
        <v>15210</v>
      </c>
    </row>
    <row r="20016" spans="1:16" x14ac:dyDescent="0.25">
      <c r="A20016" t="str">
        <f>"1290060B00150    00"</f>
        <v>1290060B00150    00</v>
      </c>
      <c r="B20016" t="s">
        <v>43422</v>
      </c>
      <c r="C20016" t="s">
        <v>43250</v>
      </c>
      <c r="D20016" t="s">
        <v>20</v>
      </c>
      <c r="E20016" t="s">
        <v>39</v>
      </c>
      <c r="F20016">
        <v>0</v>
      </c>
      <c r="G20016">
        <v>0</v>
      </c>
      <c r="H20016">
        <v>8</v>
      </c>
      <c r="I20016" s="3">
        <v>2228.9299999999998</v>
      </c>
      <c r="J20016" s="3">
        <v>3241.84</v>
      </c>
      <c r="L20016">
        <v>1711</v>
      </c>
      <c r="M20016" t="s">
        <v>22611</v>
      </c>
      <c r="N20016" t="s">
        <v>30</v>
      </c>
      <c r="O20016" t="s">
        <v>31</v>
      </c>
      <c r="P20016" t="str">
        <f>"15203"</f>
        <v>15203</v>
      </c>
    </row>
    <row r="20017" spans="1:16" x14ac:dyDescent="0.25">
      <c r="A20017" t="str">
        <f>"1290060B00153    00"</f>
        <v>1290060B00153    00</v>
      </c>
      <c r="B20017" t="s">
        <v>43423</v>
      </c>
      <c r="C20017" t="s">
        <v>43424</v>
      </c>
      <c r="D20017" t="s">
        <v>20</v>
      </c>
      <c r="E20017" t="s">
        <v>39</v>
      </c>
      <c r="F20017">
        <v>0</v>
      </c>
      <c r="G20017">
        <v>0</v>
      </c>
      <c r="H20017">
        <v>2</v>
      </c>
      <c r="I20017" s="3">
        <v>1585.8</v>
      </c>
      <c r="J20017" s="3">
        <v>0</v>
      </c>
      <c r="K20017" t="s">
        <v>43425</v>
      </c>
      <c r="L20017">
        <v>5506</v>
      </c>
      <c r="M20017" t="s">
        <v>10247</v>
      </c>
      <c r="N20017" t="s">
        <v>30</v>
      </c>
      <c r="O20017" t="s">
        <v>31</v>
      </c>
      <c r="P20017" t="str">
        <f>"15206"</f>
        <v>15206</v>
      </c>
    </row>
    <row r="20018" spans="1:16" x14ac:dyDescent="0.25">
      <c r="A20018" t="str">
        <f>"1290060B00176    00"</f>
        <v>1290060B00176    00</v>
      </c>
      <c r="B20018" t="s">
        <v>43426</v>
      </c>
      <c r="C20018" t="s">
        <v>43427</v>
      </c>
      <c r="D20018" t="s">
        <v>20</v>
      </c>
      <c r="E20018" t="s">
        <v>39</v>
      </c>
      <c r="F20018">
        <v>0</v>
      </c>
      <c r="G20018">
        <v>0</v>
      </c>
      <c r="H20018">
        <v>1</v>
      </c>
      <c r="I20018" s="3">
        <v>651.86</v>
      </c>
      <c r="J20018" s="3">
        <v>0</v>
      </c>
      <c r="K20018" t="s">
        <v>43428</v>
      </c>
      <c r="L20018">
        <v>422</v>
      </c>
      <c r="M20018" t="s">
        <v>36989</v>
      </c>
      <c r="N20018" t="s">
        <v>30</v>
      </c>
      <c r="O20018" t="s">
        <v>31</v>
      </c>
      <c r="P20018" t="str">
        <f>"15214"</f>
        <v>15214</v>
      </c>
    </row>
    <row r="20019" spans="1:16" x14ac:dyDescent="0.25">
      <c r="A20019" t="str">
        <f>"1290060B00178    00"</f>
        <v>1290060B00178    00</v>
      </c>
      <c r="B20019" t="s">
        <v>43429</v>
      </c>
      <c r="C20019" t="s">
        <v>43430</v>
      </c>
      <c r="E20019" t="s">
        <v>39</v>
      </c>
      <c r="F20019">
        <v>0</v>
      </c>
      <c r="G20019">
        <v>0</v>
      </c>
      <c r="H20019">
        <v>2</v>
      </c>
      <c r="I20019" s="3">
        <v>18.79</v>
      </c>
      <c r="J20019" s="3">
        <v>5.32</v>
      </c>
      <c r="L20019">
        <v>11</v>
      </c>
      <c r="M20019" t="s">
        <v>43431</v>
      </c>
      <c r="N20019" t="s">
        <v>30</v>
      </c>
      <c r="O20019" t="s">
        <v>31</v>
      </c>
      <c r="P20019" t="str">
        <f>"15227"</f>
        <v>15227</v>
      </c>
    </row>
    <row r="20020" spans="1:16" x14ac:dyDescent="0.25">
      <c r="A20020" t="str">
        <f>"1290060B00181    00"</f>
        <v>1290060B00181    00</v>
      </c>
      <c r="B20020" t="s">
        <v>43432</v>
      </c>
      <c r="C20020" t="s">
        <v>43433</v>
      </c>
      <c r="E20020" t="s">
        <v>39</v>
      </c>
      <c r="F20020">
        <v>0</v>
      </c>
      <c r="G20020">
        <v>0</v>
      </c>
      <c r="H20020">
        <v>1</v>
      </c>
      <c r="I20020" s="3">
        <v>353.29</v>
      </c>
      <c r="J20020" s="3">
        <v>0</v>
      </c>
      <c r="K20020" t="s">
        <v>43434</v>
      </c>
      <c r="L20020">
        <v>5830</v>
      </c>
      <c r="M20020" t="s">
        <v>43435</v>
      </c>
      <c r="N20020" t="s">
        <v>43436</v>
      </c>
      <c r="O20020" t="s">
        <v>2928</v>
      </c>
      <c r="P20020" t="str">
        <f>"82609"</f>
        <v>82609</v>
      </c>
    </row>
    <row r="20021" spans="1:16" x14ac:dyDescent="0.25">
      <c r="A20021" t="str">
        <f>"1290060B00186    00"</f>
        <v>1290060B00186    00</v>
      </c>
      <c r="B20021" t="s">
        <v>43437</v>
      </c>
      <c r="C20021" t="s">
        <v>43438</v>
      </c>
      <c r="D20021" t="s">
        <v>20</v>
      </c>
      <c r="E20021" t="s">
        <v>39</v>
      </c>
      <c r="F20021">
        <v>0</v>
      </c>
      <c r="G20021">
        <v>0</v>
      </c>
      <c r="H20021">
        <v>4</v>
      </c>
      <c r="I20021" s="3">
        <v>1433.31</v>
      </c>
      <c r="J20021" s="3">
        <v>266.81</v>
      </c>
      <c r="K20021" t="s">
        <v>5861</v>
      </c>
      <c r="L20021">
        <v>3001</v>
      </c>
      <c r="M20021" t="s">
        <v>330</v>
      </c>
      <c r="N20021" t="s">
        <v>331</v>
      </c>
      <c r="O20021" t="s">
        <v>108</v>
      </c>
      <c r="P20021" t="str">
        <f>"75063"</f>
        <v>75063</v>
      </c>
    </row>
    <row r="20022" spans="1:16" x14ac:dyDescent="0.25">
      <c r="A20022" t="str">
        <f>"1290060B00189    00"</f>
        <v>1290060B00189    00</v>
      </c>
      <c r="B20022" t="s">
        <v>43439</v>
      </c>
      <c r="C20022" t="s">
        <v>43440</v>
      </c>
      <c r="D20022" t="s">
        <v>20</v>
      </c>
      <c r="E20022" t="s">
        <v>39</v>
      </c>
      <c r="F20022">
        <v>0</v>
      </c>
      <c r="G20022">
        <v>0</v>
      </c>
      <c r="H20022">
        <v>4</v>
      </c>
      <c r="I20022" s="3">
        <v>1494.8</v>
      </c>
      <c r="J20022" s="3">
        <v>0</v>
      </c>
      <c r="K20022" t="s">
        <v>43441</v>
      </c>
      <c r="L20022">
        <v>202</v>
      </c>
      <c r="M20022" t="s">
        <v>23704</v>
      </c>
      <c r="N20022" t="s">
        <v>30</v>
      </c>
      <c r="O20022" t="s">
        <v>31</v>
      </c>
      <c r="P20022" t="str">
        <f>"15210"</f>
        <v>15210</v>
      </c>
    </row>
    <row r="20023" spans="1:16" x14ac:dyDescent="0.25">
      <c r="A20023" t="str">
        <f>"1290060B00192    00"</f>
        <v>1290060B00192    00</v>
      </c>
      <c r="B20023" t="s">
        <v>43442</v>
      </c>
      <c r="C20023" t="s">
        <v>43443</v>
      </c>
      <c r="D20023" t="s">
        <v>20</v>
      </c>
      <c r="E20023" t="s">
        <v>39</v>
      </c>
      <c r="F20023">
        <v>0</v>
      </c>
      <c r="G20023">
        <v>0</v>
      </c>
      <c r="H20023">
        <v>2</v>
      </c>
      <c r="I20023" s="3">
        <v>763.4</v>
      </c>
      <c r="J20023" s="3">
        <v>0</v>
      </c>
      <c r="K20023" t="s">
        <v>8393</v>
      </c>
      <c r="M20023" t="s">
        <v>8394</v>
      </c>
      <c r="N20023" t="s">
        <v>8395</v>
      </c>
      <c r="O20023" t="s">
        <v>1616</v>
      </c>
      <c r="P20023" t="str">
        <f>"57709"</f>
        <v>57709</v>
      </c>
    </row>
    <row r="20024" spans="1:16" x14ac:dyDescent="0.25">
      <c r="A20024" t="str">
        <f>"1290060B00193    00"</f>
        <v>1290060B00193    00</v>
      </c>
      <c r="B20024" t="s">
        <v>43444</v>
      </c>
      <c r="C20024" t="s">
        <v>43445</v>
      </c>
      <c r="E20024" t="s">
        <v>39</v>
      </c>
      <c r="F20024">
        <v>0</v>
      </c>
      <c r="G20024">
        <v>0</v>
      </c>
      <c r="H20024">
        <v>3</v>
      </c>
      <c r="I20024" s="3">
        <v>2109.6799999999998</v>
      </c>
      <c r="J20024" s="3">
        <v>2839.31</v>
      </c>
      <c r="L20024">
        <v>4607</v>
      </c>
      <c r="M20024" t="s">
        <v>4648</v>
      </c>
      <c r="N20024" t="s">
        <v>3934</v>
      </c>
      <c r="O20024" t="s">
        <v>31</v>
      </c>
      <c r="P20024" t="str">
        <f>"15102"</f>
        <v>15102</v>
      </c>
    </row>
    <row r="20025" spans="1:16" x14ac:dyDescent="0.25">
      <c r="A20025" t="str">
        <f>"1290060B00205    00"</f>
        <v>1290060B00205    00</v>
      </c>
      <c r="B20025" t="s">
        <v>43446</v>
      </c>
      <c r="C20025" t="s">
        <v>43386</v>
      </c>
      <c r="D20025" t="s">
        <v>20</v>
      </c>
      <c r="E20025" t="s">
        <v>39</v>
      </c>
      <c r="F20025">
        <v>0</v>
      </c>
      <c r="G20025">
        <v>0</v>
      </c>
      <c r="H20025">
        <v>14</v>
      </c>
      <c r="I20025" s="3">
        <v>3238.06</v>
      </c>
      <c r="J20025" s="3">
        <v>2159.71</v>
      </c>
      <c r="L20025">
        <v>501</v>
      </c>
      <c r="M20025" t="s">
        <v>43447</v>
      </c>
      <c r="N20025" t="s">
        <v>43448</v>
      </c>
      <c r="O20025" t="s">
        <v>1413</v>
      </c>
      <c r="P20025" t="str">
        <f>"27591"</f>
        <v>27591</v>
      </c>
    </row>
    <row r="20026" spans="1:16" x14ac:dyDescent="0.25">
      <c r="A20026" t="str">
        <f>"1290060B00208    00"</f>
        <v>1290060B00208    00</v>
      </c>
      <c r="B20026" t="s">
        <v>4774</v>
      </c>
      <c r="C20026" t="s">
        <v>43449</v>
      </c>
      <c r="E20026" t="s">
        <v>39</v>
      </c>
      <c r="F20026">
        <v>0</v>
      </c>
      <c r="G20026">
        <v>0</v>
      </c>
      <c r="H20026">
        <v>1</v>
      </c>
      <c r="I20026" s="3">
        <v>557.6</v>
      </c>
      <c r="J20026" s="3">
        <v>23.23</v>
      </c>
      <c r="L20026">
        <v>3984</v>
      </c>
      <c r="M20026" t="s">
        <v>4776</v>
      </c>
      <c r="N20026" t="s">
        <v>195</v>
      </c>
      <c r="O20026" t="s">
        <v>31</v>
      </c>
      <c r="P20026" t="str">
        <f>"15101"</f>
        <v>15101</v>
      </c>
    </row>
    <row r="20027" spans="1:16" x14ac:dyDescent="0.25">
      <c r="A20027" t="str">
        <f>"1290060B00217    00"</f>
        <v>1290060B00217    00</v>
      </c>
      <c r="B20027" t="s">
        <v>43450</v>
      </c>
      <c r="C20027" t="s">
        <v>43451</v>
      </c>
      <c r="E20027" t="s">
        <v>39</v>
      </c>
      <c r="F20027">
        <v>0</v>
      </c>
      <c r="G20027">
        <v>0</v>
      </c>
      <c r="H20027">
        <v>1</v>
      </c>
      <c r="I20027" s="3">
        <v>308.35000000000002</v>
      </c>
      <c r="J20027" s="3">
        <v>0</v>
      </c>
      <c r="L20027">
        <v>9313</v>
      </c>
      <c r="M20027" t="s">
        <v>23132</v>
      </c>
      <c r="N20027" t="s">
        <v>2008</v>
      </c>
      <c r="O20027" t="s">
        <v>31</v>
      </c>
      <c r="P20027" t="str">
        <f>"16066"</f>
        <v>16066</v>
      </c>
    </row>
    <row r="20028" spans="1:16" x14ac:dyDescent="0.25">
      <c r="A20028" t="str">
        <f>"1290060B00226    00"</f>
        <v>1290060B00226    00</v>
      </c>
      <c r="B20028" t="s">
        <v>43452</v>
      </c>
      <c r="C20028" t="s">
        <v>43453</v>
      </c>
      <c r="D20028" t="s">
        <v>20</v>
      </c>
      <c r="E20028" t="s">
        <v>39</v>
      </c>
      <c r="F20028">
        <v>0</v>
      </c>
      <c r="G20028">
        <v>0</v>
      </c>
      <c r="H20028">
        <v>2</v>
      </c>
      <c r="I20028" s="3">
        <v>1681.12</v>
      </c>
      <c r="J20028" s="3">
        <v>0</v>
      </c>
      <c r="L20028">
        <v>30</v>
      </c>
      <c r="M20028" t="s">
        <v>23704</v>
      </c>
      <c r="N20028" t="s">
        <v>30</v>
      </c>
      <c r="O20028" t="s">
        <v>31</v>
      </c>
      <c r="P20028" t="str">
        <f>"15210"</f>
        <v>15210</v>
      </c>
    </row>
    <row r="20029" spans="1:16" x14ac:dyDescent="0.25">
      <c r="A20029" t="str">
        <f>"1290060B00227    00"</f>
        <v>1290060B00227    00</v>
      </c>
      <c r="B20029" t="s">
        <v>43454</v>
      </c>
      <c r="C20029" t="s">
        <v>43386</v>
      </c>
      <c r="D20029" t="s">
        <v>20</v>
      </c>
      <c r="E20029" t="s">
        <v>39</v>
      </c>
      <c r="F20029">
        <v>0</v>
      </c>
      <c r="G20029">
        <v>0</v>
      </c>
      <c r="H20029">
        <v>16</v>
      </c>
      <c r="I20029" s="3">
        <v>5331.28</v>
      </c>
      <c r="J20029" s="3">
        <v>4981.91</v>
      </c>
      <c r="L20029">
        <v>412</v>
      </c>
      <c r="M20029" t="s">
        <v>23871</v>
      </c>
      <c r="N20029" t="s">
        <v>30</v>
      </c>
      <c r="O20029" t="s">
        <v>31</v>
      </c>
      <c r="P20029" t="str">
        <f>"15210"</f>
        <v>15210</v>
      </c>
    </row>
    <row r="20030" spans="1:16" x14ac:dyDescent="0.25">
      <c r="A20030" t="str">
        <f>"1290060C00011    00"</f>
        <v>1290060C00011    00</v>
      </c>
      <c r="B20030" t="s">
        <v>43455</v>
      </c>
      <c r="C20030" t="s">
        <v>43456</v>
      </c>
      <c r="D20030" t="s">
        <v>20</v>
      </c>
      <c r="E20030" t="s">
        <v>21</v>
      </c>
      <c r="F20030">
        <v>0</v>
      </c>
      <c r="G20030">
        <v>0</v>
      </c>
      <c r="H20030">
        <v>5</v>
      </c>
      <c r="I20030" s="3">
        <v>18572</v>
      </c>
      <c r="J20030" s="3">
        <v>1899.41</v>
      </c>
      <c r="K20030" t="s">
        <v>43457</v>
      </c>
      <c r="L20030">
        <v>285</v>
      </c>
      <c r="M20030" t="s">
        <v>43458</v>
      </c>
      <c r="N20030" t="s">
        <v>43459</v>
      </c>
      <c r="O20030" t="s">
        <v>606</v>
      </c>
      <c r="P20030" t="str">
        <f>"30127"</f>
        <v>30127</v>
      </c>
    </row>
    <row r="20031" spans="1:16" x14ac:dyDescent="0.25">
      <c r="A20031" t="str">
        <f>"1290060C00015    00"</f>
        <v>1290060C00015    00</v>
      </c>
      <c r="B20031" t="s">
        <v>43460</v>
      </c>
      <c r="C20031" t="s">
        <v>43461</v>
      </c>
      <c r="D20031" t="s">
        <v>20</v>
      </c>
      <c r="E20031" t="s">
        <v>39</v>
      </c>
      <c r="F20031">
        <v>0</v>
      </c>
      <c r="G20031">
        <v>0</v>
      </c>
      <c r="H20031">
        <v>3</v>
      </c>
      <c r="I20031" s="3">
        <v>2388.86</v>
      </c>
      <c r="J20031" s="3">
        <v>171.08</v>
      </c>
      <c r="L20031">
        <v>8</v>
      </c>
      <c r="M20031" t="s">
        <v>23704</v>
      </c>
      <c r="N20031" t="s">
        <v>30</v>
      </c>
      <c r="O20031" t="s">
        <v>31</v>
      </c>
      <c r="P20031" t="str">
        <f>"15210"</f>
        <v>15210</v>
      </c>
    </row>
    <row r="20032" spans="1:16" x14ac:dyDescent="0.25">
      <c r="A20032" t="str">
        <f>"1290060C00019    00"</f>
        <v>1290060C00019    00</v>
      </c>
      <c r="B20032" t="s">
        <v>43462</v>
      </c>
      <c r="C20032" t="s">
        <v>43463</v>
      </c>
      <c r="D20032" t="s">
        <v>20</v>
      </c>
      <c r="E20032" t="s">
        <v>39</v>
      </c>
      <c r="F20032">
        <v>0</v>
      </c>
      <c r="G20032">
        <v>0</v>
      </c>
      <c r="H20032">
        <v>2</v>
      </c>
      <c r="I20032" s="3">
        <v>318.45999999999998</v>
      </c>
      <c r="J20032" s="3">
        <v>0</v>
      </c>
      <c r="L20032">
        <v>18</v>
      </c>
      <c r="M20032" t="s">
        <v>23704</v>
      </c>
      <c r="N20032" t="s">
        <v>30</v>
      </c>
      <c r="O20032" t="s">
        <v>31</v>
      </c>
      <c r="P20032" t="str">
        <f>"15210"</f>
        <v>15210</v>
      </c>
    </row>
    <row r="20033" spans="1:16" x14ac:dyDescent="0.25">
      <c r="A20033" t="str">
        <f>"1290060C00021    00"</f>
        <v>1290060C00021    00</v>
      </c>
      <c r="B20033" t="s">
        <v>43464</v>
      </c>
      <c r="C20033" t="s">
        <v>43386</v>
      </c>
      <c r="D20033" t="s">
        <v>20</v>
      </c>
      <c r="E20033" t="s">
        <v>39</v>
      </c>
      <c r="F20033">
        <v>0</v>
      </c>
      <c r="G20033">
        <v>0</v>
      </c>
      <c r="H20033">
        <v>9</v>
      </c>
      <c r="I20033" s="3">
        <v>2137.81</v>
      </c>
      <c r="J20033" s="3">
        <v>672.66</v>
      </c>
      <c r="K20033" t="s">
        <v>43465</v>
      </c>
      <c r="L20033">
        <v>120</v>
      </c>
      <c r="M20033" t="s">
        <v>43466</v>
      </c>
      <c r="N20033" t="s">
        <v>1046</v>
      </c>
      <c r="O20033" t="s">
        <v>31</v>
      </c>
      <c r="P20033" t="str">
        <f>"15147"</f>
        <v>15147</v>
      </c>
    </row>
    <row r="20034" spans="1:16" x14ac:dyDescent="0.25">
      <c r="A20034" t="str">
        <f>"1290060C00113    00"</f>
        <v>1290060C00113    00</v>
      </c>
      <c r="B20034" t="s">
        <v>43467</v>
      </c>
      <c r="C20034" t="s">
        <v>43468</v>
      </c>
      <c r="E20034" t="s">
        <v>39</v>
      </c>
      <c r="F20034">
        <v>0</v>
      </c>
      <c r="G20034">
        <v>0</v>
      </c>
      <c r="H20034">
        <v>1</v>
      </c>
      <c r="I20034" s="3">
        <v>1095.6199999999999</v>
      </c>
      <c r="J20034" s="3">
        <v>438.22</v>
      </c>
      <c r="L20034">
        <v>3712</v>
      </c>
      <c r="M20034" t="s">
        <v>27548</v>
      </c>
      <c r="N20034" t="s">
        <v>30</v>
      </c>
      <c r="O20034" t="s">
        <v>31</v>
      </c>
      <c r="P20034" t="str">
        <f>"15204"</f>
        <v>15204</v>
      </c>
    </row>
    <row r="20035" spans="1:16" x14ac:dyDescent="0.25">
      <c r="A20035" t="str">
        <f>"1290060C00115    00"</f>
        <v>1290060C00115    00</v>
      </c>
      <c r="B20035" t="s">
        <v>43469</v>
      </c>
      <c r="C20035" t="s">
        <v>43470</v>
      </c>
      <c r="D20035" t="s">
        <v>20</v>
      </c>
      <c r="E20035" t="s">
        <v>21</v>
      </c>
      <c r="F20035">
        <v>0</v>
      </c>
      <c r="G20035">
        <v>0</v>
      </c>
      <c r="H20035">
        <v>1</v>
      </c>
      <c r="I20035" s="3">
        <v>1088.33</v>
      </c>
      <c r="J20035" s="3">
        <v>0</v>
      </c>
      <c r="L20035">
        <v>1401</v>
      </c>
      <c r="M20035" t="s">
        <v>8048</v>
      </c>
      <c r="N20035" t="s">
        <v>30</v>
      </c>
      <c r="O20035" t="s">
        <v>31</v>
      </c>
      <c r="P20035" t="str">
        <f>"15210"</f>
        <v>15210</v>
      </c>
    </row>
    <row r="20036" spans="1:16" x14ac:dyDescent="0.25">
      <c r="A20036" t="str">
        <f>"1290060C00168    00"</f>
        <v>1290060C00168    00</v>
      </c>
      <c r="B20036" t="s">
        <v>43471</v>
      </c>
      <c r="C20036" t="s">
        <v>43472</v>
      </c>
      <c r="E20036" t="s">
        <v>39</v>
      </c>
      <c r="F20036">
        <v>0</v>
      </c>
      <c r="G20036">
        <v>0</v>
      </c>
      <c r="H20036">
        <v>1</v>
      </c>
      <c r="I20036" s="3">
        <v>1147.42</v>
      </c>
      <c r="J20036" s="3">
        <v>0</v>
      </c>
      <c r="L20036">
        <v>315</v>
      </c>
      <c r="M20036" t="s">
        <v>43473</v>
      </c>
      <c r="N20036" t="s">
        <v>30</v>
      </c>
      <c r="O20036" t="s">
        <v>31</v>
      </c>
      <c r="P20036" t="str">
        <f>"15227"</f>
        <v>15227</v>
      </c>
    </row>
    <row r="20037" spans="1:16" x14ac:dyDescent="0.25">
      <c r="A20037" t="str">
        <f>"1290060C00206    00"</f>
        <v>1290060C00206    00</v>
      </c>
      <c r="B20037" t="s">
        <v>43474</v>
      </c>
      <c r="C20037" t="s">
        <v>43475</v>
      </c>
      <c r="E20037" t="s">
        <v>39</v>
      </c>
      <c r="F20037">
        <v>0</v>
      </c>
      <c r="G20037">
        <v>0</v>
      </c>
      <c r="H20037">
        <v>4</v>
      </c>
      <c r="I20037" s="3">
        <v>3065.02</v>
      </c>
      <c r="J20037" s="3">
        <v>2911.39</v>
      </c>
      <c r="K20037" t="s">
        <v>43476</v>
      </c>
      <c r="L20037">
        <v>116</v>
      </c>
      <c r="M20037" t="s">
        <v>24747</v>
      </c>
      <c r="N20037" t="s">
        <v>30</v>
      </c>
      <c r="O20037" t="s">
        <v>31</v>
      </c>
      <c r="P20037" t="str">
        <f>"15210"</f>
        <v>15210</v>
      </c>
    </row>
    <row r="20038" spans="1:16" x14ac:dyDescent="0.25">
      <c r="A20038" t="str">
        <f>"1290060C00208    00"</f>
        <v>1290060C00208    00</v>
      </c>
      <c r="B20038" t="s">
        <v>43477</v>
      </c>
      <c r="C20038" t="s">
        <v>43478</v>
      </c>
      <c r="D20038" t="s">
        <v>20</v>
      </c>
      <c r="E20038" t="s">
        <v>39</v>
      </c>
      <c r="F20038">
        <v>0</v>
      </c>
      <c r="G20038">
        <v>0</v>
      </c>
      <c r="H20038">
        <v>7</v>
      </c>
      <c r="I20038" s="3">
        <v>9262.2199999999993</v>
      </c>
      <c r="J20038" s="3">
        <v>2609.36</v>
      </c>
      <c r="L20038">
        <v>120</v>
      </c>
      <c r="M20038" t="s">
        <v>24747</v>
      </c>
      <c r="N20038" t="s">
        <v>30</v>
      </c>
      <c r="O20038" t="s">
        <v>31</v>
      </c>
      <c r="P20038" t="str">
        <f>"15210"</f>
        <v>15210</v>
      </c>
    </row>
    <row r="20039" spans="1:16" x14ac:dyDescent="0.25">
      <c r="A20039" t="str">
        <f>"1290060C00212    00"</f>
        <v>1290060C00212    00</v>
      </c>
      <c r="B20039" t="s">
        <v>43479</v>
      </c>
      <c r="C20039" t="s">
        <v>43480</v>
      </c>
      <c r="D20039" t="s">
        <v>20</v>
      </c>
      <c r="E20039" t="s">
        <v>39</v>
      </c>
      <c r="F20039">
        <v>0</v>
      </c>
      <c r="G20039">
        <v>0</v>
      </c>
      <c r="H20039">
        <v>1</v>
      </c>
      <c r="I20039" s="3">
        <v>1686.82</v>
      </c>
      <c r="J20039" s="3">
        <v>0</v>
      </c>
      <c r="K20039" t="s">
        <v>43481</v>
      </c>
      <c r="L20039">
        <v>131</v>
      </c>
      <c r="M20039" t="s">
        <v>24747</v>
      </c>
      <c r="N20039" t="s">
        <v>30</v>
      </c>
      <c r="O20039" t="s">
        <v>31</v>
      </c>
      <c r="P20039" t="str">
        <f>"15210"</f>
        <v>15210</v>
      </c>
    </row>
    <row r="20040" spans="1:16" x14ac:dyDescent="0.25">
      <c r="A20040" t="str">
        <f>"1290060C00214    00"</f>
        <v>1290060C00214    00</v>
      </c>
      <c r="B20040" t="s">
        <v>43482</v>
      </c>
      <c r="C20040" t="s">
        <v>43483</v>
      </c>
      <c r="D20040" t="s">
        <v>20</v>
      </c>
      <c r="E20040" t="s">
        <v>39</v>
      </c>
      <c r="F20040">
        <v>0</v>
      </c>
      <c r="G20040">
        <v>0</v>
      </c>
      <c r="H20040">
        <v>1</v>
      </c>
      <c r="I20040" s="3">
        <v>1164.58</v>
      </c>
      <c r="J20040" s="3">
        <v>0</v>
      </c>
      <c r="L20040">
        <v>131</v>
      </c>
      <c r="M20040" t="s">
        <v>24747</v>
      </c>
      <c r="N20040" t="s">
        <v>30</v>
      </c>
      <c r="O20040" t="s">
        <v>31</v>
      </c>
      <c r="P20040" t="str">
        <f>"15210"</f>
        <v>15210</v>
      </c>
    </row>
    <row r="20041" spans="1:16" x14ac:dyDescent="0.25">
      <c r="A20041" t="str">
        <f>"1290060C00215    00"</f>
        <v>1290060C00215    00</v>
      </c>
      <c r="B20041" t="s">
        <v>43479</v>
      </c>
      <c r="C20041" t="s">
        <v>43484</v>
      </c>
      <c r="D20041" t="s">
        <v>20</v>
      </c>
      <c r="E20041" t="s">
        <v>39</v>
      </c>
      <c r="F20041">
        <v>0</v>
      </c>
      <c r="G20041">
        <v>0</v>
      </c>
      <c r="H20041">
        <v>1</v>
      </c>
      <c r="I20041" s="3">
        <v>1057.8399999999999</v>
      </c>
      <c r="J20041" s="3">
        <v>0</v>
      </c>
      <c r="K20041" t="s">
        <v>43481</v>
      </c>
      <c r="L20041">
        <v>131</v>
      </c>
      <c r="M20041" t="s">
        <v>24747</v>
      </c>
      <c r="N20041" t="s">
        <v>30</v>
      </c>
      <c r="O20041" t="s">
        <v>31</v>
      </c>
      <c r="P20041" t="str">
        <f>"15210"</f>
        <v>15210</v>
      </c>
    </row>
    <row r="20042" spans="1:16" x14ac:dyDescent="0.25">
      <c r="A20042" t="str">
        <f>"1290060C00222    00"</f>
        <v>1290060C00222    00</v>
      </c>
      <c r="B20042" t="s">
        <v>43485</v>
      </c>
      <c r="C20042" t="s">
        <v>43486</v>
      </c>
      <c r="D20042" t="s">
        <v>20</v>
      </c>
      <c r="E20042" t="s">
        <v>39</v>
      </c>
      <c r="F20042">
        <v>0</v>
      </c>
      <c r="G20042">
        <v>0</v>
      </c>
      <c r="H20042">
        <v>2</v>
      </c>
      <c r="I20042" s="3">
        <v>2134.7199999999998</v>
      </c>
      <c r="J20042" s="3">
        <v>213.47</v>
      </c>
      <c r="L20042">
        <v>136</v>
      </c>
      <c r="M20042" t="s">
        <v>43487</v>
      </c>
      <c r="N20042" t="s">
        <v>4150</v>
      </c>
      <c r="O20042" t="s">
        <v>31</v>
      </c>
      <c r="P20042" t="str">
        <f>"15116"</f>
        <v>15116</v>
      </c>
    </row>
    <row r="20043" spans="1:16" x14ac:dyDescent="0.25">
      <c r="A20043" t="str">
        <f>"1290060C00266    00"</f>
        <v>1290060C00266    00</v>
      </c>
      <c r="B20043" t="s">
        <v>43488</v>
      </c>
      <c r="C20043" t="s">
        <v>43489</v>
      </c>
      <c r="D20043" t="s">
        <v>20</v>
      </c>
      <c r="E20043" t="s">
        <v>39</v>
      </c>
      <c r="F20043">
        <v>0</v>
      </c>
      <c r="G20043">
        <v>0</v>
      </c>
      <c r="H20043">
        <v>1</v>
      </c>
      <c r="I20043" s="3">
        <v>2104.2199999999998</v>
      </c>
      <c r="J20043" s="3">
        <v>0</v>
      </c>
      <c r="K20043" t="s">
        <v>8630</v>
      </c>
      <c r="M20043" t="s">
        <v>1439</v>
      </c>
      <c r="N20043" t="s">
        <v>1440</v>
      </c>
      <c r="O20043" t="s">
        <v>70</v>
      </c>
      <c r="P20043" t="str">
        <f>"48501"</f>
        <v>48501</v>
      </c>
    </row>
    <row r="20044" spans="1:16" x14ac:dyDescent="0.25">
      <c r="A20044" t="str">
        <f>"1290060C00272    00"</f>
        <v>1290060C00272    00</v>
      </c>
      <c r="B20044" t="s">
        <v>43490</v>
      </c>
      <c r="C20044" t="s">
        <v>43491</v>
      </c>
      <c r="D20044" t="s">
        <v>20</v>
      </c>
      <c r="E20044" t="s">
        <v>39</v>
      </c>
      <c r="F20044">
        <v>0</v>
      </c>
      <c r="G20044">
        <v>0</v>
      </c>
      <c r="H20044">
        <v>1</v>
      </c>
      <c r="I20044" s="3">
        <v>1334.2</v>
      </c>
      <c r="J20044" s="3">
        <v>0</v>
      </c>
      <c r="L20044">
        <v>112</v>
      </c>
      <c r="M20044" t="s">
        <v>43289</v>
      </c>
      <c r="N20044" t="s">
        <v>30</v>
      </c>
      <c r="O20044" t="s">
        <v>31</v>
      </c>
      <c r="P20044" t="str">
        <f>"15210"</f>
        <v>15210</v>
      </c>
    </row>
    <row r="20045" spans="1:16" x14ac:dyDescent="0.25">
      <c r="A20045" t="str">
        <f>"1290060C00274    00"</f>
        <v>1290060C00274    00</v>
      </c>
      <c r="B20045" t="s">
        <v>43492</v>
      </c>
      <c r="C20045" t="s">
        <v>43493</v>
      </c>
      <c r="D20045" t="s">
        <v>20</v>
      </c>
      <c r="E20045" t="s">
        <v>39</v>
      </c>
      <c r="F20045">
        <v>0</v>
      </c>
      <c r="G20045">
        <v>0</v>
      </c>
      <c r="H20045">
        <v>6</v>
      </c>
      <c r="I20045" s="3">
        <v>6729.85</v>
      </c>
      <c r="J20045" s="3">
        <v>1509.36</v>
      </c>
      <c r="L20045">
        <v>4826</v>
      </c>
      <c r="M20045" t="s">
        <v>43494</v>
      </c>
      <c r="N20045" t="s">
        <v>30</v>
      </c>
      <c r="O20045" t="s">
        <v>31</v>
      </c>
      <c r="P20045" t="str">
        <f>"15236"</f>
        <v>15236</v>
      </c>
    </row>
    <row r="20046" spans="1:16" x14ac:dyDescent="0.25">
      <c r="A20046" t="str">
        <f>"1290060C00279    00"</f>
        <v>1290060C00279    00</v>
      </c>
      <c r="B20046" t="s">
        <v>43495</v>
      </c>
      <c r="C20046" t="s">
        <v>43496</v>
      </c>
      <c r="D20046" t="s">
        <v>20</v>
      </c>
      <c r="E20046" t="s">
        <v>39</v>
      </c>
      <c r="F20046">
        <v>0</v>
      </c>
      <c r="G20046">
        <v>0</v>
      </c>
      <c r="H20046">
        <v>3</v>
      </c>
      <c r="I20046" s="3">
        <v>1262.01</v>
      </c>
      <c r="J20046" s="3">
        <v>141.4</v>
      </c>
      <c r="L20046">
        <v>130</v>
      </c>
      <c r="M20046" t="s">
        <v>43289</v>
      </c>
      <c r="N20046" t="s">
        <v>30</v>
      </c>
      <c r="O20046" t="s">
        <v>31</v>
      </c>
      <c r="P20046" t="str">
        <f>"15210"</f>
        <v>15210</v>
      </c>
    </row>
    <row r="20047" spans="1:16" x14ac:dyDescent="0.25">
      <c r="A20047" t="str">
        <f>"1290060C00293    00"</f>
        <v>1290060C00293    00</v>
      </c>
      <c r="B20047" t="s">
        <v>43497</v>
      </c>
      <c r="C20047" t="s">
        <v>43498</v>
      </c>
      <c r="E20047" t="s">
        <v>39</v>
      </c>
      <c r="F20047">
        <v>0</v>
      </c>
      <c r="G20047">
        <v>0</v>
      </c>
      <c r="H20047">
        <v>2</v>
      </c>
      <c r="I20047" s="3">
        <v>684.44</v>
      </c>
      <c r="J20047" s="3">
        <v>77.319999999999993</v>
      </c>
      <c r="L20047">
        <v>127</v>
      </c>
      <c r="M20047" t="s">
        <v>43289</v>
      </c>
      <c r="N20047" t="s">
        <v>30</v>
      </c>
      <c r="O20047" t="s">
        <v>31</v>
      </c>
      <c r="P20047" t="str">
        <f>"15210"</f>
        <v>15210</v>
      </c>
    </row>
    <row r="20048" spans="1:16" x14ac:dyDescent="0.25">
      <c r="A20048" t="str">
        <f>"1290060C00339    00"</f>
        <v>1290060C00339    00</v>
      </c>
      <c r="B20048" t="s">
        <v>43499</v>
      </c>
      <c r="C20048" t="s">
        <v>43500</v>
      </c>
      <c r="D20048" t="s">
        <v>20</v>
      </c>
      <c r="E20048" t="s">
        <v>39</v>
      </c>
      <c r="F20048">
        <v>0</v>
      </c>
      <c r="G20048">
        <v>0</v>
      </c>
      <c r="H20048">
        <v>2</v>
      </c>
      <c r="I20048" s="3">
        <v>30.5</v>
      </c>
      <c r="J20048" s="3">
        <v>0</v>
      </c>
      <c r="L20048">
        <v>130</v>
      </c>
      <c r="M20048" t="s">
        <v>43180</v>
      </c>
      <c r="N20048" t="s">
        <v>30</v>
      </c>
      <c r="O20048" t="s">
        <v>31</v>
      </c>
      <c r="P20048" t="str">
        <f>"15210"</f>
        <v>15210</v>
      </c>
    </row>
    <row r="20049" spans="1:16" x14ac:dyDescent="0.25">
      <c r="A20049" t="str">
        <f>"1290060C00359    00"</f>
        <v>1290060C00359    00</v>
      </c>
      <c r="B20049" t="s">
        <v>43501</v>
      </c>
      <c r="C20049" t="s">
        <v>43502</v>
      </c>
      <c r="E20049" t="s">
        <v>39</v>
      </c>
      <c r="F20049">
        <v>0</v>
      </c>
      <c r="G20049">
        <v>0</v>
      </c>
      <c r="H20049">
        <v>6</v>
      </c>
      <c r="I20049" s="3">
        <v>7891.68</v>
      </c>
      <c r="J20049" s="3">
        <v>8975.92</v>
      </c>
      <c r="K20049" t="s">
        <v>5861</v>
      </c>
      <c r="L20049">
        <v>3001</v>
      </c>
      <c r="M20049" t="s">
        <v>404</v>
      </c>
      <c r="N20049" t="s">
        <v>331</v>
      </c>
      <c r="O20049" t="s">
        <v>108</v>
      </c>
      <c r="P20049" t="str">
        <f>"75063"</f>
        <v>75063</v>
      </c>
    </row>
    <row r="20050" spans="1:16" x14ac:dyDescent="0.25">
      <c r="A20050" t="str">
        <f>"1290060C00365    00"</f>
        <v>1290060C00365    00</v>
      </c>
      <c r="B20050" t="s">
        <v>31219</v>
      </c>
      <c r="C20050" t="s">
        <v>43503</v>
      </c>
      <c r="D20050" t="s">
        <v>20</v>
      </c>
      <c r="E20050" t="s">
        <v>39</v>
      </c>
      <c r="F20050">
        <v>0</v>
      </c>
      <c r="G20050">
        <v>0</v>
      </c>
      <c r="H20050">
        <v>4</v>
      </c>
      <c r="I20050" s="3">
        <v>1701.16</v>
      </c>
      <c r="J20050" s="3">
        <v>200.95</v>
      </c>
      <c r="L20050">
        <v>344</v>
      </c>
      <c r="M20050" t="s">
        <v>9777</v>
      </c>
      <c r="N20050" t="s">
        <v>9778</v>
      </c>
      <c r="O20050" t="s">
        <v>423</v>
      </c>
      <c r="P20050" t="str">
        <f>"07302"</f>
        <v>07302</v>
      </c>
    </row>
    <row r="20051" spans="1:16" x14ac:dyDescent="0.25">
      <c r="A20051" t="str">
        <f>"1290060C00372    00"</f>
        <v>1290060C00372    00</v>
      </c>
      <c r="B20051" t="s">
        <v>43504</v>
      </c>
      <c r="C20051" t="s">
        <v>43505</v>
      </c>
      <c r="D20051" t="s">
        <v>20</v>
      </c>
      <c r="E20051" t="s">
        <v>39</v>
      </c>
      <c r="F20051">
        <v>0</v>
      </c>
      <c r="G20051">
        <v>0</v>
      </c>
      <c r="H20051">
        <v>2</v>
      </c>
      <c r="I20051" s="3">
        <v>611.35</v>
      </c>
      <c r="J20051" s="3">
        <v>20.77</v>
      </c>
      <c r="L20051">
        <v>130</v>
      </c>
      <c r="M20051" t="s">
        <v>43180</v>
      </c>
      <c r="N20051" t="s">
        <v>30</v>
      </c>
      <c r="O20051" t="s">
        <v>31</v>
      </c>
      <c r="P20051" t="str">
        <f>"15210"</f>
        <v>15210</v>
      </c>
    </row>
    <row r="20052" spans="1:16" x14ac:dyDescent="0.25">
      <c r="A20052" t="str">
        <f>"1290060C00377    00"</f>
        <v>1290060C00377    00</v>
      </c>
      <c r="B20052" t="s">
        <v>43506</v>
      </c>
      <c r="C20052" t="s">
        <v>43507</v>
      </c>
      <c r="D20052" t="s">
        <v>20</v>
      </c>
      <c r="E20052" t="s">
        <v>39</v>
      </c>
      <c r="F20052">
        <v>0</v>
      </c>
      <c r="G20052">
        <v>0</v>
      </c>
      <c r="H20052">
        <v>1</v>
      </c>
      <c r="I20052" s="3">
        <v>100</v>
      </c>
      <c r="J20052" s="3">
        <v>13.34</v>
      </c>
      <c r="L20052">
        <v>142</v>
      </c>
      <c r="M20052" t="s">
        <v>43180</v>
      </c>
      <c r="N20052" t="s">
        <v>30</v>
      </c>
      <c r="O20052" t="s">
        <v>31</v>
      </c>
      <c r="P20052" t="str">
        <f>"15210"</f>
        <v>15210</v>
      </c>
    </row>
    <row r="20053" spans="1:16" x14ac:dyDescent="0.25">
      <c r="A20053" t="str">
        <f>"1290060D00059    00"</f>
        <v>1290060D00059    00</v>
      </c>
      <c r="B20053" t="s">
        <v>43508</v>
      </c>
      <c r="C20053" t="s">
        <v>43509</v>
      </c>
      <c r="E20053" t="s">
        <v>39</v>
      </c>
      <c r="F20053">
        <v>0</v>
      </c>
      <c r="G20053">
        <v>0</v>
      </c>
      <c r="H20053">
        <v>1</v>
      </c>
      <c r="I20053" s="3">
        <v>771.94</v>
      </c>
      <c r="J20053" s="3">
        <v>0</v>
      </c>
      <c r="K20053" t="s">
        <v>43510</v>
      </c>
      <c r="L20053">
        <v>3125</v>
      </c>
      <c r="M20053" t="s">
        <v>30717</v>
      </c>
      <c r="N20053" t="s">
        <v>30</v>
      </c>
      <c r="O20053" t="s">
        <v>31</v>
      </c>
      <c r="P20053" t="str">
        <f>"15227"</f>
        <v>15227</v>
      </c>
    </row>
    <row r="20054" spans="1:16" x14ac:dyDescent="0.25">
      <c r="A20054" t="str">
        <f>"1290060D00063    00"</f>
        <v>1290060D00063    00</v>
      </c>
      <c r="B20054" t="s">
        <v>43511</v>
      </c>
      <c r="C20054" t="s">
        <v>43512</v>
      </c>
      <c r="D20054" t="s">
        <v>20</v>
      </c>
      <c r="E20054" t="s">
        <v>39</v>
      </c>
      <c r="F20054">
        <v>0</v>
      </c>
      <c r="G20054">
        <v>0</v>
      </c>
      <c r="H20054">
        <v>2</v>
      </c>
      <c r="I20054" s="3">
        <v>566.9</v>
      </c>
      <c r="J20054" s="3">
        <v>0</v>
      </c>
      <c r="K20054" t="s">
        <v>43513</v>
      </c>
      <c r="L20054">
        <v>203</v>
      </c>
      <c r="M20054" t="s">
        <v>43289</v>
      </c>
      <c r="N20054" t="s">
        <v>30</v>
      </c>
      <c r="O20054" t="s">
        <v>31</v>
      </c>
      <c r="P20054" t="str">
        <f>"15210"</f>
        <v>15210</v>
      </c>
    </row>
    <row r="20055" spans="1:16" x14ac:dyDescent="0.25">
      <c r="A20055" t="str">
        <f>"1290060D00067    00"</f>
        <v>1290060D00067    00</v>
      </c>
      <c r="B20055" t="s">
        <v>43514</v>
      </c>
      <c r="C20055" t="s">
        <v>43515</v>
      </c>
      <c r="D20055" t="s">
        <v>20</v>
      </c>
      <c r="E20055" t="s">
        <v>39</v>
      </c>
      <c r="F20055">
        <v>0</v>
      </c>
      <c r="G20055">
        <v>0</v>
      </c>
      <c r="H20055">
        <v>2</v>
      </c>
      <c r="I20055" s="3">
        <v>1982.24</v>
      </c>
      <c r="J20055" s="3">
        <v>0</v>
      </c>
      <c r="K20055" t="s">
        <v>43516</v>
      </c>
      <c r="L20055">
        <v>7215</v>
      </c>
      <c r="M20055" t="s">
        <v>34518</v>
      </c>
      <c r="N20055" t="s">
        <v>30</v>
      </c>
      <c r="O20055" t="s">
        <v>31</v>
      </c>
      <c r="P20055" t="str">
        <f>"15202"</f>
        <v>15202</v>
      </c>
    </row>
    <row r="20056" spans="1:16" x14ac:dyDescent="0.25">
      <c r="A20056" t="str">
        <f>"1290060D00070    00"</f>
        <v>1290060D00070    00</v>
      </c>
      <c r="B20056" t="s">
        <v>43517</v>
      </c>
      <c r="C20056" t="s">
        <v>43518</v>
      </c>
      <c r="E20056" t="s">
        <v>39</v>
      </c>
      <c r="F20056">
        <v>0</v>
      </c>
      <c r="G20056">
        <v>0</v>
      </c>
      <c r="H20056">
        <v>10</v>
      </c>
      <c r="I20056" s="3">
        <v>13577.49</v>
      </c>
      <c r="J20056" s="3">
        <v>17929.89</v>
      </c>
      <c r="K20056" t="s">
        <v>43519</v>
      </c>
      <c r="L20056">
        <v>714</v>
      </c>
      <c r="M20056" t="s">
        <v>1247</v>
      </c>
      <c r="N20056" t="s">
        <v>17932</v>
      </c>
      <c r="O20056" t="s">
        <v>31</v>
      </c>
      <c r="P20056" t="str">
        <f>"15140"</f>
        <v>15140</v>
      </c>
    </row>
    <row r="20057" spans="1:16" x14ac:dyDescent="0.25">
      <c r="A20057" t="str">
        <f>"1290060D00072    00"</f>
        <v>1290060D00072    00</v>
      </c>
      <c r="B20057" t="s">
        <v>43520</v>
      </c>
      <c r="C20057" t="s">
        <v>43521</v>
      </c>
      <c r="E20057" t="s">
        <v>39</v>
      </c>
      <c r="F20057">
        <v>0</v>
      </c>
      <c r="G20057">
        <v>0</v>
      </c>
      <c r="H20057">
        <v>2</v>
      </c>
      <c r="I20057" s="3">
        <v>663.28</v>
      </c>
      <c r="J20057" s="3">
        <v>8.3000000000000007</v>
      </c>
      <c r="K20057" t="s">
        <v>43522</v>
      </c>
      <c r="L20057">
        <v>1450</v>
      </c>
      <c r="M20057" t="s">
        <v>43523</v>
      </c>
      <c r="N20057" t="s">
        <v>4652</v>
      </c>
      <c r="O20057" t="s">
        <v>370</v>
      </c>
      <c r="P20057" t="str">
        <f>"33146"</f>
        <v>33146</v>
      </c>
    </row>
    <row r="20058" spans="1:16" x14ac:dyDescent="0.25">
      <c r="A20058" t="str">
        <f>"1290060D00074    00"</f>
        <v>1290060D00074    00</v>
      </c>
      <c r="B20058" t="s">
        <v>27190</v>
      </c>
      <c r="C20058" t="s">
        <v>43524</v>
      </c>
      <c r="D20058" t="s">
        <v>20</v>
      </c>
      <c r="E20058" t="s">
        <v>39</v>
      </c>
      <c r="F20058">
        <v>0</v>
      </c>
      <c r="G20058">
        <v>0</v>
      </c>
      <c r="H20058">
        <v>2</v>
      </c>
      <c r="I20058" s="3">
        <v>3274.52</v>
      </c>
      <c r="J20058" s="3">
        <v>0</v>
      </c>
      <c r="L20058">
        <v>415</v>
      </c>
      <c r="M20058" t="s">
        <v>22783</v>
      </c>
      <c r="N20058" t="s">
        <v>30</v>
      </c>
      <c r="O20058" t="s">
        <v>31</v>
      </c>
      <c r="P20058" t="str">
        <f>"15211"</f>
        <v>15211</v>
      </c>
    </row>
    <row r="20059" spans="1:16" x14ac:dyDescent="0.25">
      <c r="A20059" t="str">
        <f>"1290060D00090    00"</f>
        <v>1290060D00090    00</v>
      </c>
      <c r="B20059" t="s">
        <v>43525</v>
      </c>
      <c r="C20059" t="s">
        <v>43526</v>
      </c>
      <c r="D20059" t="s">
        <v>33</v>
      </c>
      <c r="E20059" t="s">
        <v>39</v>
      </c>
      <c r="F20059">
        <v>0</v>
      </c>
      <c r="G20059">
        <v>0</v>
      </c>
      <c r="H20059">
        <v>3</v>
      </c>
      <c r="I20059" s="3">
        <v>1247.21</v>
      </c>
      <c r="J20059" s="3">
        <v>25.96</v>
      </c>
      <c r="K20059" t="s">
        <v>43527</v>
      </c>
      <c r="L20059">
        <v>645</v>
      </c>
      <c r="M20059" t="s">
        <v>43528</v>
      </c>
      <c r="N20059" t="s">
        <v>43529</v>
      </c>
      <c r="O20059" t="s">
        <v>370</v>
      </c>
      <c r="P20059" t="str">
        <f>"33009"</f>
        <v>33009</v>
      </c>
    </row>
    <row r="20060" spans="1:16" x14ac:dyDescent="0.25">
      <c r="A20060" t="str">
        <f>"1290060D00094    00"</f>
        <v>1290060D00094    00</v>
      </c>
      <c r="B20060" t="s">
        <v>3482</v>
      </c>
      <c r="C20060" t="s">
        <v>43530</v>
      </c>
      <c r="D20060" t="s">
        <v>20</v>
      </c>
      <c r="E20060" t="s">
        <v>39</v>
      </c>
      <c r="F20060">
        <v>0</v>
      </c>
      <c r="G20060">
        <v>0</v>
      </c>
      <c r="H20060">
        <v>18</v>
      </c>
      <c r="I20060" s="3">
        <v>5915.19</v>
      </c>
      <c r="J20060" s="3">
        <v>5385.27</v>
      </c>
      <c r="K20060" t="s">
        <v>3483</v>
      </c>
      <c r="L20060">
        <v>242</v>
      </c>
      <c r="M20060" t="s">
        <v>3484</v>
      </c>
      <c r="N20060" t="s">
        <v>3485</v>
      </c>
      <c r="O20060" t="s">
        <v>3486</v>
      </c>
      <c r="P20060" t="str">
        <f>"60126"</f>
        <v>60126</v>
      </c>
    </row>
    <row r="20061" spans="1:16" x14ac:dyDescent="0.25">
      <c r="A20061" t="str">
        <f>"1290060D00105    00"</f>
        <v>1290060D00105    00</v>
      </c>
      <c r="B20061" t="s">
        <v>43531</v>
      </c>
      <c r="C20061" t="s">
        <v>43532</v>
      </c>
      <c r="D20061" t="s">
        <v>20</v>
      </c>
      <c r="E20061" t="s">
        <v>39</v>
      </c>
      <c r="F20061">
        <v>0</v>
      </c>
      <c r="G20061">
        <v>0</v>
      </c>
      <c r="H20061">
        <v>15</v>
      </c>
      <c r="I20061" s="3">
        <v>13757.48</v>
      </c>
      <c r="J20061" s="3">
        <v>9400.24</v>
      </c>
      <c r="L20061">
        <v>316</v>
      </c>
      <c r="M20061" t="s">
        <v>43289</v>
      </c>
      <c r="N20061" t="s">
        <v>30</v>
      </c>
      <c r="O20061" t="s">
        <v>31</v>
      </c>
      <c r="P20061" t="str">
        <f>"15210"</f>
        <v>15210</v>
      </c>
    </row>
    <row r="20062" spans="1:16" x14ac:dyDescent="0.25">
      <c r="A20062" t="str">
        <f>"1290060D00106    00"</f>
        <v>1290060D00106    00</v>
      </c>
      <c r="B20062" t="s">
        <v>43533</v>
      </c>
      <c r="C20062" t="s">
        <v>43534</v>
      </c>
      <c r="D20062" t="s">
        <v>20</v>
      </c>
      <c r="E20062" t="s">
        <v>39</v>
      </c>
      <c r="F20062">
        <v>0</v>
      </c>
      <c r="G20062">
        <v>0</v>
      </c>
      <c r="H20062">
        <v>5</v>
      </c>
      <c r="I20062" s="3">
        <v>2173.19</v>
      </c>
      <c r="J20062" s="3">
        <v>334.14</v>
      </c>
      <c r="K20062" t="s">
        <v>43535</v>
      </c>
      <c r="M20062" t="s">
        <v>31092</v>
      </c>
      <c r="N20062" t="s">
        <v>30</v>
      </c>
      <c r="O20062" t="s">
        <v>31</v>
      </c>
      <c r="P20062" t="str">
        <f>"15210"</f>
        <v>15210</v>
      </c>
    </row>
    <row r="20063" spans="1:16" x14ac:dyDescent="0.25">
      <c r="A20063" t="str">
        <f>"1290060D00110    00"</f>
        <v>1290060D00110    00</v>
      </c>
      <c r="B20063" t="s">
        <v>27190</v>
      </c>
      <c r="C20063" t="s">
        <v>43536</v>
      </c>
      <c r="D20063" t="s">
        <v>20</v>
      </c>
      <c r="E20063" t="s">
        <v>39</v>
      </c>
      <c r="F20063">
        <v>0</v>
      </c>
      <c r="G20063">
        <v>0</v>
      </c>
      <c r="H20063">
        <v>3</v>
      </c>
      <c r="I20063" s="3">
        <v>2001.3</v>
      </c>
      <c r="J20063" s="3">
        <v>133.41999999999999</v>
      </c>
      <c r="L20063">
        <v>415</v>
      </c>
      <c r="M20063" t="s">
        <v>22783</v>
      </c>
      <c r="N20063" t="s">
        <v>30</v>
      </c>
      <c r="O20063" t="s">
        <v>31</v>
      </c>
      <c r="P20063" t="str">
        <f>"15211"</f>
        <v>15211</v>
      </c>
    </row>
    <row r="20064" spans="1:16" x14ac:dyDescent="0.25">
      <c r="A20064" t="str">
        <f>"1290060D00201    00"</f>
        <v>1290060D00201    00</v>
      </c>
      <c r="B20064" t="s">
        <v>43537</v>
      </c>
      <c r="C20064" t="s">
        <v>43538</v>
      </c>
      <c r="D20064" t="s">
        <v>20</v>
      </c>
      <c r="E20064" t="s">
        <v>39</v>
      </c>
      <c r="F20064">
        <v>0</v>
      </c>
      <c r="G20064">
        <v>0</v>
      </c>
      <c r="H20064">
        <v>1</v>
      </c>
      <c r="I20064" s="3">
        <v>629.45000000000005</v>
      </c>
      <c r="J20064" s="3">
        <v>0</v>
      </c>
      <c r="K20064" t="s">
        <v>43539</v>
      </c>
      <c r="L20064">
        <v>333</v>
      </c>
      <c r="M20064" t="s">
        <v>24747</v>
      </c>
      <c r="N20064" t="s">
        <v>30</v>
      </c>
      <c r="O20064" t="s">
        <v>31</v>
      </c>
      <c r="P20064" t="str">
        <f>"15210"</f>
        <v>15210</v>
      </c>
    </row>
    <row r="20065" spans="1:16" x14ac:dyDescent="0.25">
      <c r="A20065" t="str">
        <f>"1290060D00206    00"</f>
        <v>1290060D00206    00</v>
      </c>
      <c r="B20065" t="s">
        <v>43540</v>
      </c>
      <c r="C20065" t="s">
        <v>43541</v>
      </c>
      <c r="D20065" t="s">
        <v>20</v>
      </c>
      <c r="E20065" t="s">
        <v>39</v>
      </c>
      <c r="F20065">
        <v>0</v>
      </c>
      <c r="G20065">
        <v>0</v>
      </c>
      <c r="H20065">
        <v>4</v>
      </c>
      <c r="I20065" s="3">
        <v>6115</v>
      </c>
      <c r="J20065" s="3">
        <v>638.24</v>
      </c>
      <c r="L20065">
        <v>327</v>
      </c>
      <c r="M20065" t="s">
        <v>24747</v>
      </c>
      <c r="N20065" t="s">
        <v>30</v>
      </c>
      <c r="O20065" t="s">
        <v>31</v>
      </c>
      <c r="P20065" t="str">
        <f>"15210"</f>
        <v>15210</v>
      </c>
    </row>
    <row r="20066" spans="1:16" x14ac:dyDescent="0.25">
      <c r="A20066" t="str">
        <f>"1290060D00226    00"</f>
        <v>1290060D00226    00</v>
      </c>
      <c r="B20066" t="s">
        <v>29347</v>
      </c>
      <c r="C20066" t="s">
        <v>43542</v>
      </c>
      <c r="E20066" t="s">
        <v>39</v>
      </c>
      <c r="F20066">
        <v>0</v>
      </c>
      <c r="G20066">
        <v>0</v>
      </c>
      <c r="H20066">
        <v>12</v>
      </c>
      <c r="I20066" s="3">
        <v>19891.900000000001</v>
      </c>
      <c r="J20066" s="3">
        <v>23607.66</v>
      </c>
      <c r="K20066" t="s">
        <v>29349</v>
      </c>
      <c r="L20066">
        <v>4101</v>
      </c>
      <c r="M20066" t="s">
        <v>339</v>
      </c>
      <c r="N20066" t="s">
        <v>30</v>
      </c>
      <c r="O20066" t="s">
        <v>31</v>
      </c>
      <c r="P20066" t="str">
        <f>"15227"</f>
        <v>15227</v>
      </c>
    </row>
    <row r="20067" spans="1:16" x14ac:dyDescent="0.25">
      <c r="A20067" t="str">
        <f>"1290060D00235    00"</f>
        <v>1290060D00235    00</v>
      </c>
      <c r="B20067" t="s">
        <v>43543</v>
      </c>
      <c r="C20067" t="s">
        <v>43299</v>
      </c>
      <c r="D20067" t="s">
        <v>20</v>
      </c>
      <c r="E20067" t="s">
        <v>39</v>
      </c>
      <c r="F20067">
        <v>0</v>
      </c>
      <c r="G20067">
        <v>0</v>
      </c>
      <c r="H20067">
        <v>15</v>
      </c>
      <c r="I20067" s="3">
        <v>6612.27</v>
      </c>
      <c r="J20067" s="3">
        <v>6031.49</v>
      </c>
      <c r="L20067">
        <v>227</v>
      </c>
      <c r="M20067" t="s">
        <v>43544</v>
      </c>
      <c r="N20067" t="s">
        <v>30</v>
      </c>
      <c r="O20067" t="s">
        <v>31</v>
      </c>
      <c r="P20067" t="str">
        <f>"15227"</f>
        <v>15227</v>
      </c>
    </row>
    <row r="20068" spans="1:16" x14ac:dyDescent="0.25">
      <c r="A20068" t="str">
        <f>"1290060D00245    00"</f>
        <v>1290060D00245    00</v>
      </c>
      <c r="B20068" t="s">
        <v>20674</v>
      </c>
      <c r="C20068" t="s">
        <v>43545</v>
      </c>
      <c r="D20068" t="s">
        <v>20</v>
      </c>
      <c r="E20068" t="s">
        <v>39</v>
      </c>
      <c r="F20068">
        <v>0</v>
      </c>
      <c r="G20068">
        <v>0</v>
      </c>
      <c r="H20068">
        <v>2</v>
      </c>
      <c r="I20068" s="3">
        <v>1837.42</v>
      </c>
      <c r="J20068" s="3">
        <v>0</v>
      </c>
      <c r="L20068">
        <v>4314</v>
      </c>
      <c r="M20068" t="s">
        <v>20677</v>
      </c>
      <c r="N20068" t="s">
        <v>30</v>
      </c>
      <c r="O20068" t="s">
        <v>31</v>
      </c>
      <c r="P20068" t="str">
        <f>"15207"</f>
        <v>15207</v>
      </c>
    </row>
    <row r="20069" spans="1:16" x14ac:dyDescent="0.25">
      <c r="A20069" t="str">
        <f>"1290060D00249    00"</f>
        <v>1290060D00249    00</v>
      </c>
      <c r="B20069" t="s">
        <v>43546</v>
      </c>
      <c r="C20069" t="s">
        <v>43547</v>
      </c>
      <c r="E20069" t="s">
        <v>39</v>
      </c>
      <c r="F20069">
        <v>0</v>
      </c>
      <c r="G20069">
        <v>0</v>
      </c>
      <c r="H20069">
        <v>1</v>
      </c>
      <c r="I20069" s="3">
        <v>800.18</v>
      </c>
      <c r="J20069" s="3">
        <v>160.03</v>
      </c>
      <c r="L20069">
        <v>136</v>
      </c>
      <c r="M20069" t="s">
        <v>24747</v>
      </c>
      <c r="N20069" t="s">
        <v>30</v>
      </c>
      <c r="O20069" t="s">
        <v>31</v>
      </c>
      <c r="P20069" t="str">
        <f>"15210"</f>
        <v>15210</v>
      </c>
    </row>
    <row r="20070" spans="1:16" x14ac:dyDescent="0.25">
      <c r="A20070" t="str">
        <f>"1290060D00257    00"</f>
        <v>1290060D00257    00</v>
      </c>
      <c r="B20070" t="s">
        <v>43548</v>
      </c>
      <c r="C20070" t="s">
        <v>43549</v>
      </c>
      <c r="D20070" t="s">
        <v>20</v>
      </c>
      <c r="E20070" t="s">
        <v>39</v>
      </c>
      <c r="F20070">
        <v>0</v>
      </c>
      <c r="G20070">
        <v>0</v>
      </c>
      <c r="H20070">
        <v>3</v>
      </c>
      <c r="I20070" s="3">
        <v>1549.2</v>
      </c>
      <c r="J20070" s="3">
        <v>96.96</v>
      </c>
      <c r="L20070">
        <v>208</v>
      </c>
      <c r="M20070" t="s">
        <v>24747</v>
      </c>
      <c r="N20070" t="s">
        <v>30</v>
      </c>
      <c r="O20070" t="s">
        <v>31</v>
      </c>
      <c r="P20070" t="str">
        <f>"15210"</f>
        <v>15210</v>
      </c>
    </row>
    <row r="20071" spans="1:16" x14ac:dyDescent="0.25">
      <c r="A20071" t="str">
        <f>"1290060D00261    00"</f>
        <v>1290060D00261    00</v>
      </c>
      <c r="B20071" t="s">
        <v>43550</v>
      </c>
      <c r="C20071" t="s">
        <v>43551</v>
      </c>
      <c r="D20071" t="s">
        <v>20</v>
      </c>
      <c r="E20071" t="s">
        <v>39</v>
      </c>
      <c r="F20071">
        <v>0</v>
      </c>
      <c r="G20071">
        <v>0</v>
      </c>
      <c r="H20071">
        <v>7</v>
      </c>
      <c r="I20071" s="3">
        <v>7699.62</v>
      </c>
      <c r="J20071" s="3">
        <v>2129.1799999999998</v>
      </c>
      <c r="L20071">
        <v>7311</v>
      </c>
      <c r="M20071" t="s">
        <v>12395</v>
      </c>
      <c r="N20071" t="s">
        <v>30</v>
      </c>
      <c r="O20071" t="s">
        <v>31</v>
      </c>
      <c r="P20071" t="str">
        <f>"15208"</f>
        <v>15208</v>
      </c>
    </row>
    <row r="20072" spans="1:16" x14ac:dyDescent="0.25">
      <c r="A20072" t="str">
        <f>"1290060D00269    00"</f>
        <v>1290060D00269    00</v>
      </c>
      <c r="B20072" t="s">
        <v>43552</v>
      </c>
      <c r="C20072" t="s">
        <v>43553</v>
      </c>
      <c r="D20072" t="s">
        <v>20</v>
      </c>
      <c r="E20072" t="s">
        <v>39</v>
      </c>
      <c r="F20072">
        <v>0</v>
      </c>
      <c r="G20072">
        <v>0</v>
      </c>
      <c r="H20072">
        <v>2</v>
      </c>
      <c r="I20072" s="3">
        <v>1311.93</v>
      </c>
      <c r="J20072" s="3">
        <v>0</v>
      </c>
      <c r="L20072">
        <v>232</v>
      </c>
      <c r="M20072" t="s">
        <v>24747</v>
      </c>
      <c r="N20072" t="s">
        <v>30</v>
      </c>
      <c r="O20072" t="s">
        <v>31</v>
      </c>
      <c r="P20072" t="str">
        <f>"15210"</f>
        <v>15210</v>
      </c>
    </row>
    <row r="20073" spans="1:16" x14ac:dyDescent="0.25">
      <c r="A20073" t="str">
        <f>"1290060D00319    00"</f>
        <v>1290060D00319    00</v>
      </c>
      <c r="B20073" t="s">
        <v>43554</v>
      </c>
      <c r="C20073" t="s">
        <v>43555</v>
      </c>
      <c r="D20073" t="s">
        <v>20</v>
      </c>
      <c r="E20073" t="s">
        <v>39</v>
      </c>
      <c r="F20073">
        <v>0</v>
      </c>
      <c r="G20073">
        <v>0</v>
      </c>
      <c r="H20073">
        <v>2</v>
      </c>
      <c r="I20073" s="3">
        <v>2298.66</v>
      </c>
      <c r="J20073" s="3">
        <v>0</v>
      </c>
      <c r="L20073">
        <v>1503</v>
      </c>
      <c r="M20073" t="s">
        <v>23831</v>
      </c>
      <c r="N20073" t="s">
        <v>30</v>
      </c>
      <c r="O20073" t="s">
        <v>31</v>
      </c>
      <c r="P20073" t="str">
        <f>"15210"</f>
        <v>15210</v>
      </c>
    </row>
    <row r="20074" spans="1:16" x14ac:dyDescent="0.25">
      <c r="A20074" t="str">
        <f>"1290060D00400    00"</f>
        <v>1290060D00400    00</v>
      </c>
      <c r="B20074" t="s">
        <v>27190</v>
      </c>
      <c r="C20074" t="s">
        <v>43556</v>
      </c>
      <c r="D20074" t="s">
        <v>20</v>
      </c>
      <c r="E20074" t="s">
        <v>39</v>
      </c>
      <c r="F20074">
        <v>0</v>
      </c>
      <c r="G20074">
        <v>0</v>
      </c>
      <c r="H20074">
        <v>3</v>
      </c>
      <c r="I20074" s="3">
        <v>3475.84</v>
      </c>
      <c r="J20074" s="3">
        <v>13.5</v>
      </c>
      <c r="L20074">
        <v>415</v>
      </c>
      <c r="M20074" t="s">
        <v>22783</v>
      </c>
      <c r="N20074" t="s">
        <v>30</v>
      </c>
      <c r="O20074" t="s">
        <v>31</v>
      </c>
      <c r="P20074" t="str">
        <f>"15211"</f>
        <v>15211</v>
      </c>
    </row>
    <row r="20075" spans="1:16" x14ac:dyDescent="0.25">
      <c r="A20075" t="str">
        <f>"1290060E00059    00"</f>
        <v>1290060E00059    00</v>
      </c>
      <c r="B20075" t="s">
        <v>43557</v>
      </c>
      <c r="C20075" t="s">
        <v>43558</v>
      </c>
      <c r="D20075" t="s">
        <v>20</v>
      </c>
      <c r="E20075" t="s">
        <v>39</v>
      </c>
      <c r="F20075">
        <v>0</v>
      </c>
      <c r="G20075">
        <v>0</v>
      </c>
      <c r="H20075">
        <v>19</v>
      </c>
      <c r="I20075" s="3">
        <v>589.45000000000005</v>
      </c>
      <c r="J20075" s="3">
        <v>648.91999999999996</v>
      </c>
      <c r="K20075" t="s">
        <v>43559</v>
      </c>
      <c r="L20075">
        <v>619</v>
      </c>
      <c r="M20075" t="s">
        <v>3123</v>
      </c>
      <c r="N20075" t="s">
        <v>30</v>
      </c>
      <c r="O20075" t="s">
        <v>31</v>
      </c>
      <c r="P20075" t="str">
        <f>"15210"</f>
        <v>15210</v>
      </c>
    </row>
    <row r="20076" spans="1:16" x14ac:dyDescent="0.25">
      <c r="A20076" t="str">
        <f>"1290060E00061    00"</f>
        <v>1290060E00061    00</v>
      </c>
      <c r="B20076" t="s">
        <v>43560</v>
      </c>
      <c r="C20076" t="s">
        <v>43561</v>
      </c>
      <c r="D20076" t="s">
        <v>20</v>
      </c>
      <c r="E20076" t="s">
        <v>39</v>
      </c>
      <c r="F20076">
        <v>0</v>
      </c>
      <c r="G20076">
        <v>0</v>
      </c>
      <c r="H20076">
        <v>4</v>
      </c>
      <c r="I20076" s="3">
        <v>352.18</v>
      </c>
      <c r="J20076" s="3">
        <v>55.82</v>
      </c>
      <c r="L20076">
        <v>1401</v>
      </c>
      <c r="M20076" t="s">
        <v>43562</v>
      </c>
      <c r="N20076" t="s">
        <v>30</v>
      </c>
      <c r="O20076" t="s">
        <v>31</v>
      </c>
      <c r="P20076" t="str">
        <f>"15210"</f>
        <v>15210</v>
      </c>
    </row>
    <row r="20077" spans="1:16" x14ac:dyDescent="0.25">
      <c r="A20077" t="str">
        <f>"1290060E00081    00"</f>
        <v>1290060E00081    00</v>
      </c>
      <c r="B20077" t="s">
        <v>43563</v>
      </c>
      <c r="C20077" t="s">
        <v>43564</v>
      </c>
      <c r="D20077" t="s">
        <v>20</v>
      </c>
      <c r="E20077" t="s">
        <v>39</v>
      </c>
      <c r="F20077">
        <v>0</v>
      </c>
      <c r="G20077">
        <v>0</v>
      </c>
      <c r="H20077">
        <v>8</v>
      </c>
      <c r="I20077" s="3">
        <v>414.83</v>
      </c>
      <c r="J20077" s="3">
        <v>137.07</v>
      </c>
      <c r="L20077">
        <v>1508</v>
      </c>
      <c r="M20077" t="s">
        <v>1451</v>
      </c>
      <c r="N20077" t="s">
        <v>38782</v>
      </c>
      <c r="O20077" t="s">
        <v>31</v>
      </c>
      <c r="P20077" t="str">
        <f>"15021"</f>
        <v>15021</v>
      </c>
    </row>
    <row r="20078" spans="1:16" x14ac:dyDescent="0.25">
      <c r="A20078" t="str">
        <f>"1290060E00082    00"</f>
        <v>1290060E00082    00</v>
      </c>
      <c r="B20078" t="s">
        <v>43563</v>
      </c>
      <c r="C20078" t="s">
        <v>43564</v>
      </c>
      <c r="D20078" t="s">
        <v>20</v>
      </c>
      <c r="E20078" t="s">
        <v>39</v>
      </c>
      <c r="F20078">
        <v>0</v>
      </c>
      <c r="G20078">
        <v>0</v>
      </c>
      <c r="H20078">
        <v>17</v>
      </c>
      <c r="I20078" s="3">
        <v>15551.31</v>
      </c>
      <c r="J20078" s="3">
        <v>14113.71</v>
      </c>
      <c r="L20078">
        <v>1508</v>
      </c>
      <c r="M20078" t="s">
        <v>1451</v>
      </c>
      <c r="N20078" t="s">
        <v>38782</v>
      </c>
      <c r="O20078" t="s">
        <v>31</v>
      </c>
      <c r="P20078" t="str">
        <f>"15021"</f>
        <v>15021</v>
      </c>
    </row>
    <row r="20079" spans="1:16" x14ac:dyDescent="0.25">
      <c r="A20079" t="str">
        <f>"1290060E00084    00"</f>
        <v>1290060E00084    00</v>
      </c>
      <c r="B20079" t="s">
        <v>43563</v>
      </c>
      <c r="C20079" t="s">
        <v>43564</v>
      </c>
      <c r="D20079" t="s">
        <v>20</v>
      </c>
      <c r="E20079" t="s">
        <v>39</v>
      </c>
      <c r="F20079">
        <v>0</v>
      </c>
      <c r="G20079">
        <v>0</v>
      </c>
      <c r="H20079">
        <v>8</v>
      </c>
      <c r="I20079" s="3">
        <v>607.5</v>
      </c>
      <c r="J20079" s="3">
        <v>200.76</v>
      </c>
      <c r="L20079">
        <v>1508</v>
      </c>
      <c r="M20079" t="s">
        <v>1451</v>
      </c>
      <c r="N20079" t="s">
        <v>38782</v>
      </c>
      <c r="O20079" t="s">
        <v>31</v>
      </c>
      <c r="P20079" t="str">
        <f>"15021"</f>
        <v>15021</v>
      </c>
    </row>
    <row r="20080" spans="1:16" x14ac:dyDescent="0.25">
      <c r="A20080" t="str">
        <f>"1290060E00108    00"</f>
        <v>1290060E00108    00</v>
      </c>
      <c r="B20080" t="s">
        <v>43565</v>
      </c>
      <c r="C20080" t="s">
        <v>43566</v>
      </c>
      <c r="D20080" t="s">
        <v>20</v>
      </c>
      <c r="E20080" t="s">
        <v>39</v>
      </c>
      <c r="F20080">
        <v>0</v>
      </c>
      <c r="G20080">
        <v>0</v>
      </c>
      <c r="H20080">
        <v>15</v>
      </c>
      <c r="I20080" s="3">
        <v>8303.2800000000007</v>
      </c>
      <c r="J20080" s="3">
        <v>6139.44</v>
      </c>
      <c r="L20080">
        <v>1400</v>
      </c>
      <c r="M20080" t="s">
        <v>23704</v>
      </c>
      <c r="N20080" t="s">
        <v>30</v>
      </c>
      <c r="O20080" t="s">
        <v>31</v>
      </c>
      <c r="P20080" t="str">
        <f>"15210"</f>
        <v>15210</v>
      </c>
    </row>
    <row r="20081" spans="1:16" x14ac:dyDescent="0.25">
      <c r="A20081" t="str">
        <f>"1290060E00111    00"</f>
        <v>1290060E00111    00</v>
      </c>
      <c r="B20081" t="s">
        <v>43567</v>
      </c>
      <c r="C20081" t="s">
        <v>43386</v>
      </c>
      <c r="D20081" t="s">
        <v>20</v>
      </c>
      <c r="E20081" t="s">
        <v>39</v>
      </c>
      <c r="F20081">
        <v>0</v>
      </c>
      <c r="G20081">
        <v>0</v>
      </c>
      <c r="H20081">
        <v>4</v>
      </c>
      <c r="I20081" s="3">
        <v>233.81</v>
      </c>
      <c r="J20081" s="3">
        <v>83.96</v>
      </c>
      <c r="L20081">
        <v>15</v>
      </c>
      <c r="M20081" t="s">
        <v>43568</v>
      </c>
      <c r="N20081" t="s">
        <v>22225</v>
      </c>
      <c r="O20081" t="s">
        <v>31</v>
      </c>
      <c r="P20081" t="str">
        <f>"15332"</f>
        <v>15332</v>
      </c>
    </row>
    <row r="20082" spans="1:16" x14ac:dyDescent="0.25">
      <c r="A20082" t="str">
        <f>"1290060E00112    00"</f>
        <v>1290060E00112    00</v>
      </c>
      <c r="B20082" t="s">
        <v>43567</v>
      </c>
      <c r="C20082" t="s">
        <v>43386</v>
      </c>
      <c r="D20082" t="s">
        <v>20</v>
      </c>
      <c r="E20082" t="s">
        <v>39</v>
      </c>
      <c r="F20082">
        <v>0</v>
      </c>
      <c r="G20082">
        <v>0</v>
      </c>
      <c r="H20082">
        <v>4</v>
      </c>
      <c r="I20082" s="3">
        <v>199.59</v>
      </c>
      <c r="J20082" s="3">
        <v>71.67</v>
      </c>
      <c r="L20082">
        <v>15</v>
      </c>
      <c r="M20082" t="s">
        <v>43568</v>
      </c>
      <c r="N20082" t="s">
        <v>22225</v>
      </c>
      <c r="O20082" t="s">
        <v>31</v>
      </c>
      <c r="P20082" t="str">
        <f>"15332"</f>
        <v>15332</v>
      </c>
    </row>
    <row r="20083" spans="1:16" x14ac:dyDescent="0.25">
      <c r="A20083" t="str">
        <f>"1290060E00113    00"</f>
        <v>1290060E00113    00</v>
      </c>
      <c r="B20083" t="s">
        <v>43567</v>
      </c>
      <c r="C20083" t="s">
        <v>43386</v>
      </c>
      <c r="D20083" t="s">
        <v>20</v>
      </c>
      <c r="E20083" t="s">
        <v>39</v>
      </c>
      <c r="F20083">
        <v>0</v>
      </c>
      <c r="G20083">
        <v>0</v>
      </c>
      <c r="H20083">
        <v>4</v>
      </c>
      <c r="I20083" s="3">
        <v>91.24</v>
      </c>
      <c r="J20083" s="3">
        <v>32.76</v>
      </c>
      <c r="L20083">
        <v>15</v>
      </c>
      <c r="M20083" t="s">
        <v>43568</v>
      </c>
      <c r="N20083" t="s">
        <v>22225</v>
      </c>
      <c r="O20083" t="s">
        <v>31</v>
      </c>
      <c r="P20083" t="str">
        <f>"15332"</f>
        <v>15332</v>
      </c>
    </row>
    <row r="20084" spans="1:16" x14ac:dyDescent="0.25">
      <c r="A20084" t="str">
        <f>"1290060E00115    00"</f>
        <v>1290060E00115    00</v>
      </c>
      <c r="B20084" t="s">
        <v>43569</v>
      </c>
      <c r="C20084" t="s">
        <v>43570</v>
      </c>
      <c r="D20084" t="s">
        <v>20</v>
      </c>
      <c r="E20084" t="s">
        <v>39</v>
      </c>
      <c r="F20084">
        <v>0</v>
      </c>
      <c r="G20084">
        <v>0</v>
      </c>
      <c r="H20084">
        <v>7</v>
      </c>
      <c r="I20084" s="3">
        <v>4130.29</v>
      </c>
      <c r="J20084" s="3">
        <v>28.13</v>
      </c>
      <c r="L20084">
        <v>1408</v>
      </c>
      <c r="M20084" t="s">
        <v>23704</v>
      </c>
      <c r="N20084" t="s">
        <v>30</v>
      </c>
      <c r="O20084" t="s">
        <v>31</v>
      </c>
      <c r="P20084" t="str">
        <f>"15210"</f>
        <v>15210</v>
      </c>
    </row>
    <row r="20085" spans="1:16" x14ac:dyDescent="0.25">
      <c r="A20085" t="str">
        <f>"1290060E00193    00"</f>
        <v>1290060E00193    00</v>
      </c>
      <c r="B20085" t="s">
        <v>43571</v>
      </c>
      <c r="C20085" t="s">
        <v>43572</v>
      </c>
      <c r="D20085" t="s">
        <v>20</v>
      </c>
      <c r="E20085" t="s">
        <v>39</v>
      </c>
      <c r="F20085">
        <v>0</v>
      </c>
      <c r="G20085">
        <v>0</v>
      </c>
      <c r="H20085">
        <v>2</v>
      </c>
      <c r="I20085" s="3">
        <v>1498.14</v>
      </c>
      <c r="J20085" s="3">
        <v>0</v>
      </c>
      <c r="L20085">
        <v>130</v>
      </c>
      <c r="M20085" t="s">
        <v>22815</v>
      </c>
      <c r="N20085" t="s">
        <v>30</v>
      </c>
      <c r="O20085" t="s">
        <v>31</v>
      </c>
      <c r="P20085" t="str">
        <f>"15227"</f>
        <v>15227</v>
      </c>
    </row>
    <row r="20086" spans="1:16" x14ac:dyDescent="0.25">
      <c r="A20086" t="str">
        <f>"1290060E00195    00"</f>
        <v>1290060E00195    00</v>
      </c>
      <c r="B20086" t="s">
        <v>43573</v>
      </c>
      <c r="C20086" t="s">
        <v>43574</v>
      </c>
      <c r="D20086" t="s">
        <v>20</v>
      </c>
      <c r="E20086" t="s">
        <v>39</v>
      </c>
      <c r="F20086">
        <v>0</v>
      </c>
      <c r="G20086">
        <v>0</v>
      </c>
      <c r="H20086">
        <v>3</v>
      </c>
      <c r="I20086" s="3">
        <v>2258.64</v>
      </c>
      <c r="J20086" s="3">
        <v>150.57</v>
      </c>
      <c r="K20086" t="s">
        <v>43575</v>
      </c>
      <c r="L20086">
        <v>1543</v>
      </c>
      <c r="M20086" t="s">
        <v>43576</v>
      </c>
      <c r="N20086" t="s">
        <v>30</v>
      </c>
      <c r="O20086" t="s">
        <v>31</v>
      </c>
      <c r="P20086" t="str">
        <f>"15216"</f>
        <v>15216</v>
      </c>
    </row>
    <row r="20087" spans="1:16" x14ac:dyDescent="0.25">
      <c r="A20087" t="str">
        <f>"1290060E00209    00"</f>
        <v>1290060E00209    00</v>
      </c>
      <c r="B20087" t="s">
        <v>43577</v>
      </c>
      <c r="C20087" t="s">
        <v>43578</v>
      </c>
      <c r="E20087" t="s">
        <v>39</v>
      </c>
      <c r="F20087">
        <v>0</v>
      </c>
      <c r="G20087">
        <v>0</v>
      </c>
      <c r="H20087">
        <v>1</v>
      </c>
      <c r="I20087" s="3">
        <v>155.94</v>
      </c>
      <c r="J20087" s="3">
        <v>0</v>
      </c>
      <c r="K20087" t="s">
        <v>43579</v>
      </c>
      <c r="L20087">
        <v>37</v>
      </c>
      <c r="M20087" t="s">
        <v>43580</v>
      </c>
      <c r="N20087" t="s">
        <v>410</v>
      </c>
      <c r="O20087" t="s">
        <v>31</v>
      </c>
      <c r="P20087" t="str">
        <f>"15701"</f>
        <v>15701</v>
      </c>
    </row>
    <row r="20088" spans="1:16" x14ac:dyDescent="0.25">
      <c r="A20088" t="str">
        <f>"1290060E00276    00"</f>
        <v>1290060E00276    00</v>
      </c>
      <c r="B20088" t="s">
        <v>43581</v>
      </c>
      <c r="C20088" t="s">
        <v>43582</v>
      </c>
      <c r="D20088" t="s">
        <v>20</v>
      </c>
      <c r="E20088" t="s">
        <v>39</v>
      </c>
      <c r="F20088">
        <v>0</v>
      </c>
      <c r="G20088">
        <v>0</v>
      </c>
      <c r="H20088">
        <v>16</v>
      </c>
      <c r="I20088" s="3">
        <v>5409.67</v>
      </c>
      <c r="J20088" s="3">
        <v>4104.08</v>
      </c>
      <c r="L20088">
        <v>50</v>
      </c>
      <c r="M20088" t="s">
        <v>43583</v>
      </c>
      <c r="N20088" t="s">
        <v>30</v>
      </c>
      <c r="O20088" t="s">
        <v>31</v>
      </c>
      <c r="P20088" t="str">
        <f>"15210"</f>
        <v>15210</v>
      </c>
    </row>
    <row r="20089" spans="1:16" x14ac:dyDescent="0.25">
      <c r="A20089" t="str">
        <f>"1290060E00278    00"</f>
        <v>1290060E00278    00</v>
      </c>
      <c r="B20089" t="s">
        <v>43584</v>
      </c>
      <c r="C20089" t="s">
        <v>43585</v>
      </c>
      <c r="D20089" t="s">
        <v>20</v>
      </c>
      <c r="E20089" t="s">
        <v>39</v>
      </c>
      <c r="F20089">
        <v>0</v>
      </c>
      <c r="G20089">
        <v>0</v>
      </c>
      <c r="H20089">
        <v>14</v>
      </c>
      <c r="I20089" s="3">
        <v>3191.67</v>
      </c>
      <c r="J20089" s="3">
        <v>2143.33</v>
      </c>
      <c r="K20089" t="s">
        <v>43586</v>
      </c>
      <c r="L20089">
        <v>702</v>
      </c>
      <c r="M20089" t="s">
        <v>43587</v>
      </c>
      <c r="N20089" t="s">
        <v>295</v>
      </c>
      <c r="O20089" t="s">
        <v>31</v>
      </c>
      <c r="P20089" t="str">
        <f>"15146"</f>
        <v>15146</v>
      </c>
    </row>
    <row r="20090" spans="1:16" x14ac:dyDescent="0.25">
      <c r="A20090" t="str">
        <f>"1290060E00282    00"</f>
        <v>1290060E00282    00</v>
      </c>
      <c r="B20090" t="s">
        <v>43588</v>
      </c>
      <c r="C20090" t="s">
        <v>43589</v>
      </c>
      <c r="E20090" t="s">
        <v>39</v>
      </c>
      <c r="F20090">
        <v>0</v>
      </c>
      <c r="G20090">
        <v>0</v>
      </c>
      <c r="H20090">
        <v>7</v>
      </c>
      <c r="I20090" s="3">
        <v>4493.29</v>
      </c>
      <c r="J20090" s="3">
        <v>1460.47</v>
      </c>
      <c r="L20090">
        <v>1049</v>
      </c>
      <c r="M20090" t="s">
        <v>37737</v>
      </c>
      <c r="N20090" t="s">
        <v>30</v>
      </c>
      <c r="O20090" t="s">
        <v>31</v>
      </c>
      <c r="P20090" t="str">
        <f>"15212"</f>
        <v>15212</v>
      </c>
    </row>
    <row r="20091" spans="1:16" x14ac:dyDescent="0.25">
      <c r="A20091" t="str">
        <f>"1290060F00265    00"</f>
        <v>1290060F00265    00</v>
      </c>
      <c r="B20091" t="s">
        <v>43590</v>
      </c>
      <c r="C20091" t="s">
        <v>43591</v>
      </c>
      <c r="D20091" t="s">
        <v>20</v>
      </c>
      <c r="E20091" t="s">
        <v>39</v>
      </c>
      <c r="F20091">
        <v>0</v>
      </c>
      <c r="G20091">
        <v>0</v>
      </c>
      <c r="H20091">
        <v>2</v>
      </c>
      <c r="I20091" s="3">
        <v>655.48</v>
      </c>
      <c r="J20091" s="3">
        <v>384.77</v>
      </c>
      <c r="L20091">
        <v>1610</v>
      </c>
      <c r="M20091" t="s">
        <v>43592</v>
      </c>
      <c r="N20091" t="s">
        <v>30</v>
      </c>
      <c r="O20091" t="s">
        <v>31</v>
      </c>
      <c r="P20091" t="str">
        <f>"15210"</f>
        <v>15210</v>
      </c>
    </row>
    <row r="20092" spans="1:16" x14ac:dyDescent="0.25">
      <c r="A20092" t="str">
        <f>"1290060F00269    00"</f>
        <v>1290060F00269    00</v>
      </c>
      <c r="B20092" t="s">
        <v>43593</v>
      </c>
      <c r="C20092" t="s">
        <v>43594</v>
      </c>
      <c r="D20092" t="s">
        <v>20</v>
      </c>
      <c r="E20092" t="s">
        <v>39</v>
      </c>
      <c r="F20092">
        <v>0</v>
      </c>
      <c r="G20092">
        <v>0</v>
      </c>
      <c r="H20092">
        <v>11</v>
      </c>
      <c r="I20092" s="3">
        <v>9623.58</v>
      </c>
      <c r="J20092" s="3">
        <v>4593</v>
      </c>
      <c r="K20092" t="s">
        <v>43595</v>
      </c>
      <c r="L20092">
        <v>2232</v>
      </c>
      <c r="M20092" t="s">
        <v>43596</v>
      </c>
      <c r="N20092" t="s">
        <v>30</v>
      </c>
      <c r="O20092" t="s">
        <v>31</v>
      </c>
      <c r="P20092" t="str">
        <f>"15210"</f>
        <v>15210</v>
      </c>
    </row>
    <row r="20093" spans="1:16" x14ac:dyDescent="0.25">
      <c r="A20093" t="str">
        <f>"1290060G00054    00"</f>
        <v>1290060G00054    00</v>
      </c>
      <c r="B20093" t="s">
        <v>43597</v>
      </c>
      <c r="C20093" t="s">
        <v>43598</v>
      </c>
      <c r="D20093" t="s">
        <v>20</v>
      </c>
      <c r="E20093" t="s">
        <v>21</v>
      </c>
      <c r="F20093">
        <v>0</v>
      </c>
      <c r="G20093">
        <v>0</v>
      </c>
      <c r="H20093">
        <v>3</v>
      </c>
      <c r="I20093" s="3">
        <v>4837.4399999999996</v>
      </c>
      <c r="J20093" s="3">
        <v>322.48</v>
      </c>
      <c r="K20093" t="s">
        <v>43599</v>
      </c>
      <c r="L20093">
        <v>1518</v>
      </c>
      <c r="M20093" t="s">
        <v>43600</v>
      </c>
      <c r="N20093" t="s">
        <v>30</v>
      </c>
      <c r="O20093" t="s">
        <v>31</v>
      </c>
      <c r="P20093" t="str">
        <f>"15210"</f>
        <v>15210</v>
      </c>
    </row>
    <row r="20094" spans="1:16" x14ac:dyDescent="0.25">
      <c r="A20094" t="str">
        <f>"1290060G00078    00"</f>
        <v>1290060G00078    00</v>
      </c>
      <c r="B20094" t="s">
        <v>43601</v>
      </c>
      <c r="C20094" t="s">
        <v>43602</v>
      </c>
      <c r="D20094" t="s">
        <v>20</v>
      </c>
      <c r="E20094" t="s">
        <v>39</v>
      </c>
      <c r="F20094">
        <v>0</v>
      </c>
      <c r="G20094">
        <v>0</v>
      </c>
      <c r="H20094">
        <v>2</v>
      </c>
      <c r="I20094" s="3">
        <v>1997.54</v>
      </c>
      <c r="J20094" s="3">
        <v>0</v>
      </c>
      <c r="K20094" t="s">
        <v>43603</v>
      </c>
      <c r="L20094">
        <v>106</v>
      </c>
      <c r="M20094" t="s">
        <v>43604</v>
      </c>
      <c r="N20094" t="s">
        <v>30</v>
      </c>
      <c r="O20094" t="s">
        <v>31</v>
      </c>
      <c r="P20094" t="str">
        <f>"15210"</f>
        <v>15210</v>
      </c>
    </row>
    <row r="20095" spans="1:16" x14ac:dyDescent="0.25">
      <c r="A20095" t="str">
        <f>"1290060G00080    00"</f>
        <v>1290060G00080    00</v>
      </c>
      <c r="B20095" t="s">
        <v>43605</v>
      </c>
      <c r="C20095" t="s">
        <v>43606</v>
      </c>
      <c r="D20095" t="s">
        <v>20</v>
      </c>
      <c r="E20095" t="s">
        <v>39</v>
      </c>
      <c r="F20095">
        <v>0</v>
      </c>
      <c r="G20095">
        <v>0</v>
      </c>
      <c r="H20095">
        <v>2</v>
      </c>
      <c r="I20095" s="3">
        <v>565.17999999999995</v>
      </c>
      <c r="J20095" s="3">
        <v>0</v>
      </c>
      <c r="L20095">
        <v>108</v>
      </c>
      <c r="M20095" t="s">
        <v>43607</v>
      </c>
      <c r="N20095" t="s">
        <v>30</v>
      </c>
      <c r="O20095" t="s">
        <v>31</v>
      </c>
      <c r="P20095" t="str">
        <f>"15210"</f>
        <v>15210</v>
      </c>
    </row>
    <row r="20096" spans="1:16" x14ac:dyDescent="0.25">
      <c r="A20096" t="str">
        <f>"1290060G00100    00"</f>
        <v>1290060G00100    00</v>
      </c>
      <c r="B20096" t="s">
        <v>43608</v>
      </c>
      <c r="C20096" t="s">
        <v>43609</v>
      </c>
      <c r="D20096" t="s">
        <v>20</v>
      </c>
      <c r="E20096" t="s">
        <v>39</v>
      </c>
      <c r="F20096">
        <v>0</v>
      </c>
      <c r="G20096">
        <v>0</v>
      </c>
      <c r="H20096">
        <v>4</v>
      </c>
      <c r="I20096" s="3">
        <v>1607.79</v>
      </c>
      <c r="J20096" s="3">
        <v>123.55</v>
      </c>
      <c r="L20096">
        <v>4360</v>
      </c>
      <c r="M20096" t="s">
        <v>43610</v>
      </c>
      <c r="N20096" t="s">
        <v>30</v>
      </c>
      <c r="O20096" t="s">
        <v>31</v>
      </c>
      <c r="P20096" t="str">
        <f>"15227"</f>
        <v>15227</v>
      </c>
    </row>
    <row r="20097" spans="1:16" x14ac:dyDescent="0.25">
      <c r="A20097" t="str">
        <f>"1290060G00102    00"</f>
        <v>1290060G00102    00</v>
      </c>
      <c r="B20097" t="s">
        <v>43611</v>
      </c>
      <c r="C20097" t="s">
        <v>43612</v>
      </c>
      <c r="E20097" t="s">
        <v>39</v>
      </c>
      <c r="F20097">
        <v>0</v>
      </c>
      <c r="G20097">
        <v>0</v>
      </c>
      <c r="H20097">
        <v>1</v>
      </c>
      <c r="I20097" s="3">
        <v>282.74</v>
      </c>
      <c r="J20097" s="3">
        <v>0</v>
      </c>
      <c r="L20097">
        <v>1615</v>
      </c>
      <c r="M20097" t="s">
        <v>13358</v>
      </c>
      <c r="N20097" t="s">
        <v>30</v>
      </c>
      <c r="O20097" t="s">
        <v>31</v>
      </c>
      <c r="P20097" t="str">
        <f>"15210"</f>
        <v>15210</v>
      </c>
    </row>
    <row r="20098" spans="1:16" x14ac:dyDescent="0.25">
      <c r="A20098" t="str">
        <f>"1290060G00143    00"</f>
        <v>1290060G00143    00</v>
      </c>
      <c r="B20098" t="s">
        <v>43613</v>
      </c>
      <c r="C20098" t="s">
        <v>43614</v>
      </c>
      <c r="D20098" t="s">
        <v>20</v>
      </c>
      <c r="E20098" t="s">
        <v>21</v>
      </c>
      <c r="F20098">
        <v>0</v>
      </c>
      <c r="G20098">
        <v>0</v>
      </c>
      <c r="H20098">
        <v>5</v>
      </c>
      <c r="I20098" s="3">
        <v>7526.66</v>
      </c>
      <c r="J20098" s="3">
        <v>1300.33</v>
      </c>
      <c r="L20098">
        <v>1611</v>
      </c>
      <c r="M20098" t="s">
        <v>8048</v>
      </c>
      <c r="N20098" t="s">
        <v>30</v>
      </c>
      <c r="O20098" t="s">
        <v>31</v>
      </c>
      <c r="P20098" t="str">
        <f>"15210"</f>
        <v>15210</v>
      </c>
    </row>
    <row r="20099" spans="1:16" x14ac:dyDescent="0.25">
      <c r="A20099" t="str">
        <f>"1290060G00150    00"</f>
        <v>1290060G00150    00</v>
      </c>
      <c r="B20099" t="s">
        <v>43615</v>
      </c>
      <c r="C20099" t="s">
        <v>43616</v>
      </c>
      <c r="D20099" t="s">
        <v>20</v>
      </c>
      <c r="E20099" t="s">
        <v>21</v>
      </c>
      <c r="F20099">
        <v>0</v>
      </c>
      <c r="G20099">
        <v>0</v>
      </c>
      <c r="H20099">
        <v>1</v>
      </c>
      <c r="I20099" s="3">
        <v>1191.26</v>
      </c>
      <c r="J20099" s="3">
        <v>0</v>
      </c>
      <c r="K20099" t="s">
        <v>43617</v>
      </c>
      <c r="L20099">
        <v>25</v>
      </c>
      <c r="M20099" t="s">
        <v>24010</v>
      </c>
      <c r="N20099" t="s">
        <v>30</v>
      </c>
      <c r="O20099" t="s">
        <v>31</v>
      </c>
      <c r="P20099" t="str">
        <f>"15210"</f>
        <v>15210</v>
      </c>
    </row>
    <row r="20100" spans="1:16" x14ac:dyDescent="0.25">
      <c r="A20100" t="str">
        <f>"1290060G00174    00"</f>
        <v>1290060G00174    00</v>
      </c>
      <c r="B20100" t="s">
        <v>43618</v>
      </c>
      <c r="C20100" t="s">
        <v>43619</v>
      </c>
      <c r="D20100" t="s">
        <v>20</v>
      </c>
      <c r="E20100" t="s">
        <v>39</v>
      </c>
      <c r="F20100">
        <v>0</v>
      </c>
      <c r="G20100">
        <v>0</v>
      </c>
      <c r="H20100">
        <v>4</v>
      </c>
      <c r="I20100" s="3">
        <v>942.7</v>
      </c>
      <c r="J20100" s="3">
        <v>131.71</v>
      </c>
      <c r="L20100">
        <v>1416</v>
      </c>
      <c r="M20100" t="s">
        <v>1407</v>
      </c>
      <c r="N20100" t="s">
        <v>30</v>
      </c>
      <c r="O20100" t="s">
        <v>31</v>
      </c>
      <c r="P20100" t="str">
        <f>"15210"</f>
        <v>15210</v>
      </c>
    </row>
    <row r="20101" spans="1:16" x14ac:dyDescent="0.25">
      <c r="A20101" t="str">
        <f>"1290060G00219    00"</f>
        <v>1290060G00219    00</v>
      </c>
      <c r="B20101" t="s">
        <v>43620</v>
      </c>
      <c r="C20101" t="s">
        <v>43621</v>
      </c>
      <c r="E20101" t="s">
        <v>39</v>
      </c>
      <c r="F20101">
        <v>0</v>
      </c>
      <c r="G20101">
        <v>0</v>
      </c>
      <c r="H20101">
        <v>1</v>
      </c>
      <c r="I20101" s="3">
        <v>742.42</v>
      </c>
      <c r="J20101" s="3">
        <v>296.95999999999998</v>
      </c>
      <c r="L20101">
        <v>1616</v>
      </c>
      <c r="M20101" t="s">
        <v>43622</v>
      </c>
      <c r="N20101" t="s">
        <v>30</v>
      </c>
      <c r="O20101" t="s">
        <v>31</v>
      </c>
      <c r="P20101" t="str">
        <f>"15210"</f>
        <v>15210</v>
      </c>
    </row>
    <row r="20102" spans="1:16" x14ac:dyDescent="0.25">
      <c r="A20102" t="str">
        <f>"1290060G00224    00"</f>
        <v>1290060G00224    00</v>
      </c>
      <c r="B20102" t="s">
        <v>43520</v>
      </c>
      <c r="C20102" t="s">
        <v>43623</v>
      </c>
      <c r="E20102" t="s">
        <v>39</v>
      </c>
      <c r="F20102">
        <v>0</v>
      </c>
      <c r="G20102">
        <v>0</v>
      </c>
      <c r="H20102">
        <v>2</v>
      </c>
      <c r="I20102" s="3">
        <v>598.5</v>
      </c>
      <c r="J20102" s="3">
        <v>7.48</v>
      </c>
      <c r="K20102" t="s">
        <v>43522</v>
      </c>
      <c r="L20102">
        <v>1450</v>
      </c>
      <c r="M20102" t="s">
        <v>43523</v>
      </c>
      <c r="N20102" t="s">
        <v>4652</v>
      </c>
      <c r="O20102" t="s">
        <v>370</v>
      </c>
      <c r="P20102" t="str">
        <f>"33146"</f>
        <v>33146</v>
      </c>
    </row>
    <row r="20103" spans="1:16" x14ac:dyDescent="0.25">
      <c r="A20103" t="str">
        <f>"1290060G00226    00"</f>
        <v>1290060G00226    00</v>
      </c>
      <c r="B20103" t="s">
        <v>43624</v>
      </c>
      <c r="C20103" t="s">
        <v>43625</v>
      </c>
      <c r="E20103" t="s">
        <v>39</v>
      </c>
      <c r="F20103">
        <v>0</v>
      </c>
      <c r="G20103">
        <v>0</v>
      </c>
      <c r="H20103">
        <v>6</v>
      </c>
      <c r="I20103" s="3">
        <v>2450.7600000000002</v>
      </c>
      <c r="J20103" s="3">
        <v>659.19</v>
      </c>
      <c r="L20103">
        <v>1621</v>
      </c>
      <c r="M20103" t="s">
        <v>43622</v>
      </c>
      <c r="N20103" t="s">
        <v>30</v>
      </c>
      <c r="O20103" t="s">
        <v>31</v>
      </c>
      <c r="P20103" t="str">
        <f>"15210"</f>
        <v>15210</v>
      </c>
    </row>
    <row r="20104" spans="1:16" x14ac:dyDescent="0.25">
      <c r="A20104" t="str">
        <f>"1290060G00244    00"</f>
        <v>1290060G00244    00</v>
      </c>
      <c r="B20104" t="s">
        <v>43626</v>
      </c>
      <c r="C20104" t="s">
        <v>43627</v>
      </c>
      <c r="D20104" t="s">
        <v>20</v>
      </c>
      <c r="E20104" t="s">
        <v>39</v>
      </c>
      <c r="F20104">
        <v>0</v>
      </c>
      <c r="G20104">
        <v>0</v>
      </c>
      <c r="H20104">
        <v>2</v>
      </c>
      <c r="I20104" s="3">
        <v>2870.46</v>
      </c>
      <c r="J20104" s="3">
        <v>0</v>
      </c>
      <c r="L20104">
        <v>111</v>
      </c>
      <c r="M20104" t="s">
        <v>43628</v>
      </c>
      <c r="N20104" t="s">
        <v>30</v>
      </c>
      <c r="O20104" t="s">
        <v>31</v>
      </c>
      <c r="P20104" t="str">
        <f>"15210"</f>
        <v>15210</v>
      </c>
    </row>
    <row r="20105" spans="1:16" x14ac:dyDescent="0.25">
      <c r="A20105" t="str">
        <f>"1290060G00246    00"</f>
        <v>1290060G00246    00</v>
      </c>
      <c r="B20105" t="s">
        <v>43629</v>
      </c>
      <c r="C20105" t="s">
        <v>43630</v>
      </c>
      <c r="E20105" t="s">
        <v>39</v>
      </c>
      <c r="F20105">
        <v>0</v>
      </c>
      <c r="G20105">
        <v>0</v>
      </c>
      <c r="H20105">
        <v>1</v>
      </c>
      <c r="I20105" s="3">
        <v>659.08</v>
      </c>
      <c r="J20105" s="3">
        <v>0</v>
      </c>
      <c r="L20105">
        <v>318</v>
      </c>
      <c r="M20105" t="s">
        <v>43631</v>
      </c>
      <c r="N20105" t="s">
        <v>43632</v>
      </c>
      <c r="O20105" t="s">
        <v>495</v>
      </c>
      <c r="P20105" t="str">
        <f>"92833"</f>
        <v>92833</v>
      </c>
    </row>
    <row r="20106" spans="1:16" x14ac:dyDescent="0.25">
      <c r="A20106" t="str">
        <f>"1290060G00252    00"</f>
        <v>1290060G00252    00</v>
      </c>
      <c r="B20106" t="s">
        <v>43633</v>
      </c>
      <c r="C20106" t="s">
        <v>43634</v>
      </c>
      <c r="E20106" t="s">
        <v>39</v>
      </c>
      <c r="F20106">
        <v>0</v>
      </c>
      <c r="G20106">
        <v>0</v>
      </c>
      <c r="H20106">
        <v>2</v>
      </c>
      <c r="I20106" s="3">
        <v>493.64</v>
      </c>
      <c r="J20106" s="3">
        <v>139.36000000000001</v>
      </c>
      <c r="L20106">
        <v>1525</v>
      </c>
      <c r="M20106" t="s">
        <v>27076</v>
      </c>
      <c r="N20106" t="s">
        <v>30</v>
      </c>
      <c r="O20106" t="s">
        <v>31</v>
      </c>
      <c r="P20106" t="str">
        <f>"15210"</f>
        <v>15210</v>
      </c>
    </row>
    <row r="20107" spans="1:16" x14ac:dyDescent="0.25">
      <c r="A20107" t="str">
        <f>"1290060G00254    00"</f>
        <v>1290060G00254    00</v>
      </c>
      <c r="B20107" t="s">
        <v>43635</v>
      </c>
      <c r="C20107" t="s">
        <v>43636</v>
      </c>
      <c r="E20107" t="s">
        <v>39</v>
      </c>
      <c r="F20107">
        <v>0</v>
      </c>
      <c r="G20107">
        <v>0</v>
      </c>
      <c r="H20107">
        <v>3</v>
      </c>
      <c r="I20107" s="3">
        <v>337.56</v>
      </c>
      <c r="J20107" s="3">
        <v>54.52</v>
      </c>
      <c r="L20107">
        <v>1523</v>
      </c>
      <c r="M20107" t="s">
        <v>1407</v>
      </c>
      <c r="N20107" t="s">
        <v>30</v>
      </c>
      <c r="O20107" t="s">
        <v>31</v>
      </c>
      <c r="P20107" t="str">
        <f>"15210"</f>
        <v>15210</v>
      </c>
    </row>
    <row r="20108" spans="1:16" x14ac:dyDescent="0.25">
      <c r="A20108" t="str">
        <f>"1290060G00290    00"</f>
        <v>1290060G00290    00</v>
      </c>
      <c r="B20108" t="s">
        <v>43637</v>
      </c>
      <c r="C20108" t="s">
        <v>43638</v>
      </c>
      <c r="D20108" t="s">
        <v>20</v>
      </c>
      <c r="E20108" t="s">
        <v>39</v>
      </c>
      <c r="F20108">
        <v>0</v>
      </c>
      <c r="G20108">
        <v>0</v>
      </c>
      <c r="H20108">
        <v>6</v>
      </c>
      <c r="I20108" s="3">
        <v>10258.08</v>
      </c>
      <c r="J20108" s="3">
        <v>1786.6</v>
      </c>
      <c r="L20108">
        <v>110</v>
      </c>
      <c r="M20108" t="s">
        <v>43639</v>
      </c>
      <c r="N20108" t="s">
        <v>30</v>
      </c>
      <c r="O20108" t="s">
        <v>31</v>
      </c>
      <c r="P20108" t="str">
        <f>"15210"</f>
        <v>15210</v>
      </c>
    </row>
    <row r="20109" spans="1:16" x14ac:dyDescent="0.25">
      <c r="A20109" t="str">
        <f>"1290060H00020    00"</f>
        <v>1290060H00020    00</v>
      </c>
      <c r="B20109" t="s">
        <v>43640</v>
      </c>
      <c r="C20109" t="s">
        <v>43641</v>
      </c>
      <c r="D20109" t="s">
        <v>20</v>
      </c>
      <c r="E20109" t="s">
        <v>39</v>
      </c>
      <c r="F20109">
        <v>0</v>
      </c>
      <c r="G20109">
        <v>0</v>
      </c>
      <c r="H20109">
        <v>6</v>
      </c>
      <c r="I20109" s="3">
        <v>4838.49</v>
      </c>
      <c r="J20109" s="3">
        <v>3736.62</v>
      </c>
      <c r="L20109">
        <v>135</v>
      </c>
      <c r="M20109" t="s">
        <v>43642</v>
      </c>
      <c r="N20109" t="s">
        <v>30</v>
      </c>
      <c r="O20109" t="s">
        <v>31</v>
      </c>
      <c r="P20109" t="str">
        <f>"15210"</f>
        <v>15210</v>
      </c>
    </row>
    <row r="20110" spans="1:16" x14ac:dyDescent="0.25">
      <c r="A20110" t="str">
        <f>"1290060H00054    00"</f>
        <v>1290060H00054    00</v>
      </c>
      <c r="B20110" t="s">
        <v>43643</v>
      </c>
      <c r="C20110" t="s">
        <v>43644</v>
      </c>
      <c r="D20110" t="s">
        <v>20</v>
      </c>
      <c r="E20110" t="s">
        <v>39</v>
      </c>
      <c r="F20110">
        <v>0</v>
      </c>
      <c r="G20110">
        <v>0</v>
      </c>
      <c r="H20110">
        <v>1</v>
      </c>
      <c r="I20110" s="3">
        <v>23.31</v>
      </c>
      <c r="J20110" s="3">
        <v>0</v>
      </c>
      <c r="K20110" t="s">
        <v>1632</v>
      </c>
      <c r="L20110">
        <v>3001</v>
      </c>
      <c r="M20110" t="s">
        <v>330</v>
      </c>
      <c r="N20110" t="s">
        <v>331</v>
      </c>
      <c r="O20110" t="s">
        <v>108</v>
      </c>
      <c r="P20110" t="str">
        <f>"75063"</f>
        <v>75063</v>
      </c>
    </row>
    <row r="20111" spans="1:16" x14ac:dyDescent="0.25">
      <c r="A20111" t="str">
        <f>"1290060H00157    00"</f>
        <v>1290060H00157    00</v>
      </c>
      <c r="B20111" t="s">
        <v>43597</v>
      </c>
      <c r="C20111" t="s">
        <v>43645</v>
      </c>
      <c r="D20111" t="s">
        <v>20</v>
      </c>
      <c r="E20111" t="s">
        <v>39</v>
      </c>
      <c r="F20111">
        <v>0</v>
      </c>
      <c r="G20111">
        <v>0</v>
      </c>
      <c r="H20111">
        <v>3</v>
      </c>
      <c r="I20111" s="3">
        <v>1744.02</v>
      </c>
      <c r="J20111" s="3">
        <v>116.26</v>
      </c>
      <c r="L20111">
        <v>1518</v>
      </c>
      <c r="M20111" t="s">
        <v>8048</v>
      </c>
      <c r="N20111" t="s">
        <v>30</v>
      </c>
      <c r="O20111" t="s">
        <v>31</v>
      </c>
      <c r="P20111" t="str">
        <f>"15210"</f>
        <v>15210</v>
      </c>
    </row>
    <row r="20112" spans="1:16" x14ac:dyDescent="0.25">
      <c r="A20112" t="str">
        <f>"1290060H00158    00"</f>
        <v>1290060H00158    00</v>
      </c>
      <c r="B20112" t="s">
        <v>9775</v>
      </c>
      <c r="C20112" t="s">
        <v>43646</v>
      </c>
      <c r="D20112" t="s">
        <v>20</v>
      </c>
      <c r="E20112" t="s">
        <v>39</v>
      </c>
      <c r="F20112">
        <v>0</v>
      </c>
      <c r="G20112">
        <v>0</v>
      </c>
      <c r="H20112">
        <v>4</v>
      </c>
      <c r="I20112" s="3">
        <v>2574.4299999999998</v>
      </c>
      <c r="J20112" s="3">
        <v>304.12</v>
      </c>
      <c r="L20112">
        <v>344</v>
      </c>
      <c r="M20112" t="s">
        <v>9777</v>
      </c>
      <c r="N20112" t="s">
        <v>9778</v>
      </c>
      <c r="O20112" t="s">
        <v>423</v>
      </c>
      <c r="P20112" t="str">
        <f>"07302"</f>
        <v>07302</v>
      </c>
    </row>
    <row r="20113" spans="1:16" x14ac:dyDescent="0.25">
      <c r="A20113" t="str">
        <f>"1290060H00160    00"</f>
        <v>1290060H00160    00</v>
      </c>
      <c r="B20113" t="s">
        <v>43597</v>
      </c>
      <c r="C20113" t="s">
        <v>43647</v>
      </c>
      <c r="D20113" t="s">
        <v>20</v>
      </c>
      <c r="E20113" t="s">
        <v>39</v>
      </c>
      <c r="F20113">
        <v>0</v>
      </c>
      <c r="G20113">
        <v>0</v>
      </c>
      <c r="H20113">
        <v>3</v>
      </c>
      <c r="I20113" s="3">
        <v>3939.75</v>
      </c>
      <c r="J20113" s="3">
        <v>262.64</v>
      </c>
      <c r="K20113" t="s">
        <v>43599</v>
      </c>
      <c r="L20113">
        <v>1518</v>
      </c>
      <c r="M20113" t="s">
        <v>8048</v>
      </c>
      <c r="N20113" t="s">
        <v>30</v>
      </c>
      <c r="O20113" t="s">
        <v>31</v>
      </c>
      <c r="P20113" t="str">
        <f>"15210"</f>
        <v>15210</v>
      </c>
    </row>
    <row r="20114" spans="1:16" x14ac:dyDescent="0.25">
      <c r="A20114" t="str">
        <f>"1290060H00166    00"</f>
        <v>1290060H00166    00</v>
      </c>
      <c r="B20114" t="s">
        <v>43648</v>
      </c>
      <c r="C20114" t="s">
        <v>43649</v>
      </c>
      <c r="D20114" t="s">
        <v>20</v>
      </c>
      <c r="E20114" t="s">
        <v>39</v>
      </c>
      <c r="F20114">
        <v>0</v>
      </c>
      <c r="G20114">
        <v>0</v>
      </c>
      <c r="H20114">
        <v>3</v>
      </c>
      <c r="I20114" s="3">
        <v>1834.76</v>
      </c>
      <c r="J20114" s="3">
        <v>6.27</v>
      </c>
      <c r="L20114">
        <v>211</v>
      </c>
      <c r="M20114" t="s">
        <v>29053</v>
      </c>
      <c r="N20114" t="s">
        <v>30</v>
      </c>
      <c r="O20114" t="s">
        <v>31</v>
      </c>
      <c r="P20114" t="str">
        <f>"15210"</f>
        <v>15210</v>
      </c>
    </row>
    <row r="20115" spans="1:16" x14ac:dyDescent="0.25">
      <c r="A20115" t="str">
        <f>"1290060H00198    00"</f>
        <v>1290060H00198    00</v>
      </c>
      <c r="B20115" t="s">
        <v>43650</v>
      </c>
      <c r="C20115" t="s">
        <v>43651</v>
      </c>
      <c r="D20115" t="s">
        <v>20</v>
      </c>
      <c r="E20115" t="s">
        <v>39</v>
      </c>
      <c r="F20115">
        <v>0</v>
      </c>
      <c r="G20115">
        <v>0</v>
      </c>
      <c r="H20115">
        <v>15</v>
      </c>
      <c r="I20115" s="3">
        <v>5275.29</v>
      </c>
      <c r="J20115" s="3">
        <v>3647.86</v>
      </c>
      <c r="L20115">
        <v>130</v>
      </c>
      <c r="M20115" t="s">
        <v>29053</v>
      </c>
      <c r="N20115" t="s">
        <v>30</v>
      </c>
      <c r="O20115" t="s">
        <v>31</v>
      </c>
      <c r="P20115" t="str">
        <f>"15210"</f>
        <v>15210</v>
      </c>
    </row>
    <row r="20116" spans="1:16" x14ac:dyDescent="0.25">
      <c r="A20116" t="str">
        <f>"1290060H00201    00"</f>
        <v>1290060H00201    00</v>
      </c>
      <c r="B20116" t="s">
        <v>43652</v>
      </c>
      <c r="C20116" t="s">
        <v>43653</v>
      </c>
      <c r="D20116" t="s">
        <v>20</v>
      </c>
      <c r="E20116" t="s">
        <v>39</v>
      </c>
      <c r="F20116">
        <v>0</v>
      </c>
      <c r="G20116">
        <v>0</v>
      </c>
      <c r="H20116">
        <v>2</v>
      </c>
      <c r="I20116" s="3">
        <v>1085.05</v>
      </c>
      <c r="J20116" s="3">
        <v>0</v>
      </c>
      <c r="K20116" t="s">
        <v>2570</v>
      </c>
      <c r="L20116">
        <v>901</v>
      </c>
      <c r="M20116" t="s">
        <v>1503</v>
      </c>
      <c r="N20116" t="s">
        <v>494</v>
      </c>
      <c r="O20116" t="s">
        <v>495</v>
      </c>
      <c r="P20116" t="str">
        <f>"91768"</f>
        <v>91768</v>
      </c>
    </row>
    <row r="20117" spans="1:16" x14ac:dyDescent="0.25">
      <c r="A20117" t="str">
        <f>"1290060H00213    00"</f>
        <v>1290060H00213    00</v>
      </c>
      <c r="B20117" t="s">
        <v>43597</v>
      </c>
      <c r="C20117" t="s">
        <v>43654</v>
      </c>
      <c r="D20117" t="s">
        <v>20</v>
      </c>
      <c r="E20117" t="s">
        <v>39</v>
      </c>
      <c r="F20117">
        <v>0</v>
      </c>
      <c r="G20117">
        <v>0</v>
      </c>
      <c r="H20117">
        <v>3</v>
      </c>
      <c r="I20117" s="3">
        <v>3156.33</v>
      </c>
      <c r="J20117" s="3">
        <v>210.42</v>
      </c>
      <c r="K20117" t="s">
        <v>43599</v>
      </c>
      <c r="L20117">
        <v>1518</v>
      </c>
      <c r="M20117" t="s">
        <v>8048</v>
      </c>
      <c r="N20117" t="s">
        <v>30</v>
      </c>
      <c r="O20117" t="s">
        <v>31</v>
      </c>
      <c r="P20117" t="str">
        <f>"15210"</f>
        <v>15210</v>
      </c>
    </row>
    <row r="20118" spans="1:16" x14ac:dyDescent="0.25">
      <c r="A20118" t="str">
        <f>"1290060H00229    00"</f>
        <v>1290060H00229    00</v>
      </c>
      <c r="B20118" t="s">
        <v>43655</v>
      </c>
      <c r="C20118" t="s">
        <v>43656</v>
      </c>
      <c r="D20118" t="s">
        <v>20</v>
      </c>
      <c r="E20118" t="s">
        <v>39</v>
      </c>
      <c r="F20118">
        <v>0</v>
      </c>
      <c r="G20118">
        <v>0</v>
      </c>
      <c r="H20118">
        <v>2</v>
      </c>
      <c r="I20118" s="3">
        <v>1658.28</v>
      </c>
      <c r="J20118" s="3">
        <v>0</v>
      </c>
      <c r="K20118" t="s">
        <v>43657</v>
      </c>
      <c r="L20118">
        <v>300</v>
      </c>
      <c r="M20118" t="s">
        <v>43628</v>
      </c>
      <c r="N20118" t="s">
        <v>30</v>
      </c>
      <c r="O20118" t="s">
        <v>31</v>
      </c>
      <c r="P20118" t="str">
        <f>"15210"</f>
        <v>15210</v>
      </c>
    </row>
    <row r="20119" spans="1:16" x14ac:dyDescent="0.25">
      <c r="A20119" t="str">
        <f>"1290060H00231000100"</f>
        <v>1290060H00231000100</v>
      </c>
      <c r="B20119" t="s">
        <v>43655</v>
      </c>
      <c r="C20119" t="s">
        <v>43658</v>
      </c>
      <c r="D20119" t="s">
        <v>20</v>
      </c>
      <c r="E20119" t="s">
        <v>39</v>
      </c>
      <c r="F20119">
        <v>0</v>
      </c>
      <c r="G20119">
        <v>0</v>
      </c>
      <c r="H20119">
        <v>2</v>
      </c>
      <c r="I20119" s="3">
        <v>36.25</v>
      </c>
      <c r="J20119" s="3">
        <v>0</v>
      </c>
      <c r="K20119" t="s">
        <v>43657</v>
      </c>
      <c r="M20119" t="s">
        <v>43659</v>
      </c>
      <c r="N20119" t="s">
        <v>8991</v>
      </c>
      <c r="O20119" t="s">
        <v>31</v>
      </c>
      <c r="P20119" t="str">
        <f>"15145"</f>
        <v>15145</v>
      </c>
    </row>
    <row r="20120" spans="1:16" x14ac:dyDescent="0.25">
      <c r="A20120" t="str">
        <f>"1290060H00252    00"</f>
        <v>1290060H00252    00</v>
      </c>
      <c r="B20120" t="s">
        <v>43660</v>
      </c>
      <c r="C20120" t="s">
        <v>43661</v>
      </c>
      <c r="D20120" t="s">
        <v>20</v>
      </c>
      <c r="E20120" t="s">
        <v>39</v>
      </c>
      <c r="F20120">
        <v>0</v>
      </c>
      <c r="G20120">
        <v>0</v>
      </c>
      <c r="H20120">
        <v>7</v>
      </c>
      <c r="I20120" s="3">
        <v>1909.57</v>
      </c>
      <c r="J20120" s="3">
        <v>1682.24</v>
      </c>
      <c r="L20120">
        <v>233</v>
      </c>
      <c r="M20120" t="s">
        <v>43662</v>
      </c>
      <c r="N20120" t="s">
        <v>30</v>
      </c>
      <c r="O20120" t="s">
        <v>31</v>
      </c>
      <c r="P20120" t="str">
        <f>"15210"</f>
        <v>15210</v>
      </c>
    </row>
    <row r="20121" spans="1:16" x14ac:dyDescent="0.25">
      <c r="A20121" t="str">
        <f>"1290060H00268    00"</f>
        <v>1290060H00268    00</v>
      </c>
      <c r="B20121" t="s">
        <v>43663</v>
      </c>
      <c r="C20121" t="s">
        <v>43664</v>
      </c>
      <c r="D20121" t="s">
        <v>20</v>
      </c>
      <c r="E20121" t="s">
        <v>39</v>
      </c>
      <c r="F20121">
        <v>0</v>
      </c>
      <c r="G20121">
        <v>0</v>
      </c>
      <c r="H20121">
        <v>4</v>
      </c>
      <c r="I20121" s="3">
        <v>6102.62</v>
      </c>
      <c r="J20121" s="3">
        <v>915.05</v>
      </c>
      <c r="L20121">
        <v>266</v>
      </c>
      <c r="M20121" t="s">
        <v>15049</v>
      </c>
      <c r="N20121" t="s">
        <v>30</v>
      </c>
      <c r="O20121" t="s">
        <v>31</v>
      </c>
      <c r="P20121" t="str">
        <f>"15235"</f>
        <v>15235</v>
      </c>
    </row>
    <row r="20122" spans="1:16" x14ac:dyDescent="0.25">
      <c r="A20122" t="str">
        <f>"1290060H00274    00"</f>
        <v>1290060H00274    00</v>
      </c>
      <c r="B20122" t="s">
        <v>43665</v>
      </c>
      <c r="C20122" t="s">
        <v>43666</v>
      </c>
      <c r="D20122" t="s">
        <v>20</v>
      </c>
      <c r="E20122" t="s">
        <v>39</v>
      </c>
      <c r="F20122">
        <v>0</v>
      </c>
      <c r="G20122">
        <v>0</v>
      </c>
      <c r="H20122">
        <v>2</v>
      </c>
      <c r="I20122" s="3">
        <v>831.94</v>
      </c>
      <c r="J20122" s="3">
        <v>428.03</v>
      </c>
      <c r="L20122">
        <v>1613</v>
      </c>
      <c r="M20122" t="s">
        <v>21268</v>
      </c>
      <c r="N20122" t="s">
        <v>30</v>
      </c>
      <c r="O20122" t="s">
        <v>31</v>
      </c>
      <c r="P20122" t="str">
        <f>"15210"</f>
        <v>15210</v>
      </c>
    </row>
    <row r="20123" spans="1:16" x14ac:dyDescent="0.25">
      <c r="A20123" t="str">
        <f>"1290060H00300    00"</f>
        <v>1290060H00300    00</v>
      </c>
      <c r="B20123" t="s">
        <v>43383</v>
      </c>
      <c r="C20123" t="s">
        <v>43667</v>
      </c>
      <c r="D20123" t="s">
        <v>20</v>
      </c>
      <c r="E20123" t="s">
        <v>39</v>
      </c>
      <c r="F20123">
        <v>0</v>
      </c>
      <c r="G20123">
        <v>0</v>
      </c>
      <c r="H20123">
        <v>14</v>
      </c>
      <c r="I20123" s="3">
        <v>2356.88</v>
      </c>
      <c r="J20123" s="3">
        <v>1658.78</v>
      </c>
      <c r="K20123" t="s">
        <v>43668</v>
      </c>
      <c r="L20123">
        <v>9578</v>
      </c>
      <c r="M20123" t="s">
        <v>2678</v>
      </c>
      <c r="N20123" t="s">
        <v>509</v>
      </c>
      <c r="O20123" t="s">
        <v>31</v>
      </c>
      <c r="P20123" t="str">
        <f>"19114"</f>
        <v>19114</v>
      </c>
    </row>
    <row r="20124" spans="1:16" x14ac:dyDescent="0.25">
      <c r="A20124" t="str">
        <f>"1290060H00306    00"</f>
        <v>1290060H00306    00</v>
      </c>
      <c r="B20124" t="s">
        <v>43669</v>
      </c>
      <c r="C20124" t="s">
        <v>43670</v>
      </c>
      <c r="D20124" t="s">
        <v>20</v>
      </c>
      <c r="E20124" t="s">
        <v>39</v>
      </c>
      <c r="F20124">
        <v>0</v>
      </c>
      <c r="G20124">
        <v>0</v>
      </c>
      <c r="H20124">
        <v>2</v>
      </c>
      <c r="I20124" s="3">
        <v>1433.14</v>
      </c>
      <c r="J20124" s="3">
        <v>210.35</v>
      </c>
      <c r="K20124" t="s">
        <v>43671</v>
      </c>
      <c r="L20124">
        <v>218</v>
      </c>
      <c r="M20124" t="s">
        <v>43662</v>
      </c>
      <c r="N20124" t="s">
        <v>30</v>
      </c>
      <c r="O20124" t="s">
        <v>31</v>
      </c>
      <c r="P20124" t="str">
        <f>"15210"</f>
        <v>15210</v>
      </c>
    </row>
    <row r="20125" spans="1:16" x14ac:dyDescent="0.25">
      <c r="A20125" t="str">
        <f>"1290060H00307    00"</f>
        <v>1290060H00307    00</v>
      </c>
      <c r="B20125" t="s">
        <v>43672</v>
      </c>
      <c r="C20125" t="s">
        <v>43673</v>
      </c>
      <c r="D20125" t="s">
        <v>20</v>
      </c>
      <c r="E20125" t="s">
        <v>39</v>
      </c>
      <c r="F20125">
        <v>0</v>
      </c>
      <c r="G20125">
        <v>0</v>
      </c>
      <c r="H20125">
        <v>8</v>
      </c>
      <c r="I20125" s="3">
        <v>5649.15</v>
      </c>
      <c r="J20125" s="3">
        <v>1379.87</v>
      </c>
      <c r="L20125">
        <v>220</v>
      </c>
      <c r="M20125" t="s">
        <v>43662</v>
      </c>
      <c r="N20125" t="s">
        <v>30</v>
      </c>
      <c r="O20125" t="s">
        <v>31</v>
      </c>
      <c r="P20125" t="str">
        <f>"15210"</f>
        <v>15210</v>
      </c>
    </row>
    <row r="20126" spans="1:16" x14ac:dyDescent="0.25">
      <c r="A20126" t="str">
        <f>"1290060H00308    00"</f>
        <v>1290060H00308    00</v>
      </c>
      <c r="B20126" t="s">
        <v>23532</v>
      </c>
      <c r="C20126" t="s">
        <v>43674</v>
      </c>
      <c r="D20126" t="s">
        <v>20</v>
      </c>
      <c r="E20126" t="s">
        <v>39</v>
      </c>
      <c r="F20126">
        <v>0</v>
      </c>
      <c r="G20126">
        <v>0</v>
      </c>
      <c r="H20126">
        <v>14</v>
      </c>
      <c r="I20126" s="3">
        <v>10668.5</v>
      </c>
      <c r="J20126" s="3">
        <v>7705.02</v>
      </c>
      <c r="L20126">
        <v>328</v>
      </c>
      <c r="M20126" t="s">
        <v>25448</v>
      </c>
      <c r="N20126" t="s">
        <v>30</v>
      </c>
      <c r="O20126" t="s">
        <v>31</v>
      </c>
      <c r="P20126" t="str">
        <f>"15210"</f>
        <v>15210</v>
      </c>
    </row>
    <row r="20127" spans="1:16" x14ac:dyDescent="0.25">
      <c r="A20127" t="str">
        <f>"1290060H00325    00"</f>
        <v>1290060H00325    00</v>
      </c>
      <c r="B20127" t="s">
        <v>43675</v>
      </c>
      <c r="C20127" t="s">
        <v>43676</v>
      </c>
      <c r="D20127" t="s">
        <v>20</v>
      </c>
      <c r="E20127" t="s">
        <v>39</v>
      </c>
      <c r="F20127">
        <v>0</v>
      </c>
      <c r="G20127">
        <v>0</v>
      </c>
      <c r="H20127">
        <v>16</v>
      </c>
      <c r="I20127" s="3">
        <v>14248.09</v>
      </c>
      <c r="J20127" s="3">
        <v>13666.52</v>
      </c>
      <c r="K20127" t="s">
        <v>43677</v>
      </c>
      <c r="L20127">
        <v>15223</v>
      </c>
      <c r="M20127" t="s">
        <v>43678</v>
      </c>
      <c r="N20127" t="s">
        <v>43679</v>
      </c>
      <c r="O20127" t="s">
        <v>495</v>
      </c>
      <c r="P20127" t="str">
        <f>"91744"</f>
        <v>91744</v>
      </c>
    </row>
    <row r="20128" spans="1:16" x14ac:dyDescent="0.25">
      <c r="A20128" t="str">
        <f>"1290060H00330    00"</f>
        <v>1290060H00330    00</v>
      </c>
      <c r="B20128" t="s">
        <v>43680</v>
      </c>
      <c r="C20128" t="s">
        <v>43681</v>
      </c>
      <c r="D20128" t="s">
        <v>20</v>
      </c>
      <c r="E20128" t="s">
        <v>39</v>
      </c>
      <c r="F20128">
        <v>0</v>
      </c>
      <c r="G20128">
        <v>0</v>
      </c>
      <c r="H20128">
        <v>3</v>
      </c>
      <c r="I20128" s="3">
        <v>2091.87</v>
      </c>
      <c r="J20128" s="3">
        <v>7.72</v>
      </c>
      <c r="K20128" t="s">
        <v>43682</v>
      </c>
      <c r="L20128">
        <v>300</v>
      </c>
      <c r="M20128" t="s">
        <v>43662</v>
      </c>
      <c r="N20128" t="s">
        <v>30</v>
      </c>
      <c r="O20128" t="s">
        <v>31</v>
      </c>
      <c r="P20128" t="str">
        <f>"15210"</f>
        <v>15210</v>
      </c>
    </row>
    <row r="20129" spans="1:16" x14ac:dyDescent="0.25">
      <c r="A20129" t="str">
        <f>"1290060H00350    00"</f>
        <v>1290060H00350    00</v>
      </c>
      <c r="B20129" t="s">
        <v>25417</v>
      </c>
      <c r="C20129" t="s">
        <v>43683</v>
      </c>
      <c r="D20129" t="s">
        <v>20</v>
      </c>
      <c r="E20129" t="s">
        <v>39</v>
      </c>
      <c r="F20129">
        <v>0</v>
      </c>
      <c r="G20129">
        <v>0</v>
      </c>
      <c r="H20129">
        <v>1</v>
      </c>
      <c r="I20129" s="3">
        <v>76.260000000000005</v>
      </c>
      <c r="J20129" s="3">
        <v>0</v>
      </c>
      <c r="L20129">
        <v>415</v>
      </c>
      <c r="M20129" t="s">
        <v>22783</v>
      </c>
      <c r="N20129" t="s">
        <v>30</v>
      </c>
      <c r="O20129" t="s">
        <v>31</v>
      </c>
      <c r="P20129" t="str">
        <f>"15211"</f>
        <v>15211</v>
      </c>
    </row>
    <row r="20130" spans="1:16" x14ac:dyDescent="0.25">
      <c r="A20130" t="str">
        <f>"1290060H00351    00"</f>
        <v>1290060H00351    00</v>
      </c>
      <c r="B20130" t="s">
        <v>25417</v>
      </c>
      <c r="C20130" t="s">
        <v>43683</v>
      </c>
      <c r="D20130" t="s">
        <v>20</v>
      </c>
      <c r="E20130" t="s">
        <v>39</v>
      </c>
      <c r="F20130">
        <v>0</v>
      </c>
      <c r="G20130">
        <v>0</v>
      </c>
      <c r="H20130">
        <v>1</v>
      </c>
      <c r="I20130" s="3">
        <v>22.87</v>
      </c>
      <c r="J20130" s="3">
        <v>0</v>
      </c>
      <c r="L20130">
        <v>415</v>
      </c>
      <c r="M20130" t="s">
        <v>43684</v>
      </c>
      <c r="N20130" t="s">
        <v>30</v>
      </c>
      <c r="O20130" t="s">
        <v>31</v>
      </c>
      <c r="P20130" t="str">
        <f>"15211"</f>
        <v>15211</v>
      </c>
    </row>
    <row r="20131" spans="1:16" x14ac:dyDescent="0.25">
      <c r="A20131" t="str">
        <f>"1290060J00142    00"</f>
        <v>1290060J00142    00</v>
      </c>
      <c r="B20131" t="s">
        <v>43685</v>
      </c>
      <c r="C20131" t="s">
        <v>43686</v>
      </c>
      <c r="D20131" t="s">
        <v>20</v>
      </c>
      <c r="E20131" t="s">
        <v>39</v>
      </c>
      <c r="F20131">
        <v>0</v>
      </c>
      <c r="G20131">
        <v>0</v>
      </c>
      <c r="H20131">
        <v>19</v>
      </c>
      <c r="I20131" s="3">
        <v>5048.91</v>
      </c>
      <c r="J20131" s="3">
        <v>6174.8</v>
      </c>
      <c r="L20131">
        <v>1530</v>
      </c>
      <c r="M20131" t="s">
        <v>43687</v>
      </c>
      <c r="N20131" t="s">
        <v>30</v>
      </c>
      <c r="O20131" t="s">
        <v>31</v>
      </c>
      <c r="P20131" t="str">
        <f>"15210"</f>
        <v>15210</v>
      </c>
    </row>
    <row r="20132" spans="1:16" x14ac:dyDescent="0.25">
      <c r="A20132" t="str">
        <f>"1290060J00207    00"</f>
        <v>1290060J00207    00</v>
      </c>
      <c r="B20132" t="s">
        <v>43688</v>
      </c>
      <c r="C20132" t="s">
        <v>43689</v>
      </c>
      <c r="D20132" t="s">
        <v>20</v>
      </c>
      <c r="E20132" t="s">
        <v>39</v>
      </c>
      <c r="F20132">
        <v>0</v>
      </c>
      <c r="G20132">
        <v>0</v>
      </c>
      <c r="H20132">
        <v>4</v>
      </c>
      <c r="I20132" s="3">
        <v>1088.67</v>
      </c>
      <c r="J20132" s="3">
        <v>87.9</v>
      </c>
      <c r="L20132">
        <v>26</v>
      </c>
      <c r="M20132" t="s">
        <v>43690</v>
      </c>
      <c r="N20132" t="s">
        <v>1823</v>
      </c>
      <c r="O20132" t="s">
        <v>31</v>
      </c>
      <c r="P20132" t="str">
        <f>"15024"</f>
        <v>15024</v>
      </c>
    </row>
    <row r="20133" spans="1:16" x14ac:dyDescent="0.25">
      <c r="A20133" t="str">
        <f>"1290060J00219    00"</f>
        <v>1290060J00219    00</v>
      </c>
      <c r="B20133" t="s">
        <v>43691</v>
      </c>
      <c r="C20133" t="s">
        <v>43692</v>
      </c>
      <c r="D20133" t="s">
        <v>20</v>
      </c>
      <c r="E20133" t="s">
        <v>39</v>
      </c>
      <c r="F20133">
        <v>0</v>
      </c>
      <c r="G20133">
        <v>0</v>
      </c>
      <c r="H20133">
        <v>9</v>
      </c>
      <c r="I20133" s="3">
        <v>889.22</v>
      </c>
      <c r="J20133" s="3">
        <v>368.63</v>
      </c>
      <c r="L20133">
        <v>1517</v>
      </c>
      <c r="M20133" t="s">
        <v>43693</v>
      </c>
      <c r="N20133" t="s">
        <v>30</v>
      </c>
      <c r="O20133" t="s">
        <v>31</v>
      </c>
      <c r="P20133" t="str">
        <f>"15210"</f>
        <v>15210</v>
      </c>
    </row>
    <row r="20134" spans="1:16" x14ac:dyDescent="0.25">
      <c r="A20134" t="str">
        <f>"1290060J00234    00"</f>
        <v>1290060J00234    00</v>
      </c>
      <c r="B20134" t="s">
        <v>43694</v>
      </c>
      <c r="C20134" t="s">
        <v>43695</v>
      </c>
      <c r="E20134" t="s">
        <v>39</v>
      </c>
      <c r="F20134">
        <v>0</v>
      </c>
      <c r="G20134">
        <v>0</v>
      </c>
      <c r="H20134">
        <v>1</v>
      </c>
      <c r="I20134" s="3">
        <v>466.98</v>
      </c>
      <c r="J20134" s="3">
        <v>0</v>
      </c>
      <c r="L20134">
        <v>1812</v>
      </c>
      <c r="M20134" t="s">
        <v>1484</v>
      </c>
      <c r="N20134" t="s">
        <v>30</v>
      </c>
      <c r="O20134" t="s">
        <v>31</v>
      </c>
      <c r="P20134" t="str">
        <f>"15203"</f>
        <v>15203</v>
      </c>
    </row>
    <row r="20135" spans="1:16" x14ac:dyDescent="0.25">
      <c r="A20135" t="str">
        <f>"1290060J00254    00"</f>
        <v>1290060J00254    00</v>
      </c>
      <c r="B20135" t="s">
        <v>43696</v>
      </c>
      <c r="C20135" t="s">
        <v>43697</v>
      </c>
      <c r="D20135" t="s">
        <v>20</v>
      </c>
      <c r="E20135" t="s">
        <v>39</v>
      </c>
      <c r="F20135">
        <v>0</v>
      </c>
      <c r="G20135">
        <v>0</v>
      </c>
      <c r="H20135">
        <v>3</v>
      </c>
      <c r="I20135" s="3">
        <v>280.08</v>
      </c>
      <c r="J20135" s="3">
        <v>75.23</v>
      </c>
      <c r="L20135">
        <v>1515</v>
      </c>
      <c r="M20135" t="s">
        <v>43698</v>
      </c>
      <c r="N20135" t="s">
        <v>30</v>
      </c>
      <c r="O20135" t="s">
        <v>31</v>
      </c>
      <c r="P20135" t="str">
        <f>"15210"</f>
        <v>15210</v>
      </c>
    </row>
    <row r="20136" spans="1:16" x14ac:dyDescent="0.25">
      <c r="A20136" t="str">
        <f>"1290060J00256    00"</f>
        <v>1290060J00256    00</v>
      </c>
      <c r="B20136" t="s">
        <v>43696</v>
      </c>
      <c r="C20136" t="s">
        <v>43697</v>
      </c>
      <c r="D20136" t="s">
        <v>20</v>
      </c>
      <c r="E20136" t="s">
        <v>39</v>
      </c>
      <c r="F20136">
        <v>0</v>
      </c>
      <c r="G20136">
        <v>0</v>
      </c>
      <c r="H20136">
        <v>2</v>
      </c>
      <c r="I20136" s="3">
        <v>91.99</v>
      </c>
      <c r="J20136" s="3">
        <v>0</v>
      </c>
      <c r="L20136">
        <v>1515</v>
      </c>
      <c r="M20136" t="s">
        <v>43698</v>
      </c>
      <c r="N20136" t="s">
        <v>30</v>
      </c>
      <c r="O20136" t="s">
        <v>31</v>
      </c>
      <c r="P20136" t="str">
        <f>"15210"</f>
        <v>15210</v>
      </c>
    </row>
    <row r="20137" spans="1:16" x14ac:dyDescent="0.25">
      <c r="A20137" t="str">
        <f>"1290060J00265    00"</f>
        <v>1290060J00265    00</v>
      </c>
      <c r="B20137" t="s">
        <v>43699</v>
      </c>
      <c r="C20137" t="s">
        <v>43700</v>
      </c>
      <c r="D20137" t="s">
        <v>20</v>
      </c>
      <c r="E20137" t="s">
        <v>39</v>
      </c>
      <c r="F20137">
        <v>0</v>
      </c>
      <c r="G20137">
        <v>0</v>
      </c>
      <c r="H20137">
        <v>2</v>
      </c>
      <c r="I20137" s="3">
        <v>771.02</v>
      </c>
      <c r="J20137" s="3">
        <v>0</v>
      </c>
      <c r="K20137" t="s">
        <v>43701</v>
      </c>
      <c r="L20137">
        <v>1531</v>
      </c>
      <c r="M20137" t="s">
        <v>43698</v>
      </c>
      <c r="N20137" t="s">
        <v>30</v>
      </c>
      <c r="O20137" t="s">
        <v>31</v>
      </c>
      <c r="P20137" t="str">
        <f>"15210"</f>
        <v>15210</v>
      </c>
    </row>
    <row r="20138" spans="1:16" x14ac:dyDescent="0.25">
      <c r="A20138" t="str">
        <f>"1290060J00266    00"</f>
        <v>1290060J00266    00</v>
      </c>
      <c r="B20138" t="s">
        <v>43699</v>
      </c>
      <c r="C20138" t="s">
        <v>43697</v>
      </c>
      <c r="D20138" t="s">
        <v>20</v>
      </c>
      <c r="E20138" t="s">
        <v>39</v>
      </c>
      <c r="F20138">
        <v>0</v>
      </c>
      <c r="G20138">
        <v>0</v>
      </c>
      <c r="H20138">
        <v>2</v>
      </c>
      <c r="I20138" s="3">
        <v>106.74</v>
      </c>
      <c r="J20138" s="3">
        <v>0</v>
      </c>
      <c r="K20138" t="s">
        <v>43701</v>
      </c>
      <c r="L20138">
        <v>1531</v>
      </c>
      <c r="M20138" t="s">
        <v>43698</v>
      </c>
      <c r="N20138" t="s">
        <v>30</v>
      </c>
      <c r="O20138" t="s">
        <v>31</v>
      </c>
      <c r="P20138" t="str">
        <f>"15210"</f>
        <v>15210</v>
      </c>
    </row>
    <row r="20139" spans="1:16" x14ac:dyDescent="0.25">
      <c r="A20139" t="str">
        <f>"1290060J00313    00"</f>
        <v>1290060J00313    00</v>
      </c>
      <c r="B20139" t="s">
        <v>43702</v>
      </c>
      <c r="C20139" t="s">
        <v>43703</v>
      </c>
      <c r="E20139" t="s">
        <v>39</v>
      </c>
      <c r="F20139">
        <v>0</v>
      </c>
      <c r="G20139">
        <v>0</v>
      </c>
      <c r="H20139">
        <v>1</v>
      </c>
      <c r="I20139" s="3">
        <v>161.63</v>
      </c>
      <c r="J20139" s="3">
        <v>48.49</v>
      </c>
      <c r="K20139" t="s">
        <v>43704</v>
      </c>
      <c r="L20139">
        <v>240</v>
      </c>
      <c r="M20139" t="s">
        <v>43705</v>
      </c>
      <c r="N20139" t="s">
        <v>30</v>
      </c>
      <c r="O20139" t="s">
        <v>31</v>
      </c>
      <c r="P20139" t="str">
        <f>"15210"</f>
        <v>15210</v>
      </c>
    </row>
    <row r="20140" spans="1:16" x14ac:dyDescent="0.25">
      <c r="A20140" t="str">
        <f>"1290060J00362    00"</f>
        <v>1290060J00362    00</v>
      </c>
      <c r="B20140" t="s">
        <v>43337</v>
      </c>
      <c r="C20140" t="s">
        <v>43706</v>
      </c>
      <c r="D20140" t="s">
        <v>20</v>
      </c>
      <c r="E20140" t="s">
        <v>39</v>
      </c>
      <c r="F20140">
        <v>0</v>
      </c>
      <c r="G20140">
        <v>0</v>
      </c>
      <c r="H20140">
        <v>8</v>
      </c>
      <c r="I20140" s="3">
        <v>6433.59</v>
      </c>
      <c r="J20140" s="3">
        <v>3415.1</v>
      </c>
      <c r="L20140">
        <v>1322</v>
      </c>
      <c r="M20140" t="s">
        <v>30053</v>
      </c>
      <c r="N20140" t="s">
        <v>30</v>
      </c>
      <c r="O20140" t="s">
        <v>31</v>
      </c>
      <c r="P20140" t="str">
        <f>"15226"</f>
        <v>15226</v>
      </c>
    </row>
    <row r="20141" spans="1:16" x14ac:dyDescent="0.25">
      <c r="A20141" t="str">
        <f>"1290060K00152    00"</f>
        <v>1290060K00152    00</v>
      </c>
      <c r="B20141" t="s">
        <v>43707</v>
      </c>
      <c r="C20141" t="s">
        <v>43708</v>
      </c>
      <c r="D20141" t="s">
        <v>20</v>
      </c>
      <c r="E20141" t="s">
        <v>39</v>
      </c>
      <c r="F20141">
        <v>0</v>
      </c>
      <c r="G20141">
        <v>0</v>
      </c>
      <c r="H20141">
        <v>14</v>
      </c>
      <c r="I20141" s="3">
        <v>4144.82</v>
      </c>
      <c r="J20141" s="3">
        <v>4921.05</v>
      </c>
      <c r="L20141">
        <v>2644</v>
      </c>
      <c r="M20141" t="s">
        <v>2837</v>
      </c>
      <c r="N20141" t="s">
        <v>30</v>
      </c>
      <c r="O20141" t="s">
        <v>31</v>
      </c>
      <c r="P20141" t="str">
        <f>"15226"</f>
        <v>15226</v>
      </c>
    </row>
    <row r="20142" spans="1:16" x14ac:dyDescent="0.25">
      <c r="A20142" t="str">
        <f>"1290060K00187    00"</f>
        <v>1290060K00187    00</v>
      </c>
      <c r="B20142" t="s">
        <v>25693</v>
      </c>
      <c r="C20142" t="s">
        <v>43709</v>
      </c>
      <c r="D20142" t="s">
        <v>20</v>
      </c>
      <c r="E20142" t="s">
        <v>39</v>
      </c>
      <c r="F20142">
        <v>0</v>
      </c>
      <c r="G20142">
        <v>0</v>
      </c>
      <c r="H20142">
        <v>2</v>
      </c>
      <c r="I20142" s="3">
        <v>766.3</v>
      </c>
      <c r="J20142" s="3">
        <v>0</v>
      </c>
      <c r="M20142" t="s">
        <v>25695</v>
      </c>
      <c r="N20142" t="s">
        <v>30</v>
      </c>
      <c r="O20142" t="s">
        <v>31</v>
      </c>
      <c r="P20142" t="str">
        <f>"15210"</f>
        <v>15210</v>
      </c>
    </row>
    <row r="20143" spans="1:16" x14ac:dyDescent="0.25">
      <c r="A20143" t="str">
        <f>"1290060K00203    00"</f>
        <v>1290060K00203    00</v>
      </c>
      <c r="B20143" t="s">
        <v>43710</v>
      </c>
      <c r="C20143" t="s">
        <v>43711</v>
      </c>
      <c r="D20143" t="s">
        <v>20</v>
      </c>
      <c r="E20143" t="s">
        <v>39</v>
      </c>
      <c r="F20143">
        <v>0</v>
      </c>
      <c r="G20143">
        <v>0</v>
      </c>
      <c r="H20143">
        <v>16</v>
      </c>
      <c r="I20143" s="3">
        <v>12094.61</v>
      </c>
      <c r="J20143" s="3">
        <v>8325.67</v>
      </c>
      <c r="K20143" t="s">
        <v>43712</v>
      </c>
      <c r="L20143">
        <v>815</v>
      </c>
      <c r="M20143" t="s">
        <v>43713</v>
      </c>
      <c r="N20143" t="s">
        <v>30</v>
      </c>
      <c r="O20143" t="s">
        <v>31</v>
      </c>
      <c r="P20143" t="str">
        <f>"15232"</f>
        <v>15232</v>
      </c>
    </row>
    <row r="20144" spans="1:16" x14ac:dyDescent="0.25">
      <c r="A20144" t="str">
        <f>"1290060K00205    00"</f>
        <v>1290060K00205    00</v>
      </c>
      <c r="B20144" t="s">
        <v>43714</v>
      </c>
      <c r="C20144" t="s">
        <v>43715</v>
      </c>
      <c r="D20144" t="s">
        <v>20</v>
      </c>
      <c r="E20144" t="s">
        <v>39</v>
      </c>
      <c r="F20144">
        <v>0</v>
      </c>
      <c r="G20144">
        <v>0</v>
      </c>
      <c r="H20144">
        <v>17</v>
      </c>
      <c r="I20144" s="3">
        <v>8406.4699999999993</v>
      </c>
      <c r="J20144" s="3">
        <v>8765.3700000000008</v>
      </c>
      <c r="L20144">
        <v>399</v>
      </c>
      <c r="M20144" t="s">
        <v>9319</v>
      </c>
      <c r="N20144" t="s">
        <v>30</v>
      </c>
      <c r="O20144" t="s">
        <v>31</v>
      </c>
      <c r="P20144" t="str">
        <f>"15236"</f>
        <v>15236</v>
      </c>
    </row>
    <row r="20145" spans="1:16" x14ac:dyDescent="0.25">
      <c r="A20145" t="str">
        <f>"1290060K00207    00"</f>
        <v>1290060K00207    00</v>
      </c>
      <c r="B20145" t="s">
        <v>2909</v>
      </c>
      <c r="C20145" t="s">
        <v>43716</v>
      </c>
      <c r="D20145" t="s">
        <v>20</v>
      </c>
      <c r="E20145" t="s">
        <v>39</v>
      </c>
      <c r="F20145">
        <v>0</v>
      </c>
      <c r="G20145">
        <v>0</v>
      </c>
      <c r="H20145">
        <v>2</v>
      </c>
      <c r="I20145" s="3">
        <v>1601.08</v>
      </c>
      <c r="J20145" s="3">
        <v>0</v>
      </c>
      <c r="K20145" t="s">
        <v>2910</v>
      </c>
      <c r="L20145">
        <v>10</v>
      </c>
      <c r="M20145" t="s">
        <v>2911</v>
      </c>
      <c r="N20145" t="s">
        <v>30</v>
      </c>
      <c r="O20145" t="s">
        <v>31</v>
      </c>
      <c r="P20145" t="str">
        <f>"15203"</f>
        <v>15203</v>
      </c>
    </row>
    <row r="20146" spans="1:16" x14ac:dyDescent="0.25">
      <c r="A20146" t="str">
        <f>"1290060K00211    00"</f>
        <v>1290060K00211    00</v>
      </c>
      <c r="B20146" t="s">
        <v>43717</v>
      </c>
      <c r="C20146" t="s">
        <v>43718</v>
      </c>
      <c r="D20146" t="s">
        <v>20</v>
      </c>
      <c r="E20146" t="s">
        <v>39</v>
      </c>
      <c r="F20146">
        <v>0</v>
      </c>
      <c r="G20146">
        <v>0</v>
      </c>
      <c r="H20146">
        <v>2</v>
      </c>
      <c r="I20146" s="3">
        <v>767.88</v>
      </c>
      <c r="J20146" s="3">
        <v>0</v>
      </c>
      <c r="L20146">
        <v>1638</v>
      </c>
      <c r="M20146" t="s">
        <v>43719</v>
      </c>
      <c r="N20146" t="s">
        <v>30</v>
      </c>
      <c r="O20146" t="s">
        <v>31</v>
      </c>
      <c r="P20146" t="str">
        <f>"15210"</f>
        <v>15210</v>
      </c>
    </row>
    <row r="20147" spans="1:16" x14ac:dyDescent="0.25">
      <c r="A20147" t="str">
        <f>"1290060K00278    00"</f>
        <v>1290060K00278    00</v>
      </c>
      <c r="B20147" t="s">
        <v>27190</v>
      </c>
      <c r="C20147" t="s">
        <v>43720</v>
      </c>
      <c r="D20147" t="s">
        <v>20</v>
      </c>
      <c r="E20147" t="s">
        <v>39</v>
      </c>
      <c r="F20147">
        <v>0</v>
      </c>
      <c r="G20147">
        <v>0</v>
      </c>
      <c r="H20147">
        <v>2</v>
      </c>
      <c r="I20147" s="3">
        <v>1143.6400000000001</v>
      </c>
      <c r="J20147" s="3">
        <v>0</v>
      </c>
      <c r="L20147">
        <v>415</v>
      </c>
      <c r="M20147" t="s">
        <v>22783</v>
      </c>
      <c r="N20147" t="s">
        <v>30</v>
      </c>
      <c r="O20147" t="s">
        <v>31</v>
      </c>
      <c r="P20147" t="str">
        <f>"15211"</f>
        <v>15211</v>
      </c>
    </row>
    <row r="20148" spans="1:16" x14ac:dyDescent="0.25">
      <c r="A20148" t="str">
        <f>"1290060K00280    00"</f>
        <v>1290060K00280    00</v>
      </c>
      <c r="B20148" t="s">
        <v>43721</v>
      </c>
      <c r="C20148" t="s">
        <v>43722</v>
      </c>
      <c r="D20148" t="s">
        <v>20</v>
      </c>
      <c r="E20148" t="s">
        <v>39</v>
      </c>
      <c r="F20148">
        <v>0</v>
      </c>
      <c r="G20148">
        <v>0</v>
      </c>
      <c r="H20148">
        <v>3</v>
      </c>
      <c r="I20148" s="3">
        <v>1119.6600000000001</v>
      </c>
      <c r="J20148" s="3">
        <v>64.69</v>
      </c>
      <c r="L20148">
        <v>1619</v>
      </c>
      <c r="M20148" t="s">
        <v>43719</v>
      </c>
      <c r="N20148" t="s">
        <v>30</v>
      </c>
      <c r="O20148" t="s">
        <v>31</v>
      </c>
      <c r="P20148" t="str">
        <f>"15210"</f>
        <v>15210</v>
      </c>
    </row>
    <row r="20149" spans="1:16" x14ac:dyDescent="0.25">
      <c r="A20149" t="str">
        <f>"1290060L00002    00"</f>
        <v>1290060L00002    00</v>
      </c>
      <c r="B20149" t="s">
        <v>43723</v>
      </c>
      <c r="C20149" t="s">
        <v>43724</v>
      </c>
      <c r="D20149" t="s">
        <v>20</v>
      </c>
      <c r="E20149" t="s">
        <v>39</v>
      </c>
      <c r="F20149">
        <v>0</v>
      </c>
      <c r="G20149">
        <v>0</v>
      </c>
      <c r="H20149">
        <v>6</v>
      </c>
      <c r="I20149" s="3">
        <v>3880.6</v>
      </c>
      <c r="J20149" s="3">
        <v>807.24</v>
      </c>
      <c r="L20149">
        <v>1718</v>
      </c>
      <c r="M20149" t="s">
        <v>43719</v>
      </c>
      <c r="N20149" t="s">
        <v>30</v>
      </c>
      <c r="O20149" t="s">
        <v>31</v>
      </c>
      <c r="P20149" t="str">
        <f>"15210"</f>
        <v>15210</v>
      </c>
    </row>
    <row r="20150" spans="1:16" x14ac:dyDescent="0.25">
      <c r="A20150" t="str">
        <f>"1290060L00005    00"</f>
        <v>1290060L00005    00</v>
      </c>
      <c r="B20150" t="s">
        <v>43725</v>
      </c>
      <c r="C20150" t="s">
        <v>43726</v>
      </c>
      <c r="E20150" t="s">
        <v>39</v>
      </c>
      <c r="F20150">
        <v>0</v>
      </c>
      <c r="G20150">
        <v>0</v>
      </c>
      <c r="H20150">
        <v>1</v>
      </c>
      <c r="I20150" s="3">
        <v>476.5</v>
      </c>
      <c r="J20150" s="3">
        <v>0</v>
      </c>
      <c r="K20150" t="s">
        <v>43727</v>
      </c>
      <c r="L20150">
        <v>1728</v>
      </c>
      <c r="M20150" t="s">
        <v>43719</v>
      </c>
      <c r="N20150" t="s">
        <v>30</v>
      </c>
      <c r="O20150" t="s">
        <v>31</v>
      </c>
      <c r="P20150" t="str">
        <f>"15210"</f>
        <v>15210</v>
      </c>
    </row>
    <row r="20151" spans="1:16" x14ac:dyDescent="0.25">
      <c r="A20151" t="str">
        <f>"1290060L00014    00"</f>
        <v>1290060L00014    00</v>
      </c>
      <c r="B20151" t="s">
        <v>2909</v>
      </c>
      <c r="C20151" t="s">
        <v>43728</v>
      </c>
      <c r="E20151" t="s">
        <v>39</v>
      </c>
      <c r="F20151">
        <v>0</v>
      </c>
      <c r="G20151">
        <v>0</v>
      </c>
      <c r="H20151">
        <v>1</v>
      </c>
      <c r="I20151" s="3">
        <v>643.70000000000005</v>
      </c>
      <c r="J20151" s="3">
        <v>0</v>
      </c>
      <c r="K20151" t="s">
        <v>2910</v>
      </c>
      <c r="L20151">
        <v>10</v>
      </c>
      <c r="M20151" t="s">
        <v>2911</v>
      </c>
      <c r="N20151" t="s">
        <v>30</v>
      </c>
      <c r="O20151" t="s">
        <v>31</v>
      </c>
      <c r="P20151" t="str">
        <f>"15203"</f>
        <v>15203</v>
      </c>
    </row>
    <row r="20152" spans="1:16" x14ac:dyDescent="0.25">
      <c r="A20152" t="str">
        <f>"1290060L00027    00"</f>
        <v>1290060L00027    00</v>
      </c>
      <c r="B20152" t="s">
        <v>43729</v>
      </c>
      <c r="C20152" t="s">
        <v>43730</v>
      </c>
      <c r="D20152" t="s">
        <v>20</v>
      </c>
      <c r="E20152" t="s">
        <v>39</v>
      </c>
      <c r="F20152">
        <v>0</v>
      </c>
      <c r="G20152">
        <v>0</v>
      </c>
      <c r="H20152">
        <v>3</v>
      </c>
      <c r="I20152" s="3">
        <v>983.55</v>
      </c>
      <c r="J20152" s="3">
        <v>65.56</v>
      </c>
      <c r="K20152" t="s">
        <v>43731</v>
      </c>
      <c r="L20152">
        <v>1646</v>
      </c>
      <c r="M20152" t="s">
        <v>43592</v>
      </c>
      <c r="N20152" t="s">
        <v>30</v>
      </c>
      <c r="O20152" t="s">
        <v>31</v>
      </c>
      <c r="P20152" t="str">
        <f>"15210"</f>
        <v>15210</v>
      </c>
    </row>
    <row r="20153" spans="1:16" x14ac:dyDescent="0.25">
      <c r="A20153" t="str">
        <f>"1290060L00034    00"</f>
        <v>1290060L00034    00</v>
      </c>
      <c r="B20153" t="s">
        <v>43732</v>
      </c>
      <c r="C20153" t="s">
        <v>43733</v>
      </c>
      <c r="D20153" t="s">
        <v>20</v>
      </c>
      <c r="E20153" t="s">
        <v>39</v>
      </c>
      <c r="F20153">
        <v>0</v>
      </c>
      <c r="G20153">
        <v>0</v>
      </c>
      <c r="H20153">
        <v>2</v>
      </c>
      <c r="I20153" s="3">
        <v>347.12</v>
      </c>
      <c r="J20153" s="3">
        <v>0</v>
      </c>
      <c r="L20153">
        <v>1634</v>
      </c>
      <c r="M20153" t="s">
        <v>43592</v>
      </c>
      <c r="N20153" t="s">
        <v>30</v>
      </c>
      <c r="O20153" t="s">
        <v>31</v>
      </c>
      <c r="P20153" t="str">
        <f>"15210"</f>
        <v>15210</v>
      </c>
    </row>
    <row r="20154" spans="1:16" x14ac:dyDescent="0.25">
      <c r="A20154" t="str">
        <f>"1290060L00041    00"</f>
        <v>1290060L00041    00</v>
      </c>
      <c r="B20154" t="s">
        <v>26329</v>
      </c>
      <c r="C20154" t="s">
        <v>43734</v>
      </c>
      <c r="D20154" t="s">
        <v>20</v>
      </c>
      <c r="E20154" t="s">
        <v>39</v>
      </c>
      <c r="F20154">
        <v>0</v>
      </c>
      <c r="G20154">
        <v>0</v>
      </c>
      <c r="H20154">
        <v>8</v>
      </c>
      <c r="I20154" s="3">
        <v>3438.09</v>
      </c>
      <c r="J20154" s="3">
        <v>964</v>
      </c>
      <c r="L20154">
        <v>110</v>
      </c>
      <c r="M20154" t="s">
        <v>26331</v>
      </c>
      <c r="N20154" t="s">
        <v>30</v>
      </c>
      <c r="O20154" t="s">
        <v>31</v>
      </c>
      <c r="P20154" t="str">
        <f>"15214"</f>
        <v>15214</v>
      </c>
    </row>
    <row r="20155" spans="1:16" x14ac:dyDescent="0.25">
      <c r="A20155" t="str">
        <f>"1290060L00049    00"</f>
        <v>1290060L00049    00</v>
      </c>
      <c r="B20155" t="s">
        <v>43735</v>
      </c>
      <c r="C20155" t="s">
        <v>43736</v>
      </c>
      <c r="D20155" t="s">
        <v>20</v>
      </c>
      <c r="E20155" t="s">
        <v>39</v>
      </c>
      <c r="F20155">
        <v>0</v>
      </c>
      <c r="G20155">
        <v>0</v>
      </c>
      <c r="H20155">
        <v>15</v>
      </c>
      <c r="I20155" s="3">
        <v>14823.02</v>
      </c>
      <c r="J20155" s="3">
        <v>10399.879999999999</v>
      </c>
      <c r="L20155">
        <v>108</v>
      </c>
      <c r="M20155" t="s">
        <v>43737</v>
      </c>
      <c r="N20155" t="s">
        <v>30</v>
      </c>
      <c r="O20155" t="s">
        <v>31</v>
      </c>
      <c r="P20155" t="str">
        <f>"15210"</f>
        <v>15210</v>
      </c>
    </row>
    <row r="20156" spans="1:16" x14ac:dyDescent="0.25">
      <c r="A20156" t="str">
        <f>"1290060L00062    00"</f>
        <v>1290060L00062    00</v>
      </c>
      <c r="B20156" t="s">
        <v>43360</v>
      </c>
      <c r="C20156" t="s">
        <v>43738</v>
      </c>
      <c r="E20156" t="s">
        <v>39</v>
      </c>
      <c r="F20156">
        <v>0</v>
      </c>
      <c r="G20156">
        <v>0</v>
      </c>
      <c r="H20156">
        <v>1</v>
      </c>
      <c r="I20156" s="3">
        <v>918.7</v>
      </c>
      <c r="J20156" s="3">
        <v>0</v>
      </c>
      <c r="K20156" t="s">
        <v>43362</v>
      </c>
      <c r="L20156">
        <v>540</v>
      </c>
      <c r="M20156" t="s">
        <v>43739</v>
      </c>
      <c r="N20156" t="s">
        <v>30</v>
      </c>
      <c r="O20156" t="s">
        <v>31</v>
      </c>
      <c r="P20156" t="str">
        <f>"15213"</f>
        <v>15213</v>
      </c>
    </row>
    <row r="20157" spans="1:16" x14ac:dyDescent="0.25">
      <c r="A20157" t="str">
        <f>"1290060L00077    00"</f>
        <v>1290060L00077    00</v>
      </c>
      <c r="B20157" t="s">
        <v>22139</v>
      </c>
      <c r="C20157" t="s">
        <v>43740</v>
      </c>
      <c r="D20157" t="s">
        <v>20</v>
      </c>
      <c r="E20157" t="s">
        <v>39</v>
      </c>
      <c r="F20157">
        <v>0</v>
      </c>
      <c r="G20157">
        <v>0</v>
      </c>
      <c r="H20157">
        <v>1</v>
      </c>
      <c r="I20157" s="3">
        <v>533.70000000000005</v>
      </c>
      <c r="J20157" s="3">
        <v>0</v>
      </c>
      <c r="L20157">
        <v>154</v>
      </c>
      <c r="M20157" t="s">
        <v>22141</v>
      </c>
      <c r="N20157" t="s">
        <v>30</v>
      </c>
      <c r="O20157" t="s">
        <v>31</v>
      </c>
      <c r="P20157" t="str">
        <f>"15236"</f>
        <v>15236</v>
      </c>
    </row>
    <row r="20158" spans="1:16" x14ac:dyDescent="0.25">
      <c r="A20158" t="str">
        <f>"1290060L00106    00"</f>
        <v>1290060L00106    00</v>
      </c>
      <c r="B20158" t="s">
        <v>43741</v>
      </c>
      <c r="C20158" t="s">
        <v>43742</v>
      </c>
      <c r="D20158" t="s">
        <v>20</v>
      </c>
      <c r="E20158" t="s">
        <v>39</v>
      </c>
      <c r="F20158">
        <v>0</v>
      </c>
      <c r="G20158">
        <v>0</v>
      </c>
      <c r="H20158">
        <v>6</v>
      </c>
      <c r="I20158" s="3">
        <v>4156.95</v>
      </c>
      <c r="J20158" s="3">
        <v>932.32</v>
      </c>
      <c r="L20158">
        <v>1500</v>
      </c>
      <c r="M20158" t="s">
        <v>43743</v>
      </c>
      <c r="N20158" t="s">
        <v>30</v>
      </c>
      <c r="O20158" t="s">
        <v>31</v>
      </c>
      <c r="P20158" t="str">
        <f>"15236"</f>
        <v>15236</v>
      </c>
    </row>
    <row r="20159" spans="1:16" x14ac:dyDescent="0.25">
      <c r="A20159" t="str">
        <f>"1290060L00110    00"</f>
        <v>1290060L00110    00</v>
      </c>
      <c r="B20159" t="s">
        <v>43744</v>
      </c>
      <c r="C20159" t="s">
        <v>43745</v>
      </c>
      <c r="D20159" t="s">
        <v>20</v>
      </c>
      <c r="E20159" t="s">
        <v>39</v>
      </c>
      <c r="F20159">
        <v>0</v>
      </c>
      <c r="G20159">
        <v>0</v>
      </c>
      <c r="H20159">
        <v>4</v>
      </c>
      <c r="I20159" s="3">
        <v>3888.24</v>
      </c>
      <c r="J20159" s="3">
        <v>459.3</v>
      </c>
      <c r="K20159" t="s">
        <v>43746</v>
      </c>
      <c r="L20159">
        <v>1518</v>
      </c>
      <c r="M20159" t="s">
        <v>8048</v>
      </c>
      <c r="N20159" t="s">
        <v>30</v>
      </c>
      <c r="O20159" t="s">
        <v>31</v>
      </c>
      <c r="P20159" t="str">
        <f>"15210"</f>
        <v>15210</v>
      </c>
    </row>
    <row r="20160" spans="1:16" x14ac:dyDescent="0.25">
      <c r="A20160" t="str">
        <f>"1290060L00121    00"</f>
        <v>1290060L00121    00</v>
      </c>
      <c r="B20160" t="s">
        <v>43315</v>
      </c>
      <c r="C20160" t="s">
        <v>43747</v>
      </c>
      <c r="D20160" t="s">
        <v>20</v>
      </c>
      <c r="E20160" t="s">
        <v>39</v>
      </c>
      <c r="F20160">
        <v>0</v>
      </c>
      <c r="G20160">
        <v>0</v>
      </c>
      <c r="H20160">
        <v>1</v>
      </c>
      <c r="I20160" s="3">
        <v>903.45</v>
      </c>
      <c r="J20160" s="3">
        <v>0</v>
      </c>
      <c r="K20160" t="s">
        <v>43317</v>
      </c>
      <c r="L20160">
        <v>1317</v>
      </c>
      <c r="M20160" t="s">
        <v>43318</v>
      </c>
      <c r="N20160" t="s">
        <v>509</v>
      </c>
      <c r="O20160" t="s">
        <v>31</v>
      </c>
      <c r="P20160" t="str">
        <f>"19146"</f>
        <v>19146</v>
      </c>
    </row>
    <row r="20161" spans="1:16" x14ac:dyDescent="0.25">
      <c r="A20161" t="str">
        <f>"1290060L00136    00"</f>
        <v>1290060L00136    00</v>
      </c>
      <c r="B20161" t="s">
        <v>43748</v>
      </c>
      <c r="C20161" t="s">
        <v>43749</v>
      </c>
      <c r="D20161" t="s">
        <v>20</v>
      </c>
      <c r="E20161" t="s">
        <v>39</v>
      </c>
      <c r="F20161">
        <v>0</v>
      </c>
      <c r="G20161">
        <v>0</v>
      </c>
      <c r="H20161">
        <v>1</v>
      </c>
      <c r="I20161" s="3">
        <v>798.62</v>
      </c>
      <c r="J20161" s="3">
        <v>0</v>
      </c>
      <c r="K20161" t="s">
        <v>43750</v>
      </c>
      <c r="L20161">
        <v>22</v>
      </c>
      <c r="M20161" t="s">
        <v>25784</v>
      </c>
      <c r="N20161" t="s">
        <v>30</v>
      </c>
      <c r="O20161" t="s">
        <v>31</v>
      </c>
      <c r="P20161" t="str">
        <f>"15210"</f>
        <v>15210</v>
      </c>
    </row>
    <row r="20162" spans="1:16" x14ac:dyDescent="0.25">
      <c r="A20162" t="str">
        <f>"1290060L00201    00"</f>
        <v>1290060L00201    00</v>
      </c>
      <c r="B20162" t="s">
        <v>43751</v>
      </c>
      <c r="C20162" t="s">
        <v>43752</v>
      </c>
      <c r="E20162" t="s">
        <v>39</v>
      </c>
      <c r="F20162">
        <v>0</v>
      </c>
      <c r="G20162">
        <v>0</v>
      </c>
      <c r="H20162">
        <v>6</v>
      </c>
      <c r="I20162" s="3">
        <v>7741.93</v>
      </c>
      <c r="J20162" s="3">
        <v>4667.91</v>
      </c>
      <c r="L20162">
        <v>1549</v>
      </c>
      <c r="M20162" t="s">
        <v>43753</v>
      </c>
      <c r="N20162" t="s">
        <v>30</v>
      </c>
      <c r="O20162" t="s">
        <v>31</v>
      </c>
      <c r="P20162" t="str">
        <f>"15221"</f>
        <v>15221</v>
      </c>
    </row>
    <row r="20163" spans="1:16" x14ac:dyDescent="0.25">
      <c r="A20163" t="str">
        <f>"1290060L00202    00"</f>
        <v>1290060L00202    00</v>
      </c>
      <c r="B20163" t="s">
        <v>43754</v>
      </c>
      <c r="C20163" t="s">
        <v>43755</v>
      </c>
      <c r="D20163" t="s">
        <v>20</v>
      </c>
      <c r="E20163" t="s">
        <v>21</v>
      </c>
      <c r="F20163">
        <v>0</v>
      </c>
      <c r="G20163">
        <v>0</v>
      </c>
      <c r="H20163">
        <v>2</v>
      </c>
      <c r="I20163" s="3">
        <v>434.76</v>
      </c>
      <c r="J20163" s="3">
        <v>0</v>
      </c>
      <c r="K20163" t="s">
        <v>43756</v>
      </c>
      <c r="L20163">
        <v>1628</v>
      </c>
      <c r="M20163" t="s">
        <v>43757</v>
      </c>
      <c r="N20163" t="s">
        <v>30</v>
      </c>
      <c r="O20163" t="s">
        <v>31</v>
      </c>
      <c r="P20163" t="str">
        <f>"15210"</f>
        <v>15210</v>
      </c>
    </row>
    <row r="20164" spans="1:16" x14ac:dyDescent="0.25">
      <c r="A20164" t="str">
        <f>"1290060L00204    00"</f>
        <v>1290060L00204    00</v>
      </c>
      <c r="B20164" t="s">
        <v>43758</v>
      </c>
      <c r="C20164" t="s">
        <v>43755</v>
      </c>
      <c r="D20164" t="s">
        <v>20</v>
      </c>
      <c r="E20164" t="s">
        <v>21</v>
      </c>
      <c r="F20164">
        <v>0</v>
      </c>
      <c r="G20164">
        <v>0</v>
      </c>
      <c r="H20164">
        <v>3</v>
      </c>
      <c r="I20164" s="3">
        <v>7062.54</v>
      </c>
      <c r="J20164" s="3">
        <v>815.35</v>
      </c>
      <c r="K20164" t="s">
        <v>43759</v>
      </c>
      <c r="L20164">
        <v>1628</v>
      </c>
      <c r="M20164" t="s">
        <v>8048</v>
      </c>
      <c r="N20164" t="s">
        <v>30</v>
      </c>
      <c r="O20164" t="s">
        <v>31</v>
      </c>
      <c r="P20164" t="str">
        <f>"15210"</f>
        <v>15210</v>
      </c>
    </row>
    <row r="20165" spans="1:16" x14ac:dyDescent="0.25">
      <c r="A20165" t="str">
        <f>"1290060L00238    00"</f>
        <v>1290060L00238    00</v>
      </c>
      <c r="B20165" t="s">
        <v>43236</v>
      </c>
      <c r="C20165" t="s">
        <v>43760</v>
      </c>
      <c r="D20165" t="s">
        <v>20</v>
      </c>
      <c r="E20165" t="s">
        <v>21</v>
      </c>
      <c r="F20165">
        <v>0</v>
      </c>
      <c r="G20165">
        <v>0</v>
      </c>
      <c r="H20165">
        <v>2</v>
      </c>
      <c r="I20165" s="3">
        <v>2668.4</v>
      </c>
      <c r="J20165" s="3">
        <v>0</v>
      </c>
      <c r="L20165">
        <v>342</v>
      </c>
      <c r="M20165" t="s">
        <v>43238</v>
      </c>
      <c r="N20165" t="s">
        <v>30</v>
      </c>
      <c r="O20165" t="s">
        <v>31</v>
      </c>
      <c r="P20165" t="str">
        <f>"15210"</f>
        <v>15210</v>
      </c>
    </row>
    <row r="20166" spans="1:16" x14ac:dyDescent="0.25">
      <c r="A20166" t="str">
        <f>"1290060L00241    00"</f>
        <v>1290060L00241    00</v>
      </c>
      <c r="B20166" t="s">
        <v>43761</v>
      </c>
      <c r="C20166" t="s">
        <v>43762</v>
      </c>
      <c r="E20166" t="s">
        <v>21</v>
      </c>
      <c r="F20166">
        <v>0</v>
      </c>
      <c r="G20166">
        <v>0</v>
      </c>
      <c r="H20166">
        <v>3</v>
      </c>
      <c r="I20166" s="3">
        <v>3001.88</v>
      </c>
      <c r="J20166" s="3">
        <v>63.12</v>
      </c>
      <c r="K20166" t="s">
        <v>43763</v>
      </c>
      <c r="L20166">
        <v>301</v>
      </c>
      <c r="M20166" t="s">
        <v>27399</v>
      </c>
      <c r="N20166" t="s">
        <v>30</v>
      </c>
      <c r="O20166" t="s">
        <v>31</v>
      </c>
      <c r="P20166" t="str">
        <f>"15211"</f>
        <v>15211</v>
      </c>
    </row>
    <row r="20167" spans="1:16" x14ac:dyDescent="0.25">
      <c r="A20167" t="str">
        <f>"1290060L00243    00"</f>
        <v>1290060L00243    00</v>
      </c>
      <c r="B20167" t="s">
        <v>43764</v>
      </c>
      <c r="C20167" t="s">
        <v>43765</v>
      </c>
      <c r="D20167" t="s">
        <v>20</v>
      </c>
      <c r="E20167" t="s">
        <v>21</v>
      </c>
      <c r="F20167">
        <v>0</v>
      </c>
      <c r="G20167">
        <v>0</v>
      </c>
      <c r="H20167">
        <v>2</v>
      </c>
      <c r="I20167" s="3">
        <v>2794.22</v>
      </c>
      <c r="J20167" s="3">
        <v>0</v>
      </c>
      <c r="K20167" t="s">
        <v>43766</v>
      </c>
      <c r="L20167">
        <v>2312</v>
      </c>
      <c r="M20167" t="s">
        <v>28464</v>
      </c>
      <c r="N20167" t="s">
        <v>28465</v>
      </c>
      <c r="O20167" t="s">
        <v>495</v>
      </c>
      <c r="P20167" t="str">
        <f>"95242"</f>
        <v>95242</v>
      </c>
    </row>
    <row r="20168" spans="1:16" x14ac:dyDescent="0.25">
      <c r="A20168" t="str">
        <f>"1290060L00284    00"</f>
        <v>1290060L00284    00</v>
      </c>
      <c r="B20168" t="s">
        <v>43767</v>
      </c>
      <c r="C20168" t="s">
        <v>43768</v>
      </c>
      <c r="D20168" t="s">
        <v>20</v>
      </c>
      <c r="E20168" t="s">
        <v>39</v>
      </c>
      <c r="F20168">
        <v>0</v>
      </c>
      <c r="G20168">
        <v>0</v>
      </c>
      <c r="H20168">
        <v>11</v>
      </c>
      <c r="I20168" s="3">
        <v>11704.81</v>
      </c>
      <c r="J20168" s="3">
        <v>5438.53</v>
      </c>
      <c r="K20168" t="s">
        <v>15620</v>
      </c>
      <c r="L20168">
        <v>3407</v>
      </c>
      <c r="M20168" t="s">
        <v>43769</v>
      </c>
      <c r="N20168" t="s">
        <v>238</v>
      </c>
      <c r="O20168" t="s">
        <v>31</v>
      </c>
      <c r="P20168" t="str">
        <f>"15132"</f>
        <v>15132</v>
      </c>
    </row>
    <row r="20169" spans="1:16" x14ac:dyDescent="0.25">
      <c r="A20169" t="str">
        <f>"1290060L00287    00"</f>
        <v>1290060L00287    00</v>
      </c>
      <c r="B20169" t="s">
        <v>43770</v>
      </c>
      <c r="C20169" t="s">
        <v>43771</v>
      </c>
      <c r="D20169" t="s">
        <v>20</v>
      </c>
      <c r="E20169" t="s">
        <v>21</v>
      </c>
      <c r="F20169">
        <v>0</v>
      </c>
      <c r="G20169">
        <v>0</v>
      </c>
      <c r="H20169">
        <v>10</v>
      </c>
      <c r="I20169" s="3">
        <v>4767.91</v>
      </c>
      <c r="J20169" s="3">
        <v>2891.87</v>
      </c>
      <c r="L20169">
        <v>2015</v>
      </c>
      <c r="M20169" t="s">
        <v>30949</v>
      </c>
      <c r="N20169" t="s">
        <v>2187</v>
      </c>
      <c r="O20169" t="s">
        <v>31</v>
      </c>
      <c r="P20169" t="str">
        <f>"15135"</f>
        <v>15135</v>
      </c>
    </row>
    <row r="20170" spans="1:16" x14ac:dyDescent="0.25">
      <c r="A20170" t="str">
        <f>"1290060L00292    00"</f>
        <v>1290060L00292    00</v>
      </c>
      <c r="B20170" t="s">
        <v>43772</v>
      </c>
      <c r="C20170" t="s">
        <v>43773</v>
      </c>
      <c r="D20170" t="s">
        <v>20</v>
      </c>
      <c r="E20170" t="s">
        <v>21</v>
      </c>
      <c r="F20170">
        <v>0</v>
      </c>
      <c r="G20170">
        <v>0</v>
      </c>
      <c r="H20170">
        <v>3</v>
      </c>
      <c r="I20170" s="3">
        <v>4613.01</v>
      </c>
      <c r="J20170" s="3">
        <v>418.38</v>
      </c>
      <c r="K20170" t="s">
        <v>43774</v>
      </c>
      <c r="L20170">
        <v>4055</v>
      </c>
      <c r="M20170" t="s">
        <v>8048</v>
      </c>
      <c r="N20170" t="s">
        <v>30</v>
      </c>
      <c r="O20170" t="s">
        <v>31</v>
      </c>
      <c r="P20170" t="str">
        <f>"15227"</f>
        <v>15227</v>
      </c>
    </row>
    <row r="20171" spans="1:16" x14ac:dyDescent="0.25">
      <c r="A20171" t="str">
        <f>"1290060L00332    00"</f>
        <v>1290060L00332    00</v>
      </c>
      <c r="B20171" t="s">
        <v>43775</v>
      </c>
      <c r="C20171" t="s">
        <v>43776</v>
      </c>
      <c r="D20171" t="s">
        <v>20</v>
      </c>
      <c r="E20171" t="s">
        <v>39</v>
      </c>
      <c r="F20171">
        <v>0</v>
      </c>
      <c r="G20171">
        <v>0</v>
      </c>
      <c r="H20171">
        <v>2</v>
      </c>
      <c r="I20171" s="3">
        <v>650.41</v>
      </c>
      <c r="J20171" s="3">
        <v>0</v>
      </c>
      <c r="L20171">
        <v>1626</v>
      </c>
      <c r="M20171" t="s">
        <v>1407</v>
      </c>
      <c r="N20171" t="s">
        <v>30</v>
      </c>
      <c r="O20171" t="s">
        <v>31</v>
      </c>
      <c r="P20171" t="str">
        <f>"15210"</f>
        <v>15210</v>
      </c>
    </row>
    <row r="20172" spans="1:16" x14ac:dyDescent="0.25">
      <c r="A20172" t="str">
        <f>"1290060M00021    00"</f>
        <v>1290060M00021    00</v>
      </c>
      <c r="B20172" t="s">
        <v>43777</v>
      </c>
      <c r="C20172" t="s">
        <v>43778</v>
      </c>
      <c r="D20172" t="s">
        <v>20</v>
      </c>
      <c r="E20172" t="s">
        <v>39</v>
      </c>
      <c r="F20172">
        <v>0</v>
      </c>
      <c r="G20172">
        <v>0</v>
      </c>
      <c r="H20172">
        <v>2</v>
      </c>
      <c r="I20172" s="3">
        <v>2028.02</v>
      </c>
      <c r="J20172" s="3">
        <v>0</v>
      </c>
      <c r="K20172" t="s">
        <v>43779</v>
      </c>
      <c r="L20172">
        <v>1810</v>
      </c>
      <c r="M20172" t="s">
        <v>43622</v>
      </c>
      <c r="N20172" t="s">
        <v>30</v>
      </c>
      <c r="O20172" t="s">
        <v>31</v>
      </c>
      <c r="P20172" t="str">
        <f>"15210"</f>
        <v>15210</v>
      </c>
    </row>
    <row r="20173" spans="1:16" x14ac:dyDescent="0.25">
      <c r="A20173" t="str">
        <f>"1290060M00033    00"</f>
        <v>1290060M00033    00</v>
      </c>
      <c r="B20173" t="s">
        <v>43780</v>
      </c>
      <c r="C20173" t="s">
        <v>43781</v>
      </c>
      <c r="D20173" t="s">
        <v>20</v>
      </c>
      <c r="E20173" t="s">
        <v>21</v>
      </c>
      <c r="F20173">
        <v>0</v>
      </c>
      <c r="G20173">
        <v>0</v>
      </c>
      <c r="H20173">
        <v>11</v>
      </c>
      <c r="I20173" s="3">
        <v>43097.37</v>
      </c>
      <c r="J20173" s="3">
        <v>25806.6</v>
      </c>
      <c r="L20173">
        <v>310</v>
      </c>
      <c r="M20173" t="s">
        <v>43782</v>
      </c>
      <c r="N20173" t="s">
        <v>30</v>
      </c>
      <c r="O20173" t="s">
        <v>31</v>
      </c>
      <c r="P20173" t="str">
        <f>"15219"</f>
        <v>15219</v>
      </c>
    </row>
    <row r="20174" spans="1:16" x14ac:dyDescent="0.25">
      <c r="A20174" t="str">
        <f>"1290060M00039    00"</f>
        <v>1290060M00039    00</v>
      </c>
      <c r="B20174" t="s">
        <v>43520</v>
      </c>
      <c r="C20174" t="s">
        <v>43783</v>
      </c>
      <c r="E20174" t="s">
        <v>39</v>
      </c>
      <c r="F20174">
        <v>0</v>
      </c>
      <c r="G20174">
        <v>0</v>
      </c>
      <c r="H20174">
        <v>2</v>
      </c>
      <c r="I20174" s="3">
        <v>773.86</v>
      </c>
      <c r="J20174" s="3">
        <v>9.67</v>
      </c>
      <c r="K20174" t="s">
        <v>43522</v>
      </c>
      <c r="L20174">
        <v>1450</v>
      </c>
      <c r="M20174" t="s">
        <v>43523</v>
      </c>
      <c r="N20174" t="s">
        <v>4652</v>
      </c>
      <c r="O20174" t="s">
        <v>370</v>
      </c>
      <c r="P20174" t="str">
        <f>"33146"</f>
        <v>33146</v>
      </c>
    </row>
    <row r="20175" spans="1:16" x14ac:dyDescent="0.25">
      <c r="A20175" t="str">
        <f>"1290060M00059    00"</f>
        <v>1290060M00059    00</v>
      </c>
      <c r="B20175" t="s">
        <v>43784</v>
      </c>
      <c r="C20175" t="s">
        <v>43785</v>
      </c>
      <c r="D20175" t="s">
        <v>20</v>
      </c>
      <c r="E20175" t="s">
        <v>39</v>
      </c>
      <c r="F20175">
        <v>0</v>
      </c>
      <c r="G20175">
        <v>0</v>
      </c>
      <c r="H20175">
        <v>9</v>
      </c>
      <c r="I20175" s="3">
        <v>7832.3</v>
      </c>
      <c r="J20175" s="3">
        <v>2571.59</v>
      </c>
      <c r="L20175">
        <v>107</v>
      </c>
      <c r="M20175" t="s">
        <v>30880</v>
      </c>
      <c r="N20175" t="s">
        <v>30</v>
      </c>
      <c r="O20175" t="s">
        <v>31</v>
      </c>
      <c r="P20175" t="str">
        <f>"15210"</f>
        <v>15210</v>
      </c>
    </row>
    <row r="20176" spans="1:16" x14ac:dyDescent="0.25">
      <c r="A20176" t="str">
        <f>"1290060M00092    00"</f>
        <v>1290060M00092    00</v>
      </c>
      <c r="B20176" t="s">
        <v>43786</v>
      </c>
      <c r="C20176" t="s">
        <v>43787</v>
      </c>
      <c r="E20176" t="s">
        <v>39</v>
      </c>
      <c r="F20176">
        <v>0</v>
      </c>
      <c r="G20176">
        <v>0</v>
      </c>
      <c r="H20176">
        <v>3</v>
      </c>
      <c r="I20176" s="3">
        <v>2110.15</v>
      </c>
      <c r="J20176" s="3">
        <v>477.58</v>
      </c>
      <c r="L20176">
        <v>1804</v>
      </c>
      <c r="M20176" t="s">
        <v>21268</v>
      </c>
      <c r="N20176" t="s">
        <v>30</v>
      </c>
      <c r="O20176" t="s">
        <v>31</v>
      </c>
      <c r="P20176" t="str">
        <f>"15210"</f>
        <v>15210</v>
      </c>
    </row>
    <row r="20177" spans="1:16" x14ac:dyDescent="0.25">
      <c r="A20177" t="str">
        <f>"1290060M00095    00"</f>
        <v>1290060M00095    00</v>
      </c>
      <c r="B20177" t="s">
        <v>43788</v>
      </c>
      <c r="C20177" t="s">
        <v>43789</v>
      </c>
      <c r="D20177" t="s">
        <v>20</v>
      </c>
      <c r="E20177" t="s">
        <v>39</v>
      </c>
      <c r="F20177">
        <v>0</v>
      </c>
      <c r="G20177">
        <v>0</v>
      </c>
      <c r="H20177">
        <v>1</v>
      </c>
      <c r="I20177" s="3">
        <v>726.2</v>
      </c>
      <c r="J20177" s="3">
        <v>0</v>
      </c>
      <c r="L20177">
        <v>130</v>
      </c>
      <c r="M20177" t="s">
        <v>22815</v>
      </c>
      <c r="N20177" t="s">
        <v>30</v>
      </c>
      <c r="O20177" t="s">
        <v>31</v>
      </c>
      <c r="P20177" t="str">
        <f>"15227"</f>
        <v>15227</v>
      </c>
    </row>
    <row r="20178" spans="1:16" x14ac:dyDescent="0.25">
      <c r="A20178" t="str">
        <f>"1290060M00105    00"</f>
        <v>1290060M00105    00</v>
      </c>
      <c r="B20178" t="s">
        <v>27190</v>
      </c>
      <c r="C20178" t="s">
        <v>43790</v>
      </c>
      <c r="D20178" t="s">
        <v>20</v>
      </c>
      <c r="E20178" t="s">
        <v>39</v>
      </c>
      <c r="F20178">
        <v>0</v>
      </c>
      <c r="G20178">
        <v>0</v>
      </c>
      <c r="H20178">
        <v>2</v>
      </c>
      <c r="I20178" s="3">
        <v>1334.2</v>
      </c>
      <c r="J20178" s="3">
        <v>0</v>
      </c>
      <c r="L20178">
        <v>415</v>
      </c>
      <c r="M20178" t="s">
        <v>22783</v>
      </c>
      <c r="N20178" t="s">
        <v>30</v>
      </c>
      <c r="O20178" t="s">
        <v>31</v>
      </c>
      <c r="P20178" t="str">
        <f>"15211"</f>
        <v>15211</v>
      </c>
    </row>
    <row r="20179" spans="1:16" x14ac:dyDescent="0.25">
      <c r="A20179" t="str">
        <f>"1290060M00106    00"</f>
        <v>1290060M00106    00</v>
      </c>
      <c r="B20179" t="s">
        <v>43791</v>
      </c>
      <c r="C20179" t="s">
        <v>43792</v>
      </c>
      <c r="D20179" t="s">
        <v>20</v>
      </c>
      <c r="E20179" t="s">
        <v>39</v>
      </c>
      <c r="F20179">
        <v>0</v>
      </c>
      <c r="G20179">
        <v>0</v>
      </c>
      <c r="H20179">
        <v>1</v>
      </c>
      <c r="I20179" s="3">
        <v>1038.78</v>
      </c>
      <c r="J20179" s="3">
        <v>0</v>
      </c>
      <c r="L20179">
        <v>1716</v>
      </c>
      <c r="M20179" t="s">
        <v>21268</v>
      </c>
      <c r="N20179" t="s">
        <v>30</v>
      </c>
      <c r="O20179" t="s">
        <v>31</v>
      </c>
      <c r="P20179" t="str">
        <f>"15210"</f>
        <v>15210</v>
      </c>
    </row>
    <row r="20180" spans="1:16" x14ac:dyDescent="0.25">
      <c r="A20180" t="str">
        <f>"1290060M00107    00"</f>
        <v>1290060M00107    00</v>
      </c>
      <c r="B20180" t="s">
        <v>43791</v>
      </c>
      <c r="C20180" t="s">
        <v>43793</v>
      </c>
      <c r="D20180" t="s">
        <v>20</v>
      </c>
      <c r="E20180" t="s">
        <v>39</v>
      </c>
      <c r="F20180">
        <v>0</v>
      </c>
      <c r="G20180">
        <v>0</v>
      </c>
      <c r="H20180">
        <v>1</v>
      </c>
      <c r="I20180" s="3">
        <v>80.05</v>
      </c>
      <c r="J20180" s="3">
        <v>0</v>
      </c>
      <c r="L20180">
        <v>1716</v>
      </c>
      <c r="M20180" t="s">
        <v>21268</v>
      </c>
      <c r="N20180" t="s">
        <v>30</v>
      </c>
      <c r="O20180" t="s">
        <v>31</v>
      </c>
      <c r="P20180" t="str">
        <f>"15210"</f>
        <v>15210</v>
      </c>
    </row>
    <row r="20181" spans="1:16" x14ac:dyDescent="0.25">
      <c r="A20181" t="str">
        <f>"1290060M00124    00"</f>
        <v>1290060M00124    00</v>
      </c>
      <c r="B20181" t="s">
        <v>43794</v>
      </c>
      <c r="C20181" t="s">
        <v>43795</v>
      </c>
      <c r="D20181" t="s">
        <v>20</v>
      </c>
      <c r="E20181" t="s">
        <v>39</v>
      </c>
      <c r="F20181">
        <v>0</v>
      </c>
      <c r="G20181">
        <v>0</v>
      </c>
      <c r="H20181">
        <v>7</v>
      </c>
      <c r="I20181" s="3">
        <v>4493.95</v>
      </c>
      <c r="J20181" s="3">
        <v>1117.6300000000001</v>
      </c>
      <c r="L20181">
        <v>2318</v>
      </c>
      <c r="M20181" t="s">
        <v>43796</v>
      </c>
      <c r="N20181" t="s">
        <v>43797</v>
      </c>
      <c r="O20181" t="s">
        <v>495</v>
      </c>
      <c r="P20181" t="str">
        <f>"92026"</f>
        <v>92026</v>
      </c>
    </row>
    <row r="20182" spans="1:16" x14ac:dyDescent="0.25">
      <c r="A20182" t="str">
        <f>"1290060M00126    00"</f>
        <v>1290060M00126    00</v>
      </c>
      <c r="B20182" t="s">
        <v>41714</v>
      </c>
      <c r="C20182" t="s">
        <v>43798</v>
      </c>
      <c r="E20182" t="s">
        <v>39</v>
      </c>
      <c r="F20182">
        <v>0</v>
      </c>
      <c r="G20182">
        <v>0</v>
      </c>
      <c r="H20182">
        <v>1</v>
      </c>
      <c r="I20182" s="3">
        <v>828.21</v>
      </c>
      <c r="J20182" s="3">
        <v>0</v>
      </c>
      <c r="K20182" t="s">
        <v>41716</v>
      </c>
      <c r="L20182">
        <v>76</v>
      </c>
      <c r="M20182" t="s">
        <v>25043</v>
      </c>
      <c r="N20182" t="s">
        <v>30</v>
      </c>
      <c r="O20182" t="s">
        <v>31</v>
      </c>
      <c r="P20182" t="str">
        <f t="shared" ref="P20182:P20188" si="249">"15210"</f>
        <v>15210</v>
      </c>
    </row>
    <row r="20183" spans="1:16" x14ac:dyDescent="0.25">
      <c r="A20183" t="str">
        <f>"1290060M00132    00"</f>
        <v>1290060M00132    00</v>
      </c>
      <c r="B20183" t="s">
        <v>43799</v>
      </c>
      <c r="C20183" t="s">
        <v>43800</v>
      </c>
      <c r="D20183" t="s">
        <v>20</v>
      </c>
      <c r="E20183" t="s">
        <v>39</v>
      </c>
      <c r="F20183">
        <v>0</v>
      </c>
      <c r="G20183">
        <v>0</v>
      </c>
      <c r="H20183">
        <v>1</v>
      </c>
      <c r="I20183" s="3">
        <v>404.38</v>
      </c>
      <c r="J20183" s="3">
        <v>0</v>
      </c>
      <c r="L20183">
        <v>215</v>
      </c>
      <c r="M20183" t="s">
        <v>1377</v>
      </c>
      <c r="N20183" t="s">
        <v>30</v>
      </c>
      <c r="O20183" t="s">
        <v>31</v>
      </c>
      <c r="P20183" t="str">
        <f t="shared" si="249"/>
        <v>15210</v>
      </c>
    </row>
    <row r="20184" spans="1:16" x14ac:dyDescent="0.25">
      <c r="A20184" t="str">
        <f>"1290060M00134    00"</f>
        <v>1290060M00134    00</v>
      </c>
      <c r="B20184" t="s">
        <v>43801</v>
      </c>
      <c r="C20184" t="s">
        <v>43802</v>
      </c>
      <c r="D20184" t="s">
        <v>20</v>
      </c>
      <c r="E20184" t="s">
        <v>39</v>
      </c>
      <c r="F20184">
        <v>0</v>
      </c>
      <c r="G20184">
        <v>0</v>
      </c>
      <c r="H20184">
        <v>19</v>
      </c>
      <c r="I20184" s="3">
        <v>10865.4</v>
      </c>
      <c r="J20184" s="3">
        <v>12589.45</v>
      </c>
      <c r="L20184">
        <v>219</v>
      </c>
      <c r="M20184" t="s">
        <v>1377</v>
      </c>
      <c r="N20184" t="s">
        <v>30</v>
      </c>
      <c r="O20184" t="s">
        <v>31</v>
      </c>
      <c r="P20184" t="str">
        <f t="shared" si="249"/>
        <v>15210</v>
      </c>
    </row>
    <row r="20185" spans="1:16" x14ac:dyDescent="0.25">
      <c r="A20185" t="str">
        <f>"1290060M00262    00"</f>
        <v>1290060M00262    00</v>
      </c>
      <c r="B20185" t="s">
        <v>43803</v>
      </c>
      <c r="C20185" t="s">
        <v>43793</v>
      </c>
      <c r="D20185" t="s">
        <v>20</v>
      </c>
      <c r="E20185" t="s">
        <v>39</v>
      </c>
      <c r="F20185">
        <v>0</v>
      </c>
      <c r="G20185">
        <v>0</v>
      </c>
      <c r="H20185">
        <v>15</v>
      </c>
      <c r="I20185" s="3">
        <v>1172.55</v>
      </c>
      <c r="J20185" s="3">
        <v>708.43</v>
      </c>
      <c r="L20185">
        <v>1739</v>
      </c>
      <c r="M20185" t="s">
        <v>21268</v>
      </c>
      <c r="N20185" t="s">
        <v>30</v>
      </c>
      <c r="O20185" t="s">
        <v>31</v>
      </c>
      <c r="P20185" t="str">
        <f t="shared" si="249"/>
        <v>15210</v>
      </c>
    </row>
    <row r="20186" spans="1:16" x14ac:dyDescent="0.25">
      <c r="A20186" t="str">
        <f>"1290060M00268    00"</f>
        <v>1290060M00268    00</v>
      </c>
      <c r="B20186" t="s">
        <v>43804</v>
      </c>
      <c r="C20186" t="s">
        <v>43805</v>
      </c>
      <c r="D20186" t="s">
        <v>20</v>
      </c>
      <c r="E20186" t="s">
        <v>39</v>
      </c>
      <c r="F20186">
        <v>0</v>
      </c>
      <c r="G20186">
        <v>0</v>
      </c>
      <c r="H20186">
        <v>12</v>
      </c>
      <c r="I20186" s="3">
        <v>4307.12</v>
      </c>
      <c r="J20186" s="3">
        <v>1485.01</v>
      </c>
      <c r="L20186">
        <v>219</v>
      </c>
      <c r="M20186" t="s">
        <v>30880</v>
      </c>
      <c r="N20186" t="s">
        <v>30</v>
      </c>
      <c r="O20186" t="s">
        <v>31</v>
      </c>
      <c r="P20186" t="str">
        <f t="shared" si="249"/>
        <v>15210</v>
      </c>
    </row>
    <row r="20187" spans="1:16" x14ac:dyDescent="0.25">
      <c r="A20187" t="str">
        <f>"1290060M00375    00"</f>
        <v>1290060M00375    00</v>
      </c>
      <c r="B20187" t="s">
        <v>43806</v>
      </c>
      <c r="C20187" t="s">
        <v>43807</v>
      </c>
      <c r="E20187" t="s">
        <v>39</v>
      </c>
      <c r="F20187">
        <v>0</v>
      </c>
      <c r="G20187">
        <v>0</v>
      </c>
      <c r="H20187">
        <v>1</v>
      </c>
      <c r="I20187" s="3">
        <v>116.34</v>
      </c>
      <c r="J20187" s="3">
        <v>24.24</v>
      </c>
      <c r="L20187">
        <v>207</v>
      </c>
      <c r="M20187" t="s">
        <v>43355</v>
      </c>
      <c r="N20187" t="s">
        <v>30</v>
      </c>
      <c r="O20187" t="s">
        <v>31</v>
      </c>
      <c r="P20187" t="str">
        <f t="shared" si="249"/>
        <v>15210</v>
      </c>
    </row>
    <row r="20188" spans="1:16" x14ac:dyDescent="0.25">
      <c r="A20188" t="str">
        <f>"1290060M00387    00"</f>
        <v>1290060M00387    00</v>
      </c>
      <c r="B20188" t="s">
        <v>43808</v>
      </c>
      <c r="C20188" t="s">
        <v>43809</v>
      </c>
      <c r="D20188" t="s">
        <v>20</v>
      </c>
      <c r="E20188" t="s">
        <v>39</v>
      </c>
      <c r="F20188">
        <v>0</v>
      </c>
      <c r="G20188">
        <v>0</v>
      </c>
      <c r="H20188">
        <v>5</v>
      </c>
      <c r="I20188" s="3">
        <v>1197.46</v>
      </c>
      <c r="J20188" s="3">
        <v>281.29000000000002</v>
      </c>
      <c r="L20188">
        <v>231</v>
      </c>
      <c r="M20188" t="s">
        <v>43355</v>
      </c>
      <c r="N20188" t="s">
        <v>30</v>
      </c>
      <c r="O20188" t="s">
        <v>31</v>
      </c>
      <c r="P20188" t="str">
        <f t="shared" si="249"/>
        <v>15210</v>
      </c>
    </row>
    <row r="20189" spans="1:16" x14ac:dyDescent="0.25">
      <c r="A20189" t="str">
        <f>"1290060M00389    00"</f>
        <v>1290060M00389    00</v>
      </c>
      <c r="B20189" t="s">
        <v>43810</v>
      </c>
      <c r="C20189" t="s">
        <v>43341</v>
      </c>
      <c r="E20189" t="s">
        <v>39</v>
      </c>
      <c r="F20189">
        <v>0</v>
      </c>
      <c r="G20189">
        <v>0</v>
      </c>
      <c r="H20189">
        <v>1</v>
      </c>
      <c r="I20189" s="3">
        <v>436.49</v>
      </c>
      <c r="J20189" s="3">
        <v>0</v>
      </c>
      <c r="K20189" t="s">
        <v>43811</v>
      </c>
      <c r="L20189">
        <v>312</v>
      </c>
      <c r="M20189" t="s">
        <v>927</v>
      </c>
      <c r="N20189" t="s">
        <v>2943</v>
      </c>
      <c r="O20189" t="s">
        <v>31</v>
      </c>
      <c r="P20189" t="str">
        <f>"15025"</f>
        <v>15025</v>
      </c>
    </row>
    <row r="20190" spans="1:16" x14ac:dyDescent="0.25">
      <c r="A20190" t="str">
        <f>"1290060N00120    00"</f>
        <v>1290060N00120    00</v>
      </c>
      <c r="B20190" t="s">
        <v>43812</v>
      </c>
      <c r="C20190" t="s">
        <v>43813</v>
      </c>
      <c r="D20190" t="s">
        <v>20</v>
      </c>
      <c r="E20190" t="s">
        <v>21</v>
      </c>
      <c r="F20190">
        <v>0</v>
      </c>
      <c r="G20190">
        <v>0</v>
      </c>
      <c r="H20190">
        <v>3</v>
      </c>
      <c r="I20190" s="3">
        <v>5712.3</v>
      </c>
      <c r="J20190" s="3">
        <v>380.81</v>
      </c>
      <c r="L20190">
        <v>416</v>
      </c>
      <c r="M20190" t="s">
        <v>22435</v>
      </c>
      <c r="N20190" t="s">
        <v>285</v>
      </c>
      <c r="O20190" t="s">
        <v>31</v>
      </c>
      <c r="P20190" t="str">
        <f>"15120"</f>
        <v>15120</v>
      </c>
    </row>
    <row r="20191" spans="1:16" x14ac:dyDescent="0.25">
      <c r="A20191" t="str">
        <f>"1290060N00158    00"</f>
        <v>1290060N00158    00</v>
      </c>
      <c r="B20191" t="s">
        <v>43814</v>
      </c>
      <c r="C20191" t="s">
        <v>43815</v>
      </c>
      <c r="D20191" t="s">
        <v>20</v>
      </c>
      <c r="E20191" t="s">
        <v>39</v>
      </c>
      <c r="F20191">
        <v>0</v>
      </c>
      <c r="G20191">
        <v>0</v>
      </c>
      <c r="H20191">
        <v>6</v>
      </c>
      <c r="I20191" s="3">
        <v>3433.46</v>
      </c>
      <c r="J20191" s="3">
        <v>809.07</v>
      </c>
      <c r="L20191">
        <v>664</v>
      </c>
      <c r="M20191" t="s">
        <v>43816</v>
      </c>
      <c r="N20191" t="s">
        <v>30</v>
      </c>
      <c r="O20191" t="s">
        <v>31</v>
      </c>
      <c r="P20191" t="str">
        <f>"15227"</f>
        <v>15227</v>
      </c>
    </row>
    <row r="20192" spans="1:16" x14ac:dyDescent="0.25">
      <c r="A20192" t="str">
        <f>"1290060N00162    00"</f>
        <v>1290060N00162    00</v>
      </c>
      <c r="B20192" t="s">
        <v>43817</v>
      </c>
      <c r="C20192" t="s">
        <v>43818</v>
      </c>
      <c r="D20192" t="s">
        <v>20</v>
      </c>
      <c r="E20192" t="s">
        <v>39</v>
      </c>
      <c r="F20192">
        <v>0</v>
      </c>
      <c r="G20192">
        <v>0</v>
      </c>
      <c r="H20192">
        <v>16</v>
      </c>
      <c r="I20192" s="3">
        <v>12204.59</v>
      </c>
      <c r="J20192" s="3">
        <v>9853.5</v>
      </c>
      <c r="K20192" t="s">
        <v>43819</v>
      </c>
      <c r="L20192">
        <v>1725</v>
      </c>
      <c r="M20192" t="s">
        <v>43820</v>
      </c>
      <c r="N20192" t="s">
        <v>30</v>
      </c>
      <c r="O20192" t="s">
        <v>31</v>
      </c>
      <c r="P20192" t="str">
        <f>"15210"</f>
        <v>15210</v>
      </c>
    </row>
    <row r="20193" spans="1:16" x14ac:dyDescent="0.25">
      <c r="A20193" t="str">
        <f>"1290060N00179    00"</f>
        <v>1290060N00179    00</v>
      </c>
      <c r="B20193" t="s">
        <v>43821</v>
      </c>
      <c r="C20193" t="s">
        <v>43822</v>
      </c>
      <c r="D20193" t="s">
        <v>20</v>
      </c>
      <c r="E20193" t="s">
        <v>290</v>
      </c>
      <c r="F20193">
        <v>0</v>
      </c>
      <c r="G20193">
        <v>0</v>
      </c>
      <c r="H20193">
        <v>3</v>
      </c>
      <c r="I20193" s="3">
        <v>25931.16</v>
      </c>
      <c r="J20193" s="3">
        <v>1728.68</v>
      </c>
      <c r="L20193">
        <v>2613</v>
      </c>
      <c r="M20193" t="s">
        <v>43823</v>
      </c>
      <c r="N20193" t="s">
        <v>3934</v>
      </c>
      <c r="O20193" t="s">
        <v>31</v>
      </c>
      <c r="P20193" t="str">
        <f>"15102"</f>
        <v>15102</v>
      </c>
    </row>
    <row r="20194" spans="1:16" x14ac:dyDescent="0.25">
      <c r="A20194" t="str">
        <f>"1290060N00243    00"</f>
        <v>1290060N00243    00</v>
      </c>
      <c r="B20194" t="s">
        <v>43824</v>
      </c>
      <c r="C20194" t="s">
        <v>43825</v>
      </c>
      <c r="E20194" t="s">
        <v>39</v>
      </c>
      <c r="F20194">
        <v>0</v>
      </c>
      <c r="G20194">
        <v>0</v>
      </c>
      <c r="H20194">
        <v>4</v>
      </c>
      <c r="I20194" s="3">
        <v>1325.19</v>
      </c>
      <c r="J20194" s="3">
        <v>35.14</v>
      </c>
      <c r="K20194" t="s">
        <v>484</v>
      </c>
      <c r="L20194">
        <v>3001</v>
      </c>
      <c r="M20194" t="s">
        <v>330</v>
      </c>
      <c r="N20194" t="s">
        <v>331</v>
      </c>
      <c r="O20194" t="s">
        <v>108</v>
      </c>
      <c r="P20194" t="str">
        <f>"75063"</f>
        <v>75063</v>
      </c>
    </row>
    <row r="20195" spans="1:16" x14ac:dyDescent="0.25">
      <c r="A20195" t="str">
        <f>"1290060N00251    00"</f>
        <v>1290060N00251    00</v>
      </c>
      <c r="B20195" t="s">
        <v>43826</v>
      </c>
      <c r="C20195" t="s">
        <v>43827</v>
      </c>
      <c r="D20195" t="s">
        <v>20</v>
      </c>
      <c r="E20195" t="s">
        <v>39</v>
      </c>
      <c r="F20195">
        <v>0</v>
      </c>
      <c r="G20195">
        <v>0</v>
      </c>
      <c r="H20195">
        <v>1</v>
      </c>
      <c r="I20195" s="3">
        <v>163.87</v>
      </c>
      <c r="J20195" s="3">
        <v>0</v>
      </c>
      <c r="K20195" t="s">
        <v>8393</v>
      </c>
      <c r="M20195" t="s">
        <v>8394</v>
      </c>
      <c r="N20195" t="s">
        <v>8395</v>
      </c>
      <c r="O20195" t="s">
        <v>1616</v>
      </c>
      <c r="P20195" t="str">
        <f>"57709"</f>
        <v>57709</v>
      </c>
    </row>
    <row r="20196" spans="1:16" x14ac:dyDescent="0.25">
      <c r="A20196" t="str">
        <f>"1290060P00068    00"</f>
        <v>1290060P00068    00</v>
      </c>
      <c r="B20196" t="s">
        <v>43375</v>
      </c>
      <c r="C20196" t="s">
        <v>43828</v>
      </c>
      <c r="D20196" t="s">
        <v>20</v>
      </c>
      <c r="E20196" t="s">
        <v>39</v>
      </c>
      <c r="F20196">
        <v>0</v>
      </c>
      <c r="G20196">
        <v>0</v>
      </c>
      <c r="H20196">
        <v>6</v>
      </c>
      <c r="I20196" s="3">
        <v>3460.45</v>
      </c>
      <c r="J20196" s="3">
        <v>776.1</v>
      </c>
      <c r="L20196">
        <v>342</v>
      </c>
      <c r="M20196" t="s">
        <v>43238</v>
      </c>
      <c r="N20196" t="s">
        <v>30</v>
      </c>
      <c r="O20196" t="s">
        <v>31</v>
      </c>
      <c r="P20196" t="str">
        <f>"15210"</f>
        <v>15210</v>
      </c>
    </row>
    <row r="20197" spans="1:16" x14ac:dyDescent="0.25">
      <c r="A20197" t="str">
        <f>"1290060P00073    00"</f>
        <v>1290060P00073    00</v>
      </c>
      <c r="B20197" t="s">
        <v>43829</v>
      </c>
      <c r="C20197" t="s">
        <v>43830</v>
      </c>
      <c r="E20197" t="s">
        <v>39</v>
      </c>
      <c r="F20197">
        <v>0</v>
      </c>
      <c r="G20197">
        <v>0</v>
      </c>
      <c r="H20197">
        <v>1</v>
      </c>
      <c r="I20197" s="3">
        <v>918.69</v>
      </c>
      <c r="J20197" s="3">
        <v>183.73</v>
      </c>
      <c r="L20197">
        <v>4057</v>
      </c>
      <c r="M20197" t="s">
        <v>43831</v>
      </c>
      <c r="N20197" t="s">
        <v>79</v>
      </c>
      <c r="O20197" t="s">
        <v>31</v>
      </c>
      <c r="P20197" t="str">
        <f>"15668"</f>
        <v>15668</v>
      </c>
    </row>
    <row r="20198" spans="1:16" x14ac:dyDescent="0.25">
      <c r="A20198" t="str">
        <f>"1290060P00075    00"</f>
        <v>1290060P00075    00</v>
      </c>
      <c r="B20198" t="s">
        <v>43832</v>
      </c>
      <c r="C20198" t="s">
        <v>43833</v>
      </c>
      <c r="E20198" t="s">
        <v>39</v>
      </c>
      <c r="F20198">
        <v>0</v>
      </c>
      <c r="G20198">
        <v>0</v>
      </c>
      <c r="H20198">
        <v>6</v>
      </c>
      <c r="I20198" s="3">
        <v>2731.95</v>
      </c>
      <c r="J20198" s="3">
        <v>2290.5100000000002</v>
      </c>
      <c r="L20198">
        <v>366</v>
      </c>
      <c r="M20198" t="s">
        <v>43820</v>
      </c>
      <c r="N20198" t="s">
        <v>30</v>
      </c>
      <c r="O20198" t="s">
        <v>31</v>
      </c>
      <c r="P20198" t="str">
        <f>"15210"</f>
        <v>15210</v>
      </c>
    </row>
    <row r="20199" spans="1:16" x14ac:dyDescent="0.25">
      <c r="A20199" t="str">
        <f>"1290060P00097    00"</f>
        <v>1290060P00097    00</v>
      </c>
      <c r="B20199" t="s">
        <v>23130</v>
      </c>
      <c r="C20199" t="s">
        <v>43834</v>
      </c>
      <c r="D20199" t="s">
        <v>20</v>
      </c>
      <c r="E20199" t="s">
        <v>39</v>
      </c>
      <c r="F20199">
        <v>0</v>
      </c>
      <c r="G20199">
        <v>0</v>
      </c>
      <c r="H20199">
        <v>4</v>
      </c>
      <c r="I20199" s="3">
        <v>3478.14</v>
      </c>
      <c r="J20199" s="3">
        <v>410.87</v>
      </c>
      <c r="L20199">
        <v>110</v>
      </c>
      <c r="M20199" t="s">
        <v>26331</v>
      </c>
      <c r="N20199" t="s">
        <v>30</v>
      </c>
      <c r="O20199" t="s">
        <v>31</v>
      </c>
      <c r="P20199" t="str">
        <f>"15214"</f>
        <v>15214</v>
      </c>
    </row>
    <row r="20200" spans="1:16" x14ac:dyDescent="0.25">
      <c r="A20200" t="str">
        <f>"1290060P00099    00"</f>
        <v>1290060P00099    00</v>
      </c>
      <c r="B20200" t="s">
        <v>23130</v>
      </c>
      <c r="C20200" t="s">
        <v>43835</v>
      </c>
      <c r="D20200" t="s">
        <v>20</v>
      </c>
      <c r="E20200" t="s">
        <v>39</v>
      </c>
      <c r="F20200">
        <v>0</v>
      </c>
      <c r="G20200">
        <v>0</v>
      </c>
      <c r="H20200">
        <v>4</v>
      </c>
      <c r="I20200" s="3">
        <v>241.4</v>
      </c>
      <c r="J20200" s="3">
        <v>29.73</v>
      </c>
      <c r="L20200">
        <v>110</v>
      </c>
      <c r="M20200" t="s">
        <v>26331</v>
      </c>
      <c r="N20200" t="s">
        <v>30</v>
      </c>
      <c r="O20200" t="s">
        <v>31</v>
      </c>
      <c r="P20200" t="str">
        <f>"15214"</f>
        <v>15214</v>
      </c>
    </row>
    <row r="20201" spans="1:16" x14ac:dyDescent="0.25">
      <c r="A20201" t="str">
        <f>"1290060P00110    00"</f>
        <v>1290060P00110    00</v>
      </c>
      <c r="B20201" t="s">
        <v>43836</v>
      </c>
      <c r="C20201" t="s">
        <v>43837</v>
      </c>
      <c r="D20201" t="s">
        <v>20</v>
      </c>
      <c r="E20201" t="s">
        <v>39</v>
      </c>
      <c r="F20201">
        <v>0</v>
      </c>
      <c r="G20201">
        <v>0</v>
      </c>
      <c r="H20201">
        <v>4</v>
      </c>
      <c r="I20201" s="3">
        <v>12608.08</v>
      </c>
      <c r="J20201" s="3">
        <v>1510.13</v>
      </c>
      <c r="K20201" t="s">
        <v>43838</v>
      </c>
      <c r="L20201">
        <v>356</v>
      </c>
      <c r="M20201" t="s">
        <v>43839</v>
      </c>
      <c r="N20201" t="s">
        <v>30</v>
      </c>
      <c r="O20201" t="s">
        <v>31</v>
      </c>
      <c r="P20201" t="str">
        <f>"15210"</f>
        <v>15210</v>
      </c>
    </row>
    <row r="20202" spans="1:16" x14ac:dyDescent="0.25">
      <c r="A20202" t="str">
        <f>"1290060P00112    00"</f>
        <v>1290060P00112    00</v>
      </c>
      <c r="B20202" t="s">
        <v>43840</v>
      </c>
      <c r="C20202" t="s">
        <v>43841</v>
      </c>
      <c r="D20202" t="s">
        <v>20</v>
      </c>
      <c r="E20202" t="s">
        <v>39</v>
      </c>
      <c r="F20202">
        <v>0</v>
      </c>
      <c r="G20202">
        <v>0</v>
      </c>
      <c r="H20202">
        <v>14</v>
      </c>
      <c r="I20202" s="3">
        <v>6888.96</v>
      </c>
      <c r="J20202" s="3">
        <v>7612.99</v>
      </c>
      <c r="K20202" t="s">
        <v>43842</v>
      </c>
      <c r="L20202">
        <v>364</v>
      </c>
      <c r="M20202" t="s">
        <v>43839</v>
      </c>
      <c r="N20202" t="s">
        <v>30</v>
      </c>
      <c r="O20202" t="s">
        <v>31</v>
      </c>
      <c r="P20202" t="str">
        <f>"15210"</f>
        <v>15210</v>
      </c>
    </row>
    <row r="20203" spans="1:16" x14ac:dyDescent="0.25">
      <c r="A20203" t="str">
        <f>"1290060P00113    00"</f>
        <v>1290060P00113    00</v>
      </c>
      <c r="B20203" t="s">
        <v>43337</v>
      </c>
      <c r="C20203" t="s">
        <v>43843</v>
      </c>
      <c r="D20203" t="s">
        <v>57</v>
      </c>
      <c r="E20203" t="s">
        <v>39</v>
      </c>
      <c r="F20203">
        <v>0</v>
      </c>
      <c r="G20203">
        <v>0</v>
      </c>
      <c r="H20203">
        <v>1</v>
      </c>
      <c r="I20203" s="3">
        <v>177.69</v>
      </c>
      <c r="J20203" s="3">
        <v>0</v>
      </c>
      <c r="L20203">
        <v>342</v>
      </c>
      <c r="M20203" t="s">
        <v>43238</v>
      </c>
      <c r="N20203" t="s">
        <v>30</v>
      </c>
      <c r="O20203" t="s">
        <v>31</v>
      </c>
      <c r="P20203" t="str">
        <f>"15210"</f>
        <v>15210</v>
      </c>
    </row>
    <row r="20204" spans="1:16" x14ac:dyDescent="0.25">
      <c r="A20204" t="str">
        <f>"1290060P00153    00"</f>
        <v>1290060P00153    00</v>
      </c>
      <c r="B20204" t="s">
        <v>43844</v>
      </c>
      <c r="C20204" t="s">
        <v>43845</v>
      </c>
      <c r="D20204" t="s">
        <v>20</v>
      </c>
      <c r="E20204" t="s">
        <v>39</v>
      </c>
      <c r="F20204">
        <v>0</v>
      </c>
      <c r="G20204">
        <v>0</v>
      </c>
      <c r="H20204">
        <v>2</v>
      </c>
      <c r="I20204" s="3">
        <v>30.5</v>
      </c>
      <c r="J20204" s="3">
        <v>0</v>
      </c>
      <c r="K20204" t="s">
        <v>43846</v>
      </c>
      <c r="L20204">
        <v>133</v>
      </c>
      <c r="M20204" t="s">
        <v>43847</v>
      </c>
      <c r="N20204" t="s">
        <v>1928</v>
      </c>
      <c r="O20204" t="s">
        <v>31</v>
      </c>
      <c r="P20204" t="str">
        <f>"15317"</f>
        <v>15317</v>
      </c>
    </row>
    <row r="20205" spans="1:16" x14ac:dyDescent="0.25">
      <c r="A20205" t="str">
        <f>"1290060P00154    00"</f>
        <v>1290060P00154    00</v>
      </c>
      <c r="B20205" t="s">
        <v>43844</v>
      </c>
      <c r="C20205" t="s">
        <v>43848</v>
      </c>
      <c r="E20205" t="s">
        <v>39</v>
      </c>
      <c r="F20205">
        <v>0</v>
      </c>
      <c r="G20205">
        <v>0</v>
      </c>
      <c r="H20205">
        <v>1</v>
      </c>
      <c r="I20205" s="3">
        <v>278.87</v>
      </c>
      <c r="J20205" s="3">
        <v>0</v>
      </c>
      <c r="K20205" t="s">
        <v>43846</v>
      </c>
      <c r="L20205">
        <v>1812</v>
      </c>
      <c r="M20205" t="s">
        <v>1484</v>
      </c>
      <c r="N20205" t="s">
        <v>30</v>
      </c>
      <c r="O20205" t="s">
        <v>31</v>
      </c>
      <c r="P20205" t="str">
        <f>"15203"</f>
        <v>15203</v>
      </c>
    </row>
    <row r="20206" spans="1:16" x14ac:dyDescent="0.25">
      <c r="A20206" t="str">
        <f>"1290060P00158    00"</f>
        <v>1290060P00158    00</v>
      </c>
      <c r="B20206" t="s">
        <v>43849</v>
      </c>
      <c r="C20206" t="s">
        <v>43850</v>
      </c>
      <c r="D20206" t="s">
        <v>20</v>
      </c>
      <c r="E20206" t="s">
        <v>39</v>
      </c>
      <c r="F20206">
        <v>0</v>
      </c>
      <c r="G20206">
        <v>0</v>
      </c>
      <c r="H20206">
        <v>5</v>
      </c>
      <c r="I20206" s="3">
        <v>2983.14</v>
      </c>
      <c r="J20206" s="3">
        <v>199.99</v>
      </c>
      <c r="L20206">
        <v>377</v>
      </c>
      <c r="M20206" t="s">
        <v>43839</v>
      </c>
      <c r="N20206" t="s">
        <v>30</v>
      </c>
      <c r="O20206" t="s">
        <v>31</v>
      </c>
      <c r="P20206" t="str">
        <f>"15210"</f>
        <v>15210</v>
      </c>
    </row>
    <row r="20207" spans="1:16" x14ac:dyDescent="0.25">
      <c r="A20207" t="str">
        <f>"1290060P00176    00"</f>
        <v>1290060P00176    00</v>
      </c>
      <c r="B20207" t="s">
        <v>43851</v>
      </c>
      <c r="C20207" t="s">
        <v>43852</v>
      </c>
      <c r="D20207" t="s">
        <v>20</v>
      </c>
      <c r="E20207" t="s">
        <v>39</v>
      </c>
      <c r="F20207">
        <v>0</v>
      </c>
      <c r="G20207">
        <v>0</v>
      </c>
      <c r="H20207">
        <v>2</v>
      </c>
      <c r="I20207" s="3">
        <v>264.3</v>
      </c>
      <c r="J20207" s="3">
        <v>0</v>
      </c>
      <c r="L20207">
        <v>347</v>
      </c>
      <c r="M20207" t="s">
        <v>43839</v>
      </c>
      <c r="N20207" t="s">
        <v>30</v>
      </c>
      <c r="O20207" t="s">
        <v>31</v>
      </c>
      <c r="P20207" t="str">
        <f>"15210"</f>
        <v>15210</v>
      </c>
    </row>
    <row r="20208" spans="1:16" x14ac:dyDescent="0.25">
      <c r="A20208" t="str">
        <f>"1290060P00187    00"</f>
        <v>1290060P00187    00</v>
      </c>
      <c r="B20208" t="s">
        <v>43853</v>
      </c>
      <c r="C20208" t="s">
        <v>43835</v>
      </c>
      <c r="D20208" t="s">
        <v>20</v>
      </c>
      <c r="E20208" t="s">
        <v>39</v>
      </c>
      <c r="F20208">
        <v>0</v>
      </c>
      <c r="G20208">
        <v>0</v>
      </c>
      <c r="H20208">
        <v>17</v>
      </c>
      <c r="I20208" s="3">
        <v>276.98</v>
      </c>
      <c r="J20208" s="3">
        <v>349.77</v>
      </c>
      <c r="P20208" t="str">
        <f>""</f>
        <v/>
      </c>
    </row>
    <row r="20209" spans="1:16" x14ac:dyDescent="0.25">
      <c r="A20209" t="str">
        <f>"1290060P00188    00"</f>
        <v>1290060P00188    00</v>
      </c>
      <c r="B20209" t="s">
        <v>43854</v>
      </c>
      <c r="C20209" t="s">
        <v>43855</v>
      </c>
      <c r="D20209" t="s">
        <v>20</v>
      </c>
      <c r="E20209" t="s">
        <v>39</v>
      </c>
      <c r="F20209">
        <v>0</v>
      </c>
      <c r="G20209">
        <v>0</v>
      </c>
      <c r="H20209">
        <v>9</v>
      </c>
      <c r="I20209" s="3">
        <v>4236.7299999999996</v>
      </c>
      <c r="J20209" s="3">
        <v>1520.28</v>
      </c>
      <c r="L20209">
        <v>323</v>
      </c>
      <c r="M20209" t="s">
        <v>43820</v>
      </c>
      <c r="N20209" t="s">
        <v>30</v>
      </c>
      <c r="O20209" t="s">
        <v>31</v>
      </c>
      <c r="P20209" t="str">
        <f>"15210"</f>
        <v>15210</v>
      </c>
    </row>
    <row r="20210" spans="1:16" x14ac:dyDescent="0.25">
      <c r="A20210" t="str">
        <f>"1290060P00196    00"</f>
        <v>1290060P00196    00</v>
      </c>
      <c r="B20210" t="s">
        <v>43856</v>
      </c>
      <c r="C20210" t="s">
        <v>43857</v>
      </c>
      <c r="D20210" t="s">
        <v>20</v>
      </c>
      <c r="E20210" t="s">
        <v>39</v>
      </c>
      <c r="F20210">
        <v>0</v>
      </c>
      <c r="G20210">
        <v>0</v>
      </c>
      <c r="H20210">
        <v>4</v>
      </c>
      <c r="I20210" s="3">
        <v>1248.8900000000001</v>
      </c>
      <c r="J20210" s="3">
        <v>118.8</v>
      </c>
      <c r="L20210">
        <v>306</v>
      </c>
      <c r="M20210" t="s">
        <v>43820</v>
      </c>
      <c r="N20210" t="s">
        <v>30</v>
      </c>
      <c r="O20210" t="s">
        <v>31</v>
      </c>
      <c r="P20210" t="str">
        <f>"15210"</f>
        <v>15210</v>
      </c>
    </row>
    <row r="20211" spans="1:16" x14ac:dyDescent="0.25">
      <c r="A20211" t="str">
        <f>"1290060P00202    00"</f>
        <v>1290060P00202    00</v>
      </c>
      <c r="B20211" t="s">
        <v>43858</v>
      </c>
      <c r="C20211" t="s">
        <v>43859</v>
      </c>
      <c r="D20211" t="s">
        <v>20</v>
      </c>
      <c r="E20211" t="s">
        <v>39</v>
      </c>
      <c r="F20211">
        <v>0</v>
      </c>
      <c r="G20211">
        <v>0</v>
      </c>
      <c r="H20211">
        <v>1</v>
      </c>
      <c r="I20211" s="3">
        <v>1170.28</v>
      </c>
      <c r="J20211" s="3">
        <v>0</v>
      </c>
      <c r="K20211" t="s">
        <v>43860</v>
      </c>
      <c r="L20211">
        <v>104</v>
      </c>
      <c r="M20211" t="s">
        <v>43861</v>
      </c>
      <c r="N20211" t="s">
        <v>526</v>
      </c>
      <c r="O20211" t="s">
        <v>31</v>
      </c>
      <c r="P20211" t="str">
        <f>"15301"</f>
        <v>15301</v>
      </c>
    </row>
    <row r="20212" spans="1:16" x14ac:dyDescent="0.25">
      <c r="A20212" t="str">
        <f>"1290060P00324    00"</f>
        <v>1290060P00324    00</v>
      </c>
      <c r="B20212" t="s">
        <v>43862</v>
      </c>
      <c r="C20212" t="s">
        <v>43863</v>
      </c>
      <c r="E20212" t="s">
        <v>39</v>
      </c>
      <c r="F20212">
        <v>0</v>
      </c>
      <c r="G20212">
        <v>0</v>
      </c>
      <c r="H20212">
        <v>1</v>
      </c>
      <c r="I20212" s="3">
        <v>18.68</v>
      </c>
      <c r="J20212" s="3">
        <v>0</v>
      </c>
      <c r="K20212" t="s">
        <v>43864</v>
      </c>
      <c r="M20212" t="s">
        <v>43865</v>
      </c>
      <c r="N20212" t="s">
        <v>30</v>
      </c>
      <c r="O20212" t="s">
        <v>31</v>
      </c>
      <c r="P20212" t="str">
        <f>"15227"</f>
        <v>15227</v>
      </c>
    </row>
    <row r="20213" spans="1:16" x14ac:dyDescent="0.25">
      <c r="A20213" t="str">
        <f>"1290060P00325    00"</f>
        <v>1290060P00325    00</v>
      </c>
      <c r="B20213" t="s">
        <v>43866</v>
      </c>
      <c r="C20213" t="s">
        <v>43867</v>
      </c>
      <c r="D20213" t="s">
        <v>20</v>
      </c>
      <c r="E20213" t="s">
        <v>39</v>
      </c>
      <c r="F20213">
        <v>0</v>
      </c>
      <c r="G20213">
        <v>0</v>
      </c>
      <c r="H20213">
        <v>5</v>
      </c>
      <c r="I20213" s="3">
        <v>1510.37</v>
      </c>
      <c r="J20213" s="3">
        <v>693.82</v>
      </c>
      <c r="L20213">
        <v>221</v>
      </c>
      <c r="M20213" t="s">
        <v>25784</v>
      </c>
      <c r="N20213" t="s">
        <v>30</v>
      </c>
      <c r="O20213" t="s">
        <v>31</v>
      </c>
      <c r="P20213" t="str">
        <f>"15210"</f>
        <v>15210</v>
      </c>
    </row>
    <row r="20214" spans="1:16" x14ac:dyDescent="0.25">
      <c r="A20214" t="str">
        <f>"1290060R00015    00"</f>
        <v>1290060R00015    00</v>
      </c>
      <c r="B20214" t="s">
        <v>43868</v>
      </c>
      <c r="C20214" t="s">
        <v>43708</v>
      </c>
      <c r="D20214" t="s">
        <v>20</v>
      </c>
      <c r="E20214" t="s">
        <v>39</v>
      </c>
      <c r="F20214">
        <v>0</v>
      </c>
      <c r="G20214">
        <v>0</v>
      </c>
      <c r="H20214">
        <v>11</v>
      </c>
      <c r="I20214" s="3">
        <v>3464.56</v>
      </c>
      <c r="J20214" s="3">
        <v>1653.47</v>
      </c>
      <c r="L20214">
        <v>20</v>
      </c>
      <c r="M20214" t="s">
        <v>43869</v>
      </c>
      <c r="N20214" t="s">
        <v>43870</v>
      </c>
      <c r="O20214" t="s">
        <v>6668</v>
      </c>
      <c r="P20214" t="str">
        <f>"98362"</f>
        <v>98362</v>
      </c>
    </row>
    <row r="20215" spans="1:16" x14ac:dyDescent="0.25">
      <c r="A20215" t="str">
        <f>"1290060R00055    00"</f>
        <v>1290060R00055    00</v>
      </c>
      <c r="B20215" t="s">
        <v>43871</v>
      </c>
      <c r="C20215" t="s">
        <v>43872</v>
      </c>
      <c r="E20215" t="s">
        <v>21</v>
      </c>
      <c r="F20215">
        <v>0</v>
      </c>
      <c r="G20215">
        <v>0</v>
      </c>
      <c r="H20215">
        <v>1</v>
      </c>
      <c r="I20215" s="3">
        <v>1313.23</v>
      </c>
      <c r="J20215" s="3">
        <v>0</v>
      </c>
      <c r="L20215">
        <v>210</v>
      </c>
      <c r="M20215" t="s">
        <v>43839</v>
      </c>
      <c r="N20215" t="s">
        <v>30</v>
      </c>
      <c r="O20215" t="s">
        <v>31</v>
      </c>
      <c r="P20215" t="str">
        <f>"15210"</f>
        <v>15210</v>
      </c>
    </row>
    <row r="20216" spans="1:16" x14ac:dyDescent="0.25">
      <c r="A20216" t="str">
        <f>"1290060R00088    00"</f>
        <v>1290060R00088    00</v>
      </c>
      <c r="B20216" t="s">
        <v>43873</v>
      </c>
      <c r="C20216" t="s">
        <v>43874</v>
      </c>
      <c r="E20216" t="s">
        <v>39</v>
      </c>
      <c r="F20216">
        <v>0</v>
      </c>
      <c r="G20216">
        <v>0</v>
      </c>
      <c r="H20216">
        <v>4</v>
      </c>
      <c r="I20216" s="3">
        <v>4364.3500000000004</v>
      </c>
      <c r="J20216" s="3">
        <v>5020.5200000000004</v>
      </c>
      <c r="L20216">
        <v>204</v>
      </c>
      <c r="M20216" t="s">
        <v>43839</v>
      </c>
      <c r="N20216" t="s">
        <v>30</v>
      </c>
      <c r="O20216" t="s">
        <v>31</v>
      </c>
      <c r="P20216" t="str">
        <f>"15210"</f>
        <v>15210</v>
      </c>
    </row>
    <row r="20217" spans="1:16" x14ac:dyDescent="0.25">
      <c r="A20217" t="str">
        <f>"1290060R00100    00"</f>
        <v>1290060R00100    00</v>
      </c>
      <c r="B20217" t="s">
        <v>43875</v>
      </c>
      <c r="C20217" t="s">
        <v>43876</v>
      </c>
      <c r="D20217" t="s">
        <v>20</v>
      </c>
      <c r="E20217" t="s">
        <v>39</v>
      </c>
      <c r="F20217">
        <v>0</v>
      </c>
      <c r="G20217">
        <v>0</v>
      </c>
      <c r="H20217">
        <v>2</v>
      </c>
      <c r="I20217" s="3">
        <v>1380.46</v>
      </c>
      <c r="J20217" s="3">
        <v>0</v>
      </c>
      <c r="K20217" t="s">
        <v>43877</v>
      </c>
      <c r="L20217">
        <v>1812</v>
      </c>
      <c r="M20217" t="s">
        <v>43878</v>
      </c>
      <c r="N20217" t="s">
        <v>30</v>
      </c>
      <c r="O20217" t="s">
        <v>31</v>
      </c>
      <c r="P20217" t="str">
        <f>"15210"</f>
        <v>15210</v>
      </c>
    </row>
    <row r="20218" spans="1:16" x14ac:dyDescent="0.25">
      <c r="A20218" t="str">
        <f>"1290060R00106    00"</f>
        <v>1290060R00106    00</v>
      </c>
      <c r="B20218" t="s">
        <v>43879</v>
      </c>
      <c r="C20218" t="s">
        <v>43880</v>
      </c>
      <c r="D20218" t="s">
        <v>20</v>
      </c>
      <c r="E20218" t="s">
        <v>39</v>
      </c>
      <c r="F20218">
        <v>0</v>
      </c>
      <c r="G20218">
        <v>0</v>
      </c>
      <c r="H20218">
        <v>1</v>
      </c>
      <c r="I20218" s="3">
        <v>417.42</v>
      </c>
      <c r="J20218" s="3">
        <v>0</v>
      </c>
      <c r="K20218" t="s">
        <v>557</v>
      </c>
      <c r="L20218">
        <v>3001</v>
      </c>
      <c r="M20218" t="s">
        <v>330</v>
      </c>
      <c r="N20218" t="s">
        <v>331</v>
      </c>
      <c r="O20218" t="s">
        <v>108</v>
      </c>
      <c r="P20218" t="str">
        <f>"75063"</f>
        <v>75063</v>
      </c>
    </row>
    <row r="20219" spans="1:16" x14ac:dyDescent="0.25">
      <c r="A20219" t="str">
        <f>"1290060R00118    00"</f>
        <v>1290060R00118    00</v>
      </c>
      <c r="B20219" t="s">
        <v>43881</v>
      </c>
      <c r="C20219" t="s">
        <v>43882</v>
      </c>
      <c r="E20219" t="s">
        <v>39</v>
      </c>
      <c r="F20219">
        <v>0</v>
      </c>
      <c r="G20219">
        <v>0</v>
      </c>
      <c r="H20219">
        <v>1</v>
      </c>
      <c r="I20219" s="3">
        <v>524.80999999999995</v>
      </c>
      <c r="J20219" s="3">
        <v>0</v>
      </c>
      <c r="K20219" t="s">
        <v>43883</v>
      </c>
      <c r="L20219">
        <v>969</v>
      </c>
      <c r="M20219" t="s">
        <v>30071</v>
      </c>
      <c r="N20219" t="s">
        <v>30</v>
      </c>
      <c r="O20219" t="s">
        <v>31</v>
      </c>
      <c r="P20219" t="str">
        <f>"15226"</f>
        <v>15226</v>
      </c>
    </row>
    <row r="20220" spans="1:16" x14ac:dyDescent="0.25">
      <c r="A20220" t="str">
        <f>"1290060R00119    00"</f>
        <v>1290060R00119    00</v>
      </c>
      <c r="B20220" t="s">
        <v>43884</v>
      </c>
      <c r="C20220" t="s">
        <v>43885</v>
      </c>
      <c r="D20220" t="s">
        <v>20</v>
      </c>
      <c r="E20220" t="s">
        <v>39</v>
      </c>
      <c r="F20220">
        <v>0</v>
      </c>
      <c r="G20220">
        <v>0</v>
      </c>
      <c r="H20220">
        <v>4</v>
      </c>
      <c r="I20220" s="3">
        <v>2293.38</v>
      </c>
      <c r="J20220" s="3">
        <v>270.92</v>
      </c>
      <c r="L20220">
        <v>2152</v>
      </c>
      <c r="M20220" t="s">
        <v>25206</v>
      </c>
      <c r="N20220" t="s">
        <v>30</v>
      </c>
      <c r="O20220" t="s">
        <v>31</v>
      </c>
      <c r="P20220" t="str">
        <f>"15210"</f>
        <v>15210</v>
      </c>
    </row>
    <row r="20221" spans="1:16" x14ac:dyDescent="0.25">
      <c r="A20221" t="str">
        <f>"1290060R00139    00"</f>
        <v>1290060R00139    00</v>
      </c>
      <c r="B20221" t="s">
        <v>43886</v>
      </c>
      <c r="C20221" t="s">
        <v>43715</v>
      </c>
      <c r="D20221" t="s">
        <v>20</v>
      </c>
      <c r="E20221" t="s">
        <v>39</v>
      </c>
      <c r="F20221">
        <v>0</v>
      </c>
      <c r="G20221">
        <v>0</v>
      </c>
      <c r="H20221">
        <v>6</v>
      </c>
      <c r="I20221" s="3">
        <v>3589.72</v>
      </c>
      <c r="J20221" s="3">
        <v>1107.02</v>
      </c>
      <c r="L20221">
        <v>920</v>
      </c>
      <c r="M20221" t="s">
        <v>43887</v>
      </c>
      <c r="N20221" t="s">
        <v>5339</v>
      </c>
      <c r="O20221" t="s">
        <v>31</v>
      </c>
      <c r="P20221" t="str">
        <f>"15084"</f>
        <v>15084</v>
      </c>
    </row>
    <row r="20222" spans="1:16" x14ac:dyDescent="0.25">
      <c r="A20222" t="str">
        <f>"1290060R00187    00"</f>
        <v>1290060R00187    00</v>
      </c>
      <c r="B20222" t="s">
        <v>43888</v>
      </c>
      <c r="C20222" t="s">
        <v>43889</v>
      </c>
      <c r="D20222" t="s">
        <v>20</v>
      </c>
      <c r="E20222" t="s">
        <v>39</v>
      </c>
      <c r="F20222">
        <v>0</v>
      </c>
      <c r="G20222">
        <v>0</v>
      </c>
      <c r="H20222">
        <v>5</v>
      </c>
      <c r="I20222" s="3">
        <v>954.1</v>
      </c>
      <c r="J20222" s="3">
        <v>137.34</v>
      </c>
      <c r="L20222">
        <v>109</v>
      </c>
      <c r="M20222" t="s">
        <v>25784</v>
      </c>
      <c r="N20222" t="s">
        <v>30</v>
      </c>
      <c r="O20222" t="s">
        <v>31</v>
      </c>
      <c r="P20222" t="str">
        <f>"15210"</f>
        <v>15210</v>
      </c>
    </row>
    <row r="20223" spans="1:16" x14ac:dyDescent="0.25">
      <c r="A20223" t="str">
        <f>"1290060R00228    00"</f>
        <v>1290060R00228    00</v>
      </c>
      <c r="B20223" t="s">
        <v>43890</v>
      </c>
      <c r="C20223" t="s">
        <v>43891</v>
      </c>
      <c r="D20223" t="s">
        <v>20</v>
      </c>
      <c r="E20223" t="s">
        <v>39</v>
      </c>
      <c r="F20223">
        <v>0</v>
      </c>
      <c r="G20223">
        <v>0</v>
      </c>
      <c r="H20223">
        <v>1</v>
      </c>
      <c r="I20223" s="3">
        <v>496.03</v>
      </c>
      <c r="J20223" s="3">
        <v>0</v>
      </c>
      <c r="L20223">
        <v>1938</v>
      </c>
      <c r="M20223" t="s">
        <v>13358</v>
      </c>
      <c r="N20223" t="s">
        <v>30</v>
      </c>
      <c r="O20223" t="s">
        <v>31</v>
      </c>
      <c r="P20223" t="str">
        <f>"15210"</f>
        <v>15210</v>
      </c>
    </row>
    <row r="20224" spans="1:16" x14ac:dyDescent="0.25">
      <c r="A20224" t="str">
        <f>"1290060R00237    00"</f>
        <v>1290060R00237    00</v>
      </c>
      <c r="B20224" t="s">
        <v>43892</v>
      </c>
      <c r="C20224" t="s">
        <v>43893</v>
      </c>
      <c r="D20224" t="s">
        <v>20</v>
      </c>
      <c r="E20224" t="s">
        <v>39</v>
      </c>
      <c r="F20224">
        <v>0</v>
      </c>
      <c r="G20224">
        <v>0</v>
      </c>
      <c r="H20224">
        <v>12</v>
      </c>
      <c r="I20224" s="3">
        <v>13428.42</v>
      </c>
      <c r="J20224" s="3">
        <v>7107.03</v>
      </c>
      <c r="K20224" t="s">
        <v>43894</v>
      </c>
      <c r="L20224">
        <v>1922</v>
      </c>
      <c r="M20224" t="s">
        <v>13358</v>
      </c>
      <c r="N20224" t="s">
        <v>30</v>
      </c>
      <c r="O20224" t="s">
        <v>31</v>
      </c>
      <c r="P20224" t="str">
        <f>"15210"</f>
        <v>15210</v>
      </c>
    </row>
    <row r="20225" spans="1:16" x14ac:dyDescent="0.25">
      <c r="A20225" t="str">
        <f>"1290060R00238    00"</f>
        <v>1290060R00238    00</v>
      </c>
      <c r="B20225" t="s">
        <v>43895</v>
      </c>
      <c r="C20225" t="s">
        <v>43896</v>
      </c>
      <c r="E20225" t="s">
        <v>39</v>
      </c>
      <c r="F20225">
        <v>0</v>
      </c>
      <c r="G20225">
        <v>0</v>
      </c>
      <c r="H20225">
        <v>1</v>
      </c>
      <c r="I20225" s="3">
        <v>34.31</v>
      </c>
      <c r="J20225" s="3">
        <v>6.86</v>
      </c>
      <c r="K20225" t="s">
        <v>4397</v>
      </c>
      <c r="L20225">
        <v>1050</v>
      </c>
      <c r="M20225" t="s">
        <v>3522</v>
      </c>
      <c r="N20225" t="s">
        <v>3827</v>
      </c>
      <c r="O20225" t="s">
        <v>70</v>
      </c>
      <c r="P20225" t="str">
        <f>"48226"</f>
        <v>48226</v>
      </c>
    </row>
    <row r="20226" spans="1:16" x14ac:dyDescent="0.25">
      <c r="A20226" t="str">
        <f>"1290060R00240    00"</f>
        <v>1290060R00240    00</v>
      </c>
      <c r="B20226" t="s">
        <v>43897</v>
      </c>
      <c r="C20226" t="s">
        <v>43898</v>
      </c>
      <c r="D20226" t="s">
        <v>20</v>
      </c>
      <c r="E20226" t="s">
        <v>39</v>
      </c>
      <c r="F20226">
        <v>0</v>
      </c>
      <c r="G20226">
        <v>0</v>
      </c>
      <c r="H20226">
        <v>3</v>
      </c>
      <c r="I20226" s="3">
        <v>970.82</v>
      </c>
      <c r="J20226" s="3">
        <v>76.56</v>
      </c>
      <c r="L20226">
        <v>1916</v>
      </c>
      <c r="M20226" t="s">
        <v>13358</v>
      </c>
      <c r="N20226" t="s">
        <v>30</v>
      </c>
      <c r="O20226" t="s">
        <v>31</v>
      </c>
      <c r="P20226" t="str">
        <f>"15210"</f>
        <v>15210</v>
      </c>
    </row>
    <row r="20227" spans="1:16" x14ac:dyDescent="0.25">
      <c r="A20227" t="str">
        <f>"1290060R00242    00"</f>
        <v>1290060R00242    00</v>
      </c>
      <c r="B20227" t="s">
        <v>43899</v>
      </c>
      <c r="C20227" t="s">
        <v>43900</v>
      </c>
      <c r="E20227" t="s">
        <v>39</v>
      </c>
      <c r="F20227">
        <v>0</v>
      </c>
      <c r="G20227">
        <v>0</v>
      </c>
      <c r="H20227">
        <v>3</v>
      </c>
      <c r="I20227" s="3">
        <v>2697.29</v>
      </c>
      <c r="J20227" s="3">
        <v>399.15</v>
      </c>
      <c r="L20227">
        <v>1912</v>
      </c>
      <c r="M20227" t="s">
        <v>13358</v>
      </c>
      <c r="N20227" t="s">
        <v>30</v>
      </c>
      <c r="O20227" t="s">
        <v>31</v>
      </c>
      <c r="P20227" t="str">
        <f>"15210"</f>
        <v>15210</v>
      </c>
    </row>
    <row r="20228" spans="1:16" x14ac:dyDescent="0.25">
      <c r="A20228" t="str">
        <f>"1290060R00253    00"</f>
        <v>1290060R00253    00</v>
      </c>
      <c r="B20228" t="s">
        <v>43901</v>
      </c>
      <c r="C20228" t="s">
        <v>43902</v>
      </c>
      <c r="D20228" t="s">
        <v>20</v>
      </c>
      <c r="E20228" t="s">
        <v>39</v>
      </c>
      <c r="F20228">
        <v>0</v>
      </c>
      <c r="G20228">
        <v>0</v>
      </c>
      <c r="H20228">
        <v>3</v>
      </c>
      <c r="I20228" s="3">
        <v>2847.63</v>
      </c>
      <c r="J20228" s="3">
        <v>189.83</v>
      </c>
      <c r="L20228">
        <v>1822</v>
      </c>
      <c r="M20228" t="s">
        <v>13358</v>
      </c>
      <c r="N20228" t="s">
        <v>30</v>
      </c>
      <c r="O20228" t="s">
        <v>31</v>
      </c>
      <c r="P20228" t="str">
        <f>"15210"</f>
        <v>15210</v>
      </c>
    </row>
    <row r="20229" spans="1:16" x14ac:dyDescent="0.25">
      <c r="A20229" t="str">
        <f>"1290060R00259    00"</f>
        <v>1290060R00259    00</v>
      </c>
      <c r="B20229" t="s">
        <v>43903</v>
      </c>
      <c r="C20229" t="s">
        <v>43904</v>
      </c>
      <c r="D20229" t="s">
        <v>20</v>
      </c>
      <c r="E20229" t="s">
        <v>39</v>
      </c>
      <c r="F20229">
        <v>0</v>
      </c>
      <c r="G20229">
        <v>0</v>
      </c>
      <c r="H20229">
        <v>6</v>
      </c>
      <c r="I20229" s="3">
        <v>4511.99</v>
      </c>
      <c r="J20229" s="3">
        <v>1050.96</v>
      </c>
      <c r="L20229">
        <v>1812</v>
      </c>
      <c r="M20229" t="s">
        <v>13358</v>
      </c>
      <c r="N20229" t="s">
        <v>30</v>
      </c>
      <c r="O20229" t="s">
        <v>31</v>
      </c>
      <c r="P20229" t="str">
        <f>"15210"</f>
        <v>15210</v>
      </c>
    </row>
    <row r="20230" spans="1:16" x14ac:dyDescent="0.25">
      <c r="A20230" t="str">
        <f>"1290060R00261    00"</f>
        <v>1290060R00261    00</v>
      </c>
      <c r="B20230" t="s">
        <v>43905</v>
      </c>
      <c r="C20230" t="s">
        <v>43906</v>
      </c>
      <c r="D20230" t="s">
        <v>20</v>
      </c>
      <c r="E20230" t="s">
        <v>39</v>
      </c>
      <c r="F20230">
        <v>0</v>
      </c>
      <c r="G20230">
        <v>0</v>
      </c>
      <c r="H20230">
        <v>5</v>
      </c>
      <c r="I20230" s="3">
        <v>4204.8100000000004</v>
      </c>
      <c r="J20230" s="3">
        <v>661.32</v>
      </c>
      <c r="K20230" t="s">
        <v>43907</v>
      </c>
      <c r="L20230">
        <v>1</v>
      </c>
      <c r="M20230" t="s">
        <v>43908</v>
      </c>
      <c r="N20230" t="s">
        <v>17856</v>
      </c>
      <c r="O20230" t="s">
        <v>70</v>
      </c>
      <c r="P20230" t="str">
        <f>"48076"</f>
        <v>48076</v>
      </c>
    </row>
    <row r="20231" spans="1:16" x14ac:dyDescent="0.25">
      <c r="A20231" t="str">
        <f>"1290060R00293    00"</f>
        <v>1290060R00293    00</v>
      </c>
      <c r="B20231" t="s">
        <v>43909</v>
      </c>
      <c r="C20231" t="s">
        <v>43910</v>
      </c>
      <c r="D20231" t="s">
        <v>20</v>
      </c>
      <c r="E20231" t="s">
        <v>39</v>
      </c>
      <c r="F20231">
        <v>0</v>
      </c>
      <c r="G20231">
        <v>0</v>
      </c>
      <c r="H20231">
        <v>1</v>
      </c>
      <c r="I20231" s="3">
        <v>1282.75</v>
      </c>
      <c r="J20231" s="3">
        <v>0</v>
      </c>
      <c r="K20231" t="s">
        <v>43911</v>
      </c>
      <c r="L20231">
        <v>5502</v>
      </c>
      <c r="M20231" t="s">
        <v>43912</v>
      </c>
      <c r="N20231" t="s">
        <v>30</v>
      </c>
      <c r="O20231" t="s">
        <v>31</v>
      </c>
      <c r="P20231" t="str">
        <f>"15236"</f>
        <v>15236</v>
      </c>
    </row>
    <row r="20232" spans="1:16" x14ac:dyDescent="0.25">
      <c r="A20232" t="str">
        <f>"1290060R00297    00"</f>
        <v>1290060R00297    00</v>
      </c>
      <c r="B20232" t="s">
        <v>43913</v>
      </c>
      <c r="C20232" t="s">
        <v>43914</v>
      </c>
      <c r="E20232" t="s">
        <v>39</v>
      </c>
      <c r="F20232">
        <v>0</v>
      </c>
      <c r="G20232">
        <v>0</v>
      </c>
      <c r="H20232">
        <v>2</v>
      </c>
      <c r="I20232" s="3">
        <v>1106.8599999999999</v>
      </c>
      <c r="J20232" s="3">
        <v>439.77</v>
      </c>
      <c r="L20232">
        <v>1933</v>
      </c>
      <c r="M20232" t="s">
        <v>13358</v>
      </c>
      <c r="N20232" t="s">
        <v>30</v>
      </c>
      <c r="O20232" t="s">
        <v>31</v>
      </c>
      <c r="P20232" t="str">
        <f>"15210"</f>
        <v>15210</v>
      </c>
    </row>
    <row r="20233" spans="1:16" x14ac:dyDescent="0.25">
      <c r="A20233" t="str">
        <f>"1290060R00298    00"</f>
        <v>1290060R00298    00</v>
      </c>
      <c r="B20233" t="s">
        <v>43915</v>
      </c>
      <c r="C20233" t="s">
        <v>43916</v>
      </c>
      <c r="D20233" t="s">
        <v>20</v>
      </c>
      <c r="E20233" t="s">
        <v>39</v>
      </c>
      <c r="F20233">
        <v>0</v>
      </c>
      <c r="G20233">
        <v>0</v>
      </c>
      <c r="H20233">
        <v>12</v>
      </c>
      <c r="I20233" s="3">
        <v>7799.55</v>
      </c>
      <c r="J20233" s="3">
        <v>4205.68</v>
      </c>
      <c r="L20233">
        <v>2151</v>
      </c>
      <c r="M20233" t="s">
        <v>43917</v>
      </c>
      <c r="N20233" t="s">
        <v>30</v>
      </c>
      <c r="O20233" t="s">
        <v>31</v>
      </c>
      <c r="P20233" t="str">
        <f>"15221"</f>
        <v>15221</v>
      </c>
    </row>
    <row r="20234" spans="1:16" x14ac:dyDescent="0.25">
      <c r="A20234" t="str">
        <f>"1290060R00359    00"</f>
        <v>1290060R00359    00</v>
      </c>
      <c r="B20234" t="s">
        <v>41601</v>
      </c>
      <c r="C20234" t="s">
        <v>43918</v>
      </c>
      <c r="D20234" t="s">
        <v>20</v>
      </c>
      <c r="E20234" t="s">
        <v>21</v>
      </c>
      <c r="F20234">
        <v>0</v>
      </c>
      <c r="G20234">
        <v>0</v>
      </c>
      <c r="H20234">
        <v>18</v>
      </c>
      <c r="I20234" s="3">
        <v>11728.07</v>
      </c>
      <c r="J20234" s="3">
        <v>10391.629999999999</v>
      </c>
      <c r="L20234">
        <v>3121</v>
      </c>
      <c r="M20234" t="s">
        <v>35783</v>
      </c>
      <c r="N20234" t="s">
        <v>30</v>
      </c>
      <c r="O20234" t="s">
        <v>31</v>
      </c>
      <c r="P20234" t="str">
        <f>"15212"</f>
        <v>15212</v>
      </c>
    </row>
    <row r="20235" spans="1:16" x14ac:dyDescent="0.25">
      <c r="A20235" t="str">
        <f>"1290060R00367    00"</f>
        <v>1290060R00367    00</v>
      </c>
      <c r="B20235" t="s">
        <v>22975</v>
      </c>
      <c r="C20235" t="s">
        <v>43919</v>
      </c>
      <c r="D20235" t="s">
        <v>20</v>
      </c>
      <c r="E20235" t="s">
        <v>21</v>
      </c>
      <c r="F20235">
        <v>0</v>
      </c>
      <c r="G20235">
        <v>0</v>
      </c>
      <c r="H20235">
        <v>2</v>
      </c>
      <c r="I20235" s="3">
        <v>2775.86</v>
      </c>
      <c r="J20235" s="3">
        <v>0</v>
      </c>
      <c r="K20235" t="s">
        <v>23045</v>
      </c>
      <c r="M20235" t="s">
        <v>23046</v>
      </c>
      <c r="N20235" t="s">
        <v>30</v>
      </c>
      <c r="O20235" t="s">
        <v>31</v>
      </c>
      <c r="P20235" t="str">
        <f t="shared" ref="P20235:P20240" si="250">"15210"</f>
        <v>15210</v>
      </c>
    </row>
    <row r="20236" spans="1:16" x14ac:dyDescent="0.25">
      <c r="A20236" t="str">
        <f>"1290060R00368    00"</f>
        <v>1290060R00368    00</v>
      </c>
      <c r="B20236" t="s">
        <v>30774</v>
      </c>
      <c r="C20236" t="s">
        <v>43920</v>
      </c>
      <c r="D20236" t="s">
        <v>20</v>
      </c>
      <c r="E20236" t="s">
        <v>21</v>
      </c>
      <c r="F20236">
        <v>0</v>
      </c>
      <c r="G20236">
        <v>0</v>
      </c>
      <c r="H20236">
        <v>2</v>
      </c>
      <c r="I20236" s="3">
        <v>2786.58</v>
      </c>
      <c r="J20236" s="3">
        <v>0</v>
      </c>
      <c r="K20236" t="s">
        <v>43921</v>
      </c>
      <c r="L20236">
        <v>416</v>
      </c>
      <c r="M20236" t="s">
        <v>23780</v>
      </c>
      <c r="N20236" t="s">
        <v>30</v>
      </c>
      <c r="O20236" t="s">
        <v>31</v>
      </c>
      <c r="P20236" t="str">
        <f t="shared" si="250"/>
        <v>15210</v>
      </c>
    </row>
    <row r="20237" spans="1:16" x14ac:dyDescent="0.25">
      <c r="A20237" t="str">
        <f>"1290060R00369    00"</f>
        <v>1290060R00369    00</v>
      </c>
      <c r="B20237" t="s">
        <v>43236</v>
      </c>
      <c r="C20237" t="s">
        <v>43922</v>
      </c>
      <c r="D20237" t="s">
        <v>20</v>
      </c>
      <c r="E20237" t="s">
        <v>21</v>
      </c>
      <c r="F20237">
        <v>0</v>
      </c>
      <c r="G20237">
        <v>0</v>
      </c>
      <c r="H20237">
        <v>6</v>
      </c>
      <c r="I20237" s="3">
        <v>11111.45</v>
      </c>
      <c r="J20237" s="3">
        <v>2492.08</v>
      </c>
      <c r="L20237">
        <v>342</v>
      </c>
      <c r="M20237" t="s">
        <v>43238</v>
      </c>
      <c r="N20237" t="s">
        <v>30</v>
      </c>
      <c r="O20237" t="s">
        <v>31</v>
      </c>
      <c r="P20237" t="str">
        <f t="shared" si="250"/>
        <v>15210</v>
      </c>
    </row>
    <row r="20238" spans="1:16" x14ac:dyDescent="0.25">
      <c r="A20238" t="str">
        <f>"1290060R00370    00"</f>
        <v>1290060R00370    00</v>
      </c>
      <c r="B20238" t="s">
        <v>43923</v>
      </c>
      <c r="C20238" t="s">
        <v>43924</v>
      </c>
      <c r="D20238" t="s">
        <v>20</v>
      </c>
      <c r="E20238" t="s">
        <v>21</v>
      </c>
      <c r="F20238">
        <v>0</v>
      </c>
      <c r="G20238">
        <v>0</v>
      </c>
      <c r="H20238">
        <v>8</v>
      </c>
      <c r="I20238" s="3">
        <v>6387.33</v>
      </c>
      <c r="J20238" s="3">
        <v>1581.91</v>
      </c>
      <c r="L20238">
        <v>342</v>
      </c>
      <c r="M20238" t="s">
        <v>43238</v>
      </c>
      <c r="N20238" t="s">
        <v>30</v>
      </c>
      <c r="O20238" t="s">
        <v>31</v>
      </c>
      <c r="P20238" t="str">
        <f t="shared" si="250"/>
        <v>15210</v>
      </c>
    </row>
    <row r="20239" spans="1:16" x14ac:dyDescent="0.25">
      <c r="A20239" t="str">
        <f>"1290060R00371    00"</f>
        <v>1290060R00371    00</v>
      </c>
      <c r="B20239" t="s">
        <v>43375</v>
      </c>
      <c r="C20239" t="s">
        <v>43925</v>
      </c>
      <c r="D20239" t="s">
        <v>20</v>
      </c>
      <c r="E20239" t="s">
        <v>21</v>
      </c>
      <c r="F20239">
        <v>0</v>
      </c>
      <c r="G20239">
        <v>0</v>
      </c>
      <c r="H20239">
        <v>6</v>
      </c>
      <c r="I20239" s="3">
        <v>6741.03</v>
      </c>
      <c r="J20239" s="3">
        <v>1511.86</v>
      </c>
      <c r="L20239">
        <v>1131</v>
      </c>
      <c r="M20239" t="s">
        <v>1407</v>
      </c>
      <c r="N20239" t="s">
        <v>30</v>
      </c>
      <c r="O20239" t="s">
        <v>31</v>
      </c>
      <c r="P20239" t="str">
        <f t="shared" si="250"/>
        <v>15210</v>
      </c>
    </row>
    <row r="20240" spans="1:16" x14ac:dyDescent="0.25">
      <c r="A20240" t="str">
        <f>"1290060R00372    00"</f>
        <v>1290060R00372    00</v>
      </c>
      <c r="B20240" t="s">
        <v>43926</v>
      </c>
      <c r="C20240" t="s">
        <v>43927</v>
      </c>
      <c r="D20240" t="s">
        <v>20</v>
      </c>
      <c r="E20240" t="s">
        <v>21</v>
      </c>
      <c r="F20240">
        <v>0</v>
      </c>
      <c r="G20240">
        <v>0</v>
      </c>
      <c r="H20240">
        <v>4</v>
      </c>
      <c r="I20240" s="3">
        <v>8892.59</v>
      </c>
      <c r="J20240" s="3">
        <v>1050.47</v>
      </c>
      <c r="K20240" t="s">
        <v>43928</v>
      </c>
      <c r="L20240">
        <v>1814</v>
      </c>
      <c r="M20240" t="s">
        <v>43929</v>
      </c>
      <c r="N20240" t="s">
        <v>30</v>
      </c>
      <c r="O20240" t="s">
        <v>31</v>
      </c>
      <c r="P20240" t="str">
        <f t="shared" si="250"/>
        <v>15210</v>
      </c>
    </row>
    <row r="20241" spans="1:16" x14ac:dyDescent="0.25">
      <c r="A20241" t="str">
        <f>"1290060R00373    00"</f>
        <v>1290060R00373    00</v>
      </c>
      <c r="B20241" t="s">
        <v>43930</v>
      </c>
      <c r="C20241" t="s">
        <v>43931</v>
      </c>
      <c r="E20241" t="s">
        <v>39</v>
      </c>
      <c r="F20241">
        <v>0</v>
      </c>
      <c r="G20241">
        <v>0</v>
      </c>
      <c r="H20241">
        <v>5</v>
      </c>
      <c r="I20241" s="3">
        <v>12533.77</v>
      </c>
      <c r="J20241" s="3">
        <v>18931.23</v>
      </c>
      <c r="L20241">
        <v>156</v>
      </c>
      <c r="M20241" t="s">
        <v>7984</v>
      </c>
      <c r="N20241" t="s">
        <v>30</v>
      </c>
      <c r="O20241" t="s">
        <v>31</v>
      </c>
      <c r="P20241" t="str">
        <f>"15243"</f>
        <v>15243</v>
      </c>
    </row>
    <row r="20242" spans="1:16" x14ac:dyDescent="0.25">
      <c r="A20242" t="str">
        <f>"1290060S00039    00"</f>
        <v>1290060S00039    00</v>
      </c>
      <c r="B20242" t="s">
        <v>43932</v>
      </c>
      <c r="C20242" t="s">
        <v>43933</v>
      </c>
      <c r="E20242" t="s">
        <v>39</v>
      </c>
      <c r="F20242">
        <v>0</v>
      </c>
      <c r="G20242">
        <v>0</v>
      </c>
      <c r="H20242">
        <v>4</v>
      </c>
      <c r="I20242" s="3">
        <v>2577.5500000000002</v>
      </c>
      <c r="J20242" s="3">
        <v>1384.96</v>
      </c>
      <c r="L20242">
        <v>1817</v>
      </c>
      <c r="M20242" t="s">
        <v>43622</v>
      </c>
      <c r="N20242" t="s">
        <v>30</v>
      </c>
      <c r="O20242" t="s">
        <v>31</v>
      </c>
      <c r="P20242" t="str">
        <f>"15210"</f>
        <v>15210</v>
      </c>
    </row>
    <row r="20243" spans="1:16" x14ac:dyDescent="0.25">
      <c r="A20243" t="str">
        <f>"1290060S00053    00"</f>
        <v>1290060S00053    00</v>
      </c>
      <c r="B20243" t="s">
        <v>43934</v>
      </c>
      <c r="C20243" t="s">
        <v>43935</v>
      </c>
      <c r="E20243" t="s">
        <v>39</v>
      </c>
      <c r="F20243">
        <v>0</v>
      </c>
      <c r="G20243">
        <v>0</v>
      </c>
      <c r="H20243">
        <v>2</v>
      </c>
      <c r="I20243" s="3">
        <v>495.59</v>
      </c>
      <c r="J20243" s="3">
        <v>0</v>
      </c>
      <c r="L20243">
        <v>119</v>
      </c>
      <c r="M20243" t="s">
        <v>43355</v>
      </c>
      <c r="N20243" t="s">
        <v>30</v>
      </c>
      <c r="O20243" t="s">
        <v>31</v>
      </c>
      <c r="P20243" t="str">
        <f>"15210"</f>
        <v>15210</v>
      </c>
    </row>
    <row r="20244" spans="1:16" x14ac:dyDescent="0.25">
      <c r="A20244" t="str">
        <f>"1290060S00056    00"</f>
        <v>1290060S00056    00</v>
      </c>
      <c r="B20244" t="s">
        <v>43936</v>
      </c>
      <c r="C20244" t="s">
        <v>43937</v>
      </c>
      <c r="D20244" t="s">
        <v>20</v>
      </c>
      <c r="E20244" t="s">
        <v>39</v>
      </c>
      <c r="F20244">
        <v>0</v>
      </c>
      <c r="G20244">
        <v>0</v>
      </c>
      <c r="H20244">
        <v>1</v>
      </c>
      <c r="I20244" s="3">
        <v>53.37</v>
      </c>
      <c r="J20244" s="3">
        <v>0</v>
      </c>
      <c r="L20244">
        <v>121</v>
      </c>
      <c r="M20244" t="s">
        <v>43355</v>
      </c>
      <c r="N20244" t="s">
        <v>30</v>
      </c>
      <c r="O20244" t="s">
        <v>31</v>
      </c>
      <c r="P20244" t="str">
        <f>"15210"</f>
        <v>15210</v>
      </c>
    </row>
    <row r="20245" spans="1:16" x14ac:dyDescent="0.25">
      <c r="A20245" t="str">
        <f>"1290060S00088    00"</f>
        <v>1290060S00088    00</v>
      </c>
      <c r="B20245" t="s">
        <v>43938</v>
      </c>
      <c r="C20245" t="s">
        <v>43939</v>
      </c>
      <c r="D20245" t="s">
        <v>20</v>
      </c>
      <c r="E20245" t="s">
        <v>39</v>
      </c>
      <c r="F20245">
        <v>0</v>
      </c>
      <c r="G20245">
        <v>0</v>
      </c>
      <c r="H20245">
        <v>3</v>
      </c>
      <c r="I20245" s="3">
        <v>1716.63</v>
      </c>
      <c r="J20245" s="3">
        <v>82.45</v>
      </c>
      <c r="K20245" t="s">
        <v>43940</v>
      </c>
      <c r="L20245">
        <v>128</v>
      </c>
      <c r="M20245" t="s">
        <v>43355</v>
      </c>
      <c r="N20245" t="s">
        <v>30</v>
      </c>
      <c r="O20245" t="s">
        <v>31</v>
      </c>
      <c r="P20245" t="str">
        <f>"15210"</f>
        <v>15210</v>
      </c>
    </row>
    <row r="20246" spans="1:16" x14ac:dyDescent="0.25">
      <c r="A20246" t="str">
        <f>"1290060S00099    00"</f>
        <v>1290060S00099    00</v>
      </c>
      <c r="B20246" t="s">
        <v>30047</v>
      </c>
      <c r="C20246" t="s">
        <v>43941</v>
      </c>
      <c r="D20246" t="s">
        <v>20</v>
      </c>
      <c r="E20246" t="s">
        <v>39</v>
      </c>
      <c r="F20246">
        <v>0</v>
      </c>
      <c r="G20246">
        <v>0</v>
      </c>
      <c r="H20246">
        <v>5</v>
      </c>
      <c r="I20246" s="3">
        <v>5557.48</v>
      </c>
      <c r="J20246" s="3">
        <v>1077.3599999999999</v>
      </c>
      <c r="L20246">
        <v>239</v>
      </c>
      <c r="M20246" t="s">
        <v>16347</v>
      </c>
      <c r="N20246" t="s">
        <v>30</v>
      </c>
      <c r="O20246" t="s">
        <v>31</v>
      </c>
      <c r="P20246" t="str">
        <f>"15220"</f>
        <v>15220</v>
      </c>
    </row>
    <row r="20247" spans="1:16" x14ac:dyDescent="0.25">
      <c r="A20247" t="str">
        <f>"1290060S00177    00"</f>
        <v>1290060S00177    00</v>
      </c>
      <c r="B20247" t="s">
        <v>43942</v>
      </c>
      <c r="C20247" t="s">
        <v>43943</v>
      </c>
      <c r="E20247" t="s">
        <v>39</v>
      </c>
      <c r="F20247">
        <v>0</v>
      </c>
      <c r="G20247">
        <v>0</v>
      </c>
      <c r="H20247">
        <v>1</v>
      </c>
      <c r="I20247" s="3">
        <v>22.5</v>
      </c>
      <c r="J20247" s="3">
        <v>6.75</v>
      </c>
      <c r="K20247" t="s">
        <v>43944</v>
      </c>
      <c r="L20247">
        <v>107</v>
      </c>
      <c r="M20247" t="s">
        <v>25448</v>
      </c>
      <c r="N20247" t="s">
        <v>30</v>
      </c>
      <c r="O20247" t="s">
        <v>31</v>
      </c>
      <c r="P20247" t="str">
        <f>"15210"</f>
        <v>15210</v>
      </c>
    </row>
    <row r="20248" spans="1:16" x14ac:dyDescent="0.25">
      <c r="A20248" t="str">
        <f>"1290060S00187    00"</f>
        <v>1290060S00187    00</v>
      </c>
      <c r="B20248" t="s">
        <v>43945</v>
      </c>
      <c r="C20248" t="s">
        <v>43946</v>
      </c>
      <c r="D20248" t="s">
        <v>20</v>
      </c>
      <c r="E20248" t="s">
        <v>39</v>
      </c>
      <c r="F20248">
        <v>0</v>
      </c>
      <c r="G20248">
        <v>0</v>
      </c>
      <c r="H20248">
        <v>1</v>
      </c>
      <c r="I20248" s="3">
        <v>1048.3</v>
      </c>
      <c r="J20248" s="3">
        <v>0</v>
      </c>
      <c r="K20248" t="s">
        <v>43947</v>
      </c>
      <c r="L20248">
        <v>213</v>
      </c>
      <c r="M20248" t="s">
        <v>9886</v>
      </c>
      <c r="N20248" t="s">
        <v>1823</v>
      </c>
      <c r="O20248" t="s">
        <v>31</v>
      </c>
      <c r="P20248" t="str">
        <f>"15024"</f>
        <v>15024</v>
      </c>
    </row>
    <row r="20249" spans="1:16" x14ac:dyDescent="0.25">
      <c r="A20249" t="str">
        <f>"1290060S00188    00"</f>
        <v>1290060S00188    00</v>
      </c>
      <c r="B20249" t="s">
        <v>43948</v>
      </c>
      <c r="C20249" t="s">
        <v>43949</v>
      </c>
      <c r="D20249" t="s">
        <v>20</v>
      </c>
      <c r="E20249" t="s">
        <v>39</v>
      </c>
      <c r="F20249">
        <v>0</v>
      </c>
      <c r="G20249">
        <v>0</v>
      </c>
      <c r="H20249">
        <v>7</v>
      </c>
      <c r="I20249" s="3">
        <v>6297.8</v>
      </c>
      <c r="J20249" s="3">
        <v>1572</v>
      </c>
      <c r="L20249">
        <v>125</v>
      </c>
      <c r="M20249" t="s">
        <v>25448</v>
      </c>
      <c r="N20249" t="s">
        <v>30</v>
      </c>
      <c r="O20249" t="s">
        <v>31</v>
      </c>
      <c r="P20249" t="str">
        <f>"15210"</f>
        <v>15210</v>
      </c>
    </row>
    <row r="20250" spans="1:16" x14ac:dyDescent="0.25">
      <c r="A20250" t="str">
        <f>"1290060S00190    00"</f>
        <v>1290060S00190    00</v>
      </c>
      <c r="B20250" t="s">
        <v>43950</v>
      </c>
      <c r="C20250" t="s">
        <v>43951</v>
      </c>
      <c r="D20250" t="s">
        <v>20</v>
      </c>
      <c r="E20250" t="s">
        <v>39</v>
      </c>
      <c r="F20250">
        <v>0</v>
      </c>
      <c r="G20250">
        <v>0</v>
      </c>
      <c r="H20250">
        <v>1</v>
      </c>
      <c r="I20250" s="3">
        <v>633.26</v>
      </c>
      <c r="J20250" s="3">
        <v>0</v>
      </c>
      <c r="K20250" t="s">
        <v>43952</v>
      </c>
      <c r="L20250">
        <v>127</v>
      </c>
      <c r="M20250" t="s">
        <v>25448</v>
      </c>
      <c r="N20250" t="s">
        <v>30</v>
      </c>
      <c r="O20250" t="s">
        <v>31</v>
      </c>
      <c r="P20250" t="str">
        <f>"15210"</f>
        <v>15210</v>
      </c>
    </row>
    <row r="20251" spans="1:16" x14ac:dyDescent="0.25">
      <c r="A20251" t="str">
        <f>"1290060S00191    00"</f>
        <v>1290060S00191    00</v>
      </c>
      <c r="B20251" t="s">
        <v>43953</v>
      </c>
      <c r="C20251" t="s">
        <v>43954</v>
      </c>
      <c r="D20251" t="s">
        <v>20</v>
      </c>
      <c r="E20251" t="s">
        <v>39</v>
      </c>
      <c r="F20251">
        <v>0</v>
      </c>
      <c r="G20251">
        <v>0</v>
      </c>
      <c r="H20251">
        <v>2</v>
      </c>
      <c r="I20251" s="3">
        <v>967.95</v>
      </c>
      <c r="J20251" s="3">
        <v>0</v>
      </c>
      <c r="L20251">
        <v>129</v>
      </c>
      <c r="M20251" t="s">
        <v>25448</v>
      </c>
      <c r="N20251" t="s">
        <v>30</v>
      </c>
      <c r="O20251" t="s">
        <v>31</v>
      </c>
      <c r="P20251" t="str">
        <f>"15210"</f>
        <v>15210</v>
      </c>
    </row>
    <row r="20252" spans="1:16" x14ac:dyDescent="0.25">
      <c r="A20252" t="str">
        <f>"1290060S00208    00"</f>
        <v>1290060S00208    00</v>
      </c>
      <c r="B20252" t="s">
        <v>43955</v>
      </c>
      <c r="C20252" t="s">
        <v>43956</v>
      </c>
      <c r="D20252" t="s">
        <v>20</v>
      </c>
      <c r="E20252" t="s">
        <v>39</v>
      </c>
      <c r="F20252">
        <v>0</v>
      </c>
      <c r="G20252">
        <v>0</v>
      </c>
      <c r="H20252">
        <v>1</v>
      </c>
      <c r="I20252" s="3">
        <v>774.31</v>
      </c>
      <c r="J20252" s="3">
        <v>0</v>
      </c>
      <c r="K20252" t="s">
        <v>43957</v>
      </c>
      <c r="L20252">
        <v>223</v>
      </c>
      <c r="M20252" t="s">
        <v>25448</v>
      </c>
      <c r="N20252" t="s">
        <v>30</v>
      </c>
      <c r="O20252" t="s">
        <v>31</v>
      </c>
      <c r="P20252" t="str">
        <f>"15210"</f>
        <v>15210</v>
      </c>
    </row>
    <row r="20253" spans="1:16" x14ac:dyDescent="0.25">
      <c r="A20253" t="str">
        <f>"1290060S00216    00"</f>
        <v>1290060S00216    00</v>
      </c>
      <c r="B20253" t="s">
        <v>43958</v>
      </c>
      <c r="C20253" t="s">
        <v>43959</v>
      </c>
      <c r="D20253" t="s">
        <v>20</v>
      </c>
      <c r="E20253" t="s">
        <v>39</v>
      </c>
      <c r="F20253">
        <v>0</v>
      </c>
      <c r="G20253">
        <v>0</v>
      </c>
      <c r="H20253">
        <v>12</v>
      </c>
      <c r="I20253" s="3">
        <v>9858.8799999999992</v>
      </c>
      <c r="J20253" s="3">
        <v>5185.8599999999997</v>
      </c>
      <c r="K20253" t="s">
        <v>43960</v>
      </c>
      <c r="L20253">
        <v>5900</v>
      </c>
      <c r="M20253" t="s">
        <v>43961</v>
      </c>
      <c r="N20253" t="s">
        <v>5597</v>
      </c>
      <c r="O20253" t="s">
        <v>495</v>
      </c>
      <c r="P20253" t="str">
        <f>"91367"</f>
        <v>91367</v>
      </c>
    </row>
    <row r="20254" spans="1:16" x14ac:dyDescent="0.25">
      <c r="A20254" t="str">
        <f>"1290060S00231    00"</f>
        <v>1290060S00231    00</v>
      </c>
      <c r="B20254" t="s">
        <v>43962</v>
      </c>
      <c r="C20254" t="s">
        <v>43963</v>
      </c>
      <c r="D20254" t="s">
        <v>20</v>
      </c>
      <c r="E20254" t="s">
        <v>39</v>
      </c>
      <c r="F20254">
        <v>0</v>
      </c>
      <c r="G20254">
        <v>0</v>
      </c>
      <c r="H20254">
        <v>5</v>
      </c>
      <c r="I20254" s="3">
        <v>2695.07</v>
      </c>
      <c r="J20254" s="3">
        <v>496.03</v>
      </c>
      <c r="K20254" t="s">
        <v>43964</v>
      </c>
      <c r="L20254">
        <v>309</v>
      </c>
      <c r="M20254" t="s">
        <v>43965</v>
      </c>
      <c r="N20254" t="s">
        <v>43966</v>
      </c>
      <c r="O20254" t="s">
        <v>31</v>
      </c>
      <c r="P20254" t="str">
        <f>"15052"</f>
        <v>15052</v>
      </c>
    </row>
    <row r="20255" spans="1:16" x14ac:dyDescent="0.25">
      <c r="A20255" t="str">
        <f>"1290060S00235    00"</f>
        <v>1290060S00235    00</v>
      </c>
      <c r="B20255" t="s">
        <v>43967</v>
      </c>
      <c r="C20255" t="s">
        <v>43968</v>
      </c>
      <c r="E20255" t="s">
        <v>39</v>
      </c>
      <c r="F20255">
        <v>0</v>
      </c>
      <c r="G20255">
        <v>0</v>
      </c>
      <c r="H20255">
        <v>1</v>
      </c>
      <c r="I20255" s="3">
        <v>590.86</v>
      </c>
      <c r="J20255" s="3">
        <v>0</v>
      </c>
      <c r="K20255" t="s">
        <v>43969</v>
      </c>
      <c r="L20255">
        <v>134</v>
      </c>
      <c r="M20255" t="s">
        <v>43970</v>
      </c>
      <c r="N20255" t="s">
        <v>30</v>
      </c>
      <c r="O20255" t="s">
        <v>31</v>
      </c>
      <c r="P20255" t="str">
        <f>"15206"</f>
        <v>15206</v>
      </c>
    </row>
    <row r="20256" spans="1:16" x14ac:dyDescent="0.25">
      <c r="A20256" t="str">
        <f>"1290060S00240    00"</f>
        <v>1290060S00240    00</v>
      </c>
      <c r="B20256" t="s">
        <v>43971</v>
      </c>
      <c r="C20256" t="s">
        <v>43972</v>
      </c>
      <c r="D20256" t="s">
        <v>20</v>
      </c>
      <c r="E20256" t="s">
        <v>39</v>
      </c>
      <c r="F20256">
        <v>0</v>
      </c>
      <c r="G20256">
        <v>0</v>
      </c>
      <c r="H20256">
        <v>2</v>
      </c>
      <c r="I20256" s="3">
        <v>803.14</v>
      </c>
      <c r="J20256" s="3">
        <v>32.99</v>
      </c>
      <c r="K20256" t="s">
        <v>43907</v>
      </c>
      <c r="L20256">
        <v>1</v>
      </c>
      <c r="M20256" t="s">
        <v>43908</v>
      </c>
      <c r="N20256" t="s">
        <v>17856</v>
      </c>
      <c r="O20256" t="s">
        <v>70</v>
      </c>
      <c r="P20256" t="str">
        <f>"48076"</f>
        <v>48076</v>
      </c>
    </row>
    <row r="20257" spans="1:16" x14ac:dyDescent="0.25">
      <c r="A20257" t="str">
        <f>"1290060S00241    00"</f>
        <v>1290060S00241    00</v>
      </c>
      <c r="B20257" t="s">
        <v>2909</v>
      </c>
      <c r="C20257" t="s">
        <v>43973</v>
      </c>
      <c r="E20257" t="s">
        <v>39</v>
      </c>
      <c r="F20257">
        <v>0</v>
      </c>
      <c r="G20257">
        <v>0</v>
      </c>
      <c r="H20257">
        <v>1</v>
      </c>
      <c r="I20257" s="3">
        <v>749.28</v>
      </c>
      <c r="J20257" s="3">
        <v>0</v>
      </c>
      <c r="K20257" t="s">
        <v>2910</v>
      </c>
      <c r="L20257">
        <v>10</v>
      </c>
      <c r="M20257" t="s">
        <v>2911</v>
      </c>
      <c r="N20257" t="s">
        <v>30</v>
      </c>
      <c r="O20257" t="s">
        <v>31</v>
      </c>
      <c r="P20257" t="str">
        <f>"15203"</f>
        <v>15203</v>
      </c>
    </row>
    <row r="20258" spans="1:16" x14ac:dyDescent="0.25">
      <c r="A20258" t="str">
        <f>"1290060S00248    00"</f>
        <v>1290060S00248    00</v>
      </c>
      <c r="B20258" t="s">
        <v>43974</v>
      </c>
      <c r="C20258" t="s">
        <v>43975</v>
      </c>
      <c r="D20258" t="s">
        <v>20</v>
      </c>
      <c r="E20258" t="s">
        <v>39</v>
      </c>
      <c r="F20258">
        <v>0</v>
      </c>
      <c r="G20258">
        <v>0</v>
      </c>
      <c r="H20258">
        <v>3</v>
      </c>
      <c r="I20258" s="3">
        <v>1755.48</v>
      </c>
      <c r="J20258" s="3">
        <v>117.03</v>
      </c>
      <c r="L20258">
        <v>106</v>
      </c>
      <c r="M20258" t="s">
        <v>25448</v>
      </c>
      <c r="N20258" t="s">
        <v>30</v>
      </c>
      <c r="O20258" t="s">
        <v>31</v>
      </c>
      <c r="P20258" t="str">
        <f>"15210"</f>
        <v>15210</v>
      </c>
    </row>
    <row r="20259" spans="1:16" x14ac:dyDescent="0.25">
      <c r="A20259" t="str">
        <f>"1290060S00251    00"</f>
        <v>1290060S00251    00</v>
      </c>
      <c r="B20259" t="s">
        <v>10673</v>
      </c>
      <c r="C20259" t="s">
        <v>43976</v>
      </c>
      <c r="D20259" t="s">
        <v>20</v>
      </c>
      <c r="E20259" t="s">
        <v>39</v>
      </c>
      <c r="F20259">
        <v>0</v>
      </c>
      <c r="G20259">
        <v>0</v>
      </c>
      <c r="H20259">
        <v>1</v>
      </c>
      <c r="I20259" s="3">
        <v>22.87</v>
      </c>
      <c r="J20259" s="3">
        <v>0</v>
      </c>
      <c r="M20259" t="s">
        <v>10675</v>
      </c>
      <c r="N20259" t="s">
        <v>2059</v>
      </c>
      <c r="O20259" t="s">
        <v>31</v>
      </c>
      <c r="P20259" t="str">
        <f>"15642"</f>
        <v>15642</v>
      </c>
    </row>
    <row r="20260" spans="1:16" x14ac:dyDescent="0.25">
      <c r="A20260" t="str">
        <f>"1290060S00253    00"</f>
        <v>1290060S00253    00</v>
      </c>
      <c r="B20260" t="s">
        <v>43977</v>
      </c>
      <c r="C20260" t="s">
        <v>43978</v>
      </c>
      <c r="D20260" t="s">
        <v>20</v>
      </c>
      <c r="E20260" t="s">
        <v>39</v>
      </c>
      <c r="F20260">
        <v>0</v>
      </c>
      <c r="G20260">
        <v>0</v>
      </c>
      <c r="H20260">
        <v>4</v>
      </c>
      <c r="I20260" s="3">
        <v>5515.34</v>
      </c>
      <c r="J20260" s="3">
        <v>672.26</v>
      </c>
      <c r="L20260">
        <v>100</v>
      </c>
      <c r="M20260" t="s">
        <v>25448</v>
      </c>
      <c r="N20260" t="s">
        <v>30</v>
      </c>
      <c r="O20260" t="s">
        <v>31</v>
      </c>
      <c r="P20260" t="str">
        <f>"15210"</f>
        <v>15210</v>
      </c>
    </row>
    <row r="20261" spans="1:16" x14ac:dyDescent="0.25">
      <c r="A20261" t="str">
        <f>"1290060S00362    00"</f>
        <v>1290060S00362    00</v>
      </c>
      <c r="B20261" t="s">
        <v>43979</v>
      </c>
      <c r="C20261" t="s">
        <v>43980</v>
      </c>
      <c r="D20261" t="s">
        <v>20</v>
      </c>
      <c r="E20261" t="s">
        <v>21</v>
      </c>
      <c r="F20261">
        <v>0</v>
      </c>
      <c r="G20261">
        <v>0</v>
      </c>
      <c r="H20261">
        <v>3</v>
      </c>
      <c r="I20261" s="3">
        <v>1429.56</v>
      </c>
      <c r="J20261" s="3">
        <v>95.3</v>
      </c>
      <c r="L20261">
        <v>1603</v>
      </c>
      <c r="M20261" t="s">
        <v>43981</v>
      </c>
      <c r="N20261" t="s">
        <v>9669</v>
      </c>
      <c r="O20261" t="s">
        <v>31</v>
      </c>
      <c r="P20261" t="str">
        <f>"16101"</f>
        <v>16101</v>
      </c>
    </row>
    <row r="20262" spans="1:16" x14ac:dyDescent="0.25">
      <c r="A20262" t="str">
        <f>"1290060S00374    00"</f>
        <v>1290060S00374    00</v>
      </c>
      <c r="B20262" t="s">
        <v>43982</v>
      </c>
      <c r="C20262" t="s">
        <v>43983</v>
      </c>
      <c r="D20262" t="s">
        <v>20</v>
      </c>
      <c r="E20262" t="s">
        <v>39</v>
      </c>
      <c r="F20262">
        <v>0</v>
      </c>
      <c r="G20262">
        <v>0</v>
      </c>
      <c r="H20262">
        <v>1</v>
      </c>
      <c r="I20262" s="3">
        <v>1909</v>
      </c>
      <c r="J20262" s="3">
        <v>0</v>
      </c>
      <c r="K20262" t="s">
        <v>16191</v>
      </c>
      <c r="L20262">
        <v>80</v>
      </c>
      <c r="M20262" t="s">
        <v>7693</v>
      </c>
      <c r="N20262" t="s">
        <v>7694</v>
      </c>
      <c r="O20262" t="s">
        <v>7695</v>
      </c>
      <c r="P20262" t="str">
        <f>"40601"</f>
        <v>40601</v>
      </c>
    </row>
    <row r="20263" spans="1:16" x14ac:dyDescent="0.25">
      <c r="A20263" t="str">
        <f>"1290060S00382    00"</f>
        <v>1290060S00382    00</v>
      </c>
      <c r="B20263" t="s">
        <v>43984</v>
      </c>
      <c r="C20263" t="s">
        <v>43985</v>
      </c>
      <c r="D20263" t="s">
        <v>20</v>
      </c>
      <c r="E20263" t="s">
        <v>39</v>
      </c>
      <c r="F20263">
        <v>0</v>
      </c>
      <c r="G20263">
        <v>0</v>
      </c>
      <c r="H20263">
        <v>1</v>
      </c>
      <c r="I20263" s="3">
        <v>1349.47</v>
      </c>
      <c r="J20263" s="3">
        <v>0</v>
      </c>
      <c r="K20263" t="s">
        <v>43986</v>
      </c>
      <c r="L20263">
        <v>120</v>
      </c>
      <c r="M20263" t="s">
        <v>43987</v>
      </c>
      <c r="N20263" t="s">
        <v>30</v>
      </c>
      <c r="O20263" t="s">
        <v>31</v>
      </c>
      <c r="P20263" t="str">
        <f>"15210"</f>
        <v>15210</v>
      </c>
    </row>
    <row r="20264" spans="1:16" x14ac:dyDescent="0.25">
      <c r="A20264" t="str">
        <f>"1290094A00022    00"</f>
        <v>1290094A00022    00</v>
      </c>
      <c r="B20264" t="s">
        <v>43988</v>
      </c>
      <c r="C20264" t="s">
        <v>43989</v>
      </c>
      <c r="E20264" t="s">
        <v>39</v>
      </c>
      <c r="F20264">
        <v>0</v>
      </c>
      <c r="G20264">
        <v>0</v>
      </c>
      <c r="H20264">
        <v>5</v>
      </c>
      <c r="I20264" s="3">
        <v>681.68</v>
      </c>
      <c r="J20264" s="3">
        <v>19.940000000000001</v>
      </c>
      <c r="K20264" t="s">
        <v>43990</v>
      </c>
      <c r="L20264">
        <v>1445</v>
      </c>
      <c r="M20264" t="s">
        <v>24964</v>
      </c>
      <c r="N20264" t="s">
        <v>30</v>
      </c>
      <c r="O20264" t="s">
        <v>31</v>
      </c>
      <c r="P20264" t="str">
        <f>"15220"</f>
        <v>15220</v>
      </c>
    </row>
    <row r="20265" spans="1:16" x14ac:dyDescent="0.25">
      <c r="A20265" t="str">
        <f>"1290094A00025    00"</f>
        <v>1290094A00025    00</v>
      </c>
      <c r="B20265" t="s">
        <v>43991</v>
      </c>
      <c r="C20265" t="s">
        <v>43992</v>
      </c>
      <c r="E20265" t="s">
        <v>39</v>
      </c>
      <c r="F20265">
        <v>0</v>
      </c>
      <c r="G20265">
        <v>0</v>
      </c>
      <c r="H20265">
        <v>3</v>
      </c>
      <c r="I20265" s="3">
        <v>127.71</v>
      </c>
      <c r="J20265" s="3">
        <v>2.62</v>
      </c>
      <c r="K20265" t="s">
        <v>43993</v>
      </c>
      <c r="L20265">
        <v>1445</v>
      </c>
      <c r="M20265" t="s">
        <v>24964</v>
      </c>
      <c r="N20265" t="s">
        <v>30</v>
      </c>
      <c r="O20265" t="s">
        <v>31</v>
      </c>
      <c r="P20265" t="str">
        <f>"15220"</f>
        <v>15220</v>
      </c>
    </row>
    <row r="20266" spans="1:16" x14ac:dyDescent="0.25">
      <c r="A20266" t="str">
        <f>"1290094A00288    00"</f>
        <v>1290094A00288    00</v>
      </c>
      <c r="B20266" t="s">
        <v>43994</v>
      </c>
      <c r="C20266" t="s">
        <v>43995</v>
      </c>
      <c r="D20266" t="s">
        <v>20</v>
      </c>
      <c r="E20266" t="s">
        <v>39</v>
      </c>
      <c r="F20266">
        <v>0</v>
      </c>
      <c r="G20266">
        <v>0</v>
      </c>
      <c r="H20266">
        <v>2</v>
      </c>
      <c r="I20266" s="3">
        <v>2114.19</v>
      </c>
      <c r="J20266" s="3">
        <v>0</v>
      </c>
      <c r="K20266" t="s">
        <v>43996</v>
      </c>
      <c r="L20266">
        <v>2918</v>
      </c>
      <c r="M20266" t="s">
        <v>1112</v>
      </c>
      <c r="N20266" t="s">
        <v>30</v>
      </c>
      <c r="O20266" t="s">
        <v>31</v>
      </c>
      <c r="P20266" t="str">
        <f>"15227"</f>
        <v>15227</v>
      </c>
    </row>
    <row r="20267" spans="1:16" x14ac:dyDescent="0.25">
      <c r="A20267" t="str">
        <f>"1290094B00016    00"</f>
        <v>1290094B00016    00</v>
      </c>
      <c r="B20267" t="s">
        <v>43997</v>
      </c>
      <c r="C20267" t="s">
        <v>43998</v>
      </c>
      <c r="E20267" t="s">
        <v>39</v>
      </c>
      <c r="F20267">
        <v>0</v>
      </c>
      <c r="G20267">
        <v>0</v>
      </c>
      <c r="H20267">
        <v>1</v>
      </c>
      <c r="I20267" s="3">
        <v>32.14</v>
      </c>
      <c r="J20267" s="3">
        <v>43.65</v>
      </c>
      <c r="K20267" t="s">
        <v>391</v>
      </c>
      <c r="L20267">
        <v>1</v>
      </c>
      <c r="M20267" t="s">
        <v>392</v>
      </c>
      <c r="N20267" t="s">
        <v>393</v>
      </c>
      <c r="O20267" t="s">
        <v>394</v>
      </c>
      <c r="P20267" t="str">
        <f>"50328"</f>
        <v>50328</v>
      </c>
    </row>
    <row r="20268" spans="1:16" x14ac:dyDescent="0.25">
      <c r="A20268" t="str">
        <f>"1290094B00039    00"</f>
        <v>1290094B00039    00</v>
      </c>
      <c r="B20268" t="s">
        <v>43999</v>
      </c>
      <c r="C20268" t="s">
        <v>44000</v>
      </c>
      <c r="D20268" t="s">
        <v>20</v>
      </c>
      <c r="E20268" t="s">
        <v>39</v>
      </c>
      <c r="F20268">
        <v>0</v>
      </c>
      <c r="G20268">
        <v>0</v>
      </c>
      <c r="H20268">
        <v>2</v>
      </c>
      <c r="I20268" s="3">
        <v>1297.22</v>
      </c>
      <c r="J20268" s="3">
        <v>0</v>
      </c>
      <c r="L20268">
        <v>554</v>
      </c>
      <c r="M20268" t="s">
        <v>27018</v>
      </c>
      <c r="N20268" t="s">
        <v>30</v>
      </c>
      <c r="O20268" t="s">
        <v>31</v>
      </c>
      <c r="P20268" t="str">
        <f>"15227"</f>
        <v>15227</v>
      </c>
    </row>
    <row r="20269" spans="1:16" x14ac:dyDescent="0.25">
      <c r="A20269" t="str">
        <f>"1290094B00089    00"</f>
        <v>1290094B00089    00</v>
      </c>
      <c r="B20269" t="s">
        <v>44001</v>
      </c>
      <c r="C20269" t="s">
        <v>44002</v>
      </c>
      <c r="E20269" t="s">
        <v>39</v>
      </c>
      <c r="F20269">
        <v>0</v>
      </c>
      <c r="G20269">
        <v>0</v>
      </c>
      <c r="H20269">
        <v>1</v>
      </c>
      <c r="I20269" s="3">
        <v>484.65</v>
      </c>
      <c r="J20269" s="3">
        <v>0</v>
      </c>
      <c r="K20269" t="s">
        <v>44003</v>
      </c>
      <c r="L20269">
        <v>503</v>
      </c>
      <c r="M20269" t="s">
        <v>22815</v>
      </c>
      <c r="N20269" t="s">
        <v>30</v>
      </c>
      <c r="O20269" t="s">
        <v>31</v>
      </c>
      <c r="P20269" t="str">
        <f>"15227"</f>
        <v>15227</v>
      </c>
    </row>
    <row r="20270" spans="1:16" x14ac:dyDescent="0.25">
      <c r="A20270" t="str">
        <f>"1290094B00091    00"</f>
        <v>1290094B00091    00</v>
      </c>
      <c r="B20270" t="s">
        <v>44004</v>
      </c>
      <c r="C20270" t="s">
        <v>44005</v>
      </c>
      <c r="E20270" t="s">
        <v>39</v>
      </c>
      <c r="F20270">
        <v>0</v>
      </c>
      <c r="G20270">
        <v>0</v>
      </c>
      <c r="H20270">
        <v>1</v>
      </c>
      <c r="I20270" s="3">
        <v>40.04</v>
      </c>
      <c r="J20270" s="3">
        <v>0</v>
      </c>
      <c r="K20270" t="s">
        <v>44003</v>
      </c>
      <c r="L20270">
        <v>503</v>
      </c>
      <c r="M20270" t="s">
        <v>22815</v>
      </c>
      <c r="N20270" t="s">
        <v>30</v>
      </c>
      <c r="O20270" t="s">
        <v>31</v>
      </c>
      <c r="P20270" t="str">
        <f>"15227"</f>
        <v>15227</v>
      </c>
    </row>
    <row r="20271" spans="1:16" x14ac:dyDescent="0.25">
      <c r="A20271" t="str">
        <f>"1290094B00098    00"</f>
        <v>1290094B00098    00</v>
      </c>
      <c r="B20271" t="s">
        <v>29241</v>
      </c>
      <c r="C20271" t="s">
        <v>44006</v>
      </c>
      <c r="D20271" t="s">
        <v>20</v>
      </c>
      <c r="E20271" t="s">
        <v>39</v>
      </c>
      <c r="F20271">
        <v>0</v>
      </c>
      <c r="G20271">
        <v>0</v>
      </c>
      <c r="H20271">
        <v>1</v>
      </c>
      <c r="I20271" s="3">
        <v>1031.1500000000001</v>
      </c>
      <c r="J20271" s="3">
        <v>0</v>
      </c>
      <c r="K20271" t="s">
        <v>29243</v>
      </c>
      <c r="L20271">
        <v>1736</v>
      </c>
      <c r="M20271" t="s">
        <v>21268</v>
      </c>
      <c r="N20271" t="s">
        <v>30</v>
      </c>
      <c r="O20271" t="s">
        <v>31</v>
      </c>
      <c r="P20271" t="str">
        <f>"15210"</f>
        <v>15210</v>
      </c>
    </row>
    <row r="20272" spans="1:16" x14ac:dyDescent="0.25">
      <c r="A20272" t="str">
        <f>"1290094B00182    00"</f>
        <v>1290094B00182    00</v>
      </c>
      <c r="B20272" t="s">
        <v>44007</v>
      </c>
      <c r="C20272" t="s">
        <v>44008</v>
      </c>
      <c r="D20272" t="s">
        <v>20</v>
      </c>
      <c r="E20272" t="s">
        <v>39</v>
      </c>
      <c r="F20272">
        <v>0</v>
      </c>
      <c r="G20272">
        <v>0</v>
      </c>
      <c r="H20272">
        <v>3</v>
      </c>
      <c r="I20272" s="3">
        <v>4174.1400000000003</v>
      </c>
      <c r="J20272" s="3">
        <v>278.26</v>
      </c>
      <c r="K20272" t="s">
        <v>403</v>
      </c>
      <c r="L20272">
        <v>3001</v>
      </c>
      <c r="M20272" t="s">
        <v>404</v>
      </c>
      <c r="N20272" t="s">
        <v>331</v>
      </c>
      <c r="O20272" t="s">
        <v>108</v>
      </c>
      <c r="P20272" t="str">
        <f>"75063"</f>
        <v>75063</v>
      </c>
    </row>
    <row r="20273" spans="1:16" x14ac:dyDescent="0.25">
      <c r="A20273" t="str">
        <f>"1290094B00184    00"</f>
        <v>1290094B00184    00</v>
      </c>
      <c r="B20273" t="s">
        <v>44009</v>
      </c>
      <c r="C20273" t="s">
        <v>44010</v>
      </c>
      <c r="D20273" t="s">
        <v>57</v>
      </c>
      <c r="E20273" t="s">
        <v>39</v>
      </c>
      <c r="F20273">
        <v>0</v>
      </c>
      <c r="G20273">
        <v>0</v>
      </c>
      <c r="H20273">
        <v>1</v>
      </c>
      <c r="I20273" s="3">
        <v>378.47</v>
      </c>
      <c r="J20273" s="3">
        <v>384.77</v>
      </c>
      <c r="K20273" t="s">
        <v>1632</v>
      </c>
      <c r="L20273">
        <v>3001</v>
      </c>
      <c r="M20273" t="s">
        <v>330</v>
      </c>
      <c r="N20273" t="s">
        <v>331</v>
      </c>
      <c r="O20273" t="s">
        <v>108</v>
      </c>
      <c r="P20273" t="str">
        <f>"75063"</f>
        <v>75063</v>
      </c>
    </row>
    <row r="20274" spans="1:16" x14ac:dyDescent="0.25">
      <c r="A20274" t="str">
        <f>"1290094B00209    00"</f>
        <v>1290094B00209    00</v>
      </c>
      <c r="B20274" t="s">
        <v>44011</v>
      </c>
      <c r="C20274" t="s">
        <v>44012</v>
      </c>
      <c r="D20274" t="s">
        <v>20</v>
      </c>
      <c r="E20274" t="s">
        <v>39</v>
      </c>
      <c r="F20274">
        <v>0</v>
      </c>
      <c r="G20274">
        <v>0</v>
      </c>
      <c r="H20274">
        <v>2</v>
      </c>
      <c r="I20274" s="3">
        <v>2233.84</v>
      </c>
      <c r="J20274" s="3">
        <v>0</v>
      </c>
      <c r="L20274">
        <v>2699</v>
      </c>
      <c r="M20274" t="s">
        <v>44013</v>
      </c>
      <c r="N20274" t="s">
        <v>30</v>
      </c>
      <c r="O20274" t="s">
        <v>31</v>
      </c>
      <c r="P20274" t="str">
        <f t="shared" ref="P20274:P20281" si="251">"15227"</f>
        <v>15227</v>
      </c>
    </row>
    <row r="20275" spans="1:16" x14ac:dyDescent="0.25">
      <c r="A20275" t="str">
        <f>"1290094E00027    00"</f>
        <v>1290094E00027    00</v>
      </c>
      <c r="B20275" t="s">
        <v>44014</v>
      </c>
      <c r="C20275" t="s">
        <v>44015</v>
      </c>
      <c r="E20275" t="s">
        <v>39</v>
      </c>
      <c r="F20275">
        <v>0</v>
      </c>
      <c r="G20275">
        <v>0</v>
      </c>
      <c r="H20275">
        <v>1</v>
      </c>
      <c r="I20275" s="3">
        <v>67.42</v>
      </c>
      <c r="J20275" s="3">
        <v>68.53</v>
      </c>
      <c r="L20275">
        <v>2943</v>
      </c>
      <c r="M20275" t="s">
        <v>8048</v>
      </c>
      <c r="N20275" t="s">
        <v>30</v>
      </c>
      <c r="O20275" t="s">
        <v>31</v>
      </c>
      <c r="P20275" t="str">
        <f t="shared" si="251"/>
        <v>15227</v>
      </c>
    </row>
    <row r="20276" spans="1:16" x14ac:dyDescent="0.25">
      <c r="A20276" t="str">
        <f>"1290094E00029    00"</f>
        <v>1290094E00029    00</v>
      </c>
      <c r="B20276" t="s">
        <v>44014</v>
      </c>
      <c r="C20276" t="s">
        <v>44016</v>
      </c>
      <c r="E20276" t="s">
        <v>39</v>
      </c>
      <c r="F20276">
        <v>0</v>
      </c>
      <c r="G20276">
        <v>0</v>
      </c>
      <c r="H20276">
        <v>1</v>
      </c>
      <c r="I20276" s="3">
        <v>67.42</v>
      </c>
      <c r="J20276" s="3">
        <v>68.53</v>
      </c>
      <c r="L20276">
        <v>2943</v>
      </c>
      <c r="M20276" t="s">
        <v>8048</v>
      </c>
      <c r="N20276" t="s">
        <v>30</v>
      </c>
      <c r="O20276" t="s">
        <v>31</v>
      </c>
      <c r="P20276" t="str">
        <f t="shared" si="251"/>
        <v>15227</v>
      </c>
    </row>
    <row r="20277" spans="1:16" x14ac:dyDescent="0.25">
      <c r="A20277" t="str">
        <f>"1290094E00031    00"</f>
        <v>1290094E00031    00</v>
      </c>
      <c r="B20277" t="s">
        <v>44014</v>
      </c>
      <c r="C20277" t="s">
        <v>44017</v>
      </c>
      <c r="E20277" t="s">
        <v>39</v>
      </c>
      <c r="F20277">
        <v>0</v>
      </c>
      <c r="G20277">
        <v>0</v>
      </c>
      <c r="H20277">
        <v>1</v>
      </c>
      <c r="I20277" s="3">
        <v>67.42</v>
      </c>
      <c r="J20277" s="3">
        <v>68.53</v>
      </c>
      <c r="L20277">
        <v>2943</v>
      </c>
      <c r="M20277" t="s">
        <v>8048</v>
      </c>
      <c r="N20277" t="s">
        <v>30</v>
      </c>
      <c r="O20277" t="s">
        <v>31</v>
      </c>
      <c r="P20277" t="str">
        <f t="shared" si="251"/>
        <v>15227</v>
      </c>
    </row>
    <row r="20278" spans="1:16" x14ac:dyDescent="0.25">
      <c r="A20278" t="str">
        <f>"1290094E00033    00"</f>
        <v>1290094E00033    00</v>
      </c>
      <c r="B20278" t="s">
        <v>44014</v>
      </c>
      <c r="C20278" t="s">
        <v>44018</v>
      </c>
      <c r="E20278" t="s">
        <v>39</v>
      </c>
      <c r="F20278">
        <v>0</v>
      </c>
      <c r="G20278">
        <v>0</v>
      </c>
      <c r="H20278">
        <v>1</v>
      </c>
      <c r="I20278" s="3">
        <v>67.42</v>
      </c>
      <c r="J20278" s="3">
        <v>68.53</v>
      </c>
      <c r="L20278">
        <v>2943</v>
      </c>
      <c r="M20278" t="s">
        <v>8048</v>
      </c>
      <c r="N20278" t="s">
        <v>30</v>
      </c>
      <c r="O20278" t="s">
        <v>31</v>
      </c>
      <c r="P20278" t="str">
        <f t="shared" si="251"/>
        <v>15227</v>
      </c>
    </row>
    <row r="20279" spans="1:16" x14ac:dyDescent="0.25">
      <c r="A20279" t="str">
        <f>"1290094E00035    00"</f>
        <v>1290094E00035    00</v>
      </c>
      <c r="B20279" t="s">
        <v>44014</v>
      </c>
      <c r="C20279" t="s">
        <v>44019</v>
      </c>
      <c r="E20279" t="s">
        <v>39</v>
      </c>
      <c r="F20279">
        <v>0</v>
      </c>
      <c r="G20279">
        <v>0</v>
      </c>
      <c r="H20279">
        <v>1</v>
      </c>
      <c r="I20279" s="3">
        <v>89.89</v>
      </c>
      <c r="J20279" s="3">
        <v>91.38</v>
      </c>
      <c r="L20279">
        <v>2943</v>
      </c>
      <c r="M20279" t="s">
        <v>8048</v>
      </c>
      <c r="N20279" t="s">
        <v>30</v>
      </c>
      <c r="O20279" t="s">
        <v>31</v>
      </c>
      <c r="P20279" t="str">
        <f t="shared" si="251"/>
        <v>15227</v>
      </c>
    </row>
    <row r="20280" spans="1:16" x14ac:dyDescent="0.25">
      <c r="A20280" t="str">
        <f>"1290094E00037    00"</f>
        <v>1290094E00037    00</v>
      </c>
      <c r="B20280" t="s">
        <v>44014</v>
      </c>
      <c r="C20280" t="s">
        <v>44020</v>
      </c>
      <c r="E20280" t="s">
        <v>39</v>
      </c>
      <c r="F20280">
        <v>0</v>
      </c>
      <c r="G20280">
        <v>0</v>
      </c>
      <c r="H20280">
        <v>1</v>
      </c>
      <c r="I20280" s="3">
        <v>97.39</v>
      </c>
      <c r="J20280" s="3">
        <v>99.01</v>
      </c>
      <c r="L20280">
        <v>2943</v>
      </c>
      <c r="M20280" t="s">
        <v>8048</v>
      </c>
      <c r="N20280" t="s">
        <v>30</v>
      </c>
      <c r="O20280" t="s">
        <v>31</v>
      </c>
      <c r="P20280" t="str">
        <f t="shared" si="251"/>
        <v>15227</v>
      </c>
    </row>
    <row r="20281" spans="1:16" x14ac:dyDescent="0.25">
      <c r="A20281" t="str">
        <f>"1290094E00039    00"</f>
        <v>1290094E00039    00</v>
      </c>
      <c r="B20281" t="s">
        <v>44014</v>
      </c>
      <c r="C20281" t="s">
        <v>23772</v>
      </c>
      <c r="E20281" t="s">
        <v>39</v>
      </c>
      <c r="F20281">
        <v>0</v>
      </c>
      <c r="G20281">
        <v>0</v>
      </c>
      <c r="H20281">
        <v>1</v>
      </c>
      <c r="I20281" s="3">
        <v>89.89</v>
      </c>
      <c r="J20281" s="3">
        <v>91.38</v>
      </c>
      <c r="L20281">
        <v>2943</v>
      </c>
      <c r="M20281" t="s">
        <v>8048</v>
      </c>
      <c r="N20281" t="s">
        <v>30</v>
      </c>
      <c r="O20281" t="s">
        <v>31</v>
      </c>
      <c r="P20281" t="str">
        <f t="shared" si="251"/>
        <v>15227</v>
      </c>
    </row>
    <row r="20282" spans="1:16" x14ac:dyDescent="0.25">
      <c r="A20282" t="str">
        <f>"1290094E00040    00"</f>
        <v>1290094E00040    00</v>
      </c>
      <c r="B20282" t="s">
        <v>44021</v>
      </c>
      <c r="C20282" t="s">
        <v>44022</v>
      </c>
      <c r="D20282" t="s">
        <v>20</v>
      </c>
      <c r="E20282" t="s">
        <v>39</v>
      </c>
      <c r="F20282">
        <v>0</v>
      </c>
      <c r="G20282">
        <v>0</v>
      </c>
      <c r="H20282">
        <v>1</v>
      </c>
      <c r="I20282" s="3">
        <v>1364.71</v>
      </c>
      <c r="J20282" s="3">
        <v>0</v>
      </c>
      <c r="K20282" t="s">
        <v>44023</v>
      </c>
      <c r="L20282">
        <v>121</v>
      </c>
      <c r="M20282" t="s">
        <v>25531</v>
      </c>
      <c r="N20282" t="s">
        <v>903</v>
      </c>
      <c r="O20282" t="s">
        <v>31</v>
      </c>
      <c r="P20282" t="str">
        <f>"15136"</f>
        <v>15136</v>
      </c>
    </row>
    <row r="20283" spans="1:16" x14ac:dyDescent="0.25">
      <c r="A20283" t="str">
        <f>"1290094E00093    00"</f>
        <v>1290094E00093    00</v>
      </c>
      <c r="B20283" t="s">
        <v>29213</v>
      </c>
      <c r="C20283" t="s">
        <v>44024</v>
      </c>
      <c r="D20283" t="s">
        <v>20</v>
      </c>
      <c r="E20283" t="s">
        <v>39</v>
      </c>
      <c r="F20283">
        <v>0</v>
      </c>
      <c r="G20283">
        <v>0</v>
      </c>
      <c r="H20283">
        <v>19</v>
      </c>
      <c r="I20283" s="3">
        <v>961.66</v>
      </c>
      <c r="J20283" s="3">
        <v>547.15</v>
      </c>
      <c r="K20283" t="s">
        <v>44025</v>
      </c>
      <c r="M20283" t="s">
        <v>29215</v>
      </c>
      <c r="N20283" t="s">
        <v>30</v>
      </c>
      <c r="O20283" t="s">
        <v>31</v>
      </c>
      <c r="P20283" t="str">
        <f>"15237"</f>
        <v>15237</v>
      </c>
    </row>
    <row r="20284" spans="1:16" x14ac:dyDescent="0.25">
      <c r="A20284" t="str">
        <f>"1290094E00094    00"</f>
        <v>1290094E00094    00</v>
      </c>
      <c r="B20284" t="s">
        <v>29213</v>
      </c>
      <c r="C20284" t="s">
        <v>44024</v>
      </c>
      <c r="D20284" t="s">
        <v>20</v>
      </c>
      <c r="E20284" t="s">
        <v>39</v>
      </c>
      <c r="F20284">
        <v>0</v>
      </c>
      <c r="G20284">
        <v>0</v>
      </c>
      <c r="H20284">
        <v>19</v>
      </c>
      <c r="I20284" s="3">
        <v>195.42</v>
      </c>
      <c r="J20284" s="3">
        <v>122.74</v>
      </c>
      <c r="K20284" t="s">
        <v>44025</v>
      </c>
      <c r="M20284" t="s">
        <v>29215</v>
      </c>
      <c r="N20284" t="s">
        <v>30</v>
      </c>
      <c r="O20284" t="s">
        <v>31</v>
      </c>
      <c r="P20284" t="str">
        <f>"15237"</f>
        <v>15237</v>
      </c>
    </row>
    <row r="20285" spans="1:16" x14ac:dyDescent="0.25">
      <c r="A20285" t="str">
        <f>"1290094E00107    00"</f>
        <v>1290094E00107    00</v>
      </c>
      <c r="B20285" t="s">
        <v>44026</v>
      </c>
      <c r="C20285" t="s">
        <v>44027</v>
      </c>
      <c r="D20285" t="s">
        <v>20</v>
      </c>
      <c r="E20285" t="s">
        <v>39</v>
      </c>
      <c r="F20285">
        <v>0</v>
      </c>
      <c r="G20285">
        <v>0</v>
      </c>
      <c r="H20285">
        <v>5</v>
      </c>
      <c r="I20285" s="3">
        <v>360.91</v>
      </c>
      <c r="J20285" s="3">
        <v>41.32</v>
      </c>
      <c r="L20285">
        <v>2331</v>
      </c>
      <c r="M20285" t="s">
        <v>43264</v>
      </c>
      <c r="N20285" t="s">
        <v>30</v>
      </c>
      <c r="O20285" t="s">
        <v>31</v>
      </c>
      <c r="P20285" t="str">
        <f>"15210"</f>
        <v>15210</v>
      </c>
    </row>
    <row r="20286" spans="1:16" x14ac:dyDescent="0.25">
      <c r="A20286" t="str">
        <f>"1290094E00135    00"</f>
        <v>1290094E00135    00</v>
      </c>
      <c r="B20286" t="s">
        <v>44028</v>
      </c>
      <c r="C20286" t="s">
        <v>44029</v>
      </c>
      <c r="D20286" t="s">
        <v>20</v>
      </c>
      <c r="E20286" t="s">
        <v>39</v>
      </c>
      <c r="F20286">
        <v>0</v>
      </c>
      <c r="G20286">
        <v>0</v>
      </c>
      <c r="H20286">
        <v>3</v>
      </c>
      <c r="I20286" s="3">
        <v>2993.71</v>
      </c>
      <c r="J20286" s="3">
        <v>149.68</v>
      </c>
      <c r="K20286" t="s">
        <v>44030</v>
      </c>
      <c r="L20286">
        <v>2653</v>
      </c>
      <c r="M20286" t="s">
        <v>24936</v>
      </c>
      <c r="N20286" t="s">
        <v>30</v>
      </c>
      <c r="O20286" t="s">
        <v>31</v>
      </c>
      <c r="P20286" t="str">
        <f>"15227"</f>
        <v>15227</v>
      </c>
    </row>
    <row r="20287" spans="1:16" x14ac:dyDescent="0.25">
      <c r="A20287" t="str">
        <f>"1290094E00144    00"</f>
        <v>1290094E00144    00</v>
      </c>
      <c r="B20287" t="s">
        <v>44031</v>
      </c>
      <c r="C20287" t="s">
        <v>44032</v>
      </c>
      <c r="E20287" t="s">
        <v>39</v>
      </c>
      <c r="F20287">
        <v>0</v>
      </c>
      <c r="G20287">
        <v>0</v>
      </c>
      <c r="H20287">
        <v>1</v>
      </c>
      <c r="I20287" s="3">
        <v>390.44</v>
      </c>
      <c r="J20287" s="3">
        <v>0</v>
      </c>
      <c r="K20287" t="s">
        <v>44033</v>
      </c>
      <c r="L20287">
        <v>122</v>
      </c>
      <c r="M20287" t="s">
        <v>24010</v>
      </c>
      <c r="N20287" t="s">
        <v>30</v>
      </c>
      <c r="O20287" t="s">
        <v>31</v>
      </c>
      <c r="P20287" t="str">
        <f>"15210"</f>
        <v>15210</v>
      </c>
    </row>
    <row r="20288" spans="1:16" x14ac:dyDescent="0.25">
      <c r="A20288" t="str">
        <f>"1290094E00146    00"</f>
        <v>1290094E00146    00</v>
      </c>
      <c r="B20288" t="s">
        <v>44034</v>
      </c>
      <c r="C20288" t="s">
        <v>44024</v>
      </c>
      <c r="D20288" t="s">
        <v>20</v>
      </c>
      <c r="E20288" t="s">
        <v>39</v>
      </c>
      <c r="F20288">
        <v>0</v>
      </c>
      <c r="G20288">
        <v>0</v>
      </c>
      <c r="H20288">
        <v>7</v>
      </c>
      <c r="I20288" s="3">
        <v>233.81</v>
      </c>
      <c r="J20288" s="3">
        <v>85.06</v>
      </c>
      <c r="L20288">
        <v>320</v>
      </c>
      <c r="M20288" t="s">
        <v>26618</v>
      </c>
      <c r="N20288" t="s">
        <v>30</v>
      </c>
      <c r="O20288" t="s">
        <v>31</v>
      </c>
      <c r="P20288" t="str">
        <f>"15210"</f>
        <v>15210</v>
      </c>
    </row>
    <row r="20289" spans="1:16" x14ac:dyDescent="0.25">
      <c r="A20289" t="str">
        <f>"1290094E00174    00"</f>
        <v>1290094E00174    00</v>
      </c>
      <c r="B20289" t="s">
        <v>44035</v>
      </c>
      <c r="C20289" t="s">
        <v>44036</v>
      </c>
      <c r="E20289" t="s">
        <v>39</v>
      </c>
      <c r="F20289">
        <v>0</v>
      </c>
      <c r="G20289">
        <v>0</v>
      </c>
      <c r="H20289">
        <v>1</v>
      </c>
      <c r="I20289" s="3">
        <v>660.46</v>
      </c>
      <c r="J20289" s="3">
        <v>0</v>
      </c>
      <c r="L20289">
        <v>123</v>
      </c>
      <c r="M20289" t="s">
        <v>44037</v>
      </c>
      <c r="N20289" t="s">
        <v>1928</v>
      </c>
      <c r="O20289" t="s">
        <v>31</v>
      </c>
      <c r="P20289" t="str">
        <f>"15317"</f>
        <v>15317</v>
      </c>
    </row>
    <row r="20290" spans="1:16" x14ac:dyDescent="0.25">
      <c r="A20290" t="str">
        <f>"1290094E00177    00"</f>
        <v>1290094E00177    00</v>
      </c>
      <c r="B20290" t="s">
        <v>44038</v>
      </c>
      <c r="C20290" t="s">
        <v>44039</v>
      </c>
      <c r="D20290" t="s">
        <v>20</v>
      </c>
      <c r="E20290" t="s">
        <v>39</v>
      </c>
      <c r="F20290">
        <v>0</v>
      </c>
      <c r="G20290">
        <v>0</v>
      </c>
      <c r="H20290">
        <v>3</v>
      </c>
      <c r="I20290" s="3">
        <v>2525.38</v>
      </c>
      <c r="J20290" s="3">
        <v>169.37</v>
      </c>
      <c r="K20290" t="s">
        <v>44040</v>
      </c>
      <c r="L20290">
        <v>2434</v>
      </c>
      <c r="M20290" t="s">
        <v>43264</v>
      </c>
      <c r="N20290" t="s">
        <v>30</v>
      </c>
      <c r="O20290" t="s">
        <v>31</v>
      </c>
      <c r="P20290" t="str">
        <f>"15210"</f>
        <v>15210</v>
      </c>
    </row>
    <row r="20291" spans="1:16" x14ac:dyDescent="0.25">
      <c r="A20291" t="str">
        <f>"1290094E00185    00"</f>
        <v>1290094E00185    00</v>
      </c>
      <c r="B20291" t="s">
        <v>44041</v>
      </c>
      <c r="C20291" t="s">
        <v>44042</v>
      </c>
      <c r="D20291" t="s">
        <v>20</v>
      </c>
      <c r="E20291" t="s">
        <v>39</v>
      </c>
      <c r="F20291">
        <v>0</v>
      </c>
      <c r="G20291">
        <v>0</v>
      </c>
      <c r="H20291">
        <v>2</v>
      </c>
      <c r="I20291" s="3">
        <v>712.8</v>
      </c>
      <c r="J20291" s="3">
        <v>0</v>
      </c>
      <c r="L20291">
        <v>2403</v>
      </c>
      <c r="M20291" t="s">
        <v>44043</v>
      </c>
      <c r="N20291" t="s">
        <v>30</v>
      </c>
      <c r="O20291" t="s">
        <v>31</v>
      </c>
      <c r="P20291" t="str">
        <f>"15210"</f>
        <v>15210</v>
      </c>
    </row>
    <row r="20292" spans="1:16" x14ac:dyDescent="0.25">
      <c r="A20292" t="str">
        <f>"1290094E00234    00"</f>
        <v>1290094E00234    00</v>
      </c>
      <c r="B20292" t="s">
        <v>44044</v>
      </c>
      <c r="C20292" t="s">
        <v>44045</v>
      </c>
      <c r="D20292" t="s">
        <v>20</v>
      </c>
      <c r="E20292" t="s">
        <v>39</v>
      </c>
      <c r="F20292">
        <v>0</v>
      </c>
      <c r="G20292">
        <v>0</v>
      </c>
      <c r="H20292">
        <v>19</v>
      </c>
      <c r="I20292" s="3">
        <v>622.54999999999995</v>
      </c>
      <c r="J20292" s="3">
        <v>576.62</v>
      </c>
      <c r="K20292" t="s">
        <v>1008</v>
      </c>
      <c r="P20292" t="str">
        <f>""</f>
        <v/>
      </c>
    </row>
    <row r="20293" spans="1:16" x14ac:dyDescent="0.25">
      <c r="A20293" t="str">
        <f>"1290094E00236    00"</f>
        <v>1290094E00236    00</v>
      </c>
      <c r="B20293" t="s">
        <v>30193</v>
      </c>
      <c r="C20293" t="s">
        <v>44046</v>
      </c>
      <c r="D20293" t="s">
        <v>20</v>
      </c>
      <c r="E20293" t="s">
        <v>39</v>
      </c>
      <c r="F20293">
        <v>0</v>
      </c>
      <c r="G20293">
        <v>0</v>
      </c>
      <c r="H20293">
        <v>1</v>
      </c>
      <c r="I20293" s="3">
        <v>819.58</v>
      </c>
      <c r="J20293" s="3">
        <v>0</v>
      </c>
      <c r="K20293" t="s">
        <v>30195</v>
      </c>
      <c r="L20293">
        <v>1736</v>
      </c>
      <c r="M20293" t="s">
        <v>21268</v>
      </c>
      <c r="N20293" t="s">
        <v>30</v>
      </c>
      <c r="O20293" t="s">
        <v>31</v>
      </c>
      <c r="P20293" t="str">
        <f>"15210"</f>
        <v>15210</v>
      </c>
    </row>
    <row r="20294" spans="1:16" x14ac:dyDescent="0.25">
      <c r="A20294" t="str">
        <f>"1290094E00240    00"</f>
        <v>1290094E00240    00</v>
      </c>
      <c r="B20294" t="s">
        <v>44047</v>
      </c>
      <c r="C20294" t="s">
        <v>44045</v>
      </c>
      <c r="D20294" t="s">
        <v>20</v>
      </c>
      <c r="E20294" t="s">
        <v>39</v>
      </c>
      <c r="F20294">
        <v>0</v>
      </c>
      <c r="G20294">
        <v>0</v>
      </c>
      <c r="H20294">
        <v>17</v>
      </c>
      <c r="I20294" s="3">
        <v>10473.790000000001</v>
      </c>
      <c r="J20294" s="3">
        <v>10603.68</v>
      </c>
      <c r="L20294">
        <v>2431</v>
      </c>
      <c r="M20294" t="s">
        <v>44048</v>
      </c>
      <c r="N20294" t="s">
        <v>30</v>
      </c>
      <c r="O20294" t="s">
        <v>31</v>
      </c>
      <c r="P20294" t="str">
        <f>"15210"</f>
        <v>15210</v>
      </c>
    </row>
    <row r="20295" spans="1:16" x14ac:dyDescent="0.25">
      <c r="A20295" t="str">
        <f>"1290094E00241    00"</f>
        <v>1290094E00241    00</v>
      </c>
      <c r="B20295" t="s">
        <v>44047</v>
      </c>
      <c r="C20295" t="s">
        <v>44045</v>
      </c>
      <c r="D20295" t="s">
        <v>20</v>
      </c>
      <c r="E20295" t="s">
        <v>39</v>
      </c>
      <c r="F20295">
        <v>0</v>
      </c>
      <c r="G20295">
        <v>0</v>
      </c>
      <c r="H20295">
        <v>19</v>
      </c>
      <c r="I20295" s="3">
        <v>1551.58</v>
      </c>
      <c r="J20295" s="3">
        <v>929.35</v>
      </c>
      <c r="L20295">
        <v>2431</v>
      </c>
      <c r="M20295" t="s">
        <v>44048</v>
      </c>
      <c r="N20295" t="s">
        <v>30</v>
      </c>
      <c r="O20295" t="s">
        <v>31</v>
      </c>
      <c r="P20295" t="str">
        <f>"15210"</f>
        <v>15210</v>
      </c>
    </row>
    <row r="20296" spans="1:16" x14ac:dyDescent="0.25">
      <c r="A20296" t="str">
        <f>"1290094E00251    00"</f>
        <v>1290094E00251    00</v>
      </c>
      <c r="B20296" t="s">
        <v>15513</v>
      </c>
      <c r="C20296" t="s">
        <v>44049</v>
      </c>
      <c r="D20296" t="s">
        <v>20</v>
      </c>
      <c r="E20296" t="s">
        <v>39</v>
      </c>
      <c r="F20296">
        <v>0</v>
      </c>
      <c r="G20296">
        <v>0</v>
      </c>
      <c r="H20296">
        <v>4</v>
      </c>
      <c r="I20296" s="3">
        <v>3667.58</v>
      </c>
      <c r="J20296" s="3">
        <v>365.29</v>
      </c>
      <c r="L20296">
        <v>2403</v>
      </c>
      <c r="M20296" t="s">
        <v>44048</v>
      </c>
      <c r="N20296" t="s">
        <v>30</v>
      </c>
      <c r="O20296" t="s">
        <v>31</v>
      </c>
      <c r="P20296" t="str">
        <f>"15210"</f>
        <v>15210</v>
      </c>
    </row>
    <row r="20297" spans="1:16" x14ac:dyDescent="0.25">
      <c r="A20297" t="str">
        <f>"1290094E00259    00"</f>
        <v>1290094E00259    00</v>
      </c>
      <c r="B20297" t="s">
        <v>44050</v>
      </c>
      <c r="C20297" t="s">
        <v>44051</v>
      </c>
      <c r="D20297" t="s">
        <v>20</v>
      </c>
      <c r="E20297" t="s">
        <v>39</v>
      </c>
      <c r="F20297">
        <v>0</v>
      </c>
      <c r="G20297">
        <v>0</v>
      </c>
      <c r="H20297">
        <v>14</v>
      </c>
      <c r="I20297" s="3">
        <v>486.45</v>
      </c>
      <c r="J20297" s="3">
        <v>305.92</v>
      </c>
      <c r="K20297" t="s">
        <v>44052</v>
      </c>
      <c r="L20297">
        <v>303</v>
      </c>
      <c r="M20297" t="s">
        <v>44053</v>
      </c>
      <c r="N20297" t="s">
        <v>44054</v>
      </c>
      <c r="O20297" t="s">
        <v>9696</v>
      </c>
      <c r="P20297" t="str">
        <f>"46391"</f>
        <v>46391</v>
      </c>
    </row>
    <row r="20298" spans="1:16" x14ac:dyDescent="0.25">
      <c r="A20298" t="str">
        <f>"1290094E00285    00"</f>
        <v>1290094E00285    00</v>
      </c>
      <c r="B20298" t="s">
        <v>44055</v>
      </c>
      <c r="C20298" t="s">
        <v>44056</v>
      </c>
      <c r="D20298" t="s">
        <v>20</v>
      </c>
      <c r="E20298" t="s">
        <v>39</v>
      </c>
      <c r="F20298">
        <v>0</v>
      </c>
      <c r="G20298">
        <v>0</v>
      </c>
      <c r="H20298">
        <v>6</v>
      </c>
      <c r="I20298" s="3">
        <v>5449.03</v>
      </c>
      <c r="J20298" s="3">
        <v>1222.0999999999999</v>
      </c>
      <c r="L20298">
        <v>2427</v>
      </c>
      <c r="M20298" t="s">
        <v>44057</v>
      </c>
      <c r="N20298" t="s">
        <v>30</v>
      </c>
      <c r="O20298" t="s">
        <v>31</v>
      </c>
      <c r="P20298" t="str">
        <f>"15210"</f>
        <v>15210</v>
      </c>
    </row>
    <row r="20299" spans="1:16" x14ac:dyDescent="0.25">
      <c r="A20299" t="str">
        <f>"1290094E00287    00"</f>
        <v>1290094E00287    00</v>
      </c>
      <c r="B20299" t="s">
        <v>44058</v>
      </c>
      <c r="C20299" t="s">
        <v>44059</v>
      </c>
      <c r="D20299" t="s">
        <v>20</v>
      </c>
      <c r="E20299" t="s">
        <v>39</v>
      </c>
      <c r="F20299">
        <v>0</v>
      </c>
      <c r="G20299">
        <v>0</v>
      </c>
      <c r="H20299">
        <v>4</v>
      </c>
      <c r="I20299" s="3">
        <v>3342.82</v>
      </c>
      <c r="J20299" s="3">
        <v>359.75</v>
      </c>
      <c r="L20299">
        <v>2429</v>
      </c>
      <c r="M20299" t="s">
        <v>44057</v>
      </c>
      <c r="N20299" t="s">
        <v>30</v>
      </c>
      <c r="O20299" t="s">
        <v>31</v>
      </c>
      <c r="P20299" t="str">
        <f>"15210"</f>
        <v>15210</v>
      </c>
    </row>
    <row r="20300" spans="1:16" x14ac:dyDescent="0.25">
      <c r="A20300" t="str">
        <f>"1290094E00288    00"</f>
        <v>1290094E00288    00</v>
      </c>
      <c r="B20300" t="s">
        <v>44060</v>
      </c>
      <c r="C20300" t="s">
        <v>44061</v>
      </c>
      <c r="D20300" t="s">
        <v>20</v>
      </c>
      <c r="E20300" t="s">
        <v>39</v>
      </c>
      <c r="F20300">
        <v>0</v>
      </c>
      <c r="G20300">
        <v>0</v>
      </c>
      <c r="H20300">
        <v>8</v>
      </c>
      <c r="I20300" s="3">
        <v>2705.42</v>
      </c>
      <c r="J20300" s="3">
        <v>885.27</v>
      </c>
      <c r="L20300">
        <v>2429</v>
      </c>
      <c r="M20300" t="s">
        <v>44057</v>
      </c>
      <c r="N20300" t="s">
        <v>30</v>
      </c>
      <c r="O20300" t="s">
        <v>31</v>
      </c>
      <c r="P20300" t="str">
        <f>"15210"</f>
        <v>15210</v>
      </c>
    </row>
    <row r="20301" spans="1:16" x14ac:dyDescent="0.25">
      <c r="A20301" t="str">
        <f>"1290094E00289    00"</f>
        <v>1290094E00289    00</v>
      </c>
      <c r="B20301" t="s">
        <v>44062</v>
      </c>
      <c r="C20301" t="s">
        <v>44063</v>
      </c>
      <c r="D20301" t="s">
        <v>20</v>
      </c>
      <c r="E20301" t="s">
        <v>39</v>
      </c>
      <c r="F20301">
        <v>0</v>
      </c>
      <c r="G20301">
        <v>0</v>
      </c>
      <c r="H20301">
        <v>14</v>
      </c>
      <c r="I20301" s="3">
        <v>11137.39</v>
      </c>
      <c r="J20301" s="3">
        <v>6339.58</v>
      </c>
      <c r="K20301" t="s">
        <v>44064</v>
      </c>
      <c r="L20301">
        <v>112</v>
      </c>
      <c r="M20301" t="s">
        <v>44065</v>
      </c>
      <c r="N20301" t="s">
        <v>7608</v>
      </c>
      <c r="O20301" t="s">
        <v>31</v>
      </c>
      <c r="P20301" t="str">
        <f>"15068"</f>
        <v>15068</v>
      </c>
    </row>
    <row r="20302" spans="1:16" x14ac:dyDescent="0.25">
      <c r="A20302" t="str">
        <f>"1290094E00290    00"</f>
        <v>1290094E00290    00</v>
      </c>
      <c r="B20302" t="s">
        <v>44062</v>
      </c>
      <c r="C20302" t="s">
        <v>44066</v>
      </c>
      <c r="D20302" t="s">
        <v>20</v>
      </c>
      <c r="E20302" t="s">
        <v>39</v>
      </c>
      <c r="F20302">
        <v>0</v>
      </c>
      <c r="G20302">
        <v>0</v>
      </c>
      <c r="H20302">
        <v>13</v>
      </c>
      <c r="I20302" s="3">
        <v>1110.19</v>
      </c>
      <c r="J20302" s="3">
        <v>591.44000000000005</v>
      </c>
      <c r="K20302" t="s">
        <v>44067</v>
      </c>
      <c r="L20302">
        <v>2433</v>
      </c>
      <c r="M20302" t="s">
        <v>44057</v>
      </c>
      <c r="N20302" t="s">
        <v>30</v>
      </c>
      <c r="O20302" t="s">
        <v>31</v>
      </c>
      <c r="P20302" t="str">
        <f>"15210"</f>
        <v>15210</v>
      </c>
    </row>
    <row r="20303" spans="1:16" x14ac:dyDescent="0.25">
      <c r="A20303" t="str">
        <f>"1290094E00326    00"</f>
        <v>1290094E00326    00</v>
      </c>
      <c r="B20303" t="s">
        <v>44068</v>
      </c>
      <c r="C20303" t="s">
        <v>44069</v>
      </c>
      <c r="D20303" t="s">
        <v>20</v>
      </c>
      <c r="E20303" t="s">
        <v>39</v>
      </c>
      <c r="F20303">
        <v>0</v>
      </c>
      <c r="G20303">
        <v>0</v>
      </c>
      <c r="H20303">
        <v>4</v>
      </c>
      <c r="I20303" s="3">
        <v>599.95000000000005</v>
      </c>
      <c r="J20303" s="3">
        <v>70.88</v>
      </c>
      <c r="L20303">
        <v>913</v>
      </c>
      <c r="M20303" t="s">
        <v>16891</v>
      </c>
      <c r="N20303" t="s">
        <v>30</v>
      </c>
      <c r="O20303" t="s">
        <v>31</v>
      </c>
      <c r="P20303" t="str">
        <f>"15220"</f>
        <v>15220</v>
      </c>
    </row>
    <row r="20304" spans="1:16" x14ac:dyDescent="0.25">
      <c r="A20304" t="str">
        <f>"1290094F00050    00"</f>
        <v>1290094F00050    00</v>
      </c>
      <c r="B20304" t="s">
        <v>44070</v>
      </c>
      <c r="C20304" t="s">
        <v>44071</v>
      </c>
      <c r="D20304" t="s">
        <v>20</v>
      </c>
      <c r="E20304" t="s">
        <v>39</v>
      </c>
      <c r="F20304">
        <v>0</v>
      </c>
      <c r="G20304">
        <v>0</v>
      </c>
      <c r="H20304">
        <v>9</v>
      </c>
      <c r="I20304" s="3">
        <v>2146.11</v>
      </c>
      <c r="J20304" s="3">
        <v>736.08</v>
      </c>
      <c r="L20304">
        <v>2440</v>
      </c>
      <c r="M20304" t="s">
        <v>25488</v>
      </c>
      <c r="N20304" t="s">
        <v>30</v>
      </c>
      <c r="O20304" t="s">
        <v>31</v>
      </c>
      <c r="P20304" t="str">
        <f>"15227"</f>
        <v>15227</v>
      </c>
    </row>
    <row r="20305" spans="1:16" x14ac:dyDescent="0.25">
      <c r="A20305" t="str">
        <f>"1290094F00084    00"</f>
        <v>1290094F00084    00</v>
      </c>
      <c r="B20305" t="s">
        <v>44072</v>
      </c>
      <c r="C20305" t="s">
        <v>44073</v>
      </c>
      <c r="E20305" t="s">
        <v>39</v>
      </c>
      <c r="F20305">
        <v>0</v>
      </c>
      <c r="G20305">
        <v>0</v>
      </c>
      <c r="H20305">
        <v>1</v>
      </c>
      <c r="I20305" s="3">
        <v>21.06</v>
      </c>
      <c r="J20305" s="3">
        <v>4.21</v>
      </c>
      <c r="L20305">
        <v>200</v>
      </c>
      <c r="M20305" t="s">
        <v>44074</v>
      </c>
      <c r="N20305" t="s">
        <v>30</v>
      </c>
      <c r="O20305" t="s">
        <v>31</v>
      </c>
      <c r="P20305" t="str">
        <f>"15236"</f>
        <v>15236</v>
      </c>
    </row>
    <row r="20306" spans="1:16" x14ac:dyDescent="0.25">
      <c r="A20306" t="str">
        <f>"1290094F00093    00"</f>
        <v>1290094F00093    00</v>
      </c>
      <c r="B20306" t="s">
        <v>27190</v>
      </c>
      <c r="C20306" t="s">
        <v>44075</v>
      </c>
      <c r="D20306" t="s">
        <v>20</v>
      </c>
      <c r="E20306" t="s">
        <v>39</v>
      </c>
      <c r="F20306">
        <v>0</v>
      </c>
      <c r="G20306">
        <v>0</v>
      </c>
      <c r="H20306">
        <v>1</v>
      </c>
      <c r="I20306" s="3">
        <v>762.4</v>
      </c>
      <c r="J20306" s="3">
        <v>0</v>
      </c>
      <c r="L20306">
        <v>415</v>
      </c>
      <c r="M20306" t="s">
        <v>22783</v>
      </c>
      <c r="N20306" t="s">
        <v>30</v>
      </c>
      <c r="O20306" t="s">
        <v>31</v>
      </c>
      <c r="P20306" t="str">
        <f>"15211"</f>
        <v>15211</v>
      </c>
    </row>
    <row r="20307" spans="1:16" x14ac:dyDescent="0.25">
      <c r="A20307" t="str">
        <f>"1290094F00102    00"</f>
        <v>1290094F00102    00</v>
      </c>
      <c r="B20307" t="s">
        <v>44076</v>
      </c>
      <c r="C20307" t="s">
        <v>44077</v>
      </c>
      <c r="D20307" t="s">
        <v>20</v>
      </c>
      <c r="E20307" t="s">
        <v>39</v>
      </c>
      <c r="F20307">
        <v>0</v>
      </c>
      <c r="G20307">
        <v>0</v>
      </c>
      <c r="H20307">
        <v>1</v>
      </c>
      <c r="I20307" s="3">
        <v>1044.51</v>
      </c>
      <c r="J20307" s="3">
        <v>0</v>
      </c>
      <c r="L20307">
        <v>140</v>
      </c>
      <c r="M20307" t="s">
        <v>44078</v>
      </c>
      <c r="N20307" t="s">
        <v>1928</v>
      </c>
      <c r="O20307" t="s">
        <v>31</v>
      </c>
      <c r="P20307" t="str">
        <f>"15317"</f>
        <v>15317</v>
      </c>
    </row>
    <row r="20308" spans="1:16" x14ac:dyDescent="0.25">
      <c r="A20308" t="str">
        <f>"1290094F00106    00"</f>
        <v>1290094F00106    00</v>
      </c>
      <c r="B20308" t="s">
        <v>44079</v>
      </c>
      <c r="C20308" t="s">
        <v>44080</v>
      </c>
      <c r="D20308" t="s">
        <v>20</v>
      </c>
      <c r="E20308" t="s">
        <v>39</v>
      </c>
      <c r="F20308">
        <v>0</v>
      </c>
      <c r="G20308">
        <v>0</v>
      </c>
      <c r="H20308">
        <v>7</v>
      </c>
      <c r="I20308" s="3">
        <v>5846.41</v>
      </c>
      <c r="J20308" s="3">
        <v>1616.74</v>
      </c>
      <c r="L20308">
        <v>118</v>
      </c>
      <c r="M20308" t="s">
        <v>36172</v>
      </c>
      <c r="N20308" t="s">
        <v>30</v>
      </c>
      <c r="O20308" t="s">
        <v>31</v>
      </c>
      <c r="P20308" t="str">
        <f>"15212"</f>
        <v>15212</v>
      </c>
    </row>
    <row r="20309" spans="1:16" x14ac:dyDescent="0.25">
      <c r="A20309" t="str">
        <f>"1290094F00108    00"</f>
        <v>1290094F00108    00</v>
      </c>
      <c r="B20309" t="s">
        <v>44081</v>
      </c>
      <c r="C20309" t="s">
        <v>44082</v>
      </c>
      <c r="D20309" t="s">
        <v>20</v>
      </c>
      <c r="E20309" t="s">
        <v>39</v>
      </c>
      <c r="F20309">
        <v>0</v>
      </c>
      <c r="G20309">
        <v>0</v>
      </c>
      <c r="H20309">
        <v>5</v>
      </c>
      <c r="I20309" s="3">
        <v>1177.57</v>
      </c>
      <c r="J20309" s="3">
        <v>174.81</v>
      </c>
      <c r="L20309">
        <v>403</v>
      </c>
      <c r="M20309" t="s">
        <v>22815</v>
      </c>
      <c r="N20309" t="s">
        <v>30</v>
      </c>
      <c r="O20309" t="s">
        <v>31</v>
      </c>
      <c r="P20309" t="str">
        <f>"15227"</f>
        <v>15227</v>
      </c>
    </row>
    <row r="20310" spans="1:16" x14ac:dyDescent="0.25">
      <c r="A20310" t="str">
        <f>"1290094F00114    00"</f>
        <v>1290094F00114    00</v>
      </c>
      <c r="B20310" t="s">
        <v>44083</v>
      </c>
      <c r="C20310" t="s">
        <v>44084</v>
      </c>
      <c r="D20310" t="s">
        <v>20</v>
      </c>
      <c r="E20310" t="s">
        <v>39</v>
      </c>
      <c r="F20310">
        <v>0</v>
      </c>
      <c r="G20310">
        <v>0</v>
      </c>
      <c r="H20310">
        <v>1</v>
      </c>
      <c r="I20310" s="3">
        <v>30</v>
      </c>
      <c r="J20310" s="3">
        <v>0</v>
      </c>
      <c r="K20310" t="s">
        <v>44085</v>
      </c>
      <c r="M20310" t="s">
        <v>1439</v>
      </c>
      <c r="N20310" t="s">
        <v>1440</v>
      </c>
      <c r="O20310" t="s">
        <v>70</v>
      </c>
      <c r="P20310" t="str">
        <f>"48501"</f>
        <v>48501</v>
      </c>
    </row>
    <row r="20311" spans="1:16" x14ac:dyDescent="0.25">
      <c r="A20311" t="str">
        <f>"1290094F00120    00"</f>
        <v>1290094F00120    00</v>
      </c>
      <c r="B20311" t="s">
        <v>44086</v>
      </c>
      <c r="C20311" t="s">
        <v>44087</v>
      </c>
      <c r="D20311" t="s">
        <v>20</v>
      </c>
      <c r="E20311" t="s">
        <v>39</v>
      </c>
      <c r="F20311">
        <v>0</v>
      </c>
      <c r="G20311">
        <v>0</v>
      </c>
      <c r="H20311">
        <v>14</v>
      </c>
      <c r="I20311" s="3">
        <v>12579.84</v>
      </c>
      <c r="J20311" s="3">
        <v>7521.77</v>
      </c>
      <c r="L20311">
        <v>414</v>
      </c>
      <c r="M20311" t="s">
        <v>22815</v>
      </c>
      <c r="N20311" t="s">
        <v>30</v>
      </c>
      <c r="O20311" t="s">
        <v>31</v>
      </c>
      <c r="P20311" t="str">
        <f>"15227"</f>
        <v>15227</v>
      </c>
    </row>
    <row r="20312" spans="1:16" x14ac:dyDescent="0.25">
      <c r="A20312" t="str">
        <f>"1290094F00174    00"</f>
        <v>1290094F00174    00</v>
      </c>
      <c r="B20312" t="s">
        <v>44088</v>
      </c>
      <c r="C20312" t="s">
        <v>44089</v>
      </c>
      <c r="D20312" t="s">
        <v>20</v>
      </c>
      <c r="E20312" t="s">
        <v>39</v>
      </c>
      <c r="F20312">
        <v>0</v>
      </c>
      <c r="G20312">
        <v>0</v>
      </c>
      <c r="H20312">
        <v>3</v>
      </c>
      <c r="I20312" s="3">
        <v>4402.92</v>
      </c>
      <c r="J20312" s="3">
        <v>293.52</v>
      </c>
      <c r="L20312">
        <v>1759</v>
      </c>
      <c r="M20312" t="s">
        <v>30375</v>
      </c>
      <c r="N20312" t="s">
        <v>30</v>
      </c>
      <c r="O20312" t="s">
        <v>31</v>
      </c>
      <c r="P20312" t="str">
        <f>"15222"</f>
        <v>15222</v>
      </c>
    </row>
    <row r="20313" spans="1:16" x14ac:dyDescent="0.25">
      <c r="A20313" t="str">
        <f>"1290094F00180    00"</f>
        <v>1290094F00180    00</v>
      </c>
      <c r="B20313" t="s">
        <v>44090</v>
      </c>
      <c r="C20313" t="s">
        <v>44091</v>
      </c>
      <c r="D20313" t="s">
        <v>20</v>
      </c>
      <c r="E20313" t="s">
        <v>39</v>
      </c>
      <c r="F20313">
        <v>0</v>
      </c>
      <c r="G20313">
        <v>0</v>
      </c>
      <c r="H20313">
        <v>1</v>
      </c>
      <c r="I20313" s="3">
        <v>995.4</v>
      </c>
      <c r="J20313" s="3">
        <v>0</v>
      </c>
      <c r="K20313" t="s">
        <v>44092</v>
      </c>
      <c r="L20313">
        <v>405</v>
      </c>
      <c r="M20313" t="s">
        <v>27150</v>
      </c>
      <c r="N20313" t="s">
        <v>30</v>
      </c>
      <c r="O20313" t="s">
        <v>31</v>
      </c>
      <c r="P20313" t="str">
        <f>"15227"</f>
        <v>15227</v>
      </c>
    </row>
    <row r="20314" spans="1:16" x14ac:dyDescent="0.25">
      <c r="A20314" t="str">
        <f>"1290094F00183    00"</f>
        <v>1290094F00183    00</v>
      </c>
      <c r="B20314" t="s">
        <v>44093</v>
      </c>
      <c r="C20314" t="s">
        <v>44094</v>
      </c>
      <c r="D20314" t="s">
        <v>20</v>
      </c>
      <c r="E20314" t="s">
        <v>39</v>
      </c>
      <c r="F20314">
        <v>0</v>
      </c>
      <c r="G20314">
        <v>0</v>
      </c>
      <c r="H20314">
        <v>1</v>
      </c>
      <c r="I20314" s="3">
        <v>1736.38</v>
      </c>
      <c r="J20314" s="3">
        <v>0</v>
      </c>
      <c r="L20314">
        <v>415</v>
      </c>
      <c r="M20314" t="s">
        <v>27150</v>
      </c>
      <c r="N20314" t="s">
        <v>30</v>
      </c>
      <c r="O20314" t="s">
        <v>31</v>
      </c>
      <c r="P20314" t="str">
        <f>"15227"</f>
        <v>15227</v>
      </c>
    </row>
    <row r="20315" spans="1:16" x14ac:dyDescent="0.25">
      <c r="A20315" t="str">
        <f>"1290094F00245    00"</f>
        <v>1290094F00245    00</v>
      </c>
      <c r="B20315" t="s">
        <v>44095</v>
      </c>
      <c r="C20315" t="s">
        <v>44096</v>
      </c>
      <c r="D20315" t="s">
        <v>57</v>
      </c>
      <c r="E20315" t="s">
        <v>39</v>
      </c>
      <c r="F20315">
        <v>0</v>
      </c>
      <c r="G20315">
        <v>0</v>
      </c>
      <c r="H20315">
        <v>1</v>
      </c>
      <c r="I20315" s="3">
        <v>68.709999999999994</v>
      </c>
      <c r="J20315" s="3">
        <v>0</v>
      </c>
      <c r="L20315">
        <v>2723</v>
      </c>
      <c r="M20315" t="s">
        <v>25488</v>
      </c>
      <c r="N20315" t="s">
        <v>30</v>
      </c>
      <c r="O20315" t="s">
        <v>31</v>
      </c>
      <c r="P20315" t="str">
        <f>"15227"</f>
        <v>15227</v>
      </c>
    </row>
    <row r="20316" spans="1:16" x14ac:dyDescent="0.25">
      <c r="A20316" t="str">
        <f>"1290094F00299    00"</f>
        <v>1290094F00299    00</v>
      </c>
      <c r="B20316" t="s">
        <v>44097</v>
      </c>
      <c r="C20316" t="s">
        <v>44098</v>
      </c>
      <c r="D20316" t="s">
        <v>20</v>
      </c>
      <c r="E20316" t="s">
        <v>39</v>
      </c>
      <c r="F20316">
        <v>0</v>
      </c>
      <c r="G20316">
        <v>0</v>
      </c>
      <c r="H20316">
        <v>2</v>
      </c>
      <c r="I20316" s="3">
        <v>2832.34</v>
      </c>
      <c r="J20316" s="3">
        <v>0</v>
      </c>
      <c r="K20316" t="s">
        <v>44099</v>
      </c>
      <c r="L20316">
        <v>2719</v>
      </c>
      <c r="M20316" t="s">
        <v>44100</v>
      </c>
      <c r="N20316" t="s">
        <v>30</v>
      </c>
      <c r="O20316" t="s">
        <v>31</v>
      </c>
      <c r="P20316" t="str">
        <f>"15227"</f>
        <v>15227</v>
      </c>
    </row>
    <row r="20317" spans="1:16" x14ac:dyDescent="0.25">
      <c r="A20317" t="str">
        <f>"1290094J00002    00"</f>
        <v>1290094J00002    00</v>
      </c>
      <c r="B20317" t="s">
        <v>44101</v>
      </c>
      <c r="C20317" t="s">
        <v>44102</v>
      </c>
      <c r="E20317" t="s">
        <v>39</v>
      </c>
      <c r="F20317">
        <v>0</v>
      </c>
      <c r="G20317">
        <v>0</v>
      </c>
      <c r="H20317">
        <v>10</v>
      </c>
      <c r="I20317" s="3">
        <v>7597.42</v>
      </c>
      <c r="J20317" s="3">
        <v>3528.78</v>
      </c>
      <c r="L20317">
        <v>2929</v>
      </c>
      <c r="M20317" t="s">
        <v>44103</v>
      </c>
      <c r="N20317" t="s">
        <v>30</v>
      </c>
      <c r="O20317" t="s">
        <v>31</v>
      </c>
      <c r="P20317" t="str">
        <f>"15227"</f>
        <v>15227</v>
      </c>
    </row>
    <row r="20318" spans="1:16" x14ac:dyDescent="0.25">
      <c r="A20318" t="str">
        <f>"1290094J00024    00"</f>
        <v>1290094J00024    00</v>
      </c>
      <c r="B20318" t="s">
        <v>29232</v>
      </c>
      <c r="C20318" t="s">
        <v>44104</v>
      </c>
      <c r="D20318" t="s">
        <v>20</v>
      </c>
      <c r="E20318" t="s">
        <v>39</v>
      </c>
      <c r="F20318">
        <v>0</v>
      </c>
      <c r="G20318">
        <v>0</v>
      </c>
      <c r="H20318">
        <v>1</v>
      </c>
      <c r="I20318" s="3">
        <v>543.22</v>
      </c>
      <c r="J20318" s="3">
        <v>0</v>
      </c>
      <c r="M20318" t="s">
        <v>30138</v>
      </c>
      <c r="N20318" t="s">
        <v>30</v>
      </c>
      <c r="O20318" t="s">
        <v>31</v>
      </c>
      <c r="P20318" t="str">
        <f>"15216"</f>
        <v>15216</v>
      </c>
    </row>
    <row r="20319" spans="1:16" x14ac:dyDescent="0.25">
      <c r="A20319" t="str">
        <f>"1290094J00084    00"</f>
        <v>1290094J00084    00</v>
      </c>
      <c r="B20319" t="s">
        <v>44105</v>
      </c>
      <c r="C20319" t="s">
        <v>44106</v>
      </c>
      <c r="E20319" t="s">
        <v>39</v>
      </c>
      <c r="F20319">
        <v>0</v>
      </c>
      <c r="G20319">
        <v>0</v>
      </c>
      <c r="H20319">
        <v>1</v>
      </c>
      <c r="I20319" s="3">
        <v>1071.17</v>
      </c>
      <c r="J20319" s="3">
        <v>0</v>
      </c>
      <c r="K20319" t="s">
        <v>44107</v>
      </c>
      <c r="L20319">
        <v>2410</v>
      </c>
      <c r="M20319" t="s">
        <v>31528</v>
      </c>
      <c r="N20319" t="s">
        <v>30</v>
      </c>
      <c r="O20319" t="s">
        <v>31</v>
      </c>
      <c r="P20319" t="str">
        <f>"15210"</f>
        <v>15210</v>
      </c>
    </row>
    <row r="20320" spans="1:16" x14ac:dyDescent="0.25">
      <c r="A20320" t="str">
        <f>"1290094J00085    00"</f>
        <v>1290094J00085    00</v>
      </c>
      <c r="B20320" t="s">
        <v>44108</v>
      </c>
      <c r="C20320" t="s">
        <v>44109</v>
      </c>
      <c r="E20320" t="s">
        <v>39</v>
      </c>
      <c r="F20320">
        <v>0</v>
      </c>
      <c r="G20320">
        <v>0</v>
      </c>
      <c r="H20320">
        <v>1</v>
      </c>
      <c r="I20320" s="3">
        <v>20.98</v>
      </c>
      <c r="J20320" s="3">
        <v>0</v>
      </c>
      <c r="L20320">
        <v>312</v>
      </c>
      <c r="M20320" t="s">
        <v>927</v>
      </c>
      <c r="N20320" t="s">
        <v>2943</v>
      </c>
      <c r="O20320" t="s">
        <v>31</v>
      </c>
      <c r="P20320" t="str">
        <f>"15025"</f>
        <v>15025</v>
      </c>
    </row>
    <row r="20321" spans="1:16" x14ac:dyDescent="0.25">
      <c r="A20321" t="str">
        <f>"1290094J00089    00"</f>
        <v>1290094J00089    00</v>
      </c>
      <c r="B20321" t="s">
        <v>44110</v>
      </c>
      <c r="C20321" t="s">
        <v>44111</v>
      </c>
      <c r="E20321" t="s">
        <v>39</v>
      </c>
      <c r="F20321">
        <v>0</v>
      </c>
      <c r="G20321">
        <v>0</v>
      </c>
      <c r="H20321">
        <v>1</v>
      </c>
      <c r="I20321" s="3">
        <v>858.31</v>
      </c>
      <c r="J20321" s="3">
        <v>0</v>
      </c>
      <c r="L20321">
        <v>2436</v>
      </c>
      <c r="M20321" t="s">
        <v>31528</v>
      </c>
      <c r="N20321" t="s">
        <v>30</v>
      </c>
      <c r="O20321" t="s">
        <v>31</v>
      </c>
      <c r="P20321" t="str">
        <f>"15210"</f>
        <v>15210</v>
      </c>
    </row>
    <row r="20322" spans="1:16" x14ac:dyDescent="0.25">
      <c r="A20322" t="str">
        <f>"1290094J00134    00"</f>
        <v>1290094J00134    00</v>
      </c>
      <c r="B20322" t="s">
        <v>44112</v>
      </c>
      <c r="C20322" t="s">
        <v>44113</v>
      </c>
      <c r="E20322" t="s">
        <v>39</v>
      </c>
      <c r="F20322">
        <v>0</v>
      </c>
      <c r="G20322">
        <v>0</v>
      </c>
      <c r="H20322">
        <v>1</v>
      </c>
      <c r="I20322" s="3">
        <v>289.85000000000002</v>
      </c>
      <c r="J20322" s="3">
        <v>0</v>
      </c>
      <c r="L20322">
        <v>11</v>
      </c>
      <c r="M20322" t="s">
        <v>44114</v>
      </c>
      <c r="N20322" t="s">
        <v>30</v>
      </c>
      <c r="O20322" t="s">
        <v>31</v>
      </c>
      <c r="P20322" t="str">
        <f>"15210"</f>
        <v>15210</v>
      </c>
    </row>
    <row r="20323" spans="1:16" x14ac:dyDescent="0.25">
      <c r="A20323" t="str">
        <f>"1290094J00138    00"</f>
        <v>1290094J00138    00</v>
      </c>
      <c r="B20323" t="s">
        <v>44115</v>
      </c>
      <c r="C20323" t="s">
        <v>44116</v>
      </c>
      <c r="D20323" t="s">
        <v>20</v>
      </c>
      <c r="E20323" t="s">
        <v>39</v>
      </c>
      <c r="F20323">
        <v>0</v>
      </c>
      <c r="G20323">
        <v>0</v>
      </c>
      <c r="H20323">
        <v>2</v>
      </c>
      <c r="I20323" s="3">
        <v>211.79</v>
      </c>
      <c r="J20323" s="3">
        <v>0</v>
      </c>
      <c r="L20323">
        <v>9</v>
      </c>
      <c r="M20323" t="s">
        <v>44114</v>
      </c>
      <c r="N20323" t="s">
        <v>30</v>
      </c>
      <c r="O20323" t="s">
        <v>31</v>
      </c>
      <c r="P20323" t="str">
        <f>"15210"</f>
        <v>15210</v>
      </c>
    </row>
    <row r="20324" spans="1:16" x14ac:dyDescent="0.25">
      <c r="A20324" t="str">
        <f>"1290094J00222    00"</f>
        <v>1290094J00222    00</v>
      </c>
      <c r="B20324" t="s">
        <v>44117</v>
      </c>
      <c r="C20324" t="s">
        <v>44118</v>
      </c>
      <c r="D20324" t="s">
        <v>20</v>
      </c>
      <c r="E20324" t="s">
        <v>39</v>
      </c>
      <c r="F20324">
        <v>0</v>
      </c>
      <c r="G20324">
        <v>0</v>
      </c>
      <c r="H20324">
        <v>1</v>
      </c>
      <c r="I20324" s="3">
        <v>118.83</v>
      </c>
      <c r="J20324" s="3">
        <v>0</v>
      </c>
      <c r="L20324">
        <v>52</v>
      </c>
      <c r="M20324" t="s">
        <v>44119</v>
      </c>
      <c r="N20324" t="s">
        <v>30</v>
      </c>
      <c r="O20324" t="s">
        <v>31</v>
      </c>
      <c r="P20324" t="str">
        <f>"15210"</f>
        <v>15210</v>
      </c>
    </row>
    <row r="20325" spans="1:16" x14ac:dyDescent="0.25">
      <c r="A20325" t="str">
        <f>"1290094K00057    00"</f>
        <v>1290094K00057    00</v>
      </c>
      <c r="B20325" t="s">
        <v>44120</v>
      </c>
      <c r="C20325" t="s">
        <v>44121</v>
      </c>
      <c r="D20325" t="s">
        <v>20</v>
      </c>
      <c r="E20325" t="s">
        <v>39</v>
      </c>
      <c r="F20325">
        <v>0</v>
      </c>
      <c r="G20325">
        <v>0</v>
      </c>
      <c r="H20325">
        <v>4</v>
      </c>
      <c r="I20325" s="3">
        <v>4503.29</v>
      </c>
      <c r="J20325" s="3">
        <v>531.96</v>
      </c>
      <c r="K20325" t="s">
        <v>44122</v>
      </c>
      <c r="L20325">
        <v>3547</v>
      </c>
      <c r="M20325" t="s">
        <v>6909</v>
      </c>
      <c r="N20325" t="s">
        <v>30</v>
      </c>
      <c r="O20325" t="s">
        <v>31</v>
      </c>
      <c r="P20325" t="str">
        <f>"15234"</f>
        <v>15234</v>
      </c>
    </row>
    <row r="20326" spans="1:16" x14ac:dyDescent="0.25">
      <c r="A20326" t="str">
        <f>"1290094K00125    00"</f>
        <v>1290094K00125    00</v>
      </c>
      <c r="B20326" t="s">
        <v>44123</v>
      </c>
      <c r="C20326" t="s">
        <v>44124</v>
      </c>
      <c r="E20326" t="s">
        <v>39</v>
      </c>
      <c r="F20326">
        <v>0</v>
      </c>
      <c r="G20326">
        <v>0</v>
      </c>
      <c r="H20326">
        <v>5</v>
      </c>
      <c r="I20326" s="3">
        <v>6117.32</v>
      </c>
      <c r="J20326" s="3">
        <v>4624.6400000000003</v>
      </c>
      <c r="L20326">
        <v>1801</v>
      </c>
      <c r="M20326" t="s">
        <v>9782</v>
      </c>
      <c r="N20326" t="s">
        <v>30</v>
      </c>
      <c r="O20326" t="s">
        <v>31</v>
      </c>
      <c r="P20326" t="str">
        <f>"15210"</f>
        <v>15210</v>
      </c>
    </row>
    <row r="20327" spans="1:16" x14ac:dyDescent="0.25">
      <c r="A20327" t="str">
        <f>"1290094K00170    00"</f>
        <v>1290094K00170    00</v>
      </c>
      <c r="B20327" t="s">
        <v>44125</v>
      </c>
      <c r="C20327" t="s">
        <v>44126</v>
      </c>
      <c r="D20327" t="s">
        <v>20</v>
      </c>
      <c r="E20327" t="s">
        <v>39</v>
      </c>
      <c r="F20327">
        <v>0</v>
      </c>
      <c r="G20327">
        <v>0</v>
      </c>
      <c r="H20327">
        <v>5</v>
      </c>
      <c r="I20327" s="3">
        <v>2644.83</v>
      </c>
      <c r="J20327" s="3">
        <v>421.53</v>
      </c>
      <c r="L20327">
        <v>239</v>
      </c>
      <c r="M20327" t="s">
        <v>16347</v>
      </c>
      <c r="N20327" t="s">
        <v>30</v>
      </c>
      <c r="O20327" t="s">
        <v>31</v>
      </c>
      <c r="P20327" t="str">
        <f>"15220"</f>
        <v>15220</v>
      </c>
    </row>
    <row r="20328" spans="1:16" x14ac:dyDescent="0.25">
      <c r="A20328" t="str">
        <f>"1290094K00171    00"</f>
        <v>1290094K00171    00</v>
      </c>
      <c r="B20328" t="s">
        <v>44127</v>
      </c>
      <c r="C20328" t="s">
        <v>44128</v>
      </c>
      <c r="D20328" t="s">
        <v>20</v>
      </c>
      <c r="E20328" t="s">
        <v>39</v>
      </c>
      <c r="F20328">
        <v>0</v>
      </c>
      <c r="G20328">
        <v>0</v>
      </c>
      <c r="H20328">
        <v>1</v>
      </c>
      <c r="I20328" s="3">
        <v>920.61</v>
      </c>
      <c r="J20328" s="3">
        <v>0</v>
      </c>
      <c r="K20328" t="s">
        <v>44129</v>
      </c>
      <c r="L20328">
        <v>2004</v>
      </c>
      <c r="M20328" t="s">
        <v>44130</v>
      </c>
      <c r="N20328" t="s">
        <v>30</v>
      </c>
      <c r="O20328" t="s">
        <v>31</v>
      </c>
      <c r="P20328" t="str">
        <f>"15210"</f>
        <v>15210</v>
      </c>
    </row>
    <row r="20329" spans="1:16" x14ac:dyDescent="0.25">
      <c r="A20329" t="str">
        <f>"1290094K00180    00"</f>
        <v>1290094K00180    00</v>
      </c>
      <c r="B20329" t="s">
        <v>44131</v>
      </c>
      <c r="C20329" t="s">
        <v>44132</v>
      </c>
      <c r="E20329" t="s">
        <v>21</v>
      </c>
      <c r="F20329">
        <v>0</v>
      </c>
      <c r="G20329">
        <v>0</v>
      </c>
      <c r="H20329">
        <v>1</v>
      </c>
      <c r="I20329" s="3">
        <v>2306.25</v>
      </c>
      <c r="J20329" s="3">
        <v>0</v>
      </c>
      <c r="K20329" t="s">
        <v>44133</v>
      </c>
      <c r="L20329">
        <v>1304</v>
      </c>
      <c r="M20329" t="s">
        <v>14332</v>
      </c>
      <c r="N20329" t="s">
        <v>30</v>
      </c>
      <c r="O20329" t="s">
        <v>31</v>
      </c>
      <c r="P20329" t="str">
        <f>"15216"</f>
        <v>15216</v>
      </c>
    </row>
    <row r="20330" spans="1:16" x14ac:dyDescent="0.25">
      <c r="A20330" t="str">
        <f>"1290094K00182    00"</f>
        <v>1290094K00182    00</v>
      </c>
      <c r="B20330" t="s">
        <v>44134</v>
      </c>
      <c r="C20330" t="s">
        <v>44135</v>
      </c>
      <c r="D20330" t="s">
        <v>20</v>
      </c>
      <c r="E20330" t="s">
        <v>39</v>
      </c>
      <c r="F20330">
        <v>0</v>
      </c>
      <c r="G20330">
        <v>0</v>
      </c>
      <c r="H20330">
        <v>15</v>
      </c>
      <c r="I20330" s="3">
        <v>6757.69</v>
      </c>
      <c r="J20330" s="3">
        <v>5493.74</v>
      </c>
      <c r="K20330" t="s">
        <v>44136</v>
      </c>
      <c r="L20330">
        <v>1400</v>
      </c>
      <c r="M20330" t="s">
        <v>44137</v>
      </c>
      <c r="N20330" t="s">
        <v>30</v>
      </c>
      <c r="O20330" t="s">
        <v>31</v>
      </c>
      <c r="P20330" t="str">
        <f>"15219"</f>
        <v>15219</v>
      </c>
    </row>
    <row r="20331" spans="1:16" x14ac:dyDescent="0.25">
      <c r="A20331" t="str">
        <f>"1290094K00188    00"</f>
        <v>1290094K00188    00</v>
      </c>
      <c r="B20331" t="s">
        <v>44138</v>
      </c>
      <c r="C20331" t="s">
        <v>44139</v>
      </c>
      <c r="D20331" t="s">
        <v>20</v>
      </c>
      <c r="E20331" t="s">
        <v>39</v>
      </c>
      <c r="F20331">
        <v>0</v>
      </c>
      <c r="G20331">
        <v>0</v>
      </c>
      <c r="H20331">
        <v>1</v>
      </c>
      <c r="I20331" s="3">
        <v>733.82</v>
      </c>
      <c r="J20331" s="3">
        <v>0</v>
      </c>
      <c r="L20331">
        <v>525</v>
      </c>
      <c r="M20331" t="s">
        <v>44140</v>
      </c>
      <c r="N20331" t="s">
        <v>30</v>
      </c>
      <c r="O20331" t="s">
        <v>31</v>
      </c>
      <c r="P20331" t="str">
        <f>"15227"</f>
        <v>15227</v>
      </c>
    </row>
    <row r="20332" spans="1:16" x14ac:dyDescent="0.25">
      <c r="A20332" t="str">
        <f>"1290094K00220    00"</f>
        <v>1290094K00220    00</v>
      </c>
      <c r="B20332" t="s">
        <v>44141</v>
      </c>
      <c r="C20332" t="s">
        <v>44142</v>
      </c>
      <c r="D20332" t="s">
        <v>20</v>
      </c>
      <c r="E20332" t="s">
        <v>39</v>
      </c>
      <c r="F20332">
        <v>0</v>
      </c>
      <c r="G20332">
        <v>0</v>
      </c>
      <c r="H20332">
        <v>15</v>
      </c>
      <c r="I20332" s="3">
        <v>11716.99</v>
      </c>
      <c r="J20332" s="3">
        <v>9332.7099999999991</v>
      </c>
      <c r="K20332" t="s">
        <v>44143</v>
      </c>
      <c r="L20332">
        <v>144</v>
      </c>
      <c r="M20332" t="s">
        <v>22815</v>
      </c>
      <c r="N20332" t="s">
        <v>30</v>
      </c>
      <c r="O20332" t="s">
        <v>31</v>
      </c>
      <c r="P20332" t="str">
        <f>"15227"</f>
        <v>15227</v>
      </c>
    </row>
    <row r="20333" spans="1:16" x14ac:dyDescent="0.25">
      <c r="A20333" t="str">
        <f>"1290094K00258    00"</f>
        <v>1290094K00258    00</v>
      </c>
      <c r="B20333" t="s">
        <v>44144</v>
      </c>
      <c r="C20333" t="s">
        <v>44145</v>
      </c>
      <c r="D20333" t="s">
        <v>20</v>
      </c>
      <c r="E20333" t="s">
        <v>39</v>
      </c>
      <c r="F20333">
        <v>0</v>
      </c>
      <c r="G20333">
        <v>0</v>
      </c>
      <c r="H20333">
        <v>7</v>
      </c>
      <c r="I20333" s="3">
        <v>1673.86</v>
      </c>
      <c r="J20333" s="3">
        <v>482.08</v>
      </c>
      <c r="L20333">
        <v>243</v>
      </c>
      <c r="M20333" t="s">
        <v>22815</v>
      </c>
      <c r="N20333" t="s">
        <v>30</v>
      </c>
      <c r="O20333" t="s">
        <v>31</v>
      </c>
      <c r="P20333" t="str">
        <f>"15227"</f>
        <v>15227</v>
      </c>
    </row>
    <row r="20334" spans="1:16" x14ac:dyDescent="0.25">
      <c r="A20334" t="str">
        <f>"1290094K00390    00"</f>
        <v>1290094K00390    00</v>
      </c>
      <c r="B20334" t="s">
        <v>44146</v>
      </c>
      <c r="C20334" t="s">
        <v>44147</v>
      </c>
      <c r="D20334" t="s">
        <v>20</v>
      </c>
      <c r="E20334" t="s">
        <v>39</v>
      </c>
      <c r="F20334">
        <v>0</v>
      </c>
      <c r="G20334">
        <v>0</v>
      </c>
      <c r="H20334">
        <v>4</v>
      </c>
      <c r="I20334" s="3">
        <v>1395.87</v>
      </c>
      <c r="J20334" s="3">
        <v>542.37</v>
      </c>
      <c r="L20334">
        <v>295</v>
      </c>
      <c r="M20334" t="s">
        <v>44148</v>
      </c>
      <c r="N20334" t="s">
        <v>30</v>
      </c>
      <c r="O20334" t="s">
        <v>31</v>
      </c>
      <c r="P20334" t="str">
        <f>"15227"</f>
        <v>15227</v>
      </c>
    </row>
    <row r="20335" spans="1:16" x14ac:dyDescent="0.25">
      <c r="A20335" t="str">
        <f>"1290094N00006    00"</f>
        <v>1290094N00006    00</v>
      </c>
      <c r="B20335" t="s">
        <v>44149</v>
      </c>
      <c r="C20335" t="s">
        <v>43918</v>
      </c>
      <c r="D20335" t="s">
        <v>20</v>
      </c>
      <c r="E20335" t="s">
        <v>39</v>
      </c>
      <c r="F20335">
        <v>0</v>
      </c>
      <c r="G20335">
        <v>0</v>
      </c>
      <c r="H20335">
        <v>4</v>
      </c>
      <c r="I20335" s="3">
        <v>1070.81</v>
      </c>
      <c r="J20335" s="3">
        <v>126.49</v>
      </c>
      <c r="K20335" t="s">
        <v>44150</v>
      </c>
      <c r="L20335">
        <v>1361</v>
      </c>
      <c r="M20335" t="s">
        <v>25230</v>
      </c>
      <c r="N20335" t="s">
        <v>3934</v>
      </c>
      <c r="O20335" t="s">
        <v>31</v>
      </c>
      <c r="P20335" t="str">
        <f>"15102"</f>
        <v>15102</v>
      </c>
    </row>
    <row r="20336" spans="1:16" x14ac:dyDescent="0.25">
      <c r="A20336" t="str">
        <f>"1290094N00037    00"</f>
        <v>1290094N00037    00</v>
      </c>
      <c r="B20336" t="s">
        <v>44151</v>
      </c>
      <c r="C20336" t="s">
        <v>44152</v>
      </c>
      <c r="D20336" t="s">
        <v>20</v>
      </c>
      <c r="E20336" t="s">
        <v>21</v>
      </c>
      <c r="F20336">
        <v>0</v>
      </c>
      <c r="G20336">
        <v>0</v>
      </c>
      <c r="H20336">
        <v>2</v>
      </c>
      <c r="I20336" s="3">
        <v>27598.92</v>
      </c>
      <c r="J20336" s="3">
        <v>0</v>
      </c>
      <c r="K20336" t="s">
        <v>220</v>
      </c>
      <c r="L20336">
        <v>421</v>
      </c>
      <c r="M20336" t="s">
        <v>221</v>
      </c>
      <c r="N20336" t="s">
        <v>30</v>
      </c>
      <c r="O20336" t="s">
        <v>31</v>
      </c>
      <c r="P20336" t="str">
        <f>"15219"</f>
        <v>15219</v>
      </c>
    </row>
    <row r="20337" spans="1:16" x14ac:dyDescent="0.25">
      <c r="A20337" t="str">
        <f>"1290094N00060    00"</f>
        <v>1290094N00060    00</v>
      </c>
      <c r="B20337" t="s">
        <v>41697</v>
      </c>
      <c r="C20337" t="s">
        <v>44153</v>
      </c>
      <c r="D20337" t="s">
        <v>20</v>
      </c>
      <c r="E20337" t="s">
        <v>21</v>
      </c>
      <c r="F20337">
        <v>0</v>
      </c>
      <c r="G20337">
        <v>0</v>
      </c>
      <c r="H20337">
        <v>2</v>
      </c>
      <c r="I20337" s="3">
        <v>9129.76</v>
      </c>
      <c r="J20337" s="3">
        <v>912.95</v>
      </c>
      <c r="K20337" t="s">
        <v>44154</v>
      </c>
      <c r="L20337">
        <v>310</v>
      </c>
      <c r="M20337" t="s">
        <v>16738</v>
      </c>
      <c r="N20337" t="s">
        <v>30</v>
      </c>
      <c r="O20337" t="s">
        <v>31</v>
      </c>
      <c r="P20337" t="str">
        <f>"15219"</f>
        <v>15219</v>
      </c>
    </row>
    <row r="20338" spans="1:16" x14ac:dyDescent="0.25">
      <c r="A20338" t="str">
        <f>"1290094N00062    00"</f>
        <v>1290094N00062    00</v>
      </c>
      <c r="B20338" t="s">
        <v>41697</v>
      </c>
      <c r="C20338" t="s">
        <v>44155</v>
      </c>
      <c r="D20338" t="s">
        <v>20</v>
      </c>
      <c r="E20338" t="s">
        <v>21</v>
      </c>
      <c r="F20338">
        <v>0</v>
      </c>
      <c r="G20338">
        <v>0</v>
      </c>
      <c r="H20338">
        <v>2</v>
      </c>
      <c r="I20338" s="3">
        <v>7208.52</v>
      </c>
      <c r="J20338" s="3">
        <v>720.83</v>
      </c>
      <c r="K20338" t="s">
        <v>12613</v>
      </c>
      <c r="L20338">
        <v>310</v>
      </c>
      <c r="M20338" t="s">
        <v>16738</v>
      </c>
      <c r="N20338" t="s">
        <v>30</v>
      </c>
      <c r="O20338" t="s">
        <v>31</v>
      </c>
      <c r="P20338" t="str">
        <f>"15219"</f>
        <v>15219</v>
      </c>
    </row>
    <row r="20339" spans="1:16" x14ac:dyDescent="0.25">
      <c r="A20339" t="str">
        <f>"1290094N00063    00"</f>
        <v>1290094N00063    00</v>
      </c>
      <c r="B20339" t="s">
        <v>44156</v>
      </c>
      <c r="C20339" t="s">
        <v>44157</v>
      </c>
      <c r="D20339" t="s">
        <v>20</v>
      </c>
      <c r="E20339" t="s">
        <v>21</v>
      </c>
      <c r="F20339">
        <v>0</v>
      </c>
      <c r="G20339">
        <v>0</v>
      </c>
      <c r="H20339">
        <v>3</v>
      </c>
      <c r="I20339" s="3">
        <v>3051.33</v>
      </c>
      <c r="J20339" s="3">
        <v>245.99</v>
      </c>
      <c r="L20339">
        <v>2606</v>
      </c>
      <c r="M20339" t="s">
        <v>8048</v>
      </c>
      <c r="N20339" t="s">
        <v>30</v>
      </c>
      <c r="O20339" t="s">
        <v>31</v>
      </c>
      <c r="P20339" t="str">
        <f>"15227"</f>
        <v>15227</v>
      </c>
    </row>
    <row r="20340" spans="1:16" x14ac:dyDescent="0.25">
      <c r="A20340" t="str">
        <f>"1290094N00064    00"</f>
        <v>1290094N00064    00</v>
      </c>
      <c r="B20340" t="s">
        <v>44158</v>
      </c>
      <c r="C20340" t="s">
        <v>44159</v>
      </c>
      <c r="D20340" t="s">
        <v>20</v>
      </c>
      <c r="E20340" t="s">
        <v>21</v>
      </c>
      <c r="F20340">
        <v>0</v>
      </c>
      <c r="G20340">
        <v>0</v>
      </c>
      <c r="H20340">
        <v>3</v>
      </c>
      <c r="I20340" s="3">
        <v>1920.67</v>
      </c>
      <c r="J20340" s="3">
        <v>64.180000000000007</v>
      </c>
      <c r="K20340" t="s">
        <v>44160</v>
      </c>
      <c r="L20340">
        <v>532</v>
      </c>
      <c r="M20340" t="s">
        <v>1990</v>
      </c>
      <c r="N20340" t="s">
        <v>30</v>
      </c>
      <c r="O20340" t="s">
        <v>31</v>
      </c>
      <c r="P20340" t="str">
        <f>"15226"</f>
        <v>15226</v>
      </c>
    </row>
    <row r="20341" spans="1:16" x14ac:dyDescent="0.25">
      <c r="A20341" t="str">
        <f>"1290094N00067    00"</f>
        <v>1290094N00067    00</v>
      </c>
      <c r="B20341" t="s">
        <v>44161</v>
      </c>
      <c r="C20341" t="s">
        <v>44162</v>
      </c>
      <c r="D20341" t="s">
        <v>20</v>
      </c>
      <c r="E20341" t="s">
        <v>21</v>
      </c>
      <c r="F20341">
        <v>0</v>
      </c>
      <c r="G20341">
        <v>0</v>
      </c>
      <c r="H20341">
        <v>1</v>
      </c>
      <c r="I20341" s="3">
        <v>4130.3100000000004</v>
      </c>
      <c r="J20341" s="3">
        <v>0</v>
      </c>
      <c r="L20341">
        <v>5157</v>
      </c>
      <c r="M20341" t="s">
        <v>44163</v>
      </c>
      <c r="N20341" t="s">
        <v>2176</v>
      </c>
      <c r="O20341" t="s">
        <v>273</v>
      </c>
      <c r="P20341" t="str">
        <f>"29579"</f>
        <v>29579</v>
      </c>
    </row>
    <row r="20342" spans="1:16" x14ac:dyDescent="0.25">
      <c r="A20342" t="str">
        <f>"1290094N00072    00"</f>
        <v>1290094N00072    00</v>
      </c>
      <c r="B20342" t="s">
        <v>44164</v>
      </c>
      <c r="C20342" t="s">
        <v>44165</v>
      </c>
      <c r="D20342" t="s">
        <v>20</v>
      </c>
      <c r="E20342" t="s">
        <v>21</v>
      </c>
      <c r="F20342">
        <v>0</v>
      </c>
      <c r="G20342">
        <v>0</v>
      </c>
      <c r="H20342">
        <v>14</v>
      </c>
      <c r="I20342" s="3">
        <v>32516.39</v>
      </c>
      <c r="J20342" s="3">
        <v>20706.27</v>
      </c>
      <c r="K20342" t="s">
        <v>44166</v>
      </c>
      <c r="L20342">
        <v>139</v>
      </c>
      <c r="M20342" t="s">
        <v>44167</v>
      </c>
      <c r="N20342" t="s">
        <v>30</v>
      </c>
      <c r="O20342" t="s">
        <v>31</v>
      </c>
      <c r="P20342" t="str">
        <f>"15235"</f>
        <v>15235</v>
      </c>
    </row>
    <row r="20343" spans="1:16" x14ac:dyDescent="0.25">
      <c r="A20343" t="str">
        <f>"1290094N00075    00"</f>
        <v>1290094N00075    00</v>
      </c>
      <c r="B20343" t="s">
        <v>44168</v>
      </c>
      <c r="C20343" t="s">
        <v>44169</v>
      </c>
      <c r="D20343" t="s">
        <v>20</v>
      </c>
      <c r="E20343" t="s">
        <v>21</v>
      </c>
      <c r="F20343">
        <v>0</v>
      </c>
      <c r="G20343">
        <v>0</v>
      </c>
      <c r="H20343">
        <v>2</v>
      </c>
      <c r="I20343" s="3">
        <v>3269.24</v>
      </c>
      <c r="J20343" s="3">
        <v>0</v>
      </c>
      <c r="L20343">
        <v>2538</v>
      </c>
      <c r="M20343" t="s">
        <v>8048</v>
      </c>
      <c r="N20343" t="s">
        <v>30</v>
      </c>
      <c r="O20343" t="s">
        <v>31</v>
      </c>
      <c r="P20343" t="str">
        <f>"15210"</f>
        <v>15210</v>
      </c>
    </row>
    <row r="20344" spans="1:16" x14ac:dyDescent="0.25">
      <c r="A20344" t="str">
        <f>"1290094N00100    00"</f>
        <v>1290094N00100    00</v>
      </c>
      <c r="B20344" t="s">
        <v>44170</v>
      </c>
      <c r="C20344" t="s">
        <v>44171</v>
      </c>
      <c r="D20344" t="s">
        <v>20</v>
      </c>
      <c r="E20344" t="s">
        <v>21</v>
      </c>
      <c r="F20344">
        <v>0</v>
      </c>
      <c r="G20344">
        <v>0</v>
      </c>
      <c r="H20344">
        <v>8</v>
      </c>
      <c r="I20344" s="3">
        <v>11580.59</v>
      </c>
      <c r="J20344" s="3">
        <v>2283.7800000000002</v>
      </c>
      <c r="L20344">
        <v>342</v>
      </c>
      <c r="M20344" t="s">
        <v>43238</v>
      </c>
      <c r="N20344" t="s">
        <v>30</v>
      </c>
      <c r="O20344" t="s">
        <v>31</v>
      </c>
      <c r="P20344" t="str">
        <f>"15210"</f>
        <v>15210</v>
      </c>
    </row>
    <row r="20345" spans="1:16" x14ac:dyDescent="0.25">
      <c r="A20345" t="str">
        <f>"1290094N00129    00"</f>
        <v>1290094N00129    00</v>
      </c>
      <c r="B20345" t="s">
        <v>44172</v>
      </c>
      <c r="C20345" t="s">
        <v>44173</v>
      </c>
      <c r="D20345" t="s">
        <v>57</v>
      </c>
      <c r="E20345" t="s">
        <v>21</v>
      </c>
      <c r="F20345">
        <v>0</v>
      </c>
      <c r="G20345">
        <v>0</v>
      </c>
      <c r="H20345">
        <v>1</v>
      </c>
      <c r="I20345" s="3">
        <v>633.45000000000005</v>
      </c>
      <c r="J20345" s="3">
        <v>0</v>
      </c>
      <c r="L20345">
        <v>2426</v>
      </c>
      <c r="M20345" t="s">
        <v>31528</v>
      </c>
      <c r="N20345" t="s">
        <v>30</v>
      </c>
      <c r="O20345" t="s">
        <v>31</v>
      </c>
      <c r="P20345" t="str">
        <f>"15210"</f>
        <v>15210</v>
      </c>
    </row>
    <row r="20346" spans="1:16" x14ac:dyDescent="0.25">
      <c r="A20346" t="str">
        <f>"1290094N00140    00"</f>
        <v>1290094N00140    00</v>
      </c>
      <c r="B20346" t="s">
        <v>2909</v>
      </c>
      <c r="C20346" t="s">
        <v>44174</v>
      </c>
      <c r="D20346" t="s">
        <v>20</v>
      </c>
      <c r="E20346" t="s">
        <v>39</v>
      </c>
      <c r="F20346">
        <v>0</v>
      </c>
      <c r="G20346">
        <v>0</v>
      </c>
      <c r="H20346">
        <v>2</v>
      </c>
      <c r="I20346" s="3">
        <v>1047.74</v>
      </c>
      <c r="J20346" s="3">
        <v>44.52</v>
      </c>
      <c r="K20346" t="s">
        <v>2910</v>
      </c>
      <c r="L20346">
        <v>10</v>
      </c>
      <c r="M20346" t="s">
        <v>2911</v>
      </c>
      <c r="N20346" t="s">
        <v>30</v>
      </c>
      <c r="O20346" t="s">
        <v>31</v>
      </c>
      <c r="P20346" t="str">
        <f>"15203"</f>
        <v>15203</v>
      </c>
    </row>
    <row r="20347" spans="1:16" x14ac:dyDescent="0.25">
      <c r="A20347" t="str">
        <f>"1290094N00148    00"</f>
        <v>1290094N00148    00</v>
      </c>
      <c r="B20347" t="s">
        <v>44175</v>
      </c>
      <c r="C20347" t="s">
        <v>44176</v>
      </c>
      <c r="D20347" t="s">
        <v>20</v>
      </c>
      <c r="E20347" t="s">
        <v>39</v>
      </c>
      <c r="F20347">
        <v>0</v>
      </c>
      <c r="G20347">
        <v>0</v>
      </c>
      <c r="H20347">
        <v>3</v>
      </c>
      <c r="I20347" s="3">
        <v>2581.9699999999998</v>
      </c>
      <c r="J20347" s="3">
        <v>129.09</v>
      </c>
      <c r="L20347">
        <v>1122</v>
      </c>
      <c r="M20347" t="s">
        <v>28751</v>
      </c>
      <c r="N20347" t="s">
        <v>30</v>
      </c>
      <c r="O20347" t="s">
        <v>31</v>
      </c>
      <c r="P20347" t="str">
        <f>"15216"</f>
        <v>15216</v>
      </c>
    </row>
    <row r="20348" spans="1:16" x14ac:dyDescent="0.25">
      <c r="A20348" t="str">
        <f>"1290094N00152    00"</f>
        <v>1290094N00152    00</v>
      </c>
      <c r="B20348" t="s">
        <v>44177</v>
      </c>
      <c r="C20348" t="s">
        <v>44178</v>
      </c>
      <c r="D20348" t="s">
        <v>20</v>
      </c>
      <c r="E20348" t="s">
        <v>39</v>
      </c>
      <c r="F20348">
        <v>0</v>
      </c>
      <c r="G20348">
        <v>0</v>
      </c>
      <c r="H20348">
        <v>3</v>
      </c>
      <c r="I20348" s="3">
        <v>3076.29</v>
      </c>
      <c r="J20348" s="3">
        <v>205.08</v>
      </c>
      <c r="K20348" t="s">
        <v>44179</v>
      </c>
      <c r="M20348" t="s">
        <v>44180</v>
      </c>
      <c r="N20348" t="s">
        <v>30</v>
      </c>
      <c r="O20348" t="s">
        <v>31</v>
      </c>
      <c r="P20348" t="str">
        <f>"15209"</f>
        <v>15209</v>
      </c>
    </row>
    <row r="20349" spans="1:16" x14ac:dyDescent="0.25">
      <c r="A20349" t="str">
        <f>"1290094N00159    00"</f>
        <v>1290094N00159    00</v>
      </c>
      <c r="B20349" t="s">
        <v>44181</v>
      </c>
      <c r="C20349" t="s">
        <v>44182</v>
      </c>
      <c r="D20349" t="s">
        <v>20</v>
      </c>
      <c r="E20349" t="s">
        <v>39</v>
      </c>
      <c r="F20349">
        <v>0</v>
      </c>
      <c r="G20349">
        <v>0</v>
      </c>
      <c r="H20349">
        <v>6</v>
      </c>
      <c r="I20349" s="3">
        <v>5045.7299999999996</v>
      </c>
      <c r="J20349" s="3">
        <v>945.39</v>
      </c>
      <c r="L20349">
        <v>17</v>
      </c>
      <c r="M20349" t="s">
        <v>44183</v>
      </c>
      <c r="N20349" t="s">
        <v>30</v>
      </c>
      <c r="O20349" t="s">
        <v>31</v>
      </c>
      <c r="P20349" t="str">
        <f>"15210"</f>
        <v>15210</v>
      </c>
    </row>
    <row r="20350" spans="1:16" x14ac:dyDescent="0.25">
      <c r="A20350" t="str">
        <f>"1290094N00165    00"</f>
        <v>1290094N00165    00</v>
      </c>
      <c r="B20350" t="s">
        <v>44184</v>
      </c>
      <c r="C20350" t="s">
        <v>44185</v>
      </c>
      <c r="D20350" t="s">
        <v>20</v>
      </c>
      <c r="E20350" t="s">
        <v>39</v>
      </c>
      <c r="F20350">
        <v>0</v>
      </c>
      <c r="G20350">
        <v>0</v>
      </c>
      <c r="H20350">
        <v>1</v>
      </c>
      <c r="I20350" s="3">
        <v>179.73</v>
      </c>
      <c r="J20350" s="3">
        <v>0</v>
      </c>
      <c r="K20350" t="s">
        <v>44186</v>
      </c>
      <c r="L20350">
        <v>2509</v>
      </c>
      <c r="M20350" t="s">
        <v>44187</v>
      </c>
      <c r="N20350" t="s">
        <v>30</v>
      </c>
      <c r="O20350" t="s">
        <v>31</v>
      </c>
      <c r="P20350" t="str">
        <f>"15227"</f>
        <v>15227</v>
      </c>
    </row>
    <row r="20351" spans="1:16" x14ac:dyDescent="0.25">
      <c r="A20351" t="str">
        <f>"1290094N00167    00"</f>
        <v>1290094N00167    00</v>
      </c>
      <c r="B20351" t="s">
        <v>44188</v>
      </c>
      <c r="C20351" t="s">
        <v>44189</v>
      </c>
      <c r="E20351" t="s">
        <v>39</v>
      </c>
      <c r="F20351">
        <v>0</v>
      </c>
      <c r="G20351">
        <v>0</v>
      </c>
      <c r="H20351">
        <v>1</v>
      </c>
      <c r="I20351" s="3">
        <v>905.7</v>
      </c>
      <c r="J20351" s="3">
        <v>724.54</v>
      </c>
      <c r="L20351">
        <v>2515</v>
      </c>
      <c r="M20351" t="s">
        <v>44187</v>
      </c>
      <c r="N20351" t="s">
        <v>30</v>
      </c>
      <c r="O20351" t="s">
        <v>31</v>
      </c>
      <c r="P20351" t="str">
        <f>"15227"</f>
        <v>15227</v>
      </c>
    </row>
    <row r="20352" spans="1:16" x14ac:dyDescent="0.25">
      <c r="A20352" t="str">
        <f>"1290094N00175    00"</f>
        <v>1290094N00175    00</v>
      </c>
      <c r="B20352" t="s">
        <v>44190</v>
      </c>
      <c r="C20352" t="s">
        <v>44191</v>
      </c>
      <c r="D20352" t="s">
        <v>20</v>
      </c>
      <c r="E20352" t="s">
        <v>39</v>
      </c>
      <c r="F20352">
        <v>0</v>
      </c>
      <c r="G20352">
        <v>0</v>
      </c>
      <c r="H20352">
        <v>9</v>
      </c>
      <c r="I20352" s="3">
        <v>9077.99</v>
      </c>
      <c r="J20352" s="3">
        <v>3099.73</v>
      </c>
      <c r="K20352" t="s">
        <v>44192</v>
      </c>
      <c r="L20352">
        <v>2531</v>
      </c>
      <c r="M20352" t="s">
        <v>44187</v>
      </c>
      <c r="N20352" t="s">
        <v>30</v>
      </c>
      <c r="O20352" t="s">
        <v>31</v>
      </c>
      <c r="P20352" t="str">
        <f>"15227"</f>
        <v>15227</v>
      </c>
    </row>
    <row r="20353" spans="1:16" x14ac:dyDescent="0.25">
      <c r="A20353" t="str">
        <f>"1290094N00180    00"</f>
        <v>1290094N00180    00</v>
      </c>
      <c r="B20353" t="s">
        <v>44193</v>
      </c>
      <c r="C20353" t="s">
        <v>44194</v>
      </c>
      <c r="D20353" t="s">
        <v>20</v>
      </c>
      <c r="E20353" t="s">
        <v>39</v>
      </c>
      <c r="F20353">
        <v>0</v>
      </c>
      <c r="G20353">
        <v>0</v>
      </c>
      <c r="H20353">
        <v>19</v>
      </c>
      <c r="I20353" s="3">
        <v>567.55999999999995</v>
      </c>
      <c r="J20353" s="3">
        <v>637.37</v>
      </c>
      <c r="K20353" t="s">
        <v>40000</v>
      </c>
      <c r="L20353">
        <v>32</v>
      </c>
      <c r="M20353" t="s">
        <v>44195</v>
      </c>
      <c r="N20353" t="s">
        <v>30</v>
      </c>
      <c r="O20353" t="s">
        <v>31</v>
      </c>
      <c r="P20353" t="str">
        <f>"15227"</f>
        <v>15227</v>
      </c>
    </row>
    <row r="20354" spans="1:16" x14ac:dyDescent="0.25">
      <c r="A20354" t="str">
        <f>"1290094N00184    00"</f>
        <v>1290094N00184    00</v>
      </c>
      <c r="B20354" t="s">
        <v>44196</v>
      </c>
      <c r="C20354" t="s">
        <v>44197</v>
      </c>
      <c r="D20354" t="s">
        <v>20</v>
      </c>
      <c r="E20354" t="s">
        <v>39</v>
      </c>
      <c r="F20354">
        <v>0</v>
      </c>
      <c r="G20354">
        <v>0</v>
      </c>
      <c r="H20354">
        <v>3</v>
      </c>
      <c r="I20354" s="3">
        <v>1166.46</v>
      </c>
      <c r="J20354" s="3">
        <v>53.39</v>
      </c>
      <c r="K20354" t="s">
        <v>44198</v>
      </c>
      <c r="L20354">
        <v>30</v>
      </c>
      <c r="M20354" t="s">
        <v>44195</v>
      </c>
      <c r="N20354" t="s">
        <v>30</v>
      </c>
      <c r="O20354" t="s">
        <v>31</v>
      </c>
      <c r="P20354" t="str">
        <f>"15227"</f>
        <v>15227</v>
      </c>
    </row>
    <row r="20355" spans="1:16" x14ac:dyDescent="0.25">
      <c r="A20355" t="str">
        <f>"1290094N00195    00"</f>
        <v>1290094N00195    00</v>
      </c>
      <c r="B20355" t="s">
        <v>44199</v>
      </c>
      <c r="C20355" t="s">
        <v>44200</v>
      </c>
      <c r="D20355" t="s">
        <v>20</v>
      </c>
      <c r="E20355" t="s">
        <v>39</v>
      </c>
      <c r="F20355">
        <v>0</v>
      </c>
      <c r="G20355">
        <v>0</v>
      </c>
      <c r="H20355">
        <v>2</v>
      </c>
      <c r="I20355" s="3">
        <v>401.32</v>
      </c>
      <c r="J20355" s="3">
        <v>0</v>
      </c>
      <c r="K20355" t="s">
        <v>44201</v>
      </c>
      <c r="L20355">
        <v>3728</v>
      </c>
      <c r="M20355" t="s">
        <v>44202</v>
      </c>
      <c r="N20355" t="s">
        <v>35013</v>
      </c>
      <c r="O20355" t="s">
        <v>10362</v>
      </c>
      <c r="P20355" t="str">
        <f>"96766"</f>
        <v>96766</v>
      </c>
    </row>
    <row r="20356" spans="1:16" x14ac:dyDescent="0.25">
      <c r="A20356" t="str">
        <f>"1290094N00210    00"</f>
        <v>1290094N00210    00</v>
      </c>
      <c r="B20356" t="s">
        <v>32565</v>
      </c>
      <c r="C20356" t="s">
        <v>44203</v>
      </c>
      <c r="D20356" t="s">
        <v>20</v>
      </c>
      <c r="E20356" t="s">
        <v>39</v>
      </c>
      <c r="F20356">
        <v>0</v>
      </c>
      <c r="G20356">
        <v>0</v>
      </c>
      <c r="H20356">
        <v>6</v>
      </c>
      <c r="I20356" s="3">
        <v>4485.7700000000004</v>
      </c>
      <c r="J20356" s="3">
        <v>770.89</v>
      </c>
      <c r="L20356">
        <v>2500</v>
      </c>
      <c r="M20356" t="s">
        <v>44187</v>
      </c>
      <c r="N20356" t="s">
        <v>30</v>
      </c>
      <c r="O20356" t="s">
        <v>31</v>
      </c>
      <c r="P20356" t="str">
        <f>"15227"</f>
        <v>15227</v>
      </c>
    </row>
    <row r="20357" spans="1:16" x14ac:dyDescent="0.25">
      <c r="A20357" t="str">
        <f>"1290094N00330    00"</f>
        <v>1290094N00330    00</v>
      </c>
      <c r="B20357" t="s">
        <v>44204</v>
      </c>
      <c r="C20357" t="s">
        <v>44205</v>
      </c>
      <c r="D20357" t="s">
        <v>20</v>
      </c>
      <c r="E20357" t="s">
        <v>39</v>
      </c>
      <c r="F20357">
        <v>0</v>
      </c>
      <c r="G20357">
        <v>0</v>
      </c>
      <c r="H20357">
        <v>3</v>
      </c>
      <c r="I20357" s="3">
        <v>1692.54</v>
      </c>
      <c r="J20357" s="3">
        <v>112.83</v>
      </c>
      <c r="K20357" t="s">
        <v>44206</v>
      </c>
      <c r="L20357">
        <v>237</v>
      </c>
      <c r="M20357" t="s">
        <v>1938</v>
      </c>
      <c r="N20357" t="s">
        <v>30</v>
      </c>
      <c r="O20357" t="s">
        <v>31</v>
      </c>
      <c r="P20357" t="str">
        <f>"15227"</f>
        <v>15227</v>
      </c>
    </row>
    <row r="20358" spans="1:16" x14ac:dyDescent="0.25">
      <c r="A20358" t="str">
        <f>"1290094P00007    00"</f>
        <v>1290094P00007    00</v>
      </c>
      <c r="B20358" t="s">
        <v>44207</v>
      </c>
      <c r="C20358" t="s">
        <v>44208</v>
      </c>
      <c r="D20358" t="s">
        <v>20</v>
      </c>
      <c r="E20358" t="s">
        <v>39</v>
      </c>
      <c r="F20358">
        <v>0</v>
      </c>
      <c r="G20358">
        <v>0</v>
      </c>
      <c r="H20358">
        <v>1</v>
      </c>
      <c r="I20358" s="3">
        <v>1742.11</v>
      </c>
      <c r="J20358" s="3">
        <v>0</v>
      </c>
      <c r="K20358" t="s">
        <v>44209</v>
      </c>
      <c r="L20358">
        <v>222</v>
      </c>
      <c r="M20358" t="s">
        <v>44210</v>
      </c>
      <c r="N20358" t="s">
        <v>30</v>
      </c>
      <c r="O20358" t="s">
        <v>31</v>
      </c>
      <c r="P20358" t="str">
        <f>"15236"</f>
        <v>15236</v>
      </c>
    </row>
    <row r="20359" spans="1:16" x14ac:dyDescent="0.25">
      <c r="A20359" t="str">
        <f>"1290094P00014    00"</f>
        <v>1290094P00014    00</v>
      </c>
      <c r="B20359" t="s">
        <v>44211</v>
      </c>
      <c r="C20359" t="s">
        <v>44212</v>
      </c>
      <c r="D20359" t="s">
        <v>20</v>
      </c>
      <c r="E20359" t="s">
        <v>39</v>
      </c>
      <c r="F20359">
        <v>0</v>
      </c>
      <c r="G20359">
        <v>0</v>
      </c>
      <c r="H20359">
        <v>1</v>
      </c>
      <c r="I20359" s="3">
        <v>266.39999999999998</v>
      </c>
      <c r="J20359" s="3">
        <v>0</v>
      </c>
      <c r="L20359">
        <v>115</v>
      </c>
      <c r="M20359" t="s">
        <v>22815</v>
      </c>
      <c r="N20359" t="s">
        <v>30</v>
      </c>
      <c r="O20359" t="s">
        <v>31</v>
      </c>
      <c r="P20359" t="str">
        <f>"15227"</f>
        <v>15227</v>
      </c>
    </row>
    <row r="20360" spans="1:16" x14ac:dyDescent="0.25">
      <c r="A20360" t="str">
        <f>"1290094P00031    00"</f>
        <v>1290094P00031    00</v>
      </c>
      <c r="B20360" t="s">
        <v>44213</v>
      </c>
      <c r="C20360" t="s">
        <v>44214</v>
      </c>
      <c r="D20360" t="s">
        <v>20</v>
      </c>
      <c r="E20360" t="s">
        <v>39</v>
      </c>
      <c r="F20360">
        <v>0</v>
      </c>
      <c r="G20360">
        <v>0</v>
      </c>
      <c r="H20360">
        <v>2</v>
      </c>
      <c r="I20360" s="3">
        <v>1048.98</v>
      </c>
      <c r="J20360" s="3">
        <v>0</v>
      </c>
      <c r="L20360">
        <v>141</v>
      </c>
      <c r="M20360" t="s">
        <v>27150</v>
      </c>
      <c r="N20360" t="s">
        <v>30</v>
      </c>
      <c r="O20360" t="s">
        <v>31</v>
      </c>
      <c r="P20360" t="str">
        <f>"15227"</f>
        <v>15227</v>
      </c>
    </row>
    <row r="20361" spans="1:16" x14ac:dyDescent="0.25">
      <c r="A20361" t="str">
        <f>"1290094P00034    00"</f>
        <v>1290094P00034    00</v>
      </c>
      <c r="B20361" t="s">
        <v>22814</v>
      </c>
      <c r="C20361" t="s">
        <v>44215</v>
      </c>
      <c r="D20361" t="s">
        <v>20</v>
      </c>
      <c r="E20361" t="s">
        <v>39</v>
      </c>
      <c r="F20361">
        <v>0</v>
      </c>
      <c r="G20361">
        <v>0</v>
      </c>
      <c r="H20361">
        <v>1</v>
      </c>
      <c r="I20361" s="3">
        <v>1703.96</v>
      </c>
      <c r="J20361" s="3">
        <v>0</v>
      </c>
      <c r="K20361" t="s">
        <v>44216</v>
      </c>
      <c r="L20361">
        <v>134</v>
      </c>
      <c r="M20361" t="s">
        <v>22815</v>
      </c>
      <c r="N20361" t="s">
        <v>30</v>
      </c>
      <c r="O20361" t="s">
        <v>31</v>
      </c>
      <c r="P20361" t="str">
        <f>"15227"</f>
        <v>15227</v>
      </c>
    </row>
    <row r="20362" spans="1:16" x14ac:dyDescent="0.25">
      <c r="A20362" t="str">
        <f>"1290094P00049    00"</f>
        <v>1290094P00049    00</v>
      </c>
      <c r="B20362" t="s">
        <v>44217</v>
      </c>
      <c r="C20362" t="s">
        <v>44218</v>
      </c>
      <c r="E20362" t="s">
        <v>39</v>
      </c>
      <c r="F20362">
        <v>0</v>
      </c>
      <c r="G20362">
        <v>0</v>
      </c>
      <c r="H20362">
        <v>2</v>
      </c>
      <c r="I20362" s="3">
        <v>2410.0300000000002</v>
      </c>
      <c r="J20362" s="3">
        <v>811.32</v>
      </c>
      <c r="L20362">
        <v>2713</v>
      </c>
      <c r="M20362" t="s">
        <v>35190</v>
      </c>
      <c r="N20362" t="s">
        <v>30</v>
      </c>
      <c r="O20362" t="s">
        <v>31</v>
      </c>
      <c r="P20362" t="str">
        <f>"15214"</f>
        <v>15214</v>
      </c>
    </row>
    <row r="20363" spans="1:16" x14ac:dyDescent="0.25">
      <c r="A20363" t="str">
        <f>"1290094P00053    00"</f>
        <v>1290094P00053    00</v>
      </c>
      <c r="B20363" t="s">
        <v>44219</v>
      </c>
      <c r="C20363" t="s">
        <v>44220</v>
      </c>
      <c r="D20363" t="s">
        <v>20</v>
      </c>
      <c r="E20363" t="s">
        <v>39</v>
      </c>
      <c r="F20363">
        <v>0</v>
      </c>
      <c r="G20363">
        <v>0</v>
      </c>
      <c r="H20363">
        <v>1</v>
      </c>
      <c r="I20363" s="3">
        <v>383.11</v>
      </c>
      <c r="J20363" s="3">
        <v>0</v>
      </c>
      <c r="K20363" t="s">
        <v>44221</v>
      </c>
      <c r="L20363">
        <v>1283</v>
      </c>
      <c r="M20363" t="s">
        <v>44222</v>
      </c>
      <c r="N20363" t="s">
        <v>30</v>
      </c>
      <c r="O20363" t="s">
        <v>31</v>
      </c>
      <c r="P20363" t="str">
        <f>"15227"</f>
        <v>15227</v>
      </c>
    </row>
    <row r="20364" spans="1:16" x14ac:dyDescent="0.25">
      <c r="A20364" t="str">
        <f>"1290094P00156    00"</f>
        <v>1290094P00156    00</v>
      </c>
      <c r="B20364" t="s">
        <v>44223</v>
      </c>
      <c r="C20364" t="s">
        <v>44224</v>
      </c>
      <c r="E20364" t="s">
        <v>39</v>
      </c>
      <c r="F20364">
        <v>0</v>
      </c>
      <c r="G20364">
        <v>0</v>
      </c>
      <c r="H20364">
        <v>1</v>
      </c>
      <c r="I20364" s="3">
        <v>784.39</v>
      </c>
      <c r="J20364" s="3">
        <v>385.65</v>
      </c>
      <c r="K20364" t="s">
        <v>24736</v>
      </c>
      <c r="L20364">
        <v>901</v>
      </c>
      <c r="M20364" t="s">
        <v>1503</v>
      </c>
      <c r="N20364" t="s">
        <v>494</v>
      </c>
      <c r="O20364" t="s">
        <v>495</v>
      </c>
      <c r="P20364" t="str">
        <f>"91768"</f>
        <v>91768</v>
      </c>
    </row>
    <row r="20365" spans="1:16" x14ac:dyDescent="0.25">
      <c r="A20365" t="str">
        <f>"1290094P00244    00"</f>
        <v>1290094P00244    00</v>
      </c>
      <c r="B20365" t="s">
        <v>44225</v>
      </c>
      <c r="C20365" t="s">
        <v>44226</v>
      </c>
      <c r="E20365" t="s">
        <v>39</v>
      </c>
      <c r="F20365">
        <v>0</v>
      </c>
      <c r="G20365">
        <v>0</v>
      </c>
      <c r="H20365">
        <v>1</v>
      </c>
      <c r="I20365" s="3">
        <v>1423.9</v>
      </c>
      <c r="J20365" s="3">
        <v>391.56</v>
      </c>
      <c r="K20365" t="s">
        <v>1030</v>
      </c>
      <c r="M20365" t="s">
        <v>1031</v>
      </c>
      <c r="N20365" t="s">
        <v>1032</v>
      </c>
      <c r="O20365" t="s">
        <v>25</v>
      </c>
      <c r="P20365" t="str">
        <f>"44711"</f>
        <v>44711</v>
      </c>
    </row>
    <row r="20366" spans="1:16" x14ac:dyDescent="0.25">
      <c r="A20366" t="str">
        <f>"1290094P00252    00"</f>
        <v>1290094P00252    00</v>
      </c>
      <c r="B20366" t="s">
        <v>44227</v>
      </c>
      <c r="C20366" t="s">
        <v>44228</v>
      </c>
      <c r="D20366" t="s">
        <v>20</v>
      </c>
      <c r="E20366" t="s">
        <v>39</v>
      </c>
      <c r="F20366">
        <v>0</v>
      </c>
      <c r="G20366">
        <v>0</v>
      </c>
      <c r="H20366">
        <v>2</v>
      </c>
      <c r="I20366" s="3">
        <v>1686.92</v>
      </c>
      <c r="J20366" s="3">
        <v>330.13</v>
      </c>
      <c r="L20366">
        <v>1321</v>
      </c>
      <c r="M20366" t="s">
        <v>23923</v>
      </c>
      <c r="N20366" t="s">
        <v>30</v>
      </c>
      <c r="O20366" t="s">
        <v>31</v>
      </c>
      <c r="P20366" t="str">
        <f>"15216"</f>
        <v>15216</v>
      </c>
    </row>
    <row r="20367" spans="1:16" x14ac:dyDescent="0.25">
      <c r="A20367" t="str">
        <f>"1290094P00262    00"</f>
        <v>1290094P00262    00</v>
      </c>
      <c r="B20367" t="s">
        <v>44229</v>
      </c>
      <c r="C20367" t="s">
        <v>44230</v>
      </c>
      <c r="D20367" t="s">
        <v>20</v>
      </c>
      <c r="E20367" t="s">
        <v>21</v>
      </c>
      <c r="F20367">
        <v>0</v>
      </c>
      <c r="G20367">
        <v>0</v>
      </c>
      <c r="H20367">
        <v>2</v>
      </c>
      <c r="I20367" s="3">
        <v>5009</v>
      </c>
      <c r="J20367" s="3">
        <v>0</v>
      </c>
      <c r="L20367">
        <v>4721</v>
      </c>
      <c r="M20367" t="s">
        <v>44231</v>
      </c>
      <c r="N20367" t="s">
        <v>30</v>
      </c>
      <c r="O20367" t="s">
        <v>31</v>
      </c>
      <c r="P20367" t="str">
        <f>"15227"</f>
        <v>15227</v>
      </c>
    </row>
    <row r="20368" spans="1:16" x14ac:dyDescent="0.25">
      <c r="A20368" t="str">
        <f>"1290094P00266    00"</f>
        <v>1290094P00266    00</v>
      </c>
      <c r="B20368" t="s">
        <v>44232</v>
      </c>
      <c r="C20368" t="s">
        <v>44233</v>
      </c>
      <c r="D20368" t="s">
        <v>20</v>
      </c>
      <c r="E20368" t="s">
        <v>21</v>
      </c>
      <c r="F20368">
        <v>0</v>
      </c>
      <c r="G20368">
        <v>0</v>
      </c>
      <c r="H20368">
        <v>2</v>
      </c>
      <c r="I20368" s="3">
        <v>1601.08</v>
      </c>
      <c r="J20368" s="3">
        <v>0</v>
      </c>
      <c r="L20368">
        <v>1026</v>
      </c>
      <c r="M20368" t="s">
        <v>8348</v>
      </c>
      <c r="N20368" t="s">
        <v>238</v>
      </c>
      <c r="O20368" t="s">
        <v>31</v>
      </c>
      <c r="P20368" t="str">
        <f>"15133"</f>
        <v>15133</v>
      </c>
    </row>
    <row r="20369" spans="1:16" x14ac:dyDescent="0.25">
      <c r="A20369" t="str">
        <f>"1290094P00283    00"</f>
        <v>1290094P00283    00</v>
      </c>
      <c r="B20369" t="s">
        <v>43198</v>
      </c>
      <c r="C20369" t="s">
        <v>44234</v>
      </c>
      <c r="D20369" t="s">
        <v>20</v>
      </c>
      <c r="E20369" t="s">
        <v>21</v>
      </c>
      <c r="F20369">
        <v>0</v>
      </c>
      <c r="G20369">
        <v>0</v>
      </c>
      <c r="H20369">
        <v>1</v>
      </c>
      <c r="I20369" s="3">
        <v>1391.4</v>
      </c>
      <c r="J20369" s="3">
        <v>0</v>
      </c>
      <c r="K20369" t="s">
        <v>44235</v>
      </c>
      <c r="M20369" t="s">
        <v>44236</v>
      </c>
      <c r="N20369" t="s">
        <v>30</v>
      </c>
      <c r="O20369" t="s">
        <v>31</v>
      </c>
      <c r="P20369" t="str">
        <f>"15227"</f>
        <v>15227</v>
      </c>
    </row>
    <row r="20370" spans="1:16" x14ac:dyDescent="0.25">
      <c r="A20370" t="str">
        <f>"1290094P00284    00"</f>
        <v>1290094P00284    00</v>
      </c>
      <c r="B20370" t="s">
        <v>43198</v>
      </c>
      <c r="C20370" t="s">
        <v>44234</v>
      </c>
      <c r="D20370" t="s">
        <v>20</v>
      </c>
      <c r="E20370" t="s">
        <v>21</v>
      </c>
      <c r="F20370">
        <v>0</v>
      </c>
      <c r="G20370">
        <v>0</v>
      </c>
      <c r="H20370">
        <v>3</v>
      </c>
      <c r="I20370" s="3">
        <v>1057.8599999999999</v>
      </c>
      <c r="J20370" s="3">
        <v>70.52</v>
      </c>
      <c r="K20370" t="s">
        <v>44235</v>
      </c>
      <c r="L20370">
        <v>2620</v>
      </c>
      <c r="M20370" t="s">
        <v>8048</v>
      </c>
      <c r="N20370" t="s">
        <v>30</v>
      </c>
      <c r="O20370" t="s">
        <v>31</v>
      </c>
      <c r="P20370" t="str">
        <f>"15227"</f>
        <v>15227</v>
      </c>
    </row>
    <row r="20371" spans="1:16" x14ac:dyDescent="0.25">
      <c r="A20371" t="str">
        <f>"1290094R00003    00"</f>
        <v>1290094R00003    00</v>
      </c>
      <c r="B20371" t="s">
        <v>44237</v>
      </c>
      <c r="C20371" t="s">
        <v>44238</v>
      </c>
      <c r="D20371" t="s">
        <v>20</v>
      </c>
      <c r="E20371" t="s">
        <v>39</v>
      </c>
      <c r="F20371">
        <v>0</v>
      </c>
      <c r="G20371">
        <v>0</v>
      </c>
      <c r="H20371">
        <v>19</v>
      </c>
      <c r="I20371" s="3">
        <v>498.48</v>
      </c>
      <c r="J20371" s="3">
        <v>321.77999999999997</v>
      </c>
      <c r="K20371" t="s">
        <v>44239</v>
      </c>
      <c r="L20371">
        <v>2570</v>
      </c>
      <c r="M20371" t="s">
        <v>44240</v>
      </c>
      <c r="N20371" t="s">
        <v>30</v>
      </c>
      <c r="O20371" t="s">
        <v>31</v>
      </c>
      <c r="P20371" t="str">
        <f>"15241"</f>
        <v>15241</v>
      </c>
    </row>
    <row r="20372" spans="1:16" x14ac:dyDescent="0.25">
      <c r="A20372" t="str">
        <f>"1290095B00067    00"</f>
        <v>1290095B00067    00</v>
      </c>
      <c r="B20372" t="s">
        <v>44241</v>
      </c>
      <c r="C20372" t="s">
        <v>44242</v>
      </c>
      <c r="E20372" t="s">
        <v>39</v>
      </c>
      <c r="F20372">
        <v>0</v>
      </c>
      <c r="G20372">
        <v>0</v>
      </c>
      <c r="H20372">
        <v>1</v>
      </c>
      <c r="I20372" s="3">
        <v>668.65</v>
      </c>
      <c r="J20372" s="3">
        <v>133.72999999999999</v>
      </c>
      <c r="L20372">
        <v>1950</v>
      </c>
      <c r="M20372" t="s">
        <v>26687</v>
      </c>
      <c r="N20372" t="s">
        <v>30</v>
      </c>
      <c r="O20372" t="s">
        <v>31</v>
      </c>
      <c r="P20372" t="str">
        <f>"15210"</f>
        <v>15210</v>
      </c>
    </row>
    <row r="20373" spans="1:16" x14ac:dyDescent="0.25">
      <c r="A20373" t="str">
        <f>"1290095B00181    00"</f>
        <v>1290095B00181    00</v>
      </c>
      <c r="B20373" t="s">
        <v>44243</v>
      </c>
      <c r="C20373" t="s">
        <v>44244</v>
      </c>
      <c r="D20373" t="s">
        <v>20</v>
      </c>
      <c r="E20373" t="s">
        <v>39</v>
      </c>
      <c r="F20373">
        <v>0</v>
      </c>
      <c r="G20373">
        <v>0</v>
      </c>
      <c r="H20373">
        <v>1</v>
      </c>
      <c r="I20373" s="3">
        <v>937.77</v>
      </c>
      <c r="J20373" s="3">
        <v>0</v>
      </c>
      <c r="L20373">
        <v>521</v>
      </c>
      <c r="M20373" t="s">
        <v>44245</v>
      </c>
      <c r="N20373" t="s">
        <v>1928</v>
      </c>
      <c r="O20373" t="s">
        <v>31</v>
      </c>
      <c r="P20373" t="str">
        <f>"15317"</f>
        <v>15317</v>
      </c>
    </row>
    <row r="20374" spans="1:16" x14ac:dyDescent="0.25">
      <c r="A20374" t="str">
        <f>"1290095B00204    00"</f>
        <v>1290095B00204    00</v>
      </c>
      <c r="B20374" t="s">
        <v>44246</v>
      </c>
      <c r="C20374" t="s">
        <v>44247</v>
      </c>
      <c r="D20374" t="s">
        <v>20</v>
      </c>
      <c r="E20374" t="s">
        <v>39</v>
      </c>
      <c r="F20374">
        <v>0</v>
      </c>
      <c r="G20374">
        <v>0</v>
      </c>
      <c r="H20374">
        <v>2</v>
      </c>
      <c r="I20374" s="3">
        <v>125.82</v>
      </c>
      <c r="J20374" s="3">
        <v>0</v>
      </c>
      <c r="K20374" t="s">
        <v>8393</v>
      </c>
      <c r="M20374" t="s">
        <v>8394</v>
      </c>
      <c r="N20374" t="s">
        <v>8395</v>
      </c>
      <c r="O20374" t="s">
        <v>1616</v>
      </c>
      <c r="P20374" t="str">
        <f>"57709"</f>
        <v>57709</v>
      </c>
    </row>
    <row r="20375" spans="1:16" x14ac:dyDescent="0.25">
      <c r="A20375" t="str">
        <f>"1290095B00229    00"</f>
        <v>1290095B00229    00</v>
      </c>
      <c r="B20375" t="s">
        <v>44248</v>
      </c>
      <c r="C20375" t="s">
        <v>44249</v>
      </c>
      <c r="D20375" t="s">
        <v>20</v>
      </c>
      <c r="E20375" t="s">
        <v>39</v>
      </c>
      <c r="F20375">
        <v>0</v>
      </c>
      <c r="G20375">
        <v>0</v>
      </c>
      <c r="H20375">
        <v>2</v>
      </c>
      <c r="I20375" s="3">
        <v>38.119999999999997</v>
      </c>
      <c r="J20375" s="3">
        <v>0</v>
      </c>
      <c r="L20375">
        <v>339</v>
      </c>
      <c r="M20375" t="s">
        <v>44250</v>
      </c>
      <c r="N20375" t="s">
        <v>26323</v>
      </c>
      <c r="O20375" t="s">
        <v>31</v>
      </c>
      <c r="P20375" t="str">
        <f>"15026"</f>
        <v>15026</v>
      </c>
    </row>
    <row r="20376" spans="1:16" x14ac:dyDescent="0.25">
      <c r="A20376" t="str">
        <f>"1290095B00229A   00"</f>
        <v>1290095B00229A   00</v>
      </c>
      <c r="B20376" t="s">
        <v>44251</v>
      </c>
      <c r="C20376" t="s">
        <v>44249</v>
      </c>
      <c r="D20376" t="s">
        <v>20</v>
      </c>
      <c r="E20376" t="s">
        <v>39</v>
      </c>
      <c r="F20376">
        <v>0</v>
      </c>
      <c r="G20376">
        <v>0</v>
      </c>
      <c r="H20376">
        <v>17</v>
      </c>
      <c r="I20376" s="3">
        <v>254.73</v>
      </c>
      <c r="J20376" s="3">
        <v>336.54</v>
      </c>
      <c r="K20376" t="s">
        <v>1008</v>
      </c>
      <c r="P20376" t="str">
        <f>""</f>
        <v/>
      </c>
    </row>
    <row r="20377" spans="1:16" x14ac:dyDescent="0.25">
      <c r="A20377" t="str">
        <f>"1290095B00229B   00"</f>
        <v>1290095B00229B   00</v>
      </c>
      <c r="B20377" t="s">
        <v>44252</v>
      </c>
      <c r="C20377" t="s">
        <v>44249</v>
      </c>
      <c r="E20377" t="s">
        <v>39</v>
      </c>
      <c r="F20377">
        <v>0</v>
      </c>
      <c r="G20377">
        <v>0</v>
      </c>
      <c r="H20377">
        <v>4</v>
      </c>
      <c r="I20377" s="3">
        <v>262.83999999999997</v>
      </c>
      <c r="J20377" s="3">
        <v>172.98</v>
      </c>
      <c r="L20377">
        <v>1939</v>
      </c>
      <c r="M20377" t="s">
        <v>44253</v>
      </c>
      <c r="N20377" t="s">
        <v>30</v>
      </c>
      <c r="O20377" t="s">
        <v>31</v>
      </c>
      <c r="P20377" t="str">
        <f>"15210"</f>
        <v>15210</v>
      </c>
    </row>
    <row r="20378" spans="1:16" x14ac:dyDescent="0.25">
      <c r="A20378" t="str">
        <f>"1290095B00269    00"</f>
        <v>1290095B00269    00</v>
      </c>
      <c r="B20378" t="s">
        <v>44254</v>
      </c>
      <c r="C20378" t="s">
        <v>44255</v>
      </c>
      <c r="D20378" t="s">
        <v>20</v>
      </c>
      <c r="E20378" t="s">
        <v>39</v>
      </c>
      <c r="F20378">
        <v>0</v>
      </c>
      <c r="G20378">
        <v>0</v>
      </c>
      <c r="H20378">
        <v>6</v>
      </c>
      <c r="I20378" s="3">
        <v>7224.17</v>
      </c>
      <c r="J20378" s="3">
        <v>1620.25</v>
      </c>
      <c r="L20378">
        <v>4127</v>
      </c>
      <c r="M20378" t="s">
        <v>44256</v>
      </c>
      <c r="N20378" t="s">
        <v>9197</v>
      </c>
      <c r="O20378" t="s">
        <v>31</v>
      </c>
      <c r="P20378" t="str">
        <f>"16511"</f>
        <v>16511</v>
      </c>
    </row>
    <row r="20379" spans="1:16" x14ac:dyDescent="0.25">
      <c r="A20379" t="str">
        <f>"1290095B00292    00"</f>
        <v>1290095B00292    00</v>
      </c>
      <c r="B20379" t="s">
        <v>44257</v>
      </c>
      <c r="C20379" t="s">
        <v>44258</v>
      </c>
      <c r="E20379" t="s">
        <v>39</v>
      </c>
      <c r="F20379">
        <v>0</v>
      </c>
      <c r="G20379">
        <v>0</v>
      </c>
      <c r="H20379">
        <v>1</v>
      </c>
      <c r="I20379" s="3">
        <v>11.4</v>
      </c>
      <c r="J20379" s="3">
        <v>0</v>
      </c>
      <c r="K20379" t="s">
        <v>44259</v>
      </c>
      <c r="L20379">
        <v>56</v>
      </c>
      <c r="M20379" t="s">
        <v>44260</v>
      </c>
      <c r="N20379" t="s">
        <v>526</v>
      </c>
      <c r="O20379" t="s">
        <v>31</v>
      </c>
      <c r="P20379" t="str">
        <f>"15301"</f>
        <v>15301</v>
      </c>
    </row>
    <row r="20380" spans="1:16" x14ac:dyDescent="0.25">
      <c r="A20380" t="str">
        <f>"1290095C00022    00"</f>
        <v>1290095C00022    00</v>
      </c>
      <c r="B20380" t="s">
        <v>44261</v>
      </c>
      <c r="C20380" t="s">
        <v>44262</v>
      </c>
      <c r="D20380" t="s">
        <v>20</v>
      </c>
      <c r="E20380" t="s">
        <v>39</v>
      </c>
      <c r="F20380">
        <v>0</v>
      </c>
      <c r="G20380">
        <v>0</v>
      </c>
      <c r="H20380">
        <v>4</v>
      </c>
      <c r="I20380" s="3">
        <v>2778.31</v>
      </c>
      <c r="J20380" s="3">
        <v>344.35</v>
      </c>
      <c r="L20380">
        <v>220</v>
      </c>
      <c r="M20380" t="s">
        <v>43820</v>
      </c>
      <c r="N20380" t="s">
        <v>30</v>
      </c>
      <c r="O20380" t="s">
        <v>31</v>
      </c>
      <c r="P20380" t="str">
        <f>"15210"</f>
        <v>15210</v>
      </c>
    </row>
    <row r="20381" spans="1:16" x14ac:dyDescent="0.25">
      <c r="A20381" t="str">
        <f>"1290095C00027    00"</f>
        <v>1290095C00027    00</v>
      </c>
      <c r="B20381" t="s">
        <v>44263</v>
      </c>
      <c r="C20381" t="s">
        <v>44264</v>
      </c>
      <c r="D20381" t="s">
        <v>20</v>
      </c>
      <c r="E20381" t="s">
        <v>39</v>
      </c>
      <c r="F20381">
        <v>0</v>
      </c>
      <c r="G20381">
        <v>0</v>
      </c>
      <c r="H20381">
        <v>3</v>
      </c>
      <c r="I20381" s="3">
        <v>2145.29</v>
      </c>
      <c r="J20381" s="3">
        <v>53.21</v>
      </c>
      <c r="L20381">
        <v>1899</v>
      </c>
      <c r="M20381" t="s">
        <v>44265</v>
      </c>
      <c r="N20381" t="s">
        <v>321</v>
      </c>
      <c r="O20381" t="s">
        <v>31</v>
      </c>
      <c r="P20381" t="str">
        <f>"15001"</f>
        <v>15001</v>
      </c>
    </row>
    <row r="20382" spans="1:16" x14ac:dyDescent="0.25">
      <c r="A20382" t="str">
        <f>"1290095C00033    00"</f>
        <v>1290095C00033    00</v>
      </c>
      <c r="B20382" t="s">
        <v>44266</v>
      </c>
      <c r="C20382" t="s">
        <v>44267</v>
      </c>
      <c r="D20382" t="s">
        <v>20</v>
      </c>
      <c r="E20382" t="s">
        <v>39</v>
      </c>
      <c r="F20382">
        <v>0</v>
      </c>
      <c r="G20382">
        <v>0</v>
      </c>
      <c r="H20382">
        <v>4</v>
      </c>
      <c r="I20382" s="3">
        <v>1505.62</v>
      </c>
      <c r="J20382" s="3">
        <v>198.61</v>
      </c>
      <c r="K20382" t="s">
        <v>44268</v>
      </c>
      <c r="L20382">
        <v>240</v>
      </c>
      <c r="M20382" t="s">
        <v>43820</v>
      </c>
      <c r="N20382" t="s">
        <v>30</v>
      </c>
      <c r="O20382" t="s">
        <v>31</v>
      </c>
      <c r="P20382" t="str">
        <f t="shared" ref="P20382:P20390" si="252">"15210"</f>
        <v>15210</v>
      </c>
    </row>
    <row r="20383" spans="1:16" x14ac:dyDescent="0.25">
      <c r="A20383" t="str">
        <f>"1290095C00035    00"</f>
        <v>1290095C00035    00</v>
      </c>
      <c r="B20383" t="s">
        <v>44269</v>
      </c>
      <c r="C20383" t="s">
        <v>44270</v>
      </c>
      <c r="D20383" t="s">
        <v>20</v>
      </c>
      <c r="E20383" t="s">
        <v>39</v>
      </c>
      <c r="F20383">
        <v>0</v>
      </c>
      <c r="G20383">
        <v>0</v>
      </c>
      <c r="H20383">
        <v>1</v>
      </c>
      <c r="I20383" s="3">
        <v>314.95</v>
      </c>
      <c r="J20383" s="3">
        <v>0</v>
      </c>
      <c r="K20383" t="s">
        <v>44271</v>
      </c>
      <c r="L20383">
        <v>242</v>
      </c>
      <c r="M20383" t="s">
        <v>43820</v>
      </c>
      <c r="N20383" t="s">
        <v>30</v>
      </c>
      <c r="O20383" t="s">
        <v>31</v>
      </c>
      <c r="P20383" t="str">
        <f t="shared" si="252"/>
        <v>15210</v>
      </c>
    </row>
    <row r="20384" spans="1:16" x14ac:dyDescent="0.25">
      <c r="A20384" t="str">
        <f>"1290095C00037    00"</f>
        <v>1290095C00037    00</v>
      </c>
      <c r="B20384" t="s">
        <v>44272</v>
      </c>
      <c r="C20384" t="s">
        <v>44273</v>
      </c>
      <c r="D20384" t="s">
        <v>20</v>
      </c>
      <c r="E20384" t="s">
        <v>39</v>
      </c>
      <c r="F20384">
        <v>0</v>
      </c>
      <c r="G20384">
        <v>0</v>
      </c>
      <c r="H20384">
        <v>1</v>
      </c>
      <c r="I20384" s="3">
        <v>884.38</v>
      </c>
      <c r="J20384" s="3">
        <v>0</v>
      </c>
      <c r="L20384">
        <v>244</v>
      </c>
      <c r="M20384" t="s">
        <v>43820</v>
      </c>
      <c r="N20384" t="s">
        <v>30</v>
      </c>
      <c r="O20384" t="s">
        <v>31</v>
      </c>
      <c r="P20384" t="str">
        <f t="shared" si="252"/>
        <v>15210</v>
      </c>
    </row>
    <row r="20385" spans="1:16" x14ac:dyDescent="0.25">
      <c r="A20385" t="str">
        <f>"1290095C00085    00"</f>
        <v>1290095C00085    00</v>
      </c>
      <c r="B20385" t="s">
        <v>44274</v>
      </c>
      <c r="C20385" t="s">
        <v>43708</v>
      </c>
      <c r="D20385" t="s">
        <v>20</v>
      </c>
      <c r="E20385" t="s">
        <v>39</v>
      </c>
      <c r="F20385">
        <v>0</v>
      </c>
      <c r="G20385">
        <v>0</v>
      </c>
      <c r="H20385">
        <v>19</v>
      </c>
      <c r="I20385" s="3">
        <v>6124.36</v>
      </c>
      <c r="J20385" s="3">
        <v>6759.23</v>
      </c>
      <c r="L20385">
        <v>2010</v>
      </c>
      <c r="M20385" t="s">
        <v>44275</v>
      </c>
      <c r="N20385" t="s">
        <v>30</v>
      </c>
      <c r="O20385" t="s">
        <v>31</v>
      </c>
      <c r="P20385" t="str">
        <f t="shared" si="252"/>
        <v>15210</v>
      </c>
    </row>
    <row r="20386" spans="1:16" x14ac:dyDescent="0.25">
      <c r="A20386" t="str">
        <f>"1290095C00086    00"</f>
        <v>1290095C00086    00</v>
      </c>
      <c r="B20386" t="s">
        <v>44274</v>
      </c>
      <c r="C20386" t="s">
        <v>43708</v>
      </c>
      <c r="D20386" t="s">
        <v>20</v>
      </c>
      <c r="E20386" t="s">
        <v>39</v>
      </c>
      <c r="F20386">
        <v>0</v>
      </c>
      <c r="G20386">
        <v>0</v>
      </c>
      <c r="H20386">
        <v>19</v>
      </c>
      <c r="I20386" s="3">
        <v>8614.73</v>
      </c>
      <c r="J20386" s="3">
        <v>10213.52</v>
      </c>
      <c r="L20386">
        <v>2010</v>
      </c>
      <c r="M20386" t="s">
        <v>44275</v>
      </c>
      <c r="N20386" t="s">
        <v>30</v>
      </c>
      <c r="O20386" t="s">
        <v>31</v>
      </c>
      <c r="P20386" t="str">
        <f t="shared" si="252"/>
        <v>15210</v>
      </c>
    </row>
    <row r="20387" spans="1:16" x14ac:dyDescent="0.25">
      <c r="A20387" t="str">
        <f>"1290095C00090    00"</f>
        <v>1290095C00090    00</v>
      </c>
      <c r="B20387" t="s">
        <v>44276</v>
      </c>
      <c r="C20387" t="s">
        <v>44277</v>
      </c>
      <c r="E20387" t="s">
        <v>39</v>
      </c>
      <c r="F20387">
        <v>0</v>
      </c>
      <c r="G20387">
        <v>0</v>
      </c>
      <c r="H20387">
        <v>1</v>
      </c>
      <c r="I20387" s="3">
        <v>423.77</v>
      </c>
      <c r="J20387" s="3">
        <v>0</v>
      </c>
      <c r="L20387">
        <v>2006</v>
      </c>
      <c r="M20387" t="s">
        <v>44275</v>
      </c>
      <c r="N20387" t="s">
        <v>30</v>
      </c>
      <c r="O20387" t="s">
        <v>31</v>
      </c>
      <c r="P20387" t="str">
        <f t="shared" si="252"/>
        <v>15210</v>
      </c>
    </row>
    <row r="20388" spans="1:16" x14ac:dyDescent="0.25">
      <c r="A20388" t="str">
        <f>"1290095C00094    00"</f>
        <v>1290095C00094    00</v>
      </c>
      <c r="B20388" t="s">
        <v>44278</v>
      </c>
      <c r="C20388" t="s">
        <v>44279</v>
      </c>
      <c r="E20388" t="s">
        <v>39</v>
      </c>
      <c r="F20388">
        <v>0</v>
      </c>
      <c r="G20388">
        <v>0</v>
      </c>
      <c r="H20388">
        <v>2</v>
      </c>
      <c r="I20388" s="3">
        <v>860.62</v>
      </c>
      <c r="J20388" s="3">
        <v>252.1</v>
      </c>
      <c r="L20388">
        <v>2004</v>
      </c>
      <c r="M20388" t="s">
        <v>44275</v>
      </c>
      <c r="N20388" t="s">
        <v>30</v>
      </c>
      <c r="O20388" t="s">
        <v>31</v>
      </c>
      <c r="P20388" t="str">
        <f t="shared" si="252"/>
        <v>15210</v>
      </c>
    </row>
    <row r="20389" spans="1:16" x14ac:dyDescent="0.25">
      <c r="A20389" t="str">
        <f>"1290095C00098    00"</f>
        <v>1290095C00098    00</v>
      </c>
      <c r="B20389" t="s">
        <v>44280</v>
      </c>
      <c r="C20389" t="s">
        <v>44281</v>
      </c>
      <c r="D20389" t="s">
        <v>20</v>
      </c>
      <c r="E20389" t="s">
        <v>39</v>
      </c>
      <c r="F20389">
        <v>0</v>
      </c>
      <c r="G20389">
        <v>0</v>
      </c>
      <c r="H20389">
        <v>1</v>
      </c>
      <c r="I20389" s="3">
        <v>250.2</v>
      </c>
      <c r="J20389" s="3">
        <v>0</v>
      </c>
      <c r="L20389">
        <v>2001</v>
      </c>
      <c r="M20389" t="s">
        <v>44275</v>
      </c>
      <c r="N20389" t="s">
        <v>30</v>
      </c>
      <c r="O20389" t="s">
        <v>31</v>
      </c>
      <c r="P20389" t="str">
        <f t="shared" si="252"/>
        <v>15210</v>
      </c>
    </row>
    <row r="20390" spans="1:16" x14ac:dyDescent="0.25">
      <c r="A20390" t="str">
        <f>"1290095C00114    00"</f>
        <v>1290095C00114    00</v>
      </c>
      <c r="B20390" t="s">
        <v>44282</v>
      </c>
      <c r="C20390" t="s">
        <v>44283</v>
      </c>
      <c r="D20390" t="s">
        <v>20</v>
      </c>
      <c r="E20390" t="s">
        <v>39</v>
      </c>
      <c r="F20390">
        <v>0</v>
      </c>
      <c r="G20390">
        <v>0</v>
      </c>
      <c r="H20390">
        <v>2</v>
      </c>
      <c r="I20390" s="3">
        <v>1842.18</v>
      </c>
      <c r="J20390" s="3">
        <v>0</v>
      </c>
      <c r="L20390">
        <v>205</v>
      </c>
      <c r="M20390" t="s">
        <v>44284</v>
      </c>
      <c r="N20390" t="s">
        <v>30</v>
      </c>
      <c r="O20390" t="s">
        <v>31</v>
      </c>
      <c r="P20390" t="str">
        <f t="shared" si="252"/>
        <v>15210</v>
      </c>
    </row>
    <row r="20391" spans="1:16" x14ac:dyDescent="0.25">
      <c r="A20391" t="str">
        <f>"1290095C00213    00"</f>
        <v>1290095C00213    00</v>
      </c>
      <c r="B20391" t="s">
        <v>44285</v>
      </c>
      <c r="C20391" t="s">
        <v>44286</v>
      </c>
      <c r="D20391" t="s">
        <v>20</v>
      </c>
      <c r="E20391" t="s">
        <v>39</v>
      </c>
      <c r="F20391">
        <v>0</v>
      </c>
      <c r="G20391">
        <v>0</v>
      </c>
      <c r="H20391">
        <v>1</v>
      </c>
      <c r="I20391" s="3">
        <v>1040.68</v>
      </c>
      <c r="J20391" s="3">
        <v>0</v>
      </c>
      <c r="L20391">
        <v>100</v>
      </c>
      <c r="M20391" t="s">
        <v>44287</v>
      </c>
      <c r="N20391" t="s">
        <v>199</v>
      </c>
      <c r="O20391" t="s">
        <v>200</v>
      </c>
      <c r="P20391" t="str">
        <f>"10007"</f>
        <v>10007</v>
      </c>
    </row>
    <row r="20392" spans="1:16" x14ac:dyDescent="0.25">
      <c r="A20392" t="str">
        <f>"1290095C0025600T100"</f>
        <v>1290095C0025600T100</v>
      </c>
      <c r="B20392" t="s">
        <v>9256</v>
      </c>
      <c r="C20392" t="s">
        <v>44288</v>
      </c>
      <c r="D20392" t="s">
        <v>20</v>
      </c>
      <c r="E20392" t="s">
        <v>21</v>
      </c>
      <c r="F20392">
        <v>0</v>
      </c>
      <c r="G20392">
        <v>0</v>
      </c>
      <c r="H20392">
        <v>2</v>
      </c>
      <c r="I20392" s="3">
        <v>5321.56</v>
      </c>
      <c r="J20392" s="3">
        <v>0</v>
      </c>
      <c r="L20392">
        <v>2122</v>
      </c>
      <c r="M20392" t="s">
        <v>8048</v>
      </c>
      <c r="N20392" t="s">
        <v>30</v>
      </c>
      <c r="O20392" t="s">
        <v>31</v>
      </c>
      <c r="P20392" t="str">
        <f>"15210"</f>
        <v>15210</v>
      </c>
    </row>
    <row r="20393" spans="1:16" x14ac:dyDescent="0.25">
      <c r="A20393" t="str">
        <f>"1290095D00042    00"</f>
        <v>1290095D00042    00</v>
      </c>
      <c r="B20393" t="s">
        <v>44289</v>
      </c>
      <c r="C20393" t="s">
        <v>44290</v>
      </c>
      <c r="D20393" t="s">
        <v>20</v>
      </c>
      <c r="E20393" t="s">
        <v>39</v>
      </c>
      <c r="F20393">
        <v>0</v>
      </c>
      <c r="G20393">
        <v>0</v>
      </c>
      <c r="H20393">
        <v>5</v>
      </c>
      <c r="I20393" s="3">
        <v>1889.21</v>
      </c>
      <c r="J20393" s="3">
        <v>328.46</v>
      </c>
      <c r="L20393">
        <v>111</v>
      </c>
      <c r="M20393" t="s">
        <v>25931</v>
      </c>
      <c r="N20393" t="s">
        <v>30</v>
      </c>
      <c r="O20393" t="s">
        <v>31</v>
      </c>
      <c r="P20393" t="str">
        <f>"15210"</f>
        <v>15210</v>
      </c>
    </row>
    <row r="20394" spans="1:16" x14ac:dyDescent="0.25">
      <c r="A20394" t="str">
        <f>"1290095D00081    00"</f>
        <v>1290095D00081    00</v>
      </c>
      <c r="B20394" t="s">
        <v>44291</v>
      </c>
      <c r="C20394" t="s">
        <v>44292</v>
      </c>
      <c r="D20394" t="s">
        <v>20</v>
      </c>
      <c r="E20394" t="s">
        <v>39</v>
      </c>
      <c r="F20394">
        <v>0</v>
      </c>
      <c r="G20394">
        <v>0</v>
      </c>
      <c r="H20394">
        <v>3</v>
      </c>
      <c r="I20394" s="3">
        <v>1227.98</v>
      </c>
      <c r="J20394" s="3">
        <v>7.77</v>
      </c>
      <c r="K20394" t="s">
        <v>391</v>
      </c>
      <c r="L20394">
        <v>1</v>
      </c>
      <c r="M20394" t="s">
        <v>392</v>
      </c>
      <c r="N20394" t="s">
        <v>393</v>
      </c>
      <c r="O20394" t="s">
        <v>394</v>
      </c>
      <c r="P20394" t="str">
        <f>"50328"</f>
        <v>50328</v>
      </c>
    </row>
    <row r="20395" spans="1:16" x14ac:dyDescent="0.25">
      <c r="A20395" t="str">
        <f>"1290095D00103    00"</f>
        <v>1290095D00103    00</v>
      </c>
      <c r="B20395" t="s">
        <v>23051</v>
      </c>
      <c r="C20395" t="s">
        <v>44293</v>
      </c>
      <c r="D20395" t="s">
        <v>20</v>
      </c>
      <c r="E20395" t="s">
        <v>39</v>
      </c>
      <c r="F20395">
        <v>0</v>
      </c>
      <c r="G20395">
        <v>0</v>
      </c>
      <c r="H20395">
        <v>2</v>
      </c>
      <c r="I20395" s="3">
        <v>1850.59</v>
      </c>
      <c r="J20395" s="3">
        <v>0</v>
      </c>
      <c r="L20395">
        <v>2618</v>
      </c>
      <c r="M20395" t="s">
        <v>22876</v>
      </c>
      <c r="N20395" t="s">
        <v>30</v>
      </c>
      <c r="O20395" t="s">
        <v>31</v>
      </c>
      <c r="P20395" t="str">
        <f>"15203"</f>
        <v>15203</v>
      </c>
    </row>
    <row r="20396" spans="1:16" x14ac:dyDescent="0.25">
      <c r="A20396" t="str">
        <f>"1290095D00170    00"</f>
        <v>1290095D00170    00</v>
      </c>
      <c r="B20396" t="s">
        <v>44294</v>
      </c>
      <c r="C20396" t="s">
        <v>44295</v>
      </c>
      <c r="D20396" t="s">
        <v>20</v>
      </c>
      <c r="E20396" t="s">
        <v>39</v>
      </c>
      <c r="F20396">
        <v>0</v>
      </c>
      <c r="G20396">
        <v>0</v>
      </c>
      <c r="H20396">
        <v>5</v>
      </c>
      <c r="I20396" s="3">
        <v>990.55</v>
      </c>
      <c r="J20396" s="3">
        <v>201.4</v>
      </c>
      <c r="K20396" t="s">
        <v>44296</v>
      </c>
      <c r="L20396">
        <v>2082</v>
      </c>
      <c r="M20396" t="s">
        <v>44297</v>
      </c>
      <c r="N20396" t="s">
        <v>30</v>
      </c>
      <c r="O20396" t="s">
        <v>31</v>
      </c>
      <c r="P20396" t="str">
        <f>"15243"</f>
        <v>15243</v>
      </c>
    </row>
    <row r="20397" spans="1:16" x14ac:dyDescent="0.25">
      <c r="A20397" t="str">
        <f>"1290095D00180    00"</f>
        <v>1290095D00180    00</v>
      </c>
      <c r="B20397" t="s">
        <v>44298</v>
      </c>
      <c r="C20397" t="s">
        <v>44299</v>
      </c>
      <c r="D20397" t="s">
        <v>20</v>
      </c>
      <c r="E20397" t="s">
        <v>39</v>
      </c>
      <c r="F20397">
        <v>0</v>
      </c>
      <c r="G20397">
        <v>0</v>
      </c>
      <c r="H20397">
        <v>1</v>
      </c>
      <c r="I20397" s="3">
        <v>267.95999999999998</v>
      </c>
      <c r="J20397" s="3">
        <v>0</v>
      </c>
      <c r="K20397" t="s">
        <v>44300</v>
      </c>
      <c r="L20397">
        <v>1838</v>
      </c>
      <c r="M20397" t="s">
        <v>44301</v>
      </c>
      <c r="N20397" t="s">
        <v>30</v>
      </c>
      <c r="O20397" t="s">
        <v>31</v>
      </c>
      <c r="P20397" t="str">
        <f>"15227"</f>
        <v>15227</v>
      </c>
    </row>
    <row r="20398" spans="1:16" x14ac:dyDescent="0.25">
      <c r="A20398" t="str">
        <f>"1290095D00201    00"</f>
        <v>1290095D00201    00</v>
      </c>
      <c r="B20398" t="s">
        <v>44302</v>
      </c>
      <c r="C20398" t="s">
        <v>44303</v>
      </c>
      <c r="D20398" t="s">
        <v>20</v>
      </c>
      <c r="E20398" t="s">
        <v>39</v>
      </c>
      <c r="F20398">
        <v>0</v>
      </c>
      <c r="G20398">
        <v>0</v>
      </c>
      <c r="H20398">
        <v>19</v>
      </c>
      <c r="I20398" s="3">
        <v>11595.18</v>
      </c>
      <c r="J20398" s="3">
        <v>13826.87</v>
      </c>
      <c r="L20398">
        <v>200</v>
      </c>
      <c r="M20398" t="s">
        <v>44304</v>
      </c>
      <c r="N20398" t="s">
        <v>30</v>
      </c>
      <c r="O20398" t="s">
        <v>31</v>
      </c>
      <c r="P20398" t="str">
        <f>"15210"</f>
        <v>15210</v>
      </c>
    </row>
    <row r="20399" spans="1:16" x14ac:dyDescent="0.25">
      <c r="A20399" t="str">
        <f>"1290095D00243    00"</f>
        <v>1290095D00243    00</v>
      </c>
      <c r="B20399" t="s">
        <v>44305</v>
      </c>
      <c r="C20399" t="s">
        <v>44306</v>
      </c>
      <c r="D20399" t="s">
        <v>20</v>
      </c>
      <c r="E20399" t="s">
        <v>39</v>
      </c>
      <c r="F20399">
        <v>0</v>
      </c>
      <c r="G20399">
        <v>0</v>
      </c>
      <c r="H20399">
        <v>1</v>
      </c>
      <c r="I20399" s="3">
        <v>1126.46</v>
      </c>
      <c r="J20399" s="3">
        <v>0</v>
      </c>
      <c r="L20399">
        <v>204</v>
      </c>
      <c r="M20399" t="s">
        <v>44307</v>
      </c>
      <c r="N20399" t="s">
        <v>30</v>
      </c>
      <c r="O20399" t="s">
        <v>31</v>
      </c>
      <c r="P20399" t="str">
        <f>"15236"</f>
        <v>15236</v>
      </c>
    </row>
    <row r="20400" spans="1:16" x14ac:dyDescent="0.25">
      <c r="A20400" t="str">
        <f>"1290095D00250    00"</f>
        <v>1290095D00250    00</v>
      </c>
      <c r="B20400" t="s">
        <v>9290</v>
      </c>
      <c r="C20400" t="s">
        <v>43918</v>
      </c>
      <c r="D20400" t="s">
        <v>20</v>
      </c>
      <c r="E20400" t="s">
        <v>39</v>
      </c>
      <c r="F20400">
        <v>0</v>
      </c>
      <c r="G20400">
        <v>0</v>
      </c>
      <c r="H20400">
        <v>18</v>
      </c>
      <c r="I20400" s="3">
        <v>5334.3</v>
      </c>
      <c r="J20400" s="3">
        <v>4725.3999999999996</v>
      </c>
      <c r="L20400">
        <v>414</v>
      </c>
      <c r="M20400" t="s">
        <v>9292</v>
      </c>
      <c r="N20400" t="s">
        <v>30</v>
      </c>
      <c r="O20400" t="s">
        <v>31</v>
      </c>
      <c r="P20400" t="str">
        <f>"15219"</f>
        <v>15219</v>
      </c>
    </row>
    <row r="20401" spans="1:16" x14ac:dyDescent="0.25">
      <c r="A20401" t="str">
        <f>"1290095D00352000100"</f>
        <v>1290095D00352000100</v>
      </c>
      <c r="B20401" t="s">
        <v>44308</v>
      </c>
      <c r="C20401" t="s">
        <v>44309</v>
      </c>
      <c r="D20401" t="s">
        <v>20</v>
      </c>
      <c r="E20401" t="s">
        <v>39</v>
      </c>
      <c r="F20401">
        <v>0</v>
      </c>
      <c r="G20401">
        <v>0</v>
      </c>
      <c r="H20401">
        <v>14</v>
      </c>
      <c r="I20401" s="3">
        <v>17111.47</v>
      </c>
      <c r="J20401" s="3">
        <v>7068.33</v>
      </c>
      <c r="K20401" t="s">
        <v>44310</v>
      </c>
      <c r="L20401">
        <v>91</v>
      </c>
      <c r="M20401" t="s">
        <v>44311</v>
      </c>
      <c r="N20401" t="s">
        <v>30</v>
      </c>
      <c r="O20401" t="s">
        <v>31</v>
      </c>
      <c r="P20401" t="str">
        <f>"15223"</f>
        <v>15223</v>
      </c>
    </row>
    <row r="20402" spans="1:16" x14ac:dyDescent="0.25">
      <c r="A20402" t="str">
        <f>"1290095D00356    00"</f>
        <v>1290095D00356    00</v>
      </c>
      <c r="B20402" t="s">
        <v>44312</v>
      </c>
      <c r="C20402" t="s">
        <v>44313</v>
      </c>
      <c r="D20402" t="s">
        <v>20</v>
      </c>
      <c r="E20402" t="s">
        <v>39</v>
      </c>
      <c r="F20402">
        <v>0</v>
      </c>
      <c r="G20402">
        <v>0</v>
      </c>
      <c r="H20402">
        <v>18</v>
      </c>
      <c r="I20402" s="3">
        <v>13813.32</v>
      </c>
      <c r="J20402" s="3">
        <v>15385.98</v>
      </c>
      <c r="L20402">
        <v>113</v>
      </c>
      <c r="M20402" t="s">
        <v>44314</v>
      </c>
      <c r="N20402" t="s">
        <v>30</v>
      </c>
      <c r="O20402" t="s">
        <v>31</v>
      </c>
      <c r="P20402" t="str">
        <f>"15210"</f>
        <v>15210</v>
      </c>
    </row>
    <row r="20403" spans="1:16" x14ac:dyDescent="0.25">
      <c r="A20403" t="str">
        <f>"1290095D00361    00"</f>
        <v>1290095D00361    00</v>
      </c>
      <c r="B20403" t="s">
        <v>44315</v>
      </c>
      <c r="C20403" t="s">
        <v>44316</v>
      </c>
      <c r="D20403" t="s">
        <v>20</v>
      </c>
      <c r="E20403" t="s">
        <v>39</v>
      </c>
      <c r="F20403">
        <v>0</v>
      </c>
      <c r="G20403">
        <v>0</v>
      </c>
      <c r="H20403">
        <v>5</v>
      </c>
      <c r="I20403" s="3">
        <v>4381.41</v>
      </c>
      <c r="J20403" s="3">
        <v>606.16</v>
      </c>
      <c r="K20403" t="s">
        <v>44317</v>
      </c>
      <c r="L20403">
        <v>121</v>
      </c>
      <c r="M20403" t="s">
        <v>44314</v>
      </c>
      <c r="N20403" t="s">
        <v>30</v>
      </c>
      <c r="O20403" t="s">
        <v>31</v>
      </c>
      <c r="P20403" t="str">
        <f>"15210"</f>
        <v>15210</v>
      </c>
    </row>
    <row r="20404" spans="1:16" x14ac:dyDescent="0.25">
      <c r="A20404" t="str">
        <f>"1290095D00364    00"</f>
        <v>1290095D00364    00</v>
      </c>
      <c r="B20404" t="s">
        <v>44318</v>
      </c>
      <c r="C20404" t="s">
        <v>44319</v>
      </c>
      <c r="E20404" t="s">
        <v>39</v>
      </c>
      <c r="F20404">
        <v>0</v>
      </c>
      <c r="G20404">
        <v>0</v>
      </c>
      <c r="H20404">
        <v>3</v>
      </c>
      <c r="I20404" s="3">
        <v>950.39</v>
      </c>
      <c r="J20404" s="3">
        <v>86.36</v>
      </c>
      <c r="L20404">
        <v>125</v>
      </c>
      <c r="M20404" t="s">
        <v>44314</v>
      </c>
      <c r="N20404" t="s">
        <v>30</v>
      </c>
      <c r="O20404" t="s">
        <v>31</v>
      </c>
      <c r="P20404" t="str">
        <f>"15210"</f>
        <v>15210</v>
      </c>
    </row>
    <row r="20405" spans="1:16" x14ac:dyDescent="0.25">
      <c r="A20405" t="str">
        <f>"1290095G00037    00"</f>
        <v>1290095G00037    00</v>
      </c>
      <c r="B20405" t="s">
        <v>27190</v>
      </c>
      <c r="C20405" t="s">
        <v>44320</v>
      </c>
      <c r="D20405" t="s">
        <v>20</v>
      </c>
      <c r="E20405" t="s">
        <v>39</v>
      </c>
      <c r="F20405">
        <v>0</v>
      </c>
      <c r="G20405">
        <v>0</v>
      </c>
      <c r="H20405">
        <v>2</v>
      </c>
      <c r="I20405" s="3">
        <v>1715.4</v>
      </c>
      <c r="J20405" s="3">
        <v>0</v>
      </c>
      <c r="L20405">
        <v>415</v>
      </c>
      <c r="M20405" t="s">
        <v>22783</v>
      </c>
      <c r="N20405" t="s">
        <v>30</v>
      </c>
      <c r="O20405" t="s">
        <v>31</v>
      </c>
      <c r="P20405" t="str">
        <f>"15211"</f>
        <v>15211</v>
      </c>
    </row>
    <row r="20406" spans="1:16" x14ac:dyDescent="0.25">
      <c r="A20406" t="str">
        <f>"1290095G00087    00"</f>
        <v>1290095G00087    00</v>
      </c>
      <c r="B20406" t="s">
        <v>44321</v>
      </c>
      <c r="C20406" t="s">
        <v>44322</v>
      </c>
      <c r="E20406" t="s">
        <v>39</v>
      </c>
      <c r="F20406">
        <v>0</v>
      </c>
      <c r="G20406">
        <v>0</v>
      </c>
      <c r="H20406">
        <v>1</v>
      </c>
      <c r="I20406" s="3">
        <v>1214.1400000000001</v>
      </c>
      <c r="J20406" s="3">
        <v>0</v>
      </c>
      <c r="K20406" t="s">
        <v>44323</v>
      </c>
      <c r="L20406">
        <v>1</v>
      </c>
      <c r="M20406" t="s">
        <v>44324</v>
      </c>
      <c r="N20406" t="s">
        <v>199</v>
      </c>
      <c r="O20406" t="s">
        <v>200</v>
      </c>
      <c r="P20406" t="str">
        <f>"10017"</f>
        <v>10017</v>
      </c>
    </row>
    <row r="20407" spans="1:16" x14ac:dyDescent="0.25">
      <c r="A20407" t="str">
        <f>"1290095G00094    00"</f>
        <v>1290095G00094    00</v>
      </c>
      <c r="B20407" t="s">
        <v>44325</v>
      </c>
      <c r="C20407" t="s">
        <v>44326</v>
      </c>
      <c r="E20407" t="s">
        <v>39</v>
      </c>
      <c r="F20407">
        <v>0</v>
      </c>
      <c r="G20407">
        <v>0</v>
      </c>
      <c r="H20407">
        <v>1</v>
      </c>
      <c r="I20407" s="3">
        <v>431.29</v>
      </c>
      <c r="J20407" s="3">
        <v>0</v>
      </c>
      <c r="L20407">
        <v>2216</v>
      </c>
      <c r="M20407" t="s">
        <v>44327</v>
      </c>
      <c r="N20407" t="s">
        <v>30</v>
      </c>
      <c r="O20407" t="s">
        <v>31</v>
      </c>
      <c r="P20407" t="str">
        <f>"15210"</f>
        <v>15210</v>
      </c>
    </row>
    <row r="20408" spans="1:16" x14ac:dyDescent="0.25">
      <c r="A20408" t="str">
        <f>"1290095G00100    00"</f>
        <v>1290095G00100    00</v>
      </c>
      <c r="B20408" t="s">
        <v>44328</v>
      </c>
      <c r="C20408" t="s">
        <v>44329</v>
      </c>
      <c r="D20408" t="s">
        <v>20</v>
      </c>
      <c r="E20408" t="s">
        <v>39</v>
      </c>
      <c r="F20408">
        <v>0</v>
      </c>
      <c r="G20408">
        <v>0</v>
      </c>
      <c r="H20408">
        <v>2</v>
      </c>
      <c r="I20408" s="3">
        <v>2660.78</v>
      </c>
      <c r="J20408" s="3">
        <v>0</v>
      </c>
      <c r="L20408">
        <v>2226</v>
      </c>
      <c r="M20408" t="s">
        <v>44327</v>
      </c>
      <c r="N20408" t="s">
        <v>30</v>
      </c>
      <c r="O20408" t="s">
        <v>31</v>
      </c>
      <c r="P20408" t="str">
        <f>"15210"</f>
        <v>15210</v>
      </c>
    </row>
    <row r="20409" spans="1:16" x14ac:dyDescent="0.25">
      <c r="A20409" t="str">
        <f>"1290095G00105    00"</f>
        <v>1290095G00105    00</v>
      </c>
      <c r="B20409" t="s">
        <v>44330</v>
      </c>
      <c r="C20409" t="s">
        <v>44331</v>
      </c>
      <c r="D20409" t="s">
        <v>20</v>
      </c>
      <c r="E20409" t="s">
        <v>39</v>
      </c>
      <c r="F20409">
        <v>0</v>
      </c>
      <c r="G20409">
        <v>0</v>
      </c>
      <c r="H20409">
        <v>3</v>
      </c>
      <c r="I20409" s="3">
        <v>964.29</v>
      </c>
      <c r="J20409" s="3">
        <v>463.13</v>
      </c>
      <c r="K20409" t="s">
        <v>44332</v>
      </c>
      <c r="L20409">
        <v>3619</v>
      </c>
      <c r="M20409" t="s">
        <v>44333</v>
      </c>
      <c r="N20409" t="s">
        <v>3934</v>
      </c>
      <c r="O20409" t="s">
        <v>31</v>
      </c>
      <c r="P20409" t="str">
        <f>"15102"</f>
        <v>15102</v>
      </c>
    </row>
    <row r="20410" spans="1:16" x14ac:dyDescent="0.25">
      <c r="A20410" t="str">
        <f>"1290095G00108    00"</f>
        <v>1290095G00108    00</v>
      </c>
      <c r="B20410" t="s">
        <v>44334</v>
      </c>
      <c r="C20410" t="s">
        <v>44335</v>
      </c>
      <c r="D20410" t="s">
        <v>20</v>
      </c>
      <c r="E20410" t="s">
        <v>39</v>
      </c>
      <c r="F20410">
        <v>0</v>
      </c>
      <c r="G20410">
        <v>0</v>
      </c>
      <c r="H20410">
        <v>1</v>
      </c>
      <c r="I20410" s="3">
        <v>568.46</v>
      </c>
      <c r="J20410" s="3">
        <v>0</v>
      </c>
      <c r="K20410" t="s">
        <v>391</v>
      </c>
      <c r="L20410">
        <v>1</v>
      </c>
      <c r="M20410" t="s">
        <v>392</v>
      </c>
      <c r="N20410" t="s">
        <v>393</v>
      </c>
      <c r="O20410" t="s">
        <v>394</v>
      </c>
      <c r="P20410" t="str">
        <f>"50328"</f>
        <v>50328</v>
      </c>
    </row>
    <row r="20411" spans="1:16" x14ac:dyDescent="0.25">
      <c r="A20411" t="str">
        <f>"1290095G00114    00"</f>
        <v>1290095G00114    00</v>
      </c>
      <c r="B20411" t="s">
        <v>44336</v>
      </c>
      <c r="C20411" t="s">
        <v>44337</v>
      </c>
      <c r="E20411" t="s">
        <v>39</v>
      </c>
      <c r="F20411">
        <v>0</v>
      </c>
      <c r="G20411">
        <v>0</v>
      </c>
      <c r="H20411">
        <v>2</v>
      </c>
      <c r="I20411" s="3">
        <v>973.65</v>
      </c>
      <c r="J20411" s="3">
        <v>284.3</v>
      </c>
      <c r="K20411" t="s">
        <v>1135</v>
      </c>
      <c r="L20411">
        <v>3001</v>
      </c>
      <c r="M20411" t="s">
        <v>330</v>
      </c>
      <c r="N20411" t="s">
        <v>331</v>
      </c>
      <c r="O20411" t="s">
        <v>108</v>
      </c>
      <c r="P20411" t="str">
        <f>"75063"</f>
        <v>75063</v>
      </c>
    </row>
    <row r="20412" spans="1:16" x14ac:dyDescent="0.25">
      <c r="A20412" t="str">
        <f>"1290095G00116    00"</f>
        <v>1290095G00116    00</v>
      </c>
      <c r="B20412" t="s">
        <v>44338</v>
      </c>
      <c r="C20412" t="s">
        <v>44339</v>
      </c>
      <c r="D20412" t="s">
        <v>20</v>
      </c>
      <c r="E20412" t="s">
        <v>39</v>
      </c>
      <c r="F20412">
        <v>0</v>
      </c>
      <c r="G20412">
        <v>0</v>
      </c>
      <c r="H20412">
        <v>3</v>
      </c>
      <c r="I20412" s="3">
        <v>760.53</v>
      </c>
      <c r="J20412" s="3">
        <v>50.7</v>
      </c>
      <c r="K20412" t="s">
        <v>44340</v>
      </c>
      <c r="L20412">
        <v>2244</v>
      </c>
      <c r="M20412" t="s">
        <v>13358</v>
      </c>
      <c r="N20412" t="s">
        <v>30</v>
      </c>
      <c r="O20412" t="s">
        <v>31</v>
      </c>
      <c r="P20412" t="str">
        <f>"15210"</f>
        <v>15210</v>
      </c>
    </row>
    <row r="20413" spans="1:16" x14ac:dyDescent="0.25">
      <c r="A20413" t="str">
        <f>"1290095G00142    00"</f>
        <v>1290095G00142    00</v>
      </c>
      <c r="B20413" t="s">
        <v>16159</v>
      </c>
      <c r="C20413" t="s">
        <v>44341</v>
      </c>
      <c r="D20413" t="s">
        <v>20</v>
      </c>
      <c r="E20413" t="s">
        <v>39</v>
      </c>
      <c r="F20413">
        <v>0</v>
      </c>
      <c r="G20413">
        <v>0</v>
      </c>
      <c r="H20413">
        <v>1</v>
      </c>
      <c r="I20413" s="3">
        <v>610.20000000000005</v>
      </c>
      <c r="J20413" s="3">
        <v>0</v>
      </c>
      <c r="L20413">
        <v>714</v>
      </c>
      <c r="M20413" t="s">
        <v>44342</v>
      </c>
      <c r="N20413" t="s">
        <v>30</v>
      </c>
      <c r="O20413" t="s">
        <v>31</v>
      </c>
      <c r="P20413" t="str">
        <f>"15208"</f>
        <v>15208</v>
      </c>
    </row>
    <row r="20414" spans="1:16" x14ac:dyDescent="0.25">
      <c r="A20414" t="str">
        <f>"1290095G00145    00"</f>
        <v>1290095G00145    00</v>
      </c>
      <c r="B20414" t="s">
        <v>44343</v>
      </c>
      <c r="C20414" t="s">
        <v>44339</v>
      </c>
      <c r="D20414" t="s">
        <v>20</v>
      </c>
      <c r="E20414" t="s">
        <v>39</v>
      </c>
      <c r="F20414">
        <v>0</v>
      </c>
      <c r="G20414">
        <v>0</v>
      </c>
      <c r="H20414">
        <v>17</v>
      </c>
      <c r="I20414" s="3">
        <v>7354.5</v>
      </c>
      <c r="J20414" s="3">
        <v>8765.44</v>
      </c>
      <c r="L20414">
        <v>609</v>
      </c>
      <c r="M20414" t="s">
        <v>44344</v>
      </c>
      <c r="N20414" t="s">
        <v>10293</v>
      </c>
      <c r="O20414" t="s">
        <v>31</v>
      </c>
      <c r="P20414" t="str">
        <f>"15074"</f>
        <v>15074</v>
      </c>
    </row>
    <row r="20415" spans="1:16" x14ac:dyDescent="0.25">
      <c r="A20415" t="str">
        <f>"1290095G00211    00"</f>
        <v>1290095G00211    00</v>
      </c>
      <c r="B20415" t="s">
        <v>44345</v>
      </c>
      <c r="C20415" t="s">
        <v>44346</v>
      </c>
      <c r="D20415" t="s">
        <v>20</v>
      </c>
      <c r="E20415" t="s">
        <v>39</v>
      </c>
      <c r="F20415">
        <v>0</v>
      </c>
      <c r="G20415">
        <v>0</v>
      </c>
      <c r="H20415">
        <v>2</v>
      </c>
      <c r="I20415" s="3">
        <v>1095.06</v>
      </c>
      <c r="J20415" s="3">
        <v>0</v>
      </c>
      <c r="K20415" t="s">
        <v>6184</v>
      </c>
      <c r="L20415">
        <v>901</v>
      </c>
      <c r="M20415" t="s">
        <v>1503</v>
      </c>
      <c r="N20415" t="s">
        <v>494</v>
      </c>
      <c r="O20415" t="s">
        <v>495</v>
      </c>
      <c r="P20415" t="str">
        <f>"91768"</f>
        <v>91768</v>
      </c>
    </row>
    <row r="20416" spans="1:16" x14ac:dyDescent="0.25">
      <c r="A20416" t="str">
        <f>"1290095G00271    00"</f>
        <v>1290095G00271    00</v>
      </c>
      <c r="B20416" t="s">
        <v>44347</v>
      </c>
      <c r="C20416" t="s">
        <v>44348</v>
      </c>
      <c r="D20416" t="s">
        <v>20</v>
      </c>
      <c r="E20416" t="s">
        <v>39</v>
      </c>
      <c r="F20416">
        <v>0</v>
      </c>
      <c r="G20416">
        <v>0</v>
      </c>
      <c r="H20416">
        <v>7</v>
      </c>
      <c r="I20416" s="3">
        <v>7570.93</v>
      </c>
      <c r="J20416" s="3">
        <v>1862.7</v>
      </c>
      <c r="L20416">
        <v>2231</v>
      </c>
      <c r="M20416" t="s">
        <v>44349</v>
      </c>
      <c r="N20416" t="s">
        <v>30</v>
      </c>
      <c r="O20416" t="s">
        <v>31</v>
      </c>
      <c r="P20416" t="str">
        <f>"15210"</f>
        <v>15210</v>
      </c>
    </row>
    <row r="20417" spans="1:16" x14ac:dyDescent="0.25">
      <c r="A20417" t="str">
        <f>"1290095H00079    00"</f>
        <v>1290095H00079    00</v>
      </c>
      <c r="B20417" t="s">
        <v>44350</v>
      </c>
      <c r="C20417" t="s">
        <v>44351</v>
      </c>
      <c r="D20417" t="s">
        <v>20</v>
      </c>
      <c r="E20417" t="s">
        <v>21</v>
      </c>
      <c r="F20417">
        <v>0</v>
      </c>
      <c r="G20417">
        <v>0</v>
      </c>
      <c r="H20417">
        <v>5</v>
      </c>
      <c r="I20417" s="3">
        <v>28938.33</v>
      </c>
      <c r="J20417" s="3">
        <v>4999.5</v>
      </c>
      <c r="L20417">
        <v>4607</v>
      </c>
      <c r="M20417" t="s">
        <v>44352</v>
      </c>
      <c r="N20417" t="s">
        <v>30</v>
      </c>
      <c r="O20417" t="s">
        <v>31</v>
      </c>
      <c r="P20417" t="str">
        <f>"15236"</f>
        <v>15236</v>
      </c>
    </row>
    <row r="20418" spans="1:16" x14ac:dyDescent="0.25">
      <c r="A20418" t="str">
        <f>"1290095H00086    00"</f>
        <v>1290095H00086    00</v>
      </c>
      <c r="B20418" t="s">
        <v>44353</v>
      </c>
      <c r="C20418" t="s">
        <v>44351</v>
      </c>
      <c r="D20418" t="s">
        <v>20</v>
      </c>
      <c r="E20418" t="s">
        <v>21</v>
      </c>
      <c r="F20418">
        <v>0</v>
      </c>
      <c r="G20418">
        <v>0</v>
      </c>
      <c r="H20418">
        <v>5</v>
      </c>
      <c r="I20418" s="3">
        <v>2496.35</v>
      </c>
      <c r="J20418" s="3">
        <v>431.27</v>
      </c>
      <c r="L20418">
        <v>4607</v>
      </c>
      <c r="M20418" t="s">
        <v>44352</v>
      </c>
      <c r="N20418" t="s">
        <v>30</v>
      </c>
      <c r="O20418" t="s">
        <v>31</v>
      </c>
      <c r="P20418" t="str">
        <f>"15236"</f>
        <v>15236</v>
      </c>
    </row>
    <row r="20419" spans="1:16" x14ac:dyDescent="0.25">
      <c r="A20419" t="str">
        <f>"1290095H00096    00"</f>
        <v>1290095H00096    00</v>
      </c>
      <c r="B20419" t="s">
        <v>44354</v>
      </c>
      <c r="C20419" t="s">
        <v>44355</v>
      </c>
      <c r="D20419" t="s">
        <v>20</v>
      </c>
      <c r="E20419" t="s">
        <v>21</v>
      </c>
      <c r="F20419">
        <v>0</v>
      </c>
      <c r="G20419">
        <v>0</v>
      </c>
      <c r="H20419">
        <v>7</v>
      </c>
      <c r="I20419" s="3">
        <v>1752.75</v>
      </c>
      <c r="J20419" s="3">
        <v>0</v>
      </c>
      <c r="K20419" t="s">
        <v>44356</v>
      </c>
      <c r="L20419">
        <v>123</v>
      </c>
      <c r="M20419" t="s">
        <v>44357</v>
      </c>
      <c r="N20419" t="s">
        <v>30</v>
      </c>
      <c r="O20419" t="s">
        <v>31</v>
      </c>
      <c r="P20419" t="str">
        <f>"15236"</f>
        <v>15236</v>
      </c>
    </row>
    <row r="20420" spans="1:16" x14ac:dyDescent="0.25">
      <c r="A20420" t="str">
        <f>"1290095H00097    00"</f>
        <v>1290095H00097    00</v>
      </c>
      <c r="B20420" t="s">
        <v>44358</v>
      </c>
      <c r="C20420" t="s">
        <v>44359</v>
      </c>
      <c r="D20420" t="s">
        <v>57</v>
      </c>
      <c r="E20420" t="s">
        <v>21</v>
      </c>
      <c r="F20420">
        <v>0</v>
      </c>
      <c r="G20420">
        <v>0</v>
      </c>
      <c r="H20420">
        <v>1</v>
      </c>
      <c r="I20420" s="3">
        <v>920.46</v>
      </c>
      <c r="J20420" s="3">
        <v>0</v>
      </c>
      <c r="L20420">
        <v>2221</v>
      </c>
      <c r="M20420" t="s">
        <v>8048</v>
      </c>
      <c r="N20420" t="s">
        <v>30</v>
      </c>
      <c r="O20420" t="s">
        <v>31</v>
      </c>
      <c r="P20420" t="str">
        <f>"15210"</f>
        <v>15210</v>
      </c>
    </row>
    <row r="20421" spans="1:16" x14ac:dyDescent="0.25">
      <c r="A20421" t="str">
        <f>"1290095H00174    00"</f>
        <v>1290095H00174    00</v>
      </c>
      <c r="B20421" t="s">
        <v>44360</v>
      </c>
      <c r="C20421" t="s">
        <v>44361</v>
      </c>
      <c r="D20421" t="s">
        <v>20</v>
      </c>
      <c r="E20421" t="s">
        <v>39</v>
      </c>
      <c r="F20421">
        <v>0</v>
      </c>
      <c r="G20421">
        <v>0</v>
      </c>
      <c r="H20421">
        <v>3</v>
      </c>
      <c r="I20421" s="3">
        <v>1706.82</v>
      </c>
      <c r="J20421" s="3">
        <v>759.79</v>
      </c>
      <c r="K20421" t="s">
        <v>44362</v>
      </c>
      <c r="L20421">
        <v>2230</v>
      </c>
      <c r="M20421" t="s">
        <v>44363</v>
      </c>
      <c r="N20421" t="s">
        <v>30</v>
      </c>
      <c r="O20421" t="s">
        <v>31</v>
      </c>
      <c r="P20421" t="str">
        <f>"15210"</f>
        <v>15210</v>
      </c>
    </row>
    <row r="20422" spans="1:16" x14ac:dyDescent="0.25">
      <c r="A20422" t="str">
        <f>"1290095H00178    00"</f>
        <v>1290095H00178    00</v>
      </c>
      <c r="B20422" t="s">
        <v>44364</v>
      </c>
      <c r="C20422" t="s">
        <v>44365</v>
      </c>
      <c r="D20422" t="s">
        <v>20</v>
      </c>
      <c r="E20422" t="s">
        <v>39</v>
      </c>
      <c r="F20422">
        <v>0</v>
      </c>
      <c r="G20422">
        <v>0</v>
      </c>
      <c r="H20422">
        <v>4</v>
      </c>
      <c r="I20422" s="3">
        <v>3120.88</v>
      </c>
      <c r="J20422" s="3">
        <v>219.17</v>
      </c>
      <c r="L20422">
        <v>30</v>
      </c>
      <c r="M20422" t="s">
        <v>44366</v>
      </c>
      <c r="N20422" t="s">
        <v>546</v>
      </c>
      <c r="O20422" t="s">
        <v>31</v>
      </c>
      <c r="P20422" t="str">
        <f>"15044"</f>
        <v>15044</v>
      </c>
    </row>
    <row r="20423" spans="1:16" x14ac:dyDescent="0.25">
      <c r="A20423" t="str">
        <f>"1290095H00182    00"</f>
        <v>1290095H00182    00</v>
      </c>
      <c r="B20423" t="s">
        <v>44367</v>
      </c>
      <c r="C20423" t="s">
        <v>44368</v>
      </c>
      <c r="D20423" t="s">
        <v>20</v>
      </c>
      <c r="E20423" t="s">
        <v>39</v>
      </c>
      <c r="F20423">
        <v>0</v>
      </c>
      <c r="G20423">
        <v>0</v>
      </c>
      <c r="H20423">
        <v>14</v>
      </c>
      <c r="I20423" s="3">
        <v>2116.85</v>
      </c>
      <c r="J20423" s="3">
        <v>2335.9</v>
      </c>
      <c r="L20423">
        <v>2214</v>
      </c>
      <c r="M20423" t="s">
        <v>44369</v>
      </c>
      <c r="N20423" t="s">
        <v>30</v>
      </c>
      <c r="O20423" t="s">
        <v>31</v>
      </c>
      <c r="P20423" t="str">
        <f>"15210"</f>
        <v>15210</v>
      </c>
    </row>
    <row r="20424" spans="1:16" x14ac:dyDescent="0.25">
      <c r="A20424" t="str">
        <f>"1290095H00187    00"</f>
        <v>1290095H00187    00</v>
      </c>
      <c r="B20424" t="s">
        <v>44370</v>
      </c>
      <c r="C20424" t="s">
        <v>44371</v>
      </c>
      <c r="D20424" t="s">
        <v>20</v>
      </c>
      <c r="E20424" t="s">
        <v>39</v>
      </c>
      <c r="F20424">
        <v>0</v>
      </c>
      <c r="G20424">
        <v>0</v>
      </c>
      <c r="H20424">
        <v>1</v>
      </c>
      <c r="I20424" s="3">
        <v>598.48</v>
      </c>
      <c r="J20424" s="3">
        <v>0</v>
      </c>
      <c r="K20424" t="s">
        <v>391</v>
      </c>
      <c r="L20424">
        <v>1</v>
      </c>
      <c r="M20424" t="s">
        <v>392</v>
      </c>
      <c r="N20424" t="s">
        <v>393</v>
      </c>
      <c r="O20424" t="s">
        <v>394</v>
      </c>
      <c r="P20424" t="str">
        <f>"50328"</f>
        <v>50328</v>
      </c>
    </row>
    <row r="20425" spans="1:16" x14ac:dyDescent="0.25">
      <c r="A20425" t="str">
        <f>"1290095H00197    00"</f>
        <v>1290095H00197    00</v>
      </c>
      <c r="B20425" t="s">
        <v>44372</v>
      </c>
      <c r="C20425" t="s">
        <v>44373</v>
      </c>
      <c r="D20425" t="s">
        <v>20</v>
      </c>
      <c r="E20425" t="s">
        <v>39</v>
      </c>
      <c r="F20425">
        <v>0</v>
      </c>
      <c r="G20425">
        <v>0</v>
      </c>
      <c r="H20425">
        <v>13</v>
      </c>
      <c r="I20425" s="3">
        <v>18182.740000000002</v>
      </c>
      <c r="J20425" s="3">
        <v>10581.89</v>
      </c>
      <c r="L20425">
        <v>2154</v>
      </c>
      <c r="M20425" t="s">
        <v>44374</v>
      </c>
      <c r="N20425" t="s">
        <v>30</v>
      </c>
      <c r="O20425" t="s">
        <v>31</v>
      </c>
      <c r="P20425" t="str">
        <f>"15210"</f>
        <v>15210</v>
      </c>
    </row>
    <row r="20426" spans="1:16" x14ac:dyDescent="0.25">
      <c r="A20426" t="str">
        <f>"1290095H00205    00"</f>
        <v>1290095H00205    00</v>
      </c>
      <c r="B20426" t="s">
        <v>44375</v>
      </c>
      <c r="C20426" t="s">
        <v>44376</v>
      </c>
      <c r="D20426" t="s">
        <v>20</v>
      </c>
      <c r="E20426" t="s">
        <v>39</v>
      </c>
      <c r="F20426">
        <v>0</v>
      </c>
      <c r="G20426">
        <v>0</v>
      </c>
      <c r="H20426">
        <v>2</v>
      </c>
      <c r="I20426" s="3">
        <v>2565.5</v>
      </c>
      <c r="J20426" s="3">
        <v>0</v>
      </c>
      <c r="L20426">
        <v>407</v>
      </c>
      <c r="M20426" t="s">
        <v>44377</v>
      </c>
      <c r="N20426" t="s">
        <v>30</v>
      </c>
      <c r="O20426" t="s">
        <v>31</v>
      </c>
      <c r="P20426" t="str">
        <f>"15228"</f>
        <v>15228</v>
      </c>
    </row>
    <row r="20427" spans="1:16" x14ac:dyDescent="0.25">
      <c r="A20427" t="str">
        <f>"1290095H00228    00"</f>
        <v>1290095H00228    00</v>
      </c>
      <c r="B20427" t="s">
        <v>43520</v>
      </c>
      <c r="C20427" t="s">
        <v>44378</v>
      </c>
      <c r="E20427" t="s">
        <v>39</v>
      </c>
      <c r="F20427">
        <v>0</v>
      </c>
      <c r="G20427">
        <v>0</v>
      </c>
      <c r="H20427">
        <v>2</v>
      </c>
      <c r="I20427" s="3">
        <v>644.24</v>
      </c>
      <c r="J20427" s="3">
        <v>8.06</v>
      </c>
      <c r="K20427" t="s">
        <v>43522</v>
      </c>
      <c r="L20427">
        <v>1450</v>
      </c>
      <c r="M20427" t="s">
        <v>43523</v>
      </c>
      <c r="N20427" t="s">
        <v>4652</v>
      </c>
      <c r="O20427" t="s">
        <v>370</v>
      </c>
      <c r="P20427" t="str">
        <f>"33146"</f>
        <v>33146</v>
      </c>
    </row>
    <row r="20428" spans="1:16" x14ac:dyDescent="0.25">
      <c r="A20428" t="str">
        <f>"1290095H00289    00"</f>
        <v>1290095H00289    00</v>
      </c>
      <c r="B20428" t="s">
        <v>44379</v>
      </c>
      <c r="C20428" t="s">
        <v>44380</v>
      </c>
      <c r="E20428" t="s">
        <v>39</v>
      </c>
      <c r="F20428">
        <v>0</v>
      </c>
      <c r="G20428">
        <v>0</v>
      </c>
      <c r="H20428">
        <v>8</v>
      </c>
      <c r="I20428" s="3">
        <v>10625.29</v>
      </c>
      <c r="J20428" s="3">
        <v>10672.95</v>
      </c>
      <c r="K20428" t="s">
        <v>881</v>
      </c>
      <c r="L20428">
        <v>3001</v>
      </c>
      <c r="M20428" t="s">
        <v>330</v>
      </c>
      <c r="N20428" t="s">
        <v>331</v>
      </c>
      <c r="O20428" t="s">
        <v>108</v>
      </c>
      <c r="P20428" t="str">
        <f>"75063"</f>
        <v>75063</v>
      </c>
    </row>
    <row r="20429" spans="1:16" x14ac:dyDescent="0.25">
      <c r="A20429" t="str">
        <f>"1290095K00319    00"</f>
        <v>1290095K00319    00</v>
      </c>
      <c r="B20429" t="s">
        <v>44381</v>
      </c>
      <c r="C20429" t="s">
        <v>44382</v>
      </c>
      <c r="E20429" t="s">
        <v>39</v>
      </c>
      <c r="F20429">
        <v>0</v>
      </c>
      <c r="G20429">
        <v>0</v>
      </c>
      <c r="H20429">
        <v>4</v>
      </c>
      <c r="I20429" s="3">
        <v>2483.19</v>
      </c>
      <c r="J20429" s="3">
        <v>2569.39</v>
      </c>
      <c r="L20429">
        <v>442</v>
      </c>
      <c r="M20429" t="s">
        <v>44383</v>
      </c>
      <c r="N20429" t="s">
        <v>30</v>
      </c>
      <c r="O20429" t="s">
        <v>31</v>
      </c>
      <c r="P20429" t="str">
        <f>"15210"</f>
        <v>15210</v>
      </c>
    </row>
    <row r="20430" spans="1:16" x14ac:dyDescent="0.25">
      <c r="A20430" t="str">
        <f>"1290095K00331    00"</f>
        <v>1290095K00331    00</v>
      </c>
      <c r="B20430" t="s">
        <v>44384</v>
      </c>
      <c r="C20430" t="s">
        <v>44385</v>
      </c>
      <c r="D20430" t="s">
        <v>20</v>
      </c>
      <c r="E20430" t="s">
        <v>39</v>
      </c>
      <c r="F20430">
        <v>0</v>
      </c>
      <c r="G20430">
        <v>0</v>
      </c>
      <c r="H20430">
        <v>2</v>
      </c>
      <c r="I20430" s="3">
        <v>137.24</v>
      </c>
      <c r="J20430" s="3">
        <v>0</v>
      </c>
      <c r="L20430">
        <v>521</v>
      </c>
      <c r="M20430" t="s">
        <v>44386</v>
      </c>
      <c r="N20430" t="s">
        <v>6941</v>
      </c>
      <c r="O20430" t="s">
        <v>31</v>
      </c>
      <c r="P20430" t="str">
        <f>"15003"</f>
        <v>15003</v>
      </c>
    </row>
    <row r="20431" spans="1:16" x14ac:dyDescent="0.25">
      <c r="A20431" t="str">
        <f>"1290095K00333    02"</f>
        <v>1290095K00333    02</v>
      </c>
      <c r="B20431" t="s">
        <v>44384</v>
      </c>
      <c r="C20431" t="s">
        <v>44387</v>
      </c>
      <c r="D20431" t="s">
        <v>20</v>
      </c>
      <c r="E20431" t="s">
        <v>39</v>
      </c>
      <c r="F20431">
        <v>0</v>
      </c>
      <c r="G20431">
        <v>0</v>
      </c>
      <c r="H20431">
        <v>3</v>
      </c>
      <c r="I20431" s="3">
        <v>1973.08</v>
      </c>
      <c r="J20431" s="3">
        <v>341.44</v>
      </c>
      <c r="L20431">
        <v>521</v>
      </c>
      <c r="M20431" t="s">
        <v>44386</v>
      </c>
      <c r="N20431" t="s">
        <v>6941</v>
      </c>
      <c r="O20431" t="s">
        <v>31</v>
      </c>
      <c r="P20431" t="str">
        <f>"15003"</f>
        <v>15003</v>
      </c>
    </row>
    <row r="20432" spans="1:16" x14ac:dyDescent="0.25">
      <c r="A20432" t="str">
        <f>"1290095L00018    00"</f>
        <v>1290095L00018    00</v>
      </c>
      <c r="B20432" t="s">
        <v>44388</v>
      </c>
      <c r="C20432" t="s">
        <v>44389</v>
      </c>
      <c r="E20432" t="s">
        <v>39</v>
      </c>
      <c r="F20432">
        <v>0</v>
      </c>
      <c r="G20432">
        <v>0</v>
      </c>
      <c r="H20432">
        <v>2</v>
      </c>
      <c r="I20432" s="3">
        <v>725.01</v>
      </c>
      <c r="J20432" s="3">
        <v>164.89</v>
      </c>
      <c r="K20432" t="s">
        <v>391</v>
      </c>
      <c r="L20432">
        <v>1</v>
      </c>
      <c r="M20432" t="s">
        <v>392</v>
      </c>
      <c r="N20432" t="s">
        <v>393</v>
      </c>
      <c r="O20432" t="s">
        <v>394</v>
      </c>
      <c r="P20432" t="str">
        <f>"50328"</f>
        <v>50328</v>
      </c>
    </row>
    <row r="20433" spans="1:16" x14ac:dyDescent="0.25">
      <c r="A20433" t="str">
        <f>"1290095L00027    00"</f>
        <v>1290095L00027    00</v>
      </c>
      <c r="B20433" t="s">
        <v>44390</v>
      </c>
      <c r="C20433" t="s">
        <v>44391</v>
      </c>
      <c r="D20433" t="s">
        <v>20</v>
      </c>
      <c r="E20433" t="s">
        <v>39</v>
      </c>
      <c r="F20433">
        <v>0</v>
      </c>
      <c r="G20433">
        <v>0</v>
      </c>
      <c r="H20433">
        <v>2</v>
      </c>
      <c r="I20433" s="3">
        <v>121.98</v>
      </c>
      <c r="J20433" s="3">
        <v>0</v>
      </c>
      <c r="L20433">
        <v>2283</v>
      </c>
      <c r="M20433" t="s">
        <v>44392</v>
      </c>
      <c r="N20433" t="s">
        <v>30</v>
      </c>
      <c r="O20433" t="s">
        <v>31</v>
      </c>
      <c r="P20433" t="str">
        <f>"15210"</f>
        <v>15210</v>
      </c>
    </row>
    <row r="20434" spans="1:16" x14ac:dyDescent="0.25">
      <c r="A20434" t="str">
        <f>"1290095L00028    00"</f>
        <v>1290095L00028    00</v>
      </c>
      <c r="B20434" t="s">
        <v>44390</v>
      </c>
      <c r="C20434" t="s">
        <v>44393</v>
      </c>
      <c r="D20434" t="s">
        <v>20</v>
      </c>
      <c r="E20434" t="s">
        <v>39</v>
      </c>
      <c r="F20434">
        <v>0</v>
      </c>
      <c r="G20434">
        <v>0</v>
      </c>
      <c r="H20434">
        <v>2</v>
      </c>
      <c r="I20434" s="3">
        <v>1011.2</v>
      </c>
      <c r="J20434" s="3">
        <v>0</v>
      </c>
      <c r="L20434">
        <v>2283</v>
      </c>
      <c r="M20434" t="s">
        <v>44392</v>
      </c>
      <c r="N20434" t="s">
        <v>30</v>
      </c>
      <c r="O20434" t="s">
        <v>31</v>
      </c>
      <c r="P20434" t="str">
        <f>"15210"</f>
        <v>15210</v>
      </c>
    </row>
    <row r="20435" spans="1:16" x14ac:dyDescent="0.25">
      <c r="A20435" t="str">
        <f>"1290095L00029    00"</f>
        <v>1290095L00029    00</v>
      </c>
      <c r="B20435" t="s">
        <v>44394</v>
      </c>
      <c r="C20435" t="s">
        <v>44395</v>
      </c>
      <c r="D20435" t="s">
        <v>20</v>
      </c>
      <c r="E20435" t="s">
        <v>39</v>
      </c>
      <c r="F20435">
        <v>0</v>
      </c>
      <c r="G20435">
        <v>0</v>
      </c>
      <c r="H20435">
        <v>19</v>
      </c>
      <c r="I20435" s="3">
        <v>17767.62</v>
      </c>
      <c r="J20435" s="3">
        <v>19046.060000000001</v>
      </c>
      <c r="L20435">
        <v>2285</v>
      </c>
      <c r="M20435" t="s">
        <v>44392</v>
      </c>
      <c r="N20435" t="s">
        <v>30</v>
      </c>
      <c r="O20435" t="s">
        <v>31</v>
      </c>
      <c r="P20435" t="str">
        <f>"15210"</f>
        <v>15210</v>
      </c>
    </row>
    <row r="20436" spans="1:16" x14ac:dyDescent="0.25">
      <c r="A20436" t="str">
        <f>"1290095L00040    00"</f>
        <v>1290095L00040    00</v>
      </c>
      <c r="B20436" t="s">
        <v>44396</v>
      </c>
      <c r="C20436" t="s">
        <v>44397</v>
      </c>
      <c r="E20436" t="s">
        <v>39</v>
      </c>
      <c r="F20436">
        <v>0</v>
      </c>
      <c r="G20436">
        <v>0</v>
      </c>
      <c r="H20436">
        <v>5</v>
      </c>
      <c r="I20436" s="3">
        <v>3001.74</v>
      </c>
      <c r="J20436" s="3">
        <v>56</v>
      </c>
      <c r="L20436">
        <v>2301</v>
      </c>
      <c r="M20436" t="s">
        <v>44392</v>
      </c>
      <c r="N20436" t="s">
        <v>30</v>
      </c>
      <c r="O20436" t="s">
        <v>31</v>
      </c>
      <c r="P20436" t="str">
        <f>"15210"</f>
        <v>15210</v>
      </c>
    </row>
    <row r="20437" spans="1:16" x14ac:dyDescent="0.25">
      <c r="A20437" t="str">
        <f>"1290095L00045    00"</f>
        <v>1290095L00045    00</v>
      </c>
      <c r="B20437" t="s">
        <v>44398</v>
      </c>
      <c r="C20437" t="s">
        <v>44399</v>
      </c>
      <c r="D20437" t="s">
        <v>20</v>
      </c>
      <c r="E20437" t="s">
        <v>39</v>
      </c>
      <c r="F20437">
        <v>0</v>
      </c>
      <c r="G20437">
        <v>0</v>
      </c>
      <c r="H20437">
        <v>17</v>
      </c>
      <c r="I20437" s="3">
        <v>13469.89</v>
      </c>
      <c r="J20437" s="3">
        <v>10593.96</v>
      </c>
      <c r="L20437">
        <v>2955</v>
      </c>
      <c r="M20437" t="s">
        <v>44400</v>
      </c>
      <c r="N20437" t="s">
        <v>41114</v>
      </c>
      <c r="O20437" t="s">
        <v>370</v>
      </c>
      <c r="P20437" t="str">
        <f>"34655"</f>
        <v>34655</v>
      </c>
    </row>
    <row r="20438" spans="1:16" x14ac:dyDescent="0.25">
      <c r="A20438" t="str">
        <f>"1290095L00051    00"</f>
        <v>1290095L00051    00</v>
      </c>
      <c r="B20438" t="s">
        <v>44401</v>
      </c>
      <c r="C20438" t="s">
        <v>44402</v>
      </c>
      <c r="D20438" t="s">
        <v>20</v>
      </c>
      <c r="E20438" t="s">
        <v>39</v>
      </c>
      <c r="F20438">
        <v>0</v>
      </c>
      <c r="G20438">
        <v>0</v>
      </c>
      <c r="H20438">
        <v>4</v>
      </c>
      <c r="I20438" s="3">
        <v>3478.06</v>
      </c>
      <c r="J20438" s="3">
        <v>410.87</v>
      </c>
      <c r="L20438">
        <v>2308</v>
      </c>
      <c r="M20438" t="s">
        <v>44392</v>
      </c>
      <c r="N20438" t="s">
        <v>30</v>
      </c>
      <c r="O20438" t="s">
        <v>31</v>
      </c>
      <c r="P20438" t="str">
        <f>"15210"</f>
        <v>15210</v>
      </c>
    </row>
    <row r="20439" spans="1:16" x14ac:dyDescent="0.25">
      <c r="A20439" t="str">
        <f>"1290095L00060    00"</f>
        <v>1290095L00060    00</v>
      </c>
      <c r="B20439" t="s">
        <v>44403</v>
      </c>
      <c r="C20439" t="s">
        <v>44404</v>
      </c>
      <c r="D20439" t="s">
        <v>20</v>
      </c>
      <c r="E20439" t="s">
        <v>39</v>
      </c>
      <c r="F20439">
        <v>0</v>
      </c>
      <c r="G20439">
        <v>0</v>
      </c>
      <c r="H20439">
        <v>1</v>
      </c>
      <c r="I20439" s="3">
        <v>909.79</v>
      </c>
      <c r="J20439" s="3">
        <v>0</v>
      </c>
      <c r="L20439">
        <v>3851</v>
      </c>
      <c r="M20439" t="s">
        <v>34518</v>
      </c>
      <c r="N20439" t="s">
        <v>30</v>
      </c>
      <c r="O20439" t="s">
        <v>31</v>
      </c>
      <c r="P20439" t="str">
        <f>"15214"</f>
        <v>15214</v>
      </c>
    </row>
    <row r="20440" spans="1:16" x14ac:dyDescent="0.25">
      <c r="A20440" t="str">
        <f>"1290095L00062    00"</f>
        <v>1290095L00062    00</v>
      </c>
      <c r="B20440" t="s">
        <v>44405</v>
      </c>
      <c r="C20440" t="s">
        <v>44406</v>
      </c>
      <c r="D20440" t="s">
        <v>20</v>
      </c>
      <c r="E20440" t="s">
        <v>39</v>
      </c>
      <c r="F20440">
        <v>0</v>
      </c>
      <c r="G20440">
        <v>0</v>
      </c>
      <c r="H20440">
        <v>3</v>
      </c>
      <c r="I20440" s="3">
        <v>2383.17</v>
      </c>
      <c r="J20440" s="3">
        <v>116.3</v>
      </c>
      <c r="K20440" t="s">
        <v>44407</v>
      </c>
      <c r="L20440">
        <v>2292</v>
      </c>
      <c r="M20440" t="s">
        <v>44392</v>
      </c>
      <c r="N20440" t="s">
        <v>30</v>
      </c>
      <c r="O20440" t="s">
        <v>31</v>
      </c>
      <c r="P20440" t="str">
        <f>"15210"</f>
        <v>15210</v>
      </c>
    </row>
    <row r="20441" spans="1:16" x14ac:dyDescent="0.25">
      <c r="A20441" t="str">
        <f>"1290095L00073    00"</f>
        <v>1290095L00073    00</v>
      </c>
      <c r="B20441" t="s">
        <v>44408</v>
      </c>
      <c r="C20441" t="s">
        <v>44409</v>
      </c>
      <c r="E20441" t="s">
        <v>39</v>
      </c>
      <c r="F20441">
        <v>0</v>
      </c>
      <c r="G20441">
        <v>0</v>
      </c>
      <c r="H20441">
        <v>1</v>
      </c>
      <c r="I20441" s="3">
        <v>723.02</v>
      </c>
      <c r="J20441" s="3">
        <v>144.6</v>
      </c>
      <c r="K20441" t="s">
        <v>44410</v>
      </c>
      <c r="L20441">
        <v>4530</v>
      </c>
      <c r="M20441" t="s">
        <v>44411</v>
      </c>
      <c r="N20441" t="s">
        <v>30</v>
      </c>
      <c r="O20441" t="s">
        <v>31</v>
      </c>
      <c r="P20441" t="str">
        <f>"15227"</f>
        <v>15227</v>
      </c>
    </row>
    <row r="20442" spans="1:16" x14ac:dyDescent="0.25">
      <c r="A20442" t="str">
        <f>"1290095L00075    00"</f>
        <v>1290095L00075    00</v>
      </c>
      <c r="B20442" t="s">
        <v>44412</v>
      </c>
      <c r="C20442" t="s">
        <v>44413</v>
      </c>
      <c r="D20442" t="s">
        <v>20</v>
      </c>
      <c r="E20442" t="s">
        <v>39</v>
      </c>
      <c r="F20442">
        <v>0</v>
      </c>
      <c r="G20442">
        <v>0</v>
      </c>
      <c r="H20442">
        <v>3</v>
      </c>
      <c r="I20442" s="3">
        <v>1179.3</v>
      </c>
      <c r="J20442" s="3">
        <v>122.21</v>
      </c>
      <c r="L20442">
        <v>2315</v>
      </c>
      <c r="M20442" t="s">
        <v>44414</v>
      </c>
      <c r="N20442" t="s">
        <v>30</v>
      </c>
      <c r="O20442" t="s">
        <v>31</v>
      </c>
      <c r="P20442" t="str">
        <f t="shared" ref="P20442:P20448" si="253">"15210"</f>
        <v>15210</v>
      </c>
    </row>
    <row r="20443" spans="1:16" x14ac:dyDescent="0.25">
      <c r="A20443" t="str">
        <f>"1290095L00120    00"</f>
        <v>1290095L00120    00</v>
      </c>
      <c r="B20443" t="s">
        <v>44415</v>
      </c>
      <c r="C20443" t="s">
        <v>44416</v>
      </c>
      <c r="D20443" t="s">
        <v>20</v>
      </c>
      <c r="E20443" t="s">
        <v>39</v>
      </c>
      <c r="F20443">
        <v>0</v>
      </c>
      <c r="G20443">
        <v>0</v>
      </c>
      <c r="H20443">
        <v>5</v>
      </c>
      <c r="I20443" s="3">
        <v>4002.94</v>
      </c>
      <c r="J20443" s="3">
        <v>852.27</v>
      </c>
      <c r="K20443" t="s">
        <v>44417</v>
      </c>
      <c r="L20443">
        <v>2257</v>
      </c>
      <c r="M20443" t="s">
        <v>44414</v>
      </c>
      <c r="N20443" t="s">
        <v>30</v>
      </c>
      <c r="O20443" t="s">
        <v>31</v>
      </c>
      <c r="P20443" t="str">
        <f t="shared" si="253"/>
        <v>15210</v>
      </c>
    </row>
    <row r="20444" spans="1:16" x14ac:dyDescent="0.25">
      <c r="A20444" t="str">
        <f>"1290095L00122    00"</f>
        <v>1290095L00122    00</v>
      </c>
      <c r="B20444" t="s">
        <v>44418</v>
      </c>
      <c r="C20444" t="s">
        <v>44419</v>
      </c>
      <c r="E20444" t="s">
        <v>39</v>
      </c>
      <c r="F20444">
        <v>0</v>
      </c>
      <c r="G20444">
        <v>0</v>
      </c>
      <c r="H20444">
        <v>1</v>
      </c>
      <c r="I20444" s="3">
        <v>1071.19</v>
      </c>
      <c r="J20444" s="3">
        <v>0</v>
      </c>
      <c r="L20444">
        <v>2261</v>
      </c>
      <c r="M20444" t="s">
        <v>44414</v>
      </c>
      <c r="N20444" t="s">
        <v>30</v>
      </c>
      <c r="O20444" t="s">
        <v>31</v>
      </c>
      <c r="P20444" t="str">
        <f t="shared" si="253"/>
        <v>15210</v>
      </c>
    </row>
    <row r="20445" spans="1:16" x14ac:dyDescent="0.25">
      <c r="A20445" t="str">
        <f>"1290095L00124    00"</f>
        <v>1290095L00124    00</v>
      </c>
      <c r="B20445" t="s">
        <v>44420</v>
      </c>
      <c r="C20445" t="s">
        <v>44421</v>
      </c>
      <c r="D20445" t="s">
        <v>20</v>
      </c>
      <c r="E20445" t="s">
        <v>39</v>
      </c>
      <c r="F20445">
        <v>0</v>
      </c>
      <c r="G20445">
        <v>0</v>
      </c>
      <c r="H20445">
        <v>1</v>
      </c>
      <c r="I20445" s="3">
        <v>1109.31</v>
      </c>
      <c r="J20445" s="3">
        <v>0</v>
      </c>
      <c r="K20445" t="s">
        <v>44422</v>
      </c>
      <c r="L20445">
        <v>2265</v>
      </c>
      <c r="M20445" t="s">
        <v>44414</v>
      </c>
      <c r="N20445" t="s">
        <v>30</v>
      </c>
      <c r="O20445" t="s">
        <v>31</v>
      </c>
      <c r="P20445" t="str">
        <f t="shared" si="253"/>
        <v>15210</v>
      </c>
    </row>
    <row r="20446" spans="1:16" x14ac:dyDescent="0.25">
      <c r="A20446" t="str">
        <f>"1290095L00176    00"</f>
        <v>1290095L00176    00</v>
      </c>
      <c r="B20446" t="s">
        <v>44423</v>
      </c>
      <c r="C20446" t="s">
        <v>44424</v>
      </c>
      <c r="D20446" t="s">
        <v>20</v>
      </c>
      <c r="E20446" t="s">
        <v>39</v>
      </c>
      <c r="F20446">
        <v>0</v>
      </c>
      <c r="G20446">
        <v>0</v>
      </c>
      <c r="H20446">
        <v>3</v>
      </c>
      <c r="I20446" s="3">
        <v>2948.36</v>
      </c>
      <c r="J20446" s="3">
        <v>170.27</v>
      </c>
      <c r="L20446">
        <v>2316</v>
      </c>
      <c r="M20446" t="s">
        <v>26687</v>
      </c>
      <c r="N20446" t="s">
        <v>30</v>
      </c>
      <c r="O20446" t="s">
        <v>31</v>
      </c>
      <c r="P20446" t="str">
        <f t="shared" si="253"/>
        <v>15210</v>
      </c>
    </row>
    <row r="20447" spans="1:16" x14ac:dyDescent="0.25">
      <c r="A20447" t="str">
        <f>"1290095L00187    00"</f>
        <v>1290095L00187    00</v>
      </c>
      <c r="B20447" t="s">
        <v>44425</v>
      </c>
      <c r="C20447" t="s">
        <v>44426</v>
      </c>
      <c r="D20447" t="s">
        <v>20</v>
      </c>
      <c r="E20447" t="s">
        <v>39</v>
      </c>
      <c r="F20447">
        <v>0</v>
      </c>
      <c r="G20447">
        <v>0</v>
      </c>
      <c r="H20447">
        <v>3</v>
      </c>
      <c r="I20447" s="3">
        <v>806.28</v>
      </c>
      <c r="J20447" s="3">
        <v>53.75</v>
      </c>
      <c r="L20447">
        <v>2006</v>
      </c>
      <c r="M20447" t="s">
        <v>8048</v>
      </c>
      <c r="N20447" t="s">
        <v>30</v>
      </c>
      <c r="O20447" t="s">
        <v>31</v>
      </c>
      <c r="P20447" t="str">
        <f t="shared" si="253"/>
        <v>15210</v>
      </c>
    </row>
    <row r="20448" spans="1:16" x14ac:dyDescent="0.25">
      <c r="A20448" t="str">
        <f>"1290095L00192    00"</f>
        <v>1290095L00192    00</v>
      </c>
      <c r="B20448" t="s">
        <v>44427</v>
      </c>
      <c r="C20448" t="s">
        <v>44428</v>
      </c>
      <c r="D20448" t="s">
        <v>20</v>
      </c>
      <c r="E20448" t="s">
        <v>39</v>
      </c>
      <c r="F20448">
        <v>0</v>
      </c>
      <c r="G20448">
        <v>0</v>
      </c>
      <c r="H20448">
        <v>3</v>
      </c>
      <c r="I20448" s="3">
        <v>1866.37</v>
      </c>
      <c r="J20448" s="3">
        <v>6.68</v>
      </c>
      <c r="L20448">
        <v>2270</v>
      </c>
      <c r="M20448" t="s">
        <v>22153</v>
      </c>
      <c r="N20448" t="s">
        <v>30</v>
      </c>
      <c r="O20448" t="s">
        <v>31</v>
      </c>
      <c r="P20448" t="str">
        <f t="shared" si="253"/>
        <v>15210</v>
      </c>
    </row>
    <row r="20449" spans="1:16" x14ac:dyDescent="0.25">
      <c r="A20449" t="str">
        <f>"1290095L00232    00"</f>
        <v>1290095L00232    00</v>
      </c>
      <c r="B20449" t="s">
        <v>6507</v>
      </c>
      <c r="C20449" t="s">
        <v>44429</v>
      </c>
      <c r="D20449" t="s">
        <v>20</v>
      </c>
      <c r="E20449" t="s">
        <v>39</v>
      </c>
      <c r="F20449">
        <v>0</v>
      </c>
      <c r="G20449">
        <v>0</v>
      </c>
      <c r="H20449">
        <v>1</v>
      </c>
      <c r="I20449" s="3">
        <v>1787.83</v>
      </c>
      <c r="J20449" s="3">
        <v>0</v>
      </c>
      <c r="M20449" t="s">
        <v>44430</v>
      </c>
      <c r="N20449" t="s">
        <v>30</v>
      </c>
      <c r="O20449" t="s">
        <v>31</v>
      </c>
      <c r="P20449" t="str">
        <f>"15232"</f>
        <v>15232</v>
      </c>
    </row>
    <row r="20450" spans="1:16" x14ac:dyDescent="0.25">
      <c r="A20450" t="str">
        <f>"1290095L00285    00"</f>
        <v>1290095L00285    00</v>
      </c>
      <c r="B20450" t="s">
        <v>44431</v>
      </c>
      <c r="C20450" t="s">
        <v>44432</v>
      </c>
      <c r="D20450" t="s">
        <v>20</v>
      </c>
      <c r="E20450" t="s">
        <v>39</v>
      </c>
      <c r="F20450">
        <v>0</v>
      </c>
      <c r="G20450">
        <v>0</v>
      </c>
      <c r="H20450">
        <v>5</v>
      </c>
      <c r="I20450" s="3">
        <v>8007.1</v>
      </c>
      <c r="J20450" s="3">
        <v>1383.33</v>
      </c>
      <c r="K20450" t="s">
        <v>44433</v>
      </c>
      <c r="L20450">
        <v>424</v>
      </c>
      <c r="M20450" t="s">
        <v>4282</v>
      </c>
      <c r="N20450" t="s">
        <v>30</v>
      </c>
      <c r="O20450" t="s">
        <v>31</v>
      </c>
      <c r="P20450" t="str">
        <f>"15210"</f>
        <v>15210</v>
      </c>
    </row>
    <row r="20451" spans="1:16" x14ac:dyDescent="0.25">
      <c r="A20451" t="str">
        <f>"1290095L00294    00"</f>
        <v>1290095L00294    00</v>
      </c>
      <c r="B20451" t="s">
        <v>44434</v>
      </c>
      <c r="C20451" t="s">
        <v>44435</v>
      </c>
      <c r="D20451" t="s">
        <v>20</v>
      </c>
      <c r="E20451" t="s">
        <v>39</v>
      </c>
      <c r="F20451">
        <v>0</v>
      </c>
      <c r="G20451">
        <v>0</v>
      </c>
      <c r="H20451">
        <v>5</v>
      </c>
      <c r="I20451" s="3">
        <v>5526.38</v>
      </c>
      <c r="J20451" s="3">
        <v>894.26</v>
      </c>
      <c r="L20451">
        <v>406</v>
      </c>
      <c r="M20451" t="s">
        <v>44436</v>
      </c>
      <c r="N20451" t="s">
        <v>30</v>
      </c>
      <c r="O20451" t="s">
        <v>31</v>
      </c>
      <c r="P20451" t="str">
        <f>"15210"</f>
        <v>15210</v>
      </c>
    </row>
    <row r="20452" spans="1:16" x14ac:dyDescent="0.25">
      <c r="A20452" t="str">
        <f>"1290095L00297    00"</f>
        <v>1290095L00297    00</v>
      </c>
      <c r="B20452" t="s">
        <v>2909</v>
      </c>
      <c r="C20452" t="s">
        <v>44437</v>
      </c>
      <c r="D20452" t="s">
        <v>20</v>
      </c>
      <c r="E20452" t="s">
        <v>39</v>
      </c>
      <c r="F20452">
        <v>0</v>
      </c>
      <c r="G20452">
        <v>0</v>
      </c>
      <c r="H20452">
        <v>1</v>
      </c>
      <c r="I20452" s="3">
        <v>543.26</v>
      </c>
      <c r="J20452" s="3">
        <v>0</v>
      </c>
      <c r="K20452" t="s">
        <v>2910</v>
      </c>
      <c r="L20452">
        <v>10</v>
      </c>
      <c r="M20452" t="s">
        <v>2911</v>
      </c>
      <c r="N20452" t="s">
        <v>30</v>
      </c>
      <c r="O20452" t="s">
        <v>31</v>
      </c>
      <c r="P20452" t="str">
        <f>"15203"</f>
        <v>15203</v>
      </c>
    </row>
    <row r="20453" spans="1:16" x14ac:dyDescent="0.25">
      <c r="A20453" t="str">
        <f>"1290095L00306    00"</f>
        <v>1290095L00306    00</v>
      </c>
      <c r="B20453" t="s">
        <v>44438</v>
      </c>
      <c r="C20453" t="s">
        <v>44439</v>
      </c>
      <c r="D20453" t="s">
        <v>20</v>
      </c>
      <c r="E20453" t="s">
        <v>39</v>
      </c>
      <c r="F20453">
        <v>0</v>
      </c>
      <c r="G20453">
        <v>0</v>
      </c>
      <c r="H20453">
        <v>1</v>
      </c>
      <c r="I20453" s="3">
        <v>574.29999999999995</v>
      </c>
      <c r="J20453" s="3">
        <v>0</v>
      </c>
      <c r="M20453" t="s">
        <v>25695</v>
      </c>
      <c r="N20453" t="s">
        <v>30</v>
      </c>
      <c r="O20453" t="s">
        <v>31</v>
      </c>
      <c r="P20453" t="str">
        <f>"15210"</f>
        <v>15210</v>
      </c>
    </row>
    <row r="20454" spans="1:16" x14ac:dyDescent="0.25">
      <c r="A20454" t="str">
        <f>"1290095L00309    00"</f>
        <v>1290095L00309    00</v>
      </c>
      <c r="B20454" t="s">
        <v>22842</v>
      </c>
      <c r="C20454" t="s">
        <v>44440</v>
      </c>
      <c r="E20454" t="s">
        <v>39</v>
      </c>
      <c r="F20454">
        <v>0</v>
      </c>
      <c r="G20454">
        <v>0</v>
      </c>
      <c r="H20454">
        <v>10</v>
      </c>
      <c r="I20454" s="3">
        <v>6861.69</v>
      </c>
      <c r="J20454" s="3">
        <v>7973.76</v>
      </c>
      <c r="K20454" t="s">
        <v>22844</v>
      </c>
      <c r="L20454">
        <v>4984</v>
      </c>
      <c r="M20454" t="s">
        <v>22845</v>
      </c>
      <c r="N20454" t="s">
        <v>30</v>
      </c>
      <c r="O20454" t="s">
        <v>31</v>
      </c>
      <c r="P20454" t="str">
        <f>"15236"</f>
        <v>15236</v>
      </c>
    </row>
    <row r="20455" spans="1:16" x14ac:dyDescent="0.25">
      <c r="A20455" t="str">
        <f>"1290095M00003    00"</f>
        <v>1290095M00003    00</v>
      </c>
      <c r="B20455" t="s">
        <v>27016</v>
      </c>
      <c r="C20455" t="s">
        <v>44441</v>
      </c>
      <c r="D20455" t="s">
        <v>20</v>
      </c>
      <c r="E20455" t="s">
        <v>39</v>
      </c>
      <c r="F20455">
        <v>0</v>
      </c>
      <c r="G20455">
        <v>0</v>
      </c>
      <c r="H20455">
        <v>3</v>
      </c>
      <c r="I20455" s="3">
        <v>2916.18</v>
      </c>
      <c r="J20455" s="3">
        <v>194.41</v>
      </c>
      <c r="L20455">
        <v>660</v>
      </c>
      <c r="M20455" t="s">
        <v>27018</v>
      </c>
      <c r="N20455" t="s">
        <v>30</v>
      </c>
      <c r="O20455" t="s">
        <v>31</v>
      </c>
      <c r="P20455" t="str">
        <f>"15227"</f>
        <v>15227</v>
      </c>
    </row>
    <row r="20456" spans="1:16" x14ac:dyDescent="0.25">
      <c r="A20456" t="str">
        <f>"1290095M00015    00"</f>
        <v>1290095M00015    00</v>
      </c>
      <c r="B20456" t="s">
        <v>44442</v>
      </c>
      <c r="C20456" t="s">
        <v>44443</v>
      </c>
      <c r="E20456" t="s">
        <v>39</v>
      </c>
      <c r="F20456">
        <v>0</v>
      </c>
      <c r="G20456">
        <v>0</v>
      </c>
      <c r="H20456">
        <v>2</v>
      </c>
      <c r="I20456" s="3">
        <v>3144.92</v>
      </c>
      <c r="J20456" s="3">
        <v>314.48</v>
      </c>
      <c r="L20456">
        <v>134</v>
      </c>
      <c r="M20456" t="s">
        <v>44444</v>
      </c>
      <c r="N20456" t="s">
        <v>30</v>
      </c>
      <c r="O20456" t="s">
        <v>31</v>
      </c>
      <c r="P20456" t="str">
        <f>"15206"</f>
        <v>15206</v>
      </c>
    </row>
    <row r="20457" spans="1:16" x14ac:dyDescent="0.25">
      <c r="A20457" t="str">
        <f>"1290095M00032    00"</f>
        <v>1290095M00032    00</v>
      </c>
      <c r="B20457" t="s">
        <v>44445</v>
      </c>
      <c r="C20457" t="s">
        <v>44446</v>
      </c>
      <c r="D20457" t="s">
        <v>20</v>
      </c>
      <c r="E20457" t="s">
        <v>39</v>
      </c>
      <c r="F20457">
        <v>0</v>
      </c>
      <c r="G20457">
        <v>0</v>
      </c>
      <c r="H20457">
        <v>17</v>
      </c>
      <c r="I20457" s="3">
        <v>23074.98</v>
      </c>
      <c r="J20457" s="3">
        <v>17395.23</v>
      </c>
      <c r="L20457">
        <v>4109</v>
      </c>
      <c r="M20457" t="s">
        <v>44447</v>
      </c>
      <c r="N20457" t="s">
        <v>30</v>
      </c>
      <c r="O20457" t="s">
        <v>31</v>
      </c>
      <c r="P20457" t="str">
        <f>"15234"</f>
        <v>15234</v>
      </c>
    </row>
    <row r="20458" spans="1:16" x14ac:dyDescent="0.25">
      <c r="A20458" t="str">
        <f>"1290095M00034    00"</f>
        <v>1290095M00034    00</v>
      </c>
      <c r="B20458" t="s">
        <v>44448</v>
      </c>
      <c r="C20458" t="s">
        <v>44449</v>
      </c>
      <c r="D20458" t="s">
        <v>20</v>
      </c>
      <c r="E20458" t="s">
        <v>39</v>
      </c>
      <c r="F20458">
        <v>0</v>
      </c>
      <c r="G20458">
        <v>0</v>
      </c>
      <c r="H20458">
        <v>2</v>
      </c>
      <c r="I20458" s="3">
        <v>2228.39</v>
      </c>
      <c r="J20458" s="3">
        <v>126.24</v>
      </c>
      <c r="K20458" t="s">
        <v>44450</v>
      </c>
      <c r="L20458">
        <v>15</v>
      </c>
      <c r="M20458" t="s">
        <v>24010</v>
      </c>
      <c r="N20458" t="s">
        <v>30</v>
      </c>
      <c r="O20458" t="s">
        <v>31</v>
      </c>
      <c r="P20458" t="str">
        <f>"15210"</f>
        <v>15210</v>
      </c>
    </row>
    <row r="20459" spans="1:16" x14ac:dyDescent="0.25">
      <c r="A20459" t="str">
        <f>"1290095M00038    00"</f>
        <v>1290095M00038    00</v>
      </c>
      <c r="B20459" t="s">
        <v>25417</v>
      </c>
      <c r="C20459" t="s">
        <v>44451</v>
      </c>
      <c r="D20459" t="s">
        <v>20</v>
      </c>
      <c r="E20459" t="s">
        <v>39</v>
      </c>
      <c r="F20459">
        <v>0</v>
      </c>
      <c r="G20459">
        <v>0</v>
      </c>
      <c r="H20459">
        <v>2</v>
      </c>
      <c r="I20459" s="3">
        <v>1227.52</v>
      </c>
      <c r="J20459" s="3">
        <v>0</v>
      </c>
      <c r="L20459">
        <v>415</v>
      </c>
      <c r="M20459" t="s">
        <v>22783</v>
      </c>
      <c r="N20459" t="s">
        <v>30</v>
      </c>
      <c r="O20459" t="s">
        <v>31</v>
      </c>
      <c r="P20459" t="str">
        <f>"15211"</f>
        <v>15211</v>
      </c>
    </row>
    <row r="20460" spans="1:16" x14ac:dyDescent="0.25">
      <c r="A20460" t="str">
        <f>"1290095M00040    00"</f>
        <v>1290095M00040    00</v>
      </c>
      <c r="B20460" t="s">
        <v>44452</v>
      </c>
      <c r="C20460" t="s">
        <v>44453</v>
      </c>
      <c r="D20460" t="s">
        <v>20</v>
      </c>
      <c r="E20460" t="s">
        <v>21</v>
      </c>
      <c r="F20460">
        <v>0</v>
      </c>
      <c r="G20460">
        <v>0</v>
      </c>
      <c r="H20460">
        <v>1</v>
      </c>
      <c r="I20460" s="3">
        <v>1520.98</v>
      </c>
      <c r="J20460" s="3">
        <v>0</v>
      </c>
      <c r="L20460">
        <v>415</v>
      </c>
      <c r="M20460" t="s">
        <v>22783</v>
      </c>
      <c r="N20460" t="s">
        <v>30</v>
      </c>
      <c r="O20460" t="s">
        <v>31</v>
      </c>
      <c r="P20460" t="str">
        <f>"15211"</f>
        <v>15211</v>
      </c>
    </row>
    <row r="20461" spans="1:16" x14ac:dyDescent="0.25">
      <c r="A20461" t="str">
        <f>"1290095M00082    00"</f>
        <v>1290095M00082    00</v>
      </c>
      <c r="B20461" t="s">
        <v>44454</v>
      </c>
      <c r="C20461" t="s">
        <v>44455</v>
      </c>
      <c r="D20461" t="s">
        <v>20</v>
      </c>
      <c r="E20461" t="s">
        <v>39</v>
      </c>
      <c r="F20461">
        <v>0</v>
      </c>
      <c r="G20461">
        <v>0</v>
      </c>
      <c r="H20461">
        <v>1</v>
      </c>
      <c r="I20461" s="3">
        <v>360.34</v>
      </c>
      <c r="J20461" s="3">
        <v>0</v>
      </c>
      <c r="L20461">
        <v>41</v>
      </c>
      <c r="M20461" t="s">
        <v>23757</v>
      </c>
      <c r="N20461" t="s">
        <v>30</v>
      </c>
      <c r="O20461" t="s">
        <v>31</v>
      </c>
      <c r="P20461" t="str">
        <f>"15210"</f>
        <v>15210</v>
      </c>
    </row>
    <row r="20462" spans="1:16" x14ac:dyDescent="0.25">
      <c r="A20462" t="str">
        <f>"1290095M00083    00"</f>
        <v>1290095M00083    00</v>
      </c>
      <c r="B20462" t="s">
        <v>44456</v>
      </c>
      <c r="C20462" t="s">
        <v>44457</v>
      </c>
      <c r="D20462" t="s">
        <v>20</v>
      </c>
      <c r="E20462" t="s">
        <v>39</v>
      </c>
      <c r="F20462">
        <v>0</v>
      </c>
      <c r="G20462">
        <v>0</v>
      </c>
      <c r="H20462">
        <v>3</v>
      </c>
      <c r="I20462" s="3">
        <v>965.06</v>
      </c>
      <c r="J20462" s="3">
        <v>76.16</v>
      </c>
      <c r="L20462">
        <v>39</v>
      </c>
      <c r="M20462" t="s">
        <v>23757</v>
      </c>
      <c r="N20462" t="s">
        <v>30</v>
      </c>
      <c r="O20462" t="s">
        <v>31</v>
      </c>
      <c r="P20462" t="str">
        <f>"15210"</f>
        <v>15210</v>
      </c>
    </row>
    <row r="20463" spans="1:16" x14ac:dyDescent="0.25">
      <c r="A20463" t="str">
        <f>"1290095M00084    00"</f>
        <v>1290095M00084    00</v>
      </c>
      <c r="B20463" t="s">
        <v>44458</v>
      </c>
      <c r="C20463" t="s">
        <v>23772</v>
      </c>
      <c r="D20463" t="s">
        <v>20</v>
      </c>
      <c r="E20463" t="s">
        <v>39</v>
      </c>
      <c r="F20463">
        <v>0</v>
      </c>
      <c r="G20463">
        <v>0</v>
      </c>
      <c r="H20463">
        <v>9</v>
      </c>
      <c r="I20463" s="3">
        <v>2301.85</v>
      </c>
      <c r="J20463" s="3">
        <v>871.64</v>
      </c>
      <c r="L20463">
        <v>39</v>
      </c>
      <c r="M20463" t="s">
        <v>23757</v>
      </c>
      <c r="N20463" t="s">
        <v>30</v>
      </c>
      <c r="O20463" t="s">
        <v>31</v>
      </c>
      <c r="P20463" t="str">
        <f>"15210"</f>
        <v>15210</v>
      </c>
    </row>
    <row r="20464" spans="1:16" x14ac:dyDescent="0.25">
      <c r="A20464" t="str">
        <f>"1290095M00088    00"</f>
        <v>1290095M00088    00</v>
      </c>
      <c r="B20464" t="s">
        <v>44459</v>
      </c>
      <c r="C20464" t="s">
        <v>44460</v>
      </c>
      <c r="E20464" t="s">
        <v>39</v>
      </c>
      <c r="F20464">
        <v>0</v>
      </c>
      <c r="G20464">
        <v>0</v>
      </c>
      <c r="H20464">
        <v>1</v>
      </c>
      <c r="I20464" s="3">
        <v>392.93</v>
      </c>
      <c r="J20464" s="3">
        <v>0</v>
      </c>
      <c r="K20464" t="s">
        <v>44461</v>
      </c>
      <c r="L20464">
        <v>27</v>
      </c>
      <c r="M20464" t="s">
        <v>23757</v>
      </c>
      <c r="N20464" t="s">
        <v>30</v>
      </c>
      <c r="O20464" t="s">
        <v>31</v>
      </c>
      <c r="P20464" t="str">
        <f>"15210"</f>
        <v>15210</v>
      </c>
    </row>
    <row r="20465" spans="1:16" x14ac:dyDescent="0.25">
      <c r="A20465" t="str">
        <f>"1290095M00090    00"</f>
        <v>1290095M00090    00</v>
      </c>
      <c r="B20465" t="s">
        <v>44462</v>
      </c>
      <c r="C20465" t="s">
        <v>44463</v>
      </c>
      <c r="D20465" t="s">
        <v>20</v>
      </c>
      <c r="E20465" t="s">
        <v>39</v>
      </c>
      <c r="F20465">
        <v>0</v>
      </c>
      <c r="G20465">
        <v>0</v>
      </c>
      <c r="H20465">
        <v>3</v>
      </c>
      <c r="I20465" s="3">
        <v>2607.39</v>
      </c>
      <c r="J20465" s="3">
        <v>173.82</v>
      </c>
      <c r="L20465">
        <v>1935</v>
      </c>
      <c r="M20465" t="s">
        <v>22758</v>
      </c>
      <c r="N20465" t="s">
        <v>30</v>
      </c>
      <c r="O20465" t="s">
        <v>31</v>
      </c>
      <c r="P20465" t="str">
        <f>"15210"</f>
        <v>15210</v>
      </c>
    </row>
    <row r="20466" spans="1:16" x14ac:dyDescent="0.25">
      <c r="A20466" t="str">
        <f>"1290095M00200    00"</f>
        <v>1290095M00200    00</v>
      </c>
      <c r="B20466" t="s">
        <v>39128</v>
      </c>
      <c r="C20466" t="s">
        <v>44464</v>
      </c>
      <c r="E20466" t="s">
        <v>21</v>
      </c>
      <c r="F20466">
        <v>0</v>
      </c>
      <c r="G20466">
        <v>0</v>
      </c>
      <c r="H20466">
        <v>1</v>
      </c>
      <c r="I20466" s="3">
        <v>2621.2800000000002</v>
      </c>
      <c r="J20466" s="3">
        <v>0</v>
      </c>
      <c r="K20466" t="s">
        <v>44465</v>
      </c>
      <c r="M20466" t="s">
        <v>39130</v>
      </c>
      <c r="N20466" t="s">
        <v>1067</v>
      </c>
      <c r="O20466" t="s">
        <v>31</v>
      </c>
      <c r="P20466" t="str">
        <f>"15143"</f>
        <v>15143</v>
      </c>
    </row>
    <row r="20467" spans="1:16" x14ac:dyDescent="0.25">
      <c r="A20467" t="str">
        <f>"1290095M00244    00"</f>
        <v>1290095M00244    00</v>
      </c>
      <c r="B20467" t="s">
        <v>44466</v>
      </c>
      <c r="C20467" t="s">
        <v>44467</v>
      </c>
      <c r="E20467" t="s">
        <v>39</v>
      </c>
      <c r="F20467">
        <v>0</v>
      </c>
      <c r="G20467">
        <v>0</v>
      </c>
      <c r="H20467">
        <v>5</v>
      </c>
      <c r="I20467" s="3">
        <v>2015.97</v>
      </c>
      <c r="J20467" s="3">
        <v>2202.92</v>
      </c>
      <c r="L20467">
        <v>118</v>
      </c>
      <c r="M20467" t="s">
        <v>44468</v>
      </c>
      <c r="N20467" t="s">
        <v>30</v>
      </c>
      <c r="O20467" t="s">
        <v>31</v>
      </c>
      <c r="P20467" t="str">
        <f>"15210"</f>
        <v>15210</v>
      </c>
    </row>
    <row r="20468" spans="1:16" x14ac:dyDescent="0.25">
      <c r="A20468" t="str">
        <f>"1290095M00294    00"</f>
        <v>1290095M00294    00</v>
      </c>
      <c r="B20468" t="s">
        <v>44469</v>
      </c>
      <c r="C20468" t="s">
        <v>44470</v>
      </c>
      <c r="E20468" t="s">
        <v>39</v>
      </c>
      <c r="F20468">
        <v>0</v>
      </c>
      <c r="G20468">
        <v>0</v>
      </c>
      <c r="H20468">
        <v>1</v>
      </c>
      <c r="I20468" s="3">
        <v>750</v>
      </c>
      <c r="J20468" s="3">
        <v>599.98</v>
      </c>
      <c r="K20468" t="s">
        <v>484</v>
      </c>
      <c r="L20468">
        <v>3001</v>
      </c>
      <c r="M20468" t="s">
        <v>330</v>
      </c>
      <c r="N20468" t="s">
        <v>331</v>
      </c>
      <c r="O20468" t="s">
        <v>108</v>
      </c>
      <c r="P20468" t="str">
        <f>"75063"</f>
        <v>75063</v>
      </c>
    </row>
    <row r="20469" spans="1:16" x14ac:dyDescent="0.25">
      <c r="A20469" t="str">
        <f>"1290095M00299    00"</f>
        <v>1290095M00299    00</v>
      </c>
      <c r="B20469" t="s">
        <v>44471</v>
      </c>
      <c r="C20469" t="s">
        <v>44472</v>
      </c>
      <c r="D20469" t="s">
        <v>20</v>
      </c>
      <c r="E20469" t="s">
        <v>39</v>
      </c>
      <c r="F20469">
        <v>0</v>
      </c>
      <c r="G20469">
        <v>0</v>
      </c>
      <c r="H20469">
        <v>2</v>
      </c>
      <c r="I20469" s="3">
        <v>2865.77</v>
      </c>
      <c r="J20469" s="3">
        <v>0</v>
      </c>
      <c r="K20469" t="s">
        <v>44473</v>
      </c>
      <c r="L20469">
        <v>3225</v>
      </c>
      <c r="M20469" t="s">
        <v>44474</v>
      </c>
      <c r="N20469" t="s">
        <v>1320</v>
      </c>
      <c r="O20469" t="s">
        <v>1321</v>
      </c>
      <c r="P20469" t="str">
        <f>"89121"</f>
        <v>89121</v>
      </c>
    </row>
    <row r="20470" spans="1:16" x14ac:dyDescent="0.25">
      <c r="A20470" t="str">
        <f>"1290095R00038    00"</f>
        <v>1290095R00038    00</v>
      </c>
      <c r="B20470" t="s">
        <v>44475</v>
      </c>
      <c r="C20470" t="s">
        <v>44476</v>
      </c>
      <c r="E20470" t="s">
        <v>39</v>
      </c>
      <c r="F20470">
        <v>0</v>
      </c>
      <c r="G20470">
        <v>0</v>
      </c>
      <c r="H20470">
        <v>1</v>
      </c>
      <c r="I20470" s="3">
        <v>458.12</v>
      </c>
      <c r="J20470" s="3">
        <v>0</v>
      </c>
      <c r="L20470">
        <v>2918</v>
      </c>
      <c r="M20470" t="s">
        <v>1112</v>
      </c>
      <c r="N20470" t="s">
        <v>30</v>
      </c>
      <c r="O20470" t="s">
        <v>31</v>
      </c>
      <c r="P20470" t="str">
        <f>"15227"</f>
        <v>15227</v>
      </c>
    </row>
    <row r="20471" spans="1:16" x14ac:dyDescent="0.25">
      <c r="A20471" t="str">
        <f>"1290095R00224    00"</f>
        <v>1290095R00224    00</v>
      </c>
      <c r="B20471" t="s">
        <v>44477</v>
      </c>
      <c r="C20471" t="s">
        <v>44478</v>
      </c>
      <c r="D20471" t="s">
        <v>20</v>
      </c>
      <c r="E20471" t="s">
        <v>39</v>
      </c>
      <c r="F20471">
        <v>0</v>
      </c>
      <c r="G20471">
        <v>0</v>
      </c>
      <c r="H20471">
        <v>3</v>
      </c>
      <c r="I20471" s="3">
        <v>2767.11</v>
      </c>
      <c r="J20471" s="3">
        <v>145.96</v>
      </c>
      <c r="L20471">
        <v>345</v>
      </c>
      <c r="M20471" t="s">
        <v>44479</v>
      </c>
      <c r="N20471" t="s">
        <v>30</v>
      </c>
      <c r="O20471" t="s">
        <v>31</v>
      </c>
      <c r="P20471" t="str">
        <f>"15210"</f>
        <v>15210</v>
      </c>
    </row>
    <row r="20472" spans="1:16" x14ac:dyDescent="0.25">
      <c r="A20472" t="str">
        <f>"1290095R00234    00"</f>
        <v>1290095R00234    00</v>
      </c>
      <c r="B20472" t="s">
        <v>44480</v>
      </c>
      <c r="C20472" t="s">
        <v>44481</v>
      </c>
      <c r="E20472" t="s">
        <v>39</v>
      </c>
      <c r="F20472">
        <v>0</v>
      </c>
      <c r="G20472">
        <v>0</v>
      </c>
      <c r="H20472">
        <v>1</v>
      </c>
      <c r="I20472" s="3">
        <v>88.94</v>
      </c>
      <c r="J20472" s="3">
        <v>43.73</v>
      </c>
      <c r="L20472">
        <v>329</v>
      </c>
      <c r="M20472" t="s">
        <v>3123</v>
      </c>
      <c r="N20472" t="s">
        <v>30</v>
      </c>
      <c r="O20472" t="s">
        <v>31</v>
      </c>
      <c r="P20472" t="str">
        <f>"15210"</f>
        <v>15210</v>
      </c>
    </row>
    <row r="20473" spans="1:16" x14ac:dyDescent="0.25">
      <c r="A20473" t="str">
        <f>"1290095R00303    00"</f>
        <v>1290095R00303    00</v>
      </c>
      <c r="B20473" t="s">
        <v>44482</v>
      </c>
      <c r="C20473" t="s">
        <v>44483</v>
      </c>
      <c r="D20473" t="s">
        <v>20</v>
      </c>
      <c r="E20473" t="s">
        <v>39</v>
      </c>
      <c r="F20473">
        <v>0</v>
      </c>
      <c r="G20473">
        <v>0</v>
      </c>
      <c r="H20473">
        <v>14</v>
      </c>
      <c r="I20473" s="3">
        <v>6846.32</v>
      </c>
      <c r="J20473" s="3">
        <v>4449.58</v>
      </c>
      <c r="L20473">
        <v>412</v>
      </c>
      <c r="M20473" t="s">
        <v>1938</v>
      </c>
      <c r="N20473" t="s">
        <v>30</v>
      </c>
      <c r="O20473" t="s">
        <v>31</v>
      </c>
      <c r="P20473" t="str">
        <f>"15227"</f>
        <v>15227</v>
      </c>
    </row>
    <row r="20474" spans="1:16" x14ac:dyDescent="0.25">
      <c r="A20474" t="str">
        <f>"1290095R00370    00"</f>
        <v>1290095R00370    00</v>
      </c>
      <c r="B20474" t="s">
        <v>44484</v>
      </c>
      <c r="C20474" t="s">
        <v>44485</v>
      </c>
      <c r="E20474" t="s">
        <v>39</v>
      </c>
      <c r="F20474">
        <v>0</v>
      </c>
      <c r="G20474">
        <v>0</v>
      </c>
      <c r="H20474">
        <v>4</v>
      </c>
      <c r="I20474" s="3">
        <v>2777.06</v>
      </c>
      <c r="J20474" s="3">
        <v>246.03</v>
      </c>
      <c r="L20474">
        <v>2362</v>
      </c>
      <c r="M20474" t="s">
        <v>44486</v>
      </c>
      <c r="N20474" t="s">
        <v>30</v>
      </c>
      <c r="O20474" t="s">
        <v>31</v>
      </c>
      <c r="P20474" t="str">
        <f>"15210"</f>
        <v>15210</v>
      </c>
    </row>
    <row r="20475" spans="1:16" x14ac:dyDescent="0.25">
      <c r="A20475" t="str">
        <f>"1290095R00382    00"</f>
        <v>1290095R00382    00</v>
      </c>
      <c r="B20475" t="s">
        <v>44487</v>
      </c>
      <c r="C20475" t="s">
        <v>44488</v>
      </c>
      <c r="D20475" t="s">
        <v>20</v>
      </c>
      <c r="E20475" t="s">
        <v>39</v>
      </c>
      <c r="F20475">
        <v>0</v>
      </c>
      <c r="G20475">
        <v>0</v>
      </c>
      <c r="H20475">
        <v>3</v>
      </c>
      <c r="I20475" s="3">
        <v>1769.94</v>
      </c>
      <c r="J20475" s="3">
        <v>1150.05</v>
      </c>
      <c r="L20475">
        <v>2335</v>
      </c>
      <c r="M20475" t="s">
        <v>44414</v>
      </c>
      <c r="N20475" t="s">
        <v>30</v>
      </c>
      <c r="O20475" t="s">
        <v>31</v>
      </c>
      <c r="P20475" t="str">
        <f>"15210"</f>
        <v>15210</v>
      </c>
    </row>
    <row r="20476" spans="1:16" x14ac:dyDescent="0.25">
      <c r="A20476" t="str">
        <f>"1290095S00003    00"</f>
        <v>1290095S00003    00</v>
      </c>
      <c r="B20476" t="s">
        <v>44489</v>
      </c>
      <c r="C20476" t="s">
        <v>44490</v>
      </c>
      <c r="D20476" t="s">
        <v>20</v>
      </c>
      <c r="E20476" t="s">
        <v>21</v>
      </c>
      <c r="F20476">
        <v>0</v>
      </c>
      <c r="G20476">
        <v>0</v>
      </c>
      <c r="H20476">
        <v>2</v>
      </c>
      <c r="I20476" s="3">
        <v>3488</v>
      </c>
      <c r="J20476" s="3">
        <v>0</v>
      </c>
      <c r="L20476">
        <v>2400</v>
      </c>
      <c r="M20476" t="s">
        <v>8048</v>
      </c>
      <c r="N20476" t="s">
        <v>30</v>
      </c>
      <c r="O20476" t="s">
        <v>31</v>
      </c>
      <c r="P20476" t="str">
        <f>"15210"</f>
        <v>15210</v>
      </c>
    </row>
    <row r="20477" spans="1:16" x14ac:dyDescent="0.25">
      <c r="A20477" t="str">
        <f>"1290095S00013    00"</f>
        <v>1290095S00013    00</v>
      </c>
      <c r="B20477" t="s">
        <v>44491</v>
      </c>
      <c r="C20477" t="s">
        <v>44492</v>
      </c>
      <c r="D20477" t="s">
        <v>20</v>
      </c>
      <c r="E20477" t="s">
        <v>21</v>
      </c>
      <c r="F20477">
        <v>0</v>
      </c>
      <c r="G20477">
        <v>0</v>
      </c>
      <c r="H20477">
        <v>2</v>
      </c>
      <c r="I20477" s="3">
        <v>1463.8</v>
      </c>
      <c r="J20477" s="3">
        <v>0</v>
      </c>
      <c r="L20477">
        <v>2400</v>
      </c>
      <c r="M20477" t="s">
        <v>8048</v>
      </c>
      <c r="N20477" t="s">
        <v>30</v>
      </c>
      <c r="O20477" t="s">
        <v>31</v>
      </c>
      <c r="P20477" t="str">
        <f>"15210"</f>
        <v>15210</v>
      </c>
    </row>
    <row r="20478" spans="1:16" x14ac:dyDescent="0.25">
      <c r="A20478" t="str">
        <f>"1290095S00152    00"</f>
        <v>1290095S00152    00</v>
      </c>
      <c r="B20478" t="s">
        <v>44493</v>
      </c>
      <c r="C20478" t="s">
        <v>44494</v>
      </c>
      <c r="D20478" t="s">
        <v>20</v>
      </c>
      <c r="E20478" t="s">
        <v>39</v>
      </c>
      <c r="F20478">
        <v>0</v>
      </c>
      <c r="G20478">
        <v>0</v>
      </c>
      <c r="H20478">
        <v>2</v>
      </c>
      <c r="I20478" s="3">
        <v>1263.9000000000001</v>
      </c>
      <c r="J20478" s="3">
        <v>7.5</v>
      </c>
      <c r="L20478">
        <v>2335</v>
      </c>
      <c r="M20478" t="s">
        <v>44392</v>
      </c>
      <c r="N20478" t="s">
        <v>30</v>
      </c>
      <c r="O20478" t="s">
        <v>31</v>
      </c>
      <c r="P20478" t="str">
        <f>"15210"</f>
        <v>15210</v>
      </c>
    </row>
    <row r="20479" spans="1:16" x14ac:dyDescent="0.25">
      <c r="A20479" t="str">
        <f>"1290095S00166    00"</f>
        <v>1290095S00166    00</v>
      </c>
      <c r="B20479" t="s">
        <v>44495</v>
      </c>
      <c r="C20479" t="s">
        <v>44496</v>
      </c>
      <c r="E20479" t="s">
        <v>39</v>
      </c>
      <c r="F20479">
        <v>0</v>
      </c>
      <c r="G20479">
        <v>0</v>
      </c>
      <c r="H20479">
        <v>1</v>
      </c>
      <c r="I20479" s="3">
        <v>1339.14</v>
      </c>
      <c r="J20479" s="3">
        <v>301.29000000000002</v>
      </c>
      <c r="K20479" t="s">
        <v>44497</v>
      </c>
      <c r="L20479">
        <v>10000</v>
      </c>
      <c r="M20479" t="s">
        <v>44498</v>
      </c>
      <c r="N20479" t="s">
        <v>8632</v>
      </c>
      <c r="O20479" t="s">
        <v>8633</v>
      </c>
      <c r="P20479" t="str">
        <f>"66210"</f>
        <v>66210</v>
      </c>
    </row>
    <row r="20480" spans="1:16" x14ac:dyDescent="0.25">
      <c r="A20480" t="str">
        <f>"1290095S00293    00"</f>
        <v>1290095S00293    00</v>
      </c>
      <c r="B20480" t="s">
        <v>44499</v>
      </c>
      <c r="C20480" t="s">
        <v>44500</v>
      </c>
      <c r="D20480" t="s">
        <v>20</v>
      </c>
      <c r="E20480" t="s">
        <v>39</v>
      </c>
      <c r="F20480">
        <v>0</v>
      </c>
      <c r="G20480">
        <v>0</v>
      </c>
      <c r="H20480">
        <v>3</v>
      </c>
      <c r="I20480" s="3">
        <v>5922.59</v>
      </c>
      <c r="J20480" s="3">
        <v>481.06</v>
      </c>
      <c r="L20480">
        <v>250</v>
      </c>
      <c r="M20480" t="s">
        <v>1938</v>
      </c>
      <c r="N20480" t="s">
        <v>30</v>
      </c>
      <c r="O20480" t="s">
        <v>31</v>
      </c>
      <c r="P20480" t="str">
        <f>"15227"</f>
        <v>15227</v>
      </c>
    </row>
    <row r="20481" spans="1:16" x14ac:dyDescent="0.25">
      <c r="A20481" t="str">
        <f>"1290137A00023    00"</f>
        <v>1290137A00023    00</v>
      </c>
      <c r="B20481" t="s">
        <v>44501</v>
      </c>
      <c r="C20481" t="s">
        <v>44502</v>
      </c>
      <c r="E20481" t="s">
        <v>39</v>
      </c>
      <c r="F20481">
        <v>0</v>
      </c>
      <c r="G20481">
        <v>0</v>
      </c>
      <c r="H20481">
        <v>2</v>
      </c>
      <c r="I20481" s="3">
        <v>743.13</v>
      </c>
      <c r="J20481" s="3">
        <v>0</v>
      </c>
      <c r="L20481">
        <v>736</v>
      </c>
      <c r="M20481" t="s">
        <v>7082</v>
      </c>
      <c r="N20481" t="s">
        <v>30</v>
      </c>
      <c r="O20481" t="s">
        <v>31</v>
      </c>
      <c r="P20481" t="str">
        <f>"15226"</f>
        <v>15226</v>
      </c>
    </row>
    <row r="20482" spans="1:16" x14ac:dyDescent="0.25">
      <c r="A20482" t="str">
        <f>"1290137A00031    00"</f>
        <v>1290137A00031    00</v>
      </c>
      <c r="B20482" t="s">
        <v>24004</v>
      </c>
      <c r="C20482" t="s">
        <v>44503</v>
      </c>
      <c r="D20482" t="s">
        <v>20</v>
      </c>
      <c r="E20482" t="s">
        <v>39</v>
      </c>
      <c r="F20482">
        <v>0</v>
      </c>
      <c r="G20482">
        <v>0</v>
      </c>
      <c r="H20482">
        <v>2</v>
      </c>
      <c r="I20482" s="3">
        <v>2710.36</v>
      </c>
      <c r="J20482" s="3">
        <v>0</v>
      </c>
      <c r="M20482" t="s">
        <v>24006</v>
      </c>
      <c r="N20482" t="s">
        <v>30</v>
      </c>
      <c r="O20482" t="s">
        <v>31</v>
      </c>
      <c r="P20482" t="str">
        <f>"15236"</f>
        <v>15236</v>
      </c>
    </row>
    <row r="20483" spans="1:16" x14ac:dyDescent="0.25">
      <c r="A20483" t="str">
        <f>"1290137A00068    00"</f>
        <v>1290137A00068    00</v>
      </c>
      <c r="B20483" t="s">
        <v>44504</v>
      </c>
      <c r="C20483" t="s">
        <v>44505</v>
      </c>
      <c r="D20483" t="s">
        <v>20</v>
      </c>
      <c r="E20483" t="s">
        <v>39</v>
      </c>
      <c r="F20483">
        <v>0</v>
      </c>
      <c r="G20483">
        <v>0</v>
      </c>
      <c r="H20483">
        <v>2</v>
      </c>
      <c r="I20483" s="3">
        <v>3202.08</v>
      </c>
      <c r="J20483" s="3">
        <v>0</v>
      </c>
      <c r="K20483" t="s">
        <v>44506</v>
      </c>
      <c r="L20483">
        <v>24</v>
      </c>
      <c r="M20483" t="s">
        <v>44507</v>
      </c>
      <c r="N20483" t="s">
        <v>1827</v>
      </c>
      <c r="O20483" t="s">
        <v>692</v>
      </c>
      <c r="P20483" t="str">
        <f>"23221"</f>
        <v>23221</v>
      </c>
    </row>
    <row r="20484" spans="1:16" x14ac:dyDescent="0.25">
      <c r="A20484" t="str">
        <f>"1290137A00072    00"</f>
        <v>1290137A00072    00</v>
      </c>
      <c r="B20484" t="s">
        <v>44508</v>
      </c>
      <c r="C20484" t="s">
        <v>44509</v>
      </c>
      <c r="D20484" t="s">
        <v>20</v>
      </c>
      <c r="E20484" t="s">
        <v>39</v>
      </c>
      <c r="F20484">
        <v>0</v>
      </c>
      <c r="G20484">
        <v>0</v>
      </c>
      <c r="H20484">
        <v>19</v>
      </c>
      <c r="I20484" s="3">
        <v>8626.66</v>
      </c>
      <c r="J20484" s="3">
        <v>9787.98</v>
      </c>
      <c r="L20484">
        <v>6669</v>
      </c>
      <c r="M20484" t="s">
        <v>44510</v>
      </c>
      <c r="N20484" t="s">
        <v>8604</v>
      </c>
      <c r="O20484" t="s">
        <v>8605</v>
      </c>
      <c r="P20484" t="str">
        <f>"53223"</f>
        <v>53223</v>
      </c>
    </row>
    <row r="20485" spans="1:16" x14ac:dyDescent="0.25">
      <c r="A20485" t="str">
        <f>"1290137A00074    00"</f>
        <v>1290137A00074    00</v>
      </c>
      <c r="B20485" t="s">
        <v>44511</v>
      </c>
      <c r="C20485" t="s">
        <v>44509</v>
      </c>
      <c r="D20485" t="s">
        <v>20</v>
      </c>
      <c r="E20485" t="s">
        <v>39</v>
      </c>
      <c r="F20485">
        <v>0</v>
      </c>
      <c r="G20485">
        <v>0</v>
      </c>
      <c r="H20485">
        <v>3</v>
      </c>
      <c r="I20485" s="3">
        <v>537.88</v>
      </c>
      <c r="J20485" s="3">
        <v>0.84</v>
      </c>
      <c r="L20485">
        <v>5700</v>
      </c>
      <c r="M20485" t="s">
        <v>44512</v>
      </c>
      <c r="N20485" t="s">
        <v>8424</v>
      </c>
      <c r="O20485" t="s">
        <v>108</v>
      </c>
      <c r="P20485" t="str">
        <f>"76018"</f>
        <v>76018</v>
      </c>
    </row>
    <row r="20486" spans="1:16" x14ac:dyDescent="0.25">
      <c r="A20486" t="str">
        <f>"1290137A00099    00"</f>
        <v>1290137A00099    00</v>
      </c>
      <c r="B20486" t="s">
        <v>1810</v>
      </c>
      <c r="C20486" t="s">
        <v>44513</v>
      </c>
      <c r="D20486" t="s">
        <v>20</v>
      </c>
      <c r="E20486" t="s">
        <v>39</v>
      </c>
      <c r="F20486">
        <v>0</v>
      </c>
      <c r="G20486">
        <v>0</v>
      </c>
      <c r="H20486">
        <v>3</v>
      </c>
      <c r="I20486" s="3">
        <v>2217.3200000000002</v>
      </c>
      <c r="J20486" s="3">
        <v>159.65</v>
      </c>
      <c r="K20486" t="s">
        <v>417</v>
      </c>
      <c r="L20486">
        <v>3001</v>
      </c>
      <c r="M20486" t="s">
        <v>330</v>
      </c>
      <c r="N20486" t="s">
        <v>331</v>
      </c>
      <c r="O20486" t="s">
        <v>108</v>
      </c>
      <c r="P20486" t="str">
        <f>"75063"</f>
        <v>75063</v>
      </c>
    </row>
    <row r="20487" spans="1:16" x14ac:dyDescent="0.25">
      <c r="A20487" t="str">
        <f>"1290137A00112    00"</f>
        <v>1290137A00112    00</v>
      </c>
      <c r="B20487" t="s">
        <v>44514</v>
      </c>
      <c r="C20487" t="s">
        <v>44515</v>
      </c>
      <c r="D20487" t="s">
        <v>20</v>
      </c>
      <c r="E20487" t="s">
        <v>39</v>
      </c>
      <c r="F20487">
        <v>0</v>
      </c>
      <c r="G20487">
        <v>0</v>
      </c>
      <c r="H20487">
        <v>3</v>
      </c>
      <c r="I20487" s="3">
        <v>4311.45</v>
      </c>
      <c r="J20487" s="3">
        <v>287.42</v>
      </c>
      <c r="K20487" t="s">
        <v>44516</v>
      </c>
      <c r="L20487">
        <v>223</v>
      </c>
      <c r="M20487" t="s">
        <v>23379</v>
      </c>
      <c r="N20487" t="s">
        <v>30</v>
      </c>
      <c r="O20487" t="s">
        <v>31</v>
      </c>
      <c r="P20487" t="str">
        <f t="shared" ref="P20487:P20493" si="254">"15227"</f>
        <v>15227</v>
      </c>
    </row>
    <row r="20488" spans="1:16" x14ac:dyDescent="0.25">
      <c r="A20488" t="str">
        <f>"1290137A00119    00"</f>
        <v>1290137A00119    00</v>
      </c>
      <c r="B20488" t="s">
        <v>44517</v>
      </c>
      <c r="C20488" t="s">
        <v>44518</v>
      </c>
      <c r="D20488" t="s">
        <v>20</v>
      </c>
      <c r="E20488" t="s">
        <v>39</v>
      </c>
      <c r="F20488">
        <v>0</v>
      </c>
      <c r="G20488">
        <v>0</v>
      </c>
      <c r="H20488">
        <v>2</v>
      </c>
      <c r="I20488" s="3">
        <v>2356.8200000000002</v>
      </c>
      <c r="J20488" s="3">
        <v>0</v>
      </c>
      <c r="L20488">
        <v>198</v>
      </c>
      <c r="M20488" t="s">
        <v>44519</v>
      </c>
      <c r="N20488" t="s">
        <v>30</v>
      </c>
      <c r="O20488" t="s">
        <v>31</v>
      </c>
      <c r="P20488" t="str">
        <f t="shared" si="254"/>
        <v>15227</v>
      </c>
    </row>
    <row r="20489" spans="1:16" x14ac:dyDescent="0.25">
      <c r="A20489" t="str">
        <f>"1290137A00151    00"</f>
        <v>1290137A00151    00</v>
      </c>
      <c r="B20489" t="s">
        <v>44520</v>
      </c>
      <c r="C20489" t="s">
        <v>44521</v>
      </c>
      <c r="D20489" t="s">
        <v>20</v>
      </c>
      <c r="E20489" t="s">
        <v>39</v>
      </c>
      <c r="F20489">
        <v>0</v>
      </c>
      <c r="G20489">
        <v>0</v>
      </c>
      <c r="H20489">
        <v>1</v>
      </c>
      <c r="I20489" s="3">
        <v>943.93</v>
      </c>
      <c r="J20489" s="3">
        <v>0</v>
      </c>
      <c r="L20489">
        <v>36</v>
      </c>
      <c r="M20489" t="s">
        <v>44519</v>
      </c>
      <c r="N20489" t="s">
        <v>30</v>
      </c>
      <c r="O20489" t="s">
        <v>31</v>
      </c>
      <c r="P20489" t="str">
        <f t="shared" si="254"/>
        <v>15227</v>
      </c>
    </row>
    <row r="20490" spans="1:16" x14ac:dyDescent="0.25">
      <c r="A20490" t="str">
        <f>"1290137A00213    00"</f>
        <v>1290137A00213    00</v>
      </c>
      <c r="B20490" t="s">
        <v>44522</v>
      </c>
      <c r="C20490" t="s">
        <v>44523</v>
      </c>
      <c r="E20490" t="s">
        <v>39</v>
      </c>
      <c r="F20490">
        <v>0</v>
      </c>
      <c r="G20490">
        <v>0</v>
      </c>
      <c r="H20490">
        <v>4</v>
      </c>
      <c r="I20490" s="3">
        <v>1847.15</v>
      </c>
      <c r="J20490" s="3">
        <v>753.27</v>
      </c>
      <c r="L20490">
        <v>150</v>
      </c>
      <c r="M20490" t="s">
        <v>44524</v>
      </c>
      <c r="N20490" t="s">
        <v>30</v>
      </c>
      <c r="O20490" t="s">
        <v>31</v>
      </c>
      <c r="P20490" t="str">
        <f t="shared" si="254"/>
        <v>15227</v>
      </c>
    </row>
    <row r="20491" spans="1:16" x14ac:dyDescent="0.25">
      <c r="A20491" t="str">
        <f>"1290137A00253    00"</f>
        <v>1290137A00253    00</v>
      </c>
      <c r="B20491" t="s">
        <v>44525</v>
      </c>
      <c r="C20491" t="s">
        <v>44526</v>
      </c>
      <c r="D20491" t="s">
        <v>20</v>
      </c>
      <c r="E20491" t="s">
        <v>39</v>
      </c>
      <c r="F20491">
        <v>0</v>
      </c>
      <c r="G20491">
        <v>0</v>
      </c>
      <c r="H20491">
        <v>2</v>
      </c>
      <c r="I20491" s="3">
        <v>1619.34</v>
      </c>
      <c r="J20491" s="3">
        <v>0</v>
      </c>
      <c r="K20491" t="s">
        <v>44527</v>
      </c>
      <c r="L20491">
        <v>36</v>
      </c>
      <c r="M20491" t="s">
        <v>44519</v>
      </c>
      <c r="N20491" t="s">
        <v>30</v>
      </c>
      <c r="O20491" t="s">
        <v>31</v>
      </c>
      <c r="P20491" t="str">
        <f t="shared" si="254"/>
        <v>15227</v>
      </c>
    </row>
    <row r="20492" spans="1:16" x14ac:dyDescent="0.25">
      <c r="A20492" t="str">
        <f>"1290137A00279    00"</f>
        <v>1290137A00279    00</v>
      </c>
      <c r="B20492" t="s">
        <v>44528</v>
      </c>
      <c r="C20492" t="s">
        <v>44529</v>
      </c>
      <c r="D20492" t="s">
        <v>20</v>
      </c>
      <c r="E20492" t="s">
        <v>39</v>
      </c>
      <c r="F20492">
        <v>0</v>
      </c>
      <c r="G20492">
        <v>0</v>
      </c>
      <c r="H20492">
        <v>1</v>
      </c>
      <c r="I20492" s="3">
        <v>80.05</v>
      </c>
      <c r="J20492" s="3">
        <v>0</v>
      </c>
      <c r="L20492">
        <v>133</v>
      </c>
      <c r="M20492" t="s">
        <v>44524</v>
      </c>
      <c r="N20492" t="s">
        <v>30</v>
      </c>
      <c r="O20492" t="s">
        <v>31</v>
      </c>
      <c r="P20492" t="str">
        <f t="shared" si="254"/>
        <v>15227</v>
      </c>
    </row>
    <row r="20493" spans="1:16" x14ac:dyDescent="0.25">
      <c r="A20493" t="str">
        <f>"1290137A00286    00"</f>
        <v>1290137A00286    00</v>
      </c>
      <c r="B20493" t="s">
        <v>44530</v>
      </c>
      <c r="C20493" t="s">
        <v>44531</v>
      </c>
      <c r="D20493" t="s">
        <v>20</v>
      </c>
      <c r="E20493" t="s">
        <v>39</v>
      </c>
      <c r="F20493">
        <v>0</v>
      </c>
      <c r="G20493">
        <v>0</v>
      </c>
      <c r="H20493">
        <v>6</v>
      </c>
      <c r="I20493" s="3">
        <v>4431.82</v>
      </c>
      <c r="J20493" s="3">
        <v>1034.1500000000001</v>
      </c>
      <c r="L20493">
        <v>149</v>
      </c>
      <c r="M20493" t="s">
        <v>44524</v>
      </c>
      <c r="N20493" t="s">
        <v>30</v>
      </c>
      <c r="O20493" t="s">
        <v>31</v>
      </c>
      <c r="P20493" t="str">
        <f t="shared" si="254"/>
        <v>15227</v>
      </c>
    </row>
    <row r="20494" spans="1:16" x14ac:dyDescent="0.25">
      <c r="A20494" t="str">
        <f>"1290137A00290    00"</f>
        <v>1290137A00290    00</v>
      </c>
      <c r="B20494" t="s">
        <v>44532</v>
      </c>
      <c r="C20494" t="s">
        <v>44533</v>
      </c>
      <c r="D20494" t="s">
        <v>20</v>
      </c>
      <c r="E20494" t="s">
        <v>39</v>
      </c>
      <c r="F20494">
        <v>0</v>
      </c>
      <c r="G20494">
        <v>0</v>
      </c>
      <c r="H20494">
        <v>1</v>
      </c>
      <c r="I20494" s="3">
        <v>1196.96</v>
      </c>
      <c r="J20494" s="3">
        <v>0</v>
      </c>
      <c r="K20494" t="s">
        <v>725</v>
      </c>
      <c r="L20494">
        <v>1301</v>
      </c>
      <c r="M20494" t="s">
        <v>722</v>
      </c>
      <c r="N20494" t="s">
        <v>30</v>
      </c>
      <c r="O20494" t="s">
        <v>31</v>
      </c>
      <c r="P20494" t="str">
        <f>"15211"</f>
        <v>15211</v>
      </c>
    </row>
    <row r="20495" spans="1:16" x14ac:dyDescent="0.25">
      <c r="A20495" t="str">
        <f>"1290137A00292    00"</f>
        <v>1290137A00292    00</v>
      </c>
      <c r="B20495" t="s">
        <v>44534</v>
      </c>
      <c r="C20495" t="s">
        <v>44535</v>
      </c>
      <c r="D20495" t="s">
        <v>20</v>
      </c>
      <c r="E20495" t="s">
        <v>39</v>
      </c>
      <c r="F20495">
        <v>0</v>
      </c>
      <c r="G20495">
        <v>0</v>
      </c>
      <c r="H20495">
        <v>1</v>
      </c>
      <c r="I20495" s="3">
        <v>1196.97</v>
      </c>
      <c r="J20495" s="3">
        <v>0</v>
      </c>
      <c r="K20495" t="s">
        <v>5521</v>
      </c>
      <c r="M20495" t="s">
        <v>44536</v>
      </c>
      <c r="N20495" t="s">
        <v>2847</v>
      </c>
      <c r="O20495" t="s">
        <v>70</v>
      </c>
      <c r="P20495" t="str">
        <f>"48007"</f>
        <v>48007</v>
      </c>
    </row>
    <row r="20496" spans="1:16" x14ac:dyDescent="0.25">
      <c r="A20496" t="str">
        <f>"1290137A00294    00"</f>
        <v>1290137A00294    00</v>
      </c>
      <c r="B20496" t="s">
        <v>44534</v>
      </c>
      <c r="C20496" t="s">
        <v>44537</v>
      </c>
      <c r="D20496" t="s">
        <v>20</v>
      </c>
      <c r="E20496" t="s">
        <v>39</v>
      </c>
      <c r="F20496">
        <v>0</v>
      </c>
      <c r="G20496">
        <v>0</v>
      </c>
      <c r="H20496">
        <v>1</v>
      </c>
      <c r="I20496" s="3">
        <v>1183.6300000000001</v>
      </c>
      <c r="J20496" s="3">
        <v>0</v>
      </c>
      <c r="K20496" t="s">
        <v>5521</v>
      </c>
      <c r="M20496" t="s">
        <v>44536</v>
      </c>
      <c r="N20496" t="s">
        <v>2847</v>
      </c>
      <c r="O20496" t="s">
        <v>70</v>
      </c>
      <c r="P20496" t="str">
        <f>"48007"</f>
        <v>48007</v>
      </c>
    </row>
    <row r="20497" spans="1:16" x14ac:dyDescent="0.25">
      <c r="A20497" t="str">
        <f>"1290137A00296    00"</f>
        <v>1290137A00296    00</v>
      </c>
      <c r="B20497" t="s">
        <v>44534</v>
      </c>
      <c r="C20497" t="s">
        <v>44538</v>
      </c>
      <c r="D20497" t="s">
        <v>20</v>
      </c>
      <c r="E20497" t="s">
        <v>39</v>
      </c>
      <c r="F20497">
        <v>0</v>
      </c>
      <c r="G20497">
        <v>0</v>
      </c>
      <c r="H20497">
        <v>1</v>
      </c>
      <c r="I20497" s="3">
        <v>1193.1500000000001</v>
      </c>
      <c r="J20497" s="3">
        <v>0</v>
      </c>
      <c r="K20497" t="s">
        <v>5521</v>
      </c>
      <c r="M20497" t="s">
        <v>44536</v>
      </c>
      <c r="N20497" t="s">
        <v>2847</v>
      </c>
      <c r="O20497" t="s">
        <v>70</v>
      </c>
      <c r="P20497" t="str">
        <f>"48007"</f>
        <v>48007</v>
      </c>
    </row>
    <row r="20498" spans="1:16" x14ac:dyDescent="0.25">
      <c r="A20498" t="str">
        <f>"1290137A00298    00"</f>
        <v>1290137A00298    00</v>
      </c>
      <c r="B20498" t="s">
        <v>44534</v>
      </c>
      <c r="C20498" t="s">
        <v>44539</v>
      </c>
      <c r="D20498" t="s">
        <v>20</v>
      </c>
      <c r="E20498" t="s">
        <v>39</v>
      </c>
      <c r="F20498">
        <v>0</v>
      </c>
      <c r="G20498">
        <v>0</v>
      </c>
      <c r="H20498">
        <v>1</v>
      </c>
      <c r="I20498" s="3">
        <v>1191.26</v>
      </c>
      <c r="J20498" s="3">
        <v>0</v>
      </c>
      <c r="K20498" t="s">
        <v>5521</v>
      </c>
      <c r="M20498" t="s">
        <v>44536</v>
      </c>
      <c r="N20498" t="s">
        <v>2847</v>
      </c>
      <c r="O20498" t="s">
        <v>70</v>
      </c>
      <c r="P20498" t="str">
        <f>"48007"</f>
        <v>48007</v>
      </c>
    </row>
    <row r="20499" spans="1:16" x14ac:dyDescent="0.25">
      <c r="A20499" t="str">
        <f>"1290137A00300    00"</f>
        <v>1290137A00300    00</v>
      </c>
      <c r="B20499" t="s">
        <v>44540</v>
      </c>
      <c r="C20499" t="s">
        <v>44541</v>
      </c>
      <c r="D20499" t="s">
        <v>20</v>
      </c>
      <c r="E20499" t="s">
        <v>39</v>
      </c>
      <c r="F20499">
        <v>0</v>
      </c>
      <c r="G20499">
        <v>0</v>
      </c>
      <c r="H20499">
        <v>1</v>
      </c>
      <c r="I20499" s="3">
        <v>888.67</v>
      </c>
      <c r="J20499" s="3">
        <v>0</v>
      </c>
      <c r="L20499">
        <v>166</v>
      </c>
      <c r="M20499" t="s">
        <v>23379</v>
      </c>
      <c r="N20499" t="s">
        <v>30</v>
      </c>
      <c r="O20499" t="s">
        <v>31</v>
      </c>
      <c r="P20499" t="str">
        <f>"15227"</f>
        <v>15227</v>
      </c>
    </row>
    <row r="20500" spans="1:16" x14ac:dyDescent="0.25">
      <c r="A20500" t="str">
        <f>"1290137A00354    00"</f>
        <v>1290137A00354    00</v>
      </c>
      <c r="B20500" t="s">
        <v>44542</v>
      </c>
      <c r="C20500" t="s">
        <v>44543</v>
      </c>
      <c r="D20500" t="s">
        <v>20</v>
      </c>
      <c r="E20500" t="s">
        <v>39</v>
      </c>
      <c r="F20500">
        <v>0</v>
      </c>
      <c r="G20500">
        <v>0</v>
      </c>
      <c r="H20500">
        <v>1</v>
      </c>
      <c r="I20500" s="3">
        <v>120.36</v>
      </c>
      <c r="J20500" s="3">
        <v>0</v>
      </c>
      <c r="L20500">
        <v>133</v>
      </c>
      <c r="M20500" t="s">
        <v>44524</v>
      </c>
      <c r="N20500" t="s">
        <v>30</v>
      </c>
      <c r="O20500" t="s">
        <v>31</v>
      </c>
      <c r="P20500" t="str">
        <f>"15227"</f>
        <v>15227</v>
      </c>
    </row>
    <row r="20501" spans="1:16" x14ac:dyDescent="0.25">
      <c r="A20501" t="str">
        <f>"1290137A00361000100"</f>
        <v>1290137A00361000100</v>
      </c>
      <c r="B20501" t="s">
        <v>44544</v>
      </c>
      <c r="C20501" t="s">
        <v>44529</v>
      </c>
      <c r="D20501" t="s">
        <v>20</v>
      </c>
      <c r="E20501" t="s">
        <v>39</v>
      </c>
      <c r="F20501">
        <v>0</v>
      </c>
      <c r="G20501">
        <v>0</v>
      </c>
      <c r="H20501">
        <v>2</v>
      </c>
      <c r="I20501" s="3">
        <v>50.17</v>
      </c>
      <c r="J20501" s="3">
        <v>0</v>
      </c>
      <c r="K20501" t="s">
        <v>4893</v>
      </c>
      <c r="L20501">
        <v>3001</v>
      </c>
      <c r="M20501" t="s">
        <v>330</v>
      </c>
      <c r="N20501" t="s">
        <v>331</v>
      </c>
      <c r="O20501" t="s">
        <v>108</v>
      </c>
      <c r="P20501" t="str">
        <f>"75063"</f>
        <v>75063</v>
      </c>
    </row>
    <row r="20502" spans="1:16" x14ac:dyDescent="0.25">
      <c r="A20502" t="str">
        <f>"1290137A00366    00"</f>
        <v>1290137A00366    00</v>
      </c>
      <c r="B20502" t="s">
        <v>35487</v>
      </c>
      <c r="C20502" t="s">
        <v>44545</v>
      </c>
      <c r="D20502" t="s">
        <v>20</v>
      </c>
      <c r="E20502" t="s">
        <v>39</v>
      </c>
      <c r="F20502">
        <v>0</v>
      </c>
      <c r="G20502">
        <v>0</v>
      </c>
      <c r="H20502">
        <v>1</v>
      </c>
      <c r="I20502" s="3">
        <v>912.99</v>
      </c>
      <c r="J20502" s="3">
        <v>0</v>
      </c>
      <c r="K20502" t="s">
        <v>44546</v>
      </c>
      <c r="L20502">
        <v>370</v>
      </c>
      <c r="M20502" t="s">
        <v>35489</v>
      </c>
      <c r="N20502" t="s">
        <v>30</v>
      </c>
      <c r="O20502" t="s">
        <v>31</v>
      </c>
      <c r="P20502" t="str">
        <f>"15227"</f>
        <v>15227</v>
      </c>
    </row>
    <row r="20503" spans="1:16" x14ac:dyDescent="0.25">
      <c r="A20503" t="str">
        <f>"1290137A00372    00"</f>
        <v>1290137A00372    00</v>
      </c>
      <c r="B20503" t="s">
        <v>4535</v>
      </c>
      <c r="C20503" t="s">
        <v>44547</v>
      </c>
      <c r="D20503" t="s">
        <v>20</v>
      </c>
      <c r="E20503" t="s">
        <v>39</v>
      </c>
      <c r="F20503">
        <v>0</v>
      </c>
      <c r="G20503">
        <v>0</v>
      </c>
      <c r="H20503">
        <v>1</v>
      </c>
      <c r="I20503" s="3">
        <v>1111.21</v>
      </c>
      <c r="J20503" s="3">
        <v>0</v>
      </c>
      <c r="L20503">
        <v>1185</v>
      </c>
      <c r="M20503" t="s">
        <v>4537</v>
      </c>
      <c r="N20503" t="s">
        <v>30</v>
      </c>
      <c r="O20503" t="s">
        <v>31</v>
      </c>
      <c r="P20503" t="str">
        <f>"15220"</f>
        <v>15220</v>
      </c>
    </row>
    <row r="20504" spans="1:16" x14ac:dyDescent="0.25">
      <c r="A20504" t="str">
        <f>"1290137A00378    00"</f>
        <v>1290137A00378    00</v>
      </c>
      <c r="B20504" t="s">
        <v>44548</v>
      </c>
      <c r="C20504" t="s">
        <v>44549</v>
      </c>
      <c r="D20504" t="s">
        <v>20</v>
      </c>
      <c r="E20504" t="s">
        <v>39</v>
      </c>
      <c r="F20504">
        <v>0</v>
      </c>
      <c r="G20504">
        <v>0</v>
      </c>
      <c r="H20504">
        <v>5</v>
      </c>
      <c r="I20504" s="3">
        <v>2925.85</v>
      </c>
      <c r="J20504" s="3">
        <v>535.48</v>
      </c>
      <c r="K20504" t="s">
        <v>44550</v>
      </c>
      <c r="L20504">
        <v>52</v>
      </c>
      <c r="M20504" t="s">
        <v>23379</v>
      </c>
      <c r="N20504" t="s">
        <v>30</v>
      </c>
      <c r="O20504" t="s">
        <v>31</v>
      </c>
      <c r="P20504" t="str">
        <f>"15227"</f>
        <v>15227</v>
      </c>
    </row>
    <row r="20505" spans="1:16" x14ac:dyDescent="0.25">
      <c r="A20505" t="str">
        <f>"1290137A00387    00"</f>
        <v>1290137A00387    00</v>
      </c>
      <c r="B20505" t="s">
        <v>44551</v>
      </c>
      <c r="C20505" t="s">
        <v>44552</v>
      </c>
      <c r="D20505" t="s">
        <v>20</v>
      </c>
      <c r="E20505" t="s">
        <v>39</v>
      </c>
      <c r="F20505">
        <v>0</v>
      </c>
      <c r="G20505">
        <v>0</v>
      </c>
      <c r="H20505">
        <v>7</v>
      </c>
      <c r="I20505" s="3">
        <v>6334.37</v>
      </c>
      <c r="J20505" s="3">
        <v>1515.11</v>
      </c>
      <c r="L20505">
        <v>36</v>
      </c>
      <c r="M20505" t="s">
        <v>23379</v>
      </c>
      <c r="N20505" t="s">
        <v>30</v>
      </c>
      <c r="O20505" t="s">
        <v>31</v>
      </c>
      <c r="P20505" t="str">
        <f>"15227"</f>
        <v>15227</v>
      </c>
    </row>
    <row r="20506" spans="1:16" x14ac:dyDescent="0.25">
      <c r="A20506" t="str">
        <f>"1290137B00018    00"</f>
        <v>1290137B00018    00</v>
      </c>
      <c r="B20506" t="s">
        <v>44553</v>
      </c>
      <c r="C20506" t="s">
        <v>44554</v>
      </c>
      <c r="D20506" t="s">
        <v>20</v>
      </c>
      <c r="E20506" t="s">
        <v>21</v>
      </c>
      <c r="F20506">
        <v>0</v>
      </c>
      <c r="G20506">
        <v>0</v>
      </c>
      <c r="H20506">
        <v>4</v>
      </c>
      <c r="I20506" s="3">
        <v>17705.400000000001</v>
      </c>
      <c r="J20506" s="3">
        <v>1848.06</v>
      </c>
      <c r="L20506">
        <v>2400</v>
      </c>
      <c r="M20506" t="s">
        <v>8048</v>
      </c>
      <c r="N20506" t="s">
        <v>30</v>
      </c>
      <c r="O20506" t="s">
        <v>31</v>
      </c>
      <c r="P20506" t="str">
        <f>"15210"</f>
        <v>15210</v>
      </c>
    </row>
    <row r="20507" spans="1:16" x14ac:dyDescent="0.25">
      <c r="A20507" t="str">
        <f>"1290137B00024    00"</f>
        <v>1290137B00024    00</v>
      </c>
      <c r="B20507" t="s">
        <v>41697</v>
      </c>
      <c r="C20507" t="s">
        <v>44555</v>
      </c>
      <c r="D20507" t="s">
        <v>20</v>
      </c>
      <c r="E20507" t="s">
        <v>21</v>
      </c>
      <c r="F20507">
        <v>0</v>
      </c>
      <c r="G20507">
        <v>0</v>
      </c>
      <c r="H20507">
        <v>2</v>
      </c>
      <c r="I20507" s="3">
        <v>2869.17</v>
      </c>
      <c r="J20507" s="3">
        <v>8.89</v>
      </c>
      <c r="K20507" t="s">
        <v>12613</v>
      </c>
      <c r="L20507">
        <v>310</v>
      </c>
      <c r="M20507" t="s">
        <v>16738</v>
      </c>
      <c r="N20507" t="s">
        <v>30</v>
      </c>
      <c r="O20507" t="s">
        <v>31</v>
      </c>
      <c r="P20507" t="str">
        <f>"15219"</f>
        <v>15219</v>
      </c>
    </row>
    <row r="20508" spans="1:16" x14ac:dyDescent="0.25">
      <c r="A20508" t="str">
        <f>"1290137B00032    00"</f>
        <v>1290137B00032    00</v>
      </c>
      <c r="B20508" t="s">
        <v>44556</v>
      </c>
      <c r="C20508" t="s">
        <v>44557</v>
      </c>
      <c r="D20508" t="s">
        <v>20</v>
      </c>
      <c r="E20508" t="s">
        <v>39</v>
      </c>
      <c r="F20508">
        <v>0</v>
      </c>
      <c r="G20508">
        <v>0</v>
      </c>
      <c r="H20508">
        <v>3</v>
      </c>
      <c r="I20508" s="3">
        <v>3436.53</v>
      </c>
      <c r="J20508" s="3">
        <v>229.1</v>
      </c>
      <c r="L20508">
        <v>24</v>
      </c>
      <c r="M20508" t="s">
        <v>44558</v>
      </c>
      <c r="N20508" t="s">
        <v>30</v>
      </c>
      <c r="O20508" t="s">
        <v>31</v>
      </c>
      <c r="P20508" t="str">
        <f>"15227"</f>
        <v>15227</v>
      </c>
    </row>
    <row r="20509" spans="1:16" x14ac:dyDescent="0.25">
      <c r="A20509" t="str">
        <f>"1290137B00094    00"</f>
        <v>1290137B00094    00</v>
      </c>
      <c r="B20509" t="s">
        <v>44559</v>
      </c>
      <c r="C20509" t="s">
        <v>44560</v>
      </c>
      <c r="D20509" t="s">
        <v>20</v>
      </c>
      <c r="E20509" t="s">
        <v>39</v>
      </c>
      <c r="F20509">
        <v>0</v>
      </c>
      <c r="G20509">
        <v>0</v>
      </c>
      <c r="H20509">
        <v>2</v>
      </c>
      <c r="I20509" s="3">
        <v>560.91999999999996</v>
      </c>
      <c r="J20509" s="3">
        <v>0</v>
      </c>
      <c r="L20509">
        <v>35</v>
      </c>
      <c r="M20509" t="s">
        <v>23379</v>
      </c>
      <c r="N20509" t="s">
        <v>30</v>
      </c>
      <c r="O20509" t="s">
        <v>31</v>
      </c>
      <c r="P20509" t="str">
        <f>"15227"</f>
        <v>15227</v>
      </c>
    </row>
    <row r="20510" spans="1:16" x14ac:dyDescent="0.25">
      <c r="A20510" t="str">
        <f>"1290137E00006    00"</f>
        <v>1290137E00006    00</v>
      </c>
      <c r="B20510" t="s">
        <v>44561</v>
      </c>
      <c r="C20510" t="s">
        <v>44562</v>
      </c>
      <c r="D20510" t="s">
        <v>20</v>
      </c>
      <c r="E20510" t="s">
        <v>39</v>
      </c>
      <c r="F20510">
        <v>0</v>
      </c>
      <c r="G20510">
        <v>0</v>
      </c>
      <c r="H20510">
        <v>5</v>
      </c>
      <c r="I20510" s="3">
        <v>4582.24</v>
      </c>
      <c r="J20510" s="3">
        <v>570.13</v>
      </c>
      <c r="K20510" t="s">
        <v>44563</v>
      </c>
      <c r="L20510">
        <v>2612</v>
      </c>
      <c r="M20510" t="s">
        <v>44564</v>
      </c>
      <c r="N20510" t="s">
        <v>30</v>
      </c>
      <c r="O20510" t="s">
        <v>31</v>
      </c>
      <c r="P20510" t="str">
        <f>"15227"</f>
        <v>15227</v>
      </c>
    </row>
    <row r="20511" spans="1:16" x14ac:dyDescent="0.25">
      <c r="A20511" t="str">
        <f>"1290137E00102    00"</f>
        <v>1290137E00102    00</v>
      </c>
      <c r="B20511" t="s">
        <v>44565</v>
      </c>
      <c r="C20511" t="s">
        <v>44566</v>
      </c>
      <c r="D20511" t="s">
        <v>20</v>
      </c>
      <c r="E20511" t="s">
        <v>39</v>
      </c>
      <c r="F20511">
        <v>0</v>
      </c>
      <c r="G20511">
        <v>0</v>
      </c>
      <c r="H20511">
        <v>12</v>
      </c>
      <c r="I20511" s="3">
        <v>11851.69</v>
      </c>
      <c r="J20511" s="3">
        <v>12337.71</v>
      </c>
      <c r="K20511" t="s">
        <v>44567</v>
      </c>
      <c r="L20511">
        <v>818</v>
      </c>
      <c r="M20511" t="s">
        <v>27899</v>
      </c>
      <c r="N20511" t="s">
        <v>30</v>
      </c>
      <c r="O20511" t="s">
        <v>31</v>
      </c>
      <c r="P20511" t="str">
        <f>"15227"</f>
        <v>15227</v>
      </c>
    </row>
    <row r="20512" spans="1:16" x14ac:dyDescent="0.25">
      <c r="A20512" t="str">
        <f>"1290137E00108    00"</f>
        <v>1290137E00108    00</v>
      </c>
      <c r="B20512" t="s">
        <v>44568</v>
      </c>
      <c r="C20512" t="s">
        <v>44569</v>
      </c>
      <c r="E20512" t="s">
        <v>39</v>
      </c>
      <c r="F20512">
        <v>0</v>
      </c>
      <c r="G20512">
        <v>0</v>
      </c>
      <c r="H20512">
        <v>1</v>
      </c>
      <c r="I20512" s="3">
        <v>1477.16</v>
      </c>
      <c r="J20512" s="3">
        <v>0</v>
      </c>
      <c r="K20512" t="s">
        <v>9998</v>
      </c>
      <c r="L20512">
        <v>3001</v>
      </c>
      <c r="M20512" t="s">
        <v>330</v>
      </c>
      <c r="N20512" t="s">
        <v>331</v>
      </c>
      <c r="O20512" t="s">
        <v>108</v>
      </c>
      <c r="P20512" t="str">
        <f>"75063"</f>
        <v>75063</v>
      </c>
    </row>
    <row r="20513" spans="1:16" x14ac:dyDescent="0.25">
      <c r="A20513" t="str">
        <f>"1290137E00116    00"</f>
        <v>1290137E00116    00</v>
      </c>
      <c r="B20513" t="s">
        <v>44570</v>
      </c>
      <c r="C20513" t="s">
        <v>44571</v>
      </c>
      <c r="E20513" t="s">
        <v>39</v>
      </c>
      <c r="F20513">
        <v>0</v>
      </c>
      <c r="G20513">
        <v>0</v>
      </c>
      <c r="H20513">
        <v>1</v>
      </c>
      <c r="I20513" s="3">
        <v>629.04999999999995</v>
      </c>
      <c r="J20513" s="3">
        <v>0</v>
      </c>
      <c r="L20513">
        <v>121</v>
      </c>
      <c r="M20513" t="s">
        <v>44572</v>
      </c>
      <c r="N20513" t="s">
        <v>30</v>
      </c>
      <c r="O20513" t="s">
        <v>31</v>
      </c>
      <c r="P20513" t="str">
        <f>"15227"</f>
        <v>15227</v>
      </c>
    </row>
    <row r="20514" spans="1:16" x14ac:dyDescent="0.25">
      <c r="A20514" t="str">
        <f>"1290137E00155    00"</f>
        <v>1290137E00155    00</v>
      </c>
      <c r="B20514" t="s">
        <v>44573</v>
      </c>
      <c r="C20514" t="s">
        <v>44574</v>
      </c>
      <c r="D20514" t="s">
        <v>20</v>
      </c>
      <c r="E20514" t="s">
        <v>39</v>
      </c>
      <c r="F20514">
        <v>0</v>
      </c>
      <c r="G20514">
        <v>0</v>
      </c>
      <c r="H20514">
        <v>11</v>
      </c>
      <c r="I20514" s="3">
        <v>7961.2</v>
      </c>
      <c r="J20514" s="3">
        <v>3886.75</v>
      </c>
      <c r="K20514" t="s">
        <v>44575</v>
      </c>
      <c r="L20514">
        <v>155</v>
      </c>
      <c r="M20514" t="s">
        <v>44576</v>
      </c>
      <c r="N20514" t="s">
        <v>652</v>
      </c>
      <c r="O20514" t="s">
        <v>31</v>
      </c>
      <c r="P20514" t="str">
        <f>"15342"</f>
        <v>15342</v>
      </c>
    </row>
    <row r="20515" spans="1:16" x14ac:dyDescent="0.25">
      <c r="A20515" t="str">
        <f>"1290137E00178    00"</f>
        <v>1290137E00178    00</v>
      </c>
      <c r="B20515" t="s">
        <v>44577</v>
      </c>
      <c r="C20515" t="s">
        <v>44578</v>
      </c>
      <c r="D20515" t="s">
        <v>20</v>
      </c>
      <c r="E20515" t="s">
        <v>39</v>
      </c>
      <c r="F20515">
        <v>0</v>
      </c>
      <c r="G20515">
        <v>0</v>
      </c>
      <c r="H20515">
        <v>2</v>
      </c>
      <c r="I20515" s="3">
        <v>2008.96</v>
      </c>
      <c r="J20515" s="3">
        <v>0</v>
      </c>
      <c r="L20515">
        <v>108</v>
      </c>
      <c r="M20515" t="s">
        <v>35489</v>
      </c>
      <c r="N20515" t="s">
        <v>30</v>
      </c>
      <c r="O20515" t="s">
        <v>31</v>
      </c>
      <c r="P20515" t="str">
        <f>"15227"</f>
        <v>15227</v>
      </c>
    </row>
    <row r="20516" spans="1:16" x14ac:dyDescent="0.25">
      <c r="A20516" t="str">
        <f>"1290138C00116    00"</f>
        <v>1290138C00116    00</v>
      </c>
      <c r="B20516" t="s">
        <v>23799</v>
      </c>
      <c r="C20516" t="s">
        <v>44579</v>
      </c>
      <c r="D20516" t="s">
        <v>20</v>
      </c>
      <c r="E20516" t="s">
        <v>39</v>
      </c>
      <c r="F20516">
        <v>0</v>
      </c>
      <c r="G20516">
        <v>0</v>
      </c>
      <c r="H20516">
        <v>4</v>
      </c>
      <c r="I20516" s="3">
        <v>3926.13</v>
      </c>
      <c r="J20516" s="3">
        <v>463.8</v>
      </c>
      <c r="K20516" t="s">
        <v>23801</v>
      </c>
      <c r="L20516">
        <v>239</v>
      </c>
      <c r="M20516" t="s">
        <v>4730</v>
      </c>
      <c r="N20516" t="s">
        <v>30</v>
      </c>
      <c r="O20516" t="s">
        <v>31</v>
      </c>
      <c r="P20516" t="str">
        <f>"15222"</f>
        <v>15222</v>
      </c>
    </row>
    <row r="20517" spans="1:16" x14ac:dyDescent="0.25">
      <c r="A20517" t="str">
        <f>"1290138C00120    00"</f>
        <v>1290138C00120    00</v>
      </c>
      <c r="B20517" t="s">
        <v>44580</v>
      </c>
      <c r="C20517" t="s">
        <v>44581</v>
      </c>
      <c r="D20517" t="s">
        <v>20</v>
      </c>
      <c r="E20517" t="s">
        <v>39</v>
      </c>
      <c r="F20517">
        <v>0</v>
      </c>
      <c r="G20517">
        <v>0</v>
      </c>
      <c r="H20517">
        <v>1</v>
      </c>
      <c r="I20517" s="3">
        <v>939.67</v>
      </c>
      <c r="J20517" s="3">
        <v>0</v>
      </c>
      <c r="L20517">
        <v>11044</v>
      </c>
      <c r="M20517" t="s">
        <v>44582</v>
      </c>
      <c r="N20517" t="s">
        <v>44583</v>
      </c>
      <c r="O20517" t="s">
        <v>495</v>
      </c>
      <c r="P20517" t="str">
        <f>"91730"</f>
        <v>91730</v>
      </c>
    </row>
    <row r="20518" spans="1:16" x14ac:dyDescent="0.25">
      <c r="A20518" t="str">
        <f>"1290138C00123    00"</f>
        <v>1290138C00123    00</v>
      </c>
      <c r="B20518" t="s">
        <v>43858</v>
      </c>
      <c r="C20518" t="s">
        <v>44584</v>
      </c>
      <c r="E20518" t="s">
        <v>39</v>
      </c>
      <c r="F20518">
        <v>0</v>
      </c>
      <c r="G20518">
        <v>0</v>
      </c>
      <c r="H20518">
        <v>1</v>
      </c>
      <c r="I20518" s="3">
        <v>21.43</v>
      </c>
      <c r="J20518" s="3">
        <v>12.85</v>
      </c>
      <c r="K20518" t="s">
        <v>43860</v>
      </c>
      <c r="L20518">
        <v>104</v>
      </c>
      <c r="M20518" t="s">
        <v>44585</v>
      </c>
      <c r="N20518" t="s">
        <v>526</v>
      </c>
      <c r="O20518" t="s">
        <v>31</v>
      </c>
      <c r="P20518" t="str">
        <f>"15301"</f>
        <v>15301</v>
      </c>
    </row>
    <row r="20519" spans="1:16" x14ac:dyDescent="0.25">
      <c r="A20519" t="str">
        <f>"1290138C00182    00"</f>
        <v>1290138C00182    00</v>
      </c>
      <c r="B20519" t="s">
        <v>44586</v>
      </c>
      <c r="C20519" t="s">
        <v>44587</v>
      </c>
      <c r="D20519" t="s">
        <v>20</v>
      </c>
      <c r="E20519" t="s">
        <v>39</v>
      </c>
      <c r="F20519">
        <v>0</v>
      </c>
      <c r="G20519">
        <v>0</v>
      </c>
      <c r="H20519">
        <v>2</v>
      </c>
      <c r="I20519" s="3">
        <v>1072.18</v>
      </c>
      <c r="J20519" s="3">
        <v>0</v>
      </c>
      <c r="L20519">
        <v>402</v>
      </c>
      <c r="M20519" t="s">
        <v>44140</v>
      </c>
      <c r="N20519" t="s">
        <v>30</v>
      </c>
      <c r="O20519" t="s">
        <v>31</v>
      </c>
      <c r="P20519" t="str">
        <f>"15227"</f>
        <v>15227</v>
      </c>
    </row>
    <row r="20520" spans="1:16" x14ac:dyDescent="0.25">
      <c r="A20520" t="str">
        <f>"1290138D00038    00"</f>
        <v>1290138D00038    00</v>
      </c>
      <c r="B20520" t="s">
        <v>44588</v>
      </c>
      <c r="C20520" t="s">
        <v>44589</v>
      </c>
      <c r="D20520" t="s">
        <v>20</v>
      </c>
      <c r="E20520" t="s">
        <v>39</v>
      </c>
      <c r="F20520">
        <v>0</v>
      </c>
      <c r="G20520">
        <v>0</v>
      </c>
      <c r="H20520">
        <v>3</v>
      </c>
      <c r="I20520" s="3">
        <v>2504.5500000000002</v>
      </c>
      <c r="J20520" s="3">
        <v>166.96</v>
      </c>
      <c r="K20520" t="s">
        <v>44590</v>
      </c>
      <c r="L20520">
        <v>237</v>
      </c>
      <c r="M20520" t="s">
        <v>1938</v>
      </c>
      <c r="N20520" t="s">
        <v>30</v>
      </c>
      <c r="O20520" t="s">
        <v>31</v>
      </c>
      <c r="P20520" t="str">
        <f>"15227"</f>
        <v>15227</v>
      </c>
    </row>
    <row r="20521" spans="1:16" x14ac:dyDescent="0.25">
      <c r="A20521" t="str">
        <f>"1290138D00039    00"</f>
        <v>1290138D00039    00</v>
      </c>
      <c r="B20521" t="s">
        <v>44591</v>
      </c>
      <c r="C20521" t="s">
        <v>44509</v>
      </c>
      <c r="D20521" t="s">
        <v>20</v>
      </c>
      <c r="E20521" t="s">
        <v>39</v>
      </c>
      <c r="F20521">
        <v>0</v>
      </c>
      <c r="G20521">
        <v>0</v>
      </c>
      <c r="H20521">
        <v>3</v>
      </c>
      <c r="I20521" s="3">
        <v>68.61</v>
      </c>
      <c r="J20521" s="3">
        <v>0</v>
      </c>
      <c r="K20521" t="s">
        <v>44590</v>
      </c>
      <c r="L20521">
        <v>237</v>
      </c>
      <c r="M20521" t="s">
        <v>1938</v>
      </c>
      <c r="N20521" t="s">
        <v>30</v>
      </c>
      <c r="O20521" t="s">
        <v>31</v>
      </c>
      <c r="P20521" t="str">
        <f>"15227"</f>
        <v>15227</v>
      </c>
    </row>
    <row r="20522" spans="1:16" x14ac:dyDescent="0.25">
      <c r="A20522" t="str">
        <f>"1290138D00064    00"</f>
        <v>1290138D00064    00</v>
      </c>
      <c r="B20522" t="s">
        <v>44592</v>
      </c>
      <c r="C20522" t="s">
        <v>44593</v>
      </c>
      <c r="D20522" t="s">
        <v>20</v>
      </c>
      <c r="E20522" t="s">
        <v>39</v>
      </c>
      <c r="F20522">
        <v>0</v>
      </c>
      <c r="G20522">
        <v>0</v>
      </c>
      <c r="H20522">
        <v>5</v>
      </c>
      <c r="I20522" s="3">
        <v>4808.0600000000004</v>
      </c>
      <c r="J20522" s="3">
        <v>914.39</v>
      </c>
      <c r="K20522" t="s">
        <v>44594</v>
      </c>
      <c r="L20522">
        <v>400</v>
      </c>
      <c r="M20522" t="s">
        <v>3295</v>
      </c>
      <c r="N20522" t="s">
        <v>30</v>
      </c>
      <c r="O20522" t="s">
        <v>31</v>
      </c>
      <c r="P20522" t="str">
        <f>"15210"</f>
        <v>15210</v>
      </c>
    </row>
    <row r="20523" spans="1:16" x14ac:dyDescent="0.25">
      <c r="A20523" t="str">
        <f>"1290138D00153    00"</f>
        <v>1290138D00153    00</v>
      </c>
      <c r="B20523" t="s">
        <v>44595</v>
      </c>
      <c r="C20523" t="s">
        <v>44596</v>
      </c>
      <c r="D20523" t="s">
        <v>20</v>
      </c>
      <c r="E20523" t="s">
        <v>39</v>
      </c>
      <c r="F20523">
        <v>0</v>
      </c>
      <c r="G20523">
        <v>0</v>
      </c>
      <c r="H20523">
        <v>3</v>
      </c>
      <c r="I20523" s="3">
        <v>2028.71</v>
      </c>
      <c r="J20523" s="3">
        <v>606.71</v>
      </c>
      <c r="L20523">
        <v>340</v>
      </c>
      <c r="M20523" t="s">
        <v>44519</v>
      </c>
      <c r="N20523" t="s">
        <v>30</v>
      </c>
      <c r="O20523" t="s">
        <v>31</v>
      </c>
      <c r="P20523" t="str">
        <f>"15227"</f>
        <v>15227</v>
      </c>
    </row>
    <row r="20524" spans="1:16" x14ac:dyDescent="0.25">
      <c r="A20524" t="str">
        <f>"1290138D00182    00"</f>
        <v>1290138D00182    00</v>
      </c>
      <c r="B20524" t="s">
        <v>44597</v>
      </c>
      <c r="C20524" t="s">
        <v>44598</v>
      </c>
      <c r="E20524" t="s">
        <v>39</v>
      </c>
      <c r="F20524">
        <v>0</v>
      </c>
      <c r="G20524">
        <v>0</v>
      </c>
      <c r="H20524">
        <v>1</v>
      </c>
      <c r="I20524" s="3">
        <v>2796.12</v>
      </c>
      <c r="J20524" s="3">
        <v>0</v>
      </c>
      <c r="K20524" t="s">
        <v>44599</v>
      </c>
      <c r="L20524">
        <v>228</v>
      </c>
      <c r="M20524" t="s">
        <v>44600</v>
      </c>
      <c r="N20524" t="s">
        <v>30</v>
      </c>
      <c r="O20524" t="s">
        <v>31</v>
      </c>
      <c r="P20524" t="str">
        <f>"15227"</f>
        <v>15227</v>
      </c>
    </row>
    <row r="20525" spans="1:16" x14ac:dyDescent="0.25">
      <c r="A20525" t="str">
        <f>"1290138D00193    00"</f>
        <v>1290138D00193    00</v>
      </c>
      <c r="B20525" t="s">
        <v>44601</v>
      </c>
      <c r="C20525" t="s">
        <v>44602</v>
      </c>
      <c r="D20525" t="s">
        <v>20</v>
      </c>
      <c r="E20525" t="s">
        <v>39</v>
      </c>
      <c r="F20525">
        <v>0</v>
      </c>
      <c r="G20525">
        <v>0</v>
      </c>
      <c r="H20525">
        <v>15</v>
      </c>
      <c r="I20525" s="3">
        <v>440.67</v>
      </c>
      <c r="J20525" s="3">
        <v>316</v>
      </c>
      <c r="L20525">
        <v>206</v>
      </c>
      <c r="M20525" t="s">
        <v>23379</v>
      </c>
      <c r="N20525" t="s">
        <v>30</v>
      </c>
      <c r="O20525" t="s">
        <v>31</v>
      </c>
      <c r="P20525" t="str">
        <f>"15227"</f>
        <v>15227</v>
      </c>
    </row>
    <row r="20526" spans="1:16" x14ac:dyDescent="0.25">
      <c r="A20526" t="str">
        <f>"1290138D00203    00"</f>
        <v>1290138D00203    00</v>
      </c>
      <c r="B20526" t="s">
        <v>44603</v>
      </c>
      <c r="C20526" t="s">
        <v>44604</v>
      </c>
      <c r="E20526" t="s">
        <v>39</v>
      </c>
      <c r="F20526">
        <v>0</v>
      </c>
      <c r="G20526">
        <v>0</v>
      </c>
      <c r="H20526">
        <v>2</v>
      </c>
      <c r="I20526" s="3">
        <v>487.07</v>
      </c>
      <c r="J20526" s="3">
        <v>251.87</v>
      </c>
      <c r="L20526">
        <v>247</v>
      </c>
      <c r="M20526" t="s">
        <v>44519</v>
      </c>
      <c r="N20526" t="s">
        <v>30</v>
      </c>
      <c r="O20526" t="s">
        <v>31</v>
      </c>
      <c r="P20526" t="str">
        <f>"15227"</f>
        <v>15227</v>
      </c>
    </row>
    <row r="20527" spans="1:16" x14ac:dyDescent="0.25">
      <c r="A20527" t="str">
        <f>"1290138D00227    00"</f>
        <v>1290138D00227    00</v>
      </c>
      <c r="B20527" t="s">
        <v>44605</v>
      </c>
      <c r="C20527" t="s">
        <v>44606</v>
      </c>
      <c r="E20527" t="s">
        <v>39</v>
      </c>
      <c r="F20527">
        <v>0</v>
      </c>
      <c r="G20527">
        <v>0</v>
      </c>
      <c r="H20527">
        <v>1</v>
      </c>
      <c r="I20527" s="3">
        <v>237.14</v>
      </c>
      <c r="J20527" s="3">
        <v>0</v>
      </c>
      <c r="L20527">
        <v>347</v>
      </c>
      <c r="M20527" t="s">
        <v>44519</v>
      </c>
      <c r="N20527" t="s">
        <v>30</v>
      </c>
      <c r="O20527" t="s">
        <v>31</v>
      </c>
      <c r="P20527" t="str">
        <f>"15227"</f>
        <v>15227</v>
      </c>
    </row>
    <row r="20528" spans="1:16" x14ac:dyDescent="0.25">
      <c r="A20528" t="str">
        <f>"1290138D00339    00"</f>
        <v>1290138D00339    00</v>
      </c>
      <c r="B20528" t="s">
        <v>44607</v>
      </c>
      <c r="C20528" t="s">
        <v>44608</v>
      </c>
      <c r="D20528" t="s">
        <v>20</v>
      </c>
      <c r="E20528" t="s">
        <v>39</v>
      </c>
      <c r="F20528">
        <v>0</v>
      </c>
      <c r="G20528">
        <v>0</v>
      </c>
      <c r="H20528">
        <v>1</v>
      </c>
      <c r="I20528" s="3">
        <v>2845.66</v>
      </c>
      <c r="J20528" s="3">
        <v>0</v>
      </c>
      <c r="K20528" t="s">
        <v>1802</v>
      </c>
      <c r="L20528">
        <v>901</v>
      </c>
      <c r="M20528" t="s">
        <v>1503</v>
      </c>
      <c r="N20528" t="s">
        <v>494</v>
      </c>
      <c r="O20528" t="s">
        <v>495</v>
      </c>
      <c r="P20528" t="str">
        <f>"91768"</f>
        <v>91768</v>
      </c>
    </row>
    <row r="20529" spans="1:16" x14ac:dyDescent="0.25">
      <c r="A20529" t="str">
        <f>"1290138D00351    00"</f>
        <v>1290138D00351    00</v>
      </c>
      <c r="B20529" t="s">
        <v>44609</v>
      </c>
      <c r="C20529" t="s">
        <v>44610</v>
      </c>
      <c r="E20529" t="s">
        <v>39</v>
      </c>
      <c r="F20529">
        <v>0</v>
      </c>
      <c r="G20529">
        <v>0</v>
      </c>
      <c r="H20529">
        <v>1</v>
      </c>
      <c r="I20529" s="3">
        <v>977.6</v>
      </c>
      <c r="J20529" s="3">
        <v>219.95</v>
      </c>
      <c r="K20529" t="s">
        <v>43907</v>
      </c>
      <c r="L20529">
        <v>1</v>
      </c>
      <c r="M20529" t="s">
        <v>43908</v>
      </c>
      <c r="N20529" t="s">
        <v>17856</v>
      </c>
      <c r="O20529" t="s">
        <v>70</v>
      </c>
      <c r="P20529" t="str">
        <f>"48076"</f>
        <v>48076</v>
      </c>
    </row>
    <row r="20530" spans="1:16" x14ac:dyDescent="0.25">
      <c r="A20530" t="str">
        <f>"1290138D00361    00"</f>
        <v>1290138D00361    00</v>
      </c>
      <c r="B20530" t="s">
        <v>44611</v>
      </c>
      <c r="C20530" t="s">
        <v>44612</v>
      </c>
      <c r="D20530" t="s">
        <v>20</v>
      </c>
      <c r="E20530" t="s">
        <v>39</v>
      </c>
      <c r="F20530">
        <v>0</v>
      </c>
      <c r="G20530">
        <v>0</v>
      </c>
      <c r="H20530">
        <v>6</v>
      </c>
      <c r="I20530" s="3">
        <v>4254.91</v>
      </c>
      <c r="J20530" s="3">
        <v>749.38</v>
      </c>
      <c r="L20530">
        <v>309</v>
      </c>
      <c r="M20530" t="s">
        <v>44140</v>
      </c>
      <c r="N20530" t="s">
        <v>30</v>
      </c>
      <c r="O20530" t="s">
        <v>31</v>
      </c>
      <c r="P20530" t="str">
        <f>"15227"</f>
        <v>15227</v>
      </c>
    </row>
    <row r="20531" spans="1:16" x14ac:dyDescent="0.25">
      <c r="A20531" t="str">
        <f>"1290138D00372    00"</f>
        <v>1290138D00372    00</v>
      </c>
      <c r="B20531" t="s">
        <v>44613</v>
      </c>
      <c r="C20531" t="s">
        <v>44614</v>
      </c>
      <c r="D20531" t="s">
        <v>20</v>
      </c>
      <c r="E20531" t="s">
        <v>39</v>
      </c>
      <c r="F20531">
        <v>0</v>
      </c>
      <c r="G20531">
        <v>0</v>
      </c>
      <c r="H20531">
        <v>2</v>
      </c>
      <c r="I20531" s="3">
        <v>1430.54</v>
      </c>
      <c r="J20531" s="3">
        <v>0</v>
      </c>
      <c r="L20531">
        <v>339</v>
      </c>
      <c r="M20531" t="s">
        <v>44140</v>
      </c>
      <c r="N20531" t="s">
        <v>30</v>
      </c>
      <c r="O20531" t="s">
        <v>31</v>
      </c>
      <c r="P20531" t="str">
        <f>"15227"</f>
        <v>15227</v>
      </c>
    </row>
    <row r="20532" spans="1:16" x14ac:dyDescent="0.25">
      <c r="A20532" t="str">
        <f>"1290138G00006    00"</f>
        <v>1290138G00006    00</v>
      </c>
      <c r="B20532" t="s">
        <v>44615</v>
      </c>
      <c r="C20532" t="s">
        <v>44616</v>
      </c>
      <c r="E20532" t="s">
        <v>39</v>
      </c>
      <c r="F20532">
        <v>0</v>
      </c>
      <c r="G20532">
        <v>0</v>
      </c>
      <c r="H20532">
        <v>1</v>
      </c>
      <c r="I20532" s="3">
        <v>21.34</v>
      </c>
      <c r="J20532" s="3">
        <v>10.49</v>
      </c>
      <c r="L20532">
        <v>7</v>
      </c>
      <c r="M20532" t="s">
        <v>37304</v>
      </c>
      <c r="N20532" t="s">
        <v>30</v>
      </c>
      <c r="O20532" t="s">
        <v>31</v>
      </c>
      <c r="P20532" t="str">
        <f>"15227"</f>
        <v>15227</v>
      </c>
    </row>
    <row r="20533" spans="1:16" x14ac:dyDescent="0.25">
      <c r="A20533" t="str">
        <f>"1298000T00099    00"</f>
        <v>1298000T00099    00</v>
      </c>
      <c r="B20533" t="s">
        <v>44617</v>
      </c>
      <c r="C20533" t="s">
        <v>44618</v>
      </c>
      <c r="E20533" t="s">
        <v>39</v>
      </c>
      <c r="F20533">
        <v>0</v>
      </c>
      <c r="G20533">
        <v>0</v>
      </c>
      <c r="H20533">
        <v>1</v>
      </c>
      <c r="I20533" s="3">
        <v>16.7</v>
      </c>
      <c r="J20533" s="3">
        <v>25.88</v>
      </c>
      <c r="L20533">
        <v>1709</v>
      </c>
      <c r="M20533" t="s">
        <v>23704</v>
      </c>
      <c r="N20533" t="s">
        <v>30</v>
      </c>
      <c r="O20533" t="s">
        <v>31</v>
      </c>
      <c r="P20533" t="str">
        <f>"15210"</f>
        <v>15210</v>
      </c>
    </row>
    <row r="20534" spans="1:16" x14ac:dyDescent="0.25">
      <c r="A20534" t="str">
        <f>"1298000T00101    00"</f>
        <v>1298000T00101    00</v>
      </c>
      <c r="B20534" t="s">
        <v>44619</v>
      </c>
      <c r="C20534" t="s">
        <v>44620</v>
      </c>
      <c r="E20534" t="s">
        <v>39</v>
      </c>
      <c r="F20534">
        <v>0</v>
      </c>
      <c r="G20534">
        <v>0</v>
      </c>
      <c r="H20534">
        <v>15</v>
      </c>
      <c r="I20534" s="3">
        <v>1162.4000000000001</v>
      </c>
      <c r="J20534" s="3">
        <v>1377.94</v>
      </c>
      <c r="L20534">
        <v>1709</v>
      </c>
      <c r="M20534" t="s">
        <v>23704</v>
      </c>
      <c r="N20534" t="s">
        <v>30</v>
      </c>
      <c r="O20534" t="s">
        <v>31</v>
      </c>
      <c r="P20534" t="str">
        <f>"15210"</f>
        <v>15210</v>
      </c>
    </row>
    <row r="20535" spans="1:16" x14ac:dyDescent="0.25">
      <c r="A20535" t="str">
        <f>"1298000T00102    00"</f>
        <v>1298000T00102    00</v>
      </c>
      <c r="B20535" t="s">
        <v>44621</v>
      </c>
      <c r="C20535" t="s">
        <v>43822</v>
      </c>
      <c r="E20535" t="s">
        <v>39</v>
      </c>
      <c r="F20535">
        <v>0</v>
      </c>
      <c r="G20535">
        <v>0</v>
      </c>
      <c r="H20535">
        <v>2</v>
      </c>
      <c r="I20535" s="3">
        <v>418.17</v>
      </c>
      <c r="J20535" s="3">
        <v>634.41</v>
      </c>
      <c r="L20535">
        <v>1709</v>
      </c>
      <c r="M20535" t="s">
        <v>44622</v>
      </c>
      <c r="N20535" t="s">
        <v>30</v>
      </c>
      <c r="O20535" t="s">
        <v>31</v>
      </c>
      <c r="P20535" t="str">
        <f>"15210"</f>
        <v>15210</v>
      </c>
    </row>
    <row r="20536" spans="1:16" x14ac:dyDescent="0.25">
      <c r="A20536" t="str">
        <f>"1298000T00104    00"</f>
        <v>1298000T00104    00</v>
      </c>
      <c r="B20536" t="s">
        <v>44623</v>
      </c>
      <c r="C20536" t="s">
        <v>43822</v>
      </c>
      <c r="E20536" t="s">
        <v>39</v>
      </c>
      <c r="F20536">
        <v>0</v>
      </c>
      <c r="G20536">
        <v>0</v>
      </c>
      <c r="H20536">
        <v>2</v>
      </c>
      <c r="I20536" s="3">
        <v>602.66</v>
      </c>
      <c r="J20536" s="3">
        <v>914.29</v>
      </c>
      <c r="L20536">
        <v>1709</v>
      </c>
      <c r="M20536" t="s">
        <v>23704</v>
      </c>
      <c r="N20536" t="s">
        <v>30</v>
      </c>
      <c r="O20536" t="s">
        <v>31</v>
      </c>
      <c r="P20536" t="str">
        <f>"15210"</f>
        <v>15210</v>
      </c>
    </row>
    <row r="20537" spans="1:16" x14ac:dyDescent="0.25">
      <c r="A20537" t="str">
        <f>"1298000T00105    00"</f>
        <v>1298000T00105    00</v>
      </c>
      <c r="B20537" t="s">
        <v>44624</v>
      </c>
      <c r="C20537" t="s">
        <v>43822</v>
      </c>
      <c r="E20537" t="s">
        <v>39</v>
      </c>
      <c r="F20537">
        <v>0</v>
      </c>
      <c r="G20537">
        <v>0</v>
      </c>
      <c r="H20537">
        <v>2</v>
      </c>
      <c r="I20537" s="3">
        <v>516.54</v>
      </c>
      <c r="J20537" s="3">
        <v>783.66</v>
      </c>
      <c r="L20537">
        <v>1709</v>
      </c>
      <c r="M20537" t="s">
        <v>23704</v>
      </c>
      <c r="N20537" t="s">
        <v>30</v>
      </c>
      <c r="O20537" t="s">
        <v>31</v>
      </c>
      <c r="P20537" t="str">
        <f>"15210"</f>
        <v>15210</v>
      </c>
    </row>
    <row r="20538" spans="1:16" x14ac:dyDescent="0.25">
      <c r="A20538" t="str">
        <f>"1298000T00106    00"</f>
        <v>1298000T00106    00</v>
      </c>
      <c r="B20538" t="s">
        <v>44625</v>
      </c>
      <c r="C20538" t="s">
        <v>43822</v>
      </c>
      <c r="E20538" t="s">
        <v>39</v>
      </c>
      <c r="F20538">
        <v>0</v>
      </c>
      <c r="G20538">
        <v>0</v>
      </c>
      <c r="H20538">
        <v>2</v>
      </c>
      <c r="I20538" s="3">
        <v>676.45</v>
      </c>
      <c r="J20538" s="3">
        <v>1026.23</v>
      </c>
      <c r="L20538">
        <v>598</v>
      </c>
      <c r="M20538" t="s">
        <v>44626</v>
      </c>
      <c r="N20538" t="s">
        <v>44627</v>
      </c>
      <c r="O20538" t="s">
        <v>31</v>
      </c>
      <c r="P20538" t="str">
        <f>"15050"</f>
        <v>15050</v>
      </c>
    </row>
    <row r="20539" spans="1:16" x14ac:dyDescent="0.25">
      <c r="A20539" t="str">
        <f>"1298000T00107    00"</f>
        <v>1298000T00107    00</v>
      </c>
      <c r="B20539" t="s">
        <v>44628</v>
      </c>
      <c r="C20539" t="s">
        <v>44629</v>
      </c>
      <c r="E20539" t="s">
        <v>39</v>
      </c>
      <c r="F20539">
        <v>0</v>
      </c>
      <c r="G20539">
        <v>0</v>
      </c>
      <c r="H20539">
        <v>9</v>
      </c>
      <c r="I20539" s="3">
        <v>759.1</v>
      </c>
      <c r="J20539" s="3">
        <v>1141.08</v>
      </c>
      <c r="L20539">
        <v>1709</v>
      </c>
      <c r="M20539" t="s">
        <v>44630</v>
      </c>
      <c r="N20539" t="s">
        <v>30</v>
      </c>
      <c r="O20539" t="s">
        <v>31</v>
      </c>
      <c r="P20539" t="str">
        <f>"15210"</f>
        <v>15210</v>
      </c>
    </row>
    <row r="20540" spans="1:16" x14ac:dyDescent="0.25">
      <c r="A20540" t="str">
        <f>"1298000T00108    00"</f>
        <v>1298000T00108    00</v>
      </c>
      <c r="B20540" t="s">
        <v>44631</v>
      </c>
      <c r="C20540" t="s">
        <v>43822</v>
      </c>
      <c r="E20540" t="s">
        <v>39</v>
      </c>
      <c r="F20540">
        <v>0</v>
      </c>
      <c r="G20540">
        <v>0</v>
      </c>
      <c r="H20540">
        <v>2</v>
      </c>
      <c r="I20540" s="3">
        <v>442.76</v>
      </c>
      <c r="J20540" s="3">
        <v>671.71</v>
      </c>
      <c r="L20540">
        <v>1709</v>
      </c>
      <c r="M20540" t="s">
        <v>44632</v>
      </c>
      <c r="N20540" t="s">
        <v>30</v>
      </c>
      <c r="O20540" t="s">
        <v>31</v>
      </c>
      <c r="P20540" t="str">
        <f>"15210"</f>
        <v>15210</v>
      </c>
    </row>
    <row r="20541" spans="1:16" x14ac:dyDescent="0.25">
      <c r="A20541" t="str">
        <f>"1298000T00111    00"</f>
        <v>1298000T00111    00</v>
      </c>
      <c r="B20541" t="s">
        <v>44633</v>
      </c>
      <c r="C20541" t="s">
        <v>43822</v>
      </c>
      <c r="E20541" t="s">
        <v>39</v>
      </c>
      <c r="F20541">
        <v>0</v>
      </c>
      <c r="G20541">
        <v>0</v>
      </c>
      <c r="H20541">
        <v>2</v>
      </c>
      <c r="I20541" s="3">
        <v>381.26</v>
      </c>
      <c r="J20541" s="3">
        <v>578.45000000000005</v>
      </c>
      <c r="L20541">
        <v>1709</v>
      </c>
      <c r="M20541" t="s">
        <v>23704</v>
      </c>
      <c r="N20541" t="s">
        <v>30</v>
      </c>
      <c r="O20541" t="s">
        <v>31</v>
      </c>
      <c r="P20541" t="str">
        <f>"15210"</f>
        <v>15210</v>
      </c>
    </row>
    <row r="20542" spans="1:16" x14ac:dyDescent="0.25">
      <c r="A20542" t="str">
        <f>"1298000T00112    00"</f>
        <v>1298000T00112    00</v>
      </c>
      <c r="B20542" t="s">
        <v>44634</v>
      </c>
      <c r="C20542" t="s">
        <v>43822</v>
      </c>
      <c r="E20542" t="s">
        <v>39</v>
      </c>
      <c r="F20542">
        <v>0</v>
      </c>
      <c r="G20542">
        <v>0</v>
      </c>
      <c r="H20542">
        <v>1</v>
      </c>
      <c r="I20542" s="3">
        <v>50.11</v>
      </c>
      <c r="J20542" s="3">
        <v>82.68</v>
      </c>
      <c r="L20542">
        <v>1709</v>
      </c>
      <c r="M20542" t="s">
        <v>23704</v>
      </c>
      <c r="N20542" t="s">
        <v>30</v>
      </c>
      <c r="O20542" t="s">
        <v>31</v>
      </c>
      <c r="P20542" t="str">
        <f>"15210"</f>
        <v>15210</v>
      </c>
    </row>
    <row r="20543" spans="1:16" x14ac:dyDescent="0.25">
      <c r="A20543" t="str">
        <f>"1298000T00113    00"</f>
        <v>1298000T00113    00</v>
      </c>
      <c r="B20543" t="s">
        <v>44635</v>
      </c>
      <c r="C20543" t="s">
        <v>43822</v>
      </c>
      <c r="E20543" t="s">
        <v>39</v>
      </c>
      <c r="F20543">
        <v>0</v>
      </c>
      <c r="G20543">
        <v>0</v>
      </c>
      <c r="H20543">
        <v>2</v>
      </c>
      <c r="I20543" s="3">
        <v>405.88</v>
      </c>
      <c r="J20543" s="3">
        <v>615.79999999999995</v>
      </c>
      <c r="L20543">
        <v>1709</v>
      </c>
      <c r="M20543" t="s">
        <v>23704</v>
      </c>
      <c r="N20543" t="s">
        <v>30</v>
      </c>
      <c r="O20543" t="s">
        <v>31</v>
      </c>
      <c r="P20543" t="str">
        <f>"15210"</f>
        <v>15210</v>
      </c>
    </row>
    <row r="20544" spans="1:16" x14ac:dyDescent="0.25">
      <c r="A20544" t="str">
        <f>"1298000T00114    00"</f>
        <v>1298000T00114    00</v>
      </c>
      <c r="B20544" t="s">
        <v>44636</v>
      </c>
      <c r="C20544" t="s">
        <v>44637</v>
      </c>
      <c r="D20544" t="s">
        <v>20</v>
      </c>
      <c r="E20544" t="s">
        <v>39</v>
      </c>
      <c r="F20544">
        <v>0</v>
      </c>
      <c r="G20544">
        <v>0</v>
      </c>
      <c r="H20544">
        <v>16</v>
      </c>
      <c r="I20544" s="3">
        <v>4406.25</v>
      </c>
      <c r="J20544" s="3">
        <v>2351.19</v>
      </c>
      <c r="L20544">
        <v>2992</v>
      </c>
      <c r="M20544" t="s">
        <v>44638</v>
      </c>
      <c r="N20544" t="s">
        <v>44639</v>
      </c>
      <c r="O20544" t="s">
        <v>370</v>
      </c>
      <c r="P20544" t="str">
        <f>"34286"</f>
        <v>34286</v>
      </c>
    </row>
    <row r="20545" spans="1:16" x14ac:dyDescent="0.25">
      <c r="A20545" t="str">
        <f>"1298000T00115    00"</f>
        <v>1298000T00115    00</v>
      </c>
      <c r="B20545" t="s">
        <v>44640</v>
      </c>
      <c r="C20545" t="s">
        <v>44641</v>
      </c>
      <c r="E20545" t="s">
        <v>39</v>
      </c>
      <c r="F20545">
        <v>0</v>
      </c>
      <c r="G20545">
        <v>0</v>
      </c>
      <c r="H20545">
        <v>2</v>
      </c>
      <c r="I20545" s="3">
        <v>86.3</v>
      </c>
      <c r="J20545" s="3">
        <v>138.08000000000001</v>
      </c>
      <c r="L20545">
        <v>1709</v>
      </c>
      <c r="M20545" t="s">
        <v>23704</v>
      </c>
      <c r="N20545" t="s">
        <v>30</v>
      </c>
      <c r="O20545" t="s">
        <v>31</v>
      </c>
      <c r="P20545" t="str">
        <f>"15210"</f>
        <v>15210</v>
      </c>
    </row>
    <row r="20546" spans="1:16" x14ac:dyDescent="0.25">
      <c r="A20546" t="str">
        <f>"1300014J00002    00"</f>
        <v>1300014J00002    00</v>
      </c>
      <c r="B20546" t="s">
        <v>44642</v>
      </c>
      <c r="C20546" t="s">
        <v>44643</v>
      </c>
      <c r="D20546" t="s">
        <v>20</v>
      </c>
      <c r="E20546" t="s">
        <v>39</v>
      </c>
      <c r="F20546">
        <v>0</v>
      </c>
      <c r="G20546">
        <v>0</v>
      </c>
      <c r="H20546">
        <v>15</v>
      </c>
      <c r="I20546" s="3">
        <v>123.45</v>
      </c>
      <c r="J20546" s="3">
        <v>138.93</v>
      </c>
      <c r="L20546">
        <v>354</v>
      </c>
      <c r="M20546" t="s">
        <v>44644</v>
      </c>
      <c r="N20546" t="s">
        <v>44645</v>
      </c>
      <c r="O20546" t="s">
        <v>4784</v>
      </c>
      <c r="P20546" t="str">
        <f>"64854"</f>
        <v>64854</v>
      </c>
    </row>
    <row r="20547" spans="1:16" x14ac:dyDescent="0.25">
      <c r="A20547" t="str">
        <f>"1300014J00003    00"</f>
        <v>1300014J00003    00</v>
      </c>
      <c r="B20547" t="s">
        <v>44642</v>
      </c>
      <c r="C20547" t="s">
        <v>44643</v>
      </c>
      <c r="D20547" t="s">
        <v>20</v>
      </c>
      <c r="E20547" t="s">
        <v>39</v>
      </c>
      <c r="F20547">
        <v>0</v>
      </c>
      <c r="G20547">
        <v>0</v>
      </c>
      <c r="H20547">
        <v>16</v>
      </c>
      <c r="I20547" s="3">
        <v>128.69999999999999</v>
      </c>
      <c r="J20547" s="3">
        <v>144.66999999999999</v>
      </c>
      <c r="L20547">
        <v>354</v>
      </c>
      <c r="M20547" t="s">
        <v>44644</v>
      </c>
      <c r="N20547" t="s">
        <v>44645</v>
      </c>
      <c r="O20547" t="s">
        <v>4784</v>
      </c>
      <c r="P20547" t="str">
        <f>"64854"</f>
        <v>64854</v>
      </c>
    </row>
    <row r="20548" spans="1:16" x14ac:dyDescent="0.25">
      <c r="A20548" t="str">
        <f>"1300014J00005    00"</f>
        <v>1300014J00005    00</v>
      </c>
      <c r="B20548" t="s">
        <v>44646</v>
      </c>
      <c r="C20548" t="s">
        <v>44647</v>
      </c>
      <c r="D20548" t="s">
        <v>20</v>
      </c>
      <c r="E20548" t="s">
        <v>39</v>
      </c>
      <c r="F20548">
        <v>0</v>
      </c>
      <c r="G20548">
        <v>0</v>
      </c>
      <c r="H20548">
        <v>17</v>
      </c>
      <c r="I20548" s="3">
        <v>3194.17</v>
      </c>
      <c r="J20548" s="3">
        <v>3365.25</v>
      </c>
      <c r="K20548" t="s">
        <v>44648</v>
      </c>
      <c r="L20548">
        <v>400</v>
      </c>
      <c r="M20548" t="s">
        <v>3295</v>
      </c>
      <c r="N20548" t="s">
        <v>30</v>
      </c>
      <c r="O20548" t="s">
        <v>31</v>
      </c>
      <c r="P20548" t="str">
        <f>"15210"</f>
        <v>15210</v>
      </c>
    </row>
    <row r="20549" spans="1:16" x14ac:dyDescent="0.25">
      <c r="A20549" t="str">
        <f>"1300014J00007    00"</f>
        <v>1300014J00007    00</v>
      </c>
      <c r="B20549" t="s">
        <v>44649</v>
      </c>
      <c r="C20549" t="s">
        <v>44650</v>
      </c>
      <c r="D20549" t="s">
        <v>20</v>
      </c>
      <c r="E20549" t="s">
        <v>39</v>
      </c>
      <c r="F20549">
        <v>0</v>
      </c>
      <c r="G20549">
        <v>0</v>
      </c>
      <c r="H20549">
        <v>1</v>
      </c>
      <c r="I20549" s="3">
        <v>483.19</v>
      </c>
      <c r="J20549" s="3">
        <v>0</v>
      </c>
      <c r="K20549" t="s">
        <v>44651</v>
      </c>
      <c r="L20549">
        <v>405</v>
      </c>
      <c r="M20549" t="s">
        <v>3295</v>
      </c>
      <c r="N20549" t="s">
        <v>30</v>
      </c>
      <c r="O20549" t="s">
        <v>31</v>
      </c>
      <c r="P20549" t="str">
        <f>"15210"</f>
        <v>15210</v>
      </c>
    </row>
    <row r="20550" spans="1:16" x14ac:dyDescent="0.25">
      <c r="A20550" t="str">
        <f>"1300014J00009    00"</f>
        <v>1300014J00009    00</v>
      </c>
      <c r="B20550" t="s">
        <v>44652</v>
      </c>
      <c r="C20550" t="s">
        <v>44653</v>
      </c>
      <c r="D20550" t="s">
        <v>20</v>
      </c>
      <c r="E20550" t="s">
        <v>39</v>
      </c>
      <c r="F20550">
        <v>0</v>
      </c>
      <c r="G20550">
        <v>0</v>
      </c>
      <c r="H20550">
        <v>4</v>
      </c>
      <c r="I20550" s="3">
        <v>1625.22</v>
      </c>
      <c r="J20550" s="3">
        <v>191.98</v>
      </c>
      <c r="L20550">
        <v>414</v>
      </c>
      <c r="M20550" t="s">
        <v>3295</v>
      </c>
      <c r="N20550" t="s">
        <v>30</v>
      </c>
      <c r="O20550" t="s">
        <v>31</v>
      </c>
      <c r="P20550" t="str">
        <f>"15210"</f>
        <v>15210</v>
      </c>
    </row>
    <row r="20551" spans="1:16" x14ac:dyDescent="0.25">
      <c r="A20551" t="str">
        <f>"1300014J00013    00"</f>
        <v>1300014J00013    00</v>
      </c>
      <c r="B20551" t="s">
        <v>44654</v>
      </c>
      <c r="C20551" t="s">
        <v>44655</v>
      </c>
      <c r="D20551" t="s">
        <v>20</v>
      </c>
      <c r="E20551" t="s">
        <v>39</v>
      </c>
      <c r="F20551">
        <v>0</v>
      </c>
      <c r="G20551">
        <v>0</v>
      </c>
      <c r="H20551">
        <v>1</v>
      </c>
      <c r="I20551" s="3">
        <v>734.29</v>
      </c>
      <c r="J20551" s="3">
        <v>0</v>
      </c>
      <c r="L20551">
        <v>417</v>
      </c>
      <c r="M20551" t="s">
        <v>3295</v>
      </c>
      <c r="N20551" t="s">
        <v>30</v>
      </c>
      <c r="O20551" t="s">
        <v>31</v>
      </c>
      <c r="P20551" t="str">
        <f>"15210"</f>
        <v>15210</v>
      </c>
    </row>
    <row r="20552" spans="1:16" x14ac:dyDescent="0.25">
      <c r="A20552" t="str">
        <f>"1300014J00017    00"</f>
        <v>1300014J00017    00</v>
      </c>
      <c r="B20552" t="s">
        <v>44656</v>
      </c>
      <c r="C20552" t="s">
        <v>44657</v>
      </c>
      <c r="E20552" t="s">
        <v>39</v>
      </c>
      <c r="F20552">
        <v>0</v>
      </c>
      <c r="G20552">
        <v>0</v>
      </c>
      <c r="H20552">
        <v>2</v>
      </c>
      <c r="I20552" s="3">
        <v>589.64</v>
      </c>
      <c r="J20552" s="3">
        <v>11.31</v>
      </c>
      <c r="K20552" t="s">
        <v>44658</v>
      </c>
      <c r="L20552">
        <v>2049</v>
      </c>
      <c r="M20552" t="s">
        <v>44659</v>
      </c>
      <c r="N20552" t="s">
        <v>44660</v>
      </c>
      <c r="O20552" t="s">
        <v>495</v>
      </c>
      <c r="P20552" t="str">
        <f>"94596"</f>
        <v>94596</v>
      </c>
    </row>
    <row r="20553" spans="1:16" x14ac:dyDescent="0.25">
      <c r="A20553" t="str">
        <f>"1300014J00018    00"</f>
        <v>1300014J00018    00</v>
      </c>
      <c r="B20553" t="s">
        <v>44661</v>
      </c>
      <c r="C20553" t="s">
        <v>44662</v>
      </c>
      <c r="D20553" t="s">
        <v>20</v>
      </c>
      <c r="E20553" t="s">
        <v>39</v>
      </c>
      <c r="F20553">
        <v>0</v>
      </c>
      <c r="G20553">
        <v>0</v>
      </c>
      <c r="H20553">
        <v>4</v>
      </c>
      <c r="I20553" s="3">
        <v>1807.48</v>
      </c>
      <c r="J20553" s="3">
        <v>406.14</v>
      </c>
      <c r="K20553" t="s">
        <v>44663</v>
      </c>
      <c r="L20553">
        <v>427</v>
      </c>
      <c r="M20553" t="s">
        <v>3295</v>
      </c>
      <c r="N20553" t="s">
        <v>30</v>
      </c>
      <c r="O20553" t="s">
        <v>31</v>
      </c>
      <c r="P20553" t="str">
        <f t="shared" ref="P20553:P20558" si="255">"15210"</f>
        <v>15210</v>
      </c>
    </row>
    <row r="20554" spans="1:16" x14ac:dyDescent="0.25">
      <c r="A20554" t="str">
        <f>"1300014J00027    00"</f>
        <v>1300014J00027    00</v>
      </c>
      <c r="B20554" t="s">
        <v>44664</v>
      </c>
      <c r="C20554" t="s">
        <v>44665</v>
      </c>
      <c r="E20554" t="s">
        <v>39</v>
      </c>
      <c r="F20554">
        <v>0</v>
      </c>
      <c r="G20554">
        <v>0</v>
      </c>
      <c r="H20554">
        <v>7</v>
      </c>
      <c r="I20554" s="3">
        <v>2766.12</v>
      </c>
      <c r="J20554" s="3">
        <v>4421.8999999999996</v>
      </c>
      <c r="L20554">
        <v>418</v>
      </c>
      <c r="M20554" t="s">
        <v>40503</v>
      </c>
      <c r="N20554" t="s">
        <v>30</v>
      </c>
      <c r="O20554" t="s">
        <v>31</v>
      </c>
      <c r="P20554" t="str">
        <f t="shared" si="255"/>
        <v>15210</v>
      </c>
    </row>
    <row r="20555" spans="1:16" x14ac:dyDescent="0.25">
      <c r="A20555" t="str">
        <f>"1300014J00029    00"</f>
        <v>1300014J00029    00</v>
      </c>
      <c r="B20555" t="s">
        <v>44666</v>
      </c>
      <c r="C20555" t="s">
        <v>44667</v>
      </c>
      <c r="D20555" t="s">
        <v>20</v>
      </c>
      <c r="E20555" t="s">
        <v>39</v>
      </c>
      <c r="F20555">
        <v>0</v>
      </c>
      <c r="G20555">
        <v>0</v>
      </c>
      <c r="H20555">
        <v>8</v>
      </c>
      <c r="I20555" s="3">
        <v>1287.55</v>
      </c>
      <c r="J20555" s="3">
        <v>343.21</v>
      </c>
      <c r="L20555">
        <v>416</v>
      </c>
      <c r="M20555" t="s">
        <v>40503</v>
      </c>
      <c r="N20555" t="s">
        <v>30</v>
      </c>
      <c r="O20555" t="s">
        <v>31</v>
      </c>
      <c r="P20555" t="str">
        <f t="shared" si="255"/>
        <v>15210</v>
      </c>
    </row>
    <row r="20556" spans="1:16" x14ac:dyDescent="0.25">
      <c r="A20556" t="str">
        <f>"1300014J00030    00"</f>
        <v>1300014J00030    00</v>
      </c>
      <c r="B20556" t="s">
        <v>44668</v>
      </c>
      <c r="C20556" t="s">
        <v>44669</v>
      </c>
      <c r="D20556" t="s">
        <v>20</v>
      </c>
      <c r="E20556" t="s">
        <v>39</v>
      </c>
      <c r="F20556">
        <v>0</v>
      </c>
      <c r="G20556">
        <v>0</v>
      </c>
      <c r="H20556">
        <v>19</v>
      </c>
      <c r="I20556" s="3">
        <v>301.70999999999998</v>
      </c>
      <c r="J20556" s="3">
        <v>294.45</v>
      </c>
      <c r="K20556" t="s">
        <v>1037</v>
      </c>
      <c r="L20556">
        <v>414</v>
      </c>
      <c r="M20556" t="s">
        <v>40503</v>
      </c>
      <c r="N20556" t="s">
        <v>30</v>
      </c>
      <c r="O20556" t="s">
        <v>31</v>
      </c>
      <c r="P20556" t="str">
        <f t="shared" si="255"/>
        <v>15210</v>
      </c>
    </row>
    <row r="20557" spans="1:16" x14ac:dyDescent="0.25">
      <c r="A20557" t="str">
        <f>"1300014J00031    00"</f>
        <v>1300014J00031    00</v>
      </c>
      <c r="B20557" t="s">
        <v>44670</v>
      </c>
      <c r="C20557" t="s">
        <v>44671</v>
      </c>
      <c r="D20557" t="s">
        <v>20</v>
      </c>
      <c r="E20557" t="s">
        <v>39</v>
      </c>
      <c r="F20557">
        <v>0</v>
      </c>
      <c r="G20557">
        <v>0</v>
      </c>
      <c r="H20557">
        <v>3</v>
      </c>
      <c r="I20557" s="3">
        <v>805.74</v>
      </c>
      <c r="J20557" s="3">
        <v>63.74</v>
      </c>
      <c r="L20557">
        <v>412</v>
      </c>
      <c r="M20557" t="s">
        <v>40503</v>
      </c>
      <c r="N20557" t="s">
        <v>30</v>
      </c>
      <c r="O20557" t="s">
        <v>31</v>
      </c>
      <c r="P20557" t="str">
        <f t="shared" si="255"/>
        <v>15210</v>
      </c>
    </row>
    <row r="20558" spans="1:16" x14ac:dyDescent="0.25">
      <c r="A20558" t="str">
        <f>"1300014J00032    00"</f>
        <v>1300014J00032    00</v>
      </c>
      <c r="B20558" t="s">
        <v>44672</v>
      </c>
      <c r="C20558" t="s">
        <v>44669</v>
      </c>
      <c r="D20558" t="s">
        <v>20</v>
      </c>
      <c r="E20558" t="s">
        <v>39</v>
      </c>
      <c r="F20558">
        <v>0</v>
      </c>
      <c r="G20558">
        <v>0</v>
      </c>
      <c r="H20558">
        <v>2</v>
      </c>
      <c r="I20558" s="3">
        <v>155.36000000000001</v>
      </c>
      <c r="J20558" s="3">
        <v>0</v>
      </c>
      <c r="L20558">
        <v>412</v>
      </c>
      <c r="M20558" t="s">
        <v>40503</v>
      </c>
      <c r="N20558" t="s">
        <v>30</v>
      </c>
      <c r="O20558" t="s">
        <v>31</v>
      </c>
      <c r="P20558" t="str">
        <f t="shared" si="255"/>
        <v>15210</v>
      </c>
    </row>
    <row r="20559" spans="1:16" x14ac:dyDescent="0.25">
      <c r="A20559" t="str">
        <f>"1300014J00040    00"</f>
        <v>1300014J00040    00</v>
      </c>
      <c r="B20559" t="s">
        <v>44673</v>
      </c>
      <c r="C20559" t="s">
        <v>44674</v>
      </c>
      <c r="D20559" t="s">
        <v>20</v>
      </c>
      <c r="E20559" t="s">
        <v>39</v>
      </c>
      <c r="F20559">
        <v>0</v>
      </c>
      <c r="G20559">
        <v>0</v>
      </c>
      <c r="H20559">
        <v>2</v>
      </c>
      <c r="I20559" s="3">
        <v>876.8</v>
      </c>
      <c r="J20559" s="3">
        <v>0</v>
      </c>
      <c r="M20559" t="s">
        <v>44675</v>
      </c>
      <c r="N20559" t="s">
        <v>2008</v>
      </c>
      <c r="O20559" t="s">
        <v>31</v>
      </c>
      <c r="P20559" t="str">
        <f>"16066"</f>
        <v>16066</v>
      </c>
    </row>
    <row r="20560" spans="1:16" x14ac:dyDescent="0.25">
      <c r="A20560" t="str">
        <f>"1300014J00041    00"</f>
        <v>1300014J00041    00</v>
      </c>
      <c r="B20560" t="s">
        <v>44676</v>
      </c>
      <c r="C20560" t="s">
        <v>44677</v>
      </c>
      <c r="D20560" t="s">
        <v>20</v>
      </c>
      <c r="E20560" t="s">
        <v>39</v>
      </c>
      <c r="F20560">
        <v>0</v>
      </c>
      <c r="G20560">
        <v>0</v>
      </c>
      <c r="H20560">
        <v>18</v>
      </c>
      <c r="I20560" s="3">
        <v>11478.47</v>
      </c>
      <c r="J20560" s="3">
        <v>8853.58</v>
      </c>
      <c r="L20560">
        <v>403</v>
      </c>
      <c r="M20560" t="s">
        <v>40503</v>
      </c>
      <c r="N20560" t="s">
        <v>30</v>
      </c>
      <c r="O20560" t="s">
        <v>31</v>
      </c>
      <c r="P20560" t="str">
        <f>"15210"</f>
        <v>15210</v>
      </c>
    </row>
    <row r="20561" spans="1:16" x14ac:dyDescent="0.25">
      <c r="A20561" t="str">
        <f>"1300014J00044    00"</f>
        <v>1300014J00044    00</v>
      </c>
      <c r="B20561" t="s">
        <v>44678</v>
      </c>
      <c r="C20561" t="s">
        <v>44679</v>
      </c>
      <c r="D20561" t="s">
        <v>20</v>
      </c>
      <c r="E20561" t="s">
        <v>39</v>
      </c>
      <c r="F20561">
        <v>0</v>
      </c>
      <c r="G20561">
        <v>0</v>
      </c>
      <c r="H20561">
        <v>1</v>
      </c>
      <c r="I20561" s="3">
        <v>200.88</v>
      </c>
      <c r="J20561" s="3">
        <v>0</v>
      </c>
      <c r="L20561">
        <v>409</v>
      </c>
      <c r="M20561" t="s">
        <v>40503</v>
      </c>
      <c r="N20561" t="s">
        <v>30</v>
      </c>
      <c r="O20561" t="s">
        <v>31</v>
      </c>
      <c r="P20561" t="str">
        <f>"15210"</f>
        <v>15210</v>
      </c>
    </row>
    <row r="20562" spans="1:16" x14ac:dyDescent="0.25">
      <c r="A20562" t="str">
        <f>"1300014J00050    00"</f>
        <v>1300014J00050    00</v>
      </c>
      <c r="B20562" t="s">
        <v>44680</v>
      </c>
      <c r="C20562" t="s">
        <v>44681</v>
      </c>
      <c r="D20562" t="s">
        <v>20</v>
      </c>
      <c r="E20562" t="s">
        <v>39</v>
      </c>
      <c r="F20562">
        <v>0</v>
      </c>
      <c r="G20562">
        <v>0</v>
      </c>
      <c r="H20562">
        <v>19</v>
      </c>
      <c r="I20562" s="3">
        <v>15422.97</v>
      </c>
      <c r="J20562" s="3">
        <v>13981.85</v>
      </c>
      <c r="L20562">
        <v>2625</v>
      </c>
      <c r="M20562" t="s">
        <v>44682</v>
      </c>
      <c r="N20562" t="s">
        <v>44683</v>
      </c>
      <c r="O20562" t="s">
        <v>495</v>
      </c>
      <c r="P20562" t="str">
        <f>"92008"</f>
        <v>92008</v>
      </c>
    </row>
    <row r="20563" spans="1:16" x14ac:dyDescent="0.25">
      <c r="A20563" t="str">
        <f>"1300014J00053    00"</f>
        <v>1300014J00053    00</v>
      </c>
      <c r="B20563" t="s">
        <v>44684</v>
      </c>
      <c r="C20563" t="s">
        <v>44669</v>
      </c>
      <c r="D20563" t="s">
        <v>20</v>
      </c>
      <c r="E20563" t="s">
        <v>39</v>
      </c>
      <c r="F20563">
        <v>0</v>
      </c>
      <c r="G20563">
        <v>0</v>
      </c>
      <c r="H20563">
        <v>3</v>
      </c>
      <c r="I20563" s="3">
        <v>40.049999999999997</v>
      </c>
      <c r="J20563" s="3">
        <v>2.68</v>
      </c>
      <c r="L20563">
        <v>2036</v>
      </c>
      <c r="M20563" t="s">
        <v>44685</v>
      </c>
      <c r="N20563" t="s">
        <v>26661</v>
      </c>
      <c r="O20563" t="s">
        <v>31</v>
      </c>
      <c r="P20563" t="str">
        <f>"15129"</f>
        <v>15129</v>
      </c>
    </row>
    <row r="20564" spans="1:16" x14ac:dyDescent="0.25">
      <c r="A20564" t="str">
        <f>"1300014J00054    00"</f>
        <v>1300014J00054    00</v>
      </c>
      <c r="B20564" t="s">
        <v>44686</v>
      </c>
      <c r="C20564" t="s">
        <v>44687</v>
      </c>
      <c r="D20564" t="s">
        <v>20</v>
      </c>
      <c r="E20564" t="s">
        <v>39</v>
      </c>
      <c r="F20564">
        <v>0</v>
      </c>
      <c r="G20564">
        <v>0</v>
      </c>
      <c r="H20564">
        <v>3</v>
      </c>
      <c r="I20564" s="3">
        <v>1395.27</v>
      </c>
      <c r="J20564" s="3">
        <v>93.01</v>
      </c>
      <c r="L20564">
        <v>2036</v>
      </c>
      <c r="M20564" t="s">
        <v>44685</v>
      </c>
      <c r="N20564" t="s">
        <v>26661</v>
      </c>
      <c r="O20564" t="s">
        <v>31</v>
      </c>
      <c r="P20564" t="str">
        <f>"15129"</f>
        <v>15129</v>
      </c>
    </row>
    <row r="20565" spans="1:16" x14ac:dyDescent="0.25">
      <c r="A20565" t="str">
        <f>"1300014J00055    00"</f>
        <v>1300014J00055    00</v>
      </c>
      <c r="B20565" t="s">
        <v>44688</v>
      </c>
      <c r="C20565" t="s">
        <v>44689</v>
      </c>
      <c r="D20565" t="s">
        <v>20</v>
      </c>
      <c r="E20565" t="s">
        <v>39</v>
      </c>
      <c r="F20565">
        <v>0</v>
      </c>
      <c r="G20565">
        <v>0</v>
      </c>
      <c r="H20565">
        <v>18</v>
      </c>
      <c r="I20565" s="3">
        <v>11730.54</v>
      </c>
      <c r="J20565" s="3">
        <v>8709.09</v>
      </c>
      <c r="K20565" t="s">
        <v>44690</v>
      </c>
      <c r="L20565">
        <v>433</v>
      </c>
      <c r="M20565" t="s">
        <v>40503</v>
      </c>
      <c r="N20565" t="s">
        <v>30</v>
      </c>
      <c r="O20565" t="s">
        <v>31</v>
      </c>
      <c r="P20565" t="str">
        <f>"15210"</f>
        <v>15210</v>
      </c>
    </row>
    <row r="20566" spans="1:16" x14ac:dyDescent="0.25">
      <c r="A20566" t="str">
        <f>"1300014J00056    00"</f>
        <v>1300014J00056    00</v>
      </c>
      <c r="B20566" t="s">
        <v>44691</v>
      </c>
      <c r="C20566" t="s">
        <v>44669</v>
      </c>
      <c r="D20566" t="s">
        <v>20</v>
      </c>
      <c r="E20566" t="s">
        <v>39</v>
      </c>
      <c r="F20566">
        <v>0</v>
      </c>
      <c r="G20566">
        <v>0</v>
      </c>
      <c r="H20566">
        <v>14</v>
      </c>
      <c r="I20566" s="3">
        <v>1017.77</v>
      </c>
      <c r="J20566" s="3">
        <v>558.97</v>
      </c>
      <c r="L20566">
        <v>11399</v>
      </c>
      <c r="M20566" t="s">
        <v>44692</v>
      </c>
      <c r="N20566" t="s">
        <v>30</v>
      </c>
      <c r="O20566" t="s">
        <v>31</v>
      </c>
      <c r="P20566" t="str">
        <f>"15235"</f>
        <v>15235</v>
      </c>
    </row>
    <row r="20567" spans="1:16" x14ac:dyDescent="0.25">
      <c r="A20567" t="str">
        <f>"1300014J00057    00"</f>
        <v>1300014J00057    00</v>
      </c>
      <c r="B20567" t="s">
        <v>44693</v>
      </c>
      <c r="C20567" t="s">
        <v>44669</v>
      </c>
      <c r="D20567" t="s">
        <v>20</v>
      </c>
      <c r="E20567" t="s">
        <v>39</v>
      </c>
      <c r="F20567">
        <v>0</v>
      </c>
      <c r="G20567">
        <v>0</v>
      </c>
      <c r="H20567">
        <v>18</v>
      </c>
      <c r="I20567" s="3">
        <v>2823.85</v>
      </c>
      <c r="J20567" s="3">
        <v>3442.76</v>
      </c>
      <c r="L20567">
        <v>556</v>
      </c>
      <c r="M20567" t="s">
        <v>37936</v>
      </c>
      <c r="N20567" t="s">
        <v>295</v>
      </c>
      <c r="O20567" t="s">
        <v>31</v>
      </c>
      <c r="P20567" t="str">
        <f>"15146"</f>
        <v>15146</v>
      </c>
    </row>
    <row r="20568" spans="1:16" x14ac:dyDescent="0.25">
      <c r="A20568" t="str">
        <f>"1300014J00058    00"</f>
        <v>1300014J00058    00</v>
      </c>
      <c r="B20568" t="s">
        <v>44694</v>
      </c>
      <c r="C20568" t="s">
        <v>44669</v>
      </c>
      <c r="D20568" t="s">
        <v>57</v>
      </c>
      <c r="E20568" t="s">
        <v>39</v>
      </c>
      <c r="F20568">
        <v>0</v>
      </c>
      <c r="G20568">
        <v>0</v>
      </c>
      <c r="H20568">
        <v>1</v>
      </c>
      <c r="I20568" s="3">
        <v>85.78</v>
      </c>
      <c r="J20568" s="3">
        <v>0</v>
      </c>
      <c r="L20568">
        <v>427</v>
      </c>
      <c r="M20568" t="s">
        <v>3295</v>
      </c>
      <c r="N20568" t="s">
        <v>30</v>
      </c>
      <c r="O20568" t="s">
        <v>31</v>
      </c>
      <c r="P20568" t="str">
        <f>"15210"</f>
        <v>15210</v>
      </c>
    </row>
    <row r="20569" spans="1:16" x14ac:dyDescent="0.25">
      <c r="A20569" t="str">
        <f>"1300014J00060    00"</f>
        <v>1300014J00060    00</v>
      </c>
      <c r="B20569" t="s">
        <v>44695</v>
      </c>
      <c r="C20569" t="s">
        <v>44696</v>
      </c>
      <c r="E20569" t="s">
        <v>39</v>
      </c>
      <c r="F20569">
        <v>0</v>
      </c>
      <c r="G20569">
        <v>0</v>
      </c>
      <c r="H20569">
        <v>2</v>
      </c>
      <c r="I20569" s="3">
        <v>407.38</v>
      </c>
      <c r="J20569" s="3">
        <v>592.45000000000005</v>
      </c>
      <c r="L20569">
        <v>5358</v>
      </c>
      <c r="M20569" t="s">
        <v>12218</v>
      </c>
      <c r="N20569" t="s">
        <v>3934</v>
      </c>
      <c r="O20569" t="s">
        <v>31</v>
      </c>
      <c r="P20569" t="str">
        <f>"15102"</f>
        <v>15102</v>
      </c>
    </row>
    <row r="20570" spans="1:16" x14ac:dyDescent="0.25">
      <c r="A20570" t="str">
        <f>"1300014J00062    00"</f>
        <v>1300014J00062    00</v>
      </c>
      <c r="B20570" t="s">
        <v>44697</v>
      </c>
      <c r="C20570" t="s">
        <v>44698</v>
      </c>
      <c r="D20570" t="s">
        <v>20</v>
      </c>
      <c r="E20570" t="s">
        <v>39</v>
      </c>
      <c r="F20570">
        <v>0</v>
      </c>
      <c r="G20570">
        <v>0</v>
      </c>
      <c r="H20570">
        <v>10</v>
      </c>
      <c r="I20570" s="3">
        <v>6432.56</v>
      </c>
      <c r="J20570" s="3">
        <v>4350.05</v>
      </c>
      <c r="L20570">
        <v>436</v>
      </c>
      <c r="M20570" t="s">
        <v>25833</v>
      </c>
      <c r="N20570" t="s">
        <v>30</v>
      </c>
      <c r="O20570" t="s">
        <v>31</v>
      </c>
      <c r="P20570" t="str">
        <f>"15210"</f>
        <v>15210</v>
      </c>
    </row>
    <row r="20571" spans="1:16" x14ac:dyDescent="0.25">
      <c r="A20571" t="str">
        <f>"1300014J00063    00"</f>
        <v>1300014J00063    00</v>
      </c>
      <c r="B20571" t="s">
        <v>44699</v>
      </c>
      <c r="C20571" t="s">
        <v>44700</v>
      </c>
      <c r="D20571" t="s">
        <v>20</v>
      </c>
      <c r="E20571" t="s">
        <v>39</v>
      </c>
      <c r="F20571">
        <v>0</v>
      </c>
      <c r="G20571">
        <v>0</v>
      </c>
      <c r="H20571">
        <v>7</v>
      </c>
      <c r="I20571" s="3">
        <v>1153.82</v>
      </c>
      <c r="J20571" s="3">
        <v>726.52</v>
      </c>
      <c r="L20571">
        <v>434</v>
      </c>
      <c r="M20571" t="s">
        <v>25833</v>
      </c>
      <c r="N20571" t="s">
        <v>30</v>
      </c>
      <c r="O20571" t="s">
        <v>31</v>
      </c>
      <c r="P20571" t="str">
        <f>"15210"</f>
        <v>15210</v>
      </c>
    </row>
    <row r="20572" spans="1:16" x14ac:dyDescent="0.25">
      <c r="A20572" t="str">
        <f>"1300014J00064    00"</f>
        <v>1300014J00064    00</v>
      </c>
      <c r="B20572" t="s">
        <v>44701</v>
      </c>
      <c r="C20572" t="s">
        <v>44702</v>
      </c>
      <c r="D20572" t="s">
        <v>20</v>
      </c>
      <c r="E20572" t="s">
        <v>39</v>
      </c>
      <c r="F20572">
        <v>0</v>
      </c>
      <c r="G20572">
        <v>0</v>
      </c>
      <c r="H20572">
        <v>5</v>
      </c>
      <c r="I20572" s="3">
        <v>2585.25</v>
      </c>
      <c r="J20572" s="3">
        <v>662.73</v>
      </c>
      <c r="L20572">
        <v>432</v>
      </c>
      <c r="M20572" t="s">
        <v>25833</v>
      </c>
      <c r="N20572" t="s">
        <v>30</v>
      </c>
      <c r="O20572" t="s">
        <v>31</v>
      </c>
      <c r="P20572" t="str">
        <f>"15210"</f>
        <v>15210</v>
      </c>
    </row>
    <row r="20573" spans="1:16" x14ac:dyDescent="0.25">
      <c r="A20573" t="str">
        <f>"1300014J00066    00"</f>
        <v>1300014J00066    00</v>
      </c>
      <c r="B20573" t="s">
        <v>27123</v>
      </c>
      <c r="C20573" t="s">
        <v>44703</v>
      </c>
      <c r="D20573" t="s">
        <v>20</v>
      </c>
      <c r="E20573" t="s">
        <v>39</v>
      </c>
      <c r="F20573">
        <v>0</v>
      </c>
      <c r="G20573">
        <v>0</v>
      </c>
      <c r="H20573">
        <v>7</v>
      </c>
      <c r="I20573" s="3">
        <v>3196.01</v>
      </c>
      <c r="J20573" s="3">
        <v>967.22</v>
      </c>
      <c r="K20573" t="s">
        <v>44704</v>
      </c>
      <c r="L20573">
        <v>1617</v>
      </c>
      <c r="M20573" t="s">
        <v>27125</v>
      </c>
      <c r="N20573" t="s">
        <v>30</v>
      </c>
      <c r="O20573" t="s">
        <v>31</v>
      </c>
      <c r="P20573" t="str">
        <f>"15216"</f>
        <v>15216</v>
      </c>
    </row>
    <row r="20574" spans="1:16" x14ac:dyDescent="0.25">
      <c r="A20574" t="str">
        <f>"1300014J00067    00"</f>
        <v>1300014J00067    00</v>
      </c>
      <c r="B20574" t="s">
        <v>44705</v>
      </c>
      <c r="C20574" t="s">
        <v>44706</v>
      </c>
      <c r="D20574" t="s">
        <v>20</v>
      </c>
      <c r="E20574" t="s">
        <v>39</v>
      </c>
      <c r="F20574">
        <v>0</v>
      </c>
      <c r="G20574">
        <v>0</v>
      </c>
      <c r="H20574">
        <v>19</v>
      </c>
      <c r="I20574" s="3">
        <v>4001.79</v>
      </c>
      <c r="J20574" s="3">
        <v>4520.75</v>
      </c>
      <c r="K20574" t="s">
        <v>1008</v>
      </c>
      <c r="P20574" t="str">
        <f>""</f>
        <v/>
      </c>
    </row>
    <row r="20575" spans="1:16" x14ac:dyDescent="0.25">
      <c r="A20575" t="str">
        <f>"1300014J00068    00"</f>
        <v>1300014J00068    00</v>
      </c>
      <c r="B20575" t="s">
        <v>44707</v>
      </c>
      <c r="C20575" t="s">
        <v>44706</v>
      </c>
      <c r="D20575" t="s">
        <v>20</v>
      </c>
      <c r="E20575" t="s">
        <v>39</v>
      </c>
      <c r="F20575">
        <v>0</v>
      </c>
      <c r="G20575">
        <v>0</v>
      </c>
      <c r="H20575">
        <v>12</v>
      </c>
      <c r="I20575" s="3">
        <v>1010</v>
      </c>
      <c r="J20575" s="3">
        <v>1.35</v>
      </c>
      <c r="K20575" t="s">
        <v>44708</v>
      </c>
      <c r="L20575">
        <v>34</v>
      </c>
      <c r="M20575" t="s">
        <v>41628</v>
      </c>
      <c r="N20575" t="s">
        <v>30</v>
      </c>
      <c r="O20575" t="s">
        <v>31</v>
      </c>
      <c r="P20575" t="str">
        <f>"15238"</f>
        <v>15238</v>
      </c>
    </row>
    <row r="20576" spans="1:16" x14ac:dyDescent="0.25">
      <c r="A20576" t="str">
        <f>"1300014J00085    00"</f>
        <v>1300014J00085    00</v>
      </c>
      <c r="B20576" t="s">
        <v>44709</v>
      </c>
      <c r="C20576" t="s">
        <v>44710</v>
      </c>
      <c r="D20576" t="s">
        <v>20</v>
      </c>
      <c r="E20576" t="s">
        <v>39</v>
      </c>
      <c r="F20576">
        <v>0</v>
      </c>
      <c r="G20576">
        <v>0</v>
      </c>
      <c r="H20576">
        <v>1</v>
      </c>
      <c r="I20576" s="3">
        <v>1130.27</v>
      </c>
      <c r="J20576" s="3">
        <v>0</v>
      </c>
      <c r="L20576">
        <v>3026</v>
      </c>
      <c r="M20576" t="s">
        <v>44711</v>
      </c>
      <c r="N20576" t="s">
        <v>30</v>
      </c>
      <c r="O20576" t="s">
        <v>31</v>
      </c>
      <c r="P20576" t="str">
        <f>"15227"</f>
        <v>15227</v>
      </c>
    </row>
    <row r="20577" spans="1:16" x14ac:dyDescent="0.25">
      <c r="A20577" t="str">
        <f>"1300014J00087    00"</f>
        <v>1300014J00087    00</v>
      </c>
      <c r="B20577" t="s">
        <v>44712</v>
      </c>
      <c r="C20577" t="s">
        <v>44713</v>
      </c>
      <c r="D20577" t="s">
        <v>20</v>
      </c>
      <c r="E20577" t="s">
        <v>39</v>
      </c>
      <c r="F20577">
        <v>0</v>
      </c>
      <c r="G20577">
        <v>0</v>
      </c>
      <c r="H20577">
        <v>2</v>
      </c>
      <c r="I20577" s="3">
        <v>176.2</v>
      </c>
      <c r="J20577" s="3">
        <v>0</v>
      </c>
      <c r="L20577">
        <v>407</v>
      </c>
      <c r="M20577" t="s">
        <v>25833</v>
      </c>
      <c r="N20577" t="s">
        <v>30</v>
      </c>
      <c r="O20577" t="s">
        <v>31</v>
      </c>
      <c r="P20577" t="str">
        <f t="shared" ref="P20577:P20583" si="256">"15210"</f>
        <v>15210</v>
      </c>
    </row>
    <row r="20578" spans="1:16" x14ac:dyDescent="0.25">
      <c r="A20578" t="str">
        <f>"1300014J00092    01"</f>
        <v>1300014J00092    01</v>
      </c>
      <c r="B20578" t="s">
        <v>44714</v>
      </c>
      <c r="C20578" t="s">
        <v>44715</v>
      </c>
      <c r="D20578" t="s">
        <v>20</v>
      </c>
      <c r="E20578" t="s">
        <v>21</v>
      </c>
      <c r="F20578">
        <v>0</v>
      </c>
      <c r="G20578">
        <v>0</v>
      </c>
      <c r="H20578">
        <v>10</v>
      </c>
      <c r="I20578" s="3">
        <v>14491.32</v>
      </c>
      <c r="J20578" s="3">
        <v>10959.36</v>
      </c>
      <c r="K20578" t="s">
        <v>44716</v>
      </c>
      <c r="L20578">
        <v>677</v>
      </c>
      <c r="M20578" t="s">
        <v>24894</v>
      </c>
      <c r="N20578" t="s">
        <v>30</v>
      </c>
      <c r="O20578" t="s">
        <v>31</v>
      </c>
      <c r="P20578" t="str">
        <f t="shared" si="256"/>
        <v>15210</v>
      </c>
    </row>
    <row r="20579" spans="1:16" x14ac:dyDescent="0.25">
      <c r="A20579" t="str">
        <f>"1300014J00094    00"</f>
        <v>1300014J00094    00</v>
      </c>
      <c r="B20579" t="s">
        <v>44717</v>
      </c>
      <c r="C20579" t="s">
        <v>44718</v>
      </c>
      <c r="E20579" t="s">
        <v>39</v>
      </c>
      <c r="F20579">
        <v>0</v>
      </c>
      <c r="G20579">
        <v>0</v>
      </c>
      <c r="H20579">
        <v>3</v>
      </c>
      <c r="I20579" s="3">
        <v>788.17</v>
      </c>
      <c r="J20579" s="3">
        <v>356.62</v>
      </c>
      <c r="L20579">
        <v>413</v>
      </c>
      <c r="M20579" t="s">
        <v>25833</v>
      </c>
      <c r="N20579" t="s">
        <v>30</v>
      </c>
      <c r="O20579" t="s">
        <v>31</v>
      </c>
      <c r="P20579" t="str">
        <f t="shared" si="256"/>
        <v>15210</v>
      </c>
    </row>
    <row r="20580" spans="1:16" x14ac:dyDescent="0.25">
      <c r="A20580" t="str">
        <f>"1300014J00095    00"</f>
        <v>1300014J00095    00</v>
      </c>
      <c r="B20580" t="s">
        <v>44719</v>
      </c>
      <c r="C20580" t="s">
        <v>44718</v>
      </c>
      <c r="E20580" t="s">
        <v>39</v>
      </c>
      <c r="F20580">
        <v>0</v>
      </c>
      <c r="G20580">
        <v>0</v>
      </c>
      <c r="H20580">
        <v>2</v>
      </c>
      <c r="I20580" s="3">
        <v>115.2</v>
      </c>
      <c r="J20580" s="3">
        <v>50.5</v>
      </c>
      <c r="L20580">
        <v>413</v>
      </c>
      <c r="M20580" t="s">
        <v>25833</v>
      </c>
      <c r="N20580" t="s">
        <v>30</v>
      </c>
      <c r="O20580" t="s">
        <v>31</v>
      </c>
      <c r="P20580" t="str">
        <f t="shared" si="256"/>
        <v>15210</v>
      </c>
    </row>
    <row r="20581" spans="1:16" x14ac:dyDescent="0.25">
      <c r="A20581" t="str">
        <f>"1300014J00097    00"</f>
        <v>1300014J00097    00</v>
      </c>
      <c r="B20581" t="s">
        <v>44720</v>
      </c>
      <c r="C20581" t="s">
        <v>44721</v>
      </c>
      <c r="D20581" t="s">
        <v>20</v>
      </c>
      <c r="E20581" t="s">
        <v>39</v>
      </c>
      <c r="F20581">
        <v>0</v>
      </c>
      <c r="G20581">
        <v>0</v>
      </c>
      <c r="H20581">
        <v>11</v>
      </c>
      <c r="I20581" s="3">
        <v>9860.02</v>
      </c>
      <c r="J20581" s="3">
        <v>4625.32</v>
      </c>
      <c r="K20581" t="s">
        <v>44722</v>
      </c>
      <c r="L20581">
        <v>421</v>
      </c>
      <c r="M20581" t="s">
        <v>25833</v>
      </c>
      <c r="N20581" t="s">
        <v>30</v>
      </c>
      <c r="O20581" t="s">
        <v>31</v>
      </c>
      <c r="P20581" t="str">
        <f t="shared" si="256"/>
        <v>15210</v>
      </c>
    </row>
    <row r="20582" spans="1:16" x14ac:dyDescent="0.25">
      <c r="A20582" t="str">
        <f>"1300014J00105    00"</f>
        <v>1300014J00105    00</v>
      </c>
      <c r="B20582" t="s">
        <v>24893</v>
      </c>
      <c r="C20582" t="s">
        <v>44706</v>
      </c>
      <c r="D20582" t="s">
        <v>20</v>
      </c>
      <c r="E20582" t="s">
        <v>39</v>
      </c>
      <c r="F20582">
        <v>0</v>
      </c>
      <c r="G20582">
        <v>0</v>
      </c>
      <c r="H20582">
        <v>19</v>
      </c>
      <c r="I20582" s="3">
        <v>301.70999999999998</v>
      </c>
      <c r="J20582" s="3">
        <v>294.45</v>
      </c>
      <c r="L20582">
        <v>719</v>
      </c>
      <c r="M20582" t="s">
        <v>24894</v>
      </c>
      <c r="N20582" t="s">
        <v>30</v>
      </c>
      <c r="O20582" t="s">
        <v>31</v>
      </c>
      <c r="P20582" t="str">
        <f t="shared" si="256"/>
        <v>15210</v>
      </c>
    </row>
    <row r="20583" spans="1:16" x14ac:dyDescent="0.25">
      <c r="A20583" t="str">
        <f>"1300014K00058    00"</f>
        <v>1300014K00058    00</v>
      </c>
      <c r="B20583" t="s">
        <v>44723</v>
      </c>
      <c r="C20583" t="s">
        <v>44724</v>
      </c>
      <c r="D20583" t="s">
        <v>20</v>
      </c>
      <c r="E20583" t="s">
        <v>21</v>
      </c>
      <c r="F20583">
        <v>0</v>
      </c>
      <c r="G20583">
        <v>0</v>
      </c>
      <c r="H20583">
        <v>9</v>
      </c>
      <c r="I20583" s="3">
        <v>48425.26</v>
      </c>
      <c r="J20583" s="3">
        <v>33299.519999999997</v>
      </c>
      <c r="K20583" t="s">
        <v>44725</v>
      </c>
      <c r="L20583">
        <v>103</v>
      </c>
      <c r="M20583" t="s">
        <v>3123</v>
      </c>
      <c r="N20583" t="s">
        <v>30</v>
      </c>
      <c r="O20583" t="s">
        <v>31</v>
      </c>
      <c r="P20583" t="str">
        <f t="shared" si="256"/>
        <v>15210</v>
      </c>
    </row>
    <row r="20584" spans="1:16" x14ac:dyDescent="0.25">
      <c r="A20584" t="str">
        <f>"1300014K00061    00"</f>
        <v>1300014K00061    00</v>
      </c>
      <c r="B20584" t="s">
        <v>44726</v>
      </c>
      <c r="C20584" t="s">
        <v>44727</v>
      </c>
      <c r="D20584" t="s">
        <v>20</v>
      </c>
      <c r="E20584" t="s">
        <v>39</v>
      </c>
      <c r="F20584">
        <v>0</v>
      </c>
      <c r="G20584">
        <v>0</v>
      </c>
      <c r="H20584">
        <v>5</v>
      </c>
      <c r="I20584" s="3">
        <v>2742.24</v>
      </c>
      <c r="J20584" s="3">
        <v>587.15</v>
      </c>
      <c r="L20584">
        <v>215</v>
      </c>
      <c r="M20584" t="s">
        <v>2119</v>
      </c>
      <c r="N20584" t="s">
        <v>30</v>
      </c>
      <c r="O20584" t="s">
        <v>31</v>
      </c>
      <c r="P20584" t="str">
        <f>"15207"</f>
        <v>15207</v>
      </c>
    </row>
    <row r="20585" spans="1:16" x14ac:dyDescent="0.25">
      <c r="A20585" t="str">
        <f>"1300014K00066    00"</f>
        <v>1300014K00066    00</v>
      </c>
      <c r="B20585" t="s">
        <v>44728</v>
      </c>
      <c r="C20585" t="s">
        <v>44729</v>
      </c>
      <c r="D20585" t="s">
        <v>20</v>
      </c>
      <c r="E20585" t="s">
        <v>39</v>
      </c>
      <c r="F20585">
        <v>0</v>
      </c>
      <c r="G20585">
        <v>0</v>
      </c>
      <c r="H20585">
        <v>3</v>
      </c>
      <c r="I20585" s="3">
        <v>2041.35</v>
      </c>
      <c r="J20585" s="3">
        <v>136.09</v>
      </c>
      <c r="K20585" t="s">
        <v>44730</v>
      </c>
      <c r="L20585">
        <v>235</v>
      </c>
      <c r="M20585" t="s">
        <v>25833</v>
      </c>
      <c r="N20585" t="s">
        <v>30</v>
      </c>
      <c r="O20585" t="s">
        <v>31</v>
      </c>
      <c r="P20585" t="str">
        <f>"15210"</f>
        <v>15210</v>
      </c>
    </row>
    <row r="20586" spans="1:16" x14ac:dyDescent="0.25">
      <c r="A20586" t="str">
        <f>"1300014K00076    00"</f>
        <v>1300014K00076    00</v>
      </c>
      <c r="B20586" t="s">
        <v>44731</v>
      </c>
      <c r="C20586" t="s">
        <v>44732</v>
      </c>
      <c r="D20586" t="s">
        <v>20</v>
      </c>
      <c r="E20586" t="s">
        <v>39</v>
      </c>
      <c r="F20586">
        <v>0</v>
      </c>
      <c r="G20586">
        <v>0</v>
      </c>
      <c r="H20586">
        <v>2</v>
      </c>
      <c r="I20586" s="3">
        <v>33.700000000000003</v>
      </c>
      <c r="J20586" s="3">
        <v>0</v>
      </c>
      <c r="K20586" t="s">
        <v>44733</v>
      </c>
      <c r="M20586" t="s">
        <v>40282</v>
      </c>
      <c r="N20586" t="s">
        <v>30</v>
      </c>
      <c r="O20586" t="s">
        <v>31</v>
      </c>
      <c r="P20586" t="str">
        <f>"15244"</f>
        <v>15244</v>
      </c>
    </row>
    <row r="20587" spans="1:16" x14ac:dyDescent="0.25">
      <c r="A20587" t="str">
        <f>"1300014K00077    00"</f>
        <v>1300014K00077    00</v>
      </c>
      <c r="B20587" t="s">
        <v>44734</v>
      </c>
      <c r="C20587" t="s">
        <v>44735</v>
      </c>
      <c r="D20587" t="s">
        <v>20</v>
      </c>
      <c r="E20587" t="s">
        <v>39</v>
      </c>
      <c r="F20587">
        <v>0</v>
      </c>
      <c r="G20587">
        <v>0</v>
      </c>
      <c r="H20587">
        <v>1</v>
      </c>
      <c r="I20587" s="3">
        <v>964.46</v>
      </c>
      <c r="J20587" s="3">
        <v>0</v>
      </c>
      <c r="L20587">
        <v>305</v>
      </c>
      <c r="M20587" t="s">
        <v>25833</v>
      </c>
      <c r="N20587" t="s">
        <v>30</v>
      </c>
      <c r="O20587" t="s">
        <v>31</v>
      </c>
      <c r="P20587" t="str">
        <f>"15210"</f>
        <v>15210</v>
      </c>
    </row>
    <row r="20588" spans="1:16" x14ac:dyDescent="0.25">
      <c r="A20588" t="str">
        <f>"1300014K00079    00"</f>
        <v>1300014K00079    00</v>
      </c>
      <c r="B20588" t="s">
        <v>44736</v>
      </c>
      <c r="C20588" t="s">
        <v>44737</v>
      </c>
      <c r="D20588" t="s">
        <v>20</v>
      </c>
      <c r="E20588" t="s">
        <v>39</v>
      </c>
      <c r="F20588">
        <v>0</v>
      </c>
      <c r="G20588">
        <v>0</v>
      </c>
      <c r="H20588">
        <v>19</v>
      </c>
      <c r="I20588" s="3">
        <v>11738.56</v>
      </c>
      <c r="J20588" s="3">
        <v>11813.28</v>
      </c>
      <c r="L20588">
        <v>309</v>
      </c>
      <c r="M20588" t="s">
        <v>25833</v>
      </c>
      <c r="N20588" t="s">
        <v>30</v>
      </c>
      <c r="O20588" t="s">
        <v>31</v>
      </c>
      <c r="P20588" t="str">
        <f>"15210"</f>
        <v>15210</v>
      </c>
    </row>
    <row r="20589" spans="1:16" x14ac:dyDescent="0.25">
      <c r="A20589" t="str">
        <f>"1300014K00080    00"</f>
        <v>1300014K00080    00</v>
      </c>
      <c r="B20589" t="s">
        <v>44738</v>
      </c>
      <c r="C20589" t="s">
        <v>44739</v>
      </c>
      <c r="D20589" t="s">
        <v>20</v>
      </c>
      <c r="E20589" t="s">
        <v>39</v>
      </c>
      <c r="F20589">
        <v>0</v>
      </c>
      <c r="G20589">
        <v>0</v>
      </c>
      <c r="H20589">
        <v>1</v>
      </c>
      <c r="I20589" s="3">
        <v>124.65</v>
      </c>
      <c r="J20589" s="3">
        <v>0</v>
      </c>
      <c r="K20589" t="s">
        <v>44740</v>
      </c>
      <c r="L20589">
        <v>15135</v>
      </c>
      <c r="M20589" t="s">
        <v>44741</v>
      </c>
      <c r="N20589" t="s">
        <v>44742</v>
      </c>
      <c r="O20589" t="s">
        <v>692</v>
      </c>
      <c r="P20589" t="str">
        <f>"20169"</f>
        <v>20169</v>
      </c>
    </row>
    <row r="20590" spans="1:16" x14ac:dyDescent="0.25">
      <c r="A20590" t="str">
        <f>"1300014K00083    00"</f>
        <v>1300014K00083    00</v>
      </c>
      <c r="B20590" t="s">
        <v>44743</v>
      </c>
      <c r="C20590" t="s">
        <v>44744</v>
      </c>
      <c r="D20590" t="s">
        <v>20</v>
      </c>
      <c r="E20590" t="s">
        <v>39</v>
      </c>
      <c r="F20590">
        <v>0</v>
      </c>
      <c r="G20590">
        <v>0</v>
      </c>
      <c r="H20590">
        <v>2</v>
      </c>
      <c r="I20590" s="3">
        <v>1079.82</v>
      </c>
      <c r="J20590" s="3">
        <v>0</v>
      </c>
      <c r="K20590" t="s">
        <v>44745</v>
      </c>
      <c r="L20590">
        <v>317</v>
      </c>
      <c r="M20590" t="s">
        <v>25833</v>
      </c>
      <c r="N20590" t="s">
        <v>30</v>
      </c>
      <c r="O20590" t="s">
        <v>31</v>
      </c>
      <c r="P20590" t="str">
        <f>"15210"</f>
        <v>15210</v>
      </c>
    </row>
    <row r="20591" spans="1:16" x14ac:dyDescent="0.25">
      <c r="A20591" t="str">
        <f>"1300014K00084    00"</f>
        <v>1300014K00084    00</v>
      </c>
      <c r="B20591" t="s">
        <v>44746</v>
      </c>
      <c r="C20591" t="s">
        <v>44747</v>
      </c>
      <c r="E20591" t="s">
        <v>39</v>
      </c>
      <c r="F20591">
        <v>0</v>
      </c>
      <c r="G20591">
        <v>0</v>
      </c>
      <c r="H20591">
        <v>2</v>
      </c>
      <c r="I20591" s="3">
        <v>732.34</v>
      </c>
      <c r="J20591" s="3">
        <v>151.81</v>
      </c>
      <c r="L20591">
        <v>319</v>
      </c>
      <c r="M20591" t="s">
        <v>25833</v>
      </c>
      <c r="N20591" t="s">
        <v>30</v>
      </c>
      <c r="O20591" t="s">
        <v>31</v>
      </c>
      <c r="P20591" t="str">
        <f>"15210"</f>
        <v>15210</v>
      </c>
    </row>
    <row r="20592" spans="1:16" x14ac:dyDescent="0.25">
      <c r="A20592" t="str">
        <f>"1300014K00092    00"</f>
        <v>1300014K00092    00</v>
      </c>
      <c r="B20592" t="s">
        <v>43979</v>
      </c>
      <c r="C20592" t="s">
        <v>44748</v>
      </c>
      <c r="D20592" t="s">
        <v>20</v>
      </c>
      <c r="E20592" t="s">
        <v>39</v>
      </c>
      <c r="F20592">
        <v>0</v>
      </c>
      <c r="G20592">
        <v>0</v>
      </c>
      <c r="H20592">
        <v>6</v>
      </c>
      <c r="I20592" s="3">
        <v>4539.08</v>
      </c>
      <c r="J20592" s="3">
        <v>1018</v>
      </c>
      <c r="L20592">
        <v>190</v>
      </c>
      <c r="M20592" t="s">
        <v>23355</v>
      </c>
      <c r="N20592" t="s">
        <v>6351</v>
      </c>
      <c r="O20592" t="s">
        <v>31</v>
      </c>
      <c r="P20592" t="str">
        <f>"16059"</f>
        <v>16059</v>
      </c>
    </row>
    <row r="20593" spans="1:16" x14ac:dyDescent="0.25">
      <c r="A20593" t="str">
        <f>"1300014K00098    00"</f>
        <v>1300014K00098    00</v>
      </c>
      <c r="B20593" t="s">
        <v>44749</v>
      </c>
      <c r="C20593" t="s">
        <v>44706</v>
      </c>
      <c r="D20593" t="s">
        <v>20</v>
      </c>
      <c r="E20593" t="s">
        <v>39</v>
      </c>
      <c r="F20593">
        <v>0</v>
      </c>
      <c r="G20593">
        <v>0</v>
      </c>
      <c r="H20593">
        <v>19</v>
      </c>
      <c r="I20593" s="3">
        <v>301.70999999999998</v>
      </c>
      <c r="J20593" s="3">
        <v>294.45</v>
      </c>
      <c r="L20593">
        <v>340</v>
      </c>
      <c r="M20593" t="s">
        <v>25833</v>
      </c>
      <c r="N20593" t="s">
        <v>30</v>
      </c>
      <c r="O20593" t="s">
        <v>31</v>
      </c>
      <c r="P20593" t="str">
        <f>"15210"</f>
        <v>15210</v>
      </c>
    </row>
    <row r="20594" spans="1:16" x14ac:dyDescent="0.25">
      <c r="A20594" t="str">
        <f>"1300014K00099    00"</f>
        <v>1300014K00099    00</v>
      </c>
      <c r="B20594" t="s">
        <v>44750</v>
      </c>
      <c r="C20594" t="s">
        <v>44706</v>
      </c>
      <c r="D20594" t="s">
        <v>20</v>
      </c>
      <c r="E20594" t="s">
        <v>39</v>
      </c>
      <c r="F20594">
        <v>0</v>
      </c>
      <c r="G20594">
        <v>0</v>
      </c>
      <c r="H20594">
        <v>19</v>
      </c>
      <c r="I20594" s="3">
        <v>2300.7199999999998</v>
      </c>
      <c r="J20594" s="3">
        <v>2246.9499999999998</v>
      </c>
      <c r="P20594" t="str">
        <f>""</f>
        <v/>
      </c>
    </row>
    <row r="20595" spans="1:16" x14ac:dyDescent="0.25">
      <c r="A20595" t="str">
        <f>"1300014K00100    00"</f>
        <v>1300014K00100    00</v>
      </c>
      <c r="B20595" t="s">
        <v>44751</v>
      </c>
      <c r="C20595" t="s">
        <v>44752</v>
      </c>
      <c r="D20595" t="s">
        <v>20</v>
      </c>
      <c r="E20595" t="s">
        <v>39</v>
      </c>
      <c r="F20595">
        <v>0</v>
      </c>
      <c r="G20595">
        <v>0</v>
      </c>
      <c r="H20595">
        <v>8</v>
      </c>
      <c r="I20595" s="3">
        <v>1583.13</v>
      </c>
      <c r="J20595" s="3">
        <v>543.33000000000004</v>
      </c>
      <c r="L20595">
        <v>1608</v>
      </c>
      <c r="M20595" t="s">
        <v>44753</v>
      </c>
      <c r="N20595" t="s">
        <v>6603</v>
      </c>
      <c r="O20595" t="s">
        <v>31</v>
      </c>
      <c r="P20595" t="str">
        <f>"15122"</f>
        <v>15122</v>
      </c>
    </row>
    <row r="20596" spans="1:16" x14ac:dyDescent="0.25">
      <c r="A20596" t="str">
        <f>"1300014K00101    00"</f>
        <v>1300014K00101    00</v>
      </c>
      <c r="B20596" t="s">
        <v>44754</v>
      </c>
      <c r="C20596" t="s">
        <v>44755</v>
      </c>
      <c r="D20596" t="s">
        <v>20</v>
      </c>
      <c r="E20596" t="s">
        <v>39</v>
      </c>
      <c r="F20596">
        <v>0</v>
      </c>
      <c r="G20596">
        <v>0</v>
      </c>
      <c r="H20596">
        <v>14</v>
      </c>
      <c r="I20596" s="3">
        <v>14024.1</v>
      </c>
      <c r="J20596" s="3">
        <v>8698.7800000000007</v>
      </c>
      <c r="L20596">
        <v>334</v>
      </c>
      <c r="M20596" t="s">
        <v>25833</v>
      </c>
      <c r="N20596" t="s">
        <v>30</v>
      </c>
      <c r="O20596" t="s">
        <v>31</v>
      </c>
      <c r="P20596" t="str">
        <f>"15210"</f>
        <v>15210</v>
      </c>
    </row>
    <row r="20597" spans="1:16" x14ac:dyDescent="0.25">
      <c r="A20597" t="str">
        <f>"1300014K00110    00"</f>
        <v>1300014K00110    00</v>
      </c>
      <c r="B20597" t="s">
        <v>44756</v>
      </c>
      <c r="C20597" t="s">
        <v>44757</v>
      </c>
      <c r="D20597" t="s">
        <v>20</v>
      </c>
      <c r="E20597" t="s">
        <v>39</v>
      </c>
      <c r="F20597">
        <v>0</v>
      </c>
      <c r="G20597">
        <v>0</v>
      </c>
      <c r="H20597">
        <v>15</v>
      </c>
      <c r="I20597" s="3">
        <v>16191.9</v>
      </c>
      <c r="J20597" s="3">
        <v>12050.64</v>
      </c>
      <c r="K20597" t="s">
        <v>44758</v>
      </c>
      <c r="L20597">
        <v>141</v>
      </c>
      <c r="M20597" t="s">
        <v>44759</v>
      </c>
      <c r="N20597" t="s">
        <v>30</v>
      </c>
      <c r="O20597" t="s">
        <v>31</v>
      </c>
      <c r="P20597" t="str">
        <f>"15210"</f>
        <v>15210</v>
      </c>
    </row>
    <row r="20598" spans="1:16" x14ac:dyDescent="0.25">
      <c r="A20598" t="str">
        <f>"1300014K00112    00"</f>
        <v>1300014K00112    00</v>
      </c>
      <c r="B20598" t="s">
        <v>44760</v>
      </c>
      <c r="C20598" t="s">
        <v>44761</v>
      </c>
      <c r="D20598" t="s">
        <v>20</v>
      </c>
      <c r="E20598" t="s">
        <v>39</v>
      </c>
      <c r="F20598">
        <v>0</v>
      </c>
      <c r="G20598">
        <v>0</v>
      </c>
      <c r="H20598">
        <v>11</v>
      </c>
      <c r="I20598" s="3">
        <v>9918.76</v>
      </c>
      <c r="J20598" s="3">
        <v>4613.84</v>
      </c>
      <c r="K20598" t="s">
        <v>44762</v>
      </c>
      <c r="L20598">
        <v>109</v>
      </c>
      <c r="M20598" t="s">
        <v>2475</v>
      </c>
      <c r="N20598" t="s">
        <v>30</v>
      </c>
      <c r="O20598" t="s">
        <v>31</v>
      </c>
      <c r="P20598" t="str">
        <f>"15210"</f>
        <v>15210</v>
      </c>
    </row>
    <row r="20599" spans="1:16" x14ac:dyDescent="0.25">
      <c r="A20599" t="str">
        <f>"1300014K00120    00"</f>
        <v>1300014K00120    00</v>
      </c>
      <c r="B20599" t="s">
        <v>44763</v>
      </c>
      <c r="C20599" t="s">
        <v>44764</v>
      </c>
      <c r="D20599" t="s">
        <v>20</v>
      </c>
      <c r="E20599" t="s">
        <v>39</v>
      </c>
      <c r="F20599">
        <v>0</v>
      </c>
      <c r="G20599">
        <v>0</v>
      </c>
      <c r="H20599">
        <v>4</v>
      </c>
      <c r="I20599" s="3">
        <v>763.98</v>
      </c>
      <c r="J20599" s="3">
        <v>77.41</v>
      </c>
      <c r="L20599">
        <v>248</v>
      </c>
      <c r="M20599" t="s">
        <v>25833</v>
      </c>
      <c r="N20599" t="s">
        <v>30</v>
      </c>
      <c r="O20599" t="s">
        <v>31</v>
      </c>
      <c r="P20599" t="str">
        <f>"15210"</f>
        <v>15210</v>
      </c>
    </row>
    <row r="20600" spans="1:16" x14ac:dyDescent="0.25">
      <c r="A20600" t="str">
        <f>"1300014K00131    00"</f>
        <v>1300014K00131    00</v>
      </c>
      <c r="B20600" t="s">
        <v>44765</v>
      </c>
      <c r="C20600" t="s">
        <v>44766</v>
      </c>
      <c r="E20600" t="s">
        <v>39</v>
      </c>
      <c r="F20600">
        <v>0</v>
      </c>
      <c r="G20600">
        <v>0</v>
      </c>
      <c r="H20600">
        <v>2</v>
      </c>
      <c r="I20600" s="3">
        <v>994.63</v>
      </c>
      <c r="J20600" s="3">
        <v>67.3</v>
      </c>
      <c r="K20600" t="s">
        <v>44767</v>
      </c>
      <c r="L20600">
        <v>228</v>
      </c>
      <c r="M20600" t="s">
        <v>25833</v>
      </c>
      <c r="N20600" t="s">
        <v>30</v>
      </c>
      <c r="O20600" t="s">
        <v>31</v>
      </c>
      <c r="P20600" t="str">
        <f>"15210"</f>
        <v>15210</v>
      </c>
    </row>
    <row r="20601" spans="1:16" x14ac:dyDescent="0.25">
      <c r="A20601" t="str">
        <f>"1300014K00144    00"</f>
        <v>1300014K00144    00</v>
      </c>
      <c r="B20601" t="s">
        <v>44768</v>
      </c>
      <c r="C20601" t="s">
        <v>44769</v>
      </c>
      <c r="D20601" t="s">
        <v>20</v>
      </c>
      <c r="E20601" t="s">
        <v>39</v>
      </c>
      <c r="F20601">
        <v>0</v>
      </c>
      <c r="G20601">
        <v>0</v>
      </c>
      <c r="H20601">
        <v>11</v>
      </c>
      <c r="I20601" s="3">
        <v>10451.120000000001</v>
      </c>
      <c r="J20601" s="3">
        <v>5613.56</v>
      </c>
      <c r="K20601" t="s">
        <v>44770</v>
      </c>
      <c r="L20601">
        <v>3301</v>
      </c>
      <c r="M20601" t="s">
        <v>44771</v>
      </c>
      <c r="N20601" t="s">
        <v>24137</v>
      </c>
      <c r="O20601" t="s">
        <v>495</v>
      </c>
      <c r="P20601" t="str">
        <f>"95834"</f>
        <v>95834</v>
      </c>
    </row>
    <row r="20602" spans="1:16" x14ac:dyDescent="0.25">
      <c r="A20602" t="str">
        <f>"1300014K00148    00"</f>
        <v>1300014K00148    00</v>
      </c>
      <c r="B20602" t="s">
        <v>44772</v>
      </c>
      <c r="C20602" t="s">
        <v>44773</v>
      </c>
      <c r="D20602" t="s">
        <v>20</v>
      </c>
      <c r="E20602" t="s">
        <v>39</v>
      </c>
      <c r="F20602">
        <v>0</v>
      </c>
      <c r="G20602">
        <v>0</v>
      </c>
      <c r="H20602">
        <v>3</v>
      </c>
      <c r="I20602" s="3">
        <v>2997.93</v>
      </c>
      <c r="J20602" s="3">
        <v>142.80000000000001</v>
      </c>
      <c r="L20602">
        <v>801</v>
      </c>
      <c r="M20602" t="s">
        <v>44774</v>
      </c>
      <c r="N20602" t="s">
        <v>295</v>
      </c>
      <c r="O20602" t="s">
        <v>31</v>
      </c>
      <c r="P20602" t="str">
        <f>"15146"</f>
        <v>15146</v>
      </c>
    </row>
    <row r="20603" spans="1:16" x14ac:dyDescent="0.25">
      <c r="A20603" t="str">
        <f>"1300014K00152    00"</f>
        <v>1300014K00152    00</v>
      </c>
      <c r="B20603" t="s">
        <v>44775</v>
      </c>
      <c r="C20603" t="s">
        <v>44669</v>
      </c>
      <c r="D20603" t="s">
        <v>20</v>
      </c>
      <c r="E20603" t="s">
        <v>39</v>
      </c>
      <c r="F20603">
        <v>0</v>
      </c>
      <c r="G20603">
        <v>0</v>
      </c>
      <c r="H20603">
        <v>19</v>
      </c>
      <c r="I20603" s="3">
        <v>4139.7700000000004</v>
      </c>
      <c r="J20603" s="3">
        <v>5303.32</v>
      </c>
      <c r="L20603">
        <v>117</v>
      </c>
      <c r="M20603" t="s">
        <v>514</v>
      </c>
      <c r="N20603" t="s">
        <v>44776</v>
      </c>
      <c r="O20603" t="s">
        <v>31</v>
      </c>
      <c r="P20603" t="str">
        <f>"15067"</f>
        <v>15067</v>
      </c>
    </row>
    <row r="20604" spans="1:16" x14ac:dyDescent="0.25">
      <c r="A20604" t="str">
        <f>"1300014K00154    00"</f>
        <v>1300014K00154    00</v>
      </c>
      <c r="B20604" t="s">
        <v>42503</v>
      </c>
      <c r="C20604" t="s">
        <v>44777</v>
      </c>
      <c r="E20604" t="s">
        <v>39</v>
      </c>
      <c r="F20604">
        <v>0</v>
      </c>
      <c r="G20604">
        <v>0</v>
      </c>
      <c r="H20604">
        <v>2</v>
      </c>
      <c r="I20604" s="3">
        <v>1049.3800000000001</v>
      </c>
      <c r="J20604" s="3">
        <v>1177.01</v>
      </c>
      <c r="L20604">
        <v>2436</v>
      </c>
      <c r="M20604" t="s">
        <v>34619</v>
      </c>
      <c r="N20604" t="s">
        <v>30</v>
      </c>
      <c r="O20604" t="s">
        <v>31</v>
      </c>
      <c r="P20604" t="str">
        <f>"15241"</f>
        <v>15241</v>
      </c>
    </row>
    <row r="20605" spans="1:16" x14ac:dyDescent="0.25">
      <c r="A20605" t="str">
        <f>"1300014K00155    00"</f>
        <v>1300014K00155    00</v>
      </c>
      <c r="B20605" t="s">
        <v>44778</v>
      </c>
      <c r="C20605" t="s">
        <v>44779</v>
      </c>
      <c r="D20605" t="s">
        <v>20</v>
      </c>
      <c r="E20605" t="s">
        <v>39</v>
      </c>
      <c r="F20605">
        <v>0</v>
      </c>
      <c r="G20605">
        <v>0</v>
      </c>
      <c r="H20605">
        <v>19</v>
      </c>
      <c r="I20605" s="3">
        <v>18633.689999999999</v>
      </c>
      <c r="J20605" s="3">
        <v>19206.77</v>
      </c>
      <c r="L20605">
        <v>225</v>
      </c>
      <c r="M20605" t="s">
        <v>40503</v>
      </c>
      <c r="N20605" t="s">
        <v>30</v>
      </c>
      <c r="O20605" t="s">
        <v>31</v>
      </c>
      <c r="P20605" t="str">
        <f>"15210"</f>
        <v>15210</v>
      </c>
    </row>
    <row r="20606" spans="1:16" x14ac:dyDescent="0.25">
      <c r="A20606" t="str">
        <f>"1300014K00156    00"</f>
        <v>1300014K00156    00</v>
      </c>
      <c r="B20606" t="s">
        <v>44780</v>
      </c>
      <c r="C20606" t="s">
        <v>44669</v>
      </c>
      <c r="D20606" t="s">
        <v>20</v>
      </c>
      <c r="E20606" t="s">
        <v>39</v>
      </c>
      <c r="F20606">
        <v>0</v>
      </c>
      <c r="G20606">
        <v>0</v>
      </c>
      <c r="H20606">
        <v>15</v>
      </c>
      <c r="I20606" s="3">
        <v>190.85</v>
      </c>
      <c r="J20606" s="3">
        <v>128.56</v>
      </c>
      <c r="K20606" t="s">
        <v>44781</v>
      </c>
      <c r="L20606">
        <v>1550</v>
      </c>
      <c r="M20606" t="s">
        <v>44782</v>
      </c>
      <c r="N20606" t="s">
        <v>44783</v>
      </c>
      <c r="O20606" t="s">
        <v>25</v>
      </c>
      <c r="P20606" t="str">
        <f>"44241"</f>
        <v>44241</v>
      </c>
    </row>
    <row r="20607" spans="1:16" x14ac:dyDescent="0.25">
      <c r="A20607" t="str">
        <f>"1300014K00157    00"</f>
        <v>1300014K00157    00</v>
      </c>
      <c r="B20607" t="s">
        <v>44784</v>
      </c>
      <c r="C20607" t="s">
        <v>44669</v>
      </c>
      <c r="D20607" t="s">
        <v>20</v>
      </c>
      <c r="E20607" t="s">
        <v>39</v>
      </c>
      <c r="F20607">
        <v>0</v>
      </c>
      <c r="G20607">
        <v>0</v>
      </c>
      <c r="H20607">
        <v>14</v>
      </c>
      <c r="I20607" s="3">
        <v>450.41</v>
      </c>
      <c r="J20607" s="3">
        <v>449.61</v>
      </c>
      <c r="L20607">
        <v>229</v>
      </c>
      <c r="M20607" t="s">
        <v>44785</v>
      </c>
      <c r="N20607" t="s">
        <v>30</v>
      </c>
      <c r="O20607" t="s">
        <v>31</v>
      </c>
      <c r="P20607" t="str">
        <f>"15210"</f>
        <v>15210</v>
      </c>
    </row>
    <row r="20608" spans="1:16" x14ac:dyDescent="0.25">
      <c r="A20608" t="str">
        <f>"1300014K00158    00"</f>
        <v>1300014K00158    00</v>
      </c>
      <c r="B20608" t="s">
        <v>44786</v>
      </c>
      <c r="C20608" t="s">
        <v>44787</v>
      </c>
      <c r="E20608" t="s">
        <v>39</v>
      </c>
      <c r="F20608">
        <v>0</v>
      </c>
      <c r="G20608">
        <v>0</v>
      </c>
      <c r="H20608">
        <v>2</v>
      </c>
      <c r="I20608" s="3">
        <v>386.39</v>
      </c>
      <c r="J20608" s="3">
        <v>88.83</v>
      </c>
      <c r="L20608">
        <v>233</v>
      </c>
      <c r="M20608" t="s">
        <v>44788</v>
      </c>
      <c r="N20608" t="s">
        <v>30</v>
      </c>
      <c r="O20608" t="s">
        <v>31</v>
      </c>
      <c r="P20608" t="str">
        <f>"15210"</f>
        <v>15210</v>
      </c>
    </row>
    <row r="20609" spans="1:16" x14ac:dyDescent="0.25">
      <c r="A20609" t="str">
        <f>"1300014K00160    00"</f>
        <v>1300014K00160    00</v>
      </c>
      <c r="B20609" t="s">
        <v>44789</v>
      </c>
      <c r="C20609" t="s">
        <v>44790</v>
      </c>
      <c r="D20609" t="s">
        <v>20</v>
      </c>
      <c r="E20609" t="s">
        <v>39</v>
      </c>
      <c r="F20609">
        <v>0</v>
      </c>
      <c r="G20609">
        <v>0</v>
      </c>
      <c r="H20609">
        <v>3</v>
      </c>
      <c r="I20609" s="3">
        <v>171.54</v>
      </c>
      <c r="J20609" s="3">
        <v>11.44</v>
      </c>
      <c r="K20609" t="s">
        <v>44791</v>
      </c>
      <c r="L20609">
        <v>239</v>
      </c>
      <c r="M20609" t="s">
        <v>40503</v>
      </c>
      <c r="N20609" t="s">
        <v>30</v>
      </c>
      <c r="O20609" t="s">
        <v>31</v>
      </c>
      <c r="P20609" t="str">
        <f>"15210"</f>
        <v>15210</v>
      </c>
    </row>
    <row r="20610" spans="1:16" x14ac:dyDescent="0.25">
      <c r="A20610" t="str">
        <f>"1300014K00169    00"</f>
        <v>1300014K00169    00</v>
      </c>
      <c r="B20610" t="s">
        <v>44792</v>
      </c>
      <c r="C20610" t="s">
        <v>44669</v>
      </c>
      <c r="D20610" t="s">
        <v>20</v>
      </c>
      <c r="E20610" t="s">
        <v>39</v>
      </c>
      <c r="F20610">
        <v>0</v>
      </c>
      <c r="G20610">
        <v>0</v>
      </c>
      <c r="H20610">
        <v>16</v>
      </c>
      <c r="I20610" s="3">
        <v>6534.33</v>
      </c>
      <c r="J20610" s="3">
        <v>7261.24</v>
      </c>
      <c r="L20610">
        <v>924</v>
      </c>
      <c r="M20610" t="s">
        <v>8923</v>
      </c>
      <c r="N20610" t="s">
        <v>30</v>
      </c>
      <c r="O20610" t="s">
        <v>31</v>
      </c>
      <c r="P20610" t="str">
        <f>"15201"</f>
        <v>15201</v>
      </c>
    </row>
    <row r="20611" spans="1:16" x14ac:dyDescent="0.25">
      <c r="A20611" t="str">
        <f>"1300014K00170    00"</f>
        <v>1300014K00170    00</v>
      </c>
      <c r="B20611" t="s">
        <v>44793</v>
      </c>
      <c r="C20611" t="s">
        <v>44794</v>
      </c>
      <c r="D20611" t="s">
        <v>20</v>
      </c>
      <c r="E20611" t="s">
        <v>39</v>
      </c>
      <c r="F20611">
        <v>0</v>
      </c>
      <c r="G20611">
        <v>0</v>
      </c>
      <c r="H20611">
        <v>5</v>
      </c>
      <c r="I20611" s="3">
        <v>2681.61</v>
      </c>
      <c r="J20611" s="3">
        <v>510</v>
      </c>
      <c r="L20611">
        <v>311</v>
      </c>
      <c r="M20611" t="s">
        <v>40503</v>
      </c>
      <c r="N20611" t="s">
        <v>30</v>
      </c>
      <c r="O20611" t="s">
        <v>31</v>
      </c>
      <c r="P20611" t="str">
        <f>"15210"</f>
        <v>15210</v>
      </c>
    </row>
    <row r="20612" spans="1:16" x14ac:dyDescent="0.25">
      <c r="A20612" t="str">
        <f>"1300014K00171    00"</f>
        <v>1300014K00171    00</v>
      </c>
      <c r="B20612" t="s">
        <v>44795</v>
      </c>
      <c r="C20612" t="s">
        <v>44796</v>
      </c>
      <c r="D20612" t="s">
        <v>20</v>
      </c>
      <c r="E20612" t="s">
        <v>39</v>
      </c>
      <c r="F20612">
        <v>0</v>
      </c>
      <c r="G20612">
        <v>0</v>
      </c>
      <c r="H20612">
        <v>10</v>
      </c>
      <c r="I20612" s="3">
        <v>5043.24</v>
      </c>
      <c r="J20612" s="3">
        <v>871.03</v>
      </c>
      <c r="L20612">
        <v>2315</v>
      </c>
      <c r="M20612" t="s">
        <v>21280</v>
      </c>
      <c r="N20612" t="s">
        <v>30</v>
      </c>
      <c r="O20612" t="s">
        <v>31</v>
      </c>
      <c r="P20612" t="str">
        <f>"15210"</f>
        <v>15210</v>
      </c>
    </row>
    <row r="20613" spans="1:16" x14ac:dyDescent="0.25">
      <c r="A20613" t="str">
        <f>"1300014K00176    00"</f>
        <v>1300014K00176    00</v>
      </c>
      <c r="B20613" t="s">
        <v>44797</v>
      </c>
      <c r="C20613" t="s">
        <v>44798</v>
      </c>
      <c r="D20613" t="s">
        <v>20</v>
      </c>
      <c r="E20613" t="s">
        <v>39</v>
      </c>
      <c r="F20613">
        <v>0</v>
      </c>
      <c r="G20613">
        <v>0</v>
      </c>
      <c r="H20613">
        <v>7</v>
      </c>
      <c r="I20613" s="3">
        <v>716.27</v>
      </c>
      <c r="J20613" s="3">
        <v>287.13</v>
      </c>
      <c r="K20613" t="s">
        <v>44799</v>
      </c>
      <c r="L20613">
        <v>323</v>
      </c>
      <c r="M20613" t="s">
        <v>40503</v>
      </c>
      <c r="N20613" t="s">
        <v>30</v>
      </c>
      <c r="O20613" t="s">
        <v>31</v>
      </c>
      <c r="P20613" t="str">
        <f>"15210"</f>
        <v>15210</v>
      </c>
    </row>
    <row r="20614" spans="1:16" x14ac:dyDescent="0.25">
      <c r="A20614" t="str">
        <f>"1300014K00179    00"</f>
        <v>1300014K00179    00</v>
      </c>
      <c r="B20614" t="s">
        <v>44800</v>
      </c>
      <c r="C20614" t="s">
        <v>44801</v>
      </c>
      <c r="D20614" t="s">
        <v>20</v>
      </c>
      <c r="E20614" t="s">
        <v>39</v>
      </c>
      <c r="F20614">
        <v>0</v>
      </c>
      <c r="G20614">
        <v>0</v>
      </c>
      <c r="H20614">
        <v>17</v>
      </c>
      <c r="I20614" s="3">
        <v>8659.9500000000007</v>
      </c>
      <c r="J20614" s="3">
        <v>7018.7</v>
      </c>
      <c r="L20614">
        <v>329</v>
      </c>
      <c r="M20614" t="s">
        <v>40503</v>
      </c>
      <c r="N20614" t="s">
        <v>30</v>
      </c>
      <c r="O20614" t="s">
        <v>31</v>
      </c>
      <c r="P20614" t="str">
        <f>"15210"</f>
        <v>15210</v>
      </c>
    </row>
    <row r="20615" spans="1:16" x14ac:dyDescent="0.25">
      <c r="A20615" t="str">
        <f>"1300014K00186    00"</f>
        <v>1300014K00186    00</v>
      </c>
      <c r="B20615" t="s">
        <v>44802</v>
      </c>
      <c r="C20615" t="s">
        <v>44803</v>
      </c>
      <c r="D20615" t="s">
        <v>20</v>
      </c>
      <c r="E20615" t="s">
        <v>39</v>
      </c>
      <c r="F20615">
        <v>0</v>
      </c>
      <c r="G20615">
        <v>0</v>
      </c>
      <c r="H20615">
        <v>13</v>
      </c>
      <c r="I20615" s="3">
        <v>8063.74</v>
      </c>
      <c r="J20615" s="3">
        <v>4533.29</v>
      </c>
      <c r="M20615" t="s">
        <v>44804</v>
      </c>
      <c r="N20615" t="s">
        <v>4652</v>
      </c>
      <c r="O20615" t="s">
        <v>370</v>
      </c>
      <c r="P20615" t="str">
        <f>"33233"</f>
        <v>33233</v>
      </c>
    </row>
    <row r="20616" spans="1:16" x14ac:dyDescent="0.25">
      <c r="A20616" t="str">
        <f>"1300014K00189    00"</f>
        <v>1300014K00189    00</v>
      </c>
      <c r="B20616" t="s">
        <v>44805</v>
      </c>
      <c r="C20616" t="s">
        <v>44806</v>
      </c>
      <c r="D20616" t="s">
        <v>20</v>
      </c>
      <c r="E20616" t="s">
        <v>39</v>
      </c>
      <c r="F20616">
        <v>0</v>
      </c>
      <c r="G20616">
        <v>0</v>
      </c>
      <c r="H20616">
        <v>6</v>
      </c>
      <c r="I20616" s="3">
        <v>6055.7</v>
      </c>
      <c r="J20616" s="3">
        <v>1553.82</v>
      </c>
      <c r="K20616" t="s">
        <v>44807</v>
      </c>
      <c r="L20616">
        <v>2915</v>
      </c>
      <c r="M20616" t="s">
        <v>44808</v>
      </c>
      <c r="N20616" t="s">
        <v>23115</v>
      </c>
      <c r="O20616" t="s">
        <v>1005</v>
      </c>
      <c r="P20616" t="str">
        <f>"85234"</f>
        <v>85234</v>
      </c>
    </row>
    <row r="20617" spans="1:16" x14ac:dyDescent="0.25">
      <c r="A20617" t="str">
        <f>"1300014K00190    00"</f>
        <v>1300014K00190    00</v>
      </c>
      <c r="B20617" t="s">
        <v>44809</v>
      </c>
      <c r="C20617" t="s">
        <v>44810</v>
      </c>
      <c r="E20617" t="s">
        <v>39</v>
      </c>
      <c r="F20617">
        <v>0</v>
      </c>
      <c r="G20617">
        <v>0</v>
      </c>
      <c r="H20617">
        <v>9</v>
      </c>
      <c r="I20617" s="3">
        <v>7608.02</v>
      </c>
      <c r="J20617" s="3">
        <v>3334.11</v>
      </c>
      <c r="K20617" t="s">
        <v>44811</v>
      </c>
      <c r="L20617">
        <v>336</v>
      </c>
      <c r="M20617" t="s">
        <v>40503</v>
      </c>
      <c r="N20617" t="s">
        <v>30</v>
      </c>
      <c r="O20617" t="s">
        <v>31</v>
      </c>
      <c r="P20617" t="str">
        <f>"15210"</f>
        <v>15210</v>
      </c>
    </row>
    <row r="20618" spans="1:16" x14ac:dyDescent="0.25">
      <c r="A20618" t="str">
        <f>"1300014K00193    00"</f>
        <v>1300014K00193    00</v>
      </c>
      <c r="B20618" t="s">
        <v>38744</v>
      </c>
      <c r="C20618" t="s">
        <v>44812</v>
      </c>
      <c r="D20618" t="s">
        <v>20</v>
      </c>
      <c r="E20618" t="s">
        <v>39</v>
      </c>
      <c r="F20618">
        <v>0</v>
      </c>
      <c r="G20618">
        <v>0</v>
      </c>
      <c r="H20618">
        <v>18</v>
      </c>
      <c r="I20618" s="3">
        <v>4436.88</v>
      </c>
      <c r="J20618" s="3">
        <v>5498.64</v>
      </c>
      <c r="M20618" t="s">
        <v>38746</v>
      </c>
      <c r="N20618" t="s">
        <v>38747</v>
      </c>
      <c r="O20618" t="s">
        <v>200</v>
      </c>
      <c r="P20618" t="str">
        <f>"09173"</f>
        <v>09173</v>
      </c>
    </row>
    <row r="20619" spans="1:16" x14ac:dyDescent="0.25">
      <c r="A20619" t="str">
        <f>"1300014K00196    00"</f>
        <v>1300014K00196    00</v>
      </c>
      <c r="B20619" t="s">
        <v>44813</v>
      </c>
      <c r="C20619" t="s">
        <v>44814</v>
      </c>
      <c r="D20619" t="s">
        <v>20</v>
      </c>
      <c r="E20619" t="s">
        <v>39</v>
      </c>
      <c r="F20619">
        <v>0</v>
      </c>
      <c r="G20619">
        <v>0</v>
      </c>
      <c r="H20619">
        <v>1</v>
      </c>
      <c r="I20619" s="3">
        <v>512.72</v>
      </c>
      <c r="J20619" s="3">
        <v>0</v>
      </c>
      <c r="K20619" t="s">
        <v>44815</v>
      </c>
      <c r="L20619">
        <v>328</v>
      </c>
      <c r="M20619" t="s">
        <v>40503</v>
      </c>
      <c r="N20619" t="s">
        <v>30</v>
      </c>
      <c r="O20619" t="s">
        <v>31</v>
      </c>
      <c r="P20619" t="str">
        <f>"15210"</f>
        <v>15210</v>
      </c>
    </row>
    <row r="20620" spans="1:16" x14ac:dyDescent="0.25">
      <c r="A20620" t="str">
        <f>"1300014K00199    00"</f>
        <v>1300014K00199    00</v>
      </c>
      <c r="B20620" t="s">
        <v>25970</v>
      </c>
      <c r="C20620" t="s">
        <v>44816</v>
      </c>
      <c r="D20620" t="s">
        <v>20</v>
      </c>
      <c r="E20620" t="s">
        <v>39</v>
      </c>
      <c r="F20620">
        <v>0</v>
      </c>
      <c r="G20620">
        <v>0</v>
      </c>
      <c r="H20620">
        <v>14</v>
      </c>
      <c r="I20620" s="3">
        <v>4421.62</v>
      </c>
      <c r="J20620" s="3">
        <v>2808.22</v>
      </c>
      <c r="L20620">
        <v>3256</v>
      </c>
      <c r="M20620" t="s">
        <v>25972</v>
      </c>
      <c r="N20620" t="s">
        <v>30</v>
      </c>
      <c r="O20620" t="s">
        <v>31</v>
      </c>
      <c r="P20620" t="str">
        <f>"15216"</f>
        <v>15216</v>
      </c>
    </row>
    <row r="20621" spans="1:16" x14ac:dyDescent="0.25">
      <c r="A20621" t="str">
        <f>"1300014K00200    00"</f>
        <v>1300014K00200    00</v>
      </c>
      <c r="B20621" t="s">
        <v>44817</v>
      </c>
      <c r="C20621" t="s">
        <v>44669</v>
      </c>
      <c r="D20621" t="s">
        <v>20</v>
      </c>
      <c r="E20621" t="s">
        <v>39</v>
      </c>
      <c r="F20621">
        <v>0</v>
      </c>
      <c r="G20621">
        <v>0</v>
      </c>
      <c r="H20621">
        <v>17</v>
      </c>
      <c r="I20621" s="3">
        <v>8479.7999999999993</v>
      </c>
      <c r="J20621" s="3">
        <v>9121.09</v>
      </c>
      <c r="L20621">
        <v>320</v>
      </c>
      <c r="M20621" t="s">
        <v>40503</v>
      </c>
      <c r="N20621" t="s">
        <v>30</v>
      </c>
      <c r="O20621" t="s">
        <v>31</v>
      </c>
      <c r="P20621" t="str">
        <f>"15210"</f>
        <v>15210</v>
      </c>
    </row>
    <row r="20622" spans="1:16" x14ac:dyDescent="0.25">
      <c r="A20622" t="str">
        <f>"1300014K00201    00"</f>
        <v>1300014K00201    00</v>
      </c>
      <c r="B20622" t="s">
        <v>44772</v>
      </c>
      <c r="C20622" t="s">
        <v>44818</v>
      </c>
      <c r="D20622" t="s">
        <v>20</v>
      </c>
      <c r="E20622" t="s">
        <v>39</v>
      </c>
      <c r="F20622">
        <v>0</v>
      </c>
      <c r="G20622">
        <v>0</v>
      </c>
      <c r="H20622">
        <v>6</v>
      </c>
      <c r="I20622" s="3">
        <v>5090.07</v>
      </c>
      <c r="J20622" s="3">
        <v>890.93</v>
      </c>
      <c r="L20622">
        <v>801</v>
      </c>
      <c r="M20622" t="s">
        <v>44774</v>
      </c>
      <c r="N20622" t="s">
        <v>295</v>
      </c>
      <c r="O20622" t="s">
        <v>31</v>
      </c>
      <c r="P20622" t="str">
        <f>"15146"</f>
        <v>15146</v>
      </c>
    </row>
    <row r="20623" spans="1:16" x14ac:dyDescent="0.25">
      <c r="A20623" t="str">
        <f>"1300014K00214    00"</f>
        <v>1300014K00214    00</v>
      </c>
      <c r="B20623" t="s">
        <v>25794</v>
      </c>
      <c r="C20623" t="s">
        <v>44819</v>
      </c>
      <c r="D20623" t="s">
        <v>20</v>
      </c>
      <c r="E20623" t="s">
        <v>39</v>
      </c>
      <c r="F20623">
        <v>0</v>
      </c>
      <c r="G20623">
        <v>0</v>
      </c>
      <c r="H20623">
        <v>1</v>
      </c>
      <c r="I20623" s="3">
        <v>810.06</v>
      </c>
      <c r="J20623" s="3">
        <v>0</v>
      </c>
      <c r="L20623">
        <v>28</v>
      </c>
      <c r="M20623" t="s">
        <v>44820</v>
      </c>
      <c r="N20623" t="s">
        <v>30</v>
      </c>
      <c r="O20623" t="s">
        <v>31</v>
      </c>
      <c r="P20623" t="str">
        <f>"15227"</f>
        <v>15227</v>
      </c>
    </row>
    <row r="20624" spans="1:16" x14ac:dyDescent="0.25">
      <c r="A20624" t="str">
        <f>"1300014K00217    00"</f>
        <v>1300014K00217    00</v>
      </c>
      <c r="B20624" t="s">
        <v>44821</v>
      </c>
      <c r="C20624" t="s">
        <v>44669</v>
      </c>
      <c r="D20624" t="s">
        <v>20</v>
      </c>
      <c r="E20624" t="s">
        <v>39</v>
      </c>
      <c r="F20624">
        <v>0</v>
      </c>
      <c r="G20624">
        <v>0</v>
      </c>
      <c r="H20624">
        <v>19</v>
      </c>
      <c r="I20624" s="3">
        <v>2410.66</v>
      </c>
      <c r="J20624" s="3">
        <v>2590.58</v>
      </c>
      <c r="L20624">
        <v>239</v>
      </c>
      <c r="M20624" t="s">
        <v>3295</v>
      </c>
      <c r="N20624" t="s">
        <v>30</v>
      </c>
      <c r="O20624" t="s">
        <v>31</v>
      </c>
      <c r="P20624" t="str">
        <f>"15210"</f>
        <v>15210</v>
      </c>
    </row>
    <row r="20625" spans="1:16" x14ac:dyDescent="0.25">
      <c r="A20625" t="str">
        <f>"1300014K00219    00"</f>
        <v>1300014K00219    00</v>
      </c>
      <c r="B20625" t="s">
        <v>44822</v>
      </c>
      <c r="C20625" t="s">
        <v>44823</v>
      </c>
      <c r="D20625" t="s">
        <v>20</v>
      </c>
      <c r="E20625" t="s">
        <v>39</v>
      </c>
      <c r="F20625">
        <v>0</v>
      </c>
      <c r="G20625">
        <v>0</v>
      </c>
      <c r="H20625">
        <v>6</v>
      </c>
      <c r="I20625" s="3">
        <v>704.32</v>
      </c>
      <c r="J20625" s="3">
        <v>191.15</v>
      </c>
      <c r="L20625">
        <v>239</v>
      </c>
      <c r="M20625" t="s">
        <v>40503</v>
      </c>
      <c r="N20625" t="s">
        <v>30</v>
      </c>
      <c r="O20625" t="s">
        <v>31</v>
      </c>
      <c r="P20625" t="str">
        <f>"15210"</f>
        <v>15210</v>
      </c>
    </row>
    <row r="20626" spans="1:16" x14ac:dyDescent="0.25">
      <c r="A20626" t="str">
        <f>"1300014K00222    00"</f>
        <v>1300014K00222    00</v>
      </c>
      <c r="B20626" t="s">
        <v>44824</v>
      </c>
      <c r="C20626" t="s">
        <v>44825</v>
      </c>
      <c r="D20626" t="s">
        <v>20</v>
      </c>
      <c r="E20626" t="s">
        <v>39</v>
      </c>
      <c r="F20626">
        <v>0</v>
      </c>
      <c r="G20626">
        <v>0</v>
      </c>
      <c r="H20626">
        <v>8</v>
      </c>
      <c r="I20626" s="3">
        <v>7800.2</v>
      </c>
      <c r="J20626" s="3">
        <v>2479.5700000000002</v>
      </c>
      <c r="L20626">
        <v>1209</v>
      </c>
      <c r="M20626" t="s">
        <v>3777</v>
      </c>
      <c r="N20626" t="s">
        <v>636</v>
      </c>
      <c r="O20626" t="s">
        <v>31</v>
      </c>
      <c r="P20626" t="str">
        <f>"15104"</f>
        <v>15104</v>
      </c>
    </row>
    <row r="20627" spans="1:16" x14ac:dyDescent="0.25">
      <c r="A20627" t="str">
        <f>"1300014K00223    00"</f>
        <v>1300014K00223    00</v>
      </c>
      <c r="B20627" t="s">
        <v>44826</v>
      </c>
      <c r="C20627" t="s">
        <v>44669</v>
      </c>
      <c r="D20627" t="s">
        <v>20</v>
      </c>
      <c r="E20627" t="s">
        <v>39</v>
      </c>
      <c r="F20627">
        <v>0</v>
      </c>
      <c r="G20627">
        <v>0</v>
      </c>
      <c r="H20627">
        <v>19</v>
      </c>
      <c r="I20627" s="3">
        <v>301.70999999999998</v>
      </c>
      <c r="J20627" s="3">
        <v>294.45</v>
      </c>
      <c r="L20627">
        <v>220</v>
      </c>
      <c r="M20627" t="s">
        <v>40503</v>
      </c>
      <c r="N20627" t="s">
        <v>30</v>
      </c>
      <c r="O20627" t="s">
        <v>31</v>
      </c>
      <c r="P20627" t="str">
        <f>"15210"</f>
        <v>15210</v>
      </c>
    </row>
    <row r="20628" spans="1:16" x14ac:dyDescent="0.25">
      <c r="A20628" t="str">
        <f>"1300014K00225    00"</f>
        <v>1300014K00225    00</v>
      </c>
      <c r="B20628" t="s">
        <v>44827</v>
      </c>
      <c r="C20628" t="s">
        <v>44828</v>
      </c>
      <c r="D20628" t="s">
        <v>20</v>
      </c>
      <c r="E20628" t="s">
        <v>39</v>
      </c>
      <c r="F20628">
        <v>0</v>
      </c>
      <c r="G20628">
        <v>0</v>
      </c>
      <c r="H20628">
        <v>16</v>
      </c>
      <c r="I20628" s="3">
        <v>17296.060000000001</v>
      </c>
      <c r="J20628" s="3">
        <v>11649.88</v>
      </c>
      <c r="K20628" t="s">
        <v>44829</v>
      </c>
      <c r="L20628">
        <v>216</v>
      </c>
      <c r="M20628" t="s">
        <v>40503</v>
      </c>
      <c r="N20628" t="s">
        <v>30</v>
      </c>
      <c r="O20628" t="s">
        <v>31</v>
      </c>
      <c r="P20628" t="str">
        <f>"15210"</f>
        <v>15210</v>
      </c>
    </row>
    <row r="20629" spans="1:16" x14ac:dyDescent="0.25">
      <c r="A20629" t="str">
        <f>"1300014K00226    00"</f>
        <v>1300014K00226    00</v>
      </c>
      <c r="B20629" t="s">
        <v>44827</v>
      </c>
      <c r="C20629" t="s">
        <v>44669</v>
      </c>
      <c r="D20629" t="s">
        <v>20</v>
      </c>
      <c r="E20629" t="s">
        <v>39</v>
      </c>
      <c r="F20629">
        <v>0</v>
      </c>
      <c r="G20629">
        <v>0</v>
      </c>
      <c r="H20629">
        <v>14</v>
      </c>
      <c r="I20629" s="3">
        <v>3572.49</v>
      </c>
      <c r="J20629" s="3">
        <v>4858.38</v>
      </c>
      <c r="L20629">
        <v>214</v>
      </c>
      <c r="M20629" t="s">
        <v>44830</v>
      </c>
      <c r="N20629" t="s">
        <v>30</v>
      </c>
      <c r="O20629" t="s">
        <v>31</v>
      </c>
      <c r="P20629" t="str">
        <f>"15210"</f>
        <v>15210</v>
      </c>
    </row>
    <row r="20630" spans="1:16" x14ac:dyDescent="0.25">
      <c r="A20630" t="str">
        <f>"1300014K00232    00"</f>
        <v>1300014K00232    00</v>
      </c>
      <c r="B20630" t="s">
        <v>44831</v>
      </c>
      <c r="C20630" t="s">
        <v>44832</v>
      </c>
      <c r="D20630" t="s">
        <v>20</v>
      </c>
      <c r="E20630" t="s">
        <v>39</v>
      </c>
      <c r="F20630">
        <v>0</v>
      </c>
      <c r="G20630">
        <v>0</v>
      </c>
      <c r="H20630">
        <v>3</v>
      </c>
      <c r="I20630" s="3">
        <v>1668.41</v>
      </c>
      <c r="J20630" s="3">
        <v>123.06</v>
      </c>
      <c r="K20630" t="s">
        <v>44833</v>
      </c>
      <c r="L20630">
        <v>2935</v>
      </c>
      <c r="M20630" t="s">
        <v>34518</v>
      </c>
      <c r="N20630" t="s">
        <v>30</v>
      </c>
      <c r="O20630" t="s">
        <v>31</v>
      </c>
      <c r="P20630" t="str">
        <f>"15214"</f>
        <v>15214</v>
      </c>
    </row>
    <row r="20631" spans="1:16" x14ac:dyDescent="0.25">
      <c r="A20631" t="str">
        <f>"1300014K00243    00"</f>
        <v>1300014K00243    00</v>
      </c>
      <c r="B20631" t="s">
        <v>44834</v>
      </c>
      <c r="C20631" t="s">
        <v>44835</v>
      </c>
      <c r="D20631" t="s">
        <v>20</v>
      </c>
      <c r="E20631" t="s">
        <v>39</v>
      </c>
      <c r="F20631">
        <v>0</v>
      </c>
      <c r="G20631">
        <v>0</v>
      </c>
      <c r="H20631">
        <v>4</v>
      </c>
      <c r="I20631" s="3">
        <v>4829.88</v>
      </c>
      <c r="J20631" s="3">
        <v>570.54</v>
      </c>
      <c r="K20631" t="s">
        <v>417</v>
      </c>
      <c r="L20631">
        <v>3001</v>
      </c>
      <c r="M20631" t="s">
        <v>330</v>
      </c>
      <c r="N20631" t="s">
        <v>331</v>
      </c>
      <c r="O20631" t="s">
        <v>108</v>
      </c>
      <c r="P20631" t="str">
        <f>"75063"</f>
        <v>75063</v>
      </c>
    </row>
    <row r="20632" spans="1:16" x14ac:dyDescent="0.25">
      <c r="A20632" t="str">
        <f>"1300014K00263    00"</f>
        <v>1300014K00263    00</v>
      </c>
      <c r="B20632" t="s">
        <v>44836</v>
      </c>
      <c r="C20632" t="s">
        <v>44647</v>
      </c>
      <c r="D20632" t="s">
        <v>20</v>
      </c>
      <c r="E20632" t="s">
        <v>39</v>
      </c>
      <c r="F20632">
        <v>0</v>
      </c>
      <c r="G20632">
        <v>0</v>
      </c>
      <c r="H20632">
        <v>17</v>
      </c>
      <c r="I20632" s="3">
        <v>8148.94</v>
      </c>
      <c r="J20632" s="3">
        <v>10184.01</v>
      </c>
      <c r="L20632">
        <v>600</v>
      </c>
      <c r="M20632" t="s">
        <v>44837</v>
      </c>
      <c r="N20632" t="s">
        <v>44838</v>
      </c>
      <c r="O20632" t="s">
        <v>423</v>
      </c>
      <c r="P20632" t="str">
        <f>"07086"</f>
        <v>07086</v>
      </c>
    </row>
    <row r="20633" spans="1:16" x14ac:dyDescent="0.25">
      <c r="A20633" t="str">
        <f>"1300014K00264    00"</f>
        <v>1300014K00264    00</v>
      </c>
      <c r="B20633" t="s">
        <v>44839</v>
      </c>
      <c r="C20633" t="s">
        <v>44840</v>
      </c>
      <c r="E20633" t="s">
        <v>39</v>
      </c>
      <c r="F20633">
        <v>0</v>
      </c>
      <c r="G20633">
        <v>0</v>
      </c>
      <c r="H20633">
        <v>2</v>
      </c>
      <c r="I20633" s="3">
        <v>760.05</v>
      </c>
      <c r="J20633" s="3">
        <v>185.34</v>
      </c>
      <c r="L20633">
        <v>305</v>
      </c>
      <c r="M20633" t="s">
        <v>3295</v>
      </c>
      <c r="N20633" t="s">
        <v>30</v>
      </c>
      <c r="O20633" t="s">
        <v>31</v>
      </c>
      <c r="P20633" t="str">
        <f t="shared" ref="P20633:P20638" si="257">"15210"</f>
        <v>15210</v>
      </c>
    </row>
    <row r="20634" spans="1:16" x14ac:dyDescent="0.25">
      <c r="A20634" t="str">
        <f>"1300014K00265    00"</f>
        <v>1300014K00265    00</v>
      </c>
      <c r="B20634" t="s">
        <v>44841</v>
      </c>
      <c r="C20634" t="s">
        <v>44647</v>
      </c>
      <c r="D20634" t="s">
        <v>20</v>
      </c>
      <c r="E20634" t="s">
        <v>39</v>
      </c>
      <c r="F20634">
        <v>0</v>
      </c>
      <c r="G20634">
        <v>0</v>
      </c>
      <c r="H20634">
        <v>19</v>
      </c>
      <c r="I20634" s="3">
        <v>272.41000000000003</v>
      </c>
      <c r="J20634" s="3">
        <v>260.33999999999997</v>
      </c>
      <c r="K20634" t="s">
        <v>1037</v>
      </c>
      <c r="L20634">
        <v>307</v>
      </c>
      <c r="M20634" t="s">
        <v>3295</v>
      </c>
      <c r="N20634" t="s">
        <v>30</v>
      </c>
      <c r="O20634" t="s">
        <v>31</v>
      </c>
      <c r="P20634" t="str">
        <f t="shared" si="257"/>
        <v>15210</v>
      </c>
    </row>
    <row r="20635" spans="1:16" x14ac:dyDescent="0.25">
      <c r="A20635" t="str">
        <f>"1300014K00271    00"</f>
        <v>1300014K00271    00</v>
      </c>
      <c r="B20635" t="s">
        <v>44842</v>
      </c>
      <c r="C20635" t="s">
        <v>44843</v>
      </c>
      <c r="D20635" t="s">
        <v>20</v>
      </c>
      <c r="E20635" t="s">
        <v>39</v>
      </c>
      <c r="F20635">
        <v>0</v>
      </c>
      <c r="G20635">
        <v>0</v>
      </c>
      <c r="H20635">
        <v>12</v>
      </c>
      <c r="I20635" s="3">
        <v>8824.66</v>
      </c>
      <c r="J20635" s="3">
        <v>6538.3</v>
      </c>
      <c r="L20635">
        <v>319</v>
      </c>
      <c r="M20635" t="s">
        <v>3295</v>
      </c>
      <c r="N20635" t="s">
        <v>30</v>
      </c>
      <c r="O20635" t="s">
        <v>31</v>
      </c>
      <c r="P20635" t="str">
        <f t="shared" si="257"/>
        <v>15210</v>
      </c>
    </row>
    <row r="20636" spans="1:16" x14ac:dyDescent="0.25">
      <c r="A20636" t="str">
        <f>"1300014K00273    00"</f>
        <v>1300014K00273    00</v>
      </c>
      <c r="B20636" t="s">
        <v>44844</v>
      </c>
      <c r="C20636" t="s">
        <v>44845</v>
      </c>
      <c r="D20636" t="s">
        <v>20</v>
      </c>
      <c r="E20636" t="s">
        <v>39</v>
      </c>
      <c r="F20636">
        <v>0</v>
      </c>
      <c r="G20636">
        <v>0</v>
      </c>
      <c r="H20636">
        <v>2</v>
      </c>
      <c r="I20636" s="3">
        <v>1125.56</v>
      </c>
      <c r="J20636" s="3">
        <v>0</v>
      </c>
      <c r="K20636" t="s">
        <v>44846</v>
      </c>
      <c r="L20636">
        <v>323</v>
      </c>
      <c r="M20636" t="s">
        <v>3295</v>
      </c>
      <c r="N20636" t="s">
        <v>30</v>
      </c>
      <c r="O20636" t="s">
        <v>31</v>
      </c>
      <c r="P20636" t="str">
        <f t="shared" si="257"/>
        <v>15210</v>
      </c>
    </row>
    <row r="20637" spans="1:16" x14ac:dyDescent="0.25">
      <c r="A20637" t="str">
        <f>"1300014K00279    00"</f>
        <v>1300014K00279    00</v>
      </c>
      <c r="B20637" t="s">
        <v>44847</v>
      </c>
      <c r="C20637" t="s">
        <v>44647</v>
      </c>
      <c r="E20637" t="s">
        <v>39</v>
      </c>
      <c r="F20637">
        <v>0</v>
      </c>
      <c r="G20637">
        <v>0</v>
      </c>
      <c r="H20637">
        <v>2</v>
      </c>
      <c r="I20637" s="3">
        <v>104.84</v>
      </c>
      <c r="J20637" s="3">
        <v>44.82</v>
      </c>
      <c r="L20637">
        <v>331</v>
      </c>
      <c r="M20637" t="s">
        <v>3295</v>
      </c>
      <c r="N20637" t="s">
        <v>30</v>
      </c>
      <c r="O20637" t="s">
        <v>31</v>
      </c>
      <c r="P20637" t="str">
        <f t="shared" si="257"/>
        <v>15210</v>
      </c>
    </row>
    <row r="20638" spans="1:16" x14ac:dyDescent="0.25">
      <c r="A20638" t="str">
        <f>"1300014K00281    00"</f>
        <v>1300014K00281    00</v>
      </c>
      <c r="B20638" t="s">
        <v>44848</v>
      </c>
      <c r="C20638" t="s">
        <v>44849</v>
      </c>
      <c r="E20638" t="s">
        <v>39</v>
      </c>
      <c r="F20638">
        <v>0</v>
      </c>
      <c r="G20638">
        <v>0</v>
      </c>
      <c r="H20638">
        <v>3</v>
      </c>
      <c r="I20638" s="3">
        <v>591.95000000000005</v>
      </c>
      <c r="J20638" s="3">
        <v>106.91</v>
      </c>
      <c r="L20638">
        <v>331</v>
      </c>
      <c r="M20638" t="s">
        <v>3295</v>
      </c>
      <c r="N20638" t="s">
        <v>30</v>
      </c>
      <c r="O20638" t="s">
        <v>31</v>
      </c>
      <c r="P20638" t="str">
        <f t="shared" si="257"/>
        <v>15210</v>
      </c>
    </row>
    <row r="20639" spans="1:16" x14ac:dyDescent="0.25">
      <c r="A20639" t="str">
        <f>"1300014K00284    00"</f>
        <v>1300014K00284    00</v>
      </c>
      <c r="B20639" t="s">
        <v>44850</v>
      </c>
      <c r="C20639" t="s">
        <v>44647</v>
      </c>
      <c r="D20639" t="s">
        <v>20</v>
      </c>
      <c r="E20639" t="s">
        <v>21</v>
      </c>
      <c r="F20639">
        <v>0</v>
      </c>
      <c r="G20639">
        <v>0</v>
      </c>
      <c r="H20639">
        <v>19</v>
      </c>
      <c r="I20639" s="3">
        <v>7569.42</v>
      </c>
      <c r="J20639" s="3">
        <v>9770.07</v>
      </c>
      <c r="K20639" t="s">
        <v>1008</v>
      </c>
      <c r="P20639" t="str">
        <f>""</f>
        <v/>
      </c>
    </row>
    <row r="20640" spans="1:16" x14ac:dyDescent="0.25">
      <c r="A20640" t="str">
        <f>"1300014K00289    00"</f>
        <v>1300014K00289    00</v>
      </c>
      <c r="B20640" t="s">
        <v>44851</v>
      </c>
      <c r="C20640" t="s">
        <v>44852</v>
      </c>
      <c r="D20640" t="s">
        <v>20</v>
      </c>
      <c r="E20640" t="s">
        <v>39</v>
      </c>
      <c r="F20640">
        <v>0</v>
      </c>
      <c r="G20640">
        <v>0</v>
      </c>
      <c r="H20640">
        <v>14</v>
      </c>
      <c r="I20640" s="3">
        <v>16509.259999999998</v>
      </c>
      <c r="J20640" s="3">
        <v>10416.120000000001</v>
      </c>
      <c r="L20640">
        <v>246</v>
      </c>
      <c r="M20640" t="s">
        <v>3295</v>
      </c>
      <c r="N20640" t="s">
        <v>30</v>
      </c>
      <c r="O20640" t="s">
        <v>31</v>
      </c>
      <c r="P20640" t="str">
        <f>"15210"</f>
        <v>15210</v>
      </c>
    </row>
    <row r="20641" spans="1:16" x14ac:dyDescent="0.25">
      <c r="A20641" t="str">
        <f>"1300014K00308    00"</f>
        <v>1300014K00308    00</v>
      </c>
      <c r="B20641" t="s">
        <v>44853</v>
      </c>
      <c r="C20641" t="s">
        <v>44854</v>
      </c>
      <c r="D20641" t="s">
        <v>20</v>
      </c>
      <c r="E20641" t="s">
        <v>39</v>
      </c>
      <c r="F20641">
        <v>0</v>
      </c>
      <c r="G20641">
        <v>0</v>
      </c>
      <c r="H20641">
        <v>17</v>
      </c>
      <c r="I20641" s="3">
        <v>19003.189999999999</v>
      </c>
      <c r="J20641" s="3">
        <v>14039.86</v>
      </c>
      <c r="L20641">
        <v>214</v>
      </c>
      <c r="M20641" t="s">
        <v>3295</v>
      </c>
      <c r="N20641" t="s">
        <v>30</v>
      </c>
      <c r="O20641" t="s">
        <v>31</v>
      </c>
      <c r="P20641" t="str">
        <f>"15210"</f>
        <v>15210</v>
      </c>
    </row>
    <row r="20642" spans="1:16" x14ac:dyDescent="0.25">
      <c r="A20642" t="str">
        <f>"1300014L00035A   00"</f>
        <v>1300014L00035A   00</v>
      </c>
      <c r="B20642" t="s">
        <v>44855</v>
      </c>
      <c r="C20642" t="s">
        <v>44856</v>
      </c>
      <c r="E20642" t="s">
        <v>39</v>
      </c>
      <c r="F20642">
        <v>0</v>
      </c>
      <c r="G20642">
        <v>0</v>
      </c>
      <c r="H20642">
        <v>6</v>
      </c>
      <c r="I20642" s="3">
        <v>2141.64</v>
      </c>
      <c r="J20642" s="3">
        <v>867.79</v>
      </c>
      <c r="K20642" t="s">
        <v>44857</v>
      </c>
      <c r="M20642" t="s">
        <v>44858</v>
      </c>
      <c r="N20642" t="s">
        <v>30</v>
      </c>
      <c r="O20642" t="s">
        <v>31</v>
      </c>
      <c r="P20642" t="str">
        <f>"15210"</f>
        <v>15210</v>
      </c>
    </row>
    <row r="20643" spans="1:16" x14ac:dyDescent="0.25">
      <c r="A20643" t="str">
        <f>"1300014L00036    00"</f>
        <v>1300014L00036    00</v>
      </c>
      <c r="B20643" t="s">
        <v>32216</v>
      </c>
      <c r="C20643" t="s">
        <v>44859</v>
      </c>
      <c r="D20643" t="s">
        <v>20</v>
      </c>
      <c r="E20643" t="s">
        <v>39</v>
      </c>
      <c r="F20643">
        <v>0</v>
      </c>
      <c r="G20643">
        <v>0</v>
      </c>
      <c r="H20643">
        <v>14</v>
      </c>
      <c r="I20643" s="3">
        <v>7350.02</v>
      </c>
      <c r="J20643" s="3">
        <v>4299.25</v>
      </c>
      <c r="P20643" t="str">
        <f>""</f>
        <v/>
      </c>
    </row>
    <row r="20644" spans="1:16" x14ac:dyDescent="0.25">
      <c r="A20644" t="str">
        <f>"1300014L00037    00"</f>
        <v>1300014L00037    00</v>
      </c>
      <c r="B20644" t="s">
        <v>32216</v>
      </c>
      <c r="C20644" t="s">
        <v>44859</v>
      </c>
      <c r="D20644" t="s">
        <v>20</v>
      </c>
      <c r="E20644" t="s">
        <v>39</v>
      </c>
      <c r="F20644">
        <v>0</v>
      </c>
      <c r="G20644">
        <v>0</v>
      </c>
      <c r="H20644">
        <v>14</v>
      </c>
      <c r="I20644" s="3">
        <v>200.38</v>
      </c>
      <c r="J20644" s="3">
        <v>123.35</v>
      </c>
      <c r="K20644" t="s">
        <v>44860</v>
      </c>
      <c r="L20644">
        <v>1382</v>
      </c>
      <c r="M20644" t="s">
        <v>13967</v>
      </c>
      <c r="N20644" t="s">
        <v>30</v>
      </c>
      <c r="O20644" t="s">
        <v>31</v>
      </c>
      <c r="P20644" t="str">
        <f>"15243"</f>
        <v>15243</v>
      </c>
    </row>
    <row r="20645" spans="1:16" x14ac:dyDescent="0.25">
      <c r="A20645" t="str">
        <f>"1300014L00040    00"</f>
        <v>1300014L00040    00</v>
      </c>
      <c r="B20645" t="s">
        <v>23043</v>
      </c>
      <c r="C20645" t="s">
        <v>44861</v>
      </c>
      <c r="D20645" t="s">
        <v>20</v>
      </c>
      <c r="E20645" t="s">
        <v>39</v>
      </c>
      <c r="F20645">
        <v>0</v>
      </c>
      <c r="G20645">
        <v>0</v>
      </c>
      <c r="H20645">
        <v>7</v>
      </c>
      <c r="I20645" s="3">
        <v>5911.72</v>
      </c>
      <c r="J20645" s="3">
        <v>1634.77</v>
      </c>
      <c r="L20645">
        <v>316</v>
      </c>
      <c r="M20645" t="s">
        <v>23720</v>
      </c>
      <c r="N20645" t="s">
        <v>30</v>
      </c>
      <c r="O20645" t="s">
        <v>31</v>
      </c>
      <c r="P20645" t="str">
        <f>"15210"</f>
        <v>15210</v>
      </c>
    </row>
    <row r="20646" spans="1:16" x14ac:dyDescent="0.25">
      <c r="A20646" t="str">
        <f>"1300014L00041    00"</f>
        <v>1300014L00041    00</v>
      </c>
      <c r="B20646" t="s">
        <v>25831</v>
      </c>
      <c r="C20646" t="s">
        <v>44862</v>
      </c>
      <c r="D20646" t="s">
        <v>20</v>
      </c>
      <c r="E20646" t="s">
        <v>39</v>
      </c>
      <c r="F20646">
        <v>0</v>
      </c>
      <c r="G20646">
        <v>0</v>
      </c>
      <c r="H20646">
        <v>8</v>
      </c>
      <c r="I20646" s="3">
        <v>2764.91</v>
      </c>
      <c r="J20646" s="3">
        <v>904.74</v>
      </c>
      <c r="L20646">
        <v>111</v>
      </c>
      <c r="M20646" t="s">
        <v>25833</v>
      </c>
      <c r="N20646" t="s">
        <v>30</v>
      </c>
      <c r="O20646" t="s">
        <v>31</v>
      </c>
      <c r="P20646" t="str">
        <f>"15210"</f>
        <v>15210</v>
      </c>
    </row>
    <row r="20647" spans="1:16" x14ac:dyDescent="0.25">
      <c r="A20647" t="str">
        <f>"1300014L00050    00"</f>
        <v>1300014L00050    00</v>
      </c>
      <c r="B20647" t="s">
        <v>16192</v>
      </c>
      <c r="C20647" t="s">
        <v>44863</v>
      </c>
      <c r="D20647" t="s">
        <v>20</v>
      </c>
      <c r="E20647" t="s">
        <v>39</v>
      </c>
      <c r="F20647">
        <v>0</v>
      </c>
      <c r="G20647">
        <v>0</v>
      </c>
      <c r="H20647">
        <v>1</v>
      </c>
      <c r="I20647" s="3">
        <v>823.39</v>
      </c>
      <c r="J20647" s="3">
        <v>0</v>
      </c>
      <c r="K20647" t="s">
        <v>16194</v>
      </c>
      <c r="L20647">
        <v>7526</v>
      </c>
      <c r="M20647" t="s">
        <v>13523</v>
      </c>
      <c r="N20647" t="s">
        <v>30</v>
      </c>
      <c r="O20647" t="s">
        <v>31</v>
      </c>
      <c r="P20647" t="str">
        <f>"15208"</f>
        <v>15208</v>
      </c>
    </row>
    <row r="20648" spans="1:16" x14ac:dyDescent="0.25">
      <c r="A20648" t="str">
        <f>"1300014L00060    00"</f>
        <v>1300014L00060    00</v>
      </c>
      <c r="B20648" t="s">
        <v>44864</v>
      </c>
      <c r="C20648" t="s">
        <v>44865</v>
      </c>
      <c r="E20648" t="s">
        <v>21</v>
      </c>
      <c r="F20648">
        <v>0</v>
      </c>
      <c r="G20648">
        <v>0</v>
      </c>
      <c r="H20648">
        <v>6</v>
      </c>
      <c r="I20648" s="3">
        <v>32825.82</v>
      </c>
      <c r="J20648" s="3">
        <v>29753.03</v>
      </c>
      <c r="L20648">
        <v>201</v>
      </c>
      <c r="M20648" t="s">
        <v>25833</v>
      </c>
      <c r="N20648" t="s">
        <v>30</v>
      </c>
      <c r="O20648" t="s">
        <v>31</v>
      </c>
      <c r="P20648" t="str">
        <f>"15210"</f>
        <v>15210</v>
      </c>
    </row>
    <row r="20649" spans="1:16" x14ac:dyDescent="0.25">
      <c r="A20649" t="str">
        <f>"1300014L00068    00"</f>
        <v>1300014L00068    00</v>
      </c>
      <c r="B20649" t="s">
        <v>44866</v>
      </c>
      <c r="C20649" t="s">
        <v>44867</v>
      </c>
      <c r="D20649" t="s">
        <v>20</v>
      </c>
      <c r="E20649" t="s">
        <v>39</v>
      </c>
      <c r="F20649">
        <v>0</v>
      </c>
      <c r="G20649">
        <v>0</v>
      </c>
      <c r="H20649">
        <v>4</v>
      </c>
      <c r="I20649" s="3">
        <v>2534.86</v>
      </c>
      <c r="J20649" s="3">
        <v>349.35</v>
      </c>
      <c r="L20649">
        <v>142</v>
      </c>
      <c r="M20649" t="s">
        <v>25833</v>
      </c>
      <c r="N20649" t="s">
        <v>30</v>
      </c>
      <c r="O20649" t="s">
        <v>31</v>
      </c>
      <c r="P20649" t="str">
        <f>"15210"</f>
        <v>15210</v>
      </c>
    </row>
    <row r="20650" spans="1:16" x14ac:dyDescent="0.25">
      <c r="A20650" t="str">
        <f>"1300014L00074    00"</f>
        <v>1300014L00074    00</v>
      </c>
      <c r="B20650" t="s">
        <v>44868</v>
      </c>
      <c r="C20650" t="s">
        <v>44869</v>
      </c>
      <c r="D20650" t="s">
        <v>20</v>
      </c>
      <c r="E20650" t="s">
        <v>39</v>
      </c>
      <c r="F20650">
        <v>0</v>
      </c>
      <c r="G20650">
        <v>0</v>
      </c>
      <c r="H20650">
        <v>6</v>
      </c>
      <c r="I20650" s="3">
        <v>1526.62</v>
      </c>
      <c r="J20650" s="3">
        <v>548.20000000000005</v>
      </c>
      <c r="K20650" t="s">
        <v>44870</v>
      </c>
      <c r="L20650">
        <v>130</v>
      </c>
      <c r="M20650" t="s">
        <v>25833</v>
      </c>
      <c r="N20650" t="s">
        <v>30</v>
      </c>
      <c r="O20650" t="s">
        <v>31</v>
      </c>
      <c r="P20650" t="str">
        <f>"15210"</f>
        <v>15210</v>
      </c>
    </row>
    <row r="20651" spans="1:16" x14ac:dyDescent="0.25">
      <c r="A20651" t="str">
        <f>"1300014L00077    00"</f>
        <v>1300014L00077    00</v>
      </c>
      <c r="B20651" t="s">
        <v>44871</v>
      </c>
      <c r="C20651" t="s">
        <v>44872</v>
      </c>
      <c r="D20651" t="s">
        <v>20</v>
      </c>
      <c r="E20651" t="s">
        <v>39</v>
      </c>
      <c r="F20651">
        <v>0</v>
      </c>
      <c r="G20651">
        <v>0</v>
      </c>
      <c r="H20651">
        <v>10</v>
      </c>
      <c r="I20651" s="3">
        <v>6583.98</v>
      </c>
      <c r="J20651" s="3">
        <v>3322.79</v>
      </c>
      <c r="K20651" t="s">
        <v>8725</v>
      </c>
      <c r="L20651">
        <v>15301</v>
      </c>
      <c r="M20651" t="s">
        <v>8726</v>
      </c>
      <c r="N20651" t="s">
        <v>8727</v>
      </c>
      <c r="O20651" t="s">
        <v>108</v>
      </c>
      <c r="P20651" t="str">
        <f>"75001"</f>
        <v>75001</v>
      </c>
    </row>
    <row r="20652" spans="1:16" x14ac:dyDescent="0.25">
      <c r="A20652" t="str">
        <f>"1300014L00080    00"</f>
        <v>1300014L00080    00</v>
      </c>
      <c r="B20652" t="s">
        <v>44873</v>
      </c>
      <c r="C20652" t="s">
        <v>44874</v>
      </c>
      <c r="D20652" t="s">
        <v>20</v>
      </c>
      <c r="E20652" t="s">
        <v>39</v>
      </c>
      <c r="F20652">
        <v>0</v>
      </c>
      <c r="G20652">
        <v>0</v>
      </c>
      <c r="H20652">
        <v>2</v>
      </c>
      <c r="I20652" s="3">
        <v>1209.42</v>
      </c>
      <c r="J20652" s="3">
        <v>0</v>
      </c>
      <c r="L20652">
        <v>120</v>
      </c>
      <c r="M20652" t="s">
        <v>25833</v>
      </c>
      <c r="N20652" t="s">
        <v>30</v>
      </c>
      <c r="O20652" t="s">
        <v>31</v>
      </c>
      <c r="P20652" t="str">
        <f>"15210"</f>
        <v>15210</v>
      </c>
    </row>
    <row r="20653" spans="1:16" x14ac:dyDescent="0.25">
      <c r="A20653" t="str">
        <f>"1300014L00081    00"</f>
        <v>1300014L00081    00</v>
      </c>
      <c r="B20653" t="s">
        <v>44875</v>
      </c>
      <c r="C20653" t="s">
        <v>44876</v>
      </c>
      <c r="D20653" t="s">
        <v>20</v>
      </c>
      <c r="E20653" t="s">
        <v>39</v>
      </c>
      <c r="F20653">
        <v>0</v>
      </c>
      <c r="G20653">
        <v>0</v>
      </c>
      <c r="H20653">
        <v>1</v>
      </c>
      <c r="I20653" s="3">
        <v>451.3</v>
      </c>
      <c r="J20653" s="3">
        <v>0</v>
      </c>
      <c r="L20653">
        <v>49</v>
      </c>
      <c r="M20653" t="s">
        <v>4567</v>
      </c>
      <c r="N20653" t="s">
        <v>44877</v>
      </c>
      <c r="O20653" t="s">
        <v>1413</v>
      </c>
      <c r="P20653" t="str">
        <f>"28803"</f>
        <v>28803</v>
      </c>
    </row>
    <row r="20654" spans="1:16" x14ac:dyDescent="0.25">
      <c r="A20654" t="str">
        <f>"1300014L00090    00"</f>
        <v>1300014L00090    00</v>
      </c>
      <c r="B20654" t="s">
        <v>44878</v>
      </c>
      <c r="C20654" t="s">
        <v>44879</v>
      </c>
      <c r="D20654" t="s">
        <v>20</v>
      </c>
      <c r="E20654" t="s">
        <v>39</v>
      </c>
      <c r="F20654">
        <v>0</v>
      </c>
      <c r="G20654">
        <v>0</v>
      </c>
      <c r="H20654">
        <v>4</v>
      </c>
      <c r="I20654" s="3">
        <v>1377.8</v>
      </c>
      <c r="J20654" s="3">
        <v>497.64</v>
      </c>
      <c r="L20654">
        <v>15</v>
      </c>
      <c r="M20654" t="s">
        <v>1407</v>
      </c>
      <c r="N20654" t="s">
        <v>30</v>
      </c>
      <c r="O20654" t="s">
        <v>31</v>
      </c>
      <c r="P20654" t="str">
        <f>"15210"</f>
        <v>15210</v>
      </c>
    </row>
    <row r="20655" spans="1:16" x14ac:dyDescent="0.25">
      <c r="A20655" t="str">
        <f>"1300014L00092    00"</f>
        <v>1300014L00092    00</v>
      </c>
      <c r="B20655" t="s">
        <v>44880</v>
      </c>
      <c r="C20655" t="s">
        <v>44881</v>
      </c>
      <c r="D20655" t="s">
        <v>20</v>
      </c>
      <c r="E20655" t="s">
        <v>39</v>
      </c>
      <c r="F20655">
        <v>0</v>
      </c>
      <c r="G20655">
        <v>0</v>
      </c>
      <c r="H20655">
        <v>5</v>
      </c>
      <c r="I20655" s="3">
        <v>1205.77</v>
      </c>
      <c r="J20655" s="3">
        <v>208.31</v>
      </c>
      <c r="K20655" t="s">
        <v>44882</v>
      </c>
      <c r="L20655">
        <v>916</v>
      </c>
      <c r="M20655" t="s">
        <v>25667</v>
      </c>
      <c r="N20655" t="s">
        <v>30</v>
      </c>
      <c r="O20655" t="s">
        <v>31</v>
      </c>
      <c r="P20655" t="str">
        <f>"15210"</f>
        <v>15210</v>
      </c>
    </row>
    <row r="20656" spans="1:16" x14ac:dyDescent="0.25">
      <c r="A20656" t="str">
        <f>"1300014L00097    00"</f>
        <v>1300014L00097    00</v>
      </c>
      <c r="B20656" t="s">
        <v>44883</v>
      </c>
      <c r="C20656" t="s">
        <v>44669</v>
      </c>
      <c r="D20656" t="s">
        <v>20</v>
      </c>
      <c r="E20656" t="s">
        <v>39</v>
      </c>
      <c r="F20656">
        <v>0</v>
      </c>
      <c r="G20656">
        <v>0</v>
      </c>
      <c r="H20656">
        <v>19</v>
      </c>
      <c r="I20656" s="3">
        <v>1650.65</v>
      </c>
      <c r="J20656" s="3">
        <v>2315.86</v>
      </c>
      <c r="L20656">
        <v>117</v>
      </c>
      <c r="M20656" t="s">
        <v>40503</v>
      </c>
      <c r="N20656" t="s">
        <v>30</v>
      </c>
      <c r="O20656" t="s">
        <v>31</v>
      </c>
      <c r="P20656" t="str">
        <f>"15210"</f>
        <v>15210</v>
      </c>
    </row>
    <row r="20657" spans="1:16" x14ac:dyDescent="0.25">
      <c r="A20657" t="str">
        <f>"1300014L00098    00"</f>
        <v>1300014L00098    00</v>
      </c>
      <c r="B20657" t="s">
        <v>44883</v>
      </c>
      <c r="C20657" t="s">
        <v>44669</v>
      </c>
      <c r="D20657" t="s">
        <v>20</v>
      </c>
      <c r="E20657" t="s">
        <v>39</v>
      </c>
      <c r="F20657">
        <v>0</v>
      </c>
      <c r="G20657">
        <v>0</v>
      </c>
      <c r="H20657">
        <v>19</v>
      </c>
      <c r="I20657" s="3">
        <v>477.37</v>
      </c>
      <c r="J20657" s="3">
        <v>387.34</v>
      </c>
      <c r="L20657">
        <v>117</v>
      </c>
      <c r="M20657" t="s">
        <v>40503</v>
      </c>
      <c r="N20657" t="s">
        <v>30</v>
      </c>
      <c r="O20657" t="s">
        <v>31</v>
      </c>
      <c r="P20657" t="str">
        <f>"15210"</f>
        <v>15210</v>
      </c>
    </row>
    <row r="20658" spans="1:16" x14ac:dyDescent="0.25">
      <c r="A20658" t="str">
        <f>"1300014L00100    00"</f>
        <v>1300014L00100    00</v>
      </c>
      <c r="B20658" t="s">
        <v>43241</v>
      </c>
      <c r="C20658" t="s">
        <v>44669</v>
      </c>
      <c r="D20658" t="s">
        <v>20</v>
      </c>
      <c r="E20658" t="s">
        <v>39</v>
      </c>
      <c r="F20658">
        <v>0</v>
      </c>
      <c r="G20658">
        <v>0</v>
      </c>
      <c r="H20658">
        <v>19</v>
      </c>
      <c r="I20658" s="3">
        <v>3047.89</v>
      </c>
      <c r="J20658" s="3">
        <v>3721.66</v>
      </c>
      <c r="K20658" t="s">
        <v>14239</v>
      </c>
      <c r="L20658">
        <v>4749</v>
      </c>
      <c r="M20658" t="s">
        <v>2720</v>
      </c>
      <c r="N20658" t="s">
        <v>30</v>
      </c>
      <c r="O20658" t="s">
        <v>31</v>
      </c>
      <c r="P20658" t="str">
        <f>"15213"</f>
        <v>15213</v>
      </c>
    </row>
    <row r="20659" spans="1:16" x14ac:dyDescent="0.25">
      <c r="A20659" t="str">
        <f>"1300014L00101    00"</f>
        <v>1300014L00101    00</v>
      </c>
      <c r="B20659" t="s">
        <v>44884</v>
      </c>
      <c r="C20659" t="s">
        <v>44669</v>
      </c>
      <c r="D20659" t="s">
        <v>20</v>
      </c>
      <c r="E20659" t="s">
        <v>39</v>
      </c>
      <c r="F20659">
        <v>0</v>
      </c>
      <c r="G20659">
        <v>0</v>
      </c>
      <c r="H20659">
        <v>11</v>
      </c>
      <c r="I20659" s="3">
        <v>355.8</v>
      </c>
      <c r="J20659" s="3">
        <v>258.77999999999997</v>
      </c>
      <c r="L20659">
        <v>900</v>
      </c>
      <c r="M20659" t="s">
        <v>44885</v>
      </c>
      <c r="N20659" t="s">
        <v>44886</v>
      </c>
      <c r="O20659" t="s">
        <v>25</v>
      </c>
      <c r="P20659" t="str">
        <f>"43913"</f>
        <v>43913</v>
      </c>
    </row>
    <row r="20660" spans="1:16" x14ac:dyDescent="0.25">
      <c r="A20660" t="str">
        <f>"1300014L00102    00"</f>
        <v>1300014L00102    00</v>
      </c>
      <c r="B20660" t="s">
        <v>44887</v>
      </c>
      <c r="C20660" t="s">
        <v>44888</v>
      </c>
      <c r="D20660" t="s">
        <v>20</v>
      </c>
      <c r="E20660" t="s">
        <v>39</v>
      </c>
      <c r="F20660">
        <v>0</v>
      </c>
      <c r="G20660">
        <v>0</v>
      </c>
      <c r="H20660">
        <v>19</v>
      </c>
      <c r="I20660" s="3">
        <v>4856.57</v>
      </c>
      <c r="J20660" s="3">
        <v>4252.3500000000004</v>
      </c>
      <c r="L20660">
        <v>0</v>
      </c>
      <c r="M20660" t="s">
        <v>44889</v>
      </c>
      <c r="N20660" t="s">
        <v>1474</v>
      </c>
      <c r="O20660" t="s">
        <v>31</v>
      </c>
      <c r="P20660" t="str">
        <f>"15017"</f>
        <v>15017</v>
      </c>
    </row>
    <row r="20661" spans="1:16" x14ac:dyDescent="0.25">
      <c r="A20661" t="str">
        <f>"1300014L00111    00"</f>
        <v>1300014L00111    00</v>
      </c>
      <c r="B20661" t="s">
        <v>44890</v>
      </c>
      <c r="C20661" t="s">
        <v>44891</v>
      </c>
      <c r="D20661" t="s">
        <v>20</v>
      </c>
      <c r="E20661" t="s">
        <v>39</v>
      </c>
      <c r="F20661">
        <v>0</v>
      </c>
      <c r="G20661">
        <v>0</v>
      </c>
      <c r="H20661">
        <v>3</v>
      </c>
      <c r="I20661" s="3">
        <v>1138.74</v>
      </c>
      <c r="J20661" s="3">
        <v>19.29</v>
      </c>
      <c r="L20661">
        <v>139</v>
      </c>
      <c r="M20661" t="s">
        <v>40503</v>
      </c>
      <c r="N20661" t="s">
        <v>30</v>
      </c>
      <c r="O20661" t="s">
        <v>31</v>
      </c>
      <c r="P20661" t="str">
        <f>"15210"</f>
        <v>15210</v>
      </c>
    </row>
    <row r="20662" spans="1:16" x14ac:dyDescent="0.25">
      <c r="A20662" t="str">
        <f>"1300014L00112    00"</f>
        <v>1300014L00112    00</v>
      </c>
      <c r="B20662" t="s">
        <v>44892</v>
      </c>
      <c r="C20662" t="s">
        <v>44893</v>
      </c>
      <c r="D20662" t="s">
        <v>20</v>
      </c>
      <c r="E20662" t="s">
        <v>39</v>
      </c>
      <c r="F20662">
        <v>0</v>
      </c>
      <c r="G20662">
        <v>0</v>
      </c>
      <c r="H20662">
        <v>3</v>
      </c>
      <c r="I20662" s="3">
        <v>1659.08</v>
      </c>
      <c r="J20662" s="3">
        <v>107.66</v>
      </c>
      <c r="L20662">
        <v>141</v>
      </c>
      <c r="M20662" t="s">
        <v>40503</v>
      </c>
      <c r="N20662" t="s">
        <v>30</v>
      </c>
      <c r="O20662" t="s">
        <v>31</v>
      </c>
      <c r="P20662" t="str">
        <f>"15210"</f>
        <v>15210</v>
      </c>
    </row>
    <row r="20663" spans="1:16" x14ac:dyDescent="0.25">
      <c r="A20663" t="str">
        <f>"1300014L00115    00"</f>
        <v>1300014L00115    00</v>
      </c>
      <c r="B20663" t="s">
        <v>23116</v>
      </c>
      <c r="C20663" t="s">
        <v>44894</v>
      </c>
      <c r="E20663" t="s">
        <v>39</v>
      </c>
      <c r="F20663">
        <v>0</v>
      </c>
      <c r="G20663">
        <v>0</v>
      </c>
      <c r="H20663">
        <v>2</v>
      </c>
      <c r="I20663" s="3">
        <v>1063.96</v>
      </c>
      <c r="J20663" s="3">
        <v>26.6</v>
      </c>
      <c r="K20663" t="s">
        <v>23118</v>
      </c>
      <c r="L20663">
        <v>6425</v>
      </c>
      <c r="M20663" t="s">
        <v>44895</v>
      </c>
      <c r="N20663" t="s">
        <v>30</v>
      </c>
      <c r="O20663" t="s">
        <v>31</v>
      </c>
      <c r="P20663" t="str">
        <f>"15206"</f>
        <v>15206</v>
      </c>
    </row>
    <row r="20664" spans="1:16" x14ac:dyDescent="0.25">
      <c r="A20664" t="str">
        <f>"1300014L00118    00"</f>
        <v>1300014L00118    00</v>
      </c>
      <c r="B20664" t="s">
        <v>44896</v>
      </c>
      <c r="C20664" t="s">
        <v>44897</v>
      </c>
      <c r="D20664" t="s">
        <v>20</v>
      </c>
      <c r="E20664" t="s">
        <v>39</v>
      </c>
      <c r="F20664">
        <v>0</v>
      </c>
      <c r="G20664">
        <v>0</v>
      </c>
      <c r="H20664">
        <v>1</v>
      </c>
      <c r="I20664" s="3">
        <v>1048.3</v>
      </c>
      <c r="J20664" s="3">
        <v>0</v>
      </c>
      <c r="K20664" t="s">
        <v>44898</v>
      </c>
      <c r="L20664">
        <v>307</v>
      </c>
      <c r="M20664" t="s">
        <v>44899</v>
      </c>
      <c r="N20664" t="s">
        <v>30</v>
      </c>
      <c r="O20664" t="s">
        <v>31</v>
      </c>
      <c r="P20664" t="str">
        <f>"15215"</f>
        <v>15215</v>
      </c>
    </row>
    <row r="20665" spans="1:16" x14ac:dyDescent="0.25">
      <c r="A20665" t="str">
        <f>"1300014L00123    00"</f>
        <v>1300014L00123    00</v>
      </c>
      <c r="B20665" t="s">
        <v>44900</v>
      </c>
      <c r="C20665" t="s">
        <v>25847</v>
      </c>
      <c r="D20665" t="s">
        <v>20</v>
      </c>
      <c r="E20665" t="s">
        <v>39</v>
      </c>
      <c r="F20665">
        <v>0</v>
      </c>
      <c r="G20665">
        <v>0</v>
      </c>
      <c r="H20665">
        <v>2</v>
      </c>
      <c r="I20665" s="3">
        <v>228.72</v>
      </c>
      <c r="J20665" s="3">
        <v>0</v>
      </c>
      <c r="K20665" t="s">
        <v>44901</v>
      </c>
      <c r="L20665">
        <v>148</v>
      </c>
      <c r="M20665" t="s">
        <v>40503</v>
      </c>
      <c r="N20665" t="s">
        <v>30</v>
      </c>
      <c r="O20665" t="s">
        <v>31</v>
      </c>
      <c r="P20665" t="str">
        <f t="shared" ref="P20665:P20670" si="258">"15210"</f>
        <v>15210</v>
      </c>
    </row>
    <row r="20666" spans="1:16" x14ac:dyDescent="0.25">
      <c r="A20666" t="str">
        <f>"1300014L00128    00"</f>
        <v>1300014L00128    00</v>
      </c>
      <c r="B20666" t="s">
        <v>44902</v>
      </c>
      <c r="C20666" t="s">
        <v>44903</v>
      </c>
      <c r="D20666" t="s">
        <v>20</v>
      </c>
      <c r="E20666" t="s">
        <v>39</v>
      </c>
      <c r="F20666">
        <v>0</v>
      </c>
      <c r="G20666">
        <v>0</v>
      </c>
      <c r="H20666">
        <v>16</v>
      </c>
      <c r="I20666" s="3">
        <v>10134.68</v>
      </c>
      <c r="J20666" s="3">
        <v>7618.36</v>
      </c>
      <c r="L20666">
        <v>67</v>
      </c>
      <c r="M20666" t="s">
        <v>25848</v>
      </c>
      <c r="N20666" t="s">
        <v>30</v>
      </c>
      <c r="O20666" t="s">
        <v>31</v>
      </c>
      <c r="P20666" t="str">
        <f t="shared" si="258"/>
        <v>15210</v>
      </c>
    </row>
    <row r="20667" spans="1:16" x14ac:dyDescent="0.25">
      <c r="A20667" t="str">
        <f>"1300014L00131    00"</f>
        <v>1300014L00131    00</v>
      </c>
      <c r="B20667" t="s">
        <v>44904</v>
      </c>
      <c r="C20667" t="s">
        <v>25847</v>
      </c>
      <c r="D20667" t="s">
        <v>20</v>
      </c>
      <c r="E20667" t="s">
        <v>39</v>
      </c>
      <c r="F20667">
        <v>0</v>
      </c>
      <c r="G20667">
        <v>0</v>
      </c>
      <c r="H20667">
        <v>2</v>
      </c>
      <c r="I20667" s="3">
        <v>171.56</v>
      </c>
      <c r="J20667" s="3">
        <v>0</v>
      </c>
      <c r="K20667" t="s">
        <v>44901</v>
      </c>
      <c r="L20667">
        <v>148</v>
      </c>
      <c r="M20667" t="s">
        <v>40503</v>
      </c>
      <c r="N20667" t="s">
        <v>30</v>
      </c>
      <c r="O20667" t="s">
        <v>31</v>
      </c>
      <c r="P20667" t="str">
        <f t="shared" si="258"/>
        <v>15210</v>
      </c>
    </row>
    <row r="20668" spans="1:16" x14ac:dyDescent="0.25">
      <c r="A20668" t="str">
        <f>"1300014L00140    00"</f>
        <v>1300014L00140    00</v>
      </c>
      <c r="B20668" t="s">
        <v>44905</v>
      </c>
      <c r="C20668" t="s">
        <v>44906</v>
      </c>
      <c r="D20668" t="s">
        <v>20</v>
      </c>
      <c r="E20668" t="s">
        <v>21</v>
      </c>
      <c r="F20668">
        <v>0</v>
      </c>
      <c r="G20668">
        <v>0</v>
      </c>
      <c r="H20668">
        <v>2</v>
      </c>
      <c r="I20668" s="3">
        <v>446.02</v>
      </c>
      <c r="J20668" s="3">
        <v>0</v>
      </c>
      <c r="L20668">
        <v>148</v>
      </c>
      <c r="M20668" t="s">
        <v>40503</v>
      </c>
      <c r="N20668" t="s">
        <v>30</v>
      </c>
      <c r="O20668" t="s">
        <v>31</v>
      </c>
      <c r="P20668" t="str">
        <f t="shared" si="258"/>
        <v>15210</v>
      </c>
    </row>
    <row r="20669" spans="1:16" x14ac:dyDescent="0.25">
      <c r="A20669" t="str">
        <f>"1300014L00145    00"</f>
        <v>1300014L00145    00</v>
      </c>
      <c r="B20669" t="s">
        <v>44907</v>
      </c>
      <c r="C20669" t="s">
        <v>44669</v>
      </c>
      <c r="D20669" t="s">
        <v>20</v>
      </c>
      <c r="E20669" t="s">
        <v>39</v>
      </c>
      <c r="F20669">
        <v>0</v>
      </c>
      <c r="G20669">
        <v>0</v>
      </c>
      <c r="H20669">
        <v>12</v>
      </c>
      <c r="I20669" s="3">
        <v>1101.69</v>
      </c>
      <c r="J20669" s="3">
        <v>985.86</v>
      </c>
      <c r="L20669">
        <v>136</v>
      </c>
      <c r="M20669" t="s">
        <v>40503</v>
      </c>
      <c r="N20669" t="s">
        <v>30</v>
      </c>
      <c r="O20669" t="s">
        <v>31</v>
      </c>
      <c r="P20669" t="str">
        <f t="shared" si="258"/>
        <v>15210</v>
      </c>
    </row>
    <row r="20670" spans="1:16" x14ac:dyDescent="0.25">
      <c r="A20670" t="str">
        <f>"1300014L00146    00"</f>
        <v>1300014L00146    00</v>
      </c>
      <c r="B20670" t="s">
        <v>44908</v>
      </c>
      <c r="C20670" t="s">
        <v>44909</v>
      </c>
      <c r="D20670" t="s">
        <v>20</v>
      </c>
      <c r="E20670" t="s">
        <v>39</v>
      </c>
      <c r="F20670">
        <v>0</v>
      </c>
      <c r="G20670">
        <v>0</v>
      </c>
      <c r="H20670">
        <v>1</v>
      </c>
      <c r="I20670" s="3">
        <v>228.74</v>
      </c>
      <c r="J20670" s="3">
        <v>0</v>
      </c>
      <c r="K20670" t="s">
        <v>44910</v>
      </c>
      <c r="L20670">
        <v>1646</v>
      </c>
      <c r="M20670" t="s">
        <v>43592</v>
      </c>
      <c r="N20670" t="s">
        <v>30</v>
      </c>
      <c r="O20670" t="s">
        <v>31</v>
      </c>
      <c r="P20670" t="str">
        <f t="shared" si="258"/>
        <v>15210</v>
      </c>
    </row>
    <row r="20671" spans="1:16" x14ac:dyDescent="0.25">
      <c r="A20671" t="str">
        <f>"1300014L00147    00"</f>
        <v>1300014L00147    00</v>
      </c>
      <c r="B20671" t="s">
        <v>43241</v>
      </c>
      <c r="C20671" t="s">
        <v>44669</v>
      </c>
      <c r="D20671" t="s">
        <v>20</v>
      </c>
      <c r="E20671" t="s">
        <v>39</v>
      </c>
      <c r="F20671">
        <v>0</v>
      </c>
      <c r="G20671">
        <v>0</v>
      </c>
      <c r="H20671">
        <v>19</v>
      </c>
      <c r="I20671" s="3">
        <v>598.11</v>
      </c>
      <c r="J20671" s="3">
        <v>569.91999999999996</v>
      </c>
      <c r="K20671" t="s">
        <v>14239</v>
      </c>
      <c r="L20671">
        <v>4749</v>
      </c>
      <c r="M20671" t="s">
        <v>2720</v>
      </c>
      <c r="N20671" t="s">
        <v>30</v>
      </c>
      <c r="O20671" t="s">
        <v>31</v>
      </c>
      <c r="P20671" t="str">
        <f>"15213"</f>
        <v>15213</v>
      </c>
    </row>
    <row r="20672" spans="1:16" x14ac:dyDescent="0.25">
      <c r="A20672" t="str">
        <f>"1300014L00151    00"</f>
        <v>1300014L00151    00</v>
      </c>
      <c r="B20672" t="s">
        <v>43241</v>
      </c>
      <c r="C20672" t="s">
        <v>44669</v>
      </c>
      <c r="D20672" t="s">
        <v>20</v>
      </c>
      <c r="E20672" t="s">
        <v>39</v>
      </c>
      <c r="F20672">
        <v>0</v>
      </c>
      <c r="G20672">
        <v>0</v>
      </c>
      <c r="H20672">
        <v>19</v>
      </c>
      <c r="I20672" s="3">
        <v>3325.29</v>
      </c>
      <c r="J20672" s="3">
        <v>4056.89</v>
      </c>
      <c r="K20672" t="s">
        <v>44911</v>
      </c>
      <c r="L20672">
        <v>4749</v>
      </c>
      <c r="M20672" t="s">
        <v>2720</v>
      </c>
      <c r="N20672" t="s">
        <v>30</v>
      </c>
      <c r="O20672" t="s">
        <v>31</v>
      </c>
      <c r="P20672" t="str">
        <f>"15213"</f>
        <v>15213</v>
      </c>
    </row>
    <row r="20673" spans="1:16" x14ac:dyDescent="0.25">
      <c r="A20673" t="str">
        <f>"1300014L00152    00"</f>
        <v>1300014L00152    00</v>
      </c>
      <c r="B20673" t="s">
        <v>44912</v>
      </c>
      <c r="C20673" t="s">
        <v>44669</v>
      </c>
      <c r="D20673" t="s">
        <v>20</v>
      </c>
      <c r="E20673" t="s">
        <v>39</v>
      </c>
      <c r="F20673">
        <v>0</v>
      </c>
      <c r="G20673">
        <v>0</v>
      </c>
      <c r="H20673">
        <v>13</v>
      </c>
      <c r="I20673" s="3">
        <v>732.62</v>
      </c>
      <c r="J20673" s="3">
        <v>407.75</v>
      </c>
      <c r="L20673">
        <v>53</v>
      </c>
      <c r="M20673" t="s">
        <v>44913</v>
      </c>
      <c r="N20673" t="s">
        <v>30</v>
      </c>
      <c r="O20673" t="s">
        <v>31</v>
      </c>
      <c r="P20673" t="str">
        <f>"15227"</f>
        <v>15227</v>
      </c>
    </row>
    <row r="20674" spans="1:16" x14ac:dyDescent="0.25">
      <c r="A20674" t="str">
        <f>"1300014L00153    00"</f>
        <v>1300014L00153    00</v>
      </c>
      <c r="B20674" t="s">
        <v>44914</v>
      </c>
      <c r="C20674" t="s">
        <v>44669</v>
      </c>
      <c r="D20674" t="s">
        <v>20</v>
      </c>
      <c r="E20674" t="s">
        <v>39</v>
      </c>
      <c r="F20674">
        <v>0</v>
      </c>
      <c r="G20674">
        <v>0</v>
      </c>
      <c r="H20674">
        <v>14</v>
      </c>
      <c r="I20674" s="3">
        <v>346.49</v>
      </c>
      <c r="J20674" s="3">
        <v>331.3</v>
      </c>
      <c r="K20674" t="s">
        <v>44915</v>
      </c>
      <c r="L20674">
        <v>545</v>
      </c>
      <c r="M20674" t="s">
        <v>44916</v>
      </c>
      <c r="N20674" t="s">
        <v>44917</v>
      </c>
      <c r="O20674" t="s">
        <v>370</v>
      </c>
      <c r="P20674" t="str">
        <f>"34689"</f>
        <v>34689</v>
      </c>
    </row>
    <row r="20675" spans="1:16" x14ac:dyDescent="0.25">
      <c r="A20675" t="str">
        <f>"1300014L00154    00"</f>
        <v>1300014L00154    00</v>
      </c>
      <c r="B20675" t="s">
        <v>44918</v>
      </c>
      <c r="C20675" t="s">
        <v>44669</v>
      </c>
      <c r="D20675" t="s">
        <v>20</v>
      </c>
      <c r="E20675" t="s">
        <v>39</v>
      </c>
      <c r="F20675">
        <v>0</v>
      </c>
      <c r="G20675">
        <v>0</v>
      </c>
      <c r="H20675">
        <v>19</v>
      </c>
      <c r="I20675" s="3">
        <v>6341.93</v>
      </c>
      <c r="J20675" s="3">
        <v>8583.81</v>
      </c>
      <c r="L20675">
        <v>118</v>
      </c>
      <c r="M20675" t="s">
        <v>40503</v>
      </c>
      <c r="N20675" t="s">
        <v>30</v>
      </c>
      <c r="O20675" t="s">
        <v>31</v>
      </c>
      <c r="P20675" t="str">
        <f t="shared" ref="P20675:P20680" si="259">"15210"</f>
        <v>15210</v>
      </c>
    </row>
    <row r="20676" spans="1:16" x14ac:dyDescent="0.25">
      <c r="A20676" t="str">
        <f>"1300014L00161    00"</f>
        <v>1300014L00161    00</v>
      </c>
      <c r="B20676" t="s">
        <v>44919</v>
      </c>
      <c r="C20676" t="s">
        <v>44920</v>
      </c>
      <c r="D20676" t="s">
        <v>20</v>
      </c>
      <c r="E20676" t="s">
        <v>39</v>
      </c>
      <c r="F20676">
        <v>0</v>
      </c>
      <c r="G20676">
        <v>0</v>
      </c>
      <c r="H20676">
        <v>3</v>
      </c>
      <c r="I20676" s="3">
        <v>861.75</v>
      </c>
      <c r="J20676" s="3">
        <v>0</v>
      </c>
      <c r="L20676">
        <v>112</v>
      </c>
      <c r="M20676" t="s">
        <v>40503</v>
      </c>
      <c r="N20676" t="s">
        <v>30</v>
      </c>
      <c r="O20676" t="s">
        <v>31</v>
      </c>
      <c r="P20676" t="str">
        <f t="shared" si="259"/>
        <v>15210</v>
      </c>
    </row>
    <row r="20677" spans="1:16" x14ac:dyDescent="0.25">
      <c r="A20677" t="str">
        <f>"1300014L00165    00"</f>
        <v>1300014L00165    00</v>
      </c>
      <c r="B20677" t="s">
        <v>44921</v>
      </c>
      <c r="C20677" t="s">
        <v>44922</v>
      </c>
      <c r="E20677" t="s">
        <v>39</v>
      </c>
      <c r="F20677">
        <v>0</v>
      </c>
      <c r="G20677">
        <v>0</v>
      </c>
      <c r="H20677">
        <v>1</v>
      </c>
      <c r="I20677" s="3">
        <v>308.79000000000002</v>
      </c>
      <c r="J20677" s="3">
        <v>0</v>
      </c>
      <c r="K20677" t="s">
        <v>44923</v>
      </c>
      <c r="L20677">
        <v>35</v>
      </c>
      <c r="M20677" t="s">
        <v>1407</v>
      </c>
      <c r="N20677" t="s">
        <v>30</v>
      </c>
      <c r="O20677" t="s">
        <v>31</v>
      </c>
      <c r="P20677" t="str">
        <f t="shared" si="259"/>
        <v>15210</v>
      </c>
    </row>
    <row r="20678" spans="1:16" x14ac:dyDescent="0.25">
      <c r="A20678" t="str">
        <f>"1300014L00166    00"</f>
        <v>1300014L00166    00</v>
      </c>
      <c r="B20678" t="s">
        <v>44924</v>
      </c>
      <c r="C20678" t="s">
        <v>44925</v>
      </c>
      <c r="E20678" t="s">
        <v>39</v>
      </c>
      <c r="F20678">
        <v>0</v>
      </c>
      <c r="G20678">
        <v>0</v>
      </c>
      <c r="H20678">
        <v>1</v>
      </c>
      <c r="I20678" s="3">
        <v>308.79000000000002</v>
      </c>
      <c r="J20678" s="3">
        <v>0</v>
      </c>
      <c r="K20678" t="s">
        <v>44926</v>
      </c>
      <c r="L20678">
        <v>37</v>
      </c>
      <c r="M20678" t="s">
        <v>27076</v>
      </c>
      <c r="N20678" t="s">
        <v>30</v>
      </c>
      <c r="O20678" t="s">
        <v>31</v>
      </c>
      <c r="P20678" t="str">
        <f t="shared" si="259"/>
        <v>15210</v>
      </c>
    </row>
    <row r="20679" spans="1:16" x14ac:dyDescent="0.25">
      <c r="A20679" t="str">
        <f>"1300014L00168    00"</f>
        <v>1300014L00168    00</v>
      </c>
      <c r="B20679" t="s">
        <v>26051</v>
      </c>
      <c r="C20679" t="s">
        <v>44927</v>
      </c>
      <c r="D20679" t="s">
        <v>20</v>
      </c>
      <c r="E20679" t="s">
        <v>39</v>
      </c>
      <c r="F20679">
        <v>0</v>
      </c>
      <c r="G20679">
        <v>0</v>
      </c>
      <c r="H20679">
        <v>18</v>
      </c>
      <c r="I20679" s="3">
        <v>8424.5</v>
      </c>
      <c r="J20679" s="3">
        <v>12016.45</v>
      </c>
      <c r="L20679">
        <v>430</v>
      </c>
      <c r="M20679" t="s">
        <v>25529</v>
      </c>
      <c r="N20679" t="s">
        <v>30</v>
      </c>
      <c r="O20679" t="s">
        <v>31</v>
      </c>
      <c r="P20679" t="str">
        <f t="shared" si="259"/>
        <v>15210</v>
      </c>
    </row>
    <row r="20680" spans="1:16" x14ac:dyDescent="0.25">
      <c r="A20680" t="str">
        <f>"1300014L00172    00"</f>
        <v>1300014L00172    00</v>
      </c>
      <c r="B20680" t="s">
        <v>44928</v>
      </c>
      <c r="C20680" t="s">
        <v>44929</v>
      </c>
      <c r="D20680" t="s">
        <v>20</v>
      </c>
      <c r="E20680" t="s">
        <v>39</v>
      </c>
      <c r="F20680">
        <v>0</v>
      </c>
      <c r="G20680">
        <v>0</v>
      </c>
      <c r="H20680">
        <v>1</v>
      </c>
      <c r="I20680" s="3">
        <v>789.1</v>
      </c>
      <c r="J20680" s="3">
        <v>0</v>
      </c>
      <c r="L20680">
        <v>113</v>
      </c>
      <c r="M20680" t="s">
        <v>3295</v>
      </c>
      <c r="N20680" t="s">
        <v>30</v>
      </c>
      <c r="O20680" t="s">
        <v>31</v>
      </c>
      <c r="P20680" t="str">
        <f t="shared" si="259"/>
        <v>15210</v>
      </c>
    </row>
    <row r="20681" spans="1:16" x14ac:dyDescent="0.25">
      <c r="A20681" t="str">
        <f>"1300014L00175    00"</f>
        <v>1300014L00175    00</v>
      </c>
      <c r="B20681" t="s">
        <v>44930</v>
      </c>
      <c r="C20681" t="s">
        <v>44931</v>
      </c>
      <c r="E20681" t="s">
        <v>39</v>
      </c>
      <c r="F20681">
        <v>0</v>
      </c>
      <c r="G20681">
        <v>0</v>
      </c>
      <c r="H20681">
        <v>7</v>
      </c>
      <c r="I20681" s="3">
        <v>5165.05</v>
      </c>
      <c r="J20681" s="3">
        <v>3548.33</v>
      </c>
      <c r="K20681" t="s">
        <v>44932</v>
      </c>
      <c r="L20681">
        <v>115</v>
      </c>
      <c r="M20681" t="s">
        <v>44933</v>
      </c>
      <c r="N20681" t="s">
        <v>30</v>
      </c>
      <c r="O20681" t="s">
        <v>31</v>
      </c>
      <c r="P20681" t="str">
        <f>"15227"</f>
        <v>15227</v>
      </c>
    </row>
    <row r="20682" spans="1:16" x14ac:dyDescent="0.25">
      <c r="A20682" t="str">
        <f>"1300014L00178    00"</f>
        <v>1300014L00178    00</v>
      </c>
      <c r="B20682" t="s">
        <v>44934</v>
      </c>
      <c r="C20682" t="s">
        <v>44935</v>
      </c>
      <c r="D20682" t="s">
        <v>20</v>
      </c>
      <c r="E20682" t="s">
        <v>39</v>
      </c>
      <c r="F20682">
        <v>0</v>
      </c>
      <c r="G20682">
        <v>0</v>
      </c>
      <c r="H20682">
        <v>7</v>
      </c>
      <c r="I20682" s="3">
        <v>5102.33</v>
      </c>
      <c r="J20682" s="3">
        <v>1564.71</v>
      </c>
      <c r="M20682" t="s">
        <v>44936</v>
      </c>
      <c r="N20682" t="s">
        <v>30</v>
      </c>
      <c r="O20682" t="s">
        <v>31</v>
      </c>
      <c r="P20682" t="str">
        <f>"15216"</f>
        <v>15216</v>
      </c>
    </row>
    <row r="20683" spans="1:16" x14ac:dyDescent="0.25">
      <c r="A20683" t="str">
        <f>"1300014L00179    00"</f>
        <v>1300014L00179    00</v>
      </c>
      <c r="B20683" t="s">
        <v>44937</v>
      </c>
      <c r="C20683" t="s">
        <v>44647</v>
      </c>
      <c r="E20683" t="s">
        <v>39</v>
      </c>
      <c r="F20683">
        <v>0</v>
      </c>
      <c r="G20683">
        <v>0</v>
      </c>
      <c r="H20683">
        <v>17</v>
      </c>
      <c r="I20683" s="3">
        <v>4036.6</v>
      </c>
      <c r="J20683" s="3">
        <v>3962.31</v>
      </c>
      <c r="L20683">
        <v>35</v>
      </c>
      <c r="M20683" t="s">
        <v>1407</v>
      </c>
      <c r="N20683" t="s">
        <v>30</v>
      </c>
      <c r="O20683" t="s">
        <v>31</v>
      </c>
      <c r="P20683" t="str">
        <f>"15210"</f>
        <v>15210</v>
      </c>
    </row>
    <row r="20684" spans="1:16" x14ac:dyDescent="0.25">
      <c r="A20684" t="str">
        <f>"1300014L00183    00"</f>
        <v>1300014L00183    00</v>
      </c>
      <c r="B20684" t="s">
        <v>44938</v>
      </c>
      <c r="C20684" t="s">
        <v>44939</v>
      </c>
      <c r="D20684" t="s">
        <v>20</v>
      </c>
      <c r="E20684" t="s">
        <v>39</v>
      </c>
      <c r="F20684">
        <v>0</v>
      </c>
      <c r="G20684">
        <v>0</v>
      </c>
      <c r="H20684">
        <v>2</v>
      </c>
      <c r="I20684" s="3">
        <v>650.21</v>
      </c>
      <c r="J20684" s="3">
        <v>0</v>
      </c>
      <c r="L20684">
        <v>133</v>
      </c>
      <c r="M20684" t="s">
        <v>3295</v>
      </c>
      <c r="N20684" t="s">
        <v>30</v>
      </c>
      <c r="O20684" t="s">
        <v>31</v>
      </c>
      <c r="P20684" t="str">
        <f>"15210"</f>
        <v>15210</v>
      </c>
    </row>
    <row r="20685" spans="1:16" x14ac:dyDescent="0.25">
      <c r="A20685" t="str">
        <f>"1300014L00184    00"</f>
        <v>1300014L00184    00</v>
      </c>
      <c r="B20685" t="s">
        <v>44938</v>
      </c>
      <c r="C20685" t="s">
        <v>44940</v>
      </c>
      <c r="D20685" t="s">
        <v>20</v>
      </c>
      <c r="E20685" t="s">
        <v>39</v>
      </c>
      <c r="F20685">
        <v>0</v>
      </c>
      <c r="G20685">
        <v>0</v>
      </c>
      <c r="H20685">
        <v>3</v>
      </c>
      <c r="I20685" s="3">
        <v>2120.54</v>
      </c>
      <c r="J20685" s="3">
        <v>57.93</v>
      </c>
      <c r="L20685">
        <v>133</v>
      </c>
      <c r="M20685" t="s">
        <v>3295</v>
      </c>
      <c r="N20685" t="s">
        <v>30</v>
      </c>
      <c r="O20685" t="s">
        <v>31</v>
      </c>
      <c r="P20685" t="str">
        <f>"15210"</f>
        <v>15210</v>
      </c>
    </row>
    <row r="20686" spans="1:16" x14ac:dyDescent="0.25">
      <c r="A20686" t="str">
        <f>"1300014L00187    00"</f>
        <v>1300014L00187    00</v>
      </c>
      <c r="B20686" t="s">
        <v>44941</v>
      </c>
      <c r="C20686" t="s">
        <v>44942</v>
      </c>
      <c r="E20686" t="s">
        <v>39</v>
      </c>
      <c r="F20686">
        <v>0</v>
      </c>
      <c r="G20686">
        <v>0</v>
      </c>
      <c r="H20686">
        <v>15</v>
      </c>
      <c r="I20686" s="3">
        <v>10069.67</v>
      </c>
      <c r="J20686" s="3">
        <v>8572</v>
      </c>
      <c r="L20686">
        <v>130</v>
      </c>
      <c r="M20686" t="s">
        <v>44943</v>
      </c>
      <c r="N20686" t="s">
        <v>30</v>
      </c>
      <c r="O20686" t="s">
        <v>31</v>
      </c>
      <c r="P20686" t="str">
        <f>"15235"</f>
        <v>15235</v>
      </c>
    </row>
    <row r="20687" spans="1:16" x14ac:dyDescent="0.25">
      <c r="A20687" t="str">
        <f>"1300014L00192    00"</f>
        <v>1300014L00192    00</v>
      </c>
      <c r="B20687" t="s">
        <v>44944</v>
      </c>
      <c r="C20687" t="s">
        <v>44945</v>
      </c>
      <c r="D20687" t="s">
        <v>20</v>
      </c>
      <c r="E20687" t="s">
        <v>39</v>
      </c>
      <c r="F20687">
        <v>0</v>
      </c>
      <c r="G20687">
        <v>0</v>
      </c>
      <c r="H20687">
        <v>2</v>
      </c>
      <c r="I20687" s="3">
        <v>945.42</v>
      </c>
      <c r="J20687" s="3">
        <v>0</v>
      </c>
      <c r="L20687">
        <v>71</v>
      </c>
      <c r="M20687" t="s">
        <v>25848</v>
      </c>
      <c r="N20687" t="s">
        <v>30</v>
      </c>
      <c r="O20687" t="s">
        <v>31</v>
      </c>
      <c r="P20687" t="str">
        <f>"15210"</f>
        <v>15210</v>
      </c>
    </row>
    <row r="20688" spans="1:16" x14ac:dyDescent="0.25">
      <c r="A20688" t="str">
        <f>"1300014L00195    00"</f>
        <v>1300014L00195    00</v>
      </c>
      <c r="B20688" t="s">
        <v>44946</v>
      </c>
      <c r="C20688" t="s">
        <v>25847</v>
      </c>
      <c r="D20688" t="s">
        <v>20</v>
      </c>
      <c r="E20688" t="s">
        <v>21</v>
      </c>
      <c r="F20688">
        <v>0</v>
      </c>
      <c r="G20688">
        <v>0</v>
      </c>
      <c r="H20688">
        <v>12</v>
      </c>
      <c r="I20688" s="3">
        <v>285.52999999999997</v>
      </c>
      <c r="J20688" s="3">
        <v>150.94999999999999</v>
      </c>
      <c r="L20688">
        <v>1012</v>
      </c>
      <c r="M20688" t="s">
        <v>32265</v>
      </c>
      <c r="N20688" t="s">
        <v>30</v>
      </c>
      <c r="O20688" t="s">
        <v>31</v>
      </c>
      <c r="P20688" t="str">
        <f>"15204"</f>
        <v>15204</v>
      </c>
    </row>
    <row r="20689" spans="1:16" x14ac:dyDescent="0.25">
      <c r="A20689" t="str">
        <f>"1300014L00196B   00"</f>
        <v>1300014L00196B   00</v>
      </c>
      <c r="B20689" t="s">
        <v>44947</v>
      </c>
      <c r="C20689" t="s">
        <v>44948</v>
      </c>
      <c r="D20689" t="s">
        <v>20</v>
      </c>
      <c r="E20689" t="s">
        <v>39</v>
      </c>
      <c r="F20689">
        <v>0</v>
      </c>
      <c r="G20689">
        <v>0</v>
      </c>
      <c r="H20689">
        <v>2</v>
      </c>
      <c r="I20689" s="3">
        <v>1148.29</v>
      </c>
      <c r="J20689" s="3">
        <v>0</v>
      </c>
      <c r="L20689">
        <v>2479</v>
      </c>
      <c r="M20689" t="s">
        <v>44949</v>
      </c>
      <c r="N20689" t="s">
        <v>30</v>
      </c>
      <c r="O20689" t="s">
        <v>31</v>
      </c>
      <c r="P20689" t="str">
        <f>"15241"</f>
        <v>15241</v>
      </c>
    </row>
    <row r="20690" spans="1:16" x14ac:dyDescent="0.25">
      <c r="A20690" t="str">
        <f>"1300014L00197    00"</f>
        <v>1300014L00197    00</v>
      </c>
      <c r="B20690" t="s">
        <v>44950</v>
      </c>
      <c r="C20690" t="s">
        <v>44951</v>
      </c>
      <c r="D20690" t="s">
        <v>20</v>
      </c>
      <c r="E20690" t="s">
        <v>39</v>
      </c>
      <c r="F20690">
        <v>0</v>
      </c>
      <c r="G20690">
        <v>0</v>
      </c>
      <c r="H20690">
        <v>2</v>
      </c>
      <c r="I20690" s="3">
        <v>1279.26</v>
      </c>
      <c r="J20690" s="3">
        <v>0</v>
      </c>
      <c r="L20690">
        <v>2479</v>
      </c>
      <c r="M20690" t="s">
        <v>44949</v>
      </c>
      <c r="N20690" t="s">
        <v>30</v>
      </c>
      <c r="O20690" t="s">
        <v>31</v>
      </c>
      <c r="P20690" t="str">
        <f>"15241"</f>
        <v>15241</v>
      </c>
    </row>
    <row r="20691" spans="1:16" x14ac:dyDescent="0.25">
      <c r="A20691" t="str">
        <f>"1300014L00199    00"</f>
        <v>1300014L00199    00</v>
      </c>
      <c r="B20691" t="s">
        <v>22753</v>
      </c>
      <c r="C20691" t="s">
        <v>44952</v>
      </c>
      <c r="D20691" t="s">
        <v>20</v>
      </c>
      <c r="E20691" t="s">
        <v>39</v>
      </c>
      <c r="F20691">
        <v>0</v>
      </c>
      <c r="G20691">
        <v>0</v>
      </c>
      <c r="H20691">
        <v>1</v>
      </c>
      <c r="I20691" s="3">
        <v>890.11</v>
      </c>
      <c r="J20691" s="3">
        <v>0</v>
      </c>
      <c r="K20691" t="s">
        <v>3656</v>
      </c>
      <c r="L20691">
        <v>14</v>
      </c>
      <c r="M20691" t="s">
        <v>3657</v>
      </c>
      <c r="N20691" t="s">
        <v>30</v>
      </c>
      <c r="O20691" t="s">
        <v>31</v>
      </c>
      <c r="P20691" t="str">
        <f>"15238"</f>
        <v>15238</v>
      </c>
    </row>
    <row r="20692" spans="1:16" x14ac:dyDescent="0.25">
      <c r="A20692" t="str">
        <f>"1300014L00203    00"</f>
        <v>1300014L00203    00</v>
      </c>
      <c r="B20692" t="s">
        <v>26389</v>
      </c>
      <c r="C20692" t="s">
        <v>44647</v>
      </c>
      <c r="D20692" t="s">
        <v>20</v>
      </c>
      <c r="E20692" t="s">
        <v>39</v>
      </c>
      <c r="F20692">
        <v>0</v>
      </c>
      <c r="G20692">
        <v>0</v>
      </c>
      <c r="H20692">
        <v>19</v>
      </c>
      <c r="I20692" s="3">
        <v>477.37</v>
      </c>
      <c r="J20692" s="3">
        <v>387.34</v>
      </c>
      <c r="L20692">
        <v>142</v>
      </c>
      <c r="M20692" t="s">
        <v>3295</v>
      </c>
      <c r="N20692" t="s">
        <v>44953</v>
      </c>
      <c r="O20692" t="s">
        <v>31</v>
      </c>
      <c r="P20692" t="str">
        <f>"15210"</f>
        <v>15210</v>
      </c>
    </row>
    <row r="20693" spans="1:16" x14ac:dyDescent="0.25">
      <c r="A20693" t="str">
        <f>"1300014L00204    00"</f>
        <v>1300014L00204    00</v>
      </c>
      <c r="B20693" t="s">
        <v>26389</v>
      </c>
      <c r="C20693" t="s">
        <v>44647</v>
      </c>
      <c r="D20693" t="s">
        <v>20</v>
      </c>
      <c r="E20693" t="s">
        <v>39</v>
      </c>
      <c r="F20693">
        <v>0</v>
      </c>
      <c r="G20693">
        <v>0</v>
      </c>
      <c r="H20693">
        <v>19</v>
      </c>
      <c r="I20693" s="3">
        <v>477.37</v>
      </c>
      <c r="J20693" s="3">
        <v>387.34</v>
      </c>
      <c r="L20693">
        <v>142</v>
      </c>
      <c r="M20693" t="s">
        <v>3295</v>
      </c>
      <c r="N20693" t="s">
        <v>44953</v>
      </c>
      <c r="O20693" t="s">
        <v>31</v>
      </c>
      <c r="P20693" t="str">
        <f>"15210"</f>
        <v>15210</v>
      </c>
    </row>
    <row r="20694" spans="1:16" x14ac:dyDescent="0.25">
      <c r="A20694" t="str">
        <f>"1300014L00205    00"</f>
        <v>1300014L00205    00</v>
      </c>
      <c r="B20694" t="s">
        <v>44954</v>
      </c>
      <c r="C20694" t="s">
        <v>44647</v>
      </c>
      <c r="D20694" t="s">
        <v>20</v>
      </c>
      <c r="E20694" t="s">
        <v>39</v>
      </c>
      <c r="F20694">
        <v>0</v>
      </c>
      <c r="G20694">
        <v>0</v>
      </c>
      <c r="H20694">
        <v>19</v>
      </c>
      <c r="I20694" s="3">
        <v>301.70999999999998</v>
      </c>
      <c r="J20694" s="3">
        <v>294.45</v>
      </c>
      <c r="M20694">
        <v>0</v>
      </c>
      <c r="P20694" t="str">
        <f>""</f>
        <v/>
      </c>
    </row>
    <row r="20695" spans="1:16" x14ac:dyDescent="0.25">
      <c r="A20695" t="str">
        <f>"1300014L00208    00"</f>
        <v>1300014L00208    00</v>
      </c>
      <c r="B20695" t="s">
        <v>44955</v>
      </c>
      <c r="C20695" t="s">
        <v>44956</v>
      </c>
      <c r="E20695" t="s">
        <v>39</v>
      </c>
      <c r="F20695">
        <v>0</v>
      </c>
      <c r="G20695">
        <v>0</v>
      </c>
      <c r="H20695">
        <v>2</v>
      </c>
      <c r="I20695" s="3">
        <v>229.62</v>
      </c>
      <c r="J20695" s="3">
        <v>3.54</v>
      </c>
      <c r="K20695" t="s">
        <v>44957</v>
      </c>
      <c r="L20695">
        <v>136</v>
      </c>
      <c r="M20695" t="s">
        <v>3295</v>
      </c>
      <c r="N20695" t="s">
        <v>30</v>
      </c>
      <c r="O20695" t="s">
        <v>31</v>
      </c>
      <c r="P20695" t="str">
        <f>"15210"</f>
        <v>15210</v>
      </c>
    </row>
    <row r="20696" spans="1:16" x14ac:dyDescent="0.25">
      <c r="A20696" t="str">
        <f>"1300014L00210    00"</f>
        <v>1300014L00210    00</v>
      </c>
      <c r="B20696" t="s">
        <v>44958</v>
      </c>
      <c r="C20696" t="s">
        <v>44647</v>
      </c>
      <c r="D20696" t="s">
        <v>20</v>
      </c>
      <c r="E20696" t="s">
        <v>39</v>
      </c>
      <c r="F20696">
        <v>0</v>
      </c>
      <c r="G20696">
        <v>0</v>
      </c>
      <c r="H20696">
        <v>18</v>
      </c>
      <c r="I20696" s="3">
        <v>2299.21</v>
      </c>
      <c r="J20696" s="3">
        <v>2564.36</v>
      </c>
      <c r="M20696" t="s">
        <v>44959</v>
      </c>
      <c r="N20696" t="s">
        <v>44960</v>
      </c>
      <c r="O20696" t="s">
        <v>554</v>
      </c>
      <c r="P20696" t="str">
        <f>"26504"</f>
        <v>26504</v>
      </c>
    </row>
    <row r="20697" spans="1:16" x14ac:dyDescent="0.25">
      <c r="A20697" t="str">
        <f>"1300014L00211    00"</f>
        <v>1300014L00211    00</v>
      </c>
      <c r="B20697" t="s">
        <v>44656</v>
      </c>
      <c r="C20697" t="s">
        <v>44961</v>
      </c>
      <c r="E20697" t="s">
        <v>39</v>
      </c>
      <c r="F20697">
        <v>0</v>
      </c>
      <c r="G20697">
        <v>0</v>
      </c>
      <c r="H20697">
        <v>2</v>
      </c>
      <c r="I20697" s="3">
        <v>23.33</v>
      </c>
      <c r="J20697" s="3">
        <v>5.63</v>
      </c>
      <c r="K20697" t="s">
        <v>44658</v>
      </c>
      <c r="L20697">
        <v>2049</v>
      </c>
      <c r="M20697" t="s">
        <v>44659</v>
      </c>
      <c r="N20697" t="s">
        <v>44660</v>
      </c>
      <c r="O20697" t="s">
        <v>495</v>
      </c>
      <c r="P20697" t="str">
        <f>"94596"</f>
        <v>94596</v>
      </c>
    </row>
    <row r="20698" spans="1:16" x14ac:dyDescent="0.25">
      <c r="A20698" t="str">
        <f>"1300014L00217    00"</f>
        <v>1300014L00217    00</v>
      </c>
      <c r="B20698" t="s">
        <v>44962</v>
      </c>
      <c r="C20698" t="s">
        <v>44963</v>
      </c>
      <c r="D20698" t="s">
        <v>20</v>
      </c>
      <c r="E20698" t="s">
        <v>39</v>
      </c>
      <c r="F20698">
        <v>0</v>
      </c>
      <c r="G20698">
        <v>0</v>
      </c>
      <c r="H20698">
        <v>1</v>
      </c>
      <c r="I20698" s="3">
        <v>118.81</v>
      </c>
      <c r="J20698" s="3">
        <v>0</v>
      </c>
      <c r="K20698" t="s">
        <v>44964</v>
      </c>
      <c r="L20698">
        <v>120</v>
      </c>
      <c r="M20698" t="s">
        <v>3295</v>
      </c>
      <c r="N20698" t="s">
        <v>30</v>
      </c>
      <c r="O20698" t="s">
        <v>31</v>
      </c>
      <c r="P20698" t="str">
        <f>"15210"</f>
        <v>15210</v>
      </c>
    </row>
    <row r="20699" spans="1:16" x14ac:dyDescent="0.25">
      <c r="A20699" t="str">
        <f>"1300014N00127    00"</f>
        <v>1300014N00127    00</v>
      </c>
      <c r="B20699" t="s">
        <v>44965</v>
      </c>
      <c r="C20699" t="s">
        <v>44966</v>
      </c>
      <c r="D20699" t="s">
        <v>20</v>
      </c>
      <c r="E20699" t="s">
        <v>39</v>
      </c>
      <c r="F20699">
        <v>0</v>
      </c>
      <c r="G20699">
        <v>0</v>
      </c>
      <c r="H20699">
        <v>12</v>
      </c>
      <c r="I20699" s="3">
        <v>2156.7800000000002</v>
      </c>
      <c r="J20699" s="3">
        <v>1134.49</v>
      </c>
      <c r="L20699">
        <v>9573</v>
      </c>
      <c r="M20699" t="s">
        <v>44967</v>
      </c>
      <c r="N20699" t="s">
        <v>509</v>
      </c>
      <c r="O20699" t="s">
        <v>31</v>
      </c>
      <c r="P20699" t="str">
        <f>"19114"</f>
        <v>19114</v>
      </c>
    </row>
    <row r="20700" spans="1:16" x14ac:dyDescent="0.25">
      <c r="A20700" t="str">
        <f>"1300014N00129    00"</f>
        <v>1300014N00129    00</v>
      </c>
      <c r="B20700" t="s">
        <v>44968</v>
      </c>
      <c r="C20700" t="s">
        <v>44969</v>
      </c>
      <c r="D20700" t="s">
        <v>20</v>
      </c>
      <c r="E20700" t="s">
        <v>39</v>
      </c>
      <c r="F20700">
        <v>0</v>
      </c>
      <c r="G20700">
        <v>0</v>
      </c>
      <c r="H20700">
        <v>6</v>
      </c>
      <c r="I20700" s="3">
        <v>7078.16</v>
      </c>
      <c r="J20700" s="3">
        <v>1587.46</v>
      </c>
      <c r="K20700" t="s">
        <v>44970</v>
      </c>
      <c r="L20700">
        <v>422</v>
      </c>
      <c r="M20700" t="s">
        <v>3295</v>
      </c>
      <c r="N20700" t="s">
        <v>30</v>
      </c>
      <c r="O20700" t="s">
        <v>31</v>
      </c>
      <c r="P20700" t="str">
        <f>"15210"</f>
        <v>15210</v>
      </c>
    </row>
    <row r="20701" spans="1:16" x14ac:dyDescent="0.25">
      <c r="A20701" t="str">
        <f>"1300014N00131    00"</f>
        <v>1300014N00131    00</v>
      </c>
      <c r="B20701" t="s">
        <v>44971</v>
      </c>
      <c r="C20701" t="s">
        <v>44972</v>
      </c>
      <c r="E20701" t="s">
        <v>39</v>
      </c>
      <c r="F20701">
        <v>0</v>
      </c>
      <c r="G20701">
        <v>0</v>
      </c>
      <c r="H20701">
        <v>2</v>
      </c>
      <c r="I20701" s="3">
        <v>1546.57</v>
      </c>
      <c r="J20701" s="3">
        <v>276.05</v>
      </c>
      <c r="L20701">
        <v>448</v>
      </c>
      <c r="M20701" t="s">
        <v>44973</v>
      </c>
      <c r="N20701" t="s">
        <v>509</v>
      </c>
      <c r="O20701" t="s">
        <v>31</v>
      </c>
      <c r="P20701" t="str">
        <f>"19144"</f>
        <v>19144</v>
      </c>
    </row>
    <row r="20702" spans="1:16" x14ac:dyDescent="0.25">
      <c r="A20702" t="str">
        <f>"1300014N00133    00"</f>
        <v>1300014N00133    00</v>
      </c>
      <c r="B20702" t="s">
        <v>44974</v>
      </c>
      <c r="C20702" t="s">
        <v>44975</v>
      </c>
      <c r="E20702" t="s">
        <v>39</v>
      </c>
      <c r="F20702">
        <v>0</v>
      </c>
      <c r="G20702">
        <v>0</v>
      </c>
      <c r="H20702">
        <v>1</v>
      </c>
      <c r="I20702" s="3">
        <v>238.17</v>
      </c>
      <c r="J20702" s="3">
        <v>0</v>
      </c>
      <c r="L20702">
        <v>418</v>
      </c>
      <c r="M20702" t="s">
        <v>3295</v>
      </c>
      <c r="N20702" t="s">
        <v>30</v>
      </c>
      <c r="O20702" t="s">
        <v>31</v>
      </c>
      <c r="P20702" t="str">
        <f>"15210"</f>
        <v>15210</v>
      </c>
    </row>
    <row r="20703" spans="1:16" x14ac:dyDescent="0.25">
      <c r="A20703" t="str">
        <f>"1300014N00135    00"</f>
        <v>1300014N00135    00</v>
      </c>
      <c r="B20703" t="s">
        <v>44976</v>
      </c>
      <c r="C20703" t="s">
        <v>44977</v>
      </c>
      <c r="D20703" t="s">
        <v>20</v>
      </c>
      <c r="E20703" t="s">
        <v>39</v>
      </c>
      <c r="F20703">
        <v>0</v>
      </c>
      <c r="G20703">
        <v>0</v>
      </c>
      <c r="H20703">
        <v>19</v>
      </c>
      <c r="I20703" s="3">
        <v>16793.689999999999</v>
      </c>
      <c r="J20703" s="3">
        <v>15452.25</v>
      </c>
      <c r="P20703" t="str">
        <f>""</f>
        <v/>
      </c>
    </row>
    <row r="20704" spans="1:16" x14ac:dyDescent="0.25">
      <c r="A20704" t="str">
        <f>"1300014N00139    00"</f>
        <v>1300014N00139    00</v>
      </c>
      <c r="B20704" t="s">
        <v>44978</v>
      </c>
      <c r="C20704" t="s">
        <v>44647</v>
      </c>
      <c r="D20704" t="s">
        <v>20</v>
      </c>
      <c r="E20704" t="s">
        <v>39</v>
      </c>
      <c r="F20704">
        <v>0</v>
      </c>
      <c r="G20704">
        <v>0</v>
      </c>
      <c r="H20704">
        <v>15</v>
      </c>
      <c r="I20704" s="3">
        <v>1507.55</v>
      </c>
      <c r="J20704" s="3">
        <v>1048.46</v>
      </c>
      <c r="L20704">
        <v>929</v>
      </c>
      <c r="M20704" t="s">
        <v>30071</v>
      </c>
      <c r="N20704" t="s">
        <v>30</v>
      </c>
      <c r="O20704" t="s">
        <v>31</v>
      </c>
      <c r="P20704" t="str">
        <f>"15226"</f>
        <v>15226</v>
      </c>
    </row>
    <row r="20705" spans="1:16" x14ac:dyDescent="0.25">
      <c r="A20705" t="str">
        <f>"1300014N00141    00"</f>
        <v>1300014N00141    00</v>
      </c>
      <c r="B20705" t="s">
        <v>44979</v>
      </c>
      <c r="C20705" t="s">
        <v>44980</v>
      </c>
      <c r="E20705" t="s">
        <v>39</v>
      </c>
      <c r="F20705">
        <v>0</v>
      </c>
      <c r="G20705">
        <v>0</v>
      </c>
      <c r="H20705">
        <v>2</v>
      </c>
      <c r="I20705" s="3">
        <v>184.15</v>
      </c>
      <c r="J20705" s="3">
        <v>46.74</v>
      </c>
      <c r="L20705">
        <v>410</v>
      </c>
      <c r="M20705" t="s">
        <v>3295</v>
      </c>
      <c r="N20705" t="s">
        <v>30</v>
      </c>
      <c r="O20705" t="s">
        <v>31</v>
      </c>
      <c r="P20705" t="str">
        <f>"15210"</f>
        <v>15210</v>
      </c>
    </row>
    <row r="20706" spans="1:16" x14ac:dyDescent="0.25">
      <c r="A20706" t="str">
        <f>"1300014N00145    00"</f>
        <v>1300014N00145    00</v>
      </c>
      <c r="B20706" t="s">
        <v>44981</v>
      </c>
      <c r="C20706" t="s">
        <v>44647</v>
      </c>
      <c r="D20706" t="s">
        <v>20</v>
      </c>
      <c r="E20706" t="s">
        <v>39</v>
      </c>
      <c r="F20706">
        <v>0</v>
      </c>
      <c r="G20706">
        <v>0</v>
      </c>
      <c r="H20706">
        <v>19</v>
      </c>
      <c r="I20706" s="3">
        <v>1316.88</v>
      </c>
      <c r="J20706" s="3">
        <v>850.57</v>
      </c>
      <c r="K20706" t="s">
        <v>1008</v>
      </c>
      <c r="P20706" t="str">
        <f>""</f>
        <v/>
      </c>
    </row>
    <row r="20707" spans="1:16" x14ac:dyDescent="0.25">
      <c r="A20707" t="str">
        <f>"1300014N00147    00"</f>
        <v>1300014N00147    00</v>
      </c>
      <c r="B20707" t="s">
        <v>44982</v>
      </c>
      <c r="C20707" t="s">
        <v>44647</v>
      </c>
      <c r="D20707" t="s">
        <v>20</v>
      </c>
      <c r="E20707" t="s">
        <v>39</v>
      </c>
      <c r="F20707">
        <v>0</v>
      </c>
      <c r="G20707">
        <v>0</v>
      </c>
      <c r="H20707">
        <v>19</v>
      </c>
      <c r="I20707" s="3">
        <v>2458.9299999999998</v>
      </c>
      <c r="J20707" s="3">
        <v>2357.33</v>
      </c>
      <c r="L20707">
        <v>741</v>
      </c>
      <c r="M20707" t="s">
        <v>14716</v>
      </c>
      <c r="N20707" t="s">
        <v>295</v>
      </c>
      <c r="O20707" t="s">
        <v>31</v>
      </c>
      <c r="P20707" t="str">
        <f>"15146"</f>
        <v>15146</v>
      </c>
    </row>
    <row r="20708" spans="1:16" x14ac:dyDescent="0.25">
      <c r="A20708" t="str">
        <f>"1300014N00153    00"</f>
        <v>1300014N00153    00</v>
      </c>
      <c r="B20708" t="s">
        <v>44813</v>
      </c>
      <c r="C20708" t="s">
        <v>44983</v>
      </c>
      <c r="E20708" t="s">
        <v>39</v>
      </c>
      <c r="F20708">
        <v>0</v>
      </c>
      <c r="G20708">
        <v>0</v>
      </c>
      <c r="H20708">
        <v>1</v>
      </c>
      <c r="I20708" s="3">
        <v>1131.2</v>
      </c>
      <c r="J20708" s="3">
        <v>0</v>
      </c>
      <c r="K20708" t="s">
        <v>44815</v>
      </c>
      <c r="L20708">
        <v>9313</v>
      </c>
      <c r="M20708" t="s">
        <v>23132</v>
      </c>
      <c r="N20708" t="s">
        <v>2008</v>
      </c>
      <c r="O20708" t="s">
        <v>31</v>
      </c>
      <c r="P20708" t="str">
        <f>"16066"</f>
        <v>16066</v>
      </c>
    </row>
    <row r="20709" spans="1:16" x14ac:dyDescent="0.25">
      <c r="A20709" t="str">
        <f>"1300014N00159    00"</f>
        <v>1300014N00159    00</v>
      </c>
      <c r="B20709" t="s">
        <v>44984</v>
      </c>
      <c r="C20709" t="s">
        <v>44985</v>
      </c>
      <c r="D20709" t="s">
        <v>20</v>
      </c>
      <c r="E20709" t="s">
        <v>39</v>
      </c>
      <c r="F20709">
        <v>0</v>
      </c>
      <c r="G20709">
        <v>0</v>
      </c>
      <c r="H20709">
        <v>8</v>
      </c>
      <c r="I20709" s="3">
        <v>1012.57</v>
      </c>
      <c r="J20709" s="3">
        <v>515.24</v>
      </c>
      <c r="K20709" t="s">
        <v>44986</v>
      </c>
      <c r="L20709">
        <v>604</v>
      </c>
      <c r="M20709" t="s">
        <v>44987</v>
      </c>
      <c r="N20709" t="s">
        <v>30</v>
      </c>
      <c r="O20709" t="s">
        <v>31</v>
      </c>
      <c r="P20709" t="str">
        <f>"15210"</f>
        <v>15210</v>
      </c>
    </row>
    <row r="20710" spans="1:16" x14ac:dyDescent="0.25">
      <c r="A20710" t="str">
        <f>"1300014N00163    00"</f>
        <v>1300014N00163    00</v>
      </c>
      <c r="B20710" t="s">
        <v>44988</v>
      </c>
      <c r="C20710" t="s">
        <v>44989</v>
      </c>
      <c r="E20710" t="s">
        <v>39</v>
      </c>
      <c r="F20710">
        <v>0</v>
      </c>
      <c r="G20710">
        <v>0</v>
      </c>
      <c r="H20710">
        <v>1</v>
      </c>
      <c r="I20710" s="3">
        <v>444.04</v>
      </c>
      <c r="J20710" s="3">
        <v>0</v>
      </c>
      <c r="L20710">
        <v>505</v>
      </c>
      <c r="M20710" t="s">
        <v>43816</v>
      </c>
      <c r="N20710" t="s">
        <v>30</v>
      </c>
      <c r="O20710" t="s">
        <v>31</v>
      </c>
      <c r="P20710" t="str">
        <f>"15227"</f>
        <v>15227</v>
      </c>
    </row>
    <row r="20711" spans="1:16" x14ac:dyDescent="0.25">
      <c r="A20711" t="str">
        <f>"1300014N00166    00"</f>
        <v>1300014N00166    00</v>
      </c>
      <c r="B20711" t="s">
        <v>44990</v>
      </c>
      <c r="C20711" t="s">
        <v>44991</v>
      </c>
      <c r="D20711" t="s">
        <v>20</v>
      </c>
      <c r="E20711" t="s">
        <v>39</v>
      </c>
      <c r="F20711">
        <v>0</v>
      </c>
      <c r="G20711">
        <v>0</v>
      </c>
      <c r="H20711">
        <v>10</v>
      </c>
      <c r="I20711" s="3">
        <v>7835.36</v>
      </c>
      <c r="J20711" s="3">
        <v>3331.19</v>
      </c>
      <c r="L20711">
        <v>1907</v>
      </c>
      <c r="M20711" t="s">
        <v>13148</v>
      </c>
      <c r="N20711" t="s">
        <v>30</v>
      </c>
      <c r="O20711" t="s">
        <v>31</v>
      </c>
      <c r="P20711" t="str">
        <f>"15218"</f>
        <v>15218</v>
      </c>
    </row>
    <row r="20712" spans="1:16" x14ac:dyDescent="0.25">
      <c r="A20712" t="str">
        <f>"1300014N00174    00"</f>
        <v>1300014N00174    00</v>
      </c>
      <c r="B20712" t="s">
        <v>44992</v>
      </c>
      <c r="C20712" t="s">
        <v>44985</v>
      </c>
      <c r="D20712" t="s">
        <v>20</v>
      </c>
      <c r="E20712" t="s">
        <v>39</v>
      </c>
      <c r="F20712">
        <v>0</v>
      </c>
      <c r="G20712">
        <v>0</v>
      </c>
      <c r="H20712">
        <v>8</v>
      </c>
      <c r="I20712" s="3">
        <v>723.17</v>
      </c>
      <c r="J20712" s="3">
        <v>377.72</v>
      </c>
      <c r="L20712">
        <v>8227</v>
      </c>
      <c r="M20712" t="s">
        <v>44993</v>
      </c>
      <c r="N20712" t="s">
        <v>509</v>
      </c>
      <c r="O20712" t="s">
        <v>31</v>
      </c>
      <c r="P20712" t="str">
        <f>"19153"</f>
        <v>19153</v>
      </c>
    </row>
    <row r="20713" spans="1:16" x14ac:dyDescent="0.25">
      <c r="A20713" t="str">
        <f>"1300014N00179    00"</f>
        <v>1300014N00179    00</v>
      </c>
      <c r="B20713" t="s">
        <v>44994</v>
      </c>
      <c r="C20713" t="s">
        <v>44995</v>
      </c>
      <c r="D20713" t="s">
        <v>20</v>
      </c>
      <c r="E20713" t="s">
        <v>39</v>
      </c>
      <c r="F20713">
        <v>0</v>
      </c>
      <c r="G20713">
        <v>0</v>
      </c>
      <c r="H20713">
        <v>8</v>
      </c>
      <c r="I20713" s="3">
        <v>5945.52</v>
      </c>
      <c r="J20713" s="3">
        <v>1751.23</v>
      </c>
      <c r="L20713">
        <v>413</v>
      </c>
      <c r="M20713" t="s">
        <v>26415</v>
      </c>
      <c r="N20713" t="s">
        <v>30</v>
      </c>
      <c r="O20713" t="s">
        <v>31</v>
      </c>
      <c r="P20713" t="str">
        <f>"15210"</f>
        <v>15210</v>
      </c>
    </row>
    <row r="20714" spans="1:16" x14ac:dyDescent="0.25">
      <c r="A20714" t="str">
        <f>"1300014N00185    00"</f>
        <v>1300014N00185    00</v>
      </c>
      <c r="B20714" t="s">
        <v>44996</v>
      </c>
      <c r="C20714" t="s">
        <v>44997</v>
      </c>
      <c r="D20714" t="s">
        <v>20</v>
      </c>
      <c r="E20714" t="s">
        <v>39</v>
      </c>
      <c r="F20714">
        <v>0</v>
      </c>
      <c r="G20714">
        <v>0</v>
      </c>
      <c r="H20714">
        <v>19</v>
      </c>
      <c r="I20714" s="3">
        <v>16511.7</v>
      </c>
      <c r="J20714" s="3">
        <v>11143.11</v>
      </c>
      <c r="K20714" t="s">
        <v>44998</v>
      </c>
      <c r="L20714">
        <v>1315</v>
      </c>
      <c r="M20714" t="s">
        <v>1112</v>
      </c>
      <c r="N20714" t="s">
        <v>30</v>
      </c>
      <c r="O20714" t="s">
        <v>31</v>
      </c>
      <c r="P20714" t="str">
        <f>"15221"</f>
        <v>15221</v>
      </c>
    </row>
    <row r="20715" spans="1:16" x14ac:dyDescent="0.25">
      <c r="A20715" t="str">
        <f>"1300014N00186    00"</f>
        <v>1300014N00186    00</v>
      </c>
      <c r="B20715" t="s">
        <v>26818</v>
      </c>
      <c r="C20715" t="s">
        <v>44985</v>
      </c>
      <c r="D20715" t="s">
        <v>20</v>
      </c>
      <c r="E20715" t="s">
        <v>39</v>
      </c>
      <c r="F20715">
        <v>0</v>
      </c>
      <c r="G20715">
        <v>0</v>
      </c>
      <c r="H20715">
        <v>5</v>
      </c>
      <c r="I20715" s="3">
        <v>483.9</v>
      </c>
      <c r="J20715" s="3">
        <v>66.59</v>
      </c>
      <c r="L20715">
        <v>248</v>
      </c>
      <c r="M20715" t="s">
        <v>25833</v>
      </c>
      <c r="N20715" t="s">
        <v>30</v>
      </c>
      <c r="O20715" t="s">
        <v>31</v>
      </c>
      <c r="P20715" t="str">
        <f>"15210"</f>
        <v>15210</v>
      </c>
    </row>
    <row r="20716" spans="1:16" x14ac:dyDescent="0.25">
      <c r="A20716" t="str">
        <f>"1300014N00191    00"</f>
        <v>1300014N00191    00</v>
      </c>
      <c r="B20716" t="s">
        <v>44999</v>
      </c>
      <c r="C20716" t="s">
        <v>45000</v>
      </c>
      <c r="D20716" t="s">
        <v>20</v>
      </c>
      <c r="E20716" t="s">
        <v>39</v>
      </c>
      <c r="F20716">
        <v>0</v>
      </c>
      <c r="G20716">
        <v>0</v>
      </c>
      <c r="H20716">
        <v>19</v>
      </c>
      <c r="I20716" s="3">
        <v>348.24</v>
      </c>
      <c r="J20716" s="3">
        <v>341.52</v>
      </c>
      <c r="L20716">
        <v>403</v>
      </c>
      <c r="M20716" t="s">
        <v>16328</v>
      </c>
      <c r="N20716" t="s">
        <v>30</v>
      </c>
      <c r="O20716" t="s">
        <v>31</v>
      </c>
      <c r="P20716" t="str">
        <f>"15210"</f>
        <v>15210</v>
      </c>
    </row>
    <row r="20717" spans="1:16" x14ac:dyDescent="0.25">
      <c r="A20717" t="str">
        <f>"1300014N00193    00"</f>
        <v>1300014N00193    00</v>
      </c>
      <c r="B20717" t="s">
        <v>20814</v>
      </c>
      <c r="C20717" t="s">
        <v>45001</v>
      </c>
      <c r="D20717" t="s">
        <v>20</v>
      </c>
      <c r="E20717" t="s">
        <v>39</v>
      </c>
      <c r="F20717">
        <v>0</v>
      </c>
      <c r="G20717">
        <v>0</v>
      </c>
      <c r="H20717">
        <v>6</v>
      </c>
      <c r="I20717" s="3">
        <v>4954.71</v>
      </c>
      <c r="J20717" s="3">
        <v>1111.23</v>
      </c>
      <c r="L20717">
        <v>911</v>
      </c>
      <c r="M20717" t="s">
        <v>20816</v>
      </c>
      <c r="N20717" t="s">
        <v>30</v>
      </c>
      <c r="O20717" t="s">
        <v>31</v>
      </c>
      <c r="P20717" t="str">
        <f>"15210"</f>
        <v>15210</v>
      </c>
    </row>
    <row r="20718" spans="1:16" x14ac:dyDescent="0.25">
      <c r="A20718" t="str">
        <f>"1300014N00194    00"</f>
        <v>1300014N00194    00</v>
      </c>
      <c r="B20718" t="s">
        <v>45002</v>
      </c>
      <c r="C20718" t="s">
        <v>45003</v>
      </c>
      <c r="D20718" t="s">
        <v>20</v>
      </c>
      <c r="E20718" t="s">
        <v>39</v>
      </c>
      <c r="F20718">
        <v>0</v>
      </c>
      <c r="G20718">
        <v>0</v>
      </c>
      <c r="H20718">
        <v>6</v>
      </c>
      <c r="I20718" s="3">
        <v>952.27</v>
      </c>
      <c r="J20718" s="3">
        <v>240.78</v>
      </c>
      <c r="L20718">
        <v>324</v>
      </c>
      <c r="M20718" t="s">
        <v>37027</v>
      </c>
      <c r="N20718" t="s">
        <v>30</v>
      </c>
      <c r="O20718" t="s">
        <v>31</v>
      </c>
      <c r="P20718" t="str">
        <f>"15214"</f>
        <v>15214</v>
      </c>
    </row>
    <row r="20719" spans="1:16" x14ac:dyDescent="0.25">
      <c r="A20719" t="str">
        <f>"1300014N00197    00"</f>
        <v>1300014N00197    00</v>
      </c>
      <c r="B20719" t="s">
        <v>45004</v>
      </c>
      <c r="C20719" t="s">
        <v>45005</v>
      </c>
      <c r="D20719" t="s">
        <v>20</v>
      </c>
      <c r="E20719" t="s">
        <v>39</v>
      </c>
      <c r="F20719">
        <v>0</v>
      </c>
      <c r="G20719">
        <v>0</v>
      </c>
      <c r="H20719">
        <v>8</v>
      </c>
      <c r="I20719" s="3">
        <v>1886.45</v>
      </c>
      <c r="J20719" s="3">
        <v>675.7</v>
      </c>
      <c r="L20719">
        <v>14241</v>
      </c>
      <c r="M20719" t="s">
        <v>45006</v>
      </c>
      <c r="N20719" t="s">
        <v>2355</v>
      </c>
      <c r="O20719" t="s">
        <v>1413</v>
      </c>
      <c r="P20719" t="str">
        <f>"28078"</f>
        <v>28078</v>
      </c>
    </row>
    <row r="20720" spans="1:16" x14ac:dyDescent="0.25">
      <c r="A20720" t="str">
        <f>"1300014N00198    00"</f>
        <v>1300014N00198    00</v>
      </c>
      <c r="B20720" t="s">
        <v>45007</v>
      </c>
      <c r="C20720" t="s">
        <v>45008</v>
      </c>
      <c r="E20720" t="s">
        <v>39</v>
      </c>
      <c r="F20720">
        <v>0</v>
      </c>
      <c r="G20720">
        <v>0</v>
      </c>
      <c r="H20720">
        <v>1</v>
      </c>
      <c r="I20720" s="3">
        <v>902.16</v>
      </c>
      <c r="J20720" s="3">
        <v>443.54</v>
      </c>
      <c r="L20720">
        <v>1631</v>
      </c>
      <c r="M20720" t="s">
        <v>899</v>
      </c>
      <c r="N20720" t="s">
        <v>30</v>
      </c>
      <c r="O20720" t="s">
        <v>31</v>
      </c>
      <c r="P20720" t="str">
        <f>"15219"</f>
        <v>15219</v>
      </c>
    </row>
    <row r="20721" spans="1:16" x14ac:dyDescent="0.25">
      <c r="A20721" t="str">
        <f>"1300014N00201    00"</f>
        <v>1300014N00201    00</v>
      </c>
      <c r="B20721" t="s">
        <v>26238</v>
      </c>
      <c r="C20721" t="s">
        <v>45009</v>
      </c>
      <c r="D20721" t="s">
        <v>20</v>
      </c>
      <c r="E20721" t="s">
        <v>39</v>
      </c>
      <c r="F20721">
        <v>0</v>
      </c>
      <c r="G20721">
        <v>0</v>
      </c>
      <c r="H20721">
        <v>1</v>
      </c>
      <c r="I20721" s="3">
        <v>289.74</v>
      </c>
      <c r="J20721" s="3">
        <v>0</v>
      </c>
      <c r="L20721">
        <v>154</v>
      </c>
      <c r="M20721" t="s">
        <v>45010</v>
      </c>
      <c r="N20721" t="s">
        <v>30</v>
      </c>
      <c r="O20721" t="s">
        <v>31</v>
      </c>
      <c r="P20721" t="str">
        <f>"15236"</f>
        <v>15236</v>
      </c>
    </row>
    <row r="20722" spans="1:16" x14ac:dyDescent="0.25">
      <c r="A20722" t="str">
        <f>"1300014N00202    00"</f>
        <v>1300014N00202    00</v>
      </c>
      <c r="B20722" t="s">
        <v>45011</v>
      </c>
      <c r="C20722" t="s">
        <v>45012</v>
      </c>
      <c r="E20722" t="s">
        <v>39</v>
      </c>
      <c r="F20722">
        <v>0</v>
      </c>
      <c r="G20722">
        <v>0</v>
      </c>
      <c r="H20722">
        <v>3</v>
      </c>
      <c r="I20722" s="3">
        <v>3964.09</v>
      </c>
      <c r="J20722" s="3">
        <v>5920.25</v>
      </c>
      <c r="L20722">
        <v>425</v>
      </c>
      <c r="M20722" t="s">
        <v>16328</v>
      </c>
      <c r="N20722" t="s">
        <v>30</v>
      </c>
      <c r="O20722" t="s">
        <v>31</v>
      </c>
      <c r="P20722" t="str">
        <f>"15210"</f>
        <v>15210</v>
      </c>
    </row>
    <row r="20723" spans="1:16" x14ac:dyDescent="0.25">
      <c r="A20723" t="str">
        <f>"1300014N00203    00"</f>
        <v>1300014N00203    00</v>
      </c>
      <c r="B20723" t="s">
        <v>45013</v>
      </c>
      <c r="C20723" t="s">
        <v>45014</v>
      </c>
      <c r="D20723" t="s">
        <v>20</v>
      </c>
      <c r="E20723" t="s">
        <v>39</v>
      </c>
      <c r="F20723">
        <v>0</v>
      </c>
      <c r="G20723">
        <v>0</v>
      </c>
      <c r="H20723">
        <v>8</v>
      </c>
      <c r="I20723" s="3">
        <v>4073.04</v>
      </c>
      <c r="J20723" s="3">
        <v>1332.76</v>
      </c>
      <c r="L20723">
        <v>427</v>
      </c>
      <c r="M20723" t="s">
        <v>16328</v>
      </c>
      <c r="N20723" t="s">
        <v>30</v>
      </c>
      <c r="O20723" t="s">
        <v>31</v>
      </c>
      <c r="P20723" t="str">
        <f>"15210"</f>
        <v>15210</v>
      </c>
    </row>
    <row r="20724" spans="1:16" x14ac:dyDescent="0.25">
      <c r="A20724" t="str">
        <f>"1300014N00204B   00"</f>
        <v>1300014N00204B   00</v>
      </c>
      <c r="B20724" t="s">
        <v>14155</v>
      </c>
      <c r="C20724" t="s">
        <v>45015</v>
      </c>
      <c r="D20724" t="s">
        <v>20</v>
      </c>
      <c r="E20724" t="s">
        <v>39</v>
      </c>
      <c r="F20724">
        <v>0</v>
      </c>
      <c r="G20724">
        <v>0</v>
      </c>
      <c r="H20724">
        <v>17</v>
      </c>
      <c r="I20724" s="3">
        <v>137.56</v>
      </c>
      <c r="J20724" s="3">
        <v>103.37</v>
      </c>
      <c r="L20724">
        <v>418</v>
      </c>
      <c r="M20724" t="s">
        <v>45016</v>
      </c>
      <c r="N20724" t="s">
        <v>30</v>
      </c>
      <c r="O20724" t="s">
        <v>31</v>
      </c>
      <c r="P20724" t="str">
        <f>"15210"</f>
        <v>15210</v>
      </c>
    </row>
    <row r="20725" spans="1:16" x14ac:dyDescent="0.25">
      <c r="A20725" t="str">
        <f>"1300014N00204C   00"</f>
        <v>1300014N00204C   00</v>
      </c>
      <c r="B20725" t="s">
        <v>45017</v>
      </c>
      <c r="C20725" t="s">
        <v>45015</v>
      </c>
      <c r="D20725" t="s">
        <v>20</v>
      </c>
      <c r="E20725" t="s">
        <v>39</v>
      </c>
      <c r="F20725">
        <v>0</v>
      </c>
      <c r="G20725">
        <v>0</v>
      </c>
      <c r="H20725">
        <v>19</v>
      </c>
      <c r="I20725" s="3">
        <v>152.38</v>
      </c>
      <c r="J20725" s="3">
        <v>129.37</v>
      </c>
      <c r="K20725" t="s">
        <v>45018</v>
      </c>
      <c r="L20725">
        <v>73</v>
      </c>
      <c r="M20725" t="s">
        <v>26580</v>
      </c>
      <c r="N20725" t="s">
        <v>30</v>
      </c>
      <c r="O20725" t="s">
        <v>31</v>
      </c>
      <c r="P20725" t="str">
        <f>"15210"</f>
        <v>15210</v>
      </c>
    </row>
    <row r="20726" spans="1:16" x14ac:dyDescent="0.25">
      <c r="A20726" t="str">
        <f>"1300014N00205    00"</f>
        <v>1300014N00205    00</v>
      </c>
      <c r="B20726" t="s">
        <v>45019</v>
      </c>
      <c r="C20726" t="s">
        <v>45020</v>
      </c>
      <c r="D20726" t="s">
        <v>20</v>
      </c>
      <c r="E20726" t="s">
        <v>39</v>
      </c>
      <c r="F20726">
        <v>0</v>
      </c>
      <c r="G20726">
        <v>0</v>
      </c>
      <c r="H20726">
        <v>19</v>
      </c>
      <c r="I20726" s="3">
        <v>14276.88</v>
      </c>
      <c r="J20726" s="3">
        <v>13233.56</v>
      </c>
      <c r="K20726" t="s">
        <v>45021</v>
      </c>
      <c r="L20726">
        <v>9604</v>
      </c>
      <c r="M20726" t="s">
        <v>45022</v>
      </c>
      <c r="N20726" t="s">
        <v>30</v>
      </c>
      <c r="O20726" t="s">
        <v>31</v>
      </c>
      <c r="P20726" t="str">
        <f>"15235"</f>
        <v>15235</v>
      </c>
    </row>
    <row r="20727" spans="1:16" x14ac:dyDescent="0.25">
      <c r="A20727" t="str">
        <f>"1300014N00207    00"</f>
        <v>1300014N00207    00</v>
      </c>
      <c r="B20727" t="s">
        <v>45023</v>
      </c>
      <c r="C20727" t="s">
        <v>45024</v>
      </c>
      <c r="D20727" t="s">
        <v>20</v>
      </c>
      <c r="E20727" t="s">
        <v>39</v>
      </c>
      <c r="F20727">
        <v>0</v>
      </c>
      <c r="G20727">
        <v>0</v>
      </c>
      <c r="H20727">
        <v>1</v>
      </c>
      <c r="I20727" s="3">
        <v>381.2</v>
      </c>
      <c r="J20727" s="3">
        <v>0</v>
      </c>
      <c r="L20727">
        <v>435</v>
      </c>
      <c r="M20727" t="s">
        <v>16328</v>
      </c>
      <c r="N20727" t="s">
        <v>30</v>
      </c>
      <c r="O20727" t="s">
        <v>31</v>
      </c>
      <c r="P20727" t="str">
        <f>"15210"</f>
        <v>15210</v>
      </c>
    </row>
    <row r="20728" spans="1:16" x14ac:dyDescent="0.25">
      <c r="A20728" t="str">
        <f>"1300014N00207B   00"</f>
        <v>1300014N00207B   00</v>
      </c>
      <c r="B20728" t="s">
        <v>45025</v>
      </c>
      <c r="C20728" t="s">
        <v>45015</v>
      </c>
      <c r="D20728" t="s">
        <v>20</v>
      </c>
      <c r="E20728" t="s">
        <v>39</v>
      </c>
      <c r="F20728">
        <v>0</v>
      </c>
      <c r="G20728">
        <v>0</v>
      </c>
      <c r="H20728">
        <v>19</v>
      </c>
      <c r="I20728" s="3">
        <v>243.03</v>
      </c>
      <c r="J20728" s="3">
        <v>187.36</v>
      </c>
      <c r="K20728" t="s">
        <v>1008</v>
      </c>
      <c r="P20728" t="str">
        <f>""</f>
        <v/>
      </c>
    </row>
    <row r="20729" spans="1:16" x14ac:dyDescent="0.25">
      <c r="A20729" t="str">
        <f>"1300014N00214A   00"</f>
        <v>1300014N00214A   00</v>
      </c>
      <c r="B20729" t="s">
        <v>45026</v>
      </c>
      <c r="C20729" t="s">
        <v>45000</v>
      </c>
      <c r="D20729" t="s">
        <v>20</v>
      </c>
      <c r="E20729" t="s">
        <v>39</v>
      </c>
      <c r="F20729">
        <v>0</v>
      </c>
      <c r="G20729">
        <v>0</v>
      </c>
      <c r="H20729">
        <v>18</v>
      </c>
      <c r="I20729" s="3">
        <v>8535.77</v>
      </c>
      <c r="J20729" s="3">
        <v>9525.56</v>
      </c>
      <c r="L20729">
        <v>424</v>
      </c>
      <c r="M20729" t="s">
        <v>16328</v>
      </c>
      <c r="N20729" t="s">
        <v>30</v>
      </c>
      <c r="O20729" t="s">
        <v>31</v>
      </c>
      <c r="P20729" t="str">
        <f>"15210"</f>
        <v>15210</v>
      </c>
    </row>
    <row r="20730" spans="1:16" x14ac:dyDescent="0.25">
      <c r="A20730" t="str">
        <f>"1300014N00215    00"</f>
        <v>1300014N00215    00</v>
      </c>
      <c r="B20730" t="s">
        <v>45027</v>
      </c>
      <c r="C20730" t="s">
        <v>45028</v>
      </c>
      <c r="D20730" t="s">
        <v>20</v>
      </c>
      <c r="E20730" t="s">
        <v>39</v>
      </c>
      <c r="F20730">
        <v>0</v>
      </c>
      <c r="G20730">
        <v>0</v>
      </c>
      <c r="H20730">
        <v>14</v>
      </c>
      <c r="I20730" s="3">
        <v>9377.4500000000007</v>
      </c>
      <c r="J20730" s="3">
        <v>5826.22</v>
      </c>
      <c r="K20730" t="s">
        <v>45029</v>
      </c>
      <c r="N20730" t="s">
        <v>45030</v>
      </c>
      <c r="P20730" t="str">
        <f>""</f>
        <v/>
      </c>
    </row>
    <row r="20731" spans="1:16" x14ac:dyDescent="0.25">
      <c r="A20731" t="str">
        <f>"1300014N00218    00"</f>
        <v>1300014N00218    00</v>
      </c>
      <c r="B20731" t="s">
        <v>45031</v>
      </c>
      <c r="C20731" t="s">
        <v>45032</v>
      </c>
      <c r="D20731" t="s">
        <v>20</v>
      </c>
      <c r="E20731" t="s">
        <v>39</v>
      </c>
      <c r="F20731">
        <v>0</v>
      </c>
      <c r="G20731">
        <v>0</v>
      </c>
      <c r="H20731">
        <v>1</v>
      </c>
      <c r="I20731" s="3">
        <v>44.94</v>
      </c>
      <c r="J20731" s="3">
        <v>0</v>
      </c>
      <c r="L20731">
        <v>420</v>
      </c>
      <c r="M20731" t="s">
        <v>16328</v>
      </c>
      <c r="N20731" t="s">
        <v>30</v>
      </c>
      <c r="O20731" t="s">
        <v>31</v>
      </c>
      <c r="P20731" t="str">
        <f t="shared" ref="P20731:P20736" si="260">"15210"</f>
        <v>15210</v>
      </c>
    </row>
    <row r="20732" spans="1:16" x14ac:dyDescent="0.25">
      <c r="A20732" t="str">
        <f>"1300014N00219    00"</f>
        <v>1300014N00219    00</v>
      </c>
      <c r="B20732" t="s">
        <v>45017</v>
      </c>
      <c r="C20732" t="s">
        <v>45033</v>
      </c>
      <c r="D20732" t="s">
        <v>20</v>
      </c>
      <c r="E20732" t="s">
        <v>39</v>
      </c>
      <c r="F20732">
        <v>0</v>
      </c>
      <c r="G20732">
        <v>0</v>
      </c>
      <c r="H20732">
        <v>18</v>
      </c>
      <c r="I20732" s="3">
        <v>7499.01</v>
      </c>
      <c r="J20732" s="3">
        <v>5181.8900000000003</v>
      </c>
      <c r="L20732">
        <v>73</v>
      </c>
      <c r="M20732" t="s">
        <v>26580</v>
      </c>
      <c r="N20732" t="s">
        <v>30</v>
      </c>
      <c r="O20732" t="s">
        <v>31</v>
      </c>
      <c r="P20732" t="str">
        <f t="shared" si="260"/>
        <v>15210</v>
      </c>
    </row>
    <row r="20733" spans="1:16" x14ac:dyDescent="0.25">
      <c r="A20733" t="str">
        <f>"1300014N00220    00"</f>
        <v>1300014N00220    00</v>
      </c>
      <c r="B20733" t="s">
        <v>45034</v>
      </c>
      <c r="C20733" t="s">
        <v>45035</v>
      </c>
      <c r="D20733" t="s">
        <v>20</v>
      </c>
      <c r="E20733" t="s">
        <v>39</v>
      </c>
      <c r="F20733">
        <v>0</v>
      </c>
      <c r="G20733">
        <v>0</v>
      </c>
      <c r="H20733">
        <v>6</v>
      </c>
      <c r="I20733" s="3">
        <v>6381.6</v>
      </c>
      <c r="J20733" s="3">
        <v>1431.27</v>
      </c>
      <c r="L20733">
        <v>416</v>
      </c>
      <c r="M20733" t="s">
        <v>16328</v>
      </c>
      <c r="N20733" t="s">
        <v>30</v>
      </c>
      <c r="O20733" t="s">
        <v>31</v>
      </c>
      <c r="P20733" t="str">
        <f t="shared" si="260"/>
        <v>15210</v>
      </c>
    </row>
    <row r="20734" spans="1:16" x14ac:dyDescent="0.25">
      <c r="A20734" t="str">
        <f>"1300014N00224    00"</f>
        <v>1300014N00224    00</v>
      </c>
      <c r="B20734" t="s">
        <v>45036</v>
      </c>
      <c r="C20734" t="s">
        <v>45037</v>
      </c>
      <c r="D20734" t="s">
        <v>20</v>
      </c>
      <c r="E20734" t="s">
        <v>39</v>
      </c>
      <c r="F20734">
        <v>0</v>
      </c>
      <c r="G20734">
        <v>0</v>
      </c>
      <c r="H20734">
        <v>10</v>
      </c>
      <c r="I20734" s="3">
        <v>10426.120000000001</v>
      </c>
      <c r="J20734" s="3">
        <v>4944.7299999999996</v>
      </c>
      <c r="L20734">
        <v>51</v>
      </c>
      <c r="M20734" t="s">
        <v>11789</v>
      </c>
      <c r="N20734" t="s">
        <v>30</v>
      </c>
      <c r="O20734" t="s">
        <v>31</v>
      </c>
      <c r="P20734" t="str">
        <f t="shared" si="260"/>
        <v>15210</v>
      </c>
    </row>
    <row r="20735" spans="1:16" x14ac:dyDescent="0.25">
      <c r="A20735" t="str">
        <f>"1300014N00225    00"</f>
        <v>1300014N00225    00</v>
      </c>
      <c r="B20735" t="s">
        <v>45038</v>
      </c>
      <c r="C20735" t="s">
        <v>45000</v>
      </c>
      <c r="D20735" t="s">
        <v>20</v>
      </c>
      <c r="E20735" t="s">
        <v>39</v>
      </c>
      <c r="F20735">
        <v>0</v>
      </c>
      <c r="G20735">
        <v>0</v>
      </c>
      <c r="H20735">
        <v>19</v>
      </c>
      <c r="I20735" s="3">
        <v>2083.39</v>
      </c>
      <c r="J20735" s="3">
        <v>2220.38</v>
      </c>
      <c r="L20735">
        <v>406</v>
      </c>
      <c r="M20735" t="s">
        <v>16328</v>
      </c>
      <c r="N20735" t="s">
        <v>30</v>
      </c>
      <c r="O20735" t="s">
        <v>31</v>
      </c>
      <c r="P20735" t="str">
        <f t="shared" si="260"/>
        <v>15210</v>
      </c>
    </row>
    <row r="20736" spans="1:16" x14ac:dyDescent="0.25">
      <c r="A20736" t="str">
        <f>"1300014N00226    00"</f>
        <v>1300014N00226    00</v>
      </c>
      <c r="B20736" t="s">
        <v>45039</v>
      </c>
      <c r="C20736" t="s">
        <v>45000</v>
      </c>
      <c r="D20736" t="s">
        <v>20</v>
      </c>
      <c r="E20736" t="s">
        <v>39</v>
      </c>
      <c r="F20736">
        <v>0</v>
      </c>
      <c r="G20736">
        <v>0</v>
      </c>
      <c r="H20736">
        <v>19</v>
      </c>
      <c r="I20736" s="3">
        <v>330.94</v>
      </c>
      <c r="J20736" s="3">
        <v>331.24</v>
      </c>
      <c r="L20736">
        <v>404</v>
      </c>
      <c r="M20736" t="s">
        <v>16328</v>
      </c>
      <c r="N20736" t="s">
        <v>30</v>
      </c>
      <c r="O20736" t="s">
        <v>31</v>
      </c>
      <c r="P20736" t="str">
        <f t="shared" si="260"/>
        <v>15210</v>
      </c>
    </row>
    <row r="20737" spans="1:16" x14ac:dyDescent="0.25">
      <c r="A20737" t="str">
        <f>"1300014N00240    00"</f>
        <v>1300014N00240    00</v>
      </c>
      <c r="B20737" t="s">
        <v>23856</v>
      </c>
      <c r="C20737" t="s">
        <v>45040</v>
      </c>
      <c r="D20737" t="s">
        <v>20</v>
      </c>
      <c r="E20737" t="s">
        <v>39</v>
      </c>
      <c r="F20737">
        <v>0</v>
      </c>
      <c r="G20737">
        <v>0</v>
      </c>
      <c r="H20737">
        <v>19</v>
      </c>
      <c r="I20737" s="3">
        <v>11335.06</v>
      </c>
      <c r="J20737" s="3">
        <v>11352.92</v>
      </c>
      <c r="M20737" t="s">
        <v>39493</v>
      </c>
      <c r="N20737" t="s">
        <v>23858</v>
      </c>
      <c r="O20737" t="s">
        <v>31</v>
      </c>
      <c r="P20737" t="str">
        <f>"16424"</f>
        <v>16424</v>
      </c>
    </row>
    <row r="20738" spans="1:16" x14ac:dyDescent="0.25">
      <c r="A20738" t="str">
        <f>"1300014P00002    00"</f>
        <v>1300014P00002    00</v>
      </c>
      <c r="B20738" t="s">
        <v>45041</v>
      </c>
      <c r="C20738" t="s">
        <v>44643</v>
      </c>
      <c r="D20738" t="s">
        <v>20</v>
      </c>
      <c r="E20738" t="s">
        <v>39</v>
      </c>
      <c r="F20738">
        <v>0</v>
      </c>
      <c r="G20738">
        <v>0</v>
      </c>
      <c r="H20738">
        <v>19</v>
      </c>
      <c r="I20738" s="3">
        <v>10793.96</v>
      </c>
      <c r="J20738" s="3">
        <v>14771.33</v>
      </c>
      <c r="P20738" t="str">
        <f>""</f>
        <v/>
      </c>
    </row>
    <row r="20739" spans="1:16" x14ac:dyDescent="0.25">
      <c r="A20739" t="str">
        <f>"1300014P00025    00"</f>
        <v>1300014P00025    00</v>
      </c>
      <c r="B20739" t="s">
        <v>45042</v>
      </c>
      <c r="C20739" t="s">
        <v>45043</v>
      </c>
      <c r="D20739" t="s">
        <v>20</v>
      </c>
      <c r="E20739" t="s">
        <v>39</v>
      </c>
      <c r="F20739">
        <v>0</v>
      </c>
      <c r="G20739">
        <v>0</v>
      </c>
      <c r="H20739">
        <v>5</v>
      </c>
      <c r="I20739" s="3">
        <v>65.63</v>
      </c>
      <c r="J20739" s="3">
        <v>11.63</v>
      </c>
      <c r="L20739">
        <v>1115</v>
      </c>
      <c r="M20739" t="s">
        <v>28159</v>
      </c>
      <c r="N20739" t="s">
        <v>30</v>
      </c>
      <c r="O20739" t="s">
        <v>31</v>
      </c>
      <c r="P20739" t="str">
        <f>"15233"</f>
        <v>15233</v>
      </c>
    </row>
    <row r="20740" spans="1:16" x14ac:dyDescent="0.25">
      <c r="A20740" t="str">
        <f>"1300014P00026    00"</f>
        <v>1300014P00026    00</v>
      </c>
      <c r="B20740" t="s">
        <v>45044</v>
      </c>
      <c r="C20740" t="s">
        <v>45043</v>
      </c>
      <c r="D20740" t="s">
        <v>20</v>
      </c>
      <c r="E20740" t="s">
        <v>39</v>
      </c>
      <c r="F20740">
        <v>0</v>
      </c>
      <c r="G20740">
        <v>0</v>
      </c>
      <c r="H20740">
        <v>12</v>
      </c>
      <c r="I20740" s="3">
        <v>2760.26</v>
      </c>
      <c r="J20740" s="3">
        <v>2530.9499999999998</v>
      </c>
      <c r="L20740">
        <v>6</v>
      </c>
      <c r="M20740" t="s">
        <v>45045</v>
      </c>
      <c r="N20740" t="s">
        <v>45046</v>
      </c>
      <c r="O20740" t="s">
        <v>200</v>
      </c>
      <c r="P20740" t="str">
        <f>"10530"</f>
        <v>10530</v>
      </c>
    </row>
    <row r="20741" spans="1:16" x14ac:dyDescent="0.25">
      <c r="A20741" t="str">
        <f>"1300014P00032    00"</f>
        <v>1300014P00032    00</v>
      </c>
      <c r="B20741" t="s">
        <v>45047</v>
      </c>
      <c r="C20741" t="s">
        <v>45048</v>
      </c>
      <c r="D20741" t="s">
        <v>20</v>
      </c>
      <c r="E20741" t="s">
        <v>39</v>
      </c>
      <c r="F20741">
        <v>0</v>
      </c>
      <c r="G20741">
        <v>0</v>
      </c>
      <c r="H20741">
        <v>4</v>
      </c>
      <c r="I20741" s="3">
        <v>3014.85</v>
      </c>
      <c r="J20741" s="3">
        <v>356.14</v>
      </c>
      <c r="L20741">
        <v>237</v>
      </c>
      <c r="M20741" t="s">
        <v>26415</v>
      </c>
      <c r="N20741" t="s">
        <v>30</v>
      </c>
      <c r="O20741" t="s">
        <v>31</v>
      </c>
      <c r="P20741" t="str">
        <f>"15210"</f>
        <v>15210</v>
      </c>
    </row>
    <row r="20742" spans="1:16" x14ac:dyDescent="0.25">
      <c r="A20742" t="str">
        <f>"1300014P00040    00"</f>
        <v>1300014P00040    00</v>
      </c>
      <c r="B20742" t="s">
        <v>45049</v>
      </c>
      <c r="C20742" t="s">
        <v>45050</v>
      </c>
      <c r="D20742" t="s">
        <v>20</v>
      </c>
      <c r="E20742" t="s">
        <v>39</v>
      </c>
      <c r="F20742">
        <v>0</v>
      </c>
      <c r="G20742">
        <v>0</v>
      </c>
      <c r="H20742">
        <v>19</v>
      </c>
      <c r="I20742" s="3">
        <v>2416.0300000000002</v>
      </c>
      <c r="J20742" s="3">
        <v>2353.73</v>
      </c>
      <c r="P20742" t="str">
        <f>""</f>
        <v/>
      </c>
    </row>
    <row r="20743" spans="1:16" x14ac:dyDescent="0.25">
      <c r="A20743" t="str">
        <f>"1300014P00064    00"</f>
        <v>1300014P00064    00</v>
      </c>
      <c r="B20743" t="s">
        <v>45051</v>
      </c>
      <c r="C20743" t="s">
        <v>45052</v>
      </c>
      <c r="D20743" t="s">
        <v>20</v>
      </c>
      <c r="E20743" t="s">
        <v>39</v>
      </c>
      <c r="F20743">
        <v>0</v>
      </c>
      <c r="G20743">
        <v>0</v>
      </c>
      <c r="H20743">
        <v>1</v>
      </c>
      <c r="I20743" s="3">
        <v>994.96</v>
      </c>
      <c r="J20743" s="3">
        <v>0</v>
      </c>
      <c r="L20743">
        <v>402</v>
      </c>
      <c r="M20743" t="s">
        <v>26415</v>
      </c>
      <c r="N20743" t="s">
        <v>30</v>
      </c>
      <c r="O20743" t="s">
        <v>31</v>
      </c>
      <c r="P20743" t="str">
        <f>"15210"</f>
        <v>15210</v>
      </c>
    </row>
    <row r="20744" spans="1:16" x14ac:dyDescent="0.25">
      <c r="A20744" t="str">
        <f>"1300014P00066    01"</f>
        <v>1300014P00066    01</v>
      </c>
      <c r="B20744" t="s">
        <v>45053</v>
      </c>
      <c r="C20744" t="s">
        <v>45054</v>
      </c>
      <c r="E20744" t="s">
        <v>21</v>
      </c>
      <c r="F20744">
        <v>0</v>
      </c>
      <c r="G20744">
        <v>0</v>
      </c>
      <c r="H20744">
        <v>1</v>
      </c>
      <c r="I20744" s="3">
        <v>203.23</v>
      </c>
      <c r="J20744" s="3">
        <v>221.85</v>
      </c>
      <c r="L20744">
        <v>332</v>
      </c>
      <c r="M20744" t="s">
        <v>26415</v>
      </c>
      <c r="N20744" t="s">
        <v>30</v>
      </c>
      <c r="O20744" t="s">
        <v>31</v>
      </c>
      <c r="P20744" t="str">
        <f>"15210"</f>
        <v>15210</v>
      </c>
    </row>
    <row r="20745" spans="1:16" x14ac:dyDescent="0.25">
      <c r="A20745" t="str">
        <f>"1300014P00071    00"</f>
        <v>1300014P00071    00</v>
      </c>
      <c r="B20745" t="s">
        <v>45055</v>
      </c>
      <c r="C20745" t="s">
        <v>44985</v>
      </c>
      <c r="D20745" t="s">
        <v>20</v>
      </c>
      <c r="E20745" t="s">
        <v>39</v>
      </c>
      <c r="F20745">
        <v>0</v>
      </c>
      <c r="G20745">
        <v>0</v>
      </c>
      <c r="H20745">
        <v>19</v>
      </c>
      <c r="I20745" s="3">
        <v>14728.87</v>
      </c>
      <c r="J20745" s="3">
        <v>20154.98</v>
      </c>
      <c r="P20745" t="str">
        <f>""</f>
        <v/>
      </c>
    </row>
    <row r="20746" spans="1:16" x14ac:dyDescent="0.25">
      <c r="A20746" t="str">
        <f>"1300014P00074    00"</f>
        <v>1300014P00074    00</v>
      </c>
      <c r="B20746" t="s">
        <v>45056</v>
      </c>
      <c r="C20746" t="s">
        <v>45057</v>
      </c>
      <c r="D20746" t="s">
        <v>20</v>
      </c>
      <c r="E20746" t="s">
        <v>39</v>
      </c>
      <c r="F20746">
        <v>0</v>
      </c>
      <c r="G20746">
        <v>0</v>
      </c>
      <c r="H20746">
        <v>17</v>
      </c>
      <c r="I20746" s="3">
        <v>21394.12</v>
      </c>
      <c r="J20746" s="3">
        <v>17279.84</v>
      </c>
      <c r="L20746">
        <v>2932</v>
      </c>
      <c r="M20746" t="s">
        <v>31599</v>
      </c>
      <c r="N20746" t="s">
        <v>30</v>
      </c>
      <c r="O20746" t="s">
        <v>31</v>
      </c>
      <c r="P20746" t="str">
        <f>"15204"</f>
        <v>15204</v>
      </c>
    </row>
    <row r="20747" spans="1:16" x14ac:dyDescent="0.25">
      <c r="A20747" t="str">
        <f>"1300014P00077    00"</f>
        <v>1300014P00077    00</v>
      </c>
      <c r="B20747" t="s">
        <v>45058</v>
      </c>
      <c r="C20747" t="s">
        <v>45059</v>
      </c>
      <c r="D20747" t="s">
        <v>20</v>
      </c>
      <c r="E20747" t="s">
        <v>21</v>
      </c>
      <c r="F20747">
        <v>0</v>
      </c>
      <c r="G20747">
        <v>0</v>
      </c>
      <c r="H20747">
        <v>2</v>
      </c>
      <c r="I20747" s="3">
        <v>26889.85</v>
      </c>
      <c r="J20747" s="3">
        <v>0</v>
      </c>
      <c r="K20747" t="s">
        <v>45060</v>
      </c>
      <c r="L20747">
        <v>461</v>
      </c>
      <c r="M20747" t="s">
        <v>36634</v>
      </c>
      <c r="N20747" t="s">
        <v>30</v>
      </c>
      <c r="O20747" t="s">
        <v>31</v>
      </c>
      <c r="P20747" t="str">
        <f>"15228"</f>
        <v>15228</v>
      </c>
    </row>
    <row r="20748" spans="1:16" x14ac:dyDescent="0.25">
      <c r="A20748" t="str">
        <f>"1300014P00086    00"</f>
        <v>1300014P00086    00</v>
      </c>
      <c r="B20748" t="s">
        <v>26389</v>
      </c>
      <c r="C20748" t="s">
        <v>44985</v>
      </c>
      <c r="D20748" t="s">
        <v>20</v>
      </c>
      <c r="E20748" t="s">
        <v>39</v>
      </c>
      <c r="F20748">
        <v>0</v>
      </c>
      <c r="G20748">
        <v>0</v>
      </c>
      <c r="H20748">
        <v>19</v>
      </c>
      <c r="I20748" s="3">
        <v>1136.05</v>
      </c>
      <c r="J20748" s="3">
        <v>735.53</v>
      </c>
      <c r="L20748">
        <v>142</v>
      </c>
      <c r="M20748" t="s">
        <v>3295</v>
      </c>
      <c r="N20748" t="s">
        <v>44953</v>
      </c>
      <c r="O20748" t="s">
        <v>31</v>
      </c>
      <c r="P20748" t="str">
        <f>"15210"</f>
        <v>15210</v>
      </c>
    </row>
    <row r="20749" spans="1:16" x14ac:dyDescent="0.25">
      <c r="A20749" t="str">
        <f>"1300014P00088    00"</f>
        <v>1300014P00088    00</v>
      </c>
      <c r="B20749" t="s">
        <v>45061</v>
      </c>
      <c r="C20749" t="s">
        <v>45062</v>
      </c>
      <c r="D20749" t="s">
        <v>20</v>
      </c>
      <c r="E20749" t="s">
        <v>39</v>
      </c>
      <c r="F20749">
        <v>0</v>
      </c>
      <c r="G20749">
        <v>0</v>
      </c>
      <c r="H20749">
        <v>4</v>
      </c>
      <c r="I20749" s="3">
        <v>2247.92</v>
      </c>
      <c r="J20749" s="3">
        <v>265.54000000000002</v>
      </c>
      <c r="K20749" t="s">
        <v>45063</v>
      </c>
      <c r="L20749">
        <v>29</v>
      </c>
      <c r="M20749" t="s">
        <v>45064</v>
      </c>
      <c r="N20749" t="s">
        <v>30</v>
      </c>
      <c r="O20749" t="s">
        <v>31</v>
      </c>
      <c r="P20749" t="str">
        <f>"15216"</f>
        <v>15216</v>
      </c>
    </row>
    <row r="20750" spans="1:16" x14ac:dyDescent="0.25">
      <c r="A20750" t="str">
        <f>"1300014P00091    00"</f>
        <v>1300014P00091    00</v>
      </c>
      <c r="B20750" t="s">
        <v>45065</v>
      </c>
      <c r="C20750" t="s">
        <v>45066</v>
      </c>
      <c r="D20750" t="s">
        <v>20</v>
      </c>
      <c r="E20750" t="s">
        <v>39</v>
      </c>
      <c r="F20750">
        <v>0</v>
      </c>
      <c r="G20750">
        <v>0</v>
      </c>
      <c r="H20750">
        <v>18</v>
      </c>
      <c r="I20750" s="3">
        <v>16467.349999999999</v>
      </c>
      <c r="J20750" s="3">
        <v>12018.68</v>
      </c>
      <c r="L20750">
        <v>236</v>
      </c>
      <c r="M20750" t="s">
        <v>26415</v>
      </c>
      <c r="N20750" t="s">
        <v>30</v>
      </c>
      <c r="O20750" t="s">
        <v>31</v>
      </c>
      <c r="P20750" t="str">
        <f>"15210"</f>
        <v>15210</v>
      </c>
    </row>
    <row r="20751" spans="1:16" x14ac:dyDescent="0.25">
      <c r="A20751" t="str">
        <f>"1300014P00093    00"</f>
        <v>1300014P00093    00</v>
      </c>
      <c r="B20751" t="s">
        <v>45067</v>
      </c>
      <c r="C20751" t="s">
        <v>45068</v>
      </c>
      <c r="D20751" t="s">
        <v>20</v>
      </c>
      <c r="E20751" t="s">
        <v>39</v>
      </c>
      <c r="F20751">
        <v>0</v>
      </c>
      <c r="G20751">
        <v>0</v>
      </c>
      <c r="H20751">
        <v>16</v>
      </c>
      <c r="I20751" s="3">
        <v>9174.34</v>
      </c>
      <c r="J20751" s="3">
        <v>7286.89</v>
      </c>
      <c r="L20751">
        <v>5911</v>
      </c>
      <c r="M20751" t="s">
        <v>45069</v>
      </c>
      <c r="N20751" t="s">
        <v>2108</v>
      </c>
      <c r="O20751" t="s">
        <v>2109</v>
      </c>
      <c r="P20751" t="str">
        <f>"84107"</f>
        <v>84107</v>
      </c>
    </row>
    <row r="20752" spans="1:16" x14ac:dyDescent="0.25">
      <c r="A20752" t="str">
        <f>"1300014P00097    00"</f>
        <v>1300014P00097    00</v>
      </c>
      <c r="B20752" t="s">
        <v>23116</v>
      </c>
      <c r="C20752" t="s">
        <v>45070</v>
      </c>
      <c r="E20752" t="s">
        <v>39</v>
      </c>
      <c r="F20752">
        <v>0</v>
      </c>
      <c r="G20752">
        <v>0</v>
      </c>
      <c r="H20752">
        <v>2</v>
      </c>
      <c r="I20752" s="3">
        <v>725.72</v>
      </c>
      <c r="J20752" s="3">
        <v>12.09</v>
      </c>
      <c r="K20752" t="s">
        <v>23118</v>
      </c>
      <c r="L20752">
        <v>6425</v>
      </c>
      <c r="M20752" t="s">
        <v>23119</v>
      </c>
      <c r="N20752" t="s">
        <v>30</v>
      </c>
      <c r="O20752" t="s">
        <v>31</v>
      </c>
      <c r="P20752" t="str">
        <f>"15206"</f>
        <v>15206</v>
      </c>
    </row>
    <row r="20753" spans="1:16" x14ac:dyDescent="0.25">
      <c r="A20753" t="str">
        <f>"1300014P00099    00"</f>
        <v>1300014P00099    00</v>
      </c>
      <c r="B20753" t="s">
        <v>45071</v>
      </c>
      <c r="C20753" t="s">
        <v>44985</v>
      </c>
      <c r="D20753" t="s">
        <v>20</v>
      </c>
      <c r="E20753" t="s">
        <v>39</v>
      </c>
      <c r="F20753">
        <v>0</v>
      </c>
      <c r="G20753">
        <v>0</v>
      </c>
      <c r="H20753">
        <v>17</v>
      </c>
      <c r="I20753" s="3">
        <v>3733</v>
      </c>
      <c r="J20753" s="3">
        <v>4959.43</v>
      </c>
      <c r="L20753">
        <v>13808</v>
      </c>
      <c r="M20753" t="s">
        <v>45072</v>
      </c>
      <c r="N20753" t="s">
        <v>1183</v>
      </c>
      <c r="O20753" t="s">
        <v>1184</v>
      </c>
      <c r="P20753" t="str">
        <f>"20772"</f>
        <v>20772</v>
      </c>
    </row>
    <row r="20754" spans="1:16" x14ac:dyDescent="0.25">
      <c r="A20754" t="str">
        <f>"1300014P00102    00"</f>
        <v>1300014P00102    00</v>
      </c>
      <c r="B20754" t="s">
        <v>45073</v>
      </c>
      <c r="C20754" t="s">
        <v>45074</v>
      </c>
      <c r="D20754" t="s">
        <v>20</v>
      </c>
      <c r="E20754" t="s">
        <v>39</v>
      </c>
      <c r="F20754">
        <v>0</v>
      </c>
      <c r="G20754">
        <v>0</v>
      </c>
      <c r="H20754">
        <v>17</v>
      </c>
      <c r="I20754" s="3">
        <v>7008.37</v>
      </c>
      <c r="J20754" s="3">
        <v>6899.56</v>
      </c>
      <c r="L20754">
        <v>2502</v>
      </c>
      <c r="M20754" t="s">
        <v>11725</v>
      </c>
      <c r="N20754" t="s">
        <v>30</v>
      </c>
      <c r="O20754" t="s">
        <v>31</v>
      </c>
      <c r="P20754" t="str">
        <f>"15221"</f>
        <v>15221</v>
      </c>
    </row>
    <row r="20755" spans="1:16" x14ac:dyDescent="0.25">
      <c r="A20755" t="str">
        <f>"1300014P00104    00"</f>
        <v>1300014P00104    00</v>
      </c>
      <c r="B20755" t="s">
        <v>45075</v>
      </c>
      <c r="C20755" t="s">
        <v>44985</v>
      </c>
      <c r="D20755" t="s">
        <v>20</v>
      </c>
      <c r="E20755" t="s">
        <v>39</v>
      </c>
      <c r="F20755">
        <v>0</v>
      </c>
      <c r="G20755">
        <v>0</v>
      </c>
      <c r="H20755">
        <v>2</v>
      </c>
      <c r="I20755" s="3">
        <v>41.82</v>
      </c>
      <c r="J20755" s="3">
        <v>0</v>
      </c>
      <c r="L20755">
        <v>210</v>
      </c>
      <c r="M20755" t="s">
        <v>26415</v>
      </c>
      <c r="N20755" t="s">
        <v>30</v>
      </c>
      <c r="O20755" t="s">
        <v>31</v>
      </c>
      <c r="P20755" t="str">
        <f>"15210"</f>
        <v>15210</v>
      </c>
    </row>
    <row r="20756" spans="1:16" x14ac:dyDescent="0.25">
      <c r="A20756" t="str">
        <f>"1300014P00107    00"</f>
        <v>1300014P00107    00</v>
      </c>
      <c r="B20756" t="s">
        <v>45076</v>
      </c>
      <c r="C20756" t="s">
        <v>45000</v>
      </c>
      <c r="D20756" t="s">
        <v>20</v>
      </c>
      <c r="E20756" t="s">
        <v>39</v>
      </c>
      <c r="F20756">
        <v>0</v>
      </c>
      <c r="G20756">
        <v>0</v>
      </c>
      <c r="H20756">
        <v>19</v>
      </c>
      <c r="I20756" s="3">
        <v>348.24</v>
      </c>
      <c r="J20756" s="3">
        <v>341.52</v>
      </c>
      <c r="K20756" t="s">
        <v>1037</v>
      </c>
      <c r="L20756">
        <v>217</v>
      </c>
      <c r="M20756" t="s">
        <v>16328</v>
      </c>
      <c r="N20756" t="s">
        <v>30</v>
      </c>
      <c r="O20756" t="s">
        <v>31</v>
      </c>
      <c r="P20756" t="str">
        <f>"15210"</f>
        <v>15210</v>
      </c>
    </row>
    <row r="20757" spans="1:16" x14ac:dyDescent="0.25">
      <c r="A20757" t="str">
        <f>"1300014P00109    00"</f>
        <v>1300014P00109    00</v>
      </c>
      <c r="B20757" t="s">
        <v>45077</v>
      </c>
      <c r="C20757" t="s">
        <v>45078</v>
      </c>
      <c r="D20757" t="s">
        <v>20</v>
      </c>
      <c r="E20757" t="s">
        <v>39</v>
      </c>
      <c r="F20757">
        <v>0</v>
      </c>
      <c r="G20757">
        <v>0</v>
      </c>
      <c r="H20757">
        <v>19</v>
      </c>
      <c r="I20757" s="3">
        <v>12891.61</v>
      </c>
      <c r="J20757" s="3">
        <v>11664.04</v>
      </c>
      <c r="K20757" t="s">
        <v>45079</v>
      </c>
      <c r="L20757">
        <v>4491</v>
      </c>
      <c r="M20757" t="s">
        <v>45080</v>
      </c>
      <c r="N20757" t="s">
        <v>45081</v>
      </c>
      <c r="O20757" t="s">
        <v>370</v>
      </c>
      <c r="P20757" t="str">
        <f>"32778"</f>
        <v>32778</v>
      </c>
    </row>
    <row r="20758" spans="1:16" x14ac:dyDescent="0.25">
      <c r="A20758" t="str">
        <f>"1300014P00111    00"</f>
        <v>1300014P00111    00</v>
      </c>
      <c r="B20758" t="s">
        <v>45082</v>
      </c>
      <c r="C20758" t="s">
        <v>45000</v>
      </c>
      <c r="D20758" t="s">
        <v>20</v>
      </c>
      <c r="E20758" t="s">
        <v>39</v>
      </c>
      <c r="F20758">
        <v>0</v>
      </c>
      <c r="G20758">
        <v>0</v>
      </c>
      <c r="H20758">
        <v>16</v>
      </c>
      <c r="I20758" s="3">
        <v>1537.85</v>
      </c>
      <c r="J20758" s="3">
        <v>1588.79</v>
      </c>
      <c r="L20758">
        <v>225</v>
      </c>
      <c r="M20758" t="s">
        <v>16328</v>
      </c>
      <c r="N20758" t="s">
        <v>30</v>
      </c>
      <c r="O20758" t="s">
        <v>31</v>
      </c>
      <c r="P20758" t="str">
        <f>"15210"</f>
        <v>15210</v>
      </c>
    </row>
    <row r="20759" spans="1:16" x14ac:dyDescent="0.25">
      <c r="A20759" t="str">
        <f>"1300014P00113    00"</f>
        <v>1300014P00113    00</v>
      </c>
      <c r="B20759" t="s">
        <v>32426</v>
      </c>
      <c r="C20759" t="s">
        <v>45083</v>
      </c>
      <c r="D20759" t="s">
        <v>20</v>
      </c>
      <c r="E20759" t="s">
        <v>39</v>
      </c>
      <c r="F20759">
        <v>0</v>
      </c>
      <c r="G20759">
        <v>0</v>
      </c>
      <c r="H20759">
        <v>2</v>
      </c>
      <c r="I20759" s="3">
        <v>1105.52</v>
      </c>
      <c r="J20759" s="3">
        <v>0</v>
      </c>
      <c r="K20759" t="s">
        <v>25824</v>
      </c>
      <c r="L20759">
        <v>229</v>
      </c>
      <c r="M20759" t="s">
        <v>16328</v>
      </c>
      <c r="N20759" t="s">
        <v>30</v>
      </c>
      <c r="O20759" t="s">
        <v>31</v>
      </c>
      <c r="P20759" t="str">
        <f>"15210"</f>
        <v>15210</v>
      </c>
    </row>
    <row r="20760" spans="1:16" x14ac:dyDescent="0.25">
      <c r="A20760" t="str">
        <f>"1300014P00116    00"</f>
        <v>1300014P00116    00</v>
      </c>
      <c r="B20760" t="s">
        <v>45084</v>
      </c>
      <c r="C20760" t="s">
        <v>45000</v>
      </c>
      <c r="D20760" t="s">
        <v>20</v>
      </c>
      <c r="E20760" t="s">
        <v>39</v>
      </c>
      <c r="F20760">
        <v>0</v>
      </c>
      <c r="G20760">
        <v>0</v>
      </c>
      <c r="H20760">
        <v>19</v>
      </c>
      <c r="I20760" s="3">
        <v>3001.08</v>
      </c>
      <c r="J20760" s="3">
        <v>3719.87</v>
      </c>
      <c r="L20760">
        <v>536</v>
      </c>
      <c r="M20760" t="s">
        <v>45085</v>
      </c>
      <c r="N20760" t="s">
        <v>30</v>
      </c>
      <c r="O20760" t="s">
        <v>31</v>
      </c>
      <c r="P20760" t="str">
        <f>"15210"</f>
        <v>15210</v>
      </c>
    </row>
    <row r="20761" spans="1:16" x14ac:dyDescent="0.25">
      <c r="A20761" t="str">
        <f>"1300014P00121    00"</f>
        <v>1300014P00121    00</v>
      </c>
      <c r="B20761" t="s">
        <v>45086</v>
      </c>
      <c r="C20761" t="s">
        <v>45087</v>
      </c>
      <c r="D20761" t="s">
        <v>20</v>
      </c>
      <c r="E20761" t="s">
        <v>39</v>
      </c>
      <c r="F20761">
        <v>0</v>
      </c>
      <c r="G20761">
        <v>0</v>
      </c>
      <c r="H20761">
        <v>4</v>
      </c>
      <c r="I20761" s="3">
        <v>879.17</v>
      </c>
      <c r="J20761" s="3">
        <v>190.43</v>
      </c>
      <c r="M20761" t="s">
        <v>25331</v>
      </c>
      <c r="N20761" t="s">
        <v>199</v>
      </c>
      <c r="O20761" t="s">
        <v>200</v>
      </c>
      <c r="P20761" t="str">
        <f>"10150"</f>
        <v>10150</v>
      </c>
    </row>
    <row r="20762" spans="1:16" x14ac:dyDescent="0.25">
      <c r="A20762" t="str">
        <f>"1300014P00122    00"</f>
        <v>1300014P00122    00</v>
      </c>
      <c r="B20762" t="s">
        <v>45088</v>
      </c>
      <c r="C20762" t="s">
        <v>45089</v>
      </c>
      <c r="D20762" t="s">
        <v>20</v>
      </c>
      <c r="E20762" t="s">
        <v>39</v>
      </c>
      <c r="F20762">
        <v>0</v>
      </c>
      <c r="G20762">
        <v>0</v>
      </c>
      <c r="H20762">
        <v>5</v>
      </c>
      <c r="I20762" s="3">
        <v>471.1</v>
      </c>
      <c r="J20762" s="3">
        <v>81.38</v>
      </c>
      <c r="K20762" t="s">
        <v>45090</v>
      </c>
      <c r="M20762" t="s">
        <v>25331</v>
      </c>
      <c r="N20762" t="s">
        <v>199</v>
      </c>
      <c r="O20762" t="s">
        <v>200</v>
      </c>
      <c r="P20762" t="str">
        <f>"10150"</f>
        <v>10150</v>
      </c>
    </row>
    <row r="20763" spans="1:16" x14ac:dyDescent="0.25">
      <c r="A20763" t="str">
        <f>"1300014P00124    00"</f>
        <v>1300014P00124    00</v>
      </c>
      <c r="B20763" t="s">
        <v>45091</v>
      </c>
      <c r="C20763" t="s">
        <v>45000</v>
      </c>
      <c r="D20763" t="s">
        <v>20</v>
      </c>
      <c r="E20763" t="s">
        <v>39</v>
      </c>
      <c r="F20763">
        <v>0</v>
      </c>
      <c r="G20763">
        <v>0</v>
      </c>
      <c r="H20763">
        <v>19</v>
      </c>
      <c r="I20763" s="3">
        <v>301.70999999999998</v>
      </c>
      <c r="J20763" s="3">
        <v>294.45</v>
      </c>
      <c r="L20763">
        <v>1420</v>
      </c>
      <c r="M20763" t="s">
        <v>45092</v>
      </c>
      <c r="N20763" t="s">
        <v>30</v>
      </c>
      <c r="O20763" t="s">
        <v>31</v>
      </c>
      <c r="P20763" t="str">
        <f>"15221"</f>
        <v>15221</v>
      </c>
    </row>
    <row r="20764" spans="1:16" x14ac:dyDescent="0.25">
      <c r="A20764" t="str">
        <f>"1300014P00125    00"</f>
        <v>1300014P00125    00</v>
      </c>
      <c r="B20764" t="s">
        <v>23856</v>
      </c>
      <c r="C20764" t="s">
        <v>45093</v>
      </c>
      <c r="D20764" t="s">
        <v>20</v>
      </c>
      <c r="E20764" t="s">
        <v>39</v>
      </c>
      <c r="F20764">
        <v>0</v>
      </c>
      <c r="G20764">
        <v>0</v>
      </c>
      <c r="H20764">
        <v>7</v>
      </c>
      <c r="I20764" s="3">
        <v>4511.3599999999997</v>
      </c>
      <c r="J20764" s="3">
        <v>1210.73</v>
      </c>
      <c r="M20764" t="s">
        <v>39493</v>
      </c>
      <c r="N20764" t="s">
        <v>23858</v>
      </c>
      <c r="O20764" t="s">
        <v>31</v>
      </c>
      <c r="P20764" t="str">
        <f>"16424"</f>
        <v>16424</v>
      </c>
    </row>
    <row r="20765" spans="1:16" x14ac:dyDescent="0.25">
      <c r="A20765" t="str">
        <f>"1300014P00128    00"</f>
        <v>1300014P00128    00</v>
      </c>
      <c r="B20765" t="s">
        <v>26104</v>
      </c>
      <c r="C20765" t="s">
        <v>45094</v>
      </c>
      <c r="D20765" t="s">
        <v>20</v>
      </c>
      <c r="E20765" t="s">
        <v>39</v>
      </c>
      <c r="F20765">
        <v>0</v>
      </c>
      <c r="G20765">
        <v>0</v>
      </c>
      <c r="H20765">
        <v>4</v>
      </c>
      <c r="I20765" s="3">
        <v>4330.32</v>
      </c>
      <c r="J20765" s="3">
        <v>533.24</v>
      </c>
      <c r="L20765">
        <v>455</v>
      </c>
      <c r="M20765" t="s">
        <v>45095</v>
      </c>
      <c r="N20765" t="s">
        <v>26103</v>
      </c>
      <c r="O20765" t="s">
        <v>1413</v>
      </c>
      <c r="P20765" t="str">
        <f>"28390"</f>
        <v>28390</v>
      </c>
    </row>
    <row r="20766" spans="1:16" x14ac:dyDescent="0.25">
      <c r="A20766" t="str">
        <f>"1300014P00136    00"</f>
        <v>1300014P00136    00</v>
      </c>
      <c r="B20766" t="s">
        <v>45096</v>
      </c>
      <c r="C20766" t="s">
        <v>45097</v>
      </c>
      <c r="D20766" t="s">
        <v>20</v>
      </c>
      <c r="E20766" t="s">
        <v>39</v>
      </c>
      <c r="F20766">
        <v>0</v>
      </c>
      <c r="G20766">
        <v>0</v>
      </c>
      <c r="H20766">
        <v>2</v>
      </c>
      <c r="I20766" s="3">
        <v>407.02</v>
      </c>
      <c r="J20766" s="3">
        <v>0</v>
      </c>
      <c r="L20766">
        <v>331</v>
      </c>
      <c r="M20766" t="s">
        <v>16328</v>
      </c>
      <c r="N20766" t="s">
        <v>30</v>
      </c>
      <c r="O20766" t="s">
        <v>31</v>
      </c>
      <c r="P20766" t="str">
        <f>"15210"</f>
        <v>15210</v>
      </c>
    </row>
    <row r="20767" spans="1:16" x14ac:dyDescent="0.25">
      <c r="A20767" t="str">
        <f>"1300014P00139    00"</f>
        <v>1300014P00139    00</v>
      </c>
      <c r="B20767" t="s">
        <v>45098</v>
      </c>
      <c r="C20767" t="s">
        <v>45099</v>
      </c>
      <c r="E20767" t="s">
        <v>39</v>
      </c>
      <c r="F20767">
        <v>0</v>
      </c>
      <c r="G20767">
        <v>0</v>
      </c>
      <c r="H20767">
        <v>1</v>
      </c>
      <c r="I20767" s="3">
        <v>613.75</v>
      </c>
      <c r="J20767" s="3">
        <v>0</v>
      </c>
      <c r="K20767" t="s">
        <v>45100</v>
      </c>
      <c r="L20767">
        <v>124</v>
      </c>
      <c r="M20767" t="s">
        <v>38428</v>
      </c>
      <c r="N20767" t="s">
        <v>30</v>
      </c>
      <c r="O20767" t="s">
        <v>31</v>
      </c>
      <c r="P20767" t="str">
        <f>"15214"</f>
        <v>15214</v>
      </c>
    </row>
    <row r="20768" spans="1:16" x14ac:dyDescent="0.25">
      <c r="A20768" t="str">
        <f>"1300014P00140    00"</f>
        <v>1300014P00140    00</v>
      </c>
      <c r="B20768" t="s">
        <v>45101</v>
      </c>
      <c r="C20768" t="s">
        <v>45102</v>
      </c>
      <c r="D20768" t="s">
        <v>20</v>
      </c>
      <c r="E20768" t="s">
        <v>39</v>
      </c>
      <c r="F20768">
        <v>0</v>
      </c>
      <c r="G20768">
        <v>0</v>
      </c>
      <c r="H20768">
        <v>1</v>
      </c>
      <c r="I20768" s="3">
        <v>684.26</v>
      </c>
      <c r="J20768" s="3">
        <v>0</v>
      </c>
      <c r="K20768" t="s">
        <v>45103</v>
      </c>
      <c r="L20768">
        <v>19</v>
      </c>
      <c r="M20768" t="s">
        <v>39311</v>
      </c>
      <c r="N20768" t="s">
        <v>30</v>
      </c>
      <c r="O20768" t="s">
        <v>31</v>
      </c>
      <c r="P20768" t="str">
        <f>"15214"</f>
        <v>15214</v>
      </c>
    </row>
    <row r="20769" spans="1:16" x14ac:dyDescent="0.25">
      <c r="A20769" t="str">
        <f>"1300014P00145    00"</f>
        <v>1300014P00145    00</v>
      </c>
      <c r="B20769" t="s">
        <v>45104</v>
      </c>
      <c r="C20769" t="s">
        <v>45105</v>
      </c>
      <c r="D20769" t="s">
        <v>20</v>
      </c>
      <c r="E20769" t="s">
        <v>39</v>
      </c>
      <c r="F20769">
        <v>0</v>
      </c>
      <c r="G20769">
        <v>0</v>
      </c>
      <c r="H20769">
        <v>6</v>
      </c>
      <c r="I20769" s="3">
        <v>2314.54</v>
      </c>
      <c r="J20769" s="3">
        <v>519.1</v>
      </c>
      <c r="K20769" t="s">
        <v>45106</v>
      </c>
      <c r="L20769">
        <v>337</v>
      </c>
      <c r="M20769" t="s">
        <v>16328</v>
      </c>
      <c r="N20769" t="s">
        <v>30</v>
      </c>
      <c r="O20769" t="s">
        <v>31</v>
      </c>
      <c r="P20769" t="str">
        <f>"15210"</f>
        <v>15210</v>
      </c>
    </row>
    <row r="20770" spans="1:16" x14ac:dyDescent="0.25">
      <c r="A20770" t="str">
        <f>"1300014P00149    00"</f>
        <v>1300014P00149    00</v>
      </c>
      <c r="B20770" t="s">
        <v>45107</v>
      </c>
      <c r="C20770" t="s">
        <v>45108</v>
      </c>
      <c r="D20770" t="s">
        <v>20</v>
      </c>
      <c r="E20770" t="s">
        <v>39</v>
      </c>
      <c r="F20770">
        <v>0</v>
      </c>
      <c r="G20770">
        <v>0</v>
      </c>
      <c r="H20770">
        <v>1</v>
      </c>
      <c r="I20770" s="3">
        <v>628.98</v>
      </c>
      <c r="J20770" s="3">
        <v>0</v>
      </c>
      <c r="L20770">
        <v>1824</v>
      </c>
      <c r="M20770" t="s">
        <v>13373</v>
      </c>
      <c r="N20770" t="s">
        <v>30</v>
      </c>
      <c r="O20770" t="s">
        <v>31</v>
      </c>
      <c r="P20770" t="str">
        <f>"15221"</f>
        <v>15221</v>
      </c>
    </row>
    <row r="20771" spans="1:16" x14ac:dyDescent="0.25">
      <c r="A20771" t="str">
        <f>"1300014P00150    00"</f>
        <v>1300014P00150    00</v>
      </c>
      <c r="B20771" t="s">
        <v>45109</v>
      </c>
      <c r="C20771" t="s">
        <v>45110</v>
      </c>
      <c r="D20771" t="s">
        <v>20</v>
      </c>
      <c r="E20771" t="s">
        <v>39</v>
      </c>
      <c r="F20771">
        <v>0</v>
      </c>
      <c r="G20771">
        <v>0</v>
      </c>
      <c r="H20771">
        <v>3</v>
      </c>
      <c r="I20771" s="3">
        <v>722.76</v>
      </c>
      <c r="J20771" s="3">
        <v>44.48</v>
      </c>
      <c r="L20771">
        <v>324</v>
      </c>
      <c r="M20771" t="s">
        <v>16328</v>
      </c>
      <c r="N20771" t="s">
        <v>30</v>
      </c>
      <c r="O20771" t="s">
        <v>31</v>
      </c>
      <c r="P20771" t="str">
        <f>"15210"</f>
        <v>15210</v>
      </c>
    </row>
    <row r="20772" spans="1:16" x14ac:dyDescent="0.25">
      <c r="A20772" t="str">
        <f>"1300014P00153    00"</f>
        <v>1300014P00153    00</v>
      </c>
      <c r="B20772" t="s">
        <v>45111</v>
      </c>
      <c r="C20772" t="s">
        <v>45112</v>
      </c>
      <c r="D20772" t="s">
        <v>20</v>
      </c>
      <c r="E20772" t="s">
        <v>39</v>
      </c>
      <c r="F20772">
        <v>0</v>
      </c>
      <c r="G20772">
        <v>0</v>
      </c>
      <c r="H20772">
        <v>2</v>
      </c>
      <c r="I20772" s="3">
        <v>1921.24</v>
      </c>
      <c r="J20772" s="3">
        <v>0</v>
      </c>
      <c r="L20772">
        <v>67</v>
      </c>
      <c r="M20772" t="s">
        <v>45113</v>
      </c>
      <c r="N20772" t="s">
        <v>22862</v>
      </c>
      <c r="O20772" t="s">
        <v>606</v>
      </c>
      <c r="P20772" t="str">
        <f>"30141"</f>
        <v>30141</v>
      </c>
    </row>
    <row r="20773" spans="1:16" x14ac:dyDescent="0.25">
      <c r="A20773" t="str">
        <f>"1300014P00154    00"</f>
        <v>1300014P00154    00</v>
      </c>
      <c r="B20773" t="s">
        <v>14591</v>
      </c>
      <c r="C20773" t="s">
        <v>45114</v>
      </c>
      <c r="D20773" t="s">
        <v>20</v>
      </c>
      <c r="E20773" t="s">
        <v>39</v>
      </c>
      <c r="F20773">
        <v>0</v>
      </c>
      <c r="G20773">
        <v>0</v>
      </c>
      <c r="H20773">
        <v>1</v>
      </c>
      <c r="I20773" s="3">
        <v>294.06</v>
      </c>
      <c r="J20773" s="3">
        <v>0</v>
      </c>
      <c r="L20773">
        <v>7212</v>
      </c>
      <c r="M20773" t="s">
        <v>12207</v>
      </c>
      <c r="N20773" t="s">
        <v>30</v>
      </c>
      <c r="O20773" t="s">
        <v>31</v>
      </c>
      <c r="P20773" t="str">
        <f>"15208"</f>
        <v>15208</v>
      </c>
    </row>
    <row r="20774" spans="1:16" x14ac:dyDescent="0.25">
      <c r="A20774" t="str">
        <f>"1300014P00155    00"</f>
        <v>1300014P00155    00</v>
      </c>
      <c r="B20774" t="s">
        <v>45115</v>
      </c>
      <c r="C20774" t="s">
        <v>45116</v>
      </c>
      <c r="D20774" t="s">
        <v>20</v>
      </c>
      <c r="E20774" t="s">
        <v>39</v>
      </c>
      <c r="F20774">
        <v>0</v>
      </c>
      <c r="G20774">
        <v>0</v>
      </c>
      <c r="H20774">
        <v>1</v>
      </c>
      <c r="I20774" s="3">
        <v>374.05</v>
      </c>
      <c r="J20774" s="3">
        <v>0</v>
      </c>
      <c r="L20774">
        <v>314</v>
      </c>
      <c r="M20774" t="s">
        <v>16328</v>
      </c>
      <c r="N20774" t="s">
        <v>30</v>
      </c>
      <c r="O20774" t="s">
        <v>31</v>
      </c>
      <c r="P20774" t="str">
        <f>"15210"</f>
        <v>15210</v>
      </c>
    </row>
    <row r="20775" spans="1:16" x14ac:dyDescent="0.25">
      <c r="A20775" t="str">
        <f>"1300014P00160    00"</f>
        <v>1300014P00160    00</v>
      </c>
      <c r="B20775" t="s">
        <v>45117</v>
      </c>
      <c r="C20775" t="s">
        <v>45118</v>
      </c>
      <c r="E20775" t="s">
        <v>39</v>
      </c>
      <c r="F20775">
        <v>0</v>
      </c>
      <c r="G20775">
        <v>0</v>
      </c>
      <c r="H20775">
        <v>1</v>
      </c>
      <c r="I20775" s="3">
        <v>299.54000000000002</v>
      </c>
      <c r="J20775" s="3">
        <v>0</v>
      </c>
      <c r="K20775" t="s">
        <v>45119</v>
      </c>
      <c r="L20775">
        <v>404</v>
      </c>
      <c r="M20775" t="s">
        <v>25043</v>
      </c>
      <c r="N20775" t="s">
        <v>30</v>
      </c>
      <c r="O20775" t="s">
        <v>31</v>
      </c>
      <c r="P20775" t="str">
        <f>"15210"</f>
        <v>15210</v>
      </c>
    </row>
    <row r="20776" spans="1:16" x14ac:dyDescent="0.25">
      <c r="A20776" t="str">
        <f>"1300014P00161    00"</f>
        <v>1300014P00161    00</v>
      </c>
      <c r="B20776" t="s">
        <v>45120</v>
      </c>
      <c r="C20776" t="s">
        <v>45121</v>
      </c>
      <c r="D20776" t="s">
        <v>20</v>
      </c>
      <c r="E20776" t="s">
        <v>39</v>
      </c>
      <c r="F20776">
        <v>0</v>
      </c>
      <c r="G20776">
        <v>0</v>
      </c>
      <c r="H20776">
        <v>3</v>
      </c>
      <c r="I20776" s="3">
        <v>874.89</v>
      </c>
      <c r="J20776" s="3">
        <v>58.32</v>
      </c>
      <c r="L20776">
        <v>14225</v>
      </c>
      <c r="M20776" t="s">
        <v>17310</v>
      </c>
      <c r="N20776" t="s">
        <v>4007</v>
      </c>
      <c r="O20776" t="s">
        <v>1184</v>
      </c>
      <c r="P20776" t="str">
        <f>"20720"</f>
        <v>20720</v>
      </c>
    </row>
    <row r="20777" spans="1:16" x14ac:dyDescent="0.25">
      <c r="A20777" t="str">
        <f>"1300014P00164    00"</f>
        <v>1300014P00164    00</v>
      </c>
      <c r="B20777" t="s">
        <v>45122</v>
      </c>
      <c r="C20777" t="s">
        <v>45000</v>
      </c>
      <c r="D20777" t="s">
        <v>20</v>
      </c>
      <c r="E20777" t="s">
        <v>39</v>
      </c>
      <c r="F20777">
        <v>0</v>
      </c>
      <c r="G20777">
        <v>0</v>
      </c>
      <c r="H20777">
        <v>19</v>
      </c>
      <c r="I20777" s="3">
        <v>9448.1200000000008</v>
      </c>
      <c r="J20777" s="3">
        <v>11464.55</v>
      </c>
      <c r="K20777" t="s">
        <v>45123</v>
      </c>
      <c r="L20777">
        <v>90</v>
      </c>
      <c r="M20777" t="s">
        <v>45124</v>
      </c>
      <c r="N20777" t="s">
        <v>30</v>
      </c>
      <c r="O20777" t="s">
        <v>31</v>
      </c>
      <c r="P20777" t="str">
        <f>"15241"</f>
        <v>15241</v>
      </c>
    </row>
    <row r="20778" spans="1:16" x14ac:dyDescent="0.25">
      <c r="A20778" t="str">
        <f>"1300014P00166    00"</f>
        <v>1300014P00166    00</v>
      </c>
      <c r="B20778" t="s">
        <v>45125</v>
      </c>
      <c r="C20778" t="s">
        <v>45000</v>
      </c>
      <c r="D20778" t="s">
        <v>20</v>
      </c>
      <c r="E20778" t="s">
        <v>39</v>
      </c>
      <c r="F20778">
        <v>0</v>
      </c>
      <c r="G20778">
        <v>0</v>
      </c>
      <c r="H20778">
        <v>19</v>
      </c>
      <c r="I20778" s="3">
        <v>1226.48</v>
      </c>
      <c r="J20778" s="3">
        <v>805.81</v>
      </c>
      <c r="M20778" t="s">
        <v>45126</v>
      </c>
      <c r="N20778" t="s">
        <v>45127</v>
      </c>
      <c r="O20778" t="s">
        <v>70</v>
      </c>
      <c r="P20778" t="str">
        <f>"48021"</f>
        <v>48021</v>
      </c>
    </row>
    <row r="20779" spans="1:16" x14ac:dyDescent="0.25">
      <c r="A20779" t="str">
        <f>"1300014P00171    00"</f>
        <v>1300014P00171    00</v>
      </c>
      <c r="B20779" t="s">
        <v>45128</v>
      </c>
      <c r="C20779" t="s">
        <v>45000</v>
      </c>
      <c r="D20779" t="s">
        <v>20</v>
      </c>
      <c r="E20779" t="s">
        <v>39</v>
      </c>
      <c r="F20779">
        <v>0</v>
      </c>
      <c r="G20779">
        <v>0</v>
      </c>
      <c r="H20779">
        <v>12</v>
      </c>
      <c r="I20779" s="3">
        <v>2841.15</v>
      </c>
      <c r="J20779" s="3">
        <v>3043.18</v>
      </c>
      <c r="K20779" t="s">
        <v>45129</v>
      </c>
      <c r="M20779" t="s">
        <v>45130</v>
      </c>
      <c r="N20779" t="s">
        <v>45131</v>
      </c>
      <c r="O20779" t="s">
        <v>8434</v>
      </c>
      <c r="P20779" t="str">
        <f>"02895"</f>
        <v>02895</v>
      </c>
    </row>
    <row r="20780" spans="1:16" x14ac:dyDescent="0.25">
      <c r="A20780" t="str">
        <f>"1300014P00172    00"</f>
        <v>1300014P00172    00</v>
      </c>
      <c r="B20780" t="s">
        <v>45132</v>
      </c>
      <c r="C20780" t="s">
        <v>45000</v>
      </c>
      <c r="D20780" t="s">
        <v>20</v>
      </c>
      <c r="E20780" t="s">
        <v>39</v>
      </c>
      <c r="F20780">
        <v>0</v>
      </c>
      <c r="G20780">
        <v>0</v>
      </c>
      <c r="H20780">
        <v>19</v>
      </c>
      <c r="I20780" s="3">
        <v>3390.71</v>
      </c>
      <c r="J20780" s="3">
        <v>3935.88</v>
      </c>
      <c r="L20780">
        <v>230</v>
      </c>
      <c r="M20780" t="s">
        <v>16328</v>
      </c>
      <c r="N20780" t="s">
        <v>30</v>
      </c>
      <c r="O20780" t="s">
        <v>31</v>
      </c>
      <c r="P20780" t="str">
        <f>"15210"</f>
        <v>15210</v>
      </c>
    </row>
    <row r="20781" spans="1:16" x14ac:dyDescent="0.25">
      <c r="A20781" t="str">
        <f>"1300014P00174    00"</f>
        <v>1300014P00174    00</v>
      </c>
      <c r="B20781" t="s">
        <v>45133</v>
      </c>
      <c r="C20781" t="s">
        <v>45134</v>
      </c>
      <c r="D20781" t="s">
        <v>20</v>
      </c>
      <c r="E20781" t="s">
        <v>39</v>
      </c>
      <c r="F20781">
        <v>0</v>
      </c>
      <c r="G20781">
        <v>0</v>
      </c>
      <c r="H20781">
        <v>19</v>
      </c>
      <c r="I20781" s="3">
        <v>10884.69</v>
      </c>
      <c r="J20781" s="3">
        <v>10091.01</v>
      </c>
      <c r="L20781">
        <v>535</v>
      </c>
      <c r="M20781" t="s">
        <v>23227</v>
      </c>
      <c r="N20781" t="s">
        <v>30</v>
      </c>
      <c r="O20781" t="s">
        <v>31</v>
      </c>
      <c r="P20781" t="str">
        <f>"15210"</f>
        <v>15210</v>
      </c>
    </row>
    <row r="20782" spans="1:16" x14ac:dyDescent="0.25">
      <c r="A20782" t="str">
        <f>"1300014P00178    00"</f>
        <v>1300014P00178    00</v>
      </c>
      <c r="B20782" t="s">
        <v>45135</v>
      </c>
      <c r="C20782" t="s">
        <v>45136</v>
      </c>
      <c r="E20782" t="s">
        <v>39</v>
      </c>
      <c r="F20782">
        <v>0</v>
      </c>
      <c r="G20782">
        <v>0</v>
      </c>
      <c r="H20782">
        <v>1</v>
      </c>
      <c r="I20782" s="3">
        <v>477.94</v>
      </c>
      <c r="J20782" s="3">
        <v>410.22</v>
      </c>
      <c r="L20782">
        <v>218</v>
      </c>
      <c r="M20782" t="s">
        <v>16328</v>
      </c>
      <c r="N20782" t="s">
        <v>30</v>
      </c>
      <c r="O20782" t="s">
        <v>31</v>
      </c>
      <c r="P20782" t="str">
        <f>"15210"</f>
        <v>15210</v>
      </c>
    </row>
    <row r="20783" spans="1:16" x14ac:dyDescent="0.25">
      <c r="A20783" t="str">
        <f>"1300014P00201    00"</f>
        <v>1300014P00201    00</v>
      </c>
      <c r="B20783" t="s">
        <v>45137</v>
      </c>
      <c r="C20783" t="s">
        <v>45138</v>
      </c>
      <c r="D20783" t="s">
        <v>20</v>
      </c>
      <c r="E20783" t="s">
        <v>39</v>
      </c>
      <c r="F20783">
        <v>0</v>
      </c>
      <c r="G20783">
        <v>0</v>
      </c>
      <c r="H20783">
        <v>17</v>
      </c>
      <c r="I20783" s="3">
        <v>7112.17</v>
      </c>
      <c r="J20783" s="3">
        <v>5917.71</v>
      </c>
      <c r="L20783">
        <v>1178</v>
      </c>
      <c r="M20783" t="s">
        <v>24940</v>
      </c>
      <c r="N20783" t="s">
        <v>30</v>
      </c>
      <c r="O20783" t="s">
        <v>31</v>
      </c>
      <c r="P20783" t="str">
        <f>"15220"</f>
        <v>15220</v>
      </c>
    </row>
    <row r="20784" spans="1:16" x14ac:dyDescent="0.25">
      <c r="A20784" t="str">
        <f>"1300014P00202    00"</f>
        <v>1300014P00202    00</v>
      </c>
      <c r="B20784" t="s">
        <v>45139</v>
      </c>
      <c r="C20784" t="s">
        <v>45140</v>
      </c>
      <c r="D20784" t="s">
        <v>20</v>
      </c>
      <c r="E20784" t="s">
        <v>39</v>
      </c>
      <c r="F20784">
        <v>0</v>
      </c>
      <c r="G20784">
        <v>0</v>
      </c>
      <c r="H20784">
        <v>4</v>
      </c>
      <c r="I20784" s="3">
        <v>426.44</v>
      </c>
      <c r="J20784" s="3">
        <v>50.64</v>
      </c>
      <c r="L20784">
        <v>249</v>
      </c>
      <c r="M20784" t="s">
        <v>26029</v>
      </c>
      <c r="N20784" t="s">
        <v>30</v>
      </c>
      <c r="O20784" t="s">
        <v>31</v>
      </c>
      <c r="P20784" t="str">
        <f>"15210"</f>
        <v>15210</v>
      </c>
    </row>
    <row r="20785" spans="1:16" x14ac:dyDescent="0.25">
      <c r="A20785" t="str">
        <f>"1300014P00210    00"</f>
        <v>1300014P00210    00</v>
      </c>
      <c r="B20785" t="s">
        <v>43517</v>
      </c>
      <c r="C20785" t="s">
        <v>45141</v>
      </c>
      <c r="D20785" t="s">
        <v>20</v>
      </c>
      <c r="E20785" t="s">
        <v>39</v>
      </c>
      <c r="F20785">
        <v>0</v>
      </c>
      <c r="G20785">
        <v>0</v>
      </c>
      <c r="H20785">
        <v>17</v>
      </c>
      <c r="I20785" s="3">
        <v>8241.27</v>
      </c>
      <c r="J20785" s="3">
        <v>9751.77</v>
      </c>
      <c r="L20785">
        <v>714</v>
      </c>
      <c r="M20785" t="s">
        <v>1247</v>
      </c>
      <c r="N20785" t="s">
        <v>17932</v>
      </c>
      <c r="O20785" t="s">
        <v>31</v>
      </c>
      <c r="P20785" t="str">
        <f>"15140"</f>
        <v>15140</v>
      </c>
    </row>
    <row r="20786" spans="1:16" x14ac:dyDescent="0.25">
      <c r="A20786" t="str">
        <f>"1300014P00215    00"</f>
        <v>1300014P00215    00</v>
      </c>
      <c r="B20786" t="s">
        <v>45142</v>
      </c>
      <c r="C20786" t="s">
        <v>45143</v>
      </c>
      <c r="D20786" t="s">
        <v>20</v>
      </c>
      <c r="E20786" t="s">
        <v>39</v>
      </c>
      <c r="F20786">
        <v>0</v>
      </c>
      <c r="G20786">
        <v>0</v>
      </c>
      <c r="H20786">
        <v>19</v>
      </c>
      <c r="I20786" s="3">
        <v>11467.01</v>
      </c>
      <c r="J20786" s="3">
        <v>12596.43</v>
      </c>
      <c r="M20786" t="s">
        <v>32938</v>
      </c>
      <c r="N20786" t="s">
        <v>30</v>
      </c>
      <c r="O20786" t="s">
        <v>31</v>
      </c>
      <c r="P20786" t="str">
        <f>"15234"</f>
        <v>15234</v>
      </c>
    </row>
    <row r="20787" spans="1:16" x14ac:dyDescent="0.25">
      <c r="A20787" t="str">
        <f>"1300014P00218    00"</f>
        <v>1300014P00218    00</v>
      </c>
      <c r="B20787" t="s">
        <v>45144</v>
      </c>
      <c r="C20787" t="s">
        <v>45145</v>
      </c>
      <c r="E20787" t="s">
        <v>39</v>
      </c>
      <c r="F20787">
        <v>0</v>
      </c>
      <c r="G20787">
        <v>0</v>
      </c>
      <c r="H20787">
        <v>1</v>
      </c>
      <c r="I20787" s="3">
        <v>504.65</v>
      </c>
      <c r="J20787" s="3">
        <v>113.54</v>
      </c>
      <c r="K20787" t="s">
        <v>45146</v>
      </c>
      <c r="L20787">
        <v>11</v>
      </c>
      <c r="M20787" t="s">
        <v>45147</v>
      </c>
      <c r="N20787" t="s">
        <v>30</v>
      </c>
      <c r="O20787" t="s">
        <v>31</v>
      </c>
      <c r="P20787" t="str">
        <f>"15221"</f>
        <v>15221</v>
      </c>
    </row>
    <row r="20788" spans="1:16" x14ac:dyDescent="0.25">
      <c r="A20788" t="str">
        <f>"1300014P00220    00"</f>
        <v>1300014P00220    00</v>
      </c>
      <c r="B20788" t="s">
        <v>45148</v>
      </c>
      <c r="C20788" t="s">
        <v>45149</v>
      </c>
      <c r="D20788" t="s">
        <v>20</v>
      </c>
      <c r="E20788" t="s">
        <v>39</v>
      </c>
      <c r="F20788">
        <v>0</v>
      </c>
      <c r="G20788">
        <v>0</v>
      </c>
      <c r="H20788">
        <v>5</v>
      </c>
      <c r="I20788" s="3">
        <v>361.5</v>
      </c>
      <c r="J20788" s="3">
        <v>62.33</v>
      </c>
      <c r="K20788" t="s">
        <v>45150</v>
      </c>
      <c r="L20788">
        <v>10917</v>
      </c>
      <c r="M20788" t="s">
        <v>45151</v>
      </c>
      <c r="N20788" t="s">
        <v>9967</v>
      </c>
      <c r="O20788" t="s">
        <v>692</v>
      </c>
      <c r="P20788" t="str">
        <f>"23060"</f>
        <v>23060</v>
      </c>
    </row>
    <row r="20789" spans="1:16" x14ac:dyDescent="0.25">
      <c r="A20789" t="str">
        <f>"1300014P00221    00"</f>
        <v>1300014P00221    00</v>
      </c>
      <c r="B20789" t="s">
        <v>45152</v>
      </c>
      <c r="C20789" t="s">
        <v>45153</v>
      </c>
      <c r="D20789" t="s">
        <v>20</v>
      </c>
      <c r="E20789" t="s">
        <v>39</v>
      </c>
      <c r="F20789">
        <v>0</v>
      </c>
      <c r="G20789">
        <v>0</v>
      </c>
      <c r="H20789">
        <v>1</v>
      </c>
      <c r="I20789" s="3">
        <v>134.80000000000001</v>
      </c>
      <c r="J20789" s="3">
        <v>0</v>
      </c>
      <c r="L20789">
        <v>333</v>
      </c>
      <c r="M20789" t="s">
        <v>26029</v>
      </c>
      <c r="N20789" t="s">
        <v>30</v>
      </c>
      <c r="O20789" t="s">
        <v>31</v>
      </c>
      <c r="P20789" t="str">
        <f>"15210"</f>
        <v>15210</v>
      </c>
    </row>
    <row r="20790" spans="1:16" x14ac:dyDescent="0.25">
      <c r="A20790" t="str">
        <f>"1300014P00228    00"</f>
        <v>1300014P00228    00</v>
      </c>
      <c r="B20790" t="s">
        <v>45154</v>
      </c>
      <c r="C20790" t="s">
        <v>45155</v>
      </c>
      <c r="D20790" t="s">
        <v>57</v>
      </c>
      <c r="E20790" t="s">
        <v>39</v>
      </c>
      <c r="F20790">
        <v>0</v>
      </c>
      <c r="G20790">
        <v>0</v>
      </c>
      <c r="H20790">
        <v>2</v>
      </c>
      <c r="I20790" s="3">
        <v>1028.5999999999999</v>
      </c>
      <c r="J20790" s="3">
        <v>1045.71</v>
      </c>
      <c r="K20790" t="s">
        <v>1030</v>
      </c>
      <c r="M20790" t="s">
        <v>1031</v>
      </c>
      <c r="N20790" t="s">
        <v>1032</v>
      </c>
      <c r="O20790" t="s">
        <v>25</v>
      </c>
      <c r="P20790" t="str">
        <f>"44711"</f>
        <v>44711</v>
      </c>
    </row>
    <row r="20791" spans="1:16" x14ac:dyDescent="0.25">
      <c r="A20791" t="str">
        <f>"1300014P00234    00"</f>
        <v>1300014P00234    00</v>
      </c>
      <c r="B20791" t="s">
        <v>45156</v>
      </c>
      <c r="C20791" t="s">
        <v>45157</v>
      </c>
      <c r="D20791" t="s">
        <v>20</v>
      </c>
      <c r="E20791" t="s">
        <v>39</v>
      </c>
      <c r="F20791">
        <v>0</v>
      </c>
      <c r="G20791">
        <v>0</v>
      </c>
      <c r="H20791">
        <v>15</v>
      </c>
      <c r="I20791" s="3">
        <v>1463.7</v>
      </c>
      <c r="J20791" s="3">
        <v>1319.91</v>
      </c>
      <c r="M20791" t="s">
        <v>45158</v>
      </c>
      <c r="P20791" t="str">
        <f>""</f>
        <v/>
      </c>
    </row>
    <row r="20792" spans="1:16" x14ac:dyDescent="0.25">
      <c r="A20792" t="str">
        <f>"1300014P00236    00"</f>
        <v>1300014P00236    00</v>
      </c>
      <c r="B20792" t="s">
        <v>45159</v>
      </c>
      <c r="C20792" t="s">
        <v>45160</v>
      </c>
      <c r="D20792" t="s">
        <v>20</v>
      </c>
      <c r="E20792" t="s">
        <v>39</v>
      </c>
      <c r="F20792">
        <v>0</v>
      </c>
      <c r="G20792">
        <v>0</v>
      </c>
      <c r="H20792">
        <v>3</v>
      </c>
      <c r="I20792" s="3">
        <v>206.19</v>
      </c>
      <c r="J20792" s="3">
        <v>13.74</v>
      </c>
      <c r="L20792">
        <v>328</v>
      </c>
      <c r="M20792" t="s">
        <v>26029</v>
      </c>
      <c r="N20792" t="s">
        <v>30</v>
      </c>
      <c r="O20792" t="s">
        <v>31</v>
      </c>
      <c r="P20792" t="str">
        <f>"15210"</f>
        <v>15210</v>
      </c>
    </row>
    <row r="20793" spans="1:16" x14ac:dyDescent="0.25">
      <c r="A20793" t="str">
        <f>"1300014P00239    00"</f>
        <v>1300014P00239    00</v>
      </c>
      <c r="B20793" t="s">
        <v>45161</v>
      </c>
      <c r="C20793" t="s">
        <v>45162</v>
      </c>
      <c r="D20793" t="s">
        <v>20</v>
      </c>
      <c r="E20793" t="s">
        <v>39</v>
      </c>
      <c r="F20793">
        <v>0</v>
      </c>
      <c r="G20793">
        <v>0</v>
      </c>
      <c r="H20793">
        <v>19</v>
      </c>
      <c r="I20793" s="3">
        <v>11153.08</v>
      </c>
      <c r="J20793" s="3">
        <v>10749.62</v>
      </c>
      <c r="L20793">
        <v>322</v>
      </c>
      <c r="M20793" t="s">
        <v>26029</v>
      </c>
      <c r="N20793" t="s">
        <v>30</v>
      </c>
      <c r="O20793" t="s">
        <v>31</v>
      </c>
      <c r="P20793" t="str">
        <f>"15210"</f>
        <v>15210</v>
      </c>
    </row>
    <row r="20794" spans="1:16" x14ac:dyDescent="0.25">
      <c r="A20794" t="str">
        <f>"1300014P00241    00"</f>
        <v>1300014P00241    00</v>
      </c>
      <c r="B20794" t="s">
        <v>45163</v>
      </c>
      <c r="C20794" t="s">
        <v>45164</v>
      </c>
      <c r="D20794" t="s">
        <v>20</v>
      </c>
      <c r="E20794" t="s">
        <v>39</v>
      </c>
      <c r="F20794">
        <v>0</v>
      </c>
      <c r="G20794">
        <v>0</v>
      </c>
      <c r="H20794">
        <v>14</v>
      </c>
      <c r="I20794" s="3">
        <v>4660.6499999999996</v>
      </c>
      <c r="J20794" s="3">
        <v>2936.67</v>
      </c>
      <c r="K20794" t="s">
        <v>45165</v>
      </c>
      <c r="L20794">
        <v>318</v>
      </c>
      <c r="M20794" t="s">
        <v>26029</v>
      </c>
      <c r="N20794" t="s">
        <v>30</v>
      </c>
      <c r="O20794" t="s">
        <v>31</v>
      </c>
      <c r="P20794" t="str">
        <f>"15210"</f>
        <v>15210</v>
      </c>
    </row>
    <row r="20795" spans="1:16" x14ac:dyDescent="0.25">
      <c r="A20795" t="str">
        <f>"1300014P00243    00"</f>
        <v>1300014P00243    00</v>
      </c>
      <c r="B20795" t="s">
        <v>45166</v>
      </c>
      <c r="C20795" t="s">
        <v>45167</v>
      </c>
      <c r="D20795" t="s">
        <v>20</v>
      </c>
      <c r="E20795" t="s">
        <v>39</v>
      </c>
      <c r="F20795">
        <v>0</v>
      </c>
      <c r="G20795">
        <v>0</v>
      </c>
      <c r="H20795">
        <v>1</v>
      </c>
      <c r="I20795" s="3">
        <v>434.59</v>
      </c>
      <c r="J20795" s="3">
        <v>0</v>
      </c>
      <c r="L20795">
        <v>14</v>
      </c>
      <c r="M20795" t="s">
        <v>45168</v>
      </c>
      <c r="N20795" t="s">
        <v>30</v>
      </c>
      <c r="O20795" t="s">
        <v>31</v>
      </c>
      <c r="P20795" t="str">
        <f>"15212"</f>
        <v>15212</v>
      </c>
    </row>
    <row r="20796" spans="1:16" x14ac:dyDescent="0.25">
      <c r="A20796" t="str">
        <f>"1300014P00247    00"</f>
        <v>1300014P00247    00</v>
      </c>
      <c r="B20796" t="s">
        <v>45169</v>
      </c>
      <c r="C20796" t="s">
        <v>45170</v>
      </c>
      <c r="D20796" t="s">
        <v>20</v>
      </c>
      <c r="E20796" t="s">
        <v>39</v>
      </c>
      <c r="F20796">
        <v>0</v>
      </c>
      <c r="G20796">
        <v>0</v>
      </c>
      <c r="H20796">
        <v>5</v>
      </c>
      <c r="I20796" s="3">
        <v>2188.67</v>
      </c>
      <c r="J20796" s="3">
        <v>164.55</v>
      </c>
      <c r="L20796">
        <v>306</v>
      </c>
      <c r="M20796" t="s">
        <v>26029</v>
      </c>
      <c r="N20796" t="s">
        <v>30</v>
      </c>
      <c r="O20796" t="s">
        <v>31</v>
      </c>
      <c r="P20796" t="str">
        <f>"15210"</f>
        <v>15210</v>
      </c>
    </row>
    <row r="20797" spans="1:16" x14ac:dyDescent="0.25">
      <c r="A20797" t="str">
        <f>"1300014P00252    00"</f>
        <v>1300014P00252    00</v>
      </c>
      <c r="B20797" t="s">
        <v>45171</v>
      </c>
      <c r="C20797" t="s">
        <v>45172</v>
      </c>
      <c r="D20797" t="s">
        <v>20</v>
      </c>
      <c r="E20797" t="s">
        <v>39</v>
      </c>
      <c r="F20797">
        <v>0</v>
      </c>
      <c r="G20797">
        <v>0</v>
      </c>
      <c r="H20797">
        <v>5</v>
      </c>
      <c r="I20797" s="3">
        <v>1577.79</v>
      </c>
      <c r="J20797" s="3">
        <v>175.2</v>
      </c>
      <c r="K20797" t="s">
        <v>45173</v>
      </c>
      <c r="L20797">
        <v>250</v>
      </c>
      <c r="M20797" t="s">
        <v>26029</v>
      </c>
      <c r="N20797" t="s">
        <v>30</v>
      </c>
      <c r="O20797" t="s">
        <v>31</v>
      </c>
      <c r="P20797" t="str">
        <f>"15210"</f>
        <v>15210</v>
      </c>
    </row>
    <row r="20798" spans="1:16" x14ac:dyDescent="0.25">
      <c r="A20798" t="str">
        <f>"1300014P00253    00"</f>
        <v>1300014P00253    00</v>
      </c>
      <c r="B20798" t="s">
        <v>45174</v>
      </c>
      <c r="C20798" t="s">
        <v>45175</v>
      </c>
      <c r="D20798" t="s">
        <v>20</v>
      </c>
      <c r="E20798" t="s">
        <v>39</v>
      </c>
      <c r="F20798">
        <v>0</v>
      </c>
      <c r="G20798">
        <v>0</v>
      </c>
      <c r="H20798">
        <v>3</v>
      </c>
      <c r="I20798" s="3">
        <v>346.26</v>
      </c>
      <c r="J20798" s="3">
        <v>23.09</v>
      </c>
      <c r="L20798">
        <v>248</v>
      </c>
      <c r="M20798" t="s">
        <v>26029</v>
      </c>
      <c r="N20798" t="s">
        <v>30</v>
      </c>
      <c r="O20798" t="s">
        <v>31</v>
      </c>
      <c r="P20798" t="str">
        <f>"15210"</f>
        <v>15210</v>
      </c>
    </row>
    <row r="20799" spans="1:16" x14ac:dyDescent="0.25">
      <c r="A20799" t="str">
        <f>"1300014P00258    00"</f>
        <v>1300014P00258    00</v>
      </c>
      <c r="B20799" t="s">
        <v>45176</v>
      </c>
      <c r="C20799" t="s">
        <v>45177</v>
      </c>
      <c r="D20799" t="s">
        <v>20</v>
      </c>
      <c r="E20799" t="s">
        <v>39</v>
      </c>
      <c r="F20799">
        <v>0</v>
      </c>
      <c r="G20799">
        <v>0</v>
      </c>
      <c r="H20799">
        <v>1</v>
      </c>
      <c r="I20799" s="3">
        <v>478.41</v>
      </c>
      <c r="J20799" s="3">
        <v>0</v>
      </c>
      <c r="K20799" t="s">
        <v>45178</v>
      </c>
      <c r="L20799">
        <v>236</v>
      </c>
      <c r="M20799" t="s">
        <v>26029</v>
      </c>
      <c r="N20799" t="s">
        <v>30</v>
      </c>
      <c r="O20799" t="s">
        <v>31</v>
      </c>
      <c r="P20799" t="str">
        <f>"15210"</f>
        <v>15210</v>
      </c>
    </row>
    <row r="20800" spans="1:16" x14ac:dyDescent="0.25">
      <c r="A20800" t="str">
        <f>"1300014P00264    00"</f>
        <v>1300014P00264    00</v>
      </c>
      <c r="B20800" t="s">
        <v>45179</v>
      </c>
      <c r="C20800" t="s">
        <v>45180</v>
      </c>
      <c r="D20800" t="s">
        <v>20</v>
      </c>
      <c r="E20800" t="s">
        <v>39</v>
      </c>
      <c r="F20800">
        <v>0</v>
      </c>
      <c r="G20800">
        <v>0</v>
      </c>
      <c r="H20800">
        <v>7</v>
      </c>
      <c r="I20800" s="3">
        <v>3758.53</v>
      </c>
      <c r="J20800" s="3">
        <v>1039.33</v>
      </c>
      <c r="L20800">
        <v>3210</v>
      </c>
      <c r="M20800" t="s">
        <v>35265</v>
      </c>
      <c r="N20800" t="s">
        <v>30</v>
      </c>
      <c r="O20800" t="s">
        <v>31</v>
      </c>
      <c r="P20800" t="str">
        <f>"15227"</f>
        <v>15227</v>
      </c>
    </row>
    <row r="20801" spans="1:16" x14ac:dyDescent="0.25">
      <c r="A20801" t="str">
        <f>"1300014P00266    00"</f>
        <v>1300014P00266    00</v>
      </c>
      <c r="B20801" t="s">
        <v>33888</v>
      </c>
      <c r="C20801" t="s">
        <v>45181</v>
      </c>
      <c r="D20801" t="s">
        <v>20</v>
      </c>
      <c r="E20801" t="s">
        <v>39</v>
      </c>
      <c r="F20801">
        <v>0</v>
      </c>
      <c r="G20801">
        <v>0</v>
      </c>
      <c r="H20801">
        <v>1</v>
      </c>
      <c r="I20801" s="3">
        <v>279.55</v>
      </c>
      <c r="J20801" s="3">
        <v>0</v>
      </c>
      <c r="M20801" t="s">
        <v>45182</v>
      </c>
      <c r="N20801" t="s">
        <v>30</v>
      </c>
      <c r="O20801" t="s">
        <v>31</v>
      </c>
      <c r="P20801" t="str">
        <f>"15210"</f>
        <v>15210</v>
      </c>
    </row>
    <row r="20802" spans="1:16" x14ac:dyDescent="0.25">
      <c r="A20802" t="str">
        <f>"1300014R00003    00"</f>
        <v>1300014R00003    00</v>
      </c>
      <c r="B20802" t="s">
        <v>26389</v>
      </c>
      <c r="C20802" t="s">
        <v>25847</v>
      </c>
      <c r="D20802" t="s">
        <v>20</v>
      </c>
      <c r="E20802" t="s">
        <v>21</v>
      </c>
      <c r="F20802">
        <v>0</v>
      </c>
      <c r="G20802">
        <v>0</v>
      </c>
      <c r="H20802">
        <v>19</v>
      </c>
      <c r="I20802" s="3">
        <v>11452.68</v>
      </c>
      <c r="J20802" s="3">
        <v>11995.09</v>
      </c>
      <c r="L20802">
        <v>91</v>
      </c>
      <c r="M20802" t="s">
        <v>25848</v>
      </c>
      <c r="N20802" t="s">
        <v>30</v>
      </c>
      <c r="O20802" t="s">
        <v>31</v>
      </c>
      <c r="P20802" t="str">
        <f>"15210"</f>
        <v>15210</v>
      </c>
    </row>
    <row r="20803" spans="1:16" x14ac:dyDescent="0.25">
      <c r="A20803" t="str">
        <f>"1300014R00005    00"</f>
        <v>1300014R00005    00</v>
      </c>
      <c r="B20803" t="s">
        <v>45183</v>
      </c>
      <c r="C20803" t="s">
        <v>45184</v>
      </c>
      <c r="D20803" t="s">
        <v>20</v>
      </c>
      <c r="E20803" t="s">
        <v>21</v>
      </c>
      <c r="F20803">
        <v>0</v>
      </c>
      <c r="G20803">
        <v>0</v>
      </c>
      <c r="H20803">
        <v>5</v>
      </c>
      <c r="I20803" s="3">
        <v>23832.6</v>
      </c>
      <c r="J20803" s="3">
        <v>4037.04</v>
      </c>
      <c r="M20803" t="s">
        <v>33013</v>
      </c>
      <c r="N20803" t="s">
        <v>30</v>
      </c>
      <c r="O20803" t="s">
        <v>31</v>
      </c>
      <c r="P20803" t="str">
        <f>"15205"</f>
        <v>15205</v>
      </c>
    </row>
    <row r="20804" spans="1:16" x14ac:dyDescent="0.25">
      <c r="A20804" t="str">
        <f>"1300014R00012    00"</f>
        <v>1300014R00012    00</v>
      </c>
      <c r="B20804" t="s">
        <v>45185</v>
      </c>
      <c r="C20804" t="s">
        <v>45186</v>
      </c>
      <c r="D20804" t="s">
        <v>20</v>
      </c>
      <c r="E20804" t="s">
        <v>39</v>
      </c>
      <c r="F20804">
        <v>0</v>
      </c>
      <c r="G20804">
        <v>0</v>
      </c>
      <c r="H20804">
        <v>19</v>
      </c>
      <c r="I20804" s="3">
        <v>11527.85</v>
      </c>
      <c r="J20804" s="3">
        <v>11409.28</v>
      </c>
      <c r="K20804" t="s">
        <v>45187</v>
      </c>
      <c r="L20804">
        <v>16846</v>
      </c>
      <c r="M20804" t="s">
        <v>45188</v>
      </c>
      <c r="N20804" t="s">
        <v>45189</v>
      </c>
      <c r="O20804" t="s">
        <v>692</v>
      </c>
      <c r="P20804" t="str">
        <f>"20132"</f>
        <v>20132</v>
      </c>
    </row>
    <row r="20805" spans="1:16" x14ac:dyDescent="0.25">
      <c r="A20805" t="str">
        <f>"1300014R00013    00"</f>
        <v>1300014R00013    00</v>
      </c>
      <c r="B20805" t="s">
        <v>45190</v>
      </c>
      <c r="C20805" t="s">
        <v>45191</v>
      </c>
      <c r="D20805" t="s">
        <v>20</v>
      </c>
      <c r="E20805" t="s">
        <v>39</v>
      </c>
      <c r="F20805">
        <v>0</v>
      </c>
      <c r="G20805">
        <v>0</v>
      </c>
      <c r="H20805">
        <v>2</v>
      </c>
      <c r="I20805" s="3">
        <v>165.64</v>
      </c>
      <c r="J20805" s="3">
        <v>0</v>
      </c>
      <c r="L20805">
        <v>143</v>
      </c>
      <c r="M20805" t="s">
        <v>26415</v>
      </c>
      <c r="N20805" t="s">
        <v>30</v>
      </c>
      <c r="O20805" t="s">
        <v>31</v>
      </c>
      <c r="P20805" t="str">
        <f>"15210"</f>
        <v>15210</v>
      </c>
    </row>
    <row r="20806" spans="1:16" x14ac:dyDescent="0.25">
      <c r="A20806" t="str">
        <f>"1300014R00018    00"</f>
        <v>1300014R00018    00</v>
      </c>
      <c r="B20806" t="s">
        <v>45192</v>
      </c>
      <c r="C20806" t="s">
        <v>44985</v>
      </c>
      <c r="D20806" t="s">
        <v>20</v>
      </c>
      <c r="E20806" t="s">
        <v>39</v>
      </c>
      <c r="F20806">
        <v>0</v>
      </c>
      <c r="G20806">
        <v>0</v>
      </c>
      <c r="H20806">
        <v>19</v>
      </c>
      <c r="I20806" s="3">
        <v>4822.25</v>
      </c>
      <c r="J20806" s="3">
        <v>7499.1</v>
      </c>
      <c r="L20806">
        <v>133</v>
      </c>
      <c r="M20806" t="s">
        <v>26415</v>
      </c>
      <c r="N20806" t="s">
        <v>30</v>
      </c>
      <c r="O20806" t="s">
        <v>31</v>
      </c>
      <c r="P20806" t="str">
        <f>"15210"</f>
        <v>15210</v>
      </c>
    </row>
    <row r="20807" spans="1:16" x14ac:dyDescent="0.25">
      <c r="A20807" t="str">
        <f>"1300014R00019    00"</f>
        <v>1300014R00019    00</v>
      </c>
      <c r="B20807" t="s">
        <v>44646</v>
      </c>
      <c r="C20807" t="s">
        <v>44985</v>
      </c>
      <c r="D20807" t="s">
        <v>20</v>
      </c>
      <c r="E20807" t="s">
        <v>39</v>
      </c>
      <c r="F20807">
        <v>0</v>
      </c>
      <c r="G20807">
        <v>0</v>
      </c>
      <c r="H20807">
        <v>5</v>
      </c>
      <c r="I20807" s="3">
        <v>283.35000000000002</v>
      </c>
      <c r="J20807" s="3">
        <v>210.12</v>
      </c>
      <c r="K20807" t="s">
        <v>44648</v>
      </c>
      <c r="L20807">
        <v>400</v>
      </c>
      <c r="M20807" t="s">
        <v>3295</v>
      </c>
      <c r="N20807" t="s">
        <v>30</v>
      </c>
      <c r="O20807" t="s">
        <v>31</v>
      </c>
      <c r="P20807" t="str">
        <f>"15210"</f>
        <v>15210</v>
      </c>
    </row>
    <row r="20808" spans="1:16" x14ac:dyDescent="0.25">
      <c r="A20808" t="str">
        <f>"1300014R00023    00"</f>
        <v>1300014R00023    00</v>
      </c>
      <c r="B20808" t="s">
        <v>45193</v>
      </c>
      <c r="C20808" t="s">
        <v>44985</v>
      </c>
      <c r="D20808" t="s">
        <v>20</v>
      </c>
      <c r="E20808" t="s">
        <v>39</v>
      </c>
      <c r="F20808">
        <v>0</v>
      </c>
      <c r="G20808">
        <v>0</v>
      </c>
      <c r="H20808">
        <v>19</v>
      </c>
      <c r="I20808" s="3">
        <v>301.70999999999998</v>
      </c>
      <c r="J20808" s="3">
        <v>294.45</v>
      </c>
      <c r="L20808">
        <v>1500</v>
      </c>
      <c r="M20808" t="s">
        <v>45194</v>
      </c>
      <c r="N20808" t="s">
        <v>30</v>
      </c>
      <c r="O20808" t="s">
        <v>31</v>
      </c>
      <c r="P20808" t="str">
        <f>"15216"</f>
        <v>15216</v>
      </c>
    </row>
    <row r="20809" spans="1:16" x14ac:dyDescent="0.25">
      <c r="A20809" t="str">
        <f>"1300014R00024    00"</f>
        <v>1300014R00024    00</v>
      </c>
      <c r="B20809" t="s">
        <v>45195</v>
      </c>
      <c r="C20809" t="s">
        <v>45196</v>
      </c>
      <c r="D20809" t="s">
        <v>20</v>
      </c>
      <c r="E20809" t="s">
        <v>39</v>
      </c>
      <c r="F20809">
        <v>0</v>
      </c>
      <c r="G20809">
        <v>0</v>
      </c>
      <c r="H20809">
        <v>8</v>
      </c>
      <c r="I20809" s="3">
        <v>609.48</v>
      </c>
      <c r="J20809" s="3">
        <v>198.72</v>
      </c>
      <c r="L20809">
        <v>123</v>
      </c>
      <c r="M20809" t="s">
        <v>26415</v>
      </c>
      <c r="N20809" t="s">
        <v>30</v>
      </c>
      <c r="O20809" t="s">
        <v>31</v>
      </c>
      <c r="P20809" t="str">
        <f>"15210"</f>
        <v>15210</v>
      </c>
    </row>
    <row r="20810" spans="1:16" x14ac:dyDescent="0.25">
      <c r="A20810" t="str">
        <f>"1300014R00026    00"</f>
        <v>1300014R00026    00</v>
      </c>
      <c r="B20810" t="s">
        <v>45197</v>
      </c>
      <c r="C20810" t="s">
        <v>45198</v>
      </c>
      <c r="D20810" t="s">
        <v>20</v>
      </c>
      <c r="E20810" t="s">
        <v>39</v>
      </c>
      <c r="F20810">
        <v>0</v>
      </c>
      <c r="G20810">
        <v>0</v>
      </c>
      <c r="H20810">
        <v>6</v>
      </c>
      <c r="I20810" s="3">
        <v>86.34</v>
      </c>
      <c r="J20810" s="3">
        <v>19.62</v>
      </c>
      <c r="L20810">
        <v>119</v>
      </c>
      <c r="M20810" t="s">
        <v>26415</v>
      </c>
      <c r="N20810" t="s">
        <v>30</v>
      </c>
      <c r="O20810" t="s">
        <v>31</v>
      </c>
      <c r="P20810" t="str">
        <f>"15210"</f>
        <v>15210</v>
      </c>
    </row>
    <row r="20811" spans="1:16" x14ac:dyDescent="0.25">
      <c r="A20811" t="str">
        <f>"1300014R00027    00"</f>
        <v>1300014R00027    00</v>
      </c>
      <c r="B20811" t="s">
        <v>26090</v>
      </c>
      <c r="C20811" t="s">
        <v>45199</v>
      </c>
      <c r="D20811" t="s">
        <v>20</v>
      </c>
      <c r="E20811" t="s">
        <v>39</v>
      </c>
      <c r="F20811">
        <v>0</v>
      </c>
      <c r="G20811">
        <v>0</v>
      </c>
      <c r="H20811">
        <v>1</v>
      </c>
      <c r="I20811" s="3">
        <v>83.88</v>
      </c>
      <c r="J20811" s="3">
        <v>0</v>
      </c>
      <c r="L20811">
        <v>117</v>
      </c>
      <c r="M20811" t="s">
        <v>26415</v>
      </c>
      <c r="N20811" t="s">
        <v>30</v>
      </c>
      <c r="O20811" t="s">
        <v>31</v>
      </c>
      <c r="P20811" t="str">
        <f>"15210"</f>
        <v>15210</v>
      </c>
    </row>
    <row r="20812" spans="1:16" x14ac:dyDescent="0.25">
      <c r="A20812" t="str">
        <f>"1300014R00031    00"</f>
        <v>1300014R00031    00</v>
      </c>
      <c r="B20812" t="s">
        <v>45200</v>
      </c>
      <c r="C20812" t="s">
        <v>45201</v>
      </c>
      <c r="D20812" t="s">
        <v>20</v>
      </c>
      <c r="E20812" t="s">
        <v>39</v>
      </c>
      <c r="F20812">
        <v>0</v>
      </c>
      <c r="G20812">
        <v>0</v>
      </c>
      <c r="H20812">
        <v>1</v>
      </c>
      <c r="I20812" s="3">
        <v>1179.82</v>
      </c>
      <c r="J20812" s="3">
        <v>0</v>
      </c>
      <c r="K20812" t="s">
        <v>45202</v>
      </c>
      <c r="L20812">
        <v>120</v>
      </c>
      <c r="M20812" t="s">
        <v>25043</v>
      </c>
      <c r="N20812" t="s">
        <v>30</v>
      </c>
      <c r="O20812" t="s">
        <v>31</v>
      </c>
      <c r="P20812" t="str">
        <f>"15210"</f>
        <v>15210</v>
      </c>
    </row>
    <row r="20813" spans="1:16" x14ac:dyDescent="0.25">
      <c r="A20813" t="str">
        <f>"1300014R00039    00"</f>
        <v>1300014R00039    00</v>
      </c>
      <c r="B20813" t="s">
        <v>43233</v>
      </c>
      <c r="C20813" t="s">
        <v>45203</v>
      </c>
      <c r="E20813" t="s">
        <v>39</v>
      </c>
      <c r="F20813">
        <v>0</v>
      </c>
      <c r="G20813">
        <v>0</v>
      </c>
      <c r="H20813">
        <v>1</v>
      </c>
      <c r="I20813" s="3">
        <v>303.06</v>
      </c>
      <c r="J20813" s="3">
        <v>0</v>
      </c>
      <c r="K20813" t="s">
        <v>25097</v>
      </c>
      <c r="L20813">
        <v>500</v>
      </c>
      <c r="M20813" t="s">
        <v>25098</v>
      </c>
      <c r="N20813" t="s">
        <v>25099</v>
      </c>
      <c r="O20813" t="s">
        <v>1413</v>
      </c>
      <c r="P20813" t="str">
        <f>"27330"</f>
        <v>27330</v>
      </c>
    </row>
    <row r="20814" spans="1:16" x14ac:dyDescent="0.25">
      <c r="A20814" t="str">
        <f>"1300014R00042    00"</f>
        <v>1300014R00042    00</v>
      </c>
      <c r="B20814" t="s">
        <v>45075</v>
      </c>
      <c r="C20814" t="s">
        <v>45204</v>
      </c>
      <c r="D20814" t="s">
        <v>20</v>
      </c>
      <c r="E20814" t="s">
        <v>39</v>
      </c>
      <c r="F20814">
        <v>0</v>
      </c>
      <c r="G20814">
        <v>0</v>
      </c>
      <c r="H20814">
        <v>2</v>
      </c>
      <c r="I20814" s="3">
        <v>84.6</v>
      </c>
      <c r="J20814" s="3">
        <v>0</v>
      </c>
      <c r="L20814">
        <v>210</v>
      </c>
      <c r="M20814" t="s">
        <v>26415</v>
      </c>
      <c r="N20814" t="s">
        <v>30</v>
      </c>
      <c r="O20814" t="s">
        <v>31</v>
      </c>
      <c r="P20814" t="str">
        <f>"15210"</f>
        <v>15210</v>
      </c>
    </row>
    <row r="20815" spans="1:16" x14ac:dyDescent="0.25">
      <c r="A20815" t="str">
        <f>"1300014R00051    00"</f>
        <v>1300014R00051    00</v>
      </c>
      <c r="B20815" t="s">
        <v>45205</v>
      </c>
      <c r="C20815" t="s">
        <v>25847</v>
      </c>
      <c r="D20815" t="s">
        <v>20</v>
      </c>
      <c r="E20815" t="s">
        <v>39</v>
      </c>
      <c r="F20815">
        <v>0</v>
      </c>
      <c r="G20815">
        <v>0</v>
      </c>
      <c r="H20815">
        <v>19</v>
      </c>
      <c r="I20815" s="3">
        <v>2185.31</v>
      </c>
      <c r="J20815" s="3">
        <v>2142.0700000000002</v>
      </c>
      <c r="L20815">
        <v>265</v>
      </c>
      <c r="M20815" t="s">
        <v>45206</v>
      </c>
      <c r="N20815" t="s">
        <v>45207</v>
      </c>
      <c r="O20815" t="s">
        <v>370</v>
      </c>
      <c r="P20815" t="str">
        <f>"33441"</f>
        <v>33441</v>
      </c>
    </row>
    <row r="20816" spans="1:16" x14ac:dyDescent="0.25">
      <c r="A20816" t="str">
        <f>"1300014R00054    00"</f>
        <v>1300014R00054    00</v>
      </c>
      <c r="B20816" t="s">
        <v>45208</v>
      </c>
      <c r="C20816" t="s">
        <v>45209</v>
      </c>
      <c r="D20816" t="s">
        <v>20</v>
      </c>
      <c r="E20816" t="s">
        <v>39</v>
      </c>
      <c r="F20816">
        <v>0</v>
      </c>
      <c r="G20816">
        <v>0</v>
      </c>
      <c r="H20816">
        <v>4</v>
      </c>
      <c r="I20816" s="3">
        <v>1607.32</v>
      </c>
      <c r="J20816" s="3">
        <v>473.16</v>
      </c>
      <c r="L20816">
        <v>96</v>
      </c>
      <c r="M20816" t="s">
        <v>25848</v>
      </c>
      <c r="N20816" t="s">
        <v>30</v>
      </c>
      <c r="O20816" t="s">
        <v>31</v>
      </c>
      <c r="P20816" t="str">
        <f>"15210"</f>
        <v>15210</v>
      </c>
    </row>
    <row r="20817" spans="1:16" x14ac:dyDescent="0.25">
      <c r="A20817" t="str">
        <f>"1300014R00059    00"</f>
        <v>1300014R00059    00</v>
      </c>
      <c r="B20817" t="s">
        <v>45210</v>
      </c>
      <c r="C20817" t="s">
        <v>45211</v>
      </c>
      <c r="D20817" t="s">
        <v>20</v>
      </c>
      <c r="E20817" t="s">
        <v>39</v>
      </c>
      <c r="F20817">
        <v>0</v>
      </c>
      <c r="G20817">
        <v>0</v>
      </c>
      <c r="H20817">
        <v>9</v>
      </c>
      <c r="I20817" s="3">
        <v>4764.91</v>
      </c>
      <c r="J20817" s="3">
        <v>1647.24</v>
      </c>
      <c r="L20817">
        <v>1257</v>
      </c>
      <c r="M20817" t="s">
        <v>37123</v>
      </c>
      <c r="N20817" t="s">
        <v>30</v>
      </c>
      <c r="O20817" t="s">
        <v>31</v>
      </c>
      <c r="P20817" t="str">
        <f>"15216"</f>
        <v>15216</v>
      </c>
    </row>
    <row r="20818" spans="1:16" x14ac:dyDescent="0.25">
      <c r="A20818" t="str">
        <f>"1300014R00060    00"</f>
        <v>1300014R00060    00</v>
      </c>
      <c r="B20818" t="s">
        <v>45212</v>
      </c>
      <c r="C20818" t="s">
        <v>45213</v>
      </c>
      <c r="E20818" t="s">
        <v>39</v>
      </c>
      <c r="F20818">
        <v>0</v>
      </c>
      <c r="G20818">
        <v>0</v>
      </c>
      <c r="H20818">
        <v>1</v>
      </c>
      <c r="I20818" s="3">
        <v>185.89</v>
      </c>
      <c r="J20818" s="3">
        <v>0</v>
      </c>
      <c r="L20818">
        <v>136</v>
      </c>
      <c r="M20818" t="s">
        <v>26415</v>
      </c>
      <c r="N20818" t="s">
        <v>30</v>
      </c>
      <c r="O20818" t="s">
        <v>31</v>
      </c>
      <c r="P20818" t="str">
        <f>"15210"</f>
        <v>15210</v>
      </c>
    </row>
    <row r="20819" spans="1:16" x14ac:dyDescent="0.25">
      <c r="A20819" t="str">
        <f>"1300014R00062    00"</f>
        <v>1300014R00062    00</v>
      </c>
      <c r="B20819" t="s">
        <v>45214</v>
      </c>
      <c r="C20819" t="s">
        <v>45215</v>
      </c>
      <c r="D20819" t="s">
        <v>20</v>
      </c>
      <c r="E20819" t="s">
        <v>39</v>
      </c>
      <c r="F20819">
        <v>0</v>
      </c>
      <c r="G20819">
        <v>0</v>
      </c>
      <c r="H20819">
        <v>16</v>
      </c>
      <c r="I20819" s="3">
        <v>5203.2700000000004</v>
      </c>
      <c r="J20819" s="3">
        <v>3837.77</v>
      </c>
      <c r="L20819">
        <v>132</v>
      </c>
      <c r="M20819" t="s">
        <v>26415</v>
      </c>
      <c r="N20819" t="s">
        <v>30</v>
      </c>
      <c r="O20819" t="s">
        <v>31</v>
      </c>
      <c r="P20819" t="str">
        <f>"15210"</f>
        <v>15210</v>
      </c>
    </row>
    <row r="20820" spans="1:16" x14ac:dyDescent="0.25">
      <c r="A20820" t="str">
        <f>"1300014R00063    00"</f>
        <v>1300014R00063    00</v>
      </c>
      <c r="B20820" t="s">
        <v>45214</v>
      </c>
      <c r="C20820" t="s">
        <v>45215</v>
      </c>
      <c r="D20820" t="s">
        <v>20</v>
      </c>
      <c r="E20820" t="s">
        <v>39</v>
      </c>
      <c r="F20820">
        <v>0</v>
      </c>
      <c r="G20820">
        <v>0</v>
      </c>
      <c r="H20820">
        <v>17</v>
      </c>
      <c r="I20820" s="3">
        <v>5670.54</v>
      </c>
      <c r="J20820" s="3">
        <v>4492.57</v>
      </c>
      <c r="L20820">
        <v>132</v>
      </c>
      <c r="M20820" t="s">
        <v>26415</v>
      </c>
      <c r="N20820" t="s">
        <v>30</v>
      </c>
      <c r="O20820" t="s">
        <v>31</v>
      </c>
      <c r="P20820" t="str">
        <f>"15210"</f>
        <v>15210</v>
      </c>
    </row>
    <row r="20821" spans="1:16" x14ac:dyDescent="0.25">
      <c r="A20821" t="str">
        <f>"1300014R00064    00"</f>
        <v>1300014R00064    00</v>
      </c>
      <c r="B20821" t="s">
        <v>45216</v>
      </c>
      <c r="C20821" t="s">
        <v>45217</v>
      </c>
      <c r="D20821" t="s">
        <v>20</v>
      </c>
      <c r="E20821" t="s">
        <v>39</v>
      </c>
      <c r="F20821">
        <v>0</v>
      </c>
      <c r="G20821">
        <v>0</v>
      </c>
      <c r="H20821">
        <v>16</v>
      </c>
      <c r="I20821" s="3">
        <v>5091.22</v>
      </c>
      <c r="J20821" s="3">
        <v>3783.17</v>
      </c>
      <c r="L20821">
        <v>2511</v>
      </c>
      <c r="M20821" t="s">
        <v>22611</v>
      </c>
      <c r="N20821" t="s">
        <v>30</v>
      </c>
      <c r="O20821" t="s">
        <v>31</v>
      </c>
      <c r="P20821" t="str">
        <f>"15203"</f>
        <v>15203</v>
      </c>
    </row>
    <row r="20822" spans="1:16" x14ac:dyDescent="0.25">
      <c r="A20822" t="str">
        <f>"1300014R00065    00"</f>
        <v>1300014R00065    00</v>
      </c>
      <c r="B20822" t="s">
        <v>45218</v>
      </c>
      <c r="C20822" t="s">
        <v>45217</v>
      </c>
      <c r="D20822" t="s">
        <v>20</v>
      </c>
      <c r="E20822" t="s">
        <v>39</v>
      </c>
      <c r="F20822">
        <v>0</v>
      </c>
      <c r="G20822">
        <v>0</v>
      </c>
      <c r="H20822">
        <v>4</v>
      </c>
      <c r="I20822" s="3">
        <v>24.33</v>
      </c>
      <c r="J20822" s="3">
        <v>2.98</v>
      </c>
      <c r="L20822">
        <v>130</v>
      </c>
      <c r="M20822" t="s">
        <v>26415</v>
      </c>
      <c r="N20822" t="s">
        <v>30</v>
      </c>
      <c r="O20822" t="s">
        <v>31</v>
      </c>
      <c r="P20822" t="str">
        <f>"15210"</f>
        <v>15210</v>
      </c>
    </row>
    <row r="20823" spans="1:16" x14ac:dyDescent="0.25">
      <c r="A20823" t="str">
        <f>"1300014R00067    00"</f>
        <v>1300014R00067    00</v>
      </c>
      <c r="B20823" t="s">
        <v>45193</v>
      </c>
      <c r="C20823" t="s">
        <v>44985</v>
      </c>
      <c r="D20823" t="s">
        <v>20</v>
      </c>
      <c r="E20823" t="s">
        <v>39</v>
      </c>
      <c r="F20823">
        <v>0</v>
      </c>
      <c r="G20823">
        <v>0</v>
      </c>
      <c r="H20823">
        <v>17</v>
      </c>
      <c r="I20823" s="3">
        <v>3276.65</v>
      </c>
      <c r="J20823" s="3">
        <v>4744.97</v>
      </c>
      <c r="L20823">
        <v>1500</v>
      </c>
      <c r="M20823" t="s">
        <v>45194</v>
      </c>
      <c r="N20823" t="s">
        <v>30</v>
      </c>
      <c r="O20823" t="s">
        <v>31</v>
      </c>
      <c r="P20823" t="str">
        <f>"15216"</f>
        <v>15216</v>
      </c>
    </row>
    <row r="20824" spans="1:16" x14ac:dyDescent="0.25">
      <c r="A20824" t="str">
        <f>"1300014R00069    00"</f>
        <v>1300014R00069    00</v>
      </c>
      <c r="B20824" t="s">
        <v>45219</v>
      </c>
      <c r="C20824" t="s">
        <v>45220</v>
      </c>
      <c r="D20824" t="s">
        <v>20</v>
      </c>
      <c r="E20824" t="s">
        <v>39</v>
      </c>
      <c r="F20824">
        <v>0</v>
      </c>
      <c r="G20824">
        <v>0</v>
      </c>
      <c r="H20824">
        <v>7</v>
      </c>
      <c r="I20824" s="3">
        <v>2631.85</v>
      </c>
      <c r="J20824" s="3">
        <v>870.57</v>
      </c>
      <c r="L20824">
        <v>124</v>
      </c>
      <c r="M20824" t="s">
        <v>26415</v>
      </c>
      <c r="N20824" t="s">
        <v>30</v>
      </c>
      <c r="O20824" t="s">
        <v>31</v>
      </c>
      <c r="P20824" t="str">
        <f>"15210"</f>
        <v>15210</v>
      </c>
    </row>
    <row r="20825" spans="1:16" x14ac:dyDescent="0.25">
      <c r="A20825" t="str">
        <f>"1300014R00072    00"</f>
        <v>1300014R00072    00</v>
      </c>
      <c r="B20825" t="s">
        <v>45221</v>
      </c>
      <c r="C20825" t="s">
        <v>45222</v>
      </c>
      <c r="D20825" t="s">
        <v>20</v>
      </c>
      <c r="E20825" t="s">
        <v>39</v>
      </c>
      <c r="F20825">
        <v>0</v>
      </c>
      <c r="G20825">
        <v>0</v>
      </c>
      <c r="H20825">
        <v>2</v>
      </c>
      <c r="I20825" s="3">
        <v>1330.4</v>
      </c>
      <c r="J20825" s="3">
        <v>0</v>
      </c>
      <c r="K20825" t="s">
        <v>45223</v>
      </c>
      <c r="L20825">
        <v>106</v>
      </c>
      <c r="M20825" t="s">
        <v>12198</v>
      </c>
      <c r="N20825" t="s">
        <v>30</v>
      </c>
      <c r="O20825" t="s">
        <v>31</v>
      </c>
      <c r="P20825" t="str">
        <f>"15210"</f>
        <v>15210</v>
      </c>
    </row>
    <row r="20826" spans="1:16" x14ac:dyDescent="0.25">
      <c r="A20826" t="str">
        <f>"1300014R00078    00"</f>
        <v>1300014R00078    00</v>
      </c>
      <c r="B20826" t="s">
        <v>45224</v>
      </c>
      <c r="C20826" t="s">
        <v>45225</v>
      </c>
      <c r="D20826" t="s">
        <v>20</v>
      </c>
      <c r="E20826" t="s">
        <v>21</v>
      </c>
      <c r="F20826">
        <v>0</v>
      </c>
      <c r="G20826">
        <v>0</v>
      </c>
      <c r="H20826">
        <v>19</v>
      </c>
      <c r="I20826" s="3">
        <v>23776.23</v>
      </c>
      <c r="J20826" s="3">
        <v>23152.28</v>
      </c>
      <c r="P20826" t="str">
        <f>""</f>
        <v/>
      </c>
    </row>
    <row r="20827" spans="1:16" x14ac:dyDescent="0.25">
      <c r="A20827" t="str">
        <f>"1300014R00079    00"</f>
        <v>1300014R00079    00</v>
      </c>
      <c r="B20827" t="s">
        <v>45226</v>
      </c>
      <c r="C20827" t="s">
        <v>45227</v>
      </c>
      <c r="D20827" t="s">
        <v>20</v>
      </c>
      <c r="E20827" t="s">
        <v>39</v>
      </c>
      <c r="F20827">
        <v>0</v>
      </c>
      <c r="G20827">
        <v>0</v>
      </c>
      <c r="H20827">
        <v>13</v>
      </c>
      <c r="I20827" s="3">
        <v>6935.72</v>
      </c>
      <c r="J20827" s="3">
        <v>7310.11</v>
      </c>
      <c r="L20827">
        <v>3494</v>
      </c>
      <c r="M20827" t="s">
        <v>45228</v>
      </c>
      <c r="N20827" t="s">
        <v>45229</v>
      </c>
      <c r="O20827" t="s">
        <v>31</v>
      </c>
      <c r="P20827" t="str">
        <f>"16656"</f>
        <v>16656</v>
      </c>
    </row>
    <row r="20828" spans="1:16" x14ac:dyDescent="0.25">
      <c r="A20828" t="str">
        <f>"1300014R00093    00"</f>
        <v>1300014R00093    00</v>
      </c>
      <c r="B20828" t="s">
        <v>45230</v>
      </c>
      <c r="C20828" t="s">
        <v>45000</v>
      </c>
      <c r="D20828" t="s">
        <v>20</v>
      </c>
      <c r="E20828" t="s">
        <v>39</v>
      </c>
      <c r="F20828">
        <v>0</v>
      </c>
      <c r="G20828">
        <v>0</v>
      </c>
      <c r="H20828">
        <v>18</v>
      </c>
      <c r="I20828" s="3">
        <v>4443.7299999999996</v>
      </c>
      <c r="J20828" s="3">
        <v>5872.2</v>
      </c>
      <c r="L20828">
        <v>2211</v>
      </c>
      <c r="M20828" t="s">
        <v>2515</v>
      </c>
      <c r="N20828" t="s">
        <v>30</v>
      </c>
      <c r="O20828" t="s">
        <v>31</v>
      </c>
      <c r="P20828" t="str">
        <f>"15218"</f>
        <v>15218</v>
      </c>
    </row>
    <row r="20829" spans="1:16" x14ac:dyDescent="0.25">
      <c r="A20829" t="str">
        <f>"1300014R00099    00"</f>
        <v>1300014R00099    00</v>
      </c>
      <c r="B20829" t="s">
        <v>45231</v>
      </c>
      <c r="C20829" t="s">
        <v>45000</v>
      </c>
      <c r="D20829" t="s">
        <v>20</v>
      </c>
      <c r="E20829" t="s">
        <v>39</v>
      </c>
      <c r="F20829">
        <v>0</v>
      </c>
      <c r="G20829">
        <v>0</v>
      </c>
      <c r="H20829">
        <v>13</v>
      </c>
      <c r="I20829" s="3">
        <v>2104.88</v>
      </c>
      <c r="J20829" s="3">
        <v>1925.14</v>
      </c>
      <c r="L20829">
        <v>2335</v>
      </c>
      <c r="M20829" t="s">
        <v>22614</v>
      </c>
      <c r="N20829" t="s">
        <v>30</v>
      </c>
      <c r="O20829" t="s">
        <v>31</v>
      </c>
      <c r="P20829" t="str">
        <f>"15203"</f>
        <v>15203</v>
      </c>
    </row>
    <row r="20830" spans="1:16" x14ac:dyDescent="0.25">
      <c r="A20830" t="str">
        <f>"1300014R00100    00"</f>
        <v>1300014R00100    00</v>
      </c>
      <c r="B20830" t="s">
        <v>12867</v>
      </c>
      <c r="C20830" t="s">
        <v>45000</v>
      </c>
      <c r="D20830" t="s">
        <v>20</v>
      </c>
      <c r="E20830" t="s">
        <v>39</v>
      </c>
      <c r="F20830">
        <v>0</v>
      </c>
      <c r="G20830">
        <v>0</v>
      </c>
      <c r="H20830">
        <v>17</v>
      </c>
      <c r="I20830" s="3">
        <v>435.31</v>
      </c>
      <c r="J20830" s="3">
        <v>345.73</v>
      </c>
      <c r="K20830" t="s">
        <v>12868</v>
      </c>
      <c r="M20830" t="s">
        <v>13913</v>
      </c>
      <c r="P20830" t="str">
        <f>""</f>
        <v/>
      </c>
    </row>
    <row r="20831" spans="1:16" x14ac:dyDescent="0.25">
      <c r="A20831" t="str">
        <f>"1300014R00101    00"</f>
        <v>1300014R00101    00</v>
      </c>
      <c r="B20831" t="s">
        <v>45232</v>
      </c>
      <c r="C20831" t="s">
        <v>45233</v>
      </c>
      <c r="D20831" t="s">
        <v>20</v>
      </c>
      <c r="E20831" t="s">
        <v>39</v>
      </c>
      <c r="F20831">
        <v>0</v>
      </c>
      <c r="G20831">
        <v>0</v>
      </c>
      <c r="H20831">
        <v>9</v>
      </c>
      <c r="I20831" s="3">
        <v>4947.5600000000004</v>
      </c>
      <c r="J20831" s="3">
        <v>1694.19</v>
      </c>
      <c r="L20831">
        <v>133</v>
      </c>
      <c r="M20831" t="s">
        <v>16328</v>
      </c>
      <c r="N20831" t="s">
        <v>30</v>
      </c>
      <c r="O20831" t="s">
        <v>31</v>
      </c>
      <c r="P20831" t="str">
        <f>"15210"</f>
        <v>15210</v>
      </c>
    </row>
    <row r="20832" spans="1:16" x14ac:dyDescent="0.25">
      <c r="A20832" t="str">
        <f>"1300014R00104    00"</f>
        <v>1300014R00104    00</v>
      </c>
      <c r="B20832" t="s">
        <v>4098</v>
      </c>
      <c r="C20832" t="s">
        <v>45234</v>
      </c>
      <c r="D20832" t="s">
        <v>20</v>
      </c>
      <c r="E20832" t="s">
        <v>39</v>
      </c>
      <c r="F20832">
        <v>0</v>
      </c>
      <c r="G20832">
        <v>0</v>
      </c>
      <c r="H20832">
        <v>1</v>
      </c>
      <c r="I20832" s="3">
        <v>400.26</v>
      </c>
      <c r="J20832" s="3">
        <v>0</v>
      </c>
      <c r="K20832" t="s">
        <v>45235</v>
      </c>
      <c r="L20832">
        <v>250</v>
      </c>
      <c r="M20832" t="s">
        <v>45236</v>
      </c>
      <c r="N20832" t="s">
        <v>826</v>
      </c>
      <c r="O20832" t="s">
        <v>31</v>
      </c>
      <c r="P20832" t="str">
        <f>"15601"</f>
        <v>15601</v>
      </c>
    </row>
    <row r="20833" spans="1:16" x14ac:dyDescent="0.25">
      <c r="A20833" t="str">
        <f>"1300014R00105    00"</f>
        <v>1300014R00105    00</v>
      </c>
      <c r="B20833" t="s">
        <v>45237</v>
      </c>
      <c r="C20833" t="s">
        <v>45238</v>
      </c>
      <c r="D20833" t="s">
        <v>20</v>
      </c>
      <c r="E20833" t="s">
        <v>39</v>
      </c>
      <c r="F20833">
        <v>0</v>
      </c>
      <c r="G20833">
        <v>0</v>
      </c>
      <c r="H20833">
        <v>1</v>
      </c>
      <c r="I20833" s="3">
        <v>93.4</v>
      </c>
      <c r="J20833" s="3">
        <v>0</v>
      </c>
      <c r="K20833" t="s">
        <v>45239</v>
      </c>
      <c r="L20833">
        <v>141</v>
      </c>
      <c r="M20833" t="s">
        <v>16328</v>
      </c>
      <c r="N20833" t="s">
        <v>30</v>
      </c>
      <c r="O20833" t="s">
        <v>31</v>
      </c>
      <c r="P20833" t="str">
        <f>"15210"</f>
        <v>15210</v>
      </c>
    </row>
    <row r="20834" spans="1:16" x14ac:dyDescent="0.25">
      <c r="A20834" t="str">
        <f>"1300014R00108    00"</f>
        <v>1300014R00108    00</v>
      </c>
      <c r="B20834" t="s">
        <v>41660</v>
      </c>
      <c r="C20834" t="s">
        <v>45240</v>
      </c>
      <c r="D20834" t="s">
        <v>20</v>
      </c>
      <c r="E20834" t="s">
        <v>39</v>
      </c>
      <c r="F20834">
        <v>0</v>
      </c>
      <c r="G20834">
        <v>0</v>
      </c>
      <c r="H20834">
        <v>17</v>
      </c>
      <c r="I20834" s="3">
        <v>6938.87</v>
      </c>
      <c r="J20834" s="3">
        <v>5349.29</v>
      </c>
      <c r="L20834">
        <v>12302</v>
      </c>
      <c r="M20834" t="s">
        <v>40555</v>
      </c>
      <c r="N20834" t="s">
        <v>40556</v>
      </c>
      <c r="O20834" t="s">
        <v>692</v>
      </c>
      <c r="P20834" t="str">
        <f>"20136"</f>
        <v>20136</v>
      </c>
    </row>
    <row r="20835" spans="1:16" x14ac:dyDescent="0.25">
      <c r="A20835" t="str">
        <f>"1300014R00121    00"</f>
        <v>1300014R00121    00</v>
      </c>
      <c r="B20835" t="s">
        <v>33010</v>
      </c>
      <c r="C20835" t="s">
        <v>45241</v>
      </c>
      <c r="D20835" t="s">
        <v>20</v>
      </c>
      <c r="E20835" t="s">
        <v>21</v>
      </c>
      <c r="F20835">
        <v>0</v>
      </c>
      <c r="G20835">
        <v>0</v>
      </c>
      <c r="H20835">
        <v>5</v>
      </c>
      <c r="I20835" s="3">
        <v>44434.18</v>
      </c>
      <c r="J20835" s="3">
        <v>7676.63</v>
      </c>
      <c r="K20835" t="s">
        <v>33012</v>
      </c>
      <c r="M20835" t="s">
        <v>33013</v>
      </c>
      <c r="N20835" t="s">
        <v>30</v>
      </c>
      <c r="O20835" t="s">
        <v>31</v>
      </c>
      <c r="P20835" t="str">
        <f>"15205"</f>
        <v>15205</v>
      </c>
    </row>
    <row r="20836" spans="1:16" x14ac:dyDescent="0.25">
      <c r="A20836" t="str">
        <f>"1300014R00128    00"</f>
        <v>1300014R00128    00</v>
      </c>
      <c r="B20836" t="s">
        <v>33010</v>
      </c>
      <c r="C20836" t="s">
        <v>45241</v>
      </c>
      <c r="D20836" t="s">
        <v>20</v>
      </c>
      <c r="E20836" t="s">
        <v>21</v>
      </c>
      <c r="F20836">
        <v>0</v>
      </c>
      <c r="G20836">
        <v>0</v>
      </c>
      <c r="H20836">
        <v>6</v>
      </c>
      <c r="I20836" s="3">
        <v>7224.17</v>
      </c>
      <c r="J20836" s="3">
        <v>1620.25</v>
      </c>
      <c r="K20836" t="s">
        <v>33012</v>
      </c>
      <c r="M20836" t="s">
        <v>33013</v>
      </c>
      <c r="N20836" t="s">
        <v>30</v>
      </c>
      <c r="O20836" t="s">
        <v>31</v>
      </c>
      <c r="P20836" t="str">
        <f>"15205"</f>
        <v>15205</v>
      </c>
    </row>
    <row r="20837" spans="1:16" x14ac:dyDescent="0.25">
      <c r="A20837" t="str">
        <f>"1300014R00135    00"</f>
        <v>1300014R00135    00</v>
      </c>
      <c r="B20837" t="s">
        <v>45242</v>
      </c>
      <c r="C20837" t="s">
        <v>25847</v>
      </c>
      <c r="D20837" t="s">
        <v>20</v>
      </c>
      <c r="E20837" t="s">
        <v>39</v>
      </c>
      <c r="F20837">
        <v>0</v>
      </c>
      <c r="G20837">
        <v>0</v>
      </c>
      <c r="H20837">
        <v>18</v>
      </c>
      <c r="I20837" s="3">
        <v>2596.65</v>
      </c>
      <c r="J20837" s="3">
        <v>3010.27</v>
      </c>
      <c r="M20837" t="s">
        <v>45243</v>
      </c>
      <c r="N20837" t="s">
        <v>625</v>
      </c>
      <c r="O20837" t="s">
        <v>31</v>
      </c>
      <c r="P20837" t="str">
        <f>"15108"</f>
        <v>15108</v>
      </c>
    </row>
    <row r="20838" spans="1:16" x14ac:dyDescent="0.25">
      <c r="A20838" t="str">
        <f>"1300014R00136    00"</f>
        <v>1300014R00136    00</v>
      </c>
      <c r="B20838" t="s">
        <v>45244</v>
      </c>
      <c r="C20838" t="s">
        <v>25847</v>
      </c>
      <c r="D20838" t="s">
        <v>20</v>
      </c>
      <c r="E20838" t="s">
        <v>39</v>
      </c>
      <c r="F20838">
        <v>0</v>
      </c>
      <c r="G20838">
        <v>0</v>
      </c>
      <c r="H20838">
        <v>19</v>
      </c>
      <c r="I20838" s="3">
        <v>628.39</v>
      </c>
      <c r="J20838" s="3">
        <v>444.61</v>
      </c>
      <c r="K20838" t="s">
        <v>1008</v>
      </c>
      <c r="P20838" t="str">
        <f>""</f>
        <v/>
      </c>
    </row>
    <row r="20839" spans="1:16" x14ac:dyDescent="0.25">
      <c r="A20839" t="str">
        <f>"1300014R00137    00"</f>
        <v>1300014R00137    00</v>
      </c>
      <c r="B20839" t="s">
        <v>45245</v>
      </c>
      <c r="C20839" t="s">
        <v>25847</v>
      </c>
      <c r="D20839" t="s">
        <v>20</v>
      </c>
      <c r="E20839" t="s">
        <v>39</v>
      </c>
      <c r="F20839">
        <v>0</v>
      </c>
      <c r="G20839">
        <v>0</v>
      </c>
      <c r="H20839">
        <v>17</v>
      </c>
      <c r="I20839" s="3">
        <v>319.83999999999997</v>
      </c>
      <c r="J20839" s="3">
        <v>395.28</v>
      </c>
      <c r="M20839" t="s">
        <v>45243</v>
      </c>
      <c r="N20839" t="s">
        <v>625</v>
      </c>
      <c r="O20839" t="s">
        <v>31</v>
      </c>
      <c r="P20839" t="str">
        <f>"15108"</f>
        <v>15108</v>
      </c>
    </row>
    <row r="20840" spans="1:16" x14ac:dyDescent="0.25">
      <c r="A20840" t="str">
        <f>"1300014R00138    00"</f>
        <v>1300014R00138    00</v>
      </c>
      <c r="B20840" t="s">
        <v>45246</v>
      </c>
      <c r="C20840" t="s">
        <v>45247</v>
      </c>
      <c r="D20840" t="s">
        <v>20</v>
      </c>
      <c r="E20840" t="s">
        <v>39</v>
      </c>
      <c r="F20840">
        <v>0</v>
      </c>
      <c r="G20840">
        <v>0</v>
      </c>
      <c r="H20840">
        <v>15</v>
      </c>
      <c r="I20840" s="3">
        <v>3973.88</v>
      </c>
      <c r="J20840" s="3">
        <v>2428.6999999999998</v>
      </c>
      <c r="M20840" t="s">
        <v>45248</v>
      </c>
      <c r="N20840" t="s">
        <v>30</v>
      </c>
      <c r="O20840" t="s">
        <v>31</v>
      </c>
      <c r="P20840" t="str">
        <f>"15210"</f>
        <v>15210</v>
      </c>
    </row>
    <row r="20841" spans="1:16" x14ac:dyDescent="0.25">
      <c r="A20841" t="str">
        <f>"1300014R00139    00"</f>
        <v>1300014R00139    00</v>
      </c>
      <c r="B20841" t="s">
        <v>45246</v>
      </c>
      <c r="C20841" t="s">
        <v>45249</v>
      </c>
      <c r="D20841" t="s">
        <v>20</v>
      </c>
      <c r="E20841" t="s">
        <v>39</v>
      </c>
      <c r="F20841">
        <v>0</v>
      </c>
      <c r="G20841">
        <v>0</v>
      </c>
      <c r="H20841">
        <v>13</v>
      </c>
      <c r="I20841" s="3">
        <v>3299.35</v>
      </c>
      <c r="J20841" s="3">
        <v>1752.06</v>
      </c>
      <c r="M20841" t="s">
        <v>45250</v>
      </c>
      <c r="N20841" t="s">
        <v>30</v>
      </c>
      <c r="O20841" t="s">
        <v>31</v>
      </c>
      <c r="P20841" t="str">
        <f>"15210"</f>
        <v>15210</v>
      </c>
    </row>
    <row r="20842" spans="1:16" x14ac:dyDescent="0.25">
      <c r="A20842" t="str">
        <f>"1300014R00141    00"</f>
        <v>1300014R00141    00</v>
      </c>
      <c r="B20842" t="s">
        <v>45251</v>
      </c>
      <c r="C20842" t="s">
        <v>25847</v>
      </c>
      <c r="D20842" t="s">
        <v>20</v>
      </c>
      <c r="E20842" t="s">
        <v>39</v>
      </c>
      <c r="F20842">
        <v>0</v>
      </c>
      <c r="G20842">
        <v>0</v>
      </c>
      <c r="H20842">
        <v>17</v>
      </c>
      <c r="I20842" s="3">
        <v>152.36000000000001</v>
      </c>
      <c r="J20842" s="3">
        <v>159.4</v>
      </c>
      <c r="L20842">
        <v>122</v>
      </c>
      <c r="M20842" t="s">
        <v>25848</v>
      </c>
      <c r="N20842" t="s">
        <v>30</v>
      </c>
      <c r="O20842" t="s">
        <v>31</v>
      </c>
      <c r="P20842" t="str">
        <f>"15210"</f>
        <v>15210</v>
      </c>
    </row>
    <row r="20843" spans="1:16" x14ac:dyDescent="0.25">
      <c r="A20843" t="str">
        <f>"1300014R00143    00"</f>
        <v>1300014R00143    00</v>
      </c>
      <c r="B20843" t="s">
        <v>45252</v>
      </c>
      <c r="C20843" t="s">
        <v>25847</v>
      </c>
      <c r="D20843" t="s">
        <v>20</v>
      </c>
      <c r="E20843" t="s">
        <v>39</v>
      </c>
      <c r="F20843">
        <v>0</v>
      </c>
      <c r="G20843">
        <v>0</v>
      </c>
      <c r="H20843">
        <v>17</v>
      </c>
      <c r="I20843" s="3">
        <v>196.54</v>
      </c>
      <c r="J20843" s="3">
        <v>217.52</v>
      </c>
      <c r="K20843" t="s">
        <v>1037</v>
      </c>
      <c r="L20843">
        <v>14</v>
      </c>
      <c r="M20843" t="s">
        <v>29721</v>
      </c>
      <c r="N20843" t="s">
        <v>30</v>
      </c>
      <c r="O20843" t="s">
        <v>31</v>
      </c>
      <c r="P20843" t="str">
        <f>"15216"</f>
        <v>15216</v>
      </c>
    </row>
    <row r="20844" spans="1:16" x14ac:dyDescent="0.25">
      <c r="A20844" t="str">
        <f>"1300014R00145    00"</f>
        <v>1300014R00145    00</v>
      </c>
      <c r="B20844" t="s">
        <v>45253</v>
      </c>
      <c r="C20844" t="s">
        <v>45254</v>
      </c>
      <c r="D20844" t="s">
        <v>20</v>
      </c>
      <c r="E20844" t="s">
        <v>39</v>
      </c>
      <c r="F20844">
        <v>0</v>
      </c>
      <c r="G20844">
        <v>0</v>
      </c>
      <c r="H20844">
        <v>2</v>
      </c>
      <c r="I20844" s="3">
        <v>2115.6799999999998</v>
      </c>
      <c r="J20844" s="3">
        <v>0</v>
      </c>
      <c r="M20844" t="s">
        <v>45255</v>
      </c>
      <c r="N20844" t="s">
        <v>30</v>
      </c>
      <c r="O20844" t="s">
        <v>31</v>
      </c>
      <c r="P20844" t="str">
        <f>"15227"</f>
        <v>15227</v>
      </c>
    </row>
    <row r="20845" spans="1:16" x14ac:dyDescent="0.25">
      <c r="A20845" t="str">
        <f>"1300014R00147    00"</f>
        <v>1300014R00147    00</v>
      </c>
      <c r="B20845" t="s">
        <v>45256</v>
      </c>
      <c r="C20845" t="s">
        <v>45257</v>
      </c>
      <c r="D20845" t="s">
        <v>20</v>
      </c>
      <c r="E20845" t="s">
        <v>39</v>
      </c>
      <c r="F20845">
        <v>0</v>
      </c>
      <c r="G20845">
        <v>0</v>
      </c>
      <c r="H20845">
        <v>14</v>
      </c>
      <c r="I20845" s="3">
        <v>7365.59</v>
      </c>
      <c r="J20845" s="3">
        <v>4565.87</v>
      </c>
      <c r="L20845">
        <v>503</v>
      </c>
      <c r="M20845" t="s">
        <v>45258</v>
      </c>
      <c r="N20845" t="s">
        <v>3934</v>
      </c>
      <c r="O20845" t="s">
        <v>31</v>
      </c>
      <c r="P20845" t="str">
        <f>"15102"</f>
        <v>15102</v>
      </c>
    </row>
    <row r="20846" spans="1:16" x14ac:dyDescent="0.25">
      <c r="A20846" t="str">
        <f>"1300014R00148    00"</f>
        <v>1300014R00148    00</v>
      </c>
      <c r="B20846" t="s">
        <v>25853</v>
      </c>
      <c r="C20846" t="s">
        <v>45259</v>
      </c>
      <c r="D20846" t="s">
        <v>20</v>
      </c>
      <c r="E20846" t="s">
        <v>39</v>
      </c>
      <c r="F20846">
        <v>0</v>
      </c>
      <c r="G20846">
        <v>0</v>
      </c>
      <c r="H20846">
        <v>3</v>
      </c>
      <c r="I20846" s="3">
        <v>600.41999999999996</v>
      </c>
      <c r="J20846" s="3">
        <v>40.04</v>
      </c>
      <c r="K20846" t="s">
        <v>25855</v>
      </c>
      <c r="L20846">
        <v>1420</v>
      </c>
      <c r="M20846" t="s">
        <v>14151</v>
      </c>
      <c r="N20846" t="s">
        <v>30</v>
      </c>
      <c r="O20846" t="s">
        <v>31</v>
      </c>
      <c r="P20846" t="str">
        <f>"15212"</f>
        <v>15212</v>
      </c>
    </row>
    <row r="20847" spans="1:16" x14ac:dyDescent="0.25">
      <c r="A20847" t="str">
        <f>"1300014R00161    00"</f>
        <v>1300014R00161    00</v>
      </c>
      <c r="B20847" t="s">
        <v>45260</v>
      </c>
      <c r="C20847" t="s">
        <v>45261</v>
      </c>
      <c r="D20847" t="s">
        <v>20</v>
      </c>
      <c r="E20847" t="s">
        <v>39</v>
      </c>
      <c r="F20847">
        <v>0</v>
      </c>
      <c r="G20847">
        <v>0</v>
      </c>
      <c r="H20847">
        <v>1</v>
      </c>
      <c r="I20847" s="3">
        <v>15.38</v>
      </c>
      <c r="J20847" s="3">
        <v>0</v>
      </c>
      <c r="L20847">
        <v>122</v>
      </c>
      <c r="M20847" t="s">
        <v>16328</v>
      </c>
      <c r="N20847" t="s">
        <v>30</v>
      </c>
      <c r="O20847" t="s">
        <v>31</v>
      </c>
      <c r="P20847" t="str">
        <f>"15210"</f>
        <v>15210</v>
      </c>
    </row>
    <row r="20848" spans="1:16" x14ac:dyDescent="0.25">
      <c r="A20848" t="str">
        <f>"1300014R00165    00"</f>
        <v>1300014R00165    00</v>
      </c>
      <c r="B20848" t="s">
        <v>45262</v>
      </c>
      <c r="C20848" t="s">
        <v>45263</v>
      </c>
      <c r="D20848" t="s">
        <v>20</v>
      </c>
      <c r="E20848" t="s">
        <v>39</v>
      </c>
      <c r="F20848">
        <v>0</v>
      </c>
      <c r="G20848">
        <v>0</v>
      </c>
      <c r="H20848">
        <v>19</v>
      </c>
      <c r="I20848" s="3">
        <v>10287.01</v>
      </c>
      <c r="J20848" s="3">
        <v>9396.5300000000007</v>
      </c>
      <c r="L20848">
        <v>112</v>
      </c>
      <c r="M20848" t="s">
        <v>16328</v>
      </c>
      <c r="N20848" t="s">
        <v>30</v>
      </c>
      <c r="O20848" t="s">
        <v>31</v>
      </c>
      <c r="P20848" t="str">
        <f>"15210"</f>
        <v>15210</v>
      </c>
    </row>
    <row r="20849" spans="1:16" x14ac:dyDescent="0.25">
      <c r="A20849" t="str">
        <f>"1300014R00166    00"</f>
        <v>1300014R00166    00</v>
      </c>
      <c r="B20849" t="s">
        <v>45264</v>
      </c>
      <c r="C20849" t="s">
        <v>45265</v>
      </c>
      <c r="D20849" t="s">
        <v>20</v>
      </c>
      <c r="E20849" t="s">
        <v>39</v>
      </c>
      <c r="F20849">
        <v>0</v>
      </c>
      <c r="G20849">
        <v>0</v>
      </c>
      <c r="H20849">
        <v>3</v>
      </c>
      <c r="I20849" s="3">
        <v>196.99</v>
      </c>
      <c r="J20849" s="3">
        <v>0.76</v>
      </c>
      <c r="K20849" t="s">
        <v>45266</v>
      </c>
      <c r="L20849">
        <v>91</v>
      </c>
      <c r="M20849" t="s">
        <v>27076</v>
      </c>
      <c r="N20849" t="s">
        <v>30</v>
      </c>
      <c r="O20849" t="s">
        <v>31</v>
      </c>
      <c r="P20849" t="str">
        <f>"15210"</f>
        <v>15210</v>
      </c>
    </row>
    <row r="20850" spans="1:16" x14ac:dyDescent="0.25">
      <c r="A20850" t="str">
        <f>"1300014R00172    00"</f>
        <v>1300014R00172    00</v>
      </c>
      <c r="B20850" t="s">
        <v>25746</v>
      </c>
      <c r="C20850" t="s">
        <v>45267</v>
      </c>
      <c r="D20850" t="s">
        <v>20</v>
      </c>
      <c r="E20850" t="s">
        <v>21</v>
      </c>
      <c r="F20850">
        <v>0</v>
      </c>
      <c r="G20850">
        <v>0</v>
      </c>
      <c r="H20850">
        <v>15</v>
      </c>
      <c r="I20850" s="3">
        <v>19090.11</v>
      </c>
      <c r="J20850" s="3">
        <v>11936.25</v>
      </c>
      <c r="L20850">
        <v>415</v>
      </c>
      <c r="M20850" t="s">
        <v>23376</v>
      </c>
      <c r="N20850" t="s">
        <v>30</v>
      </c>
      <c r="O20850" t="s">
        <v>31</v>
      </c>
      <c r="P20850" t="str">
        <f>"15210"</f>
        <v>15210</v>
      </c>
    </row>
    <row r="20851" spans="1:16" x14ac:dyDescent="0.25">
      <c r="A20851" t="str">
        <f>"1300014R00176    00"</f>
        <v>1300014R00176    00</v>
      </c>
      <c r="B20851" t="s">
        <v>45268</v>
      </c>
      <c r="C20851" t="s">
        <v>45269</v>
      </c>
      <c r="D20851" t="s">
        <v>20</v>
      </c>
      <c r="E20851" t="s">
        <v>21</v>
      </c>
      <c r="F20851">
        <v>0</v>
      </c>
      <c r="G20851">
        <v>0</v>
      </c>
      <c r="H20851">
        <v>4</v>
      </c>
      <c r="I20851" s="3">
        <v>3479.03</v>
      </c>
      <c r="J20851" s="3">
        <v>577.02</v>
      </c>
      <c r="L20851">
        <v>7223</v>
      </c>
      <c r="M20851" t="s">
        <v>13974</v>
      </c>
      <c r="N20851" t="s">
        <v>30</v>
      </c>
      <c r="O20851" t="s">
        <v>31</v>
      </c>
      <c r="P20851" t="str">
        <f>"15206"</f>
        <v>15206</v>
      </c>
    </row>
    <row r="20852" spans="1:16" x14ac:dyDescent="0.25">
      <c r="A20852" t="str">
        <f>"1300014R00178    00"</f>
        <v>1300014R00178    00</v>
      </c>
      <c r="B20852" t="s">
        <v>45268</v>
      </c>
      <c r="C20852" t="s">
        <v>45270</v>
      </c>
      <c r="D20852" t="s">
        <v>20</v>
      </c>
      <c r="E20852" t="s">
        <v>21</v>
      </c>
      <c r="F20852">
        <v>0</v>
      </c>
      <c r="G20852">
        <v>0</v>
      </c>
      <c r="H20852">
        <v>2</v>
      </c>
      <c r="I20852" s="3">
        <v>1327.2</v>
      </c>
      <c r="J20852" s="3">
        <v>0</v>
      </c>
      <c r="L20852">
        <v>7223</v>
      </c>
      <c r="M20852" t="s">
        <v>13974</v>
      </c>
      <c r="N20852" t="s">
        <v>30</v>
      </c>
      <c r="O20852" t="s">
        <v>31</v>
      </c>
      <c r="P20852" t="str">
        <f>"15206"</f>
        <v>15206</v>
      </c>
    </row>
    <row r="20853" spans="1:16" x14ac:dyDescent="0.25">
      <c r="A20853" t="str">
        <f>"1300014R00179    00"</f>
        <v>1300014R00179    00</v>
      </c>
      <c r="B20853" t="s">
        <v>45271</v>
      </c>
      <c r="C20853" t="s">
        <v>44927</v>
      </c>
      <c r="D20853" t="s">
        <v>20</v>
      </c>
      <c r="E20853" t="s">
        <v>21</v>
      </c>
      <c r="F20853">
        <v>0</v>
      </c>
      <c r="G20853">
        <v>0</v>
      </c>
      <c r="H20853">
        <v>1</v>
      </c>
      <c r="I20853" s="3">
        <v>57.2</v>
      </c>
      <c r="J20853" s="3">
        <v>0</v>
      </c>
      <c r="K20853" t="s">
        <v>45272</v>
      </c>
      <c r="L20853">
        <v>1302</v>
      </c>
      <c r="M20853" t="s">
        <v>16500</v>
      </c>
      <c r="N20853" t="s">
        <v>295</v>
      </c>
      <c r="O20853" t="s">
        <v>31</v>
      </c>
      <c r="P20853" t="str">
        <f>"15146"</f>
        <v>15146</v>
      </c>
    </row>
    <row r="20854" spans="1:16" x14ac:dyDescent="0.25">
      <c r="A20854" t="str">
        <f>"1300014R00186    00"</f>
        <v>1300014R00186    00</v>
      </c>
      <c r="B20854" t="s">
        <v>45273</v>
      </c>
      <c r="C20854" t="s">
        <v>45274</v>
      </c>
      <c r="D20854" t="s">
        <v>20</v>
      </c>
      <c r="E20854" t="s">
        <v>39</v>
      </c>
      <c r="F20854">
        <v>0</v>
      </c>
      <c r="G20854">
        <v>0</v>
      </c>
      <c r="H20854">
        <v>1</v>
      </c>
      <c r="I20854" s="3">
        <v>486.04</v>
      </c>
      <c r="J20854" s="3">
        <v>0</v>
      </c>
      <c r="K20854" t="s">
        <v>45275</v>
      </c>
      <c r="L20854">
        <v>218</v>
      </c>
      <c r="M20854" t="s">
        <v>3555</v>
      </c>
      <c r="N20854" t="s">
        <v>30</v>
      </c>
      <c r="O20854" t="s">
        <v>31</v>
      </c>
      <c r="P20854" t="str">
        <f>"15238"</f>
        <v>15238</v>
      </c>
    </row>
    <row r="20855" spans="1:16" x14ac:dyDescent="0.25">
      <c r="A20855" t="str">
        <f>"1300014R00187    00"</f>
        <v>1300014R00187    00</v>
      </c>
      <c r="B20855" t="s">
        <v>45276</v>
      </c>
      <c r="C20855" t="s">
        <v>45277</v>
      </c>
      <c r="D20855" t="s">
        <v>20</v>
      </c>
      <c r="E20855" t="s">
        <v>39</v>
      </c>
      <c r="F20855">
        <v>0</v>
      </c>
      <c r="G20855">
        <v>0</v>
      </c>
      <c r="H20855">
        <v>4</v>
      </c>
      <c r="I20855" s="3">
        <v>1427.66</v>
      </c>
      <c r="J20855" s="3">
        <v>309.22000000000003</v>
      </c>
      <c r="K20855" t="s">
        <v>45090</v>
      </c>
      <c r="M20855" t="s">
        <v>25331</v>
      </c>
      <c r="N20855" t="s">
        <v>199</v>
      </c>
      <c r="O20855" t="s">
        <v>200</v>
      </c>
      <c r="P20855" t="str">
        <f>"10150"</f>
        <v>10150</v>
      </c>
    </row>
    <row r="20856" spans="1:16" x14ac:dyDescent="0.25">
      <c r="A20856" t="str">
        <f>"1300014R00192    00"</f>
        <v>1300014R00192    00</v>
      </c>
      <c r="B20856" t="s">
        <v>22139</v>
      </c>
      <c r="C20856" t="s">
        <v>45278</v>
      </c>
      <c r="D20856" t="s">
        <v>20</v>
      </c>
      <c r="E20856" t="s">
        <v>39</v>
      </c>
      <c r="F20856">
        <v>0</v>
      </c>
      <c r="G20856">
        <v>0</v>
      </c>
      <c r="H20856">
        <v>1</v>
      </c>
      <c r="I20856" s="3">
        <v>190.62</v>
      </c>
      <c r="J20856" s="3">
        <v>0</v>
      </c>
      <c r="L20856">
        <v>154</v>
      </c>
      <c r="M20856" t="s">
        <v>22141</v>
      </c>
      <c r="N20856" t="s">
        <v>30</v>
      </c>
      <c r="O20856" t="s">
        <v>31</v>
      </c>
      <c r="P20856" t="str">
        <f>"15236"</f>
        <v>15236</v>
      </c>
    </row>
    <row r="20857" spans="1:16" x14ac:dyDescent="0.25">
      <c r="A20857" t="str">
        <f>"1300014R00193    00"</f>
        <v>1300014R00193    00</v>
      </c>
      <c r="B20857" t="s">
        <v>45279</v>
      </c>
      <c r="C20857" t="s">
        <v>45280</v>
      </c>
      <c r="D20857" t="s">
        <v>20</v>
      </c>
      <c r="E20857" t="s">
        <v>39</v>
      </c>
      <c r="F20857">
        <v>0</v>
      </c>
      <c r="G20857">
        <v>0</v>
      </c>
      <c r="H20857">
        <v>3</v>
      </c>
      <c r="I20857" s="3">
        <v>1561.05</v>
      </c>
      <c r="J20857" s="3">
        <v>104.07</v>
      </c>
      <c r="L20857">
        <v>205</v>
      </c>
      <c r="M20857" t="s">
        <v>45281</v>
      </c>
      <c r="N20857" t="s">
        <v>30</v>
      </c>
      <c r="O20857" t="s">
        <v>31</v>
      </c>
      <c r="P20857" t="str">
        <f>"15210"</f>
        <v>15210</v>
      </c>
    </row>
    <row r="20858" spans="1:16" x14ac:dyDescent="0.25">
      <c r="A20858" t="str">
        <f>"1300014R00194    00"</f>
        <v>1300014R00194    00</v>
      </c>
      <c r="B20858" t="s">
        <v>25593</v>
      </c>
      <c r="C20858" t="s">
        <v>45282</v>
      </c>
      <c r="D20858" t="s">
        <v>20</v>
      </c>
      <c r="E20858" t="s">
        <v>39</v>
      </c>
      <c r="F20858">
        <v>0</v>
      </c>
      <c r="G20858">
        <v>0</v>
      </c>
      <c r="H20858">
        <v>2</v>
      </c>
      <c r="I20858" s="3">
        <v>578.92999999999995</v>
      </c>
      <c r="J20858" s="3">
        <v>258.01</v>
      </c>
      <c r="L20858">
        <v>104</v>
      </c>
      <c r="M20858" t="s">
        <v>25596</v>
      </c>
      <c r="N20858" t="s">
        <v>30</v>
      </c>
      <c r="O20858" t="s">
        <v>31</v>
      </c>
      <c r="P20858" t="str">
        <f>"15211"</f>
        <v>15211</v>
      </c>
    </row>
    <row r="20859" spans="1:16" x14ac:dyDescent="0.25">
      <c r="A20859" t="str">
        <f>"1300014R00198    00"</f>
        <v>1300014R00198    00</v>
      </c>
      <c r="B20859" t="s">
        <v>45283</v>
      </c>
      <c r="C20859" t="s">
        <v>45284</v>
      </c>
      <c r="E20859" t="s">
        <v>39</v>
      </c>
      <c r="F20859">
        <v>0</v>
      </c>
      <c r="G20859">
        <v>0</v>
      </c>
      <c r="H20859">
        <v>1</v>
      </c>
      <c r="I20859" s="3">
        <v>538.29999999999995</v>
      </c>
      <c r="J20859" s="3">
        <v>148.03</v>
      </c>
      <c r="K20859" t="s">
        <v>4710</v>
      </c>
      <c r="L20859">
        <v>7</v>
      </c>
      <c r="M20859" t="s">
        <v>4711</v>
      </c>
      <c r="N20859" t="s">
        <v>4712</v>
      </c>
      <c r="O20859" t="s">
        <v>31</v>
      </c>
      <c r="P20859" t="str">
        <f>"19004"</f>
        <v>19004</v>
      </c>
    </row>
    <row r="20860" spans="1:16" x14ac:dyDescent="0.25">
      <c r="A20860" t="str">
        <f>"1300014R00203    00"</f>
        <v>1300014R00203    00</v>
      </c>
      <c r="B20860" t="s">
        <v>45285</v>
      </c>
      <c r="C20860" t="s">
        <v>45286</v>
      </c>
      <c r="D20860" t="s">
        <v>20</v>
      </c>
      <c r="E20860" t="s">
        <v>39</v>
      </c>
      <c r="F20860">
        <v>0</v>
      </c>
      <c r="G20860">
        <v>0</v>
      </c>
      <c r="H20860">
        <v>2</v>
      </c>
      <c r="I20860" s="3">
        <v>729.06</v>
      </c>
      <c r="J20860" s="3">
        <v>0</v>
      </c>
      <c r="L20860">
        <v>2314</v>
      </c>
      <c r="M20860" t="s">
        <v>1132</v>
      </c>
      <c r="N20860" t="s">
        <v>30</v>
      </c>
      <c r="O20860" t="s">
        <v>31</v>
      </c>
      <c r="P20860" t="str">
        <f>"15219"</f>
        <v>15219</v>
      </c>
    </row>
    <row r="20861" spans="1:16" x14ac:dyDescent="0.25">
      <c r="A20861" t="str">
        <f>"1300014R00210    00"</f>
        <v>1300014R00210    00</v>
      </c>
      <c r="B20861" t="s">
        <v>45183</v>
      </c>
      <c r="C20861" t="s">
        <v>45287</v>
      </c>
      <c r="D20861" t="s">
        <v>20</v>
      </c>
      <c r="E20861" t="s">
        <v>21</v>
      </c>
      <c r="F20861">
        <v>0</v>
      </c>
      <c r="G20861">
        <v>0</v>
      </c>
      <c r="H20861">
        <v>1</v>
      </c>
      <c r="I20861" s="3">
        <v>3230.68</v>
      </c>
      <c r="J20861" s="3">
        <v>0</v>
      </c>
      <c r="M20861" t="s">
        <v>33013</v>
      </c>
      <c r="N20861" t="s">
        <v>30</v>
      </c>
      <c r="O20861" t="s">
        <v>31</v>
      </c>
      <c r="P20861" t="str">
        <f>"15205"</f>
        <v>15205</v>
      </c>
    </row>
    <row r="20862" spans="1:16" x14ac:dyDescent="0.25">
      <c r="A20862" t="str">
        <f>"1300014R00229    00"</f>
        <v>1300014R00229    00</v>
      </c>
      <c r="B20862" t="s">
        <v>45288</v>
      </c>
      <c r="C20862" t="s">
        <v>45289</v>
      </c>
      <c r="D20862" t="s">
        <v>20</v>
      </c>
      <c r="E20862" t="s">
        <v>39</v>
      </c>
      <c r="F20862">
        <v>0</v>
      </c>
      <c r="G20862">
        <v>0</v>
      </c>
      <c r="H20862">
        <v>3</v>
      </c>
      <c r="I20862" s="3">
        <v>229.95</v>
      </c>
      <c r="J20862" s="3">
        <v>36.409999999999997</v>
      </c>
      <c r="L20862">
        <v>10</v>
      </c>
      <c r="M20862" t="s">
        <v>18041</v>
      </c>
      <c r="N20862" t="s">
        <v>30</v>
      </c>
      <c r="O20862" t="s">
        <v>31</v>
      </c>
      <c r="P20862" t="str">
        <f>"15210"</f>
        <v>15210</v>
      </c>
    </row>
    <row r="20863" spans="1:16" x14ac:dyDescent="0.25">
      <c r="A20863" t="str">
        <f>"1300014R00231    00"</f>
        <v>1300014R00231    00</v>
      </c>
      <c r="B20863" t="s">
        <v>45290</v>
      </c>
      <c r="C20863" t="s">
        <v>45291</v>
      </c>
      <c r="D20863" t="s">
        <v>20</v>
      </c>
      <c r="E20863" t="s">
        <v>39</v>
      </c>
      <c r="F20863">
        <v>0</v>
      </c>
      <c r="G20863">
        <v>0</v>
      </c>
      <c r="H20863">
        <v>2</v>
      </c>
      <c r="I20863" s="3">
        <v>171.56</v>
      </c>
      <c r="J20863" s="3">
        <v>0</v>
      </c>
      <c r="K20863" t="s">
        <v>45292</v>
      </c>
      <c r="L20863">
        <v>320</v>
      </c>
      <c r="M20863" t="s">
        <v>8048</v>
      </c>
      <c r="N20863" t="s">
        <v>30</v>
      </c>
      <c r="O20863" t="s">
        <v>31</v>
      </c>
      <c r="P20863" t="str">
        <f>"15210"</f>
        <v>15210</v>
      </c>
    </row>
    <row r="20864" spans="1:16" x14ac:dyDescent="0.25">
      <c r="A20864" t="str">
        <f>"1300014R00233    00"</f>
        <v>1300014R00233    00</v>
      </c>
      <c r="B20864" t="s">
        <v>45290</v>
      </c>
      <c r="C20864" t="s">
        <v>45293</v>
      </c>
      <c r="D20864" t="s">
        <v>20</v>
      </c>
      <c r="E20864" t="s">
        <v>21</v>
      </c>
      <c r="F20864">
        <v>0</v>
      </c>
      <c r="G20864">
        <v>0</v>
      </c>
      <c r="H20864">
        <v>2</v>
      </c>
      <c r="I20864" s="3">
        <v>49.58</v>
      </c>
      <c r="J20864" s="3">
        <v>0</v>
      </c>
      <c r="K20864" t="s">
        <v>45292</v>
      </c>
      <c r="L20864">
        <v>320</v>
      </c>
      <c r="M20864" t="s">
        <v>8048</v>
      </c>
      <c r="N20864" t="s">
        <v>30</v>
      </c>
      <c r="O20864" t="s">
        <v>31</v>
      </c>
      <c r="P20864" t="str">
        <f>"15210"</f>
        <v>15210</v>
      </c>
    </row>
    <row r="20865" spans="1:16" x14ac:dyDescent="0.25">
      <c r="A20865" t="str">
        <f>"1300014R00235    00"</f>
        <v>1300014R00235    00</v>
      </c>
      <c r="B20865" t="s">
        <v>45294</v>
      </c>
      <c r="C20865" t="s">
        <v>45295</v>
      </c>
      <c r="D20865" t="s">
        <v>20</v>
      </c>
      <c r="E20865" t="s">
        <v>39</v>
      </c>
      <c r="F20865">
        <v>0</v>
      </c>
      <c r="G20865">
        <v>0</v>
      </c>
      <c r="H20865">
        <v>12</v>
      </c>
      <c r="I20865" s="3">
        <v>2638.72</v>
      </c>
      <c r="J20865" s="3">
        <v>1199.44</v>
      </c>
      <c r="L20865">
        <v>112</v>
      </c>
      <c r="M20865" t="s">
        <v>26029</v>
      </c>
      <c r="N20865" t="s">
        <v>30</v>
      </c>
      <c r="O20865" t="s">
        <v>31</v>
      </c>
      <c r="P20865" t="str">
        <f>"15210"</f>
        <v>15210</v>
      </c>
    </row>
    <row r="20866" spans="1:16" x14ac:dyDescent="0.25">
      <c r="A20866" t="str">
        <f>"1300014R00236    00"</f>
        <v>1300014R00236    00</v>
      </c>
      <c r="B20866" t="s">
        <v>45296</v>
      </c>
      <c r="C20866" t="s">
        <v>45297</v>
      </c>
      <c r="D20866" t="s">
        <v>20</v>
      </c>
      <c r="E20866" t="s">
        <v>21</v>
      </c>
      <c r="F20866">
        <v>0</v>
      </c>
      <c r="G20866">
        <v>0</v>
      </c>
      <c r="H20866">
        <v>4</v>
      </c>
      <c r="I20866" s="3">
        <v>392.28</v>
      </c>
      <c r="J20866" s="3">
        <v>46.03</v>
      </c>
      <c r="K20866" t="s">
        <v>45298</v>
      </c>
      <c r="L20866">
        <v>4115</v>
      </c>
      <c r="M20866" t="s">
        <v>22972</v>
      </c>
      <c r="N20866" t="s">
        <v>79</v>
      </c>
      <c r="O20866" t="s">
        <v>31</v>
      </c>
      <c r="P20866" t="str">
        <f>"15668"</f>
        <v>15668</v>
      </c>
    </row>
    <row r="20867" spans="1:16" x14ac:dyDescent="0.25">
      <c r="A20867" t="str">
        <f>"1300014R00238    00"</f>
        <v>1300014R00238    00</v>
      </c>
      <c r="B20867" t="s">
        <v>1997</v>
      </c>
      <c r="C20867" t="s">
        <v>43918</v>
      </c>
      <c r="D20867" t="s">
        <v>20</v>
      </c>
      <c r="E20867" t="s">
        <v>21</v>
      </c>
      <c r="F20867">
        <v>0</v>
      </c>
      <c r="G20867">
        <v>0</v>
      </c>
      <c r="H20867">
        <v>19</v>
      </c>
      <c r="I20867" s="3">
        <v>8422.75</v>
      </c>
      <c r="J20867" s="3">
        <v>11019.63</v>
      </c>
      <c r="L20867">
        <v>412</v>
      </c>
      <c r="M20867" t="s">
        <v>8136</v>
      </c>
      <c r="N20867" t="s">
        <v>30</v>
      </c>
      <c r="O20867" t="s">
        <v>31</v>
      </c>
      <c r="P20867" t="str">
        <f>"15219"</f>
        <v>15219</v>
      </c>
    </row>
    <row r="20868" spans="1:16" x14ac:dyDescent="0.25">
      <c r="A20868" t="str">
        <f>"1300014R00241    00"</f>
        <v>1300014R00241    00</v>
      </c>
      <c r="B20868" t="s">
        <v>45290</v>
      </c>
      <c r="C20868" t="s">
        <v>43918</v>
      </c>
      <c r="D20868" t="s">
        <v>20</v>
      </c>
      <c r="E20868" t="s">
        <v>21</v>
      </c>
      <c r="F20868">
        <v>0</v>
      </c>
      <c r="G20868">
        <v>0</v>
      </c>
      <c r="H20868">
        <v>2</v>
      </c>
      <c r="I20868" s="3">
        <v>61</v>
      </c>
      <c r="J20868" s="3">
        <v>0</v>
      </c>
      <c r="K20868" t="s">
        <v>45292</v>
      </c>
      <c r="L20868">
        <v>320</v>
      </c>
      <c r="M20868" t="s">
        <v>8048</v>
      </c>
      <c r="N20868" t="s">
        <v>30</v>
      </c>
      <c r="O20868" t="s">
        <v>31</v>
      </c>
      <c r="P20868" t="str">
        <f>"15210"</f>
        <v>15210</v>
      </c>
    </row>
    <row r="20869" spans="1:16" x14ac:dyDescent="0.25">
      <c r="A20869" t="str">
        <f>"1300014R00242    00"</f>
        <v>1300014R00242    00</v>
      </c>
      <c r="B20869" t="s">
        <v>45290</v>
      </c>
      <c r="C20869" t="s">
        <v>43918</v>
      </c>
      <c r="D20869" t="s">
        <v>20</v>
      </c>
      <c r="E20869" t="s">
        <v>21</v>
      </c>
      <c r="F20869">
        <v>0</v>
      </c>
      <c r="G20869">
        <v>0</v>
      </c>
      <c r="H20869">
        <v>2</v>
      </c>
      <c r="I20869" s="3">
        <v>57.2</v>
      </c>
      <c r="J20869" s="3">
        <v>0</v>
      </c>
      <c r="K20869" t="s">
        <v>45292</v>
      </c>
      <c r="L20869">
        <v>320</v>
      </c>
      <c r="M20869" t="s">
        <v>8048</v>
      </c>
      <c r="N20869" t="s">
        <v>30</v>
      </c>
      <c r="O20869" t="s">
        <v>31</v>
      </c>
      <c r="P20869" t="str">
        <f>"15210"</f>
        <v>15210</v>
      </c>
    </row>
    <row r="20870" spans="1:16" x14ac:dyDescent="0.25">
      <c r="A20870" t="str">
        <f>"1300014R00243    00"</f>
        <v>1300014R00243    00</v>
      </c>
      <c r="B20870" t="s">
        <v>45299</v>
      </c>
      <c r="C20870" t="s">
        <v>43918</v>
      </c>
      <c r="D20870" t="s">
        <v>20</v>
      </c>
      <c r="E20870" t="s">
        <v>21</v>
      </c>
      <c r="F20870">
        <v>0</v>
      </c>
      <c r="G20870">
        <v>0</v>
      </c>
      <c r="H20870">
        <v>4</v>
      </c>
      <c r="I20870" s="3">
        <v>2591.09</v>
      </c>
      <c r="J20870" s="3">
        <v>601.94000000000005</v>
      </c>
      <c r="K20870" t="s">
        <v>45300</v>
      </c>
      <c r="L20870">
        <v>320</v>
      </c>
      <c r="M20870" t="s">
        <v>8048</v>
      </c>
      <c r="N20870" t="s">
        <v>30</v>
      </c>
      <c r="O20870" t="s">
        <v>31</v>
      </c>
      <c r="P20870" t="str">
        <f>"15210"</f>
        <v>15210</v>
      </c>
    </row>
    <row r="20871" spans="1:16" x14ac:dyDescent="0.25">
      <c r="A20871" t="str">
        <f>"1300014R00245    00"</f>
        <v>1300014R00245    00</v>
      </c>
      <c r="B20871" t="s">
        <v>45301</v>
      </c>
      <c r="C20871" t="s">
        <v>43918</v>
      </c>
      <c r="E20871" t="s">
        <v>21</v>
      </c>
      <c r="F20871">
        <v>0</v>
      </c>
      <c r="G20871">
        <v>0</v>
      </c>
      <c r="H20871">
        <v>3</v>
      </c>
      <c r="I20871" s="3">
        <v>902.19</v>
      </c>
      <c r="J20871" s="3">
        <v>7.32</v>
      </c>
      <c r="K20871" t="s">
        <v>45302</v>
      </c>
      <c r="L20871">
        <v>320</v>
      </c>
      <c r="M20871" t="s">
        <v>8048</v>
      </c>
      <c r="N20871" t="s">
        <v>30</v>
      </c>
      <c r="O20871" t="s">
        <v>31</v>
      </c>
      <c r="P20871" t="str">
        <f>"15210"</f>
        <v>15210</v>
      </c>
    </row>
    <row r="20872" spans="1:16" x14ac:dyDescent="0.25">
      <c r="A20872" t="str">
        <f>"1300033A00240    00"</f>
        <v>1300033A00240    00</v>
      </c>
      <c r="B20872" t="s">
        <v>45303</v>
      </c>
      <c r="C20872" t="s">
        <v>45304</v>
      </c>
      <c r="D20872" t="s">
        <v>20</v>
      </c>
      <c r="E20872" t="s">
        <v>39</v>
      </c>
      <c r="F20872">
        <v>0</v>
      </c>
      <c r="G20872">
        <v>0</v>
      </c>
      <c r="H20872">
        <v>15</v>
      </c>
      <c r="I20872" s="3">
        <v>10866.47</v>
      </c>
      <c r="J20872" s="3">
        <v>7780.4</v>
      </c>
      <c r="L20872">
        <v>1431</v>
      </c>
      <c r="M20872" t="s">
        <v>30035</v>
      </c>
      <c r="N20872" t="s">
        <v>30</v>
      </c>
      <c r="O20872" t="s">
        <v>31</v>
      </c>
      <c r="P20872" t="str">
        <f>"15226"</f>
        <v>15226</v>
      </c>
    </row>
    <row r="20873" spans="1:16" x14ac:dyDescent="0.25">
      <c r="A20873" t="str">
        <f>"1300033A00244    00"</f>
        <v>1300033A00244    00</v>
      </c>
      <c r="B20873" t="s">
        <v>45305</v>
      </c>
      <c r="C20873" t="s">
        <v>45306</v>
      </c>
      <c r="D20873" t="s">
        <v>20</v>
      </c>
      <c r="E20873" t="s">
        <v>39</v>
      </c>
      <c r="F20873">
        <v>0</v>
      </c>
      <c r="G20873">
        <v>0</v>
      </c>
      <c r="H20873">
        <v>2</v>
      </c>
      <c r="I20873" s="3">
        <v>1119.67</v>
      </c>
      <c r="J20873" s="3">
        <v>0</v>
      </c>
      <c r="K20873" t="s">
        <v>45307</v>
      </c>
      <c r="N20873" t="s">
        <v>45308</v>
      </c>
      <c r="P20873" t="str">
        <f>"15219"</f>
        <v>15219</v>
      </c>
    </row>
    <row r="20874" spans="1:16" x14ac:dyDescent="0.25">
      <c r="A20874" t="str">
        <f>"1300033A00247    00"</f>
        <v>1300033A00247    00</v>
      </c>
      <c r="B20874" t="s">
        <v>45309</v>
      </c>
      <c r="C20874" t="s">
        <v>45310</v>
      </c>
      <c r="D20874" t="s">
        <v>20</v>
      </c>
      <c r="E20874" t="s">
        <v>39</v>
      </c>
      <c r="F20874">
        <v>0</v>
      </c>
      <c r="G20874">
        <v>0</v>
      </c>
      <c r="H20874">
        <v>2</v>
      </c>
      <c r="I20874" s="3">
        <v>311.88</v>
      </c>
      <c r="J20874" s="3">
        <v>0</v>
      </c>
      <c r="L20874">
        <v>423</v>
      </c>
      <c r="M20874" t="s">
        <v>45311</v>
      </c>
      <c r="N20874" t="s">
        <v>30</v>
      </c>
      <c r="O20874" t="s">
        <v>31</v>
      </c>
      <c r="P20874" t="str">
        <f>"15210"</f>
        <v>15210</v>
      </c>
    </row>
    <row r="20875" spans="1:16" x14ac:dyDescent="0.25">
      <c r="A20875" t="str">
        <f>"1300033A00248    00"</f>
        <v>1300033A00248    00</v>
      </c>
      <c r="B20875" t="s">
        <v>45312</v>
      </c>
      <c r="C20875" t="s">
        <v>45313</v>
      </c>
      <c r="D20875" t="s">
        <v>20</v>
      </c>
      <c r="E20875" t="s">
        <v>39</v>
      </c>
      <c r="F20875">
        <v>0</v>
      </c>
      <c r="G20875">
        <v>0</v>
      </c>
      <c r="H20875">
        <v>1</v>
      </c>
      <c r="I20875" s="3">
        <v>534.96</v>
      </c>
      <c r="J20875" s="3">
        <v>0</v>
      </c>
      <c r="M20875" t="s">
        <v>25695</v>
      </c>
      <c r="N20875" t="s">
        <v>30</v>
      </c>
      <c r="O20875" t="s">
        <v>31</v>
      </c>
      <c r="P20875" t="str">
        <f>"15210"</f>
        <v>15210</v>
      </c>
    </row>
    <row r="20876" spans="1:16" x14ac:dyDescent="0.25">
      <c r="A20876" t="str">
        <f>"1300033A00260    00"</f>
        <v>1300033A00260    00</v>
      </c>
      <c r="B20876" t="s">
        <v>45314</v>
      </c>
      <c r="C20876" t="s">
        <v>45315</v>
      </c>
      <c r="D20876" t="s">
        <v>20</v>
      </c>
      <c r="E20876" t="s">
        <v>39</v>
      </c>
      <c r="F20876">
        <v>0</v>
      </c>
      <c r="G20876">
        <v>0</v>
      </c>
      <c r="H20876">
        <v>15</v>
      </c>
      <c r="I20876" s="3">
        <v>6212.23</v>
      </c>
      <c r="J20876" s="3">
        <v>4461.74</v>
      </c>
      <c r="K20876" t="s">
        <v>45316</v>
      </c>
      <c r="L20876">
        <v>99</v>
      </c>
      <c r="M20876" t="s">
        <v>45317</v>
      </c>
      <c r="N20876" t="s">
        <v>199</v>
      </c>
      <c r="O20876" t="s">
        <v>200</v>
      </c>
      <c r="P20876" t="str">
        <f>"10005"</f>
        <v>10005</v>
      </c>
    </row>
    <row r="20877" spans="1:16" x14ac:dyDescent="0.25">
      <c r="A20877" t="str">
        <f>"1300033A00269    00"</f>
        <v>1300033A00269    00</v>
      </c>
      <c r="B20877" t="s">
        <v>45318</v>
      </c>
      <c r="C20877" t="s">
        <v>45319</v>
      </c>
      <c r="E20877" t="s">
        <v>39</v>
      </c>
      <c r="F20877">
        <v>0</v>
      </c>
      <c r="G20877">
        <v>0</v>
      </c>
      <c r="H20877">
        <v>6</v>
      </c>
      <c r="I20877" s="3">
        <v>151.65</v>
      </c>
      <c r="J20877" s="3">
        <v>138.16</v>
      </c>
      <c r="L20877">
        <v>438</v>
      </c>
      <c r="M20877" t="s">
        <v>45311</v>
      </c>
      <c r="N20877" t="s">
        <v>30</v>
      </c>
      <c r="O20877" t="s">
        <v>31</v>
      </c>
      <c r="P20877" t="str">
        <f>"15210"</f>
        <v>15210</v>
      </c>
    </row>
    <row r="20878" spans="1:16" x14ac:dyDescent="0.25">
      <c r="A20878" t="str">
        <f>"1300033A00272    00"</f>
        <v>1300033A00272    00</v>
      </c>
      <c r="B20878" t="s">
        <v>45320</v>
      </c>
      <c r="C20878" t="s">
        <v>45321</v>
      </c>
      <c r="D20878" t="s">
        <v>20</v>
      </c>
      <c r="E20878" t="s">
        <v>39</v>
      </c>
      <c r="F20878">
        <v>0</v>
      </c>
      <c r="G20878">
        <v>0</v>
      </c>
      <c r="H20878">
        <v>3</v>
      </c>
      <c r="I20878" s="3">
        <v>2876.16</v>
      </c>
      <c r="J20878" s="3">
        <v>191.74</v>
      </c>
      <c r="L20878">
        <v>3255</v>
      </c>
      <c r="M20878" t="s">
        <v>34767</v>
      </c>
      <c r="N20878" t="s">
        <v>30</v>
      </c>
      <c r="O20878" t="s">
        <v>31</v>
      </c>
      <c r="P20878" t="str">
        <f>"15212"</f>
        <v>15212</v>
      </c>
    </row>
    <row r="20879" spans="1:16" x14ac:dyDescent="0.25">
      <c r="A20879" t="str">
        <f>"1300033A00274    00"</f>
        <v>1300033A00274    00</v>
      </c>
      <c r="B20879" t="s">
        <v>45322</v>
      </c>
      <c r="C20879" t="s">
        <v>45323</v>
      </c>
      <c r="D20879" t="s">
        <v>20</v>
      </c>
      <c r="E20879" t="s">
        <v>39</v>
      </c>
      <c r="F20879">
        <v>0</v>
      </c>
      <c r="G20879">
        <v>0</v>
      </c>
      <c r="H20879">
        <v>4</v>
      </c>
      <c r="I20879" s="3">
        <v>950.63</v>
      </c>
      <c r="J20879" s="3">
        <v>78.16</v>
      </c>
      <c r="L20879">
        <v>433</v>
      </c>
      <c r="M20879" t="s">
        <v>45324</v>
      </c>
      <c r="N20879" t="s">
        <v>30</v>
      </c>
      <c r="O20879" t="s">
        <v>31</v>
      </c>
      <c r="P20879" t="str">
        <f>"15210"</f>
        <v>15210</v>
      </c>
    </row>
    <row r="20880" spans="1:16" x14ac:dyDescent="0.25">
      <c r="A20880" t="str">
        <f>"1300033A00276    00"</f>
        <v>1300033A00276    00</v>
      </c>
      <c r="B20880" t="s">
        <v>45325</v>
      </c>
      <c r="C20880" t="s">
        <v>45326</v>
      </c>
      <c r="D20880" t="s">
        <v>20</v>
      </c>
      <c r="E20880" t="s">
        <v>39</v>
      </c>
      <c r="F20880">
        <v>0</v>
      </c>
      <c r="G20880">
        <v>0</v>
      </c>
      <c r="H20880">
        <v>1</v>
      </c>
      <c r="I20880" s="3">
        <v>583.26</v>
      </c>
      <c r="J20880" s="3">
        <v>0</v>
      </c>
      <c r="K20880" t="s">
        <v>45327</v>
      </c>
      <c r="L20880">
        <v>435</v>
      </c>
      <c r="M20880" t="s">
        <v>45324</v>
      </c>
      <c r="N20880" t="s">
        <v>30</v>
      </c>
      <c r="O20880" t="s">
        <v>31</v>
      </c>
      <c r="P20880" t="str">
        <f>"15210"</f>
        <v>15210</v>
      </c>
    </row>
    <row r="20881" spans="1:16" x14ac:dyDescent="0.25">
      <c r="A20881" t="str">
        <f>"1300033A00280    00"</f>
        <v>1300033A00280    00</v>
      </c>
      <c r="B20881" t="s">
        <v>45328</v>
      </c>
      <c r="C20881" t="s">
        <v>45329</v>
      </c>
      <c r="D20881" t="s">
        <v>20</v>
      </c>
      <c r="E20881" t="s">
        <v>39</v>
      </c>
      <c r="F20881">
        <v>0</v>
      </c>
      <c r="G20881">
        <v>0</v>
      </c>
      <c r="H20881">
        <v>19</v>
      </c>
      <c r="I20881" s="3">
        <v>8877.2199999999993</v>
      </c>
      <c r="J20881" s="3">
        <v>11910.6</v>
      </c>
      <c r="L20881">
        <v>901</v>
      </c>
      <c r="M20881" t="s">
        <v>30154</v>
      </c>
      <c r="N20881" t="s">
        <v>30</v>
      </c>
      <c r="O20881" t="s">
        <v>31</v>
      </c>
      <c r="P20881" t="str">
        <f>"15226"</f>
        <v>15226</v>
      </c>
    </row>
    <row r="20882" spans="1:16" x14ac:dyDescent="0.25">
      <c r="A20882" t="str">
        <f>"1300033A00281    00"</f>
        <v>1300033A00281    00</v>
      </c>
      <c r="B20882" t="s">
        <v>31098</v>
      </c>
      <c r="C20882" t="s">
        <v>45330</v>
      </c>
      <c r="D20882" t="s">
        <v>20</v>
      </c>
      <c r="E20882" t="s">
        <v>39</v>
      </c>
      <c r="F20882">
        <v>0</v>
      </c>
      <c r="G20882">
        <v>0</v>
      </c>
      <c r="H20882">
        <v>9</v>
      </c>
      <c r="I20882" s="3">
        <v>4674.22</v>
      </c>
      <c r="J20882" s="3">
        <v>897.81</v>
      </c>
      <c r="K20882" t="s">
        <v>33788</v>
      </c>
      <c r="L20882">
        <v>632</v>
      </c>
      <c r="M20882" t="s">
        <v>17928</v>
      </c>
      <c r="N20882" t="s">
        <v>30</v>
      </c>
      <c r="O20882" t="s">
        <v>31</v>
      </c>
      <c r="P20882" t="str">
        <f>"15207"</f>
        <v>15207</v>
      </c>
    </row>
    <row r="20883" spans="1:16" x14ac:dyDescent="0.25">
      <c r="A20883" t="str">
        <f>"1300033A00288    00"</f>
        <v>1300033A00288    00</v>
      </c>
      <c r="B20883" t="s">
        <v>45331</v>
      </c>
      <c r="C20883" t="s">
        <v>45332</v>
      </c>
      <c r="D20883" t="s">
        <v>20</v>
      </c>
      <c r="E20883" t="s">
        <v>39</v>
      </c>
      <c r="F20883">
        <v>0</v>
      </c>
      <c r="G20883">
        <v>0</v>
      </c>
      <c r="H20883">
        <v>6</v>
      </c>
      <c r="I20883" s="3">
        <v>1637.88</v>
      </c>
      <c r="J20883" s="3">
        <v>407.08</v>
      </c>
      <c r="L20883">
        <v>438</v>
      </c>
      <c r="M20883" t="s">
        <v>45324</v>
      </c>
      <c r="N20883" t="s">
        <v>30</v>
      </c>
      <c r="O20883" t="s">
        <v>31</v>
      </c>
      <c r="P20883" t="str">
        <f>"15210"</f>
        <v>15210</v>
      </c>
    </row>
    <row r="20884" spans="1:16" x14ac:dyDescent="0.25">
      <c r="A20884" t="str">
        <f>"1300033A00290    00"</f>
        <v>1300033A00290    00</v>
      </c>
      <c r="B20884" t="s">
        <v>45333</v>
      </c>
      <c r="C20884" t="s">
        <v>45334</v>
      </c>
      <c r="D20884" t="s">
        <v>20</v>
      </c>
      <c r="E20884" t="s">
        <v>39</v>
      </c>
      <c r="F20884">
        <v>0</v>
      </c>
      <c r="G20884">
        <v>0</v>
      </c>
      <c r="H20884">
        <v>19</v>
      </c>
      <c r="I20884" s="3">
        <v>19169.91</v>
      </c>
      <c r="J20884" s="3">
        <v>18210.13</v>
      </c>
      <c r="L20884">
        <v>1522</v>
      </c>
      <c r="M20884" t="s">
        <v>1990</v>
      </c>
      <c r="N20884" t="s">
        <v>30</v>
      </c>
      <c r="O20884" t="s">
        <v>31</v>
      </c>
      <c r="P20884" t="str">
        <f>"15226"</f>
        <v>15226</v>
      </c>
    </row>
    <row r="20885" spans="1:16" x14ac:dyDescent="0.25">
      <c r="A20885" t="str">
        <f>"1300033A00295    00"</f>
        <v>1300033A00295    00</v>
      </c>
      <c r="B20885" t="s">
        <v>45335</v>
      </c>
      <c r="C20885" t="s">
        <v>45336</v>
      </c>
      <c r="D20885" t="s">
        <v>20</v>
      </c>
      <c r="E20885" t="s">
        <v>39</v>
      </c>
      <c r="F20885">
        <v>0</v>
      </c>
      <c r="G20885">
        <v>0</v>
      </c>
      <c r="H20885">
        <v>8</v>
      </c>
      <c r="I20885" s="3">
        <v>7358.24</v>
      </c>
      <c r="J20885" s="3">
        <v>2407.71</v>
      </c>
      <c r="L20885">
        <v>430</v>
      </c>
      <c r="M20885" t="s">
        <v>45324</v>
      </c>
      <c r="N20885" t="s">
        <v>30</v>
      </c>
      <c r="O20885" t="s">
        <v>31</v>
      </c>
      <c r="P20885" t="str">
        <f>"15210"</f>
        <v>15210</v>
      </c>
    </row>
    <row r="20886" spans="1:16" x14ac:dyDescent="0.25">
      <c r="A20886" t="str">
        <f>"1300033A00299    00"</f>
        <v>1300033A00299    00</v>
      </c>
      <c r="B20886" t="s">
        <v>45337</v>
      </c>
      <c r="C20886" t="s">
        <v>45338</v>
      </c>
      <c r="D20886" t="s">
        <v>20</v>
      </c>
      <c r="E20886" t="s">
        <v>39</v>
      </c>
      <c r="F20886">
        <v>0</v>
      </c>
      <c r="G20886">
        <v>0</v>
      </c>
      <c r="H20886">
        <v>18</v>
      </c>
      <c r="I20886" s="3">
        <v>16273.03</v>
      </c>
      <c r="J20886" s="3">
        <v>13051.43</v>
      </c>
      <c r="L20886">
        <v>3703</v>
      </c>
      <c r="M20886" t="s">
        <v>1394</v>
      </c>
      <c r="N20886" t="s">
        <v>30</v>
      </c>
      <c r="O20886" t="s">
        <v>31</v>
      </c>
      <c r="P20886" t="str">
        <f>"15204"</f>
        <v>15204</v>
      </c>
    </row>
    <row r="20887" spans="1:16" x14ac:dyDescent="0.25">
      <c r="A20887" t="str">
        <f>"1300033A00300    00"</f>
        <v>1300033A00300    00</v>
      </c>
      <c r="B20887" t="s">
        <v>45339</v>
      </c>
      <c r="C20887" t="s">
        <v>45340</v>
      </c>
      <c r="D20887" t="s">
        <v>20</v>
      </c>
      <c r="E20887" t="s">
        <v>39</v>
      </c>
      <c r="F20887">
        <v>0</v>
      </c>
      <c r="G20887">
        <v>0</v>
      </c>
      <c r="H20887">
        <v>4</v>
      </c>
      <c r="I20887" s="3">
        <v>1016.05</v>
      </c>
      <c r="J20887" s="3">
        <v>106.15</v>
      </c>
      <c r="L20887">
        <v>414</v>
      </c>
      <c r="M20887" t="s">
        <v>45324</v>
      </c>
      <c r="N20887" t="s">
        <v>30</v>
      </c>
      <c r="O20887" t="s">
        <v>31</v>
      </c>
      <c r="P20887" t="str">
        <f>"15210"</f>
        <v>15210</v>
      </c>
    </row>
    <row r="20888" spans="1:16" x14ac:dyDescent="0.25">
      <c r="A20888" t="str">
        <f>"1300033A00304    00"</f>
        <v>1300033A00304    00</v>
      </c>
      <c r="B20888" t="s">
        <v>45341</v>
      </c>
      <c r="C20888" t="s">
        <v>45342</v>
      </c>
      <c r="D20888" t="s">
        <v>20</v>
      </c>
      <c r="E20888" t="s">
        <v>39</v>
      </c>
      <c r="F20888">
        <v>0</v>
      </c>
      <c r="G20888">
        <v>0</v>
      </c>
      <c r="H20888">
        <v>16</v>
      </c>
      <c r="I20888" s="3">
        <v>8686.85</v>
      </c>
      <c r="J20888" s="3">
        <v>5285.8</v>
      </c>
      <c r="L20888">
        <v>250</v>
      </c>
      <c r="M20888" t="s">
        <v>26029</v>
      </c>
      <c r="N20888" t="s">
        <v>30</v>
      </c>
      <c r="O20888" t="s">
        <v>31</v>
      </c>
      <c r="P20888" t="str">
        <f>"15210"</f>
        <v>15210</v>
      </c>
    </row>
    <row r="20889" spans="1:16" x14ac:dyDescent="0.25">
      <c r="A20889" t="str">
        <f>"1300033A00305    00"</f>
        <v>1300033A00305    00</v>
      </c>
      <c r="B20889" t="s">
        <v>45343</v>
      </c>
      <c r="C20889" t="s">
        <v>45344</v>
      </c>
      <c r="D20889" t="s">
        <v>20</v>
      </c>
      <c r="E20889" t="s">
        <v>39</v>
      </c>
      <c r="F20889">
        <v>0</v>
      </c>
      <c r="G20889">
        <v>0</v>
      </c>
      <c r="H20889">
        <v>17</v>
      </c>
      <c r="I20889" s="3">
        <v>10357.36</v>
      </c>
      <c r="J20889" s="3">
        <v>10269.65</v>
      </c>
      <c r="L20889">
        <v>6925</v>
      </c>
      <c r="M20889" t="s">
        <v>45345</v>
      </c>
      <c r="N20889" t="s">
        <v>30</v>
      </c>
      <c r="O20889" t="s">
        <v>31</v>
      </c>
      <c r="P20889" t="str">
        <f>"15208"</f>
        <v>15208</v>
      </c>
    </row>
    <row r="20890" spans="1:16" x14ac:dyDescent="0.25">
      <c r="A20890" t="str">
        <f>"1300033A00333    00"</f>
        <v>1300033A00333    00</v>
      </c>
      <c r="B20890" t="s">
        <v>45346</v>
      </c>
      <c r="C20890" t="s">
        <v>45347</v>
      </c>
      <c r="D20890" t="s">
        <v>20</v>
      </c>
      <c r="E20890" t="s">
        <v>39</v>
      </c>
      <c r="F20890">
        <v>0</v>
      </c>
      <c r="G20890">
        <v>0</v>
      </c>
      <c r="H20890">
        <v>1</v>
      </c>
      <c r="I20890" s="3">
        <v>911.06</v>
      </c>
      <c r="J20890" s="3">
        <v>0</v>
      </c>
      <c r="L20890">
        <v>13</v>
      </c>
      <c r="M20890" t="s">
        <v>45348</v>
      </c>
      <c r="N20890" t="s">
        <v>149</v>
      </c>
      <c r="O20890" t="s">
        <v>31</v>
      </c>
      <c r="P20890" t="str">
        <f>"15106"</f>
        <v>15106</v>
      </c>
    </row>
    <row r="20891" spans="1:16" x14ac:dyDescent="0.25">
      <c r="A20891" t="str">
        <f>"1300033A00334    00"</f>
        <v>1300033A00334    00</v>
      </c>
      <c r="B20891" t="s">
        <v>26238</v>
      </c>
      <c r="C20891" t="s">
        <v>45349</v>
      </c>
      <c r="D20891" t="s">
        <v>20</v>
      </c>
      <c r="E20891" t="s">
        <v>39</v>
      </c>
      <c r="F20891">
        <v>0</v>
      </c>
      <c r="G20891">
        <v>0</v>
      </c>
      <c r="H20891">
        <v>1</v>
      </c>
      <c r="I20891" s="3">
        <v>184.89</v>
      </c>
      <c r="J20891" s="3">
        <v>0</v>
      </c>
      <c r="L20891">
        <v>154</v>
      </c>
      <c r="M20891" t="s">
        <v>22141</v>
      </c>
      <c r="N20891" t="s">
        <v>30</v>
      </c>
      <c r="O20891" t="s">
        <v>31</v>
      </c>
      <c r="P20891" t="str">
        <f>"15236"</f>
        <v>15236</v>
      </c>
    </row>
    <row r="20892" spans="1:16" x14ac:dyDescent="0.25">
      <c r="A20892" t="str">
        <f>"1300033A00337    00"</f>
        <v>1300033A00337    00</v>
      </c>
      <c r="B20892" t="s">
        <v>45350</v>
      </c>
      <c r="C20892" t="s">
        <v>45351</v>
      </c>
      <c r="D20892" t="s">
        <v>20</v>
      </c>
      <c r="E20892" t="s">
        <v>39</v>
      </c>
      <c r="F20892">
        <v>0</v>
      </c>
      <c r="G20892">
        <v>0</v>
      </c>
      <c r="H20892">
        <v>7</v>
      </c>
      <c r="I20892" s="3">
        <v>5084.08</v>
      </c>
      <c r="J20892" s="3">
        <v>4265.01</v>
      </c>
      <c r="L20892">
        <v>421</v>
      </c>
      <c r="M20892" t="s">
        <v>41017</v>
      </c>
      <c r="N20892" t="s">
        <v>30</v>
      </c>
      <c r="O20892" t="s">
        <v>31</v>
      </c>
      <c r="P20892" t="str">
        <f>"15210"</f>
        <v>15210</v>
      </c>
    </row>
    <row r="20893" spans="1:16" x14ac:dyDescent="0.25">
      <c r="A20893" t="str">
        <f>"1300033A00338    00"</f>
        <v>1300033A00338    00</v>
      </c>
      <c r="B20893" t="s">
        <v>45352</v>
      </c>
      <c r="C20893" t="s">
        <v>45353</v>
      </c>
      <c r="D20893" t="s">
        <v>20</v>
      </c>
      <c r="E20893" t="s">
        <v>39</v>
      </c>
      <c r="F20893">
        <v>0</v>
      </c>
      <c r="G20893">
        <v>0</v>
      </c>
      <c r="H20893">
        <v>2</v>
      </c>
      <c r="I20893" s="3">
        <v>1264.2</v>
      </c>
      <c r="J20893" s="3">
        <v>0</v>
      </c>
      <c r="K20893" t="s">
        <v>45354</v>
      </c>
      <c r="L20893">
        <v>603</v>
      </c>
      <c r="M20893" t="s">
        <v>15272</v>
      </c>
      <c r="N20893" t="s">
        <v>30</v>
      </c>
      <c r="O20893" t="s">
        <v>31</v>
      </c>
      <c r="P20893" t="str">
        <f>"15228"</f>
        <v>15228</v>
      </c>
    </row>
    <row r="20894" spans="1:16" x14ac:dyDescent="0.25">
      <c r="A20894" t="str">
        <f>"1300033A00339    00"</f>
        <v>1300033A00339    00</v>
      </c>
      <c r="B20894" t="s">
        <v>45355</v>
      </c>
      <c r="C20894" t="s">
        <v>45356</v>
      </c>
      <c r="D20894" t="s">
        <v>20</v>
      </c>
      <c r="E20894" t="s">
        <v>39</v>
      </c>
      <c r="F20894">
        <v>0</v>
      </c>
      <c r="G20894">
        <v>0</v>
      </c>
      <c r="H20894">
        <v>19</v>
      </c>
      <c r="I20894" s="3">
        <v>2294.23</v>
      </c>
      <c r="J20894" s="3">
        <v>1291.46</v>
      </c>
      <c r="K20894" t="s">
        <v>1008</v>
      </c>
      <c r="P20894" t="str">
        <f>""</f>
        <v/>
      </c>
    </row>
    <row r="20895" spans="1:16" x14ac:dyDescent="0.25">
      <c r="A20895" t="str">
        <f>"1300033A00340    00"</f>
        <v>1300033A00340    00</v>
      </c>
      <c r="B20895" t="s">
        <v>45357</v>
      </c>
      <c r="C20895" t="s">
        <v>45358</v>
      </c>
      <c r="D20895" t="s">
        <v>20</v>
      </c>
      <c r="E20895" t="s">
        <v>39</v>
      </c>
      <c r="F20895">
        <v>0</v>
      </c>
      <c r="G20895">
        <v>0</v>
      </c>
      <c r="H20895">
        <v>14</v>
      </c>
      <c r="I20895" s="3">
        <v>12214.97</v>
      </c>
      <c r="J20895" s="3">
        <v>6659.55</v>
      </c>
      <c r="K20895" t="s">
        <v>45359</v>
      </c>
      <c r="L20895">
        <v>415</v>
      </c>
      <c r="M20895" t="s">
        <v>41017</v>
      </c>
      <c r="N20895" t="s">
        <v>30</v>
      </c>
      <c r="O20895" t="s">
        <v>31</v>
      </c>
      <c r="P20895" t="str">
        <f>"15210"</f>
        <v>15210</v>
      </c>
    </row>
    <row r="20896" spans="1:16" x14ac:dyDescent="0.25">
      <c r="A20896" t="str">
        <f>"1300033A00347    00"</f>
        <v>1300033A00347    00</v>
      </c>
      <c r="B20896" t="s">
        <v>45360</v>
      </c>
      <c r="C20896" t="s">
        <v>45361</v>
      </c>
      <c r="D20896" t="s">
        <v>20</v>
      </c>
      <c r="E20896" t="s">
        <v>39</v>
      </c>
      <c r="F20896">
        <v>0</v>
      </c>
      <c r="G20896">
        <v>0</v>
      </c>
      <c r="H20896">
        <v>1</v>
      </c>
      <c r="I20896" s="3">
        <v>127.71</v>
      </c>
      <c r="J20896" s="3">
        <v>0</v>
      </c>
      <c r="K20896" t="s">
        <v>45362</v>
      </c>
      <c r="L20896">
        <v>402</v>
      </c>
      <c r="M20896" t="s">
        <v>41017</v>
      </c>
      <c r="N20896" t="s">
        <v>30</v>
      </c>
      <c r="O20896" t="s">
        <v>31</v>
      </c>
      <c r="P20896" t="str">
        <f>"15210"</f>
        <v>15210</v>
      </c>
    </row>
    <row r="20897" spans="1:16" x14ac:dyDescent="0.25">
      <c r="A20897" t="str">
        <f>"1300033A00349    00"</f>
        <v>1300033A00349    00</v>
      </c>
      <c r="B20897" t="s">
        <v>45328</v>
      </c>
      <c r="C20897" t="s">
        <v>45363</v>
      </c>
      <c r="D20897" t="s">
        <v>20</v>
      </c>
      <c r="E20897" t="s">
        <v>39</v>
      </c>
      <c r="F20897">
        <v>0</v>
      </c>
      <c r="G20897">
        <v>0</v>
      </c>
      <c r="H20897">
        <v>15</v>
      </c>
      <c r="I20897" s="3">
        <v>13931.03</v>
      </c>
      <c r="J20897" s="3">
        <v>9326.09</v>
      </c>
      <c r="L20897">
        <v>408</v>
      </c>
      <c r="M20897" t="s">
        <v>41017</v>
      </c>
      <c r="N20897" t="s">
        <v>30</v>
      </c>
      <c r="O20897" t="s">
        <v>31</v>
      </c>
      <c r="P20897" t="str">
        <f>"15210"</f>
        <v>15210</v>
      </c>
    </row>
    <row r="20898" spans="1:16" x14ac:dyDescent="0.25">
      <c r="A20898" t="str">
        <f>"1300033A00350    00"</f>
        <v>1300033A00350    00</v>
      </c>
      <c r="B20898" t="s">
        <v>26329</v>
      </c>
      <c r="C20898" t="s">
        <v>45364</v>
      </c>
      <c r="D20898" t="s">
        <v>20</v>
      </c>
      <c r="E20898" t="s">
        <v>39</v>
      </c>
      <c r="F20898">
        <v>0</v>
      </c>
      <c r="G20898">
        <v>0</v>
      </c>
      <c r="H20898">
        <v>8</v>
      </c>
      <c r="I20898" s="3">
        <v>7477.17</v>
      </c>
      <c r="J20898" s="3">
        <v>2446.64</v>
      </c>
      <c r="L20898">
        <v>410</v>
      </c>
      <c r="M20898" t="s">
        <v>41017</v>
      </c>
      <c r="N20898" t="s">
        <v>30</v>
      </c>
      <c r="O20898" t="s">
        <v>31</v>
      </c>
      <c r="P20898" t="str">
        <f>"15210"</f>
        <v>15210</v>
      </c>
    </row>
    <row r="20899" spans="1:16" x14ac:dyDescent="0.25">
      <c r="A20899" t="str">
        <f>"1300033A00351    00"</f>
        <v>1300033A00351    00</v>
      </c>
      <c r="B20899" t="s">
        <v>31609</v>
      </c>
      <c r="C20899" t="s">
        <v>45365</v>
      </c>
      <c r="D20899" t="s">
        <v>20</v>
      </c>
      <c r="E20899" t="s">
        <v>39</v>
      </c>
      <c r="F20899">
        <v>0</v>
      </c>
      <c r="G20899">
        <v>0</v>
      </c>
      <c r="H20899">
        <v>2</v>
      </c>
      <c r="I20899" s="3">
        <v>1143.6400000000001</v>
      </c>
      <c r="J20899" s="3">
        <v>0</v>
      </c>
      <c r="K20899" t="s">
        <v>45366</v>
      </c>
      <c r="L20899">
        <v>3279</v>
      </c>
      <c r="M20899" t="s">
        <v>6937</v>
      </c>
      <c r="N20899" t="s">
        <v>30</v>
      </c>
      <c r="O20899" t="s">
        <v>31</v>
      </c>
      <c r="P20899" t="str">
        <f>"15216"</f>
        <v>15216</v>
      </c>
    </row>
    <row r="20900" spans="1:16" x14ac:dyDescent="0.25">
      <c r="A20900" t="str">
        <f>"1300033A00352    00"</f>
        <v>1300033A00352    00</v>
      </c>
      <c r="B20900" t="s">
        <v>45367</v>
      </c>
      <c r="C20900" t="s">
        <v>45368</v>
      </c>
      <c r="D20900" t="s">
        <v>20</v>
      </c>
      <c r="E20900" t="s">
        <v>39</v>
      </c>
      <c r="F20900">
        <v>0</v>
      </c>
      <c r="G20900">
        <v>0</v>
      </c>
      <c r="H20900">
        <v>19</v>
      </c>
      <c r="I20900" s="3">
        <v>15946.85</v>
      </c>
      <c r="J20900" s="3">
        <v>13158.04</v>
      </c>
      <c r="L20900">
        <v>118</v>
      </c>
      <c r="M20900" t="s">
        <v>25833</v>
      </c>
      <c r="N20900" t="s">
        <v>44953</v>
      </c>
      <c r="O20900" t="s">
        <v>31</v>
      </c>
      <c r="P20900" t="str">
        <f>"15210"</f>
        <v>15210</v>
      </c>
    </row>
    <row r="20901" spans="1:16" x14ac:dyDescent="0.25">
      <c r="A20901" t="str">
        <f>"1300033B00003    00"</f>
        <v>1300033B00003    00</v>
      </c>
      <c r="B20901" t="s">
        <v>45369</v>
      </c>
      <c r="C20901" t="s">
        <v>45370</v>
      </c>
      <c r="D20901" t="s">
        <v>20</v>
      </c>
      <c r="E20901" t="s">
        <v>39</v>
      </c>
      <c r="F20901">
        <v>0</v>
      </c>
      <c r="G20901">
        <v>0</v>
      </c>
      <c r="H20901">
        <v>2</v>
      </c>
      <c r="I20901" s="3">
        <v>53.36</v>
      </c>
      <c r="J20901" s="3">
        <v>0</v>
      </c>
      <c r="L20901">
        <v>341</v>
      </c>
      <c r="M20901" t="s">
        <v>22055</v>
      </c>
      <c r="N20901" t="s">
        <v>30</v>
      </c>
      <c r="O20901" t="s">
        <v>31</v>
      </c>
      <c r="P20901" t="str">
        <f>"15210"</f>
        <v>15210</v>
      </c>
    </row>
    <row r="20902" spans="1:16" x14ac:dyDescent="0.25">
      <c r="A20902" t="str">
        <f>"1300033B00004    00"</f>
        <v>1300033B00004    00</v>
      </c>
      <c r="B20902" t="s">
        <v>45369</v>
      </c>
      <c r="C20902" t="s">
        <v>45371</v>
      </c>
      <c r="D20902" t="s">
        <v>20</v>
      </c>
      <c r="E20902" t="s">
        <v>39</v>
      </c>
      <c r="F20902">
        <v>0</v>
      </c>
      <c r="G20902">
        <v>0</v>
      </c>
      <c r="H20902">
        <v>2</v>
      </c>
      <c r="I20902" s="3">
        <v>61.32</v>
      </c>
      <c r="J20902" s="3">
        <v>0</v>
      </c>
      <c r="L20902">
        <v>341</v>
      </c>
      <c r="M20902" t="s">
        <v>22055</v>
      </c>
      <c r="N20902" t="s">
        <v>30</v>
      </c>
      <c r="O20902" t="s">
        <v>31</v>
      </c>
      <c r="P20902" t="str">
        <f>"15210"</f>
        <v>15210</v>
      </c>
    </row>
    <row r="20903" spans="1:16" x14ac:dyDescent="0.25">
      <c r="A20903" t="str">
        <f>"1300033B00005    00"</f>
        <v>1300033B00005    00</v>
      </c>
      <c r="B20903" t="s">
        <v>45372</v>
      </c>
      <c r="C20903" t="s">
        <v>45373</v>
      </c>
      <c r="D20903" t="s">
        <v>20</v>
      </c>
      <c r="E20903" t="s">
        <v>39</v>
      </c>
      <c r="F20903">
        <v>0</v>
      </c>
      <c r="G20903">
        <v>0</v>
      </c>
      <c r="H20903">
        <v>19</v>
      </c>
      <c r="I20903" s="3">
        <v>15027.34</v>
      </c>
      <c r="J20903" s="3">
        <v>15551.98</v>
      </c>
      <c r="P20903" t="str">
        <f>""</f>
        <v/>
      </c>
    </row>
    <row r="20904" spans="1:16" x14ac:dyDescent="0.25">
      <c r="A20904" t="str">
        <f>"1300033B00030    00"</f>
        <v>1300033B00030    00</v>
      </c>
      <c r="B20904" t="s">
        <v>45374</v>
      </c>
      <c r="C20904" t="s">
        <v>45375</v>
      </c>
      <c r="D20904" t="s">
        <v>20</v>
      </c>
      <c r="E20904" t="s">
        <v>39</v>
      </c>
      <c r="F20904">
        <v>0</v>
      </c>
      <c r="G20904">
        <v>0</v>
      </c>
      <c r="H20904">
        <v>1</v>
      </c>
      <c r="I20904" s="3">
        <v>335.48</v>
      </c>
      <c r="J20904" s="3">
        <v>0</v>
      </c>
      <c r="K20904" t="s">
        <v>45376</v>
      </c>
      <c r="L20904">
        <v>284</v>
      </c>
      <c r="M20904" t="s">
        <v>45377</v>
      </c>
      <c r="N20904" t="s">
        <v>199</v>
      </c>
      <c r="O20904" t="s">
        <v>200</v>
      </c>
      <c r="P20904" t="str">
        <f>"10014"</f>
        <v>10014</v>
      </c>
    </row>
    <row r="20905" spans="1:16" x14ac:dyDescent="0.25">
      <c r="A20905" t="str">
        <f>"1300033B00032    00"</f>
        <v>1300033B00032    00</v>
      </c>
      <c r="B20905" t="s">
        <v>45378</v>
      </c>
      <c r="C20905" t="s">
        <v>45379</v>
      </c>
      <c r="D20905" t="s">
        <v>20</v>
      </c>
      <c r="E20905" t="s">
        <v>39</v>
      </c>
      <c r="F20905">
        <v>0</v>
      </c>
      <c r="G20905">
        <v>0</v>
      </c>
      <c r="H20905">
        <v>2</v>
      </c>
      <c r="I20905" s="3">
        <v>102.22</v>
      </c>
      <c r="J20905" s="3">
        <v>0</v>
      </c>
      <c r="L20905">
        <v>107</v>
      </c>
      <c r="M20905" t="s">
        <v>45380</v>
      </c>
      <c r="N20905" t="s">
        <v>30</v>
      </c>
      <c r="O20905" t="s">
        <v>31</v>
      </c>
      <c r="P20905" t="str">
        <f>"15210"</f>
        <v>15210</v>
      </c>
    </row>
    <row r="20906" spans="1:16" x14ac:dyDescent="0.25">
      <c r="A20906" t="str">
        <f>"1300033B00033    00"</f>
        <v>1300033B00033    00</v>
      </c>
      <c r="B20906" t="s">
        <v>26032</v>
      </c>
      <c r="C20906" t="s">
        <v>45381</v>
      </c>
      <c r="E20906" t="s">
        <v>39</v>
      </c>
      <c r="F20906">
        <v>0</v>
      </c>
      <c r="G20906">
        <v>0</v>
      </c>
      <c r="H20906">
        <v>2</v>
      </c>
      <c r="I20906" s="3">
        <v>440.23</v>
      </c>
      <c r="J20906" s="3">
        <v>8.01</v>
      </c>
      <c r="K20906" t="s">
        <v>26034</v>
      </c>
      <c r="L20906">
        <v>10</v>
      </c>
      <c r="M20906" t="s">
        <v>2911</v>
      </c>
      <c r="N20906" t="s">
        <v>30</v>
      </c>
      <c r="O20906" t="s">
        <v>31</v>
      </c>
      <c r="P20906" t="str">
        <f>"15203"</f>
        <v>15203</v>
      </c>
    </row>
    <row r="20907" spans="1:16" x14ac:dyDescent="0.25">
      <c r="A20907" t="str">
        <f>"1300033B00036    00"</f>
        <v>1300033B00036    00</v>
      </c>
      <c r="B20907" t="s">
        <v>45382</v>
      </c>
      <c r="C20907" t="s">
        <v>45383</v>
      </c>
      <c r="D20907" t="s">
        <v>20</v>
      </c>
      <c r="E20907" t="s">
        <v>39</v>
      </c>
      <c r="F20907">
        <v>0</v>
      </c>
      <c r="G20907">
        <v>0</v>
      </c>
      <c r="H20907">
        <v>19</v>
      </c>
      <c r="I20907" s="3">
        <v>8946.76</v>
      </c>
      <c r="J20907" s="3">
        <v>9060.93</v>
      </c>
      <c r="L20907">
        <v>364</v>
      </c>
      <c r="M20907" t="s">
        <v>30949</v>
      </c>
      <c r="N20907" t="s">
        <v>45384</v>
      </c>
      <c r="O20907" t="s">
        <v>31</v>
      </c>
      <c r="P20907" t="str">
        <f>"15681"</f>
        <v>15681</v>
      </c>
    </row>
    <row r="20908" spans="1:16" x14ac:dyDescent="0.25">
      <c r="A20908" t="str">
        <f>"1300033B00038    00"</f>
        <v>1300033B00038    00</v>
      </c>
      <c r="B20908" t="s">
        <v>45385</v>
      </c>
      <c r="C20908" t="s">
        <v>45386</v>
      </c>
      <c r="D20908" t="s">
        <v>20</v>
      </c>
      <c r="E20908" t="s">
        <v>39</v>
      </c>
      <c r="F20908">
        <v>0</v>
      </c>
      <c r="G20908">
        <v>0</v>
      </c>
      <c r="H20908">
        <v>1</v>
      </c>
      <c r="I20908" s="3">
        <v>72.239999999999995</v>
      </c>
      <c r="J20908" s="3">
        <v>0</v>
      </c>
      <c r="K20908" t="s">
        <v>45387</v>
      </c>
      <c r="L20908">
        <v>1044</v>
      </c>
      <c r="M20908" t="s">
        <v>45388</v>
      </c>
      <c r="N20908" t="s">
        <v>3934</v>
      </c>
      <c r="O20908" t="s">
        <v>31</v>
      </c>
      <c r="P20908" t="str">
        <f>"15102"</f>
        <v>15102</v>
      </c>
    </row>
    <row r="20909" spans="1:16" x14ac:dyDescent="0.25">
      <c r="A20909" t="str">
        <f>"1300033B00043    00"</f>
        <v>1300033B00043    00</v>
      </c>
      <c r="B20909" t="s">
        <v>36348</v>
      </c>
      <c r="C20909" t="s">
        <v>45389</v>
      </c>
      <c r="D20909" t="s">
        <v>20</v>
      </c>
      <c r="E20909" t="s">
        <v>39</v>
      </c>
      <c r="F20909">
        <v>0</v>
      </c>
      <c r="G20909">
        <v>0</v>
      </c>
      <c r="H20909">
        <v>16</v>
      </c>
      <c r="I20909" s="3">
        <v>8178.38</v>
      </c>
      <c r="J20909" s="3">
        <v>5860.83</v>
      </c>
      <c r="M20909" t="s">
        <v>2415</v>
      </c>
      <c r="N20909" t="s">
        <v>2416</v>
      </c>
      <c r="O20909" t="s">
        <v>423</v>
      </c>
      <c r="P20909" t="str">
        <f>"08260"</f>
        <v>08260</v>
      </c>
    </row>
    <row r="20910" spans="1:16" x14ac:dyDescent="0.25">
      <c r="A20910" t="str">
        <f>"1300033B00046    00"</f>
        <v>1300033B00046    00</v>
      </c>
      <c r="B20910" t="s">
        <v>28459</v>
      </c>
      <c r="C20910" t="s">
        <v>45390</v>
      </c>
      <c r="D20910" t="s">
        <v>20</v>
      </c>
      <c r="E20910" t="s">
        <v>39</v>
      </c>
      <c r="F20910">
        <v>0</v>
      </c>
      <c r="G20910">
        <v>0</v>
      </c>
      <c r="H20910">
        <v>1</v>
      </c>
      <c r="I20910" s="3">
        <v>343.08</v>
      </c>
      <c r="J20910" s="3">
        <v>0</v>
      </c>
      <c r="L20910">
        <v>154</v>
      </c>
      <c r="M20910" t="s">
        <v>22141</v>
      </c>
      <c r="N20910" t="s">
        <v>30</v>
      </c>
      <c r="O20910" t="s">
        <v>31</v>
      </c>
      <c r="P20910" t="str">
        <f>"15236"</f>
        <v>15236</v>
      </c>
    </row>
    <row r="20911" spans="1:16" x14ac:dyDescent="0.25">
      <c r="A20911" t="str">
        <f>"1300033B00050    00"</f>
        <v>1300033B00050    00</v>
      </c>
      <c r="B20911" t="s">
        <v>45391</v>
      </c>
      <c r="C20911" t="s">
        <v>45370</v>
      </c>
      <c r="D20911" t="s">
        <v>20</v>
      </c>
      <c r="E20911" t="s">
        <v>39</v>
      </c>
      <c r="F20911">
        <v>0</v>
      </c>
      <c r="G20911">
        <v>0</v>
      </c>
      <c r="H20911">
        <v>10</v>
      </c>
      <c r="I20911" s="3">
        <v>109.84</v>
      </c>
      <c r="J20911" s="3">
        <v>55.91</v>
      </c>
      <c r="K20911" t="s">
        <v>44192</v>
      </c>
      <c r="L20911">
        <v>2531</v>
      </c>
      <c r="M20911" t="s">
        <v>44187</v>
      </c>
      <c r="N20911" t="s">
        <v>30</v>
      </c>
      <c r="O20911" t="s">
        <v>31</v>
      </c>
      <c r="P20911" t="str">
        <f>"15227"</f>
        <v>15227</v>
      </c>
    </row>
    <row r="20912" spans="1:16" x14ac:dyDescent="0.25">
      <c r="A20912" t="str">
        <f>"1300033B00051    00"</f>
        <v>1300033B00051    00</v>
      </c>
      <c r="B20912" t="s">
        <v>45392</v>
      </c>
      <c r="C20912" t="s">
        <v>45393</v>
      </c>
      <c r="D20912" t="s">
        <v>20</v>
      </c>
      <c r="E20912" t="s">
        <v>39</v>
      </c>
      <c r="F20912">
        <v>0</v>
      </c>
      <c r="G20912">
        <v>0</v>
      </c>
      <c r="H20912">
        <v>10</v>
      </c>
      <c r="I20912" s="3">
        <v>5469.5</v>
      </c>
      <c r="J20912" s="3">
        <v>2767.88</v>
      </c>
      <c r="L20912">
        <v>2531</v>
      </c>
      <c r="M20912" t="s">
        <v>44187</v>
      </c>
      <c r="N20912" t="s">
        <v>30</v>
      </c>
      <c r="O20912" t="s">
        <v>31</v>
      </c>
      <c r="P20912" t="str">
        <f>"15227"</f>
        <v>15227</v>
      </c>
    </row>
    <row r="20913" spans="1:16" x14ac:dyDescent="0.25">
      <c r="A20913" t="str">
        <f>"1300033B00053    00"</f>
        <v>1300033B00053    00</v>
      </c>
      <c r="B20913" t="s">
        <v>23532</v>
      </c>
      <c r="C20913" t="s">
        <v>45394</v>
      </c>
      <c r="D20913" t="s">
        <v>20</v>
      </c>
      <c r="E20913" t="s">
        <v>39</v>
      </c>
      <c r="F20913">
        <v>0</v>
      </c>
      <c r="G20913">
        <v>0</v>
      </c>
      <c r="H20913">
        <v>8</v>
      </c>
      <c r="I20913" s="3">
        <v>4881.17</v>
      </c>
      <c r="J20913" s="3">
        <v>0</v>
      </c>
      <c r="L20913">
        <v>328</v>
      </c>
      <c r="M20913" t="s">
        <v>25448</v>
      </c>
      <c r="N20913" t="s">
        <v>30</v>
      </c>
      <c r="O20913" t="s">
        <v>31</v>
      </c>
      <c r="P20913" t="str">
        <f>"15210"</f>
        <v>15210</v>
      </c>
    </row>
    <row r="20914" spans="1:16" x14ac:dyDescent="0.25">
      <c r="A20914" t="str">
        <f>"1300033B00061    00"</f>
        <v>1300033B00061    00</v>
      </c>
      <c r="B20914" t="s">
        <v>45395</v>
      </c>
      <c r="C20914" t="s">
        <v>45396</v>
      </c>
      <c r="E20914" t="s">
        <v>39</v>
      </c>
      <c r="F20914">
        <v>0</v>
      </c>
      <c r="G20914">
        <v>0</v>
      </c>
      <c r="H20914">
        <v>12</v>
      </c>
      <c r="I20914" s="3">
        <v>182.91</v>
      </c>
      <c r="J20914" s="3">
        <v>232.89</v>
      </c>
      <c r="L20914">
        <v>1549</v>
      </c>
      <c r="M20914" t="e">
        <f>- AVON PL</f>
        <v>#NAME?</v>
      </c>
      <c r="N20914" t="s">
        <v>30</v>
      </c>
      <c r="O20914" t="s">
        <v>31</v>
      </c>
      <c r="P20914" t="str">
        <f>"15221"</f>
        <v>15221</v>
      </c>
    </row>
    <row r="20915" spans="1:16" x14ac:dyDescent="0.25">
      <c r="A20915" t="str">
        <f>"1300033B00073    00"</f>
        <v>1300033B00073    00</v>
      </c>
      <c r="B20915" t="s">
        <v>43588</v>
      </c>
      <c r="C20915" t="s">
        <v>45397</v>
      </c>
      <c r="E20915" t="s">
        <v>39</v>
      </c>
      <c r="F20915">
        <v>0</v>
      </c>
      <c r="G20915">
        <v>0</v>
      </c>
      <c r="H20915">
        <v>7</v>
      </c>
      <c r="I20915" s="3">
        <v>3318.33</v>
      </c>
      <c r="J20915" s="3">
        <v>1130.3599999999999</v>
      </c>
      <c r="L20915">
        <v>1049</v>
      </c>
      <c r="M20915" t="s">
        <v>37737</v>
      </c>
      <c r="N20915" t="s">
        <v>30</v>
      </c>
      <c r="O20915" t="s">
        <v>31</v>
      </c>
      <c r="P20915" t="str">
        <f>"15212"</f>
        <v>15212</v>
      </c>
    </row>
    <row r="20916" spans="1:16" x14ac:dyDescent="0.25">
      <c r="A20916" t="str">
        <f>"1300033B00077    00"</f>
        <v>1300033B00077    00</v>
      </c>
      <c r="B20916" t="s">
        <v>45398</v>
      </c>
      <c r="C20916" t="s">
        <v>45399</v>
      </c>
      <c r="D20916" t="s">
        <v>20</v>
      </c>
      <c r="E20916" t="s">
        <v>39</v>
      </c>
      <c r="F20916">
        <v>0</v>
      </c>
      <c r="G20916">
        <v>0</v>
      </c>
      <c r="H20916">
        <v>1</v>
      </c>
      <c r="I20916" s="3">
        <v>476.5</v>
      </c>
      <c r="J20916" s="3">
        <v>0</v>
      </c>
      <c r="K20916" t="s">
        <v>45400</v>
      </c>
      <c r="L20916">
        <v>2028</v>
      </c>
      <c r="M20916" t="s">
        <v>2966</v>
      </c>
      <c r="N20916" t="s">
        <v>30</v>
      </c>
      <c r="O20916" t="s">
        <v>31</v>
      </c>
      <c r="P20916" t="str">
        <f>"15226"</f>
        <v>15226</v>
      </c>
    </row>
    <row r="20917" spans="1:16" x14ac:dyDescent="0.25">
      <c r="A20917" t="str">
        <f>"1300033B00080    00"</f>
        <v>1300033B00080    00</v>
      </c>
      <c r="B20917" t="s">
        <v>45401</v>
      </c>
      <c r="C20917" t="s">
        <v>45402</v>
      </c>
      <c r="D20917" t="s">
        <v>20</v>
      </c>
      <c r="E20917" t="s">
        <v>39</v>
      </c>
      <c r="F20917">
        <v>0</v>
      </c>
      <c r="G20917">
        <v>0</v>
      </c>
      <c r="H20917">
        <v>2</v>
      </c>
      <c r="I20917" s="3">
        <v>1082.5999999999999</v>
      </c>
      <c r="J20917" s="3">
        <v>0</v>
      </c>
      <c r="K20917" t="s">
        <v>45403</v>
      </c>
      <c r="L20917">
        <v>5831</v>
      </c>
      <c r="M20917" t="s">
        <v>45404</v>
      </c>
      <c r="N20917" t="s">
        <v>30</v>
      </c>
      <c r="O20917" t="s">
        <v>31</v>
      </c>
      <c r="P20917" t="str">
        <f>"15217"</f>
        <v>15217</v>
      </c>
    </row>
    <row r="20918" spans="1:16" x14ac:dyDescent="0.25">
      <c r="A20918" t="str">
        <f>"1300033B00082    00"</f>
        <v>1300033B00082    00</v>
      </c>
      <c r="B20918" t="s">
        <v>45405</v>
      </c>
      <c r="C20918" t="s">
        <v>45406</v>
      </c>
      <c r="D20918" t="s">
        <v>20</v>
      </c>
      <c r="E20918" t="s">
        <v>39</v>
      </c>
      <c r="F20918">
        <v>0</v>
      </c>
      <c r="G20918">
        <v>0</v>
      </c>
      <c r="H20918">
        <v>2</v>
      </c>
      <c r="I20918" s="3">
        <v>983.5</v>
      </c>
      <c r="J20918" s="3">
        <v>0</v>
      </c>
      <c r="L20918">
        <v>7947</v>
      </c>
      <c r="M20918" t="s">
        <v>4272</v>
      </c>
      <c r="N20918" t="s">
        <v>4273</v>
      </c>
      <c r="O20918" t="s">
        <v>31</v>
      </c>
      <c r="P20918" t="str">
        <f>"19027"</f>
        <v>19027</v>
      </c>
    </row>
    <row r="20919" spans="1:16" x14ac:dyDescent="0.25">
      <c r="A20919" t="str">
        <f>"1300033B00088    00"</f>
        <v>1300033B00088    00</v>
      </c>
      <c r="B20919" t="s">
        <v>45407</v>
      </c>
      <c r="C20919" t="s">
        <v>45408</v>
      </c>
      <c r="D20919" t="s">
        <v>20</v>
      </c>
      <c r="E20919" t="s">
        <v>39</v>
      </c>
      <c r="F20919">
        <v>0</v>
      </c>
      <c r="G20919">
        <v>0</v>
      </c>
      <c r="H20919">
        <v>19</v>
      </c>
      <c r="I20919" s="3">
        <v>210.88</v>
      </c>
      <c r="J20919" s="3">
        <v>189.11</v>
      </c>
      <c r="K20919" t="s">
        <v>1037</v>
      </c>
      <c r="M20919" t="s">
        <v>45409</v>
      </c>
      <c r="N20919" t="s">
        <v>30</v>
      </c>
      <c r="O20919" t="s">
        <v>31</v>
      </c>
      <c r="P20919" t="str">
        <f>"15227"</f>
        <v>15227</v>
      </c>
    </row>
    <row r="20920" spans="1:16" x14ac:dyDescent="0.25">
      <c r="A20920" t="str">
        <f>"1300033B00091    00"</f>
        <v>1300033B00091    00</v>
      </c>
      <c r="B20920" t="s">
        <v>45410</v>
      </c>
      <c r="C20920" t="s">
        <v>45411</v>
      </c>
      <c r="D20920" t="s">
        <v>20</v>
      </c>
      <c r="E20920" t="s">
        <v>39</v>
      </c>
      <c r="F20920">
        <v>0</v>
      </c>
      <c r="G20920">
        <v>0</v>
      </c>
      <c r="H20920">
        <v>5</v>
      </c>
      <c r="I20920" s="3">
        <v>1695.7</v>
      </c>
      <c r="J20920" s="3">
        <v>292.94</v>
      </c>
      <c r="L20920">
        <v>129</v>
      </c>
      <c r="M20920" t="s">
        <v>25585</v>
      </c>
      <c r="N20920" t="s">
        <v>30</v>
      </c>
      <c r="O20920" t="s">
        <v>31</v>
      </c>
      <c r="P20920" t="str">
        <f>"15210"</f>
        <v>15210</v>
      </c>
    </row>
    <row r="20921" spans="1:16" x14ac:dyDescent="0.25">
      <c r="A20921" t="str">
        <f>"1300033B00101    00"</f>
        <v>1300033B00101    00</v>
      </c>
      <c r="B20921" t="s">
        <v>44471</v>
      </c>
      <c r="C20921" t="s">
        <v>45412</v>
      </c>
      <c r="D20921" t="s">
        <v>20</v>
      </c>
      <c r="E20921" t="s">
        <v>39</v>
      </c>
      <c r="F20921">
        <v>0</v>
      </c>
      <c r="G20921">
        <v>0</v>
      </c>
      <c r="H20921">
        <v>4</v>
      </c>
      <c r="I20921" s="3">
        <v>1879.53</v>
      </c>
      <c r="J20921" s="3">
        <v>203.64</v>
      </c>
      <c r="K20921" t="s">
        <v>44473</v>
      </c>
      <c r="L20921">
        <v>3225</v>
      </c>
      <c r="M20921" t="s">
        <v>25686</v>
      </c>
      <c r="N20921" t="s">
        <v>1320</v>
      </c>
      <c r="O20921" t="s">
        <v>1321</v>
      </c>
      <c r="P20921" t="str">
        <f>"89121"</f>
        <v>89121</v>
      </c>
    </row>
    <row r="20922" spans="1:16" x14ac:dyDescent="0.25">
      <c r="A20922" t="str">
        <f>"1300033B00102    00"</f>
        <v>1300033B00102    00</v>
      </c>
      <c r="B20922" t="s">
        <v>45413</v>
      </c>
      <c r="C20922" t="s">
        <v>45414</v>
      </c>
      <c r="D20922" t="s">
        <v>20</v>
      </c>
      <c r="E20922" t="s">
        <v>39</v>
      </c>
      <c r="F20922">
        <v>0</v>
      </c>
      <c r="G20922">
        <v>0</v>
      </c>
      <c r="H20922">
        <v>13</v>
      </c>
      <c r="I20922" s="3">
        <v>6094.76</v>
      </c>
      <c r="J20922" s="3">
        <v>3633.66</v>
      </c>
      <c r="L20922">
        <v>112</v>
      </c>
      <c r="M20922" t="s">
        <v>25585</v>
      </c>
      <c r="N20922" t="s">
        <v>30</v>
      </c>
      <c r="O20922" t="s">
        <v>31</v>
      </c>
      <c r="P20922" t="str">
        <f>"15210"</f>
        <v>15210</v>
      </c>
    </row>
    <row r="20923" spans="1:16" x14ac:dyDescent="0.25">
      <c r="A20923" t="str">
        <f>"1300033B00110    00"</f>
        <v>1300033B00110    00</v>
      </c>
      <c r="B20923" t="s">
        <v>45415</v>
      </c>
      <c r="C20923" t="s">
        <v>45416</v>
      </c>
      <c r="D20923" t="s">
        <v>20</v>
      </c>
      <c r="E20923" t="s">
        <v>39</v>
      </c>
      <c r="F20923">
        <v>0</v>
      </c>
      <c r="G20923">
        <v>0</v>
      </c>
      <c r="H20923">
        <v>1</v>
      </c>
      <c r="I20923" s="3">
        <v>118.94</v>
      </c>
      <c r="J20923" s="3">
        <v>0</v>
      </c>
      <c r="L20923">
        <v>220</v>
      </c>
      <c r="M20923" t="s">
        <v>22055</v>
      </c>
      <c r="N20923" t="s">
        <v>30</v>
      </c>
      <c r="O20923" t="s">
        <v>31</v>
      </c>
      <c r="P20923" t="str">
        <f>"15210"</f>
        <v>15210</v>
      </c>
    </row>
    <row r="20924" spans="1:16" x14ac:dyDescent="0.25">
      <c r="A20924" t="str">
        <f>"1300033B00112    00"</f>
        <v>1300033B00112    00</v>
      </c>
      <c r="B20924" t="s">
        <v>23116</v>
      </c>
      <c r="C20924" t="s">
        <v>45417</v>
      </c>
      <c r="E20924" t="s">
        <v>39</v>
      </c>
      <c r="F20924">
        <v>0</v>
      </c>
      <c r="G20924">
        <v>0</v>
      </c>
      <c r="H20924">
        <v>2</v>
      </c>
      <c r="I20924" s="3">
        <v>953</v>
      </c>
      <c r="J20924" s="3">
        <v>95.3</v>
      </c>
      <c r="K20924" t="s">
        <v>23118</v>
      </c>
      <c r="L20924">
        <v>6425</v>
      </c>
      <c r="M20924" t="s">
        <v>23119</v>
      </c>
      <c r="N20924" t="s">
        <v>30</v>
      </c>
      <c r="O20924" t="s">
        <v>31</v>
      </c>
      <c r="P20924" t="str">
        <f>"15206"</f>
        <v>15206</v>
      </c>
    </row>
    <row r="20925" spans="1:16" x14ac:dyDescent="0.25">
      <c r="A20925" t="str">
        <f>"1300033B00113    00"</f>
        <v>1300033B00113    00</v>
      </c>
      <c r="B20925" t="s">
        <v>45418</v>
      </c>
      <c r="C20925" t="s">
        <v>45370</v>
      </c>
      <c r="D20925" t="s">
        <v>20</v>
      </c>
      <c r="E20925" t="s">
        <v>39</v>
      </c>
      <c r="F20925">
        <v>0</v>
      </c>
      <c r="G20925">
        <v>0</v>
      </c>
      <c r="H20925">
        <v>19</v>
      </c>
      <c r="I20925" s="3">
        <v>1994</v>
      </c>
      <c r="J20925" s="3">
        <v>1332.53</v>
      </c>
      <c r="L20925">
        <v>226</v>
      </c>
      <c r="M20925" t="s">
        <v>22055</v>
      </c>
      <c r="N20925" t="s">
        <v>30</v>
      </c>
      <c r="O20925" t="s">
        <v>31</v>
      </c>
      <c r="P20925" t="str">
        <f>"15210"</f>
        <v>15210</v>
      </c>
    </row>
    <row r="20926" spans="1:16" x14ac:dyDescent="0.25">
      <c r="A20926" t="str">
        <f>"1300033B00115    00"</f>
        <v>1300033B00115    00</v>
      </c>
      <c r="B20926" t="s">
        <v>26238</v>
      </c>
      <c r="C20926" t="s">
        <v>45419</v>
      </c>
      <c r="D20926" t="s">
        <v>20</v>
      </c>
      <c r="E20926" t="s">
        <v>39</v>
      </c>
      <c r="F20926">
        <v>0</v>
      </c>
      <c r="G20926">
        <v>0</v>
      </c>
      <c r="H20926">
        <v>1</v>
      </c>
      <c r="I20926" s="3">
        <v>343.08</v>
      </c>
      <c r="J20926" s="3">
        <v>0</v>
      </c>
      <c r="L20926">
        <v>154</v>
      </c>
      <c r="M20926" t="s">
        <v>22141</v>
      </c>
      <c r="N20926" t="s">
        <v>30</v>
      </c>
      <c r="O20926" t="s">
        <v>31</v>
      </c>
      <c r="P20926" t="str">
        <f>"15236"</f>
        <v>15236</v>
      </c>
    </row>
    <row r="20927" spans="1:16" x14ac:dyDescent="0.25">
      <c r="A20927" t="str">
        <f>"1300033B00116    00"</f>
        <v>1300033B00116    00</v>
      </c>
      <c r="B20927" t="s">
        <v>22139</v>
      </c>
      <c r="C20927" t="s">
        <v>45420</v>
      </c>
      <c r="D20927" t="s">
        <v>20</v>
      </c>
      <c r="E20927" t="s">
        <v>39</v>
      </c>
      <c r="F20927">
        <v>0</v>
      </c>
      <c r="G20927">
        <v>0</v>
      </c>
      <c r="H20927">
        <v>1</v>
      </c>
      <c r="I20927" s="3">
        <v>343.08</v>
      </c>
      <c r="J20927" s="3">
        <v>0</v>
      </c>
      <c r="L20927">
        <v>154</v>
      </c>
      <c r="M20927" t="s">
        <v>22141</v>
      </c>
      <c r="N20927" t="s">
        <v>30</v>
      </c>
      <c r="O20927" t="s">
        <v>31</v>
      </c>
      <c r="P20927" t="str">
        <f>"15236"</f>
        <v>15236</v>
      </c>
    </row>
    <row r="20928" spans="1:16" x14ac:dyDescent="0.25">
      <c r="A20928" t="str">
        <f>"1300033B00120    00"</f>
        <v>1300033B00120    00</v>
      </c>
      <c r="B20928" t="s">
        <v>45421</v>
      </c>
      <c r="C20928" t="s">
        <v>45422</v>
      </c>
      <c r="D20928" t="s">
        <v>20</v>
      </c>
      <c r="E20928" t="s">
        <v>39</v>
      </c>
      <c r="F20928">
        <v>0</v>
      </c>
      <c r="G20928">
        <v>0</v>
      </c>
      <c r="H20928">
        <v>2</v>
      </c>
      <c r="I20928" s="3">
        <v>1185.54</v>
      </c>
      <c r="J20928" s="3">
        <v>0</v>
      </c>
      <c r="K20928" t="s">
        <v>45423</v>
      </c>
      <c r="L20928">
        <v>1507</v>
      </c>
      <c r="M20928" t="s">
        <v>45424</v>
      </c>
      <c r="N20928" t="s">
        <v>45425</v>
      </c>
      <c r="O20928" t="s">
        <v>495</v>
      </c>
      <c r="P20928" t="str">
        <f>"91791"</f>
        <v>91791</v>
      </c>
    </row>
    <row r="20929" spans="1:16" x14ac:dyDescent="0.25">
      <c r="A20929" t="str">
        <f>"1300033B00121    00"</f>
        <v>1300033B00121    00</v>
      </c>
      <c r="B20929" t="s">
        <v>45426</v>
      </c>
      <c r="C20929" t="s">
        <v>45427</v>
      </c>
      <c r="D20929" t="s">
        <v>20</v>
      </c>
      <c r="E20929" t="s">
        <v>39</v>
      </c>
      <c r="F20929">
        <v>0</v>
      </c>
      <c r="G20929">
        <v>0</v>
      </c>
      <c r="H20929">
        <v>1</v>
      </c>
      <c r="I20929" s="3">
        <v>491.74</v>
      </c>
      <c r="J20929" s="3">
        <v>0</v>
      </c>
      <c r="L20929">
        <v>2028</v>
      </c>
      <c r="M20929" t="s">
        <v>2966</v>
      </c>
      <c r="N20929" t="s">
        <v>30</v>
      </c>
      <c r="O20929" t="s">
        <v>31</v>
      </c>
      <c r="P20929" t="str">
        <f>"15226"</f>
        <v>15226</v>
      </c>
    </row>
    <row r="20930" spans="1:16" x14ac:dyDescent="0.25">
      <c r="A20930" t="str">
        <f>"1300033B00128    00"</f>
        <v>1300033B00128    00</v>
      </c>
      <c r="B20930" t="s">
        <v>45428</v>
      </c>
      <c r="C20930" t="s">
        <v>45429</v>
      </c>
      <c r="D20930" t="s">
        <v>20</v>
      </c>
      <c r="E20930" t="s">
        <v>39</v>
      </c>
      <c r="F20930">
        <v>0</v>
      </c>
      <c r="G20930">
        <v>0</v>
      </c>
      <c r="H20930">
        <v>2</v>
      </c>
      <c r="I20930" s="3">
        <v>299.56</v>
      </c>
      <c r="J20930" s="3">
        <v>0</v>
      </c>
      <c r="L20930">
        <v>304</v>
      </c>
      <c r="M20930" t="s">
        <v>22055</v>
      </c>
      <c r="N20930" t="s">
        <v>30</v>
      </c>
      <c r="O20930" t="s">
        <v>31</v>
      </c>
      <c r="P20930" t="str">
        <f>"15210"</f>
        <v>15210</v>
      </c>
    </row>
    <row r="20931" spans="1:16" x14ac:dyDescent="0.25">
      <c r="A20931" t="str">
        <f>"1300033B00133    00"</f>
        <v>1300033B00133    00</v>
      </c>
      <c r="B20931" t="s">
        <v>45430</v>
      </c>
      <c r="C20931" t="s">
        <v>45431</v>
      </c>
      <c r="D20931" t="s">
        <v>20</v>
      </c>
      <c r="E20931" t="s">
        <v>39</v>
      </c>
      <c r="F20931">
        <v>0</v>
      </c>
      <c r="G20931">
        <v>0</v>
      </c>
      <c r="H20931">
        <v>8</v>
      </c>
      <c r="I20931" s="3">
        <v>5782.91</v>
      </c>
      <c r="J20931" s="3">
        <v>1882.7</v>
      </c>
      <c r="L20931">
        <v>314</v>
      </c>
      <c r="M20931" t="s">
        <v>22055</v>
      </c>
      <c r="N20931" t="s">
        <v>30</v>
      </c>
      <c r="O20931" t="s">
        <v>31</v>
      </c>
      <c r="P20931" t="str">
        <f>"15210"</f>
        <v>15210</v>
      </c>
    </row>
    <row r="20932" spans="1:16" x14ac:dyDescent="0.25">
      <c r="A20932" t="str">
        <f>"1300033B00186    00"</f>
        <v>1300033B00186    00</v>
      </c>
      <c r="B20932" t="s">
        <v>45432</v>
      </c>
      <c r="C20932" t="s">
        <v>45433</v>
      </c>
      <c r="D20932" t="s">
        <v>20</v>
      </c>
      <c r="E20932" t="s">
        <v>39</v>
      </c>
      <c r="F20932">
        <v>0</v>
      </c>
      <c r="G20932">
        <v>0</v>
      </c>
      <c r="H20932">
        <v>19</v>
      </c>
      <c r="I20932" s="3">
        <v>6719.55</v>
      </c>
      <c r="J20932" s="3">
        <v>6109.97</v>
      </c>
      <c r="L20932">
        <v>3</v>
      </c>
      <c r="M20932" t="s">
        <v>45434</v>
      </c>
      <c r="N20932" t="s">
        <v>30</v>
      </c>
      <c r="O20932" t="s">
        <v>31</v>
      </c>
      <c r="P20932" t="str">
        <f>"15210"</f>
        <v>15210</v>
      </c>
    </row>
    <row r="20933" spans="1:16" x14ac:dyDescent="0.25">
      <c r="A20933" t="str">
        <f>"1300033B00188    00"</f>
        <v>1300033B00188    00</v>
      </c>
      <c r="B20933" t="s">
        <v>45435</v>
      </c>
      <c r="C20933" t="s">
        <v>45436</v>
      </c>
      <c r="D20933" t="s">
        <v>20</v>
      </c>
      <c r="E20933" t="s">
        <v>39</v>
      </c>
      <c r="F20933">
        <v>0</v>
      </c>
      <c r="G20933">
        <v>0</v>
      </c>
      <c r="H20933">
        <v>19</v>
      </c>
      <c r="I20933" s="3">
        <v>4240.78</v>
      </c>
      <c r="J20933" s="3">
        <v>5560.89</v>
      </c>
      <c r="L20933">
        <v>411</v>
      </c>
      <c r="M20933" t="s">
        <v>45437</v>
      </c>
      <c r="N20933" t="s">
        <v>30</v>
      </c>
      <c r="O20933" t="s">
        <v>31</v>
      </c>
      <c r="P20933" t="str">
        <f>"15219"</f>
        <v>15219</v>
      </c>
    </row>
    <row r="20934" spans="1:16" x14ac:dyDescent="0.25">
      <c r="A20934" t="str">
        <f>"1300033B00190    00"</f>
        <v>1300033B00190    00</v>
      </c>
      <c r="B20934" t="s">
        <v>45438</v>
      </c>
      <c r="C20934" t="s">
        <v>45439</v>
      </c>
      <c r="D20934" t="s">
        <v>20</v>
      </c>
      <c r="E20934" t="s">
        <v>39</v>
      </c>
      <c r="F20934">
        <v>0</v>
      </c>
      <c r="G20934">
        <v>0</v>
      </c>
      <c r="H20934">
        <v>16</v>
      </c>
      <c r="I20934" s="3">
        <v>5845.4</v>
      </c>
      <c r="J20934" s="3">
        <v>5038.16</v>
      </c>
      <c r="K20934" t="s">
        <v>45440</v>
      </c>
      <c r="L20934">
        <v>815</v>
      </c>
      <c r="M20934" t="s">
        <v>45441</v>
      </c>
      <c r="N20934" t="s">
        <v>163</v>
      </c>
      <c r="O20934" t="s">
        <v>31</v>
      </c>
      <c r="P20934" t="str">
        <f>"19406"</f>
        <v>19406</v>
      </c>
    </row>
    <row r="20935" spans="1:16" x14ac:dyDescent="0.25">
      <c r="A20935" t="str">
        <f>"1300033B00196    00"</f>
        <v>1300033B00196    00</v>
      </c>
      <c r="B20935" t="s">
        <v>45442</v>
      </c>
      <c r="C20935" t="s">
        <v>45443</v>
      </c>
      <c r="D20935" t="s">
        <v>20</v>
      </c>
      <c r="E20935" t="s">
        <v>39</v>
      </c>
      <c r="F20935">
        <v>0</v>
      </c>
      <c r="G20935">
        <v>0</v>
      </c>
      <c r="H20935">
        <v>2</v>
      </c>
      <c r="I20935" s="3">
        <v>770.02</v>
      </c>
      <c r="J20935" s="3">
        <v>0</v>
      </c>
      <c r="L20935">
        <v>203</v>
      </c>
      <c r="M20935" t="s">
        <v>45444</v>
      </c>
      <c r="N20935" t="s">
        <v>22151</v>
      </c>
      <c r="O20935" t="s">
        <v>31</v>
      </c>
      <c r="P20935" t="str">
        <f>"16063"</f>
        <v>16063</v>
      </c>
    </row>
    <row r="20936" spans="1:16" x14ac:dyDescent="0.25">
      <c r="A20936" t="str">
        <f>"1300033B00197    00"</f>
        <v>1300033B00197    00</v>
      </c>
      <c r="B20936" t="s">
        <v>45445</v>
      </c>
      <c r="C20936" t="s">
        <v>45329</v>
      </c>
      <c r="D20936" t="s">
        <v>20</v>
      </c>
      <c r="E20936" t="s">
        <v>39</v>
      </c>
      <c r="F20936">
        <v>0</v>
      </c>
      <c r="G20936">
        <v>0</v>
      </c>
      <c r="H20936">
        <v>19</v>
      </c>
      <c r="I20936" s="3">
        <v>5852.55</v>
      </c>
      <c r="J20936" s="3">
        <v>5736.69</v>
      </c>
      <c r="K20936" t="s">
        <v>45446</v>
      </c>
      <c r="L20936">
        <v>1875</v>
      </c>
      <c r="M20936" t="s">
        <v>45447</v>
      </c>
      <c r="N20936" t="s">
        <v>605</v>
      </c>
      <c r="O20936" t="s">
        <v>606</v>
      </c>
      <c r="P20936" t="str">
        <f>"30349"</f>
        <v>30349</v>
      </c>
    </row>
    <row r="20937" spans="1:16" x14ac:dyDescent="0.25">
      <c r="A20937" t="str">
        <f>"1300033B00198    00"</f>
        <v>1300033B00198    00</v>
      </c>
      <c r="B20937" t="s">
        <v>45448</v>
      </c>
      <c r="C20937" t="s">
        <v>45329</v>
      </c>
      <c r="D20937" t="s">
        <v>20</v>
      </c>
      <c r="E20937" t="s">
        <v>39</v>
      </c>
      <c r="F20937">
        <v>0</v>
      </c>
      <c r="G20937">
        <v>0</v>
      </c>
      <c r="H20937">
        <v>11</v>
      </c>
      <c r="I20937" s="3">
        <v>4064.35</v>
      </c>
      <c r="J20937" s="3">
        <v>2078.9499999999998</v>
      </c>
      <c r="L20937">
        <v>3024</v>
      </c>
      <c r="M20937" t="s">
        <v>45449</v>
      </c>
      <c r="N20937" t="s">
        <v>238</v>
      </c>
      <c r="O20937" t="s">
        <v>31</v>
      </c>
      <c r="P20937" t="str">
        <f>"15132"</f>
        <v>15132</v>
      </c>
    </row>
    <row r="20938" spans="1:16" x14ac:dyDescent="0.25">
      <c r="A20938" t="str">
        <f>"1300033B00201    00"</f>
        <v>1300033B00201    00</v>
      </c>
      <c r="B20938" t="s">
        <v>45450</v>
      </c>
      <c r="C20938" t="s">
        <v>45451</v>
      </c>
      <c r="D20938" t="s">
        <v>20</v>
      </c>
      <c r="E20938" t="s">
        <v>39</v>
      </c>
      <c r="F20938">
        <v>0</v>
      </c>
      <c r="G20938">
        <v>0</v>
      </c>
      <c r="H20938">
        <v>17</v>
      </c>
      <c r="I20938" s="3">
        <v>7171.11</v>
      </c>
      <c r="J20938" s="3">
        <v>6178.49</v>
      </c>
      <c r="L20938">
        <v>251</v>
      </c>
      <c r="M20938" t="s">
        <v>45324</v>
      </c>
      <c r="N20938" t="s">
        <v>30</v>
      </c>
      <c r="O20938" t="s">
        <v>31</v>
      </c>
      <c r="P20938" t="str">
        <f>"15210"</f>
        <v>15210</v>
      </c>
    </row>
    <row r="20939" spans="1:16" x14ac:dyDescent="0.25">
      <c r="A20939" t="str">
        <f>"1300033B00207    00"</f>
        <v>1300033B00207    00</v>
      </c>
      <c r="B20939" t="s">
        <v>45452</v>
      </c>
      <c r="C20939" t="s">
        <v>45453</v>
      </c>
      <c r="D20939" t="s">
        <v>20</v>
      </c>
      <c r="E20939" t="s">
        <v>39</v>
      </c>
      <c r="F20939">
        <v>0</v>
      </c>
      <c r="G20939">
        <v>0</v>
      </c>
      <c r="H20939">
        <v>19</v>
      </c>
      <c r="I20939" s="3">
        <v>16336.43</v>
      </c>
      <c r="J20939" s="3">
        <v>15986.25</v>
      </c>
      <c r="M20939" t="s">
        <v>26424</v>
      </c>
      <c r="N20939" t="s">
        <v>30</v>
      </c>
      <c r="O20939" t="s">
        <v>31</v>
      </c>
      <c r="P20939" t="str">
        <f>"15210"</f>
        <v>15210</v>
      </c>
    </row>
    <row r="20940" spans="1:16" x14ac:dyDescent="0.25">
      <c r="A20940" t="str">
        <f>"1300033B00208    00"</f>
        <v>1300033B00208    00</v>
      </c>
      <c r="B20940" t="s">
        <v>45454</v>
      </c>
      <c r="C20940" t="s">
        <v>45455</v>
      </c>
      <c r="E20940" t="s">
        <v>39</v>
      </c>
      <c r="F20940">
        <v>0</v>
      </c>
      <c r="G20940">
        <v>0</v>
      </c>
      <c r="H20940">
        <v>3</v>
      </c>
      <c r="I20940" s="3">
        <v>1406.39</v>
      </c>
      <c r="J20940" s="3">
        <v>832.64</v>
      </c>
      <c r="L20940">
        <v>307</v>
      </c>
      <c r="M20940" t="s">
        <v>45324</v>
      </c>
      <c r="N20940" t="s">
        <v>30</v>
      </c>
      <c r="O20940" t="s">
        <v>31</v>
      </c>
      <c r="P20940" t="str">
        <f>"15210"</f>
        <v>15210</v>
      </c>
    </row>
    <row r="20941" spans="1:16" x14ac:dyDescent="0.25">
      <c r="A20941" t="str">
        <f>"1300033B00211    00"</f>
        <v>1300033B00211    00</v>
      </c>
      <c r="B20941" t="s">
        <v>45456</v>
      </c>
      <c r="C20941" t="s">
        <v>45457</v>
      </c>
      <c r="D20941" t="s">
        <v>20</v>
      </c>
      <c r="E20941" t="s">
        <v>39</v>
      </c>
      <c r="F20941">
        <v>0</v>
      </c>
      <c r="G20941">
        <v>0</v>
      </c>
      <c r="H20941">
        <v>16</v>
      </c>
      <c r="I20941" s="3">
        <v>5921.02</v>
      </c>
      <c r="J20941" s="3">
        <v>4208.32</v>
      </c>
      <c r="L20941">
        <v>2637</v>
      </c>
      <c r="M20941" t="s">
        <v>45458</v>
      </c>
      <c r="N20941" t="s">
        <v>15361</v>
      </c>
      <c r="O20941" t="s">
        <v>2109</v>
      </c>
      <c r="P20941" t="str">
        <f>"84414"</f>
        <v>84414</v>
      </c>
    </row>
    <row r="20942" spans="1:16" x14ac:dyDescent="0.25">
      <c r="A20942" t="str">
        <f>"1300033B00212    00"</f>
        <v>1300033B00212    00</v>
      </c>
      <c r="B20942" t="s">
        <v>45459</v>
      </c>
      <c r="C20942" t="s">
        <v>45329</v>
      </c>
      <c r="D20942" t="s">
        <v>20</v>
      </c>
      <c r="E20942" t="s">
        <v>39</v>
      </c>
      <c r="F20942">
        <v>0</v>
      </c>
      <c r="G20942">
        <v>0</v>
      </c>
      <c r="H20942">
        <v>15</v>
      </c>
      <c r="I20942" s="3">
        <v>2660</v>
      </c>
      <c r="J20942" s="3">
        <v>2004.97</v>
      </c>
      <c r="K20942" t="s">
        <v>45460</v>
      </c>
      <c r="L20942">
        <v>5003</v>
      </c>
      <c r="M20942" t="s">
        <v>45461</v>
      </c>
      <c r="N20942" t="s">
        <v>45462</v>
      </c>
      <c r="O20942" t="s">
        <v>370</v>
      </c>
      <c r="P20942" t="str">
        <f>"34758"</f>
        <v>34758</v>
      </c>
    </row>
    <row r="20943" spans="1:16" x14ac:dyDescent="0.25">
      <c r="A20943" t="str">
        <f>"1300033B00220    00"</f>
        <v>1300033B00220    00</v>
      </c>
      <c r="B20943" t="s">
        <v>45463</v>
      </c>
      <c r="C20943" t="s">
        <v>45329</v>
      </c>
      <c r="D20943" t="s">
        <v>20</v>
      </c>
      <c r="E20943" t="s">
        <v>39</v>
      </c>
      <c r="F20943">
        <v>0</v>
      </c>
      <c r="G20943">
        <v>0</v>
      </c>
      <c r="H20943">
        <v>16</v>
      </c>
      <c r="I20943" s="3">
        <v>4500.57</v>
      </c>
      <c r="J20943" s="3">
        <v>5387.95</v>
      </c>
      <c r="K20943" t="s">
        <v>45464</v>
      </c>
      <c r="L20943">
        <v>4326</v>
      </c>
      <c r="M20943" t="s">
        <v>45465</v>
      </c>
      <c r="N20943" t="s">
        <v>28701</v>
      </c>
      <c r="O20943" t="s">
        <v>495</v>
      </c>
      <c r="P20943" t="str">
        <f>"94587"</f>
        <v>94587</v>
      </c>
    </row>
    <row r="20944" spans="1:16" x14ac:dyDescent="0.25">
      <c r="A20944" t="str">
        <f>"1300033B00226    00"</f>
        <v>1300033B00226    00</v>
      </c>
      <c r="B20944" t="s">
        <v>45466</v>
      </c>
      <c r="C20944" t="s">
        <v>45467</v>
      </c>
      <c r="D20944" t="s">
        <v>20</v>
      </c>
      <c r="E20944" t="s">
        <v>39</v>
      </c>
      <c r="F20944">
        <v>0</v>
      </c>
      <c r="G20944">
        <v>0</v>
      </c>
      <c r="H20944">
        <v>5</v>
      </c>
      <c r="I20944" s="3">
        <v>1441.32</v>
      </c>
      <c r="J20944" s="3">
        <v>248.99</v>
      </c>
      <c r="K20944" t="s">
        <v>45090</v>
      </c>
      <c r="M20944" t="s">
        <v>25331</v>
      </c>
      <c r="N20944" t="s">
        <v>199</v>
      </c>
      <c r="O20944" t="s">
        <v>200</v>
      </c>
      <c r="P20944" t="str">
        <f>"10150"</f>
        <v>10150</v>
      </c>
    </row>
    <row r="20945" spans="1:16" x14ac:dyDescent="0.25">
      <c r="A20945" t="str">
        <f>"1300033B00237    00"</f>
        <v>1300033B00237    00</v>
      </c>
      <c r="B20945" t="s">
        <v>45468</v>
      </c>
      <c r="C20945" t="s">
        <v>45329</v>
      </c>
      <c r="E20945" t="s">
        <v>39</v>
      </c>
      <c r="F20945">
        <v>0</v>
      </c>
      <c r="G20945">
        <v>0</v>
      </c>
      <c r="H20945">
        <v>14</v>
      </c>
      <c r="I20945" s="3">
        <v>223.99</v>
      </c>
      <c r="J20945" s="3">
        <v>257.18</v>
      </c>
      <c r="L20945">
        <v>344</v>
      </c>
      <c r="M20945" t="s">
        <v>45324</v>
      </c>
      <c r="N20945" t="s">
        <v>30</v>
      </c>
      <c r="O20945" t="s">
        <v>31</v>
      </c>
      <c r="P20945" t="str">
        <f>"15210"</f>
        <v>15210</v>
      </c>
    </row>
    <row r="20946" spans="1:16" x14ac:dyDescent="0.25">
      <c r="A20946" t="str">
        <f>"1300033B00238    00"</f>
        <v>1300033B00238    00</v>
      </c>
      <c r="B20946" t="s">
        <v>14030</v>
      </c>
      <c r="C20946" t="s">
        <v>45329</v>
      </c>
      <c r="D20946" t="s">
        <v>20</v>
      </c>
      <c r="E20946" t="s">
        <v>39</v>
      </c>
      <c r="F20946">
        <v>0</v>
      </c>
      <c r="G20946">
        <v>0</v>
      </c>
      <c r="H20946">
        <v>16</v>
      </c>
      <c r="I20946" s="3">
        <v>4316.43</v>
      </c>
      <c r="J20946" s="3">
        <v>5410.21</v>
      </c>
      <c r="L20946">
        <v>4991</v>
      </c>
      <c r="M20946" t="s">
        <v>17588</v>
      </c>
      <c r="N20946" t="s">
        <v>9967</v>
      </c>
      <c r="O20946" t="s">
        <v>692</v>
      </c>
      <c r="P20946" t="str">
        <f>"23060"</f>
        <v>23060</v>
      </c>
    </row>
    <row r="20947" spans="1:16" x14ac:dyDescent="0.25">
      <c r="A20947" t="str">
        <f>"1300033B00239    00"</f>
        <v>1300033B00239    00</v>
      </c>
      <c r="B20947" t="s">
        <v>45469</v>
      </c>
      <c r="C20947" t="s">
        <v>45470</v>
      </c>
      <c r="D20947" t="s">
        <v>20</v>
      </c>
      <c r="E20947" t="s">
        <v>39</v>
      </c>
      <c r="F20947">
        <v>0</v>
      </c>
      <c r="G20947">
        <v>0</v>
      </c>
      <c r="H20947">
        <v>4</v>
      </c>
      <c r="I20947" s="3">
        <v>3050.03</v>
      </c>
      <c r="J20947" s="3">
        <v>337.32</v>
      </c>
      <c r="K20947" t="s">
        <v>45471</v>
      </c>
      <c r="M20947" t="s">
        <v>45472</v>
      </c>
      <c r="N20947" t="s">
        <v>30</v>
      </c>
      <c r="O20947" t="s">
        <v>31</v>
      </c>
      <c r="P20947" t="str">
        <f>"15206"</f>
        <v>15206</v>
      </c>
    </row>
    <row r="20948" spans="1:16" x14ac:dyDescent="0.25">
      <c r="A20948" t="str">
        <f>"1300033B00240    00"</f>
        <v>1300033B00240    00</v>
      </c>
      <c r="B20948" t="s">
        <v>45473</v>
      </c>
      <c r="C20948" t="s">
        <v>45474</v>
      </c>
      <c r="D20948" t="s">
        <v>20</v>
      </c>
      <c r="E20948" t="s">
        <v>39</v>
      </c>
      <c r="F20948">
        <v>0</v>
      </c>
      <c r="G20948">
        <v>0</v>
      </c>
      <c r="H20948">
        <v>3</v>
      </c>
      <c r="I20948" s="3">
        <v>628.98</v>
      </c>
      <c r="J20948" s="3">
        <v>41.93</v>
      </c>
      <c r="L20948">
        <v>190</v>
      </c>
      <c r="M20948" t="s">
        <v>23355</v>
      </c>
      <c r="N20948" t="s">
        <v>6351</v>
      </c>
      <c r="O20948" t="s">
        <v>31</v>
      </c>
      <c r="P20948" t="str">
        <f>"16059"</f>
        <v>16059</v>
      </c>
    </row>
    <row r="20949" spans="1:16" x14ac:dyDescent="0.25">
      <c r="A20949" t="str">
        <f>"1300033B00241    00"</f>
        <v>1300033B00241    00</v>
      </c>
      <c r="B20949" t="s">
        <v>45475</v>
      </c>
      <c r="C20949" t="s">
        <v>45476</v>
      </c>
      <c r="D20949" t="s">
        <v>20</v>
      </c>
      <c r="E20949" t="s">
        <v>39</v>
      </c>
      <c r="F20949">
        <v>0</v>
      </c>
      <c r="G20949">
        <v>0</v>
      </c>
      <c r="H20949">
        <v>2</v>
      </c>
      <c r="I20949" s="3">
        <v>571.79999999999995</v>
      </c>
      <c r="J20949" s="3">
        <v>0</v>
      </c>
      <c r="L20949">
        <v>332</v>
      </c>
      <c r="M20949" t="s">
        <v>45324</v>
      </c>
      <c r="N20949" t="s">
        <v>30</v>
      </c>
      <c r="O20949" t="s">
        <v>31</v>
      </c>
      <c r="P20949" t="str">
        <f t="shared" ref="P20949:P20956" si="261">"15210"</f>
        <v>15210</v>
      </c>
    </row>
    <row r="20950" spans="1:16" x14ac:dyDescent="0.25">
      <c r="A20950" t="str">
        <f>"1300033B00243    00"</f>
        <v>1300033B00243    00</v>
      </c>
      <c r="B20950" t="s">
        <v>45477</v>
      </c>
      <c r="C20950" t="s">
        <v>45329</v>
      </c>
      <c r="D20950" t="s">
        <v>20</v>
      </c>
      <c r="E20950" t="s">
        <v>39</v>
      </c>
      <c r="F20950">
        <v>0</v>
      </c>
      <c r="G20950">
        <v>0</v>
      </c>
      <c r="H20950">
        <v>1</v>
      </c>
      <c r="I20950" s="3">
        <v>43.85</v>
      </c>
      <c r="J20950" s="3">
        <v>0</v>
      </c>
      <c r="K20950" t="s">
        <v>45478</v>
      </c>
      <c r="L20950">
        <v>330</v>
      </c>
      <c r="M20950" t="s">
        <v>45324</v>
      </c>
      <c r="N20950" t="s">
        <v>30</v>
      </c>
      <c r="O20950" t="s">
        <v>31</v>
      </c>
      <c r="P20950" t="str">
        <f t="shared" si="261"/>
        <v>15210</v>
      </c>
    </row>
    <row r="20951" spans="1:16" x14ac:dyDescent="0.25">
      <c r="A20951" t="str">
        <f>"1300033B00247    00"</f>
        <v>1300033B00247    00</v>
      </c>
      <c r="B20951" t="s">
        <v>45479</v>
      </c>
      <c r="C20951" t="s">
        <v>45480</v>
      </c>
      <c r="D20951" t="s">
        <v>20</v>
      </c>
      <c r="E20951" t="s">
        <v>39</v>
      </c>
      <c r="F20951">
        <v>0</v>
      </c>
      <c r="G20951">
        <v>0</v>
      </c>
      <c r="H20951">
        <v>11</v>
      </c>
      <c r="I20951" s="3">
        <v>4760.16</v>
      </c>
      <c r="J20951" s="3">
        <v>2358.9899999999998</v>
      </c>
      <c r="L20951">
        <v>320</v>
      </c>
      <c r="M20951" t="s">
        <v>45324</v>
      </c>
      <c r="N20951" t="s">
        <v>30</v>
      </c>
      <c r="O20951" t="s">
        <v>31</v>
      </c>
      <c r="P20951" t="str">
        <f t="shared" si="261"/>
        <v>15210</v>
      </c>
    </row>
    <row r="20952" spans="1:16" x14ac:dyDescent="0.25">
      <c r="A20952" t="str">
        <f>"1300033B00248    00"</f>
        <v>1300033B00248    00</v>
      </c>
      <c r="B20952" t="s">
        <v>45481</v>
      </c>
      <c r="C20952" t="s">
        <v>45482</v>
      </c>
      <c r="D20952" t="s">
        <v>20</v>
      </c>
      <c r="E20952" t="s">
        <v>39</v>
      </c>
      <c r="F20952">
        <v>0</v>
      </c>
      <c r="G20952">
        <v>0</v>
      </c>
      <c r="H20952">
        <v>2</v>
      </c>
      <c r="I20952" s="3">
        <v>876.76</v>
      </c>
      <c r="J20952" s="3">
        <v>0</v>
      </c>
      <c r="L20952">
        <v>318</v>
      </c>
      <c r="M20952" t="s">
        <v>45324</v>
      </c>
      <c r="N20952" t="s">
        <v>30</v>
      </c>
      <c r="O20952" t="s">
        <v>31</v>
      </c>
      <c r="P20952" t="str">
        <f t="shared" si="261"/>
        <v>15210</v>
      </c>
    </row>
    <row r="20953" spans="1:16" x14ac:dyDescent="0.25">
      <c r="A20953" t="str">
        <f>"1300033B00249    00"</f>
        <v>1300033B00249    00</v>
      </c>
      <c r="B20953" t="s">
        <v>21908</v>
      </c>
      <c r="C20953" t="s">
        <v>45483</v>
      </c>
      <c r="D20953" t="s">
        <v>20</v>
      </c>
      <c r="E20953" t="s">
        <v>39</v>
      </c>
      <c r="F20953">
        <v>0</v>
      </c>
      <c r="G20953">
        <v>0</v>
      </c>
      <c r="H20953">
        <v>18</v>
      </c>
      <c r="I20953" s="3">
        <v>16335.92</v>
      </c>
      <c r="J20953" s="3">
        <v>13371.13</v>
      </c>
      <c r="L20953">
        <v>316</v>
      </c>
      <c r="M20953" t="s">
        <v>45324</v>
      </c>
      <c r="N20953" t="s">
        <v>30</v>
      </c>
      <c r="O20953" t="s">
        <v>31</v>
      </c>
      <c r="P20953" t="str">
        <f t="shared" si="261"/>
        <v>15210</v>
      </c>
    </row>
    <row r="20954" spans="1:16" x14ac:dyDescent="0.25">
      <c r="A20954" t="str">
        <f>"1300033B00272    00"</f>
        <v>1300033B00272    00</v>
      </c>
      <c r="B20954" t="s">
        <v>45484</v>
      </c>
      <c r="C20954" t="s">
        <v>45485</v>
      </c>
      <c r="D20954" t="s">
        <v>20</v>
      </c>
      <c r="E20954" t="s">
        <v>39</v>
      </c>
      <c r="F20954">
        <v>0</v>
      </c>
      <c r="G20954">
        <v>0</v>
      </c>
      <c r="H20954">
        <v>9</v>
      </c>
      <c r="I20954" s="3">
        <v>10310.719999999999</v>
      </c>
      <c r="J20954" s="3">
        <v>3920.77</v>
      </c>
      <c r="L20954">
        <v>227</v>
      </c>
      <c r="M20954" t="s">
        <v>14738</v>
      </c>
      <c r="N20954" t="s">
        <v>30</v>
      </c>
      <c r="O20954" t="s">
        <v>31</v>
      </c>
      <c r="P20954" t="str">
        <f t="shared" si="261"/>
        <v>15210</v>
      </c>
    </row>
    <row r="20955" spans="1:16" x14ac:dyDescent="0.25">
      <c r="A20955" t="str">
        <f>"1300033B00274    00"</f>
        <v>1300033B00274    00</v>
      </c>
      <c r="B20955" t="s">
        <v>45486</v>
      </c>
      <c r="C20955" t="s">
        <v>45487</v>
      </c>
      <c r="D20955" t="s">
        <v>20</v>
      </c>
      <c r="E20955" t="s">
        <v>39</v>
      </c>
      <c r="F20955">
        <v>0</v>
      </c>
      <c r="G20955">
        <v>0</v>
      </c>
      <c r="H20955">
        <v>3</v>
      </c>
      <c r="I20955" s="3">
        <v>1519.73</v>
      </c>
      <c r="J20955" s="3">
        <v>113.15</v>
      </c>
      <c r="L20955">
        <v>223</v>
      </c>
      <c r="M20955" t="s">
        <v>14738</v>
      </c>
      <c r="N20955" t="s">
        <v>30</v>
      </c>
      <c r="O20955" t="s">
        <v>31</v>
      </c>
      <c r="P20955" t="str">
        <f t="shared" si="261"/>
        <v>15210</v>
      </c>
    </row>
    <row r="20956" spans="1:16" x14ac:dyDescent="0.25">
      <c r="A20956" t="str">
        <f>"1300033B00278    00"</f>
        <v>1300033B00278    00</v>
      </c>
      <c r="B20956" t="s">
        <v>45488</v>
      </c>
      <c r="C20956" t="s">
        <v>45489</v>
      </c>
      <c r="D20956" t="s">
        <v>20</v>
      </c>
      <c r="E20956" t="s">
        <v>39</v>
      </c>
      <c r="F20956">
        <v>0</v>
      </c>
      <c r="G20956">
        <v>0</v>
      </c>
      <c r="H20956">
        <v>13</v>
      </c>
      <c r="I20956" s="3">
        <v>8306.32</v>
      </c>
      <c r="J20956" s="3">
        <v>4205.51</v>
      </c>
      <c r="L20956">
        <v>215</v>
      </c>
      <c r="M20956" t="s">
        <v>14738</v>
      </c>
      <c r="N20956" t="s">
        <v>30</v>
      </c>
      <c r="O20956" t="s">
        <v>31</v>
      </c>
      <c r="P20956" t="str">
        <f t="shared" si="261"/>
        <v>15210</v>
      </c>
    </row>
    <row r="20957" spans="1:16" x14ac:dyDescent="0.25">
      <c r="A20957" t="str">
        <f>"1300033B00279    00"</f>
        <v>1300033B00279    00</v>
      </c>
      <c r="B20957" t="s">
        <v>45490</v>
      </c>
      <c r="C20957" t="s">
        <v>45491</v>
      </c>
      <c r="D20957" t="s">
        <v>20</v>
      </c>
      <c r="E20957" t="s">
        <v>39</v>
      </c>
      <c r="F20957">
        <v>0</v>
      </c>
      <c r="G20957">
        <v>0</v>
      </c>
      <c r="H20957">
        <v>2</v>
      </c>
      <c r="I20957" s="3">
        <v>1861.3</v>
      </c>
      <c r="J20957" s="3">
        <v>0</v>
      </c>
      <c r="K20957" t="s">
        <v>8122</v>
      </c>
      <c r="L20957">
        <v>999</v>
      </c>
      <c r="M20957" t="s">
        <v>8123</v>
      </c>
      <c r="N20957" t="s">
        <v>8124</v>
      </c>
      <c r="O20957" t="s">
        <v>658</v>
      </c>
      <c r="P20957" t="str">
        <f>"73118"</f>
        <v>73118</v>
      </c>
    </row>
    <row r="20958" spans="1:16" x14ac:dyDescent="0.25">
      <c r="A20958" t="str">
        <f>"1300033B00286    00"</f>
        <v>1300033B00286    00</v>
      </c>
      <c r="B20958" t="s">
        <v>45492</v>
      </c>
      <c r="C20958" t="s">
        <v>45493</v>
      </c>
      <c r="D20958" t="s">
        <v>20</v>
      </c>
      <c r="E20958" t="s">
        <v>39</v>
      </c>
      <c r="F20958">
        <v>0</v>
      </c>
      <c r="G20958">
        <v>0</v>
      </c>
      <c r="H20958">
        <v>2</v>
      </c>
      <c r="I20958" s="3">
        <v>938.76</v>
      </c>
      <c r="J20958" s="3">
        <v>0</v>
      </c>
      <c r="K20958" t="s">
        <v>45494</v>
      </c>
      <c r="L20958">
        <v>220</v>
      </c>
      <c r="M20958" t="s">
        <v>14738</v>
      </c>
      <c r="N20958" t="s">
        <v>30</v>
      </c>
      <c r="O20958" t="s">
        <v>31</v>
      </c>
      <c r="P20958" t="str">
        <f>"15210"</f>
        <v>15210</v>
      </c>
    </row>
    <row r="20959" spans="1:16" x14ac:dyDescent="0.25">
      <c r="A20959" t="str">
        <f>"1300033B00289    00"</f>
        <v>1300033B00289    00</v>
      </c>
      <c r="B20959" t="s">
        <v>45495</v>
      </c>
      <c r="C20959" t="s">
        <v>45496</v>
      </c>
      <c r="D20959" t="s">
        <v>20</v>
      </c>
      <c r="E20959" t="s">
        <v>39</v>
      </c>
      <c r="F20959">
        <v>0</v>
      </c>
      <c r="G20959">
        <v>0</v>
      </c>
      <c r="H20959">
        <v>4</v>
      </c>
      <c r="I20959" s="3">
        <v>2159.92</v>
      </c>
      <c r="J20959" s="3">
        <v>664.81</v>
      </c>
      <c r="K20959" t="s">
        <v>45497</v>
      </c>
      <c r="L20959">
        <v>220</v>
      </c>
      <c r="M20959" t="s">
        <v>14738</v>
      </c>
      <c r="N20959" t="s">
        <v>30</v>
      </c>
      <c r="O20959" t="s">
        <v>31</v>
      </c>
      <c r="P20959" t="str">
        <f>"15210"</f>
        <v>15210</v>
      </c>
    </row>
    <row r="20960" spans="1:16" x14ac:dyDescent="0.25">
      <c r="A20960" t="str">
        <f>"1300033B00302    00"</f>
        <v>1300033B00302    00</v>
      </c>
      <c r="B20960" t="s">
        <v>45498</v>
      </c>
      <c r="C20960" t="s">
        <v>45499</v>
      </c>
      <c r="E20960" t="s">
        <v>39</v>
      </c>
      <c r="F20960">
        <v>0</v>
      </c>
      <c r="G20960">
        <v>0</v>
      </c>
      <c r="H20960">
        <v>6</v>
      </c>
      <c r="I20960" s="3">
        <v>6347.11</v>
      </c>
      <c r="J20960" s="3">
        <v>8957.41</v>
      </c>
      <c r="K20960" t="s">
        <v>7050</v>
      </c>
      <c r="L20960">
        <v>901</v>
      </c>
      <c r="M20960" t="s">
        <v>6264</v>
      </c>
      <c r="N20960" t="s">
        <v>30</v>
      </c>
      <c r="O20960" t="s">
        <v>31</v>
      </c>
      <c r="P20960" t="str">
        <f>"15203"</f>
        <v>15203</v>
      </c>
    </row>
    <row r="20961" spans="1:16" x14ac:dyDescent="0.25">
      <c r="A20961" t="str">
        <f>"1300033B00303    00"</f>
        <v>1300033B00303    00</v>
      </c>
      <c r="B20961" t="s">
        <v>45500</v>
      </c>
      <c r="C20961" t="s">
        <v>45501</v>
      </c>
      <c r="D20961" t="s">
        <v>20</v>
      </c>
      <c r="E20961" t="s">
        <v>39</v>
      </c>
      <c r="F20961">
        <v>0</v>
      </c>
      <c r="G20961">
        <v>0</v>
      </c>
      <c r="H20961">
        <v>2</v>
      </c>
      <c r="I20961" s="3">
        <v>1883.16</v>
      </c>
      <c r="J20961" s="3">
        <v>0</v>
      </c>
      <c r="L20961">
        <v>6816</v>
      </c>
      <c r="M20961" t="s">
        <v>45502</v>
      </c>
      <c r="N20961" t="s">
        <v>30</v>
      </c>
      <c r="O20961" t="s">
        <v>31</v>
      </c>
      <c r="P20961" t="str">
        <f>"15236"</f>
        <v>15236</v>
      </c>
    </row>
    <row r="20962" spans="1:16" x14ac:dyDescent="0.25">
      <c r="A20962" t="str">
        <f>"1300033B00307    00"</f>
        <v>1300033B00307    00</v>
      </c>
      <c r="B20962" t="s">
        <v>45503</v>
      </c>
      <c r="C20962" t="s">
        <v>45504</v>
      </c>
      <c r="D20962" t="s">
        <v>20</v>
      </c>
      <c r="E20962" t="s">
        <v>39</v>
      </c>
      <c r="F20962">
        <v>0</v>
      </c>
      <c r="G20962">
        <v>0</v>
      </c>
      <c r="H20962">
        <v>3</v>
      </c>
      <c r="I20962" s="3">
        <v>718.34</v>
      </c>
      <c r="J20962" s="3">
        <v>110.29</v>
      </c>
      <c r="L20962">
        <v>225</v>
      </c>
      <c r="M20962" t="s">
        <v>41017</v>
      </c>
      <c r="N20962" t="s">
        <v>30</v>
      </c>
      <c r="O20962" t="s">
        <v>31</v>
      </c>
      <c r="P20962" t="str">
        <f>"15210"</f>
        <v>15210</v>
      </c>
    </row>
    <row r="20963" spans="1:16" x14ac:dyDescent="0.25">
      <c r="A20963" t="str">
        <f>"1300033B00308    00"</f>
        <v>1300033B00308    00</v>
      </c>
      <c r="B20963" t="s">
        <v>45505</v>
      </c>
      <c r="C20963" t="s">
        <v>45506</v>
      </c>
      <c r="D20963" t="s">
        <v>20</v>
      </c>
      <c r="E20963" t="s">
        <v>39</v>
      </c>
      <c r="F20963">
        <v>0</v>
      </c>
      <c r="G20963">
        <v>0</v>
      </c>
      <c r="H20963">
        <v>15</v>
      </c>
      <c r="I20963" s="3">
        <v>14068.95</v>
      </c>
      <c r="J20963" s="3">
        <v>9309.5300000000007</v>
      </c>
      <c r="L20963">
        <v>317</v>
      </c>
      <c r="M20963" t="s">
        <v>43289</v>
      </c>
      <c r="N20963" t="s">
        <v>30</v>
      </c>
      <c r="O20963" t="s">
        <v>31</v>
      </c>
      <c r="P20963" t="str">
        <f>"15210"</f>
        <v>15210</v>
      </c>
    </row>
    <row r="20964" spans="1:16" x14ac:dyDescent="0.25">
      <c r="A20964" t="str">
        <f>"1300033B00311    00"</f>
        <v>1300033B00311    00</v>
      </c>
      <c r="B20964" t="s">
        <v>45507</v>
      </c>
      <c r="C20964" t="s">
        <v>45508</v>
      </c>
      <c r="D20964" t="s">
        <v>20</v>
      </c>
      <c r="E20964" t="s">
        <v>39</v>
      </c>
      <c r="F20964">
        <v>0</v>
      </c>
      <c r="G20964">
        <v>0</v>
      </c>
      <c r="H20964">
        <v>15</v>
      </c>
      <c r="I20964" s="3">
        <v>7657.66</v>
      </c>
      <c r="J20964" s="3">
        <v>6308.96</v>
      </c>
      <c r="M20964" t="s">
        <v>45509</v>
      </c>
      <c r="N20964" t="s">
        <v>30</v>
      </c>
      <c r="O20964" t="s">
        <v>31</v>
      </c>
      <c r="P20964" t="str">
        <f>"15210"</f>
        <v>15210</v>
      </c>
    </row>
    <row r="20965" spans="1:16" x14ac:dyDescent="0.25">
      <c r="A20965" t="str">
        <f>"1300033B00317    00"</f>
        <v>1300033B00317    00</v>
      </c>
      <c r="B20965" t="s">
        <v>45510</v>
      </c>
      <c r="C20965" t="s">
        <v>45511</v>
      </c>
      <c r="D20965" t="s">
        <v>20</v>
      </c>
      <c r="E20965" t="s">
        <v>39</v>
      </c>
      <c r="F20965">
        <v>0</v>
      </c>
      <c r="G20965">
        <v>0</v>
      </c>
      <c r="H20965">
        <v>16</v>
      </c>
      <c r="I20965" s="3">
        <v>15314.34</v>
      </c>
      <c r="J20965" s="3">
        <v>12309.37</v>
      </c>
      <c r="K20965" t="s">
        <v>45512</v>
      </c>
      <c r="L20965">
        <v>11400</v>
      </c>
      <c r="M20965" t="s">
        <v>11939</v>
      </c>
      <c r="N20965" t="s">
        <v>30</v>
      </c>
      <c r="P20965" t="str">
        <f>"15235"</f>
        <v>15235</v>
      </c>
    </row>
    <row r="20966" spans="1:16" x14ac:dyDescent="0.25">
      <c r="A20966" t="str">
        <f>"1300033B00319    00"</f>
        <v>1300033B00319    00</v>
      </c>
      <c r="B20966" t="s">
        <v>45513</v>
      </c>
      <c r="C20966" t="s">
        <v>45361</v>
      </c>
      <c r="D20966" t="s">
        <v>20</v>
      </c>
      <c r="E20966" t="s">
        <v>39</v>
      </c>
      <c r="F20966">
        <v>0</v>
      </c>
      <c r="G20966">
        <v>0</v>
      </c>
      <c r="H20966">
        <v>12</v>
      </c>
      <c r="I20966" s="3">
        <v>9593.08</v>
      </c>
      <c r="J20966" s="3">
        <v>5198.28</v>
      </c>
      <c r="K20966" t="s">
        <v>45514</v>
      </c>
      <c r="P20966" t="str">
        <f>""</f>
        <v/>
      </c>
    </row>
    <row r="20967" spans="1:16" x14ac:dyDescent="0.25">
      <c r="A20967" t="str">
        <f>"1300033B00320    00"</f>
        <v>1300033B00320    00</v>
      </c>
      <c r="B20967" t="s">
        <v>45515</v>
      </c>
      <c r="C20967" t="s">
        <v>45361</v>
      </c>
      <c r="D20967" t="s">
        <v>20</v>
      </c>
      <c r="E20967" t="s">
        <v>39</v>
      </c>
      <c r="F20967">
        <v>0</v>
      </c>
      <c r="G20967">
        <v>0</v>
      </c>
      <c r="H20967">
        <v>15</v>
      </c>
      <c r="I20967" s="3">
        <v>12225.72</v>
      </c>
      <c r="J20967" s="3">
        <v>8267.7999999999993</v>
      </c>
      <c r="L20967">
        <v>3710</v>
      </c>
      <c r="M20967" t="s">
        <v>45516</v>
      </c>
      <c r="N20967" t="s">
        <v>526</v>
      </c>
      <c r="O20967" t="s">
        <v>527</v>
      </c>
      <c r="P20967" t="str">
        <f>"20020"</f>
        <v>20020</v>
      </c>
    </row>
    <row r="20968" spans="1:16" x14ac:dyDescent="0.25">
      <c r="A20968" t="str">
        <f>"1300033B00321    00"</f>
        <v>1300033B00321    00</v>
      </c>
      <c r="B20968" t="s">
        <v>45517</v>
      </c>
      <c r="C20968" t="s">
        <v>45518</v>
      </c>
      <c r="D20968" t="s">
        <v>20</v>
      </c>
      <c r="E20968" t="s">
        <v>39</v>
      </c>
      <c r="F20968">
        <v>0</v>
      </c>
      <c r="G20968">
        <v>0</v>
      </c>
      <c r="H20968">
        <v>2</v>
      </c>
      <c r="I20968" s="3">
        <v>762.4</v>
      </c>
      <c r="J20968" s="3">
        <v>0</v>
      </c>
      <c r="L20968">
        <v>2529</v>
      </c>
      <c r="M20968" t="s">
        <v>28913</v>
      </c>
      <c r="N20968" t="s">
        <v>30</v>
      </c>
      <c r="O20968" t="s">
        <v>31</v>
      </c>
      <c r="P20968" t="str">
        <f>"15216"</f>
        <v>15216</v>
      </c>
    </row>
    <row r="20969" spans="1:16" x14ac:dyDescent="0.25">
      <c r="A20969" t="str">
        <f>"1300033B00325    00"</f>
        <v>1300033B00325    00</v>
      </c>
      <c r="B20969" t="s">
        <v>26110</v>
      </c>
      <c r="C20969" t="s">
        <v>45361</v>
      </c>
      <c r="D20969" t="s">
        <v>20</v>
      </c>
      <c r="E20969" t="s">
        <v>39</v>
      </c>
      <c r="F20969">
        <v>0</v>
      </c>
      <c r="G20969">
        <v>0</v>
      </c>
      <c r="H20969">
        <v>19</v>
      </c>
      <c r="I20969" s="3">
        <v>298.95999999999998</v>
      </c>
      <c r="J20969" s="3">
        <v>270.45</v>
      </c>
      <c r="K20969" t="s">
        <v>26112</v>
      </c>
      <c r="L20969">
        <v>2790</v>
      </c>
      <c r="M20969" t="s">
        <v>26113</v>
      </c>
      <c r="N20969" t="s">
        <v>23975</v>
      </c>
      <c r="O20969" t="s">
        <v>1321</v>
      </c>
      <c r="P20969" t="str">
        <f>"89502"</f>
        <v>89502</v>
      </c>
    </row>
    <row r="20970" spans="1:16" x14ac:dyDescent="0.25">
      <c r="A20970" t="str">
        <f>"1300033B00327    00"</f>
        <v>1300033B00327    00</v>
      </c>
      <c r="B20970" t="s">
        <v>45519</v>
      </c>
      <c r="C20970" t="s">
        <v>45520</v>
      </c>
      <c r="D20970" t="s">
        <v>20</v>
      </c>
      <c r="E20970" t="s">
        <v>39</v>
      </c>
      <c r="F20970">
        <v>0</v>
      </c>
      <c r="G20970">
        <v>0</v>
      </c>
      <c r="H20970">
        <v>1</v>
      </c>
      <c r="I20970" s="3">
        <v>244</v>
      </c>
      <c r="J20970" s="3">
        <v>0</v>
      </c>
      <c r="K20970" t="s">
        <v>45521</v>
      </c>
      <c r="L20970">
        <v>317</v>
      </c>
      <c r="M20970" t="s">
        <v>41017</v>
      </c>
      <c r="N20970" t="s">
        <v>30</v>
      </c>
      <c r="O20970" t="s">
        <v>31</v>
      </c>
      <c r="P20970" t="str">
        <f>"15210"</f>
        <v>15210</v>
      </c>
    </row>
    <row r="20971" spans="1:16" x14ac:dyDescent="0.25">
      <c r="A20971" t="str">
        <f>"1300033B00328    00"</f>
        <v>1300033B00328    00</v>
      </c>
      <c r="B20971" t="s">
        <v>45522</v>
      </c>
      <c r="C20971" t="s">
        <v>45523</v>
      </c>
      <c r="D20971" t="s">
        <v>20</v>
      </c>
      <c r="E20971" t="s">
        <v>39</v>
      </c>
      <c r="F20971">
        <v>0</v>
      </c>
      <c r="G20971">
        <v>0</v>
      </c>
      <c r="H20971">
        <v>2</v>
      </c>
      <c r="I20971" s="3">
        <v>1947.96</v>
      </c>
      <c r="J20971" s="3">
        <v>0</v>
      </c>
      <c r="L20971">
        <v>720</v>
      </c>
      <c r="M20971" t="s">
        <v>45524</v>
      </c>
      <c r="N20971" t="s">
        <v>541</v>
      </c>
      <c r="O20971" t="s">
        <v>31</v>
      </c>
      <c r="P20971" t="str">
        <f>"15071"</f>
        <v>15071</v>
      </c>
    </row>
    <row r="20972" spans="1:16" x14ac:dyDescent="0.25">
      <c r="A20972" t="str">
        <f>"1300033B00330    00"</f>
        <v>1300033B00330    00</v>
      </c>
      <c r="B20972" t="s">
        <v>35806</v>
      </c>
      <c r="C20972" t="s">
        <v>45525</v>
      </c>
      <c r="D20972" t="s">
        <v>20</v>
      </c>
      <c r="E20972" t="s">
        <v>39</v>
      </c>
      <c r="F20972">
        <v>0</v>
      </c>
      <c r="G20972">
        <v>0</v>
      </c>
      <c r="H20972">
        <v>2</v>
      </c>
      <c r="I20972" s="3">
        <v>1404.66</v>
      </c>
      <c r="J20972" s="3">
        <v>0</v>
      </c>
      <c r="L20972">
        <v>118</v>
      </c>
      <c r="M20972" t="s">
        <v>29147</v>
      </c>
      <c r="N20972" t="s">
        <v>30</v>
      </c>
      <c r="O20972" t="s">
        <v>31</v>
      </c>
      <c r="P20972" t="str">
        <f>"15216"</f>
        <v>15216</v>
      </c>
    </row>
    <row r="20973" spans="1:16" x14ac:dyDescent="0.25">
      <c r="A20973" t="str">
        <f>"1300033B00338    00"</f>
        <v>1300033B00338    00</v>
      </c>
      <c r="B20973" t="s">
        <v>40609</v>
      </c>
      <c r="C20973" t="s">
        <v>45526</v>
      </c>
      <c r="D20973" t="s">
        <v>20</v>
      </c>
      <c r="E20973" t="s">
        <v>39</v>
      </c>
      <c r="F20973">
        <v>0</v>
      </c>
      <c r="G20973">
        <v>0</v>
      </c>
      <c r="H20973">
        <v>19</v>
      </c>
      <c r="I20973" s="3">
        <v>14932.82</v>
      </c>
      <c r="J20973" s="3">
        <v>16398.66</v>
      </c>
      <c r="L20973">
        <v>1717</v>
      </c>
      <c r="M20973" t="s">
        <v>1695</v>
      </c>
      <c r="N20973" t="s">
        <v>30</v>
      </c>
      <c r="O20973" t="s">
        <v>31</v>
      </c>
      <c r="P20973" t="str">
        <f>"15217"</f>
        <v>15217</v>
      </c>
    </row>
    <row r="20974" spans="1:16" x14ac:dyDescent="0.25">
      <c r="A20974" t="str">
        <f>"1300033B00345    00"</f>
        <v>1300033B00345    00</v>
      </c>
      <c r="B20974" t="s">
        <v>26793</v>
      </c>
      <c r="C20974" t="s">
        <v>45527</v>
      </c>
      <c r="E20974" t="s">
        <v>39</v>
      </c>
      <c r="F20974">
        <v>0</v>
      </c>
      <c r="G20974">
        <v>0</v>
      </c>
      <c r="H20974">
        <v>1</v>
      </c>
      <c r="I20974" s="3">
        <v>132.15</v>
      </c>
      <c r="J20974" s="3">
        <v>0</v>
      </c>
      <c r="K20974" t="s">
        <v>26795</v>
      </c>
      <c r="M20974" t="s">
        <v>26796</v>
      </c>
      <c r="N20974" t="s">
        <v>31521</v>
      </c>
      <c r="O20974" t="s">
        <v>31</v>
      </c>
      <c r="P20974" t="str">
        <f>"19006"</f>
        <v>19006</v>
      </c>
    </row>
    <row r="20975" spans="1:16" x14ac:dyDescent="0.25">
      <c r="A20975" t="str">
        <f>"1300033B00351    00"</f>
        <v>1300033B00351    00</v>
      </c>
      <c r="B20975" t="s">
        <v>45528</v>
      </c>
      <c r="C20975" t="s">
        <v>45361</v>
      </c>
      <c r="D20975" t="s">
        <v>20</v>
      </c>
      <c r="E20975" t="s">
        <v>39</v>
      </c>
      <c r="F20975">
        <v>0</v>
      </c>
      <c r="G20975">
        <v>0</v>
      </c>
      <c r="H20975">
        <v>14</v>
      </c>
      <c r="I20975" s="3">
        <v>3856.68</v>
      </c>
      <c r="J20975" s="3">
        <v>3453.26</v>
      </c>
      <c r="K20975" t="s">
        <v>45529</v>
      </c>
      <c r="M20975" t="s">
        <v>45530</v>
      </c>
      <c r="N20975" t="s">
        <v>295</v>
      </c>
      <c r="O20975" t="s">
        <v>31</v>
      </c>
      <c r="P20975" t="str">
        <f>"15146"</f>
        <v>15146</v>
      </c>
    </row>
    <row r="20976" spans="1:16" x14ac:dyDescent="0.25">
      <c r="A20976" t="str">
        <f>"1300033B00353    00"</f>
        <v>1300033B00353    00</v>
      </c>
      <c r="B20976" t="s">
        <v>45531</v>
      </c>
      <c r="C20976" t="s">
        <v>45532</v>
      </c>
      <c r="D20976" t="s">
        <v>20</v>
      </c>
      <c r="E20976" t="s">
        <v>39</v>
      </c>
      <c r="F20976">
        <v>0</v>
      </c>
      <c r="G20976">
        <v>0</v>
      </c>
      <c r="H20976">
        <v>12</v>
      </c>
      <c r="I20976" s="3">
        <v>11091.06</v>
      </c>
      <c r="J20976" s="3">
        <v>5833.97</v>
      </c>
      <c r="K20976" t="s">
        <v>43712</v>
      </c>
      <c r="L20976">
        <v>815</v>
      </c>
      <c r="M20976" t="s">
        <v>45533</v>
      </c>
      <c r="N20976" t="s">
        <v>30</v>
      </c>
      <c r="O20976" t="s">
        <v>31</v>
      </c>
      <c r="P20976" t="str">
        <f>"15232"</f>
        <v>15232</v>
      </c>
    </row>
    <row r="20977" spans="1:16" x14ac:dyDescent="0.25">
      <c r="A20977" t="str">
        <f>"1300033B00354    00"</f>
        <v>1300033B00354    00</v>
      </c>
      <c r="B20977" t="s">
        <v>45352</v>
      </c>
      <c r="C20977" t="s">
        <v>45534</v>
      </c>
      <c r="D20977" t="s">
        <v>20</v>
      </c>
      <c r="E20977" t="s">
        <v>39</v>
      </c>
      <c r="F20977">
        <v>0</v>
      </c>
      <c r="G20977">
        <v>0</v>
      </c>
      <c r="H20977">
        <v>2</v>
      </c>
      <c r="I20977" s="3">
        <v>1921.26</v>
      </c>
      <c r="J20977" s="3">
        <v>0</v>
      </c>
      <c r="K20977" t="s">
        <v>45354</v>
      </c>
      <c r="L20977">
        <v>603</v>
      </c>
      <c r="M20977" t="s">
        <v>15272</v>
      </c>
      <c r="N20977" t="s">
        <v>30</v>
      </c>
      <c r="O20977" t="s">
        <v>31</v>
      </c>
      <c r="P20977" t="str">
        <f>"15228"</f>
        <v>15228</v>
      </c>
    </row>
    <row r="20978" spans="1:16" x14ac:dyDescent="0.25">
      <c r="A20978" t="str">
        <f>"1300033B00355    00"</f>
        <v>1300033B00355    00</v>
      </c>
      <c r="B20978" t="s">
        <v>45535</v>
      </c>
      <c r="C20978" t="s">
        <v>45536</v>
      </c>
      <c r="D20978" t="s">
        <v>20</v>
      </c>
      <c r="E20978" t="s">
        <v>39</v>
      </c>
      <c r="F20978">
        <v>0</v>
      </c>
      <c r="G20978">
        <v>0</v>
      </c>
      <c r="H20978">
        <v>19</v>
      </c>
      <c r="I20978" s="3">
        <v>15045.54</v>
      </c>
      <c r="J20978" s="3">
        <v>14355.56</v>
      </c>
      <c r="K20978" t="s">
        <v>45537</v>
      </c>
      <c r="L20978">
        <v>111</v>
      </c>
      <c r="M20978" t="s">
        <v>45538</v>
      </c>
      <c r="N20978" t="s">
        <v>45539</v>
      </c>
      <c r="O20978" t="s">
        <v>370</v>
      </c>
      <c r="P20978" t="str">
        <f>"32404"</f>
        <v>32404</v>
      </c>
    </row>
    <row r="20979" spans="1:16" x14ac:dyDescent="0.25">
      <c r="A20979" t="str">
        <f>"1300033B00356    00"</f>
        <v>1300033B00356    00</v>
      </c>
      <c r="B20979" t="s">
        <v>45540</v>
      </c>
      <c r="C20979" t="s">
        <v>45541</v>
      </c>
      <c r="D20979" t="s">
        <v>20</v>
      </c>
      <c r="E20979" t="s">
        <v>39</v>
      </c>
      <c r="F20979">
        <v>0</v>
      </c>
      <c r="G20979">
        <v>0</v>
      </c>
      <c r="H20979">
        <v>17</v>
      </c>
      <c r="I20979" s="3">
        <v>8401.99</v>
      </c>
      <c r="J20979" s="3">
        <v>8259.49</v>
      </c>
      <c r="L20979">
        <v>338</v>
      </c>
      <c r="M20979" t="s">
        <v>41017</v>
      </c>
      <c r="N20979" t="s">
        <v>30</v>
      </c>
      <c r="O20979" t="s">
        <v>31</v>
      </c>
      <c r="P20979" t="str">
        <f>"15210"</f>
        <v>15210</v>
      </c>
    </row>
    <row r="20980" spans="1:16" x14ac:dyDescent="0.25">
      <c r="A20980" t="str">
        <f>"1300033B00360    00"</f>
        <v>1300033B00360    00</v>
      </c>
      <c r="B20980" t="s">
        <v>26990</v>
      </c>
      <c r="C20980" t="s">
        <v>45361</v>
      </c>
      <c r="D20980" t="s">
        <v>20</v>
      </c>
      <c r="E20980" t="s">
        <v>39</v>
      </c>
      <c r="F20980">
        <v>0</v>
      </c>
      <c r="G20980">
        <v>0</v>
      </c>
      <c r="H20980">
        <v>17</v>
      </c>
      <c r="I20980" s="3">
        <v>5097.32</v>
      </c>
      <c r="J20980" s="3">
        <v>5860.65</v>
      </c>
      <c r="L20980">
        <v>111</v>
      </c>
      <c r="M20980" t="s">
        <v>26991</v>
      </c>
      <c r="N20980" t="s">
        <v>26992</v>
      </c>
      <c r="O20980" t="s">
        <v>370</v>
      </c>
      <c r="P20980" t="str">
        <f>"32425"</f>
        <v>32425</v>
      </c>
    </row>
    <row r="20981" spans="1:16" x14ac:dyDescent="0.25">
      <c r="A20981" t="str">
        <f>"1300033B00361    00"</f>
        <v>1300033B00361    00</v>
      </c>
      <c r="B20981" t="s">
        <v>45542</v>
      </c>
      <c r="C20981" t="s">
        <v>45543</v>
      </c>
      <c r="E20981" t="s">
        <v>39</v>
      </c>
      <c r="F20981">
        <v>0</v>
      </c>
      <c r="G20981">
        <v>0</v>
      </c>
      <c r="H20981">
        <v>1</v>
      </c>
      <c r="I20981" s="3">
        <v>121.31</v>
      </c>
      <c r="J20981" s="3">
        <v>0</v>
      </c>
      <c r="L20981">
        <v>1139</v>
      </c>
      <c r="M20981" t="s">
        <v>35741</v>
      </c>
      <c r="N20981" t="s">
        <v>30</v>
      </c>
      <c r="O20981" t="s">
        <v>31</v>
      </c>
      <c r="P20981" t="str">
        <f>"15212"</f>
        <v>15212</v>
      </c>
    </row>
    <row r="20982" spans="1:16" x14ac:dyDescent="0.25">
      <c r="A20982" t="str">
        <f>"1300033B00365    00"</f>
        <v>1300033B00365    00</v>
      </c>
      <c r="B20982" t="s">
        <v>45544</v>
      </c>
      <c r="C20982" t="s">
        <v>45361</v>
      </c>
      <c r="D20982" t="s">
        <v>20</v>
      </c>
      <c r="E20982" t="s">
        <v>39</v>
      </c>
      <c r="F20982">
        <v>0</v>
      </c>
      <c r="G20982">
        <v>0</v>
      </c>
      <c r="H20982">
        <v>19</v>
      </c>
      <c r="I20982" s="3">
        <v>6582.84</v>
      </c>
      <c r="J20982" s="3">
        <v>8266.25</v>
      </c>
      <c r="L20982">
        <v>320</v>
      </c>
      <c r="M20982" t="s">
        <v>41017</v>
      </c>
      <c r="N20982" t="s">
        <v>30</v>
      </c>
      <c r="O20982" t="s">
        <v>31</v>
      </c>
      <c r="P20982" t="str">
        <f>"15210"</f>
        <v>15210</v>
      </c>
    </row>
    <row r="20983" spans="1:16" x14ac:dyDescent="0.25">
      <c r="A20983" t="str">
        <f>"1300033B00369    00"</f>
        <v>1300033B00369    00</v>
      </c>
      <c r="B20983" t="s">
        <v>45545</v>
      </c>
      <c r="C20983" t="s">
        <v>45361</v>
      </c>
      <c r="D20983" t="s">
        <v>20</v>
      </c>
      <c r="E20983" t="s">
        <v>39</v>
      </c>
      <c r="F20983">
        <v>0</v>
      </c>
      <c r="G20983">
        <v>0</v>
      </c>
      <c r="H20983">
        <v>13</v>
      </c>
      <c r="I20983" s="3">
        <v>1548.8</v>
      </c>
      <c r="J20983" s="3">
        <v>1365.16</v>
      </c>
      <c r="K20983" t="s">
        <v>45546</v>
      </c>
      <c r="L20983">
        <v>1662</v>
      </c>
      <c r="M20983" t="s">
        <v>45547</v>
      </c>
      <c r="N20983" t="s">
        <v>1320</v>
      </c>
      <c r="O20983" t="s">
        <v>1321</v>
      </c>
      <c r="P20983" t="str">
        <f>"89183"</f>
        <v>89183</v>
      </c>
    </row>
    <row r="20984" spans="1:16" x14ac:dyDescent="0.25">
      <c r="A20984" t="str">
        <f>"1300033B00370    00"</f>
        <v>1300033B00370    00</v>
      </c>
      <c r="B20984" t="s">
        <v>45548</v>
      </c>
      <c r="C20984" t="s">
        <v>45549</v>
      </c>
      <c r="D20984" t="s">
        <v>20</v>
      </c>
      <c r="E20984" t="s">
        <v>39</v>
      </c>
      <c r="F20984">
        <v>0</v>
      </c>
      <c r="G20984">
        <v>0</v>
      </c>
      <c r="H20984">
        <v>10</v>
      </c>
      <c r="I20984" s="3">
        <v>8717.2999999999993</v>
      </c>
      <c r="J20984" s="3">
        <v>3510.37</v>
      </c>
      <c r="K20984" t="s">
        <v>45550</v>
      </c>
      <c r="L20984">
        <v>68</v>
      </c>
      <c r="M20984" t="s">
        <v>45551</v>
      </c>
      <c r="N20984" t="s">
        <v>45552</v>
      </c>
      <c r="O20984" t="s">
        <v>440</v>
      </c>
      <c r="P20984" t="str">
        <f>"02136"</f>
        <v>02136</v>
      </c>
    </row>
    <row r="20985" spans="1:16" x14ac:dyDescent="0.25">
      <c r="A20985" t="str">
        <f>"1300033B00387    00"</f>
        <v>1300033B00387    00</v>
      </c>
      <c r="B20985" t="s">
        <v>45553</v>
      </c>
      <c r="C20985" t="s">
        <v>45554</v>
      </c>
      <c r="D20985" t="s">
        <v>20</v>
      </c>
      <c r="E20985" t="s">
        <v>39</v>
      </c>
      <c r="F20985">
        <v>0</v>
      </c>
      <c r="G20985">
        <v>0</v>
      </c>
      <c r="H20985">
        <v>3</v>
      </c>
      <c r="I20985" s="3">
        <v>879.48</v>
      </c>
      <c r="J20985" s="3">
        <v>37.75</v>
      </c>
      <c r="L20985">
        <v>345</v>
      </c>
      <c r="M20985" t="s">
        <v>45555</v>
      </c>
      <c r="N20985" t="s">
        <v>30</v>
      </c>
      <c r="O20985" t="s">
        <v>31</v>
      </c>
      <c r="P20985" t="str">
        <f>"15210"</f>
        <v>15210</v>
      </c>
    </row>
    <row r="20986" spans="1:16" x14ac:dyDescent="0.25">
      <c r="A20986" t="str">
        <f>"1300033C00018    00"</f>
        <v>1300033C00018    00</v>
      </c>
      <c r="B20986" t="s">
        <v>45556</v>
      </c>
      <c r="C20986" t="s">
        <v>45557</v>
      </c>
      <c r="D20986" t="s">
        <v>20</v>
      </c>
      <c r="E20986" t="s">
        <v>39</v>
      </c>
      <c r="F20986">
        <v>0</v>
      </c>
      <c r="G20986">
        <v>0</v>
      </c>
      <c r="H20986">
        <v>6</v>
      </c>
      <c r="I20986" s="3">
        <v>78.34</v>
      </c>
      <c r="J20986" s="3">
        <v>17.88</v>
      </c>
      <c r="L20986">
        <v>208</v>
      </c>
      <c r="M20986" t="s">
        <v>14738</v>
      </c>
      <c r="N20986" t="s">
        <v>30</v>
      </c>
      <c r="O20986" t="s">
        <v>31</v>
      </c>
      <c r="P20986" t="str">
        <f>"15210"</f>
        <v>15210</v>
      </c>
    </row>
    <row r="20987" spans="1:16" x14ac:dyDescent="0.25">
      <c r="A20987" t="str">
        <f>"1300033C00020    00"</f>
        <v>1300033C00020    00</v>
      </c>
      <c r="B20987" t="s">
        <v>45558</v>
      </c>
      <c r="C20987" t="s">
        <v>45559</v>
      </c>
      <c r="D20987" t="s">
        <v>20</v>
      </c>
      <c r="E20987" t="s">
        <v>39</v>
      </c>
      <c r="F20987">
        <v>0</v>
      </c>
      <c r="G20987">
        <v>0</v>
      </c>
      <c r="H20987">
        <v>3</v>
      </c>
      <c r="I20987" s="3">
        <v>1831.34</v>
      </c>
      <c r="J20987" s="3">
        <v>81.98</v>
      </c>
      <c r="K20987" t="s">
        <v>45560</v>
      </c>
      <c r="L20987">
        <v>4276</v>
      </c>
      <c r="M20987" t="s">
        <v>1473</v>
      </c>
      <c r="N20987" t="s">
        <v>541</v>
      </c>
      <c r="O20987" t="s">
        <v>31</v>
      </c>
      <c r="P20987" t="str">
        <f>"15071"</f>
        <v>15071</v>
      </c>
    </row>
    <row r="20988" spans="1:16" x14ac:dyDescent="0.25">
      <c r="A20988" t="str">
        <f>"1300033C00038    00"</f>
        <v>1300033C00038    00</v>
      </c>
      <c r="B20988" t="s">
        <v>45561</v>
      </c>
      <c r="C20988" t="s">
        <v>45562</v>
      </c>
      <c r="D20988" t="s">
        <v>20</v>
      </c>
      <c r="E20988" t="s">
        <v>39</v>
      </c>
      <c r="F20988">
        <v>0</v>
      </c>
      <c r="G20988">
        <v>0</v>
      </c>
      <c r="H20988">
        <v>3</v>
      </c>
      <c r="I20988" s="3">
        <v>1289.83</v>
      </c>
      <c r="J20988" s="3">
        <v>172.69</v>
      </c>
      <c r="L20988">
        <v>181</v>
      </c>
      <c r="M20988" t="s">
        <v>25848</v>
      </c>
      <c r="N20988" t="s">
        <v>30</v>
      </c>
      <c r="O20988" t="s">
        <v>31</v>
      </c>
      <c r="P20988" t="str">
        <f t="shared" ref="P20988:P20994" si="262">"15210"</f>
        <v>15210</v>
      </c>
    </row>
    <row r="20989" spans="1:16" x14ac:dyDescent="0.25">
      <c r="A20989" t="str">
        <f>"1300033C00044    00"</f>
        <v>1300033C00044    00</v>
      </c>
      <c r="B20989" t="s">
        <v>45563</v>
      </c>
      <c r="C20989" t="s">
        <v>45564</v>
      </c>
      <c r="D20989" t="s">
        <v>20</v>
      </c>
      <c r="E20989" t="s">
        <v>39</v>
      </c>
      <c r="F20989">
        <v>0</v>
      </c>
      <c r="G20989">
        <v>0</v>
      </c>
      <c r="H20989">
        <v>2</v>
      </c>
      <c r="I20989" s="3">
        <v>616</v>
      </c>
      <c r="J20989" s="3">
        <v>0</v>
      </c>
      <c r="L20989">
        <v>175</v>
      </c>
      <c r="M20989" t="s">
        <v>25848</v>
      </c>
      <c r="N20989" t="s">
        <v>30</v>
      </c>
      <c r="O20989" t="s">
        <v>31</v>
      </c>
      <c r="P20989" t="str">
        <f t="shared" si="262"/>
        <v>15210</v>
      </c>
    </row>
    <row r="20990" spans="1:16" x14ac:dyDescent="0.25">
      <c r="A20990" t="str">
        <f>"1300033C00049    00"</f>
        <v>1300033C00049    00</v>
      </c>
      <c r="B20990" t="s">
        <v>45565</v>
      </c>
      <c r="C20990" t="s">
        <v>45566</v>
      </c>
      <c r="D20990" t="s">
        <v>20</v>
      </c>
      <c r="E20990" t="s">
        <v>39</v>
      </c>
      <c r="F20990">
        <v>0</v>
      </c>
      <c r="G20990">
        <v>0</v>
      </c>
      <c r="H20990">
        <v>1</v>
      </c>
      <c r="I20990" s="3">
        <v>791</v>
      </c>
      <c r="J20990" s="3">
        <v>0</v>
      </c>
      <c r="K20990" t="s">
        <v>45567</v>
      </c>
      <c r="L20990">
        <v>169</v>
      </c>
      <c r="M20990" t="s">
        <v>25848</v>
      </c>
      <c r="N20990" t="s">
        <v>30</v>
      </c>
      <c r="O20990" t="s">
        <v>31</v>
      </c>
      <c r="P20990" t="str">
        <f t="shared" si="262"/>
        <v>15210</v>
      </c>
    </row>
    <row r="20991" spans="1:16" x14ac:dyDescent="0.25">
      <c r="A20991" t="str">
        <f>"1300033C00051    00"</f>
        <v>1300033C00051    00</v>
      </c>
      <c r="B20991" t="s">
        <v>45568</v>
      </c>
      <c r="C20991" t="s">
        <v>45569</v>
      </c>
      <c r="D20991" t="s">
        <v>20</v>
      </c>
      <c r="E20991" t="s">
        <v>39</v>
      </c>
      <c r="F20991">
        <v>0</v>
      </c>
      <c r="G20991">
        <v>0</v>
      </c>
      <c r="H20991">
        <v>12</v>
      </c>
      <c r="I20991" s="3">
        <v>7660.35</v>
      </c>
      <c r="J20991" s="3">
        <v>5180.67</v>
      </c>
      <c r="L20991">
        <v>167</v>
      </c>
      <c r="M20991" t="s">
        <v>25848</v>
      </c>
      <c r="N20991" t="s">
        <v>30</v>
      </c>
      <c r="O20991" t="s">
        <v>31</v>
      </c>
      <c r="P20991" t="str">
        <f t="shared" si="262"/>
        <v>15210</v>
      </c>
    </row>
    <row r="20992" spans="1:16" x14ac:dyDescent="0.25">
      <c r="A20992" t="str">
        <f>"1300033C00055    00"</f>
        <v>1300033C00055    00</v>
      </c>
      <c r="B20992" t="s">
        <v>45570</v>
      </c>
      <c r="C20992" t="s">
        <v>45571</v>
      </c>
      <c r="D20992" t="s">
        <v>20</v>
      </c>
      <c r="E20992" t="s">
        <v>39</v>
      </c>
      <c r="F20992">
        <v>0</v>
      </c>
      <c r="G20992">
        <v>0</v>
      </c>
      <c r="H20992">
        <v>1</v>
      </c>
      <c r="I20992" s="3">
        <v>1067.3800000000001</v>
      </c>
      <c r="J20992" s="3">
        <v>0</v>
      </c>
      <c r="L20992">
        <v>163</v>
      </c>
      <c r="M20992" t="s">
        <v>25848</v>
      </c>
      <c r="N20992" t="s">
        <v>30</v>
      </c>
      <c r="O20992" t="s">
        <v>31</v>
      </c>
      <c r="P20992" t="str">
        <f t="shared" si="262"/>
        <v>15210</v>
      </c>
    </row>
    <row r="20993" spans="1:16" x14ac:dyDescent="0.25">
      <c r="A20993" t="str">
        <f>"1300033C00057    00"</f>
        <v>1300033C00057    00</v>
      </c>
      <c r="B20993" t="s">
        <v>45572</v>
      </c>
      <c r="C20993" t="s">
        <v>25847</v>
      </c>
      <c r="D20993" t="s">
        <v>20</v>
      </c>
      <c r="E20993" t="s">
        <v>39</v>
      </c>
      <c r="F20993">
        <v>0</v>
      </c>
      <c r="G20993">
        <v>0</v>
      </c>
      <c r="H20993">
        <v>19</v>
      </c>
      <c r="I20993" s="3">
        <v>3213.15</v>
      </c>
      <c r="J20993" s="3">
        <v>3562.6</v>
      </c>
      <c r="L20993">
        <v>161</v>
      </c>
      <c r="M20993" t="s">
        <v>25848</v>
      </c>
      <c r="N20993" t="s">
        <v>30</v>
      </c>
      <c r="O20993" t="s">
        <v>31</v>
      </c>
      <c r="P20993" t="str">
        <f t="shared" si="262"/>
        <v>15210</v>
      </c>
    </row>
    <row r="20994" spans="1:16" x14ac:dyDescent="0.25">
      <c r="A20994" t="str">
        <f>"1300033C00059    00"</f>
        <v>1300033C00059    00</v>
      </c>
      <c r="B20994" t="s">
        <v>45573</v>
      </c>
      <c r="C20994" t="s">
        <v>45574</v>
      </c>
      <c r="D20994" t="s">
        <v>20</v>
      </c>
      <c r="E20994" t="s">
        <v>39</v>
      </c>
      <c r="F20994">
        <v>0</v>
      </c>
      <c r="G20994">
        <v>0</v>
      </c>
      <c r="H20994">
        <v>8</v>
      </c>
      <c r="I20994" s="3">
        <v>8815.02</v>
      </c>
      <c r="J20994" s="3">
        <v>2884.41</v>
      </c>
      <c r="L20994">
        <v>159</v>
      </c>
      <c r="M20994" t="s">
        <v>25848</v>
      </c>
      <c r="N20994" t="s">
        <v>30</v>
      </c>
      <c r="O20994" t="s">
        <v>31</v>
      </c>
      <c r="P20994" t="str">
        <f t="shared" si="262"/>
        <v>15210</v>
      </c>
    </row>
    <row r="20995" spans="1:16" x14ac:dyDescent="0.25">
      <c r="A20995" t="str">
        <f>"1300033C00063    00"</f>
        <v>1300033C00063    00</v>
      </c>
      <c r="B20995" t="s">
        <v>45575</v>
      </c>
      <c r="C20995" t="s">
        <v>45576</v>
      </c>
      <c r="E20995" t="s">
        <v>39</v>
      </c>
      <c r="F20995">
        <v>0</v>
      </c>
      <c r="G20995">
        <v>0</v>
      </c>
      <c r="H20995">
        <v>8</v>
      </c>
      <c r="I20995" s="3">
        <v>8237.68</v>
      </c>
      <c r="J20995" s="3">
        <v>8156.24</v>
      </c>
      <c r="K20995" t="s">
        <v>45577</v>
      </c>
      <c r="L20995">
        <v>102</v>
      </c>
      <c r="M20995" t="s">
        <v>45578</v>
      </c>
      <c r="N20995" t="s">
        <v>2943</v>
      </c>
      <c r="O20995" t="s">
        <v>31</v>
      </c>
      <c r="P20995" t="str">
        <f>"15025"</f>
        <v>15025</v>
      </c>
    </row>
    <row r="20996" spans="1:16" x14ac:dyDescent="0.25">
      <c r="A20996" t="str">
        <f>"1300033C00067    00"</f>
        <v>1300033C00067    00</v>
      </c>
      <c r="B20996" t="s">
        <v>45120</v>
      </c>
      <c r="C20996" t="s">
        <v>45579</v>
      </c>
      <c r="D20996" t="s">
        <v>20</v>
      </c>
      <c r="E20996" t="s">
        <v>21</v>
      </c>
      <c r="F20996">
        <v>0</v>
      </c>
      <c r="G20996">
        <v>0</v>
      </c>
      <c r="H20996">
        <v>3</v>
      </c>
      <c r="I20996" s="3">
        <v>3676.71</v>
      </c>
      <c r="J20996" s="3">
        <v>245.11</v>
      </c>
      <c r="L20996">
        <v>14225</v>
      </c>
      <c r="M20996" t="s">
        <v>17310</v>
      </c>
      <c r="N20996" t="s">
        <v>4007</v>
      </c>
      <c r="O20996" t="s">
        <v>1184</v>
      </c>
      <c r="P20996" t="str">
        <f>"20720"</f>
        <v>20720</v>
      </c>
    </row>
    <row r="20997" spans="1:16" x14ac:dyDescent="0.25">
      <c r="A20997" t="str">
        <f>"1300033C00084    00"</f>
        <v>1300033C00084    00</v>
      </c>
      <c r="B20997" t="s">
        <v>45580</v>
      </c>
      <c r="C20997" t="s">
        <v>45581</v>
      </c>
      <c r="E20997" t="s">
        <v>39</v>
      </c>
      <c r="F20997">
        <v>0</v>
      </c>
      <c r="G20997">
        <v>0</v>
      </c>
      <c r="H20997">
        <v>6</v>
      </c>
      <c r="I20997" s="3">
        <v>7237.4</v>
      </c>
      <c r="J20997" s="3">
        <v>0</v>
      </c>
      <c r="L20997">
        <v>3310</v>
      </c>
      <c r="M20997" t="s">
        <v>24321</v>
      </c>
      <c r="N20997" t="s">
        <v>6603</v>
      </c>
      <c r="O20997" t="s">
        <v>31</v>
      </c>
      <c r="P20997" t="str">
        <f>"15122"</f>
        <v>15122</v>
      </c>
    </row>
    <row r="20998" spans="1:16" x14ac:dyDescent="0.25">
      <c r="A20998" t="str">
        <f>"1300033C00088    00"</f>
        <v>1300033C00088    00</v>
      </c>
      <c r="B20998" t="s">
        <v>45582</v>
      </c>
      <c r="C20998" t="s">
        <v>45583</v>
      </c>
      <c r="D20998" t="s">
        <v>20</v>
      </c>
      <c r="E20998" t="s">
        <v>39</v>
      </c>
      <c r="F20998">
        <v>0</v>
      </c>
      <c r="G20998">
        <v>0</v>
      </c>
      <c r="H20998">
        <v>5</v>
      </c>
      <c r="I20998" s="3">
        <v>5011.58</v>
      </c>
      <c r="J20998" s="3">
        <v>865.82</v>
      </c>
      <c r="M20998" t="s">
        <v>33013</v>
      </c>
      <c r="N20998" t="s">
        <v>30</v>
      </c>
      <c r="O20998" t="s">
        <v>31</v>
      </c>
      <c r="P20998" t="str">
        <f>"15205"</f>
        <v>15205</v>
      </c>
    </row>
    <row r="20999" spans="1:16" x14ac:dyDescent="0.25">
      <c r="A20999" t="str">
        <f>"1300033C00093    00"</f>
        <v>1300033C00093    00</v>
      </c>
      <c r="B20999" t="s">
        <v>45584</v>
      </c>
      <c r="C20999" t="s">
        <v>45585</v>
      </c>
      <c r="D20999" t="s">
        <v>20</v>
      </c>
      <c r="E20999" t="s">
        <v>39</v>
      </c>
      <c r="F20999">
        <v>0</v>
      </c>
      <c r="G20999">
        <v>0</v>
      </c>
      <c r="H20999">
        <v>8</v>
      </c>
      <c r="I20999" s="3">
        <v>1872.32</v>
      </c>
      <c r="J20999" s="3">
        <v>1042.71</v>
      </c>
      <c r="L20999">
        <v>1308</v>
      </c>
      <c r="M20999" t="s">
        <v>45586</v>
      </c>
      <c r="N20999" t="s">
        <v>30</v>
      </c>
      <c r="O20999" t="s">
        <v>31</v>
      </c>
      <c r="P20999" t="str">
        <f>"15216"</f>
        <v>15216</v>
      </c>
    </row>
    <row r="21000" spans="1:16" x14ac:dyDescent="0.25">
      <c r="A21000" t="str">
        <f>"1300033C00094    00"</f>
        <v>1300033C00094    00</v>
      </c>
      <c r="B21000" t="s">
        <v>45587</v>
      </c>
      <c r="C21000" t="s">
        <v>45588</v>
      </c>
      <c r="D21000" t="s">
        <v>20</v>
      </c>
      <c r="E21000" t="s">
        <v>39</v>
      </c>
      <c r="F21000">
        <v>0</v>
      </c>
      <c r="G21000">
        <v>0</v>
      </c>
      <c r="H21000">
        <v>1</v>
      </c>
      <c r="I21000" s="3">
        <v>261.77</v>
      </c>
      <c r="J21000" s="3">
        <v>0</v>
      </c>
      <c r="M21000" t="s">
        <v>4100</v>
      </c>
      <c r="N21000" t="s">
        <v>826</v>
      </c>
      <c r="O21000" t="s">
        <v>31</v>
      </c>
      <c r="P21000" t="str">
        <f>"15601"</f>
        <v>15601</v>
      </c>
    </row>
    <row r="21001" spans="1:16" x14ac:dyDescent="0.25">
      <c r="A21001" t="str">
        <f>"1300033C00099    00"</f>
        <v>1300033C00099    00</v>
      </c>
      <c r="B21001" t="s">
        <v>45589</v>
      </c>
      <c r="C21001" t="s">
        <v>45590</v>
      </c>
      <c r="E21001" t="s">
        <v>39</v>
      </c>
      <c r="F21001">
        <v>0</v>
      </c>
      <c r="G21001">
        <v>0</v>
      </c>
      <c r="H21001">
        <v>5</v>
      </c>
      <c r="I21001" s="3">
        <v>1102.49</v>
      </c>
      <c r="J21001" s="3">
        <v>47.37</v>
      </c>
      <c r="L21001">
        <v>28</v>
      </c>
      <c r="M21001" t="s">
        <v>18041</v>
      </c>
      <c r="N21001" t="s">
        <v>30</v>
      </c>
      <c r="O21001" t="s">
        <v>31</v>
      </c>
      <c r="P21001" t="str">
        <f>"15210"</f>
        <v>15210</v>
      </c>
    </row>
    <row r="21002" spans="1:16" x14ac:dyDescent="0.25">
      <c r="A21002" t="str">
        <f>"1300033C00100    00"</f>
        <v>1300033C00100    00</v>
      </c>
      <c r="B21002" t="s">
        <v>45589</v>
      </c>
      <c r="C21002" t="s">
        <v>45590</v>
      </c>
      <c r="E21002" t="s">
        <v>39</v>
      </c>
      <c r="F21002">
        <v>0</v>
      </c>
      <c r="G21002">
        <v>0</v>
      </c>
      <c r="H21002">
        <v>4</v>
      </c>
      <c r="I21002" s="3">
        <v>181.82</v>
      </c>
      <c r="J21002" s="3">
        <v>6.78</v>
      </c>
      <c r="L21002">
        <v>28</v>
      </c>
      <c r="M21002" t="s">
        <v>18041</v>
      </c>
      <c r="N21002" t="s">
        <v>30</v>
      </c>
      <c r="O21002" t="s">
        <v>31</v>
      </c>
      <c r="P21002" t="str">
        <f>"15210"</f>
        <v>15210</v>
      </c>
    </row>
    <row r="21003" spans="1:16" x14ac:dyDescent="0.25">
      <c r="A21003" t="str">
        <f>"1300033C00101    00"</f>
        <v>1300033C00101    00</v>
      </c>
      <c r="B21003" t="s">
        <v>45589</v>
      </c>
      <c r="C21003" t="s">
        <v>45590</v>
      </c>
      <c r="E21003" t="s">
        <v>39</v>
      </c>
      <c r="F21003">
        <v>0</v>
      </c>
      <c r="G21003">
        <v>0</v>
      </c>
      <c r="H21003">
        <v>4</v>
      </c>
      <c r="I21003" s="3">
        <v>181.82</v>
      </c>
      <c r="J21003" s="3">
        <v>6.78</v>
      </c>
      <c r="L21003">
        <v>28</v>
      </c>
      <c r="M21003" t="s">
        <v>18041</v>
      </c>
      <c r="N21003" t="s">
        <v>30</v>
      </c>
      <c r="O21003" t="s">
        <v>31</v>
      </c>
      <c r="P21003" t="str">
        <f>"15210"</f>
        <v>15210</v>
      </c>
    </row>
    <row r="21004" spans="1:16" x14ac:dyDescent="0.25">
      <c r="A21004" t="str">
        <f>"1300033C00104    00"</f>
        <v>1300033C00104    00</v>
      </c>
      <c r="B21004" t="s">
        <v>45591</v>
      </c>
      <c r="C21004" t="s">
        <v>45291</v>
      </c>
      <c r="D21004" t="s">
        <v>20</v>
      </c>
      <c r="E21004" t="s">
        <v>39</v>
      </c>
      <c r="F21004">
        <v>0</v>
      </c>
      <c r="G21004">
        <v>0</v>
      </c>
      <c r="H21004">
        <v>19</v>
      </c>
      <c r="I21004" s="3">
        <v>4200.3999999999996</v>
      </c>
      <c r="J21004" s="3">
        <v>5318.53</v>
      </c>
      <c r="K21004" t="s">
        <v>45592</v>
      </c>
      <c r="L21004">
        <v>139</v>
      </c>
      <c r="M21004" t="s">
        <v>45593</v>
      </c>
      <c r="N21004" t="s">
        <v>45594</v>
      </c>
      <c r="O21004" t="s">
        <v>200</v>
      </c>
      <c r="P21004" t="str">
        <f>"12533"</f>
        <v>12533</v>
      </c>
    </row>
    <row r="21005" spans="1:16" x14ac:dyDescent="0.25">
      <c r="A21005" t="str">
        <f>"1300033C00119    00"</f>
        <v>1300033C00119    00</v>
      </c>
      <c r="B21005" t="s">
        <v>45595</v>
      </c>
      <c r="C21005" t="s">
        <v>45596</v>
      </c>
      <c r="D21005" t="s">
        <v>20</v>
      </c>
      <c r="E21005" t="s">
        <v>39</v>
      </c>
      <c r="F21005">
        <v>0</v>
      </c>
      <c r="G21005">
        <v>0</v>
      </c>
      <c r="H21005">
        <v>2</v>
      </c>
      <c r="I21005" s="3">
        <v>950.63</v>
      </c>
      <c r="J21005" s="3">
        <v>7.29</v>
      </c>
      <c r="L21005">
        <v>177</v>
      </c>
      <c r="M21005" t="s">
        <v>25848</v>
      </c>
      <c r="N21005" t="s">
        <v>30</v>
      </c>
      <c r="O21005" t="s">
        <v>31</v>
      </c>
      <c r="P21005" t="str">
        <f>"15210"</f>
        <v>15210</v>
      </c>
    </row>
    <row r="21006" spans="1:16" x14ac:dyDescent="0.25">
      <c r="A21006" t="str">
        <f>"1300033C00125    00"</f>
        <v>1300033C00125    00</v>
      </c>
      <c r="B21006" t="s">
        <v>45597</v>
      </c>
      <c r="C21006" t="s">
        <v>45598</v>
      </c>
      <c r="D21006" t="s">
        <v>20</v>
      </c>
      <c r="E21006" t="s">
        <v>21</v>
      </c>
      <c r="F21006">
        <v>0</v>
      </c>
      <c r="G21006">
        <v>0</v>
      </c>
      <c r="H21006">
        <v>2</v>
      </c>
      <c r="I21006" s="3">
        <v>2714.14</v>
      </c>
      <c r="J21006" s="3">
        <v>0</v>
      </c>
      <c r="L21006">
        <v>4115</v>
      </c>
      <c r="M21006" t="s">
        <v>22972</v>
      </c>
      <c r="N21006" t="s">
        <v>79</v>
      </c>
      <c r="O21006" t="s">
        <v>31</v>
      </c>
      <c r="P21006" t="str">
        <f>"15668"</f>
        <v>15668</v>
      </c>
    </row>
    <row r="21007" spans="1:16" x14ac:dyDescent="0.25">
      <c r="A21007" t="str">
        <f>"1300033C00142    00"</f>
        <v>1300033C00142    00</v>
      </c>
      <c r="B21007" t="s">
        <v>45599</v>
      </c>
      <c r="C21007" t="s">
        <v>43918</v>
      </c>
      <c r="D21007" t="s">
        <v>20</v>
      </c>
      <c r="E21007" t="s">
        <v>21</v>
      </c>
      <c r="F21007">
        <v>0</v>
      </c>
      <c r="G21007">
        <v>0</v>
      </c>
      <c r="H21007">
        <v>8</v>
      </c>
      <c r="I21007" s="3">
        <v>3344.69</v>
      </c>
      <c r="J21007" s="3">
        <v>1094.43</v>
      </c>
      <c r="L21007">
        <v>9484</v>
      </c>
      <c r="M21007" t="s">
        <v>45600</v>
      </c>
      <c r="N21007" t="s">
        <v>45601</v>
      </c>
      <c r="O21007" t="s">
        <v>495</v>
      </c>
      <c r="P21007" t="str">
        <f>"95624"</f>
        <v>95624</v>
      </c>
    </row>
    <row r="21008" spans="1:16" x14ac:dyDescent="0.25">
      <c r="A21008" t="str">
        <f>"1300033C00145    00"</f>
        <v>1300033C00145    00</v>
      </c>
      <c r="B21008" t="s">
        <v>33770</v>
      </c>
      <c r="C21008" t="s">
        <v>45602</v>
      </c>
      <c r="D21008" t="s">
        <v>20</v>
      </c>
      <c r="E21008" t="s">
        <v>39</v>
      </c>
      <c r="F21008">
        <v>0</v>
      </c>
      <c r="G21008">
        <v>0</v>
      </c>
      <c r="H21008">
        <v>4</v>
      </c>
      <c r="I21008" s="3">
        <v>2705.24</v>
      </c>
      <c r="J21008" s="3">
        <v>185.81</v>
      </c>
      <c r="K21008" t="s">
        <v>45603</v>
      </c>
      <c r="L21008">
        <v>1582</v>
      </c>
      <c r="M21008" t="s">
        <v>45604</v>
      </c>
      <c r="N21008" t="s">
        <v>24137</v>
      </c>
      <c r="O21008" t="s">
        <v>495</v>
      </c>
      <c r="P21008" t="str">
        <f>"95815"</f>
        <v>95815</v>
      </c>
    </row>
    <row r="21009" spans="1:16" x14ac:dyDescent="0.25">
      <c r="A21009" t="str">
        <f>"1300033C00146    00"</f>
        <v>1300033C00146    00</v>
      </c>
      <c r="B21009" t="s">
        <v>44525</v>
      </c>
      <c r="C21009" t="s">
        <v>45605</v>
      </c>
      <c r="D21009" t="s">
        <v>20</v>
      </c>
      <c r="E21009" t="s">
        <v>21</v>
      </c>
      <c r="F21009">
        <v>0</v>
      </c>
      <c r="G21009">
        <v>0</v>
      </c>
      <c r="H21009">
        <v>1</v>
      </c>
      <c r="I21009" s="3">
        <v>2700.81</v>
      </c>
      <c r="J21009" s="3">
        <v>0</v>
      </c>
      <c r="K21009" t="s">
        <v>44527</v>
      </c>
      <c r="L21009">
        <v>36</v>
      </c>
      <c r="M21009" t="s">
        <v>44519</v>
      </c>
      <c r="N21009" t="s">
        <v>30</v>
      </c>
      <c r="O21009" t="s">
        <v>31</v>
      </c>
      <c r="P21009" t="str">
        <f>"15227"</f>
        <v>15227</v>
      </c>
    </row>
    <row r="21010" spans="1:16" x14ac:dyDescent="0.25">
      <c r="A21010" t="str">
        <f>"1300033C00149    00"</f>
        <v>1300033C00149    00</v>
      </c>
      <c r="B21010" t="s">
        <v>45606</v>
      </c>
      <c r="C21010" t="s">
        <v>45607</v>
      </c>
      <c r="D21010" t="s">
        <v>20</v>
      </c>
      <c r="E21010" t="s">
        <v>21</v>
      </c>
      <c r="F21010">
        <v>0</v>
      </c>
      <c r="G21010">
        <v>0</v>
      </c>
      <c r="H21010">
        <v>2</v>
      </c>
      <c r="I21010" s="3">
        <v>3795.92</v>
      </c>
      <c r="J21010" s="3">
        <v>0</v>
      </c>
      <c r="K21010" t="s">
        <v>45608</v>
      </c>
      <c r="L21010">
        <v>1718</v>
      </c>
      <c r="M21010" t="s">
        <v>8534</v>
      </c>
      <c r="N21010" t="s">
        <v>8535</v>
      </c>
      <c r="O21010" t="s">
        <v>2928</v>
      </c>
      <c r="P21010" t="str">
        <f>"82001"</f>
        <v>82001</v>
      </c>
    </row>
    <row r="21011" spans="1:16" x14ac:dyDescent="0.25">
      <c r="A21011" t="str">
        <f>"1300033C00158    00"</f>
        <v>1300033C00158    00</v>
      </c>
      <c r="B21011" t="s">
        <v>26960</v>
      </c>
      <c r="C21011" t="s">
        <v>45609</v>
      </c>
      <c r="D21011" t="s">
        <v>20</v>
      </c>
      <c r="E21011" t="s">
        <v>21</v>
      </c>
      <c r="F21011">
        <v>0</v>
      </c>
      <c r="G21011">
        <v>0</v>
      </c>
      <c r="H21011">
        <v>2</v>
      </c>
      <c r="I21011" s="3">
        <v>2600.29</v>
      </c>
      <c r="J21011" s="3">
        <v>0</v>
      </c>
      <c r="L21011">
        <v>110</v>
      </c>
      <c r="M21011" t="s">
        <v>26962</v>
      </c>
      <c r="N21011" t="s">
        <v>30</v>
      </c>
      <c r="O21011" t="s">
        <v>31</v>
      </c>
      <c r="P21011" t="str">
        <f>"15236"</f>
        <v>15236</v>
      </c>
    </row>
    <row r="21012" spans="1:16" x14ac:dyDescent="0.25">
      <c r="A21012" t="str">
        <f>"1300033C00159    00"</f>
        <v>1300033C00159    00</v>
      </c>
      <c r="B21012" t="s">
        <v>45610</v>
      </c>
      <c r="C21012" t="s">
        <v>45611</v>
      </c>
      <c r="D21012" t="s">
        <v>57</v>
      </c>
      <c r="E21012" t="s">
        <v>21</v>
      </c>
      <c r="F21012">
        <v>0</v>
      </c>
      <c r="G21012">
        <v>0</v>
      </c>
      <c r="H21012">
        <v>1</v>
      </c>
      <c r="I21012" s="3">
        <v>23.79</v>
      </c>
      <c r="J21012" s="3">
        <v>0</v>
      </c>
      <c r="L21012">
        <v>332</v>
      </c>
      <c r="M21012" t="s">
        <v>44564</v>
      </c>
      <c r="N21012" t="s">
        <v>30</v>
      </c>
      <c r="O21012" t="s">
        <v>31</v>
      </c>
      <c r="P21012" t="str">
        <f>"15210"</f>
        <v>15210</v>
      </c>
    </row>
    <row r="21013" spans="1:16" x14ac:dyDescent="0.25">
      <c r="A21013" t="str">
        <f>"1300033C00161    00"</f>
        <v>1300033C00161    00</v>
      </c>
      <c r="B21013" t="s">
        <v>45612</v>
      </c>
      <c r="C21013" t="s">
        <v>45613</v>
      </c>
      <c r="D21013" t="s">
        <v>20</v>
      </c>
      <c r="E21013" t="s">
        <v>21</v>
      </c>
      <c r="F21013">
        <v>0</v>
      </c>
      <c r="G21013">
        <v>0</v>
      </c>
      <c r="H21013">
        <v>5</v>
      </c>
      <c r="I21013" s="3">
        <v>11859.81</v>
      </c>
      <c r="J21013" s="3">
        <v>2048.9499999999998</v>
      </c>
      <c r="L21013">
        <v>1937</v>
      </c>
      <c r="M21013" t="s">
        <v>45614</v>
      </c>
      <c r="N21013" t="s">
        <v>29099</v>
      </c>
      <c r="O21013" t="s">
        <v>495</v>
      </c>
      <c r="P21013" t="str">
        <f>"92626"</f>
        <v>92626</v>
      </c>
    </row>
    <row r="21014" spans="1:16" x14ac:dyDescent="0.25">
      <c r="A21014" t="str">
        <f>"1300033C00162    00"</f>
        <v>1300033C00162    00</v>
      </c>
      <c r="B21014" t="s">
        <v>45615</v>
      </c>
      <c r="C21014" t="s">
        <v>45616</v>
      </c>
      <c r="D21014" t="s">
        <v>20</v>
      </c>
      <c r="E21014" t="s">
        <v>21</v>
      </c>
      <c r="F21014">
        <v>0</v>
      </c>
      <c r="G21014">
        <v>0</v>
      </c>
      <c r="H21014">
        <v>3</v>
      </c>
      <c r="I21014" s="3">
        <v>7303.9</v>
      </c>
      <c r="J21014" s="3">
        <v>473.46</v>
      </c>
      <c r="L21014">
        <v>1937</v>
      </c>
      <c r="M21014" t="s">
        <v>45614</v>
      </c>
      <c r="N21014" t="s">
        <v>29099</v>
      </c>
      <c r="O21014" t="s">
        <v>495</v>
      </c>
      <c r="P21014" t="str">
        <f>"92626"</f>
        <v>92626</v>
      </c>
    </row>
    <row r="21015" spans="1:16" x14ac:dyDescent="0.25">
      <c r="A21015" t="str">
        <f>"1300033E00208    00"</f>
        <v>1300033E00208    00</v>
      </c>
      <c r="B21015" t="s">
        <v>45617</v>
      </c>
      <c r="C21015" t="s">
        <v>45618</v>
      </c>
      <c r="D21015" t="s">
        <v>20</v>
      </c>
      <c r="E21015" t="s">
        <v>39</v>
      </c>
      <c r="F21015">
        <v>0</v>
      </c>
      <c r="G21015">
        <v>0</v>
      </c>
      <c r="H21015">
        <v>18</v>
      </c>
      <c r="I21015" s="3">
        <v>3522.52</v>
      </c>
      <c r="J21015" s="3">
        <v>5212.43</v>
      </c>
      <c r="K21015" t="s">
        <v>45619</v>
      </c>
      <c r="L21015">
        <v>436</v>
      </c>
      <c r="M21015" t="s">
        <v>45555</v>
      </c>
      <c r="N21015" t="s">
        <v>30</v>
      </c>
      <c r="O21015" t="s">
        <v>31</v>
      </c>
      <c r="P21015" t="str">
        <f>"15210"</f>
        <v>15210</v>
      </c>
    </row>
    <row r="21016" spans="1:16" x14ac:dyDescent="0.25">
      <c r="A21016" t="str">
        <f>"1300033E00209    00"</f>
        <v>1300033E00209    00</v>
      </c>
      <c r="B21016" t="s">
        <v>45620</v>
      </c>
      <c r="C21016" t="s">
        <v>45621</v>
      </c>
      <c r="D21016" t="s">
        <v>20</v>
      </c>
      <c r="E21016" t="s">
        <v>39</v>
      </c>
      <c r="F21016">
        <v>0</v>
      </c>
      <c r="G21016">
        <v>0</v>
      </c>
      <c r="H21016">
        <v>2</v>
      </c>
      <c r="I21016" s="3">
        <v>2088.98</v>
      </c>
      <c r="J21016" s="3">
        <v>0</v>
      </c>
      <c r="K21016" t="s">
        <v>45622</v>
      </c>
      <c r="L21016">
        <v>434</v>
      </c>
      <c r="M21016" t="s">
        <v>45555</v>
      </c>
      <c r="N21016" t="s">
        <v>30</v>
      </c>
      <c r="O21016" t="s">
        <v>31</v>
      </c>
      <c r="P21016" t="str">
        <f>"15210"</f>
        <v>15210</v>
      </c>
    </row>
    <row r="21017" spans="1:16" x14ac:dyDescent="0.25">
      <c r="A21017" t="str">
        <f>"1300033E00211    00"</f>
        <v>1300033E00211    00</v>
      </c>
      <c r="B21017" t="s">
        <v>45623</v>
      </c>
      <c r="C21017" t="s">
        <v>45624</v>
      </c>
      <c r="D21017" t="s">
        <v>20</v>
      </c>
      <c r="E21017" t="s">
        <v>39</v>
      </c>
      <c r="F21017">
        <v>0</v>
      </c>
      <c r="G21017">
        <v>0</v>
      </c>
      <c r="H21017">
        <v>7</v>
      </c>
      <c r="I21017" s="3">
        <v>2919.78</v>
      </c>
      <c r="J21017" s="3">
        <v>855.49</v>
      </c>
      <c r="L21017">
        <v>430</v>
      </c>
      <c r="M21017" t="s">
        <v>45555</v>
      </c>
      <c r="N21017" t="s">
        <v>30</v>
      </c>
      <c r="O21017" t="s">
        <v>31</v>
      </c>
      <c r="P21017" t="str">
        <f>"15210"</f>
        <v>15210</v>
      </c>
    </row>
    <row r="21018" spans="1:16" x14ac:dyDescent="0.25">
      <c r="A21018" t="str">
        <f>"1300033E00214    00"</f>
        <v>1300033E00214    00</v>
      </c>
      <c r="B21018" t="s">
        <v>1997</v>
      </c>
      <c r="C21018" t="s">
        <v>45625</v>
      </c>
      <c r="E21018" t="s">
        <v>39</v>
      </c>
      <c r="F21018">
        <v>0</v>
      </c>
      <c r="G21018">
        <v>0</v>
      </c>
      <c r="H21018">
        <v>11</v>
      </c>
      <c r="I21018" s="3">
        <v>9918.76</v>
      </c>
      <c r="J21018" s="3">
        <v>5940.75</v>
      </c>
      <c r="K21018" t="s">
        <v>2361</v>
      </c>
      <c r="L21018">
        <v>412</v>
      </c>
      <c r="M21018" t="s">
        <v>221</v>
      </c>
      <c r="N21018" t="s">
        <v>30</v>
      </c>
      <c r="O21018" t="s">
        <v>31</v>
      </c>
      <c r="P21018" t="str">
        <f>"15219"</f>
        <v>15219</v>
      </c>
    </row>
    <row r="21019" spans="1:16" x14ac:dyDescent="0.25">
      <c r="A21019" t="str">
        <f>"1300033E00217    00"</f>
        <v>1300033E00217    00</v>
      </c>
      <c r="B21019" t="s">
        <v>45626</v>
      </c>
      <c r="C21019" t="s">
        <v>45627</v>
      </c>
      <c r="D21019" t="s">
        <v>20</v>
      </c>
      <c r="E21019" t="s">
        <v>39</v>
      </c>
      <c r="F21019">
        <v>0</v>
      </c>
      <c r="G21019">
        <v>0</v>
      </c>
      <c r="H21019">
        <v>7</v>
      </c>
      <c r="I21019" s="3">
        <v>3141.68</v>
      </c>
      <c r="J21019" s="3">
        <v>916.86</v>
      </c>
      <c r="L21019">
        <v>418</v>
      </c>
      <c r="M21019" t="s">
        <v>45555</v>
      </c>
      <c r="N21019" t="s">
        <v>30</v>
      </c>
      <c r="O21019" t="s">
        <v>31</v>
      </c>
      <c r="P21019" t="str">
        <f>"15210"</f>
        <v>15210</v>
      </c>
    </row>
    <row r="21020" spans="1:16" x14ac:dyDescent="0.25">
      <c r="A21020" t="str">
        <f>"1300033E00230    00"</f>
        <v>1300033E00230    00</v>
      </c>
      <c r="B21020" t="s">
        <v>26469</v>
      </c>
      <c r="C21020" t="s">
        <v>45628</v>
      </c>
      <c r="D21020" t="s">
        <v>20</v>
      </c>
      <c r="E21020" t="s">
        <v>39</v>
      </c>
      <c r="F21020">
        <v>0</v>
      </c>
      <c r="G21020">
        <v>0</v>
      </c>
      <c r="H21020">
        <v>7</v>
      </c>
      <c r="I21020" s="3">
        <v>1761.81</v>
      </c>
      <c r="J21020" s="3">
        <v>509.66</v>
      </c>
      <c r="L21020">
        <v>17</v>
      </c>
      <c r="M21020" t="s">
        <v>11022</v>
      </c>
      <c r="N21020" t="s">
        <v>30</v>
      </c>
      <c r="O21020" t="s">
        <v>31</v>
      </c>
      <c r="P21020" t="str">
        <f>"15210"</f>
        <v>15210</v>
      </c>
    </row>
    <row r="21021" spans="1:16" x14ac:dyDescent="0.25">
      <c r="A21021" t="str">
        <f>"1300033E00231    00"</f>
        <v>1300033E00231    00</v>
      </c>
      <c r="B21021" t="s">
        <v>45629</v>
      </c>
      <c r="C21021" t="s">
        <v>45630</v>
      </c>
      <c r="D21021" t="s">
        <v>20</v>
      </c>
      <c r="E21021" t="s">
        <v>39</v>
      </c>
      <c r="F21021">
        <v>0</v>
      </c>
      <c r="G21021">
        <v>0</v>
      </c>
      <c r="H21021">
        <v>10</v>
      </c>
      <c r="I21021" s="3">
        <v>3845.81</v>
      </c>
      <c r="J21021" s="3">
        <v>1926.45</v>
      </c>
      <c r="L21021">
        <v>420</v>
      </c>
      <c r="M21021" t="s">
        <v>45631</v>
      </c>
      <c r="N21021" t="s">
        <v>30</v>
      </c>
      <c r="O21021" t="s">
        <v>31</v>
      </c>
      <c r="P21021" t="str">
        <f>"15210"</f>
        <v>15210</v>
      </c>
    </row>
    <row r="21022" spans="1:16" x14ac:dyDescent="0.25">
      <c r="A21022" t="str">
        <f>"1300033E00233    00"</f>
        <v>1300033E00233    00</v>
      </c>
      <c r="B21022" t="s">
        <v>45632</v>
      </c>
      <c r="C21022" t="s">
        <v>45633</v>
      </c>
      <c r="E21022" t="s">
        <v>39</v>
      </c>
      <c r="F21022">
        <v>0</v>
      </c>
      <c r="G21022">
        <v>0</v>
      </c>
      <c r="H21022">
        <v>9</v>
      </c>
      <c r="I21022" s="3">
        <v>4736.83</v>
      </c>
      <c r="J21022" s="3">
        <v>4047.59</v>
      </c>
      <c r="L21022">
        <v>3</v>
      </c>
      <c r="M21022" t="s">
        <v>45634</v>
      </c>
      <c r="N21022" t="s">
        <v>30</v>
      </c>
      <c r="O21022" t="s">
        <v>31</v>
      </c>
      <c r="P21022" t="str">
        <f>"15202"</f>
        <v>15202</v>
      </c>
    </row>
    <row r="21023" spans="1:16" x14ac:dyDescent="0.25">
      <c r="A21023" t="str">
        <f>"1300033E00238    00"</f>
        <v>1300033E00238    00</v>
      </c>
      <c r="B21023" t="s">
        <v>45635</v>
      </c>
      <c r="C21023" t="s">
        <v>45636</v>
      </c>
      <c r="D21023" t="s">
        <v>20</v>
      </c>
      <c r="E21023" t="s">
        <v>39</v>
      </c>
      <c r="F21023">
        <v>0</v>
      </c>
      <c r="G21023">
        <v>0</v>
      </c>
      <c r="H21023">
        <v>2</v>
      </c>
      <c r="I21023" s="3">
        <v>1578.38</v>
      </c>
      <c r="J21023" s="3">
        <v>0</v>
      </c>
      <c r="L21023">
        <v>601</v>
      </c>
      <c r="M21023" t="s">
        <v>45637</v>
      </c>
      <c r="N21023" t="s">
        <v>30</v>
      </c>
      <c r="O21023" t="s">
        <v>31</v>
      </c>
      <c r="P21023" t="str">
        <f>"15210"</f>
        <v>15210</v>
      </c>
    </row>
    <row r="21024" spans="1:16" x14ac:dyDescent="0.25">
      <c r="A21024" t="str">
        <f>"1300033E00289    00"</f>
        <v>1300033E00289    00</v>
      </c>
      <c r="B21024" t="s">
        <v>23116</v>
      </c>
      <c r="C21024" t="s">
        <v>45638</v>
      </c>
      <c r="E21024" t="s">
        <v>39</v>
      </c>
      <c r="F21024">
        <v>0</v>
      </c>
      <c r="G21024">
        <v>0</v>
      </c>
      <c r="H21024">
        <v>4</v>
      </c>
      <c r="I21024" s="3">
        <v>1708.35</v>
      </c>
      <c r="J21024" s="3">
        <v>50.89</v>
      </c>
      <c r="K21024" t="s">
        <v>23118</v>
      </c>
      <c r="L21024">
        <v>6425</v>
      </c>
      <c r="M21024" t="s">
        <v>23119</v>
      </c>
      <c r="N21024" t="s">
        <v>30</v>
      </c>
      <c r="O21024" t="s">
        <v>31</v>
      </c>
      <c r="P21024" t="str">
        <f>"15206"</f>
        <v>15206</v>
      </c>
    </row>
    <row r="21025" spans="1:16" x14ac:dyDescent="0.25">
      <c r="A21025" t="str">
        <f>"1300033E00294    00"</f>
        <v>1300033E00294    00</v>
      </c>
      <c r="B21025" t="s">
        <v>45639</v>
      </c>
      <c r="C21025" t="s">
        <v>45640</v>
      </c>
      <c r="D21025" t="s">
        <v>20</v>
      </c>
      <c r="E21025" t="s">
        <v>39</v>
      </c>
      <c r="F21025">
        <v>0</v>
      </c>
      <c r="G21025">
        <v>0</v>
      </c>
      <c r="H21025">
        <v>1</v>
      </c>
      <c r="I21025" s="3">
        <v>318.77999999999997</v>
      </c>
      <c r="J21025" s="3">
        <v>0</v>
      </c>
      <c r="K21025" t="s">
        <v>45641</v>
      </c>
      <c r="L21025">
        <v>3500</v>
      </c>
      <c r="M21025" t="s">
        <v>45642</v>
      </c>
      <c r="N21025" t="s">
        <v>1634</v>
      </c>
      <c r="O21025" t="s">
        <v>25</v>
      </c>
      <c r="P21025" t="str">
        <f>"45414"</f>
        <v>45414</v>
      </c>
    </row>
    <row r="21026" spans="1:16" x14ac:dyDescent="0.25">
      <c r="A21026" t="str">
        <f>"1300033E00297    00"</f>
        <v>1300033E00297    00</v>
      </c>
      <c r="B21026" t="s">
        <v>23116</v>
      </c>
      <c r="C21026" t="s">
        <v>45643</v>
      </c>
      <c r="D21026" t="s">
        <v>20</v>
      </c>
      <c r="E21026" t="s">
        <v>39</v>
      </c>
      <c r="F21026">
        <v>0</v>
      </c>
      <c r="G21026">
        <v>0</v>
      </c>
      <c r="H21026">
        <v>5</v>
      </c>
      <c r="I21026" s="3">
        <v>2045.68</v>
      </c>
      <c r="J21026" s="3">
        <v>27.54</v>
      </c>
      <c r="K21026" t="s">
        <v>23118</v>
      </c>
      <c r="L21026">
        <v>6425</v>
      </c>
      <c r="M21026" t="s">
        <v>23119</v>
      </c>
      <c r="N21026" t="s">
        <v>30</v>
      </c>
      <c r="O21026" t="s">
        <v>31</v>
      </c>
      <c r="P21026" t="str">
        <f>"15206"</f>
        <v>15206</v>
      </c>
    </row>
    <row r="21027" spans="1:16" x14ac:dyDescent="0.25">
      <c r="A21027" t="str">
        <f>"1300033E00298    00"</f>
        <v>1300033E00298    00</v>
      </c>
      <c r="B21027" t="s">
        <v>1965</v>
      </c>
      <c r="C21027" t="s">
        <v>45644</v>
      </c>
      <c r="D21027" t="s">
        <v>20</v>
      </c>
      <c r="E21027" t="s">
        <v>39</v>
      </c>
      <c r="F21027">
        <v>0</v>
      </c>
      <c r="G21027">
        <v>0</v>
      </c>
      <c r="H21027">
        <v>5</v>
      </c>
      <c r="I21027" s="3">
        <v>4154.29</v>
      </c>
      <c r="J21027" s="3">
        <v>717.7</v>
      </c>
      <c r="L21027">
        <v>1556</v>
      </c>
      <c r="M21027" t="s">
        <v>29212</v>
      </c>
      <c r="N21027" t="s">
        <v>30</v>
      </c>
      <c r="O21027" t="s">
        <v>31</v>
      </c>
      <c r="P21027" t="str">
        <f>"15216"</f>
        <v>15216</v>
      </c>
    </row>
    <row r="21028" spans="1:16" x14ac:dyDescent="0.25">
      <c r="A21028" t="str">
        <f>"1300033E00300    00"</f>
        <v>1300033E00300    00</v>
      </c>
      <c r="B21028" t="s">
        <v>27249</v>
      </c>
      <c r="C21028" t="s">
        <v>45645</v>
      </c>
      <c r="E21028" t="s">
        <v>39</v>
      </c>
      <c r="F21028">
        <v>0</v>
      </c>
      <c r="G21028">
        <v>0</v>
      </c>
      <c r="H21028">
        <v>1</v>
      </c>
      <c r="I21028" s="3">
        <v>947.87</v>
      </c>
      <c r="J21028" s="3">
        <v>0</v>
      </c>
      <c r="L21028">
        <v>416</v>
      </c>
      <c r="M21028" t="s">
        <v>26761</v>
      </c>
      <c r="N21028" t="s">
        <v>30</v>
      </c>
      <c r="O21028" t="s">
        <v>31</v>
      </c>
      <c r="P21028" t="str">
        <f>"15210"</f>
        <v>15210</v>
      </c>
    </row>
    <row r="21029" spans="1:16" x14ac:dyDescent="0.25">
      <c r="A21029" t="str">
        <f>"1300033E00301    00"</f>
        <v>1300033E00301    00</v>
      </c>
      <c r="B21029" t="s">
        <v>45646</v>
      </c>
      <c r="C21029" t="s">
        <v>45647</v>
      </c>
      <c r="D21029" t="s">
        <v>20</v>
      </c>
      <c r="E21029" t="s">
        <v>39</v>
      </c>
      <c r="F21029">
        <v>0</v>
      </c>
      <c r="G21029">
        <v>0</v>
      </c>
      <c r="H21029">
        <v>2</v>
      </c>
      <c r="I21029" s="3">
        <v>583.74</v>
      </c>
      <c r="J21029" s="3">
        <v>0</v>
      </c>
      <c r="L21029">
        <v>418</v>
      </c>
      <c r="M21029" t="s">
        <v>26761</v>
      </c>
      <c r="N21029" t="s">
        <v>30</v>
      </c>
      <c r="O21029" t="s">
        <v>31</v>
      </c>
      <c r="P21029" t="str">
        <f>"15210"</f>
        <v>15210</v>
      </c>
    </row>
    <row r="21030" spans="1:16" x14ac:dyDescent="0.25">
      <c r="A21030" t="str">
        <f>"1300033E00305    00"</f>
        <v>1300033E00305    00</v>
      </c>
      <c r="B21030" t="s">
        <v>42871</v>
      </c>
      <c r="C21030" t="s">
        <v>45648</v>
      </c>
      <c r="D21030" t="s">
        <v>33</v>
      </c>
      <c r="E21030" t="s">
        <v>39</v>
      </c>
      <c r="F21030">
        <v>0</v>
      </c>
      <c r="G21030">
        <v>0</v>
      </c>
      <c r="H21030">
        <v>1</v>
      </c>
      <c r="I21030" s="3">
        <v>60.84</v>
      </c>
      <c r="J21030" s="3">
        <v>0</v>
      </c>
      <c r="L21030">
        <v>6135</v>
      </c>
      <c r="M21030" t="s">
        <v>8048</v>
      </c>
      <c r="N21030" t="s">
        <v>30</v>
      </c>
      <c r="O21030" t="s">
        <v>31</v>
      </c>
      <c r="P21030" t="str">
        <f>"15236"</f>
        <v>15236</v>
      </c>
    </row>
    <row r="21031" spans="1:16" x14ac:dyDescent="0.25">
      <c r="A21031" t="str">
        <f>"1300033E00334    00"</f>
        <v>1300033E00334    00</v>
      </c>
      <c r="B21031" t="s">
        <v>45649</v>
      </c>
      <c r="C21031" t="s">
        <v>45650</v>
      </c>
      <c r="D21031" t="s">
        <v>20</v>
      </c>
      <c r="E21031" t="s">
        <v>39</v>
      </c>
      <c r="F21031">
        <v>0</v>
      </c>
      <c r="G21031">
        <v>0</v>
      </c>
      <c r="H21031">
        <v>16</v>
      </c>
      <c r="I21031" s="3">
        <v>6351.49</v>
      </c>
      <c r="J21031" s="3">
        <v>6285.61</v>
      </c>
      <c r="M21031" t="s">
        <v>45651</v>
      </c>
      <c r="N21031" t="s">
        <v>1474</v>
      </c>
      <c r="O21031" t="s">
        <v>31</v>
      </c>
      <c r="P21031" t="str">
        <f>"15017"</f>
        <v>15017</v>
      </c>
    </row>
    <row r="21032" spans="1:16" x14ac:dyDescent="0.25">
      <c r="A21032" t="str">
        <f>"1300033E00340    00"</f>
        <v>1300033E00340    00</v>
      </c>
      <c r="B21032" t="s">
        <v>32002</v>
      </c>
      <c r="C21032" t="s">
        <v>45652</v>
      </c>
      <c r="D21032" t="s">
        <v>20</v>
      </c>
      <c r="E21032" t="s">
        <v>39</v>
      </c>
      <c r="F21032">
        <v>0</v>
      </c>
      <c r="G21032">
        <v>0</v>
      </c>
      <c r="H21032">
        <v>5</v>
      </c>
      <c r="I21032" s="3">
        <v>1169.92</v>
      </c>
      <c r="J21032" s="3">
        <v>227.66</v>
      </c>
      <c r="L21032">
        <v>312</v>
      </c>
      <c r="M21032" t="s">
        <v>45653</v>
      </c>
      <c r="N21032" t="s">
        <v>32005</v>
      </c>
      <c r="O21032" t="s">
        <v>31</v>
      </c>
      <c r="P21032" t="str">
        <f>"15025"</f>
        <v>15025</v>
      </c>
    </row>
    <row r="21033" spans="1:16" x14ac:dyDescent="0.25">
      <c r="A21033" t="str">
        <f>"1300033F00007    00"</f>
        <v>1300033F00007    00</v>
      </c>
      <c r="B21033" t="s">
        <v>22139</v>
      </c>
      <c r="C21033" t="s">
        <v>45654</v>
      </c>
      <c r="D21033" t="s">
        <v>20</v>
      </c>
      <c r="E21033" t="s">
        <v>39</v>
      </c>
      <c r="F21033">
        <v>0</v>
      </c>
      <c r="G21033">
        <v>0</v>
      </c>
      <c r="H21033">
        <v>1</v>
      </c>
      <c r="I21033" s="3">
        <v>333.56</v>
      </c>
      <c r="J21033" s="3">
        <v>0</v>
      </c>
      <c r="L21033">
        <v>154</v>
      </c>
      <c r="M21033" t="s">
        <v>22141</v>
      </c>
      <c r="N21033" t="s">
        <v>30</v>
      </c>
      <c r="O21033" t="s">
        <v>31</v>
      </c>
      <c r="P21033" t="str">
        <f>"15236"</f>
        <v>15236</v>
      </c>
    </row>
    <row r="21034" spans="1:16" x14ac:dyDescent="0.25">
      <c r="A21034" t="str">
        <f>"1300033F00011    00"</f>
        <v>1300033F00011    00</v>
      </c>
      <c r="B21034" t="s">
        <v>45655</v>
      </c>
      <c r="C21034" t="s">
        <v>45656</v>
      </c>
      <c r="D21034" t="s">
        <v>20</v>
      </c>
      <c r="E21034" t="s">
        <v>39</v>
      </c>
      <c r="F21034">
        <v>0</v>
      </c>
      <c r="G21034">
        <v>0</v>
      </c>
      <c r="H21034">
        <v>1</v>
      </c>
      <c r="I21034" s="3">
        <v>256.26</v>
      </c>
      <c r="J21034" s="3">
        <v>0</v>
      </c>
      <c r="L21034">
        <v>32</v>
      </c>
      <c r="M21034" t="s">
        <v>45657</v>
      </c>
      <c r="N21034" t="s">
        <v>45658</v>
      </c>
      <c r="O21034" t="s">
        <v>423</v>
      </c>
      <c r="P21034" t="str">
        <f>"07039"</f>
        <v>07039</v>
      </c>
    </row>
    <row r="21035" spans="1:16" x14ac:dyDescent="0.25">
      <c r="A21035" t="str">
        <f>"1300033F00013    00"</f>
        <v>1300033F00013    00</v>
      </c>
      <c r="B21035" t="s">
        <v>45659</v>
      </c>
      <c r="C21035" t="s">
        <v>45660</v>
      </c>
      <c r="D21035" t="s">
        <v>20</v>
      </c>
      <c r="E21035" t="s">
        <v>39</v>
      </c>
      <c r="F21035">
        <v>0</v>
      </c>
      <c r="G21035">
        <v>0</v>
      </c>
      <c r="H21035">
        <v>17</v>
      </c>
      <c r="I21035" s="3">
        <v>10990.31</v>
      </c>
      <c r="J21035" s="3">
        <v>7452.03</v>
      </c>
      <c r="K21035" t="s">
        <v>45661</v>
      </c>
      <c r="P21035" t="str">
        <f>""</f>
        <v/>
      </c>
    </row>
    <row r="21036" spans="1:16" x14ac:dyDescent="0.25">
      <c r="A21036" t="str">
        <f>"1300033F00017    00"</f>
        <v>1300033F00017    00</v>
      </c>
      <c r="B21036" t="s">
        <v>45662</v>
      </c>
      <c r="C21036" t="s">
        <v>45663</v>
      </c>
      <c r="D21036" t="s">
        <v>20</v>
      </c>
      <c r="E21036" t="s">
        <v>39</v>
      </c>
      <c r="F21036">
        <v>0</v>
      </c>
      <c r="G21036">
        <v>0</v>
      </c>
      <c r="H21036">
        <v>1</v>
      </c>
      <c r="I21036" s="3">
        <v>171.26</v>
      </c>
      <c r="J21036" s="3">
        <v>0</v>
      </c>
      <c r="L21036">
        <v>228</v>
      </c>
      <c r="M21036" t="s">
        <v>41017</v>
      </c>
      <c r="N21036" t="s">
        <v>30</v>
      </c>
      <c r="O21036" t="s">
        <v>31</v>
      </c>
      <c r="P21036" t="str">
        <f>"15210"</f>
        <v>15210</v>
      </c>
    </row>
    <row r="21037" spans="1:16" x14ac:dyDescent="0.25">
      <c r="A21037" t="str">
        <f>"1300033F00021    00"</f>
        <v>1300033F00021    00</v>
      </c>
      <c r="B21037" t="s">
        <v>45664</v>
      </c>
      <c r="C21037" t="s">
        <v>45665</v>
      </c>
      <c r="D21037" t="s">
        <v>20</v>
      </c>
      <c r="E21037" t="s">
        <v>39</v>
      </c>
      <c r="F21037">
        <v>0</v>
      </c>
      <c r="G21037">
        <v>0</v>
      </c>
      <c r="H21037">
        <v>16</v>
      </c>
      <c r="I21037" s="3">
        <v>11470.53</v>
      </c>
      <c r="J21037" s="3">
        <v>6159.62</v>
      </c>
      <c r="P21037" t="str">
        <f>""</f>
        <v/>
      </c>
    </row>
    <row r="21038" spans="1:16" x14ac:dyDescent="0.25">
      <c r="A21038" t="str">
        <f>"1300033F00022    00"</f>
        <v>1300033F00022    00</v>
      </c>
      <c r="B21038" t="s">
        <v>45666</v>
      </c>
      <c r="C21038" t="s">
        <v>45667</v>
      </c>
      <c r="D21038" t="s">
        <v>20</v>
      </c>
      <c r="E21038" t="s">
        <v>39</v>
      </c>
      <c r="F21038">
        <v>0</v>
      </c>
      <c r="G21038">
        <v>0</v>
      </c>
      <c r="H21038">
        <v>19</v>
      </c>
      <c r="I21038" s="3">
        <v>18149.18</v>
      </c>
      <c r="J21038" s="3">
        <v>16337.51</v>
      </c>
      <c r="L21038">
        <v>218</v>
      </c>
      <c r="M21038" t="s">
        <v>41017</v>
      </c>
      <c r="N21038" t="s">
        <v>30</v>
      </c>
      <c r="O21038" t="s">
        <v>31</v>
      </c>
      <c r="P21038" t="str">
        <f>"15210"</f>
        <v>15210</v>
      </c>
    </row>
    <row r="21039" spans="1:16" x14ac:dyDescent="0.25">
      <c r="A21039" t="str">
        <f>"1300033F00050    00"</f>
        <v>1300033F00050    00</v>
      </c>
      <c r="B21039" t="s">
        <v>43450</v>
      </c>
      <c r="C21039" t="s">
        <v>45668</v>
      </c>
      <c r="D21039" t="s">
        <v>20</v>
      </c>
      <c r="E21039" t="s">
        <v>39</v>
      </c>
      <c r="F21039">
        <v>0</v>
      </c>
      <c r="G21039">
        <v>0</v>
      </c>
      <c r="H21039">
        <v>4</v>
      </c>
      <c r="I21039" s="3">
        <v>3998.4</v>
      </c>
      <c r="J21039" s="3">
        <v>492.36</v>
      </c>
      <c r="L21039">
        <v>9313</v>
      </c>
      <c r="M21039" t="s">
        <v>23132</v>
      </c>
      <c r="N21039" t="s">
        <v>2008</v>
      </c>
      <c r="O21039" t="s">
        <v>31</v>
      </c>
      <c r="P21039" t="str">
        <f>"16066"</f>
        <v>16066</v>
      </c>
    </row>
    <row r="21040" spans="1:16" x14ac:dyDescent="0.25">
      <c r="A21040" t="str">
        <f>"1300033F00058    00"</f>
        <v>1300033F00058    00</v>
      </c>
      <c r="B21040" t="s">
        <v>45669</v>
      </c>
      <c r="C21040" t="s">
        <v>45670</v>
      </c>
      <c r="D21040" t="s">
        <v>20</v>
      </c>
      <c r="E21040" t="s">
        <v>39</v>
      </c>
      <c r="F21040">
        <v>0</v>
      </c>
      <c r="G21040">
        <v>0</v>
      </c>
      <c r="H21040">
        <v>1</v>
      </c>
      <c r="I21040" s="3">
        <v>414.09</v>
      </c>
      <c r="J21040" s="3">
        <v>0</v>
      </c>
      <c r="L21040">
        <v>311</v>
      </c>
      <c r="M21040" t="s">
        <v>45555</v>
      </c>
      <c r="N21040" t="s">
        <v>30</v>
      </c>
      <c r="O21040" t="s">
        <v>31</v>
      </c>
      <c r="P21040" t="str">
        <f>"15210"</f>
        <v>15210</v>
      </c>
    </row>
    <row r="21041" spans="1:16" x14ac:dyDescent="0.25">
      <c r="A21041" t="str">
        <f>"1300033F00076    00"</f>
        <v>1300033F00076    00</v>
      </c>
      <c r="B21041" t="s">
        <v>45671</v>
      </c>
      <c r="C21041" t="s">
        <v>45672</v>
      </c>
      <c r="D21041" t="s">
        <v>20</v>
      </c>
      <c r="E21041" t="s">
        <v>39</v>
      </c>
      <c r="F21041">
        <v>0</v>
      </c>
      <c r="G21041">
        <v>0</v>
      </c>
      <c r="H21041">
        <v>2</v>
      </c>
      <c r="I21041" s="3">
        <v>1087.42</v>
      </c>
      <c r="J21041" s="3">
        <v>0</v>
      </c>
      <c r="K21041" t="s">
        <v>24736</v>
      </c>
      <c r="L21041">
        <v>901</v>
      </c>
      <c r="M21041" t="s">
        <v>1503</v>
      </c>
      <c r="N21041" t="s">
        <v>494</v>
      </c>
      <c r="O21041" t="s">
        <v>495</v>
      </c>
      <c r="P21041" t="str">
        <f>"91768"</f>
        <v>91768</v>
      </c>
    </row>
    <row r="21042" spans="1:16" x14ac:dyDescent="0.25">
      <c r="A21042" t="str">
        <f>"1300033F00088    00"</f>
        <v>1300033F00088    00</v>
      </c>
      <c r="B21042" t="s">
        <v>45673</v>
      </c>
      <c r="C21042" t="s">
        <v>45674</v>
      </c>
      <c r="D21042" t="s">
        <v>20</v>
      </c>
      <c r="E21042" t="s">
        <v>39</v>
      </c>
      <c r="F21042">
        <v>0</v>
      </c>
      <c r="G21042">
        <v>0</v>
      </c>
      <c r="H21042">
        <v>2</v>
      </c>
      <c r="I21042" s="3">
        <v>1690.57</v>
      </c>
      <c r="J21042" s="3">
        <v>230.6</v>
      </c>
      <c r="K21042" t="s">
        <v>45675</v>
      </c>
      <c r="L21042">
        <v>221</v>
      </c>
      <c r="M21042" t="s">
        <v>45555</v>
      </c>
      <c r="N21042" t="s">
        <v>30</v>
      </c>
      <c r="O21042" t="s">
        <v>31</v>
      </c>
      <c r="P21042" t="str">
        <f>"15210"</f>
        <v>15210</v>
      </c>
    </row>
    <row r="21043" spans="1:16" x14ac:dyDescent="0.25">
      <c r="A21043" t="str">
        <f>"1300033F00102    00"</f>
        <v>1300033F00102    00</v>
      </c>
      <c r="B21043" t="s">
        <v>45676</v>
      </c>
      <c r="C21043" t="s">
        <v>45677</v>
      </c>
      <c r="E21043" t="s">
        <v>39</v>
      </c>
      <c r="F21043">
        <v>0</v>
      </c>
      <c r="G21043">
        <v>0</v>
      </c>
      <c r="H21043">
        <v>1</v>
      </c>
      <c r="I21043" s="3">
        <v>1091.83</v>
      </c>
      <c r="J21043" s="3">
        <v>300.23</v>
      </c>
      <c r="K21043" t="s">
        <v>45678</v>
      </c>
      <c r="L21043">
        <v>3</v>
      </c>
      <c r="M21043" t="s">
        <v>45679</v>
      </c>
      <c r="N21043" t="s">
        <v>45680</v>
      </c>
      <c r="P21043" t="str">
        <f>""</f>
        <v/>
      </c>
    </row>
    <row r="21044" spans="1:16" x14ac:dyDescent="0.25">
      <c r="A21044" t="str">
        <f>"1300033F00124    00"</f>
        <v>1300033F00124    00</v>
      </c>
      <c r="B21044" t="s">
        <v>45681</v>
      </c>
      <c r="C21044" t="s">
        <v>45682</v>
      </c>
      <c r="D21044" t="s">
        <v>20</v>
      </c>
      <c r="E21044" t="s">
        <v>39</v>
      </c>
      <c r="F21044">
        <v>0</v>
      </c>
      <c r="G21044">
        <v>0</v>
      </c>
      <c r="H21044">
        <v>1</v>
      </c>
      <c r="I21044" s="3">
        <v>661.84</v>
      </c>
      <c r="J21044" s="3">
        <v>0</v>
      </c>
      <c r="K21044" t="s">
        <v>45683</v>
      </c>
      <c r="L21044">
        <v>300</v>
      </c>
      <c r="M21044" t="s">
        <v>45555</v>
      </c>
      <c r="N21044" t="s">
        <v>30</v>
      </c>
      <c r="O21044" t="s">
        <v>31</v>
      </c>
      <c r="P21044" t="str">
        <f>"15210"</f>
        <v>15210</v>
      </c>
    </row>
    <row r="21045" spans="1:16" x14ac:dyDescent="0.25">
      <c r="A21045" t="str">
        <f>"1300033F00135    00"</f>
        <v>1300033F00135    00</v>
      </c>
      <c r="B21045" t="s">
        <v>22653</v>
      </c>
      <c r="C21045" t="s">
        <v>45684</v>
      </c>
      <c r="D21045" t="s">
        <v>20</v>
      </c>
      <c r="E21045" t="s">
        <v>39</v>
      </c>
      <c r="F21045">
        <v>0</v>
      </c>
      <c r="G21045">
        <v>0</v>
      </c>
      <c r="H21045">
        <v>1</v>
      </c>
      <c r="I21045" s="3">
        <v>1200.78</v>
      </c>
      <c r="J21045" s="3">
        <v>0</v>
      </c>
      <c r="L21045">
        <v>48</v>
      </c>
      <c r="M21045" t="s">
        <v>22652</v>
      </c>
      <c r="N21045" t="s">
        <v>30</v>
      </c>
      <c r="O21045" t="s">
        <v>31</v>
      </c>
      <c r="P21045" t="str">
        <f>"15203"</f>
        <v>15203</v>
      </c>
    </row>
    <row r="21046" spans="1:16" x14ac:dyDescent="0.25">
      <c r="A21046" t="str">
        <f>"1300033F00147    00"</f>
        <v>1300033F00147    00</v>
      </c>
      <c r="B21046" t="s">
        <v>45685</v>
      </c>
      <c r="C21046" t="s">
        <v>45686</v>
      </c>
      <c r="D21046" t="s">
        <v>20</v>
      </c>
      <c r="E21046" t="s">
        <v>39</v>
      </c>
      <c r="F21046">
        <v>0</v>
      </c>
      <c r="G21046">
        <v>0</v>
      </c>
      <c r="H21046">
        <v>1</v>
      </c>
      <c r="I21046" s="3">
        <v>1145.51</v>
      </c>
      <c r="J21046" s="3">
        <v>0</v>
      </c>
      <c r="K21046" t="s">
        <v>45687</v>
      </c>
      <c r="L21046">
        <v>2411</v>
      </c>
      <c r="M21046" t="s">
        <v>45688</v>
      </c>
      <c r="N21046" t="s">
        <v>238</v>
      </c>
      <c r="O21046" t="s">
        <v>31</v>
      </c>
      <c r="P21046" t="str">
        <f>"15132"</f>
        <v>15132</v>
      </c>
    </row>
    <row r="21047" spans="1:16" x14ac:dyDescent="0.25">
      <c r="A21047" t="str">
        <f>"1300033F00155    00"</f>
        <v>1300033F00155    00</v>
      </c>
      <c r="B21047" t="s">
        <v>45689</v>
      </c>
      <c r="C21047" t="s">
        <v>45690</v>
      </c>
      <c r="D21047" t="s">
        <v>20</v>
      </c>
      <c r="E21047" t="s">
        <v>39</v>
      </c>
      <c r="F21047">
        <v>0</v>
      </c>
      <c r="G21047">
        <v>0</v>
      </c>
      <c r="H21047">
        <v>4</v>
      </c>
      <c r="I21047" s="3">
        <v>1423.05</v>
      </c>
      <c r="J21047" s="3">
        <v>154.04</v>
      </c>
      <c r="K21047" t="s">
        <v>45691</v>
      </c>
      <c r="L21047">
        <v>400</v>
      </c>
      <c r="M21047" t="s">
        <v>45631</v>
      </c>
      <c r="N21047" t="s">
        <v>30</v>
      </c>
      <c r="O21047" t="s">
        <v>31</v>
      </c>
      <c r="P21047" t="str">
        <f>"15210"</f>
        <v>15210</v>
      </c>
    </row>
    <row r="21048" spans="1:16" x14ac:dyDescent="0.25">
      <c r="A21048" t="str">
        <f>"1300033F00234    00"</f>
        <v>1300033F00234    00</v>
      </c>
      <c r="B21048" t="s">
        <v>45692</v>
      </c>
      <c r="C21048" t="s">
        <v>45693</v>
      </c>
      <c r="D21048" t="s">
        <v>20</v>
      </c>
      <c r="E21048" t="s">
        <v>39</v>
      </c>
      <c r="F21048">
        <v>0</v>
      </c>
      <c r="G21048">
        <v>0</v>
      </c>
      <c r="H21048">
        <v>1</v>
      </c>
      <c r="I21048" s="3">
        <v>117.92</v>
      </c>
      <c r="J21048" s="3">
        <v>0</v>
      </c>
      <c r="K21048" t="s">
        <v>45694</v>
      </c>
      <c r="L21048">
        <v>301</v>
      </c>
      <c r="M21048" t="s">
        <v>26761</v>
      </c>
      <c r="N21048" t="s">
        <v>30</v>
      </c>
      <c r="O21048" t="s">
        <v>31</v>
      </c>
      <c r="P21048" t="str">
        <f>"15210"</f>
        <v>15210</v>
      </c>
    </row>
    <row r="21049" spans="1:16" x14ac:dyDescent="0.25">
      <c r="A21049" t="str">
        <f>"1300033F00256    00"</f>
        <v>1300033F00256    00</v>
      </c>
      <c r="B21049" t="s">
        <v>45695</v>
      </c>
      <c r="C21049" t="s">
        <v>45696</v>
      </c>
      <c r="E21049" t="s">
        <v>39</v>
      </c>
      <c r="F21049">
        <v>0</v>
      </c>
      <c r="G21049">
        <v>0</v>
      </c>
      <c r="H21049">
        <v>1</v>
      </c>
      <c r="I21049" s="3">
        <v>476.69</v>
      </c>
      <c r="J21049" s="3">
        <v>131.08000000000001</v>
      </c>
      <c r="K21049" t="s">
        <v>7138</v>
      </c>
      <c r="L21049">
        <v>1123</v>
      </c>
      <c r="M21049" t="s">
        <v>7139</v>
      </c>
      <c r="N21049" t="s">
        <v>7140</v>
      </c>
      <c r="O21049" t="s">
        <v>495</v>
      </c>
      <c r="P21049" t="str">
        <f>"91724"</f>
        <v>91724</v>
      </c>
    </row>
    <row r="21050" spans="1:16" x14ac:dyDescent="0.25">
      <c r="A21050" t="str">
        <f>"1300033F00274    00"</f>
        <v>1300033F00274    00</v>
      </c>
      <c r="B21050" t="s">
        <v>45697</v>
      </c>
      <c r="C21050" t="s">
        <v>45650</v>
      </c>
      <c r="D21050" t="s">
        <v>20</v>
      </c>
      <c r="E21050" t="s">
        <v>39</v>
      </c>
      <c r="F21050">
        <v>0</v>
      </c>
      <c r="G21050">
        <v>0</v>
      </c>
      <c r="H21050">
        <v>19</v>
      </c>
      <c r="I21050" s="3">
        <v>14155.98</v>
      </c>
      <c r="J21050" s="3">
        <v>17255.849999999999</v>
      </c>
      <c r="L21050">
        <v>325</v>
      </c>
      <c r="M21050" t="s">
        <v>26430</v>
      </c>
      <c r="N21050" t="s">
        <v>30</v>
      </c>
      <c r="O21050" t="s">
        <v>31</v>
      </c>
      <c r="P21050" t="str">
        <f t="shared" ref="P21050:P21061" si="263">"15210"</f>
        <v>15210</v>
      </c>
    </row>
    <row r="21051" spans="1:16" x14ac:dyDescent="0.25">
      <c r="A21051" t="str">
        <f>"1300033F00284    00"</f>
        <v>1300033F00284    00</v>
      </c>
      <c r="B21051" t="s">
        <v>45698</v>
      </c>
      <c r="C21051" t="s">
        <v>45699</v>
      </c>
      <c r="D21051" t="s">
        <v>20</v>
      </c>
      <c r="E21051" t="s">
        <v>39</v>
      </c>
      <c r="F21051">
        <v>0</v>
      </c>
      <c r="G21051">
        <v>0</v>
      </c>
      <c r="H21051">
        <v>4</v>
      </c>
      <c r="I21051" s="3">
        <v>1134.73</v>
      </c>
      <c r="J21051" s="3">
        <v>177.08</v>
      </c>
      <c r="K21051" t="s">
        <v>45700</v>
      </c>
      <c r="L21051">
        <v>334</v>
      </c>
      <c r="M21051" t="s">
        <v>45701</v>
      </c>
      <c r="N21051" t="s">
        <v>30</v>
      </c>
      <c r="O21051" t="s">
        <v>31</v>
      </c>
      <c r="P21051" t="str">
        <f t="shared" si="263"/>
        <v>15210</v>
      </c>
    </row>
    <row r="21052" spans="1:16" x14ac:dyDescent="0.25">
      <c r="A21052" t="str">
        <f>"1300033F00287    00"</f>
        <v>1300033F00287    00</v>
      </c>
      <c r="B21052" t="s">
        <v>45702</v>
      </c>
      <c r="C21052" t="s">
        <v>45703</v>
      </c>
      <c r="D21052" t="s">
        <v>20</v>
      </c>
      <c r="E21052" t="s">
        <v>39</v>
      </c>
      <c r="F21052">
        <v>0</v>
      </c>
      <c r="G21052">
        <v>0</v>
      </c>
      <c r="H21052">
        <v>2</v>
      </c>
      <c r="I21052" s="3">
        <v>366.88</v>
      </c>
      <c r="J21052" s="3">
        <v>0</v>
      </c>
      <c r="L21052">
        <v>330</v>
      </c>
      <c r="M21052" t="s">
        <v>45701</v>
      </c>
      <c r="N21052" t="s">
        <v>30</v>
      </c>
      <c r="O21052" t="s">
        <v>31</v>
      </c>
      <c r="P21052" t="str">
        <f t="shared" si="263"/>
        <v>15210</v>
      </c>
    </row>
    <row r="21053" spans="1:16" x14ac:dyDescent="0.25">
      <c r="A21053" t="str">
        <f>"1300033F00293    00"</f>
        <v>1300033F00293    00</v>
      </c>
      <c r="B21053" t="s">
        <v>45704</v>
      </c>
      <c r="C21053" t="s">
        <v>45705</v>
      </c>
      <c r="D21053" t="s">
        <v>20</v>
      </c>
      <c r="E21053" t="s">
        <v>39</v>
      </c>
      <c r="F21053">
        <v>0</v>
      </c>
      <c r="G21053">
        <v>0</v>
      </c>
      <c r="H21053">
        <v>12</v>
      </c>
      <c r="I21053" s="3">
        <v>4918.95</v>
      </c>
      <c r="J21053" s="3">
        <v>2970.77</v>
      </c>
      <c r="L21053">
        <v>318</v>
      </c>
      <c r="M21053" t="s">
        <v>45701</v>
      </c>
      <c r="N21053" t="s">
        <v>30</v>
      </c>
      <c r="O21053" t="s">
        <v>31</v>
      </c>
      <c r="P21053" t="str">
        <f t="shared" si="263"/>
        <v>15210</v>
      </c>
    </row>
    <row r="21054" spans="1:16" x14ac:dyDescent="0.25">
      <c r="A21054" t="str">
        <f>"1300033F00294    00"</f>
        <v>1300033F00294    00</v>
      </c>
      <c r="B21054" t="s">
        <v>45706</v>
      </c>
      <c r="C21054" t="s">
        <v>45707</v>
      </c>
      <c r="D21054" t="s">
        <v>20</v>
      </c>
      <c r="E21054" t="s">
        <v>39</v>
      </c>
      <c r="F21054">
        <v>0</v>
      </c>
      <c r="G21054">
        <v>0</v>
      </c>
      <c r="H21054">
        <v>1</v>
      </c>
      <c r="I21054" s="3">
        <v>1433.31</v>
      </c>
      <c r="J21054" s="3">
        <v>0</v>
      </c>
      <c r="L21054">
        <v>316</v>
      </c>
      <c r="M21054" t="s">
        <v>45701</v>
      </c>
      <c r="N21054" t="s">
        <v>30</v>
      </c>
      <c r="O21054" t="s">
        <v>31</v>
      </c>
      <c r="P21054" t="str">
        <f t="shared" si="263"/>
        <v>15210</v>
      </c>
    </row>
    <row r="21055" spans="1:16" x14ac:dyDescent="0.25">
      <c r="A21055" t="str">
        <f>"1300033F00304    00"</f>
        <v>1300033F00304    00</v>
      </c>
      <c r="B21055" t="s">
        <v>45708</v>
      </c>
      <c r="C21055" t="s">
        <v>45709</v>
      </c>
      <c r="D21055" t="s">
        <v>20</v>
      </c>
      <c r="E21055" t="s">
        <v>39</v>
      </c>
      <c r="F21055">
        <v>0</v>
      </c>
      <c r="G21055">
        <v>0</v>
      </c>
      <c r="H21055">
        <v>3</v>
      </c>
      <c r="I21055" s="3">
        <v>2344.6</v>
      </c>
      <c r="J21055" s="3">
        <v>234.43</v>
      </c>
      <c r="L21055">
        <v>215</v>
      </c>
      <c r="M21055" t="s">
        <v>45701</v>
      </c>
      <c r="N21055" t="s">
        <v>30</v>
      </c>
      <c r="O21055" t="s">
        <v>31</v>
      </c>
      <c r="P21055" t="str">
        <f t="shared" si="263"/>
        <v>15210</v>
      </c>
    </row>
    <row r="21056" spans="1:16" x14ac:dyDescent="0.25">
      <c r="A21056" t="str">
        <f>"1300033F00307    00"</f>
        <v>1300033F00307    00</v>
      </c>
      <c r="B21056" t="s">
        <v>45710</v>
      </c>
      <c r="C21056" t="s">
        <v>45711</v>
      </c>
      <c r="D21056" t="s">
        <v>20</v>
      </c>
      <c r="E21056" t="s">
        <v>39</v>
      </c>
      <c r="F21056">
        <v>0</v>
      </c>
      <c r="G21056">
        <v>0</v>
      </c>
      <c r="H21056">
        <v>2</v>
      </c>
      <c r="I21056" s="3">
        <v>796.97</v>
      </c>
      <c r="J21056" s="3">
        <v>70.849999999999994</v>
      </c>
      <c r="L21056">
        <v>209</v>
      </c>
      <c r="M21056" t="s">
        <v>45701</v>
      </c>
      <c r="N21056" t="s">
        <v>30</v>
      </c>
      <c r="O21056" t="s">
        <v>31</v>
      </c>
      <c r="P21056" t="str">
        <f t="shared" si="263"/>
        <v>15210</v>
      </c>
    </row>
    <row r="21057" spans="1:16" x14ac:dyDescent="0.25">
      <c r="A21057" t="str">
        <f>"1300033F00309    00"</f>
        <v>1300033F00309    00</v>
      </c>
      <c r="B21057" t="s">
        <v>45708</v>
      </c>
      <c r="C21057" t="s">
        <v>45712</v>
      </c>
      <c r="E21057" t="s">
        <v>39</v>
      </c>
      <c r="F21057">
        <v>0</v>
      </c>
      <c r="G21057">
        <v>0</v>
      </c>
      <c r="H21057">
        <v>3</v>
      </c>
      <c r="I21057" s="3">
        <v>1019.39</v>
      </c>
      <c r="J21057" s="3">
        <v>113.64</v>
      </c>
      <c r="L21057">
        <v>215</v>
      </c>
      <c r="M21057" t="s">
        <v>45701</v>
      </c>
      <c r="N21057" t="s">
        <v>30</v>
      </c>
      <c r="O21057" t="s">
        <v>31</v>
      </c>
      <c r="P21057" t="str">
        <f t="shared" si="263"/>
        <v>15210</v>
      </c>
    </row>
    <row r="21058" spans="1:16" x14ac:dyDescent="0.25">
      <c r="A21058" t="str">
        <f>"1300033F00312    00"</f>
        <v>1300033F00312    00</v>
      </c>
      <c r="B21058" t="s">
        <v>45713</v>
      </c>
      <c r="C21058" t="s">
        <v>45714</v>
      </c>
      <c r="E21058" t="s">
        <v>39</v>
      </c>
      <c r="F21058">
        <v>0</v>
      </c>
      <c r="G21058">
        <v>0</v>
      </c>
      <c r="H21058">
        <v>5</v>
      </c>
      <c r="I21058" s="3">
        <v>949.05</v>
      </c>
      <c r="J21058" s="3">
        <v>525.17999999999995</v>
      </c>
      <c r="L21058">
        <v>221</v>
      </c>
      <c r="M21058" t="s">
        <v>45701</v>
      </c>
      <c r="N21058" t="s">
        <v>30</v>
      </c>
      <c r="O21058" t="s">
        <v>31</v>
      </c>
      <c r="P21058" t="str">
        <f t="shared" si="263"/>
        <v>15210</v>
      </c>
    </row>
    <row r="21059" spans="1:16" x14ac:dyDescent="0.25">
      <c r="A21059" t="str">
        <f>"1300033F00329    00"</f>
        <v>1300033F00329    00</v>
      </c>
      <c r="B21059" t="s">
        <v>45715</v>
      </c>
      <c r="C21059" t="s">
        <v>45716</v>
      </c>
      <c r="D21059" t="s">
        <v>33</v>
      </c>
      <c r="E21059" t="s">
        <v>39</v>
      </c>
      <c r="F21059">
        <v>0</v>
      </c>
      <c r="G21059">
        <v>0</v>
      </c>
      <c r="H21059">
        <v>2</v>
      </c>
      <c r="I21059" s="3">
        <v>621.86</v>
      </c>
      <c r="J21059" s="3">
        <v>0</v>
      </c>
      <c r="L21059">
        <v>418</v>
      </c>
      <c r="M21059" t="s">
        <v>26761</v>
      </c>
      <c r="N21059" t="s">
        <v>30</v>
      </c>
      <c r="O21059" t="s">
        <v>31</v>
      </c>
      <c r="P21059" t="str">
        <f t="shared" si="263"/>
        <v>15210</v>
      </c>
    </row>
    <row r="21060" spans="1:16" x14ac:dyDescent="0.25">
      <c r="A21060" t="str">
        <f>"1300033F00339    00"</f>
        <v>1300033F00339    00</v>
      </c>
      <c r="B21060" t="s">
        <v>45717</v>
      </c>
      <c r="C21060" t="s">
        <v>45718</v>
      </c>
      <c r="D21060" t="s">
        <v>20</v>
      </c>
      <c r="E21060" t="s">
        <v>39</v>
      </c>
      <c r="F21060">
        <v>0</v>
      </c>
      <c r="G21060">
        <v>0</v>
      </c>
      <c r="H21060">
        <v>10</v>
      </c>
      <c r="I21060" s="3">
        <v>7130.37</v>
      </c>
      <c r="J21060" s="3">
        <v>2748.06</v>
      </c>
      <c r="L21060">
        <v>329</v>
      </c>
      <c r="M21060" t="s">
        <v>45701</v>
      </c>
      <c r="N21060" t="s">
        <v>30</v>
      </c>
      <c r="O21060" t="s">
        <v>31</v>
      </c>
      <c r="P21060" t="str">
        <f t="shared" si="263"/>
        <v>15210</v>
      </c>
    </row>
    <row r="21061" spans="1:16" x14ac:dyDescent="0.25">
      <c r="A21061" t="str">
        <f>"1300033F00352    00"</f>
        <v>1300033F00352    00</v>
      </c>
      <c r="B21061" t="s">
        <v>45719</v>
      </c>
      <c r="C21061" t="s">
        <v>45720</v>
      </c>
      <c r="D21061" t="s">
        <v>20</v>
      </c>
      <c r="E21061" t="s">
        <v>39</v>
      </c>
      <c r="F21061">
        <v>0</v>
      </c>
      <c r="G21061">
        <v>0</v>
      </c>
      <c r="H21061">
        <v>1</v>
      </c>
      <c r="I21061" s="3">
        <v>494.11</v>
      </c>
      <c r="J21061" s="3">
        <v>0</v>
      </c>
      <c r="L21061">
        <v>234</v>
      </c>
      <c r="M21061" t="s">
        <v>26761</v>
      </c>
      <c r="N21061" t="s">
        <v>30</v>
      </c>
      <c r="O21061" t="s">
        <v>31</v>
      </c>
      <c r="P21061" t="str">
        <f t="shared" si="263"/>
        <v>15210</v>
      </c>
    </row>
    <row r="21062" spans="1:16" x14ac:dyDescent="0.25">
      <c r="A21062" t="str">
        <f>"1300033F00358    00"</f>
        <v>1300033F00358    00</v>
      </c>
      <c r="B21062" t="s">
        <v>45721</v>
      </c>
      <c r="C21062" t="s">
        <v>45722</v>
      </c>
      <c r="D21062" t="s">
        <v>20</v>
      </c>
      <c r="E21062" t="s">
        <v>39</v>
      </c>
      <c r="F21062">
        <v>0</v>
      </c>
      <c r="G21062">
        <v>0</v>
      </c>
      <c r="H21062">
        <v>6</v>
      </c>
      <c r="I21062" s="3">
        <v>8864.4500000000007</v>
      </c>
      <c r="J21062" s="3">
        <v>1988.1</v>
      </c>
      <c r="L21062">
        <v>803</v>
      </c>
      <c r="M21062" t="s">
        <v>45723</v>
      </c>
      <c r="N21062" t="s">
        <v>6603</v>
      </c>
      <c r="O21062" t="s">
        <v>31</v>
      </c>
      <c r="P21062" t="str">
        <f>"15122"</f>
        <v>15122</v>
      </c>
    </row>
    <row r="21063" spans="1:16" x14ac:dyDescent="0.25">
      <c r="A21063" t="str">
        <f>"1300033F00367    00"</f>
        <v>1300033F00367    00</v>
      </c>
      <c r="B21063" t="s">
        <v>45724</v>
      </c>
      <c r="C21063" t="s">
        <v>45725</v>
      </c>
      <c r="E21063" t="s">
        <v>21</v>
      </c>
      <c r="F21063">
        <v>0</v>
      </c>
      <c r="G21063">
        <v>0</v>
      </c>
      <c r="H21063">
        <v>3</v>
      </c>
      <c r="I21063" s="3">
        <v>1185.53</v>
      </c>
      <c r="J21063" s="3">
        <v>957.47</v>
      </c>
      <c r="L21063">
        <v>447</v>
      </c>
      <c r="M21063" t="s">
        <v>45726</v>
      </c>
      <c r="N21063" t="s">
        <v>30</v>
      </c>
      <c r="O21063" t="s">
        <v>31</v>
      </c>
      <c r="P21063" t="str">
        <f>"15218"</f>
        <v>15218</v>
      </c>
    </row>
    <row r="21064" spans="1:16" x14ac:dyDescent="0.25">
      <c r="A21064" t="str">
        <f>"1300033F00377    00"</f>
        <v>1300033F00377    00</v>
      </c>
      <c r="B21064" t="s">
        <v>45727</v>
      </c>
      <c r="C21064" t="s">
        <v>45728</v>
      </c>
      <c r="D21064" t="s">
        <v>20</v>
      </c>
      <c r="E21064" t="s">
        <v>21</v>
      </c>
      <c r="F21064">
        <v>0</v>
      </c>
      <c r="G21064">
        <v>0</v>
      </c>
      <c r="H21064">
        <v>1</v>
      </c>
      <c r="I21064" s="3">
        <v>916.8</v>
      </c>
      <c r="J21064" s="3">
        <v>0</v>
      </c>
      <c r="K21064" t="s">
        <v>45729</v>
      </c>
      <c r="L21064">
        <v>2536</v>
      </c>
      <c r="M21064" t="s">
        <v>854</v>
      </c>
      <c r="N21064" t="s">
        <v>30</v>
      </c>
      <c r="O21064" t="s">
        <v>31</v>
      </c>
      <c r="P21064" t="str">
        <f>"15219"</f>
        <v>15219</v>
      </c>
    </row>
    <row r="21065" spans="1:16" x14ac:dyDescent="0.25">
      <c r="A21065" t="str">
        <f>"1300033F00380    00"</f>
        <v>1300033F00380    00</v>
      </c>
      <c r="B21065" t="s">
        <v>45730</v>
      </c>
      <c r="C21065" t="s">
        <v>45731</v>
      </c>
      <c r="D21065" t="s">
        <v>20</v>
      </c>
      <c r="E21065" t="s">
        <v>39</v>
      </c>
      <c r="F21065">
        <v>0</v>
      </c>
      <c r="G21065">
        <v>0</v>
      </c>
      <c r="H21065">
        <v>2</v>
      </c>
      <c r="I21065" s="3">
        <v>2079.14</v>
      </c>
      <c r="J21065" s="3">
        <v>0</v>
      </c>
      <c r="L21065">
        <v>724</v>
      </c>
      <c r="M21065" t="s">
        <v>8048</v>
      </c>
      <c r="N21065" t="s">
        <v>30</v>
      </c>
      <c r="O21065" t="s">
        <v>31</v>
      </c>
      <c r="P21065" t="str">
        <f>"15210"</f>
        <v>15210</v>
      </c>
    </row>
    <row r="21066" spans="1:16" x14ac:dyDescent="0.25">
      <c r="A21066" t="str">
        <f>"1300033F00383    00"</f>
        <v>1300033F00383    00</v>
      </c>
      <c r="B21066" t="s">
        <v>45732</v>
      </c>
      <c r="C21066" t="s">
        <v>45733</v>
      </c>
      <c r="D21066" t="s">
        <v>20</v>
      </c>
      <c r="E21066" t="s">
        <v>21</v>
      </c>
      <c r="F21066">
        <v>0</v>
      </c>
      <c r="G21066">
        <v>0</v>
      </c>
      <c r="H21066">
        <v>1</v>
      </c>
      <c r="I21066" s="3">
        <v>2940.96</v>
      </c>
      <c r="J21066" s="3">
        <v>0</v>
      </c>
      <c r="K21066" t="s">
        <v>45734</v>
      </c>
      <c r="M21066" t="s">
        <v>45735</v>
      </c>
      <c r="N21066" t="s">
        <v>30</v>
      </c>
      <c r="O21066" t="s">
        <v>31</v>
      </c>
      <c r="P21066" t="str">
        <f>"15224"</f>
        <v>15224</v>
      </c>
    </row>
    <row r="21067" spans="1:16" x14ac:dyDescent="0.25">
      <c r="A21067" t="str">
        <f>"1300033G00007    00"</f>
        <v>1300033G00007    00</v>
      </c>
      <c r="B21067" t="s">
        <v>45736</v>
      </c>
      <c r="C21067" t="s">
        <v>45737</v>
      </c>
      <c r="D21067" t="s">
        <v>20</v>
      </c>
      <c r="E21067" t="s">
        <v>39</v>
      </c>
      <c r="F21067">
        <v>0</v>
      </c>
      <c r="G21067">
        <v>0</v>
      </c>
      <c r="H21067">
        <v>1</v>
      </c>
      <c r="I21067" s="3">
        <v>1317.05</v>
      </c>
      <c r="J21067" s="3">
        <v>0</v>
      </c>
      <c r="L21067">
        <v>415</v>
      </c>
      <c r="M21067" t="s">
        <v>22783</v>
      </c>
      <c r="N21067" t="s">
        <v>30</v>
      </c>
      <c r="O21067" t="s">
        <v>31</v>
      </c>
      <c r="P21067" t="str">
        <f>"15211"</f>
        <v>15211</v>
      </c>
    </row>
    <row r="21068" spans="1:16" x14ac:dyDescent="0.25">
      <c r="A21068" t="str">
        <f>"1300033G00022    00"</f>
        <v>1300033G00022    00</v>
      </c>
      <c r="B21068" t="s">
        <v>45738</v>
      </c>
      <c r="C21068" t="s">
        <v>45739</v>
      </c>
      <c r="D21068" t="s">
        <v>20</v>
      </c>
      <c r="E21068" t="s">
        <v>39</v>
      </c>
      <c r="F21068">
        <v>0</v>
      </c>
      <c r="G21068">
        <v>0</v>
      </c>
      <c r="H21068">
        <v>6</v>
      </c>
      <c r="I21068" s="3">
        <v>2993.7</v>
      </c>
      <c r="J21068" s="3">
        <v>639.08000000000004</v>
      </c>
      <c r="L21068">
        <v>209</v>
      </c>
      <c r="M21068" t="s">
        <v>25848</v>
      </c>
      <c r="N21068" t="s">
        <v>30</v>
      </c>
      <c r="O21068" t="s">
        <v>31</v>
      </c>
      <c r="P21068" t="str">
        <f>"15210"</f>
        <v>15210</v>
      </c>
    </row>
    <row r="21069" spans="1:16" x14ac:dyDescent="0.25">
      <c r="A21069" t="str">
        <f>"1300033G00198    00"</f>
        <v>1300033G00198    00</v>
      </c>
      <c r="B21069" t="s">
        <v>33010</v>
      </c>
      <c r="C21069" t="s">
        <v>45740</v>
      </c>
      <c r="D21069" t="s">
        <v>20</v>
      </c>
      <c r="E21069" t="s">
        <v>21</v>
      </c>
      <c r="F21069">
        <v>0</v>
      </c>
      <c r="G21069">
        <v>0</v>
      </c>
      <c r="H21069">
        <v>4</v>
      </c>
      <c r="I21069" s="3">
        <v>11444.19</v>
      </c>
      <c r="J21069" s="3">
        <v>1351.88</v>
      </c>
      <c r="K21069" t="s">
        <v>33012</v>
      </c>
      <c r="L21069">
        <v>108</v>
      </c>
      <c r="M21069" t="s">
        <v>36627</v>
      </c>
      <c r="N21069" t="s">
        <v>30</v>
      </c>
      <c r="O21069" t="s">
        <v>31</v>
      </c>
      <c r="P21069" t="str">
        <f>"15205"</f>
        <v>15205</v>
      </c>
    </row>
    <row r="21070" spans="1:16" x14ac:dyDescent="0.25">
      <c r="A21070" t="str">
        <f>"1300033J00214    00"</f>
        <v>1300033J00214    00</v>
      </c>
      <c r="B21070" t="s">
        <v>27814</v>
      </c>
      <c r="C21070" t="s">
        <v>45741</v>
      </c>
      <c r="D21070" t="s">
        <v>20</v>
      </c>
      <c r="E21070" t="s">
        <v>39</v>
      </c>
      <c r="F21070">
        <v>0</v>
      </c>
      <c r="G21070">
        <v>0</v>
      </c>
      <c r="H21070">
        <v>1</v>
      </c>
      <c r="I21070" s="3">
        <v>1277.04</v>
      </c>
      <c r="J21070" s="3">
        <v>0</v>
      </c>
      <c r="K21070" t="s">
        <v>45742</v>
      </c>
      <c r="L21070">
        <v>828</v>
      </c>
      <c r="M21070" t="s">
        <v>45637</v>
      </c>
      <c r="N21070" t="s">
        <v>30</v>
      </c>
      <c r="O21070" t="s">
        <v>31</v>
      </c>
      <c r="P21070" t="str">
        <f>"15210"</f>
        <v>15210</v>
      </c>
    </row>
    <row r="21071" spans="1:16" x14ac:dyDescent="0.25">
      <c r="A21071" t="str">
        <f>"1300033J00221    00"</f>
        <v>1300033J00221    00</v>
      </c>
      <c r="B21071" t="s">
        <v>45743</v>
      </c>
      <c r="C21071" t="s">
        <v>45744</v>
      </c>
      <c r="D21071" t="s">
        <v>20</v>
      </c>
      <c r="E21071" t="s">
        <v>39</v>
      </c>
      <c r="F21071">
        <v>0</v>
      </c>
      <c r="G21071">
        <v>0</v>
      </c>
      <c r="H21071">
        <v>4</v>
      </c>
      <c r="I21071" s="3">
        <v>826.4</v>
      </c>
      <c r="J21071" s="3">
        <v>110.69</v>
      </c>
      <c r="L21071">
        <v>436</v>
      </c>
      <c r="M21071" t="s">
        <v>27816</v>
      </c>
      <c r="N21071" t="s">
        <v>30</v>
      </c>
      <c r="O21071" t="s">
        <v>31</v>
      </c>
      <c r="P21071" t="str">
        <f>"15210"</f>
        <v>15210</v>
      </c>
    </row>
    <row r="21072" spans="1:16" x14ac:dyDescent="0.25">
      <c r="A21072" t="str">
        <f>"1300033J00223    00"</f>
        <v>1300033J00223    00</v>
      </c>
      <c r="B21072" t="s">
        <v>45745</v>
      </c>
      <c r="C21072" t="s">
        <v>45746</v>
      </c>
      <c r="E21072" t="s">
        <v>39</v>
      </c>
      <c r="F21072">
        <v>0</v>
      </c>
      <c r="G21072">
        <v>0</v>
      </c>
      <c r="H21072">
        <v>1</v>
      </c>
      <c r="I21072" s="3">
        <v>484.14</v>
      </c>
      <c r="J21072" s="3">
        <v>96.82</v>
      </c>
      <c r="K21072" t="s">
        <v>22826</v>
      </c>
      <c r="L21072">
        <v>1400</v>
      </c>
      <c r="M21072" t="s">
        <v>22827</v>
      </c>
      <c r="N21072" t="s">
        <v>3681</v>
      </c>
      <c r="O21072" t="s">
        <v>4784</v>
      </c>
      <c r="P21072" t="str">
        <f>"65203"</f>
        <v>65203</v>
      </c>
    </row>
    <row r="21073" spans="1:16" x14ac:dyDescent="0.25">
      <c r="A21073" t="str">
        <f>"1300033J00226    00"</f>
        <v>1300033J00226    00</v>
      </c>
      <c r="B21073" t="s">
        <v>27814</v>
      </c>
      <c r="C21073" t="s">
        <v>45747</v>
      </c>
      <c r="D21073" t="s">
        <v>20</v>
      </c>
      <c r="E21073" t="s">
        <v>39</v>
      </c>
      <c r="F21073">
        <v>0</v>
      </c>
      <c r="G21073">
        <v>0</v>
      </c>
      <c r="H21073">
        <v>1</v>
      </c>
      <c r="I21073" s="3">
        <v>457.91</v>
      </c>
      <c r="J21073" s="3">
        <v>0</v>
      </c>
      <c r="L21073">
        <v>407</v>
      </c>
      <c r="M21073" t="s">
        <v>27816</v>
      </c>
      <c r="N21073" t="s">
        <v>30</v>
      </c>
      <c r="O21073" t="s">
        <v>31</v>
      </c>
      <c r="P21073" t="str">
        <f>"15210"</f>
        <v>15210</v>
      </c>
    </row>
    <row r="21074" spans="1:16" x14ac:dyDescent="0.25">
      <c r="A21074" t="str">
        <f>"1300033J00237    00"</f>
        <v>1300033J00237    00</v>
      </c>
      <c r="B21074" t="s">
        <v>45748</v>
      </c>
      <c r="C21074" t="s">
        <v>45749</v>
      </c>
      <c r="D21074" t="s">
        <v>20</v>
      </c>
      <c r="E21074" t="s">
        <v>39</v>
      </c>
      <c r="F21074">
        <v>0</v>
      </c>
      <c r="G21074">
        <v>0</v>
      </c>
      <c r="H21074">
        <v>12</v>
      </c>
      <c r="I21074" s="3">
        <v>4223.6499999999996</v>
      </c>
      <c r="J21074" s="3">
        <v>2087.94</v>
      </c>
      <c r="M21074" t="s">
        <v>45750</v>
      </c>
      <c r="N21074" t="s">
        <v>2748</v>
      </c>
      <c r="O21074" t="s">
        <v>692</v>
      </c>
      <c r="P21074" t="str">
        <f>"23608"</f>
        <v>23608</v>
      </c>
    </row>
    <row r="21075" spans="1:16" x14ac:dyDescent="0.25">
      <c r="A21075" t="str">
        <f>"1300033J00242    00"</f>
        <v>1300033J00242    00</v>
      </c>
      <c r="B21075" t="s">
        <v>45751</v>
      </c>
      <c r="C21075" t="s">
        <v>45752</v>
      </c>
      <c r="E21075" t="s">
        <v>39</v>
      </c>
      <c r="F21075">
        <v>0</v>
      </c>
      <c r="G21075">
        <v>0</v>
      </c>
      <c r="H21075">
        <v>1</v>
      </c>
      <c r="I21075" s="3">
        <v>197.35</v>
      </c>
      <c r="J21075" s="3">
        <v>0</v>
      </c>
      <c r="L21075">
        <v>329</v>
      </c>
      <c r="M21075" t="s">
        <v>27816</v>
      </c>
      <c r="N21075" t="s">
        <v>30</v>
      </c>
      <c r="O21075" t="s">
        <v>31</v>
      </c>
      <c r="P21075" t="str">
        <f>"15210"</f>
        <v>15210</v>
      </c>
    </row>
    <row r="21076" spans="1:16" x14ac:dyDescent="0.25">
      <c r="A21076" t="str">
        <f>"1300033K00001    00"</f>
        <v>1300033K00001    00</v>
      </c>
      <c r="B21076" t="s">
        <v>45753</v>
      </c>
      <c r="C21076" t="s">
        <v>45754</v>
      </c>
      <c r="D21076" t="s">
        <v>20</v>
      </c>
      <c r="E21076" t="s">
        <v>39</v>
      </c>
      <c r="F21076">
        <v>0</v>
      </c>
      <c r="G21076">
        <v>0</v>
      </c>
      <c r="H21076">
        <v>2</v>
      </c>
      <c r="I21076" s="3">
        <v>1764.98</v>
      </c>
      <c r="J21076" s="3">
        <v>0</v>
      </c>
      <c r="M21076" t="s">
        <v>45755</v>
      </c>
      <c r="N21076" t="s">
        <v>30</v>
      </c>
      <c r="O21076" t="s">
        <v>31</v>
      </c>
      <c r="P21076" t="str">
        <f>"15210"</f>
        <v>15210</v>
      </c>
    </row>
    <row r="21077" spans="1:16" x14ac:dyDescent="0.25">
      <c r="A21077" t="str">
        <f>"1300033K00005    00"</f>
        <v>1300033K00005    00</v>
      </c>
      <c r="B21077" t="s">
        <v>45756</v>
      </c>
      <c r="C21077" t="s">
        <v>45757</v>
      </c>
      <c r="D21077" t="s">
        <v>20</v>
      </c>
      <c r="E21077" t="s">
        <v>39</v>
      </c>
      <c r="F21077">
        <v>0</v>
      </c>
      <c r="G21077">
        <v>0</v>
      </c>
      <c r="H21077">
        <v>2</v>
      </c>
      <c r="I21077" s="3">
        <v>1879.34</v>
      </c>
      <c r="J21077" s="3">
        <v>0</v>
      </c>
      <c r="L21077">
        <v>2508</v>
      </c>
      <c r="M21077" t="s">
        <v>25952</v>
      </c>
      <c r="N21077" t="s">
        <v>30</v>
      </c>
      <c r="O21077" t="s">
        <v>31</v>
      </c>
      <c r="P21077" t="str">
        <f>"15234"</f>
        <v>15234</v>
      </c>
    </row>
    <row r="21078" spans="1:16" x14ac:dyDescent="0.25">
      <c r="A21078" t="str">
        <f>"1300033K00009    00"</f>
        <v>1300033K00009    00</v>
      </c>
      <c r="B21078" t="s">
        <v>45758</v>
      </c>
      <c r="C21078" t="s">
        <v>45759</v>
      </c>
      <c r="E21078" t="s">
        <v>39</v>
      </c>
      <c r="F21078">
        <v>0</v>
      </c>
      <c r="G21078">
        <v>0</v>
      </c>
      <c r="H21078">
        <v>1</v>
      </c>
      <c r="I21078" s="3">
        <v>116.8</v>
      </c>
      <c r="J21078" s="3">
        <v>23.36</v>
      </c>
      <c r="K21078" t="s">
        <v>3621</v>
      </c>
      <c r="L21078">
        <v>3001</v>
      </c>
      <c r="M21078" t="s">
        <v>330</v>
      </c>
      <c r="N21078" t="s">
        <v>331</v>
      </c>
      <c r="O21078" t="s">
        <v>108</v>
      </c>
      <c r="P21078" t="str">
        <f>"75063"</f>
        <v>75063</v>
      </c>
    </row>
    <row r="21079" spans="1:16" x14ac:dyDescent="0.25">
      <c r="A21079" t="str">
        <f>"1300033K00014    00"</f>
        <v>1300033K00014    00</v>
      </c>
      <c r="B21079" t="s">
        <v>45760</v>
      </c>
      <c r="C21079" t="s">
        <v>45761</v>
      </c>
      <c r="D21079" t="s">
        <v>20</v>
      </c>
      <c r="E21079" t="s">
        <v>39</v>
      </c>
      <c r="F21079">
        <v>0</v>
      </c>
      <c r="G21079">
        <v>0</v>
      </c>
      <c r="H21079">
        <v>3</v>
      </c>
      <c r="I21079" s="3">
        <v>1343.67</v>
      </c>
      <c r="J21079" s="3">
        <v>56.19</v>
      </c>
      <c r="L21079">
        <v>302</v>
      </c>
      <c r="M21079" t="s">
        <v>26430</v>
      </c>
      <c r="N21079" t="s">
        <v>30</v>
      </c>
      <c r="O21079" t="s">
        <v>31</v>
      </c>
      <c r="P21079" t="str">
        <f>"15210"</f>
        <v>15210</v>
      </c>
    </row>
    <row r="21080" spans="1:16" x14ac:dyDescent="0.25">
      <c r="A21080" t="str">
        <f>"1300033K00022    00"</f>
        <v>1300033K00022    00</v>
      </c>
      <c r="B21080" t="s">
        <v>45762</v>
      </c>
      <c r="C21080" t="s">
        <v>45763</v>
      </c>
      <c r="D21080" t="s">
        <v>20</v>
      </c>
      <c r="E21080" t="s">
        <v>39</v>
      </c>
      <c r="F21080">
        <v>0</v>
      </c>
      <c r="G21080">
        <v>0</v>
      </c>
      <c r="H21080">
        <v>3</v>
      </c>
      <c r="I21080" s="3">
        <v>347.36</v>
      </c>
      <c r="J21080" s="3">
        <v>34.99</v>
      </c>
      <c r="K21080" t="s">
        <v>403</v>
      </c>
      <c r="L21080">
        <v>3001</v>
      </c>
      <c r="M21080" t="s">
        <v>404</v>
      </c>
      <c r="N21080" t="s">
        <v>331</v>
      </c>
      <c r="O21080" t="s">
        <v>108</v>
      </c>
      <c r="P21080" t="str">
        <f>"75063"</f>
        <v>75063</v>
      </c>
    </row>
    <row r="21081" spans="1:16" x14ac:dyDescent="0.25">
      <c r="A21081" t="str">
        <f>"1300033K00023    00"</f>
        <v>1300033K00023    00</v>
      </c>
      <c r="B21081" t="s">
        <v>45764</v>
      </c>
      <c r="C21081" t="s">
        <v>45765</v>
      </c>
      <c r="D21081" t="s">
        <v>20</v>
      </c>
      <c r="E21081" t="s">
        <v>39</v>
      </c>
      <c r="F21081">
        <v>0</v>
      </c>
      <c r="G21081">
        <v>0</v>
      </c>
      <c r="H21081">
        <v>2</v>
      </c>
      <c r="I21081" s="3">
        <v>295.44</v>
      </c>
      <c r="J21081" s="3">
        <v>0</v>
      </c>
      <c r="L21081">
        <v>314</v>
      </c>
      <c r="M21081" t="s">
        <v>26430</v>
      </c>
      <c r="N21081" t="s">
        <v>30</v>
      </c>
      <c r="O21081" t="s">
        <v>31</v>
      </c>
      <c r="P21081" t="str">
        <f>"15210"</f>
        <v>15210</v>
      </c>
    </row>
    <row r="21082" spans="1:16" x14ac:dyDescent="0.25">
      <c r="A21082" t="str">
        <f>"1300033K00033    00"</f>
        <v>1300033K00033    00</v>
      </c>
      <c r="B21082" t="s">
        <v>23116</v>
      </c>
      <c r="C21082" t="s">
        <v>45766</v>
      </c>
      <c r="E21082" t="s">
        <v>39</v>
      </c>
      <c r="F21082">
        <v>0</v>
      </c>
      <c r="G21082">
        <v>0</v>
      </c>
      <c r="H21082">
        <v>2</v>
      </c>
      <c r="I21082" s="3">
        <v>738</v>
      </c>
      <c r="J21082" s="3">
        <v>18.440000000000001</v>
      </c>
      <c r="K21082" t="s">
        <v>23118</v>
      </c>
      <c r="L21082">
        <v>6425</v>
      </c>
      <c r="M21082" t="s">
        <v>23119</v>
      </c>
      <c r="N21082" t="s">
        <v>30</v>
      </c>
      <c r="O21082" t="s">
        <v>31</v>
      </c>
      <c r="P21082" t="str">
        <f>"15206"</f>
        <v>15206</v>
      </c>
    </row>
    <row r="21083" spans="1:16" x14ac:dyDescent="0.25">
      <c r="A21083" t="str">
        <f>"1300033K00037    00"</f>
        <v>1300033K00037    00</v>
      </c>
      <c r="B21083" t="s">
        <v>45767</v>
      </c>
      <c r="C21083" t="s">
        <v>45768</v>
      </c>
      <c r="D21083" t="s">
        <v>20</v>
      </c>
      <c r="E21083" t="s">
        <v>39</v>
      </c>
      <c r="F21083">
        <v>0</v>
      </c>
      <c r="G21083">
        <v>0</v>
      </c>
      <c r="H21083">
        <v>2</v>
      </c>
      <c r="I21083" s="3">
        <v>1050.71</v>
      </c>
      <c r="J21083" s="3">
        <v>0</v>
      </c>
      <c r="L21083">
        <v>110</v>
      </c>
      <c r="M21083" t="s">
        <v>26962</v>
      </c>
      <c r="N21083" t="s">
        <v>30</v>
      </c>
      <c r="O21083" t="s">
        <v>31</v>
      </c>
      <c r="P21083" t="str">
        <f>"15236"</f>
        <v>15236</v>
      </c>
    </row>
    <row r="21084" spans="1:16" x14ac:dyDescent="0.25">
      <c r="A21084" t="str">
        <f>"1300033K00052    00"</f>
        <v>1300033K00052    00</v>
      </c>
      <c r="B21084" t="s">
        <v>45769</v>
      </c>
      <c r="C21084" t="s">
        <v>45770</v>
      </c>
      <c r="D21084" t="s">
        <v>20</v>
      </c>
      <c r="E21084" t="s">
        <v>39</v>
      </c>
      <c r="F21084">
        <v>0</v>
      </c>
      <c r="G21084">
        <v>0</v>
      </c>
      <c r="H21084">
        <v>13</v>
      </c>
      <c r="I21084" s="3">
        <v>3737.42</v>
      </c>
      <c r="J21084" s="3">
        <v>2033.12</v>
      </c>
      <c r="K21084" t="s">
        <v>45771</v>
      </c>
      <c r="L21084">
        <v>230</v>
      </c>
      <c r="M21084" t="s">
        <v>27816</v>
      </c>
      <c r="N21084" t="s">
        <v>30</v>
      </c>
      <c r="O21084" t="s">
        <v>31</v>
      </c>
      <c r="P21084" t="str">
        <f>"15210"</f>
        <v>15210</v>
      </c>
    </row>
    <row r="21085" spans="1:16" x14ac:dyDescent="0.25">
      <c r="A21085" t="str">
        <f>"1300033K00059    00"</f>
        <v>1300033K00059    00</v>
      </c>
      <c r="B21085" t="s">
        <v>45772</v>
      </c>
      <c r="C21085" t="s">
        <v>45773</v>
      </c>
      <c r="D21085" t="s">
        <v>20</v>
      </c>
      <c r="E21085" t="s">
        <v>39</v>
      </c>
      <c r="F21085">
        <v>0</v>
      </c>
      <c r="G21085">
        <v>0</v>
      </c>
      <c r="H21085">
        <v>2</v>
      </c>
      <c r="I21085" s="3">
        <v>193.82</v>
      </c>
      <c r="J21085" s="3">
        <v>0</v>
      </c>
      <c r="L21085">
        <v>216</v>
      </c>
      <c r="M21085" t="s">
        <v>27816</v>
      </c>
      <c r="N21085" t="s">
        <v>30</v>
      </c>
      <c r="O21085" t="s">
        <v>31</v>
      </c>
      <c r="P21085" t="str">
        <f>"15210"</f>
        <v>15210</v>
      </c>
    </row>
    <row r="21086" spans="1:16" x14ac:dyDescent="0.25">
      <c r="A21086" t="str">
        <f>"1300033K00060    00"</f>
        <v>1300033K00060    00</v>
      </c>
      <c r="B21086" t="s">
        <v>45772</v>
      </c>
      <c r="C21086" t="s">
        <v>45773</v>
      </c>
      <c r="D21086" t="s">
        <v>20</v>
      </c>
      <c r="E21086" t="s">
        <v>39</v>
      </c>
      <c r="F21086">
        <v>0</v>
      </c>
      <c r="G21086">
        <v>0</v>
      </c>
      <c r="H21086">
        <v>2</v>
      </c>
      <c r="I21086" s="3">
        <v>87.7</v>
      </c>
      <c r="J21086" s="3">
        <v>0</v>
      </c>
      <c r="L21086">
        <v>216</v>
      </c>
      <c r="M21086" t="s">
        <v>27816</v>
      </c>
      <c r="N21086" t="s">
        <v>30</v>
      </c>
      <c r="O21086" t="s">
        <v>31</v>
      </c>
      <c r="P21086" t="str">
        <f>"15210"</f>
        <v>15210</v>
      </c>
    </row>
    <row r="21087" spans="1:16" x14ac:dyDescent="0.25">
      <c r="A21087" t="str">
        <f>"1300033K00065    00"</f>
        <v>1300033K00065    00</v>
      </c>
      <c r="B21087" t="s">
        <v>45774</v>
      </c>
      <c r="C21087" t="s">
        <v>45775</v>
      </c>
      <c r="D21087" t="s">
        <v>20</v>
      </c>
      <c r="E21087" t="s">
        <v>39</v>
      </c>
      <c r="F21087">
        <v>0</v>
      </c>
      <c r="G21087">
        <v>0</v>
      </c>
      <c r="H21087">
        <v>6</v>
      </c>
      <c r="I21087" s="3">
        <v>788.51</v>
      </c>
      <c r="J21087" s="3">
        <v>177.02</v>
      </c>
      <c r="L21087">
        <v>204</v>
      </c>
      <c r="M21087" t="s">
        <v>27816</v>
      </c>
      <c r="N21087" t="s">
        <v>30</v>
      </c>
      <c r="O21087" t="s">
        <v>31</v>
      </c>
      <c r="P21087" t="str">
        <f>"15210"</f>
        <v>15210</v>
      </c>
    </row>
    <row r="21088" spans="1:16" x14ac:dyDescent="0.25">
      <c r="A21088" t="str">
        <f>"1300033K00071    00"</f>
        <v>1300033K00071    00</v>
      </c>
      <c r="B21088" t="s">
        <v>45776</v>
      </c>
      <c r="C21088" t="s">
        <v>45777</v>
      </c>
      <c r="D21088" t="s">
        <v>20</v>
      </c>
      <c r="E21088" t="s">
        <v>39</v>
      </c>
      <c r="F21088">
        <v>0</v>
      </c>
      <c r="G21088">
        <v>0</v>
      </c>
      <c r="H21088">
        <v>15</v>
      </c>
      <c r="I21088" s="3">
        <v>13482.85</v>
      </c>
      <c r="J21088" s="3">
        <v>8541.34</v>
      </c>
      <c r="L21088">
        <v>828</v>
      </c>
      <c r="M21088" t="s">
        <v>45778</v>
      </c>
      <c r="N21088" t="s">
        <v>30</v>
      </c>
      <c r="O21088" t="s">
        <v>31</v>
      </c>
      <c r="P21088" t="str">
        <f>"15210"</f>
        <v>15210</v>
      </c>
    </row>
    <row r="21089" spans="1:16" x14ac:dyDescent="0.25">
      <c r="A21089" t="str">
        <f>"1300033K00074    00"</f>
        <v>1300033K00074    00</v>
      </c>
      <c r="B21089" t="s">
        <v>45779</v>
      </c>
      <c r="C21089" t="s">
        <v>45780</v>
      </c>
      <c r="D21089" t="s">
        <v>20</v>
      </c>
      <c r="E21089" t="s">
        <v>39</v>
      </c>
      <c r="F21089">
        <v>0</v>
      </c>
      <c r="G21089">
        <v>0</v>
      </c>
      <c r="H21089">
        <v>19</v>
      </c>
      <c r="I21089" s="3">
        <v>5042.1899999999996</v>
      </c>
      <c r="J21089" s="3">
        <v>6482.26</v>
      </c>
      <c r="L21089">
        <v>21</v>
      </c>
      <c r="M21089" t="s">
        <v>23379</v>
      </c>
      <c r="N21089" t="s">
        <v>30</v>
      </c>
      <c r="O21089" t="s">
        <v>31</v>
      </c>
      <c r="P21089" t="str">
        <f>"15227"</f>
        <v>15227</v>
      </c>
    </row>
    <row r="21090" spans="1:16" x14ac:dyDescent="0.25">
      <c r="A21090" t="str">
        <f>"1300033K00075    00"</f>
        <v>1300033K00075    00</v>
      </c>
      <c r="B21090" t="s">
        <v>45781</v>
      </c>
      <c r="C21090" t="s">
        <v>45780</v>
      </c>
      <c r="D21090" t="s">
        <v>20</v>
      </c>
      <c r="E21090" t="s">
        <v>39</v>
      </c>
      <c r="F21090">
        <v>0</v>
      </c>
      <c r="G21090">
        <v>0</v>
      </c>
      <c r="H21090">
        <v>19</v>
      </c>
      <c r="I21090" s="3">
        <v>5233.8999999999996</v>
      </c>
      <c r="J21090" s="3">
        <v>6607.97</v>
      </c>
      <c r="P21090" t="str">
        <f>""</f>
        <v/>
      </c>
    </row>
    <row r="21091" spans="1:16" x14ac:dyDescent="0.25">
      <c r="A21091" t="str">
        <f>"1300033K00081    00"</f>
        <v>1300033K00081    00</v>
      </c>
      <c r="B21091" t="s">
        <v>45782</v>
      </c>
      <c r="C21091" t="s">
        <v>45783</v>
      </c>
      <c r="D21091" t="s">
        <v>20</v>
      </c>
      <c r="E21091" t="s">
        <v>39</v>
      </c>
      <c r="F21091">
        <v>0</v>
      </c>
      <c r="G21091">
        <v>0</v>
      </c>
      <c r="H21091">
        <v>1</v>
      </c>
      <c r="I21091" s="3">
        <v>253.51</v>
      </c>
      <c r="J21091" s="3">
        <v>0</v>
      </c>
      <c r="K21091" t="s">
        <v>45784</v>
      </c>
      <c r="M21091" t="s">
        <v>45785</v>
      </c>
      <c r="N21091" t="s">
        <v>4318</v>
      </c>
      <c r="O21091" t="s">
        <v>31</v>
      </c>
      <c r="P21091" t="str">
        <f>"16046"</f>
        <v>16046</v>
      </c>
    </row>
    <row r="21092" spans="1:16" x14ac:dyDescent="0.25">
      <c r="A21092" t="str">
        <f>"1300033K00093    00"</f>
        <v>1300033K00093    00</v>
      </c>
      <c r="B21092" t="s">
        <v>45786</v>
      </c>
      <c r="C21092" t="s">
        <v>45787</v>
      </c>
      <c r="D21092" t="s">
        <v>20</v>
      </c>
      <c r="E21092" t="s">
        <v>39</v>
      </c>
      <c r="F21092">
        <v>0</v>
      </c>
      <c r="G21092">
        <v>0</v>
      </c>
      <c r="H21092">
        <v>3</v>
      </c>
      <c r="I21092" s="3">
        <v>1120.96</v>
      </c>
      <c r="J21092" s="3">
        <v>0.03</v>
      </c>
      <c r="K21092" t="s">
        <v>45788</v>
      </c>
      <c r="L21092">
        <v>318</v>
      </c>
      <c r="M21092" t="s">
        <v>45324</v>
      </c>
      <c r="N21092" t="s">
        <v>30</v>
      </c>
      <c r="O21092" t="s">
        <v>31</v>
      </c>
      <c r="P21092" t="str">
        <f>"15210"</f>
        <v>15210</v>
      </c>
    </row>
    <row r="21093" spans="1:16" x14ac:dyDescent="0.25">
      <c r="A21093" t="str">
        <f>"1300033K00098    00"</f>
        <v>1300033K00098    00</v>
      </c>
      <c r="B21093" t="s">
        <v>45789</v>
      </c>
      <c r="C21093" t="s">
        <v>45790</v>
      </c>
      <c r="D21093" t="s">
        <v>20</v>
      </c>
      <c r="E21093" t="s">
        <v>39</v>
      </c>
      <c r="F21093">
        <v>0</v>
      </c>
      <c r="G21093">
        <v>0</v>
      </c>
      <c r="H21093">
        <v>4</v>
      </c>
      <c r="I21093" s="3">
        <v>4252.6400000000003</v>
      </c>
      <c r="J21093" s="3">
        <v>502.36</v>
      </c>
      <c r="L21093">
        <v>250</v>
      </c>
      <c r="M21093" t="s">
        <v>45236</v>
      </c>
      <c r="N21093" t="s">
        <v>45791</v>
      </c>
      <c r="O21093" t="s">
        <v>31</v>
      </c>
      <c r="P21093" t="str">
        <f>"15610"</f>
        <v>15610</v>
      </c>
    </row>
    <row r="21094" spans="1:16" x14ac:dyDescent="0.25">
      <c r="A21094" t="str">
        <f>"1300033K00099    00"</f>
        <v>1300033K00099    00</v>
      </c>
      <c r="B21094" t="s">
        <v>45792</v>
      </c>
      <c r="C21094" t="s">
        <v>45793</v>
      </c>
      <c r="D21094" t="s">
        <v>20</v>
      </c>
      <c r="E21094" t="s">
        <v>39</v>
      </c>
      <c r="F21094">
        <v>0</v>
      </c>
      <c r="G21094">
        <v>0</v>
      </c>
      <c r="H21094">
        <v>8</v>
      </c>
      <c r="I21094" s="3">
        <v>6800</v>
      </c>
      <c r="J21094" s="3">
        <v>1934.19</v>
      </c>
      <c r="L21094">
        <v>2715</v>
      </c>
      <c r="M21094" t="s">
        <v>22949</v>
      </c>
      <c r="N21094" t="s">
        <v>30</v>
      </c>
      <c r="O21094" t="s">
        <v>31</v>
      </c>
      <c r="P21094" t="str">
        <f>"15203"</f>
        <v>15203</v>
      </c>
    </row>
    <row r="21095" spans="1:16" x14ac:dyDescent="0.25">
      <c r="A21095" t="str">
        <f>"1300033K00100    00"</f>
        <v>1300033K00100    00</v>
      </c>
      <c r="B21095" t="s">
        <v>45794</v>
      </c>
      <c r="C21095" t="s">
        <v>45650</v>
      </c>
      <c r="D21095" t="s">
        <v>20</v>
      </c>
      <c r="E21095" t="s">
        <v>39</v>
      </c>
      <c r="F21095">
        <v>0</v>
      </c>
      <c r="G21095">
        <v>0</v>
      </c>
      <c r="H21095">
        <v>19</v>
      </c>
      <c r="I21095" s="3">
        <v>345.61</v>
      </c>
      <c r="J21095" s="3">
        <v>317.66000000000003</v>
      </c>
      <c r="K21095" t="s">
        <v>1037</v>
      </c>
      <c r="L21095">
        <v>236</v>
      </c>
      <c r="M21095" t="s">
        <v>26430</v>
      </c>
      <c r="N21095" t="s">
        <v>30</v>
      </c>
      <c r="O21095" t="s">
        <v>31</v>
      </c>
      <c r="P21095" t="str">
        <f>"15210"</f>
        <v>15210</v>
      </c>
    </row>
    <row r="21096" spans="1:16" x14ac:dyDescent="0.25">
      <c r="A21096" t="str">
        <f>"1300033K00103    00"</f>
        <v>1300033K00103    00</v>
      </c>
      <c r="B21096" t="s">
        <v>45795</v>
      </c>
      <c r="C21096" t="s">
        <v>45796</v>
      </c>
      <c r="D21096" t="s">
        <v>20</v>
      </c>
      <c r="E21096" t="s">
        <v>21</v>
      </c>
      <c r="F21096">
        <v>0</v>
      </c>
      <c r="G21096">
        <v>0</v>
      </c>
      <c r="H21096">
        <v>1</v>
      </c>
      <c r="I21096" s="3">
        <v>2769.43</v>
      </c>
      <c r="J21096" s="3">
        <v>0</v>
      </c>
      <c r="K21096" t="s">
        <v>45797</v>
      </c>
      <c r="M21096" t="s">
        <v>34976</v>
      </c>
      <c r="N21096" t="s">
        <v>1809</v>
      </c>
      <c r="O21096" t="s">
        <v>31</v>
      </c>
      <c r="P21096" t="str">
        <f>"15009"</f>
        <v>15009</v>
      </c>
    </row>
    <row r="21097" spans="1:16" x14ac:dyDescent="0.25">
      <c r="A21097" t="str">
        <f>"1300033K00105    00"</f>
        <v>1300033K00105    00</v>
      </c>
      <c r="B21097" t="s">
        <v>45798</v>
      </c>
      <c r="C21097" t="s">
        <v>45650</v>
      </c>
      <c r="D21097" t="s">
        <v>20</v>
      </c>
      <c r="E21097" t="s">
        <v>21</v>
      </c>
      <c r="F21097">
        <v>0</v>
      </c>
      <c r="G21097">
        <v>0</v>
      </c>
      <c r="H21097">
        <v>19</v>
      </c>
      <c r="I21097" s="3">
        <v>2239.44</v>
      </c>
      <c r="J21097" s="3">
        <v>2846.45</v>
      </c>
      <c r="L21097">
        <v>208</v>
      </c>
      <c r="M21097" t="s">
        <v>45799</v>
      </c>
      <c r="N21097" t="s">
        <v>1766</v>
      </c>
      <c r="O21097" t="s">
        <v>31</v>
      </c>
      <c r="P21097" t="str">
        <f>"15367"</f>
        <v>15367</v>
      </c>
    </row>
    <row r="21098" spans="1:16" x14ac:dyDescent="0.25">
      <c r="A21098" t="str">
        <f>"1300033K00120    00"</f>
        <v>1300033K00120    00</v>
      </c>
      <c r="B21098" t="s">
        <v>45800</v>
      </c>
      <c r="C21098" t="s">
        <v>45801</v>
      </c>
      <c r="E21098" t="s">
        <v>39</v>
      </c>
      <c r="F21098">
        <v>0</v>
      </c>
      <c r="G21098">
        <v>0</v>
      </c>
      <c r="H21098">
        <v>1</v>
      </c>
      <c r="I21098" s="3">
        <v>46.13</v>
      </c>
      <c r="J21098" s="3">
        <v>0</v>
      </c>
      <c r="K21098" t="s">
        <v>45802</v>
      </c>
      <c r="L21098">
        <v>527</v>
      </c>
      <c r="M21098" t="s">
        <v>30427</v>
      </c>
      <c r="N21098" t="s">
        <v>30</v>
      </c>
      <c r="O21098" t="s">
        <v>31</v>
      </c>
      <c r="P21098" t="str">
        <f>"15210"</f>
        <v>15210</v>
      </c>
    </row>
    <row r="21099" spans="1:16" x14ac:dyDescent="0.25">
      <c r="A21099" t="str">
        <f>"1300033K00121    00"</f>
        <v>1300033K00121    00</v>
      </c>
      <c r="B21099" t="s">
        <v>25684</v>
      </c>
      <c r="C21099" t="s">
        <v>45803</v>
      </c>
      <c r="D21099" t="s">
        <v>20</v>
      </c>
      <c r="E21099" t="s">
        <v>39</v>
      </c>
      <c r="F21099">
        <v>0</v>
      </c>
      <c r="G21099">
        <v>0</v>
      </c>
      <c r="H21099">
        <v>2</v>
      </c>
      <c r="I21099" s="3">
        <v>827.75</v>
      </c>
      <c r="J21099" s="3">
        <v>0</v>
      </c>
      <c r="L21099">
        <v>3225</v>
      </c>
      <c r="M21099" t="s">
        <v>25686</v>
      </c>
      <c r="N21099" t="s">
        <v>1320</v>
      </c>
      <c r="O21099" t="s">
        <v>1321</v>
      </c>
      <c r="P21099" t="str">
        <f>"89121"</f>
        <v>89121</v>
      </c>
    </row>
    <row r="21100" spans="1:16" x14ac:dyDescent="0.25">
      <c r="A21100" t="str">
        <f>"1300033K00124    00"</f>
        <v>1300033K00124    00</v>
      </c>
      <c r="B21100" t="s">
        <v>45804</v>
      </c>
      <c r="C21100" t="s">
        <v>45805</v>
      </c>
      <c r="D21100" t="s">
        <v>20</v>
      </c>
      <c r="E21100" t="s">
        <v>39</v>
      </c>
      <c r="F21100">
        <v>0</v>
      </c>
      <c r="G21100">
        <v>0</v>
      </c>
      <c r="H21100">
        <v>1</v>
      </c>
      <c r="I21100" s="3">
        <v>871.05</v>
      </c>
      <c r="J21100" s="3">
        <v>0</v>
      </c>
      <c r="K21100" t="s">
        <v>45806</v>
      </c>
      <c r="L21100">
        <v>6382</v>
      </c>
      <c r="M21100" t="s">
        <v>45807</v>
      </c>
      <c r="N21100" t="s">
        <v>26661</v>
      </c>
      <c r="O21100" t="s">
        <v>31</v>
      </c>
      <c r="P21100" t="str">
        <f>"15129"</f>
        <v>15129</v>
      </c>
    </row>
    <row r="21101" spans="1:16" x14ac:dyDescent="0.25">
      <c r="A21101" t="str">
        <f>"1300033K00126    00"</f>
        <v>1300033K00126    00</v>
      </c>
      <c r="B21101" t="s">
        <v>43383</v>
      </c>
      <c r="C21101" t="s">
        <v>45808</v>
      </c>
      <c r="D21101" t="s">
        <v>20</v>
      </c>
      <c r="E21101" t="s">
        <v>39</v>
      </c>
      <c r="F21101">
        <v>0</v>
      </c>
      <c r="G21101">
        <v>0</v>
      </c>
      <c r="H21101">
        <v>14</v>
      </c>
      <c r="I21101" s="3">
        <v>3698.42</v>
      </c>
      <c r="J21101" s="3">
        <v>2224.81</v>
      </c>
      <c r="M21101" t="s">
        <v>45809</v>
      </c>
      <c r="N21101" t="s">
        <v>509</v>
      </c>
      <c r="O21101" t="s">
        <v>31</v>
      </c>
      <c r="P21101" t="str">
        <f>"19116"</f>
        <v>19116</v>
      </c>
    </row>
    <row r="21102" spans="1:16" x14ac:dyDescent="0.25">
      <c r="A21102" t="str">
        <f>"1300033K00128    00"</f>
        <v>1300033K00128    00</v>
      </c>
      <c r="B21102" t="s">
        <v>45810</v>
      </c>
      <c r="C21102" t="s">
        <v>45811</v>
      </c>
      <c r="D21102" t="s">
        <v>20</v>
      </c>
      <c r="E21102" t="s">
        <v>39</v>
      </c>
      <c r="F21102">
        <v>0</v>
      </c>
      <c r="G21102">
        <v>0</v>
      </c>
      <c r="H21102">
        <v>17</v>
      </c>
      <c r="I21102" s="3">
        <v>7610.53</v>
      </c>
      <c r="J21102" s="3">
        <v>7278.87</v>
      </c>
      <c r="P21102" t="str">
        <f>""</f>
        <v/>
      </c>
    </row>
    <row r="21103" spans="1:16" x14ac:dyDescent="0.25">
      <c r="A21103" t="str">
        <f>"1300033K00129    00"</f>
        <v>1300033K00129    00</v>
      </c>
      <c r="B21103" t="s">
        <v>45812</v>
      </c>
      <c r="C21103" t="s">
        <v>45813</v>
      </c>
      <c r="D21103" t="s">
        <v>20</v>
      </c>
      <c r="E21103" t="s">
        <v>39</v>
      </c>
      <c r="F21103">
        <v>0</v>
      </c>
      <c r="G21103">
        <v>0</v>
      </c>
      <c r="H21103">
        <v>2</v>
      </c>
      <c r="I21103" s="3">
        <v>444.22</v>
      </c>
      <c r="J21103" s="3">
        <v>0.02</v>
      </c>
      <c r="K21103" t="s">
        <v>45814</v>
      </c>
      <c r="L21103">
        <v>5905</v>
      </c>
      <c r="M21103" t="s">
        <v>585</v>
      </c>
      <c r="N21103" t="s">
        <v>30</v>
      </c>
      <c r="O21103" t="s">
        <v>31</v>
      </c>
      <c r="P21103" t="str">
        <f>"15206"</f>
        <v>15206</v>
      </c>
    </row>
    <row r="21104" spans="1:16" x14ac:dyDescent="0.25">
      <c r="A21104" t="str">
        <f>"1300033K00135    00"</f>
        <v>1300033K00135    00</v>
      </c>
      <c r="B21104" t="s">
        <v>45815</v>
      </c>
      <c r="C21104" t="s">
        <v>45816</v>
      </c>
      <c r="D21104" t="s">
        <v>20</v>
      </c>
      <c r="E21104" t="s">
        <v>39</v>
      </c>
      <c r="F21104">
        <v>0</v>
      </c>
      <c r="G21104">
        <v>0</v>
      </c>
      <c r="H21104">
        <v>9</v>
      </c>
      <c r="I21104" s="3">
        <v>3459.05</v>
      </c>
      <c r="J21104" s="3">
        <v>1448.13</v>
      </c>
      <c r="K21104" t="s">
        <v>45090</v>
      </c>
      <c r="M21104" t="s">
        <v>25331</v>
      </c>
      <c r="N21104" t="s">
        <v>199</v>
      </c>
      <c r="O21104" t="s">
        <v>200</v>
      </c>
      <c r="P21104" t="str">
        <f>"10150"</f>
        <v>10150</v>
      </c>
    </row>
    <row r="21105" spans="1:16" x14ac:dyDescent="0.25">
      <c r="A21105" t="str">
        <f>"1300033K00138    00"</f>
        <v>1300033K00138    00</v>
      </c>
      <c r="B21105" t="s">
        <v>45817</v>
      </c>
      <c r="C21105" t="s">
        <v>45650</v>
      </c>
      <c r="D21105" t="s">
        <v>20</v>
      </c>
      <c r="E21105" t="s">
        <v>39</v>
      </c>
      <c r="F21105">
        <v>0</v>
      </c>
      <c r="G21105">
        <v>0</v>
      </c>
      <c r="H21105">
        <v>5</v>
      </c>
      <c r="I21105" s="3">
        <v>1036.5999999999999</v>
      </c>
      <c r="J21105" s="3">
        <v>264.77999999999997</v>
      </c>
      <c r="K21105" t="s">
        <v>45818</v>
      </c>
      <c r="L21105">
        <v>243</v>
      </c>
      <c r="M21105" t="s">
        <v>26430</v>
      </c>
      <c r="N21105" t="s">
        <v>30</v>
      </c>
      <c r="O21105" t="s">
        <v>31</v>
      </c>
      <c r="P21105" t="str">
        <f>"15210"</f>
        <v>15210</v>
      </c>
    </row>
    <row r="21106" spans="1:16" x14ac:dyDescent="0.25">
      <c r="A21106" t="str">
        <f>"1300033K00139    00"</f>
        <v>1300033K00139    00</v>
      </c>
      <c r="B21106" t="s">
        <v>45819</v>
      </c>
      <c r="C21106" t="s">
        <v>45820</v>
      </c>
      <c r="D21106" t="s">
        <v>20</v>
      </c>
      <c r="E21106" t="s">
        <v>39</v>
      </c>
      <c r="F21106">
        <v>0</v>
      </c>
      <c r="G21106">
        <v>0</v>
      </c>
      <c r="H21106">
        <v>4</v>
      </c>
      <c r="I21106" s="3">
        <v>3737.92</v>
      </c>
      <c r="J21106" s="3">
        <v>440.45</v>
      </c>
      <c r="L21106">
        <v>78</v>
      </c>
      <c r="M21106" t="s">
        <v>45821</v>
      </c>
      <c r="N21106" t="s">
        <v>45822</v>
      </c>
      <c r="P21106" t="str">
        <f>""</f>
        <v/>
      </c>
    </row>
    <row r="21107" spans="1:16" x14ac:dyDescent="0.25">
      <c r="A21107" t="str">
        <f>"1300033K00140    00"</f>
        <v>1300033K00140    00</v>
      </c>
      <c r="B21107" t="s">
        <v>45823</v>
      </c>
      <c r="C21107" t="s">
        <v>45824</v>
      </c>
      <c r="D21107" t="s">
        <v>20</v>
      </c>
      <c r="E21107" t="s">
        <v>39</v>
      </c>
      <c r="F21107">
        <v>0</v>
      </c>
      <c r="G21107">
        <v>0</v>
      </c>
      <c r="H21107">
        <v>19</v>
      </c>
      <c r="I21107" s="3">
        <v>11520.5</v>
      </c>
      <c r="J21107" s="3">
        <v>12331.32</v>
      </c>
      <c r="L21107">
        <v>2553</v>
      </c>
      <c r="M21107" t="s">
        <v>25952</v>
      </c>
      <c r="N21107" t="s">
        <v>30</v>
      </c>
      <c r="O21107" t="s">
        <v>31</v>
      </c>
      <c r="P21107" t="str">
        <f>"15234"</f>
        <v>15234</v>
      </c>
    </row>
    <row r="21108" spans="1:16" x14ac:dyDescent="0.25">
      <c r="A21108" t="str">
        <f>"1300033K00141    00"</f>
        <v>1300033K00141    00</v>
      </c>
      <c r="B21108" t="s">
        <v>45825</v>
      </c>
      <c r="C21108" t="s">
        <v>45826</v>
      </c>
      <c r="D21108" t="s">
        <v>20</v>
      </c>
      <c r="E21108" t="s">
        <v>39</v>
      </c>
      <c r="F21108">
        <v>0</v>
      </c>
      <c r="G21108">
        <v>0</v>
      </c>
      <c r="H21108">
        <v>1</v>
      </c>
      <c r="I21108" s="3">
        <v>943.48</v>
      </c>
      <c r="J21108" s="3">
        <v>0</v>
      </c>
      <c r="K21108" t="s">
        <v>45827</v>
      </c>
      <c r="L21108">
        <v>3134</v>
      </c>
      <c r="M21108" t="s">
        <v>45828</v>
      </c>
      <c r="N21108" t="s">
        <v>30</v>
      </c>
      <c r="O21108" t="s">
        <v>31</v>
      </c>
      <c r="P21108" t="str">
        <f>"15227"</f>
        <v>15227</v>
      </c>
    </row>
    <row r="21109" spans="1:16" x14ac:dyDescent="0.25">
      <c r="A21109" t="str">
        <f>"1300033K00205    00"</f>
        <v>1300033K00205    00</v>
      </c>
      <c r="B21109" t="s">
        <v>6886</v>
      </c>
      <c r="C21109" t="s">
        <v>45829</v>
      </c>
      <c r="D21109" t="s">
        <v>20</v>
      </c>
      <c r="E21109" t="s">
        <v>21</v>
      </c>
      <c r="F21109">
        <v>0</v>
      </c>
      <c r="G21109">
        <v>0</v>
      </c>
      <c r="H21109">
        <v>1</v>
      </c>
      <c r="I21109" s="3">
        <v>2780.23</v>
      </c>
      <c r="J21109" s="3">
        <v>0</v>
      </c>
      <c r="L21109">
        <v>2804</v>
      </c>
      <c r="M21109" t="s">
        <v>4235</v>
      </c>
      <c r="N21109" t="s">
        <v>30</v>
      </c>
      <c r="O21109" t="s">
        <v>31</v>
      </c>
      <c r="P21109" t="str">
        <f>"15203"</f>
        <v>15203</v>
      </c>
    </row>
    <row r="21110" spans="1:16" x14ac:dyDescent="0.25">
      <c r="A21110" t="str">
        <f>"1300033K00209    00"</f>
        <v>1300033K00209    00</v>
      </c>
      <c r="B21110" t="s">
        <v>45830</v>
      </c>
      <c r="C21110" t="s">
        <v>45831</v>
      </c>
      <c r="D21110" t="s">
        <v>20</v>
      </c>
      <c r="E21110" t="s">
        <v>21</v>
      </c>
      <c r="F21110">
        <v>0</v>
      </c>
      <c r="G21110">
        <v>0</v>
      </c>
      <c r="H21110">
        <v>2</v>
      </c>
      <c r="I21110" s="3">
        <v>327.84</v>
      </c>
      <c r="J21110" s="3">
        <v>0</v>
      </c>
      <c r="K21110" t="s">
        <v>45832</v>
      </c>
      <c r="L21110">
        <v>758</v>
      </c>
      <c r="M21110" t="s">
        <v>8048</v>
      </c>
      <c r="N21110" t="s">
        <v>30</v>
      </c>
      <c r="O21110" t="s">
        <v>31</v>
      </c>
      <c r="P21110" t="str">
        <f>"15210"</f>
        <v>15210</v>
      </c>
    </row>
    <row r="21111" spans="1:16" x14ac:dyDescent="0.25">
      <c r="A21111" t="str">
        <f>"1300033K00210    00"</f>
        <v>1300033K00210    00</v>
      </c>
      <c r="B21111" t="s">
        <v>45830</v>
      </c>
      <c r="C21111" t="s">
        <v>45831</v>
      </c>
      <c r="D21111" t="s">
        <v>20</v>
      </c>
      <c r="E21111" t="s">
        <v>21</v>
      </c>
      <c r="F21111">
        <v>0</v>
      </c>
      <c r="G21111">
        <v>0</v>
      </c>
      <c r="H21111">
        <v>2</v>
      </c>
      <c r="I21111" s="3">
        <v>2134.7199999999998</v>
      </c>
      <c r="J21111" s="3">
        <v>0</v>
      </c>
      <c r="K21111" t="s">
        <v>45832</v>
      </c>
      <c r="L21111">
        <v>758</v>
      </c>
      <c r="M21111" t="s">
        <v>8048</v>
      </c>
      <c r="N21111" t="s">
        <v>30</v>
      </c>
      <c r="O21111" t="s">
        <v>31</v>
      </c>
      <c r="P21111" t="str">
        <f>"15210"</f>
        <v>15210</v>
      </c>
    </row>
    <row r="21112" spans="1:16" x14ac:dyDescent="0.25">
      <c r="A21112" t="str">
        <f>"1300033K00220    00"</f>
        <v>1300033K00220    00</v>
      </c>
      <c r="B21112" t="s">
        <v>22970</v>
      </c>
      <c r="C21112" t="s">
        <v>45833</v>
      </c>
      <c r="D21112" t="s">
        <v>20</v>
      </c>
      <c r="E21112" t="s">
        <v>21</v>
      </c>
      <c r="F21112">
        <v>0</v>
      </c>
      <c r="G21112">
        <v>0</v>
      </c>
      <c r="H21112">
        <v>2</v>
      </c>
      <c r="I21112" s="3">
        <v>2287.2399999999998</v>
      </c>
      <c r="J21112" s="3">
        <v>0</v>
      </c>
      <c r="L21112">
        <v>4115</v>
      </c>
      <c r="M21112" t="s">
        <v>22972</v>
      </c>
      <c r="N21112" t="s">
        <v>79</v>
      </c>
      <c r="O21112" t="s">
        <v>31</v>
      </c>
      <c r="P21112" t="str">
        <f>"15668"</f>
        <v>15668</v>
      </c>
    </row>
    <row r="21113" spans="1:16" x14ac:dyDescent="0.25">
      <c r="A21113" t="str">
        <f>"1310031G00200    00"</f>
        <v>1310031G00200    00</v>
      </c>
      <c r="B21113" t="s">
        <v>9290</v>
      </c>
      <c r="C21113" t="s">
        <v>23772</v>
      </c>
      <c r="D21113" t="s">
        <v>20</v>
      </c>
      <c r="E21113" t="s">
        <v>207</v>
      </c>
      <c r="F21113">
        <v>0</v>
      </c>
      <c r="G21113">
        <v>0</v>
      </c>
      <c r="H21113">
        <v>2</v>
      </c>
      <c r="I21113" s="3">
        <v>16896.29</v>
      </c>
      <c r="J21113" s="3">
        <v>3103.66</v>
      </c>
      <c r="L21113">
        <v>414</v>
      </c>
      <c r="M21113" t="s">
        <v>9292</v>
      </c>
      <c r="N21113" t="s">
        <v>30</v>
      </c>
      <c r="O21113" t="s">
        <v>31</v>
      </c>
      <c r="P21113" t="str">
        <f>"15219"</f>
        <v>15219</v>
      </c>
    </row>
    <row r="21114" spans="1:16" x14ac:dyDescent="0.25">
      <c r="A21114" t="str">
        <f>"1310057S00060    02"</f>
        <v>1310057S00060    02</v>
      </c>
      <c r="B21114" t="s">
        <v>45834</v>
      </c>
      <c r="C21114" t="s">
        <v>45835</v>
      </c>
      <c r="E21114" t="s">
        <v>513</v>
      </c>
      <c r="F21114">
        <v>0</v>
      </c>
      <c r="G21114">
        <v>0</v>
      </c>
      <c r="H21114">
        <v>1</v>
      </c>
      <c r="I21114" s="3">
        <v>196.54</v>
      </c>
      <c r="J21114" s="3">
        <v>291.60000000000002</v>
      </c>
      <c r="L21114">
        <v>49</v>
      </c>
      <c r="M21114" t="s">
        <v>24369</v>
      </c>
      <c r="N21114" t="s">
        <v>30</v>
      </c>
      <c r="O21114" t="s">
        <v>31</v>
      </c>
      <c r="P21114" t="str">
        <f>"15203"</f>
        <v>15203</v>
      </c>
    </row>
    <row r="21115" spans="1:16" x14ac:dyDescent="0.25">
      <c r="A21115" t="str">
        <f>"1310057S000959   00"</f>
        <v>1310057S000959   00</v>
      </c>
      <c r="B21115" t="s">
        <v>45836</v>
      </c>
      <c r="C21115" t="s">
        <v>45837</v>
      </c>
      <c r="E21115" t="s">
        <v>513</v>
      </c>
      <c r="F21115">
        <v>0</v>
      </c>
      <c r="G21115">
        <v>0</v>
      </c>
      <c r="H21115">
        <v>1</v>
      </c>
      <c r="I21115" s="3">
        <v>24.83</v>
      </c>
      <c r="J21115" s="3">
        <v>29.17</v>
      </c>
      <c r="M21115" t="s">
        <v>45838</v>
      </c>
      <c r="N21115" t="s">
        <v>30</v>
      </c>
      <c r="O21115" t="s">
        <v>31</v>
      </c>
      <c r="P21115" t="str">
        <f>"15207"</f>
        <v>15207</v>
      </c>
    </row>
    <row r="21116" spans="1:16" x14ac:dyDescent="0.25">
      <c r="A21116" t="str">
        <f>"1310090M00093    00"</f>
        <v>1310090M00093    00</v>
      </c>
      <c r="B21116" t="s">
        <v>45839</v>
      </c>
      <c r="C21116" t="s">
        <v>45840</v>
      </c>
      <c r="D21116" t="s">
        <v>20</v>
      </c>
      <c r="E21116" t="s">
        <v>39</v>
      </c>
      <c r="F21116">
        <v>0</v>
      </c>
      <c r="G21116">
        <v>0</v>
      </c>
      <c r="H21116">
        <v>19</v>
      </c>
      <c r="I21116" s="3">
        <v>215.18</v>
      </c>
      <c r="J21116" s="3">
        <v>152.5</v>
      </c>
      <c r="K21116" t="s">
        <v>13562</v>
      </c>
      <c r="P21116" t="str">
        <f>"00000"</f>
        <v>00000</v>
      </c>
    </row>
    <row r="21117" spans="1:16" x14ac:dyDescent="0.25">
      <c r="A21117" t="str">
        <f>"1310090M00110    00"</f>
        <v>1310090M00110    00</v>
      </c>
      <c r="B21117" t="s">
        <v>45841</v>
      </c>
      <c r="C21117" t="s">
        <v>45842</v>
      </c>
      <c r="E21117" t="s">
        <v>39</v>
      </c>
      <c r="F21117">
        <v>0</v>
      </c>
      <c r="G21117">
        <v>0</v>
      </c>
      <c r="H21117">
        <v>1</v>
      </c>
      <c r="I21117" s="3">
        <v>179.21</v>
      </c>
      <c r="J21117" s="3">
        <v>35.840000000000003</v>
      </c>
      <c r="K21117" t="s">
        <v>5030</v>
      </c>
      <c r="M21117" t="s">
        <v>45843</v>
      </c>
      <c r="N21117" t="s">
        <v>5032</v>
      </c>
      <c r="O21117" t="s">
        <v>606</v>
      </c>
      <c r="P21117" t="str">
        <f>"30096"</f>
        <v>30096</v>
      </c>
    </row>
    <row r="21118" spans="1:16" x14ac:dyDescent="0.25">
      <c r="A21118" t="str">
        <f>"1310090M00141    00"</f>
        <v>1310090M00141    00</v>
      </c>
      <c r="B21118" t="s">
        <v>45844</v>
      </c>
      <c r="C21118" t="s">
        <v>45845</v>
      </c>
      <c r="D21118" t="s">
        <v>20</v>
      </c>
      <c r="E21118" t="s">
        <v>39</v>
      </c>
      <c r="F21118">
        <v>0</v>
      </c>
      <c r="G21118">
        <v>0</v>
      </c>
      <c r="H21118">
        <v>19</v>
      </c>
      <c r="I21118" s="3">
        <v>18074.689999999999</v>
      </c>
      <c r="J21118" s="3">
        <v>15053.27</v>
      </c>
      <c r="L21118">
        <v>8508</v>
      </c>
      <c r="M21118" t="s">
        <v>13958</v>
      </c>
      <c r="N21118" t="s">
        <v>30</v>
      </c>
      <c r="O21118" t="s">
        <v>31</v>
      </c>
      <c r="P21118" t="str">
        <f>"15221"</f>
        <v>15221</v>
      </c>
    </row>
    <row r="21119" spans="1:16" x14ac:dyDescent="0.25">
      <c r="A21119" t="str">
        <f>"1310090M00167    00"</f>
        <v>1310090M00167    00</v>
      </c>
      <c r="B21119" t="s">
        <v>45846</v>
      </c>
      <c r="C21119" t="s">
        <v>45840</v>
      </c>
      <c r="D21119" t="s">
        <v>20</v>
      </c>
      <c r="E21119" t="s">
        <v>39</v>
      </c>
      <c r="F21119">
        <v>0</v>
      </c>
      <c r="G21119">
        <v>0</v>
      </c>
      <c r="H21119">
        <v>4</v>
      </c>
      <c r="I21119" s="3">
        <v>67.92</v>
      </c>
      <c r="J21119" s="3">
        <v>8.3699999999999992</v>
      </c>
      <c r="K21119" t="s">
        <v>45847</v>
      </c>
      <c r="L21119">
        <v>5370</v>
      </c>
      <c r="M21119" t="s">
        <v>45848</v>
      </c>
      <c r="N21119" t="s">
        <v>22038</v>
      </c>
      <c r="O21119" t="s">
        <v>25</v>
      </c>
      <c r="P21119" t="str">
        <f>"44515"</f>
        <v>44515</v>
      </c>
    </row>
    <row r="21120" spans="1:16" x14ac:dyDescent="0.25">
      <c r="A21120" t="str">
        <f>"1310090M00169    00"</f>
        <v>1310090M00169    00</v>
      </c>
      <c r="B21120" t="s">
        <v>45849</v>
      </c>
      <c r="C21120" t="s">
        <v>45850</v>
      </c>
      <c r="D21120" t="s">
        <v>20</v>
      </c>
      <c r="E21120" t="s">
        <v>39</v>
      </c>
      <c r="F21120">
        <v>0</v>
      </c>
      <c r="G21120">
        <v>0</v>
      </c>
      <c r="H21120">
        <v>4</v>
      </c>
      <c r="I21120" s="3">
        <v>1146.83</v>
      </c>
      <c r="J21120" s="3">
        <v>155.80000000000001</v>
      </c>
      <c r="L21120">
        <v>5370</v>
      </c>
      <c r="M21120" t="s">
        <v>45851</v>
      </c>
      <c r="N21120" t="s">
        <v>22038</v>
      </c>
      <c r="O21120" t="s">
        <v>25</v>
      </c>
      <c r="P21120" t="str">
        <f>"44515"</f>
        <v>44515</v>
      </c>
    </row>
    <row r="21121" spans="1:16" x14ac:dyDescent="0.25">
      <c r="A21121" t="str">
        <f>"1310090R00109    00"</f>
        <v>1310090R00109    00</v>
      </c>
      <c r="B21121" t="s">
        <v>45852</v>
      </c>
      <c r="C21121" t="s">
        <v>45853</v>
      </c>
      <c r="D21121" t="s">
        <v>20</v>
      </c>
      <c r="E21121" t="s">
        <v>39</v>
      </c>
      <c r="F21121">
        <v>0</v>
      </c>
      <c r="G21121">
        <v>0</v>
      </c>
      <c r="H21121">
        <v>3</v>
      </c>
      <c r="I21121" s="3">
        <v>231.01</v>
      </c>
      <c r="J21121" s="3">
        <v>22.87</v>
      </c>
      <c r="L21121">
        <v>710</v>
      </c>
      <c r="M21121" t="s">
        <v>45854</v>
      </c>
      <c r="N21121" t="s">
        <v>30</v>
      </c>
      <c r="O21121" t="s">
        <v>31</v>
      </c>
      <c r="P21121" t="str">
        <f>"15207"</f>
        <v>15207</v>
      </c>
    </row>
    <row r="21122" spans="1:16" x14ac:dyDescent="0.25">
      <c r="A21122" t="str">
        <f>"1310090R00159    00"</f>
        <v>1310090R00159    00</v>
      </c>
      <c r="B21122" t="s">
        <v>45855</v>
      </c>
      <c r="C21122" t="s">
        <v>45856</v>
      </c>
      <c r="D21122" t="s">
        <v>20</v>
      </c>
      <c r="E21122" t="s">
        <v>39</v>
      </c>
      <c r="F21122">
        <v>0</v>
      </c>
      <c r="G21122">
        <v>0</v>
      </c>
      <c r="H21122">
        <v>3</v>
      </c>
      <c r="I21122" s="3">
        <v>348.87</v>
      </c>
      <c r="J21122" s="3">
        <v>55.24</v>
      </c>
      <c r="L21122">
        <v>4500</v>
      </c>
      <c r="M21122" t="s">
        <v>45857</v>
      </c>
      <c r="N21122" t="s">
        <v>285</v>
      </c>
      <c r="O21122" t="s">
        <v>31</v>
      </c>
      <c r="P21122" t="str">
        <f>"15120"</f>
        <v>15120</v>
      </c>
    </row>
    <row r="21123" spans="1:16" x14ac:dyDescent="0.25">
      <c r="A21123" t="str">
        <f>"1310090R00160    00"</f>
        <v>1310090R00160    00</v>
      </c>
      <c r="B21123" t="s">
        <v>45855</v>
      </c>
      <c r="C21123" t="s">
        <v>45840</v>
      </c>
      <c r="D21123" t="s">
        <v>20</v>
      </c>
      <c r="E21123" t="s">
        <v>39</v>
      </c>
      <c r="F21123">
        <v>0</v>
      </c>
      <c r="G21123">
        <v>0</v>
      </c>
      <c r="H21123">
        <v>2</v>
      </c>
      <c r="I21123" s="3">
        <v>111.96</v>
      </c>
      <c r="J21123" s="3">
        <v>16.420000000000002</v>
      </c>
      <c r="L21123">
        <v>4500</v>
      </c>
      <c r="M21123" t="s">
        <v>45857</v>
      </c>
      <c r="N21123" t="s">
        <v>285</v>
      </c>
      <c r="O21123" t="s">
        <v>31</v>
      </c>
      <c r="P21123" t="str">
        <f>"15120"</f>
        <v>15120</v>
      </c>
    </row>
    <row r="21124" spans="1:16" x14ac:dyDescent="0.25">
      <c r="A21124" t="str">
        <f>"1310090R00173    00"</f>
        <v>1310090R00173    00</v>
      </c>
      <c r="B21124" t="s">
        <v>45858</v>
      </c>
      <c r="C21124" t="s">
        <v>45840</v>
      </c>
      <c r="D21124" t="s">
        <v>20</v>
      </c>
      <c r="E21124" t="s">
        <v>39</v>
      </c>
      <c r="F21124">
        <v>0</v>
      </c>
      <c r="G21124">
        <v>0</v>
      </c>
      <c r="H21124">
        <v>13</v>
      </c>
      <c r="I21124" s="3">
        <v>4248.38</v>
      </c>
      <c r="J21124" s="3">
        <v>2307.79</v>
      </c>
      <c r="K21124" t="s">
        <v>45859</v>
      </c>
      <c r="L21124">
        <v>4180</v>
      </c>
      <c r="M21124" t="s">
        <v>45860</v>
      </c>
      <c r="N21124" t="s">
        <v>35312</v>
      </c>
      <c r="O21124" t="s">
        <v>370</v>
      </c>
      <c r="P21124" t="str">
        <f>"32707"</f>
        <v>32707</v>
      </c>
    </row>
    <row r="21125" spans="1:16" x14ac:dyDescent="0.25">
      <c r="A21125" t="str">
        <f>"1310090R00174    00"</f>
        <v>1310090R00174    00</v>
      </c>
      <c r="B21125" t="s">
        <v>45858</v>
      </c>
      <c r="C21125" t="s">
        <v>45840</v>
      </c>
      <c r="D21125" t="s">
        <v>20</v>
      </c>
      <c r="E21125" t="s">
        <v>39</v>
      </c>
      <c r="F21125">
        <v>0</v>
      </c>
      <c r="G21125">
        <v>0</v>
      </c>
      <c r="H21125">
        <v>13</v>
      </c>
      <c r="I21125" s="3">
        <v>4275.57</v>
      </c>
      <c r="J21125" s="3">
        <v>2339.9699999999998</v>
      </c>
      <c r="K21125" t="s">
        <v>45859</v>
      </c>
      <c r="L21125">
        <v>4180</v>
      </c>
      <c r="M21125" t="s">
        <v>45861</v>
      </c>
      <c r="N21125" t="s">
        <v>35312</v>
      </c>
      <c r="O21125" t="s">
        <v>370</v>
      </c>
      <c r="P21125" t="str">
        <f>"32707"</f>
        <v>32707</v>
      </c>
    </row>
    <row r="21126" spans="1:16" x14ac:dyDescent="0.25">
      <c r="A21126" t="str">
        <f>"1310090R00175    00"</f>
        <v>1310090R00175    00</v>
      </c>
      <c r="B21126" t="s">
        <v>45858</v>
      </c>
      <c r="C21126" t="s">
        <v>45840</v>
      </c>
      <c r="D21126" t="s">
        <v>20</v>
      </c>
      <c r="E21126" t="s">
        <v>39</v>
      </c>
      <c r="F21126">
        <v>0</v>
      </c>
      <c r="G21126">
        <v>0</v>
      </c>
      <c r="H21126">
        <v>13</v>
      </c>
      <c r="I21126" s="3">
        <v>4248.38</v>
      </c>
      <c r="J21126" s="3">
        <v>2307.79</v>
      </c>
      <c r="K21126" t="s">
        <v>45859</v>
      </c>
      <c r="L21126">
        <v>4180</v>
      </c>
      <c r="M21126" t="s">
        <v>45860</v>
      </c>
      <c r="N21126" t="s">
        <v>35312</v>
      </c>
      <c r="O21126" t="s">
        <v>370</v>
      </c>
      <c r="P21126" t="str">
        <f>"32707"</f>
        <v>32707</v>
      </c>
    </row>
    <row r="21127" spans="1:16" x14ac:dyDescent="0.25">
      <c r="A21127" t="str">
        <f>"1310090R00176    00"</f>
        <v>1310090R00176    00</v>
      </c>
      <c r="B21127" t="s">
        <v>45862</v>
      </c>
      <c r="C21127" t="s">
        <v>45840</v>
      </c>
      <c r="D21127" t="s">
        <v>20</v>
      </c>
      <c r="E21127" t="s">
        <v>39</v>
      </c>
      <c r="F21127">
        <v>0</v>
      </c>
      <c r="G21127">
        <v>0</v>
      </c>
      <c r="H21127">
        <v>10</v>
      </c>
      <c r="I21127" s="3">
        <v>3477.07</v>
      </c>
      <c r="J21127" s="3">
        <v>1488.8</v>
      </c>
      <c r="M21127" t="s">
        <v>45863</v>
      </c>
      <c r="N21127" t="s">
        <v>45864</v>
      </c>
      <c r="O21127" t="s">
        <v>423</v>
      </c>
      <c r="P21127" t="str">
        <f>"08049"</f>
        <v>08049</v>
      </c>
    </row>
    <row r="21128" spans="1:16" x14ac:dyDescent="0.25">
      <c r="A21128" t="str">
        <f>"1310090R00177    00"</f>
        <v>1310090R00177    00</v>
      </c>
      <c r="B21128" t="s">
        <v>45862</v>
      </c>
      <c r="C21128" t="s">
        <v>45840</v>
      </c>
      <c r="D21128" t="s">
        <v>20</v>
      </c>
      <c r="E21128" t="s">
        <v>39</v>
      </c>
      <c r="F21128">
        <v>0</v>
      </c>
      <c r="G21128">
        <v>0</v>
      </c>
      <c r="H21128">
        <v>10</v>
      </c>
      <c r="I21128" s="3">
        <v>3477.07</v>
      </c>
      <c r="J21128" s="3">
        <v>1488.8</v>
      </c>
      <c r="M21128" t="s">
        <v>45865</v>
      </c>
      <c r="N21128" t="s">
        <v>30</v>
      </c>
      <c r="O21128" t="s">
        <v>31</v>
      </c>
      <c r="P21128" t="str">
        <f>"15224"</f>
        <v>15224</v>
      </c>
    </row>
    <row r="21129" spans="1:16" x14ac:dyDescent="0.25">
      <c r="A21129" t="str">
        <f>"1310090R00178    00"</f>
        <v>1310090R00178    00</v>
      </c>
      <c r="B21129" t="s">
        <v>45862</v>
      </c>
      <c r="C21129" t="s">
        <v>45840</v>
      </c>
      <c r="D21129" t="s">
        <v>20</v>
      </c>
      <c r="E21129" t="s">
        <v>39</v>
      </c>
      <c r="F21129">
        <v>0</v>
      </c>
      <c r="G21129">
        <v>0</v>
      </c>
      <c r="H21129">
        <v>10</v>
      </c>
      <c r="I21129" s="3">
        <v>3477.07</v>
      </c>
      <c r="J21129" s="3">
        <v>1488.8</v>
      </c>
      <c r="M21129" t="s">
        <v>45863</v>
      </c>
      <c r="N21129" t="s">
        <v>45864</v>
      </c>
      <c r="O21129" t="s">
        <v>423</v>
      </c>
      <c r="P21129" t="str">
        <f>"08049"</f>
        <v>08049</v>
      </c>
    </row>
    <row r="21130" spans="1:16" x14ac:dyDescent="0.25">
      <c r="A21130" t="str">
        <f>"1310090R00179    00"</f>
        <v>1310090R00179    00</v>
      </c>
      <c r="B21130" t="s">
        <v>45862</v>
      </c>
      <c r="C21130" t="s">
        <v>45840</v>
      </c>
      <c r="D21130" t="s">
        <v>20</v>
      </c>
      <c r="E21130" t="s">
        <v>39</v>
      </c>
      <c r="F21130">
        <v>0</v>
      </c>
      <c r="G21130">
        <v>0</v>
      </c>
      <c r="H21130">
        <v>10</v>
      </c>
      <c r="I21130" s="3">
        <v>3477.07</v>
      </c>
      <c r="J21130" s="3">
        <v>1488.8</v>
      </c>
      <c r="M21130" t="s">
        <v>45863</v>
      </c>
      <c r="N21130" t="s">
        <v>45864</v>
      </c>
      <c r="O21130" t="s">
        <v>423</v>
      </c>
      <c r="P21130" t="str">
        <f>"08049"</f>
        <v>08049</v>
      </c>
    </row>
    <row r="21131" spans="1:16" x14ac:dyDescent="0.25">
      <c r="A21131" t="str">
        <f>"1310090S00010    00"</f>
        <v>1310090S00010    00</v>
      </c>
      <c r="B21131" t="s">
        <v>45866</v>
      </c>
      <c r="C21131" t="s">
        <v>45840</v>
      </c>
      <c r="D21131" t="s">
        <v>20</v>
      </c>
      <c r="E21131" t="s">
        <v>39</v>
      </c>
      <c r="F21131">
        <v>0</v>
      </c>
      <c r="G21131">
        <v>0</v>
      </c>
      <c r="H21131">
        <v>19</v>
      </c>
      <c r="I21131" s="3">
        <v>257.02999999999997</v>
      </c>
      <c r="J21131" s="3">
        <v>194.1</v>
      </c>
      <c r="K21131" t="s">
        <v>1037</v>
      </c>
      <c r="L21131">
        <v>4521</v>
      </c>
      <c r="M21131" t="s">
        <v>45867</v>
      </c>
      <c r="N21131" t="s">
        <v>21130</v>
      </c>
      <c r="O21131" t="s">
        <v>31</v>
      </c>
      <c r="P21131" t="str">
        <f>"15120"</f>
        <v>15120</v>
      </c>
    </row>
    <row r="21132" spans="1:16" x14ac:dyDescent="0.25">
      <c r="A21132" t="str">
        <f>"1310090S00018    00"</f>
        <v>1310090S00018    00</v>
      </c>
      <c r="B21132" t="s">
        <v>45868</v>
      </c>
      <c r="C21132" t="s">
        <v>45869</v>
      </c>
      <c r="D21132" t="s">
        <v>20</v>
      </c>
      <c r="E21132" t="s">
        <v>39</v>
      </c>
      <c r="F21132">
        <v>0</v>
      </c>
      <c r="G21132">
        <v>0</v>
      </c>
      <c r="H21132">
        <v>19</v>
      </c>
      <c r="I21132" s="3">
        <v>570.64</v>
      </c>
      <c r="J21132" s="3">
        <v>481.68</v>
      </c>
      <c r="K21132" t="s">
        <v>13562</v>
      </c>
      <c r="M21132" t="s">
        <v>26428</v>
      </c>
      <c r="O21132" t="s">
        <v>31</v>
      </c>
      <c r="P21132" t="str">
        <f>"00000"</f>
        <v>00000</v>
      </c>
    </row>
    <row r="21133" spans="1:16" x14ac:dyDescent="0.25">
      <c r="A21133" t="str">
        <f>"1310090S00103    00"</f>
        <v>1310090S00103    00</v>
      </c>
      <c r="B21133" t="s">
        <v>45870</v>
      </c>
      <c r="C21133" t="s">
        <v>45871</v>
      </c>
      <c r="D21133" t="s">
        <v>20</v>
      </c>
      <c r="E21133" t="s">
        <v>39</v>
      </c>
      <c r="F21133">
        <v>0</v>
      </c>
      <c r="G21133">
        <v>0</v>
      </c>
      <c r="H21133">
        <v>11</v>
      </c>
      <c r="I21133" s="3">
        <v>2573.09</v>
      </c>
      <c r="J21133" s="3">
        <v>1228.02</v>
      </c>
      <c r="K21133" t="s">
        <v>45872</v>
      </c>
      <c r="L21133">
        <v>6514</v>
      </c>
      <c r="M21133" t="s">
        <v>45873</v>
      </c>
      <c r="N21133" t="s">
        <v>30</v>
      </c>
      <c r="O21133" t="s">
        <v>31</v>
      </c>
      <c r="P21133" t="str">
        <f>"15206"</f>
        <v>15206</v>
      </c>
    </row>
    <row r="21134" spans="1:16" x14ac:dyDescent="0.25">
      <c r="A21134" t="str">
        <f>"1310090S00120    00"</f>
        <v>1310090S00120    00</v>
      </c>
      <c r="B21134" t="s">
        <v>45874</v>
      </c>
      <c r="C21134" t="s">
        <v>45875</v>
      </c>
      <c r="D21134" t="s">
        <v>20</v>
      </c>
      <c r="E21134" t="s">
        <v>39</v>
      </c>
      <c r="F21134">
        <v>0</v>
      </c>
      <c r="G21134">
        <v>0</v>
      </c>
      <c r="H21134">
        <v>14</v>
      </c>
      <c r="I21134" s="3">
        <v>16481.48</v>
      </c>
      <c r="J21134" s="3">
        <v>9542.34</v>
      </c>
      <c r="K21134" t="s">
        <v>45876</v>
      </c>
      <c r="L21134">
        <v>4422</v>
      </c>
      <c r="M21134" t="s">
        <v>45877</v>
      </c>
      <c r="N21134" t="s">
        <v>285</v>
      </c>
      <c r="O21134" t="s">
        <v>31</v>
      </c>
      <c r="P21134" t="str">
        <f>"15120"</f>
        <v>15120</v>
      </c>
    </row>
    <row r="21135" spans="1:16" x14ac:dyDescent="0.25">
      <c r="A21135" t="str">
        <f>"1310090S00141    00"</f>
        <v>1310090S00141    00</v>
      </c>
      <c r="B21135" t="s">
        <v>45878</v>
      </c>
      <c r="C21135" t="s">
        <v>45879</v>
      </c>
      <c r="D21135" t="s">
        <v>20</v>
      </c>
      <c r="E21135" t="s">
        <v>39</v>
      </c>
      <c r="F21135">
        <v>0</v>
      </c>
      <c r="G21135">
        <v>0</v>
      </c>
      <c r="H21135">
        <v>2</v>
      </c>
      <c r="I21135" s="3">
        <v>334.44</v>
      </c>
      <c r="J21135" s="3">
        <v>0</v>
      </c>
      <c r="K21135" t="s">
        <v>45880</v>
      </c>
      <c r="L21135">
        <v>4426</v>
      </c>
      <c r="M21135" t="s">
        <v>45877</v>
      </c>
      <c r="N21135" t="s">
        <v>285</v>
      </c>
      <c r="O21135" t="s">
        <v>31</v>
      </c>
      <c r="P21135" t="str">
        <f>"15120"</f>
        <v>15120</v>
      </c>
    </row>
    <row r="21136" spans="1:16" x14ac:dyDescent="0.25">
      <c r="A21136" t="str">
        <f>"1310090S00143    00"</f>
        <v>1310090S00143    00</v>
      </c>
      <c r="B21136" t="s">
        <v>45878</v>
      </c>
      <c r="C21136" t="s">
        <v>45879</v>
      </c>
      <c r="D21136" t="s">
        <v>20</v>
      </c>
      <c r="E21136" t="s">
        <v>39</v>
      </c>
      <c r="F21136">
        <v>0</v>
      </c>
      <c r="G21136">
        <v>0</v>
      </c>
      <c r="H21136">
        <v>2</v>
      </c>
      <c r="I21136" s="3">
        <v>334.44</v>
      </c>
      <c r="J21136" s="3">
        <v>0</v>
      </c>
      <c r="K21136" t="s">
        <v>45880</v>
      </c>
      <c r="L21136">
        <v>4426</v>
      </c>
      <c r="M21136" t="s">
        <v>45877</v>
      </c>
      <c r="N21136" t="s">
        <v>285</v>
      </c>
      <c r="O21136" t="s">
        <v>31</v>
      </c>
      <c r="P21136" t="str">
        <f>"15120"</f>
        <v>15120</v>
      </c>
    </row>
    <row r="21137" spans="1:16" x14ac:dyDescent="0.25">
      <c r="A21137" t="str">
        <f>"1310090S00155    00"</f>
        <v>1310090S00155    00</v>
      </c>
      <c r="B21137" t="s">
        <v>45881</v>
      </c>
      <c r="C21137" t="s">
        <v>45882</v>
      </c>
      <c r="E21137" t="s">
        <v>39</v>
      </c>
      <c r="F21137">
        <v>0</v>
      </c>
      <c r="G21137">
        <v>0</v>
      </c>
      <c r="H21137">
        <v>5</v>
      </c>
      <c r="I21137" s="3">
        <v>5777.51</v>
      </c>
      <c r="J21137" s="3">
        <v>6028.24</v>
      </c>
      <c r="K21137" t="s">
        <v>484</v>
      </c>
      <c r="L21137">
        <v>3001</v>
      </c>
      <c r="M21137" t="s">
        <v>330</v>
      </c>
      <c r="N21137" t="s">
        <v>331</v>
      </c>
      <c r="O21137" t="s">
        <v>108</v>
      </c>
      <c r="P21137" t="str">
        <f>"75063"</f>
        <v>75063</v>
      </c>
    </row>
    <row r="21138" spans="1:16" x14ac:dyDescent="0.25">
      <c r="A21138" t="str">
        <f>"1310090S00158    00"</f>
        <v>1310090S00158    00</v>
      </c>
      <c r="B21138" t="s">
        <v>45883</v>
      </c>
      <c r="C21138" t="s">
        <v>45879</v>
      </c>
      <c r="D21138" t="s">
        <v>20</v>
      </c>
      <c r="E21138" t="s">
        <v>39</v>
      </c>
      <c r="F21138">
        <v>0</v>
      </c>
      <c r="G21138">
        <v>0</v>
      </c>
      <c r="H21138">
        <v>16</v>
      </c>
      <c r="I21138" s="3">
        <v>4220.7700000000004</v>
      </c>
      <c r="J21138" s="3">
        <v>3407.28</v>
      </c>
      <c r="L21138">
        <v>918</v>
      </c>
      <c r="M21138" t="s">
        <v>45884</v>
      </c>
      <c r="N21138" t="s">
        <v>30</v>
      </c>
      <c r="O21138" t="s">
        <v>31</v>
      </c>
      <c r="P21138" t="str">
        <f>"15207"</f>
        <v>15207</v>
      </c>
    </row>
    <row r="21139" spans="1:16" x14ac:dyDescent="0.25">
      <c r="A21139" t="str">
        <f>"1310090S00164    00"</f>
        <v>1310090S00164    00</v>
      </c>
      <c r="B21139" t="s">
        <v>45885</v>
      </c>
      <c r="C21139" t="s">
        <v>45886</v>
      </c>
      <c r="D21139" t="s">
        <v>20</v>
      </c>
      <c r="E21139" t="s">
        <v>39</v>
      </c>
      <c r="F21139">
        <v>0</v>
      </c>
      <c r="G21139">
        <v>0</v>
      </c>
      <c r="H21139">
        <v>19</v>
      </c>
      <c r="I21139" s="3">
        <v>4676.08</v>
      </c>
      <c r="J21139" s="3">
        <v>4422.24</v>
      </c>
      <c r="L21139">
        <v>1117</v>
      </c>
      <c r="M21139" t="s">
        <v>45887</v>
      </c>
      <c r="N21139" t="s">
        <v>21130</v>
      </c>
      <c r="O21139" t="s">
        <v>31</v>
      </c>
      <c r="P21139" t="str">
        <f>"15120"</f>
        <v>15120</v>
      </c>
    </row>
    <row r="21140" spans="1:16" x14ac:dyDescent="0.25">
      <c r="A21140" t="str">
        <f>"1310090S00166    00"</f>
        <v>1310090S00166    00</v>
      </c>
      <c r="B21140" t="s">
        <v>45888</v>
      </c>
      <c r="C21140" t="s">
        <v>45879</v>
      </c>
      <c r="E21140" t="s">
        <v>39</v>
      </c>
      <c r="F21140">
        <v>0</v>
      </c>
      <c r="G21140">
        <v>0</v>
      </c>
      <c r="H21140">
        <v>2</v>
      </c>
      <c r="I21140" s="3">
        <v>155.36000000000001</v>
      </c>
      <c r="J21140" s="3">
        <v>20.21</v>
      </c>
      <c r="L21140">
        <v>4461</v>
      </c>
      <c r="M21140" t="s">
        <v>45877</v>
      </c>
      <c r="N21140" t="s">
        <v>285</v>
      </c>
      <c r="O21140" t="s">
        <v>31</v>
      </c>
      <c r="P21140" t="str">
        <f>"15120"</f>
        <v>15120</v>
      </c>
    </row>
    <row r="21141" spans="1:16" x14ac:dyDescent="0.25">
      <c r="A21141" t="str">
        <f>"1310090S00168    00"</f>
        <v>1310090S00168    00</v>
      </c>
      <c r="B21141" t="s">
        <v>45889</v>
      </c>
      <c r="C21141" t="s">
        <v>45890</v>
      </c>
      <c r="D21141" t="s">
        <v>20</v>
      </c>
      <c r="E21141" t="s">
        <v>39</v>
      </c>
      <c r="F21141">
        <v>0</v>
      </c>
      <c r="G21141">
        <v>0</v>
      </c>
      <c r="H21141">
        <v>1</v>
      </c>
      <c r="I21141" s="3">
        <v>1082.27</v>
      </c>
      <c r="J21141" s="3">
        <v>216.44</v>
      </c>
      <c r="L21141">
        <v>4461</v>
      </c>
      <c r="M21141" t="s">
        <v>45877</v>
      </c>
      <c r="N21141" t="s">
        <v>285</v>
      </c>
      <c r="O21141" t="s">
        <v>31</v>
      </c>
      <c r="P21141" t="str">
        <f>"15120"</f>
        <v>15120</v>
      </c>
    </row>
    <row r="21142" spans="1:16" x14ac:dyDescent="0.25">
      <c r="A21142" t="str">
        <f>"1310090S00170    00"</f>
        <v>1310090S00170    00</v>
      </c>
      <c r="B21142" t="s">
        <v>45891</v>
      </c>
      <c r="C21142" t="s">
        <v>45892</v>
      </c>
      <c r="E21142" t="s">
        <v>39</v>
      </c>
      <c r="F21142">
        <v>0</v>
      </c>
      <c r="G21142">
        <v>0</v>
      </c>
      <c r="H21142">
        <v>8</v>
      </c>
      <c r="I21142" s="3">
        <v>11403.19</v>
      </c>
      <c r="J21142" s="3">
        <v>12736.93</v>
      </c>
      <c r="L21142">
        <v>33</v>
      </c>
      <c r="M21142" t="s">
        <v>8484</v>
      </c>
      <c r="N21142" t="s">
        <v>30</v>
      </c>
      <c r="O21142" t="s">
        <v>31</v>
      </c>
      <c r="P21142" t="str">
        <f>"15229"</f>
        <v>15229</v>
      </c>
    </row>
    <row r="21143" spans="1:16" x14ac:dyDescent="0.25">
      <c r="A21143" t="str">
        <f>"1310090S00186    00"</f>
        <v>1310090S00186    00</v>
      </c>
      <c r="B21143" t="s">
        <v>45893</v>
      </c>
      <c r="C21143" t="s">
        <v>45894</v>
      </c>
      <c r="D21143" t="s">
        <v>20</v>
      </c>
      <c r="E21143" t="s">
        <v>39</v>
      </c>
      <c r="F21143">
        <v>0</v>
      </c>
      <c r="G21143">
        <v>0</v>
      </c>
      <c r="H21143">
        <v>16</v>
      </c>
      <c r="I21143" s="3">
        <v>10630.58</v>
      </c>
      <c r="J21143" s="3">
        <v>8897.02</v>
      </c>
      <c r="L21143">
        <v>4421</v>
      </c>
      <c r="M21143" t="s">
        <v>45877</v>
      </c>
      <c r="N21143" t="s">
        <v>285</v>
      </c>
      <c r="O21143" t="s">
        <v>31</v>
      </c>
      <c r="P21143" t="str">
        <f>"15120"</f>
        <v>15120</v>
      </c>
    </row>
    <row r="21144" spans="1:16" x14ac:dyDescent="0.25">
      <c r="A21144" t="str">
        <f>"1310090S00202    00"</f>
        <v>1310090S00202    00</v>
      </c>
      <c r="B21144" t="s">
        <v>45895</v>
      </c>
      <c r="C21144" t="s">
        <v>45896</v>
      </c>
      <c r="D21144" t="s">
        <v>20</v>
      </c>
      <c r="E21144" t="s">
        <v>39</v>
      </c>
      <c r="F21144">
        <v>0</v>
      </c>
      <c r="G21144">
        <v>0</v>
      </c>
      <c r="H21144">
        <v>1</v>
      </c>
      <c r="I21144" s="3">
        <v>30.5</v>
      </c>
      <c r="J21144" s="3">
        <v>0</v>
      </c>
      <c r="L21144">
        <v>4433</v>
      </c>
      <c r="M21144" t="s">
        <v>45897</v>
      </c>
      <c r="N21144" t="s">
        <v>285</v>
      </c>
      <c r="O21144" t="s">
        <v>31</v>
      </c>
      <c r="P21144" t="str">
        <f>"15120"</f>
        <v>15120</v>
      </c>
    </row>
    <row r="21145" spans="1:16" x14ac:dyDescent="0.25">
      <c r="A21145" t="str">
        <f>"1310090S00204    00"</f>
        <v>1310090S00204    00</v>
      </c>
      <c r="B21145" t="s">
        <v>45895</v>
      </c>
      <c r="C21145" t="s">
        <v>45898</v>
      </c>
      <c r="D21145" t="s">
        <v>20</v>
      </c>
      <c r="E21145" t="s">
        <v>39</v>
      </c>
      <c r="F21145">
        <v>0</v>
      </c>
      <c r="G21145">
        <v>0</v>
      </c>
      <c r="H21145">
        <v>1</v>
      </c>
      <c r="I21145" s="3">
        <v>2602.1799999999998</v>
      </c>
      <c r="J21145" s="3">
        <v>0</v>
      </c>
      <c r="L21145">
        <v>4433</v>
      </c>
      <c r="M21145" t="s">
        <v>45897</v>
      </c>
      <c r="N21145" t="s">
        <v>285</v>
      </c>
      <c r="O21145" t="s">
        <v>31</v>
      </c>
      <c r="P21145" t="str">
        <f>"15120"</f>
        <v>15120</v>
      </c>
    </row>
    <row r="21146" spans="1:16" x14ac:dyDescent="0.25">
      <c r="A21146" t="str">
        <f>"1310090S00226    00"</f>
        <v>1310090S00226    00</v>
      </c>
      <c r="B21146" t="s">
        <v>45899</v>
      </c>
      <c r="C21146" t="s">
        <v>45900</v>
      </c>
      <c r="D21146" t="s">
        <v>20</v>
      </c>
      <c r="E21146" t="s">
        <v>39</v>
      </c>
      <c r="F21146">
        <v>0</v>
      </c>
      <c r="G21146">
        <v>0</v>
      </c>
      <c r="H21146">
        <v>1</v>
      </c>
      <c r="I21146" s="3">
        <v>116.28</v>
      </c>
      <c r="J21146" s="3">
        <v>0</v>
      </c>
      <c r="K21146" t="s">
        <v>391</v>
      </c>
      <c r="L21146">
        <v>1</v>
      </c>
      <c r="M21146" t="s">
        <v>392</v>
      </c>
      <c r="N21146" t="s">
        <v>393</v>
      </c>
      <c r="O21146" t="s">
        <v>394</v>
      </c>
      <c r="P21146" t="str">
        <f>"50328"</f>
        <v>50328</v>
      </c>
    </row>
    <row r="21147" spans="1:16" x14ac:dyDescent="0.25">
      <c r="A21147" t="str">
        <f>"1310090S00256    00"</f>
        <v>1310090S00256    00</v>
      </c>
      <c r="B21147" t="s">
        <v>45901</v>
      </c>
      <c r="C21147" t="s">
        <v>45902</v>
      </c>
      <c r="D21147" t="s">
        <v>20</v>
      </c>
      <c r="E21147" t="s">
        <v>39</v>
      </c>
      <c r="F21147">
        <v>0</v>
      </c>
      <c r="G21147">
        <v>0</v>
      </c>
      <c r="H21147">
        <v>2</v>
      </c>
      <c r="I21147" s="3">
        <v>761.69</v>
      </c>
      <c r="J21147" s="3">
        <v>0</v>
      </c>
      <c r="L21147">
        <v>514</v>
      </c>
      <c r="M21147" t="s">
        <v>45903</v>
      </c>
      <c r="N21147" t="s">
        <v>285</v>
      </c>
      <c r="O21147" t="s">
        <v>31</v>
      </c>
      <c r="P21147" t="str">
        <f>"15120"</f>
        <v>15120</v>
      </c>
    </row>
    <row r="21148" spans="1:16" x14ac:dyDescent="0.25">
      <c r="A21148" t="str">
        <f>"1310091B00002    00"</f>
        <v>1310091B00002    00</v>
      </c>
      <c r="B21148" t="s">
        <v>45904</v>
      </c>
      <c r="C21148" t="s">
        <v>45905</v>
      </c>
      <c r="D21148" t="s">
        <v>20</v>
      </c>
      <c r="E21148" t="s">
        <v>21</v>
      </c>
      <c r="F21148">
        <v>0</v>
      </c>
      <c r="G21148">
        <v>0</v>
      </c>
      <c r="H21148">
        <v>1</v>
      </c>
      <c r="I21148" s="3">
        <v>47.66</v>
      </c>
      <c r="J21148" s="3">
        <v>0</v>
      </c>
      <c r="M21148" t="s">
        <v>45906</v>
      </c>
      <c r="N21148" t="s">
        <v>285</v>
      </c>
      <c r="O21148" t="s">
        <v>31</v>
      </c>
      <c r="P21148" t="str">
        <f>"15120"</f>
        <v>15120</v>
      </c>
    </row>
    <row r="21149" spans="1:16" x14ac:dyDescent="0.25">
      <c r="A21149" t="str">
        <f>"1310091B00003    00"</f>
        <v>1310091B00003    00</v>
      </c>
      <c r="B21149" t="s">
        <v>45904</v>
      </c>
      <c r="C21149" t="s">
        <v>45907</v>
      </c>
      <c r="D21149" t="s">
        <v>20</v>
      </c>
      <c r="E21149" t="s">
        <v>21</v>
      </c>
      <c r="F21149">
        <v>0</v>
      </c>
      <c r="G21149">
        <v>0</v>
      </c>
      <c r="H21149">
        <v>1</v>
      </c>
      <c r="I21149" s="3">
        <v>78.16</v>
      </c>
      <c r="J21149" s="3">
        <v>0</v>
      </c>
      <c r="M21149" t="s">
        <v>45906</v>
      </c>
      <c r="N21149" t="s">
        <v>285</v>
      </c>
      <c r="O21149" t="s">
        <v>31</v>
      </c>
      <c r="P21149" t="str">
        <f>"15120"</f>
        <v>15120</v>
      </c>
    </row>
    <row r="21150" spans="1:16" x14ac:dyDescent="0.25">
      <c r="A21150" t="str">
        <f>"1310091B00062    00"</f>
        <v>1310091B00062    00</v>
      </c>
      <c r="B21150" t="s">
        <v>45908</v>
      </c>
      <c r="C21150" t="s">
        <v>45840</v>
      </c>
      <c r="D21150" t="s">
        <v>20</v>
      </c>
      <c r="E21150" t="s">
        <v>39</v>
      </c>
      <c r="F21150">
        <v>0</v>
      </c>
      <c r="G21150">
        <v>0</v>
      </c>
      <c r="H21150">
        <v>19</v>
      </c>
      <c r="I21150" s="3">
        <v>5142.7299999999996</v>
      </c>
      <c r="J21150" s="3">
        <v>4893.28</v>
      </c>
      <c r="K21150" t="s">
        <v>1037</v>
      </c>
      <c r="L21150">
        <v>1803</v>
      </c>
      <c r="M21150" t="s">
        <v>9118</v>
      </c>
      <c r="N21150" t="s">
        <v>30</v>
      </c>
      <c r="O21150" t="s">
        <v>31</v>
      </c>
      <c r="P21150" t="str">
        <f>"15206"</f>
        <v>15206</v>
      </c>
    </row>
    <row r="21151" spans="1:16" x14ac:dyDescent="0.25">
      <c r="A21151" t="str">
        <f>"1310091C00091    00"</f>
        <v>1310091C00091    00</v>
      </c>
      <c r="B21151" t="s">
        <v>45909</v>
      </c>
      <c r="C21151" t="s">
        <v>45910</v>
      </c>
      <c r="D21151" t="s">
        <v>20</v>
      </c>
      <c r="E21151" t="s">
        <v>207</v>
      </c>
      <c r="F21151">
        <v>0</v>
      </c>
      <c r="G21151">
        <v>0</v>
      </c>
      <c r="H21151">
        <v>6</v>
      </c>
      <c r="I21151" s="3">
        <v>1036.1199999999999</v>
      </c>
      <c r="J21151" s="3">
        <v>230.03</v>
      </c>
      <c r="L21151">
        <v>741</v>
      </c>
      <c r="M21151" t="s">
        <v>39401</v>
      </c>
      <c r="N21151" t="s">
        <v>285</v>
      </c>
      <c r="O21151" t="s">
        <v>31</v>
      </c>
      <c r="P21151" t="str">
        <f>"15120"</f>
        <v>15120</v>
      </c>
    </row>
    <row r="21152" spans="1:16" x14ac:dyDescent="0.25">
      <c r="A21152" t="str">
        <f>"1310091C00092    00"</f>
        <v>1310091C00092    00</v>
      </c>
      <c r="B21152" t="s">
        <v>45909</v>
      </c>
      <c r="C21152" t="s">
        <v>45910</v>
      </c>
      <c r="D21152" t="s">
        <v>20</v>
      </c>
      <c r="E21152" t="s">
        <v>207</v>
      </c>
      <c r="F21152">
        <v>0</v>
      </c>
      <c r="G21152">
        <v>0</v>
      </c>
      <c r="H21152">
        <v>7</v>
      </c>
      <c r="I21152" s="3">
        <v>1151.22</v>
      </c>
      <c r="J21152" s="3">
        <v>303.88</v>
      </c>
      <c r="L21152">
        <v>741</v>
      </c>
      <c r="M21152" t="s">
        <v>39401</v>
      </c>
      <c r="N21152" t="s">
        <v>285</v>
      </c>
      <c r="O21152" t="s">
        <v>31</v>
      </c>
      <c r="P21152" t="str">
        <f>"15120"</f>
        <v>15120</v>
      </c>
    </row>
    <row r="21153" spans="1:16" x14ac:dyDescent="0.25">
      <c r="A21153" t="str">
        <f>"1310091C00102    00"</f>
        <v>1310091C00102    00</v>
      </c>
      <c r="B21153" t="s">
        <v>45911</v>
      </c>
      <c r="C21153" t="s">
        <v>45912</v>
      </c>
      <c r="D21153" t="s">
        <v>20</v>
      </c>
      <c r="E21153" t="s">
        <v>39</v>
      </c>
      <c r="F21153">
        <v>0</v>
      </c>
      <c r="G21153">
        <v>0</v>
      </c>
      <c r="H21153">
        <v>1</v>
      </c>
      <c r="I21153" s="3">
        <v>627.09</v>
      </c>
      <c r="J21153" s="3">
        <v>0</v>
      </c>
      <c r="K21153" t="s">
        <v>45913</v>
      </c>
      <c r="N21153" t="s">
        <v>45914</v>
      </c>
      <c r="P21153" t="str">
        <f>""</f>
        <v/>
      </c>
    </row>
    <row r="21154" spans="1:16" x14ac:dyDescent="0.25">
      <c r="A21154" t="str">
        <f>"1310091C00335    00"</f>
        <v>1310091C00335    00</v>
      </c>
      <c r="B21154" t="s">
        <v>45915</v>
      </c>
      <c r="C21154" t="s">
        <v>45905</v>
      </c>
      <c r="D21154" t="s">
        <v>20</v>
      </c>
      <c r="E21154" t="s">
        <v>39</v>
      </c>
      <c r="F21154">
        <v>0</v>
      </c>
      <c r="G21154">
        <v>0</v>
      </c>
      <c r="H21154">
        <v>19</v>
      </c>
      <c r="I21154" s="3">
        <v>523.9</v>
      </c>
      <c r="J21154" s="3">
        <v>434.39</v>
      </c>
      <c r="K21154" t="s">
        <v>1037</v>
      </c>
      <c r="M21154" t="s">
        <v>45916</v>
      </c>
      <c r="N21154" t="s">
        <v>30</v>
      </c>
      <c r="O21154" t="s">
        <v>31</v>
      </c>
      <c r="P21154" t="str">
        <f>"15207"</f>
        <v>15207</v>
      </c>
    </row>
    <row r="21155" spans="1:16" x14ac:dyDescent="0.25">
      <c r="A21155" t="str">
        <f>"1310091D00066    00"</f>
        <v>1310091D00066    00</v>
      </c>
      <c r="B21155" t="s">
        <v>16858</v>
      </c>
      <c r="C21155" t="s">
        <v>45917</v>
      </c>
      <c r="E21155" t="s">
        <v>39</v>
      </c>
      <c r="F21155">
        <v>0</v>
      </c>
      <c r="G21155">
        <v>0</v>
      </c>
      <c r="H21155">
        <v>2</v>
      </c>
      <c r="I21155" s="3">
        <v>272.72000000000003</v>
      </c>
      <c r="J21155" s="3">
        <v>83.64</v>
      </c>
      <c r="L21155">
        <v>530</v>
      </c>
      <c r="M21155" t="s">
        <v>2802</v>
      </c>
      <c r="N21155" t="s">
        <v>30</v>
      </c>
      <c r="O21155" t="s">
        <v>31</v>
      </c>
      <c r="P21155" t="str">
        <f>"15208"</f>
        <v>15208</v>
      </c>
    </row>
    <row r="21156" spans="1:16" x14ac:dyDescent="0.25">
      <c r="A21156" t="str">
        <f>"1310091D00099    00"</f>
        <v>1310091D00099    00</v>
      </c>
      <c r="B21156" t="s">
        <v>45918</v>
      </c>
      <c r="C21156" t="s">
        <v>45919</v>
      </c>
      <c r="D21156" t="s">
        <v>20</v>
      </c>
      <c r="E21156" t="s">
        <v>39</v>
      </c>
      <c r="F21156">
        <v>0</v>
      </c>
      <c r="G21156">
        <v>0</v>
      </c>
      <c r="H21156">
        <v>10</v>
      </c>
      <c r="I21156" s="3">
        <v>10357.35</v>
      </c>
      <c r="J21156" s="3">
        <v>4434.82</v>
      </c>
      <c r="L21156">
        <v>1225</v>
      </c>
      <c r="M21156" t="s">
        <v>39401</v>
      </c>
      <c r="N21156" t="s">
        <v>285</v>
      </c>
      <c r="O21156" t="s">
        <v>31</v>
      </c>
      <c r="P21156" t="str">
        <f>"15120"</f>
        <v>15120</v>
      </c>
    </row>
    <row r="21157" spans="1:16" x14ac:dyDescent="0.25">
      <c r="A21157" t="str">
        <f>"1310091D00101    00"</f>
        <v>1310091D00101    00</v>
      </c>
      <c r="B21157" t="s">
        <v>14191</v>
      </c>
      <c r="C21157" t="s">
        <v>45917</v>
      </c>
      <c r="D21157" t="s">
        <v>20</v>
      </c>
      <c r="E21157" t="s">
        <v>39</v>
      </c>
      <c r="F21157">
        <v>0</v>
      </c>
      <c r="G21157">
        <v>0</v>
      </c>
      <c r="H21157">
        <v>5</v>
      </c>
      <c r="I21157" s="3">
        <v>149.76</v>
      </c>
      <c r="J21157" s="3">
        <v>32.29</v>
      </c>
      <c r="M21157" t="s">
        <v>14193</v>
      </c>
      <c r="N21157" t="s">
        <v>14194</v>
      </c>
      <c r="O21157" t="s">
        <v>10362</v>
      </c>
      <c r="P21157" t="str">
        <f>"96808"</f>
        <v>96808</v>
      </c>
    </row>
    <row r="21158" spans="1:16" x14ac:dyDescent="0.25">
      <c r="A21158" t="str">
        <f>"1310091E00023    00"</f>
        <v>1310091E00023    00</v>
      </c>
      <c r="B21158" t="s">
        <v>45920</v>
      </c>
      <c r="C21158" t="s">
        <v>45921</v>
      </c>
      <c r="D21158" t="s">
        <v>20</v>
      </c>
      <c r="E21158" t="s">
        <v>39</v>
      </c>
      <c r="F21158">
        <v>0</v>
      </c>
      <c r="G21158">
        <v>0</v>
      </c>
      <c r="H21158">
        <v>19</v>
      </c>
      <c r="I21158" s="3">
        <v>24554.71</v>
      </c>
      <c r="J21158" s="3">
        <v>22704.69</v>
      </c>
      <c r="K21158" t="s">
        <v>45922</v>
      </c>
      <c r="L21158">
        <v>777</v>
      </c>
      <c r="M21158" t="s">
        <v>11986</v>
      </c>
      <c r="N21158" t="s">
        <v>21130</v>
      </c>
      <c r="O21158" t="s">
        <v>31</v>
      </c>
      <c r="P21158" t="str">
        <f>"15120"</f>
        <v>15120</v>
      </c>
    </row>
    <row r="21159" spans="1:16" x14ac:dyDescent="0.25">
      <c r="A21159" t="str">
        <f>"1310091E00180    00"</f>
        <v>1310091E00180    00</v>
      </c>
      <c r="B21159" t="s">
        <v>45923</v>
      </c>
      <c r="C21159" t="s">
        <v>45924</v>
      </c>
      <c r="D21159" t="s">
        <v>20</v>
      </c>
      <c r="E21159" t="s">
        <v>39</v>
      </c>
      <c r="F21159">
        <v>0</v>
      </c>
      <c r="G21159">
        <v>0</v>
      </c>
      <c r="H21159">
        <v>19</v>
      </c>
      <c r="I21159" s="3">
        <v>6039.92</v>
      </c>
      <c r="J21159" s="3">
        <v>5884.11</v>
      </c>
      <c r="L21159">
        <v>215</v>
      </c>
      <c r="M21159" t="s">
        <v>26132</v>
      </c>
      <c r="N21159" t="s">
        <v>285</v>
      </c>
      <c r="O21159" t="s">
        <v>31</v>
      </c>
      <c r="P21159" t="str">
        <f>"15120"</f>
        <v>15120</v>
      </c>
    </row>
    <row r="21160" spans="1:16" x14ac:dyDescent="0.25">
      <c r="A21160" t="str">
        <f>"1310091E00181    00"</f>
        <v>1310091E00181    00</v>
      </c>
      <c r="B21160" t="s">
        <v>45925</v>
      </c>
      <c r="C21160" t="s">
        <v>45924</v>
      </c>
      <c r="D21160" t="s">
        <v>20</v>
      </c>
      <c r="E21160" t="s">
        <v>39</v>
      </c>
      <c r="F21160">
        <v>0</v>
      </c>
      <c r="G21160">
        <v>0</v>
      </c>
      <c r="H21160">
        <v>18</v>
      </c>
      <c r="I21160" s="3">
        <v>5035.71</v>
      </c>
      <c r="J21160" s="3">
        <v>4763.18</v>
      </c>
      <c r="K21160" t="s">
        <v>45926</v>
      </c>
      <c r="L21160">
        <v>3230</v>
      </c>
      <c r="M21160" t="s">
        <v>45927</v>
      </c>
      <c r="N21160" t="s">
        <v>45928</v>
      </c>
      <c r="O21160" t="s">
        <v>70</v>
      </c>
      <c r="P21160" t="str">
        <f>"49684"</f>
        <v>49684</v>
      </c>
    </row>
    <row r="21161" spans="1:16" x14ac:dyDescent="0.25">
      <c r="A21161" t="str">
        <f>"1310091E00187    00"</f>
        <v>1310091E00187    00</v>
      </c>
      <c r="B21161" t="s">
        <v>45925</v>
      </c>
      <c r="C21161" t="s">
        <v>45924</v>
      </c>
      <c r="D21161" t="s">
        <v>20</v>
      </c>
      <c r="E21161" t="s">
        <v>39</v>
      </c>
      <c r="F21161">
        <v>0</v>
      </c>
      <c r="G21161">
        <v>0</v>
      </c>
      <c r="H21161">
        <v>18</v>
      </c>
      <c r="I21161" s="3">
        <v>6960.6</v>
      </c>
      <c r="J21161" s="3">
        <v>6968.98</v>
      </c>
      <c r="K21161" t="s">
        <v>45929</v>
      </c>
      <c r="L21161">
        <v>3230</v>
      </c>
      <c r="M21161" t="s">
        <v>45927</v>
      </c>
      <c r="N21161" t="s">
        <v>45928</v>
      </c>
      <c r="O21161" t="s">
        <v>70</v>
      </c>
      <c r="P21161" t="str">
        <f>"49684"</f>
        <v>49684</v>
      </c>
    </row>
    <row r="21162" spans="1:16" x14ac:dyDescent="0.25">
      <c r="A21162" t="str">
        <f>"1310091E00195    00"</f>
        <v>1310091E00195    00</v>
      </c>
      <c r="B21162" t="s">
        <v>45930</v>
      </c>
      <c r="C21162" t="s">
        <v>45924</v>
      </c>
      <c r="D21162" t="s">
        <v>20</v>
      </c>
      <c r="E21162" t="s">
        <v>39</v>
      </c>
      <c r="F21162">
        <v>0</v>
      </c>
      <c r="G21162">
        <v>0</v>
      </c>
      <c r="H21162">
        <v>5</v>
      </c>
      <c r="I21162" s="3">
        <v>1516.69</v>
      </c>
      <c r="J21162" s="3">
        <v>262.02999999999997</v>
      </c>
      <c r="L21162">
        <v>1532</v>
      </c>
      <c r="M21162" t="s">
        <v>45931</v>
      </c>
      <c r="N21162" t="s">
        <v>2943</v>
      </c>
      <c r="O21162" t="s">
        <v>31</v>
      </c>
      <c r="P21162" t="str">
        <f>"15025"</f>
        <v>15025</v>
      </c>
    </row>
    <row r="21163" spans="1:16" x14ac:dyDescent="0.25">
      <c r="A21163" t="str">
        <f>"1310091F00002    00"</f>
        <v>1310091F00002    00</v>
      </c>
      <c r="B21163" t="s">
        <v>45904</v>
      </c>
      <c r="C21163" t="s">
        <v>45932</v>
      </c>
      <c r="D21163" t="s">
        <v>20</v>
      </c>
      <c r="E21163" t="s">
        <v>21</v>
      </c>
      <c r="F21163">
        <v>0</v>
      </c>
      <c r="G21163">
        <v>0</v>
      </c>
      <c r="H21163">
        <v>1</v>
      </c>
      <c r="I21163" s="3">
        <v>60.99</v>
      </c>
      <c r="J21163" s="3">
        <v>0</v>
      </c>
      <c r="M21163" t="s">
        <v>45906</v>
      </c>
      <c r="N21163" t="s">
        <v>285</v>
      </c>
      <c r="O21163" t="s">
        <v>31</v>
      </c>
      <c r="P21163" t="str">
        <f t="shared" ref="P21163:P21168" si="264">"15120"</f>
        <v>15120</v>
      </c>
    </row>
    <row r="21164" spans="1:16" x14ac:dyDescent="0.25">
      <c r="A21164" t="str">
        <f>"1310091F00005    01"</f>
        <v>1310091F00005    01</v>
      </c>
      <c r="B21164" t="s">
        <v>45904</v>
      </c>
      <c r="C21164" t="s">
        <v>45932</v>
      </c>
      <c r="D21164" t="s">
        <v>20</v>
      </c>
      <c r="E21164" t="s">
        <v>21</v>
      </c>
      <c r="F21164">
        <v>0</v>
      </c>
      <c r="G21164">
        <v>0</v>
      </c>
      <c r="H21164">
        <v>1</v>
      </c>
      <c r="I21164" s="3">
        <v>30.31</v>
      </c>
      <c r="J21164" s="3">
        <v>0</v>
      </c>
      <c r="M21164" t="s">
        <v>45906</v>
      </c>
      <c r="N21164" t="s">
        <v>285</v>
      </c>
      <c r="O21164" t="s">
        <v>31</v>
      </c>
      <c r="P21164" t="str">
        <f t="shared" si="264"/>
        <v>15120</v>
      </c>
    </row>
    <row r="21165" spans="1:16" x14ac:dyDescent="0.25">
      <c r="A21165" t="str">
        <f>"1310091F00008    00"</f>
        <v>1310091F00008    00</v>
      </c>
      <c r="B21165" t="s">
        <v>45904</v>
      </c>
      <c r="C21165" t="s">
        <v>45932</v>
      </c>
      <c r="D21165" t="s">
        <v>20</v>
      </c>
      <c r="E21165" t="s">
        <v>39</v>
      </c>
      <c r="F21165">
        <v>0</v>
      </c>
      <c r="G21165">
        <v>0</v>
      </c>
      <c r="H21165">
        <v>1</v>
      </c>
      <c r="I21165" s="3">
        <v>116.28</v>
      </c>
      <c r="J21165" s="3">
        <v>0</v>
      </c>
      <c r="M21165" t="s">
        <v>45906</v>
      </c>
      <c r="N21165" t="s">
        <v>285</v>
      </c>
      <c r="O21165" t="s">
        <v>31</v>
      </c>
      <c r="P21165" t="str">
        <f t="shared" si="264"/>
        <v>15120</v>
      </c>
    </row>
    <row r="21166" spans="1:16" x14ac:dyDescent="0.25">
      <c r="A21166" t="str">
        <f>"1310091F00011    00"</f>
        <v>1310091F00011    00</v>
      </c>
      <c r="B21166" t="s">
        <v>45904</v>
      </c>
      <c r="C21166" t="s">
        <v>45933</v>
      </c>
      <c r="D21166" t="s">
        <v>20</v>
      </c>
      <c r="E21166" t="s">
        <v>39</v>
      </c>
      <c r="F21166">
        <v>0</v>
      </c>
      <c r="G21166">
        <v>0</v>
      </c>
      <c r="H21166">
        <v>1</v>
      </c>
      <c r="I21166" s="3">
        <v>116.28</v>
      </c>
      <c r="J21166" s="3">
        <v>0</v>
      </c>
      <c r="M21166" t="s">
        <v>45906</v>
      </c>
      <c r="N21166" t="s">
        <v>285</v>
      </c>
      <c r="O21166" t="s">
        <v>31</v>
      </c>
      <c r="P21166" t="str">
        <f t="shared" si="264"/>
        <v>15120</v>
      </c>
    </row>
    <row r="21167" spans="1:16" x14ac:dyDescent="0.25">
      <c r="A21167" t="str">
        <f>"1310091F00051    00"</f>
        <v>1310091F00051    00</v>
      </c>
      <c r="B21167" t="s">
        <v>45934</v>
      </c>
      <c r="C21167" t="s">
        <v>45935</v>
      </c>
      <c r="D21167" t="s">
        <v>20</v>
      </c>
      <c r="E21167" t="s">
        <v>39</v>
      </c>
      <c r="F21167">
        <v>0</v>
      </c>
      <c r="G21167">
        <v>0</v>
      </c>
      <c r="H21167">
        <v>19</v>
      </c>
      <c r="I21167" s="3">
        <v>8958.01</v>
      </c>
      <c r="J21167" s="3">
        <v>8840.35</v>
      </c>
      <c r="K21167" t="s">
        <v>45936</v>
      </c>
      <c r="L21167">
        <v>939</v>
      </c>
      <c r="M21167" t="s">
        <v>45937</v>
      </c>
      <c r="N21167" t="s">
        <v>45938</v>
      </c>
      <c r="O21167" t="s">
        <v>31</v>
      </c>
      <c r="P21167" t="str">
        <f t="shared" si="264"/>
        <v>15120</v>
      </c>
    </row>
    <row r="21168" spans="1:16" x14ac:dyDescent="0.25">
      <c r="A21168" t="str">
        <f>"1310091F00134    00"</f>
        <v>1310091F00134    00</v>
      </c>
      <c r="B21168" t="s">
        <v>45939</v>
      </c>
      <c r="C21168" t="s">
        <v>45940</v>
      </c>
      <c r="D21168" t="s">
        <v>20</v>
      </c>
      <c r="E21168" t="s">
        <v>39</v>
      </c>
      <c r="F21168">
        <v>0</v>
      </c>
      <c r="G21168">
        <v>0</v>
      </c>
      <c r="H21168">
        <v>15</v>
      </c>
      <c r="I21168" s="3">
        <v>15900.62</v>
      </c>
      <c r="J21168" s="3">
        <v>10933.46</v>
      </c>
      <c r="L21168">
        <v>525</v>
      </c>
      <c r="M21168" t="s">
        <v>45941</v>
      </c>
      <c r="N21168" t="s">
        <v>285</v>
      </c>
      <c r="O21168" t="s">
        <v>31</v>
      </c>
      <c r="P21168" t="str">
        <f t="shared" si="264"/>
        <v>15120</v>
      </c>
    </row>
    <row r="21169" spans="1:16" x14ac:dyDescent="0.25">
      <c r="A21169" t="str">
        <f>"1310091F00149    00"</f>
        <v>1310091F00149    00</v>
      </c>
      <c r="B21169" t="s">
        <v>45942</v>
      </c>
      <c r="C21169" t="s">
        <v>45943</v>
      </c>
      <c r="D21169" t="s">
        <v>20</v>
      </c>
      <c r="E21169" t="s">
        <v>39</v>
      </c>
      <c r="F21169">
        <v>0</v>
      </c>
      <c r="G21169">
        <v>0</v>
      </c>
      <c r="H21169">
        <v>17</v>
      </c>
      <c r="I21169" s="3">
        <v>269.01</v>
      </c>
      <c r="J21169" s="3">
        <v>183.57</v>
      </c>
      <c r="L21169">
        <v>304</v>
      </c>
      <c r="M21169" t="s">
        <v>45944</v>
      </c>
      <c r="N21169" t="s">
        <v>10447</v>
      </c>
      <c r="O21169" t="s">
        <v>200</v>
      </c>
      <c r="P21169" t="str">
        <f>"10451"</f>
        <v>10451</v>
      </c>
    </row>
    <row r="21170" spans="1:16" x14ac:dyDescent="0.25">
      <c r="A21170" t="str">
        <f>"1310091F00171    00"</f>
        <v>1310091F00171    00</v>
      </c>
      <c r="B21170" t="s">
        <v>45945</v>
      </c>
      <c r="C21170" t="s">
        <v>45840</v>
      </c>
      <c r="D21170" t="s">
        <v>20</v>
      </c>
      <c r="E21170" t="s">
        <v>39</v>
      </c>
      <c r="F21170">
        <v>0</v>
      </c>
      <c r="G21170">
        <v>0</v>
      </c>
      <c r="H21170">
        <v>19</v>
      </c>
      <c r="I21170" s="3">
        <v>778.89</v>
      </c>
      <c r="J21170" s="3">
        <v>681.64</v>
      </c>
      <c r="L21170">
        <v>1211</v>
      </c>
      <c r="M21170" t="s">
        <v>34570</v>
      </c>
      <c r="N21170" t="s">
        <v>22865</v>
      </c>
      <c r="O21170" t="s">
        <v>9696</v>
      </c>
      <c r="P21170" t="str">
        <f>"47129"</f>
        <v>47129</v>
      </c>
    </row>
    <row r="21171" spans="1:16" x14ac:dyDescent="0.25">
      <c r="A21171" t="str">
        <f>"1310091G00072    00"</f>
        <v>1310091G00072    00</v>
      </c>
      <c r="B21171" t="s">
        <v>45904</v>
      </c>
      <c r="C21171" t="s">
        <v>45905</v>
      </c>
      <c r="D21171" t="s">
        <v>20</v>
      </c>
      <c r="E21171" t="s">
        <v>21</v>
      </c>
      <c r="F21171">
        <v>0</v>
      </c>
      <c r="G21171">
        <v>0</v>
      </c>
      <c r="H21171">
        <v>1</v>
      </c>
      <c r="I21171" s="3">
        <v>70.53</v>
      </c>
      <c r="J21171" s="3">
        <v>0</v>
      </c>
      <c r="M21171" t="s">
        <v>45906</v>
      </c>
      <c r="N21171" t="s">
        <v>285</v>
      </c>
      <c r="O21171" t="s">
        <v>31</v>
      </c>
      <c r="P21171" t="str">
        <f>"15120"</f>
        <v>15120</v>
      </c>
    </row>
    <row r="21172" spans="1:16" x14ac:dyDescent="0.25">
      <c r="A21172" t="str">
        <f>"1310091G00098    00"</f>
        <v>1310091G00098    00</v>
      </c>
      <c r="B21172" t="s">
        <v>45946</v>
      </c>
      <c r="C21172" t="s">
        <v>45933</v>
      </c>
      <c r="D21172" t="s">
        <v>20</v>
      </c>
      <c r="E21172" t="s">
        <v>39</v>
      </c>
      <c r="F21172">
        <v>0</v>
      </c>
      <c r="G21172">
        <v>0</v>
      </c>
      <c r="H21172">
        <v>19</v>
      </c>
      <c r="I21172" s="3">
        <v>4144.58</v>
      </c>
      <c r="J21172" s="3">
        <v>3441.56</v>
      </c>
      <c r="K21172" t="s">
        <v>1008</v>
      </c>
      <c r="P21172" t="str">
        <f>""</f>
        <v/>
      </c>
    </row>
    <row r="21173" spans="1:16" x14ac:dyDescent="0.25">
      <c r="A21173" t="str">
        <f>"1310091G00100    00"</f>
        <v>1310091G00100    00</v>
      </c>
      <c r="B21173" t="s">
        <v>45946</v>
      </c>
      <c r="C21173" t="s">
        <v>45933</v>
      </c>
      <c r="D21173" t="s">
        <v>20</v>
      </c>
      <c r="E21173" t="s">
        <v>39</v>
      </c>
      <c r="F21173">
        <v>0</v>
      </c>
      <c r="G21173">
        <v>0</v>
      </c>
      <c r="H21173">
        <v>19</v>
      </c>
      <c r="I21173" s="3">
        <v>3896</v>
      </c>
      <c r="J21173" s="3">
        <v>3181.47</v>
      </c>
      <c r="K21173" t="s">
        <v>1008</v>
      </c>
      <c r="P21173" t="str">
        <f>""</f>
        <v/>
      </c>
    </row>
    <row r="21174" spans="1:16" x14ac:dyDescent="0.25">
      <c r="A21174" t="str">
        <f>"1310091G00101    00"</f>
        <v>1310091G00101    00</v>
      </c>
      <c r="B21174" t="s">
        <v>45946</v>
      </c>
      <c r="C21174" t="s">
        <v>45933</v>
      </c>
      <c r="D21174" t="s">
        <v>20</v>
      </c>
      <c r="E21174" t="s">
        <v>39</v>
      </c>
      <c r="F21174">
        <v>0</v>
      </c>
      <c r="G21174">
        <v>0</v>
      </c>
      <c r="H21174">
        <v>19</v>
      </c>
      <c r="I21174" s="3">
        <v>886.28</v>
      </c>
      <c r="J21174" s="3">
        <v>516.95000000000005</v>
      </c>
      <c r="K21174" t="s">
        <v>1008</v>
      </c>
      <c r="P21174" t="str">
        <f>""</f>
        <v/>
      </c>
    </row>
    <row r="21175" spans="1:16" x14ac:dyDescent="0.25">
      <c r="A21175" t="str">
        <f>"1310091G00115    00"</f>
        <v>1310091G00115    00</v>
      </c>
      <c r="B21175" t="s">
        <v>45947</v>
      </c>
      <c r="C21175" t="s">
        <v>45933</v>
      </c>
      <c r="D21175" t="s">
        <v>20</v>
      </c>
      <c r="E21175" t="s">
        <v>39</v>
      </c>
      <c r="F21175">
        <v>0</v>
      </c>
      <c r="G21175">
        <v>0</v>
      </c>
      <c r="H21175">
        <v>9</v>
      </c>
      <c r="I21175" s="3">
        <v>1017.57</v>
      </c>
      <c r="J21175" s="3">
        <v>385.29</v>
      </c>
      <c r="K21175" t="s">
        <v>45948</v>
      </c>
      <c r="L21175">
        <v>36</v>
      </c>
      <c r="M21175" t="s">
        <v>45949</v>
      </c>
      <c r="N21175" t="s">
        <v>30</v>
      </c>
      <c r="O21175" t="s">
        <v>31</v>
      </c>
      <c r="P21175" t="str">
        <f>"15221"</f>
        <v>15221</v>
      </c>
    </row>
    <row r="21176" spans="1:16" x14ac:dyDescent="0.25">
      <c r="A21176" t="str">
        <f>"1310091G00118    00"</f>
        <v>1310091G00118    00</v>
      </c>
      <c r="B21176" t="s">
        <v>45947</v>
      </c>
      <c r="C21176" t="s">
        <v>45950</v>
      </c>
      <c r="D21176" t="s">
        <v>20</v>
      </c>
      <c r="E21176" t="s">
        <v>39</v>
      </c>
      <c r="F21176">
        <v>0</v>
      </c>
      <c r="G21176">
        <v>0</v>
      </c>
      <c r="H21176">
        <v>14</v>
      </c>
      <c r="I21176" s="3">
        <v>2127.62</v>
      </c>
      <c r="J21176" s="3">
        <v>1129.6199999999999</v>
      </c>
      <c r="K21176" t="s">
        <v>45948</v>
      </c>
      <c r="M21176" t="s">
        <v>45937</v>
      </c>
      <c r="N21176" t="s">
        <v>285</v>
      </c>
      <c r="O21176" t="s">
        <v>31</v>
      </c>
      <c r="P21176" t="str">
        <f>"15120"</f>
        <v>15120</v>
      </c>
    </row>
    <row r="21177" spans="1:16" x14ac:dyDescent="0.25">
      <c r="A21177" t="str">
        <f>"1310091G00119    00"</f>
        <v>1310091G00119    00</v>
      </c>
      <c r="B21177" t="s">
        <v>45951</v>
      </c>
      <c r="C21177" t="s">
        <v>45950</v>
      </c>
      <c r="D21177" t="s">
        <v>20</v>
      </c>
      <c r="E21177" t="s">
        <v>39</v>
      </c>
      <c r="F21177">
        <v>0</v>
      </c>
      <c r="G21177">
        <v>0</v>
      </c>
      <c r="H21177">
        <v>18</v>
      </c>
      <c r="I21177" s="3">
        <v>1541.12</v>
      </c>
      <c r="J21177" s="3">
        <v>850.1</v>
      </c>
      <c r="L21177">
        <v>36</v>
      </c>
      <c r="M21177" t="s">
        <v>45949</v>
      </c>
      <c r="N21177" t="s">
        <v>30</v>
      </c>
      <c r="O21177" t="s">
        <v>31</v>
      </c>
      <c r="P21177" t="str">
        <f>"15221"</f>
        <v>15221</v>
      </c>
    </row>
    <row r="21178" spans="1:16" x14ac:dyDescent="0.25">
      <c r="A21178" t="str">
        <f>"1310091G00120    00"</f>
        <v>1310091G00120    00</v>
      </c>
      <c r="B21178" t="s">
        <v>45947</v>
      </c>
      <c r="C21178" t="s">
        <v>45952</v>
      </c>
      <c r="D21178" t="s">
        <v>20</v>
      </c>
      <c r="E21178" t="s">
        <v>39</v>
      </c>
      <c r="F21178">
        <v>0</v>
      </c>
      <c r="G21178">
        <v>0</v>
      </c>
      <c r="H21178">
        <v>15</v>
      </c>
      <c r="I21178" s="3">
        <v>1925.65</v>
      </c>
      <c r="J21178" s="3">
        <v>1346.6</v>
      </c>
      <c r="K21178" t="s">
        <v>45948</v>
      </c>
      <c r="M21178" t="s">
        <v>45937</v>
      </c>
      <c r="N21178" t="s">
        <v>285</v>
      </c>
      <c r="O21178" t="s">
        <v>31</v>
      </c>
      <c r="P21178" t="str">
        <f>"15120"</f>
        <v>15120</v>
      </c>
    </row>
    <row r="21179" spans="1:16" x14ac:dyDescent="0.25">
      <c r="A21179" t="str">
        <f>"1310091G00155    00"</f>
        <v>1310091G00155    00</v>
      </c>
      <c r="B21179" t="s">
        <v>45953</v>
      </c>
      <c r="C21179" t="s">
        <v>45954</v>
      </c>
      <c r="E21179" t="s">
        <v>39</v>
      </c>
      <c r="F21179">
        <v>0</v>
      </c>
      <c r="G21179">
        <v>0</v>
      </c>
      <c r="H21179">
        <v>1</v>
      </c>
      <c r="I21179" s="3">
        <v>247.82</v>
      </c>
      <c r="J21179" s="3">
        <v>68.150000000000006</v>
      </c>
      <c r="L21179">
        <v>956</v>
      </c>
      <c r="M21179" t="s">
        <v>45937</v>
      </c>
      <c r="N21179" t="s">
        <v>285</v>
      </c>
      <c r="O21179" t="s">
        <v>31</v>
      </c>
      <c r="P21179" t="str">
        <f>"15120"</f>
        <v>15120</v>
      </c>
    </row>
    <row r="21180" spans="1:16" x14ac:dyDescent="0.25">
      <c r="A21180" t="str">
        <f>"1310091G00192    00"</f>
        <v>1310091G00192    00</v>
      </c>
      <c r="B21180" t="s">
        <v>45955</v>
      </c>
      <c r="C21180" t="s">
        <v>45871</v>
      </c>
      <c r="D21180" t="s">
        <v>20</v>
      </c>
      <c r="E21180" t="s">
        <v>39</v>
      </c>
      <c r="F21180">
        <v>0</v>
      </c>
      <c r="G21180">
        <v>0</v>
      </c>
      <c r="H21180">
        <v>19</v>
      </c>
      <c r="I21180" s="3">
        <v>2860.15</v>
      </c>
      <c r="J21180" s="3">
        <v>1684.98</v>
      </c>
      <c r="K21180" t="s">
        <v>1037</v>
      </c>
      <c r="L21180">
        <v>410</v>
      </c>
      <c r="M21180" t="s">
        <v>18283</v>
      </c>
      <c r="N21180" t="s">
        <v>30</v>
      </c>
      <c r="O21180" t="s">
        <v>31</v>
      </c>
      <c r="P21180" t="str">
        <f>"15207"</f>
        <v>15207</v>
      </c>
    </row>
    <row r="21181" spans="1:16" x14ac:dyDescent="0.25">
      <c r="A21181" t="str">
        <f>"1310091G00197    00"</f>
        <v>1310091G00197    00</v>
      </c>
      <c r="B21181" t="s">
        <v>45956</v>
      </c>
      <c r="C21181" t="s">
        <v>45871</v>
      </c>
      <c r="D21181" t="s">
        <v>20</v>
      </c>
      <c r="E21181" t="s">
        <v>39</v>
      </c>
      <c r="F21181">
        <v>0</v>
      </c>
      <c r="G21181">
        <v>0</v>
      </c>
      <c r="H21181">
        <v>19</v>
      </c>
      <c r="I21181" s="3">
        <v>257.02999999999997</v>
      </c>
      <c r="J21181" s="3">
        <v>194.1</v>
      </c>
      <c r="K21181" t="s">
        <v>45957</v>
      </c>
      <c r="M21181" t="s">
        <v>45958</v>
      </c>
      <c r="N21181" t="s">
        <v>30</v>
      </c>
      <c r="O21181" t="s">
        <v>31</v>
      </c>
      <c r="P21181" t="str">
        <f>"15230"</f>
        <v>15230</v>
      </c>
    </row>
    <row r="21182" spans="1:16" x14ac:dyDescent="0.25">
      <c r="A21182" t="str">
        <f>"1310091H00001    00"</f>
        <v>1310091H00001    00</v>
      </c>
      <c r="B21182" t="s">
        <v>45959</v>
      </c>
      <c r="C21182" t="s">
        <v>45917</v>
      </c>
      <c r="D21182" t="s">
        <v>20</v>
      </c>
      <c r="E21182" t="s">
        <v>21</v>
      </c>
      <c r="F21182">
        <v>0</v>
      </c>
      <c r="G21182">
        <v>0</v>
      </c>
      <c r="H21182">
        <v>4</v>
      </c>
      <c r="I21182" s="3">
        <v>165.96</v>
      </c>
      <c r="J21182" s="3">
        <v>20.440000000000001</v>
      </c>
      <c r="L21182">
        <v>130</v>
      </c>
      <c r="M21182" t="s">
        <v>45960</v>
      </c>
      <c r="N21182" t="s">
        <v>285</v>
      </c>
      <c r="O21182" t="s">
        <v>31</v>
      </c>
      <c r="P21182" t="str">
        <f>"15120"</f>
        <v>15120</v>
      </c>
    </row>
    <row r="21183" spans="1:16" x14ac:dyDescent="0.25">
      <c r="A21183" t="str">
        <f>"1310091J00010    00"</f>
        <v>1310091J00010    00</v>
      </c>
      <c r="B21183" t="s">
        <v>7003</v>
      </c>
      <c r="C21183" t="s">
        <v>45961</v>
      </c>
      <c r="D21183" t="s">
        <v>20</v>
      </c>
      <c r="E21183" t="s">
        <v>21</v>
      </c>
      <c r="F21183">
        <v>0</v>
      </c>
      <c r="G21183">
        <v>0</v>
      </c>
      <c r="H21183">
        <v>19</v>
      </c>
      <c r="I21183" s="3">
        <v>283.23</v>
      </c>
      <c r="J21183" s="3">
        <v>169.18</v>
      </c>
      <c r="L21183">
        <v>500</v>
      </c>
      <c r="M21183" t="s">
        <v>7004</v>
      </c>
      <c r="N21183" t="s">
        <v>6603</v>
      </c>
      <c r="O21183" t="s">
        <v>31</v>
      </c>
      <c r="P21183" t="str">
        <f>"15122"</f>
        <v>15122</v>
      </c>
    </row>
    <row r="21184" spans="1:16" x14ac:dyDescent="0.25">
      <c r="A21184" t="str">
        <f>"1310091J00018    00"</f>
        <v>1310091J00018    00</v>
      </c>
      <c r="B21184" t="s">
        <v>45962</v>
      </c>
      <c r="C21184" t="s">
        <v>45963</v>
      </c>
      <c r="D21184" t="s">
        <v>20</v>
      </c>
      <c r="E21184" t="s">
        <v>39</v>
      </c>
      <c r="F21184">
        <v>0</v>
      </c>
      <c r="G21184">
        <v>0</v>
      </c>
      <c r="H21184">
        <v>2</v>
      </c>
      <c r="I21184" s="3">
        <v>1906.04</v>
      </c>
      <c r="J21184" s="3">
        <v>0</v>
      </c>
      <c r="L21184">
        <v>3322</v>
      </c>
      <c r="M21184" t="s">
        <v>9319</v>
      </c>
      <c r="N21184" t="s">
        <v>285</v>
      </c>
      <c r="O21184" t="s">
        <v>31</v>
      </c>
      <c r="P21184" t="str">
        <f>"15120"</f>
        <v>15120</v>
      </c>
    </row>
    <row r="21185" spans="1:16" x14ac:dyDescent="0.25">
      <c r="A21185" t="str">
        <f>"1310091J00032    00"</f>
        <v>1310091J00032    00</v>
      </c>
      <c r="B21185" t="s">
        <v>45964</v>
      </c>
      <c r="C21185" t="s">
        <v>45965</v>
      </c>
      <c r="D21185" t="s">
        <v>20</v>
      </c>
      <c r="E21185" t="s">
        <v>39</v>
      </c>
      <c r="F21185">
        <v>0</v>
      </c>
      <c r="G21185">
        <v>0</v>
      </c>
      <c r="H21185">
        <v>9</v>
      </c>
      <c r="I21185" s="3">
        <v>7651.1</v>
      </c>
      <c r="J21185" s="3">
        <v>2963.4</v>
      </c>
      <c r="L21185">
        <v>414</v>
      </c>
      <c r="M21185" t="s">
        <v>29886</v>
      </c>
      <c r="N21185" t="s">
        <v>30</v>
      </c>
      <c r="O21185" t="s">
        <v>31</v>
      </c>
      <c r="P21185" t="str">
        <f>"15207"</f>
        <v>15207</v>
      </c>
    </row>
    <row r="21186" spans="1:16" x14ac:dyDescent="0.25">
      <c r="A21186" t="str">
        <f>"1310091J00233    00"</f>
        <v>1310091J00233    00</v>
      </c>
      <c r="B21186" t="s">
        <v>45925</v>
      </c>
      <c r="C21186" t="s">
        <v>45966</v>
      </c>
      <c r="D21186" t="s">
        <v>20</v>
      </c>
      <c r="E21186" t="s">
        <v>39</v>
      </c>
      <c r="F21186">
        <v>0</v>
      </c>
      <c r="G21186">
        <v>0</v>
      </c>
      <c r="H21186">
        <v>18</v>
      </c>
      <c r="I21186" s="3">
        <v>5012.8900000000003</v>
      </c>
      <c r="J21186" s="3">
        <v>4667.38</v>
      </c>
      <c r="K21186" t="s">
        <v>45929</v>
      </c>
      <c r="L21186">
        <v>3230</v>
      </c>
      <c r="M21186" t="s">
        <v>45927</v>
      </c>
      <c r="N21186" t="s">
        <v>45928</v>
      </c>
      <c r="O21186" t="s">
        <v>70</v>
      </c>
      <c r="P21186" t="str">
        <f>"49684"</f>
        <v>49684</v>
      </c>
    </row>
    <row r="21187" spans="1:16" x14ac:dyDescent="0.25">
      <c r="A21187" t="str">
        <f>"1310091J00246    00"</f>
        <v>1310091J00246    00</v>
      </c>
      <c r="B21187" t="s">
        <v>45925</v>
      </c>
      <c r="C21187" t="s">
        <v>45967</v>
      </c>
      <c r="D21187" t="s">
        <v>20</v>
      </c>
      <c r="E21187" t="s">
        <v>39</v>
      </c>
      <c r="F21187">
        <v>0</v>
      </c>
      <c r="G21187">
        <v>0</v>
      </c>
      <c r="H21187">
        <v>18</v>
      </c>
      <c r="I21187" s="3">
        <v>4924.43</v>
      </c>
      <c r="J21187" s="3">
        <v>4558.1099999999997</v>
      </c>
      <c r="K21187" t="s">
        <v>45929</v>
      </c>
      <c r="L21187">
        <v>3230</v>
      </c>
      <c r="M21187" t="s">
        <v>45927</v>
      </c>
      <c r="N21187" t="s">
        <v>45928</v>
      </c>
      <c r="O21187" t="s">
        <v>70</v>
      </c>
      <c r="P21187" t="str">
        <f>"49684"</f>
        <v>49684</v>
      </c>
    </row>
    <row r="21188" spans="1:16" x14ac:dyDescent="0.25">
      <c r="A21188" t="str">
        <f>"1310091J00247    00"</f>
        <v>1310091J00247    00</v>
      </c>
      <c r="B21188" t="s">
        <v>45968</v>
      </c>
      <c r="C21188" t="s">
        <v>45969</v>
      </c>
      <c r="D21188" t="s">
        <v>20</v>
      </c>
      <c r="E21188" t="s">
        <v>39</v>
      </c>
      <c r="F21188">
        <v>0</v>
      </c>
      <c r="G21188">
        <v>0</v>
      </c>
      <c r="H21188">
        <v>19</v>
      </c>
      <c r="I21188" s="3">
        <v>11325.3</v>
      </c>
      <c r="J21188" s="3">
        <v>10942.68</v>
      </c>
      <c r="P21188" t="str">
        <f>""</f>
        <v/>
      </c>
    </row>
    <row r="21189" spans="1:16" x14ac:dyDescent="0.25">
      <c r="A21189" t="str">
        <f>"1310091J00340    00"</f>
        <v>1310091J00340    00</v>
      </c>
      <c r="B21189" t="s">
        <v>45925</v>
      </c>
      <c r="C21189" t="s">
        <v>45970</v>
      </c>
      <c r="D21189" t="s">
        <v>20</v>
      </c>
      <c r="E21189" t="s">
        <v>39</v>
      </c>
      <c r="F21189">
        <v>0</v>
      </c>
      <c r="G21189">
        <v>0</v>
      </c>
      <c r="H21189">
        <v>18</v>
      </c>
      <c r="I21189" s="3">
        <v>6318.27</v>
      </c>
      <c r="J21189" s="3">
        <v>6149.59</v>
      </c>
      <c r="K21189" t="s">
        <v>45929</v>
      </c>
      <c r="L21189">
        <v>3230</v>
      </c>
      <c r="M21189" t="s">
        <v>45927</v>
      </c>
      <c r="N21189" t="s">
        <v>45928</v>
      </c>
      <c r="O21189" t="s">
        <v>70</v>
      </c>
      <c r="P21189" t="str">
        <f>"49684"</f>
        <v>49684</v>
      </c>
    </row>
    <row r="21190" spans="1:16" x14ac:dyDescent="0.25">
      <c r="A21190" t="str">
        <f>"1310091J00349    00"</f>
        <v>1310091J00349    00</v>
      </c>
      <c r="B21190" t="s">
        <v>45968</v>
      </c>
      <c r="C21190" t="s">
        <v>45970</v>
      </c>
      <c r="D21190" t="s">
        <v>20</v>
      </c>
      <c r="E21190" t="s">
        <v>39</v>
      </c>
      <c r="F21190">
        <v>0</v>
      </c>
      <c r="G21190">
        <v>0</v>
      </c>
      <c r="H21190">
        <v>19</v>
      </c>
      <c r="I21190" s="3">
        <v>5156.8</v>
      </c>
      <c r="J21190" s="3">
        <v>4833.07</v>
      </c>
      <c r="P21190" t="str">
        <f>""</f>
        <v/>
      </c>
    </row>
    <row r="21191" spans="1:16" x14ac:dyDescent="0.25">
      <c r="A21191" t="str">
        <f>"1310091K00001    00"</f>
        <v>1310091K00001    00</v>
      </c>
      <c r="B21191" t="s">
        <v>45852</v>
      </c>
      <c r="C21191" t="s">
        <v>45871</v>
      </c>
      <c r="D21191" t="s">
        <v>20</v>
      </c>
      <c r="E21191" t="s">
        <v>39</v>
      </c>
      <c r="F21191">
        <v>0</v>
      </c>
      <c r="G21191">
        <v>0</v>
      </c>
      <c r="H21191">
        <v>11</v>
      </c>
      <c r="I21191" s="3">
        <v>2526.33</v>
      </c>
      <c r="J21191" s="3">
        <v>1212.68</v>
      </c>
      <c r="L21191">
        <v>710</v>
      </c>
      <c r="M21191" t="s">
        <v>45854</v>
      </c>
      <c r="N21191" t="s">
        <v>30</v>
      </c>
      <c r="O21191" t="s">
        <v>31</v>
      </c>
      <c r="P21191" t="str">
        <f>"15207"</f>
        <v>15207</v>
      </c>
    </row>
    <row r="21192" spans="1:16" x14ac:dyDescent="0.25">
      <c r="A21192" t="str">
        <f>"1310091K00004    00"</f>
        <v>1310091K00004    00</v>
      </c>
      <c r="B21192" t="s">
        <v>45852</v>
      </c>
      <c r="C21192" t="s">
        <v>45971</v>
      </c>
      <c r="D21192" t="s">
        <v>20</v>
      </c>
      <c r="E21192" t="s">
        <v>39</v>
      </c>
      <c r="F21192">
        <v>0</v>
      </c>
      <c r="G21192">
        <v>0</v>
      </c>
      <c r="H21192">
        <v>3</v>
      </c>
      <c r="I21192" s="3">
        <v>234.88</v>
      </c>
      <c r="J21192" s="3">
        <v>23.26</v>
      </c>
      <c r="L21192">
        <v>710</v>
      </c>
      <c r="M21192" t="s">
        <v>45854</v>
      </c>
      <c r="N21192" t="s">
        <v>30</v>
      </c>
      <c r="O21192" t="s">
        <v>31</v>
      </c>
      <c r="P21192" t="str">
        <f>"15207"</f>
        <v>15207</v>
      </c>
    </row>
    <row r="21193" spans="1:16" x14ac:dyDescent="0.25">
      <c r="A21193" t="str">
        <f>"1310091K00006    00"</f>
        <v>1310091K00006    00</v>
      </c>
      <c r="B21193" t="s">
        <v>45852</v>
      </c>
      <c r="C21193" t="s">
        <v>45972</v>
      </c>
      <c r="D21193" t="s">
        <v>20</v>
      </c>
      <c r="E21193" t="s">
        <v>39</v>
      </c>
      <c r="F21193">
        <v>0</v>
      </c>
      <c r="G21193">
        <v>0</v>
      </c>
      <c r="H21193">
        <v>8</v>
      </c>
      <c r="I21193" s="3">
        <v>3443.55</v>
      </c>
      <c r="J21193" s="3">
        <v>1041.73</v>
      </c>
      <c r="L21193">
        <v>710</v>
      </c>
      <c r="M21193" t="s">
        <v>45854</v>
      </c>
      <c r="N21193" t="s">
        <v>30</v>
      </c>
      <c r="O21193" t="s">
        <v>31</v>
      </c>
      <c r="P21193" t="str">
        <f>"15207"</f>
        <v>15207</v>
      </c>
    </row>
    <row r="21194" spans="1:16" x14ac:dyDescent="0.25">
      <c r="A21194" t="str">
        <f>"1310091K00007    00"</f>
        <v>1310091K00007    00</v>
      </c>
      <c r="B21194" t="s">
        <v>45973</v>
      </c>
      <c r="C21194" t="s">
        <v>45974</v>
      </c>
      <c r="D21194" t="s">
        <v>20</v>
      </c>
      <c r="E21194" t="s">
        <v>39</v>
      </c>
      <c r="F21194">
        <v>0</v>
      </c>
      <c r="G21194">
        <v>0</v>
      </c>
      <c r="H21194">
        <v>6</v>
      </c>
      <c r="I21194" s="3">
        <v>4529.9799999999996</v>
      </c>
      <c r="J21194" s="3">
        <v>1033.45</v>
      </c>
      <c r="L21194">
        <v>1007</v>
      </c>
      <c r="M21194" t="s">
        <v>45975</v>
      </c>
      <c r="N21194" t="s">
        <v>285</v>
      </c>
      <c r="O21194" t="s">
        <v>31</v>
      </c>
      <c r="P21194" t="str">
        <f>"15120"</f>
        <v>15120</v>
      </c>
    </row>
    <row r="21195" spans="1:16" x14ac:dyDescent="0.25">
      <c r="A21195" t="str">
        <f>"1310091K00011    00"</f>
        <v>1310091K00011    00</v>
      </c>
      <c r="B21195" t="s">
        <v>45976</v>
      </c>
      <c r="C21195" t="s">
        <v>45971</v>
      </c>
      <c r="D21195" t="s">
        <v>20</v>
      </c>
      <c r="E21195" t="s">
        <v>39</v>
      </c>
      <c r="F21195">
        <v>0</v>
      </c>
      <c r="G21195">
        <v>0</v>
      </c>
      <c r="H21195">
        <v>13</v>
      </c>
      <c r="I21195" s="3">
        <v>2889.9</v>
      </c>
      <c r="J21195" s="3">
        <v>1654.98</v>
      </c>
      <c r="L21195">
        <v>112</v>
      </c>
      <c r="M21195" t="s">
        <v>45977</v>
      </c>
      <c r="N21195" t="s">
        <v>27292</v>
      </c>
      <c r="O21195" t="s">
        <v>31</v>
      </c>
      <c r="P21195" t="str">
        <f>"15425"</f>
        <v>15425</v>
      </c>
    </row>
    <row r="21196" spans="1:16" x14ac:dyDescent="0.25">
      <c r="A21196" t="str">
        <f>"1310091K00113    00"</f>
        <v>1310091K00113    00</v>
      </c>
      <c r="B21196" t="s">
        <v>45978</v>
      </c>
      <c r="C21196" t="s">
        <v>45979</v>
      </c>
      <c r="D21196" t="s">
        <v>20</v>
      </c>
      <c r="E21196" t="s">
        <v>39</v>
      </c>
      <c r="F21196">
        <v>0</v>
      </c>
      <c r="G21196">
        <v>0</v>
      </c>
      <c r="H21196">
        <v>17</v>
      </c>
      <c r="I21196" s="3">
        <v>5648.31</v>
      </c>
      <c r="J21196" s="3">
        <v>4689.67</v>
      </c>
      <c r="L21196">
        <v>4821</v>
      </c>
      <c r="M21196" t="s">
        <v>45980</v>
      </c>
      <c r="N21196" t="s">
        <v>6603</v>
      </c>
      <c r="O21196" t="s">
        <v>31</v>
      </c>
      <c r="P21196" t="str">
        <f>"15122"</f>
        <v>15122</v>
      </c>
    </row>
    <row r="21197" spans="1:16" x14ac:dyDescent="0.25">
      <c r="A21197" t="str">
        <f>"1310091K00142    00"</f>
        <v>1310091K00142    00</v>
      </c>
      <c r="B21197" t="s">
        <v>45968</v>
      </c>
      <c r="C21197" t="s">
        <v>45924</v>
      </c>
      <c r="D21197" t="s">
        <v>20</v>
      </c>
      <c r="E21197" t="s">
        <v>39</v>
      </c>
      <c r="F21197">
        <v>0</v>
      </c>
      <c r="G21197">
        <v>0</v>
      </c>
      <c r="H21197">
        <v>19</v>
      </c>
      <c r="I21197" s="3">
        <v>4377.1499999999996</v>
      </c>
      <c r="J21197" s="3">
        <v>3407.81</v>
      </c>
      <c r="P21197" t="str">
        <f>""</f>
        <v/>
      </c>
    </row>
    <row r="21198" spans="1:16" x14ac:dyDescent="0.25">
      <c r="A21198" t="str">
        <f>"1310091K00148    00"</f>
        <v>1310091K00148    00</v>
      </c>
      <c r="B21198" t="s">
        <v>45981</v>
      </c>
      <c r="C21198" t="s">
        <v>45982</v>
      </c>
      <c r="D21198" t="s">
        <v>20</v>
      </c>
      <c r="E21198" t="s">
        <v>39</v>
      </c>
      <c r="F21198">
        <v>0</v>
      </c>
      <c r="G21198">
        <v>0</v>
      </c>
      <c r="H21198">
        <v>5</v>
      </c>
      <c r="I21198" s="3">
        <v>1121.01</v>
      </c>
      <c r="J21198" s="3">
        <v>193.67</v>
      </c>
      <c r="K21198" t="s">
        <v>45983</v>
      </c>
      <c r="M21198" t="s">
        <v>3450</v>
      </c>
      <c r="P21198" t="str">
        <f>""</f>
        <v/>
      </c>
    </row>
    <row r="21199" spans="1:16" x14ac:dyDescent="0.25">
      <c r="A21199" t="str">
        <f>"1310091K00170    00"</f>
        <v>1310091K00170    00</v>
      </c>
      <c r="B21199" t="s">
        <v>45984</v>
      </c>
      <c r="C21199" t="s">
        <v>45985</v>
      </c>
      <c r="D21199" t="s">
        <v>20</v>
      </c>
      <c r="E21199" t="s">
        <v>39</v>
      </c>
      <c r="F21199">
        <v>0</v>
      </c>
      <c r="G21199">
        <v>0</v>
      </c>
      <c r="H21199">
        <v>9</v>
      </c>
      <c r="I21199" s="3">
        <v>6119.46</v>
      </c>
      <c r="J21199" s="3">
        <v>2379.27</v>
      </c>
      <c r="L21199">
        <v>86</v>
      </c>
      <c r="M21199" t="s">
        <v>45986</v>
      </c>
      <c r="N21199" t="s">
        <v>30</v>
      </c>
      <c r="O21199" t="s">
        <v>31</v>
      </c>
      <c r="P21199" t="str">
        <f>"15207"</f>
        <v>15207</v>
      </c>
    </row>
    <row r="21200" spans="1:16" x14ac:dyDescent="0.25">
      <c r="A21200" t="str">
        <f>"1310091K00177    00"</f>
        <v>1310091K00177    00</v>
      </c>
      <c r="B21200" t="s">
        <v>45930</v>
      </c>
      <c r="C21200" t="s">
        <v>45924</v>
      </c>
      <c r="D21200" t="s">
        <v>20</v>
      </c>
      <c r="E21200" t="s">
        <v>39</v>
      </c>
      <c r="F21200">
        <v>0</v>
      </c>
      <c r="G21200">
        <v>0</v>
      </c>
      <c r="H21200">
        <v>5</v>
      </c>
      <c r="I21200" s="3">
        <v>1234.0899999999999</v>
      </c>
      <c r="J21200" s="3">
        <v>213.2</v>
      </c>
      <c r="L21200">
        <v>1532</v>
      </c>
      <c r="M21200" t="s">
        <v>45931</v>
      </c>
      <c r="N21200" t="s">
        <v>2943</v>
      </c>
      <c r="O21200" t="s">
        <v>31</v>
      </c>
      <c r="P21200" t="str">
        <f>"15025"</f>
        <v>15025</v>
      </c>
    </row>
    <row r="21201" spans="1:16" x14ac:dyDescent="0.25">
      <c r="A21201" t="str">
        <f>"1310091K00180    00"</f>
        <v>1310091K00180    00</v>
      </c>
      <c r="B21201" t="s">
        <v>45930</v>
      </c>
      <c r="C21201" t="s">
        <v>45924</v>
      </c>
      <c r="D21201" t="s">
        <v>20</v>
      </c>
      <c r="E21201" t="s">
        <v>39</v>
      </c>
      <c r="F21201">
        <v>0</v>
      </c>
      <c r="G21201">
        <v>0</v>
      </c>
      <c r="H21201">
        <v>5</v>
      </c>
      <c r="I21201" s="3">
        <v>1158.72</v>
      </c>
      <c r="J21201" s="3">
        <v>200.18</v>
      </c>
      <c r="L21201">
        <v>1532</v>
      </c>
      <c r="M21201" t="s">
        <v>45931</v>
      </c>
      <c r="N21201" t="s">
        <v>2943</v>
      </c>
      <c r="O21201" t="s">
        <v>31</v>
      </c>
      <c r="P21201" t="str">
        <f>"15025"</f>
        <v>15025</v>
      </c>
    </row>
    <row r="21202" spans="1:16" x14ac:dyDescent="0.25">
      <c r="A21202" t="str">
        <f>"1310091K00219    00"</f>
        <v>1310091K00219    00</v>
      </c>
      <c r="B21202" t="s">
        <v>45987</v>
      </c>
      <c r="C21202" t="s">
        <v>45988</v>
      </c>
      <c r="E21202" t="s">
        <v>39</v>
      </c>
      <c r="F21202">
        <v>0</v>
      </c>
      <c r="G21202">
        <v>0</v>
      </c>
      <c r="H21202">
        <v>1</v>
      </c>
      <c r="I21202" s="3">
        <v>492.48</v>
      </c>
      <c r="J21202" s="3">
        <v>0</v>
      </c>
      <c r="L21202">
        <v>5012</v>
      </c>
      <c r="M21202" t="s">
        <v>45854</v>
      </c>
      <c r="N21202" t="s">
        <v>30</v>
      </c>
      <c r="O21202" t="s">
        <v>31</v>
      </c>
      <c r="P21202" t="str">
        <f>"15207"</f>
        <v>15207</v>
      </c>
    </row>
    <row r="21203" spans="1:16" x14ac:dyDescent="0.25">
      <c r="A21203" t="str">
        <f>"1310091K00226    00"</f>
        <v>1310091K00226    00</v>
      </c>
      <c r="B21203" t="s">
        <v>45968</v>
      </c>
      <c r="C21203" t="s">
        <v>45970</v>
      </c>
      <c r="D21203" t="s">
        <v>20</v>
      </c>
      <c r="E21203" t="s">
        <v>39</v>
      </c>
      <c r="F21203">
        <v>0</v>
      </c>
      <c r="G21203">
        <v>0</v>
      </c>
      <c r="H21203">
        <v>19</v>
      </c>
      <c r="I21203" s="3">
        <v>5508.02</v>
      </c>
      <c r="J21203" s="3">
        <v>5198.2299999999996</v>
      </c>
      <c r="P21203" t="str">
        <f>""</f>
        <v/>
      </c>
    </row>
    <row r="21204" spans="1:16" x14ac:dyDescent="0.25">
      <c r="A21204" t="str">
        <f>"1310091L00002    00"</f>
        <v>1310091L00002    00</v>
      </c>
      <c r="B21204" t="s">
        <v>45989</v>
      </c>
      <c r="C21204" t="s">
        <v>45971</v>
      </c>
      <c r="D21204" t="s">
        <v>20</v>
      </c>
      <c r="E21204" t="s">
        <v>39</v>
      </c>
      <c r="F21204">
        <v>0</v>
      </c>
      <c r="G21204">
        <v>0</v>
      </c>
      <c r="H21204">
        <v>4</v>
      </c>
      <c r="I21204" s="3">
        <v>60.36</v>
      </c>
      <c r="J21204" s="3">
        <v>7.43</v>
      </c>
      <c r="M21204" t="s">
        <v>45990</v>
      </c>
      <c r="N21204" t="s">
        <v>14194</v>
      </c>
      <c r="O21204" t="s">
        <v>10362</v>
      </c>
      <c r="P21204" t="str">
        <f>"96837"</f>
        <v>96837</v>
      </c>
    </row>
    <row r="21205" spans="1:16" x14ac:dyDescent="0.25">
      <c r="A21205" t="str">
        <f>"1310091L00005    00"</f>
        <v>1310091L00005    00</v>
      </c>
      <c r="B21205" t="s">
        <v>45991</v>
      </c>
      <c r="C21205" t="s">
        <v>45992</v>
      </c>
      <c r="E21205" t="s">
        <v>39</v>
      </c>
      <c r="F21205">
        <v>0</v>
      </c>
      <c r="G21205">
        <v>0</v>
      </c>
      <c r="H21205">
        <v>2</v>
      </c>
      <c r="I21205" s="3">
        <v>1532.63</v>
      </c>
      <c r="J21205" s="3">
        <v>1518.61</v>
      </c>
      <c r="K21205" t="s">
        <v>45993</v>
      </c>
      <c r="L21205">
        <v>422</v>
      </c>
      <c r="M21205" t="s">
        <v>45994</v>
      </c>
      <c r="N21205" t="s">
        <v>1353</v>
      </c>
      <c r="O21205" t="s">
        <v>31</v>
      </c>
      <c r="P21205" t="str">
        <f>"15085"</f>
        <v>15085</v>
      </c>
    </row>
    <row r="21206" spans="1:16" x14ac:dyDescent="0.25">
      <c r="A21206" t="str">
        <f>"1310091L00206    00"</f>
        <v>1310091L00206    00</v>
      </c>
      <c r="B21206" t="s">
        <v>45995</v>
      </c>
      <c r="C21206" t="s">
        <v>45996</v>
      </c>
      <c r="D21206" t="s">
        <v>20</v>
      </c>
      <c r="E21206" t="s">
        <v>39</v>
      </c>
      <c r="F21206">
        <v>0</v>
      </c>
      <c r="G21206">
        <v>0</v>
      </c>
      <c r="H21206">
        <v>5</v>
      </c>
      <c r="I21206" s="3">
        <v>12147.84</v>
      </c>
      <c r="J21206" s="3">
        <v>2058.84</v>
      </c>
      <c r="L21206">
        <v>132</v>
      </c>
      <c r="M21206" t="s">
        <v>20922</v>
      </c>
      <c r="N21206" t="s">
        <v>21130</v>
      </c>
      <c r="O21206" t="s">
        <v>31</v>
      </c>
      <c r="P21206" t="str">
        <f>"15120"</f>
        <v>15120</v>
      </c>
    </row>
    <row r="21207" spans="1:16" x14ac:dyDescent="0.25">
      <c r="A21207" t="str">
        <f>"1310091L00304    00"</f>
        <v>1310091L00304    00</v>
      </c>
      <c r="B21207" t="s">
        <v>45997</v>
      </c>
      <c r="C21207" t="s">
        <v>45998</v>
      </c>
      <c r="D21207" t="s">
        <v>20</v>
      </c>
      <c r="E21207" t="s">
        <v>39</v>
      </c>
      <c r="F21207">
        <v>0</v>
      </c>
      <c r="G21207">
        <v>0</v>
      </c>
      <c r="H21207">
        <v>1</v>
      </c>
      <c r="I21207" s="3">
        <v>992.72</v>
      </c>
      <c r="J21207" s="3">
        <v>0</v>
      </c>
      <c r="L21207">
        <v>4619</v>
      </c>
      <c r="M21207" t="s">
        <v>21530</v>
      </c>
      <c r="N21207" t="s">
        <v>21130</v>
      </c>
      <c r="O21207" t="s">
        <v>31</v>
      </c>
      <c r="P21207" t="str">
        <f>"15120"</f>
        <v>15120</v>
      </c>
    </row>
    <row r="21208" spans="1:16" x14ac:dyDescent="0.25">
      <c r="A21208" t="str">
        <f>"1310091M00322    00"</f>
        <v>1310091M00322    00</v>
      </c>
      <c r="B21208" t="s">
        <v>45999</v>
      </c>
      <c r="C21208" t="s">
        <v>46000</v>
      </c>
      <c r="D21208" t="s">
        <v>20</v>
      </c>
      <c r="E21208" t="s">
        <v>39</v>
      </c>
      <c r="F21208">
        <v>0</v>
      </c>
      <c r="G21208">
        <v>0</v>
      </c>
      <c r="H21208">
        <v>2</v>
      </c>
      <c r="I21208" s="3">
        <v>1781.52</v>
      </c>
      <c r="J21208" s="3">
        <v>251.89</v>
      </c>
      <c r="L21208">
        <v>4613</v>
      </c>
      <c r="M21208" t="s">
        <v>21530</v>
      </c>
      <c r="N21208" t="s">
        <v>285</v>
      </c>
      <c r="O21208" t="s">
        <v>31</v>
      </c>
      <c r="P21208" t="str">
        <f>"15120"</f>
        <v>15120</v>
      </c>
    </row>
    <row r="21209" spans="1:16" x14ac:dyDescent="0.25">
      <c r="A21209" t="str">
        <f>"1310091M00335    00"</f>
        <v>1310091M00335    00</v>
      </c>
      <c r="B21209" t="s">
        <v>46001</v>
      </c>
      <c r="C21209" t="s">
        <v>46002</v>
      </c>
      <c r="D21209" t="s">
        <v>20</v>
      </c>
      <c r="E21209" t="s">
        <v>39</v>
      </c>
      <c r="F21209">
        <v>0</v>
      </c>
      <c r="G21209">
        <v>0</v>
      </c>
      <c r="H21209">
        <v>9</v>
      </c>
      <c r="I21209" s="3">
        <v>9078.4500000000007</v>
      </c>
      <c r="J21209" s="3">
        <v>3375.31</v>
      </c>
      <c r="L21209">
        <v>4548</v>
      </c>
      <c r="M21209" t="s">
        <v>46003</v>
      </c>
      <c r="N21209" t="s">
        <v>285</v>
      </c>
      <c r="O21209" t="s">
        <v>31</v>
      </c>
      <c r="P21209" t="str">
        <f>"15120"</f>
        <v>15120</v>
      </c>
    </row>
    <row r="21210" spans="1:16" x14ac:dyDescent="0.25">
      <c r="A21210" t="str">
        <f>"1310091M00346    00"</f>
        <v>1310091M00346    00</v>
      </c>
      <c r="B21210" t="s">
        <v>46004</v>
      </c>
      <c r="C21210" t="s">
        <v>46005</v>
      </c>
      <c r="D21210" t="s">
        <v>20</v>
      </c>
      <c r="E21210" t="s">
        <v>39</v>
      </c>
      <c r="F21210">
        <v>0</v>
      </c>
      <c r="G21210">
        <v>0</v>
      </c>
      <c r="H21210">
        <v>7</v>
      </c>
      <c r="I21210" s="3">
        <v>10915.21</v>
      </c>
      <c r="J21210" s="3">
        <v>2190.6799999999998</v>
      </c>
      <c r="K21210" t="s">
        <v>46006</v>
      </c>
      <c r="L21210">
        <v>4582</v>
      </c>
      <c r="M21210" t="s">
        <v>46003</v>
      </c>
      <c r="N21210" t="s">
        <v>285</v>
      </c>
      <c r="O21210" t="s">
        <v>31</v>
      </c>
      <c r="P21210" t="str">
        <f>"15120"</f>
        <v>15120</v>
      </c>
    </row>
    <row r="21211" spans="1:16" x14ac:dyDescent="0.25">
      <c r="A21211" t="str">
        <f>"1310091N00115    00"</f>
        <v>1310091N00115    00</v>
      </c>
      <c r="B21211" t="s">
        <v>45925</v>
      </c>
      <c r="C21211" t="s">
        <v>45966</v>
      </c>
      <c r="D21211" t="s">
        <v>20</v>
      </c>
      <c r="E21211" t="s">
        <v>39</v>
      </c>
      <c r="F21211">
        <v>0</v>
      </c>
      <c r="G21211">
        <v>0</v>
      </c>
      <c r="H21211">
        <v>18</v>
      </c>
      <c r="I21211" s="3">
        <v>7796.07</v>
      </c>
      <c r="J21211" s="3">
        <v>7324.72</v>
      </c>
      <c r="K21211" t="s">
        <v>45929</v>
      </c>
      <c r="L21211">
        <v>3230</v>
      </c>
      <c r="M21211" t="s">
        <v>45927</v>
      </c>
      <c r="N21211" t="s">
        <v>45928</v>
      </c>
      <c r="O21211" t="s">
        <v>70</v>
      </c>
      <c r="P21211" t="str">
        <f>"49684"</f>
        <v>49684</v>
      </c>
    </row>
    <row r="21212" spans="1:16" x14ac:dyDescent="0.25">
      <c r="A21212" t="str">
        <f>"1310091N00130    00"</f>
        <v>1310091N00130    00</v>
      </c>
      <c r="B21212" t="s">
        <v>46007</v>
      </c>
      <c r="C21212" t="s">
        <v>46008</v>
      </c>
      <c r="D21212" t="s">
        <v>20</v>
      </c>
      <c r="E21212" t="s">
        <v>39</v>
      </c>
      <c r="F21212">
        <v>0</v>
      </c>
      <c r="G21212">
        <v>0</v>
      </c>
      <c r="H21212">
        <v>1</v>
      </c>
      <c r="I21212" s="3">
        <v>1275.1300000000001</v>
      </c>
      <c r="J21212" s="3">
        <v>0</v>
      </c>
      <c r="L21212">
        <v>693</v>
      </c>
      <c r="M21212" t="s">
        <v>46009</v>
      </c>
      <c r="N21212" t="s">
        <v>30</v>
      </c>
      <c r="O21212" t="s">
        <v>31</v>
      </c>
      <c r="P21212" t="str">
        <f>"15207"</f>
        <v>15207</v>
      </c>
    </row>
    <row r="21213" spans="1:16" x14ac:dyDescent="0.25">
      <c r="A21213" t="str">
        <f>"1310091N00133    00"</f>
        <v>1310091N00133    00</v>
      </c>
      <c r="B21213" t="s">
        <v>46010</v>
      </c>
      <c r="C21213" t="s">
        <v>45966</v>
      </c>
      <c r="D21213" t="s">
        <v>20</v>
      </c>
      <c r="E21213" t="s">
        <v>39</v>
      </c>
      <c r="F21213">
        <v>0</v>
      </c>
      <c r="G21213">
        <v>0</v>
      </c>
      <c r="H21213">
        <v>12</v>
      </c>
      <c r="I21213" s="3">
        <v>2904.78</v>
      </c>
      <c r="J21213" s="3">
        <v>1527.92</v>
      </c>
      <c r="L21213">
        <v>2231</v>
      </c>
      <c r="M21213" t="s">
        <v>3777</v>
      </c>
      <c r="N21213" t="s">
        <v>295</v>
      </c>
      <c r="O21213" t="s">
        <v>31</v>
      </c>
      <c r="P21213" t="str">
        <f>"15146"</f>
        <v>15146</v>
      </c>
    </row>
    <row r="21214" spans="1:16" x14ac:dyDescent="0.25">
      <c r="A21214" t="str">
        <f>"1310091N00138    00"</f>
        <v>1310091N00138    00</v>
      </c>
      <c r="B21214" t="s">
        <v>45925</v>
      </c>
      <c r="C21214" t="s">
        <v>45969</v>
      </c>
      <c r="D21214" t="s">
        <v>20</v>
      </c>
      <c r="E21214" t="s">
        <v>39</v>
      </c>
      <c r="F21214">
        <v>0</v>
      </c>
      <c r="G21214">
        <v>0</v>
      </c>
      <c r="H21214">
        <v>18</v>
      </c>
      <c r="I21214" s="3">
        <v>5675.64</v>
      </c>
      <c r="J21214" s="3">
        <v>5309.18</v>
      </c>
      <c r="K21214" t="s">
        <v>45929</v>
      </c>
      <c r="L21214">
        <v>3230</v>
      </c>
      <c r="M21214" t="s">
        <v>45927</v>
      </c>
      <c r="N21214" t="s">
        <v>45928</v>
      </c>
      <c r="O21214" t="s">
        <v>70</v>
      </c>
      <c r="P21214" t="str">
        <f>"49684"</f>
        <v>49684</v>
      </c>
    </row>
    <row r="21215" spans="1:16" x14ac:dyDescent="0.25">
      <c r="A21215" t="str">
        <f>"1310091N00147    00"</f>
        <v>1310091N00147    00</v>
      </c>
      <c r="B21215" t="s">
        <v>45925</v>
      </c>
      <c r="C21215" t="s">
        <v>45966</v>
      </c>
      <c r="D21215" t="s">
        <v>20</v>
      </c>
      <c r="E21215" t="s">
        <v>39</v>
      </c>
      <c r="F21215">
        <v>0</v>
      </c>
      <c r="G21215">
        <v>0</v>
      </c>
      <c r="H21215">
        <v>18</v>
      </c>
      <c r="I21215" s="3">
        <v>4591.97</v>
      </c>
      <c r="J21215" s="3">
        <v>4111.09</v>
      </c>
      <c r="K21215" t="s">
        <v>45929</v>
      </c>
      <c r="L21215">
        <v>3230</v>
      </c>
      <c r="M21215" t="s">
        <v>45927</v>
      </c>
      <c r="N21215" t="s">
        <v>45928</v>
      </c>
      <c r="O21215" t="s">
        <v>70</v>
      </c>
      <c r="P21215" t="str">
        <f>"49684"</f>
        <v>49684</v>
      </c>
    </row>
    <row r="21216" spans="1:16" x14ac:dyDescent="0.25">
      <c r="A21216" t="str">
        <f>"1310091N00153    00"</f>
        <v>1310091N00153    00</v>
      </c>
      <c r="B21216" t="s">
        <v>46011</v>
      </c>
      <c r="C21216" t="s">
        <v>46012</v>
      </c>
      <c r="E21216" t="s">
        <v>39</v>
      </c>
      <c r="F21216">
        <v>0</v>
      </c>
      <c r="G21216">
        <v>0</v>
      </c>
      <c r="H21216">
        <v>1</v>
      </c>
      <c r="I21216" s="3">
        <v>1176.01</v>
      </c>
      <c r="J21216" s="3">
        <v>0</v>
      </c>
      <c r="L21216">
        <v>6908</v>
      </c>
      <c r="M21216" t="s">
        <v>32864</v>
      </c>
      <c r="N21216" t="s">
        <v>6603</v>
      </c>
      <c r="O21216" t="s">
        <v>31</v>
      </c>
      <c r="P21216" t="str">
        <f>"15122"</f>
        <v>15122</v>
      </c>
    </row>
    <row r="21217" spans="1:16" x14ac:dyDescent="0.25">
      <c r="A21217" t="str">
        <f>"1310091N00172    00"</f>
        <v>1310091N00172    00</v>
      </c>
      <c r="B21217" t="s">
        <v>46013</v>
      </c>
      <c r="C21217" t="s">
        <v>46014</v>
      </c>
      <c r="D21217" t="s">
        <v>20</v>
      </c>
      <c r="E21217" t="s">
        <v>39</v>
      </c>
      <c r="F21217">
        <v>0</v>
      </c>
      <c r="G21217">
        <v>0</v>
      </c>
      <c r="H21217">
        <v>1</v>
      </c>
      <c r="I21217" s="3">
        <v>1398.54</v>
      </c>
      <c r="J21217" s="3">
        <v>0</v>
      </c>
      <c r="K21217" t="s">
        <v>46015</v>
      </c>
      <c r="L21217">
        <v>36</v>
      </c>
      <c r="M21217" t="s">
        <v>46016</v>
      </c>
      <c r="N21217" t="s">
        <v>30</v>
      </c>
      <c r="O21217" t="s">
        <v>31</v>
      </c>
      <c r="P21217" t="str">
        <f>"15207"</f>
        <v>15207</v>
      </c>
    </row>
    <row r="21218" spans="1:16" x14ac:dyDescent="0.25">
      <c r="A21218" t="str">
        <f>"1310091N00227    00"</f>
        <v>1310091N00227    00</v>
      </c>
      <c r="B21218" t="s">
        <v>46017</v>
      </c>
      <c r="C21218" t="s">
        <v>45966</v>
      </c>
      <c r="D21218" t="s">
        <v>20</v>
      </c>
      <c r="E21218" t="s">
        <v>39</v>
      </c>
      <c r="F21218">
        <v>0</v>
      </c>
      <c r="G21218">
        <v>0</v>
      </c>
      <c r="H21218">
        <v>19</v>
      </c>
      <c r="I21218" s="3">
        <v>3073.96</v>
      </c>
      <c r="J21218" s="3">
        <v>1932.74</v>
      </c>
      <c r="K21218" t="s">
        <v>46018</v>
      </c>
      <c r="L21218">
        <v>5137</v>
      </c>
      <c r="M21218" t="s">
        <v>46019</v>
      </c>
      <c r="N21218" t="s">
        <v>30</v>
      </c>
      <c r="O21218" t="s">
        <v>31</v>
      </c>
      <c r="P21218" t="str">
        <f>"15207"</f>
        <v>15207</v>
      </c>
    </row>
    <row r="21219" spans="1:16" x14ac:dyDescent="0.25">
      <c r="A21219" t="str">
        <f>"1310091N00255    00"</f>
        <v>1310091N00255    00</v>
      </c>
      <c r="B21219" t="s">
        <v>46020</v>
      </c>
      <c r="C21219" t="s">
        <v>45970</v>
      </c>
      <c r="D21219" t="s">
        <v>20</v>
      </c>
      <c r="E21219" t="s">
        <v>39</v>
      </c>
      <c r="F21219">
        <v>0</v>
      </c>
      <c r="G21219">
        <v>0</v>
      </c>
      <c r="H21219">
        <v>19</v>
      </c>
      <c r="I21219" s="3">
        <v>5785.44</v>
      </c>
      <c r="J21219" s="3">
        <v>5456.91</v>
      </c>
      <c r="L21219">
        <v>5137</v>
      </c>
      <c r="M21219" t="s">
        <v>46021</v>
      </c>
      <c r="N21219" t="s">
        <v>30</v>
      </c>
      <c r="O21219" t="s">
        <v>31</v>
      </c>
      <c r="P21219" t="str">
        <f>"15207"</f>
        <v>15207</v>
      </c>
    </row>
    <row r="21220" spans="1:16" x14ac:dyDescent="0.25">
      <c r="A21220" t="str">
        <f>"1310091N00280    00"</f>
        <v>1310091N00280    00</v>
      </c>
      <c r="B21220" t="s">
        <v>45978</v>
      </c>
      <c r="C21220" t="s">
        <v>45970</v>
      </c>
      <c r="D21220" t="s">
        <v>20</v>
      </c>
      <c r="E21220" t="s">
        <v>39</v>
      </c>
      <c r="F21220">
        <v>0</v>
      </c>
      <c r="G21220">
        <v>0</v>
      </c>
      <c r="H21220">
        <v>12</v>
      </c>
      <c r="I21220" s="3">
        <v>3234.96</v>
      </c>
      <c r="J21220" s="3">
        <v>1701.65</v>
      </c>
      <c r="L21220">
        <v>4821</v>
      </c>
      <c r="M21220" t="s">
        <v>45980</v>
      </c>
      <c r="N21220" t="s">
        <v>6603</v>
      </c>
      <c r="O21220" t="s">
        <v>31</v>
      </c>
      <c r="P21220" t="str">
        <f>"15122"</f>
        <v>15122</v>
      </c>
    </row>
    <row r="21221" spans="1:16" x14ac:dyDescent="0.25">
      <c r="A21221" t="str">
        <f>"1310091N00301    00"</f>
        <v>1310091N00301    00</v>
      </c>
      <c r="B21221" t="s">
        <v>45978</v>
      </c>
      <c r="C21221" t="s">
        <v>45970</v>
      </c>
      <c r="D21221" t="s">
        <v>20</v>
      </c>
      <c r="E21221" t="s">
        <v>39</v>
      </c>
      <c r="F21221">
        <v>0</v>
      </c>
      <c r="G21221">
        <v>0</v>
      </c>
      <c r="H21221">
        <v>15</v>
      </c>
      <c r="I21221" s="3">
        <v>4259.6099999999997</v>
      </c>
      <c r="J21221" s="3">
        <v>2767.2</v>
      </c>
      <c r="L21221">
        <v>4821</v>
      </c>
      <c r="M21221" t="s">
        <v>45980</v>
      </c>
      <c r="N21221" t="s">
        <v>6603</v>
      </c>
      <c r="O21221" t="s">
        <v>31</v>
      </c>
      <c r="P21221" t="str">
        <f>"15122"</f>
        <v>15122</v>
      </c>
    </row>
    <row r="21222" spans="1:16" x14ac:dyDescent="0.25">
      <c r="A21222" t="str">
        <f>"1310091P00070    00"</f>
        <v>1310091P00070    00</v>
      </c>
      <c r="B21222" t="s">
        <v>46022</v>
      </c>
      <c r="C21222" t="s">
        <v>46023</v>
      </c>
      <c r="D21222" t="s">
        <v>20</v>
      </c>
      <c r="E21222" t="s">
        <v>39</v>
      </c>
      <c r="F21222">
        <v>0</v>
      </c>
      <c r="G21222">
        <v>0</v>
      </c>
      <c r="H21222">
        <v>15</v>
      </c>
      <c r="I21222" s="3">
        <v>5283.69</v>
      </c>
      <c r="J21222" s="3">
        <v>3450.39</v>
      </c>
      <c r="L21222">
        <v>4821</v>
      </c>
      <c r="M21222" t="s">
        <v>45980</v>
      </c>
      <c r="N21222" t="s">
        <v>6603</v>
      </c>
      <c r="O21222" t="s">
        <v>31</v>
      </c>
      <c r="P21222" t="str">
        <f>"15122"</f>
        <v>15122</v>
      </c>
    </row>
    <row r="21223" spans="1:16" x14ac:dyDescent="0.25">
      <c r="A21223" t="str">
        <f>"1310091P00155    00"</f>
        <v>1310091P00155    00</v>
      </c>
      <c r="B21223" t="s">
        <v>45978</v>
      </c>
      <c r="C21223" t="s">
        <v>46024</v>
      </c>
      <c r="D21223" t="s">
        <v>20</v>
      </c>
      <c r="E21223" t="s">
        <v>39</v>
      </c>
      <c r="F21223">
        <v>0</v>
      </c>
      <c r="G21223">
        <v>0</v>
      </c>
      <c r="H21223">
        <v>14</v>
      </c>
      <c r="I21223" s="3">
        <v>3944.58</v>
      </c>
      <c r="J21223" s="3">
        <v>2122.4699999999998</v>
      </c>
      <c r="L21223">
        <v>4821</v>
      </c>
      <c r="M21223" t="s">
        <v>45980</v>
      </c>
      <c r="N21223" t="s">
        <v>6603</v>
      </c>
      <c r="O21223" t="s">
        <v>31</v>
      </c>
      <c r="P21223" t="str">
        <f>"15122"</f>
        <v>15122</v>
      </c>
    </row>
    <row r="21224" spans="1:16" x14ac:dyDescent="0.25">
      <c r="A21224" t="str">
        <f>"1310091P00157    00"</f>
        <v>1310091P00157    00</v>
      </c>
      <c r="B21224" t="s">
        <v>45978</v>
      </c>
      <c r="C21224" t="s">
        <v>46023</v>
      </c>
      <c r="D21224" t="s">
        <v>20</v>
      </c>
      <c r="E21224" t="s">
        <v>39</v>
      </c>
      <c r="F21224">
        <v>0</v>
      </c>
      <c r="G21224">
        <v>0</v>
      </c>
      <c r="H21224">
        <v>15</v>
      </c>
      <c r="I21224" s="3">
        <v>4364.5</v>
      </c>
      <c r="J21224" s="3">
        <v>2879.47</v>
      </c>
      <c r="P21224" t="str">
        <f>""</f>
        <v/>
      </c>
    </row>
    <row r="21225" spans="1:16" x14ac:dyDescent="0.25">
      <c r="A21225" t="str">
        <f>"1310091P00170    00"</f>
        <v>1310091P00170    00</v>
      </c>
      <c r="B21225" t="s">
        <v>46025</v>
      </c>
      <c r="C21225" t="s">
        <v>46024</v>
      </c>
      <c r="D21225" t="s">
        <v>20</v>
      </c>
      <c r="E21225" t="s">
        <v>39</v>
      </c>
      <c r="F21225">
        <v>0</v>
      </c>
      <c r="G21225">
        <v>0</v>
      </c>
      <c r="H21225">
        <v>13</v>
      </c>
      <c r="I21225" s="3">
        <v>2814.8</v>
      </c>
      <c r="J21225" s="3">
        <v>1508.23</v>
      </c>
      <c r="L21225">
        <v>524</v>
      </c>
      <c r="M21225" t="s">
        <v>21833</v>
      </c>
      <c r="N21225" t="s">
        <v>285</v>
      </c>
      <c r="O21225" t="s">
        <v>31</v>
      </c>
      <c r="P21225" t="str">
        <f>"15120"</f>
        <v>15120</v>
      </c>
    </row>
    <row r="21226" spans="1:16" x14ac:dyDescent="0.25">
      <c r="A21226" t="str">
        <f>"1310091P00173    00"</f>
        <v>1310091P00173    00</v>
      </c>
      <c r="B21226" t="s">
        <v>45978</v>
      </c>
      <c r="C21226" t="s">
        <v>46023</v>
      </c>
      <c r="D21226" t="s">
        <v>20</v>
      </c>
      <c r="E21226" t="s">
        <v>39</v>
      </c>
      <c r="F21226">
        <v>0</v>
      </c>
      <c r="G21226">
        <v>0</v>
      </c>
      <c r="H21226">
        <v>14</v>
      </c>
      <c r="I21226" s="3">
        <v>4164.6400000000003</v>
      </c>
      <c r="J21226" s="3">
        <v>2238.25</v>
      </c>
      <c r="L21226">
        <v>4821</v>
      </c>
      <c r="M21226" t="s">
        <v>45980</v>
      </c>
      <c r="N21226" t="s">
        <v>6603</v>
      </c>
      <c r="O21226" t="s">
        <v>31</v>
      </c>
      <c r="P21226" t="str">
        <f>"15122"</f>
        <v>15122</v>
      </c>
    </row>
    <row r="21227" spans="1:16" x14ac:dyDescent="0.25">
      <c r="A21227" t="str">
        <f>"1310091P00210    00"</f>
        <v>1310091P00210    00</v>
      </c>
      <c r="B21227" t="s">
        <v>45978</v>
      </c>
      <c r="C21227" t="s">
        <v>46023</v>
      </c>
      <c r="D21227" t="s">
        <v>20</v>
      </c>
      <c r="E21227" t="s">
        <v>39</v>
      </c>
      <c r="F21227">
        <v>0</v>
      </c>
      <c r="G21227">
        <v>0</v>
      </c>
      <c r="H21227">
        <v>14</v>
      </c>
      <c r="I21227" s="3">
        <v>4296.7</v>
      </c>
      <c r="J21227" s="3">
        <v>2307.69</v>
      </c>
      <c r="P21227" t="str">
        <f>""</f>
        <v/>
      </c>
    </row>
    <row r="21228" spans="1:16" x14ac:dyDescent="0.25">
      <c r="A21228" t="str">
        <f>"1310091P00214    00"</f>
        <v>1310091P00214    00</v>
      </c>
      <c r="B21228" t="s">
        <v>46025</v>
      </c>
      <c r="C21228" t="s">
        <v>46024</v>
      </c>
      <c r="D21228" t="s">
        <v>20</v>
      </c>
      <c r="E21228" t="s">
        <v>39</v>
      </c>
      <c r="F21228">
        <v>0</v>
      </c>
      <c r="G21228">
        <v>0</v>
      </c>
      <c r="H21228">
        <v>13</v>
      </c>
      <c r="I21228" s="3">
        <v>2763.33</v>
      </c>
      <c r="J21228" s="3">
        <v>1476.27</v>
      </c>
      <c r="L21228">
        <v>524</v>
      </c>
      <c r="M21228" t="s">
        <v>21833</v>
      </c>
      <c r="N21228" t="s">
        <v>285</v>
      </c>
      <c r="O21228" t="s">
        <v>31</v>
      </c>
      <c r="P21228" t="str">
        <f>"15120"</f>
        <v>15120</v>
      </c>
    </row>
    <row r="21229" spans="1:16" x14ac:dyDescent="0.25">
      <c r="A21229" t="str">
        <f>"1310091P00234    00"</f>
        <v>1310091P00234    00</v>
      </c>
      <c r="B21229" t="s">
        <v>45978</v>
      </c>
      <c r="C21229" t="s">
        <v>46024</v>
      </c>
      <c r="D21229" t="s">
        <v>20</v>
      </c>
      <c r="E21229" t="s">
        <v>39</v>
      </c>
      <c r="F21229">
        <v>0</v>
      </c>
      <c r="G21229">
        <v>0</v>
      </c>
      <c r="H21229">
        <v>12</v>
      </c>
      <c r="I21229" s="3">
        <v>4005.08</v>
      </c>
      <c r="J21229" s="3">
        <v>2106.7399999999998</v>
      </c>
      <c r="P21229" t="str">
        <f>""</f>
        <v/>
      </c>
    </row>
    <row r="21230" spans="1:16" x14ac:dyDescent="0.25">
      <c r="A21230" t="str">
        <f>"1310091P00310    00"</f>
        <v>1310091P00310    00</v>
      </c>
      <c r="B21230" t="s">
        <v>45978</v>
      </c>
      <c r="C21230" t="s">
        <v>46023</v>
      </c>
      <c r="D21230" t="s">
        <v>20</v>
      </c>
      <c r="E21230" t="s">
        <v>39</v>
      </c>
      <c r="F21230">
        <v>0</v>
      </c>
      <c r="G21230">
        <v>0</v>
      </c>
      <c r="H21230">
        <v>14</v>
      </c>
      <c r="I21230" s="3">
        <v>3834.46</v>
      </c>
      <c r="J21230" s="3">
        <v>2064.5300000000002</v>
      </c>
      <c r="P21230" t="str">
        <f>""</f>
        <v/>
      </c>
    </row>
    <row r="21231" spans="1:16" x14ac:dyDescent="0.25">
      <c r="A21231" t="str">
        <f>"1310091P00325    00"</f>
        <v>1310091P00325    00</v>
      </c>
      <c r="B21231" t="s">
        <v>45978</v>
      </c>
      <c r="C21231" t="s">
        <v>45970</v>
      </c>
      <c r="D21231" t="s">
        <v>20</v>
      </c>
      <c r="E21231" t="s">
        <v>39</v>
      </c>
      <c r="F21231">
        <v>0</v>
      </c>
      <c r="G21231">
        <v>0</v>
      </c>
      <c r="H21231">
        <v>13</v>
      </c>
      <c r="I21231" s="3">
        <v>2719.2</v>
      </c>
      <c r="J21231" s="3">
        <v>1441.72</v>
      </c>
      <c r="P21231" t="str">
        <f>""</f>
        <v/>
      </c>
    </row>
    <row r="21232" spans="1:16" x14ac:dyDescent="0.25">
      <c r="A21232" t="str">
        <f>"1310091P00328    00"</f>
        <v>1310091P00328    00</v>
      </c>
      <c r="B21232" t="s">
        <v>45978</v>
      </c>
      <c r="C21232" t="s">
        <v>45970</v>
      </c>
      <c r="D21232" t="s">
        <v>20</v>
      </c>
      <c r="E21232" t="s">
        <v>39</v>
      </c>
      <c r="F21232">
        <v>0</v>
      </c>
      <c r="G21232">
        <v>0</v>
      </c>
      <c r="H21232">
        <v>12</v>
      </c>
      <c r="I21232" s="3">
        <v>2706.84</v>
      </c>
      <c r="J21232" s="3">
        <v>1423.81</v>
      </c>
      <c r="P21232" t="str">
        <f>""</f>
        <v/>
      </c>
    </row>
    <row r="21233" spans="1:16" x14ac:dyDescent="0.25">
      <c r="A21233" t="str">
        <f>"1310091P00331    00"</f>
        <v>1310091P00331    00</v>
      </c>
      <c r="B21233" t="s">
        <v>45978</v>
      </c>
      <c r="C21233" t="s">
        <v>46023</v>
      </c>
      <c r="D21233" t="s">
        <v>20</v>
      </c>
      <c r="E21233" t="s">
        <v>39</v>
      </c>
      <c r="F21233">
        <v>0</v>
      </c>
      <c r="G21233">
        <v>0</v>
      </c>
      <c r="H21233">
        <v>14</v>
      </c>
      <c r="I21233" s="3">
        <v>4054.52</v>
      </c>
      <c r="J21233" s="3">
        <v>2180.35</v>
      </c>
      <c r="P21233" t="str">
        <f>""</f>
        <v/>
      </c>
    </row>
    <row r="21234" spans="1:16" x14ac:dyDescent="0.25">
      <c r="A21234" t="str">
        <f>"1310091P00365    00"</f>
        <v>1310091P00365    00</v>
      </c>
      <c r="B21234" t="s">
        <v>45978</v>
      </c>
      <c r="C21234" t="s">
        <v>46023</v>
      </c>
      <c r="D21234" t="s">
        <v>20</v>
      </c>
      <c r="E21234" t="s">
        <v>39</v>
      </c>
      <c r="F21234">
        <v>0</v>
      </c>
      <c r="G21234">
        <v>0</v>
      </c>
      <c r="H21234">
        <v>15</v>
      </c>
      <c r="I21234" s="3">
        <v>4703.2299999999996</v>
      </c>
      <c r="J21234" s="3">
        <v>2648.19</v>
      </c>
      <c r="P21234" t="str">
        <f>""</f>
        <v/>
      </c>
    </row>
    <row r="21235" spans="1:16" x14ac:dyDescent="0.25">
      <c r="A21235" t="str">
        <f>"1310091S00053000100"</f>
        <v>1310091S00053000100</v>
      </c>
      <c r="B21235" t="s">
        <v>46026</v>
      </c>
      <c r="C21235" t="s">
        <v>46027</v>
      </c>
      <c r="D21235" t="s">
        <v>20</v>
      </c>
      <c r="E21235" t="s">
        <v>39</v>
      </c>
      <c r="F21235">
        <v>0</v>
      </c>
      <c r="G21235">
        <v>0</v>
      </c>
      <c r="H21235">
        <v>2</v>
      </c>
      <c r="I21235" s="3">
        <v>367.88</v>
      </c>
      <c r="J21235" s="3">
        <v>0</v>
      </c>
      <c r="K21235" t="s">
        <v>759</v>
      </c>
      <c r="L21235">
        <v>3001</v>
      </c>
      <c r="M21235" t="s">
        <v>404</v>
      </c>
      <c r="N21235" t="s">
        <v>331</v>
      </c>
      <c r="O21235" t="s">
        <v>108</v>
      </c>
      <c r="P21235" t="str">
        <f>"75063"</f>
        <v>75063</v>
      </c>
    </row>
    <row r="21236" spans="1:16" x14ac:dyDescent="0.25">
      <c r="A21236" t="str">
        <f>"1310091S00070    00"</f>
        <v>1310091S00070    00</v>
      </c>
      <c r="B21236" t="s">
        <v>46028</v>
      </c>
      <c r="C21236" t="s">
        <v>46029</v>
      </c>
      <c r="E21236" t="s">
        <v>39</v>
      </c>
      <c r="F21236">
        <v>0</v>
      </c>
      <c r="G21236">
        <v>0</v>
      </c>
      <c r="H21236">
        <v>1</v>
      </c>
      <c r="I21236" s="3">
        <v>1309.08</v>
      </c>
      <c r="J21236" s="3">
        <v>261.81</v>
      </c>
      <c r="L21236">
        <v>4539</v>
      </c>
      <c r="M21236" t="s">
        <v>46003</v>
      </c>
      <c r="N21236" t="s">
        <v>285</v>
      </c>
      <c r="O21236" t="s">
        <v>31</v>
      </c>
      <c r="P21236" t="str">
        <f>"15120"</f>
        <v>15120</v>
      </c>
    </row>
    <row r="21237" spans="1:16" x14ac:dyDescent="0.25">
      <c r="A21237" t="str">
        <f>"1310091S00100    00"</f>
        <v>1310091S00100    00</v>
      </c>
      <c r="B21237" t="s">
        <v>46030</v>
      </c>
      <c r="C21237" t="s">
        <v>46031</v>
      </c>
      <c r="D21237" t="s">
        <v>20</v>
      </c>
      <c r="E21237" t="s">
        <v>39</v>
      </c>
      <c r="F21237">
        <v>0</v>
      </c>
      <c r="G21237">
        <v>0</v>
      </c>
      <c r="H21237">
        <v>2</v>
      </c>
      <c r="I21237" s="3">
        <v>2985.82</v>
      </c>
      <c r="J21237" s="3">
        <v>0</v>
      </c>
      <c r="K21237" t="s">
        <v>46032</v>
      </c>
      <c r="L21237">
        <v>4536</v>
      </c>
      <c r="M21237" t="s">
        <v>46033</v>
      </c>
      <c r="N21237" t="s">
        <v>285</v>
      </c>
      <c r="O21237" t="s">
        <v>31</v>
      </c>
      <c r="P21237" t="str">
        <f>"15120"</f>
        <v>15120</v>
      </c>
    </row>
    <row r="21238" spans="1:16" x14ac:dyDescent="0.25">
      <c r="A21238" t="str">
        <f>"1310091S00152    00"</f>
        <v>1310091S00152    00</v>
      </c>
      <c r="B21238" t="s">
        <v>46034</v>
      </c>
      <c r="C21238" t="s">
        <v>46035</v>
      </c>
      <c r="D21238" t="s">
        <v>20</v>
      </c>
      <c r="E21238" t="s">
        <v>39</v>
      </c>
      <c r="F21238">
        <v>0</v>
      </c>
      <c r="G21238">
        <v>0</v>
      </c>
      <c r="H21238">
        <v>1</v>
      </c>
      <c r="I21238" s="3">
        <v>1423.85</v>
      </c>
      <c r="J21238" s="3">
        <v>0</v>
      </c>
      <c r="K21238" t="s">
        <v>46036</v>
      </c>
      <c r="L21238">
        <v>4515</v>
      </c>
      <c r="M21238" t="s">
        <v>46037</v>
      </c>
      <c r="N21238" t="s">
        <v>285</v>
      </c>
      <c r="O21238" t="s">
        <v>31</v>
      </c>
      <c r="P21238" t="str">
        <f>"15120"</f>
        <v>15120</v>
      </c>
    </row>
    <row r="21239" spans="1:16" x14ac:dyDescent="0.25">
      <c r="A21239" t="str">
        <f>"1310092D00061    02"</f>
        <v>1310092D00061    02</v>
      </c>
      <c r="B21239" t="s">
        <v>4503</v>
      </c>
      <c r="C21239" t="s">
        <v>31594</v>
      </c>
      <c r="E21239" t="s">
        <v>21</v>
      </c>
      <c r="F21239">
        <v>0</v>
      </c>
      <c r="G21239">
        <v>0</v>
      </c>
      <c r="H21239">
        <v>1</v>
      </c>
      <c r="I21239" s="3">
        <v>4516.78</v>
      </c>
      <c r="J21239" s="3">
        <v>5484.17</v>
      </c>
      <c r="L21239">
        <v>110</v>
      </c>
      <c r="M21239" t="s">
        <v>46038</v>
      </c>
      <c r="N21239" t="s">
        <v>4505</v>
      </c>
      <c r="O21239" t="s">
        <v>692</v>
      </c>
      <c r="P21239" t="str">
        <f>"24042"</f>
        <v>24042</v>
      </c>
    </row>
    <row r="21240" spans="1:16" x14ac:dyDescent="0.25">
      <c r="A21240" t="str">
        <f>"1310092H00108A   00"</f>
        <v>1310092H00108A   00</v>
      </c>
      <c r="B21240" t="s">
        <v>46039</v>
      </c>
      <c r="C21240" t="s">
        <v>46040</v>
      </c>
      <c r="D21240" t="s">
        <v>20</v>
      </c>
      <c r="E21240" t="s">
        <v>39</v>
      </c>
      <c r="F21240">
        <v>0</v>
      </c>
      <c r="G21240">
        <v>0</v>
      </c>
      <c r="H21240">
        <v>4</v>
      </c>
      <c r="I21240" s="3">
        <v>4375.09</v>
      </c>
      <c r="J21240" s="3">
        <v>407.94</v>
      </c>
      <c r="K21240" t="s">
        <v>46041</v>
      </c>
      <c r="L21240">
        <v>231</v>
      </c>
      <c r="M21240" t="s">
        <v>35532</v>
      </c>
      <c r="N21240" t="s">
        <v>30</v>
      </c>
      <c r="O21240" t="s">
        <v>31</v>
      </c>
      <c r="P21240" t="str">
        <f>"15207"</f>
        <v>15207</v>
      </c>
    </row>
    <row r="21241" spans="1:16" x14ac:dyDescent="0.25">
      <c r="A21241" t="str">
        <f>"1310092H00125    00"</f>
        <v>1310092H00125    00</v>
      </c>
      <c r="B21241" t="s">
        <v>9290</v>
      </c>
      <c r="C21241" t="s">
        <v>46042</v>
      </c>
      <c r="D21241" t="s">
        <v>20</v>
      </c>
      <c r="E21241" t="s">
        <v>39</v>
      </c>
      <c r="F21241">
        <v>0</v>
      </c>
      <c r="G21241">
        <v>0</v>
      </c>
      <c r="H21241">
        <v>1</v>
      </c>
      <c r="I21241" s="3">
        <v>129.61000000000001</v>
      </c>
      <c r="J21241" s="3">
        <v>0</v>
      </c>
      <c r="K21241" t="s">
        <v>12658</v>
      </c>
      <c r="L21241">
        <v>414</v>
      </c>
      <c r="M21241" t="s">
        <v>9292</v>
      </c>
      <c r="N21241" t="s">
        <v>30</v>
      </c>
      <c r="O21241" t="s">
        <v>31</v>
      </c>
      <c r="P21241" t="str">
        <f>"15219"</f>
        <v>15219</v>
      </c>
    </row>
    <row r="21242" spans="1:16" x14ac:dyDescent="0.25">
      <c r="A21242" t="str">
        <f>"1310092M00113    00"</f>
        <v>1310092M00113    00</v>
      </c>
      <c r="B21242" t="s">
        <v>46043</v>
      </c>
      <c r="C21242" t="s">
        <v>46044</v>
      </c>
      <c r="D21242" t="s">
        <v>20</v>
      </c>
      <c r="E21242" t="s">
        <v>21</v>
      </c>
      <c r="F21242">
        <v>0</v>
      </c>
      <c r="G21242">
        <v>0</v>
      </c>
      <c r="H21242">
        <v>2</v>
      </c>
      <c r="I21242" s="3">
        <v>804.36</v>
      </c>
      <c r="J21242" s="3">
        <v>0</v>
      </c>
      <c r="L21242">
        <v>2839</v>
      </c>
      <c r="M21242" t="s">
        <v>46045</v>
      </c>
      <c r="N21242" t="s">
        <v>16709</v>
      </c>
      <c r="O21242" t="s">
        <v>8605</v>
      </c>
      <c r="P21242" t="str">
        <f>"53719"</f>
        <v>53719</v>
      </c>
    </row>
    <row r="21243" spans="1:16" x14ac:dyDescent="0.25">
      <c r="A21243" t="str">
        <f>"1310092M00114    00"</f>
        <v>1310092M00114    00</v>
      </c>
      <c r="B21243" t="s">
        <v>46043</v>
      </c>
      <c r="C21243" t="s">
        <v>46046</v>
      </c>
      <c r="D21243" t="s">
        <v>20</v>
      </c>
      <c r="E21243" t="s">
        <v>21</v>
      </c>
      <c r="F21243">
        <v>0</v>
      </c>
      <c r="G21243">
        <v>0</v>
      </c>
      <c r="H21243">
        <v>2</v>
      </c>
      <c r="I21243" s="3">
        <v>834.84</v>
      </c>
      <c r="J21243" s="3">
        <v>0</v>
      </c>
      <c r="L21243">
        <v>2839</v>
      </c>
      <c r="M21243" t="s">
        <v>46045</v>
      </c>
      <c r="N21243" t="s">
        <v>16709</v>
      </c>
      <c r="O21243" t="s">
        <v>8605</v>
      </c>
      <c r="P21243" t="str">
        <f>"53719"</f>
        <v>53719</v>
      </c>
    </row>
    <row r="21244" spans="1:16" x14ac:dyDescent="0.25">
      <c r="A21244" t="str">
        <f>"1310092S00015    00"</f>
        <v>1310092S00015    00</v>
      </c>
      <c r="B21244" t="s">
        <v>46047</v>
      </c>
      <c r="C21244" t="s">
        <v>46048</v>
      </c>
      <c r="D21244" t="s">
        <v>20</v>
      </c>
      <c r="E21244" t="s">
        <v>39</v>
      </c>
      <c r="F21244">
        <v>0</v>
      </c>
      <c r="G21244">
        <v>0</v>
      </c>
      <c r="H21244">
        <v>16</v>
      </c>
      <c r="I21244" s="3">
        <v>8032.78</v>
      </c>
      <c r="J21244" s="3">
        <v>7055.27</v>
      </c>
      <c r="L21244">
        <v>520</v>
      </c>
      <c r="M21244" t="s">
        <v>46049</v>
      </c>
      <c r="N21244" t="s">
        <v>30</v>
      </c>
      <c r="O21244" t="s">
        <v>31</v>
      </c>
      <c r="P21244" t="str">
        <f>"15207"</f>
        <v>15207</v>
      </c>
    </row>
    <row r="21245" spans="1:16" x14ac:dyDescent="0.25">
      <c r="A21245" t="str">
        <f>"1310092S00030    00"</f>
        <v>1310092S00030    00</v>
      </c>
      <c r="B21245" t="s">
        <v>46050</v>
      </c>
      <c r="C21245" t="s">
        <v>46051</v>
      </c>
      <c r="D21245" t="s">
        <v>20</v>
      </c>
      <c r="E21245" t="s">
        <v>39</v>
      </c>
      <c r="F21245">
        <v>0</v>
      </c>
      <c r="G21245">
        <v>0</v>
      </c>
      <c r="H21245">
        <v>5</v>
      </c>
      <c r="I21245" s="3">
        <v>3718.97</v>
      </c>
      <c r="J21245" s="3">
        <v>509.36</v>
      </c>
      <c r="L21245">
        <v>444</v>
      </c>
      <c r="M21245" t="s">
        <v>46049</v>
      </c>
      <c r="N21245" t="s">
        <v>30</v>
      </c>
      <c r="O21245" t="s">
        <v>31</v>
      </c>
      <c r="P21245" t="str">
        <f>"15207"</f>
        <v>15207</v>
      </c>
    </row>
    <row r="21246" spans="1:16" x14ac:dyDescent="0.25">
      <c r="A21246" t="str">
        <f>"1310092S00032    00"</f>
        <v>1310092S00032    00</v>
      </c>
      <c r="B21246" t="s">
        <v>46050</v>
      </c>
      <c r="C21246" t="s">
        <v>46051</v>
      </c>
      <c r="D21246" t="s">
        <v>20</v>
      </c>
      <c r="E21246" t="s">
        <v>39</v>
      </c>
      <c r="F21246">
        <v>0</v>
      </c>
      <c r="G21246">
        <v>0</v>
      </c>
      <c r="H21246">
        <v>2</v>
      </c>
      <c r="I21246" s="3">
        <v>232.56</v>
      </c>
      <c r="J21246" s="3">
        <v>0</v>
      </c>
      <c r="L21246">
        <v>444</v>
      </c>
      <c r="M21246" t="s">
        <v>46049</v>
      </c>
      <c r="N21246" t="s">
        <v>30</v>
      </c>
      <c r="O21246" t="s">
        <v>31</v>
      </c>
      <c r="P21246" t="str">
        <f>"15207"</f>
        <v>15207</v>
      </c>
    </row>
    <row r="21247" spans="1:16" x14ac:dyDescent="0.25">
      <c r="A21247" t="str">
        <f>"1310131N00031    00"</f>
        <v>1310131N00031    00</v>
      </c>
      <c r="B21247" t="s">
        <v>46052</v>
      </c>
      <c r="C21247" t="s">
        <v>46053</v>
      </c>
      <c r="D21247" t="s">
        <v>20</v>
      </c>
      <c r="E21247" t="s">
        <v>39</v>
      </c>
      <c r="F21247">
        <v>0</v>
      </c>
      <c r="G21247">
        <v>0</v>
      </c>
      <c r="H21247">
        <v>14</v>
      </c>
      <c r="I21247" s="3">
        <v>425.48</v>
      </c>
      <c r="J21247" s="3">
        <v>277.19</v>
      </c>
      <c r="L21247">
        <v>2406</v>
      </c>
      <c r="M21247" t="s">
        <v>7990</v>
      </c>
      <c r="N21247" t="s">
        <v>6603</v>
      </c>
      <c r="O21247" t="s">
        <v>31</v>
      </c>
      <c r="P21247" t="str">
        <f>"15122"</f>
        <v>15122</v>
      </c>
    </row>
    <row r="21248" spans="1:16" x14ac:dyDescent="0.25">
      <c r="A21248" t="str">
        <f>"1310131N00080    00"</f>
        <v>1310131N00080    00</v>
      </c>
      <c r="B21248" t="s">
        <v>46054</v>
      </c>
      <c r="C21248" t="s">
        <v>46053</v>
      </c>
      <c r="D21248" t="s">
        <v>20</v>
      </c>
      <c r="E21248" t="s">
        <v>39</v>
      </c>
      <c r="F21248">
        <v>0</v>
      </c>
      <c r="G21248">
        <v>0</v>
      </c>
      <c r="H21248">
        <v>14</v>
      </c>
      <c r="I21248" s="3">
        <v>2820.56</v>
      </c>
      <c r="J21248" s="3">
        <v>1564.06</v>
      </c>
      <c r="L21248">
        <v>4023</v>
      </c>
      <c r="M21248" t="s">
        <v>46055</v>
      </c>
      <c r="N21248" t="s">
        <v>6603</v>
      </c>
      <c r="O21248" t="s">
        <v>31</v>
      </c>
      <c r="P21248" t="str">
        <f>"15122"</f>
        <v>15122</v>
      </c>
    </row>
    <row r="21249" spans="1:16" x14ac:dyDescent="0.25">
      <c r="A21249" t="str">
        <f>"1310133E00017    00"</f>
        <v>1310133E00017    00</v>
      </c>
      <c r="B21249" t="s">
        <v>46056</v>
      </c>
      <c r="C21249" t="s">
        <v>46057</v>
      </c>
      <c r="D21249" t="s">
        <v>20</v>
      </c>
      <c r="E21249" t="s">
        <v>39</v>
      </c>
      <c r="F21249">
        <v>0</v>
      </c>
      <c r="G21249">
        <v>0</v>
      </c>
      <c r="H21249">
        <v>2</v>
      </c>
      <c r="I21249" s="3">
        <v>1444.12</v>
      </c>
      <c r="J21249" s="3">
        <v>17.149999999999999</v>
      </c>
      <c r="L21249">
        <v>4735</v>
      </c>
      <c r="M21249" t="s">
        <v>46058</v>
      </c>
      <c r="N21249" t="s">
        <v>285</v>
      </c>
      <c r="O21249" t="s">
        <v>31</v>
      </c>
      <c r="P21249" t="str">
        <f>"15120"</f>
        <v>15120</v>
      </c>
    </row>
    <row r="21250" spans="1:16" x14ac:dyDescent="0.25">
      <c r="A21250" t="str">
        <f>"1310133E00077    00"</f>
        <v>1310133E00077    00</v>
      </c>
      <c r="B21250" t="s">
        <v>46059</v>
      </c>
      <c r="C21250" t="s">
        <v>46060</v>
      </c>
      <c r="D21250" t="s">
        <v>20</v>
      </c>
      <c r="E21250" t="s">
        <v>39</v>
      </c>
      <c r="F21250">
        <v>0</v>
      </c>
      <c r="G21250">
        <v>0</v>
      </c>
      <c r="H21250">
        <v>1</v>
      </c>
      <c r="I21250" s="3">
        <v>947.29</v>
      </c>
      <c r="J21250" s="3">
        <v>0</v>
      </c>
      <c r="L21250">
        <v>735</v>
      </c>
      <c r="M21250" t="s">
        <v>46061</v>
      </c>
      <c r="N21250" t="s">
        <v>541</v>
      </c>
      <c r="O21250" t="s">
        <v>31</v>
      </c>
      <c r="P21250" t="str">
        <f>"15071"</f>
        <v>15071</v>
      </c>
    </row>
    <row r="21251" spans="1:16" x14ac:dyDescent="0.25">
      <c r="A21251" t="str">
        <f>"1310133J00154    00"</f>
        <v>1310133J00154    00</v>
      </c>
      <c r="B21251" t="s">
        <v>46062</v>
      </c>
      <c r="C21251" t="s">
        <v>46063</v>
      </c>
      <c r="E21251" t="s">
        <v>39</v>
      </c>
      <c r="F21251">
        <v>0</v>
      </c>
      <c r="G21251">
        <v>0</v>
      </c>
      <c r="H21251">
        <v>1</v>
      </c>
      <c r="I21251" s="3">
        <v>585</v>
      </c>
      <c r="J21251" s="3">
        <v>0</v>
      </c>
      <c r="K21251" t="s">
        <v>46064</v>
      </c>
      <c r="L21251">
        <v>4776</v>
      </c>
      <c r="M21251" t="s">
        <v>46065</v>
      </c>
      <c r="N21251" t="s">
        <v>21130</v>
      </c>
      <c r="O21251" t="s">
        <v>31</v>
      </c>
      <c r="P21251" t="str">
        <f>"15120"</f>
        <v>15120</v>
      </c>
    </row>
    <row r="21252" spans="1:16" x14ac:dyDescent="0.25">
      <c r="A21252" t="str">
        <f>"1310133J00178    00"</f>
        <v>1310133J00178    00</v>
      </c>
      <c r="B21252" t="s">
        <v>46066</v>
      </c>
      <c r="C21252" t="s">
        <v>46067</v>
      </c>
      <c r="D21252" t="s">
        <v>20</v>
      </c>
      <c r="E21252" t="s">
        <v>39</v>
      </c>
      <c r="F21252">
        <v>0</v>
      </c>
      <c r="G21252">
        <v>0</v>
      </c>
      <c r="H21252">
        <v>3</v>
      </c>
      <c r="I21252" s="3">
        <v>1078.8699999999999</v>
      </c>
      <c r="J21252" s="3">
        <v>25.73</v>
      </c>
      <c r="L21252">
        <v>927</v>
      </c>
      <c r="M21252" t="s">
        <v>46068</v>
      </c>
      <c r="N21252" t="s">
        <v>21130</v>
      </c>
      <c r="O21252" t="s">
        <v>31</v>
      </c>
      <c r="P21252" t="str">
        <f>"15120"</f>
        <v>15120</v>
      </c>
    </row>
    <row r="21253" spans="1:16" x14ac:dyDescent="0.25">
      <c r="A21253" t="str">
        <f>"1310133J00236    00"</f>
        <v>1310133J00236    00</v>
      </c>
      <c r="B21253" t="s">
        <v>46069</v>
      </c>
      <c r="C21253" t="s">
        <v>46070</v>
      </c>
      <c r="D21253" t="s">
        <v>20</v>
      </c>
      <c r="E21253" t="s">
        <v>39</v>
      </c>
      <c r="F21253">
        <v>0</v>
      </c>
      <c r="G21253">
        <v>0</v>
      </c>
      <c r="H21253">
        <v>3</v>
      </c>
      <c r="I21253" s="3">
        <v>869.64</v>
      </c>
      <c r="J21253" s="3">
        <v>7.05</v>
      </c>
      <c r="L21253">
        <v>2215</v>
      </c>
      <c r="M21253" t="s">
        <v>8187</v>
      </c>
      <c r="N21253" t="s">
        <v>6603</v>
      </c>
      <c r="O21253" t="s">
        <v>31</v>
      </c>
      <c r="P21253" t="str">
        <f>"15122"</f>
        <v>15122</v>
      </c>
    </row>
    <row r="21254" spans="1:16" x14ac:dyDescent="0.25">
      <c r="A21254" t="str">
        <f>"1310133J00270    00"</f>
        <v>1310133J00270    00</v>
      </c>
      <c r="B21254" t="s">
        <v>46071</v>
      </c>
      <c r="C21254" t="s">
        <v>46072</v>
      </c>
      <c r="D21254" t="s">
        <v>20</v>
      </c>
      <c r="E21254" t="s">
        <v>39</v>
      </c>
      <c r="F21254">
        <v>0</v>
      </c>
      <c r="G21254">
        <v>0</v>
      </c>
      <c r="H21254">
        <v>1</v>
      </c>
      <c r="I21254" s="3">
        <v>22.07</v>
      </c>
      <c r="J21254" s="3">
        <v>0</v>
      </c>
      <c r="L21254">
        <v>121</v>
      </c>
      <c r="M21254" t="s">
        <v>20922</v>
      </c>
      <c r="N21254" t="s">
        <v>285</v>
      </c>
      <c r="O21254" t="s">
        <v>31</v>
      </c>
      <c r="P21254" t="str">
        <f t="shared" ref="P21254:P21259" si="265">"15120"</f>
        <v>15120</v>
      </c>
    </row>
    <row r="21255" spans="1:16" x14ac:dyDescent="0.25">
      <c r="A21255" t="str">
        <f>"1310133J00311    00"</f>
        <v>1310133J00311    00</v>
      </c>
      <c r="B21255" t="s">
        <v>46073</v>
      </c>
      <c r="C21255" t="s">
        <v>46074</v>
      </c>
      <c r="D21255" t="s">
        <v>20</v>
      </c>
      <c r="E21255" t="s">
        <v>39</v>
      </c>
      <c r="F21255">
        <v>0</v>
      </c>
      <c r="G21255">
        <v>0</v>
      </c>
      <c r="H21255">
        <v>2</v>
      </c>
      <c r="I21255" s="3">
        <v>2348.2399999999998</v>
      </c>
      <c r="J21255" s="3">
        <v>0</v>
      </c>
      <c r="K21255" t="s">
        <v>46075</v>
      </c>
      <c r="L21255">
        <v>4747</v>
      </c>
      <c r="M21255" t="s">
        <v>46065</v>
      </c>
      <c r="N21255" t="s">
        <v>285</v>
      </c>
      <c r="O21255" t="s">
        <v>31</v>
      </c>
      <c r="P21255" t="str">
        <f t="shared" si="265"/>
        <v>15120</v>
      </c>
    </row>
    <row r="21256" spans="1:16" x14ac:dyDescent="0.25">
      <c r="A21256" t="str">
        <f>"1310133J00313    00"</f>
        <v>1310133J00313    00</v>
      </c>
      <c r="B21256" t="s">
        <v>46076</v>
      </c>
      <c r="C21256" t="s">
        <v>46077</v>
      </c>
      <c r="D21256" t="s">
        <v>20</v>
      </c>
      <c r="E21256" t="s">
        <v>39</v>
      </c>
      <c r="F21256">
        <v>0</v>
      </c>
      <c r="G21256">
        <v>0</v>
      </c>
      <c r="H21256">
        <v>1</v>
      </c>
      <c r="I21256" s="3">
        <v>955.39</v>
      </c>
      <c r="J21256" s="3">
        <v>0</v>
      </c>
      <c r="K21256" t="s">
        <v>46078</v>
      </c>
      <c r="L21256">
        <v>4743</v>
      </c>
      <c r="M21256" t="s">
        <v>46065</v>
      </c>
      <c r="N21256" t="s">
        <v>285</v>
      </c>
      <c r="O21256" t="s">
        <v>31</v>
      </c>
      <c r="P21256" t="str">
        <f t="shared" si="265"/>
        <v>15120</v>
      </c>
    </row>
    <row r="21257" spans="1:16" x14ac:dyDescent="0.25">
      <c r="A21257" t="str">
        <f>"1310133J00315    00"</f>
        <v>1310133J00315    00</v>
      </c>
      <c r="B21257" t="s">
        <v>46079</v>
      </c>
      <c r="C21257" t="s">
        <v>46080</v>
      </c>
      <c r="E21257" t="s">
        <v>39</v>
      </c>
      <c r="F21257">
        <v>0</v>
      </c>
      <c r="G21257">
        <v>0</v>
      </c>
      <c r="H21257">
        <v>2</v>
      </c>
      <c r="I21257" s="3">
        <v>250.52</v>
      </c>
      <c r="J21257" s="3">
        <v>50.16</v>
      </c>
      <c r="L21257">
        <v>4737</v>
      </c>
      <c r="M21257" t="s">
        <v>46065</v>
      </c>
      <c r="N21257" t="s">
        <v>21130</v>
      </c>
      <c r="O21257" t="s">
        <v>31</v>
      </c>
      <c r="P21257" t="str">
        <f t="shared" si="265"/>
        <v>15120</v>
      </c>
    </row>
    <row r="21258" spans="1:16" x14ac:dyDescent="0.25">
      <c r="A21258" t="str">
        <f>"1310133J00327    00"</f>
        <v>1310133J00327    00</v>
      </c>
      <c r="B21258" t="s">
        <v>46081</v>
      </c>
      <c r="C21258" t="s">
        <v>46082</v>
      </c>
      <c r="E21258" t="s">
        <v>39</v>
      </c>
      <c r="F21258">
        <v>0</v>
      </c>
      <c r="G21258">
        <v>0</v>
      </c>
      <c r="H21258">
        <v>3</v>
      </c>
      <c r="I21258" s="3">
        <v>922.92</v>
      </c>
      <c r="J21258" s="3">
        <v>815.06</v>
      </c>
      <c r="K21258" t="s">
        <v>46083</v>
      </c>
      <c r="L21258">
        <v>4727</v>
      </c>
      <c r="M21258" t="s">
        <v>46065</v>
      </c>
      <c r="N21258" t="s">
        <v>285</v>
      </c>
      <c r="O21258" t="s">
        <v>31</v>
      </c>
      <c r="P21258" t="str">
        <f t="shared" si="265"/>
        <v>15120</v>
      </c>
    </row>
    <row r="21259" spans="1:16" x14ac:dyDescent="0.25">
      <c r="A21259" t="str">
        <f>"1310133J00344    00"</f>
        <v>1310133J00344    00</v>
      </c>
      <c r="B21259" t="s">
        <v>46084</v>
      </c>
      <c r="C21259" t="s">
        <v>46085</v>
      </c>
      <c r="D21259" t="s">
        <v>20</v>
      </c>
      <c r="E21259" t="s">
        <v>39</v>
      </c>
      <c r="F21259">
        <v>0</v>
      </c>
      <c r="G21259">
        <v>0</v>
      </c>
      <c r="H21259">
        <v>3</v>
      </c>
      <c r="I21259" s="3">
        <v>4014.03</v>
      </c>
      <c r="J21259" s="3">
        <v>267.58999999999997</v>
      </c>
      <c r="L21259">
        <v>961</v>
      </c>
      <c r="M21259" t="s">
        <v>46086</v>
      </c>
      <c r="N21259" t="s">
        <v>285</v>
      </c>
      <c r="O21259" t="s">
        <v>31</v>
      </c>
      <c r="P21259" t="str">
        <f t="shared" si="265"/>
        <v>15120</v>
      </c>
    </row>
    <row r="21260" spans="1:16" x14ac:dyDescent="0.25">
      <c r="A21260" t="str">
        <f>"1310133K00011    00"</f>
        <v>1310133K00011    00</v>
      </c>
      <c r="B21260" t="s">
        <v>46087</v>
      </c>
      <c r="C21260" t="s">
        <v>46088</v>
      </c>
      <c r="D21260" t="s">
        <v>20</v>
      </c>
      <c r="E21260" t="s">
        <v>39</v>
      </c>
      <c r="F21260">
        <v>0</v>
      </c>
      <c r="G21260">
        <v>0</v>
      </c>
      <c r="H21260">
        <v>1</v>
      </c>
      <c r="I21260" s="3">
        <v>1317.51</v>
      </c>
      <c r="J21260" s="3">
        <v>0</v>
      </c>
      <c r="K21260" t="s">
        <v>8393</v>
      </c>
      <c r="M21260" t="s">
        <v>8394</v>
      </c>
      <c r="N21260" t="s">
        <v>8395</v>
      </c>
      <c r="O21260" t="s">
        <v>1616</v>
      </c>
      <c r="P21260" t="str">
        <f>"57709"</f>
        <v>57709</v>
      </c>
    </row>
    <row r="21261" spans="1:16" x14ac:dyDescent="0.25">
      <c r="A21261" t="str">
        <f>"1310133K00044    00"</f>
        <v>1310133K00044    00</v>
      </c>
      <c r="B21261" t="s">
        <v>46089</v>
      </c>
      <c r="C21261" t="s">
        <v>46090</v>
      </c>
      <c r="D21261" t="s">
        <v>20</v>
      </c>
      <c r="E21261" t="s">
        <v>39</v>
      </c>
      <c r="F21261">
        <v>0</v>
      </c>
      <c r="G21261">
        <v>0</v>
      </c>
      <c r="H21261">
        <v>2</v>
      </c>
      <c r="I21261" s="3">
        <v>2067.1</v>
      </c>
      <c r="J21261" s="3">
        <v>0</v>
      </c>
      <c r="L21261">
        <v>1027</v>
      </c>
      <c r="M21261" t="s">
        <v>46086</v>
      </c>
      <c r="N21261" t="s">
        <v>285</v>
      </c>
      <c r="O21261" t="s">
        <v>31</v>
      </c>
      <c r="P21261" t="str">
        <f>"15120"</f>
        <v>15120</v>
      </c>
    </row>
    <row r="21262" spans="1:16" x14ac:dyDescent="0.25">
      <c r="A21262" t="str">
        <f>"1310133K00160    00"</f>
        <v>1310133K00160    00</v>
      </c>
      <c r="B21262" t="s">
        <v>46091</v>
      </c>
      <c r="C21262" t="s">
        <v>46092</v>
      </c>
      <c r="D21262" t="s">
        <v>20</v>
      </c>
      <c r="E21262" t="s">
        <v>39</v>
      </c>
      <c r="F21262">
        <v>0</v>
      </c>
      <c r="G21262">
        <v>0</v>
      </c>
      <c r="H21262">
        <v>3</v>
      </c>
      <c r="I21262" s="3">
        <v>1748.45</v>
      </c>
      <c r="J21262" s="3">
        <v>128.4</v>
      </c>
      <c r="L21262">
        <v>4632</v>
      </c>
      <c r="M21262" t="s">
        <v>46093</v>
      </c>
      <c r="N21262" t="s">
        <v>30</v>
      </c>
      <c r="O21262" t="s">
        <v>31</v>
      </c>
      <c r="P21262" t="str">
        <f>"15207"</f>
        <v>15207</v>
      </c>
    </row>
    <row r="21263" spans="1:16" x14ac:dyDescent="0.25">
      <c r="A21263" t="str">
        <f>"1310133N00013    00"</f>
        <v>1310133N00013    00</v>
      </c>
      <c r="B21263" t="s">
        <v>46094</v>
      </c>
      <c r="C21263" t="s">
        <v>46095</v>
      </c>
      <c r="D21263" t="s">
        <v>20</v>
      </c>
      <c r="E21263" t="s">
        <v>39</v>
      </c>
      <c r="F21263">
        <v>0</v>
      </c>
      <c r="G21263">
        <v>0</v>
      </c>
      <c r="H21263">
        <v>8</v>
      </c>
      <c r="I21263" s="3">
        <v>5153.54</v>
      </c>
      <c r="J21263" s="3">
        <v>1445.44</v>
      </c>
      <c r="K21263" t="s">
        <v>46096</v>
      </c>
      <c r="L21263">
        <v>1057</v>
      </c>
      <c r="M21263" t="s">
        <v>46068</v>
      </c>
      <c r="N21263" t="s">
        <v>285</v>
      </c>
      <c r="O21263" t="s">
        <v>31</v>
      </c>
      <c r="P21263" t="str">
        <f>"15120"</f>
        <v>15120</v>
      </c>
    </row>
    <row r="21264" spans="1:16" x14ac:dyDescent="0.25">
      <c r="A21264" t="str">
        <f>"1310133N00035    00"</f>
        <v>1310133N00035    00</v>
      </c>
      <c r="B21264" t="s">
        <v>46097</v>
      </c>
      <c r="C21264" t="s">
        <v>46098</v>
      </c>
      <c r="D21264" t="s">
        <v>20</v>
      </c>
      <c r="E21264" t="s">
        <v>39</v>
      </c>
      <c r="F21264">
        <v>0</v>
      </c>
      <c r="G21264">
        <v>0</v>
      </c>
      <c r="H21264">
        <v>1</v>
      </c>
      <c r="I21264" s="3">
        <v>702.95</v>
      </c>
      <c r="J21264" s="3">
        <v>0</v>
      </c>
      <c r="K21264" t="s">
        <v>46099</v>
      </c>
      <c r="M21264" t="s">
        <v>46100</v>
      </c>
      <c r="N21264" t="s">
        <v>1928</v>
      </c>
      <c r="O21264" t="s">
        <v>31</v>
      </c>
      <c r="P21264" t="str">
        <f>"15317"</f>
        <v>15317</v>
      </c>
    </row>
    <row r="21265" spans="1:16" x14ac:dyDescent="0.25">
      <c r="A21265" t="str">
        <f>"1310133N00049    00"</f>
        <v>1310133N00049    00</v>
      </c>
      <c r="B21265" t="s">
        <v>46101</v>
      </c>
      <c r="C21265" t="s">
        <v>46102</v>
      </c>
      <c r="D21265" t="s">
        <v>20</v>
      </c>
      <c r="E21265" t="s">
        <v>39</v>
      </c>
      <c r="F21265">
        <v>0</v>
      </c>
      <c r="G21265">
        <v>0</v>
      </c>
      <c r="H21265">
        <v>19</v>
      </c>
      <c r="I21265" s="3">
        <v>905.09</v>
      </c>
      <c r="J21265" s="3">
        <v>883.41</v>
      </c>
      <c r="L21265">
        <v>5400</v>
      </c>
      <c r="M21265" t="s">
        <v>46103</v>
      </c>
      <c r="N21265" t="s">
        <v>30</v>
      </c>
      <c r="O21265" t="s">
        <v>31</v>
      </c>
      <c r="P21265" t="str">
        <f>"15207"</f>
        <v>15207</v>
      </c>
    </row>
    <row r="21266" spans="1:16" x14ac:dyDescent="0.25">
      <c r="A21266" t="str">
        <f>"1310133N00202    00"</f>
        <v>1310133N00202    00</v>
      </c>
      <c r="B21266" t="s">
        <v>46104</v>
      </c>
      <c r="C21266" t="s">
        <v>46105</v>
      </c>
      <c r="E21266" t="s">
        <v>39</v>
      </c>
      <c r="F21266">
        <v>0</v>
      </c>
      <c r="G21266">
        <v>0</v>
      </c>
      <c r="H21266">
        <v>1</v>
      </c>
      <c r="I21266" s="3">
        <v>147.97</v>
      </c>
      <c r="J21266" s="3">
        <v>0</v>
      </c>
      <c r="L21266">
        <v>33</v>
      </c>
      <c r="M21266" t="s">
        <v>46106</v>
      </c>
      <c r="N21266" t="s">
        <v>199</v>
      </c>
      <c r="O21266" t="s">
        <v>200</v>
      </c>
      <c r="P21266" t="str">
        <f>"10003"</f>
        <v>10003</v>
      </c>
    </row>
    <row r="21267" spans="1:16" x14ac:dyDescent="0.25">
      <c r="A21267" t="str">
        <f>"1310133N00215    00"</f>
        <v>1310133N00215    00</v>
      </c>
      <c r="B21267" t="s">
        <v>46107</v>
      </c>
      <c r="C21267" t="s">
        <v>46108</v>
      </c>
      <c r="D21267" t="s">
        <v>20</v>
      </c>
      <c r="E21267" t="s">
        <v>39</v>
      </c>
      <c r="F21267">
        <v>0</v>
      </c>
      <c r="G21267">
        <v>0</v>
      </c>
      <c r="H21267">
        <v>3</v>
      </c>
      <c r="I21267" s="3">
        <v>1296.54</v>
      </c>
      <c r="J21267" s="3">
        <v>8.9499999999999993</v>
      </c>
      <c r="L21267">
        <v>1041</v>
      </c>
      <c r="M21267" t="s">
        <v>11986</v>
      </c>
      <c r="N21267" t="s">
        <v>30</v>
      </c>
      <c r="O21267" t="s">
        <v>31</v>
      </c>
      <c r="P21267" t="str">
        <f>"15207"</f>
        <v>15207</v>
      </c>
    </row>
    <row r="21268" spans="1:16" x14ac:dyDescent="0.25">
      <c r="A21268" t="str">
        <f>"1310133N00218    00"</f>
        <v>1310133N00218    00</v>
      </c>
      <c r="B21268" t="s">
        <v>46109</v>
      </c>
      <c r="C21268" t="s">
        <v>46110</v>
      </c>
      <c r="D21268" t="s">
        <v>20</v>
      </c>
      <c r="E21268" t="s">
        <v>39</v>
      </c>
      <c r="F21268">
        <v>0</v>
      </c>
      <c r="G21268">
        <v>0</v>
      </c>
      <c r="H21268">
        <v>8</v>
      </c>
      <c r="I21268" s="3">
        <v>4650.8999999999996</v>
      </c>
      <c r="J21268" s="3">
        <v>1414.53</v>
      </c>
      <c r="L21268">
        <v>1045</v>
      </c>
      <c r="M21268" t="s">
        <v>11986</v>
      </c>
      <c r="N21268" t="s">
        <v>30</v>
      </c>
      <c r="O21268" t="s">
        <v>31</v>
      </c>
      <c r="P21268" t="str">
        <f>"15207"</f>
        <v>15207</v>
      </c>
    </row>
    <row r="21269" spans="1:16" x14ac:dyDescent="0.25">
      <c r="A21269" t="str">
        <f>"1310133N00247    00"</f>
        <v>1310133N00247    00</v>
      </c>
      <c r="B21269" t="s">
        <v>46111</v>
      </c>
      <c r="C21269" t="s">
        <v>46112</v>
      </c>
      <c r="D21269" t="s">
        <v>20</v>
      </c>
      <c r="E21269" t="s">
        <v>39</v>
      </c>
      <c r="F21269">
        <v>0</v>
      </c>
      <c r="G21269">
        <v>0</v>
      </c>
      <c r="H21269">
        <v>2</v>
      </c>
      <c r="I21269" s="3">
        <v>961.64</v>
      </c>
      <c r="J21269" s="3">
        <v>0</v>
      </c>
      <c r="L21269">
        <v>4915</v>
      </c>
      <c r="M21269" t="s">
        <v>22468</v>
      </c>
      <c r="N21269" t="s">
        <v>30</v>
      </c>
      <c r="O21269" t="s">
        <v>31</v>
      </c>
      <c r="P21269" t="str">
        <f>"15207"</f>
        <v>15207</v>
      </c>
    </row>
    <row r="21270" spans="1:16" x14ac:dyDescent="0.25">
      <c r="A21270" t="str">
        <f>"1310133P00070    00"</f>
        <v>1310133P00070    00</v>
      </c>
      <c r="B21270" t="s">
        <v>46113</v>
      </c>
      <c r="C21270" t="s">
        <v>46114</v>
      </c>
      <c r="E21270" t="s">
        <v>39</v>
      </c>
      <c r="F21270">
        <v>0</v>
      </c>
      <c r="G21270">
        <v>0</v>
      </c>
      <c r="H21270">
        <v>1</v>
      </c>
      <c r="I21270" s="3">
        <v>1471.6</v>
      </c>
      <c r="J21270" s="3">
        <v>331.09</v>
      </c>
      <c r="K21270" t="s">
        <v>7145</v>
      </c>
      <c r="L21270">
        <v>3001</v>
      </c>
      <c r="M21270" t="s">
        <v>330</v>
      </c>
      <c r="N21270" t="s">
        <v>331</v>
      </c>
      <c r="O21270" t="s">
        <v>108</v>
      </c>
      <c r="P21270" t="str">
        <f>"75063"</f>
        <v>75063</v>
      </c>
    </row>
    <row r="21271" spans="1:16" x14ac:dyDescent="0.25">
      <c r="A21271" t="str">
        <f>"1310133P00072    00"</f>
        <v>1310133P00072    00</v>
      </c>
      <c r="B21271" t="s">
        <v>46115</v>
      </c>
      <c r="C21271" t="s">
        <v>46116</v>
      </c>
      <c r="E21271" t="s">
        <v>39</v>
      </c>
      <c r="F21271">
        <v>0</v>
      </c>
      <c r="G21271">
        <v>0</v>
      </c>
      <c r="H21271">
        <v>1</v>
      </c>
      <c r="I21271" s="3">
        <v>680.13</v>
      </c>
      <c r="J21271" s="3">
        <v>0</v>
      </c>
      <c r="L21271">
        <v>4815</v>
      </c>
      <c r="M21271" t="s">
        <v>46117</v>
      </c>
      <c r="N21271" t="s">
        <v>30</v>
      </c>
      <c r="O21271" t="s">
        <v>31</v>
      </c>
      <c r="P21271" t="str">
        <f>"15207"</f>
        <v>15207</v>
      </c>
    </row>
    <row r="21272" spans="1:16" x14ac:dyDescent="0.25">
      <c r="A21272" t="str">
        <f>"1310133P00156    00"</f>
        <v>1310133P00156    00</v>
      </c>
      <c r="B21272" t="s">
        <v>46118</v>
      </c>
      <c r="C21272" t="s">
        <v>46119</v>
      </c>
      <c r="D21272" t="s">
        <v>20</v>
      </c>
      <c r="E21272" t="s">
        <v>39</v>
      </c>
      <c r="F21272">
        <v>0</v>
      </c>
      <c r="G21272">
        <v>0</v>
      </c>
      <c r="H21272">
        <v>1</v>
      </c>
      <c r="I21272" s="3">
        <v>768.86</v>
      </c>
      <c r="J21272" s="3">
        <v>0</v>
      </c>
      <c r="L21272">
        <v>4638</v>
      </c>
      <c r="M21272" t="s">
        <v>46093</v>
      </c>
      <c r="N21272" t="s">
        <v>30</v>
      </c>
      <c r="O21272" t="s">
        <v>31</v>
      </c>
      <c r="P21272" t="str">
        <f>"15207"</f>
        <v>15207</v>
      </c>
    </row>
    <row r="21273" spans="1:16" x14ac:dyDescent="0.25">
      <c r="A21273" t="str">
        <f>"1310133P00167    00"</f>
        <v>1310133P00167    00</v>
      </c>
      <c r="B21273" t="s">
        <v>46120</v>
      </c>
      <c r="C21273" t="s">
        <v>46121</v>
      </c>
      <c r="D21273" t="s">
        <v>20</v>
      </c>
      <c r="E21273" t="s">
        <v>39</v>
      </c>
      <c r="F21273">
        <v>0</v>
      </c>
      <c r="G21273">
        <v>0</v>
      </c>
      <c r="H21273">
        <v>8</v>
      </c>
      <c r="I21273" s="3">
        <v>6299.65</v>
      </c>
      <c r="J21273" s="3">
        <v>2734.03</v>
      </c>
      <c r="K21273" t="s">
        <v>17263</v>
      </c>
      <c r="M21273" t="s">
        <v>17264</v>
      </c>
      <c r="N21273" t="s">
        <v>285</v>
      </c>
      <c r="O21273" t="s">
        <v>31</v>
      </c>
      <c r="P21273" t="str">
        <f>"15120"</f>
        <v>15120</v>
      </c>
    </row>
    <row r="21274" spans="1:16" x14ac:dyDescent="0.25">
      <c r="A21274" t="str">
        <f>"1310133P00176    00"</f>
        <v>1310133P00176    00</v>
      </c>
      <c r="B21274" t="s">
        <v>46122</v>
      </c>
      <c r="C21274" t="s">
        <v>46123</v>
      </c>
      <c r="D21274" t="s">
        <v>20</v>
      </c>
      <c r="E21274" t="s">
        <v>39</v>
      </c>
      <c r="F21274">
        <v>0</v>
      </c>
      <c r="G21274">
        <v>0</v>
      </c>
      <c r="H21274">
        <v>1</v>
      </c>
      <c r="I21274" s="3">
        <v>869.2</v>
      </c>
      <c r="J21274" s="3">
        <v>0</v>
      </c>
      <c r="L21274">
        <v>20823</v>
      </c>
      <c r="M21274" t="s">
        <v>46124</v>
      </c>
      <c r="N21274" t="s">
        <v>21904</v>
      </c>
      <c r="O21274" t="s">
        <v>108</v>
      </c>
      <c r="P21274" t="str">
        <f>"78258"</f>
        <v>78258</v>
      </c>
    </row>
    <row r="21275" spans="1:16" x14ac:dyDescent="0.25">
      <c r="A21275" t="str">
        <f>"1310133P00185    00"</f>
        <v>1310133P00185    00</v>
      </c>
      <c r="B21275" t="s">
        <v>46125</v>
      </c>
      <c r="C21275" t="s">
        <v>46126</v>
      </c>
      <c r="D21275" t="s">
        <v>20</v>
      </c>
      <c r="E21275" t="s">
        <v>39</v>
      </c>
      <c r="F21275">
        <v>0</v>
      </c>
      <c r="G21275">
        <v>0</v>
      </c>
      <c r="H21275">
        <v>1</v>
      </c>
      <c r="I21275" s="3">
        <v>20.96</v>
      </c>
      <c r="J21275" s="3">
        <v>0</v>
      </c>
      <c r="L21275">
        <v>121</v>
      </c>
      <c r="M21275" t="s">
        <v>20922</v>
      </c>
      <c r="N21275" t="s">
        <v>285</v>
      </c>
      <c r="O21275" t="s">
        <v>31</v>
      </c>
      <c r="P21275" t="str">
        <f>"15120"</f>
        <v>15120</v>
      </c>
    </row>
    <row r="21276" spans="1:16" x14ac:dyDescent="0.25">
      <c r="A21276" t="str">
        <f>"1310133P00204    00"</f>
        <v>1310133P00204    00</v>
      </c>
      <c r="B21276" t="s">
        <v>46127</v>
      </c>
      <c r="C21276" t="s">
        <v>46128</v>
      </c>
      <c r="D21276" t="s">
        <v>20</v>
      </c>
      <c r="E21276" t="s">
        <v>39</v>
      </c>
      <c r="F21276">
        <v>0</v>
      </c>
      <c r="G21276">
        <v>0</v>
      </c>
      <c r="H21276">
        <v>4</v>
      </c>
      <c r="I21276" s="3">
        <v>9143.16</v>
      </c>
      <c r="J21276" s="3">
        <v>1080.06</v>
      </c>
      <c r="K21276" t="s">
        <v>46129</v>
      </c>
      <c r="L21276">
        <v>1122</v>
      </c>
      <c r="M21276" t="s">
        <v>46130</v>
      </c>
      <c r="N21276" t="s">
        <v>3934</v>
      </c>
      <c r="O21276" t="s">
        <v>31</v>
      </c>
      <c r="P21276" t="str">
        <f>"15102"</f>
        <v>15102</v>
      </c>
    </row>
    <row r="21277" spans="1:16" x14ac:dyDescent="0.25">
      <c r="A21277" t="str">
        <f>"1310134A00022    00"</f>
        <v>1310134A00022    00</v>
      </c>
      <c r="B21277" t="s">
        <v>46131</v>
      </c>
      <c r="C21277" t="s">
        <v>46132</v>
      </c>
      <c r="D21277" t="s">
        <v>20</v>
      </c>
      <c r="E21277" t="s">
        <v>39</v>
      </c>
      <c r="F21277">
        <v>0</v>
      </c>
      <c r="G21277">
        <v>0</v>
      </c>
      <c r="H21277">
        <v>14</v>
      </c>
      <c r="I21277" s="3">
        <v>2470.92</v>
      </c>
      <c r="J21277" s="3">
        <v>2449.1</v>
      </c>
      <c r="L21277">
        <v>18</v>
      </c>
      <c r="M21277" t="s">
        <v>18832</v>
      </c>
      <c r="N21277" t="s">
        <v>46133</v>
      </c>
      <c r="O21277" t="s">
        <v>423</v>
      </c>
      <c r="P21277" t="str">
        <f>"07461"</f>
        <v>07461</v>
      </c>
    </row>
    <row r="21278" spans="1:16" x14ac:dyDescent="0.25">
      <c r="A21278" t="str">
        <f>"1310134A00052    00"</f>
        <v>1310134A00052    00</v>
      </c>
      <c r="B21278" t="s">
        <v>46134</v>
      </c>
      <c r="C21278" t="s">
        <v>46135</v>
      </c>
      <c r="D21278" t="s">
        <v>20</v>
      </c>
      <c r="E21278" t="s">
        <v>39</v>
      </c>
      <c r="F21278">
        <v>0</v>
      </c>
      <c r="G21278">
        <v>0</v>
      </c>
      <c r="H21278">
        <v>19</v>
      </c>
      <c r="I21278" s="3">
        <v>5124.22</v>
      </c>
      <c r="J21278" s="3">
        <v>5684.29</v>
      </c>
      <c r="L21278">
        <v>2753</v>
      </c>
      <c r="M21278" t="s">
        <v>22888</v>
      </c>
      <c r="N21278" t="s">
        <v>30</v>
      </c>
      <c r="O21278" t="s">
        <v>31</v>
      </c>
      <c r="P21278" t="str">
        <f>"15203"</f>
        <v>15203</v>
      </c>
    </row>
    <row r="21279" spans="1:16" x14ac:dyDescent="0.25">
      <c r="A21279" t="str">
        <f>"1310134A00054    00"</f>
        <v>1310134A00054    00</v>
      </c>
      <c r="B21279" t="s">
        <v>46136</v>
      </c>
      <c r="C21279" t="s">
        <v>46137</v>
      </c>
      <c r="D21279" t="s">
        <v>20</v>
      </c>
      <c r="E21279" t="s">
        <v>21</v>
      </c>
      <c r="F21279">
        <v>0</v>
      </c>
      <c r="G21279">
        <v>0</v>
      </c>
      <c r="H21279">
        <v>5</v>
      </c>
      <c r="I21279" s="3">
        <v>28.13</v>
      </c>
      <c r="J21279" s="3">
        <v>6.07</v>
      </c>
      <c r="L21279">
        <v>2231</v>
      </c>
      <c r="M21279" t="s">
        <v>3777</v>
      </c>
      <c r="N21279" t="s">
        <v>295</v>
      </c>
      <c r="O21279" t="s">
        <v>31</v>
      </c>
      <c r="P21279" t="str">
        <f>"15146"</f>
        <v>15146</v>
      </c>
    </row>
    <row r="21280" spans="1:16" x14ac:dyDescent="0.25">
      <c r="A21280" t="str">
        <f>"1310134A00059    00"</f>
        <v>1310134A00059    00</v>
      </c>
      <c r="B21280" t="s">
        <v>46138</v>
      </c>
      <c r="C21280" t="s">
        <v>46137</v>
      </c>
      <c r="D21280" t="s">
        <v>20</v>
      </c>
      <c r="E21280" t="s">
        <v>39</v>
      </c>
      <c r="F21280">
        <v>0</v>
      </c>
      <c r="G21280">
        <v>0</v>
      </c>
      <c r="H21280">
        <v>19</v>
      </c>
      <c r="I21280" s="3">
        <v>3071.13</v>
      </c>
      <c r="J21280" s="3">
        <v>3217.14</v>
      </c>
      <c r="K21280" t="s">
        <v>1008</v>
      </c>
      <c r="P21280" t="str">
        <f>"15210"</f>
        <v>15210</v>
      </c>
    </row>
    <row r="21281" spans="1:16" x14ac:dyDescent="0.25">
      <c r="A21281" t="str">
        <f>"1310134A00062    00"</f>
        <v>1310134A00062    00</v>
      </c>
      <c r="B21281" t="s">
        <v>46139</v>
      </c>
      <c r="C21281" t="s">
        <v>46140</v>
      </c>
      <c r="D21281" t="s">
        <v>20</v>
      </c>
      <c r="E21281" t="s">
        <v>39</v>
      </c>
      <c r="F21281">
        <v>0</v>
      </c>
      <c r="G21281">
        <v>0</v>
      </c>
      <c r="H21281">
        <v>10</v>
      </c>
      <c r="I21281" s="3">
        <v>5239.78</v>
      </c>
      <c r="J21281" s="3">
        <v>3087.02</v>
      </c>
      <c r="L21281">
        <v>26</v>
      </c>
      <c r="M21281" t="s">
        <v>46141</v>
      </c>
      <c r="N21281" t="s">
        <v>18305</v>
      </c>
      <c r="O21281" t="s">
        <v>31</v>
      </c>
      <c r="P21281" t="str">
        <f>"15330"</f>
        <v>15330</v>
      </c>
    </row>
    <row r="21282" spans="1:16" x14ac:dyDescent="0.25">
      <c r="A21282" t="str">
        <f>"1310134A00067    00"</f>
        <v>1310134A00067    00</v>
      </c>
      <c r="B21282" t="s">
        <v>21794</v>
      </c>
      <c r="C21282" t="s">
        <v>46142</v>
      </c>
      <c r="D21282" t="s">
        <v>20</v>
      </c>
      <c r="E21282" t="s">
        <v>39</v>
      </c>
      <c r="F21282">
        <v>0</v>
      </c>
      <c r="G21282">
        <v>0</v>
      </c>
      <c r="H21282">
        <v>4</v>
      </c>
      <c r="I21282" s="3">
        <v>4595.46</v>
      </c>
      <c r="J21282" s="3">
        <v>349.57</v>
      </c>
      <c r="L21282">
        <v>1386</v>
      </c>
      <c r="M21282" t="s">
        <v>22210</v>
      </c>
      <c r="N21282" t="s">
        <v>22211</v>
      </c>
      <c r="O21282" t="s">
        <v>370</v>
      </c>
      <c r="P21282" t="str">
        <f>"34952"</f>
        <v>34952</v>
      </c>
    </row>
    <row r="21283" spans="1:16" x14ac:dyDescent="0.25">
      <c r="A21283" t="str">
        <f>"1310134A00071    00"</f>
        <v>1310134A00071    00</v>
      </c>
      <c r="B21283" t="s">
        <v>46143</v>
      </c>
      <c r="C21283" t="s">
        <v>46135</v>
      </c>
      <c r="D21283" t="s">
        <v>20</v>
      </c>
      <c r="E21283" t="s">
        <v>39</v>
      </c>
      <c r="F21283">
        <v>0</v>
      </c>
      <c r="G21283">
        <v>0</v>
      </c>
      <c r="H21283">
        <v>19</v>
      </c>
      <c r="I21283" s="3">
        <v>4742.0200000000004</v>
      </c>
      <c r="J21283" s="3">
        <v>4456.92</v>
      </c>
      <c r="K21283" t="s">
        <v>1008</v>
      </c>
      <c r="P21283" t="str">
        <f>""</f>
        <v/>
      </c>
    </row>
    <row r="21284" spans="1:16" x14ac:dyDescent="0.25">
      <c r="A21284" t="str">
        <f>"1310134A00113    00"</f>
        <v>1310134A00113    00</v>
      </c>
      <c r="B21284" t="s">
        <v>46144</v>
      </c>
      <c r="C21284" t="s">
        <v>46145</v>
      </c>
      <c r="D21284" t="s">
        <v>20</v>
      </c>
      <c r="E21284" t="s">
        <v>39</v>
      </c>
      <c r="F21284">
        <v>0</v>
      </c>
      <c r="G21284">
        <v>0</v>
      </c>
      <c r="H21284">
        <v>2</v>
      </c>
      <c r="I21284" s="3">
        <v>287.42</v>
      </c>
      <c r="J21284" s="3">
        <v>0</v>
      </c>
      <c r="L21284">
        <v>642</v>
      </c>
      <c r="M21284" t="s">
        <v>29886</v>
      </c>
      <c r="N21284" t="s">
        <v>30</v>
      </c>
      <c r="O21284" t="s">
        <v>31</v>
      </c>
      <c r="P21284" t="str">
        <f>"15207"</f>
        <v>15207</v>
      </c>
    </row>
    <row r="21285" spans="1:16" x14ac:dyDescent="0.25">
      <c r="A21285" t="str">
        <f>"1310134A00116    00"</f>
        <v>1310134A00116    00</v>
      </c>
      <c r="B21285" t="s">
        <v>46146</v>
      </c>
      <c r="C21285" t="s">
        <v>46147</v>
      </c>
      <c r="E21285" t="s">
        <v>39</v>
      </c>
      <c r="F21285">
        <v>0</v>
      </c>
      <c r="G21285">
        <v>0</v>
      </c>
      <c r="H21285">
        <v>4</v>
      </c>
      <c r="I21285" s="3">
        <v>2276.19</v>
      </c>
      <c r="J21285" s="3">
        <v>490.21</v>
      </c>
      <c r="L21285">
        <v>640</v>
      </c>
      <c r="M21285" t="s">
        <v>29886</v>
      </c>
      <c r="N21285" t="s">
        <v>30</v>
      </c>
      <c r="O21285" t="s">
        <v>31</v>
      </c>
      <c r="P21285" t="str">
        <f>"15207"</f>
        <v>15207</v>
      </c>
    </row>
    <row r="21286" spans="1:16" x14ac:dyDescent="0.25">
      <c r="A21286" t="str">
        <f>"1310134A00118A   00"</f>
        <v>1310134A00118A   00</v>
      </c>
      <c r="B21286" t="s">
        <v>46148</v>
      </c>
      <c r="C21286" t="s">
        <v>46149</v>
      </c>
      <c r="E21286" t="s">
        <v>39</v>
      </c>
      <c r="F21286">
        <v>0</v>
      </c>
      <c r="G21286">
        <v>0</v>
      </c>
      <c r="H21286">
        <v>10</v>
      </c>
      <c r="I21286" s="3">
        <v>6980.67</v>
      </c>
      <c r="J21286" s="3">
        <v>9707.8799999999992</v>
      </c>
      <c r="M21286" t="s">
        <v>46150</v>
      </c>
      <c r="N21286" t="s">
        <v>1766</v>
      </c>
      <c r="O21286" t="s">
        <v>31</v>
      </c>
      <c r="P21286" t="str">
        <f>"15367"</f>
        <v>15367</v>
      </c>
    </row>
    <row r="21287" spans="1:16" x14ac:dyDescent="0.25">
      <c r="A21287" t="str">
        <f>"1310134A00140    00"</f>
        <v>1310134A00140    00</v>
      </c>
      <c r="B21287" t="s">
        <v>46151</v>
      </c>
      <c r="C21287" t="s">
        <v>46152</v>
      </c>
      <c r="D21287" t="s">
        <v>20</v>
      </c>
      <c r="E21287" t="s">
        <v>39</v>
      </c>
      <c r="F21287">
        <v>0</v>
      </c>
      <c r="G21287">
        <v>0</v>
      </c>
      <c r="H21287">
        <v>2</v>
      </c>
      <c r="I21287" s="3">
        <v>2035.6</v>
      </c>
      <c r="J21287" s="3">
        <v>0</v>
      </c>
      <c r="L21287">
        <v>20</v>
      </c>
      <c r="M21287" t="s">
        <v>46153</v>
      </c>
      <c r="N21287" t="s">
        <v>30</v>
      </c>
      <c r="O21287" t="s">
        <v>31</v>
      </c>
      <c r="P21287" t="str">
        <f>"15207"</f>
        <v>15207</v>
      </c>
    </row>
    <row r="21288" spans="1:16" x14ac:dyDescent="0.25">
      <c r="A21288" t="str">
        <f>"1310134A00196    00"</f>
        <v>1310134A00196    00</v>
      </c>
      <c r="B21288" t="s">
        <v>46154</v>
      </c>
      <c r="C21288" t="s">
        <v>45966</v>
      </c>
      <c r="D21288" t="s">
        <v>20</v>
      </c>
      <c r="E21288" t="s">
        <v>39</v>
      </c>
      <c r="F21288">
        <v>0</v>
      </c>
      <c r="G21288">
        <v>0</v>
      </c>
      <c r="H21288">
        <v>19</v>
      </c>
      <c r="I21288" s="3">
        <v>5299.52</v>
      </c>
      <c r="J21288" s="3">
        <v>4998.42</v>
      </c>
      <c r="L21288">
        <v>836</v>
      </c>
      <c r="M21288" t="s">
        <v>14713</v>
      </c>
      <c r="N21288" t="s">
        <v>30</v>
      </c>
      <c r="O21288" t="s">
        <v>31</v>
      </c>
      <c r="P21288" t="str">
        <f>"15210"</f>
        <v>15210</v>
      </c>
    </row>
    <row r="21289" spans="1:16" x14ac:dyDescent="0.25">
      <c r="A21289" t="str">
        <f>"1310134A00199    00"</f>
        <v>1310134A00199    00</v>
      </c>
      <c r="B21289" t="s">
        <v>46155</v>
      </c>
      <c r="C21289" t="s">
        <v>46156</v>
      </c>
      <c r="E21289" t="s">
        <v>39</v>
      </c>
      <c r="F21289">
        <v>0</v>
      </c>
      <c r="G21289">
        <v>0</v>
      </c>
      <c r="H21289">
        <v>1</v>
      </c>
      <c r="I21289" s="3">
        <v>1023.53</v>
      </c>
      <c r="J21289" s="3">
        <v>204.7</v>
      </c>
      <c r="K21289" t="s">
        <v>46157</v>
      </c>
      <c r="L21289">
        <v>32</v>
      </c>
      <c r="M21289" t="s">
        <v>46016</v>
      </c>
      <c r="N21289" t="s">
        <v>30</v>
      </c>
      <c r="O21289" t="s">
        <v>31</v>
      </c>
      <c r="P21289" t="str">
        <f>"15207"</f>
        <v>15207</v>
      </c>
    </row>
    <row r="21290" spans="1:16" x14ac:dyDescent="0.25">
      <c r="A21290" t="str">
        <f>"1310134A00205    00"</f>
        <v>1310134A00205    00</v>
      </c>
      <c r="B21290" t="s">
        <v>46158</v>
      </c>
      <c r="C21290" t="s">
        <v>46149</v>
      </c>
      <c r="D21290" t="s">
        <v>20</v>
      </c>
      <c r="E21290" t="s">
        <v>39</v>
      </c>
      <c r="F21290">
        <v>0</v>
      </c>
      <c r="G21290">
        <v>0</v>
      </c>
      <c r="H21290">
        <v>19</v>
      </c>
      <c r="I21290" s="3">
        <v>193.29</v>
      </c>
      <c r="J21290" s="3">
        <v>140.93</v>
      </c>
      <c r="L21290">
        <v>2353</v>
      </c>
      <c r="M21290" t="s">
        <v>46159</v>
      </c>
      <c r="N21290" t="s">
        <v>30</v>
      </c>
      <c r="O21290" t="s">
        <v>31</v>
      </c>
      <c r="P21290" t="str">
        <f>"15220"</f>
        <v>15220</v>
      </c>
    </row>
    <row r="21291" spans="1:16" x14ac:dyDescent="0.25">
      <c r="A21291" t="str">
        <f>"1310134A00206    00"</f>
        <v>1310134A00206    00</v>
      </c>
      <c r="B21291" t="s">
        <v>46160</v>
      </c>
      <c r="C21291" t="s">
        <v>46161</v>
      </c>
      <c r="D21291" t="s">
        <v>20</v>
      </c>
      <c r="E21291" t="s">
        <v>39</v>
      </c>
      <c r="F21291">
        <v>0</v>
      </c>
      <c r="G21291">
        <v>0</v>
      </c>
      <c r="H21291">
        <v>19</v>
      </c>
      <c r="I21291" s="3">
        <v>1314.36</v>
      </c>
      <c r="J21291" s="3">
        <v>826.69</v>
      </c>
      <c r="K21291" t="s">
        <v>1008</v>
      </c>
      <c r="P21291" t="str">
        <f>""</f>
        <v/>
      </c>
    </row>
    <row r="21292" spans="1:16" x14ac:dyDescent="0.25">
      <c r="A21292" t="str">
        <f>"1310134A00213    00"</f>
        <v>1310134A00213    00</v>
      </c>
      <c r="B21292" t="s">
        <v>46162</v>
      </c>
      <c r="C21292" t="s">
        <v>46161</v>
      </c>
      <c r="D21292" t="s">
        <v>20</v>
      </c>
      <c r="E21292" t="s">
        <v>39</v>
      </c>
      <c r="F21292">
        <v>0</v>
      </c>
      <c r="G21292">
        <v>0</v>
      </c>
      <c r="H21292">
        <v>19</v>
      </c>
      <c r="I21292" s="3">
        <v>298.68</v>
      </c>
      <c r="J21292" s="3">
        <v>235.52</v>
      </c>
      <c r="K21292" t="s">
        <v>1008</v>
      </c>
      <c r="P21292" t="str">
        <f>""</f>
        <v/>
      </c>
    </row>
    <row r="21293" spans="1:16" x14ac:dyDescent="0.25">
      <c r="A21293" t="str">
        <f>"1310134A00214    00"</f>
        <v>1310134A00214    00</v>
      </c>
      <c r="B21293" t="s">
        <v>46163</v>
      </c>
      <c r="C21293" t="s">
        <v>46161</v>
      </c>
      <c r="D21293" t="s">
        <v>20</v>
      </c>
      <c r="E21293" t="s">
        <v>39</v>
      </c>
      <c r="F21293">
        <v>0</v>
      </c>
      <c r="G21293">
        <v>0</v>
      </c>
      <c r="H21293">
        <v>19</v>
      </c>
      <c r="I21293" s="3">
        <v>2884.79</v>
      </c>
      <c r="J21293" s="3">
        <v>1720.44</v>
      </c>
      <c r="P21293" t="str">
        <f>""</f>
        <v/>
      </c>
    </row>
    <row r="21294" spans="1:16" x14ac:dyDescent="0.25">
      <c r="A21294" t="str">
        <f>"1310134A00217    00"</f>
        <v>1310134A00217    00</v>
      </c>
      <c r="B21294" t="s">
        <v>46164</v>
      </c>
      <c r="C21294" t="s">
        <v>46161</v>
      </c>
      <c r="D21294" t="s">
        <v>20</v>
      </c>
      <c r="E21294" t="s">
        <v>39</v>
      </c>
      <c r="F21294">
        <v>0</v>
      </c>
      <c r="G21294">
        <v>0</v>
      </c>
      <c r="H21294">
        <v>19</v>
      </c>
      <c r="I21294" s="3">
        <v>257.02999999999997</v>
      </c>
      <c r="J21294" s="3">
        <v>194.1</v>
      </c>
      <c r="L21294">
        <v>583</v>
      </c>
      <c r="M21294" t="s">
        <v>29886</v>
      </c>
      <c r="N21294" t="s">
        <v>30</v>
      </c>
      <c r="O21294" t="s">
        <v>31</v>
      </c>
      <c r="P21294" t="str">
        <f>"15207"</f>
        <v>15207</v>
      </c>
    </row>
    <row r="21295" spans="1:16" x14ac:dyDescent="0.25">
      <c r="A21295" t="str">
        <f>"1310134A00218    00"</f>
        <v>1310134A00218    00</v>
      </c>
      <c r="B21295" t="s">
        <v>46165</v>
      </c>
      <c r="C21295" t="s">
        <v>46161</v>
      </c>
      <c r="D21295" t="s">
        <v>20</v>
      </c>
      <c r="E21295" t="s">
        <v>39</v>
      </c>
      <c r="F21295">
        <v>0</v>
      </c>
      <c r="G21295">
        <v>0</v>
      </c>
      <c r="H21295">
        <v>19</v>
      </c>
      <c r="I21295" s="3">
        <v>257.02999999999997</v>
      </c>
      <c r="J21295" s="3">
        <v>194.1</v>
      </c>
      <c r="K21295" t="s">
        <v>1008</v>
      </c>
      <c r="P21295" t="str">
        <f>""</f>
        <v/>
      </c>
    </row>
    <row r="21296" spans="1:16" x14ac:dyDescent="0.25">
      <c r="A21296" t="str">
        <f>"1310134A00220    00"</f>
        <v>1310134A00220    00</v>
      </c>
      <c r="B21296" t="s">
        <v>46166</v>
      </c>
      <c r="C21296" t="s">
        <v>46161</v>
      </c>
      <c r="D21296" t="s">
        <v>20</v>
      </c>
      <c r="E21296" t="s">
        <v>39</v>
      </c>
      <c r="F21296">
        <v>0</v>
      </c>
      <c r="G21296">
        <v>0</v>
      </c>
      <c r="H21296">
        <v>19</v>
      </c>
      <c r="I21296" s="3">
        <v>235.02</v>
      </c>
      <c r="J21296" s="3">
        <v>182.46</v>
      </c>
      <c r="K21296" t="s">
        <v>1008</v>
      </c>
      <c r="P21296" t="str">
        <f>""</f>
        <v/>
      </c>
    </row>
    <row r="21297" spans="1:16" x14ac:dyDescent="0.25">
      <c r="A21297" t="str">
        <f>"1310134A00221    00"</f>
        <v>1310134A00221    00</v>
      </c>
      <c r="B21297" t="s">
        <v>7003</v>
      </c>
      <c r="C21297" t="s">
        <v>46149</v>
      </c>
      <c r="D21297" t="s">
        <v>20</v>
      </c>
      <c r="E21297" t="s">
        <v>39</v>
      </c>
      <c r="F21297">
        <v>0</v>
      </c>
      <c r="G21297">
        <v>0</v>
      </c>
      <c r="H21297">
        <v>19</v>
      </c>
      <c r="I21297" s="3">
        <v>217.43</v>
      </c>
      <c r="J21297" s="3">
        <v>134.38</v>
      </c>
      <c r="L21297">
        <v>500</v>
      </c>
      <c r="M21297" t="s">
        <v>7004</v>
      </c>
      <c r="N21297" t="s">
        <v>6603</v>
      </c>
      <c r="O21297" t="s">
        <v>31</v>
      </c>
      <c r="P21297" t="str">
        <f>"15122"</f>
        <v>15122</v>
      </c>
    </row>
    <row r="21298" spans="1:16" x14ac:dyDescent="0.25">
      <c r="A21298" t="str">
        <f>"1310134A00226    00"</f>
        <v>1310134A00226    00</v>
      </c>
      <c r="B21298" t="s">
        <v>46167</v>
      </c>
      <c r="C21298" t="s">
        <v>46149</v>
      </c>
      <c r="D21298" t="s">
        <v>20</v>
      </c>
      <c r="E21298" t="s">
        <v>39</v>
      </c>
      <c r="F21298">
        <v>0</v>
      </c>
      <c r="G21298">
        <v>0</v>
      </c>
      <c r="H21298">
        <v>19</v>
      </c>
      <c r="I21298" s="3">
        <v>4630.22</v>
      </c>
      <c r="J21298" s="3">
        <v>4312.97</v>
      </c>
      <c r="M21298" t="s">
        <v>46168</v>
      </c>
      <c r="N21298" t="s">
        <v>21130</v>
      </c>
      <c r="O21298" t="s">
        <v>31</v>
      </c>
      <c r="P21298" t="str">
        <f>"15120"</f>
        <v>15120</v>
      </c>
    </row>
    <row r="21299" spans="1:16" x14ac:dyDescent="0.25">
      <c r="A21299" t="str">
        <f>"1310134A00227    00"</f>
        <v>1310134A00227    00</v>
      </c>
      <c r="B21299" t="s">
        <v>46167</v>
      </c>
      <c r="C21299" t="s">
        <v>46149</v>
      </c>
      <c r="D21299" t="s">
        <v>20</v>
      </c>
      <c r="E21299" t="s">
        <v>39</v>
      </c>
      <c r="F21299">
        <v>0</v>
      </c>
      <c r="G21299">
        <v>0</v>
      </c>
      <c r="H21299">
        <v>19</v>
      </c>
      <c r="I21299" s="3">
        <v>4605.49</v>
      </c>
      <c r="J21299" s="3">
        <v>4277.2700000000004</v>
      </c>
      <c r="K21299" t="s">
        <v>1008</v>
      </c>
      <c r="P21299" t="str">
        <f>""</f>
        <v/>
      </c>
    </row>
    <row r="21300" spans="1:16" x14ac:dyDescent="0.25">
      <c r="A21300" t="str">
        <f>"1310134A00228    00"</f>
        <v>1310134A00228    00</v>
      </c>
      <c r="B21300" t="s">
        <v>46169</v>
      </c>
      <c r="C21300" t="s">
        <v>46170</v>
      </c>
      <c r="E21300" t="s">
        <v>39</v>
      </c>
      <c r="F21300">
        <v>0</v>
      </c>
      <c r="G21300">
        <v>0</v>
      </c>
      <c r="H21300">
        <v>2</v>
      </c>
      <c r="I21300" s="3">
        <v>1082.6500000000001</v>
      </c>
      <c r="J21300" s="3">
        <v>1090.77</v>
      </c>
      <c r="L21300">
        <v>1424</v>
      </c>
      <c r="M21300" t="s">
        <v>46171</v>
      </c>
      <c r="N21300" t="s">
        <v>6603</v>
      </c>
      <c r="O21300" t="s">
        <v>31</v>
      </c>
      <c r="P21300" t="str">
        <f>"15122"</f>
        <v>15122</v>
      </c>
    </row>
    <row r="21301" spans="1:16" x14ac:dyDescent="0.25">
      <c r="A21301" t="str">
        <f>"1310134A00245    00"</f>
        <v>1310134A00245    00</v>
      </c>
      <c r="B21301" t="s">
        <v>46172</v>
      </c>
      <c r="C21301" t="s">
        <v>46149</v>
      </c>
      <c r="D21301" t="s">
        <v>20</v>
      </c>
      <c r="E21301" t="s">
        <v>39</v>
      </c>
      <c r="F21301">
        <v>0</v>
      </c>
      <c r="G21301">
        <v>0</v>
      </c>
      <c r="H21301">
        <v>9</v>
      </c>
      <c r="I21301" s="3">
        <v>1512.95</v>
      </c>
      <c r="J21301" s="3">
        <v>1475.19</v>
      </c>
      <c r="L21301">
        <v>1413</v>
      </c>
      <c r="M21301" t="s">
        <v>46173</v>
      </c>
      <c r="N21301" t="s">
        <v>285</v>
      </c>
      <c r="O21301" t="s">
        <v>31</v>
      </c>
      <c r="P21301" t="str">
        <f>"15120"</f>
        <v>15120</v>
      </c>
    </row>
    <row r="21302" spans="1:16" x14ac:dyDescent="0.25">
      <c r="A21302" t="str">
        <f>"1310134A00325    00"</f>
        <v>1310134A00325    00</v>
      </c>
      <c r="B21302" t="s">
        <v>45978</v>
      </c>
      <c r="C21302" t="s">
        <v>45970</v>
      </c>
      <c r="D21302" t="s">
        <v>20</v>
      </c>
      <c r="E21302" t="s">
        <v>39</v>
      </c>
      <c r="F21302">
        <v>0</v>
      </c>
      <c r="G21302">
        <v>0</v>
      </c>
      <c r="H21302">
        <v>17</v>
      </c>
      <c r="I21302" s="3">
        <v>11495.98</v>
      </c>
      <c r="J21302" s="3">
        <v>7861.49</v>
      </c>
      <c r="P21302" t="str">
        <f>""</f>
        <v/>
      </c>
    </row>
    <row r="21303" spans="1:16" x14ac:dyDescent="0.25">
      <c r="A21303" t="str">
        <f>"1310134B00006    00"</f>
        <v>1310134B00006    00</v>
      </c>
      <c r="B21303" t="s">
        <v>45978</v>
      </c>
      <c r="C21303" t="s">
        <v>46024</v>
      </c>
      <c r="D21303" t="s">
        <v>20</v>
      </c>
      <c r="E21303" t="s">
        <v>39</v>
      </c>
      <c r="F21303">
        <v>0</v>
      </c>
      <c r="G21303">
        <v>0</v>
      </c>
      <c r="H21303">
        <v>15</v>
      </c>
      <c r="I21303" s="3">
        <v>5364.95</v>
      </c>
      <c r="J21303" s="3">
        <v>3261.25</v>
      </c>
      <c r="P21303" t="str">
        <f>""</f>
        <v/>
      </c>
    </row>
    <row r="21304" spans="1:16" x14ac:dyDescent="0.25">
      <c r="A21304" t="str">
        <f>"1310134B00134    00"</f>
        <v>1310134B00134    00</v>
      </c>
      <c r="B21304" t="s">
        <v>46022</v>
      </c>
      <c r="C21304" t="s">
        <v>45970</v>
      </c>
      <c r="D21304" t="s">
        <v>20</v>
      </c>
      <c r="E21304" t="s">
        <v>39</v>
      </c>
      <c r="F21304">
        <v>0</v>
      </c>
      <c r="G21304">
        <v>0</v>
      </c>
      <c r="H21304">
        <v>15</v>
      </c>
      <c r="I21304" s="3">
        <v>6367.22</v>
      </c>
      <c r="J21304" s="3">
        <v>3842.08</v>
      </c>
      <c r="L21304">
        <v>4821</v>
      </c>
      <c r="M21304" t="s">
        <v>45980</v>
      </c>
      <c r="N21304" t="s">
        <v>6603</v>
      </c>
      <c r="O21304" t="s">
        <v>31</v>
      </c>
      <c r="P21304" t="str">
        <f>"15122"</f>
        <v>15122</v>
      </c>
    </row>
    <row r="21305" spans="1:16" x14ac:dyDescent="0.25">
      <c r="A21305" t="str">
        <f>"1310134B00136    00"</f>
        <v>1310134B00136    00</v>
      </c>
      <c r="B21305" t="s">
        <v>45978</v>
      </c>
      <c r="C21305" t="s">
        <v>45970</v>
      </c>
      <c r="D21305" t="s">
        <v>20</v>
      </c>
      <c r="E21305" t="s">
        <v>39</v>
      </c>
      <c r="F21305">
        <v>0</v>
      </c>
      <c r="G21305">
        <v>0</v>
      </c>
      <c r="H21305">
        <v>15</v>
      </c>
      <c r="I21305" s="3">
        <v>4907.71</v>
      </c>
      <c r="J21305" s="3">
        <v>2993.85</v>
      </c>
      <c r="P21305" t="str">
        <f>""</f>
        <v/>
      </c>
    </row>
    <row r="21306" spans="1:16" x14ac:dyDescent="0.25">
      <c r="A21306" t="str">
        <f>"1310134B00176    00"</f>
        <v>1310134B00176    00</v>
      </c>
      <c r="B21306" t="s">
        <v>45978</v>
      </c>
      <c r="C21306" t="s">
        <v>45970</v>
      </c>
      <c r="D21306" t="s">
        <v>20</v>
      </c>
      <c r="E21306" t="s">
        <v>39</v>
      </c>
      <c r="F21306">
        <v>0</v>
      </c>
      <c r="G21306">
        <v>0</v>
      </c>
      <c r="H21306">
        <v>17</v>
      </c>
      <c r="I21306" s="3">
        <v>4846.0200000000004</v>
      </c>
      <c r="J21306" s="3">
        <v>3511.47</v>
      </c>
      <c r="P21306" t="str">
        <f>""</f>
        <v/>
      </c>
    </row>
    <row r="21307" spans="1:16" x14ac:dyDescent="0.25">
      <c r="A21307" t="str">
        <f>"1310134B00309    00"</f>
        <v>1310134B00309    00</v>
      </c>
      <c r="B21307" t="s">
        <v>46174</v>
      </c>
      <c r="C21307" t="s">
        <v>46175</v>
      </c>
      <c r="D21307" t="s">
        <v>20</v>
      </c>
      <c r="E21307" t="s">
        <v>39</v>
      </c>
      <c r="F21307">
        <v>0</v>
      </c>
      <c r="G21307">
        <v>0</v>
      </c>
      <c r="H21307">
        <v>2</v>
      </c>
      <c r="I21307" s="3">
        <v>816.78</v>
      </c>
      <c r="J21307" s="3">
        <v>0</v>
      </c>
      <c r="K21307" t="s">
        <v>46176</v>
      </c>
      <c r="L21307">
        <v>1161</v>
      </c>
      <c r="M21307" t="s">
        <v>46177</v>
      </c>
      <c r="N21307" t="s">
        <v>30</v>
      </c>
      <c r="O21307" t="s">
        <v>31</v>
      </c>
      <c r="P21307" t="str">
        <f>"15235"</f>
        <v>15235</v>
      </c>
    </row>
    <row r="21308" spans="1:16" x14ac:dyDescent="0.25">
      <c r="A21308" t="str">
        <f>"1310134B00330    00"</f>
        <v>1310134B00330    00</v>
      </c>
      <c r="B21308" t="s">
        <v>46167</v>
      </c>
      <c r="C21308" t="s">
        <v>46149</v>
      </c>
      <c r="D21308" t="s">
        <v>20</v>
      </c>
      <c r="E21308" t="s">
        <v>39</v>
      </c>
      <c r="F21308">
        <v>0</v>
      </c>
      <c r="G21308">
        <v>0</v>
      </c>
      <c r="H21308">
        <v>13</v>
      </c>
      <c r="I21308" s="3">
        <v>3884.53</v>
      </c>
      <c r="J21308" s="3">
        <v>4656.76</v>
      </c>
      <c r="M21308" t="s">
        <v>46178</v>
      </c>
      <c r="N21308" t="s">
        <v>30</v>
      </c>
      <c r="O21308" t="s">
        <v>31</v>
      </c>
      <c r="P21308" t="str">
        <f>"15207"</f>
        <v>15207</v>
      </c>
    </row>
    <row r="21309" spans="1:16" x14ac:dyDescent="0.25">
      <c r="A21309" t="str">
        <f>"1310134D00034    00"</f>
        <v>1310134D00034    00</v>
      </c>
      <c r="B21309" t="s">
        <v>46179</v>
      </c>
      <c r="C21309" t="s">
        <v>46180</v>
      </c>
      <c r="D21309" t="s">
        <v>20</v>
      </c>
      <c r="E21309" t="s">
        <v>39</v>
      </c>
      <c r="F21309">
        <v>0</v>
      </c>
      <c r="G21309">
        <v>0</v>
      </c>
      <c r="H21309">
        <v>1</v>
      </c>
      <c r="I21309" s="3">
        <v>2220.77</v>
      </c>
      <c r="J21309" s="3">
        <v>0</v>
      </c>
      <c r="K21309" t="s">
        <v>46181</v>
      </c>
      <c r="L21309">
        <v>4445</v>
      </c>
      <c r="M21309" t="s">
        <v>46182</v>
      </c>
      <c r="N21309" t="s">
        <v>285</v>
      </c>
      <c r="O21309" t="s">
        <v>31</v>
      </c>
      <c r="P21309" t="str">
        <f>"15120"</f>
        <v>15120</v>
      </c>
    </row>
    <row r="21310" spans="1:16" x14ac:dyDescent="0.25">
      <c r="A21310" t="str">
        <f>"1310134E00015    00"</f>
        <v>1310134E00015    00</v>
      </c>
      <c r="B21310" t="s">
        <v>46183</v>
      </c>
      <c r="C21310" t="s">
        <v>46184</v>
      </c>
      <c r="D21310" t="s">
        <v>20</v>
      </c>
      <c r="E21310" t="s">
        <v>39</v>
      </c>
      <c r="F21310">
        <v>0</v>
      </c>
      <c r="G21310">
        <v>0</v>
      </c>
      <c r="H21310">
        <v>4</v>
      </c>
      <c r="I21310" s="3">
        <v>229.86</v>
      </c>
      <c r="J21310" s="3">
        <v>35.72</v>
      </c>
      <c r="L21310">
        <v>30</v>
      </c>
      <c r="M21310" t="s">
        <v>46185</v>
      </c>
      <c r="N21310" t="s">
        <v>30</v>
      </c>
      <c r="O21310" t="s">
        <v>31</v>
      </c>
      <c r="P21310" t="str">
        <f>"15207"</f>
        <v>15207</v>
      </c>
    </row>
    <row r="21311" spans="1:16" x14ac:dyDescent="0.25">
      <c r="A21311" t="str">
        <f>"1310134E00042    00"</f>
        <v>1310134E00042    00</v>
      </c>
      <c r="B21311" t="s">
        <v>46186</v>
      </c>
      <c r="C21311" t="s">
        <v>46137</v>
      </c>
      <c r="D21311" t="s">
        <v>20</v>
      </c>
      <c r="E21311" t="s">
        <v>39</v>
      </c>
      <c r="F21311">
        <v>0</v>
      </c>
      <c r="G21311">
        <v>0</v>
      </c>
      <c r="H21311">
        <v>19</v>
      </c>
      <c r="I21311" s="3">
        <v>6400.11</v>
      </c>
      <c r="J21311" s="3">
        <v>6141.28</v>
      </c>
      <c r="K21311" t="s">
        <v>1008</v>
      </c>
      <c r="P21311" t="str">
        <f>""</f>
        <v/>
      </c>
    </row>
    <row r="21312" spans="1:16" x14ac:dyDescent="0.25">
      <c r="A21312" t="str">
        <f>"1310134E00077    00"</f>
        <v>1310134E00077    00</v>
      </c>
      <c r="B21312" t="s">
        <v>46138</v>
      </c>
      <c r="C21312" t="s">
        <v>46137</v>
      </c>
      <c r="D21312" t="s">
        <v>20</v>
      </c>
      <c r="E21312" t="s">
        <v>39</v>
      </c>
      <c r="F21312">
        <v>0</v>
      </c>
      <c r="G21312">
        <v>0</v>
      </c>
      <c r="H21312">
        <v>19</v>
      </c>
      <c r="I21312" s="3">
        <v>4959.5</v>
      </c>
      <c r="J21312" s="3">
        <v>4548.84</v>
      </c>
      <c r="P21312" t="str">
        <f>"15210"</f>
        <v>15210</v>
      </c>
    </row>
    <row r="21313" spans="1:16" x14ac:dyDescent="0.25">
      <c r="A21313" t="str">
        <f>"1310134E00395    00"</f>
        <v>1310134E00395    00</v>
      </c>
      <c r="B21313" t="s">
        <v>46187</v>
      </c>
      <c r="C21313" t="s">
        <v>46188</v>
      </c>
      <c r="D21313" t="s">
        <v>20</v>
      </c>
      <c r="E21313" t="s">
        <v>39</v>
      </c>
      <c r="F21313">
        <v>0</v>
      </c>
      <c r="G21313">
        <v>0</v>
      </c>
      <c r="H21313">
        <v>19</v>
      </c>
      <c r="I21313" s="3">
        <v>18881.11</v>
      </c>
      <c r="J21313" s="3">
        <v>16293.28</v>
      </c>
      <c r="L21313">
        <v>8328</v>
      </c>
      <c r="M21313" t="s">
        <v>46189</v>
      </c>
      <c r="N21313" t="s">
        <v>30</v>
      </c>
      <c r="O21313" t="s">
        <v>31</v>
      </c>
      <c r="P21313" t="str">
        <f>"15221"</f>
        <v>15221</v>
      </c>
    </row>
    <row r="21314" spans="1:16" x14ac:dyDescent="0.25">
      <c r="A21314" t="str">
        <f>"1310134F00010    00"</f>
        <v>1310134F00010    00</v>
      </c>
      <c r="B21314" t="s">
        <v>46190</v>
      </c>
      <c r="C21314" t="s">
        <v>46191</v>
      </c>
      <c r="E21314" t="s">
        <v>39</v>
      </c>
      <c r="F21314">
        <v>0</v>
      </c>
      <c r="G21314">
        <v>0</v>
      </c>
      <c r="H21314">
        <v>7</v>
      </c>
      <c r="I21314" s="3">
        <v>3781.45</v>
      </c>
      <c r="J21314" s="3">
        <v>3846.66</v>
      </c>
      <c r="K21314" t="s">
        <v>24060</v>
      </c>
      <c r="L21314">
        <v>4740</v>
      </c>
      <c r="M21314" t="s">
        <v>24061</v>
      </c>
      <c r="N21314" t="s">
        <v>30</v>
      </c>
      <c r="O21314" t="s">
        <v>31</v>
      </c>
      <c r="P21314" t="str">
        <f>"15236"</f>
        <v>15236</v>
      </c>
    </row>
    <row r="21315" spans="1:16" x14ac:dyDescent="0.25">
      <c r="A21315" t="str">
        <f>"1310134F00090    00"</f>
        <v>1310134F00090    00</v>
      </c>
      <c r="B21315" t="s">
        <v>46192</v>
      </c>
      <c r="C21315" t="s">
        <v>46149</v>
      </c>
      <c r="D21315" t="s">
        <v>20</v>
      </c>
      <c r="E21315" t="s">
        <v>39</v>
      </c>
      <c r="F21315">
        <v>0</v>
      </c>
      <c r="G21315">
        <v>0</v>
      </c>
      <c r="H21315">
        <v>19</v>
      </c>
      <c r="I21315" s="3">
        <v>4410.22</v>
      </c>
      <c r="J21315" s="3">
        <v>4079.4</v>
      </c>
      <c r="K21315" t="s">
        <v>46193</v>
      </c>
      <c r="L21315">
        <v>18</v>
      </c>
      <c r="M21315" t="s">
        <v>26986</v>
      </c>
      <c r="N21315" t="s">
        <v>46194</v>
      </c>
      <c r="O21315" t="s">
        <v>554</v>
      </c>
      <c r="P21315" t="str">
        <f>"26354"</f>
        <v>26354</v>
      </c>
    </row>
    <row r="21316" spans="1:16" x14ac:dyDescent="0.25">
      <c r="A21316" t="str">
        <f>"1310134F00140    00"</f>
        <v>1310134F00140    00</v>
      </c>
      <c r="B21316" t="s">
        <v>46195</v>
      </c>
      <c r="C21316" t="s">
        <v>46149</v>
      </c>
      <c r="D21316" t="s">
        <v>20</v>
      </c>
      <c r="E21316" t="s">
        <v>39</v>
      </c>
      <c r="F21316">
        <v>0</v>
      </c>
      <c r="G21316">
        <v>0</v>
      </c>
      <c r="H21316">
        <v>19</v>
      </c>
      <c r="I21316" s="3">
        <v>3421.66</v>
      </c>
      <c r="J21316" s="3">
        <v>3762.4</v>
      </c>
      <c r="L21316">
        <v>737</v>
      </c>
      <c r="M21316" t="s">
        <v>29886</v>
      </c>
      <c r="N21316" t="s">
        <v>30</v>
      </c>
      <c r="O21316" t="s">
        <v>31</v>
      </c>
      <c r="P21316" t="str">
        <f>"15207"</f>
        <v>15207</v>
      </c>
    </row>
    <row r="21317" spans="1:16" x14ac:dyDescent="0.25">
      <c r="A21317" t="str">
        <f>"1310134F00142    00"</f>
        <v>1310134F00142    00</v>
      </c>
      <c r="B21317" t="s">
        <v>46195</v>
      </c>
      <c r="C21317" t="s">
        <v>46149</v>
      </c>
      <c r="D21317" t="s">
        <v>20</v>
      </c>
      <c r="E21317" t="s">
        <v>39</v>
      </c>
      <c r="F21317">
        <v>0</v>
      </c>
      <c r="G21317">
        <v>0</v>
      </c>
      <c r="H21317">
        <v>19</v>
      </c>
      <c r="I21317" s="3">
        <v>5210.4399999999996</v>
      </c>
      <c r="J21317" s="3">
        <v>5416.08</v>
      </c>
      <c r="L21317">
        <v>737</v>
      </c>
      <c r="M21317" t="s">
        <v>29886</v>
      </c>
      <c r="N21317" t="s">
        <v>30</v>
      </c>
      <c r="O21317" t="s">
        <v>31</v>
      </c>
      <c r="P21317" t="str">
        <f>"15207"</f>
        <v>15207</v>
      </c>
    </row>
    <row r="21318" spans="1:16" x14ac:dyDescent="0.25">
      <c r="A21318" t="str">
        <f>"1310134F00160    00"</f>
        <v>1310134F00160    00</v>
      </c>
      <c r="B21318" t="s">
        <v>46196</v>
      </c>
      <c r="C21318" t="s">
        <v>46197</v>
      </c>
      <c r="E21318" t="s">
        <v>39</v>
      </c>
      <c r="F21318">
        <v>0</v>
      </c>
      <c r="G21318">
        <v>0</v>
      </c>
      <c r="H21318">
        <v>3</v>
      </c>
      <c r="I21318" s="3">
        <v>586.04999999999995</v>
      </c>
      <c r="J21318" s="3">
        <v>99.04</v>
      </c>
      <c r="L21318">
        <v>721</v>
      </c>
      <c r="M21318" t="s">
        <v>29886</v>
      </c>
      <c r="N21318" t="s">
        <v>30</v>
      </c>
      <c r="O21318" t="s">
        <v>31</v>
      </c>
      <c r="P21318" t="str">
        <f>"15207"</f>
        <v>15207</v>
      </c>
    </row>
    <row r="21319" spans="1:16" x14ac:dyDescent="0.25">
      <c r="A21319" t="str">
        <f>"1310134F00170    00"</f>
        <v>1310134F00170    00</v>
      </c>
      <c r="B21319" t="s">
        <v>46198</v>
      </c>
      <c r="C21319" t="s">
        <v>46149</v>
      </c>
      <c r="D21319" t="s">
        <v>20</v>
      </c>
      <c r="E21319" t="s">
        <v>39</v>
      </c>
      <c r="F21319">
        <v>0</v>
      </c>
      <c r="G21319">
        <v>0</v>
      </c>
      <c r="H21319">
        <v>1</v>
      </c>
      <c r="I21319" s="3">
        <v>62.91</v>
      </c>
      <c r="J21319" s="3">
        <v>0</v>
      </c>
      <c r="K21319" t="s">
        <v>46199</v>
      </c>
      <c r="L21319">
        <v>5732</v>
      </c>
      <c r="M21319" t="s">
        <v>46200</v>
      </c>
      <c r="N21319" t="s">
        <v>7330</v>
      </c>
      <c r="O21319" t="s">
        <v>180</v>
      </c>
      <c r="P21319" t="str">
        <f>"80224"</f>
        <v>80224</v>
      </c>
    </row>
    <row r="21320" spans="1:16" x14ac:dyDescent="0.25">
      <c r="A21320" t="str">
        <f>"1310134F00172    00"</f>
        <v>1310134F00172    00</v>
      </c>
      <c r="B21320" t="s">
        <v>46201</v>
      </c>
      <c r="C21320" t="s">
        <v>46202</v>
      </c>
      <c r="D21320" t="s">
        <v>20</v>
      </c>
      <c r="E21320" t="s">
        <v>39</v>
      </c>
      <c r="F21320">
        <v>0</v>
      </c>
      <c r="G21320">
        <v>0</v>
      </c>
      <c r="H21320">
        <v>2</v>
      </c>
      <c r="I21320" s="3">
        <v>1804.07</v>
      </c>
      <c r="J21320" s="3">
        <v>0</v>
      </c>
      <c r="K21320" t="s">
        <v>2570</v>
      </c>
      <c r="L21320">
        <v>901</v>
      </c>
      <c r="M21320" t="s">
        <v>1503</v>
      </c>
      <c r="N21320" t="s">
        <v>494</v>
      </c>
      <c r="O21320" t="s">
        <v>495</v>
      </c>
      <c r="P21320" t="str">
        <f>"91768"</f>
        <v>91768</v>
      </c>
    </row>
    <row r="21321" spans="1:16" x14ac:dyDescent="0.25">
      <c r="A21321" t="str">
        <f>"1310134F00196    00"</f>
        <v>1310134F00196    00</v>
      </c>
      <c r="B21321" t="s">
        <v>46203</v>
      </c>
      <c r="C21321" t="s">
        <v>46149</v>
      </c>
      <c r="D21321" t="s">
        <v>20</v>
      </c>
      <c r="E21321" t="s">
        <v>39</v>
      </c>
      <c r="F21321">
        <v>0</v>
      </c>
      <c r="G21321">
        <v>0</v>
      </c>
      <c r="H21321">
        <v>19</v>
      </c>
      <c r="I21321" s="3">
        <v>5063.43</v>
      </c>
      <c r="J21321" s="3">
        <v>4738.8100000000004</v>
      </c>
      <c r="K21321" t="s">
        <v>1008</v>
      </c>
      <c r="P21321" t="str">
        <f>""</f>
        <v/>
      </c>
    </row>
    <row r="21322" spans="1:16" x14ac:dyDescent="0.25">
      <c r="A21322" t="str">
        <f>"1310134F00212    00"</f>
        <v>1310134F00212    00</v>
      </c>
      <c r="B21322" t="s">
        <v>46204</v>
      </c>
      <c r="C21322" t="s">
        <v>46205</v>
      </c>
      <c r="E21322" t="s">
        <v>39</v>
      </c>
      <c r="F21322">
        <v>0</v>
      </c>
      <c r="G21322">
        <v>0</v>
      </c>
      <c r="H21322">
        <v>1</v>
      </c>
      <c r="I21322" s="3">
        <v>1211.17</v>
      </c>
      <c r="J21322" s="3">
        <v>1201.03</v>
      </c>
      <c r="L21322">
        <v>5026</v>
      </c>
      <c r="M21322" t="s">
        <v>46206</v>
      </c>
      <c r="N21322" t="s">
        <v>22225</v>
      </c>
      <c r="O21322" t="s">
        <v>31</v>
      </c>
      <c r="P21322" t="str">
        <f>"15332"</f>
        <v>15332</v>
      </c>
    </row>
    <row r="21323" spans="1:16" x14ac:dyDescent="0.25">
      <c r="A21323" t="str">
        <f>"1310134F00218    00"</f>
        <v>1310134F00218    00</v>
      </c>
      <c r="B21323" t="s">
        <v>46207</v>
      </c>
      <c r="C21323" t="s">
        <v>46208</v>
      </c>
      <c r="E21323" t="s">
        <v>39</v>
      </c>
      <c r="F21323">
        <v>0</v>
      </c>
      <c r="G21323">
        <v>0</v>
      </c>
      <c r="H21323">
        <v>1</v>
      </c>
      <c r="I21323" s="3">
        <v>784.04</v>
      </c>
      <c r="J21323" s="3">
        <v>777.48</v>
      </c>
      <c r="K21323" t="s">
        <v>46209</v>
      </c>
      <c r="M21323" t="s">
        <v>1128</v>
      </c>
      <c r="N21323" t="s">
        <v>1129</v>
      </c>
      <c r="O21323" t="s">
        <v>108</v>
      </c>
      <c r="P21323" t="str">
        <f>"76161"</f>
        <v>76161</v>
      </c>
    </row>
    <row r="21324" spans="1:16" x14ac:dyDescent="0.25">
      <c r="A21324" t="str">
        <f>"1310134G00025    00"</f>
        <v>1310134G00025    00</v>
      </c>
      <c r="B21324" t="s">
        <v>46210</v>
      </c>
      <c r="C21324" t="s">
        <v>46211</v>
      </c>
      <c r="D21324" t="s">
        <v>20</v>
      </c>
      <c r="E21324" t="s">
        <v>39</v>
      </c>
      <c r="F21324">
        <v>0</v>
      </c>
      <c r="G21324">
        <v>0</v>
      </c>
      <c r="H21324">
        <v>1</v>
      </c>
      <c r="I21324" s="3">
        <v>774.31</v>
      </c>
      <c r="J21324" s="3">
        <v>0</v>
      </c>
      <c r="L21324">
        <v>774</v>
      </c>
      <c r="M21324" t="s">
        <v>11986</v>
      </c>
      <c r="N21324" t="s">
        <v>285</v>
      </c>
      <c r="O21324" t="s">
        <v>31</v>
      </c>
      <c r="P21324" t="str">
        <f>"15120"</f>
        <v>15120</v>
      </c>
    </row>
    <row r="21325" spans="1:16" x14ac:dyDescent="0.25">
      <c r="A21325" t="str">
        <f>"1310134G00029    00"</f>
        <v>1310134G00029    00</v>
      </c>
      <c r="B21325" t="s">
        <v>944</v>
      </c>
      <c r="C21325" t="s">
        <v>46212</v>
      </c>
      <c r="E21325" t="s">
        <v>39</v>
      </c>
      <c r="F21325">
        <v>0</v>
      </c>
      <c r="G21325">
        <v>0</v>
      </c>
      <c r="H21325">
        <v>2</v>
      </c>
      <c r="I21325" s="3">
        <v>2492</v>
      </c>
      <c r="J21325" s="3">
        <v>3195.24</v>
      </c>
      <c r="L21325">
        <v>200</v>
      </c>
      <c r="M21325" t="s">
        <v>946</v>
      </c>
      <c r="N21325" t="s">
        <v>30</v>
      </c>
      <c r="O21325" t="s">
        <v>31</v>
      </c>
      <c r="P21325" t="str">
        <f>"15219"</f>
        <v>15219</v>
      </c>
    </row>
    <row r="21326" spans="1:16" x14ac:dyDescent="0.25">
      <c r="A21326" t="str">
        <f>"1310134G00041    00"</f>
        <v>1310134G00041    00</v>
      </c>
      <c r="B21326" t="s">
        <v>46213</v>
      </c>
      <c r="C21326" t="s">
        <v>46214</v>
      </c>
      <c r="E21326" t="s">
        <v>39</v>
      </c>
      <c r="F21326">
        <v>0</v>
      </c>
      <c r="G21326">
        <v>0</v>
      </c>
      <c r="H21326">
        <v>1</v>
      </c>
      <c r="I21326" s="3">
        <v>2378.0500000000002</v>
      </c>
      <c r="J21326" s="3">
        <v>2318.5100000000002</v>
      </c>
      <c r="L21326">
        <v>110</v>
      </c>
      <c r="M21326" t="s">
        <v>45960</v>
      </c>
      <c r="N21326" t="s">
        <v>285</v>
      </c>
      <c r="O21326" t="s">
        <v>31</v>
      </c>
      <c r="P21326" t="str">
        <f>"15120"</f>
        <v>15120</v>
      </c>
    </row>
    <row r="21327" spans="1:16" x14ac:dyDescent="0.25">
      <c r="A21327" t="str">
        <f>"1310134H00040    00"</f>
        <v>1310134H00040    00</v>
      </c>
      <c r="B21327" t="s">
        <v>46215</v>
      </c>
      <c r="C21327" t="s">
        <v>46216</v>
      </c>
      <c r="E21327" t="s">
        <v>39</v>
      </c>
      <c r="F21327">
        <v>0</v>
      </c>
      <c r="G21327">
        <v>0</v>
      </c>
      <c r="H21327">
        <v>1</v>
      </c>
      <c r="I21327" s="3">
        <v>51.1</v>
      </c>
      <c r="J21327" s="3">
        <v>0</v>
      </c>
      <c r="K21327" t="s">
        <v>728</v>
      </c>
      <c r="L21327">
        <v>3001</v>
      </c>
      <c r="M21327" t="s">
        <v>330</v>
      </c>
      <c r="N21327" t="s">
        <v>331</v>
      </c>
      <c r="O21327" t="s">
        <v>108</v>
      </c>
      <c r="P21327" t="str">
        <f>"75063"</f>
        <v>75063</v>
      </c>
    </row>
    <row r="21328" spans="1:16" x14ac:dyDescent="0.25">
      <c r="A21328" t="str">
        <f>"1310134H00050    00"</f>
        <v>1310134H00050    00</v>
      </c>
      <c r="B21328" t="s">
        <v>46217</v>
      </c>
      <c r="C21328" t="s">
        <v>46218</v>
      </c>
      <c r="D21328" t="s">
        <v>20</v>
      </c>
      <c r="E21328" t="s">
        <v>39</v>
      </c>
      <c r="F21328">
        <v>0</v>
      </c>
      <c r="G21328">
        <v>0</v>
      </c>
      <c r="H21328">
        <v>6</v>
      </c>
      <c r="I21328" s="3">
        <v>4245.62</v>
      </c>
      <c r="J21328" s="3">
        <v>1576.34</v>
      </c>
      <c r="L21328">
        <v>792</v>
      </c>
      <c r="M21328" t="s">
        <v>11986</v>
      </c>
      <c r="N21328" t="s">
        <v>285</v>
      </c>
      <c r="O21328" t="s">
        <v>31</v>
      </c>
      <c r="P21328" t="str">
        <f>"15120"</f>
        <v>15120</v>
      </c>
    </row>
    <row r="21329" spans="1:16" x14ac:dyDescent="0.25">
      <c r="A21329" t="str">
        <f>"1310134H00261    00"</f>
        <v>1310134H00261    00</v>
      </c>
      <c r="B21329" t="s">
        <v>46219</v>
      </c>
      <c r="C21329" t="s">
        <v>46220</v>
      </c>
      <c r="D21329" t="s">
        <v>20</v>
      </c>
      <c r="E21329" t="s">
        <v>39</v>
      </c>
      <c r="F21329">
        <v>0</v>
      </c>
      <c r="G21329">
        <v>0</v>
      </c>
      <c r="H21329">
        <v>2</v>
      </c>
      <c r="I21329" s="3">
        <v>345.58</v>
      </c>
      <c r="J21329" s="3">
        <v>0</v>
      </c>
      <c r="K21329" t="s">
        <v>46221</v>
      </c>
      <c r="L21329">
        <v>33</v>
      </c>
      <c r="M21329" t="s">
        <v>46222</v>
      </c>
      <c r="N21329" t="s">
        <v>6603</v>
      </c>
      <c r="O21329" t="s">
        <v>31</v>
      </c>
      <c r="P21329" t="str">
        <f>"15122"</f>
        <v>15122</v>
      </c>
    </row>
    <row r="21330" spans="1:16" x14ac:dyDescent="0.25">
      <c r="A21330" t="str">
        <f>"1310134J00015    00"</f>
        <v>1310134J00015    00</v>
      </c>
      <c r="B21330" t="s">
        <v>46223</v>
      </c>
      <c r="C21330" t="s">
        <v>46137</v>
      </c>
      <c r="D21330" t="s">
        <v>20</v>
      </c>
      <c r="E21330" t="s">
        <v>39</v>
      </c>
      <c r="F21330">
        <v>0</v>
      </c>
      <c r="G21330">
        <v>0</v>
      </c>
      <c r="H21330">
        <v>16</v>
      </c>
      <c r="I21330" s="3">
        <v>7843.92</v>
      </c>
      <c r="J21330" s="3">
        <v>7171.05</v>
      </c>
      <c r="K21330" t="s">
        <v>46224</v>
      </c>
      <c r="L21330">
        <v>8464</v>
      </c>
      <c r="M21330" t="s">
        <v>46225</v>
      </c>
      <c r="N21330" t="s">
        <v>12873</v>
      </c>
      <c r="O21330" t="s">
        <v>370</v>
      </c>
      <c r="P21330" t="str">
        <f>"32829"</f>
        <v>32829</v>
      </c>
    </row>
    <row r="21331" spans="1:16" x14ac:dyDescent="0.25">
      <c r="A21331" t="str">
        <f>"1310134J00100    00"</f>
        <v>1310134J00100    00</v>
      </c>
      <c r="B21331" t="s">
        <v>46190</v>
      </c>
      <c r="C21331" t="s">
        <v>46226</v>
      </c>
      <c r="E21331" t="s">
        <v>39</v>
      </c>
      <c r="F21331">
        <v>0</v>
      </c>
      <c r="G21331">
        <v>0</v>
      </c>
      <c r="H21331">
        <v>4</v>
      </c>
      <c r="I21331" s="3">
        <v>1249.54</v>
      </c>
      <c r="J21331" s="3">
        <v>1064.69</v>
      </c>
      <c r="K21331" t="s">
        <v>24060</v>
      </c>
      <c r="L21331">
        <v>4740</v>
      </c>
      <c r="M21331" t="s">
        <v>24061</v>
      </c>
      <c r="N21331" t="s">
        <v>30</v>
      </c>
      <c r="O21331" t="s">
        <v>31</v>
      </c>
      <c r="P21331" t="str">
        <f>"15236"</f>
        <v>15236</v>
      </c>
    </row>
    <row r="21332" spans="1:16" x14ac:dyDescent="0.25">
      <c r="A21332" t="str">
        <f>"1310134J00275    00"</f>
        <v>1310134J00275    00</v>
      </c>
      <c r="B21332" t="s">
        <v>46227</v>
      </c>
      <c r="C21332" t="s">
        <v>46149</v>
      </c>
      <c r="E21332" t="s">
        <v>513</v>
      </c>
      <c r="F21332">
        <v>0</v>
      </c>
      <c r="G21332">
        <v>0</v>
      </c>
      <c r="H21332">
        <v>2</v>
      </c>
      <c r="I21332" s="3">
        <v>71.38</v>
      </c>
      <c r="J21332" s="3">
        <v>110.58</v>
      </c>
      <c r="L21332">
        <v>500</v>
      </c>
      <c r="M21332" t="s">
        <v>9505</v>
      </c>
      <c r="N21332" t="s">
        <v>3919</v>
      </c>
      <c r="O21332" t="s">
        <v>370</v>
      </c>
      <c r="P21332" t="str">
        <f>"32202"</f>
        <v>32202</v>
      </c>
    </row>
    <row r="21333" spans="1:16" x14ac:dyDescent="0.25">
      <c r="A21333" t="str">
        <f>"1310134K00200    00"</f>
        <v>1310134K00200    00</v>
      </c>
      <c r="B21333" t="s">
        <v>46228</v>
      </c>
      <c r="C21333" t="s">
        <v>46229</v>
      </c>
      <c r="D21333" t="s">
        <v>20</v>
      </c>
      <c r="E21333" t="s">
        <v>39</v>
      </c>
      <c r="F21333">
        <v>0</v>
      </c>
      <c r="G21333">
        <v>0</v>
      </c>
      <c r="H21333">
        <v>19</v>
      </c>
      <c r="I21333" s="3">
        <v>6854.52</v>
      </c>
      <c r="J21333" s="3">
        <v>6876.61</v>
      </c>
      <c r="L21333">
        <v>39460</v>
      </c>
      <c r="M21333" t="s">
        <v>34832</v>
      </c>
      <c r="N21333" t="s">
        <v>46230</v>
      </c>
      <c r="O21333" t="s">
        <v>1184</v>
      </c>
      <c r="P21333" t="str">
        <f>"20659"</f>
        <v>20659</v>
      </c>
    </row>
    <row r="21334" spans="1:16" x14ac:dyDescent="0.25">
      <c r="A21334" t="str">
        <f>"1310134K00224    00"</f>
        <v>1310134K00224    00</v>
      </c>
      <c r="B21334" t="s">
        <v>46231</v>
      </c>
      <c r="C21334" t="s">
        <v>46232</v>
      </c>
      <c r="E21334" t="s">
        <v>39</v>
      </c>
      <c r="F21334">
        <v>0</v>
      </c>
      <c r="G21334">
        <v>0</v>
      </c>
      <c r="H21334">
        <v>3</v>
      </c>
      <c r="I21334" s="3">
        <v>1604.04</v>
      </c>
      <c r="J21334" s="3">
        <v>254.83</v>
      </c>
      <c r="L21334">
        <v>4715</v>
      </c>
      <c r="M21334" t="s">
        <v>15313</v>
      </c>
      <c r="N21334" t="s">
        <v>30</v>
      </c>
      <c r="O21334" t="s">
        <v>31</v>
      </c>
      <c r="P21334" t="str">
        <f>"15236"</f>
        <v>15236</v>
      </c>
    </row>
    <row r="21335" spans="1:16" x14ac:dyDescent="0.25">
      <c r="A21335" t="str">
        <f>"1310134K00235    00"</f>
        <v>1310134K00235    00</v>
      </c>
      <c r="B21335" t="s">
        <v>46233</v>
      </c>
      <c r="C21335" t="s">
        <v>46229</v>
      </c>
      <c r="D21335" t="s">
        <v>20</v>
      </c>
      <c r="E21335" t="s">
        <v>39</v>
      </c>
      <c r="F21335">
        <v>0</v>
      </c>
      <c r="G21335">
        <v>0</v>
      </c>
      <c r="H21335">
        <v>19</v>
      </c>
      <c r="I21335" s="3">
        <v>4068.37</v>
      </c>
      <c r="J21335" s="3">
        <v>3425.83</v>
      </c>
      <c r="P21335" t="str">
        <f>""</f>
        <v/>
      </c>
    </row>
    <row r="21336" spans="1:16" x14ac:dyDescent="0.25">
      <c r="A21336" t="str">
        <f>"1310134K00275    00"</f>
        <v>1310134K00275    00</v>
      </c>
      <c r="B21336" t="s">
        <v>46234</v>
      </c>
      <c r="C21336" t="s">
        <v>46235</v>
      </c>
      <c r="D21336" t="s">
        <v>20</v>
      </c>
      <c r="E21336" t="s">
        <v>39</v>
      </c>
      <c r="F21336">
        <v>0</v>
      </c>
      <c r="G21336">
        <v>0</v>
      </c>
      <c r="H21336">
        <v>12</v>
      </c>
      <c r="I21336" s="3">
        <v>8476.69</v>
      </c>
      <c r="J21336" s="3">
        <v>5058.09</v>
      </c>
      <c r="L21336">
        <v>437</v>
      </c>
      <c r="M21336" t="s">
        <v>6033</v>
      </c>
      <c r="N21336" t="s">
        <v>30</v>
      </c>
      <c r="O21336" t="s">
        <v>31</v>
      </c>
      <c r="P21336" t="str">
        <f>"15218"</f>
        <v>15218</v>
      </c>
    </row>
    <row r="21337" spans="1:16" x14ac:dyDescent="0.25">
      <c r="A21337" t="str">
        <f>"1310134L00155    00"</f>
        <v>1310134L00155    00</v>
      </c>
      <c r="B21337" t="s">
        <v>46236</v>
      </c>
      <c r="C21337" t="s">
        <v>46237</v>
      </c>
      <c r="D21337" t="s">
        <v>20</v>
      </c>
      <c r="E21337" t="s">
        <v>39</v>
      </c>
      <c r="F21337">
        <v>0</v>
      </c>
      <c r="G21337">
        <v>0</v>
      </c>
      <c r="H21337">
        <v>5</v>
      </c>
      <c r="I21337" s="3">
        <v>777.63</v>
      </c>
      <c r="J21337" s="3">
        <v>196.57</v>
      </c>
      <c r="L21337">
        <v>816</v>
      </c>
      <c r="M21337" t="s">
        <v>46058</v>
      </c>
      <c r="N21337" t="s">
        <v>30</v>
      </c>
      <c r="O21337" t="s">
        <v>31</v>
      </c>
      <c r="P21337" t="str">
        <f>"15207"</f>
        <v>15207</v>
      </c>
    </row>
    <row r="21338" spans="1:16" x14ac:dyDescent="0.25">
      <c r="A21338" t="str">
        <f>"1310134L00171    00"</f>
        <v>1310134L00171    00</v>
      </c>
      <c r="B21338" t="s">
        <v>46238</v>
      </c>
      <c r="C21338" t="s">
        <v>46239</v>
      </c>
      <c r="E21338" t="s">
        <v>39</v>
      </c>
      <c r="F21338">
        <v>0</v>
      </c>
      <c r="G21338">
        <v>0</v>
      </c>
      <c r="H21338">
        <v>1</v>
      </c>
      <c r="I21338" s="3">
        <v>32.869999999999997</v>
      </c>
      <c r="J21338" s="3">
        <v>9.85</v>
      </c>
      <c r="L21338">
        <v>3702</v>
      </c>
      <c r="M21338" t="s">
        <v>46240</v>
      </c>
      <c r="N21338" t="s">
        <v>21130</v>
      </c>
      <c r="O21338" t="s">
        <v>31</v>
      </c>
      <c r="P21338" t="str">
        <f>"15120"</f>
        <v>15120</v>
      </c>
    </row>
    <row r="21339" spans="1:16" x14ac:dyDescent="0.25">
      <c r="A21339" t="str">
        <f>"1310134L00172    00"</f>
        <v>1310134L00172    00</v>
      </c>
      <c r="B21339" t="s">
        <v>46241</v>
      </c>
      <c r="C21339" t="s">
        <v>46242</v>
      </c>
      <c r="D21339" t="s">
        <v>20</v>
      </c>
      <c r="E21339" t="s">
        <v>39</v>
      </c>
      <c r="F21339">
        <v>0</v>
      </c>
      <c r="G21339">
        <v>0</v>
      </c>
      <c r="H21339">
        <v>4</v>
      </c>
      <c r="I21339" s="3">
        <v>1163.97</v>
      </c>
      <c r="J21339" s="3">
        <v>158.25</v>
      </c>
      <c r="L21339">
        <v>813</v>
      </c>
      <c r="M21339" t="s">
        <v>46058</v>
      </c>
      <c r="N21339" t="s">
        <v>30</v>
      </c>
      <c r="O21339" t="s">
        <v>31</v>
      </c>
      <c r="P21339" t="str">
        <f>"15207"</f>
        <v>15207</v>
      </c>
    </row>
    <row r="21340" spans="1:16" x14ac:dyDescent="0.25">
      <c r="A21340" t="str">
        <f>"1310134L00250    00"</f>
        <v>1310134L00250    00</v>
      </c>
      <c r="B21340" t="s">
        <v>46243</v>
      </c>
      <c r="C21340" t="s">
        <v>46244</v>
      </c>
      <c r="D21340" t="s">
        <v>20</v>
      </c>
      <c r="E21340" t="s">
        <v>39</v>
      </c>
      <c r="F21340">
        <v>0</v>
      </c>
      <c r="G21340">
        <v>0</v>
      </c>
      <c r="H21340">
        <v>13</v>
      </c>
      <c r="I21340" s="3">
        <v>3114.87</v>
      </c>
      <c r="J21340" s="3">
        <v>1860.44</v>
      </c>
      <c r="L21340">
        <v>816</v>
      </c>
      <c r="M21340" t="s">
        <v>46058</v>
      </c>
      <c r="N21340" t="s">
        <v>30</v>
      </c>
      <c r="O21340" t="s">
        <v>31</v>
      </c>
      <c r="P21340" t="str">
        <f>"15207"</f>
        <v>15207</v>
      </c>
    </row>
    <row r="21341" spans="1:16" x14ac:dyDescent="0.25">
      <c r="A21341" t="str">
        <f>"1310134M00102    00"</f>
        <v>1310134M00102    00</v>
      </c>
      <c r="B21341" t="s">
        <v>46236</v>
      </c>
      <c r="C21341" t="s">
        <v>46244</v>
      </c>
      <c r="D21341" t="s">
        <v>20</v>
      </c>
      <c r="E21341" t="s">
        <v>39</v>
      </c>
      <c r="F21341">
        <v>0</v>
      </c>
      <c r="G21341">
        <v>0</v>
      </c>
      <c r="H21341">
        <v>9</v>
      </c>
      <c r="I21341" s="3">
        <v>458.1</v>
      </c>
      <c r="J21341" s="3">
        <v>215.17</v>
      </c>
      <c r="L21341">
        <v>816</v>
      </c>
      <c r="M21341" t="s">
        <v>46058</v>
      </c>
      <c r="N21341" t="s">
        <v>30</v>
      </c>
      <c r="O21341" t="s">
        <v>31</v>
      </c>
      <c r="P21341" t="str">
        <f>"15207"</f>
        <v>15207</v>
      </c>
    </row>
    <row r="21342" spans="1:16" x14ac:dyDescent="0.25">
      <c r="A21342" t="str">
        <f>"1310134N00090    00"</f>
        <v>1310134N00090    00</v>
      </c>
      <c r="B21342" t="s">
        <v>46190</v>
      </c>
      <c r="C21342" t="s">
        <v>46245</v>
      </c>
      <c r="E21342" t="s">
        <v>39</v>
      </c>
      <c r="F21342">
        <v>0</v>
      </c>
      <c r="G21342">
        <v>0</v>
      </c>
      <c r="H21342">
        <v>3</v>
      </c>
      <c r="I21342" s="3">
        <v>393.32</v>
      </c>
      <c r="J21342" s="3">
        <v>325.36</v>
      </c>
      <c r="K21342" t="s">
        <v>24060</v>
      </c>
      <c r="L21342">
        <v>4740</v>
      </c>
      <c r="M21342" t="s">
        <v>24061</v>
      </c>
      <c r="N21342" t="s">
        <v>30</v>
      </c>
      <c r="O21342" t="s">
        <v>31</v>
      </c>
      <c r="P21342" t="str">
        <f>"15236"</f>
        <v>15236</v>
      </c>
    </row>
    <row r="21343" spans="1:16" x14ac:dyDescent="0.25">
      <c r="A21343" t="str">
        <f>"1310134N00095    00"</f>
        <v>1310134N00095    00</v>
      </c>
      <c r="B21343" t="s">
        <v>46190</v>
      </c>
      <c r="C21343" t="s">
        <v>46245</v>
      </c>
      <c r="E21343" t="s">
        <v>39</v>
      </c>
      <c r="F21343">
        <v>0</v>
      </c>
      <c r="G21343">
        <v>0</v>
      </c>
      <c r="H21343">
        <v>5</v>
      </c>
      <c r="I21343" s="3">
        <v>1248.73</v>
      </c>
      <c r="J21343" s="3">
        <v>1104.75</v>
      </c>
      <c r="K21343" t="s">
        <v>24060</v>
      </c>
      <c r="L21343">
        <v>4740</v>
      </c>
      <c r="M21343" t="s">
        <v>24061</v>
      </c>
      <c r="N21343" t="s">
        <v>30</v>
      </c>
      <c r="O21343" t="s">
        <v>31</v>
      </c>
      <c r="P21343" t="str">
        <f>"15236"</f>
        <v>15236</v>
      </c>
    </row>
    <row r="21344" spans="1:16" x14ac:dyDescent="0.25">
      <c r="A21344" t="str">
        <f>"1310134N00150    00"</f>
        <v>1310134N00150    00</v>
      </c>
      <c r="B21344" t="s">
        <v>46246</v>
      </c>
      <c r="C21344" t="s">
        <v>46247</v>
      </c>
      <c r="D21344" t="s">
        <v>20</v>
      </c>
      <c r="E21344" t="s">
        <v>39</v>
      </c>
      <c r="F21344">
        <v>0</v>
      </c>
      <c r="G21344">
        <v>0</v>
      </c>
      <c r="H21344">
        <v>3</v>
      </c>
      <c r="I21344" s="3">
        <v>881.82</v>
      </c>
      <c r="J21344" s="3">
        <v>715.64</v>
      </c>
      <c r="L21344">
        <v>681</v>
      </c>
      <c r="M21344" t="s">
        <v>46049</v>
      </c>
      <c r="N21344" t="s">
        <v>30</v>
      </c>
      <c r="O21344" t="s">
        <v>31</v>
      </c>
      <c r="P21344" t="str">
        <f>"15207"</f>
        <v>15207</v>
      </c>
    </row>
    <row r="21345" spans="1:16" x14ac:dyDescent="0.25">
      <c r="A21345" t="str">
        <f>"1310134P00005    00"</f>
        <v>1310134P00005    00</v>
      </c>
      <c r="B21345" t="s">
        <v>46138</v>
      </c>
      <c r="C21345" t="s">
        <v>46191</v>
      </c>
      <c r="E21345" t="s">
        <v>39</v>
      </c>
      <c r="F21345">
        <v>0</v>
      </c>
      <c r="G21345">
        <v>0</v>
      </c>
      <c r="H21345">
        <v>1</v>
      </c>
      <c r="I21345" s="3">
        <v>264.5</v>
      </c>
      <c r="J21345" s="3">
        <v>182.93</v>
      </c>
      <c r="P21345" t="str">
        <f>"15210"</f>
        <v>15210</v>
      </c>
    </row>
    <row r="21346" spans="1:16" x14ac:dyDescent="0.25">
      <c r="A21346" t="str">
        <f>"1310134P00022    00"</f>
        <v>1310134P00022    00</v>
      </c>
      <c r="B21346" t="s">
        <v>46248</v>
      </c>
      <c r="C21346" t="s">
        <v>46249</v>
      </c>
      <c r="D21346" t="s">
        <v>20</v>
      </c>
      <c r="E21346" t="s">
        <v>39</v>
      </c>
      <c r="F21346">
        <v>0</v>
      </c>
      <c r="G21346">
        <v>0</v>
      </c>
      <c r="H21346">
        <v>11</v>
      </c>
      <c r="I21346" s="3">
        <v>7313.05</v>
      </c>
      <c r="J21346" s="3">
        <v>3577.45</v>
      </c>
      <c r="K21346" t="s">
        <v>46250</v>
      </c>
      <c r="L21346">
        <v>398</v>
      </c>
      <c r="M21346" t="s">
        <v>28381</v>
      </c>
      <c r="N21346" t="s">
        <v>30</v>
      </c>
      <c r="O21346" t="s">
        <v>31</v>
      </c>
      <c r="P21346" t="str">
        <f>"15211"</f>
        <v>15211</v>
      </c>
    </row>
    <row r="21347" spans="1:16" x14ac:dyDescent="0.25">
      <c r="A21347" t="str">
        <f>"1310134P00023    00"</f>
        <v>1310134P00023    00</v>
      </c>
      <c r="B21347" t="s">
        <v>46251</v>
      </c>
      <c r="C21347" t="s">
        <v>46229</v>
      </c>
      <c r="D21347" t="s">
        <v>20</v>
      </c>
      <c r="E21347" t="s">
        <v>39</v>
      </c>
      <c r="F21347">
        <v>0</v>
      </c>
      <c r="G21347">
        <v>0</v>
      </c>
      <c r="H21347">
        <v>16</v>
      </c>
      <c r="I21347" s="3">
        <v>399.04</v>
      </c>
      <c r="J21347" s="3">
        <v>375.73</v>
      </c>
      <c r="L21347">
        <v>3186</v>
      </c>
      <c r="M21347" t="s">
        <v>46252</v>
      </c>
      <c r="N21347" t="s">
        <v>22206</v>
      </c>
      <c r="O21347" t="s">
        <v>31</v>
      </c>
      <c r="P21347" t="str">
        <f>"15129"</f>
        <v>15129</v>
      </c>
    </row>
    <row r="21348" spans="1:16" x14ac:dyDescent="0.25">
      <c r="A21348" t="str">
        <f>"1310134P00026    00"</f>
        <v>1310134P00026    00</v>
      </c>
      <c r="B21348" t="s">
        <v>46251</v>
      </c>
      <c r="C21348" t="s">
        <v>46229</v>
      </c>
      <c r="D21348" t="s">
        <v>20</v>
      </c>
      <c r="E21348" t="s">
        <v>39</v>
      </c>
      <c r="F21348">
        <v>0</v>
      </c>
      <c r="G21348">
        <v>0</v>
      </c>
      <c r="H21348">
        <v>18</v>
      </c>
      <c r="I21348" s="3">
        <v>3060.02</v>
      </c>
      <c r="J21348" s="3">
        <v>3181.72</v>
      </c>
      <c r="L21348">
        <v>3186</v>
      </c>
      <c r="M21348" t="s">
        <v>46252</v>
      </c>
      <c r="N21348" t="s">
        <v>22206</v>
      </c>
      <c r="O21348" t="s">
        <v>31</v>
      </c>
      <c r="P21348" t="str">
        <f>"15129"</f>
        <v>15129</v>
      </c>
    </row>
    <row r="21349" spans="1:16" x14ac:dyDescent="0.25">
      <c r="A21349" t="str">
        <f>"1310134P00031    00"</f>
        <v>1310134P00031    00</v>
      </c>
      <c r="B21349" t="s">
        <v>46253</v>
      </c>
      <c r="C21349" t="s">
        <v>46229</v>
      </c>
      <c r="D21349" t="s">
        <v>20</v>
      </c>
      <c r="E21349" t="s">
        <v>39</v>
      </c>
      <c r="F21349">
        <v>0</v>
      </c>
      <c r="G21349">
        <v>0</v>
      </c>
      <c r="H21349">
        <v>9</v>
      </c>
      <c r="I21349" s="3">
        <v>3330.56</v>
      </c>
      <c r="J21349" s="3">
        <v>2377.0300000000002</v>
      </c>
      <c r="K21349" t="s">
        <v>46254</v>
      </c>
      <c r="L21349">
        <v>261</v>
      </c>
      <c r="M21349" t="s">
        <v>46255</v>
      </c>
      <c r="N21349" t="s">
        <v>46256</v>
      </c>
      <c r="O21349" t="s">
        <v>4435</v>
      </c>
      <c r="P21349" t="str">
        <f>"71006"</f>
        <v>71006</v>
      </c>
    </row>
    <row r="21350" spans="1:16" x14ac:dyDescent="0.25">
      <c r="A21350" t="str">
        <f>"1310134P00130    00"</f>
        <v>1310134P00130    00</v>
      </c>
      <c r="B21350" t="s">
        <v>46257</v>
      </c>
      <c r="C21350" t="s">
        <v>46229</v>
      </c>
      <c r="D21350" t="s">
        <v>20</v>
      </c>
      <c r="E21350" t="s">
        <v>39</v>
      </c>
      <c r="F21350">
        <v>0</v>
      </c>
      <c r="G21350">
        <v>0</v>
      </c>
      <c r="H21350">
        <v>19</v>
      </c>
      <c r="I21350" s="3">
        <v>4502.1899999999996</v>
      </c>
      <c r="J21350" s="3">
        <v>4257.51</v>
      </c>
      <c r="M21350" t="s">
        <v>46178</v>
      </c>
      <c r="N21350" t="s">
        <v>30</v>
      </c>
      <c r="O21350" t="s">
        <v>31</v>
      </c>
      <c r="P21350" t="str">
        <f>"15207"</f>
        <v>15207</v>
      </c>
    </row>
    <row r="21351" spans="1:16" x14ac:dyDescent="0.25">
      <c r="A21351" t="str">
        <f>"1310134P00155    00"</f>
        <v>1310134P00155    00</v>
      </c>
      <c r="B21351" t="s">
        <v>46258</v>
      </c>
      <c r="C21351" t="s">
        <v>46259</v>
      </c>
      <c r="E21351" t="s">
        <v>39</v>
      </c>
      <c r="F21351">
        <v>0</v>
      </c>
      <c r="G21351">
        <v>0</v>
      </c>
      <c r="H21351">
        <v>5</v>
      </c>
      <c r="I21351" s="3">
        <v>1052.5</v>
      </c>
      <c r="J21351" s="3">
        <v>297.55</v>
      </c>
      <c r="L21351">
        <v>102</v>
      </c>
      <c r="M21351" t="s">
        <v>6602</v>
      </c>
      <c r="N21351" t="s">
        <v>30</v>
      </c>
      <c r="O21351" t="s">
        <v>31</v>
      </c>
      <c r="P21351" t="str">
        <f>"15207"</f>
        <v>15207</v>
      </c>
    </row>
    <row r="21352" spans="1:16" x14ac:dyDescent="0.25">
      <c r="A21352" t="str">
        <f>"1310134P00200    00"</f>
        <v>1310134P00200    00</v>
      </c>
      <c r="B21352" t="s">
        <v>46260</v>
      </c>
      <c r="C21352" t="s">
        <v>46229</v>
      </c>
      <c r="D21352" t="s">
        <v>20</v>
      </c>
      <c r="E21352" t="s">
        <v>39</v>
      </c>
      <c r="F21352">
        <v>0</v>
      </c>
      <c r="G21352">
        <v>0</v>
      </c>
      <c r="H21352">
        <v>19</v>
      </c>
      <c r="I21352" s="3">
        <v>14863.73</v>
      </c>
      <c r="J21352" s="3">
        <v>15759.14</v>
      </c>
      <c r="L21352">
        <v>219</v>
      </c>
      <c r="M21352" t="s">
        <v>6602</v>
      </c>
      <c r="N21352" t="s">
        <v>6603</v>
      </c>
      <c r="O21352" t="s">
        <v>31</v>
      </c>
      <c r="P21352" t="str">
        <f>"15122"</f>
        <v>15122</v>
      </c>
    </row>
    <row r="21353" spans="1:16" x14ac:dyDescent="0.25">
      <c r="A21353" t="str">
        <f>"1310134S00004    00"</f>
        <v>1310134S00004    00</v>
      </c>
      <c r="B21353" t="s">
        <v>46261</v>
      </c>
      <c r="C21353" t="s">
        <v>46262</v>
      </c>
      <c r="D21353" t="s">
        <v>57</v>
      </c>
      <c r="E21353" t="s">
        <v>39</v>
      </c>
      <c r="F21353">
        <v>0</v>
      </c>
      <c r="G21353">
        <v>0</v>
      </c>
      <c r="H21353">
        <v>1</v>
      </c>
      <c r="I21353" s="3">
        <v>75.459999999999994</v>
      </c>
      <c r="J21353" s="3">
        <v>22.64</v>
      </c>
      <c r="K21353" t="s">
        <v>46263</v>
      </c>
      <c r="L21353">
        <v>5056</v>
      </c>
      <c r="M21353" t="s">
        <v>21271</v>
      </c>
      <c r="N21353" t="s">
        <v>30</v>
      </c>
      <c r="O21353" t="s">
        <v>31</v>
      </c>
      <c r="P21353" t="str">
        <f>"15207"</f>
        <v>15207</v>
      </c>
    </row>
    <row r="21354" spans="1:16" x14ac:dyDescent="0.25">
      <c r="A21354" t="str">
        <f>"1310134S00040    00"</f>
        <v>1310134S00040    00</v>
      </c>
      <c r="B21354" t="s">
        <v>46264</v>
      </c>
      <c r="C21354" t="s">
        <v>46265</v>
      </c>
      <c r="D21354" t="s">
        <v>20</v>
      </c>
      <c r="E21354" t="s">
        <v>39</v>
      </c>
      <c r="F21354">
        <v>0</v>
      </c>
      <c r="G21354">
        <v>0</v>
      </c>
      <c r="H21354">
        <v>3</v>
      </c>
      <c r="I21354" s="3">
        <v>2606.2199999999998</v>
      </c>
      <c r="J21354" s="3">
        <v>46.39</v>
      </c>
      <c r="L21354">
        <v>5022</v>
      </c>
      <c r="M21354" t="s">
        <v>21271</v>
      </c>
      <c r="N21354" t="s">
        <v>30</v>
      </c>
      <c r="O21354" t="s">
        <v>31</v>
      </c>
      <c r="P21354" t="str">
        <f>"15207"</f>
        <v>15207</v>
      </c>
    </row>
    <row r="21355" spans="1:16" x14ac:dyDescent="0.25">
      <c r="A21355" t="str">
        <f>"1310134S00044    00"</f>
        <v>1310134S00044    00</v>
      </c>
      <c r="B21355" t="s">
        <v>46266</v>
      </c>
      <c r="C21355" t="s">
        <v>46267</v>
      </c>
      <c r="D21355" t="s">
        <v>20</v>
      </c>
      <c r="E21355" t="s">
        <v>39</v>
      </c>
      <c r="F21355">
        <v>0</v>
      </c>
      <c r="G21355">
        <v>0</v>
      </c>
      <c r="H21355">
        <v>19</v>
      </c>
      <c r="I21355" s="3">
        <v>811.76</v>
      </c>
      <c r="J21355" s="3">
        <v>789.05</v>
      </c>
      <c r="L21355">
        <v>881</v>
      </c>
      <c r="M21355" t="s">
        <v>21742</v>
      </c>
      <c r="N21355" t="s">
        <v>30</v>
      </c>
      <c r="O21355" t="s">
        <v>31</v>
      </c>
      <c r="P21355" t="str">
        <f>"15217"</f>
        <v>15217</v>
      </c>
    </row>
    <row r="21356" spans="1:16" x14ac:dyDescent="0.25">
      <c r="A21356" t="str">
        <f>"1310134S00072    00"</f>
        <v>1310134S00072    00</v>
      </c>
      <c r="B21356" t="s">
        <v>46268</v>
      </c>
      <c r="C21356" t="s">
        <v>46269</v>
      </c>
      <c r="D21356" t="s">
        <v>20</v>
      </c>
      <c r="E21356" t="s">
        <v>39</v>
      </c>
      <c r="F21356">
        <v>0</v>
      </c>
      <c r="G21356">
        <v>0</v>
      </c>
      <c r="H21356">
        <v>2</v>
      </c>
      <c r="I21356" s="3">
        <v>2786.6</v>
      </c>
      <c r="J21356" s="3">
        <v>0</v>
      </c>
      <c r="K21356" t="s">
        <v>46270</v>
      </c>
      <c r="L21356">
        <v>5166</v>
      </c>
      <c r="M21356" t="s">
        <v>46117</v>
      </c>
      <c r="N21356" t="s">
        <v>30</v>
      </c>
      <c r="O21356" t="s">
        <v>31</v>
      </c>
      <c r="P21356" t="str">
        <f>"15207"</f>
        <v>15207</v>
      </c>
    </row>
    <row r="21357" spans="1:16" x14ac:dyDescent="0.25">
      <c r="A21357" t="str">
        <f>"1310134S00500    00"</f>
        <v>1310134S00500    00</v>
      </c>
      <c r="B21357" t="s">
        <v>46266</v>
      </c>
      <c r="C21357" t="s">
        <v>46271</v>
      </c>
      <c r="D21357" t="s">
        <v>20</v>
      </c>
      <c r="E21357" t="s">
        <v>39</v>
      </c>
      <c r="F21357">
        <v>0</v>
      </c>
      <c r="G21357">
        <v>0</v>
      </c>
      <c r="H21357">
        <v>19</v>
      </c>
      <c r="I21357" s="3">
        <v>814.39</v>
      </c>
      <c r="J21357" s="3">
        <v>812.93</v>
      </c>
      <c r="L21357">
        <v>881</v>
      </c>
      <c r="M21357" t="s">
        <v>21742</v>
      </c>
      <c r="N21357" t="s">
        <v>30</v>
      </c>
      <c r="O21357" t="s">
        <v>31</v>
      </c>
      <c r="P21357" t="str">
        <f>"15217"</f>
        <v>15217</v>
      </c>
    </row>
    <row r="21358" spans="1:16" x14ac:dyDescent="0.25">
      <c r="A21358" t="str">
        <f>"1310135D00012    00"</f>
        <v>1310135D00012    00</v>
      </c>
      <c r="B21358" t="s">
        <v>46272</v>
      </c>
      <c r="C21358" t="s">
        <v>46132</v>
      </c>
      <c r="D21358" t="s">
        <v>20</v>
      </c>
      <c r="E21358" t="s">
        <v>39</v>
      </c>
      <c r="F21358">
        <v>0</v>
      </c>
      <c r="G21358">
        <v>0</v>
      </c>
      <c r="H21358">
        <v>7</v>
      </c>
      <c r="I21358" s="3">
        <v>1513.82</v>
      </c>
      <c r="J21358" s="3">
        <v>418.63</v>
      </c>
      <c r="K21358" t="s">
        <v>46273</v>
      </c>
      <c r="P21358" t="str">
        <f>""</f>
        <v/>
      </c>
    </row>
    <row r="21359" spans="1:16" x14ac:dyDescent="0.25">
      <c r="A21359" t="str">
        <f>"1310135D00022    00"</f>
        <v>1310135D00022    00</v>
      </c>
      <c r="B21359" t="s">
        <v>46274</v>
      </c>
      <c r="C21359" t="s">
        <v>46132</v>
      </c>
      <c r="D21359" t="s">
        <v>20</v>
      </c>
      <c r="E21359" t="s">
        <v>39</v>
      </c>
      <c r="F21359">
        <v>0</v>
      </c>
      <c r="G21359">
        <v>0</v>
      </c>
      <c r="H21359">
        <v>17</v>
      </c>
      <c r="I21359" s="3">
        <v>3587.93</v>
      </c>
      <c r="J21359" s="3">
        <v>3376.08</v>
      </c>
      <c r="K21359" t="s">
        <v>46275</v>
      </c>
      <c r="L21359">
        <v>24</v>
      </c>
      <c r="M21359" t="s">
        <v>22850</v>
      </c>
      <c r="N21359" t="s">
        <v>238</v>
      </c>
      <c r="O21359" t="s">
        <v>31</v>
      </c>
      <c r="P21359" t="str">
        <f>"15132"</f>
        <v>15132</v>
      </c>
    </row>
    <row r="21360" spans="1:16" x14ac:dyDescent="0.25">
      <c r="A21360" t="str">
        <f>"1310135D00025    00"</f>
        <v>1310135D00025    00</v>
      </c>
      <c r="B21360" t="s">
        <v>46276</v>
      </c>
      <c r="C21360" t="s">
        <v>46132</v>
      </c>
      <c r="D21360" t="s">
        <v>20</v>
      </c>
      <c r="E21360" t="s">
        <v>39</v>
      </c>
      <c r="F21360">
        <v>0</v>
      </c>
      <c r="G21360">
        <v>0</v>
      </c>
      <c r="H21360">
        <v>5</v>
      </c>
      <c r="I21360" s="3">
        <v>763.09</v>
      </c>
      <c r="J21360" s="3">
        <v>131.83000000000001</v>
      </c>
      <c r="L21360">
        <v>3808</v>
      </c>
      <c r="M21360" t="s">
        <v>46277</v>
      </c>
      <c r="N21360" t="s">
        <v>30</v>
      </c>
      <c r="O21360" t="s">
        <v>31</v>
      </c>
      <c r="P21360" t="str">
        <f>"15227"</f>
        <v>15227</v>
      </c>
    </row>
    <row r="21361" spans="1:16" x14ac:dyDescent="0.25">
      <c r="A21361" t="str">
        <f>"1310135D00026    00"</f>
        <v>1310135D00026    00</v>
      </c>
      <c r="B21361" t="s">
        <v>46278</v>
      </c>
      <c r="C21361" t="s">
        <v>46279</v>
      </c>
      <c r="D21361" t="s">
        <v>20</v>
      </c>
      <c r="E21361" t="s">
        <v>39</v>
      </c>
      <c r="F21361">
        <v>0</v>
      </c>
      <c r="G21361">
        <v>0</v>
      </c>
      <c r="H21361">
        <v>15</v>
      </c>
      <c r="I21361" s="3">
        <v>14224.08</v>
      </c>
      <c r="J21361" s="3">
        <v>8256.4500000000007</v>
      </c>
      <c r="L21361">
        <v>572</v>
      </c>
      <c r="M21361" t="s">
        <v>11443</v>
      </c>
      <c r="N21361" t="s">
        <v>30</v>
      </c>
      <c r="O21361" t="s">
        <v>31</v>
      </c>
      <c r="P21361" t="str">
        <f>"15207"</f>
        <v>15207</v>
      </c>
    </row>
    <row r="21362" spans="1:16" x14ac:dyDescent="0.25">
      <c r="A21362" t="str">
        <f>"1310135D00088    00"</f>
        <v>1310135D00088    00</v>
      </c>
      <c r="B21362" t="s">
        <v>46280</v>
      </c>
      <c r="C21362" t="s">
        <v>46281</v>
      </c>
      <c r="D21362" t="s">
        <v>20</v>
      </c>
      <c r="E21362" t="s">
        <v>39</v>
      </c>
      <c r="F21362">
        <v>0</v>
      </c>
      <c r="G21362">
        <v>0</v>
      </c>
      <c r="H21362">
        <v>17</v>
      </c>
      <c r="I21362" s="3">
        <v>93</v>
      </c>
      <c r="J21362" s="3">
        <v>69.81</v>
      </c>
      <c r="K21362" t="s">
        <v>46282</v>
      </c>
      <c r="L21362">
        <v>566</v>
      </c>
      <c r="M21362" t="s">
        <v>46283</v>
      </c>
      <c r="N21362" t="s">
        <v>30</v>
      </c>
      <c r="O21362" t="s">
        <v>31</v>
      </c>
      <c r="P21362" t="str">
        <f>"15207"</f>
        <v>15207</v>
      </c>
    </row>
    <row r="21363" spans="1:16" x14ac:dyDescent="0.25">
      <c r="A21363" t="str">
        <f>"1310135H00041    00"</f>
        <v>1310135H00041    00</v>
      </c>
      <c r="B21363" t="s">
        <v>46284</v>
      </c>
      <c r="C21363" t="s">
        <v>46285</v>
      </c>
      <c r="D21363" t="s">
        <v>20</v>
      </c>
      <c r="E21363" t="s">
        <v>39</v>
      </c>
      <c r="F21363">
        <v>0</v>
      </c>
      <c r="G21363">
        <v>0</v>
      </c>
      <c r="H21363">
        <v>5</v>
      </c>
      <c r="I21363" s="3">
        <v>995.02</v>
      </c>
      <c r="J21363" s="3">
        <v>130.77000000000001</v>
      </c>
      <c r="L21363">
        <v>135</v>
      </c>
      <c r="M21363" t="s">
        <v>23855</v>
      </c>
      <c r="N21363" t="s">
        <v>21130</v>
      </c>
      <c r="O21363" t="s">
        <v>31</v>
      </c>
      <c r="P21363" t="str">
        <f>"15120"</f>
        <v>15120</v>
      </c>
    </row>
    <row r="21364" spans="1:16" x14ac:dyDescent="0.25">
      <c r="A21364" t="str">
        <f>"1310135H00042    00"</f>
        <v>1310135H00042    00</v>
      </c>
      <c r="B21364" t="s">
        <v>46286</v>
      </c>
      <c r="C21364" t="s">
        <v>46285</v>
      </c>
      <c r="E21364" t="s">
        <v>39</v>
      </c>
      <c r="F21364">
        <v>0</v>
      </c>
      <c r="G21364">
        <v>0</v>
      </c>
      <c r="H21364">
        <v>6</v>
      </c>
      <c r="I21364" s="3">
        <v>781.19</v>
      </c>
      <c r="J21364" s="3">
        <v>270.76</v>
      </c>
      <c r="L21364">
        <v>621</v>
      </c>
      <c r="M21364" t="s">
        <v>11443</v>
      </c>
      <c r="N21364" t="s">
        <v>30</v>
      </c>
      <c r="O21364" t="s">
        <v>31</v>
      </c>
      <c r="P21364" t="str">
        <f t="shared" ref="P21364:P21372" si="266">"15207"</f>
        <v>15207</v>
      </c>
    </row>
    <row r="21365" spans="1:16" x14ac:dyDescent="0.25">
      <c r="A21365" t="str">
        <f>"1310135H00044    00"</f>
        <v>1310135H00044    00</v>
      </c>
      <c r="B21365" t="s">
        <v>46286</v>
      </c>
      <c r="C21365" t="s">
        <v>46285</v>
      </c>
      <c r="E21365" t="s">
        <v>39</v>
      </c>
      <c r="F21365">
        <v>0</v>
      </c>
      <c r="G21365">
        <v>0</v>
      </c>
      <c r="H21365">
        <v>5</v>
      </c>
      <c r="I21365" s="3">
        <v>6077.09</v>
      </c>
      <c r="J21365" s="3">
        <v>1738.59</v>
      </c>
      <c r="L21365">
        <v>621</v>
      </c>
      <c r="M21365" t="s">
        <v>11443</v>
      </c>
      <c r="N21365" t="s">
        <v>30</v>
      </c>
      <c r="O21365" t="s">
        <v>31</v>
      </c>
      <c r="P21365" t="str">
        <f t="shared" si="266"/>
        <v>15207</v>
      </c>
    </row>
    <row r="21366" spans="1:16" x14ac:dyDescent="0.25">
      <c r="A21366" t="str">
        <f>"1310135H00045    00"</f>
        <v>1310135H00045    00</v>
      </c>
      <c r="B21366" t="s">
        <v>46287</v>
      </c>
      <c r="C21366" t="s">
        <v>46288</v>
      </c>
      <c r="D21366" t="s">
        <v>20</v>
      </c>
      <c r="E21366" t="s">
        <v>39</v>
      </c>
      <c r="F21366">
        <v>0</v>
      </c>
      <c r="G21366">
        <v>0</v>
      </c>
      <c r="H21366">
        <v>19</v>
      </c>
      <c r="I21366" s="3">
        <v>9517.42</v>
      </c>
      <c r="J21366" s="3">
        <v>9882</v>
      </c>
      <c r="L21366">
        <v>623</v>
      </c>
      <c r="M21366" t="s">
        <v>11443</v>
      </c>
      <c r="N21366" t="s">
        <v>30</v>
      </c>
      <c r="O21366" t="s">
        <v>31</v>
      </c>
      <c r="P21366" t="str">
        <f t="shared" si="266"/>
        <v>15207</v>
      </c>
    </row>
    <row r="21367" spans="1:16" x14ac:dyDescent="0.25">
      <c r="A21367" t="str">
        <f>"1310135H00086    00"</f>
        <v>1310135H00086    00</v>
      </c>
      <c r="B21367" t="s">
        <v>46289</v>
      </c>
      <c r="C21367" t="s">
        <v>46132</v>
      </c>
      <c r="D21367" t="s">
        <v>20</v>
      </c>
      <c r="E21367" t="s">
        <v>39</v>
      </c>
      <c r="F21367">
        <v>0</v>
      </c>
      <c r="G21367">
        <v>0</v>
      </c>
      <c r="H21367">
        <v>19</v>
      </c>
      <c r="I21367" s="3">
        <v>4413.6099999999997</v>
      </c>
      <c r="J21367" s="3">
        <v>3923.3</v>
      </c>
      <c r="K21367" t="s">
        <v>46290</v>
      </c>
      <c r="L21367">
        <v>690</v>
      </c>
      <c r="M21367" t="s">
        <v>46009</v>
      </c>
      <c r="N21367" t="s">
        <v>30</v>
      </c>
      <c r="O21367" t="s">
        <v>31</v>
      </c>
      <c r="P21367" t="str">
        <f t="shared" si="266"/>
        <v>15207</v>
      </c>
    </row>
    <row r="21368" spans="1:16" x14ac:dyDescent="0.25">
      <c r="A21368" t="str">
        <f>"1310135H00090    00"</f>
        <v>1310135H00090    00</v>
      </c>
      <c r="B21368" t="s">
        <v>46291</v>
      </c>
      <c r="C21368" t="s">
        <v>46132</v>
      </c>
      <c r="D21368" t="s">
        <v>20</v>
      </c>
      <c r="E21368" t="s">
        <v>39</v>
      </c>
      <c r="F21368">
        <v>0</v>
      </c>
      <c r="G21368">
        <v>0</v>
      </c>
      <c r="H21368">
        <v>2</v>
      </c>
      <c r="I21368" s="3">
        <v>163.94</v>
      </c>
      <c r="J21368" s="3">
        <v>0</v>
      </c>
      <c r="K21368" t="s">
        <v>46292</v>
      </c>
      <c r="L21368">
        <v>681</v>
      </c>
      <c r="M21368" t="s">
        <v>46049</v>
      </c>
      <c r="N21368" t="s">
        <v>30</v>
      </c>
      <c r="O21368" t="s">
        <v>31</v>
      </c>
      <c r="P21368" t="str">
        <f t="shared" si="266"/>
        <v>15207</v>
      </c>
    </row>
    <row r="21369" spans="1:16" x14ac:dyDescent="0.25">
      <c r="A21369" t="str">
        <f>"1310135H00091    00"</f>
        <v>1310135H00091    00</v>
      </c>
      <c r="B21369" t="s">
        <v>46291</v>
      </c>
      <c r="C21369" t="s">
        <v>46293</v>
      </c>
      <c r="D21369" t="s">
        <v>20</v>
      </c>
      <c r="E21369" t="s">
        <v>39</v>
      </c>
      <c r="F21369">
        <v>0</v>
      </c>
      <c r="G21369">
        <v>0</v>
      </c>
      <c r="H21369">
        <v>6</v>
      </c>
      <c r="I21369" s="3">
        <v>6337.81</v>
      </c>
      <c r="J21369" s="3">
        <v>833.05</v>
      </c>
      <c r="K21369" t="s">
        <v>46294</v>
      </c>
      <c r="L21369">
        <v>681</v>
      </c>
      <c r="M21369" t="s">
        <v>46049</v>
      </c>
      <c r="N21369" t="s">
        <v>30</v>
      </c>
      <c r="O21369" t="s">
        <v>31</v>
      </c>
      <c r="P21369" t="str">
        <f t="shared" si="266"/>
        <v>15207</v>
      </c>
    </row>
    <row r="21370" spans="1:16" x14ac:dyDescent="0.25">
      <c r="A21370" t="str">
        <f>"1310135H00103    00"</f>
        <v>1310135H00103    00</v>
      </c>
      <c r="B21370" t="s">
        <v>46295</v>
      </c>
      <c r="C21370" t="s">
        <v>46296</v>
      </c>
      <c r="D21370" t="s">
        <v>20</v>
      </c>
      <c r="E21370" t="s">
        <v>39</v>
      </c>
      <c r="F21370">
        <v>0</v>
      </c>
      <c r="G21370">
        <v>0</v>
      </c>
      <c r="H21370">
        <v>4</v>
      </c>
      <c r="I21370" s="3">
        <v>2157</v>
      </c>
      <c r="J21370" s="3">
        <v>565.22</v>
      </c>
      <c r="L21370">
        <v>659</v>
      </c>
      <c r="M21370" t="s">
        <v>46049</v>
      </c>
      <c r="N21370" t="s">
        <v>30</v>
      </c>
      <c r="O21370" t="s">
        <v>31</v>
      </c>
      <c r="P21370" t="str">
        <f t="shared" si="266"/>
        <v>15207</v>
      </c>
    </row>
    <row r="21371" spans="1:16" x14ac:dyDescent="0.25">
      <c r="A21371" t="str">
        <f>"1310135H00106    00"</f>
        <v>1310135H00106    00</v>
      </c>
      <c r="B21371" t="s">
        <v>46297</v>
      </c>
      <c r="C21371" t="s">
        <v>46298</v>
      </c>
      <c r="D21371" t="s">
        <v>20</v>
      </c>
      <c r="E21371" t="s">
        <v>39</v>
      </c>
      <c r="F21371">
        <v>0</v>
      </c>
      <c r="G21371">
        <v>0</v>
      </c>
      <c r="H21371">
        <v>8</v>
      </c>
      <c r="I21371" s="3">
        <v>8807.83</v>
      </c>
      <c r="J21371" s="3">
        <v>2803.61</v>
      </c>
      <c r="L21371">
        <v>655</v>
      </c>
      <c r="M21371" t="s">
        <v>46049</v>
      </c>
      <c r="N21371" t="s">
        <v>30</v>
      </c>
      <c r="O21371" t="s">
        <v>31</v>
      </c>
      <c r="P21371" t="str">
        <f t="shared" si="266"/>
        <v>15207</v>
      </c>
    </row>
    <row r="21372" spans="1:16" x14ac:dyDescent="0.25">
      <c r="A21372" t="str">
        <f>"1310135H00120    00"</f>
        <v>1310135H00120    00</v>
      </c>
      <c r="B21372" t="s">
        <v>46299</v>
      </c>
      <c r="C21372" t="s">
        <v>46300</v>
      </c>
      <c r="D21372" t="s">
        <v>20</v>
      </c>
      <c r="E21372" t="s">
        <v>39</v>
      </c>
      <c r="F21372">
        <v>0</v>
      </c>
      <c r="G21372">
        <v>0</v>
      </c>
      <c r="H21372">
        <v>3</v>
      </c>
      <c r="I21372" s="3">
        <v>1288.08</v>
      </c>
      <c r="J21372" s="3">
        <v>36.35</v>
      </c>
      <c r="L21372">
        <v>636</v>
      </c>
      <c r="M21372" t="s">
        <v>11443</v>
      </c>
      <c r="N21372" t="s">
        <v>30</v>
      </c>
      <c r="O21372" t="s">
        <v>31</v>
      </c>
      <c r="P21372" t="str">
        <f t="shared" si="266"/>
        <v>15207</v>
      </c>
    </row>
    <row r="21373" spans="1:16" x14ac:dyDescent="0.25">
      <c r="A21373" t="str">
        <f>"1310135H00128    00"</f>
        <v>1310135H00128    00</v>
      </c>
      <c r="B21373" t="s">
        <v>46301</v>
      </c>
      <c r="C21373" t="s">
        <v>46302</v>
      </c>
      <c r="D21373" t="s">
        <v>20</v>
      </c>
      <c r="E21373" t="s">
        <v>39</v>
      </c>
      <c r="F21373">
        <v>0</v>
      </c>
      <c r="G21373">
        <v>0</v>
      </c>
      <c r="H21373">
        <v>2</v>
      </c>
      <c r="I21373" s="3">
        <v>1791.68</v>
      </c>
      <c r="J21373" s="3">
        <v>0</v>
      </c>
      <c r="K21373" t="s">
        <v>46303</v>
      </c>
      <c r="L21373">
        <v>915</v>
      </c>
      <c r="M21373" t="s">
        <v>8048</v>
      </c>
      <c r="N21373" t="s">
        <v>30</v>
      </c>
      <c r="O21373" t="s">
        <v>31</v>
      </c>
      <c r="P21373" t="str">
        <f>"15210"</f>
        <v>15210</v>
      </c>
    </row>
    <row r="21374" spans="1:16" x14ac:dyDescent="0.25">
      <c r="A21374" t="str">
        <f>"1310135H00129    00"</f>
        <v>1310135H00129    00</v>
      </c>
      <c r="B21374" t="s">
        <v>46304</v>
      </c>
      <c r="C21374" t="s">
        <v>46305</v>
      </c>
      <c r="D21374" t="s">
        <v>20</v>
      </c>
      <c r="E21374" t="s">
        <v>39</v>
      </c>
      <c r="F21374">
        <v>0</v>
      </c>
      <c r="G21374">
        <v>0</v>
      </c>
      <c r="H21374">
        <v>8</v>
      </c>
      <c r="I21374" s="3">
        <v>4506.3</v>
      </c>
      <c r="J21374" s="3">
        <v>1336.74</v>
      </c>
      <c r="L21374">
        <v>624</v>
      </c>
      <c r="M21374" t="s">
        <v>11443</v>
      </c>
      <c r="N21374" t="s">
        <v>30</v>
      </c>
      <c r="O21374" t="s">
        <v>31</v>
      </c>
      <c r="P21374" t="str">
        <f>"15207"</f>
        <v>15207</v>
      </c>
    </row>
    <row r="21375" spans="1:16" x14ac:dyDescent="0.25">
      <c r="A21375" t="str">
        <f>"1310135H00131    00"</f>
        <v>1310135H00131    00</v>
      </c>
      <c r="B21375" t="s">
        <v>46306</v>
      </c>
      <c r="C21375" t="s">
        <v>46307</v>
      </c>
      <c r="D21375" t="s">
        <v>20</v>
      </c>
      <c r="E21375" t="s">
        <v>39</v>
      </c>
      <c r="F21375">
        <v>0</v>
      </c>
      <c r="G21375">
        <v>0</v>
      </c>
      <c r="H21375">
        <v>2</v>
      </c>
      <c r="I21375" s="3">
        <v>2256.7399999999998</v>
      </c>
      <c r="J21375" s="3">
        <v>0</v>
      </c>
      <c r="K21375" t="s">
        <v>46308</v>
      </c>
      <c r="L21375">
        <v>620</v>
      </c>
      <c r="M21375" t="s">
        <v>11443</v>
      </c>
      <c r="N21375" t="s">
        <v>30</v>
      </c>
      <c r="O21375" t="s">
        <v>31</v>
      </c>
      <c r="P21375" t="str">
        <f>"15207"</f>
        <v>15207</v>
      </c>
    </row>
    <row r="21376" spans="1:16" x14ac:dyDescent="0.25">
      <c r="A21376" t="str">
        <f>"1310135H00132    00"</f>
        <v>1310135H00132    00</v>
      </c>
      <c r="B21376" t="s">
        <v>46309</v>
      </c>
      <c r="C21376" t="s">
        <v>46310</v>
      </c>
      <c r="D21376" t="s">
        <v>20</v>
      </c>
      <c r="E21376" t="s">
        <v>39</v>
      </c>
      <c r="F21376">
        <v>0</v>
      </c>
      <c r="G21376">
        <v>0</v>
      </c>
      <c r="H21376">
        <v>19</v>
      </c>
      <c r="I21376" s="3">
        <v>15512.51</v>
      </c>
      <c r="J21376" s="3">
        <v>13567.59</v>
      </c>
      <c r="K21376" t="s">
        <v>46311</v>
      </c>
      <c r="L21376">
        <v>550</v>
      </c>
      <c r="M21376" t="s">
        <v>29808</v>
      </c>
      <c r="N21376" t="s">
        <v>18305</v>
      </c>
      <c r="O21376" t="s">
        <v>31</v>
      </c>
      <c r="P21376" t="str">
        <f>"15330"</f>
        <v>15330</v>
      </c>
    </row>
    <row r="21377" spans="1:16" x14ac:dyDescent="0.25">
      <c r="A21377" t="str">
        <f>"1310135H00189    00"</f>
        <v>1310135H00189    00</v>
      </c>
      <c r="B21377" t="s">
        <v>46312</v>
      </c>
      <c r="C21377" t="s">
        <v>46313</v>
      </c>
      <c r="D21377" t="s">
        <v>20</v>
      </c>
      <c r="E21377" t="s">
        <v>39</v>
      </c>
      <c r="F21377">
        <v>0</v>
      </c>
      <c r="G21377">
        <v>0</v>
      </c>
      <c r="H21377">
        <v>1</v>
      </c>
      <c r="I21377" s="3">
        <v>428.86</v>
      </c>
      <c r="J21377" s="3">
        <v>0</v>
      </c>
      <c r="K21377" t="s">
        <v>46314</v>
      </c>
      <c r="L21377">
        <v>726</v>
      </c>
      <c r="M21377" t="s">
        <v>24918</v>
      </c>
      <c r="N21377" t="s">
        <v>30</v>
      </c>
      <c r="O21377" t="s">
        <v>31</v>
      </c>
      <c r="P21377" t="str">
        <f>"15202"</f>
        <v>15202</v>
      </c>
    </row>
    <row r="21378" spans="1:16" x14ac:dyDescent="0.25">
      <c r="A21378" t="str">
        <f>"1310135H00193    00"</f>
        <v>1310135H00193    00</v>
      </c>
      <c r="B21378" t="s">
        <v>46315</v>
      </c>
      <c r="C21378" t="s">
        <v>46316</v>
      </c>
      <c r="D21378" t="s">
        <v>20</v>
      </c>
      <c r="E21378" t="s">
        <v>39</v>
      </c>
      <c r="F21378">
        <v>0</v>
      </c>
      <c r="G21378">
        <v>0</v>
      </c>
      <c r="H21378">
        <v>6</v>
      </c>
      <c r="I21378" s="3">
        <v>1396.8</v>
      </c>
      <c r="J21378" s="3">
        <v>431.99</v>
      </c>
      <c r="L21378">
        <v>662</v>
      </c>
      <c r="M21378" t="s">
        <v>46049</v>
      </c>
      <c r="N21378" t="s">
        <v>30</v>
      </c>
      <c r="O21378" t="s">
        <v>31</v>
      </c>
      <c r="P21378" t="str">
        <f>"15207"</f>
        <v>15207</v>
      </c>
    </row>
    <row r="21379" spans="1:16" x14ac:dyDescent="0.25">
      <c r="A21379" t="str">
        <f>"1310135H00197    00"</f>
        <v>1310135H00197    00</v>
      </c>
      <c r="B21379" t="s">
        <v>46317</v>
      </c>
      <c r="C21379" t="s">
        <v>46316</v>
      </c>
      <c r="D21379" t="s">
        <v>20</v>
      </c>
      <c r="E21379" t="s">
        <v>39</v>
      </c>
      <c r="F21379">
        <v>0</v>
      </c>
      <c r="G21379">
        <v>0</v>
      </c>
      <c r="H21379">
        <v>4</v>
      </c>
      <c r="I21379" s="3">
        <v>868.09</v>
      </c>
      <c r="J21379" s="3">
        <v>118.27</v>
      </c>
      <c r="L21379">
        <v>662</v>
      </c>
      <c r="M21379" t="s">
        <v>46049</v>
      </c>
      <c r="N21379" t="s">
        <v>30</v>
      </c>
      <c r="O21379" t="s">
        <v>31</v>
      </c>
      <c r="P21379" t="str">
        <f>"15207"</f>
        <v>15207</v>
      </c>
    </row>
    <row r="21380" spans="1:16" x14ac:dyDescent="0.25">
      <c r="A21380" t="str">
        <f>"1310135H00200    00"</f>
        <v>1310135H00200    00</v>
      </c>
      <c r="B21380" t="s">
        <v>46317</v>
      </c>
      <c r="C21380" t="s">
        <v>46316</v>
      </c>
      <c r="D21380" t="s">
        <v>20</v>
      </c>
      <c r="E21380" t="s">
        <v>39</v>
      </c>
      <c r="F21380">
        <v>0</v>
      </c>
      <c r="G21380">
        <v>0</v>
      </c>
      <c r="H21380">
        <v>4</v>
      </c>
      <c r="I21380" s="3">
        <v>1458.04</v>
      </c>
      <c r="J21380" s="3">
        <v>172.23</v>
      </c>
      <c r="L21380">
        <v>662</v>
      </c>
      <c r="M21380" t="s">
        <v>46049</v>
      </c>
      <c r="N21380" t="s">
        <v>30</v>
      </c>
      <c r="O21380" t="s">
        <v>31</v>
      </c>
      <c r="P21380" t="str">
        <f>"15207"</f>
        <v>15207</v>
      </c>
    </row>
    <row r="21381" spans="1:16" x14ac:dyDescent="0.25">
      <c r="A21381" t="str">
        <f>"1310135H00213    00"</f>
        <v>1310135H00213    00</v>
      </c>
      <c r="B21381" t="s">
        <v>46318</v>
      </c>
      <c r="C21381" t="s">
        <v>46319</v>
      </c>
      <c r="D21381" t="s">
        <v>20</v>
      </c>
      <c r="E21381" t="s">
        <v>39</v>
      </c>
      <c r="F21381">
        <v>0</v>
      </c>
      <c r="G21381">
        <v>0</v>
      </c>
      <c r="H21381">
        <v>19</v>
      </c>
      <c r="I21381" s="3">
        <v>5024.8</v>
      </c>
      <c r="J21381" s="3">
        <v>4763.6099999999997</v>
      </c>
      <c r="P21381" t="str">
        <f>""</f>
        <v/>
      </c>
    </row>
    <row r="21382" spans="1:16" x14ac:dyDescent="0.25">
      <c r="A21382" t="str">
        <f>"1310135H00219    00"</f>
        <v>1310135H00219    00</v>
      </c>
      <c r="B21382" t="s">
        <v>46320</v>
      </c>
      <c r="C21382" t="s">
        <v>46319</v>
      </c>
      <c r="D21382" t="s">
        <v>20</v>
      </c>
      <c r="E21382" t="s">
        <v>39</v>
      </c>
      <c r="F21382">
        <v>0</v>
      </c>
      <c r="G21382">
        <v>0</v>
      </c>
      <c r="H21382">
        <v>2</v>
      </c>
      <c r="I21382" s="3">
        <v>264.77999999999997</v>
      </c>
      <c r="J21382" s="3">
        <v>0</v>
      </c>
      <c r="L21382">
        <v>209</v>
      </c>
      <c r="M21382" t="s">
        <v>46321</v>
      </c>
      <c r="N21382" t="s">
        <v>30</v>
      </c>
      <c r="O21382" t="s">
        <v>31</v>
      </c>
      <c r="P21382" t="str">
        <f>"15236"</f>
        <v>15236</v>
      </c>
    </row>
    <row r="21383" spans="1:16" x14ac:dyDescent="0.25">
      <c r="A21383" t="str">
        <f>"1310135H00221    00"</f>
        <v>1310135H00221    00</v>
      </c>
      <c r="B21383" t="s">
        <v>46320</v>
      </c>
      <c r="C21383" t="s">
        <v>46319</v>
      </c>
      <c r="D21383" t="s">
        <v>20</v>
      </c>
      <c r="E21383" t="s">
        <v>39</v>
      </c>
      <c r="F21383">
        <v>0</v>
      </c>
      <c r="G21383">
        <v>0</v>
      </c>
      <c r="H21383">
        <v>2</v>
      </c>
      <c r="I21383" s="3">
        <v>281.51</v>
      </c>
      <c r="J21383" s="3">
        <v>0</v>
      </c>
      <c r="L21383">
        <v>209</v>
      </c>
      <c r="M21383" t="s">
        <v>46321</v>
      </c>
      <c r="N21383" t="s">
        <v>30</v>
      </c>
      <c r="O21383" t="s">
        <v>31</v>
      </c>
      <c r="P21383" t="str">
        <f>"15236"</f>
        <v>15236</v>
      </c>
    </row>
    <row r="21384" spans="1:16" x14ac:dyDescent="0.25">
      <c r="A21384" t="str">
        <f>"1310135H00222    00"</f>
        <v>1310135H00222    00</v>
      </c>
      <c r="B21384" t="s">
        <v>46320</v>
      </c>
      <c r="C21384" t="s">
        <v>46322</v>
      </c>
      <c r="D21384" t="s">
        <v>20</v>
      </c>
      <c r="E21384" t="s">
        <v>39</v>
      </c>
      <c r="F21384">
        <v>0</v>
      </c>
      <c r="G21384">
        <v>0</v>
      </c>
      <c r="H21384">
        <v>2</v>
      </c>
      <c r="I21384" s="3">
        <v>2243.5500000000002</v>
      </c>
      <c r="J21384" s="3">
        <v>0</v>
      </c>
      <c r="L21384">
        <v>209</v>
      </c>
      <c r="M21384" t="s">
        <v>46321</v>
      </c>
      <c r="N21384" t="s">
        <v>30</v>
      </c>
      <c r="O21384" t="s">
        <v>31</v>
      </c>
      <c r="P21384" t="str">
        <f>"15236"</f>
        <v>15236</v>
      </c>
    </row>
    <row r="21385" spans="1:16" x14ac:dyDescent="0.25">
      <c r="A21385" t="str">
        <f>"1310135H00226    00"</f>
        <v>1310135H00226    00</v>
      </c>
      <c r="B21385" t="s">
        <v>28880</v>
      </c>
      <c r="C21385" t="s">
        <v>46323</v>
      </c>
      <c r="E21385" t="s">
        <v>39</v>
      </c>
      <c r="F21385">
        <v>0</v>
      </c>
      <c r="G21385">
        <v>0</v>
      </c>
      <c r="H21385">
        <v>1</v>
      </c>
      <c r="I21385" s="3">
        <v>1534.34</v>
      </c>
      <c r="J21385" s="3">
        <v>0</v>
      </c>
      <c r="K21385" t="s">
        <v>28863</v>
      </c>
      <c r="L21385">
        <v>1200</v>
      </c>
      <c r="M21385" t="s">
        <v>1990</v>
      </c>
      <c r="N21385" t="s">
        <v>30</v>
      </c>
      <c r="O21385" t="s">
        <v>31</v>
      </c>
      <c r="P21385" t="str">
        <f>"15226"</f>
        <v>15226</v>
      </c>
    </row>
    <row r="21386" spans="1:16" x14ac:dyDescent="0.25">
      <c r="A21386" t="str">
        <f>"1310135H00240    00"</f>
        <v>1310135H00240    00</v>
      </c>
      <c r="B21386" t="s">
        <v>46324</v>
      </c>
      <c r="C21386" t="s">
        <v>45961</v>
      </c>
      <c r="D21386" t="s">
        <v>20</v>
      </c>
      <c r="E21386" t="s">
        <v>39</v>
      </c>
      <c r="F21386">
        <v>0</v>
      </c>
      <c r="G21386">
        <v>0</v>
      </c>
      <c r="H21386">
        <v>13</v>
      </c>
      <c r="I21386" s="3">
        <v>5343.24</v>
      </c>
      <c r="J21386" s="3">
        <v>2851.23</v>
      </c>
      <c r="L21386">
        <v>1038</v>
      </c>
      <c r="M21386" t="s">
        <v>46325</v>
      </c>
      <c r="N21386" t="s">
        <v>285</v>
      </c>
      <c r="O21386" t="s">
        <v>31</v>
      </c>
      <c r="P21386" t="str">
        <f>"15120"</f>
        <v>15120</v>
      </c>
    </row>
    <row r="21387" spans="1:16" x14ac:dyDescent="0.25">
      <c r="A21387" t="str">
        <f>"1310135M00024    00"</f>
        <v>1310135M00024    00</v>
      </c>
      <c r="B21387" t="s">
        <v>46326</v>
      </c>
      <c r="C21387" t="s">
        <v>46327</v>
      </c>
      <c r="D21387" t="s">
        <v>20</v>
      </c>
      <c r="E21387" t="s">
        <v>290</v>
      </c>
      <c r="F21387">
        <v>0</v>
      </c>
      <c r="G21387">
        <v>0</v>
      </c>
      <c r="H21387">
        <v>4</v>
      </c>
      <c r="I21387" s="3">
        <v>5088.0600000000004</v>
      </c>
      <c r="J21387" s="3">
        <v>601.04</v>
      </c>
      <c r="M21387" t="s">
        <v>46328</v>
      </c>
      <c r="N21387" t="s">
        <v>21130</v>
      </c>
      <c r="O21387" t="s">
        <v>31</v>
      </c>
      <c r="P21387" t="str">
        <f>"15120"</f>
        <v>15120</v>
      </c>
    </row>
    <row r="21388" spans="1:16" x14ac:dyDescent="0.25">
      <c r="A21388" t="str">
        <f>"1310135M00041    00"</f>
        <v>1310135M00041    00</v>
      </c>
      <c r="B21388" t="s">
        <v>46329</v>
      </c>
      <c r="C21388" t="s">
        <v>45961</v>
      </c>
      <c r="D21388" t="s">
        <v>20</v>
      </c>
      <c r="E21388" t="s">
        <v>39</v>
      </c>
      <c r="F21388">
        <v>0</v>
      </c>
      <c r="G21388">
        <v>0</v>
      </c>
      <c r="H21388">
        <v>9</v>
      </c>
      <c r="I21388" s="3">
        <v>2003.25</v>
      </c>
      <c r="J21388" s="3">
        <v>730.26</v>
      </c>
      <c r="L21388">
        <v>707</v>
      </c>
      <c r="M21388" t="s">
        <v>46049</v>
      </c>
      <c r="N21388" t="s">
        <v>30</v>
      </c>
      <c r="O21388" t="s">
        <v>31</v>
      </c>
      <c r="P21388" t="str">
        <f>"15207"</f>
        <v>15207</v>
      </c>
    </row>
    <row r="21389" spans="1:16" x14ac:dyDescent="0.25">
      <c r="A21389" t="str">
        <f>"1310135M00043    00"</f>
        <v>1310135M00043    00</v>
      </c>
      <c r="B21389" t="s">
        <v>46330</v>
      </c>
      <c r="C21389" t="s">
        <v>46331</v>
      </c>
      <c r="D21389" t="s">
        <v>20</v>
      </c>
      <c r="E21389" t="s">
        <v>39</v>
      </c>
      <c r="F21389">
        <v>0</v>
      </c>
      <c r="G21389">
        <v>0</v>
      </c>
      <c r="H21389">
        <v>4</v>
      </c>
      <c r="I21389" s="3">
        <v>2829.15</v>
      </c>
      <c r="J21389" s="3">
        <v>316.43</v>
      </c>
      <c r="L21389">
        <v>707</v>
      </c>
      <c r="M21389" t="s">
        <v>46049</v>
      </c>
      <c r="N21389" t="s">
        <v>30</v>
      </c>
      <c r="O21389" t="s">
        <v>31</v>
      </c>
      <c r="P21389" t="str">
        <f>"15207"</f>
        <v>15207</v>
      </c>
    </row>
    <row r="21390" spans="1:16" x14ac:dyDescent="0.25">
      <c r="A21390" t="str">
        <f>"1310135M00045    00"</f>
        <v>1310135M00045    00</v>
      </c>
      <c r="B21390" t="s">
        <v>46332</v>
      </c>
      <c r="C21390" t="s">
        <v>46333</v>
      </c>
      <c r="D21390" t="s">
        <v>20</v>
      </c>
      <c r="E21390" t="s">
        <v>39</v>
      </c>
      <c r="F21390">
        <v>0</v>
      </c>
      <c r="G21390">
        <v>0</v>
      </c>
      <c r="H21390">
        <v>4</v>
      </c>
      <c r="I21390" s="3">
        <v>3245.34</v>
      </c>
      <c r="J21390" s="3">
        <v>163.56</v>
      </c>
      <c r="L21390">
        <v>1239</v>
      </c>
      <c r="M21390" t="s">
        <v>25874</v>
      </c>
      <c r="N21390" t="s">
        <v>903</v>
      </c>
      <c r="O21390" t="s">
        <v>31</v>
      </c>
      <c r="P21390" t="str">
        <f>"15136"</f>
        <v>15136</v>
      </c>
    </row>
    <row r="21391" spans="1:16" x14ac:dyDescent="0.25">
      <c r="A21391" t="str">
        <f>"1310135M00051    00"</f>
        <v>1310135M00051    00</v>
      </c>
      <c r="B21391" t="s">
        <v>46334</v>
      </c>
      <c r="C21391" t="s">
        <v>45961</v>
      </c>
      <c r="D21391" t="s">
        <v>20</v>
      </c>
      <c r="E21391" t="s">
        <v>39</v>
      </c>
      <c r="F21391">
        <v>0</v>
      </c>
      <c r="G21391">
        <v>0</v>
      </c>
      <c r="H21391">
        <v>18</v>
      </c>
      <c r="I21391" s="3">
        <v>4238.1000000000004</v>
      </c>
      <c r="J21391" s="3">
        <v>3651.27</v>
      </c>
      <c r="L21391">
        <v>690</v>
      </c>
      <c r="M21391" t="s">
        <v>46009</v>
      </c>
      <c r="N21391" t="s">
        <v>30</v>
      </c>
      <c r="O21391" t="s">
        <v>31</v>
      </c>
      <c r="P21391" t="str">
        <f>"15207"</f>
        <v>15207</v>
      </c>
    </row>
    <row r="21392" spans="1:16" x14ac:dyDescent="0.25">
      <c r="A21392" t="str">
        <f>"1310135M00053    00"</f>
        <v>1310135M00053    00</v>
      </c>
      <c r="B21392" t="s">
        <v>46335</v>
      </c>
      <c r="C21392" t="s">
        <v>46336</v>
      </c>
      <c r="D21392" t="s">
        <v>20</v>
      </c>
      <c r="E21392" t="s">
        <v>39</v>
      </c>
      <c r="F21392">
        <v>0</v>
      </c>
      <c r="G21392">
        <v>0</v>
      </c>
      <c r="H21392">
        <v>2</v>
      </c>
      <c r="I21392" s="3">
        <v>660.46</v>
      </c>
      <c r="J21392" s="3">
        <v>0</v>
      </c>
      <c r="L21392">
        <v>690</v>
      </c>
      <c r="M21392" t="s">
        <v>46009</v>
      </c>
      <c r="N21392" t="s">
        <v>30</v>
      </c>
      <c r="O21392" t="s">
        <v>31</v>
      </c>
      <c r="P21392" t="str">
        <f>"15207"</f>
        <v>15207</v>
      </c>
    </row>
    <row r="21393" spans="1:16" x14ac:dyDescent="0.25">
      <c r="A21393" t="str">
        <f>"1310135M00106    00"</f>
        <v>1310135M00106    00</v>
      </c>
      <c r="B21393" t="s">
        <v>46337</v>
      </c>
      <c r="C21393" t="s">
        <v>46338</v>
      </c>
      <c r="D21393" t="s">
        <v>20</v>
      </c>
      <c r="E21393" t="s">
        <v>39</v>
      </c>
      <c r="F21393">
        <v>0</v>
      </c>
      <c r="G21393">
        <v>0</v>
      </c>
      <c r="H21393">
        <v>19</v>
      </c>
      <c r="I21393" s="3">
        <v>8443.7000000000007</v>
      </c>
      <c r="J21393" s="3">
        <v>8502.14</v>
      </c>
      <c r="K21393" t="s">
        <v>1037</v>
      </c>
      <c r="L21393">
        <v>3266</v>
      </c>
      <c r="M21393" t="s">
        <v>46339</v>
      </c>
      <c r="N21393" t="s">
        <v>30</v>
      </c>
      <c r="O21393" t="s">
        <v>31</v>
      </c>
      <c r="P21393" t="str">
        <f>"15214"</f>
        <v>15214</v>
      </c>
    </row>
    <row r="21394" spans="1:16" x14ac:dyDescent="0.25">
      <c r="A21394" t="str">
        <f>"1310135M00130    00"</f>
        <v>1310135M00130    00</v>
      </c>
      <c r="B21394" t="s">
        <v>46340</v>
      </c>
      <c r="C21394" t="s">
        <v>46341</v>
      </c>
      <c r="E21394" t="s">
        <v>39</v>
      </c>
      <c r="F21394">
        <v>0</v>
      </c>
      <c r="G21394">
        <v>0</v>
      </c>
      <c r="H21394">
        <v>2</v>
      </c>
      <c r="I21394" s="3">
        <v>677.49</v>
      </c>
      <c r="J21394" s="3">
        <v>228.07</v>
      </c>
      <c r="L21394">
        <v>701</v>
      </c>
      <c r="M21394" t="s">
        <v>46009</v>
      </c>
      <c r="N21394" t="s">
        <v>30</v>
      </c>
      <c r="O21394" t="s">
        <v>31</v>
      </c>
      <c r="P21394" t="str">
        <f>"15207"</f>
        <v>15207</v>
      </c>
    </row>
    <row r="21395" spans="1:16" x14ac:dyDescent="0.25">
      <c r="A21395" t="str">
        <f>"1310135P00010    00"</f>
        <v>1310135P00010    00</v>
      </c>
      <c r="B21395" t="s">
        <v>46342</v>
      </c>
      <c r="C21395" t="s">
        <v>45961</v>
      </c>
      <c r="D21395" t="s">
        <v>20</v>
      </c>
      <c r="E21395" t="s">
        <v>39</v>
      </c>
      <c r="F21395">
        <v>0</v>
      </c>
      <c r="G21395">
        <v>0</v>
      </c>
      <c r="H21395">
        <v>19</v>
      </c>
      <c r="I21395" s="3">
        <v>11624.66</v>
      </c>
      <c r="J21395" s="3">
        <v>11212.94</v>
      </c>
      <c r="K21395" t="s">
        <v>1037</v>
      </c>
      <c r="M21395" t="s">
        <v>46343</v>
      </c>
      <c r="N21395" t="s">
        <v>3262</v>
      </c>
      <c r="O21395" t="s">
        <v>5057</v>
      </c>
      <c r="P21395" t="str">
        <f>"04112"</f>
        <v>04112</v>
      </c>
    </row>
    <row r="21396" spans="1:16" x14ac:dyDescent="0.25">
      <c r="A21396" t="str">
        <f>"1310135R00035    00"</f>
        <v>1310135R00035    00</v>
      </c>
      <c r="B21396" t="s">
        <v>46344</v>
      </c>
      <c r="C21396" t="s">
        <v>45961</v>
      </c>
      <c r="D21396" t="s">
        <v>20</v>
      </c>
      <c r="E21396" t="s">
        <v>39</v>
      </c>
      <c r="F21396">
        <v>0</v>
      </c>
      <c r="G21396">
        <v>0</v>
      </c>
      <c r="H21396">
        <v>4</v>
      </c>
      <c r="I21396" s="3">
        <v>1101.17</v>
      </c>
      <c r="J21396" s="3">
        <v>130.08000000000001</v>
      </c>
      <c r="M21396" t="s">
        <v>46328</v>
      </c>
      <c r="N21396" t="s">
        <v>285</v>
      </c>
      <c r="O21396" t="s">
        <v>31</v>
      </c>
      <c r="P21396" t="str">
        <f>"15120"</f>
        <v>15120</v>
      </c>
    </row>
    <row r="21397" spans="1:16" x14ac:dyDescent="0.25">
      <c r="A21397" t="str">
        <f>"1310135R00164    00"</f>
        <v>1310135R00164    00</v>
      </c>
      <c r="B21397" t="s">
        <v>46345</v>
      </c>
      <c r="C21397" t="s">
        <v>46346</v>
      </c>
      <c r="D21397" t="s">
        <v>20</v>
      </c>
      <c r="E21397" t="s">
        <v>21</v>
      </c>
      <c r="F21397">
        <v>0</v>
      </c>
      <c r="G21397">
        <v>0</v>
      </c>
      <c r="H21397">
        <v>4</v>
      </c>
      <c r="I21397" s="3">
        <v>2802.25</v>
      </c>
      <c r="J21397" s="3">
        <v>331.02</v>
      </c>
      <c r="M21397" t="s">
        <v>46328</v>
      </c>
      <c r="N21397" t="s">
        <v>285</v>
      </c>
      <c r="O21397" t="s">
        <v>31</v>
      </c>
      <c r="P21397" t="str">
        <f>"15120"</f>
        <v>15120</v>
      </c>
    </row>
    <row r="21398" spans="1:16" x14ac:dyDescent="0.25">
      <c r="A21398" t="str">
        <f>"1310135R00170    00"</f>
        <v>1310135R00170    00</v>
      </c>
      <c r="B21398" t="s">
        <v>46326</v>
      </c>
      <c r="C21398" t="s">
        <v>46346</v>
      </c>
      <c r="D21398" t="s">
        <v>20</v>
      </c>
      <c r="E21398" t="s">
        <v>21</v>
      </c>
      <c r="F21398">
        <v>0</v>
      </c>
      <c r="G21398">
        <v>0</v>
      </c>
      <c r="H21398">
        <v>4</v>
      </c>
      <c r="I21398" s="3">
        <v>3964.06</v>
      </c>
      <c r="J21398" s="3">
        <v>468.28</v>
      </c>
      <c r="M21398" t="s">
        <v>46328</v>
      </c>
      <c r="N21398" t="s">
        <v>285</v>
      </c>
      <c r="O21398" t="s">
        <v>31</v>
      </c>
      <c r="P21398" t="str">
        <f>"15120"</f>
        <v>15120</v>
      </c>
    </row>
    <row r="21399" spans="1:16" x14ac:dyDescent="0.25">
      <c r="A21399" t="str">
        <f>"1310135R00189    00"</f>
        <v>1310135R00189    00</v>
      </c>
      <c r="B21399" t="s">
        <v>46345</v>
      </c>
      <c r="C21399" t="s">
        <v>46347</v>
      </c>
      <c r="D21399" t="s">
        <v>20</v>
      </c>
      <c r="E21399" t="s">
        <v>39</v>
      </c>
      <c r="F21399">
        <v>0</v>
      </c>
      <c r="G21399">
        <v>0</v>
      </c>
      <c r="H21399">
        <v>4</v>
      </c>
      <c r="I21399" s="3">
        <v>759.4</v>
      </c>
      <c r="J21399" s="3">
        <v>89.7</v>
      </c>
      <c r="M21399" t="s">
        <v>46328</v>
      </c>
      <c r="N21399" t="s">
        <v>285</v>
      </c>
      <c r="O21399" t="s">
        <v>31</v>
      </c>
      <c r="P21399" t="str">
        <f>"15120"</f>
        <v>15120</v>
      </c>
    </row>
    <row r="21400" spans="1:16" x14ac:dyDescent="0.25">
      <c r="A21400" t="str">
        <f>"1310135S00100    00"</f>
        <v>1310135S00100    00</v>
      </c>
      <c r="B21400" t="s">
        <v>46190</v>
      </c>
      <c r="C21400" t="s">
        <v>46245</v>
      </c>
      <c r="E21400" t="s">
        <v>39</v>
      </c>
      <c r="F21400">
        <v>0</v>
      </c>
      <c r="G21400">
        <v>0</v>
      </c>
      <c r="H21400">
        <v>1</v>
      </c>
      <c r="I21400" s="3">
        <v>929.28</v>
      </c>
      <c r="J21400" s="3">
        <v>642.72</v>
      </c>
      <c r="K21400" t="s">
        <v>24060</v>
      </c>
      <c r="L21400">
        <v>4740</v>
      </c>
      <c r="M21400" t="s">
        <v>24061</v>
      </c>
      <c r="N21400" t="s">
        <v>30</v>
      </c>
      <c r="O21400" t="s">
        <v>31</v>
      </c>
      <c r="P21400" t="str">
        <f>"15236"</f>
        <v>15236</v>
      </c>
    </row>
    <row r="21401" spans="1:16" x14ac:dyDescent="0.25">
      <c r="A21401" t="str">
        <f>"1310184A00024    00"</f>
        <v>1310184A00024    00</v>
      </c>
      <c r="B21401" t="s">
        <v>46348</v>
      </c>
      <c r="C21401" t="s">
        <v>46349</v>
      </c>
      <c r="D21401" t="s">
        <v>20</v>
      </c>
      <c r="E21401" t="s">
        <v>39</v>
      </c>
      <c r="F21401">
        <v>0</v>
      </c>
      <c r="G21401">
        <v>0</v>
      </c>
      <c r="H21401">
        <v>1</v>
      </c>
      <c r="I21401" s="3">
        <v>175.32</v>
      </c>
      <c r="J21401" s="3">
        <v>0</v>
      </c>
      <c r="L21401">
        <v>1173</v>
      </c>
      <c r="M21401" t="s">
        <v>25740</v>
      </c>
      <c r="N21401" t="s">
        <v>30</v>
      </c>
      <c r="O21401" t="s">
        <v>31</v>
      </c>
      <c r="P21401" t="str">
        <f t="shared" ref="P21401:P21411" si="267">"15207"</f>
        <v>15207</v>
      </c>
    </row>
    <row r="21402" spans="1:16" x14ac:dyDescent="0.25">
      <c r="A21402" t="str">
        <f>"1310184A00042    00"</f>
        <v>1310184A00042    00</v>
      </c>
      <c r="B21402" t="s">
        <v>46350</v>
      </c>
      <c r="C21402" t="s">
        <v>46351</v>
      </c>
      <c r="D21402" t="s">
        <v>20</v>
      </c>
      <c r="E21402" t="s">
        <v>39</v>
      </c>
      <c r="F21402">
        <v>0</v>
      </c>
      <c r="G21402">
        <v>0</v>
      </c>
      <c r="H21402">
        <v>1</v>
      </c>
      <c r="I21402" s="3">
        <v>358.8</v>
      </c>
      <c r="J21402" s="3">
        <v>0</v>
      </c>
      <c r="L21402">
        <v>1143</v>
      </c>
      <c r="M21402" t="s">
        <v>46352</v>
      </c>
      <c r="N21402" t="s">
        <v>30</v>
      </c>
      <c r="O21402" t="s">
        <v>31</v>
      </c>
      <c r="P21402" t="str">
        <f t="shared" si="267"/>
        <v>15207</v>
      </c>
    </row>
    <row r="21403" spans="1:16" x14ac:dyDescent="0.25">
      <c r="A21403" t="str">
        <f>"1310184A00057    00"</f>
        <v>1310184A00057    00</v>
      </c>
      <c r="B21403" t="s">
        <v>46353</v>
      </c>
      <c r="C21403" t="s">
        <v>46354</v>
      </c>
      <c r="D21403" t="s">
        <v>20</v>
      </c>
      <c r="E21403" t="s">
        <v>39</v>
      </c>
      <c r="F21403">
        <v>0</v>
      </c>
      <c r="G21403">
        <v>0</v>
      </c>
      <c r="H21403">
        <v>6</v>
      </c>
      <c r="I21403" s="3">
        <v>4718.8100000000004</v>
      </c>
      <c r="J21403" s="3">
        <v>1058.32</v>
      </c>
      <c r="L21403">
        <v>1171</v>
      </c>
      <c r="M21403" t="s">
        <v>46352</v>
      </c>
      <c r="N21403" t="s">
        <v>30</v>
      </c>
      <c r="O21403" t="s">
        <v>31</v>
      </c>
      <c r="P21403" t="str">
        <f t="shared" si="267"/>
        <v>15207</v>
      </c>
    </row>
    <row r="21404" spans="1:16" x14ac:dyDescent="0.25">
      <c r="A21404" t="str">
        <f>"1310184A00067    00"</f>
        <v>1310184A00067    00</v>
      </c>
      <c r="B21404" t="s">
        <v>46355</v>
      </c>
      <c r="C21404" t="s">
        <v>46356</v>
      </c>
      <c r="E21404" t="s">
        <v>39</v>
      </c>
      <c r="F21404">
        <v>0</v>
      </c>
      <c r="G21404">
        <v>0</v>
      </c>
      <c r="H21404">
        <v>1</v>
      </c>
      <c r="I21404" s="3">
        <v>505.62</v>
      </c>
      <c r="J21404" s="3">
        <v>0</v>
      </c>
      <c r="L21404">
        <v>1212</v>
      </c>
      <c r="M21404" t="s">
        <v>25740</v>
      </c>
      <c r="N21404" t="s">
        <v>30</v>
      </c>
      <c r="O21404" t="s">
        <v>31</v>
      </c>
      <c r="P21404" t="str">
        <f t="shared" si="267"/>
        <v>15207</v>
      </c>
    </row>
    <row r="21405" spans="1:16" x14ac:dyDescent="0.25">
      <c r="A21405" t="str">
        <f>"1310184A00145    00"</f>
        <v>1310184A00145    00</v>
      </c>
      <c r="B21405" t="s">
        <v>46357</v>
      </c>
      <c r="C21405" t="s">
        <v>46358</v>
      </c>
      <c r="E21405" t="s">
        <v>39</v>
      </c>
      <c r="F21405">
        <v>0</v>
      </c>
      <c r="G21405">
        <v>0</v>
      </c>
      <c r="H21405">
        <v>2</v>
      </c>
      <c r="I21405" s="3">
        <v>1046.47</v>
      </c>
      <c r="J21405" s="3">
        <v>8.02</v>
      </c>
      <c r="L21405">
        <v>5001</v>
      </c>
      <c r="M21405" t="s">
        <v>46117</v>
      </c>
      <c r="N21405" t="s">
        <v>30</v>
      </c>
      <c r="O21405" t="s">
        <v>31</v>
      </c>
      <c r="P21405" t="str">
        <f t="shared" si="267"/>
        <v>15207</v>
      </c>
    </row>
    <row r="21406" spans="1:16" x14ac:dyDescent="0.25">
      <c r="A21406" t="str">
        <f>"1310184A00212    00"</f>
        <v>1310184A00212    00</v>
      </c>
      <c r="B21406" t="s">
        <v>46359</v>
      </c>
      <c r="C21406" t="s">
        <v>46360</v>
      </c>
      <c r="D21406" t="s">
        <v>20</v>
      </c>
      <c r="E21406" t="s">
        <v>39</v>
      </c>
      <c r="F21406">
        <v>0</v>
      </c>
      <c r="G21406">
        <v>0</v>
      </c>
      <c r="H21406">
        <v>2</v>
      </c>
      <c r="I21406" s="3">
        <v>882.45</v>
      </c>
      <c r="J21406" s="3">
        <v>0</v>
      </c>
      <c r="L21406">
        <v>1128</v>
      </c>
      <c r="M21406" t="s">
        <v>46361</v>
      </c>
      <c r="N21406" t="s">
        <v>30</v>
      </c>
      <c r="O21406" t="s">
        <v>31</v>
      </c>
      <c r="P21406" t="str">
        <f t="shared" si="267"/>
        <v>15207</v>
      </c>
    </row>
    <row r="21407" spans="1:16" x14ac:dyDescent="0.25">
      <c r="A21407" t="str">
        <f>"1310184A00225    00"</f>
        <v>1310184A00225    00</v>
      </c>
      <c r="B21407" t="s">
        <v>46362</v>
      </c>
      <c r="C21407" t="s">
        <v>46363</v>
      </c>
      <c r="D21407" t="s">
        <v>20</v>
      </c>
      <c r="E21407" t="s">
        <v>39</v>
      </c>
      <c r="F21407">
        <v>0</v>
      </c>
      <c r="G21407">
        <v>0</v>
      </c>
      <c r="H21407">
        <v>8</v>
      </c>
      <c r="I21407" s="3">
        <v>8278.0300000000007</v>
      </c>
      <c r="J21407" s="3">
        <v>2599.38</v>
      </c>
      <c r="L21407">
        <v>5004</v>
      </c>
      <c r="M21407" t="s">
        <v>46117</v>
      </c>
      <c r="N21407" t="s">
        <v>30</v>
      </c>
      <c r="O21407" t="s">
        <v>31</v>
      </c>
      <c r="P21407" t="str">
        <f t="shared" si="267"/>
        <v>15207</v>
      </c>
    </row>
    <row r="21408" spans="1:16" x14ac:dyDescent="0.25">
      <c r="A21408" t="str">
        <f>"1310184A00286    00"</f>
        <v>1310184A00286    00</v>
      </c>
      <c r="B21408" t="s">
        <v>46364</v>
      </c>
      <c r="C21408" t="s">
        <v>46365</v>
      </c>
      <c r="D21408" t="s">
        <v>20</v>
      </c>
      <c r="E21408" t="s">
        <v>39</v>
      </c>
      <c r="F21408">
        <v>0</v>
      </c>
      <c r="G21408">
        <v>0</v>
      </c>
      <c r="H21408">
        <v>17</v>
      </c>
      <c r="I21408" s="3">
        <v>16179.14</v>
      </c>
      <c r="J21408" s="3">
        <v>12131.81</v>
      </c>
      <c r="L21408">
        <v>4928</v>
      </c>
      <c r="M21408" t="s">
        <v>46117</v>
      </c>
      <c r="N21408" t="s">
        <v>30</v>
      </c>
      <c r="O21408" t="s">
        <v>31</v>
      </c>
      <c r="P21408" t="str">
        <f t="shared" si="267"/>
        <v>15207</v>
      </c>
    </row>
    <row r="21409" spans="1:16" x14ac:dyDescent="0.25">
      <c r="A21409" t="str">
        <f>"1310184B00017    00"</f>
        <v>1310184B00017    00</v>
      </c>
      <c r="B21409" t="s">
        <v>46366</v>
      </c>
      <c r="C21409" t="s">
        <v>46367</v>
      </c>
      <c r="D21409" t="s">
        <v>20</v>
      </c>
      <c r="E21409" t="s">
        <v>39</v>
      </c>
      <c r="F21409">
        <v>0</v>
      </c>
      <c r="G21409">
        <v>0</v>
      </c>
      <c r="H21409">
        <v>6</v>
      </c>
      <c r="I21409" s="3">
        <v>9539.02</v>
      </c>
      <c r="J21409" s="3">
        <v>2388.42</v>
      </c>
      <c r="L21409">
        <v>4838</v>
      </c>
      <c r="M21409" t="s">
        <v>46093</v>
      </c>
      <c r="N21409" t="s">
        <v>30</v>
      </c>
      <c r="O21409" t="s">
        <v>31</v>
      </c>
      <c r="P21409" t="str">
        <f t="shared" si="267"/>
        <v>15207</v>
      </c>
    </row>
    <row r="21410" spans="1:16" x14ac:dyDescent="0.25">
      <c r="A21410" t="str">
        <f>"1310184B00052    00"</f>
        <v>1310184B00052    00</v>
      </c>
      <c r="B21410" t="s">
        <v>46368</v>
      </c>
      <c r="C21410" t="s">
        <v>46369</v>
      </c>
      <c r="E21410" t="s">
        <v>39</v>
      </c>
      <c r="F21410">
        <v>0</v>
      </c>
      <c r="G21410">
        <v>0</v>
      </c>
      <c r="H21410">
        <v>2</v>
      </c>
      <c r="I21410" s="3">
        <v>1307.8</v>
      </c>
      <c r="J21410" s="3">
        <v>101.79</v>
      </c>
      <c r="L21410">
        <v>4841</v>
      </c>
      <c r="M21410" t="s">
        <v>46093</v>
      </c>
      <c r="N21410" t="s">
        <v>30</v>
      </c>
      <c r="O21410" t="s">
        <v>31</v>
      </c>
      <c r="P21410" t="str">
        <f t="shared" si="267"/>
        <v>15207</v>
      </c>
    </row>
    <row r="21411" spans="1:16" x14ac:dyDescent="0.25">
      <c r="A21411" t="str">
        <f>"1310184B00054    00"</f>
        <v>1310184B00054    00</v>
      </c>
      <c r="B21411" t="s">
        <v>46370</v>
      </c>
      <c r="C21411" t="s">
        <v>46371</v>
      </c>
      <c r="D21411" t="s">
        <v>20</v>
      </c>
      <c r="E21411" t="s">
        <v>39</v>
      </c>
      <c r="F21411">
        <v>0</v>
      </c>
      <c r="G21411">
        <v>0</v>
      </c>
      <c r="H21411">
        <v>6</v>
      </c>
      <c r="I21411" s="3">
        <v>5056.96</v>
      </c>
      <c r="J21411" s="3">
        <v>716.25</v>
      </c>
      <c r="L21411">
        <v>4839</v>
      </c>
      <c r="M21411" t="s">
        <v>46093</v>
      </c>
      <c r="N21411" t="s">
        <v>30</v>
      </c>
      <c r="O21411" t="s">
        <v>31</v>
      </c>
      <c r="P21411" t="str">
        <f t="shared" si="267"/>
        <v>15207</v>
      </c>
    </row>
    <row r="21412" spans="1:16" x14ac:dyDescent="0.25">
      <c r="A21412" t="str">
        <f>"1310184E00046    00"</f>
        <v>1310184E00046    00</v>
      </c>
      <c r="B21412" t="s">
        <v>46372</v>
      </c>
      <c r="C21412" t="s">
        <v>46373</v>
      </c>
      <c r="D21412" t="s">
        <v>20</v>
      </c>
      <c r="E21412" t="s">
        <v>39</v>
      </c>
      <c r="F21412">
        <v>0</v>
      </c>
      <c r="G21412">
        <v>0</v>
      </c>
      <c r="H21412">
        <v>2</v>
      </c>
      <c r="I21412" s="3">
        <v>1449.5</v>
      </c>
      <c r="J21412" s="3">
        <v>0</v>
      </c>
      <c r="L21412">
        <v>807</v>
      </c>
      <c r="M21412" t="s">
        <v>11986</v>
      </c>
      <c r="N21412" t="s">
        <v>285</v>
      </c>
      <c r="O21412" t="s">
        <v>31</v>
      </c>
      <c r="P21412" t="str">
        <f>"15120"</f>
        <v>15120</v>
      </c>
    </row>
    <row r="21413" spans="1:16" x14ac:dyDescent="0.25">
      <c r="A21413" t="str">
        <f>"1310184E00050    00"</f>
        <v>1310184E00050    00</v>
      </c>
      <c r="B21413" t="s">
        <v>46374</v>
      </c>
      <c r="C21413" t="s">
        <v>46375</v>
      </c>
      <c r="D21413" t="s">
        <v>20</v>
      </c>
      <c r="E21413" t="s">
        <v>39</v>
      </c>
      <c r="F21413">
        <v>0</v>
      </c>
      <c r="G21413">
        <v>0</v>
      </c>
      <c r="H21413">
        <v>3</v>
      </c>
      <c r="I21413" s="3">
        <v>354.51</v>
      </c>
      <c r="J21413" s="3">
        <v>23.63</v>
      </c>
      <c r="K21413" t="s">
        <v>5652</v>
      </c>
      <c r="L21413">
        <v>3001</v>
      </c>
      <c r="M21413" t="s">
        <v>330</v>
      </c>
      <c r="N21413" t="s">
        <v>331</v>
      </c>
      <c r="O21413" t="s">
        <v>108</v>
      </c>
      <c r="P21413" t="str">
        <f>"75063"</f>
        <v>75063</v>
      </c>
    </row>
    <row r="21414" spans="1:16" x14ac:dyDescent="0.25">
      <c r="A21414" t="str">
        <f>"1310184E00067    00"</f>
        <v>1310184E00067    00</v>
      </c>
      <c r="B21414" t="s">
        <v>46376</v>
      </c>
      <c r="C21414" t="s">
        <v>46377</v>
      </c>
      <c r="E21414" t="s">
        <v>39</v>
      </c>
      <c r="F21414">
        <v>0</v>
      </c>
      <c r="G21414">
        <v>0</v>
      </c>
      <c r="H21414">
        <v>1</v>
      </c>
      <c r="I21414" s="3">
        <v>522.76</v>
      </c>
      <c r="J21414" s="3">
        <v>0</v>
      </c>
      <c r="L21414">
        <v>12411</v>
      </c>
      <c r="M21414" t="s">
        <v>11939</v>
      </c>
      <c r="N21414" t="s">
        <v>30</v>
      </c>
      <c r="O21414" t="s">
        <v>31</v>
      </c>
      <c r="P21414" t="str">
        <f>"15235"</f>
        <v>15235</v>
      </c>
    </row>
    <row r="21415" spans="1:16" x14ac:dyDescent="0.25">
      <c r="A21415" t="str">
        <f>"1310184E00149    00"</f>
        <v>1310184E00149    00</v>
      </c>
      <c r="B21415" t="s">
        <v>46378</v>
      </c>
      <c r="C21415" t="s">
        <v>46379</v>
      </c>
      <c r="D21415" t="s">
        <v>20</v>
      </c>
      <c r="E21415" t="s">
        <v>21</v>
      </c>
      <c r="F21415">
        <v>0</v>
      </c>
      <c r="G21415">
        <v>0</v>
      </c>
      <c r="H21415">
        <v>1</v>
      </c>
      <c r="I21415" s="3">
        <v>5811.4</v>
      </c>
      <c r="J21415" s="3">
        <v>0</v>
      </c>
      <c r="K21415" t="s">
        <v>46380</v>
      </c>
      <c r="L21415">
        <v>2655</v>
      </c>
      <c r="M21415" t="s">
        <v>46381</v>
      </c>
      <c r="N21415" t="s">
        <v>31521</v>
      </c>
      <c r="O21415" t="s">
        <v>31</v>
      </c>
      <c r="P21415" t="str">
        <f>"19006"</f>
        <v>19006</v>
      </c>
    </row>
    <row r="21416" spans="1:16" x14ac:dyDescent="0.25">
      <c r="A21416" t="str">
        <f>"1310184E00150A   00"</f>
        <v>1310184E00150A   00</v>
      </c>
      <c r="B21416" t="s">
        <v>46382</v>
      </c>
      <c r="C21416" t="s">
        <v>46383</v>
      </c>
      <c r="D21416" t="s">
        <v>20</v>
      </c>
      <c r="E21416" t="s">
        <v>39</v>
      </c>
      <c r="F21416">
        <v>0</v>
      </c>
      <c r="G21416">
        <v>0</v>
      </c>
      <c r="H21416">
        <v>19</v>
      </c>
      <c r="I21416" s="3">
        <v>8248.58</v>
      </c>
      <c r="J21416" s="3">
        <v>8985.9599999999991</v>
      </c>
      <c r="K21416" t="s">
        <v>1037</v>
      </c>
      <c r="L21416">
        <v>717</v>
      </c>
      <c r="M21416" t="s">
        <v>614</v>
      </c>
      <c r="N21416" t="s">
        <v>30</v>
      </c>
      <c r="O21416" t="s">
        <v>31</v>
      </c>
      <c r="P21416" t="str">
        <f>"15222"</f>
        <v>15222</v>
      </c>
    </row>
    <row r="21417" spans="1:16" x14ac:dyDescent="0.25">
      <c r="A21417" t="str">
        <f>"1310184E00218    00"</f>
        <v>1310184E00218    00</v>
      </c>
      <c r="B21417" t="s">
        <v>46384</v>
      </c>
      <c r="C21417" t="s">
        <v>46385</v>
      </c>
      <c r="D21417" t="s">
        <v>20</v>
      </c>
      <c r="E21417" t="s">
        <v>39</v>
      </c>
      <c r="F21417">
        <v>0</v>
      </c>
      <c r="G21417">
        <v>0</v>
      </c>
      <c r="H21417">
        <v>4</v>
      </c>
      <c r="I21417" s="3">
        <v>2429.31</v>
      </c>
      <c r="J21417" s="3">
        <v>255.23</v>
      </c>
      <c r="L21417">
        <v>1210</v>
      </c>
      <c r="M21417" t="s">
        <v>25740</v>
      </c>
      <c r="N21417" t="s">
        <v>30</v>
      </c>
      <c r="O21417" t="s">
        <v>31</v>
      </c>
      <c r="P21417" t="str">
        <f>"15207"</f>
        <v>15207</v>
      </c>
    </row>
    <row r="21418" spans="1:16" x14ac:dyDescent="0.25">
      <c r="A21418" t="str">
        <f>"1310184E00222    00"</f>
        <v>1310184E00222    00</v>
      </c>
      <c r="B21418" t="s">
        <v>46386</v>
      </c>
      <c r="C21418" t="s">
        <v>46387</v>
      </c>
      <c r="D21418" t="s">
        <v>20</v>
      </c>
      <c r="E21418" t="s">
        <v>39</v>
      </c>
      <c r="F21418">
        <v>0</v>
      </c>
      <c r="G21418">
        <v>0</v>
      </c>
      <c r="H21418">
        <v>17</v>
      </c>
      <c r="I21418" s="3">
        <v>131.16999999999999</v>
      </c>
      <c r="J21418" s="3">
        <v>109.61</v>
      </c>
      <c r="K21418" t="s">
        <v>1008</v>
      </c>
      <c r="P21418" t="str">
        <f>""</f>
        <v/>
      </c>
    </row>
    <row r="21419" spans="1:16" x14ac:dyDescent="0.25">
      <c r="A21419" t="str">
        <f>"1310184E00257    00"</f>
        <v>1310184E00257    00</v>
      </c>
      <c r="B21419" t="s">
        <v>46388</v>
      </c>
      <c r="C21419" t="s">
        <v>46389</v>
      </c>
      <c r="D21419" t="s">
        <v>20</v>
      </c>
      <c r="E21419" t="s">
        <v>39</v>
      </c>
      <c r="F21419">
        <v>0</v>
      </c>
      <c r="G21419">
        <v>0</v>
      </c>
      <c r="H21419">
        <v>1</v>
      </c>
      <c r="I21419" s="3">
        <v>694.26</v>
      </c>
      <c r="J21419" s="3">
        <v>0</v>
      </c>
      <c r="K21419" t="s">
        <v>391</v>
      </c>
      <c r="L21419">
        <v>1</v>
      </c>
      <c r="M21419" t="s">
        <v>392</v>
      </c>
      <c r="N21419" t="s">
        <v>393</v>
      </c>
      <c r="O21419" t="s">
        <v>394</v>
      </c>
      <c r="P21419" t="str">
        <f>"50328"</f>
        <v>50328</v>
      </c>
    </row>
    <row r="21420" spans="1:16" x14ac:dyDescent="0.25">
      <c r="A21420" t="str">
        <f>"1310184E00300    00"</f>
        <v>1310184E00300    00</v>
      </c>
      <c r="B21420" t="s">
        <v>37627</v>
      </c>
      <c r="C21420" t="s">
        <v>46390</v>
      </c>
      <c r="D21420" t="s">
        <v>20</v>
      </c>
      <c r="E21420" t="s">
        <v>39</v>
      </c>
      <c r="F21420">
        <v>0</v>
      </c>
      <c r="G21420">
        <v>0</v>
      </c>
      <c r="H21420">
        <v>2</v>
      </c>
      <c r="I21420" s="3">
        <v>1073.01</v>
      </c>
      <c r="J21420" s="3">
        <v>0</v>
      </c>
      <c r="L21420">
        <v>134</v>
      </c>
      <c r="M21420" t="s">
        <v>37623</v>
      </c>
      <c r="N21420" t="s">
        <v>30</v>
      </c>
      <c r="O21420" t="s">
        <v>31</v>
      </c>
      <c r="P21420" t="str">
        <f>"15214"</f>
        <v>15214</v>
      </c>
    </row>
    <row r="21421" spans="1:16" x14ac:dyDescent="0.25">
      <c r="A21421" t="str">
        <f>"1310184E00351    00"</f>
        <v>1310184E00351    00</v>
      </c>
      <c r="B21421" t="s">
        <v>46391</v>
      </c>
      <c r="C21421" t="s">
        <v>46392</v>
      </c>
      <c r="D21421" t="s">
        <v>20</v>
      </c>
      <c r="E21421" t="s">
        <v>39</v>
      </c>
      <c r="F21421">
        <v>0</v>
      </c>
      <c r="G21421">
        <v>0</v>
      </c>
      <c r="H21421">
        <v>2</v>
      </c>
      <c r="I21421" s="3">
        <v>2298.66</v>
      </c>
      <c r="J21421" s="3">
        <v>0</v>
      </c>
      <c r="K21421" t="s">
        <v>46393</v>
      </c>
      <c r="L21421">
        <v>5155</v>
      </c>
      <c r="M21421" t="s">
        <v>46093</v>
      </c>
      <c r="N21421" t="s">
        <v>30</v>
      </c>
      <c r="O21421" t="s">
        <v>31</v>
      </c>
      <c r="P21421" t="str">
        <f>"15207"</f>
        <v>15207</v>
      </c>
    </row>
    <row r="21422" spans="1:16" x14ac:dyDescent="0.25">
      <c r="A21422" t="str">
        <f>"1310184F00042    00"</f>
        <v>1310184F00042    00</v>
      </c>
      <c r="B21422" t="s">
        <v>46394</v>
      </c>
      <c r="C21422" t="s">
        <v>46395</v>
      </c>
      <c r="D21422" t="s">
        <v>20</v>
      </c>
      <c r="E21422" t="s">
        <v>39</v>
      </c>
      <c r="F21422">
        <v>0</v>
      </c>
      <c r="G21422">
        <v>0</v>
      </c>
      <c r="H21422">
        <v>5</v>
      </c>
      <c r="I21422" s="3">
        <v>3531.25</v>
      </c>
      <c r="J21422" s="3">
        <v>523.85</v>
      </c>
      <c r="L21422">
        <v>6907</v>
      </c>
      <c r="M21422" t="s">
        <v>32864</v>
      </c>
      <c r="N21422" t="s">
        <v>6603</v>
      </c>
      <c r="O21422" t="s">
        <v>31</v>
      </c>
      <c r="P21422" t="str">
        <f>"15122"</f>
        <v>15122</v>
      </c>
    </row>
    <row r="21423" spans="1:16" x14ac:dyDescent="0.25">
      <c r="A21423" t="str">
        <f>"1310184F00048    00"</f>
        <v>1310184F00048    00</v>
      </c>
      <c r="B21423" t="s">
        <v>46396</v>
      </c>
      <c r="C21423" t="s">
        <v>46397</v>
      </c>
      <c r="D21423" t="s">
        <v>20</v>
      </c>
      <c r="E21423" t="s">
        <v>39</v>
      </c>
      <c r="F21423">
        <v>0</v>
      </c>
      <c r="G21423">
        <v>0</v>
      </c>
      <c r="H21423">
        <v>1</v>
      </c>
      <c r="I21423" s="3">
        <v>958.73</v>
      </c>
      <c r="J21423" s="3">
        <v>0</v>
      </c>
      <c r="L21423">
        <v>400</v>
      </c>
      <c r="M21423" t="s">
        <v>25288</v>
      </c>
      <c r="N21423" t="s">
        <v>30</v>
      </c>
      <c r="O21423" t="s">
        <v>31</v>
      </c>
      <c r="P21423" t="str">
        <f>"15214"</f>
        <v>15214</v>
      </c>
    </row>
    <row r="21424" spans="1:16" x14ac:dyDescent="0.25">
      <c r="A21424" t="str">
        <f>"1310184F00069    00"</f>
        <v>1310184F00069    00</v>
      </c>
      <c r="B21424" t="s">
        <v>46398</v>
      </c>
      <c r="C21424" t="s">
        <v>46399</v>
      </c>
      <c r="E21424" t="s">
        <v>39</v>
      </c>
      <c r="F21424">
        <v>0</v>
      </c>
      <c r="G21424">
        <v>0</v>
      </c>
      <c r="H21424">
        <v>1</v>
      </c>
      <c r="I21424" s="3">
        <v>963.08</v>
      </c>
      <c r="J21424" s="3">
        <v>0</v>
      </c>
      <c r="K21424" t="s">
        <v>46400</v>
      </c>
      <c r="L21424">
        <v>1362</v>
      </c>
      <c r="M21424" t="s">
        <v>25740</v>
      </c>
      <c r="N21424" t="s">
        <v>30</v>
      </c>
      <c r="O21424" t="s">
        <v>31</v>
      </c>
      <c r="P21424" t="str">
        <f>"15207"</f>
        <v>15207</v>
      </c>
    </row>
    <row r="21425" spans="1:16" x14ac:dyDescent="0.25">
      <c r="A21425" t="str">
        <f>"1310184F00073    00"</f>
        <v>1310184F00073    00</v>
      </c>
      <c r="B21425" t="s">
        <v>46401</v>
      </c>
      <c r="C21425" t="s">
        <v>46402</v>
      </c>
      <c r="D21425" t="s">
        <v>20</v>
      </c>
      <c r="E21425" t="s">
        <v>39</v>
      </c>
      <c r="F21425">
        <v>0</v>
      </c>
      <c r="G21425">
        <v>0</v>
      </c>
      <c r="H21425">
        <v>2</v>
      </c>
      <c r="I21425" s="3">
        <v>2253.92</v>
      </c>
      <c r="J21425" s="3">
        <v>0</v>
      </c>
      <c r="L21425">
        <v>1370</v>
      </c>
      <c r="M21425" t="s">
        <v>25740</v>
      </c>
      <c r="N21425" t="s">
        <v>30</v>
      </c>
      <c r="O21425" t="s">
        <v>31</v>
      </c>
      <c r="P21425" t="str">
        <f>"15207"</f>
        <v>15207</v>
      </c>
    </row>
    <row r="21426" spans="1:16" x14ac:dyDescent="0.25">
      <c r="A21426" t="str">
        <f>"1310184F00078    00"</f>
        <v>1310184F00078    00</v>
      </c>
      <c r="B21426" t="s">
        <v>46403</v>
      </c>
      <c r="C21426" t="s">
        <v>46404</v>
      </c>
      <c r="D21426" t="s">
        <v>20</v>
      </c>
      <c r="E21426" t="s">
        <v>39</v>
      </c>
      <c r="F21426">
        <v>0</v>
      </c>
      <c r="G21426">
        <v>0</v>
      </c>
      <c r="H21426">
        <v>3</v>
      </c>
      <c r="I21426" s="3">
        <v>3080.78</v>
      </c>
      <c r="J21426" s="3">
        <v>217.21</v>
      </c>
      <c r="K21426" t="s">
        <v>9998</v>
      </c>
      <c r="L21426">
        <v>3001</v>
      </c>
      <c r="M21426" t="s">
        <v>330</v>
      </c>
      <c r="N21426" t="s">
        <v>331</v>
      </c>
      <c r="O21426" t="s">
        <v>108</v>
      </c>
      <c r="P21426" t="str">
        <f>"75063"</f>
        <v>75063</v>
      </c>
    </row>
    <row r="21427" spans="1:16" x14ac:dyDescent="0.25">
      <c r="A21427" t="str">
        <f>"1310184F00106    00"</f>
        <v>1310184F00106    00</v>
      </c>
      <c r="B21427" t="s">
        <v>46405</v>
      </c>
      <c r="C21427" t="s">
        <v>46406</v>
      </c>
      <c r="D21427" t="s">
        <v>20</v>
      </c>
      <c r="E21427" t="s">
        <v>39</v>
      </c>
      <c r="F21427">
        <v>0</v>
      </c>
      <c r="G21427">
        <v>0</v>
      </c>
      <c r="H21427">
        <v>1</v>
      </c>
      <c r="I21427" s="3">
        <v>698.86</v>
      </c>
      <c r="J21427" s="3">
        <v>0</v>
      </c>
      <c r="K21427" t="s">
        <v>46407</v>
      </c>
      <c r="L21427">
        <v>1049</v>
      </c>
      <c r="M21427" t="s">
        <v>11986</v>
      </c>
      <c r="N21427" t="s">
        <v>30</v>
      </c>
      <c r="O21427" t="s">
        <v>31</v>
      </c>
      <c r="P21427" t="str">
        <f>"15207"</f>
        <v>15207</v>
      </c>
    </row>
    <row r="21428" spans="1:16" x14ac:dyDescent="0.25">
      <c r="A21428" t="str">
        <f>"1310184F00139    00"</f>
        <v>1310184F00139    00</v>
      </c>
      <c r="B21428" t="s">
        <v>46408</v>
      </c>
      <c r="C21428" t="s">
        <v>46409</v>
      </c>
      <c r="E21428" t="s">
        <v>39</v>
      </c>
      <c r="F21428">
        <v>0</v>
      </c>
      <c r="G21428">
        <v>0</v>
      </c>
      <c r="H21428">
        <v>1</v>
      </c>
      <c r="I21428" s="3">
        <v>914.88</v>
      </c>
      <c r="J21428" s="3">
        <v>0</v>
      </c>
      <c r="K21428" t="s">
        <v>426</v>
      </c>
      <c r="L21428">
        <v>2570</v>
      </c>
      <c r="M21428" t="s">
        <v>427</v>
      </c>
      <c r="N21428" t="s">
        <v>30</v>
      </c>
      <c r="O21428" t="s">
        <v>31</v>
      </c>
      <c r="P21428" t="str">
        <f>"15241"</f>
        <v>15241</v>
      </c>
    </row>
    <row r="21429" spans="1:16" x14ac:dyDescent="0.25">
      <c r="A21429" t="str">
        <f>"1310184J00003    00"</f>
        <v>1310184J00003    00</v>
      </c>
      <c r="B21429" t="s">
        <v>46410</v>
      </c>
      <c r="C21429" t="s">
        <v>46411</v>
      </c>
      <c r="D21429" t="s">
        <v>20</v>
      </c>
      <c r="E21429" t="s">
        <v>21</v>
      </c>
      <c r="F21429">
        <v>0</v>
      </c>
      <c r="G21429">
        <v>0</v>
      </c>
      <c r="H21429">
        <v>2</v>
      </c>
      <c r="I21429" s="3">
        <v>936.83</v>
      </c>
      <c r="J21429" s="3">
        <v>0</v>
      </c>
      <c r="L21429">
        <v>1352</v>
      </c>
      <c r="M21429" t="s">
        <v>25740</v>
      </c>
      <c r="N21429" t="s">
        <v>30</v>
      </c>
      <c r="O21429" t="s">
        <v>31</v>
      </c>
      <c r="P21429" t="str">
        <f>"15207"</f>
        <v>15207</v>
      </c>
    </row>
    <row r="21430" spans="1:16" x14ac:dyDescent="0.25">
      <c r="A21430" t="str">
        <f>"1310184J00025    00"</f>
        <v>1310184J00025    00</v>
      </c>
      <c r="B21430" t="s">
        <v>46412</v>
      </c>
      <c r="C21430" t="s">
        <v>46383</v>
      </c>
      <c r="D21430" t="s">
        <v>20</v>
      </c>
      <c r="E21430" t="s">
        <v>39</v>
      </c>
      <c r="F21430">
        <v>0</v>
      </c>
      <c r="G21430">
        <v>0</v>
      </c>
      <c r="H21430">
        <v>6</v>
      </c>
      <c r="I21430" s="3">
        <v>22.34</v>
      </c>
      <c r="J21430" s="3">
        <v>6.53</v>
      </c>
      <c r="L21430">
        <v>1900</v>
      </c>
      <c r="M21430" t="s">
        <v>46413</v>
      </c>
      <c r="N21430" t="s">
        <v>46414</v>
      </c>
      <c r="O21430" t="s">
        <v>108</v>
      </c>
      <c r="P21430" t="str">
        <f>"75088"</f>
        <v>75088</v>
      </c>
    </row>
    <row r="21431" spans="1:16" x14ac:dyDescent="0.25">
      <c r="A21431" t="str">
        <f>"1310184J00083    00"</f>
        <v>1310184J00083    00</v>
      </c>
      <c r="B21431" t="s">
        <v>46415</v>
      </c>
      <c r="C21431" t="s">
        <v>46416</v>
      </c>
      <c r="E21431" t="s">
        <v>39</v>
      </c>
      <c r="F21431">
        <v>0</v>
      </c>
      <c r="G21431">
        <v>0</v>
      </c>
      <c r="H21431">
        <v>2</v>
      </c>
      <c r="I21431" s="3">
        <v>147.26</v>
      </c>
      <c r="J21431" s="3">
        <v>63.72</v>
      </c>
      <c r="L21431">
        <v>1222</v>
      </c>
      <c r="M21431" t="s">
        <v>46417</v>
      </c>
      <c r="N21431" t="s">
        <v>30</v>
      </c>
      <c r="O21431" t="s">
        <v>31</v>
      </c>
      <c r="P21431" t="str">
        <f>"15207"</f>
        <v>15207</v>
      </c>
    </row>
    <row r="21432" spans="1:16" x14ac:dyDescent="0.25">
      <c r="A21432" t="str">
        <f>"1310184J00091    00"</f>
        <v>1310184J00091    00</v>
      </c>
      <c r="B21432" t="s">
        <v>46418</v>
      </c>
      <c r="C21432" t="s">
        <v>46419</v>
      </c>
      <c r="D21432" t="s">
        <v>20</v>
      </c>
      <c r="E21432" t="s">
        <v>39</v>
      </c>
      <c r="F21432">
        <v>0</v>
      </c>
      <c r="G21432">
        <v>0</v>
      </c>
      <c r="H21432">
        <v>1</v>
      </c>
      <c r="I21432" s="3">
        <v>480.78</v>
      </c>
      <c r="J21432" s="3">
        <v>0</v>
      </c>
      <c r="L21432">
        <v>1137</v>
      </c>
      <c r="M21432" t="s">
        <v>21739</v>
      </c>
      <c r="N21432" t="s">
        <v>30</v>
      </c>
      <c r="O21432" t="s">
        <v>31</v>
      </c>
      <c r="P21432" t="str">
        <f>"15207"</f>
        <v>15207</v>
      </c>
    </row>
    <row r="21433" spans="1:16" x14ac:dyDescent="0.25">
      <c r="A21433" t="str">
        <f>"1310184J00101    00"</f>
        <v>1310184J00101    00</v>
      </c>
      <c r="B21433" t="s">
        <v>46420</v>
      </c>
      <c r="C21433" t="s">
        <v>46421</v>
      </c>
      <c r="D21433" t="s">
        <v>20</v>
      </c>
      <c r="E21433" t="s">
        <v>39</v>
      </c>
      <c r="F21433">
        <v>0</v>
      </c>
      <c r="G21433">
        <v>0</v>
      </c>
      <c r="H21433">
        <v>1</v>
      </c>
      <c r="I21433" s="3">
        <v>417.87</v>
      </c>
      <c r="J21433" s="3">
        <v>0</v>
      </c>
      <c r="K21433" t="s">
        <v>46422</v>
      </c>
      <c r="L21433">
        <v>1207</v>
      </c>
      <c r="M21433" t="s">
        <v>21739</v>
      </c>
      <c r="N21433" t="s">
        <v>30</v>
      </c>
      <c r="O21433" t="s">
        <v>31</v>
      </c>
      <c r="P21433" t="str">
        <f>"15207"</f>
        <v>15207</v>
      </c>
    </row>
    <row r="21434" spans="1:16" x14ac:dyDescent="0.25">
      <c r="A21434" t="str">
        <f>"1310184J00121    00"</f>
        <v>1310184J00121    00</v>
      </c>
      <c r="B21434" t="s">
        <v>46423</v>
      </c>
      <c r="C21434" t="s">
        <v>46424</v>
      </c>
      <c r="D21434" t="s">
        <v>20</v>
      </c>
      <c r="E21434" t="s">
        <v>39</v>
      </c>
      <c r="F21434">
        <v>0</v>
      </c>
      <c r="G21434">
        <v>0</v>
      </c>
      <c r="H21434">
        <v>1</v>
      </c>
      <c r="I21434" s="3">
        <v>221.57</v>
      </c>
      <c r="J21434" s="3">
        <v>0</v>
      </c>
      <c r="K21434" t="s">
        <v>46425</v>
      </c>
      <c r="L21434">
        <v>4607</v>
      </c>
      <c r="M21434" t="s">
        <v>46426</v>
      </c>
      <c r="N21434" t="s">
        <v>3934</v>
      </c>
      <c r="O21434" t="s">
        <v>31</v>
      </c>
      <c r="P21434" t="str">
        <f>"15102"</f>
        <v>15102</v>
      </c>
    </row>
    <row r="21435" spans="1:16" x14ac:dyDescent="0.25">
      <c r="A21435" t="str">
        <f>"1310184J00135    00"</f>
        <v>1310184J00135    00</v>
      </c>
      <c r="B21435" t="s">
        <v>46427</v>
      </c>
      <c r="C21435" t="s">
        <v>46428</v>
      </c>
      <c r="D21435" t="s">
        <v>20</v>
      </c>
      <c r="E21435" t="s">
        <v>21</v>
      </c>
      <c r="F21435">
        <v>0</v>
      </c>
      <c r="G21435">
        <v>0</v>
      </c>
      <c r="H21435">
        <v>3</v>
      </c>
      <c r="I21435" s="3">
        <v>1478.3</v>
      </c>
      <c r="J21435" s="3">
        <v>21.8</v>
      </c>
      <c r="L21435">
        <v>1807</v>
      </c>
      <c r="M21435" t="s">
        <v>29886</v>
      </c>
      <c r="N21435" t="s">
        <v>30</v>
      </c>
      <c r="O21435" t="s">
        <v>31</v>
      </c>
      <c r="P21435" t="str">
        <f t="shared" ref="P21435:P21444" si="268">"15207"</f>
        <v>15207</v>
      </c>
    </row>
    <row r="21436" spans="1:16" x14ac:dyDescent="0.25">
      <c r="A21436" t="str">
        <f>"1310184J00140    00"</f>
        <v>1310184J00140    00</v>
      </c>
      <c r="B21436" t="s">
        <v>46427</v>
      </c>
      <c r="C21436" t="s">
        <v>46429</v>
      </c>
      <c r="D21436" t="s">
        <v>20</v>
      </c>
      <c r="E21436" t="s">
        <v>39</v>
      </c>
      <c r="F21436">
        <v>0</v>
      </c>
      <c r="G21436">
        <v>0</v>
      </c>
      <c r="H21436">
        <v>3</v>
      </c>
      <c r="I21436" s="3">
        <v>1351.7</v>
      </c>
      <c r="J21436" s="3">
        <v>5.25</v>
      </c>
      <c r="L21436">
        <v>1807</v>
      </c>
      <c r="M21436" t="s">
        <v>29886</v>
      </c>
      <c r="N21436" t="s">
        <v>30</v>
      </c>
      <c r="O21436" t="s">
        <v>31</v>
      </c>
      <c r="P21436" t="str">
        <f t="shared" si="268"/>
        <v>15207</v>
      </c>
    </row>
    <row r="21437" spans="1:16" x14ac:dyDescent="0.25">
      <c r="A21437" t="str">
        <f>"1310184J00142    00"</f>
        <v>1310184J00142    00</v>
      </c>
      <c r="B21437" t="s">
        <v>46427</v>
      </c>
      <c r="C21437" t="s">
        <v>46430</v>
      </c>
      <c r="D21437" t="s">
        <v>20</v>
      </c>
      <c r="E21437" t="s">
        <v>39</v>
      </c>
      <c r="F21437">
        <v>0</v>
      </c>
      <c r="G21437">
        <v>0</v>
      </c>
      <c r="H21437">
        <v>3</v>
      </c>
      <c r="I21437" s="3">
        <v>2275.1999999999998</v>
      </c>
      <c r="J21437" s="3">
        <v>206.36</v>
      </c>
      <c r="L21437">
        <v>1807</v>
      </c>
      <c r="M21437" t="s">
        <v>29886</v>
      </c>
      <c r="N21437" t="s">
        <v>30</v>
      </c>
      <c r="O21437" t="s">
        <v>31</v>
      </c>
      <c r="P21437" t="str">
        <f t="shared" si="268"/>
        <v>15207</v>
      </c>
    </row>
    <row r="21438" spans="1:16" x14ac:dyDescent="0.25">
      <c r="A21438" t="str">
        <f>"1310184J00144    00"</f>
        <v>1310184J00144    00</v>
      </c>
      <c r="B21438" t="s">
        <v>46427</v>
      </c>
      <c r="C21438" t="s">
        <v>46149</v>
      </c>
      <c r="D21438" t="s">
        <v>20</v>
      </c>
      <c r="E21438" t="s">
        <v>21</v>
      </c>
      <c r="F21438">
        <v>0</v>
      </c>
      <c r="G21438">
        <v>0</v>
      </c>
      <c r="H21438">
        <v>2</v>
      </c>
      <c r="I21438" s="3">
        <v>34.32</v>
      </c>
      <c r="J21438" s="3">
        <v>0</v>
      </c>
      <c r="L21438">
        <v>1807</v>
      </c>
      <c r="M21438" t="s">
        <v>29886</v>
      </c>
      <c r="N21438" t="s">
        <v>30</v>
      </c>
      <c r="O21438" t="s">
        <v>31</v>
      </c>
      <c r="P21438" t="str">
        <f t="shared" si="268"/>
        <v>15207</v>
      </c>
    </row>
    <row r="21439" spans="1:16" x14ac:dyDescent="0.25">
      <c r="A21439" t="str">
        <f>"1310184J00145    00"</f>
        <v>1310184J00145    00</v>
      </c>
      <c r="B21439" t="s">
        <v>46431</v>
      </c>
      <c r="C21439" t="s">
        <v>46432</v>
      </c>
      <c r="D21439" t="s">
        <v>20</v>
      </c>
      <c r="E21439" t="s">
        <v>21</v>
      </c>
      <c r="F21439">
        <v>0</v>
      </c>
      <c r="G21439">
        <v>0</v>
      </c>
      <c r="H21439">
        <v>3</v>
      </c>
      <c r="I21439" s="3">
        <v>3630.96</v>
      </c>
      <c r="J21439" s="3">
        <v>242.06</v>
      </c>
      <c r="K21439" t="s">
        <v>46433</v>
      </c>
      <c r="L21439">
        <v>5137</v>
      </c>
      <c r="M21439" t="s">
        <v>46019</v>
      </c>
      <c r="N21439" t="s">
        <v>30</v>
      </c>
      <c r="O21439" t="s">
        <v>31</v>
      </c>
      <c r="P21439" t="str">
        <f t="shared" si="268"/>
        <v>15207</v>
      </c>
    </row>
    <row r="21440" spans="1:16" x14ac:dyDescent="0.25">
      <c r="A21440" t="str">
        <f>"1310184J00149    00"</f>
        <v>1310184J00149    00</v>
      </c>
      <c r="B21440" t="s">
        <v>46427</v>
      </c>
      <c r="C21440" t="s">
        <v>46434</v>
      </c>
      <c r="D21440" t="s">
        <v>20</v>
      </c>
      <c r="E21440" t="s">
        <v>21</v>
      </c>
      <c r="F21440">
        <v>0</v>
      </c>
      <c r="G21440">
        <v>0</v>
      </c>
      <c r="H21440">
        <v>3</v>
      </c>
      <c r="I21440" s="3">
        <v>3625.2</v>
      </c>
      <c r="J21440" s="3">
        <v>53.46</v>
      </c>
      <c r="L21440">
        <v>1807</v>
      </c>
      <c r="M21440" t="s">
        <v>29886</v>
      </c>
      <c r="N21440" t="s">
        <v>30</v>
      </c>
      <c r="O21440" t="s">
        <v>31</v>
      </c>
      <c r="P21440" t="str">
        <f t="shared" si="268"/>
        <v>15207</v>
      </c>
    </row>
    <row r="21441" spans="1:16" x14ac:dyDescent="0.25">
      <c r="A21441" t="str">
        <f>"1310184J00151    00"</f>
        <v>1310184J00151    00</v>
      </c>
      <c r="B21441" t="s">
        <v>46435</v>
      </c>
      <c r="C21441" t="s">
        <v>46436</v>
      </c>
      <c r="D21441" t="s">
        <v>20</v>
      </c>
      <c r="E21441" t="s">
        <v>21</v>
      </c>
      <c r="F21441">
        <v>0</v>
      </c>
      <c r="G21441">
        <v>0</v>
      </c>
      <c r="H21441">
        <v>1</v>
      </c>
      <c r="I21441" s="3">
        <v>697.6</v>
      </c>
      <c r="J21441" s="3">
        <v>0</v>
      </c>
      <c r="L21441">
        <v>939</v>
      </c>
      <c r="M21441" t="s">
        <v>46437</v>
      </c>
      <c r="N21441" t="s">
        <v>30</v>
      </c>
      <c r="O21441" t="s">
        <v>31</v>
      </c>
      <c r="P21441" t="str">
        <f t="shared" si="268"/>
        <v>15207</v>
      </c>
    </row>
    <row r="21442" spans="1:16" x14ac:dyDescent="0.25">
      <c r="A21442" t="str">
        <f>"1310184J00153    00"</f>
        <v>1310184J00153    00</v>
      </c>
      <c r="B21442" t="s">
        <v>46435</v>
      </c>
      <c r="C21442" t="s">
        <v>46436</v>
      </c>
      <c r="D21442" t="s">
        <v>20</v>
      </c>
      <c r="E21442" t="s">
        <v>21</v>
      </c>
      <c r="F21442">
        <v>0</v>
      </c>
      <c r="G21442">
        <v>0</v>
      </c>
      <c r="H21442">
        <v>3</v>
      </c>
      <c r="I21442" s="3">
        <v>3901.08</v>
      </c>
      <c r="J21442" s="3">
        <v>824.41</v>
      </c>
      <c r="L21442">
        <v>939</v>
      </c>
      <c r="M21442" t="s">
        <v>46437</v>
      </c>
      <c r="N21442" t="s">
        <v>30</v>
      </c>
      <c r="O21442" t="s">
        <v>31</v>
      </c>
      <c r="P21442" t="str">
        <f t="shared" si="268"/>
        <v>15207</v>
      </c>
    </row>
    <row r="21443" spans="1:16" x14ac:dyDescent="0.25">
      <c r="A21443" t="str">
        <f>"1310184J00155    00"</f>
        <v>1310184J00155    00</v>
      </c>
      <c r="B21443" t="s">
        <v>46438</v>
      </c>
      <c r="C21443" t="s">
        <v>46439</v>
      </c>
      <c r="E21443" t="s">
        <v>39</v>
      </c>
      <c r="F21443">
        <v>0</v>
      </c>
      <c r="G21443">
        <v>0</v>
      </c>
      <c r="H21443">
        <v>1</v>
      </c>
      <c r="I21443" s="3">
        <v>1166.96</v>
      </c>
      <c r="J21443" s="3">
        <v>0</v>
      </c>
      <c r="L21443">
        <v>1406</v>
      </c>
      <c r="M21443" t="s">
        <v>29886</v>
      </c>
      <c r="N21443" t="s">
        <v>30</v>
      </c>
      <c r="O21443" t="s">
        <v>31</v>
      </c>
      <c r="P21443" t="str">
        <f t="shared" si="268"/>
        <v>15207</v>
      </c>
    </row>
    <row r="21444" spans="1:16" x14ac:dyDescent="0.25">
      <c r="A21444" t="str">
        <f>"1310184J00157    00"</f>
        <v>1310184J00157    00</v>
      </c>
      <c r="B21444" t="s">
        <v>46440</v>
      </c>
      <c r="C21444" t="s">
        <v>46441</v>
      </c>
      <c r="D21444" t="s">
        <v>20</v>
      </c>
      <c r="E21444" t="s">
        <v>39</v>
      </c>
      <c r="F21444">
        <v>0</v>
      </c>
      <c r="G21444">
        <v>0</v>
      </c>
      <c r="H21444">
        <v>16</v>
      </c>
      <c r="I21444" s="3">
        <v>17513.689999999999</v>
      </c>
      <c r="J21444" s="3">
        <v>11766.18</v>
      </c>
      <c r="K21444" t="s">
        <v>46442</v>
      </c>
      <c r="L21444">
        <v>1410</v>
      </c>
      <c r="M21444" t="s">
        <v>29886</v>
      </c>
      <c r="N21444" t="s">
        <v>30</v>
      </c>
      <c r="O21444" t="s">
        <v>31</v>
      </c>
      <c r="P21444" t="str">
        <f t="shared" si="268"/>
        <v>15207</v>
      </c>
    </row>
    <row r="21445" spans="1:16" x14ac:dyDescent="0.25">
      <c r="A21445" t="str">
        <f>"1310184J00190    00"</f>
        <v>1310184J00190    00</v>
      </c>
      <c r="B21445" t="s">
        <v>14317</v>
      </c>
      <c r="C21445" t="s">
        <v>46443</v>
      </c>
      <c r="D21445" t="s">
        <v>20</v>
      </c>
      <c r="E21445" t="s">
        <v>39</v>
      </c>
      <c r="F21445">
        <v>0</v>
      </c>
      <c r="G21445">
        <v>0</v>
      </c>
      <c r="H21445">
        <v>2</v>
      </c>
      <c r="I21445" s="3">
        <v>850.1</v>
      </c>
      <c r="J21445" s="3">
        <v>0</v>
      </c>
      <c r="K21445" t="s">
        <v>12398</v>
      </c>
      <c r="L21445">
        <v>6927</v>
      </c>
      <c r="M21445" t="s">
        <v>3980</v>
      </c>
      <c r="N21445" t="s">
        <v>30</v>
      </c>
      <c r="O21445" t="s">
        <v>31</v>
      </c>
      <c r="P21445" t="str">
        <f>"15208"</f>
        <v>15208</v>
      </c>
    </row>
    <row r="21446" spans="1:16" x14ac:dyDescent="0.25">
      <c r="A21446" t="str">
        <f>"1310184J00202    00"</f>
        <v>1310184J00202    00</v>
      </c>
      <c r="B21446" t="s">
        <v>46444</v>
      </c>
      <c r="C21446" t="s">
        <v>46445</v>
      </c>
      <c r="D21446" t="s">
        <v>20</v>
      </c>
      <c r="E21446" t="s">
        <v>39</v>
      </c>
      <c r="F21446">
        <v>0</v>
      </c>
      <c r="G21446">
        <v>0</v>
      </c>
      <c r="H21446">
        <v>8</v>
      </c>
      <c r="I21446" s="3">
        <v>5868.34</v>
      </c>
      <c r="J21446" s="3">
        <v>2053.14</v>
      </c>
      <c r="K21446" t="s">
        <v>46446</v>
      </c>
      <c r="L21446">
        <v>1431</v>
      </c>
      <c r="M21446" t="s">
        <v>21739</v>
      </c>
      <c r="N21446" t="s">
        <v>30</v>
      </c>
      <c r="O21446" t="s">
        <v>31</v>
      </c>
      <c r="P21446" t="str">
        <f>"15207"</f>
        <v>15207</v>
      </c>
    </row>
    <row r="21447" spans="1:16" x14ac:dyDescent="0.25">
      <c r="A21447" t="str">
        <f>"1310184J00203    00"</f>
        <v>1310184J00203    00</v>
      </c>
      <c r="B21447" t="s">
        <v>46030</v>
      </c>
      <c r="C21447" t="s">
        <v>46447</v>
      </c>
      <c r="D21447" t="s">
        <v>20</v>
      </c>
      <c r="E21447" t="s">
        <v>39</v>
      </c>
      <c r="F21447">
        <v>0</v>
      </c>
      <c r="G21447">
        <v>0</v>
      </c>
      <c r="H21447">
        <v>2</v>
      </c>
      <c r="I21447" s="3">
        <v>3160.18</v>
      </c>
      <c r="J21447" s="3">
        <v>0</v>
      </c>
      <c r="K21447" t="s">
        <v>46032</v>
      </c>
      <c r="L21447">
        <v>4536</v>
      </c>
      <c r="M21447" t="s">
        <v>46033</v>
      </c>
      <c r="N21447" t="s">
        <v>285</v>
      </c>
      <c r="O21447" t="s">
        <v>31</v>
      </c>
      <c r="P21447" t="str">
        <f>"15120"</f>
        <v>15120</v>
      </c>
    </row>
    <row r="21448" spans="1:16" x14ac:dyDescent="0.25">
      <c r="A21448" t="str">
        <f>"1310184J00223    00"</f>
        <v>1310184J00223    00</v>
      </c>
      <c r="B21448" t="s">
        <v>46448</v>
      </c>
      <c r="C21448" t="s">
        <v>46449</v>
      </c>
      <c r="E21448" t="s">
        <v>39</v>
      </c>
      <c r="F21448">
        <v>0</v>
      </c>
      <c r="G21448">
        <v>0</v>
      </c>
      <c r="H21448">
        <v>1</v>
      </c>
      <c r="I21448" s="3">
        <v>85.78</v>
      </c>
      <c r="J21448" s="3">
        <v>0</v>
      </c>
      <c r="K21448" t="s">
        <v>759</v>
      </c>
      <c r="L21448">
        <v>3001</v>
      </c>
      <c r="M21448" t="s">
        <v>404</v>
      </c>
      <c r="N21448" t="s">
        <v>331</v>
      </c>
      <c r="O21448" t="s">
        <v>108</v>
      </c>
      <c r="P21448" t="str">
        <f>"75063"</f>
        <v>75063</v>
      </c>
    </row>
    <row r="21449" spans="1:16" x14ac:dyDescent="0.25">
      <c r="A21449" t="str">
        <f>"1310184J00233    00"</f>
        <v>1310184J00233    00</v>
      </c>
      <c r="B21449" t="s">
        <v>46450</v>
      </c>
      <c r="C21449" t="s">
        <v>46451</v>
      </c>
      <c r="D21449" t="s">
        <v>20</v>
      </c>
      <c r="E21449" t="s">
        <v>39</v>
      </c>
      <c r="F21449">
        <v>0</v>
      </c>
      <c r="G21449">
        <v>0</v>
      </c>
      <c r="H21449">
        <v>3</v>
      </c>
      <c r="I21449" s="3">
        <v>2015.65</v>
      </c>
      <c r="J21449" s="3">
        <v>204.7</v>
      </c>
      <c r="L21449">
        <v>1226</v>
      </c>
      <c r="M21449" t="s">
        <v>21739</v>
      </c>
      <c r="N21449" t="s">
        <v>30</v>
      </c>
      <c r="O21449" t="s">
        <v>31</v>
      </c>
      <c r="P21449" t="str">
        <f>"15207"</f>
        <v>15207</v>
      </c>
    </row>
    <row r="21450" spans="1:16" x14ac:dyDescent="0.25">
      <c r="A21450" t="str">
        <f>"1310184J00350    00"</f>
        <v>1310184J00350    00</v>
      </c>
      <c r="B21450" t="s">
        <v>46452</v>
      </c>
      <c r="C21450" t="s">
        <v>46453</v>
      </c>
      <c r="D21450" t="s">
        <v>20</v>
      </c>
      <c r="E21450" t="s">
        <v>39</v>
      </c>
      <c r="F21450">
        <v>0</v>
      </c>
      <c r="G21450">
        <v>0</v>
      </c>
      <c r="H21450">
        <v>19</v>
      </c>
      <c r="I21450" s="3">
        <v>929.73</v>
      </c>
      <c r="J21450" s="3">
        <v>918.88</v>
      </c>
      <c r="L21450">
        <v>709</v>
      </c>
      <c r="M21450" t="s">
        <v>13043</v>
      </c>
      <c r="N21450" t="s">
        <v>285</v>
      </c>
      <c r="O21450" t="s">
        <v>31</v>
      </c>
      <c r="P21450" t="str">
        <f>"15120"</f>
        <v>15120</v>
      </c>
    </row>
    <row r="21451" spans="1:16" x14ac:dyDescent="0.25">
      <c r="A21451" t="str">
        <f>"1310184K00042    00"</f>
        <v>1310184K00042    00</v>
      </c>
      <c r="B21451" t="s">
        <v>46454</v>
      </c>
      <c r="C21451" t="s">
        <v>46455</v>
      </c>
      <c r="E21451" t="s">
        <v>39</v>
      </c>
      <c r="F21451">
        <v>0</v>
      </c>
      <c r="G21451">
        <v>0</v>
      </c>
      <c r="H21451">
        <v>1</v>
      </c>
      <c r="I21451" s="3">
        <v>159.76</v>
      </c>
      <c r="J21451" s="3">
        <v>0</v>
      </c>
      <c r="L21451">
        <v>1637</v>
      </c>
      <c r="M21451" t="s">
        <v>46456</v>
      </c>
      <c r="N21451" t="s">
        <v>30</v>
      </c>
      <c r="O21451" t="s">
        <v>31</v>
      </c>
      <c r="P21451" t="str">
        <f>"15207"</f>
        <v>15207</v>
      </c>
    </row>
    <row r="21452" spans="1:16" x14ac:dyDescent="0.25">
      <c r="A21452" t="str">
        <f>"1310184K00046    00"</f>
        <v>1310184K00046    00</v>
      </c>
      <c r="B21452" t="s">
        <v>46457</v>
      </c>
      <c r="C21452" t="s">
        <v>46458</v>
      </c>
      <c r="D21452" t="s">
        <v>20</v>
      </c>
      <c r="E21452" t="s">
        <v>39</v>
      </c>
      <c r="F21452">
        <v>0</v>
      </c>
      <c r="G21452">
        <v>0</v>
      </c>
      <c r="H21452">
        <v>1</v>
      </c>
      <c r="I21452" s="3">
        <v>210.16</v>
      </c>
      <c r="J21452" s="3">
        <v>0</v>
      </c>
      <c r="L21452">
        <v>1627</v>
      </c>
      <c r="M21452" t="s">
        <v>46456</v>
      </c>
      <c r="N21452" t="s">
        <v>30</v>
      </c>
      <c r="O21452" t="s">
        <v>31</v>
      </c>
      <c r="P21452" t="str">
        <f>"15207"</f>
        <v>15207</v>
      </c>
    </row>
    <row r="21453" spans="1:16" x14ac:dyDescent="0.25">
      <c r="A21453" t="str">
        <f>"1310184K00052    00"</f>
        <v>1310184K00052    00</v>
      </c>
      <c r="B21453" t="s">
        <v>46459</v>
      </c>
      <c r="C21453" t="s">
        <v>46460</v>
      </c>
      <c r="E21453" t="s">
        <v>39</v>
      </c>
      <c r="F21453">
        <v>0</v>
      </c>
      <c r="G21453">
        <v>0</v>
      </c>
      <c r="H21453">
        <v>4</v>
      </c>
      <c r="I21453" s="3">
        <v>2721.41</v>
      </c>
      <c r="J21453" s="3">
        <v>1566.05</v>
      </c>
      <c r="K21453" t="s">
        <v>46461</v>
      </c>
      <c r="L21453">
        <v>1613</v>
      </c>
      <c r="M21453" t="s">
        <v>46456</v>
      </c>
      <c r="N21453" t="s">
        <v>30</v>
      </c>
      <c r="O21453" t="s">
        <v>31</v>
      </c>
      <c r="P21453" t="str">
        <f>"15207"</f>
        <v>15207</v>
      </c>
    </row>
    <row r="21454" spans="1:16" x14ac:dyDescent="0.25">
      <c r="A21454" t="str">
        <f>"1310184K00071    00"</f>
        <v>1310184K00071    00</v>
      </c>
      <c r="B21454" t="s">
        <v>46462</v>
      </c>
      <c r="C21454" t="s">
        <v>46463</v>
      </c>
      <c r="D21454" t="s">
        <v>20</v>
      </c>
      <c r="E21454" t="s">
        <v>39</v>
      </c>
      <c r="F21454">
        <v>0</v>
      </c>
      <c r="G21454">
        <v>0</v>
      </c>
      <c r="H21454">
        <v>1</v>
      </c>
      <c r="I21454" s="3">
        <v>1160.77</v>
      </c>
      <c r="J21454" s="3">
        <v>0</v>
      </c>
      <c r="K21454" t="s">
        <v>46464</v>
      </c>
      <c r="L21454">
        <v>1412</v>
      </c>
      <c r="M21454" t="s">
        <v>23831</v>
      </c>
      <c r="N21454" t="s">
        <v>30</v>
      </c>
      <c r="O21454" t="s">
        <v>31</v>
      </c>
      <c r="P21454" t="str">
        <f>"15210"</f>
        <v>15210</v>
      </c>
    </row>
    <row r="21455" spans="1:16" x14ac:dyDescent="0.25">
      <c r="A21455" t="str">
        <f>"1310184K00098    00"</f>
        <v>1310184K00098    00</v>
      </c>
      <c r="B21455" t="s">
        <v>46465</v>
      </c>
      <c r="C21455" t="s">
        <v>46466</v>
      </c>
      <c r="D21455" t="s">
        <v>20</v>
      </c>
      <c r="E21455" t="s">
        <v>39</v>
      </c>
      <c r="F21455">
        <v>0</v>
      </c>
      <c r="G21455">
        <v>0</v>
      </c>
      <c r="H21455">
        <v>4</v>
      </c>
      <c r="I21455" s="3">
        <v>1536.31</v>
      </c>
      <c r="J21455" s="3">
        <v>121.59</v>
      </c>
      <c r="L21455">
        <v>5512</v>
      </c>
      <c r="M21455" t="s">
        <v>46103</v>
      </c>
      <c r="N21455" t="s">
        <v>30</v>
      </c>
      <c r="O21455" t="s">
        <v>31</v>
      </c>
      <c r="P21455" t="str">
        <f>"15207"</f>
        <v>15207</v>
      </c>
    </row>
    <row r="21456" spans="1:16" x14ac:dyDescent="0.25">
      <c r="A21456" t="str">
        <f>"1310184K00124    00"</f>
        <v>1310184K00124    00</v>
      </c>
      <c r="B21456" t="s">
        <v>46467</v>
      </c>
      <c r="C21456" t="s">
        <v>46468</v>
      </c>
      <c r="D21456" t="s">
        <v>20</v>
      </c>
      <c r="E21456" t="s">
        <v>39</v>
      </c>
      <c r="F21456">
        <v>0</v>
      </c>
      <c r="G21456">
        <v>0</v>
      </c>
      <c r="H21456">
        <v>2</v>
      </c>
      <c r="I21456" s="3">
        <v>175.36</v>
      </c>
      <c r="J21456" s="3">
        <v>0</v>
      </c>
      <c r="K21456" t="s">
        <v>4781</v>
      </c>
      <c r="L21456">
        <v>111</v>
      </c>
      <c r="M21456" t="s">
        <v>4782</v>
      </c>
      <c r="N21456" t="s">
        <v>4783</v>
      </c>
      <c r="O21456" t="s">
        <v>4784</v>
      </c>
      <c r="P21456" t="str">
        <f>"63146"</f>
        <v>63146</v>
      </c>
    </row>
    <row r="21457" spans="1:16" x14ac:dyDescent="0.25">
      <c r="A21457" t="str">
        <f>"1310184K00147    00"</f>
        <v>1310184K00147    00</v>
      </c>
      <c r="B21457" t="s">
        <v>46345</v>
      </c>
      <c r="C21457" t="s">
        <v>46469</v>
      </c>
      <c r="D21457" t="s">
        <v>20</v>
      </c>
      <c r="E21457" t="s">
        <v>21</v>
      </c>
      <c r="F21457">
        <v>0</v>
      </c>
      <c r="G21457">
        <v>0</v>
      </c>
      <c r="H21457">
        <v>3</v>
      </c>
      <c r="I21457" s="3">
        <v>7753.62</v>
      </c>
      <c r="J21457" s="3">
        <v>516.89</v>
      </c>
      <c r="L21457">
        <v>416</v>
      </c>
      <c r="M21457" t="s">
        <v>4261</v>
      </c>
      <c r="N21457" t="s">
        <v>30</v>
      </c>
      <c r="O21457" t="s">
        <v>31</v>
      </c>
      <c r="P21457" t="str">
        <f>"15211"</f>
        <v>15211</v>
      </c>
    </row>
    <row r="21458" spans="1:16" x14ac:dyDescent="0.25">
      <c r="A21458" t="str">
        <f>"1310184K00189    00"</f>
        <v>1310184K00189    00</v>
      </c>
      <c r="B21458" t="s">
        <v>46470</v>
      </c>
      <c r="C21458" t="s">
        <v>46471</v>
      </c>
      <c r="D21458" t="s">
        <v>20</v>
      </c>
      <c r="E21458" t="s">
        <v>39</v>
      </c>
      <c r="F21458">
        <v>0</v>
      </c>
      <c r="G21458">
        <v>0</v>
      </c>
      <c r="H21458">
        <v>14</v>
      </c>
      <c r="I21458" s="3">
        <v>12402.1</v>
      </c>
      <c r="J21458" s="3">
        <v>6601.69</v>
      </c>
      <c r="K21458" t="s">
        <v>805</v>
      </c>
      <c r="L21458">
        <v>3001</v>
      </c>
      <c r="M21458" t="s">
        <v>330</v>
      </c>
      <c r="N21458" t="s">
        <v>331</v>
      </c>
      <c r="O21458" t="s">
        <v>108</v>
      </c>
      <c r="P21458" t="str">
        <f>"75063"</f>
        <v>75063</v>
      </c>
    </row>
    <row r="21459" spans="1:16" x14ac:dyDescent="0.25">
      <c r="A21459" t="str">
        <f>"1310184K00202    00"</f>
        <v>1310184K00202    00</v>
      </c>
      <c r="B21459" t="s">
        <v>46472</v>
      </c>
      <c r="C21459" t="s">
        <v>46473</v>
      </c>
      <c r="D21459" t="s">
        <v>20</v>
      </c>
      <c r="E21459" t="s">
        <v>39</v>
      </c>
      <c r="F21459">
        <v>0</v>
      </c>
      <c r="G21459">
        <v>0</v>
      </c>
      <c r="H21459">
        <v>7</v>
      </c>
      <c r="I21459" s="3">
        <v>6034.47</v>
      </c>
      <c r="J21459" s="3">
        <v>141.28</v>
      </c>
      <c r="L21459">
        <v>5319</v>
      </c>
      <c r="M21459" t="s">
        <v>29886</v>
      </c>
      <c r="N21459" t="s">
        <v>30</v>
      </c>
      <c r="O21459" t="s">
        <v>31</v>
      </c>
      <c r="P21459" t="str">
        <f>"15207"</f>
        <v>15207</v>
      </c>
    </row>
    <row r="21460" spans="1:16" x14ac:dyDescent="0.25">
      <c r="A21460" t="str">
        <f>"1310184K00264    00"</f>
        <v>1310184K00264    00</v>
      </c>
      <c r="B21460" t="s">
        <v>46474</v>
      </c>
      <c r="C21460" t="s">
        <v>46475</v>
      </c>
      <c r="D21460" t="s">
        <v>20</v>
      </c>
      <c r="E21460" t="s">
        <v>39</v>
      </c>
      <c r="F21460">
        <v>0</v>
      </c>
      <c r="G21460">
        <v>0</v>
      </c>
      <c r="H21460">
        <v>9</v>
      </c>
      <c r="I21460" s="3">
        <v>7894.29</v>
      </c>
      <c r="J21460" s="3">
        <v>2683.33</v>
      </c>
      <c r="L21460">
        <v>1500</v>
      </c>
      <c r="M21460" t="s">
        <v>46476</v>
      </c>
      <c r="N21460" t="s">
        <v>238</v>
      </c>
      <c r="O21460" t="s">
        <v>31</v>
      </c>
      <c r="P21460" t="str">
        <f>"15132"</f>
        <v>15132</v>
      </c>
    </row>
    <row r="21461" spans="1:16" x14ac:dyDescent="0.25">
      <c r="A21461" t="str">
        <f>"1310184N00004    00"</f>
        <v>1310184N00004    00</v>
      </c>
      <c r="B21461" t="s">
        <v>46477</v>
      </c>
      <c r="C21461" t="s">
        <v>46478</v>
      </c>
      <c r="D21461" t="s">
        <v>20</v>
      </c>
      <c r="E21461" t="s">
        <v>39</v>
      </c>
      <c r="F21461">
        <v>0</v>
      </c>
      <c r="G21461">
        <v>0</v>
      </c>
      <c r="H21461">
        <v>3</v>
      </c>
      <c r="I21461" s="3">
        <v>4527.38</v>
      </c>
      <c r="J21461" s="3">
        <v>13.07</v>
      </c>
      <c r="K21461" t="s">
        <v>46479</v>
      </c>
      <c r="L21461">
        <v>5601</v>
      </c>
      <c r="M21461" t="s">
        <v>46480</v>
      </c>
      <c r="N21461" t="s">
        <v>30</v>
      </c>
      <c r="O21461" t="s">
        <v>31</v>
      </c>
      <c r="P21461" t="str">
        <f>"15207"</f>
        <v>15207</v>
      </c>
    </row>
    <row r="21462" spans="1:16" x14ac:dyDescent="0.25">
      <c r="A21462" t="str">
        <f>"1310184N00005    00"</f>
        <v>1310184N00005    00</v>
      </c>
      <c r="B21462" t="s">
        <v>46481</v>
      </c>
      <c r="C21462" t="s">
        <v>46453</v>
      </c>
      <c r="D21462" t="s">
        <v>20</v>
      </c>
      <c r="E21462" t="s">
        <v>39</v>
      </c>
      <c r="F21462">
        <v>0</v>
      </c>
      <c r="G21462">
        <v>0</v>
      </c>
      <c r="H21462">
        <v>7</v>
      </c>
      <c r="I21462" s="3">
        <v>494.01</v>
      </c>
      <c r="J21462" s="3">
        <v>138.34</v>
      </c>
      <c r="K21462" t="s">
        <v>46482</v>
      </c>
      <c r="L21462">
        <v>41</v>
      </c>
      <c r="M21462" t="s">
        <v>46483</v>
      </c>
      <c r="N21462" t="s">
        <v>4158</v>
      </c>
      <c r="O21462" t="s">
        <v>31</v>
      </c>
      <c r="P21462" t="str">
        <f>"15034"</f>
        <v>15034</v>
      </c>
    </row>
    <row r="21463" spans="1:16" x14ac:dyDescent="0.25">
      <c r="A21463" t="str">
        <f>"1310184N00006    00"</f>
        <v>1310184N00006    00</v>
      </c>
      <c r="B21463" t="s">
        <v>46484</v>
      </c>
      <c r="C21463" t="s">
        <v>46453</v>
      </c>
      <c r="D21463" t="s">
        <v>20</v>
      </c>
      <c r="E21463" t="s">
        <v>39</v>
      </c>
      <c r="F21463">
        <v>0</v>
      </c>
      <c r="G21463">
        <v>0</v>
      </c>
      <c r="H21463">
        <v>7</v>
      </c>
      <c r="I21463" s="3">
        <v>481.05</v>
      </c>
      <c r="J21463" s="3">
        <v>134.74</v>
      </c>
      <c r="K21463" t="s">
        <v>46485</v>
      </c>
      <c r="L21463">
        <v>41</v>
      </c>
      <c r="M21463" t="s">
        <v>46483</v>
      </c>
      <c r="N21463" t="s">
        <v>4158</v>
      </c>
      <c r="O21463" t="s">
        <v>31</v>
      </c>
      <c r="P21463" t="str">
        <f>"15034"</f>
        <v>15034</v>
      </c>
    </row>
    <row r="21464" spans="1:16" x14ac:dyDescent="0.25">
      <c r="A21464" t="str">
        <f>"1310184N00024    00"</f>
        <v>1310184N00024    00</v>
      </c>
      <c r="B21464" t="s">
        <v>46486</v>
      </c>
      <c r="C21464" t="s">
        <v>46487</v>
      </c>
      <c r="D21464" t="s">
        <v>20</v>
      </c>
      <c r="E21464" t="s">
        <v>39</v>
      </c>
      <c r="F21464">
        <v>0</v>
      </c>
      <c r="G21464">
        <v>0</v>
      </c>
      <c r="H21464">
        <v>9</v>
      </c>
      <c r="I21464" s="3">
        <v>1721.47</v>
      </c>
      <c r="J21464" s="3">
        <v>580.67999999999995</v>
      </c>
      <c r="L21464">
        <v>5612</v>
      </c>
      <c r="M21464" t="s">
        <v>46488</v>
      </c>
      <c r="N21464" t="s">
        <v>30</v>
      </c>
      <c r="O21464" t="s">
        <v>31</v>
      </c>
      <c r="P21464" t="str">
        <f>"15207"</f>
        <v>15207</v>
      </c>
    </row>
    <row r="21465" spans="1:16" x14ac:dyDescent="0.25">
      <c r="A21465" t="str">
        <f>"1310184N00050    00"</f>
        <v>1310184N00050    00</v>
      </c>
      <c r="B21465" t="s">
        <v>46489</v>
      </c>
      <c r="C21465" t="s">
        <v>46490</v>
      </c>
      <c r="E21465" t="s">
        <v>39</v>
      </c>
      <c r="F21465">
        <v>0</v>
      </c>
      <c r="G21465">
        <v>0</v>
      </c>
      <c r="H21465">
        <v>2</v>
      </c>
      <c r="I21465" s="3">
        <v>4563.03</v>
      </c>
      <c r="J21465" s="3">
        <v>3389.13</v>
      </c>
      <c r="L21465">
        <v>5711</v>
      </c>
      <c r="M21465" t="s">
        <v>46093</v>
      </c>
      <c r="N21465" t="s">
        <v>30</v>
      </c>
      <c r="O21465" t="s">
        <v>31</v>
      </c>
      <c r="P21465" t="str">
        <f>"15207"</f>
        <v>15207</v>
      </c>
    </row>
    <row r="21466" spans="1:16" x14ac:dyDescent="0.25">
      <c r="A21466" t="str">
        <f>"1310184N00095    00"</f>
        <v>1310184N00095    00</v>
      </c>
      <c r="B21466" t="s">
        <v>46491</v>
      </c>
      <c r="C21466" t="s">
        <v>46492</v>
      </c>
      <c r="D21466" t="s">
        <v>20</v>
      </c>
      <c r="E21466" t="s">
        <v>39</v>
      </c>
      <c r="F21466">
        <v>0</v>
      </c>
      <c r="G21466">
        <v>0</v>
      </c>
      <c r="H21466">
        <v>2</v>
      </c>
      <c r="I21466" s="3">
        <v>2302.1</v>
      </c>
      <c r="J21466" s="3">
        <v>0</v>
      </c>
      <c r="L21466">
        <v>5746</v>
      </c>
      <c r="M21466" t="s">
        <v>46093</v>
      </c>
      <c r="N21466" t="s">
        <v>30</v>
      </c>
      <c r="O21466" t="s">
        <v>31</v>
      </c>
      <c r="P21466" t="str">
        <f>"15207"</f>
        <v>15207</v>
      </c>
    </row>
    <row r="21467" spans="1:16" x14ac:dyDescent="0.25">
      <c r="A21467" t="str">
        <f>"1310184N00103    00"</f>
        <v>1310184N00103    00</v>
      </c>
      <c r="B21467" t="s">
        <v>46493</v>
      </c>
      <c r="C21467" t="s">
        <v>46494</v>
      </c>
      <c r="D21467" t="s">
        <v>20</v>
      </c>
      <c r="E21467" t="s">
        <v>39</v>
      </c>
      <c r="F21467">
        <v>0</v>
      </c>
      <c r="G21467">
        <v>0</v>
      </c>
      <c r="H21467">
        <v>1</v>
      </c>
      <c r="I21467" s="3">
        <v>1488.6</v>
      </c>
      <c r="J21467" s="3">
        <v>0</v>
      </c>
      <c r="K21467" t="s">
        <v>46495</v>
      </c>
      <c r="L21467">
        <v>5726</v>
      </c>
      <c r="M21467" t="s">
        <v>46093</v>
      </c>
      <c r="N21467" t="s">
        <v>30</v>
      </c>
      <c r="O21467" t="s">
        <v>31</v>
      </c>
      <c r="P21467" t="str">
        <f>"15207"</f>
        <v>15207</v>
      </c>
    </row>
    <row r="21468" spans="1:16" x14ac:dyDescent="0.25">
      <c r="A21468" t="str">
        <f>"1310184N00112    00"</f>
        <v>1310184N00112    00</v>
      </c>
      <c r="B21468" t="s">
        <v>46496</v>
      </c>
      <c r="C21468" t="s">
        <v>46497</v>
      </c>
      <c r="D21468" t="s">
        <v>57</v>
      </c>
      <c r="E21468" t="s">
        <v>39</v>
      </c>
      <c r="F21468">
        <v>0</v>
      </c>
      <c r="G21468">
        <v>0</v>
      </c>
      <c r="H21468">
        <v>1</v>
      </c>
      <c r="I21468" s="3">
        <v>378.47</v>
      </c>
      <c r="J21468" s="3">
        <v>384.77</v>
      </c>
      <c r="K21468" t="s">
        <v>445</v>
      </c>
      <c r="L21468">
        <v>1</v>
      </c>
      <c r="M21468" t="s">
        <v>1163</v>
      </c>
      <c r="N21468" t="s">
        <v>1164</v>
      </c>
      <c r="O21468" t="s">
        <v>108</v>
      </c>
      <c r="P21468" t="str">
        <f>"76262"</f>
        <v>76262</v>
      </c>
    </row>
    <row r="21469" spans="1:16" x14ac:dyDescent="0.25">
      <c r="A21469" t="str">
        <f>"1310184N00171    00"</f>
        <v>1310184N00171    00</v>
      </c>
      <c r="B21469" t="s">
        <v>46498</v>
      </c>
      <c r="C21469" t="s">
        <v>46499</v>
      </c>
      <c r="D21469" t="s">
        <v>20</v>
      </c>
      <c r="E21469" t="s">
        <v>39</v>
      </c>
      <c r="F21469">
        <v>0</v>
      </c>
      <c r="G21469">
        <v>0</v>
      </c>
      <c r="H21469">
        <v>3</v>
      </c>
      <c r="I21469" s="3">
        <v>1257.3599999999999</v>
      </c>
      <c r="J21469" s="3">
        <v>14.11</v>
      </c>
      <c r="K21469" t="s">
        <v>46500</v>
      </c>
      <c r="L21469">
        <v>734</v>
      </c>
      <c r="M21469" t="s">
        <v>3833</v>
      </c>
      <c r="N21469" t="s">
        <v>30</v>
      </c>
      <c r="O21469" t="s">
        <v>31</v>
      </c>
      <c r="P21469" t="str">
        <f>"15219"</f>
        <v>15219</v>
      </c>
    </row>
    <row r="21470" spans="1:16" x14ac:dyDescent="0.25">
      <c r="A21470" t="str">
        <f>"1310184N00194    00"</f>
        <v>1310184N00194    00</v>
      </c>
      <c r="B21470" t="s">
        <v>46501</v>
      </c>
      <c r="C21470" t="s">
        <v>46502</v>
      </c>
      <c r="D21470" t="s">
        <v>20</v>
      </c>
      <c r="E21470" t="s">
        <v>39</v>
      </c>
      <c r="F21470">
        <v>0</v>
      </c>
      <c r="G21470">
        <v>0</v>
      </c>
      <c r="H21470">
        <v>10</v>
      </c>
      <c r="I21470" s="3">
        <v>3458.12</v>
      </c>
      <c r="J21470" s="3">
        <v>1557.68</v>
      </c>
      <c r="L21470">
        <v>5745</v>
      </c>
      <c r="M21470" t="s">
        <v>17057</v>
      </c>
      <c r="N21470" t="s">
        <v>30</v>
      </c>
      <c r="O21470" t="s">
        <v>31</v>
      </c>
      <c r="P21470" t="str">
        <f>"15207"</f>
        <v>15207</v>
      </c>
    </row>
    <row r="21471" spans="1:16" x14ac:dyDescent="0.25">
      <c r="A21471" t="str">
        <f>"1310184N00207    00"</f>
        <v>1310184N00207    00</v>
      </c>
      <c r="B21471" t="s">
        <v>46503</v>
      </c>
      <c r="C21471" t="s">
        <v>46504</v>
      </c>
      <c r="E21471" t="s">
        <v>39</v>
      </c>
      <c r="F21471">
        <v>0</v>
      </c>
      <c r="G21471">
        <v>0</v>
      </c>
      <c r="H21471">
        <v>1</v>
      </c>
      <c r="I21471" s="3">
        <v>422.96</v>
      </c>
      <c r="J21471" s="3">
        <v>0</v>
      </c>
      <c r="L21471">
        <v>110</v>
      </c>
      <c r="M21471" t="s">
        <v>46505</v>
      </c>
      <c r="N21471" t="s">
        <v>134</v>
      </c>
      <c r="O21471" t="s">
        <v>31</v>
      </c>
      <c r="P21471" t="str">
        <f>"15037"</f>
        <v>15037</v>
      </c>
    </row>
    <row r="21472" spans="1:16" x14ac:dyDescent="0.25">
      <c r="A21472" t="str">
        <f>"1310184N00232    00"</f>
        <v>1310184N00232    00</v>
      </c>
      <c r="B21472" t="s">
        <v>46506</v>
      </c>
      <c r="C21472" t="s">
        <v>46507</v>
      </c>
      <c r="D21472" t="s">
        <v>20</v>
      </c>
      <c r="E21472" t="s">
        <v>39</v>
      </c>
      <c r="F21472">
        <v>0</v>
      </c>
      <c r="G21472">
        <v>0</v>
      </c>
      <c r="H21472">
        <v>7</v>
      </c>
      <c r="I21472" s="3">
        <v>3042.82</v>
      </c>
      <c r="J21472" s="3">
        <v>743.63</v>
      </c>
      <c r="K21472" t="s">
        <v>46508</v>
      </c>
      <c r="L21472">
        <v>1514</v>
      </c>
      <c r="M21472" t="s">
        <v>46509</v>
      </c>
      <c r="N21472" t="s">
        <v>238</v>
      </c>
      <c r="O21472" t="s">
        <v>31</v>
      </c>
      <c r="P21472" t="str">
        <f>"15132"</f>
        <v>15132</v>
      </c>
    </row>
    <row r="21473" spans="1:16" x14ac:dyDescent="0.25">
      <c r="A21473" t="str">
        <f>"1310184N00242    00"</f>
        <v>1310184N00242    00</v>
      </c>
      <c r="B21473" t="s">
        <v>46510</v>
      </c>
      <c r="C21473" t="s">
        <v>46511</v>
      </c>
      <c r="D21473" t="s">
        <v>20</v>
      </c>
      <c r="E21473" t="s">
        <v>39</v>
      </c>
      <c r="F21473">
        <v>0</v>
      </c>
      <c r="G21473">
        <v>0</v>
      </c>
      <c r="H21473">
        <v>13</v>
      </c>
      <c r="I21473" s="3">
        <v>11924.46</v>
      </c>
      <c r="J21473" s="3">
        <v>5934.44</v>
      </c>
      <c r="K21473" t="s">
        <v>46512</v>
      </c>
      <c r="L21473">
        <v>1137</v>
      </c>
      <c r="M21473" t="s">
        <v>46513</v>
      </c>
      <c r="N21473" t="s">
        <v>30</v>
      </c>
      <c r="O21473" t="s">
        <v>31</v>
      </c>
      <c r="P21473" t="str">
        <f>"15207"</f>
        <v>15207</v>
      </c>
    </row>
    <row r="21474" spans="1:16" x14ac:dyDescent="0.25">
      <c r="A21474" t="str">
        <f>"1310184N00243    00"</f>
        <v>1310184N00243    00</v>
      </c>
      <c r="B21474" t="s">
        <v>46514</v>
      </c>
      <c r="C21474" t="s">
        <v>46515</v>
      </c>
      <c r="D21474" t="s">
        <v>20</v>
      </c>
      <c r="E21474" t="s">
        <v>39</v>
      </c>
      <c r="F21474">
        <v>0</v>
      </c>
      <c r="G21474">
        <v>0</v>
      </c>
      <c r="H21474">
        <v>13</v>
      </c>
      <c r="I21474" s="3">
        <v>214.97</v>
      </c>
      <c r="J21474" s="3">
        <v>124.98</v>
      </c>
      <c r="L21474">
        <v>621</v>
      </c>
      <c r="M21474" t="s">
        <v>46516</v>
      </c>
      <c r="N21474" t="s">
        <v>46517</v>
      </c>
      <c r="O21474" t="s">
        <v>370</v>
      </c>
      <c r="P21474" t="str">
        <f>"34787"</f>
        <v>34787</v>
      </c>
    </row>
    <row r="21475" spans="1:16" x14ac:dyDescent="0.25">
      <c r="A21475" t="str">
        <f>"1310184N00288    00"</f>
        <v>1310184N00288    00</v>
      </c>
      <c r="B21475" t="s">
        <v>46518</v>
      </c>
      <c r="C21475" t="s">
        <v>46519</v>
      </c>
      <c r="D21475" t="s">
        <v>20</v>
      </c>
      <c r="E21475" t="s">
        <v>39</v>
      </c>
      <c r="F21475">
        <v>0</v>
      </c>
      <c r="G21475">
        <v>0</v>
      </c>
      <c r="H21475">
        <v>12</v>
      </c>
      <c r="I21475" s="3">
        <v>20795.759999999998</v>
      </c>
      <c r="J21475" s="3">
        <v>10938.77</v>
      </c>
      <c r="L21475">
        <v>3607</v>
      </c>
      <c r="M21475" t="s">
        <v>46520</v>
      </c>
      <c r="N21475" t="s">
        <v>12312</v>
      </c>
      <c r="O21475" t="s">
        <v>1413</v>
      </c>
      <c r="P21475" t="str">
        <f>"27407"</f>
        <v>27407</v>
      </c>
    </row>
    <row r="21476" spans="1:16" x14ac:dyDescent="0.25">
      <c r="A21476" t="str">
        <f>"1310184N00291    00"</f>
        <v>1310184N00291    00</v>
      </c>
      <c r="B21476" t="s">
        <v>46521</v>
      </c>
      <c r="C21476" t="s">
        <v>46522</v>
      </c>
      <c r="D21476" t="s">
        <v>20</v>
      </c>
      <c r="E21476" t="s">
        <v>39</v>
      </c>
      <c r="F21476">
        <v>0</v>
      </c>
      <c r="G21476">
        <v>0</v>
      </c>
      <c r="H21476">
        <v>4</v>
      </c>
      <c r="I21476" s="3">
        <v>3903.42</v>
      </c>
      <c r="J21476" s="3">
        <v>461.11</v>
      </c>
      <c r="L21476">
        <v>5740</v>
      </c>
      <c r="M21476" t="s">
        <v>46523</v>
      </c>
      <c r="N21476" t="s">
        <v>30</v>
      </c>
      <c r="O21476" t="s">
        <v>31</v>
      </c>
      <c r="P21476" t="str">
        <f>"15207"</f>
        <v>15207</v>
      </c>
    </row>
    <row r="21477" spans="1:16" x14ac:dyDescent="0.25">
      <c r="A21477" t="str">
        <f>"1310184N00306    00"</f>
        <v>1310184N00306    00</v>
      </c>
      <c r="B21477" t="s">
        <v>46524</v>
      </c>
      <c r="C21477" t="s">
        <v>46525</v>
      </c>
      <c r="D21477" t="s">
        <v>20</v>
      </c>
      <c r="E21477" t="s">
        <v>39</v>
      </c>
      <c r="F21477">
        <v>0</v>
      </c>
      <c r="G21477">
        <v>0</v>
      </c>
      <c r="H21477">
        <v>4</v>
      </c>
      <c r="I21477" s="3">
        <v>3548.43</v>
      </c>
      <c r="J21477" s="3">
        <v>439.93</v>
      </c>
      <c r="L21477">
        <v>5740</v>
      </c>
      <c r="M21477" t="s">
        <v>46523</v>
      </c>
      <c r="N21477" t="s">
        <v>30</v>
      </c>
      <c r="O21477" t="s">
        <v>31</v>
      </c>
      <c r="P21477" t="str">
        <f>"15207"</f>
        <v>15207</v>
      </c>
    </row>
    <row r="21478" spans="1:16" x14ac:dyDescent="0.25">
      <c r="A21478" t="str">
        <f>"1310184N00308    00"</f>
        <v>1310184N00308    00</v>
      </c>
      <c r="B21478" t="s">
        <v>46521</v>
      </c>
      <c r="C21478" t="s">
        <v>46526</v>
      </c>
      <c r="D21478" t="s">
        <v>20</v>
      </c>
      <c r="E21478" t="s">
        <v>39</v>
      </c>
      <c r="F21478">
        <v>0</v>
      </c>
      <c r="G21478">
        <v>0</v>
      </c>
      <c r="H21478">
        <v>4</v>
      </c>
      <c r="I21478" s="3">
        <v>369.68</v>
      </c>
      <c r="J21478" s="3">
        <v>45.54</v>
      </c>
      <c r="L21478">
        <v>5740</v>
      </c>
      <c r="M21478" t="s">
        <v>46523</v>
      </c>
      <c r="N21478" t="s">
        <v>30</v>
      </c>
      <c r="O21478" t="s">
        <v>31</v>
      </c>
      <c r="P21478" t="str">
        <f>"15207"</f>
        <v>15207</v>
      </c>
    </row>
    <row r="21479" spans="1:16" x14ac:dyDescent="0.25">
      <c r="A21479" t="str">
        <f>"1310184N00332    00"</f>
        <v>1310184N00332    00</v>
      </c>
      <c r="B21479" t="s">
        <v>16539</v>
      </c>
      <c r="C21479" t="s">
        <v>46527</v>
      </c>
      <c r="D21479" t="s">
        <v>20</v>
      </c>
      <c r="E21479" t="s">
        <v>39</v>
      </c>
      <c r="F21479">
        <v>0</v>
      </c>
      <c r="G21479">
        <v>0</v>
      </c>
      <c r="H21479">
        <v>2</v>
      </c>
      <c r="I21479" s="3">
        <v>3327.9</v>
      </c>
      <c r="J21479" s="3">
        <v>0</v>
      </c>
      <c r="K21479" t="s">
        <v>46528</v>
      </c>
      <c r="L21479">
        <v>1203</v>
      </c>
      <c r="M21479" t="s">
        <v>45884</v>
      </c>
      <c r="N21479" t="s">
        <v>30</v>
      </c>
      <c r="O21479" t="s">
        <v>31</v>
      </c>
      <c r="P21479" t="str">
        <f>"15207"</f>
        <v>15207</v>
      </c>
    </row>
    <row r="21480" spans="1:16" x14ac:dyDescent="0.25">
      <c r="A21480" t="str">
        <f>"1310184N00336    00"</f>
        <v>1310184N00336    00</v>
      </c>
      <c r="B21480" t="s">
        <v>46529</v>
      </c>
      <c r="C21480" t="s">
        <v>46530</v>
      </c>
      <c r="D21480" t="s">
        <v>20</v>
      </c>
      <c r="E21480" t="s">
        <v>39</v>
      </c>
      <c r="F21480">
        <v>0</v>
      </c>
      <c r="G21480">
        <v>0</v>
      </c>
      <c r="H21480">
        <v>12</v>
      </c>
      <c r="I21480" s="3">
        <v>5517.42</v>
      </c>
      <c r="J21480" s="3">
        <v>3115.82</v>
      </c>
      <c r="L21480">
        <v>1141</v>
      </c>
      <c r="M21480" t="s">
        <v>45884</v>
      </c>
      <c r="N21480" t="s">
        <v>30</v>
      </c>
      <c r="O21480" t="s">
        <v>31</v>
      </c>
      <c r="P21480" t="str">
        <f>"15207"</f>
        <v>15207</v>
      </c>
    </row>
    <row r="21481" spans="1:16" x14ac:dyDescent="0.25">
      <c r="A21481" t="str">
        <f>"1310184P00107    00"</f>
        <v>1310184P00107    00</v>
      </c>
      <c r="B21481" t="s">
        <v>46531</v>
      </c>
      <c r="C21481" t="s">
        <v>46468</v>
      </c>
      <c r="D21481" t="s">
        <v>20</v>
      </c>
      <c r="E21481" t="s">
        <v>39</v>
      </c>
      <c r="F21481">
        <v>0</v>
      </c>
      <c r="G21481">
        <v>0</v>
      </c>
      <c r="H21481">
        <v>19</v>
      </c>
      <c r="I21481" s="3">
        <v>392.14</v>
      </c>
      <c r="J21481" s="3">
        <v>364.71</v>
      </c>
      <c r="K21481" t="s">
        <v>1008</v>
      </c>
      <c r="P21481" t="str">
        <f>""</f>
        <v/>
      </c>
    </row>
    <row r="21482" spans="1:16" x14ac:dyDescent="0.25">
      <c r="A21482" t="str">
        <f>"1310184P00162    00"</f>
        <v>1310184P00162    00</v>
      </c>
      <c r="B21482" t="s">
        <v>46532</v>
      </c>
      <c r="C21482" t="s">
        <v>46533</v>
      </c>
      <c r="E21482" t="s">
        <v>39</v>
      </c>
      <c r="F21482">
        <v>0</v>
      </c>
      <c r="G21482">
        <v>0</v>
      </c>
      <c r="H21482">
        <v>1</v>
      </c>
      <c r="I21482" s="3">
        <v>404.74</v>
      </c>
      <c r="J21482" s="3">
        <v>0</v>
      </c>
      <c r="L21482">
        <v>5702</v>
      </c>
      <c r="M21482" t="s">
        <v>29886</v>
      </c>
      <c r="N21482" t="s">
        <v>30</v>
      </c>
      <c r="O21482" t="s">
        <v>31</v>
      </c>
      <c r="P21482" t="str">
        <f>"15207"</f>
        <v>15207</v>
      </c>
    </row>
    <row r="21483" spans="1:16" x14ac:dyDescent="0.25">
      <c r="A21483" t="str">
        <f>"1310184P00170    00"</f>
        <v>1310184P00170    00</v>
      </c>
      <c r="B21483" t="s">
        <v>46534</v>
      </c>
      <c r="C21483" t="s">
        <v>46535</v>
      </c>
      <c r="D21483" t="s">
        <v>20</v>
      </c>
      <c r="E21483" t="s">
        <v>39</v>
      </c>
      <c r="F21483">
        <v>0</v>
      </c>
      <c r="G21483">
        <v>0</v>
      </c>
      <c r="H21483">
        <v>4</v>
      </c>
      <c r="I21483" s="3">
        <v>6380.96</v>
      </c>
      <c r="J21483" s="3">
        <v>774.53</v>
      </c>
      <c r="L21483">
        <v>5600</v>
      </c>
      <c r="M21483" t="s">
        <v>29886</v>
      </c>
      <c r="N21483" t="s">
        <v>30</v>
      </c>
      <c r="O21483" t="s">
        <v>31</v>
      </c>
      <c r="P21483" t="str">
        <f>"15207"</f>
        <v>15207</v>
      </c>
    </row>
    <row r="21484" spans="1:16" x14ac:dyDescent="0.25">
      <c r="A21484" t="str">
        <f>"1310184P00253    00"</f>
        <v>1310184P00253    00</v>
      </c>
      <c r="B21484" t="s">
        <v>46536</v>
      </c>
      <c r="C21484" t="s">
        <v>46537</v>
      </c>
      <c r="D21484" t="s">
        <v>20</v>
      </c>
      <c r="E21484" t="s">
        <v>39</v>
      </c>
      <c r="F21484">
        <v>0</v>
      </c>
      <c r="G21484">
        <v>0</v>
      </c>
      <c r="H21484">
        <v>5</v>
      </c>
      <c r="I21484" s="3">
        <v>5105.63</v>
      </c>
      <c r="J21484" s="3">
        <v>882.08</v>
      </c>
      <c r="L21484">
        <v>5601</v>
      </c>
      <c r="M21484" t="s">
        <v>46538</v>
      </c>
      <c r="N21484" t="s">
        <v>30</v>
      </c>
      <c r="O21484" t="s">
        <v>31</v>
      </c>
      <c r="P21484" t="str">
        <f>"15207"</f>
        <v>15207</v>
      </c>
    </row>
    <row r="21485" spans="1:16" x14ac:dyDescent="0.25">
      <c r="A21485" t="str">
        <f>"1310184P00259    00"</f>
        <v>1310184P00259    00</v>
      </c>
      <c r="B21485" t="s">
        <v>46536</v>
      </c>
      <c r="C21485" t="s">
        <v>46539</v>
      </c>
      <c r="D21485" t="s">
        <v>20</v>
      </c>
      <c r="E21485" t="s">
        <v>39</v>
      </c>
      <c r="F21485">
        <v>0</v>
      </c>
      <c r="G21485">
        <v>0</v>
      </c>
      <c r="H21485">
        <v>5</v>
      </c>
      <c r="I21485" s="3">
        <v>16089.42</v>
      </c>
      <c r="J21485" s="3">
        <v>2779.66</v>
      </c>
      <c r="L21485">
        <v>5706</v>
      </c>
      <c r="M21485" t="s">
        <v>46538</v>
      </c>
      <c r="N21485" t="s">
        <v>30</v>
      </c>
      <c r="O21485" t="s">
        <v>31</v>
      </c>
      <c r="P21485" t="str">
        <f>"15207"</f>
        <v>15207</v>
      </c>
    </row>
    <row r="21486" spans="1:16" x14ac:dyDescent="0.25">
      <c r="A21486" t="str">
        <f>"1310184P00267    00"</f>
        <v>1310184P00267    00</v>
      </c>
      <c r="B21486" t="s">
        <v>46540</v>
      </c>
      <c r="C21486" t="s">
        <v>46541</v>
      </c>
      <c r="D21486" t="s">
        <v>20</v>
      </c>
      <c r="E21486" t="s">
        <v>39</v>
      </c>
      <c r="F21486">
        <v>0</v>
      </c>
      <c r="G21486">
        <v>0</v>
      </c>
      <c r="H21486">
        <v>2</v>
      </c>
      <c r="I21486" s="3">
        <v>329.5</v>
      </c>
      <c r="J21486" s="3">
        <v>0</v>
      </c>
      <c r="L21486">
        <v>1621</v>
      </c>
      <c r="M21486" t="s">
        <v>46542</v>
      </c>
      <c r="N21486" t="s">
        <v>30</v>
      </c>
      <c r="O21486" t="s">
        <v>31</v>
      </c>
      <c r="P21486" t="str">
        <f>"15207"</f>
        <v>15207</v>
      </c>
    </row>
    <row r="21487" spans="1:16" x14ac:dyDescent="0.25">
      <c r="A21487" t="str">
        <f>"1310184P00296    00"</f>
        <v>1310184P00296    00</v>
      </c>
      <c r="B21487" t="s">
        <v>28638</v>
      </c>
      <c r="C21487" t="s">
        <v>46543</v>
      </c>
      <c r="D21487" t="s">
        <v>20</v>
      </c>
      <c r="E21487" t="s">
        <v>39</v>
      </c>
      <c r="F21487">
        <v>0</v>
      </c>
      <c r="G21487">
        <v>0</v>
      </c>
      <c r="H21487">
        <v>5</v>
      </c>
      <c r="I21487" s="3">
        <v>4103.3</v>
      </c>
      <c r="J21487" s="3">
        <v>738.92</v>
      </c>
      <c r="K21487" t="s">
        <v>28640</v>
      </c>
      <c r="L21487">
        <v>1800</v>
      </c>
      <c r="M21487" t="s">
        <v>28641</v>
      </c>
      <c r="N21487" t="s">
        <v>30</v>
      </c>
      <c r="O21487" t="s">
        <v>31</v>
      </c>
      <c r="P21487" t="str">
        <f>"15217"</f>
        <v>15217</v>
      </c>
    </row>
    <row r="21488" spans="1:16" x14ac:dyDescent="0.25">
      <c r="A21488" t="str">
        <f>"1310184P00300    00"</f>
        <v>1310184P00300    00</v>
      </c>
      <c r="B21488" t="s">
        <v>46544</v>
      </c>
      <c r="C21488" t="s">
        <v>46545</v>
      </c>
      <c r="D21488" t="s">
        <v>20</v>
      </c>
      <c r="E21488" t="s">
        <v>39</v>
      </c>
      <c r="F21488">
        <v>0</v>
      </c>
      <c r="G21488">
        <v>0</v>
      </c>
      <c r="H21488">
        <v>19</v>
      </c>
      <c r="I21488" s="3">
        <v>392.14</v>
      </c>
      <c r="J21488" s="3">
        <v>364.71</v>
      </c>
      <c r="K21488" t="s">
        <v>1037</v>
      </c>
      <c r="L21488">
        <v>4852</v>
      </c>
      <c r="M21488" t="s">
        <v>46546</v>
      </c>
      <c r="N21488" t="s">
        <v>30</v>
      </c>
      <c r="O21488" t="s">
        <v>31</v>
      </c>
      <c r="P21488" t="str">
        <f>"15207"</f>
        <v>15207</v>
      </c>
    </row>
    <row r="21489" spans="1:16" x14ac:dyDescent="0.25">
      <c r="A21489" t="str">
        <f>"1310184R00063    00"</f>
        <v>1310184R00063    00</v>
      </c>
      <c r="B21489" t="s">
        <v>46547</v>
      </c>
      <c r="C21489" t="s">
        <v>46548</v>
      </c>
      <c r="D21489" t="s">
        <v>20</v>
      </c>
      <c r="E21489" t="s">
        <v>39</v>
      </c>
      <c r="F21489">
        <v>0</v>
      </c>
      <c r="G21489">
        <v>0</v>
      </c>
      <c r="H21489">
        <v>2</v>
      </c>
      <c r="I21489" s="3">
        <v>1049.79</v>
      </c>
      <c r="J21489" s="3">
        <v>0</v>
      </c>
      <c r="K21489" t="s">
        <v>46549</v>
      </c>
      <c r="L21489">
        <v>5809</v>
      </c>
      <c r="M21489" t="s">
        <v>18291</v>
      </c>
      <c r="N21489" t="s">
        <v>30</v>
      </c>
      <c r="O21489" t="s">
        <v>31</v>
      </c>
      <c r="P21489" t="str">
        <f>"15207"</f>
        <v>15207</v>
      </c>
    </row>
    <row r="21490" spans="1:16" x14ac:dyDescent="0.25">
      <c r="A21490" t="str">
        <f>"1310184R00116    00"</f>
        <v>1310184R00116    00</v>
      </c>
      <c r="B21490" t="s">
        <v>46550</v>
      </c>
      <c r="C21490" t="s">
        <v>46551</v>
      </c>
      <c r="D21490" t="s">
        <v>20</v>
      </c>
      <c r="E21490" t="s">
        <v>39</v>
      </c>
      <c r="F21490">
        <v>0</v>
      </c>
      <c r="G21490">
        <v>0</v>
      </c>
      <c r="H21490">
        <v>6</v>
      </c>
      <c r="I21490" s="3">
        <v>10774.4</v>
      </c>
      <c r="J21490" s="3">
        <v>2416.48</v>
      </c>
      <c r="L21490">
        <v>1721</v>
      </c>
      <c r="M21490" t="s">
        <v>46552</v>
      </c>
      <c r="N21490" t="s">
        <v>30</v>
      </c>
      <c r="O21490" t="s">
        <v>31</v>
      </c>
      <c r="P21490" t="str">
        <f>"15207"</f>
        <v>15207</v>
      </c>
    </row>
    <row r="21491" spans="1:16" x14ac:dyDescent="0.25">
      <c r="A21491" t="str">
        <f>"1310184R00250    00"</f>
        <v>1310184R00250    00</v>
      </c>
      <c r="B21491" t="s">
        <v>46553</v>
      </c>
      <c r="C21491" t="s">
        <v>46554</v>
      </c>
      <c r="D21491" t="s">
        <v>20</v>
      </c>
      <c r="E21491" t="s">
        <v>39</v>
      </c>
      <c r="F21491">
        <v>0</v>
      </c>
      <c r="G21491">
        <v>0</v>
      </c>
      <c r="H21491">
        <v>19</v>
      </c>
      <c r="I21491" s="3">
        <v>8629.41</v>
      </c>
      <c r="J21491" s="3">
        <v>9568.9699999999993</v>
      </c>
      <c r="K21491" t="s">
        <v>46555</v>
      </c>
      <c r="L21491">
        <v>129</v>
      </c>
      <c r="M21491" t="s">
        <v>44369</v>
      </c>
      <c r="N21491" t="s">
        <v>6603</v>
      </c>
      <c r="O21491" t="s">
        <v>31</v>
      </c>
      <c r="P21491" t="str">
        <f>"15122"</f>
        <v>15122</v>
      </c>
    </row>
    <row r="21492" spans="1:16" x14ac:dyDescent="0.25">
      <c r="A21492" t="str">
        <f>"1310184R00318    00"</f>
        <v>1310184R00318    00</v>
      </c>
      <c r="B21492" t="s">
        <v>46556</v>
      </c>
      <c r="C21492" t="s">
        <v>46557</v>
      </c>
      <c r="D21492" t="s">
        <v>20</v>
      </c>
      <c r="E21492" t="s">
        <v>39</v>
      </c>
      <c r="F21492">
        <v>0</v>
      </c>
      <c r="G21492">
        <v>0</v>
      </c>
      <c r="H21492">
        <v>7</v>
      </c>
      <c r="I21492" s="3">
        <v>8914.1299999999992</v>
      </c>
      <c r="J21492" s="3">
        <v>1661.05</v>
      </c>
      <c r="L21492">
        <v>1835</v>
      </c>
      <c r="M21492" t="s">
        <v>46558</v>
      </c>
      <c r="N21492" t="s">
        <v>30</v>
      </c>
      <c r="O21492" t="s">
        <v>31</v>
      </c>
      <c r="P21492" t="str">
        <f>"15207"</f>
        <v>15207</v>
      </c>
    </row>
    <row r="21493" spans="1:16" x14ac:dyDescent="0.25">
      <c r="A21493" t="str">
        <f>"1310184S00001    00"</f>
        <v>1310184S00001    00</v>
      </c>
      <c r="B21493" t="s">
        <v>46559</v>
      </c>
      <c r="C21493" t="s">
        <v>46560</v>
      </c>
      <c r="D21493" t="s">
        <v>20</v>
      </c>
      <c r="E21493" t="s">
        <v>39</v>
      </c>
      <c r="F21493">
        <v>0</v>
      </c>
      <c r="G21493">
        <v>0</v>
      </c>
      <c r="H21493">
        <v>10</v>
      </c>
      <c r="I21493" s="3">
        <v>3458.63</v>
      </c>
      <c r="J21493" s="3">
        <v>1480.92</v>
      </c>
      <c r="L21493">
        <v>327</v>
      </c>
      <c r="M21493" t="s">
        <v>46561</v>
      </c>
      <c r="N21493" t="s">
        <v>30</v>
      </c>
      <c r="O21493" t="s">
        <v>31</v>
      </c>
      <c r="P21493" t="str">
        <f>"15236"</f>
        <v>15236</v>
      </c>
    </row>
    <row r="21494" spans="1:16" x14ac:dyDescent="0.25">
      <c r="A21494" t="str">
        <f>"1310184S00009    00"</f>
        <v>1310184S00009    00</v>
      </c>
      <c r="B21494" t="s">
        <v>46562</v>
      </c>
      <c r="C21494" t="s">
        <v>46563</v>
      </c>
      <c r="D21494" t="s">
        <v>20</v>
      </c>
      <c r="E21494" t="s">
        <v>39</v>
      </c>
      <c r="F21494">
        <v>0</v>
      </c>
      <c r="G21494">
        <v>0</v>
      </c>
      <c r="H21494">
        <v>2</v>
      </c>
      <c r="I21494" s="3">
        <v>243.96</v>
      </c>
      <c r="J21494" s="3">
        <v>0</v>
      </c>
      <c r="K21494" t="s">
        <v>46564</v>
      </c>
      <c r="L21494">
        <v>707</v>
      </c>
      <c r="M21494" t="s">
        <v>45723</v>
      </c>
      <c r="N21494" t="s">
        <v>6603</v>
      </c>
      <c r="O21494" t="s">
        <v>31</v>
      </c>
      <c r="P21494" t="str">
        <f>"15122"</f>
        <v>15122</v>
      </c>
    </row>
    <row r="21495" spans="1:16" x14ac:dyDescent="0.25">
      <c r="A21495" t="str">
        <f>"1310184S00010    00"</f>
        <v>1310184S00010    00</v>
      </c>
      <c r="B21495" t="s">
        <v>46565</v>
      </c>
      <c r="C21495" t="s">
        <v>46563</v>
      </c>
      <c r="D21495" t="s">
        <v>20</v>
      </c>
      <c r="E21495" t="s">
        <v>39</v>
      </c>
      <c r="F21495">
        <v>0</v>
      </c>
      <c r="G21495">
        <v>0</v>
      </c>
      <c r="H21495">
        <v>1</v>
      </c>
      <c r="I21495" s="3">
        <v>121.98</v>
      </c>
      <c r="J21495" s="3">
        <v>0</v>
      </c>
      <c r="K21495" t="s">
        <v>46566</v>
      </c>
      <c r="L21495">
        <v>707</v>
      </c>
      <c r="M21495" t="s">
        <v>46567</v>
      </c>
      <c r="N21495" t="s">
        <v>6603</v>
      </c>
      <c r="O21495" t="s">
        <v>31</v>
      </c>
      <c r="P21495" t="str">
        <f>"15122"</f>
        <v>15122</v>
      </c>
    </row>
    <row r="21496" spans="1:16" x14ac:dyDescent="0.25">
      <c r="A21496" t="str">
        <f>"1310184S00050    00"</f>
        <v>1310184S00050    00</v>
      </c>
      <c r="B21496" t="s">
        <v>46568</v>
      </c>
      <c r="C21496" t="s">
        <v>46569</v>
      </c>
      <c r="E21496" t="s">
        <v>39</v>
      </c>
      <c r="F21496">
        <v>0</v>
      </c>
      <c r="G21496">
        <v>0</v>
      </c>
      <c r="H21496">
        <v>1</v>
      </c>
      <c r="I21496" s="3">
        <v>329.54</v>
      </c>
      <c r="J21496" s="3">
        <v>0</v>
      </c>
      <c r="L21496">
        <v>1837</v>
      </c>
      <c r="M21496" t="s">
        <v>46558</v>
      </c>
      <c r="N21496" t="s">
        <v>30</v>
      </c>
      <c r="O21496" t="s">
        <v>31</v>
      </c>
      <c r="P21496" t="str">
        <f>"15207"</f>
        <v>15207</v>
      </c>
    </row>
    <row r="21497" spans="1:16" x14ac:dyDescent="0.25">
      <c r="A21497" t="str">
        <f>"1310184S00052    00"</f>
        <v>1310184S00052    00</v>
      </c>
      <c r="B21497" t="s">
        <v>46570</v>
      </c>
      <c r="C21497" t="s">
        <v>46560</v>
      </c>
      <c r="D21497" t="s">
        <v>20</v>
      </c>
      <c r="E21497" t="s">
        <v>39</v>
      </c>
      <c r="F21497">
        <v>0</v>
      </c>
      <c r="G21497">
        <v>0</v>
      </c>
      <c r="H21497">
        <v>19</v>
      </c>
      <c r="I21497" s="3">
        <v>7060.88</v>
      </c>
      <c r="J21497" s="3">
        <v>7616.86</v>
      </c>
      <c r="L21497">
        <v>217</v>
      </c>
      <c r="M21497" t="s">
        <v>46571</v>
      </c>
      <c r="N21497" t="s">
        <v>46572</v>
      </c>
      <c r="O21497" t="s">
        <v>495</v>
      </c>
      <c r="P21497" t="str">
        <f>"92054"</f>
        <v>92054</v>
      </c>
    </row>
    <row r="21498" spans="1:16" x14ac:dyDescent="0.25">
      <c r="A21498" t="str">
        <f>"1310185D00056    00"</f>
        <v>1310185D00056    00</v>
      </c>
      <c r="B21498" t="s">
        <v>46573</v>
      </c>
      <c r="C21498" t="s">
        <v>46102</v>
      </c>
      <c r="D21498" t="s">
        <v>20</v>
      </c>
      <c r="E21498" t="s">
        <v>39</v>
      </c>
      <c r="F21498">
        <v>0</v>
      </c>
      <c r="G21498">
        <v>0</v>
      </c>
      <c r="H21498">
        <v>19</v>
      </c>
      <c r="I21498" s="3">
        <v>6584.83</v>
      </c>
      <c r="J21498" s="3">
        <v>7027.35</v>
      </c>
      <c r="L21498">
        <v>837</v>
      </c>
      <c r="M21498" t="s">
        <v>21742</v>
      </c>
      <c r="N21498" t="s">
        <v>30</v>
      </c>
      <c r="O21498" t="s">
        <v>31</v>
      </c>
      <c r="P21498" t="str">
        <f>"15217"</f>
        <v>15217</v>
      </c>
    </row>
    <row r="21499" spans="1:16" x14ac:dyDescent="0.25">
      <c r="A21499" t="str">
        <f>"1310185D00091    00"</f>
        <v>1310185D00091    00</v>
      </c>
      <c r="B21499" t="s">
        <v>46574</v>
      </c>
      <c r="C21499" t="s">
        <v>46575</v>
      </c>
      <c r="D21499" t="s">
        <v>20</v>
      </c>
      <c r="E21499" t="s">
        <v>39</v>
      </c>
      <c r="F21499">
        <v>0</v>
      </c>
      <c r="G21499">
        <v>0</v>
      </c>
      <c r="H21499">
        <v>1</v>
      </c>
      <c r="I21499" s="3">
        <v>87</v>
      </c>
      <c r="J21499" s="3">
        <v>11.6</v>
      </c>
      <c r="L21499">
        <v>5179</v>
      </c>
      <c r="M21499" t="s">
        <v>21271</v>
      </c>
      <c r="N21499" t="s">
        <v>30</v>
      </c>
      <c r="O21499" t="s">
        <v>31</v>
      </c>
      <c r="P21499" t="str">
        <f>"15207"</f>
        <v>15207</v>
      </c>
    </row>
    <row r="21500" spans="1:16" x14ac:dyDescent="0.25">
      <c r="A21500" t="str">
        <f>"1310185D00103    00"</f>
        <v>1310185D00103    00</v>
      </c>
      <c r="B21500" t="s">
        <v>46576</v>
      </c>
      <c r="C21500" t="s">
        <v>46577</v>
      </c>
      <c r="D21500" t="s">
        <v>20</v>
      </c>
      <c r="E21500" t="s">
        <v>39</v>
      </c>
      <c r="F21500">
        <v>0</v>
      </c>
      <c r="G21500">
        <v>0</v>
      </c>
      <c r="H21500">
        <v>7</v>
      </c>
      <c r="I21500" s="3">
        <v>6950.24</v>
      </c>
      <c r="J21500" s="3">
        <v>45.98</v>
      </c>
      <c r="L21500">
        <v>5143</v>
      </c>
      <c r="M21500" t="s">
        <v>21271</v>
      </c>
      <c r="N21500" t="s">
        <v>30</v>
      </c>
      <c r="O21500" t="s">
        <v>31</v>
      </c>
      <c r="P21500" t="str">
        <f>"15207"</f>
        <v>15207</v>
      </c>
    </row>
    <row r="21501" spans="1:16" x14ac:dyDescent="0.25">
      <c r="A21501" t="str">
        <f>"1310185D00310    00"</f>
        <v>1310185D00310    00</v>
      </c>
      <c r="B21501" t="s">
        <v>46578</v>
      </c>
      <c r="C21501" t="s">
        <v>46149</v>
      </c>
      <c r="D21501" t="s">
        <v>20</v>
      </c>
      <c r="E21501" t="s">
        <v>21</v>
      </c>
      <c r="F21501">
        <v>0</v>
      </c>
      <c r="G21501">
        <v>0</v>
      </c>
      <c r="H21501">
        <v>19</v>
      </c>
      <c r="I21501" s="3">
        <v>8060.41</v>
      </c>
      <c r="J21501" s="3">
        <v>7442.63</v>
      </c>
      <c r="P21501" t="str">
        <f>""</f>
        <v/>
      </c>
    </row>
    <row r="21502" spans="1:16" x14ac:dyDescent="0.25">
      <c r="A21502" t="str">
        <f>"1310185G00100    00"</f>
        <v>1310185G00100    00</v>
      </c>
      <c r="B21502" t="s">
        <v>46579</v>
      </c>
      <c r="C21502" t="s">
        <v>46149</v>
      </c>
      <c r="D21502" t="s">
        <v>20</v>
      </c>
      <c r="E21502" t="s">
        <v>39</v>
      </c>
      <c r="F21502">
        <v>0</v>
      </c>
      <c r="G21502">
        <v>0</v>
      </c>
      <c r="H21502">
        <v>10</v>
      </c>
      <c r="I21502" s="3">
        <v>2385.91</v>
      </c>
      <c r="J21502" s="3">
        <v>1021.6</v>
      </c>
      <c r="L21502">
        <v>4619</v>
      </c>
      <c r="M21502" t="s">
        <v>1451</v>
      </c>
      <c r="N21502" t="s">
        <v>21130</v>
      </c>
      <c r="O21502" t="s">
        <v>31</v>
      </c>
      <c r="P21502" t="str">
        <f>"15120"</f>
        <v>15120</v>
      </c>
    </row>
    <row r="21503" spans="1:16" x14ac:dyDescent="0.25">
      <c r="A21503" t="str">
        <f>"1310185G00202    00"</f>
        <v>1310185G00202    00</v>
      </c>
      <c r="B21503" t="s">
        <v>46435</v>
      </c>
      <c r="C21503" t="s">
        <v>46580</v>
      </c>
      <c r="D21503" t="s">
        <v>20</v>
      </c>
      <c r="E21503" t="s">
        <v>39</v>
      </c>
      <c r="F21503">
        <v>0</v>
      </c>
      <c r="G21503">
        <v>0</v>
      </c>
      <c r="H21503">
        <v>3</v>
      </c>
      <c r="I21503" s="3">
        <v>3828.78</v>
      </c>
      <c r="J21503" s="3">
        <v>1175.53</v>
      </c>
      <c r="L21503">
        <v>939</v>
      </c>
      <c r="M21503" t="s">
        <v>46437</v>
      </c>
      <c r="N21503" t="s">
        <v>30</v>
      </c>
      <c r="O21503" t="s">
        <v>31</v>
      </c>
      <c r="P21503" t="str">
        <f>"15207"</f>
        <v>15207</v>
      </c>
    </row>
    <row r="21504" spans="1:16" x14ac:dyDescent="0.25">
      <c r="A21504" t="str">
        <f>"1310185H00067    00"</f>
        <v>1310185H00067    00</v>
      </c>
      <c r="B21504" t="s">
        <v>46581</v>
      </c>
      <c r="C21504" t="s">
        <v>46582</v>
      </c>
      <c r="D21504" t="s">
        <v>20</v>
      </c>
      <c r="E21504" t="s">
        <v>39</v>
      </c>
      <c r="F21504">
        <v>0</v>
      </c>
      <c r="G21504">
        <v>0</v>
      </c>
      <c r="H21504">
        <v>2</v>
      </c>
      <c r="I21504" s="3">
        <v>1610.92</v>
      </c>
      <c r="J21504" s="3">
        <v>0</v>
      </c>
      <c r="L21504">
        <v>129</v>
      </c>
      <c r="M21504" t="s">
        <v>46583</v>
      </c>
      <c r="N21504" t="s">
        <v>21130</v>
      </c>
      <c r="O21504" t="s">
        <v>31</v>
      </c>
      <c r="P21504" t="str">
        <f>"15120"</f>
        <v>15120</v>
      </c>
    </row>
    <row r="21505" spans="1:16" x14ac:dyDescent="0.25">
      <c r="A21505" t="str">
        <f>"1310185H00188    00"</f>
        <v>1310185H00188    00</v>
      </c>
      <c r="B21505" t="s">
        <v>46584</v>
      </c>
      <c r="C21505" t="s">
        <v>46585</v>
      </c>
      <c r="D21505" t="s">
        <v>20</v>
      </c>
      <c r="E21505" t="s">
        <v>39</v>
      </c>
      <c r="F21505">
        <v>0</v>
      </c>
      <c r="G21505">
        <v>0</v>
      </c>
      <c r="H21505">
        <v>10</v>
      </c>
      <c r="I21505" s="3">
        <v>2274.9699999999998</v>
      </c>
      <c r="J21505" s="3">
        <v>974.08</v>
      </c>
      <c r="L21505">
        <v>4619</v>
      </c>
      <c r="M21505" t="s">
        <v>46586</v>
      </c>
      <c r="N21505" t="s">
        <v>285</v>
      </c>
      <c r="O21505" t="s">
        <v>31</v>
      </c>
      <c r="P21505" t="str">
        <f>"15120"</f>
        <v>15120</v>
      </c>
    </row>
    <row r="21506" spans="1:16" x14ac:dyDescent="0.25">
      <c r="A21506" t="str">
        <f>"1310185H00199    00"</f>
        <v>1310185H00199    00</v>
      </c>
      <c r="B21506" t="s">
        <v>46579</v>
      </c>
      <c r="C21506" t="s">
        <v>46149</v>
      </c>
      <c r="D21506" t="s">
        <v>20</v>
      </c>
      <c r="E21506" t="s">
        <v>39</v>
      </c>
      <c r="F21506">
        <v>0</v>
      </c>
      <c r="G21506">
        <v>0</v>
      </c>
      <c r="H21506">
        <v>10</v>
      </c>
      <c r="I21506" s="3">
        <v>5419.12</v>
      </c>
      <c r="J21506" s="3">
        <v>2320.35</v>
      </c>
      <c r="L21506">
        <v>4619</v>
      </c>
      <c r="M21506" t="s">
        <v>1451</v>
      </c>
      <c r="N21506" t="s">
        <v>21130</v>
      </c>
      <c r="O21506" t="s">
        <v>31</v>
      </c>
      <c r="P21506" t="str">
        <f>"15120"</f>
        <v>15120</v>
      </c>
    </row>
    <row r="21507" spans="1:16" x14ac:dyDescent="0.25">
      <c r="A21507" t="str">
        <f>"1310185H00205    00"</f>
        <v>1310185H00205    00</v>
      </c>
      <c r="B21507" t="s">
        <v>46587</v>
      </c>
      <c r="C21507" t="s">
        <v>46588</v>
      </c>
      <c r="D21507" t="s">
        <v>20</v>
      </c>
      <c r="E21507" t="s">
        <v>39</v>
      </c>
      <c r="F21507">
        <v>0</v>
      </c>
      <c r="G21507">
        <v>0</v>
      </c>
      <c r="H21507">
        <v>1</v>
      </c>
      <c r="I21507" s="3">
        <v>654.24</v>
      </c>
      <c r="J21507" s="3">
        <v>0</v>
      </c>
      <c r="L21507">
        <v>1112</v>
      </c>
      <c r="M21507" t="s">
        <v>46589</v>
      </c>
      <c r="N21507" t="s">
        <v>30</v>
      </c>
      <c r="O21507" t="s">
        <v>31</v>
      </c>
      <c r="P21507" t="str">
        <f t="shared" ref="P21507:P21519" si="269">"15207"</f>
        <v>15207</v>
      </c>
    </row>
    <row r="21508" spans="1:16" x14ac:dyDescent="0.25">
      <c r="A21508" t="str">
        <f>"1310185L00014    00"</f>
        <v>1310185L00014    00</v>
      </c>
      <c r="B21508" t="s">
        <v>46590</v>
      </c>
      <c r="C21508" t="s">
        <v>46591</v>
      </c>
      <c r="D21508" t="s">
        <v>20</v>
      </c>
      <c r="E21508" t="s">
        <v>39</v>
      </c>
      <c r="F21508">
        <v>0</v>
      </c>
      <c r="G21508">
        <v>0</v>
      </c>
      <c r="H21508">
        <v>6</v>
      </c>
      <c r="I21508" s="3">
        <v>1539.67</v>
      </c>
      <c r="J21508" s="3">
        <v>444.83</v>
      </c>
      <c r="K21508" t="s">
        <v>46592</v>
      </c>
      <c r="L21508">
        <v>907</v>
      </c>
      <c r="M21508" t="s">
        <v>46593</v>
      </c>
      <c r="N21508" t="s">
        <v>30</v>
      </c>
      <c r="O21508" t="s">
        <v>31</v>
      </c>
      <c r="P21508" t="str">
        <f t="shared" si="269"/>
        <v>15207</v>
      </c>
    </row>
    <row r="21509" spans="1:16" x14ac:dyDescent="0.25">
      <c r="A21509" t="str">
        <f>"1310185L00046    00"</f>
        <v>1310185L00046    00</v>
      </c>
      <c r="B21509" t="s">
        <v>46594</v>
      </c>
      <c r="C21509" t="s">
        <v>46595</v>
      </c>
      <c r="D21509" t="s">
        <v>20</v>
      </c>
      <c r="E21509" t="s">
        <v>39</v>
      </c>
      <c r="F21509">
        <v>0</v>
      </c>
      <c r="G21509">
        <v>0</v>
      </c>
      <c r="H21509">
        <v>1</v>
      </c>
      <c r="I21509" s="3">
        <v>785.27</v>
      </c>
      <c r="J21509" s="3">
        <v>0</v>
      </c>
      <c r="L21509">
        <v>1711</v>
      </c>
      <c r="M21509" t="s">
        <v>46596</v>
      </c>
      <c r="N21509" t="s">
        <v>30</v>
      </c>
      <c r="O21509" t="s">
        <v>31</v>
      </c>
      <c r="P21509" t="str">
        <f t="shared" si="269"/>
        <v>15207</v>
      </c>
    </row>
    <row r="21510" spans="1:16" x14ac:dyDescent="0.25">
      <c r="A21510" t="str">
        <f>"1310185L00048    00"</f>
        <v>1310185L00048    00</v>
      </c>
      <c r="B21510" t="s">
        <v>46597</v>
      </c>
      <c r="C21510" t="s">
        <v>46598</v>
      </c>
      <c r="D21510" t="s">
        <v>20</v>
      </c>
      <c r="E21510" t="s">
        <v>39</v>
      </c>
      <c r="F21510">
        <v>0</v>
      </c>
      <c r="G21510">
        <v>0</v>
      </c>
      <c r="H21510">
        <v>4</v>
      </c>
      <c r="I21510" s="3">
        <v>1886.12</v>
      </c>
      <c r="J21510" s="3">
        <v>298.77</v>
      </c>
      <c r="L21510">
        <v>1008</v>
      </c>
      <c r="M21510" t="s">
        <v>46599</v>
      </c>
      <c r="N21510" t="s">
        <v>30</v>
      </c>
      <c r="O21510" t="s">
        <v>31</v>
      </c>
      <c r="P21510" t="str">
        <f t="shared" si="269"/>
        <v>15207</v>
      </c>
    </row>
    <row r="21511" spans="1:16" x14ac:dyDescent="0.25">
      <c r="A21511" t="str">
        <f>"1310185L00058    00"</f>
        <v>1310185L00058    00</v>
      </c>
      <c r="B21511" t="s">
        <v>46600</v>
      </c>
      <c r="C21511" t="s">
        <v>46601</v>
      </c>
      <c r="E21511" t="s">
        <v>39</v>
      </c>
      <c r="F21511">
        <v>0</v>
      </c>
      <c r="G21511">
        <v>0</v>
      </c>
      <c r="H21511">
        <v>4</v>
      </c>
      <c r="I21511" s="3">
        <v>2082.98</v>
      </c>
      <c r="J21511" s="3">
        <v>522.4</v>
      </c>
      <c r="L21511">
        <v>444</v>
      </c>
      <c r="M21511" t="s">
        <v>46049</v>
      </c>
      <c r="N21511" t="s">
        <v>30</v>
      </c>
      <c r="O21511" t="s">
        <v>31</v>
      </c>
      <c r="P21511" t="str">
        <f t="shared" si="269"/>
        <v>15207</v>
      </c>
    </row>
    <row r="21512" spans="1:16" x14ac:dyDescent="0.25">
      <c r="A21512" t="str">
        <f>"1310185L00101    00"</f>
        <v>1310185L00101    00</v>
      </c>
      <c r="B21512" t="s">
        <v>46602</v>
      </c>
      <c r="C21512" t="s">
        <v>46603</v>
      </c>
      <c r="D21512" t="s">
        <v>20</v>
      </c>
      <c r="E21512" t="s">
        <v>39</v>
      </c>
      <c r="F21512">
        <v>0</v>
      </c>
      <c r="G21512">
        <v>0</v>
      </c>
      <c r="H21512">
        <v>2</v>
      </c>
      <c r="I21512" s="3">
        <v>954.05</v>
      </c>
      <c r="J21512" s="3">
        <v>0</v>
      </c>
      <c r="L21512">
        <v>915</v>
      </c>
      <c r="M21512" t="s">
        <v>21739</v>
      </c>
      <c r="N21512" t="s">
        <v>30</v>
      </c>
      <c r="O21512" t="s">
        <v>31</v>
      </c>
      <c r="P21512" t="str">
        <f t="shared" si="269"/>
        <v>15207</v>
      </c>
    </row>
    <row r="21513" spans="1:16" x14ac:dyDescent="0.25">
      <c r="A21513" t="str">
        <f>"1310185M00040    00"</f>
        <v>1310185M00040    00</v>
      </c>
      <c r="B21513" t="s">
        <v>46604</v>
      </c>
      <c r="C21513" t="s">
        <v>46605</v>
      </c>
      <c r="E21513" t="s">
        <v>39</v>
      </c>
      <c r="F21513">
        <v>0</v>
      </c>
      <c r="G21513">
        <v>0</v>
      </c>
      <c r="H21513">
        <v>1</v>
      </c>
      <c r="I21513" s="3">
        <v>772.85</v>
      </c>
      <c r="J21513" s="3">
        <v>173.89</v>
      </c>
      <c r="L21513">
        <v>5387</v>
      </c>
      <c r="M21513" t="s">
        <v>46606</v>
      </c>
      <c r="N21513" t="s">
        <v>30</v>
      </c>
      <c r="O21513" t="s">
        <v>31</v>
      </c>
      <c r="P21513" t="str">
        <f t="shared" si="269"/>
        <v>15207</v>
      </c>
    </row>
    <row r="21514" spans="1:16" x14ac:dyDescent="0.25">
      <c r="A21514" t="str">
        <f>"1310185M00042    00"</f>
        <v>1310185M00042    00</v>
      </c>
      <c r="B21514" t="s">
        <v>46607</v>
      </c>
      <c r="C21514" t="s">
        <v>46608</v>
      </c>
      <c r="D21514" t="s">
        <v>20</v>
      </c>
      <c r="E21514" t="s">
        <v>39</v>
      </c>
      <c r="F21514">
        <v>0</v>
      </c>
      <c r="G21514">
        <v>0</v>
      </c>
      <c r="H21514">
        <v>6</v>
      </c>
      <c r="I21514" s="3">
        <v>5161.87</v>
      </c>
      <c r="J21514" s="3">
        <v>1277.72</v>
      </c>
      <c r="L21514">
        <v>5383</v>
      </c>
      <c r="M21514" t="s">
        <v>46606</v>
      </c>
      <c r="N21514" t="s">
        <v>30</v>
      </c>
      <c r="O21514" t="s">
        <v>31</v>
      </c>
      <c r="P21514" t="str">
        <f t="shared" si="269"/>
        <v>15207</v>
      </c>
    </row>
    <row r="21515" spans="1:16" x14ac:dyDescent="0.25">
      <c r="A21515" t="str">
        <f>"1310185M00108    00"</f>
        <v>1310185M00108    00</v>
      </c>
      <c r="B21515" t="s">
        <v>46609</v>
      </c>
      <c r="C21515" t="s">
        <v>46610</v>
      </c>
      <c r="D21515" t="s">
        <v>20</v>
      </c>
      <c r="E21515" t="s">
        <v>39</v>
      </c>
      <c r="F21515">
        <v>0</v>
      </c>
      <c r="G21515">
        <v>0</v>
      </c>
      <c r="H21515">
        <v>2</v>
      </c>
      <c r="I21515" s="3">
        <v>2625.1</v>
      </c>
      <c r="J21515" s="3">
        <v>0</v>
      </c>
      <c r="K21515" t="s">
        <v>46611</v>
      </c>
      <c r="L21515">
        <v>1100</v>
      </c>
      <c r="M21515" t="s">
        <v>46417</v>
      </c>
      <c r="N21515" t="s">
        <v>30</v>
      </c>
      <c r="O21515" t="s">
        <v>31</v>
      </c>
      <c r="P21515" t="str">
        <f t="shared" si="269"/>
        <v>15207</v>
      </c>
    </row>
    <row r="21516" spans="1:16" x14ac:dyDescent="0.25">
      <c r="A21516" t="str">
        <f>"1310185M00164    00"</f>
        <v>1310185M00164    00</v>
      </c>
      <c r="B21516" t="s">
        <v>46612</v>
      </c>
      <c r="C21516" t="s">
        <v>46613</v>
      </c>
      <c r="D21516" t="s">
        <v>20</v>
      </c>
      <c r="E21516" t="s">
        <v>39</v>
      </c>
      <c r="F21516">
        <v>0</v>
      </c>
      <c r="G21516">
        <v>0</v>
      </c>
      <c r="H21516">
        <v>2</v>
      </c>
      <c r="I21516" s="3">
        <v>746.95</v>
      </c>
      <c r="J21516" s="3">
        <v>0</v>
      </c>
      <c r="L21516">
        <v>1033</v>
      </c>
      <c r="M21516" t="s">
        <v>21739</v>
      </c>
      <c r="N21516" t="s">
        <v>30</v>
      </c>
      <c r="O21516" t="s">
        <v>31</v>
      </c>
      <c r="P21516" t="str">
        <f t="shared" si="269"/>
        <v>15207</v>
      </c>
    </row>
    <row r="21517" spans="1:16" x14ac:dyDescent="0.25">
      <c r="A21517" t="str">
        <f>"1310185M00170    00"</f>
        <v>1310185M00170    00</v>
      </c>
      <c r="B21517" t="s">
        <v>46614</v>
      </c>
      <c r="C21517" t="s">
        <v>46615</v>
      </c>
      <c r="D21517" t="s">
        <v>20</v>
      </c>
      <c r="E21517" t="s">
        <v>39</v>
      </c>
      <c r="F21517">
        <v>0</v>
      </c>
      <c r="G21517">
        <v>0</v>
      </c>
      <c r="H21517">
        <v>8</v>
      </c>
      <c r="I21517" s="3">
        <v>3978.65</v>
      </c>
      <c r="J21517" s="3">
        <v>1842.57</v>
      </c>
      <c r="L21517">
        <v>1008</v>
      </c>
      <c r="M21517" t="s">
        <v>21739</v>
      </c>
      <c r="N21517" t="s">
        <v>30</v>
      </c>
      <c r="O21517" t="s">
        <v>31</v>
      </c>
      <c r="P21517" t="str">
        <f t="shared" si="269"/>
        <v>15207</v>
      </c>
    </row>
    <row r="21518" spans="1:16" x14ac:dyDescent="0.25">
      <c r="A21518" t="str">
        <f>"1310185M00181    00"</f>
        <v>1310185M00181    00</v>
      </c>
      <c r="B21518" t="s">
        <v>46616</v>
      </c>
      <c r="C21518" t="s">
        <v>46617</v>
      </c>
      <c r="D21518" t="s">
        <v>20</v>
      </c>
      <c r="E21518" t="s">
        <v>39</v>
      </c>
      <c r="F21518">
        <v>0</v>
      </c>
      <c r="G21518">
        <v>0</v>
      </c>
      <c r="H21518">
        <v>1</v>
      </c>
      <c r="I21518" s="3">
        <v>189</v>
      </c>
      <c r="J21518" s="3">
        <v>0</v>
      </c>
      <c r="L21518">
        <v>1024</v>
      </c>
      <c r="M21518" t="s">
        <v>21739</v>
      </c>
      <c r="N21518" t="s">
        <v>30</v>
      </c>
      <c r="P21518" t="str">
        <f t="shared" si="269"/>
        <v>15207</v>
      </c>
    </row>
    <row r="21519" spans="1:16" x14ac:dyDescent="0.25">
      <c r="A21519" t="str">
        <f>"1310185M00196    00"</f>
        <v>1310185M00196    00</v>
      </c>
      <c r="B21519" t="s">
        <v>46618</v>
      </c>
      <c r="C21519" t="s">
        <v>46619</v>
      </c>
      <c r="D21519" t="s">
        <v>20</v>
      </c>
      <c r="E21519" t="s">
        <v>39</v>
      </c>
      <c r="F21519">
        <v>0</v>
      </c>
      <c r="G21519">
        <v>0</v>
      </c>
      <c r="H21519">
        <v>3</v>
      </c>
      <c r="I21519" s="3">
        <v>1554.05</v>
      </c>
      <c r="J21519" s="3">
        <v>115.44</v>
      </c>
      <c r="K21519" t="s">
        <v>46620</v>
      </c>
      <c r="L21519">
        <v>1060</v>
      </c>
      <c r="M21519" t="s">
        <v>21739</v>
      </c>
      <c r="N21519" t="s">
        <v>30</v>
      </c>
      <c r="O21519" t="s">
        <v>31</v>
      </c>
      <c r="P21519" t="str">
        <f t="shared" si="269"/>
        <v>15207</v>
      </c>
    </row>
    <row r="21520" spans="1:16" x14ac:dyDescent="0.25">
      <c r="A21520" t="str">
        <f>"1310185M00221    00"</f>
        <v>1310185M00221    00</v>
      </c>
      <c r="B21520" t="s">
        <v>46621</v>
      </c>
      <c r="C21520" t="s">
        <v>46622</v>
      </c>
      <c r="E21520" t="s">
        <v>39</v>
      </c>
      <c r="F21520">
        <v>0</v>
      </c>
      <c r="G21520">
        <v>0</v>
      </c>
      <c r="H21520">
        <v>1</v>
      </c>
      <c r="I21520" s="3">
        <v>26.98</v>
      </c>
      <c r="J21520" s="3">
        <v>0</v>
      </c>
      <c r="K21520" t="s">
        <v>46623</v>
      </c>
      <c r="L21520">
        <v>8081</v>
      </c>
      <c r="M21520" t="s">
        <v>46624</v>
      </c>
      <c r="N21520" t="s">
        <v>5166</v>
      </c>
      <c r="O21520" t="s">
        <v>1413</v>
      </c>
      <c r="P21520" t="str">
        <f>"27617"</f>
        <v>27617</v>
      </c>
    </row>
    <row r="21521" spans="1:16" x14ac:dyDescent="0.25">
      <c r="A21521" t="str">
        <f>"1310185M00224    00"</f>
        <v>1310185M00224    00</v>
      </c>
      <c r="B21521" t="s">
        <v>46625</v>
      </c>
      <c r="C21521" t="s">
        <v>46626</v>
      </c>
      <c r="E21521" t="s">
        <v>39</v>
      </c>
      <c r="F21521">
        <v>0</v>
      </c>
      <c r="G21521">
        <v>0</v>
      </c>
      <c r="H21521">
        <v>1</v>
      </c>
      <c r="I21521" s="3">
        <v>205.31</v>
      </c>
      <c r="J21521" s="3">
        <v>0</v>
      </c>
      <c r="L21521">
        <v>1122</v>
      </c>
      <c r="M21521" t="s">
        <v>21739</v>
      </c>
      <c r="N21521" t="s">
        <v>30</v>
      </c>
      <c r="O21521" t="s">
        <v>31</v>
      </c>
      <c r="P21521" t="str">
        <f>"15207"</f>
        <v>15207</v>
      </c>
    </row>
    <row r="21522" spans="1:16" x14ac:dyDescent="0.25">
      <c r="A21522" t="str">
        <f>"1310185M00238    00"</f>
        <v>1310185M00238    00</v>
      </c>
      <c r="B21522" t="s">
        <v>22139</v>
      </c>
      <c r="C21522" t="s">
        <v>46627</v>
      </c>
      <c r="D21522" t="s">
        <v>20</v>
      </c>
      <c r="E21522" t="s">
        <v>39</v>
      </c>
      <c r="F21522">
        <v>0</v>
      </c>
      <c r="G21522">
        <v>0</v>
      </c>
      <c r="H21522">
        <v>1</v>
      </c>
      <c r="I21522" s="3">
        <v>608.02</v>
      </c>
      <c r="J21522" s="3">
        <v>0</v>
      </c>
      <c r="K21522" t="s">
        <v>29751</v>
      </c>
      <c r="L21522">
        <v>154</v>
      </c>
      <c r="M21522" t="s">
        <v>22141</v>
      </c>
      <c r="N21522" t="s">
        <v>30</v>
      </c>
      <c r="O21522" t="s">
        <v>31</v>
      </c>
      <c r="P21522" t="str">
        <f>"15236"</f>
        <v>15236</v>
      </c>
    </row>
    <row r="21523" spans="1:16" x14ac:dyDescent="0.25">
      <c r="A21523" t="str">
        <f>"1310185M00268    00"</f>
        <v>1310185M00268    00</v>
      </c>
      <c r="B21523" t="s">
        <v>46628</v>
      </c>
      <c r="C21523" t="s">
        <v>46629</v>
      </c>
      <c r="E21523" t="s">
        <v>39</v>
      </c>
      <c r="F21523">
        <v>0</v>
      </c>
      <c r="G21523">
        <v>0</v>
      </c>
      <c r="H21523">
        <v>2</v>
      </c>
      <c r="I21523" s="3">
        <v>1374.44</v>
      </c>
      <c r="J21523" s="3">
        <v>146.31</v>
      </c>
      <c r="L21523">
        <v>5600</v>
      </c>
      <c r="M21523" t="s">
        <v>46630</v>
      </c>
      <c r="N21523" t="s">
        <v>30</v>
      </c>
      <c r="O21523" t="s">
        <v>31</v>
      </c>
      <c r="P21523" t="str">
        <f t="shared" ref="P21523:P21528" si="270">"15207"</f>
        <v>15207</v>
      </c>
    </row>
    <row r="21524" spans="1:16" x14ac:dyDescent="0.25">
      <c r="A21524" t="str">
        <f>"1310185M00269    00"</f>
        <v>1310185M00269    00</v>
      </c>
      <c r="B21524" t="s">
        <v>46628</v>
      </c>
      <c r="C21524" t="s">
        <v>46631</v>
      </c>
      <c r="E21524" t="s">
        <v>39</v>
      </c>
      <c r="F21524">
        <v>0</v>
      </c>
      <c r="G21524">
        <v>0</v>
      </c>
      <c r="H21524">
        <v>2</v>
      </c>
      <c r="I21524" s="3">
        <v>41.96</v>
      </c>
      <c r="J21524" s="3">
        <v>4.2</v>
      </c>
      <c r="K21524" t="s">
        <v>46632</v>
      </c>
      <c r="L21524">
        <v>5600</v>
      </c>
      <c r="M21524" t="s">
        <v>46630</v>
      </c>
      <c r="N21524" t="s">
        <v>30</v>
      </c>
      <c r="O21524" t="s">
        <v>31</v>
      </c>
      <c r="P21524" t="str">
        <f t="shared" si="270"/>
        <v>15207</v>
      </c>
    </row>
    <row r="21525" spans="1:16" x14ac:dyDescent="0.25">
      <c r="A21525" t="str">
        <f>"1310185M00306    00"</f>
        <v>1310185M00306    00</v>
      </c>
      <c r="B21525" t="s">
        <v>46633</v>
      </c>
      <c r="C21525" t="s">
        <v>46634</v>
      </c>
      <c r="D21525" t="s">
        <v>20</v>
      </c>
      <c r="E21525" t="s">
        <v>39</v>
      </c>
      <c r="F21525">
        <v>0</v>
      </c>
      <c r="G21525">
        <v>0</v>
      </c>
      <c r="H21525">
        <v>1</v>
      </c>
      <c r="I21525" s="3">
        <v>252.42</v>
      </c>
      <c r="J21525" s="3">
        <v>0</v>
      </c>
      <c r="L21525">
        <v>5606</v>
      </c>
      <c r="M21525" t="s">
        <v>46606</v>
      </c>
      <c r="N21525" t="s">
        <v>30</v>
      </c>
      <c r="O21525" t="s">
        <v>31</v>
      </c>
      <c r="P21525" t="str">
        <f t="shared" si="270"/>
        <v>15207</v>
      </c>
    </row>
    <row r="21526" spans="1:16" x14ac:dyDescent="0.25">
      <c r="A21526" t="str">
        <f>"1310185R00059    00"</f>
        <v>1310185R00059    00</v>
      </c>
      <c r="B21526" t="s">
        <v>46635</v>
      </c>
      <c r="C21526" t="s">
        <v>46636</v>
      </c>
      <c r="E21526" t="s">
        <v>39</v>
      </c>
      <c r="F21526">
        <v>0</v>
      </c>
      <c r="G21526">
        <v>0</v>
      </c>
      <c r="H21526">
        <v>14</v>
      </c>
      <c r="I21526" s="3">
        <v>603</v>
      </c>
      <c r="J21526" s="3">
        <v>593.41999999999996</v>
      </c>
      <c r="L21526">
        <v>921</v>
      </c>
      <c r="M21526" t="s">
        <v>45884</v>
      </c>
      <c r="N21526" t="s">
        <v>30</v>
      </c>
      <c r="O21526" t="s">
        <v>31</v>
      </c>
      <c r="P21526" t="str">
        <f t="shared" si="270"/>
        <v>15207</v>
      </c>
    </row>
    <row r="21527" spans="1:16" x14ac:dyDescent="0.25">
      <c r="A21527" t="str">
        <f>"1310185R00061    00"</f>
        <v>1310185R00061    00</v>
      </c>
      <c r="B21527" t="s">
        <v>46635</v>
      </c>
      <c r="C21527" t="s">
        <v>46637</v>
      </c>
      <c r="E21527" t="s">
        <v>39</v>
      </c>
      <c r="F21527">
        <v>0</v>
      </c>
      <c r="G21527">
        <v>0</v>
      </c>
      <c r="H21527">
        <v>14</v>
      </c>
      <c r="I21527" s="3">
        <v>616.04</v>
      </c>
      <c r="J21527" s="3">
        <v>744.14</v>
      </c>
      <c r="L21527">
        <v>921</v>
      </c>
      <c r="M21527" t="s">
        <v>45884</v>
      </c>
      <c r="N21527" t="s">
        <v>30</v>
      </c>
      <c r="O21527" t="s">
        <v>31</v>
      </c>
      <c r="P21527" t="str">
        <f t="shared" si="270"/>
        <v>15207</v>
      </c>
    </row>
    <row r="21528" spans="1:16" x14ac:dyDescent="0.25">
      <c r="A21528" t="str">
        <f>"1310185R00063    00"</f>
        <v>1310185R00063    00</v>
      </c>
      <c r="B21528" t="s">
        <v>46635</v>
      </c>
      <c r="C21528" t="s">
        <v>46637</v>
      </c>
      <c r="E21528" t="s">
        <v>39</v>
      </c>
      <c r="F21528">
        <v>0</v>
      </c>
      <c r="G21528">
        <v>0</v>
      </c>
      <c r="H21528">
        <v>14</v>
      </c>
      <c r="I21528" s="3">
        <v>566.75</v>
      </c>
      <c r="J21528" s="3">
        <v>673.07</v>
      </c>
      <c r="L21528">
        <v>921</v>
      </c>
      <c r="M21528" t="s">
        <v>45884</v>
      </c>
      <c r="N21528" t="s">
        <v>30</v>
      </c>
      <c r="O21528" t="s">
        <v>31</v>
      </c>
      <c r="P21528" t="str">
        <f t="shared" si="270"/>
        <v>15207</v>
      </c>
    </row>
    <row r="21529" spans="1:16" x14ac:dyDescent="0.25">
      <c r="A21529" t="str">
        <f>"1310185R00065    00"</f>
        <v>1310185R00065    00</v>
      </c>
      <c r="B21529" t="s">
        <v>46638</v>
      </c>
      <c r="C21529" t="s">
        <v>46637</v>
      </c>
      <c r="D21529" t="s">
        <v>20</v>
      </c>
      <c r="E21529" t="s">
        <v>39</v>
      </c>
      <c r="F21529">
        <v>0</v>
      </c>
      <c r="G21529">
        <v>0</v>
      </c>
      <c r="H21529">
        <v>10</v>
      </c>
      <c r="I21529" s="3">
        <v>3348.78</v>
      </c>
      <c r="J21529" s="3">
        <v>1932.32</v>
      </c>
      <c r="L21529">
        <v>734</v>
      </c>
      <c r="M21529" t="s">
        <v>20161</v>
      </c>
      <c r="N21529" t="s">
        <v>30</v>
      </c>
      <c r="O21529" t="s">
        <v>31</v>
      </c>
      <c r="P21529" t="str">
        <f>"15212"</f>
        <v>15212</v>
      </c>
    </row>
    <row r="21530" spans="1:16" x14ac:dyDescent="0.25">
      <c r="A21530" t="str">
        <f>"1310185R00090    00"</f>
        <v>1310185R00090    00</v>
      </c>
      <c r="B21530" t="s">
        <v>46639</v>
      </c>
      <c r="C21530" t="s">
        <v>46526</v>
      </c>
      <c r="D21530" t="s">
        <v>20</v>
      </c>
      <c r="E21530" t="s">
        <v>39</v>
      </c>
      <c r="F21530">
        <v>0</v>
      </c>
      <c r="G21530">
        <v>0</v>
      </c>
      <c r="H21530">
        <v>1</v>
      </c>
      <c r="I21530" s="3">
        <v>19.059999999999999</v>
      </c>
      <c r="J21530" s="3">
        <v>0</v>
      </c>
      <c r="K21530" t="s">
        <v>46640</v>
      </c>
      <c r="L21530">
        <v>1021</v>
      </c>
      <c r="M21530" t="s">
        <v>46641</v>
      </c>
      <c r="N21530" t="s">
        <v>10618</v>
      </c>
      <c r="O21530" t="s">
        <v>200</v>
      </c>
      <c r="P21530" t="str">
        <f>"12205"</f>
        <v>12205</v>
      </c>
    </row>
    <row r="21531" spans="1:16" x14ac:dyDescent="0.25">
      <c r="A21531" t="str">
        <f>"1310185R00091    00"</f>
        <v>1310185R00091    00</v>
      </c>
      <c r="B21531" t="s">
        <v>46639</v>
      </c>
      <c r="C21531" t="s">
        <v>46526</v>
      </c>
      <c r="D21531" t="s">
        <v>20</v>
      </c>
      <c r="E21531" t="s">
        <v>39</v>
      </c>
      <c r="F21531">
        <v>0</v>
      </c>
      <c r="G21531">
        <v>0</v>
      </c>
      <c r="H21531">
        <v>1</v>
      </c>
      <c r="I21531" s="3">
        <v>36.22</v>
      </c>
      <c r="J21531" s="3">
        <v>0</v>
      </c>
      <c r="K21531" t="s">
        <v>46640</v>
      </c>
      <c r="L21531">
        <v>1021</v>
      </c>
      <c r="M21531" t="s">
        <v>46641</v>
      </c>
      <c r="N21531" t="s">
        <v>10618</v>
      </c>
      <c r="O21531" t="s">
        <v>200</v>
      </c>
      <c r="P21531" t="str">
        <f>"12205"</f>
        <v>12205</v>
      </c>
    </row>
    <row r="21532" spans="1:16" x14ac:dyDescent="0.25">
      <c r="A21532" t="str">
        <f>"1310185R00093    00"</f>
        <v>1310185R00093    00</v>
      </c>
      <c r="B21532" t="s">
        <v>46639</v>
      </c>
      <c r="C21532" t="s">
        <v>46526</v>
      </c>
      <c r="D21532" t="s">
        <v>20</v>
      </c>
      <c r="E21532" t="s">
        <v>39</v>
      </c>
      <c r="F21532">
        <v>0</v>
      </c>
      <c r="G21532">
        <v>0</v>
      </c>
      <c r="H21532">
        <v>1</v>
      </c>
      <c r="I21532" s="3">
        <v>19.059999999999999</v>
      </c>
      <c r="J21532" s="3">
        <v>0</v>
      </c>
      <c r="K21532" t="s">
        <v>46640</v>
      </c>
      <c r="L21532">
        <v>1021</v>
      </c>
      <c r="M21532" t="s">
        <v>46641</v>
      </c>
      <c r="N21532" t="s">
        <v>10618</v>
      </c>
      <c r="O21532" t="s">
        <v>200</v>
      </c>
      <c r="P21532" t="str">
        <f>"12205"</f>
        <v>12205</v>
      </c>
    </row>
    <row r="21533" spans="1:16" x14ac:dyDescent="0.25">
      <c r="A21533" t="str">
        <f>"1310185S00003    00"</f>
        <v>1310185S00003    00</v>
      </c>
      <c r="B21533" t="s">
        <v>46635</v>
      </c>
      <c r="C21533" t="s">
        <v>46636</v>
      </c>
      <c r="E21533" t="s">
        <v>39</v>
      </c>
      <c r="F21533">
        <v>0</v>
      </c>
      <c r="G21533">
        <v>0</v>
      </c>
      <c r="H21533">
        <v>12</v>
      </c>
      <c r="I21533" s="3">
        <v>15577.33</v>
      </c>
      <c r="J21533" s="3">
        <v>18457.88</v>
      </c>
      <c r="L21533">
        <v>921</v>
      </c>
      <c r="M21533" t="s">
        <v>45884</v>
      </c>
      <c r="N21533" t="s">
        <v>30</v>
      </c>
      <c r="O21533" t="s">
        <v>31</v>
      </c>
      <c r="P21533" t="str">
        <f>"15207"</f>
        <v>15207</v>
      </c>
    </row>
    <row r="21534" spans="1:16" x14ac:dyDescent="0.25">
      <c r="A21534" t="str">
        <f>"1310185S00012    00"</f>
        <v>1310185S00012    00</v>
      </c>
      <c r="B21534" t="s">
        <v>46642</v>
      </c>
      <c r="C21534" t="s">
        <v>46643</v>
      </c>
      <c r="D21534" t="s">
        <v>20</v>
      </c>
      <c r="E21534" t="s">
        <v>39</v>
      </c>
      <c r="F21534">
        <v>0</v>
      </c>
      <c r="G21534">
        <v>0</v>
      </c>
      <c r="H21534">
        <v>1</v>
      </c>
      <c r="I21534" s="3">
        <v>1194.43</v>
      </c>
      <c r="J21534" s="3">
        <v>0</v>
      </c>
      <c r="L21534">
        <v>3617</v>
      </c>
      <c r="M21534" t="s">
        <v>3613</v>
      </c>
      <c r="N21534" t="s">
        <v>30</v>
      </c>
      <c r="O21534" t="s">
        <v>31</v>
      </c>
      <c r="P21534" t="str">
        <f>"15213"</f>
        <v>15213</v>
      </c>
    </row>
    <row r="21535" spans="1:16" x14ac:dyDescent="0.25">
      <c r="A21535" t="str">
        <f>"1310185S00014    00"</f>
        <v>1310185S00014    00</v>
      </c>
      <c r="B21535" t="s">
        <v>46644</v>
      </c>
      <c r="C21535" t="s">
        <v>46645</v>
      </c>
      <c r="D21535" t="s">
        <v>20</v>
      </c>
      <c r="E21535" t="s">
        <v>39</v>
      </c>
      <c r="F21535">
        <v>0</v>
      </c>
      <c r="G21535">
        <v>0</v>
      </c>
      <c r="H21535">
        <v>4</v>
      </c>
      <c r="I21535" s="3">
        <v>4277.47</v>
      </c>
      <c r="J21535" s="3">
        <v>526.04</v>
      </c>
      <c r="L21535">
        <v>924</v>
      </c>
      <c r="M21535" t="s">
        <v>45884</v>
      </c>
      <c r="N21535" t="s">
        <v>30</v>
      </c>
      <c r="O21535" t="s">
        <v>31</v>
      </c>
      <c r="P21535" t="str">
        <f>"15207"</f>
        <v>15207</v>
      </c>
    </row>
    <row r="21536" spans="1:16" x14ac:dyDescent="0.25">
      <c r="A21536" t="str">
        <f>"1310185S00030    00"</f>
        <v>1310185S00030    00</v>
      </c>
      <c r="B21536" t="s">
        <v>46521</v>
      </c>
      <c r="C21536" t="s">
        <v>46646</v>
      </c>
      <c r="D21536" t="s">
        <v>20</v>
      </c>
      <c r="E21536" t="s">
        <v>39</v>
      </c>
      <c r="F21536">
        <v>0</v>
      </c>
      <c r="G21536">
        <v>0</v>
      </c>
      <c r="H21536">
        <v>4</v>
      </c>
      <c r="I21536" s="3">
        <v>2828.99</v>
      </c>
      <c r="J21536" s="3">
        <v>354.26</v>
      </c>
      <c r="L21536">
        <v>5740</v>
      </c>
      <c r="M21536" t="s">
        <v>46523</v>
      </c>
      <c r="N21536" t="s">
        <v>30</v>
      </c>
      <c r="O21536" t="s">
        <v>31</v>
      </c>
      <c r="P21536" t="str">
        <f>"15207"</f>
        <v>15207</v>
      </c>
    </row>
    <row r="21537" spans="1:16" x14ac:dyDescent="0.25">
      <c r="A21537" t="str">
        <f>"1310185S00039    00"</f>
        <v>1310185S00039    00</v>
      </c>
      <c r="B21537" t="s">
        <v>46647</v>
      </c>
      <c r="C21537" t="s">
        <v>46648</v>
      </c>
      <c r="D21537" t="s">
        <v>20</v>
      </c>
      <c r="E21537" t="s">
        <v>39</v>
      </c>
      <c r="F21537">
        <v>0</v>
      </c>
      <c r="G21537">
        <v>0</v>
      </c>
      <c r="H21537">
        <v>3</v>
      </c>
      <c r="I21537" s="3">
        <v>2285.27</v>
      </c>
      <c r="J21537" s="3">
        <v>187.09</v>
      </c>
      <c r="L21537">
        <v>5722</v>
      </c>
      <c r="M21537" t="s">
        <v>46523</v>
      </c>
      <c r="N21537" t="s">
        <v>30</v>
      </c>
      <c r="O21537" t="s">
        <v>31</v>
      </c>
      <c r="P21537" t="str">
        <f>"15207"</f>
        <v>15207</v>
      </c>
    </row>
    <row r="21538" spans="1:16" x14ac:dyDescent="0.25">
      <c r="A21538" t="str">
        <f>"1310185S00041    00"</f>
        <v>1310185S00041    00</v>
      </c>
      <c r="B21538" t="s">
        <v>46649</v>
      </c>
      <c r="C21538" t="s">
        <v>46650</v>
      </c>
      <c r="D21538" t="s">
        <v>20</v>
      </c>
      <c r="E21538" t="s">
        <v>39</v>
      </c>
      <c r="F21538">
        <v>0</v>
      </c>
      <c r="G21538">
        <v>0</v>
      </c>
      <c r="H21538">
        <v>1</v>
      </c>
      <c r="I21538" s="3">
        <v>116.28</v>
      </c>
      <c r="J21538" s="3">
        <v>0</v>
      </c>
      <c r="L21538">
        <v>5612</v>
      </c>
      <c r="M21538" t="s">
        <v>46523</v>
      </c>
      <c r="N21538" t="s">
        <v>30</v>
      </c>
      <c r="O21538" t="s">
        <v>31</v>
      </c>
      <c r="P21538" t="str">
        <f>"15207"</f>
        <v>15207</v>
      </c>
    </row>
    <row r="21539" spans="1:16" x14ac:dyDescent="0.25">
      <c r="A21539" t="str">
        <f>"1310185S00046    00"</f>
        <v>1310185S00046    00</v>
      </c>
      <c r="B21539" t="s">
        <v>46649</v>
      </c>
      <c r="C21539" t="s">
        <v>46651</v>
      </c>
      <c r="D21539" t="s">
        <v>20</v>
      </c>
      <c r="E21539" t="s">
        <v>39</v>
      </c>
      <c r="F21539">
        <v>0</v>
      </c>
      <c r="G21539">
        <v>0</v>
      </c>
      <c r="H21539">
        <v>2</v>
      </c>
      <c r="I21539" s="3">
        <v>1098.6500000000001</v>
      </c>
      <c r="J21539" s="3">
        <v>9.4700000000000006</v>
      </c>
      <c r="L21539">
        <v>5612</v>
      </c>
      <c r="M21539" t="s">
        <v>46523</v>
      </c>
      <c r="N21539" t="s">
        <v>30</v>
      </c>
      <c r="O21539" t="s">
        <v>31</v>
      </c>
      <c r="P21539" t="str">
        <f>"15207"</f>
        <v>15207</v>
      </c>
    </row>
    <row r="21540" spans="1:16" x14ac:dyDescent="0.25">
      <c r="A21540" t="str">
        <f>"1310185S00052    00"</f>
        <v>1310185S00052    00</v>
      </c>
      <c r="B21540" t="s">
        <v>46652</v>
      </c>
      <c r="C21540" t="s">
        <v>46650</v>
      </c>
      <c r="D21540" t="s">
        <v>20</v>
      </c>
      <c r="E21540" t="s">
        <v>39</v>
      </c>
      <c r="F21540">
        <v>0</v>
      </c>
      <c r="G21540">
        <v>0</v>
      </c>
      <c r="H21540">
        <v>9</v>
      </c>
      <c r="I21540" s="3">
        <v>1796.51</v>
      </c>
      <c r="J21540" s="3">
        <v>654.91999999999996</v>
      </c>
      <c r="L21540">
        <v>3911</v>
      </c>
      <c r="M21540" t="s">
        <v>46653</v>
      </c>
      <c r="N21540" t="s">
        <v>6603</v>
      </c>
      <c r="O21540" t="s">
        <v>31</v>
      </c>
      <c r="P21540" t="str">
        <f>"15122"</f>
        <v>15122</v>
      </c>
    </row>
    <row r="21541" spans="1:16" x14ac:dyDescent="0.25">
      <c r="A21541" t="str">
        <f>"1310185S00066    00"</f>
        <v>1310185S00066    00</v>
      </c>
      <c r="B21541" t="s">
        <v>46654</v>
      </c>
      <c r="C21541" t="s">
        <v>46650</v>
      </c>
      <c r="E21541" t="s">
        <v>39</v>
      </c>
      <c r="F21541">
        <v>0</v>
      </c>
      <c r="G21541">
        <v>0</v>
      </c>
      <c r="H21541">
        <v>1</v>
      </c>
      <c r="I21541" s="3">
        <v>36.520000000000003</v>
      </c>
      <c r="J21541" s="3">
        <v>14.61</v>
      </c>
      <c r="L21541">
        <v>5605</v>
      </c>
      <c r="M21541" t="s">
        <v>46523</v>
      </c>
      <c r="N21541" t="s">
        <v>30</v>
      </c>
      <c r="O21541" t="s">
        <v>31</v>
      </c>
      <c r="P21541" t="str">
        <f>"15207"</f>
        <v>15207</v>
      </c>
    </row>
    <row r="21542" spans="1:16" x14ac:dyDescent="0.25">
      <c r="A21542" t="str">
        <f>"1310185S00198    00"</f>
        <v>1310185S00198    00</v>
      </c>
      <c r="B21542" t="s">
        <v>46655</v>
      </c>
      <c r="C21542" t="s">
        <v>46585</v>
      </c>
      <c r="D21542" t="s">
        <v>20</v>
      </c>
      <c r="E21542" t="s">
        <v>39</v>
      </c>
      <c r="F21542">
        <v>0</v>
      </c>
      <c r="G21542">
        <v>0</v>
      </c>
      <c r="H21542">
        <v>5</v>
      </c>
      <c r="I21542" s="3">
        <v>140.6</v>
      </c>
      <c r="J21542" s="3">
        <v>24.91</v>
      </c>
      <c r="L21542">
        <v>456</v>
      </c>
      <c r="M21542" t="s">
        <v>28717</v>
      </c>
      <c r="N21542" t="s">
        <v>30</v>
      </c>
      <c r="O21542" t="s">
        <v>31</v>
      </c>
      <c r="P21542" t="str">
        <f>"15202"</f>
        <v>15202</v>
      </c>
    </row>
    <row r="21543" spans="1:16" x14ac:dyDescent="0.25">
      <c r="A21543" t="str">
        <f>"1310185S00251    00"</f>
        <v>1310185S00251    00</v>
      </c>
      <c r="B21543" t="s">
        <v>46656</v>
      </c>
      <c r="C21543" t="s">
        <v>46657</v>
      </c>
      <c r="D21543" t="s">
        <v>20</v>
      </c>
      <c r="E21543" t="s">
        <v>39</v>
      </c>
      <c r="F21543">
        <v>0</v>
      </c>
      <c r="G21543">
        <v>0</v>
      </c>
      <c r="H21543">
        <v>7</v>
      </c>
      <c r="I21543" s="3">
        <v>214.91</v>
      </c>
      <c r="J21543" s="3">
        <v>59.97</v>
      </c>
      <c r="L21543">
        <v>110</v>
      </c>
      <c r="M21543" t="s">
        <v>46658</v>
      </c>
      <c r="N21543" t="s">
        <v>22225</v>
      </c>
      <c r="O21543" t="s">
        <v>31</v>
      </c>
      <c r="P21543" t="str">
        <f>"15332"</f>
        <v>15332</v>
      </c>
    </row>
    <row r="21544" spans="1:16" x14ac:dyDescent="0.25">
      <c r="A21544" t="str">
        <f>"1310185S00270    00"</f>
        <v>1310185S00270    00</v>
      </c>
      <c r="B21544" t="s">
        <v>46659</v>
      </c>
      <c r="C21544" t="s">
        <v>46660</v>
      </c>
      <c r="D21544" t="s">
        <v>20</v>
      </c>
      <c r="E21544" t="s">
        <v>39</v>
      </c>
      <c r="F21544">
        <v>0</v>
      </c>
      <c r="G21544">
        <v>0</v>
      </c>
      <c r="H21544">
        <v>6</v>
      </c>
      <c r="I21544" s="3">
        <v>4590.57</v>
      </c>
      <c r="J21544" s="3">
        <v>1068.5999999999999</v>
      </c>
      <c r="M21544" t="s">
        <v>46661</v>
      </c>
      <c r="N21544" t="s">
        <v>272</v>
      </c>
      <c r="O21544" t="s">
        <v>273</v>
      </c>
      <c r="P21544" t="str">
        <f>"29610"</f>
        <v>29610</v>
      </c>
    </row>
    <row r="21545" spans="1:16" x14ac:dyDescent="0.25">
      <c r="A21545" t="str">
        <f>"1310185S00292    00"</f>
        <v>1310185S00292    00</v>
      </c>
      <c r="B21545" t="s">
        <v>46594</v>
      </c>
      <c r="C21545" t="s">
        <v>46662</v>
      </c>
      <c r="D21545" t="s">
        <v>20</v>
      </c>
      <c r="E21545" t="s">
        <v>39</v>
      </c>
      <c r="F21545">
        <v>0</v>
      </c>
      <c r="G21545">
        <v>0</v>
      </c>
      <c r="H21545">
        <v>1</v>
      </c>
      <c r="I21545" s="3">
        <v>477.69</v>
      </c>
      <c r="J21545" s="3">
        <v>0</v>
      </c>
      <c r="L21545">
        <v>1711</v>
      </c>
      <c r="M21545" t="s">
        <v>46663</v>
      </c>
      <c r="N21545" t="s">
        <v>30</v>
      </c>
      <c r="O21545" t="s">
        <v>31</v>
      </c>
      <c r="P21545" t="str">
        <f>"15207"</f>
        <v>15207</v>
      </c>
    </row>
    <row r="21546" spans="1:16" x14ac:dyDescent="0.25">
      <c r="A21546" t="str">
        <f>"1310185S00341    00"</f>
        <v>1310185S00341    00</v>
      </c>
      <c r="B21546" t="s">
        <v>46514</v>
      </c>
      <c r="C21546" t="s">
        <v>46515</v>
      </c>
      <c r="D21546" t="s">
        <v>20</v>
      </c>
      <c r="E21546" t="s">
        <v>39</v>
      </c>
      <c r="F21546">
        <v>0</v>
      </c>
      <c r="G21546">
        <v>0</v>
      </c>
      <c r="H21546">
        <v>13</v>
      </c>
      <c r="I21546" s="3">
        <v>649.15</v>
      </c>
      <c r="J21546" s="3">
        <v>351.26</v>
      </c>
      <c r="L21546">
        <v>621</v>
      </c>
      <c r="M21546" t="s">
        <v>46516</v>
      </c>
      <c r="N21546" t="s">
        <v>46517</v>
      </c>
      <c r="O21546" t="s">
        <v>370</v>
      </c>
      <c r="P21546" t="str">
        <f>"34787"</f>
        <v>34787</v>
      </c>
    </row>
    <row r="21547" spans="1:16" x14ac:dyDescent="0.25">
      <c r="A21547" t="str">
        <f>"1310243A00038    00"</f>
        <v>1310243A00038    00</v>
      </c>
      <c r="B21547" t="s">
        <v>46664</v>
      </c>
      <c r="C21547" t="s">
        <v>46665</v>
      </c>
      <c r="D21547" t="s">
        <v>20</v>
      </c>
      <c r="E21547" t="s">
        <v>39</v>
      </c>
      <c r="F21547">
        <v>0</v>
      </c>
      <c r="G21547">
        <v>0</v>
      </c>
      <c r="H21547">
        <v>11</v>
      </c>
      <c r="I21547" s="3">
        <v>5059.1400000000003</v>
      </c>
      <c r="J21547" s="3">
        <v>1624.21</v>
      </c>
      <c r="L21547">
        <v>315</v>
      </c>
      <c r="M21547" t="s">
        <v>46666</v>
      </c>
      <c r="N21547" t="s">
        <v>6603</v>
      </c>
      <c r="O21547" t="s">
        <v>31</v>
      </c>
      <c r="P21547" t="str">
        <f>"15122"</f>
        <v>15122</v>
      </c>
    </row>
    <row r="21548" spans="1:16" x14ac:dyDescent="0.25">
      <c r="A21548" t="str">
        <f>"1310243A00040    00"</f>
        <v>1310243A00040    00</v>
      </c>
      <c r="B21548" t="s">
        <v>46664</v>
      </c>
      <c r="C21548" t="s">
        <v>46667</v>
      </c>
      <c r="D21548" t="s">
        <v>20</v>
      </c>
      <c r="E21548" t="s">
        <v>39</v>
      </c>
      <c r="F21548">
        <v>0</v>
      </c>
      <c r="G21548">
        <v>0</v>
      </c>
      <c r="H21548">
        <v>12</v>
      </c>
      <c r="I21548" s="3">
        <v>8618.0499999999993</v>
      </c>
      <c r="J21548" s="3">
        <v>3140.99</v>
      </c>
      <c r="L21548">
        <v>315</v>
      </c>
      <c r="M21548" t="s">
        <v>46666</v>
      </c>
      <c r="N21548" t="s">
        <v>6603</v>
      </c>
      <c r="O21548" t="s">
        <v>31</v>
      </c>
      <c r="P21548" t="str">
        <f>"15122"</f>
        <v>15122</v>
      </c>
    </row>
    <row r="21549" spans="1:16" x14ac:dyDescent="0.25">
      <c r="A21549" t="str">
        <f>"1310243B00066    00"</f>
        <v>1310243B00066    00</v>
      </c>
      <c r="B21549" t="s">
        <v>46668</v>
      </c>
      <c r="C21549" t="s">
        <v>46669</v>
      </c>
      <c r="D21549" t="s">
        <v>20</v>
      </c>
      <c r="E21549" t="s">
        <v>39</v>
      </c>
      <c r="F21549">
        <v>0</v>
      </c>
      <c r="G21549">
        <v>0</v>
      </c>
      <c r="H21549">
        <v>1</v>
      </c>
      <c r="I21549" s="3">
        <v>66.59</v>
      </c>
      <c r="J21549" s="3">
        <v>0</v>
      </c>
      <c r="L21549">
        <v>5923</v>
      </c>
      <c r="M21549" t="s">
        <v>46093</v>
      </c>
      <c r="N21549" t="s">
        <v>30</v>
      </c>
      <c r="O21549" t="s">
        <v>31</v>
      </c>
      <c r="P21549" t="str">
        <f>"15207"</f>
        <v>15207</v>
      </c>
    </row>
    <row r="21550" spans="1:16" x14ac:dyDescent="0.25">
      <c r="A21550" t="str">
        <f>"1310243B00129    00"</f>
        <v>1310243B00129    00</v>
      </c>
      <c r="B21550" t="s">
        <v>46670</v>
      </c>
      <c r="C21550" t="s">
        <v>46671</v>
      </c>
      <c r="D21550" t="s">
        <v>20</v>
      </c>
      <c r="E21550" t="s">
        <v>39</v>
      </c>
      <c r="F21550">
        <v>0</v>
      </c>
      <c r="G21550">
        <v>0</v>
      </c>
      <c r="H21550">
        <v>4</v>
      </c>
      <c r="I21550" s="3">
        <v>5733.26</v>
      </c>
      <c r="J21550" s="3">
        <v>609.30999999999995</v>
      </c>
      <c r="L21550">
        <v>5900</v>
      </c>
      <c r="M21550" t="s">
        <v>46488</v>
      </c>
      <c r="N21550" t="s">
        <v>30</v>
      </c>
      <c r="O21550" t="s">
        <v>31</v>
      </c>
      <c r="P21550" t="str">
        <f>"15207"</f>
        <v>15207</v>
      </c>
    </row>
    <row r="21551" spans="1:16" x14ac:dyDescent="0.25">
      <c r="A21551" t="str">
        <f>"1310243B00166    00"</f>
        <v>1310243B00166    00</v>
      </c>
      <c r="B21551" t="s">
        <v>46672</v>
      </c>
      <c r="C21551" t="s">
        <v>46673</v>
      </c>
      <c r="E21551" t="s">
        <v>39</v>
      </c>
      <c r="F21551">
        <v>0</v>
      </c>
      <c r="G21551">
        <v>0</v>
      </c>
      <c r="H21551">
        <v>1</v>
      </c>
      <c r="I21551" s="3">
        <v>11.27</v>
      </c>
      <c r="J21551" s="3">
        <v>0</v>
      </c>
      <c r="L21551">
        <v>5921</v>
      </c>
      <c r="M21551" t="s">
        <v>46488</v>
      </c>
      <c r="N21551" t="s">
        <v>30</v>
      </c>
      <c r="O21551" t="s">
        <v>31</v>
      </c>
      <c r="P21551" t="str">
        <f>"15207"</f>
        <v>15207</v>
      </c>
    </row>
    <row r="21552" spans="1:16" x14ac:dyDescent="0.25">
      <c r="A21552" t="str">
        <f>"1310243B00219    00"</f>
        <v>1310243B00219    00</v>
      </c>
      <c r="B21552" t="s">
        <v>46674</v>
      </c>
      <c r="C21552" t="s">
        <v>46675</v>
      </c>
      <c r="E21552" t="s">
        <v>39</v>
      </c>
      <c r="F21552">
        <v>0</v>
      </c>
      <c r="G21552">
        <v>0</v>
      </c>
      <c r="H21552">
        <v>3</v>
      </c>
      <c r="I21552" s="3">
        <v>4362.75</v>
      </c>
      <c r="J21552" s="3">
        <v>3041.78</v>
      </c>
      <c r="L21552">
        <v>5904</v>
      </c>
      <c r="M21552" t="s">
        <v>46103</v>
      </c>
      <c r="N21552" t="s">
        <v>30</v>
      </c>
      <c r="O21552" t="s">
        <v>31</v>
      </c>
      <c r="P21552" t="str">
        <f>"15207"</f>
        <v>15207</v>
      </c>
    </row>
    <row r="21553" spans="1:16" x14ac:dyDescent="0.25">
      <c r="A21553" t="str">
        <f>"1310243C00001    00"</f>
        <v>1310243C00001    00</v>
      </c>
      <c r="B21553" t="s">
        <v>46676</v>
      </c>
      <c r="C21553" t="s">
        <v>46677</v>
      </c>
      <c r="D21553" t="s">
        <v>20</v>
      </c>
      <c r="E21553" t="s">
        <v>21</v>
      </c>
      <c r="F21553">
        <v>0</v>
      </c>
      <c r="G21553">
        <v>0</v>
      </c>
      <c r="H21553">
        <v>4</v>
      </c>
      <c r="I21553" s="3">
        <v>9652.77</v>
      </c>
      <c r="J21553" s="3">
        <v>2112.69</v>
      </c>
      <c r="L21553">
        <v>4617</v>
      </c>
      <c r="M21553" t="s">
        <v>46678</v>
      </c>
      <c r="N21553" t="s">
        <v>6603</v>
      </c>
      <c r="O21553" t="s">
        <v>31</v>
      </c>
      <c r="P21553" t="str">
        <f>"15122"</f>
        <v>15122</v>
      </c>
    </row>
    <row r="21554" spans="1:16" x14ac:dyDescent="0.25">
      <c r="A21554" t="str">
        <f>"1310243C00012    00"</f>
        <v>1310243C00012    00</v>
      </c>
      <c r="B21554" t="s">
        <v>46676</v>
      </c>
      <c r="C21554" t="s">
        <v>46677</v>
      </c>
      <c r="D21554" t="s">
        <v>20</v>
      </c>
      <c r="E21554" t="s">
        <v>21</v>
      </c>
      <c r="F21554">
        <v>0</v>
      </c>
      <c r="G21554">
        <v>0</v>
      </c>
      <c r="H21554">
        <v>3</v>
      </c>
      <c r="I21554" s="3">
        <v>3650.43</v>
      </c>
      <c r="J21554" s="3">
        <v>181.14</v>
      </c>
      <c r="L21554">
        <v>4617</v>
      </c>
      <c r="M21554" t="s">
        <v>46678</v>
      </c>
      <c r="N21554" t="s">
        <v>6603</v>
      </c>
      <c r="O21554" t="s">
        <v>31</v>
      </c>
      <c r="P21554" t="str">
        <f>"15122"</f>
        <v>15122</v>
      </c>
    </row>
    <row r="21555" spans="1:16" x14ac:dyDescent="0.25">
      <c r="A21555" t="str">
        <f>"1310243C00060    00"</f>
        <v>1310243C00060    00</v>
      </c>
      <c r="B21555" t="s">
        <v>46679</v>
      </c>
      <c r="C21555" t="s">
        <v>46149</v>
      </c>
      <c r="D21555" t="s">
        <v>20</v>
      </c>
      <c r="E21555" t="s">
        <v>39</v>
      </c>
      <c r="F21555">
        <v>0</v>
      </c>
      <c r="G21555">
        <v>0</v>
      </c>
      <c r="H21555">
        <v>19</v>
      </c>
      <c r="I21555" s="3">
        <v>4660.2</v>
      </c>
      <c r="J21555" s="3">
        <v>4278.62</v>
      </c>
      <c r="L21555">
        <v>5709</v>
      </c>
      <c r="M21555" t="s">
        <v>46630</v>
      </c>
      <c r="N21555" t="s">
        <v>30</v>
      </c>
      <c r="O21555" t="s">
        <v>31</v>
      </c>
      <c r="P21555" t="str">
        <f>"15207"</f>
        <v>15207</v>
      </c>
    </row>
    <row r="21556" spans="1:16" x14ac:dyDescent="0.25">
      <c r="A21556" t="str">
        <f>"1310243C00063    00"</f>
        <v>1310243C00063    00</v>
      </c>
      <c r="B21556" t="s">
        <v>46680</v>
      </c>
      <c r="C21556" t="s">
        <v>46149</v>
      </c>
      <c r="D21556" t="s">
        <v>20</v>
      </c>
      <c r="E21556" t="s">
        <v>39</v>
      </c>
      <c r="F21556">
        <v>0</v>
      </c>
      <c r="G21556">
        <v>0</v>
      </c>
      <c r="H21556">
        <v>19</v>
      </c>
      <c r="I21556" s="3">
        <v>4759.49</v>
      </c>
      <c r="J21556" s="3">
        <v>4240.46</v>
      </c>
      <c r="K21556" t="s">
        <v>46681</v>
      </c>
      <c r="L21556">
        <v>115</v>
      </c>
      <c r="M21556" t="s">
        <v>46682</v>
      </c>
      <c r="N21556" t="s">
        <v>2943</v>
      </c>
      <c r="O21556" t="s">
        <v>31</v>
      </c>
      <c r="P21556" t="str">
        <f>"15025"</f>
        <v>15025</v>
      </c>
    </row>
    <row r="21557" spans="1:16" x14ac:dyDescent="0.25">
      <c r="A21557" t="str">
        <f>"1310243C00072    00"</f>
        <v>1310243C00072    00</v>
      </c>
      <c r="B21557" t="s">
        <v>46683</v>
      </c>
      <c r="C21557" t="s">
        <v>46684</v>
      </c>
      <c r="E21557" t="s">
        <v>39</v>
      </c>
      <c r="F21557">
        <v>0</v>
      </c>
      <c r="G21557">
        <v>0</v>
      </c>
      <c r="H21557">
        <v>1</v>
      </c>
      <c r="I21557" s="3">
        <v>634.70000000000005</v>
      </c>
      <c r="J21557" s="3">
        <v>0</v>
      </c>
      <c r="L21557">
        <v>6103</v>
      </c>
      <c r="M21557" t="s">
        <v>29886</v>
      </c>
      <c r="N21557" t="s">
        <v>30</v>
      </c>
      <c r="O21557" t="s">
        <v>31</v>
      </c>
      <c r="P21557" t="str">
        <f>"15207"</f>
        <v>15207</v>
      </c>
    </row>
    <row r="21558" spans="1:16" x14ac:dyDescent="0.25">
      <c r="A21558" t="str">
        <f>"1310243C00132    00"</f>
        <v>1310243C00132    00</v>
      </c>
      <c r="B21558" t="s">
        <v>46685</v>
      </c>
      <c r="C21558" t="s">
        <v>46686</v>
      </c>
      <c r="D21558" t="s">
        <v>20</v>
      </c>
      <c r="E21558" t="s">
        <v>39</v>
      </c>
      <c r="F21558">
        <v>0</v>
      </c>
      <c r="G21558">
        <v>0</v>
      </c>
      <c r="H21558">
        <v>2</v>
      </c>
      <c r="I21558" s="3">
        <v>1399.98</v>
      </c>
      <c r="J21558" s="3">
        <v>0</v>
      </c>
      <c r="K21558" t="s">
        <v>46687</v>
      </c>
      <c r="L21558">
        <v>5906</v>
      </c>
      <c r="M21558" t="s">
        <v>18291</v>
      </c>
      <c r="N21558" t="s">
        <v>30</v>
      </c>
      <c r="O21558" t="s">
        <v>31</v>
      </c>
      <c r="P21558" t="str">
        <f>"15207"</f>
        <v>15207</v>
      </c>
    </row>
    <row r="21559" spans="1:16" x14ac:dyDescent="0.25">
      <c r="A21559" t="str">
        <f>"1310243C00238    00"</f>
        <v>1310243C00238    00</v>
      </c>
      <c r="B21559" t="s">
        <v>46688</v>
      </c>
      <c r="C21559" t="s">
        <v>46689</v>
      </c>
      <c r="D21559" t="s">
        <v>20</v>
      </c>
      <c r="E21559" t="s">
        <v>39</v>
      </c>
      <c r="F21559">
        <v>0</v>
      </c>
      <c r="G21559">
        <v>0</v>
      </c>
      <c r="H21559">
        <v>12</v>
      </c>
      <c r="I21559" s="3">
        <v>8771.94</v>
      </c>
      <c r="J21559" s="3">
        <v>5318.8</v>
      </c>
      <c r="L21559">
        <v>1711</v>
      </c>
      <c r="M21559" t="s">
        <v>46663</v>
      </c>
      <c r="N21559" t="s">
        <v>30</v>
      </c>
      <c r="O21559" t="s">
        <v>31</v>
      </c>
      <c r="P21559" t="str">
        <f>"15207"</f>
        <v>15207</v>
      </c>
    </row>
    <row r="21560" spans="1:16" x14ac:dyDescent="0.25">
      <c r="A21560" t="str">
        <f>"1310243C00240    00"</f>
        <v>1310243C00240    00</v>
      </c>
      <c r="B21560" t="s">
        <v>46690</v>
      </c>
      <c r="C21560" t="s">
        <v>46691</v>
      </c>
      <c r="D21560" t="s">
        <v>20</v>
      </c>
      <c r="E21560" t="s">
        <v>39</v>
      </c>
      <c r="F21560">
        <v>0</v>
      </c>
      <c r="G21560">
        <v>0</v>
      </c>
      <c r="H21560">
        <v>16</v>
      </c>
      <c r="I21560" s="3">
        <v>2991.08</v>
      </c>
      <c r="J21560" s="3">
        <v>3343.19</v>
      </c>
      <c r="L21560">
        <v>1711</v>
      </c>
      <c r="M21560" t="s">
        <v>46663</v>
      </c>
      <c r="N21560" t="s">
        <v>30</v>
      </c>
      <c r="O21560" t="s">
        <v>31</v>
      </c>
      <c r="P21560" t="str">
        <f>"15207"</f>
        <v>15207</v>
      </c>
    </row>
    <row r="21561" spans="1:16" x14ac:dyDescent="0.25">
      <c r="A21561" t="str">
        <f>"1310243C00296    00"</f>
        <v>1310243C00296    00</v>
      </c>
      <c r="B21561" t="s">
        <v>46692</v>
      </c>
      <c r="C21561" t="s">
        <v>46693</v>
      </c>
      <c r="D21561" t="s">
        <v>20</v>
      </c>
      <c r="E21561" t="s">
        <v>39</v>
      </c>
      <c r="F21561">
        <v>0</v>
      </c>
      <c r="G21561">
        <v>0</v>
      </c>
      <c r="H21561">
        <v>1</v>
      </c>
      <c r="I21561" s="3">
        <v>1723.5</v>
      </c>
      <c r="J21561" s="3">
        <v>0</v>
      </c>
      <c r="L21561">
        <v>1805</v>
      </c>
      <c r="M21561" t="s">
        <v>46694</v>
      </c>
      <c r="N21561" t="s">
        <v>30</v>
      </c>
      <c r="O21561" t="s">
        <v>31</v>
      </c>
      <c r="P21561" t="str">
        <f>"15207"</f>
        <v>15207</v>
      </c>
    </row>
    <row r="21562" spans="1:16" x14ac:dyDescent="0.25">
      <c r="A21562" t="str">
        <f>"1310243C00302    00"</f>
        <v>1310243C00302    00</v>
      </c>
      <c r="B21562" t="s">
        <v>46573</v>
      </c>
      <c r="C21562" t="s">
        <v>46695</v>
      </c>
      <c r="D21562" t="s">
        <v>20</v>
      </c>
      <c r="E21562" t="s">
        <v>21</v>
      </c>
      <c r="F21562">
        <v>0</v>
      </c>
      <c r="G21562">
        <v>0</v>
      </c>
      <c r="H21562">
        <v>19</v>
      </c>
      <c r="I21562" s="3">
        <v>12903.4</v>
      </c>
      <c r="J21562" s="3">
        <v>13711.52</v>
      </c>
      <c r="L21562">
        <v>837</v>
      </c>
      <c r="M21562" t="s">
        <v>21742</v>
      </c>
      <c r="N21562" t="s">
        <v>30</v>
      </c>
      <c r="O21562" t="s">
        <v>31</v>
      </c>
      <c r="P21562" t="str">
        <f>"15217"</f>
        <v>15217</v>
      </c>
    </row>
    <row r="21563" spans="1:16" x14ac:dyDescent="0.25">
      <c r="A21563" t="str">
        <f>"1310243C00350    00"</f>
        <v>1310243C00350    00</v>
      </c>
      <c r="B21563" t="s">
        <v>46559</v>
      </c>
      <c r="C21563" t="s">
        <v>46560</v>
      </c>
      <c r="D21563" t="s">
        <v>20</v>
      </c>
      <c r="E21563" t="s">
        <v>39</v>
      </c>
      <c r="F21563">
        <v>0</v>
      </c>
      <c r="G21563">
        <v>0</v>
      </c>
      <c r="H21563">
        <v>10</v>
      </c>
      <c r="I21563" s="3">
        <v>2348.9299999999998</v>
      </c>
      <c r="J21563" s="3">
        <v>1005.74</v>
      </c>
      <c r="L21563">
        <v>327</v>
      </c>
      <c r="M21563" t="s">
        <v>46561</v>
      </c>
      <c r="N21563" t="s">
        <v>30</v>
      </c>
      <c r="O21563" t="s">
        <v>31</v>
      </c>
      <c r="P21563" t="str">
        <f>"15236"</f>
        <v>15236</v>
      </c>
    </row>
    <row r="21564" spans="1:16" x14ac:dyDescent="0.25">
      <c r="A21564" t="str">
        <f>"1310243G00150    00"</f>
        <v>1310243G00150    00</v>
      </c>
      <c r="B21564" t="s">
        <v>8819</v>
      </c>
      <c r="C21564" t="s">
        <v>46696</v>
      </c>
      <c r="E21564" t="s">
        <v>207</v>
      </c>
      <c r="F21564">
        <v>0</v>
      </c>
      <c r="G21564">
        <v>0</v>
      </c>
      <c r="H21564">
        <v>1</v>
      </c>
      <c r="I21564" s="3">
        <v>1586.03</v>
      </c>
      <c r="J21564" s="3">
        <v>634.39</v>
      </c>
      <c r="K21564" t="s">
        <v>46697</v>
      </c>
      <c r="L21564">
        <v>1200</v>
      </c>
      <c r="M21564" t="s">
        <v>46698</v>
      </c>
      <c r="N21564" t="s">
        <v>30</v>
      </c>
      <c r="O21564" t="s">
        <v>31</v>
      </c>
      <c r="P21564" t="str">
        <f>"15222"</f>
        <v>15222</v>
      </c>
    </row>
    <row r="21565" spans="1:16" x14ac:dyDescent="0.25">
      <c r="A21565" t="str">
        <f>"1310243G00169    00"</f>
        <v>1310243G00169    00</v>
      </c>
      <c r="B21565" t="s">
        <v>46699</v>
      </c>
      <c r="C21565" t="s">
        <v>46700</v>
      </c>
      <c r="D21565" t="s">
        <v>20</v>
      </c>
      <c r="E21565" t="s">
        <v>39</v>
      </c>
      <c r="F21565">
        <v>0</v>
      </c>
      <c r="G21565">
        <v>0</v>
      </c>
      <c r="H21565">
        <v>1</v>
      </c>
      <c r="I21565" s="3">
        <v>302.74</v>
      </c>
      <c r="J21565" s="3">
        <v>0</v>
      </c>
      <c r="L21565">
        <v>6127</v>
      </c>
      <c r="M21565" t="s">
        <v>29886</v>
      </c>
      <c r="N21565" t="s">
        <v>30</v>
      </c>
      <c r="O21565" t="s">
        <v>31</v>
      </c>
      <c r="P21565" t="str">
        <f>"15207"</f>
        <v>15207</v>
      </c>
    </row>
    <row r="21566" spans="1:16" x14ac:dyDescent="0.25">
      <c r="A21566" t="str">
        <f>"1320060J00008    00"</f>
        <v>1320060J00008    00</v>
      </c>
      <c r="B21566" t="s">
        <v>46701</v>
      </c>
      <c r="C21566" t="s">
        <v>46702</v>
      </c>
      <c r="D21566" t="s">
        <v>20</v>
      </c>
      <c r="E21566" t="s">
        <v>21</v>
      </c>
      <c r="F21566">
        <v>0</v>
      </c>
      <c r="G21566">
        <v>0</v>
      </c>
      <c r="H21566">
        <v>1</v>
      </c>
      <c r="I21566" s="3">
        <v>3487.98</v>
      </c>
      <c r="J21566" s="3">
        <v>0</v>
      </c>
      <c r="L21566">
        <v>1439</v>
      </c>
      <c r="M21566" t="s">
        <v>46703</v>
      </c>
      <c r="N21566" t="s">
        <v>30</v>
      </c>
      <c r="O21566" t="s">
        <v>31</v>
      </c>
      <c r="P21566" t="str">
        <f>"15234"</f>
        <v>15234</v>
      </c>
    </row>
    <row r="21567" spans="1:16" x14ac:dyDescent="0.25">
      <c r="A21567" t="str">
        <f>"1320060J00008    01"</f>
        <v>1320060J00008    01</v>
      </c>
      <c r="B21567" t="s">
        <v>46701</v>
      </c>
      <c r="C21567" t="s">
        <v>46704</v>
      </c>
      <c r="D21567" t="s">
        <v>20</v>
      </c>
      <c r="E21567" t="s">
        <v>39</v>
      </c>
      <c r="F21567">
        <v>0</v>
      </c>
      <c r="G21567">
        <v>0</v>
      </c>
      <c r="H21567">
        <v>1</v>
      </c>
      <c r="I21567" s="3">
        <v>2210.96</v>
      </c>
      <c r="J21567" s="3">
        <v>0</v>
      </c>
      <c r="L21567">
        <v>1439</v>
      </c>
      <c r="M21567" t="s">
        <v>46703</v>
      </c>
      <c r="N21567" t="s">
        <v>30</v>
      </c>
      <c r="O21567" t="s">
        <v>31</v>
      </c>
      <c r="P21567" t="str">
        <f>"15234"</f>
        <v>15234</v>
      </c>
    </row>
    <row r="21568" spans="1:16" x14ac:dyDescent="0.25">
      <c r="A21568" t="str">
        <f>"1320060N00005    00"</f>
        <v>1320060N00005    00</v>
      </c>
      <c r="B21568" t="s">
        <v>46705</v>
      </c>
      <c r="C21568" t="s">
        <v>46706</v>
      </c>
      <c r="D21568" t="s">
        <v>20</v>
      </c>
      <c r="E21568" t="s">
        <v>21</v>
      </c>
      <c r="F21568">
        <v>0</v>
      </c>
      <c r="G21568">
        <v>0</v>
      </c>
      <c r="H21568">
        <v>9</v>
      </c>
      <c r="I21568" s="3">
        <v>42348.71</v>
      </c>
      <c r="J21568" s="3">
        <v>15389.91</v>
      </c>
      <c r="L21568">
        <v>1527</v>
      </c>
      <c r="M21568" t="s">
        <v>46707</v>
      </c>
      <c r="N21568" t="s">
        <v>30</v>
      </c>
      <c r="O21568" t="s">
        <v>31</v>
      </c>
      <c r="P21568" t="str">
        <f>"15227"</f>
        <v>15227</v>
      </c>
    </row>
    <row r="21569" spans="1:16" x14ac:dyDescent="0.25">
      <c r="A21569" t="str">
        <f>"1320060N00130    00"</f>
        <v>1320060N00130    00</v>
      </c>
      <c r="B21569" t="s">
        <v>46708</v>
      </c>
      <c r="C21569" t="s">
        <v>30456</v>
      </c>
      <c r="D21569" t="s">
        <v>20</v>
      </c>
      <c r="E21569" t="s">
        <v>21</v>
      </c>
      <c r="F21569">
        <v>0</v>
      </c>
      <c r="G21569">
        <v>0</v>
      </c>
      <c r="H21569">
        <v>1</v>
      </c>
      <c r="I21569" s="3">
        <v>1078.8</v>
      </c>
      <c r="J21569" s="3">
        <v>0</v>
      </c>
      <c r="L21569">
        <v>1437</v>
      </c>
      <c r="M21569" t="s">
        <v>36847</v>
      </c>
      <c r="N21569" t="s">
        <v>30</v>
      </c>
      <c r="O21569" t="s">
        <v>31</v>
      </c>
      <c r="P21569" t="str">
        <f>"15227"</f>
        <v>15227</v>
      </c>
    </row>
    <row r="21570" spans="1:16" x14ac:dyDescent="0.25">
      <c r="A21570" t="str">
        <f>"1320060N00134    00"</f>
        <v>1320060N00134    00</v>
      </c>
      <c r="B21570" t="s">
        <v>46708</v>
      </c>
      <c r="C21570" t="s">
        <v>30456</v>
      </c>
      <c r="D21570" t="s">
        <v>20</v>
      </c>
      <c r="E21570" t="s">
        <v>21</v>
      </c>
      <c r="F21570">
        <v>0</v>
      </c>
      <c r="G21570">
        <v>0</v>
      </c>
      <c r="H21570">
        <v>1</v>
      </c>
      <c r="I21570" s="3">
        <v>779.56</v>
      </c>
      <c r="J21570" s="3">
        <v>0</v>
      </c>
      <c r="L21570">
        <v>1437</v>
      </c>
      <c r="M21570" t="s">
        <v>36847</v>
      </c>
      <c r="N21570" t="s">
        <v>30</v>
      </c>
      <c r="O21570" t="s">
        <v>31</v>
      </c>
      <c r="P21570" t="str">
        <f>"15227"</f>
        <v>15227</v>
      </c>
    </row>
    <row r="21571" spans="1:16" x14ac:dyDescent="0.25">
      <c r="A21571" t="str">
        <f>"1320060N00139    00"</f>
        <v>1320060N00139    00</v>
      </c>
      <c r="B21571" t="s">
        <v>43814</v>
      </c>
      <c r="C21571" t="s">
        <v>43835</v>
      </c>
      <c r="D21571" t="s">
        <v>20</v>
      </c>
      <c r="E21571" t="s">
        <v>39</v>
      </c>
      <c r="F21571">
        <v>0</v>
      </c>
      <c r="G21571">
        <v>0</v>
      </c>
      <c r="H21571">
        <v>16</v>
      </c>
      <c r="I21571" s="3">
        <v>1165.8</v>
      </c>
      <c r="J21571" s="3">
        <v>720.47</v>
      </c>
      <c r="L21571">
        <v>1725</v>
      </c>
      <c r="M21571" t="s">
        <v>43820</v>
      </c>
      <c r="N21571" t="s">
        <v>30</v>
      </c>
      <c r="O21571" t="s">
        <v>31</v>
      </c>
      <c r="P21571" t="str">
        <f>"15210"</f>
        <v>15210</v>
      </c>
    </row>
    <row r="21572" spans="1:16" x14ac:dyDescent="0.25">
      <c r="A21572" t="str">
        <f>"1320060N00140    00"</f>
        <v>1320060N00140    00</v>
      </c>
      <c r="B21572" t="s">
        <v>43814</v>
      </c>
      <c r="C21572" t="s">
        <v>43835</v>
      </c>
      <c r="E21572" t="s">
        <v>39</v>
      </c>
      <c r="F21572">
        <v>0</v>
      </c>
      <c r="G21572">
        <v>0</v>
      </c>
      <c r="H21572">
        <v>15</v>
      </c>
      <c r="I21572" s="3">
        <v>530.1</v>
      </c>
      <c r="J21572" s="3">
        <v>364.2</v>
      </c>
      <c r="L21572">
        <v>1725</v>
      </c>
      <c r="M21572" t="s">
        <v>43820</v>
      </c>
      <c r="N21572" t="s">
        <v>30</v>
      </c>
      <c r="O21572" t="s">
        <v>31</v>
      </c>
      <c r="P21572" t="str">
        <f>"15210"</f>
        <v>15210</v>
      </c>
    </row>
    <row r="21573" spans="1:16" x14ac:dyDescent="0.25">
      <c r="A21573" t="str">
        <f>"1320060N00141    00"</f>
        <v>1320060N00141    00</v>
      </c>
      <c r="B21573" t="s">
        <v>46709</v>
      </c>
      <c r="C21573" t="s">
        <v>43835</v>
      </c>
      <c r="E21573" t="s">
        <v>39</v>
      </c>
      <c r="F21573">
        <v>0</v>
      </c>
      <c r="G21573">
        <v>0</v>
      </c>
      <c r="H21573">
        <v>1</v>
      </c>
      <c r="I21573" s="3">
        <v>31.72</v>
      </c>
      <c r="J21573" s="3">
        <v>0</v>
      </c>
      <c r="L21573">
        <v>19</v>
      </c>
      <c r="M21573" t="s">
        <v>46710</v>
      </c>
      <c r="N21573" t="s">
        <v>30</v>
      </c>
      <c r="O21573" t="s">
        <v>31</v>
      </c>
      <c r="P21573" t="str">
        <f>"15228"</f>
        <v>15228</v>
      </c>
    </row>
    <row r="21574" spans="1:16" x14ac:dyDescent="0.25">
      <c r="A21574" t="str">
        <f>"1320061G00164    00"</f>
        <v>1320061G00164    00</v>
      </c>
      <c r="B21574" t="s">
        <v>46711</v>
      </c>
      <c r="C21574" t="s">
        <v>46712</v>
      </c>
      <c r="D21574" t="s">
        <v>20</v>
      </c>
      <c r="E21574" t="s">
        <v>39</v>
      </c>
      <c r="F21574">
        <v>0</v>
      </c>
      <c r="G21574">
        <v>0</v>
      </c>
      <c r="H21574">
        <v>16</v>
      </c>
      <c r="I21574" s="3">
        <v>13258.54</v>
      </c>
      <c r="J21574" s="3">
        <v>5722.82</v>
      </c>
      <c r="K21574" t="s">
        <v>46713</v>
      </c>
      <c r="L21574">
        <v>548</v>
      </c>
      <c r="M21574" t="s">
        <v>36982</v>
      </c>
      <c r="N21574" t="s">
        <v>526</v>
      </c>
      <c r="O21574" t="s">
        <v>31</v>
      </c>
      <c r="P21574" t="str">
        <f>"15301"</f>
        <v>15301</v>
      </c>
    </row>
    <row r="21575" spans="1:16" x14ac:dyDescent="0.25">
      <c r="A21575" t="str">
        <f>"1320061G00179    00"</f>
        <v>1320061G00179    00</v>
      </c>
      <c r="B21575" t="s">
        <v>46714</v>
      </c>
      <c r="C21575" t="s">
        <v>29468</v>
      </c>
      <c r="D21575" t="s">
        <v>20</v>
      </c>
      <c r="E21575" t="s">
        <v>39</v>
      </c>
      <c r="F21575">
        <v>0</v>
      </c>
      <c r="G21575">
        <v>0</v>
      </c>
      <c r="H21575">
        <v>4</v>
      </c>
      <c r="I21575" s="3">
        <v>264.08</v>
      </c>
      <c r="J21575" s="3">
        <v>32.520000000000003</v>
      </c>
      <c r="L21575">
        <v>2883</v>
      </c>
      <c r="M21575" t="s">
        <v>29529</v>
      </c>
      <c r="N21575" t="s">
        <v>30</v>
      </c>
      <c r="O21575" t="s">
        <v>31</v>
      </c>
      <c r="P21575" t="str">
        <f>"15226"</f>
        <v>15226</v>
      </c>
    </row>
    <row r="21576" spans="1:16" x14ac:dyDescent="0.25">
      <c r="A21576" t="str">
        <f>"1320061G00285    00"</f>
        <v>1320061G00285    00</v>
      </c>
      <c r="B21576" t="s">
        <v>29516</v>
      </c>
      <c r="C21576" t="s">
        <v>46715</v>
      </c>
      <c r="D21576" t="s">
        <v>20</v>
      </c>
      <c r="E21576" t="s">
        <v>39</v>
      </c>
      <c r="F21576">
        <v>0</v>
      </c>
      <c r="G21576">
        <v>0</v>
      </c>
      <c r="H21576">
        <v>9</v>
      </c>
      <c r="I21576" s="3">
        <v>582.12</v>
      </c>
      <c r="J21576" s="3">
        <v>222.19</v>
      </c>
      <c r="L21576">
        <v>11</v>
      </c>
      <c r="M21576" t="s">
        <v>29517</v>
      </c>
      <c r="N21576" t="s">
        <v>30</v>
      </c>
      <c r="O21576" t="s">
        <v>31</v>
      </c>
      <c r="P21576" t="str">
        <f>"15220"</f>
        <v>15220</v>
      </c>
    </row>
    <row r="21577" spans="1:16" x14ac:dyDescent="0.25">
      <c r="A21577" t="str">
        <f>"1320061G00288    00"</f>
        <v>1320061G00288    00</v>
      </c>
      <c r="B21577" t="s">
        <v>46716</v>
      </c>
      <c r="C21577" t="s">
        <v>46717</v>
      </c>
      <c r="D21577" t="s">
        <v>20</v>
      </c>
      <c r="E21577" t="s">
        <v>39</v>
      </c>
      <c r="F21577">
        <v>0</v>
      </c>
      <c r="G21577">
        <v>0</v>
      </c>
      <c r="H21577">
        <v>3</v>
      </c>
      <c r="I21577" s="3">
        <v>1867.27</v>
      </c>
      <c r="J21577" s="3">
        <v>124.47</v>
      </c>
      <c r="L21577">
        <v>2146</v>
      </c>
      <c r="M21577" t="s">
        <v>46718</v>
      </c>
      <c r="N21577" t="s">
        <v>30</v>
      </c>
      <c r="O21577" t="s">
        <v>31</v>
      </c>
      <c r="P21577" t="str">
        <f>"15210"</f>
        <v>15210</v>
      </c>
    </row>
    <row r="21578" spans="1:16" x14ac:dyDescent="0.25">
      <c r="A21578" t="str">
        <f>"1320061G00292    00"</f>
        <v>1320061G00292    00</v>
      </c>
      <c r="B21578" t="s">
        <v>46719</v>
      </c>
      <c r="C21578" t="s">
        <v>46720</v>
      </c>
      <c r="D21578" t="s">
        <v>20</v>
      </c>
      <c r="E21578" t="s">
        <v>39</v>
      </c>
      <c r="F21578">
        <v>0</v>
      </c>
      <c r="G21578">
        <v>0</v>
      </c>
      <c r="H21578">
        <v>2</v>
      </c>
      <c r="I21578" s="3">
        <v>6636.72</v>
      </c>
      <c r="J21578" s="3">
        <v>0</v>
      </c>
      <c r="L21578">
        <v>2138</v>
      </c>
      <c r="M21578" t="s">
        <v>46718</v>
      </c>
      <c r="N21578" t="s">
        <v>30</v>
      </c>
      <c r="O21578" t="s">
        <v>31</v>
      </c>
      <c r="P21578" t="str">
        <f>"15210"</f>
        <v>15210</v>
      </c>
    </row>
    <row r="21579" spans="1:16" x14ac:dyDescent="0.25">
      <c r="A21579" t="str">
        <f>"1320061G00297    00"</f>
        <v>1320061G00297    00</v>
      </c>
      <c r="B21579" t="s">
        <v>46719</v>
      </c>
      <c r="C21579" t="s">
        <v>46720</v>
      </c>
      <c r="D21579" t="s">
        <v>20</v>
      </c>
      <c r="E21579" t="s">
        <v>39</v>
      </c>
      <c r="F21579">
        <v>0</v>
      </c>
      <c r="G21579">
        <v>0</v>
      </c>
      <c r="H21579">
        <v>2</v>
      </c>
      <c r="I21579" s="3">
        <v>442.2</v>
      </c>
      <c r="J21579" s="3">
        <v>0</v>
      </c>
      <c r="L21579">
        <v>2138</v>
      </c>
      <c r="M21579" t="s">
        <v>46718</v>
      </c>
      <c r="N21579" t="s">
        <v>30</v>
      </c>
      <c r="O21579" t="s">
        <v>31</v>
      </c>
      <c r="P21579" t="str">
        <f>"15210"</f>
        <v>15210</v>
      </c>
    </row>
    <row r="21580" spans="1:16" x14ac:dyDescent="0.25">
      <c r="A21580" t="str">
        <f>"1320061G00300    00"</f>
        <v>1320061G00300    00</v>
      </c>
      <c r="B21580" t="s">
        <v>29516</v>
      </c>
      <c r="C21580" t="s">
        <v>46715</v>
      </c>
      <c r="D21580" t="s">
        <v>20</v>
      </c>
      <c r="E21580" t="s">
        <v>39</v>
      </c>
      <c r="F21580">
        <v>0</v>
      </c>
      <c r="G21580">
        <v>0</v>
      </c>
      <c r="H21580">
        <v>9</v>
      </c>
      <c r="I21580" s="3">
        <v>332.6</v>
      </c>
      <c r="J21580" s="3">
        <v>126.98</v>
      </c>
      <c r="L21580">
        <v>11</v>
      </c>
      <c r="M21580" t="s">
        <v>29517</v>
      </c>
      <c r="N21580" t="s">
        <v>30</v>
      </c>
      <c r="O21580" t="s">
        <v>31</v>
      </c>
      <c r="P21580" t="str">
        <f>"15220"</f>
        <v>15220</v>
      </c>
    </row>
    <row r="21581" spans="1:16" x14ac:dyDescent="0.25">
      <c r="A21581" t="str">
        <f>"1320061G00310    00"</f>
        <v>1320061G00310    00</v>
      </c>
      <c r="B21581" t="s">
        <v>29516</v>
      </c>
      <c r="C21581" t="s">
        <v>46715</v>
      </c>
      <c r="D21581" t="s">
        <v>20</v>
      </c>
      <c r="E21581" t="s">
        <v>39</v>
      </c>
      <c r="F21581">
        <v>0</v>
      </c>
      <c r="G21581">
        <v>0</v>
      </c>
      <c r="H21581">
        <v>8</v>
      </c>
      <c r="I21581" s="3">
        <v>294.48</v>
      </c>
      <c r="J21581" s="3">
        <v>119.36</v>
      </c>
      <c r="L21581">
        <v>11</v>
      </c>
      <c r="M21581" t="s">
        <v>29517</v>
      </c>
      <c r="N21581" t="s">
        <v>30</v>
      </c>
      <c r="O21581" t="s">
        <v>31</v>
      </c>
      <c r="P21581" t="str">
        <f>"15220"</f>
        <v>15220</v>
      </c>
    </row>
    <row r="21582" spans="1:16" x14ac:dyDescent="0.25">
      <c r="A21582" t="str">
        <f>"1320061H00070    00"</f>
        <v>1320061H00070    00</v>
      </c>
      <c r="B21582" t="s">
        <v>46721</v>
      </c>
      <c r="C21582" t="s">
        <v>46722</v>
      </c>
      <c r="E21582" t="s">
        <v>39</v>
      </c>
      <c r="F21582">
        <v>0</v>
      </c>
      <c r="G21582">
        <v>0</v>
      </c>
      <c r="H21582">
        <v>1</v>
      </c>
      <c r="I21582" s="3">
        <v>934.66</v>
      </c>
      <c r="J21582" s="3">
        <v>186.92</v>
      </c>
      <c r="K21582" t="s">
        <v>46723</v>
      </c>
      <c r="L21582">
        <v>1608</v>
      </c>
      <c r="M21582" t="s">
        <v>46724</v>
      </c>
      <c r="N21582" t="s">
        <v>30</v>
      </c>
      <c r="O21582" t="s">
        <v>31</v>
      </c>
      <c r="P21582" t="str">
        <f>"15210"</f>
        <v>15210</v>
      </c>
    </row>
    <row r="21583" spans="1:16" x14ac:dyDescent="0.25">
      <c r="A21583" t="str">
        <f>"1320061H00072    00"</f>
        <v>1320061H00072    00</v>
      </c>
      <c r="B21583" t="s">
        <v>46721</v>
      </c>
      <c r="C21583" t="s">
        <v>46725</v>
      </c>
      <c r="E21583" t="s">
        <v>39</v>
      </c>
      <c r="F21583">
        <v>0</v>
      </c>
      <c r="G21583">
        <v>0</v>
      </c>
      <c r="H21583">
        <v>1</v>
      </c>
      <c r="I21583" s="3">
        <v>228.72</v>
      </c>
      <c r="J21583" s="3">
        <v>45.74</v>
      </c>
      <c r="K21583" t="s">
        <v>46723</v>
      </c>
      <c r="L21583">
        <v>1608</v>
      </c>
      <c r="M21583" t="s">
        <v>46724</v>
      </c>
      <c r="N21583" t="s">
        <v>30</v>
      </c>
      <c r="O21583" t="s">
        <v>31</v>
      </c>
      <c r="P21583" t="str">
        <f>"15210"</f>
        <v>15210</v>
      </c>
    </row>
    <row r="21584" spans="1:16" x14ac:dyDescent="0.25">
      <c r="A21584" t="str">
        <f>"1320061H00106    00"</f>
        <v>1320061H00106    00</v>
      </c>
      <c r="B21584" t="s">
        <v>46726</v>
      </c>
      <c r="C21584" t="s">
        <v>46727</v>
      </c>
      <c r="D21584" t="s">
        <v>20</v>
      </c>
      <c r="E21584" t="s">
        <v>39</v>
      </c>
      <c r="F21584">
        <v>0</v>
      </c>
      <c r="G21584">
        <v>0</v>
      </c>
      <c r="H21584">
        <v>1</v>
      </c>
      <c r="I21584" s="3">
        <v>929.46</v>
      </c>
      <c r="J21584" s="3">
        <v>0</v>
      </c>
      <c r="L21584">
        <v>2011</v>
      </c>
      <c r="M21584" t="s">
        <v>46718</v>
      </c>
      <c r="N21584" t="s">
        <v>30</v>
      </c>
      <c r="O21584" t="s">
        <v>31</v>
      </c>
      <c r="P21584" t="str">
        <f>"15210"</f>
        <v>15210</v>
      </c>
    </row>
    <row r="21585" spans="1:16" x14ac:dyDescent="0.25">
      <c r="A21585" t="str">
        <f>"1320061H00146    00"</f>
        <v>1320061H00146    00</v>
      </c>
      <c r="B21585" t="s">
        <v>46728</v>
      </c>
      <c r="C21585" t="s">
        <v>46729</v>
      </c>
      <c r="D21585" t="s">
        <v>20</v>
      </c>
      <c r="E21585" t="s">
        <v>39</v>
      </c>
      <c r="F21585">
        <v>0</v>
      </c>
      <c r="G21585">
        <v>0</v>
      </c>
      <c r="H21585">
        <v>4</v>
      </c>
      <c r="I21585" s="3">
        <v>1994.34</v>
      </c>
      <c r="J21585" s="3">
        <v>145.41999999999999</v>
      </c>
      <c r="L21585">
        <v>1511</v>
      </c>
      <c r="M21585" t="s">
        <v>46724</v>
      </c>
      <c r="N21585" t="s">
        <v>30</v>
      </c>
      <c r="O21585" t="s">
        <v>31</v>
      </c>
      <c r="P21585" t="str">
        <f>"15210"</f>
        <v>15210</v>
      </c>
    </row>
    <row r="21586" spans="1:16" x14ac:dyDescent="0.25">
      <c r="A21586" t="str">
        <f>"1320061H00374    00"</f>
        <v>1320061H00374    00</v>
      </c>
      <c r="B21586" t="s">
        <v>27397</v>
      </c>
      <c r="C21586" t="s">
        <v>46730</v>
      </c>
      <c r="D21586" t="s">
        <v>20</v>
      </c>
      <c r="E21586" t="s">
        <v>21</v>
      </c>
      <c r="F21586">
        <v>0</v>
      </c>
      <c r="G21586">
        <v>0</v>
      </c>
      <c r="H21586">
        <v>1</v>
      </c>
      <c r="I21586" s="3">
        <v>430.76</v>
      </c>
      <c r="J21586" s="3">
        <v>0</v>
      </c>
      <c r="L21586">
        <v>329</v>
      </c>
      <c r="M21586" t="s">
        <v>27399</v>
      </c>
      <c r="N21586" t="s">
        <v>30</v>
      </c>
      <c r="O21586" t="s">
        <v>31</v>
      </c>
      <c r="P21586" t="str">
        <f>"15211"</f>
        <v>15211</v>
      </c>
    </row>
    <row r="21587" spans="1:16" x14ac:dyDescent="0.25">
      <c r="A21587" t="str">
        <f>"1320061L00003    00"</f>
        <v>1320061L00003    00</v>
      </c>
      <c r="B21587" t="s">
        <v>46731</v>
      </c>
      <c r="C21587" t="s">
        <v>46732</v>
      </c>
      <c r="E21587" t="s">
        <v>39</v>
      </c>
      <c r="F21587">
        <v>0</v>
      </c>
      <c r="G21587">
        <v>0</v>
      </c>
      <c r="H21587">
        <v>2</v>
      </c>
      <c r="I21587" s="3">
        <v>1530.01</v>
      </c>
      <c r="J21587" s="3">
        <v>171.8</v>
      </c>
      <c r="L21587">
        <v>1554</v>
      </c>
      <c r="M21587" t="s">
        <v>46733</v>
      </c>
      <c r="N21587" t="s">
        <v>30</v>
      </c>
      <c r="O21587" t="s">
        <v>31</v>
      </c>
      <c r="P21587" t="str">
        <f>"15210"</f>
        <v>15210</v>
      </c>
    </row>
    <row r="21588" spans="1:16" x14ac:dyDescent="0.25">
      <c r="A21588" t="str">
        <f>"1320061L00060    00"</f>
        <v>1320061L00060    00</v>
      </c>
      <c r="B21588" t="s">
        <v>46734</v>
      </c>
      <c r="C21588" t="s">
        <v>46735</v>
      </c>
      <c r="D21588" t="s">
        <v>20</v>
      </c>
      <c r="E21588" t="s">
        <v>39</v>
      </c>
      <c r="F21588">
        <v>0</v>
      </c>
      <c r="G21588">
        <v>0</v>
      </c>
      <c r="H21588">
        <v>3</v>
      </c>
      <c r="I21588" s="3">
        <v>435.9</v>
      </c>
      <c r="J21588" s="3">
        <v>6.78</v>
      </c>
      <c r="L21588">
        <v>1611</v>
      </c>
      <c r="M21588" t="s">
        <v>46736</v>
      </c>
      <c r="N21588" t="s">
        <v>30</v>
      </c>
      <c r="O21588" t="s">
        <v>31</v>
      </c>
      <c r="P21588" t="str">
        <f>"15210"</f>
        <v>15210</v>
      </c>
    </row>
    <row r="21589" spans="1:16" x14ac:dyDescent="0.25">
      <c r="A21589" t="str">
        <f>"1320061L00072    00"</f>
        <v>1320061L00072    00</v>
      </c>
      <c r="B21589" t="s">
        <v>46737</v>
      </c>
      <c r="C21589" t="s">
        <v>46738</v>
      </c>
      <c r="D21589" t="s">
        <v>20</v>
      </c>
      <c r="E21589" t="s">
        <v>39</v>
      </c>
      <c r="F21589">
        <v>0</v>
      </c>
      <c r="G21589">
        <v>0</v>
      </c>
      <c r="H21589">
        <v>1</v>
      </c>
      <c r="I21589" s="3">
        <v>2111.84</v>
      </c>
      <c r="J21589" s="3">
        <v>0</v>
      </c>
      <c r="K21589" t="s">
        <v>46739</v>
      </c>
      <c r="L21589">
        <v>12410</v>
      </c>
      <c r="M21589" t="s">
        <v>46740</v>
      </c>
      <c r="N21589" t="s">
        <v>46741</v>
      </c>
      <c r="O21589" t="s">
        <v>6668</v>
      </c>
      <c r="P21589" t="str">
        <f>"99216"</f>
        <v>99216</v>
      </c>
    </row>
    <row r="21590" spans="1:16" x14ac:dyDescent="0.25">
      <c r="A21590" t="str">
        <f>"1320061L00195    00"</f>
        <v>1320061L00195    00</v>
      </c>
      <c r="B21590" t="s">
        <v>46742</v>
      </c>
      <c r="C21590" t="s">
        <v>46743</v>
      </c>
      <c r="D21590" t="s">
        <v>20</v>
      </c>
      <c r="E21590" t="s">
        <v>39</v>
      </c>
      <c r="F21590">
        <v>0</v>
      </c>
      <c r="G21590">
        <v>0</v>
      </c>
      <c r="H21590">
        <v>4</v>
      </c>
      <c r="I21590" s="3">
        <v>6316.78</v>
      </c>
      <c r="J21590" s="3">
        <v>668.5</v>
      </c>
      <c r="K21590" t="s">
        <v>1502</v>
      </c>
      <c r="L21590">
        <v>901</v>
      </c>
      <c r="M21590" t="s">
        <v>1503</v>
      </c>
      <c r="N21590" t="s">
        <v>494</v>
      </c>
      <c r="O21590" t="s">
        <v>495</v>
      </c>
      <c r="P21590" t="str">
        <f>"91768"</f>
        <v>91768</v>
      </c>
    </row>
    <row r="21591" spans="1:16" x14ac:dyDescent="0.25">
      <c r="A21591" t="str">
        <f>"1320061M00013    00"</f>
        <v>1320061M00013    00</v>
      </c>
      <c r="B21591" t="s">
        <v>27397</v>
      </c>
      <c r="C21591" t="s">
        <v>46744</v>
      </c>
      <c r="D21591" t="s">
        <v>20</v>
      </c>
      <c r="E21591" t="s">
        <v>21</v>
      </c>
      <c r="F21591">
        <v>0</v>
      </c>
      <c r="G21591">
        <v>0</v>
      </c>
      <c r="H21591">
        <v>1</v>
      </c>
      <c r="I21591" s="3">
        <v>2077.54</v>
      </c>
      <c r="J21591" s="3">
        <v>0</v>
      </c>
      <c r="L21591">
        <v>329</v>
      </c>
      <c r="M21591" t="s">
        <v>27399</v>
      </c>
      <c r="N21591" t="s">
        <v>30</v>
      </c>
      <c r="O21591" t="s">
        <v>31</v>
      </c>
      <c r="P21591" t="str">
        <f>"15211"</f>
        <v>15211</v>
      </c>
    </row>
    <row r="21592" spans="1:16" x14ac:dyDescent="0.25">
      <c r="A21592" t="str">
        <f>"1320061M00141    00"</f>
        <v>1320061M00141    00</v>
      </c>
      <c r="B21592" t="s">
        <v>46745</v>
      </c>
      <c r="C21592" t="s">
        <v>46725</v>
      </c>
      <c r="E21592" t="s">
        <v>39</v>
      </c>
      <c r="F21592">
        <v>0</v>
      </c>
      <c r="G21592">
        <v>0</v>
      </c>
      <c r="H21592">
        <v>1</v>
      </c>
      <c r="I21592" s="3">
        <v>20.100000000000001</v>
      </c>
      <c r="J21592" s="3">
        <v>8.0399999999999991</v>
      </c>
      <c r="K21592" t="s">
        <v>400</v>
      </c>
      <c r="L21592">
        <v>6100</v>
      </c>
      <c r="M21592" t="s">
        <v>9949</v>
      </c>
      <c r="N21592" t="s">
        <v>8009</v>
      </c>
      <c r="O21592" t="s">
        <v>2097</v>
      </c>
      <c r="P21592" t="str">
        <f>"37067"</f>
        <v>37067</v>
      </c>
    </row>
    <row r="21593" spans="1:16" x14ac:dyDescent="0.25">
      <c r="A21593" t="str">
        <f>"1320061M00142    00"</f>
        <v>1320061M00142    00</v>
      </c>
      <c r="B21593" t="s">
        <v>46746</v>
      </c>
      <c r="C21593" t="s">
        <v>46747</v>
      </c>
      <c r="D21593" t="s">
        <v>33</v>
      </c>
      <c r="E21593" t="s">
        <v>39</v>
      </c>
      <c r="F21593">
        <v>0</v>
      </c>
      <c r="G21593">
        <v>0</v>
      </c>
      <c r="H21593">
        <v>1</v>
      </c>
      <c r="I21593" s="3">
        <v>916.36</v>
      </c>
      <c r="J21593" s="3">
        <v>0</v>
      </c>
      <c r="K21593" t="s">
        <v>46748</v>
      </c>
      <c r="L21593">
        <v>2431</v>
      </c>
      <c r="M21593" t="s">
        <v>9782</v>
      </c>
      <c r="N21593" t="s">
        <v>30</v>
      </c>
      <c r="O21593" t="s">
        <v>31</v>
      </c>
      <c r="P21593" t="str">
        <f t="shared" ref="P21593:P21606" si="271">"15210"</f>
        <v>15210</v>
      </c>
    </row>
    <row r="21594" spans="1:16" x14ac:dyDescent="0.25">
      <c r="A21594" t="str">
        <f>"1320061M00148    00"</f>
        <v>1320061M00148    00</v>
      </c>
      <c r="B21594" t="s">
        <v>46746</v>
      </c>
      <c r="C21594" t="s">
        <v>46725</v>
      </c>
      <c r="D21594" t="s">
        <v>33</v>
      </c>
      <c r="E21594" t="s">
        <v>39</v>
      </c>
      <c r="F21594">
        <v>0</v>
      </c>
      <c r="G21594">
        <v>0</v>
      </c>
      <c r="H21594">
        <v>1</v>
      </c>
      <c r="I21594" s="3">
        <v>120.95</v>
      </c>
      <c r="J21594" s="3">
        <v>0</v>
      </c>
      <c r="K21594" t="s">
        <v>46748</v>
      </c>
      <c r="L21594">
        <v>2431</v>
      </c>
      <c r="M21594" t="s">
        <v>9782</v>
      </c>
      <c r="N21594" t="s">
        <v>30</v>
      </c>
      <c r="O21594" t="s">
        <v>31</v>
      </c>
      <c r="P21594" t="str">
        <f t="shared" si="271"/>
        <v>15210</v>
      </c>
    </row>
    <row r="21595" spans="1:16" x14ac:dyDescent="0.25">
      <c r="A21595" t="str">
        <f>"1320061M00169    00"</f>
        <v>1320061M00169    00</v>
      </c>
      <c r="B21595" t="s">
        <v>46749</v>
      </c>
      <c r="C21595" t="s">
        <v>46750</v>
      </c>
      <c r="D21595" t="s">
        <v>20</v>
      </c>
      <c r="E21595" t="s">
        <v>39</v>
      </c>
      <c r="F21595">
        <v>0</v>
      </c>
      <c r="G21595">
        <v>0</v>
      </c>
      <c r="H21595">
        <v>2</v>
      </c>
      <c r="I21595" s="3">
        <v>1539.32</v>
      </c>
      <c r="J21595" s="3">
        <v>0</v>
      </c>
      <c r="L21595">
        <v>1636</v>
      </c>
      <c r="M21595" t="s">
        <v>46724</v>
      </c>
      <c r="N21595" t="s">
        <v>30</v>
      </c>
      <c r="O21595" t="s">
        <v>31</v>
      </c>
      <c r="P21595" t="str">
        <f t="shared" si="271"/>
        <v>15210</v>
      </c>
    </row>
    <row r="21596" spans="1:16" x14ac:dyDescent="0.25">
      <c r="A21596" t="str">
        <f>"1320061M00206    00"</f>
        <v>1320061M00206    00</v>
      </c>
      <c r="B21596" t="s">
        <v>46751</v>
      </c>
      <c r="C21596" t="s">
        <v>46752</v>
      </c>
      <c r="D21596" t="s">
        <v>20</v>
      </c>
      <c r="E21596" t="s">
        <v>39</v>
      </c>
      <c r="F21596">
        <v>0</v>
      </c>
      <c r="G21596">
        <v>0</v>
      </c>
      <c r="H21596">
        <v>3</v>
      </c>
      <c r="I21596" s="3">
        <v>463.54</v>
      </c>
      <c r="J21596" s="3">
        <v>2.97</v>
      </c>
      <c r="L21596">
        <v>43</v>
      </c>
      <c r="M21596" t="s">
        <v>46753</v>
      </c>
      <c r="N21596" t="s">
        <v>30</v>
      </c>
      <c r="O21596" t="s">
        <v>31</v>
      </c>
      <c r="P21596" t="str">
        <f t="shared" si="271"/>
        <v>15210</v>
      </c>
    </row>
    <row r="21597" spans="1:16" x14ac:dyDescent="0.25">
      <c r="A21597" t="str">
        <f>"1320061M00208    00"</f>
        <v>1320061M00208    00</v>
      </c>
      <c r="B21597" t="s">
        <v>46751</v>
      </c>
      <c r="C21597" t="s">
        <v>46754</v>
      </c>
      <c r="D21597" t="s">
        <v>20</v>
      </c>
      <c r="E21597" t="s">
        <v>39</v>
      </c>
      <c r="F21597">
        <v>0</v>
      </c>
      <c r="G21597">
        <v>0</v>
      </c>
      <c r="H21597">
        <v>7</v>
      </c>
      <c r="I21597" s="3">
        <v>7087.75</v>
      </c>
      <c r="J21597" s="3">
        <v>1640.94</v>
      </c>
      <c r="L21597">
        <v>43</v>
      </c>
      <c r="M21597" t="s">
        <v>46753</v>
      </c>
      <c r="N21597" t="s">
        <v>30</v>
      </c>
      <c r="O21597" t="s">
        <v>31</v>
      </c>
      <c r="P21597" t="str">
        <f t="shared" si="271"/>
        <v>15210</v>
      </c>
    </row>
    <row r="21598" spans="1:16" x14ac:dyDescent="0.25">
      <c r="A21598" t="str">
        <f>"1320061M00211    00"</f>
        <v>1320061M00211    00</v>
      </c>
      <c r="B21598" t="s">
        <v>46751</v>
      </c>
      <c r="C21598" t="s">
        <v>46752</v>
      </c>
      <c r="D21598" t="s">
        <v>20</v>
      </c>
      <c r="E21598" t="s">
        <v>39</v>
      </c>
      <c r="F21598">
        <v>0</v>
      </c>
      <c r="G21598">
        <v>0</v>
      </c>
      <c r="H21598">
        <v>2</v>
      </c>
      <c r="I21598" s="3">
        <v>331.66</v>
      </c>
      <c r="J21598" s="3">
        <v>0</v>
      </c>
      <c r="L21598">
        <v>43</v>
      </c>
      <c r="M21598" t="s">
        <v>46753</v>
      </c>
      <c r="N21598" t="s">
        <v>30</v>
      </c>
      <c r="O21598" t="s">
        <v>31</v>
      </c>
      <c r="P21598" t="str">
        <f t="shared" si="271"/>
        <v>15210</v>
      </c>
    </row>
    <row r="21599" spans="1:16" x14ac:dyDescent="0.25">
      <c r="A21599" t="str">
        <f>"1320061M00219    00"</f>
        <v>1320061M00219    00</v>
      </c>
      <c r="B21599" t="s">
        <v>46755</v>
      </c>
      <c r="C21599" t="s">
        <v>46752</v>
      </c>
      <c r="D21599" t="s">
        <v>20</v>
      </c>
      <c r="E21599" t="s">
        <v>39</v>
      </c>
      <c r="F21599">
        <v>0</v>
      </c>
      <c r="G21599">
        <v>0</v>
      </c>
      <c r="H21599">
        <v>4</v>
      </c>
      <c r="I21599" s="3">
        <v>1863.4</v>
      </c>
      <c r="J21599" s="3">
        <v>229.45</v>
      </c>
      <c r="L21599">
        <v>59</v>
      </c>
      <c r="M21599" t="s">
        <v>46753</v>
      </c>
      <c r="N21599" t="s">
        <v>30</v>
      </c>
      <c r="O21599" t="s">
        <v>31</v>
      </c>
      <c r="P21599" t="str">
        <f t="shared" si="271"/>
        <v>15210</v>
      </c>
    </row>
    <row r="21600" spans="1:16" x14ac:dyDescent="0.25">
      <c r="A21600" t="str">
        <f>"1320061M00224    00"</f>
        <v>1320061M00224    00</v>
      </c>
      <c r="B21600" t="s">
        <v>46756</v>
      </c>
      <c r="C21600" t="s">
        <v>46757</v>
      </c>
      <c r="D21600" t="s">
        <v>20</v>
      </c>
      <c r="E21600" t="s">
        <v>39</v>
      </c>
      <c r="F21600">
        <v>0</v>
      </c>
      <c r="G21600">
        <v>0</v>
      </c>
      <c r="H21600">
        <v>4</v>
      </c>
      <c r="I21600" s="3">
        <v>10654.14</v>
      </c>
      <c r="J21600" s="3">
        <v>1334.73</v>
      </c>
      <c r="L21600">
        <v>59</v>
      </c>
      <c r="M21600" t="s">
        <v>46753</v>
      </c>
      <c r="N21600" t="s">
        <v>30</v>
      </c>
      <c r="O21600" t="s">
        <v>31</v>
      </c>
      <c r="P21600" t="str">
        <f t="shared" si="271"/>
        <v>15210</v>
      </c>
    </row>
    <row r="21601" spans="1:16" x14ac:dyDescent="0.25">
      <c r="A21601" t="str">
        <f>"1320061M00226    00"</f>
        <v>1320061M00226    00</v>
      </c>
      <c r="B21601" t="s">
        <v>46755</v>
      </c>
      <c r="C21601" t="s">
        <v>46758</v>
      </c>
      <c r="D21601" t="s">
        <v>20</v>
      </c>
      <c r="E21601" t="s">
        <v>39</v>
      </c>
      <c r="F21601">
        <v>0</v>
      </c>
      <c r="G21601">
        <v>0</v>
      </c>
      <c r="H21601">
        <v>4</v>
      </c>
      <c r="I21601" s="3">
        <v>4760.32</v>
      </c>
      <c r="J21601" s="3">
        <v>586.17999999999995</v>
      </c>
      <c r="L21601">
        <v>59</v>
      </c>
      <c r="M21601" t="s">
        <v>46753</v>
      </c>
      <c r="N21601" t="s">
        <v>30</v>
      </c>
      <c r="O21601" t="s">
        <v>31</v>
      </c>
      <c r="P21601" t="str">
        <f t="shared" si="271"/>
        <v>15210</v>
      </c>
    </row>
    <row r="21602" spans="1:16" x14ac:dyDescent="0.25">
      <c r="A21602" t="str">
        <f>"1320061M00253    00"</f>
        <v>1320061M00253    00</v>
      </c>
      <c r="B21602" t="s">
        <v>46759</v>
      </c>
      <c r="C21602" t="s">
        <v>46752</v>
      </c>
      <c r="D21602" t="s">
        <v>20</v>
      </c>
      <c r="E21602" t="s">
        <v>39</v>
      </c>
      <c r="F21602">
        <v>0</v>
      </c>
      <c r="G21602">
        <v>0</v>
      </c>
      <c r="H21602">
        <v>14</v>
      </c>
      <c r="I21602" s="3">
        <v>2745.54</v>
      </c>
      <c r="J21602" s="3">
        <v>1580.59</v>
      </c>
      <c r="L21602">
        <v>1725</v>
      </c>
      <c r="M21602" t="s">
        <v>46733</v>
      </c>
      <c r="N21602" t="s">
        <v>30</v>
      </c>
      <c r="O21602" t="s">
        <v>31</v>
      </c>
      <c r="P21602" t="str">
        <f t="shared" si="271"/>
        <v>15210</v>
      </c>
    </row>
    <row r="21603" spans="1:16" x14ac:dyDescent="0.25">
      <c r="A21603" t="str">
        <f>"1320061M00255    00"</f>
        <v>1320061M00255    00</v>
      </c>
      <c r="B21603" t="s">
        <v>46759</v>
      </c>
      <c r="C21603" t="s">
        <v>46760</v>
      </c>
      <c r="D21603" t="s">
        <v>20</v>
      </c>
      <c r="E21603" t="s">
        <v>39</v>
      </c>
      <c r="F21603">
        <v>0</v>
      </c>
      <c r="G21603">
        <v>0</v>
      </c>
      <c r="H21603">
        <v>17</v>
      </c>
      <c r="I21603" s="3">
        <v>23859.759999999998</v>
      </c>
      <c r="J21603" s="3">
        <v>17691.89</v>
      </c>
      <c r="L21603">
        <v>1725</v>
      </c>
      <c r="M21603" t="s">
        <v>46733</v>
      </c>
      <c r="N21603" t="s">
        <v>30</v>
      </c>
      <c r="O21603" t="s">
        <v>31</v>
      </c>
      <c r="P21603" t="str">
        <f t="shared" si="271"/>
        <v>15210</v>
      </c>
    </row>
    <row r="21604" spans="1:16" x14ac:dyDescent="0.25">
      <c r="A21604" t="str">
        <f>"1320061M00263    00"</f>
        <v>1320061M00263    00</v>
      </c>
      <c r="B21604" t="s">
        <v>46761</v>
      </c>
      <c r="C21604" t="s">
        <v>46762</v>
      </c>
      <c r="E21604" t="s">
        <v>39</v>
      </c>
      <c r="F21604">
        <v>0</v>
      </c>
      <c r="G21604">
        <v>0</v>
      </c>
      <c r="H21604">
        <v>1</v>
      </c>
      <c r="I21604" s="3">
        <v>412.01</v>
      </c>
      <c r="J21604" s="3">
        <v>195.7</v>
      </c>
      <c r="K21604" t="s">
        <v>46763</v>
      </c>
      <c r="L21604">
        <v>2039</v>
      </c>
      <c r="M21604" t="s">
        <v>46764</v>
      </c>
      <c r="N21604" t="s">
        <v>30</v>
      </c>
      <c r="O21604" t="s">
        <v>31</v>
      </c>
      <c r="P21604" t="str">
        <f t="shared" si="271"/>
        <v>15210</v>
      </c>
    </row>
    <row r="21605" spans="1:16" x14ac:dyDescent="0.25">
      <c r="A21605" t="str">
        <f>"1320061M00304    00"</f>
        <v>1320061M00304    00</v>
      </c>
      <c r="B21605" t="s">
        <v>46765</v>
      </c>
      <c r="C21605" t="s">
        <v>46766</v>
      </c>
      <c r="D21605" t="s">
        <v>20</v>
      </c>
      <c r="E21605" t="s">
        <v>39</v>
      </c>
      <c r="F21605">
        <v>0</v>
      </c>
      <c r="G21605">
        <v>0</v>
      </c>
      <c r="H21605">
        <v>1</v>
      </c>
      <c r="I21605" s="3">
        <v>455.39</v>
      </c>
      <c r="J21605" s="3">
        <v>0</v>
      </c>
      <c r="L21605">
        <v>2036</v>
      </c>
      <c r="M21605" t="s">
        <v>46764</v>
      </c>
      <c r="N21605" t="s">
        <v>30</v>
      </c>
      <c r="O21605" t="s">
        <v>31</v>
      </c>
      <c r="P21605" t="str">
        <f t="shared" si="271"/>
        <v>15210</v>
      </c>
    </row>
    <row r="21606" spans="1:16" x14ac:dyDescent="0.25">
      <c r="A21606" t="str">
        <f>"1320061M00310    00"</f>
        <v>1320061M00310    00</v>
      </c>
      <c r="B21606" t="s">
        <v>46767</v>
      </c>
      <c r="C21606" t="s">
        <v>46768</v>
      </c>
      <c r="D21606" t="s">
        <v>20</v>
      </c>
      <c r="E21606" t="s">
        <v>39</v>
      </c>
      <c r="F21606">
        <v>0</v>
      </c>
      <c r="G21606">
        <v>0</v>
      </c>
      <c r="H21606">
        <v>2</v>
      </c>
      <c r="I21606" s="3">
        <v>2791.38</v>
      </c>
      <c r="J21606" s="3">
        <v>0</v>
      </c>
      <c r="K21606" t="s">
        <v>46769</v>
      </c>
      <c r="L21606">
        <v>1668</v>
      </c>
      <c r="M21606" t="s">
        <v>46733</v>
      </c>
      <c r="N21606" t="s">
        <v>30</v>
      </c>
      <c r="O21606" t="s">
        <v>31</v>
      </c>
      <c r="P21606" t="str">
        <f t="shared" si="271"/>
        <v>15210</v>
      </c>
    </row>
    <row r="21607" spans="1:16" x14ac:dyDescent="0.25">
      <c r="A21607" t="str">
        <f>"1320061P00117    00"</f>
        <v>1320061P00117    00</v>
      </c>
      <c r="B21607" t="s">
        <v>46770</v>
      </c>
      <c r="C21607" t="s">
        <v>46771</v>
      </c>
      <c r="D21607" t="s">
        <v>20</v>
      </c>
      <c r="E21607" t="s">
        <v>39</v>
      </c>
      <c r="F21607">
        <v>0</v>
      </c>
      <c r="G21607">
        <v>0</v>
      </c>
      <c r="H21607">
        <v>1</v>
      </c>
      <c r="I21607" s="3">
        <v>194.7</v>
      </c>
      <c r="J21607" s="3">
        <v>0</v>
      </c>
      <c r="L21607">
        <v>1242</v>
      </c>
      <c r="M21607" t="s">
        <v>46772</v>
      </c>
      <c r="N21607" t="s">
        <v>30</v>
      </c>
      <c r="O21607" t="s">
        <v>31</v>
      </c>
      <c r="P21607" t="str">
        <f>"15226"</f>
        <v>15226</v>
      </c>
    </row>
    <row r="21608" spans="1:16" x14ac:dyDescent="0.25">
      <c r="A21608" t="str">
        <f>"1320061P00149    00"</f>
        <v>1320061P00149    00</v>
      </c>
      <c r="B21608" t="s">
        <v>46773</v>
      </c>
      <c r="C21608" t="s">
        <v>46774</v>
      </c>
      <c r="D21608" t="s">
        <v>20</v>
      </c>
      <c r="E21608" t="s">
        <v>39</v>
      </c>
      <c r="F21608">
        <v>0</v>
      </c>
      <c r="G21608">
        <v>0</v>
      </c>
      <c r="H21608">
        <v>2</v>
      </c>
      <c r="I21608" s="3">
        <v>712.74</v>
      </c>
      <c r="J21608" s="3">
        <v>0</v>
      </c>
      <c r="L21608">
        <v>1219</v>
      </c>
      <c r="M21608" t="s">
        <v>46772</v>
      </c>
      <c r="N21608" t="s">
        <v>30</v>
      </c>
      <c r="O21608" t="s">
        <v>31</v>
      </c>
      <c r="P21608" t="str">
        <f>"15226"</f>
        <v>15226</v>
      </c>
    </row>
    <row r="21609" spans="1:16" x14ac:dyDescent="0.25">
      <c r="A21609" t="str">
        <f>"1320061P00154    00"</f>
        <v>1320061P00154    00</v>
      </c>
      <c r="B21609" t="s">
        <v>46775</v>
      </c>
      <c r="C21609" t="s">
        <v>46776</v>
      </c>
      <c r="E21609" t="s">
        <v>39</v>
      </c>
      <c r="F21609">
        <v>0</v>
      </c>
      <c r="G21609">
        <v>0</v>
      </c>
      <c r="H21609">
        <v>2</v>
      </c>
      <c r="I21609" s="3">
        <v>3655.72</v>
      </c>
      <c r="J21609" s="3">
        <v>45.69</v>
      </c>
      <c r="K21609" t="s">
        <v>1632</v>
      </c>
      <c r="M21609" t="s">
        <v>1633</v>
      </c>
      <c r="N21609" t="s">
        <v>1634</v>
      </c>
      <c r="O21609" t="s">
        <v>25</v>
      </c>
      <c r="P21609" t="str">
        <f>"45401"</f>
        <v>45401</v>
      </c>
    </row>
    <row r="21610" spans="1:16" x14ac:dyDescent="0.25">
      <c r="A21610" t="str">
        <f>"1320061R00022    00"</f>
        <v>1320061R00022    00</v>
      </c>
      <c r="B21610" t="s">
        <v>29705</v>
      </c>
      <c r="C21610" t="s">
        <v>46777</v>
      </c>
      <c r="D21610" t="s">
        <v>20</v>
      </c>
      <c r="E21610" t="s">
        <v>39</v>
      </c>
      <c r="F21610">
        <v>0</v>
      </c>
      <c r="G21610">
        <v>0</v>
      </c>
      <c r="H21610">
        <v>1</v>
      </c>
      <c r="I21610" s="3">
        <v>1776.42</v>
      </c>
      <c r="J21610" s="3">
        <v>0</v>
      </c>
      <c r="K21610" t="s">
        <v>29707</v>
      </c>
      <c r="L21610">
        <v>3015</v>
      </c>
      <c r="M21610" t="s">
        <v>29708</v>
      </c>
      <c r="N21610" t="s">
        <v>4652</v>
      </c>
      <c r="O21610" t="s">
        <v>370</v>
      </c>
      <c r="P21610" t="str">
        <f>"33142"</f>
        <v>33142</v>
      </c>
    </row>
    <row r="21611" spans="1:16" x14ac:dyDescent="0.25">
      <c r="A21611" t="str">
        <f>"1320061R00194    00"</f>
        <v>1320061R00194    00</v>
      </c>
      <c r="B21611" t="s">
        <v>46778</v>
      </c>
      <c r="C21611" t="s">
        <v>46779</v>
      </c>
      <c r="D21611" t="s">
        <v>20</v>
      </c>
      <c r="E21611" t="s">
        <v>39</v>
      </c>
      <c r="F21611">
        <v>0</v>
      </c>
      <c r="G21611">
        <v>0</v>
      </c>
      <c r="H21611">
        <v>13</v>
      </c>
      <c r="I21611" s="3">
        <v>10805.01</v>
      </c>
      <c r="J21611" s="3">
        <v>7098.31</v>
      </c>
      <c r="L21611">
        <v>2215</v>
      </c>
      <c r="M21611" t="s">
        <v>25206</v>
      </c>
      <c r="N21611" t="s">
        <v>30</v>
      </c>
      <c r="O21611" t="s">
        <v>31</v>
      </c>
      <c r="P21611" t="str">
        <f>"15226"</f>
        <v>15226</v>
      </c>
    </row>
    <row r="21612" spans="1:16" x14ac:dyDescent="0.25">
      <c r="A21612" t="str">
        <f>"1320061R00200    00"</f>
        <v>1320061R00200    00</v>
      </c>
      <c r="B21612" t="s">
        <v>46780</v>
      </c>
      <c r="C21612" t="s">
        <v>46781</v>
      </c>
      <c r="D21612" t="s">
        <v>20</v>
      </c>
      <c r="E21612" t="s">
        <v>39</v>
      </c>
      <c r="F21612">
        <v>0</v>
      </c>
      <c r="G21612">
        <v>0</v>
      </c>
      <c r="H21612">
        <v>13</v>
      </c>
      <c r="I21612" s="3">
        <v>7528.48</v>
      </c>
      <c r="J21612" s="3">
        <v>4261.4399999999996</v>
      </c>
      <c r="L21612">
        <v>2215</v>
      </c>
      <c r="M21612" t="s">
        <v>25206</v>
      </c>
      <c r="N21612" t="s">
        <v>30</v>
      </c>
      <c r="O21612" t="s">
        <v>31</v>
      </c>
      <c r="P21612" t="str">
        <f>"15226"</f>
        <v>15226</v>
      </c>
    </row>
    <row r="21613" spans="1:16" x14ac:dyDescent="0.25">
      <c r="A21613" t="str">
        <f>"1320061R00204    00"</f>
        <v>1320061R00204    00</v>
      </c>
      <c r="B21613" t="s">
        <v>46782</v>
      </c>
      <c r="C21613" t="s">
        <v>46783</v>
      </c>
      <c r="D21613" t="s">
        <v>20</v>
      </c>
      <c r="E21613" t="s">
        <v>39</v>
      </c>
      <c r="F21613">
        <v>0</v>
      </c>
      <c r="G21613">
        <v>0</v>
      </c>
      <c r="H21613">
        <v>13</v>
      </c>
      <c r="I21613" s="3">
        <v>18363.3</v>
      </c>
      <c r="J21613" s="3">
        <v>14053.27</v>
      </c>
      <c r="L21613">
        <v>2231</v>
      </c>
      <c r="M21613" t="s">
        <v>25206</v>
      </c>
      <c r="N21613" t="s">
        <v>30</v>
      </c>
      <c r="O21613" t="s">
        <v>31</v>
      </c>
      <c r="P21613" t="str">
        <f>"15226"</f>
        <v>15226</v>
      </c>
    </row>
    <row r="21614" spans="1:16" x14ac:dyDescent="0.25">
      <c r="A21614" t="str">
        <f>"1320061S00045    00"</f>
        <v>1320061S00045    00</v>
      </c>
      <c r="B21614" t="s">
        <v>46784</v>
      </c>
      <c r="C21614" t="s">
        <v>46785</v>
      </c>
      <c r="E21614" t="s">
        <v>39</v>
      </c>
      <c r="F21614">
        <v>0</v>
      </c>
      <c r="G21614">
        <v>0</v>
      </c>
      <c r="H21614">
        <v>1</v>
      </c>
      <c r="I21614" s="3">
        <v>84.42</v>
      </c>
      <c r="J21614" s="3">
        <v>0</v>
      </c>
      <c r="L21614">
        <v>2100</v>
      </c>
      <c r="M21614" t="s">
        <v>25206</v>
      </c>
      <c r="N21614" t="s">
        <v>30</v>
      </c>
      <c r="O21614" t="s">
        <v>31</v>
      </c>
      <c r="P21614" t="str">
        <f>"15210"</f>
        <v>15210</v>
      </c>
    </row>
    <row r="21615" spans="1:16" x14ac:dyDescent="0.25">
      <c r="A21615" t="str">
        <f>"1320061S00050    00"</f>
        <v>1320061S00050    00</v>
      </c>
      <c r="B21615" t="s">
        <v>46786</v>
      </c>
      <c r="C21615" t="s">
        <v>46787</v>
      </c>
      <c r="E21615" t="s">
        <v>39</v>
      </c>
      <c r="F21615">
        <v>0</v>
      </c>
      <c r="G21615">
        <v>0</v>
      </c>
      <c r="H21615">
        <v>1</v>
      </c>
      <c r="I21615" s="3">
        <v>1869.8</v>
      </c>
      <c r="J21615" s="3">
        <v>373.95</v>
      </c>
      <c r="K21615" t="s">
        <v>46788</v>
      </c>
      <c r="L21615">
        <v>2084</v>
      </c>
      <c r="M21615" t="s">
        <v>25206</v>
      </c>
      <c r="N21615" t="s">
        <v>30</v>
      </c>
      <c r="O21615" t="s">
        <v>31</v>
      </c>
      <c r="P21615" t="str">
        <f>"15210"</f>
        <v>15210</v>
      </c>
    </row>
    <row r="21616" spans="1:16" x14ac:dyDescent="0.25">
      <c r="A21616" t="str">
        <f>"1320061S00056    00"</f>
        <v>1320061S00056    00</v>
      </c>
      <c r="B21616" t="s">
        <v>46789</v>
      </c>
      <c r="C21616" t="s">
        <v>46790</v>
      </c>
      <c r="D21616" t="s">
        <v>20</v>
      </c>
      <c r="E21616" t="s">
        <v>39</v>
      </c>
      <c r="F21616">
        <v>0</v>
      </c>
      <c r="G21616">
        <v>0</v>
      </c>
      <c r="H21616">
        <v>9</v>
      </c>
      <c r="I21616" s="3">
        <v>13377.5</v>
      </c>
      <c r="J21616" s="3">
        <v>5087.67</v>
      </c>
      <c r="L21616">
        <v>2074</v>
      </c>
      <c r="M21616" t="s">
        <v>25206</v>
      </c>
      <c r="N21616" t="s">
        <v>30</v>
      </c>
      <c r="O21616" t="s">
        <v>31</v>
      </c>
      <c r="P21616" t="str">
        <f>"15210"</f>
        <v>15210</v>
      </c>
    </row>
    <row r="21617" spans="1:16" x14ac:dyDescent="0.25">
      <c r="A21617" t="str">
        <f>"1320061S00079    00"</f>
        <v>1320061S00079    00</v>
      </c>
      <c r="B21617" t="s">
        <v>46791</v>
      </c>
      <c r="C21617" t="s">
        <v>46792</v>
      </c>
      <c r="E21617" t="s">
        <v>39</v>
      </c>
      <c r="F21617">
        <v>0</v>
      </c>
      <c r="G21617">
        <v>0</v>
      </c>
      <c r="H21617">
        <v>1</v>
      </c>
      <c r="I21617" s="3">
        <v>148.86000000000001</v>
      </c>
      <c r="J21617" s="3">
        <v>59.55</v>
      </c>
      <c r="L21617">
        <v>1745</v>
      </c>
      <c r="M21617" t="s">
        <v>46733</v>
      </c>
      <c r="N21617" t="s">
        <v>30</v>
      </c>
      <c r="O21617" t="s">
        <v>31</v>
      </c>
      <c r="P21617" t="str">
        <f>"15210"</f>
        <v>15210</v>
      </c>
    </row>
    <row r="21618" spans="1:16" x14ac:dyDescent="0.25">
      <c r="A21618" t="str">
        <f>"1320095A00168000100"</f>
        <v>1320095A00168000100</v>
      </c>
      <c r="B21618" t="s">
        <v>46793</v>
      </c>
      <c r="C21618" t="s">
        <v>30456</v>
      </c>
      <c r="D21618" t="s">
        <v>20</v>
      </c>
      <c r="E21618" t="s">
        <v>39</v>
      </c>
      <c r="F21618">
        <v>0</v>
      </c>
      <c r="G21618">
        <v>0</v>
      </c>
      <c r="H21618">
        <v>17</v>
      </c>
      <c r="I21618" s="3">
        <v>152.36000000000001</v>
      </c>
      <c r="J21618" s="3">
        <v>159.4</v>
      </c>
      <c r="P21618" t="str">
        <f>""</f>
        <v/>
      </c>
    </row>
    <row r="21619" spans="1:16" x14ac:dyDescent="0.25">
      <c r="A21619" t="str">
        <f>"1320095A00168000300"</f>
        <v>1320095A00168000300</v>
      </c>
      <c r="B21619" t="s">
        <v>46794</v>
      </c>
      <c r="C21619" t="s">
        <v>30456</v>
      </c>
      <c r="D21619" t="s">
        <v>20</v>
      </c>
      <c r="E21619" t="s">
        <v>39</v>
      </c>
      <c r="F21619">
        <v>0</v>
      </c>
      <c r="G21619">
        <v>0</v>
      </c>
      <c r="H21619">
        <v>19</v>
      </c>
      <c r="I21619" s="3">
        <v>853.33</v>
      </c>
      <c r="J21619" s="3">
        <v>608.52</v>
      </c>
      <c r="L21619">
        <v>642</v>
      </c>
      <c r="M21619" t="s">
        <v>46795</v>
      </c>
      <c r="N21619" t="s">
        <v>2187</v>
      </c>
      <c r="O21619" t="s">
        <v>31</v>
      </c>
      <c r="P21619" t="str">
        <f>"15132"</f>
        <v>15132</v>
      </c>
    </row>
    <row r="21620" spans="1:16" x14ac:dyDescent="0.25">
      <c r="A21620" t="str">
        <f>"1320095A00168000400"</f>
        <v>1320095A00168000400</v>
      </c>
      <c r="B21620" t="s">
        <v>46796</v>
      </c>
      <c r="C21620" t="s">
        <v>30456</v>
      </c>
      <c r="D21620" t="s">
        <v>20</v>
      </c>
      <c r="E21620" t="s">
        <v>39</v>
      </c>
      <c r="F21620">
        <v>0</v>
      </c>
      <c r="G21620">
        <v>0</v>
      </c>
      <c r="H21620">
        <v>19</v>
      </c>
      <c r="I21620" s="3">
        <v>326.35000000000002</v>
      </c>
      <c r="J21620" s="3">
        <v>329.95</v>
      </c>
      <c r="K21620" t="s">
        <v>1037</v>
      </c>
      <c r="M21620" t="s">
        <v>46797</v>
      </c>
      <c r="N21620" t="s">
        <v>30</v>
      </c>
      <c r="O21620" t="s">
        <v>31</v>
      </c>
      <c r="P21620" t="str">
        <f>"15210"</f>
        <v>15210</v>
      </c>
    </row>
    <row r="21621" spans="1:16" x14ac:dyDescent="0.25">
      <c r="A21621" t="str">
        <f>"1320095A00168000500"</f>
        <v>1320095A00168000500</v>
      </c>
      <c r="B21621" t="s">
        <v>46798</v>
      </c>
      <c r="C21621" t="s">
        <v>30456</v>
      </c>
      <c r="D21621" t="s">
        <v>20</v>
      </c>
      <c r="E21621" t="s">
        <v>39</v>
      </c>
      <c r="F21621">
        <v>0</v>
      </c>
      <c r="G21621">
        <v>0</v>
      </c>
      <c r="H21621">
        <v>7</v>
      </c>
      <c r="I21621" s="3">
        <v>59.83</v>
      </c>
      <c r="J21621" s="3">
        <v>44.19</v>
      </c>
      <c r="L21621">
        <v>101</v>
      </c>
      <c r="M21621" t="s">
        <v>46799</v>
      </c>
      <c r="N21621" t="s">
        <v>3934</v>
      </c>
      <c r="O21621" t="s">
        <v>31</v>
      </c>
      <c r="P21621" t="str">
        <f>"15102"</f>
        <v>15102</v>
      </c>
    </row>
    <row r="21622" spans="1:16" x14ac:dyDescent="0.25">
      <c r="A21622" t="str">
        <f>"1320095A00169    00"</f>
        <v>1320095A00169    00</v>
      </c>
      <c r="B21622" t="s">
        <v>46794</v>
      </c>
      <c r="C21622" t="s">
        <v>30456</v>
      </c>
      <c r="D21622" t="s">
        <v>20</v>
      </c>
      <c r="E21622" t="s">
        <v>39</v>
      </c>
      <c r="F21622">
        <v>0</v>
      </c>
      <c r="G21622">
        <v>0</v>
      </c>
      <c r="H21622">
        <v>19</v>
      </c>
      <c r="I21622" s="3">
        <v>18240.689999999999</v>
      </c>
      <c r="J21622" s="3">
        <v>19814.919999999998</v>
      </c>
      <c r="K21622" t="s">
        <v>46800</v>
      </c>
      <c r="L21622">
        <v>642</v>
      </c>
      <c r="M21622" t="s">
        <v>46795</v>
      </c>
      <c r="N21622" t="s">
        <v>238</v>
      </c>
      <c r="O21622" t="s">
        <v>31</v>
      </c>
      <c r="P21622" t="str">
        <f>"15132"</f>
        <v>15132</v>
      </c>
    </row>
    <row r="21623" spans="1:16" x14ac:dyDescent="0.25">
      <c r="A21623" t="str">
        <f>"1320095A00211    00"</f>
        <v>1320095A00211    00</v>
      </c>
      <c r="B21623" t="s">
        <v>46801</v>
      </c>
      <c r="C21623" t="s">
        <v>46802</v>
      </c>
      <c r="E21623" t="s">
        <v>39</v>
      </c>
      <c r="F21623">
        <v>0</v>
      </c>
      <c r="G21623">
        <v>0</v>
      </c>
      <c r="H21623">
        <v>1</v>
      </c>
      <c r="I21623" s="3">
        <v>74.88</v>
      </c>
      <c r="J21623" s="3">
        <v>22.46</v>
      </c>
      <c r="L21623">
        <v>2030</v>
      </c>
      <c r="M21623" t="s">
        <v>22758</v>
      </c>
      <c r="N21623" t="s">
        <v>30</v>
      </c>
      <c r="O21623" t="s">
        <v>31</v>
      </c>
      <c r="P21623" t="str">
        <f>"15210"</f>
        <v>15210</v>
      </c>
    </row>
    <row r="21624" spans="1:16" x14ac:dyDescent="0.25">
      <c r="A21624" t="str">
        <f>"1320095A00214    00"</f>
        <v>1320095A00214    00</v>
      </c>
      <c r="B21624" t="s">
        <v>46803</v>
      </c>
      <c r="C21624" t="s">
        <v>46804</v>
      </c>
      <c r="D21624" t="s">
        <v>20</v>
      </c>
      <c r="E21624" t="s">
        <v>21</v>
      </c>
      <c r="F21624">
        <v>0</v>
      </c>
      <c r="G21624">
        <v>0</v>
      </c>
      <c r="H21624">
        <v>19</v>
      </c>
      <c r="I21624" s="3">
        <v>4332.72</v>
      </c>
      <c r="J21624" s="3">
        <v>2493.04</v>
      </c>
      <c r="P21624" t="str">
        <f>""</f>
        <v/>
      </c>
    </row>
    <row r="21625" spans="1:16" x14ac:dyDescent="0.25">
      <c r="A21625" t="str">
        <f>"1320095A00248    00"</f>
        <v>1320095A00248    00</v>
      </c>
      <c r="B21625" t="s">
        <v>46805</v>
      </c>
      <c r="C21625" t="s">
        <v>46806</v>
      </c>
      <c r="E21625" t="s">
        <v>39</v>
      </c>
      <c r="F21625">
        <v>0</v>
      </c>
      <c r="G21625">
        <v>0</v>
      </c>
      <c r="H21625">
        <v>15</v>
      </c>
      <c r="I21625" s="3">
        <v>10117.030000000001</v>
      </c>
      <c r="J21625" s="3">
        <v>10177.799999999999</v>
      </c>
      <c r="L21625">
        <v>810</v>
      </c>
      <c r="M21625" t="s">
        <v>15360</v>
      </c>
      <c r="N21625" t="s">
        <v>15361</v>
      </c>
      <c r="O21625" t="s">
        <v>2109</v>
      </c>
      <c r="P21625" t="str">
        <f>"84404"</f>
        <v>84404</v>
      </c>
    </row>
    <row r="21626" spans="1:16" x14ac:dyDescent="0.25">
      <c r="A21626" t="str">
        <f>"1320095A00251    00"</f>
        <v>1320095A00251    00</v>
      </c>
      <c r="B21626" t="s">
        <v>46807</v>
      </c>
      <c r="C21626" t="s">
        <v>46804</v>
      </c>
      <c r="E21626" t="s">
        <v>39</v>
      </c>
      <c r="F21626">
        <v>0</v>
      </c>
      <c r="G21626">
        <v>0</v>
      </c>
      <c r="H21626">
        <v>1</v>
      </c>
      <c r="I21626" s="3">
        <v>80.05</v>
      </c>
      <c r="J21626" s="3">
        <v>0</v>
      </c>
      <c r="L21626">
        <v>1922</v>
      </c>
      <c r="M21626" t="s">
        <v>22758</v>
      </c>
      <c r="N21626" t="s">
        <v>30</v>
      </c>
      <c r="O21626" t="s">
        <v>31</v>
      </c>
      <c r="P21626" t="str">
        <f>"15210"</f>
        <v>15210</v>
      </c>
    </row>
    <row r="21627" spans="1:16" x14ac:dyDescent="0.25">
      <c r="A21627" t="str">
        <f>"1320095A00260    00"</f>
        <v>1320095A00260    00</v>
      </c>
      <c r="B21627" t="s">
        <v>46808</v>
      </c>
      <c r="C21627" t="s">
        <v>46809</v>
      </c>
      <c r="D21627" t="s">
        <v>20</v>
      </c>
      <c r="E21627" t="s">
        <v>39</v>
      </c>
      <c r="F21627">
        <v>0</v>
      </c>
      <c r="G21627">
        <v>0</v>
      </c>
      <c r="H21627">
        <v>3</v>
      </c>
      <c r="I21627" s="3">
        <v>3848.25</v>
      </c>
      <c r="J21627" s="3">
        <v>256.54000000000002</v>
      </c>
      <c r="L21627">
        <v>1935</v>
      </c>
      <c r="M21627" t="s">
        <v>22758</v>
      </c>
      <c r="N21627" t="s">
        <v>30</v>
      </c>
      <c r="O21627" t="s">
        <v>31</v>
      </c>
      <c r="P21627" t="str">
        <f>"15210"</f>
        <v>15210</v>
      </c>
    </row>
    <row r="21628" spans="1:16" x14ac:dyDescent="0.25">
      <c r="A21628" t="str">
        <f>"1320095A00264    00"</f>
        <v>1320095A00264    00</v>
      </c>
      <c r="B21628" t="s">
        <v>46810</v>
      </c>
      <c r="C21628" t="s">
        <v>46811</v>
      </c>
      <c r="D21628" t="s">
        <v>20</v>
      </c>
      <c r="E21628" t="s">
        <v>39</v>
      </c>
      <c r="F21628">
        <v>0</v>
      </c>
      <c r="G21628">
        <v>0</v>
      </c>
      <c r="H21628">
        <v>3</v>
      </c>
      <c r="I21628" s="3">
        <v>1563.02</v>
      </c>
      <c r="J21628" s="3">
        <v>174.84</v>
      </c>
      <c r="L21628">
        <v>247</v>
      </c>
      <c r="M21628" t="s">
        <v>27955</v>
      </c>
      <c r="N21628" t="s">
        <v>30</v>
      </c>
      <c r="O21628" t="s">
        <v>31</v>
      </c>
      <c r="P21628" t="str">
        <f>"15211"</f>
        <v>15211</v>
      </c>
    </row>
    <row r="21629" spans="1:16" x14ac:dyDescent="0.25">
      <c r="A21629" t="str">
        <f>"1320095A00301    00"</f>
        <v>1320095A00301    00</v>
      </c>
      <c r="B21629" t="s">
        <v>24076</v>
      </c>
      <c r="C21629" t="s">
        <v>46812</v>
      </c>
      <c r="D21629" t="s">
        <v>20</v>
      </c>
      <c r="E21629" t="s">
        <v>39</v>
      </c>
      <c r="F21629">
        <v>0</v>
      </c>
      <c r="G21629">
        <v>0</v>
      </c>
      <c r="H21629">
        <v>1</v>
      </c>
      <c r="I21629" s="3">
        <v>1231.27</v>
      </c>
      <c r="J21629" s="3">
        <v>0</v>
      </c>
      <c r="L21629">
        <v>2351</v>
      </c>
      <c r="M21629" t="s">
        <v>9782</v>
      </c>
      <c r="N21629" t="s">
        <v>30</v>
      </c>
      <c r="O21629" t="s">
        <v>31</v>
      </c>
      <c r="P21629" t="str">
        <f>"15210"</f>
        <v>15210</v>
      </c>
    </row>
    <row r="21630" spans="1:16" x14ac:dyDescent="0.25">
      <c r="A21630" t="str">
        <f>"1320095A00307    00"</f>
        <v>1320095A00307    00</v>
      </c>
      <c r="B21630" t="s">
        <v>46813</v>
      </c>
      <c r="C21630" t="s">
        <v>46814</v>
      </c>
      <c r="D21630" t="s">
        <v>20</v>
      </c>
      <c r="E21630" t="s">
        <v>39</v>
      </c>
      <c r="F21630">
        <v>0</v>
      </c>
      <c r="G21630">
        <v>0</v>
      </c>
      <c r="H21630">
        <v>3</v>
      </c>
      <c r="I21630" s="3">
        <v>806.11</v>
      </c>
      <c r="J21630" s="3">
        <v>71.739999999999995</v>
      </c>
      <c r="L21630">
        <v>2014</v>
      </c>
      <c r="M21630" t="s">
        <v>46815</v>
      </c>
      <c r="N21630" t="s">
        <v>30</v>
      </c>
      <c r="O21630" t="s">
        <v>31</v>
      </c>
      <c r="P21630" t="str">
        <f>"15210"</f>
        <v>15210</v>
      </c>
    </row>
    <row r="21631" spans="1:16" x14ac:dyDescent="0.25">
      <c r="A21631" t="str">
        <f>"1320095A00331    00"</f>
        <v>1320095A00331    00</v>
      </c>
      <c r="B21631" t="s">
        <v>46816</v>
      </c>
      <c r="C21631" t="s">
        <v>46817</v>
      </c>
      <c r="D21631" t="s">
        <v>20</v>
      </c>
      <c r="E21631" t="s">
        <v>39</v>
      </c>
      <c r="F21631">
        <v>0</v>
      </c>
      <c r="G21631">
        <v>0</v>
      </c>
      <c r="H21631">
        <v>1</v>
      </c>
      <c r="I21631" s="3">
        <v>2235.75</v>
      </c>
      <c r="J21631" s="3">
        <v>0</v>
      </c>
      <c r="L21631">
        <v>1934</v>
      </c>
      <c r="M21631" t="s">
        <v>46815</v>
      </c>
      <c r="N21631" t="s">
        <v>30</v>
      </c>
      <c r="O21631" t="s">
        <v>31</v>
      </c>
      <c r="P21631" t="str">
        <f>"15210"</f>
        <v>15210</v>
      </c>
    </row>
    <row r="21632" spans="1:16" x14ac:dyDescent="0.25">
      <c r="A21632" t="str">
        <f>"1320095B00005    00"</f>
        <v>1320095B00005    00</v>
      </c>
      <c r="B21632" t="s">
        <v>46818</v>
      </c>
      <c r="C21632" t="s">
        <v>46819</v>
      </c>
      <c r="E21632" t="s">
        <v>39</v>
      </c>
      <c r="F21632">
        <v>0</v>
      </c>
      <c r="G21632">
        <v>0</v>
      </c>
      <c r="H21632">
        <v>1</v>
      </c>
      <c r="I21632" s="3">
        <v>461.66</v>
      </c>
      <c r="J21632" s="3">
        <v>0</v>
      </c>
      <c r="L21632">
        <v>164</v>
      </c>
      <c r="M21632" t="s">
        <v>585</v>
      </c>
      <c r="N21632" t="s">
        <v>30</v>
      </c>
      <c r="O21632" t="s">
        <v>31</v>
      </c>
      <c r="P21632" t="str">
        <f>"15210"</f>
        <v>15210</v>
      </c>
    </row>
    <row r="21633" spans="1:16" x14ac:dyDescent="0.25">
      <c r="A21633" t="str">
        <f>"1320095B00029    00"</f>
        <v>1320095B00029    00</v>
      </c>
      <c r="B21633" t="s">
        <v>8294</v>
      </c>
      <c r="C21633" t="s">
        <v>46820</v>
      </c>
      <c r="D21633" t="s">
        <v>20</v>
      </c>
      <c r="E21633" t="s">
        <v>39</v>
      </c>
      <c r="F21633">
        <v>0</v>
      </c>
      <c r="G21633">
        <v>0</v>
      </c>
      <c r="H21633">
        <v>5</v>
      </c>
      <c r="I21633" s="3">
        <v>3109.73</v>
      </c>
      <c r="J21633" s="3">
        <v>560.1</v>
      </c>
      <c r="L21633">
        <v>303</v>
      </c>
      <c r="M21633" t="s">
        <v>8296</v>
      </c>
      <c r="N21633" t="s">
        <v>30</v>
      </c>
      <c r="O21633" t="s">
        <v>31</v>
      </c>
      <c r="P21633" t="str">
        <f>"15211"</f>
        <v>15211</v>
      </c>
    </row>
    <row r="21634" spans="1:16" x14ac:dyDescent="0.25">
      <c r="A21634" t="str">
        <f>"1320095B00034    00"</f>
        <v>1320095B00034    00</v>
      </c>
      <c r="B21634" t="s">
        <v>8294</v>
      </c>
      <c r="C21634" t="s">
        <v>46821</v>
      </c>
      <c r="D21634" t="s">
        <v>20</v>
      </c>
      <c r="E21634" t="s">
        <v>39</v>
      </c>
      <c r="F21634">
        <v>0</v>
      </c>
      <c r="G21634">
        <v>0</v>
      </c>
      <c r="H21634">
        <v>2</v>
      </c>
      <c r="I21634" s="3">
        <v>1216.04</v>
      </c>
      <c r="J21634" s="3">
        <v>0</v>
      </c>
      <c r="K21634" t="s">
        <v>34637</v>
      </c>
      <c r="L21634">
        <v>303</v>
      </c>
      <c r="M21634" t="s">
        <v>8296</v>
      </c>
      <c r="N21634" t="s">
        <v>30</v>
      </c>
      <c r="O21634" t="s">
        <v>31</v>
      </c>
      <c r="P21634" t="str">
        <f>"15211"</f>
        <v>15211</v>
      </c>
    </row>
    <row r="21635" spans="1:16" x14ac:dyDescent="0.25">
      <c r="A21635" t="str">
        <f>"1320095B00037    00"</f>
        <v>1320095B00037    00</v>
      </c>
      <c r="B21635" t="s">
        <v>8294</v>
      </c>
      <c r="C21635" t="s">
        <v>46822</v>
      </c>
      <c r="D21635" t="s">
        <v>20</v>
      </c>
      <c r="E21635" t="s">
        <v>39</v>
      </c>
      <c r="F21635">
        <v>0</v>
      </c>
      <c r="G21635">
        <v>0</v>
      </c>
      <c r="H21635">
        <v>2</v>
      </c>
      <c r="I21635" s="3">
        <v>1791.64</v>
      </c>
      <c r="J21635" s="3">
        <v>0</v>
      </c>
      <c r="K21635" t="s">
        <v>34637</v>
      </c>
      <c r="L21635">
        <v>303</v>
      </c>
      <c r="M21635" t="s">
        <v>8296</v>
      </c>
      <c r="N21635" t="s">
        <v>30</v>
      </c>
      <c r="O21635" t="s">
        <v>31</v>
      </c>
      <c r="P21635" t="str">
        <f>"15211"</f>
        <v>15211</v>
      </c>
    </row>
    <row r="21636" spans="1:16" x14ac:dyDescent="0.25">
      <c r="A21636" t="str">
        <f>"1320095B00038    00"</f>
        <v>1320095B00038    00</v>
      </c>
      <c r="B21636" t="s">
        <v>46823</v>
      </c>
      <c r="C21636" t="s">
        <v>46824</v>
      </c>
      <c r="D21636" t="s">
        <v>20</v>
      </c>
      <c r="E21636" t="s">
        <v>39</v>
      </c>
      <c r="F21636">
        <v>0</v>
      </c>
      <c r="G21636">
        <v>0</v>
      </c>
      <c r="H21636">
        <v>5</v>
      </c>
      <c r="I21636" s="3">
        <v>518.25</v>
      </c>
      <c r="J21636" s="3">
        <v>109.13</v>
      </c>
      <c r="L21636">
        <v>2035</v>
      </c>
      <c r="M21636" t="s">
        <v>46815</v>
      </c>
      <c r="N21636" t="s">
        <v>30</v>
      </c>
      <c r="O21636" t="s">
        <v>31</v>
      </c>
      <c r="P21636" t="str">
        <f t="shared" ref="P21636:P21641" si="272">"15210"</f>
        <v>15210</v>
      </c>
    </row>
    <row r="21637" spans="1:16" x14ac:dyDescent="0.25">
      <c r="A21637" t="str">
        <f>"1320095B00050    00"</f>
        <v>1320095B00050    00</v>
      </c>
      <c r="B21637" t="s">
        <v>46825</v>
      </c>
      <c r="C21637" t="s">
        <v>46826</v>
      </c>
      <c r="D21637" t="s">
        <v>20</v>
      </c>
      <c r="E21637" t="s">
        <v>39</v>
      </c>
      <c r="F21637">
        <v>0</v>
      </c>
      <c r="G21637">
        <v>0</v>
      </c>
      <c r="H21637">
        <v>12</v>
      </c>
      <c r="I21637" s="3">
        <v>8722.7900000000009</v>
      </c>
      <c r="J21637" s="3">
        <v>4990.59</v>
      </c>
      <c r="L21637">
        <v>2024</v>
      </c>
      <c r="M21637" t="s">
        <v>26687</v>
      </c>
      <c r="N21637" t="s">
        <v>30</v>
      </c>
      <c r="O21637" t="s">
        <v>31</v>
      </c>
      <c r="P21637" t="str">
        <f t="shared" si="272"/>
        <v>15210</v>
      </c>
    </row>
    <row r="21638" spans="1:16" x14ac:dyDescent="0.25">
      <c r="A21638" t="str">
        <f>"1320095E00017    00"</f>
        <v>1320095E00017    00</v>
      </c>
      <c r="B21638" t="s">
        <v>46827</v>
      </c>
      <c r="C21638" t="s">
        <v>46828</v>
      </c>
      <c r="E21638" t="s">
        <v>39</v>
      </c>
      <c r="F21638">
        <v>0</v>
      </c>
      <c r="G21638">
        <v>0</v>
      </c>
      <c r="H21638">
        <v>1</v>
      </c>
      <c r="I21638" s="3">
        <v>123.35</v>
      </c>
      <c r="J21638" s="3">
        <v>24.67</v>
      </c>
      <c r="L21638">
        <v>2041</v>
      </c>
      <c r="M21638" t="s">
        <v>22758</v>
      </c>
      <c r="N21638" t="s">
        <v>30</v>
      </c>
      <c r="O21638" t="s">
        <v>31</v>
      </c>
      <c r="P21638" t="str">
        <f t="shared" si="272"/>
        <v>15210</v>
      </c>
    </row>
    <row r="21639" spans="1:16" x14ac:dyDescent="0.25">
      <c r="A21639" t="str">
        <f>"1320095E00027    00"</f>
        <v>1320095E00027    00</v>
      </c>
      <c r="B21639" t="s">
        <v>24076</v>
      </c>
      <c r="C21639" t="s">
        <v>46829</v>
      </c>
      <c r="D21639" t="s">
        <v>20</v>
      </c>
      <c r="E21639" t="s">
        <v>39</v>
      </c>
      <c r="F21639">
        <v>0</v>
      </c>
      <c r="G21639">
        <v>0</v>
      </c>
      <c r="H21639">
        <v>1</v>
      </c>
      <c r="I21639" s="3">
        <v>928.24</v>
      </c>
      <c r="J21639" s="3">
        <v>0</v>
      </c>
      <c r="L21639">
        <v>2351</v>
      </c>
      <c r="M21639" t="s">
        <v>9782</v>
      </c>
      <c r="N21639" t="s">
        <v>30</v>
      </c>
      <c r="O21639" t="s">
        <v>31</v>
      </c>
      <c r="P21639" t="str">
        <f t="shared" si="272"/>
        <v>15210</v>
      </c>
    </row>
    <row r="21640" spans="1:16" x14ac:dyDescent="0.25">
      <c r="A21640" t="str">
        <f>"1320095E00030    00"</f>
        <v>1320095E00030    00</v>
      </c>
      <c r="B21640" t="s">
        <v>46830</v>
      </c>
      <c r="C21640" t="s">
        <v>46831</v>
      </c>
      <c r="D21640" t="s">
        <v>20</v>
      </c>
      <c r="E21640" t="s">
        <v>39</v>
      </c>
      <c r="F21640">
        <v>0</v>
      </c>
      <c r="G21640">
        <v>0</v>
      </c>
      <c r="H21640">
        <v>1</v>
      </c>
      <c r="I21640" s="3">
        <v>317.68</v>
      </c>
      <c r="J21640" s="3">
        <v>0</v>
      </c>
      <c r="K21640" t="s">
        <v>46832</v>
      </c>
      <c r="L21640">
        <v>2115</v>
      </c>
      <c r="M21640" t="s">
        <v>22758</v>
      </c>
      <c r="N21640" t="s">
        <v>30</v>
      </c>
      <c r="O21640" t="s">
        <v>31</v>
      </c>
      <c r="P21640" t="str">
        <f t="shared" si="272"/>
        <v>15210</v>
      </c>
    </row>
    <row r="21641" spans="1:16" x14ac:dyDescent="0.25">
      <c r="A21641" t="str">
        <f>"1320095E00036    00"</f>
        <v>1320095E00036    00</v>
      </c>
      <c r="B21641" t="s">
        <v>46833</v>
      </c>
      <c r="C21641" t="s">
        <v>46834</v>
      </c>
      <c r="D21641" t="s">
        <v>20</v>
      </c>
      <c r="E21641" t="s">
        <v>39</v>
      </c>
      <c r="F21641">
        <v>0</v>
      </c>
      <c r="G21641">
        <v>0</v>
      </c>
      <c r="H21641">
        <v>2</v>
      </c>
      <c r="I21641" s="3">
        <v>164.2</v>
      </c>
      <c r="J21641" s="3">
        <v>32.130000000000003</v>
      </c>
      <c r="K21641" t="s">
        <v>46835</v>
      </c>
      <c r="L21641">
        <v>2055</v>
      </c>
      <c r="M21641" t="s">
        <v>22758</v>
      </c>
      <c r="N21641" t="s">
        <v>30</v>
      </c>
      <c r="O21641" t="s">
        <v>31</v>
      </c>
      <c r="P21641" t="str">
        <f t="shared" si="272"/>
        <v>15210</v>
      </c>
    </row>
    <row r="21642" spans="1:16" x14ac:dyDescent="0.25">
      <c r="A21642" t="str">
        <f>"1320095E00058    00"</f>
        <v>1320095E00058    00</v>
      </c>
      <c r="B21642" t="s">
        <v>46836</v>
      </c>
      <c r="C21642" t="s">
        <v>46837</v>
      </c>
      <c r="D21642" t="s">
        <v>20</v>
      </c>
      <c r="E21642" t="s">
        <v>39</v>
      </c>
      <c r="F21642">
        <v>0</v>
      </c>
      <c r="G21642">
        <v>0</v>
      </c>
      <c r="H21642">
        <v>1</v>
      </c>
      <c r="I21642" s="3">
        <v>436.93</v>
      </c>
      <c r="J21642" s="3">
        <v>0</v>
      </c>
      <c r="K21642" t="s">
        <v>5432</v>
      </c>
      <c r="L21642">
        <v>3001</v>
      </c>
      <c r="M21642" t="s">
        <v>330</v>
      </c>
      <c r="N21642" t="s">
        <v>331</v>
      </c>
      <c r="O21642" t="s">
        <v>108</v>
      </c>
      <c r="P21642" t="str">
        <f>"75063"</f>
        <v>75063</v>
      </c>
    </row>
    <row r="21643" spans="1:16" x14ac:dyDescent="0.25">
      <c r="A21643" t="str">
        <f>"1320095E00079    00"</f>
        <v>1320095E00079    00</v>
      </c>
      <c r="B21643" t="s">
        <v>46838</v>
      </c>
      <c r="C21643" t="s">
        <v>46804</v>
      </c>
      <c r="D21643" t="s">
        <v>20</v>
      </c>
      <c r="E21643" t="s">
        <v>39</v>
      </c>
      <c r="F21643">
        <v>0</v>
      </c>
      <c r="G21643">
        <v>0</v>
      </c>
      <c r="H21643">
        <v>19</v>
      </c>
      <c r="I21643" s="3">
        <v>2376.96</v>
      </c>
      <c r="J21643" s="3">
        <v>1814.24</v>
      </c>
      <c r="L21643">
        <v>1819</v>
      </c>
      <c r="M21643" t="s">
        <v>29196</v>
      </c>
      <c r="N21643" t="s">
        <v>30</v>
      </c>
      <c r="O21643" t="s">
        <v>31</v>
      </c>
      <c r="P21643" t="str">
        <f>"15216"</f>
        <v>15216</v>
      </c>
    </row>
    <row r="21644" spans="1:16" x14ac:dyDescent="0.25">
      <c r="A21644" t="str">
        <f>"1320095E00096    00"</f>
        <v>1320095E00096    00</v>
      </c>
      <c r="B21644" t="s">
        <v>46839</v>
      </c>
      <c r="C21644" t="s">
        <v>46804</v>
      </c>
      <c r="D21644" t="s">
        <v>20</v>
      </c>
      <c r="E21644" t="s">
        <v>39</v>
      </c>
      <c r="F21644">
        <v>0</v>
      </c>
      <c r="G21644">
        <v>0</v>
      </c>
      <c r="H21644">
        <v>1</v>
      </c>
      <c r="I21644" s="3">
        <v>154.4</v>
      </c>
      <c r="J21644" s="3">
        <v>0</v>
      </c>
      <c r="L21644">
        <v>2039</v>
      </c>
      <c r="M21644" t="s">
        <v>9782</v>
      </c>
      <c r="N21644" t="s">
        <v>30</v>
      </c>
      <c r="O21644" t="s">
        <v>31</v>
      </c>
      <c r="P21644" t="str">
        <f>"15210"</f>
        <v>15210</v>
      </c>
    </row>
    <row r="21645" spans="1:16" x14ac:dyDescent="0.25">
      <c r="A21645" t="str">
        <f>"1320095E00107    00"</f>
        <v>1320095E00107    00</v>
      </c>
      <c r="B21645" t="s">
        <v>46839</v>
      </c>
      <c r="C21645" t="s">
        <v>46840</v>
      </c>
      <c r="D21645" t="s">
        <v>20</v>
      </c>
      <c r="E21645" t="s">
        <v>21</v>
      </c>
      <c r="F21645">
        <v>0</v>
      </c>
      <c r="G21645">
        <v>0</v>
      </c>
      <c r="H21645">
        <v>2</v>
      </c>
      <c r="I21645" s="3">
        <v>2770.94</v>
      </c>
      <c r="J21645" s="3">
        <v>0</v>
      </c>
      <c r="L21645">
        <v>2039</v>
      </c>
      <c r="M21645" t="s">
        <v>9782</v>
      </c>
      <c r="N21645" t="s">
        <v>30</v>
      </c>
      <c r="O21645" t="s">
        <v>31</v>
      </c>
      <c r="P21645" t="str">
        <f>"15210"</f>
        <v>15210</v>
      </c>
    </row>
    <row r="21646" spans="1:16" x14ac:dyDescent="0.25">
      <c r="A21646" t="str">
        <f>"1320095F00025    00"</f>
        <v>1320095F00025    00</v>
      </c>
      <c r="B21646" t="s">
        <v>46841</v>
      </c>
      <c r="C21646" t="s">
        <v>46842</v>
      </c>
      <c r="D21646" t="s">
        <v>20</v>
      </c>
      <c r="E21646" t="s">
        <v>39</v>
      </c>
      <c r="F21646">
        <v>0</v>
      </c>
      <c r="G21646">
        <v>0</v>
      </c>
      <c r="H21646">
        <v>1</v>
      </c>
      <c r="I21646" s="3">
        <v>557.03</v>
      </c>
      <c r="J21646" s="3">
        <v>0</v>
      </c>
      <c r="L21646">
        <v>2144</v>
      </c>
      <c r="M21646" t="s">
        <v>46815</v>
      </c>
      <c r="N21646" t="s">
        <v>30</v>
      </c>
      <c r="O21646" t="s">
        <v>31</v>
      </c>
      <c r="P21646" t="str">
        <f>"15210"</f>
        <v>15210</v>
      </c>
    </row>
    <row r="21647" spans="1:16" x14ac:dyDescent="0.25">
      <c r="A21647" t="str">
        <f>"1320095F00071    00"</f>
        <v>1320095F00071    00</v>
      </c>
      <c r="B21647" t="s">
        <v>46843</v>
      </c>
      <c r="C21647" t="s">
        <v>46844</v>
      </c>
      <c r="D21647" t="s">
        <v>20</v>
      </c>
      <c r="E21647" t="s">
        <v>39</v>
      </c>
      <c r="F21647">
        <v>0</v>
      </c>
      <c r="G21647">
        <v>0</v>
      </c>
      <c r="H21647">
        <v>1</v>
      </c>
      <c r="I21647" s="3">
        <v>842.45</v>
      </c>
      <c r="J21647" s="3">
        <v>0</v>
      </c>
      <c r="K21647" t="s">
        <v>46845</v>
      </c>
      <c r="L21647">
        <v>425</v>
      </c>
      <c r="M21647" t="s">
        <v>22349</v>
      </c>
      <c r="N21647" t="s">
        <v>2943</v>
      </c>
      <c r="O21647" t="s">
        <v>31</v>
      </c>
      <c r="P21647" t="str">
        <f>"15025"</f>
        <v>15025</v>
      </c>
    </row>
    <row r="21648" spans="1:16" x14ac:dyDescent="0.25">
      <c r="A21648" t="str">
        <f>"1320095F00089    00"</f>
        <v>1320095F00089    00</v>
      </c>
      <c r="B21648" t="s">
        <v>46846</v>
      </c>
      <c r="C21648" t="s">
        <v>46847</v>
      </c>
      <c r="D21648" t="s">
        <v>20</v>
      </c>
      <c r="E21648" t="s">
        <v>39</v>
      </c>
      <c r="F21648">
        <v>0</v>
      </c>
      <c r="G21648">
        <v>0</v>
      </c>
      <c r="H21648">
        <v>1</v>
      </c>
      <c r="I21648" s="3">
        <v>20.98</v>
      </c>
      <c r="J21648" s="3">
        <v>0</v>
      </c>
      <c r="K21648" t="s">
        <v>46848</v>
      </c>
      <c r="L21648">
        <v>1603</v>
      </c>
      <c r="M21648" t="s">
        <v>46849</v>
      </c>
      <c r="N21648" t="s">
        <v>107</v>
      </c>
      <c r="O21648" t="s">
        <v>108</v>
      </c>
      <c r="P21648" t="str">
        <f>"75234"</f>
        <v>75234</v>
      </c>
    </row>
    <row r="21649" spans="1:16" x14ac:dyDescent="0.25">
      <c r="A21649" t="str">
        <f>"1320095F00092    00"</f>
        <v>1320095F00092    00</v>
      </c>
      <c r="B21649" t="s">
        <v>46850</v>
      </c>
      <c r="C21649" t="s">
        <v>46851</v>
      </c>
      <c r="D21649" t="s">
        <v>20</v>
      </c>
      <c r="E21649" t="s">
        <v>39</v>
      </c>
      <c r="F21649">
        <v>0</v>
      </c>
      <c r="G21649">
        <v>0</v>
      </c>
      <c r="H21649">
        <v>2</v>
      </c>
      <c r="I21649" s="3">
        <v>1323.78</v>
      </c>
      <c r="J21649" s="3">
        <v>0</v>
      </c>
      <c r="K21649" t="s">
        <v>46852</v>
      </c>
      <c r="L21649">
        <v>2460</v>
      </c>
      <c r="M21649" t="s">
        <v>46853</v>
      </c>
      <c r="N21649" t="s">
        <v>30</v>
      </c>
      <c r="O21649" t="s">
        <v>31</v>
      </c>
      <c r="P21649" t="str">
        <f>"15210"</f>
        <v>15210</v>
      </c>
    </row>
    <row r="21650" spans="1:16" x14ac:dyDescent="0.25">
      <c r="A21650" t="str">
        <f>"1320095F00103    00"</f>
        <v>1320095F00103    00</v>
      </c>
      <c r="B21650" t="s">
        <v>46854</v>
      </c>
      <c r="C21650" t="s">
        <v>46855</v>
      </c>
      <c r="D21650" t="s">
        <v>20</v>
      </c>
      <c r="E21650" t="s">
        <v>39</v>
      </c>
      <c r="F21650">
        <v>0</v>
      </c>
      <c r="G21650">
        <v>0</v>
      </c>
      <c r="H21650">
        <v>3</v>
      </c>
      <c r="I21650" s="3">
        <v>3573.78</v>
      </c>
      <c r="J21650" s="3">
        <v>238.25</v>
      </c>
      <c r="K21650" t="s">
        <v>46856</v>
      </c>
      <c r="L21650">
        <v>154</v>
      </c>
      <c r="M21650" t="s">
        <v>46857</v>
      </c>
      <c r="N21650" t="s">
        <v>28160</v>
      </c>
      <c r="O21650" t="s">
        <v>554</v>
      </c>
      <c r="P21650" t="str">
        <f>"26062"</f>
        <v>26062</v>
      </c>
    </row>
    <row r="21651" spans="1:16" x14ac:dyDescent="0.25">
      <c r="A21651" t="str">
        <f>"1320095F00109    00"</f>
        <v>1320095F00109    00</v>
      </c>
      <c r="B21651" t="s">
        <v>46858</v>
      </c>
      <c r="C21651" t="s">
        <v>46859</v>
      </c>
      <c r="E21651" t="s">
        <v>39</v>
      </c>
      <c r="F21651">
        <v>0</v>
      </c>
      <c r="G21651">
        <v>0</v>
      </c>
      <c r="H21651">
        <v>4</v>
      </c>
      <c r="I21651" s="3">
        <v>2467.41</v>
      </c>
      <c r="J21651" s="3">
        <v>752.26</v>
      </c>
      <c r="K21651" t="s">
        <v>46860</v>
      </c>
      <c r="L21651">
        <v>2138</v>
      </c>
      <c r="M21651" t="s">
        <v>26687</v>
      </c>
      <c r="N21651" t="s">
        <v>30</v>
      </c>
      <c r="O21651" t="s">
        <v>31</v>
      </c>
      <c r="P21651" t="str">
        <f>"15210"</f>
        <v>15210</v>
      </c>
    </row>
    <row r="21652" spans="1:16" x14ac:dyDescent="0.25">
      <c r="A21652" t="str">
        <f>"1320095F00110    00"</f>
        <v>1320095F00110    00</v>
      </c>
      <c r="B21652" t="s">
        <v>46858</v>
      </c>
      <c r="C21652" t="s">
        <v>46861</v>
      </c>
      <c r="E21652" t="s">
        <v>39</v>
      </c>
      <c r="F21652">
        <v>0</v>
      </c>
      <c r="G21652">
        <v>0</v>
      </c>
      <c r="H21652">
        <v>4</v>
      </c>
      <c r="I21652" s="3">
        <v>280.18</v>
      </c>
      <c r="J21652" s="3">
        <v>96.96</v>
      </c>
      <c r="K21652" t="s">
        <v>46860</v>
      </c>
      <c r="L21652">
        <v>2138</v>
      </c>
      <c r="M21652" t="s">
        <v>26687</v>
      </c>
      <c r="N21652" t="s">
        <v>30</v>
      </c>
      <c r="O21652" t="s">
        <v>31</v>
      </c>
      <c r="P21652" t="str">
        <f>"15210"</f>
        <v>15210</v>
      </c>
    </row>
    <row r="21653" spans="1:16" x14ac:dyDescent="0.25">
      <c r="A21653" t="str">
        <f>"1320095F00130    00"</f>
        <v>1320095F00130    00</v>
      </c>
      <c r="B21653" t="s">
        <v>22588</v>
      </c>
      <c r="C21653" t="s">
        <v>46862</v>
      </c>
      <c r="D21653" t="s">
        <v>20</v>
      </c>
      <c r="E21653" t="s">
        <v>39</v>
      </c>
      <c r="F21653">
        <v>0</v>
      </c>
      <c r="G21653">
        <v>0</v>
      </c>
      <c r="H21653">
        <v>2</v>
      </c>
      <c r="I21653" s="3">
        <v>2748.48</v>
      </c>
      <c r="J21653" s="3">
        <v>0</v>
      </c>
      <c r="K21653" t="s">
        <v>22590</v>
      </c>
      <c r="M21653" t="s">
        <v>22591</v>
      </c>
      <c r="N21653" t="s">
        <v>30</v>
      </c>
      <c r="O21653" t="s">
        <v>31</v>
      </c>
      <c r="P21653" t="str">
        <f>"15222"</f>
        <v>15222</v>
      </c>
    </row>
    <row r="21654" spans="1:16" x14ac:dyDescent="0.25">
      <c r="A21654" t="str">
        <f>"1320095F00149    00"</f>
        <v>1320095F00149    00</v>
      </c>
      <c r="B21654" t="s">
        <v>46863</v>
      </c>
      <c r="C21654" t="s">
        <v>46864</v>
      </c>
      <c r="E21654" t="s">
        <v>39</v>
      </c>
      <c r="F21654">
        <v>0</v>
      </c>
      <c r="G21654">
        <v>0</v>
      </c>
      <c r="H21654">
        <v>2</v>
      </c>
      <c r="I21654" s="3">
        <v>42.86</v>
      </c>
      <c r="J21654" s="3">
        <v>8.52</v>
      </c>
      <c r="L21654">
        <v>2067</v>
      </c>
      <c r="M21654" t="s">
        <v>26687</v>
      </c>
      <c r="N21654" t="s">
        <v>30</v>
      </c>
      <c r="O21654" t="s">
        <v>31</v>
      </c>
      <c r="P21654" t="str">
        <f>"15210"</f>
        <v>15210</v>
      </c>
    </row>
    <row r="21655" spans="1:16" x14ac:dyDescent="0.25">
      <c r="A21655" t="str">
        <f>"1320095J00027    00"</f>
        <v>1320095J00027    00</v>
      </c>
      <c r="B21655" t="s">
        <v>46865</v>
      </c>
      <c r="C21655" t="s">
        <v>46866</v>
      </c>
      <c r="D21655" t="s">
        <v>20</v>
      </c>
      <c r="E21655" t="s">
        <v>39</v>
      </c>
      <c r="F21655">
        <v>0</v>
      </c>
      <c r="G21655">
        <v>0</v>
      </c>
      <c r="H21655">
        <v>1</v>
      </c>
      <c r="I21655" s="3">
        <v>588.97</v>
      </c>
      <c r="J21655" s="3">
        <v>0</v>
      </c>
      <c r="K21655" t="s">
        <v>23127</v>
      </c>
      <c r="L21655">
        <v>901</v>
      </c>
      <c r="M21655" t="s">
        <v>6264</v>
      </c>
      <c r="N21655" t="s">
        <v>30</v>
      </c>
      <c r="O21655" t="s">
        <v>31</v>
      </c>
      <c r="P21655" t="str">
        <f>"15203"</f>
        <v>15203</v>
      </c>
    </row>
    <row r="21656" spans="1:16" x14ac:dyDescent="0.25">
      <c r="A21656" t="str">
        <f>"1320095J00065    00"</f>
        <v>1320095J00065    00</v>
      </c>
      <c r="B21656" t="s">
        <v>46867</v>
      </c>
      <c r="C21656" t="s">
        <v>46868</v>
      </c>
      <c r="E21656" t="s">
        <v>290</v>
      </c>
      <c r="F21656">
        <v>0</v>
      </c>
      <c r="G21656">
        <v>0</v>
      </c>
      <c r="H21656">
        <v>2</v>
      </c>
      <c r="I21656" s="3">
        <v>16200.77</v>
      </c>
      <c r="J21656" s="3">
        <v>3833.92</v>
      </c>
      <c r="L21656">
        <v>2036</v>
      </c>
      <c r="M21656" t="s">
        <v>46869</v>
      </c>
      <c r="N21656" t="s">
        <v>30</v>
      </c>
      <c r="O21656" t="s">
        <v>31</v>
      </c>
      <c r="P21656" t="str">
        <f>"15241"</f>
        <v>15241</v>
      </c>
    </row>
    <row r="21657" spans="1:16" x14ac:dyDescent="0.25">
      <c r="A21657" t="str">
        <f>"1320095J00305    00"</f>
        <v>1320095J00305    00</v>
      </c>
      <c r="B21657" t="s">
        <v>46870</v>
      </c>
      <c r="C21657" t="s">
        <v>46871</v>
      </c>
      <c r="E21657" t="s">
        <v>39</v>
      </c>
      <c r="F21657">
        <v>0</v>
      </c>
      <c r="G21657">
        <v>0</v>
      </c>
      <c r="H21657">
        <v>1</v>
      </c>
      <c r="I21657" s="3">
        <v>24.83</v>
      </c>
      <c r="J21657" s="3">
        <v>0</v>
      </c>
      <c r="K21657" t="s">
        <v>46872</v>
      </c>
      <c r="L21657">
        <v>110</v>
      </c>
      <c r="M21657" t="s">
        <v>46873</v>
      </c>
      <c r="N21657" t="s">
        <v>30</v>
      </c>
      <c r="O21657" t="s">
        <v>31</v>
      </c>
      <c r="P21657" t="str">
        <f>"15234"</f>
        <v>15234</v>
      </c>
    </row>
    <row r="21658" spans="1:16" x14ac:dyDescent="0.25">
      <c r="A21658" t="str">
        <f>"1320095J00313    00"</f>
        <v>1320095J00313    00</v>
      </c>
      <c r="B21658" t="s">
        <v>46874</v>
      </c>
      <c r="C21658" t="s">
        <v>46875</v>
      </c>
      <c r="D21658" t="s">
        <v>20</v>
      </c>
      <c r="E21658" t="s">
        <v>39</v>
      </c>
      <c r="F21658">
        <v>0</v>
      </c>
      <c r="G21658">
        <v>0</v>
      </c>
      <c r="H21658">
        <v>13</v>
      </c>
      <c r="I21658" s="3">
        <v>5232.05</v>
      </c>
      <c r="J21658" s="3">
        <v>2900.61</v>
      </c>
      <c r="K21658" t="s">
        <v>46876</v>
      </c>
      <c r="L21658">
        <v>102</v>
      </c>
      <c r="M21658" t="s">
        <v>46877</v>
      </c>
      <c r="N21658" t="s">
        <v>30</v>
      </c>
      <c r="O21658" t="s">
        <v>31</v>
      </c>
      <c r="P21658" t="str">
        <f>"15234"</f>
        <v>15234</v>
      </c>
    </row>
    <row r="21659" spans="1:16" x14ac:dyDescent="0.25">
      <c r="A21659" t="str">
        <f>"1320095K00001    00"</f>
        <v>1320095K00001    00</v>
      </c>
      <c r="B21659" t="s">
        <v>46878</v>
      </c>
      <c r="C21659" t="s">
        <v>46879</v>
      </c>
      <c r="D21659" t="s">
        <v>20</v>
      </c>
      <c r="E21659" t="s">
        <v>39</v>
      </c>
      <c r="F21659">
        <v>0</v>
      </c>
      <c r="G21659">
        <v>0</v>
      </c>
      <c r="H21659">
        <v>6</v>
      </c>
      <c r="I21659" s="3">
        <v>3974.64</v>
      </c>
      <c r="J21659" s="3">
        <v>912.79</v>
      </c>
      <c r="L21659">
        <v>53</v>
      </c>
      <c r="M21659" t="s">
        <v>46880</v>
      </c>
      <c r="N21659" t="s">
        <v>30</v>
      </c>
      <c r="O21659" t="s">
        <v>31</v>
      </c>
      <c r="P21659" t="str">
        <f>"15210"</f>
        <v>15210</v>
      </c>
    </row>
    <row r="21660" spans="1:16" x14ac:dyDescent="0.25">
      <c r="A21660" t="str">
        <f>"1320095K00044    00"</f>
        <v>1320095K00044    00</v>
      </c>
      <c r="B21660" t="s">
        <v>46881</v>
      </c>
      <c r="C21660" t="s">
        <v>46882</v>
      </c>
      <c r="D21660" t="s">
        <v>20</v>
      </c>
      <c r="E21660" t="s">
        <v>39</v>
      </c>
      <c r="F21660">
        <v>0</v>
      </c>
      <c r="G21660">
        <v>0</v>
      </c>
      <c r="H21660">
        <v>1</v>
      </c>
      <c r="I21660" s="3">
        <v>1010.66</v>
      </c>
      <c r="J21660" s="3">
        <v>0</v>
      </c>
      <c r="K21660" t="s">
        <v>391</v>
      </c>
      <c r="L21660">
        <v>1</v>
      </c>
      <c r="M21660" t="s">
        <v>392</v>
      </c>
      <c r="N21660" t="s">
        <v>393</v>
      </c>
      <c r="O21660" t="s">
        <v>394</v>
      </c>
      <c r="P21660" t="str">
        <f>"50328"</f>
        <v>50328</v>
      </c>
    </row>
    <row r="21661" spans="1:16" x14ac:dyDescent="0.25">
      <c r="A21661" t="str">
        <f>"1320095K00059    00"</f>
        <v>1320095K00059    00</v>
      </c>
      <c r="B21661" t="s">
        <v>46883</v>
      </c>
      <c r="C21661" t="s">
        <v>46884</v>
      </c>
      <c r="D21661" t="s">
        <v>20</v>
      </c>
      <c r="E21661" t="s">
        <v>39</v>
      </c>
      <c r="F21661">
        <v>0</v>
      </c>
      <c r="G21661">
        <v>0</v>
      </c>
      <c r="H21661">
        <v>5</v>
      </c>
      <c r="I21661" s="3">
        <v>3966.89</v>
      </c>
      <c r="J21661" s="3">
        <v>437.1</v>
      </c>
      <c r="L21661">
        <v>216</v>
      </c>
      <c r="M21661" t="s">
        <v>46880</v>
      </c>
      <c r="N21661" t="s">
        <v>30</v>
      </c>
      <c r="O21661" t="s">
        <v>31</v>
      </c>
      <c r="P21661" t="str">
        <f>"15210"</f>
        <v>15210</v>
      </c>
    </row>
    <row r="21662" spans="1:16" x14ac:dyDescent="0.25">
      <c r="A21662" t="str">
        <f>"1320095K00075    00"</f>
        <v>1320095K00075    00</v>
      </c>
      <c r="B21662" t="s">
        <v>46885</v>
      </c>
      <c r="C21662" t="s">
        <v>46886</v>
      </c>
      <c r="D21662" t="s">
        <v>20</v>
      </c>
      <c r="E21662" t="s">
        <v>39</v>
      </c>
      <c r="F21662">
        <v>0</v>
      </c>
      <c r="G21662">
        <v>0</v>
      </c>
      <c r="H21662">
        <v>2</v>
      </c>
      <c r="I21662" s="3">
        <v>405.26</v>
      </c>
      <c r="J21662" s="3">
        <v>0</v>
      </c>
      <c r="L21662">
        <v>2209</v>
      </c>
      <c r="M21662" t="s">
        <v>22758</v>
      </c>
      <c r="N21662" t="s">
        <v>30</v>
      </c>
      <c r="O21662" t="s">
        <v>31</v>
      </c>
      <c r="P21662" t="str">
        <f>"15210"</f>
        <v>15210</v>
      </c>
    </row>
    <row r="21663" spans="1:16" x14ac:dyDescent="0.25">
      <c r="A21663" t="str">
        <f>"1320095K00083    00"</f>
        <v>1320095K00083    00</v>
      </c>
      <c r="B21663" t="s">
        <v>46887</v>
      </c>
      <c r="C21663" t="s">
        <v>46888</v>
      </c>
      <c r="D21663" t="s">
        <v>20</v>
      </c>
      <c r="E21663" t="s">
        <v>39</v>
      </c>
      <c r="F21663">
        <v>0</v>
      </c>
      <c r="G21663">
        <v>0</v>
      </c>
      <c r="H21663">
        <v>2</v>
      </c>
      <c r="I21663" s="3">
        <v>1890.8</v>
      </c>
      <c r="J21663" s="3">
        <v>0</v>
      </c>
      <c r="K21663" t="s">
        <v>46889</v>
      </c>
      <c r="L21663">
        <v>313</v>
      </c>
      <c r="M21663" t="s">
        <v>25563</v>
      </c>
      <c r="N21663" t="s">
        <v>30</v>
      </c>
      <c r="O21663" t="s">
        <v>31</v>
      </c>
      <c r="P21663" t="str">
        <f>"15210"</f>
        <v>15210</v>
      </c>
    </row>
    <row r="21664" spans="1:16" x14ac:dyDescent="0.25">
      <c r="A21664" t="str">
        <f>"1320095K00089    00"</f>
        <v>1320095K00089    00</v>
      </c>
      <c r="B21664" t="s">
        <v>46890</v>
      </c>
      <c r="C21664" t="s">
        <v>30456</v>
      </c>
      <c r="D21664" t="s">
        <v>20</v>
      </c>
      <c r="E21664" t="s">
        <v>39</v>
      </c>
      <c r="F21664">
        <v>0</v>
      </c>
      <c r="G21664">
        <v>0</v>
      </c>
      <c r="H21664">
        <v>19</v>
      </c>
      <c r="I21664" s="3">
        <v>7325.54</v>
      </c>
      <c r="J21664" s="3">
        <v>7168.77</v>
      </c>
      <c r="L21664">
        <v>29950</v>
      </c>
      <c r="M21664" t="s">
        <v>46891</v>
      </c>
      <c r="N21664" t="s">
        <v>46892</v>
      </c>
      <c r="O21664" t="s">
        <v>31</v>
      </c>
      <c r="P21664" t="str">
        <f>"16314"</f>
        <v>16314</v>
      </c>
    </row>
    <row r="21665" spans="1:16" x14ac:dyDescent="0.25">
      <c r="A21665" t="str">
        <f>"1320095K00102    00"</f>
        <v>1320095K00102    00</v>
      </c>
      <c r="B21665" t="s">
        <v>46893</v>
      </c>
      <c r="C21665" t="s">
        <v>43845</v>
      </c>
      <c r="D21665" t="s">
        <v>20</v>
      </c>
      <c r="E21665" t="s">
        <v>39</v>
      </c>
      <c r="F21665">
        <v>0</v>
      </c>
      <c r="G21665">
        <v>0</v>
      </c>
      <c r="H21665">
        <v>19</v>
      </c>
      <c r="I21665" s="3">
        <v>3037.64</v>
      </c>
      <c r="J21665" s="3">
        <v>4396.75</v>
      </c>
      <c r="L21665">
        <v>2224</v>
      </c>
      <c r="M21665" t="s">
        <v>46815</v>
      </c>
      <c r="N21665" t="s">
        <v>30</v>
      </c>
      <c r="O21665" t="s">
        <v>31</v>
      </c>
      <c r="P21665" t="str">
        <f t="shared" ref="P21665:P21670" si="273">"15210"</f>
        <v>15210</v>
      </c>
    </row>
    <row r="21666" spans="1:16" x14ac:dyDescent="0.25">
      <c r="A21666" t="str">
        <f>"1320095K00136    00"</f>
        <v>1320095K00136    00</v>
      </c>
      <c r="B21666" t="s">
        <v>46894</v>
      </c>
      <c r="C21666" t="s">
        <v>46895</v>
      </c>
      <c r="E21666" t="s">
        <v>39</v>
      </c>
      <c r="F21666">
        <v>0</v>
      </c>
      <c r="G21666">
        <v>0</v>
      </c>
      <c r="H21666">
        <v>13</v>
      </c>
      <c r="I21666" s="3">
        <v>1457.34</v>
      </c>
      <c r="J21666" s="3">
        <v>381.78</v>
      </c>
      <c r="L21666">
        <v>223</v>
      </c>
      <c r="M21666" t="s">
        <v>46896</v>
      </c>
      <c r="N21666" t="s">
        <v>30</v>
      </c>
      <c r="O21666" t="s">
        <v>31</v>
      </c>
      <c r="P21666" t="str">
        <f t="shared" si="273"/>
        <v>15210</v>
      </c>
    </row>
    <row r="21667" spans="1:16" x14ac:dyDescent="0.25">
      <c r="A21667" t="str">
        <f>"1320095K00140    00"</f>
        <v>1320095K00140    00</v>
      </c>
      <c r="B21667" t="s">
        <v>46897</v>
      </c>
      <c r="C21667" t="s">
        <v>46895</v>
      </c>
      <c r="E21667" t="s">
        <v>39</v>
      </c>
      <c r="F21667">
        <v>0</v>
      </c>
      <c r="G21667">
        <v>0</v>
      </c>
      <c r="H21667">
        <v>13</v>
      </c>
      <c r="I21667" s="3">
        <v>1452.33</v>
      </c>
      <c r="J21667" s="3">
        <v>446.62</v>
      </c>
      <c r="L21667">
        <v>223</v>
      </c>
      <c r="M21667" t="s">
        <v>46896</v>
      </c>
      <c r="N21667" t="s">
        <v>30</v>
      </c>
      <c r="O21667" t="s">
        <v>31</v>
      </c>
      <c r="P21667" t="str">
        <f t="shared" si="273"/>
        <v>15210</v>
      </c>
    </row>
    <row r="21668" spans="1:16" x14ac:dyDescent="0.25">
      <c r="A21668" t="str">
        <f>"1320095K00153    00"</f>
        <v>1320095K00153    00</v>
      </c>
      <c r="B21668" t="s">
        <v>46898</v>
      </c>
      <c r="C21668" t="s">
        <v>46899</v>
      </c>
      <c r="D21668" t="s">
        <v>20</v>
      </c>
      <c r="E21668" t="s">
        <v>39</v>
      </c>
      <c r="F21668">
        <v>0</v>
      </c>
      <c r="G21668">
        <v>0</v>
      </c>
      <c r="H21668">
        <v>3</v>
      </c>
      <c r="I21668" s="3">
        <v>1546.7</v>
      </c>
      <c r="J21668" s="3">
        <v>35.99</v>
      </c>
      <c r="L21668">
        <v>210</v>
      </c>
      <c r="M21668" t="s">
        <v>46900</v>
      </c>
      <c r="N21668" t="s">
        <v>30</v>
      </c>
      <c r="O21668" t="s">
        <v>31</v>
      </c>
      <c r="P21668" t="str">
        <f t="shared" si="273"/>
        <v>15210</v>
      </c>
    </row>
    <row r="21669" spans="1:16" x14ac:dyDescent="0.25">
      <c r="A21669" t="str">
        <f>"1320095K00172    00"</f>
        <v>1320095K00172    00</v>
      </c>
      <c r="B21669" t="s">
        <v>46901</v>
      </c>
      <c r="C21669" t="s">
        <v>46902</v>
      </c>
      <c r="D21669" t="s">
        <v>20</v>
      </c>
      <c r="E21669" t="s">
        <v>39</v>
      </c>
      <c r="F21669">
        <v>0</v>
      </c>
      <c r="G21669">
        <v>0</v>
      </c>
      <c r="H21669">
        <v>2</v>
      </c>
      <c r="I21669" s="3">
        <v>1760.8</v>
      </c>
      <c r="J21669" s="3">
        <v>496.41</v>
      </c>
      <c r="L21669">
        <v>2235</v>
      </c>
      <c r="M21669" t="s">
        <v>46815</v>
      </c>
      <c r="N21669" t="s">
        <v>30</v>
      </c>
      <c r="O21669" t="s">
        <v>31</v>
      </c>
      <c r="P21669" t="str">
        <f t="shared" si="273"/>
        <v>15210</v>
      </c>
    </row>
    <row r="21670" spans="1:16" x14ac:dyDescent="0.25">
      <c r="A21670" t="str">
        <f>"1320095K00174    00"</f>
        <v>1320095K00174    00</v>
      </c>
      <c r="B21670" t="s">
        <v>46903</v>
      </c>
      <c r="C21670" t="s">
        <v>46904</v>
      </c>
      <c r="D21670" t="s">
        <v>20</v>
      </c>
      <c r="E21670" t="s">
        <v>39</v>
      </c>
      <c r="F21670">
        <v>0</v>
      </c>
      <c r="G21670">
        <v>0</v>
      </c>
      <c r="H21670">
        <v>3</v>
      </c>
      <c r="I21670" s="3">
        <v>2005.73</v>
      </c>
      <c r="J21670" s="3">
        <v>145.54</v>
      </c>
      <c r="L21670">
        <v>2237</v>
      </c>
      <c r="M21670" t="s">
        <v>46815</v>
      </c>
      <c r="N21670" t="s">
        <v>30</v>
      </c>
      <c r="O21670" t="s">
        <v>31</v>
      </c>
      <c r="P21670" t="str">
        <f t="shared" si="273"/>
        <v>15210</v>
      </c>
    </row>
    <row r="21671" spans="1:16" x14ac:dyDescent="0.25">
      <c r="A21671" t="str">
        <f>"1320095K00208    00"</f>
        <v>1320095K00208    00</v>
      </c>
      <c r="B21671" t="s">
        <v>46905</v>
      </c>
      <c r="C21671" t="s">
        <v>46906</v>
      </c>
      <c r="D21671" t="s">
        <v>20</v>
      </c>
      <c r="E21671" t="s">
        <v>39</v>
      </c>
      <c r="F21671">
        <v>0</v>
      </c>
      <c r="G21671">
        <v>0</v>
      </c>
      <c r="H21671">
        <v>2</v>
      </c>
      <c r="I21671" s="3">
        <v>1560.72</v>
      </c>
      <c r="J21671" s="3">
        <v>0</v>
      </c>
      <c r="K21671" t="s">
        <v>3554</v>
      </c>
      <c r="L21671">
        <v>600</v>
      </c>
      <c r="M21671" t="s">
        <v>3555</v>
      </c>
      <c r="N21671" t="s">
        <v>3556</v>
      </c>
      <c r="O21671" t="s">
        <v>31</v>
      </c>
      <c r="P21671" t="str">
        <f>"16117"</f>
        <v>16117</v>
      </c>
    </row>
    <row r="21672" spans="1:16" x14ac:dyDescent="0.25">
      <c r="A21672" t="str">
        <f>"1320095K00233    00"</f>
        <v>1320095K00233    00</v>
      </c>
      <c r="B21672" t="s">
        <v>46907</v>
      </c>
      <c r="C21672" t="s">
        <v>46908</v>
      </c>
      <c r="D21672" t="s">
        <v>20</v>
      </c>
      <c r="E21672" t="s">
        <v>39</v>
      </c>
      <c r="F21672">
        <v>0</v>
      </c>
      <c r="G21672">
        <v>0</v>
      </c>
      <c r="H21672">
        <v>4</v>
      </c>
      <c r="I21672" s="3">
        <v>1159.21</v>
      </c>
      <c r="J21672" s="3">
        <v>157.24</v>
      </c>
      <c r="L21672">
        <v>2830</v>
      </c>
      <c r="M21672" t="s">
        <v>25488</v>
      </c>
      <c r="N21672" t="s">
        <v>30</v>
      </c>
      <c r="O21672" t="s">
        <v>31</v>
      </c>
      <c r="P21672" t="str">
        <f>"15227"</f>
        <v>15227</v>
      </c>
    </row>
    <row r="21673" spans="1:16" x14ac:dyDescent="0.25">
      <c r="A21673" t="str">
        <f>"1320095K00333    01"</f>
        <v>1320095K00333    01</v>
      </c>
      <c r="B21673" t="s">
        <v>46909</v>
      </c>
      <c r="C21673" t="s">
        <v>44385</v>
      </c>
      <c r="D21673" t="s">
        <v>20</v>
      </c>
      <c r="E21673" t="s">
        <v>39</v>
      </c>
      <c r="F21673">
        <v>0</v>
      </c>
      <c r="G21673">
        <v>0</v>
      </c>
      <c r="H21673">
        <v>3</v>
      </c>
      <c r="I21673" s="3">
        <v>23.36</v>
      </c>
      <c r="J21673" s="3">
        <v>0.09</v>
      </c>
      <c r="L21673">
        <v>521</v>
      </c>
      <c r="M21673" t="s">
        <v>44386</v>
      </c>
      <c r="N21673" t="s">
        <v>6941</v>
      </c>
      <c r="O21673" t="s">
        <v>31</v>
      </c>
      <c r="P21673" t="str">
        <f>"15003"</f>
        <v>15003</v>
      </c>
    </row>
    <row r="21674" spans="1:16" x14ac:dyDescent="0.25">
      <c r="A21674" t="str">
        <f>"1320095N00019    00"</f>
        <v>1320095N00019    00</v>
      </c>
      <c r="B21674" t="s">
        <v>46910</v>
      </c>
      <c r="C21674" t="s">
        <v>46911</v>
      </c>
      <c r="D21674" t="s">
        <v>20</v>
      </c>
      <c r="E21674" t="s">
        <v>39</v>
      </c>
      <c r="F21674">
        <v>0</v>
      </c>
      <c r="G21674">
        <v>0</v>
      </c>
      <c r="H21674">
        <v>18</v>
      </c>
      <c r="I21674" s="3">
        <v>27081.55</v>
      </c>
      <c r="J21674" s="3">
        <v>22998.52</v>
      </c>
      <c r="L21674">
        <v>995</v>
      </c>
      <c r="M21674" t="s">
        <v>46912</v>
      </c>
      <c r="N21674" t="s">
        <v>149</v>
      </c>
      <c r="O21674" t="s">
        <v>31</v>
      </c>
      <c r="P21674" t="str">
        <f>"15106"</f>
        <v>15106</v>
      </c>
    </row>
    <row r="21675" spans="1:16" x14ac:dyDescent="0.25">
      <c r="A21675" t="str">
        <f>"1320095N00097    00"</f>
        <v>1320095N00097    00</v>
      </c>
      <c r="B21675" t="s">
        <v>46913</v>
      </c>
      <c r="C21675" t="s">
        <v>46914</v>
      </c>
      <c r="D21675" t="s">
        <v>20</v>
      </c>
      <c r="E21675" t="s">
        <v>39</v>
      </c>
      <c r="F21675">
        <v>0</v>
      </c>
      <c r="G21675">
        <v>0</v>
      </c>
      <c r="H21675">
        <v>8</v>
      </c>
      <c r="I21675" s="3">
        <v>7616.16</v>
      </c>
      <c r="J21675" s="3">
        <v>3171.71</v>
      </c>
      <c r="L21675">
        <v>1025</v>
      </c>
      <c r="M21675" t="s">
        <v>42737</v>
      </c>
      <c r="N21675" t="s">
        <v>2943</v>
      </c>
      <c r="O21675" t="s">
        <v>31</v>
      </c>
      <c r="P21675" t="str">
        <f>"15025"</f>
        <v>15025</v>
      </c>
    </row>
    <row r="21676" spans="1:16" x14ac:dyDescent="0.25">
      <c r="A21676" t="str">
        <f>"1320095N00098    00"</f>
        <v>1320095N00098    00</v>
      </c>
      <c r="B21676" t="s">
        <v>28609</v>
      </c>
      <c r="C21676" t="s">
        <v>46915</v>
      </c>
      <c r="E21676" t="s">
        <v>39</v>
      </c>
      <c r="F21676">
        <v>0</v>
      </c>
      <c r="G21676">
        <v>0</v>
      </c>
      <c r="H21676">
        <v>2</v>
      </c>
      <c r="I21676" s="3">
        <v>1345.33</v>
      </c>
      <c r="J21676" s="3">
        <v>19.7</v>
      </c>
      <c r="K21676" t="s">
        <v>28611</v>
      </c>
      <c r="L21676">
        <v>76</v>
      </c>
      <c r="M21676" t="s">
        <v>25043</v>
      </c>
      <c r="N21676" t="s">
        <v>30</v>
      </c>
      <c r="O21676" t="s">
        <v>31</v>
      </c>
      <c r="P21676" t="str">
        <f>"15210"</f>
        <v>15210</v>
      </c>
    </row>
    <row r="21677" spans="1:16" x14ac:dyDescent="0.25">
      <c r="A21677" t="str">
        <f>"1320095N00113    00"</f>
        <v>1320095N00113    00</v>
      </c>
      <c r="B21677" t="s">
        <v>46916</v>
      </c>
      <c r="C21677" t="s">
        <v>46917</v>
      </c>
      <c r="D21677" t="s">
        <v>20</v>
      </c>
      <c r="E21677" t="s">
        <v>39</v>
      </c>
      <c r="F21677">
        <v>0</v>
      </c>
      <c r="G21677">
        <v>0</v>
      </c>
      <c r="H21677">
        <v>2</v>
      </c>
      <c r="I21677" s="3">
        <v>1388.52</v>
      </c>
      <c r="J21677" s="3">
        <v>0</v>
      </c>
      <c r="L21677">
        <v>29</v>
      </c>
      <c r="M21677" t="s">
        <v>46918</v>
      </c>
      <c r="N21677" t="s">
        <v>30</v>
      </c>
      <c r="O21677" t="s">
        <v>31</v>
      </c>
      <c r="P21677" t="str">
        <f>"15234"</f>
        <v>15234</v>
      </c>
    </row>
    <row r="21678" spans="1:16" x14ac:dyDescent="0.25">
      <c r="A21678" t="str">
        <f>"1320095N00115    00"</f>
        <v>1320095N00115    00</v>
      </c>
      <c r="B21678" t="s">
        <v>46919</v>
      </c>
      <c r="C21678" t="s">
        <v>46914</v>
      </c>
      <c r="D21678" t="s">
        <v>20</v>
      </c>
      <c r="E21678" t="s">
        <v>39</v>
      </c>
      <c r="F21678">
        <v>0</v>
      </c>
      <c r="G21678">
        <v>0</v>
      </c>
      <c r="H21678">
        <v>2</v>
      </c>
      <c r="I21678" s="3">
        <v>315.58999999999997</v>
      </c>
      <c r="J21678" s="3">
        <v>0</v>
      </c>
      <c r="L21678">
        <v>29</v>
      </c>
      <c r="M21678" t="s">
        <v>46918</v>
      </c>
      <c r="N21678" t="s">
        <v>30</v>
      </c>
      <c r="O21678" t="s">
        <v>31</v>
      </c>
      <c r="P21678" t="str">
        <f>"15234"</f>
        <v>15234</v>
      </c>
    </row>
    <row r="21679" spans="1:16" x14ac:dyDescent="0.25">
      <c r="A21679" t="str">
        <f>"1320095N00128    00"</f>
        <v>1320095N00128    00</v>
      </c>
      <c r="B21679" t="s">
        <v>46920</v>
      </c>
      <c r="C21679" t="s">
        <v>46921</v>
      </c>
      <c r="D21679" t="s">
        <v>20</v>
      </c>
      <c r="E21679" t="s">
        <v>39</v>
      </c>
      <c r="F21679">
        <v>0</v>
      </c>
      <c r="G21679">
        <v>0</v>
      </c>
      <c r="H21679">
        <v>12</v>
      </c>
      <c r="I21679" s="3">
        <v>3807.45</v>
      </c>
      <c r="J21679" s="3">
        <v>2103.1999999999998</v>
      </c>
      <c r="L21679">
        <v>55</v>
      </c>
      <c r="M21679" t="s">
        <v>46918</v>
      </c>
      <c r="N21679" t="s">
        <v>30</v>
      </c>
      <c r="O21679" t="s">
        <v>31</v>
      </c>
      <c r="P21679" t="str">
        <f>"15234"</f>
        <v>15234</v>
      </c>
    </row>
    <row r="21680" spans="1:16" x14ac:dyDescent="0.25">
      <c r="A21680" t="str">
        <f>"1320095N00134    00"</f>
        <v>1320095N00134    00</v>
      </c>
      <c r="B21680" t="s">
        <v>46922</v>
      </c>
      <c r="C21680" t="s">
        <v>46923</v>
      </c>
      <c r="E21680" t="s">
        <v>39</v>
      </c>
      <c r="F21680">
        <v>0</v>
      </c>
      <c r="G21680">
        <v>0</v>
      </c>
      <c r="H21680">
        <v>2</v>
      </c>
      <c r="I21680" s="3">
        <v>351.93</v>
      </c>
      <c r="J21680" s="3">
        <v>11.2</v>
      </c>
      <c r="L21680">
        <v>1126</v>
      </c>
      <c r="M21680" t="s">
        <v>30035</v>
      </c>
      <c r="N21680" t="s">
        <v>30</v>
      </c>
      <c r="O21680" t="s">
        <v>31</v>
      </c>
      <c r="P21680" t="str">
        <f>"15226"</f>
        <v>15226</v>
      </c>
    </row>
    <row r="21681" spans="1:16" x14ac:dyDescent="0.25">
      <c r="A21681" t="str">
        <f>"1320095N00138    00"</f>
        <v>1320095N00138    00</v>
      </c>
      <c r="B21681" t="s">
        <v>46924</v>
      </c>
      <c r="C21681" t="s">
        <v>46925</v>
      </c>
      <c r="D21681" t="s">
        <v>20</v>
      </c>
      <c r="E21681" t="s">
        <v>39</v>
      </c>
      <c r="F21681">
        <v>0</v>
      </c>
      <c r="G21681">
        <v>0</v>
      </c>
      <c r="H21681">
        <v>6</v>
      </c>
      <c r="I21681" s="3">
        <v>3910.8</v>
      </c>
      <c r="J21681" s="3">
        <v>913.87</v>
      </c>
      <c r="L21681">
        <v>56</v>
      </c>
      <c r="M21681" t="s">
        <v>46926</v>
      </c>
      <c r="N21681" t="s">
        <v>30</v>
      </c>
      <c r="O21681" t="s">
        <v>31</v>
      </c>
      <c r="P21681" t="str">
        <f>"15234"</f>
        <v>15234</v>
      </c>
    </row>
    <row r="21682" spans="1:16" x14ac:dyDescent="0.25">
      <c r="A21682" t="str">
        <f>"1320095N00204    00"</f>
        <v>1320095N00204    00</v>
      </c>
      <c r="B21682" t="s">
        <v>46927</v>
      </c>
      <c r="C21682" t="s">
        <v>46875</v>
      </c>
      <c r="D21682" t="s">
        <v>20</v>
      </c>
      <c r="E21682" t="s">
        <v>39</v>
      </c>
      <c r="F21682">
        <v>0</v>
      </c>
      <c r="G21682">
        <v>0</v>
      </c>
      <c r="H21682">
        <v>8</v>
      </c>
      <c r="I21682" s="3">
        <v>4504.17</v>
      </c>
      <c r="J21682" s="3">
        <v>1473.82</v>
      </c>
      <c r="L21682">
        <v>22</v>
      </c>
      <c r="M21682" t="s">
        <v>46877</v>
      </c>
      <c r="N21682" t="s">
        <v>30</v>
      </c>
      <c r="O21682" t="s">
        <v>31</v>
      </c>
      <c r="P21682" t="str">
        <f>"15234"</f>
        <v>15234</v>
      </c>
    </row>
    <row r="21683" spans="1:16" x14ac:dyDescent="0.25">
      <c r="A21683" t="str">
        <f>"1320095N00207    00"</f>
        <v>1320095N00207    00</v>
      </c>
      <c r="B21683" t="s">
        <v>46928</v>
      </c>
      <c r="C21683" t="s">
        <v>46929</v>
      </c>
      <c r="D21683" t="s">
        <v>20</v>
      </c>
      <c r="E21683" t="s">
        <v>39</v>
      </c>
      <c r="F21683">
        <v>0</v>
      </c>
      <c r="G21683">
        <v>0</v>
      </c>
      <c r="H21683">
        <v>7</v>
      </c>
      <c r="I21683" s="3">
        <v>6633.91</v>
      </c>
      <c r="J21683" s="3">
        <v>1740.61</v>
      </c>
      <c r="L21683">
        <v>2282</v>
      </c>
      <c r="M21683" t="s">
        <v>46877</v>
      </c>
      <c r="N21683" t="s">
        <v>30</v>
      </c>
      <c r="O21683" t="s">
        <v>31</v>
      </c>
      <c r="P21683" t="str">
        <f>"15234"</f>
        <v>15234</v>
      </c>
    </row>
    <row r="21684" spans="1:16" x14ac:dyDescent="0.25">
      <c r="A21684" t="str">
        <f>"1320095N00227    00"</f>
        <v>1320095N00227    00</v>
      </c>
      <c r="B21684" t="s">
        <v>46930</v>
      </c>
      <c r="C21684" t="s">
        <v>46931</v>
      </c>
      <c r="D21684" t="s">
        <v>20</v>
      </c>
      <c r="E21684" t="s">
        <v>39</v>
      </c>
      <c r="F21684">
        <v>0</v>
      </c>
      <c r="G21684">
        <v>0</v>
      </c>
      <c r="H21684">
        <v>16</v>
      </c>
      <c r="I21684" s="3">
        <v>19340.27</v>
      </c>
      <c r="J21684" s="3">
        <v>13558.29</v>
      </c>
      <c r="L21684">
        <v>2252</v>
      </c>
      <c r="M21684" t="s">
        <v>46877</v>
      </c>
      <c r="N21684" t="s">
        <v>30</v>
      </c>
      <c r="O21684" t="s">
        <v>31</v>
      </c>
      <c r="P21684" t="str">
        <f>"15234"</f>
        <v>15234</v>
      </c>
    </row>
    <row r="21685" spans="1:16" x14ac:dyDescent="0.25">
      <c r="A21685" t="str">
        <f>"1320095N00246    00"</f>
        <v>1320095N00246    00</v>
      </c>
      <c r="B21685" t="s">
        <v>46927</v>
      </c>
      <c r="C21685" t="s">
        <v>46932</v>
      </c>
      <c r="D21685" t="s">
        <v>20</v>
      </c>
      <c r="E21685" t="s">
        <v>39</v>
      </c>
      <c r="F21685">
        <v>0</v>
      </c>
      <c r="G21685">
        <v>0</v>
      </c>
      <c r="H21685">
        <v>8</v>
      </c>
      <c r="I21685" s="3">
        <v>3802.33</v>
      </c>
      <c r="J21685" s="3">
        <v>1303.0999999999999</v>
      </c>
      <c r="L21685">
        <v>22</v>
      </c>
      <c r="M21685" t="s">
        <v>46877</v>
      </c>
      <c r="N21685" t="s">
        <v>30</v>
      </c>
      <c r="O21685" t="s">
        <v>31</v>
      </c>
      <c r="P21685" t="str">
        <f>"15234"</f>
        <v>15234</v>
      </c>
    </row>
    <row r="21686" spans="1:16" x14ac:dyDescent="0.25">
      <c r="A21686" t="str">
        <f>"1320095N00385    00"</f>
        <v>1320095N00385    00</v>
      </c>
      <c r="B21686" t="s">
        <v>24076</v>
      </c>
      <c r="C21686" t="s">
        <v>46933</v>
      </c>
      <c r="D21686" t="s">
        <v>20</v>
      </c>
      <c r="E21686" t="s">
        <v>21</v>
      </c>
      <c r="F21686">
        <v>0</v>
      </c>
      <c r="G21686">
        <v>0</v>
      </c>
      <c r="H21686">
        <v>1</v>
      </c>
      <c r="I21686" s="3">
        <v>1906</v>
      </c>
      <c r="J21686" s="3">
        <v>0</v>
      </c>
      <c r="L21686">
        <v>2351</v>
      </c>
      <c r="M21686" t="s">
        <v>9782</v>
      </c>
      <c r="N21686" t="s">
        <v>30</v>
      </c>
      <c r="O21686" t="s">
        <v>31</v>
      </c>
      <c r="P21686" t="str">
        <f>"15210"</f>
        <v>15210</v>
      </c>
    </row>
    <row r="21687" spans="1:16" x14ac:dyDescent="0.25">
      <c r="A21687" t="str">
        <f>"1320095P00030    00"</f>
        <v>1320095P00030    00</v>
      </c>
      <c r="B21687" t="s">
        <v>46890</v>
      </c>
      <c r="C21687" t="s">
        <v>30456</v>
      </c>
      <c r="D21687" t="s">
        <v>20</v>
      </c>
      <c r="E21687" t="s">
        <v>21</v>
      </c>
      <c r="F21687">
        <v>0</v>
      </c>
      <c r="G21687">
        <v>0</v>
      </c>
      <c r="H21687">
        <v>19</v>
      </c>
      <c r="I21687" s="3">
        <v>5121.99</v>
      </c>
      <c r="J21687" s="3">
        <v>5242.96</v>
      </c>
      <c r="L21687">
        <v>29950</v>
      </c>
      <c r="M21687" t="s">
        <v>46891</v>
      </c>
      <c r="N21687" t="s">
        <v>46892</v>
      </c>
      <c r="O21687" t="s">
        <v>31</v>
      </c>
      <c r="P21687" t="str">
        <f>"16314"</f>
        <v>16314</v>
      </c>
    </row>
    <row r="21688" spans="1:16" x14ac:dyDescent="0.25">
      <c r="A21688" t="str">
        <f>"1320095P00037    00"</f>
        <v>1320095P00037    00</v>
      </c>
      <c r="B21688" t="s">
        <v>46934</v>
      </c>
      <c r="C21688" t="s">
        <v>46804</v>
      </c>
      <c r="D21688" t="s">
        <v>20</v>
      </c>
      <c r="E21688" t="s">
        <v>39</v>
      </c>
      <c r="F21688">
        <v>0</v>
      </c>
      <c r="G21688">
        <v>0</v>
      </c>
      <c r="H21688">
        <v>19</v>
      </c>
      <c r="I21688" s="3">
        <v>9804.69</v>
      </c>
      <c r="J21688" s="3">
        <v>11456.71</v>
      </c>
      <c r="L21688">
        <v>238</v>
      </c>
      <c r="M21688" t="s">
        <v>46935</v>
      </c>
      <c r="N21688" t="s">
        <v>46892</v>
      </c>
      <c r="O21688" t="s">
        <v>31</v>
      </c>
      <c r="P21688" t="str">
        <f>"16314"</f>
        <v>16314</v>
      </c>
    </row>
    <row r="21689" spans="1:16" x14ac:dyDescent="0.25">
      <c r="A21689" t="str">
        <f>"1320095P00039    00"</f>
        <v>1320095P00039    00</v>
      </c>
      <c r="B21689" t="s">
        <v>46936</v>
      </c>
      <c r="C21689" t="s">
        <v>30456</v>
      </c>
      <c r="D21689" t="s">
        <v>20</v>
      </c>
      <c r="E21689" t="s">
        <v>39</v>
      </c>
      <c r="F21689">
        <v>0</v>
      </c>
      <c r="G21689">
        <v>0</v>
      </c>
      <c r="H21689">
        <v>11</v>
      </c>
      <c r="I21689" s="3">
        <v>141.54</v>
      </c>
      <c r="J21689" s="3">
        <v>67.94</v>
      </c>
      <c r="K21689" t="s">
        <v>46937</v>
      </c>
      <c r="L21689">
        <v>1050</v>
      </c>
      <c r="M21689" t="s">
        <v>46938</v>
      </c>
      <c r="N21689" t="s">
        <v>30</v>
      </c>
      <c r="O21689" t="s">
        <v>31</v>
      </c>
      <c r="P21689" t="str">
        <f>"15226"</f>
        <v>15226</v>
      </c>
    </row>
    <row r="21690" spans="1:16" x14ac:dyDescent="0.25">
      <c r="A21690" t="str">
        <f>"1320095P00044    00"</f>
        <v>1320095P00044    00</v>
      </c>
      <c r="B21690" t="s">
        <v>46939</v>
      </c>
      <c r="C21690" t="s">
        <v>46940</v>
      </c>
      <c r="D21690" t="s">
        <v>20</v>
      </c>
      <c r="E21690" t="s">
        <v>39</v>
      </c>
      <c r="F21690">
        <v>0</v>
      </c>
      <c r="G21690">
        <v>0</v>
      </c>
      <c r="H21690">
        <v>5</v>
      </c>
      <c r="I21690" s="3">
        <v>4496.66</v>
      </c>
      <c r="J21690" s="3">
        <v>1309.31</v>
      </c>
      <c r="K21690" t="s">
        <v>46941</v>
      </c>
      <c r="L21690">
        <v>2319</v>
      </c>
      <c r="M21690" t="s">
        <v>22758</v>
      </c>
      <c r="N21690" t="s">
        <v>30</v>
      </c>
      <c r="O21690" t="s">
        <v>31</v>
      </c>
      <c r="P21690" t="str">
        <f>"15210"</f>
        <v>15210</v>
      </c>
    </row>
    <row r="21691" spans="1:16" x14ac:dyDescent="0.25">
      <c r="A21691" t="str">
        <f>"1320095P00058    00"</f>
        <v>1320095P00058    00</v>
      </c>
      <c r="B21691" t="s">
        <v>46942</v>
      </c>
      <c r="C21691" t="s">
        <v>30456</v>
      </c>
      <c r="D21691" t="s">
        <v>20</v>
      </c>
      <c r="E21691" t="s">
        <v>39</v>
      </c>
      <c r="F21691">
        <v>0</v>
      </c>
      <c r="G21691">
        <v>0</v>
      </c>
      <c r="H21691">
        <v>19</v>
      </c>
      <c r="I21691" s="3">
        <v>463.58</v>
      </c>
      <c r="J21691" s="3">
        <v>447.47</v>
      </c>
      <c r="K21691" t="s">
        <v>13562</v>
      </c>
      <c r="M21691" t="s">
        <v>26428</v>
      </c>
      <c r="O21691" t="s">
        <v>31</v>
      </c>
      <c r="P21691" t="str">
        <f>"10000"</f>
        <v>10000</v>
      </c>
    </row>
    <row r="21692" spans="1:16" x14ac:dyDescent="0.25">
      <c r="A21692" t="str">
        <f>"1320095P00062    00"</f>
        <v>1320095P00062    00</v>
      </c>
      <c r="B21692" t="s">
        <v>46746</v>
      </c>
      <c r="C21692" t="s">
        <v>46943</v>
      </c>
      <c r="E21692" t="s">
        <v>39</v>
      </c>
      <c r="F21692">
        <v>0</v>
      </c>
      <c r="G21692">
        <v>0</v>
      </c>
      <c r="H21692">
        <v>1</v>
      </c>
      <c r="I21692" s="3">
        <v>31.79</v>
      </c>
      <c r="J21692" s="3">
        <v>9.5399999999999991</v>
      </c>
      <c r="K21692" t="s">
        <v>46748</v>
      </c>
      <c r="L21692">
        <v>2341</v>
      </c>
      <c r="M21692" t="s">
        <v>9782</v>
      </c>
      <c r="N21692" t="s">
        <v>30</v>
      </c>
      <c r="O21692" t="s">
        <v>31</v>
      </c>
      <c r="P21692" t="str">
        <f>"15210"</f>
        <v>15210</v>
      </c>
    </row>
    <row r="21693" spans="1:16" x14ac:dyDescent="0.25">
      <c r="A21693" t="str">
        <f>"1320095P00067    00"</f>
        <v>1320095P00067    00</v>
      </c>
      <c r="B21693" t="s">
        <v>28817</v>
      </c>
      <c r="C21693" t="s">
        <v>46944</v>
      </c>
      <c r="D21693" t="s">
        <v>20</v>
      </c>
      <c r="E21693" t="s">
        <v>21</v>
      </c>
      <c r="F21693">
        <v>0</v>
      </c>
      <c r="G21693">
        <v>0</v>
      </c>
      <c r="H21693">
        <v>1</v>
      </c>
      <c r="I21693" s="3">
        <v>1454.29</v>
      </c>
      <c r="J21693" s="3">
        <v>0</v>
      </c>
      <c r="L21693">
        <v>2351</v>
      </c>
      <c r="M21693" t="s">
        <v>9782</v>
      </c>
      <c r="N21693" t="s">
        <v>30</v>
      </c>
      <c r="O21693" t="s">
        <v>31</v>
      </c>
      <c r="P21693" t="str">
        <f>"15210"</f>
        <v>15210</v>
      </c>
    </row>
    <row r="21694" spans="1:16" x14ac:dyDescent="0.25">
      <c r="A21694" t="str">
        <f>"1320095P00085    00"</f>
        <v>1320095P00085    00</v>
      </c>
      <c r="B21694" t="s">
        <v>46945</v>
      </c>
      <c r="C21694" t="s">
        <v>44481</v>
      </c>
      <c r="D21694" t="s">
        <v>20</v>
      </c>
      <c r="E21694" t="s">
        <v>39</v>
      </c>
      <c r="F21694">
        <v>0</v>
      </c>
      <c r="G21694">
        <v>0</v>
      </c>
      <c r="H21694">
        <v>19</v>
      </c>
      <c r="I21694" s="3">
        <v>1407.28</v>
      </c>
      <c r="J21694" s="3">
        <v>1126.3699999999999</v>
      </c>
      <c r="K21694" t="s">
        <v>46946</v>
      </c>
      <c r="L21694">
        <v>3212</v>
      </c>
      <c r="M21694" t="s">
        <v>31546</v>
      </c>
      <c r="N21694" t="s">
        <v>30</v>
      </c>
      <c r="O21694" t="s">
        <v>31</v>
      </c>
      <c r="P21694" t="str">
        <f>"15204"</f>
        <v>15204</v>
      </c>
    </row>
    <row r="21695" spans="1:16" x14ac:dyDescent="0.25">
      <c r="A21695" t="str">
        <f>"1320095P00115    00"</f>
        <v>1320095P00115    00</v>
      </c>
      <c r="B21695" t="s">
        <v>46947</v>
      </c>
      <c r="C21695" t="s">
        <v>46948</v>
      </c>
      <c r="D21695" t="s">
        <v>20</v>
      </c>
      <c r="E21695" t="s">
        <v>39</v>
      </c>
      <c r="F21695">
        <v>0</v>
      </c>
      <c r="G21695">
        <v>0</v>
      </c>
      <c r="H21695">
        <v>2</v>
      </c>
      <c r="I21695" s="3">
        <v>1948.12</v>
      </c>
      <c r="J21695" s="3">
        <v>0</v>
      </c>
      <c r="K21695" t="s">
        <v>403</v>
      </c>
      <c r="L21695">
        <v>3001</v>
      </c>
      <c r="M21695" t="s">
        <v>404</v>
      </c>
      <c r="N21695" t="s">
        <v>331</v>
      </c>
      <c r="O21695" t="s">
        <v>108</v>
      </c>
      <c r="P21695" t="str">
        <f>"75063"</f>
        <v>75063</v>
      </c>
    </row>
    <row r="21696" spans="1:16" x14ac:dyDescent="0.25">
      <c r="A21696" t="str">
        <f>"1320095P00125    00"</f>
        <v>1320095P00125    00</v>
      </c>
      <c r="B21696" t="s">
        <v>46949</v>
      </c>
      <c r="C21696" t="s">
        <v>46950</v>
      </c>
      <c r="D21696" t="s">
        <v>20</v>
      </c>
      <c r="E21696" t="s">
        <v>39</v>
      </c>
      <c r="F21696">
        <v>0</v>
      </c>
      <c r="G21696">
        <v>0</v>
      </c>
      <c r="H21696">
        <v>2</v>
      </c>
      <c r="I21696" s="3">
        <v>1407.45</v>
      </c>
      <c r="J21696" s="3">
        <v>0</v>
      </c>
      <c r="K21696" t="s">
        <v>8122</v>
      </c>
      <c r="L21696">
        <v>999</v>
      </c>
      <c r="M21696" t="s">
        <v>8123</v>
      </c>
      <c r="N21696" t="s">
        <v>8124</v>
      </c>
      <c r="O21696" t="s">
        <v>658</v>
      </c>
      <c r="P21696" t="str">
        <f>"73118"</f>
        <v>73118</v>
      </c>
    </row>
    <row r="21697" spans="1:16" x14ac:dyDescent="0.25">
      <c r="A21697" t="str">
        <f>"1320095P00133    00"</f>
        <v>1320095P00133    00</v>
      </c>
      <c r="B21697" t="s">
        <v>46951</v>
      </c>
      <c r="C21697" t="s">
        <v>46952</v>
      </c>
      <c r="D21697" t="s">
        <v>20</v>
      </c>
      <c r="E21697" t="s">
        <v>39</v>
      </c>
      <c r="F21697">
        <v>0</v>
      </c>
      <c r="G21697">
        <v>0</v>
      </c>
      <c r="H21697">
        <v>2</v>
      </c>
      <c r="I21697" s="3">
        <v>694.44</v>
      </c>
      <c r="J21697" s="3">
        <v>0</v>
      </c>
      <c r="L21697">
        <v>2315</v>
      </c>
      <c r="M21697" t="s">
        <v>46815</v>
      </c>
      <c r="N21697" t="s">
        <v>30</v>
      </c>
      <c r="O21697" t="s">
        <v>31</v>
      </c>
      <c r="P21697" t="str">
        <f>"15210"</f>
        <v>15210</v>
      </c>
    </row>
    <row r="21698" spans="1:16" x14ac:dyDescent="0.25">
      <c r="A21698" t="str">
        <f>"1320095P00141    00"</f>
        <v>1320095P00141    00</v>
      </c>
      <c r="B21698" t="s">
        <v>46953</v>
      </c>
      <c r="C21698" t="s">
        <v>46954</v>
      </c>
      <c r="D21698" t="s">
        <v>20</v>
      </c>
      <c r="E21698" t="s">
        <v>39</v>
      </c>
      <c r="F21698">
        <v>0</v>
      </c>
      <c r="G21698">
        <v>0</v>
      </c>
      <c r="H21698">
        <v>3</v>
      </c>
      <c r="I21698" s="3">
        <v>1098.79</v>
      </c>
      <c r="J21698" s="3">
        <v>86.09</v>
      </c>
      <c r="L21698">
        <v>2333</v>
      </c>
      <c r="M21698" t="s">
        <v>46815</v>
      </c>
      <c r="N21698" t="s">
        <v>30</v>
      </c>
      <c r="O21698" t="s">
        <v>31</v>
      </c>
      <c r="P21698" t="str">
        <f>"15210"</f>
        <v>15210</v>
      </c>
    </row>
    <row r="21699" spans="1:16" x14ac:dyDescent="0.25">
      <c r="A21699" t="str">
        <f>"1320095P00164    00"</f>
        <v>1320095P00164    00</v>
      </c>
      <c r="B21699" t="s">
        <v>46955</v>
      </c>
      <c r="C21699" t="s">
        <v>46956</v>
      </c>
      <c r="D21699" t="s">
        <v>20</v>
      </c>
      <c r="E21699" t="s">
        <v>39</v>
      </c>
      <c r="F21699">
        <v>0</v>
      </c>
      <c r="G21699">
        <v>0</v>
      </c>
      <c r="H21699">
        <v>10</v>
      </c>
      <c r="I21699" s="3">
        <v>11382.52</v>
      </c>
      <c r="J21699" s="3">
        <v>5453.29</v>
      </c>
      <c r="L21699">
        <v>2344</v>
      </c>
      <c r="M21699" t="s">
        <v>26687</v>
      </c>
      <c r="N21699" t="s">
        <v>30</v>
      </c>
      <c r="O21699" t="s">
        <v>31</v>
      </c>
      <c r="P21699" t="str">
        <f>"15210"</f>
        <v>15210</v>
      </c>
    </row>
    <row r="21700" spans="1:16" x14ac:dyDescent="0.25">
      <c r="A21700" t="str">
        <f>"1320095P00171    00"</f>
        <v>1320095P00171    00</v>
      </c>
      <c r="B21700" t="s">
        <v>46957</v>
      </c>
      <c r="C21700" t="s">
        <v>46958</v>
      </c>
      <c r="E21700" t="s">
        <v>39</v>
      </c>
      <c r="F21700">
        <v>0</v>
      </c>
      <c r="G21700">
        <v>0</v>
      </c>
      <c r="H21700">
        <v>1</v>
      </c>
      <c r="I21700" s="3">
        <v>304.92</v>
      </c>
      <c r="J21700" s="3">
        <v>152.44999999999999</v>
      </c>
      <c r="K21700" t="s">
        <v>484</v>
      </c>
      <c r="L21700">
        <v>3001</v>
      </c>
      <c r="M21700" t="s">
        <v>330</v>
      </c>
      <c r="N21700" t="s">
        <v>331</v>
      </c>
      <c r="O21700" t="s">
        <v>108</v>
      </c>
      <c r="P21700" t="str">
        <f>"75063"</f>
        <v>75063</v>
      </c>
    </row>
    <row r="21701" spans="1:16" x14ac:dyDescent="0.25">
      <c r="A21701" t="str">
        <f>"1320095P00172000100"</f>
        <v>1320095P00172000100</v>
      </c>
      <c r="B21701" t="s">
        <v>46959</v>
      </c>
      <c r="C21701" t="s">
        <v>46861</v>
      </c>
      <c r="D21701" t="s">
        <v>20</v>
      </c>
      <c r="E21701" t="s">
        <v>39</v>
      </c>
      <c r="F21701">
        <v>0</v>
      </c>
      <c r="G21701">
        <v>0</v>
      </c>
      <c r="H21701">
        <v>6</v>
      </c>
      <c r="I21701" s="3">
        <v>223.7</v>
      </c>
      <c r="J21701" s="3">
        <v>51.05</v>
      </c>
      <c r="K21701" t="s">
        <v>400</v>
      </c>
      <c r="L21701">
        <v>3001</v>
      </c>
      <c r="M21701" t="s">
        <v>330</v>
      </c>
      <c r="N21701" t="s">
        <v>331</v>
      </c>
      <c r="O21701" t="s">
        <v>108</v>
      </c>
      <c r="P21701" t="str">
        <f>"75063"</f>
        <v>75063</v>
      </c>
    </row>
    <row r="21702" spans="1:16" x14ac:dyDescent="0.25">
      <c r="A21702" t="str">
        <f>"1320095P00178    00"</f>
        <v>1320095P00178    00</v>
      </c>
      <c r="B21702" t="s">
        <v>46960</v>
      </c>
      <c r="C21702" t="s">
        <v>46961</v>
      </c>
      <c r="D21702" t="s">
        <v>20</v>
      </c>
      <c r="E21702" t="s">
        <v>39</v>
      </c>
      <c r="F21702">
        <v>0</v>
      </c>
      <c r="G21702">
        <v>0</v>
      </c>
      <c r="H21702">
        <v>1</v>
      </c>
      <c r="I21702" s="3">
        <v>1265.58</v>
      </c>
      <c r="J21702" s="3">
        <v>0</v>
      </c>
      <c r="K21702" t="s">
        <v>2106</v>
      </c>
      <c r="L21702">
        <v>6053</v>
      </c>
      <c r="M21702" t="s">
        <v>2107</v>
      </c>
      <c r="N21702" t="s">
        <v>2108</v>
      </c>
      <c r="O21702" t="s">
        <v>2109</v>
      </c>
      <c r="P21702" t="str">
        <f>"84107"</f>
        <v>84107</v>
      </c>
    </row>
    <row r="21703" spans="1:16" x14ac:dyDescent="0.25">
      <c r="A21703" t="str">
        <f>"1320095P00227    00"</f>
        <v>1320095P00227    00</v>
      </c>
      <c r="B21703" t="s">
        <v>46962</v>
      </c>
      <c r="C21703" t="s">
        <v>46963</v>
      </c>
      <c r="D21703" t="s">
        <v>20</v>
      </c>
      <c r="E21703" t="s">
        <v>39</v>
      </c>
      <c r="F21703">
        <v>0</v>
      </c>
      <c r="G21703">
        <v>0</v>
      </c>
      <c r="H21703">
        <v>2</v>
      </c>
      <c r="I21703" s="3">
        <v>1315.88</v>
      </c>
      <c r="J21703" s="3">
        <v>0</v>
      </c>
      <c r="K21703" t="s">
        <v>46964</v>
      </c>
      <c r="L21703">
        <v>2338</v>
      </c>
      <c r="M21703" t="s">
        <v>44253</v>
      </c>
      <c r="N21703" t="s">
        <v>30</v>
      </c>
      <c r="O21703" t="s">
        <v>31</v>
      </c>
      <c r="P21703" t="str">
        <f>"15210"</f>
        <v>15210</v>
      </c>
    </row>
    <row r="21704" spans="1:16" x14ac:dyDescent="0.25">
      <c r="A21704" t="str">
        <f>"1320095P00243    00"</f>
        <v>1320095P00243    00</v>
      </c>
      <c r="B21704" t="s">
        <v>23232</v>
      </c>
      <c r="C21704" t="s">
        <v>46965</v>
      </c>
      <c r="D21704" t="s">
        <v>20</v>
      </c>
      <c r="E21704" t="s">
        <v>39</v>
      </c>
      <c r="F21704">
        <v>0</v>
      </c>
      <c r="G21704">
        <v>0</v>
      </c>
      <c r="H21704">
        <v>1</v>
      </c>
      <c r="I21704" s="3">
        <v>935.85</v>
      </c>
      <c r="J21704" s="3">
        <v>0</v>
      </c>
      <c r="L21704">
        <v>10</v>
      </c>
      <c r="M21704" t="s">
        <v>2911</v>
      </c>
      <c r="N21704" t="s">
        <v>30</v>
      </c>
      <c r="O21704" t="s">
        <v>31</v>
      </c>
      <c r="P21704" t="str">
        <f>"15203"</f>
        <v>15203</v>
      </c>
    </row>
    <row r="21705" spans="1:16" x14ac:dyDescent="0.25">
      <c r="A21705" t="str">
        <f>"1320095P00248    00"</f>
        <v>1320095P00248    00</v>
      </c>
      <c r="B21705" t="s">
        <v>46966</v>
      </c>
      <c r="C21705" t="s">
        <v>46967</v>
      </c>
      <c r="D21705" t="s">
        <v>20</v>
      </c>
      <c r="E21705" t="s">
        <v>39</v>
      </c>
      <c r="F21705">
        <v>0</v>
      </c>
      <c r="G21705">
        <v>0</v>
      </c>
      <c r="H21705">
        <v>15</v>
      </c>
      <c r="I21705" s="3">
        <v>3607.7</v>
      </c>
      <c r="J21705" s="3">
        <v>2109.1999999999998</v>
      </c>
      <c r="M21705" t="s">
        <v>46968</v>
      </c>
      <c r="N21705" t="s">
        <v>46969</v>
      </c>
      <c r="O21705" t="s">
        <v>658</v>
      </c>
      <c r="P21705" t="str">
        <f>"73026"</f>
        <v>73026</v>
      </c>
    </row>
    <row r="21706" spans="1:16" x14ac:dyDescent="0.25">
      <c r="A21706" t="str">
        <f>"1320095P00266    00"</f>
        <v>1320095P00266    00</v>
      </c>
      <c r="B21706" t="s">
        <v>46970</v>
      </c>
      <c r="C21706" t="s">
        <v>46971</v>
      </c>
      <c r="D21706" t="s">
        <v>20</v>
      </c>
      <c r="E21706" t="s">
        <v>39</v>
      </c>
      <c r="F21706">
        <v>0</v>
      </c>
      <c r="G21706">
        <v>0</v>
      </c>
      <c r="H21706">
        <v>1</v>
      </c>
      <c r="I21706" s="3">
        <v>1902.21</v>
      </c>
      <c r="J21706" s="3">
        <v>0</v>
      </c>
      <c r="K21706" t="s">
        <v>2106</v>
      </c>
      <c r="L21706">
        <v>6053</v>
      </c>
      <c r="M21706" t="s">
        <v>2107</v>
      </c>
      <c r="N21706" t="s">
        <v>2108</v>
      </c>
      <c r="O21706" t="s">
        <v>2109</v>
      </c>
      <c r="P21706" t="str">
        <f>"84107"</f>
        <v>84107</v>
      </c>
    </row>
    <row r="21707" spans="1:16" x14ac:dyDescent="0.25">
      <c r="A21707" t="str">
        <f>"1320095P00299    00"</f>
        <v>1320095P00299    00</v>
      </c>
      <c r="B21707" t="s">
        <v>46972</v>
      </c>
      <c r="C21707" t="s">
        <v>46973</v>
      </c>
      <c r="D21707" t="s">
        <v>20</v>
      </c>
      <c r="E21707" t="s">
        <v>39</v>
      </c>
      <c r="F21707">
        <v>0</v>
      </c>
      <c r="G21707">
        <v>0</v>
      </c>
      <c r="H21707">
        <v>1</v>
      </c>
      <c r="I21707" s="3">
        <v>1162.68</v>
      </c>
      <c r="J21707" s="3">
        <v>0</v>
      </c>
      <c r="M21707" t="s">
        <v>46974</v>
      </c>
      <c r="N21707" t="s">
        <v>30</v>
      </c>
      <c r="O21707" t="s">
        <v>31</v>
      </c>
      <c r="P21707" t="str">
        <f>"15206"</f>
        <v>15206</v>
      </c>
    </row>
    <row r="21708" spans="1:16" x14ac:dyDescent="0.25">
      <c r="A21708" t="str">
        <f>"1320095R00181    00"</f>
        <v>1320095R00181    00</v>
      </c>
      <c r="B21708" t="s">
        <v>32963</v>
      </c>
      <c r="C21708" t="s">
        <v>46975</v>
      </c>
      <c r="E21708" t="s">
        <v>39</v>
      </c>
      <c r="F21708">
        <v>0</v>
      </c>
      <c r="G21708">
        <v>0</v>
      </c>
      <c r="H21708">
        <v>3</v>
      </c>
      <c r="I21708" s="3">
        <v>1266.74</v>
      </c>
      <c r="J21708" s="3">
        <v>129.94999999999999</v>
      </c>
      <c r="L21708">
        <v>230</v>
      </c>
      <c r="M21708" t="s">
        <v>46976</v>
      </c>
      <c r="N21708" t="s">
        <v>30</v>
      </c>
      <c r="O21708" t="s">
        <v>31</v>
      </c>
      <c r="P21708" t="str">
        <f>"15237"</f>
        <v>15237</v>
      </c>
    </row>
    <row r="21709" spans="1:16" x14ac:dyDescent="0.25">
      <c r="A21709" t="str">
        <f>"1320095R00182    00"</f>
        <v>1320095R00182    00</v>
      </c>
      <c r="B21709" t="s">
        <v>46977</v>
      </c>
      <c r="C21709" t="s">
        <v>46978</v>
      </c>
      <c r="D21709" t="s">
        <v>57</v>
      </c>
      <c r="E21709" t="s">
        <v>39</v>
      </c>
      <c r="F21709">
        <v>0</v>
      </c>
      <c r="G21709">
        <v>0</v>
      </c>
      <c r="H21709">
        <v>1</v>
      </c>
      <c r="I21709" s="3">
        <v>97.74</v>
      </c>
      <c r="J21709" s="3">
        <v>0</v>
      </c>
      <c r="L21709">
        <v>442</v>
      </c>
      <c r="M21709" t="s">
        <v>44479</v>
      </c>
      <c r="N21709" t="s">
        <v>30</v>
      </c>
      <c r="O21709" t="s">
        <v>31</v>
      </c>
      <c r="P21709" t="str">
        <f>"15210"</f>
        <v>15210</v>
      </c>
    </row>
    <row r="21710" spans="1:16" x14ac:dyDescent="0.25">
      <c r="A21710" t="str">
        <f>"1320096A00301    00"</f>
        <v>1320096A00301    00</v>
      </c>
      <c r="B21710" t="s">
        <v>46979</v>
      </c>
      <c r="C21710" t="s">
        <v>46980</v>
      </c>
      <c r="D21710" t="s">
        <v>20</v>
      </c>
      <c r="E21710" t="s">
        <v>39</v>
      </c>
      <c r="F21710">
        <v>0</v>
      </c>
      <c r="G21710">
        <v>0</v>
      </c>
      <c r="H21710">
        <v>2</v>
      </c>
      <c r="I21710" s="3">
        <v>1494.72</v>
      </c>
      <c r="J21710" s="3">
        <v>0</v>
      </c>
      <c r="L21710">
        <v>1211</v>
      </c>
      <c r="M21710" t="s">
        <v>1990</v>
      </c>
      <c r="N21710" t="s">
        <v>30</v>
      </c>
      <c r="O21710" t="s">
        <v>31</v>
      </c>
      <c r="P21710" t="str">
        <f>"15226"</f>
        <v>15226</v>
      </c>
    </row>
    <row r="21711" spans="1:16" x14ac:dyDescent="0.25">
      <c r="A21711" t="str">
        <f>"1320096A00315    00"</f>
        <v>1320096A00315    00</v>
      </c>
      <c r="B21711" t="s">
        <v>873</v>
      </c>
      <c r="C21711" t="s">
        <v>46981</v>
      </c>
      <c r="D21711" t="s">
        <v>20</v>
      </c>
      <c r="E21711" t="s">
        <v>39</v>
      </c>
      <c r="F21711">
        <v>0</v>
      </c>
      <c r="G21711">
        <v>0</v>
      </c>
      <c r="H21711">
        <v>1</v>
      </c>
      <c r="I21711" s="3">
        <v>463.62</v>
      </c>
      <c r="J21711" s="3">
        <v>0</v>
      </c>
      <c r="L21711">
        <v>112</v>
      </c>
      <c r="M21711" t="s">
        <v>875</v>
      </c>
      <c r="N21711" t="s">
        <v>30</v>
      </c>
      <c r="O21711" t="s">
        <v>31</v>
      </c>
      <c r="P21711" t="str">
        <f>"15219"</f>
        <v>15219</v>
      </c>
    </row>
    <row r="21712" spans="1:16" x14ac:dyDescent="0.25">
      <c r="A21712" t="str">
        <f>"1320096B00002A   00"</f>
        <v>1320096B00002A   00</v>
      </c>
      <c r="B21712" t="s">
        <v>46982</v>
      </c>
      <c r="C21712" t="s">
        <v>46983</v>
      </c>
      <c r="D21712" t="s">
        <v>20</v>
      </c>
      <c r="E21712" t="s">
        <v>39</v>
      </c>
      <c r="F21712">
        <v>0</v>
      </c>
      <c r="G21712">
        <v>0</v>
      </c>
      <c r="H21712">
        <v>16</v>
      </c>
      <c r="I21712" s="3">
        <v>51.44</v>
      </c>
      <c r="J21712" s="3">
        <v>40.92</v>
      </c>
      <c r="L21712">
        <v>419</v>
      </c>
      <c r="M21712" t="s">
        <v>46984</v>
      </c>
      <c r="N21712" t="s">
        <v>30</v>
      </c>
      <c r="O21712" t="s">
        <v>31</v>
      </c>
      <c r="P21712" t="str">
        <f>"15226"</f>
        <v>15226</v>
      </c>
    </row>
    <row r="21713" spans="1:16" x14ac:dyDescent="0.25">
      <c r="A21713" t="str">
        <f>"1320096B00005000100"</f>
        <v>1320096B00005000100</v>
      </c>
      <c r="B21713" t="s">
        <v>46985</v>
      </c>
      <c r="C21713" t="s">
        <v>46986</v>
      </c>
      <c r="E21713" t="s">
        <v>39</v>
      </c>
      <c r="F21713">
        <v>0</v>
      </c>
      <c r="G21713">
        <v>0</v>
      </c>
      <c r="H21713">
        <v>1</v>
      </c>
      <c r="I21713" s="3">
        <v>23.84</v>
      </c>
      <c r="J21713" s="3">
        <v>7.15</v>
      </c>
      <c r="L21713">
        <v>1241</v>
      </c>
      <c r="M21713" t="s">
        <v>40673</v>
      </c>
      <c r="N21713" t="s">
        <v>30</v>
      </c>
      <c r="O21713" t="s">
        <v>31</v>
      </c>
      <c r="P21713" t="str">
        <f>"15226"</f>
        <v>15226</v>
      </c>
    </row>
    <row r="21714" spans="1:16" x14ac:dyDescent="0.25">
      <c r="A21714" t="str">
        <f>"1320096B00026    00"</f>
        <v>1320096B00026    00</v>
      </c>
      <c r="B21714" t="s">
        <v>46987</v>
      </c>
      <c r="C21714" t="s">
        <v>46988</v>
      </c>
      <c r="E21714" t="s">
        <v>39</v>
      </c>
      <c r="F21714">
        <v>0</v>
      </c>
      <c r="G21714">
        <v>0</v>
      </c>
      <c r="H21714">
        <v>1</v>
      </c>
      <c r="I21714" s="3">
        <v>346.3</v>
      </c>
      <c r="J21714" s="3">
        <v>69.260000000000005</v>
      </c>
      <c r="K21714" t="s">
        <v>400</v>
      </c>
      <c r="L21714">
        <v>3001</v>
      </c>
      <c r="M21714" t="s">
        <v>330</v>
      </c>
      <c r="N21714" t="s">
        <v>331</v>
      </c>
      <c r="O21714" t="s">
        <v>108</v>
      </c>
      <c r="P21714" t="str">
        <f>"75063"</f>
        <v>75063</v>
      </c>
    </row>
    <row r="21715" spans="1:16" x14ac:dyDescent="0.25">
      <c r="A21715" t="str">
        <f>"1320096B00038    00"</f>
        <v>1320096B00038    00</v>
      </c>
      <c r="B21715" t="s">
        <v>46989</v>
      </c>
      <c r="C21715" t="s">
        <v>46990</v>
      </c>
      <c r="E21715" t="s">
        <v>39</v>
      </c>
      <c r="F21715">
        <v>0</v>
      </c>
      <c r="G21715">
        <v>0</v>
      </c>
      <c r="H21715">
        <v>1</v>
      </c>
      <c r="I21715" s="3">
        <v>1037.4000000000001</v>
      </c>
      <c r="J21715" s="3">
        <v>0</v>
      </c>
      <c r="L21715">
        <v>1273</v>
      </c>
      <c r="M21715" t="s">
        <v>46772</v>
      </c>
      <c r="N21715" t="s">
        <v>30</v>
      </c>
      <c r="O21715" t="s">
        <v>31</v>
      </c>
      <c r="P21715" t="str">
        <f t="shared" ref="P21715:P21720" si="274">"15226"</f>
        <v>15226</v>
      </c>
    </row>
    <row r="21716" spans="1:16" x14ac:dyDescent="0.25">
      <c r="A21716" t="str">
        <f>"1320096B00087    00"</f>
        <v>1320096B00087    00</v>
      </c>
      <c r="B21716" t="s">
        <v>46991</v>
      </c>
      <c r="C21716" t="s">
        <v>46992</v>
      </c>
      <c r="E21716" t="s">
        <v>39</v>
      </c>
      <c r="F21716">
        <v>0</v>
      </c>
      <c r="G21716">
        <v>0</v>
      </c>
      <c r="H21716">
        <v>1</v>
      </c>
      <c r="I21716" s="3">
        <v>570.89</v>
      </c>
      <c r="J21716" s="3">
        <v>0</v>
      </c>
      <c r="L21716">
        <v>1240</v>
      </c>
      <c r="M21716" t="s">
        <v>40673</v>
      </c>
      <c r="N21716" t="s">
        <v>30</v>
      </c>
      <c r="O21716" t="s">
        <v>31</v>
      </c>
      <c r="P21716" t="str">
        <f t="shared" si="274"/>
        <v>15226</v>
      </c>
    </row>
    <row r="21717" spans="1:16" x14ac:dyDescent="0.25">
      <c r="A21717" t="str">
        <f>"1320096B00137    00"</f>
        <v>1320096B00137    00</v>
      </c>
      <c r="B21717" t="s">
        <v>46993</v>
      </c>
      <c r="C21717" t="s">
        <v>46994</v>
      </c>
      <c r="D21717" t="s">
        <v>57</v>
      </c>
      <c r="E21717" t="s">
        <v>39</v>
      </c>
      <c r="F21717">
        <v>0</v>
      </c>
      <c r="G21717">
        <v>0</v>
      </c>
      <c r="H21717">
        <v>1</v>
      </c>
      <c r="I21717" s="3">
        <v>719.56</v>
      </c>
      <c r="J21717" s="3">
        <v>0</v>
      </c>
      <c r="K21717" t="s">
        <v>46995</v>
      </c>
      <c r="L21717">
        <v>1425</v>
      </c>
      <c r="M21717" t="s">
        <v>11750</v>
      </c>
      <c r="N21717" t="s">
        <v>30</v>
      </c>
      <c r="O21717" t="s">
        <v>31</v>
      </c>
      <c r="P21717" t="str">
        <f t="shared" si="274"/>
        <v>15226</v>
      </c>
    </row>
    <row r="21718" spans="1:16" x14ac:dyDescent="0.25">
      <c r="A21718" t="str">
        <f>"1320096B00154    00"</f>
        <v>1320096B00154    00</v>
      </c>
      <c r="B21718" t="s">
        <v>46996</v>
      </c>
      <c r="C21718" t="s">
        <v>46997</v>
      </c>
      <c r="E21718" t="s">
        <v>39</v>
      </c>
      <c r="F21718">
        <v>0</v>
      </c>
      <c r="G21718">
        <v>0</v>
      </c>
      <c r="H21718">
        <v>1</v>
      </c>
      <c r="I21718" s="3">
        <v>735.11</v>
      </c>
      <c r="J21718" s="3">
        <v>294.02</v>
      </c>
      <c r="K21718" t="s">
        <v>46998</v>
      </c>
      <c r="L21718">
        <v>1400</v>
      </c>
      <c r="M21718" t="s">
        <v>11750</v>
      </c>
      <c r="N21718" t="s">
        <v>30</v>
      </c>
      <c r="O21718" t="s">
        <v>31</v>
      </c>
      <c r="P21718" t="str">
        <f t="shared" si="274"/>
        <v>15226</v>
      </c>
    </row>
    <row r="21719" spans="1:16" x14ac:dyDescent="0.25">
      <c r="A21719" t="str">
        <f>"1320096B00156    00"</f>
        <v>1320096B00156    00</v>
      </c>
      <c r="B21719" t="s">
        <v>46999</v>
      </c>
      <c r="C21719" t="s">
        <v>47000</v>
      </c>
      <c r="D21719" t="s">
        <v>20</v>
      </c>
      <c r="E21719" t="s">
        <v>39</v>
      </c>
      <c r="F21719">
        <v>0</v>
      </c>
      <c r="G21719">
        <v>0</v>
      </c>
      <c r="H21719">
        <v>2</v>
      </c>
      <c r="I21719" s="3">
        <v>1800.26</v>
      </c>
      <c r="J21719" s="3">
        <v>0</v>
      </c>
      <c r="K21719" t="s">
        <v>47001</v>
      </c>
      <c r="L21719">
        <v>1324</v>
      </c>
      <c r="M21719" t="s">
        <v>11750</v>
      </c>
      <c r="N21719" t="s">
        <v>30</v>
      </c>
      <c r="O21719" t="s">
        <v>31</v>
      </c>
      <c r="P21719" t="str">
        <f t="shared" si="274"/>
        <v>15226</v>
      </c>
    </row>
    <row r="21720" spans="1:16" x14ac:dyDescent="0.25">
      <c r="A21720" t="str">
        <f>"1320096B00171    00"</f>
        <v>1320096B00171    00</v>
      </c>
      <c r="B21720" t="s">
        <v>47002</v>
      </c>
      <c r="C21720" t="s">
        <v>47003</v>
      </c>
      <c r="D21720" t="s">
        <v>20</v>
      </c>
      <c r="E21720" t="s">
        <v>39</v>
      </c>
      <c r="F21720">
        <v>0</v>
      </c>
      <c r="G21720">
        <v>0</v>
      </c>
      <c r="H21720">
        <v>15</v>
      </c>
      <c r="I21720" s="3">
        <v>14372.51</v>
      </c>
      <c r="J21720" s="3">
        <v>9135.2999999999993</v>
      </c>
      <c r="L21720">
        <v>1236</v>
      </c>
      <c r="M21720" t="s">
        <v>11750</v>
      </c>
      <c r="N21720" t="s">
        <v>30</v>
      </c>
      <c r="O21720" t="s">
        <v>31</v>
      </c>
      <c r="P21720" t="str">
        <f t="shared" si="274"/>
        <v>15226</v>
      </c>
    </row>
    <row r="21721" spans="1:16" x14ac:dyDescent="0.25">
      <c r="A21721" t="str">
        <f>"1320096B00176    00"</f>
        <v>1320096B00176    00</v>
      </c>
      <c r="B21721" t="s">
        <v>47004</v>
      </c>
      <c r="C21721" t="s">
        <v>47005</v>
      </c>
      <c r="E21721" t="s">
        <v>39</v>
      </c>
      <c r="F21721">
        <v>0</v>
      </c>
      <c r="G21721">
        <v>0</v>
      </c>
      <c r="H21721">
        <v>1</v>
      </c>
      <c r="I21721" s="3">
        <v>1421.89</v>
      </c>
      <c r="J21721" s="3">
        <v>0</v>
      </c>
      <c r="K21721" t="s">
        <v>16191</v>
      </c>
      <c r="L21721">
        <v>88</v>
      </c>
      <c r="M21721" t="s">
        <v>47006</v>
      </c>
      <c r="N21721" t="s">
        <v>7694</v>
      </c>
      <c r="O21721" t="s">
        <v>7695</v>
      </c>
      <c r="P21721" t="str">
        <f>"40601"</f>
        <v>40601</v>
      </c>
    </row>
    <row r="21722" spans="1:16" x14ac:dyDescent="0.25">
      <c r="A21722" t="str">
        <f>"1320096B00197    00"</f>
        <v>1320096B00197    00</v>
      </c>
      <c r="B21722" t="s">
        <v>47007</v>
      </c>
      <c r="C21722" t="s">
        <v>47008</v>
      </c>
      <c r="D21722" t="s">
        <v>20</v>
      </c>
      <c r="E21722" t="s">
        <v>39</v>
      </c>
      <c r="F21722">
        <v>0</v>
      </c>
      <c r="G21722">
        <v>0</v>
      </c>
      <c r="H21722">
        <v>1</v>
      </c>
      <c r="I21722" s="3">
        <v>677.12</v>
      </c>
      <c r="J21722" s="3">
        <v>0</v>
      </c>
      <c r="L21722">
        <v>1311</v>
      </c>
      <c r="M21722" t="s">
        <v>1990</v>
      </c>
      <c r="N21722" t="s">
        <v>30</v>
      </c>
      <c r="O21722" t="s">
        <v>31</v>
      </c>
      <c r="P21722" t="str">
        <f>"15226"</f>
        <v>15226</v>
      </c>
    </row>
    <row r="21723" spans="1:16" x14ac:dyDescent="0.25">
      <c r="A21723" t="str">
        <f>"1320096B00205    00"</f>
        <v>1320096B00205    00</v>
      </c>
      <c r="B21723" t="s">
        <v>47009</v>
      </c>
      <c r="C21723" t="s">
        <v>47010</v>
      </c>
      <c r="D21723" t="s">
        <v>20</v>
      </c>
      <c r="E21723" t="s">
        <v>39</v>
      </c>
      <c r="F21723">
        <v>0</v>
      </c>
      <c r="G21723">
        <v>0</v>
      </c>
      <c r="H21723">
        <v>3</v>
      </c>
      <c r="I21723" s="3">
        <v>4208.5200000000004</v>
      </c>
      <c r="J21723" s="3">
        <v>280.56</v>
      </c>
      <c r="L21723">
        <v>164</v>
      </c>
      <c r="M21723" t="s">
        <v>29689</v>
      </c>
      <c r="N21723" t="s">
        <v>30</v>
      </c>
      <c r="O21723" t="s">
        <v>31</v>
      </c>
      <c r="P21723" t="str">
        <f>"15228"</f>
        <v>15228</v>
      </c>
    </row>
    <row r="21724" spans="1:16" x14ac:dyDescent="0.25">
      <c r="A21724" t="str">
        <f>"1320096B00213    00"</f>
        <v>1320096B00213    00</v>
      </c>
      <c r="B21724" t="s">
        <v>47011</v>
      </c>
      <c r="C21724" t="s">
        <v>47012</v>
      </c>
      <c r="D21724" t="s">
        <v>20</v>
      </c>
      <c r="E21724" t="s">
        <v>39</v>
      </c>
      <c r="F21724">
        <v>0</v>
      </c>
      <c r="G21724">
        <v>0</v>
      </c>
      <c r="H21724">
        <v>5</v>
      </c>
      <c r="I21724" s="3">
        <v>5614.44</v>
      </c>
      <c r="J21724" s="3">
        <v>969.96</v>
      </c>
      <c r="K21724" t="s">
        <v>47013</v>
      </c>
      <c r="L21724">
        <v>964</v>
      </c>
      <c r="M21724" t="s">
        <v>24044</v>
      </c>
      <c r="N21724" t="s">
        <v>30</v>
      </c>
      <c r="O21724" t="s">
        <v>31</v>
      </c>
      <c r="P21724" t="str">
        <f>"15226"</f>
        <v>15226</v>
      </c>
    </row>
    <row r="21725" spans="1:16" x14ac:dyDescent="0.25">
      <c r="A21725" t="str">
        <f>"1320096C00020    00"</f>
        <v>1320096C00020    00</v>
      </c>
      <c r="B21725" t="s">
        <v>47014</v>
      </c>
      <c r="C21725" t="s">
        <v>47015</v>
      </c>
      <c r="D21725" t="s">
        <v>20</v>
      </c>
      <c r="E21725" t="s">
        <v>39</v>
      </c>
      <c r="F21725">
        <v>0</v>
      </c>
      <c r="G21725">
        <v>0</v>
      </c>
      <c r="H21725">
        <v>2</v>
      </c>
      <c r="I21725" s="3">
        <v>2699.9</v>
      </c>
      <c r="J21725" s="3">
        <v>0</v>
      </c>
      <c r="L21725">
        <v>1459</v>
      </c>
      <c r="M21725" t="s">
        <v>40673</v>
      </c>
      <c r="N21725" t="s">
        <v>30</v>
      </c>
      <c r="O21725" t="s">
        <v>31</v>
      </c>
      <c r="P21725" t="str">
        <f>"15226"</f>
        <v>15226</v>
      </c>
    </row>
    <row r="21726" spans="1:16" x14ac:dyDescent="0.25">
      <c r="A21726" t="str">
        <f>"1320096C00055    00"</f>
        <v>1320096C00055    00</v>
      </c>
      <c r="B21726" t="s">
        <v>47016</v>
      </c>
      <c r="C21726" t="s">
        <v>47017</v>
      </c>
      <c r="E21726" t="s">
        <v>39</v>
      </c>
      <c r="F21726">
        <v>0</v>
      </c>
      <c r="G21726">
        <v>0</v>
      </c>
      <c r="H21726">
        <v>1</v>
      </c>
      <c r="I21726" s="3">
        <v>662.9</v>
      </c>
      <c r="J21726" s="3">
        <v>0</v>
      </c>
      <c r="L21726">
        <v>1545</v>
      </c>
      <c r="M21726" t="s">
        <v>11750</v>
      </c>
      <c r="N21726" t="s">
        <v>30</v>
      </c>
      <c r="O21726" t="s">
        <v>31</v>
      </c>
      <c r="P21726" t="str">
        <f>"15226"</f>
        <v>15226</v>
      </c>
    </row>
    <row r="21727" spans="1:16" x14ac:dyDescent="0.25">
      <c r="A21727" t="str">
        <f>"1320096C00102    00"</f>
        <v>1320096C00102    00</v>
      </c>
      <c r="B21727" t="s">
        <v>47018</v>
      </c>
      <c r="C21727" t="s">
        <v>47019</v>
      </c>
      <c r="D21727" t="s">
        <v>20</v>
      </c>
      <c r="E21727" t="s">
        <v>39</v>
      </c>
      <c r="F21727">
        <v>0</v>
      </c>
      <c r="G21727">
        <v>0</v>
      </c>
      <c r="H21727">
        <v>1</v>
      </c>
      <c r="I21727" s="3">
        <v>1414.27</v>
      </c>
      <c r="J21727" s="3">
        <v>0</v>
      </c>
      <c r="L21727">
        <v>1201</v>
      </c>
      <c r="M21727" t="s">
        <v>47020</v>
      </c>
      <c r="N21727" t="s">
        <v>4141</v>
      </c>
      <c r="O21727" t="s">
        <v>108</v>
      </c>
      <c r="P21727" t="str">
        <f>"78702"</f>
        <v>78702</v>
      </c>
    </row>
    <row r="21728" spans="1:16" x14ac:dyDescent="0.25">
      <c r="A21728" t="str">
        <f>"1320096C00109    00"</f>
        <v>1320096C00109    00</v>
      </c>
      <c r="B21728" t="s">
        <v>47021</v>
      </c>
      <c r="C21728" t="s">
        <v>47022</v>
      </c>
      <c r="E21728" t="s">
        <v>39</v>
      </c>
      <c r="F21728">
        <v>0</v>
      </c>
      <c r="G21728">
        <v>0</v>
      </c>
      <c r="H21728">
        <v>1</v>
      </c>
      <c r="I21728" s="3">
        <v>671.33</v>
      </c>
      <c r="J21728" s="3">
        <v>0</v>
      </c>
      <c r="L21728">
        <v>8000</v>
      </c>
      <c r="M21728" t="s">
        <v>47023</v>
      </c>
      <c r="N21728" t="s">
        <v>47024</v>
      </c>
      <c r="O21728" t="s">
        <v>273</v>
      </c>
      <c r="P21728" t="str">
        <f>"29566"</f>
        <v>29566</v>
      </c>
    </row>
    <row r="21729" spans="1:16" x14ac:dyDescent="0.25">
      <c r="A21729" t="str">
        <f>"1320096C00115    00"</f>
        <v>1320096C00115    00</v>
      </c>
      <c r="B21729" t="s">
        <v>47009</v>
      </c>
      <c r="C21729" t="s">
        <v>47025</v>
      </c>
      <c r="D21729" t="s">
        <v>20</v>
      </c>
      <c r="E21729" t="s">
        <v>39</v>
      </c>
      <c r="F21729">
        <v>0</v>
      </c>
      <c r="G21729">
        <v>0</v>
      </c>
      <c r="H21729">
        <v>6</v>
      </c>
      <c r="I21729" s="3">
        <v>8179.15</v>
      </c>
      <c r="J21729" s="3">
        <v>1834.41</v>
      </c>
      <c r="L21729">
        <v>964</v>
      </c>
      <c r="M21729" t="s">
        <v>47026</v>
      </c>
      <c r="N21729" t="s">
        <v>30</v>
      </c>
      <c r="O21729" t="s">
        <v>31</v>
      </c>
      <c r="P21729" t="str">
        <f>"15226"</f>
        <v>15226</v>
      </c>
    </row>
    <row r="21730" spans="1:16" x14ac:dyDescent="0.25">
      <c r="A21730" t="str">
        <f>"1320096C00146    00"</f>
        <v>1320096C00146    00</v>
      </c>
      <c r="B21730" t="s">
        <v>47027</v>
      </c>
      <c r="C21730" t="s">
        <v>47028</v>
      </c>
      <c r="E21730" t="s">
        <v>39</v>
      </c>
      <c r="F21730">
        <v>0</v>
      </c>
      <c r="G21730">
        <v>0</v>
      </c>
      <c r="H21730">
        <v>1</v>
      </c>
      <c r="I21730" s="3">
        <v>978.32</v>
      </c>
      <c r="J21730" s="3">
        <v>0</v>
      </c>
      <c r="K21730" t="s">
        <v>47029</v>
      </c>
      <c r="L21730">
        <v>1510</v>
      </c>
      <c r="M21730" t="s">
        <v>11750</v>
      </c>
      <c r="N21730" t="s">
        <v>30</v>
      </c>
      <c r="O21730" t="s">
        <v>31</v>
      </c>
      <c r="P21730" t="str">
        <f>"15226"</f>
        <v>15226</v>
      </c>
    </row>
    <row r="21731" spans="1:16" x14ac:dyDescent="0.25">
      <c r="A21731" t="str">
        <f>"1320096C00159    00"</f>
        <v>1320096C00159    00</v>
      </c>
      <c r="B21731" t="s">
        <v>47030</v>
      </c>
      <c r="C21731" t="s">
        <v>47031</v>
      </c>
      <c r="D21731" t="s">
        <v>20</v>
      </c>
      <c r="E21731" t="s">
        <v>39</v>
      </c>
      <c r="F21731">
        <v>0</v>
      </c>
      <c r="G21731">
        <v>0</v>
      </c>
      <c r="H21731">
        <v>1</v>
      </c>
      <c r="I21731" s="3">
        <v>56.59</v>
      </c>
      <c r="J21731" s="3">
        <v>0</v>
      </c>
      <c r="K21731" t="s">
        <v>47032</v>
      </c>
      <c r="L21731">
        <v>1454</v>
      </c>
      <c r="M21731" t="s">
        <v>11750</v>
      </c>
      <c r="N21731" t="s">
        <v>30</v>
      </c>
      <c r="O21731" t="s">
        <v>31</v>
      </c>
      <c r="P21731" t="str">
        <f>"15226"</f>
        <v>15226</v>
      </c>
    </row>
    <row r="21732" spans="1:16" x14ac:dyDescent="0.25">
      <c r="A21732" t="str">
        <f>"1320096C00180    00"</f>
        <v>1320096C00180    00</v>
      </c>
      <c r="B21732" t="s">
        <v>47033</v>
      </c>
      <c r="C21732" t="s">
        <v>47034</v>
      </c>
      <c r="D21732" t="s">
        <v>20</v>
      </c>
      <c r="E21732" t="s">
        <v>39</v>
      </c>
      <c r="F21732">
        <v>0</v>
      </c>
      <c r="G21732">
        <v>0</v>
      </c>
      <c r="H21732">
        <v>1</v>
      </c>
      <c r="I21732" s="3">
        <v>713.32</v>
      </c>
      <c r="J21732" s="3">
        <v>0</v>
      </c>
      <c r="K21732" t="s">
        <v>6483</v>
      </c>
      <c r="L21732">
        <v>3001</v>
      </c>
      <c r="M21732" t="s">
        <v>330</v>
      </c>
      <c r="N21732" t="s">
        <v>331</v>
      </c>
      <c r="O21732" t="s">
        <v>108</v>
      </c>
      <c r="P21732" t="str">
        <f>"75063"</f>
        <v>75063</v>
      </c>
    </row>
    <row r="21733" spans="1:16" x14ac:dyDescent="0.25">
      <c r="A21733" t="str">
        <f>"1320096C00197    00"</f>
        <v>1320096C00197    00</v>
      </c>
      <c r="B21733" t="s">
        <v>25218</v>
      </c>
      <c r="C21733" t="s">
        <v>47035</v>
      </c>
      <c r="D21733" t="s">
        <v>20</v>
      </c>
      <c r="E21733" t="s">
        <v>39</v>
      </c>
      <c r="F21733">
        <v>0</v>
      </c>
      <c r="G21733">
        <v>0</v>
      </c>
      <c r="H21733">
        <v>1</v>
      </c>
      <c r="I21733" s="3">
        <v>1582</v>
      </c>
      <c r="J21733" s="3">
        <v>0</v>
      </c>
      <c r="K21733" t="s">
        <v>25220</v>
      </c>
      <c r="L21733">
        <v>18</v>
      </c>
      <c r="M21733" t="s">
        <v>7116</v>
      </c>
      <c r="N21733" t="s">
        <v>30</v>
      </c>
      <c r="O21733" t="s">
        <v>31</v>
      </c>
      <c r="P21733" t="str">
        <f>"15211"</f>
        <v>15211</v>
      </c>
    </row>
    <row r="21734" spans="1:16" x14ac:dyDescent="0.25">
      <c r="A21734" t="str">
        <f>"1320096C00246    00"</f>
        <v>1320096C00246    00</v>
      </c>
      <c r="B21734" t="s">
        <v>47036</v>
      </c>
      <c r="C21734" t="s">
        <v>47037</v>
      </c>
      <c r="D21734" t="s">
        <v>20</v>
      </c>
      <c r="E21734" t="s">
        <v>39</v>
      </c>
      <c r="F21734">
        <v>0</v>
      </c>
      <c r="G21734">
        <v>0</v>
      </c>
      <c r="H21734">
        <v>2</v>
      </c>
      <c r="I21734" s="3">
        <v>2358.69</v>
      </c>
      <c r="J21734" s="3">
        <v>0</v>
      </c>
      <c r="L21734">
        <v>1505</v>
      </c>
      <c r="M21734" t="s">
        <v>47038</v>
      </c>
      <c r="N21734" t="s">
        <v>30</v>
      </c>
      <c r="O21734" t="s">
        <v>31</v>
      </c>
      <c r="P21734" t="str">
        <f>"15226"</f>
        <v>15226</v>
      </c>
    </row>
    <row r="21735" spans="1:16" x14ac:dyDescent="0.25">
      <c r="A21735" t="str">
        <f>"1320096C00276    00"</f>
        <v>1320096C00276    00</v>
      </c>
      <c r="B21735" t="s">
        <v>47039</v>
      </c>
      <c r="C21735" t="s">
        <v>4502</v>
      </c>
      <c r="E21735" t="s">
        <v>21</v>
      </c>
      <c r="F21735">
        <v>0</v>
      </c>
      <c r="G21735">
        <v>0</v>
      </c>
      <c r="H21735">
        <v>12</v>
      </c>
      <c r="I21735" s="3">
        <v>6065.53</v>
      </c>
      <c r="J21735" s="3">
        <v>7343.7</v>
      </c>
      <c r="K21735" t="s">
        <v>47040</v>
      </c>
      <c r="L21735">
        <v>345</v>
      </c>
      <c r="M21735" t="s">
        <v>514</v>
      </c>
      <c r="N21735" t="s">
        <v>30</v>
      </c>
      <c r="O21735" t="s">
        <v>31</v>
      </c>
      <c r="P21735" t="str">
        <f>"15222"</f>
        <v>15222</v>
      </c>
    </row>
    <row r="21736" spans="1:16" x14ac:dyDescent="0.25">
      <c r="A21736" t="str">
        <f>"1320096D00044    00"</f>
        <v>1320096D00044    00</v>
      </c>
      <c r="B21736" t="s">
        <v>47041</v>
      </c>
      <c r="C21736" t="s">
        <v>47042</v>
      </c>
      <c r="D21736" t="s">
        <v>20</v>
      </c>
      <c r="E21736" t="s">
        <v>39</v>
      </c>
      <c r="F21736">
        <v>0</v>
      </c>
      <c r="G21736">
        <v>0</v>
      </c>
      <c r="H21736">
        <v>1</v>
      </c>
      <c r="I21736" s="3">
        <v>1639.16</v>
      </c>
      <c r="J21736" s="3">
        <v>0</v>
      </c>
      <c r="L21736">
        <v>1646</v>
      </c>
      <c r="M21736" t="s">
        <v>11750</v>
      </c>
      <c r="N21736" t="s">
        <v>30</v>
      </c>
      <c r="O21736" t="s">
        <v>31</v>
      </c>
      <c r="P21736" t="str">
        <f>"15226"</f>
        <v>15226</v>
      </c>
    </row>
    <row r="21737" spans="1:16" x14ac:dyDescent="0.25">
      <c r="A21737" t="str">
        <f>"1320096D00128    00"</f>
        <v>1320096D00128    00</v>
      </c>
      <c r="B21737" t="s">
        <v>47043</v>
      </c>
      <c r="C21737" t="s">
        <v>47044</v>
      </c>
      <c r="E21737" t="s">
        <v>39</v>
      </c>
      <c r="F21737">
        <v>0</v>
      </c>
      <c r="G21737">
        <v>0</v>
      </c>
      <c r="H21737">
        <v>1</v>
      </c>
      <c r="I21737" s="3">
        <v>24.44</v>
      </c>
      <c r="J21737" s="3">
        <v>9.7799999999999994</v>
      </c>
      <c r="K21737" t="s">
        <v>47045</v>
      </c>
      <c r="L21737">
        <v>1589</v>
      </c>
      <c r="M21737" t="s">
        <v>11750</v>
      </c>
      <c r="N21737" t="s">
        <v>30</v>
      </c>
      <c r="O21737" t="s">
        <v>31</v>
      </c>
      <c r="P21737" t="str">
        <f>"15226"</f>
        <v>15226</v>
      </c>
    </row>
    <row r="21738" spans="1:16" x14ac:dyDescent="0.25">
      <c r="A21738" t="str">
        <f>"1320096D00152    00"</f>
        <v>1320096D00152    00</v>
      </c>
      <c r="B21738" t="s">
        <v>47046</v>
      </c>
      <c r="C21738" t="s">
        <v>47047</v>
      </c>
      <c r="E21738" t="s">
        <v>39</v>
      </c>
      <c r="F21738">
        <v>0</v>
      </c>
      <c r="G21738">
        <v>0</v>
      </c>
      <c r="H21738">
        <v>1</v>
      </c>
      <c r="I21738" s="3">
        <v>650.19000000000005</v>
      </c>
      <c r="J21738" s="3">
        <v>0</v>
      </c>
      <c r="L21738">
        <v>1641</v>
      </c>
      <c r="M21738" t="s">
        <v>11750</v>
      </c>
      <c r="N21738" t="s">
        <v>30</v>
      </c>
      <c r="O21738" t="s">
        <v>31</v>
      </c>
      <c r="P21738" t="str">
        <f>"15226"</f>
        <v>15226</v>
      </c>
    </row>
    <row r="21739" spans="1:16" x14ac:dyDescent="0.25">
      <c r="A21739" t="str">
        <f>"1320096G00190    00"</f>
        <v>1320096G00190    00</v>
      </c>
      <c r="B21739" t="s">
        <v>47048</v>
      </c>
      <c r="C21739" t="s">
        <v>47049</v>
      </c>
      <c r="E21739" t="s">
        <v>39</v>
      </c>
      <c r="F21739">
        <v>0</v>
      </c>
      <c r="G21739">
        <v>0</v>
      </c>
      <c r="H21739">
        <v>1</v>
      </c>
      <c r="I21739" s="3">
        <v>377.44</v>
      </c>
      <c r="J21739" s="3">
        <v>75.48</v>
      </c>
      <c r="K21739" t="s">
        <v>4877</v>
      </c>
      <c r="L21739">
        <v>1</v>
      </c>
      <c r="M21739" t="s">
        <v>4878</v>
      </c>
      <c r="N21739" t="s">
        <v>4879</v>
      </c>
      <c r="O21739" t="s">
        <v>31</v>
      </c>
      <c r="P21739" t="str">
        <f>"19428"</f>
        <v>19428</v>
      </c>
    </row>
    <row r="21740" spans="1:16" x14ac:dyDescent="0.25">
      <c r="A21740" t="str">
        <f>"1320096G00226    00"</f>
        <v>1320096G00226    00</v>
      </c>
      <c r="B21740" t="s">
        <v>47050</v>
      </c>
      <c r="C21740" t="s">
        <v>47051</v>
      </c>
      <c r="E21740" t="s">
        <v>39</v>
      </c>
      <c r="F21740">
        <v>0</v>
      </c>
      <c r="G21740">
        <v>0</v>
      </c>
      <c r="H21740">
        <v>1</v>
      </c>
      <c r="I21740" s="3">
        <v>621.52</v>
      </c>
      <c r="J21740" s="3">
        <v>0</v>
      </c>
      <c r="K21740" t="s">
        <v>47052</v>
      </c>
      <c r="L21740">
        <v>970</v>
      </c>
      <c r="M21740" t="s">
        <v>47053</v>
      </c>
      <c r="N21740" t="s">
        <v>820</v>
      </c>
      <c r="O21740" t="s">
        <v>31</v>
      </c>
      <c r="P21740" t="str">
        <f>"15314"</f>
        <v>15314</v>
      </c>
    </row>
    <row r="21741" spans="1:16" x14ac:dyDescent="0.25">
      <c r="A21741" t="str">
        <f>"1320096H00083    00"</f>
        <v>1320096H00083    00</v>
      </c>
      <c r="B21741" t="s">
        <v>47054</v>
      </c>
      <c r="C21741" t="s">
        <v>47055</v>
      </c>
      <c r="D21741" t="s">
        <v>20</v>
      </c>
      <c r="E21741" t="s">
        <v>39</v>
      </c>
      <c r="F21741">
        <v>0</v>
      </c>
      <c r="G21741">
        <v>0</v>
      </c>
      <c r="H21741">
        <v>1</v>
      </c>
      <c r="I21741" s="3">
        <v>1317.51</v>
      </c>
      <c r="J21741" s="3">
        <v>0</v>
      </c>
      <c r="L21741">
        <v>2050</v>
      </c>
      <c r="M21741" t="s">
        <v>47056</v>
      </c>
      <c r="N21741" t="s">
        <v>30</v>
      </c>
      <c r="O21741" t="s">
        <v>31</v>
      </c>
      <c r="P21741" t="str">
        <f>"15226"</f>
        <v>15226</v>
      </c>
    </row>
    <row r="21742" spans="1:16" x14ac:dyDescent="0.25">
      <c r="A21742" t="str">
        <f>"1320096H00103    00"</f>
        <v>1320096H00103    00</v>
      </c>
      <c r="B21742" t="s">
        <v>47057</v>
      </c>
      <c r="C21742" t="s">
        <v>47058</v>
      </c>
      <c r="E21742" t="s">
        <v>39</v>
      </c>
      <c r="F21742">
        <v>0</v>
      </c>
      <c r="G21742">
        <v>0</v>
      </c>
      <c r="H21742">
        <v>1</v>
      </c>
      <c r="I21742" s="3">
        <v>197.16</v>
      </c>
      <c r="J21742" s="3">
        <v>0</v>
      </c>
      <c r="K21742" t="s">
        <v>728</v>
      </c>
      <c r="L21742">
        <v>3001</v>
      </c>
      <c r="M21742" t="s">
        <v>330</v>
      </c>
      <c r="N21742" t="s">
        <v>331</v>
      </c>
      <c r="O21742" t="s">
        <v>108</v>
      </c>
      <c r="P21742" t="str">
        <f>"75063"</f>
        <v>75063</v>
      </c>
    </row>
    <row r="21743" spans="1:16" x14ac:dyDescent="0.25">
      <c r="A21743" t="str">
        <f>"1320096H00110    00"</f>
        <v>1320096H00110    00</v>
      </c>
      <c r="B21743" t="s">
        <v>47059</v>
      </c>
      <c r="C21743" t="s">
        <v>47060</v>
      </c>
      <c r="D21743" t="s">
        <v>20</v>
      </c>
      <c r="E21743" t="s">
        <v>39</v>
      </c>
      <c r="F21743">
        <v>0</v>
      </c>
      <c r="G21743">
        <v>0</v>
      </c>
      <c r="H21743">
        <v>1</v>
      </c>
      <c r="I21743" s="3">
        <v>499.84</v>
      </c>
      <c r="J21743" s="3">
        <v>0</v>
      </c>
      <c r="L21743">
        <v>1739</v>
      </c>
      <c r="M21743" t="s">
        <v>1990</v>
      </c>
      <c r="N21743" t="s">
        <v>30</v>
      </c>
      <c r="O21743" t="s">
        <v>31</v>
      </c>
      <c r="P21743" t="str">
        <f>"15226"</f>
        <v>15226</v>
      </c>
    </row>
    <row r="21744" spans="1:16" x14ac:dyDescent="0.25">
      <c r="A21744" t="str">
        <f>"1320096H00126    00"</f>
        <v>1320096H00126    00</v>
      </c>
      <c r="B21744" t="s">
        <v>47061</v>
      </c>
      <c r="C21744" t="s">
        <v>47062</v>
      </c>
      <c r="E21744" t="s">
        <v>39</v>
      </c>
      <c r="F21744">
        <v>0</v>
      </c>
      <c r="G21744">
        <v>0</v>
      </c>
      <c r="H21744">
        <v>1</v>
      </c>
      <c r="I21744" s="3">
        <v>370.78</v>
      </c>
      <c r="J21744" s="3">
        <v>74.16</v>
      </c>
      <c r="K21744" t="s">
        <v>881</v>
      </c>
      <c r="L21744">
        <v>3001</v>
      </c>
      <c r="M21744" t="s">
        <v>330</v>
      </c>
      <c r="N21744" t="s">
        <v>331</v>
      </c>
      <c r="O21744" t="s">
        <v>108</v>
      </c>
      <c r="P21744" t="str">
        <f>"75063"</f>
        <v>75063</v>
      </c>
    </row>
    <row r="21745" spans="1:16" x14ac:dyDescent="0.25">
      <c r="A21745" t="str">
        <f>"1320096K00310    00"</f>
        <v>1320096K00310    00</v>
      </c>
      <c r="B21745" t="s">
        <v>47063</v>
      </c>
      <c r="C21745" t="s">
        <v>47064</v>
      </c>
      <c r="D21745" t="s">
        <v>20</v>
      </c>
      <c r="E21745" t="s">
        <v>39</v>
      </c>
      <c r="F21745">
        <v>0</v>
      </c>
      <c r="G21745">
        <v>0</v>
      </c>
      <c r="H21745">
        <v>2</v>
      </c>
      <c r="I21745" s="3">
        <v>1199.76</v>
      </c>
      <c r="J21745" s="3">
        <v>0</v>
      </c>
      <c r="L21745">
        <v>1532</v>
      </c>
      <c r="M21745" t="s">
        <v>24691</v>
      </c>
      <c r="N21745" t="s">
        <v>30</v>
      </c>
      <c r="O21745" t="s">
        <v>31</v>
      </c>
      <c r="P21745" t="str">
        <f>"15226"</f>
        <v>15226</v>
      </c>
    </row>
    <row r="21746" spans="1:16" x14ac:dyDescent="0.25">
      <c r="A21746" t="str">
        <f>"1320096K00315    00"</f>
        <v>1320096K00315    00</v>
      </c>
      <c r="B21746" t="s">
        <v>47065</v>
      </c>
      <c r="C21746" t="s">
        <v>47066</v>
      </c>
      <c r="D21746" t="s">
        <v>20</v>
      </c>
      <c r="E21746" t="s">
        <v>39</v>
      </c>
      <c r="F21746">
        <v>0</v>
      </c>
      <c r="G21746">
        <v>0</v>
      </c>
      <c r="H21746">
        <v>1</v>
      </c>
      <c r="I21746" s="3">
        <v>960.63</v>
      </c>
      <c r="J21746" s="3">
        <v>0</v>
      </c>
      <c r="L21746">
        <v>603</v>
      </c>
      <c r="M21746" t="s">
        <v>47067</v>
      </c>
      <c r="N21746" t="s">
        <v>30</v>
      </c>
      <c r="O21746" t="s">
        <v>31</v>
      </c>
      <c r="P21746" t="str">
        <f>"15226"</f>
        <v>15226</v>
      </c>
    </row>
    <row r="21747" spans="1:16" x14ac:dyDescent="0.25">
      <c r="A21747" t="str">
        <f>"1320096K00341    00"</f>
        <v>1320096K00341    00</v>
      </c>
      <c r="B21747" t="s">
        <v>30047</v>
      </c>
      <c r="C21747" t="s">
        <v>47068</v>
      </c>
      <c r="D21747" t="s">
        <v>20</v>
      </c>
      <c r="E21747" t="s">
        <v>39</v>
      </c>
      <c r="F21747">
        <v>0</v>
      </c>
      <c r="G21747">
        <v>0</v>
      </c>
      <c r="H21747">
        <v>5</v>
      </c>
      <c r="I21747" s="3">
        <v>7085.36</v>
      </c>
      <c r="J21747" s="3">
        <v>1373.54</v>
      </c>
      <c r="L21747">
        <v>239</v>
      </c>
      <c r="M21747" t="s">
        <v>16347</v>
      </c>
      <c r="N21747" t="s">
        <v>30</v>
      </c>
      <c r="O21747" t="s">
        <v>31</v>
      </c>
      <c r="P21747" t="str">
        <f>"15220"</f>
        <v>15220</v>
      </c>
    </row>
    <row r="21748" spans="1:16" x14ac:dyDescent="0.25">
      <c r="A21748" t="str">
        <f>"1320096K00362    00"</f>
        <v>1320096K00362    00</v>
      </c>
      <c r="B21748" t="s">
        <v>47069</v>
      </c>
      <c r="C21748" t="s">
        <v>47070</v>
      </c>
      <c r="E21748" t="s">
        <v>39</v>
      </c>
      <c r="F21748">
        <v>0</v>
      </c>
      <c r="G21748">
        <v>0</v>
      </c>
      <c r="H21748">
        <v>1</v>
      </c>
      <c r="I21748" s="3">
        <v>284.52</v>
      </c>
      <c r="J21748" s="3">
        <v>0</v>
      </c>
      <c r="K21748" t="s">
        <v>47071</v>
      </c>
      <c r="L21748">
        <v>1525</v>
      </c>
      <c r="M21748" t="s">
        <v>24691</v>
      </c>
      <c r="N21748" t="s">
        <v>30</v>
      </c>
      <c r="O21748" t="s">
        <v>31</v>
      </c>
      <c r="P21748" t="str">
        <f>"15226"</f>
        <v>15226</v>
      </c>
    </row>
    <row r="21749" spans="1:16" x14ac:dyDescent="0.25">
      <c r="A21749" t="str">
        <f>"1320096L00020    00"</f>
        <v>1320096L00020    00</v>
      </c>
      <c r="B21749" t="s">
        <v>47072</v>
      </c>
      <c r="C21749" t="s">
        <v>47073</v>
      </c>
      <c r="D21749" t="s">
        <v>20</v>
      </c>
      <c r="E21749" t="s">
        <v>39</v>
      </c>
      <c r="F21749">
        <v>0</v>
      </c>
      <c r="G21749">
        <v>0</v>
      </c>
      <c r="H21749">
        <v>2</v>
      </c>
      <c r="I21749" s="3">
        <v>3374.66</v>
      </c>
      <c r="J21749" s="3">
        <v>0</v>
      </c>
      <c r="L21749">
        <v>1563</v>
      </c>
      <c r="M21749" t="s">
        <v>30053</v>
      </c>
      <c r="N21749" t="s">
        <v>30</v>
      </c>
      <c r="O21749" t="s">
        <v>31</v>
      </c>
      <c r="P21749" t="str">
        <f>"15226"</f>
        <v>15226</v>
      </c>
    </row>
    <row r="21750" spans="1:16" x14ac:dyDescent="0.25">
      <c r="A21750" t="str">
        <f>"1320096L00199    00"</f>
        <v>1320096L00199    00</v>
      </c>
      <c r="B21750" t="s">
        <v>47074</v>
      </c>
      <c r="C21750" t="s">
        <v>47075</v>
      </c>
      <c r="D21750" t="s">
        <v>20</v>
      </c>
      <c r="E21750" t="s">
        <v>39</v>
      </c>
      <c r="F21750">
        <v>0</v>
      </c>
      <c r="G21750">
        <v>0</v>
      </c>
      <c r="H21750">
        <v>12</v>
      </c>
      <c r="I21750" s="3">
        <v>812.97</v>
      </c>
      <c r="J21750" s="3">
        <v>407.63</v>
      </c>
      <c r="L21750">
        <v>2107</v>
      </c>
      <c r="M21750" t="s">
        <v>47076</v>
      </c>
      <c r="N21750" t="s">
        <v>30</v>
      </c>
      <c r="O21750" t="s">
        <v>31</v>
      </c>
      <c r="P21750" t="str">
        <f>"15234"</f>
        <v>15234</v>
      </c>
    </row>
    <row r="21751" spans="1:16" x14ac:dyDescent="0.25">
      <c r="A21751" t="str">
        <f>"1320096M00125    00"</f>
        <v>1320096M00125    00</v>
      </c>
      <c r="B21751" t="s">
        <v>47077</v>
      </c>
      <c r="C21751" t="s">
        <v>47078</v>
      </c>
      <c r="E21751" t="s">
        <v>39</v>
      </c>
      <c r="F21751">
        <v>0</v>
      </c>
      <c r="G21751">
        <v>0</v>
      </c>
      <c r="H21751">
        <v>1</v>
      </c>
      <c r="I21751" s="3">
        <v>148.66999999999999</v>
      </c>
      <c r="J21751" s="3">
        <v>0</v>
      </c>
      <c r="K21751" t="s">
        <v>47079</v>
      </c>
      <c r="L21751">
        <v>2205</v>
      </c>
      <c r="M21751" t="s">
        <v>1665</v>
      </c>
      <c r="N21751" t="s">
        <v>30</v>
      </c>
      <c r="O21751" t="s">
        <v>31</v>
      </c>
      <c r="P21751" t="str">
        <f>"15234"</f>
        <v>15234</v>
      </c>
    </row>
    <row r="21752" spans="1:16" x14ac:dyDescent="0.25">
      <c r="A21752" t="str">
        <f>"1320096M00162    00"</f>
        <v>1320096M00162    00</v>
      </c>
      <c r="B21752" t="s">
        <v>47080</v>
      </c>
      <c r="C21752" t="s">
        <v>47081</v>
      </c>
      <c r="D21752" t="s">
        <v>20</v>
      </c>
      <c r="E21752" t="s">
        <v>39</v>
      </c>
      <c r="F21752">
        <v>0</v>
      </c>
      <c r="G21752">
        <v>0</v>
      </c>
      <c r="H21752">
        <v>3</v>
      </c>
      <c r="I21752" s="3">
        <v>995.15</v>
      </c>
      <c r="J21752" s="3">
        <v>5.31</v>
      </c>
      <c r="L21752">
        <v>2215</v>
      </c>
      <c r="M21752" t="s">
        <v>27072</v>
      </c>
      <c r="N21752" t="s">
        <v>30</v>
      </c>
      <c r="O21752" t="s">
        <v>31</v>
      </c>
      <c r="P21752" t="str">
        <f>"15234"</f>
        <v>15234</v>
      </c>
    </row>
    <row r="21753" spans="1:16" x14ac:dyDescent="0.25">
      <c r="A21753" t="str">
        <f>"1320096M00164    00"</f>
        <v>1320096M00164    00</v>
      </c>
      <c r="B21753" t="s">
        <v>47082</v>
      </c>
      <c r="C21753" t="s">
        <v>47083</v>
      </c>
      <c r="D21753" t="s">
        <v>20</v>
      </c>
      <c r="E21753" t="s">
        <v>39</v>
      </c>
      <c r="F21753">
        <v>0</v>
      </c>
      <c r="G21753">
        <v>0</v>
      </c>
      <c r="H21753">
        <v>2</v>
      </c>
      <c r="I21753" s="3">
        <v>288.37</v>
      </c>
      <c r="J21753" s="3">
        <v>0.11</v>
      </c>
      <c r="L21753">
        <v>2215</v>
      </c>
      <c r="M21753" t="s">
        <v>27072</v>
      </c>
      <c r="N21753" t="s">
        <v>30</v>
      </c>
      <c r="O21753" t="s">
        <v>31</v>
      </c>
      <c r="P21753" t="str">
        <f>"15234"</f>
        <v>15234</v>
      </c>
    </row>
    <row r="21754" spans="1:16" x14ac:dyDescent="0.25">
      <c r="A21754" t="str">
        <f>"1320096M00228    00"</f>
        <v>1320096M00228    00</v>
      </c>
      <c r="B21754" t="s">
        <v>13741</v>
      </c>
      <c r="C21754" t="s">
        <v>46871</v>
      </c>
      <c r="D21754" t="s">
        <v>33</v>
      </c>
      <c r="E21754" t="s">
        <v>39</v>
      </c>
      <c r="F21754">
        <v>0</v>
      </c>
      <c r="G21754">
        <v>0</v>
      </c>
      <c r="H21754">
        <v>6</v>
      </c>
      <c r="I21754" s="3">
        <v>1629.63</v>
      </c>
      <c r="J21754" s="3">
        <v>46.55</v>
      </c>
      <c r="K21754" t="s">
        <v>13743</v>
      </c>
      <c r="L21754">
        <v>1800</v>
      </c>
      <c r="M21754" t="s">
        <v>15852</v>
      </c>
      <c r="N21754" t="s">
        <v>30</v>
      </c>
      <c r="O21754" t="s">
        <v>31</v>
      </c>
      <c r="P21754" t="str">
        <f>"15217"</f>
        <v>15217</v>
      </c>
    </row>
    <row r="21755" spans="1:16" x14ac:dyDescent="0.25">
      <c r="A21755" t="str">
        <f>"1320096M00268    00"</f>
        <v>1320096M00268    00</v>
      </c>
      <c r="B21755" t="s">
        <v>47084</v>
      </c>
      <c r="C21755" t="s">
        <v>47085</v>
      </c>
      <c r="D21755" t="s">
        <v>20</v>
      </c>
      <c r="E21755" t="s">
        <v>39</v>
      </c>
      <c r="F21755">
        <v>0</v>
      </c>
      <c r="G21755">
        <v>0</v>
      </c>
      <c r="H21755">
        <v>2</v>
      </c>
      <c r="I21755" s="3">
        <v>871.52</v>
      </c>
      <c r="J21755" s="3">
        <v>0</v>
      </c>
      <c r="L21755">
        <v>92</v>
      </c>
      <c r="M21755" t="s">
        <v>46918</v>
      </c>
      <c r="N21755" t="s">
        <v>30</v>
      </c>
      <c r="O21755" t="s">
        <v>31</v>
      </c>
      <c r="P21755" t="str">
        <f>"15234"</f>
        <v>15234</v>
      </c>
    </row>
    <row r="21756" spans="1:16" x14ac:dyDescent="0.25">
      <c r="A21756" t="str">
        <f>"1320096M00285    00"</f>
        <v>1320096M00285    00</v>
      </c>
      <c r="B21756" t="s">
        <v>47086</v>
      </c>
      <c r="C21756" t="s">
        <v>47087</v>
      </c>
      <c r="D21756" t="s">
        <v>20</v>
      </c>
      <c r="E21756" t="s">
        <v>39</v>
      </c>
      <c r="F21756">
        <v>0</v>
      </c>
      <c r="G21756">
        <v>0</v>
      </c>
      <c r="H21756">
        <v>1</v>
      </c>
      <c r="I21756" s="3">
        <v>468.39</v>
      </c>
      <c r="J21756" s="3">
        <v>0</v>
      </c>
      <c r="L21756">
        <v>250</v>
      </c>
      <c r="M21756" t="s">
        <v>47088</v>
      </c>
      <c r="N21756" t="s">
        <v>30</v>
      </c>
      <c r="O21756" t="s">
        <v>31</v>
      </c>
      <c r="P21756" t="str">
        <f>"15234"</f>
        <v>15234</v>
      </c>
    </row>
    <row r="21757" spans="1:16" x14ac:dyDescent="0.25">
      <c r="A21757" t="str">
        <f>"1320096P00268    00"</f>
        <v>1320096P00268    00</v>
      </c>
      <c r="B21757" t="s">
        <v>47089</v>
      </c>
      <c r="C21757" t="s">
        <v>47090</v>
      </c>
      <c r="E21757" t="s">
        <v>39</v>
      </c>
      <c r="F21757">
        <v>0</v>
      </c>
      <c r="G21757">
        <v>0</v>
      </c>
      <c r="H21757">
        <v>3</v>
      </c>
      <c r="I21757" s="3">
        <v>1512.71</v>
      </c>
      <c r="J21757" s="3">
        <v>204.62</v>
      </c>
      <c r="L21757">
        <v>1732</v>
      </c>
      <c r="M21757" t="s">
        <v>47091</v>
      </c>
      <c r="N21757" t="s">
        <v>30</v>
      </c>
      <c r="O21757" t="s">
        <v>31</v>
      </c>
      <c r="P21757" t="str">
        <f>"15226"</f>
        <v>15226</v>
      </c>
    </row>
    <row r="21758" spans="1:16" x14ac:dyDescent="0.25">
      <c r="A21758" t="str">
        <f>"1320096R00030    00"</f>
        <v>1320096R00030    00</v>
      </c>
      <c r="B21758" t="s">
        <v>47092</v>
      </c>
      <c r="C21758" t="s">
        <v>47093</v>
      </c>
      <c r="D21758" t="s">
        <v>20</v>
      </c>
      <c r="E21758" t="s">
        <v>39</v>
      </c>
      <c r="F21758">
        <v>0</v>
      </c>
      <c r="G21758">
        <v>0</v>
      </c>
      <c r="H21758">
        <v>1</v>
      </c>
      <c r="I21758" s="3">
        <v>57.65</v>
      </c>
      <c r="J21758" s="3">
        <v>0</v>
      </c>
      <c r="L21758">
        <v>2138</v>
      </c>
      <c r="M21758" t="s">
        <v>47076</v>
      </c>
      <c r="N21758" t="s">
        <v>30</v>
      </c>
      <c r="O21758" t="s">
        <v>31</v>
      </c>
      <c r="P21758" t="str">
        <f>"15234"</f>
        <v>15234</v>
      </c>
    </row>
    <row r="21759" spans="1:16" x14ac:dyDescent="0.25">
      <c r="A21759" t="str">
        <f>"1320096R00038    00"</f>
        <v>1320096R00038    00</v>
      </c>
      <c r="B21759" t="s">
        <v>47094</v>
      </c>
      <c r="C21759" t="s">
        <v>47095</v>
      </c>
      <c r="E21759" t="s">
        <v>39</v>
      </c>
      <c r="F21759">
        <v>0</v>
      </c>
      <c r="G21759">
        <v>0</v>
      </c>
      <c r="H21759">
        <v>1</v>
      </c>
      <c r="I21759" s="3">
        <v>1567.26</v>
      </c>
      <c r="J21759" s="3">
        <v>352.62</v>
      </c>
      <c r="K21759" t="s">
        <v>5718</v>
      </c>
      <c r="L21759">
        <v>26642</v>
      </c>
      <c r="M21759" t="s">
        <v>5719</v>
      </c>
      <c r="N21759" t="s">
        <v>5720</v>
      </c>
      <c r="O21759" t="s">
        <v>495</v>
      </c>
      <c r="P21759" t="str">
        <f>"92610"</f>
        <v>92610</v>
      </c>
    </row>
    <row r="21760" spans="1:16" x14ac:dyDescent="0.25">
      <c r="A21760" t="str">
        <f>"1320096R00048    00"</f>
        <v>1320096R00048    00</v>
      </c>
      <c r="B21760" t="s">
        <v>47096</v>
      </c>
      <c r="C21760" t="s">
        <v>47097</v>
      </c>
      <c r="D21760" t="s">
        <v>20</v>
      </c>
      <c r="E21760" t="s">
        <v>39</v>
      </c>
      <c r="F21760">
        <v>0</v>
      </c>
      <c r="G21760">
        <v>0</v>
      </c>
      <c r="H21760">
        <v>4</v>
      </c>
      <c r="I21760" s="3">
        <v>2128.36</v>
      </c>
      <c r="J21760" s="3">
        <v>213.49</v>
      </c>
      <c r="L21760">
        <v>2228</v>
      </c>
      <c r="M21760" t="s">
        <v>47076</v>
      </c>
      <c r="N21760" t="s">
        <v>30</v>
      </c>
      <c r="O21760" t="s">
        <v>31</v>
      </c>
      <c r="P21760" t="str">
        <f>"15234"</f>
        <v>15234</v>
      </c>
    </row>
    <row r="21761" spans="1:16" x14ac:dyDescent="0.25">
      <c r="A21761" t="str">
        <f>"1320096R00103    00"</f>
        <v>1320096R00103    00</v>
      </c>
      <c r="B21761" t="s">
        <v>47098</v>
      </c>
      <c r="C21761" t="s">
        <v>47099</v>
      </c>
      <c r="D21761" t="s">
        <v>20</v>
      </c>
      <c r="E21761" t="s">
        <v>39</v>
      </c>
      <c r="F21761">
        <v>0</v>
      </c>
      <c r="G21761">
        <v>0</v>
      </c>
      <c r="H21761">
        <v>6</v>
      </c>
      <c r="I21761" s="3">
        <v>1707.71</v>
      </c>
      <c r="J21761" s="3">
        <v>383</v>
      </c>
      <c r="L21761">
        <v>741</v>
      </c>
      <c r="M21761" t="s">
        <v>30154</v>
      </c>
      <c r="N21761" t="s">
        <v>30</v>
      </c>
      <c r="O21761" t="s">
        <v>31</v>
      </c>
      <c r="P21761" t="str">
        <f>"15226"</f>
        <v>15226</v>
      </c>
    </row>
    <row r="21762" spans="1:16" x14ac:dyDescent="0.25">
      <c r="A21762" t="str">
        <f>"1320096R00105    00"</f>
        <v>1320096R00105    00</v>
      </c>
      <c r="B21762" t="s">
        <v>47098</v>
      </c>
      <c r="C21762" t="s">
        <v>47099</v>
      </c>
      <c r="D21762" t="s">
        <v>20</v>
      </c>
      <c r="E21762" t="s">
        <v>39</v>
      </c>
      <c r="F21762">
        <v>0</v>
      </c>
      <c r="G21762">
        <v>0</v>
      </c>
      <c r="H21762">
        <v>6</v>
      </c>
      <c r="I21762" s="3">
        <v>1676.96</v>
      </c>
      <c r="J21762" s="3">
        <v>369.51</v>
      </c>
      <c r="L21762">
        <v>741</v>
      </c>
      <c r="M21762" t="s">
        <v>30154</v>
      </c>
      <c r="N21762" t="s">
        <v>30</v>
      </c>
      <c r="O21762" t="s">
        <v>31</v>
      </c>
      <c r="P21762" t="str">
        <f>"15226"</f>
        <v>15226</v>
      </c>
    </row>
    <row r="21763" spans="1:16" x14ac:dyDescent="0.25">
      <c r="A21763" t="str">
        <f>"1320096R00107    00"</f>
        <v>1320096R00107    00</v>
      </c>
      <c r="B21763" t="s">
        <v>47098</v>
      </c>
      <c r="C21763" t="s">
        <v>47100</v>
      </c>
      <c r="D21763" t="s">
        <v>20</v>
      </c>
      <c r="E21763" t="s">
        <v>39</v>
      </c>
      <c r="F21763">
        <v>0</v>
      </c>
      <c r="G21763">
        <v>0</v>
      </c>
      <c r="H21763">
        <v>7</v>
      </c>
      <c r="I21763" s="3">
        <v>21399.61</v>
      </c>
      <c r="J21763" s="3">
        <v>5038.25</v>
      </c>
      <c r="L21763">
        <v>741</v>
      </c>
      <c r="M21763" t="s">
        <v>30154</v>
      </c>
      <c r="N21763" t="s">
        <v>30</v>
      </c>
      <c r="O21763" t="s">
        <v>31</v>
      </c>
      <c r="P21763" t="str">
        <f>"15226"</f>
        <v>15226</v>
      </c>
    </row>
    <row r="21764" spans="1:16" x14ac:dyDescent="0.25">
      <c r="A21764" t="str">
        <f>"1320096R00109    00"</f>
        <v>1320096R00109    00</v>
      </c>
      <c r="B21764" t="s">
        <v>47101</v>
      </c>
      <c r="C21764" t="s">
        <v>47102</v>
      </c>
      <c r="D21764" t="s">
        <v>20</v>
      </c>
      <c r="E21764" t="s">
        <v>39</v>
      </c>
      <c r="F21764">
        <v>0</v>
      </c>
      <c r="G21764">
        <v>0</v>
      </c>
      <c r="H21764">
        <v>3</v>
      </c>
      <c r="I21764" s="3">
        <v>7946.78</v>
      </c>
      <c r="J21764" s="3">
        <v>541.6</v>
      </c>
      <c r="L21764">
        <v>2240</v>
      </c>
      <c r="M21764" t="s">
        <v>47103</v>
      </c>
      <c r="N21764" t="s">
        <v>30</v>
      </c>
      <c r="O21764" t="s">
        <v>31</v>
      </c>
      <c r="P21764" t="str">
        <f>"15234"</f>
        <v>15234</v>
      </c>
    </row>
    <row r="21765" spans="1:16" x14ac:dyDescent="0.25">
      <c r="A21765" t="str">
        <f>"1320096R00304    00"</f>
        <v>1320096R00304    00</v>
      </c>
      <c r="B21765" t="s">
        <v>47104</v>
      </c>
      <c r="C21765" t="s">
        <v>47105</v>
      </c>
      <c r="D21765" t="s">
        <v>20</v>
      </c>
      <c r="E21765" t="s">
        <v>39</v>
      </c>
      <c r="F21765">
        <v>0</v>
      </c>
      <c r="G21765">
        <v>0</v>
      </c>
      <c r="H21765">
        <v>1</v>
      </c>
      <c r="I21765" s="3">
        <v>29.26</v>
      </c>
      <c r="J21765" s="3">
        <v>0</v>
      </c>
      <c r="L21765">
        <v>1651</v>
      </c>
      <c r="M21765" t="s">
        <v>24691</v>
      </c>
      <c r="N21765" t="s">
        <v>30</v>
      </c>
      <c r="O21765" t="s">
        <v>31</v>
      </c>
      <c r="P21765" t="str">
        <f>"15226"</f>
        <v>15226</v>
      </c>
    </row>
    <row r="21766" spans="1:16" x14ac:dyDescent="0.25">
      <c r="A21766" t="str">
        <f>"1320096R00310    00"</f>
        <v>1320096R00310    00</v>
      </c>
      <c r="B21766" t="s">
        <v>47106</v>
      </c>
      <c r="C21766" t="s">
        <v>47107</v>
      </c>
      <c r="D21766" t="s">
        <v>20</v>
      </c>
      <c r="E21766" t="s">
        <v>39</v>
      </c>
      <c r="F21766">
        <v>0</v>
      </c>
      <c r="G21766">
        <v>0</v>
      </c>
      <c r="H21766">
        <v>2</v>
      </c>
      <c r="I21766" s="3">
        <v>2068.85</v>
      </c>
      <c r="J21766" s="3">
        <v>0</v>
      </c>
      <c r="K21766" t="s">
        <v>8521</v>
      </c>
      <c r="L21766">
        <v>3001</v>
      </c>
      <c r="M21766" t="s">
        <v>330</v>
      </c>
      <c r="N21766" t="s">
        <v>331</v>
      </c>
      <c r="O21766" t="s">
        <v>108</v>
      </c>
      <c r="P21766" t="str">
        <f>"75063"</f>
        <v>75063</v>
      </c>
    </row>
    <row r="21767" spans="1:16" x14ac:dyDescent="0.25">
      <c r="A21767" t="str">
        <f>"1320096R00338    00"</f>
        <v>1320096R00338    00</v>
      </c>
      <c r="B21767" t="s">
        <v>47108</v>
      </c>
      <c r="C21767" t="s">
        <v>47109</v>
      </c>
      <c r="D21767" t="s">
        <v>20</v>
      </c>
      <c r="E21767" t="s">
        <v>39</v>
      </c>
      <c r="F21767">
        <v>0</v>
      </c>
      <c r="G21767">
        <v>0</v>
      </c>
      <c r="H21767">
        <v>2</v>
      </c>
      <c r="I21767" s="3">
        <v>2261.5</v>
      </c>
      <c r="J21767" s="3">
        <v>0</v>
      </c>
      <c r="K21767" t="s">
        <v>47110</v>
      </c>
      <c r="L21767">
        <v>1752</v>
      </c>
      <c r="M21767" t="s">
        <v>24691</v>
      </c>
      <c r="N21767" t="s">
        <v>30</v>
      </c>
      <c r="O21767" t="s">
        <v>31</v>
      </c>
      <c r="P21767" t="str">
        <f>"15226"</f>
        <v>15226</v>
      </c>
    </row>
    <row r="21768" spans="1:16" x14ac:dyDescent="0.25">
      <c r="A21768" t="str">
        <f>"1320096S00012    00"</f>
        <v>1320096S00012    00</v>
      </c>
      <c r="B21768" t="s">
        <v>47111</v>
      </c>
      <c r="C21768" t="s">
        <v>47112</v>
      </c>
      <c r="D21768" t="s">
        <v>20</v>
      </c>
      <c r="E21768" t="s">
        <v>39</v>
      </c>
      <c r="F21768">
        <v>0</v>
      </c>
      <c r="G21768">
        <v>0</v>
      </c>
      <c r="H21768">
        <v>5</v>
      </c>
      <c r="I21768" s="3">
        <v>1507.2</v>
      </c>
      <c r="J21768" s="3">
        <v>260.39</v>
      </c>
      <c r="L21768">
        <v>204</v>
      </c>
      <c r="M21768" t="s">
        <v>47113</v>
      </c>
      <c r="N21768" t="s">
        <v>16695</v>
      </c>
      <c r="O21768" t="s">
        <v>495</v>
      </c>
      <c r="P21768" t="str">
        <f>"92618"</f>
        <v>92618</v>
      </c>
    </row>
    <row r="21769" spans="1:16" x14ac:dyDescent="0.25">
      <c r="A21769" t="str">
        <f>"1320096S00054    00"</f>
        <v>1320096S00054    00</v>
      </c>
      <c r="B21769" t="s">
        <v>47114</v>
      </c>
      <c r="C21769" t="s">
        <v>47115</v>
      </c>
      <c r="D21769" t="s">
        <v>20</v>
      </c>
      <c r="E21769" t="s">
        <v>39</v>
      </c>
      <c r="F21769">
        <v>0</v>
      </c>
      <c r="G21769">
        <v>0</v>
      </c>
      <c r="H21769">
        <v>1</v>
      </c>
      <c r="I21769" s="3">
        <v>1092.1500000000001</v>
      </c>
      <c r="J21769" s="3">
        <v>0</v>
      </c>
      <c r="L21769">
        <v>819</v>
      </c>
      <c r="M21769" t="s">
        <v>28726</v>
      </c>
      <c r="N21769" t="s">
        <v>30</v>
      </c>
      <c r="O21769" t="s">
        <v>31</v>
      </c>
      <c r="P21769" t="str">
        <f>"15226"</f>
        <v>15226</v>
      </c>
    </row>
    <row r="21770" spans="1:16" x14ac:dyDescent="0.25">
      <c r="A21770" t="str">
        <f>"1320096S00112    00"</f>
        <v>1320096S00112    00</v>
      </c>
      <c r="B21770" t="s">
        <v>47116</v>
      </c>
      <c r="C21770" t="s">
        <v>47083</v>
      </c>
      <c r="D21770" t="s">
        <v>20</v>
      </c>
      <c r="E21770" t="s">
        <v>39</v>
      </c>
      <c r="F21770">
        <v>0</v>
      </c>
      <c r="G21770">
        <v>0</v>
      </c>
      <c r="H21770">
        <v>19</v>
      </c>
      <c r="I21770" s="3">
        <v>10418.66</v>
      </c>
      <c r="J21770" s="3">
        <v>8931.89</v>
      </c>
      <c r="P21770" t="str">
        <f>""</f>
        <v/>
      </c>
    </row>
    <row r="21771" spans="1:16" x14ac:dyDescent="0.25">
      <c r="A21771" t="str">
        <f>"1320096S00113    00"</f>
        <v>1320096S00113    00</v>
      </c>
      <c r="B21771" t="s">
        <v>30497</v>
      </c>
      <c r="C21771" t="s">
        <v>47083</v>
      </c>
      <c r="D21771" t="s">
        <v>20</v>
      </c>
      <c r="E21771" t="s">
        <v>39</v>
      </c>
      <c r="F21771">
        <v>0</v>
      </c>
      <c r="G21771">
        <v>0</v>
      </c>
      <c r="H21771">
        <v>15</v>
      </c>
      <c r="I21771" s="3">
        <v>7887.8</v>
      </c>
      <c r="J21771" s="3">
        <v>5042.63</v>
      </c>
      <c r="L21771">
        <v>1</v>
      </c>
      <c r="M21771" t="s">
        <v>30499</v>
      </c>
      <c r="N21771" t="s">
        <v>16695</v>
      </c>
      <c r="O21771" t="s">
        <v>495</v>
      </c>
      <c r="P21771" t="str">
        <f>"92618"</f>
        <v>92618</v>
      </c>
    </row>
    <row r="21772" spans="1:16" x14ac:dyDescent="0.25">
      <c r="A21772" t="str">
        <f>"1320096S00123    00"</f>
        <v>1320096S00123    00</v>
      </c>
      <c r="B21772" t="s">
        <v>30045</v>
      </c>
      <c r="C21772" t="s">
        <v>47117</v>
      </c>
      <c r="D21772" t="s">
        <v>20</v>
      </c>
      <c r="E21772" t="s">
        <v>39</v>
      </c>
      <c r="F21772">
        <v>0</v>
      </c>
      <c r="G21772">
        <v>0</v>
      </c>
      <c r="H21772">
        <v>1</v>
      </c>
      <c r="I21772" s="3">
        <v>1113.1300000000001</v>
      </c>
      <c r="J21772" s="3">
        <v>0</v>
      </c>
      <c r="L21772">
        <v>82</v>
      </c>
      <c r="M21772" t="s">
        <v>27072</v>
      </c>
      <c r="N21772" t="s">
        <v>30</v>
      </c>
      <c r="O21772" t="s">
        <v>31</v>
      </c>
      <c r="P21772" t="str">
        <f>"15234"</f>
        <v>15234</v>
      </c>
    </row>
    <row r="21773" spans="1:16" x14ac:dyDescent="0.25">
      <c r="A21773" t="str">
        <f>"1320096S00135    00"</f>
        <v>1320096S00135    00</v>
      </c>
      <c r="B21773" t="s">
        <v>47118</v>
      </c>
      <c r="C21773" t="s">
        <v>47119</v>
      </c>
      <c r="D21773" t="s">
        <v>20</v>
      </c>
      <c r="E21773" t="s">
        <v>39</v>
      </c>
      <c r="F21773">
        <v>0</v>
      </c>
      <c r="G21773">
        <v>0</v>
      </c>
      <c r="H21773">
        <v>14</v>
      </c>
      <c r="I21773" s="3">
        <v>11153.58</v>
      </c>
      <c r="J21773" s="3">
        <v>8149.09</v>
      </c>
      <c r="M21773" t="s">
        <v>29892</v>
      </c>
      <c r="N21773" t="s">
        <v>30</v>
      </c>
      <c r="O21773" t="s">
        <v>31</v>
      </c>
      <c r="P21773" t="str">
        <f>"15217"</f>
        <v>15217</v>
      </c>
    </row>
    <row r="21774" spans="1:16" x14ac:dyDescent="0.25">
      <c r="A21774" t="str">
        <f>"1320096S00146    00"</f>
        <v>1320096S00146    00</v>
      </c>
      <c r="B21774" t="s">
        <v>47120</v>
      </c>
      <c r="C21774" t="s">
        <v>47121</v>
      </c>
      <c r="D21774" t="s">
        <v>20</v>
      </c>
      <c r="E21774" t="s">
        <v>39</v>
      </c>
      <c r="F21774">
        <v>0</v>
      </c>
      <c r="G21774">
        <v>0</v>
      </c>
      <c r="H21774">
        <v>4</v>
      </c>
      <c r="I21774" s="3">
        <v>2713.42</v>
      </c>
      <c r="J21774" s="3">
        <v>207.07</v>
      </c>
      <c r="L21774">
        <v>2258</v>
      </c>
      <c r="M21774" t="s">
        <v>27072</v>
      </c>
      <c r="N21774" t="s">
        <v>30</v>
      </c>
      <c r="O21774" t="s">
        <v>31</v>
      </c>
      <c r="P21774" t="str">
        <f>"15234"</f>
        <v>15234</v>
      </c>
    </row>
    <row r="21775" spans="1:16" x14ac:dyDescent="0.25">
      <c r="A21775" t="str">
        <f>"1320096S00183    00"</f>
        <v>1320096S00183    00</v>
      </c>
      <c r="B21775" t="s">
        <v>47122</v>
      </c>
      <c r="C21775" t="s">
        <v>47078</v>
      </c>
      <c r="E21775" t="s">
        <v>39</v>
      </c>
      <c r="F21775">
        <v>0</v>
      </c>
      <c r="G21775">
        <v>0</v>
      </c>
      <c r="H21775">
        <v>1</v>
      </c>
      <c r="I21775" s="3">
        <v>143.56</v>
      </c>
      <c r="J21775" s="3">
        <v>86.13</v>
      </c>
      <c r="K21775" t="s">
        <v>403</v>
      </c>
      <c r="L21775">
        <v>3001</v>
      </c>
      <c r="M21775" t="s">
        <v>404</v>
      </c>
      <c r="N21775" t="s">
        <v>331</v>
      </c>
      <c r="O21775" t="s">
        <v>108</v>
      </c>
      <c r="P21775" t="str">
        <f>"75063"</f>
        <v>75063</v>
      </c>
    </row>
    <row r="21776" spans="1:16" x14ac:dyDescent="0.25">
      <c r="A21776" t="str">
        <f>"1320096S00187    00"</f>
        <v>1320096S00187    00</v>
      </c>
      <c r="B21776" t="s">
        <v>47123</v>
      </c>
      <c r="C21776" t="s">
        <v>47124</v>
      </c>
      <c r="E21776" t="s">
        <v>39</v>
      </c>
      <c r="F21776">
        <v>0</v>
      </c>
      <c r="G21776">
        <v>0</v>
      </c>
      <c r="H21776">
        <v>1</v>
      </c>
      <c r="I21776" s="3">
        <v>1010.83</v>
      </c>
      <c r="J21776" s="3">
        <v>404.32</v>
      </c>
      <c r="K21776" t="s">
        <v>4781</v>
      </c>
      <c r="L21776">
        <v>111</v>
      </c>
      <c r="M21776" t="s">
        <v>4782</v>
      </c>
      <c r="N21776" t="s">
        <v>4783</v>
      </c>
      <c r="O21776" t="s">
        <v>4784</v>
      </c>
      <c r="P21776" t="str">
        <f>"63146"</f>
        <v>63146</v>
      </c>
    </row>
    <row r="21777" spans="1:16" x14ac:dyDescent="0.25">
      <c r="A21777" t="str">
        <f>"1320096S00203    00"</f>
        <v>1320096S00203    00</v>
      </c>
      <c r="B21777" t="s">
        <v>47125</v>
      </c>
      <c r="C21777" t="s">
        <v>47126</v>
      </c>
      <c r="D21777" t="s">
        <v>20</v>
      </c>
      <c r="E21777" t="s">
        <v>39</v>
      </c>
      <c r="F21777">
        <v>0</v>
      </c>
      <c r="G21777">
        <v>0</v>
      </c>
      <c r="H21777">
        <v>6</v>
      </c>
      <c r="I21777" s="3">
        <v>2595.42</v>
      </c>
      <c r="J21777" s="3">
        <v>1016.96</v>
      </c>
      <c r="L21777">
        <v>2307</v>
      </c>
      <c r="M21777" t="s">
        <v>1665</v>
      </c>
      <c r="N21777" t="s">
        <v>30</v>
      </c>
      <c r="O21777" t="s">
        <v>31</v>
      </c>
      <c r="P21777" t="str">
        <f>"15234"</f>
        <v>15234</v>
      </c>
    </row>
    <row r="21778" spans="1:16" x14ac:dyDescent="0.25">
      <c r="A21778" t="str">
        <f>"1320096S00207    00"</f>
        <v>1320096S00207    00</v>
      </c>
      <c r="B21778" t="s">
        <v>47127</v>
      </c>
      <c r="C21778" t="s">
        <v>47128</v>
      </c>
      <c r="D21778" t="s">
        <v>20</v>
      </c>
      <c r="E21778" t="s">
        <v>39</v>
      </c>
      <c r="F21778">
        <v>0</v>
      </c>
      <c r="G21778">
        <v>0</v>
      </c>
      <c r="H21778">
        <v>5</v>
      </c>
      <c r="I21778" s="3">
        <v>4564.8100000000004</v>
      </c>
      <c r="J21778" s="3">
        <v>818.64</v>
      </c>
      <c r="L21778">
        <v>2267</v>
      </c>
      <c r="M21778" t="s">
        <v>1665</v>
      </c>
      <c r="N21778" t="s">
        <v>30</v>
      </c>
      <c r="O21778" t="s">
        <v>31</v>
      </c>
      <c r="P21778" t="str">
        <f>"15234"</f>
        <v>15234</v>
      </c>
    </row>
    <row r="21779" spans="1:16" x14ac:dyDescent="0.25">
      <c r="A21779" t="str">
        <f>"1320096S00267    00"</f>
        <v>1320096S00267    00</v>
      </c>
      <c r="B21779" t="s">
        <v>47129</v>
      </c>
      <c r="C21779" t="s">
        <v>47130</v>
      </c>
      <c r="D21779" t="s">
        <v>20</v>
      </c>
      <c r="E21779" t="s">
        <v>39</v>
      </c>
      <c r="F21779">
        <v>0</v>
      </c>
      <c r="G21779">
        <v>0</v>
      </c>
      <c r="H21779">
        <v>4</v>
      </c>
      <c r="I21779" s="3">
        <v>4739.7</v>
      </c>
      <c r="J21779" s="3">
        <v>1505.14</v>
      </c>
      <c r="L21779">
        <v>240</v>
      </c>
      <c r="M21779" t="s">
        <v>47131</v>
      </c>
      <c r="N21779" t="s">
        <v>30</v>
      </c>
      <c r="O21779" t="s">
        <v>31</v>
      </c>
      <c r="P21779" t="str">
        <f>"15237"</f>
        <v>15237</v>
      </c>
    </row>
    <row r="21780" spans="1:16" x14ac:dyDescent="0.25">
      <c r="A21780" t="str">
        <f>"1320096S00278    00"</f>
        <v>1320096S00278    00</v>
      </c>
      <c r="B21780" t="s">
        <v>47132</v>
      </c>
      <c r="C21780" t="s">
        <v>47133</v>
      </c>
      <c r="E21780" t="s">
        <v>39</v>
      </c>
      <c r="F21780">
        <v>0</v>
      </c>
      <c r="G21780">
        <v>0</v>
      </c>
      <c r="H21780">
        <v>4</v>
      </c>
      <c r="I21780" s="3">
        <v>1400.67</v>
      </c>
      <c r="J21780" s="3">
        <v>314.99</v>
      </c>
      <c r="L21780">
        <v>2291</v>
      </c>
      <c r="M21780" t="s">
        <v>47103</v>
      </c>
      <c r="N21780" t="s">
        <v>30</v>
      </c>
      <c r="O21780" t="s">
        <v>31</v>
      </c>
      <c r="P21780" t="str">
        <f>"15234"</f>
        <v>15234</v>
      </c>
    </row>
    <row r="21781" spans="1:16" x14ac:dyDescent="0.25">
      <c r="A21781" t="str">
        <f>"1320096S00290    00"</f>
        <v>1320096S00290    00</v>
      </c>
      <c r="B21781" t="s">
        <v>47134</v>
      </c>
      <c r="C21781" t="s">
        <v>47135</v>
      </c>
      <c r="D21781" t="s">
        <v>20</v>
      </c>
      <c r="E21781" t="s">
        <v>39</v>
      </c>
      <c r="F21781">
        <v>0</v>
      </c>
      <c r="G21781">
        <v>0</v>
      </c>
      <c r="H21781">
        <v>15</v>
      </c>
      <c r="I21781" s="3">
        <v>15043.61</v>
      </c>
      <c r="J21781" s="3">
        <v>11653.74</v>
      </c>
      <c r="L21781">
        <v>230</v>
      </c>
      <c r="M21781" t="s">
        <v>47136</v>
      </c>
      <c r="N21781" t="s">
        <v>30</v>
      </c>
      <c r="O21781" t="s">
        <v>31</v>
      </c>
      <c r="P21781" t="str">
        <f>"15234"</f>
        <v>15234</v>
      </c>
    </row>
    <row r="21782" spans="1:16" x14ac:dyDescent="0.25">
      <c r="A21782" t="str">
        <f>"1320138A00007    00"</f>
        <v>1320138A00007    00</v>
      </c>
      <c r="B21782" t="s">
        <v>47137</v>
      </c>
      <c r="C21782" t="s">
        <v>47138</v>
      </c>
      <c r="D21782" t="s">
        <v>20</v>
      </c>
      <c r="E21782" t="s">
        <v>39</v>
      </c>
      <c r="F21782">
        <v>0</v>
      </c>
      <c r="G21782">
        <v>0</v>
      </c>
      <c r="H21782">
        <v>1</v>
      </c>
      <c r="I21782" s="3">
        <v>21.57</v>
      </c>
      <c r="J21782" s="3">
        <v>0</v>
      </c>
      <c r="L21782">
        <v>323</v>
      </c>
      <c r="M21782" t="s">
        <v>47139</v>
      </c>
      <c r="N21782" t="s">
        <v>30</v>
      </c>
      <c r="O21782" t="s">
        <v>31</v>
      </c>
      <c r="P21782" t="str">
        <f>"15234"</f>
        <v>15234</v>
      </c>
    </row>
    <row r="21783" spans="1:16" x14ac:dyDescent="0.25">
      <c r="A21783" t="str">
        <f>"1320138A00007A   00"</f>
        <v>1320138A00007A   00</v>
      </c>
      <c r="B21783" t="s">
        <v>47140</v>
      </c>
      <c r="C21783" t="s">
        <v>47141</v>
      </c>
      <c r="D21783" t="s">
        <v>20</v>
      </c>
      <c r="E21783" t="s">
        <v>39</v>
      </c>
      <c r="F21783">
        <v>0</v>
      </c>
      <c r="G21783">
        <v>0</v>
      </c>
      <c r="H21783">
        <v>1</v>
      </c>
      <c r="I21783" s="3">
        <v>19.02</v>
      </c>
      <c r="J21783" s="3">
        <v>0</v>
      </c>
      <c r="L21783">
        <v>323</v>
      </c>
      <c r="M21783" t="s">
        <v>47139</v>
      </c>
      <c r="N21783" t="s">
        <v>30</v>
      </c>
      <c r="O21783" t="s">
        <v>31</v>
      </c>
      <c r="P21783" t="str">
        <f>"15234"</f>
        <v>15234</v>
      </c>
    </row>
    <row r="21784" spans="1:16" x14ac:dyDescent="0.25">
      <c r="A21784" t="str">
        <f>"1320138A00146    00"</f>
        <v>1320138A00146    00</v>
      </c>
      <c r="B21784" t="s">
        <v>47142</v>
      </c>
      <c r="C21784" t="s">
        <v>47143</v>
      </c>
      <c r="D21784" t="s">
        <v>20</v>
      </c>
      <c r="E21784" t="s">
        <v>39</v>
      </c>
      <c r="F21784">
        <v>0</v>
      </c>
      <c r="G21784">
        <v>0</v>
      </c>
      <c r="H21784">
        <v>12</v>
      </c>
      <c r="I21784" s="3">
        <v>7030.85</v>
      </c>
      <c r="J21784" s="3">
        <v>3443.74</v>
      </c>
      <c r="L21784">
        <v>1</v>
      </c>
      <c r="M21784" t="s">
        <v>47144</v>
      </c>
      <c r="N21784" t="s">
        <v>30</v>
      </c>
      <c r="O21784" t="s">
        <v>31</v>
      </c>
      <c r="P21784" t="str">
        <f>"15234"</f>
        <v>15234</v>
      </c>
    </row>
    <row r="21785" spans="1:16" x14ac:dyDescent="0.25">
      <c r="A21785" t="str">
        <f>"1320138A00148    00"</f>
        <v>1320138A00148    00</v>
      </c>
      <c r="B21785" t="s">
        <v>47145</v>
      </c>
      <c r="C21785" t="s">
        <v>47083</v>
      </c>
      <c r="D21785" t="s">
        <v>20</v>
      </c>
      <c r="E21785" t="s">
        <v>39</v>
      </c>
      <c r="F21785">
        <v>0</v>
      </c>
      <c r="G21785">
        <v>0</v>
      </c>
      <c r="H21785">
        <v>10</v>
      </c>
      <c r="I21785" s="3">
        <v>5338.15</v>
      </c>
      <c r="J21785" s="3">
        <v>2139.12</v>
      </c>
      <c r="L21785">
        <v>5515</v>
      </c>
      <c r="M21785" t="s">
        <v>47146</v>
      </c>
      <c r="N21785" t="s">
        <v>30</v>
      </c>
      <c r="O21785" t="s">
        <v>31</v>
      </c>
      <c r="P21785" t="str">
        <f>"15236"</f>
        <v>15236</v>
      </c>
    </row>
    <row r="21786" spans="1:16" x14ac:dyDescent="0.25">
      <c r="A21786" t="str">
        <f>"1320138A00161    00"</f>
        <v>1320138A00161    00</v>
      </c>
      <c r="B21786" t="s">
        <v>47147</v>
      </c>
      <c r="C21786" t="s">
        <v>47083</v>
      </c>
      <c r="D21786" t="s">
        <v>20</v>
      </c>
      <c r="E21786" t="s">
        <v>39</v>
      </c>
      <c r="F21786">
        <v>0</v>
      </c>
      <c r="G21786">
        <v>0</v>
      </c>
      <c r="H21786">
        <v>6</v>
      </c>
      <c r="I21786" s="3">
        <v>3415.42</v>
      </c>
      <c r="J21786" s="3">
        <v>766.01</v>
      </c>
      <c r="L21786">
        <v>1036</v>
      </c>
      <c r="M21786" t="s">
        <v>1990</v>
      </c>
      <c r="N21786" t="s">
        <v>30</v>
      </c>
      <c r="O21786" t="s">
        <v>31</v>
      </c>
      <c r="P21786" t="str">
        <f>"15226"</f>
        <v>15226</v>
      </c>
    </row>
    <row r="21787" spans="1:16" x14ac:dyDescent="0.25">
      <c r="A21787" t="str">
        <f>"1320138A00202    00"</f>
        <v>1320138A00202    00</v>
      </c>
      <c r="B21787" t="s">
        <v>47148</v>
      </c>
      <c r="C21787" t="s">
        <v>47149</v>
      </c>
      <c r="D21787" t="s">
        <v>20</v>
      </c>
      <c r="E21787" t="s">
        <v>21</v>
      </c>
      <c r="F21787">
        <v>0</v>
      </c>
      <c r="G21787">
        <v>0</v>
      </c>
      <c r="H21787">
        <v>8</v>
      </c>
      <c r="I21787" s="3">
        <v>10108.33</v>
      </c>
      <c r="J21787" s="3">
        <v>3307.58</v>
      </c>
      <c r="L21787">
        <v>4346</v>
      </c>
      <c r="M21787" t="s">
        <v>43610</v>
      </c>
      <c r="N21787" t="s">
        <v>30</v>
      </c>
      <c r="O21787" t="s">
        <v>31</v>
      </c>
      <c r="P21787" t="str">
        <f>"15227"</f>
        <v>15227</v>
      </c>
    </row>
    <row r="21788" spans="1:16" x14ac:dyDescent="0.25">
      <c r="A21788" t="str">
        <f>"1320138A00209    00"</f>
        <v>1320138A00209    00</v>
      </c>
      <c r="B21788" t="s">
        <v>33612</v>
      </c>
      <c r="C21788" t="s">
        <v>47150</v>
      </c>
      <c r="E21788" t="s">
        <v>21</v>
      </c>
      <c r="F21788">
        <v>0</v>
      </c>
      <c r="G21788">
        <v>0</v>
      </c>
      <c r="H21788">
        <v>17</v>
      </c>
      <c r="I21788" s="3">
        <v>44629.57</v>
      </c>
      <c r="J21788" s="3">
        <v>54421.279999999999</v>
      </c>
      <c r="K21788" t="s">
        <v>47151</v>
      </c>
      <c r="L21788">
        <v>45</v>
      </c>
      <c r="M21788" t="s">
        <v>1473</v>
      </c>
      <c r="N21788" t="s">
        <v>1474</v>
      </c>
      <c r="O21788" t="s">
        <v>31</v>
      </c>
      <c r="P21788" t="str">
        <f>"15017"</f>
        <v>15017</v>
      </c>
    </row>
    <row r="21789" spans="1:16" x14ac:dyDescent="0.25">
      <c r="A21789" t="str">
        <f>"1320138A00210    00"</f>
        <v>1320138A00210    00</v>
      </c>
      <c r="B21789" t="s">
        <v>33612</v>
      </c>
      <c r="C21789" t="s">
        <v>47150</v>
      </c>
      <c r="E21789" t="s">
        <v>21</v>
      </c>
      <c r="F21789">
        <v>0</v>
      </c>
      <c r="G21789">
        <v>0</v>
      </c>
      <c r="H21789">
        <v>13</v>
      </c>
      <c r="I21789" s="3">
        <v>3877.8</v>
      </c>
      <c r="J21789" s="3">
        <v>3363.8</v>
      </c>
      <c r="P21789" t="str">
        <f>""</f>
        <v/>
      </c>
    </row>
    <row r="21790" spans="1:16" x14ac:dyDescent="0.25">
      <c r="A21790" t="str">
        <f>"1320138A00236    00"</f>
        <v>1320138A00236    00</v>
      </c>
      <c r="B21790" t="s">
        <v>47152</v>
      </c>
      <c r="C21790" t="s">
        <v>47153</v>
      </c>
      <c r="D21790" t="s">
        <v>20</v>
      </c>
      <c r="E21790" t="s">
        <v>21</v>
      </c>
      <c r="F21790">
        <v>0</v>
      </c>
      <c r="G21790">
        <v>0</v>
      </c>
      <c r="H21790">
        <v>4</v>
      </c>
      <c r="I21790" s="3">
        <v>19014.990000000002</v>
      </c>
      <c r="J21790" s="3">
        <v>1992.28</v>
      </c>
      <c r="L21790">
        <v>4607</v>
      </c>
      <c r="M21790" t="s">
        <v>44352</v>
      </c>
      <c r="N21790" t="s">
        <v>30</v>
      </c>
      <c r="O21790" t="s">
        <v>31</v>
      </c>
      <c r="P21790" t="str">
        <f>"15236"</f>
        <v>15236</v>
      </c>
    </row>
    <row r="21791" spans="1:16" x14ac:dyDescent="0.25">
      <c r="A21791" t="str">
        <f>"1320138A00237    00"</f>
        <v>1320138A00237    00</v>
      </c>
      <c r="B21791" t="s">
        <v>47152</v>
      </c>
      <c r="C21791" t="s">
        <v>47154</v>
      </c>
      <c r="D21791" t="s">
        <v>20</v>
      </c>
      <c r="E21791" t="s">
        <v>21</v>
      </c>
      <c r="F21791">
        <v>0</v>
      </c>
      <c r="G21791">
        <v>0</v>
      </c>
      <c r="H21791">
        <v>2</v>
      </c>
      <c r="I21791" s="3">
        <v>3312.66</v>
      </c>
      <c r="J21791" s="3">
        <v>0</v>
      </c>
      <c r="L21791">
        <v>4607</v>
      </c>
      <c r="M21791" t="s">
        <v>44352</v>
      </c>
      <c r="N21791" t="s">
        <v>30</v>
      </c>
      <c r="O21791" t="s">
        <v>31</v>
      </c>
      <c r="P21791" t="str">
        <f>"15236"</f>
        <v>15236</v>
      </c>
    </row>
    <row r="21792" spans="1:16" x14ac:dyDescent="0.25">
      <c r="A21792" t="str">
        <f>"1320138A00265    00"</f>
        <v>1320138A00265    00</v>
      </c>
      <c r="B21792" t="s">
        <v>47155</v>
      </c>
      <c r="C21792" t="s">
        <v>30456</v>
      </c>
      <c r="E21792" t="s">
        <v>21</v>
      </c>
      <c r="F21792">
        <v>0</v>
      </c>
      <c r="G21792">
        <v>0</v>
      </c>
      <c r="H21792">
        <v>1</v>
      </c>
      <c r="I21792" s="3">
        <v>320.64</v>
      </c>
      <c r="J21792" s="3">
        <v>88.18</v>
      </c>
      <c r="K21792" t="s">
        <v>47156</v>
      </c>
      <c r="L21792">
        <v>4409</v>
      </c>
      <c r="M21792" t="s">
        <v>47157</v>
      </c>
      <c r="N21792" t="s">
        <v>30</v>
      </c>
      <c r="O21792" t="s">
        <v>31</v>
      </c>
      <c r="P21792" t="str">
        <f>"15227"</f>
        <v>15227</v>
      </c>
    </row>
    <row r="21793" spans="1:16" x14ac:dyDescent="0.25">
      <c r="A21793" t="str">
        <f>"1320138A00268    00"</f>
        <v>1320138A00268    00</v>
      </c>
      <c r="B21793" t="s">
        <v>47158</v>
      </c>
      <c r="C21793" t="s">
        <v>30456</v>
      </c>
      <c r="D21793" t="s">
        <v>20</v>
      </c>
      <c r="E21793" t="s">
        <v>21</v>
      </c>
      <c r="F21793">
        <v>0</v>
      </c>
      <c r="G21793">
        <v>0</v>
      </c>
      <c r="H21793">
        <v>1</v>
      </c>
      <c r="I21793" s="3">
        <v>444.11</v>
      </c>
      <c r="J21793" s="3">
        <v>0</v>
      </c>
      <c r="L21793">
        <v>298</v>
      </c>
      <c r="M21793" t="s">
        <v>47159</v>
      </c>
      <c r="N21793" t="s">
        <v>30</v>
      </c>
      <c r="O21793" t="s">
        <v>31</v>
      </c>
      <c r="P21793" t="str">
        <f>"15234"</f>
        <v>15234</v>
      </c>
    </row>
    <row r="21794" spans="1:16" x14ac:dyDescent="0.25">
      <c r="A21794" t="str">
        <f>"1320138B00034    00"</f>
        <v>1320138B00034    00</v>
      </c>
      <c r="B21794" t="s">
        <v>46945</v>
      </c>
      <c r="C21794" t="s">
        <v>44481</v>
      </c>
      <c r="D21794" t="s">
        <v>20</v>
      </c>
      <c r="E21794" t="s">
        <v>39</v>
      </c>
      <c r="F21794">
        <v>0</v>
      </c>
      <c r="G21794">
        <v>0</v>
      </c>
      <c r="H21794">
        <v>19</v>
      </c>
      <c r="I21794" s="3">
        <v>6413.29</v>
      </c>
      <c r="J21794" s="3">
        <v>6261.02</v>
      </c>
      <c r="K21794" t="s">
        <v>46946</v>
      </c>
      <c r="L21794">
        <v>2709</v>
      </c>
      <c r="M21794" t="s">
        <v>47160</v>
      </c>
      <c r="N21794" t="s">
        <v>6603</v>
      </c>
      <c r="O21794" t="s">
        <v>31</v>
      </c>
      <c r="P21794" t="str">
        <f>"15122"</f>
        <v>15122</v>
      </c>
    </row>
    <row r="21795" spans="1:16" x14ac:dyDescent="0.25">
      <c r="A21795" t="str">
        <f>"1320138B00057    00"</f>
        <v>1320138B00057    00</v>
      </c>
      <c r="B21795" t="s">
        <v>24076</v>
      </c>
      <c r="C21795" t="s">
        <v>47161</v>
      </c>
      <c r="D21795" t="s">
        <v>20</v>
      </c>
      <c r="E21795" t="s">
        <v>21</v>
      </c>
      <c r="F21795">
        <v>0</v>
      </c>
      <c r="G21795">
        <v>0</v>
      </c>
      <c r="H21795">
        <v>1</v>
      </c>
      <c r="I21795" s="3">
        <v>3507.04</v>
      </c>
      <c r="J21795" s="3">
        <v>0</v>
      </c>
      <c r="L21795">
        <v>2351</v>
      </c>
      <c r="M21795" t="s">
        <v>9782</v>
      </c>
      <c r="N21795" t="s">
        <v>30</v>
      </c>
      <c r="O21795" t="s">
        <v>31</v>
      </c>
      <c r="P21795" t="str">
        <f>"15210"</f>
        <v>15210</v>
      </c>
    </row>
    <row r="21796" spans="1:16" x14ac:dyDescent="0.25">
      <c r="A21796" t="str">
        <f>"1320138B00068    00"</f>
        <v>1320138B00068    00</v>
      </c>
      <c r="B21796" t="s">
        <v>47162</v>
      </c>
      <c r="C21796" t="s">
        <v>44509</v>
      </c>
      <c r="D21796" t="s">
        <v>20</v>
      </c>
      <c r="E21796" t="s">
        <v>39</v>
      </c>
      <c r="F21796">
        <v>0</v>
      </c>
      <c r="G21796">
        <v>0</v>
      </c>
      <c r="H21796">
        <v>15</v>
      </c>
      <c r="I21796" s="3">
        <v>6814.5</v>
      </c>
      <c r="J21796" s="3">
        <v>5758.64</v>
      </c>
      <c r="L21796">
        <v>6721</v>
      </c>
      <c r="M21796" t="s">
        <v>33406</v>
      </c>
      <c r="N21796" t="s">
        <v>6603</v>
      </c>
      <c r="O21796" t="s">
        <v>31</v>
      </c>
      <c r="P21796" t="str">
        <f>"15122"</f>
        <v>15122</v>
      </c>
    </row>
    <row r="21797" spans="1:16" x14ac:dyDescent="0.25">
      <c r="A21797" t="str">
        <f>"1320138B00070    00"</f>
        <v>1320138B00070    00</v>
      </c>
      <c r="B21797" t="s">
        <v>47162</v>
      </c>
      <c r="C21797" t="s">
        <v>44509</v>
      </c>
      <c r="D21797" t="s">
        <v>20</v>
      </c>
      <c r="E21797" t="s">
        <v>39</v>
      </c>
      <c r="F21797">
        <v>0</v>
      </c>
      <c r="G21797">
        <v>0</v>
      </c>
      <c r="H21797">
        <v>15</v>
      </c>
      <c r="I21797" s="3">
        <v>1277.8</v>
      </c>
      <c r="J21797" s="3">
        <v>772.11</v>
      </c>
      <c r="L21797">
        <v>2300</v>
      </c>
      <c r="M21797" t="s">
        <v>44253</v>
      </c>
      <c r="N21797" t="s">
        <v>30</v>
      </c>
      <c r="O21797" t="s">
        <v>31</v>
      </c>
      <c r="P21797" t="str">
        <f>"15210"</f>
        <v>15210</v>
      </c>
    </row>
    <row r="21798" spans="1:16" x14ac:dyDescent="0.25">
      <c r="A21798" t="str">
        <f>"1320138B00072    00"</f>
        <v>1320138B00072    00</v>
      </c>
      <c r="B21798" t="s">
        <v>47162</v>
      </c>
      <c r="C21798" t="s">
        <v>44509</v>
      </c>
      <c r="D21798" t="s">
        <v>20</v>
      </c>
      <c r="E21798" t="s">
        <v>39</v>
      </c>
      <c r="F21798">
        <v>0</v>
      </c>
      <c r="G21798">
        <v>0</v>
      </c>
      <c r="H21798">
        <v>15</v>
      </c>
      <c r="I21798" s="3">
        <v>1018.96</v>
      </c>
      <c r="J21798" s="3">
        <v>627.22</v>
      </c>
      <c r="L21798">
        <v>490</v>
      </c>
      <c r="M21798" t="s">
        <v>47163</v>
      </c>
      <c r="N21798" t="s">
        <v>30</v>
      </c>
      <c r="O21798" t="s">
        <v>31</v>
      </c>
      <c r="P21798" t="str">
        <f>"15236"</f>
        <v>15236</v>
      </c>
    </row>
    <row r="21799" spans="1:16" x14ac:dyDescent="0.25">
      <c r="A21799" t="str">
        <f>"1320138B00087    00"</f>
        <v>1320138B00087    00</v>
      </c>
      <c r="B21799" t="s">
        <v>47164</v>
      </c>
      <c r="C21799" t="s">
        <v>47165</v>
      </c>
      <c r="D21799" t="s">
        <v>20</v>
      </c>
      <c r="E21799" t="s">
        <v>39</v>
      </c>
      <c r="F21799">
        <v>0</v>
      </c>
      <c r="G21799">
        <v>0</v>
      </c>
      <c r="H21799">
        <v>5</v>
      </c>
      <c r="I21799" s="3">
        <v>2347.65</v>
      </c>
      <c r="J21799" s="3">
        <v>234.75</v>
      </c>
      <c r="L21799">
        <v>704</v>
      </c>
      <c r="M21799" t="s">
        <v>1938</v>
      </c>
      <c r="N21799" t="s">
        <v>30</v>
      </c>
      <c r="O21799" t="s">
        <v>31</v>
      </c>
      <c r="P21799" t="str">
        <f>"15227"</f>
        <v>15227</v>
      </c>
    </row>
    <row r="21800" spans="1:16" x14ac:dyDescent="0.25">
      <c r="A21800" t="str">
        <f>"1320138B00092    00"</f>
        <v>1320138B00092    00</v>
      </c>
      <c r="B21800" t="s">
        <v>47166</v>
      </c>
      <c r="C21800" t="s">
        <v>47167</v>
      </c>
      <c r="D21800" t="s">
        <v>20</v>
      </c>
      <c r="E21800" t="s">
        <v>21</v>
      </c>
      <c r="F21800">
        <v>0</v>
      </c>
      <c r="G21800">
        <v>0</v>
      </c>
      <c r="H21800">
        <v>1</v>
      </c>
      <c r="I21800" s="3">
        <v>1715.42</v>
      </c>
      <c r="J21800" s="3">
        <v>0</v>
      </c>
      <c r="L21800">
        <v>1185</v>
      </c>
      <c r="M21800" t="s">
        <v>4537</v>
      </c>
      <c r="N21800" t="s">
        <v>30</v>
      </c>
      <c r="O21800" t="s">
        <v>31</v>
      </c>
      <c r="P21800" t="str">
        <f>"15220"</f>
        <v>15220</v>
      </c>
    </row>
    <row r="21801" spans="1:16" x14ac:dyDescent="0.25">
      <c r="A21801" t="str">
        <f>"1320138B00102    00"</f>
        <v>1320138B00102    00</v>
      </c>
      <c r="B21801" t="s">
        <v>47168</v>
      </c>
      <c r="C21801" t="s">
        <v>47169</v>
      </c>
      <c r="D21801" t="s">
        <v>20</v>
      </c>
      <c r="E21801" t="s">
        <v>39</v>
      </c>
      <c r="F21801">
        <v>0</v>
      </c>
      <c r="G21801">
        <v>0</v>
      </c>
      <c r="H21801">
        <v>2</v>
      </c>
      <c r="I21801" s="3">
        <v>2691.32</v>
      </c>
      <c r="J21801" s="3">
        <v>0</v>
      </c>
      <c r="K21801" t="s">
        <v>47170</v>
      </c>
      <c r="L21801">
        <v>2234</v>
      </c>
      <c r="M21801" t="s">
        <v>23170</v>
      </c>
      <c r="N21801" t="s">
        <v>30</v>
      </c>
      <c r="O21801" t="s">
        <v>31</v>
      </c>
      <c r="P21801" t="str">
        <f>"15220"</f>
        <v>15220</v>
      </c>
    </row>
    <row r="21802" spans="1:16" x14ac:dyDescent="0.25">
      <c r="A21802" t="str">
        <f>"1320138B00106    00"</f>
        <v>1320138B00106    00</v>
      </c>
      <c r="B21802" t="s">
        <v>47171</v>
      </c>
      <c r="C21802" t="s">
        <v>47172</v>
      </c>
      <c r="D21802" t="s">
        <v>20</v>
      </c>
      <c r="E21802" t="s">
        <v>39</v>
      </c>
      <c r="F21802">
        <v>0</v>
      </c>
      <c r="G21802">
        <v>0</v>
      </c>
      <c r="H21802">
        <v>15</v>
      </c>
      <c r="I21802" s="3">
        <v>7873.15</v>
      </c>
      <c r="J21802" s="3">
        <v>5208.33</v>
      </c>
      <c r="L21802">
        <v>715</v>
      </c>
      <c r="M21802" t="s">
        <v>1938</v>
      </c>
      <c r="N21802" t="s">
        <v>30</v>
      </c>
      <c r="O21802" t="s">
        <v>31</v>
      </c>
      <c r="P21802" t="str">
        <f>"15227"</f>
        <v>15227</v>
      </c>
    </row>
    <row r="21803" spans="1:16" x14ac:dyDescent="0.25">
      <c r="A21803" t="str">
        <f>"1320138B00110    00"</f>
        <v>1320138B00110    00</v>
      </c>
      <c r="B21803" t="s">
        <v>47173</v>
      </c>
      <c r="C21803" t="s">
        <v>47174</v>
      </c>
      <c r="E21803" t="s">
        <v>39</v>
      </c>
      <c r="F21803">
        <v>0</v>
      </c>
      <c r="G21803">
        <v>0</v>
      </c>
      <c r="H21803">
        <v>13</v>
      </c>
      <c r="I21803" s="3">
        <v>9648.34</v>
      </c>
      <c r="J21803" s="3">
        <v>9597.4599999999991</v>
      </c>
      <c r="L21803">
        <v>1450</v>
      </c>
      <c r="M21803" t="s">
        <v>42582</v>
      </c>
      <c r="N21803" t="s">
        <v>30</v>
      </c>
      <c r="O21803" t="s">
        <v>31</v>
      </c>
      <c r="P21803" t="str">
        <f>"15205"</f>
        <v>15205</v>
      </c>
    </row>
    <row r="21804" spans="1:16" x14ac:dyDescent="0.25">
      <c r="A21804" t="str">
        <f>"1320138B00114    00"</f>
        <v>1320138B00114    00</v>
      </c>
      <c r="B21804" t="s">
        <v>47175</v>
      </c>
      <c r="C21804" t="s">
        <v>47176</v>
      </c>
      <c r="E21804" t="s">
        <v>39</v>
      </c>
      <c r="F21804">
        <v>0</v>
      </c>
      <c r="G21804">
        <v>0</v>
      </c>
      <c r="H21804">
        <v>1</v>
      </c>
      <c r="I21804" s="3">
        <v>713.98</v>
      </c>
      <c r="J21804" s="3">
        <v>285.57</v>
      </c>
      <c r="L21804">
        <v>5473</v>
      </c>
      <c r="M21804" t="s">
        <v>12937</v>
      </c>
      <c r="N21804" t="s">
        <v>3934</v>
      </c>
      <c r="O21804" t="s">
        <v>31</v>
      </c>
      <c r="P21804" t="str">
        <f>"15102"</f>
        <v>15102</v>
      </c>
    </row>
    <row r="21805" spans="1:16" x14ac:dyDescent="0.25">
      <c r="A21805" t="str">
        <f>"1320138B00127    00"</f>
        <v>1320138B00127    00</v>
      </c>
      <c r="B21805" t="s">
        <v>47177</v>
      </c>
      <c r="C21805" t="s">
        <v>47178</v>
      </c>
      <c r="D21805" t="s">
        <v>20</v>
      </c>
      <c r="E21805" t="s">
        <v>39</v>
      </c>
      <c r="F21805">
        <v>0</v>
      </c>
      <c r="G21805">
        <v>0</v>
      </c>
      <c r="H21805">
        <v>1</v>
      </c>
      <c r="I21805" s="3">
        <v>200.82</v>
      </c>
      <c r="J21805" s="3">
        <v>0</v>
      </c>
      <c r="L21805">
        <v>757</v>
      </c>
      <c r="M21805" t="s">
        <v>1938</v>
      </c>
      <c r="N21805" t="s">
        <v>30</v>
      </c>
      <c r="O21805" t="s">
        <v>31</v>
      </c>
      <c r="P21805" t="str">
        <f>"15227"</f>
        <v>15227</v>
      </c>
    </row>
    <row r="21806" spans="1:16" x14ac:dyDescent="0.25">
      <c r="A21806" t="str">
        <f>"1320138B00128    00"</f>
        <v>1320138B00128    00</v>
      </c>
      <c r="B21806" t="s">
        <v>8294</v>
      </c>
      <c r="C21806" t="s">
        <v>47179</v>
      </c>
      <c r="D21806" t="s">
        <v>20</v>
      </c>
      <c r="E21806" t="s">
        <v>39</v>
      </c>
      <c r="F21806">
        <v>0</v>
      </c>
      <c r="G21806">
        <v>0</v>
      </c>
      <c r="H21806">
        <v>3</v>
      </c>
      <c r="I21806" s="3">
        <v>2892.33</v>
      </c>
      <c r="J21806" s="3">
        <v>171.73</v>
      </c>
      <c r="L21806">
        <v>303</v>
      </c>
      <c r="M21806" t="s">
        <v>8296</v>
      </c>
      <c r="N21806" t="s">
        <v>30</v>
      </c>
      <c r="O21806" t="s">
        <v>31</v>
      </c>
      <c r="P21806" t="str">
        <f>"15211"</f>
        <v>15211</v>
      </c>
    </row>
    <row r="21807" spans="1:16" x14ac:dyDescent="0.25">
      <c r="A21807" t="str">
        <f>"1320138B00136    00"</f>
        <v>1320138B00136    00</v>
      </c>
      <c r="B21807" t="s">
        <v>47180</v>
      </c>
      <c r="C21807" t="s">
        <v>47181</v>
      </c>
      <c r="D21807" t="s">
        <v>57</v>
      </c>
      <c r="E21807" t="s">
        <v>39</v>
      </c>
      <c r="F21807">
        <v>0</v>
      </c>
      <c r="G21807">
        <v>0</v>
      </c>
      <c r="H21807">
        <v>2</v>
      </c>
      <c r="I21807" s="3">
        <v>270.68</v>
      </c>
      <c r="J21807" s="3">
        <v>4.5199999999999996</v>
      </c>
      <c r="K21807" t="s">
        <v>47182</v>
      </c>
      <c r="L21807">
        <v>2409</v>
      </c>
      <c r="M21807" t="s">
        <v>9782</v>
      </c>
      <c r="N21807" t="s">
        <v>30</v>
      </c>
      <c r="O21807" t="s">
        <v>31</v>
      </c>
      <c r="P21807" t="str">
        <f>"15234"</f>
        <v>15234</v>
      </c>
    </row>
    <row r="21808" spans="1:16" x14ac:dyDescent="0.25">
      <c r="A21808" t="str">
        <f>"1320138B00137    00"</f>
        <v>1320138B00137    00</v>
      </c>
      <c r="B21808" t="s">
        <v>47180</v>
      </c>
      <c r="C21808" t="s">
        <v>47181</v>
      </c>
      <c r="D21808" t="s">
        <v>57</v>
      </c>
      <c r="E21808" t="s">
        <v>39</v>
      </c>
      <c r="F21808">
        <v>0</v>
      </c>
      <c r="G21808">
        <v>0</v>
      </c>
      <c r="H21808">
        <v>2</v>
      </c>
      <c r="I21808" s="3">
        <v>243.96</v>
      </c>
      <c r="J21808" s="3">
        <v>4.07</v>
      </c>
      <c r="K21808" t="s">
        <v>47182</v>
      </c>
      <c r="L21808">
        <v>2409</v>
      </c>
      <c r="M21808" t="s">
        <v>9782</v>
      </c>
      <c r="N21808" t="s">
        <v>30</v>
      </c>
      <c r="O21808" t="s">
        <v>31</v>
      </c>
      <c r="P21808" t="str">
        <f>"15234"</f>
        <v>15234</v>
      </c>
    </row>
    <row r="21809" spans="1:16" x14ac:dyDescent="0.25">
      <c r="A21809" t="str">
        <f>"1320138B00139    00"</f>
        <v>1320138B00139    00</v>
      </c>
      <c r="B21809" t="s">
        <v>47180</v>
      </c>
      <c r="C21809" t="s">
        <v>47181</v>
      </c>
      <c r="D21809" t="s">
        <v>57</v>
      </c>
      <c r="E21809" t="s">
        <v>39</v>
      </c>
      <c r="F21809">
        <v>0</v>
      </c>
      <c r="G21809">
        <v>0</v>
      </c>
      <c r="H21809">
        <v>2</v>
      </c>
      <c r="I21809" s="3">
        <v>22.88</v>
      </c>
      <c r="J21809" s="3">
        <v>0.37</v>
      </c>
      <c r="K21809" t="s">
        <v>47182</v>
      </c>
      <c r="L21809">
        <v>2409</v>
      </c>
      <c r="M21809" t="s">
        <v>9782</v>
      </c>
      <c r="N21809" t="s">
        <v>30</v>
      </c>
      <c r="O21809" t="s">
        <v>31</v>
      </c>
      <c r="P21809" t="str">
        <f>"15234"</f>
        <v>15234</v>
      </c>
    </row>
    <row r="21810" spans="1:16" x14ac:dyDescent="0.25">
      <c r="A21810" t="str">
        <f>"1320138B00143    00"</f>
        <v>1320138B00143    00</v>
      </c>
      <c r="B21810" t="s">
        <v>47180</v>
      </c>
      <c r="C21810" t="s">
        <v>47181</v>
      </c>
      <c r="D21810" t="s">
        <v>57</v>
      </c>
      <c r="E21810" t="s">
        <v>21</v>
      </c>
      <c r="F21810">
        <v>0</v>
      </c>
      <c r="G21810">
        <v>0</v>
      </c>
      <c r="H21810">
        <v>2</v>
      </c>
      <c r="I21810" s="3">
        <v>3209.7</v>
      </c>
      <c r="J21810" s="3">
        <v>53.49</v>
      </c>
      <c r="K21810" t="s">
        <v>47182</v>
      </c>
      <c r="L21810">
        <v>2409</v>
      </c>
      <c r="M21810" t="s">
        <v>9782</v>
      </c>
      <c r="N21810" t="s">
        <v>30</v>
      </c>
      <c r="O21810" t="s">
        <v>31</v>
      </c>
      <c r="P21810" t="str">
        <f>"15234"</f>
        <v>15234</v>
      </c>
    </row>
    <row r="21811" spans="1:16" x14ac:dyDescent="0.25">
      <c r="A21811" t="str">
        <f>"1320138B00147    00"</f>
        <v>1320138B00147    00</v>
      </c>
      <c r="B21811" t="s">
        <v>47180</v>
      </c>
      <c r="C21811" t="s">
        <v>47181</v>
      </c>
      <c r="E21811" t="s">
        <v>21</v>
      </c>
      <c r="F21811">
        <v>0</v>
      </c>
      <c r="G21811">
        <v>0</v>
      </c>
      <c r="H21811">
        <v>3</v>
      </c>
      <c r="I21811" s="3">
        <v>3347.24</v>
      </c>
      <c r="J21811" s="3">
        <v>1456.97</v>
      </c>
      <c r="K21811" t="s">
        <v>47182</v>
      </c>
      <c r="L21811">
        <v>2409</v>
      </c>
      <c r="M21811" t="s">
        <v>9782</v>
      </c>
      <c r="N21811" t="s">
        <v>30</v>
      </c>
      <c r="O21811" t="s">
        <v>31</v>
      </c>
      <c r="P21811" t="str">
        <f>"15234"</f>
        <v>15234</v>
      </c>
    </row>
    <row r="21812" spans="1:16" x14ac:dyDescent="0.25">
      <c r="A21812" t="str">
        <f>"1320138B00159    00"</f>
        <v>1320138B00159    00</v>
      </c>
      <c r="B21812" t="s">
        <v>47183</v>
      </c>
      <c r="C21812" t="s">
        <v>47184</v>
      </c>
      <c r="D21812" t="s">
        <v>20</v>
      </c>
      <c r="E21812" t="s">
        <v>21</v>
      </c>
      <c r="F21812">
        <v>0</v>
      </c>
      <c r="G21812">
        <v>0</v>
      </c>
      <c r="H21812">
        <v>3</v>
      </c>
      <c r="I21812" s="3">
        <v>74631.42</v>
      </c>
      <c r="J21812" s="3">
        <v>4975.22</v>
      </c>
      <c r="K21812" t="s">
        <v>47185</v>
      </c>
      <c r="L21812">
        <v>900</v>
      </c>
      <c r="M21812" t="s">
        <v>585</v>
      </c>
      <c r="N21812" t="s">
        <v>30</v>
      </c>
      <c r="O21812" t="s">
        <v>31</v>
      </c>
      <c r="P21812" t="str">
        <f>"15221"</f>
        <v>15221</v>
      </c>
    </row>
    <row r="21813" spans="1:16" x14ac:dyDescent="0.25">
      <c r="A21813" t="str">
        <f>"1320138B00173    00"</f>
        <v>1320138B00173    00</v>
      </c>
      <c r="B21813" t="s">
        <v>47186</v>
      </c>
      <c r="C21813" t="s">
        <v>47187</v>
      </c>
      <c r="D21813" t="s">
        <v>20</v>
      </c>
      <c r="E21813" t="s">
        <v>39</v>
      </c>
      <c r="F21813">
        <v>0</v>
      </c>
      <c r="G21813">
        <v>0</v>
      </c>
      <c r="H21813">
        <v>12</v>
      </c>
      <c r="I21813" s="3">
        <v>1782.6</v>
      </c>
      <c r="J21813" s="3">
        <v>937.64</v>
      </c>
      <c r="L21813">
        <v>734</v>
      </c>
      <c r="M21813" t="s">
        <v>37304</v>
      </c>
      <c r="N21813" t="s">
        <v>30</v>
      </c>
      <c r="O21813" t="s">
        <v>31</v>
      </c>
      <c r="P21813" t="str">
        <f>"15227"</f>
        <v>15227</v>
      </c>
    </row>
    <row r="21814" spans="1:16" x14ac:dyDescent="0.25">
      <c r="A21814" t="str">
        <f>"1320138B00174    00"</f>
        <v>1320138B00174    00</v>
      </c>
      <c r="B21814" t="s">
        <v>47188</v>
      </c>
      <c r="C21814" t="s">
        <v>47187</v>
      </c>
      <c r="D21814" t="s">
        <v>20</v>
      </c>
      <c r="E21814" t="s">
        <v>39</v>
      </c>
      <c r="F21814">
        <v>0</v>
      </c>
      <c r="G21814">
        <v>0</v>
      </c>
      <c r="H21814">
        <v>11</v>
      </c>
      <c r="I21814" s="3">
        <v>2894.38</v>
      </c>
      <c r="J21814" s="3">
        <v>1666.85</v>
      </c>
      <c r="L21814">
        <v>734</v>
      </c>
      <c r="M21814" t="s">
        <v>37304</v>
      </c>
      <c r="N21814" t="s">
        <v>30</v>
      </c>
      <c r="O21814" t="s">
        <v>31</v>
      </c>
      <c r="P21814" t="str">
        <f>"15227"</f>
        <v>15227</v>
      </c>
    </row>
    <row r="21815" spans="1:16" x14ac:dyDescent="0.25">
      <c r="A21815" t="str">
        <f>"1320138B00186    00"</f>
        <v>1320138B00186    00</v>
      </c>
      <c r="B21815" t="s">
        <v>47186</v>
      </c>
      <c r="C21815" t="s">
        <v>47187</v>
      </c>
      <c r="D21815" t="s">
        <v>20</v>
      </c>
      <c r="E21815" t="s">
        <v>39</v>
      </c>
      <c r="F21815">
        <v>0</v>
      </c>
      <c r="G21815">
        <v>0</v>
      </c>
      <c r="H21815">
        <v>12</v>
      </c>
      <c r="I21815" s="3">
        <v>1188.3</v>
      </c>
      <c r="J21815" s="3">
        <v>625.04999999999995</v>
      </c>
      <c r="L21815">
        <v>734</v>
      </c>
      <c r="M21815" t="s">
        <v>37304</v>
      </c>
      <c r="N21815" t="s">
        <v>30</v>
      </c>
      <c r="O21815" t="s">
        <v>31</v>
      </c>
      <c r="P21815" t="str">
        <f>"15227"</f>
        <v>15227</v>
      </c>
    </row>
    <row r="21816" spans="1:16" x14ac:dyDescent="0.25">
      <c r="A21816" t="str">
        <f>"1320138B00188    00"</f>
        <v>1320138B00188    00</v>
      </c>
      <c r="B21816" t="s">
        <v>47186</v>
      </c>
      <c r="C21816" t="s">
        <v>47187</v>
      </c>
      <c r="D21816" t="s">
        <v>20</v>
      </c>
      <c r="E21816" t="s">
        <v>39</v>
      </c>
      <c r="F21816">
        <v>0</v>
      </c>
      <c r="G21816">
        <v>0</v>
      </c>
      <c r="H21816">
        <v>12</v>
      </c>
      <c r="I21816" s="3">
        <v>1144.3</v>
      </c>
      <c r="J21816" s="3">
        <v>601.91</v>
      </c>
      <c r="L21816">
        <v>734</v>
      </c>
      <c r="M21816" t="s">
        <v>37304</v>
      </c>
      <c r="N21816" t="s">
        <v>30</v>
      </c>
      <c r="O21816" t="s">
        <v>31</v>
      </c>
      <c r="P21816" t="str">
        <f>"15227"</f>
        <v>15227</v>
      </c>
    </row>
    <row r="21817" spans="1:16" x14ac:dyDescent="0.25">
      <c r="A21817" t="str">
        <f>"1320138B00208    00"</f>
        <v>1320138B00208    00</v>
      </c>
      <c r="B21817" t="s">
        <v>47189</v>
      </c>
      <c r="C21817" t="s">
        <v>47187</v>
      </c>
      <c r="E21817" t="s">
        <v>39</v>
      </c>
      <c r="F21817">
        <v>0</v>
      </c>
      <c r="G21817">
        <v>0</v>
      </c>
      <c r="H21817">
        <v>1</v>
      </c>
      <c r="I21817" s="3">
        <v>241.03</v>
      </c>
      <c r="J21817" s="3">
        <v>96.4</v>
      </c>
      <c r="K21817" t="s">
        <v>1632</v>
      </c>
      <c r="M21817" t="s">
        <v>1633</v>
      </c>
      <c r="N21817" t="s">
        <v>1634</v>
      </c>
      <c r="O21817" t="s">
        <v>25</v>
      </c>
      <c r="P21817" t="str">
        <f>"45401"</f>
        <v>45401</v>
      </c>
    </row>
    <row r="21818" spans="1:16" x14ac:dyDescent="0.25">
      <c r="A21818" t="str">
        <f>"1320138B00212    00"</f>
        <v>1320138B00212    00</v>
      </c>
      <c r="B21818" t="s">
        <v>47190</v>
      </c>
      <c r="C21818" t="s">
        <v>47187</v>
      </c>
      <c r="E21818" t="s">
        <v>39</v>
      </c>
      <c r="F21818">
        <v>0</v>
      </c>
      <c r="G21818">
        <v>0</v>
      </c>
      <c r="H21818">
        <v>1</v>
      </c>
      <c r="I21818" s="3">
        <v>241.03</v>
      </c>
      <c r="J21818" s="3">
        <v>96.4</v>
      </c>
      <c r="L21818">
        <v>702</v>
      </c>
      <c r="M21818" t="s">
        <v>37304</v>
      </c>
      <c r="N21818" t="s">
        <v>30</v>
      </c>
      <c r="O21818" t="s">
        <v>31</v>
      </c>
      <c r="P21818" t="str">
        <f>"15227"</f>
        <v>15227</v>
      </c>
    </row>
    <row r="21819" spans="1:16" x14ac:dyDescent="0.25">
      <c r="A21819" t="str">
        <f>"1320138B00225    00"</f>
        <v>1320138B00225    00</v>
      </c>
      <c r="B21819" t="s">
        <v>47190</v>
      </c>
      <c r="C21819" t="s">
        <v>47191</v>
      </c>
      <c r="E21819" t="s">
        <v>39</v>
      </c>
      <c r="F21819">
        <v>0</v>
      </c>
      <c r="G21819">
        <v>0</v>
      </c>
      <c r="H21819">
        <v>1</v>
      </c>
      <c r="I21819" s="3">
        <v>752.52</v>
      </c>
      <c r="J21819" s="3">
        <v>150.51</v>
      </c>
      <c r="K21819" t="s">
        <v>759</v>
      </c>
      <c r="L21819">
        <v>3001</v>
      </c>
      <c r="M21819" t="s">
        <v>404</v>
      </c>
      <c r="N21819" t="s">
        <v>331</v>
      </c>
      <c r="O21819" t="s">
        <v>108</v>
      </c>
      <c r="P21819" t="str">
        <f>"75063"</f>
        <v>75063</v>
      </c>
    </row>
    <row r="21820" spans="1:16" x14ac:dyDescent="0.25">
      <c r="A21820" t="str">
        <f>"1320138B00233    00"</f>
        <v>1320138B00233    00</v>
      </c>
      <c r="B21820" t="s">
        <v>47192</v>
      </c>
      <c r="C21820" t="s">
        <v>47193</v>
      </c>
      <c r="E21820" t="s">
        <v>39</v>
      </c>
      <c r="F21820">
        <v>0</v>
      </c>
      <c r="G21820">
        <v>0</v>
      </c>
      <c r="H21820">
        <v>2</v>
      </c>
      <c r="I21820" s="3">
        <v>2454.96</v>
      </c>
      <c r="J21820" s="3">
        <v>245.49</v>
      </c>
      <c r="K21820" t="s">
        <v>47194</v>
      </c>
      <c r="M21820" t="s">
        <v>47195</v>
      </c>
      <c r="N21820" t="s">
        <v>1474</v>
      </c>
      <c r="O21820" t="s">
        <v>31</v>
      </c>
      <c r="P21820" t="str">
        <f>"15017"</f>
        <v>15017</v>
      </c>
    </row>
    <row r="21821" spans="1:16" x14ac:dyDescent="0.25">
      <c r="A21821" t="str">
        <f>"1320138C00009    00"</f>
        <v>1320138C00009    00</v>
      </c>
      <c r="B21821" t="s">
        <v>47166</v>
      </c>
      <c r="C21821" t="s">
        <v>44509</v>
      </c>
      <c r="D21821" t="s">
        <v>20</v>
      </c>
      <c r="E21821" t="s">
        <v>39</v>
      </c>
      <c r="F21821">
        <v>0</v>
      </c>
      <c r="G21821">
        <v>0</v>
      </c>
      <c r="H21821">
        <v>1</v>
      </c>
      <c r="I21821" s="3">
        <v>57.18</v>
      </c>
      <c r="J21821" s="3">
        <v>0</v>
      </c>
      <c r="L21821">
        <v>1185</v>
      </c>
      <c r="M21821" t="s">
        <v>4537</v>
      </c>
      <c r="N21821" t="s">
        <v>30</v>
      </c>
      <c r="O21821" t="s">
        <v>31</v>
      </c>
      <c r="P21821" t="str">
        <f>"15220"</f>
        <v>15220</v>
      </c>
    </row>
    <row r="21822" spans="1:16" x14ac:dyDescent="0.25">
      <c r="A21822" t="str">
        <f>"1320138C00028    00"</f>
        <v>1320138C00028    00</v>
      </c>
      <c r="B21822" t="s">
        <v>47196</v>
      </c>
      <c r="C21822" t="s">
        <v>47197</v>
      </c>
      <c r="E21822" t="s">
        <v>39</v>
      </c>
      <c r="F21822">
        <v>0</v>
      </c>
      <c r="G21822">
        <v>0</v>
      </c>
      <c r="H21822">
        <v>1</v>
      </c>
      <c r="I21822" s="3">
        <v>224.5</v>
      </c>
      <c r="J21822" s="3">
        <v>0</v>
      </c>
      <c r="L21822">
        <v>800</v>
      </c>
      <c r="M21822" t="s">
        <v>17260</v>
      </c>
      <c r="N21822" t="s">
        <v>30</v>
      </c>
      <c r="O21822" t="s">
        <v>31</v>
      </c>
      <c r="P21822" t="str">
        <f>"15234"</f>
        <v>15234</v>
      </c>
    </row>
    <row r="21823" spans="1:16" x14ac:dyDescent="0.25">
      <c r="A21823" t="str">
        <f>"1320138C00036    00"</f>
        <v>1320138C00036    00</v>
      </c>
      <c r="B21823" t="s">
        <v>47198</v>
      </c>
      <c r="C21823" t="s">
        <v>47199</v>
      </c>
      <c r="D21823" t="s">
        <v>20</v>
      </c>
      <c r="E21823" t="s">
        <v>39</v>
      </c>
      <c r="F21823">
        <v>0</v>
      </c>
      <c r="G21823">
        <v>0</v>
      </c>
      <c r="H21823">
        <v>5</v>
      </c>
      <c r="I21823" s="3">
        <v>2238.1799999999998</v>
      </c>
      <c r="J21823" s="3">
        <v>416.69</v>
      </c>
      <c r="L21823">
        <v>528</v>
      </c>
      <c r="M21823" t="s">
        <v>1938</v>
      </c>
      <c r="N21823" t="s">
        <v>30</v>
      </c>
      <c r="O21823" t="s">
        <v>31</v>
      </c>
      <c r="P21823" t="str">
        <f>"15227"</f>
        <v>15227</v>
      </c>
    </row>
    <row r="21824" spans="1:16" x14ac:dyDescent="0.25">
      <c r="A21824" t="str">
        <f>"1320138C00041    00"</f>
        <v>1320138C00041    00</v>
      </c>
      <c r="B21824" t="s">
        <v>47200</v>
      </c>
      <c r="C21824" t="s">
        <v>47201</v>
      </c>
      <c r="D21824" t="s">
        <v>20</v>
      </c>
      <c r="E21824" t="s">
        <v>39</v>
      </c>
      <c r="F21824">
        <v>0</v>
      </c>
      <c r="G21824">
        <v>0</v>
      </c>
      <c r="H21824">
        <v>2</v>
      </c>
      <c r="I21824" s="3">
        <v>1114.8</v>
      </c>
      <c r="J21824" s="3">
        <v>0</v>
      </c>
      <c r="K21824" t="s">
        <v>9056</v>
      </c>
      <c r="L21824">
        <v>3001</v>
      </c>
      <c r="M21824" t="s">
        <v>404</v>
      </c>
      <c r="N21824" t="s">
        <v>331</v>
      </c>
      <c r="O21824" t="s">
        <v>108</v>
      </c>
      <c r="P21824" t="str">
        <f>"75063"</f>
        <v>75063</v>
      </c>
    </row>
    <row r="21825" spans="1:16" x14ac:dyDescent="0.25">
      <c r="A21825" t="str">
        <f>"1320138C00106    00"</f>
        <v>1320138C00106    00</v>
      </c>
      <c r="B21825" t="s">
        <v>47202</v>
      </c>
      <c r="C21825" t="s">
        <v>47203</v>
      </c>
      <c r="D21825" t="s">
        <v>20</v>
      </c>
      <c r="E21825" t="s">
        <v>39</v>
      </c>
      <c r="F21825">
        <v>0</v>
      </c>
      <c r="G21825">
        <v>0</v>
      </c>
      <c r="H21825">
        <v>1</v>
      </c>
      <c r="I21825" s="3">
        <v>800.52</v>
      </c>
      <c r="J21825" s="3">
        <v>0</v>
      </c>
      <c r="L21825">
        <v>1323</v>
      </c>
      <c r="M21825" t="s">
        <v>47204</v>
      </c>
      <c r="N21825" t="s">
        <v>30</v>
      </c>
      <c r="O21825" t="s">
        <v>31</v>
      </c>
      <c r="P21825" t="str">
        <f>"15227"</f>
        <v>15227</v>
      </c>
    </row>
    <row r="21826" spans="1:16" x14ac:dyDescent="0.25">
      <c r="A21826" t="str">
        <f>"1320138C00109    00"</f>
        <v>1320138C00109    00</v>
      </c>
      <c r="B21826" t="s">
        <v>47205</v>
      </c>
      <c r="C21826" t="s">
        <v>47206</v>
      </c>
      <c r="D21826" t="s">
        <v>20</v>
      </c>
      <c r="E21826" t="s">
        <v>39</v>
      </c>
      <c r="F21826">
        <v>0</v>
      </c>
      <c r="G21826">
        <v>0</v>
      </c>
      <c r="H21826">
        <v>2</v>
      </c>
      <c r="I21826" s="3">
        <v>1955.58</v>
      </c>
      <c r="J21826" s="3">
        <v>0</v>
      </c>
      <c r="L21826">
        <v>511</v>
      </c>
      <c r="M21826" t="s">
        <v>1938</v>
      </c>
      <c r="N21826" t="s">
        <v>30</v>
      </c>
      <c r="O21826" t="s">
        <v>31</v>
      </c>
      <c r="P21826" t="str">
        <f>"15227"</f>
        <v>15227</v>
      </c>
    </row>
    <row r="21827" spans="1:16" x14ac:dyDescent="0.25">
      <c r="A21827" t="str">
        <f>"1320138C00109000100"</f>
        <v>1320138C00109000100</v>
      </c>
      <c r="B21827" t="s">
        <v>47205</v>
      </c>
      <c r="C21827" t="s">
        <v>44509</v>
      </c>
      <c r="D21827" t="s">
        <v>20</v>
      </c>
      <c r="E21827" t="s">
        <v>39</v>
      </c>
      <c r="F21827">
        <v>0</v>
      </c>
      <c r="G21827">
        <v>0</v>
      </c>
      <c r="H21827">
        <v>2</v>
      </c>
      <c r="I21827" s="3">
        <v>41.96</v>
      </c>
      <c r="J21827" s="3">
        <v>0</v>
      </c>
      <c r="K21827" t="s">
        <v>47207</v>
      </c>
      <c r="L21827">
        <v>513</v>
      </c>
      <c r="M21827" t="s">
        <v>1938</v>
      </c>
      <c r="N21827" t="s">
        <v>30</v>
      </c>
      <c r="O21827" t="s">
        <v>31</v>
      </c>
      <c r="P21827" t="str">
        <f>"15227"</f>
        <v>15227</v>
      </c>
    </row>
    <row r="21828" spans="1:16" x14ac:dyDescent="0.25">
      <c r="A21828" t="str">
        <f>"1320138E00039    00"</f>
        <v>1320138E00039    00</v>
      </c>
      <c r="B21828" t="s">
        <v>47208</v>
      </c>
      <c r="C21828" t="s">
        <v>47209</v>
      </c>
      <c r="D21828" t="s">
        <v>20</v>
      </c>
      <c r="E21828" t="s">
        <v>21</v>
      </c>
      <c r="F21828">
        <v>0</v>
      </c>
      <c r="G21828">
        <v>0</v>
      </c>
      <c r="H21828">
        <v>2</v>
      </c>
      <c r="I21828" s="3">
        <v>4765.7700000000004</v>
      </c>
      <c r="J21828" s="3">
        <v>0</v>
      </c>
      <c r="L21828">
        <v>2522</v>
      </c>
      <c r="M21828" t="s">
        <v>47210</v>
      </c>
      <c r="N21828" t="s">
        <v>30</v>
      </c>
      <c r="O21828" t="s">
        <v>31</v>
      </c>
      <c r="P21828" t="str">
        <f>"15234"</f>
        <v>15234</v>
      </c>
    </row>
    <row r="21829" spans="1:16" x14ac:dyDescent="0.25">
      <c r="A21829" t="str">
        <f>"1320138E00040    00"</f>
        <v>1320138E00040    00</v>
      </c>
      <c r="B21829" t="s">
        <v>46701</v>
      </c>
      <c r="C21829" t="s">
        <v>47211</v>
      </c>
      <c r="D21829" t="s">
        <v>20</v>
      </c>
      <c r="E21829" t="s">
        <v>21</v>
      </c>
      <c r="F21829">
        <v>0</v>
      </c>
      <c r="G21829">
        <v>0</v>
      </c>
      <c r="H21829">
        <v>1</v>
      </c>
      <c r="I21829" s="3">
        <v>1759.25</v>
      </c>
      <c r="J21829" s="3">
        <v>0</v>
      </c>
      <c r="L21829">
        <v>1439</v>
      </c>
      <c r="M21829" t="s">
        <v>46703</v>
      </c>
      <c r="N21829" t="s">
        <v>30</v>
      </c>
      <c r="O21829" t="s">
        <v>31</v>
      </c>
      <c r="P21829" t="str">
        <f>"15234"</f>
        <v>15234</v>
      </c>
    </row>
    <row r="21830" spans="1:16" x14ac:dyDescent="0.25">
      <c r="A21830" t="str">
        <f>"1320138E00049    00"</f>
        <v>1320138E00049    00</v>
      </c>
      <c r="B21830" t="s">
        <v>47212</v>
      </c>
      <c r="C21830" t="s">
        <v>47213</v>
      </c>
      <c r="E21830" t="s">
        <v>21</v>
      </c>
      <c r="F21830">
        <v>0</v>
      </c>
      <c r="G21830">
        <v>0</v>
      </c>
      <c r="H21830">
        <v>1</v>
      </c>
      <c r="I21830" s="3">
        <v>4429.54</v>
      </c>
      <c r="J21830" s="3">
        <v>0</v>
      </c>
      <c r="L21830">
        <v>2155</v>
      </c>
      <c r="M21830" t="s">
        <v>47214</v>
      </c>
      <c r="N21830" t="s">
        <v>526</v>
      </c>
      <c r="O21830" t="s">
        <v>31</v>
      </c>
      <c r="P21830" t="str">
        <f>"15301"</f>
        <v>15301</v>
      </c>
    </row>
    <row r="21831" spans="1:16" x14ac:dyDescent="0.25">
      <c r="A21831" t="str">
        <f>"1320138E00093    00"</f>
        <v>1320138E00093    00</v>
      </c>
      <c r="B21831" t="s">
        <v>47215</v>
      </c>
      <c r="C21831" t="s">
        <v>47216</v>
      </c>
      <c r="D21831" t="s">
        <v>20</v>
      </c>
      <c r="E21831" t="s">
        <v>39</v>
      </c>
      <c r="F21831">
        <v>0</v>
      </c>
      <c r="G21831">
        <v>0</v>
      </c>
      <c r="H21831">
        <v>17</v>
      </c>
      <c r="I21831" s="3">
        <v>23067.02</v>
      </c>
      <c r="J21831" s="3">
        <v>17201.919999999998</v>
      </c>
      <c r="L21831">
        <v>66</v>
      </c>
      <c r="M21831" t="s">
        <v>14501</v>
      </c>
      <c r="N21831" t="s">
        <v>509</v>
      </c>
      <c r="O21831" t="s">
        <v>31</v>
      </c>
      <c r="P21831" t="str">
        <f>"19139"</f>
        <v>19139</v>
      </c>
    </row>
    <row r="21832" spans="1:16" x14ac:dyDescent="0.25">
      <c r="A21832" t="str">
        <f>"1320138E00111    00"</f>
        <v>1320138E00111    00</v>
      </c>
      <c r="B21832" t="s">
        <v>47217</v>
      </c>
      <c r="C21832" t="s">
        <v>47218</v>
      </c>
      <c r="D21832" t="s">
        <v>20</v>
      </c>
      <c r="E21832" t="s">
        <v>21</v>
      </c>
      <c r="F21832">
        <v>0</v>
      </c>
      <c r="G21832">
        <v>0</v>
      </c>
      <c r="H21832">
        <v>19</v>
      </c>
      <c r="I21832" s="3">
        <v>33966.32</v>
      </c>
      <c r="J21832" s="3">
        <v>43222.85</v>
      </c>
      <c r="K21832" t="s">
        <v>47219</v>
      </c>
      <c r="L21832">
        <v>2510</v>
      </c>
      <c r="M21832" t="s">
        <v>47220</v>
      </c>
      <c r="N21832" t="s">
        <v>30</v>
      </c>
      <c r="O21832" t="s">
        <v>31</v>
      </c>
      <c r="P21832" t="str">
        <f>"15234"</f>
        <v>15234</v>
      </c>
    </row>
    <row r="21833" spans="1:16" x14ac:dyDescent="0.25">
      <c r="A21833" t="str">
        <f>"1320138E00116    00"</f>
        <v>1320138E00116    00</v>
      </c>
      <c r="B21833" t="s">
        <v>47221</v>
      </c>
      <c r="C21833" t="s">
        <v>47222</v>
      </c>
      <c r="D21833" t="s">
        <v>20</v>
      </c>
      <c r="E21833" t="s">
        <v>21</v>
      </c>
      <c r="F21833">
        <v>0</v>
      </c>
      <c r="G21833">
        <v>0</v>
      </c>
      <c r="H21833">
        <v>1</v>
      </c>
      <c r="I21833" s="3">
        <v>52942.97</v>
      </c>
      <c r="J21833" s="3">
        <v>0</v>
      </c>
      <c r="K21833" t="s">
        <v>47223</v>
      </c>
      <c r="M21833" t="s">
        <v>47224</v>
      </c>
      <c r="N21833" t="s">
        <v>3623</v>
      </c>
      <c r="O21833" t="s">
        <v>31</v>
      </c>
      <c r="P21833" t="str">
        <f>"17105"</f>
        <v>17105</v>
      </c>
    </row>
    <row r="21834" spans="1:16" x14ac:dyDescent="0.25">
      <c r="A21834" t="str">
        <f>"1320138E00137    00"</f>
        <v>1320138E00137    00</v>
      </c>
      <c r="B21834" t="s">
        <v>47225</v>
      </c>
      <c r="C21834" t="s">
        <v>30456</v>
      </c>
      <c r="D21834" t="s">
        <v>20</v>
      </c>
      <c r="E21834" t="s">
        <v>21</v>
      </c>
      <c r="F21834">
        <v>0</v>
      </c>
      <c r="G21834">
        <v>0</v>
      </c>
      <c r="H21834">
        <v>1</v>
      </c>
      <c r="I21834" s="3">
        <v>47.66</v>
      </c>
      <c r="J21834" s="3">
        <v>0</v>
      </c>
      <c r="K21834" t="s">
        <v>47226</v>
      </c>
      <c r="L21834">
        <v>360</v>
      </c>
      <c r="M21834" t="s">
        <v>24061</v>
      </c>
      <c r="N21834" t="s">
        <v>30</v>
      </c>
      <c r="O21834" t="s">
        <v>31</v>
      </c>
      <c r="P21834" t="str">
        <f>"15236"</f>
        <v>15236</v>
      </c>
    </row>
    <row r="21835" spans="1:16" x14ac:dyDescent="0.25">
      <c r="A21835" t="str">
        <f>"1320138E00193    00"</f>
        <v>1320138E00193    00</v>
      </c>
      <c r="B21835" t="s">
        <v>47227</v>
      </c>
      <c r="C21835" t="s">
        <v>47228</v>
      </c>
      <c r="D21835" t="s">
        <v>20</v>
      </c>
      <c r="E21835" t="s">
        <v>39</v>
      </c>
      <c r="F21835">
        <v>0</v>
      </c>
      <c r="G21835">
        <v>0</v>
      </c>
      <c r="H21835">
        <v>3</v>
      </c>
      <c r="I21835" s="3">
        <v>3255.71</v>
      </c>
      <c r="J21835" s="3">
        <v>228.87</v>
      </c>
      <c r="L21835">
        <v>2505</v>
      </c>
      <c r="M21835" t="s">
        <v>24844</v>
      </c>
      <c r="N21835" t="s">
        <v>30</v>
      </c>
      <c r="O21835" t="s">
        <v>31</v>
      </c>
      <c r="P21835" t="str">
        <f>"15234"</f>
        <v>15234</v>
      </c>
    </row>
    <row r="21836" spans="1:16" x14ac:dyDescent="0.25">
      <c r="A21836" t="str">
        <f>"1320138E00195    00"</f>
        <v>1320138E00195    00</v>
      </c>
      <c r="B21836" t="s">
        <v>47229</v>
      </c>
      <c r="C21836" t="s">
        <v>47230</v>
      </c>
      <c r="D21836" t="s">
        <v>20</v>
      </c>
      <c r="E21836" t="s">
        <v>39</v>
      </c>
      <c r="F21836">
        <v>0</v>
      </c>
      <c r="G21836">
        <v>0</v>
      </c>
      <c r="H21836">
        <v>1</v>
      </c>
      <c r="I21836" s="3">
        <v>25.05</v>
      </c>
      <c r="J21836" s="3">
        <v>0</v>
      </c>
      <c r="K21836" t="s">
        <v>557</v>
      </c>
      <c r="L21836">
        <v>3001</v>
      </c>
      <c r="M21836" t="s">
        <v>330</v>
      </c>
      <c r="N21836" t="s">
        <v>331</v>
      </c>
      <c r="O21836" t="s">
        <v>108</v>
      </c>
      <c r="P21836" t="str">
        <f>"75063"</f>
        <v>75063</v>
      </c>
    </row>
    <row r="21837" spans="1:16" x14ac:dyDescent="0.25">
      <c r="A21837" t="str">
        <f>"1320138E00211    00"</f>
        <v>1320138E00211    00</v>
      </c>
      <c r="B21837" t="s">
        <v>47231</v>
      </c>
      <c r="C21837" t="s">
        <v>47232</v>
      </c>
      <c r="D21837" t="s">
        <v>20</v>
      </c>
      <c r="E21837" t="s">
        <v>39</v>
      </c>
      <c r="F21837">
        <v>0</v>
      </c>
      <c r="G21837">
        <v>0</v>
      </c>
      <c r="H21837">
        <v>2</v>
      </c>
      <c r="I21837" s="3">
        <v>1982.24</v>
      </c>
      <c r="J21837" s="3">
        <v>198.22</v>
      </c>
      <c r="K21837" t="s">
        <v>21764</v>
      </c>
      <c r="L21837">
        <v>412</v>
      </c>
      <c r="M21837" t="s">
        <v>21765</v>
      </c>
      <c r="N21837" t="s">
        <v>21766</v>
      </c>
      <c r="O21837" t="s">
        <v>31</v>
      </c>
      <c r="P21837" t="str">
        <f>"15801"</f>
        <v>15801</v>
      </c>
    </row>
    <row r="21838" spans="1:16" x14ac:dyDescent="0.25">
      <c r="A21838" t="str">
        <f>"1320138E00221    00"</f>
        <v>1320138E00221    00</v>
      </c>
      <c r="B21838" t="s">
        <v>47233</v>
      </c>
      <c r="C21838" t="s">
        <v>47234</v>
      </c>
      <c r="D21838" t="s">
        <v>20</v>
      </c>
      <c r="E21838" t="s">
        <v>39</v>
      </c>
      <c r="F21838">
        <v>0</v>
      </c>
      <c r="G21838">
        <v>0</v>
      </c>
      <c r="H21838">
        <v>10</v>
      </c>
      <c r="I21838" s="3">
        <v>6071.69</v>
      </c>
      <c r="J21838" s="3">
        <v>3220.7</v>
      </c>
      <c r="L21838">
        <v>2543</v>
      </c>
      <c r="M21838" t="s">
        <v>24844</v>
      </c>
      <c r="N21838" t="s">
        <v>30</v>
      </c>
      <c r="O21838" t="s">
        <v>31</v>
      </c>
      <c r="P21838" t="str">
        <f>"15234"</f>
        <v>15234</v>
      </c>
    </row>
    <row r="21839" spans="1:16" x14ac:dyDescent="0.25">
      <c r="A21839" t="str">
        <f>"1320138E00223    00"</f>
        <v>1320138E00223    00</v>
      </c>
      <c r="B21839" t="s">
        <v>47235</v>
      </c>
      <c r="C21839" t="s">
        <v>47234</v>
      </c>
      <c r="D21839" t="s">
        <v>20</v>
      </c>
      <c r="E21839" t="s">
        <v>39</v>
      </c>
      <c r="F21839">
        <v>0</v>
      </c>
      <c r="G21839">
        <v>0</v>
      </c>
      <c r="H21839">
        <v>15</v>
      </c>
      <c r="I21839" s="3">
        <v>9088.99</v>
      </c>
      <c r="J21839" s="3">
        <v>6290.95</v>
      </c>
      <c r="L21839">
        <v>235</v>
      </c>
      <c r="M21839" t="s">
        <v>23497</v>
      </c>
      <c r="N21839" t="s">
        <v>30</v>
      </c>
      <c r="O21839" t="s">
        <v>31</v>
      </c>
      <c r="P21839" t="str">
        <f>"15211"</f>
        <v>15211</v>
      </c>
    </row>
    <row r="21840" spans="1:16" x14ac:dyDescent="0.25">
      <c r="A21840" t="str">
        <f>"1320138E00286    00"</f>
        <v>1320138E00286    00</v>
      </c>
      <c r="B21840" t="s">
        <v>45756</v>
      </c>
      <c r="C21840" t="s">
        <v>47236</v>
      </c>
      <c r="D21840" t="s">
        <v>20</v>
      </c>
      <c r="E21840" t="s">
        <v>39</v>
      </c>
      <c r="F21840">
        <v>0</v>
      </c>
      <c r="G21840">
        <v>0</v>
      </c>
      <c r="H21840">
        <v>3</v>
      </c>
      <c r="I21840" s="3">
        <v>1114.21</v>
      </c>
      <c r="J21840" s="3">
        <v>5.87</v>
      </c>
      <c r="L21840">
        <v>2508</v>
      </c>
      <c r="M21840" t="s">
        <v>25952</v>
      </c>
      <c r="N21840" t="s">
        <v>30</v>
      </c>
      <c r="O21840" t="s">
        <v>31</v>
      </c>
      <c r="P21840" t="str">
        <f>"15234"</f>
        <v>15234</v>
      </c>
    </row>
    <row r="21841" spans="1:16" x14ac:dyDescent="0.25">
      <c r="A21841" t="str">
        <f>"1320138F00020    00"</f>
        <v>1320138F00020    00</v>
      </c>
      <c r="B21841" t="s">
        <v>47237</v>
      </c>
      <c r="C21841" t="s">
        <v>47238</v>
      </c>
      <c r="D21841" t="s">
        <v>20</v>
      </c>
      <c r="E21841" t="s">
        <v>21</v>
      </c>
      <c r="F21841">
        <v>0</v>
      </c>
      <c r="G21841">
        <v>0</v>
      </c>
      <c r="H21841">
        <v>5</v>
      </c>
      <c r="I21841" s="3">
        <v>15383.59</v>
      </c>
      <c r="J21841" s="3">
        <v>4155.13</v>
      </c>
      <c r="L21841">
        <v>2590</v>
      </c>
      <c r="M21841" t="s">
        <v>9782</v>
      </c>
      <c r="N21841" t="s">
        <v>30</v>
      </c>
      <c r="O21841" t="s">
        <v>31</v>
      </c>
      <c r="P21841" t="str">
        <f>"15234"</f>
        <v>15234</v>
      </c>
    </row>
    <row r="21842" spans="1:16" x14ac:dyDescent="0.25">
      <c r="A21842" t="str">
        <f>"1320138F00077    00"</f>
        <v>1320138F00077    00</v>
      </c>
      <c r="B21842" t="s">
        <v>47239</v>
      </c>
      <c r="C21842" t="s">
        <v>47240</v>
      </c>
      <c r="E21842" t="s">
        <v>39</v>
      </c>
      <c r="F21842">
        <v>0</v>
      </c>
      <c r="G21842">
        <v>0</v>
      </c>
      <c r="H21842">
        <v>1</v>
      </c>
      <c r="I21842" s="3">
        <v>886.97</v>
      </c>
      <c r="J21842" s="3">
        <v>968.24</v>
      </c>
      <c r="L21842">
        <v>2552</v>
      </c>
      <c r="M21842" t="s">
        <v>47241</v>
      </c>
      <c r="N21842" t="s">
        <v>30</v>
      </c>
      <c r="O21842" t="s">
        <v>31</v>
      </c>
      <c r="P21842" t="str">
        <f>"15227"</f>
        <v>15227</v>
      </c>
    </row>
    <row r="21843" spans="1:16" x14ac:dyDescent="0.25">
      <c r="A21843" t="str">
        <f>"1320138F00117    00"</f>
        <v>1320138F00117    00</v>
      </c>
      <c r="B21843" t="s">
        <v>47242</v>
      </c>
      <c r="C21843" t="s">
        <v>47243</v>
      </c>
      <c r="D21843" t="s">
        <v>20</v>
      </c>
      <c r="E21843" t="s">
        <v>39</v>
      </c>
      <c r="F21843">
        <v>0</v>
      </c>
      <c r="G21843">
        <v>0</v>
      </c>
      <c r="H21843">
        <v>9</v>
      </c>
      <c r="I21843" s="3">
        <v>8941.8700000000008</v>
      </c>
      <c r="J21843" s="3">
        <v>165.33</v>
      </c>
      <c r="L21843">
        <v>2138</v>
      </c>
      <c r="M21843" t="s">
        <v>46718</v>
      </c>
      <c r="N21843" t="s">
        <v>30</v>
      </c>
      <c r="O21843" t="s">
        <v>31</v>
      </c>
      <c r="P21843" t="str">
        <f>"15210"</f>
        <v>15210</v>
      </c>
    </row>
    <row r="21844" spans="1:16" x14ac:dyDescent="0.25">
      <c r="A21844" t="str">
        <f>"1320138F00121    00"</f>
        <v>1320138F00121    00</v>
      </c>
      <c r="B21844" t="s">
        <v>47244</v>
      </c>
      <c r="C21844" t="s">
        <v>47245</v>
      </c>
      <c r="D21844" t="s">
        <v>20</v>
      </c>
      <c r="E21844" t="s">
        <v>39</v>
      </c>
      <c r="F21844">
        <v>0</v>
      </c>
      <c r="G21844">
        <v>0</v>
      </c>
      <c r="H21844">
        <v>6</v>
      </c>
      <c r="I21844" s="3">
        <v>5932.2</v>
      </c>
      <c r="J21844" s="3">
        <v>1330.46</v>
      </c>
      <c r="M21844" t="s">
        <v>47246</v>
      </c>
      <c r="N21844" t="s">
        <v>30</v>
      </c>
      <c r="O21844" t="s">
        <v>31</v>
      </c>
      <c r="P21844" t="str">
        <f>"15227"</f>
        <v>15227</v>
      </c>
    </row>
    <row r="21845" spans="1:16" x14ac:dyDescent="0.25">
      <c r="A21845" t="str">
        <f>"1320138F00197    00"</f>
        <v>1320138F00197    00</v>
      </c>
      <c r="B21845" t="s">
        <v>47247</v>
      </c>
      <c r="C21845" t="s">
        <v>47248</v>
      </c>
      <c r="D21845" t="s">
        <v>20</v>
      </c>
      <c r="E21845" t="s">
        <v>39</v>
      </c>
      <c r="F21845">
        <v>0</v>
      </c>
      <c r="G21845">
        <v>0</v>
      </c>
      <c r="H21845">
        <v>2</v>
      </c>
      <c r="I21845" s="3">
        <v>147.54</v>
      </c>
      <c r="J21845" s="3">
        <v>1.63</v>
      </c>
      <c r="L21845">
        <v>149</v>
      </c>
      <c r="M21845" t="s">
        <v>24936</v>
      </c>
      <c r="N21845" t="s">
        <v>30</v>
      </c>
      <c r="O21845" t="s">
        <v>31</v>
      </c>
      <c r="P21845" t="str">
        <f>"15227"</f>
        <v>15227</v>
      </c>
    </row>
    <row r="21846" spans="1:16" x14ac:dyDescent="0.25">
      <c r="A21846" t="str">
        <f>"1320138F00220    00"</f>
        <v>1320138F00220    00</v>
      </c>
      <c r="B21846" t="s">
        <v>47249</v>
      </c>
      <c r="C21846" t="s">
        <v>47250</v>
      </c>
      <c r="D21846" t="s">
        <v>20</v>
      </c>
      <c r="E21846" t="s">
        <v>39</v>
      </c>
      <c r="F21846">
        <v>0</v>
      </c>
      <c r="G21846">
        <v>0</v>
      </c>
      <c r="H21846">
        <v>3</v>
      </c>
      <c r="I21846" s="3">
        <v>507.4</v>
      </c>
      <c r="J21846" s="3">
        <v>38.04</v>
      </c>
      <c r="L21846">
        <v>126</v>
      </c>
      <c r="M21846" t="s">
        <v>24936</v>
      </c>
      <c r="N21846" t="s">
        <v>30</v>
      </c>
      <c r="O21846" t="s">
        <v>31</v>
      </c>
      <c r="P21846" t="str">
        <f>"15227"</f>
        <v>15227</v>
      </c>
    </row>
    <row r="21847" spans="1:16" x14ac:dyDescent="0.25">
      <c r="A21847" t="str">
        <f>"1320138F00221    00"</f>
        <v>1320138F00221    00</v>
      </c>
      <c r="B21847" t="s">
        <v>47251</v>
      </c>
      <c r="C21847" t="s">
        <v>47252</v>
      </c>
      <c r="D21847" t="s">
        <v>20</v>
      </c>
      <c r="E21847" t="s">
        <v>39</v>
      </c>
      <c r="F21847">
        <v>0</v>
      </c>
      <c r="G21847">
        <v>0</v>
      </c>
      <c r="H21847">
        <v>3</v>
      </c>
      <c r="I21847" s="3">
        <v>1113.74</v>
      </c>
      <c r="J21847" s="3">
        <v>86.08</v>
      </c>
      <c r="L21847">
        <v>125</v>
      </c>
      <c r="M21847" t="s">
        <v>24936</v>
      </c>
      <c r="N21847" t="s">
        <v>30</v>
      </c>
      <c r="O21847" t="s">
        <v>31</v>
      </c>
      <c r="P21847" t="str">
        <f>"15227"</f>
        <v>15227</v>
      </c>
    </row>
    <row r="21848" spans="1:16" x14ac:dyDescent="0.25">
      <c r="A21848" t="str">
        <f>"1320138F00247    00"</f>
        <v>1320138F00247    00</v>
      </c>
      <c r="B21848" t="s">
        <v>47253</v>
      </c>
      <c r="C21848" t="s">
        <v>47254</v>
      </c>
      <c r="E21848" t="s">
        <v>39</v>
      </c>
      <c r="F21848">
        <v>0</v>
      </c>
      <c r="G21848">
        <v>0</v>
      </c>
      <c r="H21848">
        <v>1</v>
      </c>
      <c r="I21848" s="3">
        <v>155.71</v>
      </c>
      <c r="J21848" s="3">
        <v>0</v>
      </c>
      <c r="L21848">
        <v>101</v>
      </c>
      <c r="M21848" t="s">
        <v>43431</v>
      </c>
      <c r="N21848" t="s">
        <v>30</v>
      </c>
      <c r="O21848" t="s">
        <v>31</v>
      </c>
      <c r="P21848" t="str">
        <f>"15227"</f>
        <v>15227</v>
      </c>
    </row>
    <row r="21849" spans="1:16" x14ac:dyDescent="0.25">
      <c r="A21849" t="str">
        <f>"1320138F00254    00"</f>
        <v>1320138F00254    00</v>
      </c>
      <c r="B21849" t="s">
        <v>47255</v>
      </c>
      <c r="C21849" t="s">
        <v>47256</v>
      </c>
      <c r="D21849" t="s">
        <v>20</v>
      </c>
      <c r="E21849" t="s">
        <v>39</v>
      </c>
      <c r="F21849">
        <v>0</v>
      </c>
      <c r="G21849">
        <v>0</v>
      </c>
      <c r="H21849">
        <v>4</v>
      </c>
      <c r="I21849" s="3">
        <v>1874.05</v>
      </c>
      <c r="J21849" s="3">
        <v>223.38</v>
      </c>
      <c r="K21849" t="s">
        <v>2570</v>
      </c>
      <c r="L21849">
        <v>901</v>
      </c>
      <c r="M21849" t="s">
        <v>1503</v>
      </c>
      <c r="N21849" t="s">
        <v>494</v>
      </c>
      <c r="O21849" t="s">
        <v>495</v>
      </c>
      <c r="P21849" t="str">
        <f>"91768"</f>
        <v>91768</v>
      </c>
    </row>
    <row r="21850" spans="1:16" x14ac:dyDescent="0.25">
      <c r="A21850" t="str">
        <f>"1320138F00272    00"</f>
        <v>1320138F00272    00</v>
      </c>
      <c r="B21850" t="s">
        <v>47257</v>
      </c>
      <c r="C21850" t="s">
        <v>47258</v>
      </c>
      <c r="D21850" t="s">
        <v>20</v>
      </c>
      <c r="E21850" t="s">
        <v>39</v>
      </c>
      <c r="F21850">
        <v>0</v>
      </c>
      <c r="G21850">
        <v>0</v>
      </c>
      <c r="H21850">
        <v>1</v>
      </c>
      <c r="I21850" s="3">
        <v>1568.65</v>
      </c>
      <c r="J21850" s="3">
        <v>0</v>
      </c>
      <c r="K21850" t="s">
        <v>47259</v>
      </c>
      <c r="L21850">
        <v>7</v>
      </c>
      <c r="M21850" t="s">
        <v>43431</v>
      </c>
      <c r="N21850" t="s">
        <v>30</v>
      </c>
      <c r="O21850" t="s">
        <v>31</v>
      </c>
      <c r="P21850" t="str">
        <f>"15227"</f>
        <v>15227</v>
      </c>
    </row>
    <row r="21851" spans="1:16" x14ac:dyDescent="0.25">
      <c r="A21851" t="str">
        <f>"1320138H00160    00"</f>
        <v>1320138H00160    00</v>
      </c>
      <c r="B21851" t="s">
        <v>47260</v>
      </c>
      <c r="C21851" t="s">
        <v>47261</v>
      </c>
      <c r="D21851" t="s">
        <v>20</v>
      </c>
      <c r="E21851" t="s">
        <v>39</v>
      </c>
      <c r="F21851">
        <v>0</v>
      </c>
      <c r="G21851">
        <v>0</v>
      </c>
      <c r="H21851">
        <v>1</v>
      </c>
      <c r="I21851" s="3">
        <v>475.06</v>
      </c>
      <c r="J21851" s="3">
        <v>0</v>
      </c>
      <c r="K21851" t="s">
        <v>47262</v>
      </c>
      <c r="L21851">
        <v>272</v>
      </c>
      <c r="M21851" t="s">
        <v>23379</v>
      </c>
      <c r="N21851" t="s">
        <v>30</v>
      </c>
      <c r="O21851" t="s">
        <v>31</v>
      </c>
      <c r="P21851" t="str">
        <f>"15227"</f>
        <v>15227</v>
      </c>
    </row>
    <row r="21852" spans="1:16" x14ac:dyDescent="0.25">
      <c r="A21852" t="str">
        <f>"1320138H00188    00"</f>
        <v>1320138H00188    00</v>
      </c>
      <c r="B21852" t="s">
        <v>47263</v>
      </c>
      <c r="C21852" t="s">
        <v>47264</v>
      </c>
      <c r="E21852" t="s">
        <v>39</v>
      </c>
      <c r="F21852">
        <v>0</v>
      </c>
      <c r="G21852">
        <v>0</v>
      </c>
      <c r="H21852">
        <v>1</v>
      </c>
      <c r="I21852" s="3">
        <v>343.01</v>
      </c>
      <c r="J21852" s="3">
        <v>0</v>
      </c>
      <c r="K21852" t="s">
        <v>47265</v>
      </c>
      <c r="L21852">
        <v>2929</v>
      </c>
      <c r="M21852" t="s">
        <v>47266</v>
      </c>
      <c r="N21852" t="s">
        <v>30</v>
      </c>
      <c r="O21852" t="s">
        <v>31</v>
      </c>
      <c r="P21852" t="str">
        <f>"15227"</f>
        <v>15227</v>
      </c>
    </row>
    <row r="21853" spans="1:16" x14ac:dyDescent="0.25">
      <c r="A21853" t="str">
        <f>"1320138J00001    00"</f>
        <v>1320138J00001    00</v>
      </c>
      <c r="B21853" t="s">
        <v>47267</v>
      </c>
      <c r="C21853" t="s">
        <v>47268</v>
      </c>
      <c r="D21853" t="s">
        <v>20</v>
      </c>
      <c r="E21853" t="s">
        <v>39</v>
      </c>
      <c r="F21853">
        <v>0</v>
      </c>
      <c r="G21853">
        <v>0</v>
      </c>
      <c r="H21853">
        <v>2</v>
      </c>
      <c r="I21853" s="3">
        <v>48.26</v>
      </c>
      <c r="J21853" s="3">
        <v>0</v>
      </c>
      <c r="K21853" t="s">
        <v>47269</v>
      </c>
      <c r="L21853">
        <v>2559</v>
      </c>
      <c r="M21853" t="s">
        <v>24844</v>
      </c>
      <c r="N21853" t="s">
        <v>30</v>
      </c>
      <c r="O21853" t="s">
        <v>31</v>
      </c>
      <c r="P21853" t="str">
        <f>"15234"</f>
        <v>15234</v>
      </c>
    </row>
    <row r="21854" spans="1:16" x14ac:dyDescent="0.25">
      <c r="A21854" t="str">
        <f>"1320138J00043    00"</f>
        <v>1320138J00043    00</v>
      </c>
      <c r="B21854" t="s">
        <v>47270</v>
      </c>
      <c r="C21854" t="s">
        <v>47271</v>
      </c>
      <c r="D21854" t="s">
        <v>20</v>
      </c>
      <c r="E21854" t="s">
        <v>39</v>
      </c>
      <c r="F21854">
        <v>0</v>
      </c>
      <c r="G21854">
        <v>0</v>
      </c>
      <c r="H21854">
        <v>4</v>
      </c>
      <c r="I21854" s="3">
        <v>3817.5</v>
      </c>
      <c r="J21854" s="3">
        <v>201.94</v>
      </c>
      <c r="L21854">
        <v>2533</v>
      </c>
      <c r="M21854" t="s">
        <v>25952</v>
      </c>
      <c r="N21854" t="s">
        <v>30</v>
      </c>
      <c r="O21854" t="s">
        <v>31</v>
      </c>
      <c r="P21854" t="str">
        <f>"15234"</f>
        <v>15234</v>
      </c>
    </row>
    <row r="21855" spans="1:16" x14ac:dyDescent="0.25">
      <c r="A21855" t="str">
        <f>"1320138J00190    00"</f>
        <v>1320138J00190    00</v>
      </c>
      <c r="B21855" t="s">
        <v>47272</v>
      </c>
      <c r="C21855" t="s">
        <v>47273</v>
      </c>
      <c r="E21855" t="s">
        <v>39</v>
      </c>
      <c r="F21855">
        <v>0</v>
      </c>
      <c r="G21855">
        <v>0</v>
      </c>
      <c r="H21855">
        <v>4</v>
      </c>
      <c r="I21855" s="3">
        <v>1869.3</v>
      </c>
      <c r="J21855" s="3">
        <v>314.22000000000003</v>
      </c>
      <c r="L21855">
        <v>2349</v>
      </c>
      <c r="M21855" t="s">
        <v>26586</v>
      </c>
      <c r="N21855" t="s">
        <v>30</v>
      </c>
      <c r="O21855" t="s">
        <v>31</v>
      </c>
      <c r="P21855" t="str">
        <f>"15234"</f>
        <v>15234</v>
      </c>
    </row>
    <row r="21856" spans="1:16" x14ac:dyDescent="0.25">
      <c r="A21856" t="str">
        <f>"1320138J00293    00"</f>
        <v>1320138J00293    00</v>
      </c>
      <c r="B21856" t="s">
        <v>47274</v>
      </c>
      <c r="C21856" t="s">
        <v>47275</v>
      </c>
      <c r="D21856" t="s">
        <v>20</v>
      </c>
      <c r="E21856" t="s">
        <v>39</v>
      </c>
      <c r="F21856">
        <v>0</v>
      </c>
      <c r="G21856">
        <v>0</v>
      </c>
      <c r="H21856">
        <v>4</v>
      </c>
      <c r="I21856" s="3">
        <v>2773.68</v>
      </c>
      <c r="J21856" s="3">
        <v>408.21</v>
      </c>
      <c r="L21856">
        <v>2426</v>
      </c>
      <c r="M21856" t="s">
        <v>26586</v>
      </c>
      <c r="N21856" t="s">
        <v>30</v>
      </c>
      <c r="O21856" t="s">
        <v>31</v>
      </c>
      <c r="P21856" t="str">
        <f>"15234"</f>
        <v>15234</v>
      </c>
    </row>
    <row r="21857" spans="1:16" x14ac:dyDescent="0.25">
      <c r="A21857" t="str">
        <f>"1320138J00384    00"</f>
        <v>1320138J00384    00</v>
      </c>
      <c r="B21857" t="s">
        <v>47276</v>
      </c>
      <c r="C21857" t="s">
        <v>47277</v>
      </c>
      <c r="E21857" t="s">
        <v>39</v>
      </c>
      <c r="F21857">
        <v>0</v>
      </c>
      <c r="G21857">
        <v>0</v>
      </c>
      <c r="H21857">
        <v>2</v>
      </c>
      <c r="I21857" s="3">
        <v>1259.8399999999999</v>
      </c>
      <c r="J21857" s="3">
        <v>858.71</v>
      </c>
      <c r="K21857" t="s">
        <v>7017</v>
      </c>
      <c r="L21857">
        <v>585</v>
      </c>
      <c r="M21857" t="s">
        <v>47278</v>
      </c>
      <c r="N21857" t="s">
        <v>47279</v>
      </c>
      <c r="O21857" t="s">
        <v>70</v>
      </c>
      <c r="P21857" t="str">
        <f>"48341"</f>
        <v>48341</v>
      </c>
    </row>
    <row r="21858" spans="1:16" x14ac:dyDescent="0.25">
      <c r="A21858" t="str">
        <f>"1320138K00057    00"</f>
        <v>1320138K00057    00</v>
      </c>
      <c r="B21858" t="s">
        <v>47280</v>
      </c>
      <c r="C21858" t="s">
        <v>47281</v>
      </c>
      <c r="D21858" t="s">
        <v>20</v>
      </c>
      <c r="E21858" t="s">
        <v>39</v>
      </c>
      <c r="F21858">
        <v>0</v>
      </c>
      <c r="G21858">
        <v>0</v>
      </c>
      <c r="H21858">
        <v>3</v>
      </c>
      <c r="I21858" s="3">
        <v>7124.64</v>
      </c>
      <c r="J21858" s="3">
        <v>474.96</v>
      </c>
      <c r="L21858">
        <v>196</v>
      </c>
      <c r="M21858" t="s">
        <v>28582</v>
      </c>
      <c r="N21858" t="s">
        <v>30</v>
      </c>
      <c r="O21858" t="s">
        <v>31</v>
      </c>
      <c r="P21858" t="str">
        <f>"15227"</f>
        <v>15227</v>
      </c>
    </row>
    <row r="21859" spans="1:16" x14ac:dyDescent="0.25">
      <c r="A21859" t="str">
        <f>"1320138K00065    00"</f>
        <v>1320138K00065    00</v>
      </c>
      <c r="B21859" t="s">
        <v>24076</v>
      </c>
      <c r="C21859" t="s">
        <v>47282</v>
      </c>
      <c r="D21859" t="s">
        <v>20</v>
      </c>
      <c r="E21859" t="s">
        <v>290</v>
      </c>
      <c r="F21859">
        <v>0</v>
      </c>
      <c r="G21859">
        <v>0</v>
      </c>
      <c r="H21859">
        <v>1</v>
      </c>
      <c r="I21859" s="3">
        <v>482.23</v>
      </c>
      <c r="J21859" s="3">
        <v>0</v>
      </c>
      <c r="L21859">
        <v>2351</v>
      </c>
      <c r="M21859" t="s">
        <v>9782</v>
      </c>
      <c r="N21859" t="s">
        <v>30</v>
      </c>
      <c r="O21859" t="s">
        <v>31</v>
      </c>
      <c r="P21859" t="str">
        <f>"15210"</f>
        <v>15210</v>
      </c>
    </row>
    <row r="21860" spans="1:16" x14ac:dyDescent="0.25">
      <c r="A21860" t="str">
        <f>"1320138K00074    00"</f>
        <v>1320138K00074    00</v>
      </c>
      <c r="B21860" t="s">
        <v>24076</v>
      </c>
      <c r="C21860" t="s">
        <v>47283</v>
      </c>
      <c r="D21860" t="s">
        <v>20</v>
      </c>
      <c r="E21860" t="s">
        <v>21</v>
      </c>
      <c r="F21860">
        <v>0</v>
      </c>
      <c r="G21860">
        <v>0</v>
      </c>
      <c r="H21860">
        <v>1</v>
      </c>
      <c r="I21860" s="3">
        <v>446</v>
      </c>
      <c r="J21860" s="3">
        <v>0</v>
      </c>
      <c r="L21860">
        <v>2351</v>
      </c>
      <c r="M21860" t="s">
        <v>9782</v>
      </c>
      <c r="N21860" t="s">
        <v>30</v>
      </c>
      <c r="O21860" t="s">
        <v>31</v>
      </c>
      <c r="P21860" t="str">
        <f>"15210"</f>
        <v>15210</v>
      </c>
    </row>
    <row r="21861" spans="1:16" x14ac:dyDescent="0.25">
      <c r="A21861" t="str">
        <f>"1320138K00095    00"</f>
        <v>1320138K00095    00</v>
      </c>
      <c r="B21861" t="s">
        <v>47237</v>
      </c>
      <c r="C21861" t="s">
        <v>47284</v>
      </c>
      <c r="D21861" t="s">
        <v>20</v>
      </c>
      <c r="E21861" t="s">
        <v>39</v>
      </c>
      <c r="F21861">
        <v>0</v>
      </c>
      <c r="G21861">
        <v>0</v>
      </c>
      <c r="H21861">
        <v>5</v>
      </c>
      <c r="I21861" s="3">
        <v>4606.34</v>
      </c>
      <c r="J21861" s="3">
        <v>1206.46</v>
      </c>
      <c r="L21861">
        <v>2590</v>
      </c>
      <c r="M21861" t="s">
        <v>9782</v>
      </c>
      <c r="N21861" t="s">
        <v>30</v>
      </c>
      <c r="O21861" t="s">
        <v>31</v>
      </c>
      <c r="P21861" t="str">
        <f>"15234"</f>
        <v>15234</v>
      </c>
    </row>
    <row r="21862" spans="1:16" x14ac:dyDescent="0.25">
      <c r="A21862" t="str">
        <f>"1320138M00001    00"</f>
        <v>1320138M00001    00</v>
      </c>
      <c r="B21862" t="s">
        <v>47285</v>
      </c>
      <c r="C21862" t="s">
        <v>47286</v>
      </c>
      <c r="D21862" t="s">
        <v>20</v>
      </c>
      <c r="E21862" t="s">
        <v>21</v>
      </c>
      <c r="F21862">
        <v>0</v>
      </c>
      <c r="G21862">
        <v>0</v>
      </c>
      <c r="H21862">
        <v>1</v>
      </c>
      <c r="I21862" s="3">
        <v>1530.53</v>
      </c>
      <c r="J21862" s="3">
        <v>0</v>
      </c>
      <c r="K21862" t="s">
        <v>47287</v>
      </c>
      <c r="M21862" t="s">
        <v>47288</v>
      </c>
      <c r="N21862" t="s">
        <v>30</v>
      </c>
      <c r="O21862" t="s">
        <v>31</v>
      </c>
      <c r="P21862" t="str">
        <f>"15217"</f>
        <v>15217</v>
      </c>
    </row>
    <row r="21863" spans="1:16" x14ac:dyDescent="0.25">
      <c r="A21863" t="str">
        <f>"1320138P00004    00"</f>
        <v>1320138P00004    00</v>
      </c>
      <c r="B21863" t="s">
        <v>47289</v>
      </c>
      <c r="C21863" t="s">
        <v>47290</v>
      </c>
      <c r="D21863" t="s">
        <v>20</v>
      </c>
      <c r="E21863" t="s">
        <v>39</v>
      </c>
      <c r="F21863">
        <v>0</v>
      </c>
      <c r="G21863">
        <v>0</v>
      </c>
      <c r="H21863">
        <v>9</v>
      </c>
      <c r="I21863" s="3">
        <v>7777.8</v>
      </c>
      <c r="J21863" s="3">
        <v>2887.07</v>
      </c>
      <c r="L21863">
        <v>2312</v>
      </c>
      <c r="M21863" t="s">
        <v>24844</v>
      </c>
      <c r="N21863" t="s">
        <v>30</v>
      </c>
      <c r="O21863" t="s">
        <v>31</v>
      </c>
      <c r="P21863" t="str">
        <f>"15234"</f>
        <v>15234</v>
      </c>
    </row>
    <row r="21864" spans="1:16" x14ac:dyDescent="0.25">
      <c r="A21864" t="str">
        <f>"1320138P00026    00"</f>
        <v>1320138P00026    00</v>
      </c>
      <c r="B21864" t="s">
        <v>47291</v>
      </c>
      <c r="C21864" t="s">
        <v>47292</v>
      </c>
      <c r="D21864" t="s">
        <v>20</v>
      </c>
      <c r="E21864" t="s">
        <v>39</v>
      </c>
      <c r="F21864">
        <v>0</v>
      </c>
      <c r="G21864">
        <v>0</v>
      </c>
      <c r="H21864">
        <v>3</v>
      </c>
      <c r="I21864" s="3">
        <v>2841.87</v>
      </c>
      <c r="J21864" s="3">
        <v>189.45</v>
      </c>
      <c r="L21864">
        <v>220</v>
      </c>
      <c r="M21864" t="s">
        <v>28582</v>
      </c>
      <c r="N21864" t="s">
        <v>30</v>
      </c>
      <c r="O21864" t="s">
        <v>31</v>
      </c>
      <c r="P21864" t="str">
        <f>"15227"</f>
        <v>15227</v>
      </c>
    </row>
    <row r="21865" spans="1:16" x14ac:dyDescent="0.25">
      <c r="A21865" t="str">
        <f>"1320138P00039    00"</f>
        <v>1320138P00039    00</v>
      </c>
      <c r="B21865" t="s">
        <v>47293</v>
      </c>
      <c r="C21865" t="s">
        <v>47294</v>
      </c>
      <c r="E21865" t="s">
        <v>39</v>
      </c>
      <c r="F21865">
        <v>0</v>
      </c>
      <c r="G21865">
        <v>0</v>
      </c>
      <c r="H21865">
        <v>1</v>
      </c>
      <c r="I21865" s="3">
        <v>234.96</v>
      </c>
      <c r="J21865" s="3">
        <v>0</v>
      </c>
      <c r="L21865">
        <v>226</v>
      </c>
      <c r="M21865" t="s">
        <v>28582</v>
      </c>
      <c r="N21865" t="s">
        <v>30</v>
      </c>
      <c r="O21865" t="s">
        <v>31</v>
      </c>
      <c r="P21865" t="str">
        <f>"15227"</f>
        <v>15227</v>
      </c>
    </row>
    <row r="21866" spans="1:16" x14ac:dyDescent="0.25">
      <c r="A21866" t="str">
        <f>"1320138P00041    00"</f>
        <v>1320138P00041    00</v>
      </c>
      <c r="B21866" t="s">
        <v>47295</v>
      </c>
      <c r="C21866" t="s">
        <v>47296</v>
      </c>
      <c r="D21866" t="s">
        <v>20</v>
      </c>
      <c r="E21866" t="s">
        <v>39</v>
      </c>
      <c r="F21866">
        <v>0</v>
      </c>
      <c r="G21866">
        <v>0</v>
      </c>
      <c r="H21866">
        <v>2</v>
      </c>
      <c r="I21866" s="3">
        <v>1489.15</v>
      </c>
      <c r="J21866" s="3">
        <v>0</v>
      </c>
      <c r="K21866" t="s">
        <v>759</v>
      </c>
      <c r="L21866">
        <v>3001</v>
      </c>
      <c r="M21866" t="s">
        <v>404</v>
      </c>
      <c r="N21866" t="s">
        <v>331</v>
      </c>
      <c r="O21866" t="s">
        <v>108</v>
      </c>
      <c r="P21866" t="str">
        <f>"75063"</f>
        <v>75063</v>
      </c>
    </row>
    <row r="21867" spans="1:16" x14ac:dyDescent="0.25">
      <c r="A21867" t="str">
        <f>"1320139B00218    00"</f>
        <v>1320139B00218    00</v>
      </c>
      <c r="B21867" t="s">
        <v>47297</v>
      </c>
      <c r="C21867" t="s">
        <v>47298</v>
      </c>
      <c r="D21867" t="s">
        <v>20</v>
      </c>
      <c r="E21867" t="s">
        <v>39</v>
      </c>
      <c r="F21867">
        <v>0</v>
      </c>
      <c r="G21867">
        <v>0</v>
      </c>
      <c r="H21867">
        <v>8</v>
      </c>
      <c r="I21867" s="3">
        <v>8784.48</v>
      </c>
      <c r="J21867" s="3">
        <v>2628.16</v>
      </c>
      <c r="L21867">
        <v>1361</v>
      </c>
      <c r="M21867" t="s">
        <v>25230</v>
      </c>
      <c r="N21867" t="s">
        <v>3934</v>
      </c>
      <c r="O21867" t="s">
        <v>31</v>
      </c>
      <c r="P21867" t="str">
        <f>"15102"</f>
        <v>15102</v>
      </c>
    </row>
    <row r="21868" spans="1:16" x14ac:dyDescent="0.25">
      <c r="A21868" t="str">
        <f>"1320139B00258    00"</f>
        <v>1320139B00258    00</v>
      </c>
      <c r="B21868" t="s">
        <v>47299</v>
      </c>
      <c r="C21868" t="s">
        <v>47300</v>
      </c>
      <c r="D21868" t="s">
        <v>20</v>
      </c>
      <c r="E21868" t="s">
        <v>39</v>
      </c>
      <c r="F21868">
        <v>0</v>
      </c>
      <c r="G21868">
        <v>0</v>
      </c>
      <c r="H21868">
        <v>3</v>
      </c>
      <c r="I21868" s="3">
        <v>1760.56</v>
      </c>
      <c r="J21868" s="3">
        <v>190.51</v>
      </c>
      <c r="L21868">
        <v>1913</v>
      </c>
      <c r="M21868" t="s">
        <v>47301</v>
      </c>
      <c r="N21868" t="s">
        <v>30</v>
      </c>
      <c r="O21868" t="s">
        <v>31</v>
      </c>
      <c r="P21868" t="str">
        <f>"15226"</f>
        <v>15226</v>
      </c>
    </row>
    <row r="21869" spans="1:16" x14ac:dyDescent="0.25">
      <c r="A21869" t="str">
        <f>"1320139B00322    00"</f>
        <v>1320139B00322    00</v>
      </c>
      <c r="B21869" t="s">
        <v>47302</v>
      </c>
      <c r="C21869" t="s">
        <v>47303</v>
      </c>
      <c r="D21869" t="s">
        <v>20</v>
      </c>
      <c r="E21869" t="s">
        <v>39</v>
      </c>
      <c r="F21869">
        <v>0</v>
      </c>
      <c r="G21869">
        <v>0</v>
      </c>
      <c r="H21869">
        <v>3</v>
      </c>
      <c r="I21869" s="3">
        <v>993.77</v>
      </c>
      <c r="J21869" s="3">
        <v>157.28</v>
      </c>
      <c r="L21869">
        <v>2485</v>
      </c>
      <c r="M21869" t="s">
        <v>29273</v>
      </c>
      <c r="N21869" t="s">
        <v>30</v>
      </c>
      <c r="O21869" t="s">
        <v>31</v>
      </c>
      <c r="P21869" t="str">
        <f>"15226"</f>
        <v>15226</v>
      </c>
    </row>
    <row r="21870" spans="1:16" x14ac:dyDescent="0.25">
      <c r="A21870" t="str">
        <f>"1320139B00338    00"</f>
        <v>1320139B00338    00</v>
      </c>
      <c r="B21870" t="s">
        <v>47304</v>
      </c>
      <c r="C21870" t="s">
        <v>47305</v>
      </c>
      <c r="E21870" t="s">
        <v>39</v>
      </c>
      <c r="F21870">
        <v>0</v>
      </c>
      <c r="G21870">
        <v>0</v>
      </c>
      <c r="H21870">
        <v>2</v>
      </c>
      <c r="I21870" s="3">
        <v>1120.3699999999999</v>
      </c>
      <c r="J21870" s="3">
        <v>25.53</v>
      </c>
      <c r="K21870" t="s">
        <v>909</v>
      </c>
      <c r="L21870">
        <v>3001</v>
      </c>
      <c r="M21870" t="s">
        <v>330</v>
      </c>
      <c r="N21870" t="s">
        <v>331</v>
      </c>
      <c r="O21870" t="s">
        <v>108</v>
      </c>
      <c r="P21870" t="str">
        <f>"75063"</f>
        <v>75063</v>
      </c>
    </row>
    <row r="21871" spans="1:16" x14ac:dyDescent="0.25">
      <c r="A21871" t="str">
        <f>"1320139C00250    00"</f>
        <v>1320139C00250    00</v>
      </c>
      <c r="B21871" t="s">
        <v>47306</v>
      </c>
      <c r="C21871" t="s">
        <v>47307</v>
      </c>
      <c r="D21871" t="s">
        <v>20</v>
      </c>
      <c r="E21871" t="s">
        <v>39</v>
      </c>
      <c r="F21871">
        <v>0</v>
      </c>
      <c r="G21871">
        <v>0</v>
      </c>
      <c r="H21871">
        <v>4</v>
      </c>
      <c r="I21871" s="3">
        <v>4891.4799999999996</v>
      </c>
      <c r="J21871" s="3">
        <v>503.04</v>
      </c>
      <c r="L21871">
        <v>1758</v>
      </c>
      <c r="M21871" t="s">
        <v>24691</v>
      </c>
      <c r="N21871" t="s">
        <v>30</v>
      </c>
      <c r="O21871" t="s">
        <v>31</v>
      </c>
      <c r="P21871" t="str">
        <f>"15226"</f>
        <v>15226</v>
      </c>
    </row>
    <row r="21872" spans="1:16" x14ac:dyDescent="0.25">
      <c r="A21872" t="str">
        <f>"1320139C00266    00"</f>
        <v>1320139C00266    00</v>
      </c>
      <c r="B21872" t="s">
        <v>47308</v>
      </c>
      <c r="C21872" t="s">
        <v>47309</v>
      </c>
      <c r="E21872" t="s">
        <v>39</v>
      </c>
      <c r="F21872">
        <v>0</v>
      </c>
      <c r="G21872">
        <v>0</v>
      </c>
      <c r="H21872">
        <v>10</v>
      </c>
      <c r="I21872" s="3">
        <v>19800.009999999998</v>
      </c>
      <c r="J21872" s="3">
        <v>27146.3</v>
      </c>
      <c r="L21872">
        <v>1798</v>
      </c>
      <c r="M21872" t="s">
        <v>24691</v>
      </c>
      <c r="N21872" t="s">
        <v>30</v>
      </c>
      <c r="O21872" t="s">
        <v>31</v>
      </c>
      <c r="P21872" t="str">
        <f>"15226"</f>
        <v>15226</v>
      </c>
    </row>
    <row r="21873" spans="1:16" x14ac:dyDescent="0.25">
      <c r="A21873" t="str">
        <f>"1320139C00288    00"</f>
        <v>1320139C00288    00</v>
      </c>
      <c r="B21873" t="s">
        <v>47310</v>
      </c>
      <c r="C21873" t="s">
        <v>47311</v>
      </c>
      <c r="D21873" t="s">
        <v>20</v>
      </c>
      <c r="E21873" t="s">
        <v>39</v>
      </c>
      <c r="F21873">
        <v>0</v>
      </c>
      <c r="G21873">
        <v>0</v>
      </c>
      <c r="H21873">
        <v>3</v>
      </c>
      <c r="I21873" s="3">
        <v>2340.94</v>
      </c>
      <c r="J21873" s="3">
        <v>128.68</v>
      </c>
      <c r="K21873" t="s">
        <v>47312</v>
      </c>
      <c r="L21873">
        <v>1792</v>
      </c>
      <c r="M21873" t="s">
        <v>47091</v>
      </c>
      <c r="N21873" t="s">
        <v>30</v>
      </c>
      <c r="O21873" t="s">
        <v>31</v>
      </c>
      <c r="P21873" t="str">
        <f>"15226"</f>
        <v>15226</v>
      </c>
    </row>
    <row r="21874" spans="1:16" x14ac:dyDescent="0.25">
      <c r="A21874" t="str">
        <f>"1320139D00062    00"</f>
        <v>1320139D00062    00</v>
      </c>
      <c r="B21874" t="s">
        <v>47313</v>
      </c>
      <c r="C21874" t="s">
        <v>47314</v>
      </c>
      <c r="E21874" t="s">
        <v>39</v>
      </c>
      <c r="F21874">
        <v>0</v>
      </c>
      <c r="G21874">
        <v>0</v>
      </c>
      <c r="H21874">
        <v>1</v>
      </c>
      <c r="I21874" s="3">
        <v>535.41999999999996</v>
      </c>
      <c r="J21874" s="3">
        <v>0</v>
      </c>
      <c r="K21874" t="s">
        <v>47315</v>
      </c>
      <c r="L21874">
        <v>300</v>
      </c>
      <c r="M21874" t="s">
        <v>47139</v>
      </c>
      <c r="N21874" t="s">
        <v>30</v>
      </c>
      <c r="O21874" t="s">
        <v>31</v>
      </c>
      <c r="P21874" t="str">
        <f>"15234"</f>
        <v>15234</v>
      </c>
    </row>
    <row r="21875" spans="1:16" x14ac:dyDescent="0.25">
      <c r="A21875" t="str">
        <f>"1320139D00073    00"</f>
        <v>1320139D00073    00</v>
      </c>
      <c r="B21875" t="s">
        <v>47316</v>
      </c>
      <c r="C21875" t="s">
        <v>47099</v>
      </c>
      <c r="D21875" t="s">
        <v>20</v>
      </c>
      <c r="E21875" t="s">
        <v>39</v>
      </c>
      <c r="F21875">
        <v>0</v>
      </c>
      <c r="G21875">
        <v>0</v>
      </c>
      <c r="H21875">
        <v>4</v>
      </c>
      <c r="I21875" s="3">
        <v>626.20000000000005</v>
      </c>
      <c r="J21875" s="3">
        <v>77.12</v>
      </c>
      <c r="K21875" t="s">
        <v>47317</v>
      </c>
      <c r="L21875">
        <v>2370</v>
      </c>
      <c r="M21875" t="s">
        <v>47103</v>
      </c>
      <c r="N21875" t="s">
        <v>30</v>
      </c>
      <c r="O21875" t="s">
        <v>31</v>
      </c>
      <c r="P21875" t="str">
        <f>"15234"</f>
        <v>15234</v>
      </c>
    </row>
    <row r="21876" spans="1:16" x14ac:dyDescent="0.25">
      <c r="A21876" t="str">
        <f>"1320139D00090    00"</f>
        <v>1320139D00090    00</v>
      </c>
      <c r="B21876" t="s">
        <v>47318</v>
      </c>
      <c r="C21876" t="s">
        <v>47319</v>
      </c>
      <c r="E21876" t="s">
        <v>39</v>
      </c>
      <c r="F21876">
        <v>0</v>
      </c>
      <c r="G21876">
        <v>0</v>
      </c>
      <c r="H21876">
        <v>1</v>
      </c>
      <c r="I21876" s="3">
        <v>2576.29</v>
      </c>
      <c r="J21876" s="3">
        <v>772.86</v>
      </c>
      <c r="K21876" t="s">
        <v>4877</v>
      </c>
      <c r="L21876">
        <v>1</v>
      </c>
      <c r="M21876" t="s">
        <v>4878</v>
      </c>
      <c r="N21876" t="s">
        <v>4879</v>
      </c>
      <c r="O21876" t="s">
        <v>31</v>
      </c>
      <c r="P21876" t="str">
        <f>"19428"</f>
        <v>19428</v>
      </c>
    </row>
    <row r="21877" spans="1:16" x14ac:dyDescent="0.25">
      <c r="A21877" t="str">
        <f>"1320139D00105    00"</f>
        <v>1320139D00105    00</v>
      </c>
      <c r="B21877" t="s">
        <v>47320</v>
      </c>
      <c r="C21877" t="s">
        <v>47321</v>
      </c>
      <c r="E21877" t="s">
        <v>39</v>
      </c>
      <c r="F21877">
        <v>0</v>
      </c>
      <c r="G21877">
        <v>0</v>
      </c>
      <c r="H21877">
        <v>1</v>
      </c>
      <c r="I21877" s="3">
        <v>301.06</v>
      </c>
      <c r="J21877" s="3">
        <v>60.21</v>
      </c>
      <c r="L21877">
        <v>271</v>
      </c>
      <c r="M21877" t="s">
        <v>47322</v>
      </c>
      <c r="N21877" t="s">
        <v>30</v>
      </c>
      <c r="O21877" t="s">
        <v>31</v>
      </c>
      <c r="P21877" t="str">
        <f>"15234"</f>
        <v>15234</v>
      </c>
    </row>
    <row r="21878" spans="1:16" x14ac:dyDescent="0.25">
      <c r="A21878" t="str">
        <f>"1320139D00134    00"</f>
        <v>1320139D00134    00</v>
      </c>
      <c r="B21878" t="s">
        <v>47323</v>
      </c>
      <c r="C21878" t="s">
        <v>47324</v>
      </c>
      <c r="E21878" t="s">
        <v>39</v>
      </c>
      <c r="F21878">
        <v>0</v>
      </c>
      <c r="G21878">
        <v>0</v>
      </c>
      <c r="H21878">
        <v>1</v>
      </c>
      <c r="I21878" s="3">
        <v>322.45</v>
      </c>
      <c r="J21878" s="3">
        <v>0</v>
      </c>
      <c r="L21878">
        <v>232</v>
      </c>
      <c r="M21878" t="s">
        <v>47139</v>
      </c>
      <c r="N21878" t="s">
        <v>30</v>
      </c>
      <c r="O21878" t="s">
        <v>31</v>
      </c>
      <c r="P21878" t="str">
        <f>"15234"</f>
        <v>15234</v>
      </c>
    </row>
    <row r="21879" spans="1:16" x14ac:dyDescent="0.25">
      <c r="A21879" t="str">
        <f>"1320139D00168    00"</f>
        <v>1320139D00168    00</v>
      </c>
      <c r="B21879" t="s">
        <v>47325</v>
      </c>
      <c r="C21879" t="s">
        <v>47326</v>
      </c>
      <c r="D21879" t="s">
        <v>20</v>
      </c>
      <c r="E21879" t="s">
        <v>39</v>
      </c>
      <c r="F21879">
        <v>0</v>
      </c>
      <c r="G21879">
        <v>0</v>
      </c>
      <c r="H21879">
        <v>1</v>
      </c>
      <c r="I21879" s="3">
        <v>890.56</v>
      </c>
      <c r="J21879" s="3">
        <v>0</v>
      </c>
      <c r="K21879" t="s">
        <v>403</v>
      </c>
      <c r="L21879">
        <v>3001</v>
      </c>
      <c r="M21879" t="s">
        <v>404</v>
      </c>
      <c r="N21879" t="s">
        <v>331</v>
      </c>
      <c r="O21879" t="s">
        <v>108</v>
      </c>
      <c r="P21879" t="str">
        <f>"75063"</f>
        <v>75063</v>
      </c>
    </row>
    <row r="21880" spans="1:16" x14ac:dyDescent="0.25">
      <c r="A21880" t="str">
        <f>"1320139D00258    00"</f>
        <v>1320139D00258    00</v>
      </c>
      <c r="B21880" t="s">
        <v>47327</v>
      </c>
      <c r="C21880" t="s">
        <v>47328</v>
      </c>
      <c r="D21880" t="s">
        <v>20</v>
      </c>
      <c r="E21880" t="s">
        <v>39</v>
      </c>
      <c r="F21880">
        <v>0</v>
      </c>
      <c r="G21880">
        <v>0</v>
      </c>
      <c r="H21880">
        <v>1</v>
      </c>
      <c r="I21880" s="3">
        <v>1507.66</v>
      </c>
      <c r="J21880" s="3">
        <v>0</v>
      </c>
      <c r="K21880" t="s">
        <v>47329</v>
      </c>
      <c r="L21880">
        <v>212</v>
      </c>
      <c r="M21880" t="s">
        <v>47330</v>
      </c>
      <c r="N21880" t="s">
        <v>30</v>
      </c>
      <c r="O21880" t="s">
        <v>31</v>
      </c>
      <c r="P21880" t="str">
        <f>"15234"</f>
        <v>15234</v>
      </c>
    </row>
    <row r="21881" spans="1:16" x14ac:dyDescent="0.25">
      <c r="A21881" t="str">
        <f>"1320139D00282    00"</f>
        <v>1320139D00282    00</v>
      </c>
      <c r="B21881" t="s">
        <v>47331</v>
      </c>
      <c r="C21881" t="s">
        <v>47332</v>
      </c>
      <c r="D21881" t="s">
        <v>20</v>
      </c>
      <c r="E21881" t="s">
        <v>39</v>
      </c>
      <c r="F21881">
        <v>0</v>
      </c>
      <c r="G21881">
        <v>0</v>
      </c>
      <c r="H21881">
        <v>1</v>
      </c>
      <c r="I21881" s="3">
        <v>266.2</v>
      </c>
      <c r="J21881" s="3">
        <v>0</v>
      </c>
      <c r="L21881">
        <v>2406</v>
      </c>
      <c r="M21881" t="s">
        <v>47333</v>
      </c>
      <c r="N21881" t="s">
        <v>30</v>
      </c>
      <c r="O21881" t="s">
        <v>31</v>
      </c>
      <c r="P21881" t="str">
        <f>"15234"</f>
        <v>15234</v>
      </c>
    </row>
    <row r="21882" spans="1:16" x14ac:dyDescent="0.25">
      <c r="A21882" t="str">
        <f>"1320139D00307    00"</f>
        <v>1320139D00307    00</v>
      </c>
      <c r="B21882" t="s">
        <v>47334</v>
      </c>
      <c r="C21882" t="s">
        <v>47335</v>
      </c>
      <c r="D21882" t="s">
        <v>20</v>
      </c>
      <c r="E21882" t="s">
        <v>39</v>
      </c>
      <c r="F21882">
        <v>0</v>
      </c>
      <c r="G21882">
        <v>0</v>
      </c>
      <c r="H21882">
        <v>2</v>
      </c>
      <c r="I21882" s="3">
        <v>286.95999999999998</v>
      </c>
      <c r="J21882" s="3">
        <v>0</v>
      </c>
      <c r="K21882" t="s">
        <v>47336</v>
      </c>
      <c r="L21882">
        <v>2372</v>
      </c>
      <c r="M21882" t="s">
        <v>1665</v>
      </c>
      <c r="N21882" t="s">
        <v>30</v>
      </c>
      <c r="O21882" t="s">
        <v>31</v>
      </c>
      <c r="P21882" t="str">
        <f>"15234"</f>
        <v>15234</v>
      </c>
    </row>
    <row r="21883" spans="1:16" x14ac:dyDescent="0.25">
      <c r="A21883" t="str">
        <f>"1320139D00354    00"</f>
        <v>1320139D00354    00</v>
      </c>
      <c r="B21883" t="s">
        <v>47337</v>
      </c>
      <c r="C21883" t="s">
        <v>47338</v>
      </c>
      <c r="E21883" t="s">
        <v>39</v>
      </c>
      <c r="F21883">
        <v>0</v>
      </c>
      <c r="G21883">
        <v>0</v>
      </c>
      <c r="H21883">
        <v>1</v>
      </c>
      <c r="I21883" s="3">
        <v>236.58</v>
      </c>
      <c r="J21883" s="3">
        <v>0</v>
      </c>
      <c r="L21883">
        <v>208</v>
      </c>
      <c r="M21883" t="s">
        <v>47339</v>
      </c>
      <c r="N21883" t="s">
        <v>30</v>
      </c>
      <c r="O21883" t="s">
        <v>31</v>
      </c>
      <c r="P21883" t="str">
        <f>"15234"</f>
        <v>15234</v>
      </c>
    </row>
    <row r="21884" spans="1:16" x14ac:dyDescent="0.25">
      <c r="A21884" t="str">
        <f>"1320139D00355    00"</f>
        <v>1320139D00355    00</v>
      </c>
      <c r="B21884" t="s">
        <v>47340</v>
      </c>
      <c r="C21884" t="s">
        <v>47341</v>
      </c>
      <c r="D21884" t="s">
        <v>20</v>
      </c>
      <c r="E21884" t="s">
        <v>39</v>
      </c>
      <c r="F21884">
        <v>0</v>
      </c>
      <c r="G21884">
        <v>0</v>
      </c>
      <c r="H21884">
        <v>5</v>
      </c>
      <c r="I21884" s="3">
        <v>6725.91</v>
      </c>
      <c r="J21884" s="3">
        <v>1161.99</v>
      </c>
      <c r="L21884">
        <v>22</v>
      </c>
      <c r="M21884" t="s">
        <v>47342</v>
      </c>
      <c r="N21884" t="s">
        <v>1210</v>
      </c>
      <c r="O21884" t="s">
        <v>495</v>
      </c>
      <c r="P21884" t="str">
        <f>"94103"</f>
        <v>94103</v>
      </c>
    </row>
    <row r="21885" spans="1:16" x14ac:dyDescent="0.25">
      <c r="A21885" t="str">
        <f>"1320139F00008    00"</f>
        <v>1320139F00008    00</v>
      </c>
      <c r="B21885" t="s">
        <v>28817</v>
      </c>
      <c r="C21885" t="s">
        <v>47343</v>
      </c>
      <c r="D21885" t="s">
        <v>20</v>
      </c>
      <c r="E21885" t="s">
        <v>39</v>
      </c>
      <c r="F21885">
        <v>0</v>
      </c>
      <c r="G21885">
        <v>0</v>
      </c>
      <c r="H21885">
        <v>1</v>
      </c>
      <c r="I21885" s="3">
        <v>1902.19</v>
      </c>
      <c r="J21885" s="3">
        <v>0</v>
      </c>
      <c r="K21885" t="s">
        <v>28819</v>
      </c>
      <c r="L21885">
        <v>2351</v>
      </c>
      <c r="M21885" t="s">
        <v>9782</v>
      </c>
      <c r="N21885" t="s">
        <v>30</v>
      </c>
      <c r="O21885" t="s">
        <v>31</v>
      </c>
      <c r="P21885" t="str">
        <f>"15210"</f>
        <v>15210</v>
      </c>
    </row>
    <row r="21886" spans="1:16" x14ac:dyDescent="0.25">
      <c r="A21886" t="str">
        <f>"1320139F00067    00"</f>
        <v>1320139F00067    00</v>
      </c>
      <c r="B21886" t="s">
        <v>47344</v>
      </c>
      <c r="C21886" t="s">
        <v>47345</v>
      </c>
      <c r="D21886" t="s">
        <v>20</v>
      </c>
      <c r="E21886" t="s">
        <v>39</v>
      </c>
      <c r="F21886">
        <v>0</v>
      </c>
      <c r="G21886">
        <v>0</v>
      </c>
      <c r="H21886">
        <v>1</v>
      </c>
      <c r="I21886" s="3">
        <v>28.3</v>
      </c>
      <c r="J21886" s="3">
        <v>0</v>
      </c>
      <c r="K21886" t="s">
        <v>6303</v>
      </c>
      <c r="L21886">
        <v>8050</v>
      </c>
      <c r="M21886" t="s">
        <v>6304</v>
      </c>
      <c r="N21886" t="s">
        <v>2008</v>
      </c>
      <c r="O21886" t="s">
        <v>31</v>
      </c>
      <c r="P21886" t="str">
        <f>"16066"</f>
        <v>16066</v>
      </c>
    </row>
    <row r="21887" spans="1:16" x14ac:dyDescent="0.25">
      <c r="A21887" t="str">
        <f>"1320139F00113    00"</f>
        <v>1320139F00113    00</v>
      </c>
      <c r="B21887" t="s">
        <v>47346</v>
      </c>
      <c r="C21887" t="s">
        <v>47347</v>
      </c>
      <c r="E21887" t="s">
        <v>39</v>
      </c>
      <c r="F21887">
        <v>0</v>
      </c>
      <c r="G21887">
        <v>0</v>
      </c>
      <c r="H21887">
        <v>1</v>
      </c>
      <c r="I21887" s="3">
        <v>233.47</v>
      </c>
      <c r="J21887" s="3">
        <v>64.489999999999995</v>
      </c>
      <c r="K21887" t="s">
        <v>16191</v>
      </c>
      <c r="L21887">
        <v>88</v>
      </c>
      <c r="M21887" t="s">
        <v>7693</v>
      </c>
      <c r="N21887" t="s">
        <v>7694</v>
      </c>
      <c r="O21887" t="s">
        <v>7695</v>
      </c>
      <c r="P21887" t="str">
        <f>"40601"</f>
        <v>40601</v>
      </c>
    </row>
    <row r="21888" spans="1:16" x14ac:dyDescent="0.25">
      <c r="A21888" t="str">
        <f>"1320139F00123    00"</f>
        <v>1320139F00123    00</v>
      </c>
      <c r="B21888" t="s">
        <v>47348</v>
      </c>
      <c r="C21888" t="s">
        <v>47349</v>
      </c>
      <c r="E21888" t="s">
        <v>39</v>
      </c>
      <c r="F21888">
        <v>0</v>
      </c>
      <c r="G21888">
        <v>0</v>
      </c>
      <c r="H21888">
        <v>1</v>
      </c>
      <c r="I21888" s="3">
        <v>2166.15</v>
      </c>
      <c r="J21888" s="3">
        <v>2418.77</v>
      </c>
      <c r="L21888">
        <v>123</v>
      </c>
      <c r="M21888" t="s">
        <v>30044</v>
      </c>
      <c r="N21888" t="s">
        <v>30</v>
      </c>
      <c r="O21888" t="s">
        <v>31</v>
      </c>
      <c r="P21888" t="str">
        <f>"15226"</f>
        <v>15226</v>
      </c>
    </row>
    <row r="21889" spans="1:16" x14ac:dyDescent="0.25">
      <c r="A21889" t="str">
        <f>"1320139F00141    00"</f>
        <v>1320139F00141    00</v>
      </c>
      <c r="B21889" t="s">
        <v>47350</v>
      </c>
      <c r="C21889" t="s">
        <v>47351</v>
      </c>
      <c r="E21889" t="s">
        <v>39</v>
      </c>
      <c r="F21889">
        <v>0</v>
      </c>
      <c r="G21889">
        <v>0</v>
      </c>
      <c r="H21889">
        <v>1</v>
      </c>
      <c r="I21889" s="3">
        <v>531.25</v>
      </c>
      <c r="J21889" s="3">
        <v>146.09</v>
      </c>
      <c r="L21889">
        <v>106</v>
      </c>
      <c r="M21889" t="s">
        <v>30044</v>
      </c>
      <c r="N21889" t="s">
        <v>30</v>
      </c>
      <c r="O21889" t="s">
        <v>31</v>
      </c>
      <c r="P21889" t="str">
        <f>"15226"</f>
        <v>15226</v>
      </c>
    </row>
    <row r="21890" spans="1:16" x14ac:dyDescent="0.25">
      <c r="A21890" t="str">
        <f>"1320139H00027    00"</f>
        <v>1320139H00027    00</v>
      </c>
      <c r="B21890" t="s">
        <v>47352</v>
      </c>
      <c r="C21890" t="s">
        <v>47353</v>
      </c>
      <c r="D21890" t="s">
        <v>20</v>
      </c>
      <c r="E21890" t="s">
        <v>39</v>
      </c>
      <c r="F21890">
        <v>0</v>
      </c>
      <c r="G21890">
        <v>0</v>
      </c>
      <c r="H21890">
        <v>1</v>
      </c>
      <c r="I21890" s="3">
        <v>23.9</v>
      </c>
      <c r="J21890" s="3">
        <v>0</v>
      </c>
      <c r="L21890">
        <v>323</v>
      </c>
      <c r="M21890" t="s">
        <v>47139</v>
      </c>
      <c r="N21890" t="s">
        <v>30</v>
      </c>
      <c r="O21890" t="s">
        <v>31</v>
      </c>
      <c r="P21890" t="str">
        <f>"15234"</f>
        <v>15234</v>
      </c>
    </row>
    <row r="21891" spans="1:16" x14ac:dyDescent="0.25">
      <c r="A21891" t="str">
        <f>"1320139H00080    00"</f>
        <v>1320139H00080    00</v>
      </c>
      <c r="B21891" t="s">
        <v>47354</v>
      </c>
      <c r="C21891" t="s">
        <v>47355</v>
      </c>
      <c r="D21891" t="s">
        <v>57</v>
      </c>
      <c r="E21891" t="s">
        <v>39</v>
      </c>
      <c r="F21891">
        <v>0</v>
      </c>
      <c r="G21891">
        <v>0</v>
      </c>
      <c r="H21891">
        <v>1</v>
      </c>
      <c r="I21891" s="3">
        <v>27.47</v>
      </c>
      <c r="J21891" s="3">
        <v>6.64</v>
      </c>
      <c r="L21891">
        <v>300</v>
      </c>
      <c r="M21891" t="s">
        <v>47339</v>
      </c>
      <c r="N21891" t="s">
        <v>30</v>
      </c>
      <c r="O21891" t="s">
        <v>31</v>
      </c>
      <c r="P21891" t="str">
        <f>"15234"</f>
        <v>15234</v>
      </c>
    </row>
    <row r="21892" spans="1:16" x14ac:dyDescent="0.25">
      <c r="A21892" t="str">
        <f>"1320139H00137    00"</f>
        <v>1320139H00137    00</v>
      </c>
      <c r="B21892" t="s">
        <v>47352</v>
      </c>
      <c r="C21892" t="s">
        <v>47356</v>
      </c>
      <c r="E21892" t="s">
        <v>39</v>
      </c>
      <c r="F21892">
        <v>0</v>
      </c>
      <c r="G21892">
        <v>0</v>
      </c>
      <c r="H21892">
        <v>7</v>
      </c>
      <c r="I21892" s="3">
        <v>179.44</v>
      </c>
      <c r="J21892" s="3">
        <v>34.39</v>
      </c>
      <c r="L21892">
        <v>323</v>
      </c>
      <c r="M21892" t="s">
        <v>47139</v>
      </c>
      <c r="N21892" t="s">
        <v>30</v>
      </c>
      <c r="O21892" t="s">
        <v>31</v>
      </c>
      <c r="P21892" t="str">
        <f>"15234"</f>
        <v>15234</v>
      </c>
    </row>
    <row r="21893" spans="1:16" x14ac:dyDescent="0.25">
      <c r="A21893" t="str">
        <f>"1320139M00075    00"</f>
        <v>1320139M00075    00</v>
      </c>
      <c r="B21893" t="s">
        <v>47357</v>
      </c>
      <c r="C21893" t="s">
        <v>47358</v>
      </c>
      <c r="D21893" t="s">
        <v>20</v>
      </c>
      <c r="E21893" t="s">
        <v>39</v>
      </c>
      <c r="F21893">
        <v>0</v>
      </c>
      <c r="G21893">
        <v>0</v>
      </c>
      <c r="H21893">
        <v>2</v>
      </c>
      <c r="I21893" s="3">
        <v>964.46</v>
      </c>
      <c r="J21893" s="3">
        <v>0</v>
      </c>
      <c r="L21893">
        <v>311</v>
      </c>
      <c r="M21893" t="s">
        <v>47359</v>
      </c>
      <c r="N21893" t="s">
        <v>47360</v>
      </c>
      <c r="O21893" t="s">
        <v>554</v>
      </c>
      <c r="P21893" t="str">
        <f>"26547"</f>
        <v>26547</v>
      </c>
    </row>
    <row r="21894" spans="1:16" x14ac:dyDescent="0.25">
      <c r="A21894" t="str">
        <f>"1320139M00076    00"</f>
        <v>1320139M00076    00</v>
      </c>
      <c r="B21894" t="s">
        <v>47361</v>
      </c>
      <c r="C21894" t="s">
        <v>47362</v>
      </c>
      <c r="D21894" t="s">
        <v>20</v>
      </c>
      <c r="E21894" t="s">
        <v>39</v>
      </c>
      <c r="F21894">
        <v>0</v>
      </c>
      <c r="G21894">
        <v>0</v>
      </c>
      <c r="H21894">
        <v>4</v>
      </c>
      <c r="I21894" s="3">
        <v>1822.48</v>
      </c>
      <c r="J21894" s="3">
        <v>245.31</v>
      </c>
      <c r="L21894">
        <v>2646</v>
      </c>
      <c r="M21894" t="s">
        <v>47210</v>
      </c>
      <c r="N21894" t="s">
        <v>30</v>
      </c>
      <c r="O21894" t="s">
        <v>31</v>
      </c>
      <c r="P21894" t="str">
        <f>"15234"</f>
        <v>15234</v>
      </c>
    </row>
    <row r="21895" spans="1:16" x14ac:dyDescent="0.25">
      <c r="A21895" t="str">
        <f>"1320139M00118    00"</f>
        <v>1320139M00118    00</v>
      </c>
      <c r="B21895" t="s">
        <v>47363</v>
      </c>
      <c r="C21895" t="s">
        <v>47234</v>
      </c>
      <c r="D21895" t="s">
        <v>20</v>
      </c>
      <c r="E21895" t="s">
        <v>39</v>
      </c>
      <c r="F21895">
        <v>0</v>
      </c>
      <c r="G21895">
        <v>0</v>
      </c>
      <c r="H21895">
        <v>4</v>
      </c>
      <c r="I21895" s="3">
        <v>876.73</v>
      </c>
      <c r="J21895" s="3">
        <v>60.22</v>
      </c>
      <c r="L21895">
        <v>296</v>
      </c>
      <c r="M21895" t="s">
        <v>47364</v>
      </c>
      <c r="N21895" t="s">
        <v>18305</v>
      </c>
      <c r="O21895" t="s">
        <v>31</v>
      </c>
      <c r="P21895" t="str">
        <f>"15330"</f>
        <v>15330</v>
      </c>
    </row>
    <row r="21896" spans="1:16" x14ac:dyDescent="0.25">
      <c r="A21896" t="str">
        <f>"1320139M00119    00"</f>
        <v>1320139M00119    00</v>
      </c>
      <c r="B21896" t="s">
        <v>47365</v>
      </c>
      <c r="C21896" t="s">
        <v>47150</v>
      </c>
      <c r="D21896" t="s">
        <v>20</v>
      </c>
      <c r="E21896" t="s">
        <v>21</v>
      </c>
      <c r="F21896">
        <v>0</v>
      </c>
      <c r="G21896">
        <v>0</v>
      </c>
      <c r="H21896">
        <v>1</v>
      </c>
      <c r="I21896" s="3">
        <v>994.93</v>
      </c>
      <c r="J21896" s="3">
        <v>0</v>
      </c>
      <c r="K21896" t="s">
        <v>47366</v>
      </c>
      <c r="L21896">
        <v>6116</v>
      </c>
      <c r="M21896" t="s">
        <v>47367</v>
      </c>
      <c r="N21896" t="s">
        <v>22225</v>
      </c>
      <c r="O21896" t="s">
        <v>31</v>
      </c>
      <c r="P21896" t="str">
        <f>"15332"</f>
        <v>15332</v>
      </c>
    </row>
    <row r="21897" spans="1:16" x14ac:dyDescent="0.25">
      <c r="A21897" t="str">
        <f>"1320139M00121    00"</f>
        <v>1320139M00121    00</v>
      </c>
      <c r="B21897" t="s">
        <v>47365</v>
      </c>
      <c r="C21897" t="s">
        <v>47150</v>
      </c>
      <c r="D21897" t="s">
        <v>20</v>
      </c>
      <c r="E21897" t="s">
        <v>21</v>
      </c>
      <c r="F21897">
        <v>0</v>
      </c>
      <c r="G21897">
        <v>0</v>
      </c>
      <c r="H21897">
        <v>1</v>
      </c>
      <c r="I21897" s="3">
        <v>621.36</v>
      </c>
      <c r="J21897" s="3">
        <v>0</v>
      </c>
      <c r="K21897" t="s">
        <v>47366</v>
      </c>
      <c r="L21897">
        <v>6116</v>
      </c>
      <c r="M21897" t="s">
        <v>47367</v>
      </c>
      <c r="N21897" t="s">
        <v>22225</v>
      </c>
      <c r="O21897" t="s">
        <v>31</v>
      </c>
      <c r="P21897" t="str">
        <f>"15332"</f>
        <v>15332</v>
      </c>
    </row>
    <row r="21898" spans="1:16" x14ac:dyDescent="0.25">
      <c r="A21898" t="str">
        <f>"1320139M00177    00"</f>
        <v>1320139M00177    00</v>
      </c>
      <c r="B21898" t="s">
        <v>47363</v>
      </c>
      <c r="C21898" t="s">
        <v>47368</v>
      </c>
      <c r="D21898" t="s">
        <v>20</v>
      </c>
      <c r="E21898" t="s">
        <v>39</v>
      </c>
      <c r="F21898">
        <v>0</v>
      </c>
      <c r="G21898">
        <v>0</v>
      </c>
      <c r="H21898">
        <v>3</v>
      </c>
      <c r="I21898" s="3">
        <v>4128.3900000000003</v>
      </c>
      <c r="J21898" s="3">
        <v>275.20999999999998</v>
      </c>
      <c r="K21898" t="s">
        <v>47369</v>
      </c>
      <c r="L21898">
        <v>296</v>
      </c>
      <c r="M21898" t="s">
        <v>47364</v>
      </c>
      <c r="N21898" t="s">
        <v>18305</v>
      </c>
      <c r="O21898" t="s">
        <v>31</v>
      </c>
      <c r="P21898" t="str">
        <f>"15330"</f>
        <v>15330</v>
      </c>
    </row>
    <row r="21899" spans="1:16" x14ac:dyDescent="0.25">
      <c r="A21899" t="str">
        <f>"1320139R00037    00"</f>
        <v>1320139R00037    00</v>
      </c>
      <c r="B21899" t="s">
        <v>47370</v>
      </c>
      <c r="C21899" t="s">
        <v>47371</v>
      </c>
      <c r="D21899" t="s">
        <v>20</v>
      </c>
      <c r="E21899" t="s">
        <v>39</v>
      </c>
      <c r="F21899">
        <v>0</v>
      </c>
      <c r="G21899">
        <v>0</v>
      </c>
      <c r="H21899">
        <v>1</v>
      </c>
      <c r="I21899" s="3">
        <v>768.6</v>
      </c>
      <c r="J21899" s="3">
        <v>0</v>
      </c>
      <c r="L21899">
        <v>2821</v>
      </c>
      <c r="M21899" t="s">
        <v>47372</v>
      </c>
      <c r="N21899" t="s">
        <v>30</v>
      </c>
      <c r="O21899" t="s">
        <v>31</v>
      </c>
      <c r="P21899" t="str">
        <f>"15234"</f>
        <v>15234</v>
      </c>
    </row>
    <row r="21900" spans="1:16" x14ac:dyDescent="0.25">
      <c r="A21900" t="str">
        <f>"1320139R00076    00"</f>
        <v>1320139R00076    00</v>
      </c>
      <c r="B21900" t="s">
        <v>47373</v>
      </c>
      <c r="C21900" t="s">
        <v>47374</v>
      </c>
      <c r="E21900" t="s">
        <v>39</v>
      </c>
      <c r="F21900">
        <v>0</v>
      </c>
      <c r="G21900">
        <v>0</v>
      </c>
      <c r="H21900">
        <v>1</v>
      </c>
      <c r="I21900" s="3">
        <v>1449.36</v>
      </c>
      <c r="J21900" s="3">
        <v>2681.22</v>
      </c>
      <c r="L21900">
        <v>2826</v>
      </c>
      <c r="M21900" t="s">
        <v>47372</v>
      </c>
      <c r="N21900" t="s">
        <v>30</v>
      </c>
      <c r="O21900" t="s">
        <v>31</v>
      </c>
      <c r="P21900" t="str">
        <f>"15234"</f>
        <v>15234</v>
      </c>
    </row>
    <row r="21901" spans="1:16" x14ac:dyDescent="0.25">
      <c r="A21901" t="str">
        <f>"1320139R00082    00"</f>
        <v>1320139R00082    00</v>
      </c>
      <c r="B21901" t="s">
        <v>47375</v>
      </c>
      <c r="C21901" t="s">
        <v>47376</v>
      </c>
      <c r="D21901" t="s">
        <v>20</v>
      </c>
      <c r="E21901" t="s">
        <v>39</v>
      </c>
      <c r="F21901">
        <v>0</v>
      </c>
      <c r="G21901">
        <v>0</v>
      </c>
      <c r="H21901">
        <v>17</v>
      </c>
      <c r="I21901" s="3">
        <v>5009.24</v>
      </c>
      <c r="J21901" s="3">
        <v>3471.02</v>
      </c>
      <c r="K21901" t="s">
        <v>47377</v>
      </c>
      <c r="L21901">
        <v>2820</v>
      </c>
      <c r="M21901" t="s">
        <v>47210</v>
      </c>
      <c r="N21901" t="s">
        <v>30</v>
      </c>
      <c r="O21901" t="s">
        <v>31</v>
      </c>
      <c r="P21901" t="str">
        <f>"15234"</f>
        <v>15234</v>
      </c>
    </row>
    <row r="21902" spans="1:16" x14ac:dyDescent="0.25">
      <c r="A21902" t="str">
        <f>"1320139R00109000200"</f>
        <v>1320139R00109000200</v>
      </c>
      <c r="B21902" t="s">
        <v>47039</v>
      </c>
      <c r="C21902" t="s">
        <v>47378</v>
      </c>
      <c r="E21902" t="s">
        <v>21</v>
      </c>
      <c r="F21902">
        <v>0</v>
      </c>
      <c r="G21902">
        <v>0</v>
      </c>
      <c r="H21902">
        <v>16</v>
      </c>
      <c r="I21902" s="3">
        <v>831.14</v>
      </c>
      <c r="J21902" s="3">
        <v>675.52</v>
      </c>
      <c r="K21902" t="s">
        <v>47040</v>
      </c>
      <c r="L21902">
        <v>345</v>
      </c>
      <c r="M21902" t="s">
        <v>514</v>
      </c>
      <c r="N21902" t="s">
        <v>30</v>
      </c>
      <c r="O21902" t="s">
        <v>31</v>
      </c>
      <c r="P21902" t="str">
        <f>"15222"</f>
        <v>15222</v>
      </c>
    </row>
    <row r="21903" spans="1:16" x14ac:dyDescent="0.25">
      <c r="A21903" t="str">
        <f>"1320139S00018    00"</f>
        <v>1320139S00018    00</v>
      </c>
      <c r="B21903" t="s">
        <v>26238</v>
      </c>
      <c r="C21903" t="s">
        <v>47379</v>
      </c>
      <c r="D21903" t="s">
        <v>20</v>
      </c>
      <c r="E21903" t="s">
        <v>39</v>
      </c>
      <c r="F21903">
        <v>0</v>
      </c>
      <c r="G21903">
        <v>0</v>
      </c>
      <c r="H21903">
        <v>1</v>
      </c>
      <c r="I21903" s="3">
        <v>1601.06</v>
      </c>
      <c r="J21903" s="3">
        <v>0</v>
      </c>
      <c r="L21903">
        <v>154</v>
      </c>
      <c r="M21903" t="s">
        <v>22141</v>
      </c>
      <c r="N21903" t="s">
        <v>30</v>
      </c>
      <c r="O21903" t="s">
        <v>31</v>
      </c>
      <c r="P21903" t="str">
        <f>"15236"</f>
        <v>15236</v>
      </c>
    </row>
    <row r="21904" spans="1:16" x14ac:dyDescent="0.25">
      <c r="A21904" t="str">
        <f>"1320139S00020    00"</f>
        <v>1320139S00020    00</v>
      </c>
      <c r="B21904" t="s">
        <v>47380</v>
      </c>
      <c r="C21904" t="s">
        <v>47381</v>
      </c>
      <c r="D21904" t="s">
        <v>20</v>
      </c>
      <c r="E21904" t="s">
        <v>39</v>
      </c>
      <c r="F21904">
        <v>0</v>
      </c>
      <c r="G21904">
        <v>0</v>
      </c>
      <c r="H21904">
        <v>3</v>
      </c>
      <c r="I21904" s="3">
        <v>3442.29</v>
      </c>
      <c r="J21904" s="3">
        <v>229.48</v>
      </c>
      <c r="K21904" t="s">
        <v>47382</v>
      </c>
      <c r="L21904">
        <v>2811</v>
      </c>
      <c r="M21904" t="s">
        <v>25952</v>
      </c>
      <c r="N21904" t="s">
        <v>30</v>
      </c>
      <c r="O21904" t="s">
        <v>31</v>
      </c>
      <c r="P21904" t="str">
        <f>"15234"</f>
        <v>15234</v>
      </c>
    </row>
    <row r="21905" spans="1:16" x14ac:dyDescent="0.25">
      <c r="A21905" t="str">
        <f>"1320139S00024    00"</f>
        <v>1320139S00024    00</v>
      </c>
      <c r="B21905" t="s">
        <v>47383</v>
      </c>
      <c r="C21905" t="s">
        <v>47384</v>
      </c>
      <c r="E21905" t="s">
        <v>39</v>
      </c>
      <c r="F21905">
        <v>0</v>
      </c>
      <c r="G21905">
        <v>0</v>
      </c>
      <c r="H21905">
        <v>4</v>
      </c>
      <c r="I21905" s="3">
        <v>2472</v>
      </c>
      <c r="J21905" s="3">
        <v>3028.08</v>
      </c>
      <c r="L21905">
        <v>2217</v>
      </c>
      <c r="M21905" t="s">
        <v>29587</v>
      </c>
      <c r="N21905" t="s">
        <v>30</v>
      </c>
      <c r="O21905" t="s">
        <v>31</v>
      </c>
      <c r="P21905" t="str">
        <f>"15216"</f>
        <v>15216</v>
      </c>
    </row>
    <row r="21906" spans="1:16" x14ac:dyDescent="0.25">
      <c r="A21906" t="str">
        <f>"1320139S00052    00"</f>
        <v>1320139S00052    00</v>
      </c>
      <c r="B21906" t="s">
        <v>47385</v>
      </c>
      <c r="C21906" t="s">
        <v>47386</v>
      </c>
      <c r="D21906" t="s">
        <v>20</v>
      </c>
      <c r="E21906" t="s">
        <v>39</v>
      </c>
      <c r="F21906">
        <v>0</v>
      </c>
      <c r="G21906">
        <v>0</v>
      </c>
      <c r="H21906">
        <v>1</v>
      </c>
      <c r="I21906" s="3">
        <v>22.87</v>
      </c>
      <c r="J21906" s="3">
        <v>0</v>
      </c>
      <c r="K21906" t="s">
        <v>47387</v>
      </c>
      <c r="L21906">
        <v>1587</v>
      </c>
      <c r="M21906" t="s">
        <v>47388</v>
      </c>
      <c r="N21906" t="s">
        <v>1474</v>
      </c>
      <c r="O21906" t="s">
        <v>31</v>
      </c>
      <c r="P21906" t="str">
        <f>"15017"</f>
        <v>15017</v>
      </c>
    </row>
    <row r="21907" spans="1:16" x14ac:dyDescent="0.25">
      <c r="A21907" t="str">
        <f>"1320139S00063    00"</f>
        <v>1320139S00063    00</v>
      </c>
      <c r="B21907" t="s">
        <v>47389</v>
      </c>
      <c r="C21907" t="s">
        <v>47390</v>
      </c>
      <c r="E21907" t="s">
        <v>39</v>
      </c>
      <c r="F21907">
        <v>0</v>
      </c>
      <c r="G21907">
        <v>0</v>
      </c>
      <c r="H21907">
        <v>1</v>
      </c>
      <c r="I21907" s="3">
        <v>669.83</v>
      </c>
      <c r="J21907" s="3">
        <v>150.69999999999999</v>
      </c>
      <c r="K21907" t="s">
        <v>47391</v>
      </c>
      <c r="M21907" t="s">
        <v>47392</v>
      </c>
      <c r="N21907" t="s">
        <v>8544</v>
      </c>
      <c r="O21907" t="s">
        <v>70</v>
      </c>
      <c r="P21907" t="str">
        <f>"48826"</f>
        <v>48826</v>
      </c>
    </row>
    <row r="21908" spans="1:16" x14ac:dyDescent="0.25">
      <c r="A21908" t="str">
        <f>"1320139S00110    00"</f>
        <v>1320139S00110    00</v>
      </c>
      <c r="B21908" t="s">
        <v>47393</v>
      </c>
      <c r="C21908" t="s">
        <v>47386</v>
      </c>
      <c r="D21908" t="s">
        <v>20</v>
      </c>
      <c r="E21908" t="s">
        <v>39</v>
      </c>
      <c r="F21908">
        <v>0</v>
      </c>
      <c r="G21908">
        <v>0</v>
      </c>
      <c r="H21908">
        <v>1</v>
      </c>
      <c r="I21908" s="3">
        <v>152.47999999999999</v>
      </c>
      <c r="J21908" s="3">
        <v>0</v>
      </c>
      <c r="L21908">
        <v>205</v>
      </c>
      <c r="M21908" t="s">
        <v>47394</v>
      </c>
      <c r="N21908" t="s">
        <v>30</v>
      </c>
      <c r="O21908" t="s">
        <v>31</v>
      </c>
      <c r="P21908" t="str">
        <f>"15234"</f>
        <v>15234</v>
      </c>
    </row>
    <row r="21909" spans="1:16" x14ac:dyDescent="0.25">
      <c r="A21909" t="str">
        <f>"1320139S00112    00"</f>
        <v>1320139S00112    00</v>
      </c>
      <c r="B21909" t="s">
        <v>47395</v>
      </c>
      <c r="C21909" t="s">
        <v>47386</v>
      </c>
      <c r="D21909" t="s">
        <v>20</v>
      </c>
      <c r="E21909" t="s">
        <v>39</v>
      </c>
      <c r="F21909">
        <v>0</v>
      </c>
      <c r="G21909">
        <v>0</v>
      </c>
      <c r="H21909">
        <v>1</v>
      </c>
      <c r="I21909" s="3">
        <v>22.87</v>
      </c>
      <c r="J21909" s="3">
        <v>0</v>
      </c>
      <c r="L21909">
        <v>205</v>
      </c>
      <c r="M21909" t="s">
        <v>47394</v>
      </c>
      <c r="N21909" t="s">
        <v>30</v>
      </c>
      <c r="O21909" t="s">
        <v>31</v>
      </c>
      <c r="P21909" t="str">
        <f>"15234"</f>
        <v>15234</v>
      </c>
    </row>
    <row r="21910" spans="1:16" x14ac:dyDescent="0.25">
      <c r="A21910" t="str">
        <f>"1320139S00113    00"</f>
        <v>1320139S00113    00</v>
      </c>
      <c r="B21910" t="s">
        <v>47393</v>
      </c>
      <c r="C21910" t="s">
        <v>47396</v>
      </c>
      <c r="D21910" t="s">
        <v>20</v>
      </c>
      <c r="E21910" t="s">
        <v>39</v>
      </c>
      <c r="F21910">
        <v>0</v>
      </c>
      <c r="G21910">
        <v>0</v>
      </c>
      <c r="H21910">
        <v>5</v>
      </c>
      <c r="I21910" s="3">
        <v>4878.25</v>
      </c>
      <c r="J21910" s="3">
        <v>3161.45</v>
      </c>
      <c r="L21910">
        <v>205</v>
      </c>
      <c r="M21910" t="s">
        <v>47394</v>
      </c>
      <c r="N21910" t="s">
        <v>30</v>
      </c>
      <c r="O21910" t="s">
        <v>31</v>
      </c>
      <c r="P21910" t="str">
        <f>"15234"</f>
        <v>15234</v>
      </c>
    </row>
    <row r="21911" spans="1:16" x14ac:dyDescent="0.25">
      <c r="A21911" t="str">
        <f>"1320190C00013    00"</f>
        <v>1320190C00013    00</v>
      </c>
      <c r="B21911" t="s">
        <v>47397</v>
      </c>
      <c r="C21911" t="s">
        <v>47398</v>
      </c>
      <c r="D21911" t="s">
        <v>20</v>
      </c>
      <c r="E21911" t="s">
        <v>39</v>
      </c>
      <c r="F21911">
        <v>0</v>
      </c>
      <c r="G21911">
        <v>0</v>
      </c>
      <c r="H21911">
        <v>1</v>
      </c>
      <c r="I21911" s="3">
        <v>572.28</v>
      </c>
      <c r="J21911" s="3">
        <v>0</v>
      </c>
      <c r="L21911">
        <v>2919</v>
      </c>
      <c r="M21911" t="s">
        <v>22873</v>
      </c>
      <c r="N21911" t="s">
        <v>30</v>
      </c>
      <c r="O21911" t="s">
        <v>31</v>
      </c>
      <c r="P21911" t="str">
        <f>"15234"</f>
        <v>15234</v>
      </c>
    </row>
    <row r="21912" spans="1:16" x14ac:dyDescent="0.25">
      <c r="A21912" t="str">
        <f>"1320190D00002    00"</f>
        <v>1320190D00002    00</v>
      </c>
      <c r="B21912" t="s">
        <v>47399</v>
      </c>
      <c r="C21912" t="s">
        <v>47400</v>
      </c>
      <c r="D21912" t="s">
        <v>33</v>
      </c>
      <c r="E21912" t="s">
        <v>39</v>
      </c>
      <c r="F21912">
        <v>0</v>
      </c>
      <c r="G21912">
        <v>0</v>
      </c>
      <c r="H21912">
        <v>1</v>
      </c>
      <c r="I21912" s="3">
        <v>716.29</v>
      </c>
      <c r="J21912" s="3">
        <v>29.84</v>
      </c>
      <c r="K21912" t="s">
        <v>47401</v>
      </c>
      <c r="L21912">
        <v>4017</v>
      </c>
      <c r="M21912" t="s">
        <v>475</v>
      </c>
      <c r="N21912" t="s">
        <v>1928</v>
      </c>
      <c r="O21912" t="s">
        <v>31</v>
      </c>
      <c r="P21912" t="str">
        <f>"15317"</f>
        <v>15317</v>
      </c>
    </row>
    <row r="21913" spans="1:16" x14ac:dyDescent="0.25">
      <c r="A21913" t="str">
        <f>"1328000T00158    00"</f>
        <v>1328000T00158    00</v>
      </c>
      <c r="B21913" t="s">
        <v>47402</v>
      </c>
      <c r="C21913" t="s">
        <v>47403</v>
      </c>
      <c r="E21913" t="s">
        <v>39</v>
      </c>
      <c r="F21913">
        <v>0</v>
      </c>
      <c r="G21913">
        <v>0</v>
      </c>
      <c r="H21913">
        <v>17</v>
      </c>
      <c r="I21913" s="3">
        <v>1072.33</v>
      </c>
      <c r="J21913" s="3">
        <v>1268.48</v>
      </c>
      <c r="L21913">
        <v>717</v>
      </c>
      <c r="M21913" t="s">
        <v>47404</v>
      </c>
      <c r="N21913" t="s">
        <v>1067</v>
      </c>
      <c r="O21913" t="s">
        <v>31</v>
      </c>
      <c r="P21913" t="str">
        <f>"15143"</f>
        <v>15143</v>
      </c>
    </row>
    <row r="21914" spans="1:16" x14ac:dyDescent="0.25">
      <c r="A21914" t="str">
        <f>"1328000T00164    00"</f>
        <v>1328000T00164    00</v>
      </c>
      <c r="B21914" t="s">
        <v>47405</v>
      </c>
      <c r="C21914" t="s">
        <v>47406</v>
      </c>
      <c r="E21914" t="s">
        <v>39</v>
      </c>
      <c r="F21914">
        <v>0</v>
      </c>
      <c r="G21914">
        <v>0</v>
      </c>
      <c r="H21914">
        <v>7</v>
      </c>
      <c r="I21914" s="3">
        <v>468.54</v>
      </c>
      <c r="J21914" s="3">
        <v>675.05</v>
      </c>
      <c r="L21914">
        <v>214</v>
      </c>
      <c r="M21914" t="s">
        <v>47407</v>
      </c>
      <c r="N21914" t="s">
        <v>30</v>
      </c>
      <c r="O21914" t="s">
        <v>31</v>
      </c>
      <c r="P21914" t="str">
        <f>"15202"</f>
        <v>15202</v>
      </c>
    </row>
    <row r="21915" spans="1:16" x14ac:dyDescent="0.25">
      <c r="A21915" t="str">
        <f>"1328000T00165    00"</f>
        <v>1328000T00165    00</v>
      </c>
      <c r="B21915" t="s">
        <v>47408</v>
      </c>
      <c r="C21915" t="s">
        <v>47406</v>
      </c>
      <c r="E21915" t="s">
        <v>39</v>
      </c>
      <c r="F21915">
        <v>0</v>
      </c>
      <c r="G21915">
        <v>0</v>
      </c>
      <c r="H21915">
        <v>7</v>
      </c>
      <c r="I21915" s="3">
        <v>398.02</v>
      </c>
      <c r="J21915" s="3">
        <v>581.39</v>
      </c>
      <c r="L21915">
        <v>1741</v>
      </c>
      <c r="M21915" t="s">
        <v>24723</v>
      </c>
      <c r="N21915" t="s">
        <v>30</v>
      </c>
      <c r="O21915" t="s">
        <v>31</v>
      </c>
      <c r="P21915" t="str">
        <f>"15226"</f>
        <v>15226</v>
      </c>
    </row>
    <row r="21916" spans="1:16" x14ac:dyDescent="0.25">
      <c r="A21916" t="str">
        <f>"1328000T00166    00"</f>
        <v>1328000T00166    00</v>
      </c>
      <c r="B21916" t="s">
        <v>47409</v>
      </c>
      <c r="C21916" t="s">
        <v>47406</v>
      </c>
      <c r="E21916" t="s">
        <v>39</v>
      </c>
      <c r="F21916">
        <v>0</v>
      </c>
      <c r="G21916">
        <v>0</v>
      </c>
      <c r="H21916">
        <v>7</v>
      </c>
      <c r="I21916" s="3">
        <v>937.08</v>
      </c>
      <c r="J21916" s="3">
        <v>1350.16</v>
      </c>
      <c r="L21916">
        <v>803</v>
      </c>
      <c r="M21916" t="s">
        <v>23227</v>
      </c>
      <c r="N21916" t="s">
        <v>30</v>
      </c>
      <c r="O21916" t="s">
        <v>31</v>
      </c>
      <c r="P21916" t="str">
        <f>"15210"</f>
        <v>15210</v>
      </c>
    </row>
    <row r="21917" spans="1:16" x14ac:dyDescent="0.25">
      <c r="A21917" t="str">
        <f>"1328000T00167    00"</f>
        <v>1328000T00167    00</v>
      </c>
      <c r="B21917" t="s">
        <v>47410</v>
      </c>
      <c r="C21917" t="s">
        <v>47406</v>
      </c>
      <c r="E21917" t="s">
        <v>39</v>
      </c>
      <c r="F21917">
        <v>0</v>
      </c>
      <c r="G21917">
        <v>0</v>
      </c>
      <c r="H21917">
        <v>7</v>
      </c>
      <c r="I21917" s="3">
        <v>937.08</v>
      </c>
      <c r="J21917" s="3">
        <v>1350.16</v>
      </c>
      <c r="K21917" t="s">
        <v>1008</v>
      </c>
      <c r="P21917" t="str">
        <f>""</f>
        <v/>
      </c>
    </row>
    <row r="21918" spans="1:16" x14ac:dyDescent="0.25">
      <c r="A21918" t="str">
        <f>"1328000T00171    00"</f>
        <v>1328000T00171    00</v>
      </c>
      <c r="B21918" t="s">
        <v>47411</v>
      </c>
      <c r="C21918" t="s">
        <v>47412</v>
      </c>
      <c r="D21918" t="s">
        <v>20</v>
      </c>
      <c r="E21918" t="s">
        <v>39</v>
      </c>
      <c r="F21918">
        <v>0</v>
      </c>
      <c r="G21918">
        <v>0</v>
      </c>
      <c r="H21918">
        <v>9</v>
      </c>
      <c r="I21918" s="3">
        <v>598.70000000000005</v>
      </c>
      <c r="J21918" s="3">
        <v>228.53</v>
      </c>
      <c r="L21918">
        <v>1800</v>
      </c>
      <c r="M21918" t="s">
        <v>47413</v>
      </c>
      <c r="N21918" t="s">
        <v>30</v>
      </c>
      <c r="O21918" t="s">
        <v>31</v>
      </c>
      <c r="P21918" t="str">
        <f>"15210"</f>
        <v>15210</v>
      </c>
    </row>
    <row r="21919" spans="1:16" x14ac:dyDescent="0.25">
      <c r="A21919" t="str">
        <f>"1328000T00173    00"</f>
        <v>1328000T00173    00</v>
      </c>
      <c r="B21919" t="s">
        <v>47414</v>
      </c>
      <c r="C21919" t="s">
        <v>47415</v>
      </c>
      <c r="E21919" t="s">
        <v>39</v>
      </c>
      <c r="F21919">
        <v>0</v>
      </c>
      <c r="G21919">
        <v>0</v>
      </c>
      <c r="H21919">
        <v>17</v>
      </c>
      <c r="I21919" s="3">
        <v>926.4</v>
      </c>
      <c r="J21919" s="3">
        <v>1177.3499999999999</v>
      </c>
      <c r="K21919" t="s">
        <v>47416</v>
      </c>
      <c r="L21919">
        <v>717</v>
      </c>
      <c r="M21919" t="s">
        <v>47404</v>
      </c>
      <c r="N21919" t="s">
        <v>1067</v>
      </c>
      <c r="O21919" t="s">
        <v>31</v>
      </c>
      <c r="P21919" t="str">
        <f>"15143"</f>
        <v>15143</v>
      </c>
    </row>
    <row r="21920" spans="1:16" x14ac:dyDescent="0.25">
      <c r="A21920" t="str">
        <f>"1328000T00174    00"</f>
        <v>1328000T00174    00</v>
      </c>
      <c r="B21920" t="s">
        <v>47414</v>
      </c>
      <c r="C21920" t="s">
        <v>47417</v>
      </c>
      <c r="E21920" t="s">
        <v>39</v>
      </c>
      <c r="F21920">
        <v>0</v>
      </c>
      <c r="G21920">
        <v>0</v>
      </c>
      <c r="H21920">
        <v>12</v>
      </c>
      <c r="I21920" s="3">
        <v>486.49</v>
      </c>
      <c r="J21920" s="3">
        <v>416.89</v>
      </c>
      <c r="K21920" t="s">
        <v>47416</v>
      </c>
      <c r="L21920">
        <v>717</v>
      </c>
      <c r="M21920" t="s">
        <v>47418</v>
      </c>
      <c r="N21920" t="s">
        <v>1067</v>
      </c>
      <c r="O21920" t="s">
        <v>31</v>
      </c>
      <c r="P21920" t="str">
        <f>"15143"</f>
        <v>15143</v>
      </c>
    </row>
    <row r="21921" spans="1:16" x14ac:dyDescent="0.25">
      <c r="A21921" t="str">
        <f>"1328000T00176    00"</f>
        <v>1328000T00176    00</v>
      </c>
      <c r="B21921" t="s">
        <v>47419</v>
      </c>
      <c r="C21921" t="s">
        <v>47406</v>
      </c>
      <c r="E21921" t="s">
        <v>39</v>
      </c>
      <c r="F21921">
        <v>0</v>
      </c>
      <c r="G21921">
        <v>0</v>
      </c>
      <c r="H21921">
        <v>7</v>
      </c>
      <c r="I21921" s="3">
        <v>838.42</v>
      </c>
      <c r="J21921" s="3">
        <v>1208.03</v>
      </c>
      <c r="P21921" t="str">
        <f>""</f>
        <v/>
      </c>
    </row>
    <row r="21922" spans="1:16" x14ac:dyDescent="0.25">
      <c r="A21922" t="str">
        <f>"1328000T00177    00"</f>
        <v>1328000T00177    00</v>
      </c>
      <c r="B21922" t="s">
        <v>47420</v>
      </c>
      <c r="C21922" t="s">
        <v>47406</v>
      </c>
      <c r="E21922" t="s">
        <v>39</v>
      </c>
      <c r="F21922">
        <v>0</v>
      </c>
      <c r="G21922">
        <v>0</v>
      </c>
      <c r="H21922">
        <v>7</v>
      </c>
      <c r="I21922" s="3">
        <v>863.07</v>
      </c>
      <c r="J21922" s="3">
        <v>1243.53</v>
      </c>
      <c r="P21922" t="str">
        <f>""</f>
        <v/>
      </c>
    </row>
    <row r="21923" spans="1:16" x14ac:dyDescent="0.25">
      <c r="A21923" t="str">
        <f>"1328000T00178    00"</f>
        <v>1328000T00178    00</v>
      </c>
      <c r="B21923" t="s">
        <v>47421</v>
      </c>
      <c r="C21923" t="s">
        <v>47422</v>
      </c>
      <c r="E21923" t="s">
        <v>39</v>
      </c>
      <c r="F21923">
        <v>0</v>
      </c>
      <c r="G21923">
        <v>0</v>
      </c>
      <c r="H21923">
        <v>7</v>
      </c>
      <c r="I21923" s="3">
        <v>652.11</v>
      </c>
      <c r="J21923" s="3">
        <v>981.81</v>
      </c>
      <c r="L21923">
        <v>1741</v>
      </c>
      <c r="M21923" t="s">
        <v>24723</v>
      </c>
      <c r="N21923" t="s">
        <v>30</v>
      </c>
      <c r="O21923" t="s">
        <v>31</v>
      </c>
      <c r="P21923" t="str">
        <f>"15226"</f>
        <v>15226</v>
      </c>
    </row>
    <row r="21924" spans="1:16" x14ac:dyDescent="0.25">
      <c r="A21924" t="str">
        <f>"1328000T00179    00"</f>
        <v>1328000T00179    00</v>
      </c>
      <c r="B21924" t="s">
        <v>47423</v>
      </c>
      <c r="C21924" t="s">
        <v>47422</v>
      </c>
      <c r="E21924" t="s">
        <v>39</v>
      </c>
      <c r="F21924">
        <v>0</v>
      </c>
      <c r="G21924">
        <v>0</v>
      </c>
      <c r="H21924">
        <v>7</v>
      </c>
      <c r="I21924" s="3">
        <v>739.77</v>
      </c>
      <c r="J21924" s="3">
        <v>1065.9100000000001</v>
      </c>
      <c r="P21924" t="str">
        <f>""</f>
        <v/>
      </c>
    </row>
    <row r="21925" spans="1:16" x14ac:dyDescent="0.25">
      <c r="A21925" t="str">
        <f>"1328000T00180    00"</f>
        <v>1328000T00180    00</v>
      </c>
      <c r="B21925" t="s">
        <v>47424</v>
      </c>
      <c r="C21925" t="s">
        <v>47406</v>
      </c>
      <c r="E21925" t="s">
        <v>39</v>
      </c>
      <c r="F21925">
        <v>0</v>
      </c>
      <c r="G21925">
        <v>0</v>
      </c>
      <c r="H21925">
        <v>1</v>
      </c>
      <c r="I21925" s="3">
        <v>74.16</v>
      </c>
      <c r="J21925" s="3">
        <v>87.75</v>
      </c>
      <c r="L21925">
        <v>1800</v>
      </c>
      <c r="M21925" t="s">
        <v>25206</v>
      </c>
      <c r="N21925" t="s">
        <v>30</v>
      </c>
      <c r="O21925" t="s">
        <v>31</v>
      </c>
      <c r="P21925" t="str">
        <f>"15210"</f>
        <v>15210</v>
      </c>
    </row>
    <row r="21926" spans="1:16" x14ac:dyDescent="0.25">
      <c r="A21926" t="str">
        <f>"1328000T00181    00"</f>
        <v>1328000T00181    00</v>
      </c>
      <c r="B21926" t="s">
        <v>47425</v>
      </c>
      <c r="C21926" t="s">
        <v>47426</v>
      </c>
      <c r="E21926" t="s">
        <v>39</v>
      </c>
      <c r="F21926">
        <v>0</v>
      </c>
      <c r="G21926">
        <v>0</v>
      </c>
      <c r="H21926">
        <v>17</v>
      </c>
      <c r="I21926" s="3">
        <v>1256.1099999999999</v>
      </c>
      <c r="J21926" s="3">
        <v>1604.01</v>
      </c>
      <c r="L21926">
        <v>717</v>
      </c>
      <c r="M21926" t="s">
        <v>47404</v>
      </c>
      <c r="N21926" t="s">
        <v>1067</v>
      </c>
      <c r="O21926" t="s">
        <v>31</v>
      </c>
      <c r="P21926" t="str">
        <f>"15143"</f>
        <v>15143</v>
      </c>
    </row>
    <row r="21927" spans="1:16" x14ac:dyDescent="0.25">
      <c r="A21927" t="str">
        <f>"1328000T00183    00"</f>
        <v>1328000T00183    00</v>
      </c>
      <c r="B21927" t="s">
        <v>47427</v>
      </c>
      <c r="C21927" t="s">
        <v>47428</v>
      </c>
      <c r="D21927" t="s">
        <v>20</v>
      </c>
      <c r="E21927" t="s">
        <v>39</v>
      </c>
      <c r="F21927">
        <v>0</v>
      </c>
      <c r="G21927">
        <v>0</v>
      </c>
      <c r="H21927">
        <v>6</v>
      </c>
      <c r="I21927" s="3">
        <v>447.4</v>
      </c>
      <c r="J21927" s="3">
        <v>116.59</v>
      </c>
      <c r="L21927">
        <v>1800</v>
      </c>
      <c r="M21927" t="s">
        <v>47429</v>
      </c>
      <c r="N21927" t="s">
        <v>30</v>
      </c>
      <c r="O21927" t="s">
        <v>31</v>
      </c>
      <c r="P21927" t="str">
        <f>"15210"</f>
        <v>15210</v>
      </c>
    </row>
    <row r="21928" spans="1:16" x14ac:dyDescent="0.25">
      <c r="A21928" t="str">
        <f>"1328000T00187    00"</f>
        <v>1328000T00187    00</v>
      </c>
      <c r="B21928" t="s">
        <v>47430</v>
      </c>
      <c r="C21928" t="s">
        <v>47431</v>
      </c>
      <c r="E21928" t="s">
        <v>39</v>
      </c>
      <c r="F21928">
        <v>0</v>
      </c>
      <c r="G21928">
        <v>0</v>
      </c>
      <c r="H21928">
        <v>1</v>
      </c>
      <c r="I21928" s="3">
        <v>79.099999999999994</v>
      </c>
      <c r="J21928" s="3">
        <v>57.34</v>
      </c>
      <c r="L21928">
        <v>1800</v>
      </c>
      <c r="M21928" t="s">
        <v>47432</v>
      </c>
      <c r="N21928" t="s">
        <v>30</v>
      </c>
      <c r="O21928" t="s">
        <v>31</v>
      </c>
      <c r="P21928" t="str">
        <f>"15210"</f>
        <v>15210</v>
      </c>
    </row>
    <row r="21929" spans="1:16" x14ac:dyDescent="0.25">
      <c r="A21929" t="str">
        <f>"1328000T00188    00"</f>
        <v>1328000T00188    00</v>
      </c>
      <c r="B21929" t="s">
        <v>47433</v>
      </c>
      <c r="C21929" t="s">
        <v>47422</v>
      </c>
      <c r="E21929" t="s">
        <v>39</v>
      </c>
      <c r="F21929">
        <v>0</v>
      </c>
      <c r="G21929">
        <v>0</v>
      </c>
      <c r="H21929">
        <v>7</v>
      </c>
      <c r="I21929" s="3">
        <v>690.49</v>
      </c>
      <c r="J21929" s="3">
        <v>994.86</v>
      </c>
      <c r="L21929">
        <v>1741</v>
      </c>
      <c r="M21929" t="s">
        <v>24723</v>
      </c>
      <c r="N21929" t="s">
        <v>30</v>
      </c>
      <c r="O21929" t="s">
        <v>31</v>
      </c>
      <c r="P21929" t="str">
        <f>"15226"</f>
        <v>15226</v>
      </c>
    </row>
    <row r="21930" spans="1:16" x14ac:dyDescent="0.25">
      <c r="A21930" t="str">
        <f>"1328000T00192    00"</f>
        <v>1328000T00192    00</v>
      </c>
      <c r="B21930" t="s">
        <v>47414</v>
      </c>
      <c r="C21930" t="s">
        <v>47434</v>
      </c>
      <c r="E21930" t="s">
        <v>39</v>
      </c>
      <c r="F21930">
        <v>0</v>
      </c>
      <c r="G21930">
        <v>0</v>
      </c>
      <c r="H21930">
        <v>1</v>
      </c>
      <c r="I21930" s="3">
        <v>59.41</v>
      </c>
      <c r="J21930" s="3">
        <v>76.58</v>
      </c>
      <c r="K21930" t="s">
        <v>47416</v>
      </c>
      <c r="L21930">
        <v>717</v>
      </c>
      <c r="M21930" t="s">
        <v>47435</v>
      </c>
      <c r="N21930" t="s">
        <v>1067</v>
      </c>
      <c r="O21930" t="s">
        <v>31</v>
      </c>
      <c r="P21930" t="str">
        <f>"15143"</f>
        <v>15143</v>
      </c>
    </row>
    <row r="21931" spans="1:16" x14ac:dyDescent="0.25">
      <c r="A21931" t="str">
        <f>"1328000T00196    00"</f>
        <v>1328000T00196    00</v>
      </c>
      <c r="B21931" t="s">
        <v>47414</v>
      </c>
      <c r="C21931" t="s">
        <v>47436</v>
      </c>
      <c r="E21931" t="s">
        <v>39</v>
      </c>
      <c r="F21931">
        <v>0</v>
      </c>
      <c r="G21931">
        <v>0</v>
      </c>
      <c r="H21931">
        <v>1</v>
      </c>
      <c r="I21931" s="3">
        <v>36.22</v>
      </c>
      <c r="J21931" s="3">
        <v>0</v>
      </c>
      <c r="K21931" t="s">
        <v>47416</v>
      </c>
      <c r="L21931">
        <v>717</v>
      </c>
      <c r="M21931" t="s">
        <v>47437</v>
      </c>
      <c r="N21931" t="s">
        <v>1067</v>
      </c>
      <c r="O21931" t="s">
        <v>31</v>
      </c>
      <c r="P21931" t="str">
        <f>"15143"</f>
        <v>15143</v>
      </c>
    </row>
    <row r="21932" spans="1:16" x14ac:dyDescent="0.25">
      <c r="A21932" t="str">
        <f>"1328000T00200    00"</f>
        <v>1328000T00200    00</v>
      </c>
      <c r="B21932" t="s">
        <v>47424</v>
      </c>
      <c r="C21932" t="s">
        <v>47406</v>
      </c>
      <c r="E21932" t="s">
        <v>39</v>
      </c>
      <c r="F21932">
        <v>0</v>
      </c>
      <c r="G21932">
        <v>0</v>
      </c>
      <c r="H21932">
        <v>1</v>
      </c>
      <c r="I21932" s="3">
        <v>138.43</v>
      </c>
      <c r="J21932" s="3">
        <v>163.81</v>
      </c>
      <c r="L21932">
        <v>1800</v>
      </c>
      <c r="M21932" t="s">
        <v>47438</v>
      </c>
      <c r="N21932" t="s">
        <v>30</v>
      </c>
      <c r="O21932" t="s">
        <v>31</v>
      </c>
      <c r="P21932" t="str">
        <f>"15210"</f>
        <v>15210</v>
      </c>
    </row>
    <row r="21933" spans="1:16" x14ac:dyDescent="0.25">
      <c r="A21933" t="str">
        <f>"1328000T04522    00"</f>
        <v>1328000T04522    00</v>
      </c>
      <c r="B21933" t="s">
        <v>47414</v>
      </c>
      <c r="C21933" t="s">
        <v>47439</v>
      </c>
      <c r="E21933" t="s">
        <v>39</v>
      </c>
      <c r="F21933">
        <v>0</v>
      </c>
      <c r="G21933">
        <v>0</v>
      </c>
      <c r="H21933">
        <v>14</v>
      </c>
      <c r="I21933" s="3">
        <v>738.64</v>
      </c>
      <c r="J21933" s="3">
        <v>726.9</v>
      </c>
      <c r="K21933" t="s">
        <v>47416</v>
      </c>
      <c r="L21933">
        <v>717</v>
      </c>
      <c r="M21933" t="s">
        <v>47440</v>
      </c>
      <c r="N21933" t="s">
        <v>1067</v>
      </c>
      <c r="O21933" t="s">
        <v>31</v>
      </c>
      <c r="P21933" t="str">
        <f>"15143"</f>
        <v>15143</v>
      </c>
    </row>
    <row r="21934" spans="1:16" x14ac:dyDescent="0.25">
      <c r="A21934" t="str">
        <f>"8330013J00070    00"</f>
        <v>8330013J00070    00</v>
      </c>
      <c r="B21934" t="s">
        <v>47441</v>
      </c>
      <c r="C21934" t="s">
        <v>40122</v>
      </c>
      <c r="D21934" t="s">
        <v>20</v>
      </c>
      <c r="E21934" t="s">
        <v>39</v>
      </c>
      <c r="F21934">
        <v>0</v>
      </c>
      <c r="G21934">
        <v>0</v>
      </c>
      <c r="H21934">
        <v>15</v>
      </c>
      <c r="I21934" s="3">
        <v>3631.81</v>
      </c>
      <c r="J21934" s="3">
        <v>3327.87</v>
      </c>
      <c r="K21934" t="s">
        <v>47442</v>
      </c>
      <c r="L21934">
        <v>3612</v>
      </c>
      <c r="M21934" t="s">
        <v>47443</v>
      </c>
      <c r="N21934" t="s">
        <v>30</v>
      </c>
      <c r="O21934" t="s">
        <v>31</v>
      </c>
      <c r="P21934" t="str">
        <f>"15227"</f>
        <v>15227</v>
      </c>
    </row>
    <row r="21935" spans="1:16" x14ac:dyDescent="0.25">
      <c r="A21935" t="str">
        <f>"8330013J00076    00"</f>
        <v>8330013J00076    00</v>
      </c>
      <c r="B21935" t="s">
        <v>47444</v>
      </c>
      <c r="C21935" t="s">
        <v>47445</v>
      </c>
      <c r="D21935" t="s">
        <v>20</v>
      </c>
      <c r="E21935" t="s">
        <v>39</v>
      </c>
      <c r="F21935">
        <v>0</v>
      </c>
      <c r="G21935">
        <v>0</v>
      </c>
      <c r="H21935">
        <v>1</v>
      </c>
      <c r="I21935" s="3">
        <v>291.11</v>
      </c>
      <c r="J21935" s="3">
        <v>0</v>
      </c>
      <c r="K21935" t="s">
        <v>47446</v>
      </c>
      <c r="L21935">
        <v>706</v>
      </c>
      <c r="M21935" t="s">
        <v>47447</v>
      </c>
      <c r="N21935" t="s">
        <v>47448</v>
      </c>
      <c r="O21935" t="s">
        <v>423</v>
      </c>
      <c r="P21935" t="str">
        <f>"07719"</f>
        <v>07719</v>
      </c>
    </row>
    <row r="21936" spans="1:16" x14ac:dyDescent="0.25">
      <c r="A21936" t="str">
        <f>"8330013N00057    00"</f>
        <v>8330013N00057    00</v>
      </c>
      <c r="B21936" t="s">
        <v>47449</v>
      </c>
      <c r="C21936" t="s">
        <v>47450</v>
      </c>
      <c r="E21936" t="s">
        <v>39</v>
      </c>
      <c r="F21936">
        <v>0</v>
      </c>
      <c r="G21936">
        <v>0</v>
      </c>
      <c r="H21936">
        <v>7</v>
      </c>
      <c r="I21936" s="3">
        <v>3284.36</v>
      </c>
      <c r="J21936" s="3">
        <v>1108.5899999999999</v>
      </c>
      <c r="K21936" t="s">
        <v>47451</v>
      </c>
      <c r="M21936" t="s">
        <v>47452</v>
      </c>
      <c r="N21936" t="s">
        <v>30</v>
      </c>
      <c r="O21936" t="s">
        <v>31</v>
      </c>
      <c r="P21936" t="str">
        <f>"15213"</f>
        <v>15213</v>
      </c>
    </row>
    <row r="21937" spans="1:16" x14ac:dyDescent="0.25">
      <c r="A21937" t="str">
        <f>"8330013N00063    00"</f>
        <v>8330013N00063    00</v>
      </c>
      <c r="B21937" t="s">
        <v>47453</v>
      </c>
      <c r="C21937" t="s">
        <v>47454</v>
      </c>
      <c r="E21937" t="s">
        <v>39</v>
      </c>
      <c r="F21937">
        <v>0</v>
      </c>
      <c r="G21937">
        <v>0</v>
      </c>
      <c r="H21937">
        <v>4</v>
      </c>
      <c r="I21937" s="3">
        <v>914.6</v>
      </c>
      <c r="J21937" s="3">
        <v>311.58999999999997</v>
      </c>
      <c r="K21937" t="s">
        <v>47455</v>
      </c>
      <c r="L21937">
        <v>4204</v>
      </c>
      <c r="M21937" t="s">
        <v>47456</v>
      </c>
      <c r="N21937" t="s">
        <v>14700</v>
      </c>
      <c r="O21937" t="s">
        <v>3486</v>
      </c>
      <c r="P21937" t="str">
        <f>"60545"</f>
        <v>60545</v>
      </c>
    </row>
    <row r="21938" spans="1:16" x14ac:dyDescent="0.25">
      <c r="A21938" t="str">
        <f>"8330013N00065    00"</f>
        <v>8330013N00065    00</v>
      </c>
      <c r="B21938" t="s">
        <v>47457</v>
      </c>
      <c r="C21938" t="s">
        <v>47458</v>
      </c>
      <c r="E21938" t="s">
        <v>39</v>
      </c>
      <c r="F21938">
        <v>0</v>
      </c>
      <c r="G21938">
        <v>0</v>
      </c>
      <c r="H21938">
        <v>2</v>
      </c>
      <c r="I21938" s="3">
        <v>446.9</v>
      </c>
      <c r="J21938" s="3">
        <v>22.34</v>
      </c>
      <c r="K21938" t="s">
        <v>4979</v>
      </c>
      <c r="L21938">
        <v>1265</v>
      </c>
      <c r="M21938" t="s">
        <v>4980</v>
      </c>
      <c r="N21938" t="s">
        <v>4981</v>
      </c>
      <c r="O21938" t="s">
        <v>495</v>
      </c>
      <c r="P21938" t="str">
        <f>"92879"</f>
        <v>92879</v>
      </c>
    </row>
    <row r="21939" spans="1:16" x14ac:dyDescent="0.25">
      <c r="A21939" t="str">
        <f>"8330013N00163    00"</f>
        <v>8330013N00163    00</v>
      </c>
      <c r="B21939" t="s">
        <v>12867</v>
      </c>
      <c r="C21939" t="s">
        <v>47459</v>
      </c>
      <c r="D21939" t="s">
        <v>20</v>
      </c>
      <c r="E21939" t="s">
        <v>39</v>
      </c>
      <c r="F21939">
        <v>0</v>
      </c>
      <c r="G21939">
        <v>0</v>
      </c>
      <c r="H21939">
        <v>9</v>
      </c>
      <c r="I21939" s="3">
        <v>3213.39</v>
      </c>
      <c r="J21939" s="3">
        <v>1068.28</v>
      </c>
      <c r="K21939" t="s">
        <v>47460</v>
      </c>
      <c r="L21939">
        <v>107</v>
      </c>
      <c r="M21939" t="s">
        <v>23352</v>
      </c>
      <c r="N21939" t="s">
        <v>30</v>
      </c>
      <c r="O21939" t="s">
        <v>31</v>
      </c>
      <c r="P21939" t="str">
        <f>"15210"</f>
        <v>15210</v>
      </c>
    </row>
    <row r="21940" spans="1:16" x14ac:dyDescent="0.25">
      <c r="A21940" t="str">
        <f>"8330013N00189    00"</f>
        <v>8330013N00189    00</v>
      </c>
      <c r="B21940" t="s">
        <v>47461</v>
      </c>
      <c r="C21940" t="s">
        <v>47462</v>
      </c>
      <c r="E21940" t="s">
        <v>39</v>
      </c>
      <c r="F21940">
        <v>0</v>
      </c>
      <c r="G21940">
        <v>0</v>
      </c>
      <c r="H21940">
        <v>1</v>
      </c>
      <c r="I21940" s="3">
        <v>160.19999999999999</v>
      </c>
      <c r="J21940" s="3">
        <v>50.73</v>
      </c>
      <c r="K21940" t="s">
        <v>47463</v>
      </c>
      <c r="L21940">
        <v>2350</v>
      </c>
      <c r="M21940" t="s">
        <v>47464</v>
      </c>
      <c r="N21940" t="s">
        <v>47465</v>
      </c>
      <c r="O21940" t="s">
        <v>70</v>
      </c>
      <c r="P21940" t="str">
        <f>"48105"</f>
        <v>48105</v>
      </c>
    </row>
    <row r="21941" spans="1:16" x14ac:dyDescent="0.25">
      <c r="A21941" t="str">
        <f>"8330013N00191    00"</f>
        <v>8330013N00191    00</v>
      </c>
      <c r="B21941" t="s">
        <v>47466</v>
      </c>
      <c r="C21941" t="s">
        <v>4419</v>
      </c>
      <c r="D21941" t="s">
        <v>20</v>
      </c>
      <c r="E21941" t="s">
        <v>39</v>
      </c>
      <c r="F21941">
        <v>0</v>
      </c>
      <c r="G21941">
        <v>0</v>
      </c>
      <c r="H21941">
        <v>19</v>
      </c>
      <c r="I21941" s="3">
        <v>8268.2800000000007</v>
      </c>
      <c r="J21941" s="3">
        <v>9012.74</v>
      </c>
      <c r="L21941">
        <v>1134</v>
      </c>
      <c r="M21941" t="s">
        <v>47467</v>
      </c>
      <c r="N21941" t="s">
        <v>30</v>
      </c>
      <c r="O21941" t="s">
        <v>31</v>
      </c>
      <c r="P21941" t="str">
        <f>"15243"</f>
        <v>15243</v>
      </c>
    </row>
    <row r="21942" spans="1:16" x14ac:dyDescent="0.25">
      <c r="A21942" t="str">
        <f>"8330013N00195    00"</f>
        <v>8330013N00195    00</v>
      </c>
      <c r="B21942" t="s">
        <v>44709</v>
      </c>
      <c r="C21942" t="s">
        <v>47468</v>
      </c>
      <c r="D21942" t="s">
        <v>20</v>
      </c>
      <c r="E21942" t="s">
        <v>39</v>
      </c>
      <c r="F21942">
        <v>0</v>
      </c>
      <c r="G21942">
        <v>0</v>
      </c>
      <c r="H21942">
        <v>1</v>
      </c>
      <c r="I21942" s="3">
        <v>287</v>
      </c>
      <c r="J21942" s="3">
        <v>0</v>
      </c>
      <c r="L21942">
        <v>3026</v>
      </c>
      <c r="M21942" t="s">
        <v>44711</v>
      </c>
      <c r="N21942" t="s">
        <v>30</v>
      </c>
      <c r="O21942" t="s">
        <v>31</v>
      </c>
      <c r="P21942" t="str">
        <f>"15227"</f>
        <v>15227</v>
      </c>
    </row>
    <row r="21943" spans="1:16" x14ac:dyDescent="0.25">
      <c r="A21943" t="str">
        <f>"8330013N00197    00"</f>
        <v>8330013N00197    00</v>
      </c>
      <c r="B21943" t="s">
        <v>47469</v>
      </c>
      <c r="C21943" t="s">
        <v>47470</v>
      </c>
      <c r="D21943" t="s">
        <v>20</v>
      </c>
      <c r="E21943" t="s">
        <v>39</v>
      </c>
      <c r="F21943">
        <v>0</v>
      </c>
      <c r="G21943">
        <v>0</v>
      </c>
      <c r="H21943">
        <v>8</v>
      </c>
      <c r="I21943" s="3">
        <v>4515.05</v>
      </c>
      <c r="J21943" s="3">
        <v>2337.1999999999998</v>
      </c>
      <c r="L21943">
        <v>7112</v>
      </c>
      <c r="M21943" t="s">
        <v>47471</v>
      </c>
      <c r="N21943" t="s">
        <v>47472</v>
      </c>
      <c r="O21943" t="s">
        <v>495</v>
      </c>
      <c r="P21943" t="str">
        <f>"95621"</f>
        <v>95621</v>
      </c>
    </row>
    <row r="21944" spans="1:16" x14ac:dyDescent="0.25">
      <c r="A21944" t="str">
        <f>"8330013N00280    00"</f>
        <v>8330013N00280    00</v>
      </c>
      <c r="B21944" t="s">
        <v>24155</v>
      </c>
      <c r="C21944" t="s">
        <v>47473</v>
      </c>
      <c r="D21944" t="s">
        <v>20</v>
      </c>
      <c r="E21944" t="s">
        <v>39</v>
      </c>
      <c r="F21944">
        <v>0</v>
      </c>
      <c r="G21944">
        <v>0</v>
      </c>
      <c r="H21944">
        <v>6</v>
      </c>
      <c r="I21944" s="3">
        <v>2238.13</v>
      </c>
      <c r="J21944" s="3">
        <v>512.54</v>
      </c>
      <c r="L21944">
        <v>1635</v>
      </c>
      <c r="M21944" t="s">
        <v>24680</v>
      </c>
      <c r="N21944" t="s">
        <v>149</v>
      </c>
      <c r="O21944" t="s">
        <v>31</v>
      </c>
      <c r="P21944" t="str">
        <f>"15106"</f>
        <v>15106</v>
      </c>
    </row>
    <row r="21945" spans="1:16" x14ac:dyDescent="0.25">
      <c r="A21945" t="str">
        <f>"8330014L00246    00"</f>
        <v>8330014L00246    00</v>
      </c>
      <c r="B21945" t="s">
        <v>47474</v>
      </c>
      <c r="C21945" t="s">
        <v>47475</v>
      </c>
      <c r="D21945" t="s">
        <v>20</v>
      </c>
      <c r="E21945" t="s">
        <v>39</v>
      </c>
      <c r="F21945">
        <v>0</v>
      </c>
      <c r="G21945">
        <v>0</v>
      </c>
      <c r="H21945">
        <v>2</v>
      </c>
      <c r="I21945" s="3">
        <v>545.29999999999995</v>
      </c>
      <c r="J21945" s="3">
        <v>0</v>
      </c>
      <c r="K21945" t="s">
        <v>47476</v>
      </c>
      <c r="L21945">
        <v>5831</v>
      </c>
      <c r="M21945" t="s">
        <v>47477</v>
      </c>
      <c r="N21945" t="s">
        <v>30</v>
      </c>
      <c r="O21945" t="s">
        <v>31</v>
      </c>
      <c r="P21945" t="str">
        <f>"15219"</f>
        <v>15219</v>
      </c>
    </row>
    <row r="21946" spans="1:16" x14ac:dyDescent="0.25">
      <c r="A21946" t="str">
        <f>"8330014L00248    00"</f>
        <v>8330014L00248    00</v>
      </c>
      <c r="B21946" t="s">
        <v>47478</v>
      </c>
      <c r="C21946" t="s">
        <v>47479</v>
      </c>
      <c r="D21946" t="s">
        <v>20</v>
      </c>
      <c r="E21946" t="s">
        <v>39</v>
      </c>
      <c r="F21946">
        <v>0</v>
      </c>
      <c r="G21946">
        <v>0</v>
      </c>
      <c r="H21946">
        <v>4</v>
      </c>
      <c r="I21946" s="3">
        <v>940.19</v>
      </c>
      <c r="J21946" s="3">
        <v>116.3</v>
      </c>
      <c r="K21946" t="s">
        <v>47480</v>
      </c>
      <c r="L21946">
        <v>110</v>
      </c>
      <c r="M21946" t="s">
        <v>1407</v>
      </c>
      <c r="N21946" t="s">
        <v>30</v>
      </c>
      <c r="O21946" t="s">
        <v>31</v>
      </c>
      <c r="P21946" t="str">
        <f>"15210"</f>
        <v>15210</v>
      </c>
    </row>
    <row r="21947" spans="1:16" x14ac:dyDescent="0.25">
      <c r="A21947" t="str">
        <f>"8330014L00249A   00"</f>
        <v>8330014L00249A   00</v>
      </c>
      <c r="B21947" t="s">
        <v>7414</v>
      </c>
      <c r="C21947" t="s">
        <v>47481</v>
      </c>
      <c r="E21947" t="s">
        <v>39</v>
      </c>
      <c r="F21947">
        <v>0</v>
      </c>
      <c r="G21947">
        <v>0</v>
      </c>
      <c r="H21947">
        <v>3</v>
      </c>
      <c r="I21947" s="3">
        <v>1033.6300000000001</v>
      </c>
      <c r="J21947" s="3">
        <v>795.01</v>
      </c>
      <c r="K21947" t="s">
        <v>7416</v>
      </c>
      <c r="L21947">
        <v>422</v>
      </c>
      <c r="M21947" t="s">
        <v>1352</v>
      </c>
      <c r="N21947" t="s">
        <v>1353</v>
      </c>
      <c r="O21947" t="s">
        <v>31</v>
      </c>
      <c r="P21947" t="str">
        <f>"15085"</f>
        <v>15085</v>
      </c>
    </row>
    <row r="21948" spans="1:16" x14ac:dyDescent="0.25">
      <c r="A21948" t="str">
        <f>"8330014L00253    00"</f>
        <v>8330014L00253    00</v>
      </c>
      <c r="B21948" t="s">
        <v>47482</v>
      </c>
      <c r="C21948" t="s">
        <v>47483</v>
      </c>
      <c r="D21948" t="s">
        <v>20</v>
      </c>
      <c r="E21948" t="s">
        <v>39</v>
      </c>
      <c r="F21948">
        <v>0</v>
      </c>
      <c r="G21948">
        <v>0</v>
      </c>
      <c r="H21948">
        <v>19</v>
      </c>
      <c r="I21948" s="3">
        <v>5197.38</v>
      </c>
      <c r="J21948" s="3">
        <v>5038.6899999999996</v>
      </c>
      <c r="L21948">
        <v>3150</v>
      </c>
      <c r="M21948" t="s">
        <v>21468</v>
      </c>
      <c r="N21948" t="s">
        <v>238</v>
      </c>
      <c r="O21948" t="s">
        <v>31</v>
      </c>
      <c r="P21948" t="str">
        <f>"15131"</f>
        <v>15131</v>
      </c>
    </row>
    <row r="21949" spans="1:16" x14ac:dyDescent="0.25">
      <c r="A21949" t="str">
        <f>"8330014L00259    00"</f>
        <v>8330014L00259    00</v>
      </c>
      <c r="B21949" t="s">
        <v>47484</v>
      </c>
      <c r="C21949" t="s">
        <v>23201</v>
      </c>
      <c r="D21949" t="s">
        <v>20</v>
      </c>
      <c r="E21949" t="s">
        <v>39</v>
      </c>
      <c r="F21949">
        <v>0</v>
      </c>
      <c r="G21949">
        <v>0</v>
      </c>
      <c r="H21949">
        <v>3</v>
      </c>
      <c r="I21949" s="3">
        <v>408.99</v>
      </c>
      <c r="J21949" s="3">
        <v>27.26</v>
      </c>
      <c r="L21949">
        <v>182</v>
      </c>
      <c r="M21949" t="s">
        <v>47485</v>
      </c>
      <c r="N21949" t="s">
        <v>47486</v>
      </c>
      <c r="O21949" t="s">
        <v>606</v>
      </c>
      <c r="P21949" t="str">
        <f>"30017"</f>
        <v>30017</v>
      </c>
    </row>
    <row r="21950" spans="1:16" x14ac:dyDescent="0.25">
      <c r="A21950" t="str">
        <f>"8330014L00260    00"</f>
        <v>8330014L00260    00</v>
      </c>
      <c r="B21950" t="s">
        <v>47487</v>
      </c>
      <c r="C21950" t="s">
        <v>47488</v>
      </c>
      <c r="D21950" t="s">
        <v>20</v>
      </c>
      <c r="E21950" t="s">
        <v>39</v>
      </c>
      <c r="F21950">
        <v>0</v>
      </c>
      <c r="G21950">
        <v>0</v>
      </c>
      <c r="H21950">
        <v>8</v>
      </c>
      <c r="I21950" s="3">
        <v>2838.08</v>
      </c>
      <c r="J21950" s="3">
        <v>940.32</v>
      </c>
      <c r="L21950">
        <v>125</v>
      </c>
      <c r="M21950" t="s">
        <v>43379</v>
      </c>
      <c r="N21950" t="s">
        <v>30</v>
      </c>
      <c r="O21950" t="s">
        <v>31</v>
      </c>
      <c r="P21950" t="str">
        <f>"15210"</f>
        <v>15210</v>
      </c>
    </row>
    <row r="21951" spans="1:16" x14ac:dyDescent="0.25">
      <c r="A21951" t="str">
        <f>"8330014L00263    00"</f>
        <v>8330014L00263    00</v>
      </c>
      <c r="B21951" t="s">
        <v>47489</v>
      </c>
      <c r="C21951" t="s">
        <v>47490</v>
      </c>
      <c r="D21951" t="s">
        <v>20</v>
      </c>
      <c r="E21951" t="s">
        <v>21</v>
      </c>
      <c r="F21951">
        <v>0</v>
      </c>
      <c r="G21951">
        <v>0</v>
      </c>
      <c r="H21951">
        <v>2</v>
      </c>
      <c r="I21951" s="3">
        <v>598.39</v>
      </c>
      <c r="J21951" s="3">
        <v>227.65</v>
      </c>
      <c r="K21951" t="s">
        <v>47491</v>
      </c>
      <c r="L21951">
        <v>1735</v>
      </c>
      <c r="M21951" t="s">
        <v>24665</v>
      </c>
      <c r="N21951" t="s">
        <v>30</v>
      </c>
      <c r="O21951" t="s">
        <v>31</v>
      </c>
      <c r="P21951" t="str">
        <f>"15203"</f>
        <v>15203</v>
      </c>
    </row>
    <row r="21952" spans="1:16" x14ac:dyDescent="0.25">
      <c r="A21952" t="str">
        <f>"8330014L00311A   00"</f>
        <v>8330014L00311A   00</v>
      </c>
      <c r="B21952" t="s">
        <v>47492</v>
      </c>
      <c r="C21952" t="s">
        <v>47493</v>
      </c>
      <c r="D21952" t="s">
        <v>20</v>
      </c>
      <c r="E21952" t="s">
        <v>290</v>
      </c>
      <c r="F21952">
        <v>0</v>
      </c>
      <c r="G21952">
        <v>0</v>
      </c>
      <c r="H21952">
        <v>1</v>
      </c>
      <c r="I21952" s="3">
        <v>41</v>
      </c>
      <c r="J21952" s="3">
        <v>0</v>
      </c>
      <c r="L21952">
        <v>2634</v>
      </c>
      <c r="M21952" t="s">
        <v>47494</v>
      </c>
      <c r="N21952" t="s">
        <v>30</v>
      </c>
      <c r="O21952" t="s">
        <v>31</v>
      </c>
      <c r="P21952" t="str">
        <f>"15210"</f>
        <v>15210</v>
      </c>
    </row>
    <row r="21953" spans="1:16" x14ac:dyDescent="0.25">
      <c r="A21953" t="str">
        <f>"8330014L00312    00"</f>
        <v>8330014L00312    00</v>
      </c>
      <c r="B21953" t="s">
        <v>47492</v>
      </c>
      <c r="C21953" t="s">
        <v>47495</v>
      </c>
      <c r="D21953" t="s">
        <v>20</v>
      </c>
      <c r="E21953" t="s">
        <v>290</v>
      </c>
      <c r="F21953">
        <v>0</v>
      </c>
      <c r="G21953">
        <v>0</v>
      </c>
      <c r="H21953">
        <v>1</v>
      </c>
      <c r="I21953" s="3">
        <v>68.33</v>
      </c>
      <c r="J21953" s="3">
        <v>0</v>
      </c>
      <c r="L21953">
        <v>2634</v>
      </c>
      <c r="M21953" t="s">
        <v>47494</v>
      </c>
      <c r="N21953" t="s">
        <v>30</v>
      </c>
      <c r="O21953" t="s">
        <v>31</v>
      </c>
      <c r="P21953" t="str">
        <f>"15210"</f>
        <v>15210</v>
      </c>
    </row>
    <row r="21954" spans="1:16" x14ac:dyDescent="0.25">
      <c r="A21954" t="str">
        <f>"8330014L00314    00"</f>
        <v>8330014L00314    00</v>
      </c>
      <c r="B21954" t="s">
        <v>47496</v>
      </c>
      <c r="C21954" t="s">
        <v>47497</v>
      </c>
      <c r="D21954" t="s">
        <v>20</v>
      </c>
      <c r="E21954" t="s">
        <v>39</v>
      </c>
      <c r="F21954">
        <v>0</v>
      </c>
      <c r="G21954">
        <v>0</v>
      </c>
      <c r="H21954">
        <v>1</v>
      </c>
      <c r="I21954" s="3">
        <v>88.15</v>
      </c>
      <c r="J21954" s="3">
        <v>0</v>
      </c>
      <c r="L21954">
        <v>2634</v>
      </c>
      <c r="M21954" t="s">
        <v>23423</v>
      </c>
      <c r="N21954" t="s">
        <v>30</v>
      </c>
      <c r="O21954" t="s">
        <v>31</v>
      </c>
      <c r="P21954" t="str">
        <f>"15210"</f>
        <v>15210</v>
      </c>
    </row>
    <row r="21955" spans="1:16" x14ac:dyDescent="0.25">
      <c r="A21955" t="str">
        <f>"8330014L00326    00"</f>
        <v>8330014L00326    00</v>
      </c>
      <c r="B21955" t="s">
        <v>47498</v>
      </c>
      <c r="C21955" t="s">
        <v>47499</v>
      </c>
      <c r="D21955" t="s">
        <v>20</v>
      </c>
      <c r="E21955" t="s">
        <v>21</v>
      </c>
      <c r="F21955">
        <v>0</v>
      </c>
      <c r="G21955">
        <v>0</v>
      </c>
      <c r="H21955">
        <v>2</v>
      </c>
      <c r="I21955" s="3">
        <v>1204.3599999999999</v>
      </c>
      <c r="J21955" s="3">
        <v>45.91</v>
      </c>
      <c r="K21955" t="s">
        <v>47500</v>
      </c>
      <c r="L21955">
        <v>3623</v>
      </c>
      <c r="M21955" t="s">
        <v>47501</v>
      </c>
      <c r="N21955" t="s">
        <v>3934</v>
      </c>
      <c r="O21955" t="s">
        <v>31</v>
      </c>
      <c r="P21955" t="str">
        <f>"15102"</f>
        <v>15102</v>
      </c>
    </row>
    <row r="21956" spans="1:16" x14ac:dyDescent="0.25">
      <c r="A21956" t="str">
        <f>"8330014L00327    00"</f>
        <v>8330014L00327    00</v>
      </c>
      <c r="B21956" t="s">
        <v>47498</v>
      </c>
      <c r="C21956" t="s">
        <v>47502</v>
      </c>
      <c r="D21956" t="s">
        <v>20</v>
      </c>
      <c r="E21956" t="s">
        <v>21</v>
      </c>
      <c r="F21956">
        <v>0</v>
      </c>
      <c r="G21956">
        <v>0</v>
      </c>
      <c r="H21956">
        <v>1</v>
      </c>
      <c r="I21956" s="3">
        <v>1497.53</v>
      </c>
      <c r="J21956" s="3">
        <v>0</v>
      </c>
      <c r="K21956" t="s">
        <v>47500</v>
      </c>
      <c r="L21956">
        <v>3623</v>
      </c>
      <c r="M21956" t="s">
        <v>47501</v>
      </c>
      <c r="N21956" t="s">
        <v>3934</v>
      </c>
      <c r="O21956" t="s">
        <v>31</v>
      </c>
      <c r="P21956" t="str">
        <f>"15102"</f>
        <v>15102</v>
      </c>
    </row>
    <row r="21957" spans="1:16" x14ac:dyDescent="0.25">
      <c r="A21957" t="str">
        <f>"8330014L00328    00"</f>
        <v>8330014L00328    00</v>
      </c>
      <c r="B21957" t="s">
        <v>43517</v>
      </c>
      <c r="C21957" t="s">
        <v>47503</v>
      </c>
      <c r="E21957" t="s">
        <v>21</v>
      </c>
      <c r="F21957">
        <v>0</v>
      </c>
      <c r="G21957">
        <v>0</v>
      </c>
      <c r="H21957">
        <v>1</v>
      </c>
      <c r="I21957" s="3">
        <v>584.66</v>
      </c>
      <c r="J21957" s="3">
        <v>116.93</v>
      </c>
      <c r="K21957" t="s">
        <v>43519</v>
      </c>
      <c r="L21957">
        <v>714</v>
      </c>
      <c r="M21957" t="s">
        <v>1247</v>
      </c>
      <c r="N21957" t="s">
        <v>17932</v>
      </c>
      <c r="O21957" t="s">
        <v>31</v>
      </c>
      <c r="P21957" t="str">
        <f>"15140"</f>
        <v>15140</v>
      </c>
    </row>
    <row r="21958" spans="1:16" x14ac:dyDescent="0.25">
      <c r="A21958" t="str">
        <f>"8330014M00085    00"</f>
        <v>8330014M00085    00</v>
      </c>
      <c r="B21958" t="s">
        <v>47504</v>
      </c>
      <c r="C21958" t="s">
        <v>40122</v>
      </c>
      <c r="D21958" t="s">
        <v>20</v>
      </c>
      <c r="E21958" t="s">
        <v>39</v>
      </c>
      <c r="F21958">
        <v>0</v>
      </c>
      <c r="G21958">
        <v>0</v>
      </c>
      <c r="H21958">
        <v>4</v>
      </c>
      <c r="I21958" s="3">
        <v>36.65</v>
      </c>
      <c r="J21958" s="3">
        <v>4.54</v>
      </c>
      <c r="L21958">
        <v>249</v>
      </c>
      <c r="M21958" t="s">
        <v>47505</v>
      </c>
      <c r="N21958" t="s">
        <v>47506</v>
      </c>
      <c r="O21958" t="s">
        <v>9696</v>
      </c>
      <c r="P21958" t="str">
        <f>"46818"</f>
        <v>46818</v>
      </c>
    </row>
    <row r="21959" spans="1:16" x14ac:dyDescent="0.25">
      <c r="A21959" t="str">
        <f>"8330014M00087    00"</f>
        <v>8330014M00087    00</v>
      </c>
      <c r="B21959" t="s">
        <v>47507</v>
      </c>
      <c r="C21959" t="s">
        <v>47508</v>
      </c>
      <c r="E21959" t="s">
        <v>39</v>
      </c>
      <c r="F21959">
        <v>0</v>
      </c>
      <c r="G21959">
        <v>0</v>
      </c>
      <c r="H21959">
        <v>1</v>
      </c>
      <c r="I21959" s="3">
        <v>32.69</v>
      </c>
      <c r="J21959" s="3">
        <v>6.54</v>
      </c>
      <c r="L21959">
        <v>123</v>
      </c>
      <c r="M21959" t="s">
        <v>40107</v>
      </c>
      <c r="N21959" t="s">
        <v>30</v>
      </c>
      <c r="O21959" t="s">
        <v>31</v>
      </c>
      <c r="P21959" t="str">
        <f>"15210"</f>
        <v>15210</v>
      </c>
    </row>
    <row r="21960" spans="1:16" x14ac:dyDescent="0.25">
      <c r="A21960" t="str">
        <f>"8330014M00092    00"</f>
        <v>8330014M00092    00</v>
      </c>
      <c r="B21960" t="s">
        <v>47509</v>
      </c>
      <c r="C21960" t="s">
        <v>47510</v>
      </c>
      <c r="D21960" t="s">
        <v>20</v>
      </c>
      <c r="E21960" t="s">
        <v>39</v>
      </c>
      <c r="F21960">
        <v>0</v>
      </c>
      <c r="G21960">
        <v>0</v>
      </c>
      <c r="H21960">
        <v>8</v>
      </c>
      <c r="I21960" s="3">
        <v>2332.96</v>
      </c>
      <c r="J21960" s="3">
        <v>772.95</v>
      </c>
      <c r="K21960" t="s">
        <v>47511</v>
      </c>
      <c r="L21960">
        <v>113</v>
      </c>
      <c r="M21960" t="s">
        <v>40107</v>
      </c>
      <c r="N21960" t="s">
        <v>30</v>
      </c>
      <c r="O21960" t="s">
        <v>31</v>
      </c>
      <c r="P21960" t="str">
        <f>"15210"</f>
        <v>15210</v>
      </c>
    </row>
    <row r="21961" spans="1:16" x14ac:dyDescent="0.25">
      <c r="A21961" t="str">
        <f>"8330014M00093    00"</f>
        <v>8330014M00093    00</v>
      </c>
      <c r="B21961" t="s">
        <v>47512</v>
      </c>
      <c r="C21961" t="s">
        <v>40122</v>
      </c>
      <c r="D21961" t="s">
        <v>20</v>
      </c>
      <c r="E21961" t="s">
        <v>39</v>
      </c>
      <c r="F21961">
        <v>0</v>
      </c>
      <c r="G21961">
        <v>0</v>
      </c>
      <c r="H21961">
        <v>17</v>
      </c>
      <c r="I21961" s="3">
        <v>3012.24</v>
      </c>
      <c r="J21961" s="3">
        <v>2311.21</v>
      </c>
      <c r="L21961">
        <v>111</v>
      </c>
      <c r="M21961" t="s">
        <v>40107</v>
      </c>
      <c r="N21961" t="s">
        <v>30</v>
      </c>
      <c r="O21961" t="s">
        <v>31</v>
      </c>
      <c r="P21961" t="str">
        <f>"15210"</f>
        <v>15210</v>
      </c>
    </row>
    <row r="21962" spans="1:16" x14ac:dyDescent="0.25">
      <c r="A21962" t="str">
        <f>"8330014M00100    00"</f>
        <v>8330014M00100    00</v>
      </c>
      <c r="B21962" t="s">
        <v>47513</v>
      </c>
      <c r="C21962" t="s">
        <v>47514</v>
      </c>
      <c r="D21962" t="s">
        <v>20</v>
      </c>
      <c r="E21962" t="s">
        <v>39</v>
      </c>
      <c r="F21962">
        <v>0</v>
      </c>
      <c r="G21962">
        <v>0</v>
      </c>
      <c r="H21962">
        <v>1</v>
      </c>
      <c r="I21962" s="3">
        <v>737.86</v>
      </c>
      <c r="J21962" s="3">
        <v>0</v>
      </c>
      <c r="L21962">
        <v>2821</v>
      </c>
      <c r="M21962" t="s">
        <v>47515</v>
      </c>
      <c r="N21962" t="s">
        <v>30</v>
      </c>
      <c r="O21962" t="s">
        <v>31</v>
      </c>
      <c r="P21962" t="str">
        <f>"15227"</f>
        <v>15227</v>
      </c>
    </row>
    <row r="21963" spans="1:16" x14ac:dyDescent="0.25">
      <c r="A21963" t="str">
        <f>"8330014M00102    00"</f>
        <v>8330014M00102    00</v>
      </c>
      <c r="B21963" t="s">
        <v>47516</v>
      </c>
      <c r="C21963" t="s">
        <v>23201</v>
      </c>
      <c r="D21963" t="s">
        <v>20</v>
      </c>
      <c r="E21963" t="s">
        <v>21</v>
      </c>
      <c r="F21963">
        <v>0</v>
      </c>
      <c r="G21963">
        <v>0</v>
      </c>
      <c r="H21963">
        <v>19</v>
      </c>
      <c r="I21963" s="3">
        <v>5910.5</v>
      </c>
      <c r="J21963" s="3">
        <v>6774.37</v>
      </c>
      <c r="L21963">
        <v>113</v>
      </c>
      <c r="M21963" t="s">
        <v>23543</v>
      </c>
      <c r="N21963" t="s">
        <v>30</v>
      </c>
      <c r="O21963" t="s">
        <v>31</v>
      </c>
      <c r="P21963" t="str">
        <f>"15210"</f>
        <v>15210</v>
      </c>
    </row>
    <row r="21964" spans="1:16" x14ac:dyDescent="0.25">
      <c r="A21964" t="str">
        <f>"8330014M00111    00"</f>
        <v>8330014M00111    00</v>
      </c>
      <c r="B21964" t="s">
        <v>47517</v>
      </c>
      <c r="C21964" t="s">
        <v>47518</v>
      </c>
      <c r="D21964" t="s">
        <v>20</v>
      </c>
      <c r="E21964" t="s">
        <v>39</v>
      </c>
      <c r="F21964">
        <v>0</v>
      </c>
      <c r="G21964">
        <v>0</v>
      </c>
      <c r="H21964">
        <v>3</v>
      </c>
      <c r="I21964" s="3">
        <v>913.32</v>
      </c>
      <c r="J21964" s="3">
        <v>134.80000000000001</v>
      </c>
      <c r="K21964" t="s">
        <v>47519</v>
      </c>
      <c r="L21964">
        <v>239</v>
      </c>
      <c r="M21964" t="s">
        <v>4730</v>
      </c>
      <c r="N21964" t="s">
        <v>30</v>
      </c>
      <c r="O21964" t="s">
        <v>31</v>
      </c>
      <c r="P21964" t="str">
        <f>"15222"</f>
        <v>15222</v>
      </c>
    </row>
    <row r="21965" spans="1:16" x14ac:dyDescent="0.25">
      <c r="A21965" t="str">
        <f>"8330014M00120    00"</f>
        <v>8330014M00120    00</v>
      </c>
      <c r="B21965" t="s">
        <v>47520</v>
      </c>
      <c r="C21965" t="s">
        <v>47521</v>
      </c>
      <c r="D21965" t="s">
        <v>20</v>
      </c>
      <c r="E21965" t="s">
        <v>39</v>
      </c>
      <c r="F21965">
        <v>0</v>
      </c>
      <c r="G21965">
        <v>0</v>
      </c>
      <c r="H21965">
        <v>17</v>
      </c>
      <c r="I21965" s="3">
        <v>4080.98</v>
      </c>
      <c r="J21965" s="3">
        <v>5797.68</v>
      </c>
      <c r="P21965" t="str">
        <f>"99999"</f>
        <v>99999</v>
      </c>
    </row>
    <row r="21966" spans="1:16" x14ac:dyDescent="0.25">
      <c r="A21966" t="str">
        <f>"8330014M00121    00"</f>
        <v>8330014M00121    00</v>
      </c>
      <c r="B21966" t="s">
        <v>47522</v>
      </c>
      <c r="C21966" t="s">
        <v>47521</v>
      </c>
      <c r="D21966" t="s">
        <v>20</v>
      </c>
      <c r="E21966" t="s">
        <v>39</v>
      </c>
      <c r="F21966">
        <v>0</v>
      </c>
      <c r="G21966">
        <v>0</v>
      </c>
      <c r="H21966">
        <v>12</v>
      </c>
      <c r="I21966" s="3">
        <v>3095.78</v>
      </c>
      <c r="J21966" s="3">
        <v>2275.63</v>
      </c>
      <c r="L21966">
        <v>3682</v>
      </c>
      <c r="M21966" t="s">
        <v>47523</v>
      </c>
      <c r="N21966" t="s">
        <v>31521</v>
      </c>
      <c r="O21966" t="s">
        <v>31</v>
      </c>
      <c r="P21966" t="str">
        <f>"19006"</f>
        <v>19006</v>
      </c>
    </row>
    <row r="21967" spans="1:16" x14ac:dyDescent="0.25">
      <c r="A21967" t="str">
        <f>"8330014M00122    00"</f>
        <v>8330014M00122    00</v>
      </c>
      <c r="B21967" t="s">
        <v>47524</v>
      </c>
      <c r="C21967" t="s">
        <v>47525</v>
      </c>
      <c r="D21967" t="s">
        <v>20</v>
      </c>
      <c r="E21967" t="s">
        <v>39</v>
      </c>
      <c r="F21967">
        <v>0</v>
      </c>
      <c r="G21967">
        <v>0</v>
      </c>
      <c r="H21967">
        <v>5</v>
      </c>
      <c r="I21967" s="3">
        <v>1046.75</v>
      </c>
      <c r="J21967" s="3">
        <v>27.83</v>
      </c>
      <c r="L21967">
        <v>1114</v>
      </c>
      <c r="M21967" t="s">
        <v>2678</v>
      </c>
      <c r="N21967" t="s">
        <v>8991</v>
      </c>
      <c r="O21967" t="s">
        <v>31</v>
      </c>
      <c r="P21967" t="str">
        <f>"15145"</f>
        <v>15145</v>
      </c>
    </row>
    <row r="21968" spans="1:16" x14ac:dyDescent="0.25">
      <c r="A21968" t="str">
        <f>"8330014M00124    00"</f>
        <v>8330014M00124    00</v>
      </c>
      <c r="B21968" t="s">
        <v>47526</v>
      </c>
      <c r="C21968" t="s">
        <v>47527</v>
      </c>
      <c r="E21968" t="s">
        <v>39</v>
      </c>
      <c r="F21968">
        <v>0</v>
      </c>
      <c r="G21968">
        <v>0</v>
      </c>
      <c r="H21968">
        <v>1</v>
      </c>
      <c r="I21968" s="3">
        <v>177.12</v>
      </c>
      <c r="J21968" s="3">
        <v>88.56</v>
      </c>
      <c r="K21968" t="s">
        <v>47528</v>
      </c>
      <c r="L21968">
        <v>1300</v>
      </c>
      <c r="M21968" t="s">
        <v>47529</v>
      </c>
      <c r="N21968" t="s">
        <v>102</v>
      </c>
      <c r="O21968" t="s">
        <v>31</v>
      </c>
      <c r="P21968" t="str">
        <f>"19025"</f>
        <v>19025</v>
      </c>
    </row>
    <row r="21969" spans="1:16" x14ac:dyDescent="0.25">
      <c r="A21969" t="str">
        <f>"8330014M00125    00"</f>
        <v>8330014M00125    00</v>
      </c>
      <c r="B21969" t="s">
        <v>47530</v>
      </c>
      <c r="C21969" t="s">
        <v>47531</v>
      </c>
      <c r="D21969" t="s">
        <v>20</v>
      </c>
      <c r="E21969" t="s">
        <v>39</v>
      </c>
      <c r="F21969">
        <v>0</v>
      </c>
      <c r="G21969">
        <v>0</v>
      </c>
      <c r="H21969">
        <v>18</v>
      </c>
      <c r="I21969" s="3">
        <v>4272.0200000000004</v>
      </c>
      <c r="J21969" s="3">
        <v>4657.96</v>
      </c>
      <c r="L21969">
        <v>120</v>
      </c>
      <c r="M21969" t="s">
        <v>47532</v>
      </c>
      <c r="N21969" t="s">
        <v>30</v>
      </c>
      <c r="O21969" t="s">
        <v>31</v>
      </c>
      <c r="P21969" t="str">
        <f>"15211"</f>
        <v>15211</v>
      </c>
    </row>
    <row r="21970" spans="1:16" x14ac:dyDescent="0.25">
      <c r="A21970" t="str">
        <f>"8330014M00126    00"</f>
        <v>8330014M00126    00</v>
      </c>
      <c r="B21970" t="s">
        <v>47533</v>
      </c>
      <c r="C21970" t="s">
        <v>47534</v>
      </c>
      <c r="D21970" t="s">
        <v>20</v>
      </c>
      <c r="E21970" t="s">
        <v>39</v>
      </c>
      <c r="F21970">
        <v>0</v>
      </c>
      <c r="G21970">
        <v>0</v>
      </c>
      <c r="H21970">
        <v>19</v>
      </c>
      <c r="I21970" s="3">
        <v>6644.99</v>
      </c>
      <c r="J21970" s="3">
        <v>7495.32</v>
      </c>
      <c r="L21970">
        <v>125</v>
      </c>
      <c r="M21970" t="s">
        <v>47535</v>
      </c>
      <c r="N21970" t="s">
        <v>30</v>
      </c>
      <c r="O21970" t="s">
        <v>31</v>
      </c>
      <c r="P21970" t="str">
        <f>"15210"</f>
        <v>15210</v>
      </c>
    </row>
    <row r="21971" spans="1:16" x14ac:dyDescent="0.25">
      <c r="A21971" t="str">
        <f>"8330014M00127    00"</f>
        <v>8330014M00127    00</v>
      </c>
      <c r="B21971" t="s">
        <v>47536</v>
      </c>
      <c r="C21971" t="s">
        <v>47537</v>
      </c>
      <c r="D21971" t="s">
        <v>20</v>
      </c>
      <c r="E21971" t="s">
        <v>39</v>
      </c>
      <c r="F21971">
        <v>0</v>
      </c>
      <c r="G21971">
        <v>0</v>
      </c>
      <c r="H21971">
        <v>1</v>
      </c>
      <c r="I21971" s="3">
        <v>246.01</v>
      </c>
      <c r="J21971" s="3">
        <v>0</v>
      </c>
      <c r="K21971" t="s">
        <v>47538</v>
      </c>
      <c r="L21971">
        <v>3</v>
      </c>
      <c r="M21971" t="s">
        <v>47539</v>
      </c>
      <c r="N21971" t="s">
        <v>30</v>
      </c>
      <c r="O21971" t="s">
        <v>31</v>
      </c>
      <c r="P21971" t="str">
        <f>"15207"</f>
        <v>15207</v>
      </c>
    </row>
    <row r="21972" spans="1:16" x14ac:dyDescent="0.25">
      <c r="A21972" t="str">
        <f>"8330014M00129    00"</f>
        <v>8330014M00129    00</v>
      </c>
      <c r="B21972" t="s">
        <v>47540</v>
      </c>
      <c r="C21972" t="s">
        <v>47541</v>
      </c>
      <c r="D21972" t="s">
        <v>20</v>
      </c>
      <c r="E21972" t="s">
        <v>39</v>
      </c>
      <c r="F21972">
        <v>0</v>
      </c>
      <c r="G21972">
        <v>0</v>
      </c>
      <c r="H21972">
        <v>19</v>
      </c>
      <c r="I21972" s="3">
        <v>7414.59</v>
      </c>
      <c r="J21972" s="3">
        <v>8336.07</v>
      </c>
      <c r="L21972">
        <v>2029</v>
      </c>
      <c r="M21972" t="s">
        <v>24535</v>
      </c>
      <c r="N21972" t="s">
        <v>30</v>
      </c>
      <c r="O21972" t="s">
        <v>31</v>
      </c>
      <c r="P21972" t="str">
        <f>"15203"</f>
        <v>15203</v>
      </c>
    </row>
    <row r="21973" spans="1:16" x14ac:dyDescent="0.25">
      <c r="A21973" t="str">
        <f>"8330014M00132    00"</f>
        <v>8330014M00132    00</v>
      </c>
      <c r="B21973" t="s">
        <v>45671</v>
      </c>
      <c r="C21973" t="s">
        <v>47542</v>
      </c>
      <c r="D21973" t="s">
        <v>20</v>
      </c>
      <c r="E21973" t="s">
        <v>39</v>
      </c>
      <c r="F21973">
        <v>0</v>
      </c>
      <c r="G21973">
        <v>0</v>
      </c>
      <c r="H21973">
        <v>3</v>
      </c>
      <c r="I21973" s="3">
        <v>1231.81</v>
      </c>
      <c r="J21973" s="3">
        <v>196.42</v>
      </c>
      <c r="L21973">
        <v>239</v>
      </c>
      <c r="M21973" t="s">
        <v>45555</v>
      </c>
      <c r="N21973" t="s">
        <v>30</v>
      </c>
      <c r="O21973" t="s">
        <v>31</v>
      </c>
      <c r="P21973" t="str">
        <f>"15210"</f>
        <v>15210</v>
      </c>
    </row>
    <row r="21974" spans="1:16" x14ac:dyDescent="0.25">
      <c r="A21974" t="str">
        <f>"8330014M00150    00"</f>
        <v>8330014M00150    00</v>
      </c>
      <c r="B21974" t="s">
        <v>47543</v>
      </c>
      <c r="C21974" t="s">
        <v>47544</v>
      </c>
      <c r="D21974" t="s">
        <v>20</v>
      </c>
      <c r="E21974" t="s">
        <v>39</v>
      </c>
      <c r="F21974">
        <v>0</v>
      </c>
      <c r="G21974">
        <v>0</v>
      </c>
      <c r="H21974">
        <v>4</v>
      </c>
      <c r="I21974" s="3">
        <v>1120.29</v>
      </c>
      <c r="J21974" s="3">
        <v>244.42</v>
      </c>
      <c r="K21974" t="s">
        <v>47545</v>
      </c>
      <c r="L21974">
        <v>413</v>
      </c>
      <c r="M21974" t="s">
        <v>47546</v>
      </c>
      <c r="N21974" t="s">
        <v>30</v>
      </c>
      <c r="O21974" t="s">
        <v>31</v>
      </c>
      <c r="P21974" t="str">
        <f>"15213"</f>
        <v>15213</v>
      </c>
    </row>
    <row r="21975" spans="1:16" x14ac:dyDescent="0.25">
      <c r="A21975" t="str">
        <f>"8330014M00151    00"</f>
        <v>8330014M00151    00</v>
      </c>
      <c r="B21975" t="s">
        <v>47547</v>
      </c>
      <c r="C21975" t="s">
        <v>47548</v>
      </c>
      <c r="D21975" t="s">
        <v>20</v>
      </c>
      <c r="E21975" t="s">
        <v>39</v>
      </c>
      <c r="F21975">
        <v>0</v>
      </c>
      <c r="G21975">
        <v>0</v>
      </c>
      <c r="H21975">
        <v>1</v>
      </c>
      <c r="I21975" s="3">
        <v>396.68</v>
      </c>
      <c r="J21975" s="3">
        <v>0</v>
      </c>
      <c r="L21975">
        <v>5831</v>
      </c>
      <c r="M21975" t="s">
        <v>47549</v>
      </c>
      <c r="N21975" t="s">
        <v>30</v>
      </c>
      <c r="O21975" t="s">
        <v>31</v>
      </c>
      <c r="P21975" t="str">
        <f>"15217"</f>
        <v>15217</v>
      </c>
    </row>
    <row r="21976" spans="1:16" x14ac:dyDescent="0.25">
      <c r="A21976" t="str">
        <f>"8330014M00153    00"</f>
        <v>8330014M00153    00</v>
      </c>
      <c r="B21976" t="s">
        <v>47550</v>
      </c>
      <c r="C21976" t="s">
        <v>47551</v>
      </c>
      <c r="D21976" t="s">
        <v>20</v>
      </c>
      <c r="E21976" t="s">
        <v>39</v>
      </c>
      <c r="F21976">
        <v>0</v>
      </c>
      <c r="G21976">
        <v>0</v>
      </c>
      <c r="H21976">
        <v>8</v>
      </c>
      <c r="I21976" s="3">
        <v>2653.67</v>
      </c>
      <c r="J21976" s="3">
        <v>879.2</v>
      </c>
      <c r="K21976" t="s">
        <v>47552</v>
      </c>
      <c r="M21976" t="s">
        <v>47553</v>
      </c>
      <c r="N21976" t="s">
        <v>47554</v>
      </c>
      <c r="O21976" t="s">
        <v>31</v>
      </c>
      <c r="P21976" t="str">
        <f>"16254"</f>
        <v>16254</v>
      </c>
    </row>
    <row r="21977" spans="1:16" x14ac:dyDescent="0.25">
      <c r="A21977" t="str">
        <f>"8330014M00160    00"</f>
        <v>8330014M00160    00</v>
      </c>
      <c r="B21977" t="s">
        <v>47555</v>
      </c>
      <c r="C21977" t="s">
        <v>47556</v>
      </c>
      <c r="D21977" t="s">
        <v>20</v>
      </c>
      <c r="E21977" t="s">
        <v>39</v>
      </c>
      <c r="F21977">
        <v>0</v>
      </c>
      <c r="G21977">
        <v>0</v>
      </c>
      <c r="H21977">
        <v>6</v>
      </c>
      <c r="I21977" s="3">
        <v>1654.71</v>
      </c>
      <c r="J21977" s="3">
        <v>589.54</v>
      </c>
      <c r="L21977">
        <v>3431</v>
      </c>
      <c r="M21977" t="s">
        <v>33418</v>
      </c>
      <c r="N21977" t="s">
        <v>30</v>
      </c>
      <c r="O21977" t="s">
        <v>31</v>
      </c>
      <c r="P21977" t="str">
        <f>"15204"</f>
        <v>15204</v>
      </c>
    </row>
    <row r="21978" spans="1:16" x14ac:dyDescent="0.25">
      <c r="A21978" t="str">
        <f>"8330014M00165    00"</f>
        <v>8330014M00165    00</v>
      </c>
      <c r="B21978" t="s">
        <v>47557</v>
      </c>
      <c r="C21978" t="s">
        <v>47558</v>
      </c>
      <c r="D21978" t="s">
        <v>20</v>
      </c>
      <c r="E21978" t="s">
        <v>39</v>
      </c>
      <c r="F21978">
        <v>0</v>
      </c>
      <c r="G21978">
        <v>0</v>
      </c>
      <c r="H21978">
        <v>19</v>
      </c>
      <c r="I21978" s="3">
        <v>4166.6499999999996</v>
      </c>
      <c r="J21978" s="3">
        <v>4756.9399999999996</v>
      </c>
      <c r="K21978" t="s">
        <v>47559</v>
      </c>
      <c r="L21978">
        <v>133</v>
      </c>
      <c r="M21978" t="s">
        <v>47560</v>
      </c>
      <c r="N21978" t="s">
        <v>30</v>
      </c>
      <c r="O21978" t="s">
        <v>31</v>
      </c>
      <c r="P21978" t="str">
        <f>"15210"</f>
        <v>15210</v>
      </c>
    </row>
    <row r="21979" spans="1:16" x14ac:dyDescent="0.25">
      <c r="A21979" t="str">
        <f>"8330014M00168    00"</f>
        <v>8330014M00168    00</v>
      </c>
      <c r="B21979" t="s">
        <v>47561</v>
      </c>
      <c r="C21979" t="s">
        <v>47562</v>
      </c>
      <c r="D21979" t="s">
        <v>20</v>
      </c>
      <c r="E21979" t="s">
        <v>39</v>
      </c>
      <c r="F21979">
        <v>0</v>
      </c>
      <c r="G21979">
        <v>0</v>
      </c>
      <c r="H21979">
        <v>6</v>
      </c>
      <c r="I21979" s="3">
        <v>4462.7700000000004</v>
      </c>
      <c r="J21979" s="3">
        <v>731.15</v>
      </c>
      <c r="K21979" t="s">
        <v>25855</v>
      </c>
      <c r="L21979">
        <v>1420</v>
      </c>
      <c r="M21979" t="s">
        <v>14151</v>
      </c>
      <c r="N21979" t="s">
        <v>30</v>
      </c>
      <c r="O21979" t="s">
        <v>31</v>
      </c>
      <c r="P21979" t="str">
        <f>"15212"</f>
        <v>15212</v>
      </c>
    </row>
    <row r="21980" spans="1:16" x14ac:dyDescent="0.25">
      <c r="A21980" t="str">
        <f>"8330014M00169    00"</f>
        <v>8330014M00169    00</v>
      </c>
      <c r="B21980" t="s">
        <v>47563</v>
      </c>
      <c r="C21980" t="s">
        <v>47564</v>
      </c>
      <c r="D21980" t="s">
        <v>20</v>
      </c>
      <c r="E21980" t="s">
        <v>39</v>
      </c>
      <c r="F21980">
        <v>0</v>
      </c>
      <c r="G21980">
        <v>0</v>
      </c>
      <c r="H21980">
        <v>1</v>
      </c>
      <c r="I21980" s="3">
        <v>72.78</v>
      </c>
      <c r="J21980" s="3">
        <v>0</v>
      </c>
      <c r="K21980" t="s">
        <v>47565</v>
      </c>
      <c r="L21980">
        <v>123</v>
      </c>
      <c r="M21980" t="s">
        <v>47566</v>
      </c>
      <c r="N21980" t="s">
        <v>30</v>
      </c>
      <c r="O21980" t="s">
        <v>31</v>
      </c>
      <c r="P21980" t="str">
        <f>"15210"</f>
        <v>15210</v>
      </c>
    </row>
    <row r="21981" spans="1:16" x14ac:dyDescent="0.25">
      <c r="A21981" t="str">
        <f>"8330014M00170    00"</f>
        <v>8330014M00170    00</v>
      </c>
      <c r="B21981" t="s">
        <v>47563</v>
      </c>
      <c r="C21981" t="s">
        <v>47564</v>
      </c>
      <c r="D21981" t="s">
        <v>20</v>
      </c>
      <c r="E21981" t="s">
        <v>39</v>
      </c>
      <c r="F21981">
        <v>0</v>
      </c>
      <c r="G21981">
        <v>0</v>
      </c>
      <c r="H21981">
        <v>1</v>
      </c>
      <c r="I21981" s="3">
        <v>39.25</v>
      </c>
      <c r="J21981" s="3">
        <v>0</v>
      </c>
      <c r="K21981" t="s">
        <v>47565</v>
      </c>
      <c r="L21981">
        <v>123</v>
      </c>
      <c r="M21981" t="s">
        <v>47560</v>
      </c>
      <c r="N21981" t="s">
        <v>30</v>
      </c>
      <c r="O21981" t="s">
        <v>31</v>
      </c>
      <c r="P21981" t="str">
        <f>"15210"</f>
        <v>15210</v>
      </c>
    </row>
    <row r="21982" spans="1:16" x14ac:dyDescent="0.25">
      <c r="A21982" t="str">
        <f>"8330014M00182    00"</f>
        <v>8330014M00182    00</v>
      </c>
      <c r="B21982" t="s">
        <v>43694</v>
      </c>
      <c r="C21982" t="s">
        <v>47567</v>
      </c>
      <c r="E21982" t="s">
        <v>39</v>
      </c>
      <c r="F21982">
        <v>0</v>
      </c>
      <c r="G21982">
        <v>0</v>
      </c>
      <c r="H21982">
        <v>1</v>
      </c>
      <c r="I21982" s="3">
        <v>327.36</v>
      </c>
      <c r="J21982" s="3">
        <v>103.66</v>
      </c>
      <c r="L21982">
        <v>1812</v>
      </c>
      <c r="M21982" t="s">
        <v>1484</v>
      </c>
      <c r="N21982" t="s">
        <v>30</v>
      </c>
      <c r="O21982" t="s">
        <v>31</v>
      </c>
      <c r="P21982" t="str">
        <f>"15203"</f>
        <v>15203</v>
      </c>
    </row>
    <row r="21983" spans="1:16" x14ac:dyDescent="0.25">
      <c r="A21983" t="str">
        <f>"8330014M00183    00"</f>
        <v>8330014M00183    00</v>
      </c>
      <c r="B21983" t="s">
        <v>47568</v>
      </c>
      <c r="C21983" t="s">
        <v>47569</v>
      </c>
      <c r="D21983" t="s">
        <v>20</v>
      </c>
      <c r="E21983" t="s">
        <v>39</v>
      </c>
      <c r="F21983">
        <v>0</v>
      </c>
      <c r="G21983">
        <v>0</v>
      </c>
      <c r="H21983">
        <v>11</v>
      </c>
      <c r="I21983" s="3">
        <v>4222.5</v>
      </c>
      <c r="J21983" s="3">
        <v>2039.77</v>
      </c>
      <c r="K21983" t="s">
        <v>47570</v>
      </c>
      <c r="L21983">
        <v>926</v>
      </c>
      <c r="M21983" t="s">
        <v>40118</v>
      </c>
      <c r="N21983" t="s">
        <v>30</v>
      </c>
      <c r="O21983" t="s">
        <v>31</v>
      </c>
      <c r="P21983" t="str">
        <f>"15234"</f>
        <v>15234</v>
      </c>
    </row>
    <row r="21984" spans="1:16" x14ac:dyDescent="0.25">
      <c r="A21984" t="str">
        <f>"8330014M00193    00"</f>
        <v>8330014M00193    00</v>
      </c>
      <c r="B21984" t="s">
        <v>47571</v>
      </c>
      <c r="C21984" t="s">
        <v>47572</v>
      </c>
      <c r="D21984" t="s">
        <v>20</v>
      </c>
      <c r="E21984" t="s">
        <v>39</v>
      </c>
      <c r="F21984">
        <v>0</v>
      </c>
      <c r="G21984">
        <v>0</v>
      </c>
      <c r="H21984">
        <v>11</v>
      </c>
      <c r="I21984" s="3">
        <v>3255.68</v>
      </c>
      <c r="J21984" s="3">
        <v>2842.84</v>
      </c>
      <c r="K21984" t="s">
        <v>47573</v>
      </c>
      <c r="L21984">
        <v>511</v>
      </c>
      <c r="M21984" t="s">
        <v>47574</v>
      </c>
      <c r="N21984" t="s">
        <v>2943</v>
      </c>
      <c r="O21984" t="s">
        <v>31</v>
      </c>
      <c r="P21984" t="str">
        <f>"15025"</f>
        <v>15025</v>
      </c>
    </row>
    <row r="21985" spans="1:16" x14ac:dyDescent="0.25">
      <c r="A21985" t="str">
        <f>"8330014M00198    00"</f>
        <v>8330014M00198    00</v>
      </c>
      <c r="B21985" t="s">
        <v>47575</v>
      </c>
      <c r="C21985" t="s">
        <v>47576</v>
      </c>
      <c r="E21985" t="s">
        <v>39</v>
      </c>
      <c r="F21985">
        <v>0</v>
      </c>
      <c r="G21985">
        <v>0</v>
      </c>
      <c r="H21985">
        <v>3</v>
      </c>
      <c r="I21985" s="3">
        <v>346.52</v>
      </c>
      <c r="J21985" s="3">
        <v>85.34</v>
      </c>
      <c r="K21985" t="s">
        <v>47577</v>
      </c>
      <c r="L21985">
        <v>222</v>
      </c>
      <c r="M21985" t="s">
        <v>1407</v>
      </c>
      <c r="N21985" t="s">
        <v>30</v>
      </c>
      <c r="O21985" t="s">
        <v>31</v>
      </c>
      <c r="P21985" t="str">
        <f>"15210"</f>
        <v>15210</v>
      </c>
    </row>
    <row r="21986" spans="1:16" x14ac:dyDescent="0.25">
      <c r="A21986" t="str">
        <f>"8330014M00205    00"</f>
        <v>8330014M00205    00</v>
      </c>
      <c r="B21986" t="s">
        <v>47578</v>
      </c>
      <c r="C21986" t="s">
        <v>47579</v>
      </c>
      <c r="E21986" t="s">
        <v>21</v>
      </c>
      <c r="F21986">
        <v>0</v>
      </c>
      <c r="G21986">
        <v>0</v>
      </c>
      <c r="H21986">
        <v>2</v>
      </c>
      <c r="I21986" s="3">
        <v>1760.95</v>
      </c>
      <c r="J21986" s="3">
        <v>70.11</v>
      </c>
      <c r="K21986" t="s">
        <v>47580</v>
      </c>
      <c r="L21986">
        <v>100</v>
      </c>
      <c r="M21986" t="s">
        <v>47581</v>
      </c>
      <c r="N21986" t="s">
        <v>47582</v>
      </c>
      <c r="O21986" t="s">
        <v>200</v>
      </c>
      <c r="P21986" t="str">
        <f>"11721"</f>
        <v>11721</v>
      </c>
    </row>
    <row r="21987" spans="1:16" x14ac:dyDescent="0.25">
      <c r="A21987" t="str">
        <f>"8330014M00210    00"</f>
        <v>8330014M00210    00</v>
      </c>
      <c r="B21987" t="s">
        <v>47583</v>
      </c>
      <c r="C21987" t="s">
        <v>47584</v>
      </c>
      <c r="E21987" t="s">
        <v>21</v>
      </c>
      <c r="F21987">
        <v>0</v>
      </c>
      <c r="G21987">
        <v>0</v>
      </c>
      <c r="H21987">
        <v>1</v>
      </c>
      <c r="I21987" s="3">
        <v>12.65</v>
      </c>
      <c r="J21987" s="3">
        <v>1.26</v>
      </c>
      <c r="K21987" t="s">
        <v>7050</v>
      </c>
      <c r="L21987">
        <v>901</v>
      </c>
      <c r="M21987" t="s">
        <v>6264</v>
      </c>
      <c r="N21987" t="s">
        <v>30</v>
      </c>
      <c r="O21987" t="s">
        <v>31</v>
      </c>
      <c r="P21987" t="str">
        <f>"15203"</f>
        <v>15203</v>
      </c>
    </row>
    <row r="21988" spans="1:16" x14ac:dyDescent="0.25">
      <c r="A21988" t="str">
        <f>"8330014M00215    00"</f>
        <v>8330014M00215    00</v>
      </c>
      <c r="B21988" t="s">
        <v>1068</v>
      </c>
      <c r="C21988" t="s">
        <v>47585</v>
      </c>
      <c r="D21988" t="s">
        <v>20</v>
      </c>
      <c r="E21988" t="s">
        <v>39</v>
      </c>
      <c r="F21988">
        <v>0</v>
      </c>
      <c r="G21988">
        <v>0</v>
      </c>
      <c r="H21988">
        <v>3</v>
      </c>
      <c r="I21988" s="3">
        <v>422.49</v>
      </c>
      <c r="J21988" s="3">
        <v>215.65</v>
      </c>
      <c r="L21988">
        <v>800</v>
      </c>
      <c r="M21988" t="s">
        <v>1070</v>
      </c>
      <c r="N21988" t="s">
        <v>30</v>
      </c>
      <c r="O21988" t="s">
        <v>31</v>
      </c>
      <c r="P21988" t="str">
        <f>"15219"</f>
        <v>15219</v>
      </c>
    </row>
    <row r="21989" spans="1:16" x14ac:dyDescent="0.25">
      <c r="A21989" t="str">
        <f>"8330014M00222    00"</f>
        <v>8330014M00222    00</v>
      </c>
      <c r="B21989" t="s">
        <v>47586</v>
      </c>
      <c r="C21989" t="s">
        <v>47587</v>
      </c>
      <c r="D21989" t="s">
        <v>20</v>
      </c>
      <c r="E21989" t="s">
        <v>39</v>
      </c>
      <c r="F21989">
        <v>0</v>
      </c>
      <c r="G21989">
        <v>0</v>
      </c>
      <c r="H21989">
        <v>6</v>
      </c>
      <c r="I21989" s="3">
        <v>2262.33</v>
      </c>
      <c r="J21989" s="3">
        <v>518.09</v>
      </c>
      <c r="L21989">
        <v>439</v>
      </c>
      <c r="M21989" t="s">
        <v>35515</v>
      </c>
      <c r="N21989" t="s">
        <v>30</v>
      </c>
      <c r="O21989" t="s">
        <v>31</v>
      </c>
      <c r="P21989" t="str">
        <f>"15236"</f>
        <v>15236</v>
      </c>
    </row>
    <row r="21990" spans="1:16" x14ac:dyDescent="0.25">
      <c r="A21990" t="str">
        <f>"8330014M00231    00"</f>
        <v>8330014M00231    00</v>
      </c>
      <c r="B21990" t="s">
        <v>47588</v>
      </c>
      <c r="C21990" t="s">
        <v>47589</v>
      </c>
      <c r="D21990" t="s">
        <v>20</v>
      </c>
      <c r="E21990" t="s">
        <v>39</v>
      </c>
      <c r="F21990">
        <v>0</v>
      </c>
      <c r="G21990">
        <v>0</v>
      </c>
      <c r="H21990">
        <v>15</v>
      </c>
      <c r="I21990" s="3">
        <v>3835.35</v>
      </c>
      <c r="J21990" s="3">
        <v>3164.4</v>
      </c>
      <c r="L21990">
        <v>110</v>
      </c>
      <c r="M21990" t="s">
        <v>267</v>
      </c>
      <c r="N21990" t="s">
        <v>30</v>
      </c>
      <c r="O21990" t="s">
        <v>31</v>
      </c>
      <c r="P21990" t="str">
        <f>"15210"</f>
        <v>15210</v>
      </c>
    </row>
    <row r="21991" spans="1:16" x14ac:dyDescent="0.25">
      <c r="A21991" t="str">
        <f>"8330014M00232    00"</f>
        <v>8330014M00232    00</v>
      </c>
      <c r="B21991" t="s">
        <v>47590</v>
      </c>
      <c r="C21991" t="s">
        <v>47591</v>
      </c>
      <c r="E21991" t="s">
        <v>39</v>
      </c>
      <c r="F21991">
        <v>0</v>
      </c>
      <c r="G21991">
        <v>0</v>
      </c>
      <c r="H21991">
        <v>1</v>
      </c>
      <c r="I21991" s="3">
        <v>407.95</v>
      </c>
      <c r="J21991" s="3">
        <v>129.18</v>
      </c>
      <c r="K21991" t="s">
        <v>4305</v>
      </c>
      <c r="L21991">
        <v>3001</v>
      </c>
      <c r="M21991" t="s">
        <v>330</v>
      </c>
      <c r="N21991" t="s">
        <v>331</v>
      </c>
      <c r="O21991" t="s">
        <v>108</v>
      </c>
      <c r="P21991" t="str">
        <f>"75063"</f>
        <v>75063</v>
      </c>
    </row>
    <row r="21992" spans="1:16" x14ac:dyDescent="0.25">
      <c r="A21992" t="str">
        <f>"8330014M00234    00"</f>
        <v>8330014M00234    00</v>
      </c>
      <c r="B21992" t="s">
        <v>47592</v>
      </c>
      <c r="C21992" t="s">
        <v>47593</v>
      </c>
      <c r="D21992" t="s">
        <v>20</v>
      </c>
      <c r="E21992" t="s">
        <v>39</v>
      </c>
      <c r="F21992">
        <v>0</v>
      </c>
      <c r="G21992">
        <v>0</v>
      </c>
      <c r="H21992">
        <v>3</v>
      </c>
      <c r="I21992" s="3">
        <v>2353.8000000000002</v>
      </c>
      <c r="J21992" s="3">
        <v>307.64</v>
      </c>
      <c r="L21992">
        <v>810</v>
      </c>
      <c r="M21992" t="s">
        <v>47594</v>
      </c>
      <c r="N21992" t="s">
        <v>238</v>
      </c>
      <c r="O21992" t="s">
        <v>31</v>
      </c>
      <c r="P21992" t="str">
        <f>"15132"</f>
        <v>15132</v>
      </c>
    </row>
    <row r="21993" spans="1:16" x14ac:dyDescent="0.25">
      <c r="A21993" t="str">
        <f>"8330014M00259    00"</f>
        <v>8330014M00259    00</v>
      </c>
      <c r="B21993" t="s">
        <v>47595</v>
      </c>
      <c r="C21993" t="s">
        <v>47596</v>
      </c>
      <c r="D21993" t="s">
        <v>20</v>
      </c>
      <c r="E21993" t="s">
        <v>21</v>
      </c>
      <c r="F21993">
        <v>0</v>
      </c>
      <c r="G21993">
        <v>0</v>
      </c>
      <c r="H21993">
        <v>3</v>
      </c>
      <c r="I21993" s="3">
        <v>3191.85</v>
      </c>
      <c r="J21993" s="3">
        <v>212.78</v>
      </c>
      <c r="L21993">
        <v>114</v>
      </c>
      <c r="M21993" t="s">
        <v>47597</v>
      </c>
      <c r="N21993" t="s">
        <v>1067</v>
      </c>
      <c r="O21993" t="s">
        <v>31</v>
      </c>
      <c r="P21993" t="str">
        <f>"15143"</f>
        <v>15143</v>
      </c>
    </row>
    <row r="21994" spans="1:16" x14ac:dyDescent="0.25">
      <c r="A21994" t="str">
        <f>"8330014M00272    00"</f>
        <v>8330014M00272    00</v>
      </c>
      <c r="B21994" t="s">
        <v>47598</v>
      </c>
      <c r="C21994" t="s">
        <v>47599</v>
      </c>
      <c r="D21994" t="s">
        <v>20</v>
      </c>
      <c r="E21994" t="s">
        <v>21</v>
      </c>
      <c r="F21994">
        <v>0</v>
      </c>
      <c r="G21994">
        <v>0</v>
      </c>
      <c r="H21994">
        <v>1</v>
      </c>
      <c r="I21994" s="3">
        <v>474.06</v>
      </c>
      <c r="J21994" s="3">
        <v>189.61</v>
      </c>
      <c r="K21994" t="s">
        <v>47600</v>
      </c>
      <c r="L21994">
        <v>233</v>
      </c>
      <c r="M21994" t="s">
        <v>47601</v>
      </c>
      <c r="N21994" t="s">
        <v>30</v>
      </c>
      <c r="O21994" t="s">
        <v>31</v>
      </c>
      <c r="P21994" t="str">
        <f>"15212"</f>
        <v>15212</v>
      </c>
    </row>
    <row r="21995" spans="1:16" x14ac:dyDescent="0.25">
      <c r="A21995" t="str">
        <f>"8330014M00276    00"</f>
        <v>8330014M00276    00</v>
      </c>
      <c r="B21995" t="s">
        <v>47602</v>
      </c>
      <c r="C21995" t="s">
        <v>47603</v>
      </c>
      <c r="D21995" t="s">
        <v>20</v>
      </c>
      <c r="E21995" t="s">
        <v>21</v>
      </c>
      <c r="F21995">
        <v>0</v>
      </c>
      <c r="G21995">
        <v>0</v>
      </c>
      <c r="H21995">
        <v>12</v>
      </c>
      <c r="I21995" s="3">
        <v>7683.16</v>
      </c>
      <c r="J21995" s="3">
        <v>2697.38</v>
      </c>
      <c r="L21995">
        <v>139</v>
      </c>
      <c r="M21995" t="s">
        <v>8048</v>
      </c>
      <c r="N21995" t="s">
        <v>30</v>
      </c>
      <c r="O21995" t="s">
        <v>31</v>
      </c>
      <c r="P21995" t="str">
        <f>"15210"</f>
        <v>15210</v>
      </c>
    </row>
    <row r="21996" spans="1:16" x14ac:dyDescent="0.25">
      <c r="A21996" t="str">
        <f>"8330014M00277    00"</f>
        <v>8330014M00277    00</v>
      </c>
      <c r="B21996" t="s">
        <v>47604</v>
      </c>
      <c r="C21996" t="s">
        <v>47605</v>
      </c>
      <c r="D21996" t="s">
        <v>20</v>
      </c>
      <c r="E21996" t="s">
        <v>21</v>
      </c>
      <c r="F21996">
        <v>0</v>
      </c>
      <c r="G21996">
        <v>0</v>
      </c>
      <c r="H21996">
        <v>10</v>
      </c>
      <c r="I21996" s="3">
        <v>10387</v>
      </c>
      <c r="J21996" s="3">
        <v>14623.86</v>
      </c>
      <c r="L21996">
        <v>143</v>
      </c>
      <c r="M21996" t="s">
        <v>8048</v>
      </c>
      <c r="N21996" t="s">
        <v>30</v>
      </c>
      <c r="O21996" t="s">
        <v>31</v>
      </c>
      <c r="P21996" t="str">
        <f>"15210"</f>
        <v>15210</v>
      </c>
    </row>
    <row r="21997" spans="1:16" x14ac:dyDescent="0.25">
      <c r="A21997" t="str">
        <f>"8330014M00289    00"</f>
        <v>8330014M00289    00</v>
      </c>
      <c r="B21997" t="s">
        <v>47606</v>
      </c>
      <c r="C21997" t="s">
        <v>47607</v>
      </c>
      <c r="E21997" t="s">
        <v>21</v>
      </c>
      <c r="F21997">
        <v>0</v>
      </c>
      <c r="G21997">
        <v>0</v>
      </c>
      <c r="H21997">
        <v>14</v>
      </c>
      <c r="I21997" s="3">
        <v>19307.77</v>
      </c>
      <c r="J21997" s="3">
        <v>22409.72</v>
      </c>
      <c r="K21997" t="s">
        <v>47608</v>
      </c>
      <c r="L21997">
        <v>35</v>
      </c>
      <c r="M21997" t="s">
        <v>47609</v>
      </c>
      <c r="N21997" t="s">
        <v>199</v>
      </c>
      <c r="O21997" t="s">
        <v>200</v>
      </c>
      <c r="P21997" t="str">
        <f>"10016"</f>
        <v>10016</v>
      </c>
    </row>
    <row r="21998" spans="1:16" x14ac:dyDescent="0.25">
      <c r="A21998" t="str">
        <f>"8330014R00250    00"</f>
        <v>8330014R00250    00</v>
      </c>
      <c r="B21998" t="s">
        <v>47610</v>
      </c>
      <c r="C21998" t="s">
        <v>47611</v>
      </c>
      <c r="E21998" t="s">
        <v>21</v>
      </c>
      <c r="F21998">
        <v>0</v>
      </c>
      <c r="G21998">
        <v>0</v>
      </c>
      <c r="H21998">
        <v>12</v>
      </c>
      <c r="I21998" s="3">
        <v>36806.1</v>
      </c>
      <c r="J21998" s="3">
        <v>46747.86</v>
      </c>
      <c r="K21998" t="s">
        <v>47612</v>
      </c>
      <c r="L21998">
        <v>312</v>
      </c>
      <c r="M21998" t="s">
        <v>47613</v>
      </c>
      <c r="N21998" t="s">
        <v>30</v>
      </c>
      <c r="O21998" t="s">
        <v>31</v>
      </c>
      <c r="P21998" t="str">
        <f>"15210"</f>
        <v>15210</v>
      </c>
    </row>
    <row r="21999" spans="1:16" x14ac:dyDescent="0.25">
      <c r="A21999" t="str">
        <f>"8330014R00251    00"</f>
        <v>8330014R00251    00</v>
      </c>
      <c r="B21999" t="s">
        <v>47614</v>
      </c>
      <c r="C21999" t="s">
        <v>47615</v>
      </c>
      <c r="D21999" t="s">
        <v>20</v>
      </c>
      <c r="E21999" t="s">
        <v>21</v>
      </c>
      <c r="F21999">
        <v>0</v>
      </c>
      <c r="G21999">
        <v>0</v>
      </c>
      <c r="H21999">
        <v>1</v>
      </c>
      <c r="I21999" s="3">
        <v>923.53</v>
      </c>
      <c r="J21999" s="3">
        <v>0</v>
      </c>
      <c r="K21999" t="s">
        <v>47616</v>
      </c>
      <c r="L21999">
        <v>335</v>
      </c>
      <c r="M21999" t="s">
        <v>25874</v>
      </c>
      <c r="N21999" t="s">
        <v>30</v>
      </c>
      <c r="O21999" t="s">
        <v>31</v>
      </c>
      <c r="P21999" t="str">
        <f>"15210"</f>
        <v>15210</v>
      </c>
    </row>
    <row r="22000" spans="1:16" x14ac:dyDescent="0.25">
      <c r="A22000" t="str">
        <f>"8330014R00276    00"</f>
        <v>8330014R00276    00</v>
      </c>
      <c r="B22000" t="s">
        <v>47617</v>
      </c>
      <c r="C22000" t="s">
        <v>47618</v>
      </c>
      <c r="D22000" t="s">
        <v>20</v>
      </c>
      <c r="E22000" t="s">
        <v>39</v>
      </c>
      <c r="F22000">
        <v>0</v>
      </c>
      <c r="G22000">
        <v>0</v>
      </c>
      <c r="H22000">
        <v>2</v>
      </c>
      <c r="I22000" s="3">
        <v>184.5</v>
      </c>
      <c r="J22000" s="3">
        <v>1.79</v>
      </c>
      <c r="L22000">
        <v>222</v>
      </c>
      <c r="M22000" t="s">
        <v>1407</v>
      </c>
      <c r="N22000" t="s">
        <v>30</v>
      </c>
      <c r="O22000" t="s">
        <v>31</v>
      </c>
      <c r="P22000" t="str">
        <f>"15210"</f>
        <v>15210</v>
      </c>
    </row>
    <row r="22001" spans="1:16" x14ac:dyDescent="0.25">
      <c r="A22001" t="str">
        <f>"8330014R00280    00"</f>
        <v>8330014R00280    00</v>
      </c>
      <c r="B22001" t="s">
        <v>10673</v>
      </c>
      <c r="C22001" t="s">
        <v>47619</v>
      </c>
      <c r="D22001" t="s">
        <v>20</v>
      </c>
      <c r="E22001" t="s">
        <v>39</v>
      </c>
      <c r="F22001">
        <v>0</v>
      </c>
      <c r="G22001">
        <v>0</v>
      </c>
      <c r="H22001">
        <v>1</v>
      </c>
      <c r="I22001" s="3">
        <v>10.210000000000001</v>
      </c>
      <c r="J22001" s="3">
        <v>0</v>
      </c>
      <c r="M22001" t="s">
        <v>10675</v>
      </c>
      <c r="N22001" t="s">
        <v>2059</v>
      </c>
      <c r="O22001" t="s">
        <v>31</v>
      </c>
      <c r="P22001" t="str">
        <f>"15642"</f>
        <v>15642</v>
      </c>
    </row>
    <row r="22002" spans="1:16" x14ac:dyDescent="0.25">
      <c r="A22002" t="str">
        <f>"8330014R00281    00"</f>
        <v>8330014R00281    00</v>
      </c>
      <c r="B22002" t="s">
        <v>47620</v>
      </c>
      <c r="C22002" t="s">
        <v>47621</v>
      </c>
      <c r="D22002" t="s">
        <v>20</v>
      </c>
      <c r="E22002" t="s">
        <v>39</v>
      </c>
      <c r="F22002">
        <v>0</v>
      </c>
      <c r="G22002">
        <v>0</v>
      </c>
      <c r="H22002">
        <v>6</v>
      </c>
      <c r="I22002" s="3">
        <v>2945.89</v>
      </c>
      <c r="J22002" s="3">
        <v>674.62</v>
      </c>
      <c r="L22002">
        <v>216</v>
      </c>
      <c r="M22002" t="s">
        <v>1407</v>
      </c>
      <c r="N22002" t="s">
        <v>30</v>
      </c>
      <c r="O22002" t="s">
        <v>31</v>
      </c>
      <c r="P22002" t="str">
        <f>"15210"</f>
        <v>15210</v>
      </c>
    </row>
    <row r="22003" spans="1:16" x14ac:dyDescent="0.25">
      <c r="A22003" t="str">
        <f>"8330014R00297    00"</f>
        <v>8330014R00297    00</v>
      </c>
      <c r="B22003" t="s">
        <v>47622</v>
      </c>
      <c r="C22003" t="s">
        <v>47623</v>
      </c>
      <c r="E22003" t="s">
        <v>21</v>
      </c>
      <c r="F22003">
        <v>0</v>
      </c>
      <c r="G22003">
        <v>0</v>
      </c>
      <c r="H22003">
        <v>5</v>
      </c>
      <c r="I22003" s="3">
        <v>8386.76</v>
      </c>
      <c r="J22003" s="3">
        <v>2639.38</v>
      </c>
      <c r="L22003">
        <v>4115</v>
      </c>
      <c r="M22003" t="s">
        <v>22972</v>
      </c>
      <c r="N22003" t="s">
        <v>79</v>
      </c>
      <c r="O22003" t="s">
        <v>31</v>
      </c>
      <c r="P22003" t="str">
        <f>"15668"</f>
        <v>15668</v>
      </c>
    </row>
    <row r="22004" spans="1:16" x14ac:dyDescent="0.25">
      <c r="A22004" t="str">
        <f>"8330014R00300    00"</f>
        <v>8330014R00300    00</v>
      </c>
      <c r="B22004" t="s">
        <v>47624</v>
      </c>
      <c r="C22004" t="s">
        <v>47625</v>
      </c>
      <c r="E22004" t="s">
        <v>21</v>
      </c>
      <c r="F22004">
        <v>0</v>
      </c>
      <c r="G22004">
        <v>0</v>
      </c>
      <c r="H22004">
        <v>1</v>
      </c>
      <c r="I22004" s="3">
        <v>487.08</v>
      </c>
      <c r="J22004" s="3">
        <v>481.77</v>
      </c>
      <c r="K22004" t="s">
        <v>47626</v>
      </c>
      <c r="L22004">
        <v>829</v>
      </c>
      <c r="M22004" t="s">
        <v>2475</v>
      </c>
      <c r="N22004" t="s">
        <v>30</v>
      </c>
      <c r="O22004" t="s">
        <v>31</v>
      </c>
      <c r="P22004" t="str">
        <f>"15210"</f>
        <v>15210</v>
      </c>
    </row>
    <row r="22005" spans="1:16" x14ac:dyDescent="0.25">
      <c r="A22005" t="str">
        <f>"8330014R00304    00"</f>
        <v>8330014R00304    00</v>
      </c>
      <c r="B22005" t="s">
        <v>47627</v>
      </c>
      <c r="C22005" t="s">
        <v>47628</v>
      </c>
      <c r="D22005" t="s">
        <v>20</v>
      </c>
      <c r="E22005" t="s">
        <v>21</v>
      </c>
      <c r="F22005">
        <v>0</v>
      </c>
      <c r="G22005">
        <v>0</v>
      </c>
      <c r="H22005">
        <v>1</v>
      </c>
      <c r="I22005" s="3">
        <v>424.35</v>
      </c>
      <c r="J22005" s="3">
        <v>0</v>
      </c>
      <c r="K22005" t="s">
        <v>47629</v>
      </c>
      <c r="L22005">
        <v>2804</v>
      </c>
      <c r="M22005" t="s">
        <v>4235</v>
      </c>
      <c r="N22005" t="s">
        <v>30</v>
      </c>
      <c r="O22005" t="s">
        <v>31</v>
      </c>
      <c r="P22005" t="str">
        <f>"15203"</f>
        <v>15203</v>
      </c>
    </row>
    <row r="22006" spans="1:16" x14ac:dyDescent="0.25">
      <c r="A22006" t="str">
        <f>"8330014R00309    00"</f>
        <v>8330014R00309    00</v>
      </c>
      <c r="B22006" t="s">
        <v>47630</v>
      </c>
      <c r="C22006" t="s">
        <v>47631</v>
      </c>
      <c r="D22006" t="s">
        <v>20</v>
      </c>
      <c r="E22006" t="s">
        <v>21</v>
      </c>
      <c r="F22006">
        <v>0</v>
      </c>
      <c r="G22006">
        <v>0</v>
      </c>
      <c r="H22006">
        <v>3</v>
      </c>
      <c r="I22006" s="3">
        <v>1373.31</v>
      </c>
      <c r="J22006" s="3">
        <v>14.96</v>
      </c>
      <c r="L22006">
        <v>3269</v>
      </c>
      <c r="M22006" t="s">
        <v>47210</v>
      </c>
      <c r="N22006" t="s">
        <v>30</v>
      </c>
      <c r="O22006" t="s">
        <v>31</v>
      </c>
      <c r="P22006" t="str">
        <f>"15234"</f>
        <v>15234</v>
      </c>
    </row>
    <row r="22007" spans="1:16" x14ac:dyDescent="0.25">
      <c r="A22007" t="str">
        <f>"8330014R00320    00"</f>
        <v>8330014R00320    00</v>
      </c>
      <c r="B22007" t="s">
        <v>47632</v>
      </c>
      <c r="C22007" t="s">
        <v>47633</v>
      </c>
      <c r="D22007" t="s">
        <v>20</v>
      </c>
      <c r="E22007" t="s">
        <v>21</v>
      </c>
      <c r="F22007">
        <v>0</v>
      </c>
      <c r="G22007">
        <v>0</v>
      </c>
      <c r="H22007">
        <v>1</v>
      </c>
      <c r="I22007" s="3">
        <v>2041.8</v>
      </c>
      <c r="J22007" s="3">
        <v>0</v>
      </c>
      <c r="L22007">
        <v>129</v>
      </c>
      <c r="M22007" t="s">
        <v>47634</v>
      </c>
      <c r="N22007" t="s">
        <v>30</v>
      </c>
      <c r="O22007" t="s">
        <v>31</v>
      </c>
      <c r="P22007" t="str">
        <f>"15203"</f>
        <v>15203</v>
      </c>
    </row>
    <row r="22008" spans="1:16" x14ac:dyDescent="0.25">
      <c r="A22008" t="str">
        <f>"8330014R00326    00"</f>
        <v>8330014R00326    00</v>
      </c>
      <c r="B22008" t="s">
        <v>47635</v>
      </c>
      <c r="C22008" t="s">
        <v>47636</v>
      </c>
      <c r="D22008" t="s">
        <v>20</v>
      </c>
      <c r="E22008" t="s">
        <v>21</v>
      </c>
      <c r="F22008">
        <v>0</v>
      </c>
      <c r="G22008">
        <v>0</v>
      </c>
      <c r="H22008">
        <v>1</v>
      </c>
      <c r="I22008" s="3">
        <v>1010.65</v>
      </c>
      <c r="J22008" s="3">
        <v>0</v>
      </c>
      <c r="L22008">
        <v>2634</v>
      </c>
      <c r="M22008" t="s">
        <v>24535</v>
      </c>
      <c r="N22008" t="s">
        <v>30</v>
      </c>
      <c r="O22008" t="s">
        <v>31</v>
      </c>
      <c r="P22008" t="str">
        <f>"15210"</f>
        <v>15210</v>
      </c>
    </row>
    <row r="22009" spans="1:16" x14ac:dyDescent="0.25">
      <c r="A22009" t="str">
        <f>"8330014R00332    00"</f>
        <v>8330014R00332    00</v>
      </c>
      <c r="B22009" t="s">
        <v>47637</v>
      </c>
      <c r="C22009" t="s">
        <v>47638</v>
      </c>
      <c r="D22009" t="s">
        <v>20</v>
      </c>
      <c r="E22009" t="s">
        <v>39</v>
      </c>
      <c r="F22009">
        <v>0</v>
      </c>
      <c r="G22009">
        <v>0</v>
      </c>
      <c r="H22009">
        <v>1</v>
      </c>
      <c r="I22009" s="3">
        <v>241.91</v>
      </c>
      <c r="J22009" s="3">
        <v>0</v>
      </c>
      <c r="L22009">
        <v>2330</v>
      </c>
      <c r="M22009" t="s">
        <v>10667</v>
      </c>
      <c r="N22009" t="s">
        <v>285</v>
      </c>
      <c r="O22009" t="s">
        <v>31</v>
      </c>
      <c r="P22009" t="str">
        <f>"15120"</f>
        <v>15120</v>
      </c>
    </row>
    <row r="22010" spans="1:16" x14ac:dyDescent="0.25">
      <c r="A22010" t="str">
        <f>"8330014R00332000100"</f>
        <v>8330014R00332000100</v>
      </c>
      <c r="B22010" t="s">
        <v>47639</v>
      </c>
      <c r="C22010" t="s">
        <v>47640</v>
      </c>
      <c r="D22010" t="s">
        <v>20</v>
      </c>
      <c r="E22010" t="s">
        <v>39</v>
      </c>
      <c r="F22010">
        <v>0</v>
      </c>
      <c r="G22010">
        <v>0</v>
      </c>
      <c r="H22010">
        <v>1</v>
      </c>
      <c r="I22010" s="3">
        <v>231.66</v>
      </c>
      <c r="J22010" s="3">
        <v>0</v>
      </c>
      <c r="K22010" t="s">
        <v>47641</v>
      </c>
      <c r="L22010">
        <v>9</v>
      </c>
      <c r="M22010" t="s">
        <v>32513</v>
      </c>
      <c r="N22010" t="s">
        <v>149</v>
      </c>
      <c r="O22010" t="s">
        <v>31</v>
      </c>
      <c r="P22010" t="str">
        <f>"15106"</f>
        <v>15106</v>
      </c>
    </row>
    <row r="22011" spans="1:16" x14ac:dyDescent="0.25">
      <c r="A22011" t="str">
        <f>"8330014R00335    00"</f>
        <v>8330014R00335    00</v>
      </c>
      <c r="B22011" t="s">
        <v>47642</v>
      </c>
      <c r="C22011" t="s">
        <v>47643</v>
      </c>
      <c r="D22011" t="s">
        <v>20</v>
      </c>
      <c r="E22011" t="s">
        <v>21</v>
      </c>
      <c r="F22011">
        <v>0</v>
      </c>
      <c r="G22011">
        <v>0</v>
      </c>
      <c r="H22011">
        <v>1</v>
      </c>
      <c r="I22011" s="3">
        <v>512.5</v>
      </c>
      <c r="J22011" s="3">
        <v>0</v>
      </c>
      <c r="L22011">
        <v>1056</v>
      </c>
      <c r="M22011" t="s">
        <v>47644</v>
      </c>
      <c r="N22011" t="s">
        <v>3934</v>
      </c>
      <c r="O22011" t="s">
        <v>31</v>
      </c>
      <c r="P22011" t="str">
        <f>"15102"</f>
        <v>15102</v>
      </c>
    </row>
    <row r="22012" spans="1:16" x14ac:dyDescent="0.25">
      <c r="A22012" t="str">
        <f>"8330014R00336    00"</f>
        <v>8330014R00336    00</v>
      </c>
      <c r="B22012" t="s">
        <v>47645</v>
      </c>
      <c r="C22012" t="s">
        <v>47646</v>
      </c>
      <c r="E22012" t="s">
        <v>21</v>
      </c>
      <c r="F22012">
        <v>0</v>
      </c>
      <c r="G22012">
        <v>0</v>
      </c>
      <c r="H22012">
        <v>1</v>
      </c>
      <c r="I22012" s="3">
        <v>638.29</v>
      </c>
      <c r="J22012" s="3">
        <v>117.02</v>
      </c>
      <c r="L22012">
        <v>237</v>
      </c>
      <c r="M22012" t="s">
        <v>8048</v>
      </c>
      <c r="N22012" t="s">
        <v>30</v>
      </c>
      <c r="O22012" t="s">
        <v>31</v>
      </c>
      <c r="P22012" t="str">
        <f>"15210"</f>
        <v>15210</v>
      </c>
    </row>
    <row r="22013" spans="1:16" x14ac:dyDescent="0.25">
      <c r="A22013" t="str">
        <f>"8330014S00005    00"</f>
        <v>8330014S00005    00</v>
      </c>
      <c r="B22013" t="s">
        <v>7540</v>
      </c>
      <c r="C22013" t="s">
        <v>47647</v>
      </c>
      <c r="D22013" t="s">
        <v>20</v>
      </c>
      <c r="E22013" t="s">
        <v>21</v>
      </c>
      <c r="F22013">
        <v>0</v>
      </c>
      <c r="G22013">
        <v>0</v>
      </c>
      <c r="H22013">
        <v>4</v>
      </c>
      <c r="I22013" s="3">
        <v>3280.42</v>
      </c>
      <c r="J22013" s="3">
        <v>405.8</v>
      </c>
      <c r="K22013" t="s">
        <v>7542</v>
      </c>
      <c r="L22013">
        <v>3015</v>
      </c>
      <c r="M22013" t="s">
        <v>6407</v>
      </c>
      <c r="N22013" t="s">
        <v>30</v>
      </c>
      <c r="O22013" t="s">
        <v>31</v>
      </c>
      <c r="P22013" t="str">
        <f>"15203"</f>
        <v>15203</v>
      </c>
    </row>
    <row r="22014" spans="1:16" x14ac:dyDescent="0.25">
      <c r="A22014" t="str">
        <f>"8330014S00015    00"</f>
        <v>8330014S00015    00</v>
      </c>
      <c r="B22014" t="s">
        <v>47648</v>
      </c>
      <c r="C22014" t="s">
        <v>47649</v>
      </c>
      <c r="D22014" t="s">
        <v>20</v>
      </c>
      <c r="E22014" t="s">
        <v>39</v>
      </c>
      <c r="F22014">
        <v>0</v>
      </c>
      <c r="G22014">
        <v>0</v>
      </c>
      <c r="H22014">
        <v>18</v>
      </c>
      <c r="I22014" s="3">
        <v>6535.11</v>
      </c>
      <c r="J22014" s="3">
        <v>7975.5</v>
      </c>
      <c r="K22014" t="s">
        <v>47650</v>
      </c>
      <c r="L22014">
        <v>150</v>
      </c>
      <c r="M22014" t="s">
        <v>8048</v>
      </c>
      <c r="N22014" t="s">
        <v>30</v>
      </c>
      <c r="O22014" t="s">
        <v>31</v>
      </c>
      <c r="P22014" t="str">
        <f>"15210"</f>
        <v>15210</v>
      </c>
    </row>
    <row r="22015" spans="1:16" x14ac:dyDescent="0.25">
      <c r="A22015" t="str">
        <f>"8330014S00056    00"</f>
        <v>8330014S00056    00</v>
      </c>
      <c r="B22015" t="s">
        <v>47651</v>
      </c>
      <c r="C22015" t="s">
        <v>47652</v>
      </c>
      <c r="D22015" t="s">
        <v>20</v>
      </c>
      <c r="E22015" t="s">
        <v>39</v>
      </c>
      <c r="F22015">
        <v>0</v>
      </c>
      <c r="G22015">
        <v>0</v>
      </c>
      <c r="H22015">
        <v>2</v>
      </c>
      <c r="I22015" s="3">
        <v>722.26</v>
      </c>
      <c r="J22015" s="3">
        <v>0</v>
      </c>
      <c r="K22015" t="s">
        <v>3621</v>
      </c>
      <c r="L22015">
        <v>3001</v>
      </c>
      <c r="M22015" t="s">
        <v>330</v>
      </c>
      <c r="N22015" t="s">
        <v>331</v>
      </c>
      <c r="O22015" t="s">
        <v>108</v>
      </c>
      <c r="P22015" t="str">
        <f>"75063"</f>
        <v>75063</v>
      </c>
    </row>
    <row r="22016" spans="1:16" x14ac:dyDescent="0.25">
      <c r="A22016" t="str">
        <f>"8330014S00058    00"</f>
        <v>8330014S00058    00</v>
      </c>
      <c r="B22016" t="s">
        <v>47653</v>
      </c>
      <c r="C22016" t="s">
        <v>47654</v>
      </c>
      <c r="D22016" t="s">
        <v>20</v>
      </c>
      <c r="E22016" t="s">
        <v>39</v>
      </c>
      <c r="F22016">
        <v>0</v>
      </c>
      <c r="G22016">
        <v>0</v>
      </c>
      <c r="H22016">
        <v>18</v>
      </c>
      <c r="I22016" s="3">
        <v>4016.68</v>
      </c>
      <c r="J22016" s="3">
        <v>3593.24</v>
      </c>
      <c r="L22016">
        <v>141</v>
      </c>
      <c r="M22016" t="s">
        <v>44759</v>
      </c>
      <c r="N22016" t="s">
        <v>30</v>
      </c>
      <c r="O22016" t="s">
        <v>31</v>
      </c>
      <c r="P22016" t="str">
        <f>"15210"</f>
        <v>15210</v>
      </c>
    </row>
    <row r="22017" spans="1:16" x14ac:dyDescent="0.25">
      <c r="A22017" t="str">
        <f>"8330014S00081    00"</f>
        <v>8330014S00081    00</v>
      </c>
      <c r="B22017" t="s">
        <v>47624</v>
      </c>
      <c r="C22017" t="s">
        <v>47655</v>
      </c>
      <c r="E22017" t="s">
        <v>39</v>
      </c>
      <c r="F22017">
        <v>0</v>
      </c>
      <c r="G22017">
        <v>0</v>
      </c>
      <c r="H22017">
        <v>7</v>
      </c>
      <c r="I22017" s="3">
        <v>1964.48</v>
      </c>
      <c r="J22017" s="3">
        <v>3026.45</v>
      </c>
      <c r="K22017" t="s">
        <v>47626</v>
      </c>
      <c r="L22017">
        <v>829</v>
      </c>
      <c r="M22017" t="s">
        <v>2475</v>
      </c>
      <c r="N22017" t="s">
        <v>30</v>
      </c>
      <c r="O22017" t="s">
        <v>31</v>
      </c>
      <c r="P22017" t="str">
        <f>"15210"</f>
        <v>15210</v>
      </c>
    </row>
    <row r="22018" spans="1:16" x14ac:dyDescent="0.25">
      <c r="A22018" t="str">
        <f>"8330014S00102    00"</f>
        <v>8330014S00102    00</v>
      </c>
      <c r="B22018" t="s">
        <v>47656</v>
      </c>
      <c r="C22018" t="s">
        <v>47657</v>
      </c>
      <c r="E22018" t="s">
        <v>39</v>
      </c>
      <c r="F22018">
        <v>0</v>
      </c>
      <c r="G22018">
        <v>0</v>
      </c>
      <c r="H22018">
        <v>1</v>
      </c>
      <c r="I22018" s="3">
        <v>247.76</v>
      </c>
      <c r="J22018" s="3">
        <v>78.45</v>
      </c>
      <c r="K22018" t="s">
        <v>7050</v>
      </c>
      <c r="L22018">
        <v>901</v>
      </c>
      <c r="M22018" t="s">
        <v>6264</v>
      </c>
      <c r="N22018" t="s">
        <v>30</v>
      </c>
      <c r="O22018" t="s">
        <v>31</v>
      </c>
      <c r="P22018" t="str">
        <f>"15203"</f>
        <v>15203</v>
      </c>
    </row>
    <row r="22019" spans="1:16" x14ac:dyDescent="0.25">
      <c r="A22019" t="str">
        <f>"8330014S00105    00"</f>
        <v>8330014S00105    00</v>
      </c>
      <c r="B22019" t="s">
        <v>43520</v>
      </c>
      <c r="C22019" t="s">
        <v>47658</v>
      </c>
      <c r="E22019" t="s">
        <v>39</v>
      </c>
      <c r="F22019">
        <v>0</v>
      </c>
      <c r="G22019">
        <v>0</v>
      </c>
      <c r="H22019">
        <v>3</v>
      </c>
      <c r="I22019" s="3">
        <v>825.42</v>
      </c>
      <c r="J22019" s="3">
        <v>152.25</v>
      </c>
      <c r="K22019" t="s">
        <v>43522</v>
      </c>
      <c r="L22019">
        <v>1450</v>
      </c>
      <c r="M22019" t="s">
        <v>43523</v>
      </c>
      <c r="N22019" t="s">
        <v>4652</v>
      </c>
      <c r="O22019" t="s">
        <v>370</v>
      </c>
      <c r="P22019" t="str">
        <f>"33146"</f>
        <v>33146</v>
      </c>
    </row>
    <row r="22020" spans="1:16" x14ac:dyDescent="0.25">
      <c r="A22020" t="str">
        <f>"8330014S00111    00"</f>
        <v>8330014S00111    00</v>
      </c>
      <c r="B22020" t="s">
        <v>47659</v>
      </c>
      <c r="C22020" t="s">
        <v>47660</v>
      </c>
      <c r="D22020" t="s">
        <v>20</v>
      </c>
      <c r="E22020" t="s">
        <v>39</v>
      </c>
      <c r="F22020">
        <v>0</v>
      </c>
      <c r="G22020">
        <v>0</v>
      </c>
      <c r="H22020">
        <v>2</v>
      </c>
      <c r="I22020" s="3">
        <v>1223.8599999999999</v>
      </c>
      <c r="J22020" s="3">
        <v>0</v>
      </c>
      <c r="L22020">
        <v>2618</v>
      </c>
      <c r="M22020" t="s">
        <v>22876</v>
      </c>
      <c r="N22020" t="s">
        <v>30</v>
      </c>
      <c r="O22020" t="s">
        <v>31</v>
      </c>
      <c r="P22020" t="str">
        <f>"15203"</f>
        <v>15203</v>
      </c>
    </row>
    <row r="22021" spans="1:16" x14ac:dyDescent="0.25">
      <c r="A22021" t="str">
        <f>"8330014S00113    00"</f>
        <v>8330014S00113    00</v>
      </c>
      <c r="B22021" t="s">
        <v>43517</v>
      </c>
      <c r="C22021" t="s">
        <v>47661</v>
      </c>
      <c r="D22021" t="s">
        <v>20</v>
      </c>
      <c r="E22021" t="s">
        <v>39</v>
      </c>
      <c r="F22021">
        <v>0</v>
      </c>
      <c r="G22021">
        <v>0</v>
      </c>
      <c r="H22021">
        <v>3</v>
      </c>
      <c r="I22021" s="3">
        <v>903.18</v>
      </c>
      <c r="J22021" s="3">
        <v>46.15</v>
      </c>
      <c r="K22021" t="s">
        <v>43519</v>
      </c>
      <c r="L22021">
        <v>714</v>
      </c>
      <c r="M22021" t="s">
        <v>1247</v>
      </c>
      <c r="N22021" t="s">
        <v>17932</v>
      </c>
      <c r="O22021" t="s">
        <v>31</v>
      </c>
      <c r="P22021" t="str">
        <f>"15140"</f>
        <v>15140</v>
      </c>
    </row>
    <row r="22022" spans="1:16" x14ac:dyDescent="0.25">
      <c r="A22022" t="str">
        <f>"8330014S00122    00"</f>
        <v>8330014S00122    00</v>
      </c>
      <c r="B22022" t="s">
        <v>23116</v>
      </c>
      <c r="C22022" t="s">
        <v>47662</v>
      </c>
      <c r="E22022" t="s">
        <v>39</v>
      </c>
      <c r="F22022">
        <v>0</v>
      </c>
      <c r="G22022">
        <v>0</v>
      </c>
      <c r="H22022">
        <v>4</v>
      </c>
      <c r="I22022" s="3">
        <v>1054.46</v>
      </c>
      <c r="J22022" s="3">
        <v>235.29</v>
      </c>
      <c r="K22022" t="s">
        <v>23118</v>
      </c>
      <c r="L22022">
        <v>6425</v>
      </c>
      <c r="M22022" t="s">
        <v>23119</v>
      </c>
      <c r="N22022" t="s">
        <v>30</v>
      </c>
      <c r="O22022" t="s">
        <v>31</v>
      </c>
      <c r="P22022" t="str">
        <f>"15206"</f>
        <v>15206</v>
      </c>
    </row>
    <row r="22023" spans="1:16" x14ac:dyDescent="0.25">
      <c r="A22023" t="str">
        <f>"8330014S00157    00"</f>
        <v>8330014S00157    00</v>
      </c>
      <c r="B22023" t="s">
        <v>47648</v>
      </c>
      <c r="C22023" t="s">
        <v>47649</v>
      </c>
      <c r="E22023" t="s">
        <v>39</v>
      </c>
      <c r="F22023">
        <v>0</v>
      </c>
      <c r="G22023">
        <v>0</v>
      </c>
      <c r="H22023">
        <v>11</v>
      </c>
      <c r="I22023" s="3">
        <v>2007.28</v>
      </c>
      <c r="J22023" s="3">
        <v>1166.8900000000001</v>
      </c>
      <c r="K22023" t="s">
        <v>47663</v>
      </c>
      <c r="L22023">
        <v>112</v>
      </c>
      <c r="M22023" t="s">
        <v>47664</v>
      </c>
      <c r="N22023" t="s">
        <v>30</v>
      </c>
      <c r="O22023" t="s">
        <v>31</v>
      </c>
      <c r="P22023" t="str">
        <f>"15219"</f>
        <v>15219</v>
      </c>
    </row>
    <row r="22024" spans="1:16" x14ac:dyDescent="0.25">
      <c r="A22024" t="str">
        <f>"8330014S00168    00"</f>
        <v>8330014S00168    00</v>
      </c>
      <c r="B22024" t="s">
        <v>47665</v>
      </c>
      <c r="C22024" t="s">
        <v>47666</v>
      </c>
      <c r="D22024" t="s">
        <v>20</v>
      </c>
      <c r="E22024" t="s">
        <v>39</v>
      </c>
      <c r="F22024">
        <v>0</v>
      </c>
      <c r="G22024">
        <v>0</v>
      </c>
      <c r="H22024">
        <v>1</v>
      </c>
      <c r="I22024" s="3">
        <v>293.16000000000003</v>
      </c>
      <c r="J22024" s="3">
        <v>0</v>
      </c>
      <c r="K22024" t="s">
        <v>47667</v>
      </c>
      <c r="L22024">
        <v>1301</v>
      </c>
      <c r="M22024" t="s">
        <v>47668</v>
      </c>
      <c r="N22024" t="s">
        <v>30</v>
      </c>
      <c r="O22024" t="s">
        <v>31</v>
      </c>
      <c r="P22024" t="str">
        <f>"15211"</f>
        <v>15211</v>
      </c>
    </row>
    <row r="22025" spans="1:16" x14ac:dyDescent="0.25">
      <c r="A22025" t="str">
        <f>"8330014S00186    00"</f>
        <v>8330014S00186    00</v>
      </c>
      <c r="B22025" t="s">
        <v>25689</v>
      </c>
      <c r="C22025" t="s">
        <v>47669</v>
      </c>
      <c r="E22025" t="s">
        <v>39</v>
      </c>
      <c r="F22025">
        <v>0</v>
      </c>
      <c r="G22025">
        <v>0</v>
      </c>
      <c r="H22025">
        <v>5</v>
      </c>
      <c r="I22025" s="3">
        <v>2391.4299999999998</v>
      </c>
      <c r="J22025" s="3">
        <v>659.38</v>
      </c>
      <c r="K22025" t="s">
        <v>47670</v>
      </c>
      <c r="L22025">
        <v>9800</v>
      </c>
      <c r="M22025" t="s">
        <v>28691</v>
      </c>
      <c r="N22025" t="s">
        <v>30</v>
      </c>
      <c r="O22025" t="s">
        <v>31</v>
      </c>
      <c r="P22025" t="str">
        <f>"15237"</f>
        <v>15237</v>
      </c>
    </row>
    <row r="22026" spans="1:16" x14ac:dyDescent="0.25">
      <c r="A22026" t="str">
        <f>"8330014S00197    00"</f>
        <v>8330014S00197    00</v>
      </c>
      <c r="B22026" t="s">
        <v>47671</v>
      </c>
      <c r="C22026" t="s">
        <v>47672</v>
      </c>
      <c r="D22026" t="s">
        <v>20</v>
      </c>
      <c r="E22026" t="s">
        <v>21</v>
      </c>
      <c r="F22026">
        <v>0</v>
      </c>
      <c r="G22026">
        <v>0</v>
      </c>
      <c r="H22026">
        <v>11</v>
      </c>
      <c r="I22026" s="3">
        <v>6482.74</v>
      </c>
      <c r="J22026" s="3">
        <v>3125.41</v>
      </c>
      <c r="L22026">
        <v>203</v>
      </c>
      <c r="M22026" t="s">
        <v>8048</v>
      </c>
      <c r="N22026" t="s">
        <v>30</v>
      </c>
      <c r="O22026" t="s">
        <v>31</v>
      </c>
      <c r="P22026" t="str">
        <f>"15210"</f>
        <v>15210</v>
      </c>
    </row>
    <row r="22027" spans="1:16" x14ac:dyDescent="0.25">
      <c r="A22027" t="str">
        <f>"8330014S00198    00"</f>
        <v>8330014S00198    00</v>
      </c>
      <c r="B22027" t="s">
        <v>47671</v>
      </c>
      <c r="C22027" t="s">
        <v>47673</v>
      </c>
      <c r="D22027" t="s">
        <v>20</v>
      </c>
      <c r="E22027" t="s">
        <v>21</v>
      </c>
      <c r="F22027">
        <v>0</v>
      </c>
      <c r="G22027">
        <v>0</v>
      </c>
      <c r="H22027">
        <v>5</v>
      </c>
      <c r="I22027" s="3">
        <v>3919.13</v>
      </c>
      <c r="J22027" s="3">
        <v>682.64</v>
      </c>
      <c r="L22027">
        <v>203</v>
      </c>
      <c r="M22027" t="s">
        <v>8048</v>
      </c>
      <c r="N22027" t="s">
        <v>30</v>
      </c>
      <c r="O22027" t="s">
        <v>31</v>
      </c>
      <c r="P22027" t="str">
        <f>"15210"</f>
        <v>15210</v>
      </c>
    </row>
    <row r="22028" spans="1:16" x14ac:dyDescent="0.25">
      <c r="A22028" t="str">
        <f>"8330014S00211    00"</f>
        <v>8330014S00211    00</v>
      </c>
      <c r="B22028" t="s">
        <v>47674</v>
      </c>
      <c r="C22028" t="s">
        <v>47675</v>
      </c>
      <c r="D22028" t="s">
        <v>20</v>
      </c>
      <c r="E22028" t="s">
        <v>39</v>
      </c>
      <c r="F22028">
        <v>0</v>
      </c>
      <c r="G22028">
        <v>0</v>
      </c>
      <c r="H22028">
        <v>5</v>
      </c>
      <c r="I22028" s="3">
        <v>45.51</v>
      </c>
      <c r="J22028" s="3">
        <v>10.67</v>
      </c>
      <c r="L22028">
        <v>134</v>
      </c>
      <c r="M22028" t="s">
        <v>585</v>
      </c>
      <c r="N22028" t="s">
        <v>30</v>
      </c>
      <c r="O22028" t="s">
        <v>31</v>
      </c>
      <c r="P22028" t="str">
        <f>"15210"</f>
        <v>15210</v>
      </c>
    </row>
    <row r="22029" spans="1:16" x14ac:dyDescent="0.25">
      <c r="A22029" t="str">
        <f>"8330014S00214    00"</f>
        <v>8330014S00214    00</v>
      </c>
      <c r="B22029" t="s">
        <v>47676</v>
      </c>
      <c r="C22029" t="s">
        <v>47677</v>
      </c>
      <c r="D22029" t="s">
        <v>20</v>
      </c>
      <c r="E22029" t="s">
        <v>39</v>
      </c>
      <c r="F22029">
        <v>0</v>
      </c>
      <c r="G22029">
        <v>0</v>
      </c>
      <c r="H22029">
        <v>11</v>
      </c>
      <c r="I22029" s="3">
        <v>7206.11</v>
      </c>
      <c r="J22029" s="3">
        <v>8007.86</v>
      </c>
      <c r="L22029">
        <v>1048</v>
      </c>
      <c r="M22029" t="s">
        <v>46177</v>
      </c>
      <c r="N22029" t="s">
        <v>30</v>
      </c>
      <c r="O22029" t="s">
        <v>31</v>
      </c>
      <c r="P22029" t="str">
        <f>"15235"</f>
        <v>15235</v>
      </c>
    </row>
    <row r="22030" spans="1:16" x14ac:dyDescent="0.25">
      <c r="A22030" t="str">
        <f>"8330014S00236    00"</f>
        <v>8330014S00236    00</v>
      </c>
      <c r="B22030" t="s">
        <v>47678</v>
      </c>
      <c r="C22030" t="s">
        <v>4419</v>
      </c>
      <c r="D22030" t="s">
        <v>20</v>
      </c>
      <c r="E22030" t="s">
        <v>39</v>
      </c>
      <c r="F22030">
        <v>0</v>
      </c>
      <c r="G22030">
        <v>0</v>
      </c>
      <c r="H22030">
        <v>13</v>
      </c>
      <c r="I22030" s="3">
        <v>6130.53</v>
      </c>
      <c r="J22030" s="3">
        <v>7331.99</v>
      </c>
      <c r="L22030">
        <v>2634</v>
      </c>
      <c r="M22030" t="s">
        <v>24535</v>
      </c>
      <c r="N22030" t="s">
        <v>30</v>
      </c>
      <c r="O22030" t="s">
        <v>31</v>
      </c>
      <c r="P22030" t="str">
        <f>"15210"</f>
        <v>15210</v>
      </c>
    </row>
    <row r="22031" spans="1:16" x14ac:dyDescent="0.25">
      <c r="A22031" t="str">
        <f>"8330014S00239    00"</f>
        <v>8330014S00239    00</v>
      </c>
      <c r="B22031" t="s">
        <v>47679</v>
      </c>
      <c r="C22031" t="s">
        <v>47680</v>
      </c>
      <c r="D22031" t="s">
        <v>20</v>
      </c>
      <c r="E22031" t="s">
        <v>39</v>
      </c>
      <c r="F22031">
        <v>0</v>
      </c>
      <c r="G22031">
        <v>0</v>
      </c>
      <c r="H22031">
        <v>2</v>
      </c>
      <c r="I22031" s="3">
        <v>619.12</v>
      </c>
      <c r="J22031" s="3">
        <v>0</v>
      </c>
      <c r="M22031" t="s">
        <v>24958</v>
      </c>
      <c r="N22031" t="s">
        <v>149</v>
      </c>
      <c r="O22031" t="s">
        <v>31</v>
      </c>
      <c r="P22031" t="str">
        <f>"15106"</f>
        <v>15106</v>
      </c>
    </row>
    <row r="22032" spans="1:16" x14ac:dyDescent="0.25">
      <c r="A22032" t="str">
        <f>"8330014S00244    00"</f>
        <v>8330014S00244    00</v>
      </c>
      <c r="B22032" t="s">
        <v>47674</v>
      </c>
      <c r="C22032" t="s">
        <v>47681</v>
      </c>
      <c r="E22032" t="s">
        <v>39</v>
      </c>
      <c r="F22032">
        <v>0</v>
      </c>
      <c r="G22032">
        <v>0</v>
      </c>
      <c r="H22032">
        <v>3</v>
      </c>
      <c r="I22032" s="3">
        <v>116.43</v>
      </c>
      <c r="J22032" s="3">
        <v>46.21</v>
      </c>
      <c r="L22032">
        <v>134</v>
      </c>
      <c r="M22032" t="s">
        <v>585</v>
      </c>
      <c r="N22032" t="s">
        <v>30</v>
      </c>
      <c r="O22032" t="s">
        <v>31</v>
      </c>
      <c r="P22032" t="str">
        <f>"15210"</f>
        <v>15210</v>
      </c>
    </row>
    <row r="22033" spans="1:16" x14ac:dyDescent="0.25">
      <c r="A22033" t="str">
        <f>"8330014S00245    00"</f>
        <v>8330014S00245    00</v>
      </c>
      <c r="B22033" t="s">
        <v>47682</v>
      </c>
      <c r="C22033" t="s">
        <v>47683</v>
      </c>
      <c r="D22033" t="s">
        <v>20</v>
      </c>
      <c r="E22033" t="s">
        <v>39</v>
      </c>
      <c r="F22033">
        <v>0</v>
      </c>
      <c r="G22033">
        <v>0</v>
      </c>
      <c r="H22033">
        <v>1</v>
      </c>
      <c r="I22033" s="3">
        <v>256.26</v>
      </c>
      <c r="J22033" s="3">
        <v>0</v>
      </c>
      <c r="L22033">
        <v>3175</v>
      </c>
      <c r="M22033" t="s">
        <v>41962</v>
      </c>
      <c r="N22033" t="s">
        <v>195</v>
      </c>
      <c r="O22033" t="s">
        <v>31</v>
      </c>
      <c r="P22033" t="str">
        <f>"15101"</f>
        <v>15101</v>
      </c>
    </row>
    <row r="22034" spans="1:16" x14ac:dyDescent="0.25">
      <c r="A22034" t="str">
        <f>"8330014S00258    00"</f>
        <v>8330014S00258    00</v>
      </c>
      <c r="B22034" t="s">
        <v>47684</v>
      </c>
      <c r="C22034" t="s">
        <v>4419</v>
      </c>
      <c r="D22034" t="s">
        <v>20</v>
      </c>
      <c r="E22034" t="s">
        <v>39</v>
      </c>
      <c r="F22034">
        <v>0</v>
      </c>
      <c r="G22034">
        <v>0</v>
      </c>
      <c r="H22034">
        <v>15</v>
      </c>
      <c r="I22034" s="3">
        <v>3220.97</v>
      </c>
      <c r="J22034" s="3">
        <v>3874.83</v>
      </c>
      <c r="L22034">
        <v>108</v>
      </c>
      <c r="M22034" t="s">
        <v>47685</v>
      </c>
      <c r="N22034" t="s">
        <v>12155</v>
      </c>
      <c r="O22034" t="s">
        <v>4435</v>
      </c>
      <c r="P22034" t="str">
        <f>"70506"</f>
        <v>70506</v>
      </c>
    </row>
    <row r="22035" spans="1:16" x14ac:dyDescent="0.25">
      <c r="A22035" t="str">
        <f>"8330014S00282    00"</f>
        <v>8330014S00282    00</v>
      </c>
      <c r="B22035" t="s">
        <v>47686</v>
      </c>
      <c r="C22035" t="s">
        <v>47687</v>
      </c>
      <c r="E22035" t="s">
        <v>39</v>
      </c>
      <c r="F22035">
        <v>0</v>
      </c>
      <c r="G22035">
        <v>0</v>
      </c>
      <c r="H22035">
        <v>1</v>
      </c>
      <c r="I22035" s="3">
        <v>411.39</v>
      </c>
      <c r="J22035" s="3">
        <v>140.97999999999999</v>
      </c>
      <c r="K22035" t="s">
        <v>557</v>
      </c>
      <c r="L22035">
        <v>3001</v>
      </c>
      <c r="M22035" t="s">
        <v>330</v>
      </c>
      <c r="N22035" t="s">
        <v>331</v>
      </c>
      <c r="O22035" t="s">
        <v>108</v>
      </c>
      <c r="P22035" t="str">
        <f>"75063"</f>
        <v>75063</v>
      </c>
    </row>
    <row r="22036" spans="1:16" x14ac:dyDescent="0.25">
      <c r="A22036" t="str">
        <f>"8330014S00283    00"</f>
        <v>8330014S00283    00</v>
      </c>
      <c r="B22036" t="s">
        <v>47688</v>
      </c>
      <c r="C22036" t="s">
        <v>47689</v>
      </c>
      <c r="E22036" t="s">
        <v>39</v>
      </c>
      <c r="F22036">
        <v>0</v>
      </c>
      <c r="G22036">
        <v>0</v>
      </c>
      <c r="H22036">
        <v>7</v>
      </c>
      <c r="I22036" s="3">
        <v>906.55</v>
      </c>
      <c r="J22036" s="3">
        <v>449.96</v>
      </c>
      <c r="K22036" t="s">
        <v>47690</v>
      </c>
      <c r="M22036" t="s">
        <v>47691</v>
      </c>
      <c r="N22036" t="s">
        <v>30</v>
      </c>
      <c r="O22036" t="s">
        <v>31</v>
      </c>
      <c r="P22036" t="str">
        <f>"15210"</f>
        <v>15210</v>
      </c>
    </row>
    <row r="22037" spans="1:16" x14ac:dyDescent="0.25">
      <c r="A22037" t="str">
        <f>"8330014S00290    00"</f>
        <v>8330014S00290    00</v>
      </c>
      <c r="B22037" t="s">
        <v>47692</v>
      </c>
      <c r="C22037" t="s">
        <v>47693</v>
      </c>
      <c r="E22037" t="s">
        <v>39</v>
      </c>
      <c r="F22037">
        <v>0</v>
      </c>
      <c r="G22037">
        <v>0</v>
      </c>
      <c r="H22037">
        <v>2</v>
      </c>
      <c r="I22037" s="3">
        <v>56.97</v>
      </c>
      <c r="J22037" s="3">
        <v>14.03</v>
      </c>
      <c r="K22037" t="s">
        <v>47694</v>
      </c>
      <c r="L22037">
        <v>205</v>
      </c>
      <c r="M22037" t="s">
        <v>585</v>
      </c>
      <c r="N22037" t="s">
        <v>30</v>
      </c>
      <c r="O22037" t="s">
        <v>31</v>
      </c>
      <c r="P22037" t="str">
        <f>"15210"</f>
        <v>15210</v>
      </c>
    </row>
    <row r="22038" spans="1:16" x14ac:dyDescent="0.25">
      <c r="A22038" t="str">
        <f>"8330014S00293    00"</f>
        <v>8330014S00293    00</v>
      </c>
      <c r="B22038" t="s">
        <v>47695</v>
      </c>
      <c r="C22038" t="s">
        <v>4419</v>
      </c>
      <c r="D22038" t="s">
        <v>20</v>
      </c>
      <c r="E22038" t="s">
        <v>39</v>
      </c>
      <c r="F22038">
        <v>0</v>
      </c>
      <c r="G22038">
        <v>0</v>
      </c>
      <c r="H22038">
        <v>19</v>
      </c>
      <c r="I22038" s="3">
        <v>9376.0499999999993</v>
      </c>
      <c r="J22038" s="3">
        <v>9899.7099999999991</v>
      </c>
      <c r="L22038">
        <v>201</v>
      </c>
      <c r="M22038" t="s">
        <v>585</v>
      </c>
      <c r="N22038" t="s">
        <v>44953</v>
      </c>
      <c r="O22038" t="s">
        <v>31</v>
      </c>
      <c r="P22038" t="str">
        <f>"15210"</f>
        <v>15210</v>
      </c>
    </row>
    <row r="22039" spans="1:16" x14ac:dyDescent="0.25">
      <c r="A22039" t="str">
        <f>"8330014S00294    00"</f>
        <v>8330014S00294    00</v>
      </c>
      <c r="B22039" t="s">
        <v>47696</v>
      </c>
      <c r="C22039" t="s">
        <v>4419</v>
      </c>
      <c r="D22039" t="s">
        <v>20</v>
      </c>
      <c r="E22039" t="s">
        <v>39</v>
      </c>
      <c r="F22039">
        <v>0</v>
      </c>
      <c r="G22039">
        <v>0</v>
      </c>
      <c r="H22039">
        <v>19</v>
      </c>
      <c r="I22039" s="3">
        <v>5193.57</v>
      </c>
      <c r="J22039" s="3">
        <v>5753.03</v>
      </c>
      <c r="K22039" t="s">
        <v>47697</v>
      </c>
      <c r="M22039" t="s">
        <v>47698</v>
      </c>
      <c r="N22039" t="s">
        <v>47699</v>
      </c>
      <c r="O22039" t="s">
        <v>31</v>
      </c>
      <c r="P22039" t="str">
        <f>"15434"</f>
        <v>15434</v>
      </c>
    </row>
    <row r="22040" spans="1:16" x14ac:dyDescent="0.25">
      <c r="A22040" t="str">
        <f>"8330014S00298    00"</f>
        <v>8330014S00298    00</v>
      </c>
      <c r="B22040" t="s">
        <v>47700</v>
      </c>
      <c r="C22040" t="s">
        <v>4419</v>
      </c>
      <c r="D22040" t="s">
        <v>20</v>
      </c>
      <c r="E22040" t="s">
        <v>39</v>
      </c>
      <c r="F22040">
        <v>0</v>
      </c>
      <c r="G22040">
        <v>0</v>
      </c>
      <c r="H22040">
        <v>19</v>
      </c>
      <c r="I22040" s="3">
        <v>6114.46</v>
      </c>
      <c r="J22040" s="3">
        <v>7188.34</v>
      </c>
      <c r="K22040" t="s">
        <v>47701</v>
      </c>
      <c r="L22040">
        <v>197</v>
      </c>
      <c r="M22040" t="s">
        <v>585</v>
      </c>
      <c r="N22040" t="s">
        <v>30</v>
      </c>
      <c r="O22040" t="s">
        <v>31</v>
      </c>
      <c r="P22040" t="str">
        <f>"15210"</f>
        <v>15210</v>
      </c>
    </row>
    <row r="22041" spans="1:16" x14ac:dyDescent="0.25">
      <c r="A22041" t="str">
        <f>"8330014S00302    00"</f>
        <v>8330014S00302    00</v>
      </c>
      <c r="B22041" t="s">
        <v>47702</v>
      </c>
      <c r="C22041" t="s">
        <v>4419</v>
      </c>
      <c r="D22041" t="s">
        <v>20</v>
      </c>
      <c r="E22041" t="s">
        <v>39</v>
      </c>
      <c r="F22041">
        <v>0</v>
      </c>
      <c r="G22041">
        <v>0</v>
      </c>
      <c r="H22041">
        <v>17</v>
      </c>
      <c r="I22041" s="3">
        <v>4842.58</v>
      </c>
      <c r="J22041" s="3">
        <v>7020.25</v>
      </c>
      <c r="L22041">
        <v>183</v>
      </c>
      <c r="M22041" t="s">
        <v>585</v>
      </c>
      <c r="N22041" t="s">
        <v>30</v>
      </c>
      <c r="O22041" t="s">
        <v>31</v>
      </c>
      <c r="P22041" t="str">
        <f>"15210"</f>
        <v>15210</v>
      </c>
    </row>
    <row r="22042" spans="1:16" x14ac:dyDescent="0.25">
      <c r="A22042" t="str">
        <f>"8330032A00004    00"</f>
        <v>8330032A00004    00</v>
      </c>
      <c r="B22042" t="s">
        <v>47703</v>
      </c>
      <c r="C22042" t="s">
        <v>47704</v>
      </c>
      <c r="D22042" t="s">
        <v>20</v>
      </c>
      <c r="E22042" t="s">
        <v>39</v>
      </c>
      <c r="F22042">
        <v>0</v>
      </c>
      <c r="G22042">
        <v>0</v>
      </c>
      <c r="H22042">
        <v>1</v>
      </c>
      <c r="I22042" s="3">
        <v>401.8</v>
      </c>
      <c r="J22042" s="3">
        <v>0</v>
      </c>
      <c r="L22042">
        <v>1030</v>
      </c>
      <c r="M22042" t="s">
        <v>47705</v>
      </c>
      <c r="N22042" t="s">
        <v>47706</v>
      </c>
      <c r="O22042" t="s">
        <v>495</v>
      </c>
      <c r="P22042" t="str">
        <f>"91106"</f>
        <v>91106</v>
      </c>
    </row>
    <row r="22043" spans="1:16" x14ac:dyDescent="0.25">
      <c r="A22043" t="str">
        <f>"8330032A00012    00"</f>
        <v>8330032A00012    00</v>
      </c>
      <c r="B22043" t="s">
        <v>47707</v>
      </c>
      <c r="C22043" t="s">
        <v>47708</v>
      </c>
      <c r="E22043" t="s">
        <v>39</v>
      </c>
      <c r="F22043">
        <v>0</v>
      </c>
      <c r="G22043">
        <v>0</v>
      </c>
      <c r="H22043">
        <v>2</v>
      </c>
      <c r="I22043" s="3">
        <v>399.09</v>
      </c>
      <c r="J22043" s="3">
        <v>20.81</v>
      </c>
      <c r="K22043" t="s">
        <v>4397</v>
      </c>
      <c r="L22043">
        <v>1901</v>
      </c>
      <c r="M22043" t="s">
        <v>5016</v>
      </c>
      <c r="N22043" t="s">
        <v>5017</v>
      </c>
      <c r="O22043" t="s">
        <v>3486</v>
      </c>
      <c r="P22043" t="str">
        <f>"61834"</f>
        <v>61834</v>
      </c>
    </row>
    <row r="22044" spans="1:16" x14ac:dyDescent="0.25">
      <c r="A22044" t="str">
        <f>"8330032A00096    00"</f>
        <v>8330032A00096    00</v>
      </c>
      <c r="B22044" t="s">
        <v>47709</v>
      </c>
      <c r="C22044" t="s">
        <v>47710</v>
      </c>
      <c r="E22044" t="s">
        <v>39</v>
      </c>
      <c r="F22044">
        <v>0</v>
      </c>
      <c r="G22044">
        <v>0</v>
      </c>
      <c r="H22044">
        <v>2</v>
      </c>
      <c r="I22044" s="3">
        <v>455.76</v>
      </c>
      <c r="J22044" s="3">
        <v>350.71</v>
      </c>
      <c r="L22044">
        <v>217</v>
      </c>
      <c r="M22044" t="s">
        <v>23780</v>
      </c>
      <c r="N22044" t="s">
        <v>30</v>
      </c>
      <c r="O22044" t="s">
        <v>31</v>
      </c>
      <c r="P22044" t="str">
        <f>"15210"</f>
        <v>15210</v>
      </c>
    </row>
    <row r="22045" spans="1:16" x14ac:dyDescent="0.25">
      <c r="A22045" t="str">
        <f>"8330032A00097    00"</f>
        <v>8330032A00097    00</v>
      </c>
      <c r="B22045" t="s">
        <v>47711</v>
      </c>
      <c r="C22045" t="s">
        <v>47712</v>
      </c>
      <c r="D22045" t="s">
        <v>57</v>
      </c>
      <c r="E22045" t="s">
        <v>39</v>
      </c>
      <c r="F22045">
        <v>0</v>
      </c>
      <c r="G22045">
        <v>0</v>
      </c>
      <c r="H22045">
        <v>2</v>
      </c>
      <c r="I22045" s="3">
        <v>242.93</v>
      </c>
      <c r="J22045" s="3">
        <v>0.49</v>
      </c>
      <c r="L22045">
        <v>2020</v>
      </c>
      <c r="M22045" t="s">
        <v>47713</v>
      </c>
      <c r="N22045" t="s">
        <v>4652</v>
      </c>
      <c r="O22045" t="s">
        <v>370</v>
      </c>
      <c r="P22045" t="str">
        <f>"33137"</f>
        <v>33137</v>
      </c>
    </row>
    <row r="22046" spans="1:16" x14ac:dyDescent="0.25">
      <c r="A22046" t="str">
        <f>"8330032A00098    00"</f>
        <v>8330032A00098    00</v>
      </c>
      <c r="B22046" t="s">
        <v>23213</v>
      </c>
      <c r="C22046" t="s">
        <v>47714</v>
      </c>
      <c r="E22046" t="s">
        <v>39</v>
      </c>
      <c r="F22046">
        <v>0</v>
      </c>
      <c r="G22046">
        <v>0</v>
      </c>
      <c r="H22046">
        <v>3</v>
      </c>
      <c r="I22046" s="3">
        <v>510.69</v>
      </c>
      <c r="J22046" s="3">
        <v>303.56</v>
      </c>
      <c r="M22046" t="s">
        <v>23215</v>
      </c>
      <c r="N22046" t="s">
        <v>30</v>
      </c>
      <c r="O22046" t="s">
        <v>31</v>
      </c>
      <c r="P22046" t="str">
        <f>"15211"</f>
        <v>15211</v>
      </c>
    </row>
    <row r="22047" spans="1:16" x14ac:dyDescent="0.25">
      <c r="A22047" t="str">
        <f>"8330032A00124    00"</f>
        <v>8330032A00124    00</v>
      </c>
      <c r="B22047" t="s">
        <v>47715</v>
      </c>
      <c r="C22047" t="s">
        <v>47716</v>
      </c>
      <c r="E22047" t="s">
        <v>39</v>
      </c>
      <c r="F22047">
        <v>0</v>
      </c>
      <c r="G22047">
        <v>0</v>
      </c>
      <c r="H22047">
        <v>7</v>
      </c>
      <c r="I22047" s="3">
        <v>413.03</v>
      </c>
      <c r="J22047" s="3">
        <v>205.48</v>
      </c>
      <c r="L22047">
        <v>5639</v>
      </c>
      <c r="M22047" t="s">
        <v>15491</v>
      </c>
      <c r="N22047" t="s">
        <v>30</v>
      </c>
      <c r="O22047" t="s">
        <v>31</v>
      </c>
      <c r="P22047" t="str">
        <f>"15236"</f>
        <v>15236</v>
      </c>
    </row>
    <row r="22048" spans="1:16" x14ac:dyDescent="0.25">
      <c r="A22048" t="str">
        <f>"8330032A00125    00"</f>
        <v>8330032A00125    00</v>
      </c>
      <c r="B22048" t="s">
        <v>47717</v>
      </c>
      <c r="C22048" t="s">
        <v>47718</v>
      </c>
      <c r="D22048" t="s">
        <v>20</v>
      </c>
      <c r="E22048" t="s">
        <v>39</v>
      </c>
      <c r="F22048">
        <v>0</v>
      </c>
      <c r="G22048">
        <v>0</v>
      </c>
      <c r="H22048">
        <v>10</v>
      </c>
      <c r="I22048" s="3">
        <v>938.05</v>
      </c>
      <c r="J22048" s="3">
        <v>509.47</v>
      </c>
      <c r="L22048">
        <v>214</v>
      </c>
      <c r="M22048" t="s">
        <v>23786</v>
      </c>
      <c r="N22048" t="s">
        <v>30</v>
      </c>
      <c r="O22048" t="s">
        <v>31</v>
      </c>
      <c r="P22048" t="str">
        <f>"15210"</f>
        <v>15210</v>
      </c>
    </row>
    <row r="22049" spans="1:16" x14ac:dyDescent="0.25">
      <c r="A22049" t="str">
        <f>"8330032A00219    00"</f>
        <v>8330032A00219    00</v>
      </c>
      <c r="B22049" t="s">
        <v>16104</v>
      </c>
      <c r="C22049" t="s">
        <v>47719</v>
      </c>
      <c r="D22049" t="s">
        <v>20</v>
      </c>
      <c r="E22049" t="s">
        <v>39</v>
      </c>
      <c r="F22049">
        <v>0</v>
      </c>
      <c r="G22049">
        <v>0</v>
      </c>
      <c r="H22049">
        <v>3</v>
      </c>
      <c r="I22049" s="3">
        <v>445.37</v>
      </c>
      <c r="J22049" s="3">
        <v>70.31</v>
      </c>
      <c r="L22049">
        <v>8807</v>
      </c>
      <c r="M22049" t="s">
        <v>13958</v>
      </c>
      <c r="N22049" t="s">
        <v>30</v>
      </c>
      <c r="O22049" t="s">
        <v>31</v>
      </c>
      <c r="P22049" t="str">
        <f>"15221"</f>
        <v>15221</v>
      </c>
    </row>
    <row r="22050" spans="1:16" x14ac:dyDescent="0.25">
      <c r="A22050" t="str">
        <f>"8330032A00220    00"</f>
        <v>8330032A00220    00</v>
      </c>
      <c r="B22050" t="s">
        <v>47720</v>
      </c>
      <c r="C22050" t="s">
        <v>23797</v>
      </c>
      <c r="D22050" t="s">
        <v>20</v>
      </c>
      <c r="E22050" t="s">
        <v>39</v>
      </c>
      <c r="F22050">
        <v>0</v>
      </c>
      <c r="G22050">
        <v>0</v>
      </c>
      <c r="H22050">
        <v>17</v>
      </c>
      <c r="I22050" s="3">
        <v>5274.25</v>
      </c>
      <c r="J22050" s="3">
        <v>5822.36</v>
      </c>
      <c r="L22050">
        <v>199</v>
      </c>
      <c r="M22050" t="s">
        <v>23786</v>
      </c>
      <c r="N22050" t="s">
        <v>30</v>
      </c>
      <c r="O22050" t="s">
        <v>31</v>
      </c>
      <c r="P22050" t="str">
        <f>"15210"</f>
        <v>15210</v>
      </c>
    </row>
    <row r="22051" spans="1:16" x14ac:dyDescent="0.25">
      <c r="A22051" t="str">
        <f>"8330032A00224    00"</f>
        <v>8330032A00224    00</v>
      </c>
      <c r="B22051" t="s">
        <v>47721</v>
      </c>
      <c r="C22051" t="s">
        <v>47722</v>
      </c>
      <c r="E22051" t="s">
        <v>39</v>
      </c>
      <c r="F22051">
        <v>0</v>
      </c>
      <c r="G22051">
        <v>0</v>
      </c>
      <c r="H22051">
        <v>11</v>
      </c>
      <c r="I22051" s="3">
        <v>6269.84</v>
      </c>
      <c r="J22051" s="3">
        <v>8646.7900000000009</v>
      </c>
      <c r="K22051" t="s">
        <v>47723</v>
      </c>
      <c r="L22051">
        <v>335</v>
      </c>
      <c r="M22051" t="s">
        <v>25874</v>
      </c>
      <c r="N22051" t="s">
        <v>30</v>
      </c>
      <c r="O22051" t="s">
        <v>31</v>
      </c>
      <c r="P22051" t="str">
        <f>"15210"</f>
        <v>15210</v>
      </c>
    </row>
    <row r="22052" spans="1:16" x14ac:dyDescent="0.25">
      <c r="A22052" t="str">
        <f>"8330032A00362    00"</f>
        <v>8330032A00362    00</v>
      </c>
      <c r="B22052" t="s">
        <v>47724</v>
      </c>
      <c r="C22052" t="s">
        <v>47725</v>
      </c>
      <c r="E22052" t="s">
        <v>39</v>
      </c>
      <c r="F22052">
        <v>0</v>
      </c>
      <c r="G22052">
        <v>0</v>
      </c>
      <c r="H22052">
        <v>1</v>
      </c>
      <c r="I22052" s="3">
        <v>187.06</v>
      </c>
      <c r="J22052" s="3">
        <v>59.23</v>
      </c>
      <c r="K22052" t="s">
        <v>8122</v>
      </c>
      <c r="L22052">
        <v>999</v>
      </c>
      <c r="M22052" t="s">
        <v>8123</v>
      </c>
      <c r="N22052" t="s">
        <v>8124</v>
      </c>
      <c r="O22052" t="s">
        <v>658</v>
      </c>
      <c r="P22052" t="str">
        <f>"73118"</f>
        <v>73118</v>
      </c>
    </row>
    <row r="22053" spans="1:16" x14ac:dyDescent="0.25">
      <c r="A22053" t="str">
        <f>"8330032A00367    00"</f>
        <v>8330032A00367    00</v>
      </c>
      <c r="B22053" t="s">
        <v>47726</v>
      </c>
      <c r="C22053" t="s">
        <v>47727</v>
      </c>
      <c r="D22053" t="s">
        <v>20</v>
      </c>
      <c r="E22053" t="s">
        <v>39</v>
      </c>
      <c r="F22053">
        <v>0</v>
      </c>
      <c r="G22053">
        <v>0</v>
      </c>
      <c r="H22053">
        <v>1</v>
      </c>
      <c r="I22053" s="3">
        <v>215.25</v>
      </c>
      <c r="J22053" s="3">
        <v>0</v>
      </c>
      <c r="K22053" t="s">
        <v>725</v>
      </c>
      <c r="L22053">
        <v>1301</v>
      </c>
      <c r="M22053" t="s">
        <v>722</v>
      </c>
      <c r="N22053" t="s">
        <v>30</v>
      </c>
      <c r="O22053" t="s">
        <v>31</v>
      </c>
      <c r="P22053" t="str">
        <f>"15211"</f>
        <v>15211</v>
      </c>
    </row>
    <row r="22054" spans="1:16" x14ac:dyDescent="0.25">
      <c r="A22054" t="str">
        <f>"8330032A00371    00"</f>
        <v>8330032A00371    00</v>
      </c>
      <c r="B22054" t="s">
        <v>47728</v>
      </c>
      <c r="C22054" t="s">
        <v>47729</v>
      </c>
      <c r="D22054" t="s">
        <v>20</v>
      </c>
      <c r="E22054" t="s">
        <v>39</v>
      </c>
      <c r="F22054">
        <v>0</v>
      </c>
      <c r="G22054">
        <v>0</v>
      </c>
      <c r="H22054">
        <v>3</v>
      </c>
      <c r="I22054" s="3">
        <v>116.52</v>
      </c>
      <c r="J22054" s="3">
        <v>46.88</v>
      </c>
      <c r="L22054">
        <v>343</v>
      </c>
      <c r="M22054" t="s">
        <v>23847</v>
      </c>
      <c r="N22054" t="s">
        <v>30</v>
      </c>
      <c r="O22054" t="s">
        <v>31</v>
      </c>
      <c r="P22054" t="str">
        <f>"15210"</f>
        <v>15210</v>
      </c>
    </row>
    <row r="22055" spans="1:16" x14ac:dyDescent="0.25">
      <c r="A22055" t="str">
        <f>"8330032E00246    00"</f>
        <v>8330032E00246    00</v>
      </c>
      <c r="B22055" t="s">
        <v>47730</v>
      </c>
      <c r="C22055" t="s">
        <v>47731</v>
      </c>
      <c r="D22055" t="s">
        <v>20</v>
      </c>
      <c r="E22055" t="s">
        <v>39</v>
      </c>
      <c r="F22055">
        <v>0</v>
      </c>
      <c r="G22055">
        <v>0</v>
      </c>
      <c r="H22055">
        <v>5</v>
      </c>
      <c r="I22055" s="3">
        <v>1226.33</v>
      </c>
      <c r="J22055" s="3">
        <v>249.36</v>
      </c>
      <c r="L22055">
        <v>108</v>
      </c>
      <c r="M22055" t="s">
        <v>47732</v>
      </c>
      <c r="N22055" t="s">
        <v>30</v>
      </c>
      <c r="O22055" t="s">
        <v>31</v>
      </c>
      <c r="P22055" t="str">
        <f>"15210"</f>
        <v>15210</v>
      </c>
    </row>
    <row r="22056" spans="1:16" x14ac:dyDescent="0.25">
      <c r="A22056" t="str">
        <f>"8330032E00293    00"</f>
        <v>8330032E00293    00</v>
      </c>
      <c r="B22056" t="s">
        <v>47733</v>
      </c>
      <c r="C22056" t="s">
        <v>47734</v>
      </c>
      <c r="D22056" t="s">
        <v>20</v>
      </c>
      <c r="E22056" t="s">
        <v>39</v>
      </c>
      <c r="F22056">
        <v>0</v>
      </c>
      <c r="G22056">
        <v>0</v>
      </c>
      <c r="H22056">
        <v>19</v>
      </c>
      <c r="I22056" s="3">
        <v>3411.56</v>
      </c>
      <c r="J22056" s="3">
        <v>2896.15</v>
      </c>
      <c r="P22056" t="str">
        <f>""</f>
        <v/>
      </c>
    </row>
    <row r="22057" spans="1:16" x14ac:dyDescent="0.25">
      <c r="A22057" t="str">
        <f>"8330032E00295    00"</f>
        <v>8330032E00295    00</v>
      </c>
      <c r="B22057" t="s">
        <v>47733</v>
      </c>
      <c r="C22057" t="s">
        <v>47734</v>
      </c>
      <c r="D22057" t="s">
        <v>20</v>
      </c>
      <c r="E22057" t="s">
        <v>39</v>
      </c>
      <c r="F22057">
        <v>0</v>
      </c>
      <c r="G22057">
        <v>0</v>
      </c>
      <c r="H22057">
        <v>19</v>
      </c>
      <c r="I22057" s="3">
        <v>2127.33</v>
      </c>
      <c r="J22057" s="3">
        <v>2087.73</v>
      </c>
      <c r="M22057" t="s">
        <v>47735</v>
      </c>
      <c r="N22057" t="s">
        <v>30</v>
      </c>
      <c r="O22057" t="s">
        <v>31</v>
      </c>
      <c r="P22057" t="str">
        <f>"15210"</f>
        <v>15210</v>
      </c>
    </row>
    <row r="22058" spans="1:16" x14ac:dyDescent="0.25">
      <c r="A22058" t="str">
        <f>"8330032E00307    00"</f>
        <v>8330032E00307    00</v>
      </c>
      <c r="B22058" t="s">
        <v>47736</v>
      </c>
      <c r="C22058" t="s">
        <v>47737</v>
      </c>
      <c r="D22058" t="s">
        <v>20</v>
      </c>
      <c r="E22058" t="s">
        <v>39</v>
      </c>
      <c r="F22058">
        <v>0</v>
      </c>
      <c r="G22058">
        <v>0</v>
      </c>
      <c r="H22058">
        <v>8</v>
      </c>
      <c r="I22058" s="3">
        <v>96.21</v>
      </c>
      <c r="J22058" s="3">
        <v>31.89</v>
      </c>
      <c r="L22058">
        <v>4101</v>
      </c>
      <c r="M22058" t="s">
        <v>47738</v>
      </c>
      <c r="N22058" t="s">
        <v>526</v>
      </c>
      <c r="O22058" t="s">
        <v>527</v>
      </c>
      <c r="P22058" t="str">
        <f>"20016"</f>
        <v>20016</v>
      </c>
    </row>
    <row r="22059" spans="1:16" x14ac:dyDescent="0.25">
      <c r="A22059" t="str">
        <f>"8330032E00325    00"</f>
        <v>8330032E00325    00</v>
      </c>
      <c r="B22059" t="s">
        <v>47739</v>
      </c>
      <c r="C22059" t="s">
        <v>47740</v>
      </c>
      <c r="E22059" t="s">
        <v>39</v>
      </c>
      <c r="F22059">
        <v>0</v>
      </c>
      <c r="G22059">
        <v>0</v>
      </c>
      <c r="H22059">
        <v>11</v>
      </c>
      <c r="I22059" s="3">
        <v>2482.98</v>
      </c>
      <c r="J22059" s="3">
        <v>3771.64</v>
      </c>
      <c r="L22059">
        <v>102</v>
      </c>
      <c r="M22059" t="s">
        <v>47732</v>
      </c>
      <c r="N22059" t="s">
        <v>30</v>
      </c>
      <c r="O22059" t="s">
        <v>31</v>
      </c>
      <c r="P22059" t="str">
        <f>"15210"</f>
        <v>15210</v>
      </c>
    </row>
    <row r="22060" spans="1:16" x14ac:dyDescent="0.25">
      <c r="A22060" t="str">
        <f>"8330032E00336    00"</f>
        <v>8330032E00336    00</v>
      </c>
      <c r="B22060" t="s">
        <v>47741</v>
      </c>
      <c r="C22060" t="s">
        <v>47742</v>
      </c>
      <c r="D22060" t="s">
        <v>20</v>
      </c>
      <c r="E22060" t="s">
        <v>39</v>
      </c>
      <c r="F22060">
        <v>0</v>
      </c>
      <c r="G22060">
        <v>0</v>
      </c>
      <c r="H22060">
        <v>6</v>
      </c>
      <c r="I22060" s="3">
        <v>2759.39</v>
      </c>
      <c r="J22060" s="3">
        <v>766.45</v>
      </c>
      <c r="L22060">
        <v>108</v>
      </c>
      <c r="M22060" t="s">
        <v>47732</v>
      </c>
      <c r="N22060" t="s">
        <v>30</v>
      </c>
      <c r="O22060" t="s">
        <v>31</v>
      </c>
      <c r="P22060" t="str">
        <f>"15210"</f>
        <v>15210</v>
      </c>
    </row>
    <row r="22061" spans="1:16" x14ac:dyDescent="0.25">
      <c r="A22061" t="str">
        <f>"8330032E00341    00"</f>
        <v>8330032E00341    00</v>
      </c>
      <c r="B22061" t="s">
        <v>47743</v>
      </c>
      <c r="C22061" t="s">
        <v>23810</v>
      </c>
      <c r="D22061" t="s">
        <v>20</v>
      </c>
      <c r="E22061" t="s">
        <v>39</v>
      </c>
      <c r="F22061">
        <v>0</v>
      </c>
      <c r="G22061">
        <v>0</v>
      </c>
      <c r="H22061">
        <v>17</v>
      </c>
      <c r="I22061" s="3">
        <v>2666.15</v>
      </c>
      <c r="J22061" s="3">
        <v>1857.52</v>
      </c>
      <c r="L22061">
        <v>144</v>
      </c>
      <c r="M22061" t="s">
        <v>43180</v>
      </c>
      <c r="N22061" t="s">
        <v>30</v>
      </c>
      <c r="O22061" t="s">
        <v>31</v>
      </c>
      <c r="P22061" t="str">
        <f>"15210"</f>
        <v>15210</v>
      </c>
    </row>
    <row r="22062" spans="1:16" x14ac:dyDescent="0.25">
      <c r="A22062" t="str">
        <f>"8330032E00343    00"</f>
        <v>8330032E00343    00</v>
      </c>
      <c r="B22062" t="s">
        <v>47744</v>
      </c>
      <c r="C22062" t="s">
        <v>47745</v>
      </c>
      <c r="E22062" t="s">
        <v>39</v>
      </c>
      <c r="F22062">
        <v>0</v>
      </c>
      <c r="G22062">
        <v>0</v>
      </c>
      <c r="H22062">
        <v>4</v>
      </c>
      <c r="I22062" s="3">
        <v>1948.8</v>
      </c>
      <c r="J22062" s="3">
        <v>2890.6</v>
      </c>
      <c r="K22062" t="s">
        <v>29349</v>
      </c>
      <c r="L22062">
        <v>4101</v>
      </c>
      <c r="M22062" t="s">
        <v>339</v>
      </c>
      <c r="N22062" t="s">
        <v>30</v>
      </c>
      <c r="O22062" t="s">
        <v>31</v>
      </c>
      <c r="P22062" t="str">
        <f>"15227"</f>
        <v>15227</v>
      </c>
    </row>
    <row r="22063" spans="1:16" x14ac:dyDescent="0.25">
      <c r="A22063" t="str">
        <f>"8330032E00345    00"</f>
        <v>8330032E00345    00</v>
      </c>
      <c r="B22063" t="s">
        <v>47746</v>
      </c>
      <c r="C22063" t="s">
        <v>47747</v>
      </c>
      <c r="D22063" t="s">
        <v>20</v>
      </c>
      <c r="E22063" t="s">
        <v>39</v>
      </c>
      <c r="F22063">
        <v>0</v>
      </c>
      <c r="G22063">
        <v>0</v>
      </c>
      <c r="H22063">
        <v>18</v>
      </c>
      <c r="I22063" s="3">
        <v>4677.96</v>
      </c>
      <c r="J22063" s="3">
        <v>3368.87</v>
      </c>
      <c r="L22063">
        <v>144</v>
      </c>
      <c r="M22063" t="s">
        <v>43180</v>
      </c>
      <c r="N22063" t="s">
        <v>30</v>
      </c>
      <c r="O22063" t="s">
        <v>31</v>
      </c>
      <c r="P22063" t="str">
        <f>"15210"</f>
        <v>15210</v>
      </c>
    </row>
    <row r="22064" spans="1:16" x14ac:dyDescent="0.25">
      <c r="A22064" t="str">
        <f>"8330032E00347    00"</f>
        <v>8330032E00347    00</v>
      </c>
      <c r="B22064" t="s">
        <v>47748</v>
      </c>
      <c r="C22064" t="s">
        <v>23810</v>
      </c>
      <c r="D22064" t="s">
        <v>20</v>
      </c>
      <c r="E22064" t="s">
        <v>39</v>
      </c>
      <c r="F22064">
        <v>0</v>
      </c>
      <c r="G22064">
        <v>0</v>
      </c>
      <c r="H22064">
        <v>14</v>
      </c>
      <c r="I22064" s="3">
        <v>36.83</v>
      </c>
      <c r="J22064" s="3">
        <v>27.9</v>
      </c>
      <c r="P22064" t="str">
        <f>""</f>
        <v/>
      </c>
    </row>
    <row r="22065" spans="1:16" x14ac:dyDescent="0.25">
      <c r="A22065" t="str">
        <f>"8330032E00354    00"</f>
        <v>8330032E00354    00</v>
      </c>
      <c r="B22065" t="s">
        <v>47749</v>
      </c>
      <c r="C22065" t="s">
        <v>47750</v>
      </c>
      <c r="D22065" t="s">
        <v>20</v>
      </c>
      <c r="E22065" t="s">
        <v>39</v>
      </c>
      <c r="F22065">
        <v>0</v>
      </c>
      <c r="G22065">
        <v>0</v>
      </c>
      <c r="H22065">
        <v>2</v>
      </c>
      <c r="I22065" s="3">
        <v>1137.76</v>
      </c>
      <c r="J22065" s="3">
        <v>0</v>
      </c>
      <c r="K22065" t="s">
        <v>7017</v>
      </c>
      <c r="L22065">
        <v>428</v>
      </c>
      <c r="M22065" t="s">
        <v>7018</v>
      </c>
      <c r="N22065" t="s">
        <v>5847</v>
      </c>
      <c r="O22065" t="s">
        <v>31</v>
      </c>
      <c r="P22065" t="str">
        <f>"15139"</f>
        <v>15139</v>
      </c>
    </row>
    <row r="22066" spans="1:16" x14ac:dyDescent="0.25">
      <c r="A22066" t="str">
        <f>"8330032E00355    00"</f>
        <v>8330032E00355    00</v>
      </c>
      <c r="B22066" t="s">
        <v>47751</v>
      </c>
      <c r="C22066" t="s">
        <v>47752</v>
      </c>
      <c r="E22066" t="s">
        <v>39</v>
      </c>
      <c r="F22066">
        <v>0</v>
      </c>
      <c r="G22066">
        <v>0</v>
      </c>
      <c r="H22066">
        <v>4</v>
      </c>
      <c r="I22066" s="3">
        <v>996.71</v>
      </c>
      <c r="J22066" s="3">
        <v>393.12</v>
      </c>
      <c r="L22066">
        <v>1242</v>
      </c>
      <c r="M22066" t="s">
        <v>47753</v>
      </c>
      <c r="N22066" t="s">
        <v>30</v>
      </c>
      <c r="O22066" t="s">
        <v>31</v>
      </c>
      <c r="P22066" t="str">
        <f>"15212"</f>
        <v>15212</v>
      </c>
    </row>
    <row r="22067" spans="1:16" x14ac:dyDescent="0.25">
      <c r="A22067" t="str">
        <f>"8330032E00366    00"</f>
        <v>8330032E00366    00</v>
      </c>
      <c r="B22067" t="s">
        <v>47754</v>
      </c>
      <c r="C22067" t="s">
        <v>47752</v>
      </c>
      <c r="D22067" t="s">
        <v>20</v>
      </c>
      <c r="E22067" t="s">
        <v>39</v>
      </c>
      <c r="F22067">
        <v>0</v>
      </c>
      <c r="G22067">
        <v>0</v>
      </c>
      <c r="H22067">
        <v>17</v>
      </c>
      <c r="I22067" s="3">
        <v>81.95</v>
      </c>
      <c r="J22067" s="3">
        <v>66.31</v>
      </c>
      <c r="L22067">
        <v>519</v>
      </c>
      <c r="M22067" t="s">
        <v>3123</v>
      </c>
      <c r="N22067" t="s">
        <v>30</v>
      </c>
      <c r="O22067" t="s">
        <v>31</v>
      </c>
      <c r="P22067" t="str">
        <f>"15210"</f>
        <v>15210</v>
      </c>
    </row>
    <row r="22068" spans="1:16" x14ac:dyDescent="0.25">
      <c r="A22068" t="str">
        <f>"8330032J00058    00"</f>
        <v>8330032J00058    00</v>
      </c>
      <c r="B22068" t="s">
        <v>47755</v>
      </c>
      <c r="C22068" t="s">
        <v>43077</v>
      </c>
      <c r="D22068" t="s">
        <v>20</v>
      </c>
      <c r="E22068" t="s">
        <v>39</v>
      </c>
      <c r="F22068">
        <v>0</v>
      </c>
      <c r="G22068">
        <v>0</v>
      </c>
      <c r="H22068">
        <v>16</v>
      </c>
      <c r="I22068" s="3">
        <v>2044.68</v>
      </c>
      <c r="J22068" s="3">
        <v>1174.2</v>
      </c>
      <c r="L22068">
        <v>2117</v>
      </c>
      <c r="M22068" t="s">
        <v>47756</v>
      </c>
      <c r="N22068" t="s">
        <v>625</v>
      </c>
      <c r="O22068" t="s">
        <v>31</v>
      </c>
      <c r="P22068" t="str">
        <f>"15108"</f>
        <v>15108</v>
      </c>
    </row>
    <row r="22069" spans="1:16" x14ac:dyDescent="0.25">
      <c r="A22069" t="str">
        <f>"8330032J00085    00"</f>
        <v>8330032J00085    00</v>
      </c>
      <c r="B22069" t="s">
        <v>47757</v>
      </c>
      <c r="C22069" t="s">
        <v>43077</v>
      </c>
      <c r="D22069" t="s">
        <v>20</v>
      </c>
      <c r="E22069" t="s">
        <v>39</v>
      </c>
      <c r="F22069">
        <v>0</v>
      </c>
      <c r="G22069">
        <v>0</v>
      </c>
      <c r="H22069">
        <v>19</v>
      </c>
      <c r="I22069" s="3">
        <v>4425.99</v>
      </c>
      <c r="J22069" s="3">
        <v>3825.65</v>
      </c>
      <c r="P22069" t="str">
        <f>""</f>
        <v/>
      </c>
    </row>
    <row r="22070" spans="1:16" x14ac:dyDescent="0.25">
      <c r="A22070" t="str">
        <f>"8330032J00103    00"</f>
        <v>8330032J00103    00</v>
      </c>
      <c r="B22070" t="s">
        <v>47758</v>
      </c>
      <c r="C22070" t="s">
        <v>47759</v>
      </c>
      <c r="D22070" t="s">
        <v>20</v>
      </c>
      <c r="E22070" t="s">
        <v>39</v>
      </c>
      <c r="F22070">
        <v>0</v>
      </c>
      <c r="G22070">
        <v>0</v>
      </c>
      <c r="H22070">
        <v>13</v>
      </c>
      <c r="I22070" s="3">
        <v>2244.9699999999998</v>
      </c>
      <c r="J22070" s="3">
        <v>1248.31</v>
      </c>
      <c r="L22070">
        <v>924</v>
      </c>
      <c r="M22070" t="s">
        <v>25680</v>
      </c>
      <c r="N22070" t="s">
        <v>30</v>
      </c>
      <c r="O22070" t="s">
        <v>31</v>
      </c>
      <c r="P22070" t="str">
        <f>"15210"</f>
        <v>15210</v>
      </c>
    </row>
    <row r="22071" spans="1:16" x14ac:dyDescent="0.25">
      <c r="A22071" t="str">
        <f>"8330032J00108    00"</f>
        <v>8330032J00108    00</v>
      </c>
      <c r="B22071" t="s">
        <v>47760</v>
      </c>
      <c r="C22071" t="s">
        <v>47761</v>
      </c>
      <c r="E22071" t="s">
        <v>39</v>
      </c>
      <c r="F22071">
        <v>0</v>
      </c>
      <c r="G22071">
        <v>0</v>
      </c>
      <c r="H22071">
        <v>2</v>
      </c>
      <c r="I22071" s="3">
        <v>504.3</v>
      </c>
      <c r="J22071" s="3">
        <v>50.43</v>
      </c>
      <c r="L22071">
        <v>680</v>
      </c>
      <c r="M22071" t="s">
        <v>47762</v>
      </c>
      <c r="N22071" t="s">
        <v>30</v>
      </c>
      <c r="O22071" t="s">
        <v>31</v>
      </c>
      <c r="P22071" t="str">
        <f>"15210"</f>
        <v>15210</v>
      </c>
    </row>
    <row r="22072" spans="1:16" x14ac:dyDescent="0.25">
      <c r="A22072" t="str">
        <f>"8330032J00109    00"</f>
        <v>8330032J00109    00</v>
      </c>
      <c r="B22072" t="s">
        <v>47760</v>
      </c>
      <c r="C22072" t="s">
        <v>47759</v>
      </c>
      <c r="E22072" t="s">
        <v>39</v>
      </c>
      <c r="F22072">
        <v>0</v>
      </c>
      <c r="G22072">
        <v>0</v>
      </c>
      <c r="H22072">
        <v>6</v>
      </c>
      <c r="I22072" s="3">
        <v>1087.46</v>
      </c>
      <c r="J22072" s="3">
        <v>357.59</v>
      </c>
      <c r="L22072">
        <v>680</v>
      </c>
      <c r="M22072" t="s">
        <v>47762</v>
      </c>
      <c r="N22072" t="s">
        <v>30</v>
      </c>
      <c r="O22072" t="s">
        <v>31</v>
      </c>
      <c r="P22072" t="str">
        <f>"15210"</f>
        <v>15210</v>
      </c>
    </row>
    <row r="22073" spans="1:16" x14ac:dyDescent="0.25">
      <c r="A22073" t="str">
        <f>"8330032J00126    00"</f>
        <v>8330032J00126    00</v>
      </c>
      <c r="B22073" t="s">
        <v>47763</v>
      </c>
      <c r="C22073" t="s">
        <v>47737</v>
      </c>
      <c r="D22073" t="s">
        <v>20</v>
      </c>
      <c r="E22073" t="s">
        <v>39</v>
      </c>
      <c r="F22073">
        <v>0</v>
      </c>
      <c r="G22073">
        <v>0</v>
      </c>
      <c r="H22073">
        <v>19</v>
      </c>
      <c r="I22073" s="3">
        <v>2317.7199999999998</v>
      </c>
      <c r="J22073" s="3">
        <v>1425.34</v>
      </c>
      <c r="K22073" t="s">
        <v>1008</v>
      </c>
      <c r="P22073" t="str">
        <f>""</f>
        <v/>
      </c>
    </row>
    <row r="22074" spans="1:16" x14ac:dyDescent="0.25">
      <c r="A22074" t="str">
        <f>"8330032J00127    00"</f>
        <v>8330032J00127    00</v>
      </c>
      <c r="B22074" t="s">
        <v>23535</v>
      </c>
      <c r="C22074" t="s">
        <v>47737</v>
      </c>
      <c r="D22074" t="s">
        <v>20</v>
      </c>
      <c r="E22074" t="s">
        <v>39</v>
      </c>
      <c r="F22074">
        <v>0</v>
      </c>
      <c r="G22074">
        <v>0</v>
      </c>
      <c r="H22074">
        <v>19</v>
      </c>
      <c r="I22074" s="3">
        <v>3566.78</v>
      </c>
      <c r="J22074" s="3">
        <v>2978.63</v>
      </c>
      <c r="L22074">
        <v>118</v>
      </c>
      <c r="M22074" t="s">
        <v>23551</v>
      </c>
      <c r="N22074" t="s">
        <v>30</v>
      </c>
      <c r="O22074" t="s">
        <v>31</v>
      </c>
      <c r="P22074" t="str">
        <f>"15210"</f>
        <v>15210</v>
      </c>
    </row>
    <row r="22075" spans="1:16" x14ac:dyDescent="0.25">
      <c r="A22075" t="str">
        <f>"8330032J00138    00"</f>
        <v>8330032J00138    00</v>
      </c>
      <c r="B22075" t="s">
        <v>23535</v>
      </c>
      <c r="C22075" t="s">
        <v>47737</v>
      </c>
      <c r="D22075" t="s">
        <v>20</v>
      </c>
      <c r="E22075" t="s">
        <v>39</v>
      </c>
      <c r="F22075">
        <v>0</v>
      </c>
      <c r="G22075">
        <v>0</v>
      </c>
      <c r="H22075">
        <v>19</v>
      </c>
      <c r="I22075" s="3">
        <v>4136.13</v>
      </c>
      <c r="J22075" s="3">
        <v>3570.85</v>
      </c>
      <c r="L22075">
        <v>2127</v>
      </c>
      <c r="M22075" t="s">
        <v>21280</v>
      </c>
      <c r="N22075" t="s">
        <v>30</v>
      </c>
      <c r="O22075" t="s">
        <v>31</v>
      </c>
      <c r="P22075" t="str">
        <f>"15210"</f>
        <v>15210</v>
      </c>
    </row>
    <row r="22076" spans="1:16" x14ac:dyDescent="0.25">
      <c r="A22076" t="str">
        <f>"8330032J00271    00"</f>
        <v>8330032J00271    00</v>
      </c>
      <c r="B22076" t="s">
        <v>47764</v>
      </c>
      <c r="C22076" t="s">
        <v>47765</v>
      </c>
      <c r="D22076" t="s">
        <v>20</v>
      </c>
      <c r="E22076" t="s">
        <v>39</v>
      </c>
      <c r="F22076">
        <v>0</v>
      </c>
      <c r="G22076">
        <v>0</v>
      </c>
      <c r="H22076">
        <v>2</v>
      </c>
      <c r="I22076" s="3">
        <v>581.29999999999995</v>
      </c>
      <c r="J22076" s="3">
        <v>0</v>
      </c>
      <c r="K22076" t="s">
        <v>47766</v>
      </c>
      <c r="L22076">
        <v>700</v>
      </c>
      <c r="M22076" t="s">
        <v>47767</v>
      </c>
      <c r="N22076" t="s">
        <v>30</v>
      </c>
      <c r="O22076" t="s">
        <v>31</v>
      </c>
      <c r="P22076" t="str">
        <f>"15210"</f>
        <v>15210</v>
      </c>
    </row>
    <row r="22077" spans="1:16" x14ac:dyDescent="0.25">
      <c r="A22077" t="str">
        <f>"8330033C00164    00"</f>
        <v>8330033C00164    00</v>
      </c>
      <c r="B22077" t="s">
        <v>47768</v>
      </c>
      <c r="C22077" t="s">
        <v>47769</v>
      </c>
      <c r="E22077" t="s">
        <v>21</v>
      </c>
      <c r="F22077">
        <v>0</v>
      </c>
      <c r="G22077">
        <v>0</v>
      </c>
      <c r="H22077">
        <v>11</v>
      </c>
      <c r="I22077" s="3">
        <v>16441.41</v>
      </c>
      <c r="J22077" s="3">
        <v>21082.26</v>
      </c>
      <c r="L22077">
        <v>3259</v>
      </c>
      <c r="M22077" t="s">
        <v>47770</v>
      </c>
      <c r="N22077" t="s">
        <v>22088</v>
      </c>
      <c r="O22077" t="s">
        <v>31</v>
      </c>
      <c r="P22077" t="str">
        <f>"15126"</f>
        <v>15126</v>
      </c>
    </row>
    <row r="22078" spans="1:16" x14ac:dyDescent="0.25">
      <c r="A22078" t="str">
        <f>"8330033C00202    00"</f>
        <v>8330033C00202    00</v>
      </c>
      <c r="B22078" t="s">
        <v>47771</v>
      </c>
      <c r="C22078" t="s">
        <v>43918</v>
      </c>
      <c r="D22078" t="s">
        <v>20</v>
      </c>
      <c r="E22078" t="s">
        <v>21</v>
      </c>
      <c r="F22078">
        <v>0</v>
      </c>
      <c r="G22078">
        <v>0</v>
      </c>
      <c r="H22078">
        <v>19</v>
      </c>
      <c r="I22078" s="3">
        <v>10106.39</v>
      </c>
      <c r="J22078" s="3">
        <v>13876.03</v>
      </c>
      <c r="K22078" t="s">
        <v>47772</v>
      </c>
      <c r="L22078">
        <v>101</v>
      </c>
      <c r="M22078" t="s">
        <v>47773</v>
      </c>
      <c r="N22078" t="s">
        <v>9778</v>
      </c>
      <c r="O22078" t="s">
        <v>423</v>
      </c>
      <c r="P22078" t="str">
        <f>"07302"</f>
        <v>07302</v>
      </c>
    </row>
    <row r="22079" spans="1:16" x14ac:dyDescent="0.25">
      <c r="A22079" t="str">
        <f>"8330033C00203    00"</f>
        <v>8330033C00203    00</v>
      </c>
      <c r="B22079" t="s">
        <v>47774</v>
      </c>
      <c r="C22079" t="s">
        <v>47775</v>
      </c>
      <c r="D22079" t="s">
        <v>20</v>
      </c>
      <c r="E22079" t="s">
        <v>39</v>
      </c>
      <c r="F22079">
        <v>0</v>
      </c>
      <c r="G22079">
        <v>0</v>
      </c>
      <c r="H22079">
        <v>2</v>
      </c>
      <c r="I22079" s="3">
        <v>981.96</v>
      </c>
      <c r="J22079" s="3">
        <v>0</v>
      </c>
      <c r="K22079" t="s">
        <v>47776</v>
      </c>
      <c r="L22079">
        <v>1361</v>
      </c>
      <c r="M22079" t="s">
        <v>25230</v>
      </c>
      <c r="N22079" t="s">
        <v>3934</v>
      </c>
      <c r="O22079" t="s">
        <v>31</v>
      </c>
      <c r="P22079" t="str">
        <f>"15102"</f>
        <v>15102</v>
      </c>
    </row>
    <row r="22080" spans="1:16" x14ac:dyDescent="0.25">
      <c r="A22080" t="str">
        <f>"8330033C00205    00"</f>
        <v>8330033C00205    00</v>
      </c>
      <c r="B22080" t="s">
        <v>40609</v>
      </c>
      <c r="C22080" t="s">
        <v>47777</v>
      </c>
      <c r="D22080" t="s">
        <v>20</v>
      </c>
      <c r="E22080" t="s">
        <v>39</v>
      </c>
      <c r="F22080">
        <v>0</v>
      </c>
      <c r="G22080">
        <v>0</v>
      </c>
      <c r="H22080">
        <v>19</v>
      </c>
      <c r="I22080" s="3">
        <v>5663.81</v>
      </c>
      <c r="J22080" s="3">
        <v>6563.18</v>
      </c>
      <c r="L22080">
        <v>1717</v>
      </c>
      <c r="M22080" t="s">
        <v>1695</v>
      </c>
      <c r="N22080" t="s">
        <v>30</v>
      </c>
      <c r="O22080" t="s">
        <v>31</v>
      </c>
      <c r="P22080" t="str">
        <f>"15217"</f>
        <v>15217</v>
      </c>
    </row>
    <row r="22081" spans="1:16" x14ac:dyDescent="0.25">
      <c r="A22081" t="str">
        <f>"8330033C00208    00"</f>
        <v>8330033C00208    00</v>
      </c>
      <c r="B22081" t="s">
        <v>47778</v>
      </c>
      <c r="C22081" t="s">
        <v>47779</v>
      </c>
      <c r="D22081" t="s">
        <v>20</v>
      </c>
      <c r="E22081" t="s">
        <v>39</v>
      </c>
      <c r="F22081">
        <v>0</v>
      </c>
      <c r="G22081">
        <v>0</v>
      </c>
      <c r="H22081">
        <v>3</v>
      </c>
      <c r="I22081" s="3">
        <v>1423.74</v>
      </c>
      <c r="J22081" s="3">
        <v>94.91</v>
      </c>
      <c r="K22081" t="s">
        <v>47780</v>
      </c>
      <c r="L22081">
        <v>528</v>
      </c>
      <c r="M22081" t="s">
        <v>47781</v>
      </c>
      <c r="N22081" t="s">
        <v>47782</v>
      </c>
      <c r="O22081" t="s">
        <v>2109</v>
      </c>
      <c r="P22081" t="str">
        <f>"84041"</f>
        <v>84041</v>
      </c>
    </row>
    <row r="22082" spans="1:16" x14ac:dyDescent="0.25">
      <c r="A22082" t="str">
        <f>"8330033C00209    00"</f>
        <v>8330033C00209    00</v>
      </c>
      <c r="B22082" t="s">
        <v>47783</v>
      </c>
      <c r="C22082" t="s">
        <v>47784</v>
      </c>
      <c r="D22082" t="s">
        <v>20</v>
      </c>
      <c r="E22082" t="s">
        <v>39</v>
      </c>
      <c r="F22082">
        <v>0</v>
      </c>
      <c r="G22082">
        <v>0</v>
      </c>
      <c r="H22082">
        <v>19</v>
      </c>
      <c r="I22082" s="3">
        <v>7930.43</v>
      </c>
      <c r="J22082" s="3">
        <v>9912.33</v>
      </c>
      <c r="L22082">
        <v>105</v>
      </c>
      <c r="M22082" t="s">
        <v>47785</v>
      </c>
      <c r="N22082" t="s">
        <v>30</v>
      </c>
      <c r="O22082" t="s">
        <v>31</v>
      </c>
      <c r="P22082" t="str">
        <f>"15227"</f>
        <v>15227</v>
      </c>
    </row>
    <row r="22083" spans="1:16" x14ac:dyDescent="0.25">
      <c r="A22083" t="str">
        <f>"8330033C00274    00"</f>
        <v>8330033C00274    00</v>
      </c>
      <c r="B22083" t="s">
        <v>47786</v>
      </c>
      <c r="C22083" t="s">
        <v>47787</v>
      </c>
      <c r="E22083" t="s">
        <v>39</v>
      </c>
      <c r="F22083">
        <v>0</v>
      </c>
      <c r="G22083">
        <v>0</v>
      </c>
      <c r="H22083">
        <v>1</v>
      </c>
      <c r="I22083" s="3">
        <v>513.53</v>
      </c>
      <c r="J22083" s="3">
        <v>0</v>
      </c>
      <c r="K22083" t="s">
        <v>24255</v>
      </c>
      <c r="L22083">
        <v>4115</v>
      </c>
      <c r="M22083" t="s">
        <v>22972</v>
      </c>
      <c r="N22083" t="s">
        <v>79</v>
      </c>
      <c r="O22083" t="s">
        <v>31</v>
      </c>
      <c r="P22083" t="str">
        <f>"15668"</f>
        <v>15668</v>
      </c>
    </row>
    <row r="22084" spans="1:16" x14ac:dyDescent="0.25">
      <c r="A22084" t="str">
        <f>"8330033C00277    00"</f>
        <v>8330033C00277    00</v>
      </c>
      <c r="B22084" t="s">
        <v>24253</v>
      </c>
      <c r="C22084" t="s">
        <v>47788</v>
      </c>
      <c r="D22084" t="s">
        <v>20</v>
      </c>
      <c r="E22084" t="s">
        <v>21</v>
      </c>
      <c r="F22084">
        <v>0</v>
      </c>
      <c r="G22084">
        <v>0</v>
      </c>
      <c r="H22084">
        <v>2</v>
      </c>
      <c r="I22084" s="3">
        <v>1760.96</v>
      </c>
      <c r="J22084" s="3">
        <v>0</v>
      </c>
      <c r="K22084" t="s">
        <v>24255</v>
      </c>
      <c r="L22084">
        <v>4115</v>
      </c>
      <c r="M22084" t="s">
        <v>22972</v>
      </c>
      <c r="N22084" t="s">
        <v>79</v>
      </c>
      <c r="O22084" t="s">
        <v>31</v>
      </c>
      <c r="P22084" t="str">
        <f>"15668"</f>
        <v>15668</v>
      </c>
    </row>
    <row r="22085" spans="1:16" x14ac:dyDescent="0.25">
      <c r="A22085" t="str">
        <f>"8330033C00286    00"</f>
        <v>8330033C00286    00</v>
      </c>
      <c r="B22085" t="s">
        <v>47789</v>
      </c>
      <c r="C22085" t="s">
        <v>47790</v>
      </c>
      <c r="E22085" t="s">
        <v>39</v>
      </c>
      <c r="F22085">
        <v>0</v>
      </c>
      <c r="G22085">
        <v>0</v>
      </c>
      <c r="H22085">
        <v>9</v>
      </c>
      <c r="I22085" s="3">
        <v>3577.56</v>
      </c>
      <c r="J22085" s="3">
        <v>3984.03</v>
      </c>
      <c r="K22085" t="s">
        <v>47791</v>
      </c>
      <c r="L22085">
        <v>335</v>
      </c>
      <c r="M22085" t="s">
        <v>25874</v>
      </c>
      <c r="N22085" t="s">
        <v>30</v>
      </c>
      <c r="O22085" t="s">
        <v>31</v>
      </c>
      <c r="P22085" t="str">
        <f>"15210"</f>
        <v>15210</v>
      </c>
    </row>
    <row r="22086" spans="1:16" x14ac:dyDescent="0.25">
      <c r="A22086" t="str">
        <f>"8330033C00294    00"</f>
        <v>8330033C00294    00</v>
      </c>
      <c r="B22086" t="s">
        <v>5026</v>
      </c>
      <c r="C22086" t="s">
        <v>47792</v>
      </c>
      <c r="D22086" t="s">
        <v>20</v>
      </c>
      <c r="E22086" t="s">
        <v>39</v>
      </c>
      <c r="F22086">
        <v>0</v>
      </c>
      <c r="G22086">
        <v>0</v>
      </c>
      <c r="H22086">
        <v>1</v>
      </c>
      <c r="I22086" s="3">
        <v>330.05</v>
      </c>
      <c r="J22086" s="3">
        <v>0</v>
      </c>
      <c r="L22086">
        <v>4735</v>
      </c>
      <c r="M22086" t="s">
        <v>841</v>
      </c>
      <c r="N22086" t="s">
        <v>30</v>
      </c>
      <c r="O22086" t="s">
        <v>31</v>
      </c>
      <c r="P22086" t="str">
        <f>"15201"</f>
        <v>15201</v>
      </c>
    </row>
    <row r="22087" spans="1:16" x14ac:dyDescent="0.25">
      <c r="A22087" t="str">
        <f>"8330033C00304    00"</f>
        <v>8330033C00304    00</v>
      </c>
      <c r="B22087" t="s">
        <v>47793</v>
      </c>
      <c r="C22087" t="s">
        <v>47790</v>
      </c>
      <c r="D22087" t="s">
        <v>20</v>
      </c>
      <c r="E22087" t="s">
        <v>39</v>
      </c>
      <c r="F22087">
        <v>0</v>
      </c>
      <c r="G22087">
        <v>0</v>
      </c>
      <c r="H22087">
        <v>19</v>
      </c>
      <c r="I22087" s="3">
        <v>14396.88</v>
      </c>
      <c r="J22087" s="3">
        <v>17191.7</v>
      </c>
      <c r="L22087">
        <v>404</v>
      </c>
      <c r="M22087" t="s">
        <v>47613</v>
      </c>
      <c r="N22087" t="s">
        <v>30</v>
      </c>
      <c r="O22087" t="s">
        <v>31</v>
      </c>
      <c r="P22087" t="str">
        <f>"15210"</f>
        <v>15210</v>
      </c>
    </row>
    <row r="22088" spans="1:16" x14ac:dyDescent="0.25">
      <c r="A22088" t="str">
        <f>"8330033C00309    00"</f>
        <v>8330033C00309    00</v>
      </c>
      <c r="B22088" t="s">
        <v>44471</v>
      </c>
      <c r="C22088" t="s">
        <v>47794</v>
      </c>
      <c r="D22088" t="s">
        <v>20</v>
      </c>
      <c r="E22088" t="s">
        <v>39</v>
      </c>
      <c r="F22088">
        <v>0</v>
      </c>
      <c r="G22088">
        <v>0</v>
      </c>
      <c r="H22088">
        <v>2</v>
      </c>
      <c r="I22088" s="3">
        <v>637.55999999999995</v>
      </c>
      <c r="J22088" s="3">
        <v>0</v>
      </c>
      <c r="K22088" t="s">
        <v>44473</v>
      </c>
      <c r="L22088">
        <v>3225</v>
      </c>
      <c r="M22088" t="s">
        <v>25686</v>
      </c>
      <c r="N22088" t="s">
        <v>1320</v>
      </c>
      <c r="O22088" t="s">
        <v>1321</v>
      </c>
      <c r="P22088" t="str">
        <f>"89121"</f>
        <v>89121</v>
      </c>
    </row>
    <row r="22089" spans="1:16" x14ac:dyDescent="0.25">
      <c r="A22089" t="str">
        <f>"8330033C00351    00"</f>
        <v>8330033C00351    00</v>
      </c>
      <c r="B22089" t="s">
        <v>47492</v>
      </c>
      <c r="C22089" t="s">
        <v>47795</v>
      </c>
      <c r="D22089" t="s">
        <v>20</v>
      </c>
      <c r="E22089" t="s">
        <v>21</v>
      </c>
      <c r="F22089">
        <v>0</v>
      </c>
      <c r="G22089">
        <v>0</v>
      </c>
      <c r="H22089">
        <v>14</v>
      </c>
      <c r="I22089" s="3">
        <v>2867.41</v>
      </c>
      <c r="J22089" s="3">
        <v>2941.49</v>
      </c>
      <c r="L22089">
        <v>2634</v>
      </c>
      <c r="M22089" t="s">
        <v>23423</v>
      </c>
      <c r="N22089" t="s">
        <v>30</v>
      </c>
      <c r="O22089" t="s">
        <v>31</v>
      </c>
      <c r="P22089" t="str">
        <f>"15210"</f>
        <v>15210</v>
      </c>
    </row>
    <row r="22090" spans="1:16" x14ac:dyDescent="0.25">
      <c r="A22090" t="str">
        <f>"8330033C00352    00"</f>
        <v>8330033C00352    00</v>
      </c>
      <c r="B22090" t="s">
        <v>47789</v>
      </c>
      <c r="C22090" t="s">
        <v>47796</v>
      </c>
      <c r="E22090" t="s">
        <v>21</v>
      </c>
      <c r="F22090">
        <v>0</v>
      </c>
      <c r="G22090">
        <v>0</v>
      </c>
      <c r="H22090">
        <v>9</v>
      </c>
      <c r="I22090" s="3">
        <v>880.11</v>
      </c>
      <c r="J22090" s="3">
        <v>806.46</v>
      </c>
      <c r="K22090" t="s">
        <v>47791</v>
      </c>
      <c r="L22090">
        <v>335</v>
      </c>
      <c r="M22090" t="s">
        <v>25874</v>
      </c>
      <c r="N22090" t="s">
        <v>30</v>
      </c>
      <c r="O22090" t="s">
        <v>31</v>
      </c>
      <c r="P22090" t="str">
        <f>"15210"</f>
        <v>15210</v>
      </c>
    </row>
    <row r="22091" spans="1:16" x14ac:dyDescent="0.25">
      <c r="A22091" t="str">
        <f>"8330033C00354    00"</f>
        <v>8330033C00354    00</v>
      </c>
      <c r="B22091" t="s">
        <v>47496</v>
      </c>
      <c r="C22091" t="s">
        <v>47797</v>
      </c>
      <c r="D22091" t="s">
        <v>20</v>
      </c>
      <c r="E22091" t="s">
        <v>290</v>
      </c>
      <c r="F22091">
        <v>0</v>
      </c>
      <c r="G22091">
        <v>0</v>
      </c>
      <c r="H22091">
        <v>1</v>
      </c>
      <c r="I22091" s="3">
        <v>2064.36</v>
      </c>
      <c r="J22091" s="3">
        <v>0</v>
      </c>
      <c r="L22091">
        <v>2634</v>
      </c>
      <c r="M22091" t="s">
        <v>47798</v>
      </c>
      <c r="N22091" t="s">
        <v>30</v>
      </c>
      <c r="O22091" t="s">
        <v>31</v>
      </c>
      <c r="P22091" t="str">
        <f>"15210"</f>
        <v>15210</v>
      </c>
    </row>
    <row r="22092" spans="1:16" x14ac:dyDescent="0.25">
      <c r="A22092" t="str">
        <f>"8330033C00361    00"</f>
        <v>8330033C00361    00</v>
      </c>
      <c r="B22092" t="s">
        <v>47799</v>
      </c>
      <c r="C22092" t="s">
        <v>47800</v>
      </c>
      <c r="E22092" t="s">
        <v>39</v>
      </c>
      <c r="F22092">
        <v>0</v>
      </c>
      <c r="G22092">
        <v>0</v>
      </c>
      <c r="H22092">
        <v>2</v>
      </c>
      <c r="I22092" s="3">
        <v>605.03</v>
      </c>
      <c r="J22092" s="3">
        <v>110.09</v>
      </c>
      <c r="L22092">
        <v>100</v>
      </c>
      <c r="M22092" t="s">
        <v>47801</v>
      </c>
      <c r="N22092" t="s">
        <v>30</v>
      </c>
      <c r="O22092" t="s">
        <v>31</v>
      </c>
      <c r="P22092" t="str">
        <f>"15210"</f>
        <v>15210</v>
      </c>
    </row>
    <row r="22093" spans="1:16" x14ac:dyDescent="0.25">
      <c r="A22093" t="str">
        <f>"8330033C00364    00"</f>
        <v>8330033C00364    00</v>
      </c>
      <c r="B22093" t="s">
        <v>47802</v>
      </c>
      <c r="C22093" t="s">
        <v>47803</v>
      </c>
      <c r="E22093" t="s">
        <v>39</v>
      </c>
      <c r="F22093">
        <v>0</v>
      </c>
      <c r="G22093">
        <v>0</v>
      </c>
      <c r="H22093">
        <v>4</v>
      </c>
      <c r="I22093" s="3">
        <v>731.66</v>
      </c>
      <c r="J22093" s="3">
        <v>253.6</v>
      </c>
      <c r="K22093" t="s">
        <v>47804</v>
      </c>
      <c r="L22093">
        <v>104</v>
      </c>
      <c r="M22093" t="s">
        <v>44585</v>
      </c>
      <c r="N22093" t="s">
        <v>526</v>
      </c>
      <c r="O22093" t="s">
        <v>31</v>
      </c>
      <c r="P22093" t="str">
        <f>"15301"</f>
        <v>15301</v>
      </c>
    </row>
    <row r="22094" spans="1:16" x14ac:dyDescent="0.25">
      <c r="A22094" t="str">
        <f>"8330033D00009    00"</f>
        <v>8330033D00009    00</v>
      </c>
      <c r="B22094" t="s">
        <v>47805</v>
      </c>
      <c r="C22094" t="s">
        <v>47806</v>
      </c>
      <c r="D22094" t="s">
        <v>20</v>
      </c>
      <c r="E22094" t="s">
        <v>39</v>
      </c>
      <c r="F22094">
        <v>0</v>
      </c>
      <c r="G22094">
        <v>0</v>
      </c>
      <c r="H22094">
        <v>1</v>
      </c>
      <c r="I22094" s="3">
        <v>33.69</v>
      </c>
      <c r="J22094" s="3">
        <v>0</v>
      </c>
      <c r="L22094">
        <v>131</v>
      </c>
      <c r="M22094" t="s">
        <v>585</v>
      </c>
      <c r="N22094" t="s">
        <v>30</v>
      </c>
      <c r="O22094" t="s">
        <v>31</v>
      </c>
      <c r="P22094" t="str">
        <f>"15210"</f>
        <v>15210</v>
      </c>
    </row>
    <row r="22095" spans="1:16" x14ac:dyDescent="0.25">
      <c r="A22095" t="str">
        <f>"8330033D00024    00"</f>
        <v>8330033D00024    00</v>
      </c>
      <c r="B22095" t="s">
        <v>47807</v>
      </c>
      <c r="C22095" t="s">
        <v>47808</v>
      </c>
      <c r="D22095" t="s">
        <v>20</v>
      </c>
      <c r="E22095" t="s">
        <v>39</v>
      </c>
      <c r="F22095">
        <v>0</v>
      </c>
      <c r="G22095">
        <v>0</v>
      </c>
      <c r="H22095">
        <v>1</v>
      </c>
      <c r="I22095" s="3">
        <v>465.35</v>
      </c>
      <c r="J22095" s="3">
        <v>0</v>
      </c>
      <c r="K22095" t="s">
        <v>47809</v>
      </c>
      <c r="L22095">
        <v>159</v>
      </c>
      <c r="M22095" t="s">
        <v>585</v>
      </c>
      <c r="N22095" t="s">
        <v>30</v>
      </c>
      <c r="O22095" t="s">
        <v>31</v>
      </c>
      <c r="P22095" t="str">
        <f>"15210"</f>
        <v>15210</v>
      </c>
    </row>
    <row r="22096" spans="1:16" x14ac:dyDescent="0.25">
      <c r="A22096" t="str">
        <f>"8330033D00027    00"</f>
        <v>8330033D00027    00</v>
      </c>
      <c r="B22096" t="s">
        <v>47810</v>
      </c>
      <c r="C22096" t="s">
        <v>4419</v>
      </c>
      <c r="D22096" t="s">
        <v>20</v>
      </c>
      <c r="E22096" t="s">
        <v>39</v>
      </c>
      <c r="F22096">
        <v>0</v>
      </c>
      <c r="G22096">
        <v>0</v>
      </c>
      <c r="H22096">
        <v>7</v>
      </c>
      <c r="I22096" s="3">
        <v>222.05</v>
      </c>
      <c r="J22096" s="3">
        <v>90.46</v>
      </c>
      <c r="K22096" t="s">
        <v>47811</v>
      </c>
      <c r="L22096">
        <v>165</v>
      </c>
      <c r="M22096" t="s">
        <v>585</v>
      </c>
      <c r="N22096" t="s">
        <v>30</v>
      </c>
      <c r="O22096" t="s">
        <v>31</v>
      </c>
      <c r="P22096" t="str">
        <f>"15210"</f>
        <v>15210</v>
      </c>
    </row>
    <row r="22097" spans="1:16" x14ac:dyDescent="0.25">
      <c r="A22097" t="str">
        <f>"8330033D00028    00"</f>
        <v>8330033D00028    00</v>
      </c>
      <c r="B22097" t="s">
        <v>47812</v>
      </c>
      <c r="C22097" t="s">
        <v>4419</v>
      </c>
      <c r="D22097" t="s">
        <v>20</v>
      </c>
      <c r="E22097" t="s">
        <v>39</v>
      </c>
      <c r="F22097">
        <v>0</v>
      </c>
      <c r="G22097">
        <v>0</v>
      </c>
      <c r="H22097">
        <v>11</v>
      </c>
      <c r="I22097" s="3">
        <v>878.93</v>
      </c>
      <c r="J22097" s="3">
        <v>578.53</v>
      </c>
      <c r="L22097">
        <v>167</v>
      </c>
      <c r="M22097" t="s">
        <v>585</v>
      </c>
      <c r="N22097" t="s">
        <v>30</v>
      </c>
      <c r="O22097" t="s">
        <v>31</v>
      </c>
      <c r="P22097" t="str">
        <f>"15210"</f>
        <v>15210</v>
      </c>
    </row>
    <row r="22098" spans="1:16" x14ac:dyDescent="0.25">
      <c r="A22098" t="str">
        <f>"8330033D00040    00"</f>
        <v>8330033D00040    00</v>
      </c>
      <c r="B22098" t="s">
        <v>44813</v>
      </c>
      <c r="C22098" t="s">
        <v>47813</v>
      </c>
      <c r="D22098" t="s">
        <v>20</v>
      </c>
      <c r="E22098" t="s">
        <v>39</v>
      </c>
      <c r="F22098">
        <v>0</v>
      </c>
      <c r="G22098">
        <v>0</v>
      </c>
      <c r="H22098">
        <v>2</v>
      </c>
      <c r="I22098" s="3">
        <v>348.5</v>
      </c>
      <c r="J22098" s="3">
        <v>0</v>
      </c>
      <c r="L22098">
        <v>3175</v>
      </c>
      <c r="M22098" t="s">
        <v>41962</v>
      </c>
      <c r="N22098" t="s">
        <v>195</v>
      </c>
      <c r="O22098" t="s">
        <v>31</v>
      </c>
      <c r="P22098" t="str">
        <f>"15101"</f>
        <v>15101</v>
      </c>
    </row>
    <row r="22099" spans="1:16" x14ac:dyDescent="0.25">
      <c r="A22099" t="str">
        <f>"8330033D00049    00"</f>
        <v>8330033D00049    00</v>
      </c>
      <c r="B22099" t="s">
        <v>47814</v>
      </c>
      <c r="C22099" t="s">
        <v>23774</v>
      </c>
      <c r="D22099" t="s">
        <v>20</v>
      </c>
      <c r="E22099" t="s">
        <v>39</v>
      </c>
      <c r="F22099">
        <v>0</v>
      </c>
      <c r="G22099">
        <v>0</v>
      </c>
      <c r="H22099">
        <v>17</v>
      </c>
      <c r="I22099" s="3">
        <v>128.16999999999999</v>
      </c>
      <c r="J22099" s="3">
        <v>123.62</v>
      </c>
      <c r="L22099">
        <v>198</v>
      </c>
      <c r="M22099" t="s">
        <v>23780</v>
      </c>
      <c r="N22099" t="s">
        <v>30</v>
      </c>
      <c r="O22099" t="s">
        <v>31</v>
      </c>
      <c r="P22099" t="str">
        <f>"15210"</f>
        <v>15210</v>
      </c>
    </row>
    <row r="22100" spans="1:16" x14ac:dyDescent="0.25">
      <c r="A22100" t="str">
        <f>"8330033D00055    00"</f>
        <v>8330033D00055    00</v>
      </c>
      <c r="B22100" t="s">
        <v>47815</v>
      </c>
      <c r="C22100" t="s">
        <v>47816</v>
      </c>
      <c r="E22100" t="s">
        <v>39</v>
      </c>
      <c r="F22100">
        <v>0</v>
      </c>
      <c r="G22100">
        <v>0</v>
      </c>
      <c r="H22100">
        <v>1</v>
      </c>
      <c r="I22100" s="3">
        <v>181.82</v>
      </c>
      <c r="J22100" s="3">
        <v>54.55</v>
      </c>
      <c r="K22100" t="s">
        <v>1722</v>
      </c>
      <c r="M22100" t="s">
        <v>1723</v>
      </c>
      <c r="N22100" t="s">
        <v>410</v>
      </c>
      <c r="O22100" t="s">
        <v>31</v>
      </c>
      <c r="P22100" t="str">
        <f>"15701"</f>
        <v>15701</v>
      </c>
    </row>
    <row r="22101" spans="1:16" x14ac:dyDescent="0.25">
      <c r="A22101" t="str">
        <f>"8330033D00071    00"</f>
        <v>8330033D00071    00</v>
      </c>
      <c r="B22101" t="s">
        <v>47817</v>
      </c>
      <c r="C22101" t="s">
        <v>47818</v>
      </c>
      <c r="E22101" t="s">
        <v>39</v>
      </c>
      <c r="F22101">
        <v>0</v>
      </c>
      <c r="G22101">
        <v>0</v>
      </c>
      <c r="H22101">
        <v>1</v>
      </c>
      <c r="I22101" s="3">
        <v>158.21</v>
      </c>
      <c r="J22101" s="3">
        <v>50.1</v>
      </c>
      <c r="L22101">
        <v>222</v>
      </c>
      <c r="M22101" t="s">
        <v>44210</v>
      </c>
      <c r="N22101" t="s">
        <v>30</v>
      </c>
      <c r="O22101" t="s">
        <v>31</v>
      </c>
      <c r="P22101" t="str">
        <f>"15236"</f>
        <v>15236</v>
      </c>
    </row>
    <row r="22102" spans="1:16" x14ac:dyDescent="0.25">
      <c r="A22102" t="str">
        <f>"8330033D00098    00"</f>
        <v>8330033D00098    00</v>
      </c>
      <c r="B22102" t="s">
        <v>47819</v>
      </c>
      <c r="C22102" t="s">
        <v>47820</v>
      </c>
      <c r="E22102" t="s">
        <v>39</v>
      </c>
      <c r="F22102">
        <v>0</v>
      </c>
      <c r="G22102">
        <v>0</v>
      </c>
      <c r="H22102">
        <v>9</v>
      </c>
      <c r="I22102" s="3">
        <v>2547.2199999999998</v>
      </c>
      <c r="J22102" s="3">
        <v>1100.3</v>
      </c>
      <c r="L22102">
        <v>111</v>
      </c>
      <c r="M22102" t="s">
        <v>23775</v>
      </c>
      <c r="N22102" t="s">
        <v>30</v>
      </c>
      <c r="O22102" t="s">
        <v>31</v>
      </c>
      <c r="P22102" t="str">
        <f>"15210"</f>
        <v>15210</v>
      </c>
    </row>
    <row r="22103" spans="1:16" x14ac:dyDescent="0.25">
      <c r="A22103" t="str">
        <f>"8330033D00100    00"</f>
        <v>8330033D00100    00</v>
      </c>
      <c r="B22103" t="s">
        <v>47821</v>
      </c>
      <c r="C22103" t="s">
        <v>23774</v>
      </c>
      <c r="D22103" t="s">
        <v>20</v>
      </c>
      <c r="E22103" t="s">
        <v>39</v>
      </c>
      <c r="F22103">
        <v>0</v>
      </c>
      <c r="G22103">
        <v>0</v>
      </c>
      <c r="H22103">
        <v>12</v>
      </c>
      <c r="I22103" s="3">
        <v>2804.06</v>
      </c>
      <c r="J22103" s="3">
        <v>1782.01</v>
      </c>
      <c r="L22103">
        <v>747</v>
      </c>
      <c r="M22103" t="s">
        <v>25387</v>
      </c>
      <c r="N22103" t="s">
        <v>30</v>
      </c>
      <c r="O22103" t="s">
        <v>31</v>
      </c>
      <c r="P22103" t="str">
        <f>"15210"</f>
        <v>15210</v>
      </c>
    </row>
    <row r="22104" spans="1:16" x14ac:dyDescent="0.25">
      <c r="A22104" t="str">
        <f>"8330033D00103    00"</f>
        <v>8330033D00103    00</v>
      </c>
      <c r="B22104" t="s">
        <v>23523</v>
      </c>
      <c r="C22104" t="s">
        <v>47822</v>
      </c>
      <c r="E22104" t="s">
        <v>39</v>
      </c>
      <c r="F22104">
        <v>0</v>
      </c>
      <c r="G22104">
        <v>0</v>
      </c>
      <c r="H22104">
        <v>1</v>
      </c>
      <c r="I22104" s="3">
        <v>189.05</v>
      </c>
      <c r="J22104" s="3">
        <v>59.86</v>
      </c>
      <c r="M22104" t="s">
        <v>23526</v>
      </c>
      <c r="N22104" t="s">
        <v>4407</v>
      </c>
      <c r="O22104" t="s">
        <v>31</v>
      </c>
      <c r="P22104" t="str">
        <f>"15317"</f>
        <v>15317</v>
      </c>
    </row>
    <row r="22105" spans="1:16" x14ac:dyDescent="0.25">
      <c r="A22105" t="str">
        <f>"8330033D00104    00"</f>
        <v>8330033D00104    00</v>
      </c>
      <c r="B22105" t="s">
        <v>43383</v>
      </c>
      <c r="C22105" t="s">
        <v>47823</v>
      </c>
      <c r="D22105" t="s">
        <v>20</v>
      </c>
      <c r="E22105" t="s">
        <v>39</v>
      </c>
      <c r="F22105">
        <v>0</v>
      </c>
      <c r="G22105">
        <v>0</v>
      </c>
      <c r="H22105">
        <v>12</v>
      </c>
      <c r="I22105" s="3">
        <v>2697.06</v>
      </c>
      <c r="J22105" s="3">
        <v>1433.21</v>
      </c>
      <c r="M22105" t="s">
        <v>45809</v>
      </c>
      <c r="N22105" t="s">
        <v>509</v>
      </c>
      <c r="O22105" t="s">
        <v>31</v>
      </c>
      <c r="P22105" t="str">
        <f>"19116"</f>
        <v>19116</v>
      </c>
    </row>
    <row r="22106" spans="1:16" x14ac:dyDescent="0.25">
      <c r="A22106" t="str">
        <f>"8330033D00107    00"</f>
        <v>8330033D00107    00</v>
      </c>
      <c r="B22106" t="s">
        <v>47824</v>
      </c>
      <c r="C22106" t="s">
        <v>47825</v>
      </c>
      <c r="D22106" t="s">
        <v>20</v>
      </c>
      <c r="E22106" t="s">
        <v>39</v>
      </c>
      <c r="F22106">
        <v>0</v>
      </c>
      <c r="G22106">
        <v>0</v>
      </c>
      <c r="H22106">
        <v>1</v>
      </c>
      <c r="I22106" s="3">
        <v>50.53</v>
      </c>
      <c r="J22106" s="3">
        <v>0</v>
      </c>
      <c r="K22106" t="s">
        <v>1632</v>
      </c>
      <c r="L22106">
        <v>3001</v>
      </c>
      <c r="M22106" t="s">
        <v>330</v>
      </c>
      <c r="N22106" t="s">
        <v>331</v>
      </c>
      <c r="O22106" t="s">
        <v>108</v>
      </c>
      <c r="P22106" t="str">
        <f>"75063"</f>
        <v>75063</v>
      </c>
    </row>
    <row r="22107" spans="1:16" x14ac:dyDescent="0.25">
      <c r="A22107" t="str">
        <f>"8330033D00119    00"</f>
        <v>8330033D00119    00</v>
      </c>
      <c r="B22107" t="s">
        <v>43517</v>
      </c>
      <c r="C22107" t="s">
        <v>47826</v>
      </c>
      <c r="E22107" t="s">
        <v>39</v>
      </c>
      <c r="F22107">
        <v>0</v>
      </c>
      <c r="G22107">
        <v>0</v>
      </c>
      <c r="H22107">
        <v>7</v>
      </c>
      <c r="I22107" s="3">
        <v>4331.3</v>
      </c>
      <c r="J22107" s="3">
        <v>3418.25</v>
      </c>
      <c r="K22107" t="s">
        <v>43519</v>
      </c>
      <c r="L22107">
        <v>714</v>
      </c>
      <c r="M22107" t="s">
        <v>33156</v>
      </c>
      <c r="N22107" t="s">
        <v>17932</v>
      </c>
      <c r="O22107" t="s">
        <v>31</v>
      </c>
      <c r="P22107" t="str">
        <f>"15140"</f>
        <v>15140</v>
      </c>
    </row>
    <row r="22108" spans="1:16" x14ac:dyDescent="0.25">
      <c r="A22108" t="str">
        <f>"8330033D00124    00"</f>
        <v>8330033D00124    00</v>
      </c>
      <c r="B22108" t="s">
        <v>47827</v>
      </c>
      <c r="C22108" t="s">
        <v>47828</v>
      </c>
      <c r="D22108" t="s">
        <v>20</v>
      </c>
      <c r="E22108" t="s">
        <v>39</v>
      </c>
      <c r="F22108">
        <v>0</v>
      </c>
      <c r="G22108">
        <v>0</v>
      </c>
      <c r="H22108">
        <v>19</v>
      </c>
      <c r="I22108" s="3">
        <v>10861.04</v>
      </c>
      <c r="J22108" s="3">
        <v>10801.84</v>
      </c>
      <c r="L22108">
        <v>177</v>
      </c>
      <c r="M22108" t="s">
        <v>23780</v>
      </c>
      <c r="N22108" t="s">
        <v>30</v>
      </c>
      <c r="O22108" t="s">
        <v>31</v>
      </c>
      <c r="P22108" t="str">
        <f>"15210"</f>
        <v>15210</v>
      </c>
    </row>
    <row r="22109" spans="1:16" x14ac:dyDescent="0.25">
      <c r="A22109" t="str">
        <f>"8330033D00131    00"</f>
        <v>8330033D00131    00</v>
      </c>
      <c r="B22109" t="s">
        <v>9615</v>
      </c>
      <c r="C22109" t="s">
        <v>47829</v>
      </c>
      <c r="D22109" t="s">
        <v>20</v>
      </c>
      <c r="E22109" t="s">
        <v>39</v>
      </c>
      <c r="F22109">
        <v>0</v>
      </c>
      <c r="G22109">
        <v>0</v>
      </c>
      <c r="H22109">
        <v>1</v>
      </c>
      <c r="I22109" s="3">
        <v>383.35</v>
      </c>
      <c r="J22109" s="3">
        <v>0</v>
      </c>
      <c r="L22109">
        <v>202</v>
      </c>
      <c r="M22109" t="s">
        <v>2136</v>
      </c>
      <c r="N22109" t="s">
        <v>30</v>
      </c>
      <c r="O22109" t="s">
        <v>31</v>
      </c>
      <c r="P22109" t="str">
        <f>"15228"</f>
        <v>15228</v>
      </c>
    </row>
    <row r="22110" spans="1:16" x14ac:dyDescent="0.25">
      <c r="A22110" t="str">
        <f>"8330033D00141    00"</f>
        <v>8330033D00141    00</v>
      </c>
      <c r="B22110" t="s">
        <v>47830</v>
      </c>
      <c r="C22110" t="s">
        <v>23797</v>
      </c>
      <c r="D22110" t="s">
        <v>20</v>
      </c>
      <c r="E22110" t="s">
        <v>39</v>
      </c>
      <c r="F22110">
        <v>0</v>
      </c>
      <c r="G22110">
        <v>0</v>
      </c>
      <c r="H22110">
        <v>4</v>
      </c>
      <c r="I22110" s="3">
        <v>36.65</v>
      </c>
      <c r="J22110" s="3">
        <v>4.54</v>
      </c>
      <c r="L22110">
        <v>200</v>
      </c>
      <c r="M22110" t="s">
        <v>23786</v>
      </c>
      <c r="N22110" t="s">
        <v>30</v>
      </c>
      <c r="O22110" t="s">
        <v>31</v>
      </c>
      <c r="P22110" t="str">
        <f>"15210"</f>
        <v>15210</v>
      </c>
    </row>
    <row r="22111" spans="1:16" x14ac:dyDescent="0.25">
      <c r="A22111" t="str">
        <f>"8330033D00143    00"</f>
        <v>8330033D00143    00</v>
      </c>
      <c r="B22111" t="s">
        <v>27190</v>
      </c>
      <c r="C22111" t="s">
        <v>47831</v>
      </c>
      <c r="D22111" t="s">
        <v>20</v>
      </c>
      <c r="E22111" t="s">
        <v>39</v>
      </c>
      <c r="F22111">
        <v>0</v>
      </c>
      <c r="G22111">
        <v>0</v>
      </c>
      <c r="H22111">
        <v>2</v>
      </c>
      <c r="I22111" s="3">
        <v>133.26</v>
      </c>
      <c r="J22111" s="3">
        <v>0</v>
      </c>
      <c r="L22111">
        <v>415</v>
      </c>
      <c r="M22111" t="s">
        <v>22783</v>
      </c>
      <c r="N22111" t="s">
        <v>30</v>
      </c>
      <c r="O22111" t="s">
        <v>31</v>
      </c>
      <c r="P22111" t="str">
        <f>"15211"</f>
        <v>15211</v>
      </c>
    </row>
    <row r="22112" spans="1:16" x14ac:dyDescent="0.25">
      <c r="A22112" t="str">
        <f>"8330033D00148    00"</f>
        <v>8330033D00148    00</v>
      </c>
      <c r="B22112" t="s">
        <v>47832</v>
      </c>
      <c r="C22112" t="s">
        <v>23797</v>
      </c>
      <c r="D22112" t="s">
        <v>20</v>
      </c>
      <c r="E22112" t="s">
        <v>39</v>
      </c>
      <c r="F22112">
        <v>0</v>
      </c>
      <c r="G22112">
        <v>0</v>
      </c>
      <c r="H22112">
        <v>19</v>
      </c>
      <c r="I22112" s="3">
        <v>6179.79</v>
      </c>
      <c r="J22112" s="3">
        <v>7348.88</v>
      </c>
      <c r="L22112">
        <v>184</v>
      </c>
      <c r="M22112" t="s">
        <v>23786</v>
      </c>
      <c r="N22112" t="s">
        <v>30</v>
      </c>
      <c r="O22112" t="s">
        <v>31</v>
      </c>
      <c r="P22112" t="str">
        <f>"15210"</f>
        <v>15210</v>
      </c>
    </row>
    <row r="22113" spans="1:16" x14ac:dyDescent="0.25">
      <c r="A22113" t="str">
        <f>"8330033D00151    00"</f>
        <v>8330033D00151    00</v>
      </c>
      <c r="B22113" t="s">
        <v>47833</v>
      </c>
      <c r="C22113" t="s">
        <v>47834</v>
      </c>
      <c r="E22113" t="s">
        <v>39</v>
      </c>
      <c r="F22113">
        <v>0</v>
      </c>
      <c r="G22113">
        <v>0</v>
      </c>
      <c r="H22113">
        <v>1</v>
      </c>
      <c r="I22113" s="3">
        <v>656</v>
      </c>
      <c r="J22113" s="3">
        <v>0</v>
      </c>
      <c r="K22113" t="s">
        <v>1427</v>
      </c>
      <c r="L22113">
        <v>3001</v>
      </c>
      <c r="M22113" t="s">
        <v>330</v>
      </c>
      <c r="N22113" t="s">
        <v>331</v>
      </c>
      <c r="O22113" t="s">
        <v>108</v>
      </c>
      <c r="P22113" t="str">
        <f>"75063"</f>
        <v>75063</v>
      </c>
    </row>
    <row r="22114" spans="1:16" x14ac:dyDescent="0.25">
      <c r="A22114" t="str">
        <f>"8330033D00152    00"</f>
        <v>8330033D00152    00</v>
      </c>
      <c r="B22114" t="s">
        <v>47835</v>
      </c>
      <c r="C22114" t="s">
        <v>47836</v>
      </c>
      <c r="D22114" t="s">
        <v>20</v>
      </c>
      <c r="E22114" t="s">
        <v>39</v>
      </c>
      <c r="F22114">
        <v>0</v>
      </c>
      <c r="G22114">
        <v>0</v>
      </c>
      <c r="H22114">
        <v>14</v>
      </c>
      <c r="I22114" s="3">
        <v>3672.71</v>
      </c>
      <c r="J22114" s="3">
        <v>2497.15</v>
      </c>
      <c r="L22114">
        <v>172</v>
      </c>
      <c r="M22114" t="s">
        <v>23786</v>
      </c>
      <c r="N22114" t="s">
        <v>30</v>
      </c>
      <c r="O22114" t="s">
        <v>31</v>
      </c>
      <c r="P22114" t="str">
        <f>"15210"</f>
        <v>15210</v>
      </c>
    </row>
    <row r="22115" spans="1:16" x14ac:dyDescent="0.25">
      <c r="A22115" t="str">
        <f>"8330033D00153    00"</f>
        <v>8330033D00153    00</v>
      </c>
      <c r="B22115" t="s">
        <v>47837</v>
      </c>
      <c r="C22115" t="s">
        <v>47838</v>
      </c>
      <c r="E22115" t="s">
        <v>39</v>
      </c>
      <c r="F22115">
        <v>0</v>
      </c>
      <c r="G22115">
        <v>0</v>
      </c>
      <c r="H22115">
        <v>1</v>
      </c>
      <c r="I22115" s="3">
        <v>186.07</v>
      </c>
      <c r="J22115" s="3">
        <v>18.61</v>
      </c>
      <c r="L22115">
        <v>1812</v>
      </c>
      <c r="M22115" t="s">
        <v>1484</v>
      </c>
      <c r="N22115" t="s">
        <v>30</v>
      </c>
      <c r="O22115" t="s">
        <v>31</v>
      </c>
      <c r="P22115" t="str">
        <f>"15203"</f>
        <v>15203</v>
      </c>
    </row>
    <row r="22116" spans="1:16" x14ac:dyDescent="0.25">
      <c r="A22116" t="str">
        <f>"8330033D00159000100"</f>
        <v>8330033D00159000100</v>
      </c>
      <c r="B22116" t="s">
        <v>47839</v>
      </c>
      <c r="C22116" t="s">
        <v>47840</v>
      </c>
      <c r="E22116" t="s">
        <v>39</v>
      </c>
      <c r="F22116">
        <v>0</v>
      </c>
      <c r="G22116">
        <v>0</v>
      </c>
      <c r="H22116">
        <v>1</v>
      </c>
      <c r="I22116" s="3">
        <v>470.48</v>
      </c>
      <c r="J22116" s="3">
        <v>0</v>
      </c>
      <c r="L22116">
        <v>4688</v>
      </c>
      <c r="M22116" t="s">
        <v>11213</v>
      </c>
      <c r="N22116" t="s">
        <v>1046</v>
      </c>
      <c r="O22116" t="s">
        <v>31</v>
      </c>
      <c r="P22116" t="str">
        <f>"15147"</f>
        <v>15147</v>
      </c>
    </row>
    <row r="22117" spans="1:16" x14ac:dyDescent="0.25">
      <c r="A22117" t="str">
        <f>"8330033D00197    00"</f>
        <v>8330033D00197    00</v>
      </c>
      <c r="B22117" t="s">
        <v>47841</v>
      </c>
      <c r="C22117" t="s">
        <v>47842</v>
      </c>
      <c r="E22117" t="s">
        <v>39</v>
      </c>
      <c r="F22117">
        <v>0</v>
      </c>
      <c r="G22117">
        <v>0</v>
      </c>
      <c r="H22117">
        <v>8</v>
      </c>
      <c r="I22117" s="3">
        <v>4396.0200000000004</v>
      </c>
      <c r="J22117" s="3">
        <v>4142.55</v>
      </c>
      <c r="L22117">
        <v>136</v>
      </c>
      <c r="M22117" t="s">
        <v>17101</v>
      </c>
      <c r="N22117" t="s">
        <v>30</v>
      </c>
      <c r="O22117" t="s">
        <v>31</v>
      </c>
      <c r="P22117" t="str">
        <f>"15221"</f>
        <v>15221</v>
      </c>
    </row>
    <row r="22118" spans="1:16" x14ac:dyDescent="0.25">
      <c r="A22118" t="str">
        <f>"8330033D00199    00"</f>
        <v>8330033D00199    00</v>
      </c>
      <c r="B22118" t="s">
        <v>47843</v>
      </c>
      <c r="C22118" t="s">
        <v>47844</v>
      </c>
      <c r="D22118" t="s">
        <v>20</v>
      </c>
      <c r="E22118" t="s">
        <v>21</v>
      </c>
      <c r="F22118">
        <v>0</v>
      </c>
      <c r="G22118">
        <v>0</v>
      </c>
      <c r="H22118">
        <v>1</v>
      </c>
      <c r="I22118" s="3">
        <v>749.28</v>
      </c>
      <c r="J22118" s="3">
        <v>0</v>
      </c>
      <c r="M22118" t="s">
        <v>33013</v>
      </c>
      <c r="N22118" t="s">
        <v>30</v>
      </c>
      <c r="O22118" t="s">
        <v>31</v>
      </c>
      <c r="P22118" t="str">
        <f>"15205"</f>
        <v>15205</v>
      </c>
    </row>
    <row r="22119" spans="1:16" x14ac:dyDescent="0.25">
      <c r="A22119" t="str">
        <f>"8330033D00207    00"</f>
        <v>8330033D00207    00</v>
      </c>
      <c r="B22119" t="s">
        <v>47845</v>
      </c>
      <c r="C22119" t="s">
        <v>47846</v>
      </c>
      <c r="D22119" t="s">
        <v>57</v>
      </c>
      <c r="E22119" t="s">
        <v>39</v>
      </c>
      <c r="F22119">
        <v>0</v>
      </c>
      <c r="G22119">
        <v>0</v>
      </c>
      <c r="H22119">
        <v>1</v>
      </c>
      <c r="I22119" s="3">
        <v>647.79999999999995</v>
      </c>
      <c r="J22119" s="3">
        <v>0</v>
      </c>
      <c r="K22119" t="s">
        <v>400</v>
      </c>
      <c r="L22119">
        <v>3001</v>
      </c>
      <c r="M22119" t="s">
        <v>330</v>
      </c>
      <c r="N22119" t="s">
        <v>331</v>
      </c>
      <c r="O22119" t="s">
        <v>108</v>
      </c>
      <c r="P22119" t="str">
        <f>"75063"</f>
        <v>75063</v>
      </c>
    </row>
    <row r="22120" spans="1:16" x14ac:dyDescent="0.25">
      <c r="A22120" t="str">
        <f>"8330033D00213    00"</f>
        <v>8330033D00213    00</v>
      </c>
      <c r="B22120" t="s">
        <v>47847</v>
      </c>
      <c r="C22120" t="s">
        <v>47848</v>
      </c>
      <c r="D22120" t="s">
        <v>20</v>
      </c>
      <c r="E22120" t="s">
        <v>39</v>
      </c>
      <c r="F22120">
        <v>0</v>
      </c>
      <c r="G22120">
        <v>0</v>
      </c>
      <c r="H22120">
        <v>2</v>
      </c>
      <c r="I22120" s="3">
        <v>772.86</v>
      </c>
      <c r="J22120" s="3">
        <v>0</v>
      </c>
      <c r="K22120" t="s">
        <v>1108</v>
      </c>
      <c r="L22120">
        <v>8241</v>
      </c>
      <c r="M22120" t="s">
        <v>1109</v>
      </c>
      <c r="N22120" t="s">
        <v>1110</v>
      </c>
      <c r="O22120" t="s">
        <v>25</v>
      </c>
      <c r="P22120" t="str">
        <f>"44136"</f>
        <v>44136</v>
      </c>
    </row>
    <row r="22121" spans="1:16" x14ac:dyDescent="0.25">
      <c r="A22121" t="str">
        <f>"8330033D00221    00"</f>
        <v>8330033D00221    00</v>
      </c>
      <c r="B22121" t="s">
        <v>47849</v>
      </c>
      <c r="C22121" t="s">
        <v>47850</v>
      </c>
      <c r="E22121" t="s">
        <v>39</v>
      </c>
      <c r="F22121">
        <v>0</v>
      </c>
      <c r="G22121">
        <v>0</v>
      </c>
      <c r="H22121">
        <v>1</v>
      </c>
      <c r="I22121" s="3">
        <v>11.75</v>
      </c>
      <c r="J22121" s="3">
        <v>0</v>
      </c>
      <c r="K22121" t="s">
        <v>47851</v>
      </c>
      <c r="M22121" t="s">
        <v>47852</v>
      </c>
      <c r="N22121" t="s">
        <v>30</v>
      </c>
      <c r="O22121" t="s">
        <v>31</v>
      </c>
      <c r="P22121" t="str">
        <f>"15217"</f>
        <v>15217</v>
      </c>
    </row>
    <row r="22122" spans="1:16" x14ac:dyDescent="0.25">
      <c r="A22122" t="str">
        <f>"8330033D00227    00"</f>
        <v>8330033D00227    00</v>
      </c>
      <c r="B22122" t="s">
        <v>47853</v>
      </c>
      <c r="C22122" t="s">
        <v>23797</v>
      </c>
      <c r="D22122" t="s">
        <v>20</v>
      </c>
      <c r="E22122" t="s">
        <v>39</v>
      </c>
      <c r="F22122">
        <v>0</v>
      </c>
      <c r="G22122">
        <v>0</v>
      </c>
      <c r="H22122">
        <v>6</v>
      </c>
      <c r="I22122" s="3">
        <v>1272.76</v>
      </c>
      <c r="J22122" s="3">
        <v>373.13</v>
      </c>
      <c r="L22122">
        <v>104</v>
      </c>
      <c r="M22122" t="s">
        <v>47854</v>
      </c>
      <c r="N22122" t="s">
        <v>3919</v>
      </c>
      <c r="O22122" t="s">
        <v>370</v>
      </c>
      <c r="P22122" t="str">
        <f>"32259"</f>
        <v>32259</v>
      </c>
    </row>
    <row r="22123" spans="1:16" x14ac:dyDescent="0.25">
      <c r="A22123" t="str">
        <f>"8330033D00237    00"</f>
        <v>8330033D00237    00</v>
      </c>
      <c r="B22123" t="s">
        <v>47648</v>
      </c>
      <c r="C22123" t="s">
        <v>23797</v>
      </c>
      <c r="E22123" t="s">
        <v>39</v>
      </c>
      <c r="F22123">
        <v>0</v>
      </c>
      <c r="G22123">
        <v>0</v>
      </c>
      <c r="H22123">
        <v>5</v>
      </c>
      <c r="I22123" s="3">
        <v>812.24</v>
      </c>
      <c r="J22123" s="3">
        <v>322.02999999999997</v>
      </c>
      <c r="K22123" t="s">
        <v>47650</v>
      </c>
      <c r="L22123">
        <v>150</v>
      </c>
      <c r="M22123" t="s">
        <v>8048</v>
      </c>
      <c r="N22123" t="s">
        <v>30</v>
      </c>
      <c r="O22123" t="s">
        <v>31</v>
      </c>
      <c r="P22123" t="str">
        <f>"15210"</f>
        <v>15210</v>
      </c>
    </row>
    <row r="22124" spans="1:16" x14ac:dyDescent="0.25">
      <c r="A22124" t="str">
        <f>"8330033D00239    00"</f>
        <v>8330033D00239    00</v>
      </c>
      <c r="B22124" t="s">
        <v>47855</v>
      </c>
      <c r="C22124" t="s">
        <v>23797</v>
      </c>
      <c r="E22124" t="s">
        <v>39</v>
      </c>
      <c r="F22124">
        <v>0</v>
      </c>
      <c r="G22124">
        <v>0</v>
      </c>
      <c r="H22124">
        <v>1</v>
      </c>
      <c r="I22124" s="3">
        <v>147.26</v>
      </c>
      <c r="J22124" s="3">
        <v>58.9</v>
      </c>
      <c r="L22124">
        <v>150</v>
      </c>
      <c r="M22124" t="s">
        <v>8048</v>
      </c>
      <c r="N22124" t="s">
        <v>30</v>
      </c>
      <c r="O22124" t="s">
        <v>31</v>
      </c>
      <c r="P22124" t="str">
        <f>"15210"</f>
        <v>15210</v>
      </c>
    </row>
    <row r="22125" spans="1:16" x14ac:dyDescent="0.25">
      <c r="A22125" t="str">
        <f>"8330033D00246    00"</f>
        <v>8330033D00246    00</v>
      </c>
      <c r="B22125" t="s">
        <v>47856</v>
      </c>
      <c r="C22125" t="s">
        <v>47857</v>
      </c>
      <c r="E22125" t="s">
        <v>39</v>
      </c>
      <c r="F22125">
        <v>0</v>
      </c>
      <c r="G22125">
        <v>0</v>
      </c>
      <c r="H22125">
        <v>1</v>
      </c>
      <c r="I22125" s="3">
        <v>389.05</v>
      </c>
      <c r="J22125" s="3">
        <v>123.19</v>
      </c>
      <c r="K22125" t="s">
        <v>5607</v>
      </c>
      <c r="L22125">
        <v>3001</v>
      </c>
      <c r="M22125" t="s">
        <v>330</v>
      </c>
      <c r="N22125" t="s">
        <v>331</v>
      </c>
      <c r="O22125" t="s">
        <v>108</v>
      </c>
      <c r="P22125" t="str">
        <f>"75063"</f>
        <v>75063</v>
      </c>
    </row>
    <row r="22126" spans="1:16" x14ac:dyDescent="0.25">
      <c r="A22126" t="str">
        <f>"8330033D00261    00"</f>
        <v>8330033D00261    00</v>
      </c>
      <c r="B22126" t="s">
        <v>22970</v>
      </c>
      <c r="C22126" t="s">
        <v>47858</v>
      </c>
      <c r="D22126" t="s">
        <v>20</v>
      </c>
      <c r="E22126" t="s">
        <v>39</v>
      </c>
      <c r="F22126">
        <v>0</v>
      </c>
      <c r="G22126">
        <v>0</v>
      </c>
      <c r="H22126">
        <v>2</v>
      </c>
      <c r="I22126" s="3">
        <v>1592.86</v>
      </c>
      <c r="J22126" s="3">
        <v>0</v>
      </c>
      <c r="L22126">
        <v>4115</v>
      </c>
      <c r="M22126" t="s">
        <v>22972</v>
      </c>
      <c r="N22126" t="s">
        <v>79</v>
      </c>
      <c r="O22126" t="s">
        <v>31</v>
      </c>
      <c r="P22126" t="str">
        <f>"15668"</f>
        <v>15668</v>
      </c>
    </row>
    <row r="22127" spans="1:16" x14ac:dyDescent="0.25">
      <c r="A22127" t="str">
        <f>"8330033D00262    00"</f>
        <v>8330033D00262    00</v>
      </c>
      <c r="B22127" t="s">
        <v>47859</v>
      </c>
      <c r="C22127" t="s">
        <v>47860</v>
      </c>
      <c r="E22127" t="s">
        <v>39</v>
      </c>
      <c r="F22127">
        <v>0</v>
      </c>
      <c r="G22127">
        <v>0</v>
      </c>
      <c r="H22127">
        <v>2</v>
      </c>
      <c r="I22127" s="3">
        <v>174.92</v>
      </c>
      <c r="J22127" s="3">
        <v>172.13</v>
      </c>
      <c r="L22127">
        <v>265</v>
      </c>
      <c r="M22127" t="s">
        <v>25874</v>
      </c>
      <c r="N22127" t="s">
        <v>30</v>
      </c>
      <c r="O22127" t="s">
        <v>31</v>
      </c>
      <c r="P22127" t="str">
        <f>"15210"</f>
        <v>15210</v>
      </c>
    </row>
    <row r="22128" spans="1:16" x14ac:dyDescent="0.25">
      <c r="A22128" t="str">
        <f>"8330033D00268    00"</f>
        <v>8330033D00268    00</v>
      </c>
      <c r="B22128" t="s">
        <v>47861</v>
      </c>
      <c r="C22128" t="s">
        <v>47862</v>
      </c>
      <c r="E22128" t="s">
        <v>39</v>
      </c>
      <c r="F22128">
        <v>0</v>
      </c>
      <c r="G22128">
        <v>0</v>
      </c>
      <c r="H22128">
        <v>1</v>
      </c>
      <c r="I22128" s="3">
        <v>652.92999999999995</v>
      </c>
      <c r="J22128" s="3">
        <v>0</v>
      </c>
      <c r="K22128" t="s">
        <v>47863</v>
      </c>
      <c r="L22128">
        <v>2814</v>
      </c>
      <c r="M22128" t="s">
        <v>47864</v>
      </c>
      <c r="N22128" t="s">
        <v>7608</v>
      </c>
      <c r="O22128" t="s">
        <v>31</v>
      </c>
      <c r="P22128" t="str">
        <f>"15068"</f>
        <v>15068</v>
      </c>
    </row>
    <row r="22129" spans="1:16" x14ac:dyDescent="0.25">
      <c r="A22129" t="str">
        <f>"8330033D00276    00"</f>
        <v>8330033D00276    00</v>
      </c>
      <c r="B22129" t="s">
        <v>47865</v>
      </c>
      <c r="C22129" t="s">
        <v>47866</v>
      </c>
      <c r="D22129" t="s">
        <v>20</v>
      </c>
      <c r="E22129" t="s">
        <v>39</v>
      </c>
      <c r="F22129">
        <v>0</v>
      </c>
      <c r="G22129">
        <v>0</v>
      </c>
      <c r="H22129">
        <v>2</v>
      </c>
      <c r="I22129" s="3">
        <v>906.12</v>
      </c>
      <c r="J22129" s="3">
        <v>0</v>
      </c>
      <c r="K22129" t="s">
        <v>47867</v>
      </c>
      <c r="L22129">
        <v>39</v>
      </c>
      <c r="M22129" t="s">
        <v>31035</v>
      </c>
      <c r="N22129" t="s">
        <v>30</v>
      </c>
      <c r="O22129" t="s">
        <v>31</v>
      </c>
      <c r="P22129" t="str">
        <f>"15236"</f>
        <v>15236</v>
      </c>
    </row>
    <row r="22130" spans="1:16" x14ac:dyDescent="0.25">
      <c r="A22130" t="str">
        <f>"8330033D00280    00"</f>
        <v>8330033D00280    00</v>
      </c>
      <c r="B22130" t="s">
        <v>47868</v>
      </c>
      <c r="C22130" t="s">
        <v>47869</v>
      </c>
      <c r="E22130" t="s">
        <v>39</v>
      </c>
      <c r="F22130">
        <v>0</v>
      </c>
      <c r="G22130">
        <v>0</v>
      </c>
      <c r="H22130">
        <v>1</v>
      </c>
      <c r="I22130" s="3">
        <v>163.18</v>
      </c>
      <c r="J22130" s="3">
        <v>51.67</v>
      </c>
      <c r="L22130">
        <v>708</v>
      </c>
      <c r="M22130" t="s">
        <v>38321</v>
      </c>
      <c r="N22130" t="s">
        <v>30</v>
      </c>
      <c r="O22130" t="s">
        <v>31</v>
      </c>
      <c r="P22130" t="str">
        <f>"15202"</f>
        <v>15202</v>
      </c>
    </row>
    <row r="22131" spans="1:16" x14ac:dyDescent="0.25">
      <c r="A22131" t="str">
        <f>"8330033D00285    00"</f>
        <v>8330033D00285    00</v>
      </c>
      <c r="B22131" t="s">
        <v>32002</v>
      </c>
      <c r="C22131" t="s">
        <v>47870</v>
      </c>
      <c r="D22131" t="s">
        <v>20</v>
      </c>
      <c r="E22131" t="s">
        <v>39</v>
      </c>
      <c r="F22131">
        <v>0</v>
      </c>
      <c r="G22131">
        <v>0</v>
      </c>
      <c r="H22131">
        <v>8</v>
      </c>
      <c r="I22131" s="3">
        <v>1402.34</v>
      </c>
      <c r="J22131" s="3">
        <v>635.34</v>
      </c>
      <c r="L22131">
        <v>312</v>
      </c>
      <c r="M22131" t="s">
        <v>32004</v>
      </c>
      <c r="N22131" t="s">
        <v>32005</v>
      </c>
      <c r="O22131" t="s">
        <v>31</v>
      </c>
      <c r="P22131" t="str">
        <f>"15025"</f>
        <v>15025</v>
      </c>
    </row>
    <row r="22132" spans="1:16" x14ac:dyDescent="0.25">
      <c r="A22132" t="str">
        <f>"8330033D00295    00"</f>
        <v>8330033D00295    00</v>
      </c>
      <c r="B22132" t="s">
        <v>47871</v>
      </c>
      <c r="C22132" t="s">
        <v>47752</v>
      </c>
      <c r="D22132" t="s">
        <v>20</v>
      </c>
      <c r="E22132" t="s">
        <v>39</v>
      </c>
      <c r="F22132">
        <v>0</v>
      </c>
      <c r="G22132">
        <v>0</v>
      </c>
      <c r="H22132">
        <v>19</v>
      </c>
      <c r="I22132" s="3">
        <v>6180.9</v>
      </c>
      <c r="J22132" s="3">
        <v>7639.45</v>
      </c>
      <c r="L22132">
        <v>2806</v>
      </c>
      <c r="M22132" t="s">
        <v>3323</v>
      </c>
      <c r="N22132" t="s">
        <v>30</v>
      </c>
      <c r="O22132" t="s">
        <v>31</v>
      </c>
      <c r="P22132" t="str">
        <f>"15203"</f>
        <v>15203</v>
      </c>
    </row>
    <row r="22133" spans="1:16" x14ac:dyDescent="0.25">
      <c r="A22133" t="str">
        <f>"8330033D00310    00"</f>
        <v>8330033D00310    00</v>
      </c>
      <c r="B22133" t="s">
        <v>43725</v>
      </c>
      <c r="C22133" t="s">
        <v>47872</v>
      </c>
      <c r="D22133" t="s">
        <v>20</v>
      </c>
      <c r="E22133" t="s">
        <v>39</v>
      </c>
      <c r="F22133">
        <v>0</v>
      </c>
      <c r="G22133">
        <v>0</v>
      </c>
      <c r="H22133">
        <v>17</v>
      </c>
      <c r="I22133" s="3">
        <v>5817.32</v>
      </c>
      <c r="J22133" s="3">
        <v>6349.72</v>
      </c>
      <c r="K22133" t="s">
        <v>43727</v>
      </c>
      <c r="L22133">
        <v>5831</v>
      </c>
      <c r="M22133" t="s">
        <v>47873</v>
      </c>
      <c r="N22133" t="s">
        <v>30</v>
      </c>
      <c r="O22133" t="s">
        <v>31</v>
      </c>
      <c r="P22133" t="str">
        <f>"15217"</f>
        <v>15217</v>
      </c>
    </row>
    <row r="22134" spans="1:16" x14ac:dyDescent="0.25">
      <c r="A22134" t="str">
        <f>"8330033D00312    00"</f>
        <v>8330033D00312    00</v>
      </c>
      <c r="B22134" t="s">
        <v>47874</v>
      </c>
      <c r="C22134" t="s">
        <v>47875</v>
      </c>
      <c r="D22134" t="s">
        <v>20</v>
      </c>
      <c r="E22134" t="s">
        <v>39</v>
      </c>
      <c r="F22134">
        <v>0</v>
      </c>
      <c r="G22134">
        <v>0</v>
      </c>
      <c r="H22134">
        <v>2</v>
      </c>
      <c r="I22134" s="3">
        <v>232.88</v>
      </c>
      <c r="J22134" s="3">
        <v>32.159999999999997</v>
      </c>
      <c r="L22134">
        <v>107</v>
      </c>
      <c r="M22134" t="s">
        <v>25874</v>
      </c>
      <c r="N22134" t="s">
        <v>30</v>
      </c>
      <c r="O22134" t="s">
        <v>31</v>
      </c>
      <c r="P22134" t="str">
        <f>"15210"</f>
        <v>15210</v>
      </c>
    </row>
    <row r="22135" spans="1:16" x14ac:dyDescent="0.25">
      <c r="A22135" t="str">
        <f>"8330033D00318    00"</f>
        <v>8330033D00318    00</v>
      </c>
      <c r="B22135" t="s">
        <v>47876</v>
      </c>
      <c r="C22135" t="s">
        <v>47877</v>
      </c>
      <c r="D22135" t="s">
        <v>20</v>
      </c>
      <c r="E22135" t="s">
        <v>39</v>
      </c>
      <c r="F22135">
        <v>0</v>
      </c>
      <c r="G22135">
        <v>0</v>
      </c>
      <c r="H22135">
        <v>17</v>
      </c>
      <c r="I22135" s="3">
        <v>157.55000000000001</v>
      </c>
      <c r="J22135" s="3">
        <v>161.27000000000001</v>
      </c>
      <c r="K22135" t="s">
        <v>1037</v>
      </c>
      <c r="L22135">
        <v>233</v>
      </c>
      <c r="M22135" t="s">
        <v>1602</v>
      </c>
      <c r="N22135" t="s">
        <v>30</v>
      </c>
      <c r="O22135" t="s">
        <v>31</v>
      </c>
      <c r="P22135" t="str">
        <f>"15213"</f>
        <v>15213</v>
      </c>
    </row>
    <row r="22136" spans="1:16" x14ac:dyDescent="0.25">
      <c r="A22136" t="str">
        <f>"8330033D00320    00"</f>
        <v>8330033D00320    00</v>
      </c>
      <c r="B22136" t="s">
        <v>47878</v>
      </c>
      <c r="C22136" t="s">
        <v>47879</v>
      </c>
      <c r="D22136" t="s">
        <v>20</v>
      </c>
      <c r="E22136" t="s">
        <v>39</v>
      </c>
      <c r="F22136">
        <v>0</v>
      </c>
      <c r="G22136">
        <v>0</v>
      </c>
      <c r="H22136">
        <v>15</v>
      </c>
      <c r="I22136" s="3">
        <v>5851.07</v>
      </c>
      <c r="J22136" s="3">
        <v>3738.39</v>
      </c>
      <c r="K22136" t="s">
        <v>47880</v>
      </c>
      <c r="L22136">
        <v>256</v>
      </c>
      <c r="M22136" t="s">
        <v>25874</v>
      </c>
      <c r="N22136" t="s">
        <v>30</v>
      </c>
      <c r="O22136" t="s">
        <v>31</v>
      </c>
      <c r="P22136" t="str">
        <f>"15210"</f>
        <v>15210</v>
      </c>
    </row>
    <row r="22137" spans="1:16" x14ac:dyDescent="0.25">
      <c r="A22137" t="str">
        <f>"8330033D00321    00"</f>
        <v>8330033D00321    00</v>
      </c>
      <c r="B22137" t="s">
        <v>47881</v>
      </c>
      <c r="C22137" t="s">
        <v>47877</v>
      </c>
      <c r="D22137" t="s">
        <v>20</v>
      </c>
      <c r="E22137" t="s">
        <v>39</v>
      </c>
      <c r="F22137">
        <v>0</v>
      </c>
      <c r="G22137">
        <v>0</v>
      </c>
      <c r="H22137">
        <v>18</v>
      </c>
      <c r="I22137" s="3">
        <v>6304.38</v>
      </c>
      <c r="J22137" s="3">
        <v>6772.47</v>
      </c>
      <c r="L22137">
        <v>258</v>
      </c>
      <c r="M22137" t="s">
        <v>25874</v>
      </c>
      <c r="N22137" t="s">
        <v>30</v>
      </c>
      <c r="O22137" t="s">
        <v>31</v>
      </c>
      <c r="P22137" t="str">
        <f>"15210"</f>
        <v>15210</v>
      </c>
    </row>
    <row r="22138" spans="1:16" x14ac:dyDescent="0.25">
      <c r="A22138" t="str">
        <f>"8330033D00323    00"</f>
        <v>8330033D00323    00</v>
      </c>
      <c r="B22138" t="s">
        <v>29347</v>
      </c>
      <c r="C22138" t="s">
        <v>47882</v>
      </c>
      <c r="E22138" t="s">
        <v>39</v>
      </c>
      <c r="F22138">
        <v>0</v>
      </c>
      <c r="G22138">
        <v>0</v>
      </c>
      <c r="H22138">
        <v>11</v>
      </c>
      <c r="I22138" s="3">
        <v>6832.56</v>
      </c>
      <c r="J22138" s="3">
        <v>8262.2800000000007</v>
      </c>
      <c r="K22138" t="s">
        <v>29349</v>
      </c>
      <c r="L22138">
        <v>4101</v>
      </c>
      <c r="M22138" t="s">
        <v>339</v>
      </c>
      <c r="N22138" t="s">
        <v>30</v>
      </c>
      <c r="O22138" t="s">
        <v>31</v>
      </c>
      <c r="P22138" t="str">
        <f>"15227"</f>
        <v>15227</v>
      </c>
    </row>
    <row r="22139" spans="1:16" x14ac:dyDescent="0.25">
      <c r="A22139" t="str">
        <f>"8330033D00343    00"</f>
        <v>8330033D00343    00</v>
      </c>
      <c r="B22139" t="s">
        <v>47883</v>
      </c>
      <c r="C22139" t="s">
        <v>47884</v>
      </c>
      <c r="D22139" t="s">
        <v>20</v>
      </c>
      <c r="E22139" t="s">
        <v>39</v>
      </c>
      <c r="F22139">
        <v>0</v>
      </c>
      <c r="G22139">
        <v>0</v>
      </c>
      <c r="H22139">
        <v>1</v>
      </c>
      <c r="I22139" s="3">
        <v>85.38</v>
      </c>
      <c r="J22139" s="3">
        <v>0</v>
      </c>
      <c r="K22139" t="s">
        <v>47885</v>
      </c>
      <c r="L22139">
        <v>323</v>
      </c>
      <c r="M22139" t="s">
        <v>23847</v>
      </c>
      <c r="N22139" t="s">
        <v>30</v>
      </c>
      <c r="O22139" t="s">
        <v>31</v>
      </c>
      <c r="P22139" t="str">
        <f>"15210"</f>
        <v>15210</v>
      </c>
    </row>
    <row r="22140" spans="1:16" x14ac:dyDescent="0.25">
      <c r="A22140" t="str">
        <f>"8330033D00347    00"</f>
        <v>8330033D00347    00</v>
      </c>
      <c r="B22140" t="s">
        <v>47886</v>
      </c>
      <c r="C22140" t="s">
        <v>47887</v>
      </c>
      <c r="E22140" t="s">
        <v>39</v>
      </c>
      <c r="F22140">
        <v>0</v>
      </c>
      <c r="G22140">
        <v>0</v>
      </c>
      <c r="H22140">
        <v>1</v>
      </c>
      <c r="I22140" s="3">
        <v>435.63</v>
      </c>
      <c r="J22140" s="3">
        <v>0</v>
      </c>
      <c r="K22140" t="s">
        <v>47888</v>
      </c>
      <c r="L22140">
        <v>811</v>
      </c>
      <c r="M22140" t="s">
        <v>47889</v>
      </c>
      <c r="N22140" t="s">
        <v>2534</v>
      </c>
      <c r="O22140" t="s">
        <v>1184</v>
      </c>
      <c r="P22140" t="str">
        <f>"21224"</f>
        <v>21224</v>
      </c>
    </row>
    <row r="22141" spans="1:16" x14ac:dyDescent="0.25">
      <c r="A22141" t="str">
        <f>"8330033D00351    00"</f>
        <v>8330033D00351    00</v>
      </c>
      <c r="B22141" t="s">
        <v>47890</v>
      </c>
      <c r="C22141" t="s">
        <v>47891</v>
      </c>
      <c r="E22141" t="s">
        <v>39</v>
      </c>
      <c r="F22141">
        <v>0</v>
      </c>
      <c r="G22141">
        <v>0</v>
      </c>
      <c r="H22141">
        <v>1</v>
      </c>
      <c r="I22141" s="3">
        <v>356.7</v>
      </c>
      <c r="J22141" s="3">
        <v>35.67</v>
      </c>
      <c r="K22141" t="s">
        <v>47892</v>
      </c>
      <c r="M22141" t="s">
        <v>47893</v>
      </c>
      <c r="N22141" t="s">
        <v>30</v>
      </c>
      <c r="O22141" t="s">
        <v>31</v>
      </c>
      <c r="P22141" t="str">
        <f>"15224"</f>
        <v>15224</v>
      </c>
    </row>
    <row r="22142" spans="1:16" x14ac:dyDescent="0.25">
      <c r="A22142" t="str">
        <f>"8330033D00354    00"</f>
        <v>8330033D00354    00</v>
      </c>
      <c r="B22142" t="s">
        <v>23116</v>
      </c>
      <c r="C22142" t="s">
        <v>47894</v>
      </c>
      <c r="D22142" t="s">
        <v>20</v>
      </c>
      <c r="E22142" t="s">
        <v>39</v>
      </c>
      <c r="F22142">
        <v>0</v>
      </c>
      <c r="G22142">
        <v>0</v>
      </c>
      <c r="H22142">
        <v>2</v>
      </c>
      <c r="I22142" s="3">
        <v>463.32</v>
      </c>
      <c r="J22142" s="3">
        <v>46.33</v>
      </c>
      <c r="K22142" t="s">
        <v>23118</v>
      </c>
      <c r="L22142">
        <v>6425</v>
      </c>
      <c r="M22142" t="s">
        <v>23119</v>
      </c>
      <c r="N22142" t="s">
        <v>30</v>
      </c>
      <c r="O22142" t="s">
        <v>31</v>
      </c>
      <c r="P22142" t="str">
        <f>"15206"</f>
        <v>15206</v>
      </c>
    </row>
    <row r="22143" spans="1:16" x14ac:dyDescent="0.25">
      <c r="A22143" t="str">
        <f>"8330033D00355    00"</f>
        <v>8330033D00355    00</v>
      </c>
      <c r="B22143" t="s">
        <v>47895</v>
      </c>
      <c r="C22143" t="s">
        <v>47896</v>
      </c>
      <c r="D22143" t="s">
        <v>20</v>
      </c>
      <c r="E22143" t="s">
        <v>39</v>
      </c>
      <c r="F22143">
        <v>0</v>
      </c>
      <c r="G22143">
        <v>0</v>
      </c>
      <c r="H22143">
        <v>15</v>
      </c>
      <c r="I22143" s="3">
        <v>5697.81</v>
      </c>
      <c r="J22143" s="3">
        <v>6096.68</v>
      </c>
      <c r="L22143">
        <v>407</v>
      </c>
      <c r="M22143" t="s">
        <v>26029</v>
      </c>
      <c r="N22143" t="s">
        <v>30</v>
      </c>
      <c r="O22143" t="s">
        <v>31</v>
      </c>
      <c r="P22143" t="str">
        <f>"15210"</f>
        <v>15210</v>
      </c>
    </row>
    <row r="22144" spans="1:16" x14ac:dyDescent="0.25">
      <c r="A22144" t="str">
        <f>"8330033G00042    00"</f>
        <v>8330033G00042    00</v>
      </c>
      <c r="B22144" t="s">
        <v>47897</v>
      </c>
      <c r="C22144" t="s">
        <v>43918</v>
      </c>
      <c r="E22144" t="s">
        <v>21</v>
      </c>
      <c r="F22144">
        <v>0</v>
      </c>
      <c r="G22144">
        <v>0</v>
      </c>
      <c r="H22144">
        <v>17</v>
      </c>
      <c r="I22144" s="3">
        <v>7575.98</v>
      </c>
      <c r="J22144" s="3">
        <v>11761.44</v>
      </c>
      <c r="L22144">
        <v>1676</v>
      </c>
      <c r="M22144" t="s">
        <v>47898</v>
      </c>
      <c r="N22144" t="s">
        <v>526</v>
      </c>
      <c r="O22144" t="s">
        <v>527</v>
      </c>
      <c r="P22144" t="str">
        <f>"20010"</f>
        <v>20010</v>
      </c>
    </row>
    <row r="22145" spans="1:16" x14ac:dyDescent="0.25">
      <c r="A22145" t="str">
        <f>"8330033G00047    00"</f>
        <v>8330033G00047    00</v>
      </c>
      <c r="B22145" t="s">
        <v>47899</v>
      </c>
      <c r="C22145" t="s">
        <v>47900</v>
      </c>
      <c r="D22145" t="s">
        <v>20</v>
      </c>
      <c r="E22145" t="s">
        <v>21</v>
      </c>
      <c r="F22145">
        <v>0</v>
      </c>
      <c r="G22145">
        <v>0</v>
      </c>
      <c r="H22145">
        <v>3</v>
      </c>
      <c r="I22145" s="3">
        <v>2475.81</v>
      </c>
      <c r="J22145" s="3">
        <v>132.71</v>
      </c>
      <c r="L22145">
        <v>715</v>
      </c>
      <c r="M22145" t="s">
        <v>8048</v>
      </c>
      <c r="N22145" t="s">
        <v>30</v>
      </c>
      <c r="O22145" t="s">
        <v>31</v>
      </c>
      <c r="P22145" t="str">
        <f>"15210"</f>
        <v>15210</v>
      </c>
    </row>
    <row r="22146" spans="1:16" x14ac:dyDescent="0.25">
      <c r="A22146" t="str">
        <f>"8330033G00064    00"</f>
        <v>8330033G00064    00</v>
      </c>
      <c r="B22146" t="s">
        <v>39861</v>
      </c>
      <c r="C22146" t="s">
        <v>47901</v>
      </c>
      <c r="D22146" t="s">
        <v>20</v>
      </c>
      <c r="E22146" t="s">
        <v>39</v>
      </c>
      <c r="F22146">
        <v>0</v>
      </c>
      <c r="G22146">
        <v>0</v>
      </c>
      <c r="H22146">
        <v>11</v>
      </c>
      <c r="I22146" s="3">
        <v>4288.88</v>
      </c>
      <c r="J22146" s="3">
        <v>2067.6999999999998</v>
      </c>
      <c r="P22146" t="str">
        <f>""</f>
        <v/>
      </c>
    </row>
    <row r="22147" spans="1:16" x14ac:dyDescent="0.25">
      <c r="A22147" t="str">
        <f>"8330033G00068    00"</f>
        <v>8330033G00068    00</v>
      </c>
      <c r="B22147" t="s">
        <v>47902</v>
      </c>
      <c r="C22147" t="s">
        <v>47903</v>
      </c>
      <c r="D22147" t="s">
        <v>20</v>
      </c>
      <c r="E22147" t="s">
        <v>39</v>
      </c>
      <c r="F22147">
        <v>0</v>
      </c>
      <c r="G22147">
        <v>0</v>
      </c>
      <c r="H22147">
        <v>1</v>
      </c>
      <c r="I22147" s="3">
        <v>725.7</v>
      </c>
      <c r="J22147" s="3">
        <v>0</v>
      </c>
      <c r="M22147" t="s">
        <v>47904</v>
      </c>
      <c r="N22147" t="s">
        <v>47905</v>
      </c>
      <c r="O22147" t="s">
        <v>200</v>
      </c>
      <c r="P22147" t="str">
        <f>"11976"</f>
        <v>11976</v>
      </c>
    </row>
    <row r="22148" spans="1:16" x14ac:dyDescent="0.25">
      <c r="A22148" t="str">
        <f>"8330033G00075    00"</f>
        <v>8330033G00075    00</v>
      </c>
      <c r="B22148" t="s">
        <v>4098</v>
      </c>
      <c r="C22148" t="s">
        <v>47906</v>
      </c>
      <c r="D22148" t="s">
        <v>20</v>
      </c>
      <c r="E22148" t="s">
        <v>39</v>
      </c>
      <c r="F22148">
        <v>0</v>
      </c>
      <c r="G22148">
        <v>0</v>
      </c>
      <c r="H22148">
        <v>1</v>
      </c>
      <c r="I22148" s="3">
        <v>512.5</v>
      </c>
      <c r="J22148" s="3">
        <v>0</v>
      </c>
      <c r="L22148">
        <v>250</v>
      </c>
      <c r="M22148" t="s">
        <v>45236</v>
      </c>
      <c r="N22148" t="s">
        <v>826</v>
      </c>
      <c r="O22148" t="s">
        <v>31</v>
      </c>
      <c r="P22148" t="str">
        <f>"15601"</f>
        <v>15601</v>
      </c>
    </row>
    <row r="22149" spans="1:16" x14ac:dyDescent="0.25">
      <c r="A22149" t="str">
        <f>"8330033G00083    00"</f>
        <v>8330033G00083    00</v>
      </c>
      <c r="B22149" t="s">
        <v>47907</v>
      </c>
      <c r="C22149" t="s">
        <v>47908</v>
      </c>
      <c r="E22149" t="s">
        <v>39</v>
      </c>
      <c r="F22149">
        <v>0</v>
      </c>
      <c r="G22149">
        <v>0</v>
      </c>
      <c r="H22149">
        <v>9</v>
      </c>
      <c r="I22149" s="3">
        <v>7421.75</v>
      </c>
      <c r="J22149" s="3">
        <v>7877.36</v>
      </c>
      <c r="K22149" t="s">
        <v>47909</v>
      </c>
      <c r="M22149" t="s">
        <v>47910</v>
      </c>
      <c r="N22149" t="s">
        <v>4150</v>
      </c>
      <c r="O22149" t="s">
        <v>31</v>
      </c>
      <c r="P22149" t="str">
        <f>"15116"</f>
        <v>15116</v>
      </c>
    </row>
    <row r="22150" spans="1:16" x14ac:dyDescent="0.25">
      <c r="A22150" t="str">
        <f>"8330033G00087    00"</f>
        <v>8330033G00087    00</v>
      </c>
      <c r="B22150" t="s">
        <v>47911</v>
      </c>
      <c r="C22150" t="s">
        <v>47912</v>
      </c>
      <c r="E22150" t="s">
        <v>39</v>
      </c>
      <c r="F22150">
        <v>0</v>
      </c>
      <c r="G22150">
        <v>0</v>
      </c>
      <c r="H22150">
        <v>1</v>
      </c>
      <c r="I22150" s="3">
        <v>446.76</v>
      </c>
      <c r="J22150" s="3">
        <v>163.78</v>
      </c>
      <c r="K22150" t="s">
        <v>403</v>
      </c>
      <c r="L22150">
        <v>3001</v>
      </c>
      <c r="M22150" t="s">
        <v>404</v>
      </c>
      <c r="N22150" t="s">
        <v>331</v>
      </c>
      <c r="O22150" t="s">
        <v>108</v>
      </c>
      <c r="P22150" t="str">
        <f>"75063"</f>
        <v>75063</v>
      </c>
    </row>
    <row r="22151" spans="1:16" x14ac:dyDescent="0.25">
      <c r="A22151" t="str">
        <f>"8330033G00088    00"</f>
        <v>8330033G00088    00</v>
      </c>
      <c r="B22151" t="s">
        <v>47913</v>
      </c>
      <c r="C22151" t="s">
        <v>47914</v>
      </c>
      <c r="D22151" t="s">
        <v>20</v>
      </c>
      <c r="E22151" t="s">
        <v>39</v>
      </c>
      <c r="F22151">
        <v>0</v>
      </c>
      <c r="G22151">
        <v>0</v>
      </c>
      <c r="H22151">
        <v>4</v>
      </c>
      <c r="I22151" s="3">
        <v>407.04</v>
      </c>
      <c r="J22151" s="3">
        <v>50.35</v>
      </c>
      <c r="L22151">
        <v>1450</v>
      </c>
      <c r="M22151" t="s">
        <v>17304</v>
      </c>
      <c r="N22151" t="s">
        <v>30</v>
      </c>
      <c r="O22151" t="s">
        <v>31</v>
      </c>
      <c r="P22151" t="str">
        <f>"15227"</f>
        <v>15227</v>
      </c>
    </row>
    <row r="22152" spans="1:16" x14ac:dyDescent="0.25">
      <c r="A22152" t="str">
        <f>"8330033G00096    00"</f>
        <v>8330033G00096    00</v>
      </c>
      <c r="B22152" t="s">
        <v>47915</v>
      </c>
      <c r="C22152" t="s">
        <v>47916</v>
      </c>
      <c r="D22152" t="s">
        <v>20</v>
      </c>
      <c r="E22152" t="s">
        <v>39</v>
      </c>
      <c r="F22152">
        <v>0</v>
      </c>
      <c r="G22152">
        <v>0</v>
      </c>
      <c r="H22152">
        <v>5</v>
      </c>
      <c r="I22152" s="3">
        <v>3353.57</v>
      </c>
      <c r="J22152" s="3">
        <v>591.53</v>
      </c>
      <c r="K22152" t="s">
        <v>47917</v>
      </c>
      <c r="L22152">
        <v>310</v>
      </c>
      <c r="M22152" t="s">
        <v>47918</v>
      </c>
      <c r="N22152" t="s">
        <v>30</v>
      </c>
      <c r="O22152" t="s">
        <v>31</v>
      </c>
      <c r="P22152" t="str">
        <f>"15210"</f>
        <v>15210</v>
      </c>
    </row>
    <row r="22153" spans="1:16" x14ac:dyDescent="0.25">
      <c r="A22153" t="str">
        <f>"8330033G00109    00"</f>
        <v>8330033G00109    00</v>
      </c>
      <c r="B22153" t="s">
        <v>9615</v>
      </c>
      <c r="C22153" t="s">
        <v>47919</v>
      </c>
      <c r="D22153" t="s">
        <v>20</v>
      </c>
      <c r="E22153" t="s">
        <v>39</v>
      </c>
      <c r="F22153">
        <v>0</v>
      </c>
      <c r="G22153">
        <v>0</v>
      </c>
      <c r="H22153">
        <v>1</v>
      </c>
      <c r="I22153" s="3">
        <v>605.78</v>
      </c>
      <c r="J22153" s="3">
        <v>0</v>
      </c>
      <c r="L22153">
        <v>202</v>
      </c>
      <c r="M22153" t="s">
        <v>2136</v>
      </c>
      <c r="N22153" t="s">
        <v>30</v>
      </c>
      <c r="O22153" t="s">
        <v>31</v>
      </c>
      <c r="P22153" t="str">
        <f>"15228"</f>
        <v>15228</v>
      </c>
    </row>
    <row r="22154" spans="1:16" x14ac:dyDescent="0.25">
      <c r="A22154" t="str">
        <f>"8330033G00117    00"</f>
        <v>8330033G00117    00</v>
      </c>
      <c r="B22154" t="s">
        <v>47920</v>
      </c>
      <c r="C22154" t="s">
        <v>47921</v>
      </c>
      <c r="D22154" t="s">
        <v>20</v>
      </c>
      <c r="E22154" t="s">
        <v>39</v>
      </c>
      <c r="F22154">
        <v>0</v>
      </c>
      <c r="G22154">
        <v>0</v>
      </c>
      <c r="H22154">
        <v>1</v>
      </c>
      <c r="I22154" s="3">
        <v>600.66</v>
      </c>
      <c r="J22154" s="3">
        <v>0</v>
      </c>
      <c r="K22154" t="s">
        <v>47922</v>
      </c>
      <c r="M22154" t="s">
        <v>47923</v>
      </c>
      <c r="N22154" t="s">
        <v>41114</v>
      </c>
      <c r="O22154" t="s">
        <v>370</v>
      </c>
      <c r="P22154" t="str">
        <f>"34656"</f>
        <v>34656</v>
      </c>
    </row>
    <row r="22155" spans="1:16" x14ac:dyDescent="0.25">
      <c r="A22155" t="str">
        <f>"8330033G00118    00"</f>
        <v>8330033G00118    00</v>
      </c>
      <c r="B22155" t="s">
        <v>47924</v>
      </c>
      <c r="C22155" t="s">
        <v>47925</v>
      </c>
      <c r="D22155" t="s">
        <v>20</v>
      </c>
      <c r="E22155" t="s">
        <v>39</v>
      </c>
      <c r="F22155">
        <v>0</v>
      </c>
      <c r="G22155">
        <v>0</v>
      </c>
      <c r="H22155">
        <v>1</v>
      </c>
      <c r="I22155" s="3">
        <v>353.63</v>
      </c>
      <c r="J22155" s="3">
        <v>0</v>
      </c>
      <c r="K22155" t="s">
        <v>47926</v>
      </c>
      <c r="L22155">
        <v>511</v>
      </c>
      <c r="M22155" t="s">
        <v>47613</v>
      </c>
      <c r="N22155" t="s">
        <v>30</v>
      </c>
      <c r="O22155" t="s">
        <v>31</v>
      </c>
      <c r="P22155" t="str">
        <f>"15210"</f>
        <v>15210</v>
      </c>
    </row>
    <row r="22156" spans="1:16" x14ac:dyDescent="0.25">
      <c r="A22156" t="str">
        <f>"8330033G00130    00"</f>
        <v>8330033G00130    00</v>
      </c>
      <c r="B22156" t="s">
        <v>22936</v>
      </c>
      <c r="C22156" t="s">
        <v>47927</v>
      </c>
      <c r="D22156" t="s">
        <v>20</v>
      </c>
      <c r="E22156" t="s">
        <v>39</v>
      </c>
      <c r="F22156">
        <v>0</v>
      </c>
      <c r="G22156">
        <v>0</v>
      </c>
      <c r="H22156">
        <v>2</v>
      </c>
      <c r="I22156" s="3">
        <v>1764.04</v>
      </c>
      <c r="J22156" s="3">
        <v>0</v>
      </c>
      <c r="K22156" t="s">
        <v>47928</v>
      </c>
      <c r="L22156">
        <v>212</v>
      </c>
      <c r="M22156" t="s">
        <v>47918</v>
      </c>
      <c r="N22156" t="s">
        <v>30</v>
      </c>
      <c r="O22156" t="s">
        <v>31</v>
      </c>
      <c r="P22156" t="str">
        <f>"15210"</f>
        <v>15210</v>
      </c>
    </row>
    <row r="22157" spans="1:16" x14ac:dyDescent="0.25">
      <c r="A22157" t="str">
        <f>"8330033G00150    00"</f>
        <v>8330033G00150    00</v>
      </c>
      <c r="B22157" t="s">
        <v>47929</v>
      </c>
      <c r="C22157" t="s">
        <v>47930</v>
      </c>
      <c r="D22157" t="s">
        <v>20</v>
      </c>
      <c r="E22157" t="s">
        <v>39</v>
      </c>
      <c r="F22157">
        <v>0</v>
      </c>
      <c r="G22157">
        <v>0</v>
      </c>
      <c r="H22157">
        <v>1</v>
      </c>
      <c r="I22157" s="3">
        <v>670.35</v>
      </c>
      <c r="J22157" s="3">
        <v>0</v>
      </c>
      <c r="K22157" t="s">
        <v>47931</v>
      </c>
      <c r="L22157">
        <v>116</v>
      </c>
      <c r="M22157" t="s">
        <v>30427</v>
      </c>
      <c r="N22157" t="s">
        <v>30</v>
      </c>
      <c r="O22157" t="s">
        <v>31</v>
      </c>
      <c r="P22157" t="str">
        <f>"15210"</f>
        <v>15210</v>
      </c>
    </row>
    <row r="22158" spans="1:16" x14ac:dyDescent="0.25">
      <c r="A22158" t="str">
        <f>"8330033G00154    00"</f>
        <v>8330033G00154    00</v>
      </c>
      <c r="B22158" t="s">
        <v>47932</v>
      </c>
      <c r="C22158" t="s">
        <v>43918</v>
      </c>
      <c r="D22158" t="s">
        <v>20</v>
      </c>
      <c r="E22158" t="s">
        <v>21</v>
      </c>
      <c r="F22158">
        <v>0</v>
      </c>
      <c r="G22158">
        <v>0</v>
      </c>
      <c r="H22158">
        <v>5</v>
      </c>
      <c r="I22158" s="3">
        <v>1440.41</v>
      </c>
      <c r="J22158" s="3">
        <v>281.37</v>
      </c>
      <c r="K22158" t="s">
        <v>47933</v>
      </c>
      <c r="L22158">
        <v>1435</v>
      </c>
      <c r="M22158" t="s">
        <v>854</v>
      </c>
      <c r="N22158" t="s">
        <v>30</v>
      </c>
      <c r="O22158" t="s">
        <v>31</v>
      </c>
      <c r="P22158" t="str">
        <f>"15219"</f>
        <v>15219</v>
      </c>
    </row>
    <row r="22159" spans="1:16" x14ac:dyDescent="0.25">
      <c r="A22159" t="str">
        <f>"8330033G00170    00"</f>
        <v>8330033G00170    00</v>
      </c>
      <c r="B22159" t="s">
        <v>47934</v>
      </c>
      <c r="C22159" t="s">
        <v>47935</v>
      </c>
      <c r="D22159" t="s">
        <v>20</v>
      </c>
      <c r="E22159" t="s">
        <v>39</v>
      </c>
      <c r="F22159">
        <v>0</v>
      </c>
      <c r="G22159">
        <v>0</v>
      </c>
      <c r="H22159">
        <v>4</v>
      </c>
      <c r="I22159" s="3">
        <v>490.22</v>
      </c>
      <c r="J22159" s="3">
        <v>81.99</v>
      </c>
      <c r="L22159">
        <v>117</v>
      </c>
      <c r="M22159" t="s">
        <v>24894</v>
      </c>
      <c r="N22159" t="s">
        <v>30</v>
      </c>
      <c r="O22159" t="s">
        <v>31</v>
      </c>
      <c r="P22159" t="str">
        <f>"15210"</f>
        <v>15210</v>
      </c>
    </row>
    <row r="22160" spans="1:16" x14ac:dyDescent="0.25">
      <c r="A22160" t="str">
        <f>"8330033G00176    00"</f>
        <v>8330033G00176    00</v>
      </c>
      <c r="B22160" t="s">
        <v>40837</v>
      </c>
      <c r="C22160" t="s">
        <v>47936</v>
      </c>
      <c r="D22160" t="s">
        <v>20</v>
      </c>
      <c r="E22160" t="s">
        <v>21</v>
      </c>
      <c r="F22160">
        <v>0</v>
      </c>
      <c r="G22160">
        <v>0</v>
      </c>
      <c r="H22160">
        <v>1</v>
      </c>
      <c r="I22160" s="3">
        <v>1757.88</v>
      </c>
      <c r="J22160" s="3">
        <v>0</v>
      </c>
      <c r="L22160">
        <v>6699</v>
      </c>
      <c r="M22160" t="s">
        <v>40839</v>
      </c>
      <c r="N22160" t="s">
        <v>40840</v>
      </c>
      <c r="O22160" t="s">
        <v>692</v>
      </c>
      <c r="P22160" t="str">
        <f>"23061"</f>
        <v>23061</v>
      </c>
    </row>
    <row r="22161" spans="1:16" x14ac:dyDescent="0.25">
      <c r="A22161" t="str">
        <f>"8330033G00183    00"</f>
        <v>8330033G00183    00</v>
      </c>
      <c r="B22161" t="s">
        <v>47937</v>
      </c>
      <c r="C22161" t="s">
        <v>47938</v>
      </c>
      <c r="D22161" t="s">
        <v>20</v>
      </c>
      <c r="E22161" t="s">
        <v>39</v>
      </c>
      <c r="F22161">
        <v>0</v>
      </c>
      <c r="G22161">
        <v>0</v>
      </c>
      <c r="H22161">
        <v>2</v>
      </c>
      <c r="I22161" s="3">
        <v>863.4</v>
      </c>
      <c r="J22161" s="3">
        <v>0</v>
      </c>
      <c r="K22161" t="s">
        <v>47939</v>
      </c>
      <c r="L22161">
        <v>135</v>
      </c>
      <c r="M22161" t="s">
        <v>24894</v>
      </c>
      <c r="N22161" t="s">
        <v>30</v>
      </c>
      <c r="O22161" t="s">
        <v>31</v>
      </c>
      <c r="P22161" t="str">
        <f>"15210"</f>
        <v>15210</v>
      </c>
    </row>
    <row r="22162" spans="1:16" x14ac:dyDescent="0.25">
      <c r="A22162" t="str">
        <f>"8330033G00203    00"</f>
        <v>8330033G00203    00</v>
      </c>
      <c r="B22162" t="s">
        <v>47940</v>
      </c>
      <c r="C22162" t="s">
        <v>47941</v>
      </c>
      <c r="E22162" t="s">
        <v>39</v>
      </c>
      <c r="F22162">
        <v>0</v>
      </c>
      <c r="G22162">
        <v>0</v>
      </c>
      <c r="H22162">
        <v>1</v>
      </c>
      <c r="I22162" s="3">
        <v>380.28</v>
      </c>
      <c r="J22162" s="3">
        <v>0</v>
      </c>
      <c r="K22162" t="s">
        <v>3621</v>
      </c>
      <c r="L22162">
        <v>211</v>
      </c>
      <c r="M22162" t="s">
        <v>31813</v>
      </c>
      <c r="N22162" t="s">
        <v>3623</v>
      </c>
      <c r="O22162" t="s">
        <v>31</v>
      </c>
      <c r="P22162" t="str">
        <f>"17101"</f>
        <v>17101</v>
      </c>
    </row>
    <row r="22163" spans="1:16" x14ac:dyDescent="0.25">
      <c r="A22163" t="str">
        <f>"8330033G00206    00"</f>
        <v>8330033G00206    00</v>
      </c>
      <c r="B22163" t="s">
        <v>47942</v>
      </c>
      <c r="C22163" t="s">
        <v>47943</v>
      </c>
      <c r="E22163" t="s">
        <v>21</v>
      </c>
      <c r="F22163">
        <v>0</v>
      </c>
      <c r="G22163">
        <v>0</v>
      </c>
      <c r="H22163">
        <v>7</v>
      </c>
      <c r="I22163" s="3">
        <v>9654.4</v>
      </c>
      <c r="J22163" s="3">
        <v>8988.69</v>
      </c>
      <c r="L22163">
        <v>120</v>
      </c>
      <c r="M22163" t="s">
        <v>47944</v>
      </c>
      <c r="N22163" t="s">
        <v>139</v>
      </c>
      <c r="O22163" t="s">
        <v>31</v>
      </c>
      <c r="P22163" t="str">
        <f>"15090"</f>
        <v>15090</v>
      </c>
    </row>
    <row r="22164" spans="1:16" x14ac:dyDescent="0.25">
      <c r="A22164" t="str">
        <f>"8330033G00226    00"</f>
        <v>8330033G00226    00</v>
      </c>
      <c r="B22164" t="s">
        <v>47945</v>
      </c>
      <c r="C22164" t="s">
        <v>47946</v>
      </c>
      <c r="E22164" t="s">
        <v>39</v>
      </c>
      <c r="F22164">
        <v>0</v>
      </c>
      <c r="G22164">
        <v>0</v>
      </c>
      <c r="H22164">
        <v>9</v>
      </c>
      <c r="I22164" s="3">
        <v>5178.7299999999996</v>
      </c>
      <c r="J22164" s="3">
        <v>8461.8799999999992</v>
      </c>
      <c r="L22164">
        <v>433</v>
      </c>
      <c r="M22164" t="s">
        <v>47947</v>
      </c>
      <c r="N22164" t="s">
        <v>30</v>
      </c>
      <c r="O22164" t="s">
        <v>31</v>
      </c>
      <c r="P22164" t="str">
        <f>"15210"</f>
        <v>15210</v>
      </c>
    </row>
    <row r="22165" spans="1:16" x14ac:dyDescent="0.25">
      <c r="A22165" t="str">
        <f>"8330033G00227    00"</f>
        <v>8330033G00227    00</v>
      </c>
      <c r="B22165" t="s">
        <v>20814</v>
      </c>
      <c r="C22165" t="s">
        <v>47948</v>
      </c>
      <c r="D22165" t="s">
        <v>20</v>
      </c>
      <c r="E22165" t="s">
        <v>39</v>
      </c>
      <c r="F22165">
        <v>0</v>
      </c>
      <c r="G22165">
        <v>0</v>
      </c>
      <c r="H22165">
        <v>4</v>
      </c>
      <c r="I22165" s="3">
        <v>1375.66</v>
      </c>
      <c r="J22165" s="3">
        <v>170.18</v>
      </c>
      <c r="L22165">
        <v>429</v>
      </c>
      <c r="M22165" t="s">
        <v>47947</v>
      </c>
      <c r="N22165" t="s">
        <v>30</v>
      </c>
      <c r="O22165" t="s">
        <v>31</v>
      </c>
      <c r="P22165" t="str">
        <f>"15210"</f>
        <v>15210</v>
      </c>
    </row>
    <row r="22166" spans="1:16" x14ac:dyDescent="0.25">
      <c r="A22166" t="str">
        <f>"8330033G00239    00"</f>
        <v>8330033G00239    00</v>
      </c>
      <c r="B22166" t="s">
        <v>47949</v>
      </c>
      <c r="C22166" t="s">
        <v>47950</v>
      </c>
      <c r="E22166" t="s">
        <v>39</v>
      </c>
      <c r="F22166">
        <v>0</v>
      </c>
      <c r="G22166">
        <v>0</v>
      </c>
      <c r="H22166">
        <v>1</v>
      </c>
      <c r="I22166" s="3">
        <v>537.1</v>
      </c>
      <c r="J22166" s="3">
        <v>0</v>
      </c>
      <c r="K22166" t="s">
        <v>710</v>
      </c>
      <c r="L22166">
        <v>4140</v>
      </c>
      <c r="M22166" t="s">
        <v>711</v>
      </c>
      <c r="N22166" t="s">
        <v>712</v>
      </c>
      <c r="O22166" t="s">
        <v>31</v>
      </c>
      <c r="P22166" t="str">
        <f>"16148"</f>
        <v>16148</v>
      </c>
    </row>
    <row r="22167" spans="1:16" x14ac:dyDescent="0.25">
      <c r="A22167" t="str">
        <f>"8330033G00245    00"</f>
        <v>8330033G00245    00</v>
      </c>
      <c r="B22167" t="s">
        <v>36924</v>
      </c>
      <c r="C22167" t="s">
        <v>47951</v>
      </c>
      <c r="E22167" t="s">
        <v>39</v>
      </c>
      <c r="F22167">
        <v>0</v>
      </c>
      <c r="G22167">
        <v>0</v>
      </c>
      <c r="H22167">
        <v>1</v>
      </c>
      <c r="I22167" s="3">
        <v>13.26</v>
      </c>
      <c r="J22167" s="3">
        <v>0</v>
      </c>
      <c r="K22167" t="s">
        <v>9577</v>
      </c>
      <c r="L22167">
        <v>228</v>
      </c>
      <c r="M22167" t="s">
        <v>9578</v>
      </c>
      <c r="N22167" t="s">
        <v>199</v>
      </c>
      <c r="O22167" t="s">
        <v>200</v>
      </c>
      <c r="P22167" t="str">
        <f>"10003"</f>
        <v>10003</v>
      </c>
    </row>
    <row r="22168" spans="1:16" x14ac:dyDescent="0.25">
      <c r="A22168" t="str">
        <f>"8330033G00248    00"</f>
        <v>8330033G00248    00</v>
      </c>
      <c r="B22168" t="s">
        <v>26767</v>
      </c>
      <c r="C22168" t="s">
        <v>47952</v>
      </c>
      <c r="D22168" t="s">
        <v>20</v>
      </c>
      <c r="E22168" t="s">
        <v>39</v>
      </c>
      <c r="F22168">
        <v>0</v>
      </c>
      <c r="G22168">
        <v>0</v>
      </c>
      <c r="H22168">
        <v>5</v>
      </c>
      <c r="I22168" s="3">
        <v>677.78</v>
      </c>
      <c r="J22168" s="3">
        <v>166.72</v>
      </c>
      <c r="L22168">
        <v>130</v>
      </c>
      <c r="M22168" t="s">
        <v>24894</v>
      </c>
      <c r="N22168" t="s">
        <v>30</v>
      </c>
      <c r="O22168" t="s">
        <v>31</v>
      </c>
      <c r="P22168" t="str">
        <f>"15210"</f>
        <v>15210</v>
      </c>
    </row>
    <row r="22169" spans="1:16" x14ac:dyDescent="0.25">
      <c r="A22169" t="str">
        <f>"8330033G00249    00"</f>
        <v>8330033G00249    00</v>
      </c>
      <c r="B22169" t="s">
        <v>47953</v>
      </c>
      <c r="C22169" t="s">
        <v>47954</v>
      </c>
      <c r="D22169" t="s">
        <v>20</v>
      </c>
      <c r="E22169" t="s">
        <v>39</v>
      </c>
      <c r="F22169">
        <v>0</v>
      </c>
      <c r="G22169">
        <v>0</v>
      </c>
      <c r="H22169">
        <v>6</v>
      </c>
      <c r="I22169" s="3">
        <v>2374.3200000000002</v>
      </c>
      <c r="J22169" s="3">
        <v>479.4</v>
      </c>
      <c r="L22169">
        <v>132</v>
      </c>
      <c r="M22169" t="s">
        <v>24894</v>
      </c>
      <c r="N22169" t="s">
        <v>30</v>
      </c>
      <c r="O22169" t="s">
        <v>31</v>
      </c>
      <c r="P22169" t="str">
        <f>"15210"</f>
        <v>15210</v>
      </c>
    </row>
    <row r="22170" spans="1:16" x14ac:dyDescent="0.25">
      <c r="A22170" t="str">
        <f>"8330033G00250    00"</f>
        <v>8330033G00250    00</v>
      </c>
      <c r="B22170" t="s">
        <v>47955</v>
      </c>
      <c r="C22170" t="s">
        <v>47956</v>
      </c>
      <c r="D22170" t="s">
        <v>20</v>
      </c>
      <c r="E22170" t="s">
        <v>39</v>
      </c>
      <c r="F22170">
        <v>0</v>
      </c>
      <c r="G22170">
        <v>0</v>
      </c>
      <c r="H22170">
        <v>2</v>
      </c>
      <c r="I22170" s="3">
        <v>936.86</v>
      </c>
      <c r="J22170" s="3">
        <v>0</v>
      </c>
      <c r="K22170" t="s">
        <v>47957</v>
      </c>
      <c r="L22170">
        <v>2828</v>
      </c>
      <c r="M22170" t="s">
        <v>47958</v>
      </c>
      <c r="N22170" t="s">
        <v>903</v>
      </c>
      <c r="O22170" t="s">
        <v>31</v>
      </c>
      <c r="P22170" t="str">
        <f>"15136"</f>
        <v>15136</v>
      </c>
    </row>
    <row r="22171" spans="1:16" x14ac:dyDescent="0.25">
      <c r="A22171" t="str">
        <f>"8330033G00252    00"</f>
        <v>8330033G00252    00</v>
      </c>
      <c r="B22171" t="s">
        <v>47959</v>
      </c>
      <c r="C22171" t="s">
        <v>43077</v>
      </c>
      <c r="D22171" t="s">
        <v>20</v>
      </c>
      <c r="E22171" t="s">
        <v>39</v>
      </c>
      <c r="F22171">
        <v>0</v>
      </c>
      <c r="G22171">
        <v>0</v>
      </c>
      <c r="H22171">
        <v>1</v>
      </c>
      <c r="I22171" s="3">
        <v>165.03</v>
      </c>
      <c r="J22171" s="3">
        <v>0</v>
      </c>
      <c r="K22171" t="s">
        <v>47960</v>
      </c>
      <c r="L22171">
        <v>150</v>
      </c>
      <c r="M22171" t="s">
        <v>8048</v>
      </c>
      <c r="N22171" t="s">
        <v>30</v>
      </c>
      <c r="O22171" t="s">
        <v>31</v>
      </c>
      <c r="P22171" t="str">
        <f>"15210"</f>
        <v>15210</v>
      </c>
    </row>
    <row r="22172" spans="1:16" x14ac:dyDescent="0.25">
      <c r="A22172" t="str">
        <f>"8330033G00274    00"</f>
        <v>8330033G00274    00</v>
      </c>
      <c r="B22172" t="s">
        <v>47961</v>
      </c>
      <c r="C22172" t="s">
        <v>47962</v>
      </c>
      <c r="E22172" t="s">
        <v>39</v>
      </c>
      <c r="F22172">
        <v>0</v>
      </c>
      <c r="G22172">
        <v>0</v>
      </c>
      <c r="H22172">
        <v>1</v>
      </c>
      <c r="I22172" s="3">
        <v>629.84</v>
      </c>
      <c r="J22172" s="3">
        <v>89.22</v>
      </c>
      <c r="K22172" t="s">
        <v>710</v>
      </c>
      <c r="L22172">
        <v>4140</v>
      </c>
      <c r="M22172" t="s">
        <v>711</v>
      </c>
      <c r="N22172" t="s">
        <v>712</v>
      </c>
      <c r="O22172" t="s">
        <v>31</v>
      </c>
      <c r="P22172" t="str">
        <f>"16148"</f>
        <v>16148</v>
      </c>
    </row>
    <row r="22173" spans="1:16" x14ac:dyDescent="0.25">
      <c r="A22173" t="str">
        <f>"8330033G00275A   00"</f>
        <v>8330033G00275A   00</v>
      </c>
      <c r="B22173" t="s">
        <v>25445</v>
      </c>
      <c r="C22173" t="s">
        <v>47963</v>
      </c>
      <c r="D22173" t="s">
        <v>20</v>
      </c>
      <c r="E22173" t="s">
        <v>39</v>
      </c>
      <c r="F22173">
        <v>0</v>
      </c>
      <c r="G22173">
        <v>0</v>
      </c>
      <c r="H22173">
        <v>9</v>
      </c>
      <c r="I22173" s="3">
        <v>3555.42</v>
      </c>
      <c r="J22173" s="3">
        <v>1360.13</v>
      </c>
      <c r="L22173">
        <v>328</v>
      </c>
      <c r="M22173" t="s">
        <v>25448</v>
      </c>
      <c r="N22173" t="s">
        <v>30</v>
      </c>
      <c r="O22173" t="s">
        <v>31</v>
      </c>
      <c r="P22173" t="str">
        <f>"15210"</f>
        <v>15210</v>
      </c>
    </row>
    <row r="22174" spans="1:16" x14ac:dyDescent="0.25">
      <c r="A22174" t="str">
        <f>"8330033G00276    00"</f>
        <v>8330033G00276    00</v>
      </c>
      <c r="B22174" t="s">
        <v>47964</v>
      </c>
      <c r="C22174" t="s">
        <v>47965</v>
      </c>
      <c r="E22174" t="s">
        <v>39</v>
      </c>
      <c r="F22174">
        <v>0</v>
      </c>
      <c r="G22174">
        <v>0</v>
      </c>
      <c r="H22174">
        <v>1</v>
      </c>
      <c r="I22174" s="3">
        <v>543.25</v>
      </c>
      <c r="J22174" s="3">
        <v>0</v>
      </c>
      <c r="K22174" t="s">
        <v>47966</v>
      </c>
      <c r="L22174">
        <v>209</v>
      </c>
      <c r="M22174" t="s">
        <v>47967</v>
      </c>
      <c r="N22174" t="s">
        <v>47968</v>
      </c>
      <c r="O22174" t="s">
        <v>273</v>
      </c>
      <c r="P22174" t="str">
        <f>"29690"</f>
        <v>29690</v>
      </c>
    </row>
    <row r="22175" spans="1:16" x14ac:dyDescent="0.25">
      <c r="A22175" t="str">
        <f>"8330033G00277    00"</f>
        <v>8330033G00277    00</v>
      </c>
      <c r="B22175" t="s">
        <v>47969</v>
      </c>
      <c r="C22175" t="s">
        <v>47790</v>
      </c>
      <c r="D22175" t="s">
        <v>20</v>
      </c>
      <c r="E22175" t="s">
        <v>39</v>
      </c>
      <c r="F22175">
        <v>0</v>
      </c>
      <c r="G22175">
        <v>0</v>
      </c>
      <c r="H22175">
        <v>11</v>
      </c>
      <c r="I22175" s="3">
        <v>44.02</v>
      </c>
      <c r="J22175" s="3">
        <v>26.8</v>
      </c>
      <c r="L22175">
        <v>256</v>
      </c>
      <c r="M22175" t="s">
        <v>25874</v>
      </c>
      <c r="N22175" t="s">
        <v>30</v>
      </c>
      <c r="O22175" t="s">
        <v>31</v>
      </c>
      <c r="P22175" t="str">
        <f>"15210"</f>
        <v>15210</v>
      </c>
    </row>
    <row r="22176" spans="1:16" x14ac:dyDescent="0.25">
      <c r="A22176" t="str">
        <f>"8330033G00277A   00"</f>
        <v>8330033G00277A   00</v>
      </c>
      <c r="B22176" t="s">
        <v>23532</v>
      </c>
      <c r="C22176" t="s">
        <v>47970</v>
      </c>
      <c r="E22176" t="s">
        <v>39</v>
      </c>
      <c r="F22176">
        <v>0</v>
      </c>
      <c r="G22176">
        <v>0</v>
      </c>
      <c r="H22176">
        <v>11</v>
      </c>
      <c r="I22176" s="3">
        <v>2336.5700000000002</v>
      </c>
      <c r="J22176" s="3">
        <v>1025.79</v>
      </c>
      <c r="L22176">
        <v>328</v>
      </c>
      <c r="M22176" t="s">
        <v>25448</v>
      </c>
      <c r="N22176" t="s">
        <v>30</v>
      </c>
      <c r="O22176" t="s">
        <v>31</v>
      </c>
      <c r="P22176" t="str">
        <f>"15210"</f>
        <v>15210</v>
      </c>
    </row>
    <row r="22177" spans="1:16" x14ac:dyDescent="0.25">
      <c r="A22177" t="str">
        <f>"8330033G00278    00"</f>
        <v>8330033G00278    00</v>
      </c>
      <c r="B22177" t="s">
        <v>47971</v>
      </c>
      <c r="C22177" t="s">
        <v>47790</v>
      </c>
      <c r="D22177" t="s">
        <v>20</v>
      </c>
      <c r="E22177" t="s">
        <v>39</v>
      </c>
      <c r="F22177">
        <v>0</v>
      </c>
      <c r="G22177">
        <v>0</v>
      </c>
      <c r="H22177">
        <v>16</v>
      </c>
      <c r="I22177" s="3">
        <v>111.48</v>
      </c>
      <c r="J22177" s="3">
        <v>97.22</v>
      </c>
      <c r="K22177" t="s">
        <v>47972</v>
      </c>
      <c r="L22177">
        <v>5126</v>
      </c>
      <c r="M22177" t="s">
        <v>47973</v>
      </c>
      <c r="N22177" t="s">
        <v>22225</v>
      </c>
      <c r="O22177" t="s">
        <v>31</v>
      </c>
      <c r="P22177" t="str">
        <f>"15332"</f>
        <v>15332</v>
      </c>
    </row>
    <row r="22178" spans="1:16" x14ac:dyDescent="0.25">
      <c r="A22178" t="str">
        <f>"8330033G00280    00"</f>
        <v>8330033G00280    00</v>
      </c>
      <c r="B22178" t="s">
        <v>35831</v>
      </c>
      <c r="C22178" t="s">
        <v>47974</v>
      </c>
      <c r="D22178" t="s">
        <v>20</v>
      </c>
      <c r="E22178" t="s">
        <v>39</v>
      </c>
      <c r="F22178">
        <v>0</v>
      </c>
      <c r="G22178">
        <v>0</v>
      </c>
      <c r="H22178">
        <v>3</v>
      </c>
      <c r="I22178" s="3">
        <v>876.83</v>
      </c>
      <c r="J22178" s="3">
        <v>139.81</v>
      </c>
      <c r="K22178" t="s">
        <v>47975</v>
      </c>
      <c r="L22178">
        <v>382</v>
      </c>
      <c r="M22178" t="s">
        <v>47976</v>
      </c>
      <c r="N22178" t="s">
        <v>4652</v>
      </c>
      <c r="O22178" t="s">
        <v>370</v>
      </c>
      <c r="P22178" t="str">
        <f>"33179"</f>
        <v>33179</v>
      </c>
    </row>
    <row r="22179" spans="1:16" x14ac:dyDescent="0.25">
      <c r="A22179" t="str">
        <f>"8330033G00290    00"</f>
        <v>8330033G00290    00</v>
      </c>
      <c r="B22179" t="s">
        <v>47977</v>
      </c>
      <c r="C22179" t="s">
        <v>47978</v>
      </c>
      <c r="D22179" t="s">
        <v>20</v>
      </c>
      <c r="E22179" t="s">
        <v>39</v>
      </c>
      <c r="F22179">
        <v>0</v>
      </c>
      <c r="G22179">
        <v>0</v>
      </c>
      <c r="H22179">
        <v>1</v>
      </c>
      <c r="I22179" s="3">
        <v>205.01</v>
      </c>
      <c r="J22179" s="3">
        <v>0</v>
      </c>
      <c r="M22179" t="s">
        <v>10675</v>
      </c>
      <c r="N22179" t="s">
        <v>47979</v>
      </c>
      <c r="O22179" t="s">
        <v>31</v>
      </c>
      <c r="P22179" t="str">
        <f>"19442"</f>
        <v>19442</v>
      </c>
    </row>
    <row r="22180" spans="1:16" x14ac:dyDescent="0.25">
      <c r="A22180" t="str">
        <f>"8330033G00293    00"</f>
        <v>8330033G00293    00</v>
      </c>
      <c r="B22180" t="s">
        <v>47980</v>
      </c>
      <c r="C22180" t="s">
        <v>47981</v>
      </c>
      <c r="E22180" t="s">
        <v>39</v>
      </c>
      <c r="F22180">
        <v>0</v>
      </c>
      <c r="G22180">
        <v>0</v>
      </c>
      <c r="H22180">
        <v>2</v>
      </c>
      <c r="I22180" s="3">
        <v>840.31</v>
      </c>
      <c r="J22180" s="3">
        <v>109.64</v>
      </c>
      <c r="K22180" t="s">
        <v>47982</v>
      </c>
      <c r="L22180">
        <v>173</v>
      </c>
      <c r="M22180" t="s">
        <v>47983</v>
      </c>
      <c r="N22180" t="s">
        <v>47984</v>
      </c>
      <c r="O22180" t="s">
        <v>200</v>
      </c>
      <c r="P22180" t="str">
        <f>"11776"</f>
        <v>11776</v>
      </c>
    </row>
    <row r="22181" spans="1:16" x14ac:dyDescent="0.25">
      <c r="A22181" t="str">
        <f>"8330033G00294    00"</f>
        <v>8330033G00294    00</v>
      </c>
      <c r="B22181" t="s">
        <v>47985</v>
      </c>
      <c r="C22181" t="s">
        <v>47790</v>
      </c>
      <c r="D22181" t="s">
        <v>20</v>
      </c>
      <c r="E22181" t="s">
        <v>39</v>
      </c>
      <c r="F22181">
        <v>0</v>
      </c>
      <c r="G22181">
        <v>0</v>
      </c>
      <c r="H22181">
        <v>12</v>
      </c>
      <c r="I22181" s="3">
        <v>35.44</v>
      </c>
      <c r="J22181" s="3">
        <v>23.26</v>
      </c>
      <c r="L22181">
        <v>454</v>
      </c>
      <c r="M22181" t="s">
        <v>47613</v>
      </c>
      <c r="N22181" t="s">
        <v>30</v>
      </c>
      <c r="O22181" t="s">
        <v>31</v>
      </c>
      <c r="P22181" t="str">
        <f>"15210"</f>
        <v>15210</v>
      </c>
    </row>
    <row r="22182" spans="1:16" x14ac:dyDescent="0.25">
      <c r="A22182" t="str">
        <f>"8330033H00015    00"</f>
        <v>8330033H00015    00</v>
      </c>
      <c r="B22182" t="s">
        <v>47986</v>
      </c>
      <c r="C22182" t="s">
        <v>47752</v>
      </c>
      <c r="E22182" t="s">
        <v>21</v>
      </c>
      <c r="F22182">
        <v>0</v>
      </c>
      <c r="G22182">
        <v>0</v>
      </c>
      <c r="H22182">
        <v>10</v>
      </c>
      <c r="I22182" s="3">
        <v>14421.2</v>
      </c>
      <c r="J22182" s="3">
        <v>21668.06</v>
      </c>
      <c r="L22182">
        <v>261</v>
      </c>
      <c r="M22182" t="s">
        <v>23847</v>
      </c>
      <c r="N22182" t="s">
        <v>30</v>
      </c>
      <c r="O22182" t="s">
        <v>31</v>
      </c>
      <c r="P22182" t="str">
        <f>"15210"</f>
        <v>15210</v>
      </c>
    </row>
    <row r="22183" spans="1:16" x14ac:dyDescent="0.25">
      <c r="A22183" t="str">
        <f>"8330033H00020    00"</f>
        <v>8330033H00020    00</v>
      </c>
      <c r="B22183" t="s">
        <v>47987</v>
      </c>
      <c r="C22183" t="s">
        <v>47988</v>
      </c>
      <c r="D22183" t="s">
        <v>20</v>
      </c>
      <c r="E22183" t="s">
        <v>39</v>
      </c>
      <c r="F22183">
        <v>0</v>
      </c>
      <c r="G22183">
        <v>0</v>
      </c>
      <c r="H22183">
        <v>7</v>
      </c>
      <c r="I22183" s="3">
        <v>2285.75</v>
      </c>
      <c r="J22183" s="3">
        <v>642.08000000000004</v>
      </c>
      <c r="L22183">
        <v>243</v>
      </c>
      <c r="M22183" t="s">
        <v>23847</v>
      </c>
      <c r="N22183" t="s">
        <v>30</v>
      </c>
      <c r="O22183" t="s">
        <v>31</v>
      </c>
      <c r="P22183" t="str">
        <f>"15210"</f>
        <v>15210</v>
      </c>
    </row>
    <row r="22184" spans="1:16" x14ac:dyDescent="0.25">
      <c r="A22184" t="str">
        <f>"8330033H00032    00"</f>
        <v>8330033H00032    00</v>
      </c>
      <c r="B22184" t="s">
        <v>47989</v>
      </c>
      <c r="C22184" t="s">
        <v>47990</v>
      </c>
      <c r="D22184" t="s">
        <v>20</v>
      </c>
      <c r="E22184" t="s">
        <v>39</v>
      </c>
      <c r="F22184">
        <v>0</v>
      </c>
      <c r="G22184">
        <v>0</v>
      </c>
      <c r="H22184">
        <v>1</v>
      </c>
      <c r="I22184" s="3">
        <v>307.5</v>
      </c>
      <c r="J22184" s="3">
        <v>61.5</v>
      </c>
      <c r="K22184" t="s">
        <v>47991</v>
      </c>
      <c r="L22184">
        <v>600</v>
      </c>
      <c r="M22184" t="s">
        <v>47992</v>
      </c>
      <c r="N22184" t="s">
        <v>47993</v>
      </c>
      <c r="O22184" t="s">
        <v>1005</v>
      </c>
      <c r="P22184" t="str">
        <f>"85202"</f>
        <v>85202</v>
      </c>
    </row>
    <row r="22185" spans="1:16" x14ac:dyDescent="0.25">
      <c r="A22185" t="str">
        <f>"8330033H00036    00"</f>
        <v>8330033H00036    00</v>
      </c>
      <c r="B22185" t="s">
        <v>47994</v>
      </c>
      <c r="C22185" t="s">
        <v>47995</v>
      </c>
      <c r="E22185" t="s">
        <v>39</v>
      </c>
      <c r="F22185">
        <v>0</v>
      </c>
      <c r="G22185">
        <v>0</v>
      </c>
      <c r="H22185">
        <v>2</v>
      </c>
      <c r="I22185" s="3">
        <v>230.37</v>
      </c>
      <c r="J22185" s="3">
        <v>74.739999999999995</v>
      </c>
      <c r="L22185">
        <v>106</v>
      </c>
      <c r="M22185" t="s">
        <v>47996</v>
      </c>
      <c r="N22185" t="s">
        <v>30</v>
      </c>
      <c r="O22185" t="s">
        <v>31</v>
      </c>
      <c r="P22185" t="str">
        <f>"15210"</f>
        <v>15210</v>
      </c>
    </row>
    <row r="22186" spans="1:16" x14ac:dyDescent="0.25">
      <c r="A22186" t="str">
        <f>"8330033H00045    00"</f>
        <v>8330033H00045    00</v>
      </c>
      <c r="B22186" t="s">
        <v>22139</v>
      </c>
      <c r="C22186" t="s">
        <v>47997</v>
      </c>
      <c r="E22186" t="s">
        <v>39</v>
      </c>
      <c r="F22186">
        <v>0</v>
      </c>
      <c r="G22186">
        <v>0</v>
      </c>
      <c r="H22186">
        <v>8</v>
      </c>
      <c r="I22186" s="3">
        <v>3139.29</v>
      </c>
      <c r="J22186" s="3">
        <v>2840.62</v>
      </c>
      <c r="L22186">
        <v>154</v>
      </c>
      <c r="M22186" t="s">
        <v>22141</v>
      </c>
      <c r="N22186" t="s">
        <v>30</v>
      </c>
      <c r="O22186" t="s">
        <v>31</v>
      </c>
      <c r="P22186" t="str">
        <f>"15236"</f>
        <v>15236</v>
      </c>
    </row>
    <row r="22187" spans="1:16" x14ac:dyDescent="0.25">
      <c r="A22187" t="str">
        <f>"8330033H00060    00"</f>
        <v>8330033H00060    00</v>
      </c>
      <c r="B22187" t="s">
        <v>47998</v>
      </c>
      <c r="C22187" t="s">
        <v>47999</v>
      </c>
      <c r="E22187" t="s">
        <v>39</v>
      </c>
      <c r="F22187">
        <v>0</v>
      </c>
      <c r="G22187">
        <v>0</v>
      </c>
      <c r="H22187">
        <v>4</v>
      </c>
      <c r="I22187" s="3">
        <v>505.73</v>
      </c>
      <c r="J22187" s="3">
        <v>310.61</v>
      </c>
      <c r="L22187">
        <v>107</v>
      </c>
      <c r="M22187" t="s">
        <v>47996</v>
      </c>
      <c r="N22187" t="s">
        <v>30</v>
      </c>
      <c r="O22187" t="s">
        <v>31</v>
      </c>
      <c r="P22187" t="str">
        <f>"15210"</f>
        <v>15210</v>
      </c>
    </row>
    <row r="22188" spans="1:16" x14ac:dyDescent="0.25">
      <c r="A22188" t="str">
        <f>"8330033H00064    00"</f>
        <v>8330033H00064    00</v>
      </c>
      <c r="B22188" t="s">
        <v>48000</v>
      </c>
      <c r="C22188" t="s">
        <v>48001</v>
      </c>
      <c r="E22188" t="s">
        <v>39</v>
      </c>
      <c r="F22188">
        <v>0</v>
      </c>
      <c r="G22188">
        <v>0</v>
      </c>
      <c r="H22188">
        <v>1</v>
      </c>
      <c r="I22188" s="3">
        <v>810.93</v>
      </c>
      <c r="J22188" s="3">
        <v>256.77999999999997</v>
      </c>
      <c r="K22188" t="s">
        <v>48002</v>
      </c>
      <c r="L22188">
        <v>2015</v>
      </c>
      <c r="M22188" t="s">
        <v>48003</v>
      </c>
      <c r="N22188" t="s">
        <v>9549</v>
      </c>
      <c r="O22188" t="s">
        <v>495</v>
      </c>
      <c r="P22188" t="str">
        <f>"90278"</f>
        <v>90278</v>
      </c>
    </row>
    <row r="22189" spans="1:16" x14ac:dyDescent="0.25">
      <c r="A22189" t="str">
        <f>"8330033H00074    00"</f>
        <v>8330033H00074    00</v>
      </c>
      <c r="B22189" t="s">
        <v>48004</v>
      </c>
      <c r="C22189" t="s">
        <v>48005</v>
      </c>
      <c r="D22189" t="s">
        <v>20</v>
      </c>
      <c r="E22189" t="s">
        <v>39</v>
      </c>
      <c r="F22189">
        <v>0</v>
      </c>
      <c r="G22189">
        <v>0</v>
      </c>
      <c r="H22189">
        <v>11</v>
      </c>
      <c r="I22189" s="3">
        <v>2563.73</v>
      </c>
      <c r="J22189" s="3">
        <v>1216.25</v>
      </c>
      <c r="L22189">
        <v>345</v>
      </c>
      <c r="M22189" t="s">
        <v>21343</v>
      </c>
      <c r="N22189" t="s">
        <v>30</v>
      </c>
      <c r="O22189" t="s">
        <v>31</v>
      </c>
      <c r="P22189" t="str">
        <f>"15207"</f>
        <v>15207</v>
      </c>
    </row>
    <row r="22190" spans="1:16" x14ac:dyDescent="0.25">
      <c r="A22190" t="str">
        <f>"8330033H00078    00"</f>
        <v>8330033H00078    00</v>
      </c>
      <c r="B22190" t="s">
        <v>48006</v>
      </c>
      <c r="C22190" t="s">
        <v>47752</v>
      </c>
      <c r="D22190" t="s">
        <v>20</v>
      </c>
      <c r="E22190" t="s">
        <v>39</v>
      </c>
      <c r="F22190">
        <v>0</v>
      </c>
      <c r="G22190">
        <v>0</v>
      </c>
      <c r="H22190">
        <v>19</v>
      </c>
      <c r="I22190" s="3">
        <v>6198</v>
      </c>
      <c r="J22190" s="3">
        <v>8709.76</v>
      </c>
      <c r="P22190" t="str">
        <f>""</f>
        <v/>
      </c>
    </row>
    <row r="22191" spans="1:16" x14ac:dyDescent="0.25">
      <c r="A22191" t="str">
        <f>"8330033H00086    00"</f>
        <v>8330033H00086    00</v>
      </c>
      <c r="B22191" t="s">
        <v>48007</v>
      </c>
      <c r="C22191" t="s">
        <v>48008</v>
      </c>
      <c r="E22191" t="s">
        <v>39</v>
      </c>
      <c r="F22191">
        <v>0</v>
      </c>
      <c r="G22191">
        <v>0</v>
      </c>
      <c r="H22191">
        <v>1</v>
      </c>
      <c r="I22191" s="3">
        <v>355.22</v>
      </c>
      <c r="J22191" s="3">
        <v>112.48</v>
      </c>
      <c r="K22191" t="s">
        <v>1030</v>
      </c>
      <c r="M22191" t="s">
        <v>1031</v>
      </c>
      <c r="N22191" t="s">
        <v>1032</v>
      </c>
      <c r="O22191" t="s">
        <v>25</v>
      </c>
      <c r="P22191" t="str">
        <f>"44711"</f>
        <v>44711</v>
      </c>
    </row>
    <row r="22192" spans="1:16" x14ac:dyDescent="0.25">
      <c r="A22192" t="str">
        <f>"8330033H00091    00"</f>
        <v>8330033H00091    00</v>
      </c>
      <c r="B22192" t="s">
        <v>48009</v>
      </c>
      <c r="C22192" t="s">
        <v>48010</v>
      </c>
      <c r="D22192" t="s">
        <v>20</v>
      </c>
      <c r="E22192" t="s">
        <v>39</v>
      </c>
      <c r="F22192">
        <v>0</v>
      </c>
      <c r="G22192">
        <v>0</v>
      </c>
      <c r="H22192">
        <v>1</v>
      </c>
      <c r="I22192" s="3">
        <v>73.08</v>
      </c>
      <c r="J22192" s="3">
        <v>0</v>
      </c>
      <c r="K22192" t="s">
        <v>484</v>
      </c>
      <c r="L22192">
        <v>3001</v>
      </c>
      <c r="M22192" t="s">
        <v>330</v>
      </c>
      <c r="N22192" t="s">
        <v>331</v>
      </c>
      <c r="O22192" t="s">
        <v>108</v>
      </c>
      <c r="P22192" t="str">
        <f>"75063"</f>
        <v>75063</v>
      </c>
    </row>
    <row r="22193" spans="1:16" x14ac:dyDescent="0.25">
      <c r="A22193" t="str">
        <f>"8330033H00093    00"</f>
        <v>8330033H00093    00</v>
      </c>
      <c r="B22193" t="s">
        <v>48011</v>
      </c>
      <c r="C22193" t="s">
        <v>48012</v>
      </c>
      <c r="D22193" t="s">
        <v>20</v>
      </c>
      <c r="E22193" t="s">
        <v>39</v>
      </c>
      <c r="F22193">
        <v>0</v>
      </c>
      <c r="G22193">
        <v>0</v>
      </c>
      <c r="H22193">
        <v>8</v>
      </c>
      <c r="I22193" s="3">
        <v>3603.56</v>
      </c>
      <c r="J22193" s="3">
        <v>1152.1199999999999</v>
      </c>
      <c r="L22193">
        <v>641</v>
      </c>
      <c r="M22193" t="s">
        <v>10598</v>
      </c>
      <c r="N22193" t="s">
        <v>30</v>
      </c>
      <c r="O22193" t="s">
        <v>31</v>
      </c>
      <c r="P22193" t="str">
        <f>"15206"</f>
        <v>15206</v>
      </c>
    </row>
    <row r="22194" spans="1:16" x14ac:dyDescent="0.25">
      <c r="A22194" t="str">
        <f>"8330033H00098    00"</f>
        <v>8330033H00098    00</v>
      </c>
      <c r="B22194" t="s">
        <v>48013</v>
      </c>
      <c r="C22194" t="s">
        <v>48014</v>
      </c>
      <c r="D22194" t="s">
        <v>20</v>
      </c>
      <c r="E22194" t="s">
        <v>39</v>
      </c>
      <c r="F22194">
        <v>0</v>
      </c>
      <c r="G22194">
        <v>0</v>
      </c>
      <c r="H22194">
        <v>1</v>
      </c>
      <c r="I22194" s="3">
        <v>348.5</v>
      </c>
      <c r="J22194" s="3">
        <v>0</v>
      </c>
      <c r="K22194" t="s">
        <v>24427</v>
      </c>
      <c r="L22194">
        <v>3160</v>
      </c>
      <c r="M22194" t="s">
        <v>24428</v>
      </c>
      <c r="N22194" t="s">
        <v>24429</v>
      </c>
      <c r="O22194" t="s">
        <v>495</v>
      </c>
      <c r="P22194" t="str">
        <f>"94583"</f>
        <v>94583</v>
      </c>
    </row>
    <row r="22195" spans="1:16" x14ac:dyDescent="0.25">
      <c r="A22195" t="str">
        <f>"8330033H00100    00"</f>
        <v>8330033H00100    00</v>
      </c>
      <c r="B22195" t="s">
        <v>48015</v>
      </c>
      <c r="C22195" t="s">
        <v>48016</v>
      </c>
      <c r="E22195" t="s">
        <v>39</v>
      </c>
      <c r="F22195">
        <v>0</v>
      </c>
      <c r="G22195">
        <v>0</v>
      </c>
      <c r="H22195">
        <v>1</v>
      </c>
      <c r="I22195" s="3">
        <v>217.91</v>
      </c>
      <c r="J22195" s="3">
        <v>41.76</v>
      </c>
      <c r="K22195" t="s">
        <v>10890</v>
      </c>
      <c r="L22195">
        <v>3001</v>
      </c>
      <c r="M22195" t="s">
        <v>330</v>
      </c>
      <c r="N22195" t="s">
        <v>331</v>
      </c>
      <c r="O22195" t="s">
        <v>108</v>
      </c>
      <c r="P22195" t="str">
        <f>"75063"</f>
        <v>75063</v>
      </c>
    </row>
    <row r="22196" spans="1:16" x14ac:dyDescent="0.25">
      <c r="A22196" t="str">
        <f>"8330033H00110    00"</f>
        <v>8330033H00110    00</v>
      </c>
      <c r="B22196" t="s">
        <v>48017</v>
      </c>
      <c r="C22196" t="s">
        <v>48018</v>
      </c>
      <c r="E22196" t="s">
        <v>39</v>
      </c>
      <c r="F22196">
        <v>0</v>
      </c>
      <c r="G22196">
        <v>0</v>
      </c>
      <c r="H22196">
        <v>10</v>
      </c>
      <c r="I22196" s="3">
        <v>1841.02</v>
      </c>
      <c r="J22196" s="3">
        <v>2444.92</v>
      </c>
      <c r="M22196" t="s">
        <v>22150</v>
      </c>
      <c r="N22196" t="s">
        <v>1353</v>
      </c>
      <c r="O22196" t="s">
        <v>31</v>
      </c>
      <c r="P22196" t="str">
        <f>"15085"</f>
        <v>15085</v>
      </c>
    </row>
    <row r="22197" spans="1:16" x14ac:dyDescent="0.25">
      <c r="A22197" t="str">
        <f>"8330033H00123    00"</f>
        <v>8330033H00123    00</v>
      </c>
      <c r="B22197" t="s">
        <v>48019</v>
      </c>
      <c r="C22197" t="s">
        <v>43077</v>
      </c>
      <c r="D22197" t="s">
        <v>20</v>
      </c>
      <c r="E22197" t="s">
        <v>39</v>
      </c>
      <c r="F22197">
        <v>0</v>
      </c>
      <c r="G22197">
        <v>0</v>
      </c>
      <c r="H22197">
        <v>15</v>
      </c>
      <c r="I22197" s="3">
        <v>2742.12</v>
      </c>
      <c r="J22197" s="3">
        <v>3580.53</v>
      </c>
      <c r="L22197">
        <v>601</v>
      </c>
      <c r="M22197" t="s">
        <v>34701</v>
      </c>
      <c r="N22197" t="s">
        <v>30</v>
      </c>
      <c r="O22197" t="s">
        <v>31</v>
      </c>
      <c r="P22197" t="str">
        <f>"15212"</f>
        <v>15212</v>
      </c>
    </row>
    <row r="22198" spans="1:16" x14ac:dyDescent="0.25">
      <c r="A22198" t="str">
        <f>"8330033H00141    00"</f>
        <v>8330033H00141    00</v>
      </c>
      <c r="B22198" t="s">
        <v>43236</v>
      </c>
      <c r="C22198" t="s">
        <v>48020</v>
      </c>
      <c r="D22198" t="s">
        <v>20</v>
      </c>
      <c r="E22198" t="s">
        <v>39</v>
      </c>
      <c r="F22198">
        <v>0</v>
      </c>
      <c r="G22198">
        <v>0</v>
      </c>
      <c r="H22198">
        <v>6</v>
      </c>
      <c r="I22198" s="3">
        <v>2200.0100000000002</v>
      </c>
      <c r="J22198" s="3">
        <v>520.30999999999995</v>
      </c>
      <c r="L22198">
        <v>342</v>
      </c>
      <c r="M22198" t="s">
        <v>43238</v>
      </c>
      <c r="N22198" t="s">
        <v>30</v>
      </c>
      <c r="O22198" t="s">
        <v>31</v>
      </c>
      <c r="P22198" t="str">
        <f>"15210"</f>
        <v>15210</v>
      </c>
    </row>
    <row r="22199" spans="1:16" x14ac:dyDescent="0.25">
      <c r="A22199" t="str">
        <f>"8330033H00146    00"</f>
        <v>8330033H00146    00</v>
      </c>
      <c r="B22199" t="s">
        <v>26960</v>
      </c>
      <c r="C22199" t="s">
        <v>48021</v>
      </c>
      <c r="D22199" t="s">
        <v>20</v>
      </c>
      <c r="E22199" t="s">
        <v>39</v>
      </c>
      <c r="F22199">
        <v>0</v>
      </c>
      <c r="G22199">
        <v>0</v>
      </c>
      <c r="H22199">
        <v>1</v>
      </c>
      <c r="I22199" s="3">
        <v>621.15</v>
      </c>
      <c r="J22199" s="3">
        <v>0</v>
      </c>
      <c r="L22199">
        <v>110</v>
      </c>
      <c r="M22199" t="s">
        <v>26962</v>
      </c>
      <c r="N22199" t="s">
        <v>30</v>
      </c>
      <c r="O22199" t="s">
        <v>31</v>
      </c>
      <c r="P22199" t="str">
        <f>"15236"</f>
        <v>15236</v>
      </c>
    </row>
    <row r="22200" spans="1:16" x14ac:dyDescent="0.25">
      <c r="A22200" t="str">
        <f>"8330033H00178    00"</f>
        <v>8330033H00178    00</v>
      </c>
      <c r="B22200" t="s">
        <v>48022</v>
      </c>
      <c r="C22200" t="s">
        <v>48023</v>
      </c>
      <c r="D22200" t="s">
        <v>20</v>
      </c>
      <c r="E22200" t="s">
        <v>39</v>
      </c>
      <c r="F22200">
        <v>0</v>
      </c>
      <c r="G22200">
        <v>0</v>
      </c>
      <c r="H22200">
        <v>2</v>
      </c>
      <c r="I22200" s="3">
        <v>467.42</v>
      </c>
      <c r="J22200" s="3">
        <v>0</v>
      </c>
      <c r="L22200">
        <v>239</v>
      </c>
      <c r="M22200" t="s">
        <v>45555</v>
      </c>
      <c r="N22200" t="s">
        <v>30</v>
      </c>
      <c r="O22200" t="s">
        <v>31</v>
      </c>
      <c r="P22200" t="str">
        <f>"15210"</f>
        <v>15210</v>
      </c>
    </row>
    <row r="22201" spans="1:16" x14ac:dyDescent="0.25">
      <c r="A22201" t="str">
        <f>"8330033H00179    00"</f>
        <v>8330033H00179    00</v>
      </c>
      <c r="B22201" t="s">
        <v>48024</v>
      </c>
      <c r="C22201" t="s">
        <v>48025</v>
      </c>
      <c r="D22201" t="s">
        <v>20</v>
      </c>
      <c r="E22201" t="s">
        <v>39</v>
      </c>
      <c r="F22201">
        <v>0</v>
      </c>
      <c r="G22201">
        <v>0</v>
      </c>
      <c r="H22201">
        <v>10</v>
      </c>
      <c r="I22201" s="3">
        <v>2316.58</v>
      </c>
      <c r="J22201" s="3">
        <v>1000.52</v>
      </c>
      <c r="L22201">
        <v>1545</v>
      </c>
      <c r="M22201" t="s">
        <v>585</v>
      </c>
      <c r="N22201" t="s">
        <v>30</v>
      </c>
      <c r="O22201" t="s">
        <v>31</v>
      </c>
      <c r="P22201" t="str">
        <f>"15224"</f>
        <v>15224</v>
      </c>
    </row>
    <row r="22202" spans="1:16" x14ac:dyDescent="0.25">
      <c r="A22202" t="str">
        <f>"8330033H00180    00"</f>
        <v>8330033H00180    00</v>
      </c>
      <c r="B22202" t="s">
        <v>48026</v>
      </c>
      <c r="C22202" t="s">
        <v>48027</v>
      </c>
      <c r="D22202" t="s">
        <v>20</v>
      </c>
      <c r="E22202" t="s">
        <v>39</v>
      </c>
      <c r="F22202">
        <v>0</v>
      </c>
      <c r="G22202">
        <v>0</v>
      </c>
      <c r="H22202">
        <v>6</v>
      </c>
      <c r="I22202" s="3">
        <v>1403.42</v>
      </c>
      <c r="J22202" s="3">
        <v>321.39</v>
      </c>
      <c r="K22202" t="s">
        <v>48028</v>
      </c>
      <c r="L22202">
        <v>147</v>
      </c>
      <c r="M22202" t="s">
        <v>23786</v>
      </c>
      <c r="N22202" t="s">
        <v>30</v>
      </c>
      <c r="O22202" t="s">
        <v>31</v>
      </c>
      <c r="P22202" t="str">
        <f>"15210"</f>
        <v>15210</v>
      </c>
    </row>
    <row r="22203" spans="1:16" x14ac:dyDescent="0.25">
      <c r="A22203" t="str">
        <f>"8330033H00181    00"</f>
        <v>8330033H00181    00</v>
      </c>
      <c r="B22203" t="s">
        <v>48029</v>
      </c>
      <c r="C22203" t="s">
        <v>48030</v>
      </c>
      <c r="E22203" t="s">
        <v>39</v>
      </c>
      <c r="F22203">
        <v>0</v>
      </c>
      <c r="G22203">
        <v>0</v>
      </c>
      <c r="H22203">
        <v>1</v>
      </c>
      <c r="I22203" s="3">
        <v>18.100000000000001</v>
      </c>
      <c r="J22203" s="3">
        <v>13.42</v>
      </c>
      <c r="K22203" t="s">
        <v>2302</v>
      </c>
      <c r="L22203">
        <v>3001</v>
      </c>
      <c r="M22203" t="s">
        <v>330</v>
      </c>
      <c r="N22203" t="s">
        <v>331</v>
      </c>
      <c r="O22203" t="s">
        <v>108</v>
      </c>
      <c r="P22203" t="str">
        <f>"75063"</f>
        <v>75063</v>
      </c>
    </row>
    <row r="22204" spans="1:16" x14ac:dyDescent="0.25">
      <c r="A22204" t="str">
        <f>"8330033H00184    00"</f>
        <v>8330033H00184    00</v>
      </c>
      <c r="B22204" t="s">
        <v>48031</v>
      </c>
      <c r="C22204" t="s">
        <v>48032</v>
      </c>
      <c r="E22204" t="s">
        <v>39</v>
      </c>
      <c r="F22204">
        <v>0</v>
      </c>
      <c r="G22204">
        <v>0</v>
      </c>
      <c r="H22204">
        <v>1</v>
      </c>
      <c r="I22204" s="3">
        <v>165.17</v>
      </c>
      <c r="J22204" s="3">
        <v>34.409999999999997</v>
      </c>
      <c r="K22204" t="s">
        <v>48033</v>
      </c>
      <c r="L22204">
        <v>500</v>
      </c>
      <c r="M22204" t="s">
        <v>48034</v>
      </c>
      <c r="N22204" t="s">
        <v>30</v>
      </c>
      <c r="O22204" t="s">
        <v>31</v>
      </c>
      <c r="P22204" t="str">
        <f>"15210"</f>
        <v>15210</v>
      </c>
    </row>
    <row r="22205" spans="1:16" x14ac:dyDescent="0.25">
      <c r="A22205" t="str">
        <f>"8330033H00194    00"</f>
        <v>8330033H00194    00</v>
      </c>
      <c r="B22205" t="s">
        <v>48035</v>
      </c>
      <c r="C22205" t="s">
        <v>48036</v>
      </c>
      <c r="D22205" t="s">
        <v>20</v>
      </c>
      <c r="E22205" t="s">
        <v>39</v>
      </c>
      <c r="F22205">
        <v>0</v>
      </c>
      <c r="G22205">
        <v>0</v>
      </c>
      <c r="H22205">
        <v>2</v>
      </c>
      <c r="I22205" s="3">
        <v>744.16</v>
      </c>
      <c r="J22205" s="3">
        <v>0</v>
      </c>
      <c r="K22205" t="s">
        <v>48037</v>
      </c>
      <c r="M22205" t="s">
        <v>48038</v>
      </c>
      <c r="N22205" t="s">
        <v>149</v>
      </c>
      <c r="O22205" t="s">
        <v>31</v>
      </c>
      <c r="P22205" t="str">
        <f>"15106"</f>
        <v>15106</v>
      </c>
    </row>
    <row r="22206" spans="1:16" x14ac:dyDescent="0.25">
      <c r="A22206" t="str">
        <f>"8330033H00218    00"</f>
        <v>8330033H00218    00</v>
      </c>
      <c r="B22206" t="s">
        <v>48039</v>
      </c>
      <c r="C22206" t="s">
        <v>48040</v>
      </c>
      <c r="D22206" t="s">
        <v>20</v>
      </c>
      <c r="E22206" t="s">
        <v>39</v>
      </c>
      <c r="F22206">
        <v>0</v>
      </c>
      <c r="G22206">
        <v>0</v>
      </c>
      <c r="H22206">
        <v>13</v>
      </c>
      <c r="I22206" s="3">
        <v>3277.46</v>
      </c>
      <c r="J22206" s="3">
        <v>1855.48</v>
      </c>
      <c r="K22206" t="s">
        <v>48041</v>
      </c>
      <c r="L22206">
        <v>210</v>
      </c>
      <c r="M22206" t="s">
        <v>14148</v>
      </c>
      <c r="N22206" t="s">
        <v>48042</v>
      </c>
      <c r="O22206" t="s">
        <v>31</v>
      </c>
      <c r="P22206" t="str">
        <f>"15210"</f>
        <v>15210</v>
      </c>
    </row>
    <row r="22207" spans="1:16" x14ac:dyDescent="0.25">
      <c r="A22207" t="str">
        <f>"8330033H00221    00"</f>
        <v>8330033H00221    00</v>
      </c>
      <c r="B22207" t="s">
        <v>48043</v>
      </c>
      <c r="C22207" t="s">
        <v>48044</v>
      </c>
      <c r="D22207" t="s">
        <v>20</v>
      </c>
      <c r="E22207" t="s">
        <v>39</v>
      </c>
      <c r="F22207">
        <v>0</v>
      </c>
      <c r="G22207">
        <v>0</v>
      </c>
      <c r="H22207">
        <v>15</v>
      </c>
      <c r="I22207" s="3">
        <v>4150.34</v>
      </c>
      <c r="J22207" s="3">
        <v>3520.15</v>
      </c>
      <c r="L22207">
        <v>625</v>
      </c>
      <c r="M22207" t="s">
        <v>24894</v>
      </c>
      <c r="N22207" t="s">
        <v>30</v>
      </c>
      <c r="O22207" t="s">
        <v>31</v>
      </c>
      <c r="P22207" t="str">
        <f>"15210"</f>
        <v>15210</v>
      </c>
    </row>
    <row r="22208" spans="1:16" x14ac:dyDescent="0.25">
      <c r="A22208" t="str">
        <f>"8330033H00223    00"</f>
        <v>8330033H00223    00</v>
      </c>
      <c r="B22208" t="s">
        <v>48045</v>
      </c>
      <c r="C22208" t="s">
        <v>48044</v>
      </c>
      <c r="D22208" t="s">
        <v>20</v>
      </c>
      <c r="E22208" t="s">
        <v>39</v>
      </c>
      <c r="F22208">
        <v>0</v>
      </c>
      <c r="G22208">
        <v>0</v>
      </c>
      <c r="H22208">
        <v>11</v>
      </c>
      <c r="I22208" s="3">
        <v>1798.94</v>
      </c>
      <c r="J22208" s="3">
        <v>867.3</v>
      </c>
      <c r="L22208">
        <v>625</v>
      </c>
      <c r="M22208" t="s">
        <v>24894</v>
      </c>
      <c r="N22208" t="s">
        <v>30</v>
      </c>
      <c r="O22208" t="s">
        <v>31</v>
      </c>
      <c r="P22208" t="str">
        <f>"15210"</f>
        <v>15210</v>
      </c>
    </row>
    <row r="22209" spans="1:16" x14ac:dyDescent="0.25">
      <c r="A22209" t="str">
        <f>"8330033H00232    00"</f>
        <v>8330033H00232    00</v>
      </c>
      <c r="B22209" t="s">
        <v>48046</v>
      </c>
      <c r="C22209" t="s">
        <v>48047</v>
      </c>
      <c r="D22209" t="s">
        <v>20</v>
      </c>
      <c r="E22209" t="s">
        <v>39</v>
      </c>
      <c r="F22209">
        <v>0</v>
      </c>
      <c r="G22209">
        <v>0</v>
      </c>
      <c r="H22209">
        <v>1</v>
      </c>
      <c r="I22209" s="3">
        <v>55.65</v>
      </c>
      <c r="J22209" s="3">
        <v>0</v>
      </c>
      <c r="K22209" t="s">
        <v>48048</v>
      </c>
      <c r="L22209">
        <v>40</v>
      </c>
      <c r="M22209" t="s">
        <v>14148</v>
      </c>
      <c r="N22209" t="s">
        <v>30</v>
      </c>
      <c r="O22209" t="s">
        <v>31</v>
      </c>
      <c r="P22209" t="str">
        <f>"15210"</f>
        <v>15210</v>
      </c>
    </row>
    <row r="22210" spans="1:16" x14ac:dyDescent="0.25">
      <c r="A22210" t="str">
        <f>"8330033H00241    00"</f>
        <v>8330033H00241    00</v>
      </c>
      <c r="B22210" t="s">
        <v>48049</v>
      </c>
      <c r="C22210" t="s">
        <v>48050</v>
      </c>
      <c r="E22210" t="s">
        <v>39</v>
      </c>
      <c r="F22210">
        <v>0</v>
      </c>
      <c r="G22210">
        <v>0</v>
      </c>
      <c r="H22210">
        <v>1</v>
      </c>
      <c r="I22210" s="3">
        <v>645.75</v>
      </c>
      <c r="J22210" s="3">
        <v>0</v>
      </c>
      <c r="K22210" t="s">
        <v>881</v>
      </c>
      <c r="L22210">
        <v>3001</v>
      </c>
      <c r="M22210" t="s">
        <v>330</v>
      </c>
      <c r="N22210" t="s">
        <v>331</v>
      </c>
      <c r="O22210" t="s">
        <v>108</v>
      </c>
      <c r="P22210" t="str">
        <f>"75063"</f>
        <v>75063</v>
      </c>
    </row>
    <row r="22211" spans="1:16" x14ac:dyDescent="0.25">
      <c r="A22211" t="str">
        <f>"8330033H00244    00"</f>
        <v>8330033H00244    00</v>
      </c>
      <c r="B22211" t="s">
        <v>9615</v>
      </c>
      <c r="C22211" t="s">
        <v>48051</v>
      </c>
      <c r="D22211" t="s">
        <v>20</v>
      </c>
      <c r="E22211" t="s">
        <v>39</v>
      </c>
      <c r="F22211">
        <v>0</v>
      </c>
      <c r="G22211">
        <v>0</v>
      </c>
      <c r="H22211">
        <v>1</v>
      </c>
      <c r="I22211" s="3">
        <v>235.75</v>
      </c>
      <c r="J22211" s="3">
        <v>0</v>
      </c>
      <c r="L22211">
        <v>202</v>
      </c>
      <c r="M22211" t="s">
        <v>2136</v>
      </c>
      <c r="N22211" t="s">
        <v>30</v>
      </c>
      <c r="O22211" t="s">
        <v>31</v>
      </c>
      <c r="P22211" t="str">
        <f>"15228"</f>
        <v>15228</v>
      </c>
    </row>
    <row r="22212" spans="1:16" x14ac:dyDescent="0.25">
      <c r="A22212" t="str">
        <f>"8330033H00260    00"</f>
        <v>8330033H00260    00</v>
      </c>
      <c r="B22212" t="s">
        <v>48052</v>
      </c>
      <c r="C22212" t="s">
        <v>48053</v>
      </c>
      <c r="D22212" t="s">
        <v>20</v>
      </c>
      <c r="E22212" t="s">
        <v>39</v>
      </c>
      <c r="F22212">
        <v>0</v>
      </c>
      <c r="G22212">
        <v>0</v>
      </c>
      <c r="H22212">
        <v>11</v>
      </c>
      <c r="I22212" s="3">
        <v>2793.03</v>
      </c>
      <c r="J22212" s="3">
        <v>1846.08</v>
      </c>
      <c r="L22212">
        <v>1091</v>
      </c>
      <c r="M22212" t="s">
        <v>1695</v>
      </c>
      <c r="N22212" t="s">
        <v>30</v>
      </c>
      <c r="O22212" t="s">
        <v>31</v>
      </c>
      <c r="P22212" t="str">
        <f>"15206"</f>
        <v>15206</v>
      </c>
    </row>
    <row r="22213" spans="1:16" x14ac:dyDescent="0.25">
      <c r="A22213" t="str">
        <f>"8330033H00264    00"</f>
        <v>8330033H00264    00</v>
      </c>
      <c r="B22213" t="s">
        <v>48054</v>
      </c>
      <c r="C22213" t="s">
        <v>48055</v>
      </c>
      <c r="D22213" t="s">
        <v>20</v>
      </c>
      <c r="E22213" t="s">
        <v>39</v>
      </c>
      <c r="F22213">
        <v>0</v>
      </c>
      <c r="G22213">
        <v>0</v>
      </c>
      <c r="H22213">
        <v>5</v>
      </c>
      <c r="I22213" s="3">
        <v>1179.18</v>
      </c>
      <c r="J22213" s="3">
        <v>187.44</v>
      </c>
      <c r="K22213" t="s">
        <v>25855</v>
      </c>
      <c r="L22213">
        <v>1420</v>
      </c>
      <c r="M22213" t="s">
        <v>14151</v>
      </c>
      <c r="N22213" t="s">
        <v>30</v>
      </c>
      <c r="O22213" t="s">
        <v>31</v>
      </c>
      <c r="P22213" t="str">
        <f>"15212"</f>
        <v>15212</v>
      </c>
    </row>
    <row r="22214" spans="1:16" x14ac:dyDescent="0.25">
      <c r="A22214" t="str">
        <f>"8330033H00275    00"</f>
        <v>8330033H00275    00</v>
      </c>
      <c r="B22214" t="s">
        <v>48056</v>
      </c>
      <c r="C22214" t="s">
        <v>48057</v>
      </c>
      <c r="D22214" t="s">
        <v>20</v>
      </c>
      <c r="E22214" t="s">
        <v>39</v>
      </c>
      <c r="F22214">
        <v>0</v>
      </c>
      <c r="G22214">
        <v>0</v>
      </c>
      <c r="H22214">
        <v>8</v>
      </c>
      <c r="I22214" s="3">
        <v>40.049999999999997</v>
      </c>
      <c r="J22214" s="3">
        <v>17.16</v>
      </c>
      <c r="L22214">
        <v>119</v>
      </c>
      <c r="M22214" t="s">
        <v>13170</v>
      </c>
      <c r="N22214" t="s">
        <v>31475</v>
      </c>
      <c r="O22214" t="s">
        <v>31</v>
      </c>
      <c r="P22214" t="str">
        <f>"15010"</f>
        <v>15010</v>
      </c>
    </row>
    <row r="22215" spans="1:16" x14ac:dyDescent="0.25">
      <c r="A22215" t="str">
        <f>"8330033H00278    00"</f>
        <v>8330033H00278    00</v>
      </c>
      <c r="B22215" t="s">
        <v>48058</v>
      </c>
      <c r="C22215" t="s">
        <v>47737</v>
      </c>
      <c r="D22215" t="s">
        <v>20</v>
      </c>
      <c r="E22215" t="s">
        <v>39</v>
      </c>
      <c r="F22215">
        <v>0</v>
      </c>
      <c r="G22215">
        <v>0</v>
      </c>
      <c r="H22215">
        <v>19</v>
      </c>
      <c r="I22215" s="3">
        <v>2335.48</v>
      </c>
      <c r="J22215" s="3">
        <v>1404.09</v>
      </c>
      <c r="L22215">
        <v>4016</v>
      </c>
      <c r="M22215" t="s">
        <v>48059</v>
      </c>
      <c r="N22215" t="s">
        <v>7204</v>
      </c>
      <c r="O22215" t="s">
        <v>200</v>
      </c>
      <c r="P22215" t="str">
        <f>"11101"</f>
        <v>11101</v>
      </c>
    </row>
    <row r="22216" spans="1:16" x14ac:dyDescent="0.25">
      <c r="A22216" t="str">
        <f>"8330033H00326    00"</f>
        <v>8330033H00326    00</v>
      </c>
      <c r="B22216" t="s">
        <v>48060</v>
      </c>
      <c r="C22216" t="s">
        <v>48061</v>
      </c>
      <c r="E22216" t="s">
        <v>39</v>
      </c>
      <c r="F22216">
        <v>0</v>
      </c>
      <c r="G22216">
        <v>0</v>
      </c>
      <c r="H22216">
        <v>1</v>
      </c>
      <c r="I22216" s="3">
        <v>127.69</v>
      </c>
      <c r="J22216" s="3">
        <v>88.32</v>
      </c>
      <c r="L22216">
        <v>111</v>
      </c>
      <c r="M22216" t="s">
        <v>48062</v>
      </c>
      <c r="N22216" t="s">
        <v>30</v>
      </c>
      <c r="O22216" t="s">
        <v>31</v>
      </c>
      <c r="P22216" t="str">
        <f>"15210"</f>
        <v>15210</v>
      </c>
    </row>
    <row r="22217" spans="1:16" x14ac:dyDescent="0.25">
      <c r="A22217" t="str">
        <f>"8330033H00335    00"</f>
        <v>8330033H00335    00</v>
      </c>
      <c r="B22217" t="s">
        <v>48063</v>
      </c>
      <c r="C22217" t="s">
        <v>48064</v>
      </c>
      <c r="D22217" t="s">
        <v>20</v>
      </c>
      <c r="E22217" t="s">
        <v>39</v>
      </c>
      <c r="F22217">
        <v>0</v>
      </c>
      <c r="G22217">
        <v>0</v>
      </c>
      <c r="H22217">
        <v>1</v>
      </c>
      <c r="I22217" s="3">
        <v>367.98</v>
      </c>
      <c r="J22217" s="3">
        <v>0</v>
      </c>
      <c r="L22217">
        <v>412</v>
      </c>
      <c r="M22217" t="s">
        <v>48065</v>
      </c>
      <c r="N22217" t="s">
        <v>30</v>
      </c>
      <c r="O22217" t="s">
        <v>31</v>
      </c>
      <c r="P22217" t="str">
        <f>"15210"</f>
        <v>15210</v>
      </c>
    </row>
    <row r="22218" spans="1:16" x14ac:dyDescent="0.25">
      <c r="A22218" t="str">
        <f>"8330033H00367    00"</f>
        <v>8330033H00367    00</v>
      </c>
      <c r="B22218" t="s">
        <v>48066</v>
      </c>
      <c r="C22218" t="s">
        <v>48067</v>
      </c>
      <c r="E22218" t="s">
        <v>39</v>
      </c>
      <c r="F22218">
        <v>0</v>
      </c>
      <c r="G22218">
        <v>0</v>
      </c>
      <c r="H22218">
        <v>2</v>
      </c>
      <c r="I22218" s="3">
        <v>21.9</v>
      </c>
      <c r="J22218" s="3">
        <v>1.0900000000000001</v>
      </c>
      <c r="K22218" t="s">
        <v>1632</v>
      </c>
      <c r="M22218" t="s">
        <v>1633</v>
      </c>
      <c r="N22218" t="s">
        <v>1634</v>
      </c>
      <c r="O22218" t="s">
        <v>25</v>
      </c>
      <c r="P22218" t="str">
        <f>"45401"</f>
        <v>45401</v>
      </c>
    </row>
    <row r="22219" spans="1:16" x14ac:dyDescent="0.25">
      <c r="A22219" t="str">
        <f>"8330033H00370    00"</f>
        <v>8330033H00370    00</v>
      </c>
      <c r="B22219" t="s">
        <v>48068</v>
      </c>
      <c r="C22219" t="s">
        <v>48069</v>
      </c>
      <c r="E22219" t="s">
        <v>39</v>
      </c>
      <c r="F22219">
        <v>0</v>
      </c>
      <c r="G22219">
        <v>0</v>
      </c>
      <c r="H22219">
        <v>1</v>
      </c>
      <c r="I22219" s="3">
        <v>300.33</v>
      </c>
      <c r="J22219" s="3">
        <v>0</v>
      </c>
      <c r="K22219" t="s">
        <v>48070</v>
      </c>
      <c r="L22219">
        <v>2925</v>
      </c>
      <c r="M22219" t="s">
        <v>31608</v>
      </c>
      <c r="N22219" t="s">
        <v>30</v>
      </c>
      <c r="O22219" t="s">
        <v>31</v>
      </c>
      <c r="P22219" t="str">
        <f>"15204"</f>
        <v>15204</v>
      </c>
    </row>
    <row r="22220" spans="1:16" x14ac:dyDescent="0.25">
      <c r="A22220" t="str">
        <f>"8330033H00371    00"</f>
        <v>8330033H00371    00</v>
      </c>
      <c r="B22220" t="s">
        <v>48071</v>
      </c>
      <c r="C22220" t="s">
        <v>48072</v>
      </c>
      <c r="E22220" t="s">
        <v>39</v>
      </c>
      <c r="F22220">
        <v>0</v>
      </c>
      <c r="G22220">
        <v>0</v>
      </c>
      <c r="H22220">
        <v>2</v>
      </c>
      <c r="I22220" s="3">
        <v>1275.0999999999999</v>
      </c>
      <c r="J22220" s="3">
        <v>63.75</v>
      </c>
      <c r="K22220" t="s">
        <v>4424</v>
      </c>
      <c r="L22220">
        <v>3001</v>
      </c>
      <c r="M22220" t="s">
        <v>330</v>
      </c>
      <c r="N22220" t="s">
        <v>331</v>
      </c>
      <c r="O22220" t="s">
        <v>108</v>
      </c>
      <c r="P22220" t="str">
        <f>"75063"</f>
        <v>75063</v>
      </c>
    </row>
    <row r="22221" spans="1:16" x14ac:dyDescent="0.25">
      <c r="A22221" t="str">
        <f>"8330033H00396    00"</f>
        <v>8330033H00396    00</v>
      </c>
      <c r="B22221" t="s">
        <v>48073</v>
      </c>
      <c r="C22221" t="s">
        <v>48074</v>
      </c>
      <c r="E22221" t="s">
        <v>39</v>
      </c>
      <c r="F22221">
        <v>0</v>
      </c>
      <c r="G22221">
        <v>0</v>
      </c>
      <c r="H22221">
        <v>2</v>
      </c>
      <c r="I22221" s="3">
        <v>1291.5</v>
      </c>
      <c r="J22221" s="3">
        <v>64.569999999999993</v>
      </c>
      <c r="K22221" t="s">
        <v>1435</v>
      </c>
      <c r="M22221" t="s">
        <v>271</v>
      </c>
      <c r="N22221" t="s">
        <v>272</v>
      </c>
      <c r="O22221" t="s">
        <v>273</v>
      </c>
      <c r="P22221" t="str">
        <f>"29603"</f>
        <v>29603</v>
      </c>
    </row>
    <row r="22222" spans="1:16" x14ac:dyDescent="0.25">
      <c r="A22222" t="str">
        <f>"8330033K00227    00"</f>
        <v>8330033K00227    00</v>
      </c>
      <c r="B22222" t="s">
        <v>48075</v>
      </c>
      <c r="C22222" t="s">
        <v>48076</v>
      </c>
      <c r="E22222" t="s">
        <v>39</v>
      </c>
      <c r="F22222">
        <v>0</v>
      </c>
      <c r="G22222">
        <v>0</v>
      </c>
      <c r="H22222">
        <v>1</v>
      </c>
      <c r="I22222" s="3">
        <v>522.76</v>
      </c>
      <c r="J22222" s="3">
        <v>0</v>
      </c>
      <c r="K22222" t="s">
        <v>48077</v>
      </c>
      <c r="M22222" t="s">
        <v>48078</v>
      </c>
      <c r="N22222" t="s">
        <v>30</v>
      </c>
      <c r="O22222" t="s">
        <v>31</v>
      </c>
      <c r="P22222" t="str">
        <f>"15230"</f>
        <v>15230</v>
      </c>
    </row>
    <row r="22223" spans="1:16" x14ac:dyDescent="0.25">
      <c r="A22223" t="str">
        <f>"8330033L00003    00"</f>
        <v>8330033L00003    00</v>
      </c>
      <c r="B22223" t="s">
        <v>22970</v>
      </c>
      <c r="C22223" t="s">
        <v>48079</v>
      </c>
      <c r="E22223" t="s">
        <v>39</v>
      </c>
      <c r="F22223">
        <v>0</v>
      </c>
      <c r="G22223">
        <v>0</v>
      </c>
      <c r="H22223">
        <v>1</v>
      </c>
      <c r="I22223" s="3">
        <v>496.1</v>
      </c>
      <c r="J22223" s="3">
        <v>0</v>
      </c>
      <c r="L22223">
        <v>4115</v>
      </c>
      <c r="M22223" t="s">
        <v>22972</v>
      </c>
      <c r="N22223" t="s">
        <v>79</v>
      </c>
      <c r="O22223" t="s">
        <v>31</v>
      </c>
      <c r="P22223" t="str">
        <f>"15668"</f>
        <v>15668</v>
      </c>
    </row>
    <row r="22224" spans="1:16" x14ac:dyDescent="0.25">
      <c r="A22224" t="str">
        <f>"8330033L00013    00"</f>
        <v>8330033L00013    00</v>
      </c>
      <c r="B22224" t="s">
        <v>48080</v>
      </c>
      <c r="C22224" t="s">
        <v>48081</v>
      </c>
      <c r="D22224" t="s">
        <v>20</v>
      </c>
      <c r="E22224" t="s">
        <v>21</v>
      </c>
      <c r="F22224">
        <v>0</v>
      </c>
      <c r="G22224">
        <v>0</v>
      </c>
      <c r="H22224">
        <v>17</v>
      </c>
      <c r="I22224" s="3">
        <v>10389.719999999999</v>
      </c>
      <c r="J22224" s="3">
        <v>12490.45</v>
      </c>
      <c r="L22224">
        <v>57</v>
      </c>
      <c r="M22224" t="s">
        <v>11789</v>
      </c>
      <c r="N22224" t="s">
        <v>30</v>
      </c>
      <c r="O22224" t="s">
        <v>31</v>
      </c>
      <c r="P22224" t="str">
        <f>"15210"</f>
        <v>15210</v>
      </c>
    </row>
    <row r="22225" spans="1:16" x14ac:dyDescent="0.25">
      <c r="A22225" t="str">
        <f>"8330033L00072    00"</f>
        <v>8330033L00072    00</v>
      </c>
      <c r="B22225" t="s">
        <v>48082</v>
      </c>
      <c r="C22225" t="s">
        <v>48083</v>
      </c>
      <c r="E22225" t="s">
        <v>39</v>
      </c>
      <c r="F22225">
        <v>0</v>
      </c>
      <c r="G22225">
        <v>0</v>
      </c>
      <c r="H22225">
        <v>14</v>
      </c>
      <c r="I22225" s="3">
        <v>7765.32</v>
      </c>
      <c r="J22225" s="3">
        <v>8691.7800000000007</v>
      </c>
      <c r="L22225">
        <v>210</v>
      </c>
      <c r="M22225" t="s">
        <v>48084</v>
      </c>
      <c r="N22225" t="s">
        <v>27292</v>
      </c>
      <c r="O22225" t="s">
        <v>31</v>
      </c>
      <c r="P22225" t="str">
        <f>"15425"</f>
        <v>15425</v>
      </c>
    </row>
    <row r="22226" spans="1:16" x14ac:dyDescent="0.25">
      <c r="A22226" t="str">
        <f>"8330033L00078    00"</f>
        <v>8330033L00078    00</v>
      </c>
      <c r="B22226" t="s">
        <v>48085</v>
      </c>
      <c r="C22226" t="s">
        <v>48086</v>
      </c>
      <c r="D22226" t="s">
        <v>20</v>
      </c>
      <c r="E22226" t="s">
        <v>39</v>
      </c>
      <c r="F22226">
        <v>0</v>
      </c>
      <c r="G22226">
        <v>0</v>
      </c>
      <c r="H22226">
        <v>2</v>
      </c>
      <c r="I22226" s="3">
        <v>850.76</v>
      </c>
      <c r="J22226" s="3">
        <v>0</v>
      </c>
      <c r="K22226" t="s">
        <v>48087</v>
      </c>
      <c r="L22226">
        <v>9262</v>
      </c>
      <c r="M22226" t="s">
        <v>12011</v>
      </c>
      <c r="N22226" t="s">
        <v>30</v>
      </c>
      <c r="O22226" t="s">
        <v>31</v>
      </c>
      <c r="P22226" t="str">
        <f>"15235"</f>
        <v>15235</v>
      </c>
    </row>
    <row r="22227" spans="1:16" x14ac:dyDescent="0.25">
      <c r="A22227" t="str">
        <f>"8330033L00080    00"</f>
        <v>8330033L00080    00</v>
      </c>
      <c r="B22227" t="s">
        <v>1965</v>
      </c>
      <c r="C22227" t="s">
        <v>48088</v>
      </c>
      <c r="D22227" t="s">
        <v>20</v>
      </c>
      <c r="E22227" t="s">
        <v>39</v>
      </c>
      <c r="F22227">
        <v>0</v>
      </c>
      <c r="G22227">
        <v>0</v>
      </c>
      <c r="H22227">
        <v>5</v>
      </c>
      <c r="I22227" s="3">
        <v>2010.83</v>
      </c>
      <c r="J22227" s="3">
        <v>357.88</v>
      </c>
      <c r="L22227">
        <v>1556</v>
      </c>
      <c r="M22227" t="s">
        <v>48089</v>
      </c>
      <c r="N22227" t="s">
        <v>30</v>
      </c>
      <c r="O22227" t="s">
        <v>31</v>
      </c>
      <c r="P22227" t="str">
        <f>"15216"</f>
        <v>15216</v>
      </c>
    </row>
    <row r="22228" spans="1:16" x14ac:dyDescent="0.25">
      <c r="A22228" t="str">
        <f>"8330033L00083    00"</f>
        <v>8330033L00083    00</v>
      </c>
      <c r="B22228" t="s">
        <v>48090</v>
      </c>
      <c r="C22228" t="s">
        <v>48091</v>
      </c>
      <c r="E22228" t="s">
        <v>39</v>
      </c>
      <c r="F22228">
        <v>0</v>
      </c>
      <c r="G22228">
        <v>0</v>
      </c>
      <c r="H22228">
        <v>1</v>
      </c>
      <c r="I22228" s="3">
        <v>474.58</v>
      </c>
      <c r="J22228" s="3">
        <v>0</v>
      </c>
      <c r="K22228" t="s">
        <v>7138</v>
      </c>
      <c r="L22228">
        <v>1123</v>
      </c>
      <c r="M22228" t="s">
        <v>7139</v>
      </c>
      <c r="N22228" t="s">
        <v>7140</v>
      </c>
      <c r="O22228" t="s">
        <v>495</v>
      </c>
      <c r="P22228" t="str">
        <f>"91724"</f>
        <v>91724</v>
      </c>
    </row>
    <row r="22229" spans="1:16" x14ac:dyDescent="0.25">
      <c r="A22229" t="str">
        <f>"8330033L00099    00"</f>
        <v>8330033L00099    00</v>
      </c>
      <c r="B22229" t="s">
        <v>48092</v>
      </c>
      <c r="C22229" t="s">
        <v>48093</v>
      </c>
      <c r="E22229" t="s">
        <v>39</v>
      </c>
      <c r="F22229">
        <v>0</v>
      </c>
      <c r="G22229">
        <v>0</v>
      </c>
      <c r="H22229">
        <v>1</v>
      </c>
      <c r="I22229" s="3">
        <v>329.91</v>
      </c>
      <c r="J22229" s="3">
        <v>104.47</v>
      </c>
      <c r="K22229" t="s">
        <v>408</v>
      </c>
      <c r="M22229" t="s">
        <v>409</v>
      </c>
      <c r="N22229" t="s">
        <v>410</v>
      </c>
      <c r="O22229" t="s">
        <v>31</v>
      </c>
      <c r="P22229" t="str">
        <f>"15701"</f>
        <v>15701</v>
      </c>
    </row>
    <row r="22230" spans="1:16" x14ac:dyDescent="0.25">
      <c r="A22230" t="str">
        <f>"8330033L00105    00"</f>
        <v>8330033L00105    00</v>
      </c>
      <c r="B22230" t="s">
        <v>48094</v>
      </c>
      <c r="C22230" t="s">
        <v>48095</v>
      </c>
      <c r="D22230" t="s">
        <v>20</v>
      </c>
      <c r="E22230" t="s">
        <v>39</v>
      </c>
      <c r="F22230">
        <v>0</v>
      </c>
      <c r="G22230">
        <v>0</v>
      </c>
      <c r="H22230">
        <v>1</v>
      </c>
      <c r="I22230" s="3">
        <v>391.55</v>
      </c>
      <c r="J22230" s="3">
        <v>0</v>
      </c>
      <c r="L22230">
        <v>705</v>
      </c>
      <c r="M22230" t="s">
        <v>48096</v>
      </c>
      <c r="N22230" t="s">
        <v>48097</v>
      </c>
      <c r="O22230" t="s">
        <v>6668</v>
      </c>
      <c r="P22230" t="str">
        <f>"98408"</f>
        <v>98408</v>
      </c>
    </row>
    <row r="22231" spans="1:16" x14ac:dyDescent="0.25">
      <c r="A22231" t="str">
        <f>"8330033L00116    00"</f>
        <v>8330033L00116    00</v>
      </c>
      <c r="B22231" t="s">
        <v>48098</v>
      </c>
      <c r="C22231" t="s">
        <v>48099</v>
      </c>
      <c r="D22231" t="s">
        <v>20</v>
      </c>
      <c r="E22231" t="s">
        <v>39</v>
      </c>
      <c r="F22231">
        <v>0</v>
      </c>
      <c r="G22231">
        <v>0</v>
      </c>
      <c r="H22231">
        <v>5</v>
      </c>
      <c r="I22231" s="3">
        <v>2015.92</v>
      </c>
      <c r="J22231" s="3">
        <v>358.79</v>
      </c>
      <c r="L22231">
        <v>305</v>
      </c>
      <c r="M22231" t="s">
        <v>11195</v>
      </c>
      <c r="N22231" t="s">
        <v>30</v>
      </c>
      <c r="O22231" t="s">
        <v>31</v>
      </c>
      <c r="P22231" t="str">
        <f>"15210"</f>
        <v>15210</v>
      </c>
    </row>
    <row r="22232" spans="1:16" x14ac:dyDescent="0.25">
      <c r="A22232" t="str">
        <f>"8330033L00118    00"</f>
        <v>8330033L00118    00</v>
      </c>
      <c r="B22232" t="s">
        <v>48100</v>
      </c>
      <c r="C22232" t="s">
        <v>48101</v>
      </c>
      <c r="D22232" t="s">
        <v>20</v>
      </c>
      <c r="E22232" t="s">
        <v>39</v>
      </c>
      <c r="F22232">
        <v>0</v>
      </c>
      <c r="G22232">
        <v>0</v>
      </c>
      <c r="H22232">
        <v>17</v>
      </c>
      <c r="I22232" s="3">
        <v>3253.97</v>
      </c>
      <c r="J22232" s="3">
        <v>2674.17</v>
      </c>
      <c r="L22232">
        <v>301</v>
      </c>
      <c r="M22232" t="s">
        <v>45281</v>
      </c>
      <c r="N22232" t="s">
        <v>30</v>
      </c>
      <c r="O22232" t="s">
        <v>31</v>
      </c>
      <c r="P22232" t="str">
        <f>"15210"</f>
        <v>15210</v>
      </c>
    </row>
    <row r="22233" spans="1:16" x14ac:dyDescent="0.25">
      <c r="A22233" t="str">
        <f>"8330033L00121    00"</f>
        <v>8330033L00121    00</v>
      </c>
      <c r="B22233" t="s">
        <v>48102</v>
      </c>
      <c r="C22233" t="s">
        <v>48103</v>
      </c>
      <c r="D22233" t="s">
        <v>20</v>
      </c>
      <c r="E22233" t="s">
        <v>39</v>
      </c>
      <c r="F22233">
        <v>0</v>
      </c>
      <c r="G22233">
        <v>0</v>
      </c>
      <c r="H22233">
        <v>7</v>
      </c>
      <c r="I22233" s="3">
        <v>2510.25</v>
      </c>
      <c r="J22233" s="3">
        <v>914.18</v>
      </c>
      <c r="K22233" t="s">
        <v>48104</v>
      </c>
      <c r="L22233">
        <v>221</v>
      </c>
      <c r="M22233" t="s">
        <v>45281</v>
      </c>
      <c r="N22233" t="s">
        <v>30</v>
      </c>
      <c r="O22233" t="s">
        <v>31</v>
      </c>
      <c r="P22233" t="str">
        <f>"15210"</f>
        <v>15210</v>
      </c>
    </row>
    <row r="22234" spans="1:16" x14ac:dyDescent="0.25">
      <c r="A22234" t="str">
        <f>"8330033L00131    00"</f>
        <v>8330033L00131    00</v>
      </c>
      <c r="B22234" t="s">
        <v>48105</v>
      </c>
      <c r="C22234" t="s">
        <v>48106</v>
      </c>
      <c r="D22234" t="s">
        <v>20</v>
      </c>
      <c r="E22234" t="s">
        <v>39</v>
      </c>
      <c r="F22234">
        <v>0</v>
      </c>
      <c r="G22234">
        <v>0</v>
      </c>
      <c r="H22234">
        <v>1</v>
      </c>
      <c r="I22234" s="3">
        <v>412.06</v>
      </c>
      <c r="J22234" s="3">
        <v>0</v>
      </c>
      <c r="K22234" t="s">
        <v>48107</v>
      </c>
      <c r="L22234">
        <v>6900</v>
      </c>
      <c r="M22234" t="s">
        <v>48108</v>
      </c>
      <c r="N22234" t="s">
        <v>28762</v>
      </c>
      <c r="O22234" t="s">
        <v>370</v>
      </c>
      <c r="P22234" t="str">
        <f>"33073"</f>
        <v>33073</v>
      </c>
    </row>
    <row r="22235" spans="1:16" x14ac:dyDescent="0.25">
      <c r="A22235" t="str">
        <f>"8330033L00132    00"</f>
        <v>8330033L00132    00</v>
      </c>
      <c r="B22235" t="s">
        <v>48109</v>
      </c>
      <c r="C22235" t="s">
        <v>48110</v>
      </c>
      <c r="E22235" t="s">
        <v>39</v>
      </c>
      <c r="F22235">
        <v>0</v>
      </c>
      <c r="G22235">
        <v>0</v>
      </c>
      <c r="H22235">
        <v>1</v>
      </c>
      <c r="I22235" s="3">
        <v>372.13</v>
      </c>
      <c r="J22235" s="3">
        <v>111.63</v>
      </c>
      <c r="K22235" t="s">
        <v>48111</v>
      </c>
      <c r="L22235">
        <v>38</v>
      </c>
      <c r="M22235" t="s">
        <v>48112</v>
      </c>
      <c r="N22235" t="s">
        <v>48113</v>
      </c>
      <c r="O22235" t="s">
        <v>1269</v>
      </c>
      <c r="P22235" t="str">
        <f>"06001"</f>
        <v>06001</v>
      </c>
    </row>
    <row r="22236" spans="1:16" x14ac:dyDescent="0.25">
      <c r="A22236" t="str">
        <f>"8330033L00135    00"</f>
        <v>8330033L00135    00</v>
      </c>
      <c r="B22236" t="s">
        <v>1965</v>
      </c>
      <c r="C22236" t="s">
        <v>48114</v>
      </c>
      <c r="D22236" t="s">
        <v>20</v>
      </c>
      <c r="E22236" t="s">
        <v>39</v>
      </c>
      <c r="F22236">
        <v>0</v>
      </c>
      <c r="G22236">
        <v>0</v>
      </c>
      <c r="H22236">
        <v>5</v>
      </c>
      <c r="I22236" s="3">
        <v>1975.35</v>
      </c>
      <c r="J22236" s="3">
        <v>351.57</v>
      </c>
      <c r="L22236">
        <v>1552</v>
      </c>
      <c r="M22236" t="s">
        <v>14332</v>
      </c>
      <c r="N22236" t="s">
        <v>30</v>
      </c>
      <c r="O22236" t="s">
        <v>31</v>
      </c>
      <c r="P22236" t="str">
        <f>"15216"</f>
        <v>15216</v>
      </c>
    </row>
    <row r="22237" spans="1:16" x14ac:dyDescent="0.25">
      <c r="A22237" t="str">
        <f>"8330033L00219    00"</f>
        <v>8330033L00219    00</v>
      </c>
      <c r="B22237" t="s">
        <v>48115</v>
      </c>
      <c r="C22237" t="s">
        <v>48116</v>
      </c>
      <c r="E22237" t="s">
        <v>39</v>
      </c>
      <c r="F22237">
        <v>0</v>
      </c>
      <c r="G22237">
        <v>0</v>
      </c>
      <c r="H22237">
        <v>1</v>
      </c>
      <c r="I22237" s="3">
        <v>276.61</v>
      </c>
      <c r="J22237" s="3">
        <v>87.59</v>
      </c>
      <c r="K22237" t="s">
        <v>48117</v>
      </c>
      <c r="L22237">
        <v>4401</v>
      </c>
      <c r="M22237" t="s">
        <v>30853</v>
      </c>
      <c r="N22237" t="s">
        <v>212</v>
      </c>
      <c r="O22237" t="s">
        <v>25</v>
      </c>
      <c r="P22237" t="str">
        <f>"44131"</f>
        <v>44131</v>
      </c>
    </row>
    <row r="22238" spans="1:16" x14ac:dyDescent="0.25">
      <c r="A22238" t="str">
        <f>"8330033L00221    00"</f>
        <v>8330033L00221    00</v>
      </c>
      <c r="B22238" t="s">
        <v>48118</v>
      </c>
      <c r="C22238" t="s">
        <v>48119</v>
      </c>
      <c r="D22238" t="s">
        <v>20</v>
      </c>
      <c r="E22238" t="s">
        <v>39</v>
      </c>
      <c r="F22238">
        <v>0</v>
      </c>
      <c r="G22238">
        <v>0</v>
      </c>
      <c r="H22238">
        <v>5</v>
      </c>
      <c r="I22238" s="3">
        <v>780.06</v>
      </c>
      <c r="J22238" s="3">
        <v>138.83000000000001</v>
      </c>
      <c r="K22238" t="s">
        <v>48120</v>
      </c>
      <c r="L22238">
        <v>1323</v>
      </c>
      <c r="M22238" t="s">
        <v>30009</v>
      </c>
      <c r="N22238" t="s">
        <v>30</v>
      </c>
      <c r="O22238" t="s">
        <v>31</v>
      </c>
      <c r="P22238" t="str">
        <f>"15226"</f>
        <v>15226</v>
      </c>
    </row>
    <row r="22239" spans="1:16" x14ac:dyDescent="0.25">
      <c r="A22239" t="str">
        <f>"8330033L00223    00"</f>
        <v>8330033L00223    00</v>
      </c>
      <c r="B22239" t="s">
        <v>48121</v>
      </c>
      <c r="C22239" t="s">
        <v>48122</v>
      </c>
      <c r="D22239" t="s">
        <v>20</v>
      </c>
      <c r="E22239" t="s">
        <v>39</v>
      </c>
      <c r="F22239">
        <v>0</v>
      </c>
      <c r="G22239">
        <v>0</v>
      </c>
      <c r="H22239">
        <v>15</v>
      </c>
      <c r="I22239" s="3">
        <v>6986.37</v>
      </c>
      <c r="J22239" s="3">
        <v>5348.93</v>
      </c>
      <c r="K22239" t="s">
        <v>48123</v>
      </c>
      <c r="L22239">
        <v>118</v>
      </c>
      <c r="M22239" t="s">
        <v>48124</v>
      </c>
      <c r="N22239" t="s">
        <v>24071</v>
      </c>
      <c r="O22239" t="s">
        <v>31</v>
      </c>
      <c r="P22239" t="str">
        <f>"15042"</f>
        <v>15042</v>
      </c>
    </row>
    <row r="22240" spans="1:16" x14ac:dyDescent="0.25">
      <c r="A22240" t="str">
        <f>"8330033L00224    00"</f>
        <v>8330033L00224    00</v>
      </c>
      <c r="B22240" t="s">
        <v>48125</v>
      </c>
      <c r="C22240" t="s">
        <v>48126</v>
      </c>
      <c r="D22240" t="s">
        <v>20</v>
      </c>
      <c r="E22240" t="s">
        <v>39</v>
      </c>
      <c r="F22240">
        <v>0</v>
      </c>
      <c r="G22240">
        <v>0</v>
      </c>
      <c r="H22240">
        <v>3</v>
      </c>
      <c r="I22240" s="3">
        <v>1257.69</v>
      </c>
      <c r="J22240" s="3">
        <v>83.84</v>
      </c>
      <c r="L22240">
        <v>214</v>
      </c>
      <c r="M22240" t="s">
        <v>48127</v>
      </c>
      <c r="N22240" t="s">
        <v>30</v>
      </c>
      <c r="O22240" t="s">
        <v>31</v>
      </c>
      <c r="P22240" t="str">
        <f>"15210"</f>
        <v>15210</v>
      </c>
    </row>
    <row r="22241" spans="1:16" x14ac:dyDescent="0.25">
      <c r="A22241" t="str">
        <f>"8330033L00225    00"</f>
        <v>8330033L00225    00</v>
      </c>
      <c r="B22241" t="s">
        <v>48128</v>
      </c>
      <c r="C22241" t="s">
        <v>48129</v>
      </c>
      <c r="E22241" t="s">
        <v>39</v>
      </c>
      <c r="F22241">
        <v>0</v>
      </c>
      <c r="G22241">
        <v>0</v>
      </c>
      <c r="H22241">
        <v>2</v>
      </c>
      <c r="I22241" s="3">
        <v>820.02</v>
      </c>
      <c r="J22241" s="3">
        <v>82</v>
      </c>
      <c r="K22241" t="s">
        <v>48130</v>
      </c>
      <c r="L22241">
        <v>6425</v>
      </c>
      <c r="M22241" t="s">
        <v>23119</v>
      </c>
      <c r="N22241" t="s">
        <v>30</v>
      </c>
      <c r="O22241" t="s">
        <v>31</v>
      </c>
      <c r="P22241" t="str">
        <f>"15206"</f>
        <v>15206</v>
      </c>
    </row>
    <row r="22242" spans="1:16" x14ac:dyDescent="0.25">
      <c r="A22242" t="str">
        <f>"8330033L00231    00"</f>
        <v>8330033L00231    00</v>
      </c>
      <c r="B22242" t="s">
        <v>48131</v>
      </c>
      <c r="C22242" t="s">
        <v>48132</v>
      </c>
      <c r="D22242" t="s">
        <v>20</v>
      </c>
      <c r="E22242" t="s">
        <v>39</v>
      </c>
      <c r="F22242">
        <v>0</v>
      </c>
      <c r="G22242">
        <v>0</v>
      </c>
      <c r="H22242">
        <v>9</v>
      </c>
      <c r="I22242" s="3">
        <v>2307.19</v>
      </c>
      <c r="J22242" s="3">
        <v>1841.79</v>
      </c>
      <c r="K22242" t="s">
        <v>48133</v>
      </c>
      <c r="L22242">
        <v>302</v>
      </c>
      <c r="M22242" t="s">
        <v>48127</v>
      </c>
      <c r="N22242" t="s">
        <v>30</v>
      </c>
      <c r="O22242" t="s">
        <v>31</v>
      </c>
      <c r="P22242" t="str">
        <f>"15210"</f>
        <v>15210</v>
      </c>
    </row>
    <row r="22243" spans="1:16" x14ac:dyDescent="0.25">
      <c r="A22243" t="str">
        <f>"8330033L00236    00"</f>
        <v>8330033L00236    00</v>
      </c>
      <c r="B22243" t="s">
        <v>48134</v>
      </c>
      <c r="C22243" t="s">
        <v>48135</v>
      </c>
      <c r="D22243" t="s">
        <v>20</v>
      </c>
      <c r="E22243" t="s">
        <v>39</v>
      </c>
      <c r="F22243">
        <v>0</v>
      </c>
      <c r="G22243">
        <v>0</v>
      </c>
      <c r="H22243">
        <v>2</v>
      </c>
      <c r="I22243" s="3">
        <v>675.18</v>
      </c>
      <c r="J22243" s="3">
        <v>57.03</v>
      </c>
      <c r="K22243" t="s">
        <v>10706</v>
      </c>
      <c r="L22243">
        <v>3530</v>
      </c>
      <c r="M22243" t="s">
        <v>10707</v>
      </c>
      <c r="N22243" t="s">
        <v>1412</v>
      </c>
      <c r="O22243" t="s">
        <v>1413</v>
      </c>
      <c r="P22243" t="str">
        <f>"28277"</f>
        <v>28277</v>
      </c>
    </row>
    <row r="22244" spans="1:16" x14ac:dyDescent="0.25">
      <c r="A22244" t="str">
        <f>"8330033L00237    00"</f>
        <v>8330033L00237    00</v>
      </c>
      <c r="B22244" t="s">
        <v>48136</v>
      </c>
      <c r="C22244" t="s">
        <v>48137</v>
      </c>
      <c r="E22244" t="s">
        <v>39</v>
      </c>
      <c r="F22244">
        <v>0</v>
      </c>
      <c r="G22244">
        <v>0</v>
      </c>
      <c r="H22244">
        <v>1</v>
      </c>
      <c r="I22244" s="3">
        <v>322.88</v>
      </c>
      <c r="J22244" s="3">
        <v>0</v>
      </c>
      <c r="K22244" t="s">
        <v>48138</v>
      </c>
      <c r="L22244">
        <v>200</v>
      </c>
      <c r="M22244" t="s">
        <v>48139</v>
      </c>
      <c r="N22244" t="s">
        <v>48140</v>
      </c>
      <c r="O22244" t="s">
        <v>495</v>
      </c>
      <c r="P22244" t="str">
        <f>"94025"</f>
        <v>94025</v>
      </c>
    </row>
    <row r="22245" spans="1:16" x14ac:dyDescent="0.25">
      <c r="A22245" t="str">
        <f>"8330033L00243    00"</f>
        <v>8330033L00243    00</v>
      </c>
      <c r="B22245" t="s">
        <v>48141</v>
      </c>
      <c r="C22245" t="s">
        <v>48142</v>
      </c>
      <c r="D22245" t="s">
        <v>20</v>
      </c>
      <c r="E22245" t="s">
        <v>39</v>
      </c>
      <c r="F22245">
        <v>0</v>
      </c>
      <c r="G22245">
        <v>0</v>
      </c>
      <c r="H22245">
        <v>19</v>
      </c>
      <c r="I22245" s="3">
        <v>9060.2000000000007</v>
      </c>
      <c r="J22245" s="3">
        <v>10482.86</v>
      </c>
      <c r="K22245" t="s">
        <v>48143</v>
      </c>
      <c r="L22245">
        <v>326</v>
      </c>
      <c r="M22245" t="s">
        <v>48127</v>
      </c>
      <c r="N22245" t="s">
        <v>30</v>
      </c>
      <c r="O22245" t="s">
        <v>31</v>
      </c>
      <c r="P22245" t="str">
        <f>"15210"</f>
        <v>15210</v>
      </c>
    </row>
    <row r="22246" spans="1:16" x14ac:dyDescent="0.25">
      <c r="A22246" t="str">
        <f>"8330033L00258    00"</f>
        <v>8330033L00258    00</v>
      </c>
      <c r="B22246" t="s">
        <v>48144</v>
      </c>
      <c r="C22246" t="s">
        <v>48145</v>
      </c>
      <c r="D22246" t="s">
        <v>20</v>
      </c>
      <c r="E22246" t="s">
        <v>39</v>
      </c>
      <c r="F22246">
        <v>0</v>
      </c>
      <c r="G22246">
        <v>0</v>
      </c>
      <c r="H22246">
        <v>1</v>
      </c>
      <c r="I22246" s="3">
        <v>379.25</v>
      </c>
      <c r="J22246" s="3">
        <v>0</v>
      </c>
      <c r="K22246" t="s">
        <v>403</v>
      </c>
      <c r="L22246">
        <v>3001</v>
      </c>
      <c r="M22246" t="s">
        <v>404</v>
      </c>
      <c r="N22246" t="s">
        <v>331</v>
      </c>
      <c r="O22246" t="s">
        <v>108</v>
      </c>
      <c r="P22246" t="str">
        <f>"75063"</f>
        <v>75063</v>
      </c>
    </row>
    <row r="22247" spans="1:16" x14ac:dyDescent="0.25">
      <c r="A22247" t="str">
        <f>"8330033L00273    00"</f>
        <v>8330033L00273    00</v>
      </c>
      <c r="B22247" t="s">
        <v>48146</v>
      </c>
      <c r="C22247" t="s">
        <v>48142</v>
      </c>
      <c r="D22247" t="s">
        <v>20</v>
      </c>
      <c r="E22247" t="s">
        <v>39</v>
      </c>
      <c r="F22247">
        <v>0</v>
      </c>
      <c r="G22247">
        <v>0</v>
      </c>
      <c r="H22247">
        <v>16</v>
      </c>
      <c r="I22247" s="3">
        <v>3266.38</v>
      </c>
      <c r="J22247" s="3">
        <v>4414.5600000000004</v>
      </c>
      <c r="L22247">
        <v>215</v>
      </c>
      <c r="M22247" t="s">
        <v>48147</v>
      </c>
      <c r="N22247" t="s">
        <v>30</v>
      </c>
      <c r="O22247" t="s">
        <v>31</v>
      </c>
      <c r="P22247" t="str">
        <f>"15210"</f>
        <v>15210</v>
      </c>
    </row>
    <row r="22248" spans="1:16" x14ac:dyDescent="0.25">
      <c r="A22248" t="str">
        <f>"8330033L00280    00"</f>
        <v>8330033L00280    00</v>
      </c>
      <c r="B22248" t="s">
        <v>48148</v>
      </c>
      <c r="C22248" t="s">
        <v>48149</v>
      </c>
      <c r="E22248" t="s">
        <v>39</v>
      </c>
      <c r="F22248">
        <v>0</v>
      </c>
      <c r="G22248">
        <v>0</v>
      </c>
      <c r="H22248">
        <v>1</v>
      </c>
      <c r="I22248" s="3">
        <v>31.99</v>
      </c>
      <c r="J22248" s="3">
        <v>15.73</v>
      </c>
      <c r="L22248">
        <v>201</v>
      </c>
      <c r="M22248" t="s">
        <v>48147</v>
      </c>
      <c r="N22248" t="s">
        <v>30</v>
      </c>
      <c r="O22248" t="s">
        <v>31</v>
      </c>
      <c r="P22248" t="str">
        <f>"15210"</f>
        <v>15210</v>
      </c>
    </row>
    <row r="22249" spans="1:16" x14ac:dyDescent="0.25">
      <c r="A22249" t="str">
        <f>"8330033L00284    00"</f>
        <v>8330033L00284    00</v>
      </c>
      <c r="B22249" t="s">
        <v>48150</v>
      </c>
      <c r="C22249" t="s">
        <v>48151</v>
      </c>
      <c r="E22249" t="s">
        <v>39</v>
      </c>
      <c r="F22249">
        <v>0</v>
      </c>
      <c r="G22249">
        <v>0</v>
      </c>
      <c r="H22249">
        <v>1</v>
      </c>
      <c r="I22249" s="3">
        <v>366.95</v>
      </c>
      <c r="J22249" s="3">
        <v>36.69</v>
      </c>
      <c r="K22249" t="s">
        <v>4500</v>
      </c>
      <c r="L22249">
        <v>3001</v>
      </c>
      <c r="M22249" t="s">
        <v>330</v>
      </c>
      <c r="N22249" t="s">
        <v>331</v>
      </c>
      <c r="O22249" t="s">
        <v>108</v>
      </c>
      <c r="P22249" t="str">
        <f>"75063"</f>
        <v>75063</v>
      </c>
    </row>
    <row r="22250" spans="1:16" x14ac:dyDescent="0.25">
      <c r="A22250" t="str">
        <f>"8330033L00292    00"</f>
        <v>8330033L00292    00</v>
      </c>
      <c r="B22250" t="s">
        <v>23116</v>
      </c>
      <c r="C22250" t="s">
        <v>48152</v>
      </c>
      <c r="E22250" t="s">
        <v>39</v>
      </c>
      <c r="F22250">
        <v>0</v>
      </c>
      <c r="G22250">
        <v>0</v>
      </c>
      <c r="H22250">
        <v>1</v>
      </c>
      <c r="I22250" s="3">
        <v>372.98</v>
      </c>
      <c r="J22250" s="3">
        <v>0</v>
      </c>
      <c r="K22250" t="s">
        <v>23118</v>
      </c>
      <c r="L22250">
        <v>6425</v>
      </c>
      <c r="M22250" t="s">
        <v>23119</v>
      </c>
      <c r="N22250" t="s">
        <v>30</v>
      </c>
      <c r="O22250" t="s">
        <v>31</v>
      </c>
      <c r="P22250" t="str">
        <f>"15206"</f>
        <v>15206</v>
      </c>
    </row>
    <row r="22251" spans="1:16" x14ac:dyDescent="0.25">
      <c r="A22251" t="str">
        <f>"8330033L00294    00"</f>
        <v>8330033L00294    00</v>
      </c>
      <c r="B22251" t="s">
        <v>48153</v>
      </c>
      <c r="C22251" t="s">
        <v>48154</v>
      </c>
      <c r="D22251" t="s">
        <v>57</v>
      </c>
      <c r="E22251" t="s">
        <v>39</v>
      </c>
      <c r="F22251">
        <v>0</v>
      </c>
      <c r="G22251">
        <v>0</v>
      </c>
      <c r="H22251">
        <v>1</v>
      </c>
      <c r="I22251" s="3">
        <v>270.47000000000003</v>
      </c>
      <c r="J22251" s="3">
        <v>274.97000000000003</v>
      </c>
      <c r="L22251">
        <v>108</v>
      </c>
      <c r="M22251" t="s">
        <v>48155</v>
      </c>
      <c r="N22251" t="s">
        <v>546</v>
      </c>
      <c r="O22251" t="s">
        <v>31</v>
      </c>
      <c r="P22251" t="str">
        <f>"15044"</f>
        <v>15044</v>
      </c>
    </row>
    <row r="22252" spans="1:16" x14ac:dyDescent="0.25">
      <c r="A22252" t="str">
        <f>"8330033L00302    00"</f>
        <v>8330033L00302    00</v>
      </c>
      <c r="B22252" t="s">
        <v>48156</v>
      </c>
      <c r="C22252" t="s">
        <v>48157</v>
      </c>
      <c r="E22252" t="s">
        <v>39</v>
      </c>
      <c r="F22252">
        <v>0</v>
      </c>
      <c r="G22252">
        <v>0</v>
      </c>
      <c r="H22252">
        <v>1</v>
      </c>
      <c r="I22252" s="3">
        <v>243.95</v>
      </c>
      <c r="J22252" s="3">
        <v>0</v>
      </c>
      <c r="L22252">
        <v>705</v>
      </c>
      <c r="M22252" t="s">
        <v>47613</v>
      </c>
      <c r="N22252" t="s">
        <v>30</v>
      </c>
      <c r="O22252" t="s">
        <v>31</v>
      </c>
      <c r="P22252" t="str">
        <f>"15210"</f>
        <v>15210</v>
      </c>
    </row>
    <row r="22253" spans="1:16" x14ac:dyDescent="0.25">
      <c r="A22253" t="str">
        <f>"8330033L00320    00"</f>
        <v>8330033L00320    00</v>
      </c>
      <c r="B22253" t="s">
        <v>48158</v>
      </c>
      <c r="C22253" t="s">
        <v>48159</v>
      </c>
      <c r="D22253" t="s">
        <v>20</v>
      </c>
      <c r="E22253" t="s">
        <v>21</v>
      </c>
      <c r="F22253">
        <v>0</v>
      </c>
      <c r="G22253">
        <v>0</v>
      </c>
      <c r="H22253">
        <v>2</v>
      </c>
      <c r="I22253" s="3">
        <v>1215.6600000000001</v>
      </c>
      <c r="J22253" s="3">
        <v>0</v>
      </c>
      <c r="K22253" t="s">
        <v>48160</v>
      </c>
      <c r="L22253">
        <v>7</v>
      </c>
      <c r="M22253" t="s">
        <v>48161</v>
      </c>
      <c r="N22253" t="s">
        <v>10132</v>
      </c>
      <c r="O22253" t="s">
        <v>423</v>
      </c>
      <c r="P22253" t="str">
        <f>"07470"</f>
        <v>07470</v>
      </c>
    </row>
    <row r="22254" spans="1:16" x14ac:dyDescent="0.25">
      <c r="A22254" t="str">
        <f>"8330033L00339    00"</f>
        <v>8330033L00339    00</v>
      </c>
      <c r="B22254" t="s">
        <v>48162</v>
      </c>
      <c r="C22254" t="s">
        <v>48163</v>
      </c>
      <c r="D22254" t="s">
        <v>20</v>
      </c>
      <c r="E22254" t="s">
        <v>39</v>
      </c>
      <c r="F22254">
        <v>0</v>
      </c>
      <c r="G22254">
        <v>0</v>
      </c>
      <c r="H22254">
        <v>5</v>
      </c>
      <c r="I22254" s="3">
        <v>1420.25</v>
      </c>
      <c r="J22254" s="3">
        <v>240.86</v>
      </c>
      <c r="L22254">
        <v>600</v>
      </c>
      <c r="M22254" t="s">
        <v>47613</v>
      </c>
      <c r="N22254" t="s">
        <v>30</v>
      </c>
      <c r="O22254" t="s">
        <v>31</v>
      </c>
      <c r="P22254" t="str">
        <f>"15210"</f>
        <v>15210</v>
      </c>
    </row>
    <row r="22255" spans="1:16" x14ac:dyDescent="0.25">
      <c r="A22255" t="str">
        <f>"8330033L00353    00"</f>
        <v>8330033L00353    00</v>
      </c>
      <c r="B22255" t="s">
        <v>48164</v>
      </c>
      <c r="C22255" t="s">
        <v>48165</v>
      </c>
      <c r="E22255" t="s">
        <v>39</v>
      </c>
      <c r="F22255">
        <v>0</v>
      </c>
      <c r="G22255">
        <v>0</v>
      </c>
      <c r="H22255">
        <v>1</v>
      </c>
      <c r="I22255" s="3">
        <v>213.93</v>
      </c>
      <c r="J22255" s="3">
        <v>67.739999999999995</v>
      </c>
      <c r="K22255" t="s">
        <v>1030</v>
      </c>
      <c r="M22255" t="s">
        <v>1031</v>
      </c>
      <c r="N22255" t="s">
        <v>1032</v>
      </c>
      <c r="O22255" t="s">
        <v>25</v>
      </c>
      <c r="P22255" t="str">
        <f>"44711"</f>
        <v>44711</v>
      </c>
    </row>
    <row r="22256" spans="1:16" x14ac:dyDescent="0.25">
      <c r="A22256" t="str">
        <f>"8330033L00355    00"</f>
        <v>8330033L00355    00</v>
      </c>
      <c r="B22256" t="s">
        <v>48166</v>
      </c>
      <c r="C22256" t="s">
        <v>48167</v>
      </c>
      <c r="E22256" t="s">
        <v>39</v>
      </c>
      <c r="F22256">
        <v>0</v>
      </c>
      <c r="G22256">
        <v>0</v>
      </c>
      <c r="H22256">
        <v>16</v>
      </c>
      <c r="I22256" s="3">
        <v>6835.9</v>
      </c>
      <c r="J22256" s="3">
        <v>8174.88</v>
      </c>
      <c r="L22256">
        <v>565</v>
      </c>
      <c r="M22256" t="s">
        <v>48168</v>
      </c>
      <c r="N22256" t="s">
        <v>30</v>
      </c>
      <c r="O22256" t="s">
        <v>31</v>
      </c>
      <c r="P22256" t="str">
        <f>"15220"</f>
        <v>15220</v>
      </c>
    </row>
    <row r="22257" spans="1:16" x14ac:dyDescent="0.25">
      <c r="A22257" t="str">
        <f>"8330033L00356    00"</f>
        <v>8330033L00356    00</v>
      </c>
      <c r="B22257" t="s">
        <v>48169</v>
      </c>
      <c r="C22257" t="s">
        <v>48170</v>
      </c>
      <c r="D22257" t="s">
        <v>20</v>
      </c>
      <c r="E22257" t="s">
        <v>39</v>
      </c>
      <c r="F22257">
        <v>0</v>
      </c>
      <c r="G22257">
        <v>0</v>
      </c>
      <c r="H22257">
        <v>6</v>
      </c>
      <c r="I22257" s="3">
        <v>2183.71</v>
      </c>
      <c r="J22257" s="3">
        <v>500.07</v>
      </c>
      <c r="L22257">
        <v>112</v>
      </c>
      <c r="M22257" t="s">
        <v>48171</v>
      </c>
      <c r="N22257" t="s">
        <v>30</v>
      </c>
      <c r="O22257" t="s">
        <v>31</v>
      </c>
      <c r="P22257" t="str">
        <f>"15210"</f>
        <v>15210</v>
      </c>
    </row>
    <row r="22258" spans="1:16" x14ac:dyDescent="0.25">
      <c r="A22258" t="str">
        <f>"8330033L00363    00"</f>
        <v>8330033L00363    00</v>
      </c>
      <c r="B22258" t="s">
        <v>48172</v>
      </c>
      <c r="C22258" t="s">
        <v>48173</v>
      </c>
      <c r="E22258" t="s">
        <v>39</v>
      </c>
      <c r="F22258">
        <v>0</v>
      </c>
      <c r="G22258">
        <v>0</v>
      </c>
      <c r="H22258">
        <v>2</v>
      </c>
      <c r="I22258" s="3">
        <v>391.97</v>
      </c>
      <c r="J22258" s="3">
        <v>129.18</v>
      </c>
      <c r="K22258" t="s">
        <v>767</v>
      </c>
      <c r="L22258">
        <v>3001</v>
      </c>
      <c r="M22258" t="s">
        <v>330</v>
      </c>
      <c r="N22258" t="s">
        <v>331</v>
      </c>
      <c r="O22258" t="s">
        <v>108</v>
      </c>
      <c r="P22258" t="str">
        <f>"75063"</f>
        <v>75063</v>
      </c>
    </row>
    <row r="22259" spans="1:16" x14ac:dyDescent="0.25">
      <c r="A22259" t="str">
        <f>"8330033L00366    00"</f>
        <v>8330033L00366    00</v>
      </c>
      <c r="B22259" t="s">
        <v>48174</v>
      </c>
      <c r="C22259" t="s">
        <v>48175</v>
      </c>
      <c r="D22259" t="s">
        <v>20</v>
      </c>
      <c r="E22259" t="s">
        <v>39</v>
      </c>
      <c r="F22259">
        <v>0</v>
      </c>
      <c r="G22259">
        <v>0</v>
      </c>
      <c r="H22259">
        <v>5</v>
      </c>
      <c r="I22259" s="3">
        <v>1198.3599999999999</v>
      </c>
      <c r="J22259" s="3">
        <v>268.39999999999998</v>
      </c>
      <c r="L22259">
        <v>315</v>
      </c>
      <c r="M22259" t="s">
        <v>30427</v>
      </c>
      <c r="N22259" t="s">
        <v>30</v>
      </c>
      <c r="O22259" t="s">
        <v>31</v>
      </c>
      <c r="P22259" t="str">
        <f>"15210"</f>
        <v>15210</v>
      </c>
    </row>
    <row r="22260" spans="1:16" x14ac:dyDescent="0.25">
      <c r="A22260" t="str">
        <f>"8330033M00012    00"</f>
        <v>8330033M00012    00</v>
      </c>
      <c r="B22260" t="s">
        <v>23535</v>
      </c>
      <c r="C22260" t="s">
        <v>47759</v>
      </c>
      <c r="D22260" t="s">
        <v>20</v>
      </c>
      <c r="E22260" t="s">
        <v>39</v>
      </c>
      <c r="F22260">
        <v>0</v>
      </c>
      <c r="G22260">
        <v>0</v>
      </c>
      <c r="H22260">
        <v>19</v>
      </c>
      <c r="I22260" s="3">
        <v>4381.6899999999996</v>
      </c>
      <c r="J22260" s="3">
        <v>4293.3900000000003</v>
      </c>
      <c r="L22260">
        <v>118</v>
      </c>
      <c r="M22260" t="s">
        <v>23551</v>
      </c>
      <c r="N22260" t="s">
        <v>30</v>
      </c>
      <c r="O22260" t="s">
        <v>31</v>
      </c>
      <c r="P22260" t="str">
        <f>"15210"</f>
        <v>15210</v>
      </c>
    </row>
    <row r="22261" spans="1:16" x14ac:dyDescent="0.25">
      <c r="A22261" t="str">
        <f>"8330033M00031    00"</f>
        <v>8330033M00031    00</v>
      </c>
      <c r="B22261" t="s">
        <v>48176</v>
      </c>
      <c r="C22261" t="s">
        <v>48177</v>
      </c>
      <c r="E22261" t="s">
        <v>39</v>
      </c>
      <c r="F22261">
        <v>0</v>
      </c>
      <c r="G22261">
        <v>0</v>
      </c>
      <c r="H22261">
        <v>1</v>
      </c>
      <c r="I22261" s="3">
        <v>343.28</v>
      </c>
      <c r="J22261" s="3">
        <v>102.98</v>
      </c>
      <c r="K22261" t="s">
        <v>881</v>
      </c>
      <c r="L22261">
        <v>3001</v>
      </c>
      <c r="M22261" t="s">
        <v>330</v>
      </c>
      <c r="N22261" t="s">
        <v>331</v>
      </c>
      <c r="O22261" t="s">
        <v>108</v>
      </c>
      <c r="P22261" t="str">
        <f>"75063"</f>
        <v>75063</v>
      </c>
    </row>
    <row r="22262" spans="1:16" x14ac:dyDescent="0.25">
      <c r="A22262" t="str">
        <f>"8330033M00035    00"</f>
        <v>8330033M00035    00</v>
      </c>
      <c r="B22262" t="s">
        <v>48178</v>
      </c>
      <c r="C22262" t="s">
        <v>48179</v>
      </c>
      <c r="E22262" t="s">
        <v>39</v>
      </c>
      <c r="F22262">
        <v>0</v>
      </c>
      <c r="G22262">
        <v>0</v>
      </c>
      <c r="H22262">
        <v>2</v>
      </c>
      <c r="I22262" s="3">
        <v>598.62</v>
      </c>
      <c r="J22262" s="3">
        <v>0</v>
      </c>
      <c r="K22262" t="s">
        <v>48180</v>
      </c>
      <c r="L22262">
        <v>307</v>
      </c>
      <c r="M22262" t="s">
        <v>23798</v>
      </c>
      <c r="N22262" t="s">
        <v>48181</v>
      </c>
      <c r="O22262" t="s">
        <v>25</v>
      </c>
      <c r="P22262" t="str">
        <f>"43968"</f>
        <v>43968</v>
      </c>
    </row>
    <row r="22263" spans="1:16" x14ac:dyDescent="0.25">
      <c r="A22263" t="str">
        <f>"8330033M00038    00"</f>
        <v>8330033M00038    00</v>
      </c>
      <c r="B22263" t="s">
        <v>48182</v>
      </c>
      <c r="C22263" t="s">
        <v>48183</v>
      </c>
      <c r="D22263" t="s">
        <v>20</v>
      </c>
      <c r="E22263" t="s">
        <v>39</v>
      </c>
      <c r="F22263">
        <v>0</v>
      </c>
      <c r="G22263">
        <v>0</v>
      </c>
      <c r="H22263">
        <v>3</v>
      </c>
      <c r="I22263" s="3">
        <v>139.97999999999999</v>
      </c>
      <c r="J22263" s="3">
        <v>54.56</v>
      </c>
      <c r="K22263" t="s">
        <v>48184</v>
      </c>
      <c r="L22263">
        <v>622</v>
      </c>
      <c r="M22263" t="s">
        <v>24894</v>
      </c>
      <c r="N22263" t="s">
        <v>30</v>
      </c>
      <c r="O22263" t="s">
        <v>31</v>
      </c>
      <c r="P22263" t="str">
        <f>"15210"</f>
        <v>15210</v>
      </c>
    </row>
    <row r="22264" spans="1:16" x14ac:dyDescent="0.25">
      <c r="A22264" t="str">
        <f>"8330033M00055    00"</f>
        <v>8330033M00055    00</v>
      </c>
      <c r="B22264" t="s">
        <v>48185</v>
      </c>
      <c r="C22264" t="s">
        <v>48186</v>
      </c>
      <c r="D22264" t="s">
        <v>20</v>
      </c>
      <c r="E22264" t="s">
        <v>39</v>
      </c>
      <c r="F22264">
        <v>0</v>
      </c>
      <c r="G22264">
        <v>0</v>
      </c>
      <c r="H22264">
        <v>5</v>
      </c>
      <c r="I22264" s="3">
        <v>1321.99</v>
      </c>
      <c r="J22264" s="3">
        <v>235.29</v>
      </c>
      <c r="L22264">
        <v>67</v>
      </c>
      <c r="M22264" t="s">
        <v>22850</v>
      </c>
      <c r="N22264" t="s">
        <v>30</v>
      </c>
      <c r="O22264" t="s">
        <v>31</v>
      </c>
      <c r="P22264" t="str">
        <f>"15203"</f>
        <v>15203</v>
      </c>
    </row>
    <row r="22265" spans="1:16" x14ac:dyDescent="0.25">
      <c r="A22265" t="str">
        <f>"8330033M00088    00"</f>
        <v>8330033M00088    00</v>
      </c>
      <c r="B22265" t="s">
        <v>48187</v>
      </c>
      <c r="C22265" t="s">
        <v>48188</v>
      </c>
      <c r="E22265" t="s">
        <v>39</v>
      </c>
      <c r="F22265">
        <v>0</v>
      </c>
      <c r="G22265">
        <v>0</v>
      </c>
      <c r="H22265">
        <v>3</v>
      </c>
      <c r="I22265" s="3">
        <v>197.93</v>
      </c>
      <c r="J22265" s="3">
        <v>59.14</v>
      </c>
      <c r="L22265">
        <v>656</v>
      </c>
      <c r="M22265" t="s">
        <v>48189</v>
      </c>
      <c r="N22265" t="s">
        <v>30</v>
      </c>
      <c r="O22265" t="s">
        <v>31</v>
      </c>
      <c r="P22265" t="str">
        <f>"15210"</f>
        <v>15210</v>
      </c>
    </row>
    <row r="22266" spans="1:16" x14ac:dyDescent="0.25">
      <c r="A22266" t="str">
        <f>"8330033M00111    00"</f>
        <v>8330033M00111    00</v>
      </c>
      <c r="B22266" t="s">
        <v>48190</v>
      </c>
      <c r="C22266" t="s">
        <v>48191</v>
      </c>
      <c r="D22266" t="s">
        <v>20</v>
      </c>
      <c r="E22266" t="s">
        <v>39</v>
      </c>
      <c r="F22266">
        <v>0</v>
      </c>
      <c r="G22266">
        <v>0</v>
      </c>
      <c r="H22266">
        <v>1</v>
      </c>
      <c r="I22266" s="3">
        <v>492</v>
      </c>
      <c r="J22266" s="3">
        <v>0</v>
      </c>
      <c r="K22266" t="s">
        <v>805</v>
      </c>
      <c r="L22266">
        <v>3001</v>
      </c>
      <c r="M22266" t="s">
        <v>330</v>
      </c>
      <c r="N22266" t="s">
        <v>331</v>
      </c>
      <c r="O22266" t="s">
        <v>108</v>
      </c>
      <c r="P22266" t="str">
        <f>"75063"</f>
        <v>75063</v>
      </c>
    </row>
    <row r="22267" spans="1:16" x14ac:dyDescent="0.25">
      <c r="A22267" t="str">
        <f>"8330033M00185    00"</f>
        <v>8330033M00185    00</v>
      </c>
      <c r="B22267" t="s">
        <v>48192</v>
      </c>
      <c r="C22267" t="s">
        <v>48193</v>
      </c>
      <c r="E22267" t="s">
        <v>39</v>
      </c>
      <c r="F22267">
        <v>0</v>
      </c>
      <c r="G22267">
        <v>0</v>
      </c>
      <c r="H22267">
        <v>1</v>
      </c>
      <c r="I22267" s="3">
        <v>622.17999999999995</v>
      </c>
      <c r="J22267" s="3">
        <v>124.43</v>
      </c>
      <c r="L22267">
        <v>202</v>
      </c>
      <c r="M22267" t="s">
        <v>46682</v>
      </c>
      <c r="N22267" t="s">
        <v>2943</v>
      </c>
      <c r="O22267" t="s">
        <v>31</v>
      </c>
      <c r="P22267" t="str">
        <f>"15025"</f>
        <v>15025</v>
      </c>
    </row>
    <row r="22268" spans="1:16" x14ac:dyDescent="0.25">
      <c r="A22268" t="str">
        <f>"8330033M00186    00"</f>
        <v>8330033M00186    00</v>
      </c>
      <c r="B22268" t="s">
        <v>48194</v>
      </c>
      <c r="C22268" t="s">
        <v>48195</v>
      </c>
      <c r="D22268" t="s">
        <v>20</v>
      </c>
      <c r="E22268" t="s">
        <v>39</v>
      </c>
      <c r="F22268">
        <v>0</v>
      </c>
      <c r="G22268">
        <v>0</v>
      </c>
      <c r="H22268">
        <v>15</v>
      </c>
      <c r="I22268" s="3">
        <v>2354.9499999999998</v>
      </c>
      <c r="J22268" s="3">
        <v>1394.5</v>
      </c>
      <c r="L22268">
        <v>533</v>
      </c>
      <c r="M22268" t="s">
        <v>48196</v>
      </c>
      <c r="N22268" t="s">
        <v>30</v>
      </c>
      <c r="O22268" t="s">
        <v>31</v>
      </c>
      <c r="P22268" t="str">
        <f>"15210"</f>
        <v>15210</v>
      </c>
    </row>
    <row r="22269" spans="1:16" x14ac:dyDescent="0.25">
      <c r="A22269" t="str">
        <f>"8330033M00187    00"</f>
        <v>8330033M00187    00</v>
      </c>
      <c r="B22269" t="s">
        <v>48197</v>
      </c>
      <c r="C22269" t="s">
        <v>48198</v>
      </c>
      <c r="E22269" t="s">
        <v>39</v>
      </c>
      <c r="F22269">
        <v>0</v>
      </c>
      <c r="G22269">
        <v>0</v>
      </c>
      <c r="H22269">
        <v>3</v>
      </c>
      <c r="I22269" s="3">
        <v>474.06</v>
      </c>
      <c r="J22269" s="3">
        <v>129.71</v>
      </c>
      <c r="L22269">
        <v>531</v>
      </c>
      <c r="M22269" t="s">
        <v>30427</v>
      </c>
      <c r="N22269" t="s">
        <v>30</v>
      </c>
      <c r="O22269" t="s">
        <v>31</v>
      </c>
      <c r="P22269" t="str">
        <f>"15210"</f>
        <v>15210</v>
      </c>
    </row>
    <row r="22270" spans="1:16" x14ac:dyDescent="0.25">
      <c r="A22270" t="str">
        <f>"8330033M00189    00"</f>
        <v>8330033M00189    00</v>
      </c>
      <c r="B22270" t="s">
        <v>48199</v>
      </c>
      <c r="C22270" t="s">
        <v>48200</v>
      </c>
      <c r="E22270" t="s">
        <v>39</v>
      </c>
      <c r="F22270">
        <v>0</v>
      </c>
      <c r="G22270">
        <v>0</v>
      </c>
      <c r="H22270">
        <v>2</v>
      </c>
      <c r="I22270" s="3">
        <v>1151.0899999999999</v>
      </c>
      <c r="J22270" s="3">
        <v>57.5</v>
      </c>
      <c r="L22270">
        <v>527</v>
      </c>
      <c r="M22270" t="s">
        <v>30427</v>
      </c>
      <c r="N22270" t="s">
        <v>30</v>
      </c>
      <c r="O22270" t="s">
        <v>31</v>
      </c>
      <c r="P22270" t="str">
        <f>"15210"</f>
        <v>15210</v>
      </c>
    </row>
    <row r="22271" spans="1:16" x14ac:dyDescent="0.25">
      <c r="A22271" t="str">
        <f>"8330033M00193    00"</f>
        <v>8330033M00193    00</v>
      </c>
      <c r="B22271" t="s">
        <v>48201</v>
      </c>
      <c r="C22271" t="s">
        <v>48202</v>
      </c>
      <c r="E22271" t="s">
        <v>39</v>
      </c>
      <c r="F22271">
        <v>0</v>
      </c>
      <c r="G22271">
        <v>0</v>
      </c>
      <c r="H22271">
        <v>9</v>
      </c>
      <c r="I22271" s="3">
        <v>616.11</v>
      </c>
      <c r="J22271" s="3">
        <v>402.49</v>
      </c>
      <c r="L22271">
        <v>519</v>
      </c>
      <c r="M22271" t="s">
        <v>30427</v>
      </c>
      <c r="N22271" t="s">
        <v>30</v>
      </c>
      <c r="O22271" t="s">
        <v>31</v>
      </c>
      <c r="P22271" t="str">
        <f>"15210"</f>
        <v>15210</v>
      </c>
    </row>
    <row r="22272" spans="1:16" x14ac:dyDescent="0.25">
      <c r="A22272" t="str">
        <f>"8330033M00194    00"</f>
        <v>8330033M00194    00</v>
      </c>
      <c r="B22272" t="s">
        <v>48203</v>
      </c>
      <c r="C22272" t="s">
        <v>48204</v>
      </c>
      <c r="E22272" t="s">
        <v>39</v>
      </c>
      <c r="F22272">
        <v>0</v>
      </c>
      <c r="G22272">
        <v>0</v>
      </c>
      <c r="H22272">
        <v>1</v>
      </c>
      <c r="I22272" s="3">
        <v>921.37</v>
      </c>
      <c r="J22272" s="3">
        <v>276.39999999999998</v>
      </c>
      <c r="K22272" t="s">
        <v>557</v>
      </c>
      <c r="L22272">
        <v>3001</v>
      </c>
      <c r="M22272" t="s">
        <v>330</v>
      </c>
      <c r="N22272" t="s">
        <v>331</v>
      </c>
      <c r="O22272" t="s">
        <v>108</v>
      </c>
      <c r="P22272" t="str">
        <f>"75063"</f>
        <v>75063</v>
      </c>
    </row>
    <row r="22273" spans="1:16" x14ac:dyDescent="0.25">
      <c r="A22273" t="str">
        <f>"8330033M00204    00"</f>
        <v>8330033M00204    00</v>
      </c>
      <c r="B22273" t="s">
        <v>15318</v>
      </c>
      <c r="C22273" t="s">
        <v>48205</v>
      </c>
      <c r="D22273" t="s">
        <v>20</v>
      </c>
      <c r="E22273" t="s">
        <v>39</v>
      </c>
      <c r="F22273">
        <v>0</v>
      </c>
      <c r="G22273">
        <v>0</v>
      </c>
      <c r="H22273">
        <v>1</v>
      </c>
      <c r="I22273" s="3">
        <v>461.25</v>
      </c>
      <c r="J22273" s="3">
        <v>0</v>
      </c>
      <c r="L22273">
        <v>1509</v>
      </c>
      <c r="M22273" t="s">
        <v>15320</v>
      </c>
      <c r="N22273" t="s">
        <v>30</v>
      </c>
      <c r="O22273" t="s">
        <v>31</v>
      </c>
      <c r="P22273" t="str">
        <f>"15221"</f>
        <v>15221</v>
      </c>
    </row>
    <row r="22274" spans="1:16" x14ac:dyDescent="0.25">
      <c r="A22274" t="str">
        <f>"8330033M00209    00"</f>
        <v>8330033M00209    00</v>
      </c>
      <c r="B22274" t="s">
        <v>48206</v>
      </c>
      <c r="C22274" t="s">
        <v>48207</v>
      </c>
      <c r="D22274" t="s">
        <v>20</v>
      </c>
      <c r="E22274" t="s">
        <v>39</v>
      </c>
      <c r="F22274">
        <v>0</v>
      </c>
      <c r="G22274">
        <v>0</v>
      </c>
      <c r="H22274">
        <v>2</v>
      </c>
      <c r="I22274" s="3">
        <v>1312</v>
      </c>
      <c r="J22274" s="3">
        <v>131.19</v>
      </c>
      <c r="K22274" t="s">
        <v>48208</v>
      </c>
      <c r="L22274">
        <v>401</v>
      </c>
      <c r="M22274" t="s">
        <v>30427</v>
      </c>
      <c r="N22274" t="s">
        <v>30</v>
      </c>
      <c r="O22274" t="s">
        <v>31</v>
      </c>
      <c r="P22274" t="str">
        <f>"15210"</f>
        <v>15210</v>
      </c>
    </row>
    <row r="22275" spans="1:16" x14ac:dyDescent="0.25">
      <c r="A22275" t="str">
        <f>"8330033M00215    00"</f>
        <v>8330033M00215    00</v>
      </c>
      <c r="B22275" t="s">
        <v>48209</v>
      </c>
      <c r="C22275" t="s">
        <v>48210</v>
      </c>
      <c r="D22275" t="s">
        <v>20</v>
      </c>
      <c r="E22275" t="s">
        <v>39</v>
      </c>
      <c r="F22275">
        <v>0</v>
      </c>
      <c r="G22275">
        <v>0</v>
      </c>
      <c r="H22275">
        <v>1</v>
      </c>
      <c r="I22275" s="3">
        <v>496.11</v>
      </c>
      <c r="J22275" s="3">
        <v>0</v>
      </c>
      <c r="L22275">
        <v>9216</v>
      </c>
      <c r="M22275" t="s">
        <v>25905</v>
      </c>
      <c r="N22275" t="s">
        <v>25906</v>
      </c>
      <c r="O22275" t="s">
        <v>108</v>
      </c>
      <c r="P22275" t="str">
        <f>"75071"</f>
        <v>75071</v>
      </c>
    </row>
    <row r="22276" spans="1:16" x14ac:dyDescent="0.25">
      <c r="A22276" t="str">
        <f>"8330033M00298    00"</f>
        <v>8330033M00298    00</v>
      </c>
      <c r="B22276" t="s">
        <v>48211</v>
      </c>
      <c r="C22276" t="s">
        <v>48212</v>
      </c>
      <c r="D22276" t="s">
        <v>20</v>
      </c>
      <c r="E22276" t="s">
        <v>39</v>
      </c>
      <c r="F22276">
        <v>0</v>
      </c>
      <c r="G22276">
        <v>0</v>
      </c>
      <c r="H22276">
        <v>8</v>
      </c>
      <c r="I22276" s="3">
        <v>1146.4100000000001</v>
      </c>
      <c r="J22276" s="3">
        <v>372.28</v>
      </c>
      <c r="K22276" t="s">
        <v>48213</v>
      </c>
      <c r="L22276">
        <v>910</v>
      </c>
      <c r="M22276" t="s">
        <v>23831</v>
      </c>
      <c r="N22276" t="s">
        <v>30</v>
      </c>
      <c r="O22276" t="s">
        <v>31</v>
      </c>
      <c r="P22276" t="str">
        <f>"15210"</f>
        <v>15210</v>
      </c>
    </row>
    <row r="22277" spans="1:16" x14ac:dyDescent="0.25">
      <c r="A22277" t="str">
        <f>"8330033M00301    00"</f>
        <v>8330033M00301    00</v>
      </c>
      <c r="B22277" t="s">
        <v>48214</v>
      </c>
      <c r="C22277" t="s">
        <v>48215</v>
      </c>
      <c r="E22277" t="s">
        <v>39</v>
      </c>
      <c r="F22277">
        <v>0</v>
      </c>
      <c r="G22277">
        <v>0</v>
      </c>
      <c r="H22277">
        <v>2</v>
      </c>
      <c r="I22277" s="3">
        <v>13.12</v>
      </c>
      <c r="J22277" s="3">
        <v>0.66</v>
      </c>
      <c r="K22277" t="s">
        <v>1632</v>
      </c>
      <c r="M22277" t="s">
        <v>1633</v>
      </c>
      <c r="N22277" t="s">
        <v>1634</v>
      </c>
      <c r="O22277" t="s">
        <v>25</v>
      </c>
      <c r="P22277" t="str">
        <f>"45401"</f>
        <v>45401</v>
      </c>
    </row>
    <row r="22278" spans="1:16" x14ac:dyDescent="0.25">
      <c r="A22278" t="str">
        <f>"8330033M00310    00"</f>
        <v>8330033M00310    00</v>
      </c>
      <c r="B22278" t="s">
        <v>48216</v>
      </c>
      <c r="C22278" t="s">
        <v>48217</v>
      </c>
      <c r="E22278" t="s">
        <v>39</v>
      </c>
      <c r="F22278">
        <v>0</v>
      </c>
      <c r="G22278">
        <v>0</v>
      </c>
      <c r="H22278">
        <v>1</v>
      </c>
      <c r="I22278" s="3">
        <v>745.71</v>
      </c>
      <c r="J22278" s="3">
        <v>136.71</v>
      </c>
      <c r="K22278" t="s">
        <v>2302</v>
      </c>
      <c r="L22278">
        <v>3001</v>
      </c>
      <c r="M22278" t="s">
        <v>330</v>
      </c>
      <c r="N22278" t="s">
        <v>331</v>
      </c>
      <c r="O22278" t="s">
        <v>108</v>
      </c>
      <c r="P22278" t="str">
        <f>"75063"</f>
        <v>75063</v>
      </c>
    </row>
    <row r="22279" spans="1:16" x14ac:dyDescent="0.25">
      <c r="A22279" t="str">
        <f>"8330033R00007    00"</f>
        <v>8330033R00007    00</v>
      </c>
      <c r="B22279" t="s">
        <v>48218</v>
      </c>
      <c r="C22279" t="s">
        <v>48219</v>
      </c>
      <c r="D22279" t="s">
        <v>20</v>
      </c>
      <c r="E22279" t="s">
        <v>39</v>
      </c>
      <c r="F22279">
        <v>0</v>
      </c>
      <c r="G22279">
        <v>0</v>
      </c>
      <c r="H22279">
        <v>3</v>
      </c>
      <c r="I22279" s="3">
        <v>1463.7</v>
      </c>
      <c r="J22279" s="3">
        <v>97.58</v>
      </c>
      <c r="K22279" t="s">
        <v>48220</v>
      </c>
      <c r="L22279">
        <v>19</v>
      </c>
      <c r="M22279" t="s">
        <v>48221</v>
      </c>
      <c r="N22279" t="s">
        <v>30</v>
      </c>
      <c r="O22279" t="s">
        <v>31</v>
      </c>
      <c r="P22279" t="str">
        <f>"15203"</f>
        <v>15203</v>
      </c>
    </row>
    <row r="22280" spans="1:16" x14ac:dyDescent="0.25">
      <c r="A22280" t="str">
        <f>"8330033R00011    00"</f>
        <v>8330033R00011    00</v>
      </c>
      <c r="B22280" t="s">
        <v>48222</v>
      </c>
      <c r="C22280" t="s">
        <v>48223</v>
      </c>
      <c r="D22280" t="s">
        <v>20</v>
      </c>
      <c r="E22280" t="s">
        <v>39</v>
      </c>
      <c r="F22280">
        <v>0</v>
      </c>
      <c r="G22280">
        <v>0</v>
      </c>
      <c r="H22280">
        <v>2</v>
      </c>
      <c r="I22280" s="3">
        <v>1291.5</v>
      </c>
      <c r="J22280" s="3">
        <v>0</v>
      </c>
      <c r="K22280" t="s">
        <v>38330</v>
      </c>
      <c r="L22280">
        <v>15430</v>
      </c>
      <c r="M22280" t="s">
        <v>48224</v>
      </c>
      <c r="N22280" t="s">
        <v>48225</v>
      </c>
      <c r="O22280" t="s">
        <v>8605</v>
      </c>
      <c r="P22280" t="str">
        <f>"53005"</f>
        <v>53005</v>
      </c>
    </row>
    <row r="22281" spans="1:16" x14ac:dyDescent="0.25">
      <c r="A22281" t="str">
        <f>"8330033S00060    00"</f>
        <v>8330033S00060    00</v>
      </c>
      <c r="B22281" t="s">
        <v>48226</v>
      </c>
      <c r="C22281" t="s">
        <v>48212</v>
      </c>
      <c r="D22281" t="s">
        <v>20</v>
      </c>
      <c r="E22281" t="s">
        <v>39</v>
      </c>
      <c r="F22281">
        <v>0</v>
      </c>
      <c r="G22281">
        <v>0</v>
      </c>
      <c r="H22281">
        <v>1</v>
      </c>
      <c r="I22281" s="3">
        <v>27.68</v>
      </c>
      <c r="J22281" s="3">
        <v>0</v>
      </c>
      <c r="L22281">
        <v>920</v>
      </c>
      <c r="M22281" t="s">
        <v>23831</v>
      </c>
      <c r="N22281" t="s">
        <v>30</v>
      </c>
      <c r="O22281" t="s">
        <v>31</v>
      </c>
      <c r="P22281" t="str">
        <f>"15210"</f>
        <v>15210</v>
      </c>
    </row>
    <row r="22282" spans="1:16" x14ac:dyDescent="0.25">
      <c r="A22282" t="str">
        <f>"8330033S00061    00"</f>
        <v>8330033S00061    00</v>
      </c>
      <c r="B22282" t="s">
        <v>48226</v>
      </c>
      <c r="C22282" t="s">
        <v>48227</v>
      </c>
      <c r="D22282" t="s">
        <v>20</v>
      </c>
      <c r="E22282" t="s">
        <v>39</v>
      </c>
      <c r="F22282">
        <v>0</v>
      </c>
      <c r="G22282">
        <v>0</v>
      </c>
      <c r="H22282">
        <v>1</v>
      </c>
      <c r="I22282" s="3">
        <v>290.38</v>
      </c>
      <c r="J22282" s="3">
        <v>0</v>
      </c>
      <c r="L22282">
        <v>920</v>
      </c>
      <c r="M22282" t="s">
        <v>23831</v>
      </c>
      <c r="N22282" t="s">
        <v>30</v>
      </c>
      <c r="O22282" t="s">
        <v>31</v>
      </c>
      <c r="P22282" t="str">
        <f>"15210"</f>
        <v>15210</v>
      </c>
    </row>
    <row r="22283" spans="1:16" x14ac:dyDescent="0.25">
      <c r="A22283" t="str">
        <f>"8330033S00064    00"</f>
        <v>8330033S00064    00</v>
      </c>
      <c r="B22283" t="s">
        <v>317</v>
      </c>
      <c r="C22283" t="s">
        <v>48228</v>
      </c>
      <c r="D22283" t="s">
        <v>20</v>
      </c>
      <c r="E22283" t="s">
        <v>39</v>
      </c>
      <c r="F22283">
        <v>0</v>
      </c>
      <c r="G22283">
        <v>0</v>
      </c>
      <c r="H22283">
        <v>1</v>
      </c>
      <c r="I22283" s="3">
        <v>458.18</v>
      </c>
      <c r="J22283" s="3">
        <v>0</v>
      </c>
      <c r="L22283">
        <v>2034</v>
      </c>
      <c r="M22283" t="s">
        <v>320</v>
      </c>
      <c r="N22283" t="s">
        <v>321</v>
      </c>
      <c r="O22283" t="s">
        <v>31</v>
      </c>
      <c r="P22283" t="str">
        <f>"15001"</f>
        <v>15001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Web Delinquent 01-30-2025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Woods, John</dc:creator>
  <cp:lastModifiedBy>Woods, John</cp:lastModifiedBy>
  <dcterms:created xsi:type="dcterms:W3CDTF">2025-01-30T17:37:36Z</dcterms:created>
  <dcterms:modified xsi:type="dcterms:W3CDTF">2025-01-30T17:37:37Z</dcterms:modified>
</cp:coreProperties>
</file>